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ownloads da net\"/>
    </mc:Choice>
  </mc:AlternateContent>
  <bookViews>
    <workbookView xWindow="0" yWindow="0" windowWidth="21570" windowHeight="8145"/>
  </bookViews>
  <sheets>
    <sheet name="Plan1" sheetId="1" r:id="rId1"/>
    <sheet name="Plan2" sheetId="2" r:id="rId2"/>
  </sheets>
  <definedNames>
    <definedName name="_xlnm._FilterDatabase" localSheetId="0" hidden="1">Plan1!$A$1:$F$36680</definedName>
    <definedName name="_xlnm._FilterDatabase" localSheetId="1" hidden="1">Plan2!$B$1:$D$508</definedName>
  </definedNames>
  <calcPr calcId="152511"/>
  <extLst>
    <ext uri="GoogleSheetsCustomDataVersion1">
      <go:sheetsCustomData xmlns:go="http://customooxmlschemas.google.com/" r:id="rId6" roundtripDataSignature="AMtx7mjOQSSXlyYvFRNtwCTbbdGMHA/4bA=="/>
    </ext>
  </extLst>
</workbook>
</file>

<file path=xl/calcChain.xml><?xml version="1.0" encoding="utf-8"?>
<calcChain xmlns="http://schemas.openxmlformats.org/spreadsheetml/2006/main">
  <c r="F36530" i="1" l="1"/>
  <c r="F36545" i="1"/>
  <c r="F36421" i="1"/>
  <c r="F35402" i="1"/>
  <c r="F34921" i="1"/>
  <c r="F34551" i="1"/>
  <c r="F34518" i="1"/>
  <c r="F34359" i="1"/>
  <c r="F34217" i="1"/>
  <c r="F33993" i="1"/>
  <c r="F31441" i="1"/>
  <c r="F28975" i="1"/>
  <c r="F28931" i="1"/>
  <c r="F28390" i="1"/>
  <c r="F28242" i="1"/>
  <c r="F28201" i="1"/>
  <c r="F28196" i="1"/>
  <c r="F27137" i="1"/>
  <c r="F26118" i="1"/>
  <c r="F26042" i="1"/>
  <c r="F25480" i="1"/>
  <c r="F25451" i="1"/>
  <c r="F25196" i="1"/>
  <c r="F25015" i="1"/>
  <c r="F24741" i="1"/>
  <c r="F24740" i="1"/>
  <c r="F24696" i="1"/>
  <c r="F24601" i="1"/>
  <c r="F23840" i="1"/>
  <c r="F23775" i="1"/>
  <c r="F23315" i="1"/>
  <c r="F21007" i="1"/>
  <c r="F20597" i="1"/>
  <c r="F20592" i="1"/>
  <c r="F20419" i="1"/>
  <c r="F18382" i="1"/>
  <c r="F15612" i="1"/>
  <c r="F13239" i="1"/>
  <c r="F13035" i="1"/>
  <c r="F13024" i="1"/>
  <c r="F11432" i="1"/>
  <c r="F9945" i="1"/>
  <c r="F9370" i="1"/>
  <c r="F8641" i="1"/>
  <c r="F8566" i="1"/>
  <c r="F8358" i="1"/>
  <c r="F5922" i="1"/>
  <c r="F421" i="1"/>
  <c r="F21067" i="1"/>
  <c r="F33473" i="1"/>
  <c r="F32328" i="1"/>
  <c r="F29603" i="1"/>
  <c r="F29342" i="1"/>
  <c r="F28865" i="1"/>
  <c r="F28864" i="1"/>
  <c r="F28127" i="1"/>
  <c r="F24912" i="1"/>
  <c r="F24196" i="1"/>
  <c r="F23942" i="1"/>
  <c r="F23930" i="1"/>
  <c r="F23890" i="1"/>
  <c r="F23562" i="1"/>
  <c r="F23072" i="1"/>
  <c r="F22243" i="1"/>
  <c r="F14946" i="1"/>
  <c r="F9409" i="1"/>
  <c r="F8212" i="1"/>
  <c r="F4892" i="1"/>
  <c r="F2560" i="1"/>
  <c r="F36603" i="1"/>
  <c r="F36540" i="1"/>
  <c r="F36539" i="1"/>
  <c r="F36538" i="1"/>
  <c r="F36537" i="1"/>
  <c r="F36536" i="1"/>
  <c r="F36535" i="1"/>
  <c r="F36534" i="1"/>
  <c r="F36533" i="1"/>
  <c r="F36532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340" i="1"/>
  <c r="F36217" i="1"/>
  <c r="F36203" i="1"/>
  <c r="F36060" i="1"/>
  <c r="F35707" i="1"/>
  <c r="F35498" i="1"/>
  <c r="F35493" i="1"/>
  <c r="F35343" i="1"/>
  <c r="F35228" i="1"/>
  <c r="F35098" i="1"/>
  <c r="F35054" i="1"/>
  <c r="F34992" i="1"/>
  <c r="F34626" i="1"/>
  <c r="F34605" i="1"/>
  <c r="F34585" i="1"/>
  <c r="F34499" i="1"/>
  <c r="F34484" i="1"/>
  <c r="F33991" i="1"/>
  <c r="F33975" i="1"/>
  <c r="F33940" i="1"/>
  <c r="F33797" i="1"/>
  <c r="F33637" i="1"/>
  <c r="F33539" i="1"/>
  <c r="F33514" i="1"/>
  <c r="F33513" i="1"/>
  <c r="F33510" i="1"/>
  <c r="F33509" i="1"/>
  <c r="F33508" i="1"/>
  <c r="F33497" i="1"/>
  <c r="F33419" i="1"/>
  <c r="F33417" i="1"/>
  <c r="F33414" i="1"/>
  <c r="F33403" i="1"/>
  <c r="F33083" i="1"/>
  <c r="F33082" i="1"/>
  <c r="F33073" i="1"/>
  <c r="F33067" i="1"/>
  <c r="F33040" i="1"/>
  <c r="F32996" i="1"/>
  <c r="F32970" i="1"/>
  <c r="F32929" i="1"/>
  <c r="F32828" i="1"/>
  <c r="F32827" i="1"/>
  <c r="F32826" i="1"/>
  <c r="F32825" i="1"/>
  <c r="F32771" i="1"/>
  <c r="F32770" i="1"/>
  <c r="F32768" i="1"/>
  <c r="F32767" i="1"/>
  <c r="F32760" i="1"/>
  <c r="F32759" i="1"/>
  <c r="F32758" i="1"/>
  <c r="F32757" i="1"/>
  <c r="F32755" i="1"/>
  <c r="F32752" i="1"/>
  <c r="F32749" i="1"/>
  <c r="F32743" i="1"/>
  <c r="F32742" i="1"/>
  <c r="F32617" i="1"/>
  <c r="F31579" i="1"/>
  <c r="F31443" i="1"/>
  <c r="F31385" i="1"/>
  <c r="F31377" i="1"/>
  <c r="F31367" i="1"/>
  <c r="F31338" i="1"/>
  <c r="F31332" i="1"/>
  <c r="F31306" i="1"/>
  <c r="F31241" i="1"/>
  <c r="F31131" i="1"/>
  <c r="F31098" i="1"/>
  <c r="F30743" i="1"/>
  <c r="F30302" i="1"/>
  <c r="F30301" i="1"/>
  <c r="F30196" i="1"/>
  <c r="F30138" i="1"/>
  <c r="F29959" i="1"/>
  <c r="F29868" i="1"/>
  <c r="F29867" i="1"/>
  <c r="F29862" i="1"/>
  <c r="F29739" i="1"/>
  <c r="F29724" i="1"/>
  <c r="F29723" i="1"/>
  <c r="F29711" i="1"/>
  <c r="F29506" i="1"/>
  <c r="F29430" i="1"/>
  <c r="F29429" i="1"/>
  <c r="F29428" i="1"/>
  <c r="F29427" i="1"/>
  <c r="F29424" i="1"/>
  <c r="F29423" i="1"/>
  <c r="F29420" i="1"/>
  <c r="F29416" i="1"/>
  <c r="F29398" i="1"/>
  <c r="F29394" i="1"/>
  <c r="F29393" i="1"/>
  <c r="F29389" i="1"/>
  <c r="F29388" i="1"/>
  <c r="F29385" i="1"/>
  <c r="F29383" i="1"/>
  <c r="F29382" i="1"/>
  <c r="F29379" i="1"/>
  <c r="F29374" i="1"/>
  <c r="F29358" i="1"/>
  <c r="F29154" i="1"/>
  <c r="F28903" i="1"/>
  <c r="F28656" i="1"/>
  <c r="F28645" i="1"/>
  <c r="F28215" i="1"/>
  <c r="F27707" i="1"/>
  <c r="F27555" i="1"/>
  <c r="F27486" i="1"/>
  <c r="F27381" i="1"/>
  <c r="F27380" i="1"/>
  <c r="F27378" i="1"/>
  <c r="F27274" i="1"/>
  <c r="F27145" i="1"/>
  <c r="F26595" i="1"/>
  <c r="F26443" i="1"/>
  <c r="F26322" i="1"/>
  <c r="F25767" i="1"/>
  <c r="F24791" i="1"/>
  <c r="F24651" i="1"/>
  <c r="F24650" i="1"/>
  <c r="F24648" i="1"/>
  <c r="F24293" i="1"/>
  <c r="F23936" i="1"/>
  <c r="F23935" i="1"/>
  <c r="F23604" i="1"/>
  <c r="F23517" i="1"/>
  <c r="F23465" i="1"/>
  <c r="F23350" i="1"/>
  <c r="F23349" i="1"/>
  <c r="F22159" i="1"/>
  <c r="F22145" i="1"/>
  <c r="F21684" i="1"/>
  <c r="F21276" i="1"/>
  <c r="F21273" i="1"/>
  <c r="F20828" i="1"/>
  <c r="F20575" i="1"/>
  <c r="F20439" i="1"/>
  <c r="F20436" i="1"/>
  <c r="F20430" i="1"/>
  <c r="F20392" i="1"/>
  <c r="F20351" i="1"/>
  <c r="F20219" i="1"/>
  <c r="F20209" i="1"/>
  <c r="F20181" i="1"/>
  <c r="F20177" i="1"/>
  <c r="F20151" i="1"/>
  <c r="F19963" i="1"/>
  <c r="F19073" i="1"/>
  <c r="F18989" i="1"/>
  <c r="F18478" i="1"/>
  <c r="F17888" i="1"/>
  <c r="F16224" i="1"/>
  <c r="F15924" i="1"/>
  <c r="F15914" i="1"/>
  <c r="F15912" i="1"/>
  <c r="F15910" i="1"/>
  <c r="F15906" i="1"/>
  <c r="F15904" i="1"/>
  <c r="F15891" i="1"/>
  <c r="F15885" i="1"/>
  <c r="F12816" i="1"/>
  <c r="F12815" i="1"/>
  <c r="F12267" i="1"/>
  <c r="F12261" i="1"/>
  <c r="F12250" i="1"/>
  <c r="F12224" i="1"/>
  <c r="F12216" i="1"/>
  <c r="F11835" i="1"/>
  <c r="F11569" i="1"/>
  <c r="F11563" i="1"/>
  <c r="F11561" i="1"/>
  <c r="F11257" i="1"/>
  <c r="F11220" i="1"/>
  <c r="F10774" i="1"/>
  <c r="F9450" i="1"/>
  <c r="F9018" i="1"/>
  <c r="F8983" i="1"/>
  <c r="F8978" i="1"/>
  <c r="F8647" i="1"/>
  <c r="F8069" i="1"/>
  <c r="F8067" i="1"/>
  <c r="F8064" i="1"/>
  <c r="F8062" i="1"/>
  <c r="F8061" i="1"/>
  <c r="F8054" i="1"/>
  <c r="F8050" i="1"/>
  <c r="F8049" i="1"/>
  <c r="F8046" i="1"/>
  <c r="F8044" i="1"/>
  <c r="F8003" i="1"/>
  <c r="F7651" i="1"/>
  <c r="F7263" i="1"/>
  <c r="F7261" i="1"/>
  <c r="F7259" i="1"/>
  <c r="F7253" i="1"/>
  <c r="F6247" i="1"/>
  <c r="F6157" i="1"/>
  <c r="F5912" i="1"/>
  <c r="F5900" i="1"/>
  <c r="F5524" i="1"/>
  <c r="F5501" i="1"/>
  <c r="F5419" i="1"/>
  <c r="F5103" i="1"/>
  <c r="F5101" i="1"/>
  <c r="F5014" i="1"/>
  <c r="F4936" i="1"/>
  <c r="F4933" i="1"/>
  <c r="F4920" i="1"/>
  <c r="F4904" i="1"/>
  <c r="F4880" i="1"/>
  <c r="F4841" i="1"/>
  <c r="F4821" i="1"/>
  <c r="F4819" i="1"/>
  <c r="F4817" i="1"/>
  <c r="F4813" i="1"/>
  <c r="F4789" i="1"/>
  <c r="F4715" i="1"/>
  <c r="F4516" i="1"/>
  <c r="F345" i="1"/>
  <c r="F337" i="1"/>
  <c r="F333" i="1"/>
  <c r="F15609" i="1"/>
  <c r="F35398" i="1"/>
  <c r="F23116" i="1"/>
  <c r="F33516" i="1"/>
  <c r="F32243" i="1"/>
  <c r="F32219" i="1"/>
  <c r="F32104" i="1"/>
  <c r="F32094" i="1"/>
  <c r="F31760" i="1"/>
  <c r="F31731" i="1"/>
  <c r="F31714" i="1"/>
  <c r="F30525" i="1"/>
  <c r="F26814" i="1"/>
  <c r="F22713" i="1"/>
  <c r="F22570" i="1"/>
  <c r="F22419" i="1"/>
  <c r="F22413" i="1"/>
  <c r="F22409" i="1"/>
  <c r="F22377" i="1"/>
  <c r="F22330" i="1"/>
  <c r="F21624" i="1"/>
  <c r="F20551" i="1"/>
  <c r="F20281" i="1"/>
  <c r="F18575" i="1"/>
  <c r="F18275" i="1"/>
  <c r="F16698" i="1"/>
  <c r="F9243" i="1"/>
  <c r="F7490" i="1"/>
  <c r="F6585" i="1"/>
  <c r="F3972" i="1"/>
  <c r="F5107" i="1"/>
  <c r="F11029" i="1"/>
  <c r="F36422" i="1"/>
  <c r="F36215" i="1"/>
  <c r="F36140" i="1"/>
  <c r="F35791" i="1"/>
  <c r="F35748" i="1"/>
  <c r="F35669" i="1"/>
  <c r="F35621" i="1"/>
  <c r="F35039" i="1"/>
  <c r="F34989" i="1"/>
  <c r="F34986" i="1"/>
  <c r="F34707" i="1"/>
  <c r="F34609" i="1"/>
  <c r="F34333" i="1"/>
  <c r="F33892" i="1"/>
  <c r="F33590" i="1"/>
  <c r="F33589" i="1"/>
  <c r="F32435" i="1"/>
  <c r="F32244" i="1"/>
  <c r="F32242" i="1"/>
  <c r="F32122" i="1"/>
  <c r="F32053" i="1"/>
  <c r="F31932" i="1"/>
  <c r="F31902" i="1"/>
  <c r="F31807" i="1"/>
  <c r="F31784" i="1"/>
  <c r="F31734" i="1"/>
  <c r="F31725" i="1"/>
  <c r="F31680" i="1"/>
  <c r="F31578" i="1"/>
  <c r="F31564" i="1"/>
  <c r="F31444" i="1"/>
  <c r="F31221" i="1"/>
  <c r="F31205" i="1"/>
  <c r="F31134" i="1"/>
  <c r="F31025" i="1"/>
  <c r="F31021" i="1"/>
  <c r="F30850" i="1"/>
  <c r="F30792" i="1"/>
  <c r="F30768" i="1"/>
  <c r="F30759" i="1"/>
  <c r="F30679" i="1"/>
  <c r="F30675" i="1"/>
  <c r="F30668" i="1"/>
  <c r="F30650" i="1"/>
  <c r="F30583" i="1"/>
  <c r="F30562" i="1"/>
  <c r="F30486" i="1"/>
  <c r="F30474" i="1"/>
  <c r="F30210" i="1"/>
  <c r="F29972" i="1"/>
  <c r="F29816" i="1"/>
  <c r="F29415" i="1"/>
  <c r="F29359" i="1"/>
  <c r="F29283" i="1"/>
  <c r="F29282" i="1"/>
  <c r="F29119" i="1"/>
  <c r="F29110" i="1"/>
  <c r="F29109" i="1"/>
  <c r="F28988" i="1"/>
  <c r="F28927" i="1"/>
  <c r="F28848" i="1"/>
  <c r="F28782" i="1"/>
  <c r="F28760" i="1"/>
  <c r="F28547" i="1"/>
  <c r="F28356" i="1"/>
  <c r="F28281" i="1"/>
  <c r="F28279" i="1"/>
  <c r="F28276" i="1"/>
  <c r="F28275" i="1"/>
  <c r="F28274" i="1"/>
  <c r="F28082" i="1"/>
  <c r="F28080" i="1"/>
  <c r="F27937" i="1"/>
  <c r="F27915" i="1"/>
  <c r="F27780" i="1"/>
  <c r="F27779" i="1"/>
  <c r="F25950" i="1"/>
  <c r="F25849" i="1"/>
  <c r="F25698" i="1"/>
  <c r="F25618" i="1"/>
  <c r="F23703" i="1"/>
  <c r="F23679" i="1"/>
  <c r="F23645" i="1"/>
  <c r="F23639" i="1"/>
  <c r="F23633" i="1"/>
  <c r="F23551" i="1"/>
  <c r="F23339" i="1"/>
  <c r="F23042" i="1"/>
  <c r="F22908" i="1"/>
  <c r="F22307" i="1"/>
  <c r="F22023" i="1"/>
  <c r="F21204" i="1"/>
  <c r="F21127" i="1"/>
  <c r="F20303" i="1"/>
  <c r="F20241" i="1"/>
  <c r="F20242" i="1"/>
  <c r="F19388" i="1"/>
  <c r="F19372" i="1"/>
  <c r="F19335" i="1"/>
  <c r="F19232" i="1"/>
  <c r="F19120" i="1"/>
  <c r="F17892" i="1"/>
  <c r="F17738" i="1"/>
  <c r="F16803" i="1"/>
  <c r="F16642" i="1"/>
  <c r="F16406" i="1"/>
  <c r="F15740" i="1"/>
  <c r="F15393" i="1"/>
  <c r="F15177" i="1"/>
  <c r="F15023" i="1"/>
  <c r="F14688" i="1"/>
  <c r="F14224" i="1"/>
  <c r="F14051" i="1"/>
  <c r="F14020" i="1"/>
  <c r="F13848" i="1"/>
  <c r="F13635" i="1"/>
  <c r="F13516" i="1"/>
  <c r="F13301" i="1"/>
  <c r="F13297" i="1"/>
  <c r="F13294" i="1"/>
  <c r="F13287" i="1"/>
  <c r="F13267" i="1"/>
  <c r="F13182" i="1"/>
  <c r="F12871" i="1"/>
  <c r="F12853" i="1"/>
  <c r="F12666" i="1"/>
  <c r="F12448" i="1"/>
  <c r="F12447" i="1"/>
  <c r="F12445" i="1"/>
  <c r="F12441" i="1"/>
  <c r="F12440" i="1"/>
  <c r="F12359" i="1"/>
  <c r="F12313" i="1"/>
  <c r="F12164" i="1"/>
  <c r="F12151" i="1"/>
  <c r="F11666" i="1"/>
  <c r="F11482" i="1"/>
  <c r="F10778" i="1"/>
  <c r="F10674" i="1"/>
  <c r="F10530" i="1"/>
  <c r="F10486" i="1"/>
  <c r="F10422" i="1"/>
  <c r="F10410" i="1"/>
  <c r="F10360" i="1"/>
  <c r="F10350" i="1"/>
  <c r="F10342" i="1"/>
  <c r="F10336" i="1"/>
  <c r="F10300" i="1"/>
  <c r="F10272" i="1"/>
  <c r="F10256" i="1"/>
  <c r="F10240" i="1"/>
  <c r="F10234" i="1"/>
  <c r="F10209" i="1"/>
  <c r="F10206" i="1"/>
  <c r="F10167" i="1"/>
  <c r="F10147" i="1"/>
  <c r="F10110" i="1"/>
  <c r="F10111" i="1"/>
  <c r="F10084" i="1"/>
  <c r="F10073" i="1"/>
  <c r="F10060" i="1"/>
  <c r="F10030" i="1"/>
  <c r="F9776" i="1"/>
  <c r="F9767" i="1"/>
  <c r="F9748" i="1"/>
  <c r="F9686" i="1"/>
  <c r="F9610" i="1"/>
  <c r="F9553" i="1"/>
  <c r="F9554" i="1"/>
  <c r="F6536" i="1"/>
  <c r="F6148" i="1"/>
  <c r="F5824" i="1"/>
  <c r="F5636" i="1"/>
  <c r="F5283" i="1"/>
  <c r="F4978" i="1"/>
  <c r="F4406" i="1"/>
  <c r="F4384" i="1"/>
  <c r="F4375" i="1"/>
  <c r="F3715" i="1"/>
  <c r="F3605" i="1"/>
  <c r="F3179" i="1"/>
  <c r="F3128" i="1"/>
  <c r="F3089" i="1"/>
  <c r="F2949" i="1"/>
  <c r="F2931" i="1"/>
  <c r="F2851" i="1"/>
  <c r="F2847" i="1"/>
  <c r="F2836" i="1"/>
  <c r="F2835" i="1"/>
  <c r="F2818" i="1"/>
  <c r="F2812" i="1"/>
  <c r="F2806" i="1"/>
  <c r="F2805" i="1"/>
  <c r="F2802" i="1"/>
  <c r="F2796" i="1"/>
  <c r="F2794" i="1"/>
  <c r="F2790" i="1"/>
  <c r="F2788" i="1"/>
  <c r="F2786" i="1"/>
  <c r="F2774" i="1"/>
  <c r="F840" i="1"/>
  <c r="F591" i="1"/>
  <c r="F443" i="1"/>
  <c r="F36339" i="1"/>
  <c r="F35113" i="1"/>
  <c r="F35020" i="1"/>
  <c r="F34974" i="1"/>
  <c r="F34869" i="1"/>
  <c r="F29438" i="1"/>
  <c r="F28334" i="1"/>
  <c r="F27980" i="1"/>
  <c r="F27571" i="1"/>
  <c r="F27261" i="1"/>
  <c r="F26836" i="1"/>
  <c r="F25128" i="1"/>
  <c r="F20808" i="1"/>
  <c r="F8704" i="1"/>
  <c r="F7081" i="1"/>
  <c r="F3332" i="1"/>
  <c r="F838" i="1"/>
  <c r="F35376" i="1"/>
  <c r="F34489" i="1"/>
  <c r="F16204" i="1"/>
  <c r="F36245" i="1"/>
  <c r="F36244" i="1"/>
  <c r="F35792" i="1"/>
  <c r="F35774" i="1"/>
  <c r="F35688" i="1"/>
  <c r="F35600" i="1"/>
  <c r="F35021" i="1"/>
  <c r="F35015" i="1"/>
  <c r="F34883" i="1"/>
  <c r="F34745" i="1"/>
  <c r="F34214" i="1"/>
  <c r="F34187" i="1"/>
  <c r="F34049" i="1"/>
  <c r="F34042" i="1"/>
  <c r="F33802" i="1"/>
  <c r="F33769" i="1"/>
  <c r="F33529" i="1"/>
  <c r="F33409" i="1"/>
  <c r="F33015" i="1"/>
  <c r="F32839" i="1"/>
  <c r="F32808" i="1"/>
  <c r="F32695" i="1"/>
  <c r="F32601" i="1"/>
  <c r="F32596" i="1"/>
  <c r="F32575" i="1"/>
  <c r="F32536" i="1"/>
  <c r="F32449" i="1"/>
  <c r="F32382" i="1"/>
  <c r="F32380" i="1"/>
  <c r="F32376" i="1"/>
  <c r="F32332" i="1"/>
  <c r="F32306" i="1"/>
  <c r="F32215" i="1"/>
  <c r="F32163" i="1"/>
  <c r="F32113" i="1"/>
  <c r="F32071" i="1"/>
  <c r="F32008" i="1"/>
  <c r="F31978" i="1"/>
  <c r="F31888" i="1"/>
  <c r="F31887" i="1"/>
  <c r="F31882" i="1"/>
  <c r="F31865" i="1"/>
  <c r="F31841" i="1"/>
  <c r="F31775" i="1"/>
  <c r="F31629" i="1"/>
  <c r="F31369" i="1"/>
  <c r="F30999" i="1"/>
  <c r="F30930" i="1"/>
  <c r="F30883" i="1"/>
  <c r="F30868" i="1"/>
  <c r="F30602" i="1"/>
  <c r="F30598" i="1"/>
  <c r="F30570" i="1"/>
  <c r="F30323" i="1"/>
  <c r="F30322" i="1"/>
  <c r="F30276" i="1"/>
  <c r="F30187" i="1"/>
  <c r="F30179" i="1"/>
  <c r="F30178" i="1"/>
  <c r="F30051" i="1"/>
  <c r="F29791" i="1"/>
  <c r="F29790" i="1"/>
  <c r="F29683" i="1"/>
  <c r="F29560" i="1"/>
  <c r="F29503" i="1"/>
  <c r="F29288" i="1"/>
  <c r="F29242" i="1"/>
  <c r="F29239" i="1"/>
  <c r="F29206" i="1"/>
  <c r="F29105" i="1"/>
  <c r="F28886" i="1"/>
  <c r="F28768" i="1"/>
  <c r="F28754" i="1"/>
  <c r="F28678" i="1"/>
  <c r="F28677" i="1"/>
  <c r="F28676" i="1"/>
  <c r="F28648" i="1"/>
  <c r="F28331" i="1"/>
  <c r="F28309" i="1"/>
  <c r="F28245" i="1"/>
  <c r="F28121" i="1"/>
  <c r="F28111" i="1"/>
  <c r="F28108" i="1"/>
  <c r="F28107" i="1"/>
  <c r="F28106" i="1"/>
  <c r="F28037" i="1"/>
  <c r="F27956" i="1"/>
  <c r="F27943" i="1"/>
  <c r="F27894" i="1"/>
  <c r="F27865" i="1"/>
  <c r="F27845" i="1"/>
  <c r="F27373" i="1"/>
  <c r="F27233" i="1"/>
  <c r="F27051" i="1"/>
  <c r="F26992" i="1"/>
  <c r="F26893" i="1"/>
  <c r="F26881" i="1"/>
  <c r="F25345" i="1"/>
  <c r="F24944" i="1"/>
  <c r="F24763" i="1"/>
  <c r="F24760" i="1"/>
  <c r="F23739" i="1"/>
  <c r="F23436" i="1"/>
  <c r="F23386" i="1"/>
  <c r="F23358" i="1"/>
  <c r="F23293" i="1"/>
  <c r="F22963" i="1"/>
  <c r="F22802" i="1"/>
  <c r="F22772" i="1"/>
  <c r="F22674" i="1"/>
  <c r="F21999" i="1"/>
  <c r="F21731" i="1"/>
  <c r="F21530" i="1"/>
  <c r="F21414" i="1"/>
  <c r="F20960" i="1"/>
  <c r="F20945" i="1"/>
  <c r="F20862" i="1"/>
  <c r="F20383" i="1"/>
  <c r="F20345" i="1"/>
  <c r="F19951" i="1"/>
  <c r="F19941" i="1"/>
  <c r="F19611" i="1"/>
  <c r="F19209" i="1"/>
  <c r="F19166" i="1"/>
  <c r="F19142" i="1"/>
  <c r="F19094" i="1"/>
  <c r="F19036" i="1"/>
  <c r="F19034" i="1"/>
  <c r="F19030" i="1"/>
  <c r="F19020" i="1"/>
  <c r="F18836" i="1"/>
  <c r="F18721" i="1"/>
  <c r="F18129" i="1"/>
  <c r="F18083" i="1"/>
  <c r="F18081" i="1"/>
  <c r="F17810" i="1"/>
  <c r="F17615" i="1"/>
  <c r="F17290" i="1"/>
  <c r="F17099" i="1"/>
  <c r="F17073" i="1"/>
  <c r="F16853" i="1"/>
  <c r="F16216" i="1"/>
  <c r="F15566" i="1"/>
  <c r="F15422" i="1"/>
  <c r="F15185" i="1"/>
  <c r="F14653" i="1"/>
  <c r="F13998" i="1"/>
  <c r="F13756" i="1"/>
  <c r="F13746" i="1"/>
  <c r="F13730" i="1"/>
  <c r="F13494" i="1"/>
  <c r="F13412" i="1"/>
  <c r="F12948" i="1"/>
  <c r="F12919" i="1"/>
  <c r="F12482" i="1"/>
  <c r="F12166" i="1"/>
  <c r="F12041" i="1"/>
  <c r="F11800" i="1"/>
  <c r="F11798" i="1"/>
  <c r="F11543" i="1"/>
  <c r="F11535" i="1"/>
  <c r="F11057" i="1"/>
  <c r="F11025" i="1"/>
  <c r="F9034" i="1"/>
  <c r="F8393" i="1"/>
  <c r="F7233" i="1"/>
  <c r="F7215" i="1"/>
  <c r="F7135" i="1"/>
  <c r="F7035" i="1"/>
  <c r="F6984" i="1"/>
  <c r="F6538" i="1"/>
  <c r="F6499" i="1"/>
  <c r="F6497" i="1"/>
  <c r="F6485" i="1"/>
  <c r="F6453" i="1"/>
  <c r="F6328" i="1"/>
  <c r="F5857" i="1"/>
  <c r="F5686" i="1"/>
  <c r="F5652" i="1"/>
  <c r="F5538" i="1"/>
  <c r="F5068" i="1"/>
  <c r="F5054" i="1"/>
  <c r="F5055" i="1"/>
  <c r="F5052" i="1"/>
  <c r="F4623" i="1"/>
  <c r="F4490" i="1"/>
  <c r="F4430" i="1"/>
  <c r="F3802" i="1"/>
  <c r="F2336" i="1"/>
  <c r="F2226" i="1"/>
  <c r="F2203" i="1"/>
  <c r="F2150" i="1"/>
  <c r="F1906" i="1"/>
  <c r="F1804" i="1"/>
  <c r="F1652" i="1"/>
  <c r="F1596" i="1"/>
  <c r="F1449" i="1"/>
  <c r="F1421" i="1"/>
  <c r="F1382" i="1"/>
  <c r="F1298" i="1"/>
  <c r="F35466" i="1"/>
  <c r="F35322" i="1"/>
  <c r="F34406" i="1"/>
  <c r="F32648" i="1"/>
  <c r="F32637" i="1"/>
  <c r="F29755" i="1"/>
  <c r="F28921" i="1"/>
  <c r="F27884" i="1"/>
  <c r="F27413" i="1"/>
  <c r="F26449" i="1"/>
  <c r="F25125" i="1"/>
  <c r="F24402" i="1"/>
  <c r="F24384" i="1"/>
  <c r="F23979" i="1"/>
  <c r="F23897" i="1"/>
  <c r="F23139" i="1"/>
  <c r="F23134" i="1"/>
  <c r="F22835" i="1"/>
  <c r="F22237" i="1"/>
  <c r="F22138" i="1"/>
  <c r="F11211" i="1"/>
  <c r="F10650" i="1"/>
  <c r="F9912" i="1"/>
  <c r="F9076" i="1"/>
  <c r="F7079" i="1"/>
  <c r="F6819" i="1"/>
  <c r="F5266" i="1"/>
  <c r="F4446" i="1"/>
  <c r="F4426" i="1"/>
  <c r="F2929" i="1"/>
  <c r="F2780" i="1"/>
  <c r="F1998" i="1"/>
  <c r="F1956" i="1"/>
  <c r="F1634" i="1"/>
  <c r="F1425" i="1"/>
  <c r="F36401" i="1"/>
  <c r="F36400" i="1"/>
  <c r="F36210" i="1"/>
  <c r="F36182" i="1"/>
  <c r="F36178" i="1"/>
  <c r="F35499" i="1"/>
  <c r="F34831" i="1"/>
  <c r="F34616" i="1"/>
  <c r="F34275" i="1"/>
  <c r="F34262" i="1"/>
  <c r="F33960" i="1"/>
  <c r="F33359" i="1"/>
  <c r="F33142" i="1"/>
  <c r="F33085" i="1"/>
  <c r="F32271" i="1"/>
  <c r="F29885" i="1"/>
  <c r="F29577" i="1"/>
  <c r="F28839" i="1"/>
  <c r="F28416" i="1"/>
  <c r="F28258" i="1"/>
  <c r="F27549" i="1"/>
  <c r="F27510" i="1"/>
  <c r="F27508" i="1"/>
  <c r="F26499" i="1"/>
  <c r="F24637" i="1"/>
  <c r="F23719" i="1"/>
  <c r="F23594" i="1"/>
  <c r="F23383" i="1"/>
  <c r="F22066" i="1"/>
  <c r="F21122" i="1"/>
  <c r="F19875" i="1"/>
  <c r="F18327" i="1"/>
  <c r="F17873" i="1"/>
  <c r="F13124" i="1"/>
  <c r="F13034" i="1"/>
  <c r="F13016" i="1"/>
  <c r="F12922" i="1"/>
  <c r="F12837" i="1"/>
  <c r="F11206" i="1"/>
  <c r="F11177" i="1"/>
  <c r="F11173" i="1"/>
  <c r="F10652" i="1"/>
  <c r="F8528" i="1"/>
  <c r="F8523" i="1"/>
  <c r="F8431" i="1"/>
  <c r="F8134" i="1"/>
  <c r="F6565" i="1"/>
  <c r="F5248" i="1"/>
  <c r="F3860" i="1"/>
  <c r="F1291" i="1"/>
  <c r="F1282" i="1"/>
  <c r="F882" i="1"/>
  <c r="F855" i="1"/>
  <c r="F823" i="1"/>
  <c r="F551" i="1"/>
  <c r="F429" i="1"/>
  <c r="F28659" i="1"/>
  <c r="F22373" i="1"/>
  <c r="F18039" i="1"/>
  <c r="F35872" i="1"/>
  <c r="F35169" i="1"/>
  <c r="F30423" i="1"/>
  <c r="F25778" i="1"/>
  <c r="F21991" i="1"/>
  <c r="F21990" i="1"/>
  <c r="F21491" i="1"/>
  <c r="F7714" i="1"/>
  <c r="F34617" i="1"/>
  <c r="F34560" i="1"/>
  <c r="F34547" i="1"/>
  <c r="F34409" i="1"/>
  <c r="F34060" i="1"/>
  <c r="F33936" i="1"/>
  <c r="F33478" i="1"/>
  <c r="F33335" i="1"/>
  <c r="F33328" i="1"/>
  <c r="F33307" i="1"/>
  <c r="F33260" i="1"/>
  <c r="F33236" i="1"/>
  <c r="F32918" i="1"/>
  <c r="F32351" i="1"/>
  <c r="F31447" i="1"/>
  <c r="F31298" i="1"/>
  <c r="F31294" i="1"/>
  <c r="F31211" i="1"/>
  <c r="F31141" i="1"/>
  <c r="F30800" i="1"/>
  <c r="F30612" i="1"/>
  <c r="F30032" i="1"/>
  <c r="F29917" i="1"/>
  <c r="F29833" i="1"/>
  <c r="F28978" i="1"/>
  <c r="F28936" i="1"/>
  <c r="F28909" i="1"/>
  <c r="F28492" i="1"/>
  <c r="F28339" i="1"/>
  <c r="F27542" i="1"/>
  <c r="F27512" i="1"/>
  <c r="F26344" i="1"/>
  <c r="F26011" i="1"/>
  <c r="F25846" i="1"/>
  <c r="F25811" i="1"/>
  <c r="F25648" i="1"/>
  <c r="F25561" i="1"/>
  <c r="F25556" i="1"/>
  <c r="F24780" i="1"/>
  <c r="F24729" i="1"/>
  <c r="F24600" i="1"/>
  <c r="F24450" i="1"/>
  <c r="F23773" i="1"/>
  <c r="F23587" i="1"/>
  <c r="F23582" i="1"/>
  <c r="F23454" i="1"/>
  <c r="F23438" i="1"/>
  <c r="F22130" i="1"/>
  <c r="F21346" i="1"/>
  <c r="F20722" i="1"/>
  <c r="F20647" i="1"/>
  <c r="F20426" i="1"/>
  <c r="F19778" i="1"/>
  <c r="F19140" i="1"/>
  <c r="F18850" i="1"/>
  <c r="F18607" i="1"/>
  <c r="F18546" i="1"/>
  <c r="F18539" i="1"/>
  <c r="F18530" i="1"/>
  <c r="F18508" i="1"/>
  <c r="F18419" i="1"/>
  <c r="F18136" i="1"/>
  <c r="F18076" i="1"/>
  <c r="F17955" i="1"/>
  <c r="F17779" i="1"/>
  <c r="F15747" i="1"/>
  <c r="F15736" i="1"/>
  <c r="F15729" i="1"/>
  <c r="F15714" i="1"/>
  <c r="F15391" i="1"/>
  <c r="F15340" i="1"/>
  <c r="F15158" i="1"/>
  <c r="F14960" i="1"/>
  <c r="F14447" i="1"/>
  <c r="F14192" i="1"/>
  <c r="F12796" i="1"/>
  <c r="F12773" i="1"/>
  <c r="F12768" i="1"/>
  <c r="F12472" i="1"/>
  <c r="F12436" i="1"/>
  <c r="F11229" i="1"/>
  <c r="F11228" i="1"/>
  <c r="F11065" i="1"/>
  <c r="F10805" i="1"/>
  <c r="F9965" i="1"/>
  <c r="F9401" i="1"/>
  <c r="F9358" i="1"/>
  <c r="F8614" i="1"/>
  <c r="F8381" i="1"/>
  <c r="F8361" i="1"/>
  <c r="F7776" i="1"/>
  <c r="F6318" i="1"/>
  <c r="F6223" i="1"/>
  <c r="F5436" i="1"/>
  <c r="F5180" i="1"/>
  <c r="F4096" i="1"/>
  <c r="F4095" i="1"/>
  <c r="F3540" i="1"/>
  <c r="F32611" i="1"/>
  <c r="F34858" i="1"/>
  <c r="F34480" i="1"/>
  <c r="F33982" i="1"/>
  <c r="F32621" i="1"/>
  <c r="F32266" i="1"/>
  <c r="F32264" i="1"/>
  <c r="F29847" i="1"/>
  <c r="F29569" i="1"/>
  <c r="F28021" i="1"/>
  <c r="F26996" i="1"/>
  <c r="F26892" i="1"/>
  <c r="F26891" i="1"/>
  <c r="F26885" i="1"/>
  <c r="F26835" i="1"/>
  <c r="F26208" i="1"/>
  <c r="F25336" i="1"/>
  <c r="F25317" i="1"/>
  <c r="F24360" i="1"/>
  <c r="F23939" i="1"/>
  <c r="F23007" i="1"/>
  <c r="F22270" i="1"/>
  <c r="F22203" i="1"/>
  <c r="F21796" i="1"/>
  <c r="F21652" i="1"/>
  <c r="F21575" i="1"/>
  <c r="F21200" i="1"/>
  <c r="F20771" i="1"/>
  <c r="F20573" i="1"/>
  <c r="F19842" i="1"/>
  <c r="F17991" i="1"/>
  <c r="F17981" i="1"/>
  <c r="F16876" i="1"/>
  <c r="F16101" i="1"/>
  <c r="F15005" i="1"/>
  <c r="F14267" i="1"/>
  <c r="F13956" i="1"/>
  <c r="F13388" i="1"/>
  <c r="F12653" i="1"/>
  <c r="F12321" i="1"/>
  <c r="F10722" i="1"/>
  <c r="F8448" i="1"/>
  <c r="F7598" i="1"/>
  <c r="F7590" i="1"/>
  <c r="F7582" i="1"/>
  <c r="F6781" i="1"/>
  <c r="F6354" i="1"/>
  <c r="F3206" i="1"/>
  <c r="F2686" i="1"/>
  <c r="F2599" i="1"/>
  <c r="F247" i="1"/>
  <c r="F36412" i="1"/>
  <c r="F36410" i="1"/>
  <c r="F36406" i="1"/>
  <c r="F35409" i="1"/>
  <c r="F35327" i="1"/>
  <c r="F35290" i="1"/>
  <c r="F35024" i="1"/>
  <c r="F34840" i="1"/>
  <c r="F34782" i="1"/>
  <c r="F34229" i="1"/>
  <c r="F33665" i="1"/>
  <c r="F33664" i="1"/>
  <c r="F33438" i="1"/>
  <c r="F33372" i="1"/>
  <c r="F33107" i="1"/>
  <c r="F33101" i="1"/>
  <c r="F33003" i="1"/>
  <c r="F32842" i="1"/>
  <c r="F32812" i="1"/>
  <c r="F32727" i="1"/>
  <c r="F32677" i="1"/>
  <c r="F32676" i="1"/>
  <c r="F32652" i="1"/>
  <c r="F32641" i="1"/>
  <c r="F32545" i="1"/>
  <c r="F32530" i="1"/>
  <c r="F32529" i="1"/>
  <c r="F31614" i="1"/>
  <c r="F31436" i="1"/>
  <c r="F31418" i="1"/>
  <c r="F31401" i="1"/>
  <c r="F30849" i="1"/>
  <c r="F30626" i="1"/>
  <c r="F30162" i="1"/>
  <c r="F30119" i="1"/>
  <c r="F30118" i="1"/>
  <c r="F30069" i="1"/>
  <c r="F29953" i="1"/>
  <c r="F29949" i="1"/>
  <c r="F29931" i="1"/>
  <c r="F29928" i="1"/>
  <c r="F29734" i="1"/>
  <c r="F29663" i="1"/>
  <c r="F29494" i="1"/>
  <c r="F29474" i="1"/>
  <c r="F29106" i="1"/>
  <c r="F29075" i="1"/>
  <c r="F29064" i="1"/>
  <c r="F28837" i="1"/>
  <c r="F28836" i="1"/>
  <c r="F28826" i="1"/>
  <c r="F28700" i="1"/>
  <c r="F28310" i="1"/>
  <c r="F28291" i="1"/>
  <c r="F28266" i="1"/>
  <c r="F28262" i="1"/>
  <c r="F28247" i="1"/>
  <c r="F27843" i="1"/>
  <c r="F27520" i="1"/>
  <c r="F27416" i="1"/>
  <c r="F27376" i="1"/>
  <c r="F27318" i="1"/>
  <c r="F27275" i="1"/>
  <c r="F27180" i="1"/>
  <c r="F27178" i="1"/>
  <c r="F27127" i="1"/>
  <c r="F27126" i="1"/>
  <c r="F27104" i="1"/>
  <c r="F27101" i="1"/>
  <c r="F27100" i="1"/>
  <c r="F27091" i="1"/>
  <c r="F26990" i="1"/>
  <c r="F26902" i="1"/>
  <c r="F26850" i="1"/>
  <c r="F26710" i="1"/>
  <c r="F26618" i="1"/>
  <c r="F26173" i="1"/>
  <c r="F25322" i="1"/>
  <c r="F25127" i="1"/>
  <c r="F24967" i="1"/>
  <c r="F24378" i="1"/>
  <c r="F24308" i="1"/>
  <c r="F24212" i="1"/>
  <c r="F24162" i="1"/>
  <c r="F24161" i="1"/>
  <c r="F23657" i="1"/>
  <c r="F23416" i="1"/>
  <c r="F23221" i="1"/>
  <c r="F23206" i="1"/>
  <c r="F23103" i="1"/>
  <c r="F23088" i="1"/>
  <c r="F23065" i="1"/>
  <c r="F22992" i="1"/>
  <c r="F22973" i="1"/>
  <c r="F22703" i="1"/>
  <c r="F22648" i="1"/>
  <c r="F22621" i="1"/>
  <c r="F22608" i="1"/>
  <c r="F22451" i="1"/>
  <c r="F22075" i="1"/>
  <c r="F22071" i="1"/>
  <c r="F21602" i="1"/>
  <c r="F21499" i="1"/>
  <c r="F21132" i="1"/>
  <c r="F20508" i="1"/>
  <c r="F20405" i="1"/>
  <c r="F20297" i="1"/>
  <c r="F20231" i="1"/>
  <c r="F20049" i="1"/>
  <c r="F19547" i="1"/>
  <c r="F19435" i="1"/>
  <c r="F19170" i="1"/>
  <c r="F19114" i="1"/>
  <c r="F18994" i="1"/>
  <c r="F18262" i="1"/>
  <c r="F17876" i="1"/>
  <c r="F17457" i="1"/>
  <c r="F17396" i="1"/>
  <c r="F17346" i="1"/>
  <c r="F16262" i="1"/>
  <c r="F16020" i="1"/>
  <c r="F15918" i="1"/>
  <c r="F15879" i="1"/>
  <c r="F15857" i="1"/>
  <c r="F15738" i="1"/>
  <c r="F14816" i="1"/>
  <c r="F13875" i="1"/>
  <c r="F13817" i="1"/>
  <c r="F13105" i="1"/>
  <c r="F13096" i="1"/>
  <c r="F12938" i="1"/>
  <c r="F12458" i="1"/>
  <c r="F12019" i="1"/>
  <c r="F11858" i="1"/>
  <c r="F11766" i="1"/>
  <c r="F11687" i="1"/>
  <c r="F11581" i="1"/>
  <c r="F10929" i="1"/>
  <c r="F10865" i="1"/>
  <c r="F9136" i="1"/>
  <c r="F9102" i="1"/>
  <c r="F8807" i="1"/>
  <c r="F7810" i="1"/>
  <c r="F7808" i="1"/>
  <c r="F7806" i="1"/>
  <c r="F7804" i="1"/>
  <c r="F7802" i="1"/>
  <c r="F7798" i="1"/>
  <c r="F7794" i="1"/>
  <c r="F7492" i="1"/>
  <c r="F7257" i="1"/>
  <c r="F6959" i="1"/>
  <c r="F6843" i="1"/>
  <c r="F5368" i="1"/>
  <c r="F5244" i="1"/>
  <c r="F5234" i="1"/>
  <c r="F4994" i="1"/>
  <c r="F4992" i="1"/>
  <c r="F4650" i="1"/>
  <c r="F4599" i="1"/>
  <c r="F4498" i="1"/>
  <c r="F4195" i="1"/>
  <c r="F4033" i="1"/>
  <c r="F3026" i="1"/>
  <c r="F2688" i="1"/>
  <c r="F2628" i="1"/>
  <c r="F2292" i="1"/>
  <c r="F2183" i="1"/>
  <c r="F2104" i="1"/>
  <c r="F2066" i="1"/>
  <c r="F1900" i="1"/>
  <c r="F1764" i="1"/>
  <c r="F1714" i="1"/>
  <c r="F1708" i="1"/>
  <c r="F1602" i="1"/>
  <c r="F1316" i="1"/>
  <c r="F389" i="1"/>
  <c r="F369" i="1"/>
  <c r="F357" i="1"/>
  <c r="F343" i="1"/>
  <c r="F135" i="1"/>
  <c r="F116" i="1"/>
  <c r="F109" i="1"/>
  <c r="F30" i="1"/>
  <c r="F24" i="1"/>
  <c r="F33593" i="1"/>
  <c r="F33569" i="1"/>
  <c r="F16214" i="1"/>
  <c r="F10374" i="1"/>
  <c r="F36344" i="1"/>
  <c r="F36343" i="1"/>
  <c r="F35675" i="1"/>
  <c r="F35203" i="1"/>
  <c r="F34059" i="1"/>
  <c r="F33829" i="1"/>
  <c r="F33545" i="1"/>
  <c r="F32914" i="1"/>
  <c r="F30809" i="1"/>
  <c r="F30642" i="1"/>
  <c r="F30621" i="1"/>
  <c r="F30260" i="1"/>
  <c r="F29861" i="1"/>
  <c r="F29838" i="1"/>
  <c r="F25579" i="1"/>
  <c r="F25190" i="1"/>
  <c r="F22644" i="1"/>
  <c r="F21622" i="1"/>
  <c r="F18021" i="1"/>
  <c r="F17448" i="1"/>
  <c r="F15897" i="1"/>
  <c r="F15191" i="1"/>
  <c r="F14027" i="1"/>
  <c r="F13657" i="1"/>
  <c r="F10832" i="1"/>
  <c r="F9238" i="1"/>
  <c r="F9234" i="1"/>
  <c r="F5782" i="1"/>
  <c r="F5514" i="1"/>
  <c r="F27385" i="1"/>
  <c r="F14441" i="1"/>
  <c r="F13208" i="1"/>
  <c r="F5083" i="1"/>
  <c r="F4248" i="1"/>
  <c r="F32057" i="1"/>
  <c r="F30885" i="1"/>
  <c r="F30882" i="1"/>
  <c r="F30643" i="1"/>
  <c r="F27725" i="1"/>
  <c r="F26799" i="1"/>
  <c r="F22746" i="1"/>
  <c r="F19687" i="1"/>
  <c r="F19337" i="1"/>
  <c r="F16088" i="1"/>
  <c r="F13619" i="1"/>
  <c r="F13198" i="1"/>
  <c r="F12068" i="1"/>
  <c r="F10506" i="1"/>
  <c r="F10372" i="1"/>
  <c r="F9796" i="1"/>
  <c r="F9608" i="1"/>
  <c r="F6698" i="1"/>
  <c r="F5670" i="1"/>
  <c r="F4339" i="1"/>
  <c r="F4074" i="1"/>
  <c r="F2785" i="1"/>
  <c r="F2766" i="1"/>
  <c r="F2735" i="1"/>
  <c r="F2168" i="1"/>
  <c r="F1127" i="1"/>
  <c r="F24024" i="1"/>
  <c r="F34057" i="1"/>
  <c r="F33166" i="1"/>
  <c r="F33154" i="1"/>
  <c r="F32794" i="1"/>
  <c r="F32701" i="1"/>
  <c r="F32426" i="1"/>
  <c r="F31707" i="1"/>
  <c r="F29850" i="1"/>
  <c r="F27992" i="1"/>
  <c r="F27931" i="1"/>
  <c r="F27926" i="1"/>
  <c r="F24226" i="1"/>
  <c r="F19071" i="1"/>
  <c r="F13472" i="1"/>
  <c r="F9416" i="1"/>
  <c r="F4420" i="1"/>
  <c r="F4414" i="1"/>
  <c r="F3998" i="1"/>
  <c r="F3159" i="1"/>
  <c r="F2609" i="1"/>
  <c r="F339" i="1"/>
  <c r="F28690" i="1"/>
  <c r="F28504" i="1"/>
  <c r="F25975" i="1"/>
  <c r="F25134" i="1"/>
  <c r="F23095" i="1"/>
  <c r="F22716" i="1"/>
  <c r="F21834" i="1"/>
  <c r="F20638" i="1"/>
  <c r="F19639" i="1"/>
  <c r="F19593" i="1"/>
  <c r="F19539" i="1"/>
  <c r="F19090" i="1"/>
  <c r="F15527" i="1"/>
  <c r="F12536" i="1"/>
  <c r="F8920" i="1"/>
  <c r="F8768" i="1"/>
  <c r="F5162" i="1"/>
  <c r="F4628" i="1"/>
  <c r="F36465" i="1"/>
  <c r="F36463" i="1"/>
  <c r="F36462" i="1"/>
  <c r="F36461" i="1"/>
  <c r="F36459" i="1"/>
  <c r="F36452" i="1"/>
  <c r="F36420" i="1"/>
  <c r="F36386" i="1"/>
  <c r="F36384" i="1"/>
  <c r="F36337" i="1"/>
  <c r="F36310" i="1"/>
  <c r="F36283" i="1"/>
  <c r="F36257" i="1"/>
  <c r="F36202" i="1"/>
  <c r="F36154" i="1"/>
  <c r="F36141" i="1"/>
  <c r="F36110" i="1"/>
  <c r="F35828" i="1"/>
  <c r="F35821" i="1"/>
  <c r="F35820" i="1"/>
  <c r="F35743" i="1"/>
  <c r="F35742" i="1"/>
  <c r="F35730" i="1"/>
  <c r="F35718" i="1"/>
  <c r="F35654" i="1"/>
  <c r="F35652" i="1"/>
  <c r="F35647" i="1"/>
  <c r="F35617" i="1"/>
  <c r="F35598" i="1"/>
  <c r="F35577" i="1"/>
  <c r="F35562" i="1"/>
  <c r="F35561" i="1"/>
  <c r="F35515" i="1"/>
  <c r="F35481" i="1"/>
  <c r="F35448" i="1"/>
  <c r="F35431" i="1"/>
  <c r="F35426" i="1"/>
  <c r="F35396" i="1"/>
  <c r="F35395" i="1"/>
  <c r="F35371" i="1"/>
  <c r="F35367" i="1"/>
  <c r="F35299" i="1"/>
  <c r="F35223" i="1"/>
  <c r="F35222" i="1"/>
  <c r="F35220" i="1"/>
  <c r="F35206" i="1"/>
  <c r="F35200" i="1"/>
  <c r="F35189" i="1"/>
  <c r="F35184" i="1"/>
  <c r="F35183" i="1"/>
  <c r="F35156" i="1"/>
  <c r="F35155" i="1"/>
  <c r="F35154" i="1"/>
  <c r="F35153" i="1"/>
  <c r="F35151" i="1"/>
  <c r="F35149" i="1"/>
  <c r="F35147" i="1"/>
  <c r="F35144" i="1"/>
  <c r="F35142" i="1"/>
  <c r="F35140" i="1"/>
  <c r="F35119" i="1"/>
  <c r="F35118" i="1"/>
  <c r="F35116" i="1"/>
  <c r="F35115" i="1"/>
  <c r="F35114" i="1"/>
  <c r="F35112" i="1"/>
  <c r="F35110" i="1"/>
  <c r="F35109" i="1"/>
  <c r="F35107" i="1"/>
  <c r="F35101" i="1"/>
  <c r="F35090" i="1"/>
  <c r="F35087" i="1"/>
  <c r="F35070" i="1"/>
  <c r="F35042" i="1"/>
  <c r="F35041" i="1"/>
  <c r="F35023" i="1"/>
  <c r="F35001" i="1"/>
  <c r="F34991" i="1"/>
  <c r="F34990" i="1"/>
  <c r="F34963" i="1"/>
  <c r="F34958" i="1"/>
  <c r="F34837" i="1"/>
  <c r="F34825" i="1"/>
  <c r="F34798" i="1"/>
  <c r="F34772" i="1"/>
  <c r="F34734" i="1"/>
  <c r="F34712" i="1"/>
  <c r="F34474" i="1"/>
  <c r="F34375" i="1"/>
  <c r="F34283" i="1"/>
  <c r="F34205" i="1"/>
  <c r="F34195" i="1"/>
  <c r="F34176" i="1"/>
  <c r="F34110" i="1"/>
  <c r="F34002" i="1"/>
  <c r="F33976" i="1"/>
  <c r="F33974" i="1"/>
  <c r="F33965" i="1"/>
  <c r="F33937" i="1"/>
  <c r="F33908" i="1"/>
  <c r="F33907" i="1"/>
  <c r="F33906" i="1"/>
  <c r="F33904" i="1"/>
  <c r="F33903" i="1"/>
  <c r="F33902" i="1"/>
  <c r="F33900" i="1"/>
  <c r="F33898" i="1"/>
  <c r="F33897" i="1"/>
  <c r="F33896" i="1"/>
  <c r="F33890" i="1"/>
  <c r="F33889" i="1"/>
  <c r="F33888" i="1"/>
  <c r="F33886" i="1"/>
  <c r="F33884" i="1"/>
  <c r="F33883" i="1"/>
  <c r="F33879" i="1"/>
  <c r="F33878" i="1"/>
  <c r="F33863" i="1"/>
  <c r="F33823" i="1"/>
  <c r="F33807" i="1"/>
  <c r="F33778" i="1"/>
  <c r="F33766" i="1"/>
  <c r="F33738" i="1"/>
  <c r="F33686" i="1"/>
  <c r="F33685" i="1"/>
  <c r="F33622" i="1"/>
  <c r="F33619" i="1"/>
  <c r="F33600" i="1"/>
  <c r="F33568" i="1"/>
  <c r="F33567" i="1"/>
  <c r="F33566" i="1"/>
  <c r="F33521" i="1"/>
  <c r="F33490" i="1"/>
  <c r="F33413" i="1"/>
  <c r="F33379" i="1"/>
  <c r="F33351" i="1"/>
  <c r="F33170" i="1"/>
  <c r="F33074" i="1"/>
  <c r="F33072" i="1"/>
  <c r="F32980" i="1"/>
  <c r="F32974" i="1"/>
  <c r="F32972" i="1"/>
  <c r="F32971" i="1"/>
  <c r="F32956" i="1"/>
  <c r="F32902" i="1"/>
  <c r="F32868" i="1"/>
  <c r="F32867" i="1"/>
  <c r="F32866" i="1"/>
  <c r="F32865" i="1"/>
  <c r="F32773" i="1"/>
  <c r="F32698" i="1"/>
  <c r="F32683" i="1"/>
  <c r="F32682" i="1"/>
  <c r="F32655" i="1"/>
  <c r="F32636" i="1"/>
  <c r="F32635" i="1"/>
  <c r="F32618" i="1"/>
  <c r="F32582" i="1"/>
  <c r="F32558" i="1"/>
  <c r="F32541" i="1"/>
  <c r="F32540" i="1"/>
  <c r="F32531" i="1"/>
  <c r="F32515" i="1"/>
  <c r="F32434" i="1"/>
  <c r="F32346" i="1"/>
  <c r="F32343" i="1"/>
  <c r="F32342" i="1"/>
  <c r="F32341" i="1"/>
  <c r="F32293" i="1"/>
  <c r="F32246" i="1"/>
  <c r="F32238" i="1"/>
  <c r="F32237" i="1"/>
  <c r="F32236" i="1"/>
  <c r="F32222" i="1"/>
  <c r="F32218" i="1"/>
  <c r="F32217" i="1"/>
  <c r="F32212" i="1"/>
  <c r="F32209" i="1"/>
  <c r="F32200" i="1"/>
  <c r="F32198" i="1"/>
  <c r="F32197" i="1"/>
  <c r="F32196" i="1"/>
  <c r="F32195" i="1"/>
  <c r="F32194" i="1"/>
  <c r="F32193" i="1"/>
  <c r="F32186" i="1"/>
  <c r="F32184" i="1"/>
  <c r="F32170" i="1"/>
  <c r="F32166" i="1"/>
  <c r="F32160" i="1"/>
  <c r="F32158" i="1"/>
  <c r="F32157" i="1"/>
  <c r="F32154" i="1"/>
  <c r="F32153" i="1"/>
  <c r="F32127" i="1"/>
  <c r="F32096" i="1"/>
  <c r="F32086" i="1"/>
  <c r="F32084" i="1"/>
  <c r="F32077" i="1"/>
  <c r="F32075" i="1"/>
  <c r="F32073" i="1"/>
  <c r="F32065" i="1"/>
  <c r="F32059" i="1"/>
  <c r="F32055" i="1"/>
  <c r="F32043" i="1"/>
  <c r="F32042" i="1"/>
  <c r="F32041" i="1"/>
  <c r="F32040" i="1"/>
  <c r="F32039" i="1"/>
  <c r="F32036" i="1"/>
  <c r="F32035" i="1"/>
  <c r="F32034" i="1"/>
  <c r="F32033" i="1"/>
  <c r="F32032" i="1"/>
  <c r="F32030" i="1"/>
  <c r="F32027" i="1"/>
  <c r="F32026" i="1"/>
  <c r="F32025" i="1"/>
  <c r="F32023" i="1"/>
  <c r="F32022" i="1"/>
  <c r="F32021" i="1"/>
  <c r="F32009" i="1"/>
  <c r="F32003" i="1"/>
  <c r="F31996" i="1"/>
  <c r="F31992" i="1"/>
  <c r="F31991" i="1"/>
  <c r="F31985" i="1"/>
  <c r="F31976" i="1"/>
  <c r="F31974" i="1"/>
  <c r="F31952" i="1"/>
  <c r="F31951" i="1"/>
  <c r="F31950" i="1"/>
  <c r="F31940" i="1"/>
  <c r="F31939" i="1"/>
  <c r="F31934" i="1"/>
  <c r="F31933" i="1"/>
  <c r="F31931" i="1"/>
  <c r="F31928" i="1"/>
  <c r="F31921" i="1"/>
  <c r="F31920" i="1"/>
  <c r="F31918" i="1"/>
  <c r="F31914" i="1"/>
  <c r="F31911" i="1"/>
  <c r="F31910" i="1"/>
  <c r="F31908" i="1"/>
  <c r="F31879" i="1"/>
  <c r="F31870" i="1"/>
  <c r="F31869" i="1"/>
  <c r="F31860" i="1"/>
  <c r="F31853" i="1"/>
  <c r="F31829" i="1"/>
  <c r="F31824" i="1"/>
  <c r="F31810" i="1"/>
  <c r="F31806" i="1"/>
  <c r="F31800" i="1"/>
  <c r="F31795" i="1"/>
  <c r="F31781" i="1"/>
  <c r="F31767" i="1"/>
  <c r="F31758" i="1"/>
  <c r="F31757" i="1"/>
  <c r="F31751" i="1"/>
  <c r="F31743" i="1"/>
  <c r="F31737" i="1"/>
  <c r="F31732" i="1"/>
  <c r="F31727" i="1"/>
  <c r="F31717" i="1"/>
  <c r="F31716" i="1"/>
  <c r="F31715" i="1"/>
  <c r="F31703" i="1"/>
  <c r="F31684" i="1"/>
  <c r="F31659" i="1"/>
  <c r="F31646" i="1"/>
  <c r="F31610" i="1"/>
  <c r="F31458" i="1"/>
  <c r="F31453" i="1"/>
  <c r="F31425" i="1"/>
  <c r="F31054" i="1"/>
  <c r="F30940" i="1"/>
  <c r="F30897" i="1"/>
  <c r="F30896" i="1"/>
  <c r="F30874" i="1"/>
  <c r="F30871" i="1"/>
  <c r="F30853" i="1"/>
  <c r="F30846" i="1"/>
  <c r="F30827" i="1"/>
  <c r="F30816" i="1"/>
  <c r="F30784" i="1"/>
  <c r="F30782" i="1"/>
  <c r="F30781" i="1"/>
  <c r="F30780" i="1"/>
  <c r="F30779" i="1"/>
  <c r="F30778" i="1"/>
  <c r="F30777" i="1"/>
  <c r="F30761" i="1"/>
  <c r="F30757" i="1"/>
  <c r="F30756" i="1"/>
  <c r="F30752" i="1"/>
  <c r="F30749" i="1"/>
  <c r="F30739" i="1"/>
  <c r="F30709" i="1"/>
  <c r="F30708" i="1"/>
  <c r="F30698" i="1"/>
  <c r="F30693" i="1"/>
  <c r="F30683" i="1"/>
  <c r="F30682" i="1"/>
  <c r="F30677" i="1"/>
  <c r="F30673" i="1"/>
  <c r="F30660" i="1"/>
  <c r="F30659" i="1"/>
  <c r="F30653" i="1"/>
  <c r="F30644" i="1"/>
  <c r="F30611" i="1"/>
  <c r="F30592" i="1"/>
  <c r="F30590" i="1"/>
  <c r="F30589" i="1"/>
  <c r="F30577" i="1"/>
  <c r="F30574" i="1"/>
  <c r="F30564" i="1"/>
  <c r="F30563" i="1"/>
  <c r="F30561" i="1"/>
  <c r="F30560" i="1"/>
  <c r="F30559" i="1"/>
  <c r="F30541" i="1"/>
  <c r="F30528" i="1"/>
  <c r="F30504" i="1"/>
  <c r="F30497" i="1"/>
  <c r="F30496" i="1"/>
  <c r="F30495" i="1"/>
  <c r="F30487" i="1"/>
  <c r="F30484" i="1"/>
  <c r="F30480" i="1"/>
  <c r="F30134" i="1"/>
  <c r="F30125" i="1"/>
  <c r="F30078" i="1"/>
  <c r="F29974" i="1"/>
  <c r="F29971" i="1"/>
  <c r="F29970" i="1"/>
  <c r="F29884" i="1"/>
  <c r="F29830" i="1"/>
  <c r="F29828" i="1"/>
  <c r="F29811" i="1"/>
  <c r="F29810" i="1"/>
  <c r="F29733" i="1"/>
  <c r="F29615" i="1"/>
  <c r="F29450" i="1"/>
  <c r="F29347" i="1"/>
  <c r="F29279" i="1"/>
  <c r="F29278" i="1"/>
  <c r="F29253" i="1"/>
  <c r="F29244" i="1"/>
  <c r="F29218" i="1"/>
  <c r="F29180" i="1"/>
  <c r="F29150" i="1"/>
  <c r="F29127" i="1"/>
  <c r="F29126" i="1"/>
  <c r="F29122" i="1"/>
  <c r="F29120" i="1"/>
  <c r="F29117" i="1"/>
  <c r="F29114" i="1"/>
  <c r="F29102" i="1"/>
  <c r="F29101" i="1"/>
  <c r="F29098" i="1"/>
  <c r="F29091" i="1"/>
  <c r="F29090" i="1"/>
  <c r="F29078" i="1"/>
  <c r="F29073" i="1"/>
  <c r="F29057" i="1"/>
  <c r="F28957" i="1"/>
  <c r="F28923" i="1"/>
  <c r="F28892" i="1"/>
  <c r="F28882" i="1"/>
  <c r="F28816" i="1"/>
  <c r="F28815" i="1"/>
  <c r="F28813" i="1"/>
  <c r="F28812" i="1"/>
  <c r="F28781" i="1"/>
  <c r="F28762" i="1"/>
  <c r="F28758" i="1"/>
  <c r="F28728" i="1"/>
  <c r="F28708" i="1"/>
  <c r="F28697" i="1"/>
  <c r="F28693" i="1"/>
  <c r="F28691" i="1"/>
  <c r="F28689" i="1"/>
  <c r="F28664" i="1"/>
  <c r="F28657" i="1"/>
  <c r="F28618" i="1"/>
  <c r="F28444" i="1"/>
  <c r="F28433" i="1"/>
  <c r="F28402" i="1"/>
  <c r="F28400" i="1"/>
  <c r="F28369" i="1"/>
  <c r="F28348" i="1"/>
  <c r="F28124" i="1"/>
  <c r="F28062" i="1"/>
  <c r="F28061" i="1"/>
  <c r="F28060" i="1"/>
  <c r="F28059" i="1"/>
  <c r="F28056" i="1"/>
  <c r="F28054" i="1"/>
  <c r="F27939" i="1"/>
  <c r="F27919" i="1"/>
  <c r="F27897" i="1"/>
  <c r="F27890" i="1"/>
  <c r="F27889" i="1"/>
  <c r="F27802" i="1"/>
  <c r="F27801" i="1"/>
  <c r="F27800" i="1"/>
  <c r="F27790" i="1"/>
  <c r="F27784" i="1"/>
  <c r="F27771" i="1"/>
  <c r="F27764" i="1"/>
  <c r="F27758" i="1"/>
  <c r="F27757" i="1"/>
  <c r="F27754" i="1"/>
  <c r="F27753" i="1"/>
  <c r="F27752" i="1"/>
  <c r="F27751" i="1"/>
  <c r="F27750" i="1"/>
  <c r="F27747" i="1"/>
  <c r="F27746" i="1"/>
  <c r="F27745" i="1"/>
  <c r="F27744" i="1"/>
  <c r="F27742" i="1"/>
  <c r="F27741" i="1"/>
  <c r="F27737" i="1"/>
  <c r="F27735" i="1"/>
  <c r="F27734" i="1"/>
  <c r="F27729" i="1"/>
  <c r="F27611" i="1"/>
  <c r="F27102" i="1"/>
  <c r="F26886" i="1"/>
  <c r="F26870" i="1"/>
  <c r="F26750" i="1"/>
  <c r="F26686" i="1"/>
  <c r="F26685" i="1"/>
  <c r="F26677" i="1"/>
  <c r="F26673" i="1"/>
  <c r="F26665" i="1"/>
  <c r="F26664" i="1"/>
  <c r="F26663" i="1"/>
  <c r="F26660" i="1"/>
  <c r="F26659" i="1"/>
  <c r="F26658" i="1"/>
  <c r="F26657" i="1"/>
  <c r="F26655" i="1"/>
  <c r="F26652" i="1"/>
  <c r="F26645" i="1"/>
  <c r="F26613" i="1"/>
  <c r="F26611" i="1"/>
  <c r="F26610" i="1"/>
  <c r="F26609" i="1"/>
  <c r="F26608" i="1"/>
  <c r="F26604" i="1"/>
  <c r="F26592" i="1"/>
  <c r="F26589" i="1"/>
  <c r="F26588" i="1"/>
  <c r="F26572" i="1"/>
  <c r="F26538" i="1"/>
  <c r="F26537" i="1"/>
  <c r="F26536" i="1"/>
  <c r="F26501" i="1"/>
  <c r="F26500" i="1"/>
  <c r="F26496" i="1"/>
  <c r="F26476" i="1"/>
  <c r="F26475" i="1"/>
  <c r="F26454" i="1"/>
  <c r="F26434" i="1"/>
  <c r="F26433" i="1"/>
  <c r="F26431" i="1"/>
  <c r="F26429" i="1"/>
  <c r="F26426" i="1"/>
  <c r="F26420" i="1"/>
  <c r="F26417" i="1"/>
  <c r="F26415" i="1"/>
  <c r="F26412" i="1"/>
  <c r="F26411" i="1"/>
  <c r="F26410" i="1"/>
  <c r="F26405" i="1"/>
  <c r="F26398" i="1"/>
  <c r="F26395" i="1"/>
  <c r="F26309" i="1"/>
  <c r="F26305" i="1"/>
  <c r="F26304" i="1"/>
  <c r="F26303" i="1"/>
  <c r="F26302" i="1"/>
  <c r="F26301" i="1"/>
  <c r="F26300" i="1"/>
  <c r="F26298" i="1"/>
  <c r="F26297" i="1"/>
  <c r="F26296" i="1"/>
  <c r="F26294" i="1"/>
  <c r="F26293" i="1"/>
  <c r="F26291" i="1"/>
  <c r="F26287" i="1"/>
  <c r="F26286" i="1"/>
  <c r="F26285" i="1"/>
  <c r="F26283" i="1"/>
  <c r="F26281" i="1"/>
  <c r="F26278" i="1"/>
  <c r="F26277" i="1"/>
  <c r="F26276" i="1"/>
  <c r="F26272" i="1"/>
  <c r="F26270" i="1"/>
  <c r="F26269" i="1"/>
  <c r="F26268" i="1"/>
  <c r="F26266" i="1"/>
  <c r="F26265" i="1"/>
  <c r="F26264" i="1"/>
  <c r="F26263" i="1"/>
  <c r="F26262" i="1"/>
  <c r="F26261" i="1"/>
  <c r="F26260" i="1"/>
  <c r="F26258" i="1"/>
  <c r="F26257" i="1"/>
  <c r="F26256" i="1"/>
  <c r="F26255" i="1"/>
  <c r="F26254" i="1"/>
  <c r="F26253" i="1"/>
  <c r="F26252" i="1"/>
  <c r="F26251" i="1"/>
  <c r="F26249" i="1"/>
  <c r="F26248" i="1"/>
  <c r="F26247" i="1"/>
  <c r="F26246" i="1"/>
  <c r="F26245" i="1"/>
  <c r="F26242" i="1"/>
  <c r="F26241" i="1"/>
  <c r="F26228" i="1"/>
  <c r="F26224" i="1"/>
  <c r="F26222" i="1"/>
  <c r="F26221" i="1"/>
  <c r="F26220" i="1"/>
  <c r="F26219" i="1"/>
  <c r="F26218" i="1"/>
  <c r="F26217" i="1"/>
  <c r="F26215" i="1"/>
  <c r="F26204" i="1"/>
  <c r="F26120" i="1"/>
  <c r="F26113" i="1"/>
  <c r="F26112" i="1"/>
  <c r="F26109" i="1"/>
  <c r="F26107" i="1"/>
  <c r="F26105" i="1"/>
  <c r="F26104" i="1"/>
  <c r="F26097" i="1"/>
  <c r="F26096" i="1"/>
  <c r="F26074" i="1"/>
  <c r="F26073" i="1"/>
  <c r="F26071" i="1"/>
  <c r="F26070" i="1"/>
  <c r="F26068" i="1"/>
  <c r="F26067" i="1"/>
  <c r="F26065" i="1"/>
  <c r="F26027" i="1"/>
  <c r="F25984" i="1"/>
  <c r="F25979" i="1"/>
  <c r="F25976" i="1"/>
  <c r="F25968" i="1"/>
  <c r="F25965" i="1"/>
  <c r="F25962" i="1"/>
  <c r="F25955" i="1"/>
  <c r="F25954" i="1"/>
  <c r="F25949" i="1"/>
  <c r="F25947" i="1"/>
  <c r="F25944" i="1"/>
  <c r="F25939" i="1"/>
  <c r="F25920" i="1"/>
  <c r="F25910" i="1"/>
  <c r="F25863" i="1"/>
  <c r="F25861" i="1"/>
  <c r="F25857" i="1"/>
  <c r="F25800" i="1"/>
  <c r="F25709" i="1"/>
  <c r="F25708" i="1"/>
  <c r="F25707" i="1"/>
  <c r="F25706" i="1"/>
  <c r="F25705" i="1"/>
  <c r="F25678" i="1"/>
  <c r="F25658" i="1"/>
  <c r="F25657" i="1"/>
  <c r="F25641" i="1"/>
  <c r="F25640" i="1"/>
  <c r="F25628" i="1"/>
  <c r="F25616" i="1"/>
  <c r="F23539" i="1"/>
  <c r="F23521" i="1"/>
  <c r="F23518" i="1"/>
  <c r="F23515" i="1"/>
  <c r="F23514" i="1"/>
  <c r="F23513" i="1"/>
  <c r="F23512" i="1"/>
  <c r="F23511" i="1"/>
  <c r="F23507" i="1"/>
  <c r="F23486" i="1"/>
  <c r="F23485" i="1"/>
  <c r="F23484" i="1"/>
  <c r="F23367" i="1"/>
  <c r="F23355" i="1"/>
  <c r="F23354" i="1"/>
  <c r="F23353" i="1"/>
  <c r="F23286" i="1"/>
  <c r="F23280" i="1"/>
  <c r="F23279" i="1"/>
  <c r="F23164" i="1"/>
  <c r="F23159" i="1"/>
  <c r="F23132" i="1"/>
  <c r="F22934" i="1"/>
  <c r="F22930" i="1"/>
  <c r="F22928" i="1"/>
  <c r="F22865" i="1"/>
  <c r="F22849" i="1"/>
  <c r="F22758" i="1"/>
  <c r="F22722" i="1"/>
  <c r="F22600" i="1"/>
  <c r="F22538" i="1"/>
  <c r="F22449" i="1"/>
  <c r="F22375" i="1"/>
  <c r="F22212" i="1"/>
  <c r="F22052" i="1"/>
  <c r="F22051" i="1"/>
  <c r="F22047" i="1"/>
  <c r="F22043" i="1"/>
  <c r="F22039" i="1"/>
  <c r="F22036" i="1"/>
  <c r="F22025" i="1"/>
  <c r="F21902" i="1"/>
  <c r="F21745" i="1"/>
  <c r="F21743" i="1"/>
  <c r="F21526" i="1"/>
  <c r="F21505" i="1"/>
  <c r="F21473" i="1"/>
  <c r="F21454" i="1"/>
  <c r="F21386" i="1"/>
  <c r="F21359" i="1"/>
  <c r="F21356" i="1"/>
  <c r="F21195" i="1"/>
  <c r="F21192" i="1"/>
  <c r="F21188" i="1"/>
  <c r="F21187" i="1"/>
  <c r="F21177" i="1"/>
  <c r="F21175" i="1"/>
  <c r="F21167" i="1"/>
  <c r="F21152" i="1"/>
  <c r="F21150" i="1"/>
  <c r="F21117" i="1"/>
  <c r="F21114" i="1"/>
  <c r="F21092" i="1"/>
  <c r="F21086" i="1"/>
  <c r="F21084" i="1"/>
  <c r="F21071" i="1"/>
  <c r="F21033" i="1"/>
  <c r="F20882" i="1"/>
  <c r="F20826" i="1"/>
  <c r="F20761" i="1"/>
  <c r="F20759" i="1"/>
  <c r="F20724" i="1"/>
  <c r="F20704" i="1"/>
  <c r="F20702" i="1"/>
  <c r="F20664" i="1"/>
  <c r="F20663" i="1"/>
  <c r="F20493" i="1"/>
  <c r="F20474" i="1"/>
  <c r="F20312" i="1"/>
  <c r="F19993" i="1"/>
  <c r="F19992" i="1"/>
  <c r="F19881" i="1"/>
  <c r="F19820" i="1"/>
  <c r="F19805" i="1"/>
  <c r="F19644" i="1"/>
  <c r="F19634" i="1"/>
  <c r="F19601" i="1"/>
  <c r="F19599" i="1"/>
  <c r="F19597" i="1"/>
  <c r="F19563" i="1"/>
  <c r="F19518" i="1"/>
  <c r="F19473" i="1"/>
  <c r="F19398" i="1"/>
  <c r="F19396" i="1"/>
  <c r="F19395" i="1"/>
  <c r="F19392" i="1"/>
  <c r="F19390" i="1"/>
  <c r="F19384" i="1"/>
  <c r="F19380" i="1"/>
  <c r="F19360" i="1"/>
  <c r="F19349" i="1"/>
  <c r="F19327" i="1"/>
  <c r="F19229" i="1"/>
  <c r="F19197" i="1"/>
  <c r="F19138" i="1"/>
  <c r="F19130" i="1"/>
  <c r="F19129" i="1"/>
  <c r="F19080" i="1"/>
  <c r="F18913" i="1"/>
  <c r="F18747" i="1"/>
  <c r="F18742" i="1"/>
  <c r="F18737" i="1"/>
  <c r="F18637" i="1"/>
  <c r="F18165" i="1"/>
  <c r="F18032" i="1"/>
  <c r="F17975" i="1"/>
  <c r="F17972" i="1"/>
  <c r="F17935" i="1"/>
  <c r="F17934" i="1"/>
  <c r="F17815" i="1"/>
  <c r="F17814" i="1"/>
  <c r="F17427" i="1"/>
  <c r="F17383" i="1"/>
  <c r="F17351" i="1"/>
  <c r="F17036" i="1"/>
  <c r="F17033" i="1"/>
  <c r="F17011" i="1"/>
  <c r="F17009" i="1"/>
  <c r="F17007" i="1"/>
  <c r="F17005" i="1"/>
  <c r="F17004" i="1"/>
  <c r="F16999" i="1"/>
  <c r="F16995" i="1"/>
  <c r="F16994" i="1"/>
  <c r="F16990" i="1"/>
  <c r="F16987" i="1"/>
  <c r="F16985" i="1"/>
  <c r="F16984" i="1"/>
  <c r="F16982" i="1"/>
  <c r="F16948" i="1"/>
  <c r="F16946" i="1"/>
  <c r="F16526" i="1"/>
  <c r="F16411" i="1"/>
  <c r="F16366" i="1"/>
  <c r="F16360" i="1"/>
  <c r="F16237" i="1"/>
  <c r="F16151" i="1"/>
  <c r="F16144" i="1"/>
  <c r="F16136" i="1"/>
  <c r="F16081" i="1"/>
  <c r="F16075" i="1"/>
  <c r="F15988" i="1"/>
  <c r="F15875" i="1"/>
  <c r="F15873" i="1"/>
  <c r="F15871" i="1"/>
  <c r="F15869" i="1"/>
  <c r="F15867" i="1"/>
  <c r="F15762" i="1"/>
  <c r="F15683" i="1"/>
  <c r="F15679" i="1"/>
  <c r="F15627" i="1"/>
  <c r="F15602" i="1"/>
  <c r="F15504" i="1"/>
  <c r="F15440" i="1"/>
  <c r="F15434" i="1"/>
  <c r="F15435" i="1"/>
  <c r="F15430" i="1"/>
  <c r="F15429" i="1"/>
  <c r="F15410" i="1"/>
  <c r="F15395" i="1"/>
  <c r="F15347" i="1"/>
  <c r="F15233" i="1"/>
  <c r="F15228" i="1"/>
  <c r="F15223" i="1"/>
  <c r="F15221" i="1"/>
  <c r="F15217" i="1"/>
  <c r="F15207" i="1"/>
  <c r="F15204" i="1"/>
  <c r="F15203" i="1"/>
  <c r="F15198" i="1"/>
  <c r="F15176" i="1"/>
  <c r="F15174" i="1"/>
  <c r="F15171" i="1"/>
  <c r="F15170" i="1"/>
  <c r="F15162" i="1"/>
  <c r="F15145" i="1"/>
  <c r="F15136" i="1"/>
  <c r="F15099" i="1"/>
  <c r="F15096" i="1"/>
  <c r="F15092" i="1"/>
  <c r="F15009" i="1"/>
  <c r="F15007" i="1"/>
  <c r="F14952" i="1"/>
  <c r="F14950" i="1"/>
  <c r="F14948" i="1"/>
  <c r="F14944" i="1"/>
  <c r="F14928" i="1"/>
  <c r="F14918" i="1"/>
  <c r="F14915" i="1"/>
  <c r="F14913" i="1"/>
  <c r="F14842" i="1"/>
  <c r="F14840" i="1"/>
  <c r="F14838" i="1"/>
  <c r="F14834" i="1"/>
  <c r="F14828" i="1"/>
  <c r="F14824" i="1"/>
  <c r="F14785" i="1"/>
  <c r="F14770" i="1"/>
  <c r="F14767" i="1"/>
  <c r="F14757" i="1"/>
  <c r="F14753" i="1"/>
  <c r="F14734" i="1"/>
  <c r="F14702" i="1"/>
  <c r="F14697" i="1"/>
  <c r="F14648" i="1"/>
  <c r="F14620" i="1"/>
  <c r="F14576" i="1"/>
  <c r="F14564" i="1"/>
  <c r="F14434" i="1"/>
  <c r="F14414" i="1"/>
  <c r="F14405" i="1"/>
  <c r="F14365" i="1"/>
  <c r="F14361" i="1"/>
  <c r="F14350" i="1"/>
  <c r="F14331" i="1"/>
  <c r="F14330" i="1"/>
  <c r="F14322" i="1"/>
  <c r="F14286" i="1"/>
  <c r="F14284" i="1"/>
  <c r="F14279" i="1"/>
  <c r="F14277" i="1"/>
  <c r="F14242" i="1"/>
  <c r="F14241" i="1"/>
  <c r="F14239" i="1"/>
  <c r="F14237" i="1"/>
  <c r="F14235" i="1"/>
  <c r="F14233" i="1"/>
  <c r="F14227" i="1"/>
  <c r="F14226" i="1"/>
  <c r="F14219" i="1"/>
  <c r="F14217" i="1"/>
  <c r="F14215" i="1"/>
  <c r="F14213" i="1"/>
  <c r="F14209" i="1"/>
  <c r="F14206" i="1"/>
  <c r="F14204" i="1"/>
  <c r="F14166" i="1"/>
  <c r="F14164" i="1"/>
  <c r="F14162" i="1"/>
  <c r="F14137" i="1"/>
  <c r="F14109" i="1"/>
  <c r="F14032" i="1"/>
  <c r="F14031" i="1"/>
  <c r="F14030" i="1"/>
  <c r="F14018" i="1"/>
  <c r="F13918" i="1"/>
  <c r="F13916" i="1"/>
  <c r="F13914" i="1"/>
  <c r="F13907" i="1"/>
  <c r="F13906" i="1"/>
  <c r="F13878" i="1"/>
  <c r="F13876" i="1"/>
  <c r="F13871" i="1"/>
  <c r="F13862" i="1"/>
  <c r="F13852" i="1"/>
  <c r="F13800" i="1"/>
  <c r="F13723" i="1"/>
  <c r="F13704" i="1"/>
  <c r="F13681" i="1"/>
  <c r="F13679" i="1"/>
  <c r="F13675" i="1"/>
  <c r="F13673" i="1"/>
  <c r="F13667" i="1"/>
  <c r="F13664" i="1"/>
  <c r="F13661" i="1"/>
  <c r="F13631" i="1"/>
  <c r="F13602" i="1"/>
  <c r="F13561" i="1"/>
  <c r="F13551" i="1"/>
  <c r="F13541" i="1"/>
  <c r="F13513" i="1"/>
  <c r="F13512" i="1"/>
  <c r="F13507" i="1"/>
  <c r="F13505" i="1"/>
  <c r="F13421" i="1"/>
  <c r="F13416" i="1"/>
  <c r="F13399" i="1"/>
  <c r="F12941" i="1"/>
  <c r="F12926" i="1"/>
  <c r="F12908" i="1"/>
  <c r="F12858" i="1"/>
  <c r="F12849" i="1"/>
  <c r="F12847" i="1"/>
  <c r="F12512" i="1"/>
  <c r="F12319" i="1"/>
  <c r="F12270" i="1"/>
  <c r="F12254" i="1"/>
  <c r="F12168" i="1"/>
  <c r="F12161" i="1"/>
  <c r="F12091" i="1"/>
  <c r="F12082" i="1"/>
  <c r="F12081" i="1"/>
  <c r="F12080" i="1"/>
  <c r="F12079" i="1"/>
  <c r="F12078" i="1"/>
  <c r="F12077" i="1"/>
  <c r="F11978" i="1"/>
  <c r="F11976" i="1"/>
  <c r="F11974" i="1"/>
  <c r="F11971" i="1"/>
  <c r="F11964" i="1"/>
  <c r="F11961" i="1"/>
  <c r="F11959" i="1"/>
  <c r="F11957" i="1"/>
  <c r="F11952" i="1"/>
  <c r="F11950" i="1"/>
  <c r="F11947" i="1"/>
  <c r="F11943" i="1"/>
  <c r="F11940" i="1"/>
  <c r="F11936" i="1"/>
  <c r="F11934" i="1"/>
  <c r="F11932" i="1"/>
  <c r="F11930" i="1"/>
  <c r="F11926" i="1"/>
  <c r="F11917" i="1"/>
  <c r="F11746" i="1"/>
  <c r="F11743" i="1"/>
  <c r="F11696" i="1"/>
  <c r="F11670" i="1"/>
  <c r="F11508" i="1"/>
  <c r="F11440" i="1"/>
  <c r="F11407" i="1"/>
  <c r="F11348" i="1"/>
  <c r="F11349" i="1"/>
  <c r="F11347" i="1"/>
  <c r="F11346" i="1"/>
  <c r="F11345" i="1"/>
  <c r="F11344" i="1"/>
  <c r="F11343" i="1"/>
  <c r="F11342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0" i="1"/>
  <c r="F11299" i="1"/>
  <c r="F11298" i="1"/>
  <c r="F11297" i="1"/>
  <c r="F11296" i="1"/>
  <c r="F11295" i="1"/>
  <c r="F11294" i="1"/>
  <c r="F11293" i="1"/>
  <c r="F11292" i="1"/>
  <c r="F11291" i="1"/>
  <c r="F9466" i="1"/>
  <c r="F11290" i="1"/>
  <c r="F11289" i="1"/>
  <c r="F11287" i="1"/>
  <c r="F11286" i="1"/>
  <c r="F11285" i="1"/>
  <c r="F11284" i="1"/>
  <c r="F11283" i="1"/>
  <c r="F11282" i="1"/>
  <c r="F11281" i="1"/>
  <c r="F11279" i="1"/>
  <c r="F11158" i="1"/>
  <c r="F10726" i="1"/>
  <c r="F10715" i="1"/>
  <c r="F10709" i="1"/>
  <c r="F10668" i="1"/>
  <c r="F10666" i="1"/>
  <c r="F10660" i="1"/>
  <c r="F9846" i="1"/>
  <c r="F9831" i="1"/>
  <c r="F9810" i="1"/>
  <c r="F9809" i="1"/>
  <c r="F9806" i="1"/>
  <c r="F9786" i="1"/>
  <c r="F9784" i="1"/>
  <c r="F9782" i="1"/>
  <c r="F9771" i="1"/>
  <c r="F9762" i="1"/>
  <c r="F9760" i="1"/>
  <c r="F9759" i="1"/>
  <c r="F9757" i="1"/>
  <c r="F9752" i="1"/>
  <c r="F9738" i="1"/>
  <c r="F9739" i="1"/>
  <c r="F9725" i="1"/>
  <c r="F9721" i="1"/>
  <c r="F9707" i="1"/>
  <c r="F9706" i="1"/>
  <c r="F9700" i="1"/>
  <c r="F9698" i="1"/>
  <c r="F9697" i="1"/>
  <c r="F9687" i="1"/>
  <c r="F9680" i="1"/>
  <c r="F9673" i="1"/>
  <c r="F9668" i="1"/>
  <c r="F9666" i="1"/>
  <c r="F9665" i="1"/>
  <c r="F9662" i="1"/>
  <c r="F9660" i="1"/>
  <c r="F9659" i="1"/>
  <c r="F9646" i="1"/>
  <c r="F9632" i="1"/>
  <c r="F9589" i="1"/>
  <c r="F9587" i="1"/>
  <c r="F9585" i="1"/>
  <c r="F9584" i="1"/>
  <c r="F9582" i="1"/>
  <c r="F9579" i="1"/>
  <c r="F9578" i="1"/>
  <c r="F9577" i="1"/>
  <c r="F9576" i="1"/>
  <c r="F9575" i="1"/>
  <c r="F9574" i="1"/>
  <c r="F9557" i="1"/>
  <c r="F9542" i="1"/>
  <c r="F9540" i="1"/>
  <c r="F9444" i="1"/>
  <c r="F9440" i="1"/>
  <c r="F9434" i="1"/>
  <c r="F9404" i="1"/>
  <c r="F9405" i="1"/>
  <c r="F9314" i="1"/>
  <c r="F9261" i="1"/>
  <c r="F9257" i="1"/>
  <c r="F9096" i="1"/>
  <c r="F9042" i="1"/>
  <c r="F8877" i="1"/>
  <c r="F8875" i="1"/>
  <c r="F8873" i="1"/>
  <c r="F8851" i="1"/>
  <c r="F8773" i="1"/>
  <c r="F8762" i="1"/>
  <c r="F8760" i="1"/>
  <c r="F8758" i="1"/>
  <c r="F8756" i="1"/>
  <c r="F8753" i="1"/>
  <c r="F8752" i="1"/>
  <c r="F8751" i="1"/>
  <c r="F8718" i="1"/>
  <c r="F8028" i="1"/>
  <c r="F7923" i="1"/>
  <c r="F7908" i="1"/>
  <c r="F7907" i="1"/>
  <c r="F7814" i="1"/>
  <c r="F7765" i="1"/>
  <c r="F7540" i="1"/>
  <c r="F7538" i="1"/>
  <c r="F7523" i="1"/>
  <c r="F7449" i="1"/>
  <c r="F7427" i="1"/>
  <c r="F7295" i="1"/>
  <c r="F7249" i="1"/>
  <c r="F7247" i="1"/>
  <c r="F6592" i="1"/>
  <c r="F6428" i="1"/>
  <c r="F6398" i="1"/>
  <c r="F6193" i="1"/>
  <c r="F6191" i="1"/>
  <c r="F6190" i="1"/>
  <c r="F6093" i="1"/>
  <c r="F5905" i="1"/>
  <c r="F5893" i="1"/>
  <c r="F5850" i="1"/>
  <c r="F5785" i="1"/>
  <c r="F5727" i="1"/>
  <c r="F5723" i="1"/>
  <c r="F5719" i="1"/>
  <c r="F5717" i="1"/>
  <c r="F5715" i="1"/>
  <c r="F5713" i="1"/>
  <c r="F5694" i="1"/>
  <c r="F5591" i="1"/>
  <c r="F5585" i="1"/>
  <c r="F5507" i="1"/>
  <c r="F5479" i="1"/>
  <c r="F5428" i="1"/>
  <c r="F5340" i="1"/>
  <c r="F5291" i="1"/>
  <c r="F5289" i="1"/>
  <c r="F5224" i="1"/>
  <c r="F5022" i="1"/>
  <c r="F4989" i="1"/>
  <c r="F4970" i="1"/>
  <c r="F4951" i="1"/>
  <c r="F4946" i="1"/>
  <c r="F4945" i="1"/>
  <c r="F4942" i="1"/>
  <c r="F4929" i="1"/>
  <c r="F4780" i="1"/>
  <c r="F4719" i="1"/>
  <c r="F4706" i="1"/>
  <c r="F4592" i="1"/>
  <c r="F4559" i="1"/>
  <c r="F4462" i="1"/>
  <c r="F4461" i="1"/>
  <c r="F4460" i="1"/>
  <c r="F4459" i="1"/>
  <c r="F4458" i="1"/>
  <c r="F4457" i="1"/>
  <c r="F4456" i="1"/>
  <c r="F4448" i="1"/>
  <c r="F4442" i="1"/>
  <c r="F4401" i="1"/>
  <c r="F4348" i="1"/>
  <c r="F4349" i="1"/>
  <c r="F4350" i="1"/>
  <c r="F4203" i="1"/>
  <c r="F4193" i="1"/>
  <c r="F4185" i="1"/>
  <c r="F4182" i="1"/>
  <c r="F4086" i="1"/>
  <c r="F4084" i="1"/>
  <c r="F4082" i="1"/>
  <c r="F4080" i="1"/>
  <c r="F3967" i="1"/>
  <c r="F3964" i="1"/>
  <c r="F3962" i="1"/>
  <c r="F3958" i="1"/>
  <c r="F3951" i="1"/>
  <c r="F3950" i="1"/>
  <c r="F3776" i="1"/>
  <c r="F3767" i="1"/>
  <c r="F3766" i="1"/>
  <c r="F3752" i="1"/>
  <c r="F3751" i="1"/>
  <c r="F3750" i="1"/>
  <c r="F3640" i="1"/>
  <c r="F3639" i="1"/>
  <c r="F3633" i="1"/>
  <c r="F3499" i="1"/>
  <c r="F3498" i="1"/>
  <c r="F3497" i="1"/>
  <c r="F3496" i="1"/>
  <c r="F3467" i="1"/>
  <c r="F3416" i="1"/>
  <c r="F3417" i="1"/>
  <c r="F3415" i="1"/>
  <c r="F3394" i="1"/>
  <c r="F3352" i="1"/>
  <c r="F3279" i="1"/>
  <c r="F3277" i="1"/>
  <c r="F3275" i="1"/>
  <c r="F3272" i="1"/>
  <c r="F3245" i="1"/>
  <c r="F3201" i="1"/>
  <c r="F3131" i="1"/>
  <c r="F3087" i="1"/>
  <c r="F3081" i="1"/>
  <c r="F3020" i="1"/>
  <c r="F3000" i="1"/>
  <c r="F3001" i="1"/>
  <c r="F2999" i="1"/>
  <c r="F2996" i="1"/>
  <c r="F2991" i="1"/>
  <c r="F2992" i="1"/>
  <c r="F2939" i="1"/>
  <c r="F2912" i="1"/>
  <c r="F2880" i="1"/>
  <c r="F2858" i="1"/>
  <c r="F2660" i="1"/>
  <c r="F2647" i="1"/>
  <c r="F2619" i="1"/>
  <c r="F2614" i="1"/>
  <c r="F2606" i="1"/>
  <c r="F2605" i="1"/>
  <c r="F2604" i="1"/>
  <c r="F2603" i="1"/>
  <c r="F2508" i="1"/>
  <c r="F2470" i="1"/>
  <c r="F2468" i="1"/>
  <c r="F1950" i="1"/>
  <c r="F1278" i="1"/>
  <c r="F1174" i="1"/>
  <c r="F11844" i="1"/>
  <c r="F4550" i="1"/>
  <c r="F34119" i="1"/>
  <c r="F23928" i="1"/>
  <c r="F8786" i="1"/>
  <c r="F4017" i="1"/>
  <c r="F34901" i="1"/>
  <c r="F34659" i="1"/>
  <c r="F33432" i="1"/>
  <c r="F33010" i="1"/>
  <c r="F32782" i="1"/>
  <c r="F32357" i="1"/>
  <c r="F31317" i="1"/>
  <c r="F31159" i="1"/>
  <c r="F29919" i="1"/>
  <c r="F29849" i="1"/>
  <c r="F29616" i="1"/>
  <c r="F28503" i="1"/>
  <c r="F27976" i="1"/>
  <c r="F27947" i="1"/>
  <c r="F27278" i="1"/>
  <c r="F25060" i="1"/>
  <c r="F25046" i="1"/>
  <c r="F25030" i="1"/>
  <c r="F24878" i="1"/>
  <c r="F24671" i="1"/>
  <c r="F23718" i="1"/>
  <c r="F22640" i="1"/>
  <c r="F22445" i="1"/>
  <c r="F19420" i="1"/>
  <c r="F16979" i="1"/>
  <c r="F15357" i="1"/>
  <c r="F14867" i="1"/>
  <c r="F14671" i="1"/>
  <c r="F14622" i="1"/>
  <c r="F14574" i="1"/>
  <c r="F14061" i="1"/>
  <c r="F14049" i="1"/>
  <c r="F13810" i="1"/>
  <c r="F12591" i="1"/>
  <c r="F12334" i="1"/>
  <c r="F11448" i="1"/>
  <c r="F10589" i="1"/>
  <c r="F9984" i="1"/>
  <c r="F8670" i="1"/>
  <c r="F8149" i="1"/>
  <c r="F7945" i="1"/>
  <c r="F7608" i="1"/>
  <c r="F7568" i="1"/>
  <c r="F7510" i="1"/>
  <c r="F6914" i="1"/>
  <c r="F6366" i="1"/>
  <c r="F6364" i="1"/>
  <c r="F5683" i="1"/>
  <c r="F4296" i="1"/>
  <c r="F3266" i="1"/>
  <c r="F3151" i="1"/>
  <c r="F3147" i="1"/>
  <c r="F2937" i="1"/>
  <c r="F2454" i="1"/>
  <c r="F1072" i="1"/>
  <c r="F34099" i="1"/>
  <c r="F32962" i="1"/>
  <c r="F32744" i="1"/>
  <c r="F32729" i="1"/>
  <c r="F30437" i="1"/>
  <c r="F29967" i="1"/>
  <c r="F29864" i="1"/>
  <c r="F29758" i="1"/>
  <c r="F29026" i="1"/>
  <c r="F28408" i="1"/>
  <c r="F28401" i="1"/>
  <c r="F27942" i="1"/>
  <c r="F26854" i="1"/>
  <c r="F24890" i="1"/>
  <c r="F24313" i="1"/>
  <c r="F24263" i="1"/>
  <c r="F24236" i="1"/>
  <c r="F24079" i="1"/>
  <c r="F24074" i="1"/>
  <c r="F23600" i="1"/>
  <c r="F21400" i="1"/>
  <c r="F17013" i="1"/>
  <c r="F16118" i="1"/>
  <c r="F15930" i="1"/>
  <c r="F15928" i="1"/>
  <c r="F15763" i="1"/>
  <c r="F12809" i="1"/>
  <c r="F5352" i="1"/>
  <c r="F4835" i="1"/>
  <c r="F4518" i="1"/>
  <c r="F1100" i="1"/>
  <c r="F114" i="1"/>
  <c r="F32413" i="1"/>
  <c r="F32320" i="1"/>
  <c r="F28143" i="1"/>
  <c r="F24886" i="1"/>
  <c r="F21702" i="1"/>
  <c r="F18762" i="1"/>
  <c r="F18649" i="1"/>
  <c r="F17547" i="1"/>
  <c r="F11423" i="1"/>
  <c r="F11405" i="1"/>
  <c r="F34160" i="1"/>
  <c r="F33793" i="1"/>
  <c r="F25236" i="1"/>
  <c r="F25235" i="1"/>
  <c r="F25230" i="1"/>
  <c r="F25229" i="1"/>
  <c r="F25228" i="1"/>
  <c r="F24323" i="1"/>
  <c r="F23986" i="1"/>
  <c r="F22286" i="1"/>
  <c r="F15694" i="1"/>
  <c r="F15593" i="1"/>
  <c r="F14480" i="1"/>
  <c r="F14446" i="1"/>
  <c r="F13485" i="1"/>
  <c r="F13148" i="1"/>
  <c r="F11350" i="1"/>
  <c r="F8019" i="1"/>
  <c r="F7989" i="1"/>
  <c r="F7737" i="1"/>
  <c r="F7586" i="1"/>
  <c r="F6733" i="1"/>
  <c r="F6382" i="1"/>
  <c r="F6270" i="1"/>
  <c r="F6030" i="1"/>
  <c r="F5523" i="1"/>
  <c r="F36490" i="1"/>
  <c r="F36035" i="1"/>
  <c r="F34580" i="1"/>
  <c r="F34388" i="1"/>
  <c r="F34385" i="1"/>
  <c r="F34378" i="1"/>
  <c r="F34226" i="1"/>
  <c r="F34174" i="1"/>
  <c r="F34171" i="1"/>
  <c r="F34080" i="1"/>
  <c r="F34023" i="1"/>
  <c r="F33794" i="1"/>
  <c r="F33412" i="1"/>
  <c r="F32927" i="1"/>
  <c r="F32440" i="1"/>
  <c r="F29871" i="1"/>
  <c r="F29743" i="1"/>
  <c r="F29690" i="1"/>
  <c r="F29497" i="1"/>
  <c r="F29153" i="1"/>
  <c r="F28780" i="1"/>
  <c r="F28715" i="1"/>
  <c r="F28714" i="1"/>
  <c r="F28574" i="1"/>
  <c r="F28362" i="1"/>
  <c r="F28361" i="1"/>
  <c r="F27700" i="1"/>
  <c r="F26628" i="1"/>
  <c r="F25502" i="1"/>
  <c r="F24070" i="1"/>
  <c r="F23970" i="1"/>
  <c r="F23860" i="1"/>
  <c r="F23855" i="1"/>
  <c r="F23520" i="1"/>
  <c r="F22942" i="1"/>
  <c r="F22642" i="1"/>
  <c r="F22463" i="1"/>
  <c r="F21518" i="1"/>
  <c r="F21324" i="1"/>
  <c r="F20962" i="1"/>
  <c r="F20559" i="1"/>
  <c r="F20555" i="1"/>
  <c r="F20553" i="1"/>
  <c r="F20541" i="1"/>
  <c r="F20520" i="1"/>
  <c r="F20353" i="1"/>
  <c r="F19555" i="1"/>
  <c r="F19237" i="1"/>
  <c r="F18662" i="1"/>
  <c r="F18647" i="1"/>
  <c r="F18214" i="1"/>
  <c r="F17560" i="1"/>
  <c r="F17306" i="1"/>
  <c r="F17304" i="1"/>
  <c r="F16650" i="1"/>
  <c r="F14747" i="1"/>
  <c r="F9932" i="1"/>
  <c r="F5511" i="1"/>
  <c r="F5009" i="1"/>
  <c r="F4962" i="1"/>
  <c r="F4658" i="1"/>
  <c r="F1328" i="1"/>
  <c r="F1120" i="1"/>
  <c r="F987" i="1"/>
  <c r="F36373" i="1"/>
  <c r="F36093" i="1"/>
  <c r="F36081" i="1"/>
  <c r="F35659" i="1"/>
  <c r="F35487" i="1"/>
  <c r="F35420" i="1"/>
  <c r="F35346" i="1"/>
  <c r="F34302" i="1"/>
  <c r="F33881" i="1"/>
  <c r="F33700" i="1"/>
  <c r="F33582" i="1"/>
  <c r="F33581" i="1"/>
  <c r="F33564" i="1"/>
  <c r="F33007" i="1"/>
  <c r="F32907" i="1"/>
  <c r="F32761" i="1"/>
  <c r="F32687" i="1"/>
  <c r="F32668" i="1"/>
  <c r="F32662" i="1"/>
  <c r="F32657" i="1"/>
  <c r="F32656" i="1"/>
  <c r="F32583" i="1"/>
  <c r="F32559" i="1"/>
  <c r="F32335" i="1"/>
  <c r="F32334" i="1"/>
  <c r="F32252" i="1"/>
  <c r="F32120" i="1"/>
  <c r="F32067" i="1"/>
  <c r="F32051" i="1"/>
  <c r="F32019" i="1"/>
  <c r="F31999" i="1"/>
  <c r="F31617" i="1"/>
  <c r="F31516" i="1"/>
  <c r="F31427" i="1"/>
  <c r="F31216" i="1"/>
  <c r="F30935" i="1"/>
  <c r="F30884" i="1"/>
  <c r="F30880" i="1"/>
  <c r="F30851" i="1"/>
  <c r="F30837" i="1"/>
  <c r="F30762" i="1"/>
  <c r="F30719" i="1"/>
  <c r="F30687" i="1"/>
  <c r="F30686" i="1"/>
  <c r="F30623" i="1"/>
  <c r="F30597" i="1"/>
  <c r="F30279" i="1"/>
  <c r="F30132" i="1"/>
  <c r="F30061" i="1"/>
  <c r="F29951" i="1"/>
  <c r="F29820" i="1"/>
  <c r="F29749" i="1"/>
  <c r="F29694" i="1"/>
  <c r="F29630" i="1"/>
  <c r="F29479" i="1"/>
  <c r="F29478" i="1"/>
  <c r="F29081" i="1"/>
  <c r="F28746" i="1"/>
  <c r="F28739" i="1"/>
  <c r="F28734" i="1"/>
  <c r="F28663" i="1"/>
  <c r="F28342" i="1"/>
  <c r="F28123" i="1"/>
  <c r="F27913" i="1"/>
  <c r="F27906" i="1"/>
  <c r="F27880" i="1"/>
  <c r="F27877" i="1"/>
  <c r="F27705" i="1"/>
  <c r="F27420" i="1"/>
  <c r="F26725" i="1"/>
  <c r="F25672" i="1"/>
  <c r="F25665" i="1"/>
  <c r="F25252" i="1"/>
  <c r="F24838" i="1"/>
  <c r="F24772" i="1"/>
  <c r="F24515" i="1"/>
  <c r="F24483" i="1"/>
  <c r="F24424" i="1"/>
  <c r="F23636" i="1"/>
  <c r="F23597" i="1"/>
  <c r="F23533" i="1"/>
  <c r="F23412" i="1"/>
  <c r="F23391" i="1"/>
  <c r="F23390" i="1"/>
  <c r="F23312" i="1"/>
  <c r="F23282" i="1"/>
  <c r="F23205" i="1"/>
  <c r="F23097" i="1"/>
  <c r="F22730" i="1"/>
  <c r="F22604" i="1"/>
  <c r="F22564" i="1"/>
  <c r="F22431" i="1"/>
  <c r="F21865" i="1"/>
  <c r="F21221" i="1"/>
  <c r="F21002" i="1"/>
  <c r="F20824" i="1"/>
  <c r="F20471" i="1"/>
  <c r="F20023" i="1"/>
  <c r="F19919" i="1"/>
  <c r="F19822" i="1"/>
  <c r="F19810" i="1"/>
  <c r="F19751" i="1"/>
  <c r="F19486" i="1"/>
  <c r="F19282" i="1"/>
  <c r="F19271" i="1"/>
  <c r="F19267" i="1"/>
  <c r="F19245" i="1"/>
  <c r="F19018" i="1"/>
  <c r="F18250" i="1"/>
  <c r="F17675" i="1"/>
  <c r="F17647" i="1"/>
  <c r="F17607" i="1"/>
  <c r="F17528" i="1"/>
  <c r="F17204" i="1"/>
  <c r="F17177" i="1"/>
  <c r="F17175" i="1"/>
  <c r="F17155" i="1"/>
  <c r="F17085" i="1"/>
  <c r="F17083" i="1"/>
  <c r="F16692" i="1"/>
  <c r="F16658" i="1"/>
  <c r="F16460" i="1"/>
  <c r="F16210" i="1"/>
  <c r="F16161" i="1"/>
  <c r="F16063" i="1"/>
  <c r="F15943" i="1"/>
  <c r="F15837" i="1"/>
  <c r="F15114" i="1"/>
  <c r="F14775" i="1"/>
  <c r="F14732" i="1"/>
  <c r="F14598" i="1"/>
  <c r="F14594" i="1"/>
  <c r="F14420" i="1"/>
  <c r="F14146" i="1"/>
  <c r="F13988" i="1"/>
  <c r="F13780" i="1"/>
  <c r="F13766" i="1"/>
  <c r="F13744" i="1"/>
  <c r="F13462" i="1"/>
  <c r="F13460" i="1"/>
  <c r="F13458" i="1"/>
  <c r="F12951" i="1"/>
  <c r="F12859" i="1"/>
  <c r="F12339" i="1"/>
  <c r="F12311" i="1"/>
  <c r="F12256" i="1"/>
  <c r="F12172" i="1"/>
  <c r="F12042" i="1"/>
  <c r="F12039" i="1"/>
  <c r="F11991" i="1"/>
  <c r="F11867" i="1"/>
  <c r="F11555" i="1"/>
  <c r="F11097" i="1"/>
  <c r="F11031" i="1"/>
  <c r="F10994" i="1"/>
  <c r="F10988" i="1"/>
  <c r="F10982" i="1"/>
  <c r="F10976" i="1"/>
  <c r="F10960" i="1"/>
  <c r="F10953" i="1"/>
  <c r="F10942" i="1"/>
  <c r="F10937" i="1"/>
  <c r="F10921" i="1"/>
  <c r="F10920" i="1"/>
  <c r="F10914" i="1"/>
  <c r="F10907" i="1"/>
  <c r="F10905" i="1"/>
  <c r="F10899" i="1"/>
  <c r="F10780" i="1"/>
  <c r="F10696" i="1"/>
  <c r="F9347" i="1"/>
  <c r="F9304" i="1"/>
  <c r="F9249" i="1"/>
  <c r="F9164" i="1"/>
  <c r="F8814" i="1"/>
  <c r="F8463" i="1"/>
  <c r="F8391" i="1"/>
  <c r="F8371" i="1"/>
  <c r="F7307" i="1"/>
  <c r="F7029" i="1"/>
  <c r="F6978" i="1"/>
  <c r="F6976" i="1"/>
  <c r="F6974" i="1"/>
  <c r="F6966" i="1"/>
  <c r="F6767" i="1"/>
  <c r="F6431" i="1"/>
  <c r="F6329" i="1"/>
  <c r="F5262" i="1"/>
  <c r="F5252" i="1"/>
  <c r="F5095" i="1"/>
  <c r="F5046" i="1"/>
  <c r="F5033" i="1"/>
  <c r="F4931" i="1"/>
  <c r="F4587" i="1"/>
  <c r="F4327" i="1"/>
  <c r="F4276" i="1"/>
  <c r="F3420" i="1"/>
  <c r="F3328" i="1"/>
  <c r="F3283" i="1"/>
  <c r="F3220" i="1"/>
  <c r="F3218" i="1"/>
  <c r="F3051" i="1"/>
  <c r="F2950" i="1"/>
  <c r="F2941" i="1"/>
  <c r="F2262" i="1"/>
  <c r="F2105" i="1"/>
  <c r="F1972" i="1"/>
  <c r="F1858" i="1"/>
  <c r="F1834" i="1"/>
  <c r="F1782" i="1"/>
  <c r="F1730" i="1"/>
  <c r="F1672" i="1"/>
  <c r="F1662" i="1"/>
  <c r="F1576" i="1"/>
  <c r="F1532" i="1"/>
  <c r="F1526" i="1"/>
  <c r="F1376" i="1"/>
  <c r="F870" i="1"/>
  <c r="F726" i="1"/>
  <c r="F30622" i="1"/>
  <c r="F19885" i="1"/>
  <c r="F13553" i="1"/>
  <c r="F9726" i="1"/>
  <c r="F28255" i="1"/>
  <c r="F34178" i="1"/>
  <c r="F34075" i="1"/>
  <c r="F34069" i="1"/>
  <c r="F33809" i="1"/>
  <c r="F33472" i="1"/>
  <c r="F33104" i="1"/>
  <c r="F32947" i="1"/>
  <c r="F32788" i="1"/>
  <c r="F32762" i="1"/>
  <c r="F32709" i="1"/>
  <c r="F32615" i="1"/>
  <c r="F31863" i="1"/>
  <c r="F30345" i="1"/>
  <c r="F26413" i="1"/>
  <c r="F25429" i="1"/>
  <c r="F20572" i="1"/>
  <c r="F19650" i="1"/>
  <c r="F17245" i="1"/>
  <c r="F15261" i="1"/>
  <c r="F8086" i="1"/>
  <c r="F36389" i="1"/>
  <c r="F35578" i="1"/>
  <c r="F34773" i="1"/>
  <c r="F33498" i="1"/>
  <c r="F33029" i="1"/>
  <c r="F32852" i="1"/>
  <c r="F29852" i="1"/>
  <c r="F29732" i="1"/>
  <c r="F29027" i="1"/>
  <c r="F24839" i="1"/>
  <c r="F24076" i="1"/>
  <c r="F23737" i="1"/>
  <c r="F23565" i="1"/>
  <c r="F21230" i="1"/>
  <c r="F20794" i="1"/>
  <c r="F20792" i="1"/>
  <c r="F20540" i="1"/>
  <c r="F19469" i="1"/>
  <c r="F19040" i="1"/>
  <c r="F18992" i="1"/>
  <c r="F17910" i="1"/>
  <c r="F15883" i="1"/>
  <c r="F15555" i="1"/>
  <c r="F11105" i="1"/>
  <c r="F35416" i="1"/>
  <c r="F35375" i="1"/>
  <c r="F35300" i="1"/>
  <c r="F35105" i="1"/>
  <c r="F35051" i="1"/>
  <c r="F32416" i="1"/>
  <c r="F32240" i="1"/>
  <c r="F32211" i="1"/>
  <c r="F32142" i="1"/>
  <c r="F31836" i="1"/>
  <c r="F31724" i="1"/>
  <c r="F31247" i="1"/>
  <c r="F31236" i="1"/>
  <c r="F31218" i="1"/>
  <c r="F31206" i="1"/>
  <c r="F30862" i="1"/>
  <c r="F30835" i="1"/>
  <c r="F30770" i="1"/>
  <c r="F30741" i="1"/>
  <c r="F30724" i="1"/>
  <c r="F30720" i="1"/>
  <c r="F30678" i="1"/>
  <c r="F30502" i="1"/>
  <c r="F30499" i="1"/>
  <c r="F29956" i="1"/>
  <c r="F29376" i="1"/>
  <c r="F28617" i="1"/>
  <c r="F27902" i="1"/>
  <c r="F27502" i="1"/>
  <c r="F26526" i="1"/>
  <c r="F26409" i="1"/>
  <c r="F23663" i="1"/>
  <c r="F23660" i="1"/>
  <c r="F23640" i="1"/>
  <c r="F23626" i="1"/>
  <c r="F23615" i="1"/>
  <c r="F23421" i="1"/>
  <c r="F23340" i="1"/>
  <c r="F23284" i="1"/>
  <c r="F23214" i="1"/>
  <c r="F22956" i="1"/>
  <c r="F22916" i="1"/>
  <c r="F22748" i="1"/>
  <c r="F22726" i="1"/>
  <c r="F22610" i="1"/>
  <c r="F22528" i="1"/>
  <c r="F22522" i="1"/>
  <c r="F22479" i="1"/>
  <c r="F22018" i="1"/>
  <c r="F20365" i="1"/>
  <c r="F19535" i="1"/>
  <c r="F18839" i="1"/>
  <c r="F18480" i="1"/>
  <c r="F16811" i="1"/>
  <c r="F16032" i="1"/>
  <c r="F15863" i="1"/>
  <c r="F15591" i="1"/>
  <c r="F15308" i="1"/>
  <c r="F15083" i="1"/>
  <c r="F14866" i="1"/>
  <c r="F14761" i="1"/>
  <c r="F13364" i="1"/>
  <c r="F13339" i="1"/>
  <c r="F13332" i="1"/>
  <c r="F13283" i="1"/>
  <c r="F13281" i="1"/>
  <c r="F13272" i="1"/>
  <c r="F13257" i="1"/>
  <c r="F13180" i="1"/>
  <c r="F12873" i="1"/>
  <c r="F12870" i="1"/>
  <c r="F12514" i="1"/>
  <c r="F12450" i="1"/>
  <c r="F12197" i="1"/>
  <c r="F10540" i="1"/>
  <c r="F10512" i="1"/>
  <c r="F10488" i="1"/>
  <c r="F10444" i="1"/>
  <c r="F10351" i="1"/>
  <c r="F10031" i="1"/>
  <c r="F10022" i="1"/>
  <c r="F9811" i="1"/>
  <c r="F9633" i="1"/>
  <c r="F5996" i="1"/>
  <c r="F5979" i="1"/>
  <c r="F5977" i="1"/>
  <c r="F5366" i="1"/>
  <c r="F4766" i="1"/>
  <c r="F4707" i="1"/>
  <c r="F3422" i="1"/>
  <c r="F3368" i="1"/>
  <c r="F3353" i="1"/>
  <c r="F3004" i="1"/>
  <c r="F2951" i="1"/>
  <c r="F2849" i="1"/>
  <c r="F2744" i="1"/>
  <c r="F36296" i="1"/>
  <c r="F35613" i="1"/>
  <c r="F35423" i="1"/>
  <c r="F35415" i="1"/>
  <c r="F35360" i="1"/>
  <c r="F35356" i="1"/>
  <c r="F35347" i="1"/>
  <c r="F35329" i="1"/>
  <c r="F35328" i="1"/>
  <c r="F35321" i="1"/>
  <c r="F35319" i="1"/>
  <c r="F35285" i="1"/>
  <c r="F35283" i="1"/>
  <c r="F35243" i="1"/>
  <c r="F35134" i="1"/>
  <c r="F34479" i="1"/>
  <c r="F34307" i="1"/>
  <c r="F34298" i="1"/>
  <c r="F34297" i="1"/>
  <c r="F34290" i="1"/>
  <c r="F34286" i="1"/>
  <c r="F34285" i="1"/>
  <c r="F34284" i="1"/>
  <c r="F34282" i="1"/>
  <c r="F34173" i="1"/>
  <c r="F34013" i="1"/>
  <c r="F34012" i="1"/>
  <c r="F34011" i="1"/>
  <c r="F34010" i="1"/>
  <c r="F34009" i="1"/>
  <c r="F33745" i="1"/>
  <c r="F33650" i="1"/>
  <c r="F33649" i="1"/>
  <c r="F33648" i="1"/>
  <c r="F33647" i="1"/>
  <c r="F33646" i="1"/>
  <c r="F33645" i="1"/>
  <c r="F33644" i="1"/>
  <c r="F33643" i="1"/>
  <c r="F33519" i="1"/>
  <c r="F33484" i="1"/>
  <c r="F33208" i="1"/>
  <c r="F33152" i="1"/>
  <c r="F33092" i="1"/>
  <c r="F33084" i="1"/>
  <c r="F32901" i="1"/>
  <c r="F32880" i="1"/>
  <c r="F32791" i="1"/>
  <c r="F32776" i="1"/>
  <c r="F32710" i="1"/>
  <c r="F32421" i="1"/>
  <c r="F32167" i="1"/>
  <c r="F31989" i="1"/>
  <c r="F31953" i="1"/>
  <c r="F31566" i="1"/>
  <c r="F31490" i="1"/>
  <c r="F31489" i="1"/>
  <c r="F31488" i="1"/>
  <c r="F31487" i="1"/>
  <c r="F31486" i="1"/>
  <c r="F31485" i="1"/>
  <c r="F31483" i="1"/>
  <c r="F31482" i="1"/>
  <c r="F31481" i="1"/>
  <c r="F31480" i="1"/>
  <c r="F31478" i="1"/>
  <c r="F31473" i="1"/>
  <c r="F31472" i="1"/>
  <c r="F31461" i="1"/>
  <c r="F31460" i="1"/>
  <c r="F31459" i="1"/>
  <c r="F31357" i="1"/>
  <c r="F31356" i="1"/>
  <c r="F31355" i="1"/>
  <c r="F31354" i="1"/>
  <c r="F31353" i="1"/>
  <c r="F31352" i="1"/>
  <c r="F31346" i="1"/>
  <c r="F31242" i="1"/>
  <c r="F31133" i="1"/>
  <c r="F31103" i="1"/>
  <c r="F31101" i="1"/>
  <c r="F31060" i="1"/>
  <c r="F30410" i="1"/>
  <c r="F30393" i="1"/>
  <c r="F30368" i="1"/>
  <c r="F30364" i="1"/>
  <c r="F30363" i="1"/>
  <c r="F30362" i="1"/>
  <c r="F30361" i="1"/>
  <c r="F30321" i="1"/>
  <c r="F30317" i="1"/>
  <c r="F30313" i="1"/>
  <c r="F30310" i="1"/>
  <c r="F30304" i="1"/>
  <c r="F30270" i="1"/>
  <c r="F30269" i="1"/>
  <c r="F30268" i="1"/>
  <c r="F30253" i="1"/>
  <c r="F30232" i="1"/>
  <c r="F30229" i="1"/>
  <c r="F30228" i="1"/>
  <c r="F30216" i="1"/>
  <c r="F30215" i="1"/>
  <c r="F30163" i="1"/>
  <c r="F30117" i="1"/>
  <c r="F30092" i="1"/>
  <c r="F30048" i="1"/>
  <c r="F30047" i="1"/>
  <c r="F29908" i="1"/>
  <c r="F29906" i="1"/>
  <c r="F29905" i="1"/>
  <c r="F29784" i="1"/>
  <c r="F29783" i="1"/>
  <c r="F29781" i="1"/>
  <c r="F29779" i="1"/>
  <c r="F29778" i="1"/>
  <c r="F29777" i="1"/>
  <c r="F29776" i="1"/>
  <c r="F29775" i="1"/>
  <c r="F29773" i="1"/>
  <c r="F29772" i="1"/>
  <c r="F29771" i="1"/>
  <c r="F29770" i="1"/>
  <c r="F29670" i="1"/>
  <c r="F29623" i="1"/>
  <c r="F29617" i="1"/>
  <c r="F29595" i="1"/>
  <c r="F29247" i="1"/>
  <c r="F29222" i="1"/>
  <c r="F29186" i="1"/>
  <c r="F29178" i="1"/>
  <c r="F29054" i="1"/>
  <c r="F28986" i="1"/>
  <c r="F28925" i="1"/>
  <c r="F28917" i="1"/>
  <c r="F28916" i="1"/>
  <c r="F28915" i="1"/>
  <c r="F28914" i="1"/>
  <c r="F28913" i="1"/>
  <c r="F28912" i="1"/>
  <c r="F28911" i="1"/>
  <c r="F28910" i="1"/>
  <c r="F28905" i="1"/>
  <c r="F28723" i="1"/>
  <c r="F28611" i="1"/>
  <c r="F28603" i="1"/>
  <c r="F28583" i="1"/>
  <c r="F28582" i="1"/>
  <c r="F28570" i="1"/>
  <c r="F28562" i="1"/>
  <c r="F28558" i="1"/>
  <c r="F28557" i="1"/>
  <c r="F28555" i="1"/>
  <c r="F28554" i="1"/>
  <c r="F28553" i="1"/>
  <c r="F28415" i="1"/>
  <c r="F28411" i="1"/>
  <c r="F28410" i="1"/>
  <c r="F28409" i="1"/>
  <c r="F28407" i="1"/>
  <c r="F28406" i="1"/>
  <c r="F28301" i="1"/>
  <c r="F28267" i="1"/>
  <c r="F28004" i="1"/>
  <c r="F28001" i="1"/>
  <c r="F27768" i="1"/>
  <c r="F27767" i="1"/>
  <c r="F27766" i="1"/>
  <c r="F27765" i="1"/>
  <c r="F27762" i="1"/>
  <c r="F27716" i="1"/>
  <c r="F27697" i="1"/>
  <c r="F27691" i="1"/>
  <c r="F27683" i="1"/>
  <c r="F27681" i="1"/>
  <c r="F27677" i="1"/>
  <c r="F27676" i="1"/>
  <c r="F27655" i="1"/>
  <c r="F27632" i="1"/>
  <c r="F27603" i="1"/>
  <c r="F27597" i="1"/>
  <c r="F27593" i="1"/>
  <c r="F27466" i="1"/>
  <c r="F27463" i="1"/>
  <c r="F27459" i="1"/>
  <c r="F27458" i="1"/>
  <c r="F27457" i="1"/>
  <c r="F27456" i="1"/>
  <c r="F27453" i="1"/>
  <c r="F27386" i="1"/>
  <c r="F27366" i="1"/>
  <c r="F27365" i="1"/>
  <c r="F27363" i="1"/>
  <c r="F27354" i="1"/>
  <c r="F27353" i="1"/>
  <c r="F27341" i="1"/>
  <c r="F27335" i="1"/>
  <c r="F27326" i="1"/>
  <c r="F27211" i="1"/>
  <c r="F27208" i="1"/>
  <c r="F27207" i="1"/>
  <c r="F27205" i="1"/>
  <c r="F27196" i="1"/>
  <c r="F27195" i="1"/>
  <c r="F27190" i="1"/>
  <c r="F27181" i="1"/>
  <c r="F27168" i="1"/>
  <c r="F27150" i="1"/>
  <c r="F27149" i="1"/>
  <c r="F27140" i="1"/>
  <c r="F27139" i="1"/>
  <c r="F27088" i="1"/>
  <c r="F27086" i="1"/>
  <c r="F26969" i="1"/>
  <c r="F26917" i="1"/>
  <c r="F26916" i="1"/>
  <c r="F26915" i="1"/>
  <c r="F26858" i="1"/>
  <c r="F26842" i="1"/>
  <c r="F26827" i="1"/>
  <c r="F26825" i="1"/>
  <c r="F26824" i="1"/>
  <c r="F26823" i="1"/>
  <c r="F26822" i="1"/>
  <c r="F26821" i="1"/>
  <c r="F26820" i="1"/>
  <c r="F26819" i="1"/>
  <c r="F26813" i="1"/>
  <c r="F26810" i="1"/>
  <c r="F26809" i="1"/>
  <c r="F26808" i="1"/>
  <c r="F26807" i="1"/>
  <c r="F26806" i="1"/>
  <c r="F26805" i="1"/>
  <c r="F26804" i="1"/>
  <c r="F26803" i="1"/>
  <c r="F26802" i="1"/>
  <c r="F26788" i="1"/>
  <c r="F26769" i="1"/>
  <c r="F26767" i="1"/>
  <c r="F26765" i="1"/>
  <c r="F26760" i="1"/>
  <c r="F26756" i="1"/>
  <c r="F26755" i="1"/>
  <c r="F26746" i="1"/>
  <c r="F26740" i="1"/>
  <c r="F26722" i="1"/>
  <c r="F26716" i="1"/>
  <c r="F26712" i="1"/>
  <c r="F26709" i="1"/>
  <c r="F26083" i="1"/>
  <c r="F26038" i="1"/>
  <c r="F25798" i="1"/>
  <c r="F25796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6" i="1"/>
  <c r="F25775" i="1"/>
  <c r="F25774" i="1"/>
  <c r="F25773" i="1"/>
  <c r="F25772" i="1"/>
  <c r="F25771" i="1"/>
  <c r="F25766" i="1"/>
  <c r="F25763" i="1"/>
  <c r="F25756" i="1"/>
  <c r="F25755" i="1"/>
  <c r="F25753" i="1"/>
  <c r="F25752" i="1"/>
  <c r="F25748" i="1"/>
  <c r="F25747" i="1"/>
  <c r="F25746" i="1"/>
  <c r="F25745" i="1"/>
  <c r="F25744" i="1"/>
  <c r="F25743" i="1"/>
  <c r="F25742" i="1"/>
  <c r="F25740" i="1"/>
  <c r="F25739" i="1"/>
  <c r="F25735" i="1"/>
  <c r="F25734" i="1"/>
  <c r="F25731" i="1"/>
  <c r="F25730" i="1"/>
  <c r="F25723" i="1"/>
  <c r="F25722" i="1"/>
  <c r="F25718" i="1"/>
  <c r="F25717" i="1"/>
  <c r="F25716" i="1"/>
  <c r="F25715" i="1"/>
  <c r="F25712" i="1"/>
  <c r="F25633" i="1"/>
  <c r="F25603" i="1"/>
  <c r="F25413" i="1"/>
  <c r="F25412" i="1"/>
  <c r="F25394" i="1"/>
  <c r="F25393" i="1"/>
  <c r="F25171" i="1"/>
  <c r="F24993" i="1"/>
  <c r="F23918" i="1"/>
  <c r="F23910" i="1"/>
  <c r="F23831" i="1"/>
  <c r="F23826" i="1"/>
  <c r="F23824" i="1"/>
  <c r="F23566" i="1"/>
  <c r="F23491" i="1"/>
  <c r="F23489" i="1"/>
  <c r="F23488" i="1"/>
  <c r="F23487" i="1"/>
  <c r="F23392" i="1"/>
  <c r="F23387" i="1"/>
  <c r="F23385" i="1"/>
  <c r="F23384" i="1"/>
  <c r="F23376" i="1"/>
  <c r="F23375" i="1"/>
  <c r="F23371" i="1"/>
  <c r="F23370" i="1"/>
  <c r="F23369" i="1"/>
  <c r="F23209" i="1"/>
  <c r="F23171" i="1"/>
  <c r="F23153" i="1"/>
  <c r="F23152" i="1"/>
  <c r="F23108" i="1"/>
  <c r="F23069" i="1"/>
  <c r="F23063" i="1"/>
  <c r="F23062" i="1"/>
  <c r="F23061" i="1"/>
  <c r="F23060" i="1"/>
  <c r="F23058" i="1"/>
  <c r="F23057" i="1"/>
  <c r="F23056" i="1"/>
  <c r="F23055" i="1"/>
  <c r="F23054" i="1"/>
  <c r="F23053" i="1"/>
  <c r="F23052" i="1"/>
  <c r="F23051" i="1"/>
  <c r="F23027" i="1"/>
  <c r="F23009" i="1"/>
  <c r="F22987" i="1"/>
  <c r="F22914" i="1"/>
  <c r="F22885" i="1"/>
  <c r="F22881" i="1"/>
  <c r="F22879" i="1"/>
  <c r="F22875" i="1"/>
  <c r="F22869" i="1"/>
  <c r="F22867" i="1"/>
  <c r="F22863" i="1"/>
  <c r="F22859" i="1"/>
  <c r="F22855" i="1"/>
  <c r="F22853" i="1"/>
  <c r="F22851" i="1"/>
  <c r="F22847" i="1"/>
  <c r="F22843" i="1"/>
  <c r="F22841" i="1"/>
  <c r="F22839" i="1"/>
  <c r="F22837" i="1"/>
  <c r="F22812" i="1"/>
  <c r="F22810" i="1"/>
  <c r="F22780" i="1"/>
  <c r="F22778" i="1"/>
  <c r="F22586" i="1"/>
  <c r="F22582" i="1"/>
  <c r="F22580" i="1"/>
  <c r="F22578" i="1"/>
  <c r="F22568" i="1"/>
  <c r="F22477" i="1"/>
  <c r="F22455" i="1"/>
  <c r="F22421" i="1"/>
  <c r="F22386" i="1"/>
  <c r="F22357" i="1"/>
  <c r="F22266" i="1"/>
  <c r="F22264" i="1"/>
  <c r="F22262" i="1"/>
  <c r="F22260" i="1"/>
  <c r="F22254" i="1"/>
  <c r="F22255" i="1"/>
  <c r="F22256" i="1"/>
  <c r="F22248" i="1"/>
  <c r="F22217" i="1"/>
  <c r="F22063" i="1"/>
  <c r="F22061" i="1"/>
  <c r="F22015" i="1"/>
  <c r="F21716" i="1"/>
  <c r="F21236" i="1"/>
  <c r="F20413" i="1"/>
  <c r="F20401" i="1"/>
  <c r="F20295" i="1"/>
  <c r="F20293" i="1"/>
  <c r="F20271" i="1"/>
  <c r="F20074" i="1"/>
  <c r="F19873" i="1"/>
  <c r="F19871" i="1"/>
  <c r="F19863" i="1"/>
  <c r="F19864" i="1"/>
  <c r="F19861" i="1"/>
  <c r="F19830" i="1"/>
  <c r="F19770" i="1"/>
  <c r="F19703" i="1"/>
  <c r="F19691" i="1"/>
  <c r="F18911" i="1"/>
  <c r="F18896" i="1"/>
  <c r="F18865" i="1"/>
  <c r="F18405" i="1"/>
  <c r="F18242" i="1"/>
  <c r="F18240" i="1"/>
  <c r="F18227" i="1"/>
  <c r="F18225" i="1"/>
  <c r="F18218" i="1"/>
  <c r="F18211" i="1"/>
  <c r="F18200" i="1"/>
  <c r="F18194" i="1"/>
  <c r="F18190" i="1"/>
  <c r="F18188" i="1"/>
  <c r="F18186" i="1"/>
  <c r="F18183" i="1"/>
  <c r="F18181" i="1"/>
  <c r="F18179" i="1"/>
  <c r="F18173" i="1"/>
  <c r="F18161" i="1"/>
  <c r="F18157" i="1"/>
  <c r="F18155" i="1"/>
  <c r="F17854" i="1"/>
  <c r="F17848" i="1"/>
  <c r="F17821" i="1"/>
  <c r="F17522" i="1"/>
  <c r="F17408" i="1"/>
  <c r="F17406" i="1"/>
  <c r="F17402" i="1"/>
  <c r="F17403" i="1"/>
  <c r="F17400" i="1"/>
  <c r="F16195" i="1"/>
  <c r="F16116" i="1"/>
  <c r="F15286" i="1"/>
  <c r="F15284" i="1"/>
  <c r="F14755" i="1"/>
  <c r="F14303" i="1"/>
  <c r="F14301" i="1"/>
  <c r="F14299" i="1"/>
  <c r="F14297" i="1"/>
  <c r="F14295" i="1"/>
  <c r="F14293" i="1"/>
  <c r="F14291" i="1"/>
  <c r="F14289" i="1"/>
  <c r="F14287" i="1"/>
  <c r="F14129" i="1"/>
  <c r="F13588" i="1"/>
  <c r="F13360" i="1"/>
  <c r="F13241" i="1"/>
  <c r="F13211" i="1"/>
  <c r="F13188" i="1"/>
  <c r="F13164" i="1"/>
  <c r="F13117" i="1"/>
  <c r="F13092" i="1"/>
  <c r="F13090" i="1"/>
  <c r="F13038" i="1"/>
  <c r="F13010" i="1"/>
  <c r="F13008" i="1"/>
  <c r="F13006" i="1"/>
  <c r="F13000" i="1"/>
  <c r="F12998" i="1"/>
  <c r="F12996" i="1"/>
  <c r="F12994" i="1"/>
  <c r="F12992" i="1"/>
  <c r="F12990" i="1"/>
  <c r="F12988" i="1"/>
  <c r="F12986" i="1"/>
  <c r="F12984" i="1"/>
  <c r="F12982" i="1"/>
  <c r="F12980" i="1"/>
  <c r="F12978" i="1"/>
  <c r="F12976" i="1"/>
  <c r="F12943" i="1"/>
  <c r="F12884" i="1"/>
  <c r="F12845" i="1"/>
  <c r="F12823" i="1"/>
  <c r="F12185" i="1"/>
  <c r="F11999" i="1"/>
  <c r="F11850" i="1"/>
  <c r="F11454" i="1"/>
  <c r="F10759" i="1"/>
  <c r="F10002" i="1"/>
  <c r="F9904" i="1"/>
  <c r="F9890" i="1"/>
  <c r="F9526" i="1"/>
  <c r="F9187" i="1"/>
  <c r="F8606" i="1"/>
  <c r="F8584" i="1"/>
  <c r="F8516" i="1"/>
  <c r="F8514" i="1"/>
  <c r="F8512" i="1"/>
  <c r="F8510" i="1"/>
  <c r="F8508" i="1"/>
  <c r="F8506" i="1"/>
  <c r="F8504" i="1"/>
  <c r="F8502" i="1"/>
  <c r="F8500" i="1"/>
  <c r="F8498" i="1"/>
  <c r="F8494" i="1"/>
  <c r="F8491" i="1"/>
  <c r="F8489" i="1"/>
  <c r="F8487" i="1"/>
  <c r="F8485" i="1"/>
  <c r="F8483" i="1"/>
  <c r="F8481" i="1"/>
  <c r="F8467" i="1"/>
  <c r="F8409" i="1"/>
  <c r="F8407" i="1"/>
  <c r="F8405" i="1"/>
  <c r="F8403" i="1"/>
  <c r="F8346" i="1"/>
  <c r="F8344" i="1"/>
  <c r="F8342" i="1"/>
  <c r="F8328" i="1"/>
  <c r="F8324" i="1"/>
  <c r="F8320" i="1"/>
  <c r="F8273" i="1"/>
  <c r="F8271" i="1"/>
  <c r="F8237" i="1"/>
  <c r="F8229" i="1"/>
  <c r="F8227" i="1"/>
  <c r="F8223" i="1"/>
  <c r="F8224" i="1"/>
  <c r="F8221" i="1"/>
  <c r="F8219" i="1"/>
  <c r="F8183" i="1"/>
  <c r="F8161" i="1"/>
  <c r="F8159" i="1"/>
  <c r="F8157" i="1"/>
  <c r="F8151" i="1"/>
  <c r="F8143" i="1"/>
  <c r="F7782" i="1"/>
  <c r="F7731" i="1"/>
  <c r="F7350" i="1"/>
  <c r="F7348" i="1"/>
  <c r="F7342" i="1"/>
  <c r="F7343" i="1"/>
  <c r="F7336" i="1"/>
  <c r="F6673" i="1"/>
  <c r="F6671" i="1"/>
  <c r="F6669" i="1"/>
  <c r="F6667" i="1"/>
  <c r="F6665" i="1"/>
  <c r="F6655" i="1"/>
  <c r="F6653" i="1"/>
  <c r="F6650" i="1"/>
  <c r="F6481" i="1"/>
  <c r="F6394" i="1"/>
  <c r="F6395" i="1"/>
  <c r="F6116" i="1"/>
  <c r="F6105" i="1"/>
  <c r="F6101" i="1"/>
  <c r="F6099" i="1"/>
  <c r="F6097" i="1"/>
  <c r="F6085" i="1"/>
  <c r="F6081" i="1"/>
  <c r="F6079" i="1"/>
  <c r="F6077" i="1"/>
  <c r="F5803" i="1"/>
  <c r="F5795" i="1"/>
  <c r="F5789" i="1"/>
  <c r="F5787" i="1"/>
  <c r="F5779" i="1"/>
  <c r="F5753" i="1"/>
  <c r="F5733" i="1"/>
  <c r="F5356" i="1"/>
  <c r="F5026" i="1"/>
  <c r="F5024" i="1"/>
  <c r="F5020" i="1"/>
  <c r="F5018" i="1"/>
  <c r="F5016" i="1"/>
  <c r="F4998" i="1"/>
  <c r="F4996" i="1"/>
  <c r="F4654" i="1"/>
  <c r="F4655" i="1"/>
  <c r="F4644" i="1"/>
  <c r="F4642" i="1"/>
  <c r="F4640" i="1"/>
  <c r="F4638" i="1"/>
  <c r="F4111" i="1"/>
  <c r="F3840" i="1"/>
  <c r="F2364" i="1"/>
  <c r="F2340" i="1"/>
  <c r="F2222" i="1"/>
  <c r="F2218" i="1"/>
  <c r="F2209" i="1"/>
  <c r="F2201" i="1"/>
  <c r="F2026" i="1"/>
  <c r="F2022" i="1"/>
  <c r="F2020" i="1"/>
  <c r="F2008" i="1"/>
  <c r="F2002" i="1"/>
  <c r="F1938" i="1"/>
  <c r="F1936" i="1"/>
  <c r="F1934" i="1"/>
  <c r="F1930" i="1"/>
  <c r="F1928" i="1"/>
  <c r="F1347" i="1"/>
  <c r="F1345" i="1"/>
  <c r="F1343" i="1"/>
  <c r="F1341" i="1"/>
  <c r="F1337" i="1"/>
  <c r="F1335" i="1"/>
  <c r="F1333" i="1"/>
  <c r="F1318" i="1"/>
  <c r="F1314" i="1"/>
  <c r="F1310" i="1"/>
  <c r="F1311" i="1"/>
  <c r="F1308" i="1"/>
  <c r="F1306" i="1"/>
  <c r="F1304" i="1"/>
  <c r="F1272" i="1"/>
  <c r="F1270" i="1"/>
  <c r="F1268" i="1"/>
  <c r="F1266" i="1"/>
  <c r="F1264" i="1"/>
  <c r="F1262" i="1"/>
  <c r="F1260" i="1"/>
  <c r="F1259" i="1"/>
  <c r="F1257" i="1"/>
  <c r="F1254" i="1"/>
  <c r="F1252" i="1"/>
  <c r="F1250" i="1"/>
  <c r="F1248" i="1"/>
  <c r="F1246" i="1"/>
  <c r="F1244" i="1"/>
  <c r="F1242" i="1"/>
  <c r="F1240" i="1"/>
  <c r="F1238" i="1"/>
  <c r="F1236" i="1"/>
  <c r="F1234" i="1"/>
  <c r="F1232" i="1"/>
  <c r="F1226" i="1"/>
  <c r="F1224" i="1"/>
  <c r="F1222" i="1"/>
  <c r="F1220" i="1"/>
  <c r="F1218" i="1"/>
  <c r="F1216" i="1"/>
  <c r="F1214" i="1"/>
  <c r="F1212" i="1"/>
  <c r="F1210" i="1"/>
  <c r="F1208" i="1"/>
  <c r="F1206" i="1"/>
  <c r="F1204" i="1"/>
  <c r="F1202" i="1"/>
  <c r="F1200" i="1"/>
  <c r="F1198" i="1"/>
  <c r="F1196" i="1"/>
  <c r="F1194" i="1"/>
  <c r="F1192" i="1"/>
  <c r="F1190" i="1"/>
  <c r="F1188" i="1"/>
  <c r="F1186" i="1"/>
  <c r="F1184" i="1"/>
  <c r="F1182" i="1"/>
  <c r="F1178" i="1"/>
  <c r="F1179" i="1"/>
  <c r="F1176" i="1"/>
  <c r="F1170" i="1"/>
  <c r="F1168" i="1"/>
  <c r="F1166" i="1"/>
  <c r="F1164" i="1"/>
  <c r="F1162" i="1"/>
  <c r="F1152" i="1"/>
  <c r="F1150" i="1"/>
  <c r="F1148" i="1"/>
  <c r="F1104" i="1"/>
  <c r="F1046" i="1"/>
  <c r="F1042" i="1"/>
  <c r="F1040" i="1"/>
  <c r="F1036" i="1"/>
  <c r="F1024" i="1"/>
  <c r="F1020" i="1"/>
  <c r="F1014" i="1"/>
  <c r="F1010" i="1"/>
  <c r="F1008" i="1"/>
  <c r="F1006" i="1"/>
  <c r="F1004" i="1"/>
  <c r="F1002" i="1"/>
  <c r="F998" i="1"/>
  <c r="F996" i="1"/>
  <c r="F994" i="1"/>
  <c r="F990" i="1"/>
  <c r="F958" i="1"/>
  <c r="F932" i="1"/>
  <c r="F906" i="1"/>
  <c r="F817" i="1"/>
  <c r="F815" i="1"/>
  <c r="F811" i="1"/>
  <c r="F812" i="1"/>
  <c r="F807" i="1"/>
  <c r="F808" i="1"/>
  <c r="F803" i="1"/>
  <c r="F799" i="1"/>
  <c r="F797" i="1"/>
  <c r="F795" i="1"/>
  <c r="F793" i="1"/>
  <c r="F791" i="1"/>
  <c r="F789" i="1"/>
  <c r="F787" i="1"/>
  <c r="F785" i="1"/>
  <c r="F781" i="1"/>
  <c r="F779" i="1"/>
  <c r="F777" i="1"/>
  <c r="F747" i="1"/>
  <c r="F744" i="1"/>
  <c r="F708" i="1"/>
  <c r="F686" i="1"/>
  <c r="F676" i="1"/>
  <c r="F674" i="1"/>
  <c r="F672" i="1"/>
  <c r="F668" i="1"/>
  <c r="F650" i="1"/>
  <c r="F651" i="1"/>
  <c r="F642" i="1"/>
  <c r="F640" i="1"/>
  <c r="F636" i="1"/>
  <c r="F634" i="1"/>
  <c r="F622" i="1"/>
  <c r="F618" i="1"/>
  <c r="F614" i="1"/>
  <c r="F612" i="1"/>
  <c r="F610" i="1"/>
  <c r="F483" i="1"/>
  <c r="F449" i="1"/>
  <c r="F447" i="1"/>
  <c r="F313" i="1"/>
  <c r="F311" i="1"/>
  <c r="F309" i="1"/>
  <c r="F307" i="1"/>
  <c r="F305" i="1"/>
  <c r="F303" i="1"/>
  <c r="F301" i="1"/>
  <c r="F299" i="1"/>
  <c r="F297" i="1"/>
  <c r="F295" i="1"/>
  <c r="F293" i="1"/>
  <c r="F291" i="1"/>
  <c r="F289" i="1"/>
  <c r="F287" i="1"/>
  <c r="F271" i="1"/>
  <c r="F269" i="1"/>
  <c r="F267" i="1"/>
  <c r="F265" i="1"/>
  <c r="F263" i="1"/>
  <c r="F255" i="1"/>
  <c r="F256" i="1"/>
  <c r="F251" i="1"/>
  <c r="F241" i="1"/>
  <c r="F239" i="1"/>
  <c r="F237" i="1"/>
  <c r="F235" i="1"/>
  <c r="F229" i="1"/>
  <c r="F227" i="1"/>
  <c r="F225" i="1"/>
  <c r="F223" i="1"/>
  <c r="F221" i="1"/>
  <c r="F217" i="1"/>
  <c r="F215" i="1"/>
  <c r="F213" i="1"/>
  <c r="F211" i="1"/>
  <c r="F209" i="1"/>
  <c r="F207" i="1"/>
  <c r="F199" i="1"/>
  <c r="F197" i="1"/>
  <c r="F192" i="1"/>
  <c r="F184" i="1"/>
  <c r="F180" i="1"/>
  <c r="F107" i="1"/>
  <c r="F77" i="1"/>
  <c r="F28800" i="1"/>
  <c r="F1842" i="1"/>
  <c r="F36318" i="1"/>
  <c r="F36153" i="1"/>
  <c r="F36151" i="1"/>
  <c r="F36142" i="1"/>
  <c r="F36136" i="1"/>
  <c r="F35413" i="1"/>
  <c r="F35406" i="1"/>
  <c r="F35323" i="1"/>
  <c r="F35218" i="1"/>
  <c r="F35152" i="1"/>
  <c r="F35108" i="1"/>
  <c r="F35047" i="1"/>
  <c r="F35033" i="1"/>
  <c r="F35019" i="1"/>
  <c r="F34670" i="1"/>
  <c r="F33983" i="1"/>
  <c r="F33966" i="1"/>
  <c r="F33894" i="1"/>
  <c r="F33893" i="1"/>
  <c r="F33891" i="1"/>
  <c r="F33618" i="1"/>
  <c r="F33616" i="1"/>
  <c r="F33575" i="1"/>
  <c r="F32921" i="1"/>
  <c r="F32512" i="1"/>
  <c r="F32438" i="1"/>
  <c r="F32430" i="1"/>
  <c r="F32169" i="1"/>
  <c r="F32155" i="1"/>
  <c r="F32137" i="1"/>
  <c r="F32129" i="1"/>
  <c r="F32118" i="1"/>
  <c r="F32037" i="1"/>
  <c r="F32029" i="1"/>
  <c r="F32002" i="1"/>
  <c r="F31954" i="1"/>
  <c r="F31891" i="1"/>
  <c r="F31872" i="1"/>
  <c r="F31835" i="1"/>
  <c r="F31726" i="1"/>
  <c r="F31658" i="1"/>
  <c r="F31583" i="1"/>
  <c r="F31455" i="1"/>
  <c r="F31238" i="1"/>
  <c r="F31203" i="1"/>
  <c r="F31200" i="1"/>
  <c r="F31195" i="1"/>
  <c r="F31166" i="1"/>
  <c r="F31161" i="1"/>
  <c r="F31059" i="1"/>
  <c r="F31058" i="1"/>
  <c r="F31018" i="1"/>
  <c r="F30992" i="1"/>
  <c r="F30672" i="1"/>
  <c r="F30490" i="1"/>
  <c r="F29747" i="1"/>
  <c r="F29659" i="1"/>
  <c r="F29419" i="1"/>
  <c r="F29418" i="1"/>
  <c r="F29410" i="1"/>
  <c r="F29407" i="1"/>
  <c r="F29406" i="1"/>
  <c r="F29405" i="1"/>
  <c r="F29363" i="1"/>
  <c r="F29213" i="1"/>
  <c r="F29118" i="1"/>
  <c r="F29029" i="1"/>
  <c r="F28831" i="1"/>
  <c r="F28818" i="1"/>
  <c r="F28810" i="1"/>
  <c r="F28808" i="1"/>
  <c r="F28785" i="1"/>
  <c r="F28642" i="1"/>
  <c r="F28576" i="1"/>
  <c r="F28571" i="1"/>
  <c r="F28563" i="1"/>
  <c r="F28472" i="1"/>
  <c r="F28351" i="1"/>
  <c r="F28152" i="1"/>
  <c r="F28151" i="1"/>
  <c r="F27916" i="1"/>
  <c r="F27797" i="1"/>
  <c r="F26923" i="1"/>
  <c r="F26679" i="1"/>
  <c r="F26425" i="1"/>
  <c r="F26292" i="1"/>
  <c r="F25989" i="1"/>
  <c r="F23698" i="1"/>
  <c r="F23683" i="1"/>
  <c r="F23680" i="1"/>
  <c r="F23665" i="1"/>
  <c r="F23652" i="1"/>
  <c r="F23621" i="1"/>
  <c r="F23609" i="1"/>
  <c r="F23598" i="1"/>
  <c r="F23557" i="1"/>
  <c r="F23096" i="1"/>
  <c r="F22534" i="1"/>
  <c r="F22499" i="1"/>
  <c r="F22168" i="1"/>
  <c r="F21934" i="1"/>
  <c r="F21894" i="1"/>
  <c r="F21773" i="1"/>
  <c r="F21634" i="1"/>
  <c r="F21334" i="1"/>
  <c r="F21244" i="1"/>
  <c r="F21197" i="1"/>
  <c r="F21029" i="1"/>
  <c r="F21017" i="1"/>
  <c r="F20492" i="1"/>
  <c r="F20369" i="1"/>
  <c r="F19636" i="1"/>
  <c r="F19510" i="1"/>
  <c r="F19359" i="1"/>
  <c r="F19350" i="1"/>
  <c r="F19346" i="1"/>
  <c r="F19220" i="1"/>
  <c r="F19221" i="1"/>
  <c r="F19088" i="1"/>
  <c r="F18786" i="1"/>
  <c r="F17846" i="1"/>
  <c r="F16600" i="1"/>
  <c r="F15673" i="1"/>
  <c r="F15442" i="1"/>
  <c r="F15412" i="1"/>
  <c r="F15369" i="1"/>
  <c r="F15003" i="1"/>
  <c r="F14999" i="1"/>
  <c r="F14699" i="1"/>
  <c r="F14403" i="1"/>
  <c r="F14168" i="1"/>
  <c r="F14131" i="1"/>
  <c r="F14107" i="1"/>
  <c r="F14095" i="1"/>
  <c r="F13821" i="1"/>
  <c r="F13563" i="1"/>
  <c r="F13328" i="1"/>
  <c r="F13322" i="1"/>
  <c r="F13319" i="1"/>
  <c r="F13313" i="1"/>
  <c r="F13290" i="1"/>
  <c r="F13263" i="1"/>
  <c r="F13261" i="1"/>
  <c r="F12879" i="1"/>
  <c r="F12867" i="1"/>
  <c r="F12437" i="1"/>
  <c r="F12175" i="1"/>
  <c r="F11908" i="1"/>
  <c r="F11906" i="1"/>
  <c r="F11741" i="1"/>
  <c r="F11191" i="1"/>
  <c r="F11189" i="1"/>
  <c r="F11185" i="1"/>
  <c r="F11091" i="1"/>
  <c r="F10762" i="1"/>
  <c r="F10580" i="1"/>
  <c r="F10561" i="1"/>
  <c r="F10518" i="1"/>
  <c r="F10489" i="1"/>
  <c r="F10490" i="1"/>
  <c r="F10394" i="1"/>
  <c r="F10356" i="1"/>
  <c r="F10331" i="1"/>
  <c r="F10280" i="1"/>
  <c r="F10276" i="1"/>
  <c r="F10216" i="1"/>
  <c r="F10210" i="1"/>
  <c r="F10140" i="1"/>
  <c r="F9749" i="1"/>
  <c r="F9716" i="1"/>
  <c r="F9684" i="1"/>
  <c r="F9652" i="1"/>
  <c r="F9555" i="1"/>
  <c r="F9536" i="1"/>
  <c r="F8951" i="1"/>
  <c r="F8672" i="1"/>
  <c r="F8108" i="1"/>
  <c r="F7879" i="1"/>
  <c r="F7876" i="1"/>
  <c r="F7552" i="1"/>
  <c r="F7524" i="1"/>
  <c r="F7502" i="1"/>
  <c r="F7433" i="1"/>
  <c r="F7330" i="1"/>
  <c r="F6699" i="1"/>
  <c r="F5878" i="1"/>
  <c r="F5742" i="1"/>
  <c r="F4990" i="1"/>
  <c r="F4727" i="1"/>
  <c r="F4125" i="1"/>
  <c r="F4119" i="1"/>
  <c r="F4088" i="1"/>
  <c r="F4063" i="1"/>
  <c r="F4059" i="1"/>
  <c r="F3961" i="1"/>
  <c r="F3645" i="1"/>
  <c r="F3370" i="1"/>
  <c r="F2820" i="1"/>
  <c r="F2769" i="1"/>
  <c r="F2758" i="1"/>
  <c r="F2759" i="1"/>
  <c r="F2738" i="1"/>
  <c r="F2704" i="1"/>
  <c r="F2595" i="1"/>
  <c r="F962" i="1"/>
  <c r="F736" i="1"/>
  <c r="F644" i="1"/>
  <c r="F425" i="1"/>
  <c r="F394" i="1"/>
  <c r="F163" i="1"/>
  <c r="F19146" i="1"/>
  <c r="F18990" i="1"/>
  <c r="F34710" i="1"/>
  <c r="F35819" i="1"/>
  <c r="F34900" i="1"/>
  <c r="F32241" i="1"/>
  <c r="F32115" i="1"/>
  <c r="F31576" i="1"/>
  <c r="F30847" i="1"/>
  <c r="F30494" i="1"/>
  <c r="F29124" i="1"/>
  <c r="F27806" i="1"/>
  <c r="F27793" i="1"/>
  <c r="F27129" i="1"/>
  <c r="F26432" i="1"/>
  <c r="F23044" i="1"/>
  <c r="F22958" i="1"/>
  <c r="F20243" i="1"/>
  <c r="F17499" i="1"/>
  <c r="F15227" i="1"/>
  <c r="F14992" i="1"/>
  <c r="F13170" i="1"/>
  <c r="F13150" i="1"/>
  <c r="F12900" i="1"/>
  <c r="F10462" i="1"/>
  <c r="F10445" i="1"/>
  <c r="F10411" i="1"/>
  <c r="F10361" i="1"/>
  <c r="F10338" i="1"/>
  <c r="F10339" i="1"/>
  <c r="F10301" i="1"/>
  <c r="F10288" i="1"/>
  <c r="F10176" i="1"/>
  <c r="F10132" i="1"/>
  <c r="F10112" i="1"/>
  <c r="F10085" i="1"/>
  <c r="F10086" i="1"/>
  <c r="F10082" i="1"/>
  <c r="F10080" i="1"/>
  <c r="F10032" i="1"/>
  <c r="F10024" i="1"/>
  <c r="F7780" i="1"/>
  <c r="F5456" i="1"/>
  <c r="F4029" i="1"/>
  <c r="F36629" i="1"/>
  <c r="F35276" i="1"/>
  <c r="F33019" i="1"/>
  <c r="F29673" i="1"/>
  <c r="F25047" i="1"/>
  <c r="F24198" i="1"/>
  <c r="F16057" i="1"/>
  <c r="F14028" i="1"/>
  <c r="F13243" i="1"/>
  <c r="F12003" i="1"/>
  <c r="F10591" i="1"/>
  <c r="F8726" i="1"/>
  <c r="F7735" i="1"/>
  <c r="F7626" i="1"/>
  <c r="F7419" i="1"/>
  <c r="F7077" i="1"/>
  <c r="F3297" i="1"/>
  <c r="F3160" i="1"/>
  <c r="F2656" i="1"/>
  <c r="F2634" i="1"/>
  <c r="F2431" i="1"/>
  <c r="F529" i="1"/>
  <c r="F511" i="1"/>
  <c r="F509" i="1"/>
  <c r="F507" i="1"/>
  <c r="F432" i="1"/>
  <c r="F36336" i="1"/>
  <c r="F36152" i="1"/>
  <c r="F35818" i="1"/>
  <c r="F35626" i="1"/>
  <c r="F35564" i="1"/>
  <c r="F34987" i="1"/>
  <c r="F34970" i="1"/>
  <c r="F34604" i="1"/>
  <c r="F34331" i="1"/>
  <c r="F34100" i="1"/>
  <c r="F33998" i="1"/>
  <c r="F33996" i="1"/>
  <c r="F33867" i="1"/>
  <c r="F33765" i="1"/>
  <c r="F33747" i="1"/>
  <c r="F33634" i="1"/>
  <c r="F32718" i="1"/>
  <c r="F32255" i="1"/>
  <c r="F32226" i="1"/>
  <c r="F32192" i="1"/>
  <c r="F32172" i="1"/>
  <c r="F32117" i="1"/>
  <c r="F32093" i="1"/>
  <c r="F32090" i="1"/>
  <c r="F32049" i="1"/>
  <c r="F31722" i="1"/>
  <c r="F31666" i="1"/>
  <c r="F31644" i="1"/>
  <c r="F31521" i="1"/>
  <c r="F31046" i="1"/>
  <c r="F31041" i="1"/>
  <c r="F31038" i="1"/>
  <c r="F31013" i="1"/>
  <c r="F30855" i="1"/>
  <c r="F30828" i="1"/>
  <c r="F30748" i="1"/>
  <c r="F30737" i="1"/>
  <c r="F30670" i="1"/>
  <c r="F30565" i="1"/>
  <c r="F30532" i="1"/>
  <c r="F30514" i="1"/>
  <c r="F29946" i="1"/>
  <c r="F29245" i="1"/>
  <c r="F29128" i="1"/>
  <c r="F28789" i="1"/>
  <c r="F28518" i="1"/>
  <c r="F28517" i="1"/>
  <c r="F28185" i="1"/>
  <c r="F27807" i="1"/>
  <c r="F27774" i="1"/>
  <c r="F27773" i="1"/>
  <c r="F27769" i="1"/>
  <c r="F27761" i="1"/>
  <c r="F27679" i="1"/>
  <c r="F27515" i="1"/>
  <c r="F27247" i="1"/>
  <c r="F26954" i="1"/>
  <c r="F26091" i="1"/>
  <c r="F25938" i="1"/>
  <c r="F25914" i="1"/>
  <c r="F25848" i="1"/>
  <c r="F25770" i="1"/>
  <c r="F25760" i="1"/>
  <c r="F25696" i="1"/>
  <c r="F25649" i="1"/>
  <c r="F23667" i="1"/>
  <c r="F23628" i="1"/>
  <c r="F23624" i="1"/>
  <c r="F23320" i="1"/>
  <c r="F22503" i="1"/>
  <c r="F21932" i="1"/>
  <c r="F21740" i="1"/>
  <c r="F21350" i="1"/>
  <c r="F21238" i="1"/>
  <c r="F21065" i="1"/>
  <c r="F20743" i="1"/>
  <c r="F20477" i="1"/>
  <c r="F19899" i="1"/>
  <c r="F19895" i="1"/>
  <c r="F19660" i="1"/>
  <c r="F19233" i="1"/>
  <c r="F17380" i="1"/>
  <c r="F16815" i="1"/>
  <c r="F16801" i="1"/>
  <c r="F15446" i="1"/>
  <c r="F15413" i="1"/>
  <c r="F14832" i="1"/>
  <c r="F14686" i="1"/>
  <c r="F14337" i="1"/>
  <c r="F14125" i="1"/>
  <c r="F13466" i="1"/>
  <c r="F13279" i="1"/>
  <c r="F12496" i="1"/>
  <c r="F12449" i="1"/>
  <c r="F12442" i="1"/>
  <c r="F12252" i="1"/>
  <c r="F12214" i="1"/>
  <c r="F11782" i="1"/>
  <c r="F11102" i="1"/>
  <c r="F11099" i="1"/>
  <c r="F10535" i="1"/>
  <c r="F10470" i="1"/>
  <c r="F10397" i="1"/>
  <c r="F10335" i="1"/>
  <c r="F10241" i="1"/>
  <c r="F10165" i="1"/>
  <c r="F9998" i="1"/>
  <c r="F9826" i="1"/>
  <c r="F9792" i="1"/>
  <c r="F9788" i="1"/>
  <c r="F9624" i="1"/>
  <c r="F9622" i="1"/>
  <c r="F9564" i="1"/>
  <c r="F8110" i="1"/>
  <c r="F4340" i="1"/>
  <c r="F3749" i="1"/>
  <c r="F3295" i="1"/>
  <c r="F3116" i="1"/>
  <c r="F3032" i="1"/>
  <c r="F3003" i="1"/>
  <c r="F1114" i="1"/>
  <c r="F984" i="1"/>
  <c r="F1600" i="1"/>
  <c r="F28990" i="1"/>
  <c r="F23723" i="1"/>
  <c r="F23343" i="1"/>
  <c r="F22954" i="1"/>
  <c r="F17501" i="1"/>
  <c r="F15239" i="1"/>
  <c r="F13406" i="1"/>
  <c r="F36627" i="1"/>
  <c r="F36442" i="1"/>
  <c r="F36441" i="1"/>
  <c r="F36440" i="1"/>
  <c r="F35268" i="1"/>
  <c r="F35267" i="1"/>
  <c r="F35266" i="1"/>
  <c r="F35265" i="1"/>
  <c r="F35264" i="1"/>
  <c r="F34836" i="1"/>
  <c r="F34835" i="1"/>
  <c r="F34222" i="1"/>
  <c r="F34221" i="1"/>
  <c r="F33775" i="1"/>
  <c r="F33526" i="1"/>
  <c r="F33420" i="1"/>
  <c r="F33000" i="1"/>
  <c r="F32912" i="1"/>
  <c r="F32666" i="1"/>
  <c r="F32665" i="1"/>
  <c r="F32588" i="1"/>
  <c r="F32535" i="1"/>
  <c r="F31389" i="1"/>
  <c r="F31109" i="1"/>
  <c r="F31086" i="1"/>
  <c r="F30450" i="1"/>
  <c r="F29593" i="1"/>
  <c r="F28704" i="1"/>
  <c r="F27248" i="1"/>
  <c r="F27239" i="1"/>
  <c r="F26983" i="1"/>
  <c r="F26839" i="1"/>
  <c r="F26837" i="1"/>
  <c r="F26114" i="1"/>
  <c r="F25797" i="1"/>
  <c r="F25768" i="1"/>
  <c r="F25750" i="1"/>
  <c r="F25724" i="1"/>
  <c r="F25473" i="1"/>
  <c r="F25045" i="1"/>
  <c r="F25011" i="1"/>
  <c r="F24405" i="1"/>
  <c r="F24404" i="1"/>
  <c r="F24393" i="1"/>
  <c r="F24300" i="1"/>
  <c r="F24205" i="1"/>
  <c r="F24022" i="1"/>
  <c r="F23958" i="1"/>
  <c r="F23955" i="1"/>
  <c r="F23760" i="1"/>
  <c r="F23101" i="1"/>
  <c r="F23049" i="1"/>
  <c r="F23045" i="1"/>
  <c r="F22793" i="1"/>
  <c r="F22783" i="1"/>
  <c r="F22461" i="1"/>
  <c r="F22164" i="1"/>
  <c r="F19679" i="1"/>
  <c r="F19629" i="1"/>
  <c r="F19077" i="1"/>
  <c r="F18580" i="1"/>
  <c r="F17808" i="1"/>
  <c r="F16976" i="1"/>
  <c r="F16346" i="1"/>
  <c r="F16256" i="1"/>
  <c r="F16133" i="1"/>
  <c r="F16009" i="1"/>
  <c r="F16000" i="1"/>
  <c r="F15954" i="1"/>
  <c r="F15955" i="1"/>
  <c r="F15151" i="1"/>
  <c r="F15041" i="1"/>
  <c r="F14922" i="1"/>
  <c r="F14921" i="1"/>
  <c r="F14792" i="1"/>
  <c r="F14352" i="1"/>
  <c r="F13555" i="1"/>
  <c r="F13414" i="1"/>
  <c r="F13409" i="1"/>
  <c r="F12594" i="1"/>
  <c r="F11846" i="1"/>
  <c r="F7635" i="1"/>
  <c r="F7456" i="1"/>
  <c r="F6912" i="1"/>
  <c r="F6774" i="1"/>
  <c r="F6362" i="1"/>
  <c r="F6268" i="1"/>
  <c r="F5587" i="1"/>
  <c r="F5586" i="1"/>
  <c r="F5313" i="1"/>
  <c r="F4270" i="1"/>
  <c r="F3873" i="1"/>
  <c r="F3872" i="1"/>
  <c r="F3435" i="1"/>
  <c r="F3263" i="1"/>
  <c r="F2438" i="1"/>
  <c r="F2421" i="1"/>
  <c r="F154" i="1"/>
  <c r="F139" i="1"/>
  <c r="F36053" i="1"/>
  <c r="F34105" i="1"/>
  <c r="F33836" i="1"/>
  <c r="F33515" i="1"/>
  <c r="F32934" i="1"/>
  <c r="F32877" i="1"/>
  <c r="F32861" i="1"/>
  <c r="F32411" i="1"/>
  <c r="F32409" i="1"/>
  <c r="F32385" i="1"/>
  <c r="F32384" i="1"/>
  <c r="F32371" i="1"/>
  <c r="F32310" i="1"/>
  <c r="F32301" i="1"/>
  <c r="F32296" i="1"/>
  <c r="F30128" i="1"/>
  <c r="F28439" i="1"/>
  <c r="F28322" i="1"/>
  <c r="F28289" i="1"/>
  <c r="F28025" i="1"/>
  <c r="F26543" i="1"/>
  <c r="F26447" i="1"/>
  <c r="F26341" i="1"/>
  <c r="F25494" i="1"/>
  <c r="F25489" i="1"/>
  <c r="F25484" i="1"/>
  <c r="F25347" i="1"/>
  <c r="F25279" i="1"/>
  <c r="F25257" i="1"/>
  <c r="F25241" i="1"/>
  <c r="F25207" i="1"/>
  <c r="F25004" i="1"/>
  <c r="F24977" i="1"/>
  <c r="F24976" i="1"/>
  <c r="F24551" i="1"/>
  <c r="F24529" i="1"/>
  <c r="F24510" i="1"/>
  <c r="F24504" i="1"/>
  <c r="F24462" i="1"/>
  <c r="F24273" i="1"/>
  <c r="F24237" i="1"/>
  <c r="F23047" i="1"/>
  <c r="F22985" i="1"/>
  <c r="F22819" i="1"/>
  <c r="F22685" i="1"/>
  <c r="F22405" i="1"/>
  <c r="F22382" i="1"/>
  <c r="F22332" i="1"/>
  <c r="F22244" i="1"/>
  <c r="F21398" i="1"/>
  <c r="F20814" i="1"/>
  <c r="F20755" i="1"/>
  <c r="F20557" i="1"/>
  <c r="F20549" i="1"/>
  <c r="F20535" i="1"/>
  <c r="F18688" i="1"/>
  <c r="F18627" i="1"/>
  <c r="F18625" i="1"/>
  <c r="F17394" i="1"/>
  <c r="F10808" i="1"/>
  <c r="F4256" i="1"/>
  <c r="F4254" i="1"/>
  <c r="F3524" i="1"/>
  <c r="F2242" i="1"/>
  <c r="F2086" i="1"/>
  <c r="F1044" i="1"/>
  <c r="F36513" i="1"/>
  <c r="F36419" i="1"/>
  <c r="F36415" i="1"/>
  <c r="F35786" i="1"/>
  <c r="F34212" i="1"/>
  <c r="F33069" i="1"/>
  <c r="F31428" i="1"/>
  <c r="F30727" i="1"/>
  <c r="F29152" i="1"/>
  <c r="F28949" i="1"/>
  <c r="F28667" i="1"/>
  <c r="F28662" i="1"/>
  <c r="F28661" i="1"/>
  <c r="F28098" i="1"/>
  <c r="F27851" i="1"/>
  <c r="F27564" i="1"/>
  <c r="F27491" i="1"/>
  <c r="F27167" i="1"/>
  <c r="F27114" i="1"/>
  <c r="F27055" i="1"/>
  <c r="F27000" i="1"/>
  <c r="F26959" i="1"/>
  <c r="F26943" i="1"/>
  <c r="F26878" i="1"/>
  <c r="F26708" i="1"/>
  <c r="F26357" i="1"/>
  <c r="F25599" i="1"/>
  <c r="F25308" i="1"/>
  <c r="F24294" i="1"/>
  <c r="F24362" i="1"/>
  <c r="F24169" i="1"/>
  <c r="F22970" i="1"/>
  <c r="F18578" i="1"/>
  <c r="F18577" i="1"/>
  <c r="F16722" i="1"/>
  <c r="F16718" i="1"/>
  <c r="F16548" i="1"/>
  <c r="F12822" i="1"/>
  <c r="F12492" i="1"/>
  <c r="F11984" i="1"/>
  <c r="F11624" i="1"/>
  <c r="F11354" i="1"/>
  <c r="F7941" i="1"/>
  <c r="F7649" i="1"/>
  <c r="F7636" i="1"/>
  <c r="F6836" i="1"/>
  <c r="F6380" i="1"/>
  <c r="F6203" i="1"/>
  <c r="F3310" i="1"/>
  <c r="F3175" i="1"/>
  <c r="F2980" i="1"/>
  <c r="F36615" i="1"/>
  <c r="F35695" i="1"/>
  <c r="F29863" i="1"/>
  <c r="F16618" i="1"/>
  <c r="F6158" i="1"/>
  <c r="F11661" i="1"/>
  <c r="F34610" i="1"/>
  <c r="F34277" i="1"/>
  <c r="F34142" i="1"/>
  <c r="F33750" i="1"/>
  <c r="F32960" i="1"/>
  <c r="F32862" i="1"/>
  <c r="F30957" i="1"/>
  <c r="F30769" i="1"/>
  <c r="F30742" i="1"/>
  <c r="F30637" i="1"/>
  <c r="F30377" i="1"/>
  <c r="F27265" i="1"/>
  <c r="F25959" i="1"/>
  <c r="F23629" i="1"/>
  <c r="F23330" i="1"/>
  <c r="F21231" i="1"/>
  <c r="F19646" i="1"/>
  <c r="F19382" i="1"/>
  <c r="F18403" i="1"/>
  <c r="F17852" i="1"/>
  <c r="F13275" i="1"/>
  <c r="F13178" i="1"/>
  <c r="F12855" i="1"/>
  <c r="F12443" i="1"/>
  <c r="F11193" i="1"/>
  <c r="F11186" i="1"/>
  <c r="F10750" i="1"/>
  <c r="F10659" i="1"/>
  <c r="F10474" i="1"/>
  <c r="F10424" i="1"/>
  <c r="F10407" i="1"/>
  <c r="F10333" i="1"/>
  <c r="F10286" i="1"/>
  <c r="F10103" i="1"/>
  <c r="F9804" i="1"/>
  <c r="F9802" i="1"/>
  <c r="F9620" i="1"/>
  <c r="F9565" i="1"/>
  <c r="F9560" i="1"/>
  <c r="F5884" i="1"/>
  <c r="F2845" i="1"/>
  <c r="F2843" i="1"/>
  <c r="F2832" i="1"/>
  <c r="F2814" i="1"/>
  <c r="F36111" i="1"/>
  <c r="F33772" i="1"/>
  <c r="F29927" i="1"/>
  <c r="F22825" i="1"/>
  <c r="F22483" i="1"/>
  <c r="F21586" i="1"/>
  <c r="F20659" i="1"/>
  <c r="F10600" i="1"/>
  <c r="F6718" i="1"/>
  <c r="F3110" i="1"/>
  <c r="F35537" i="1"/>
  <c r="F34750" i="1"/>
  <c r="F34613" i="1"/>
  <c r="F34496" i="1"/>
  <c r="F34332" i="1"/>
  <c r="F34184" i="1"/>
  <c r="F32957" i="1"/>
  <c r="F32130" i="1"/>
  <c r="F31890" i="1"/>
  <c r="F31753" i="1"/>
  <c r="F31712" i="1"/>
  <c r="F31106" i="1"/>
  <c r="F30534" i="1"/>
  <c r="F29354" i="1"/>
  <c r="F29291" i="1"/>
  <c r="F27782" i="1"/>
  <c r="F27749" i="1"/>
  <c r="F27726" i="1"/>
  <c r="F26797" i="1"/>
  <c r="F26674" i="1"/>
  <c r="F25729" i="1"/>
  <c r="F23661" i="1"/>
  <c r="F23653" i="1"/>
  <c r="F23616" i="1"/>
  <c r="F23310" i="1"/>
  <c r="F22651" i="1"/>
  <c r="F22045" i="1"/>
  <c r="F22027" i="1"/>
  <c r="F22019" i="1"/>
  <c r="F21271" i="1"/>
  <c r="F19422" i="1"/>
  <c r="F19364" i="1"/>
  <c r="F18127" i="1"/>
  <c r="F18125" i="1"/>
  <c r="F16807" i="1"/>
  <c r="F15973" i="1"/>
  <c r="F15052" i="1"/>
  <c r="F14830" i="1"/>
  <c r="F14789" i="1"/>
  <c r="F14437" i="1"/>
  <c r="F14083" i="1"/>
  <c r="F13655" i="1"/>
  <c r="F13295" i="1"/>
  <c r="F13250" i="1"/>
  <c r="F13088" i="1"/>
  <c r="F12894" i="1"/>
  <c r="F12851" i="1"/>
  <c r="F11915" i="1"/>
  <c r="F11671" i="1"/>
  <c r="F10710" i="1"/>
  <c r="F10609" i="1"/>
  <c r="F10398" i="1"/>
  <c r="F10250" i="1"/>
  <c r="F9777" i="1"/>
  <c r="F9688" i="1"/>
  <c r="F9562" i="1"/>
  <c r="F6700" i="1"/>
  <c r="F5364" i="1"/>
  <c r="F4149" i="1"/>
  <c r="F4021" i="1"/>
  <c r="F3171" i="1"/>
  <c r="F3101" i="1"/>
  <c r="F2670" i="1"/>
  <c r="F1116" i="1"/>
  <c r="F462" i="1"/>
  <c r="F36620" i="1"/>
  <c r="F36616" i="1"/>
  <c r="F36610" i="1"/>
  <c r="F36608" i="1"/>
  <c r="F36607" i="1"/>
  <c r="F36583" i="1"/>
  <c r="F36404" i="1"/>
  <c r="F36395" i="1"/>
  <c r="F36393" i="1"/>
  <c r="F36392" i="1"/>
  <c r="F36391" i="1"/>
  <c r="F36349" i="1"/>
  <c r="F36267" i="1"/>
  <c r="F36098" i="1"/>
  <c r="F36085" i="1"/>
  <c r="F36050" i="1"/>
  <c r="F36010" i="1"/>
  <c r="F36007" i="1"/>
  <c r="F36000" i="1"/>
  <c r="F35988" i="1"/>
  <c r="F35984" i="1"/>
  <c r="F35979" i="1"/>
  <c r="F35976" i="1"/>
  <c r="F35959" i="1"/>
  <c r="F35957" i="1"/>
  <c r="F35932" i="1"/>
  <c r="F35930" i="1"/>
  <c r="F35925" i="1"/>
  <c r="F35915" i="1"/>
  <c r="F35914" i="1"/>
  <c r="F35902" i="1"/>
  <c r="F35901" i="1"/>
  <c r="F35895" i="1"/>
  <c r="F35893" i="1"/>
  <c r="F35890" i="1"/>
  <c r="F35879" i="1"/>
  <c r="F35867" i="1"/>
  <c r="F35864" i="1"/>
  <c r="F35863" i="1"/>
  <c r="F35851" i="1"/>
  <c r="F35847" i="1"/>
  <c r="F35842" i="1"/>
  <c r="F35724" i="1"/>
  <c r="F35040" i="1"/>
  <c r="F34889" i="1"/>
  <c r="F34876" i="1"/>
  <c r="F34819" i="1"/>
  <c r="F34810" i="1"/>
  <c r="F34804" i="1"/>
  <c r="F34681" i="1"/>
  <c r="F34650" i="1"/>
  <c r="F34593" i="1"/>
  <c r="F34587" i="1"/>
  <c r="F34141" i="1"/>
  <c r="F34138" i="1"/>
  <c r="F34067" i="1"/>
  <c r="F33820" i="1"/>
  <c r="F33135" i="1"/>
  <c r="F33112" i="1"/>
  <c r="F32162" i="1"/>
  <c r="F30347" i="1"/>
  <c r="F30338" i="1"/>
  <c r="F30223" i="1"/>
  <c r="F30221" i="1"/>
  <c r="F29932" i="1"/>
  <c r="F29891" i="1"/>
  <c r="F29889" i="1"/>
  <c r="F29874" i="1"/>
  <c r="F29042" i="1"/>
  <c r="F29041" i="1"/>
  <c r="F28952" i="1"/>
  <c r="F28559" i="1"/>
  <c r="F27065" i="1"/>
  <c r="F26721" i="1"/>
  <c r="F26688" i="1"/>
  <c r="F26649" i="1"/>
  <c r="F26627" i="1"/>
  <c r="F26622" i="1"/>
  <c r="F26327" i="1"/>
  <c r="F26325" i="1"/>
  <c r="F25725" i="1"/>
  <c r="F25630" i="1"/>
  <c r="F25450" i="1"/>
  <c r="F25448" i="1"/>
  <c r="F25447" i="1"/>
  <c r="F25445" i="1"/>
  <c r="F24894" i="1"/>
  <c r="F24892" i="1"/>
  <c r="F24071" i="1"/>
  <c r="F22219" i="1"/>
  <c r="F22089" i="1"/>
  <c r="F21989" i="1"/>
  <c r="F21560" i="1"/>
  <c r="F21405" i="1"/>
  <c r="F20817" i="1"/>
  <c r="F20207" i="1"/>
  <c r="F19910" i="1"/>
  <c r="F19833" i="1"/>
  <c r="F18361" i="1"/>
  <c r="F13736" i="1"/>
  <c r="F13041" i="1"/>
  <c r="F13002" i="1"/>
  <c r="F12952" i="1"/>
  <c r="F12825" i="1"/>
  <c r="F12422" i="1"/>
  <c r="F11639" i="1"/>
  <c r="F11278" i="1"/>
  <c r="F10639" i="1"/>
  <c r="F10629" i="1"/>
  <c r="F8368" i="1"/>
  <c r="F8367" i="1"/>
  <c r="F8260" i="1"/>
  <c r="F7499" i="1"/>
  <c r="F6688" i="1"/>
  <c r="F6561" i="1"/>
  <c r="F6003" i="1"/>
  <c r="F5834" i="1"/>
  <c r="F4512" i="1"/>
  <c r="F519" i="1"/>
  <c r="F186" i="1"/>
  <c r="F36315" i="1"/>
  <c r="F36120" i="1"/>
  <c r="F35304" i="1"/>
  <c r="F35197" i="1"/>
  <c r="F34658" i="1"/>
  <c r="F31546" i="1"/>
  <c r="F31545" i="1"/>
  <c r="F30856" i="1"/>
  <c r="F30482" i="1"/>
  <c r="F30144" i="1"/>
  <c r="F26511" i="1"/>
  <c r="F26177" i="1"/>
  <c r="F20399" i="1"/>
  <c r="F20160" i="1"/>
  <c r="F13303" i="1"/>
  <c r="F12892" i="1"/>
  <c r="F10412" i="1"/>
  <c r="F10217" i="1"/>
  <c r="F10211" i="1"/>
  <c r="F10177" i="1"/>
  <c r="F10076" i="1"/>
  <c r="F10064" i="1"/>
  <c r="F10033" i="1"/>
  <c r="F9850" i="1"/>
  <c r="F9676" i="1"/>
  <c r="F9619" i="1"/>
  <c r="F8837" i="1"/>
  <c r="F7327" i="1"/>
  <c r="F7323" i="1"/>
  <c r="F7120" i="1"/>
  <c r="F3567" i="1"/>
  <c r="F541" i="1"/>
  <c r="F33816" i="1"/>
  <c r="F29515" i="1"/>
  <c r="F21658" i="1"/>
  <c r="F34853" i="1"/>
  <c r="F34841" i="1"/>
  <c r="F33950" i="1"/>
  <c r="F24793" i="1"/>
  <c r="F20784" i="1"/>
  <c r="F20320" i="1"/>
  <c r="F24318" i="1"/>
  <c r="F22079" i="1"/>
  <c r="F18065" i="1"/>
  <c r="F15759" i="1"/>
  <c r="F12589" i="1"/>
  <c r="F7937" i="1"/>
  <c r="F5936" i="1"/>
  <c r="F5632" i="1"/>
  <c r="F2856" i="1"/>
  <c r="F36576" i="1"/>
  <c r="F36575" i="1"/>
  <c r="F36570" i="1"/>
  <c r="F36557" i="1"/>
  <c r="F36556" i="1"/>
  <c r="F36549" i="1"/>
  <c r="F36548" i="1"/>
  <c r="F36544" i="1"/>
  <c r="F36342" i="1"/>
  <c r="F36249" i="1"/>
  <c r="F36248" i="1"/>
  <c r="F34917" i="1"/>
  <c r="F34677" i="1"/>
  <c r="F34315" i="1"/>
  <c r="F34265" i="1"/>
  <c r="F33815" i="1"/>
  <c r="F33677" i="1"/>
  <c r="F33675" i="1"/>
  <c r="F33199" i="1"/>
  <c r="F33045" i="1"/>
  <c r="F32945" i="1"/>
  <c r="F32856" i="1"/>
  <c r="F32367" i="1"/>
  <c r="F32300" i="1"/>
  <c r="F30446" i="1"/>
  <c r="F30199" i="1"/>
  <c r="F30194" i="1"/>
  <c r="F30192" i="1"/>
  <c r="F30191" i="1"/>
  <c r="F30127" i="1"/>
  <c r="F30080" i="1"/>
  <c r="F29894" i="1"/>
  <c r="F29841" i="1"/>
  <c r="F29672" i="1"/>
  <c r="F28920" i="1"/>
  <c r="F28869" i="1"/>
  <c r="F28851" i="1"/>
  <c r="F28450" i="1"/>
  <c r="F28314" i="1"/>
  <c r="F28296" i="1"/>
  <c r="F28270" i="1"/>
  <c r="F28163" i="1"/>
  <c r="F28160" i="1"/>
  <c r="F28087" i="1"/>
  <c r="F28010" i="1"/>
  <c r="F27543" i="1"/>
  <c r="F27472" i="1"/>
  <c r="F27329" i="1"/>
  <c r="F27235" i="1"/>
  <c r="F26479" i="1"/>
  <c r="F26147" i="1"/>
  <c r="F25765" i="1"/>
  <c r="F25738" i="1"/>
  <c r="F25596" i="1"/>
  <c r="F24832" i="1"/>
  <c r="F24579" i="1"/>
  <c r="F24262" i="1"/>
  <c r="F24188" i="1"/>
  <c r="F20611" i="1"/>
  <c r="F20395" i="1"/>
  <c r="F20326" i="1"/>
  <c r="F20170" i="1"/>
  <c r="F20139" i="1"/>
  <c r="F19569" i="1"/>
  <c r="F17919" i="1"/>
  <c r="F17844" i="1"/>
  <c r="F11839" i="1"/>
  <c r="F9014" i="1"/>
  <c r="F8551" i="1"/>
  <c r="F8526" i="1"/>
  <c r="F8470" i="1"/>
  <c r="F4900" i="1"/>
  <c r="F2278" i="1"/>
  <c r="F1941" i="1"/>
  <c r="F1908" i="1"/>
  <c r="F1136" i="1"/>
  <c r="F783" i="1"/>
  <c r="F155" i="1"/>
  <c r="F6925" i="1"/>
  <c r="F6210" i="1"/>
  <c r="F23556" i="1"/>
  <c r="F23283" i="1"/>
  <c r="F18472" i="1"/>
  <c r="F6416" i="1"/>
  <c r="F35363" i="1"/>
  <c r="F29112" i="1"/>
  <c r="F28756" i="1"/>
  <c r="F27563" i="1"/>
  <c r="F27384" i="1"/>
  <c r="F27251" i="1"/>
  <c r="F27183" i="1"/>
  <c r="F27164" i="1"/>
  <c r="F26948" i="1"/>
  <c r="F26692" i="1"/>
  <c r="F26581" i="1"/>
  <c r="F26502" i="1"/>
  <c r="F26149" i="1"/>
  <c r="F26148" i="1"/>
  <c r="F26044" i="1"/>
  <c r="F25983" i="1"/>
  <c r="F25691" i="1"/>
  <c r="F25602" i="1"/>
  <c r="F25501" i="1"/>
  <c r="F25391" i="1"/>
  <c r="F25174" i="1"/>
  <c r="F25056" i="1"/>
  <c r="F24833" i="1"/>
  <c r="F24795" i="1"/>
  <c r="F24484" i="1"/>
  <c r="F24314" i="1"/>
  <c r="F24166" i="1"/>
  <c r="F24098" i="1"/>
  <c r="F24067" i="1"/>
  <c r="F23821" i="1"/>
  <c r="F23756" i="1"/>
  <c r="F23605" i="1"/>
  <c r="F23493" i="1"/>
  <c r="F23363" i="1"/>
  <c r="F23294" i="1"/>
  <c r="F23161" i="1"/>
  <c r="F22990" i="1"/>
  <c r="F22664" i="1"/>
  <c r="F22439" i="1"/>
  <c r="F22162" i="1"/>
  <c r="F19971" i="1"/>
  <c r="F17249" i="1"/>
  <c r="F16765" i="1"/>
  <c r="F15887" i="1"/>
  <c r="F14200" i="1"/>
  <c r="F13794" i="1"/>
  <c r="F13637" i="1"/>
  <c r="F12726" i="1"/>
  <c r="F12628" i="1"/>
  <c r="F12381" i="1"/>
  <c r="F12008" i="1"/>
  <c r="F11553" i="1"/>
  <c r="F10692" i="1"/>
  <c r="F9210" i="1"/>
  <c r="F8939" i="1"/>
  <c r="F8103" i="1"/>
  <c r="F7984" i="1"/>
  <c r="F5869" i="1"/>
  <c r="F4590" i="1"/>
  <c r="F4039" i="1"/>
  <c r="F4013" i="1"/>
  <c r="F3532" i="1"/>
  <c r="F3471" i="1"/>
  <c r="F3390" i="1"/>
  <c r="F3303" i="1"/>
  <c r="F3268" i="1"/>
  <c r="F2902" i="1"/>
  <c r="F776" i="1"/>
  <c r="F36489" i="1"/>
  <c r="F36487" i="1"/>
  <c r="F36485" i="1"/>
  <c r="F36484" i="1"/>
  <c r="F36483" i="1"/>
  <c r="F36482" i="1"/>
  <c r="F36481" i="1"/>
  <c r="F36480" i="1"/>
  <c r="F36478" i="1"/>
  <c r="F36476" i="1"/>
  <c r="F36475" i="1"/>
  <c r="F36375" i="1"/>
  <c r="F36300" i="1"/>
  <c r="F36183" i="1"/>
  <c r="F36181" i="1"/>
  <c r="F36089" i="1"/>
  <c r="F36088" i="1"/>
  <c r="F36084" i="1"/>
  <c r="F35835" i="1"/>
  <c r="F35785" i="1"/>
  <c r="F35784" i="1"/>
  <c r="F35732" i="1"/>
  <c r="F35717" i="1"/>
  <c r="F35670" i="1"/>
  <c r="F35502" i="1"/>
  <c r="F35379" i="1"/>
  <c r="F35378" i="1"/>
  <c r="F35373" i="1"/>
  <c r="F35338" i="1"/>
  <c r="F35337" i="1"/>
  <c r="F35336" i="1"/>
  <c r="F35333" i="1"/>
  <c r="F35306" i="1"/>
  <c r="F35297" i="1"/>
  <c r="F35086" i="1"/>
  <c r="F35062" i="1"/>
  <c r="F35061" i="1"/>
  <c r="F35027" i="1"/>
  <c r="F35018" i="1"/>
  <c r="F34998" i="1"/>
  <c r="F34852" i="1"/>
  <c r="F34776" i="1"/>
  <c r="F34747" i="1"/>
  <c r="F34746" i="1"/>
  <c r="F34743" i="1"/>
  <c r="F34740" i="1"/>
  <c r="F34731" i="1"/>
  <c r="F34723" i="1"/>
  <c r="F34716" i="1"/>
  <c r="F34715" i="1"/>
  <c r="F34700" i="1"/>
  <c r="F34695" i="1"/>
  <c r="F34692" i="1"/>
  <c r="F34602" i="1"/>
  <c r="F34577" i="1"/>
  <c r="F34576" i="1"/>
  <c r="F34355" i="1"/>
  <c r="F34354" i="1"/>
  <c r="F34352" i="1"/>
  <c r="F34208" i="1"/>
  <c r="F33926" i="1"/>
  <c r="F33825" i="1"/>
  <c r="F33727" i="1"/>
  <c r="F33693" i="1"/>
  <c r="F33692" i="1"/>
  <c r="F33599" i="1"/>
  <c r="F33468" i="1"/>
  <c r="F33467" i="1"/>
  <c r="F33446" i="1"/>
  <c r="F33405" i="1"/>
  <c r="F33348" i="1"/>
  <c r="F33206" i="1"/>
  <c r="F33048" i="1"/>
  <c r="F33012" i="1"/>
  <c r="F33001" i="1"/>
  <c r="F32990" i="1"/>
  <c r="F32965" i="1"/>
  <c r="F32906" i="1"/>
  <c r="F32904" i="1"/>
  <c r="F32858" i="1"/>
  <c r="F32848" i="1"/>
  <c r="F32829" i="1"/>
  <c r="F32753" i="1"/>
  <c r="F32746" i="1"/>
  <c r="F32745" i="1"/>
  <c r="F32737" i="1"/>
  <c r="F32736" i="1"/>
  <c r="F32735" i="1"/>
  <c r="F32734" i="1"/>
  <c r="F32732" i="1"/>
  <c r="F32731" i="1"/>
  <c r="F32703" i="1"/>
  <c r="F32622" i="1"/>
  <c r="F32606" i="1"/>
  <c r="F32600" i="1"/>
  <c r="F32591" i="1"/>
  <c r="F32572" i="1"/>
  <c r="F32552" i="1"/>
  <c r="F32538" i="1"/>
  <c r="F32521" i="1"/>
  <c r="F32199" i="1"/>
  <c r="F32188" i="1"/>
  <c r="F32178" i="1"/>
  <c r="F32174" i="1"/>
  <c r="F32143" i="1"/>
  <c r="F32108" i="1"/>
  <c r="F32069" i="1"/>
  <c r="F31980" i="1"/>
  <c r="F31967" i="1"/>
  <c r="F31900" i="1"/>
  <c r="F31855" i="1"/>
  <c r="F31852" i="1"/>
  <c r="F31848" i="1"/>
  <c r="F31827" i="1"/>
  <c r="F31782" i="1"/>
  <c r="F31770" i="1"/>
  <c r="F31719" i="1"/>
  <c r="F31683" i="1"/>
  <c r="F31656" i="1"/>
  <c r="F31655" i="1"/>
  <c r="F31628" i="1"/>
  <c r="F31626" i="1"/>
  <c r="F31619" i="1"/>
  <c r="F31618" i="1"/>
  <c r="F31616" i="1"/>
  <c r="F31615" i="1"/>
  <c r="F31613" i="1"/>
  <c r="F31612" i="1"/>
  <c r="F31611" i="1"/>
  <c r="F31536" i="1"/>
  <c r="F31532" i="1"/>
  <c r="F31528" i="1"/>
  <c r="F31522" i="1"/>
  <c r="F31513" i="1"/>
  <c r="F31509" i="1"/>
  <c r="F31442" i="1"/>
  <c r="F31434" i="1"/>
  <c r="F31421" i="1"/>
  <c r="F31406" i="1"/>
  <c r="F31399" i="1"/>
  <c r="F31396" i="1"/>
  <c r="F31375" i="1"/>
  <c r="F31364" i="1"/>
  <c r="F31350" i="1"/>
  <c r="F31337" i="1"/>
  <c r="F31301" i="1"/>
  <c r="F31212" i="1"/>
  <c r="F31122" i="1"/>
  <c r="F31115" i="1"/>
  <c r="F30938" i="1"/>
  <c r="F30920" i="1"/>
  <c r="F30917" i="1"/>
  <c r="F30916" i="1"/>
  <c r="F30904" i="1"/>
  <c r="F30864" i="1"/>
  <c r="F30834" i="1"/>
  <c r="F30829" i="1"/>
  <c r="F30826" i="1"/>
  <c r="F30802" i="1"/>
  <c r="F30790" i="1"/>
  <c r="F30783" i="1"/>
  <c r="F30753" i="1"/>
  <c r="F30711" i="1"/>
  <c r="F30694" i="1"/>
  <c r="F30635" i="1"/>
  <c r="F30634" i="1"/>
  <c r="F30632" i="1"/>
  <c r="F30627" i="1"/>
  <c r="F30624" i="1"/>
  <c r="F30606" i="1"/>
  <c r="F30605" i="1"/>
  <c r="F30594" i="1"/>
  <c r="F30587" i="1"/>
  <c r="F30572" i="1"/>
  <c r="F30530" i="1"/>
  <c r="F30438" i="1"/>
  <c r="F30336" i="1"/>
  <c r="F30231" i="1"/>
  <c r="F30120" i="1"/>
  <c r="F30064" i="1"/>
  <c r="F29939" i="1"/>
  <c r="F29933" i="1"/>
  <c r="F29823" i="1"/>
  <c r="F29801" i="1"/>
  <c r="F29744" i="1"/>
  <c r="F29740" i="1"/>
  <c r="F29717" i="1"/>
  <c r="F29714" i="1"/>
  <c r="F29712" i="1"/>
  <c r="F29707" i="1"/>
  <c r="F29622" i="1"/>
  <c r="F29517" i="1"/>
  <c r="F29341" i="1"/>
  <c r="F29164" i="1"/>
  <c r="F29055" i="1"/>
  <c r="F29044" i="1"/>
  <c r="F29028" i="1"/>
  <c r="F28847" i="1"/>
  <c r="F28827" i="1"/>
  <c r="F28825" i="1"/>
  <c r="F28823" i="1"/>
  <c r="F28784" i="1"/>
  <c r="F28783" i="1"/>
  <c r="F28779" i="1"/>
  <c r="F28778" i="1"/>
  <c r="F28777" i="1"/>
  <c r="F28775" i="1"/>
  <c r="F28720" i="1"/>
  <c r="F28717" i="1"/>
  <c r="F28706" i="1"/>
  <c r="F28688" i="1"/>
  <c r="F28644" i="1"/>
  <c r="F28621" i="1"/>
  <c r="F28486" i="1"/>
  <c r="F28405" i="1"/>
  <c r="F28394" i="1"/>
  <c r="F28389" i="1"/>
  <c r="F28380" i="1"/>
  <c r="F28264" i="1"/>
  <c r="F28260" i="1"/>
  <c r="F28178" i="1"/>
  <c r="F28172" i="1"/>
  <c r="F28134" i="1"/>
  <c r="F28005" i="1"/>
  <c r="F27941" i="1"/>
  <c r="F27924" i="1"/>
  <c r="F27905" i="1"/>
  <c r="F27892" i="1"/>
  <c r="F27856" i="1"/>
  <c r="F27844" i="1"/>
  <c r="F27805" i="1"/>
  <c r="F27804" i="1"/>
  <c r="F27674" i="1"/>
  <c r="F27594" i="1"/>
  <c r="F27554" i="1"/>
  <c r="F27553" i="1"/>
  <c r="F27468" i="1"/>
  <c r="F27412" i="1"/>
  <c r="F27253" i="1"/>
  <c r="F27249" i="1"/>
  <c r="F27229" i="1"/>
  <c r="F27219" i="1"/>
  <c r="F27163" i="1"/>
  <c r="F27134" i="1"/>
  <c r="F26857" i="1"/>
  <c r="F26698" i="1"/>
  <c r="F26518" i="1"/>
  <c r="F26517" i="1"/>
  <c r="F26320" i="1"/>
  <c r="F26319" i="1"/>
  <c r="F26313" i="1"/>
  <c r="F26202" i="1"/>
  <c r="F25677" i="1"/>
  <c r="F25652" i="1"/>
  <c r="F25650" i="1"/>
  <c r="F23706" i="1"/>
  <c r="F23697" i="1"/>
  <c r="F23696" i="1"/>
  <c r="F23693" i="1"/>
  <c r="F23690" i="1"/>
  <c r="F23689" i="1"/>
  <c r="F23685" i="1"/>
  <c r="F23678" i="1"/>
  <c r="F23674" i="1"/>
  <c r="F23673" i="1"/>
  <c r="F23655" i="1"/>
  <c r="F23632" i="1"/>
  <c r="F23631" i="1"/>
  <c r="F23625" i="1"/>
  <c r="F23620" i="1"/>
  <c r="F23613" i="1"/>
  <c r="F23602" i="1"/>
  <c r="F23516" i="1"/>
  <c r="F23426" i="1"/>
  <c r="F23406" i="1"/>
  <c r="F23401" i="1"/>
  <c r="F23381" i="1"/>
  <c r="F23368" i="1"/>
  <c r="F23305" i="1"/>
  <c r="F23273" i="1"/>
  <c r="F23266" i="1"/>
  <c r="F23265" i="1"/>
  <c r="F23264" i="1"/>
  <c r="F23261" i="1"/>
  <c r="F23260" i="1"/>
  <c r="F23256" i="1"/>
  <c r="F23255" i="1"/>
  <c r="F23253" i="1"/>
  <c r="F23250" i="1"/>
  <c r="F23249" i="1"/>
  <c r="F23246" i="1"/>
  <c r="F23245" i="1"/>
  <c r="F23244" i="1"/>
  <c r="F23243" i="1"/>
  <c r="F23242" i="1"/>
  <c r="F23240" i="1"/>
  <c r="F23238" i="1"/>
  <c r="F23236" i="1"/>
  <c r="F23233" i="1"/>
  <c r="F23144" i="1"/>
  <c r="F23118" i="1"/>
  <c r="F23115" i="1"/>
  <c r="F23114" i="1"/>
  <c r="F23113" i="1"/>
  <c r="F23112" i="1"/>
  <c r="F23111" i="1"/>
  <c r="F23110" i="1"/>
  <c r="F23109" i="1"/>
  <c r="F23087" i="1"/>
  <c r="F23070" i="1"/>
  <c r="F23064" i="1"/>
  <c r="F23035" i="1"/>
  <c r="F22974" i="1"/>
  <c r="F22950" i="1"/>
  <c r="F22937" i="1"/>
  <c r="F22926" i="1"/>
  <c r="F22873" i="1"/>
  <c r="F22808" i="1"/>
  <c r="F22756" i="1"/>
  <c r="F22670" i="1"/>
  <c r="F22623" i="1"/>
  <c r="F22576" i="1"/>
  <c r="F22556" i="1"/>
  <c r="F22552" i="1"/>
  <c r="F22532" i="1"/>
  <c r="F22530" i="1"/>
  <c r="F22459" i="1"/>
  <c r="F22447" i="1"/>
  <c r="F22381" i="1"/>
  <c r="F22282" i="1"/>
  <c r="F22276" i="1"/>
  <c r="F22189" i="1"/>
  <c r="F22163" i="1"/>
  <c r="F22139" i="1"/>
  <c r="F21737" i="1"/>
  <c r="F21735" i="1"/>
  <c r="F21640" i="1"/>
  <c r="F21431" i="1"/>
  <c r="F21298" i="1"/>
  <c r="F21265" i="1"/>
  <c r="F21263" i="1"/>
  <c r="F21125" i="1"/>
  <c r="F21051" i="1"/>
  <c r="F20979" i="1"/>
  <c r="F20975" i="1"/>
  <c r="F20937" i="1"/>
  <c r="F20935" i="1"/>
  <c r="F20933" i="1"/>
  <c r="F20931" i="1"/>
  <c r="F20929" i="1"/>
  <c r="F20927" i="1"/>
  <c r="F20925" i="1"/>
  <c r="F20923" i="1"/>
  <c r="F20921" i="1"/>
  <c r="F20919" i="1"/>
  <c r="F20917" i="1"/>
  <c r="F20915" i="1"/>
  <c r="F20913" i="1"/>
  <c r="F20911" i="1"/>
  <c r="F20909" i="1"/>
  <c r="F20907" i="1"/>
  <c r="F20905" i="1"/>
  <c r="F20889" i="1"/>
  <c r="F20780" i="1"/>
  <c r="F20657" i="1"/>
  <c r="F20648" i="1"/>
  <c r="F20634" i="1"/>
  <c r="F20607" i="1"/>
  <c r="F20512" i="1"/>
  <c r="F20341" i="1"/>
  <c r="F20275" i="1"/>
  <c r="F20137" i="1"/>
  <c r="F20133" i="1"/>
  <c r="F20114" i="1"/>
  <c r="F20110" i="1"/>
  <c r="F19939" i="1"/>
  <c r="F19812" i="1"/>
  <c r="F19725" i="1"/>
  <c r="F19573" i="1"/>
  <c r="F19430" i="1"/>
  <c r="F19424" i="1"/>
  <c r="F19418" i="1"/>
  <c r="F19416" i="1"/>
  <c r="F19415" i="1"/>
  <c r="F19412" i="1"/>
  <c r="F19408" i="1"/>
  <c r="F19402" i="1"/>
  <c r="F19344" i="1"/>
  <c r="F19323" i="1"/>
  <c r="F19317" i="1"/>
  <c r="F19315" i="1"/>
  <c r="F19304" i="1"/>
  <c r="F19303" i="1"/>
  <c r="F19301" i="1"/>
  <c r="F19291" i="1"/>
  <c r="F19290" i="1"/>
  <c r="F19287" i="1"/>
  <c r="F19283" i="1"/>
  <c r="F19279" i="1"/>
  <c r="F19273" i="1"/>
  <c r="F19269" i="1"/>
  <c r="F19172" i="1"/>
  <c r="F19126" i="1"/>
  <c r="F19046" i="1"/>
  <c r="F19042" i="1"/>
  <c r="F18830" i="1"/>
  <c r="F18750" i="1"/>
  <c r="F18557" i="1"/>
  <c r="F18238" i="1"/>
  <c r="F18177" i="1"/>
  <c r="F18175" i="1"/>
  <c r="F18103" i="1"/>
  <c r="F17749" i="1"/>
  <c r="F17747" i="1"/>
  <c r="F17745" i="1"/>
  <c r="F17706" i="1"/>
  <c r="F17515" i="1"/>
  <c r="F17390" i="1"/>
  <c r="F17269" i="1"/>
  <c r="F17267" i="1"/>
  <c r="F17257" i="1"/>
  <c r="F17255" i="1"/>
  <c r="F17253" i="1"/>
  <c r="F16835" i="1"/>
  <c r="F16559" i="1"/>
  <c r="F16354" i="1"/>
  <c r="F16217" i="1"/>
  <c r="F16143" i="1"/>
  <c r="F16129" i="1"/>
  <c r="F16103" i="1"/>
  <c r="F16086" i="1"/>
  <c r="F16037" i="1"/>
  <c r="F15889" i="1"/>
  <c r="F15865" i="1"/>
  <c r="F15800" i="1"/>
  <c r="F15784" i="1"/>
  <c r="F15739" i="1"/>
  <c r="F15544" i="1"/>
  <c r="F15377" i="1"/>
  <c r="F15276" i="1"/>
  <c r="F15134" i="1"/>
  <c r="F14919" i="1"/>
  <c r="F14665" i="1"/>
  <c r="F14649" i="1"/>
  <c r="F14618" i="1"/>
  <c r="F14397" i="1"/>
  <c r="F14113" i="1"/>
  <c r="F14111" i="1"/>
  <c r="F14056" i="1"/>
  <c r="F13982" i="1"/>
  <c r="F13980" i="1"/>
  <c r="F13874" i="1"/>
  <c r="F13868" i="1"/>
  <c r="F13866" i="1"/>
  <c r="F13838" i="1"/>
  <c r="F13836" i="1"/>
  <c r="F13708" i="1"/>
  <c r="F13119" i="1"/>
  <c r="F12865" i="1"/>
  <c r="F12564" i="1"/>
  <c r="F12236" i="1"/>
  <c r="F12191" i="1"/>
  <c r="F12120" i="1"/>
  <c r="F11997" i="1"/>
  <c r="F11910" i="1"/>
  <c r="F11886" i="1"/>
  <c r="F11842" i="1"/>
  <c r="F11822" i="1"/>
  <c r="F11780" i="1"/>
  <c r="F11751" i="1"/>
  <c r="F11735" i="1"/>
  <c r="F11728" i="1"/>
  <c r="F11711" i="1"/>
  <c r="F11701" i="1"/>
  <c r="F11620" i="1"/>
  <c r="F11567" i="1"/>
  <c r="F11565" i="1"/>
  <c r="F11523" i="1"/>
  <c r="F11484" i="1"/>
  <c r="F11357" i="1"/>
  <c r="F11356" i="1"/>
  <c r="F11260" i="1"/>
  <c r="F11002" i="1"/>
  <c r="F11001" i="1"/>
  <c r="F11000" i="1"/>
  <c r="F10998" i="1"/>
  <c r="F10992" i="1"/>
  <c r="F10990" i="1"/>
  <c r="F10984" i="1"/>
  <c r="F10980" i="1"/>
  <c r="F10978" i="1"/>
  <c r="F10974" i="1"/>
  <c r="F10972" i="1"/>
  <c r="F10968" i="1"/>
  <c r="F10967" i="1"/>
  <c r="F10964" i="1"/>
  <c r="F10959" i="1"/>
  <c r="F10957" i="1"/>
  <c r="F10945" i="1"/>
  <c r="F10935" i="1"/>
  <c r="F10933" i="1"/>
  <c r="F10931" i="1"/>
  <c r="F10927" i="1"/>
  <c r="F10925" i="1"/>
  <c r="F10918" i="1"/>
  <c r="F10916" i="1"/>
  <c r="F10908" i="1"/>
  <c r="F10901" i="1"/>
  <c r="F10894" i="1"/>
  <c r="F10893" i="1"/>
  <c r="F10885" i="1"/>
  <c r="F10884" i="1"/>
  <c r="F10882" i="1"/>
  <c r="F10881" i="1"/>
  <c r="F10876" i="1"/>
  <c r="F10875" i="1"/>
  <c r="F10872" i="1"/>
  <c r="F10869" i="1"/>
  <c r="F10867" i="1"/>
  <c r="F10863" i="1"/>
  <c r="F10861" i="1"/>
  <c r="F10859" i="1"/>
  <c r="F10851" i="1"/>
  <c r="F10849" i="1"/>
  <c r="F10847" i="1"/>
  <c r="F10845" i="1"/>
  <c r="F10843" i="1"/>
  <c r="F10841" i="1"/>
  <c r="F10838" i="1"/>
  <c r="F10700" i="1"/>
  <c r="F10690" i="1"/>
  <c r="F10009" i="1"/>
  <c r="F9900" i="1"/>
  <c r="F9410" i="1"/>
  <c r="F9378" i="1"/>
  <c r="F9333" i="1"/>
  <c r="F9325" i="1"/>
  <c r="F9247" i="1"/>
  <c r="F9216" i="1"/>
  <c r="F9214" i="1"/>
  <c r="F9160" i="1"/>
  <c r="F9134" i="1"/>
  <c r="F8985" i="1"/>
  <c r="F8841" i="1"/>
  <c r="F8839" i="1"/>
  <c r="F8668" i="1"/>
  <c r="F8655" i="1"/>
  <c r="F7826" i="1"/>
  <c r="F7682" i="1"/>
  <c r="F7488" i="1"/>
  <c r="F7486" i="1"/>
  <c r="F7305" i="1"/>
  <c r="F7268" i="1"/>
  <c r="F6941" i="1"/>
  <c r="F6770" i="1"/>
  <c r="F6696" i="1"/>
  <c r="F6455" i="1"/>
  <c r="F5966" i="1"/>
  <c r="F5688" i="1"/>
  <c r="F5608" i="1"/>
  <c r="F5557" i="1"/>
  <c r="F5286" i="1"/>
  <c r="F5090" i="1"/>
  <c r="F5081" i="1"/>
  <c r="F5058" i="1"/>
  <c r="F4607" i="1"/>
  <c r="F4510" i="1"/>
  <c r="F4508" i="1"/>
  <c r="F4506" i="1"/>
  <c r="F4502" i="1"/>
  <c r="F4500" i="1"/>
  <c r="F4496" i="1"/>
  <c r="F4494" i="1"/>
  <c r="F4432" i="1"/>
  <c r="F4402" i="1"/>
  <c r="F4294" i="1"/>
  <c r="F4139" i="1"/>
  <c r="F3485" i="1"/>
  <c r="F3481" i="1"/>
  <c r="F3410" i="1"/>
  <c r="F3402" i="1"/>
  <c r="F3380" i="1"/>
  <c r="F3327" i="1"/>
  <c r="F3307" i="1"/>
  <c r="F3301" i="1"/>
  <c r="F3216" i="1"/>
  <c r="F3215" i="1"/>
  <c r="F3123" i="1"/>
  <c r="F3120" i="1"/>
  <c r="F3071" i="1"/>
  <c r="F3057" i="1"/>
  <c r="F3052" i="1"/>
  <c r="F3039" i="1"/>
  <c r="F3036" i="1"/>
  <c r="F3030" i="1"/>
  <c r="F3022" i="1"/>
  <c r="F2967" i="1"/>
  <c r="F2927" i="1"/>
  <c r="F2919" i="1"/>
  <c r="F2910" i="1"/>
  <c r="F2732" i="1"/>
  <c r="F2731" i="1"/>
  <c r="F2728" i="1"/>
  <c r="F2726" i="1"/>
  <c r="F2722" i="1"/>
  <c r="F2720" i="1"/>
  <c r="F2718" i="1"/>
  <c r="F2716" i="1"/>
  <c r="F2714" i="1"/>
  <c r="F2712" i="1"/>
  <c r="F2710" i="1"/>
  <c r="F2708" i="1"/>
  <c r="F2707" i="1"/>
  <c r="F2702" i="1"/>
  <c r="F2700" i="1"/>
  <c r="F2698" i="1"/>
  <c r="F2672" i="1"/>
  <c r="F2636" i="1"/>
  <c r="F2630" i="1"/>
  <c r="F2588" i="1"/>
  <c r="F2585" i="1"/>
  <c r="F2584" i="1"/>
  <c r="F2581" i="1"/>
  <c r="F2536" i="1"/>
  <c r="F2124" i="1"/>
  <c r="F2080" i="1"/>
  <c r="F1468" i="1"/>
  <c r="F834" i="1"/>
  <c r="F616" i="1"/>
  <c r="F31709" i="1"/>
  <c r="F24072" i="1"/>
  <c r="F20706" i="1"/>
  <c r="F12810" i="1"/>
  <c r="F10903" i="1"/>
  <c r="F29034" i="1"/>
  <c r="F15245" i="1"/>
  <c r="F13205" i="1"/>
  <c r="F13711" i="1"/>
  <c r="F28694" i="1"/>
  <c r="F24078" i="1"/>
  <c r="F23430" i="1"/>
  <c r="F23034" i="1"/>
  <c r="F19654" i="1"/>
  <c r="F19044" i="1"/>
  <c r="F15804" i="1"/>
  <c r="F13700" i="1"/>
  <c r="F5512" i="1"/>
  <c r="F34273" i="1"/>
  <c r="F34053" i="1"/>
  <c r="F32599" i="1"/>
  <c r="F28976" i="1"/>
  <c r="F23423" i="1"/>
  <c r="F6630" i="1"/>
  <c r="F36052" i="1"/>
  <c r="F33781" i="1"/>
  <c r="F27984" i="1"/>
  <c r="F24662" i="1"/>
  <c r="F24359" i="1"/>
  <c r="F23766" i="1"/>
  <c r="F20971" i="1"/>
  <c r="F16587" i="1"/>
  <c r="F15773" i="1"/>
  <c r="F15758" i="1"/>
  <c r="F11433" i="1"/>
  <c r="F10570" i="1"/>
  <c r="F8869" i="1"/>
  <c r="F7470" i="1"/>
  <c r="F6921" i="1"/>
  <c r="F5520" i="1"/>
  <c r="F5424" i="1"/>
  <c r="F4466" i="1"/>
  <c r="F4264" i="1"/>
  <c r="F4242" i="1"/>
  <c r="F329" i="1"/>
  <c r="F93" i="1"/>
  <c r="F36418" i="1"/>
  <c r="F36414" i="1"/>
  <c r="F36294" i="1"/>
  <c r="F36291" i="1"/>
  <c r="F36225" i="1"/>
  <c r="F36133" i="1"/>
  <c r="F36130" i="1"/>
  <c r="F36122" i="1"/>
  <c r="F36121" i="1"/>
  <c r="F36116" i="1"/>
  <c r="F35778" i="1"/>
  <c r="F35719" i="1"/>
  <c r="F35715" i="1"/>
  <c r="F35624" i="1"/>
  <c r="F35623" i="1"/>
  <c r="F35612" i="1"/>
  <c r="F35610" i="1"/>
  <c r="F35609" i="1"/>
  <c r="F35607" i="1"/>
  <c r="F35606" i="1"/>
  <c r="F35601" i="1"/>
  <c r="F35595" i="1"/>
  <c r="F35594" i="1"/>
  <c r="F35581" i="1"/>
  <c r="F35580" i="1"/>
  <c r="F35530" i="1"/>
  <c r="F35408" i="1"/>
  <c r="F35381" i="1"/>
  <c r="F35342" i="1"/>
  <c r="F35325" i="1"/>
  <c r="F35273" i="1"/>
  <c r="F35272" i="1"/>
  <c r="F35199" i="1"/>
  <c r="F35009" i="1"/>
  <c r="F35007" i="1"/>
  <c r="F34906" i="1"/>
  <c r="F34905" i="1"/>
  <c r="F34904" i="1"/>
  <c r="F34756" i="1"/>
  <c r="F34739" i="1"/>
  <c r="F34738" i="1"/>
  <c r="F34737" i="1"/>
  <c r="F34724" i="1"/>
  <c r="F34575" i="1"/>
  <c r="F34574" i="1"/>
  <c r="F34516" i="1"/>
  <c r="F34515" i="1"/>
  <c r="F34514" i="1"/>
  <c r="F34513" i="1"/>
  <c r="F34512" i="1"/>
  <c r="F34511" i="1"/>
  <c r="F34491" i="1"/>
  <c r="F34467" i="1"/>
  <c r="F34463" i="1"/>
  <c r="F34462" i="1"/>
  <c r="F34461" i="1"/>
  <c r="F34460" i="1"/>
  <c r="F34459" i="1"/>
  <c r="F34458" i="1"/>
  <c r="F34456" i="1"/>
  <c r="F34455" i="1"/>
  <c r="F34454" i="1"/>
  <c r="F34453" i="1"/>
  <c r="F34451" i="1"/>
  <c r="F34450" i="1"/>
  <c r="F34449" i="1"/>
  <c r="F34448" i="1"/>
  <c r="F34447" i="1"/>
  <c r="F34446" i="1"/>
  <c r="F34445" i="1"/>
  <c r="F34444" i="1"/>
  <c r="F34443" i="1"/>
  <c r="F34440" i="1"/>
  <c r="F34439" i="1"/>
  <c r="F34438" i="1"/>
  <c r="F34437" i="1"/>
  <c r="F34436" i="1"/>
  <c r="F34435" i="1"/>
  <c r="F34434" i="1"/>
  <c r="F34433" i="1"/>
  <c r="F34432" i="1"/>
  <c r="F34430" i="1"/>
  <c r="F34429" i="1"/>
  <c r="F34428" i="1"/>
  <c r="F34427" i="1"/>
  <c r="F34426" i="1"/>
  <c r="F34425" i="1"/>
  <c r="F34423" i="1"/>
  <c r="F34422" i="1"/>
  <c r="F34421" i="1"/>
  <c r="F34420" i="1"/>
  <c r="F34405" i="1"/>
  <c r="F34390" i="1"/>
  <c r="F34300" i="1"/>
  <c r="F34220" i="1"/>
  <c r="F34177" i="1"/>
  <c r="F33924" i="1"/>
  <c r="F33828" i="1"/>
  <c r="F33768" i="1"/>
  <c r="F33767" i="1"/>
  <c r="F33764" i="1"/>
  <c r="F33724" i="1"/>
  <c r="F33680" i="1"/>
  <c r="F33679" i="1"/>
  <c r="F33676" i="1"/>
  <c r="F33528" i="1"/>
  <c r="F33495" i="1"/>
  <c r="F33451" i="1"/>
  <c r="F33445" i="1"/>
  <c r="F33444" i="1"/>
  <c r="F33443" i="1"/>
  <c r="F33442" i="1"/>
  <c r="F33431" i="1"/>
  <c r="F33430" i="1"/>
  <c r="F33428" i="1"/>
  <c r="F33426" i="1"/>
  <c r="F33423" i="1"/>
  <c r="F33422" i="1"/>
  <c r="F33367" i="1"/>
  <c r="F33364" i="1"/>
  <c r="F33204" i="1"/>
  <c r="F33186" i="1"/>
  <c r="F33179" i="1"/>
  <c r="F33178" i="1"/>
  <c r="F33134" i="1"/>
  <c r="F33097" i="1"/>
  <c r="F33025" i="1"/>
  <c r="F33002" i="1"/>
  <c r="F32995" i="1"/>
  <c r="F32989" i="1"/>
  <c r="F32964" i="1"/>
  <c r="F32951" i="1"/>
  <c r="F32950" i="1"/>
  <c r="F32949" i="1"/>
  <c r="F32930" i="1"/>
  <c r="F32849" i="1"/>
  <c r="F32838" i="1"/>
  <c r="F32819" i="1"/>
  <c r="F32814" i="1"/>
  <c r="F32811" i="1"/>
  <c r="F32774" i="1"/>
  <c r="F32700" i="1"/>
  <c r="F32699" i="1"/>
  <c r="F32694" i="1"/>
  <c r="F32672" i="1"/>
  <c r="F32671" i="1"/>
  <c r="F32667" i="1"/>
  <c r="F32664" i="1"/>
  <c r="F32647" i="1"/>
  <c r="F32634" i="1"/>
  <c r="F32633" i="1"/>
  <c r="F32631" i="1"/>
  <c r="F32619" i="1"/>
  <c r="F32598" i="1"/>
  <c r="F32592" i="1"/>
  <c r="F32550" i="1"/>
  <c r="F32548" i="1"/>
  <c r="F32547" i="1"/>
  <c r="F32508" i="1"/>
  <c r="F32506" i="1"/>
  <c r="F32501" i="1"/>
  <c r="F32359" i="1"/>
  <c r="F32358" i="1"/>
  <c r="F32356" i="1"/>
  <c r="F32354" i="1"/>
  <c r="F32325" i="1"/>
  <c r="F32284" i="1"/>
  <c r="F32279" i="1"/>
  <c r="F32099" i="1"/>
  <c r="F31765" i="1"/>
  <c r="F31685" i="1"/>
  <c r="F31529" i="1"/>
  <c r="F31430" i="1"/>
  <c r="F31429" i="1"/>
  <c r="F31365" i="1"/>
  <c r="F30931" i="1"/>
  <c r="F30910" i="1"/>
  <c r="F30870" i="1"/>
  <c r="F30647" i="1"/>
  <c r="F30639" i="1"/>
  <c r="F30601" i="1"/>
  <c r="F30575" i="1"/>
  <c r="F30471" i="1"/>
  <c r="F30506" i="1"/>
  <c r="F30435" i="1"/>
  <c r="F30414" i="1"/>
  <c r="F30413" i="1"/>
  <c r="F30412" i="1"/>
  <c r="F30400" i="1"/>
  <c r="F30384" i="1"/>
  <c r="F30335" i="1"/>
  <c r="F30282" i="1"/>
  <c r="F30250" i="1"/>
  <c r="F30172" i="1"/>
  <c r="F30150" i="1"/>
  <c r="F30139" i="1"/>
  <c r="F30135" i="1"/>
  <c r="F30070" i="1"/>
  <c r="F30067" i="1"/>
  <c r="F30062" i="1"/>
  <c r="F29957" i="1"/>
  <c r="F29952" i="1"/>
  <c r="F29947" i="1"/>
  <c r="F29926" i="1"/>
  <c r="F29924" i="1"/>
  <c r="F29923" i="1"/>
  <c r="F29907" i="1"/>
  <c r="F29901" i="1"/>
  <c r="F29887" i="1"/>
  <c r="F29794" i="1"/>
  <c r="F29793" i="1"/>
  <c r="F29757" i="1"/>
  <c r="F29752" i="1"/>
  <c r="F29751" i="1"/>
  <c r="F29710" i="1"/>
  <c r="F29709" i="1"/>
  <c r="F29708" i="1"/>
  <c r="F29667" i="1"/>
  <c r="F29660" i="1"/>
  <c r="F29514" i="1"/>
  <c r="F29513" i="1"/>
  <c r="F29512" i="1"/>
  <c r="F29501" i="1"/>
  <c r="F29490" i="1"/>
  <c r="F29468" i="1"/>
  <c r="F29462" i="1"/>
  <c r="F29458" i="1"/>
  <c r="F29455" i="1"/>
  <c r="F29454" i="1"/>
  <c r="F29452" i="1"/>
  <c r="F29447" i="1"/>
  <c r="F29446" i="1"/>
  <c r="F29444" i="1"/>
  <c r="F29443" i="1"/>
  <c r="F29304" i="1"/>
  <c r="F29295" i="1"/>
  <c r="F29290" i="1"/>
  <c r="F29287" i="1"/>
  <c r="F29276" i="1"/>
  <c r="F29265" i="1"/>
  <c r="F29264" i="1"/>
  <c r="F29257" i="1"/>
  <c r="F29236" i="1"/>
  <c r="F29235" i="1"/>
  <c r="F29227" i="1"/>
  <c r="F29226" i="1"/>
  <c r="F29207" i="1"/>
  <c r="F29205" i="1"/>
  <c r="F29182" i="1"/>
  <c r="F29177" i="1"/>
  <c r="F29176" i="1"/>
  <c r="F29173" i="1"/>
  <c r="F29172" i="1"/>
  <c r="F29171" i="1"/>
  <c r="F29158" i="1"/>
  <c r="F29147" i="1"/>
  <c r="F29145" i="1"/>
  <c r="F29144" i="1"/>
  <c r="F29123" i="1"/>
  <c r="F29103" i="1"/>
  <c r="F29080" i="1"/>
  <c r="F29071" i="1"/>
  <c r="F29069" i="1"/>
  <c r="F29038" i="1"/>
  <c r="F29037" i="1"/>
  <c r="F29036" i="1"/>
  <c r="F28997" i="1"/>
  <c r="F28996" i="1"/>
  <c r="F28961" i="1"/>
  <c r="F28918" i="1"/>
  <c r="F28908" i="1"/>
  <c r="F28860" i="1"/>
  <c r="F28852" i="1"/>
  <c r="F28850" i="1"/>
  <c r="F28835" i="1"/>
  <c r="F28829" i="1"/>
  <c r="F28773" i="1"/>
  <c r="F28755" i="1"/>
  <c r="F28705" i="1"/>
  <c r="F28687" i="1"/>
  <c r="F28686" i="1"/>
  <c r="F28684" i="1"/>
  <c r="F28683" i="1"/>
  <c r="F28682" i="1"/>
  <c r="F28675" i="1"/>
  <c r="F28668" i="1"/>
  <c r="F28655" i="1"/>
  <c r="F28654" i="1"/>
  <c r="F28653" i="1"/>
  <c r="F28652" i="1"/>
  <c r="F28651" i="1"/>
  <c r="F28650" i="1"/>
  <c r="F28641" i="1"/>
  <c r="F28640" i="1"/>
  <c r="F28636" i="1"/>
  <c r="F28635" i="1"/>
  <c r="F28634" i="1"/>
  <c r="F28633" i="1"/>
  <c r="F28632" i="1"/>
  <c r="F28631" i="1"/>
  <c r="F28630" i="1"/>
  <c r="F28628" i="1"/>
  <c r="F28626" i="1"/>
  <c r="F28584" i="1"/>
  <c r="F28530" i="1"/>
  <c r="F28528" i="1"/>
  <c r="F28526" i="1"/>
  <c r="F28514" i="1"/>
  <c r="F28509" i="1"/>
  <c r="F28508" i="1"/>
  <c r="F28488" i="1"/>
  <c r="F28437" i="1"/>
  <c r="F28397" i="1"/>
  <c r="F28393" i="1"/>
  <c r="F28365" i="1"/>
  <c r="F28359" i="1"/>
  <c r="F28337" i="1"/>
  <c r="F28307" i="1"/>
  <c r="F28305" i="1"/>
  <c r="F28303" i="1"/>
  <c r="F28298" i="1"/>
  <c r="F28293" i="1"/>
  <c r="F28292" i="1"/>
  <c r="F28251" i="1"/>
  <c r="F28249" i="1"/>
  <c r="F28241" i="1"/>
  <c r="F28240" i="1"/>
  <c r="F28238" i="1"/>
  <c r="F28237" i="1"/>
  <c r="F28233" i="1"/>
  <c r="F28232" i="1"/>
  <c r="F28231" i="1"/>
  <c r="F28230" i="1"/>
  <c r="F28227" i="1"/>
  <c r="F28179" i="1"/>
  <c r="F28177" i="1"/>
  <c r="F28173" i="1"/>
  <c r="F28166" i="1"/>
  <c r="F28157" i="1"/>
  <c r="F28122" i="1"/>
  <c r="F28117" i="1"/>
  <c r="F28103" i="1"/>
  <c r="F28075" i="1"/>
  <c r="F27957" i="1"/>
  <c r="F27948" i="1"/>
  <c r="F27932" i="1"/>
  <c r="F27861" i="1"/>
  <c r="F27860" i="1"/>
  <c r="F27859" i="1"/>
  <c r="F27850" i="1"/>
  <c r="F27849" i="1"/>
  <c r="F27847" i="1"/>
  <c r="F27842" i="1"/>
  <c r="F27840" i="1"/>
  <c r="F27839" i="1"/>
  <c r="F27838" i="1"/>
  <c r="F27837" i="1"/>
  <c r="F27832" i="1"/>
  <c r="F27829" i="1"/>
  <c r="F27720" i="1"/>
  <c r="F27646" i="1"/>
  <c r="F27633" i="1"/>
  <c r="F27551" i="1"/>
  <c r="F27550" i="1"/>
  <c r="F27548" i="1"/>
  <c r="F27526" i="1"/>
  <c r="F27525" i="1"/>
  <c r="F27524" i="1"/>
  <c r="F27523" i="1"/>
  <c r="F27519" i="1"/>
  <c r="F27518" i="1"/>
  <c r="F27516" i="1"/>
  <c r="F27474" i="1"/>
  <c r="F27464" i="1"/>
  <c r="F27438" i="1"/>
  <c r="F27430" i="1"/>
  <c r="F27427" i="1"/>
  <c r="F27415" i="1"/>
  <c r="F27414" i="1"/>
  <c r="F27409" i="1"/>
  <c r="F27408" i="1"/>
  <c r="F27405" i="1"/>
  <c r="F27393" i="1"/>
  <c r="F27392" i="1"/>
  <c r="F27391" i="1"/>
  <c r="F27389" i="1"/>
  <c r="F27382" i="1"/>
  <c r="F27375" i="1"/>
  <c r="F27368" i="1"/>
  <c r="F27348" i="1"/>
  <c r="F27347" i="1"/>
  <c r="F27325" i="1"/>
  <c r="F27317" i="1"/>
  <c r="F27296" i="1"/>
  <c r="F27285" i="1"/>
  <c r="F27258" i="1"/>
  <c r="F27256" i="1"/>
  <c r="F27209" i="1"/>
  <c r="F27194" i="1"/>
  <c r="F27193" i="1"/>
  <c r="F27192" i="1"/>
  <c r="F27191" i="1"/>
  <c r="F27189" i="1"/>
  <c r="F27187" i="1"/>
  <c r="F27186" i="1"/>
  <c r="F27185" i="1"/>
  <c r="F27182" i="1"/>
  <c r="F27174" i="1"/>
  <c r="F27169" i="1"/>
  <c r="F27162" i="1"/>
  <c r="F27160" i="1"/>
  <c r="F27144" i="1"/>
  <c r="F27142" i="1"/>
  <c r="F27141" i="1"/>
  <c r="F27138" i="1"/>
  <c r="F27133" i="1"/>
  <c r="F27130" i="1"/>
  <c r="F27125" i="1"/>
  <c r="F27117" i="1"/>
  <c r="F27115" i="1"/>
  <c r="F27106" i="1"/>
  <c r="F27103" i="1"/>
  <c r="F27098" i="1"/>
  <c r="F27097" i="1"/>
  <c r="F27095" i="1"/>
  <c r="F27093" i="1"/>
  <c r="F27090" i="1"/>
  <c r="F27089" i="1"/>
  <c r="F27076" i="1"/>
  <c r="F27061" i="1"/>
  <c r="F27060" i="1"/>
  <c r="F27059" i="1"/>
  <c r="F27057" i="1"/>
  <c r="F26989" i="1"/>
  <c r="F26988" i="1"/>
  <c r="F26987" i="1"/>
  <c r="F26977" i="1"/>
  <c r="F26975" i="1"/>
  <c r="F26974" i="1"/>
  <c r="F26971" i="1"/>
  <c r="F26970" i="1"/>
  <c r="F26939" i="1"/>
  <c r="F26938" i="1"/>
  <c r="F26937" i="1"/>
  <c r="F26934" i="1"/>
  <c r="F26889" i="1"/>
  <c r="F26841" i="1"/>
  <c r="F26782" i="1"/>
  <c r="F26747" i="1"/>
  <c r="F26743" i="1"/>
  <c r="F26713" i="1"/>
  <c r="F26670" i="1"/>
  <c r="F26629" i="1"/>
  <c r="F26619" i="1"/>
  <c r="F26523" i="1"/>
  <c r="F26519" i="1"/>
  <c r="F26516" i="1"/>
  <c r="F26458" i="1"/>
  <c r="F26364" i="1"/>
  <c r="F26363" i="1"/>
  <c r="F26214" i="1"/>
  <c r="F26124" i="1"/>
  <c r="F26123" i="1"/>
  <c r="F25870" i="1"/>
  <c r="F25686" i="1"/>
  <c r="F25578" i="1"/>
  <c r="F25576" i="1"/>
  <c r="F25575" i="1"/>
  <c r="F25574" i="1"/>
  <c r="F25573" i="1"/>
  <c r="F25572" i="1"/>
  <c r="F25570" i="1"/>
  <c r="F25567" i="1"/>
  <c r="F25509" i="1"/>
  <c r="F25508" i="1"/>
  <c r="F25507" i="1"/>
  <c r="F25500" i="1"/>
  <c r="F25396" i="1"/>
  <c r="F25332" i="1"/>
  <c r="F25312" i="1"/>
  <c r="F25276" i="1"/>
  <c r="F25269" i="1"/>
  <c r="F25238" i="1"/>
  <c r="F25064" i="1"/>
  <c r="F25044" i="1"/>
  <c r="F25042" i="1"/>
  <c r="F25039" i="1"/>
  <c r="F25037" i="1"/>
  <c r="F25024" i="1"/>
  <c r="F24971" i="1"/>
  <c r="F24919" i="1"/>
  <c r="F24917" i="1"/>
  <c r="F24850" i="1"/>
  <c r="F24844" i="1"/>
  <c r="F24841" i="1"/>
  <c r="F24830" i="1"/>
  <c r="F24827" i="1"/>
  <c r="F24785" i="1"/>
  <c r="F24764" i="1"/>
  <c r="F24568" i="1"/>
  <c r="F24566" i="1"/>
  <c r="F24498" i="1"/>
  <c r="F24497" i="1"/>
  <c r="F24496" i="1"/>
  <c r="F24417" i="1"/>
  <c r="F24391" i="1"/>
  <c r="F24389" i="1"/>
  <c r="F24284" i="1"/>
  <c r="F24361" i="1"/>
  <c r="F24296" i="1"/>
  <c r="F24214" i="1"/>
  <c r="F24210" i="1"/>
  <c r="F24191" i="1"/>
  <c r="F24179" i="1"/>
  <c r="F24178" i="1"/>
  <c r="F24167" i="1"/>
  <c r="F23984" i="1"/>
  <c r="F23975" i="1"/>
  <c r="F23974" i="1"/>
  <c r="F23972" i="1"/>
  <c r="F23953" i="1"/>
  <c r="F23952" i="1"/>
  <c r="F23874" i="1"/>
  <c r="F23596" i="1"/>
  <c r="F23595" i="1"/>
  <c r="F23593" i="1"/>
  <c r="F23575" i="1"/>
  <c r="F23574" i="1"/>
  <c r="F23573" i="1"/>
  <c r="F23572" i="1"/>
  <c r="F23570" i="1"/>
  <c r="F23568" i="1"/>
  <c r="F23567" i="1"/>
  <c r="F23560" i="1"/>
  <c r="F23519" i="1"/>
  <c r="F23496" i="1"/>
  <c r="F23494" i="1"/>
  <c r="F23419" i="1"/>
  <c r="F23407" i="1"/>
  <c r="F23404" i="1"/>
  <c r="F23403" i="1"/>
  <c r="F23397" i="1"/>
  <c r="F23396" i="1"/>
  <c r="F23395" i="1"/>
  <c r="F23394" i="1"/>
  <c r="F23382" i="1"/>
  <c r="F23301" i="1"/>
  <c r="F23300" i="1"/>
  <c r="F23295" i="1"/>
  <c r="F23290" i="1"/>
  <c r="F23224" i="1"/>
  <c r="F23201" i="1"/>
  <c r="F23185" i="1"/>
  <c r="F23183" i="1"/>
  <c r="F23178" i="1"/>
  <c r="F23177" i="1"/>
  <c r="F23175" i="1"/>
  <c r="F23163" i="1"/>
  <c r="F23154" i="1"/>
  <c r="F23146" i="1"/>
  <c r="F23135" i="1"/>
  <c r="F23131" i="1"/>
  <c r="F23090" i="1"/>
  <c r="F23086" i="1"/>
  <c r="F23021" i="1"/>
  <c r="F23017" i="1"/>
  <c r="F23015" i="1"/>
  <c r="F23011" i="1"/>
  <c r="F22979" i="1"/>
  <c r="F22948" i="1"/>
  <c r="F22938" i="1"/>
  <c r="F22902" i="1"/>
  <c r="F22888" i="1"/>
  <c r="F22877" i="1"/>
  <c r="F22829" i="1"/>
  <c r="F22662" i="1"/>
  <c r="F22660" i="1"/>
  <c r="F22657" i="1"/>
  <c r="F22487" i="1"/>
  <c r="F22426" i="1"/>
  <c r="F22351" i="1"/>
  <c r="F22338" i="1"/>
  <c r="F22336" i="1"/>
  <c r="F22334" i="1"/>
  <c r="F22161" i="1"/>
  <c r="F22137" i="1"/>
  <c r="F22135" i="1"/>
  <c r="F22134" i="1"/>
  <c r="F22133" i="1"/>
  <c r="F22099" i="1"/>
  <c r="F22098" i="1"/>
  <c r="F22097" i="1"/>
  <c r="F22096" i="1"/>
  <c r="F22095" i="1"/>
  <c r="F22094" i="1"/>
  <c r="F22093" i="1"/>
  <c r="F22092" i="1"/>
  <c r="F21881" i="1"/>
  <c r="F21793" i="1"/>
  <c r="F21757" i="1"/>
  <c r="F21753" i="1"/>
  <c r="F21306" i="1"/>
  <c r="F21144" i="1"/>
  <c r="F21138" i="1"/>
  <c r="F21063" i="1"/>
  <c r="F21061" i="1"/>
  <c r="F21059" i="1"/>
  <c r="F20997" i="1"/>
  <c r="F20991" i="1"/>
  <c r="F20989" i="1"/>
  <c r="F20987" i="1"/>
  <c r="F20939" i="1"/>
  <c r="F20850" i="1"/>
  <c r="F20609" i="1"/>
  <c r="F20506" i="1"/>
  <c r="F20502" i="1"/>
  <c r="F20447" i="1"/>
  <c r="F20445" i="1"/>
  <c r="F20416" i="1"/>
  <c r="F20409" i="1"/>
  <c r="F20407" i="1"/>
  <c r="F20403" i="1"/>
  <c r="F20358" i="1"/>
  <c r="F20331" i="1"/>
  <c r="F20316" i="1"/>
  <c r="F20257" i="1"/>
  <c r="F20205" i="1"/>
  <c r="F20189" i="1"/>
  <c r="F20183" i="1"/>
  <c r="F20145" i="1"/>
  <c r="F20135" i="1"/>
  <c r="F20063" i="1"/>
  <c r="F19883" i="1"/>
  <c r="F19719" i="1"/>
  <c r="F19717" i="1"/>
  <c r="F19657" i="1"/>
  <c r="F19609" i="1"/>
  <c r="F19463" i="1"/>
  <c r="F19247" i="1"/>
  <c r="F19110" i="1"/>
  <c r="F18921" i="1"/>
  <c r="F18788" i="1"/>
  <c r="F18811" i="1"/>
  <c r="F18775" i="1"/>
  <c r="F18777" i="1"/>
  <c r="F18556" i="1"/>
  <c r="F18518" i="1"/>
  <c r="F18517" i="1"/>
  <c r="F18516" i="1"/>
  <c r="F18413" i="1"/>
  <c r="F18011" i="1"/>
  <c r="F18003" i="1"/>
  <c r="F17894" i="1"/>
  <c r="F17781" i="1"/>
  <c r="F17777" i="1"/>
  <c r="F17773" i="1"/>
  <c r="F17771" i="1"/>
  <c r="F17769" i="1"/>
  <c r="F17768" i="1"/>
  <c r="F17766" i="1"/>
  <c r="F17763" i="1"/>
  <c r="F17759" i="1"/>
  <c r="F17757" i="1"/>
  <c r="F17755" i="1"/>
  <c r="F17753" i="1"/>
  <c r="F17752" i="1"/>
  <c r="F17744" i="1"/>
  <c r="F17742" i="1"/>
  <c r="F17739" i="1"/>
  <c r="F17735" i="1"/>
  <c r="F17733" i="1"/>
  <c r="F17731" i="1"/>
  <c r="F17730" i="1"/>
  <c r="F17727" i="1"/>
  <c r="F17725" i="1"/>
  <c r="F17723" i="1"/>
  <c r="F17722" i="1"/>
  <c r="F17719" i="1"/>
  <c r="F17717" i="1"/>
  <c r="F17715" i="1"/>
  <c r="F17495" i="1"/>
  <c r="F17493" i="1"/>
  <c r="F17491" i="1"/>
  <c r="F17489" i="1"/>
  <c r="F17488" i="1"/>
  <c r="F17485" i="1"/>
  <c r="F17484" i="1"/>
  <c r="F17481" i="1"/>
  <c r="F17439" i="1"/>
  <c r="F17384" i="1"/>
  <c r="F17217" i="1"/>
  <c r="F17215" i="1"/>
  <c r="F17213" i="1"/>
  <c r="F17211" i="1"/>
  <c r="F17209" i="1"/>
  <c r="F17071" i="1"/>
  <c r="F17023" i="1"/>
  <c r="F16640" i="1"/>
  <c r="F16638" i="1"/>
  <c r="F16636" i="1"/>
  <c r="F16634" i="1"/>
  <c r="F16633" i="1"/>
  <c r="F16630" i="1"/>
  <c r="F16628" i="1"/>
  <c r="F16577" i="1"/>
  <c r="F16546" i="1"/>
  <c r="F16524" i="1"/>
  <c r="F16522" i="1"/>
  <c r="F16520" i="1"/>
  <c r="F16508" i="1"/>
  <c r="F16506" i="1"/>
  <c r="F16400" i="1"/>
  <c r="F16388" i="1"/>
  <c r="F16340" i="1"/>
  <c r="F16338" i="1"/>
  <c r="F16250" i="1"/>
  <c r="F16206" i="1"/>
  <c r="F16073" i="1"/>
  <c r="F16071" i="1"/>
  <c r="F16040" i="1"/>
  <c r="F16018" i="1"/>
  <c r="F16014" i="1"/>
  <c r="F15941" i="1"/>
  <c r="F15937" i="1"/>
  <c r="F15859" i="1"/>
  <c r="F15798" i="1"/>
  <c r="F15700" i="1"/>
  <c r="F15639" i="1"/>
  <c r="F15298" i="1"/>
  <c r="F15243" i="1"/>
  <c r="F15154" i="1"/>
  <c r="F15033" i="1"/>
  <c r="F15013" i="1"/>
  <c r="F14811" i="1"/>
  <c r="F14722" i="1"/>
  <c r="F14586" i="1"/>
  <c r="F14543" i="1"/>
  <c r="F14541" i="1"/>
  <c r="F14539" i="1"/>
  <c r="F14537" i="1"/>
  <c r="F14273" i="1"/>
  <c r="F14198" i="1"/>
  <c r="F14196" i="1"/>
  <c r="F14091" i="1"/>
  <c r="F14065" i="1"/>
  <c r="F13809" i="1"/>
  <c r="F13724" i="1"/>
  <c r="F13614" i="1"/>
  <c r="F13530" i="1"/>
  <c r="F13526" i="1"/>
  <c r="F13524" i="1"/>
  <c r="F13358" i="1"/>
  <c r="F13234" i="1"/>
  <c r="F12916" i="1"/>
  <c r="F12875" i="1"/>
  <c r="F12807" i="1"/>
  <c r="F12731" i="1"/>
  <c r="F12700" i="1"/>
  <c r="F12698" i="1"/>
  <c r="F12695" i="1"/>
  <c r="F12687" i="1"/>
  <c r="F12650" i="1"/>
  <c r="F12411" i="1"/>
  <c r="F12409" i="1"/>
  <c r="F12400" i="1"/>
  <c r="F12397" i="1"/>
  <c r="F12393" i="1"/>
  <c r="F12376" i="1"/>
  <c r="F12317" i="1"/>
  <c r="F12275" i="1"/>
  <c r="F12271" i="1"/>
  <c r="F12242" i="1"/>
  <c r="F12234" i="1"/>
  <c r="F12232" i="1"/>
  <c r="F12230" i="1"/>
  <c r="F12222" i="1"/>
  <c r="F12211" i="1"/>
  <c r="F12205" i="1"/>
  <c r="F12189" i="1"/>
  <c r="F12143" i="1"/>
  <c r="F12115" i="1"/>
  <c r="F12112" i="1"/>
  <c r="F12110" i="1"/>
  <c r="F12108" i="1"/>
  <c r="F12106" i="1"/>
  <c r="F12104" i="1"/>
  <c r="F12102" i="1"/>
  <c r="F12065" i="1"/>
  <c r="F12025" i="1"/>
  <c r="F12023" i="1"/>
  <c r="F12017" i="1"/>
  <c r="F12015" i="1"/>
  <c r="F11982" i="1"/>
  <c r="F11778" i="1"/>
  <c r="F11689" i="1"/>
  <c r="F11645" i="1"/>
  <c r="F11603" i="1"/>
  <c r="F11589" i="1"/>
  <c r="F11587" i="1"/>
  <c r="F11579" i="1"/>
  <c r="F11571" i="1"/>
  <c r="F11489" i="1"/>
  <c r="F11487" i="1"/>
  <c r="F11464" i="1"/>
  <c r="F11254" i="1"/>
  <c r="F11213" i="1"/>
  <c r="F11210" i="1"/>
  <c r="F11207" i="1"/>
  <c r="F10648" i="1"/>
  <c r="F10646" i="1"/>
  <c r="F9940" i="1"/>
  <c r="F9917" i="1"/>
  <c r="F9913" i="1"/>
  <c r="F9909" i="1"/>
  <c r="F9329" i="1"/>
  <c r="F9306" i="1"/>
  <c r="F9251" i="1"/>
  <c r="F9159" i="1"/>
  <c r="F9158" i="1"/>
  <c r="F9142" i="1"/>
  <c r="F9140" i="1"/>
  <c r="F9130" i="1"/>
  <c r="F9129" i="1"/>
  <c r="F9127" i="1"/>
  <c r="F9124" i="1"/>
  <c r="F9122" i="1"/>
  <c r="F9120" i="1"/>
  <c r="F9118" i="1"/>
  <c r="F9116" i="1"/>
  <c r="F9114" i="1"/>
  <c r="F9108" i="1"/>
  <c r="F9106" i="1"/>
  <c r="F9104" i="1"/>
  <c r="F9100" i="1"/>
  <c r="F9098" i="1"/>
  <c r="F9095" i="1"/>
  <c r="F9094" i="1"/>
  <c r="F9092" i="1"/>
  <c r="F9088" i="1"/>
  <c r="F9086" i="1"/>
  <c r="F9084" i="1"/>
  <c r="F9082" i="1"/>
  <c r="F9080" i="1"/>
  <c r="F9078" i="1"/>
  <c r="F9074" i="1"/>
  <c r="F9072" i="1"/>
  <c r="F9068" i="1"/>
  <c r="F9066" i="1"/>
  <c r="F9064" i="1"/>
  <c r="F9062" i="1"/>
  <c r="F8974" i="1"/>
  <c r="F8972" i="1"/>
  <c r="F8968" i="1"/>
  <c r="F8966" i="1"/>
  <c r="F8944" i="1"/>
  <c r="F8927" i="1"/>
  <c r="F8916" i="1"/>
  <c r="F8912" i="1"/>
  <c r="F8861" i="1"/>
  <c r="F8862" i="1"/>
  <c r="F8855" i="1"/>
  <c r="F8023" i="1"/>
  <c r="F8021" i="1"/>
  <c r="F7995" i="1"/>
  <c r="F7893" i="1"/>
  <c r="F7874" i="1"/>
  <c r="F7850" i="1"/>
  <c r="F7812" i="1"/>
  <c r="F7791" i="1"/>
  <c r="F7512" i="1"/>
  <c r="F7417" i="1"/>
  <c r="F7401" i="1"/>
  <c r="F7361" i="1"/>
  <c r="F7333" i="1"/>
  <c r="F7325" i="1"/>
  <c r="F7110" i="1"/>
  <c r="F7093" i="1"/>
  <c r="F7089" i="1"/>
  <c r="F7069" i="1"/>
  <c r="F7053" i="1"/>
  <c r="F7032" i="1"/>
  <c r="F6968" i="1"/>
  <c r="F6964" i="1"/>
  <c r="F6963" i="1"/>
  <c r="F6957" i="1"/>
  <c r="F6951" i="1"/>
  <c r="F6949" i="1"/>
  <c r="F6947" i="1"/>
  <c r="F6898" i="1"/>
  <c r="F6853" i="1"/>
  <c r="F6851" i="1"/>
  <c r="F6849" i="1"/>
  <c r="F6847" i="1"/>
  <c r="F6839" i="1"/>
  <c r="F6837" i="1"/>
  <c r="F6809" i="1"/>
  <c r="F6805" i="1"/>
  <c r="F6793" i="1"/>
  <c r="F6776" i="1"/>
  <c r="F6772" i="1"/>
  <c r="F6765" i="1"/>
  <c r="F6763" i="1"/>
  <c r="F6735" i="1"/>
  <c r="F6727" i="1"/>
  <c r="F6725" i="1"/>
  <c r="F6724" i="1"/>
  <c r="F6721" i="1"/>
  <c r="F6679" i="1"/>
  <c r="F6595" i="1"/>
  <c r="F6593" i="1"/>
  <c r="F6526" i="1"/>
  <c r="F6324" i="1"/>
  <c r="F6242" i="1"/>
  <c r="F6213" i="1"/>
  <c r="F5582" i="1"/>
  <c r="F5570" i="1"/>
  <c r="F5474" i="1"/>
  <c r="F5415" i="1"/>
  <c r="F5404" i="1"/>
  <c r="F5378" i="1"/>
  <c r="F5372" i="1"/>
  <c r="F5227" i="1"/>
  <c r="F4601" i="1"/>
  <c r="F4424" i="1"/>
  <c r="F4422" i="1"/>
  <c r="F4361" i="1"/>
  <c r="F4328" i="1"/>
  <c r="F4310" i="1"/>
  <c r="F4015" i="1"/>
  <c r="F3890" i="1"/>
  <c r="F3884" i="1"/>
  <c r="F3830" i="1"/>
  <c r="F3719" i="1"/>
  <c r="F3713" i="1"/>
  <c r="F3711" i="1"/>
  <c r="F3710" i="1"/>
  <c r="F3598" i="1"/>
  <c r="F3479" i="1"/>
  <c r="F3444" i="1"/>
  <c r="F3285" i="1"/>
  <c r="F3232" i="1"/>
  <c r="F3199" i="1"/>
  <c r="F3197" i="1"/>
  <c r="F3169" i="1"/>
  <c r="F3142" i="1"/>
  <c r="F3073" i="1"/>
  <c r="F3059" i="1"/>
  <c r="F3034" i="1"/>
  <c r="F2923" i="1"/>
  <c r="F2921" i="1"/>
  <c r="F2696" i="1"/>
  <c r="F2690" i="1"/>
  <c r="F2557" i="1"/>
  <c r="F2550" i="1"/>
  <c r="F2450" i="1"/>
  <c r="F2388" i="1"/>
  <c r="F2376" i="1"/>
  <c r="F2375" i="1"/>
  <c r="F2374" i="1"/>
  <c r="F2362" i="1"/>
  <c r="F2352" i="1"/>
  <c r="F2350" i="1"/>
  <c r="F2335" i="1"/>
  <c r="F2327" i="1"/>
  <c r="F2290" i="1"/>
  <c r="F2287" i="1"/>
  <c r="F2285" i="1"/>
  <c r="F2281" i="1"/>
  <c r="F2268" i="1"/>
  <c r="F2256" i="1"/>
  <c r="F2248" i="1"/>
  <c r="F2238" i="1"/>
  <c r="F2236" i="1"/>
  <c r="F2225" i="1"/>
  <c r="F2193" i="1"/>
  <c r="F2189" i="1"/>
  <c r="F2181" i="1"/>
  <c r="F2179" i="1"/>
  <c r="F2146" i="1"/>
  <c r="F2120" i="1"/>
  <c r="F2048" i="1"/>
  <c r="F2046" i="1"/>
  <c r="F2038" i="1"/>
  <c r="F2032" i="1"/>
  <c r="F2031" i="1"/>
  <c r="F2030" i="1"/>
  <c r="F2029" i="1"/>
  <c r="F2028" i="1"/>
  <c r="F2024" i="1"/>
  <c r="F2018" i="1"/>
  <c r="F2016" i="1"/>
  <c r="F2014" i="1"/>
  <c r="F2012" i="1"/>
  <c r="F2010" i="1"/>
  <c r="F2006" i="1"/>
  <c r="F2004" i="1"/>
  <c r="F2000" i="1"/>
  <c r="F1988" i="1"/>
  <c r="F1946" i="1"/>
  <c r="F1944" i="1"/>
  <c r="F1942" i="1"/>
  <c r="F1924" i="1"/>
  <c r="F1922" i="1"/>
  <c r="F1920" i="1"/>
  <c r="F1916" i="1"/>
  <c r="F1914" i="1"/>
  <c r="F1912" i="1"/>
  <c r="F1910" i="1"/>
  <c r="F1904" i="1"/>
  <c r="F1898" i="1"/>
  <c r="F1892" i="1"/>
  <c r="F1766" i="1"/>
  <c r="F1760" i="1"/>
  <c r="F1716" i="1"/>
  <c r="F1710" i="1"/>
  <c r="F1640" i="1"/>
  <c r="F1630" i="1"/>
  <c r="F1628" i="1"/>
  <c r="F1616" i="1"/>
  <c r="F1610" i="1"/>
  <c r="F1608" i="1"/>
  <c r="F1590" i="1"/>
  <c r="F1574" i="1"/>
  <c r="F1560" i="1"/>
  <c r="F1528" i="1"/>
  <c r="F1520" i="1"/>
  <c r="F1504" i="1"/>
  <c r="F1497" i="1"/>
  <c r="F1482" i="1"/>
  <c r="F1474" i="1"/>
  <c r="F1472" i="1"/>
  <c r="F1470" i="1"/>
  <c r="F1466" i="1"/>
  <c r="F1464" i="1"/>
  <c r="F1462" i="1"/>
  <c r="F1460" i="1"/>
  <c r="F1431" i="1"/>
  <c r="F1430" i="1"/>
  <c r="F1427" i="1"/>
  <c r="F1423" i="1"/>
  <c r="F1360" i="1"/>
  <c r="F1326" i="1"/>
  <c r="F1324" i="1"/>
  <c r="F1320" i="1"/>
  <c r="F1280" i="1"/>
  <c r="F363" i="1"/>
  <c r="F359" i="1"/>
  <c r="F335" i="1"/>
  <c r="F159" i="1"/>
  <c r="F157" i="1"/>
  <c r="F111" i="1"/>
  <c r="F89" i="1"/>
  <c r="F33" i="1"/>
  <c r="F28" i="1"/>
  <c r="F36322" i="1"/>
  <c r="F36303" i="1"/>
  <c r="F36292" i="1"/>
  <c r="F36168" i="1"/>
  <c r="F36045" i="1"/>
  <c r="F36018" i="1"/>
  <c r="F35349" i="1"/>
  <c r="F35225" i="1"/>
  <c r="F34915" i="1"/>
  <c r="F34679" i="1"/>
  <c r="F33760" i="1"/>
  <c r="F33659" i="1"/>
  <c r="F33460" i="1"/>
  <c r="F33202" i="1"/>
  <c r="F32882" i="1"/>
  <c r="F31944" i="1"/>
  <c r="F29804" i="1"/>
  <c r="F29621" i="1"/>
  <c r="F29437" i="1"/>
  <c r="F29298" i="1"/>
  <c r="F28722" i="1"/>
  <c r="F28320" i="1"/>
  <c r="F26995" i="1"/>
  <c r="F26968" i="1"/>
  <c r="F24978" i="1"/>
  <c r="F24770" i="1"/>
  <c r="F24508" i="1"/>
  <c r="F24330" i="1"/>
  <c r="F24222" i="1"/>
  <c r="F24032" i="1"/>
  <c r="F23861" i="1"/>
  <c r="F21512" i="1"/>
  <c r="F20461" i="1"/>
  <c r="F17960" i="1"/>
  <c r="F17310" i="1"/>
  <c r="F16831" i="1"/>
  <c r="F16774" i="1"/>
  <c r="F16607" i="1"/>
  <c r="F13498" i="1"/>
  <c r="F10776" i="1"/>
  <c r="F10664" i="1"/>
  <c r="F9220" i="1"/>
  <c r="F8934" i="1"/>
  <c r="F8530" i="1"/>
  <c r="F6677" i="1"/>
  <c r="F6483" i="1"/>
  <c r="F6344" i="1"/>
  <c r="F6144" i="1"/>
  <c r="F6014" i="1"/>
  <c r="F5914" i="1"/>
  <c r="F5662" i="1"/>
  <c r="F5486" i="1"/>
  <c r="F5396" i="1"/>
  <c r="F5240" i="1"/>
  <c r="F2391" i="1"/>
  <c r="F1948" i="1"/>
  <c r="F1530" i="1"/>
  <c r="F856" i="1"/>
  <c r="F28184" i="1"/>
  <c r="F36486" i="1"/>
  <c r="F36464" i="1"/>
  <c r="F36454" i="1"/>
  <c r="F36453" i="1"/>
  <c r="F36450" i="1"/>
  <c r="F36446" i="1"/>
  <c r="F36445" i="1"/>
  <c r="F36417" i="1"/>
  <c r="F36298" i="1"/>
  <c r="F36195" i="1"/>
  <c r="F36194" i="1"/>
  <c r="F36172" i="1"/>
  <c r="F36171" i="1"/>
  <c r="F36163" i="1"/>
  <c r="F36115" i="1"/>
  <c r="F35723" i="1"/>
  <c r="F35567" i="1"/>
  <c r="F35057" i="1"/>
  <c r="F34975" i="1"/>
  <c r="F34846" i="1"/>
  <c r="F34779" i="1"/>
  <c r="F31582" i="1"/>
  <c r="F31539" i="1"/>
  <c r="F31469" i="1"/>
  <c r="F31177" i="1"/>
  <c r="F31117" i="1"/>
  <c r="F30703" i="1"/>
  <c r="F30035" i="1"/>
  <c r="F29725" i="1"/>
  <c r="F29331" i="1"/>
  <c r="F29307" i="1"/>
  <c r="F28834" i="1"/>
  <c r="F28537" i="1"/>
  <c r="F28477" i="1"/>
  <c r="F28187" i="1"/>
  <c r="F28093" i="1"/>
  <c r="F26531" i="1"/>
  <c r="F26438" i="1"/>
  <c r="F26407" i="1"/>
  <c r="F26406" i="1"/>
  <c r="F25504" i="1"/>
  <c r="F25398" i="1"/>
  <c r="F25363" i="1"/>
  <c r="F25361" i="1"/>
  <c r="F25326" i="1"/>
  <c r="F25283" i="1"/>
  <c r="F25062" i="1"/>
  <c r="F24957" i="1"/>
  <c r="F24914" i="1"/>
  <c r="F24797" i="1"/>
  <c r="F24715" i="1"/>
  <c r="F24562" i="1"/>
  <c r="F24546" i="1"/>
  <c r="F24255" i="1"/>
  <c r="F24175" i="1"/>
  <c r="F24158" i="1"/>
  <c r="F24156" i="1"/>
  <c r="F24048" i="1"/>
  <c r="F23606" i="1"/>
  <c r="F23432" i="1"/>
  <c r="F22776" i="1"/>
  <c r="F22144" i="1"/>
  <c r="F20968" i="1"/>
  <c r="F20389" i="1"/>
  <c r="F20302" i="1"/>
  <c r="F20162" i="1"/>
  <c r="F19101" i="1"/>
  <c r="F18591" i="1"/>
  <c r="F18579" i="1"/>
  <c r="F18564" i="1"/>
  <c r="F18563" i="1"/>
  <c r="F18561" i="1"/>
  <c r="F18562" i="1"/>
  <c r="F18560" i="1"/>
  <c r="F18559" i="1"/>
  <c r="F18343" i="1"/>
  <c r="F16229" i="1"/>
  <c r="F16174" i="1"/>
  <c r="F15765" i="1"/>
  <c r="F15743" i="1"/>
  <c r="F15741" i="1"/>
  <c r="F15699" i="1"/>
  <c r="F15547" i="1"/>
  <c r="F15364" i="1"/>
  <c r="F14717" i="1"/>
  <c r="F14682" i="1"/>
  <c r="F14571" i="1"/>
  <c r="F14231" i="1"/>
  <c r="F13966" i="1"/>
  <c r="F13571" i="1"/>
  <c r="F13375" i="1"/>
  <c r="F13077" i="1"/>
  <c r="F12730" i="1"/>
  <c r="F12155" i="1"/>
  <c r="F11258" i="1"/>
  <c r="F10770" i="1"/>
  <c r="F7116" i="1"/>
  <c r="F6323" i="1"/>
  <c r="F5119" i="1"/>
  <c r="F5098" i="1"/>
  <c r="F4445" i="1"/>
  <c r="F4434" i="1"/>
  <c r="F3501" i="1"/>
  <c r="F3480" i="1"/>
  <c r="F3474" i="1"/>
  <c r="F3473" i="1"/>
  <c r="F2552" i="1"/>
  <c r="F2446" i="1"/>
  <c r="F1292" i="1"/>
  <c r="F132" i="1"/>
  <c r="F16749" i="1"/>
  <c r="F11035" i="1"/>
  <c r="F34301" i="1"/>
  <c r="F33830" i="1"/>
  <c r="F31937" i="1"/>
  <c r="F23257" i="1"/>
  <c r="F23247" i="1"/>
  <c r="F23120" i="1"/>
  <c r="F14583" i="1"/>
  <c r="F13991" i="1"/>
  <c r="F10962" i="1"/>
  <c r="F10947" i="1"/>
  <c r="F30184" i="1"/>
  <c r="F27777" i="1"/>
  <c r="F27476" i="1"/>
  <c r="F21378" i="1"/>
  <c r="F5859" i="1"/>
  <c r="F805" i="1"/>
  <c r="F35630" i="1"/>
  <c r="F35553" i="1"/>
  <c r="F35305" i="1"/>
  <c r="F34822" i="1"/>
  <c r="F33969" i="1"/>
  <c r="F31968" i="1"/>
  <c r="F31265" i="1"/>
  <c r="F31256" i="1"/>
  <c r="F31207" i="1"/>
  <c r="F31199" i="1"/>
  <c r="F31168" i="1"/>
  <c r="F31156" i="1"/>
  <c r="F30946" i="1"/>
  <c r="F30893" i="1"/>
  <c r="F30888" i="1"/>
  <c r="F30830" i="1"/>
  <c r="F30806" i="1"/>
  <c r="F30796" i="1"/>
  <c r="F30526" i="1"/>
  <c r="F29399" i="1"/>
  <c r="F29373" i="1"/>
  <c r="F29357" i="1"/>
  <c r="F29141" i="1"/>
  <c r="F29108" i="1"/>
  <c r="F28817" i="1"/>
  <c r="F28701" i="1"/>
  <c r="F27783" i="1"/>
  <c r="F27731" i="1"/>
  <c r="F26779" i="1"/>
  <c r="F26108" i="1"/>
  <c r="F26029" i="1"/>
  <c r="F25695" i="1"/>
  <c r="F25607" i="1"/>
  <c r="F23681" i="1"/>
  <c r="F23671" i="1"/>
  <c r="F20583" i="1"/>
  <c r="F19711" i="1"/>
  <c r="F19511" i="1"/>
  <c r="F19222" i="1"/>
  <c r="F18379" i="1"/>
  <c r="F17898" i="1"/>
  <c r="F16789" i="1"/>
  <c r="F15994" i="1"/>
  <c r="F15537" i="1"/>
  <c r="F15512" i="1"/>
  <c r="F15270" i="1"/>
  <c r="F14927" i="1"/>
  <c r="F14925" i="1"/>
  <c r="F14608" i="1"/>
  <c r="F13805" i="1"/>
  <c r="F13323" i="1"/>
  <c r="F13266" i="1"/>
  <c r="F12896" i="1"/>
  <c r="F12157" i="1"/>
  <c r="F10771" i="1"/>
  <c r="F10558" i="1"/>
  <c r="F10520" i="1"/>
  <c r="F10472" i="1"/>
  <c r="F10402" i="1"/>
  <c r="F10328" i="1"/>
  <c r="F10275" i="1"/>
  <c r="F10249" i="1"/>
  <c r="F10218" i="1"/>
  <c r="F10126" i="1"/>
  <c r="F10108" i="1"/>
  <c r="F10095" i="1"/>
  <c r="F10011" i="1"/>
  <c r="F9832" i="1"/>
  <c r="F9791" i="1"/>
  <c r="F9747" i="1"/>
  <c r="F9736" i="1"/>
  <c r="F9631" i="1"/>
  <c r="F9599" i="1"/>
  <c r="F7405" i="1"/>
  <c r="F6567" i="1"/>
  <c r="F5483" i="1"/>
  <c r="F4896" i="1"/>
  <c r="F4527" i="1"/>
  <c r="F2838" i="1"/>
  <c r="F2797" i="1"/>
  <c r="F547" i="1"/>
  <c r="F11013" i="1"/>
  <c r="F32897" i="1"/>
  <c r="F32078" i="1"/>
  <c r="F30785" i="1"/>
  <c r="F30610" i="1"/>
  <c r="F28639" i="1"/>
  <c r="F27708" i="1"/>
  <c r="F25217" i="1"/>
  <c r="F25162" i="1"/>
  <c r="F24530" i="1"/>
  <c r="F24438" i="1"/>
  <c r="F23558" i="1"/>
  <c r="F22033" i="1"/>
  <c r="F21516" i="1"/>
  <c r="F16705" i="1"/>
  <c r="F14172" i="1"/>
  <c r="F7991" i="1"/>
  <c r="F6245" i="1"/>
  <c r="F4515" i="1"/>
  <c r="F34386" i="1"/>
  <c r="F33035" i="1"/>
  <c r="F28254" i="1"/>
  <c r="F22898" i="1"/>
  <c r="F17699" i="1"/>
  <c r="F31849" i="1"/>
  <c r="F30571" i="1"/>
  <c r="F30436" i="1"/>
  <c r="F30136" i="1"/>
  <c r="F28787" i="1"/>
  <c r="F28016" i="1"/>
  <c r="F27900" i="1"/>
  <c r="F27853" i="1"/>
  <c r="F27039" i="1"/>
  <c r="F26140" i="1"/>
  <c r="F26100" i="1"/>
  <c r="F24804" i="1"/>
  <c r="F23599" i="1"/>
  <c r="F23158" i="1"/>
  <c r="F23119" i="1"/>
  <c r="F19819" i="1"/>
  <c r="F16458" i="1"/>
  <c r="F15737" i="1"/>
  <c r="F13712" i="1"/>
  <c r="F13706" i="1"/>
  <c r="F10878" i="1"/>
  <c r="F10842" i="1"/>
  <c r="F5062" i="1"/>
  <c r="F5029" i="1"/>
  <c r="F4976" i="1"/>
  <c r="F3040" i="1"/>
  <c r="F31114" i="1"/>
  <c r="F30989" i="1"/>
  <c r="F30867" i="1"/>
  <c r="F30803" i="1"/>
  <c r="F30315" i="1"/>
  <c r="F29372" i="1"/>
  <c r="F29368" i="1"/>
  <c r="F25606" i="1"/>
  <c r="F23699" i="1"/>
  <c r="F23659" i="1"/>
  <c r="F16409" i="1"/>
  <c r="F13616" i="1"/>
  <c r="F13311" i="1"/>
  <c r="F10257" i="1"/>
  <c r="F10092" i="1"/>
  <c r="F9847" i="1"/>
  <c r="F9683" i="1"/>
  <c r="F7993" i="1"/>
  <c r="F5466" i="1"/>
  <c r="F5429" i="1"/>
  <c r="F4768" i="1"/>
  <c r="F2760" i="1"/>
  <c r="F722" i="1"/>
  <c r="F26920" i="1"/>
  <c r="F24053" i="1"/>
  <c r="F8643" i="1"/>
  <c r="F6107" i="1"/>
  <c r="F4234" i="1"/>
  <c r="F4177" i="1"/>
  <c r="F670" i="1"/>
  <c r="F36614" i="1"/>
  <c r="F36479" i="1"/>
  <c r="F36341" i="1"/>
  <c r="F36079" i="1"/>
  <c r="F34582" i="1"/>
  <c r="F34581" i="1"/>
  <c r="F34280" i="1"/>
  <c r="F34237" i="1"/>
  <c r="F34207" i="1"/>
  <c r="F33459" i="1"/>
  <c r="F32499" i="1"/>
  <c r="F32497" i="1"/>
  <c r="F32496" i="1"/>
  <c r="F32494" i="1"/>
  <c r="F32492" i="1"/>
  <c r="F32490" i="1"/>
  <c r="F32488" i="1"/>
  <c r="F32486" i="1"/>
  <c r="F32484" i="1"/>
  <c r="F32482" i="1"/>
  <c r="F32480" i="1"/>
  <c r="F32478" i="1"/>
  <c r="F32476" i="1"/>
  <c r="F32474" i="1"/>
  <c r="F32472" i="1"/>
  <c r="F32470" i="1"/>
  <c r="F32468" i="1"/>
  <c r="F32466" i="1"/>
  <c r="F32464" i="1"/>
  <c r="F32462" i="1"/>
  <c r="F32460" i="1"/>
  <c r="F32458" i="1"/>
  <c r="F32456" i="1"/>
  <c r="F32454" i="1"/>
  <c r="F31693" i="1"/>
  <c r="F30556" i="1"/>
  <c r="F30408" i="1"/>
  <c r="F30190" i="1"/>
  <c r="F29807" i="1"/>
  <c r="F29637" i="1"/>
  <c r="F29636" i="1"/>
  <c r="F29632" i="1"/>
  <c r="F29469" i="1"/>
  <c r="F29088" i="1"/>
  <c r="F29035" i="1"/>
  <c r="F28536" i="1"/>
  <c r="F28535" i="1"/>
  <c r="F27583" i="1"/>
  <c r="F27582" i="1"/>
  <c r="F27581" i="1"/>
  <c r="F27576" i="1"/>
  <c r="F27572" i="1"/>
  <c r="F27522" i="1"/>
  <c r="F27451" i="1"/>
  <c r="F27450" i="1"/>
  <c r="F27449" i="1"/>
  <c r="F27254" i="1"/>
  <c r="F26151" i="1"/>
  <c r="F25318" i="1"/>
  <c r="F25122" i="1"/>
  <c r="F25063" i="1"/>
  <c r="F24875" i="1"/>
  <c r="F24865" i="1"/>
  <c r="F24771" i="1"/>
  <c r="F24445" i="1"/>
  <c r="F24443" i="1"/>
  <c r="F24441" i="1"/>
  <c r="F24435" i="1"/>
  <c r="F24271" i="1"/>
  <c r="F24260" i="1"/>
  <c r="F22167" i="1"/>
  <c r="F21710" i="1"/>
  <c r="F20109" i="1"/>
  <c r="F20108" i="1"/>
  <c r="F19760" i="1"/>
  <c r="F19588" i="1"/>
  <c r="F19453" i="1"/>
  <c r="F19093" i="1"/>
  <c r="F18402" i="1"/>
  <c r="F18400" i="1"/>
  <c r="F16728" i="1"/>
  <c r="F16112" i="1"/>
  <c r="F16110" i="1"/>
  <c r="F15766" i="1"/>
  <c r="F15744" i="1"/>
  <c r="F15701" i="1"/>
  <c r="F15559" i="1"/>
  <c r="F15232" i="1"/>
  <c r="F11359" i="1"/>
  <c r="F11358" i="1"/>
  <c r="F10729" i="1"/>
  <c r="F8118" i="1"/>
  <c r="F7319" i="1"/>
  <c r="F6301" i="1"/>
  <c r="F6300" i="1"/>
  <c r="F6296" i="1"/>
  <c r="F6287" i="1"/>
  <c r="F6285" i="1"/>
  <c r="F6282" i="1"/>
  <c r="F6280" i="1"/>
  <c r="F6279" i="1"/>
  <c r="F6276" i="1"/>
  <c r="F6274" i="1"/>
  <c r="F6241" i="1"/>
  <c r="F5721" i="1"/>
  <c r="F5606" i="1"/>
  <c r="F5605" i="1"/>
  <c r="F4840" i="1"/>
  <c r="F3502" i="1"/>
  <c r="F3500" i="1"/>
  <c r="F3194" i="1"/>
  <c r="F3017" i="1"/>
  <c r="F486" i="1"/>
  <c r="F36020" i="1"/>
  <c r="F27478" i="1"/>
  <c r="F25505" i="1"/>
  <c r="F12126" i="1"/>
  <c r="F36579" i="1"/>
  <c r="F36578" i="1"/>
  <c r="F36573" i="1"/>
  <c r="F36572" i="1"/>
  <c r="F36571" i="1"/>
  <c r="F36569" i="1"/>
  <c r="F36568" i="1"/>
  <c r="F36567" i="1"/>
  <c r="F36565" i="1"/>
  <c r="F36564" i="1"/>
  <c r="F36562" i="1"/>
  <c r="F36561" i="1"/>
  <c r="F36560" i="1"/>
  <c r="F36559" i="1"/>
  <c r="F36558" i="1"/>
  <c r="F36554" i="1"/>
  <c r="F36552" i="1"/>
  <c r="F36551" i="1"/>
  <c r="F36550" i="1"/>
  <c r="F36547" i="1"/>
  <c r="F36546" i="1"/>
  <c r="F36541" i="1"/>
  <c r="F36531" i="1"/>
  <c r="F36409" i="1"/>
  <c r="F36358" i="1"/>
  <c r="F36346" i="1"/>
  <c r="F36299" i="1"/>
  <c r="F36293" i="1"/>
  <c r="F36259" i="1"/>
  <c r="F36250" i="1"/>
  <c r="F36232" i="1"/>
  <c r="F36219" i="1"/>
  <c r="F36198" i="1"/>
  <c r="F36197" i="1"/>
  <c r="F36191" i="1"/>
  <c r="F36189" i="1"/>
  <c r="F36129" i="1"/>
  <c r="F36128" i="1"/>
  <c r="F36124" i="1"/>
  <c r="F36123" i="1"/>
  <c r="F36092" i="1"/>
  <c r="F36091" i="1"/>
  <c r="F36087" i="1"/>
  <c r="F36077" i="1"/>
  <c r="F36076" i="1"/>
  <c r="F36074" i="1"/>
  <c r="F36073" i="1"/>
  <c r="F36067" i="1"/>
  <c r="F36066" i="1"/>
  <c r="F36061" i="1"/>
  <c r="F36042" i="1"/>
  <c r="F36040" i="1"/>
  <c r="F36037" i="1"/>
  <c r="F36036" i="1"/>
  <c r="F36033" i="1"/>
  <c r="F35833" i="1"/>
  <c r="F35831" i="1"/>
  <c r="F35830" i="1"/>
  <c r="F35829" i="1"/>
  <c r="F35812" i="1"/>
  <c r="F35811" i="1"/>
  <c r="F35810" i="1"/>
  <c r="F35674" i="1"/>
  <c r="F35664" i="1"/>
  <c r="F35644" i="1"/>
  <c r="F35638" i="1"/>
  <c r="F35634" i="1"/>
  <c r="F35631" i="1"/>
  <c r="F35588" i="1"/>
  <c r="F35583" i="1"/>
  <c r="F35569" i="1"/>
  <c r="F35565" i="1"/>
  <c r="F35559" i="1"/>
  <c r="F35557" i="1"/>
  <c r="F35555" i="1"/>
  <c r="F35550" i="1"/>
  <c r="F35549" i="1"/>
  <c r="F35548" i="1"/>
  <c r="F35547" i="1"/>
  <c r="F35538" i="1"/>
  <c r="F35532" i="1"/>
  <c r="F35529" i="1"/>
  <c r="F35520" i="1"/>
  <c r="F35506" i="1"/>
  <c r="F35497" i="1"/>
  <c r="F35491" i="1"/>
  <c r="F35475" i="1"/>
  <c r="F35473" i="1"/>
  <c r="F35472" i="1"/>
  <c r="F35471" i="1"/>
  <c r="F35470" i="1"/>
  <c r="F35464" i="1"/>
  <c r="F35447" i="1"/>
  <c r="F35446" i="1"/>
  <c r="F35445" i="1"/>
  <c r="F35439" i="1"/>
  <c r="F35437" i="1"/>
  <c r="F35432" i="1"/>
  <c r="F35430" i="1"/>
  <c r="F35429" i="1"/>
  <c r="F35400" i="1"/>
  <c r="F35388" i="1"/>
  <c r="F35387" i="1"/>
  <c r="F35368" i="1"/>
  <c r="F35365" i="1"/>
  <c r="F35364" i="1"/>
  <c r="F35362" i="1"/>
  <c r="F35350" i="1"/>
  <c r="F35335" i="1"/>
  <c r="F35332" i="1"/>
  <c r="F35320" i="1"/>
  <c r="F35317" i="1"/>
  <c r="F35307" i="1"/>
  <c r="F35230" i="1"/>
  <c r="F35158" i="1"/>
  <c r="F35157" i="1"/>
  <c r="F35137" i="1"/>
  <c r="F35126" i="1"/>
  <c r="F35122" i="1"/>
  <c r="F35088" i="1"/>
  <c r="F35036" i="1"/>
  <c r="F35032" i="1"/>
  <c r="F35004" i="1"/>
  <c r="F35002" i="1"/>
  <c r="F34983" i="1"/>
  <c r="F34957" i="1"/>
  <c r="F34956" i="1"/>
  <c r="F34955" i="1"/>
  <c r="F34874" i="1"/>
  <c r="F34873" i="1"/>
  <c r="F34871" i="1"/>
  <c r="F34864" i="1"/>
  <c r="F34789" i="1"/>
  <c r="F34774" i="1"/>
  <c r="F34764" i="1"/>
  <c r="F34759" i="1"/>
  <c r="F34755" i="1"/>
  <c r="F34754" i="1"/>
  <c r="F34751" i="1"/>
  <c r="F34730" i="1"/>
  <c r="F34728" i="1"/>
  <c r="F34727" i="1"/>
  <c r="F34726" i="1"/>
  <c r="F34721" i="1"/>
  <c r="F34713" i="1"/>
  <c r="F34696" i="1"/>
  <c r="F34673" i="1"/>
  <c r="F34631" i="1"/>
  <c r="F34600" i="1"/>
  <c r="F34597" i="1"/>
  <c r="F34596" i="1"/>
  <c r="F34595" i="1"/>
  <c r="F34594" i="1"/>
  <c r="F34589" i="1"/>
  <c r="F34588" i="1"/>
  <c r="F34573" i="1"/>
  <c r="F34570" i="1"/>
  <c r="F34569" i="1"/>
  <c r="F34567" i="1"/>
  <c r="F34566" i="1"/>
  <c r="F34565" i="1"/>
  <c r="F34564" i="1"/>
  <c r="F34562" i="1"/>
  <c r="F34559" i="1"/>
  <c r="F34558" i="1"/>
  <c r="F34557" i="1"/>
  <c r="F34556" i="1"/>
  <c r="F34555" i="1"/>
  <c r="F34554" i="1"/>
  <c r="F34553" i="1"/>
  <c r="F34552" i="1"/>
  <c r="F34550" i="1"/>
  <c r="F34549" i="1"/>
  <c r="F34548" i="1"/>
  <c r="F34545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8" i="1"/>
  <c r="F34527" i="1"/>
  <c r="F34526" i="1"/>
  <c r="F34525" i="1"/>
  <c r="F34524" i="1"/>
  <c r="F34523" i="1"/>
  <c r="F34522" i="1"/>
  <c r="F34521" i="1"/>
  <c r="F34520" i="1"/>
  <c r="F34519" i="1"/>
  <c r="F34517" i="1"/>
  <c r="F34498" i="1"/>
  <c r="F34490" i="1"/>
  <c r="F34482" i="1"/>
  <c r="F34471" i="1"/>
  <c r="F34419" i="1"/>
  <c r="F34416" i="1"/>
  <c r="F34414" i="1"/>
  <c r="F34408" i="1"/>
  <c r="F34401" i="1"/>
  <c r="F34400" i="1"/>
  <c r="F34393" i="1"/>
  <c r="F34374" i="1"/>
  <c r="F34373" i="1"/>
  <c r="F34370" i="1"/>
  <c r="F34369" i="1"/>
  <c r="F34342" i="1"/>
  <c r="F34338" i="1"/>
  <c r="F34337" i="1"/>
  <c r="F34327" i="1"/>
  <c r="F34319" i="1"/>
  <c r="F34314" i="1"/>
  <c r="F34311" i="1"/>
  <c r="F34310" i="1"/>
  <c r="F34304" i="1"/>
  <c r="F34299" i="1"/>
  <c r="F34292" i="1"/>
  <c r="F34289" i="1"/>
  <c r="F34281" i="1"/>
  <c r="F34269" i="1"/>
  <c r="F34259" i="1"/>
  <c r="F34242" i="1"/>
  <c r="F34238" i="1"/>
  <c r="F34216" i="1"/>
  <c r="F34203" i="1"/>
  <c r="F34202" i="1"/>
  <c r="F34198" i="1"/>
  <c r="F34136" i="1"/>
  <c r="F34133" i="1"/>
  <c r="F34128" i="1"/>
  <c r="F34107" i="1"/>
  <c r="F34084" i="1"/>
  <c r="F34082" i="1"/>
  <c r="F34081" i="1"/>
  <c r="F34078" i="1"/>
  <c r="F34050" i="1"/>
  <c r="F34047" i="1"/>
  <c r="F34046" i="1"/>
  <c r="F34026" i="1"/>
  <c r="F34005" i="1"/>
  <c r="F34004" i="1"/>
  <c r="F33985" i="1"/>
  <c r="F33978" i="1"/>
  <c r="F33977" i="1"/>
  <c r="F33967" i="1"/>
  <c r="F33959" i="1"/>
  <c r="F33952" i="1"/>
  <c r="F33949" i="1"/>
  <c r="F33948" i="1"/>
  <c r="F33946" i="1"/>
  <c r="F33943" i="1"/>
  <c r="F33934" i="1"/>
  <c r="F33933" i="1"/>
  <c r="F33929" i="1"/>
  <c r="F33922" i="1"/>
  <c r="F33913" i="1"/>
  <c r="F33911" i="1"/>
  <c r="F33910" i="1"/>
  <c r="F33858" i="1"/>
  <c r="F33857" i="1"/>
  <c r="F33850" i="1"/>
  <c r="F33848" i="1"/>
  <c r="F33844" i="1"/>
  <c r="F33839" i="1"/>
  <c r="F33838" i="1"/>
  <c r="F33827" i="1"/>
  <c r="F33821" i="1"/>
  <c r="F33814" i="1"/>
  <c r="F33770" i="1"/>
  <c r="F33762" i="1"/>
  <c r="F33751" i="1"/>
  <c r="F33702" i="1"/>
  <c r="F33671" i="1"/>
  <c r="F33662" i="1"/>
  <c r="F33661" i="1"/>
  <c r="F33657" i="1"/>
  <c r="F33656" i="1"/>
  <c r="F33653" i="1"/>
  <c r="F33623" i="1"/>
  <c r="F33621" i="1"/>
  <c r="F33610" i="1"/>
  <c r="F33598" i="1"/>
  <c r="F33587" i="1"/>
  <c r="F33585" i="1"/>
  <c r="F33560" i="1"/>
  <c r="F33551" i="1"/>
  <c r="F33543" i="1"/>
  <c r="F33520" i="1"/>
  <c r="F33483" i="1"/>
  <c r="F33475" i="1"/>
  <c r="F33440" i="1"/>
  <c r="F33391" i="1"/>
  <c r="F33389" i="1"/>
  <c r="F33375" i="1"/>
  <c r="F33365" i="1"/>
  <c r="F33354" i="1"/>
  <c r="F33347" i="1"/>
  <c r="F33346" i="1"/>
  <c r="F33345" i="1"/>
  <c r="F33344" i="1"/>
  <c r="F33343" i="1"/>
  <c r="F33342" i="1"/>
  <c r="F33341" i="1"/>
  <c r="F33340" i="1"/>
  <c r="F33339" i="1"/>
  <c r="F33337" i="1"/>
  <c r="F33334" i="1"/>
  <c r="F33333" i="1"/>
  <c r="F33332" i="1"/>
  <c r="F33331" i="1"/>
  <c r="F33330" i="1"/>
  <c r="F33329" i="1"/>
  <c r="F33327" i="1"/>
  <c r="F33326" i="1"/>
  <c r="F33325" i="1"/>
  <c r="F33324" i="1"/>
  <c r="F33321" i="1"/>
  <c r="F33320" i="1"/>
  <c r="F33318" i="1"/>
  <c r="F33317" i="1"/>
  <c r="F33315" i="1"/>
  <c r="F33312" i="1"/>
  <c r="F33309" i="1"/>
  <c r="F33304" i="1"/>
  <c r="F33297" i="1"/>
  <c r="F33293" i="1"/>
  <c r="F33289" i="1"/>
  <c r="F33288" i="1"/>
  <c r="F33287" i="1"/>
  <c r="F33285" i="1"/>
  <c r="F33283" i="1"/>
  <c r="F33280" i="1"/>
  <c r="F33279" i="1"/>
  <c r="F33276" i="1"/>
  <c r="F33275" i="1"/>
  <c r="F33271" i="1"/>
  <c r="F33270" i="1"/>
  <c r="F33269" i="1"/>
  <c r="F33264" i="1"/>
  <c r="F33263" i="1"/>
  <c r="F33258" i="1"/>
  <c r="F33256" i="1"/>
  <c r="F33251" i="1"/>
  <c r="F33250" i="1"/>
  <c r="F33248" i="1"/>
  <c r="F33243" i="1"/>
  <c r="F33241" i="1"/>
  <c r="F33240" i="1"/>
  <c r="F33239" i="1"/>
  <c r="F33237" i="1"/>
  <c r="F33235" i="1"/>
  <c r="F33234" i="1"/>
  <c r="F33231" i="1"/>
  <c r="F33229" i="1"/>
  <c r="F33228" i="1"/>
  <c r="F33227" i="1"/>
  <c r="F33226" i="1"/>
  <c r="F33225" i="1"/>
  <c r="F33223" i="1"/>
  <c r="F33221" i="1"/>
  <c r="F33207" i="1"/>
  <c r="F33192" i="1"/>
  <c r="F33168" i="1"/>
  <c r="F33167" i="1"/>
  <c r="F33160" i="1"/>
  <c r="F33159" i="1"/>
  <c r="F33156" i="1"/>
  <c r="F33151" i="1"/>
  <c r="F33148" i="1"/>
  <c r="F33146" i="1"/>
  <c r="F33145" i="1"/>
  <c r="F33144" i="1"/>
  <c r="F33143" i="1"/>
  <c r="F33132" i="1"/>
  <c r="F33130" i="1"/>
  <c r="F33128" i="1"/>
  <c r="F33124" i="1"/>
  <c r="F33110" i="1"/>
  <c r="F33109" i="1"/>
  <c r="F33108" i="1"/>
  <c r="F33100" i="1"/>
  <c r="F33090" i="1"/>
  <c r="F33081" i="1"/>
  <c r="F33064" i="1"/>
  <c r="F33059" i="1"/>
  <c r="F33050" i="1"/>
  <c r="F33046" i="1"/>
  <c r="F33036" i="1"/>
  <c r="F33031" i="1"/>
  <c r="F32966" i="1"/>
  <c r="F32940" i="1"/>
  <c r="F32939" i="1"/>
  <c r="F32908" i="1"/>
  <c r="F32896" i="1"/>
  <c r="F32895" i="1"/>
  <c r="F32873" i="1"/>
  <c r="F32854" i="1"/>
  <c r="F32820" i="1"/>
  <c r="F32802" i="1"/>
  <c r="F32784" i="1"/>
  <c r="F32702" i="1"/>
  <c r="F32679" i="1"/>
  <c r="F32452" i="1"/>
  <c r="F32451" i="1"/>
  <c r="F32448" i="1"/>
  <c r="F32446" i="1"/>
  <c r="F32397" i="1"/>
  <c r="F32393" i="1"/>
  <c r="F32352" i="1"/>
  <c r="F32347" i="1"/>
  <c r="F32339" i="1"/>
  <c r="F32280" i="1"/>
  <c r="F32268" i="1"/>
  <c r="F32263" i="1"/>
  <c r="F32140" i="1"/>
  <c r="F31981" i="1"/>
  <c r="F31979" i="1"/>
  <c r="F31606" i="1"/>
  <c r="F31605" i="1"/>
  <c r="F31604" i="1"/>
  <c r="F31603" i="1"/>
  <c r="F31602" i="1"/>
  <c r="F31600" i="1"/>
  <c r="F31599" i="1"/>
  <c r="F31597" i="1"/>
  <c r="F31596" i="1"/>
  <c r="F31595" i="1"/>
  <c r="F31594" i="1"/>
  <c r="F31593" i="1"/>
  <c r="F31592" i="1"/>
  <c r="F31591" i="1"/>
  <c r="F31590" i="1"/>
  <c r="F31589" i="1"/>
  <c r="F31587" i="1"/>
  <c r="F31586" i="1"/>
  <c r="F31585" i="1"/>
  <c r="F31584" i="1"/>
  <c r="F31558" i="1"/>
  <c r="F31555" i="1"/>
  <c r="F31553" i="1"/>
  <c r="F31552" i="1"/>
  <c r="F31548" i="1"/>
  <c r="F31537" i="1"/>
  <c r="F31535" i="1"/>
  <c r="F31523" i="1"/>
  <c r="F31508" i="1"/>
  <c r="F31504" i="1"/>
  <c r="F31503" i="1"/>
  <c r="F31502" i="1"/>
  <c r="F31501" i="1"/>
  <c r="F31497" i="1"/>
  <c r="F31496" i="1"/>
  <c r="F31492" i="1"/>
  <c r="F31467" i="1"/>
  <c r="F31466" i="1"/>
  <c r="F31465" i="1"/>
  <c r="F31440" i="1"/>
  <c r="F31438" i="1"/>
  <c r="F31423" i="1"/>
  <c r="F31405" i="1"/>
  <c r="F31404" i="1"/>
  <c r="F31366" i="1"/>
  <c r="F31361" i="1"/>
  <c r="F31360" i="1"/>
  <c r="F31359" i="1"/>
  <c r="F31351" i="1"/>
  <c r="F31348" i="1"/>
  <c r="F31321" i="1"/>
  <c r="F31318" i="1"/>
  <c r="F31305" i="1"/>
  <c r="F31304" i="1"/>
  <c r="F31299" i="1"/>
  <c r="F31297" i="1"/>
  <c r="F31296" i="1"/>
  <c r="F31295" i="1"/>
  <c r="F31293" i="1"/>
  <c r="F31291" i="1"/>
  <c r="F31289" i="1"/>
  <c r="F31288" i="1"/>
  <c r="F31284" i="1"/>
  <c r="F31283" i="1"/>
  <c r="F31281" i="1"/>
  <c r="F31279" i="1"/>
  <c r="F31278" i="1"/>
  <c r="F31264" i="1"/>
  <c r="F31254" i="1"/>
  <c r="F31246" i="1"/>
  <c r="F31245" i="1"/>
  <c r="F31234" i="1"/>
  <c r="F31232" i="1"/>
  <c r="F31231" i="1"/>
  <c r="F31229" i="1"/>
  <c r="F31227" i="1"/>
  <c r="F31225" i="1"/>
  <c r="F31214" i="1"/>
  <c r="F31194" i="1"/>
  <c r="F31188" i="1"/>
  <c r="F31187" i="1"/>
  <c r="F31186" i="1"/>
  <c r="F31181" i="1"/>
  <c r="F31173" i="1"/>
  <c r="F31144" i="1"/>
  <c r="F31142" i="1"/>
  <c r="F31140" i="1"/>
  <c r="F31139" i="1"/>
  <c r="F31126" i="1"/>
  <c r="F31100" i="1"/>
  <c r="F31090" i="1"/>
  <c r="F31072" i="1"/>
  <c r="F31065" i="1"/>
  <c r="F30923" i="1"/>
  <c r="F30881" i="1"/>
  <c r="F30861" i="1"/>
  <c r="F30854" i="1"/>
  <c r="F30848" i="1"/>
  <c r="F30824" i="1"/>
  <c r="F30738" i="1"/>
  <c r="F30730" i="1"/>
  <c r="F30536" i="1"/>
  <c r="F30535" i="1"/>
  <c r="F30512" i="1"/>
  <c r="F30510" i="1"/>
  <c r="F30501" i="1"/>
  <c r="F30472" i="1"/>
  <c r="F30449" i="1"/>
  <c r="F30448" i="1"/>
  <c r="F30447" i="1"/>
  <c r="F30445" i="1"/>
  <c r="F30444" i="1"/>
  <c r="F30443" i="1"/>
  <c r="F30439" i="1"/>
  <c r="F30430" i="1"/>
  <c r="F30429" i="1"/>
  <c r="F30427" i="1"/>
  <c r="F30424" i="1"/>
  <c r="F30419" i="1"/>
  <c r="F30418" i="1"/>
  <c r="F30417" i="1"/>
  <c r="F30416" i="1"/>
  <c r="F30407" i="1"/>
  <c r="F30406" i="1"/>
  <c r="F30404" i="1"/>
  <c r="F30402" i="1"/>
  <c r="F30386" i="1"/>
  <c r="F30359" i="1"/>
  <c r="F30354" i="1"/>
  <c r="F30352" i="1"/>
  <c r="F30350" i="1"/>
  <c r="F30348" i="1"/>
  <c r="F30332" i="1"/>
  <c r="F30324" i="1"/>
  <c r="F30291" i="1"/>
  <c r="F30273" i="1"/>
  <c r="F30271" i="1"/>
  <c r="F30262" i="1"/>
  <c r="F30254" i="1"/>
  <c r="F30252" i="1"/>
  <c r="F30246" i="1"/>
  <c r="F30244" i="1"/>
  <c r="F30241" i="1"/>
  <c r="F30209" i="1"/>
  <c r="F30166" i="1"/>
  <c r="F30164" i="1"/>
  <c r="F30143" i="1"/>
  <c r="F30112" i="1"/>
  <c r="F30107" i="1"/>
  <c r="F30106" i="1"/>
  <c r="F30105" i="1"/>
  <c r="F30103" i="1"/>
  <c r="F30102" i="1"/>
  <c r="F30100" i="1"/>
  <c r="F30098" i="1"/>
  <c r="F30097" i="1"/>
  <c r="F30074" i="1"/>
  <c r="F30059" i="1"/>
  <c r="F30058" i="1"/>
  <c r="F30057" i="1"/>
  <c r="F30054" i="1"/>
  <c r="F30052" i="1"/>
  <c r="F30049" i="1"/>
  <c r="F30045" i="1"/>
  <c r="F30044" i="1"/>
  <c r="F30043" i="1"/>
  <c r="F30042" i="1"/>
  <c r="F30041" i="1"/>
  <c r="F30040" i="1"/>
  <c r="F30039" i="1"/>
  <c r="F30038" i="1"/>
  <c r="F30037" i="1"/>
  <c r="F30036" i="1"/>
  <c r="F30026" i="1"/>
  <c r="F30025" i="1"/>
  <c r="F30024" i="1"/>
  <c r="F30023" i="1"/>
  <c r="F30021" i="1"/>
  <c r="F30020" i="1"/>
  <c r="F30013" i="1"/>
  <c r="F30011" i="1"/>
  <c r="F30010" i="1"/>
  <c r="F30007" i="1"/>
  <c r="F30005" i="1"/>
  <c r="F30004" i="1"/>
  <c r="F30003" i="1"/>
  <c r="F30002" i="1"/>
  <c r="F30001" i="1"/>
  <c r="F29997" i="1"/>
  <c r="F29996" i="1"/>
  <c r="F29995" i="1"/>
  <c r="F29994" i="1"/>
  <c r="F29991" i="1"/>
  <c r="F29990" i="1"/>
  <c r="F29989" i="1"/>
  <c r="F29988" i="1"/>
  <c r="F29985" i="1"/>
  <c r="F29983" i="1"/>
  <c r="F29982" i="1"/>
  <c r="F29981" i="1"/>
  <c r="F29979" i="1"/>
  <c r="F29977" i="1"/>
  <c r="F29968" i="1"/>
  <c r="F29966" i="1"/>
  <c r="F29963" i="1"/>
  <c r="F29962" i="1"/>
  <c r="F29943" i="1"/>
  <c r="F29942" i="1"/>
  <c r="F29937" i="1"/>
  <c r="F29922" i="1"/>
  <c r="F29913" i="1"/>
  <c r="F29911" i="1"/>
  <c r="F29910" i="1"/>
  <c r="F29897" i="1"/>
  <c r="F29886" i="1"/>
  <c r="F29845" i="1"/>
  <c r="F29843" i="1"/>
  <c r="F29832" i="1"/>
  <c r="F29806" i="1"/>
  <c r="F29789" i="1"/>
  <c r="F29785" i="1"/>
  <c r="F29764" i="1"/>
  <c r="F29756" i="1"/>
  <c r="F29675" i="1"/>
  <c r="F29662" i="1"/>
  <c r="F29654" i="1"/>
  <c r="F29648" i="1"/>
  <c r="F29643" i="1"/>
  <c r="F29642" i="1"/>
  <c r="F29640" i="1"/>
  <c r="F29639" i="1"/>
  <c r="F29608" i="1"/>
  <c r="F29607" i="1"/>
  <c r="F29606" i="1"/>
  <c r="F29591" i="1"/>
  <c r="F29465" i="1"/>
  <c r="F29348" i="1"/>
  <c r="F29346" i="1"/>
  <c r="F29310" i="1"/>
  <c r="F29305" i="1"/>
  <c r="F29263" i="1"/>
  <c r="F29199" i="1"/>
  <c r="F29196" i="1"/>
  <c r="F29162" i="1"/>
  <c r="F29161" i="1"/>
  <c r="F29086" i="1"/>
  <c r="F29085" i="1"/>
  <c r="F29046" i="1"/>
  <c r="F29045" i="1"/>
  <c r="F29043" i="1"/>
  <c r="F29039" i="1"/>
  <c r="F29005" i="1"/>
  <c r="F28980" i="1"/>
  <c r="F28979" i="1"/>
  <c r="F28974" i="1"/>
  <c r="F28956" i="1"/>
  <c r="F28954" i="1"/>
  <c r="F28944" i="1"/>
  <c r="F28942" i="1"/>
  <c r="F28941" i="1"/>
  <c r="F28939" i="1"/>
  <c r="F28938" i="1"/>
  <c r="F28934" i="1"/>
  <c r="F28885" i="1"/>
  <c r="F28884" i="1"/>
  <c r="F28774" i="1"/>
  <c r="F28745" i="1"/>
  <c r="F28646" i="1"/>
  <c r="F28552" i="1"/>
  <c r="F28540" i="1"/>
  <c r="F28539" i="1"/>
  <c r="F28525" i="1"/>
  <c r="F28523" i="1"/>
  <c r="F28522" i="1"/>
  <c r="F28502" i="1"/>
  <c r="F28500" i="1"/>
  <c r="F28499" i="1"/>
  <c r="F28498" i="1"/>
  <c r="F28496" i="1"/>
  <c r="F28480" i="1"/>
  <c r="F28479" i="1"/>
  <c r="F28478" i="1"/>
  <c r="F28436" i="1"/>
  <c r="F28432" i="1"/>
  <c r="F28431" i="1"/>
  <c r="F28430" i="1"/>
  <c r="F28429" i="1"/>
  <c r="F28428" i="1"/>
  <c r="F28421" i="1"/>
  <c r="F28420" i="1"/>
  <c r="F28419" i="1"/>
  <c r="F28418" i="1"/>
  <c r="F28414" i="1"/>
  <c r="F28375" i="1"/>
  <c r="F28373" i="1"/>
  <c r="F28372" i="1"/>
  <c r="F28371" i="1"/>
  <c r="F28370" i="1"/>
  <c r="F28358" i="1"/>
  <c r="F28340" i="1"/>
  <c r="F28329" i="1"/>
  <c r="F28225" i="1"/>
  <c r="F28222" i="1"/>
  <c r="F28221" i="1"/>
  <c r="F28220" i="1"/>
  <c r="F28219" i="1"/>
  <c r="F28218" i="1"/>
  <c r="F28217" i="1"/>
  <c r="F28216" i="1"/>
  <c r="F28207" i="1"/>
  <c r="F28204" i="1"/>
  <c r="F28195" i="1"/>
  <c r="F28193" i="1"/>
  <c r="F28191" i="1"/>
  <c r="F28183" i="1"/>
  <c r="F28181" i="1"/>
  <c r="F28161" i="1"/>
  <c r="F28153" i="1"/>
  <c r="F28089" i="1"/>
  <c r="F28085" i="1"/>
  <c r="F28078" i="1"/>
  <c r="F28077" i="1"/>
  <c r="F28073" i="1"/>
  <c r="F28070" i="1"/>
  <c r="F28065" i="1"/>
  <c r="F28064" i="1"/>
  <c r="F28049" i="1"/>
  <c r="F28048" i="1"/>
  <c r="F28044" i="1"/>
  <c r="F28041" i="1"/>
  <c r="F28019" i="1"/>
  <c r="F28012" i="1"/>
  <c r="F28011" i="1"/>
  <c r="F28008" i="1"/>
  <c r="F27995" i="1"/>
  <c r="F27991" i="1"/>
  <c r="F27983" i="1"/>
  <c r="F27964" i="1"/>
  <c r="F27940" i="1"/>
  <c r="F27935" i="1"/>
  <c r="F27879" i="1"/>
  <c r="F27721" i="1"/>
  <c r="F27715" i="1"/>
  <c r="F27713" i="1"/>
  <c r="F27711" i="1"/>
  <c r="F27664" i="1"/>
  <c r="F27663" i="1"/>
  <c r="F27658" i="1"/>
  <c r="F27657" i="1"/>
  <c r="F27648" i="1"/>
  <c r="F27647" i="1"/>
  <c r="F27644" i="1"/>
  <c r="F27642" i="1"/>
  <c r="F27641" i="1"/>
  <c r="F27639" i="1"/>
  <c r="F27638" i="1"/>
  <c r="F27637" i="1"/>
  <c r="F27635" i="1"/>
  <c r="F27628" i="1"/>
  <c r="F27624" i="1"/>
  <c r="F27619" i="1"/>
  <c r="F27617" i="1"/>
  <c r="F27614" i="1"/>
  <c r="F27610" i="1"/>
  <c r="F27601" i="1"/>
  <c r="F27595" i="1"/>
  <c r="F27589" i="1"/>
  <c r="F27558" i="1"/>
  <c r="F27547" i="1"/>
  <c r="F27545" i="1"/>
  <c r="F27541" i="1"/>
  <c r="F27539" i="1"/>
  <c r="F27537" i="1"/>
  <c r="F27536" i="1"/>
  <c r="F27535" i="1"/>
  <c r="F27534" i="1"/>
  <c r="F27533" i="1"/>
  <c r="F27532" i="1"/>
  <c r="F27531" i="1"/>
  <c r="F27529" i="1"/>
  <c r="F27528" i="1"/>
  <c r="F27527" i="1"/>
  <c r="F27496" i="1"/>
  <c r="F27490" i="1"/>
  <c r="F27461" i="1"/>
  <c r="F27429" i="1"/>
  <c r="F27426" i="1"/>
  <c r="F27425" i="1"/>
  <c r="F27418" i="1"/>
  <c r="F27406" i="1"/>
  <c r="F27402" i="1"/>
  <c r="F27361" i="1"/>
  <c r="F27340" i="1"/>
  <c r="F27330" i="1"/>
  <c r="F27324" i="1"/>
  <c r="F27320" i="1"/>
  <c r="F27314" i="1"/>
  <c r="F27313" i="1"/>
  <c r="F27306" i="1"/>
  <c r="F27304" i="1"/>
  <c r="F27298" i="1"/>
  <c r="F27286" i="1"/>
  <c r="F27276" i="1"/>
  <c r="F27271" i="1"/>
  <c r="F27259" i="1"/>
  <c r="F27221" i="1"/>
  <c r="F27049" i="1"/>
  <c r="F27043" i="1"/>
  <c r="F27038" i="1"/>
  <c r="F27037" i="1"/>
  <c r="F27036" i="1"/>
  <c r="F27034" i="1"/>
  <c r="F27032" i="1"/>
  <c r="F27028" i="1"/>
  <c r="F27017" i="1"/>
  <c r="F27015" i="1"/>
  <c r="F27010" i="1"/>
  <c r="F27007" i="1"/>
  <c r="F26985" i="1"/>
  <c r="F26965" i="1"/>
  <c r="F26960" i="1"/>
  <c r="F26955" i="1"/>
  <c r="F26930" i="1"/>
  <c r="F26927" i="1"/>
  <c r="F26908" i="1"/>
  <c r="F26868" i="1"/>
  <c r="F26867" i="1"/>
  <c r="F26866" i="1"/>
  <c r="F26864" i="1"/>
  <c r="F26863" i="1"/>
  <c r="F26844" i="1"/>
  <c r="F26786" i="1"/>
  <c r="F26770" i="1"/>
  <c r="F26758" i="1"/>
  <c r="F26735" i="1"/>
  <c r="F26734" i="1"/>
  <c r="F26718" i="1"/>
  <c r="F26696" i="1"/>
  <c r="F26643" i="1"/>
  <c r="F26642" i="1"/>
  <c r="F26630" i="1"/>
  <c r="F26603" i="1"/>
  <c r="F26528" i="1"/>
  <c r="F26491" i="1"/>
  <c r="F26477" i="1"/>
  <c r="F26471" i="1"/>
  <c r="F26470" i="1"/>
  <c r="F26465" i="1"/>
  <c r="F26463" i="1"/>
  <c r="F26457" i="1"/>
  <c r="F26452" i="1"/>
  <c r="F26391" i="1"/>
  <c r="F26390" i="1"/>
  <c r="F26382" i="1"/>
  <c r="F26336" i="1"/>
  <c r="F26335" i="1"/>
  <c r="F26307" i="1"/>
  <c r="F26306" i="1"/>
  <c r="F26234" i="1"/>
  <c r="F26146" i="1"/>
  <c r="F26145" i="1"/>
  <c r="F26144" i="1"/>
  <c r="F26137" i="1"/>
  <c r="F26136" i="1"/>
  <c r="F26135" i="1"/>
  <c r="F26134" i="1"/>
  <c r="F26133" i="1"/>
  <c r="F26132" i="1"/>
  <c r="F26130" i="1"/>
  <c r="F26129" i="1"/>
  <c r="F26128" i="1"/>
  <c r="F26127" i="1"/>
  <c r="F26125" i="1"/>
  <c r="F26117" i="1"/>
  <c r="F26092" i="1"/>
  <c r="F26089" i="1"/>
  <c r="F26087" i="1"/>
  <c r="F26086" i="1"/>
  <c r="F26085" i="1"/>
  <c r="F26084" i="1"/>
  <c r="F26080" i="1"/>
  <c r="F26077" i="1"/>
  <c r="F26076" i="1"/>
  <c r="F26063" i="1"/>
  <c r="F26062" i="1"/>
  <c r="F26060" i="1"/>
  <c r="F26055" i="1"/>
  <c r="F26054" i="1"/>
  <c r="F26053" i="1"/>
  <c r="F26052" i="1"/>
  <c r="F26051" i="1"/>
  <c r="F26050" i="1"/>
  <c r="F26048" i="1"/>
  <c r="F26043" i="1"/>
  <c r="F26041" i="1"/>
  <c r="F26040" i="1"/>
  <c r="F26030" i="1"/>
  <c r="F26026" i="1"/>
  <c r="F26025" i="1"/>
  <c r="F26023" i="1"/>
  <c r="F26022" i="1"/>
  <c r="F26019" i="1"/>
  <c r="F26014" i="1"/>
  <c r="F26012" i="1"/>
  <c r="F26002" i="1"/>
  <c r="F25998" i="1"/>
  <c r="F25997" i="1"/>
  <c r="F25996" i="1"/>
  <c r="F25992" i="1"/>
  <c r="F25978" i="1"/>
  <c r="F25973" i="1"/>
  <c r="F25972" i="1"/>
  <c r="F25963" i="1"/>
  <c r="F25936" i="1"/>
  <c r="F25933" i="1"/>
  <c r="F25932" i="1"/>
  <c r="F25931" i="1"/>
  <c r="F25926" i="1"/>
  <c r="F25923" i="1"/>
  <c r="F25921" i="1"/>
  <c r="F25918" i="1"/>
  <c r="F25902" i="1"/>
  <c r="F25894" i="1"/>
  <c r="F25892" i="1"/>
  <c r="F25891" i="1"/>
  <c r="F25842" i="1"/>
  <c r="F25841" i="1"/>
  <c r="F25840" i="1"/>
  <c r="F25839" i="1"/>
  <c r="F25837" i="1"/>
  <c r="F25836" i="1"/>
  <c r="F25835" i="1"/>
  <c r="F25834" i="1"/>
  <c r="F25833" i="1"/>
  <c r="F25832" i="1"/>
  <c r="F25831" i="1"/>
  <c r="F25830" i="1"/>
  <c r="F25829" i="1"/>
  <c r="F25828" i="1"/>
  <c r="F25826" i="1"/>
  <c r="F25824" i="1"/>
  <c r="F25820" i="1"/>
  <c r="F25816" i="1"/>
  <c r="F25809" i="1"/>
  <c r="F25804" i="1"/>
  <c r="F25733" i="1"/>
  <c r="F25693" i="1"/>
  <c r="F25692" i="1"/>
  <c r="F25689" i="1"/>
  <c r="F25675" i="1"/>
  <c r="F25662" i="1"/>
  <c r="F25661" i="1"/>
  <c r="F25632" i="1"/>
  <c r="F25621" i="1"/>
  <c r="F25612" i="1"/>
  <c r="F25588" i="1"/>
  <c r="F25585" i="1"/>
  <c r="F25584" i="1"/>
  <c r="F25583" i="1"/>
  <c r="F25565" i="1"/>
  <c r="F25563" i="1"/>
  <c r="F25562" i="1"/>
  <c r="F25559" i="1"/>
  <c r="F25558" i="1"/>
  <c r="F25555" i="1"/>
  <c r="F25554" i="1"/>
  <c r="F25553" i="1"/>
  <c r="F25552" i="1"/>
  <c r="F25551" i="1"/>
  <c r="F25550" i="1"/>
  <c r="F25549" i="1"/>
  <c r="F25548" i="1"/>
  <c r="F25547" i="1"/>
  <c r="F25546" i="1"/>
  <c r="F25544" i="1"/>
  <c r="F25541" i="1"/>
  <c r="F25540" i="1"/>
  <c r="F25539" i="1"/>
  <c r="F25538" i="1"/>
  <c r="F25537" i="1"/>
  <c r="F25535" i="1"/>
  <c r="F25534" i="1"/>
  <c r="F25533" i="1"/>
  <c r="F25531" i="1"/>
  <c r="F25530" i="1"/>
  <c r="F25529" i="1"/>
  <c r="F25528" i="1"/>
  <c r="F25527" i="1"/>
  <c r="F25526" i="1"/>
  <c r="F25525" i="1"/>
  <c r="F25523" i="1"/>
  <c r="F25522" i="1"/>
  <c r="F25521" i="1"/>
  <c r="F25520" i="1"/>
  <c r="F25517" i="1"/>
  <c r="F25516" i="1"/>
  <c r="F25515" i="1"/>
  <c r="F25514" i="1"/>
  <c r="F25513" i="1"/>
  <c r="F25512" i="1"/>
  <c r="F25511" i="1"/>
  <c r="F25482" i="1"/>
  <c r="F25478" i="1"/>
  <c r="F25474" i="1"/>
  <c r="F25471" i="1"/>
  <c r="F25469" i="1"/>
  <c r="F25468" i="1"/>
  <c r="F25466" i="1"/>
  <c r="F25464" i="1"/>
  <c r="F25411" i="1"/>
  <c r="F25409" i="1"/>
  <c r="F25408" i="1"/>
  <c r="F25404" i="1"/>
  <c r="F25403" i="1"/>
  <c r="F25401" i="1"/>
  <c r="F25395" i="1"/>
  <c r="F25385" i="1"/>
  <c r="F25377" i="1"/>
  <c r="F25372" i="1"/>
  <c r="F25366" i="1"/>
  <c r="F25360" i="1"/>
  <c r="F25357" i="1"/>
  <c r="F25356" i="1"/>
  <c r="F25349" i="1"/>
  <c r="F25346" i="1"/>
  <c r="F25330" i="1"/>
  <c r="F25327" i="1"/>
  <c r="F25323" i="1"/>
  <c r="F25315" i="1"/>
  <c r="F25310" i="1"/>
  <c r="F25304" i="1"/>
  <c r="F25302" i="1"/>
  <c r="F25301" i="1"/>
  <c r="F25291" i="1"/>
  <c r="F25239" i="1"/>
  <c r="F25208" i="1"/>
  <c r="F25185" i="1"/>
  <c r="F25172" i="1"/>
  <c r="F25165" i="1"/>
  <c r="F25161" i="1"/>
  <c r="F25156" i="1"/>
  <c r="F25153" i="1"/>
  <c r="F25152" i="1"/>
  <c r="F25150" i="1"/>
  <c r="F25147" i="1"/>
  <c r="F25141" i="1"/>
  <c r="F25135" i="1"/>
  <c r="F25130" i="1"/>
  <c r="F25129" i="1"/>
  <c r="F25112" i="1"/>
  <c r="F25111" i="1"/>
  <c r="F25110" i="1"/>
  <c r="F25081" i="1"/>
  <c r="F25074" i="1"/>
  <c r="F25066" i="1"/>
  <c r="F25059" i="1"/>
  <c r="F25058" i="1"/>
  <c r="F25057" i="1"/>
  <c r="F25050" i="1"/>
  <c r="F25036" i="1"/>
  <c r="F25032" i="1"/>
  <c r="F25028" i="1"/>
  <c r="F25020" i="1"/>
  <c r="F25014" i="1"/>
  <c r="F25010" i="1"/>
  <c r="F25001" i="1"/>
  <c r="F24987" i="1"/>
  <c r="F24974" i="1"/>
  <c r="F24960" i="1"/>
  <c r="F24954" i="1"/>
  <c r="F24950" i="1"/>
  <c r="F24948" i="1"/>
  <c r="F24930" i="1"/>
  <c r="F24927" i="1"/>
  <c r="F24897" i="1"/>
  <c r="F24889" i="1"/>
  <c r="F24856" i="1"/>
  <c r="F24847" i="1"/>
  <c r="F24825" i="1"/>
  <c r="F24821" i="1"/>
  <c r="F24815" i="1"/>
  <c r="F24798" i="1"/>
  <c r="F24778" i="1"/>
  <c r="F24777" i="1"/>
  <c r="F24775" i="1"/>
  <c r="F24756" i="1"/>
  <c r="F24755" i="1"/>
  <c r="F24753" i="1"/>
  <c r="F24750" i="1"/>
  <c r="F24745" i="1"/>
  <c r="F24742" i="1"/>
  <c r="F24739" i="1"/>
  <c r="F24738" i="1"/>
  <c r="F24734" i="1"/>
  <c r="F24733" i="1"/>
  <c r="F24731" i="1"/>
  <c r="F24730" i="1"/>
  <c r="F24728" i="1"/>
  <c r="F24727" i="1"/>
  <c r="F24726" i="1"/>
  <c r="F24717" i="1"/>
  <c r="F24714" i="1"/>
  <c r="F24706" i="1"/>
  <c r="F24705" i="1"/>
  <c r="F24704" i="1"/>
  <c r="F24699" i="1"/>
  <c r="F24693" i="1"/>
  <c r="F24692" i="1"/>
  <c r="F24688" i="1"/>
  <c r="F24680" i="1"/>
  <c r="F24679" i="1"/>
  <c r="F24677" i="1"/>
  <c r="F24676" i="1"/>
  <c r="F24675" i="1"/>
  <c r="F24673" i="1"/>
  <c r="F24670" i="1"/>
  <c r="F24661" i="1"/>
  <c r="F24660" i="1"/>
  <c r="F24654" i="1"/>
  <c r="F24653" i="1"/>
  <c r="F24652" i="1"/>
  <c r="F24646" i="1"/>
  <c r="F24644" i="1"/>
  <c r="F24642" i="1"/>
  <c r="F24641" i="1"/>
  <c r="F24639" i="1"/>
  <c r="F24636" i="1"/>
  <c r="F24620" i="1"/>
  <c r="F24608" i="1"/>
  <c r="F24603" i="1"/>
  <c r="F24599" i="1"/>
  <c r="F24598" i="1"/>
  <c r="F24597" i="1"/>
  <c r="F24596" i="1"/>
  <c r="F24575" i="1"/>
  <c r="F24507" i="1"/>
  <c r="F24502" i="1"/>
  <c r="F24501" i="1"/>
  <c r="F24454" i="1"/>
  <c r="F24453" i="1"/>
  <c r="F24449" i="1"/>
  <c r="F24422" i="1"/>
  <c r="F24411" i="1"/>
  <c r="F24366" i="1"/>
  <c r="F24355" i="1"/>
  <c r="F24347" i="1"/>
  <c r="F24346" i="1"/>
  <c r="F24345" i="1"/>
  <c r="F24339" i="1"/>
  <c r="F24336" i="1"/>
  <c r="F24335" i="1"/>
  <c r="F24333" i="1"/>
  <c r="F24320" i="1"/>
  <c r="F24310" i="1"/>
  <c r="F24302" i="1"/>
  <c r="F24301" i="1"/>
  <c r="F24297" i="1"/>
  <c r="F24292" i="1"/>
  <c r="F24289" i="1"/>
  <c r="F24287" i="1"/>
  <c r="F24286" i="1"/>
  <c r="F24248" i="1"/>
  <c r="F24244" i="1"/>
  <c r="F24243" i="1"/>
  <c r="F24242" i="1"/>
  <c r="F24225" i="1"/>
  <c r="F24224" i="1"/>
  <c r="F24209" i="1"/>
  <c r="F24208" i="1"/>
  <c r="F24206" i="1"/>
  <c r="F24199" i="1"/>
  <c r="F24195" i="1"/>
  <c r="F24193" i="1"/>
  <c r="F24192" i="1"/>
  <c r="F24189" i="1"/>
  <c r="F24160" i="1"/>
  <c r="F24154" i="1"/>
  <c r="F24148" i="1"/>
  <c r="F24146" i="1"/>
  <c r="F24120" i="1"/>
  <c r="F24115" i="1"/>
  <c r="F24113" i="1"/>
  <c r="F24112" i="1"/>
  <c r="F24111" i="1"/>
  <c r="F24109" i="1"/>
  <c r="F24097" i="1"/>
  <c r="F24091" i="1"/>
  <c r="F24086" i="1"/>
  <c r="F24084" i="1"/>
  <c r="F24083" i="1"/>
  <c r="F24081" i="1"/>
  <c r="F24066" i="1"/>
  <c r="F24060" i="1"/>
  <c r="F24057" i="1"/>
  <c r="F24051" i="1"/>
  <c r="F24039" i="1"/>
  <c r="F23966" i="1"/>
  <c r="F23965" i="1"/>
  <c r="F23964" i="1"/>
  <c r="F23913" i="1"/>
  <c r="F23912" i="1"/>
  <c r="F23909" i="1"/>
  <c r="F23905" i="1"/>
  <c r="F23891" i="1"/>
  <c r="F23883" i="1"/>
  <c r="F23877" i="1"/>
  <c r="F23875" i="1"/>
  <c r="F23871" i="1"/>
  <c r="F23869" i="1"/>
  <c r="F23868" i="1"/>
  <c r="F23867" i="1"/>
  <c r="F23859" i="1"/>
  <c r="F23858" i="1"/>
  <c r="F23857" i="1"/>
  <c r="F23853" i="1"/>
  <c r="F23848" i="1"/>
  <c r="F23846" i="1"/>
  <c r="F23845" i="1"/>
  <c r="F23844" i="1"/>
  <c r="F23841" i="1"/>
  <c r="F23835" i="1"/>
  <c r="F23830" i="1"/>
  <c r="F23829" i="1"/>
  <c r="F23816" i="1"/>
  <c r="F23812" i="1"/>
  <c r="F23804" i="1"/>
  <c r="F23798" i="1"/>
  <c r="F23774" i="1"/>
  <c r="F23765" i="1"/>
  <c r="F23764" i="1"/>
  <c r="F23757" i="1"/>
  <c r="F23750" i="1"/>
  <c r="F23731" i="1"/>
  <c r="F23601" i="1"/>
  <c r="F23591" i="1"/>
  <c r="F23590" i="1"/>
  <c r="F23589" i="1"/>
  <c r="F23588" i="1"/>
  <c r="F23585" i="1"/>
  <c r="F23584" i="1"/>
  <c r="F23581" i="1"/>
  <c r="F23580" i="1"/>
  <c r="F23578" i="1"/>
  <c r="F23577" i="1"/>
  <c r="F23576" i="1"/>
  <c r="F23544" i="1"/>
  <c r="F23503" i="1"/>
  <c r="F23466" i="1"/>
  <c r="F23462" i="1"/>
  <c r="F23460" i="1"/>
  <c r="F23456" i="1"/>
  <c r="F23453" i="1"/>
  <c r="F23451" i="1"/>
  <c r="F23442" i="1"/>
  <c r="F23439" i="1"/>
  <c r="F23359" i="1"/>
  <c r="F23304" i="1"/>
  <c r="F23292" i="1"/>
  <c r="F23188" i="1"/>
  <c r="F23098" i="1"/>
  <c r="F22944" i="1"/>
  <c r="F22872" i="1"/>
  <c r="F22667" i="1"/>
  <c r="F22615" i="1"/>
  <c r="F22612" i="1"/>
  <c r="F22558" i="1"/>
  <c r="F22489" i="1"/>
  <c r="F22353" i="1"/>
  <c r="F22349" i="1"/>
  <c r="F22346" i="1"/>
  <c r="F22289" i="1"/>
  <c r="F22272" i="1"/>
  <c r="F22157" i="1"/>
  <c r="F22156" i="1"/>
  <c r="F22155" i="1"/>
  <c r="F22153" i="1"/>
  <c r="F22152" i="1"/>
  <c r="F22151" i="1"/>
  <c r="F22150" i="1"/>
  <c r="F22149" i="1"/>
  <c r="F22147" i="1"/>
  <c r="F22132" i="1"/>
  <c r="F22131" i="1"/>
  <c r="F22128" i="1"/>
  <c r="F22127" i="1"/>
  <c r="F22126" i="1"/>
  <c r="F22125" i="1"/>
  <c r="F22124" i="1"/>
  <c r="F22123" i="1"/>
  <c r="F22122" i="1"/>
  <c r="F22121" i="1"/>
  <c r="F22118" i="1"/>
  <c r="F22117" i="1"/>
  <c r="F22116" i="1"/>
  <c r="F22115" i="1"/>
  <c r="F22113" i="1"/>
  <c r="F22114" i="1"/>
  <c r="F22111" i="1"/>
  <c r="F22112" i="1"/>
  <c r="F22109" i="1"/>
  <c r="F22110" i="1"/>
  <c r="F22107" i="1"/>
  <c r="F22106" i="1"/>
  <c r="F22105" i="1"/>
  <c r="F22104" i="1"/>
  <c r="F22103" i="1"/>
  <c r="F22102" i="1"/>
  <c r="F22100" i="1"/>
  <c r="F22010" i="1"/>
  <c r="F22006" i="1"/>
  <c r="F21986" i="1"/>
  <c r="F21984" i="1"/>
  <c r="F21978" i="1"/>
  <c r="F21976" i="1"/>
  <c r="F21969" i="1"/>
  <c r="F21967" i="1"/>
  <c r="F21965" i="1"/>
  <c r="F21963" i="1"/>
  <c r="F21961" i="1"/>
  <c r="F21959" i="1"/>
  <c r="F21952" i="1"/>
  <c r="F21931" i="1"/>
  <c r="F21929" i="1"/>
  <c r="F21927" i="1"/>
  <c r="F21925" i="1"/>
  <c r="F21874" i="1"/>
  <c r="F21848" i="1"/>
  <c r="F21847" i="1"/>
  <c r="F21844" i="1"/>
  <c r="F21843" i="1"/>
  <c r="F21842" i="1"/>
  <c r="F21841" i="1"/>
  <c r="F21840" i="1"/>
  <c r="F21831" i="1"/>
  <c r="F21819" i="1"/>
  <c r="F21818" i="1"/>
  <c r="F21809" i="1"/>
  <c r="F21806" i="1"/>
  <c r="F21802" i="1"/>
  <c r="F21801" i="1"/>
  <c r="F21798" i="1"/>
  <c r="F21792" i="1"/>
  <c r="F21787" i="1"/>
  <c r="F21785" i="1"/>
  <c r="F21781" i="1"/>
  <c r="F21777" i="1"/>
  <c r="F21765" i="1"/>
  <c r="F21762" i="1"/>
  <c r="F21759" i="1"/>
  <c r="F21741" i="1"/>
  <c r="F21683" i="1"/>
  <c r="F21680" i="1"/>
  <c r="F21664" i="1"/>
  <c r="F21644" i="1"/>
  <c r="F21618" i="1"/>
  <c r="F21613" i="1"/>
  <c r="F21611" i="1"/>
  <c r="F21568" i="1"/>
  <c r="F21566" i="1"/>
  <c r="F21561" i="1"/>
  <c r="F21547" i="1"/>
  <c r="F21508" i="1"/>
  <c r="F21507" i="1"/>
  <c r="F21493" i="1"/>
  <c r="F21489" i="1"/>
  <c r="F21478" i="1"/>
  <c r="F21464" i="1"/>
  <c r="F21456" i="1"/>
  <c r="F21442" i="1"/>
  <c r="F21438" i="1"/>
  <c r="F21436" i="1"/>
  <c r="F21425" i="1"/>
  <c r="F21421" i="1"/>
  <c r="F21419" i="1"/>
  <c r="F21417" i="1"/>
  <c r="F21408" i="1"/>
  <c r="F21406" i="1"/>
  <c r="F21396" i="1"/>
  <c r="F21394" i="1"/>
  <c r="F21388" i="1"/>
  <c r="F21374" i="1"/>
  <c r="F21369" i="1"/>
  <c r="F21354" i="1"/>
  <c r="F21349" i="1"/>
  <c r="F21328" i="1"/>
  <c r="F21326" i="1"/>
  <c r="F21323" i="1"/>
  <c r="F21313" i="1"/>
  <c r="F21311" i="1"/>
  <c r="F21308" i="1"/>
  <c r="F21304" i="1"/>
  <c r="F21261" i="1"/>
  <c r="F21252" i="1"/>
  <c r="F21170" i="1"/>
  <c r="F21098" i="1"/>
  <c r="F21094" i="1"/>
  <c r="F21090" i="1"/>
  <c r="F21089" i="1"/>
  <c r="F21055" i="1"/>
  <c r="F20977" i="1"/>
  <c r="F20836" i="1"/>
  <c r="F20720" i="1"/>
  <c r="F20685" i="1"/>
  <c r="F20668" i="1"/>
  <c r="F20669" i="1"/>
  <c r="F20666" i="1"/>
  <c r="F20653" i="1"/>
  <c r="F20650" i="1"/>
  <c r="F20636" i="1"/>
  <c r="F20631" i="1"/>
  <c r="F20630" i="1"/>
  <c r="F20618" i="1"/>
  <c r="F20603" i="1"/>
  <c r="F20498" i="1"/>
  <c r="F20460" i="1"/>
  <c r="F20441" i="1"/>
  <c r="F20428" i="1"/>
  <c r="F20423" i="1"/>
  <c r="F20339" i="1"/>
  <c r="F20334" i="1"/>
  <c r="F20322" i="1"/>
  <c r="F20201" i="1"/>
  <c r="F20143" i="1"/>
  <c r="F20141" i="1"/>
  <c r="F20101" i="1"/>
  <c r="F19985" i="1"/>
  <c r="F19961" i="1"/>
  <c r="F19794" i="1"/>
  <c r="F19779" i="1"/>
  <c r="F19755" i="1"/>
  <c r="F19633" i="1"/>
  <c r="F19607" i="1"/>
  <c r="F19583" i="1"/>
  <c r="F19576" i="1"/>
  <c r="F19561" i="1"/>
  <c r="F19558" i="1"/>
  <c r="F19507" i="1"/>
  <c r="F19471" i="1"/>
  <c r="F19457" i="1"/>
  <c r="F19236" i="1"/>
  <c r="F19235" i="1"/>
  <c r="F19218" i="1"/>
  <c r="F19207" i="1"/>
  <c r="F19201" i="1"/>
  <c r="F19180" i="1"/>
  <c r="F19122" i="1"/>
  <c r="F19112" i="1"/>
  <c r="F19061" i="1"/>
  <c r="F18930" i="1"/>
  <c r="F18907" i="1"/>
  <c r="F18904" i="1"/>
  <c r="F18902" i="1"/>
  <c r="F18900" i="1"/>
  <c r="F18889" i="1"/>
  <c r="F18880" i="1"/>
  <c r="F18881" i="1"/>
  <c r="F18882" i="1"/>
  <c r="F18859" i="1"/>
  <c r="F18856" i="1"/>
  <c r="F18847" i="1"/>
  <c r="F18841" i="1"/>
  <c r="F18834" i="1"/>
  <c r="F18823" i="1"/>
  <c r="F18820" i="1"/>
  <c r="F18818" i="1"/>
  <c r="F18807" i="1"/>
  <c r="F18803" i="1"/>
  <c r="F18801" i="1"/>
  <c r="F18796" i="1"/>
  <c r="F18794" i="1"/>
  <c r="F18784" i="1"/>
  <c r="F18769" i="1"/>
  <c r="F18757" i="1"/>
  <c r="F18736" i="1"/>
  <c r="F18714" i="1"/>
  <c r="F18712" i="1"/>
  <c r="F18709" i="1"/>
  <c r="F18706" i="1"/>
  <c r="F18691" i="1"/>
  <c r="F18686" i="1"/>
  <c r="F18674" i="1"/>
  <c r="F18656" i="1"/>
  <c r="F18651" i="1"/>
  <c r="F18641" i="1"/>
  <c r="F18639" i="1"/>
  <c r="F18594" i="1"/>
  <c r="F18574" i="1"/>
  <c r="F18573" i="1"/>
  <c r="F18572" i="1"/>
  <c r="F18571" i="1"/>
  <c r="F18570" i="1"/>
  <c r="F18567" i="1"/>
  <c r="F18565" i="1"/>
  <c r="F18552" i="1"/>
  <c r="F18551" i="1"/>
  <c r="F18550" i="1"/>
  <c r="F18549" i="1"/>
  <c r="F18548" i="1"/>
  <c r="F18547" i="1"/>
  <c r="F18544" i="1"/>
  <c r="F18543" i="1"/>
  <c r="F18542" i="1"/>
  <c r="F18541" i="1"/>
  <c r="F18538" i="1"/>
  <c r="F18537" i="1"/>
  <c r="F18536" i="1"/>
  <c r="F18535" i="1"/>
  <c r="F18534" i="1"/>
  <c r="F18533" i="1"/>
  <c r="F18532" i="1"/>
  <c r="F18531" i="1"/>
  <c r="F18529" i="1"/>
  <c r="F18527" i="1"/>
  <c r="F18526" i="1"/>
  <c r="F18525" i="1"/>
  <c r="F18523" i="1"/>
  <c r="F18522" i="1"/>
  <c r="F18521" i="1"/>
  <c r="F18520" i="1"/>
  <c r="F18519" i="1"/>
  <c r="F18509" i="1"/>
  <c r="F18507" i="1"/>
  <c r="F18471" i="1"/>
  <c r="F18467" i="1"/>
  <c r="F18451" i="1"/>
  <c r="F18439" i="1"/>
  <c r="F18434" i="1"/>
  <c r="F18422" i="1"/>
  <c r="F18407" i="1"/>
  <c r="F18391" i="1"/>
  <c r="F18383" i="1"/>
  <c r="F18376" i="1"/>
  <c r="F18372" i="1"/>
  <c r="F18369" i="1"/>
  <c r="F18367" i="1"/>
  <c r="F18360" i="1"/>
  <c r="F18344" i="1"/>
  <c r="F18308" i="1"/>
  <c r="F18307" i="1"/>
  <c r="F18298" i="1"/>
  <c r="F18296" i="1"/>
  <c r="F18295" i="1"/>
  <c r="F18280" i="1"/>
  <c r="F18244" i="1"/>
  <c r="F18234" i="1"/>
  <c r="F18232" i="1"/>
  <c r="F18230" i="1"/>
  <c r="F18222" i="1"/>
  <c r="F18221" i="1"/>
  <c r="F18205" i="1"/>
  <c r="F18197" i="1"/>
  <c r="F18151" i="1"/>
  <c r="F18139" i="1"/>
  <c r="F18134" i="1"/>
  <c r="F18132" i="1"/>
  <c r="F18121" i="1"/>
  <c r="F18119" i="1"/>
  <c r="F18117" i="1"/>
  <c r="F18111" i="1"/>
  <c r="F18109" i="1"/>
  <c r="F18099" i="1"/>
  <c r="F18097" i="1"/>
  <c r="F18080" i="1"/>
  <c r="F18078" i="1"/>
  <c r="F18074" i="1"/>
  <c r="F18064" i="1"/>
  <c r="F18061" i="1"/>
  <c r="F18055" i="1"/>
  <c r="F18051" i="1"/>
  <c r="F18042" i="1"/>
  <c r="F18019" i="1"/>
  <c r="F18009" i="1"/>
  <c r="F17997" i="1"/>
  <c r="F17994" i="1"/>
  <c r="F17987" i="1"/>
  <c r="F17973" i="1"/>
  <c r="F17956" i="1"/>
  <c r="F17957" i="1"/>
  <c r="F17958" i="1"/>
  <c r="F17953" i="1"/>
  <c r="F17952" i="1"/>
  <c r="F17944" i="1"/>
  <c r="F17940" i="1"/>
  <c r="F17887" i="1"/>
  <c r="F17882" i="1"/>
  <c r="F17880" i="1"/>
  <c r="F17840" i="1"/>
  <c r="F17836" i="1"/>
  <c r="F17834" i="1"/>
  <c r="F17820" i="1"/>
  <c r="F17812" i="1"/>
  <c r="F17677" i="1"/>
  <c r="F17566" i="1"/>
  <c r="F17509" i="1"/>
  <c r="F17497" i="1"/>
  <c r="F17470" i="1"/>
  <c r="F17425" i="1"/>
  <c r="F17423" i="1"/>
  <c r="F17414" i="1"/>
  <c r="F17389" i="1"/>
  <c r="F17375" i="1"/>
  <c r="F17373" i="1"/>
  <c r="F17344" i="1"/>
  <c r="F17341" i="1"/>
  <c r="F17295" i="1"/>
  <c r="F17263" i="1"/>
  <c r="F17259" i="1"/>
  <c r="F17251" i="1"/>
  <c r="F17231" i="1"/>
  <c r="F17144" i="1"/>
  <c r="F17133" i="1"/>
  <c r="F16851" i="1"/>
  <c r="F16612" i="1"/>
  <c r="F16433" i="1"/>
  <c r="F16284" i="1"/>
  <c r="F16260" i="1"/>
  <c r="F16230" i="1"/>
  <c r="F16047" i="1"/>
  <c r="F15950" i="1"/>
  <c r="F15793" i="1"/>
  <c r="F15756" i="1"/>
  <c r="F15755" i="1"/>
  <c r="F15754" i="1"/>
  <c r="F15753" i="1"/>
  <c r="F15752" i="1"/>
  <c r="F15751" i="1"/>
  <c r="F15748" i="1"/>
  <c r="F15746" i="1"/>
  <c r="F15735" i="1"/>
  <c r="F15734" i="1"/>
  <c r="F15733" i="1"/>
  <c r="F15731" i="1"/>
  <c r="F15730" i="1"/>
  <c r="F15728" i="1"/>
  <c r="F15727" i="1"/>
  <c r="F15725" i="1"/>
  <c r="F15726" i="1"/>
  <c r="F15724" i="1"/>
  <c r="F15723" i="1"/>
  <c r="F15722" i="1"/>
  <c r="F15721" i="1"/>
  <c r="F15720" i="1"/>
  <c r="F15719" i="1"/>
  <c r="F15718" i="1"/>
  <c r="F15716" i="1"/>
  <c r="F15715" i="1"/>
  <c r="F15713" i="1"/>
  <c r="F15711" i="1"/>
  <c r="F15710" i="1"/>
  <c r="F15709" i="1"/>
  <c r="F15707" i="1"/>
  <c r="F15706" i="1"/>
  <c r="F15705" i="1"/>
  <c r="F15704" i="1"/>
  <c r="F15702" i="1"/>
  <c r="F15670" i="1"/>
  <c r="F15651" i="1"/>
  <c r="F15647" i="1"/>
  <c r="F15648" i="1"/>
  <c r="F15636" i="1"/>
  <c r="F15631" i="1"/>
  <c r="F15629" i="1"/>
  <c r="F15607" i="1"/>
  <c r="F15581" i="1"/>
  <c r="F15554" i="1"/>
  <c r="F15542" i="1"/>
  <c r="F15530" i="1"/>
  <c r="F15508" i="1"/>
  <c r="F15499" i="1"/>
  <c r="F15489" i="1"/>
  <c r="F15487" i="1"/>
  <c r="F15483" i="1"/>
  <c r="F15478" i="1"/>
  <c r="F15476" i="1"/>
  <c r="F15444" i="1"/>
  <c r="F15387" i="1"/>
  <c r="F15385" i="1"/>
  <c r="F15365" i="1"/>
  <c r="F15355" i="1"/>
  <c r="F15327" i="1"/>
  <c r="F15320" i="1"/>
  <c r="F15294" i="1"/>
  <c r="F15292" i="1"/>
  <c r="F15288" i="1"/>
  <c r="F15271" i="1"/>
  <c r="F15253" i="1"/>
  <c r="F15231" i="1"/>
  <c r="F15230" i="1"/>
  <c r="F15229" i="1"/>
  <c r="F15189" i="1"/>
  <c r="F15161" i="1"/>
  <c r="F15156" i="1"/>
  <c r="F15129" i="1"/>
  <c r="F15109" i="1"/>
  <c r="F15107" i="1"/>
  <c r="F15089" i="1"/>
  <c r="F15077" i="1"/>
  <c r="F15063" i="1"/>
  <c r="F15060" i="1"/>
  <c r="F15000" i="1"/>
  <c r="F14994" i="1"/>
  <c r="F14990" i="1"/>
  <c r="F14983" i="1"/>
  <c r="F14981" i="1"/>
  <c r="F14980" i="1"/>
  <c r="F14974" i="1"/>
  <c r="F14965" i="1"/>
  <c r="F14958" i="1"/>
  <c r="F14957" i="1"/>
  <c r="F14937" i="1"/>
  <c r="F14933" i="1"/>
  <c r="F14909" i="1"/>
  <c r="F14890" i="1"/>
  <c r="F14887" i="1"/>
  <c r="F14872" i="1"/>
  <c r="F14848" i="1"/>
  <c r="F14847" i="1"/>
  <c r="F14845" i="1"/>
  <c r="F14813" i="1"/>
  <c r="F14771" i="1"/>
  <c r="F14743" i="1"/>
  <c r="F14742" i="1"/>
  <c r="F14730" i="1"/>
  <c r="F14728" i="1"/>
  <c r="F14711" i="1"/>
  <c r="F14710" i="1"/>
  <c r="F14707" i="1"/>
  <c r="F14679" i="1"/>
  <c r="F14677" i="1"/>
  <c r="F14643" i="1"/>
  <c r="F14642" i="1"/>
  <c r="F14639" i="1"/>
  <c r="F14637" i="1"/>
  <c r="F14580" i="1"/>
  <c r="F14535" i="1"/>
  <c r="F14528" i="1"/>
  <c r="F14525" i="1"/>
  <c r="F14523" i="1"/>
  <c r="F14511" i="1"/>
  <c r="F14502" i="1"/>
  <c r="F14486" i="1"/>
  <c r="F14484" i="1"/>
  <c r="F14454" i="1"/>
  <c r="F14451" i="1"/>
  <c r="F14449" i="1"/>
  <c r="F14389" i="1"/>
  <c r="F14374" i="1"/>
  <c r="F14359" i="1"/>
  <c r="F14354" i="1"/>
  <c r="F14346" i="1"/>
  <c r="F14345" i="1"/>
  <c r="F14320" i="1"/>
  <c r="F14275" i="1"/>
  <c r="F14250" i="1"/>
  <c r="F14248" i="1"/>
  <c r="F14211" i="1"/>
  <c r="F14203" i="1"/>
  <c r="F14194" i="1"/>
  <c r="F14157" i="1"/>
  <c r="F14155" i="1"/>
  <c r="F14153" i="1"/>
  <c r="F13976" i="1"/>
  <c r="F13967" i="1"/>
  <c r="F13960" i="1"/>
  <c r="F13954" i="1"/>
  <c r="F13943" i="1"/>
  <c r="F13894" i="1"/>
  <c r="F13891" i="1"/>
  <c r="F13890" i="1"/>
  <c r="F13887" i="1"/>
  <c r="F13885" i="1"/>
  <c r="F13826" i="1"/>
  <c r="F13798" i="1"/>
  <c r="F13784" i="1"/>
  <c r="F13772" i="1"/>
  <c r="F13639" i="1"/>
  <c r="F13592" i="1"/>
  <c r="F13540" i="1"/>
  <c r="F13439" i="1"/>
  <c r="F13351" i="1"/>
  <c r="F13349" i="1"/>
  <c r="F13251" i="1"/>
  <c r="F13246" i="1"/>
  <c r="F13236" i="1"/>
  <c r="F13228" i="1"/>
  <c r="F13226" i="1"/>
  <c r="F13215" i="1"/>
  <c r="F13207" i="1"/>
  <c r="F13202" i="1"/>
  <c r="F13192" i="1"/>
  <c r="F13191" i="1"/>
  <c r="F13186" i="1"/>
  <c r="F13166" i="1"/>
  <c r="F13159" i="1"/>
  <c r="F13152" i="1"/>
  <c r="F13144" i="1"/>
  <c r="F13142" i="1"/>
  <c r="F13134" i="1"/>
  <c r="F13130" i="1"/>
  <c r="F13109" i="1"/>
  <c r="F13110" i="1"/>
  <c r="F13060" i="1"/>
  <c r="F12834" i="1"/>
  <c r="F12813" i="1"/>
  <c r="F12811" i="1"/>
  <c r="F12804" i="1"/>
  <c r="F12803" i="1"/>
  <c r="F12802" i="1"/>
  <c r="F12801" i="1"/>
  <c r="F12800" i="1"/>
  <c r="F12799" i="1"/>
  <c r="F12798" i="1"/>
  <c r="F12797" i="1"/>
  <c r="F12795" i="1"/>
  <c r="F12792" i="1"/>
  <c r="F12791" i="1"/>
  <c r="F12790" i="1"/>
  <c r="F12789" i="1"/>
  <c r="F12788" i="1"/>
  <c r="F12785" i="1"/>
  <c r="F12781" i="1"/>
  <c r="F12782" i="1"/>
  <c r="F12783" i="1"/>
  <c r="F12784" i="1"/>
  <c r="F12780" i="1"/>
  <c r="F12779" i="1"/>
  <c r="F12778" i="1"/>
  <c r="F12777" i="1"/>
  <c r="F12776" i="1"/>
  <c r="F12775" i="1"/>
  <c r="F12774" i="1"/>
  <c r="F12772" i="1"/>
  <c r="F12771" i="1"/>
  <c r="F12770" i="1"/>
  <c r="F12769" i="1"/>
  <c r="F12767" i="1"/>
  <c r="F12765" i="1"/>
  <c r="F12766" i="1"/>
  <c r="F12764" i="1"/>
  <c r="F12762" i="1"/>
  <c r="F12759" i="1"/>
  <c r="F12760" i="1"/>
  <c r="F12761" i="1"/>
  <c r="F12757" i="1"/>
  <c r="F12758" i="1"/>
  <c r="F12755" i="1"/>
  <c r="F12756" i="1"/>
  <c r="F12753" i="1"/>
  <c r="F12752" i="1"/>
  <c r="F12751" i="1"/>
  <c r="F12749" i="1"/>
  <c r="F12748" i="1"/>
  <c r="F12747" i="1"/>
  <c r="F12746" i="1"/>
  <c r="F12745" i="1"/>
  <c r="F12744" i="1"/>
  <c r="F12743" i="1"/>
  <c r="F12741" i="1"/>
  <c r="F12738" i="1"/>
  <c r="F12737" i="1"/>
  <c r="F12736" i="1"/>
  <c r="F12735" i="1"/>
  <c r="F12734" i="1"/>
  <c r="F12733" i="1"/>
  <c r="F12732" i="1"/>
  <c r="F12715" i="1"/>
  <c r="F12669" i="1"/>
  <c r="F12662" i="1"/>
  <c r="F12657" i="1"/>
  <c r="F12647" i="1"/>
  <c r="F12640" i="1"/>
  <c r="F12635" i="1"/>
  <c r="F12636" i="1"/>
  <c r="F12631" i="1"/>
  <c r="F12619" i="1"/>
  <c r="F12617" i="1"/>
  <c r="F12600" i="1"/>
  <c r="F12601" i="1"/>
  <c r="F12578" i="1"/>
  <c r="F12573" i="1"/>
  <c r="F12571" i="1"/>
  <c r="F12560" i="1"/>
  <c r="F12534" i="1"/>
  <c r="F12530" i="1"/>
  <c r="F12510" i="1"/>
  <c r="F12481" i="1"/>
  <c r="F12476" i="1"/>
  <c r="F12418" i="1"/>
  <c r="F12415" i="1"/>
  <c r="F12406" i="1"/>
  <c r="F12404" i="1"/>
  <c r="F12395" i="1"/>
  <c r="F12392" i="1"/>
  <c r="F12389" i="1"/>
  <c r="F12355" i="1"/>
  <c r="F12248" i="1"/>
  <c r="F12209" i="1"/>
  <c r="F12193" i="1"/>
  <c r="F12182" i="1"/>
  <c r="F12178" i="1"/>
  <c r="F12176" i="1"/>
  <c r="F12137" i="1"/>
  <c r="F12135" i="1"/>
  <c r="F12134" i="1"/>
  <c r="F12055" i="1"/>
  <c r="F11895" i="1"/>
  <c r="F11890" i="1"/>
  <c r="F11888" i="1"/>
  <c r="F11833" i="1"/>
  <c r="F11831" i="1"/>
  <c r="F11761" i="1"/>
  <c r="F11755" i="1"/>
  <c r="F11705" i="1"/>
  <c r="F11683" i="1"/>
  <c r="F11677" i="1"/>
  <c r="F11452" i="1"/>
  <c r="F11446" i="1"/>
  <c r="F11277" i="1"/>
  <c r="F11276" i="1"/>
  <c r="F11275" i="1"/>
  <c r="F11273" i="1"/>
  <c r="F11272" i="1"/>
  <c r="F11271" i="1"/>
  <c r="F11270" i="1"/>
  <c r="F11269" i="1"/>
  <c r="F11268" i="1"/>
  <c r="F11265" i="1"/>
  <c r="F11264" i="1"/>
  <c r="F11252" i="1"/>
  <c r="F11251" i="1"/>
  <c r="F11249" i="1"/>
  <c r="F11246" i="1"/>
  <c r="F11245" i="1"/>
  <c r="F11244" i="1"/>
  <c r="F11242" i="1"/>
  <c r="F11241" i="1"/>
  <c r="F11240" i="1"/>
  <c r="F11238" i="1"/>
  <c r="F11237" i="1"/>
  <c r="F11235" i="1"/>
  <c r="F11234" i="1"/>
  <c r="F11233" i="1"/>
  <c r="F11232" i="1"/>
  <c r="F11231" i="1"/>
  <c r="F11230" i="1"/>
  <c r="F11227" i="1"/>
  <c r="F11226" i="1"/>
  <c r="F11224" i="1"/>
  <c r="F11195" i="1"/>
  <c r="F11157" i="1"/>
  <c r="F11156" i="1"/>
  <c r="F11149" i="1"/>
  <c r="F11139" i="1"/>
  <c r="F11128" i="1"/>
  <c r="F11109" i="1"/>
  <c r="F11094" i="1"/>
  <c r="F11093" i="1"/>
  <c r="F11085" i="1"/>
  <c r="F11083" i="1"/>
  <c r="F11082" i="1"/>
  <c r="F11066" i="1"/>
  <c r="F11063" i="1"/>
  <c r="F11003" i="1"/>
  <c r="F10923" i="1"/>
  <c r="F10799" i="1"/>
  <c r="F10794" i="1"/>
  <c r="F10782" i="1"/>
  <c r="F10734" i="1"/>
  <c r="F10638" i="1"/>
  <c r="F10637" i="1"/>
  <c r="F10617" i="1"/>
  <c r="F10613" i="1"/>
  <c r="F10604" i="1"/>
  <c r="F10578" i="1"/>
  <c r="F10572" i="1"/>
  <c r="F10018" i="1"/>
  <c r="F10007" i="1"/>
  <c r="F9999" i="1"/>
  <c r="F9991" i="1"/>
  <c r="F9990" i="1"/>
  <c r="F9951" i="1"/>
  <c r="F9949" i="1"/>
  <c r="F9946" i="1"/>
  <c r="F9929" i="1"/>
  <c r="F9927" i="1"/>
  <c r="F9920" i="1"/>
  <c r="F9452" i="1"/>
  <c r="F9432" i="1"/>
  <c r="F9430" i="1"/>
  <c r="F9418" i="1"/>
  <c r="F9384" i="1"/>
  <c r="F9377" i="1"/>
  <c r="F9374" i="1"/>
  <c r="F9372" i="1"/>
  <c r="F9351" i="1"/>
  <c r="F9323" i="1"/>
  <c r="F9292" i="1"/>
  <c r="F9288" i="1"/>
  <c r="F9286" i="1"/>
  <c r="F9276" i="1"/>
  <c r="F9267" i="1"/>
  <c r="F9265" i="1"/>
  <c r="F9255" i="1"/>
  <c r="F9245" i="1"/>
  <c r="F9241" i="1"/>
  <c r="F9233" i="1"/>
  <c r="F9209" i="1"/>
  <c r="F8991" i="1"/>
  <c r="F8942" i="1"/>
  <c r="F8904" i="1"/>
  <c r="F8859" i="1"/>
  <c r="F8832" i="1"/>
  <c r="F8829" i="1"/>
  <c r="F8823" i="1"/>
  <c r="F8822" i="1"/>
  <c r="F8805" i="1"/>
  <c r="F8802" i="1"/>
  <c r="F8780" i="1"/>
  <c r="F8638" i="1"/>
  <c r="F8629" i="1"/>
  <c r="F8630" i="1"/>
  <c r="F8631" i="1"/>
  <c r="F8632" i="1"/>
  <c r="F8628" i="1"/>
  <c r="F8625" i="1"/>
  <c r="F8624" i="1"/>
  <c r="F8623" i="1"/>
  <c r="F8619" i="1"/>
  <c r="F8620" i="1"/>
  <c r="F8621" i="1"/>
  <c r="F8622" i="1"/>
  <c r="F8616" i="1"/>
  <c r="F8617" i="1"/>
  <c r="F8613" i="1"/>
  <c r="F8612" i="1"/>
  <c r="F8611" i="1"/>
  <c r="F8610" i="1"/>
  <c r="F8590" i="1"/>
  <c r="F8586" i="1"/>
  <c r="F8520" i="1"/>
  <c r="F8521" i="1"/>
  <c r="F8437" i="1"/>
  <c r="F8435" i="1"/>
  <c r="F8401" i="1"/>
  <c r="F8399" i="1"/>
  <c r="F8397" i="1"/>
  <c r="F8390" i="1"/>
  <c r="F8385" i="1"/>
  <c r="F8377" i="1"/>
  <c r="F8348" i="1"/>
  <c r="F8341" i="1"/>
  <c r="F8339" i="1"/>
  <c r="F8333" i="1"/>
  <c r="F8330" i="1"/>
  <c r="F8326" i="1"/>
  <c r="F8312" i="1"/>
  <c r="F8304" i="1"/>
  <c r="F8269" i="1"/>
  <c r="F8257" i="1"/>
  <c r="F8255" i="1"/>
  <c r="F8243" i="1"/>
  <c r="F8235" i="1"/>
  <c r="F8231" i="1"/>
  <c r="F8203" i="1"/>
  <c r="F8202" i="1"/>
  <c r="F8201" i="1"/>
  <c r="F8178" i="1"/>
  <c r="F8177" i="1"/>
  <c r="F8176" i="1"/>
  <c r="F8155" i="1"/>
  <c r="F8127" i="1"/>
  <c r="F8093" i="1"/>
  <c r="F8078" i="1"/>
  <c r="F8076" i="1"/>
  <c r="F8073" i="1"/>
  <c r="F8070" i="1"/>
  <c r="F8035" i="1"/>
  <c r="F7987" i="1"/>
  <c r="F7985" i="1"/>
  <c r="F7979" i="1"/>
  <c r="F7976" i="1"/>
  <c r="F7973" i="1"/>
  <c r="F7971" i="1"/>
  <c r="F7964" i="1"/>
  <c r="F7955" i="1"/>
  <c r="F7953" i="1"/>
  <c r="F7951" i="1"/>
  <c r="F7931" i="1"/>
  <c r="F7919" i="1"/>
  <c r="F7900" i="1"/>
  <c r="F7872" i="1"/>
  <c r="F7871" i="1"/>
  <c r="F7863" i="1"/>
  <c r="F7862" i="1"/>
  <c r="F7855" i="1"/>
  <c r="F7838" i="1"/>
  <c r="F7836" i="1"/>
  <c r="F7818" i="1"/>
  <c r="F7778" i="1"/>
  <c r="F7766" i="1"/>
  <c r="F7758" i="1"/>
  <c r="F7756" i="1"/>
  <c r="F7754" i="1"/>
  <c r="F7753" i="1"/>
  <c r="F7748" i="1"/>
  <c r="F7749" i="1"/>
  <c r="F7746" i="1"/>
  <c r="F7742" i="1"/>
  <c r="F7740" i="1"/>
  <c r="F7733" i="1"/>
  <c r="F7727" i="1"/>
  <c r="F7725" i="1"/>
  <c r="F7700" i="1"/>
  <c r="F7698" i="1"/>
  <c r="F7694" i="1"/>
  <c r="F7695" i="1"/>
  <c r="F7692" i="1"/>
  <c r="F7687" i="1"/>
  <c r="F7686" i="1"/>
  <c r="F7501" i="1"/>
  <c r="F7494" i="1"/>
  <c r="F7484" i="1"/>
  <c r="F7482" i="1"/>
  <c r="F7447" i="1"/>
  <c r="F7445" i="1"/>
  <c r="F7381" i="1"/>
  <c r="F7372" i="1"/>
  <c r="F7369" i="1"/>
  <c r="F7368" i="1"/>
  <c r="F7367" i="1"/>
  <c r="F7357" i="1"/>
  <c r="F7354" i="1"/>
  <c r="F7317" i="1"/>
  <c r="F7313" i="1"/>
  <c r="F7299" i="1"/>
  <c r="F7291" i="1"/>
  <c r="F7122" i="1"/>
  <c r="F7118" i="1"/>
  <c r="F7028" i="1"/>
  <c r="F7027" i="1"/>
  <c r="F7026" i="1"/>
  <c r="F7025" i="1"/>
  <c r="F7024" i="1"/>
  <c r="F7023" i="1"/>
  <c r="F7011" i="1"/>
  <c r="F7007" i="1"/>
  <c r="F7004" i="1"/>
  <c r="F7000" i="1"/>
  <c r="F6995" i="1"/>
  <c r="F6992" i="1"/>
  <c r="F6720" i="1"/>
  <c r="F6644" i="1"/>
  <c r="F6615" i="1"/>
  <c r="F6608" i="1"/>
  <c r="F6600" i="1"/>
  <c r="F6597" i="1"/>
  <c r="F6545" i="1"/>
  <c r="F6532" i="1"/>
  <c r="F6530" i="1"/>
  <c r="F6522" i="1"/>
  <c r="F6479" i="1"/>
  <c r="F6457" i="1"/>
  <c r="F6450" i="1"/>
  <c r="F6449" i="1"/>
  <c r="F6251" i="1"/>
  <c r="F6249" i="1"/>
  <c r="F6248" i="1"/>
  <c r="F6239" i="1"/>
  <c r="F6238" i="1"/>
  <c r="F6236" i="1"/>
  <c r="F6234" i="1"/>
  <c r="F6231" i="1"/>
  <c r="F6229" i="1"/>
  <c r="F6228" i="1"/>
  <c r="F6227" i="1"/>
  <c r="F6226" i="1"/>
  <c r="F6225" i="1"/>
  <c r="F6219" i="1"/>
  <c r="F6217" i="1"/>
  <c r="F6216" i="1"/>
  <c r="F6215" i="1"/>
  <c r="F6023" i="1"/>
  <c r="F6021" i="1"/>
  <c r="F6002" i="1"/>
  <c r="F5971" i="1"/>
  <c r="F5968" i="1"/>
  <c r="F5959" i="1"/>
  <c r="F5924" i="1"/>
  <c r="F5921" i="1"/>
  <c r="F5919" i="1"/>
  <c r="F5874" i="1"/>
  <c r="F5846" i="1"/>
  <c r="F5749" i="1"/>
  <c r="F5710" i="1"/>
  <c r="F5703" i="1"/>
  <c r="F5668" i="1"/>
  <c r="F5657" i="1"/>
  <c r="F5470" i="1"/>
  <c r="F5460" i="1"/>
  <c r="F5451" i="1"/>
  <c r="F5441" i="1"/>
  <c r="F5439" i="1"/>
  <c r="F5414" i="1"/>
  <c r="F5410" i="1"/>
  <c r="F5354" i="1"/>
  <c r="F5333" i="1"/>
  <c r="F5297" i="1"/>
  <c r="F5209" i="1"/>
  <c r="F5181" i="1"/>
  <c r="F5179" i="1"/>
  <c r="F5178" i="1"/>
  <c r="F5177" i="1"/>
  <c r="F5176" i="1"/>
  <c r="F5174" i="1"/>
  <c r="F5168" i="1"/>
  <c r="F5137" i="1"/>
  <c r="F5131" i="1"/>
  <c r="F5128" i="1"/>
  <c r="F5099" i="1"/>
  <c r="F5079" i="1"/>
  <c r="F5077" i="1"/>
  <c r="F5075" i="1"/>
  <c r="F5045" i="1"/>
  <c r="F4975" i="1"/>
  <c r="F4956" i="1"/>
  <c r="F4922" i="1"/>
  <c r="F4911" i="1"/>
  <c r="F4908" i="1"/>
  <c r="F4899" i="1"/>
  <c r="F4875" i="1"/>
  <c r="F4873" i="1"/>
  <c r="F4871" i="1"/>
  <c r="F4869" i="1"/>
  <c r="F4867" i="1"/>
  <c r="F4865" i="1"/>
  <c r="F4863" i="1"/>
  <c r="F4861" i="1"/>
  <c r="F4859" i="1"/>
  <c r="F4857" i="1"/>
  <c r="F4855" i="1"/>
  <c r="F4853" i="1"/>
  <c r="F4851" i="1"/>
  <c r="F4849" i="1"/>
  <c r="F4848" i="1"/>
  <c r="F4846" i="1"/>
  <c r="F4843" i="1"/>
  <c r="F4838" i="1"/>
  <c r="F4834" i="1"/>
  <c r="F4762" i="1"/>
  <c r="F4760" i="1"/>
  <c r="F4754" i="1"/>
  <c r="F4662" i="1"/>
  <c r="F4633" i="1"/>
  <c r="F4364" i="1"/>
  <c r="F4175" i="1"/>
  <c r="F4174" i="1"/>
  <c r="F4145" i="1"/>
  <c r="F4133" i="1"/>
  <c r="F4110" i="1"/>
  <c r="F4107" i="1"/>
  <c r="F4092" i="1"/>
  <c r="F4071" i="1"/>
  <c r="F4067" i="1"/>
  <c r="F3920" i="1"/>
  <c r="F3921" i="1"/>
  <c r="F3922" i="1"/>
  <c r="F3918" i="1"/>
  <c r="F3916" i="1"/>
  <c r="F3914" i="1"/>
  <c r="F3909" i="1"/>
  <c r="F3906" i="1"/>
  <c r="F3902" i="1"/>
  <c r="F3896" i="1"/>
  <c r="F3859" i="1"/>
  <c r="F3852" i="1"/>
  <c r="F3836" i="1"/>
  <c r="F3832" i="1"/>
  <c r="F3816" i="1"/>
  <c r="F3814" i="1"/>
  <c r="F3812" i="1"/>
  <c r="F3808" i="1"/>
  <c r="F3782" i="1"/>
  <c r="F3780" i="1"/>
  <c r="F3774" i="1"/>
  <c r="F3768" i="1"/>
  <c r="F3769" i="1"/>
  <c r="F3753" i="1"/>
  <c r="F3721" i="1"/>
  <c r="F3718" i="1"/>
  <c r="F3696" i="1"/>
  <c r="F3694" i="1"/>
  <c r="F3678" i="1"/>
  <c r="F3676" i="1"/>
  <c r="F3619" i="1"/>
  <c r="F3603" i="1"/>
  <c r="F3550" i="1"/>
  <c r="F3543" i="1"/>
  <c r="F3537" i="1"/>
  <c r="F3535" i="1"/>
  <c r="F3503" i="1"/>
  <c r="F3490" i="1"/>
  <c r="F3489" i="1"/>
  <c r="F3478" i="1"/>
  <c r="F3477" i="1"/>
  <c r="F3476" i="1"/>
  <c r="F3475" i="1"/>
  <c r="F3462" i="1"/>
  <c r="F3459" i="1"/>
  <c r="F3457" i="1"/>
  <c r="F3454" i="1"/>
  <c r="F3452" i="1"/>
  <c r="F3443" i="1"/>
  <c r="F3440" i="1"/>
  <c r="F3434" i="1"/>
  <c r="F3386" i="1"/>
  <c r="F3350" i="1"/>
  <c r="F3343" i="1"/>
  <c r="F3324" i="1"/>
  <c r="F3311" i="1"/>
  <c r="F3299" i="1"/>
  <c r="F3292" i="1"/>
  <c r="F3290" i="1"/>
  <c r="F3270" i="1"/>
  <c r="F3254" i="1"/>
  <c r="F3249" i="1"/>
  <c r="F3226" i="1"/>
  <c r="F3204" i="1"/>
  <c r="F3191" i="1"/>
  <c r="F3177" i="1"/>
  <c r="F3140" i="1"/>
  <c r="F3134" i="1"/>
  <c r="F3133" i="1"/>
  <c r="F3107" i="1"/>
  <c r="F3091" i="1"/>
  <c r="F3086" i="1"/>
  <c r="F3015" i="1"/>
  <c r="F3013" i="1"/>
  <c r="F3011" i="1"/>
  <c r="F2935" i="1"/>
  <c r="F2901" i="1"/>
  <c r="F2898" i="1"/>
  <c r="F2896" i="1"/>
  <c r="F2895" i="1"/>
  <c r="F2694" i="1"/>
  <c r="F2652" i="1"/>
  <c r="F2651" i="1"/>
  <c r="F2641" i="1"/>
  <c r="F2631" i="1"/>
  <c r="F2624" i="1"/>
  <c r="F2611" i="1"/>
  <c r="F2601" i="1"/>
  <c r="F2573" i="1"/>
  <c r="F2449" i="1"/>
  <c r="F2445" i="1"/>
  <c r="F2425" i="1"/>
  <c r="F2420" i="1"/>
  <c r="F2385" i="1"/>
  <c r="F2382" i="1"/>
  <c r="F2379" i="1"/>
  <c r="F2378" i="1"/>
  <c r="F2377" i="1"/>
  <c r="F2329" i="1"/>
  <c r="F2295" i="1"/>
  <c r="F2216" i="1"/>
  <c r="F2207" i="1"/>
  <c r="F2196" i="1"/>
  <c r="F2187" i="1"/>
  <c r="F2166" i="1"/>
  <c r="F2143" i="1"/>
  <c r="F2056" i="1"/>
  <c r="F1958" i="1"/>
  <c r="F1926" i="1"/>
  <c r="F1441" i="1"/>
  <c r="F1146" i="1"/>
  <c r="F1140" i="1"/>
  <c r="F1065" i="1"/>
  <c r="F1054" i="1"/>
  <c r="F1052" i="1"/>
  <c r="F922" i="1"/>
  <c r="F886" i="1"/>
  <c r="F875" i="1"/>
  <c r="F873" i="1"/>
  <c r="F846" i="1"/>
  <c r="F503" i="1"/>
  <c r="F496" i="1"/>
  <c r="F474" i="1"/>
  <c r="F161" i="1"/>
  <c r="F79" i="1"/>
  <c r="F36365" i="1"/>
  <c r="F36230" i="1"/>
  <c r="F35571" i="1"/>
  <c r="F35539" i="1"/>
  <c r="F35523" i="1"/>
  <c r="F35462" i="1"/>
  <c r="F35034" i="1"/>
  <c r="F34833" i="1"/>
  <c r="F34795" i="1"/>
  <c r="F34493" i="1"/>
  <c r="F34392" i="1"/>
  <c r="F34267" i="1"/>
  <c r="F34252" i="1"/>
  <c r="F34244" i="1"/>
  <c r="F34223" i="1"/>
  <c r="F34189" i="1"/>
  <c r="F34179" i="1"/>
  <c r="F34126" i="1"/>
  <c r="F34124" i="1"/>
  <c r="F34120" i="1"/>
  <c r="F34104" i="1"/>
  <c r="F34074" i="1"/>
  <c r="F34073" i="1"/>
  <c r="F34056" i="1"/>
  <c r="F34055" i="1"/>
  <c r="F34054" i="1"/>
  <c r="F34028" i="1"/>
  <c r="F34021" i="1"/>
  <c r="F34020" i="1"/>
  <c r="F34000" i="1"/>
  <c r="F33811" i="1"/>
  <c r="F33786" i="1"/>
  <c r="F33780" i="1"/>
  <c r="F33779" i="1"/>
  <c r="F33632" i="1"/>
  <c r="F33614" i="1"/>
  <c r="F33517" i="1"/>
  <c r="F33474" i="1"/>
  <c r="F33395" i="1"/>
  <c r="F33105" i="1"/>
  <c r="F33091" i="1"/>
  <c r="F33076" i="1"/>
  <c r="F33024" i="1"/>
  <c r="F32994" i="1"/>
  <c r="F32985" i="1"/>
  <c r="F32926" i="1"/>
  <c r="F32898" i="1"/>
  <c r="F32859" i="1"/>
  <c r="F32844" i="1"/>
  <c r="F32715" i="1"/>
  <c r="F32714" i="1"/>
  <c r="F32514" i="1"/>
  <c r="F32442" i="1"/>
  <c r="F32405" i="1"/>
  <c r="F32401" i="1"/>
  <c r="F32000" i="1"/>
  <c r="F31886" i="1"/>
  <c r="F31664" i="1"/>
  <c r="F31663" i="1"/>
  <c r="F31057" i="1"/>
  <c r="F31056" i="1"/>
  <c r="F31053" i="1"/>
  <c r="F31049" i="1"/>
  <c r="F31035" i="1"/>
  <c r="F31034" i="1"/>
  <c r="F31033" i="1"/>
  <c r="F31032" i="1"/>
  <c r="F31031" i="1"/>
  <c r="F31030" i="1"/>
  <c r="F31020" i="1"/>
  <c r="F31019" i="1"/>
  <c r="F31017" i="1"/>
  <c r="F31009" i="1"/>
  <c r="F31003" i="1"/>
  <c r="F30831" i="1"/>
  <c r="F30807" i="1"/>
  <c r="F30491" i="1"/>
  <c r="F30488" i="1"/>
  <c r="F30331" i="1"/>
  <c r="F30153" i="1"/>
  <c r="F30142" i="1"/>
  <c r="F30129" i="1"/>
  <c r="F30110" i="1"/>
  <c r="F30094" i="1"/>
  <c r="F29879" i="1"/>
  <c r="F29800" i="1"/>
  <c r="F29701" i="1"/>
  <c r="F29655" i="1"/>
  <c r="F29646" i="1"/>
  <c r="F29243" i="1"/>
  <c r="F28463" i="1"/>
  <c r="F28447" i="1"/>
  <c r="F28442" i="1"/>
  <c r="F28441" i="1"/>
  <c r="F28345" i="1"/>
  <c r="F28315" i="1"/>
  <c r="F28312" i="1"/>
  <c r="F28261" i="1"/>
  <c r="F28072" i="1"/>
  <c r="F28022" i="1"/>
  <c r="F28003" i="1"/>
  <c r="F27969" i="1"/>
  <c r="F27854" i="1"/>
  <c r="F27833" i="1"/>
  <c r="F26464" i="1"/>
  <c r="F26046" i="1"/>
  <c r="F26003" i="1"/>
  <c r="F25916" i="1"/>
  <c r="F25915" i="1"/>
  <c r="F25913" i="1"/>
  <c r="F25912" i="1"/>
  <c r="F25893" i="1"/>
  <c r="F25877" i="1"/>
  <c r="F25871" i="1"/>
  <c r="F25688" i="1"/>
  <c r="F25670" i="1"/>
  <c r="F25605" i="1"/>
  <c r="F25492" i="1"/>
  <c r="F25343" i="1"/>
  <c r="F25293" i="1"/>
  <c r="F25079" i="1"/>
  <c r="F25078" i="1"/>
  <c r="F25077" i="1"/>
  <c r="F25076" i="1"/>
  <c r="F25017" i="1"/>
  <c r="F24981" i="1"/>
  <c r="F24961" i="1"/>
  <c r="F24902" i="1"/>
  <c r="F24867" i="1"/>
  <c r="F24866" i="1"/>
  <c r="F24862" i="1"/>
  <c r="F24859" i="1"/>
  <c r="F24858" i="1"/>
  <c r="F24852" i="1"/>
  <c r="F24822" i="1"/>
  <c r="F24816" i="1"/>
  <c r="F24799" i="1"/>
  <c r="F24783" i="1"/>
  <c r="F24769" i="1"/>
  <c r="F24554" i="1"/>
  <c r="F24461" i="1"/>
  <c r="F24396" i="1"/>
  <c r="F24394" i="1"/>
  <c r="F24380" i="1"/>
  <c r="F24114" i="1"/>
  <c r="F24025" i="1"/>
  <c r="F23978" i="1"/>
  <c r="F23971" i="1"/>
  <c r="F23946" i="1"/>
  <c r="F23920" i="1"/>
  <c r="F23919" i="1"/>
  <c r="F23900" i="1"/>
  <c r="F23834" i="1"/>
  <c r="F23820" i="1"/>
  <c r="F23768" i="1"/>
  <c r="F23758" i="1"/>
  <c r="F23550" i="1"/>
  <c r="F23549" i="1"/>
  <c r="F23548" i="1"/>
  <c r="F23498" i="1"/>
  <c r="F23422" i="1"/>
  <c r="F23388" i="1"/>
  <c r="F23317" i="1"/>
  <c r="F23278" i="1"/>
  <c r="F23223" i="1"/>
  <c r="F23166" i="1"/>
  <c r="F23067" i="1"/>
  <c r="F22724" i="1"/>
  <c r="F22384" i="1"/>
  <c r="F22295" i="1"/>
  <c r="F22223" i="1"/>
  <c r="F21938" i="1"/>
  <c r="F21879" i="1"/>
  <c r="F21723" i="1"/>
  <c r="F21720" i="1"/>
  <c r="F21718" i="1"/>
  <c r="F21700" i="1"/>
  <c r="F21628" i="1"/>
  <c r="F21501" i="1"/>
  <c r="F21382" i="1"/>
  <c r="F21338" i="1"/>
  <c r="F21302" i="1"/>
  <c r="F21108" i="1"/>
  <c r="F21106" i="1"/>
  <c r="F20895" i="1"/>
  <c r="F20737" i="1"/>
  <c r="F20640" i="1"/>
  <c r="F20496" i="1"/>
  <c r="F20387" i="1"/>
  <c r="F20324" i="1"/>
  <c r="F20195" i="1"/>
  <c r="F20149" i="1"/>
  <c r="F20131" i="1"/>
  <c r="F19668" i="1"/>
  <c r="F19567" i="1"/>
  <c r="F19565" i="1"/>
  <c r="F18960" i="1"/>
  <c r="F18812" i="1"/>
  <c r="F18773" i="1"/>
  <c r="F18771" i="1"/>
  <c r="F18493" i="1"/>
  <c r="F17862" i="1"/>
  <c r="F17561" i="1"/>
  <c r="F17555" i="1"/>
  <c r="F17553" i="1"/>
  <c r="F17549" i="1"/>
  <c r="F17539" i="1"/>
  <c r="F15662" i="1"/>
  <c r="F15653" i="1"/>
  <c r="F15645" i="1"/>
  <c r="F15641" i="1"/>
  <c r="F15613" i="1"/>
  <c r="F15564" i="1"/>
  <c r="F15532" i="1"/>
  <c r="F15516" i="1"/>
  <c r="F15495" i="1"/>
  <c r="F15399" i="1"/>
  <c r="F15389" i="1"/>
  <c r="F15383" i="1"/>
  <c r="F15381" i="1"/>
  <c r="F15379" i="1"/>
  <c r="F15367" i="1"/>
  <c r="F15345" i="1"/>
  <c r="F15337" i="1"/>
  <c r="F15333" i="1"/>
  <c r="F15329" i="1"/>
  <c r="F15314" i="1"/>
  <c r="F15312" i="1"/>
  <c r="F15310" i="1"/>
  <c r="F15300" i="1"/>
  <c r="F15149" i="1"/>
  <c r="F15143" i="1"/>
  <c r="F15139" i="1"/>
  <c r="F15066" i="1"/>
  <c r="F15049" i="1"/>
  <c r="F15042" i="1"/>
  <c r="F15001" i="1"/>
  <c r="F14967" i="1"/>
  <c r="F14881" i="1"/>
  <c r="F14853" i="1"/>
  <c r="F14807" i="1"/>
  <c r="F14803" i="1"/>
  <c r="F14799" i="1"/>
  <c r="F14795" i="1"/>
  <c r="F14783" i="1"/>
  <c r="F14781" i="1"/>
  <c r="F14779" i="1"/>
  <c r="F14705" i="1"/>
  <c r="F14703" i="1"/>
  <c r="F14604" i="1"/>
  <c r="F14045" i="1"/>
  <c r="F13950" i="1"/>
  <c r="F13882" i="1"/>
  <c r="F13842" i="1"/>
  <c r="F13633" i="1"/>
  <c r="F13569" i="1"/>
  <c r="F13533" i="1"/>
  <c r="F13474" i="1"/>
  <c r="F13440" i="1"/>
  <c r="F13195" i="1"/>
  <c r="F13161" i="1"/>
  <c r="F13140" i="1"/>
  <c r="F13138" i="1"/>
  <c r="F13136" i="1"/>
  <c r="F12615" i="1"/>
  <c r="F12484" i="1"/>
  <c r="F12474" i="1"/>
  <c r="F12456" i="1"/>
  <c r="F12454" i="1"/>
  <c r="F12220" i="1"/>
  <c r="F12199" i="1"/>
  <c r="F12147" i="1"/>
  <c r="F11421" i="1"/>
  <c r="F11183" i="1"/>
  <c r="F10755" i="1"/>
  <c r="F10624" i="1"/>
  <c r="F10585" i="1"/>
  <c r="F10583" i="1"/>
  <c r="F9202" i="1"/>
  <c r="F8906" i="1"/>
  <c r="F8897" i="1"/>
  <c r="F8853" i="1"/>
  <c r="F8815" i="1"/>
  <c r="F8803" i="1"/>
  <c r="F8774" i="1"/>
  <c r="F8766" i="1"/>
  <c r="F8665" i="1"/>
  <c r="F8094" i="1"/>
  <c r="F8080" i="1"/>
  <c r="F8031" i="1"/>
  <c r="F7997" i="1"/>
  <c r="F7977" i="1"/>
  <c r="F7890" i="1"/>
  <c r="F7859" i="1"/>
  <c r="F7853" i="1"/>
  <c r="F7846" i="1"/>
  <c r="F7844" i="1"/>
  <c r="F7842" i="1"/>
  <c r="F7840" i="1"/>
  <c r="F7831" i="1"/>
  <c r="F7704" i="1"/>
  <c r="F7620" i="1"/>
  <c r="F7616" i="1"/>
  <c r="F7516" i="1"/>
  <c r="F7508" i="1"/>
  <c r="F7475" i="1"/>
  <c r="F7468" i="1"/>
  <c r="F7407" i="1"/>
  <c r="F7309" i="1"/>
  <c r="F7289" i="1"/>
  <c r="F7165" i="1"/>
  <c r="F7021" i="1"/>
  <c r="F7019" i="1"/>
  <c r="F6988" i="1"/>
  <c r="F6961" i="1"/>
  <c r="F6648" i="1"/>
  <c r="F6589" i="1"/>
  <c r="F6583" i="1"/>
  <c r="F6581" i="1"/>
  <c r="F6579" i="1"/>
  <c r="F6577" i="1"/>
  <c r="F6516" i="1"/>
  <c r="F6512" i="1"/>
  <c r="F6508" i="1"/>
  <c r="F6506" i="1"/>
  <c r="F6471" i="1"/>
  <c r="F6468" i="1"/>
  <c r="F6197" i="1"/>
  <c r="F5805" i="1"/>
  <c r="F5801" i="1"/>
  <c r="F5775" i="1"/>
  <c r="F5769" i="1"/>
  <c r="F5767" i="1"/>
  <c r="F5765" i="1"/>
  <c r="F5763" i="1"/>
  <c r="F5705" i="1"/>
  <c r="F5630" i="1"/>
  <c r="F5612" i="1"/>
  <c r="F5529" i="1"/>
  <c r="F5498" i="1"/>
  <c r="F5476" i="1"/>
  <c r="F5400" i="1"/>
  <c r="F5398" i="1"/>
  <c r="F5298" i="1"/>
  <c r="F5272" i="1"/>
  <c r="F4680" i="1"/>
  <c r="F4664" i="1"/>
  <c r="F4648" i="1"/>
  <c r="F4396" i="1"/>
  <c r="F4286" i="1"/>
  <c r="F4210" i="1"/>
  <c r="F4204" i="1"/>
  <c r="F4152" i="1"/>
  <c r="F4121" i="1"/>
  <c r="F3940" i="1"/>
  <c r="F3759" i="1"/>
  <c r="F2323" i="1"/>
  <c r="F2240" i="1"/>
  <c r="F2220" i="1"/>
  <c r="F2118" i="1"/>
  <c r="F2044" i="1"/>
  <c r="F1982" i="1"/>
  <c r="F1980" i="1"/>
  <c r="F1902" i="1"/>
  <c r="F1494" i="1"/>
  <c r="F1410" i="1"/>
  <c r="F1407" i="1"/>
  <c r="F1405" i="1"/>
  <c r="F1403" i="1"/>
  <c r="F773" i="1"/>
  <c r="F36597" i="1"/>
  <c r="F36581" i="1"/>
  <c r="F36580" i="1"/>
  <c r="F36577" i="1"/>
  <c r="F36563" i="1"/>
  <c r="F36543" i="1"/>
  <c r="F36542" i="1"/>
  <c r="F36529" i="1"/>
  <c r="F36416" i="1"/>
  <c r="F36408" i="1"/>
  <c r="F36405" i="1"/>
  <c r="F36388" i="1"/>
  <c r="F36359" i="1"/>
  <c r="F36179" i="1"/>
  <c r="F36134" i="1"/>
  <c r="F36118" i="1"/>
  <c r="F36063" i="1"/>
  <c r="F35832" i="1"/>
  <c r="F35727" i="1"/>
  <c r="F35587" i="1"/>
  <c r="F35159" i="1"/>
  <c r="F35085" i="1"/>
  <c r="F35082" i="1"/>
  <c r="F35076" i="1"/>
  <c r="F34614" i="1"/>
  <c r="F34599" i="1"/>
  <c r="F34598" i="1"/>
  <c r="F34590" i="1"/>
  <c r="F34572" i="1"/>
  <c r="F34571" i="1"/>
  <c r="F34568" i="1"/>
  <c r="F34546" i="1"/>
  <c r="F34336" i="1"/>
  <c r="F34183" i="1"/>
  <c r="F34122" i="1"/>
  <c r="F34117" i="1"/>
  <c r="F34115" i="1"/>
  <c r="F34113" i="1"/>
  <c r="F34111" i="1"/>
  <c r="F33955" i="1"/>
  <c r="F33655" i="1"/>
  <c r="F33652" i="1"/>
  <c r="F32900" i="1"/>
  <c r="F32864" i="1"/>
  <c r="F32835" i="1"/>
  <c r="F32834" i="1"/>
  <c r="F32833" i="1"/>
  <c r="F31598" i="1"/>
  <c r="F31580" i="1"/>
  <c r="F31363" i="1"/>
  <c r="F30425" i="1"/>
  <c r="F30422" i="1"/>
  <c r="F30349" i="1"/>
  <c r="F30280" i="1"/>
  <c r="F30170" i="1"/>
  <c r="F30168" i="1"/>
  <c r="F30155" i="1"/>
  <c r="F29837" i="1"/>
  <c r="F29761" i="1"/>
  <c r="F29729" i="1"/>
  <c r="F29203" i="1"/>
  <c r="F29137" i="1"/>
  <c r="F29048" i="1"/>
  <c r="F29047" i="1"/>
  <c r="F29040" i="1"/>
  <c r="F29003" i="1"/>
  <c r="F28958" i="1"/>
  <c r="F28947" i="1"/>
  <c r="F28902" i="1"/>
  <c r="F28248" i="1"/>
  <c r="F28027" i="1"/>
  <c r="F28018" i="1"/>
  <c r="F28015" i="1"/>
  <c r="F27987" i="1"/>
  <c r="F27400" i="1"/>
  <c r="F27297" i="1"/>
  <c r="F27283" i="1"/>
  <c r="F27282" i="1"/>
  <c r="F26360" i="1"/>
  <c r="F26141" i="1"/>
  <c r="F25901" i="1"/>
  <c r="F25587" i="1"/>
  <c r="F25582" i="1"/>
  <c r="F25543" i="1"/>
  <c r="F25519" i="1"/>
  <c r="F25518" i="1"/>
  <c r="F25510" i="1"/>
  <c r="F25421" i="1"/>
  <c r="F25373" i="1"/>
  <c r="F25178" i="1"/>
  <c r="F25091" i="1"/>
  <c r="F24846" i="1"/>
  <c r="F24789" i="1"/>
  <c r="F24788" i="1"/>
  <c r="F24708" i="1"/>
  <c r="F24625" i="1"/>
  <c r="F24624" i="1"/>
  <c r="F24617" i="1"/>
  <c r="F24616" i="1"/>
  <c r="F24615" i="1"/>
  <c r="F24589" i="1"/>
  <c r="F24587" i="1"/>
  <c r="F23399" i="1"/>
  <c r="F22158" i="1"/>
  <c r="F22154" i="1"/>
  <c r="F21845" i="1"/>
  <c r="F21812" i="1"/>
  <c r="F21784" i="1"/>
  <c r="F21663" i="1"/>
  <c r="F21662" i="1"/>
  <c r="F21158" i="1"/>
  <c r="F20820" i="1"/>
  <c r="F20807" i="1"/>
  <c r="F20118" i="1"/>
  <c r="F18568" i="1"/>
  <c r="F18569" i="1"/>
  <c r="F18566" i="1"/>
  <c r="F18396" i="1"/>
  <c r="F18357" i="1"/>
  <c r="F18140" i="1"/>
  <c r="F17922" i="1"/>
  <c r="F17842" i="1"/>
  <c r="F17568" i="1"/>
  <c r="F16849" i="1"/>
  <c r="F16321" i="1"/>
  <c r="F16238" i="1"/>
  <c r="F16060" i="1"/>
  <c r="F15745" i="1"/>
  <c r="F15712" i="1"/>
  <c r="F15703" i="1"/>
  <c r="F15018" i="1"/>
  <c r="F14221" i="1"/>
  <c r="F13063" i="1"/>
  <c r="F13061" i="1"/>
  <c r="F13056" i="1"/>
  <c r="F13049" i="1"/>
  <c r="F13031" i="1"/>
  <c r="F13027" i="1"/>
  <c r="F13014" i="1"/>
  <c r="F13012" i="1"/>
  <c r="F12959" i="1"/>
  <c r="F12955" i="1"/>
  <c r="F12812" i="1"/>
  <c r="F12763" i="1"/>
  <c r="F12754" i="1"/>
  <c r="F12742" i="1"/>
  <c r="F12661" i="1"/>
  <c r="F12420" i="1"/>
  <c r="F12247" i="1"/>
  <c r="F11838" i="1"/>
  <c r="F11267" i="1"/>
  <c r="F11225" i="1"/>
  <c r="F11169" i="1"/>
  <c r="F10699" i="1"/>
  <c r="F10013" i="1"/>
  <c r="F9436" i="1"/>
  <c r="F9414" i="1"/>
  <c r="F9366" i="1"/>
  <c r="F9337" i="1"/>
  <c r="F8899" i="1"/>
  <c r="F8882" i="1"/>
  <c r="F8640" i="1"/>
  <c r="F8639" i="1"/>
  <c r="F8637" i="1"/>
  <c r="F8634" i="1"/>
  <c r="F8633" i="1"/>
  <c r="F8615" i="1"/>
  <c r="F8568" i="1"/>
  <c r="F8565" i="1"/>
  <c r="F8562" i="1"/>
  <c r="F8560" i="1"/>
  <c r="F8554" i="1"/>
  <c r="F8261" i="1"/>
  <c r="F7762" i="1"/>
  <c r="F7331" i="1"/>
  <c r="F6232" i="1"/>
  <c r="F6214" i="1"/>
  <c r="F6195" i="1"/>
  <c r="F6182" i="1"/>
  <c r="F6142" i="1"/>
  <c r="F6067" i="1"/>
  <c r="F5462" i="1"/>
  <c r="F4661" i="1"/>
  <c r="F4612" i="1"/>
  <c r="F4610" i="1"/>
  <c r="F3298" i="1"/>
  <c r="F942" i="1"/>
  <c r="F913" i="1"/>
  <c r="F586" i="1"/>
  <c r="F505" i="1"/>
  <c r="F454" i="1"/>
  <c r="F423" i="1"/>
  <c r="F36625" i="1"/>
  <c r="F36622" i="1"/>
  <c r="F36600" i="1"/>
  <c r="F36594" i="1"/>
  <c r="F36592" i="1"/>
  <c r="F36590" i="1"/>
  <c r="F36402" i="1"/>
  <c r="F36394" i="1"/>
  <c r="F36276" i="1"/>
  <c r="F36262" i="1"/>
  <c r="F36005" i="1"/>
  <c r="F36003" i="1"/>
  <c r="F36001" i="1"/>
  <c r="F35998" i="1"/>
  <c r="F35986" i="1"/>
  <c r="F35966" i="1"/>
  <c r="F35963" i="1"/>
  <c r="F35952" i="1"/>
  <c r="F35939" i="1"/>
  <c r="F35917" i="1"/>
  <c r="F35885" i="1"/>
  <c r="F35878" i="1"/>
  <c r="F35876" i="1"/>
  <c r="F35868" i="1"/>
  <c r="F35701" i="1"/>
  <c r="F35458" i="1"/>
  <c r="F35167" i="1"/>
  <c r="F35164" i="1"/>
  <c r="F34933" i="1"/>
  <c r="F34929" i="1"/>
  <c r="F34898" i="1"/>
  <c r="F34897" i="1"/>
  <c r="F34646" i="1"/>
  <c r="F34362" i="1"/>
  <c r="F34256" i="1"/>
  <c r="F34007" i="1"/>
  <c r="F33834" i="1"/>
  <c r="F33736" i="1"/>
  <c r="F33730" i="1"/>
  <c r="F29935" i="1"/>
  <c r="F29191" i="1"/>
  <c r="F27557" i="1"/>
  <c r="F26505" i="1"/>
  <c r="F26000" i="1"/>
  <c r="F25065" i="1"/>
  <c r="F24754" i="1"/>
  <c r="F24561" i="1"/>
  <c r="F24480" i="1"/>
  <c r="F24050" i="1"/>
  <c r="F23898" i="1"/>
  <c r="F21452" i="1"/>
  <c r="F19066" i="1"/>
  <c r="F18555" i="1"/>
  <c r="F18554" i="1"/>
  <c r="F18553" i="1"/>
  <c r="F18386" i="1"/>
  <c r="F18358" i="1"/>
  <c r="F12740" i="1"/>
  <c r="F12580" i="1"/>
  <c r="F11410" i="1"/>
  <c r="F11274" i="1"/>
  <c r="F11243" i="1"/>
  <c r="F7833" i="1"/>
  <c r="F5932" i="1"/>
  <c r="F4961" i="1"/>
  <c r="F4468" i="1"/>
  <c r="F3790" i="1"/>
  <c r="F379" i="1"/>
  <c r="F35459" i="1"/>
  <c r="F34775" i="1"/>
  <c r="F34233" i="1"/>
  <c r="F33005" i="1"/>
  <c r="F31878" i="1"/>
  <c r="F31687" i="1"/>
  <c r="F30906" i="1"/>
  <c r="F30697" i="1"/>
  <c r="F30309" i="1"/>
  <c r="F29795" i="1"/>
  <c r="F29698" i="1"/>
  <c r="F29696" i="1"/>
  <c r="F29681" i="1"/>
  <c r="F29628" i="1"/>
  <c r="F29225" i="1"/>
  <c r="F28854" i="1"/>
  <c r="F28483" i="1"/>
  <c r="F24545" i="1"/>
  <c r="F23172" i="1"/>
  <c r="F23092" i="1"/>
  <c r="F22707" i="1"/>
  <c r="F22379" i="1"/>
  <c r="F22308" i="1"/>
  <c r="F21648" i="1"/>
  <c r="F18510" i="1"/>
  <c r="F17983" i="1"/>
  <c r="F9956" i="1"/>
  <c r="F7610" i="1"/>
  <c r="F6334" i="1"/>
  <c r="F5942" i="1"/>
  <c r="F4443" i="1"/>
  <c r="F2112" i="1"/>
  <c r="F29738" i="1"/>
  <c r="F36598" i="1"/>
  <c r="F36595" i="1"/>
  <c r="F36588" i="1"/>
  <c r="F35049" i="1"/>
  <c r="F34886" i="1"/>
  <c r="F34872" i="1"/>
  <c r="F33817" i="1"/>
  <c r="F33663" i="1"/>
  <c r="F33537" i="1"/>
  <c r="F33393" i="1"/>
  <c r="F33392" i="1"/>
  <c r="F30426" i="1"/>
  <c r="F29918" i="1"/>
  <c r="F29567" i="1"/>
  <c r="F29456" i="1"/>
  <c r="F29200" i="1"/>
  <c r="F28136" i="1"/>
  <c r="F28135" i="1"/>
  <c r="F27465" i="1"/>
  <c r="F27099" i="1"/>
  <c r="F27085" i="1"/>
  <c r="F27084" i="1"/>
  <c r="F26986" i="1"/>
  <c r="F25851" i="1"/>
  <c r="F25635" i="1"/>
  <c r="F25443" i="1"/>
  <c r="F25439" i="1"/>
  <c r="F25437" i="1"/>
  <c r="F25033" i="1"/>
  <c r="F24757" i="1"/>
  <c r="F22697" i="1"/>
  <c r="F22086" i="1"/>
  <c r="F21876" i="1"/>
  <c r="F20129" i="1"/>
  <c r="F20001" i="1"/>
  <c r="F19621" i="1"/>
  <c r="F19619" i="1"/>
  <c r="F18393" i="1"/>
  <c r="F17929" i="1"/>
  <c r="F17795" i="1"/>
  <c r="F17793" i="1"/>
  <c r="F17787" i="1"/>
  <c r="F17783" i="1"/>
  <c r="F16512" i="1"/>
  <c r="F16240" i="1"/>
  <c r="F14615" i="1"/>
  <c r="F13044" i="1"/>
  <c r="F12973" i="1"/>
  <c r="F12971" i="1"/>
  <c r="F12969" i="1"/>
  <c r="F12968" i="1"/>
  <c r="F12965" i="1"/>
  <c r="F12963" i="1"/>
  <c r="F12722" i="1"/>
  <c r="F12568" i="1"/>
  <c r="F12566" i="1"/>
  <c r="F12551" i="1"/>
  <c r="F11893" i="1"/>
  <c r="F11631" i="1"/>
  <c r="F11136" i="1"/>
  <c r="F10804" i="1"/>
  <c r="F8981" i="1"/>
  <c r="F5861" i="1"/>
  <c r="F5431" i="1"/>
  <c r="F5007" i="1"/>
  <c r="F4894" i="1"/>
  <c r="F4888" i="1"/>
  <c r="F3794" i="1"/>
  <c r="F1838" i="1"/>
  <c r="F1124" i="1"/>
  <c r="F920" i="1"/>
  <c r="F894" i="1"/>
  <c r="F36380" i="1"/>
  <c r="F36374" i="1"/>
  <c r="F36301" i="1"/>
  <c r="F36288" i="1"/>
  <c r="F36287" i="1"/>
  <c r="F36286" i="1"/>
  <c r="F36285" i="1"/>
  <c r="F36282" i="1"/>
  <c r="F36281" i="1"/>
  <c r="F36242" i="1"/>
  <c r="F36218" i="1"/>
  <c r="F36201" i="1"/>
  <c r="F36161" i="1"/>
  <c r="F36159" i="1"/>
  <c r="F35797" i="1"/>
  <c r="F35793" i="1"/>
  <c r="F35788" i="1"/>
  <c r="F35783" i="1"/>
  <c r="F35762" i="1"/>
  <c r="F35726" i="1"/>
  <c r="F35708" i="1"/>
  <c r="F35627" i="1"/>
  <c r="F35614" i="1"/>
  <c r="F35551" i="1"/>
  <c r="F35417" i="1"/>
  <c r="F35393" i="1"/>
  <c r="F35369" i="1"/>
  <c r="F35280" i="1"/>
  <c r="F35229" i="1"/>
  <c r="F35191" i="1"/>
  <c r="F35091" i="1"/>
  <c r="F35080" i="1"/>
  <c r="F35066" i="1"/>
  <c r="F35065" i="1"/>
  <c r="F35050" i="1"/>
  <c r="F35003" i="1"/>
  <c r="F34947" i="1"/>
  <c r="F34945" i="1"/>
  <c r="F34903" i="1"/>
  <c r="F34839" i="1"/>
  <c r="F34826" i="1"/>
  <c r="F34736" i="1"/>
  <c r="F34706" i="1"/>
  <c r="F34702" i="1"/>
  <c r="F34701" i="1"/>
  <c r="F34693" i="1"/>
  <c r="F34466" i="1"/>
  <c r="F34360" i="1"/>
  <c r="F34353" i="1"/>
  <c r="F33964" i="1"/>
  <c r="F33953" i="1"/>
  <c r="F33945" i="1"/>
  <c r="F33925" i="1"/>
  <c r="F33833" i="1"/>
  <c r="F33824" i="1"/>
  <c r="F33789" i="1"/>
  <c r="F33586" i="1"/>
  <c r="F33573" i="1"/>
  <c r="F33553" i="1"/>
  <c r="F33522" i="1"/>
  <c r="F33452" i="1"/>
  <c r="F33210" i="1"/>
  <c r="F33185" i="1"/>
  <c r="F33049" i="1"/>
  <c r="F33026" i="1"/>
  <c r="F32878" i="1"/>
  <c r="F32876" i="1"/>
  <c r="F32869" i="1"/>
  <c r="F32822" i="1"/>
  <c r="F32792" i="1"/>
  <c r="F32725" i="1"/>
  <c r="F32704" i="1"/>
  <c r="F32625" i="1"/>
  <c r="F32624" i="1"/>
  <c r="F32623" i="1"/>
  <c r="F32597" i="1"/>
  <c r="F32569" i="1"/>
  <c r="F32543" i="1"/>
  <c r="F32533" i="1"/>
  <c r="F32305" i="1"/>
  <c r="F32303" i="1"/>
  <c r="F32179" i="1"/>
  <c r="F32161" i="1"/>
  <c r="F32110" i="1"/>
  <c r="F32109" i="1"/>
  <c r="F32091" i="1"/>
  <c r="F32048" i="1"/>
  <c r="F32028" i="1"/>
  <c r="F31988" i="1"/>
  <c r="F31972" i="1"/>
  <c r="F31970" i="1"/>
  <c r="F31949" i="1"/>
  <c r="F31927" i="1"/>
  <c r="F31912" i="1"/>
  <c r="F31905" i="1"/>
  <c r="F31894" i="1"/>
  <c r="F31885" i="1"/>
  <c r="F31876" i="1"/>
  <c r="F31859" i="1"/>
  <c r="F31854" i="1"/>
  <c r="F31851" i="1"/>
  <c r="F31821" i="1"/>
  <c r="F31819" i="1"/>
  <c r="F31818" i="1"/>
  <c r="F31817" i="1"/>
  <c r="F31816" i="1"/>
  <c r="F31815" i="1"/>
  <c r="F31814" i="1"/>
  <c r="F31812" i="1"/>
  <c r="F31809" i="1"/>
  <c r="F31808" i="1"/>
  <c r="F31805" i="1"/>
  <c r="F31803" i="1"/>
  <c r="F31802" i="1"/>
  <c r="F31798" i="1"/>
  <c r="F31793" i="1"/>
  <c r="F31792" i="1"/>
  <c r="F31791" i="1"/>
  <c r="F31790" i="1"/>
  <c r="F31788" i="1"/>
  <c r="F31779" i="1"/>
  <c r="F31778" i="1"/>
  <c r="F31763" i="1"/>
  <c r="F31750" i="1"/>
  <c r="F31748" i="1"/>
  <c r="F31733" i="1"/>
  <c r="F31721" i="1"/>
  <c r="F31701" i="1"/>
  <c r="F31691" i="1"/>
  <c r="F31675" i="1"/>
  <c r="F31662" i="1"/>
  <c r="F31654" i="1"/>
  <c r="F31648" i="1"/>
  <c r="F31641" i="1"/>
  <c r="F31640" i="1"/>
  <c r="F31639" i="1"/>
  <c r="F31638" i="1"/>
  <c r="F31637" i="1"/>
  <c r="F31636" i="1"/>
  <c r="F31272" i="1"/>
  <c r="F31269" i="1"/>
  <c r="F31244" i="1"/>
  <c r="F31243" i="1"/>
  <c r="F31178" i="1"/>
  <c r="F31135" i="1"/>
  <c r="F31055" i="1"/>
  <c r="F31023" i="1"/>
  <c r="F31015" i="1"/>
  <c r="F31010" i="1"/>
  <c r="F31005" i="1"/>
  <c r="F30943" i="1"/>
  <c r="F30942" i="1"/>
  <c r="F30844" i="1"/>
  <c r="F30843" i="1"/>
  <c r="F30840" i="1"/>
  <c r="F30832" i="1"/>
  <c r="F30799" i="1"/>
  <c r="F30793" i="1"/>
  <c r="F30755" i="1"/>
  <c r="F30736" i="1"/>
  <c r="F30726" i="1"/>
  <c r="F30712" i="1"/>
  <c r="F30706" i="1"/>
  <c r="F30700" i="1"/>
  <c r="F30695" i="1"/>
  <c r="F30692" i="1"/>
  <c r="F30669" i="1"/>
  <c r="F30665" i="1"/>
  <c r="F30655" i="1"/>
  <c r="F30586" i="1"/>
  <c r="F30585" i="1"/>
  <c r="F30568" i="1"/>
  <c r="F30507" i="1"/>
  <c r="F30483" i="1"/>
  <c r="F30357" i="1"/>
  <c r="F30076" i="1"/>
  <c r="F30073" i="1"/>
  <c r="F29802" i="1"/>
  <c r="F29510" i="1"/>
  <c r="F29259" i="1"/>
  <c r="F29228" i="1"/>
  <c r="F29193" i="1"/>
  <c r="F29188" i="1"/>
  <c r="F29031" i="1"/>
  <c r="F29025" i="1"/>
  <c r="F29000" i="1"/>
  <c r="F28985" i="1"/>
  <c r="F28946" i="1"/>
  <c r="F28933" i="1"/>
  <c r="F28894" i="1"/>
  <c r="F28883" i="1"/>
  <c r="F28867" i="1"/>
  <c r="F28849" i="1"/>
  <c r="F28841" i="1"/>
  <c r="F28820" i="1"/>
  <c r="F28807" i="1"/>
  <c r="F28794" i="1"/>
  <c r="F28792" i="1"/>
  <c r="F28791" i="1"/>
  <c r="F28786" i="1"/>
  <c r="F28766" i="1"/>
  <c r="F28765" i="1"/>
  <c r="F28763" i="1"/>
  <c r="F28761" i="1"/>
  <c r="F28759" i="1"/>
  <c r="F28721" i="1"/>
  <c r="F28696" i="1"/>
  <c r="F28695" i="1"/>
  <c r="F28673" i="1"/>
  <c r="F28672" i="1"/>
  <c r="F28671" i="1"/>
  <c r="F28620" i="1"/>
  <c r="F28493" i="1"/>
  <c r="F28468" i="1"/>
  <c r="F28460" i="1"/>
  <c r="F28457" i="1"/>
  <c r="F28398" i="1"/>
  <c r="F28300" i="1"/>
  <c r="F28263" i="1"/>
  <c r="F28259" i="1"/>
  <c r="F28200" i="1"/>
  <c r="F28186" i="1"/>
  <c r="F28159" i="1"/>
  <c r="F28156" i="1"/>
  <c r="F28155" i="1"/>
  <c r="F28154" i="1"/>
  <c r="F28142" i="1"/>
  <c r="F28141" i="1"/>
  <c r="F28139" i="1"/>
  <c r="F27985" i="1"/>
  <c r="F27979" i="1"/>
  <c r="F27922" i="1"/>
  <c r="F27887" i="1"/>
  <c r="F27886" i="1"/>
  <c r="F27826" i="1"/>
  <c r="F27822" i="1"/>
  <c r="F27821" i="1"/>
  <c r="F27815" i="1"/>
  <c r="F27814" i="1"/>
  <c r="F27699" i="1"/>
  <c r="F27698" i="1"/>
  <c r="F26594" i="1"/>
  <c r="F26497" i="1"/>
  <c r="F26495" i="1"/>
  <c r="F26370" i="1"/>
  <c r="F26369" i="1"/>
  <c r="F26362" i="1"/>
  <c r="F26203" i="1"/>
  <c r="F25847" i="1"/>
  <c r="F23622" i="1"/>
  <c r="F23534" i="1"/>
  <c r="F23490" i="1"/>
  <c r="F23425" i="1"/>
  <c r="F23414" i="1"/>
  <c r="F23413" i="1"/>
  <c r="F23360" i="1"/>
  <c r="F23306" i="1"/>
  <c r="F23211" i="1"/>
  <c r="F23210" i="1"/>
  <c r="F23191" i="1"/>
  <c r="F23190" i="1"/>
  <c r="F23142" i="1"/>
  <c r="F23033" i="1"/>
  <c r="F23001" i="1"/>
  <c r="F22999" i="1"/>
  <c r="F22940" i="1"/>
  <c r="F22798" i="1"/>
  <c r="F22760" i="1"/>
  <c r="F22687" i="1"/>
  <c r="F22369" i="1"/>
  <c r="F22361" i="1"/>
  <c r="F22320" i="1"/>
  <c r="F22287" i="1"/>
  <c r="F22031" i="1"/>
  <c r="F21974" i="1"/>
  <c r="F21877" i="1"/>
  <c r="F21553" i="1"/>
  <c r="F21412" i="1"/>
  <c r="F21402" i="1"/>
  <c r="F21259" i="1"/>
  <c r="F21154" i="1"/>
  <c r="F21128" i="1"/>
  <c r="F21079" i="1"/>
  <c r="F21053" i="1"/>
  <c r="F21037" i="1"/>
  <c r="F21035" i="1"/>
  <c r="F21027" i="1"/>
  <c r="F20941" i="1"/>
  <c r="F20883" i="1"/>
  <c r="F20830" i="1"/>
  <c r="F20798" i="1"/>
  <c r="F20796" i="1"/>
  <c r="F20729" i="1"/>
  <c r="F20588" i="1"/>
  <c r="F20500" i="1"/>
  <c r="F20377" i="1"/>
  <c r="F20362" i="1"/>
  <c r="F20335" i="1"/>
  <c r="F20279" i="1"/>
  <c r="F20253" i="1"/>
  <c r="F20185" i="1"/>
  <c r="F20173" i="1"/>
  <c r="F20171" i="1"/>
  <c r="F19958" i="1"/>
  <c r="F19953" i="1"/>
  <c r="F19837" i="1"/>
  <c r="F19824" i="1"/>
  <c r="F19806" i="1"/>
  <c r="F19802" i="1"/>
  <c r="F19764" i="1"/>
  <c r="F19747" i="1"/>
  <c r="F19627" i="1"/>
  <c r="F19623" i="1"/>
  <c r="F19613" i="1"/>
  <c r="F19595" i="1"/>
  <c r="F19545" i="1"/>
  <c r="F19537" i="1"/>
  <c r="F19496" i="1"/>
  <c r="F19483" i="1"/>
  <c r="F19480" i="1"/>
  <c r="F19478" i="1"/>
  <c r="F19455" i="1"/>
  <c r="F19451" i="1"/>
  <c r="F19427" i="1"/>
  <c r="F19376" i="1"/>
  <c r="F19368" i="1"/>
  <c r="F19366" i="1"/>
  <c r="F19353" i="1"/>
  <c r="F19333" i="1"/>
  <c r="F19329" i="1"/>
  <c r="F19325" i="1"/>
  <c r="F19321" i="1"/>
  <c r="F19305" i="1"/>
  <c r="F19263" i="1"/>
  <c r="F18891" i="1"/>
  <c r="F18885" i="1"/>
  <c r="F18142" i="1"/>
  <c r="F18102" i="1"/>
  <c r="F17799" i="1"/>
  <c r="F17775" i="1"/>
  <c r="F17517" i="1"/>
  <c r="F17513" i="1"/>
  <c r="F17369" i="1"/>
  <c r="F17286" i="1"/>
  <c r="F17284" i="1"/>
  <c r="F17280" i="1"/>
  <c r="F17261" i="1"/>
  <c r="F17246" i="1"/>
  <c r="F17029" i="1"/>
  <c r="F16997" i="1"/>
  <c r="F16974" i="1"/>
  <c r="F16972" i="1"/>
  <c r="F16954" i="1"/>
  <c r="F16770" i="1"/>
  <c r="F16542" i="1"/>
  <c r="F16402" i="1"/>
  <c r="F16201" i="1"/>
  <c r="F16155" i="1"/>
  <c r="F16097" i="1"/>
  <c r="F16095" i="1"/>
  <c r="F16055" i="1"/>
  <c r="F15992" i="1"/>
  <c r="F15947" i="1"/>
  <c r="F15675" i="1"/>
  <c r="F15637" i="1"/>
  <c r="F15633" i="1"/>
  <c r="F15617" i="1"/>
  <c r="F15550" i="1"/>
  <c r="F15548" i="1"/>
  <c r="F15518" i="1"/>
  <c r="F15506" i="1"/>
  <c r="F15485" i="1"/>
  <c r="F15448" i="1"/>
  <c r="F15416" i="1"/>
  <c r="F15404" i="1"/>
  <c r="F15266" i="1"/>
  <c r="F15225" i="1"/>
  <c r="F15102" i="1"/>
  <c r="F15073" i="1"/>
  <c r="F14987" i="1"/>
  <c r="F14906" i="1"/>
  <c r="F14646" i="1"/>
  <c r="F14628" i="1"/>
  <c r="F14626" i="1"/>
  <c r="F14435" i="1"/>
  <c r="F14424" i="1"/>
  <c r="F14390" i="1"/>
  <c r="F14307" i="1"/>
  <c r="F14261" i="1"/>
  <c r="F14259" i="1"/>
  <c r="F14255" i="1"/>
  <c r="F14188" i="1"/>
  <c r="F14176" i="1"/>
  <c r="F14006" i="1"/>
  <c r="F14004" i="1"/>
  <c r="F13912" i="1"/>
  <c r="F13910" i="1"/>
  <c r="F13902" i="1"/>
  <c r="F13856" i="1"/>
  <c r="F13796" i="1"/>
  <c r="F13696" i="1"/>
  <c r="F13677" i="1"/>
  <c r="F13671" i="1"/>
  <c r="F13669" i="1"/>
  <c r="F13665" i="1"/>
  <c r="F13659" i="1"/>
  <c r="F13624" i="1"/>
  <c r="F13574" i="1"/>
  <c r="F13572" i="1"/>
  <c r="F13537" i="1"/>
  <c r="F13115" i="1"/>
  <c r="F12946" i="1"/>
  <c r="F12932" i="1"/>
  <c r="F12930" i="1"/>
  <c r="F12924" i="1"/>
  <c r="F12655" i="1"/>
  <c r="F12433" i="1"/>
  <c r="F12378" i="1"/>
  <c r="F12265" i="1"/>
  <c r="F12262" i="1"/>
  <c r="F12264" i="1"/>
  <c r="F12098" i="1"/>
  <c r="F12070" i="1"/>
  <c r="F12063" i="1"/>
  <c r="F12013" i="1"/>
  <c r="F11993" i="1"/>
  <c r="F11860" i="1"/>
  <c r="F11828" i="1"/>
  <c r="F11731" i="1"/>
  <c r="F11729" i="1"/>
  <c r="F11719" i="1"/>
  <c r="F11641" i="1"/>
  <c r="F11627" i="1"/>
  <c r="F11618" i="1"/>
  <c r="F11615" i="1"/>
  <c r="F11549" i="1"/>
  <c r="F11547" i="1"/>
  <c r="F11515" i="1"/>
  <c r="F11415" i="1"/>
  <c r="F11411" i="1"/>
  <c r="F11164" i="1"/>
  <c r="F10732" i="1"/>
  <c r="F10680" i="1"/>
  <c r="F10522" i="1"/>
  <c r="F10508" i="1"/>
  <c r="F10480" i="1"/>
  <c r="F10458" i="1"/>
  <c r="F10456" i="1"/>
  <c r="F10454" i="1"/>
  <c r="F10392" i="1"/>
  <c r="F10390" i="1"/>
  <c r="F10388" i="1"/>
  <c r="F10386" i="1"/>
  <c r="F10384" i="1"/>
  <c r="F10382" i="1"/>
  <c r="F10380" i="1"/>
  <c r="F10378" i="1"/>
  <c r="F10376" i="1"/>
  <c r="F10268" i="1"/>
  <c r="F10184" i="1"/>
  <c r="F10154" i="1"/>
  <c r="F10152" i="1"/>
  <c r="F10148" i="1"/>
  <c r="F10124" i="1"/>
  <c r="F10068" i="1"/>
  <c r="F10054" i="1"/>
  <c r="F10048" i="1"/>
  <c r="F10046" i="1"/>
  <c r="F10020" i="1"/>
  <c r="F9902" i="1"/>
  <c r="F9723" i="1"/>
  <c r="F9656" i="1"/>
  <c r="F9650" i="1"/>
  <c r="F9648" i="1"/>
  <c r="F9640" i="1"/>
  <c r="F9345" i="1"/>
  <c r="F9341" i="1"/>
  <c r="F9316" i="1"/>
  <c r="F9296" i="1"/>
  <c r="F9294" i="1"/>
  <c r="F9239" i="1"/>
  <c r="F9218" i="1"/>
  <c r="F9212" i="1"/>
  <c r="F9172" i="1"/>
  <c r="F9170" i="1"/>
  <c r="F9132" i="1"/>
  <c r="F9060" i="1"/>
  <c r="F9058" i="1"/>
  <c r="F9056" i="1"/>
  <c r="F8949" i="1"/>
  <c r="F8929" i="1"/>
  <c r="F8871" i="1"/>
  <c r="F8845" i="1"/>
  <c r="F8796" i="1"/>
  <c r="F8784" i="1"/>
  <c r="F8736" i="1"/>
  <c r="F8734" i="1"/>
  <c r="F8732" i="1"/>
  <c r="F8728" i="1"/>
  <c r="F8709" i="1"/>
  <c r="F8676" i="1"/>
  <c r="F8653" i="1"/>
  <c r="F8074" i="1"/>
  <c r="F8013" i="1"/>
  <c r="F7822" i="1"/>
  <c r="F7774" i="1"/>
  <c r="F7379" i="1"/>
  <c r="F7359" i="1"/>
  <c r="F7315" i="1"/>
  <c r="F7084" i="1"/>
  <c r="F7071" i="1"/>
  <c r="F6618" i="1"/>
  <c r="F6388" i="1"/>
  <c r="F5696" i="1"/>
  <c r="F5300" i="1"/>
  <c r="F5284" i="1"/>
  <c r="F5278" i="1"/>
  <c r="F5276" i="1"/>
  <c r="F5268" i="1"/>
  <c r="F5260" i="1"/>
  <c r="F5242" i="1"/>
  <c r="F5088" i="1"/>
  <c r="F4829" i="1"/>
  <c r="F4717" i="1"/>
  <c r="F4615" i="1"/>
  <c r="F4581" i="1"/>
  <c r="F4579" i="1"/>
  <c r="F4569" i="1"/>
  <c r="F4548" i="1"/>
  <c r="F4542" i="1"/>
  <c r="F4450" i="1"/>
  <c r="F4437" i="1"/>
  <c r="F4435" i="1"/>
  <c r="F4411" i="1"/>
  <c r="F4392" i="1"/>
  <c r="F4390" i="1"/>
  <c r="F4369" i="1"/>
  <c r="F4367" i="1"/>
  <c r="F4365" i="1"/>
  <c r="F4359" i="1"/>
  <c r="F4357" i="1"/>
  <c r="F4047" i="1"/>
  <c r="F4596" i="1"/>
  <c r="F3904" i="1"/>
  <c r="F3430" i="1"/>
  <c r="F3400" i="1"/>
  <c r="F3398" i="1"/>
  <c r="F3281" i="1"/>
  <c r="F3241" i="1"/>
  <c r="F3144" i="1"/>
  <c r="F3125" i="1"/>
  <c r="F3112" i="1"/>
  <c r="F3099" i="1"/>
  <c r="F3077" i="1"/>
  <c r="F3075" i="1"/>
  <c r="F3042" i="1"/>
  <c r="F2985" i="1"/>
  <c r="F2982" i="1"/>
  <c r="F2971" i="1"/>
  <c r="F2914" i="1"/>
  <c r="F2908" i="1"/>
  <c r="F2782" i="1"/>
  <c r="F2778" i="1"/>
  <c r="F2764" i="1"/>
  <c r="F2748" i="1"/>
  <c r="F2682" i="1"/>
  <c r="F2680" i="1"/>
  <c r="F2596" i="1"/>
  <c r="F2579" i="1"/>
  <c r="F2577" i="1"/>
  <c r="F2546" i="1"/>
  <c r="F2519" i="1"/>
  <c r="F129" i="1"/>
  <c r="F36367" i="1"/>
  <c r="F36356" i="1"/>
  <c r="F36347" i="1"/>
  <c r="F36345" i="1"/>
  <c r="F36237" i="1"/>
  <c r="F36212" i="1"/>
  <c r="F36208" i="1"/>
  <c r="F36186" i="1"/>
  <c r="F36170" i="1"/>
  <c r="F36031" i="1"/>
  <c r="F35284" i="1"/>
  <c r="F34579" i="1"/>
  <c r="F34071" i="1"/>
  <c r="F33209" i="1"/>
  <c r="F33096" i="1"/>
  <c r="F32860" i="1"/>
  <c r="F32851" i="1"/>
  <c r="F32845" i="1"/>
  <c r="F32766" i="1"/>
  <c r="F32764" i="1"/>
  <c r="F32741" i="1"/>
  <c r="F32740" i="1"/>
  <c r="F30405" i="1"/>
  <c r="F30355" i="1"/>
  <c r="F30327" i="1"/>
  <c r="F30308" i="1"/>
  <c r="F29920" i="1"/>
  <c r="F29880" i="1"/>
  <c r="F29665" i="1"/>
  <c r="F28896" i="1"/>
  <c r="F28487" i="1"/>
  <c r="F27907" i="1"/>
  <c r="F27696" i="1"/>
  <c r="F26321" i="1"/>
  <c r="F24946" i="1"/>
  <c r="F24184" i="1"/>
  <c r="F23457" i="1"/>
  <c r="F21509" i="1"/>
  <c r="F21316" i="1"/>
  <c r="F16537" i="1"/>
  <c r="F15882" i="1"/>
  <c r="F11261" i="1"/>
  <c r="F10814" i="1"/>
  <c r="F9895" i="1"/>
  <c r="F9298" i="1"/>
  <c r="F7868" i="1"/>
  <c r="F7266" i="1"/>
  <c r="F6184" i="1"/>
  <c r="F5835" i="1"/>
  <c r="F5358" i="1"/>
  <c r="F5012" i="1"/>
  <c r="F4520" i="1"/>
  <c r="F4504" i="1"/>
  <c r="F3210" i="1"/>
  <c r="F1066" i="1"/>
  <c r="F100" i="1"/>
  <c r="F27423" i="1"/>
  <c r="F22845" i="1"/>
  <c r="F21427" i="1"/>
  <c r="F20619" i="1"/>
  <c r="F19362" i="1"/>
  <c r="F17669" i="1"/>
  <c r="F16394" i="1"/>
  <c r="F13685" i="1"/>
  <c r="F9227" i="1"/>
  <c r="F7102" i="1"/>
  <c r="F36379" i="1"/>
  <c r="F36354" i="1"/>
  <c r="F36180" i="1"/>
  <c r="F36094" i="1"/>
  <c r="F36065" i="1"/>
  <c r="F36046" i="1"/>
  <c r="F36044" i="1"/>
  <c r="F36043" i="1"/>
  <c r="F36022" i="1"/>
  <c r="F35573" i="1"/>
  <c r="F35572" i="1"/>
  <c r="F35503" i="1"/>
  <c r="F35434" i="1"/>
  <c r="F35366" i="1"/>
  <c r="F35341" i="1"/>
  <c r="F35275" i="1"/>
  <c r="F35274" i="1"/>
  <c r="F35271" i="1"/>
  <c r="F35270" i="1"/>
  <c r="F35269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0" i="1"/>
  <c r="F35239" i="1"/>
  <c r="F35238" i="1"/>
  <c r="F35237" i="1"/>
  <c r="F35236" i="1"/>
  <c r="F35235" i="1"/>
  <c r="F35234" i="1"/>
  <c r="F35233" i="1"/>
  <c r="F35231" i="1"/>
  <c r="F35139" i="1"/>
  <c r="F34919" i="1"/>
  <c r="F34918" i="1"/>
  <c r="F34916" i="1"/>
  <c r="F34880" i="1"/>
  <c r="F34879" i="1"/>
  <c r="F34878" i="1"/>
  <c r="F34850" i="1"/>
  <c r="F34794" i="1"/>
  <c r="F34757" i="1"/>
  <c r="F34676" i="1"/>
  <c r="F33479" i="1"/>
  <c r="F33205" i="1"/>
  <c r="F33161" i="1"/>
  <c r="F32373" i="1"/>
  <c r="F32272" i="1"/>
  <c r="F31601" i="1"/>
  <c r="F31417" i="1"/>
  <c r="F31267" i="1"/>
  <c r="F31257" i="1"/>
  <c r="F31240" i="1"/>
  <c r="F31226" i="1"/>
  <c r="F31184" i="1"/>
  <c r="F31158" i="1"/>
  <c r="F31146" i="1"/>
  <c r="F30383" i="1"/>
  <c r="F30379" i="1"/>
  <c r="F30255" i="1"/>
  <c r="F30217" i="1"/>
  <c r="F29511" i="1"/>
  <c r="F29477" i="1"/>
  <c r="F29212" i="1"/>
  <c r="F28613" i="1"/>
  <c r="F28606" i="1"/>
  <c r="F28605" i="1"/>
  <c r="F28604" i="1"/>
  <c r="F28602" i="1"/>
  <c r="F28601" i="1"/>
  <c r="F28600" i="1"/>
  <c r="F28599" i="1"/>
  <c r="F28598" i="1"/>
  <c r="F28597" i="1"/>
  <c r="F28595" i="1"/>
  <c r="F28594" i="1"/>
  <c r="F28593" i="1"/>
  <c r="F28591" i="1"/>
  <c r="F28590" i="1"/>
  <c r="F28589" i="1"/>
  <c r="F28588" i="1"/>
  <c r="F28587" i="1"/>
  <c r="F28586" i="1"/>
  <c r="F28585" i="1"/>
  <c r="F28578" i="1"/>
  <c r="F28573" i="1"/>
  <c r="F28564" i="1"/>
  <c r="F28561" i="1"/>
  <c r="F28560" i="1"/>
  <c r="F28524" i="1"/>
  <c r="F28521" i="1"/>
  <c r="F28452" i="1"/>
  <c r="F28235" i="1"/>
  <c r="F28171" i="1"/>
  <c r="F28158" i="1"/>
  <c r="F28086" i="1"/>
  <c r="F28052" i="1"/>
  <c r="F27962" i="1"/>
  <c r="F27961" i="1"/>
  <c r="F27958" i="1"/>
  <c r="F27949" i="1"/>
  <c r="F27675" i="1"/>
  <c r="F27604" i="1"/>
  <c r="F27580" i="1"/>
  <c r="F27544" i="1"/>
  <c r="F27540" i="1"/>
  <c r="F27507" i="1"/>
  <c r="F27506" i="1"/>
  <c r="F27494" i="1"/>
  <c r="F27470" i="1"/>
  <c r="F27467" i="1"/>
  <c r="F27434" i="1"/>
  <c r="F27433" i="1"/>
  <c r="F27401" i="1"/>
  <c r="F27397" i="1"/>
  <c r="F27396" i="1"/>
  <c r="F27395" i="1"/>
  <c r="F27369" i="1"/>
  <c r="F27367" i="1"/>
  <c r="F27364" i="1"/>
  <c r="F27351" i="1"/>
  <c r="F27337" i="1"/>
  <c r="F27289" i="1"/>
  <c r="F27284" i="1"/>
  <c r="F27268" i="1"/>
  <c r="F27264" i="1"/>
  <c r="F27260" i="1"/>
  <c r="F27231" i="1"/>
  <c r="F27179" i="1"/>
  <c r="F27075" i="1"/>
  <c r="F27074" i="1"/>
  <c r="F27064" i="1"/>
  <c r="F27063" i="1"/>
  <c r="F27062" i="1"/>
  <c r="F27042" i="1"/>
  <c r="F27041" i="1"/>
  <c r="F27027" i="1"/>
  <c r="F27024" i="1"/>
  <c r="F27023" i="1"/>
  <c r="F27021" i="1"/>
  <c r="F27020" i="1"/>
  <c r="F27018" i="1"/>
  <c r="F27013" i="1"/>
  <c r="F27012" i="1"/>
  <c r="F27011" i="1"/>
  <c r="F27005" i="1"/>
  <c r="F27004" i="1"/>
  <c r="F27003" i="1"/>
  <c r="F27002" i="1"/>
  <c r="F26993" i="1"/>
  <c r="F26925" i="1"/>
  <c r="F26921" i="1"/>
  <c r="F26910" i="1"/>
  <c r="F26859" i="1"/>
  <c r="F26676" i="1"/>
  <c r="F26675" i="1"/>
  <c r="F26647" i="1"/>
  <c r="F26639" i="1"/>
  <c r="F26638" i="1"/>
  <c r="F26637" i="1"/>
  <c r="F26636" i="1"/>
  <c r="F26582" i="1"/>
  <c r="F26580" i="1"/>
  <c r="F26579" i="1"/>
  <c r="F26578" i="1"/>
  <c r="F26568" i="1"/>
  <c r="F26567" i="1"/>
  <c r="F26560" i="1"/>
  <c r="F26506" i="1"/>
  <c r="F26504" i="1"/>
  <c r="F26486" i="1"/>
  <c r="F26484" i="1"/>
  <c r="F26483" i="1"/>
  <c r="F26482" i="1"/>
  <c r="F26450" i="1"/>
  <c r="F26448" i="1"/>
  <c r="F26442" i="1"/>
  <c r="F26375" i="1"/>
  <c r="F26371" i="1"/>
  <c r="F26368" i="1"/>
  <c r="F26366" i="1"/>
  <c r="F26361" i="1"/>
  <c r="F26356" i="1"/>
  <c r="F26355" i="1"/>
  <c r="F26354" i="1"/>
  <c r="F26353" i="1"/>
  <c r="F26352" i="1"/>
  <c r="F26351" i="1"/>
  <c r="F26348" i="1"/>
  <c r="F26347" i="1"/>
  <c r="F26308" i="1"/>
  <c r="F26279" i="1"/>
  <c r="F26274" i="1"/>
  <c r="F26230" i="1"/>
  <c r="F26229" i="1"/>
  <c r="F26225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78" i="1"/>
  <c r="F26158" i="1"/>
  <c r="F26157" i="1"/>
  <c r="F26155" i="1"/>
  <c r="F26138" i="1"/>
  <c r="F25566" i="1"/>
  <c r="F25542" i="1"/>
  <c r="F25532" i="1"/>
  <c r="F25524" i="1"/>
  <c r="F25463" i="1"/>
  <c r="F25425" i="1"/>
  <c r="F25402" i="1"/>
  <c r="F25392" i="1"/>
  <c r="F25390" i="1"/>
  <c r="F25387" i="1"/>
  <c r="F25384" i="1"/>
  <c r="F25381" i="1"/>
  <c r="F25375" i="1"/>
  <c r="F25296" i="1"/>
  <c r="F25294" i="1"/>
  <c r="F25278" i="1"/>
  <c r="F25268" i="1"/>
  <c r="F25267" i="1"/>
  <c r="F25263" i="1"/>
  <c r="F25262" i="1"/>
  <c r="F25260" i="1"/>
  <c r="F25259" i="1"/>
  <c r="F25258" i="1"/>
  <c r="F25256" i="1"/>
  <c r="F25255" i="1"/>
  <c r="F25253" i="1"/>
  <c r="F25251" i="1"/>
  <c r="F25250" i="1"/>
  <c r="F25248" i="1"/>
  <c r="F25247" i="1"/>
  <c r="F25209" i="1"/>
  <c r="F25203" i="1"/>
  <c r="F25202" i="1"/>
  <c r="F25197" i="1"/>
  <c r="F25180" i="1"/>
  <c r="F25166" i="1"/>
  <c r="F25158" i="1"/>
  <c r="F25148" i="1"/>
  <c r="F25136" i="1"/>
  <c r="F25133" i="1"/>
  <c r="F25069" i="1"/>
  <c r="F25067" i="1"/>
  <c r="F25051" i="1"/>
  <c r="F25008" i="1"/>
  <c r="F25007" i="1"/>
  <c r="F25003" i="1"/>
  <c r="F24999" i="1"/>
  <c r="F24992" i="1"/>
  <c r="F24991" i="1"/>
  <c r="F24990" i="1"/>
  <c r="F24989" i="1"/>
  <c r="F24985" i="1"/>
  <c r="F24984" i="1"/>
  <c r="F24966" i="1"/>
  <c r="F24965" i="1"/>
  <c r="F24943" i="1"/>
  <c r="F24934" i="1"/>
  <c r="F24933" i="1"/>
  <c r="F24932" i="1"/>
  <c r="F24931" i="1"/>
  <c r="F24905" i="1"/>
  <c r="F24904" i="1"/>
  <c r="F24903" i="1"/>
  <c r="F24900" i="1"/>
  <c r="F24899" i="1"/>
  <c r="F24896" i="1"/>
  <c r="F24874" i="1"/>
  <c r="F24552" i="1"/>
  <c r="F24537" i="1"/>
  <c r="F24467" i="1"/>
  <c r="F24463" i="1"/>
  <c r="F24460" i="1"/>
  <c r="F24451" i="1"/>
  <c r="F24433" i="1"/>
  <c r="F24432" i="1"/>
  <c r="F24431" i="1"/>
  <c r="F24430" i="1"/>
  <c r="F24429" i="1"/>
  <c r="F24428" i="1"/>
  <c r="F24425" i="1"/>
  <c r="F24420" i="1"/>
  <c r="F24364" i="1"/>
  <c r="F24363" i="1"/>
  <c r="F24349" i="1"/>
  <c r="F24343" i="1"/>
  <c r="F24328" i="1"/>
  <c r="F24324" i="1"/>
  <c r="F24306" i="1"/>
  <c r="F24305" i="1"/>
  <c r="F24270" i="1"/>
  <c r="F24266" i="1"/>
  <c r="F24265" i="1"/>
  <c r="F24257" i="1"/>
  <c r="F24256" i="1"/>
  <c r="F24155" i="1"/>
  <c r="F24149" i="1"/>
  <c r="F24046" i="1"/>
  <c r="F23904" i="1"/>
  <c r="F23886" i="1"/>
  <c r="F23865" i="1"/>
  <c r="F23863" i="1"/>
  <c r="F23810" i="1"/>
  <c r="F23808" i="1"/>
  <c r="F23802" i="1"/>
  <c r="F23799" i="1"/>
  <c r="F23796" i="1"/>
  <c r="F23795" i="1"/>
  <c r="F23794" i="1"/>
  <c r="F23787" i="1"/>
  <c r="F23781" i="1"/>
  <c r="F23778" i="1"/>
  <c r="F23777" i="1"/>
  <c r="F23776" i="1"/>
  <c r="F23724" i="1"/>
  <c r="F22007" i="1"/>
  <c r="F21915" i="1"/>
  <c r="F21912" i="1"/>
  <c r="F21727" i="1"/>
  <c r="F21708" i="1"/>
  <c r="F21692" i="1"/>
  <c r="F21678" i="1"/>
  <c r="F21671" i="1"/>
  <c r="F20870" i="1"/>
  <c r="F20868" i="1"/>
  <c r="F20866" i="1"/>
  <c r="F20847" i="1"/>
  <c r="F20818" i="1"/>
  <c r="F20769" i="1"/>
  <c r="F20700" i="1"/>
  <c r="F20698" i="1"/>
  <c r="F20696" i="1"/>
  <c r="F20694" i="1"/>
  <c r="F20692" i="1"/>
  <c r="F20690" i="1"/>
  <c r="F20689" i="1"/>
  <c r="F20686" i="1"/>
  <c r="F20269" i="1"/>
  <c r="F20067" i="1"/>
  <c r="F19989" i="1"/>
  <c r="F19987" i="1"/>
  <c r="F19973" i="1"/>
  <c r="F19965" i="1"/>
  <c r="F19908" i="1"/>
  <c r="F19905" i="1"/>
  <c r="F19903" i="1"/>
  <c r="F19891" i="1"/>
  <c r="F19848" i="1"/>
  <c r="F19849" i="1"/>
  <c r="F19846" i="1"/>
  <c r="F19772" i="1"/>
  <c r="F19766" i="1"/>
  <c r="F19743" i="1"/>
  <c r="F19741" i="1"/>
  <c r="F19731" i="1"/>
  <c r="F19724" i="1"/>
  <c r="F19721" i="1"/>
  <c r="F19713" i="1"/>
  <c r="F19707" i="1"/>
  <c r="F19706" i="1"/>
  <c r="F19701" i="1"/>
  <c r="F19699" i="1"/>
  <c r="F19697" i="1"/>
  <c r="F19695" i="1"/>
  <c r="F19685" i="1"/>
  <c r="F19683" i="1"/>
  <c r="F19652" i="1"/>
  <c r="F19513" i="1"/>
  <c r="F19257" i="1"/>
  <c r="F19186" i="1"/>
  <c r="F19184" i="1"/>
  <c r="F19178" i="1"/>
  <c r="F19176" i="1"/>
  <c r="F19174" i="1"/>
  <c r="F19161" i="1"/>
  <c r="F19062" i="1"/>
  <c r="F19056" i="1"/>
  <c r="F18867" i="1"/>
  <c r="F18864" i="1"/>
  <c r="F18766" i="1"/>
  <c r="F18764" i="1"/>
  <c r="F18729" i="1"/>
  <c r="F18727" i="1"/>
  <c r="F18696" i="1"/>
  <c r="F18660" i="1"/>
  <c r="F18545" i="1"/>
  <c r="F18504" i="1"/>
  <c r="F18449" i="1"/>
  <c r="F18447" i="1"/>
  <c r="F18444" i="1"/>
  <c r="F18442" i="1"/>
  <c r="F18436" i="1"/>
  <c r="F18429" i="1"/>
  <c r="F18427" i="1"/>
  <c r="F18416" i="1"/>
  <c r="F18409" i="1"/>
  <c r="F18397" i="1"/>
  <c r="F18346" i="1"/>
  <c r="F18341" i="1"/>
  <c r="F18339" i="1"/>
  <c r="F18337" i="1"/>
  <c r="F18336" i="1"/>
  <c r="F18333" i="1"/>
  <c r="F18331" i="1"/>
  <c r="F18277" i="1"/>
  <c r="F18273" i="1"/>
  <c r="F18271" i="1"/>
  <c r="F18252" i="1"/>
  <c r="F18246" i="1"/>
  <c r="F18171" i="1"/>
  <c r="F18115" i="1"/>
  <c r="F18095" i="1"/>
  <c r="F18070" i="1"/>
  <c r="F18068" i="1"/>
  <c r="F17937" i="1"/>
  <c r="F17923" i="1"/>
  <c r="F17823" i="1"/>
  <c r="F17569" i="1"/>
  <c r="F17511" i="1"/>
  <c r="F17472" i="1"/>
  <c r="F17468" i="1"/>
  <c r="F17466" i="1"/>
  <c r="F17464" i="1"/>
  <c r="F17463" i="1"/>
  <c r="F17450" i="1"/>
  <c r="F17398" i="1"/>
  <c r="F17378" i="1"/>
  <c r="F17366" i="1"/>
  <c r="F17364" i="1"/>
  <c r="F17362" i="1"/>
  <c r="F17360" i="1"/>
  <c r="F17358" i="1"/>
  <c r="F17356" i="1"/>
  <c r="F17354" i="1"/>
  <c r="F17292" i="1"/>
  <c r="F17278" i="1"/>
  <c r="F17229" i="1"/>
  <c r="F17039" i="1"/>
  <c r="F16781" i="1"/>
  <c r="F16779" i="1"/>
  <c r="F16745" i="1"/>
  <c r="F16648" i="1"/>
  <c r="F16646" i="1"/>
  <c r="F16624" i="1"/>
  <c r="F16622" i="1"/>
  <c r="F16553" i="1"/>
  <c r="F16504" i="1"/>
  <c r="F16499" i="1"/>
  <c r="F16469" i="1"/>
  <c r="F16453" i="1"/>
  <c r="F16451" i="1"/>
  <c r="F16449" i="1"/>
  <c r="F16441" i="1"/>
  <c r="F16427" i="1"/>
  <c r="F16416" i="1"/>
  <c r="F16306" i="1"/>
  <c r="F16278" i="1"/>
  <c r="F16279" i="1"/>
  <c r="F16276" i="1"/>
  <c r="F16272" i="1"/>
  <c r="F16079" i="1"/>
  <c r="F15975" i="1"/>
  <c r="F15966" i="1"/>
  <c r="F15843" i="1"/>
  <c r="F15809" i="1"/>
  <c r="F12011" i="1"/>
  <c r="F11462" i="1"/>
  <c r="F11399" i="1"/>
  <c r="F11398" i="1"/>
  <c r="F11397" i="1"/>
  <c r="F11248" i="1"/>
  <c r="F11247" i="1"/>
  <c r="F11200" i="1"/>
  <c r="F11120" i="1"/>
  <c r="F11118" i="1"/>
  <c r="F11111" i="1"/>
  <c r="F11062" i="1"/>
  <c r="F11059" i="1"/>
  <c r="F10833" i="1"/>
  <c r="F10830" i="1"/>
  <c r="F10826" i="1"/>
  <c r="F10827" i="1"/>
  <c r="F10825" i="1"/>
  <c r="F10822" i="1"/>
  <c r="F10820" i="1"/>
  <c r="F10812" i="1"/>
  <c r="F10791" i="1"/>
  <c r="F10789" i="1"/>
  <c r="F10787" i="1"/>
  <c r="F9989" i="1"/>
  <c r="F9923" i="1"/>
  <c r="F9898" i="1"/>
  <c r="F9442" i="1"/>
  <c r="F9312" i="1"/>
  <c r="F9310" i="1"/>
  <c r="F9308" i="1"/>
  <c r="F9273" i="1"/>
  <c r="F9269" i="1"/>
  <c r="F9198" i="1"/>
  <c r="F9196" i="1"/>
  <c r="F8865" i="1"/>
  <c r="F8866" i="1"/>
  <c r="F8724" i="1"/>
  <c r="F8713" i="1"/>
  <c r="F8636" i="1"/>
  <c r="F8635" i="1"/>
  <c r="F8365" i="1"/>
  <c r="F8363" i="1"/>
  <c r="F8355" i="1"/>
  <c r="F8353" i="1"/>
  <c r="F8351" i="1"/>
  <c r="F8334" i="1"/>
  <c r="F8318" i="1"/>
  <c r="F8316" i="1"/>
  <c r="F8310" i="1"/>
  <c r="F8308" i="1"/>
  <c r="F8306" i="1"/>
  <c r="F8302" i="1"/>
  <c r="F8300" i="1"/>
  <c r="F8298" i="1"/>
  <c r="F8296" i="1"/>
  <c r="F8291" i="1"/>
  <c r="F8292" i="1"/>
  <c r="F8288" i="1"/>
  <c r="F8285" i="1"/>
  <c r="F8281" i="1"/>
  <c r="F8279" i="1"/>
  <c r="F8277" i="1"/>
  <c r="F8268" i="1"/>
  <c r="F8265" i="1"/>
  <c r="F8263" i="1"/>
  <c r="F8249" i="1"/>
  <c r="F8247" i="1"/>
  <c r="F8245" i="1"/>
  <c r="F8239" i="1"/>
  <c r="F8217" i="1"/>
  <c r="F8216" i="1"/>
  <c r="F8213" i="1"/>
  <c r="F7536" i="1"/>
  <c r="F6691" i="1"/>
  <c r="F6682" i="1"/>
  <c r="F6675" i="1"/>
  <c r="F6659" i="1"/>
  <c r="F6646" i="1"/>
  <c r="F6632" i="1"/>
  <c r="F6569" i="1"/>
  <c r="F6543" i="1"/>
  <c r="F6425" i="1"/>
  <c r="F6408" i="1"/>
  <c r="F6400" i="1"/>
  <c r="F6392" i="1"/>
  <c r="F6240" i="1"/>
  <c r="F6235" i="1"/>
  <c r="F6233" i="1"/>
  <c r="F6221" i="1"/>
  <c r="F6152" i="1"/>
  <c r="F6134" i="1"/>
  <c r="F6118" i="1"/>
  <c r="F6073" i="1"/>
  <c r="F6064" i="1"/>
  <c r="F6062" i="1"/>
  <c r="F6060" i="1"/>
  <c r="F6058" i="1"/>
  <c r="F6056" i="1"/>
  <c r="F6054" i="1"/>
  <c r="F6052" i="1"/>
  <c r="F6050" i="1"/>
  <c r="F6048" i="1"/>
  <c r="F6046" i="1"/>
  <c r="F6044" i="1"/>
  <c r="F6042" i="1"/>
  <c r="F6040" i="1"/>
  <c r="F6038" i="1"/>
  <c r="F6036" i="1"/>
  <c r="F6034" i="1"/>
  <c r="F6029" i="1"/>
  <c r="F6025" i="1"/>
  <c r="F6018" i="1"/>
  <c r="F5910" i="1"/>
  <c r="F5906" i="1"/>
  <c r="F5902" i="1"/>
  <c r="F5852" i="1"/>
  <c r="F5853" i="1"/>
  <c r="F5845" i="1"/>
  <c r="F5747" i="1"/>
  <c r="F5745" i="1"/>
  <c r="F5628" i="1"/>
  <c r="F5626" i="1"/>
  <c r="F5598" i="1"/>
  <c r="F5596" i="1"/>
  <c r="F5594" i="1"/>
  <c r="F5593" i="1"/>
  <c r="F5554" i="1"/>
  <c r="F5361" i="1"/>
  <c r="F5351" i="1"/>
  <c r="F5346" i="1"/>
  <c r="F4785" i="1"/>
  <c r="F4772" i="1"/>
  <c r="F4771" i="1"/>
  <c r="F4757" i="1"/>
  <c r="F4746" i="1"/>
  <c r="F4740" i="1"/>
  <c r="F4738" i="1"/>
  <c r="F4734" i="1"/>
  <c r="F4732" i="1"/>
  <c r="F4730" i="1"/>
  <c r="F4704" i="1"/>
  <c r="F4690" i="1"/>
  <c r="F4686" i="1"/>
  <c r="F4684" i="1"/>
  <c r="F4682" i="1"/>
  <c r="F4667" i="1"/>
  <c r="F4631" i="1"/>
  <c r="F4597" i="1"/>
  <c r="F4532" i="1"/>
  <c r="F4524" i="1"/>
  <c r="F4486" i="1"/>
  <c r="F4484" i="1"/>
  <c r="F4482" i="1"/>
  <c r="F4480" i="1"/>
  <c r="F4478" i="1"/>
  <c r="F4476" i="1"/>
  <c r="F4474" i="1"/>
  <c r="F4472" i="1"/>
  <c r="F4240" i="1"/>
  <c r="F4238" i="1"/>
  <c r="F4236" i="1"/>
  <c r="F4232" i="1"/>
  <c r="F4230" i="1"/>
  <c r="F4228" i="1"/>
  <c r="F4226" i="1"/>
  <c r="F4224" i="1"/>
  <c r="F4222" i="1"/>
  <c r="F4220" i="1"/>
  <c r="F4218" i="1"/>
  <c r="F4216" i="1"/>
  <c r="F4214" i="1"/>
  <c r="F3954" i="1"/>
  <c r="F3894" i="1"/>
  <c r="F3892" i="1"/>
  <c r="F3888" i="1"/>
  <c r="F3886" i="1"/>
  <c r="F3856" i="1"/>
  <c r="F3854" i="1"/>
  <c r="F3804" i="1"/>
  <c r="F3704" i="1"/>
  <c r="F3672" i="1"/>
  <c r="F3664" i="1"/>
  <c r="F3613" i="1"/>
  <c r="F3611" i="1"/>
  <c r="F3568" i="1"/>
  <c r="F3552" i="1"/>
  <c r="F3544" i="1"/>
  <c r="F3522" i="1"/>
  <c r="F2315" i="1"/>
  <c r="F2305" i="1"/>
  <c r="F2301" i="1"/>
  <c r="F2299" i="1"/>
  <c r="F2297" i="1"/>
  <c r="F2116" i="1"/>
  <c r="F1147" i="1"/>
  <c r="F1145" i="1"/>
  <c r="F1129" i="1"/>
  <c r="F1108" i="1"/>
  <c r="F1106" i="1"/>
  <c r="F1084" i="1"/>
  <c r="F1082" i="1"/>
  <c r="F1080" i="1"/>
  <c r="F1078" i="1"/>
  <c r="F1077" i="1"/>
  <c r="F1068" i="1"/>
  <c r="F1060" i="1"/>
  <c r="F1059" i="1"/>
  <c r="F1056" i="1"/>
  <c r="F988" i="1"/>
  <c r="F956" i="1"/>
  <c r="F954" i="1"/>
  <c r="F945" i="1"/>
  <c r="F930" i="1"/>
  <c r="F928" i="1"/>
  <c r="F917" i="1"/>
  <c r="F771" i="1"/>
  <c r="F768" i="1"/>
  <c r="F766" i="1"/>
  <c r="F764" i="1"/>
  <c r="F762" i="1"/>
  <c r="F754" i="1"/>
  <c r="F751" i="1"/>
  <c r="F738" i="1"/>
  <c r="F732" i="1"/>
  <c r="F719" i="1"/>
  <c r="F716" i="1"/>
  <c r="F714" i="1"/>
  <c r="F711" i="1"/>
  <c r="F706" i="1"/>
  <c r="F666" i="1"/>
  <c r="F654" i="1"/>
  <c r="F608" i="1"/>
  <c r="F606" i="1"/>
  <c r="F475" i="1"/>
  <c r="F52" i="1"/>
  <c r="F11033" i="1"/>
  <c r="F36596" i="1"/>
  <c r="F36591" i="1"/>
  <c r="F36582" i="1"/>
  <c r="F36424" i="1"/>
  <c r="F35921" i="1"/>
  <c r="F35843" i="1"/>
  <c r="F35494" i="1"/>
  <c r="F35188" i="1"/>
  <c r="F35176" i="1"/>
  <c r="F34939" i="1"/>
  <c r="F34667" i="1"/>
  <c r="F26397" i="1"/>
  <c r="F25951" i="1"/>
  <c r="F25634" i="1"/>
  <c r="F25090" i="1"/>
  <c r="F23807" i="1"/>
  <c r="F22129" i="1"/>
  <c r="F22083" i="1"/>
  <c r="F21900" i="1"/>
  <c r="F13062" i="1"/>
  <c r="F11438" i="1"/>
  <c r="F11219" i="1"/>
  <c r="F11130" i="1"/>
  <c r="F3797" i="1"/>
  <c r="F2386" i="1"/>
  <c r="F401" i="1"/>
  <c r="F36377" i="1"/>
  <c r="F36038" i="1"/>
  <c r="F36025" i="1"/>
  <c r="F36024" i="1"/>
  <c r="F35655" i="1"/>
  <c r="F35187" i="1"/>
  <c r="F35186" i="1"/>
  <c r="F35030" i="1"/>
  <c r="F34949" i="1"/>
  <c r="F34834" i="1"/>
  <c r="F34784" i="1"/>
  <c r="F34748" i="1"/>
  <c r="F34674" i="1"/>
  <c r="F34660" i="1"/>
  <c r="F34199" i="1"/>
  <c r="F34185" i="1"/>
  <c r="F33732" i="1"/>
  <c r="F32321" i="1"/>
  <c r="F31083" i="1"/>
  <c r="F29575" i="1"/>
  <c r="F29433" i="1"/>
  <c r="F29280" i="1"/>
  <c r="F29135" i="1"/>
  <c r="F28257" i="1"/>
  <c r="F25182" i="1"/>
  <c r="F25116" i="1"/>
  <c r="F25094" i="1"/>
  <c r="F25068" i="1"/>
  <c r="F24802" i="1"/>
  <c r="F24607" i="1"/>
  <c r="F24309" i="1"/>
  <c r="F24141" i="1"/>
  <c r="F23715" i="1"/>
  <c r="F23714" i="1"/>
  <c r="F23155" i="1"/>
  <c r="F22821" i="1"/>
  <c r="F21711" i="1"/>
  <c r="F20221" i="1"/>
  <c r="F16226" i="1"/>
  <c r="F15970" i="1"/>
  <c r="F14904" i="1"/>
  <c r="F14562" i="1"/>
  <c r="F12843" i="1"/>
  <c r="F12035" i="1"/>
  <c r="F11491" i="1"/>
  <c r="F9353" i="1"/>
  <c r="F9320" i="1"/>
  <c r="F9318" i="1"/>
  <c r="F8890" i="1"/>
  <c r="F8642" i="1"/>
  <c r="F8534" i="1"/>
  <c r="F8532" i="1"/>
  <c r="F8477" i="1"/>
  <c r="F8458" i="1"/>
  <c r="F8416" i="1"/>
  <c r="F8125" i="1"/>
  <c r="F7311" i="1"/>
  <c r="F6833" i="1"/>
  <c r="F5974" i="1"/>
  <c r="F5972" i="1"/>
  <c r="F5964" i="1"/>
  <c r="F5690" i="1"/>
  <c r="F5624" i="1"/>
  <c r="F5447" i="1"/>
  <c r="F5386" i="1"/>
  <c r="F4043" i="1"/>
  <c r="F3607" i="1"/>
  <c r="F3572" i="1"/>
  <c r="F3305" i="1"/>
  <c r="F992" i="1"/>
  <c r="F377" i="1"/>
  <c r="F317" i="1"/>
  <c r="F315" i="1"/>
  <c r="F285" i="1"/>
  <c r="F259" i="1"/>
  <c r="F231" i="1"/>
  <c r="F17" i="1"/>
  <c r="F34777" i="1"/>
  <c r="F32374" i="1"/>
  <c r="F32311" i="1"/>
  <c r="F29333" i="1"/>
  <c r="F28368" i="1"/>
  <c r="F26936" i="1"/>
  <c r="F26342" i="1"/>
  <c r="F25488" i="1"/>
  <c r="F25388" i="1"/>
  <c r="F25126" i="1"/>
  <c r="F25013" i="1"/>
  <c r="F24792" i="1"/>
  <c r="F24782" i="1"/>
  <c r="F24585" i="1"/>
  <c r="F24550" i="1"/>
  <c r="F24446" i="1"/>
  <c r="F24436" i="1"/>
  <c r="F24427" i="1"/>
  <c r="F24419" i="1"/>
  <c r="F23417" i="1"/>
  <c r="F22683" i="1"/>
  <c r="F22312" i="1"/>
  <c r="F22021" i="1"/>
  <c r="F21676" i="1"/>
  <c r="F21579" i="1"/>
  <c r="F21429" i="1"/>
  <c r="F21168" i="1"/>
  <c r="F20943" i="1"/>
  <c r="F20561" i="1"/>
  <c r="F20193" i="1"/>
  <c r="F19999" i="1"/>
  <c r="F19521" i="1"/>
  <c r="F19515" i="1"/>
  <c r="F18986" i="1"/>
  <c r="F18869" i="1"/>
  <c r="F18814" i="1"/>
  <c r="F18365" i="1"/>
  <c r="F18363" i="1"/>
  <c r="F18303" i="1"/>
  <c r="F18159" i="1"/>
  <c r="F18089" i="1"/>
  <c r="F16739" i="1"/>
  <c r="F16720" i="1"/>
  <c r="F16412" i="1"/>
  <c r="F13209" i="1"/>
  <c r="F11693" i="1"/>
  <c r="F8111" i="1"/>
  <c r="F5085" i="1"/>
  <c r="F2540" i="1"/>
  <c r="F2317" i="1"/>
  <c r="F2050" i="1"/>
  <c r="F5692" i="1"/>
  <c r="F30208" i="1"/>
  <c r="F29718" i="1"/>
  <c r="F28898" i="1"/>
  <c r="F28130" i="1"/>
  <c r="F28128" i="1"/>
  <c r="F28101" i="1"/>
  <c r="F26315" i="1"/>
  <c r="F24142" i="1"/>
  <c r="F23128" i="1"/>
  <c r="F22740" i="1"/>
  <c r="F19728" i="1"/>
  <c r="F16232" i="1"/>
  <c r="F14810" i="1"/>
  <c r="F14008" i="1"/>
  <c r="F13450" i="1"/>
  <c r="F13442" i="1"/>
  <c r="F8165" i="1"/>
  <c r="F6414" i="1"/>
  <c r="F2593" i="1"/>
  <c r="F2426" i="1"/>
  <c r="F47" i="1"/>
  <c r="F36617" i="1"/>
  <c r="F36271" i="1"/>
  <c r="F35996" i="1"/>
  <c r="F35965" i="1"/>
  <c r="F35961" i="1"/>
  <c r="F35955" i="1"/>
  <c r="F35926" i="1"/>
  <c r="F35899" i="1"/>
  <c r="F35894" i="1"/>
  <c r="F35182" i="1"/>
  <c r="F35168" i="1"/>
  <c r="F35165" i="1"/>
  <c r="F34943" i="1"/>
  <c r="F34637" i="1"/>
  <c r="F33752" i="1"/>
  <c r="F25986" i="1"/>
  <c r="F23754" i="1"/>
  <c r="F10654" i="1"/>
  <c r="F34783" i="1"/>
  <c r="F34186" i="1"/>
  <c r="F33708" i="1"/>
  <c r="F33047" i="1"/>
  <c r="F31113" i="1"/>
  <c r="F26403" i="1"/>
  <c r="F26359" i="1"/>
  <c r="F26036" i="1"/>
  <c r="F25143" i="1"/>
  <c r="F25113" i="1"/>
  <c r="F25105" i="1"/>
  <c r="F25087" i="1"/>
  <c r="F23716" i="1"/>
  <c r="F23713" i="1"/>
  <c r="F18057" i="1"/>
  <c r="F16069" i="1"/>
  <c r="F16067" i="1"/>
  <c r="F6605" i="1"/>
  <c r="F5987" i="1"/>
  <c r="F5616" i="1"/>
  <c r="F4742" i="1"/>
  <c r="F4736" i="1"/>
  <c r="F3514" i="1"/>
  <c r="F34164" i="1"/>
  <c r="F22417" i="1"/>
  <c r="F18939" i="1"/>
  <c r="F18938" i="1"/>
  <c r="F18935" i="1"/>
  <c r="F15558" i="1"/>
  <c r="F14472" i="1"/>
  <c r="F9230" i="1"/>
  <c r="F5171" i="1"/>
  <c r="F3315" i="1"/>
  <c r="F2925" i="1"/>
  <c r="F1284" i="1"/>
  <c r="F32251" i="1"/>
  <c r="F30245" i="1"/>
  <c r="F26150" i="1"/>
  <c r="F26143" i="1"/>
  <c r="F25872" i="1"/>
  <c r="F22995" i="1"/>
  <c r="F16492" i="1"/>
  <c r="F12820" i="1"/>
  <c r="F12009" i="1"/>
  <c r="F10757" i="1"/>
  <c r="F4166" i="1"/>
  <c r="F3356" i="1"/>
  <c r="F3196" i="1"/>
  <c r="F3097" i="1"/>
  <c r="F34506" i="1"/>
  <c r="F33706" i="1"/>
  <c r="F33641" i="1"/>
  <c r="F29860" i="1"/>
  <c r="F29255" i="1"/>
  <c r="F27514" i="1"/>
  <c r="F25888" i="1"/>
  <c r="F18503" i="1"/>
  <c r="F12728" i="1"/>
  <c r="F8029" i="1"/>
  <c r="F4333" i="1"/>
  <c r="F3980" i="1"/>
  <c r="F501" i="1"/>
  <c r="F32295" i="1"/>
  <c r="F23125" i="1"/>
  <c r="F21906" i="1"/>
  <c r="F21206" i="1"/>
  <c r="F20822" i="1"/>
  <c r="F19585" i="1"/>
  <c r="F13052" i="1"/>
  <c r="F12832" i="1"/>
  <c r="F33493" i="1"/>
  <c r="F32510" i="1"/>
  <c r="F28321" i="1"/>
  <c r="F27864" i="1"/>
  <c r="F27303" i="1"/>
  <c r="F25386" i="1"/>
  <c r="F19437" i="1"/>
  <c r="F17645" i="1"/>
  <c r="F2538" i="1"/>
  <c r="F34" i="1"/>
  <c r="F36080" i="1"/>
  <c r="F35995" i="1"/>
  <c r="F35974" i="1"/>
  <c r="F35929" i="1"/>
  <c r="F35923" i="1"/>
  <c r="F35907" i="1"/>
  <c r="F35889" i="1"/>
  <c r="F35850" i="1"/>
  <c r="F34808" i="1"/>
  <c r="F34686" i="1"/>
  <c r="F34655" i="1"/>
  <c r="F34648" i="1"/>
  <c r="F34642" i="1"/>
  <c r="F34636" i="1"/>
  <c r="F34607" i="1"/>
  <c r="F34137" i="1"/>
  <c r="F33518" i="1"/>
  <c r="F32673" i="1"/>
  <c r="F30281" i="1"/>
  <c r="F28212" i="1"/>
  <c r="F28211" i="1"/>
  <c r="F27559" i="1"/>
  <c r="F20845" i="1"/>
  <c r="F20069" i="1"/>
  <c r="F19693" i="1"/>
  <c r="F18703" i="1"/>
  <c r="F18540" i="1"/>
  <c r="F11181" i="1"/>
  <c r="F7744" i="1"/>
  <c r="F6628" i="1"/>
  <c r="F6250" i="1"/>
  <c r="F6130" i="1"/>
  <c r="F5675" i="1"/>
  <c r="F4776" i="1"/>
  <c r="F4334" i="1"/>
  <c r="F2359" i="1"/>
  <c r="F1122" i="1"/>
  <c r="F488" i="1"/>
  <c r="F381" i="1"/>
  <c r="F147" i="1"/>
  <c r="F49" i="1"/>
  <c r="F3450" i="1"/>
  <c r="F36631" i="1"/>
  <c r="F36630" i="1"/>
  <c r="F36628" i="1"/>
  <c r="F35734" i="1"/>
  <c r="F35582" i="1"/>
  <c r="F30380" i="1"/>
  <c r="F29693" i="1"/>
  <c r="F29457" i="1"/>
  <c r="F29033" i="1"/>
  <c r="F28381" i="1"/>
  <c r="F25668" i="1"/>
  <c r="F25609" i="1"/>
  <c r="F25472" i="1"/>
  <c r="F24916" i="1"/>
  <c r="F24400" i="1"/>
  <c r="F23976" i="1"/>
  <c r="F23268" i="1"/>
  <c r="F21046" i="1"/>
  <c r="F20579" i="1"/>
  <c r="F18007" i="1"/>
  <c r="F15695" i="1"/>
  <c r="F15534" i="1"/>
  <c r="F15319" i="1"/>
  <c r="F14373" i="1"/>
  <c r="F14043" i="1"/>
  <c r="F12675" i="1"/>
  <c r="F11748" i="1"/>
  <c r="F7925" i="1"/>
  <c r="F5566" i="1"/>
  <c r="F5406" i="1"/>
  <c r="F3846" i="1"/>
  <c r="F3562" i="1"/>
  <c r="F2853" i="1"/>
  <c r="F2692" i="1"/>
  <c r="F2626" i="1"/>
  <c r="F29668" i="1"/>
  <c r="F29146" i="1"/>
  <c r="F22221" i="1"/>
  <c r="F22040" i="1"/>
  <c r="F36626" i="1"/>
  <c r="F35277" i="1"/>
  <c r="F33027" i="1"/>
  <c r="F32919" i="1"/>
  <c r="F32528" i="1"/>
  <c r="F32297" i="1"/>
  <c r="F31682" i="1"/>
  <c r="F30461" i="1"/>
  <c r="F30460" i="1"/>
  <c r="F30458" i="1"/>
  <c r="F30457" i="1"/>
  <c r="F30455" i="1"/>
  <c r="F30454" i="1"/>
  <c r="F30453" i="1"/>
  <c r="F30214" i="1"/>
  <c r="F30201" i="1"/>
  <c r="F30148" i="1"/>
  <c r="F29689" i="1"/>
  <c r="F28226" i="1"/>
  <c r="F27954" i="1"/>
  <c r="F26532" i="1"/>
  <c r="F25273" i="1"/>
  <c r="F24913" i="1"/>
  <c r="F24586" i="1"/>
  <c r="F24459" i="1"/>
  <c r="F24352" i="1"/>
  <c r="F23862" i="1"/>
  <c r="F17856" i="1"/>
  <c r="F16481" i="1"/>
  <c r="F13470" i="1"/>
  <c r="F8163" i="1"/>
  <c r="F7643" i="1"/>
  <c r="F6749" i="1"/>
  <c r="F6747" i="1"/>
  <c r="F5229" i="1"/>
  <c r="F3163" i="1"/>
  <c r="F2658" i="1"/>
  <c r="F35801" i="1"/>
  <c r="F35542" i="1"/>
  <c r="F35541" i="1"/>
  <c r="F35540" i="1"/>
  <c r="F35536" i="1"/>
  <c r="F35535" i="1"/>
  <c r="F35534" i="1"/>
  <c r="F35533" i="1"/>
  <c r="F35527" i="1"/>
  <c r="F35526" i="1"/>
  <c r="F35525" i="1"/>
  <c r="F35524" i="1"/>
  <c r="F35522" i="1"/>
  <c r="F35521" i="1"/>
  <c r="F35485" i="1"/>
  <c r="F35484" i="1"/>
  <c r="F35482" i="1"/>
  <c r="F35480" i="1"/>
  <c r="F35410" i="1"/>
  <c r="F35404" i="1"/>
  <c r="F35358" i="1"/>
  <c r="F35354" i="1"/>
  <c r="F35353" i="1"/>
  <c r="F35352" i="1"/>
  <c r="F35314" i="1"/>
  <c r="F35312" i="1"/>
  <c r="F35311" i="1"/>
  <c r="F35294" i="1"/>
  <c r="F35293" i="1"/>
  <c r="F35292" i="1"/>
  <c r="F35291" i="1"/>
  <c r="F35037" i="1"/>
  <c r="F33699" i="1"/>
  <c r="F33565" i="1"/>
  <c r="F33562" i="1"/>
  <c r="F33421" i="1"/>
  <c r="F33390" i="1"/>
  <c r="F33378" i="1"/>
  <c r="F28987" i="1"/>
  <c r="F28977" i="1"/>
  <c r="F28972" i="1"/>
  <c r="F28907" i="1"/>
  <c r="F28906" i="1"/>
  <c r="F28870" i="1"/>
  <c r="F28748" i="1"/>
  <c r="F27171" i="1"/>
  <c r="F26616" i="1"/>
  <c r="F26583" i="1"/>
  <c r="F26569" i="1"/>
  <c r="F26559" i="1"/>
  <c r="F21908" i="1"/>
  <c r="F21836" i="1"/>
  <c r="F21827" i="1"/>
  <c r="F21755" i="1"/>
  <c r="F21495" i="1"/>
  <c r="F21487" i="1"/>
  <c r="F21485" i="1"/>
  <c r="F21330" i="1"/>
  <c r="F20969" i="1"/>
  <c r="F20966" i="1"/>
  <c r="F20957" i="1"/>
  <c r="F20079" i="1"/>
  <c r="F20077" i="1"/>
  <c r="F19216" i="1"/>
  <c r="F19152" i="1"/>
  <c r="F17031" i="1"/>
  <c r="F11153" i="1"/>
  <c r="F11079" i="1"/>
  <c r="F10816" i="1"/>
  <c r="F10615" i="1"/>
  <c r="F7722" i="1"/>
  <c r="F7550" i="1"/>
  <c r="F7548" i="1"/>
  <c r="F7546" i="1"/>
  <c r="F4787" i="1"/>
  <c r="F4713" i="1"/>
  <c r="F4261" i="1"/>
  <c r="F4250" i="1"/>
  <c r="F4246" i="1"/>
  <c r="F3317" i="1"/>
  <c r="F3212" i="1"/>
  <c r="F2544" i="1"/>
  <c r="F2542" i="1"/>
  <c r="F2500" i="1"/>
  <c r="F34251" i="1"/>
  <c r="F32999" i="1"/>
  <c r="F30180" i="1"/>
  <c r="F25026" i="1"/>
  <c r="F24963" i="1"/>
  <c r="F22965" i="1"/>
  <c r="F22752" i="1"/>
  <c r="F21372" i="1"/>
  <c r="F20527" i="1"/>
  <c r="F18842" i="1"/>
  <c r="F18586" i="1"/>
  <c r="F18584" i="1"/>
  <c r="F17308" i="1"/>
  <c r="F16833" i="1"/>
  <c r="F11460" i="1"/>
  <c r="F10720" i="1"/>
  <c r="F122" i="1"/>
  <c r="F35633" i="1"/>
  <c r="F35632" i="1"/>
  <c r="F34371" i="1"/>
  <c r="F34325" i="1"/>
  <c r="F34264" i="1"/>
  <c r="F34121" i="1"/>
  <c r="F34029" i="1"/>
  <c r="F33810" i="1"/>
  <c r="F33785" i="1"/>
  <c r="F33784" i="1"/>
  <c r="F33783" i="1"/>
  <c r="F33782" i="1"/>
  <c r="F33696" i="1"/>
  <c r="F33669" i="1"/>
  <c r="F33487" i="1"/>
  <c r="F33190" i="1"/>
  <c r="F33086" i="1"/>
  <c r="F32407" i="1"/>
  <c r="F32406" i="1"/>
  <c r="F32290" i="1"/>
  <c r="F30524" i="1"/>
  <c r="F29780" i="1"/>
  <c r="F27808" i="1"/>
  <c r="F27612" i="1"/>
  <c r="F26418" i="1"/>
  <c r="F25867" i="1"/>
  <c r="F25859" i="1"/>
  <c r="F25719" i="1"/>
  <c r="F25679" i="1"/>
  <c r="F25243" i="1"/>
  <c r="F25237" i="1"/>
  <c r="F25234" i="1"/>
  <c r="F25233" i="1"/>
  <c r="F25232" i="1"/>
  <c r="F25231" i="1"/>
  <c r="F25227" i="1"/>
  <c r="F25226" i="1"/>
  <c r="F25225" i="1"/>
  <c r="F25224" i="1"/>
  <c r="F25223" i="1"/>
  <c r="F25222" i="1"/>
  <c r="F25221" i="1"/>
  <c r="F25220" i="1"/>
  <c r="F25219" i="1"/>
  <c r="F25175" i="1"/>
  <c r="F25123" i="1"/>
  <c r="F24811" i="1"/>
  <c r="F24800" i="1"/>
  <c r="F24784" i="1"/>
  <c r="F24531" i="1"/>
  <c r="F24397" i="1"/>
  <c r="F24392" i="1"/>
  <c r="F24382" i="1"/>
  <c r="F24118" i="1"/>
  <c r="F24117" i="1"/>
  <c r="F24116" i="1"/>
  <c r="F23929" i="1"/>
  <c r="F23927" i="1"/>
  <c r="F23926" i="1"/>
  <c r="F23925" i="1"/>
  <c r="F23924" i="1"/>
  <c r="F23923" i="1"/>
  <c r="F23922" i="1"/>
  <c r="F23921" i="1"/>
  <c r="F23917" i="1"/>
  <c r="F23916" i="1"/>
  <c r="F23907" i="1"/>
  <c r="F23903" i="1"/>
  <c r="F23879" i="1"/>
  <c r="F23876" i="1"/>
  <c r="F23553" i="1"/>
  <c r="F23538" i="1"/>
  <c r="F23502" i="1"/>
  <c r="F22946" i="1"/>
  <c r="F22283" i="1"/>
  <c r="F21656" i="1"/>
  <c r="F21156" i="1"/>
  <c r="F20277" i="1"/>
  <c r="F20203" i="1"/>
  <c r="F19795" i="1"/>
  <c r="F18933" i="1"/>
  <c r="F17519" i="1"/>
  <c r="F15643" i="1"/>
  <c r="F15570" i="1"/>
  <c r="F15282" i="1"/>
  <c r="F15280" i="1"/>
  <c r="F15249" i="1"/>
  <c r="F15132" i="1"/>
  <c r="F15130" i="1"/>
  <c r="F15029" i="1"/>
  <c r="F14805" i="1"/>
  <c r="F14801" i="1"/>
  <c r="F14715" i="1"/>
  <c r="F14683" i="1"/>
  <c r="F14673" i="1"/>
  <c r="F14612" i="1"/>
  <c r="F13844" i="1"/>
  <c r="F13764" i="1"/>
  <c r="F13121" i="1"/>
  <c r="F13113" i="1"/>
  <c r="F13111" i="1"/>
  <c r="F12517" i="1"/>
  <c r="F12383" i="1"/>
  <c r="F12367" i="1"/>
  <c r="F11197" i="1"/>
  <c r="F9986" i="1"/>
  <c r="F9359" i="1"/>
  <c r="F8960" i="1"/>
  <c r="F8892" i="1"/>
  <c r="F8879" i="1"/>
  <c r="F8817" i="1"/>
  <c r="F8794" i="1"/>
  <c r="F8792" i="1"/>
  <c r="F8597" i="1"/>
  <c r="F8090" i="1"/>
  <c r="F7905" i="1"/>
  <c r="F7888" i="1"/>
  <c r="F7640" i="1"/>
  <c r="F6712" i="1"/>
  <c r="F6520" i="1"/>
  <c r="F6514" i="1"/>
  <c r="F6510" i="1"/>
  <c r="F6089" i="1"/>
  <c r="F5908" i="1"/>
  <c r="F5863" i="1"/>
  <c r="F5848" i="1"/>
  <c r="F5791" i="1"/>
  <c r="F5773" i="1"/>
  <c r="F5771" i="1"/>
  <c r="F5729" i="1"/>
  <c r="F5621" i="1"/>
  <c r="F5552" i="1"/>
  <c r="F5402" i="1"/>
  <c r="F5388" i="1"/>
  <c r="F3826" i="1"/>
  <c r="F2952" i="1"/>
  <c r="F749" i="1"/>
  <c r="F21594" i="1"/>
  <c r="F34380" i="1"/>
  <c r="F34181" i="1"/>
  <c r="F34135" i="1"/>
  <c r="F32754" i="1"/>
  <c r="F29869" i="1"/>
  <c r="F28412" i="1"/>
  <c r="F25177" i="1"/>
  <c r="F24949" i="1"/>
  <c r="F24884" i="1"/>
  <c r="F24281" i="1"/>
  <c r="F24077" i="1"/>
  <c r="F24068" i="1"/>
  <c r="F21009" i="1"/>
  <c r="F19241" i="1"/>
  <c r="F11262" i="1"/>
  <c r="F11114" i="1"/>
  <c r="F10562" i="1"/>
  <c r="F7968" i="1"/>
  <c r="F4939" i="1"/>
  <c r="F720" i="1"/>
  <c r="F36528" i="1"/>
  <c r="F33066" i="1"/>
  <c r="F19075" i="1"/>
  <c r="F12957" i="1"/>
  <c r="F3364" i="1"/>
  <c r="F21712" i="1"/>
  <c r="F11848" i="1"/>
  <c r="F29669" i="1"/>
  <c r="F28726" i="1"/>
  <c r="F23618" i="1"/>
  <c r="F23259" i="1"/>
  <c r="F23251" i="1"/>
  <c r="F23235" i="1"/>
  <c r="F14582" i="1"/>
  <c r="F10949" i="1"/>
  <c r="F10909" i="1"/>
  <c r="F35744" i="1"/>
  <c r="F34791" i="1"/>
  <c r="F25503" i="1"/>
  <c r="F24564" i="1"/>
  <c r="F18558" i="1"/>
  <c r="F17020" i="1"/>
  <c r="F17017" i="1"/>
  <c r="F11611" i="1"/>
  <c r="F11259" i="1"/>
  <c r="F6246" i="1"/>
  <c r="F105" i="1"/>
  <c r="F33626" i="1"/>
  <c r="F31668" i="1"/>
  <c r="F30500" i="1"/>
  <c r="F27999" i="1"/>
  <c r="F23254" i="1"/>
  <c r="F21846" i="1"/>
  <c r="F13748" i="1"/>
  <c r="F12928" i="1"/>
  <c r="F11005" i="1"/>
  <c r="F4337" i="1"/>
  <c r="F3465" i="1"/>
  <c r="F29582" i="1"/>
  <c r="F24075" i="1"/>
  <c r="F21514" i="1"/>
  <c r="F36456" i="1"/>
  <c r="F36451" i="1"/>
  <c r="F36378" i="1"/>
  <c r="F36319" i="1"/>
  <c r="F36316" i="1"/>
  <c r="F36313" i="1"/>
  <c r="F36312" i="1"/>
  <c r="F36307" i="1"/>
  <c r="F36305" i="1"/>
  <c r="F36304" i="1"/>
  <c r="F36279" i="1"/>
  <c r="F36157" i="1"/>
  <c r="F36155" i="1"/>
  <c r="F36143" i="1"/>
  <c r="F36083" i="1"/>
  <c r="F35780" i="1"/>
  <c r="F35666" i="1"/>
  <c r="F35608" i="1"/>
  <c r="F35603" i="1"/>
  <c r="F35597" i="1"/>
  <c r="F35519" i="1"/>
  <c r="F35518" i="1"/>
  <c r="F35486" i="1"/>
  <c r="F35478" i="1"/>
  <c r="F35449" i="1"/>
  <c r="F35224" i="1"/>
  <c r="F35215" i="1"/>
  <c r="F35214" i="1"/>
  <c r="F35211" i="1"/>
  <c r="F35204" i="1"/>
  <c r="F35201" i="1"/>
  <c r="F35128" i="1"/>
  <c r="F35093" i="1"/>
  <c r="F35016" i="1"/>
  <c r="F34993" i="1"/>
  <c r="F34769" i="1"/>
  <c r="F34765" i="1"/>
  <c r="F34762" i="1"/>
  <c r="F34761" i="1"/>
  <c r="F34718" i="1"/>
  <c r="F34678" i="1"/>
  <c r="F34625" i="1"/>
  <c r="F34109" i="1"/>
  <c r="F33500" i="1"/>
  <c r="F33416" i="1"/>
  <c r="F32436" i="1"/>
  <c r="F32216" i="1"/>
  <c r="F32190" i="1"/>
  <c r="F32111" i="1"/>
  <c r="F32100" i="1"/>
  <c r="F32050" i="1"/>
  <c r="F32012" i="1"/>
  <c r="F32006" i="1"/>
  <c r="F31926" i="1"/>
  <c r="F31897" i="1"/>
  <c r="F31880" i="1"/>
  <c r="F31825" i="1"/>
  <c r="F31797" i="1"/>
  <c r="F31744" i="1"/>
  <c r="F31688" i="1"/>
  <c r="F31667" i="1"/>
  <c r="F31643" i="1"/>
  <c r="F31544" i="1"/>
  <c r="F31511" i="1"/>
  <c r="F31457" i="1"/>
  <c r="F31302" i="1"/>
  <c r="F31273" i="1"/>
  <c r="F31271" i="1"/>
  <c r="F31270" i="1"/>
  <c r="F31261" i="1"/>
  <c r="F31249" i="1"/>
  <c r="F31239" i="1"/>
  <c r="F31235" i="1"/>
  <c r="F31223" i="1"/>
  <c r="F31209" i="1"/>
  <c r="F31112" i="1"/>
  <c r="F31037" i="1"/>
  <c r="F31022" i="1"/>
  <c r="F30997" i="1"/>
  <c r="F30995" i="1"/>
  <c r="F30994" i="1"/>
  <c r="F30990" i="1"/>
  <c r="F30988" i="1"/>
  <c r="F30986" i="1"/>
  <c r="F30984" i="1"/>
  <c r="F30983" i="1"/>
  <c r="F30981" i="1"/>
  <c r="F30979" i="1"/>
  <c r="F30978" i="1"/>
  <c r="F30976" i="1"/>
  <c r="F30974" i="1"/>
  <c r="F30972" i="1"/>
  <c r="F30971" i="1"/>
  <c r="F30969" i="1"/>
  <c r="F30968" i="1"/>
  <c r="F30966" i="1"/>
  <c r="F30963" i="1"/>
  <c r="F30962" i="1"/>
  <c r="F30961" i="1"/>
  <c r="F30960" i="1"/>
  <c r="F30958" i="1"/>
  <c r="F30956" i="1"/>
  <c r="F30953" i="1"/>
  <c r="F30952" i="1"/>
  <c r="F30950" i="1"/>
  <c r="F30948" i="1"/>
  <c r="F30947" i="1"/>
  <c r="F30901" i="1"/>
  <c r="F30894" i="1"/>
  <c r="F30892" i="1"/>
  <c r="F30890" i="1"/>
  <c r="F30889" i="1"/>
  <c r="F30821" i="1"/>
  <c r="F30820" i="1"/>
  <c r="F30818" i="1"/>
  <c r="F30817" i="1"/>
  <c r="F30805" i="1"/>
  <c r="F30798" i="1"/>
  <c r="F30791" i="1"/>
  <c r="F30788" i="1"/>
  <c r="F30664" i="1"/>
  <c r="F30656" i="1"/>
  <c r="F30651" i="1"/>
  <c r="F30609" i="1"/>
  <c r="F30607" i="1"/>
  <c r="F30566" i="1"/>
  <c r="F30552" i="1"/>
  <c r="F30550" i="1"/>
  <c r="F30548" i="1"/>
  <c r="F30547" i="1"/>
  <c r="F30546" i="1"/>
  <c r="F30543" i="1"/>
  <c r="F30542" i="1"/>
  <c r="F30533" i="1"/>
  <c r="F30522" i="1"/>
  <c r="F30509" i="1"/>
  <c r="F29815" i="1"/>
  <c r="F29799" i="1"/>
  <c r="F29507" i="1"/>
  <c r="F29395" i="1"/>
  <c r="F29367" i="1"/>
  <c r="F29361" i="1"/>
  <c r="F29274" i="1"/>
  <c r="F29261" i="1"/>
  <c r="F29251" i="1"/>
  <c r="F29223" i="1"/>
  <c r="F29151" i="1"/>
  <c r="F29142" i="1"/>
  <c r="F28919" i="1"/>
  <c r="F28727" i="1"/>
  <c r="F28703" i="1"/>
  <c r="F28702" i="1"/>
  <c r="F28643" i="1"/>
  <c r="F28623" i="1"/>
  <c r="F28622" i="1"/>
  <c r="F28607" i="1"/>
  <c r="F28395" i="1"/>
  <c r="F28353" i="1"/>
  <c r="F28280" i="1"/>
  <c r="F28020" i="1"/>
  <c r="F27799" i="1"/>
  <c r="F27794" i="1"/>
  <c r="F27792" i="1"/>
  <c r="F27776" i="1"/>
  <c r="F27772" i="1"/>
  <c r="F27733" i="1"/>
  <c r="F27599" i="1"/>
  <c r="F27501" i="1"/>
  <c r="F27136" i="1"/>
  <c r="F27118" i="1"/>
  <c r="F27113" i="1"/>
  <c r="F27112" i="1"/>
  <c r="F27111" i="1"/>
  <c r="F27110" i="1"/>
  <c r="F27109" i="1"/>
  <c r="F27078" i="1"/>
  <c r="F27077" i="1"/>
  <c r="F26815" i="1"/>
  <c r="F26793" i="1"/>
  <c r="F26792" i="1"/>
  <c r="F26791" i="1"/>
  <c r="F26778" i="1"/>
  <c r="F26777" i="1"/>
  <c r="F26773" i="1"/>
  <c r="F26768" i="1"/>
  <c r="F26766" i="1"/>
  <c r="F26764" i="1"/>
  <c r="F26763" i="1"/>
  <c r="F26762" i="1"/>
  <c r="F26723" i="1"/>
  <c r="F26591" i="1"/>
  <c r="F26399" i="1"/>
  <c r="F26187" i="1"/>
  <c r="F26186" i="1"/>
  <c r="F26184" i="1"/>
  <c r="F26183" i="1"/>
  <c r="F26182" i="1"/>
  <c r="F26181" i="1"/>
  <c r="F26180" i="1"/>
  <c r="F26176" i="1"/>
  <c r="F26161" i="1"/>
  <c r="F26160" i="1"/>
  <c r="F26018" i="1"/>
  <c r="F26016" i="1"/>
  <c r="F26004" i="1"/>
  <c r="F25953" i="1"/>
  <c r="F25946" i="1"/>
  <c r="F25856" i="1"/>
  <c r="F25850" i="1"/>
  <c r="F25761" i="1"/>
  <c r="F25728" i="1"/>
  <c r="F25714" i="1"/>
  <c r="F25694" i="1"/>
  <c r="F25676" i="1"/>
  <c r="F25644" i="1"/>
  <c r="F25637" i="1"/>
  <c r="F25206" i="1"/>
  <c r="F23707" i="1"/>
  <c r="F23686" i="1"/>
  <c r="F23682" i="1"/>
  <c r="F23666" i="1"/>
  <c r="F23648" i="1"/>
  <c r="F23642" i="1"/>
  <c r="F23635" i="1"/>
  <c r="F23509" i="1"/>
  <c r="F23336" i="1"/>
  <c r="F23333" i="1"/>
  <c r="F23331" i="1"/>
  <c r="F23326" i="1"/>
  <c r="F23325" i="1"/>
  <c r="F23229" i="1"/>
  <c r="F23127" i="1"/>
  <c r="F23123" i="1"/>
  <c r="F23073" i="1"/>
  <c r="F23031" i="1"/>
  <c r="F22917" i="1"/>
  <c r="F22631" i="1"/>
  <c r="F22536" i="1"/>
  <c r="F22505" i="1"/>
  <c r="F22493" i="1"/>
  <c r="F22140" i="1"/>
  <c r="F21992" i="1"/>
  <c r="F21885" i="1"/>
  <c r="F21883" i="1"/>
  <c r="F21581" i="1"/>
  <c r="F21254" i="1"/>
  <c r="F21239" i="1"/>
  <c r="F21240" i="1"/>
  <c r="F21227" i="1"/>
  <c r="F21149" i="1"/>
  <c r="F21112" i="1"/>
  <c r="F20897" i="1"/>
  <c r="F20758" i="1"/>
  <c r="F20745" i="1"/>
  <c r="F20731" i="1"/>
  <c r="F20582" i="1"/>
  <c r="F20465" i="1"/>
  <c r="F20382" i="1"/>
  <c r="F20379" i="1"/>
  <c r="F20157" i="1"/>
  <c r="F20125" i="1"/>
  <c r="F20121" i="1"/>
  <c r="F20120" i="1"/>
  <c r="F20094" i="1"/>
  <c r="F19998" i="1"/>
  <c r="F19995" i="1"/>
  <c r="F19927" i="1"/>
  <c r="F19893" i="1"/>
  <c r="F19814" i="1"/>
  <c r="F19774" i="1"/>
  <c r="F19729" i="1"/>
  <c r="F19709" i="1"/>
  <c r="F19488" i="1"/>
  <c r="F19355" i="1"/>
  <c r="F19331" i="1"/>
  <c r="F19203" i="1"/>
  <c r="F19159" i="1"/>
  <c r="F19054" i="1"/>
  <c r="F19048" i="1"/>
  <c r="F18980" i="1"/>
  <c r="F18123" i="1"/>
  <c r="F18017" i="1"/>
  <c r="F18018" i="1"/>
  <c r="F17995" i="1"/>
  <c r="F17964" i="1"/>
  <c r="F17962" i="1"/>
  <c r="F17506" i="1"/>
  <c r="F17505" i="1"/>
  <c r="F17283" i="1"/>
  <c r="F17272" i="1"/>
  <c r="F17273" i="1"/>
  <c r="F16809" i="1"/>
  <c r="F16805" i="1"/>
  <c r="F16797" i="1"/>
  <c r="F16793" i="1"/>
  <c r="F16792" i="1"/>
  <c r="F16655" i="1"/>
  <c r="F16569" i="1"/>
  <c r="F16566" i="1"/>
  <c r="F16563" i="1"/>
  <c r="F16561" i="1"/>
  <c r="F16471" i="1"/>
  <c r="F16467" i="1"/>
  <c r="F16309" i="1"/>
  <c r="F16149" i="1"/>
  <c r="F15817" i="1"/>
  <c r="F15775" i="1"/>
  <c r="F15767" i="1"/>
  <c r="F15764" i="1"/>
  <c r="F15742" i="1"/>
  <c r="F15698" i="1"/>
  <c r="F15668" i="1"/>
  <c r="F15522" i="1"/>
  <c r="F15510" i="1"/>
  <c r="F15439" i="1"/>
  <c r="F15255" i="1"/>
  <c r="F15251" i="1"/>
  <c r="F15219" i="1"/>
  <c r="F15194" i="1"/>
  <c r="F15085" i="1"/>
  <c r="F15081" i="1"/>
  <c r="F14822" i="1"/>
  <c r="F14669" i="1"/>
  <c r="F14603" i="1"/>
  <c r="F14577" i="1"/>
  <c r="F14401" i="1"/>
  <c r="F14386" i="1"/>
  <c r="F14087" i="1"/>
  <c r="F13964" i="1"/>
  <c r="F13584" i="1"/>
  <c r="F13434" i="1"/>
  <c r="F13432" i="1"/>
  <c r="F13347" i="1"/>
  <c r="F13343" i="1"/>
  <c r="F13337" i="1"/>
  <c r="F13299" i="1"/>
  <c r="F13278" i="1"/>
  <c r="F13259" i="1"/>
  <c r="F13147" i="1"/>
  <c r="F12538" i="1"/>
  <c r="F12452" i="1"/>
  <c r="F12451" i="1"/>
  <c r="F12446" i="1"/>
  <c r="F12444" i="1"/>
  <c r="F12439" i="1"/>
  <c r="F12129" i="1"/>
  <c r="F12121" i="1"/>
  <c r="F11989" i="1"/>
  <c r="F11775" i="1"/>
  <c r="F11715" i="1"/>
  <c r="F11663" i="1"/>
  <c r="F11179" i="1"/>
  <c r="F11070" i="1"/>
  <c r="F10764" i="1"/>
  <c r="F10716" i="1"/>
  <c r="F10672" i="1"/>
  <c r="F10656" i="1"/>
  <c r="F10560" i="1"/>
  <c r="F10552" i="1"/>
  <c r="F10538" i="1"/>
  <c r="F10529" i="1"/>
  <c r="F10514" i="1"/>
  <c r="F10500" i="1"/>
  <c r="F10501" i="1"/>
  <c r="F10473" i="1"/>
  <c r="F10446" i="1"/>
  <c r="F10447" i="1"/>
  <c r="F10430" i="1"/>
  <c r="F10408" i="1"/>
  <c r="F10405" i="1"/>
  <c r="F10362" i="1"/>
  <c r="F10349" i="1"/>
  <c r="F10348" i="1"/>
  <c r="F10340" i="1"/>
  <c r="F10332" i="1"/>
  <c r="F10330" i="1"/>
  <c r="F10329" i="1"/>
  <c r="F10284" i="1"/>
  <c r="F10279" i="1"/>
  <c r="F10254" i="1"/>
  <c r="F10236" i="1"/>
  <c r="F10237" i="1"/>
  <c r="F10231" i="1"/>
  <c r="F10229" i="1"/>
  <c r="F10208" i="1"/>
  <c r="F10198" i="1"/>
  <c r="F10188" i="1"/>
  <c r="F10186" i="1"/>
  <c r="F10172" i="1"/>
  <c r="F10170" i="1"/>
  <c r="F10168" i="1"/>
  <c r="F10162" i="1"/>
  <c r="F10160" i="1"/>
  <c r="F10158" i="1"/>
  <c r="F10146" i="1"/>
  <c r="F10130" i="1"/>
  <c r="F10128" i="1"/>
  <c r="F10113" i="1"/>
  <c r="F10098" i="1"/>
  <c r="F10096" i="1"/>
  <c r="F10074" i="1"/>
  <c r="F10062" i="1"/>
  <c r="F10058" i="1"/>
  <c r="F10056" i="1"/>
  <c r="F10052" i="1"/>
  <c r="F10028" i="1"/>
  <c r="F9995" i="1"/>
  <c r="F9848" i="1"/>
  <c r="F9834" i="1"/>
  <c r="F9800" i="1"/>
  <c r="F9781" i="1"/>
  <c r="F9737" i="1"/>
  <c r="F9735" i="1"/>
  <c r="F9678" i="1"/>
  <c r="F9634" i="1"/>
  <c r="F9617" i="1"/>
  <c r="F9606" i="1"/>
  <c r="F9604" i="1"/>
  <c r="F9602" i="1"/>
  <c r="F9600" i="1"/>
  <c r="F9597" i="1"/>
  <c r="F9595" i="1"/>
  <c r="F9592" i="1"/>
  <c r="F9590" i="1"/>
  <c r="F9558" i="1"/>
  <c r="F9178" i="1"/>
  <c r="F7956" i="1"/>
  <c r="F7432" i="1"/>
  <c r="F7431" i="1"/>
  <c r="F7393" i="1"/>
  <c r="F6176" i="1"/>
  <c r="F6007" i="1"/>
  <c r="F5896" i="1"/>
  <c r="F5894" i="1"/>
  <c r="F5865" i="1"/>
  <c r="F5866" i="1"/>
  <c r="F5808" i="1"/>
  <c r="F5751" i="1"/>
  <c r="F5731" i="1"/>
  <c r="F5551" i="1"/>
  <c r="F5503" i="1"/>
  <c r="F5497" i="1"/>
  <c r="F5495" i="1"/>
  <c r="F5492" i="1"/>
  <c r="F5490" i="1"/>
  <c r="F5488" i="1"/>
  <c r="F5484" i="1"/>
  <c r="F5459" i="1"/>
  <c r="F5452" i="1"/>
  <c r="F5408" i="1"/>
  <c r="F5394" i="1"/>
  <c r="F5384" i="1"/>
  <c r="F5362" i="1"/>
  <c r="F5349" i="1"/>
  <c r="F5342" i="1"/>
  <c r="F5337" i="1"/>
  <c r="F5335" i="1"/>
  <c r="F5331" i="1"/>
  <c r="F5332" i="1"/>
  <c r="F5327" i="1"/>
  <c r="F5326" i="1"/>
  <c r="F5323" i="1"/>
  <c r="F5321" i="1"/>
  <c r="F5317" i="1"/>
  <c r="F5315" i="1"/>
  <c r="F5312" i="1"/>
  <c r="F5310" i="1"/>
  <c r="F5307" i="1"/>
  <c r="F5305" i="1"/>
  <c r="F5303" i="1"/>
  <c r="F5256" i="1"/>
  <c r="F5239" i="1"/>
  <c r="F5217" i="1"/>
  <c r="F5213" i="1"/>
  <c r="F5211" i="1"/>
  <c r="F5003" i="1"/>
  <c r="F4972" i="1"/>
  <c r="F4825" i="1"/>
  <c r="F4823" i="1"/>
  <c r="F4816" i="1"/>
  <c r="F4809" i="1"/>
  <c r="F4808" i="1"/>
  <c r="F4805" i="1"/>
  <c r="F4803" i="1"/>
  <c r="F4801" i="1"/>
  <c r="F4799" i="1"/>
  <c r="F4797" i="1"/>
  <c r="F4795" i="1"/>
  <c r="F4793" i="1"/>
  <c r="F4791" i="1"/>
  <c r="F4708" i="1"/>
  <c r="F4672" i="1"/>
  <c r="F4673" i="1"/>
  <c r="F4563" i="1"/>
  <c r="F4377" i="1"/>
  <c r="F4157" i="1"/>
  <c r="F4154" i="1"/>
  <c r="F4129" i="1"/>
  <c r="F4128" i="1"/>
  <c r="F4011" i="1"/>
  <c r="F4010" i="1"/>
  <c r="F4007" i="1"/>
  <c r="F4006" i="1"/>
  <c r="F3820" i="1"/>
  <c r="F3657" i="1"/>
  <c r="F3636" i="1"/>
  <c r="F3464" i="1"/>
  <c r="F3382" i="1"/>
  <c r="F3378" i="1"/>
  <c r="F3374" i="1"/>
  <c r="F3372" i="1"/>
  <c r="F3121" i="1"/>
  <c r="F3093" i="1"/>
  <c r="F3094" i="1"/>
  <c r="F3082" i="1"/>
  <c r="F2973" i="1"/>
  <c r="F2947" i="1"/>
  <c r="F2831" i="1"/>
  <c r="F2828" i="1"/>
  <c r="F2823" i="1"/>
  <c r="F2809" i="1"/>
  <c r="F2800" i="1"/>
  <c r="F2777" i="1"/>
  <c r="F2772" i="1"/>
  <c r="F1287" i="1"/>
  <c r="F1230" i="1"/>
  <c r="F1229" i="1"/>
  <c r="F1160" i="1"/>
  <c r="F1158" i="1"/>
  <c r="F1157" i="1"/>
  <c r="F1154" i="1"/>
  <c r="F924" i="1"/>
  <c r="F904" i="1"/>
  <c r="F631" i="1"/>
  <c r="F624" i="1"/>
  <c r="F546" i="1"/>
  <c r="F543" i="1"/>
  <c r="F539" i="1"/>
  <c r="F537" i="1"/>
  <c r="F536" i="1"/>
  <c r="F533" i="1"/>
  <c r="F532" i="1"/>
  <c r="F463" i="1"/>
  <c r="F439" i="1"/>
  <c r="F435" i="1"/>
  <c r="F433" i="1"/>
  <c r="F87" i="1"/>
  <c r="F86" i="1"/>
  <c r="F15497" i="1"/>
  <c r="F34381" i="1"/>
  <c r="F33530" i="1"/>
  <c r="F33125" i="1"/>
  <c r="F32182" i="1"/>
  <c r="F32173" i="1"/>
  <c r="F31706" i="1"/>
  <c r="F31268" i="1"/>
  <c r="F30786" i="1"/>
  <c r="F29699" i="1"/>
  <c r="F29686" i="1"/>
  <c r="F29485" i="1"/>
  <c r="F28821" i="1"/>
  <c r="F27552" i="1"/>
  <c r="F16169" i="1"/>
  <c r="F12808" i="1"/>
  <c r="F7600" i="1"/>
  <c r="F7297" i="1"/>
  <c r="F6778" i="1"/>
  <c r="F4890" i="1"/>
  <c r="F3757" i="1"/>
  <c r="F19502" i="1"/>
  <c r="F19370" i="1"/>
  <c r="F35706" i="1"/>
  <c r="F35618" i="1"/>
  <c r="F34952" i="1"/>
  <c r="F33859" i="1"/>
  <c r="F33742" i="1"/>
  <c r="F32391" i="1"/>
  <c r="F30366" i="1"/>
  <c r="F30285" i="1"/>
  <c r="F29858" i="1"/>
  <c r="F29583" i="1"/>
  <c r="F29183" i="1"/>
  <c r="F26849" i="1"/>
  <c r="F24609" i="1"/>
  <c r="F21447" i="1"/>
  <c r="F18707" i="1"/>
  <c r="F11223" i="1"/>
  <c r="F9184" i="1"/>
  <c r="F3844" i="1"/>
  <c r="F3842" i="1"/>
  <c r="F3834" i="1"/>
  <c r="F34006" i="1"/>
  <c r="F33153" i="1"/>
  <c r="F32441" i="1"/>
  <c r="F31625" i="1"/>
  <c r="F27132" i="1"/>
  <c r="F17454" i="1"/>
  <c r="F14059" i="1"/>
  <c r="F14014" i="1"/>
  <c r="F32689" i="1"/>
  <c r="F14037" i="1"/>
  <c r="F36192" i="1"/>
  <c r="F36132" i="1"/>
  <c r="F35937" i="1"/>
  <c r="F34861" i="1"/>
  <c r="F34622" i="1"/>
  <c r="F34611" i="1"/>
  <c r="F33511" i="1"/>
  <c r="F33436" i="1"/>
  <c r="F33418" i="1"/>
  <c r="F32750" i="1"/>
  <c r="F32726" i="1"/>
  <c r="F31820" i="1"/>
  <c r="F31382" i="1"/>
  <c r="F30373" i="1"/>
  <c r="F29431" i="1"/>
  <c r="F29392" i="1"/>
  <c r="F29387" i="1"/>
  <c r="F29107" i="1"/>
  <c r="F29050" i="1"/>
  <c r="F28877" i="1"/>
  <c r="F28838" i="1"/>
  <c r="F27706" i="1"/>
  <c r="F27703" i="1"/>
  <c r="F26488" i="1"/>
  <c r="F25860" i="1"/>
  <c r="F25000" i="1"/>
  <c r="F24810" i="1"/>
  <c r="F24649" i="1"/>
  <c r="F24647" i="1"/>
  <c r="F24610" i="1"/>
  <c r="F23934" i="1"/>
  <c r="F23357" i="1"/>
  <c r="F20951" i="1"/>
  <c r="F20887" i="1"/>
  <c r="F20504" i="1"/>
  <c r="F20391" i="1"/>
  <c r="F20029" i="1"/>
  <c r="F19581" i="1"/>
  <c r="F18468" i="1"/>
  <c r="F15922" i="1"/>
  <c r="F15902" i="1"/>
  <c r="F15899" i="1"/>
  <c r="F15895" i="1"/>
  <c r="F15894" i="1"/>
  <c r="F12718" i="1"/>
  <c r="F11131" i="1"/>
  <c r="F10744" i="1"/>
  <c r="F8962" i="1"/>
  <c r="F8711" i="1"/>
  <c r="F8058" i="1"/>
  <c r="F8052" i="1"/>
  <c r="F8042" i="1"/>
  <c r="F8039" i="1"/>
  <c r="F8037" i="1"/>
  <c r="F7659" i="1"/>
  <c r="F7255" i="1"/>
  <c r="F6243" i="1"/>
  <c r="F6114" i="1"/>
  <c r="F5797" i="1"/>
  <c r="F5755" i="1"/>
  <c r="F5739" i="1"/>
  <c r="F5737" i="1"/>
  <c r="F5645" i="1"/>
  <c r="F5526" i="1"/>
  <c r="F4984" i="1"/>
  <c r="F4918" i="1"/>
  <c r="F4883" i="1"/>
  <c r="F4811" i="1"/>
  <c r="F700" i="1"/>
  <c r="F563" i="1"/>
  <c r="F514" i="1"/>
  <c r="F35316" i="1"/>
  <c r="F33642" i="1"/>
  <c r="F31266" i="1"/>
  <c r="F31202" i="1"/>
  <c r="F31119" i="1"/>
  <c r="F30551" i="1"/>
  <c r="F29788" i="1"/>
  <c r="F26540" i="1"/>
  <c r="F26455" i="1"/>
  <c r="F23023" i="1"/>
  <c r="F22001" i="1"/>
  <c r="F21332" i="1"/>
  <c r="F21208" i="1"/>
  <c r="F20710" i="1"/>
  <c r="F20621" i="1"/>
  <c r="F19643" i="1"/>
  <c r="F19347" i="1"/>
  <c r="F18655" i="1"/>
  <c r="F18485" i="1"/>
  <c r="F18265" i="1"/>
  <c r="F14777" i="1"/>
  <c r="F12906" i="1"/>
  <c r="F12159" i="1"/>
  <c r="F5232" i="1"/>
  <c r="F1288" i="1"/>
  <c r="F34350" i="1"/>
  <c r="F33299" i="1"/>
  <c r="F32933" i="1"/>
  <c r="F31400" i="1"/>
  <c r="F30233" i="1"/>
  <c r="F27437" i="1"/>
  <c r="F27025" i="1"/>
  <c r="F26840" i="1"/>
  <c r="F25201" i="1"/>
  <c r="F24888" i="1"/>
  <c r="F23735" i="1"/>
  <c r="F23734" i="1"/>
  <c r="F23733" i="1"/>
  <c r="F23730" i="1"/>
  <c r="F23316" i="1"/>
  <c r="F23093" i="1"/>
  <c r="F22655" i="1"/>
  <c r="F21851" i="1"/>
  <c r="F21450" i="1"/>
  <c r="F20898" i="1"/>
  <c r="F20655" i="1"/>
  <c r="F20627" i="1"/>
  <c r="F20625" i="1"/>
  <c r="F20623" i="1"/>
  <c r="F20411" i="1"/>
  <c r="F19889" i="1"/>
  <c r="F19591" i="1"/>
  <c r="F19265" i="1"/>
  <c r="F18898" i="1"/>
  <c r="F18621" i="1"/>
  <c r="F18619" i="1"/>
  <c r="F18617" i="1"/>
  <c r="F18615" i="1"/>
  <c r="F18613" i="1"/>
  <c r="F18611" i="1"/>
  <c r="F17941" i="1"/>
  <c r="F16726" i="1"/>
  <c r="F16724" i="1"/>
  <c r="F15562" i="1"/>
  <c r="F14972" i="1"/>
  <c r="F14911" i="1"/>
  <c r="F13086" i="1"/>
  <c r="F13082" i="1"/>
  <c r="F13080" i="1"/>
  <c r="F13078" i="1"/>
  <c r="F13065" i="1"/>
  <c r="F11116" i="1"/>
  <c r="F8129" i="1"/>
  <c r="F7706" i="1"/>
  <c r="F6306" i="1"/>
  <c r="F5580" i="1"/>
  <c r="F5578" i="1"/>
  <c r="F5576" i="1"/>
  <c r="F5156" i="1"/>
  <c r="F5157" i="1"/>
  <c r="F5125" i="1"/>
  <c r="F5122" i="1"/>
  <c r="F5117" i="1"/>
  <c r="F5060" i="1"/>
  <c r="F3994" i="1"/>
  <c r="F2307" i="1"/>
  <c r="F1070" i="1"/>
  <c r="F1018" i="1"/>
  <c r="F858" i="1"/>
  <c r="F28084" i="1"/>
  <c r="F27830" i="1"/>
  <c r="F24947" i="1"/>
  <c r="F24853" i="1"/>
  <c r="F23571" i="1"/>
  <c r="F16462" i="1"/>
  <c r="F16065" i="1"/>
  <c r="F15968" i="1"/>
  <c r="F12244" i="1"/>
  <c r="F11456" i="1"/>
  <c r="F6350" i="1"/>
  <c r="F2246" i="1"/>
  <c r="F1542" i="1"/>
  <c r="F979" i="1"/>
  <c r="F34591" i="1"/>
  <c r="F34563" i="1"/>
  <c r="F34101" i="1"/>
  <c r="F33314" i="1"/>
  <c r="F33308" i="1"/>
  <c r="F33080" i="1"/>
  <c r="F33077" i="1"/>
  <c r="F32286" i="1"/>
  <c r="F30420" i="1"/>
  <c r="F30397" i="1"/>
  <c r="F30382" i="1"/>
  <c r="F30019" i="1"/>
  <c r="F30017" i="1"/>
  <c r="F30014" i="1"/>
  <c r="F29898" i="1"/>
  <c r="F28341" i="1"/>
  <c r="F27659" i="1"/>
  <c r="F27094" i="1"/>
  <c r="F26552" i="1"/>
  <c r="F26236" i="1"/>
  <c r="F26024" i="1"/>
  <c r="F25982" i="1"/>
  <c r="F24953" i="1"/>
  <c r="F24749" i="1"/>
  <c r="F24469" i="1"/>
  <c r="F23504" i="1"/>
  <c r="F21804" i="1"/>
  <c r="F21626" i="1"/>
  <c r="F17818" i="1"/>
  <c r="F15708" i="1"/>
  <c r="F15343" i="1"/>
  <c r="F13974" i="1"/>
  <c r="F12786" i="1"/>
  <c r="F7777" i="1"/>
  <c r="F6252" i="1"/>
  <c r="F6220" i="1"/>
  <c r="F4134" i="1"/>
  <c r="F2384" i="1"/>
  <c r="F36413" i="1"/>
  <c r="F36411" i="1"/>
  <c r="F35782" i="1"/>
  <c r="F35676" i="1"/>
  <c r="F35653" i="1"/>
  <c r="F35649" i="1"/>
  <c r="F35628" i="1"/>
  <c r="F35512" i="1"/>
  <c r="F35469" i="1"/>
  <c r="F35468" i="1"/>
  <c r="F35467" i="1"/>
  <c r="F35348" i="1"/>
  <c r="F35209" i="1"/>
  <c r="F35011" i="1"/>
  <c r="F34838" i="1"/>
  <c r="F34829" i="1"/>
  <c r="F34502" i="1"/>
  <c r="F33951" i="1"/>
  <c r="F33918" i="1"/>
  <c r="F33666" i="1"/>
  <c r="F33492" i="1"/>
  <c r="F33450" i="1"/>
  <c r="F33448" i="1"/>
  <c r="F33441" i="1"/>
  <c r="F33435" i="1"/>
  <c r="F33396" i="1"/>
  <c r="F33373" i="1"/>
  <c r="F33366" i="1"/>
  <c r="F33013" i="1"/>
  <c r="F32993" i="1"/>
  <c r="F32942" i="1"/>
  <c r="F32823" i="1"/>
  <c r="F32815" i="1"/>
  <c r="F32813" i="1"/>
  <c r="F32801" i="1"/>
  <c r="F32789" i="1"/>
  <c r="F32721" i="1"/>
  <c r="F32639" i="1"/>
  <c r="F32578" i="1"/>
  <c r="F32577" i="1"/>
  <c r="F32539" i="1"/>
  <c r="F32537" i="1"/>
  <c r="F32370" i="1"/>
  <c r="F32304" i="1"/>
  <c r="F31938" i="1"/>
  <c r="F31769" i="1"/>
  <c r="F30596" i="1"/>
  <c r="F30527" i="1"/>
  <c r="F30523" i="1"/>
  <c r="F30365" i="1"/>
  <c r="F30212" i="1"/>
  <c r="F30147" i="1"/>
  <c r="F30146" i="1"/>
  <c r="F30145" i="1"/>
  <c r="F30121" i="1"/>
  <c r="F30055" i="1"/>
  <c r="F29955" i="1"/>
  <c r="F29839" i="1"/>
  <c r="F29782" i="1"/>
  <c r="F29759" i="1"/>
  <c r="F29722" i="1"/>
  <c r="F29704" i="1"/>
  <c r="F29702" i="1"/>
  <c r="F29695" i="1"/>
  <c r="F29692" i="1"/>
  <c r="F29658" i="1"/>
  <c r="F29496" i="1"/>
  <c r="F29473" i="1"/>
  <c r="F29459" i="1"/>
  <c r="F29451" i="1"/>
  <c r="F29337" i="1"/>
  <c r="F29289" i="1"/>
  <c r="F29267" i="1"/>
  <c r="F29266" i="1"/>
  <c r="F29230" i="1"/>
  <c r="F29224" i="1"/>
  <c r="F29211" i="1"/>
  <c r="F29169" i="1"/>
  <c r="F28308" i="1"/>
  <c r="F28299" i="1"/>
  <c r="F28297" i="1"/>
  <c r="F28283" i="1"/>
  <c r="F28265" i="1"/>
  <c r="F28067" i="1"/>
  <c r="F28053" i="1"/>
  <c r="F27981" i="1"/>
  <c r="F27944" i="1"/>
  <c r="F27834" i="1"/>
  <c r="F27831" i="1"/>
  <c r="F27521" i="1"/>
  <c r="F27517" i="1"/>
  <c r="F27322" i="1"/>
  <c r="F27321" i="1"/>
  <c r="F27316" i="1"/>
  <c r="F27309" i="1"/>
  <c r="F27203" i="1"/>
  <c r="F27202" i="1"/>
  <c r="F27201" i="1"/>
  <c r="F27200" i="1"/>
  <c r="F27199" i="1"/>
  <c r="F27198" i="1"/>
  <c r="F27197" i="1"/>
  <c r="F27184" i="1"/>
  <c r="F27173" i="1"/>
  <c r="F27170" i="1"/>
  <c r="F27154" i="1"/>
  <c r="F27151" i="1"/>
  <c r="F27056" i="1"/>
  <c r="F27046" i="1"/>
  <c r="F27045" i="1"/>
  <c r="F26981" i="1"/>
  <c r="F26972" i="1"/>
  <c r="F26905" i="1"/>
  <c r="F26904" i="1"/>
  <c r="F26903" i="1"/>
  <c r="F26901" i="1"/>
  <c r="F26876" i="1"/>
  <c r="F26851" i="1"/>
  <c r="F26761" i="1"/>
  <c r="F26573" i="1"/>
  <c r="F25242" i="1"/>
  <c r="F24923" i="1"/>
  <c r="F24790" i="1"/>
  <c r="F24170" i="1"/>
  <c r="F23967" i="1"/>
  <c r="F23202" i="1"/>
  <c r="F23200" i="1"/>
  <c r="F23197" i="1"/>
  <c r="F23182" i="1"/>
  <c r="F23181" i="1"/>
  <c r="F23168" i="1"/>
  <c r="F23091" i="1"/>
  <c r="F23013" i="1"/>
  <c r="F22896" i="1"/>
  <c r="F22800" i="1"/>
  <c r="F22554" i="1"/>
  <c r="F22481" i="1"/>
  <c r="F22077" i="1"/>
  <c r="F22069" i="1"/>
  <c r="F22067" i="1"/>
  <c r="F20489" i="1"/>
  <c r="F20443" i="1"/>
  <c r="F20259" i="1"/>
  <c r="F20053" i="1"/>
  <c r="F20051" i="1"/>
  <c r="F19981" i="1"/>
  <c r="F18514" i="1"/>
  <c r="F18512" i="1"/>
  <c r="F17890" i="1"/>
  <c r="F17479" i="1"/>
  <c r="F17459" i="1"/>
  <c r="F17455" i="1"/>
  <c r="F17225" i="1"/>
  <c r="F17223" i="1"/>
  <c r="F16817" i="1"/>
  <c r="F16772" i="1"/>
  <c r="F16753" i="1"/>
  <c r="F16528" i="1"/>
  <c r="F16474" i="1"/>
  <c r="F16390" i="1"/>
  <c r="F16386" i="1"/>
  <c r="F16264" i="1"/>
  <c r="F16030" i="1"/>
  <c r="F15920" i="1"/>
  <c r="F15241" i="1"/>
  <c r="F14384" i="1"/>
  <c r="F13155" i="1"/>
  <c r="F13103" i="1"/>
  <c r="F12724" i="1"/>
  <c r="F12100" i="1"/>
  <c r="F12094" i="1"/>
  <c r="F12033" i="1"/>
  <c r="F12001" i="1"/>
  <c r="F11768" i="1"/>
  <c r="F11681" i="1"/>
  <c r="F11575" i="1"/>
  <c r="F11496" i="1"/>
  <c r="F9154" i="1"/>
  <c r="F9146" i="1"/>
  <c r="F9144" i="1"/>
  <c r="F9138" i="1"/>
  <c r="F8645" i="1"/>
  <c r="F8375" i="1"/>
  <c r="F7800" i="1"/>
  <c r="F7712" i="1"/>
  <c r="F7612" i="1"/>
  <c r="F7562" i="1"/>
  <c r="F7513" i="1"/>
  <c r="F7391" i="1"/>
  <c r="F7086" i="1"/>
  <c r="F6955" i="1"/>
  <c r="F6919" i="1"/>
  <c r="F6859" i="1"/>
  <c r="F6857" i="1"/>
  <c r="F5472" i="1"/>
  <c r="F5270" i="1"/>
  <c r="F5111" i="1"/>
  <c r="F5000" i="1"/>
  <c r="F4958" i="1"/>
  <c r="F4652" i="1"/>
  <c r="F4198" i="1"/>
  <c r="F3910" i="1"/>
  <c r="F3862" i="1"/>
  <c r="F3653" i="1"/>
  <c r="F3548" i="1"/>
  <c r="F3388" i="1"/>
  <c r="F3189" i="1"/>
  <c r="F3187" i="1"/>
  <c r="F3185" i="1"/>
  <c r="F3181" i="1"/>
  <c r="F3167" i="1"/>
  <c r="F3138" i="1"/>
  <c r="F3136" i="1"/>
  <c r="F3105" i="1"/>
  <c r="F3103" i="1"/>
  <c r="F2987" i="1"/>
  <c r="F2571" i="1"/>
  <c r="F2563" i="1"/>
  <c r="F2561" i="1"/>
  <c r="F2532" i="1"/>
  <c r="F2498" i="1"/>
  <c r="F2496" i="1"/>
  <c r="F2494" i="1"/>
  <c r="F2492" i="1"/>
  <c r="F2433" i="1"/>
  <c r="F2370" i="1"/>
  <c r="F2368" i="1"/>
  <c r="F2356" i="1"/>
  <c r="F2338" i="1"/>
  <c r="F2122" i="1"/>
  <c r="F2036" i="1"/>
  <c r="F2034" i="1"/>
  <c r="F1918" i="1"/>
  <c r="F1756" i="1"/>
  <c r="F1632" i="1"/>
  <c r="F1622" i="1"/>
  <c r="F1620" i="1"/>
  <c r="F1522" i="1"/>
  <c r="F1502" i="1"/>
  <c r="F1490" i="1"/>
  <c r="F1445" i="1"/>
  <c r="F1443" i="1"/>
  <c r="F1416" i="1"/>
  <c r="F694" i="1"/>
  <c r="F561" i="1"/>
  <c r="F559" i="1"/>
  <c r="F477" i="1"/>
  <c r="F457" i="1"/>
  <c r="F365" i="1"/>
  <c r="F361" i="1"/>
  <c r="F327" i="1"/>
  <c r="F133" i="1"/>
  <c r="F83" i="1"/>
  <c r="F50" i="1"/>
  <c r="F25" i="1"/>
  <c r="F22" i="1"/>
  <c r="F29645" i="1"/>
  <c r="F19400" i="1"/>
  <c r="F17016" i="1"/>
  <c r="F34887" i="1"/>
  <c r="F34741" i="1"/>
  <c r="F32998" i="1"/>
  <c r="F31088" i="1"/>
  <c r="F29626" i="1"/>
  <c r="F28146" i="1"/>
  <c r="F27269" i="1"/>
  <c r="F26440" i="1"/>
  <c r="F23084" i="1"/>
  <c r="F22433" i="1"/>
  <c r="F21384" i="1"/>
  <c r="F21250" i="1"/>
  <c r="F20777" i="1"/>
  <c r="F18146" i="1"/>
  <c r="F17830" i="1"/>
  <c r="F17655" i="1"/>
  <c r="F17093" i="1"/>
  <c r="F15420" i="1"/>
  <c r="F15257" i="1"/>
  <c r="F15165" i="1"/>
  <c r="F13792" i="1"/>
  <c r="F13247" i="1"/>
  <c r="F11583" i="1"/>
  <c r="F5708" i="1"/>
  <c r="F5568" i="1"/>
  <c r="F5564" i="1"/>
  <c r="F4949" i="1"/>
  <c r="F3688" i="1"/>
  <c r="F2319" i="1"/>
  <c r="F2228" i="1"/>
  <c r="F1959" i="1"/>
  <c r="F1698" i="1"/>
  <c r="F1696" i="1"/>
  <c r="F32981" i="1"/>
  <c r="F32969" i="1"/>
  <c r="F32056" i="1"/>
  <c r="F31255" i="1"/>
  <c r="F31201" i="1"/>
  <c r="F30951" i="1"/>
  <c r="F29893" i="1"/>
  <c r="F29404" i="1"/>
  <c r="F29352" i="1"/>
  <c r="F29097" i="1"/>
  <c r="F25737" i="1"/>
  <c r="F25736" i="1"/>
  <c r="F25629" i="1"/>
  <c r="F23644" i="1"/>
  <c r="F21497" i="1"/>
  <c r="F20838" i="1"/>
  <c r="F20834" i="1"/>
  <c r="F20753" i="1"/>
  <c r="F18432" i="1"/>
  <c r="F18236" i="1"/>
  <c r="F16813" i="1"/>
  <c r="F16567" i="1"/>
  <c r="F13315" i="1"/>
  <c r="F12585" i="1"/>
  <c r="F12453" i="1"/>
  <c r="F11884" i="1"/>
  <c r="F10219" i="1"/>
  <c r="F10078" i="1"/>
  <c r="F7702" i="1"/>
  <c r="F7376" i="1"/>
  <c r="F7374" i="1"/>
  <c r="F4902" i="1"/>
  <c r="F36193" i="1"/>
  <c r="F35823" i="1"/>
  <c r="F34662" i="1"/>
  <c r="F33063" i="1"/>
  <c r="F30371" i="1"/>
  <c r="F29945" i="1"/>
  <c r="F29836" i="1"/>
  <c r="F29746" i="1"/>
  <c r="F26527" i="1"/>
  <c r="F21980" i="1"/>
  <c r="F21887" i="1"/>
  <c r="F21179" i="1"/>
  <c r="F20747" i="1"/>
  <c r="F20614" i="1"/>
  <c r="F19782" i="1"/>
  <c r="F17541" i="1"/>
  <c r="F17526" i="1"/>
  <c r="F6244" i="1"/>
  <c r="F6110" i="1"/>
  <c r="F5760" i="1"/>
  <c r="F5236" i="1"/>
  <c r="F5005" i="1"/>
  <c r="F4955" i="1"/>
  <c r="F169" i="1"/>
  <c r="F36397" i="1"/>
  <c r="F36383" i="1"/>
  <c r="F36366" i="1"/>
  <c r="F36323" i="1"/>
  <c r="F36222" i="1"/>
  <c r="F36221" i="1"/>
  <c r="F36205" i="1"/>
  <c r="F36187" i="1"/>
  <c r="F36137" i="1"/>
  <c r="F36082" i="1"/>
  <c r="F36023" i="1"/>
  <c r="F36021" i="1"/>
  <c r="F36019" i="1"/>
  <c r="F35570" i="1"/>
  <c r="F35419" i="1"/>
  <c r="F35198" i="1"/>
  <c r="F35131" i="1"/>
  <c r="F35058" i="1"/>
  <c r="F34922" i="1"/>
  <c r="F34742" i="1"/>
  <c r="F34683" i="1"/>
  <c r="F34682" i="1"/>
  <c r="F34629" i="1"/>
  <c r="F34494" i="1"/>
  <c r="F34413" i="1"/>
  <c r="F34182" i="1"/>
  <c r="F33914" i="1"/>
  <c r="F33771" i="1"/>
  <c r="F33595" i="1"/>
  <c r="F33531" i="1"/>
  <c r="F33501" i="1"/>
  <c r="F33198" i="1"/>
  <c r="F33117" i="1"/>
  <c r="F33062" i="1"/>
  <c r="F33061" i="1"/>
  <c r="F33023" i="1"/>
  <c r="F32943" i="1"/>
  <c r="F32846" i="1"/>
  <c r="F32423" i="1"/>
  <c r="F32403" i="1"/>
  <c r="F32319" i="1"/>
  <c r="F32150" i="1"/>
  <c r="F30343" i="1"/>
  <c r="F30341" i="1"/>
  <c r="F30292" i="1"/>
  <c r="F30242" i="1"/>
  <c r="F30204" i="1"/>
  <c r="F30173" i="1"/>
  <c r="F29930" i="1"/>
  <c r="F29809" i="1"/>
  <c r="F29656" i="1"/>
  <c r="F29597" i="1"/>
  <c r="F29596" i="1"/>
  <c r="F29508" i="1"/>
  <c r="F29472" i="1"/>
  <c r="F29471" i="1"/>
  <c r="F29470" i="1"/>
  <c r="F29463" i="1"/>
  <c r="F29439" i="1"/>
  <c r="F29434" i="1"/>
  <c r="F29432" i="1"/>
  <c r="F29325" i="1"/>
  <c r="F29256" i="1"/>
  <c r="F29216" i="1"/>
  <c r="F29215" i="1"/>
  <c r="F29214" i="1"/>
  <c r="F29089" i="1"/>
  <c r="F29051" i="1"/>
  <c r="F28866" i="1"/>
  <c r="F28572" i="1"/>
  <c r="F28445" i="1"/>
  <c r="F28413" i="1"/>
  <c r="F28367" i="1"/>
  <c r="F28349" i="1"/>
  <c r="F28319" i="1"/>
  <c r="F28306" i="1"/>
  <c r="F28290" i="1"/>
  <c r="F28024" i="1"/>
  <c r="F28023" i="1"/>
  <c r="F27650" i="1"/>
  <c r="F27645" i="1"/>
  <c r="F27606" i="1"/>
  <c r="F27591" i="1"/>
  <c r="F27587" i="1"/>
  <c r="F27586" i="1"/>
  <c r="F27584" i="1"/>
  <c r="F27493" i="1"/>
  <c r="F26680" i="1"/>
  <c r="F26668" i="1"/>
  <c r="F26667" i="1"/>
  <c r="F26633" i="1"/>
  <c r="F26631" i="1"/>
  <c r="F26615" i="1"/>
  <c r="F26602" i="1"/>
  <c r="F26601" i="1"/>
  <c r="F26600" i="1"/>
  <c r="F26599" i="1"/>
  <c r="F26598" i="1"/>
  <c r="F26597" i="1"/>
  <c r="F26596" i="1"/>
  <c r="F26584" i="1"/>
  <c r="F26577" i="1"/>
  <c r="F26576" i="1"/>
  <c r="F26575" i="1"/>
  <c r="F26574" i="1"/>
  <c r="F26565" i="1"/>
  <c r="F26564" i="1"/>
  <c r="F26563" i="1"/>
  <c r="F26562" i="1"/>
  <c r="F26561" i="1"/>
  <c r="F26558" i="1"/>
  <c r="F26554" i="1"/>
  <c r="F26547" i="1"/>
  <c r="F26541" i="1"/>
  <c r="F26525" i="1"/>
  <c r="F26514" i="1"/>
  <c r="F26510" i="1"/>
  <c r="F26453" i="1"/>
  <c r="F26427" i="1"/>
  <c r="F26414" i="1"/>
  <c r="F26372" i="1"/>
  <c r="F26367" i="1"/>
  <c r="F26343" i="1"/>
  <c r="F26189" i="1"/>
  <c r="F26021" i="1"/>
  <c r="F25886" i="1"/>
  <c r="F25880" i="1"/>
  <c r="F25757" i="1"/>
  <c r="F25659" i="1"/>
  <c r="F25486" i="1"/>
  <c r="F25477" i="1"/>
  <c r="F25461" i="1"/>
  <c r="F25453" i="1"/>
  <c r="F25426" i="1"/>
  <c r="F25414" i="1"/>
  <c r="F25281" i="1"/>
  <c r="F25149" i="1"/>
  <c r="F25055" i="1"/>
  <c r="F24936" i="1"/>
  <c r="F24935" i="1"/>
  <c r="F24915" i="1"/>
  <c r="F24851" i="1"/>
  <c r="F24447" i="1"/>
  <c r="F24413" i="1"/>
  <c r="F24213" i="1"/>
  <c r="F23892" i="1"/>
  <c r="F23888" i="1"/>
  <c r="F23864" i="1"/>
  <c r="F23850" i="1"/>
  <c r="F23746" i="1"/>
  <c r="F23523" i="1"/>
  <c r="F23522" i="1"/>
  <c r="F23510" i="1"/>
  <c r="F23433" i="1"/>
  <c r="F23366" i="1"/>
  <c r="F23126" i="1"/>
  <c r="F22646" i="1"/>
  <c r="F21853" i="1"/>
  <c r="F21767" i="1"/>
  <c r="F21686" i="1"/>
  <c r="F21669" i="1"/>
  <c r="F21539" i="1"/>
  <c r="F20893" i="1"/>
  <c r="F19858" i="1"/>
  <c r="F19631" i="1"/>
  <c r="F19549" i="1"/>
  <c r="F19465" i="1"/>
  <c r="F19182" i="1"/>
  <c r="F18925" i="1"/>
  <c r="F18457" i="1"/>
  <c r="F18053" i="1"/>
  <c r="F17537" i="1"/>
  <c r="F17300" i="1"/>
  <c r="F17298" i="1"/>
  <c r="F17296" i="1"/>
  <c r="F16827" i="1"/>
  <c r="F16783" i="1"/>
  <c r="F16616" i="1"/>
  <c r="F16605" i="1"/>
  <c r="F16551" i="1"/>
  <c r="F16510" i="1"/>
  <c r="F16501" i="1"/>
  <c r="F16495" i="1"/>
  <c r="F16490" i="1"/>
  <c r="F16488" i="1"/>
  <c r="F16486" i="1"/>
  <c r="F16445" i="1"/>
  <c r="F16443" i="1"/>
  <c r="F16437" i="1"/>
  <c r="F16429" i="1"/>
  <c r="F16421" i="1"/>
  <c r="F16414" i="1"/>
  <c r="F16324" i="1"/>
  <c r="F16292" i="1"/>
  <c r="F16282" i="1"/>
  <c r="F16153" i="1"/>
  <c r="F16035" i="1"/>
  <c r="F15977" i="1"/>
  <c r="F15935" i="1"/>
  <c r="F15833" i="1"/>
  <c r="F15829" i="1"/>
  <c r="F15806" i="1"/>
  <c r="F15802" i="1"/>
  <c r="F15777" i="1"/>
  <c r="F15296" i="1"/>
  <c r="F14962" i="1"/>
  <c r="F14323" i="1"/>
  <c r="F13758" i="1"/>
  <c r="F13622" i="1"/>
  <c r="F12464" i="1"/>
  <c r="F12005" i="1"/>
  <c r="F10801" i="1"/>
  <c r="F9446" i="1"/>
  <c r="F8599" i="1"/>
  <c r="F7544" i="1"/>
  <c r="F7506" i="1"/>
  <c r="F7451" i="1"/>
  <c r="F6624" i="1"/>
  <c r="F6012" i="1"/>
  <c r="F5985" i="1"/>
  <c r="F5880" i="1"/>
  <c r="F5468" i="1"/>
  <c r="F3946" i="1"/>
  <c r="F3880" i="1"/>
  <c r="F3878" i="1"/>
  <c r="F3876" i="1"/>
  <c r="F3778" i="1"/>
  <c r="F3647" i="1"/>
  <c r="F3518" i="1"/>
  <c r="F2243" i="1"/>
  <c r="F2154" i="1"/>
  <c r="F1339" i="1"/>
  <c r="F1331" i="1"/>
  <c r="F862" i="1"/>
  <c r="F760" i="1"/>
  <c r="F406" i="1"/>
  <c r="F81" i="1"/>
  <c r="F54" i="1"/>
  <c r="F35636" i="1"/>
  <c r="F36521" i="1"/>
  <c r="F35438" i="1"/>
  <c r="F35422" i="1"/>
  <c r="F35357" i="1"/>
  <c r="F35232" i="1"/>
  <c r="F34671" i="1"/>
  <c r="F31588" i="1"/>
  <c r="F31573" i="1"/>
  <c r="F31475" i="1"/>
  <c r="F31105" i="1"/>
  <c r="F31069" i="1"/>
  <c r="F27482" i="1"/>
  <c r="F27435" i="1"/>
  <c r="F27388" i="1"/>
  <c r="F27355" i="1"/>
  <c r="F26980" i="1"/>
  <c r="F26978" i="1"/>
  <c r="F26913" i="1"/>
  <c r="F26704" i="1"/>
  <c r="F26694" i="1"/>
  <c r="F26693" i="1"/>
  <c r="F26201" i="1"/>
  <c r="F25455" i="1"/>
  <c r="F25170" i="1"/>
  <c r="F25168" i="1"/>
  <c r="F25118" i="1"/>
  <c r="F24547" i="1"/>
  <c r="F24153" i="1"/>
  <c r="F24054" i="1"/>
  <c r="F23894" i="1"/>
  <c r="F23783" i="1"/>
  <c r="F23738" i="1"/>
  <c r="F18701" i="1"/>
  <c r="F18352" i="1"/>
  <c r="F18267" i="1"/>
  <c r="F18260" i="1"/>
  <c r="F18248" i="1"/>
  <c r="F16286" i="1"/>
  <c r="F16271" i="1"/>
  <c r="F15757" i="1"/>
  <c r="F13074" i="1"/>
  <c r="F11239" i="1"/>
  <c r="F10811" i="1"/>
  <c r="F10596" i="1"/>
  <c r="F9938" i="1"/>
  <c r="F9356" i="1"/>
  <c r="F7933" i="1"/>
  <c r="F7884" i="1"/>
  <c r="F7880" i="1"/>
  <c r="F7824" i="1"/>
  <c r="F7340" i="1"/>
  <c r="F6540" i="1"/>
  <c r="F6253" i="1"/>
  <c r="F2381" i="1"/>
  <c r="F1144" i="1"/>
  <c r="F1142" i="1"/>
  <c r="F656" i="1"/>
  <c r="F10835" i="1"/>
  <c r="F36511" i="1"/>
  <c r="F35068" i="1"/>
  <c r="F34857" i="1"/>
  <c r="F33449" i="1"/>
  <c r="F32946" i="1"/>
  <c r="F29715" i="1"/>
  <c r="F28660" i="1"/>
  <c r="F28131" i="1"/>
  <c r="F27428" i="1"/>
  <c r="F27394" i="1"/>
  <c r="F27294" i="1"/>
  <c r="F27252" i="1"/>
  <c r="F26871" i="1"/>
  <c r="F24235" i="1"/>
  <c r="F23962" i="1"/>
  <c r="F23960" i="1"/>
  <c r="F23341" i="1"/>
  <c r="F22971" i="1"/>
  <c r="F19662" i="1"/>
  <c r="F19541" i="1"/>
  <c r="F19086" i="1"/>
  <c r="F16049" i="1"/>
  <c r="F13782" i="1"/>
  <c r="F9980" i="1"/>
  <c r="F9975" i="1"/>
  <c r="F9335" i="1"/>
  <c r="F7655" i="1"/>
  <c r="F6868" i="1"/>
  <c r="F6865" i="1"/>
  <c r="F6845" i="1"/>
  <c r="F6266" i="1"/>
  <c r="F4317" i="1"/>
  <c r="F4314" i="1"/>
  <c r="F688" i="1"/>
  <c r="F36585" i="1"/>
  <c r="F36574" i="1"/>
  <c r="F35968" i="1"/>
  <c r="F35916" i="1"/>
  <c r="F35903" i="1"/>
  <c r="F34924" i="1"/>
  <c r="F34638" i="1"/>
  <c r="F34632" i="1"/>
  <c r="F34415" i="1"/>
  <c r="F34312" i="1"/>
  <c r="F33930" i="1"/>
  <c r="F33759" i="1"/>
  <c r="F33196" i="1"/>
  <c r="F26650" i="1"/>
  <c r="F26171" i="1"/>
  <c r="F24665" i="1"/>
  <c r="F18694" i="1"/>
  <c r="F17316" i="1"/>
  <c r="F11430" i="1"/>
  <c r="F8976" i="1"/>
  <c r="F8295" i="1"/>
  <c r="F7496" i="1"/>
  <c r="F6687" i="1"/>
  <c r="F6473" i="1"/>
  <c r="F1000" i="1"/>
  <c r="F36555" i="1"/>
  <c r="F36372" i="1"/>
  <c r="F36127" i="1"/>
  <c r="F36126" i="1"/>
  <c r="F36034" i="1"/>
  <c r="F35563" i="1"/>
  <c r="F34752" i="1"/>
  <c r="F34592" i="1"/>
  <c r="F34417" i="1"/>
  <c r="F34407" i="1"/>
  <c r="F34335" i="1"/>
  <c r="F34334" i="1"/>
  <c r="F34044" i="1"/>
  <c r="F33853" i="1"/>
  <c r="F33818" i="1"/>
  <c r="F33338" i="1"/>
  <c r="F33336" i="1"/>
  <c r="F33303" i="1"/>
  <c r="F33301" i="1"/>
  <c r="F33272" i="1"/>
  <c r="F33261" i="1"/>
  <c r="F33253" i="1"/>
  <c r="F33245" i="1"/>
  <c r="F33232" i="1"/>
  <c r="F31609" i="1"/>
  <c r="F31608" i="1"/>
  <c r="F31607" i="1"/>
  <c r="F31562" i="1"/>
  <c r="F31560" i="1"/>
  <c r="F31551" i="1"/>
  <c r="F31526" i="1"/>
  <c r="F31424" i="1"/>
  <c r="F31395" i="1"/>
  <c r="F31190" i="1"/>
  <c r="F31154" i="1"/>
  <c r="F31129" i="1"/>
  <c r="F31099" i="1"/>
  <c r="F31080" i="1"/>
  <c r="F30442" i="1"/>
  <c r="F30441" i="1"/>
  <c r="F30432" i="1"/>
  <c r="F30431" i="1"/>
  <c r="F30428" i="1"/>
  <c r="F30394" i="1"/>
  <c r="F30275" i="1"/>
  <c r="F30266" i="1"/>
  <c r="F30243" i="1"/>
  <c r="F30091" i="1"/>
  <c r="F30090" i="1"/>
  <c r="F30089" i="1"/>
  <c r="F30016" i="1"/>
  <c r="F29986" i="1"/>
  <c r="F29936" i="1"/>
  <c r="F29934" i="1"/>
  <c r="F29909" i="1"/>
  <c r="F29652" i="1"/>
  <c r="F29625" i="1"/>
  <c r="F29619" i="1"/>
  <c r="F29272" i="1"/>
  <c r="F29007" i="1"/>
  <c r="F28983" i="1"/>
  <c r="F28950" i="1"/>
  <c r="F28930" i="1"/>
  <c r="F28753" i="1"/>
  <c r="F28538" i="1"/>
  <c r="F28449" i="1"/>
  <c r="F28377" i="1"/>
  <c r="F28223" i="1"/>
  <c r="F28205" i="1"/>
  <c r="F28192" i="1"/>
  <c r="F28050" i="1"/>
  <c r="F27671" i="1"/>
  <c r="F27670" i="1"/>
  <c r="F27590" i="1"/>
  <c r="F27546" i="1"/>
  <c r="F27538" i="1"/>
  <c r="F27530" i="1"/>
  <c r="F27497" i="1"/>
  <c r="F27331" i="1"/>
  <c r="F27308" i="1"/>
  <c r="F27292" i="1"/>
  <c r="F27288" i="1"/>
  <c r="F27246" i="1"/>
  <c r="F27245" i="1"/>
  <c r="F27213" i="1"/>
  <c r="F27031" i="1"/>
  <c r="F26759" i="1"/>
  <c r="F26334" i="1"/>
  <c r="F26142" i="1"/>
  <c r="F26131" i="1"/>
  <c r="F26099" i="1"/>
  <c r="F26061" i="1"/>
  <c r="F26039" i="1"/>
  <c r="F25980" i="1"/>
  <c r="F25960" i="1"/>
  <c r="F25909" i="1"/>
  <c r="F25905" i="1"/>
  <c r="F25821" i="1"/>
  <c r="F25814" i="1"/>
  <c r="F25812" i="1"/>
  <c r="F25806" i="1"/>
  <c r="F25805" i="1"/>
  <c r="F25685" i="1"/>
  <c r="F25564" i="1"/>
  <c r="F25560" i="1"/>
  <c r="F25557" i="1"/>
  <c r="F25545" i="1"/>
  <c r="F25498" i="1"/>
  <c r="F25424" i="1"/>
  <c r="F25374" i="1"/>
  <c r="F25371" i="1"/>
  <c r="F25329" i="1"/>
  <c r="F25299" i="1"/>
  <c r="F25298" i="1"/>
  <c r="F25287" i="1"/>
  <c r="F25280" i="1"/>
  <c r="F25245" i="1"/>
  <c r="F25192" i="1"/>
  <c r="F25188" i="1"/>
  <c r="F25176" i="1"/>
  <c r="F25097" i="1"/>
  <c r="F25025" i="1"/>
  <c r="F25009" i="1"/>
  <c r="F24982" i="1"/>
  <c r="F24748" i="1"/>
  <c r="F24747" i="1"/>
  <c r="F24746" i="1"/>
  <c r="F24744" i="1"/>
  <c r="F24743" i="1"/>
  <c r="F24723" i="1"/>
  <c r="F24722" i="1"/>
  <c r="F24713" i="1"/>
  <c r="F24640" i="1"/>
  <c r="F24595" i="1"/>
  <c r="F24593" i="1"/>
  <c r="F24322" i="1"/>
  <c r="F24319" i="1"/>
  <c r="F24131" i="1"/>
  <c r="F24130" i="1"/>
  <c r="F24129" i="1"/>
  <c r="F24127" i="1"/>
  <c r="F24126" i="1"/>
  <c r="F24124" i="1"/>
  <c r="F24122" i="1"/>
  <c r="F24095" i="1"/>
  <c r="F24094" i="1"/>
  <c r="F24085" i="1"/>
  <c r="F23881" i="1"/>
  <c r="F23843" i="1"/>
  <c r="F23833" i="1"/>
  <c r="F23828" i="1"/>
  <c r="F23592" i="1"/>
  <c r="F23586" i="1"/>
  <c r="F23583" i="1"/>
  <c r="F23579" i="1"/>
  <c r="F23536" i="1"/>
  <c r="F23495" i="1"/>
  <c r="F23458" i="1"/>
  <c r="F23271" i="1"/>
  <c r="F22694" i="1"/>
  <c r="F22542" i="1"/>
  <c r="F22148" i="1"/>
  <c r="F22120" i="1"/>
  <c r="F22119" i="1"/>
  <c r="F22108" i="1"/>
  <c r="F22101" i="1"/>
  <c r="F22029" i="1"/>
  <c r="F21763" i="1"/>
  <c r="F21639" i="1"/>
  <c r="F21636" i="1"/>
  <c r="F21571" i="1"/>
  <c r="F21424" i="1"/>
  <c r="F21376" i="1"/>
  <c r="F21120" i="1"/>
  <c r="F20773" i="1"/>
  <c r="F20717" i="1"/>
  <c r="F20432" i="1"/>
  <c r="F20421" i="1"/>
  <c r="F20096" i="1"/>
  <c r="F20095" i="1"/>
  <c r="F19888" i="1"/>
  <c r="F19867" i="1"/>
  <c r="F19785" i="1"/>
  <c r="F19736" i="1"/>
  <c r="F19733" i="1"/>
  <c r="F19164" i="1"/>
  <c r="F18825" i="1"/>
  <c r="F18770" i="1"/>
  <c r="F18719" i="1"/>
  <c r="F18673" i="1"/>
  <c r="F18646" i="1"/>
  <c r="F18643" i="1"/>
  <c r="F18528" i="1"/>
  <c r="F18524" i="1"/>
  <c r="F18193" i="1"/>
  <c r="F18056" i="1"/>
  <c r="F18013" i="1"/>
  <c r="F18005" i="1"/>
  <c r="F18002" i="1"/>
  <c r="F18000" i="1"/>
  <c r="F17954" i="1"/>
  <c r="F17698" i="1"/>
  <c r="F16847" i="1"/>
  <c r="F16755" i="1"/>
  <c r="F16464" i="1"/>
  <c r="F15750" i="1"/>
  <c r="F15749" i="1"/>
  <c r="F15732" i="1"/>
  <c r="F15717" i="1"/>
  <c r="F15688" i="1"/>
  <c r="F15656" i="1"/>
  <c r="F15608" i="1"/>
  <c r="F15027" i="1"/>
  <c r="F15020" i="1"/>
  <c r="F14935" i="1"/>
  <c r="F14624" i="1"/>
  <c r="F14536" i="1"/>
  <c r="F14334" i="1"/>
  <c r="F14328" i="1"/>
  <c r="F14325" i="1"/>
  <c r="F14181" i="1"/>
  <c r="F13059" i="1"/>
  <c r="F12898" i="1"/>
  <c r="F12805" i="1"/>
  <c r="F12794" i="1"/>
  <c r="F12793" i="1"/>
  <c r="F12787" i="1"/>
  <c r="F12750" i="1"/>
  <c r="F12739" i="1"/>
  <c r="F12714" i="1"/>
  <c r="F12385" i="1"/>
  <c r="F12369" i="1"/>
  <c r="F12208" i="1"/>
  <c r="F11899" i="1"/>
  <c r="F11757" i="1"/>
  <c r="F11266" i="1"/>
  <c r="F11253" i="1"/>
  <c r="F11250" i="1"/>
  <c r="F11236" i="1"/>
  <c r="F11075" i="1"/>
  <c r="F10795" i="1"/>
  <c r="F10607" i="1"/>
  <c r="F9934" i="1"/>
  <c r="F9431" i="1"/>
  <c r="F9429" i="1"/>
  <c r="F9428" i="1"/>
  <c r="F9368" i="1"/>
  <c r="F8941" i="1"/>
  <c r="F8717" i="1"/>
  <c r="F8627" i="1"/>
  <c r="F8626" i="1"/>
  <c r="F8618" i="1"/>
  <c r="F8608" i="1"/>
  <c r="F8578" i="1"/>
  <c r="F8570" i="1"/>
  <c r="F8549" i="1"/>
  <c r="F8473" i="1"/>
  <c r="F8433" i="1"/>
  <c r="F8340" i="1"/>
  <c r="F8187" i="1"/>
  <c r="F8156" i="1"/>
  <c r="F8116" i="1"/>
  <c r="F8100" i="1"/>
  <c r="F7938" i="1"/>
  <c r="F7828" i="1"/>
  <c r="F7518" i="1"/>
  <c r="F6642" i="1"/>
  <c r="F6634" i="1"/>
  <c r="F6439" i="1"/>
  <c r="F6353" i="1"/>
  <c r="F6230" i="1"/>
  <c r="F6224" i="1"/>
  <c r="F6222" i="1"/>
  <c r="F5998" i="1"/>
  <c r="F5993" i="1"/>
  <c r="F5963" i="1"/>
  <c r="F5822" i="1"/>
  <c r="F5820" i="1"/>
  <c r="F5818" i="1"/>
  <c r="F5816" i="1"/>
  <c r="F5814" i="1"/>
  <c r="F5799" i="1"/>
  <c r="F5574" i="1"/>
  <c r="F5175" i="1"/>
  <c r="F5120" i="1"/>
  <c r="F5037" i="1"/>
  <c r="F4783" i="1"/>
  <c r="F4619" i="1"/>
  <c r="F4061" i="1"/>
  <c r="F3956" i="1"/>
  <c r="F3809" i="1"/>
  <c r="F3585" i="1"/>
  <c r="F3558" i="1"/>
  <c r="F3555" i="1"/>
  <c r="F2905" i="1"/>
  <c r="F2380" i="1"/>
  <c r="F2191" i="1"/>
  <c r="F2057" i="1"/>
  <c r="F911" i="1"/>
  <c r="F585" i="1"/>
  <c r="F526" i="1"/>
  <c r="F498" i="1"/>
  <c r="F243" i="1"/>
  <c r="F20375" i="1"/>
  <c r="F36623" i="1"/>
  <c r="F36612" i="1"/>
  <c r="F36611" i="1"/>
  <c r="F36602" i="1"/>
  <c r="F35999" i="1"/>
  <c r="F35991" i="1"/>
  <c r="F35969" i="1"/>
  <c r="F35860" i="1"/>
  <c r="F35838" i="1"/>
  <c r="F35453" i="1"/>
  <c r="F35181" i="1"/>
  <c r="F34934" i="1"/>
  <c r="F34644" i="1"/>
  <c r="F34620" i="1"/>
  <c r="F34260" i="1"/>
  <c r="F34140" i="1"/>
  <c r="F34139" i="1"/>
  <c r="F33720" i="1"/>
  <c r="F33716" i="1"/>
  <c r="F33714" i="1"/>
  <c r="F33383" i="1"/>
  <c r="F30440" i="1"/>
  <c r="F30226" i="1"/>
  <c r="F29548" i="1"/>
  <c r="F28328" i="1"/>
  <c r="F27210" i="1"/>
  <c r="F26624" i="1"/>
  <c r="F26119" i="1"/>
  <c r="F25985" i="1"/>
  <c r="F25853" i="1"/>
  <c r="F24751" i="1"/>
  <c r="F18491" i="1"/>
  <c r="F16396" i="1"/>
  <c r="F13055" i="1"/>
  <c r="F13043" i="1"/>
  <c r="F12668" i="1"/>
  <c r="F12576" i="1"/>
  <c r="F11217" i="1"/>
  <c r="F620" i="1"/>
  <c r="F36149" i="1"/>
  <c r="F35764" i="1"/>
  <c r="F35000" i="1"/>
  <c r="F31738" i="1"/>
  <c r="F31477" i="1"/>
  <c r="F31340" i="1"/>
  <c r="F31220" i="1"/>
  <c r="F31145" i="1"/>
  <c r="F30238" i="1"/>
  <c r="F23704" i="1"/>
  <c r="F23694" i="1"/>
  <c r="F23692" i="1"/>
  <c r="F23334" i="1"/>
  <c r="F16800" i="1"/>
  <c r="F15657" i="1"/>
  <c r="F15349" i="1"/>
  <c r="F14836" i="1"/>
  <c r="F13329" i="1"/>
  <c r="F10156" i="1"/>
  <c r="F9612" i="1"/>
  <c r="F4764" i="1"/>
  <c r="F3083" i="1"/>
  <c r="F2607" i="1"/>
  <c r="F35103" i="1"/>
  <c r="F32389" i="1"/>
  <c r="F30278" i="1"/>
  <c r="F27970" i="1"/>
  <c r="F24540" i="1"/>
  <c r="F24311" i="1"/>
  <c r="F23527" i="1"/>
  <c r="F21982" i="1"/>
  <c r="F20308" i="1"/>
  <c r="F19032" i="1"/>
  <c r="F13812" i="1"/>
  <c r="F13742" i="1"/>
  <c r="F1706" i="1"/>
  <c r="F34823" i="1"/>
  <c r="F32235" i="1"/>
  <c r="F32233" i="1"/>
  <c r="F32229" i="1"/>
  <c r="F31935" i="1"/>
  <c r="F30980" i="1"/>
  <c r="F30819" i="1"/>
  <c r="F30676" i="1"/>
  <c r="F29252" i="1"/>
  <c r="F28891" i="1"/>
  <c r="F26310" i="1"/>
  <c r="F26239" i="1"/>
  <c r="F23431" i="1"/>
  <c r="F22923" i="1"/>
  <c r="F17825" i="1"/>
  <c r="F14826" i="1"/>
  <c r="F14366" i="1"/>
  <c r="F13509" i="1"/>
  <c r="F10541" i="1"/>
  <c r="F10298" i="1"/>
  <c r="F10258" i="1"/>
  <c r="F2816" i="1"/>
  <c r="F2810" i="1"/>
  <c r="F2745" i="1"/>
  <c r="F36381" i="1"/>
  <c r="F35414" i="1"/>
  <c r="F35067" i="1"/>
  <c r="F34675" i="1"/>
  <c r="F34669" i="1"/>
  <c r="F34347" i="1"/>
  <c r="F33895" i="1"/>
  <c r="F33584" i="1"/>
  <c r="F32159" i="1"/>
  <c r="F32116" i="1"/>
  <c r="F32087" i="1"/>
  <c r="F31759" i="1"/>
  <c r="F31642" i="1"/>
  <c r="F31575" i="1"/>
  <c r="F31506" i="1"/>
  <c r="F31398" i="1"/>
  <c r="F31342" i="1"/>
  <c r="F31251" i="1"/>
  <c r="F31204" i="1"/>
  <c r="F31198" i="1"/>
  <c r="F31127" i="1"/>
  <c r="F31102" i="1"/>
  <c r="F31092" i="1"/>
  <c r="F31075" i="1"/>
  <c r="F30858" i="1"/>
  <c r="F30481" i="1"/>
  <c r="F28881" i="1"/>
  <c r="F26830" i="1"/>
  <c r="F26828" i="1"/>
  <c r="F26817" i="1"/>
  <c r="F26816" i="1"/>
  <c r="F26812" i="1"/>
  <c r="F26811" i="1"/>
  <c r="F26801" i="1"/>
  <c r="F26796" i="1"/>
  <c r="F26795" i="1"/>
  <c r="F26794" i="1"/>
  <c r="F26790" i="1"/>
  <c r="F26646" i="1"/>
  <c r="F26546" i="1"/>
  <c r="F26515" i="1"/>
  <c r="F26494" i="1"/>
  <c r="F26408" i="1"/>
  <c r="F26121" i="1"/>
  <c r="F25903" i="1"/>
  <c r="F25643" i="1"/>
  <c r="F25627" i="1"/>
  <c r="F23705" i="1"/>
  <c r="F23646" i="1"/>
  <c r="F23643" i="1"/>
  <c r="F23634" i="1"/>
  <c r="F23427" i="1"/>
  <c r="F23348" i="1"/>
  <c r="F22959" i="1"/>
  <c r="F21665" i="1"/>
  <c r="F21136" i="1"/>
  <c r="F19897" i="1"/>
  <c r="F19641" i="1"/>
  <c r="F19527" i="1"/>
  <c r="F19432" i="1"/>
  <c r="F19239" i="1"/>
  <c r="F18982" i="1"/>
  <c r="F17925" i="1"/>
  <c r="F16795" i="1"/>
  <c r="F15681" i="1"/>
  <c r="F15596" i="1"/>
  <c r="F15583" i="1"/>
  <c r="F15183" i="1"/>
  <c r="F14412" i="1"/>
  <c r="F14348" i="1"/>
  <c r="F14184" i="1"/>
  <c r="F14133" i="1"/>
  <c r="F13362" i="1"/>
  <c r="F13285" i="1"/>
  <c r="F13184" i="1"/>
  <c r="F12902" i="1"/>
  <c r="F11912" i="1"/>
  <c r="F11216" i="1"/>
  <c r="F10476" i="1"/>
  <c r="F10363" i="1"/>
  <c r="F10104" i="1"/>
  <c r="F10027" i="1"/>
  <c r="F9851" i="1"/>
  <c r="F9628" i="1"/>
  <c r="F9614" i="1"/>
  <c r="F9284" i="1"/>
  <c r="F9007" i="1"/>
  <c r="F8082" i="1"/>
  <c r="F6620" i="1"/>
  <c r="F6171" i="1"/>
  <c r="F5991" i="1"/>
  <c r="F5888" i="1"/>
  <c r="F5886" i="1"/>
  <c r="F5658" i="1"/>
  <c r="F4915" i="1"/>
  <c r="F4774" i="1"/>
  <c r="F4280" i="1"/>
  <c r="F4115" i="1"/>
  <c r="F3934" i="1"/>
  <c r="F2644" i="1"/>
  <c r="F1062" i="1"/>
  <c r="F638" i="1"/>
  <c r="F626" i="1"/>
  <c r="F399" i="1"/>
  <c r="F36324" i="1"/>
  <c r="F36321" i="1"/>
  <c r="F36167" i="1"/>
  <c r="F35826" i="1"/>
  <c r="F35816" i="1"/>
  <c r="F35693" i="1"/>
  <c r="F35687" i="1"/>
  <c r="F35575" i="1"/>
  <c r="F35384" i="1"/>
  <c r="F35383" i="1"/>
  <c r="F35374" i="1"/>
  <c r="F35301" i="1"/>
  <c r="F35226" i="1"/>
  <c r="F35219" i="1"/>
  <c r="F35216" i="1"/>
  <c r="F35100" i="1"/>
  <c r="F35044" i="1"/>
  <c r="F34865" i="1"/>
  <c r="F34771" i="1"/>
  <c r="F34722" i="1"/>
  <c r="F34509" i="1"/>
  <c r="F34505" i="1"/>
  <c r="F34485" i="1"/>
  <c r="F34465" i="1"/>
  <c r="F34464" i="1"/>
  <c r="F34364" i="1"/>
  <c r="F34349" i="1"/>
  <c r="F34348" i="1"/>
  <c r="F34344" i="1"/>
  <c r="F34322" i="1"/>
  <c r="F34287" i="1"/>
  <c r="F34254" i="1"/>
  <c r="F34247" i="1"/>
  <c r="F34246" i="1"/>
  <c r="F34234" i="1"/>
  <c r="F34219" i="1"/>
  <c r="F34180" i="1"/>
  <c r="F34132" i="1"/>
  <c r="F34039" i="1"/>
  <c r="F34030" i="1"/>
  <c r="F33980" i="1"/>
  <c r="F33813" i="1"/>
  <c r="F33808" i="1"/>
  <c r="F33796" i="1"/>
  <c r="F33774" i="1"/>
  <c r="F33773" i="1"/>
  <c r="F33758" i="1"/>
  <c r="F33748" i="1"/>
  <c r="F33741" i="1"/>
  <c r="F33740" i="1"/>
  <c r="F33729" i="1"/>
  <c r="F33711" i="1"/>
  <c r="F33172" i="1"/>
  <c r="F33103" i="1"/>
  <c r="F33102" i="1"/>
  <c r="F33089" i="1"/>
  <c r="F33087" i="1"/>
  <c r="F33039" i="1"/>
  <c r="F32954" i="1"/>
  <c r="F32855" i="1"/>
  <c r="F32853" i="1"/>
  <c r="F32809" i="1"/>
  <c r="F32807" i="1"/>
  <c r="F32778" i="1"/>
  <c r="F32443" i="1"/>
  <c r="F32427" i="1"/>
  <c r="F32420" i="1"/>
  <c r="F32402" i="1"/>
  <c r="F32400" i="1"/>
  <c r="F32395" i="1"/>
  <c r="F32388" i="1"/>
  <c r="F32383" i="1"/>
  <c r="F32353" i="1"/>
  <c r="F32302" i="1"/>
  <c r="F32288" i="1"/>
  <c r="F32228" i="1"/>
  <c r="F32227" i="1"/>
  <c r="F32224" i="1"/>
  <c r="F32223" i="1"/>
  <c r="F32221" i="1"/>
  <c r="F32189" i="1"/>
  <c r="F32181" i="1"/>
  <c r="F32165" i="1"/>
  <c r="F32151" i="1"/>
  <c r="F32147" i="1"/>
  <c r="F32141" i="1"/>
  <c r="F32139" i="1"/>
  <c r="F32136" i="1"/>
  <c r="F32135" i="1"/>
  <c r="F32133" i="1"/>
  <c r="F32132" i="1"/>
  <c r="F32131" i="1"/>
  <c r="F32106" i="1"/>
  <c r="F32105" i="1"/>
  <c r="F32058" i="1"/>
  <c r="F32004" i="1"/>
  <c r="F31982" i="1"/>
  <c r="F31945" i="1"/>
  <c r="F31903" i="1"/>
  <c r="F31893" i="1"/>
  <c r="F31889" i="1"/>
  <c r="F31867" i="1"/>
  <c r="F31776" i="1"/>
  <c r="F31752" i="1"/>
  <c r="F31747" i="1"/>
  <c r="F31745" i="1"/>
  <c r="F31718" i="1"/>
  <c r="F31702" i="1"/>
  <c r="F31002" i="1"/>
  <c r="F30865" i="1"/>
  <c r="F30767" i="1"/>
  <c r="F30763" i="1"/>
  <c r="F30747" i="1"/>
  <c r="F30704" i="1"/>
  <c r="F30646" i="1"/>
  <c r="F30390" i="1"/>
  <c r="F30325" i="1"/>
  <c r="F30305" i="1"/>
  <c r="F30265" i="1"/>
  <c r="F30240" i="1"/>
  <c r="F30157" i="1"/>
  <c r="F29973" i="1"/>
  <c r="F29938" i="1"/>
  <c r="F29915" i="1"/>
  <c r="F29896" i="1"/>
  <c r="F29817" i="1"/>
  <c r="F29808" i="1"/>
  <c r="F29797" i="1"/>
  <c r="F29647" i="1"/>
  <c r="F29149" i="1"/>
  <c r="F28404" i="1"/>
  <c r="F28277" i="1"/>
  <c r="F28273" i="1"/>
  <c r="F28272" i="1"/>
  <c r="F28271" i="1"/>
  <c r="F28234" i="1"/>
  <c r="F28120" i="1"/>
  <c r="F28090" i="1"/>
  <c r="F27694" i="1"/>
  <c r="F27693" i="1"/>
  <c r="F27687" i="1"/>
  <c r="F27678" i="1"/>
  <c r="F27652" i="1"/>
  <c r="F27592" i="1"/>
  <c r="F27469" i="1"/>
  <c r="F27120" i="1"/>
  <c r="F27044" i="1"/>
  <c r="F27030" i="1"/>
  <c r="F26681" i="1"/>
  <c r="F26551" i="1"/>
  <c r="F26533" i="1"/>
  <c r="F26513" i="1"/>
  <c r="F26489" i="1"/>
  <c r="F26474" i="1"/>
  <c r="F26423" i="1"/>
  <c r="F26393" i="1"/>
  <c r="F26384" i="1"/>
  <c r="F26376" i="1"/>
  <c r="F26312" i="1"/>
  <c r="F26231" i="1"/>
  <c r="F26095" i="1"/>
  <c r="F26079" i="1"/>
  <c r="F26037" i="1"/>
  <c r="F25934" i="1"/>
  <c r="F25671" i="1"/>
  <c r="F25654" i="1"/>
  <c r="F25497" i="1"/>
  <c r="F25491" i="1"/>
  <c r="F25342" i="1"/>
  <c r="F24895" i="1"/>
  <c r="F24574" i="1"/>
  <c r="F24176" i="1"/>
  <c r="F23702" i="1"/>
  <c r="F23700" i="1"/>
  <c r="F23619" i="1"/>
  <c r="F23552" i="1"/>
  <c r="F23508" i="1"/>
  <c r="F23450" i="1"/>
  <c r="F23373" i="1"/>
  <c r="F23372" i="1"/>
  <c r="F23362" i="1"/>
  <c r="F23289" i="1"/>
  <c r="F23193" i="1"/>
  <c r="F23043" i="1"/>
  <c r="F23036" i="1"/>
  <c r="F22977" i="1"/>
  <c r="F22967" i="1"/>
  <c r="F22951" i="1"/>
  <c r="F22883" i="1"/>
  <c r="F22833" i="1"/>
  <c r="F22709" i="1"/>
  <c r="F22636" i="1"/>
  <c r="F22548" i="1"/>
  <c r="F22518" i="1"/>
  <c r="F22406" i="1"/>
  <c r="F22371" i="1"/>
  <c r="F22364" i="1"/>
  <c r="F22293" i="1"/>
  <c r="F22250" i="1"/>
  <c r="F22081" i="1"/>
  <c r="F22073" i="1"/>
  <c r="F22059" i="1"/>
  <c r="F21895" i="1"/>
  <c r="F21891" i="1"/>
  <c r="F21889" i="1"/>
  <c r="F21857" i="1"/>
  <c r="F21820" i="1"/>
  <c r="F21698" i="1"/>
  <c r="F21660" i="1"/>
  <c r="F21630" i="1"/>
  <c r="F21620" i="1"/>
  <c r="F21609" i="1"/>
  <c r="F21583" i="1"/>
  <c r="F21577" i="1"/>
  <c r="F21569" i="1"/>
  <c r="F21551" i="1"/>
  <c r="F21541" i="1"/>
  <c r="F21535" i="1"/>
  <c r="F21532" i="1"/>
  <c r="F21522" i="1"/>
  <c r="F21520" i="1"/>
  <c r="F21482" i="1"/>
  <c r="F21480" i="1"/>
  <c r="F21467" i="1"/>
  <c r="F21444" i="1"/>
  <c r="F21434" i="1"/>
  <c r="F21392" i="1"/>
  <c r="F21352" i="1"/>
  <c r="F21344" i="1"/>
  <c r="F21318" i="1"/>
  <c r="F21300" i="1"/>
  <c r="F21288" i="1"/>
  <c r="F21277" i="1"/>
  <c r="F21269" i="1"/>
  <c r="F21173" i="1"/>
  <c r="F21165" i="1"/>
  <c r="F21146" i="1"/>
  <c r="F21081" i="1"/>
  <c r="F21043" i="1"/>
  <c r="F21013" i="1"/>
  <c r="F20842" i="1"/>
  <c r="F20832" i="1"/>
  <c r="F20810" i="1"/>
  <c r="F20718" i="1"/>
  <c r="F20661" i="1"/>
  <c r="F20311" i="1"/>
  <c r="F20244" i="1"/>
  <c r="F20123" i="1"/>
  <c r="F20116" i="1"/>
  <c r="F20017" i="1"/>
  <c r="F19869" i="1"/>
  <c r="F19543" i="1"/>
  <c r="F19459" i="1"/>
  <c r="F19148" i="1"/>
  <c r="F19149" i="1"/>
  <c r="F18943" i="1"/>
  <c r="F18752" i="1"/>
  <c r="F18744" i="1"/>
  <c r="F18489" i="1"/>
  <c r="F18487" i="1"/>
  <c r="F18452" i="1"/>
  <c r="F18453" i="1"/>
  <c r="F18424" i="1"/>
  <c r="F18377" i="1"/>
  <c r="F18085" i="1"/>
  <c r="F18036" i="1"/>
  <c r="F17679" i="1"/>
  <c r="F17041" i="1"/>
  <c r="F16958" i="1"/>
  <c r="F16644" i="1"/>
  <c r="F16344" i="1"/>
  <c r="F16208" i="1"/>
  <c r="F16157" i="1"/>
  <c r="F16127" i="1"/>
  <c r="F16114" i="1"/>
  <c r="F15795" i="1"/>
  <c r="F15659" i="1"/>
  <c r="F15623" i="1"/>
  <c r="F15621" i="1"/>
  <c r="F15620" i="1"/>
  <c r="F15615" i="1"/>
  <c r="F15520" i="1"/>
  <c r="F15408" i="1"/>
  <c r="F15362" i="1"/>
  <c r="F15353" i="1"/>
  <c r="F15335" i="1"/>
  <c r="F15331" i="1"/>
  <c r="F15324" i="1"/>
  <c r="F15316" i="1"/>
  <c r="F15304" i="1"/>
  <c r="F15274" i="1"/>
  <c r="F15264" i="1"/>
  <c r="F15247" i="1"/>
  <c r="F15195" i="1"/>
  <c r="F15167" i="1"/>
  <c r="F15037" i="1"/>
  <c r="F15011" i="1"/>
  <c r="F14930" i="1"/>
  <c r="F14865" i="1"/>
  <c r="F14376" i="1"/>
  <c r="F14367" i="1"/>
  <c r="F14356" i="1"/>
  <c r="F14342" i="1"/>
  <c r="F14340" i="1"/>
  <c r="F14263" i="1"/>
  <c r="F14101" i="1"/>
  <c r="F13962" i="1"/>
  <c r="F13933" i="1"/>
  <c r="F13802" i="1"/>
  <c r="F13774" i="1"/>
  <c r="F13273" i="1"/>
  <c r="F13230" i="1"/>
  <c r="F13220" i="1"/>
  <c r="F13217" i="1"/>
  <c r="F12888" i="1"/>
  <c r="F12889" i="1"/>
  <c r="F12886" i="1"/>
  <c r="F12880" i="1"/>
  <c r="F12544" i="1"/>
  <c r="F12540" i="1"/>
  <c r="F12315" i="1"/>
  <c r="F11854" i="1"/>
  <c r="F11770" i="1"/>
  <c r="F11725" i="1"/>
  <c r="F11539" i="1"/>
  <c r="F11540" i="1"/>
  <c r="F11537" i="1"/>
  <c r="F11175" i="1"/>
  <c r="F11107" i="1"/>
  <c r="F10633" i="1"/>
  <c r="F10634" i="1"/>
  <c r="F10587" i="1"/>
  <c r="F10542" i="1"/>
  <c r="F10543" i="1"/>
  <c r="F10544" i="1"/>
  <c r="F10431" i="1"/>
  <c r="F10432" i="1"/>
  <c r="F10433" i="1"/>
  <c r="F10413" i="1"/>
  <c r="F10414" i="1"/>
  <c r="F10370" i="1"/>
  <c r="F10322" i="1"/>
  <c r="F10323" i="1"/>
  <c r="F10311" i="1"/>
  <c r="F10302" i="1"/>
  <c r="F10264" i="1"/>
  <c r="F10242" i="1"/>
  <c r="F10226" i="1"/>
  <c r="F10214" i="1"/>
  <c r="F10190" i="1"/>
  <c r="F10191" i="1"/>
  <c r="F10178" i="1"/>
  <c r="F10179" i="1"/>
  <c r="F10150" i="1"/>
  <c r="F10144" i="1"/>
  <c r="F10133" i="1"/>
  <c r="F10122" i="1"/>
  <c r="F10114" i="1"/>
  <c r="F10044" i="1"/>
  <c r="F10034" i="1"/>
  <c r="F9852" i="1"/>
  <c r="F9842" i="1"/>
  <c r="F9836" i="1"/>
  <c r="F9812" i="1"/>
  <c r="F9813" i="1"/>
  <c r="F9814" i="1"/>
  <c r="F9727" i="1"/>
  <c r="F9728" i="1"/>
  <c r="F9689" i="1"/>
  <c r="F9635" i="1"/>
  <c r="F9551" i="1"/>
  <c r="F9546" i="1"/>
  <c r="F9382" i="1"/>
  <c r="F9364" i="1"/>
  <c r="F9011" i="1"/>
  <c r="F8663" i="1"/>
  <c r="F8088" i="1"/>
  <c r="F7959" i="1"/>
  <c r="F7784" i="1"/>
  <c r="F7720" i="1"/>
  <c r="F7443" i="1"/>
  <c r="F7440" i="1"/>
  <c r="F7285" i="1"/>
  <c r="F6715" i="1"/>
  <c r="F6708" i="1"/>
  <c r="F6466" i="1"/>
  <c r="F6445" i="1"/>
  <c r="F6206" i="1"/>
  <c r="F6199" i="1"/>
  <c r="F6178" i="1"/>
  <c r="F6163" i="1"/>
  <c r="F6136" i="1"/>
  <c r="F6132" i="1"/>
  <c r="F6128" i="1"/>
  <c r="F6124" i="1"/>
  <c r="F6122" i="1"/>
  <c r="F6120" i="1"/>
  <c r="F6000" i="1"/>
  <c r="F5983" i="1"/>
  <c r="F5953" i="1"/>
  <c r="F5954" i="1"/>
  <c r="F5955" i="1"/>
  <c r="F5926" i="1"/>
  <c r="F5840" i="1"/>
  <c r="F5841" i="1"/>
  <c r="F5838" i="1"/>
  <c r="F5830" i="1"/>
  <c r="F5783" i="1"/>
  <c r="F5777" i="1"/>
  <c r="F5743" i="1"/>
  <c r="F5660" i="1"/>
  <c r="F5547" i="1"/>
  <c r="F5532" i="1"/>
  <c r="F5426" i="1"/>
  <c r="F5292" i="1"/>
  <c r="F5273" i="1"/>
  <c r="F4827" i="1"/>
  <c r="F4720" i="1"/>
  <c r="F4393" i="1"/>
  <c r="F4171" i="1"/>
  <c r="F4076" i="1"/>
  <c r="F3970" i="1"/>
  <c r="F3666" i="1"/>
  <c r="F3404" i="1"/>
  <c r="F3028" i="1"/>
  <c r="F2953" i="1"/>
  <c r="F2943" i="1"/>
  <c r="F2916" i="1"/>
  <c r="F2649" i="1"/>
  <c r="F2199" i="1"/>
  <c r="F471" i="1"/>
  <c r="F36255" i="1"/>
  <c r="F36527" i="1"/>
  <c r="F36526" i="1"/>
  <c r="F36525" i="1"/>
  <c r="F36524" i="1"/>
  <c r="F36523" i="1"/>
  <c r="F36522" i="1"/>
  <c r="F36472" i="1"/>
  <c r="F36471" i="1"/>
  <c r="F36470" i="1"/>
  <c r="F36469" i="1"/>
  <c r="F36468" i="1"/>
  <c r="F36467" i="1"/>
  <c r="F36466" i="1"/>
  <c r="F36449" i="1"/>
  <c r="F36448" i="1"/>
  <c r="F36447" i="1"/>
  <c r="F36444" i="1"/>
  <c r="F35741" i="1"/>
  <c r="F35392" i="1"/>
  <c r="F34844" i="1"/>
  <c r="F34843" i="1"/>
  <c r="F34842" i="1"/>
  <c r="F34818" i="1"/>
  <c r="F34817" i="1"/>
  <c r="F34816" i="1"/>
  <c r="F34815" i="1"/>
  <c r="F34814" i="1"/>
  <c r="F34813" i="1"/>
  <c r="F34812" i="1"/>
  <c r="F34811" i="1"/>
  <c r="F34735" i="1"/>
  <c r="F33865" i="1"/>
  <c r="F33776" i="1"/>
  <c r="F33704" i="1"/>
  <c r="F33541" i="1"/>
  <c r="F33220" i="1"/>
  <c r="F33219" i="1"/>
  <c r="F33218" i="1"/>
  <c r="F33217" i="1"/>
  <c r="F33216" i="1"/>
  <c r="F33188" i="1"/>
  <c r="F33187" i="1"/>
  <c r="F33184" i="1"/>
  <c r="F33183" i="1"/>
  <c r="F33181" i="1"/>
  <c r="F32952" i="1"/>
  <c r="F32932" i="1"/>
  <c r="F32916" i="1"/>
  <c r="F32884" i="1"/>
  <c r="F32659" i="1"/>
  <c r="F32581" i="1"/>
  <c r="F32519" i="1"/>
  <c r="F32518" i="1"/>
  <c r="F32308" i="1"/>
  <c r="F32265" i="1"/>
  <c r="F32262" i="1"/>
  <c r="F32261" i="1"/>
  <c r="F31393" i="1"/>
  <c r="F31392" i="1"/>
  <c r="F31391" i="1"/>
  <c r="F31125" i="1"/>
  <c r="F31121" i="1"/>
  <c r="F31094" i="1"/>
  <c r="F31091" i="1"/>
  <c r="F31085" i="1"/>
  <c r="F31048" i="1"/>
  <c r="F31040" i="1"/>
  <c r="F30467" i="1"/>
  <c r="F30466" i="1"/>
  <c r="F30465" i="1"/>
  <c r="F30463" i="1"/>
  <c r="F30433" i="1"/>
  <c r="F30249" i="1"/>
  <c r="F30248" i="1"/>
  <c r="F29574" i="1"/>
  <c r="F29572" i="1"/>
  <c r="F29568" i="1"/>
  <c r="F29339" i="1"/>
  <c r="F28772" i="1"/>
  <c r="F28546" i="1"/>
  <c r="F28545" i="1"/>
  <c r="F28544" i="1"/>
  <c r="F28355" i="1"/>
  <c r="F28318" i="1"/>
  <c r="F28316" i="1"/>
  <c r="F28190" i="1"/>
  <c r="F28176" i="1"/>
  <c r="F28102" i="1"/>
  <c r="F28091" i="1"/>
  <c r="F28031" i="1"/>
  <c r="F27978" i="1"/>
  <c r="F27966" i="1"/>
  <c r="F27953" i="1"/>
  <c r="F27951" i="1"/>
  <c r="F27917" i="1"/>
  <c r="F27835" i="1"/>
  <c r="F27817" i="1"/>
  <c r="F27811" i="1"/>
  <c r="F27810" i="1"/>
  <c r="F27719" i="1"/>
  <c r="F27441" i="1"/>
  <c r="F26834" i="1"/>
  <c r="F26689" i="1"/>
  <c r="F26446" i="1"/>
  <c r="F26122" i="1"/>
  <c r="F25943" i="1"/>
  <c r="F25942" i="1"/>
  <c r="F25935" i="1"/>
  <c r="F25925" i="1"/>
  <c r="F25907" i="1"/>
  <c r="F25896" i="1"/>
  <c r="F25895" i="1"/>
  <c r="F25876" i="1"/>
  <c r="F25875" i="1"/>
  <c r="F25874" i="1"/>
  <c r="F25598" i="1"/>
  <c r="F25487" i="1"/>
  <c r="F25334" i="1"/>
  <c r="F25265" i="1"/>
  <c r="F25016" i="1"/>
  <c r="F24941" i="1"/>
  <c r="F24922" i="1"/>
  <c r="F24921" i="1"/>
  <c r="F24920" i="1"/>
  <c r="F24567" i="1"/>
  <c r="F24381" i="1"/>
  <c r="F24376" i="1"/>
  <c r="F24371" i="1"/>
  <c r="F24370" i="1"/>
  <c r="F24369" i="1"/>
  <c r="F24368" i="1"/>
  <c r="F24367" i="1"/>
  <c r="F24358" i="1"/>
  <c r="F24228" i="1"/>
  <c r="F24218" i="1"/>
  <c r="F24216" i="1"/>
  <c r="F24134" i="1"/>
  <c r="F24132" i="1"/>
  <c r="F24037" i="1"/>
  <c r="F24031" i="1"/>
  <c r="F24027" i="1"/>
  <c r="F24018" i="1"/>
  <c r="F23992" i="1"/>
  <c r="F23948" i="1"/>
  <c r="F23947" i="1"/>
  <c r="F23759" i="1"/>
  <c r="F23740" i="1"/>
  <c r="F23303" i="1"/>
  <c r="F23302" i="1"/>
  <c r="F23192" i="1"/>
  <c r="F23189" i="1"/>
  <c r="F23102" i="1"/>
  <c r="F23038" i="1"/>
  <c r="F22998" i="1"/>
  <c r="F22412" i="1"/>
  <c r="F22404" i="1"/>
  <c r="F22396" i="1"/>
  <c r="F22394" i="1"/>
  <c r="F22392" i="1"/>
  <c r="F22389" i="1"/>
  <c r="F22165" i="1"/>
  <c r="F21604" i="1"/>
  <c r="F21000" i="1"/>
  <c r="F20097" i="1"/>
  <c r="F20071" i="1"/>
  <c r="F20070" i="1"/>
  <c r="F20007" i="1"/>
  <c r="F19970" i="1"/>
  <c r="F19960" i="1"/>
  <c r="F19552" i="1"/>
  <c r="F18963" i="1"/>
  <c r="F18623" i="1"/>
  <c r="F18600" i="1"/>
  <c r="F18593" i="1"/>
  <c r="F18345" i="1"/>
  <c r="F18257" i="1"/>
  <c r="F17352" i="1"/>
  <c r="F16859" i="1"/>
  <c r="F16858" i="1"/>
  <c r="F16855" i="1"/>
  <c r="F16846" i="1"/>
  <c r="F16844" i="1"/>
  <c r="F16841" i="1"/>
  <c r="F16840" i="1"/>
  <c r="F16711" i="1"/>
  <c r="F16697" i="1"/>
  <c r="F16696" i="1"/>
  <c r="F16614" i="1"/>
  <c r="F16579" i="1"/>
  <c r="F16383" i="1"/>
  <c r="F16381" i="1"/>
  <c r="F16352" i="1"/>
  <c r="F16336" i="1"/>
  <c r="F16248" i="1"/>
  <c r="F16246" i="1"/>
  <c r="F16084" i="1"/>
  <c r="F16013" i="1"/>
  <c r="F16012" i="1"/>
  <c r="F16011" i="1"/>
  <c r="F16008" i="1"/>
  <c r="F15997" i="1"/>
  <c r="F15933" i="1"/>
  <c r="F15782" i="1"/>
  <c r="F15761" i="1"/>
  <c r="F15760" i="1"/>
  <c r="F15686" i="1"/>
  <c r="F14438" i="1"/>
  <c r="F14432" i="1"/>
  <c r="F14431" i="1"/>
  <c r="F14400" i="1"/>
  <c r="F14257" i="1"/>
  <c r="F14254" i="1"/>
  <c r="F14174" i="1"/>
  <c r="F14067" i="1"/>
  <c r="F13948" i="1"/>
  <c r="F13945" i="1"/>
  <c r="F13581" i="1"/>
  <c r="F13560" i="1"/>
  <c r="F13559" i="1"/>
  <c r="F13396" i="1"/>
  <c r="F13393" i="1"/>
  <c r="F13391" i="1"/>
  <c r="F13384" i="1"/>
  <c r="F13383" i="1"/>
  <c r="F13380" i="1"/>
  <c r="F13376" i="1"/>
  <c r="F13371" i="1"/>
  <c r="F13370" i="1"/>
  <c r="F13069" i="1"/>
  <c r="F12711" i="1"/>
  <c r="F12691" i="1"/>
  <c r="F12685" i="1"/>
  <c r="F12683" i="1"/>
  <c r="F12674" i="1"/>
  <c r="F12672" i="1"/>
  <c r="F12373" i="1"/>
  <c r="F12363" i="1"/>
  <c r="F12307" i="1"/>
  <c r="F12219" i="1"/>
  <c r="F11675" i="1"/>
  <c r="F11495" i="1"/>
  <c r="F11466" i="1"/>
  <c r="F11385" i="1"/>
  <c r="F11380" i="1"/>
  <c r="F11372" i="1"/>
  <c r="F11367" i="1"/>
  <c r="F11352" i="1"/>
  <c r="F11351" i="1"/>
  <c r="F9973" i="1"/>
  <c r="F9896" i="1"/>
  <c r="F8025" i="1"/>
  <c r="F8018" i="1"/>
  <c r="F8015" i="1"/>
  <c r="F8011" i="1"/>
  <c r="F8009" i="1"/>
  <c r="F7670" i="1"/>
  <c r="F7667" i="1"/>
  <c r="F7653" i="1"/>
  <c r="F7531" i="1"/>
  <c r="F7479" i="1"/>
  <c r="F7467" i="1"/>
  <c r="F7437" i="1"/>
  <c r="F7321" i="1"/>
  <c r="F7271" i="1"/>
  <c r="F6937" i="1"/>
  <c r="F6910" i="1"/>
  <c r="F6903" i="1"/>
  <c r="F6893" i="1"/>
  <c r="F6879" i="1"/>
  <c r="F6741" i="1"/>
  <c r="F6739" i="1"/>
  <c r="F6627" i="1"/>
  <c r="F6623" i="1"/>
  <c r="F6407" i="1"/>
  <c r="F6347" i="1"/>
  <c r="F6299" i="1"/>
  <c r="F6293" i="1"/>
  <c r="F6291" i="1"/>
  <c r="F6289" i="1"/>
  <c r="F5685" i="1"/>
  <c r="F5655" i="1"/>
  <c r="F5650" i="1"/>
  <c r="F5648" i="1"/>
  <c r="F5508" i="1"/>
  <c r="F4699" i="1"/>
  <c r="F4698" i="1"/>
  <c r="F4545" i="1"/>
  <c r="F4268" i="1"/>
  <c r="F4266" i="1"/>
  <c r="F4055" i="1"/>
  <c r="F3986" i="1"/>
  <c r="F3643" i="1"/>
  <c r="F3642" i="1"/>
  <c r="F3574" i="1"/>
  <c r="F3571" i="1"/>
  <c r="F2390" i="1"/>
  <c r="F2389" i="1"/>
  <c r="F2387" i="1"/>
  <c r="F2373" i="1"/>
  <c r="F2372" i="1"/>
  <c r="F2346" i="1"/>
  <c r="F2148" i="1"/>
  <c r="F2145" i="1"/>
  <c r="F2064" i="1"/>
  <c r="F1986" i="1"/>
  <c r="F1895" i="1"/>
  <c r="F1638" i="1"/>
  <c r="F1637" i="1"/>
  <c r="F1457" i="1"/>
  <c r="F1448" i="1"/>
  <c r="F1435" i="1"/>
  <c r="F1352" i="1"/>
  <c r="F1350" i="1"/>
  <c r="F1295" i="1"/>
  <c r="F590" i="1"/>
  <c r="F589" i="1"/>
  <c r="F588" i="1"/>
  <c r="F587" i="1"/>
  <c r="F549" i="1"/>
  <c r="F489" i="1"/>
  <c r="F470" i="1"/>
  <c r="F468" i="1"/>
  <c r="F383" i="1"/>
  <c r="F372" i="1"/>
  <c r="F321" i="1"/>
  <c r="F319" i="1"/>
  <c r="F191" i="1"/>
  <c r="F188" i="1"/>
  <c r="F36477" i="1"/>
  <c r="F36460" i="1"/>
  <c r="F36455" i="1"/>
  <c r="F35776" i="1"/>
  <c r="F35771" i="1"/>
  <c r="F35714" i="1"/>
  <c r="F35658" i="1"/>
  <c r="F35574" i="1"/>
  <c r="F35489" i="1"/>
  <c r="F34994" i="1"/>
  <c r="F34708" i="1"/>
  <c r="F34345" i="1"/>
  <c r="F33961" i="1"/>
  <c r="F33887" i="1"/>
  <c r="F33639" i="1"/>
  <c r="F33615" i="1"/>
  <c r="F32756" i="1"/>
  <c r="F32684" i="1"/>
  <c r="F32250" i="1"/>
  <c r="F32207" i="1"/>
  <c r="F32128" i="1"/>
  <c r="F32082" i="1"/>
  <c r="F31986" i="1"/>
  <c r="F31946" i="1"/>
  <c r="F31899" i="1"/>
  <c r="F31866" i="1"/>
  <c r="F31811" i="1"/>
  <c r="F31780" i="1"/>
  <c r="F31426" i="1"/>
  <c r="F30860" i="1"/>
  <c r="F30667" i="1"/>
  <c r="F30617" i="1"/>
  <c r="F30478" i="1"/>
  <c r="F29217" i="1"/>
  <c r="F29167" i="1"/>
  <c r="F29111" i="1"/>
  <c r="F29092" i="1"/>
  <c r="F29049" i="1"/>
  <c r="F29024" i="1"/>
  <c r="F28960" i="1"/>
  <c r="F28924" i="1"/>
  <c r="F28577" i="1"/>
  <c r="F28007" i="1"/>
  <c r="F27740" i="1"/>
  <c r="F27689" i="1"/>
  <c r="F23352" i="1"/>
  <c r="F23231" i="1"/>
  <c r="F23230" i="1"/>
  <c r="F23174" i="1"/>
  <c r="F22904" i="1"/>
  <c r="F22816" i="1"/>
  <c r="F22818" i="1"/>
  <c r="F22466" i="1"/>
  <c r="F22457" i="1"/>
  <c r="F21775" i="1"/>
  <c r="F21031" i="1"/>
  <c r="F20708" i="1"/>
  <c r="F19571" i="1"/>
  <c r="F19504" i="1"/>
  <c r="F19433" i="1"/>
  <c r="F19386" i="1"/>
  <c r="F19295" i="1"/>
  <c r="F16532" i="1"/>
  <c r="F16370" i="1"/>
  <c r="F16358" i="1"/>
  <c r="F15861" i="1"/>
  <c r="F15697" i="1"/>
  <c r="F15696" i="1"/>
  <c r="F15693" i="1"/>
  <c r="F15426" i="1"/>
  <c r="F15147" i="1"/>
  <c r="F14820" i="1"/>
  <c r="F14751" i="1"/>
  <c r="F14406" i="1"/>
  <c r="F14282" i="1"/>
  <c r="F13919" i="1"/>
  <c r="F13880" i="1"/>
  <c r="F13864" i="1"/>
  <c r="F13840" i="1"/>
  <c r="F13715" i="1"/>
  <c r="F13694" i="1"/>
  <c r="F13683" i="1"/>
  <c r="F12934" i="1"/>
  <c r="F12904" i="1"/>
  <c r="F12582" i="1"/>
  <c r="F11955" i="1"/>
  <c r="F11920" i="1"/>
  <c r="F11341" i="1"/>
  <c r="F11326" i="1"/>
  <c r="F11325" i="1"/>
  <c r="F11301" i="1"/>
  <c r="F11288" i="1"/>
  <c r="F11168" i="1"/>
  <c r="F9755" i="1"/>
  <c r="F9647" i="1"/>
  <c r="F8849" i="1"/>
  <c r="F8809" i="1"/>
  <c r="F8741" i="1"/>
  <c r="F8723" i="1"/>
  <c r="F7796" i="1"/>
  <c r="F4702" i="1"/>
  <c r="F4557" i="1"/>
  <c r="F3354" i="1"/>
  <c r="F2997" i="1"/>
  <c r="F2989" i="1"/>
  <c r="F2888" i="1"/>
  <c r="F2886" i="1"/>
  <c r="F2884" i="1"/>
  <c r="F2882" i="1"/>
  <c r="F2868" i="1"/>
  <c r="F2615" i="1"/>
  <c r="F36150" i="1"/>
  <c r="F35071" i="1"/>
  <c r="F33962" i="1"/>
  <c r="F33749" i="1"/>
  <c r="F32176" i="1"/>
  <c r="F31761" i="1"/>
  <c r="F31708" i="1"/>
  <c r="F29004" i="1"/>
  <c r="F27727" i="1"/>
  <c r="F27723" i="1"/>
  <c r="F26752" i="1"/>
  <c r="F23082" i="1"/>
  <c r="F21476" i="1"/>
  <c r="F20617" i="1"/>
  <c r="F13896" i="1"/>
  <c r="F10303" i="1"/>
  <c r="F4278" i="1"/>
  <c r="F3183" i="1"/>
  <c r="F926" i="1"/>
  <c r="F35908" i="1"/>
  <c r="F35840" i="1"/>
  <c r="F35172" i="1"/>
  <c r="F29834" i="1"/>
  <c r="F3795" i="1"/>
  <c r="F32645" i="1"/>
  <c r="F29821" i="1"/>
  <c r="F28446" i="1"/>
  <c r="F26492" i="1"/>
  <c r="F22720" i="1"/>
  <c r="F21954" i="1"/>
  <c r="F19082" i="1"/>
  <c r="F15932" i="1"/>
  <c r="F15845" i="1"/>
  <c r="F13986" i="1"/>
  <c r="F8098" i="1"/>
  <c r="F23637" i="1"/>
  <c r="F23239" i="1"/>
  <c r="F23234" i="1"/>
  <c r="F14150" i="1"/>
  <c r="F10997" i="1"/>
  <c r="F10987" i="1"/>
  <c r="F10969" i="1"/>
  <c r="F10950" i="1"/>
  <c r="F10943" i="1"/>
  <c r="F10910" i="1"/>
  <c r="F10895" i="1"/>
  <c r="F10886" i="1"/>
  <c r="F10857" i="1"/>
  <c r="F10853" i="1"/>
  <c r="F36228" i="1"/>
  <c r="F36090" i="1"/>
  <c r="F35796" i="1"/>
  <c r="F35145" i="1"/>
  <c r="F34618" i="1"/>
  <c r="F34601" i="1"/>
  <c r="F34473" i="1"/>
  <c r="F34384" i="1"/>
  <c r="F34383" i="1"/>
  <c r="F34309" i="1"/>
  <c r="F34308" i="1"/>
  <c r="F34235" i="1"/>
  <c r="F33033" i="1"/>
  <c r="F33006" i="1"/>
  <c r="F32953" i="1"/>
  <c r="F32831" i="1"/>
  <c r="F32779" i="1"/>
  <c r="F32697" i="1"/>
  <c r="F32691" i="1"/>
  <c r="F32685" i="1"/>
  <c r="F32642" i="1"/>
  <c r="F32509" i="1"/>
  <c r="F32431" i="1"/>
  <c r="F32418" i="1"/>
  <c r="F32274" i="1"/>
  <c r="F32249" i="1"/>
  <c r="F32248" i="1"/>
  <c r="F32247" i="1"/>
  <c r="F32146" i="1"/>
  <c r="F31923" i="1"/>
  <c r="F31917" i="1"/>
  <c r="F31892" i="1"/>
  <c r="F31649" i="1"/>
  <c r="F31011" i="1"/>
  <c r="F30905" i="1"/>
  <c r="F30873" i="1"/>
  <c r="F30808" i="1"/>
  <c r="F30745" i="1"/>
  <c r="F30718" i="1"/>
  <c r="F30600" i="1"/>
  <c r="F30531" i="1"/>
  <c r="F30493" i="1"/>
  <c r="F30160" i="1"/>
  <c r="F30060" i="1"/>
  <c r="F29753" i="1"/>
  <c r="F29720" i="1"/>
  <c r="F29700" i="1"/>
  <c r="F29023" i="1"/>
  <c r="F29022" i="1"/>
  <c r="F28875" i="1"/>
  <c r="F28874" i="1"/>
  <c r="F28858" i="1"/>
  <c r="F28797" i="1"/>
  <c r="F28491" i="1"/>
  <c r="F28476" i="1"/>
  <c r="F28199" i="1"/>
  <c r="F28198" i="1"/>
  <c r="F28140" i="1"/>
  <c r="F27630" i="1"/>
  <c r="F26789" i="1"/>
  <c r="F26739" i="1"/>
  <c r="F26684" i="1"/>
  <c r="F22341" i="1"/>
  <c r="F22316" i="1"/>
  <c r="F22252" i="1"/>
  <c r="F21390" i="1"/>
  <c r="F20479" i="1"/>
  <c r="F20476" i="1"/>
  <c r="F20005" i="1"/>
  <c r="F19828" i="1"/>
  <c r="F19689" i="1"/>
  <c r="F19578" i="1"/>
  <c r="F19199" i="1"/>
  <c r="F19050" i="1"/>
  <c r="F18456" i="1"/>
  <c r="F16576" i="1"/>
  <c r="F16530" i="1"/>
  <c r="F16333" i="1"/>
  <c r="F16235" i="1"/>
  <c r="F16234" i="1"/>
  <c r="F15690" i="1"/>
  <c r="F15278" i="1"/>
  <c r="F14572" i="1"/>
  <c r="F14570" i="1"/>
  <c r="F14429" i="1"/>
  <c r="F14159" i="1"/>
  <c r="F14055" i="1"/>
  <c r="F13819" i="1"/>
  <c r="F12819" i="1"/>
  <c r="F12818" i="1"/>
  <c r="F12817" i="1"/>
  <c r="F12664" i="1"/>
  <c r="F12323" i="1"/>
  <c r="F12258" i="1"/>
  <c r="F11765" i="1"/>
  <c r="F11733" i="1"/>
  <c r="F11138" i="1"/>
  <c r="F10688" i="1"/>
  <c r="F9263" i="1"/>
  <c r="F9017" i="1"/>
  <c r="F9005" i="1"/>
  <c r="F9003" i="1"/>
  <c r="F9001" i="1"/>
  <c r="F8999" i="1"/>
  <c r="F8997" i="1"/>
  <c r="F8995" i="1"/>
  <c r="F8652" i="1"/>
  <c r="F8096" i="1"/>
  <c r="F8002" i="1"/>
  <c r="F8000" i="1"/>
  <c r="F7630" i="1"/>
  <c r="F7601" i="1"/>
  <c r="F6704" i="1"/>
  <c r="F6262" i="1"/>
  <c r="F6261" i="1"/>
  <c r="F6260" i="1"/>
  <c r="F6259" i="1"/>
  <c r="F6258" i="1"/>
  <c r="F6257" i="1"/>
  <c r="F5480" i="1"/>
  <c r="F4938" i="1"/>
  <c r="F4146" i="1"/>
  <c r="F4057" i="1"/>
  <c r="F4032" i="1"/>
  <c r="F3626" i="1"/>
  <c r="F3247" i="1"/>
  <c r="F3228" i="1"/>
  <c r="F2984" i="1"/>
  <c r="F2506" i="1"/>
  <c r="F2429" i="1"/>
  <c r="F522" i="1"/>
  <c r="F485" i="1"/>
  <c r="F173" i="1"/>
  <c r="F36382" i="1"/>
  <c r="F36376" i="1"/>
  <c r="F36369" i="1"/>
  <c r="F36350" i="1"/>
  <c r="F36290" i="1"/>
  <c r="F36289" i="1"/>
  <c r="F36226" i="1"/>
  <c r="F36223" i="1"/>
  <c r="F36204" i="1"/>
  <c r="F36174" i="1"/>
  <c r="F36158" i="1"/>
  <c r="F36069" i="1"/>
  <c r="F36068" i="1"/>
  <c r="F36048" i="1"/>
  <c r="F36047" i="1"/>
  <c r="F36027" i="1"/>
  <c r="F35834" i="1"/>
  <c r="F35822" i="1"/>
  <c r="F35806" i="1"/>
  <c r="F35798" i="1"/>
  <c r="F35749" i="1"/>
  <c r="F35740" i="1"/>
  <c r="F35739" i="1"/>
  <c r="F35738" i="1"/>
  <c r="F35736" i="1"/>
  <c r="F35735" i="1"/>
  <c r="F35721" i="1"/>
  <c r="F35592" i="1"/>
  <c r="F35500" i="1"/>
  <c r="F35461" i="1"/>
  <c r="F35428" i="1"/>
  <c r="F35394" i="1"/>
  <c r="F35385" i="1"/>
  <c r="F35344" i="1"/>
  <c r="F35334" i="1"/>
  <c r="F35281" i="1"/>
  <c r="F35212" i="1"/>
  <c r="F35192" i="1"/>
  <c r="F35190" i="1"/>
  <c r="F35132" i="1"/>
  <c r="F35073" i="1"/>
  <c r="F35059" i="1"/>
  <c r="F35028" i="1"/>
  <c r="F34984" i="1"/>
  <c r="F34981" i="1"/>
  <c r="F34977" i="1"/>
  <c r="F34976" i="1"/>
  <c r="F34948" i="1"/>
  <c r="F34946" i="1"/>
  <c r="F34908" i="1"/>
  <c r="F34888" i="1"/>
  <c r="F34859" i="1"/>
  <c r="F34824" i="1"/>
  <c r="F34770" i="1"/>
  <c r="F34688" i="1"/>
  <c r="F34687" i="1"/>
  <c r="F34664" i="1"/>
  <c r="F34612" i="1"/>
  <c r="F34478" i="1"/>
  <c r="F34368" i="1"/>
  <c r="F34274" i="1"/>
  <c r="F34263" i="1"/>
  <c r="F34258" i="1"/>
  <c r="F34248" i="1"/>
  <c r="F34240" i="1"/>
  <c r="F34239" i="1"/>
  <c r="F34228" i="1"/>
  <c r="F34191" i="1"/>
  <c r="F33999" i="1"/>
  <c r="F33920" i="1"/>
  <c r="F33854" i="1"/>
  <c r="F33805" i="1"/>
  <c r="F33763" i="1"/>
  <c r="F33733" i="1"/>
  <c r="F33731" i="1"/>
  <c r="F33620" i="1"/>
  <c r="F33613" i="1"/>
  <c r="F33612" i="1"/>
  <c r="F33608" i="1"/>
  <c r="F33597" i="1"/>
  <c r="F33594" i="1"/>
  <c r="F33563" i="1"/>
  <c r="F33559" i="1"/>
  <c r="F33557" i="1"/>
  <c r="F33556" i="1"/>
  <c r="F33555" i="1"/>
  <c r="F33554" i="1"/>
  <c r="F33477" i="1"/>
  <c r="F33476" i="1"/>
  <c r="F33466" i="1"/>
  <c r="F33457" i="1"/>
  <c r="F33406" i="1"/>
  <c r="F33399" i="1"/>
  <c r="F33352" i="1"/>
  <c r="F33350" i="1"/>
  <c r="F33201" i="1"/>
  <c r="F33149" i="1"/>
  <c r="F33060" i="1"/>
  <c r="F33057" i="1"/>
  <c r="F33055" i="1"/>
  <c r="F33054" i="1"/>
  <c r="F33021" i="1"/>
  <c r="F33011" i="1"/>
  <c r="F33009" i="1"/>
  <c r="F32961" i="1"/>
  <c r="F32944" i="1"/>
  <c r="F32931" i="1"/>
  <c r="F32925" i="1"/>
  <c r="F32924" i="1"/>
  <c r="F32923" i="1"/>
  <c r="F32920" i="1"/>
  <c r="F32917" i="1"/>
  <c r="F32890" i="1"/>
  <c r="F32887" i="1"/>
  <c r="F32886" i="1"/>
  <c r="F32875" i="1"/>
  <c r="F32874" i="1"/>
  <c r="F32837" i="1"/>
  <c r="F32821" i="1"/>
  <c r="F32810" i="1"/>
  <c r="F32805" i="1"/>
  <c r="F32804" i="1"/>
  <c r="F32795" i="1"/>
  <c r="F32651" i="1"/>
  <c r="F32649" i="1"/>
  <c r="F32570" i="1"/>
  <c r="F32525" i="1"/>
  <c r="F32520" i="1"/>
  <c r="F32500" i="1"/>
  <c r="F32424" i="1"/>
  <c r="F32422" i="1"/>
  <c r="F32415" i="1"/>
  <c r="F32309" i="1"/>
  <c r="F32287" i="1"/>
  <c r="F32277" i="1"/>
  <c r="F32276" i="1"/>
  <c r="F32270" i="1"/>
  <c r="F31669" i="1"/>
  <c r="F31454" i="1"/>
  <c r="F31394" i="1"/>
  <c r="F31387" i="1"/>
  <c r="F31384" i="1"/>
  <c r="F31381" i="1"/>
  <c r="F31379" i="1"/>
  <c r="F31368" i="1"/>
  <c r="F31339" i="1"/>
  <c r="F31336" i="1"/>
  <c r="F31334" i="1"/>
  <c r="F31333" i="1"/>
  <c r="F31330" i="1"/>
  <c r="F31329" i="1"/>
  <c r="F31326" i="1"/>
  <c r="F31325" i="1"/>
  <c r="F31324" i="1"/>
  <c r="F31323" i="1"/>
  <c r="F31322" i="1"/>
  <c r="F31319" i="1"/>
  <c r="F31155" i="1"/>
  <c r="F31149" i="1"/>
  <c r="F31148" i="1"/>
  <c r="F31081" i="1"/>
  <c r="F31067" i="1"/>
  <c r="F31062" i="1"/>
  <c r="F30399" i="1"/>
  <c r="F30389" i="1"/>
  <c r="F30388" i="1"/>
  <c r="F30369" i="1"/>
  <c r="F30356" i="1"/>
  <c r="F30318" i="1"/>
  <c r="F30316" i="1"/>
  <c r="F30235" i="1"/>
  <c r="F30234" i="1"/>
  <c r="F30181" i="1"/>
  <c r="F30171" i="1"/>
  <c r="F30087" i="1"/>
  <c r="F30072" i="1"/>
  <c r="F29902" i="1"/>
  <c r="F29882" i="1"/>
  <c r="F29881" i="1"/>
  <c r="F29859" i="1"/>
  <c r="F29846" i="1"/>
  <c r="F29822" i="1"/>
  <c r="F29803" i="1"/>
  <c r="F29787" i="1"/>
  <c r="F29766" i="1"/>
  <c r="F29765" i="1"/>
  <c r="F29754" i="1"/>
  <c r="F29680" i="1"/>
  <c r="F29676" i="1"/>
  <c r="F29666" i="1"/>
  <c r="F29661" i="1"/>
  <c r="F29588" i="1"/>
  <c r="F29584" i="1"/>
  <c r="F29581" i="1"/>
  <c r="F29580" i="1"/>
  <c r="F29435" i="1"/>
  <c r="F29329" i="1"/>
  <c r="F29327" i="1"/>
  <c r="F29326" i="1"/>
  <c r="F29322" i="1"/>
  <c r="F29241" i="1"/>
  <c r="F29237" i="1"/>
  <c r="F29053" i="1"/>
  <c r="F28859" i="1"/>
  <c r="F28853" i="1"/>
  <c r="F28793" i="1"/>
  <c r="F28625" i="1"/>
  <c r="F28616" i="1"/>
  <c r="F28615" i="1"/>
  <c r="F28568" i="1"/>
  <c r="F28489" i="1"/>
  <c r="F28462" i="1"/>
  <c r="F28344" i="1"/>
  <c r="F28332" i="1"/>
  <c r="F28330" i="1"/>
  <c r="F28295" i="1"/>
  <c r="F28252" i="1"/>
  <c r="F28189" i="1"/>
  <c r="F28116" i="1"/>
  <c r="F28042" i="1"/>
  <c r="F28028" i="1"/>
  <c r="F27988" i="1"/>
  <c r="F27974" i="1"/>
  <c r="F27973" i="1"/>
  <c r="F27972" i="1"/>
  <c r="F27971" i="1"/>
  <c r="F27968" i="1"/>
  <c r="F27967" i="1"/>
  <c r="F27883" i="1"/>
  <c r="F27848" i="1"/>
  <c r="F27818" i="1"/>
  <c r="F27813" i="1"/>
  <c r="F27812" i="1"/>
  <c r="F27722" i="1"/>
  <c r="F27718" i="1"/>
  <c r="F27717" i="1"/>
  <c r="F27714" i="1"/>
  <c r="F27667" i="1"/>
  <c r="F27665" i="1"/>
  <c r="F27629" i="1"/>
  <c r="F27607" i="1"/>
  <c r="F27605" i="1"/>
  <c r="F27602" i="1"/>
  <c r="F26593" i="1"/>
  <c r="F26553" i="1"/>
  <c r="F26548" i="1"/>
  <c r="F26444" i="1"/>
  <c r="F26439" i="1"/>
  <c r="F26430" i="1"/>
  <c r="F26396" i="1"/>
  <c r="F26388" i="1"/>
  <c r="F26373" i="1"/>
  <c r="F26350" i="1"/>
  <c r="F26349" i="1"/>
  <c r="F26338" i="1"/>
  <c r="F26314" i="1"/>
  <c r="F26211" i="1"/>
  <c r="F26210" i="1"/>
  <c r="F26209" i="1"/>
  <c r="F26206" i="1"/>
  <c r="F26174" i="1"/>
  <c r="F26172" i="1"/>
  <c r="F26169" i="1"/>
  <c r="F26167" i="1"/>
  <c r="F26162" i="1"/>
  <c r="F25490" i="1"/>
  <c r="F25476" i="1"/>
  <c r="F25369" i="1"/>
  <c r="F25368" i="1"/>
  <c r="F25367" i="1"/>
  <c r="F25339" i="1"/>
  <c r="F25338" i="1"/>
  <c r="F25337" i="1"/>
  <c r="F25313" i="1"/>
  <c r="F25311" i="1"/>
  <c r="F25274" i="1"/>
  <c r="F25272" i="1"/>
  <c r="F25270" i="1"/>
  <c r="F25213" i="1"/>
  <c r="F25212" i="1"/>
  <c r="F25211" i="1"/>
  <c r="F25205" i="1"/>
  <c r="F25194" i="1"/>
  <c r="F25179" i="1"/>
  <c r="F25144" i="1"/>
  <c r="F25137" i="1"/>
  <c r="F25120" i="1"/>
  <c r="F25104" i="1"/>
  <c r="F25103" i="1"/>
  <c r="F25101" i="1"/>
  <c r="F25099" i="1"/>
  <c r="F25098" i="1"/>
  <c r="F25070" i="1"/>
  <c r="F25023" i="1"/>
  <c r="F25019" i="1"/>
  <c r="F24988" i="1"/>
  <c r="F24986" i="1"/>
  <c r="F24980" i="1"/>
  <c r="F24979" i="1"/>
  <c r="F24975" i="1"/>
  <c r="F24968" i="1"/>
  <c r="F24959" i="1"/>
  <c r="F24958" i="1"/>
  <c r="F24907" i="1"/>
  <c r="F24880" i="1"/>
  <c r="F24879" i="1"/>
  <c r="F24860" i="1"/>
  <c r="F24834" i="1"/>
  <c r="F24737" i="1"/>
  <c r="F24736" i="1"/>
  <c r="F24732" i="1"/>
  <c r="F24686" i="1"/>
  <c r="F24681" i="1"/>
  <c r="F24664" i="1"/>
  <c r="F24638" i="1"/>
  <c r="F24627" i="1"/>
  <c r="F24626" i="1"/>
  <c r="F24619" i="1"/>
  <c r="F24612" i="1"/>
  <c r="F24611" i="1"/>
  <c r="F24535" i="1"/>
  <c r="F24534" i="1"/>
  <c r="F24526" i="1"/>
  <c r="F24525" i="1"/>
  <c r="F24524" i="1"/>
  <c r="F24522" i="1"/>
  <c r="F24494" i="1"/>
  <c r="F24490" i="1"/>
  <c r="F24478" i="1"/>
  <c r="F24477" i="1"/>
  <c r="F24476" i="1"/>
  <c r="F24472" i="1"/>
  <c r="F24471" i="1"/>
  <c r="F24464" i="1"/>
  <c r="F24458" i="1"/>
  <c r="F24440" i="1"/>
  <c r="F24412" i="1"/>
  <c r="F24407" i="1"/>
  <c r="F24406" i="1"/>
  <c r="F24388" i="1"/>
  <c r="F24387" i="1"/>
  <c r="F24386" i="1"/>
  <c r="F24351" i="1"/>
  <c r="F24348" i="1"/>
  <c r="F24337" i="1"/>
  <c r="F24327" i="1"/>
  <c r="F24315" i="1"/>
  <c r="F24303" i="1"/>
  <c r="F24280" i="1"/>
  <c r="F24279" i="1"/>
  <c r="F24278" i="1"/>
  <c r="F24275" i="1"/>
  <c r="F24274" i="1"/>
  <c r="F24261" i="1"/>
  <c r="F24258" i="1"/>
  <c r="F24250" i="1"/>
  <c r="F24247" i="1"/>
  <c r="F24240" i="1"/>
  <c r="F24239" i="1"/>
  <c r="F24217" i="1"/>
  <c r="F24201" i="1"/>
  <c r="F24187" i="1"/>
  <c r="F24181" i="1"/>
  <c r="F24177" i="1"/>
  <c r="F24168" i="1"/>
  <c r="F24159" i="1"/>
  <c r="F24152" i="1"/>
  <c r="F24139" i="1"/>
  <c r="F24136" i="1"/>
  <c r="F24104" i="1"/>
  <c r="F24103" i="1"/>
  <c r="F24102" i="1"/>
  <c r="F24096" i="1"/>
  <c r="F24092" i="1"/>
  <c r="F24090" i="1"/>
  <c r="F24087" i="1"/>
  <c r="F24063" i="1"/>
  <c r="F24059" i="1"/>
  <c r="F24055" i="1"/>
  <c r="F24047" i="1"/>
  <c r="F24041" i="1"/>
  <c r="F24040" i="1"/>
  <c r="F24038" i="1"/>
  <c r="F24016" i="1"/>
  <c r="F24015" i="1"/>
  <c r="F24012" i="1"/>
  <c r="F24010" i="1"/>
  <c r="F24009" i="1"/>
  <c r="F24008" i="1"/>
  <c r="F24006" i="1"/>
  <c r="F24005" i="1"/>
  <c r="F24004" i="1"/>
  <c r="F24000" i="1"/>
  <c r="F23999" i="1"/>
  <c r="F23997" i="1"/>
  <c r="F23996" i="1"/>
  <c r="F23995" i="1"/>
  <c r="F23994" i="1"/>
  <c r="F23993" i="1"/>
  <c r="F23989" i="1"/>
  <c r="F23977" i="1"/>
  <c r="F23951" i="1"/>
  <c r="F23949" i="1"/>
  <c r="F23938" i="1"/>
  <c r="F23931" i="1"/>
  <c r="F23914" i="1"/>
  <c r="F23902" i="1"/>
  <c r="F23899" i="1"/>
  <c r="F23884" i="1"/>
  <c r="F23878" i="1"/>
  <c r="F23866" i="1"/>
  <c r="F23854" i="1"/>
  <c r="F23836" i="1"/>
  <c r="F23819" i="1"/>
  <c r="F23818" i="1"/>
  <c r="F23814" i="1"/>
  <c r="F23806" i="1"/>
  <c r="F23805" i="1"/>
  <c r="F23801" i="1"/>
  <c r="F23800" i="1"/>
  <c r="F23793" i="1"/>
  <c r="F23792" i="1"/>
  <c r="F23791" i="1"/>
  <c r="F23789" i="1"/>
  <c r="F23784" i="1"/>
  <c r="F23780" i="1"/>
  <c r="F23772" i="1"/>
  <c r="F23771" i="1"/>
  <c r="F23755" i="1"/>
  <c r="F23753" i="1"/>
  <c r="F23751" i="1"/>
  <c r="F23749" i="1"/>
  <c r="F23732" i="1"/>
  <c r="F23722" i="1"/>
  <c r="F23717" i="1"/>
  <c r="F23603" i="1"/>
  <c r="F23554" i="1"/>
  <c r="F23547" i="1"/>
  <c r="F23459" i="1"/>
  <c r="F23393" i="1"/>
  <c r="F23269" i="1"/>
  <c r="F23219" i="1"/>
  <c r="F23196" i="1"/>
  <c r="F23151" i="1"/>
  <c r="F23150" i="1"/>
  <c r="F23149" i="1"/>
  <c r="F23148" i="1"/>
  <c r="F23147" i="1"/>
  <c r="F23143" i="1"/>
  <c r="F23133" i="1"/>
  <c r="F23122" i="1"/>
  <c r="F23106" i="1"/>
  <c r="F23105" i="1"/>
  <c r="F23104" i="1"/>
  <c r="F23081" i="1"/>
  <c r="F23080" i="1"/>
  <c r="F23059" i="1"/>
  <c r="F22983" i="1"/>
  <c r="F22981" i="1"/>
  <c r="F22922" i="1"/>
  <c r="F22831" i="1"/>
  <c r="F22806" i="1"/>
  <c r="F22764" i="1"/>
  <c r="F22711" i="1"/>
  <c r="F22695" i="1"/>
  <c r="F22619" i="1"/>
  <c r="F22485" i="1"/>
  <c r="F22359" i="1"/>
  <c r="F22328" i="1"/>
  <c r="F22304" i="1"/>
  <c r="F22213" i="1"/>
  <c r="F22207" i="1"/>
  <c r="F22187" i="1"/>
  <c r="F22185" i="1"/>
  <c r="F22179" i="1"/>
  <c r="F22177" i="1"/>
  <c r="F22175" i="1"/>
  <c r="F22171" i="1"/>
  <c r="F21898" i="1"/>
  <c r="F21867" i="1"/>
  <c r="F21694" i="1"/>
  <c r="F21642" i="1"/>
  <c r="F21590" i="1"/>
  <c r="F21549" i="1"/>
  <c r="F21256" i="1"/>
  <c r="F21199" i="1"/>
  <c r="F21198" i="1"/>
  <c r="F21047" i="1"/>
  <c r="F20995" i="1"/>
  <c r="F20993" i="1"/>
  <c r="F20672" i="1"/>
  <c r="F20601" i="1"/>
  <c r="F20599" i="1"/>
  <c r="F20455" i="1"/>
  <c r="F20453" i="1"/>
  <c r="F20451" i="1"/>
  <c r="F20449" i="1"/>
  <c r="F20434" i="1"/>
  <c r="F20373" i="1"/>
  <c r="F20371" i="1"/>
  <c r="F20318" i="1"/>
  <c r="F20261" i="1"/>
  <c r="F20163" i="1"/>
  <c r="F20147" i="1"/>
  <c r="F20106" i="1"/>
  <c r="F20072" i="1"/>
  <c r="F20059" i="1"/>
  <c r="F19979" i="1"/>
  <c r="F19977" i="1"/>
  <c r="F19975" i="1"/>
  <c r="F19931" i="1"/>
  <c r="F19877" i="1"/>
  <c r="F19834" i="1"/>
  <c r="F19791" i="1"/>
  <c r="F19787" i="1"/>
  <c r="F19788" i="1"/>
  <c r="F19493" i="1"/>
  <c r="F19461" i="1"/>
  <c r="F19144" i="1"/>
  <c r="F19124" i="1"/>
  <c r="F19106" i="1"/>
  <c r="F19096" i="1"/>
  <c r="F19068" i="1"/>
  <c r="F18978" i="1"/>
  <c r="F18976" i="1"/>
  <c r="F18974" i="1"/>
  <c r="F18948" i="1"/>
  <c r="F18758" i="1"/>
  <c r="F18733" i="1"/>
  <c r="F18731" i="1"/>
  <c r="F18598" i="1"/>
  <c r="F18588" i="1"/>
  <c r="F18500" i="1"/>
  <c r="F18462" i="1"/>
  <c r="F18411" i="1"/>
  <c r="F18329" i="1"/>
  <c r="F18325" i="1"/>
  <c r="F18301" i="1"/>
  <c r="F18091" i="1"/>
  <c r="F18071" i="1"/>
  <c r="F18059" i="1"/>
  <c r="F17977" i="1"/>
  <c r="F17927" i="1"/>
  <c r="F17917" i="1"/>
  <c r="F17870" i="1"/>
  <c r="F17868" i="1"/>
  <c r="F17866" i="1"/>
  <c r="F17864" i="1"/>
  <c r="F17838" i="1"/>
  <c r="F17806" i="1"/>
  <c r="F17804" i="1"/>
  <c r="F17797" i="1"/>
  <c r="F17791" i="1"/>
  <c r="F17713" i="1"/>
  <c r="F17709" i="1"/>
  <c r="F17708" i="1"/>
  <c r="F17704" i="1"/>
  <c r="F17563" i="1"/>
  <c r="F17451" i="1"/>
  <c r="F17443" i="1"/>
  <c r="F17441" i="1"/>
  <c r="F17442" i="1"/>
  <c r="F17437" i="1"/>
  <c r="F17435" i="1"/>
  <c r="F17428" i="1"/>
  <c r="F17338" i="1"/>
  <c r="F17336" i="1"/>
  <c r="F17334" i="1"/>
  <c r="F17332" i="1"/>
  <c r="F17330" i="1"/>
  <c r="F17328" i="1"/>
  <c r="F17326" i="1"/>
  <c r="F17324" i="1"/>
  <c r="F17322" i="1"/>
  <c r="F17265" i="1"/>
  <c r="F17202" i="1"/>
  <c r="F16968" i="1"/>
  <c r="F16966" i="1"/>
  <c r="F16964" i="1"/>
  <c r="F16942" i="1"/>
  <c r="F16940" i="1"/>
  <c r="F16938" i="1"/>
  <c r="F16936" i="1"/>
  <c r="F16934" i="1"/>
  <c r="F16932" i="1"/>
  <c r="F16930" i="1"/>
  <c r="F16926" i="1"/>
  <c r="F16924" i="1"/>
  <c r="F16922" i="1"/>
  <c r="F16920" i="1"/>
  <c r="F16918" i="1"/>
  <c r="F16916" i="1"/>
  <c r="F16912" i="1"/>
  <c r="F16910" i="1"/>
  <c r="F16908" i="1"/>
  <c r="F16906" i="1"/>
  <c r="F16904" i="1"/>
  <c r="F16902" i="1"/>
  <c r="F16900" i="1"/>
  <c r="F16898" i="1"/>
  <c r="F16896" i="1"/>
  <c r="F16894" i="1"/>
  <c r="F16890" i="1"/>
  <c r="F16888" i="1"/>
  <c r="F16886" i="1"/>
  <c r="F16884" i="1"/>
  <c r="F16880" i="1"/>
  <c r="F16874" i="1"/>
  <c r="F16869" i="1"/>
  <c r="F16865" i="1"/>
  <c r="F16864" i="1"/>
  <c r="F16861" i="1"/>
  <c r="F16837" i="1"/>
  <c r="F16766" i="1"/>
  <c r="F16741" i="1"/>
  <c r="F16731" i="1"/>
  <c r="F16709" i="1"/>
  <c r="F16652" i="1"/>
  <c r="F16620" i="1"/>
  <c r="F16601" i="1"/>
  <c r="F16586" i="1"/>
  <c r="F16582" i="1"/>
  <c r="F16534" i="1"/>
  <c r="F16434" i="1"/>
  <c r="F16419" i="1"/>
  <c r="F16375" i="1"/>
  <c r="F16302" i="1"/>
  <c r="F16298" i="1"/>
  <c r="F16290" i="1"/>
  <c r="F16239" i="1"/>
  <c r="F16191" i="1"/>
  <c r="F16184" i="1"/>
  <c r="F16182" i="1"/>
  <c r="F16180" i="1"/>
  <c r="F16175" i="1"/>
  <c r="F16131" i="1"/>
  <c r="F16099" i="1"/>
  <c r="F16082" i="1"/>
  <c r="F16053" i="1"/>
  <c r="F16024" i="1"/>
  <c r="F16022" i="1"/>
  <c r="F16005" i="1"/>
  <c r="F16001" i="1"/>
  <c r="F15964" i="1"/>
  <c r="F15960" i="1"/>
  <c r="F15961" i="1"/>
  <c r="F15958" i="1"/>
  <c r="F15797" i="1"/>
  <c r="F15788" i="1"/>
  <c r="F15786" i="1"/>
  <c r="F15481" i="1"/>
  <c r="F15094" i="1"/>
  <c r="F15070" i="1"/>
  <c r="F15039" i="1"/>
  <c r="F14900" i="1"/>
  <c r="F14896" i="1"/>
  <c r="F14897" i="1"/>
  <c r="F14894" i="1"/>
  <c r="F14892" i="1"/>
  <c r="F14851" i="1"/>
  <c r="F14726" i="1"/>
  <c r="F14695" i="1"/>
  <c r="F14675" i="1"/>
  <c r="F14667" i="1"/>
  <c r="F14657" i="1"/>
  <c r="F14630" i="1"/>
  <c r="F14616" i="1"/>
  <c r="F14590" i="1"/>
  <c r="F14568" i="1"/>
  <c r="F14566" i="1"/>
  <c r="F14560" i="1"/>
  <c r="F14555" i="1"/>
  <c r="F14553" i="1"/>
  <c r="F14551" i="1"/>
  <c r="F14549" i="1"/>
  <c r="F14547" i="1"/>
  <c r="F14383" i="1"/>
  <c r="F14097" i="1"/>
  <c r="F14089" i="1"/>
  <c r="F14022" i="1"/>
  <c r="F14012" i="1"/>
  <c r="F14010" i="1"/>
  <c r="F13978" i="1"/>
  <c r="F13972" i="1"/>
  <c r="F13970" i="1"/>
  <c r="F13969" i="1"/>
  <c r="F13952" i="1"/>
  <c r="F13926" i="1"/>
  <c r="F13924" i="1"/>
  <c r="F13922" i="1"/>
  <c r="F13788" i="1"/>
  <c r="F13594" i="1"/>
  <c r="F13586" i="1"/>
  <c r="F13503" i="1"/>
  <c r="F13480" i="1"/>
  <c r="F13464" i="1"/>
  <c r="F13453" i="1"/>
  <c r="F13448" i="1"/>
  <c r="F13446" i="1"/>
  <c r="F13444" i="1"/>
  <c r="F13430" i="1"/>
  <c r="F13428" i="1"/>
  <c r="F13422" i="1"/>
  <c r="F13418" i="1"/>
  <c r="F13404" i="1"/>
  <c r="F13378" i="1"/>
  <c r="F13253" i="1"/>
  <c r="F13132" i="1"/>
  <c r="F13128" i="1"/>
  <c r="F13125" i="1"/>
  <c r="F13084" i="1"/>
  <c r="F13067" i="1"/>
  <c r="F12679" i="1"/>
  <c r="F12677" i="1"/>
  <c r="F12562" i="1"/>
  <c r="F12413" i="1"/>
  <c r="F12349" i="1"/>
  <c r="F12347" i="1"/>
  <c r="F12332" i="1"/>
  <c r="F12273" i="1"/>
  <c r="F12141" i="1"/>
  <c r="F12139" i="1"/>
  <c r="F12116" i="1"/>
  <c r="F11776" i="1"/>
  <c r="F11629" i="1"/>
  <c r="F11622" i="1"/>
  <c r="F11607" i="1"/>
  <c r="F11608" i="1"/>
  <c r="F11601" i="1"/>
  <c r="F11599" i="1"/>
  <c r="F11597" i="1"/>
  <c r="F11513" i="1"/>
  <c r="F11501" i="1"/>
  <c r="F11498" i="1"/>
  <c r="F11403" i="1"/>
  <c r="F11395" i="1"/>
  <c r="F11393" i="1"/>
  <c r="F11391" i="1"/>
  <c r="F11389" i="1"/>
  <c r="F11387" i="1"/>
  <c r="F11383" i="1"/>
  <c r="F11375" i="1"/>
  <c r="F11364" i="1"/>
  <c r="F11125" i="1"/>
  <c r="F11007" i="1"/>
  <c r="F10783" i="1"/>
  <c r="F10753" i="1"/>
  <c r="F10742" i="1"/>
  <c r="F10626" i="1"/>
  <c r="F10581" i="1"/>
  <c r="F9412" i="1"/>
  <c r="F9399" i="1"/>
  <c r="F9397" i="1"/>
  <c r="F9386" i="1"/>
  <c r="F9339" i="1"/>
  <c r="F9300" i="1"/>
  <c r="F9280" i="1"/>
  <c r="F9194" i="1"/>
  <c r="F9192" i="1"/>
  <c r="F8956" i="1"/>
  <c r="F8932" i="1"/>
  <c r="F8901" i="1"/>
  <c r="F8900" i="1"/>
  <c r="F8888" i="1"/>
  <c r="F8886" i="1"/>
  <c r="F8799" i="1"/>
  <c r="F8790" i="1"/>
  <c r="F8788" i="1"/>
  <c r="F8770" i="1"/>
  <c r="F8764" i="1"/>
  <c r="F8747" i="1"/>
  <c r="F8730" i="1"/>
  <c r="F8706" i="1"/>
  <c r="F8692" i="1"/>
  <c r="F8690" i="1"/>
  <c r="F8688" i="1"/>
  <c r="F8686" i="1"/>
  <c r="F8684" i="1"/>
  <c r="F8682" i="1"/>
  <c r="F8680" i="1"/>
  <c r="F8678" i="1"/>
  <c r="F8603" i="1"/>
  <c r="F8543" i="1"/>
  <c r="F8541" i="1"/>
  <c r="F8536" i="1"/>
  <c r="F8479" i="1"/>
  <c r="F8471" i="1"/>
  <c r="F8465" i="1"/>
  <c r="F8457" i="1"/>
  <c r="F8454" i="1"/>
  <c r="F8452" i="1"/>
  <c r="F8450" i="1"/>
  <c r="F8445" i="1"/>
  <c r="F8443" i="1"/>
  <c r="F8429" i="1"/>
  <c r="F8419" i="1"/>
  <c r="F8322" i="1"/>
  <c r="F8314" i="1"/>
  <c r="F8147" i="1"/>
  <c r="F8145" i="1"/>
  <c r="F8138" i="1"/>
  <c r="F8136" i="1"/>
  <c r="F8131" i="1"/>
  <c r="F8105" i="1"/>
  <c r="F7909" i="1"/>
  <c r="F7657" i="1"/>
  <c r="F7645" i="1"/>
  <c r="F7633" i="1"/>
  <c r="F7628" i="1"/>
  <c r="F7622" i="1"/>
  <c r="F7606" i="1"/>
  <c r="F7604" i="1"/>
  <c r="F7588" i="1"/>
  <c r="F7570" i="1"/>
  <c r="F7558" i="1"/>
  <c r="F7542" i="1"/>
  <c r="F7529" i="1"/>
  <c r="F7504" i="1"/>
  <c r="F7461" i="1"/>
  <c r="F7462" i="1"/>
  <c r="F7459" i="1"/>
  <c r="F7448" i="1"/>
  <c r="F7421" i="1"/>
  <c r="F7411" i="1"/>
  <c r="F7409" i="1"/>
  <c r="F7293" i="1"/>
  <c r="F7283" i="1"/>
  <c r="F7281" i="1"/>
  <c r="F7279" i="1"/>
  <c r="F7277" i="1"/>
  <c r="F7275" i="1"/>
  <c r="F7273" i="1"/>
  <c r="F7129" i="1"/>
  <c r="F7130" i="1"/>
  <c r="F7127" i="1"/>
  <c r="F7125" i="1"/>
  <c r="F7095" i="1"/>
  <c r="F7017" i="1"/>
  <c r="F6908" i="1"/>
  <c r="F6906" i="1"/>
  <c r="F6904" i="1"/>
  <c r="F6894" i="1"/>
  <c r="F6888" i="1"/>
  <c r="F6886" i="1"/>
  <c r="F6883" i="1"/>
  <c r="F6881" i="1"/>
  <c r="F6863" i="1"/>
  <c r="F6827" i="1"/>
  <c r="F6757" i="1"/>
  <c r="F6755" i="1"/>
  <c r="F6753" i="1"/>
  <c r="F6745" i="1"/>
  <c r="F6731" i="1"/>
  <c r="F6640" i="1"/>
  <c r="F6636" i="1"/>
  <c r="F6451" i="1"/>
  <c r="F6441" i="1"/>
  <c r="F6435" i="1"/>
  <c r="F6412" i="1"/>
  <c r="F6410" i="1"/>
  <c r="F6390" i="1"/>
  <c r="F6376" i="1"/>
  <c r="F6374" i="1"/>
  <c r="F6372" i="1"/>
  <c r="F6370" i="1"/>
  <c r="F6368" i="1"/>
  <c r="F6358" i="1"/>
  <c r="F6356" i="1"/>
  <c r="F6320" i="1"/>
  <c r="F6304" i="1"/>
  <c r="F6302" i="1"/>
  <c r="F6140" i="1"/>
  <c r="F6138" i="1"/>
  <c r="F6005" i="1"/>
  <c r="F5949" i="1"/>
  <c r="F5950" i="1"/>
  <c r="F5928" i="1"/>
  <c r="F5882" i="1"/>
  <c r="F5711" i="1"/>
  <c r="F5664" i="1"/>
  <c r="F5614" i="1"/>
  <c r="F5600" i="1"/>
  <c r="F5561" i="1"/>
  <c r="F5544" i="1"/>
  <c r="F5534" i="1"/>
  <c r="F5518" i="1"/>
  <c r="F5433" i="1"/>
  <c r="F5370" i="1"/>
  <c r="F5294" i="1"/>
  <c r="F5215" i="1"/>
  <c r="F4966" i="1"/>
  <c r="F4964" i="1"/>
  <c r="F4948" i="1"/>
  <c r="F4778" i="1"/>
  <c r="F4755" i="1"/>
  <c r="F4728" i="1"/>
  <c r="F4688" i="1"/>
  <c r="F4676" i="1"/>
  <c r="F4617" i="1"/>
  <c r="F4540" i="1"/>
  <c r="F4534" i="1"/>
  <c r="F4463" i="1"/>
  <c r="F4322" i="1"/>
  <c r="F4323" i="1"/>
  <c r="F4320" i="1"/>
  <c r="F4313" i="1"/>
  <c r="F4290" i="1"/>
  <c r="F4284" i="1"/>
  <c r="F4259" i="1"/>
  <c r="F4252" i="1"/>
  <c r="F4244" i="1"/>
  <c r="F4206" i="1"/>
  <c r="F4191" i="1"/>
  <c r="F4159" i="1"/>
  <c r="F4123" i="1"/>
  <c r="F4045" i="1"/>
  <c r="F4019" i="1"/>
  <c r="F4001" i="1"/>
  <c r="F3996" i="1"/>
  <c r="F3984" i="1"/>
  <c r="F3982" i="1"/>
  <c r="F3978" i="1"/>
  <c r="F3976" i="1"/>
  <c r="F3936" i="1"/>
  <c r="F3937" i="1"/>
  <c r="F3932" i="1"/>
  <c r="F3926" i="1"/>
  <c r="F3900" i="1"/>
  <c r="F3882" i="1"/>
  <c r="F3874" i="1"/>
  <c r="F3850" i="1"/>
  <c r="F3838" i="1"/>
  <c r="F3822" i="1"/>
  <c r="F3761" i="1"/>
  <c r="F3707" i="1"/>
  <c r="F3674" i="1"/>
  <c r="F3655" i="1"/>
  <c r="F3630" i="1"/>
  <c r="F3628" i="1"/>
  <c r="F3601" i="1"/>
  <c r="F3596" i="1"/>
  <c r="F3594" i="1"/>
  <c r="F3592" i="1"/>
  <c r="F3584" i="1"/>
  <c r="F3583" i="1"/>
  <c r="F3582" i="1"/>
  <c r="F3581" i="1"/>
  <c r="F3580" i="1"/>
  <c r="F3530" i="1"/>
  <c r="F3528" i="1"/>
  <c r="F3510" i="1"/>
  <c r="F3507" i="1"/>
  <c r="F3448" i="1"/>
  <c r="F3428" i="1"/>
  <c r="F3340" i="1"/>
  <c r="F3313" i="1"/>
  <c r="F3251" i="1"/>
  <c r="F3238" i="1"/>
  <c r="F3222" i="1"/>
  <c r="F3173" i="1"/>
  <c r="F3156" i="1"/>
  <c r="F3154" i="1"/>
  <c r="F3152" i="1"/>
  <c r="F3130" i="1"/>
  <c r="F3067" i="1"/>
  <c r="F3065" i="1"/>
  <c r="F3063" i="1"/>
  <c r="F3061" i="1"/>
  <c r="F3024" i="1"/>
  <c r="F2969" i="1"/>
  <c r="F2933" i="1"/>
  <c r="F2892" i="1"/>
  <c r="F2684" i="1"/>
  <c r="F2569" i="1"/>
  <c r="F2567" i="1"/>
  <c r="F2565" i="1"/>
  <c r="F2553" i="1"/>
  <c r="F2554" i="1"/>
  <c r="F2534" i="1"/>
  <c r="F2530" i="1"/>
  <c r="F2528" i="1"/>
  <c r="F2526" i="1"/>
  <c r="F2524" i="1"/>
  <c r="F2513" i="1"/>
  <c r="F2511" i="1"/>
  <c r="F2504" i="1"/>
  <c r="F2502" i="1"/>
  <c r="F2490" i="1"/>
  <c r="F2488" i="1"/>
  <c r="F2486" i="1"/>
  <c r="F2484" i="1"/>
  <c r="F2480" i="1"/>
  <c r="F2478" i="1"/>
  <c r="F2474" i="1"/>
  <c r="F2475" i="1"/>
  <c r="F2472" i="1"/>
  <c r="F2460" i="1"/>
  <c r="F2435" i="1"/>
  <c r="F2417" i="1"/>
  <c r="F2415" i="1"/>
  <c r="F2413" i="1"/>
  <c r="F2411" i="1"/>
  <c r="F2409" i="1"/>
  <c r="F2407" i="1"/>
  <c r="F2405" i="1"/>
  <c r="F2400" i="1"/>
  <c r="F2395" i="1"/>
  <c r="F1133" i="1"/>
  <c r="F1118" i="1"/>
  <c r="F1096" i="1"/>
  <c r="F1088" i="1"/>
  <c r="F1050" i="1"/>
  <c r="F981" i="1"/>
  <c r="F970" i="1"/>
  <c r="F968" i="1"/>
  <c r="F966" i="1"/>
  <c r="F964" i="1"/>
  <c r="F960" i="1"/>
  <c r="F952" i="1"/>
  <c r="F950" i="1"/>
  <c r="F948" i="1"/>
  <c r="F900" i="1"/>
  <c r="F898" i="1"/>
  <c r="F896" i="1"/>
  <c r="F890" i="1"/>
  <c r="F888" i="1"/>
  <c r="F884" i="1"/>
  <c r="F880" i="1"/>
  <c r="F878" i="1"/>
  <c r="F876" i="1"/>
  <c r="F868" i="1"/>
  <c r="F866" i="1"/>
  <c r="F850" i="1"/>
  <c r="F832" i="1"/>
  <c r="F827" i="1"/>
  <c r="F825" i="1"/>
  <c r="F819" i="1"/>
  <c r="F712" i="1"/>
  <c r="F682" i="1"/>
  <c r="F664" i="1"/>
  <c r="F632" i="1"/>
  <c r="F628" i="1"/>
  <c r="F602" i="1"/>
  <c r="F598" i="1"/>
  <c r="F596" i="1"/>
  <c r="F513" i="1"/>
  <c r="F494" i="1"/>
  <c r="F459" i="1"/>
  <c r="F445" i="1"/>
  <c r="F441" i="1"/>
  <c r="F416" i="1"/>
  <c r="F408" i="1"/>
  <c r="F409" i="1"/>
  <c r="F410" i="1"/>
  <c r="F404" i="1"/>
  <c r="F396" i="1"/>
  <c r="F387" i="1"/>
  <c r="F385" i="1"/>
  <c r="F355" i="1"/>
  <c r="F353" i="1"/>
  <c r="F351" i="1"/>
  <c r="F349" i="1"/>
  <c r="F347" i="1"/>
  <c r="F331" i="1"/>
  <c r="F325" i="1"/>
  <c r="F281" i="1"/>
  <c r="F277" i="1"/>
  <c r="F278" i="1"/>
  <c r="F275" i="1"/>
  <c r="F273" i="1"/>
  <c r="F261" i="1"/>
  <c r="F253" i="1"/>
  <c r="F249" i="1"/>
  <c r="F205" i="1"/>
  <c r="F203" i="1"/>
  <c r="F201" i="1"/>
  <c r="F175" i="1"/>
  <c r="F171" i="1"/>
  <c r="F150" i="1"/>
  <c r="F141" i="1"/>
  <c r="F44" i="1"/>
  <c r="F40" i="1"/>
  <c r="F20" i="1"/>
  <c r="F15" i="1"/>
  <c r="F32298" i="1"/>
  <c r="F32259" i="1"/>
  <c r="F30469" i="1"/>
  <c r="F28145" i="1"/>
  <c r="F28144" i="1"/>
  <c r="F24578" i="1"/>
  <c r="F24577" i="1"/>
  <c r="F24559" i="1"/>
  <c r="F18698" i="1"/>
  <c r="F16701" i="1"/>
  <c r="F11400" i="1"/>
  <c r="F27600" i="1"/>
  <c r="F26001" i="1"/>
  <c r="F33831" i="1"/>
  <c r="F31768" i="1"/>
  <c r="F21049" i="1"/>
  <c r="F10854" i="1"/>
  <c r="F24514" i="1"/>
  <c r="F24513" i="1"/>
  <c r="F35207" i="1"/>
  <c r="F10212" i="1"/>
  <c r="F11280" i="1"/>
  <c r="F36605" i="1"/>
  <c r="F36604" i="1"/>
  <c r="F36601" i="1"/>
  <c r="F36589" i="1"/>
  <c r="F36423" i="1"/>
  <c r="F36396" i="1"/>
  <c r="F36360" i="1"/>
  <c r="F36338" i="1"/>
  <c r="F36270" i="1"/>
  <c r="F36268" i="1"/>
  <c r="F35997" i="1"/>
  <c r="F35990" i="1"/>
  <c r="F35987" i="1"/>
  <c r="F35971" i="1"/>
  <c r="F35934" i="1"/>
  <c r="F35920" i="1"/>
  <c r="F35919" i="1"/>
  <c r="F35912" i="1"/>
  <c r="F35874" i="1"/>
  <c r="F35873" i="1"/>
  <c r="F35869" i="1"/>
  <c r="F35866" i="1"/>
  <c r="F35856" i="1"/>
  <c r="F35841" i="1"/>
  <c r="F35455" i="1"/>
  <c r="F35174" i="1"/>
  <c r="F34927" i="1"/>
  <c r="F34895" i="1"/>
  <c r="F34645" i="1"/>
  <c r="F34639" i="1"/>
  <c r="F34635" i="1"/>
  <c r="F34633" i="1"/>
  <c r="F34397" i="1"/>
  <c r="F32365" i="1"/>
  <c r="F30337" i="1"/>
  <c r="F30033" i="1"/>
  <c r="F29687" i="1"/>
  <c r="F27462" i="1"/>
  <c r="F25885" i="1"/>
  <c r="F25711" i="1"/>
  <c r="F24700" i="1"/>
  <c r="F24628" i="1"/>
  <c r="F20510" i="1"/>
  <c r="F20466" i="1"/>
  <c r="F18351" i="1"/>
  <c r="F13046" i="1"/>
  <c r="F12841" i="1"/>
  <c r="F12806" i="1"/>
  <c r="F12729" i="1"/>
  <c r="F11856" i="1"/>
  <c r="F10818" i="1"/>
  <c r="F9190" i="1"/>
  <c r="F6629" i="1"/>
  <c r="F6218" i="1"/>
  <c r="F6208" i="1"/>
  <c r="F6179" i="1"/>
  <c r="F4069" i="1"/>
  <c r="F3791" i="1"/>
  <c r="F3763" i="1"/>
  <c r="F1048" i="1"/>
  <c r="F33171" i="1"/>
  <c r="F30374" i="1"/>
  <c r="F30296" i="1"/>
  <c r="F27685" i="1"/>
  <c r="F25703" i="1"/>
  <c r="F25581" i="1"/>
  <c r="F25452" i="1"/>
  <c r="F25131" i="1"/>
  <c r="F24885" i="1"/>
  <c r="F24295" i="1"/>
  <c r="F22475" i="1"/>
  <c r="F22143" i="1"/>
  <c r="F20749" i="1"/>
  <c r="F20568" i="1"/>
  <c r="F17913" i="1"/>
  <c r="F17546" i="1"/>
  <c r="F17392" i="1"/>
  <c r="F14378" i="1"/>
  <c r="F13604" i="1"/>
  <c r="F13600" i="1"/>
  <c r="F12059" i="1"/>
  <c r="F11263" i="1"/>
  <c r="F10887" i="1"/>
  <c r="F5891" i="1"/>
  <c r="F5092" i="1"/>
  <c r="F5028" i="1"/>
  <c r="F4521" i="1"/>
  <c r="F3486" i="1"/>
  <c r="F182" i="1"/>
  <c r="F36632" i="1"/>
  <c r="F36509" i="1"/>
  <c r="F35279" i="1"/>
  <c r="F35213" i="1"/>
  <c r="F35130" i="1"/>
  <c r="F34508" i="1"/>
  <c r="F34507" i="1"/>
  <c r="F33703" i="1"/>
  <c r="F33596" i="1"/>
  <c r="F27975" i="1"/>
  <c r="F26485" i="1"/>
  <c r="F26078" i="1"/>
  <c r="F24553" i="1"/>
  <c r="F24379" i="1"/>
  <c r="F24028" i="1"/>
  <c r="F24023" i="1"/>
  <c r="F23945" i="1"/>
  <c r="F23270" i="1"/>
  <c r="F23107" i="1"/>
  <c r="F17858" i="1"/>
  <c r="F17532" i="1"/>
  <c r="F16991" i="1"/>
  <c r="F16952" i="1"/>
  <c r="F16950" i="1"/>
  <c r="F16610" i="1"/>
  <c r="F15366" i="1"/>
  <c r="F14190" i="1"/>
  <c r="F14029" i="1"/>
  <c r="F13426" i="1"/>
  <c r="F11470" i="1"/>
  <c r="F8835" i="1"/>
  <c r="F7580" i="1"/>
  <c r="F7578" i="1"/>
  <c r="F7395" i="1"/>
  <c r="F7015" i="1"/>
  <c r="F7012" i="1"/>
  <c r="F6916" i="1"/>
  <c r="F6706" i="1"/>
  <c r="F4292" i="1"/>
  <c r="F3973" i="1"/>
  <c r="F3392" i="1"/>
  <c r="F2462" i="1"/>
  <c r="F2458" i="1"/>
  <c r="F2452" i="1"/>
  <c r="F492" i="1"/>
  <c r="F341" i="1"/>
  <c r="F101" i="1"/>
  <c r="F2954" i="1"/>
  <c r="F32976" i="1"/>
  <c r="F28658" i="1"/>
  <c r="F25496" i="1"/>
  <c r="F24813" i="1"/>
  <c r="F24316" i="1"/>
  <c r="F22268" i="1"/>
  <c r="F21696" i="1"/>
  <c r="F13750" i="1"/>
  <c r="F8958" i="1"/>
  <c r="F2106" i="1"/>
  <c r="F7857" i="1"/>
  <c r="F14488" i="1"/>
  <c r="F36439" i="1"/>
  <c r="F36438" i="1"/>
  <c r="F35278" i="1"/>
  <c r="F34603" i="1"/>
  <c r="F34034" i="1"/>
  <c r="F33957" i="1"/>
  <c r="F32650" i="1"/>
  <c r="F32616" i="1"/>
  <c r="F30065" i="1"/>
  <c r="F29819" i="1"/>
  <c r="F29679" i="1"/>
  <c r="F29633" i="1"/>
  <c r="F28474" i="1"/>
  <c r="F27359" i="1"/>
  <c r="F26998" i="1"/>
  <c r="F26745" i="1"/>
  <c r="F24873" i="1"/>
  <c r="F24372" i="1"/>
  <c r="F24272" i="1"/>
  <c r="F23721" i="1"/>
  <c r="F23085" i="1"/>
  <c r="F22828" i="1"/>
  <c r="F22423" i="1"/>
  <c r="F21654" i="1"/>
  <c r="F20885" i="1"/>
  <c r="F20065" i="1"/>
  <c r="F17348" i="1"/>
  <c r="F16978" i="1"/>
  <c r="F16977" i="1"/>
  <c r="F15268" i="1"/>
  <c r="F15072" i="1"/>
  <c r="F14545" i="1"/>
  <c r="F14409" i="1"/>
  <c r="F13806" i="1"/>
  <c r="F13599" i="1"/>
  <c r="F13532" i="1"/>
  <c r="F13476" i="1"/>
  <c r="F11995" i="1"/>
  <c r="F11847" i="1"/>
  <c r="F11512" i="1"/>
  <c r="F8914" i="1"/>
  <c r="F8847" i="1"/>
  <c r="F7675" i="1"/>
  <c r="F7556" i="1"/>
  <c r="F7088" i="1"/>
  <c r="F6913" i="1"/>
  <c r="F4417" i="1"/>
  <c r="F4399" i="1"/>
  <c r="F4330" i="1"/>
  <c r="F2457" i="1"/>
  <c r="F153" i="1"/>
  <c r="F36" i="1"/>
  <c r="F31686" i="1"/>
  <c r="F24202" i="1"/>
  <c r="F24019" i="1"/>
  <c r="F22750" i="1"/>
  <c r="F21073" i="1"/>
  <c r="F16944" i="1"/>
  <c r="F13372" i="1"/>
  <c r="F4418" i="1"/>
  <c r="F3165" i="1"/>
  <c r="F26911" i="1"/>
  <c r="F36206" i="1"/>
  <c r="F34503" i="1"/>
  <c r="F34305" i="1"/>
  <c r="F33607" i="1"/>
  <c r="F33470" i="1"/>
  <c r="F32793" i="1"/>
  <c r="F32366" i="1"/>
  <c r="F32283" i="1"/>
  <c r="F32282" i="1"/>
  <c r="F31695" i="1"/>
  <c r="F31694" i="1"/>
  <c r="F29056" i="1"/>
  <c r="F28507" i="1"/>
  <c r="F28363" i="1"/>
  <c r="F27315" i="1"/>
  <c r="F26010" i="1"/>
  <c r="F25897" i="1"/>
  <c r="F25764" i="1"/>
  <c r="F24439" i="1"/>
  <c r="F23561" i="1"/>
  <c r="F22227" i="1"/>
  <c r="F21011" i="1"/>
  <c r="F19604" i="1"/>
  <c r="F13036" i="1"/>
  <c r="F12953" i="1"/>
  <c r="F2211" i="1"/>
  <c r="F35678" i="1"/>
  <c r="F35672" i="1"/>
  <c r="F34766" i="1"/>
  <c r="F34227" i="1"/>
  <c r="F34211" i="1"/>
  <c r="F33968" i="1"/>
  <c r="F33695" i="1"/>
  <c r="F33499" i="1"/>
  <c r="F33387" i="1"/>
  <c r="F33246" i="1"/>
  <c r="F32992" i="1"/>
  <c r="F32991" i="1"/>
  <c r="F32891" i="1"/>
  <c r="F32781" i="1"/>
  <c r="F32775" i="1"/>
  <c r="F32670" i="1"/>
  <c r="F32593" i="1"/>
  <c r="F32571" i="1"/>
  <c r="F31941" i="1"/>
  <c r="F31883" i="1"/>
  <c r="F31665" i="1"/>
  <c r="F31087" i="1"/>
  <c r="F30604" i="1"/>
  <c r="F30518" i="1"/>
  <c r="F30213" i="1"/>
  <c r="F30137" i="1"/>
  <c r="F29950" i="1"/>
  <c r="F29703" i="1"/>
  <c r="F29657" i="1"/>
  <c r="F29627" i="1"/>
  <c r="F29610" i="1"/>
  <c r="F29544" i="1"/>
  <c r="F29436" i="1"/>
  <c r="F29284" i="1"/>
  <c r="F29260" i="1"/>
  <c r="F29134" i="1"/>
  <c r="F28796" i="1"/>
  <c r="F28751" i="1"/>
  <c r="F28399" i="1"/>
  <c r="F28256" i="1"/>
  <c r="F28133" i="1"/>
  <c r="F27930" i="1"/>
  <c r="F27929" i="1"/>
  <c r="F27920" i="1"/>
  <c r="F27300" i="1"/>
  <c r="F27188" i="1"/>
  <c r="F27153" i="1"/>
  <c r="F27143" i="1"/>
  <c r="F27123" i="1"/>
  <c r="F26845" i="1"/>
  <c r="F25687" i="1"/>
  <c r="F24539" i="1"/>
  <c r="F24390" i="1"/>
  <c r="F24374" i="1"/>
  <c r="F24307" i="1"/>
  <c r="F24267" i="1"/>
  <c r="F24030" i="1"/>
  <c r="F23969" i="1"/>
  <c r="F23950" i="1"/>
  <c r="F23944" i="1"/>
  <c r="F23943" i="1"/>
  <c r="F23762" i="1"/>
  <c r="F23530" i="1"/>
  <c r="F23529" i="1"/>
  <c r="F23379" i="1"/>
  <c r="F23216" i="1"/>
  <c r="F23019" i="1"/>
  <c r="F22471" i="1"/>
  <c r="F22205" i="1"/>
  <c r="F22053" i="1"/>
  <c r="F21556" i="1"/>
  <c r="F21100" i="1"/>
  <c r="F20174" i="1"/>
  <c r="F20054" i="1"/>
  <c r="F20055" i="1"/>
  <c r="F20019" i="1"/>
  <c r="F19664" i="1"/>
  <c r="F19617" i="1"/>
  <c r="F19553" i="1"/>
  <c r="F19484" i="1"/>
  <c r="F19084" i="1"/>
  <c r="F18968" i="1"/>
  <c r="F18966" i="1"/>
  <c r="F18954" i="1"/>
  <c r="F17828" i="1"/>
  <c r="F17616" i="1"/>
  <c r="F17476" i="1"/>
  <c r="F17302" i="1"/>
  <c r="F16145" i="1"/>
  <c r="F15916" i="1"/>
  <c r="F15691" i="1"/>
  <c r="F15373" i="1"/>
  <c r="F15061" i="1"/>
  <c r="F14530" i="1"/>
  <c r="F14439" i="1"/>
  <c r="F14394" i="1"/>
  <c r="F14392" i="1"/>
  <c r="F14063" i="1"/>
  <c r="F13935" i="1"/>
  <c r="F13778" i="1"/>
  <c r="F13762" i="1"/>
  <c r="F13732" i="1"/>
  <c r="F13626" i="1"/>
  <c r="F13488" i="1"/>
  <c r="F12912" i="1"/>
  <c r="F12910" i="1"/>
  <c r="F12490" i="1"/>
  <c r="F12226" i="1"/>
  <c r="F12149" i="1"/>
  <c r="F12061" i="1"/>
  <c r="F12043" i="1"/>
  <c r="F11697" i="1"/>
  <c r="F11685" i="1"/>
  <c r="F11427" i="1"/>
  <c r="F10748" i="1"/>
  <c r="F9302" i="1"/>
  <c r="F9070" i="1"/>
  <c r="F9052" i="1"/>
  <c r="F8993" i="1"/>
  <c r="F8857" i="1"/>
  <c r="F7680" i="1"/>
  <c r="F7385" i="1"/>
  <c r="F7123" i="1"/>
  <c r="F7037" i="1"/>
  <c r="F6931" i="1"/>
  <c r="F6929" i="1"/>
  <c r="F6841" i="1"/>
  <c r="F6817" i="1"/>
  <c r="F6729" i="1"/>
  <c r="F5392" i="1"/>
  <c r="F5172" i="1"/>
  <c r="F5093" i="1"/>
  <c r="F5070" i="1"/>
  <c r="F3974" i="1"/>
  <c r="F3864" i="1"/>
  <c r="F3824" i="1"/>
  <c r="F3800" i="1"/>
  <c r="F3700" i="1"/>
  <c r="F3321" i="1"/>
  <c r="F3069" i="1"/>
  <c r="F2854" i="1"/>
  <c r="F2638" i="1"/>
  <c r="F2521" i="1"/>
  <c r="F2441" i="1"/>
  <c r="F2439" i="1"/>
  <c r="F2174" i="1"/>
  <c r="F2156" i="1"/>
  <c r="F1974" i="1"/>
  <c r="F1890" i="1"/>
  <c r="F1726" i="1"/>
  <c r="F1674" i="1"/>
  <c r="F1480" i="1"/>
  <c r="F1419" i="1"/>
  <c r="F1366" i="1"/>
  <c r="F367" i="1"/>
  <c r="F27809" i="1"/>
  <c r="F35399" i="1"/>
  <c r="F35326" i="1"/>
  <c r="F35324" i="1"/>
  <c r="F35282" i="1"/>
  <c r="F34914" i="1"/>
  <c r="F33481" i="1"/>
  <c r="F32507" i="1"/>
  <c r="F32316" i="1"/>
  <c r="F31484" i="1"/>
  <c r="F31479" i="1"/>
  <c r="F31476" i="1"/>
  <c r="F31345" i="1"/>
  <c r="F31344" i="1"/>
  <c r="F31343" i="1"/>
  <c r="F31197" i="1"/>
  <c r="F31189" i="1"/>
  <c r="F31070" i="1"/>
  <c r="F30392" i="1"/>
  <c r="F30391" i="1"/>
  <c r="F29448" i="1"/>
  <c r="F29232" i="1"/>
  <c r="F28556" i="1"/>
  <c r="F28484" i="1"/>
  <c r="F28422" i="1"/>
  <c r="F28403" i="1"/>
  <c r="F28169" i="1"/>
  <c r="F28162" i="1"/>
  <c r="F28002" i="1"/>
  <c r="F27960" i="1"/>
  <c r="F27936" i="1"/>
  <c r="F27649" i="1"/>
  <c r="F27626" i="1"/>
  <c r="F27588" i="1"/>
  <c r="F27578" i="1"/>
  <c r="F27481" i="1"/>
  <c r="F27370" i="1"/>
  <c r="F27230" i="1"/>
  <c r="F27092" i="1"/>
  <c r="F26918" i="1"/>
  <c r="F26914" i="1"/>
  <c r="F26707" i="1"/>
  <c r="F26706" i="1"/>
  <c r="F26702" i="1"/>
  <c r="F26701" i="1"/>
  <c r="F26700" i="1"/>
  <c r="F26640" i="1"/>
  <c r="F26557" i="1"/>
  <c r="F26490" i="1"/>
  <c r="F26480" i="1"/>
  <c r="F25879" i="1"/>
  <c r="F25865" i="1"/>
  <c r="F25864" i="1"/>
  <c r="F25754" i="1"/>
  <c r="F25167" i="1"/>
  <c r="F24538" i="1"/>
  <c r="F24536" i="1"/>
  <c r="F24506" i="1"/>
  <c r="F24353" i="1"/>
  <c r="F24331" i="1"/>
  <c r="F24144" i="1"/>
  <c r="F23827" i="1"/>
  <c r="F23825" i="1"/>
  <c r="F23785" i="1"/>
  <c r="F23744" i="1"/>
  <c r="F23742" i="1"/>
  <c r="F23726" i="1"/>
  <c r="F23725" i="1"/>
  <c r="F19780" i="1"/>
  <c r="F19243" i="1"/>
  <c r="F18941" i="1"/>
  <c r="F18790" i="1"/>
  <c r="F18781" i="1"/>
  <c r="F18461" i="1"/>
  <c r="F18348" i="1"/>
  <c r="F18258" i="1"/>
  <c r="F18207" i="1"/>
  <c r="F17850" i="1"/>
  <c r="F17227" i="1"/>
  <c r="F16447" i="1"/>
  <c r="F16077" i="1"/>
  <c r="F14002" i="1"/>
  <c r="F13367" i="1"/>
  <c r="F13365" i="1"/>
  <c r="F12238" i="1"/>
  <c r="F9936" i="1"/>
  <c r="F9530" i="1"/>
  <c r="F8833" i="1"/>
  <c r="F8827" i="1"/>
  <c r="F8825" i="1"/>
  <c r="F8819" i="1"/>
  <c r="F7882" i="1"/>
  <c r="F7834" i="1"/>
  <c r="F7473" i="1"/>
  <c r="F6663" i="1"/>
  <c r="F6534" i="1"/>
  <c r="F6402" i="1"/>
  <c r="F6254" i="1"/>
  <c r="F6149" i="1"/>
  <c r="F6087" i="1"/>
  <c r="F5793" i="1"/>
  <c r="F4646" i="1"/>
  <c r="F3867" i="1"/>
  <c r="F3828" i="1"/>
  <c r="F3755" i="1"/>
  <c r="F2383" i="1"/>
  <c r="F2366" i="1"/>
  <c r="F2342" i="1"/>
  <c r="F2214" i="1"/>
  <c r="F1143" i="1"/>
  <c r="F1141" i="1"/>
  <c r="F1037" i="1"/>
  <c r="F1022" i="1"/>
  <c r="F1017" i="1"/>
  <c r="F1012" i="1"/>
  <c r="F848" i="1"/>
  <c r="F844" i="1"/>
  <c r="F830" i="1"/>
  <c r="F34684" i="1"/>
  <c r="F28066" i="1"/>
  <c r="F25639" i="1"/>
  <c r="F21646" i="1"/>
  <c r="F15578" i="1"/>
  <c r="F11468" i="1"/>
  <c r="F4635" i="1"/>
  <c r="F4594" i="1"/>
  <c r="F2078" i="1"/>
  <c r="F1074" i="1"/>
  <c r="F892" i="1"/>
  <c r="F36635" i="1"/>
  <c r="F36633" i="1"/>
  <c r="F36488" i="1"/>
  <c r="F36458" i="1"/>
  <c r="F36443" i="1"/>
  <c r="F36246" i="1"/>
  <c r="F36196" i="1"/>
  <c r="F35803" i="1"/>
  <c r="F35795" i="1"/>
  <c r="F35794" i="1"/>
  <c r="F35781" i="1"/>
  <c r="F35779" i="1"/>
  <c r="F35773" i="1"/>
  <c r="F35772" i="1"/>
  <c r="F35767" i="1"/>
  <c r="F35766" i="1"/>
  <c r="F35765" i="1"/>
  <c r="F35760" i="1"/>
  <c r="F35759" i="1"/>
  <c r="F35755" i="1"/>
  <c r="F35754" i="1"/>
  <c r="F35752" i="1"/>
  <c r="F35750" i="1"/>
  <c r="F35720" i="1"/>
  <c r="F35713" i="1"/>
  <c r="F35712" i="1"/>
  <c r="F35709" i="1"/>
  <c r="F35704" i="1"/>
  <c r="F35703" i="1"/>
  <c r="F35700" i="1"/>
  <c r="F35699" i="1"/>
  <c r="F35690" i="1"/>
  <c r="F35677" i="1"/>
  <c r="F35657" i="1"/>
  <c r="F35656" i="1"/>
  <c r="F35651" i="1"/>
  <c r="F35650" i="1"/>
  <c r="F35645" i="1"/>
  <c r="F35643" i="1"/>
  <c r="F35641" i="1"/>
  <c r="F35640" i="1"/>
  <c r="F35611" i="1"/>
  <c r="F35579" i="1"/>
  <c r="F35576" i="1"/>
  <c r="F35488" i="1"/>
  <c r="F35476" i="1"/>
  <c r="F35411" i="1"/>
  <c r="F35309" i="1"/>
  <c r="F35129" i="1"/>
  <c r="F35123" i="1"/>
  <c r="F35092" i="1"/>
  <c r="F35089" i="1"/>
  <c r="F35064" i="1"/>
  <c r="F35063" i="1"/>
  <c r="F35014" i="1"/>
  <c r="F35005" i="1"/>
  <c r="F34997" i="1"/>
  <c r="F34995" i="1"/>
  <c r="F34973" i="1"/>
  <c r="F34960" i="1"/>
  <c r="F34909" i="1"/>
  <c r="F34848" i="1"/>
  <c r="F34797" i="1"/>
  <c r="F34790" i="1"/>
  <c r="F34698" i="1"/>
  <c r="F34672" i="1"/>
  <c r="F34608" i="1"/>
  <c r="F34583" i="1"/>
  <c r="F34578" i="1"/>
  <c r="F34412" i="1"/>
  <c r="F34411" i="1"/>
  <c r="F34391" i="1"/>
  <c r="F34389" i="1"/>
  <c r="F34296" i="1"/>
  <c r="F34253" i="1"/>
  <c r="F34022" i="1"/>
  <c r="F34001" i="1"/>
  <c r="F33994" i="1"/>
  <c r="F33992" i="1"/>
  <c r="F33973" i="1"/>
  <c r="F33972" i="1"/>
  <c r="F33970" i="1"/>
  <c r="F33963" i="1"/>
  <c r="F33851" i="1"/>
  <c r="F33710" i="1"/>
  <c r="F33536" i="1"/>
  <c r="F33534" i="1"/>
  <c r="F33524" i="1"/>
  <c r="F33507" i="1"/>
  <c r="F33506" i="1"/>
  <c r="F33502" i="1"/>
  <c r="F33454" i="1"/>
  <c r="F33437" i="1"/>
  <c r="F33425" i="1"/>
  <c r="F33136" i="1"/>
  <c r="F33004" i="1"/>
  <c r="F32968" i="1"/>
  <c r="F32909" i="1"/>
  <c r="F32816" i="1"/>
  <c r="F32340" i="1"/>
  <c r="F32338" i="1"/>
  <c r="F32327" i="1"/>
  <c r="F32256" i="1"/>
  <c r="F32254" i="1"/>
  <c r="F32213" i="1"/>
  <c r="F32145" i="1"/>
  <c r="F32144" i="1"/>
  <c r="F32134" i="1"/>
  <c r="F32126" i="1"/>
  <c r="F32123" i="1"/>
  <c r="F32114" i="1"/>
  <c r="F32112" i="1"/>
  <c r="F32101" i="1"/>
  <c r="F32081" i="1"/>
  <c r="F32079" i="1"/>
  <c r="F32068" i="1"/>
  <c r="F32066" i="1"/>
  <c r="F32046" i="1"/>
  <c r="F32038" i="1"/>
  <c r="F31993" i="1"/>
  <c r="F31971" i="1"/>
  <c r="F31924" i="1"/>
  <c r="F31909" i="1"/>
  <c r="F31907" i="1"/>
  <c r="F31904" i="1"/>
  <c r="F31898" i="1"/>
  <c r="F31884" i="1"/>
  <c r="F31833" i="1"/>
  <c r="F31789" i="1"/>
  <c r="F31787" i="1"/>
  <c r="F31785" i="1"/>
  <c r="F31777" i="1"/>
  <c r="F31764" i="1"/>
  <c r="F31746" i="1"/>
  <c r="F31690" i="1"/>
  <c r="F31661" i="1"/>
  <c r="F31624" i="1"/>
  <c r="F31525" i="1"/>
  <c r="F31520" i="1"/>
  <c r="F31252" i="1"/>
  <c r="F31174" i="1"/>
  <c r="F31044" i="1"/>
  <c r="F31039" i="1"/>
  <c r="F31004" i="1"/>
  <c r="F30965" i="1"/>
  <c r="F30954" i="1"/>
  <c r="F30945" i="1"/>
  <c r="F30944" i="1"/>
  <c r="F30898" i="1"/>
  <c r="F30845" i="1"/>
  <c r="F30833" i="1"/>
  <c r="F30751" i="1"/>
  <c r="F30702" i="1"/>
  <c r="F30688" i="1"/>
  <c r="F30657" i="1"/>
  <c r="F30654" i="1"/>
  <c r="F30578" i="1"/>
  <c r="F30520" i="1"/>
  <c r="F30519" i="1"/>
  <c r="F30381" i="1"/>
  <c r="F30141" i="1"/>
  <c r="F30116" i="1"/>
  <c r="F29798" i="1"/>
  <c r="F29768" i="1"/>
  <c r="F29748" i="1"/>
  <c r="F29613" i="1"/>
  <c r="F29460" i="1"/>
  <c r="F29442" i="1"/>
  <c r="F29441" i="1"/>
  <c r="F29422" i="1"/>
  <c r="F29421" i="1"/>
  <c r="F29411" i="1"/>
  <c r="F29400" i="1"/>
  <c r="F29378" i="1"/>
  <c r="F29369" i="1"/>
  <c r="F29366" i="1"/>
  <c r="F29353" i="1"/>
  <c r="F29349" i="1"/>
  <c r="F29336" i="1"/>
  <c r="F29335" i="1"/>
  <c r="F29197" i="1"/>
  <c r="F29166" i="1"/>
  <c r="F29163" i="1"/>
  <c r="F29160" i="1"/>
  <c r="F29125" i="1"/>
  <c r="F29113" i="1"/>
  <c r="F29094" i="1"/>
  <c r="F28922" i="1"/>
  <c r="F28879" i="1"/>
  <c r="F28862" i="1"/>
  <c r="F28861" i="1"/>
  <c r="F28610" i="1"/>
  <c r="F28609" i="1"/>
  <c r="F28608" i="1"/>
  <c r="F28548" i="1"/>
  <c r="F28519" i="1"/>
  <c r="F28471" i="1"/>
  <c r="F28466" i="1"/>
  <c r="F28434" i="1"/>
  <c r="F28347" i="1"/>
  <c r="F28335" i="1"/>
  <c r="F28236" i="1"/>
  <c r="F28229" i="1"/>
  <c r="F28228" i="1"/>
  <c r="F28170" i="1"/>
  <c r="F28147" i="1"/>
  <c r="F27933" i="1"/>
  <c r="F27914" i="1"/>
  <c r="F27896" i="1"/>
  <c r="F27841" i="1"/>
  <c r="F27803" i="1"/>
  <c r="F27791" i="1"/>
  <c r="F27739" i="1"/>
  <c r="F27175" i="1"/>
  <c r="F27116" i="1"/>
  <c r="F26922" i="1"/>
  <c r="F26874" i="1"/>
  <c r="F26872" i="1"/>
  <c r="F26829" i="1"/>
  <c r="F26776" i="1"/>
  <c r="F26774" i="1"/>
  <c r="F26749" i="1"/>
  <c r="F26653" i="1"/>
  <c r="F26634" i="1"/>
  <c r="F26590" i="1"/>
  <c r="F26522" i="1"/>
  <c r="F26481" i="1"/>
  <c r="F26461" i="1"/>
  <c r="F26380" i="1"/>
  <c r="F26337" i="1"/>
  <c r="F26216" i="1"/>
  <c r="F25899" i="1"/>
  <c r="F25854" i="1"/>
  <c r="F25623" i="1"/>
  <c r="F23701" i="1"/>
  <c r="F23664" i="1"/>
  <c r="F23662" i="1"/>
  <c r="F23650" i="1"/>
  <c r="F23649" i="1"/>
  <c r="F23647" i="1"/>
  <c r="F23641" i="1"/>
  <c r="F23638" i="1"/>
  <c r="F23630" i="1"/>
  <c r="F23623" i="1"/>
  <c r="F23506" i="1"/>
  <c r="F23447" i="1"/>
  <c r="F23446" i="1"/>
  <c r="F23337" i="1"/>
  <c r="F23332" i="1"/>
  <c r="F23328" i="1"/>
  <c r="F23324" i="1"/>
  <c r="F23321" i="1"/>
  <c r="F23318" i="1"/>
  <c r="F23296" i="1"/>
  <c r="F23215" i="1"/>
  <c r="F23195" i="1"/>
  <c r="F23176" i="1"/>
  <c r="F23170" i="1"/>
  <c r="F23129" i="1"/>
  <c r="F23117" i="1"/>
  <c r="F23066" i="1"/>
  <c r="F22918" i="1"/>
  <c r="F22741" i="1"/>
  <c r="F22737" i="1"/>
  <c r="F22735" i="1"/>
  <c r="F22732" i="1"/>
  <c r="F22728" i="1"/>
  <c r="F22669" i="1"/>
  <c r="F22652" i="1"/>
  <c r="F22547" i="1"/>
  <c r="F22540" i="1"/>
  <c r="F22527" i="1"/>
  <c r="F22513" i="1"/>
  <c r="F22507" i="1"/>
  <c r="F22501" i="1"/>
  <c r="F22495" i="1"/>
  <c r="F22365" i="1"/>
  <c r="F22321" i="1"/>
  <c r="F22169" i="1"/>
  <c r="F22141" i="1"/>
  <c r="F22090" i="1"/>
  <c r="F22087" i="1"/>
  <c r="F21935" i="1"/>
  <c r="F21749" i="1"/>
  <c r="F21747" i="1"/>
  <c r="F21725" i="1"/>
  <c r="F21588" i="1"/>
  <c r="F21503" i="1"/>
  <c r="F21340" i="1"/>
  <c r="F21314" i="1"/>
  <c r="F21294" i="1"/>
  <c r="F21245" i="1"/>
  <c r="F21181" i="1"/>
  <c r="F21162" i="1"/>
  <c r="F21142" i="1"/>
  <c r="F21130" i="1"/>
  <c r="F20950" i="1"/>
  <c r="F20874" i="1"/>
  <c r="F20872" i="1"/>
  <c r="F20800" i="1"/>
  <c r="F20790" i="1"/>
  <c r="F20739" i="1"/>
  <c r="F20586" i="1"/>
  <c r="F20463" i="1"/>
  <c r="F20397" i="1"/>
  <c r="F20367" i="1"/>
  <c r="F20003" i="1"/>
  <c r="F19983" i="1"/>
  <c r="F19808" i="1"/>
  <c r="F19758" i="1"/>
  <c r="F19659" i="1"/>
  <c r="F19606" i="1"/>
  <c r="F19589" i="1"/>
  <c r="F19533" i="1"/>
  <c r="F19529" i="1"/>
  <c r="F19526" i="1"/>
  <c r="F19498" i="1"/>
  <c r="F19490" i="1"/>
  <c r="F19476" i="1"/>
  <c r="F19410" i="1"/>
  <c r="F19374" i="1"/>
  <c r="F19296" i="1"/>
  <c r="F19293" i="1"/>
  <c r="F19286" i="1"/>
  <c r="F19262" i="1"/>
  <c r="F19231" i="1"/>
  <c r="F19213" i="1"/>
  <c r="F19052" i="1"/>
  <c r="F18919" i="1"/>
  <c r="F18844" i="1"/>
  <c r="F18792" i="1"/>
  <c r="F18753" i="1"/>
  <c r="F18355" i="1"/>
  <c r="F18138" i="1"/>
  <c r="F18034" i="1"/>
  <c r="F17989" i="1"/>
  <c r="F17985" i="1"/>
  <c r="F17802" i="1"/>
  <c r="F17475" i="1"/>
  <c r="F17021" i="1"/>
  <c r="F16960" i="1"/>
  <c r="F16379" i="1"/>
  <c r="F16373" i="1"/>
  <c r="F16364" i="1"/>
  <c r="F16356" i="1"/>
  <c r="F16342" i="1"/>
  <c r="F16294" i="1"/>
  <c r="F16266" i="1"/>
  <c r="F16167" i="1"/>
  <c r="F16165" i="1"/>
  <c r="F15990" i="1"/>
  <c r="F15877" i="1"/>
  <c r="F15849" i="1"/>
  <c r="F15768" i="1"/>
  <c r="F15587" i="1"/>
  <c r="F15552" i="1"/>
  <c r="F15539" i="1"/>
  <c r="F15513" i="1"/>
  <c r="F15452" i="1"/>
  <c r="F15451" i="1"/>
  <c r="F15370" i="1"/>
  <c r="F15142" i="1"/>
  <c r="F15110" i="1"/>
  <c r="F15054" i="1"/>
  <c r="F14988" i="1"/>
  <c r="F14422" i="1"/>
  <c r="F14363" i="1"/>
  <c r="F14339" i="1"/>
  <c r="F14311" i="1"/>
  <c r="F14265" i="1"/>
  <c r="F14099" i="1"/>
  <c r="F14085" i="1"/>
  <c r="F13984" i="1"/>
  <c r="F13942" i="1"/>
  <c r="F13892" i="1"/>
  <c r="F13858" i="1"/>
  <c r="F13849" i="1"/>
  <c r="F13787" i="1"/>
  <c r="F13643" i="1"/>
  <c r="F13578" i="1"/>
  <c r="F13577" i="1"/>
  <c r="F13528" i="1"/>
  <c r="F13479" i="1"/>
  <c r="F13468" i="1"/>
  <c r="F13369" i="1"/>
  <c r="F13335" i="1"/>
  <c r="F13333" i="1"/>
  <c r="F13309" i="1"/>
  <c r="F13307" i="1"/>
  <c r="F13305" i="1"/>
  <c r="F13269" i="1"/>
  <c r="F13255" i="1"/>
  <c r="F12936" i="1"/>
  <c r="F12324" i="1"/>
  <c r="F12283" i="1"/>
  <c r="F12170" i="1"/>
  <c r="F12152" i="1"/>
  <c r="F12145" i="1"/>
  <c r="F12086" i="1"/>
  <c r="F12084" i="1"/>
  <c r="F11990" i="1"/>
  <c r="F11902" i="1"/>
  <c r="F11882" i="1"/>
  <c r="F11749" i="1"/>
  <c r="F11699" i="1"/>
  <c r="F11673" i="1"/>
  <c r="F11643" i="1"/>
  <c r="F11591" i="1"/>
  <c r="F11511" i="1"/>
  <c r="F11202" i="1"/>
  <c r="F11095" i="1"/>
  <c r="F10765" i="1"/>
  <c r="F10766" i="1"/>
  <c r="F10684" i="1"/>
  <c r="F10678" i="1"/>
  <c r="F10640" i="1"/>
  <c r="F10559" i="1"/>
  <c r="F10527" i="1"/>
  <c r="F10526" i="1"/>
  <c r="F10510" i="1"/>
  <c r="F10434" i="1"/>
  <c r="F10426" i="1"/>
  <c r="F10364" i="1"/>
  <c r="F10352" i="1"/>
  <c r="F10294" i="1"/>
  <c r="F10292" i="1"/>
  <c r="F10252" i="1"/>
  <c r="F10207" i="1"/>
  <c r="F10174" i="1"/>
  <c r="F10107" i="1"/>
  <c r="F10100" i="1"/>
  <c r="F10066" i="1"/>
  <c r="F10053" i="1"/>
  <c r="F10040" i="1"/>
  <c r="F9908" i="1"/>
  <c r="F9888" i="1"/>
  <c r="F9886" i="1"/>
  <c r="F9884" i="1"/>
  <c r="F9882" i="1"/>
  <c r="F9880" i="1"/>
  <c r="F9879" i="1"/>
  <c r="F9876" i="1"/>
  <c r="F9875" i="1"/>
  <c r="F9873" i="1"/>
  <c r="F9870" i="1"/>
  <c r="F9869" i="1"/>
  <c r="F9866" i="1"/>
  <c r="F9865" i="1"/>
  <c r="F9862" i="1"/>
  <c r="F9861" i="1"/>
  <c r="F9859" i="1"/>
  <c r="F9839" i="1"/>
  <c r="F9822" i="1"/>
  <c r="F9798" i="1"/>
  <c r="F9794" i="1"/>
  <c r="F9773" i="1"/>
  <c r="F9750" i="1"/>
  <c r="F9711" i="1"/>
  <c r="F9708" i="1"/>
  <c r="F9671" i="1"/>
  <c r="F9654" i="1"/>
  <c r="F9626" i="1"/>
  <c r="F9544" i="1"/>
  <c r="F9539" i="1"/>
  <c r="F9534" i="1"/>
  <c r="F9532" i="1"/>
  <c r="F9528" i="1"/>
  <c r="F9332" i="1"/>
  <c r="F8952" i="1"/>
  <c r="F8946" i="1"/>
  <c r="F8746" i="1"/>
  <c r="F8738" i="1"/>
  <c r="F8673" i="1"/>
  <c r="F7939" i="1"/>
  <c r="F7716" i="1"/>
  <c r="F7301" i="1"/>
  <c r="F6692" i="1"/>
  <c r="F6269" i="1"/>
  <c r="F6205" i="1"/>
  <c r="F6167" i="1"/>
  <c r="F5981" i="1"/>
  <c r="F5699" i="1"/>
  <c r="F5672" i="1"/>
  <c r="F5641" i="1"/>
  <c r="F5559" i="1"/>
  <c r="F5464" i="1"/>
  <c r="F5422" i="1"/>
  <c r="F5344" i="1"/>
  <c r="F5258" i="1"/>
  <c r="F5246" i="1"/>
  <c r="F5226" i="1"/>
  <c r="F4721" i="1"/>
  <c r="F4711" i="1"/>
  <c r="F4700" i="1"/>
  <c r="F4692" i="1"/>
  <c r="F4605" i="1"/>
  <c r="F4577" i="1"/>
  <c r="F4576" i="1"/>
  <c r="F4573" i="1"/>
  <c r="F4571" i="1"/>
  <c r="F4567" i="1"/>
  <c r="F4565" i="1"/>
  <c r="F4561" i="1"/>
  <c r="F4555" i="1"/>
  <c r="F4553" i="1"/>
  <c r="F4546" i="1"/>
  <c r="F4528" i="1"/>
  <c r="F4382" i="1"/>
  <c r="F4179" i="1"/>
  <c r="F4169" i="1"/>
  <c r="F3942" i="1"/>
  <c r="F3617" i="1"/>
  <c r="F3564" i="1"/>
  <c r="F3546" i="1"/>
  <c r="F3487" i="1"/>
  <c r="F3469" i="1"/>
  <c r="F3426" i="1"/>
  <c r="F3425" i="1"/>
  <c r="F3405" i="1"/>
  <c r="F3383" i="1"/>
  <c r="F3358" i="1"/>
  <c r="F2978" i="1"/>
  <c r="F2977" i="1"/>
  <c r="F2906" i="1"/>
  <c r="F2878" i="1"/>
  <c r="F2877" i="1"/>
  <c r="F2875" i="1"/>
  <c r="F2872" i="1"/>
  <c r="F2871" i="1"/>
  <c r="F2866" i="1"/>
  <c r="F2864" i="1"/>
  <c r="F2862" i="1"/>
  <c r="F2860" i="1"/>
  <c r="F2824" i="1"/>
  <c r="F2770" i="1"/>
  <c r="F2757" i="1"/>
  <c r="F2754" i="1"/>
  <c r="F2752" i="1"/>
  <c r="F2750" i="1"/>
  <c r="F2742" i="1"/>
  <c r="F2740" i="1"/>
  <c r="F2737" i="1"/>
  <c r="F2724" i="1"/>
  <c r="F2677" i="1"/>
  <c r="F2575" i="1"/>
  <c r="F1293" i="1"/>
  <c r="F1172" i="1"/>
  <c r="F902" i="1"/>
  <c r="F523" i="1"/>
  <c r="F464" i="1"/>
  <c r="F426" i="1"/>
  <c r="F418" i="1"/>
  <c r="F98" i="1"/>
  <c r="F35543" i="1"/>
  <c r="F35483" i="1"/>
  <c r="F35286" i="1"/>
  <c r="F34395" i="1"/>
  <c r="F33792" i="1"/>
  <c r="F33790" i="1"/>
  <c r="F33485" i="1"/>
  <c r="F33410" i="1"/>
  <c r="F31222" i="1"/>
  <c r="F30340" i="1"/>
  <c r="F30169" i="1"/>
  <c r="F29194" i="1"/>
  <c r="F28461" i="1"/>
  <c r="F28458" i="1"/>
  <c r="F28440" i="1"/>
  <c r="F27338" i="1"/>
  <c r="F27255" i="1"/>
  <c r="F27158" i="1"/>
  <c r="F26935" i="1"/>
  <c r="F26152" i="1"/>
  <c r="F26093" i="1"/>
  <c r="F25321" i="1"/>
  <c r="F25305" i="1"/>
  <c r="F25193" i="1"/>
  <c r="F25183" i="1"/>
  <c r="F24924" i="1"/>
  <c r="F24845" i="1"/>
  <c r="F24276" i="1"/>
  <c r="F24099" i="1"/>
  <c r="F23786" i="1"/>
  <c r="F21825" i="1"/>
  <c r="F20740" i="1"/>
  <c r="F19211" i="1"/>
  <c r="F19024" i="1"/>
  <c r="F18827" i="1"/>
  <c r="F17860" i="1"/>
  <c r="F16747" i="1"/>
  <c r="F15360" i="1"/>
  <c r="F14787" i="1"/>
  <c r="F14170" i="1"/>
  <c r="F13994" i="1"/>
  <c r="F13107" i="1"/>
  <c r="F12387" i="1"/>
  <c r="F8496" i="1"/>
  <c r="F7008" i="1"/>
  <c r="F4354" i="1"/>
  <c r="F3338" i="1"/>
  <c r="F3208" i="1"/>
  <c r="F2082" i="1"/>
  <c r="F1978" i="1"/>
  <c r="F1976" i="1"/>
  <c r="F36390" i="1"/>
  <c r="F36330" i="1"/>
  <c r="F36265" i="1"/>
  <c r="F36263" i="1"/>
  <c r="F36251" i="1"/>
  <c r="F36006" i="1"/>
  <c r="F35948" i="1"/>
  <c r="F35942" i="1"/>
  <c r="F35897" i="1"/>
  <c r="F35881" i="1"/>
  <c r="F35865" i="1"/>
  <c r="F35854" i="1"/>
  <c r="F35452" i="1"/>
  <c r="F35179" i="1"/>
  <c r="F35162" i="1"/>
  <c r="F34944" i="1"/>
  <c r="F34785" i="1"/>
  <c r="F34529" i="1"/>
  <c r="F33471" i="1"/>
  <c r="F29925" i="1"/>
  <c r="F29826" i="1"/>
  <c r="F29498" i="1"/>
  <c r="F29417" i="1"/>
  <c r="F29403" i="1"/>
  <c r="F29396" i="1"/>
  <c r="F29375" i="1"/>
  <c r="F28282" i="1"/>
  <c r="F25462" i="1"/>
  <c r="F24972" i="1"/>
  <c r="F24669" i="1"/>
  <c r="F24533" i="1"/>
  <c r="F24140" i="1"/>
  <c r="F23809" i="1"/>
  <c r="F21729" i="1"/>
  <c r="F16312" i="1"/>
  <c r="F13728" i="1"/>
  <c r="F12720" i="1"/>
  <c r="F9208" i="1"/>
  <c r="F8411" i="1"/>
  <c r="F7864" i="1"/>
  <c r="F7819" i="1"/>
  <c r="F5827" i="1"/>
  <c r="F4752" i="1"/>
  <c r="F3787" i="1"/>
  <c r="F2360" i="1"/>
  <c r="F480" i="1"/>
  <c r="F23169" i="1"/>
  <c r="F15187" i="1"/>
  <c r="F22560" i="1"/>
  <c r="F22718" i="1"/>
  <c r="F21234" i="1"/>
  <c r="F20570" i="1"/>
  <c r="F36613" i="1"/>
  <c r="F36512" i="1"/>
  <c r="F36510" i="1"/>
  <c r="F35682" i="1"/>
  <c r="F35072" i="1"/>
  <c r="F35008" i="1"/>
  <c r="F34828" i="1"/>
  <c r="F34827" i="1"/>
  <c r="F32941" i="1"/>
  <c r="F32696" i="1"/>
  <c r="F32843" i="1"/>
  <c r="F32836" i="1"/>
  <c r="F32818" i="1"/>
  <c r="F32574" i="1"/>
  <c r="F29231" i="1"/>
  <c r="F29132" i="1"/>
  <c r="F29130" i="1"/>
  <c r="F28999" i="1"/>
  <c r="F28998" i="1"/>
  <c r="F28991" i="1"/>
  <c r="F28543" i="1"/>
  <c r="F28527" i="1"/>
  <c r="F28443" i="1"/>
  <c r="F27562" i="1"/>
  <c r="F27561" i="1"/>
  <c r="F27411" i="1"/>
  <c r="F27352" i="1"/>
  <c r="F27166" i="1"/>
  <c r="F26783" i="1"/>
  <c r="F26714" i="1"/>
  <c r="F26139" i="1"/>
  <c r="F26045" i="1"/>
  <c r="F25569" i="1"/>
  <c r="F25324" i="1"/>
  <c r="F25043" i="1"/>
  <c r="F25041" i="1"/>
  <c r="F25040" i="1"/>
  <c r="F25038" i="1"/>
  <c r="F24937" i="1"/>
  <c r="F24468" i="1"/>
  <c r="F23961" i="1"/>
  <c r="F23959" i="1"/>
  <c r="F23839" i="1"/>
  <c r="F23837" i="1"/>
  <c r="F23402" i="1"/>
  <c r="F23121" i="1"/>
  <c r="F23006" i="1"/>
  <c r="F23004" i="1"/>
  <c r="F22862" i="1"/>
  <c r="F22298" i="1"/>
  <c r="F22299" i="1"/>
  <c r="F22279" i="1"/>
  <c r="F22160" i="1"/>
  <c r="F22136" i="1"/>
  <c r="F21714" i="1"/>
  <c r="F21558" i="1"/>
  <c r="F19064" i="1"/>
  <c r="F18576" i="1"/>
  <c r="F18476" i="1"/>
  <c r="F17192" i="1"/>
  <c r="F17190" i="1"/>
  <c r="F16717" i="1"/>
  <c r="F16051" i="1"/>
  <c r="F15075" i="1"/>
  <c r="F14160" i="1"/>
  <c r="F12814" i="1"/>
  <c r="F11256" i="1"/>
  <c r="F9966" i="1"/>
  <c r="F7679" i="1"/>
  <c r="F7671" i="1"/>
  <c r="F7663" i="1"/>
  <c r="F7415" i="1"/>
  <c r="F7413" i="1"/>
  <c r="F6803" i="1"/>
  <c r="F6528" i="1"/>
  <c r="F6524" i="1"/>
  <c r="F6255" i="1"/>
  <c r="F4404" i="1"/>
  <c r="F4319" i="1"/>
  <c r="F4137" i="1"/>
  <c r="F4117" i="1"/>
  <c r="F3912" i="1"/>
  <c r="F3806" i="1"/>
  <c r="F3685" i="1"/>
  <c r="F3682" i="1"/>
  <c r="F3495" i="1"/>
  <c r="F3494" i="1"/>
  <c r="F3493" i="1"/>
  <c r="F3492" i="1"/>
  <c r="F3491" i="1"/>
  <c r="F3366" i="1"/>
  <c r="F3287" i="1"/>
  <c r="F2621" i="1"/>
  <c r="F690" i="1"/>
  <c r="F36407" i="1"/>
  <c r="F36224" i="1"/>
  <c r="F35660" i="1"/>
  <c r="F34504" i="1"/>
  <c r="F33846" i="1"/>
  <c r="F33577" i="1"/>
  <c r="F33424" i="1"/>
  <c r="F33189" i="1"/>
  <c r="F31857" i="1"/>
  <c r="F31066" i="1"/>
  <c r="F30415" i="1"/>
  <c r="F29948" i="1"/>
  <c r="F28670" i="1"/>
  <c r="F28638" i="1"/>
  <c r="F28286" i="1"/>
  <c r="F28268" i="1"/>
  <c r="F27955" i="1"/>
  <c r="F27857" i="1"/>
  <c r="F27124" i="1"/>
  <c r="F26888" i="1"/>
  <c r="F25669" i="1"/>
  <c r="F25571" i="1"/>
  <c r="F24383" i="1"/>
  <c r="F23973" i="1"/>
  <c r="F23968" i="1"/>
  <c r="F23695" i="1"/>
  <c r="F23409" i="1"/>
  <c r="F23285" i="1"/>
  <c r="F23263" i="1"/>
  <c r="F22790" i="1"/>
  <c r="F22326" i="1"/>
  <c r="F22215" i="1"/>
  <c r="F20112" i="1"/>
  <c r="F19307" i="1"/>
  <c r="F19277" i="1"/>
  <c r="F18658" i="1"/>
  <c r="F17762" i="1"/>
  <c r="F16713" i="1"/>
  <c r="F16626" i="1"/>
  <c r="F16334" i="1"/>
  <c r="F16288" i="1"/>
  <c r="F13222" i="1"/>
  <c r="F12428" i="1"/>
  <c r="F12203" i="1"/>
  <c r="F12021" i="1"/>
  <c r="F9915" i="1"/>
  <c r="F9156" i="1"/>
  <c r="F8970" i="1"/>
  <c r="F8005" i="1"/>
  <c r="F7710" i="1"/>
  <c r="F6953" i="1"/>
  <c r="F6855" i="1"/>
  <c r="F5035" i="1"/>
  <c r="F3578" i="1"/>
  <c r="F3055" i="1"/>
  <c r="F3008" i="1"/>
  <c r="F1712" i="1"/>
  <c r="F1618" i="1"/>
  <c r="F1500" i="1"/>
  <c r="F594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95" i="1"/>
  <c r="F36621" i="1"/>
  <c r="F36619" i="1"/>
  <c r="F36618" i="1"/>
  <c r="F36609" i="1"/>
  <c r="F36606" i="1"/>
  <c r="F36599" i="1"/>
  <c r="F36587" i="1"/>
  <c r="F36584" i="1"/>
  <c r="F36566" i="1"/>
  <c r="F36403" i="1"/>
  <c r="F36275" i="1"/>
  <c r="F36273" i="1"/>
  <c r="F36009" i="1"/>
  <c r="F36008" i="1"/>
  <c r="F35989" i="1"/>
  <c r="F35906" i="1"/>
  <c r="F35883" i="1"/>
  <c r="F35858" i="1"/>
  <c r="F35852" i="1"/>
  <c r="F35849" i="1"/>
  <c r="F35729" i="1"/>
  <c r="F35457" i="1"/>
  <c r="F35175" i="1"/>
  <c r="F35173" i="1"/>
  <c r="F34942" i="1"/>
  <c r="F34938" i="1"/>
  <c r="F34925" i="1"/>
  <c r="F34892" i="1"/>
  <c r="F34805" i="1"/>
  <c r="F34781" i="1"/>
  <c r="F34654" i="1"/>
  <c r="F34544" i="1"/>
  <c r="F33088" i="1"/>
  <c r="F30421" i="1"/>
  <c r="F30344" i="1"/>
  <c r="F30295" i="1"/>
  <c r="F30227" i="1"/>
  <c r="F30161" i="1"/>
  <c r="F29735" i="1"/>
  <c r="F27452" i="1"/>
  <c r="F26928" i="1"/>
  <c r="F26687" i="1"/>
  <c r="F26620" i="1"/>
  <c r="F26451" i="1"/>
  <c r="F26126" i="1"/>
  <c r="F26115" i="1"/>
  <c r="F25961" i="1"/>
  <c r="F25890" i="1"/>
  <c r="F25721" i="1"/>
  <c r="F25442" i="1"/>
  <c r="F25438" i="1"/>
  <c r="F25434" i="1"/>
  <c r="F25431" i="1"/>
  <c r="F24752" i="1"/>
  <c r="F23309" i="1"/>
  <c r="F22088" i="1"/>
  <c r="F22065" i="1"/>
  <c r="F21465" i="1"/>
  <c r="F16819" i="1"/>
  <c r="F13058" i="1"/>
  <c r="F13057" i="1"/>
  <c r="F10683" i="1"/>
  <c r="F9427" i="1"/>
  <c r="F9282" i="1"/>
  <c r="F7251" i="1"/>
  <c r="F6711" i="1"/>
  <c r="F6237" i="1"/>
  <c r="F6154" i="1"/>
  <c r="F5946" i="1"/>
  <c r="F5939" i="1"/>
  <c r="F5934" i="1"/>
  <c r="F5634" i="1"/>
  <c r="F1132" i="1"/>
  <c r="F34040" i="1"/>
  <c r="F30230" i="1"/>
  <c r="F29736" i="1"/>
  <c r="F27152" i="1"/>
  <c r="F26832" i="1"/>
  <c r="F26818" i="1"/>
  <c r="F25132" i="1"/>
  <c r="F24855" i="1"/>
  <c r="F22314" i="1"/>
  <c r="F21859" i="1"/>
  <c r="F18169" i="1"/>
  <c r="F13232" i="1"/>
  <c r="F6103" i="1"/>
  <c r="F6095" i="1"/>
  <c r="F6091" i="1"/>
  <c r="F6083" i="1"/>
  <c r="F5735" i="1"/>
  <c r="F800" i="1"/>
  <c r="F662" i="1"/>
  <c r="F233" i="1"/>
  <c r="F32790" i="1"/>
  <c r="F31132" i="1"/>
  <c r="F31082" i="1"/>
  <c r="F30320" i="1"/>
  <c r="F29600" i="1"/>
  <c r="F28966" i="1"/>
  <c r="F27009" i="1"/>
  <c r="F26358" i="1"/>
  <c r="F26345" i="1"/>
  <c r="F26317" i="1"/>
  <c r="F25319" i="1"/>
  <c r="F24720" i="1"/>
  <c r="F24614" i="1"/>
  <c r="F24288" i="1"/>
  <c r="F24234" i="1"/>
  <c r="F19097" i="1"/>
  <c r="F17221" i="1"/>
  <c r="F15302" i="1"/>
  <c r="F13424" i="1"/>
  <c r="F13025" i="1"/>
  <c r="F4027" i="1"/>
  <c r="F3446" i="1"/>
  <c r="F3436" i="1"/>
  <c r="F2482" i="1"/>
  <c r="F698" i="1"/>
  <c r="F34954" i="1"/>
  <c r="F34492" i="1"/>
  <c r="F34372" i="1"/>
  <c r="F33941" i="1"/>
  <c r="F33845" i="1"/>
  <c r="F33835" i="1"/>
  <c r="F33163" i="1"/>
  <c r="F32429" i="1"/>
  <c r="F32404" i="1"/>
  <c r="F32381" i="1"/>
  <c r="F32372" i="1"/>
  <c r="F32314" i="1"/>
  <c r="F32292" i="1"/>
  <c r="F31557" i="1"/>
  <c r="F31549" i="1"/>
  <c r="F31541" i="1"/>
  <c r="F31468" i="1"/>
  <c r="F31407" i="1"/>
  <c r="F31208" i="1"/>
  <c r="F30299" i="1"/>
  <c r="F30289" i="1"/>
  <c r="F29840" i="1"/>
  <c r="F29774" i="1"/>
  <c r="F28470" i="1"/>
  <c r="F28304" i="1"/>
  <c r="F28302" i="1"/>
  <c r="F27206" i="1"/>
  <c r="F26617" i="1"/>
  <c r="F26587" i="1"/>
  <c r="F26586" i="1"/>
  <c r="F26585" i="1"/>
  <c r="F26556" i="1"/>
  <c r="F26542" i="1"/>
  <c r="F26512" i="1"/>
  <c r="F26507" i="1"/>
  <c r="F26422" i="1"/>
  <c r="F26392" i="1"/>
  <c r="F26374" i="1"/>
  <c r="F26235" i="1"/>
  <c r="F26175" i="1"/>
  <c r="F25493" i="1"/>
  <c r="F25423" i="1"/>
  <c r="F25379" i="1"/>
  <c r="F25297" i="1"/>
  <c r="F25005" i="1"/>
  <c r="F24964" i="1"/>
  <c r="F24956" i="1"/>
  <c r="F24942" i="1"/>
  <c r="F24925" i="1"/>
  <c r="F24584" i="1"/>
  <c r="F24583" i="1"/>
  <c r="F24582" i="1"/>
  <c r="F24581" i="1"/>
  <c r="F24580" i="1"/>
  <c r="F24573" i="1"/>
  <c r="F24570" i="1"/>
  <c r="F24558" i="1"/>
  <c r="F24557" i="1"/>
  <c r="F24556" i="1"/>
  <c r="F24542" i="1"/>
  <c r="F24520" i="1"/>
  <c r="F24505" i="1"/>
  <c r="F24503" i="1"/>
  <c r="F24499" i="1"/>
  <c r="F24456" i="1"/>
  <c r="F24452" i="1"/>
  <c r="F24426" i="1"/>
  <c r="F24414" i="1"/>
  <c r="F24241" i="1"/>
  <c r="F23729" i="1"/>
  <c r="F23526" i="1"/>
  <c r="F23448" i="1"/>
  <c r="F23165" i="1"/>
  <c r="F22890" i="1"/>
  <c r="F22754" i="1"/>
  <c r="F22355" i="1"/>
  <c r="F22318" i="1"/>
  <c r="F22301" i="1"/>
  <c r="F22240" i="1"/>
  <c r="F22057" i="1"/>
  <c r="F21904" i="1"/>
  <c r="F21863" i="1"/>
  <c r="F21861" i="1"/>
  <c r="F21855" i="1"/>
  <c r="F21829" i="1"/>
  <c r="F21673" i="1"/>
  <c r="F21667" i="1"/>
  <c r="F21632" i="1"/>
  <c r="F21573" i="1"/>
  <c r="F21211" i="1"/>
  <c r="F21163" i="1"/>
  <c r="F20840" i="1"/>
  <c r="F20767" i="1"/>
  <c r="F20763" i="1"/>
  <c r="F20751" i="1"/>
  <c r="F20713" i="1"/>
  <c r="F20676" i="1"/>
  <c r="F20577" i="1"/>
  <c r="F20545" i="1"/>
  <c r="F20543" i="1"/>
  <c r="F20537" i="1"/>
  <c r="F20233" i="1"/>
  <c r="F20102" i="1"/>
  <c r="F20099" i="1"/>
  <c r="F19967" i="1"/>
  <c r="F19745" i="1"/>
  <c r="F19681" i="1"/>
  <c r="F19677" i="1"/>
  <c r="F19675" i="1"/>
  <c r="F19673" i="1"/>
  <c r="F19670" i="1"/>
  <c r="F19666" i="1"/>
  <c r="F19162" i="1"/>
  <c r="F19102" i="1"/>
  <c r="F18972" i="1"/>
  <c r="F18964" i="1"/>
  <c r="F18956" i="1"/>
  <c r="F18952" i="1"/>
  <c r="F18950" i="1"/>
  <c r="F18946" i="1"/>
  <c r="F18944" i="1"/>
  <c r="F18883" i="1"/>
  <c r="F18875" i="1"/>
  <c r="F18798" i="1"/>
  <c r="F18739" i="1"/>
  <c r="F18678" i="1"/>
  <c r="F18635" i="1"/>
  <c r="F18633" i="1"/>
  <c r="F18631" i="1"/>
  <c r="F18629" i="1"/>
  <c r="F18483" i="1"/>
  <c r="F18283" i="1"/>
  <c r="F18209" i="1"/>
  <c r="F18202" i="1"/>
  <c r="F18198" i="1"/>
  <c r="F18163" i="1"/>
  <c r="F17641" i="1"/>
  <c r="F17557" i="1"/>
  <c r="F17551" i="1"/>
  <c r="F17544" i="1"/>
  <c r="F17535" i="1"/>
  <c r="F17312" i="1"/>
  <c r="F16829" i="1"/>
  <c r="F16825" i="1"/>
  <c r="F16737" i="1"/>
  <c r="F16735" i="1"/>
  <c r="F16733" i="1"/>
  <c r="F16729" i="1"/>
  <c r="F16702" i="1"/>
  <c r="F16392" i="1"/>
  <c r="F13213" i="1"/>
  <c r="F11474" i="1"/>
  <c r="F11472" i="1"/>
  <c r="F10601" i="1"/>
  <c r="F8811" i="1"/>
  <c r="F8417" i="1"/>
  <c r="F8283" i="1"/>
  <c r="F7962" i="1"/>
  <c r="F7848" i="1"/>
  <c r="F7770" i="1"/>
  <c r="F7453" i="1"/>
  <c r="F7397" i="1"/>
  <c r="F7352" i="1"/>
  <c r="F7338" i="1"/>
  <c r="F6587" i="1"/>
  <c r="F6186" i="1"/>
  <c r="F5828" i="1"/>
  <c r="F5810" i="1"/>
  <c r="F5666" i="1"/>
  <c r="F4924" i="1"/>
  <c r="F4916" i="1"/>
  <c r="F4164" i="1"/>
  <c r="F4113" i="1"/>
  <c r="F4098" i="1"/>
  <c r="F3680" i="1"/>
  <c r="F3624" i="1"/>
  <c r="F3622" i="1"/>
  <c r="F3615" i="1"/>
  <c r="F3609" i="1"/>
  <c r="F3526" i="1"/>
  <c r="F3516" i="1"/>
  <c r="F2890" i="1"/>
  <c r="F2422" i="1"/>
  <c r="F1720" i="1"/>
  <c r="F451" i="1"/>
  <c r="F35492" i="1"/>
  <c r="F35479" i="1"/>
  <c r="F35120" i="1"/>
  <c r="F34169" i="1"/>
  <c r="F34168" i="1"/>
  <c r="F34167" i="1"/>
  <c r="F34166" i="1"/>
  <c r="F34165" i="1"/>
  <c r="F34163" i="1"/>
  <c r="F34162" i="1"/>
  <c r="F34161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72" i="1"/>
  <c r="F33377" i="1"/>
  <c r="F32975" i="1"/>
  <c r="F32517" i="1"/>
  <c r="F32344" i="1"/>
  <c r="F31581" i="1"/>
  <c r="F31574" i="1"/>
  <c r="F31570" i="1"/>
  <c r="F31569" i="1"/>
  <c r="F31565" i="1"/>
  <c r="F31462" i="1"/>
  <c r="F31275" i="1"/>
  <c r="F31274" i="1"/>
  <c r="F31120" i="1"/>
  <c r="F31111" i="1"/>
  <c r="F31108" i="1"/>
  <c r="F31107" i="1"/>
  <c r="F31074" i="1"/>
  <c r="F31073" i="1"/>
  <c r="F30333" i="1"/>
  <c r="F30330" i="1"/>
  <c r="F30122" i="1"/>
  <c r="F30068" i="1"/>
  <c r="F29827" i="1"/>
  <c r="F27357" i="1"/>
  <c r="F27267" i="1"/>
  <c r="F26831" i="1"/>
  <c r="F26826" i="1"/>
  <c r="F25485" i="1"/>
  <c r="F25457" i="1"/>
  <c r="F25456" i="1"/>
  <c r="F25352" i="1"/>
  <c r="F25292" i="1"/>
  <c r="F25240" i="1"/>
  <c r="F25200" i="1"/>
  <c r="F25138" i="1"/>
  <c r="F24997" i="1"/>
  <c r="F24996" i="1"/>
  <c r="F24951" i="1"/>
  <c r="F24685" i="1"/>
  <c r="F24684" i="1"/>
  <c r="F24683" i="1"/>
  <c r="F24633" i="1"/>
  <c r="F24622" i="1"/>
  <c r="F24621" i="1"/>
  <c r="F24403" i="1"/>
  <c r="F24373" i="1"/>
  <c r="F24029" i="1"/>
  <c r="F23987" i="1"/>
  <c r="F23908" i="1"/>
  <c r="F23895" i="1"/>
  <c r="F23769" i="1"/>
  <c r="F23525" i="1"/>
  <c r="F23420" i="1"/>
  <c r="F23418" i="1"/>
  <c r="F23400" i="1"/>
  <c r="F23311" i="1"/>
  <c r="F22680" i="1"/>
  <c r="F22638" i="1"/>
  <c r="F22550" i="1"/>
  <c r="F21922" i="1"/>
  <c r="F21920" i="1"/>
  <c r="F21918" i="1"/>
  <c r="F21916" i="1"/>
  <c r="F21849" i="1"/>
  <c r="F18894" i="1"/>
  <c r="F18860" i="1"/>
  <c r="F18581" i="1"/>
  <c r="F18323" i="1"/>
  <c r="F18321" i="1"/>
  <c r="F18319" i="1"/>
  <c r="F18317" i="1"/>
  <c r="F18315" i="1"/>
  <c r="F18313" i="1"/>
  <c r="F18311" i="1"/>
  <c r="F18289" i="1"/>
  <c r="F18254" i="1"/>
  <c r="F18216" i="1"/>
  <c r="F18113" i="1"/>
  <c r="F17243" i="1"/>
  <c r="F17241" i="1"/>
  <c r="F17239" i="1"/>
  <c r="F17237" i="1"/>
  <c r="F17235" i="1"/>
  <c r="F17233" i="1"/>
  <c r="F15769" i="1"/>
  <c r="F15576" i="1"/>
  <c r="F15574" i="1"/>
  <c r="F15572" i="1"/>
  <c r="F14969" i="1"/>
  <c r="F14941" i="1"/>
  <c r="F14532" i="1"/>
  <c r="F14517" i="1"/>
  <c r="F14515" i="1"/>
  <c r="F14513" i="1"/>
  <c r="F14508" i="1"/>
  <c r="F14506" i="1"/>
  <c r="F14504" i="1"/>
  <c r="F14498" i="1"/>
  <c r="F14496" i="1"/>
  <c r="F14494" i="1"/>
  <c r="F14492" i="1"/>
  <c r="F14482" i="1"/>
  <c r="F14474" i="1"/>
  <c r="F14470" i="1"/>
  <c r="F14468" i="1"/>
  <c r="F14466" i="1"/>
  <c r="F14464" i="1"/>
  <c r="F14462" i="1"/>
  <c r="F14460" i="1"/>
  <c r="F14457" i="1"/>
  <c r="F14455" i="1"/>
  <c r="F14443" i="1"/>
  <c r="F13567" i="1"/>
  <c r="F13565" i="1"/>
  <c r="F13545" i="1"/>
  <c r="F13543" i="1"/>
  <c r="F12479" i="1"/>
  <c r="F12462" i="1"/>
  <c r="F12460" i="1"/>
  <c r="F12402" i="1"/>
  <c r="F12341" i="1"/>
  <c r="F11753" i="1"/>
  <c r="F11703" i="1"/>
  <c r="F11362" i="1"/>
  <c r="F11147" i="1"/>
  <c r="F10797" i="1"/>
  <c r="F10644" i="1"/>
  <c r="F10642" i="1"/>
  <c r="F10568" i="1"/>
  <c r="F10566" i="1"/>
  <c r="F10564" i="1"/>
  <c r="F10270" i="1"/>
  <c r="F10138" i="1"/>
  <c r="F9425" i="1"/>
  <c r="F9271" i="1"/>
  <c r="F9259" i="1"/>
  <c r="F9204" i="1"/>
  <c r="F9200" i="1"/>
  <c r="F8936" i="1"/>
  <c r="F8123" i="1"/>
  <c r="F8121" i="1"/>
  <c r="F8119" i="1"/>
  <c r="F7866" i="1"/>
  <c r="F7346" i="1"/>
  <c r="F6638" i="1"/>
  <c r="F6518" i="1"/>
  <c r="F6475" i="1"/>
  <c r="F6462" i="1"/>
  <c r="F6443" i="1"/>
  <c r="F6070" i="1"/>
  <c r="F6068" i="1"/>
  <c r="F5725" i="1"/>
  <c r="F5207" i="1"/>
  <c r="F5205" i="1"/>
  <c r="F5203" i="1"/>
  <c r="F5201" i="1"/>
  <c r="F5199" i="1"/>
  <c r="F5197" i="1"/>
  <c r="F5134" i="1"/>
  <c r="F5132" i="1"/>
  <c r="F5072" i="1"/>
  <c r="F5031" i="1"/>
  <c r="F4439" i="1"/>
  <c r="F4428" i="1"/>
  <c r="F3944" i="1"/>
  <c r="F3898" i="1"/>
  <c r="F3560" i="1"/>
  <c r="F3538" i="1"/>
  <c r="F2234" i="1"/>
  <c r="F2232" i="1"/>
  <c r="F2230" i="1"/>
  <c r="F2177" i="1"/>
  <c r="F1650" i="1"/>
  <c r="F1648" i="1"/>
  <c r="F1486" i="1"/>
  <c r="F1094" i="1"/>
  <c r="F976" i="1"/>
  <c r="F946" i="1"/>
  <c r="F35444" i="1"/>
  <c r="F34800" i="1"/>
  <c r="F34398" i="1"/>
  <c r="F34382" i="1"/>
  <c r="F33832" i="1"/>
  <c r="F30307" i="1"/>
  <c r="F25114" i="1"/>
  <c r="F24034" i="1"/>
  <c r="F22633" i="1"/>
  <c r="F17524" i="1"/>
  <c r="F17028" i="1"/>
  <c r="F9893" i="1"/>
  <c r="F7466" i="1"/>
  <c r="F7269" i="1"/>
  <c r="F5516" i="1"/>
  <c r="F4263" i="1"/>
  <c r="F2548" i="1"/>
  <c r="F16787" i="1"/>
  <c r="F35045" i="1"/>
  <c r="F31571" i="1"/>
  <c r="F23281" i="1"/>
  <c r="F21193" i="1"/>
  <c r="F19505" i="1"/>
  <c r="F15210" i="1"/>
  <c r="F13996" i="1"/>
  <c r="F13740" i="1"/>
  <c r="F11965" i="1"/>
  <c r="F10435" i="1"/>
  <c r="F9925" i="1"/>
  <c r="F9165" i="1"/>
  <c r="F4103" i="1"/>
  <c r="F36032" i="1"/>
  <c r="F35887" i="1"/>
  <c r="F35166" i="1"/>
  <c r="F35052" i="1"/>
  <c r="F34584" i="1"/>
  <c r="F33633" i="1"/>
  <c r="F33540" i="1"/>
  <c r="F33512" i="1"/>
  <c r="F33020" i="1"/>
  <c r="F31830" i="1"/>
  <c r="F31386" i="1"/>
  <c r="F30303" i="1"/>
  <c r="F29866" i="1"/>
  <c r="F29742" i="1"/>
  <c r="F29741" i="1"/>
  <c r="F29731" i="1"/>
  <c r="F29425" i="1"/>
  <c r="F29397" i="1"/>
  <c r="F29391" i="1"/>
  <c r="F29386" i="1"/>
  <c r="F29384" i="1"/>
  <c r="F28506" i="1"/>
  <c r="F28490" i="1"/>
  <c r="F28475" i="1"/>
  <c r="F27858" i="1"/>
  <c r="F27379" i="1"/>
  <c r="F27377" i="1"/>
  <c r="F26855" i="1"/>
  <c r="F25869" i="1"/>
  <c r="F25580" i="1"/>
  <c r="F25399" i="1"/>
  <c r="F24970" i="1"/>
  <c r="F24868" i="1"/>
  <c r="F23933" i="1"/>
  <c r="F23932" i="1"/>
  <c r="F23670" i="1"/>
  <c r="F23651" i="1"/>
  <c r="F23627" i="1"/>
  <c r="F21814" i="1"/>
  <c r="F21296" i="1"/>
  <c r="F20726" i="1"/>
  <c r="F20487" i="1"/>
  <c r="F20457" i="1"/>
  <c r="F20287" i="1"/>
  <c r="F20267" i="1"/>
  <c r="F20265" i="1"/>
  <c r="F20263" i="1"/>
  <c r="F20153" i="1"/>
  <c r="F20021" i="1"/>
  <c r="F19500" i="1"/>
  <c r="F18958" i="1"/>
  <c r="F18498" i="1"/>
  <c r="F17874" i="1"/>
  <c r="F15926" i="1"/>
  <c r="F15908" i="1"/>
  <c r="F12707" i="1"/>
  <c r="F8649" i="1"/>
  <c r="F8056" i="1"/>
  <c r="F7949" i="1"/>
  <c r="F7673" i="1"/>
  <c r="F7245" i="1"/>
  <c r="F6075" i="1"/>
  <c r="F6032" i="1"/>
  <c r="F5602" i="1"/>
  <c r="F5164" i="1"/>
  <c r="F4470" i="1"/>
  <c r="F4090" i="1"/>
  <c r="F517" i="1"/>
  <c r="F392" i="1"/>
  <c r="F103" i="1"/>
  <c r="F36520" i="1"/>
  <c r="F36519" i="1"/>
  <c r="F36518" i="1"/>
  <c r="F36517" i="1"/>
  <c r="F36516" i="1"/>
  <c r="F36515" i="1"/>
  <c r="F36514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399" i="1"/>
  <c r="F36398" i="1"/>
  <c r="F36260" i="1"/>
  <c r="F36254" i="1"/>
  <c r="F36253" i="1"/>
  <c r="F36240" i="1"/>
  <c r="F36233" i="1"/>
  <c r="F36209" i="1"/>
  <c r="F36199" i="1"/>
  <c r="F36131" i="1"/>
  <c r="F36072" i="1"/>
  <c r="F36071" i="1"/>
  <c r="F36070" i="1"/>
  <c r="F36064" i="1"/>
  <c r="F36056" i="1"/>
  <c r="F36051" i="1"/>
  <c r="F36028" i="1"/>
  <c r="F36017" i="1"/>
  <c r="F35827" i="1"/>
  <c r="F35825" i="1"/>
  <c r="F35807" i="1"/>
  <c r="F35805" i="1"/>
  <c r="F35694" i="1"/>
  <c r="F35554" i="1"/>
  <c r="F35435" i="1"/>
  <c r="F35355" i="1"/>
  <c r="F35315" i="1"/>
  <c r="F35313" i="1"/>
  <c r="F35244" i="1"/>
  <c r="F35242" i="1"/>
  <c r="F35241" i="1"/>
  <c r="F35136" i="1"/>
  <c r="F35083" i="1"/>
  <c r="F35079" i="1"/>
  <c r="F35055" i="1"/>
  <c r="F34982" i="1"/>
  <c r="F34962" i="1"/>
  <c r="F34801" i="1"/>
  <c r="F34668" i="1"/>
  <c r="F34657" i="1"/>
  <c r="F34640" i="1"/>
  <c r="F34630" i="1"/>
  <c r="F34628" i="1"/>
  <c r="F34627" i="1"/>
  <c r="F34624" i="1"/>
  <c r="F34623" i="1"/>
  <c r="F34621" i="1"/>
  <c r="F34619" i="1"/>
  <c r="F34510" i="1"/>
  <c r="F34501" i="1"/>
  <c r="F34500" i="1"/>
  <c r="F34497" i="1"/>
  <c r="F34376" i="1"/>
  <c r="F34340" i="1"/>
  <c r="F34339" i="1"/>
  <c r="F34261" i="1"/>
  <c r="F34131" i="1"/>
  <c r="F34125" i="1"/>
  <c r="F33872" i="1"/>
  <c r="F33840" i="1"/>
  <c r="F33800" i="1"/>
  <c r="F33798" i="1"/>
  <c r="F33753" i="1"/>
  <c r="F33739" i="1"/>
  <c r="F33687" i="1"/>
  <c r="F33606" i="1"/>
  <c r="F33604" i="1"/>
  <c r="F33453" i="1"/>
  <c r="F33398" i="1"/>
  <c r="F33361" i="1"/>
  <c r="F33360" i="1"/>
  <c r="F33358" i="1"/>
  <c r="F33356" i="1"/>
  <c r="F33176" i="1"/>
  <c r="F33175" i="1"/>
  <c r="F33133" i="1"/>
  <c r="F33098" i="1"/>
  <c r="F33078" i="1"/>
  <c r="F33037" i="1"/>
  <c r="F33028" i="1"/>
  <c r="F32935" i="1"/>
  <c r="F32871" i="1"/>
  <c r="F32870" i="1"/>
  <c r="F32720" i="1"/>
  <c r="F32712" i="1"/>
  <c r="F32708" i="1"/>
  <c r="F32706" i="1"/>
  <c r="F32513" i="1"/>
  <c r="F32399" i="1"/>
  <c r="F32398" i="1"/>
  <c r="F32363" i="1"/>
  <c r="F32350" i="1"/>
  <c r="F32326" i="1"/>
  <c r="F31623" i="1"/>
  <c r="F31622" i="1"/>
  <c r="F31028" i="1"/>
  <c r="F30941" i="1"/>
  <c r="F30434" i="1"/>
  <c r="F30411" i="1"/>
  <c r="F30367" i="1"/>
  <c r="F30288" i="1"/>
  <c r="F30287" i="1"/>
  <c r="F30123" i="1"/>
  <c r="F30114" i="1"/>
  <c r="F30113" i="1"/>
  <c r="F30056" i="1"/>
  <c r="F30050" i="1"/>
  <c r="F29960" i="1"/>
  <c r="F29912" i="1"/>
  <c r="F29875" i="1"/>
  <c r="F29873" i="1"/>
  <c r="F29853" i="1"/>
  <c r="F29601" i="1"/>
  <c r="F29516" i="1"/>
  <c r="F29483" i="1"/>
  <c r="F29476" i="1"/>
  <c r="F29344" i="1"/>
  <c r="F29340" i="1"/>
  <c r="F29332" i="1"/>
  <c r="F29303" i="1"/>
  <c r="F29301" i="1"/>
  <c r="F29275" i="1"/>
  <c r="F29273" i="1"/>
  <c r="F29269" i="1"/>
  <c r="F29192" i="1"/>
  <c r="F29190" i="1"/>
  <c r="F29185" i="1"/>
  <c r="F29184" i="1"/>
  <c r="F29181" i="1"/>
  <c r="F29175" i="1"/>
  <c r="F29168" i="1"/>
  <c r="F29157" i="1"/>
  <c r="F29156" i="1"/>
  <c r="F29155" i="1"/>
  <c r="F29139" i="1"/>
  <c r="F29138" i="1"/>
  <c r="F29133" i="1"/>
  <c r="F29115" i="1"/>
  <c r="F29052" i="1"/>
  <c r="F28935" i="1"/>
  <c r="F28897" i="1"/>
  <c r="F28871" i="1"/>
  <c r="F28799" i="1"/>
  <c r="F28534" i="1"/>
  <c r="F28533" i="1"/>
  <c r="F28532" i="1"/>
  <c r="F28531" i="1"/>
  <c r="F28529" i="1"/>
  <c r="F28515" i="1"/>
  <c r="F28513" i="1"/>
  <c r="F28512" i="1"/>
  <c r="F28511" i="1"/>
  <c r="F28510" i="1"/>
  <c r="F28326" i="1"/>
  <c r="F28325" i="1"/>
  <c r="F28313" i="1"/>
  <c r="F28311" i="1"/>
  <c r="F28294" i="1"/>
  <c r="F28288" i="1"/>
  <c r="F28287" i="1"/>
  <c r="F28285" i="1"/>
  <c r="F28243" i="1"/>
  <c r="F28224" i="1"/>
  <c r="F28150" i="1"/>
  <c r="F27643" i="1"/>
  <c r="F27560" i="1"/>
  <c r="F27509" i="1"/>
  <c r="F27488" i="1"/>
  <c r="F27436" i="1"/>
  <c r="F27237" i="1"/>
  <c r="F27226" i="1"/>
  <c r="F27157" i="1"/>
  <c r="F27047" i="1"/>
  <c r="F27001" i="1"/>
  <c r="F26899" i="1"/>
  <c r="F26890" i="1"/>
  <c r="F26324" i="1"/>
  <c r="F25597" i="1"/>
  <c r="F25595" i="1"/>
  <c r="F25594" i="1"/>
  <c r="F25593" i="1"/>
  <c r="F25592" i="1"/>
  <c r="F25591" i="1"/>
  <c r="F25590" i="1"/>
  <c r="F25589" i="1"/>
  <c r="F25568" i="1"/>
  <c r="F25506" i="1"/>
  <c r="F25499" i="1"/>
  <c r="F25475" i="1"/>
  <c r="F25465" i="1"/>
  <c r="F25420" i="1"/>
  <c r="F25289" i="1"/>
  <c r="F25109" i="1"/>
  <c r="F25108" i="1"/>
  <c r="F25107" i="1"/>
  <c r="F25100" i="1"/>
  <c r="F25089" i="1"/>
  <c r="F25084" i="1"/>
  <c r="F25082" i="1"/>
  <c r="F25073" i="1"/>
  <c r="F25071" i="1"/>
  <c r="F25022" i="1"/>
  <c r="F24969" i="1"/>
  <c r="F24910" i="1"/>
  <c r="F24883" i="1"/>
  <c r="F24869" i="1"/>
  <c r="F24840" i="1"/>
  <c r="F24837" i="1"/>
  <c r="F24835" i="1"/>
  <c r="F24774" i="1"/>
  <c r="F24773" i="1"/>
  <c r="F24689" i="1"/>
  <c r="F24549" i="1"/>
  <c r="F24356" i="1"/>
  <c r="F24211" i="1"/>
  <c r="F24185" i="1"/>
  <c r="F24180" i="1"/>
  <c r="F24065" i="1"/>
  <c r="F24044" i="1"/>
  <c r="F24036" i="1"/>
  <c r="F23915" i="1"/>
  <c r="F23882" i="1"/>
  <c r="F23872" i="1"/>
  <c r="F23849" i="1"/>
  <c r="F23790" i="1"/>
  <c r="F23569" i="1"/>
  <c r="F23032" i="1"/>
  <c r="F21789" i="1"/>
  <c r="F21615" i="1"/>
  <c r="F21606" i="1"/>
  <c r="F21563" i="1"/>
  <c r="F21542" i="1"/>
  <c r="F21470" i="1"/>
  <c r="F21342" i="1"/>
  <c r="F21118" i="1"/>
  <c r="F20973" i="1"/>
  <c r="F20314" i="1"/>
  <c r="F20300" i="1"/>
  <c r="F20237" i="1"/>
  <c r="F20199" i="1"/>
  <c r="F20191" i="1"/>
  <c r="F20011" i="1"/>
  <c r="F19955" i="1"/>
  <c r="F19911" i="1"/>
  <c r="F18932" i="1"/>
  <c r="F18931" i="1"/>
  <c r="F18915" i="1"/>
  <c r="F18909" i="1"/>
  <c r="F18761" i="1"/>
  <c r="F18671" i="1"/>
  <c r="F18666" i="1"/>
  <c r="F18293" i="1"/>
  <c r="F17920" i="1"/>
  <c r="F17712" i="1"/>
  <c r="F17521" i="1"/>
  <c r="F17431" i="1"/>
  <c r="F17318" i="1"/>
  <c r="F16757" i="1"/>
  <c r="F16518" i="1"/>
  <c r="F16326" i="1"/>
  <c r="F16193" i="1"/>
  <c r="F16171" i="1"/>
  <c r="F16093" i="1"/>
  <c r="F16092" i="1"/>
  <c r="F16046" i="1"/>
  <c r="F16043" i="1"/>
  <c r="F16041" i="1"/>
  <c r="F15031" i="1"/>
  <c r="F14954" i="1"/>
  <c r="F14870" i="1"/>
  <c r="F13959" i="1"/>
  <c r="F12128" i="1"/>
  <c r="F11852" i="1"/>
  <c r="F11255" i="1"/>
  <c r="F11222" i="1"/>
  <c r="F11123" i="1"/>
  <c r="F10724" i="1"/>
  <c r="F10574" i="1"/>
  <c r="F10004" i="1"/>
  <c r="F9992" i="1"/>
  <c r="F9448" i="1"/>
  <c r="F9433" i="1"/>
  <c r="F9381" i="1"/>
  <c r="F9362" i="1"/>
  <c r="F8964" i="1"/>
  <c r="F8931" i="1"/>
  <c r="F8843" i="1"/>
  <c r="F8782" i="1"/>
  <c r="F8778" i="1"/>
  <c r="F8776" i="1"/>
  <c r="F8660" i="1"/>
  <c r="F7981" i="1"/>
  <c r="F7947" i="1"/>
  <c r="F7943" i="1"/>
  <c r="F7927" i="1"/>
  <c r="F7921" i="1"/>
  <c r="F7902" i="1"/>
  <c r="F7815" i="1"/>
  <c r="F7690" i="1"/>
  <c r="F7688" i="1"/>
  <c r="F7425" i="1"/>
  <c r="F7399" i="1"/>
  <c r="F7303" i="1"/>
  <c r="F6714" i="1"/>
  <c r="F6612" i="1"/>
  <c r="F6610" i="1"/>
  <c r="F6603" i="1"/>
  <c r="F6503" i="1"/>
  <c r="F6430" i="1"/>
  <c r="F6419" i="1"/>
  <c r="F6202" i="1"/>
  <c r="F6201" i="1"/>
  <c r="F5988" i="1"/>
  <c r="F5638" i="1"/>
  <c r="F5588" i="1"/>
  <c r="F5563" i="1"/>
  <c r="F5446" i="1"/>
  <c r="F5443" i="1"/>
  <c r="F5438" i="1"/>
  <c r="F5319" i="1"/>
  <c r="F5280" i="1"/>
  <c r="F4886" i="1"/>
  <c r="F4884" i="1"/>
  <c r="F4748" i="1"/>
  <c r="F4614" i="1"/>
  <c r="F4530" i="1"/>
  <c r="F4454" i="1"/>
  <c r="F4101" i="1"/>
  <c r="F4053" i="1"/>
  <c r="F4051" i="1"/>
  <c r="F4049" i="1"/>
  <c r="F3969" i="1"/>
  <c r="F3784" i="1"/>
  <c r="F3651" i="1"/>
  <c r="F3506" i="1"/>
  <c r="F3439" i="1"/>
  <c r="F3336" i="1"/>
  <c r="F3260" i="1"/>
  <c r="F3007" i="1"/>
  <c r="F2646" i="1"/>
  <c r="F1139" i="1"/>
  <c r="F1111" i="1"/>
  <c r="F1098" i="1"/>
  <c r="F1092" i="1"/>
  <c r="F1087" i="1"/>
  <c r="F939" i="1"/>
  <c r="F908" i="1"/>
  <c r="F853" i="1"/>
  <c r="F837" i="1"/>
  <c r="F756" i="1"/>
  <c r="F696" i="1"/>
  <c r="F323" i="1"/>
  <c r="F178" i="1"/>
  <c r="F118" i="1"/>
  <c r="F35339" i="1"/>
  <c r="F34881" i="1"/>
  <c r="F34793" i="1"/>
  <c r="F34326" i="1"/>
  <c r="F34218" i="1"/>
  <c r="F33725" i="1"/>
  <c r="F32885" i="1"/>
  <c r="F30409" i="1"/>
  <c r="F28327" i="1"/>
  <c r="F28323" i="1"/>
  <c r="F27938" i="1"/>
  <c r="F27651" i="1"/>
  <c r="F25577" i="1"/>
  <c r="F25389" i="1"/>
  <c r="F20864" i="1"/>
  <c r="F11215" i="1"/>
  <c r="F8661" i="1"/>
  <c r="F6212" i="1"/>
  <c r="F6211" i="1"/>
  <c r="F6126" i="1"/>
  <c r="F5454" i="1"/>
  <c r="F759" i="1"/>
  <c r="F592" i="1"/>
  <c r="F30879" i="1"/>
  <c r="F28579" i="1"/>
  <c r="F31431" i="1"/>
  <c r="F11039" i="1"/>
  <c r="F36227" i="1"/>
  <c r="F34961" i="1"/>
  <c r="F32428" i="1"/>
  <c r="F32377" i="1"/>
  <c r="F32315" i="1"/>
  <c r="F32281" i="1"/>
  <c r="F32269" i="1"/>
  <c r="F29220" i="1"/>
  <c r="F28736" i="1"/>
  <c r="F27653" i="1"/>
  <c r="F26966" i="1"/>
  <c r="F26614" i="1"/>
  <c r="F25741" i="1"/>
  <c r="F25495" i="1"/>
  <c r="F25244" i="1"/>
  <c r="F25215" i="1"/>
  <c r="F24998" i="1"/>
  <c r="F24881" i="1"/>
  <c r="F24495" i="1"/>
  <c r="F24423" i="1"/>
  <c r="F24100" i="1"/>
  <c r="F23728" i="1"/>
  <c r="F22823" i="1"/>
  <c r="F22324" i="1"/>
  <c r="F22225" i="1"/>
  <c r="F20848" i="1"/>
  <c r="F20812" i="1"/>
  <c r="F20562" i="1"/>
  <c r="F20547" i="1"/>
  <c r="F19715" i="1"/>
  <c r="F18984" i="1"/>
  <c r="F18927" i="1"/>
  <c r="F18851" i="1"/>
  <c r="F18281" i="1"/>
  <c r="F17896" i="1"/>
  <c r="F17314" i="1"/>
  <c r="F16821" i="1"/>
  <c r="F16822" i="1"/>
  <c r="F16743" i="1"/>
  <c r="F15599" i="1"/>
  <c r="F15474" i="1"/>
  <c r="F7287" i="1"/>
  <c r="F4585" i="1"/>
  <c r="F2303" i="1"/>
  <c r="F1453" i="1"/>
  <c r="F646" i="1"/>
  <c r="F35756" i="1"/>
  <c r="F35589" i="1"/>
  <c r="F35460" i="1"/>
  <c r="F35296" i="1"/>
  <c r="F35195" i="1"/>
  <c r="F35012" i="1"/>
  <c r="F34968" i="1"/>
  <c r="F34964" i="1"/>
  <c r="F34709" i="1"/>
  <c r="F34271" i="1"/>
  <c r="F34270" i="1"/>
  <c r="F34250" i="1"/>
  <c r="F34249" i="1"/>
  <c r="F34194" i="1"/>
  <c r="F33464" i="1"/>
  <c r="F33463" i="1"/>
  <c r="F33461" i="1"/>
  <c r="F33147" i="1"/>
  <c r="F33126" i="1"/>
  <c r="F33115" i="1"/>
  <c r="F33114" i="1"/>
  <c r="F32913" i="1"/>
  <c r="F32910" i="1"/>
  <c r="F32881" i="1"/>
  <c r="F32798" i="1"/>
  <c r="F32796" i="1"/>
  <c r="F32719" i="1"/>
  <c r="F32579" i="1"/>
  <c r="F32557" i="1"/>
  <c r="F32526" i="1"/>
  <c r="F32511" i="1"/>
  <c r="F31331" i="1"/>
  <c r="F31328" i="1"/>
  <c r="F31327" i="1"/>
  <c r="F31316" i="1"/>
  <c r="F31314" i="1"/>
  <c r="F31096" i="1"/>
  <c r="F31077" i="1"/>
  <c r="F30459" i="1"/>
  <c r="F30456" i="1"/>
  <c r="F30202" i="1"/>
  <c r="F30085" i="1"/>
  <c r="F29856" i="1"/>
  <c r="F29855" i="1"/>
  <c r="F29854" i="1"/>
  <c r="F29848" i="1"/>
  <c r="F29824" i="1"/>
  <c r="F29813" i="1"/>
  <c r="F29812" i="1"/>
  <c r="F29697" i="1"/>
  <c r="F29691" i="1"/>
  <c r="F29677" i="1"/>
  <c r="F29635" i="1"/>
  <c r="F29585" i="1"/>
  <c r="F29578" i="1"/>
  <c r="F29576" i="1"/>
  <c r="F29240" i="1"/>
  <c r="F28945" i="1"/>
  <c r="F28904" i="1"/>
  <c r="F27484" i="1"/>
  <c r="F27224" i="1"/>
  <c r="F27223" i="1"/>
  <c r="F27147" i="1"/>
  <c r="F26997" i="1"/>
  <c r="F26961" i="1"/>
  <c r="F26884" i="1"/>
  <c r="F26880" i="1"/>
  <c r="F26879" i="1"/>
  <c r="F26753" i="1"/>
  <c r="F26520" i="1"/>
  <c r="F26508" i="1"/>
  <c r="F26383" i="1"/>
  <c r="F26212" i="1"/>
  <c r="F26168" i="1"/>
  <c r="F26154" i="1"/>
  <c r="F26153" i="1"/>
  <c r="F25383" i="1"/>
  <c r="F25306" i="1"/>
  <c r="F25300" i="1"/>
  <c r="F25266" i="1"/>
  <c r="F25164" i="1"/>
  <c r="F25048" i="1"/>
  <c r="F24794" i="1"/>
  <c r="F24672" i="1"/>
  <c r="F24667" i="1"/>
  <c r="F24643" i="1"/>
  <c r="F24631" i="1"/>
  <c r="F24629" i="1"/>
  <c r="F24591" i="1"/>
  <c r="F24565" i="1"/>
  <c r="F24548" i="1"/>
  <c r="F24475" i="1"/>
  <c r="F24473" i="1"/>
  <c r="F24416" i="1"/>
  <c r="F24415" i="1"/>
  <c r="F24277" i="1"/>
  <c r="F24252" i="1"/>
  <c r="F24251" i="1"/>
  <c r="F24220" i="1"/>
  <c r="F24172" i="1"/>
  <c r="F24171" i="1"/>
  <c r="F24163" i="1"/>
  <c r="F24137" i="1"/>
  <c r="F24133" i="1"/>
  <c r="F24088" i="1"/>
  <c r="F24061" i="1"/>
  <c r="F24035" i="1"/>
  <c r="F24020" i="1"/>
  <c r="F24013" i="1"/>
  <c r="F24011" i="1"/>
  <c r="F24007" i="1"/>
  <c r="F24002" i="1"/>
  <c r="F23991" i="1"/>
  <c r="F23990" i="1"/>
  <c r="F23988" i="1"/>
  <c r="F23983" i="1"/>
  <c r="F23981" i="1"/>
  <c r="F23980" i="1"/>
  <c r="F23956" i="1"/>
  <c r="F23937" i="1"/>
  <c r="F23817" i="1"/>
  <c r="F23813" i="1"/>
  <c r="F23747" i="1"/>
  <c r="F23528" i="1"/>
  <c r="F23218" i="1"/>
  <c r="F22424" i="1"/>
  <c r="F22390" i="1"/>
  <c r="F22310" i="1"/>
  <c r="F22233" i="1"/>
  <c r="F22231" i="1"/>
  <c r="F22209" i="1"/>
  <c r="F22183" i="1"/>
  <c r="F22173" i="1"/>
  <c r="F21689" i="1"/>
  <c r="F21528" i="1"/>
  <c r="F21096" i="1"/>
  <c r="F21015" i="1"/>
  <c r="F20360" i="1"/>
  <c r="F20235" i="1"/>
  <c r="F19762" i="1"/>
  <c r="F19579" i="1"/>
  <c r="F19519" i="1"/>
  <c r="F18862" i="1"/>
  <c r="F18609" i="1"/>
  <c r="F18605" i="1"/>
  <c r="F18464" i="1"/>
  <c r="F17785" i="1"/>
  <c r="F17433" i="1"/>
  <c r="F17320" i="1"/>
  <c r="F17037" i="1"/>
  <c r="F17001" i="1"/>
  <c r="F16928" i="1"/>
  <c r="F16914" i="1"/>
  <c r="F16892" i="1"/>
  <c r="F16882" i="1"/>
  <c r="F16878" i="1"/>
  <c r="F16871" i="1"/>
  <c r="F16706" i="1"/>
  <c r="F16603" i="1"/>
  <c r="F16584" i="1"/>
  <c r="F16538" i="1"/>
  <c r="F16431" i="1"/>
  <c r="F16377" i="1"/>
  <c r="F16163" i="1"/>
  <c r="F15847" i="1"/>
  <c r="F14902" i="1"/>
  <c r="F14693" i="1"/>
  <c r="F14691" i="1"/>
  <c r="F14632" i="1"/>
  <c r="F14633" i="1"/>
  <c r="F14426" i="1"/>
  <c r="F14410" i="1"/>
  <c r="F13937" i="1"/>
  <c r="F13931" i="1"/>
  <c r="F13929" i="1"/>
  <c r="F13822" i="1"/>
  <c r="F13386" i="1"/>
  <c r="F13098" i="1"/>
  <c r="F13071" i="1"/>
  <c r="F12681" i="1"/>
  <c r="F12195" i="1"/>
  <c r="F11862" i="1"/>
  <c r="F11713" i="1"/>
  <c r="F11551" i="1"/>
  <c r="F11519" i="1"/>
  <c r="F11502" i="1"/>
  <c r="F10785" i="1"/>
  <c r="F10610" i="1"/>
  <c r="F9343" i="1"/>
  <c r="F8902" i="1"/>
  <c r="F8702" i="1"/>
  <c r="F8545" i="1"/>
  <c r="F8395" i="1"/>
  <c r="F8185" i="1"/>
  <c r="F8179" i="1"/>
  <c r="F7898" i="1"/>
  <c r="F7677" i="1"/>
  <c r="F7638" i="1"/>
  <c r="F7624" i="1"/>
  <c r="F7594" i="1"/>
  <c r="F7576" i="1"/>
  <c r="F7554" i="1"/>
  <c r="F7477" i="1"/>
  <c r="F6939" i="1"/>
  <c r="F6896" i="1"/>
  <c r="F6890" i="1"/>
  <c r="F6861" i="1"/>
  <c r="F6743" i="1"/>
  <c r="F6558" i="1"/>
  <c r="F6386" i="1"/>
  <c r="F6384" i="1"/>
  <c r="F6378" i="1"/>
  <c r="F6360" i="1"/>
  <c r="F6326" i="1"/>
  <c r="F6314" i="1"/>
  <c r="F6004" i="1"/>
  <c r="F5264" i="1"/>
  <c r="F4744" i="1"/>
  <c r="F4603" i="1"/>
  <c r="F4274" i="1"/>
  <c r="F4212" i="1"/>
  <c r="F4156" i="1"/>
  <c r="F3818" i="1"/>
  <c r="F3512" i="1"/>
  <c r="F3236" i="1"/>
  <c r="F3234" i="1"/>
  <c r="F3224" i="1"/>
  <c r="F2654" i="1"/>
  <c r="F2517" i="1"/>
  <c r="F2515" i="1"/>
  <c r="F2465" i="1"/>
  <c r="F2463" i="1"/>
  <c r="F2403" i="1"/>
  <c r="F2398" i="1"/>
  <c r="F2396" i="1"/>
  <c r="F1112" i="1"/>
  <c r="F1090" i="1"/>
  <c r="F940" i="1"/>
  <c r="F860" i="1"/>
  <c r="F821" i="1"/>
  <c r="F604" i="1"/>
  <c r="F600" i="1"/>
  <c r="F437" i="1"/>
  <c r="F373" i="1"/>
  <c r="F283" i="1"/>
  <c r="F245" i="1"/>
  <c r="F219" i="1"/>
  <c r="F195" i="1"/>
  <c r="F143" i="1"/>
  <c r="F137" i="1"/>
  <c r="F126" i="1"/>
  <c r="F124" i="1"/>
  <c r="F91" i="1"/>
  <c r="F42" i="1"/>
  <c r="F36332" i="1"/>
  <c r="F36238" i="1"/>
  <c r="F36078" i="1"/>
  <c r="F35992" i="1"/>
  <c r="F35953" i="1"/>
  <c r="F35160" i="1"/>
  <c r="F29965" i="1"/>
  <c r="F29964" i="1"/>
  <c r="F29685" i="1"/>
  <c r="F24656" i="1"/>
  <c r="F12426" i="1"/>
  <c r="F8475" i="1"/>
  <c r="F3798" i="1"/>
  <c r="F36364" i="1"/>
  <c r="F36363" i="1"/>
  <c r="F36362" i="1"/>
  <c r="F36361" i="1"/>
  <c r="F36352" i="1"/>
  <c r="F36302" i="1"/>
  <c r="F36284" i="1"/>
  <c r="F36280" i="1"/>
  <c r="F35747" i="1"/>
  <c r="F35745" i="1"/>
  <c r="F35716" i="1"/>
  <c r="F35661" i="1"/>
  <c r="F35602" i="1"/>
  <c r="F35596" i="1"/>
  <c r="F35511" i="1"/>
  <c r="F35510" i="1"/>
  <c r="F35397" i="1"/>
  <c r="F35295" i="1"/>
  <c r="F35097" i="1"/>
  <c r="F35010" i="1"/>
  <c r="F34902" i="1"/>
  <c r="F34882" i="1"/>
  <c r="F34868" i="1"/>
  <c r="F34867" i="1"/>
  <c r="F34778" i="1"/>
  <c r="F34663" i="1"/>
  <c r="F34661" i="1"/>
  <c r="F34295" i="1"/>
  <c r="F34209" i="1"/>
  <c r="F34130" i="1"/>
  <c r="F34129" i="1"/>
  <c r="F34070" i="1"/>
  <c r="F34033" i="1"/>
  <c r="F33928" i="1"/>
  <c r="F33919" i="1"/>
  <c r="F33917" i="1"/>
  <c r="F33915" i="1"/>
  <c r="F33882" i="1"/>
  <c r="F33877" i="1"/>
  <c r="F33876" i="1"/>
  <c r="F33868" i="1"/>
  <c r="F33843" i="1"/>
  <c r="F33842" i="1"/>
  <c r="F33804" i="1"/>
  <c r="F33803" i="1"/>
  <c r="F33799" i="1"/>
  <c r="F33791" i="1"/>
  <c r="F33721" i="1"/>
  <c r="F33697" i="1"/>
  <c r="F33684" i="1"/>
  <c r="F33681" i="1"/>
  <c r="F33678" i="1"/>
  <c r="F33672" i="1"/>
  <c r="F33670" i="1"/>
  <c r="F33668" i="1"/>
  <c r="F33601" i="1"/>
  <c r="F33574" i="1"/>
  <c r="F33552" i="1"/>
  <c r="F33491" i="1"/>
  <c r="F33433" i="1"/>
  <c r="F33408" i="1"/>
  <c r="F33382" i="1"/>
  <c r="F33371" i="1"/>
  <c r="F33363" i="1"/>
  <c r="F33362" i="1"/>
  <c r="F33200" i="1"/>
  <c r="F33194" i="1"/>
  <c r="F33193" i="1"/>
  <c r="F33173" i="1"/>
  <c r="F33120" i="1"/>
  <c r="F33119" i="1"/>
  <c r="F33094" i="1"/>
  <c r="F33070" i="1"/>
  <c r="F33065" i="1"/>
  <c r="F33044" i="1"/>
  <c r="F33043" i="1"/>
  <c r="F33042" i="1"/>
  <c r="F33041" i="1"/>
  <c r="F33018" i="1"/>
  <c r="F33017" i="1"/>
  <c r="F33016" i="1"/>
  <c r="F33014" i="1"/>
  <c r="F32997" i="1"/>
  <c r="F32984" i="1"/>
  <c r="F32979" i="1"/>
  <c r="F32928" i="1"/>
  <c r="F32872" i="1"/>
  <c r="F32840" i="1"/>
  <c r="F32824" i="1"/>
  <c r="F32786" i="1"/>
  <c r="F32730" i="1"/>
  <c r="F32722" i="1"/>
  <c r="F32693" i="1"/>
  <c r="F32688" i="1"/>
  <c r="F32675" i="1"/>
  <c r="F32669" i="1"/>
  <c r="F32638" i="1"/>
  <c r="F32627" i="1"/>
  <c r="F32614" i="1"/>
  <c r="F32608" i="1"/>
  <c r="F32607" i="1"/>
  <c r="F32605" i="1"/>
  <c r="F32603" i="1"/>
  <c r="F32602" i="1"/>
  <c r="F32595" i="1"/>
  <c r="F32594" i="1"/>
  <c r="F32590" i="1"/>
  <c r="F32589" i="1"/>
  <c r="F32586" i="1"/>
  <c r="F32573" i="1"/>
  <c r="F32556" i="1"/>
  <c r="F32523" i="1"/>
  <c r="F32503" i="1"/>
  <c r="F32502" i="1"/>
  <c r="F32355" i="1"/>
  <c r="F32333" i="1"/>
  <c r="F32331" i="1"/>
  <c r="F32329" i="1"/>
  <c r="F32322" i="1"/>
  <c r="F32318" i="1"/>
  <c r="F32317" i="1"/>
  <c r="F32312" i="1"/>
  <c r="F32278" i="1"/>
  <c r="F32187" i="1"/>
  <c r="F32072" i="1"/>
  <c r="F32070" i="1"/>
  <c r="F32062" i="1"/>
  <c r="F32011" i="1"/>
  <c r="F31977" i="1"/>
  <c r="F31966" i="1"/>
  <c r="F31895" i="1"/>
  <c r="F31881" i="1"/>
  <c r="F31875" i="1"/>
  <c r="F31847" i="1"/>
  <c r="F31839" i="1"/>
  <c r="F31773" i="1"/>
  <c r="F31772" i="1"/>
  <c r="F31742" i="1"/>
  <c r="F31542" i="1"/>
  <c r="F31451" i="1"/>
  <c r="F31449" i="1"/>
  <c r="F31409" i="1"/>
  <c r="F31390" i="1"/>
  <c r="F31372" i="1"/>
  <c r="F31370" i="1"/>
  <c r="F31313" i="1"/>
  <c r="F31311" i="1"/>
  <c r="F31310" i="1"/>
  <c r="F31309" i="1"/>
  <c r="F31308" i="1"/>
  <c r="F31307" i="1"/>
  <c r="F31258" i="1"/>
  <c r="F31171" i="1"/>
  <c r="F31170" i="1"/>
  <c r="F31151" i="1"/>
  <c r="F31097" i="1"/>
  <c r="F31016" i="1"/>
  <c r="F31001" i="1"/>
  <c r="F30939" i="1"/>
  <c r="F30925" i="1"/>
  <c r="F30924" i="1"/>
  <c r="F30919" i="1"/>
  <c r="F30912" i="1"/>
  <c r="F30903" i="1"/>
  <c r="F30902" i="1"/>
  <c r="F30899" i="1"/>
  <c r="F30614" i="1"/>
  <c r="F30895" i="1"/>
  <c r="F30886" i="1"/>
  <c r="F30857" i="1"/>
  <c r="F30603" i="1"/>
  <c r="F30569" i="1"/>
  <c r="F30175" i="1"/>
  <c r="F30084" i="1"/>
  <c r="F29561" i="1"/>
  <c r="F29159" i="1"/>
  <c r="F29059" i="1"/>
  <c r="F29020" i="1"/>
  <c r="F28888" i="1"/>
  <c r="F27485" i="1"/>
  <c r="F27424" i="1"/>
  <c r="F27302" i="1"/>
  <c r="F27227" i="1"/>
  <c r="F27212" i="1"/>
  <c r="F27204" i="1"/>
  <c r="F27087" i="1"/>
  <c r="F27073" i="1"/>
  <c r="F26947" i="1"/>
  <c r="F26882" i="1"/>
  <c r="F26754" i="1"/>
  <c r="F26379" i="1"/>
  <c r="F26331" i="1"/>
  <c r="F26330" i="1"/>
  <c r="F26329" i="1"/>
  <c r="F25940" i="1"/>
  <c r="F25681" i="1"/>
  <c r="F24849" i="1"/>
  <c r="F24829" i="1"/>
  <c r="F24828" i="1"/>
  <c r="F24820" i="1"/>
  <c r="F24812" i="1"/>
  <c r="F24766" i="1"/>
  <c r="F24761" i="1"/>
  <c r="F24572" i="1"/>
  <c r="F24571" i="1"/>
  <c r="F24569" i="1"/>
  <c r="F24543" i="1"/>
  <c r="F24541" i="1"/>
  <c r="F24519" i="1"/>
  <c r="F24512" i="1"/>
  <c r="F24511" i="1"/>
  <c r="F24488" i="1"/>
  <c r="F24487" i="1"/>
  <c r="F24486" i="1"/>
  <c r="F24485" i="1"/>
  <c r="F23415" i="1"/>
  <c r="F23411" i="1"/>
  <c r="F23344" i="1"/>
  <c r="F23342" i="1"/>
  <c r="F23227" i="1"/>
  <c r="F23203" i="1"/>
  <c r="F23184" i="1"/>
  <c r="F23180" i="1"/>
  <c r="F23179" i="1"/>
  <c r="F23100" i="1"/>
  <c r="F23099" i="1"/>
  <c r="F23079" i="1"/>
  <c r="F23074" i="1"/>
  <c r="F23025" i="1"/>
  <c r="F22909" i="1"/>
  <c r="F22814" i="1"/>
  <c r="F22796" i="1"/>
  <c r="F22786" i="1"/>
  <c r="F22773" i="1"/>
  <c r="F22768" i="1"/>
  <c r="F22744" i="1"/>
  <c r="F22742" i="1"/>
  <c r="F22678" i="1"/>
  <c r="F22605" i="1"/>
  <c r="F22602" i="1"/>
  <c r="F22592" i="1"/>
  <c r="F22584" i="1"/>
  <c r="F22566" i="1"/>
  <c r="F22473" i="1"/>
  <c r="F22453" i="1"/>
  <c r="F22435" i="1"/>
  <c r="F22429" i="1"/>
  <c r="F22235" i="1"/>
  <c r="F22181" i="1"/>
  <c r="F22037" i="1"/>
  <c r="F21910" i="1"/>
  <c r="F21871" i="1"/>
  <c r="F21771" i="1"/>
  <c r="F21769" i="1"/>
  <c r="F21598" i="1"/>
  <c r="F21544" i="1"/>
  <c r="F21457" i="1"/>
  <c r="F21370" i="1"/>
  <c r="F21281" i="1"/>
  <c r="F21279" i="1"/>
  <c r="F21134" i="1"/>
  <c r="F21101" i="1"/>
  <c r="F21004" i="1"/>
  <c r="F20981" i="1"/>
  <c r="F20955" i="1"/>
  <c r="F20343" i="1"/>
  <c r="F20305" i="1"/>
  <c r="F20197" i="1"/>
  <c r="F20127" i="1"/>
  <c r="F20043" i="1"/>
  <c r="F20039" i="1"/>
  <c r="F19917" i="1"/>
  <c r="F19798" i="1"/>
  <c r="F19739" i="1"/>
  <c r="F19205" i="1"/>
  <c r="F19193" i="1"/>
  <c r="F19168" i="1"/>
  <c r="F19059" i="1"/>
  <c r="F18676" i="1"/>
  <c r="F18373" i="1"/>
  <c r="F17900" i="1"/>
  <c r="F17831" i="1"/>
  <c r="F17789" i="1"/>
  <c r="F17665" i="1"/>
  <c r="F17661" i="1"/>
  <c r="F17631" i="1"/>
  <c r="F17623" i="1"/>
  <c r="F17621" i="1"/>
  <c r="F17613" i="1"/>
  <c r="F17611" i="1"/>
  <c r="F17608" i="1"/>
  <c r="F17597" i="1"/>
  <c r="F17598" i="1"/>
  <c r="F17593" i="1"/>
  <c r="F17591" i="1"/>
  <c r="F17589" i="1"/>
  <c r="F17581" i="1"/>
  <c r="F17579" i="1"/>
  <c r="F17577" i="1"/>
  <c r="F17575" i="1"/>
  <c r="F17573" i="1"/>
  <c r="F17571" i="1"/>
  <c r="F17095" i="1"/>
  <c r="F17081" i="1"/>
  <c r="F17077" i="1"/>
  <c r="F17065" i="1"/>
  <c r="F17059" i="1"/>
  <c r="F17047" i="1"/>
  <c r="F17025" i="1"/>
  <c r="F16776" i="1"/>
  <c r="F16694" i="1"/>
  <c r="F16384" i="1"/>
  <c r="F16317" i="1"/>
  <c r="F16146" i="1"/>
  <c r="F16123" i="1"/>
  <c r="F16105" i="1"/>
  <c r="F16028" i="1"/>
  <c r="F15982" i="1"/>
  <c r="F15819" i="1"/>
  <c r="F15597" i="1"/>
  <c r="F15585" i="1"/>
  <c r="F14763" i="1"/>
  <c r="F14749" i="1"/>
  <c r="F14724" i="1"/>
  <c r="F14654" i="1"/>
  <c r="F14595" i="1"/>
  <c r="F14592" i="1"/>
  <c r="F14588" i="1"/>
  <c r="F14271" i="1"/>
  <c r="F14148" i="1"/>
  <c r="F14038" i="1"/>
  <c r="F14035" i="1"/>
  <c r="F13939" i="1"/>
  <c r="F13854" i="1"/>
  <c r="F13834" i="1"/>
  <c r="F13832" i="1"/>
  <c r="F13830" i="1"/>
  <c r="F13760" i="1"/>
  <c r="F13721" i="1"/>
  <c r="F13698" i="1"/>
  <c r="F13691" i="1"/>
  <c r="F13653" i="1"/>
  <c r="F13645" i="1"/>
  <c r="F13612" i="1"/>
  <c r="F13606" i="1"/>
  <c r="F13521" i="1"/>
  <c r="F13500" i="1"/>
  <c r="F13495" i="1"/>
  <c r="F13492" i="1"/>
  <c r="F13490" i="1"/>
  <c r="F13353" i="1"/>
  <c r="F13157" i="1"/>
  <c r="F12702" i="1"/>
  <c r="F12526" i="1"/>
  <c r="F12522" i="1"/>
  <c r="F12361" i="1"/>
  <c r="F12357" i="1"/>
  <c r="F12345" i="1"/>
  <c r="F12326" i="1"/>
  <c r="F12303" i="1"/>
  <c r="F12297" i="1"/>
  <c r="F12293" i="1"/>
  <c r="F12240" i="1"/>
  <c r="F12201" i="1"/>
  <c r="F12096" i="1"/>
  <c r="F12092" i="1"/>
  <c r="F11904" i="1"/>
  <c r="F11900" i="1"/>
  <c r="F11896" i="1"/>
  <c r="F11824" i="1"/>
  <c r="F11814" i="1"/>
  <c r="F11810" i="1"/>
  <c r="F11709" i="1"/>
  <c r="F11613" i="1"/>
  <c r="F11585" i="1"/>
  <c r="F11573" i="1"/>
  <c r="F11531" i="1"/>
  <c r="F11525" i="1"/>
  <c r="F11521" i="1"/>
  <c r="F11480" i="1"/>
  <c r="F11478" i="1"/>
  <c r="F11476" i="1"/>
  <c r="F11458" i="1"/>
  <c r="F11444" i="1"/>
  <c r="F11417" i="1"/>
  <c r="F11381" i="1"/>
  <c r="F11370" i="1"/>
  <c r="F11053" i="1"/>
  <c r="F11017" i="1"/>
  <c r="F10745" i="1"/>
  <c r="F10730" i="1"/>
  <c r="F10702" i="1"/>
  <c r="F9982" i="1"/>
  <c r="F9971" i="1"/>
  <c r="F9166" i="1"/>
  <c r="F9044" i="1"/>
  <c r="F9035" i="1"/>
  <c r="F9032" i="1"/>
  <c r="F8925" i="1"/>
  <c r="F8698" i="1"/>
  <c r="F8439" i="1"/>
  <c r="F8369" i="1"/>
  <c r="F8275" i="1"/>
  <c r="F8251" i="1"/>
  <c r="F8197" i="1"/>
  <c r="F8195" i="1"/>
  <c r="F8170" i="1"/>
  <c r="F7708" i="1"/>
  <c r="F7665" i="1"/>
  <c r="F7661" i="1"/>
  <c r="F7618" i="1"/>
  <c r="F7596" i="1"/>
  <c r="F7423" i="1"/>
  <c r="F7239" i="1"/>
  <c r="F7229" i="1"/>
  <c r="F7223" i="1"/>
  <c r="F7195" i="1"/>
  <c r="F7167" i="1"/>
  <c r="F7155" i="1"/>
  <c r="F7153" i="1"/>
  <c r="F7145" i="1"/>
  <c r="F7136" i="1"/>
  <c r="F7133" i="1"/>
  <c r="F7114" i="1"/>
  <c r="F7091" i="1"/>
  <c r="F6985" i="1"/>
  <c r="F6982" i="1"/>
  <c r="F6980" i="1"/>
  <c r="F6945" i="1"/>
  <c r="F6943" i="1"/>
  <c r="F6935" i="1"/>
  <c r="F6933" i="1"/>
  <c r="F6926" i="1"/>
  <c r="F6866" i="1"/>
  <c r="F6823" i="1"/>
  <c r="F6811" i="1"/>
  <c r="F6801" i="1"/>
  <c r="F6797" i="1"/>
  <c r="F6795" i="1"/>
  <c r="F6787" i="1"/>
  <c r="F6785" i="1"/>
  <c r="F6779" i="1"/>
  <c r="F6459" i="1"/>
  <c r="F5417" i="1"/>
  <c r="F5048" i="1"/>
  <c r="F3928" i="1"/>
  <c r="F3649" i="1"/>
  <c r="F2309" i="1"/>
  <c r="F2276" i="1"/>
  <c r="F2270" i="1"/>
  <c r="F2264" i="1"/>
  <c r="F2258" i="1"/>
  <c r="F2252" i="1"/>
  <c r="F2250" i="1"/>
  <c r="F2185" i="1"/>
  <c r="F2172" i="1"/>
  <c r="F2152" i="1"/>
  <c r="F2139" i="1"/>
  <c r="F2128" i="1"/>
  <c r="F2102" i="1"/>
  <c r="F2090" i="1"/>
  <c r="F2088" i="1"/>
  <c r="F2042" i="1"/>
  <c r="F2040" i="1"/>
  <c r="F1968" i="1"/>
  <c r="F1966" i="1"/>
  <c r="F1960" i="1"/>
  <c r="F1954" i="1"/>
  <c r="F1876" i="1"/>
  <c r="F1874" i="1"/>
  <c r="F1814" i="1"/>
  <c r="F1746" i="1"/>
  <c r="F1724" i="1"/>
  <c r="F1704" i="1"/>
  <c r="F1700" i="1"/>
  <c r="F1684" i="1"/>
  <c r="F1670" i="1"/>
  <c r="F1664" i="1"/>
  <c r="F1660" i="1"/>
  <c r="F1656" i="1"/>
  <c r="F1644" i="1"/>
  <c r="F1642" i="1"/>
  <c r="F1626" i="1"/>
  <c r="F1624" i="1"/>
  <c r="F1598" i="1"/>
  <c r="F1562" i="1"/>
  <c r="F1546" i="1"/>
  <c r="F1533" i="1"/>
  <c r="F1518" i="1"/>
  <c r="F1492" i="1"/>
  <c r="F1484" i="1"/>
  <c r="F1478" i="1"/>
  <c r="F1476" i="1"/>
  <c r="F1439" i="1"/>
  <c r="F1437" i="1"/>
  <c r="F1414" i="1"/>
  <c r="F1412" i="1"/>
  <c r="F1394" i="1"/>
  <c r="F1367" i="1"/>
  <c r="F1364" i="1"/>
  <c r="F1362" i="1"/>
  <c r="F1357" i="1"/>
  <c r="F1355" i="1"/>
  <c r="F936" i="1"/>
  <c r="F934" i="1"/>
  <c r="F909" i="1"/>
  <c r="F842" i="1"/>
  <c r="F728" i="1"/>
  <c r="F36586" i="1"/>
  <c r="F36353" i="1"/>
  <c r="F36351" i="1"/>
  <c r="F36277" i="1"/>
  <c r="F36261" i="1"/>
  <c r="F36247" i="1"/>
  <c r="F36243" i="1"/>
  <c r="F36241" i="1"/>
  <c r="F36216" i="1"/>
  <c r="F36207" i="1"/>
  <c r="F36188" i="1"/>
  <c r="F36166" i="1"/>
  <c r="F36165" i="1"/>
  <c r="F36112" i="1"/>
  <c r="F36029" i="1"/>
  <c r="F35824" i="1"/>
  <c r="F35817" i="1"/>
  <c r="F35815" i="1"/>
  <c r="F35813" i="1"/>
  <c r="F35789" i="1"/>
  <c r="F35787" i="1"/>
  <c r="F35775" i="1"/>
  <c r="F35746" i="1"/>
  <c r="F35705" i="1"/>
  <c r="F35702" i="1"/>
  <c r="F35689" i="1"/>
  <c r="F35679" i="1"/>
  <c r="F35671" i="1"/>
  <c r="F35668" i="1"/>
  <c r="F35667" i="1"/>
  <c r="F35665" i="1"/>
  <c r="F35663" i="1"/>
  <c r="F35662" i="1"/>
  <c r="F35635" i="1"/>
  <c r="F35629" i="1"/>
  <c r="F35622" i="1"/>
  <c r="F35620" i="1"/>
  <c r="F35616" i="1"/>
  <c r="F35615" i="1"/>
  <c r="F35599" i="1"/>
  <c r="F35591" i="1"/>
  <c r="F35590" i="1"/>
  <c r="F35584" i="1"/>
  <c r="F35560" i="1"/>
  <c r="F35517" i="1"/>
  <c r="F35516" i="1"/>
  <c r="F35513" i="1"/>
  <c r="F35509" i="1"/>
  <c r="F35507" i="1"/>
  <c r="F35505" i="1"/>
  <c r="F35504" i="1"/>
  <c r="F35442" i="1"/>
  <c r="F35441" i="1"/>
  <c r="F35418" i="1"/>
  <c r="F35407" i="1"/>
  <c r="F35377" i="1"/>
  <c r="F35351" i="1"/>
  <c r="F35345" i="1"/>
  <c r="F35340" i="1"/>
  <c r="F35330" i="1"/>
  <c r="F35318" i="1"/>
  <c r="F35310" i="1"/>
  <c r="F35308" i="1"/>
  <c r="F35302" i="1"/>
  <c r="F35227" i="1"/>
  <c r="F35208" i="1"/>
  <c r="F35196" i="1"/>
  <c r="F35194" i="1"/>
  <c r="F35193" i="1"/>
  <c r="F35096" i="1"/>
  <c r="F35095" i="1"/>
  <c r="F35094" i="1"/>
  <c r="F35078" i="1"/>
  <c r="F35074" i="1"/>
  <c r="F35026" i="1"/>
  <c r="F35025" i="1"/>
  <c r="F34988" i="1"/>
  <c r="F34966" i="1"/>
  <c r="F34953" i="1"/>
  <c r="F34950" i="1"/>
  <c r="F34907" i="1"/>
  <c r="F34885" i="1"/>
  <c r="F34884" i="1"/>
  <c r="F34877" i="1"/>
  <c r="F34870" i="1"/>
  <c r="F34866" i="1"/>
  <c r="F34847" i="1"/>
  <c r="F34788" i="1"/>
  <c r="F34787" i="1"/>
  <c r="F34768" i="1"/>
  <c r="F34767" i="1"/>
  <c r="F34753" i="1"/>
  <c r="F34749" i="1"/>
  <c r="F34744" i="1"/>
  <c r="F34720" i="1"/>
  <c r="F34719" i="1"/>
  <c r="F34705" i="1"/>
  <c r="F34704" i="1"/>
  <c r="F34703" i="1"/>
  <c r="F34694" i="1"/>
  <c r="F34691" i="1"/>
  <c r="F34690" i="1"/>
  <c r="F34689" i="1"/>
  <c r="F34606" i="1"/>
  <c r="F34470" i="1"/>
  <c r="F34404" i="1"/>
  <c r="F34291" i="1"/>
  <c r="F34272" i="1"/>
  <c r="F34232" i="1"/>
  <c r="F34231" i="1"/>
  <c r="F34230" i="1"/>
  <c r="F34213" i="1"/>
  <c r="F34210" i="1"/>
  <c r="F34192" i="1"/>
  <c r="F34045" i="1"/>
  <c r="F33916" i="1"/>
  <c r="F33880" i="1"/>
  <c r="F33874" i="1"/>
  <c r="F33873" i="1"/>
  <c r="F33870" i="1"/>
  <c r="F33869" i="1"/>
  <c r="F33864" i="1"/>
  <c r="F33806" i="1"/>
  <c r="F33795" i="1"/>
  <c r="F33788" i="1"/>
  <c r="F33787" i="1"/>
  <c r="F33757" i="1"/>
  <c r="F33756" i="1"/>
  <c r="F33755" i="1"/>
  <c r="F33754" i="1"/>
  <c r="F33728" i="1"/>
  <c r="F33726" i="1"/>
  <c r="F33723" i="1"/>
  <c r="F33722" i="1"/>
  <c r="F33712" i="1"/>
  <c r="F33701" i="1"/>
  <c r="F33698" i="1"/>
  <c r="F33694" i="1"/>
  <c r="F33691" i="1"/>
  <c r="F33690" i="1"/>
  <c r="F33689" i="1"/>
  <c r="F33627" i="1"/>
  <c r="F33624" i="1"/>
  <c r="F33592" i="1"/>
  <c r="F33591" i="1"/>
  <c r="F33588" i="1"/>
  <c r="F33583" i="1"/>
  <c r="F33580" i="1"/>
  <c r="F33579" i="1"/>
  <c r="F33578" i="1"/>
  <c r="F33576" i="1"/>
  <c r="F33572" i="1"/>
  <c r="F33571" i="1"/>
  <c r="F33570" i="1"/>
  <c r="F33561" i="1"/>
  <c r="F33550" i="1"/>
  <c r="F33549" i="1"/>
  <c r="F33547" i="1"/>
  <c r="F33546" i="1"/>
  <c r="F33533" i="1"/>
  <c r="F33532" i="1"/>
  <c r="F33503" i="1"/>
  <c r="F33496" i="1"/>
  <c r="F33494" i="1"/>
  <c r="F33488" i="1"/>
  <c r="F33486" i="1"/>
  <c r="F33462" i="1"/>
  <c r="F33447" i="1"/>
  <c r="F33434" i="1"/>
  <c r="F33407" i="1"/>
  <c r="F33397" i="1"/>
  <c r="F33386" i="1"/>
  <c r="F33385" i="1"/>
  <c r="F33384" i="1"/>
  <c r="F33381" i="1"/>
  <c r="F33376" i="1"/>
  <c r="F33370" i="1"/>
  <c r="F33369" i="1"/>
  <c r="F33368" i="1"/>
  <c r="F33195" i="1"/>
  <c r="F33177" i="1"/>
  <c r="F33121" i="1"/>
  <c r="F33118" i="1"/>
  <c r="F33113" i="1"/>
  <c r="F33095" i="1"/>
  <c r="F33038" i="1"/>
  <c r="F33022" i="1"/>
  <c r="F33008" i="1"/>
  <c r="F32988" i="1"/>
  <c r="F32987" i="1"/>
  <c r="F32986" i="1"/>
  <c r="F32983" i="1"/>
  <c r="F32982" i="1"/>
  <c r="F32978" i="1"/>
  <c r="F32977" i="1"/>
  <c r="F32967" i="1"/>
  <c r="F32959" i="1"/>
  <c r="F32958" i="1"/>
  <c r="F32905" i="1"/>
  <c r="F32879" i="1"/>
  <c r="F32850" i="1"/>
  <c r="F32847" i="1"/>
  <c r="F32841" i="1"/>
  <c r="F32806" i="1"/>
  <c r="F32787" i="1"/>
  <c r="F32785" i="1"/>
  <c r="F32780" i="1"/>
  <c r="F32748" i="1"/>
  <c r="F32747" i="1"/>
  <c r="F32739" i="1"/>
  <c r="F32738" i="1"/>
  <c r="F32724" i="1"/>
  <c r="F32723" i="1"/>
  <c r="F32717" i="1"/>
  <c r="F32716" i="1"/>
  <c r="F32711" i="1"/>
  <c r="F32690" i="1"/>
  <c r="F32686" i="1"/>
  <c r="F32660" i="1"/>
  <c r="F32646" i="1"/>
  <c r="F32643" i="1"/>
  <c r="F32632" i="1"/>
  <c r="F32629" i="1"/>
  <c r="F32628" i="1"/>
  <c r="F32626" i="1"/>
  <c r="F32613" i="1"/>
  <c r="F32612" i="1"/>
  <c r="F32610" i="1"/>
  <c r="F32609" i="1"/>
  <c r="F32604" i="1"/>
  <c r="F32587" i="1"/>
  <c r="F32585" i="1"/>
  <c r="F32584" i="1"/>
  <c r="F32576" i="1"/>
  <c r="F32568" i="1"/>
  <c r="F32567" i="1"/>
  <c r="F32566" i="1"/>
  <c r="F32565" i="1"/>
  <c r="F32564" i="1"/>
  <c r="F32563" i="1"/>
  <c r="F32562" i="1"/>
  <c r="F32561" i="1"/>
  <c r="F32560" i="1"/>
  <c r="F32555" i="1"/>
  <c r="F32554" i="1"/>
  <c r="F32553" i="1"/>
  <c r="F32532" i="1"/>
  <c r="F32527" i="1"/>
  <c r="F32524" i="1"/>
  <c r="F32522" i="1"/>
  <c r="F32504" i="1"/>
  <c r="F32439" i="1"/>
  <c r="F32437" i="1"/>
  <c r="F32433" i="1"/>
  <c r="F32432" i="1"/>
  <c r="F32390" i="1"/>
  <c r="F32364" i="1"/>
  <c r="F32345" i="1"/>
  <c r="F32337" i="1"/>
  <c r="F32336" i="1"/>
  <c r="F32330" i="1"/>
  <c r="F32323" i="1"/>
  <c r="F32291" i="1"/>
  <c r="F32289" i="1"/>
  <c r="F32239" i="1"/>
  <c r="F32214" i="1"/>
  <c r="F32175" i="1"/>
  <c r="F32149" i="1"/>
  <c r="F32125" i="1"/>
  <c r="F32124" i="1"/>
  <c r="F32121" i="1"/>
  <c r="F32119" i="1"/>
  <c r="F32107" i="1"/>
  <c r="F32103" i="1"/>
  <c r="F32080" i="1"/>
  <c r="F32063" i="1"/>
  <c r="F32061" i="1"/>
  <c r="F32054" i="1"/>
  <c r="F32052" i="1"/>
  <c r="F32007" i="1"/>
  <c r="F31997" i="1"/>
  <c r="F31975" i="1"/>
  <c r="F31965" i="1"/>
  <c r="F31964" i="1"/>
  <c r="F31962" i="1"/>
  <c r="F31943" i="1"/>
  <c r="F31942" i="1"/>
  <c r="F31906" i="1"/>
  <c r="F31877" i="1"/>
  <c r="F31874" i="1"/>
  <c r="F31871" i="1"/>
  <c r="F31864" i="1"/>
  <c r="F31862" i="1"/>
  <c r="F31861" i="1"/>
  <c r="F31856" i="1"/>
  <c r="F31850" i="1"/>
  <c r="F31844" i="1"/>
  <c r="F31843" i="1"/>
  <c r="F31842" i="1"/>
  <c r="F31838" i="1"/>
  <c r="F31837" i="1"/>
  <c r="F31832" i="1"/>
  <c r="F31831" i="1"/>
  <c r="F31826" i="1"/>
  <c r="F31823" i="1"/>
  <c r="F31822" i="1"/>
  <c r="F31813" i="1"/>
  <c r="F31804" i="1"/>
  <c r="F31801" i="1"/>
  <c r="F31796" i="1"/>
  <c r="F31774" i="1"/>
  <c r="F31771" i="1"/>
  <c r="F31766" i="1"/>
  <c r="F31754" i="1"/>
  <c r="F31741" i="1"/>
  <c r="F31735" i="1"/>
  <c r="F31700" i="1"/>
  <c r="F31699" i="1"/>
  <c r="F31698" i="1"/>
  <c r="F31697" i="1"/>
  <c r="F31696" i="1"/>
  <c r="F31679" i="1"/>
  <c r="F31678" i="1"/>
  <c r="F31677" i="1"/>
  <c r="F31676" i="1"/>
  <c r="F31674" i="1"/>
  <c r="F31673" i="1"/>
  <c r="F31672" i="1"/>
  <c r="F31671" i="1"/>
  <c r="F31670" i="1"/>
  <c r="F31645" i="1"/>
  <c r="F31534" i="1"/>
  <c r="F31518" i="1"/>
  <c r="F31514" i="1"/>
  <c r="F31512" i="1"/>
  <c r="F31500" i="1"/>
  <c r="F31471" i="1"/>
  <c r="F31463" i="1"/>
  <c r="F31450" i="1"/>
  <c r="F31435" i="1"/>
  <c r="F31432" i="1"/>
  <c r="F31419" i="1"/>
  <c r="F31403" i="1"/>
  <c r="F31402" i="1"/>
  <c r="F31383" i="1"/>
  <c r="F31320" i="1"/>
  <c r="F31312" i="1"/>
  <c r="F31300" i="1"/>
  <c r="F31263" i="1"/>
  <c r="F31262" i="1"/>
  <c r="F31253" i="1"/>
  <c r="F31250" i="1"/>
  <c r="F31248" i="1"/>
  <c r="F31215" i="1"/>
  <c r="F31183" i="1"/>
  <c r="F31089" i="1"/>
  <c r="F31076" i="1"/>
  <c r="F31052" i="1"/>
  <c r="F31051" i="1"/>
  <c r="F31029" i="1"/>
  <c r="F31027" i="1"/>
  <c r="F31026" i="1"/>
  <c r="F31008" i="1"/>
  <c r="F31007" i="1"/>
  <c r="F31000" i="1"/>
  <c r="F30998" i="1"/>
  <c r="F30937" i="1"/>
  <c r="F30936" i="1"/>
  <c r="F30934" i="1"/>
  <c r="F30933" i="1"/>
  <c r="F30929" i="1"/>
  <c r="F30928" i="1"/>
  <c r="F30927" i="1"/>
  <c r="F30926" i="1"/>
  <c r="F30922" i="1"/>
  <c r="F30921" i="1"/>
  <c r="F30918" i="1"/>
  <c r="F30915" i="1"/>
  <c r="F30914" i="1"/>
  <c r="F30913" i="1"/>
  <c r="F30911" i="1"/>
  <c r="F30909" i="1"/>
  <c r="F30908" i="1"/>
  <c r="F30907" i="1"/>
  <c r="F30900" i="1"/>
  <c r="F30878" i="1"/>
  <c r="F30877" i="1"/>
  <c r="F30876" i="1"/>
  <c r="F30875" i="1"/>
  <c r="F30869" i="1"/>
  <c r="F30863" i="1"/>
  <c r="F30852" i="1"/>
  <c r="F30842" i="1"/>
  <c r="F30841" i="1"/>
  <c r="F30839" i="1"/>
  <c r="F30838" i="1"/>
  <c r="F30836" i="1"/>
  <c r="F30823" i="1"/>
  <c r="F30815" i="1"/>
  <c r="F30814" i="1"/>
  <c r="F30813" i="1"/>
  <c r="F30812" i="1"/>
  <c r="F30811" i="1"/>
  <c r="F30810" i="1"/>
  <c r="F30795" i="1"/>
  <c r="F30794" i="1"/>
  <c r="F30787" i="1"/>
  <c r="F30760" i="1"/>
  <c r="F30754" i="1"/>
  <c r="F30750" i="1"/>
  <c r="F30735" i="1"/>
  <c r="F30734" i="1"/>
  <c r="F30733" i="1"/>
  <c r="F30732" i="1"/>
  <c r="F30731" i="1"/>
  <c r="F30729" i="1"/>
  <c r="F30728" i="1"/>
  <c r="F30725" i="1"/>
  <c r="F30722" i="1"/>
  <c r="F30721" i="1"/>
  <c r="F30717" i="1"/>
  <c r="F30716" i="1"/>
  <c r="F30715" i="1"/>
  <c r="F30714" i="1"/>
  <c r="F30713" i="1"/>
  <c r="F30710" i="1"/>
  <c r="F30699" i="1"/>
  <c r="F30690" i="1"/>
  <c r="F30681" i="1"/>
  <c r="F30680" i="1"/>
  <c r="F30671" i="1"/>
  <c r="F30666" i="1"/>
  <c r="F30663" i="1"/>
  <c r="F30658" i="1"/>
  <c r="F30648" i="1"/>
  <c r="F30641" i="1"/>
  <c r="F30640" i="1"/>
  <c r="F30638" i="1"/>
  <c r="F30631" i="1"/>
  <c r="F30630" i="1"/>
  <c r="F30629" i="1"/>
  <c r="F30628" i="1"/>
  <c r="F30619" i="1"/>
  <c r="F30616" i="1"/>
  <c r="F30615" i="1"/>
  <c r="F30599" i="1"/>
  <c r="F30595" i="1"/>
  <c r="F30593" i="1"/>
  <c r="F30588" i="1"/>
  <c r="F30582" i="1"/>
  <c r="F30581" i="1"/>
  <c r="F30579" i="1"/>
  <c r="F30573" i="1"/>
  <c r="F30567" i="1"/>
  <c r="F30558" i="1"/>
  <c r="F30557" i="1"/>
  <c r="F30537" i="1"/>
  <c r="F30517" i="1"/>
  <c r="F30513" i="1"/>
  <c r="F30505" i="1"/>
  <c r="F30477" i="1"/>
  <c r="F30476" i="1"/>
  <c r="F30475" i="1"/>
  <c r="F30470" i="1"/>
  <c r="F30468" i="1"/>
  <c r="F30358" i="1"/>
  <c r="F30353" i="1"/>
  <c r="F30351" i="1"/>
  <c r="F30329" i="1"/>
  <c r="F30319" i="1"/>
  <c r="F30312" i="1"/>
  <c r="F30311" i="1"/>
  <c r="F30306" i="1"/>
  <c r="F30284" i="1"/>
  <c r="F30239" i="1"/>
  <c r="F30237" i="1"/>
  <c r="F30236" i="1"/>
  <c r="F30219" i="1"/>
  <c r="F30218" i="1"/>
  <c r="F30211" i="1"/>
  <c r="F30206" i="1"/>
  <c r="F30205" i="1"/>
  <c r="F30198" i="1"/>
  <c r="F30188" i="1"/>
  <c r="F30183" i="1"/>
  <c r="F30177" i="1"/>
  <c r="F30176" i="1"/>
  <c r="F30174" i="1"/>
  <c r="F30159" i="1"/>
  <c r="F30158" i="1"/>
  <c r="F30156" i="1"/>
  <c r="F30154" i="1"/>
  <c r="F30152" i="1"/>
  <c r="F30151" i="1"/>
  <c r="F30133" i="1"/>
  <c r="F30130" i="1"/>
  <c r="F30115" i="1"/>
  <c r="F30109" i="1"/>
  <c r="F30108" i="1"/>
  <c r="F30095" i="1"/>
  <c r="F30086" i="1"/>
  <c r="F30083" i="1"/>
  <c r="F30082" i="1"/>
  <c r="F30081" i="1"/>
  <c r="F30075" i="1"/>
  <c r="F30071" i="1"/>
  <c r="F30066" i="1"/>
  <c r="F29969" i="1"/>
  <c r="F29961" i="1"/>
  <c r="F29900" i="1"/>
  <c r="F29878" i="1"/>
  <c r="F29877" i="1"/>
  <c r="F29876" i="1"/>
  <c r="F29842" i="1"/>
  <c r="F29814" i="1"/>
  <c r="F29769" i="1"/>
  <c r="F29762" i="1"/>
  <c r="F29745" i="1"/>
  <c r="F29737" i="1"/>
  <c r="F29730" i="1"/>
  <c r="F29727" i="1"/>
  <c r="F29726" i="1"/>
  <c r="F29721" i="1"/>
  <c r="F29713" i="1"/>
  <c r="F29706" i="1"/>
  <c r="F29705" i="1"/>
  <c r="F29688" i="1"/>
  <c r="F29671" i="1"/>
  <c r="F29649" i="1"/>
  <c r="F29641" i="1"/>
  <c r="F29629" i="1"/>
  <c r="F29620" i="1"/>
  <c r="F29612" i="1"/>
  <c r="F29604" i="1"/>
  <c r="F29587" i="1"/>
  <c r="F29586" i="1"/>
  <c r="F29566" i="1"/>
  <c r="F29565" i="1"/>
  <c r="F29564" i="1"/>
  <c r="F29563" i="1"/>
  <c r="F29562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7" i="1"/>
  <c r="F29546" i="1"/>
  <c r="F29545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04" i="1"/>
  <c r="F29493" i="1"/>
  <c r="F29492" i="1"/>
  <c r="F29489" i="1"/>
  <c r="F29488" i="1"/>
  <c r="F29487" i="1"/>
  <c r="F29486" i="1"/>
  <c r="F29482" i="1"/>
  <c r="F29481" i="1"/>
  <c r="F29480" i="1"/>
  <c r="F29475" i="1"/>
  <c r="F29467" i="1"/>
  <c r="F29464" i="1"/>
  <c r="F29412" i="1"/>
  <c r="F29408" i="1"/>
  <c r="F29402" i="1"/>
  <c r="F29401" i="1"/>
  <c r="F29377" i="1"/>
  <c r="F29370" i="1"/>
  <c r="F29364" i="1"/>
  <c r="F29360" i="1"/>
  <c r="F29334" i="1"/>
  <c r="F29323" i="1"/>
  <c r="F29321" i="1"/>
  <c r="F29320" i="1"/>
  <c r="F29319" i="1"/>
  <c r="F29317" i="1"/>
  <c r="F29316" i="1"/>
  <c r="F29315" i="1"/>
  <c r="F29314" i="1"/>
  <c r="F29313" i="1"/>
  <c r="F29312" i="1"/>
  <c r="F29311" i="1"/>
  <c r="F29309" i="1"/>
  <c r="F29308" i="1"/>
  <c r="F29299" i="1"/>
  <c r="F29297" i="1"/>
  <c r="F29296" i="1"/>
  <c r="F29294" i="1"/>
  <c r="F29292" i="1"/>
  <c r="F29285" i="1"/>
  <c r="F29258" i="1"/>
  <c r="F29248" i="1"/>
  <c r="F29246" i="1"/>
  <c r="F29234" i="1"/>
  <c r="F29233" i="1"/>
  <c r="F29221" i="1"/>
  <c r="F29219" i="1"/>
  <c r="F29174" i="1"/>
  <c r="F29170" i="1"/>
  <c r="F29143" i="1"/>
  <c r="F29104" i="1"/>
  <c r="F29095" i="1"/>
  <c r="F29093" i="1"/>
  <c r="F29079" i="1"/>
  <c r="F29077" i="1"/>
  <c r="F29076" i="1"/>
  <c r="F29074" i="1"/>
  <c r="F29070" i="1"/>
  <c r="F29068" i="1"/>
  <c r="F29067" i="1"/>
  <c r="F29066" i="1"/>
  <c r="F29065" i="1"/>
  <c r="F29063" i="1"/>
  <c r="F29058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8994" i="1"/>
  <c r="F28993" i="1"/>
  <c r="F28971" i="1"/>
  <c r="F28970" i="1"/>
  <c r="F28965" i="1"/>
  <c r="F28964" i="1"/>
  <c r="F28963" i="1"/>
  <c r="F28962" i="1"/>
  <c r="F28959" i="1"/>
  <c r="F28932" i="1"/>
  <c r="F28926" i="1"/>
  <c r="F28899" i="1"/>
  <c r="F28893" i="1"/>
  <c r="F28889" i="1"/>
  <c r="F28887" i="1"/>
  <c r="F28878" i="1"/>
  <c r="F28856" i="1"/>
  <c r="F28855" i="1"/>
  <c r="F28843" i="1"/>
  <c r="F28842" i="1"/>
  <c r="F28840" i="1"/>
  <c r="F28833" i="1"/>
  <c r="F28832" i="1"/>
  <c r="F28824" i="1"/>
  <c r="F28822" i="1"/>
  <c r="F28819" i="1"/>
  <c r="F28809" i="1"/>
  <c r="F28806" i="1"/>
  <c r="F28804" i="1"/>
  <c r="F28802" i="1"/>
  <c r="F28801" i="1"/>
  <c r="F28790" i="1"/>
  <c r="F28788" i="1"/>
  <c r="F28776" i="1"/>
  <c r="F28771" i="1"/>
  <c r="F28770" i="1"/>
  <c r="F28769" i="1"/>
  <c r="F28767" i="1"/>
  <c r="F28757" i="1"/>
  <c r="F28750" i="1"/>
  <c r="F28749" i="1"/>
  <c r="F28747" i="1"/>
  <c r="F28744" i="1"/>
  <c r="F28743" i="1"/>
  <c r="F28742" i="1"/>
  <c r="F28741" i="1"/>
  <c r="F28740" i="1"/>
  <c r="F28738" i="1"/>
  <c r="F28737" i="1"/>
  <c r="F28735" i="1"/>
  <c r="F28733" i="1"/>
  <c r="F28732" i="1"/>
  <c r="F28731" i="1"/>
  <c r="F28730" i="1"/>
  <c r="F28729" i="1"/>
  <c r="F28724" i="1"/>
  <c r="F28719" i="1"/>
  <c r="F28713" i="1"/>
  <c r="F28712" i="1"/>
  <c r="F28711" i="1"/>
  <c r="F28710" i="1"/>
  <c r="F28709" i="1"/>
  <c r="F28699" i="1"/>
  <c r="F28698" i="1"/>
  <c r="F28685" i="1"/>
  <c r="F28681" i="1"/>
  <c r="F28680" i="1"/>
  <c r="F28679" i="1"/>
  <c r="F28666" i="1"/>
  <c r="F28665" i="1"/>
  <c r="F28647" i="1"/>
  <c r="F28637" i="1"/>
  <c r="F28629" i="1"/>
  <c r="F28627" i="1"/>
  <c r="F28619" i="1"/>
  <c r="F28581" i="1"/>
  <c r="F28569" i="1"/>
  <c r="F28497" i="1"/>
  <c r="F28485" i="1"/>
  <c r="F28482" i="1"/>
  <c r="F28481" i="1"/>
  <c r="F28464" i="1"/>
  <c r="F28459" i="1"/>
  <c r="F28456" i="1"/>
  <c r="F28455" i="1"/>
  <c r="F28454" i="1"/>
  <c r="F28388" i="1"/>
  <c r="F28387" i="1"/>
  <c r="F28386" i="1"/>
  <c r="F28384" i="1"/>
  <c r="F28383" i="1"/>
  <c r="F28382" i="1"/>
  <c r="F28366" i="1"/>
  <c r="F28364" i="1"/>
  <c r="F28354" i="1"/>
  <c r="F28346" i="1"/>
  <c r="F28343" i="1"/>
  <c r="F28338" i="1"/>
  <c r="F28269" i="1"/>
  <c r="F28239" i="1"/>
  <c r="F28167" i="1"/>
  <c r="F28165" i="1"/>
  <c r="F28164" i="1"/>
  <c r="F28119" i="1"/>
  <c r="F28118" i="1"/>
  <c r="F28115" i="1"/>
  <c r="F28114" i="1"/>
  <c r="F28113" i="1"/>
  <c r="F28112" i="1"/>
  <c r="F28110" i="1"/>
  <c r="F28109" i="1"/>
  <c r="F28105" i="1"/>
  <c r="F28104" i="1"/>
  <c r="F28097" i="1"/>
  <c r="F28096" i="1"/>
  <c r="F28071" i="1"/>
  <c r="F28036" i="1"/>
  <c r="F28035" i="1"/>
  <c r="F28034" i="1"/>
  <c r="F28033" i="1"/>
  <c r="F28032" i="1"/>
  <c r="F28029" i="1"/>
  <c r="F28000" i="1"/>
  <c r="F27998" i="1"/>
  <c r="F27997" i="1"/>
  <c r="F27996" i="1"/>
  <c r="F27959" i="1"/>
  <c r="F27923" i="1"/>
  <c r="F27921" i="1"/>
  <c r="F27912" i="1"/>
  <c r="F27911" i="1"/>
  <c r="F27910" i="1"/>
  <c r="F27909" i="1"/>
  <c r="F27908" i="1"/>
  <c r="F27904" i="1"/>
  <c r="F27903" i="1"/>
  <c r="F27901" i="1"/>
  <c r="F27899" i="1"/>
  <c r="F27898" i="1"/>
  <c r="F27895" i="1"/>
  <c r="F27893" i="1"/>
  <c r="F27885" i="1"/>
  <c r="F27882" i="1"/>
  <c r="F27881" i="1"/>
  <c r="F27878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3" i="1"/>
  <c r="F27862" i="1"/>
  <c r="F27855" i="1"/>
  <c r="F27852" i="1"/>
  <c r="F27846" i="1"/>
  <c r="F27828" i="1"/>
  <c r="F27820" i="1"/>
  <c r="F27819" i="1"/>
  <c r="F27656" i="1"/>
  <c r="F27622" i="1"/>
  <c r="F27503" i="1"/>
  <c r="F27498" i="1"/>
  <c r="F27471" i="1"/>
  <c r="F27455" i="1"/>
  <c r="F27417" i="1"/>
  <c r="F27407" i="1"/>
  <c r="F27403" i="1"/>
  <c r="F27374" i="1"/>
  <c r="F27372" i="1"/>
  <c r="F27371" i="1"/>
  <c r="F27358" i="1"/>
  <c r="F27350" i="1"/>
  <c r="F27344" i="1"/>
  <c r="F27343" i="1"/>
  <c r="F27310" i="1"/>
  <c r="F27301" i="1"/>
  <c r="F27299" i="1"/>
  <c r="F27290" i="1"/>
  <c r="F27277" i="1"/>
  <c r="F27257" i="1"/>
  <c r="F27250" i="1"/>
  <c r="F27243" i="1"/>
  <c r="F27242" i="1"/>
  <c r="F27232" i="1"/>
  <c r="F27228" i="1"/>
  <c r="F27225" i="1"/>
  <c r="F27222" i="1"/>
  <c r="F27218" i="1"/>
  <c r="F27217" i="1"/>
  <c r="F27216" i="1"/>
  <c r="F27215" i="1"/>
  <c r="F27177" i="1"/>
  <c r="F27161" i="1"/>
  <c r="F27159" i="1"/>
  <c r="F27156" i="1"/>
  <c r="F27155" i="1"/>
  <c r="F27131" i="1"/>
  <c r="F27128" i="1"/>
  <c r="F27122" i="1"/>
  <c r="F27121" i="1"/>
  <c r="F27119" i="1"/>
  <c r="F27105" i="1"/>
  <c r="F27096" i="1"/>
  <c r="F27083" i="1"/>
  <c r="F27082" i="1"/>
  <c r="F27081" i="1"/>
  <c r="F27080" i="1"/>
  <c r="F27079" i="1"/>
  <c r="F27072" i="1"/>
  <c r="F27071" i="1"/>
  <c r="F27070" i="1"/>
  <c r="F27069" i="1"/>
  <c r="F27068" i="1"/>
  <c r="F27067" i="1"/>
  <c r="F27058" i="1"/>
  <c r="F27053" i="1"/>
  <c r="F27052" i="1"/>
  <c r="F27050" i="1"/>
  <c r="F27048" i="1"/>
  <c r="F27035" i="1"/>
  <c r="F27026" i="1"/>
  <c r="F26991" i="1"/>
  <c r="F26976" i="1"/>
  <c r="F26957" i="1"/>
  <c r="F26956" i="1"/>
  <c r="F26952" i="1"/>
  <c r="F26951" i="1"/>
  <c r="F26950" i="1"/>
  <c r="F26949" i="1"/>
  <c r="F26946" i="1"/>
  <c r="F26945" i="1"/>
  <c r="F26942" i="1"/>
  <c r="F26941" i="1"/>
  <c r="F26940" i="1"/>
  <c r="F26933" i="1"/>
  <c r="F26932" i="1"/>
  <c r="F26931" i="1"/>
  <c r="F26906" i="1"/>
  <c r="F26900" i="1"/>
  <c r="F26898" i="1"/>
  <c r="F26897" i="1"/>
  <c r="F26896" i="1"/>
  <c r="F26895" i="1"/>
  <c r="F26894" i="1"/>
  <c r="F26887" i="1"/>
  <c r="F26883" i="1"/>
  <c r="F26861" i="1"/>
  <c r="F26860" i="1"/>
  <c r="F26856" i="1"/>
  <c r="F26852" i="1"/>
  <c r="F26846" i="1"/>
  <c r="F26787" i="1"/>
  <c r="F26781" i="1"/>
  <c r="F26771" i="1"/>
  <c r="F26748" i="1"/>
  <c r="F26732" i="1"/>
  <c r="F26731" i="1"/>
  <c r="F26730" i="1"/>
  <c r="F26729" i="1"/>
  <c r="F26728" i="1"/>
  <c r="F26727" i="1"/>
  <c r="F26726" i="1"/>
  <c r="F26720" i="1"/>
  <c r="F26711" i="1"/>
  <c r="F26697" i="1"/>
  <c r="F26632" i="1"/>
  <c r="F26544" i="1"/>
  <c r="F26498" i="1"/>
  <c r="F26493" i="1"/>
  <c r="F26472" i="1"/>
  <c r="F26469" i="1"/>
  <c r="F26468" i="1"/>
  <c r="F26466" i="1"/>
  <c r="F26460" i="1"/>
  <c r="F26459" i="1"/>
  <c r="F26441" i="1"/>
  <c r="F26436" i="1"/>
  <c r="F26435" i="1"/>
  <c r="F26387" i="1"/>
  <c r="F26386" i="1"/>
  <c r="F26385" i="1"/>
  <c r="F26378" i="1"/>
  <c r="F26377" i="1"/>
  <c r="F26365" i="1"/>
  <c r="F26328" i="1"/>
  <c r="F26323" i="1"/>
  <c r="F26237" i="1"/>
  <c r="F26205" i="1"/>
  <c r="F26103" i="1"/>
  <c r="F26102" i="1"/>
  <c r="F26101" i="1"/>
  <c r="F26007" i="1"/>
  <c r="F26006" i="1"/>
  <c r="F25974" i="1"/>
  <c r="F25928" i="1"/>
  <c r="F25927" i="1"/>
  <c r="F25883" i="1"/>
  <c r="F25882" i="1"/>
  <c r="F25881" i="1"/>
  <c r="F25868" i="1"/>
  <c r="F25866" i="1"/>
  <c r="F25852" i="1"/>
  <c r="F25684" i="1"/>
  <c r="F25683" i="1"/>
  <c r="F25682" i="1"/>
  <c r="F25680" i="1"/>
  <c r="F25673" i="1"/>
  <c r="F25667" i="1"/>
  <c r="F25663" i="1"/>
  <c r="F25617" i="1"/>
  <c r="F25614" i="1"/>
  <c r="F25611" i="1"/>
  <c r="F25586" i="1"/>
  <c r="F25536" i="1"/>
  <c r="F25416" i="1"/>
  <c r="F25405" i="1"/>
  <c r="F25358" i="1"/>
  <c r="F25335" i="1"/>
  <c r="F25163" i="1"/>
  <c r="F25154" i="1"/>
  <c r="F25145" i="1"/>
  <c r="F24918" i="1"/>
  <c r="F24882" i="1"/>
  <c r="F24872" i="1"/>
  <c r="F24871" i="1"/>
  <c r="F24870" i="1"/>
  <c r="F24854" i="1"/>
  <c r="F24848" i="1"/>
  <c r="F24823" i="1"/>
  <c r="F24819" i="1"/>
  <c r="F24818" i="1"/>
  <c r="F24817" i="1"/>
  <c r="F24809" i="1"/>
  <c r="F24808" i="1"/>
  <c r="F24807" i="1"/>
  <c r="F24806" i="1"/>
  <c r="F24805" i="1"/>
  <c r="F24803" i="1"/>
  <c r="F24801" i="1"/>
  <c r="F24786" i="1"/>
  <c r="F24762" i="1"/>
  <c r="F24759" i="1"/>
  <c r="F24523" i="1"/>
  <c r="F24521" i="1"/>
  <c r="F24518" i="1"/>
  <c r="F24517" i="1"/>
  <c r="F24516" i="1"/>
  <c r="F24509" i="1"/>
  <c r="F24481" i="1"/>
  <c r="F24479" i="1"/>
  <c r="F24466" i="1"/>
  <c r="F24437" i="1"/>
  <c r="F24398" i="1"/>
  <c r="F24377" i="1"/>
  <c r="F24312" i="1"/>
  <c r="F23847" i="1"/>
  <c r="F23688" i="1"/>
  <c r="F23687" i="1"/>
  <c r="F23669" i="1"/>
  <c r="F23612" i="1"/>
  <c r="F23608" i="1"/>
  <c r="F23545" i="1"/>
  <c r="F23541" i="1"/>
  <c r="F23540" i="1"/>
  <c r="F2352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08" i="1"/>
  <c r="F23405" i="1"/>
  <c r="F23389" i="1"/>
  <c r="F23380" i="1"/>
  <c r="F23378" i="1"/>
  <c r="F23365" i="1"/>
  <c r="F23364" i="1"/>
  <c r="F23356" i="1"/>
  <c r="F23347" i="1"/>
  <c r="F23335" i="1"/>
  <c r="F23319" i="1"/>
  <c r="F23298" i="1"/>
  <c r="F23297" i="1"/>
  <c r="F23288" i="1"/>
  <c r="F23287" i="1"/>
  <c r="F23276" i="1"/>
  <c r="F23275" i="1"/>
  <c r="F23274" i="1"/>
  <c r="F23272" i="1"/>
  <c r="F23228" i="1"/>
  <c r="F23226" i="1"/>
  <c r="F23225" i="1"/>
  <c r="F23222" i="1"/>
  <c r="F23199" i="1"/>
  <c r="F23198" i="1"/>
  <c r="F23187" i="1"/>
  <c r="F23186" i="1"/>
  <c r="F23173" i="1"/>
  <c r="F23167" i="1"/>
  <c r="F23162" i="1"/>
  <c r="F23156" i="1"/>
  <c r="F23145" i="1"/>
  <c r="F23141" i="1"/>
  <c r="F23137" i="1"/>
  <c r="F23078" i="1"/>
  <c r="F23077" i="1"/>
  <c r="F23076" i="1"/>
  <c r="F23075" i="1"/>
  <c r="F23046" i="1"/>
  <c r="F23040" i="1"/>
  <c r="F23039" i="1"/>
  <c r="F22960" i="1"/>
  <c r="F22932" i="1"/>
  <c r="F22910" i="1"/>
  <c r="F22906" i="1"/>
  <c r="F22899" i="1"/>
  <c r="F22894" i="1"/>
  <c r="F22892" i="1"/>
  <c r="F22857" i="1"/>
  <c r="F22804" i="1"/>
  <c r="F22794" i="1"/>
  <c r="F22788" i="1"/>
  <c r="F22784" i="1"/>
  <c r="F22769" i="1"/>
  <c r="F22762" i="1"/>
  <c r="F22705" i="1"/>
  <c r="F22699" i="1"/>
  <c r="F22700" i="1"/>
  <c r="F22688" i="1"/>
  <c r="F22689" i="1"/>
  <c r="F22676" i="1"/>
  <c r="F22672" i="1"/>
  <c r="F22634" i="1"/>
  <c r="F22629" i="1"/>
  <c r="F22625" i="1"/>
  <c r="F22617" i="1"/>
  <c r="F22596" i="1"/>
  <c r="F22597" i="1"/>
  <c r="F22594" i="1"/>
  <c r="F22590" i="1"/>
  <c r="F22574" i="1"/>
  <c r="F22572" i="1"/>
  <c r="F22562" i="1"/>
  <c r="F22544" i="1"/>
  <c r="F22524" i="1"/>
  <c r="F22520" i="1"/>
  <c r="F22516" i="1"/>
  <c r="F22509" i="1"/>
  <c r="F22467" i="1"/>
  <c r="F22468" i="1"/>
  <c r="F22443" i="1"/>
  <c r="F22441" i="1"/>
  <c r="F22437" i="1"/>
  <c r="F22399" i="1"/>
  <c r="F22342" i="1"/>
  <c r="F22291" i="1"/>
  <c r="F22229" i="1"/>
  <c r="F22201" i="1"/>
  <c r="F22199" i="1"/>
  <c r="F22197" i="1"/>
  <c r="F22195" i="1"/>
  <c r="F22193" i="1"/>
  <c r="F22191" i="1"/>
  <c r="F22055" i="1"/>
  <c r="F22012" i="1"/>
  <c r="F21997" i="1"/>
  <c r="F21995" i="1"/>
  <c r="F21971" i="1"/>
  <c r="F21944" i="1"/>
  <c r="F21945" i="1"/>
  <c r="F21946" i="1"/>
  <c r="F21947" i="1"/>
  <c r="F21942" i="1"/>
  <c r="F21940" i="1"/>
  <c r="F21869" i="1"/>
  <c r="F21778" i="1"/>
  <c r="F21732" i="1"/>
  <c r="F21706" i="1"/>
  <c r="F21704" i="1"/>
  <c r="F21600" i="1"/>
  <c r="F21524" i="1"/>
  <c r="F21458" i="1"/>
  <c r="F21459" i="1"/>
  <c r="F21440" i="1"/>
  <c r="F21362" i="1"/>
  <c r="F21363" i="1"/>
  <c r="F21360" i="1"/>
  <c r="F21336" i="1"/>
  <c r="F21320" i="1"/>
  <c r="F21282" i="1"/>
  <c r="F21283" i="1"/>
  <c r="F21267" i="1"/>
  <c r="F21225" i="1"/>
  <c r="F21223" i="1"/>
  <c r="F21219" i="1"/>
  <c r="F21217" i="1"/>
  <c r="F21213" i="1"/>
  <c r="F21214" i="1"/>
  <c r="F21160" i="1"/>
  <c r="F21140" i="1"/>
  <c r="F21102" i="1"/>
  <c r="F21069" i="1"/>
  <c r="F21057" i="1"/>
  <c r="F21039" i="1"/>
  <c r="F21019" i="1"/>
  <c r="F21020" i="1"/>
  <c r="F21021" i="1"/>
  <c r="F21022" i="1"/>
  <c r="F20985" i="1"/>
  <c r="F20983" i="1"/>
  <c r="F20953" i="1"/>
  <c r="F20947" i="1"/>
  <c r="F20903" i="1"/>
  <c r="F20901" i="1"/>
  <c r="F20891" i="1"/>
  <c r="F20878" i="1"/>
  <c r="F20879" i="1"/>
  <c r="F20860" i="1"/>
  <c r="F20858" i="1"/>
  <c r="F20854" i="1"/>
  <c r="F20855" i="1"/>
  <c r="F20852" i="1"/>
  <c r="F20804" i="1"/>
  <c r="F20802" i="1"/>
  <c r="F20788" i="1"/>
  <c r="F20786" i="1"/>
  <c r="F20782" i="1"/>
  <c r="F20775" i="1"/>
  <c r="F20682" i="1"/>
  <c r="F20680" i="1"/>
  <c r="F20678" i="1"/>
  <c r="F20644" i="1"/>
  <c r="F20642" i="1"/>
  <c r="F20605" i="1"/>
  <c r="F20593" i="1"/>
  <c r="F20594" i="1"/>
  <c r="F20533" i="1"/>
  <c r="F20531" i="1"/>
  <c r="F20529" i="1"/>
  <c r="F20525" i="1"/>
  <c r="F20523" i="1"/>
  <c r="F20521" i="1"/>
  <c r="F20518" i="1"/>
  <c r="F20516" i="1"/>
  <c r="F20514" i="1"/>
  <c r="F20481" i="1"/>
  <c r="F20482" i="1"/>
  <c r="F20483" i="1"/>
  <c r="F20467" i="1"/>
  <c r="F20424" i="1"/>
  <c r="F20384" i="1"/>
  <c r="F20349" i="1"/>
  <c r="F20347" i="1"/>
  <c r="F20337" i="1"/>
  <c r="F20329" i="1"/>
  <c r="F20327" i="1"/>
  <c r="F20291" i="1"/>
  <c r="F20289" i="1"/>
  <c r="F20285" i="1"/>
  <c r="F20283" i="1"/>
  <c r="F20273" i="1"/>
  <c r="F20255" i="1"/>
  <c r="F20251" i="1"/>
  <c r="F20239" i="1"/>
  <c r="F20224" i="1"/>
  <c r="F20225" i="1"/>
  <c r="F20217" i="1"/>
  <c r="F20215" i="1"/>
  <c r="F20213" i="1"/>
  <c r="F20211" i="1"/>
  <c r="F20187" i="1"/>
  <c r="F20179" i="1"/>
  <c r="F20167" i="1"/>
  <c r="F20165" i="1"/>
  <c r="F20155" i="1"/>
  <c r="F20091" i="1"/>
  <c r="F20089" i="1"/>
  <c r="F20087" i="1"/>
  <c r="F20085" i="1"/>
  <c r="F20083" i="1"/>
  <c r="F20061" i="1"/>
  <c r="F20047" i="1"/>
  <c r="F20045" i="1"/>
  <c r="F20040" i="1"/>
  <c r="F20031" i="1"/>
  <c r="F20032" i="1"/>
  <c r="F20033" i="1"/>
  <c r="F20034" i="1"/>
  <c r="F20024" i="1"/>
  <c r="F20025" i="1"/>
  <c r="F20015" i="1"/>
  <c r="F20013" i="1"/>
  <c r="F19949" i="1"/>
  <c r="F19947" i="1"/>
  <c r="F19945" i="1"/>
  <c r="F19943" i="1"/>
  <c r="F19937" i="1"/>
  <c r="F19935" i="1"/>
  <c r="F19933" i="1"/>
  <c r="F19929" i="1"/>
  <c r="F19925" i="1"/>
  <c r="F19920" i="1"/>
  <c r="F19921" i="1"/>
  <c r="F19915" i="1"/>
  <c r="F19913" i="1"/>
  <c r="F19879" i="1"/>
  <c r="F19856" i="1"/>
  <c r="F19854" i="1"/>
  <c r="F19852" i="1"/>
  <c r="F19844" i="1"/>
  <c r="F19839" i="1"/>
  <c r="F19826" i="1"/>
  <c r="F19815" i="1"/>
  <c r="F19768" i="1"/>
  <c r="F19753" i="1"/>
  <c r="F19749" i="1"/>
  <c r="F19737" i="1"/>
  <c r="F19648" i="1"/>
  <c r="F19625" i="1"/>
  <c r="F19559" i="1"/>
  <c r="F19531" i="1"/>
  <c r="F19443" i="1"/>
  <c r="F19444" i="1"/>
  <c r="F19445" i="1"/>
  <c r="F19446" i="1"/>
  <c r="F19441" i="1"/>
  <c r="F19438" i="1"/>
  <c r="F19425" i="1"/>
  <c r="F19404" i="1"/>
  <c r="F19405" i="1"/>
  <c r="F19378" i="1"/>
  <c r="F19342" i="1"/>
  <c r="F19340" i="1"/>
  <c r="F19311" i="1"/>
  <c r="F19312" i="1"/>
  <c r="F19309" i="1"/>
  <c r="F19275" i="1"/>
  <c r="F19255" i="1"/>
  <c r="F19253" i="1"/>
  <c r="F19251" i="1"/>
  <c r="F19249" i="1"/>
  <c r="F19226" i="1"/>
  <c r="F19195" i="1"/>
  <c r="F19190" i="1"/>
  <c r="F19188" i="1"/>
  <c r="F19134" i="1"/>
  <c r="F19135" i="1"/>
  <c r="F19132" i="1"/>
  <c r="F19118" i="1"/>
  <c r="F19116" i="1"/>
  <c r="F19107" i="1"/>
  <c r="F19104" i="1"/>
  <c r="F19038" i="1"/>
  <c r="F19028" i="1"/>
  <c r="F19026" i="1"/>
  <c r="F19022" i="1"/>
  <c r="F19014" i="1"/>
  <c r="F19015" i="1"/>
  <c r="F19012" i="1"/>
  <c r="F19004" i="1"/>
  <c r="F19005" i="1"/>
  <c r="F19006" i="1"/>
  <c r="F19007" i="1"/>
  <c r="F19002" i="1"/>
  <c r="F19000" i="1"/>
  <c r="F18998" i="1"/>
  <c r="F18996" i="1"/>
  <c r="F18854" i="1"/>
  <c r="F18809" i="1"/>
  <c r="F18805" i="1"/>
  <c r="F18778" i="1"/>
  <c r="F18748" i="1"/>
  <c r="F18723" i="1"/>
  <c r="F18724" i="1"/>
  <c r="F18717" i="1"/>
  <c r="F18715" i="1"/>
  <c r="F18692" i="1"/>
  <c r="F18684" i="1"/>
  <c r="F18682" i="1"/>
  <c r="F18680" i="1"/>
  <c r="F18668" i="1"/>
  <c r="F18603" i="1"/>
  <c r="F18601" i="1"/>
  <c r="F18268" i="1"/>
  <c r="F18167" i="1"/>
  <c r="F18152" i="1"/>
  <c r="F18148" i="1"/>
  <c r="F18144" i="1"/>
  <c r="F18049" i="1"/>
  <c r="F18047" i="1"/>
  <c r="F18030" i="1"/>
  <c r="F18028" i="1"/>
  <c r="F18025" i="1"/>
  <c r="F18023" i="1"/>
  <c r="F17979" i="1"/>
  <c r="F17884" i="1"/>
  <c r="F17878" i="1"/>
  <c r="F17701" i="1"/>
  <c r="F17695" i="1"/>
  <c r="F17693" i="1"/>
  <c r="F17691" i="1"/>
  <c r="F17689" i="1"/>
  <c r="F17687" i="1"/>
  <c r="F17683" i="1"/>
  <c r="F17684" i="1"/>
  <c r="F17681" i="1"/>
  <c r="F17673" i="1"/>
  <c r="F17671" i="1"/>
  <c r="F17667" i="1"/>
  <c r="F17663" i="1"/>
  <c r="F17659" i="1"/>
  <c r="F17657" i="1"/>
  <c r="F17653" i="1"/>
  <c r="F17651" i="1"/>
  <c r="F17649" i="1"/>
  <c r="F17643" i="1"/>
  <c r="F17633" i="1"/>
  <c r="F17634" i="1"/>
  <c r="F17635" i="1"/>
  <c r="F17636" i="1"/>
  <c r="F17629" i="1"/>
  <c r="F17627" i="1"/>
  <c r="F17625" i="1"/>
  <c r="F17619" i="1"/>
  <c r="F17605" i="1"/>
  <c r="F17599" i="1"/>
  <c r="F17600" i="1"/>
  <c r="F17595" i="1"/>
  <c r="F17583" i="1"/>
  <c r="F17584" i="1"/>
  <c r="F17585" i="1"/>
  <c r="F17529" i="1"/>
  <c r="F17507" i="1"/>
  <c r="F17419" i="1"/>
  <c r="F17420" i="1"/>
  <c r="F17386" i="1"/>
  <c r="F17342" i="1"/>
  <c r="F17288" i="1"/>
  <c r="F17274" i="1"/>
  <c r="F17219" i="1"/>
  <c r="F17206" i="1"/>
  <c r="F17200" i="1"/>
  <c r="F17198" i="1"/>
  <c r="F17196" i="1"/>
  <c r="F17193" i="1"/>
  <c r="F17187" i="1"/>
  <c r="F17185" i="1"/>
  <c r="F17183" i="1"/>
  <c r="F17181" i="1"/>
  <c r="F17179" i="1"/>
  <c r="F17173" i="1"/>
  <c r="F17171" i="1"/>
  <c r="F17169" i="1"/>
  <c r="F17167" i="1"/>
  <c r="F17165" i="1"/>
  <c r="F17163" i="1"/>
  <c r="F17161" i="1"/>
  <c r="F17159" i="1"/>
  <c r="F17157" i="1"/>
  <c r="F17153" i="1"/>
  <c r="F17151" i="1"/>
  <c r="F17149" i="1"/>
  <c r="F17147" i="1"/>
  <c r="F17145" i="1"/>
  <c r="F17141" i="1"/>
  <c r="F17139" i="1"/>
  <c r="F17137" i="1"/>
  <c r="F17135" i="1"/>
  <c r="F17131" i="1"/>
  <c r="F17129" i="1"/>
  <c r="F17127" i="1"/>
  <c r="F17125" i="1"/>
  <c r="F17123" i="1"/>
  <c r="F17121" i="1"/>
  <c r="F17119" i="1"/>
  <c r="F17117" i="1"/>
  <c r="F17115" i="1"/>
  <c r="F17113" i="1"/>
  <c r="F17111" i="1"/>
  <c r="F17109" i="1"/>
  <c r="F17107" i="1"/>
  <c r="F17105" i="1"/>
  <c r="F17103" i="1"/>
  <c r="F17101" i="1"/>
  <c r="F17097" i="1"/>
  <c r="F17091" i="1"/>
  <c r="F17089" i="1"/>
  <c r="F17087" i="1"/>
  <c r="F17078" i="1"/>
  <c r="F17075" i="1"/>
  <c r="F17069" i="1"/>
  <c r="F17067" i="1"/>
  <c r="F17063" i="1"/>
  <c r="F17061" i="1"/>
  <c r="F17055" i="1"/>
  <c r="F17053" i="1"/>
  <c r="F17049" i="1"/>
  <c r="F17050" i="1"/>
  <c r="F17043" i="1"/>
  <c r="F17044" i="1"/>
  <c r="F16970" i="1"/>
  <c r="F16956" i="1"/>
  <c r="F16751" i="1"/>
  <c r="F16690" i="1"/>
  <c r="F16688" i="1"/>
  <c r="F16686" i="1"/>
  <c r="F16684" i="1"/>
  <c r="F16682" i="1"/>
  <c r="F16680" i="1"/>
  <c r="F16676" i="1"/>
  <c r="F16677" i="1"/>
  <c r="F16672" i="1"/>
  <c r="F16673" i="1"/>
  <c r="F16668" i="1"/>
  <c r="F16669" i="1"/>
  <c r="F16666" i="1"/>
  <c r="F16664" i="1"/>
  <c r="F16662" i="1"/>
  <c r="F16659" i="1"/>
  <c r="F16598" i="1"/>
  <c r="F16595" i="1"/>
  <c r="F16593" i="1"/>
  <c r="F16589" i="1"/>
  <c r="F16590" i="1"/>
  <c r="F16573" i="1"/>
  <c r="F16571" i="1"/>
  <c r="F16544" i="1"/>
  <c r="F16539" i="1"/>
  <c r="F16514" i="1"/>
  <c r="F16515" i="1"/>
  <c r="F16497" i="1"/>
  <c r="F16477" i="1"/>
  <c r="F16465" i="1"/>
  <c r="F16439" i="1"/>
  <c r="F16425" i="1"/>
  <c r="F16423" i="1"/>
  <c r="F16407" i="1"/>
  <c r="F16398" i="1"/>
  <c r="F16362" i="1"/>
  <c r="F16348" i="1"/>
  <c r="F16322" i="1"/>
  <c r="F16315" i="1"/>
  <c r="F16296" i="1"/>
  <c r="F16268" i="1"/>
  <c r="F16258" i="1"/>
  <c r="F16254" i="1"/>
  <c r="F16252" i="1"/>
  <c r="F16244" i="1"/>
  <c r="F16218" i="1"/>
  <c r="F16219" i="1"/>
  <c r="F16212" i="1"/>
  <c r="F16199" i="1"/>
  <c r="F16197" i="1"/>
  <c r="F16188" i="1"/>
  <c r="F16186" i="1"/>
  <c r="F16177" i="1"/>
  <c r="F16159" i="1"/>
  <c r="F16141" i="1"/>
  <c r="F16138" i="1"/>
  <c r="F16125" i="1"/>
  <c r="F16120" i="1"/>
  <c r="F16107" i="1"/>
  <c r="F16061" i="1"/>
  <c r="F16026" i="1"/>
  <c r="F15984" i="1"/>
  <c r="F15985" i="1"/>
  <c r="F15944" i="1"/>
  <c r="F15939" i="1"/>
  <c r="F15855" i="1"/>
  <c r="F15853" i="1"/>
  <c r="F15850" i="1"/>
  <c r="F15841" i="1"/>
  <c r="F15839" i="1"/>
  <c r="F15835" i="1"/>
  <c r="F15831" i="1"/>
  <c r="F15827" i="1"/>
  <c r="F15820" i="1"/>
  <c r="F15821" i="1"/>
  <c r="F15822" i="1"/>
  <c r="F15815" i="1"/>
  <c r="F15813" i="1"/>
  <c r="F15811" i="1"/>
  <c r="F15791" i="1"/>
  <c r="F15677" i="1"/>
  <c r="F15666" i="1"/>
  <c r="F15664" i="1"/>
  <c r="F15625" i="1"/>
  <c r="F15603" i="1"/>
  <c r="F15589" i="1"/>
  <c r="F15524" i="1"/>
  <c r="F15492" i="1"/>
  <c r="F15472" i="1"/>
  <c r="F15470" i="1"/>
  <c r="F15468" i="1"/>
  <c r="F15466" i="1"/>
  <c r="F15464" i="1"/>
  <c r="F15462" i="1"/>
  <c r="F15460" i="1"/>
  <c r="F15456" i="1"/>
  <c r="F15457" i="1"/>
  <c r="F15454" i="1"/>
  <c r="F15432" i="1"/>
  <c r="F15424" i="1"/>
  <c r="F15418" i="1"/>
  <c r="F15406" i="1"/>
  <c r="F15397" i="1"/>
  <c r="F15375" i="1"/>
  <c r="F15350" i="1"/>
  <c r="F15237" i="1"/>
  <c r="F15211" i="1"/>
  <c r="F15212" i="1"/>
  <c r="F15205" i="1"/>
  <c r="F15181" i="1"/>
  <c r="F15179" i="1"/>
  <c r="F15126" i="1"/>
  <c r="F15124" i="1"/>
  <c r="F15120" i="1"/>
  <c r="F15116" i="1"/>
  <c r="F15117" i="1"/>
  <c r="F15112" i="1"/>
  <c r="F15103" i="1"/>
  <c r="F15100" i="1"/>
  <c r="F15087" i="1"/>
  <c r="F15078" i="1"/>
  <c r="F15056" i="1"/>
  <c r="F15057" i="1"/>
  <c r="F15047" i="1"/>
  <c r="F15044" i="1"/>
  <c r="F15021" i="1"/>
  <c r="F15015" i="1"/>
  <c r="F14984" i="1"/>
  <c r="F14939" i="1"/>
  <c r="F14885" i="1"/>
  <c r="F14873" i="1"/>
  <c r="F14874" i="1"/>
  <c r="F14863" i="1"/>
  <c r="F14861" i="1"/>
  <c r="F14859" i="1"/>
  <c r="F14857" i="1"/>
  <c r="F14855" i="1"/>
  <c r="F14818" i="1"/>
  <c r="F14797" i="1"/>
  <c r="F14793" i="1"/>
  <c r="F14773" i="1"/>
  <c r="F14759" i="1"/>
  <c r="F14744" i="1"/>
  <c r="F14738" i="1"/>
  <c r="F14736" i="1"/>
  <c r="F14718" i="1"/>
  <c r="F14719" i="1"/>
  <c r="F14663" i="1"/>
  <c r="F14661" i="1"/>
  <c r="F14659" i="1"/>
  <c r="F14651" i="1"/>
  <c r="F14610" i="1"/>
  <c r="F14500" i="1"/>
  <c r="F14490" i="1"/>
  <c r="F14478" i="1"/>
  <c r="F14476" i="1"/>
  <c r="F14418" i="1"/>
  <c r="F14416" i="1"/>
  <c r="F14380" i="1"/>
  <c r="F14317" i="1"/>
  <c r="F14315" i="1"/>
  <c r="F14313" i="1"/>
  <c r="F14309" i="1"/>
  <c r="F14305" i="1"/>
  <c r="F14269" i="1"/>
  <c r="F14245" i="1"/>
  <c r="F14186" i="1"/>
  <c r="F14142" i="1"/>
  <c r="F14143" i="1"/>
  <c r="F14140" i="1"/>
  <c r="F14138" i="1"/>
  <c r="F14127" i="1"/>
  <c r="F14119" i="1"/>
  <c r="F14120" i="1"/>
  <c r="F14121" i="1"/>
  <c r="F14115" i="1"/>
  <c r="F14116" i="1"/>
  <c r="F14105" i="1"/>
  <c r="F14103" i="1"/>
  <c r="F14093" i="1"/>
  <c r="F14081" i="1"/>
  <c r="F14079" i="1"/>
  <c r="F14077" i="1"/>
  <c r="F14075" i="1"/>
  <c r="F14073" i="1"/>
  <c r="F14071" i="1"/>
  <c r="F14047" i="1"/>
  <c r="F14039" i="1"/>
  <c r="F14024" i="1"/>
  <c r="F14000" i="1"/>
  <c r="F13992" i="1"/>
  <c r="F13908" i="1"/>
  <c r="F13904" i="1"/>
  <c r="F13898" i="1"/>
  <c r="F13860" i="1"/>
  <c r="F13846" i="1"/>
  <c r="F13828" i="1"/>
  <c r="F13814" i="1"/>
  <c r="F13776" i="1"/>
  <c r="F13770" i="1"/>
  <c r="F13768" i="1"/>
  <c r="F13754" i="1"/>
  <c r="F13752" i="1"/>
  <c r="F13738" i="1"/>
  <c r="F13734" i="1"/>
  <c r="F13726" i="1"/>
  <c r="F13717" i="1"/>
  <c r="F13718" i="1"/>
  <c r="F13702" i="1"/>
  <c r="F13687" i="1"/>
  <c r="F13688" i="1"/>
  <c r="F13646" i="1"/>
  <c r="F13647" i="1"/>
  <c r="F13648" i="1"/>
  <c r="F13629" i="1"/>
  <c r="F13620" i="1"/>
  <c r="F13610" i="1"/>
  <c r="F13608" i="1"/>
  <c r="F13590" i="1"/>
  <c r="F13549" i="1"/>
  <c r="F13547" i="1"/>
  <c r="F13535" i="1"/>
  <c r="F13519" i="1"/>
  <c r="F13517" i="1"/>
  <c r="F13482" i="1"/>
  <c r="F13456" i="1"/>
  <c r="F13454" i="1"/>
  <c r="F13410" i="1"/>
  <c r="F13402" i="1"/>
  <c r="F13400" i="1"/>
  <c r="F13394" i="1"/>
  <c r="F13345" i="1"/>
  <c r="F13341" i="1"/>
  <c r="F13224" i="1"/>
  <c r="F13174" i="1"/>
  <c r="F13172" i="1"/>
  <c r="F13094" i="1"/>
  <c r="F12914" i="1"/>
  <c r="F12861" i="1"/>
  <c r="F12862" i="1"/>
  <c r="F12708" i="1"/>
  <c r="F12704" i="1"/>
  <c r="F12689" i="1"/>
  <c r="F12644" i="1"/>
  <c r="F12587" i="1"/>
  <c r="F12542" i="1"/>
  <c r="F12524" i="1"/>
  <c r="F12508" i="1"/>
  <c r="F12506" i="1"/>
  <c r="F12504" i="1"/>
  <c r="F12502" i="1"/>
  <c r="F12500" i="1"/>
  <c r="F12498" i="1"/>
  <c r="F12494" i="1"/>
  <c r="F12486" i="1"/>
  <c r="F12487" i="1"/>
  <c r="F12430" i="1"/>
  <c r="F12343" i="1"/>
  <c r="F12337" i="1"/>
  <c r="F12327" i="1"/>
  <c r="F12328" i="1"/>
  <c r="F12309" i="1"/>
  <c r="F12305" i="1"/>
  <c r="F12299" i="1"/>
  <c r="F12295" i="1"/>
  <c r="F12291" i="1"/>
  <c r="F12289" i="1"/>
  <c r="F12285" i="1"/>
  <c r="F12286" i="1"/>
  <c r="F12281" i="1"/>
  <c r="F12279" i="1"/>
  <c r="F12277" i="1"/>
  <c r="F12228" i="1"/>
  <c r="F12187" i="1"/>
  <c r="F12183" i="1"/>
  <c r="F12131" i="1"/>
  <c r="F12123" i="1"/>
  <c r="F12088" i="1"/>
  <c r="F12057" i="1"/>
  <c r="F12053" i="1"/>
  <c r="F12044" i="1"/>
  <c r="F12045" i="1"/>
  <c r="F12046" i="1"/>
  <c r="F12037" i="1"/>
  <c r="F12031" i="1"/>
  <c r="F12029" i="1"/>
  <c r="F12027" i="1"/>
  <c r="F11938" i="1"/>
  <c r="F11928" i="1"/>
  <c r="F11924" i="1"/>
  <c r="F11878" i="1"/>
  <c r="F11876" i="1"/>
  <c r="F11872" i="1"/>
  <c r="F11873" i="1"/>
  <c r="F11870" i="1"/>
  <c r="F11868" i="1"/>
  <c r="F11865" i="1"/>
  <c r="F11840" i="1"/>
  <c r="F11815" i="1"/>
  <c r="F11816" i="1"/>
  <c r="F11817" i="1"/>
  <c r="F11812" i="1"/>
  <c r="F11808" i="1"/>
  <c r="F11806" i="1"/>
  <c r="F11804" i="1"/>
  <c r="F11802" i="1"/>
  <c r="F11796" i="1"/>
  <c r="F11794" i="1"/>
  <c r="F11792" i="1"/>
  <c r="F11790" i="1"/>
  <c r="F11788" i="1"/>
  <c r="F11786" i="1"/>
  <c r="F11784" i="1"/>
  <c r="F11763" i="1"/>
  <c r="F11759" i="1"/>
  <c r="F11739" i="1"/>
  <c r="F11737" i="1"/>
  <c r="F11720" i="1"/>
  <c r="F11721" i="1"/>
  <c r="F11717" i="1"/>
  <c r="F11707" i="1"/>
  <c r="F11691" i="1"/>
  <c r="F11679" i="1"/>
  <c r="F11668" i="1"/>
  <c r="F11659" i="1"/>
  <c r="F11657" i="1"/>
  <c r="F11653" i="1"/>
  <c r="F11654" i="1"/>
  <c r="F11651" i="1"/>
  <c r="F11649" i="1"/>
  <c r="F11647" i="1"/>
  <c r="F11633" i="1"/>
  <c r="F11634" i="1"/>
  <c r="F11635" i="1"/>
  <c r="F11605" i="1"/>
  <c r="F11593" i="1"/>
  <c r="F11594" i="1"/>
  <c r="F11576" i="1"/>
  <c r="F11559" i="1"/>
  <c r="F11557" i="1"/>
  <c r="F11545" i="1"/>
  <c r="F11533" i="1"/>
  <c r="F11529" i="1"/>
  <c r="F11527" i="1"/>
  <c r="F11506" i="1"/>
  <c r="F11442" i="1"/>
  <c r="F11436" i="1"/>
  <c r="F11425" i="1"/>
  <c r="F11419" i="1"/>
  <c r="F11413" i="1"/>
  <c r="F11377" i="1"/>
  <c r="F11162" i="1"/>
  <c r="F11159" i="1"/>
  <c r="F11134" i="1"/>
  <c r="F11103" i="1"/>
  <c r="F11072" i="1"/>
  <c r="F11054" i="1"/>
  <c r="F11047" i="1"/>
  <c r="F11048" i="1"/>
  <c r="F11049" i="1"/>
  <c r="F11045" i="1"/>
  <c r="F11041" i="1"/>
  <c r="F11042" i="1"/>
  <c r="F11037" i="1"/>
  <c r="F11027" i="1"/>
  <c r="F11023" i="1"/>
  <c r="F11021" i="1"/>
  <c r="F11019" i="1"/>
  <c r="F11015" i="1"/>
  <c r="F11011" i="1"/>
  <c r="F11008" i="1"/>
  <c r="F10735" i="1"/>
  <c r="F10736" i="1"/>
  <c r="F10737" i="1"/>
  <c r="F10718" i="1"/>
  <c r="F10711" i="1"/>
  <c r="F10703" i="1"/>
  <c r="F10704" i="1"/>
  <c r="F10694" i="1"/>
  <c r="F10676" i="1"/>
  <c r="F10593" i="1"/>
  <c r="F10550" i="1"/>
  <c r="F10516" i="1"/>
  <c r="F10504" i="1"/>
  <c r="F10491" i="1"/>
  <c r="F10482" i="1"/>
  <c r="F10477" i="1"/>
  <c r="F10463" i="1"/>
  <c r="F10460" i="1"/>
  <c r="F10436" i="1"/>
  <c r="F10415" i="1"/>
  <c r="F10399" i="1"/>
  <c r="F10357" i="1"/>
  <c r="F10324" i="1"/>
  <c r="F10296" i="1"/>
  <c r="F10266" i="1"/>
  <c r="F10259" i="1"/>
  <c r="F10243" i="1"/>
  <c r="F10232" i="1"/>
  <c r="F10220" i="1"/>
  <c r="F10192" i="1"/>
  <c r="F10134" i="1"/>
  <c r="F10115" i="1"/>
  <c r="F10087" i="1"/>
  <c r="F10071" i="1"/>
  <c r="F10042" i="1"/>
  <c r="F9993" i="1"/>
  <c r="F9968" i="1"/>
  <c r="F9962" i="1"/>
  <c r="F9960" i="1"/>
  <c r="F9958" i="1"/>
  <c r="F9952" i="1"/>
  <c r="F9953" i="1"/>
  <c r="F9942" i="1"/>
  <c r="F9853" i="1"/>
  <c r="F9843" i="1"/>
  <c r="F9827" i="1"/>
  <c r="F9824" i="1"/>
  <c r="F9815" i="1"/>
  <c r="F9769" i="1"/>
  <c r="F9764" i="1"/>
  <c r="F9729" i="1"/>
  <c r="F9714" i="1"/>
  <c r="F9712" i="1"/>
  <c r="F9690" i="1"/>
  <c r="F9642" i="1"/>
  <c r="F9438" i="1"/>
  <c r="F9394" i="1"/>
  <c r="F9392" i="1"/>
  <c r="F9388" i="1"/>
  <c r="F9389" i="1"/>
  <c r="F9327" i="1"/>
  <c r="F9253" i="1"/>
  <c r="F9236" i="1"/>
  <c r="F9231" i="1"/>
  <c r="F9182" i="1"/>
  <c r="F9180" i="1"/>
  <c r="F9176" i="1"/>
  <c r="F9162" i="1"/>
  <c r="F9152" i="1"/>
  <c r="F9150" i="1"/>
  <c r="F9148" i="1"/>
  <c r="F9112" i="1"/>
  <c r="F9054" i="1"/>
  <c r="F9050" i="1"/>
  <c r="F9048" i="1"/>
  <c r="F9046" i="1"/>
  <c r="F9040" i="1"/>
  <c r="F9036" i="1"/>
  <c r="F9030" i="1"/>
  <c r="F9028" i="1"/>
  <c r="F9026" i="1"/>
  <c r="F9024" i="1"/>
  <c r="F9022" i="1"/>
  <c r="F9020" i="1"/>
  <c r="F9009" i="1"/>
  <c r="F8989" i="1"/>
  <c r="F8987" i="1"/>
  <c r="F8922" i="1"/>
  <c r="F8908" i="1"/>
  <c r="F8909" i="1"/>
  <c r="F8884" i="1"/>
  <c r="F8721" i="1"/>
  <c r="F8700" i="1"/>
  <c r="F8696" i="1"/>
  <c r="F8694" i="1"/>
  <c r="F8657" i="1"/>
  <c r="F8601" i="1"/>
  <c r="F8547" i="1"/>
  <c r="F8538" i="1"/>
  <c r="F8459" i="1"/>
  <c r="F8460" i="1"/>
  <c r="F8441" i="1"/>
  <c r="F8425" i="1"/>
  <c r="F8426" i="1"/>
  <c r="F8421" i="1"/>
  <c r="F8422" i="1"/>
  <c r="F8413" i="1"/>
  <c r="F8387" i="1"/>
  <c r="F8383" i="1"/>
  <c r="F8379" i="1"/>
  <c r="F8373" i="1"/>
  <c r="F8252" i="1"/>
  <c r="F8233" i="1"/>
  <c r="F8193" i="1"/>
  <c r="F8191" i="1"/>
  <c r="F8189" i="1"/>
  <c r="F8174" i="1"/>
  <c r="F8171" i="1"/>
  <c r="F8084" i="1"/>
  <c r="F8033" i="1"/>
  <c r="F8007" i="1"/>
  <c r="F7966" i="1"/>
  <c r="F7929" i="1"/>
  <c r="F7917" i="1"/>
  <c r="F7915" i="1"/>
  <c r="F7913" i="1"/>
  <c r="F7911" i="1"/>
  <c r="F7896" i="1"/>
  <c r="F7886" i="1"/>
  <c r="F7788" i="1"/>
  <c r="F7786" i="1"/>
  <c r="F7647" i="1"/>
  <c r="F7614" i="1"/>
  <c r="F7574" i="1"/>
  <c r="F7572" i="1"/>
  <c r="F7564" i="1"/>
  <c r="F7565" i="1"/>
  <c r="F7560" i="1"/>
  <c r="F7533" i="1"/>
  <c r="F7525" i="1"/>
  <c r="F7521" i="1"/>
  <c r="F7434" i="1"/>
  <c r="F7403" i="1"/>
  <c r="F7387" i="1"/>
  <c r="F7388" i="1"/>
  <c r="F7383" i="1"/>
  <c r="F7243" i="1"/>
  <c r="F7241" i="1"/>
  <c r="F7237" i="1"/>
  <c r="F7235" i="1"/>
  <c r="F7231" i="1"/>
  <c r="F7227" i="1"/>
  <c r="F7225" i="1"/>
  <c r="F7221" i="1"/>
  <c r="F7217" i="1"/>
  <c r="F7218" i="1"/>
  <c r="F7213" i="1"/>
  <c r="F7211" i="1"/>
  <c r="F7209" i="1"/>
  <c r="F7207" i="1"/>
  <c r="F7205" i="1"/>
  <c r="F7203" i="1"/>
  <c r="F7201" i="1"/>
  <c r="F7199" i="1"/>
  <c r="F7197" i="1"/>
  <c r="F7193" i="1"/>
  <c r="F7191" i="1"/>
  <c r="F7189" i="1"/>
  <c r="F7187" i="1"/>
  <c r="F7185" i="1"/>
  <c r="F7183" i="1"/>
  <c r="F7181" i="1"/>
  <c r="F7179" i="1"/>
  <c r="F7177" i="1"/>
  <c r="F7175" i="1"/>
  <c r="F7173" i="1"/>
  <c r="F7171" i="1"/>
  <c r="F7169" i="1"/>
  <c r="F7163" i="1"/>
  <c r="F7161" i="1"/>
  <c r="F7159" i="1"/>
  <c r="F7157" i="1"/>
  <c r="F7151" i="1"/>
  <c r="F7149" i="1"/>
  <c r="F7147" i="1"/>
  <c r="F7143" i="1"/>
  <c r="F7141" i="1"/>
  <c r="F7139" i="1"/>
  <c r="F7112" i="1"/>
  <c r="F7108" i="1"/>
  <c r="F7106" i="1"/>
  <c r="F7104" i="1"/>
  <c r="F7100" i="1"/>
  <c r="F7098" i="1"/>
  <c r="F7075" i="1"/>
  <c r="F7073" i="1"/>
  <c r="F7065" i="1"/>
  <c r="F7066" i="1"/>
  <c r="F7059" i="1"/>
  <c r="F7060" i="1"/>
  <c r="F7061" i="1"/>
  <c r="F7057" i="1"/>
  <c r="F7055" i="1"/>
  <c r="F7039" i="1"/>
  <c r="F7040" i="1"/>
  <c r="F7041" i="1"/>
  <c r="F7042" i="1"/>
  <c r="F7043" i="1"/>
  <c r="F7044" i="1"/>
  <c r="F7045" i="1"/>
  <c r="F7033" i="1"/>
  <c r="F6972" i="1"/>
  <c r="F6970" i="1"/>
  <c r="F6923" i="1"/>
  <c r="F6900" i="1"/>
  <c r="F6876" i="1"/>
  <c r="F6874" i="1"/>
  <c r="F6872" i="1"/>
  <c r="F6870" i="1"/>
  <c r="F6831" i="1"/>
  <c r="F6829" i="1"/>
  <c r="F6825" i="1"/>
  <c r="F6821" i="1"/>
  <c r="F6813" i="1"/>
  <c r="F6814" i="1"/>
  <c r="F6807" i="1"/>
  <c r="F6799" i="1"/>
  <c r="F6791" i="1"/>
  <c r="F6789" i="1"/>
  <c r="F6783" i="1"/>
  <c r="F6761" i="1"/>
  <c r="F6759" i="1"/>
  <c r="F6751" i="1"/>
  <c r="F6737" i="1"/>
  <c r="F6694" i="1"/>
  <c r="F6684" i="1"/>
  <c r="F6661" i="1"/>
  <c r="F6657" i="1"/>
  <c r="F6616" i="1"/>
  <c r="F6575" i="1"/>
  <c r="F6573" i="1"/>
  <c r="F6571" i="1"/>
  <c r="F6562" i="1"/>
  <c r="F6554" i="1"/>
  <c r="F6555" i="1"/>
  <c r="F6552" i="1"/>
  <c r="F6550" i="1"/>
  <c r="F6548" i="1"/>
  <c r="F6546" i="1"/>
  <c r="F6501" i="1"/>
  <c r="F6495" i="1"/>
  <c r="F6493" i="1"/>
  <c r="F6491" i="1"/>
  <c r="F6489" i="1"/>
  <c r="F6487" i="1"/>
  <c r="F6477" i="1"/>
  <c r="F6433" i="1"/>
  <c r="F6422" i="1"/>
  <c r="F6404" i="1"/>
  <c r="F6348" i="1"/>
  <c r="F6332" i="1"/>
  <c r="F6316" i="1"/>
  <c r="F6312" i="1"/>
  <c r="F6308" i="1"/>
  <c r="F6309" i="1"/>
  <c r="F6169" i="1"/>
  <c r="F6112" i="1"/>
  <c r="F6016" i="1"/>
  <c r="F5944" i="1"/>
  <c r="F5940" i="1"/>
  <c r="F5930" i="1"/>
  <c r="F5898" i="1"/>
  <c r="F5876" i="1"/>
  <c r="F5871" i="1"/>
  <c r="F5758" i="1"/>
  <c r="F5643" i="1"/>
  <c r="F5572" i="1"/>
  <c r="F5542" i="1"/>
  <c r="F5540" i="1"/>
  <c r="F5536" i="1"/>
  <c r="F5505" i="1"/>
  <c r="F5390" i="1"/>
  <c r="F5382" i="1"/>
  <c r="F5380" i="1"/>
  <c r="F5376" i="1"/>
  <c r="F5374" i="1"/>
  <c r="F5254" i="1"/>
  <c r="F5250" i="1"/>
  <c r="F5221" i="1"/>
  <c r="F5219" i="1"/>
  <c r="F5115" i="1"/>
  <c r="F5113" i="1"/>
  <c r="F5109" i="1"/>
  <c r="F5105" i="1"/>
  <c r="F5064" i="1"/>
  <c r="F5065" i="1"/>
  <c r="F5050" i="1"/>
  <c r="F5042" i="1"/>
  <c r="F5040" i="1"/>
  <c r="F4986" i="1"/>
  <c r="F4982" i="1"/>
  <c r="F4980" i="1"/>
  <c r="F4952" i="1"/>
  <c r="F4912" i="1"/>
  <c r="F4906" i="1"/>
  <c r="F4831" i="1"/>
  <c r="F4722" i="1"/>
  <c r="F4678" i="1"/>
  <c r="F4668" i="1"/>
  <c r="F4669" i="1"/>
  <c r="F4625" i="1"/>
  <c r="F4621" i="1"/>
  <c r="F4583" i="1"/>
  <c r="F4492" i="1"/>
  <c r="F4488" i="1"/>
  <c r="F4452" i="1"/>
  <c r="F4386" i="1"/>
  <c r="F4387" i="1"/>
  <c r="F4308" i="1"/>
  <c r="F4306" i="1"/>
  <c r="F4298" i="1"/>
  <c r="F4299" i="1"/>
  <c r="F4300" i="1"/>
  <c r="F4301" i="1"/>
  <c r="F4288" i="1"/>
  <c r="F4272" i="1"/>
  <c r="F4208" i="1"/>
  <c r="F4189" i="1"/>
  <c r="F4187" i="1"/>
  <c r="F4162" i="1"/>
  <c r="F4150" i="1"/>
  <c r="F4141" i="1"/>
  <c r="F4135" i="1"/>
  <c r="F4105" i="1"/>
  <c r="F4078" i="1"/>
  <c r="F4037" i="1"/>
  <c r="F4025" i="1"/>
  <c r="F4023" i="1"/>
  <c r="F3992" i="1"/>
  <c r="F3990" i="1"/>
  <c r="F3988" i="1"/>
  <c r="F3848" i="1"/>
  <c r="F3744" i="1"/>
  <c r="F3738" i="1"/>
  <c r="F3739" i="1"/>
  <c r="F3740" i="1"/>
  <c r="F3735" i="1"/>
  <c r="F3733" i="1"/>
  <c r="F3731" i="1"/>
  <c r="F3729" i="1"/>
  <c r="F3727" i="1"/>
  <c r="F3725" i="1"/>
  <c r="F3723" i="1"/>
  <c r="F3698" i="1"/>
  <c r="F3692" i="1"/>
  <c r="F3690" i="1"/>
  <c r="F3686" i="1"/>
  <c r="F3670" i="1"/>
  <c r="F3668" i="1"/>
  <c r="F3556" i="1"/>
  <c r="F3418" i="1"/>
  <c r="F3362" i="1"/>
  <c r="F3360" i="1"/>
  <c r="F3348" i="1"/>
  <c r="F3344" i="1"/>
  <c r="F3334" i="1"/>
  <c r="F3329" i="1"/>
  <c r="F3325" i="1"/>
  <c r="F3113" i="1"/>
  <c r="F3049" i="1"/>
  <c r="F3047" i="1"/>
  <c r="F3045" i="1"/>
  <c r="F3018" i="1"/>
  <c r="F2965" i="1"/>
  <c r="F2792" i="1"/>
  <c r="F2673" i="1"/>
  <c r="F2668" i="1"/>
  <c r="F2666" i="1"/>
  <c r="F2354" i="1"/>
  <c r="F2344" i="1"/>
  <c r="F2331" i="1"/>
  <c r="F2325" i="1"/>
  <c r="F2321" i="1"/>
  <c r="F2313" i="1"/>
  <c r="F2310" i="1"/>
  <c r="F2283" i="1"/>
  <c r="F2274" i="1"/>
  <c r="F2272" i="1"/>
  <c r="F2266" i="1"/>
  <c r="F2260" i="1"/>
  <c r="F2254" i="1"/>
  <c r="F2205" i="1"/>
  <c r="F2170" i="1"/>
  <c r="F2162" i="1"/>
  <c r="F2163" i="1"/>
  <c r="F2160" i="1"/>
  <c r="F2158" i="1"/>
  <c r="F2140" i="1"/>
  <c r="F2135" i="1"/>
  <c r="F2136" i="1"/>
  <c r="F2129" i="1"/>
  <c r="F2130" i="1"/>
  <c r="F2126" i="1"/>
  <c r="F2113" i="1"/>
  <c r="F2107" i="1"/>
  <c r="F2094" i="1"/>
  <c r="F2095" i="1"/>
  <c r="F2096" i="1"/>
  <c r="F2097" i="1"/>
  <c r="F2092" i="1"/>
  <c r="F2084" i="1"/>
  <c r="F2076" i="1"/>
  <c r="F2074" i="1"/>
  <c r="F2072" i="1"/>
  <c r="F2070" i="1"/>
  <c r="F2068" i="1"/>
  <c r="F2058" i="1"/>
  <c r="F2059" i="1"/>
  <c r="F2060" i="1"/>
  <c r="F2052" i="1"/>
  <c r="F1996" i="1"/>
  <c r="F1994" i="1"/>
  <c r="F1984" i="1"/>
  <c r="F1970" i="1"/>
  <c r="F1961" i="1"/>
  <c r="F1952" i="1"/>
  <c r="F1932" i="1"/>
  <c r="F1896" i="1"/>
  <c r="F1888" i="1"/>
  <c r="F1886" i="1"/>
  <c r="F1884" i="1"/>
  <c r="F1882" i="1"/>
  <c r="F1880" i="1"/>
  <c r="F1878" i="1"/>
  <c r="F1872" i="1"/>
  <c r="F1870" i="1"/>
  <c r="F1868" i="1"/>
  <c r="F1866" i="1"/>
  <c r="F1864" i="1"/>
  <c r="F1862" i="1"/>
  <c r="F1860" i="1"/>
  <c r="F1856" i="1"/>
  <c r="F1854" i="1"/>
  <c r="F1852" i="1"/>
  <c r="F1850" i="1"/>
  <c r="F1848" i="1"/>
  <c r="F1846" i="1"/>
  <c r="F1844" i="1"/>
  <c r="F1840" i="1"/>
  <c r="F1836" i="1"/>
  <c r="F1832" i="1"/>
  <c r="F1830" i="1"/>
  <c r="F1828" i="1"/>
  <c r="F1826" i="1"/>
  <c r="F1824" i="1"/>
  <c r="F1822" i="1"/>
  <c r="F1820" i="1"/>
  <c r="F1818" i="1"/>
  <c r="F1816" i="1"/>
  <c r="F1812" i="1"/>
  <c r="F1810" i="1"/>
  <c r="F1808" i="1"/>
  <c r="F1806" i="1"/>
  <c r="F1802" i="1"/>
  <c r="F1800" i="1"/>
  <c r="F1798" i="1"/>
  <c r="F1796" i="1"/>
  <c r="F1794" i="1"/>
  <c r="F1792" i="1"/>
  <c r="F1790" i="1"/>
  <c r="F1788" i="1"/>
  <c r="F1786" i="1"/>
  <c r="F1784" i="1"/>
  <c r="F1780" i="1"/>
  <c r="F1778" i="1"/>
  <c r="F1776" i="1"/>
  <c r="F1774" i="1"/>
  <c r="F1772" i="1"/>
  <c r="F1768" i="1"/>
  <c r="F1769" i="1"/>
  <c r="F1762" i="1"/>
  <c r="F1758" i="1"/>
  <c r="F1750" i="1"/>
  <c r="F1751" i="1"/>
  <c r="F1752" i="1"/>
  <c r="F1748" i="1"/>
  <c r="F1744" i="1"/>
  <c r="F1742" i="1"/>
  <c r="F1736" i="1"/>
  <c r="F1737" i="1"/>
  <c r="F1738" i="1"/>
  <c r="F1732" i="1"/>
  <c r="F1733" i="1"/>
  <c r="F1728" i="1"/>
  <c r="F1722" i="1"/>
  <c r="F1718" i="1"/>
  <c r="F1701" i="1"/>
  <c r="F1694" i="1"/>
  <c r="F1690" i="1"/>
  <c r="F1691" i="1"/>
  <c r="F1686" i="1"/>
  <c r="F1687" i="1"/>
  <c r="F1682" i="1"/>
  <c r="F1678" i="1"/>
  <c r="F1679" i="1"/>
  <c r="F1676" i="1"/>
  <c r="F1668" i="1"/>
  <c r="F1666" i="1"/>
  <c r="F1658" i="1"/>
  <c r="F1654" i="1"/>
  <c r="F1646" i="1"/>
  <c r="F1614" i="1"/>
  <c r="F1612" i="1"/>
  <c r="F1606" i="1"/>
  <c r="F1604" i="1"/>
  <c r="F1594" i="1"/>
  <c r="F1592" i="1"/>
  <c r="F1588" i="1"/>
  <c r="F1586" i="1"/>
  <c r="F1584" i="1"/>
  <c r="F1582" i="1"/>
  <c r="F1580" i="1"/>
  <c r="F1578" i="1"/>
  <c r="F1572" i="1"/>
  <c r="F1566" i="1"/>
  <c r="F1567" i="1"/>
  <c r="F1568" i="1"/>
  <c r="F1564" i="1"/>
  <c r="F1558" i="1"/>
  <c r="F1556" i="1"/>
  <c r="F1554" i="1"/>
  <c r="F1547" i="1"/>
  <c r="F1548" i="1"/>
  <c r="F1549" i="1"/>
  <c r="F1544" i="1"/>
  <c r="F1534" i="1"/>
  <c r="F1535" i="1"/>
  <c r="F1536" i="1"/>
  <c r="F1524" i="1"/>
  <c r="F1516" i="1"/>
  <c r="F1514" i="1"/>
  <c r="F1512" i="1"/>
  <c r="F1510" i="1"/>
  <c r="F1508" i="1"/>
  <c r="F1506" i="1"/>
  <c r="F1498" i="1"/>
  <c r="F1488" i="1"/>
  <c r="F1451" i="1"/>
  <c r="F1433" i="1"/>
  <c r="F1400" i="1"/>
  <c r="F1398" i="1"/>
  <c r="F1396" i="1"/>
  <c r="F1392" i="1"/>
  <c r="F1390" i="1"/>
  <c r="F1388" i="1"/>
  <c r="F1386" i="1"/>
  <c r="F1383" i="1"/>
  <c r="F1377" i="1"/>
  <c r="F1378" i="1"/>
  <c r="F1374" i="1"/>
  <c r="F1372" i="1"/>
  <c r="F1368" i="1"/>
  <c r="F1353" i="1"/>
  <c r="F1302" i="1"/>
  <c r="F1300" i="1"/>
  <c r="F1296" i="1"/>
  <c r="F1274" i="1"/>
  <c r="F1102" i="1"/>
  <c r="F972" i="1"/>
  <c r="F741" i="1"/>
  <c r="F734" i="1"/>
  <c r="F729" i="1"/>
  <c r="F724" i="1"/>
  <c r="F702" i="1"/>
  <c r="F692" i="1"/>
  <c r="F684" i="1"/>
  <c r="F680" i="1"/>
  <c r="F678" i="1"/>
  <c r="F659" i="1"/>
  <c r="F648" i="1"/>
  <c r="F455" i="1"/>
  <c r="F165" i="1"/>
  <c r="F34965" i="1"/>
  <c r="F31995" i="1"/>
  <c r="F31873" i="1"/>
  <c r="F30822" i="1"/>
  <c r="F30131" i="1"/>
  <c r="F29611" i="1"/>
  <c r="F28669" i="1"/>
  <c r="F23327" i="1"/>
  <c r="F21596" i="1"/>
  <c r="F20355" i="1"/>
  <c r="F20245" i="1"/>
  <c r="F19900" i="1"/>
  <c r="F19319" i="1"/>
  <c r="F15322" i="1"/>
  <c r="F15025" i="1"/>
  <c r="F14880" i="1"/>
  <c r="F13436" i="1"/>
  <c r="F11880" i="1"/>
  <c r="F11826" i="1"/>
  <c r="F10669" i="1"/>
  <c r="F10492" i="1"/>
  <c r="F10334" i="1"/>
  <c r="F9751" i="1"/>
  <c r="F6166" i="1"/>
  <c r="F4409" i="1"/>
  <c r="F4341" i="1"/>
  <c r="F4342" i="1"/>
  <c r="F704" i="1"/>
  <c r="F35405" i="1"/>
  <c r="F35370" i="1"/>
  <c r="F34276" i="1"/>
  <c r="F33629" i="1"/>
  <c r="F33628" i="1"/>
  <c r="F33411" i="1"/>
  <c r="F33402" i="1"/>
  <c r="F33401" i="1"/>
  <c r="F32713" i="1"/>
  <c r="F32408" i="1"/>
  <c r="F32386" i="1"/>
  <c r="F31378" i="1"/>
  <c r="F31182" i="1"/>
  <c r="F31164" i="1"/>
  <c r="F31160" i="1"/>
  <c r="F31095" i="1"/>
  <c r="F31061" i="1"/>
  <c r="F30267" i="1"/>
  <c r="F30258" i="1"/>
  <c r="F30111" i="1"/>
  <c r="F28900" i="1"/>
  <c r="F28542" i="1"/>
  <c r="F28541" i="1"/>
  <c r="F28473" i="1"/>
  <c r="F28197" i="1"/>
  <c r="F27654" i="1"/>
  <c r="F27625" i="1"/>
  <c r="F27332" i="1"/>
  <c r="F27214" i="1"/>
  <c r="F26340" i="1"/>
  <c r="F25710" i="1"/>
  <c r="F25624" i="1"/>
  <c r="F25085" i="1"/>
  <c r="F24928" i="1"/>
  <c r="F24719" i="1"/>
  <c r="F24718" i="1"/>
  <c r="F24634" i="1"/>
  <c r="F24493" i="1"/>
  <c r="F24421" i="1"/>
  <c r="F24325" i="1"/>
  <c r="F24145" i="1"/>
  <c r="F24143" i="1"/>
  <c r="F21380" i="1"/>
  <c r="F21110" i="1"/>
  <c r="F18923" i="1"/>
  <c r="F18285" i="1"/>
  <c r="F17966" i="1"/>
  <c r="F17967" i="1"/>
  <c r="F16867" i="1"/>
  <c r="F16785" i="1"/>
  <c r="F16761" i="1"/>
  <c r="F16484" i="1"/>
  <c r="F16350" i="1"/>
  <c r="F16330" i="1"/>
  <c r="F16328" i="1"/>
  <c r="F16242" i="1"/>
  <c r="F15122" i="1"/>
  <c r="F14883" i="1"/>
  <c r="F14877" i="1"/>
  <c r="F14178" i="1"/>
  <c r="F13824" i="1"/>
  <c r="F13026" i="1"/>
  <c r="F13021" i="1"/>
  <c r="F13020" i="1"/>
  <c r="F13004" i="1"/>
  <c r="F12961" i="1"/>
  <c r="F12829" i="1"/>
  <c r="F12827" i="1"/>
  <c r="F10686" i="1"/>
  <c r="F10622" i="1"/>
  <c r="F8556" i="1"/>
  <c r="F8209" i="1"/>
  <c r="F8205" i="1"/>
  <c r="F8181" i="1"/>
  <c r="F7768" i="1"/>
  <c r="F5707" i="1"/>
  <c r="F5618" i="1"/>
  <c r="F5531" i="1"/>
  <c r="F4878" i="1"/>
  <c r="F4538" i="1"/>
  <c r="F4536" i="1"/>
  <c r="F3931" i="1"/>
  <c r="F3662" i="1"/>
  <c r="F3659" i="1"/>
  <c r="F3520" i="1"/>
  <c r="F1455" i="1"/>
  <c r="F1034" i="1"/>
  <c r="F1032" i="1"/>
  <c r="F1030" i="1"/>
  <c r="F1029" i="1"/>
  <c r="F1027" i="1"/>
  <c r="F915" i="1"/>
  <c r="F527" i="1"/>
  <c r="F120" i="1"/>
  <c r="F13641" i="1"/>
  <c r="F3230" i="1"/>
  <c r="F36308" i="1"/>
  <c r="F35619" i="1"/>
  <c r="F35604" i="1"/>
  <c r="F35443" i="1"/>
  <c r="F35104" i="1"/>
  <c r="F33939" i="1"/>
  <c r="F33938" i="1"/>
  <c r="F33909" i="1"/>
  <c r="F33860" i="1"/>
  <c r="F32220" i="1"/>
  <c r="F32177" i="1"/>
  <c r="F32148" i="1"/>
  <c r="F31969" i="1"/>
  <c r="F31955" i="1"/>
  <c r="F31925" i="1"/>
  <c r="F31922" i="1"/>
  <c r="F31915" i="1"/>
  <c r="F31858" i="1"/>
  <c r="F31845" i="1"/>
  <c r="F31740" i="1"/>
  <c r="F31730" i="1"/>
  <c r="F31729" i="1"/>
  <c r="F31577" i="1"/>
  <c r="F31445" i="1"/>
  <c r="F31136" i="1"/>
  <c r="F30975" i="1"/>
  <c r="F30685" i="1"/>
  <c r="F30515" i="1"/>
  <c r="F29440" i="1"/>
  <c r="F29413" i="1"/>
  <c r="F29390" i="1"/>
  <c r="F29381" i="1"/>
  <c r="F29356" i="1"/>
  <c r="F29355" i="1"/>
  <c r="F29351" i="1"/>
  <c r="F28520" i="1"/>
  <c r="F28516" i="1"/>
  <c r="F27798" i="1"/>
  <c r="F27770" i="1"/>
  <c r="F27738" i="1"/>
  <c r="F27732" i="1"/>
  <c r="F27730" i="1"/>
  <c r="F26691" i="1"/>
  <c r="F25645" i="1"/>
  <c r="F23709" i="1"/>
  <c r="F23684" i="1"/>
  <c r="F23676" i="1"/>
  <c r="F23668" i="1"/>
  <c r="F23611" i="1"/>
  <c r="F23610" i="1"/>
  <c r="F23505" i="1"/>
  <c r="F23323" i="1"/>
  <c r="F22511" i="1"/>
  <c r="F22497" i="1"/>
  <c r="F22491" i="1"/>
  <c r="F22142" i="1"/>
  <c r="F22003" i="1"/>
  <c r="F21752" i="1"/>
  <c r="F21190" i="1"/>
  <c r="F21183" i="1"/>
  <c r="F21077" i="1"/>
  <c r="F20675" i="1"/>
  <c r="F19234" i="1"/>
  <c r="F18917" i="1"/>
  <c r="F17376" i="1"/>
  <c r="F16557" i="1"/>
  <c r="F15402" i="1"/>
  <c r="F14606" i="1"/>
  <c r="F13790" i="1"/>
  <c r="F13325" i="1"/>
  <c r="F13317" i="1"/>
  <c r="F13291" i="1"/>
  <c r="F13177" i="1"/>
  <c r="F13168" i="1"/>
  <c r="F12950" i="1"/>
  <c r="F11504" i="1"/>
  <c r="F10536" i="1"/>
  <c r="F10533" i="1"/>
  <c r="F10493" i="1"/>
  <c r="F10484" i="1"/>
  <c r="F10475" i="1"/>
  <c r="F10448" i="1"/>
  <c r="F10428" i="1"/>
  <c r="F10345" i="1"/>
  <c r="F10337" i="1"/>
  <c r="F10291" i="1"/>
  <c r="F10282" i="1"/>
  <c r="F10193" i="1"/>
  <c r="F9775" i="1"/>
  <c r="F9701" i="1"/>
  <c r="F9674" i="1"/>
  <c r="F6267" i="1"/>
  <c r="F6173" i="1"/>
  <c r="F4926" i="1"/>
  <c r="F4281" i="1"/>
  <c r="F4183" i="1"/>
  <c r="F4035" i="1"/>
  <c r="F3702" i="1"/>
  <c r="F3406" i="1"/>
  <c r="F3396" i="1"/>
  <c r="F3376" i="1"/>
  <c r="F2840" i="1"/>
  <c r="F2826" i="1"/>
  <c r="F974" i="1"/>
  <c r="F414" i="1"/>
  <c r="F36474" i="1"/>
  <c r="F36473" i="1"/>
  <c r="F36457" i="1"/>
  <c r="F34586" i="1"/>
  <c r="F34018" i="1"/>
  <c r="F34017" i="1"/>
  <c r="F34016" i="1"/>
  <c r="F34015" i="1"/>
  <c r="F34014" i="1"/>
  <c r="F33215" i="1"/>
  <c r="F32516" i="1"/>
  <c r="F32257" i="1"/>
  <c r="F32253" i="1"/>
  <c r="F32245" i="1"/>
  <c r="F32097" i="1"/>
  <c r="F31961" i="1"/>
  <c r="F31959" i="1"/>
  <c r="F31958" i="1"/>
  <c r="F31957" i="1"/>
  <c r="F31956" i="1"/>
  <c r="F31130" i="1"/>
  <c r="F30451" i="1"/>
  <c r="F29954" i="1"/>
  <c r="F29796" i="1"/>
  <c r="F27567" i="1"/>
  <c r="F27566" i="1"/>
  <c r="F27565" i="1"/>
  <c r="F27556" i="1"/>
  <c r="F27483" i="1"/>
  <c r="F27454" i="1"/>
  <c r="F27345" i="1"/>
  <c r="F26994" i="1"/>
  <c r="F26798" i="1"/>
  <c r="F24249" i="1"/>
  <c r="F23745" i="1"/>
  <c r="F23672" i="1"/>
  <c r="F23607" i="1"/>
  <c r="F22589" i="1"/>
  <c r="F22146" i="1"/>
  <c r="F22091" i="1"/>
  <c r="F17533" i="1"/>
  <c r="F14522" i="1"/>
  <c r="F14520" i="1"/>
  <c r="F14512" i="1"/>
  <c r="F14069" i="1"/>
  <c r="F12942" i="1"/>
  <c r="F12882" i="1"/>
  <c r="F12438" i="1"/>
  <c r="F11360" i="1"/>
  <c r="F11355" i="1"/>
  <c r="F11221" i="1"/>
  <c r="F11144" i="1"/>
  <c r="F11141" i="1"/>
  <c r="F11140" i="1"/>
  <c r="F6263" i="1"/>
  <c r="F6256" i="1"/>
  <c r="F591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53" i="1"/>
  <c r="F4464" i="1"/>
  <c r="F4004" i="1"/>
  <c r="F3488" i="1"/>
  <c r="F3484" i="1"/>
  <c r="F3483" i="1"/>
  <c r="F3482" i="1"/>
  <c r="F3002" i="1"/>
  <c r="F2664" i="1"/>
  <c r="F1138" i="1"/>
  <c r="F1137" i="1"/>
  <c r="F20734" i="1"/>
  <c r="F23563" i="1"/>
  <c r="F7584" i="1"/>
  <c r="F36624" i="1"/>
  <c r="F36593" i="1"/>
  <c r="F36239" i="1"/>
  <c r="F36004" i="1"/>
  <c r="F36002" i="1"/>
  <c r="F35870" i="1"/>
  <c r="F34792" i="1"/>
  <c r="F34561" i="1"/>
  <c r="F33719" i="1"/>
  <c r="F30046" i="1"/>
  <c r="F30030" i="1"/>
  <c r="F26671" i="1"/>
  <c r="F23564" i="1"/>
  <c r="F21075" i="1"/>
  <c r="F11218" i="1"/>
  <c r="F11151" i="1"/>
  <c r="F10016" i="1"/>
  <c r="F9175" i="1"/>
  <c r="F6209" i="1"/>
  <c r="F983" i="1"/>
  <c r="F558" i="1"/>
  <c r="F168" i="1"/>
  <c r="F31219" i="1"/>
  <c r="F31192" i="1"/>
  <c r="F31176" i="1"/>
  <c r="F31110" i="1"/>
  <c r="F25479" i="1"/>
  <c r="F25430" i="1"/>
  <c r="F25309" i="1"/>
  <c r="F25146" i="1"/>
  <c r="F25124" i="1"/>
  <c r="F24901" i="1"/>
  <c r="F24418" i="1"/>
  <c r="F22766" i="1"/>
  <c r="F22415" i="1"/>
  <c r="F22246" i="1"/>
  <c r="F21292" i="1"/>
  <c r="F20590" i="1"/>
  <c r="F20565" i="1"/>
  <c r="F19467" i="1"/>
  <c r="F19260" i="1"/>
  <c r="F18970" i="1"/>
  <c r="F18892" i="1"/>
  <c r="F18816" i="1"/>
  <c r="F17914" i="1"/>
  <c r="F17908" i="1"/>
  <c r="F14600" i="1"/>
  <c r="F10598" i="1"/>
  <c r="F8743" i="1"/>
  <c r="F8113" i="1"/>
  <c r="F33640" i="1"/>
  <c r="F33099" i="1"/>
  <c r="F32394" i="1"/>
  <c r="F31380" i="1"/>
  <c r="F31191" i="1"/>
  <c r="F31175" i="1"/>
  <c r="F31163" i="1"/>
  <c r="F31137" i="1"/>
  <c r="F29204" i="1"/>
  <c r="F28046" i="1"/>
  <c r="F27585" i="1"/>
  <c r="F27328" i="1"/>
  <c r="F26705" i="1"/>
  <c r="F25054" i="1"/>
  <c r="F25029" i="1"/>
  <c r="F23741" i="1"/>
  <c r="F20964" i="1"/>
  <c r="F20765" i="1"/>
  <c r="F18664" i="1"/>
  <c r="F17056" i="1"/>
  <c r="F12301" i="1"/>
  <c r="F11450" i="1"/>
  <c r="F8141" i="1"/>
  <c r="F2945" i="1"/>
  <c r="F38" i="1"/>
  <c r="F3799" i="1"/>
  <c r="F12427" i="1"/>
  <c r="F24655" i="1"/>
  <c r="F8476" i="1"/>
  <c r="F422" i="1"/>
  <c r="F5923" i="1"/>
  <c r="F8293" i="1"/>
  <c r="F8357" i="1"/>
  <c r="F8567" i="1"/>
  <c r="F9371" i="1"/>
  <c r="F9944" i="1"/>
  <c r="F36117" i="1"/>
  <c r="F11429" i="1"/>
  <c r="F13023" i="1"/>
  <c r="F13029" i="1"/>
  <c r="F13238" i="1"/>
  <c r="F15611" i="1"/>
  <c r="F18381" i="1"/>
  <c r="F20598" i="1"/>
  <c r="F20418" i="1"/>
  <c r="F20587" i="1"/>
  <c r="F23314" i="1"/>
  <c r="F24613" i="1"/>
  <c r="F24663" i="1"/>
  <c r="F25195" i="1"/>
  <c r="F26034" i="1"/>
  <c r="F27135" i="1"/>
  <c r="F28385" i="1"/>
  <c r="F33990" i="1"/>
  <c r="F34170" i="1"/>
  <c r="F34358" i="1"/>
  <c r="F34979" i="1"/>
  <c r="F34854" i="1"/>
  <c r="F34920" i="1"/>
  <c r="F35401" i="1"/>
  <c r="F33709" i="1"/>
  <c r="F21006" i="1"/>
  <c r="F11030" i="1"/>
  <c r="F5108" i="1"/>
  <c r="F9408" i="1"/>
  <c r="F23887" i="1"/>
  <c r="F24190" i="1"/>
  <c r="F28126" i="1"/>
  <c r="F2559" i="1"/>
  <c r="F4893" i="1"/>
  <c r="F8211" i="1"/>
  <c r="F14947" i="1"/>
  <c r="F22242" i="1"/>
  <c r="F23071" i="1"/>
  <c r="F23546" i="1"/>
  <c r="F23906" i="1"/>
  <c r="F23941" i="1"/>
  <c r="F24911" i="1"/>
  <c r="F28863" i="1"/>
  <c r="F29602" i="1"/>
  <c r="F27262" i="1"/>
  <c r="F839" i="1"/>
  <c r="F7082" i="1"/>
  <c r="F8705" i="1"/>
  <c r="F20809" i="1"/>
  <c r="F3333" i="1"/>
  <c r="F9244" i="1"/>
  <c r="F22378" i="1"/>
  <c r="F22414" i="1"/>
  <c r="F3869" i="1"/>
  <c r="F7491" i="1"/>
  <c r="F16699" i="1"/>
  <c r="F18583" i="1"/>
  <c r="F20552" i="1"/>
  <c r="F21625" i="1"/>
  <c r="F22420" i="1"/>
  <c r="F6586" i="1"/>
  <c r="F18276" i="1"/>
  <c r="F20282" i="1"/>
  <c r="F22331" i="1"/>
  <c r="F22410" i="1"/>
  <c r="F22571" i="1"/>
  <c r="F22714" i="1"/>
  <c r="F32231" i="1"/>
  <c r="F420" i="1"/>
  <c r="F2795" i="1"/>
  <c r="F2807" i="1"/>
  <c r="F2775" i="1"/>
  <c r="F2813" i="1"/>
  <c r="F4979" i="1"/>
  <c r="F5825" i="1"/>
  <c r="F10035" i="1"/>
  <c r="F9548" i="1"/>
  <c r="F9778" i="1"/>
  <c r="F10116" i="1"/>
  <c r="F10235" i="1"/>
  <c r="F10260" i="1"/>
  <c r="F10353" i="1"/>
  <c r="F10365" i="1"/>
  <c r="F10779" i="1"/>
  <c r="F12153" i="1"/>
  <c r="F12165" i="1"/>
  <c r="F12314" i="1"/>
  <c r="F12872" i="1"/>
  <c r="F13268" i="1"/>
  <c r="F13293" i="1"/>
  <c r="F13298" i="1"/>
  <c r="F13302" i="1"/>
  <c r="F13636" i="1"/>
  <c r="F13850" i="1"/>
  <c r="F14223" i="1"/>
  <c r="F15024" i="1"/>
  <c r="F16643" i="1"/>
  <c r="F17893" i="1"/>
  <c r="F19155" i="1"/>
  <c r="F19389" i="1"/>
  <c r="F19373" i="1"/>
  <c r="F20246" i="1"/>
  <c r="F20247" i="1"/>
  <c r="F21205" i="1"/>
  <c r="F22306" i="1"/>
  <c r="F25948" i="1"/>
  <c r="F27778" i="1"/>
  <c r="F28079" i="1"/>
  <c r="F28278" i="1"/>
  <c r="F28357" i="1"/>
  <c r="F30485" i="1"/>
  <c r="F30764" i="1"/>
  <c r="F31563" i="1"/>
  <c r="F35038" i="1"/>
  <c r="F444" i="1"/>
  <c r="F841" i="1"/>
  <c r="F2789" i="1"/>
  <c r="F2791" i="1"/>
  <c r="F2798" i="1"/>
  <c r="F2804" i="1"/>
  <c r="F2819" i="1"/>
  <c r="F2834" i="1"/>
  <c r="F2837" i="1"/>
  <c r="F2844" i="1"/>
  <c r="F2848" i="1"/>
  <c r="F2932" i="1"/>
  <c r="F2955" i="1"/>
  <c r="F3090" i="1"/>
  <c r="F3129" i="1"/>
  <c r="F3180" i="1"/>
  <c r="F3606" i="1"/>
  <c r="F3716" i="1"/>
  <c r="F4376" i="1"/>
  <c r="F4385" i="1"/>
  <c r="F4407" i="1"/>
  <c r="F5282" i="1"/>
  <c r="F5637" i="1"/>
  <c r="F6146" i="1"/>
  <c r="F6537" i="1"/>
  <c r="F9549" i="1"/>
  <c r="F9611" i="1"/>
  <c r="F9691" i="1"/>
  <c r="F9743" i="1"/>
  <c r="F9768" i="1"/>
  <c r="F10061" i="1"/>
  <c r="F10070" i="1"/>
  <c r="F10088" i="1"/>
  <c r="F10117" i="1"/>
  <c r="F10143" i="1"/>
  <c r="F10166" i="1"/>
  <c r="F10200" i="1"/>
  <c r="F10203" i="1"/>
  <c r="F10244" i="1"/>
  <c r="F10273" i="1"/>
  <c r="F10304" i="1"/>
  <c r="F10318" i="1"/>
  <c r="F10343" i="1"/>
  <c r="F10416" i="1"/>
  <c r="F10423" i="1"/>
  <c r="F10531" i="1"/>
  <c r="F10675" i="1"/>
  <c r="F11483" i="1"/>
  <c r="F11667" i="1"/>
  <c r="F11922" i="1"/>
  <c r="F11923" i="1"/>
  <c r="F11949" i="1"/>
  <c r="F11963" i="1"/>
  <c r="F11968" i="1"/>
  <c r="F12360" i="1"/>
  <c r="F12667" i="1"/>
  <c r="F12854" i="1"/>
  <c r="F13183" i="1"/>
  <c r="F13288" i="1"/>
  <c r="F13515" i="1"/>
  <c r="F14021" i="1"/>
  <c r="F14052" i="1"/>
  <c r="F14689" i="1"/>
  <c r="F14690" i="1"/>
  <c r="F15178" i="1"/>
  <c r="F15394" i="1"/>
  <c r="F16405" i="1"/>
  <c r="F16804" i="1"/>
  <c r="F17737" i="1"/>
  <c r="F19121" i="1"/>
  <c r="F19336" i="1"/>
  <c r="F20304" i="1"/>
  <c r="F21126" i="1"/>
  <c r="F22024" i="1"/>
  <c r="F22911" i="1"/>
  <c r="F23041" i="1"/>
  <c r="F23338" i="1"/>
  <c r="F25613" i="1"/>
  <c r="F25697" i="1"/>
  <c r="F25844" i="1"/>
  <c r="F28081" i="1"/>
  <c r="F28453" i="1"/>
  <c r="F28989" i="1"/>
  <c r="F29281" i="1"/>
  <c r="F29414" i="1"/>
  <c r="F30207" i="1"/>
  <c r="F30473" i="1"/>
  <c r="F30649" i="1"/>
  <c r="F30674" i="1"/>
  <c r="F30705" i="1"/>
  <c r="F31901" i="1"/>
  <c r="F31930" i="1"/>
  <c r="F32014" i="1"/>
  <c r="F34318" i="1"/>
  <c r="F35424" i="1"/>
  <c r="F35790" i="1"/>
  <c r="F2787" i="1"/>
  <c r="F2803" i="1"/>
  <c r="F10487" i="1"/>
  <c r="F36214" i="1"/>
  <c r="F15610" i="1"/>
  <c r="F1426" i="1"/>
  <c r="F1635" i="1"/>
  <c r="F2930" i="1"/>
  <c r="F1957" i="1"/>
  <c r="F1999" i="1"/>
  <c r="F2781" i="1"/>
  <c r="F4427" i="1"/>
  <c r="F4447" i="1"/>
  <c r="F5267" i="1"/>
  <c r="F6820" i="1"/>
  <c r="F7080" i="1"/>
  <c r="F9077" i="1"/>
  <c r="F9911" i="1"/>
  <c r="F10651" i="1"/>
  <c r="F11212" i="1"/>
  <c r="F19616" i="1"/>
  <c r="F22238" i="1"/>
  <c r="F22836" i="1"/>
  <c r="F24401" i="1"/>
  <c r="F1653" i="1"/>
  <c r="F11799" i="1"/>
  <c r="F13413" i="1"/>
  <c r="F13757" i="1"/>
  <c r="F14655" i="1"/>
  <c r="F18722" i="1"/>
  <c r="F19031" i="1"/>
  <c r="F19143" i="1"/>
  <c r="F21415" i="1"/>
  <c r="F1384" i="1"/>
  <c r="F1450" i="1"/>
  <c r="F1907" i="1"/>
  <c r="F2151" i="1"/>
  <c r="F2204" i="1"/>
  <c r="F2227" i="1"/>
  <c r="F2337" i="1"/>
  <c r="F4431" i="1"/>
  <c r="F4491" i="1"/>
  <c r="F4624" i="1"/>
  <c r="F5056" i="1"/>
  <c r="F5069" i="1"/>
  <c r="F5653" i="1"/>
  <c r="F5687" i="1"/>
  <c r="F5858" i="1"/>
  <c r="F6330" i="1"/>
  <c r="F6454" i="1"/>
  <c r="F6500" i="1"/>
  <c r="F6539" i="1"/>
  <c r="F13731" i="1"/>
  <c r="F7036" i="1"/>
  <c r="F7137" i="1"/>
  <c r="F7216" i="1"/>
  <c r="F8394" i="1"/>
  <c r="F9037" i="1"/>
  <c r="F11026" i="1"/>
  <c r="F11058" i="1"/>
  <c r="F11544" i="1"/>
  <c r="F11801" i="1"/>
  <c r="F12047" i="1"/>
  <c r="F12167" i="1"/>
  <c r="F12920" i="1"/>
  <c r="F12949" i="1"/>
  <c r="F13496" i="1"/>
  <c r="F13747" i="1"/>
  <c r="F13999" i="1"/>
  <c r="F15567" i="1"/>
  <c r="F16220" i="1"/>
  <c r="F16854" i="1"/>
  <c r="F17074" i="1"/>
  <c r="F17291" i="1"/>
  <c r="F17617" i="1"/>
  <c r="F17811" i="1"/>
  <c r="F18084" i="1"/>
  <c r="F18130" i="1"/>
  <c r="F18837" i="1"/>
  <c r="F19021" i="1"/>
  <c r="F19035" i="1"/>
  <c r="F19037" i="1"/>
  <c r="F19095" i="1"/>
  <c r="F19167" i="1"/>
  <c r="F19210" i="1"/>
  <c r="F19612" i="1"/>
  <c r="F19942" i="1"/>
  <c r="F19952" i="1"/>
  <c r="F20346" i="1"/>
  <c r="F20385" i="1"/>
  <c r="F20863" i="1"/>
  <c r="F20946" i="1"/>
  <c r="F20961" i="1"/>
  <c r="F21733" i="1"/>
  <c r="F22000" i="1"/>
  <c r="F22774" i="1"/>
  <c r="F22803" i="1"/>
  <c r="F22964" i="1"/>
  <c r="F1422" i="1"/>
  <c r="F7234" i="1"/>
  <c r="F12483" i="1"/>
  <c r="F3803" i="1"/>
  <c r="F15423" i="1"/>
  <c r="F17100" i="1"/>
  <c r="F22675" i="1"/>
  <c r="F15186" i="1"/>
  <c r="F21531" i="1"/>
  <c r="F6986" i="1"/>
  <c r="F5539" i="1"/>
  <c r="F11536" i="1"/>
  <c r="F1299" i="1"/>
  <c r="F1597" i="1"/>
  <c r="F5057" i="1"/>
  <c r="F5053" i="1"/>
  <c r="F6498" i="1"/>
  <c r="F18082" i="1"/>
  <c r="F6486" i="1"/>
  <c r="F1805" i="1"/>
  <c r="F16205" i="1"/>
  <c r="F21068" i="1"/>
  <c r="F1283" i="1"/>
  <c r="F29461" i="1"/>
  <c r="F8135" i="1"/>
  <c r="F10653" i="1"/>
  <c r="F11205" i="1"/>
  <c r="F17872" i="1"/>
  <c r="F18328" i="1"/>
  <c r="F13126" i="1"/>
  <c r="F7738" i="1"/>
  <c r="F36185" i="1"/>
  <c r="F430" i="1"/>
  <c r="F552" i="1"/>
  <c r="F824" i="1"/>
  <c r="F883" i="1"/>
  <c r="F1290" i="1"/>
  <c r="F3861" i="1"/>
  <c r="F5249" i="1"/>
  <c r="F6564" i="1"/>
  <c r="F13033" i="1"/>
  <c r="F8524" i="1"/>
  <c r="F8529" i="1"/>
  <c r="F8432" i="1"/>
  <c r="F11172" i="1"/>
  <c r="F11178" i="1"/>
  <c r="F12838" i="1"/>
  <c r="F12923" i="1"/>
  <c r="F27499" i="1"/>
  <c r="F13017" i="1"/>
  <c r="F27504" i="1"/>
  <c r="F19876" i="1"/>
  <c r="F20779" i="1"/>
  <c r="F21123" i="1"/>
  <c r="F22650" i="1"/>
  <c r="F854" i="1"/>
  <c r="F26847" i="1"/>
  <c r="F36184" i="1"/>
  <c r="F34266" i="1"/>
  <c r="F340" i="1"/>
  <c r="F2610" i="1"/>
  <c r="F3158" i="1"/>
  <c r="F3999" i="1"/>
  <c r="F4415" i="1"/>
  <c r="F4421" i="1"/>
  <c r="F9417" i="1"/>
  <c r="F13473" i="1"/>
  <c r="F19072" i="1"/>
  <c r="F27925" i="1"/>
  <c r="F27928" i="1"/>
  <c r="F27990" i="1"/>
  <c r="F32644" i="1"/>
  <c r="F33165" i="1"/>
  <c r="F5166" i="1"/>
  <c r="F5435" i="1"/>
  <c r="F4097" i="1"/>
  <c r="F6319" i="1"/>
  <c r="F29831" i="1"/>
  <c r="F26005" i="1"/>
  <c r="F8362" i="1"/>
  <c r="F9278" i="1"/>
  <c r="F7772" i="1"/>
  <c r="F17780" i="1"/>
  <c r="F18077" i="1"/>
  <c r="F9964" i="1"/>
  <c r="F8553" i="1"/>
  <c r="F12559" i="1"/>
  <c r="F12597" i="1"/>
  <c r="F14193" i="1"/>
  <c r="F15341" i="1"/>
  <c r="F14961" i="1"/>
  <c r="F15159" i="1"/>
  <c r="F18107" i="1"/>
  <c r="F18300" i="1"/>
  <c r="F18431" i="1"/>
  <c r="F18420" i="1"/>
  <c r="F18608" i="1"/>
  <c r="F18849" i="1"/>
  <c r="F19776" i="1"/>
  <c r="F20646" i="1"/>
  <c r="F19141" i="1"/>
  <c r="F20427" i="1"/>
  <c r="F20723" i="1"/>
  <c r="F23455" i="1"/>
  <c r="F12473" i="1"/>
  <c r="F25341" i="1"/>
  <c r="F25810" i="1"/>
  <c r="F25647" i="1"/>
  <c r="F12633" i="1"/>
  <c r="F9402" i="1"/>
  <c r="F31210" i="1"/>
  <c r="F31292" i="1"/>
  <c r="F23437" i="1"/>
  <c r="F31286" i="1"/>
  <c r="F33277" i="1"/>
  <c r="F33259" i="1"/>
  <c r="F33306" i="1"/>
  <c r="F34118" i="1"/>
  <c r="F25344" i="1"/>
  <c r="F34278" i="1"/>
  <c r="F18137" i="1"/>
  <c r="F4094" i="1"/>
  <c r="F9357" i="1"/>
  <c r="F10806" i="1"/>
  <c r="F12435" i="1"/>
  <c r="F14448" i="1"/>
  <c r="F15536" i="1"/>
  <c r="F15235" i="1"/>
  <c r="F18495" i="1"/>
  <c r="F23452" i="1"/>
  <c r="F27445" i="1"/>
  <c r="F28967" i="1"/>
  <c r="F29916" i="1"/>
  <c r="F3541" i="1"/>
  <c r="F31446" i="1"/>
  <c r="F32348" i="1"/>
  <c r="F9279" i="1"/>
  <c r="F30613" i="1"/>
  <c r="F33935" i="1"/>
  <c r="F15685" i="1"/>
  <c r="F5809" i="1"/>
  <c r="F14208" i="1"/>
  <c r="F17948" i="1"/>
  <c r="F21979" i="1"/>
  <c r="F8382" i="1"/>
  <c r="F21347" i="1"/>
  <c r="F33295" i="1"/>
  <c r="F11067" i="1"/>
  <c r="F15392" i="1"/>
  <c r="F26" i="1"/>
  <c r="F31" i="1"/>
  <c r="F110" i="1"/>
  <c r="F117" i="1"/>
  <c r="F136" i="1"/>
  <c r="F344" i="1"/>
  <c r="F358" i="1"/>
  <c r="F370" i="1"/>
  <c r="F390" i="1"/>
  <c r="F1317" i="1"/>
  <c r="F1603" i="1"/>
  <c r="F1709" i="1"/>
  <c r="F1715" i="1"/>
  <c r="F1765" i="1"/>
  <c r="F1901" i="1"/>
  <c r="F2067" i="1"/>
  <c r="F2108" i="1"/>
  <c r="F2184" i="1"/>
  <c r="F2293" i="1"/>
  <c r="F2618" i="1"/>
  <c r="F2689" i="1"/>
  <c r="F3027" i="1"/>
  <c r="F4034" i="1"/>
  <c r="F4196" i="1"/>
  <c r="F4499" i="1"/>
  <c r="F4600" i="1"/>
  <c r="F4651" i="1"/>
  <c r="F4993" i="1"/>
  <c r="F4995" i="1"/>
  <c r="F5235" i="1"/>
  <c r="F5245" i="1"/>
  <c r="F5369" i="1"/>
  <c r="F6844" i="1"/>
  <c r="F6960" i="1"/>
  <c r="F7258" i="1"/>
  <c r="F7493" i="1"/>
  <c r="F7795" i="1"/>
  <c r="F7799" i="1"/>
  <c r="F7803" i="1"/>
  <c r="F7805" i="1"/>
  <c r="F7807" i="1"/>
  <c r="F7809" i="1"/>
  <c r="F7811" i="1"/>
  <c r="F8808" i="1"/>
  <c r="F9103" i="1"/>
  <c r="F9137" i="1"/>
  <c r="F10866" i="1"/>
  <c r="F10930" i="1"/>
  <c r="F11582" i="1"/>
  <c r="F11688" i="1"/>
  <c r="F11767" i="1"/>
  <c r="F11859" i="1"/>
  <c r="F12020" i="1"/>
  <c r="F12459" i="1"/>
  <c r="F12939" i="1"/>
  <c r="F13097" i="1"/>
  <c r="F13106" i="1"/>
  <c r="F13818" i="1"/>
  <c r="F13873" i="1"/>
  <c r="F14636" i="1"/>
  <c r="F14817" i="1"/>
  <c r="F15858" i="1"/>
  <c r="F15880" i="1"/>
  <c r="F15919" i="1"/>
  <c r="F16263" i="1"/>
  <c r="F16021" i="1"/>
  <c r="F17347" i="1"/>
  <c r="F17397" i="1"/>
  <c r="F17458" i="1"/>
  <c r="F17877" i="1"/>
  <c r="F18263" i="1"/>
  <c r="F18995" i="1"/>
  <c r="F19115" i="1"/>
  <c r="F19171" i="1"/>
  <c r="F19436" i="1"/>
  <c r="F19548" i="1"/>
  <c r="F20050" i="1"/>
  <c r="F20232" i="1"/>
  <c r="F20298" i="1"/>
  <c r="F20406" i="1"/>
  <c r="F20509" i="1"/>
  <c r="F21133" i="1"/>
  <c r="F21500" i="1"/>
  <c r="F21603" i="1"/>
  <c r="F22072" i="1"/>
  <c r="F22076" i="1"/>
  <c r="F22452" i="1"/>
  <c r="F22609" i="1"/>
  <c r="F22622" i="1"/>
  <c r="F22649" i="1"/>
  <c r="F22704" i="1"/>
  <c r="F22975" i="1"/>
  <c r="F22993" i="1"/>
  <c r="F22996" i="1"/>
  <c r="F23656" i="1"/>
  <c r="F28828" i="1"/>
  <c r="F28830" i="1"/>
  <c r="F31412" i="1"/>
  <c r="F115" i="1"/>
  <c r="F1101" i="1"/>
  <c r="F4519" i="1"/>
  <c r="F4836" i="1"/>
  <c r="F5353" i="1"/>
  <c r="F12180" i="1"/>
  <c r="F14034" i="1"/>
  <c r="F15929" i="1"/>
  <c r="F15931" i="1"/>
  <c r="F17014" i="1"/>
  <c r="F21401" i="1"/>
  <c r="F23140" i="1"/>
  <c r="F24073" i="1"/>
  <c r="F26853" i="1"/>
  <c r="F30182" i="1"/>
  <c r="F32728" i="1"/>
  <c r="F16119" i="1"/>
  <c r="F1073" i="1"/>
  <c r="F2455" i="1"/>
  <c r="F2938" i="1"/>
  <c r="F3148" i="1"/>
  <c r="F3150" i="1"/>
  <c r="F3267" i="1"/>
  <c r="F5684" i="1"/>
  <c r="F4297" i="1"/>
  <c r="F6365" i="1"/>
  <c r="F6367" i="1"/>
  <c r="F6915" i="1"/>
  <c r="F7511" i="1"/>
  <c r="F7569" i="1"/>
  <c r="F7609" i="1"/>
  <c r="F7946" i="1"/>
  <c r="F8150" i="1"/>
  <c r="F8671" i="1"/>
  <c r="F9985" i="1"/>
  <c r="F10590" i="1"/>
  <c r="F11449" i="1"/>
  <c r="F12335" i="1"/>
  <c r="F12592" i="1"/>
  <c r="F13811" i="1"/>
  <c r="F14050" i="1"/>
  <c r="F14062" i="1"/>
  <c r="F14575" i="1"/>
  <c r="F14623" i="1"/>
  <c r="F14672" i="1"/>
  <c r="F14868" i="1"/>
  <c r="F15358" i="1"/>
  <c r="F16980" i="1"/>
  <c r="F19421" i="1"/>
  <c r="F22446" i="1"/>
  <c r="F22641" i="1"/>
  <c r="F24877" i="1"/>
  <c r="F7715" i="1"/>
  <c r="F21958" i="1"/>
  <c r="F25777" i="1"/>
  <c r="F21957" i="1"/>
  <c r="F30298" i="1"/>
  <c r="F21492" i="1"/>
  <c r="F35170" i="1"/>
  <c r="F21703" i="1"/>
  <c r="F18763" i="1"/>
  <c r="F11406" i="1"/>
  <c r="F17548" i="1"/>
  <c r="F18650" i="1"/>
  <c r="F11424" i="1"/>
  <c r="F5515" i="1"/>
  <c r="F5781" i="1"/>
  <c r="F9223" i="1"/>
  <c r="F9235" i="1"/>
  <c r="F10807" i="1"/>
  <c r="F13658" i="1"/>
  <c r="F14026" i="1"/>
  <c r="F15192" i="1"/>
  <c r="F15898" i="1"/>
  <c r="F17449" i="1"/>
  <c r="F18022" i="1"/>
  <c r="F21623" i="1"/>
  <c r="F22645" i="1"/>
  <c r="F24768" i="1"/>
  <c r="F30259" i="1"/>
  <c r="F30620" i="1"/>
  <c r="F30801" i="1"/>
  <c r="F33544" i="1"/>
  <c r="F35202" i="1"/>
  <c r="F4018" i="1"/>
  <c r="F8787" i="1"/>
  <c r="F1128" i="1"/>
  <c r="F2169" i="1"/>
  <c r="F2734" i="1"/>
  <c r="F2784" i="1"/>
  <c r="F2767" i="1"/>
  <c r="F4075" i="1"/>
  <c r="F4343" i="1"/>
  <c r="F5671" i="1"/>
  <c r="F6701" i="1"/>
  <c r="F9609" i="1"/>
  <c r="F9797" i="1"/>
  <c r="F10373" i="1"/>
  <c r="F10507" i="1"/>
  <c r="F12069" i="1"/>
  <c r="F13199" i="1"/>
  <c r="F13618" i="1"/>
  <c r="F16089" i="1"/>
  <c r="F19338" i="1"/>
  <c r="F19688" i="1"/>
  <c r="F22747" i="1"/>
  <c r="F27724" i="1"/>
  <c r="F2589" i="1"/>
  <c r="F2590" i="1"/>
  <c r="F2616" i="1"/>
  <c r="F2913" i="1"/>
  <c r="F2962" i="1"/>
  <c r="F2963" i="1"/>
  <c r="F2993" i="1"/>
  <c r="F3259" i="1"/>
  <c r="F3273" i="1"/>
  <c r="F3280" i="1"/>
  <c r="F3412" i="1"/>
  <c r="F3746" i="1"/>
  <c r="F3748" i="1"/>
  <c r="F4087" i="1"/>
  <c r="F4181" i="1"/>
  <c r="F4186" i="1"/>
  <c r="F4351" i="1"/>
  <c r="F4449" i="1"/>
  <c r="F4593" i="1"/>
  <c r="F4694" i="1"/>
  <c r="F4930" i="1"/>
  <c r="F4943" i="1"/>
  <c r="F4944" i="1"/>
  <c r="F5023" i="1"/>
  <c r="F5290" i="1"/>
  <c r="F9498" i="1"/>
  <c r="F5904" i="1"/>
  <c r="F6192" i="1"/>
  <c r="F6429" i="1"/>
  <c r="F7248" i="1"/>
  <c r="F7250" i="1"/>
  <c r="F7442" i="1"/>
  <c r="F7539" i="1"/>
  <c r="F7764" i="1"/>
  <c r="F8750" i="1"/>
  <c r="F8759" i="1"/>
  <c r="F8874" i="1"/>
  <c r="F9262" i="1"/>
  <c r="F9462" i="1"/>
  <c r="F9468" i="1"/>
  <c r="F9470" i="1"/>
  <c r="F9473" i="1"/>
  <c r="F9479" i="1"/>
  <c r="F9481" i="1"/>
  <c r="F9483" i="1"/>
  <c r="F9490" i="1"/>
  <c r="F9491" i="1"/>
  <c r="F9492" i="1"/>
  <c r="F9497" i="1"/>
  <c r="F9508" i="1"/>
  <c r="F9515" i="1"/>
  <c r="F9516" i="1"/>
  <c r="F9524" i="1"/>
  <c r="F9525" i="1"/>
  <c r="F9702" i="1"/>
  <c r="F9644" i="1"/>
  <c r="F9704" i="1"/>
  <c r="F9705" i="1"/>
  <c r="F9663" i="1"/>
  <c r="F9740" i="1"/>
  <c r="F9756" i="1"/>
  <c r="F9761" i="1"/>
  <c r="F9787" i="1"/>
  <c r="F9816" i="1"/>
  <c r="F10708" i="1"/>
  <c r="F10727" i="1"/>
  <c r="F11441" i="1"/>
  <c r="F11941" i="1"/>
  <c r="F11951" i="1"/>
  <c r="F12076" i="1"/>
  <c r="F12320" i="1"/>
  <c r="F12848" i="1"/>
  <c r="F12850" i="1"/>
  <c r="F13514" i="1"/>
  <c r="F9667" i="1"/>
  <c r="F13680" i="1"/>
  <c r="F13705" i="1"/>
  <c r="F13917" i="1"/>
  <c r="F13920" i="1"/>
  <c r="F14207" i="1"/>
  <c r="F14234" i="1"/>
  <c r="F14278" i="1"/>
  <c r="F14329" i="1"/>
  <c r="F14368" i="1"/>
  <c r="F14415" i="1"/>
  <c r="F14565" i="1"/>
  <c r="F25911" i="1"/>
  <c r="F14621" i="1"/>
  <c r="F14735" i="1"/>
  <c r="F14768" i="1"/>
  <c r="F14829" i="1"/>
  <c r="F14839" i="1"/>
  <c r="F14914" i="1"/>
  <c r="F14916" i="1"/>
  <c r="F14951" i="1"/>
  <c r="F15097" i="1"/>
  <c r="F15098" i="1"/>
  <c r="F15137" i="1"/>
  <c r="F15146" i="1"/>
  <c r="F15199" i="1"/>
  <c r="F15208" i="1"/>
  <c r="F15218" i="1"/>
  <c r="F15441" i="1"/>
  <c r="F15680" i="1"/>
  <c r="F15684" i="1"/>
  <c r="F15876" i="1"/>
  <c r="F16113" i="1"/>
  <c r="F16152" i="1"/>
  <c r="F16367" i="1"/>
  <c r="F16527" i="1"/>
  <c r="F36355" i="1"/>
  <c r="F16986" i="1"/>
  <c r="F17012" i="1"/>
  <c r="F17931" i="1"/>
  <c r="F18033" i="1"/>
  <c r="F18743" i="1"/>
  <c r="F19198" i="1"/>
  <c r="F19230" i="1"/>
  <c r="F19361" i="1"/>
  <c r="F19399" i="1"/>
  <c r="F19517" i="1"/>
  <c r="F19564" i="1"/>
  <c r="F19079" i="1"/>
  <c r="F19645" i="1"/>
  <c r="F20652" i="1"/>
  <c r="F20703" i="1"/>
  <c r="F21093" i="1"/>
  <c r="F21115" i="1"/>
  <c r="F21178" i="1"/>
  <c r="F21186" i="1"/>
  <c r="F21196" i="1"/>
  <c r="F21527" i="1"/>
  <c r="F22035" i="1"/>
  <c r="F22041" i="1"/>
  <c r="F22048" i="1"/>
  <c r="F22049" i="1"/>
  <c r="F22929" i="1"/>
  <c r="F22931" i="1"/>
  <c r="F25655" i="1"/>
  <c r="F25700" i="1"/>
  <c r="F25702" i="1"/>
  <c r="F26111" i="1"/>
  <c r="F26267" i="1"/>
  <c r="F26605" i="1"/>
  <c r="F26606" i="1"/>
  <c r="F26635" i="1"/>
  <c r="F27786" i="1"/>
  <c r="F27891" i="1"/>
  <c r="F27918" i="1"/>
  <c r="F28099" i="1"/>
  <c r="F29072" i="1"/>
  <c r="F29121" i="1"/>
  <c r="F30124" i="1"/>
  <c r="F30479" i="1"/>
  <c r="F30591" i="1"/>
  <c r="F30684" i="1"/>
  <c r="F30773" i="1"/>
  <c r="F30872" i="1"/>
  <c r="F31620" i="1"/>
  <c r="F31704" i="1"/>
  <c r="F31736" i="1"/>
  <c r="F31929" i="1"/>
  <c r="F31984" i="1"/>
  <c r="F32060" i="1"/>
  <c r="F32168" i="1"/>
  <c r="F32208" i="1"/>
  <c r="F32414" i="1"/>
  <c r="F32681" i="1"/>
  <c r="F33605" i="1"/>
  <c r="F33777" i="1"/>
  <c r="F34733" i="1"/>
  <c r="F35141" i="1"/>
  <c r="F36147" i="1"/>
  <c r="F36156" i="1"/>
  <c r="F36278" i="1"/>
  <c r="F36309" i="1"/>
  <c r="F1175" i="1"/>
  <c r="F1277" i="1"/>
  <c r="F2469" i="1"/>
  <c r="F2471" i="1"/>
  <c r="F2509" i="1"/>
  <c r="F2591" i="1"/>
  <c r="F2592" i="1"/>
  <c r="F2620" i="1"/>
  <c r="F2648" i="1"/>
  <c r="F2661" i="1"/>
  <c r="F2881" i="1"/>
  <c r="F2940" i="1"/>
  <c r="F2964" i="1"/>
  <c r="F2994" i="1"/>
  <c r="F2995" i="1"/>
  <c r="F3021" i="1"/>
  <c r="F3080" i="1"/>
  <c r="F3088" i="1"/>
  <c r="F1951" i="1"/>
  <c r="F3127" i="1"/>
  <c r="F3202" i="1"/>
  <c r="F3246" i="1"/>
  <c r="F3256" i="1"/>
  <c r="F3257" i="1"/>
  <c r="F3258" i="1"/>
  <c r="F3276" i="1"/>
  <c r="F3278" i="1"/>
  <c r="F3346" i="1"/>
  <c r="F3395" i="1"/>
  <c r="F3413" i="1"/>
  <c r="F3414" i="1"/>
  <c r="F3468" i="1"/>
  <c r="F3634" i="1"/>
  <c r="F3635" i="1"/>
  <c r="F3638" i="1"/>
  <c r="F3747" i="1"/>
  <c r="F3765" i="1"/>
  <c r="F3770" i="1"/>
  <c r="F3777" i="1"/>
  <c r="F3949" i="1"/>
  <c r="F3952" i="1"/>
  <c r="F3959" i="1"/>
  <c r="F3963" i="1"/>
  <c r="F3965" i="1"/>
  <c r="F3968" i="1"/>
  <c r="F4081" i="1"/>
  <c r="F4083" i="1"/>
  <c r="F4085" i="1"/>
  <c r="F4194" i="1"/>
  <c r="F4202" i="1"/>
  <c r="F4352" i="1"/>
  <c r="F4371" i="1"/>
  <c r="F4372" i="1"/>
  <c r="F4373" i="1"/>
  <c r="F4374" i="1"/>
  <c r="F4379" i="1"/>
  <c r="F4380" i="1"/>
  <c r="F4381" i="1"/>
  <c r="F4400" i="1"/>
  <c r="F4441" i="1"/>
  <c r="F4560" i="1"/>
  <c r="F4723" i="1"/>
  <c r="F4781" i="1"/>
  <c r="F4928" i="1"/>
  <c r="F4941" i="1"/>
  <c r="F4971" i="1"/>
  <c r="F4988" i="1"/>
  <c r="F5223" i="1"/>
  <c r="F5288" i="1"/>
  <c r="F5339" i="1"/>
  <c r="F5341" i="1"/>
  <c r="F5421" i="1"/>
  <c r="F5584" i="1"/>
  <c r="F5590" i="1"/>
  <c r="F5714" i="1"/>
  <c r="F5716" i="1"/>
  <c r="F5718" i="1"/>
  <c r="F5720" i="1"/>
  <c r="F5724" i="1"/>
  <c r="F5728" i="1"/>
  <c r="F5786" i="1"/>
  <c r="F5851" i="1"/>
  <c r="F5890" i="1"/>
  <c r="F6094" i="1"/>
  <c r="F6189" i="1"/>
  <c r="F6399" i="1"/>
  <c r="F6591" i="1"/>
  <c r="F7296" i="1"/>
  <c r="F7428" i="1"/>
  <c r="F7526" i="1"/>
  <c r="F7541" i="1"/>
  <c r="F7904" i="1"/>
  <c r="F7924" i="1"/>
  <c r="F8027" i="1"/>
  <c r="F8719" i="1"/>
  <c r="F8749" i="1"/>
  <c r="F8754" i="1"/>
  <c r="F8761" i="1"/>
  <c r="F8757" i="1"/>
  <c r="F8763" i="1"/>
  <c r="F8772" i="1"/>
  <c r="F8852" i="1"/>
  <c r="F8876" i="1"/>
  <c r="F9043" i="1"/>
  <c r="F9097" i="1"/>
  <c r="F9258" i="1"/>
  <c r="F9315" i="1"/>
  <c r="F9406" i="1"/>
  <c r="F9407" i="1"/>
  <c r="F9435" i="1"/>
  <c r="F9441" i="1"/>
  <c r="F9445" i="1"/>
  <c r="F9454" i="1"/>
  <c r="F9456" i="1"/>
  <c r="F9457" i="1"/>
  <c r="F9458" i="1"/>
  <c r="F9459" i="1"/>
  <c r="F9460" i="1"/>
  <c r="F9461" i="1"/>
  <c r="F9464" i="1"/>
  <c r="F9465" i="1"/>
  <c r="F9467" i="1"/>
  <c r="F9469" i="1"/>
  <c r="F9471" i="1"/>
  <c r="F9472" i="1"/>
  <c r="F9474" i="1"/>
  <c r="F9475" i="1"/>
  <c r="F9476" i="1"/>
  <c r="F9478" i="1"/>
  <c r="F9480" i="1"/>
  <c r="F9482" i="1"/>
  <c r="F9484" i="1"/>
  <c r="F9485" i="1"/>
  <c r="F9486" i="1"/>
  <c r="F9487" i="1"/>
  <c r="F9488" i="1"/>
  <c r="F9489" i="1"/>
  <c r="F9493" i="1"/>
  <c r="F9494" i="1"/>
  <c r="F9495" i="1"/>
  <c r="F9496" i="1"/>
  <c r="F9500" i="1"/>
  <c r="F9499" i="1"/>
  <c r="F9503" i="1"/>
  <c r="F9504" i="1"/>
  <c r="F9505" i="1"/>
  <c r="F9506" i="1"/>
  <c r="F9507" i="1"/>
  <c r="F9510" i="1"/>
  <c r="F9511" i="1"/>
  <c r="F9512" i="1"/>
  <c r="F9513" i="1"/>
  <c r="F9514" i="1"/>
  <c r="F9518" i="1"/>
  <c r="F9519" i="1"/>
  <c r="F9520" i="1"/>
  <c r="F9521" i="1"/>
  <c r="F9522" i="1"/>
  <c r="F9523" i="1"/>
  <c r="F9541" i="1"/>
  <c r="F9543" i="1"/>
  <c r="F9556" i="1"/>
  <c r="F9568" i="1"/>
  <c r="F9569" i="1"/>
  <c r="F9570" i="1"/>
  <c r="F9571" i="1"/>
  <c r="F9572" i="1"/>
  <c r="F9573" i="1"/>
  <c r="F9580" i="1"/>
  <c r="F9581" i="1"/>
  <c r="F9583" i="1"/>
  <c r="F9586" i="1"/>
  <c r="F9588" i="1"/>
  <c r="F9636" i="1"/>
  <c r="F9672" i="1"/>
  <c r="F9681" i="1"/>
  <c r="F9692" i="1"/>
  <c r="F9696" i="1"/>
  <c r="F9699" i="1"/>
  <c r="F9658" i="1"/>
  <c r="F9661" i="1"/>
  <c r="F9664" i="1"/>
  <c r="F9720" i="1"/>
  <c r="F9730" i="1"/>
  <c r="F9741" i="1"/>
  <c r="F9669" i="1"/>
  <c r="F9753" i="1"/>
  <c r="F9758" i="1"/>
  <c r="F9763" i="1"/>
  <c r="F9766" i="1"/>
  <c r="F9783" i="1"/>
  <c r="F9785" i="1"/>
  <c r="F9807" i="1"/>
  <c r="F9808" i="1"/>
  <c r="F9830" i="1"/>
  <c r="F9840" i="1"/>
  <c r="F10661" i="1"/>
  <c r="F10667" i="1"/>
  <c r="F10670" i="1"/>
  <c r="F10712" i="1"/>
  <c r="F11160" i="1"/>
  <c r="F11408" i="1"/>
  <c r="F11509" i="1"/>
  <c r="F11665" i="1"/>
  <c r="F11695" i="1"/>
  <c r="F11744" i="1"/>
  <c r="F11745" i="1"/>
  <c r="F11918" i="1"/>
  <c r="F11927" i="1"/>
  <c r="F11933" i="1"/>
  <c r="F11935" i="1"/>
  <c r="F11937" i="1"/>
  <c r="F11944" i="1"/>
  <c r="F11948" i="1"/>
  <c r="F11953" i="1"/>
  <c r="F11958" i="1"/>
  <c r="F11960" i="1"/>
  <c r="F11962" i="1"/>
  <c r="F11966" i="1"/>
  <c r="F11972" i="1"/>
  <c r="F11975" i="1"/>
  <c r="F11979" i="1"/>
  <c r="F12072" i="1"/>
  <c r="F12073" i="1"/>
  <c r="F12074" i="1"/>
  <c r="F12075" i="1"/>
  <c r="F12083" i="1"/>
  <c r="F12090" i="1"/>
  <c r="F12162" i="1"/>
  <c r="F12169" i="1"/>
  <c r="F12255" i="1"/>
  <c r="F12269" i="1"/>
  <c r="F12513" i="1"/>
  <c r="F12857" i="1"/>
  <c r="F12909" i="1"/>
  <c r="F12927" i="1"/>
  <c r="F12940" i="1"/>
  <c r="F13398" i="1"/>
  <c r="F13417" i="1"/>
  <c r="F13420" i="1"/>
  <c r="F13506" i="1"/>
  <c r="F13508" i="1"/>
  <c r="F13511" i="1"/>
  <c r="F13542" i="1"/>
  <c r="F13552" i="1"/>
  <c r="F13562" i="1"/>
  <c r="F13603" i="1"/>
  <c r="F13632" i="1"/>
  <c r="F13663" i="1"/>
  <c r="F13668" i="1"/>
  <c r="F13674" i="1"/>
  <c r="F13676" i="1"/>
  <c r="F13682" i="1"/>
  <c r="F13714" i="1"/>
  <c r="F13801" i="1"/>
  <c r="F13853" i="1"/>
  <c r="F13863" i="1"/>
  <c r="F13877" i="1"/>
  <c r="F13872" i="1"/>
  <c r="F13879" i="1"/>
  <c r="F13900" i="1"/>
  <c r="F13901" i="1"/>
  <c r="F13915" i="1"/>
  <c r="F14016" i="1"/>
  <c r="F14017" i="1"/>
  <c r="F14019" i="1"/>
  <c r="F14033" i="1"/>
  <c r="F14110" i="1"/>
  <c r="F14135" i="1"/>
  <c r="F14136" i="1"/>
  <c r="F14163" i="1"/>
  <c r="F14165" i="1"/>
  <c r="F14167" i="1"/>
  <c r="F14205" i="1"/>
  <c r="F14210" i="1"/>
  <c r="F14216" i="1"/>
  <c r="F14218" i="1"/>
  <c r="F14220" i="1"/>
  <c r="F14225" i="1"/>
  <c r="F14228" i="1"/>
  <c r="F14229" i="1"/>
  <c r="F14230" i="1"/>
  <c r="F14214" i="1"/>
  <c r="F14236" i="1"/>
  <c r="F14238" i="1"/>
  <c r="F14240" i="1"/>
  <c r="F14280" i="1"/>
  <c r="F14281" i="1"/>
  <c r="F29116" i="1"/>
  <c r="F14321" i="1"/>
  <c r="F14332" i="1"/>
  <c r="F14362" i="1"/>
  <c r="F14407" i="1"/>
  <c r="F14559" i="1"/>
  <c r="F14645" i="1"/>
  <c r="F14698" i="1"/>
  <c r="F14701" i="1"/>
  <c r="F14754" i="1"/>
  <c r="F14758" i="1"/>
  <c r="F14766" i="1"/>
  <c r="F14786" i="1"/>
  <c r="F14825" i="1"/>
  <c r="F14835" i="1"/>
  <c r="F14841" i="1"/>
  <c r="F14843" i="1"/>
  <c r="F14917" i="1"/>
  <c r="F14943" i="1"/>
  <c r="F14949" i="1"/>
  <c r="F14953" i="1"/>
  <c r="F14929" i="1"/>
  <c r="F15008" i="1"/>
  <c r="F15010" i="1"/>
  <c r="F15091" i="1"/>
  <c r="F15163" i="1"/>
  <c r="F15169" i="1"/>
  <c r="F15172" i="1"/>
  <c r="F15173" i="1"/>
  <c r="F15175" i="1"/>
  <c r="F15200" i="1"/>
  <c r="F15201" i="1"/>
  <c r="F15202" i="1"/>
  <c r="F15234" i="1"/>
  <c r="F15222" i="1"/>
  <c r="F15224" i="1"/>
  <c r="F15348" i="1"/>
  <c r="F15396" i="1"/>
  <c r="F15411" i="1"/>
  <c r="F15428" i="1"/>
  <c r="F15431" i="1"/>
  <c r="F15436" i="1"/>
  <c r="F15503" i="1"/>
  <c r="F15601" i="1"/>
  <c r="F15628" i="1"/>
  <c r="F15870" i="1"/>
  <c r="F15872" i="1"/>
  <c r="F15874" i="1"/>
  <c r="F15989" i="1"/>
  <c r="F16034" i="1"/>
  <c r="F16076" i="1"/>
  <c r="F16137" i="1"/>
  <c r="F16140" i="1"/>
  <c r="F16361" i="1"/>
  <c r="F16368" i="1"/>
  <c r="F16947" i="1"/>
  <c r="F16949" i="1"/>
  <c r="F16981" i="1"/>
  <c r="F16983" i="1"/>
  <c r="F16988" i="1"/>
  <c r="F16989" i="1"/>
  <c r="F16993" i="1"/>
  <c r="F16996" i="1"/>
  <c r="F17000" i="1"/>
  <c r="F17003" i="1"/>
  <c r="F17006" i="1"/>
  <c r="F17008" i="1"/>
  <c r="F17010" i="1"/>
  <c r="F17034" i="1"/>
  <c r="F17035" i="1"/>
  <c r="F17350" i="1"/>
  <c r="F17382" i="1"/>
  <c r="F17415" i="1"/>
  <c r="F17801" i="1"/>
  <c r="F17816" i="1"/>
  <c r="F17932" i="1"/>
  <c r="F17971" i="1"/>
  <c r="F17976" i="1"/>
  <c r="F18166" i="1"/>
  <c r="F18638" i="1"/>
  <c r="F18738" i="1"/>
  <c r="F18746" i="1"/>
  <c r="F18914" i="1"/>
  <c r="F19128" i="1"/>
  <c r="F19131" i="1"/>
  <c r="F19139" i="1"/>
  <c r="F19328" i="1"/>
  <c r="F19381" i="1"/>
  <c r="F19351" i="1"/>
  <c r="F19385" i="1"/>
  <c r="F19391" i="1"/>
  <c r="F19393" i="1"/>
  <c r="F19394" i="1"/>
  <c r="F19397" i="1"/>
  <c r="F19474" i="1"/>
  <c r="F19600" i="1"/>
  <c r="F19598" i="1"/>
  <c r="F19602" i="1"/>
  <c r="F19635" i="1"/>
  <c r="F19804" i="1"/>
  <c r="F19821" i="1"/>
  <c r="F19882" i="1"/>
  <c r="F19994" i="1"/>
  <c r="F19991" i="1"/>
  <c r="F20313" i="1"/>
  <c r="F20475" i="1"/>
  <c r="F20494" i="1"/>
  <c r="F20665" i="1"/>
  <c r="F20705" i="1"/>
  <c r="F20725" i="1"/>
  <c r="F20742" i="1"/>
  <c r="F20760" i="1"/>
  <c r="F20827" i="1"/>
  <c r="F20876" i="1"/>
  <c r="F21034" i="1"/>
  <c r="F21042" i="1"/>
  <c r="F21072" i="1"/>
  <c r="F21085" i="1"/>
  <c r="F21087" i="1"/>
  <c r="F21116" i="1"/>
  <c r="F21151" i="1"/>
  <c r="F21153" i="1"/>
  <c r="F21176" i="1"/>
  <c r="F21185" i="1"/>
  <c r="F21189" i="1"/>
  <c r="F21357" i="1"/>
  <c r="F21358" i="1"/>
  <c r="F21387" i="1"/>
  <c r="F21455" i="1"/>
  <c r="F21744" i="1"/>
  <c r="F21746" i="1"/>
  <c r="F21903" i="1"/>
  <c r="F22026" i="1"/>
  <c r="F22044" i="1"/>
  <c r="F22050" i="1"/>
  <c r="F22211" i="1"/>
  <c r="F22376" i="1"/>
  <c r="F22450" i="1"/>
  <c r="F22539" i="1"/>
  <c r="F22601" i="1"/>
  <c r="F22723" i="1"/>
  <c r="F22759" i="1"/>
  <c r="F22850" i="1"/>
  <c r="F22866" i="1"/>
  <c r="F22935" i="1"/>
  <c r="F23157" i="1"/>
  <c r="F23537" i="1"/>
  <c r="F25615" i="1"/>
  <c r="F25625" i="1"/>
  <c r="F25656" i="1"/>
  <c r="F25699" i="1"/>
  <c r="F25701" i="1"/>
  <c r="F25704" i="1"/>
  <c r="F25862" i="1"/>
  <c r="F25906" i="1"/>
  <c r="F25919" i="1"/>
  <c r="F25945" i="1"/>
  <c r="F25956" i="1"/>
  <c r="F25957" i="1"/>
  <c r="F25967" i="1"/>
  <c r="F25981" i="1"/>
  <c r="F26066" i="1"/>
  <c r="F26069" i="1"/>
  <c r="F26072" i="1"/>
  <c r="F26106" i="1"/>
  <c r="F26223" i="1"/>
  <c r="F26227" i="1"/>
  <c r="F26238" i="1"/>
  <c r="F26244" i="1"/>
  <c r="F26250" i="1"/>
  <c r="F26259" i="1"/>
  <c r="F26271" i="1"/>
  <c r="F26275" i="1"/>
  <c r="F26280" i="1"/>
  <c r="F26282" i="1"/>
  <c r="F26284" i="1"/>
  <c r="F26288" i="1"/>
  <c r="F26290" i="1"/>
  <c r="F26295" i="1"/>
  <c r="F26299" i="1"/>
  <c r="F26394" i="1"/>
  <c r="F26404" i="1"/>
  <c r="F26416" i="1"/>
  <c r="F26421" i="1"/>
  <c r="F26424" i="1"/>
  <c r="F26428" i="1"/>
  <c r="F26534" i="1"/>
  <c r="F26571" i="1"/>
  <c r="F26607" i="1"/>
  <c r="F26612" i="1"/>
  <c r="F26644" i="1"/>
  <c r="F26654" i="1"/>
  <c r="F26656" i="1"/>
  <c r="F26661" i="1"/>
  <c r="F26662" i="1"/>
  <c r="F26666" i="1"/>
  <c r="F26672" i="1"/>
  <c r="F26683" i="1"/>
  <c r="F26869" i="1"/>
  <c r="F27728" i="1"/>
  <c r="F27736" i="1"/>
  <c r="F27743" i="1"/>
  <c r="F27748" i="1"/>
  <c r="F27755" i="1"/>
  <c r="F27756" i="1"/>
  <c r="F27763" i="1"/>
  <c r="F27787" i="1"/>
  <c r="F27795" i="1"/>
  <c r="F27888" i="1"/>
  <c r="F28055" i="1"/>
  <c r="F28057" i="1"/>
  <c r="F28058" i="1"/>
  <c r="F28396" i="1"/>
  <c r="F28692" i="1"/>
  <c r="F28707" i="1"/>
  <c r="F28811" i="1"/>
  <c r="F28890" i="1"/>
  <c r="F29099" i="1"/>
  <c r="F29100" i="1"/>
  <c r="F29277" i="1"/>
  <c r="F29293" i="1"/>
  <c r="F29829" i="1"/>
  <c r="F29883" i="1"/>
  <c r="F30529" i="1"/>
  <c r="F30540" i="1"/>
  <c r="F30576" i="1"/>
  <c r="F30652" i="1"/>
  <c r="F30661" i="1"/>
  <c r="F30691" i="1"/>
  <c r="F30707" i="1"/>
  <c r="F30758" i="1"/>
  <c r="F30772" i="1"/>
  <c r="F30771" i="1"/>
  <c r="F30774" i="1"/>
  <c r="F30775" i="1"/>
  <c r="F30776" i="1"/>
  <c r="F30932" i="1"/>
  <c r="F31050" i="1"/>
  <c r="F31452" i="1"/>
  <c r="F31756" i="1"/>
  <c r="F31799" i="1"/>
  <c r="F31868" i="1"/>
  <c r="F31913" i="1"/>
  <c r="F31919" i="1"/>
  <c r="F31947" i="1"/>
  <c r="F31948" i="1"/>
  <c r="F31990" i="1"/>
  <c r="F31998" i="1"/>
  <c r="F32001" i="1"/>
  <c r="F32024" i="1"/>
  <c r="F32031" i="1"/>
  <c r="F32064" i="1"/>
  <c r="F32074" i="1"/>
  <c r="F32076" i="1"/>
  <c r="F32085" i="1"/>
  <c r="F32095" i="1"/>
  <c r="F32183" i="1"/>
  <c r="F32185" i="1"/>
  <c r="F32203" i="1"/>
  <c r="F32204" i="1"/>
  <c r="F32206" i="1"/>
  <c r="F32210" i="1"/>
  <c r="F32294" i="1"/>
  <c r="F32580" i="1"/>
  <c r="F32654" i="1"/>
  <c r="F32680" i="1"/>
  <c r="F32692" i="1"/>
  <c r="F32955" i="1"/>
  <c r="F32973" i="1"/>
  <c r="F33169" i="1"/>
  <c r="F33489" i="1"/>
  <c r="F33885" i="1"/>
  <c r="F33899" i="1"/>
  <c r="F33901" i="1"/>
  <c r="F33905" i="1"/>
  <c r="F33981" i="1"/>
  <c r="F34175" i="1"/>
  <c r="F34204" i="1"/>
  <c r="F34366" i="1"/>
  <c r="F34711" i="1"/>
  <c r="F34959" i="1"/>
  <c r="F35022" i="1"/>
  <c r="F35102" i="1"/>
  <c r="F35106" i="1"/>
  <c r="F35117" i="1"/>
  <c r="F35143" i="1"/>
  <c r="F35146" i="1"/>
  <c r="F35148" i="1"/>
  <c r="F35150" i="1"/>
  <c r="F35205" i="1"/>
  <c r="F35425" i="1"/>
  <c r="F35427" i="1"/>
  <c r="F35514" i="1"/>
  <c r="F35586" i="1"/>
  <c r="F35646" i="1"/>
  <c r="F35733" i="1"/>
  <c r="F36109" i="1"/>
  <c r="F36144" i="1"/>
  <c r="F36146" i="1"/>
  <c r="F36148" i="1"/>
  <c r="F36385" i="1"/>
  <c r="F27789" i="1"/>
  <c r="F15437" i="1"/>
  <c r="F5478" i="1"/>
  <c r="F5695" i="1"/>
  <c r="F6194" i="1"/>
  <c r="F8878" i="1"/>
  <c r="F9509" i="1"/>
  <c r="F11977" i="1"/>
  <c r="F13662" i="1"/>
  <c r="F21474" i="1"/>
  <c r="F21506" i="1"/>
  <c r="F26751" i="1"/>
  <c r="F29449" i="1"/>
  <c r="F35043" i="1"/>
  <c r="F2859" i="1"/>
  <c r="F13628" i="1"/>
  <c r="F14351" i="1"/>
  <c r="F15868" i="1"/>
  <c r="F25801" i="1"/>
  <c r="F27785" i="1"/>
  <c r="F35221" i="1"/>
  <c r="F26110" i="1"/>
  <c r="F14285" i="1"/>
  <c r="F11931" i="1"/>
  <c r="F7892" i="1"/>
  <c r="F7816" i="1"/>
  <c r="F4353" i="1"/>
  <c r="F18040" i="1"/>
  <c r="F22374" i="1"/>
  <c r="F5084" i="1"/>
  <c r="F13203" i="1"/>
  <c r="F14442" i="1"/>
  <c r="F4249" i="1"/>
  <c r="F4629" i="1"/>
  <c r="F5163" i="1"/>
  <c r="F8769" i="1"/>
  <c r="F8921" i="1"/>
  <c r="F12537" i="1"/>
  <c r="F15528" i="1"/>
  <c r="F19091" i="1"/>
  <c r="F19540" i="1"/>
  <c r="F19594" i="1"/>
  <c r="F19640" i="1"/>
  <c r="F20639" i="1"/>
  <c r="F21835" i="1"/>
  <c r="F22717" i="1"/>
  <c r="F248" i="1"/>
  <c r="F2600" i="1"/>
  <c r="F2687" i="1"/>
  <c r="F3207" i="1"/>
  <c r="F6355" i="1"/>
  <c r="F6782" i="1"/>
  <c r="F7583" i="1"/>
  <c r="F7591" i="1"/>
  <c r="F7599" i="1"/>
  <c r="F8449" i="1"/>
  <c r="F10723" i="1"/>
  <c r="F12654" i="1"/>
  <c r="F12322" i="1"/>
  <c r="F13389" i="1"/>
  <c r="F13957" i="1"/>
  <c r="F14268" i="1"/>
  <c r="F15006" i="1"/>
  <c r="F16102" i="1"/>
  <c r="F16877" i="1"/>
  <c r="F17982" i="1"/>
  <c r="F17992" i="1"/>
  <c r="F19843" i="1"/>
  <c r="F20574" i="1"/>
  <c r="F20772" i="1"/>
  <c r="F21203" i="1"/>
  <c r="F21653" i="1"/>
  <c r="F21797" i="1"/>
  <c r="F22204" i="1"/>
  <c r="F22271" i="1"/>
  <c r="F23008" i="1"/>
  <c r="F21576" i="1"/>
  <c r="F10375" i="1"/>
  <c r="F16215" i="1"/>
  <c r="F31415" i="1"/>
  <c r="F30645" i="1"/>
  <c r="F22731" i="1"/>
  <c r="F22606" i="1"/>
  <c r="F22565" i="1"/>
  <c r="F21866" i="1"/>
  <c r="F21222" i="1"/>
  <c r="F21003" i="1"/>
  <c r="F20825" i="1"/>
  <c r="F20472" i="1"/>
  <c r="F20026" i="1"/>
  <c r="F19922" i="1"/>
  <c r="F19823" i="1"/>
  <c r="F19811" i="1"/>
  <c r="F19752" i="1"/>
  <c r="F19487" i="1"/>
  <c r="F19281" i="1"/>
  <c r="F19272" i="1"/>
  <c r="F19268" i="1"/>
  <c r="F19246" i="1"/>
  <c r="F19019" i="1"/>
  <c r="F18251" i="1"/>
  <c r="F17676" i="1"/>
  <c r="F17609" i="1"/>
  <c r="F17648" i="1"/>
  <c r="F17530" i="1"/>
  <c r="F17205" i="1"/>
  <c r="F17178" i="1"/>
  <c r="F17176" i="1"/>
  <c r="F17156" i="1"/>
  <c r="F17086" i="1"/>
  <c r="F17084" i="1"/>
  <c r="F16693" i="1"/>
  <c r="F16660" i="1"/>
  <c r="F16211" i="1"/>
  <c r="F16162" i="1"/>
  <c r="F16064" i="1"/>
  <c r="F15945" i="1"/>
  <c r="F15838" i="1"/>
  <c r="F15115" i="1"/>
  <c r="F14776" i="1"/>
  <c r="F14733" i="1"/>
  <c r="F14599" i="1"/>
  <c r="F14596" i="1"/>
  <c r="F14421" i="1"/>
  <c r="F14147" i="1"/>
  <c r="F13989" i="1"/>
  <c r="F13781" i="1"/>
  <c r="F13767" i="1"/>
  <c r="F13745" i="1"/>
  <c r="F13463" i="1"/>
  <c r="F13461" i="1"/>
  <c r="F13459" i="1"/>
  <c r="F12860" i="1"/>
  <c r="F12340" i="1"/>
  <c r="F12312" i="1"/>
  <c r="F12257" i="1"/>
  <c r="F12173" i="1"/>
  <c r="F12048" i="1"/>
  <c r="F12040" i="1"/>
  <c r="F11556" i="1"/>
  <c r="F11098" i="1"/>
  <c r="F10989" i="1"/>
  <c r="F10983" i="1"/>
  <c r="F10977" i="1"/>
  <c r="F10961" i="1"/>
  <c r="F10954" i="1"/>
  <c r="F10941" i="1"/>
  <c r="F10938" i="1"/>
  <c r="F10922" i="1"/>
  <c r="F10915" i="1"/>
  <c r="F10913" i="1"/>
  <c r="F11032" i="1"/>
  <c r="F10906" i="1"/>
  <c r="F10900" i="1"/>
  <c r="F10898" i="1"/>
  <c r="F10781" i="1"/>
  <c r="F10697" i="1"/>
  <c r="F9348" i="1"/>
  <c r="F9305" i="1"/>
  <c r="F9250" i="1"/>
  <c r="F8813" i="1"/>
  <c r="F8464" i="1"/>
  <c r="F8392" i="1"/>
  <c r="F8372" i="1"/>
  <c r="F7308" i="1"/>
  <c r="F7030" i="1"/>
  <c r="F6979" i="1"/>
  <c r="F6977" i="1"/>
  <c r="F6768" i="1"/>
  <c r="F6967" i="1"/>
  <c r="F6432" i="1"/>
  <c r="F5263" i="1"/>
  <c r="F5253" i="1"/>
  <c r="F5047" i="1"/>
  <c r="F5034" i="1"/>
  <c r="F4932" i="1"/>
  <c r="F4588" i="1"/>
  <c r="F4326" i="1"/>
  <c r="F4277" i="1"/>
  <c r="F3421" i="1"/>
  <c r="F3330" i="1"/>
  <c r="F3284" i="1"/>
  <c r="F3221" i="1"/>
  <c r="F3219" i="1"/>
  <c r="F3053" i="1"/>
  <c r="F2956" i="1"/>
  <c r="F2942" i="1"/>
  <c r="F2109" i="1"/>
  <c r="F1973" i="1"/>
  <c r="F1859" i="1"/>
  <c r="F1731" i="1"/>
  <c r="F1663" i="1"/>
  <c r="F1673" i="1"/>
  <c r="F1537" i="1"/>
  <c r="F1527" i="1"/>
  <c r="F1379" i="1"/>
  <c r="F871" i="1"/>
  <c r="F727" i="1"/>
  <c r="F6975" i="1"/>
  <c r="F12918" i="1"/>
  <c r="F23083" i="1"/>
  <c r="F11992" i="1"/>
  <c r="F11864" i="1"/>
  <c r="F6331" i="1"/>
  <c r="F5096" i="1"/>
  <c r="F9167" i="1"/>
  <c r="F16461" i="1"/>
  <c r="F1835" i="1"/>
  <c r="F25664" i="1"/>
  <c r="F10995" i="1"/>
  <c r="F2263" i="1"/>
  <c r="F1783" i="1"/>
  <c r="F1577" i="1"/>
  <c r="F22432" i="1"/>
  <c r="F1843" i="1"/>
  <c r="F1045" i="1"/>
  <c r="F2087" i="1"/>
  <c r="F2244" i="1"/>
  <c r="F3525" i="1"/>
  <c r="F4255" i="1"/>
  <c r="F10809" i="1"/>
  <c r="F18626" i="1"/>
  <c r="F18628" i="1"/>
  <c r="F20536" i="1"/>
  <c r="F22245" i="1"/>
  <c r="F22333" i="1"/>
  <c r="F22407" i="1"/>
  <c r="F22686" i="1"/>
  <c r="F22820" i="1"/>
  <c r="F22383" i="1"/>
  <c r="F22986" i="1"/>
  <c r="F4257" i="1"/>
  <c r="F17395" i="1"/>
  <c r="F18689" i="1"/>
  <c r="F20550" i="1"/>
  <c r="F20558" i="1"/>
  <c r="F20756" i="1"/>
  <c r="F21399" i="1"/>
  <c r="F20815" i="1"/>
  <c r="F19651" i="1"/>
  <c r="F8087" i="1"/>
  <c r="F15262" i="1"/>
  <c r="F17247" i="1"/>
  <c r="F20569" i="1"/>
  <c r="F33469" i="1"/>
  <c r="F8099" i="1"/>
  <c r="F13987" i="1"/>
  <c r="F15846" i="1"/>
  <c r="F15901" i="1"/>
  <c r="F19083" i="1"/>
  <c r="F21955" i="1"/>
  <c r="F22721" i="1"/>
  <c r="F76" i="1"/>
  <c r="F96" i="1"/>
  <c r="F595" i="1"/>
  <c r="F1501" i="1"/>
  <c r="F1619" i="1"/>
  <c r="F1713" i="1"/>
  <c r="F3009" i="1"/>
  <c r="F3056" i="1"/>
  <c r="F3579" i="1"/>
  <c r="F5036" i="1"/>
  <c r="F6856" i="1"/>
  <c r="F7711" i="1"/>
  <c r="F8006" i="1"/>
  <c r="F69" i="1"/>
  <c r="F9157" i="1"/>
  <c r="F9916" i="1"/>
  <c r="F12204" i="1"/>
  <c r="F12429" i="1"/>
  <c r="F13223" i="1"/>
  <c r="F16289" i="1"/>
  <c r="F16335" i="1"/>
  <c r="F70" i="1"/>
  <c r="F16714" i="1"/>
  <c r="F17761" i="1"/>
  <c r="F18659" i="1"/>
  <c r="F19278" i="1"/>
  <c r="F19308" i="1"/>
  <c r="F20113" i="1"/>
  <c r="F22216" i="1"/>
  <c r="F22327" i="1"/>
  <c r="F22791" i="1"/>
  <c r="F23262" i="1"/>
  <c r="F24227" i="1"/>
  <c r="F74" i="1"/>
  <c r="F29682" i="1"/>
  <c r="F63" i="1"/>
  <c r="F12022" i="1"/>
  <c r="F73" i="1"/>
  <c r="F71" i="1"/>
  <c r="F66" i="1"/>
  <c r="F64" i="1"/>
  <c r="F61" i="1"/>
  <c r="F57" i="1"/>
  <c r="F56" i="1"/>
  <c r="F6954" i="1"/>
  <c r="F68" i="1"/>
  <c r="F8971" i="1"/>
  <c r="F65" i="1"/>
  <c r="F72" i="1"/>
  <c r="F58" i="1"/>
  <c r="F16627" i="1"/>
  <c r="F75" i="1"/>
  <c r="F67" i="1"/>
  <c r="F59" i="1"/>
  <c r="F60" i="1"/>
  <c r="F62" i="1"/>
  <c r="F97" i="1"/>
  <c r="F1067" i="1"/>
  <c r="F3211" i="1"/>
  <c r="F4505" i="1"/>
  <c r="F4522" i="1"/>
  <c r="F5359" i="1"/>
  <c r="F5011" i="1"/>
  <c r="F5836" i="1"/>
  <c r="F6185" i="1"/>
  <c r="F7869" i="1"/>
  <c r="F9299" i="1"/>
  <c r="F9894" i="1"/>
  <c r="F10815" i="1"/>
  <c r="F15881" i="1"/>
  <c r="F16536" i="1"/>
  <c r="F21317" i="1"/>
  <c r="F21510" i="1"/>
  <c r="F28895" i="1"/>
  <c r="F29664" i="1"/>
  <c r="F30326" i="1"/>
  <c r="F32763" i="1"/>
  <c r="F32765" i="1"/>
  <c r="F33480" i="1"/>
  <c r="F36030" i="1"/>
  <c r="F36169" i="1"/>
  <c r="F36211" i="1"/>
  <c r="F36236" i="1"/>
  <c r="F8948" i="1"/>
  <c r="F7265" i="1"/>
  <c r="F2679" i="1"/>
  <c r="F2746" i="1"/>
  <c r="F2850" i="1"/>
  <c r="F2957" i="1"/>
  <c r="F3347" i="1"/>
  <c r="F3369" i="1"/>
  <c r="F3423" i="1"/>
  <c r="F4695" i="1"/>
  <c r="F4767" i="1"/>
  <c r="F5367" i="1"/>
  <c r="F5978" i="1"/>
  <c r="F5980" i="1"/>
  <c r="F5997" i="1"/>
  <c r="F10023" i="1"/>
  <c r="F10036" i="1"/>
  <c r="F9637" i="1"/>
  <c r="F9817" i="1"/>
  <c r="F10354" i="1"/>
  <c r="F10449" i="1"/>
  <c r="F10494" i="1"/>
  <c r="F10513" i="1"/>
  <c r="F10545" i="1"/>
  <c r="F11970" i="1"/>
  <c r="F12198" i="1"/>
  <c r="F12515" i="1"/>
  <c r="F12869" i="1"/>
  <c r="F12874" i="1"/>
  <c r="F13181" i="1"/>
  <c r="F13258" i="1"/>
  <c r="F13271" i="1"/>
  <c r="F13282" i="1"/>
  <c r="F13284" i="1"/>
  <c r="F13331" i="1"/>
  <c r="F13340" i="1"/>
  <c r="F13355" i="1"/>
  <c r="F14762" i="1"/>
  <c r="F14769" i="1"/>
  <c r="F15084" i="1"/>
  <c r="F15309" i="1"/>
  <c r="F15592" i="1"/>
  <c r="F15864" i="1"/>
  <c r="F16033" i="1"/>
  <c r="F16812" i="1"/>
  <c r="F18481" i="1"/>
  <c r="F18838" i="1"/>
  <c r="F19536" i="1"/>
  <c r="F20366" i="1"/>
  <c r="F22017" i="1"/>
  <c r="F22480" i="1"/>
  <c r="F22519" i="1"/>
  <c r="F22523" i="1"/>
  <c r="F22611" i="1"/>
  <c r="F22749" i="1"/>
  <c r="F22919" i="1"/>
  <c r="F22957" i="1"/>
  <c r="F23614" i="1"/>
  <c r="F30498" i="1"/>
  <c r="F30723" i="1"/>
  <c r="F30740" i="1"/>
  <c r="F30766" i="1"/>
  <c r="F31217" i="1"/>
  <c r="F31994" i="1"/>
  <c r="F22727" i="1"/>
  <c r="F986" i="1"/>
  <c r="F1121" i="1"/>
  <c r="F1329" i="1"/>
  <c r="F4659" i="1"/>
  <c r="F4963" i="1"/>
  <c r="F5010" i="1"/>
  <c r="F5510" i="1"/>
  <c r="F9931" i="1"/>
  <c r="F14748" i="1"/>
  <c r="F16651" i="1"/>
  <c r="F17305" i="1"/>
  <c r="F17307" i="1"/>
  <c r="F17559" i="1"/>
  <c r="F18215" i="1"/>
  <c r="F18648" i="1"/>
  <c r="F18663" i="1"/>
  <c r="F19238" i="1"/>
  <c r="F19556" i="1"/>
  <c r="F20354" i="1"/>
  <c r="F20415" i="1"/>
  <c r="F20542" i="1"/>
  <c r="F20554" i="1"/>
  <c r="F20556" i="1"/>
  <c r="F20560" i="1"/>
  <c r="F20963" i="1"/>
  <c r="F21325" i="1"/>
  <c r="F21519" i="1"/>
  <c r="F22464" i="1"/>
  <c r="F22643" i="1"/>
  <c r="F22943" i="1"/>
  <c r="F24069" i="1"/>
  <c r="F25458" i="1"/>
  <c r="F28360" i="1"/>
  <c r="F29140" i="1"/>
  <c r="F29495" i="1"/>
  <c r="F29509" i="1"/>
  <c r="F29870" i="1"/>
  <c r="F33617" i="1"/>
  <c r="F34079" i="1"/>
  <c r="F12000" i="1"/>
  <c r="F8607" i="1"/>
  <c r="F13039" i="1"/>
  <c r="F18406" i="1"/>
  <c r="F30093" i="1"/>
  <c r="F3632" i="1"/>
  <c r="F8345" i="1"/>
  <c r="F9188" i="1"/>
  <c r="F794" i="1"/>
  <c r="F78" i="1"/>
  <c r="F108" i="1"/>
  <c r="F1005" i="1"/>
  <c r="F185" i="1"/>
  <c r="F198" i="1"/>
  <c r="F200" i="1"/>
  <c r="F208" i="1"/>
  <c r="F8511" i="1"/>
  <c r="F210" i="1"/>
  <c r="F19692" i="1"/>
  <c r="F216" i="1"/>
  <c r="F222" i="1"/>
  <c r="F226" i="1"/>
  <c r="F228" i="1"/>
  <c r="F615" i="1"/>
  <c r="F236" i="1"/>
  <c r="F240" i="1"/>
  <c r="F257" i="1"/>
  <c r="F258" i="1"/>
  <c r="F264" i="1"/>
  <c r="F268" i="1"/>
  <c r="F300" i="1"/>
  <c r="F270" i="1"/>
  <c r="F1211" i="1"/>
  <c r="F292" i="1"/>
  <c r="F294" i="1"/>
  <c r="F296" i="1"/>
  <c r="F22265" i="1"/>
  <c r="F302" i="1"/>
  <c r="F304" i="1"/>
  <c r="F306" i="1"/>
  <c r="F193" i="1"/>
  <c r="F448" i="1"/>
  <c r="F450" i="1"/>
  <c r="F611" i="1"/>
  <c r="F792" i="1"/>
  <c r="F613" i="1"/>
  <c r="F635" i="1"/>
  <c r="F637" i="1"/>
  <c r="F14130" i="1"/>
  <c r="F641" i="1"/>
  <c r="F643" i="1"/>
  <c r="F652" i="1"/>
  <c r="F653" i="1"/>
  <c r="F673" i="1"/>
  <c r="F675" i="1"/>
  <c r="F677" i="1"/>
  <c r="F687" i="1"/>
  <c r="F13009" i="1"/>
  <c r="F745" i="1"/>
  <c r="F748" i="1"/>
  <c r="F782" i="1"/>
  <c r="F238" i="1"/>
  <c r="F788" i="1"/>
  <c r="F796" i="1"/>
  <c r="F798" i="1"/>
  <c r="F804" i="1"/>
  <c r="F12989" i="1"/>
  <c r="F809" i="1"/>
  <c r="F813" i="1"/>
  <c r="F814" i="1"/>
  <c r="F816" i="1"/>
  <c r="F818" i="1"/>
  <c r="F933" i="1"/>
  <c r="F959" i="1"/>
  <c r="F991" i="1"/>
  <c r="F997" i="1"/>
  <c r="F1003" i="1"/>
  <c r="F1009" i="1"/>
  <c r="F1011" i="1"/>
  <c r="F314" i="1"/>
  <c r="F1015" i="1"/>
  <c r="F1021" i="1"/>
  <c r="F1038" i="1"/>
  <c r="F1041" i="1"/>
  <c r="F1047" i="1"/>
  <c r="F4641" i="1"/>
  <c r="F1151" i="1"/>
  <c r="F8509" i="1"/>
  <c r="F1149" i="1"/>
  <c r="F1153" i="1"/>
  <c r="F1163" i="1"/>
  <c r="F1165" i="1"/>
  <c r="F1169" i="1"/>
  <c r="F1177" i="1"/>
  <c r="F1180" i="1"/>
  <c r="F1181" i="1"/>
  <c r="F1183" i="1"/>
  <c r="F1185" i="1"/>
  <c r="F1189" i="1"/>
  <c r="F18212" i="1"/>
  <c r="F1191" i="1"/>
  <c r="F1193" i="1"/>
  <c r="F1197" i="1"/>
  <c r="F1201" i="1"/>
  <c r="F1203" i="1"/>
  <c r="F8513" i="1"/>
  <c r="F1207" i="1"/>
  <c r="F1215" i="1"/>
  <c r="F1217" i="1"/>
  <c r="F9891" i="1"/>
  <c r="F1221" i="1"/>
  <c r="F2365" i="1"/>
  <c r="F1225" i="1"/>
  <c r="F1233" i="1"/>
  <c r="F1235" i="1"/>
  <c r="F1237" i="1"/>
  <c r="F1239" i="1"/>
  <c r="F181" i="1"/>
  <c r="F1241" i="1"/>
  <c r="F1245" i="1"/>
  <c r="F1247" i="1"/>
  <c r="F1249" i="1"/>
  <c r="F1251" i="1"/>
  <c r="F1253" i="1"/>
  <c r="F1255" i="1"/>
  <c r="F1256" i="1"/>
  <c r="F1258" i="1"/>
  <c r="F1261" i="1"/>
  <c r="F212" i="1"/>
  <c r="F1931" i="1"/>
  <c r="F1265" i="1"/>
  <c r="F1267" i="1"/>
  <c r="F1263" i="1"/>
  <c r="F1269" i="1"/>
  <c r="F1273" i="1"/>
  <c r="F1271" i="1"/>
  <c r="F1305" i="1"/>
  <c r="F1307" i="1"/>
  <c r="F1309" i="1"/>
  <c r="F1312" i="1"/>
  <c r="F1334" i="1"/>
  <c r="F1336" i="1"/>
  <c r="F1338" i="1"/>
  <c r="F1342" i="1"/>
  <c r="F1346" i="1"/>
  <c r="F1929" i="1"/>
  <c r="F1935" i="1"/>
  <c r="F1939" i="1"/>
  <c r="F5025" i="1"/>
  <c r="F2009" i="1"/>
  <c r="F2021" i="1"/>
  <c r="F2023" i="1"/>
  <c r="F2202" i="1"/>
  <c r="F2210" i="1"/>
  <c r="F786" i="1"/>
  <c r="F2341" i="1"/>
  <c r="F22456" i="1"/>
  <c r="F4639" i="1"/>
  <c r="F4643" i="1"/>
  <c r="F1319" i="1"/>
  <c r="F4656" i="1"/>
  <c r="F5017" i="1"/>
  <c r="F5019" i="1"/>
  <c r="F5021" i="1"/>
  <c r="F5357" i="1"/>
  <c r="F5734" i="1"/>
  <c r="F5754" i="1"/>
  <c r="F5780" i="1"/>
  <c r="F5788" i="1"/>
  <c r="F5790" i="1"/>
  <c r="F5796" i="1"/>
  <c r="F5804" i="1"/>
  <c r="F6078" i="1"/>
  <c r="F6080" i="1"/>
  <c r="F6082" i="1"/>
  <c r="F6086" i="1"/>
  <c r="F6106" i="1"/>
  <c r="F6396" i="1"/>
  <c r="F6482" i="1"/>
  <c r="F6654" i="1"/>
  <c r="F6656" i="1"/>
  <c r="F6674" i="1"/>
  <c r="F6666" i="1"/>
  <c r="F7351" i="1"/>
  <c r="F7732" i="1"/>
  <c r="F8184" i="1"/>
  <c r="F8220" i="1"/>
  <c r="F8222" i="1"/>
  <c r="F8225" i="1"/>
  <c r="F8226" i="1"/>
  <c r="F8230" i="1"/>
  <c r="F8238" i="1"/>
  <c r="F8272" i="1"/>
  <c r="F8274" i="1"/>
  <c r="F8321" i="1"/>
  <c r="F8325" i="1"/>
  <c r="F4657" i="1"/>
  <c r="F8343" i="1"/>
  <c r="F8404" i="1"/>
  <c r="F999" i="1"/>
  <c r="F8408" i="1"/>
  <c r="F8468" i="1"/>
  <c r="F8482" i="1"/>
  <c r="F8484" i="1"/>
  <c r="F8486" i="1"/>
  <c r="F8488" i="1"/>
  <c r="F8517" i="1"/>
  <c r="F8490" i="1"/>
  <c r="F8492" i="1"/>
  <c r="F8495" i="1"/>
  <c r="F8515" i="1"/>
  <c r="F8585" i="1"/>
  <c r="F9527" i="1"/>
  <c r="F9905" i="1"/>
  <c r="F11455" i="1"/>
  <c r="F11851" i="1"/>
  <c r="F12186" i="1"/>
  <c r="F12824" i="1"/>
  <c r="F12846" i="1"/>
  <c r="F12885" i="1"/>
  <c r="F12944" i="1"/>
  <c r="F1313" i="1"/>
  <c r="F214" i="1"/>
  <c r="F12979" i="1"/>
  <c r="F12981" i="1"/>
  <c r="F12983" i="1"/>
  <c r="F12985" i="1"/>
  <c r="F12987" i="1"/>
  <c r="F12995" i="1"/>
  <c r="F13001" i="1"/>
  <c r="F12991" i="1"/>
  <c r="F13091" i="1"/>
  <c r="F13093" i="1"/>
  <c r="F13118" i="1"/>
  <c r="F13165" i="1"/>
  <c r="F13212" i="1"/>
  <c r="F13242" i="1"/>
  <c r="F13589" i="1"/>
  <c r="F14290" i="1"/>
  <c r="F14292" i="1"/>
  <c r="F14294" i="1"/>
  <c r="F14296" i="1"/>
  <c r="F14298" i="1"/>
  <c r="F14300" i="1"/>
  <c r="F14302" i="1"/>
  <c r="F14304" i="1"/>
  <c r="F14756" i="1"/>
  <c r="F17401" i="1"/>
  <c r="F619" i="1"/>
  <c r="F17404" i="1"/>
  <c r="F17405" i="1"/>
  <c r="F17409" i="1"/>
  <c r="F17849" i="1"/>
  <c r="F18156" i="1"/>
  <c r="F18158" i="1"/>
  <c r="F18162" i="1"/>
  <c r="F18174" i="1"/>
  <c r="F13361" i="1"/>
  <c r="F18182" i="1"/>
  <c r="F18187" i="1"/>
  <c r="F18189" i="1"/>
  <c r="F18191" i="1"/>
  <c r="F18195" i="1"/>
  <c r="F18201" i="1"/>
  <c r="F18219" i="1"/>
  <c r="F18226" i="1"/>
  <c r="F18228" i="1"/>
  <c r="F18241" i="1"/>
  <c r="F18243" i="1"/>
  <c r="F19704" i="1"/>
  <c r="F19865" i="1"/>
  <c r="F19872" i="1"/>
  <c r="F19874" i="1"/>
  <c r="F20075" i="1"/>
  <c r="F20272" i="1"/>
  <c r="F20294" i="1"/>
  <c r="F20296" i="1"/>
  <c r="F20402" i="1"/>
  <c r="F1344" i="1"/>
  <c r="F21717" i="1"/>
  <c r="F252" i="1"/>
  <c r="F22016" i="1"/>
  <c r="F22064" i="1"/>
  <c r="F22239" i="1"/>
  <c r="F22249" i="1"/>
  <c r="F22257" i="1"/>
  <c r="F22258" i="1"/>
  <c r="F22259" i="1"/>
  <c r="F22261" i="1"/>
  <c r="F22263" i="1"/>
  <c r="F22267" i="1"/>
  <c r="F22358" i="1"/>
  <c r="F22387" i="1"/>
  <c r="F22422" i="1"/>
  <c r="F22478" i="1"/>
  <c r="F22569" i="1"/>
  <c r="F22583" i="1"/>
  <c r="F23028" i="1"/>
  <c r="F13189" i="1"/>
  <c r="F22811" i="1"/>
  <c r="F22844" i="1"/>
  <c r="F22838" i="1"/>
  <c r="F22840" i="1"/>
  <c r="F22842" i="1"/>
  <c r="F22848" i="1"/>
  <c r="F22852" i="1"/>
  <c r="F22854" i="1"/>
  <c r="F12997" i="1"/>
  <c r="F22856" i="1"/>
  <c r="F22868" i="1"/>
  <c r="F22882" i="1"/>
  <c r="F22915" i="1"/>
  <c r="F22886" i="1"/>
  <c r="F1171" i="1"/>
  <c r="F23010" i="1"/>
  <c r="F23029" i="1"/>
  <c r="F1315" i="1"/>
  <c r="F2027" i="1"/>
  <c r="F13007" i="1"/>
  <c r="F5027" i="1"/>
  <c r="F17407" i="1"/>
  <c r="F25795" i="1"/>
  <c r="F1025" i="1"/>
  <c r="F25799" i="1"/>
  <c r="F1205" i="1"/>
  <c r="F778" i="1"/>
  <c r="F12993" i="1"/>
  <c r="F1187" i="1"/>
  <c r="F8410" i="1"/>
  <c r="F7337" i="1"/>
  <c r="F312" i="1"/>
  <c r="F22988" i="1"/>
  <c r="F1219" i="1"/>
  <c r="F1043" i="1"/>
  <c r="F780" i="1"/>
  <c r="F2003" i="1"/>
  <c r="F22218" i="1"/>
  <c r="F8505" i="1"/>
  <c r="F22062" i="1"/>
  <c r="F6397" i="1"/>
  <c r="F224" i="1"/>
  <c r="F18897" i="1"/>
  <c r="F7344" i="1"/>
  <c r="F242" i="1"/>
  <c r="F230" i="1"/>
  <c r="F669" i="1"/>
  <c r="F266" i="1"/>
  <c r="F272" i="1"/>
  <c r="F288" i="1"/>
  <c r="F290" i="1"/>
  <c r="F298" i="1"/>
  <c r="F310" i="1"/>
  <c r="F484" i="1"/>
  <c r="F623" i="1"/>
  <c r="F709" i="1"/>
  <c r="F790" i="1"/>
  <c r="F801" i="1"/>
  <c r="F810" i="1"/>
  <c r="F907" i="1"/>
  <c r="F995" i="1"/>
  <c r="F1007" i="1"/>
  <c r="F1105" i="1"/>
  <c r="F308" i="1"/>
  <c r="F1167" i="1"/>
  <c r="F1195" i="1"/>
  <c r="F1199" i="1"/>
  <c r="F1209" i="1"/>
  <c r="F1213" i="1"/>
  <c r="F1223" i="1"/>
  <c r="F1227" i="1"/>
  <c r="F1243" i="1"/>
  <c r="F1348" i="1"/>
  <c r="F2219" i="1"/>
  <c r="F2223" i="1"/>
  <c r="F3841" i="1"/>
  <c r="F4112" i="1"/>
  <c r="F4645" i="1"/>
  <c r="F4997" i="1"/>
  <c r="F4999" i="1"/>
  <c r="F6098" i="1"/>
  <c r="F6100" i="1"/>
  <c r="F6117" i="1"/>
  <c r="F6651" i="1"/>
  <c r="F6668" i="1"/>
  <c r="F6670" i="1"/>
  <c r="F6672" i="1"/>
  <c r="F7349" i="1"/>
  <c r="F7783" i="1"/>
  <c r="F8144" i="1"/>
  <c r="F8152" i="1"/>
  <c r="F8158" i="1"/>
  <c r="F8160" i="1"/>
  <c r="F8162" i="1"/>
  <c r="F8347" i="1"/>
  <c r="F8406" i="1"/>
  <c r="F8499" i="1"/>
  <c r="F8501" i="1"/>
  <c r="F8503" i="1"/>
  <c r="F10003" i="1"/>
  <c r="F10760" i="1"/>
  <c r="F6102" i="1"/>
  <c r="F12977" i="1"/>
  <c r="F12999" i="1"/>
  <c r="F13011" i="1"/>
  <c r="F14288" i="1"/>
  <c r="F15285" i="1"/>
  <c r="F15287" i="1"/>
  <c r="F17523" i="1"/>
  <c r="F17822" i="1"/>
  <c r="F17855" i="1"/>
  <c r="F18180" i="1"/>
  <c r="F18184" i="1"/>
  <c r="F18866" i="1"/>
  <c r="F18912" i="1"/>
  <c r="F19771" i="1"/>
  <c r="F19862" i="1"/>
  <c r="F19866" i="1"/>
  <c r="F20414" i="1"/>
  <c r="F21237" i="1"/>
  <c r="F22579" i="1"/>
  <c r="F22581" i="1"/>
  <c r="F22587" i="1"/>
  <c r="F22781" i="1"/>
  <c r="F22813" i="1"/>
  <c r="F22860" i="1"/>
  <c r="F22864" i="1"/>
  <c r="F22870" i="1"/>
  <c r="F22880" i="1"/>
  <c r="F19831" i="1"/>
  <c r="F22876" i="1"/>
  <c r="F33651" i="1"/>
  <c r="F16117" i="1"/>
  <c r="F7345" i="1"/>
  <c r="F8329" i="1"/>
  <c r="F8228" i="1"/>
  <c r="F218" i="1"/>
  <c r="F8507" i="1"/>
  <c r="F16196" i="1"/>
  <c r="F1937" i="1"/>
  <c r="F22779" i="1"/>
  <c r="F164" i="1"/>
  <c r="F395" i="1"/>
  <c r="F427" i="1"/>
  <c r="F645" i="1"/>
  <c r="F737" i="1"/>
  <c r="F963" i="1"/>
  <c r="F2597" i="1"/>
  <c r="F2705" i="1"/>
  <c r="F2739" i="1"/>
  <c r="F2821" i="1"/>
  <c r="F2761" i="1"/>
  <c r="F2762" i="1"/>
  <c r="F2768" i="1"/>
  <c r="F3371" i="1"/>
  <c r="F3646" i="1"/>
  <c r="F3960" i="1"/>
  <c r="F4060" i="1"/>
  <c r="F4064" i="1"/>
  <c r="F4073" i="1"/>
  <c r="F4089" i="1"/>
  <c r="F4120" i="1"/>
  <c r="F4126" i="1"/>
  <c r="F4710" i="1"/>
  <c r="F4991" i="1"/>
  <c r="F5879" i="1"/>
  <c r="F6702" i="1"/>
  <c r="F7329" i="1"/>
  <c r="F7435" i="1"/>
  <c r="F7503" i="1"/>
  <c r="F7527" i="1"/>
  <c r="F7553" i="1"/>
  <c r="F7877" i="1"/>
  <c r="F7878" i="1"/>
  <c r="F8107" i="1"/>
  <c r="F8674" i="1"/>
  <c r="F8953" i="1"/>
  <c r="F9537" i="1"/>
  <c r="F9550" i="1"/>
  <c r="F9685" i="1"/>
  <c r="F9653" i="1"/>
  <c r="F9717" i="1"/>
  <c r="F9744" i="1"/>
  <c r="F10141" i="1"/>
  <c r="F10204" i="1"/>
  <c r="F10221" i="1"/>
  <c r="F10277" i="1"/>
  <c r="F10281" i="1"/>
  <c r="F10358" i="1"/>
  <c r="F10395" i="1"/>
  <c r="F10495" i="1"/>
  <c r="F10496" i="1"/>
  <c r="F10519" i="1"/>
  <c r="F10557" i="1"/>
  <c r="F10579" i="1"/>
  <c r="F10763" i="1"/>
  <c r="F11090" i="1"/>
  <c r="F11187" i="1"/>
  <c r="F11190" i="1"/>
  <c r="F11192" i="1"/>
  <c r="F11742" i="1"/>
  <c r="F11907" i="1"/>
  <c r="F11909" i="1"/>
  <c r="F11914" i="1"/>
  <c r="F12174" i="1"/>
  <c r="F12868" i="1"/>
  <c r="F12878" i="1"/>
  <c r="F13262" i="1"/>
  <c r="F13264" i="1"/>
  <c r="F13289" i="1"/>
  <c r="F13314" i="1"/>
  <c r="F13320" i="1"/>
  <c r="F13321" i="1"/>
  <c r="F13327" i="1"/>
  <c r="F13564" i="1"/>
  <c r="F13820" i="1"/>
  <c r="F14108" i="1"/>
  <c r="F14132" i="1"/>
  <c r="F14169" i="1"/>
  <c r="F14404" i="1"/>
  <c r="F14700" i="1"/>
  <c r="F14966" i="1"/>
  <c r="F15004" i="1"/>
  <c r="F15371" i="1"/>
  <c r="F15414" i="1"/>
  <c r="F15443" i="1"/>
  <c r="F15674" i="1"/>
  <c r="F16597" i="1"/>
  <c r="F17847" i="1"/>
  <c r="F19089" i="1"/>
  <c r="F19223" i="1"/>
  <c r="F19339" i="1"/>
  <c r="F19352" i="1"/>
  <c r="F19358" i="1"/>
  <c r="F19509" i="1"/>
  <c r="F19637" i="1"/>
  <c r="F20370" i="1"/>
  <c r="F20491" i="1"/>
  <c r="F21018" i="1"/>
  <c r="F21030" i="1"/>
  <c r="F21091" i="1"/>
  <c r="F21246" i="1"/>
  <c r="F21335" i="1"/>
  <c r="F21635" i="1"/>
  <c r="F21650" i="1"/>
  <c r="F21774" i="1"/>
  <c r="F21893" i="1"/>
  <c r="F21936" i="1"/>
  <c r="F22500" i="1"/>
  <c r="F22535" i="1"/>
  <c r="F23050" i="1"/>
  <c r="F23124" i="1"/>
  <c r="F25988" i="1"/>
  <c r="F26289" i="1"/>
  <c r="F26678" i="1"/>
  <c r="F27796" i="1"/>
  <c r="F28148" i="1"/>
  <c r="F28350" i="1"/>
  <c r="F28575" i="1"/>
  <c r="F29030" i="1"/>
  <c r="F29362" i="1"/>
  <c r="F29409" i="1"/>
  <c r="F30489" i="1"/>
  <c r="F30538" i="1"/>
  <c r="F18787" i="1"/>
  <c r="F31042" i="1"/>
  <c r="F31043" i="1"/>
  <c r="F31162" i="1"/>
  <c r="F31167" i="1"/>
  <c r="F31179" i="1"/>
  <c r="F31196" i="1"/>
  <c r="F31237" i="1"/>
  <c r="F31276" i="1"/>
  <c r="F31657" i="1"/>
  <c r="F32138" i="1"/>
  <c r="F32156" i="1"/>
  <c r="F32922" i="1"/>
  <c r="F33603" i="1"/>
  <c r="F35046" i="1"/>
  <c r="F35217" i="1"/>
  <c r="F35412" i="1"/>
  <c r="F36317" i="1"/>
  <c r="F19224" i="1"/>
  <c r="F30991" i="1"/>
  <c r="F36135" i="1"/>
  <c r="F14096" i="1"/>
  <c r="F10313" i="1"/>
  <c r="F4030" i="1"/>
  <c r="F5457" i="1"/>
  <c r="F7781" i="1"/>
  <c r="F10037" i="1"/>
  <c r="F10081" i="1"/>
  <c r="F10083" i="1"/>
  <c r="F10089" i="1"/>
  <c r="F10090" i="1"/>
  <c r="F10118" i="1"/>
  <c r="F10135" i="1"/>
  <c r="F10180" i="1"/>
  <c r="F10289" i="1"/>
  <c r="F10305" i="1"/>
  <c r="F10320" i="1"/>
  <c r="F10321" i="1"/>
  <c r="F10366" i="1"/>
  <c r="F10417" i="1"/>
  <c r="F10450" i="1"/>
  <c r="F10464" i="1"/>
  <c r="F12901" i="1"/>
  <c r="F13151" i="1"/>
  <c r="F13171" i="1"/>
  <c r="F22925" i="1"/>
  <c r="F14993" i="1"/>
  <c r="F15193" i="1"/>
  <c r="F17500" i="1"/>
  <c r="F20248" i="1"/>
  <c r="F26419" i="1"/>
  <c r="F27759" i="1"/>
  <c r="F32010" i="1"/>
  <c r="F34899" i="1"/>
  <c r="F10025" i="1"/>
  <c r="F985" i="1"/>
  <c r="F1115" i="1"/>
  <c r="F2678" i="1"/>
  <c r="F3033" i="1"/>
  <c r="F3117" i="1"/>
  <c r="F3296" i="1"/>
  <c r="F10396" i="1"/>
  <c r="F3737" i="1"/>
  <c r="F4344" i="1"/>
  <c r="F8109" i="1"/>
  <c r="F9566" i="1"/>
  <c r="F9623" i="1"/>
  <c r="F9625" i="1"/>
  <c r="F9789" i="1"/>
  <c r="F9793" i="1"/>
  <c r="F9828" i="1"/>
  <c r="F10164" i="1"/>
  <c r="F10245" i="1"/>
  <c r="F10317" i="1"/>
  <c r="F9997" i="1"/>
  <c r="F10471" i="1"/>
  <c r="F10534" i="1"/>
  <c r="F11100" i="1"/>
  <c r="F11101" i="1"/>
  <c r="F11783" i="1"/>
  <c r="F11942" i="1"/>
  <c r="F11969" i="1"/>
  <c r="F12215" i="1"/>
  <c r="F12253" i="1"/>
  <c r="F12497" i="1"/>
  <c r="F13280" i="1"/>
  <c r="F13467" i="1"/>
  <c r="F14126" i="1"/>
  <c r="F14336" i="1"/>
  <c r="F14687" i="1"/>
  <c r="F14833" i="1"/>
  <c r="F15415" i="1"/>
  <c r="F15447" i="1"/>
  <c r="F16802" i="1"/>
  <c r="F16816" i="1"/>
  <c r="F17381" i="1"/>
  <c r="F19156" i="1"/>
  <c r="F19661" i="1"/>
  <c r="F19896" i="1"/>
  <c r="F19901" i="1"/>
  <c r="F20478" i="1"/>
  <c r="F20744" i="1"/>
  <c r="F21066" i="1"/>
  <c r="F21241" i="1"/>
  <c r="F21351" i="1"/>
  <c r="F21739" i="1"/>
  <c r="F21933" i="1"/>
  <c r="F22504" i="1"/>
  <c r="F25769" i="1"/>
  <c r="F25843" i="1"/>
  <c r="F26064" i="1"/>
  <c r="F26953" i="1"/>
  <c r="F27682" i="1"/>
  <c r="F27686" i="1"/>
  <c r="F27760" i="1"/>
  <c r="F27788" i="1"/>
  <c r="F30746" i="1"/>
  <c r="F30825" i="1"/>
  <c r="F31045" i="1"/>
  <c r="F31896" i="1"/>
  <c r="F32089" i="1"/>
  <c r="F32092" i="1"/>
  <c r="F32171" i="1"/>
  <c r="F32225" i="1"/>
  <c r="F33866" i="1"/>
  <c r="F33997" i="1"/>
  <c r="F34316" i="1"/>
  <c r="F35625" i="1"/>
  <c r="F34346" i="1"/>
  <c r="F25759" i="1"/>
  <c r="F9731" i="1"/>
  <c r="F13554" i="1"/>
  <c r="F19886" i="1"/>
  <c r="F1601" i="1"/>
  <c r="F13407" i="1"/>
  <c r="F15240" i="1"/>
  <c r="F17502" i="1"/>
  <c r="F22955" i="1"/>
  <c r="F29592" i="1"/>
  <c r="F140" i="1"/>
  <c r="F149" i="1"/>
  <c r="F375" i="1"/>
  <c r="F376" i="1"/>
  <c r="F391" i="1"/>
  <c r="F2393" i="1"/>
  <c r="F2437" i="1"/>
  <c r="F3264" i="1"/>
  <c r="F3432" i="1"/>
  <c r="F3576" i="1"/>
  <c r="F3577" i="1"/>
  <c r="F3870" i="1"/>
  <c r="F3871" i="1"/>
  <c r="F4271" i="1"/>
  <c r="F4347" i="1"/>
  <c r="F4416" i="1"/>
  <c r="F5314" i="1"/>
  <c r="F6188" i="1"/>
  <c r="F6363" i="1"/>
  <c r="F6566" i="1"/>
  <c r="F6775" i="1"/>
  <c r="F6885" i="1"/>
  <c r="F7457" i="1"/>
  <c r="F7632" i="1"/>
  <c r="F11517" i="1"/>
  <c r="F12593" i="1"/>
  <c r="F13408" i="1"/>
  <c r="F13415" i="1"/>
  <c r="F13484" i="1"/>
  <c r="F13523" i="1"/>
  <c r="F13556" i="1"/>
  <c r="F14353" i="1"/>
  <c r="F14183" i="1"/>
  <c r="F14791" i="1"/>
  <c r="F15152" i="1"/>
  <c r="F15956" i="1"/>
  <c r="F15957" i="1"/>
  <c r="F16002" i="1"/>
  <c r="F16010" i="1"/>
  <c r="F16134" i="1"/>
  <c r="F16257" i="1"/>
  <c r="F16347" i="1"/>
  <c r="F16873" i="1"/>
  <c r="F17809" i="1"/>
  <c r="F18482" i="1"/>
  <c r="F19078" i="1"/>
  <c r="F19615" i="1"/>
  <c r="F19680" i="1"/>
  <c r="F20357" i="1"/>
  <c r="F22462" i="1"/>
  <c r="F22782" i="1"/>
  <c r="F22792" i="1"/>
  <c r="F23048" i="1"/>
  <c r="F23094" i="1"/>
  <c r="F23761" i="1"/>
  <c r="F23954" i="1"/>
  <c r="F24197" i="1"/>
  <c r="F24290" i="1"/>
  <c r="F24395" i="1"/>
  <c r="F25012" i="1"/>
  <c r="F25470" i="1"/>
  <c r="F25749" i="1"/>
  <c r="F25779" i="1"/>
  <c r="F26838" i="1"/>
  <c r="F26982" i="1"/>
  <c r="F27238" i="1"/>
  <c r="F27240" i="1"/>
  <c r="F28614" i="1"/>
  <c r="F30186" i="1"/>
  <c r="F31631" i="1"/>
  <c r="F31632" i="1"/>
  <c r="F31633" i="1"/>
  <c r="F31634" i="1"/>
  <c r="F32534" i="1"/>
  <c r="F32640" i="1"/>
  <c r="F32658" i="1"/>
  <c r="F32661" i="1"/>
  <c r="F32911" i="1"/>
  <c r="F33122" i="1"/>
  <c r="F33123" i="1"/>
  <c r="F33525" i="1"/>
  <c r="F31647" i="1"/>
  <c r="F29" i="1"/>
  <c r="F32" i="1"/>
  <c r="F90" i="1"/>
  <c r="F112" i="1"/>
  <c r="F158" i="1"/>
  <c r="F160" i="1"/>
  <c r="F336" i="1"/>
  <c r="F360" i="1"/>
  <c r="F364" i="1"/>
  <c r="F1281" i="1"/>
  <c r="F1321" i="1"/>
  <c r="F1322" i="1"/>
  <c r="F1323" i="1"/>
  <c r="F1325" i="1"/>
  <c r="F1327" i="1"/>
  <c r="F1330" i="1"/>
  <c r="F1359" i="1"/>
  <c r="F1361" i="1"/>
  <c r="F1424" i="1"/>
  <c r="F1428" i="1"/>
  <c r="F1429" i="1"/>
  <c r="F1432" i="1"/>
  <c r="F1461" i="1"/>
  <c r="F1463" i="1"/>
  <c r="F1465" i="1"/>
  <c r="F1467" i="1"/>
  <c r="F1471" i="1"/>
  <c r="F1473" i="1"/>
  <c r="F1475" i="1"/>
  <c r="F1483" i="1"/>
  <c r="F1496" i="1"/>
  <c r="F1505" i="1"/>
  <c r="F1521" i="1"/>
  <c r="F1529" i="1"/>
  <c r="F1561" i="1"/>
  <c r="F1575" i="1"/>
  <c r="F1591" i="1"/>
  <c r="F1609" i="1"/>
  <c r="F1611" i="1"/>
  <c r="F1617" i="1"/>
  <c r="F1629" i="1"/>
  <c r="F1631" i="1"/>
  <c r="F1641" i="1"/>
  <c r="F1711" i="1"/>
  <c r="F1717" i="1"/>
  <c r="F1761" i="1"/>
  <c r="F1767" i="1"/>
  <c r="F1893" i="1"/>
  <c r="F1899" i="1"/>
  <c r="F1905" i="1"/>
  <c r="F1911" i="1"/>
  <c r="F1913" i="1"/>
  <c r="F1915" i="1"/>
  <c r="F1917" i="1"/>
  <c r="F1921" i="1"/>
  <c r="F1923" i="1"/>
  <c r="F1925" i="1"/>
  <c r="F1943" i="1"/>
  <c r="F1945" i="1"/>
  <c r="F1947" i="1"/>
  <c r="F1989" i="1"/>
  <c r="F1990" i="1"/>
  <c r="F1992" i="1"/>
  <c r="F1993" i="1"/>
  <c r="F2001" i="1"/>
  <c r="F2005" i="1"/>
  <c r="F2007" i="1"/>
  <c r="F2011" i="1"/>
  <c r="F2013" i="1"/>
  <c r="F2015" i="1"/>
  <c r="F2017" i="1"/>
  <c r="F2019" i="1"/>
  <c r="F2025" i="1"/>
  <c r="F1991" i="1"/>
  <c r="F2033" i="1"/>
  <c r="F2039" i="1"/>
  <c r="F2047" i="1"/>
  <c r="F2049" i="1"/>
  <c r="F2121" i="1"/>
  <c r="F2147" i="1"/>
  <c r="F2180" i="1"/>
  <c r="F2182" i="1"/>
  <c r="F2190" i="1"/>
  <c r="F2194" i="1"/>
  <c r="F2224" i="1"/>
  <c r="F2239" i="1"/>
  <c r="F2249" i="1"/>
  <c r="F2257" i="1"/>
  <c r="F2269" i="1"/>
  <c r="F2282" i="1"/>
  <c r="F2286" i="1"/>
  <c r="F2288" i="1"/>
  <c r="F2289" i="1"/>
  <c r="F2328" i="1"/>
  <c r="F2334" i="1"/>
  <c r="F2351" i="1"/>
  <c r="F2353" i="1"/>
  <c r="F2363" i="1"/>
  <c r="F2451" i="1"/>
  <c r="F2523" i="1"/>
  <c r="F2551" i="1"/>
  <c r="F2558" i="1"/>
  <c r="F2691" i="1"/>
  <c r="F2697" i="1"/>
  <c r="F2922" i="1"/>
  <c r="F2924" i="1"/>
  <c r="F3035" i="1"/>
  <c r="F3060" i="1"/>
  <c r="F3074" i="1"/>
  <c r="F3170" i="1"/>
  <c r="F3198" i="1"/>
  <c r="F3200" i="1"/>
  <c r="F3233" i="1"/>
  <c r="F3286" i="1"/>
  <c r="F3445" i="1"/>
  <c r="F3885" i="1"/>
  <c r="F3599" i="1"/>
  <c r="F3709" i="1"/>
  <c r="F3714" i="1"/>
  <c r="F3712" i="1"/>
  <c r="F3720" i="1"/>
  <c r="F3831" i="1"/>
  <c r="F3891" i="1"/>
  <c r="F3948" i="1"/>
  <c r="F3966" i="1"/>
  <c r="F4016" i="1"/>
  <c r="F4197" i="1"/>
  <c r="F4311" i="1"/>
  <c r="F4329" i="1"/>
  <c r="F4362" i="1"/>
  <c r="F4423" i="1"/>
  <c r="F4425" i="1"/>
  <c r="F4602" i="1"/>
  <c r="F4637" i="1"/>
  <c r="F5228" i="1"/>
  <c r="F5373" i="1"/>
  <c r="F5379" i="1"/>
  <c r="F5405" i="1"/>
  <c r="F5416" i="1"/>
  <c r="F5475" i="1"/>
  <c r="F5571" i="1"/>
  <c r="F5583" i="1"/>
  <c r="F6325" i="1"/>
  <c r="F6527" i="1"/>
  <c r="F6594" i="1"/>
  <c r="F6596" i="1"/>
  <c r="F6680" i="1"/>
  <c r="F6728" i="1"/>
  <c r="F6736" i="1"/>
  <c r="F6764" i="1"/>
  <c r="F6766" i="1"/>
  <c r="F6773" i="1"/>
  <c r="F6777" i="1"/>
  <c r="F6794" i="1"/>
  <c r="F6806" i="1"/>
  <c r="F6810" i="1"/>
  <c r="F6838" i="1"/>
  <c r="F6840" i="1"/>
  <c r="F6848" i="1"/>
  <c r="F6850" i="1"/>
  <c r="F6852" i="1"/>
  <c r="F6854" i="1"/>
  <c r="F6880" i="1"/>
  <c r="F6899" i="1"/>
  <c r="F6948" i="1"/>
  <c r="F6950" i="1"/>
  <c r="F6952" i="1"/>
  <c r="F6958" i="1"/>
  <c r="F6965" i="1"/>
  <c r="F7031" i="1"/>
  <c r="F7054" i="1"/>
  <c r="F7090" i="1"/>
  <c r="F7094" i="1"/>
  <c r="F7326" i="1"/>
  <c r="F7334" i="1"/>
  <c r="F7362" i="1"/>
  <c r="F7378" i="1"/>
  <c r="F7402" i="1"/>
  <c r="F7418" i="1"/>
  <c r="F7514" i="1"/>
  <c r="F7792" i="1"/>
  <c r="F7813" i="1"/>
  <c r="F7851" i="1"/>
  <c r="F7875" i="1"/>
  <c r="F7894" i="1"/>
  <c r="F7996" i="1"/>
  <c r="F8022" i="1"/>
  <c r="F8024" i="1"/>
  <c r="F8856" i="1"/>
  <c r="F8863" i="1"/>
  <c r="F8864" i="1"/>
  <c r="F8913" i="1"/>
  <c r="F8917" i="1"/>
  <c r="F8928" i="1"/>
  <c r="F8945" i="1"/>
  <c r="F8967" i="1"/>
  <c r="F8969" i="1"/>
  <c r="F8973" i="1"/>
  <c r="F9063" i="1"/>
  <c r="F9065" i="1"/>
  <c r="F9067" i="1"/>
  <c r="F9069" i="1"/>
  <c r="F9073" i="1"/>
  <c r="F9075" i="1"/>
  <c r="F9079" i="1"/>
  <c r="F9081" i="1"/>
  <c r="F9083" i="1"/>
  <c r="F9085" i="1"/>
  <c r="F9087" i="1"/>
  <c r="F9089" i="1"/>
  <c r="F9090" i="1"/>
  <c r="F9091" i="1"/>
  <c r="F9093" i="1"/>
  <c r="F9099" i="1"/>
  <c r="F9101" i="1"/>
  <c r="F9105" i="1"/>
  <c r="F9107" i="1"/>
  <c r="F9109" i="1"/>
  <c r="F9110" i="1"/>
  <c r="F9111" i="1"/>
  <c r="F9115" i="1"/>
  <c r="F9117" i="1"/>
  <c r="F9119" i="1"/>
  <c r="F9121" i="1"/>
  <c r="F9123" i="1"/>
  <c r="F9125" i="1"/>
  <c r="F9126" i="1"/>
  <c r="F9128" i="1"/>
  <c r="F9131" i="1"/>
  <c r="F9141" i="1"/>
  <c r="F9143" i="1"/>
  <c r="F9252" i="1"/>
  <c r="F9307" i="1"/>
  <c r="F9330" i="1"/>
  <c r="F9910" i="1"/>
  <c r="F9914" i="1"/>
  <c r="F9918" i="1"/>
  <c r="F9941" i="1"/>
  <c r="F10647" i="1"/>
  <c r="F10649" i="1"/>
  <c r="F11208" i="1"/>
  <c r="F11209" i="1"/>
  <c r="F11214" i="1"/>
  <c r="F11435" i="1"/>
  <c r="F11465" i="1"/>
  <c r="F11488" i="1"/>
  <c r="F11490" i="1"/>
  <c r="F11572" i="1"/>
  <c r="F11580" i="1"/>
  <c r="F11588" i="1"/>
  <c r="F11590" i="1"/>
  <c r="F11604" i="1"/>
  <c r="F11617" i="1"/>
  <c r="F11646" i="1"/>
  <c r="F11690" i="1"/>
  <c r="F11983" i="1"/>
  <c r="F12016" i="1"/>
  <c r="F12018" i="1"/>
  <c r="F12024" i="1"/>
  <c r="F12066" i="1"/>
  <c r="F12105" i="1"/>
  <c r="F12107" i="1"/>
  <c r="F12109" i="1"/>
  <c r="F12111" i="1"/>
  <c r="F12113" i="1"/>
  <c r="F12114" i="1"/>
  <c r="F12144" i="1"/>
  <c r="F12190" i="1"/>
  <c r="F12206" i="1"/>
  <c r="F12212" i="1"/>
  <c r="F12223" i="1"/>
  <c r="F12231" i="1"/>
  <c r="F12233" i="1"/>
  <c r="F12235" i="1"/>
  <c r="F12243" i="1"/>
  <c r="F12272" i="1"/>
  <c r="F12276" i="1"/>
  <c r="F12318" i="1"/>
  <c r="F12377" i="1"/>
  <c r="F12394" i="1"/>
  <c r="F12398" i="1"/>
  <c r="F12401" i="1"/>
  <c r="F12410" i="1"/>
  <c r="F12412" i="1"/>
  <c r="F12651" i="1"/>
  <c r="F12688" i="1"/>
  <c r="F12696" i="1"/>
  <c r="F12699" i="1"/>
  <c r="F12701" i="1"/>
  <c r="F12876" i="1"/>
  <c r="F12917" i="1"/>
  <c r="F13102" i="1"/>
  <c r="F13235" i="1"/>
  <c r="F13359" i="1"/>
  <c r="F13525" i="1"/>
  <c r="F13527" i="1"/>
  <c r="F13531" i="1"/>
  <c r="F13615" i="1"/>
  <c r="F13725" i="1"/>
  <c r="F13808" i="1"/>
  <c r="F14066" i="1"/>
  <c r="F14092" i="1"/>
  <c r="F14197" i="1"/>
  <c r="F14199" i="1"/>
  <c r="F14274" i="1"/>
  <c r="F14538" i="1"/>
  <c r="F14540" i="1"/>
  <c r="F14542" i="1"/>
  <c r="F14544" i="1"/>
  <c r="F14587" i="1"/>
  <c r="F14723" i="1"/>
  <c r="F14812" i="1"/>
  <c r="F15014" i="1"/>
  <c r="F15034" i="1"/>
  <c r="F15155" i="1"/>
  <c r="F15244" i="1"/>
  <c r="F15299" i="1"/>
  <c r="F15640" i="1"/>
  <c r="F15799" i="1"/>
  <c r="F15860" i="1"/>
  <c r="F15938" i="1"/>
  <c r="F15942" i="1"/>
  <c r="F16019" i="1"/>
  <c r="F16039" i="1"/>
  <c r="F16072" i="1"/>
  <c r="F16074" i="1"/>
  <c r="F16207" i="1"/>
  <c r="F16251" i="1"/>
  <c r="F16339" i="1"/>
  <c r="F16341" i="1"/>
  <c r="F16389" i="1"/>
  <c r="F16401" i="1"/>
  <c r="F16480" i="1"/>
  <c r="F16507" i="1"/>
  <c r="F16509" i="1"/>
  <c r="F16521" i="1"/>
  <c r="F16523" i="1"/>
  <c r="F16525" i="1"/>
  <c r="F16547" i="1"/>
  <c r="F16578" i="1"/>
  <c r="F16629" i="1"/>
  <c r="F16631" i="1"/>
  <c r="F16632" i="1"/>
  <c r="F16635" i="1"/>
  <c r="F16637" i="1"/>
  <c r="F16639" i="1"/>
  <c r="F16641" i="1"/>
  <c r="F16759" i="1"/>
  <c r="F16763" i="1"/>
  <c r="F16778" i="1"/>
  <c r="F17024" i="1"/>
  <c r="F17072" i="1"/>
  <c r="F17208" i="1"/>
  <c r="F17210" i="1"/>
  <c r="F17212" i="1"/>
  <c r="F17214" i="1"/>
  <c r="F17216" i="1"/>
  <c r="F17218" i="1"/>
  <c r="F17385" i="1"/>
  <c r="F17440" i="1"/>
  <c r="F17482" i="1"/>
  <c r="F17483" i="1"/>
  <c r="F17487" i="1"/>
  <c r="F17490" i="1"/>
  <c r="F17492" i="1"/>
  <c r="F17494" i="1"/>
  <c r="F17496" i="1"/>
  <c r="F17772" i="1"/>
  <c r="F17716" i="1"/>
  <c r="F17718" i="1"/>
  <c r="F17720" i="1"/>
  <c r="F17726" i="1"/>
  <c r="F17728" i="1"/>
  <c r="F17732" i="1"/>
  <c r="F17729" i="1"/>
  <c r="F17760" i="1"/>
  <c r="F17734" i="1"/>
  <c r="F17736" i="1"/>
  <c r="F17740" i="1"/>
  <c r="F17741" i="1"/>
  <c r="F17743" i="1"/>
  <c r="F17774" i="1"/>
  <c r="F17754" i="1"/>
  <c r="F17756" i="1"/>
  <c r="F17764" i="1"/>
  <c r="F17765" i="1"/>
  <c r="F17767" i="1"/>
  <c r="F17770" i="1"/>
  <c r="F17778" i="1"/>
  <c r="F17782" i="1"/>
  <c r="F17895" i="1"/>
  <c r="F18004" i="1"/>
  <c r="F18012" i="1"/>
  <c r="F18414" i="1"/>
  <c r="F18779" i="1"/>
  <c r="F18776" i="1"/>
  <c r="F27346" i="1"/>
  <c r="F18789" i="1"/>
  <c r="F18826" i="1"/>
  <c r="F18832" i="1"/>
  <c r="F18871" i="1"/>
  <c r="F6723" i="1"/>
  <c r="F18872" i="1"/>
  <c r="F18873" i="1"/>
  <c r="F18874" i="1"/>
  <c r="F18922" i="1"/>
  <c r="F19081" i="1"/>
  <c r="F19111" i="1"/>
  <c r="F19248" i="1"/>
  <c r="F19464" i="1"/>
  <c r="F19492" i="1"/>
  <c r="F19524" i="1"/>
  <c r="F19610" i="1"/>
  <c r="F19658" i="1"/>
  <c r="F19718" i="1"/>
  <c r="F19884" i="1"/>
  <c r="F20064" i="1"/>
  <c r="F20136" i="1"/>
  <c r="F20146" i="1"/>
  <c r="F20184" i="1"/>
  <c r="F20190" i="1"/>
  <c r="F20206" i="1"/>
  <c r="F20258" i="1"/>
  <c r="F20317" i="1"/>
  <c r="F20332" i="1"/>
  <c r="F20359" i="1"/>
  <c r="F20404" i="1"/>
  <c r="F20408" i="1"/>
  <c r="F20410" i="1"/>
  <c r="F20417" i="1"/>
  <c r="F20446" i="1"/>
  <c r="F20448" i="1"/>
  <c r="F20503" i="1"/>
  <c r="F20507" i="1"/>
  <c r="F20610" i="1"/>
  <c r="F20851" i="1"/>
  <c r="F20940" i="1"/>
  <c r="F20988" i="1"/>
  <c r="F20990" i="1"/>
  <c r="F20992" i="1"/>
  <c r="F20998" i="1"/>
  <c r="F20999" i="1"/>
  <c r="F21062" i="1"/>
  <c r="F21064" i="1"/>
  <c r="F21139" i="1"/>
  <c r="F21145" i="1"/>
  <c r="F21307" i="1"/>
  <c r="F21754" i="1"/>
  <c r="F21758" i="1"/>
  <c r="F21794" i="1"/>
  <c r="F21882" i="1"/>
  <c r="F22275" i="1"/>
  <c r="F22278" i="1"/>
  <c r="F22335" i="1"/>
  <c r="F22337" i="1"/>
  <c r="F22339" i="1"/>
  <c r="F22344" i="1"/>
  <c r="F22348" i="1"/>
  <c r="F22352" i="1"/>
  <c r="F22398" i="1"/>
  <c r="F22401" i="1"/>
  <c r="F22402" i="1"/>
  <c r="F22427" i="1"/>
  <c r="F22488" i="1"/>
  <c r="F22529" i="1"/>
  <c r="F22658" i="1"/>
  <c r="F22661" i="1"/>
  <c r="F22659" i="1"/>
  <c r="F22663" i="1"/>
  <c r="F22715" i="1"/>
  <c r="F22830" i="1"/>
  <c r="F22878" i="1"/>
  <c r="F22889" i="1"/>
  <c r="F22903" i="1"/>
  <c r="F22939" i="1"/>
  <c r="F22949" i="1"/>
  <c r="F22980" i="1"/>
  <c r="F23012" i="1"/>
  <c r="F23016" i="1"/>
  <c r="F23018" i="1"/>
  <c r="F23022" i="1"/>
  <c r="F23089" i="1"/>
  <c r="F23130" i="1"/>
  <c r="F23788" i="1"/>
  <c r="F23822" i="1"/>
  <c r="F23823" i="1"/>
  <c r="F24101" i="1"/>
  <c r="F24203" i="1"/>
  <c r="F33429" i="1"/>
  <c r="F24233" i="1"/>
  <c r="F24229" i="1"/>
  <c r="F24230" i="1"/>
  <c r="F24231" i="1"/>
  <c r="F24232" i="1"/>
  <c r="F24826" i="1"/>
  <c r="F25626" i="1"/>
  <c r="F25638" i="1"/>
  <c r="F26669" i="1"/>
  <c r="F26719" i="1"/>
  <c r="F26738" i="1"/>
  <c r="F26742" i="1"/>
  <c r="F26784" i="1"/>
  <c r="F26785" i="1"/>
  <c r="F26843" i="1"/>
  <c r="F26848" i="1"/>
  <c r="F26875" i="1"/>
  <c r="F27272" i="1"/>
  <c r="F2237" i="1"/>
  <c r="F21060" i="1"/>
  <c r="F29453" i="1"/>
  <c r="F27596" i="1"/>
  <c r="F27598" i="1"/>
  <c r="F27634" i="1"/>
  <c r="F27823" i="1"/>
  <c r="F27824" i="1"/>
  <c r="F27825" i="1"/>
  <c r="F27827" i="1"/>
  <c r="F27836" i="1"/>
  <c r="F27945" i="1"/>
  <c r="F27977" i="1"/>
  <c r="F27993" i="1"/>
  <c r="F28174" i="1"/>
  <c r="F28250" i="1"/>
  <c r="F28392" i="1"/>
  <c r="F28565" i="1"/>
  <c r="F28566" i="1"/>
  <c r="F28567" i="1"/>
  <c r="F28624" i="1"/>
  <c r="F28803" i="1"/>
  <c r="F6726" i="1"/>
  <c r="F29445" i="1"/>
  <c r="F29500" i="1"/>
  <c r="F29599" i="1"/>
  <c r="F29609" i="1"/>
  <c r="F29650" i="1"/>
  <c r="F29792" i="1"/>
  <c r="F29851" i="1"/>
  <c r="F30149" i="1"/>
  <c r="F32324" i="1"/>
  <c r="F32361" i="1"/>
  <c r="F32379" i="1"/>
  <c r="F32419" i="1"/>
  <c r="F32444" i="1"/>
  <c r="F32505" i="1"/>
  <c r="F28674" i="1"/>
  <c r="F32542" i="1"/>
  <c r="F32544" i="1"/>
  <c r="F32546" i="1"/>
  <c r="F32549" i="1"/>
  <c r="F32630" i="1"/>
  <c r="F32663" i="1"/>
  <c r="F32857" i="1"/>
  <c r="F32963" i="1"/>
  <c r="F33203" i="1"/>
  <c r="F34424" i="1"/>
  <c r="F34431" i="1"/>
  <c r="F34441" i="1"/>
  <c r="F34442" i="1"/>
  <c r="F34452" i="1"/>
  <c r="F34457" i="1"/>
  <c r="F35380" i="1"/>
  <c r="F3143" i="1"/>
  <c r="F19192" i="1"/>
  <c r="F12026" i="1"/>
  <c r="F23299" i="1"/>
  <c r="F16015" i="1"/>
  <c r="F11779" i="1"/>
  <c r="F8975" i="1"/>
  <c r="F19720" i="1"/>
  <c r="F7070" i="1"/>
  <c r="F12103" i="1"/>
  <c r="F17758" i="1"/>
  <c r="F6722" i="1"/>
  <c r="F6969" i="1"/>
  <c r="F7111" i="1"/>
  <c r="F33427" i="1"/>
  <c r="F17486" i="1"/>
  <c r="F17751" i="1"/>
  <c r="F35605" i="1"/>
  <c r="F17724" i="1"/>
  <c r="F17721" i="1"/>
  <c r="F18833" i="1"/>
  <c r="F6159" i="1"/>
  <c r="F16619" i="1"/>
  <c r="F30328" i="1"/>
  <c r="F35696" i="1"/>
  <c r="F2981" i="1"/>
  <c r="F3176" i="1"/>
  <c r="F3309" i="1"/>
  <c r="F6204" i="1"/>
  <c r="F6381" i="1"/>
  <c r="F6835" i="1"/>
  <c r="F7363" i="1"/>
  <c r="F7637" i="1"/>
  <c r="F7650" i="1"/>
  <c r="F7942" i="1"/>
  <c r="F11625" i="1"/>
  <c r="F11772" i="1"/>
  <c r="F11985" i="1"/>
  <c r="F12493" i="1"/>
  <c r="F16549" i="1"/>
  <c r="F16716" i="1"/>
  <c r="F16723" i="1"/>
  <c r="F18459" i="1"/>
  <c r="F17195" i="1"/>
  <c r="F22969" i="1"/>
  <c r="F24165" i="1"/>
  <c r="F24326" i="1"/>
  <c r="F26346" i="1"/>
  <c r="F26877" i="1"/>
  <c r="F26958" i="1"/>
  <c r="F26999" i="1"/>
  <c r="F27054" i="1"/>
  <c r="F27165" i="1"/>
  <c r="F33068" i="1"/>
  <c r="F35053" i="1"/>
  <c r="F11662" i="1"/>
  <c r="F2815" i="1"/>
  <c r="F2833" i="1"/>
  <c r="F2842" i="1"/>
  <c r="F2846" i="1"/>
  <c r="F5885" i="1"/>
  <c r="F9567" i="1"/>
  <c r="F9621" i="1"/>
  <c r="F9803" i="1"/>
  <c r="F9805" i="1"/>
  <c r="F10102" i="1"/>
  <c r="F10287" i="1"/>
  <c r="F10315" i="1"/>
  <c r="F10406" i="1"/>
  <c r="F10425" i="1"/>
  <c r="F13276" i="1"/>
  <c r="F10658" i="1"/>
  <c r="F10751" i="1"/>
  <c r="F11188" i="1"/>
  <c r="F11194" i="1"/>
  <c r="F11945" i="1"/>
  <c r="F12856" i="1"/>
  <c r="F13179" i="1"/>
  <c r="F17853" i="1"/>
  <c r="F18404" i="1"/>
  <c r="F19383" i="1"/>
  <c r="F19647" i="1"/>
  <c r="F21232" i="1"/>
  <c r="F23329" i="1"/>
  <c r="F30376" i="1"/>
  <c r="F30636" i="1"/>
  <c r="F30765" i="1"/>
  <c r="F10468" i="1"/>
  <c r="F34066" i="1"/>
  <c r="F9561" i="1"/>
  <c r="F334" i="1"/>
  <c r="F338" i="1"/>
  <c r="F346" i="1"/>
  <c r="F4517" i="1"/>
  <c r="F4716" i="1"/>
  <c r="F4790" i="1"/>
  <c r="F4818" i="1"/>
  <c r="F4820" i="1"/>
  <c r="F4814" i="1"/>
  <c r="F4822" i="1"/>
  <c r="F4842" i="1"/>
  <c r="F4881" i="1"/>
  <c r="F4905" i="1"/>
  <c r="F4921" i="1"/>
  <c r="F4934" i="1"/>
  <c r="F4937" i="1"/>
  <c r="F5015" i="1"/>
  <c r="F5102" i="1"/>
  <c r="F5104" i="1"/>
  <c r="F5420" i="1"/>
  <c r="F5500" i="1"/>
  <c r="F5502" i="1"/>
  <c r="F5525" i="1"/>
  <c r="F5901" i="1"/>
  <c r="F5913" i="1"/>
  <c r="F6156" i="1"/>
  <c r="F7254" i="1"/>
  <c r="F7260" i="1"/>
  <c r="F7262" i="1"/>
  <c r="F7264" i="1"/>
  <c r="F7652" i="1"/>
  <c r="F8004" i="1"/>
  <c r="F8045" i="1"/>
  <c r="F8047" i="1"/>
  <c r="F8048" i="1"/>
  <c r="F8051" i="1"/>
  <c r="F8055" i="1"/>
  <c r="F8060" i="1"/>
  <c r="F8063" i="1"/>
  <c r="F8065" i="1"/>
  <c r="F8066" i="1"/>
  <c r="F8068" i="1"/>
  <c r="F8648" i="1"/>
  <c r="F8715" i="1"/>
  <c r="F8979" i="1"/>
  <c r="F8984" i="1"/>
  <c r="F9019" i="1"/>
  <c r="F9451" i="1"/>
  <c r="F10775" i="1"/>
  <c r="F11069" i="1"/>
  <c r="F11562" i="1"/>
  <c r="F11564" i="1"/>
  <c r="F11570" i="1"/>
  <c r="F11836" i="1"/>
  <c r="F12217" i="1"/>
  <c r="F12225" i="1"/>
  <c r="F12251" i="1"/>
  <c r="F12260" i="1"/>
  <c r="F12268" i="1"/>
  <c r="F12424" i="1"/>
  <c r="F12425" i="1"/>
  <c r="F15886" i="1"/>
  <c r="F15892" i="1"/>
  <c r="F15905" i="1"/>
  <c r="F15907" i="1"/>
  <c r="F15911" i="1"/>
  <c r="F15913" i="1"/>
  <c r="F15915" i="1"/>
  <c r="F15925" i="1"/>
  <c r="F16225" i="1"/>
  <c r="F17889" i="1"/>
  <c r="F18479" i="1"/>
  <c r="F22170" i="1"/>
  <c r="F18988" i="1"/>
  <c r="F19074" i="1"/>
  <c r="F19964" i="1"/>
  <c r="F20152" i="1"/>
  <c r="F20178" i="1"/>
  <c r="F20182" i="1"/>
  <c r="F20210" i="1"/>
  <c r="F20220" i="1"/>
  <c r="F20352" i="1"/>
  <c r="F20393" i="1"/>
  <c r="F20431" i="1"/>
  <c r="F20437" i="1"/>
  <c r="F20440" i="1"/>
  <c r="F20495" i="1"/>
  <c r="F20576" i="1"/>
  <c r="F20829" i="1"/>
  <c r="F21274" i="1"/>
  <c r="F21275" i="1"/>
  <c r="F21685" i="1"/>
  <c r="F23712" i="1"/>
  <c r="F23351" i="1"/>
  <c r="F27176" i="1"/>
  <c r="F28214" i="1"/>
  <c r="F30300" i="1"/>
  <c r="F31376" i="1"/>
  <c r="F32769" i="1"/>
  <c r="F32751" i="1"/>
  <c r="F32772" i="1"/>
  <c r="F33636" i="1"/>
  <c r="F33682" i="1"/>
  <c r="F36095" i="1"/>
  <c r="F36096" i="1"/>
  <c r="F36097" i="1"/>
  <c r="F36099" i="1"/>
  <c r="F36100" i="1"/>
  <c r="F36101" i="1"/>
  <c r="F36636" i="1"/>
  <c r="F36102" i="1"/>
  <c r="F36103" i="1"/>
  <c r="F36637" i="1"/>
  <c r="F36638" i="1"/>
  <c r="F36639" i="1"/>
  <c r="F36661" i="1"/>
  <c r="F36104" i="1"/>
  <c r="F36640" i="1"/>
  <c r="F36641" i="1"/>
  <c r="F36642" i="1"/>
  <c r="F36105" i="1"/>
  <c r="F36106" i="1"/>
  <c r="F36643" i="1"/>
  <c r="F36107" i="1"/>
  <c r="F36108" i="1"/>
  <c r="F36644" i="1"/>
  <c r="F465" i="1"/>
  <c r="F1117" i="1"/>
  <c r="F2671" i="1"/>
  <c r="F3102" i="1"/>
  <c r="F3172" i="1"/>
  <c r="F4148" i="1"/>
  <c r="F5365" i="1"/>
  <c r="F6703" i="1"/>
  <c r="F9563" i="1"/>
  <c r="F9693" i="1"/>
  <c r="F9779" i="1"/>
  <c r="F10251" i="1"/>
  <c r="F10400" i="1"/>
  <c r="F10608" i="1"/>
  <c r="F10713" i="1"/>
  <c r="F11672" i="1"/>
  <c r="F11916" i="1"/>
  <c r="F12852" i="1"/>
  <c r="F12895" i="1"/>
  <c r="F13089" i="1"/>
  <c r="F13249" i="1"/>
  <c r="F13296" i="1"/>
  <c r="F13656" i="1"/>
  <c r="F14084" i="1"/>
  <c r="F14335" i="1"/>
  <c r="F14790" i="1"/>
  <c r="F14831" i="1"/>
  <c r="F15053" i="1"/>
  <c r="F15974" i="1"/>
  <c r="F18126" i="1"/>
  <c r="F18128" i="1"/>
  <c r="F19365" i="1"/>
  <c r="F19423" i="1"/>
  <c r="F21272" i="1"/>
  <c r="F22020" i="1"/>
  <c r="F22028" i="1"/>
  <c r="F22046" i="1"/>
  <c r="F22653" i="1"/>
  <c r="F23654" i="1"/>
  <c r="F16808" i="1"/>
  <c r="F34317" i="1"/>
  <c r="F4022" i="1"/>
  <c r="F2857" i="1"/>
  <c r="F5633" i="1"/>
  <c r="F5937" i="1"/>
  <c r="F7936" i="1"/>
  <c r="F12590" i="1"/>
  <c r="F15093" i="1"/>
  <c r="F18066" i="1"/>
  <c r="F22080" i="1"/>
  <c r="F24317" i="1"/>
  <c r="F187" i="1"/>
  <c r="F4513" i="1"/>
  <c r="F5837" i="1"/>
  <c r="F5875" i="1"/>
  <c r="F5948" i="1"/>
  <c r="F6006" i="1"/>
  <c r="F6109" i="1"/>
  <c r="F6560" i="1"/>
  <c r="F7500" i="1"/>
  <c r="F8041" i="1"/>
  <c r="F8259" i="1"/>
  <c r="F8359" i="1"/>
  <c r="F8360" i="1"/>
  <c r="F10628" i="1"/>
  <c r="F10630" i="1"/>
  <c r="F11640" i="1"/>
  <c r="F12423" i="1"/>
  <c r="F12826" i="1"/>
  <c r="F12831" i="1"/>
  <c r="F13003" i="1"/>
  <c r="F13040" i="1"/>
  <c r="F18362" i="1"/>
  <c r="F19832" i="1"/>
  <c r="F19836" i="1"/>
  <c r="F20733" i="1"/>
  <c r="F20816" i="1"/>
  <c r="F20208" i="1"/>
  <c r="F21404" i="1"/>
  <c r="F21559" i="1"/>
  <c r="F21956" i="1"/>
  <c r="F24891" i="1"/>
  <c r="F24893" i="1"/>
  <c r="F25435" i="1"/>
  <c r="F25446" i="1"/>
  <c r="F25449" i="1"/>
  <c r="F25726" i="1"/>
  <c r="F36646" i="1"/>
  <c r="F26226" i="1"/>
  <c r="F26326" i="1"/>
  <c r="F26621" i="1"/>
  <c r="F26626" i="1"/>
  <c r="F26648" i="1"/>
  <c r="F27404" i="1"/>
  <c r="F27066" i="1"/>
  <c r="F27234" i="1"/>
  <c r="F28951" i="1"/>
  <c r="F28973" i="1"/>
  <c r="F28981" i="1"/>
  <c r="F29888" i="1"/>
  <c r="F29890" i="1"/>
  <c r="F30220" i="1"/>
  <c r="F30222" i="1"/>
  <c r="F30346" i="1"/>
  <c r="F32313" i="1"/>
  <c r="F13737" i="1"/>
  <c r="F32368" i="1"/>
  <c r="F33111" i="1"/>
  <c r="F33819" i="1"/>
  <c r="F34062" i="1"/>
  <c r="F34065" i="1"/>
  <c r="F34068" i="1"/>
  <c r="F520" i="1"/>
  <c r="F34680" i="1"/>
  <c r="F34803" i="1"/>
  <c r="F34809" i="1"/>
  <c r="F6689" i="1"/>
  <c r="F34941" i="1"/>
  <c r="F34890" i="1"/>
  <c r="F34875" i="1"/>
  <c r="F35839" i="1"/>
  <c r="F22220" i="1"/>
  <c r="F35845" i="1"/>
  <c r="F35846" i="1"/>
  <c r="F35861" i="1"/>
  <c r="F35862" i="1"/>
  <c r="F35880" i="1"/>
  <c r="F35886" i="1"/>
  <c r="F35891" i="1"/>
  <c r="F35892" i="1"/>
  <c r="F35900" i="1"/>
  <c r="F35909" i="1"/>
  <c r="F35910" i="1"/>
  <c r="F35922" i="1"/>
  <c r="F35924" i="1"/>
  <c r="F35931" i="1"/>
  <c r="F35946" i="1"/>
  <c r="F35951" i="1"/>
  <c r="F35956" i="1"/>
  <c r="F35975" i="1"/>
  <c r="F35980" i="1"/>
  <c r="F35981" i="1"/>
  <c r="F35983" i="1"/>
  <c r="F36014" i="1"/>
  <c r="F36049" i="1"/>
  <c r="F36086" i="1"/>
  <c r="F36266" i="1"/>
  <c r="F36326" i="1"/>
  <c r="F36328" i="1"/>
  <c r="F36329" i="1"/>
  <c r="F36333" i="1"/>
  <c r="F36348" i="1"/>
  <c r="F34651" i="1"/>
  <c r="F7585" i="1"/>
  <c r="F23559" i="1"/>
  <c r="F20785" i="1"/>
  <c r="F20321" i="1"/>
  <c r="F99" i="1"/>
  <c r="F524" i="1"/>
  <c r="F903" i="1"/>
  <c r="F2725" i="1"/>
  <c r="F2743" i="1"/>
  <c r="F2867" i="1"/>
  <c r="F2755" i="1"/>
  <c r="F2771" i="1"/>
  <c r="F2975" i="1"/>
  <c r="F3162" i="1"/>
  <c r="F3407" i="1"/>
  <c r="F3424" i="1"/>
  <c r="F3547" i="1"/>
  <c r="F3943" i="1"/>
  <c r="F3953" i="1"/>
  <c r="F4529" i="1"/>
  <c r="F4554" i="1"/>
  <c r="F4556" i="1"/>
  <c r="F4562" i="1"/>
  <c r="F4566" i="1"/>
  <c r="F4568" i="1"/>
  <c r="F4693" i="1"/>
  <c r="F4701" i="1"/>
  <c r="F4724" i="1"/>
  <c r="F5013" i="1"/>
  <c r="F5423" i="1"/>
  <c r="F5465" i="1"/>
  <c r="F5673" i="1"/>
  <c r="F5982" i="1"/>
  <c r="F6168" i="1"/>
  <c r="F5560" i="1"/>
  <c r="F6693" i="1"/>
  <c r="F7940" i="1"/>
  <c r="F8675" i="1"/>
  <c r="F10041" i="1"/>
  <c r="F9545" i="1"/>
  <c r="F9709" i="1"/>
  <c r="F9745" i="1"/>
  <c r="F9670" i="1"/>
  <c r="F9772" i="1"/>
  <c r="F9795" i="1"/>
  <c r="F9799" i="1"/>
  <c r="F9838" i="1"/>
  <c r="F10067" i="1"/>
  <c r="F10101" i="1"/>
  <c r="F10106" i="1"/>
  <c r="F10175" i="1"/>
  <c r="F9906" i="1"/>
  <c r="F10293" i="1"/>
  <c r="F10295" i="1"/>
  <c r="F10355" i="1"/>
  <c r="F10367" i="1"/>
  <c r="F10437" i="1"/>
  <c r="F10524" i="1"/>
  <c r="F10525" i="1"/>
  <c r="F9883" i="1"/>
  <c r="F11096" i="1"/>
  <c r="F11592" i="1"/>
  <c r="F11674" i="1"/>
  <c r="F11700" i="1"/>
  <c r="F11750" i="1"/>
  <c r="F11988" i="1"/>
  <c r="F12087" i="1"/>
  <c r="F12171" i="1"/>
  <c r="F12325" i="1"/>
  <c r="F13356" i="1"/>
  <c r="F13270" i="1"/>
  <c r="F13256" i="1"/>
  <c r="F13306" i="1"/>
  <c r="F13310" i="1"/>
  <c r="F13334" i="1"/>
  <c r="F13478" i="1"/>
  <c r="F13579" i="1"/>
  <c r="F13941" i="1"/>
  <c r="F14364" i="1"/>
  <c r="F14423" i="1"/>
  <c r="F14989" i="1"/>
  <c r="F15453" i="1"/>
  <c r="F15450" i="1"/>
  <c r="F15580" i="1"/>
  <c r="F15588" i="1"/>
  <c r="F15991" i="1"/>
  <c r="F16166" i="1"/>
  <c r="F16267" i="1"/>
  <c r="F16295" i="1"/>
  <c r="F16365" i="1"/>
  <c r="F16961" i="1"/>
  <c r="F17461" i="1"/>
  <c r="F17803" i="1"/>
  <c r="F17986" i="1"/>
  <c r="F18754" i="1"/>
  <c r="F18845" i="1"/>
  <c r="F18920" i="1"/>
  <c r="F19053" i="1"/>
  <c r="F19154" i="1"/>
  <c r="F19294" i="1"/>
  <c r="F19297" i="1"/>
  <c r="F19499" i="1"/>
  <c r="F19534" i="1"/>
  <c r="F19590" i="1"/>
  <c r="F19603" i="1"/>
  <c r="F19759" i="1"/>
  <c r="F19984" i="1"/>
  <c r="F20228" i="1"/>
  <c r="F20368" i="1"/>
  <c r="F20585" i="1"/>
  <c r="F20801" i="1"/>
  <c r="F20791" i="1"/>
  <c r="F20873" i="1"/>
  <c r="F20949" i="1"/>
  <c r="F21131" i="1"/>
  <c r="F21143" i="1"/>
  <c r="F21182" i="1"/>
  <c r="F21247" i="1"/>
  <c r="F21341" i="1"/>
  <c r="F21504" i="1"/>
  <c r="F21651" i="1"/>
  <c r="F21748" i="1"/>
  <c r="F21750" i="1"/>
  <c r="F21229" i="1"/>
  <c r="F22366" i="1"/>
  <c r="F22502" i="1"/>
  <c r="F22508" i="1"/>
  <c r="F22514" i="1"/>
  <c r="F22526" i="1"/>
  <c r="F22541" i="1"/>
  <c r="F22546" i="1"/>
  <c r="F22654" i="1"/>
  <c r="F22729" i="1"/>
  <c r="F22734" i="1"/>
  <c r="F22920" i="1"/>
  <c r="F23658" i="1"/>
  <c r="F1276" i="1"/>
  <c r="F26094" i="1"/>
  <c r="F26775" i="1"/>
  <c r="F27172" i="1"/>
  <c r="F27690" i="1"/>
  <c r="F27701" i="1"/>
  <c r="F28465" i="1"/>
  <c r="F29365" i="1"/>
  <c r="F29502" i="1"/>
  <c r="F12937" i="1"/>
  <c r="F30701" i="1"/>
  <c r="F30859" i="1"/>
  <c r="F1173" i="1"/>
  <c r="F31689" i="1"/>
  <c r="F31783" i="1"/>
  <c r="F31834" i="1"/>
  <c r="F32045" i="1"/>
  <c r="F32102" i="1"/>
  <c r="F32201" i="1"/>
  <c r="F33388" i="1"/>
  <c r="F33523" i="1"/>
  <c r="F33535" i="1"/>
  <c r="F34294" i="1"/>
  <c r="F34796" i="1"/>
  <c r="F35390" i="1"/>
  <c r="F35639" i="1"/>
  <c r="F35642" i="1"/>
  <c r="F35648" i="1"/>
  <c r="F35697" i="1"/>
  <c r="F35698" i="1"/>
  <c r="F35711" i="1"/>
  <c r="F35751" i="1"/>
  <c r="F35758" i="1"/>
  <c r="F35768" i="1"/>
  <c r="F35770" i="1"/>
  <c r="F35802" i="1"/>
  <c r="F36138" i="1"/>
  <c r="F36139" i="1"/>
  <c r="F419" i="1"/>
  <c r="F428" i="1"/>
  <c r="F466" i="1"/>
  <c r="F2576" i="1"/>
  <c r="F2676" i="1"/>
  <c r="F2736" i="1"/>
  <c r="F2741" i="1"/>
  <c r="F2751" i="1"/>
  <c r="F2870" i="1"/>
  <c r="F2753" i="1"/>
  <c r="F2756" i="1"/>
  <c r="F2873" i="1"/>
  <c r="F2874" i="1"/>
  <c r="F2876" i="1"/>
  <c r="F2863" i="1"/>
  <c r="F2865" i="1"/>
  <c r="F2879" i="1"/>
  <c r="F2907" i="1"/>
  <c r="F2979" i="1"/>
  <c r="F2976" i="1"/>
  <c r="F3359" i="1"/>
  <c r="F3384" i="1"/>
  <c r="F3427" i="1"/>
  <c r="F11883" i="1"/>
  <c r="F3565" i="1"/>
  <c r="F4170" i="1"/>
  <c r="F4180" i="1"/>
  <c r="F4547" i="1"/>
  <c r="F4572" i="1"/>
  <c r="F4574" i="1"/>
  <c r="F4575" i="1"/>
  <c r="F4578" i="1"/>
  <c r="F4606" i="1"/>
  <c r="F4712" i="1"/>
  <c r="F5225" i="1"/>
  <c r="F5247" i="1"/>
  <c r="F5345" i="1"/>
  <c r="F5640" i="1"/>
  <c r="F5259" i="1"/>
  <c r="F5642" i="1"/>
  <c r="F5698" i="1"/>
  <c r="F7302" i="1"/>
  <c r="F7717" i="1"/>
  <c r="F8739" i="1"/>
  <c r="F8745" i="1"/>
  <c r="F8954" i="1"/>
  <c r="F31660" i="1"/>
  <c r="F9858" i="1"/>
  <c r="F9535" i="1"/>
  <c r="F9867" i="1"/>
  <c r="F9627" i="1"/>
  <c r="F9710" i="1"/>
  <c r="F9655" i="1"/>
  <c r="F33971" i="1"/>
  <c r="F9823" i="1"/>
  <c r="F10051" i="1"/>
  <c r="F29767" i="1"/>
  <c r="F9860" i="1"/>
  <c r="F9863" i="1"/>
  <c r="F10201" i="1"/>
  <c r="F10253" i="1"/>
  <c r="F2861" i="1"/>
  <c r="F9868" i="1"/>
  <c r="F9529" i="1"/>
  <c r="F10427" i="1"/>
  <c r="F9871" i="1"/>
  <c r="F9872" i="1"/>
  <c r="F9874" i="1"/>
  <c r="F9877" i="1"/>
  <c r="F9878" i="1"/>
  <c r="F9881" i="1"/>
  <c r="F9885" i="1"/>
  <c r="F10555" i="1"/>
  <c r="F9887" i="1"/>
  <c r="F9889" i="1"/>
  <c r="F10641" i="1"/>
  <c r="F10679" i="1"/>
  <c r="F10685" i="1"/>
  <c r="F10767" i="1"/>
  <c r="F11203" i="1"/>
  <c r="F11510" i="1"/>
  <c r="F11644" i="1"/>
  <c r="F11903" i="1"/>
  <c r="F12085" i="1"/>
  <c r="F12146" i="1"/>
  <c r="F12284" i="1"/>
  <c r="F13336" i="1"/>
  <c r="F13859" i="1"/>
  <c r="F13529" i="1"/>
  <c r="F13576" i="1"/>
  <c r="F13985" i="1"/>
  <c r="F13644" i="1"/>
  <c r="F13786" i="1"/>
  <c r="F13851" i="1"/>
  <c r="F13893" i="1"/>
  <c r="F14100" i="1"/>
  <c r="F14266" i="1"/>
  <c r="F14312" i="1"/>
  <c r="F15111" i="1"/>
  <c r="F15141" i="1"/>
  <c r="F15372" i="1"/>
  <c r="F15514" i="1"/>
  <c r="F15538" i="1"/>
  <c r="F15553" i="1"/>
  <c r="F15851" i="1"/>
  <c r="F16168" i="1"/>
  <c r="F15878" i="1"/>
  <c r="F16343" i="1"/>
  <c r="F16374" i="1"/>
  <c r="F16380" i="1"/>
  <c r="F17474" i="1"/>
  <c r="F17990" i="1"/>
  <c r="F18088" i="1"/>
  <c r="F18793" i="1"/>
  <c r="F19070" i="1"/>
  <c r="F19214" i="1"/>
  <c r="F19259" i="1"/>
  <c r="F19285" i="1"/>
  <c r="F19477" i="1"/>
  <c r="F34996" i="1"/>
  <c r="F19411" i="1"/>
  <c r="F19525" i="1"/>
  <c r="F19530" i="1"/>
  <c r="F19656" i="1"/>
  <c r="F19809" i="1"/>
  <c r="F20004" i="1"/>
  <c r="F20398" i="1"/>
  <c r="F20464" i="1"/>
  <c r="F20736" i="1"/>
  <c r="F20875" i="1"/>
  <c r="F21041" i="1"/>
  <c r="F21295" i="1"/>
  <c r="F21315" i="1"/>
  <c r="F21589" i="1"/>
  <c r="F21726" i="1"/>
  <c r="F21937" i="1"/>
  <c r="F22322" i="1"/>
  <c r="F22668" i="1"/>
  <c r="F22733" i="1"/>
  <c r="F22736" i="1"/>
  <c r="F23136" i="1"/>
  <c r="F23194" i="1"/>
  <c r="F23440" i="1"/>
  <c r="F36634" i="1"/>
  <c r="F27927" i="1"/>
  <c r="F28168" i="1"/>
  <c r="F28336" i="1"/>
  <c r="F30689" i="1"/>
  <c r="F31524" i="1"/>
  <c r="F31786" i="1"/>
  <c r="F33504" i="1"/>
  <c r="F33505" i="1"/>
  <c r="F33635" i="1"/>
  <c r="F33984" i="1"/>
  <c r="F34697" i="1"/>
  <c r="F34699" i="1"/>
  <c r="F35508" i="1"/>
  <c r="F35753" i="1"/>
  <c r="F35761" i="1"/>
  <c r="F35769" i="1"/>
  <c r="F17022" i="1"/>
  <c r="F14338" i="1"/>
  <c r="F14086" i="1"/>
  <c r="F13308" i="1"/>
  <c r="F19491" i="1"/>
  <c r="F9331" i="1"/>
  <c r="F26873" i="1"/>
  <c r="F9538" i="1"/>
  <c r="F9864" i="1"/>
  <c r="F10511" i="1"/>
  <c r="F3618" i="1"/>
  <c r="F10768" i="1"/>
  <c r="F31519" i="1"/>
  <c r="F12154" i="1"/>
  <c r="F23445" i="1"/>
  <c r="F19375" i="1"/>
  <c r="F16357" i="1"/>
  <c r="F9533" i="1"/>
  <c r="F22496" i="1"/>
  <c r="F15055" i="1"/>
  <c r="F22738" i="1"/>
  <c r="F4383" i="1"/>
  <c r="F29165" i="1"/>
  <c r="F13469" i="1"/>
  <c r="F8947" i="1"/>
  <c r="F2825" i="1"/>
  <c r="F18035" i="1"/>
  <c r="F156" i="1"/>
  <c r="F784" i="1"/>
  <c r="F1135" i="1"/>
  <c r="F1909" i="1"/>
  <c r="F1940" i="1"/>
  <c r="F4901" i="1"/>
  <c r="F8469" i="1"/>
  <c r="F8527" i="1"/>
  <c r="F8540" i="1"/>
  <c r="F9015" i="1"/>
  <c r="F11830" i="1"/>
  <c r="F17845" i="1"/>
  <c r="F17916" i="1"/>
  <c r="F19570" i="1"/>
  <c r="F20140" i="1"/>
  <c r="F20169" i="1"/>
  <c r="F20307" i="1"/>
  <c r="F20396" i="1"/>
  <c r="F20612" i="1"/>
  <c r="F25600" i="1"/>
  <c r="F24831" i="1"/>
  <c r="F25762" i="1"/>
  <c r="F26478" i="1"/>
  <c r="F27473" i="1"/>
  <c r="F2279" i="1"/>
  <c r="F28448" i="1"/>
  <c r="F28868" i="1"/>
  <c r="F29929" i="1"/>
  <c r="F30077" i="1"/>
  <c r="F30126" i="1"/>
  <c r="F30193" i="1"/>
  <c r="F30200" i="1"/>
  <c r="F32299" i="1"/>
  <c r="F32362" i="1"/>
  <c r="F32937" i="1"/>
  <c r="F33673" i="1"/>
  <c r="F33674" i="1"/>
  <c r="F33801" i="1"/>
  <c r="F34849" i="1"/>
  <c r="F34910" i="1"/>
  <c r="F34911" i="1"/>
  <c r="F35069" i="1"/>
  <c r="F35099" i="1"/>
  <c r="F36190" i="1"/>
  <c r="F36231" i="1"/>
  <c r="F36235" i="1"/>
  <c r="F775" i="1"/>
  <c r="F2903" i="1"/>
  <c r="F3269" i="1"/>
  <c r="F3304" i="1"/>
  <c r="F3391" i="1"/>
  <c r="F3472" i="1"/>
  <c r="F3533" i="1"/>
  <c r="F4014" i="1"/>
  <c r="F4040" i="1"/>
  <c r="F4591" i="1"/>
  <c r="F5870" i="1"/>
  <c r="F7983" i="1"/>
  <c r="F8104" i="1"/>
  <c r="F8938" i="1"/>
  <c r="F9211" i="1"/>
  <c r="F10693" i="1"/>
  <c r="F11554" i="1"/>
  <c r="F12007" i="1"/>
  <c r="F12382" i="1"/>
  <c r="F12629" i="1"/>
  <c r="F12727" i="1"/>
  <c r="F13795" i="1"/>
  <c r="F14201" i="1"/>
  <c r="F15888" i="1"/>
  <c r="F16764" i="1"/>
  <c r="F17250" i="1"/>
  <c r="F19972" i="1"/>
  <c r="F21258" i="1"/>
  <c r="F22440" i="1"/>
  <c r="F22665" i="1"/>
  <c r="F22991" i="1"/>
  <c r="F23160" i="1"/>
  <c r="F25601" i="1"/>
  <c r="F25937" i="1"/>
  <c r="F25993" i="1"/>
  <c r="F27390" i="1"/>
  <c r="F13638" i="1"/>
  <c r="F23377" i="1"/>
  <c r="F6417" i="1"/>
  <c r="F18473" i="1"/>
  <c r="F6927" i="1"/>
  <c r="F15498" i="1"/>
  <c r="F4552" i="1"/>
  <c r="F835" i="1"/>
  <c r="F1469" i="1"/>
  <c r="F2081" i="1"/>
  <c r="F2125" i="1"/>
  <c r="F2537" i="1"/>
  <c r="F2582" i="1"/>
  <c r="F2583" i="1"/>
  <c r="F2586" i="1"/>
  <c r="F2587" i="1"/>
  <c r="F2629" i="1"/>
  <c r="F2637" i="1"/>
  <c r="F2674" i="1"/>
  <c r="F2699" i="1"/>
  <c r="F2701" i="1"/>
  <c r="F2703" i="1"/>
  <c r="F2706" i="1"/>
  <c r="F2709" i="1"/>
  <c r="F2711" i="1"/>
  <c r="F2713" i="1"/>
  <c r="F2715" i="1"/>
  <c r="F2717" i="1"/>
  <c r="F2719" i="1"/>
  <c r="F2723" i="1"/>
  <c r="F2727" i="1"/>
  <c r="F2729" i="1"/>
  <c r="F2730" i="1"/>
  <c r="F2733" i="1"/>
  <c r="F2911" i="1"/>
  <c r="F2920" i="1"/>
  <c r="F2928" i="1"/>
  <c r="F2968" i="1"/>
  <c r="F3023" i="1"/>
  <c r="F3031" i="1"/>
  <c r="F3037" i="1"/>
  <c r="F3038" i="1"/>
  <c r="F3054" i="1"/>
  <c r="F3058" i="1"/>
  <c r="F3072" i="1"/>
  <c r="F3109" i="1"/>
  <c r="F3119" i="1"/>
  <c r="F3124" i="1"/>
  <c r="F3146" i="1"/>
  <c r="F3214" i="1"/>
  <c r="F3217" i="1"/>
  <c r="F3302" i="1"/>
  <c r="F3308" i="1"/>
  <c r="F3320" i="1"/>
  <c r="F3381" i="1"/>
  <c r="F3403" i="1"/>
  <c r="F3411" i="1"/>
  <c r="F4140" i="1"/>
  <c r="F4295" i="1"/>
  <c r="F4403" i="1"/>
  <c r="F4433" i="1"/>
  <c r="F4495" i="1"/>
  <c r="F4497" i="1"/>
  <c r="F4501" i="1"/>
  <c r="F4503" i="1"/>
  <c r="F4507" i="1"/>
  <c r="F4509" i="1"/>
  <c r="F4511" i="1"/>
  <c r="F4608" i="1"/>
  <c r="F5059" i="1"/>
  <c r="F5082" i="1"/>
  <c r="F5091" i="1"/>
  <c r="F5287" i="1"/>
  <c r="F5558" i="1"/>
  <c r="F5609" i="1"/>
  <c r="F5689" i="1"/>
  <c r="F5967" i="1"/>
  <c r="F6456" i="1"/>
  <c r="F6697" i="1"/>
  <c r="F6771" i="1"/>
  <c r="F6942" i="1"/>
  <c r="F7267" i="1"/>
  <c r="F7306" i="1"/>
  <c r="F7487" i="1"/>
  <c r="F7489" i="1"/>
  <c r="F7683" i="1"/>
  <c r="F7827" i="1"/>
  <c r="F8656" i="1"/>
  <c r="F8667" i="1"/>
  <c r="F8669" i="1"/>
  <c r="F8720" i="1"/>
  <c r="F8840" i="1"/>
  <c r="F8842" i="1"/>
  <c r="F8919" i="1"/>
  <c r="F8986" i="1"/>
  <c r="F9135" i="1"/>
  <c r="F9161" i="1"/>
  <c r="F9215" i="1"/>
  <c r="F9217" i="1"/>
  <c r="F9248" i="1"/>
  <c r="F9326" i="1"/>
  <c r="F9334" i="1"/>
  <c r="F9379" i="1"/>
  <c r="F9411" i="1"/>
  <c r="F9901" i="1"/>
  <c r="F10010" i="1"/>
  <c r="F10691" i="1"/>
  <c r="F10701" i="1"/>
  <c r="F10837" i="1"/>
  <c r="F10839" i="1"/>
  <c r="F10846" i="1"/>
  <c r="F10848" i="1"/>
  <c r="F10850" i="1"/>
  <c r="F10852" i="1"/>
  <c r="F10860" i="1"/>
  <c r="F10862" i="1"/>
  <c r="F10864" i="1"/>
  <c r="F10868" i="1"/>
  <c r="F10870" i="1"/>
  <c r="F10871" i="1"/>
  <c r="F10873" i="1"/>
  <c r="F10874" i="1"/>
  <c r="F10877" i="1"/>
  <c r="F10880" i="1"/>
  <c r="F10883" i="1"/>
  <c r="F10888" i="1"/>
  <c r="F10891" i="1"/>
  <c r="F10892" i="1"/>
  <c r="F10896" i="1"/>
  <c r="F10902" i="1"/>
  <c r="F10917" i="1"/>
  <c r="F10919" i="1"/>
  <c r="F10926" i="1"/>
  <c r="F10928" i="1"/>
  <c r="F10932" i="1"/>
  <c r="F10934" i="1"/>
  <c r="F10936" i="1"/>
  <c r="F10939" i="1"/>
  <c r="F10940" i="1"/>
  <c r="F10946" i="1"/>
  <c r="F10956" i="1"/>
  <c r="F10958" i="1"/>
  <c r="F10955" i="1"/>
  <c r="F10965" i="1"/>
  <c r="F10966" i="1"/>
  <c r="F10970" i="1"/>
  <c r="F10973" i="1"/>
  <c r="F10975" i="1"/>
  <c r="F10979" i="1"/>
  <c r="F10981" i="1"/>
  <c r="F10985" i="1"/>
  <c r="F10991" i="1"/>
  <c r="F10993" i="1"/>
  <c r="F10999" i="1"/>
  <c r="F11485" i="1"/>
  <c r="F11524" i="1"/>
  <c r="F11566" i="1"/>
  <c r="F11568" i="1"/>
  <c r="F11621" i="1"/>
  <c r="F11702" i="1"/>
  <c r="F11712" i="1"/>
  <c r="F11727" i="1"/>
  <c r="F11736" i="1"/>
  <c r="F11752" i="1"/>
  <c r="F11781" i="1"/>
  <c r="F11823" i="1"/>
  <c r="F11843" i="1"/>
  <c r="F11887" i="1"/>
  <c r="F11911" i="1"/>
  <c r="F11998" i="1"/>
  <c r="F12119" i="1"/>
  <c r="F12192" i="1"/>
  <c r="F12237" i="1"/>
  <c r="F12565" i="1"/>
  <c r="F12866" i="1"/>
  <c r="F13120" i="1"/>
  <c r="F13709" i="1"/>
  <c r="F13837" i="1"/>
  <c r="F13839" i="1"/>
  <c r="F13869" i="1"/>
  <c r="F13870" i="1"/>
  <c r="F13981" i="1"/>
  <c r="F13983" i="1"/>
  <c r="F14057" i="1"/>
  <c r="F14112" i="1"/>
  <c r="F14114" i="1"/>
  <c r="F14398" i="1"/>
  <c r="F14619" i="1"/>
  <c r="F14650" i="1"/>
  <c r="F14666" i="1"/>
  <c r="F14685" i="1"/>
  <c r="F14920" i="1"/>
  <c r="F15135" i="1"/>
  <c r="F15277" i="1"/>
  <c r="F15378" i="1"/>
  <c r="F15545" i="1"/>
  <c r="F15783" i="1"/>
  <c r="F15801" i="1"/>
  <c r="F15866" i="1"/>
  <c r="F15890" i="1"/>
  <c r="F16038" i="1"/>
  <c r="F16087" i="1"/>
  <c r="F16104" i="1"/>
  <c r="F16130" i="1"/>
  <c r="F16135" i="1"/>
  <c r="F16221" i="1"/>
  <c r="F16355" i="1"/>
  <c r="F16560" i="1"/>
  <c r="F16836" i="1"/>
  <c r="F17254" i="1"/>
  <c r="F17256" i="1"/>
  <c r="F17258" i="1"/>
  <c r="F17268" i="1"/>
  <c r="F17270" i="1"/>
  <c r="F17391" i="1"/>
  <c r="F17410" i="1"/>
  <c r="F17516" i="1"/>
  <c r="F17707" i="1"/>
  <c r="F17746" i="1"/>
  <c r="F17748" i="1"/>
  <c r="F17750" i="1"/>
  <c r="F18104" i="1"/>
  <c r="F18176" i="1"/>
  <c r="F18178" i="1"/>
  <c r="F18239" i="1"/>
  <c r="F18751" i="1"/>
  <c r="F18831" i="1"/>
  <c r="F19043" i="1"/>
  <c r="F19047" i="1"/>
  <c r="F19127" i="1"/>
  <c r="F19173" i="1"/>
  <c r="F19270" i="1"/>
  <c r="F19274" i="1"/>
  <c r="F19280" i="1"/>
  <c r="F19284" i="1"/>
  <c r="F19288" i="1"/>
  <c r="F19289" i="1"/>
  <c r="F19292" i="1"/>
  <c r="F19299" i="1"/>
  <c r="F19300" i="1"/>
  <c r="F19302" i="1"/>
  <c r="F19316" i="1"/>
  <c r="F19318" i="1"/>
  <c r="F19324" i="1"/>
  <c r="F19345" i="1"/>
  <c r="F19357" i="1"/>
  <c r="F19403" i="1"/>
  <c r="F19409" i="1"/>
  <c r="F19413" i="1"/>
  <c r="F19414" i="1"/>
  <c r="F19417" i="1"/>
  <c r="F19419" i="1"/>
  <c r="F19429" i="1"/>
  <c r="F19574" i="1"/>
  <c r="F19726" i="1"/>
  <c r="F19813" i="1"/>
  <c r="F19940" i="1"/>
  <c r="F20111" i="1"/>
  <c r="F20115" i="1"/>
  <c r="F20134" i="1"/>
  <c r="F20138" i="1"/>
  <c r="F20223" i="1"/>
  <c r="F20276" i="1"/>
  <c r="F20342" i="1"/>
  <c r="F20513" i="1"/>
  <c r="F20608" i="1"/>
  <c r="F20635" i="1"/>
  <c r="F20649" i="1"/>
  <c r="F20658" i="1"/>
  <c r="F20781" i="1"/>
  <c r="F20890" i="1"/>
  <c r="F20938" i="1"/>
  <c r="F20976" i="1"/>
  <c r="F20980" i="1"/>
  <c r="F21052" i="1"/>
  <c r="F21124" i="1"/>
  <c r="F21264" i="1"/>
  <c r="F21266" i="1"/>
  <c r="F21299" i="1"/>
  <c r="F21432" i="1"/>
  <c r="F21641" i="1"/>
  <c r="F21736" i="1"/>
  <c r="F21738" i="1"/>
  <c r="F21994" i="1"/>
  <c r="F22190" i="1"/>
  <c r="F22274" i="1"/>
  <c r="F22277" i="1"/>
  <c r="F22368" i="1"/>
  <c r="F22448" i="1"/>
  <c r="F22460" i="1"/>
  <c r="F22531" i="1"/>
  <c r="F22533" i="1"/>
  <c r="F22553" i="1"/>
  <c r="F22557" i="1"/>
  <c r="F22577" i="1"/>
  <c r="F22624" i="1"/>
  <c r="F22671" i="1"/>
  <c r="F22757" i="1"/>
  <c r="F23710" i="1"/>
  <c r="F22809" i="1"/>
  <c r="F22874" i="1"/>
  <c r="F22927" i="1"/>
  <c r="F22936" i="1"/>
  <c r="F22952" i="1"/>
  <c r="F22976" i="1"/>
  <c r="F22989" i="1"/>
  <c r="F23068" i="1"/>
  <c r="F23232" i="1"/>
  <c r="F23237" i="1"/>
  <c r="F23241" i="1"/>
  <c r="F23248" i="1"/>
  <c r="F23252" i="1"/>
  <c r="F23677" i="1"/>
  <c r="F25651" i="1"/>
  <c r="F26695" i="1"/>
  <c r="F27107" i="1"/>
  <c r="F27146" i="1"/>
  <c r="F617" i="1"/>
  <c r="F27702" i="1"/>
  <c r="F27704" i="1"/>
  <c r="F28379" i="1"/>
  <c r="F28649" i="1"/>
  <c r="F28716" i="1"/>
  <c r="F28928" i="1"/>
  <c r="F29060" i="1"/>
  <c r="F29061" i="1"/>
  <c r="F29084" i="1"/>
  <c r="F29198" i="1"/>
  <c r="F29201" i="1"/>
  <c r="F29208" i="1"/>
  <c r="F29209" i="1"/>
  <c r="F29210" i="1"/>
  <c r="F29345" i="1"/>
  <c r="F29499" i="1"/>
  <c r="F29505" i="1"/>
  <c r="F30185" i="1"/>
  <c r="F30580" i="1"/>
  <c r="F30584" i="1"/>
  <c r="F30625" i="1"/>
  <c r="F30633" i="1"/>
  <c r="F30789" i="1"/>
  <c r="F13867" i="1"/>
  <c r="F31347" i="1"/>
  <c r="F31349" i="1"/>
  <c r="F31408" i="1"/>
  <c r="F31410" i="1"/>
  <c r="F31411" i="1"/>
  <c r="F31413" i="1"/>
  <c r="F31414" i="1"/>
  <c r="F31416" i="1"/>
  <c r="F31433" i="1"/>
  <c r="F31517" i="1"/>
  <c r="F31527" i="1"/>
  <c r="F31531" i="1"/>
  <c r="F31533" i="1"/>
  <c r="F31627" i="1"/>
  <c r="F31846" i="1"/>
  <c r="F32551" i="1"/>
  <c r="F32620" i="1"/>
  <c r="F32733" i="1"/>
  <c r="F32903" i="1"/>
  <c r="F33349" i="1"/>
  <c r="F33380" i="1"/>
  <c r="F33404" i="1"/>
  <c r="F33660" i="1"/>
  <c r="F34351" i="1"/>
  <c r="F34851" i="1"/>
  <c r="F35017" i="1"/>
  <c r="F35372" i="1"/>
  <c r="F35728" i="1"/>
  <c r="F35731" i="1"/>
  <c r="F36295" i="1"/>
  <c r="F2721" i="1"/>
  <c r="F20936" i="1"/>
  <c r="F20934" i="1"/>
  <c r="F20932" i="1"/>
  <c r="F20930" i="1"/>
  <c r="F20928" i="1"/>
  <c r="F20926" i="1"/>
  <c r="F20924" i="1"/>
  <c r="F20922" i="1"/>
  <c r="F20918" i="1"/>
  <c r="F20920" i="1"/>
  <c r="F20916" i="1"/>
  <c r="F20914" i="1"/>
  <c r="F20912" i="1"/>
  <c r="F20910" i="1"/>
  <c r="F20908" i="1"/>
  <c r="F20906" i="1"/>
  <c r="F10844" i="1"/>
  <c r="F5513" i="1"/>
  <c r="F13701" i="1"/>
  <c r="F15805" i="1"/>
  <c r="F19045" i="1"/>
  <c r="F19655" i="1"/>
  <c r="F23428" i="1"/>
  <c r="F730" i="1"/>
  <c r="F843" i="1"/>
  <c r="F910" i="1"/>
  <c r="F937" i="1"/>
  <c r="F1356" i="1"/>
  <c r="F1358" i="1"/>
  <c r="F1363" i="1"/>
  <c r="F1365" i="1"/>
  <c r="F1369" i="1"/>
  <c r="F1395" i="1"/>
  <c r="F1413" i="1"/>
  <c r="F1415" i="1"/>
  <c r="F1438" i="1"/>
  <c r="F1440" i="1"/>
  <c r="F1477" i="1"/>
  <c r="F1479" i="1"/>
  <c r="F1485" i="1"/>
  <c r="F1493" i="1"/>
  <c r="F1519" i="1"/>
  <c r="F1538" i="1"/>
  <c r="F1550" i="1"/>
  <c r="F1563" i="1"/>
  <c r="F1599" i="1"/>
  <c r="F1625" i="1"/>
  <c r="F1627" i="1"/>
  <c r="F1643" i="1"/>
  <c r="F1645" i="1"/>
  <c r="F1657" i="1"/>
  <c r="F1661" i="1"/>
  <c r="F1665" i="1"/>
  <c r="F1671" i="1"/>
  <c r="F1685" i="1"/>
  <c r="F1702" i="1"/>
  <c r="F1705" i="1"/>
  <c r="F1725" i="1"/>
  <c r="F1815" i="1"/>
  <c r="F1747" i="1"/>
  <c r="F1875" i="1"/>
  <c r="F1877" i="1"/>
  <c r="F1955" i="1"/>
  <c r="F1962" i="1"/>
  <c r="F1967" i="1"/>
  <c r="F1969" i="1"/>
  <c r="F2041" i="1"/>
  <c r="F2043" i="1"/>
  <c r="F2089" i="1"/>
  <c r="F2091" i="1"/>
  <c r="F2103" i="1"/>
  <c r="F2131" i="1"/>
  <c r="F2141" i="1"/>
  <c r="F2153" i="1"/>
  <c r="F2173" i="1"/>
  <c r="F2186" i="1"/>
  <c r="F2251" i="1"/>
  <c r="F2253" i="1"/>
  <c r="F2259" i="1"/>
  <c r="F2265" i="1"/>
  <c r="F2271" i="1"/>
  <c r="F2277" i="1"/>
  <c r="F2311" i="1"/>
  <c r="F3650" i="1"/>
  <c r="F3929" i="1"/>
  <c r="F6780" i="1"/>
  <c r="F6786" i="1"/>
  <c r="F6788" i="1"/>
  <c r="F6796" i="1"/>
  <c r="F6798" i="1"/>
  <c r="F6802" i="1"/>
  <c r="F6812" i="1"/>
  <c r="F6824" i="1"/>
  <c r="F6867" i="1"/>
  <c r="F6934" i="1"/>
  <c r="F6936" i="1"/>
  <c r="F6944" i="1"/>
  <c r="F6946" i="1"/>
  <c r="F7092" i="1"/>
  <c r="F7115" i="1"/>
  <c r="F7168" i="1"/>
  <c r="F7134" i="1"/>
  <c r="F7138" i="1"/>
  <c r="F7196" i="1"/>
  <c r="F7146" i="1"/>
  <c r="F7224" i="1"/>
  <c r="F7240" i="1"/>
  <c r="F7154" i="1"/>
  <c r="F7156" i="1"/>
  <c r="F7424" i="1"/>
  <c r="F7597" i="1"/>
  <c r="F7619" i="1"/>
  <c r="F7662" i="1"/>
  <c r="F7666" i="1"/>
  <c r="F7709" i="1"/>
  <c r="F8172" i="1"/>
  <c r="F8196" i="1"/>
  <c r="F8198" i="1"/>
  <c r="F8276" i="1"/>
  <c r="F8440" i="1"/>
  <c r="F8699" i="1"/>
  <c r="F8926" i="1"/>
  <c r="F9033" i="1"/>
  <c r="F9038" i="1"/>
  <c r="F9045" i="1"/>
  <c r="F9168" i="1"/>
  <c r="F9972" i="1"/>
  <c r="F9983" i="1"/>
  <c r="F10705" i="1"/>
  <c r="F10731" i="1"/>
  <c r="F10746" i="1"/>
  <c r="F11018" i="1"/>
  <c r="F6981" i="1"/>
  <c r="F6983" i="1"/>
  <c r="F11055" i="1"/>
  <c r="F6987" i="1"/>
  <c r="F11371" i="1"/>
  <c r="F11382" i="1"/>
  <c r="F11418" i="1"/>
  <c r="F11445" i="1"/>
  <c r="F11459" i="1"/>
  <c r="F11477" i="1"/>
  <c r="F11479" i="1"/>
  <c r="F11481" i="1"/>
  <c r="F11522" i="1"/>
  <c r="F11526" i="1"/>
  <c r="F11574" i="1"/>
  <c r="F11586" i="1"/>
  <c r="F11710" i="1"/>
  <c r="F11811" i="1"/>
  <c r="F11818" i="1"/>
  <c r="F11825" i="1"/>
  <c r="F11897" i="1"/>
  <c r="F11901" i="1"/>
  <c r="F11905" i="1"/>
  <c r="F12093" i="1"/>
  <c r="F12097" i="1"/>
  <c r="F12202" i="1"/>
  <c r="F12241" i="1"/>
  <c r="F12294" i="1"/>
  <c r="F12298" i="1"/>
  <c r="F12304" i="1"/>
  <c r="F12329" i="1"/>
  <c r="F12346" i="1"/>
  <c r="F12358" i="1"/>
  <c r="F12362" i="1"/>
  <c r="F12523" i="1"/>
  <c r="F12527" i="1"/>
  <c r="F13158" i="1"/>
  <c r="F13354" i="1"/>
  <c r="F13491" i="1"/>
  <c r="F13493" i="1"/>
  <c r="F13497" i="1"/>
  <c r="F13501" i="1"/>
  <c r="F13522" i="1"/>
  <c r="F13607" i="1"/>
  <c r="F13613" i="1"/>
  <c r="F13649" i="1"/>
  <c r="F13654" i="1"/>
  <c r="F13692" i="1"/>
  <c r="F13699" i="1"/>
  <c r="F13761" i="1"/>
  <c r="F13722" i="1"/>
  <c r="F13831" i="1"/>
  <c r="F13833" i="1"/>
  <c r="F13835" i="1"/>
  <c r="F13855" i="1"/>
  <c r="F13940" i="1"/>
  <c r="F14036" i="1"/>
  <c r="F14040" i="1"/>
  <c r="F14149" i="1"/>
  <c r="F14272" i="1"/>
  <c r="F14589" i="1"/>
  <c r="F14593" i="1"/>
  <c r="F14597" i="1"/>
  <c r="F14656" i="1"/>
  <c r="F14725" i="1"/>
  <c r="F14750" i="1"/>
  <c r="F14764" i="1"/>
  <c r="F15586" i="1"/>
  <c r="F15598" i="1"/>
  <c r="F15823" i="1"/>
  <c r="F15983" i="1"/>
  <c r="F16029" i="1"/>
  <c r="F16106" i="1"/>
  <c r="F16124" i="1"/>
  <c r="F16318" i="1"/>
  <c r="F16385" i="1"/>
  <c r="F16695" i="1"/>
  <c r="F16777" i="1"/>
  <c r="F17026" i="1"/>
  <c r="F17048" i="1"/>
  <c r="F17060" i="1"/>
  <c r="F17096" i="1"/>
  <c r="F17066" i="1"/>
  <c r="F17079" i="1"/>
  <c r="F17082" i="1"/>
  <c r="F17572" i="1"/>
  <c r="F17574" i="1"/>
  <c r="F17578" i="1"/>
  <c r="F17576" i="1"/>
  <c r="F17580" i="1"/>
  <c r="F17582" i="1"/>
  <c r="F17590" i="1"/>
  <c r="F17592" i="1"/>
  <c r="F17594" i="1"/>
  <c r="F17601" i="1"/>
  <c r="F17602" i="1"/>
  <c r="F17662" i="1"/>
  <c r="F17610" i="1"/>
  <c r="F17666" i="1"/>
  <c r="F17612" i="1"/>
  <c r="F17614" i="1"/>
  <c r="F17622" i="1"/>
  <c r="F17624" i="1"/>
  <c r="F17632" i="1"/>
  <c r="F17832" i="1"/>
  <c r="F17901" i="1"/>
  <c r="F18374" i="1"/>
  <c r="F18677" i="1"/>
  <c r="F19060" i="1"/>
  <c r="F19169" i="1"/>
  <c r="F19194" i="1"/>
  <c r="F19206" i="1"/>
  <c r="F19740" i="1"/>
  <c r="F19799" i="1"/>
  <c r="F19918" i="1"/>
  <c r="F20041" i="1"/>
  <c r="F20044" i="1"/>
  <c r="F20128" i="1"/>
  <c r="F20198" i="1"/>
  <c r="F20344" i="1"/>
  <c r="F20956" i="1"/>
  <c r="F20982" i="1"/>
  <c r="F21005" i="1"/>
  <c r="F21103" i="1"/>
  <c r="F21135" i="1"/>
  <c r="F21280" i="1"/>
  <c r="F21284" i="1"/>
  <c r="F21371" i="1"/>
  <c r="F21460" i="1"/>
  <c r="F21545" i="1"/>
  <c r="F21599" i="1"/>
  <c r="F21770" i="1"/>
  <c r="F21772" i="1"/>
  <c r="F21872" i="1"/>
  <c r="F21911" i="1"/>
  <c r="F22038" i="1"/>
  <c r="F22236" i="1"/>
  <c r="F22430" i="1"/>
  <c r="F22454" i="1"/>
  <c r="F22474" i="1"/>
  <c r="F22585" i="1"/>
  <c r="F22593" i="1"/>
  <c r="F22603" i="1"/>
  <c r="F22607" i="1"/>
  <c r="F22679" i="1"/>
  <c r="F22743" i="1"/>
  <c r="F22745" i="1"/>
  <c r="F22770" i="1"/>
  <c r="F22775" i="1"/>
  <c r="F22787" i="1"/>
  <c r="F22797" i="1"/>
  <c r="F22815" i="1"/>
  <c r="F22912" i="1"/>
  <c r="F23026" i="1"/>
  <c r="F11532" i="1"/>
  <c r="F17790" i="1"/>
  <c r="F5418" i="1"/>
  <c r="F935" i="1"/>
  <c r="F7230" i="1"/>
  <c r="F6460" i="1"/>
  <c r="F12703" i="1"/>
  <c r="F22567" i="1"/>
  <c r="F22182" i="1"/>
  <c r="F20306" i="1"/>
  <c r="F22436" i="1"/>
  <c r="F8253" i="1"/>
  <c r="F6928" i="1"/>
  <c r="F11614" i="1"/>
  <c r="F5049" i="1"/>
  <c r="F8370" i="1"/>
  <c r="F16147" i="1"/>
  <c r="F11036" i="1"/>
  <c r="F94" i="1"/>
  <c r="F330" i="1"/>
  <c r="F4265" i="1"/>
  <c r="F4467" i="1"/>
  <c r="F5425" i="1"/>
  <c r="F5521" i="1"/>
  <c r="F7471" i="1"/>
  <c r="F8870" i="1"/>
  <c r="F10571" i="1"/>
  <c r="F11434" i="1"/>
  <c r="F15772" i="1"/>
  <c r="F15774" i="1"/>
  <c r="F16588" i="1"/>
  <c r="F20972" i="1"/>
  <c r="F6922" i="1"/>
  <c r="F4243" i="1"/>
  <c r="F10904" i="1"/>
  <c r="F12213" i="1"/>
  <c r="F20707" i="1"/>
  <c r="F11014" i="1"/>
  <c r="F857" i="1"/>
  <c r="F1531" i="1"/>
  <c r="F1949" i="1"/>
  <c r="F2392" i="1"/>
  <c r="F5241" i="1"/>
  <c r="F5397" i="1"/>
  <c r="F5487" i="1"/>
  <c r="F5663" i="1"/>
  <c r="F5915" i="1"/>
  <c r="F6015" i="1"/>
  <c r="F6145" i="1"/>
  <c r="F6345" i="1"/>
  <c r="F6484" i="1"/>
  <c r="F6678" i="1"/>
  <c r="F8531" i="1"/>
  <c r="F8935" i="1"/>
  <c r="F9221" i="1"/>
  <c r="F10665" i="1"/>
  <c r="F10777" i="1"/>
  <c r="F13499" i="1"/>
  <c r="F16608" i="1"/>
  <c r="F16775" i="1"/>
  <c r="F16832" i="1"/>
  <c r="F17311" i="1"/>
  <c r="F17961" i="1"/>
  <c r="F21513" i="1"/>
  <c r="F20462" i="1"/>
  <c r="F16750" i="1"/>
  <c r="F6631" i="1"/>
  <c r="F4514" i="1"/>
  <c r="F5412" i="1"/>
  <c r="F7992" i="1"/>
  <c r="F14173" i="1"/>
  <c r="F16700" i="1"/>
  <c r="F21517" i="1"/>
  <c r="F22034" i="1"/>
  <c r="F23555" i="1"/>
  <c r="F32892" i="1"/>
  <c r="F10948" i="1"/>
  <c r="F10963" i="1"/>
  <c r="F13990" i="1"/>
  <c r="F14584" i="1"/>
  <c r="F21659" i="1"/>
  <c r="F2467" i="1"/>
  <c r="F2510" i="1"/>
  <c r="F2402" i="1"/>
  <c r="F3274" i="1"/>
  <c r="F4332" i="1"/>
  <c r="F4356" i="1"/>
  <c r="F5074" i="1"/>
  <c r="F7097" i="1"/>
  <c r="F10761" i="1"/>
  <c r="F12156" i="1"/>
  <c r="F13487" i="1"/>
  <c r="F13073" i="1"/>
  <c r="F14232" i="1"/>
  <c r="F14557" i="1"/>
  <c r="F14681" i="1"/>
  <c r="F14713" i="1"/>
  <c r="F14945" i="1"/>
  <c r="F15546" i="1"/>
  <c r="F17453" i="1"/>
  <c r="F17902" i="1"/>
  <c r="F17903" i="1"/>
  <c r="F26530" i="1"/>
  <c r="F17904" i="1"/>
  <c r="F17906" i="1"/>
  <c r="F17907" i="1"/>
  <c r="F19100" i="1"/>
  <c r="F18590" i="1"/>
  <c r="F20364" i="1"/>
  <c r="F20438" i="1"/>
  <c r="F34971" i="1"/>
  <c r="F22777" i="1"/>
  <c r="F23346" i="1"/>
  <c r="F23424" i="1"/>
  <c r="F20161" i="1"/>
  <c r="F24174" i="1"/>
  <c r="F24183" i="1"/>
  <c r="F24563" i="1"/>
  <c r="F31116" i="1"/>
  <c r="F31470" i="1"/>
  <c r="F31538" i="1"/>
  <c r="F24711" i="1"/>
  <c r="F31567" i="1"/>
  <c r="F24796" i="1"/>
  <c r="F25061" i="1"/>
  <c r="F25282" i="1"/>
  <c r="F25325" i="1"/>
  <c r="F25359" i="1"/>
  <c r="F35683" i="1"/>
  <c r="F25397" i="1"/>
  <c r="F26402" i="1"/>
  <c r="F26401" i="1"/>
  <c r="F26437" i="1"/>
  <c r="F28092" i="1"/>
  <c r="F28467" i="1"/>
  <c r="F29306" i="1"/>
  <c r="F29330" i="1"/>
  <c r="F30034" i="1"/>
  <c r="F36176" i="1"/>
  <c r="F36177" i="1"/>
  <c r="F34845" i="1"/>
  <c r="F35056" i="1"/>
  <c r="F34978" i="1"/>
  <c r="F35060" i="1"/>
  <c r="F35331" i="1"/>
  <c r="F20959" i="1"/>
  <c r="F35566" i="1"/>
  <c r="F36297" i="1"/>
  <c r="F36113" i="1"/>
  <c r="F36114" i="1"/>
  <c r="F36160" i="1"/>
  <c r="F11773" i="1"/>
  <c r="F28188" i="1"/>
  <c r="F1279" i="1"/>
  <c r="F3044" i="1"/>
  <c r="F5097" i="1"/>
  <c r="F6322" i="1"/>
  <c r="F8755" i="1"/>
  <c r="F13374" i="1"/>
  <c r="F13947" i="1"/>
  <c r="F13076" i="1"/>
  <c r="F14714" i="1"/>
  <c r="F15290" i="1"/>
  <c r="F16173" i="1"/>
  <c r="F16228" i="1"/>
  <c r="F18154" i="1"/>
  <c r="F20299" i="1"/>
  <c r="F24043" i="1"/>
  <c r="F24254" i="1"/>
  <c r="F24544" i="1"/>
  <c r="F24908" i="1"/>
  <c r="F24955" i="1"/>
  <c r="F25362" i="1"/>
  <c r="F28805" i="1"/>
  <c r="F29491" i="1"/>
  <c r="F29716" i="1"/>
  <c r="F35722" i="1"/>
  <c r="F2447" i="1"/>
  <c r="F28246" i="1"/>
  <c r="F26529" i="1"/>
  <c r="F24157" i="1"/>
  <c r="F131" i="1"/>
  <c r="F14815" i="1"/>
  <c r="F36173" i="1"/>
  <c r="F17905" i="1"/>
  <c r="F548" i="1"/>
  <c r="F2799" i="1"/>
  <c r="F2839" i="1"/>
  <c r="F4526" i="1"/>
  <c r="F5482" i="1"/>
  <c r="F6568" i="1"/>
  <c r="F7406" i="1"/>
  <c r="F9598" i="1"/>
  <c r="F9630" i="1"/>
  <c r="F9719" i="1"/>
  <c r="F9742" i="1"/>
  <c r="F9790" i="1"/>
  <c r="F9833" i="1"/>
  <c r="F10094" i="1"/>
  <c r="F10109" i="1"/>
  <c r="F10127" i="1"/>
  <c r="F10222" i="1"/>
  <c r="F10248" i="1"/>
  <c r="F10274" i="1"/>
  <c r="F10308" i="1"/>
  <c r="F10403" i="1"/>
  <c r="F10466" i="1"/>
  <c r="F10521" i="1"/>
  <c r="F10012" i="1"/>
  <c r="F10554" i="1"/>
  <c r="F10772" i="1"/>
  <c r="F12158" i="1"/>
  <c r="F12897" i="1"/>
  <c r="F13265" i="1"/>
  <c r="F13324" i="1"/>
  <c r="F4897" i="1"/>
  <c r="F13804" i="1"/>
  <c r="F14609" i="1"/>
  <c r="F14923" i="1"/>
  <c r="F14924" i="1"/>
  <c r="F15269" i="1"/>
  <c r="F15494" i="1"/>
  <c r="F15515" i="1"/>
  <c r="F15995" i="1"/>
  <c r="F16790" i="1"/>
  <c r="F17899" i="1"/>
  <c r="F18380" i="1"/>
  <c r="F19225" i="1"/>
  <c r="F19512" i="1"/>
  <c r="F19712" i="1"/>
  <c r="F20584" i="1"/>
  <c r="F27781" i="1"/>
  <c r="F30887" i="1"/>
  <c r="F34820" i="1"/>
  <c r="F35552" i="1"/>
  <c r="F5860" i="1"/>
  <c r="F806" i="1"/>
  <c r="F27475" i="1"/>
  <c r="F21379" i="1"/>
  <c r="F34387" i="1"/>
  <c r="F17700" i="1"/>
  <c r="F22900" i="1"/>
  <c r="F4235" i="1"/>
  <c r="F671" i="1"/>
  <c r="F4178" i="1"/>
  <c r="F6108" i="1"/>
  <c r="F8644" i="1"/>
  <c r="F13312" i="1"/>
  <c r="F723" i="1"/>
  <c r="F2763" i="1"/>
  <c r="F4769" i="1"/>
  <c r="F5430" i="1"/>
  <c r="F5467" i="1"/>
  <c r="F7994" i="1"/>
  <c r="F9682" i="1"/>
  <c r="F9841" i="1"/>
  <c r="F10093" i="1"/>
  <c r="F10261" i="1"/>
  <c r="F13617" i="1"/>
  <c r="F16410" i="1"/>
  <c r="F29371" i="1"/>
  <c r="F30314" i="1"/>
  <c r="F30866" i="1"/>
  <c r="F431" i="1"/>
  <c r="F512" i="1"/>
  <c r="F530" i="1"/>
  <c r="F2432" i="1"/>
  <c r="F2635" i="1"/>
  <c r="F2657" i="1"/>
  <c r="F3161" i="1"/>
  <c r="F3289" i="1"/>
  <c r="F7078" i="1"/>
  <c r="F7420" i="1"/>
  <c r="F7627" i="1"/>
  <c r="F13582" i="1"/>
  <c r="F7736" i="1"/>
  <c r="F8102" i="1"/>
  <c r="F8727" i="1"/>
  <c r="F10592" i="1"/>
  <c r="F12004" i="1"/>
  <c r="F13244" i="1"/>
  <c r="F16058" i="1"/>
  <c r="F32152" i="1"/>
  <c r="F508" i="1"/>
  <c r="F510" i="1"/>
  <c r="F3041" i="1"/>
  <c r="F5063" i="1"/>
  <c r="F10840" i="1"/>
  <c r="F10879" i="1"/>
  <c r="F13707" i="1"/>
  <c r="F13713" i="1"/>
  <c r="F4977" i="1"/>
  <c r="F14585" i="1"/>
  <c r="F19818" i="1"/>
  <c r="F23138" i="1"/>
  <c r="F25858" i="1"/>
  <c r="F30079" i="1"/>
  <c r="F16459" i="1"/>
  <c r="F5030" i="1"/>
  <c r="F4589" i="1"/>
  <c r="F4839" i="1"/>
  <c r="F6277" i="1"/>
  <c r="F6281" i="1"/>
  <c r="F6288" i="1"/>
  <c r="F6297" i="1"/>
  <c r="F9275" i="1"/>
  <c r="F13123" i="1"/>
  <c r="F15790" i="1"/>
  <c r="F16111" i="1"/>
  <c r="F16719" i="1"/>
  <c r="F19761" i="1"/>
  <c r="F20104" i="1"/>
  <c r="F20105" i="1"/>
  <c r="F20728" i="1"/>
  <c r="F21688" i="1"/>
  <c r="F24434" i="1"/>
  <c r="F26984" i="1"/>
  <c r="F27446" i="1"/>
  <c r="F27447" i="1"/>
  <c r="F27448" i="1"/>
  <c r="F27575" i="1"/>
  <c r="F30555" i="1"/>
  <c r="F33458" i="1"/>
  <c r="F33630" i="1"/>
  <c r="F33631" i="1"/>
  <c r="F34206" i="1"/>
  <c r="F487" i="1"/>
  <c r="F3016" i="1"/>
  <c r="F3193" i="1"/>
  <c r="F3262" i="1"/>
  <c r="F3470" i="1"/>
  <c r="F5604" i="1"/>
  <c r="F5607" i="1"/>
  <c r="F5722" i="1"/>
  <c r="F6275" i="1"/>
  <c r="F6278" i="1"/>
  <c r="F6283" i="1"/>
  <c r="F6284" i="1"/>
  <c r="F6286" i="1"/>
  <c r="F6295" i="1"/>
  <c r="F7320" i="1"/>
  <c r="F7790" i="1"/>
  <c r="F9324" i="1"/>
  <c r="F10728" i="1"/>
  <c r="F14850" i="1"/>
  <c r="F15209" i="1"/>
  <c r="F15259" i="1"/>
  <c r="F15560" i="1"/>
  <c r="F16109" i="1"/>
  <c r="F18399" i="1"/>
  <c r="F18401" i="1"/>
  <c r="F19092" i="1"/>
  <c r="F19454" i="1"/>
  <c r="F19587" i="1"/>
  <c r="F24259" i="1"/>
  <c r="F24268" i="1"/>
  <c r="F24442" i="1"/>
  <c r="F24444" i="1"/>
  <c r="F24864" i="1"/>
  <c r="F25121" i="1"/>
  <c r="F25922" i="1"/>
  <c r="F27573" i="1"/>
  <c r="F27574" i="1"/>
  <c r="F27579" i="1"/>
  <c r="F28068" i="1"/>
  <c r="F28074" i="1"/>
  <c r="F28718" i="1"/>
  <c r="F29187" i="1"/>
  <c r="F29631" i="1"/>
  <c r="F29805" i="1"/>
  <c r="F31692" i="1"/>
  <c r="F32498" i="1"/>
  <c r="F32475" i="1"/>
  <c r="F32477" i="1"/>
  <c r="F32487" i="1"/>
  <c r="F32481" i="1"/>
  <c r="F32483" i="1"/>
  <c r="F32485" i="1"/>
  <c r="F32471" i="1"/>
  <c r="F32473" i="1"/>
  <c r="F32489" i="1"/>
  <c r="F32467" i="1"/>
  <c r="F32465" i="1"/>
  <c r="F32479" i="1"/>
  <c r="F32469" i="1"/>
  <c r="F32461" i="1"/>
  <c r="F32453" i="1"/>
  <c r="F32455" i="1"/>
  <c r="F32457" i="1"/>
  <c r="F32459" i="1"/>
  <c r="F32463" i="1"/>
  <c r="F32491" i="1"/>
  <c r="F32493" i="1"/>
  <c r="F32495" i="1"/>
  <c r="F4649" i="1"/>
  <c r="F5401" i="1"/>
  <c r="F5499" i="1"/>
  <c r="F5764" i="1"/>
  <c r="F5768" i="1"/>
  <c r="F6507" i="1"/>
  <c r="F6962" i="1"/>
  <c r="F7845" i="1"/>
  <c r="F7998" i="1"/>
  <c r="F8095" i="1"/>
  <c r="F11184" i="1"/>
  <c r="F12148" i="1"/>
  <c r="F12457" i="1"/>
  <c r="F14704" i="1"/>
  <c r="F14706" i="1"/>
  <c r="F14780" i="1"/>
  <c r="F15315" i="1"/>
  <c r="F15642" i="1"/>
  <c r="F20132" i="1"/>
  <c r="F20497" i="1"/>
  <c r="F774" i="1"/>
  <c r="F1404" i="1"/>
  <c r="F1408" i="1"/>
  <c r="F1411" i="1"/>
  <c r="F1495" i="1"/>
  <c r="F1903" i="1"/>
  <c r="F1981" i="1"/>
  <c r="F1983" i="1"/>
  <c r="F2045" i="1"/>
  <c r="F2119" i="1"/>
  <c r="F2221" i="1"/>
  <c r="F2241" i="1"/>
  <c r="F2324" i="1"/>
  <c r="F3760" i="1"/>
  <c r="F21701" i="1"/>
  <c r="F3941" i="1"/>
  <c r="F4122" i="1"/>
  <c r="F4153" i="1"/>
  <c r="F4205" i="1"/>
  <c r="F4211" i="1"/>
  <c r="F4287" i="1"/>
  <c r="F4397" i="1"/>
  <c r="F4665" i="1"/>
  <c r="F4681" i="1"/>
  <c r="F5274" i="1"/>
  <c r="F5299" i="1"/>
  <c r="F5477" i="1"/>
  <c r="F5530" i="1"/>
  <c r="F5613" i="1"/>
  <c r="F5631" i="1"/>
  <c r="F5706" i="1"/>
  <c r="F5766" i="1"/>
  <c r="F5776" i="1"/>
  <c r="F5770" i="1"/>
  <c r="F5802" i="1"/>
  <c r="F5806" i="1"/>
  <c r="F6198" i="1"/>
  <c r="F6469" i="1"/>
  <c r="F6472" i="1"/>
  <c r="F6513" i="1"/>
  <c r="F6517" i="1"/>
  <c r="F6509" i="1"/>
  <c r="F6578" i="1"/>
  <c r="F6580" i="1"/>
  <c r="F6582" i="1"/>
  <c r="F6584" i="1"/>
  <c r="F6590" i="1"/>
  <c r="F7476" i="1"/>
  <c r="F6649" i="1"/>
  <c r="F6989" i="1"/>
  <c r="F7020" i="1"/>
  <c r="F7022" i="1"/>
  <c r="F7290" i="1"/>
  <c r="F7310" i="1"/>
  <c r="F7408" i="1"/>
  <c r="F7469" i="1"/>
  <c r="F7509" i="1"/>
  <c r="F7517" i="1"/>
  <c r="F7617" i="1"/>
  <c r="F7621" i="1"/>
  <c r="F7705" i="1"/>
  <c r="F7832" i="1"/>
  <c r="F7841" i="1"/>
  <c r="F7843" i="1"/>
  <c r="F7847" i="1"/>
  <c r="F8854" i="1"/>
  <c r="F7854" i="1"/>
  <c r="F7860" i="1"/>
  <c r="F7891" i="1"/>
  <c r="F7978" i="1"/>
  <c r="F8032" i="1"/>
  <c r="F8081" i="1"/>
  <c r="F8666" i="1"/>
  <c r="F8767" i="1"/>
  <c r="F8804" i="1"/>
  <c r="F8816" i="1"/>
  <c r="F8898" i="1"/>
  <c r="F8907" i="1"/>
  <c r="F9203" i="1"/>
  <c r="F10584" i="1"/>
  <c r="F10586" i="1"/>
  <c r="F10625" i="1"/>
  <c r="F10756" i="1"/>
  <c r="F11422" i="1"/>
  <c r="F12200" i="1"/>
  <c r="F12221" i="1"/>
  <c r="F12455" i="1"/>
  <c r="F12475" i="1"/>
  <c r="F12485" i="1"/>
  <c r="F12616" i="1"/>
  <c r="F13137" i="1"/>
  <c r="F13139" i="1"/>
  <c r="F13141" i="1"/>
  <c r="F13162" i="1"/>
  <c r="F13196" i="1"/>
  <c r="F13441" i="1"/>
  <c r="F13475" i="1"/>
  <c r="F13534" i="1"/>
  <c r="F13634" i="1"/>
  <c r="F13843" i="1"/>
  <c r="F13883" i="1"/>
  <c r="F13951" i="1"/>
  <c r="F14046" i="1"/>
  <c r="F14605" i="1"/>
  <c r="F13570" i="1"/>
  <c r="F14782" i="1"/>
  <c r="F14784" i="1"/>
  <c r="F14796" i="1"/>
  <c r="F14800" i="1"/>
  <c r="F14808" i="1"/>
  <c r="F14854" i="1"/>
  <c r="F14882" i="1"/>
  <c r="F14968" i="1"/>
  <c r="F15002" i="1"/>
  <c r="F15043" i="1"/>
  <c r="F15050" i="1"/>
  <c r="F15067" i="1"/>
  <c r="F15140" i="1"/>
  <c r="F15144" i="1"/>
  <c r="F15150" i="1"/>
  <c r="F15301" i="1"/>
  <c r="F15311" i="1"/>
  <c r="F15313" i="1"/>
  <c r="F15330" i="1"/>
  <c r="F15338" i="1"/>
  <c r="F15334" i="1"/>
  <c r="F15346" i="1"/>
  <c r="F15368" i="1"/>
  <c r="F15380" i="1"/>
  <c r="F15382" i="1"/>
  <c r="F15384" i="1"/>
  <c r="F15390" i="1"/>
  <c r="F15400" i="1"/>
  <c r="F15496" i="1"/>
  <c r="F15517" i="1"/>
  <c r="F15533" i="1"/>
  <c r="F15565" i="1"/>
  <c r="F15614" i="1"/>
  <c r="F15646" i="1"/>
  <c r="F15663" i="1"/>
  <c r="F17540" i="1"/>
  <c r="F17550" i="1"/>
  <c r="F17556" i="1"/>
  <c r="F17562" i="1"/>
  <c r="F17863" i="1"/>
  <c r="F18494" i="1"/>
  <c r="F18772" i="1"/>
  <c r="F18774" i="1"/>
  <c r="F18813" i="1"/>
  <c r="F18961" i="1"/>
  <c r="F19566" i="1"/>
  <c r="F19568" i="1"/>
  <c r="F19669" i="1"/>
  <c r="F20150" i="1"/>
  <c r="F20196" i="1"/>
  <c r="F20388" i="1"/>
  <c r="F20641" i="1"/>
  <c r="F20738" i="1"/>
  <c r="F20896" i="1"/>
  <c r="F21107" i="1"/>
  <c r="F21109" i="1"/>
  <c r="F21303" i="1"/>
  <c r="F21339" i="1"/>
  <c r="F21383" i="1"/>
  <c r="F20325" i="1"/>
  <c r="F21502" i="1"/>
  <c r="F21629" i="1"/>
  <c r="F21719" i="1"/>
  <c r="F21721" i="1"/>
  <c r="F21724" i="1"/>
  <c r="F21880" i="1"/>
  <c r="F21939" i="1"/>
  <c r="F22224" i="1"/>
  <c r="F22296" i="1"/>
  <c r="F22385" i="1"/>
  <c r="F22725" i="1"/>
  <c r="F15654" i="1"/>
  <c r="F5399" i="1"/>
  <c r="F1406" i="1"/>
  <c r="F17554" i="1"/>
  <c r="F8775" i="1"/>
  <c r="F14804" i="1"/>
  <c r="F7166" i="1"/>
  <c r="F22708" i="1"/>
  <c r="F2114" i="1"/>
  <c r="F4444" i="1"/>
  <c r="F5943" i="1"/>
  <c r="F6335" i="1"/>
  <c r="F7611" i="1"/>
  <c r="F17984" i="1"/>
  <c r="F18511" i="1"/>
  <c r="F21649" i="1"/>
  <c r="F22380" i="1"/>
  <c r="F22309" i="1"/>
  <c r="F29638" i="1"/>
  <c r="F9957" i="1"/>
  <c r="F11137" i="1"/>
  <c r="F895" i="1"/>
  <c r="F919" i="1"/>
  <c r="F1125" i="1"/>
  <c r="F3793" i="1"/>
  <c r="F4889" i="1"/>
  <c r="F5008" i="1"/>
  <c r="F5432" i="1"/>
  <c r="F22085" i="1"/>
  <c r="F5862" i="1"/>
  <c r="F8982" i="1"/>
  <c r="F10803" i="1"/>
  <c r="F11632" i="1"/>
  <c r="F11892" i="1"/>
  <c r="F12552" i="1"/>
  <c r="F12567" i="1"/>
  <c r="F12569" i="1"/>
  <c r="F12723" i="1"/>
  <c r="F12964" i="1"/>
  <c r="F12966" i="1"/>
  <c r="F12967" i="1"/>
  <c r="F12970" i="1"/>
  <c r="F12972" i="1"/>
  <c r="F12974" i="1"/>
  <c r="F13045" i="1"/>
  <c r="F14614" i="1"/>
  <c r="F16241" i="1"/>
  <c r="F16513" i="1"/>
  <c r="F17784" i="1"/>
  <c r="F17788" i="1"/>
  <c r="F17794" i="1"/>
  <c r="F17796" i="1"/>
  <c r="F17930" i="1"/>
  <c r="F18394" i="1"/>
  <c r="F20002" i="1"/>
  <c r="F20130" i="1"/>
  <c r="F21873" i="1"/>
  <c r="F22698" i="1"/>
  <c r="F25034" i="1"/>
  <c r="F25436" i="1"/>
  <c r="F25440" i="1"/>
  <c r="F25444" i="1"/>
  <c r="F26944" i="1"/>
  <c r="F27492" i="1"/>
  <c r="F28138" i="1"/>
  <c r="F28137" i="1"/>
  <c r="F4895" i="1"/>
  <c r="F29087" i="1"/>
  <c r="F30360" i="1"/>
  <c r="F33394" i="1"/>
  <c r="F33527" i="1"/>
  <c r="F36651" i="1"/>
  <c r="F36658" i="1"/>
  <c r="F36662" i="1"/>
  <c r="F19622" i="1"/>
  <c r="F1839" i="1"/>
  <c r="F19620" i="1"/>
  <c r="F13197" i="1"/>
  <c r="F80" i="1"/>
  <c r="F473" i="1"/>
  <c r="F497" i="1"/>
  <c r="F502" i="1"/>
  <c r="F847" i="1"/>
  <c r="F872" i="1"/>
  <c r="F874" i="1"/>
  <c r="F887" i="1"/>
  <c r="F921" i="1"/>
  <c r="F923" i="1"/>
  <c r="F1055" i="1"/>
  <c r="F1064" i="1"/>
  <c r="F1126" i="1"/>
  <c r="F1442" i="1"/>
  <c r="F1927" i="1"/>
  <c r="F1963" i="1"/>
  <c r="F2054" i="1"/>
  <c r="F2134" i="1"/>
  <c r="F2144" i="1"/>
  <c r="F2167" i="1"/>
  <c r="F2176" i="1"/>
  <c r="F2188" i="1"/>
  <c r="F2195" i="1"/>
  <c r="F2197" i="1"/>
  <c r="F2208" i="1"/>
  <c r="F2213" i="1"/>
  <c r="F2217" i="1"/>
  <c r="F2296" i="1"/>
  <c r="F2330" i="1"/>
  <c r="F2349" i="1"/>
  <c r="F2419" i="1"/>
  <c r="F2424" i="1"/>
  <c r="F2444" i="1"/>
  <c r="F2448" i="1"/>
  <c r="F2574" i="1"/>
  <c r="F2602" i="1"/>
  <c r="F2612" i="1"/>
  <c r="F2625" i="1"/>
  <c r="F2623" i="1"/>
  <c r="F2632" i="1"/>
  <c r="F2640" i="1"/>
  <c r="F2642" i="1"/>
  <c r="F2643" i="1"/>
  <c r="F2653" i="1"/>
  <c r="F2695" i="1"/>
  <c r="F2894" i="1"/>
  <c r="F2897" i="1"/>
  <c r="F2900" i="1"/>
  <c r="F2936" i="1"/>
  <c r="F3010" i="1"/>
  <c r="F3012" i="1"/>
  <c r="F3014" i="1"/>
  <c r="F3079" i="1"/>
  <c r="F3092" i="1"/>
  <c r="F3108" i="1"/>
  <c r="F3132" i="1"/>
  <c r="F3135" i="1"/>
  <c r="F3141" i="1"/>
  <c r="F3178" i="1"/>
  <c r="F3192" i="1"/>
  <c r="F3203" i="1"/>
  <c r="F3227" i="1"/>
  <c r="F3240" i="1"/>
  <c r="F3250" i="1"/>
  <c r="F3253" i="1"/>
  <c r="F3255" i="1"/>
  <c r="F3271" i="1"/>
  <c r="F3291" i="1"/>
  <c r="F3293" i="1"/>
  <c r="F3312" i="1"/>
  <c r="F3323" i="1"/>
  <c r="F3342" i="1"/>
  <c r="F3351" i="1"/>
  <c r="F3387" i="1"/>
  <c r="F3433" i="1"/>
  <c r="F3441" i="1"/>
  <c r="F3442" i="1"/>
  <c r="F3453" i="1"/>
  <c r="F3455" i="1"/>
  <c r="F3456" i="1"/>
  <c r="F3458" i="1"/>
  <c r="F3460" i="1"/>
  <c r="F3461" i="1"/>
  <c r="F3463" i="1"/>
  <c r="F3534" i="1"/>
  <c r="F3536" i="1"/>
  <c r="F3542" i="1"/>
  <c r="F3551" i="1"/>
  <c r="F3604" i="1"/>
  <c r="F3620" i="1"/>
  <c r="F3677" i="1"/>
  <c r="F3679" i="1"/>
  <c r="F3697" i="1"/>
  <c r="F3695" i="1"/>
  <c r="F3717" i="1"/>
  <c r="F3722" i="1"/>
  <c r="F3754" i="1"/>
  <c r="F3771" i="1"/>
  <c r="F3772" i="1"/>
  <c r="F3773" i="1"/>
  <c r="F3775" i="1"/>
  <c r="F3781" i="1"/>
  <c r="F3783" i="1"/>
  <c r="F3810" i="1"/>
  <c r="F3813" i="1"/>
  <c r="F3815" i="1"/>
  <c r="F3817" i="1"/>
  <c r="F3833" i="1"/>
  <c r="F3837" i="1"/>
  <c r="F3853" i="1"/>
  <c r="F3858" i="1"/>
  <c r="F3897" i="1"/>
  <c r="F3903" i="1"/>
  <c r="F3907" i="1"/>
  <c r="F3908" i="1"/>
  <c r="F3915" i="1"/>
  <c r="F3917" i="1"/>
  <c r="F3919" i="1"/>
  <c r="F3923" i="1"/>
  <c r="F3924" i="1"/>
  <c r="F3925" i="1"/>
  <c r="F16261" i="1"/>
  <c r="F34003" i="1"/>
  <c r="F4066" i="1"/>
  <c r="F4072" i="1"/>
  <c r="F4093" i="1"/>
  <c r="F4100" i="1"/>
  <c r="F4108" i="1"/>
  <c r="F4109" i="1"/>
  <c r="F4131" i="1"/>
  <c r="F4144" i="1"/>
  <c r="F4173" i="1"/>
  <c r="F4176" i="1"/>
  <c r="F5078" i="1"/>
  <c r="F4363" i="1"/>
  <c r="F4634" i="1"/>
  <c r="F4663" i="1"/>
  <c r="F4753" i="1"/>
  <c r="F4761" i="1"/>
  <c r="F4763" i="1"/>
  <c r="F4833" i="1"/>
  <c r="F4837" i="1"/>
  <c r="F4844" i="1"/>
  <c r="F4845" i="1"/>
  <c r="F4847" i="1"/>
  <c r="F4850" i="1"/>
  <c r="F4852" i="1"/>
  <c r="F5080" i="1"/>
  <c r="F4854" i="1"/>
  <c r="F4856" i="1"/>
  <c r="F4858" i="1"/>
  <c r="F4860" i="1"/>
  <c r="F4862" i="1"/>
  <c r="F4864" i="1"/>
  <c r="F4866" i="1"/>
  <c r="F4868" i="1"/>
  <c r="F4870" i="1"/>
  <c r="F4874" i="1"/>
  <c r="F4872" i="1"/>
  <c r="F4876" i="1"/>
  <c r="F4877" i="1"/>
  <c r="F4898" i="1"/>
  <c r="F4909" i="1"/>
  <c r="F4910" i="1"/>
  <c r="F4923" i="1"/>
  <c r="F4957" i="1"/>
  <c r="F4969" i="1"/>
  <c r="F4974" i="1"/>
  <c r="F5044" i="1"/>
  <c r="F5076" i="1"/>
  <c r="F5124" i="1"/>
  <c r="F5130" i="1"/>
  <c r="F5136" i="1"/>
  <c r="F5154" i="1"/>
  <c r="F5155" i="1"/>
  <c r="F5160" i="1"/>
  <c r="F5161" i="1"/>
  <c r="F5167" i="1"/>
  <c r="F5169" i="1"/>
  <c r="F5210" i="1"/>
  <c r="F5296" i="1"/>
  <c r="F5334" i="1"/>
  <c r="F5100" i="1"/>
  <c r="F5355" i="1"/>
  <c r="F5411" i="1"/>
  <c r="F5413" i="1"/>
  <c r="F5440" i="1"/>
  <c r="F5442" i="1"/>
  <c r="F5449" i="1"/>
  <c r="F5461" i="1"/>
  <c r="F5471" i="1"/>
  <c r="F5620" i="1"/>
  <c r="F5656" i="1"/>
  <c r="F5669" i="1"/>
  <c r="F5129" i="1"/>
  <c r="F5700" i="1"/>
  <c r="F5701" i="1"/>
  <c r="F5702" i="1"/>
  <c r="F5704" i="1"/>
  <c r="F5741" i="1"/>
  <c r="F5750" i="1"/>
  <c r="F5812" i="1"/>
  <c r="F5833" i="1"/>
  <c r="F5832" i="1"/>
  <c r="F5847" i="1"/>
  <c r="F5873" i="1"/>
  <c r="F5918" i="1"/>
  <c r="F5920" i="1"/>
  <c r="F5925" i="1"/>
  <c r="F5960" i="1"/>
  <c r="F5961" i="1"/>
  <c r="F5969" i="1"/>
  <c r="F5970" i="1"/>
  <c r="F5976" i="1"/>
  <c r="F5995" i="1"/>
  <c r="F6020" i="1"/>
  <c r="F6022" i="1"/>
  <c r="F6024" i="1"/>
  <c r="F6072" i="1"/>
  <c r="F6151" i="1"/>
  <c r="F6161" i="1"/>
  <c r="F6162" i="1"/>
  <c r="F6447" i="1"/>
  <c r="F6448" i="1"/>
  <c r="F6458" i="1"/>
  <c r="F6461" i="1"/>
  <c r="F6464" i="1"/>
  <c r="F6465" i="1"/>
  <c r="F6470" i="1"/>
  <c r="F6480" i="1"/>
  <c r="F6523" i="1"/>
  <c r="F6531" i="1"/>
  <c r="F6533" i="1"/>
  <c r="F6542" i="1"/>
  <c r="F6598" i="1"/>
  <c r="F6599" i="1"/>
  <c r="F6601" i="1"/>
  <c r="F6609" i="1"/>
  <c r="F6607" i="1"/>
  <c r="F6645" i="1"/>
  <c r="F6652" i="1"/>
  <c r="F6717" i="1"/>
  <c r="F6993" i="1"/>
  <c r="F6994" i="1"/>
  <c r="F6996" i="1"/>
  <c r="F6997" i="1"/>
  <c r="F6999" i="1"/>
  <c r="F7001" i="1"/>
  <c r="F7002" i="1"/>
  <c r="F7005" i="1"/>
  <c r="F7003" i="1"/>
  <c r="F7006" i="1"/>
  <c r="F7010" i="1"/>
  <c r="F7119" i="1"/>
  <c r="F7292" i="1"/>
  <c r="F7300" i="1"/>
  <c r="F7314" i="1"/>
  <c r="F7318" i="1"/>
  <c r="F7335" i="1"/>
  <c r="F7355" i="1"/>
  <c r="F7358" i="1"/>
  <c r="F7365" i="1"/>
  <c r="F7366" i="1"/>
  <c r="F7373" i="1"/>
  <c r="F7382" i="1"/>
  <c r="F7446" i="1"/>
  <c r="F7481" i="1"/>
  <c r="F7483" i="1"/>
  <c r="F7495" i="1"/>
  <c r="F7498" i="1"/>
  <c r="F7684" i="1"/>
  <c r="F7685" i="1"/>
  <c r="F7693" i="1"/>
  <c r="F7696" i="1"/>
  <c r="F7697" i="1"/>
  <c r="F7699" i="1"/>
  <c r="F7701" i="1"/>
  <c r="F7718" i="1"/>
  <c r="F7719" i="1"/>
  <c r="F7724" i="1"/>
  <c r="F7728" i="1"/>
  <c r="F7734" i="1"/>
  <c r="F7739" i="1"/>
  <c r="F7741" i="1"/>
  <c r="F7743" i="1"/>
  <c r="F7747" i="1"/>
  <c r="F7750" i="1"/>
  <c r="F7751" i="1"/>
  <c r="F7752" i="1"/>
  <c r="F7755" i="1"/>
  <c r="F7757" i="1"/>
  <c r="F7759" i="1"/>
  <c r="F7761" i="1"/>
  <c r="F7767" i="1"/>
  <c r="F7779" i="1"/>
  <c r="F7820" i="1"/>
  <c r="F7837" i="1"/>
  <c r="F7852" i="1"/>
  <c r="F7861" i="1"/>
  <c r="F7870" i="1"/>
  <c r="F7873" i="1"/>
  <c r="F8313" i="1"/>
  <c r="F7901" i="1"/>
  <c r="F7920" i="1"/>
  <c r="F7932" i="1"/>
  <c r="F7952" i="1"/>
  <c r="F7957" i="1"/>
  <c r="F7970" i="1"/>
  <c r="F7972" i="1"/>
  <c r="F7974" i="1"/>
  <c r="F7975" i="1"/>
  <c r="F7965" i="1"/>
  <c r="F7980" i="1"/>
  <c r="F7986" i="1"/>
  <c r="F7988" i="1"/>
  <c r="F8036" i="1"/>
  <c r="F8071" i="1"/>
  <c r="F8072" i="1"/>
  <c r="F8077" i="1"/>
  <c r="F8079" i="1"/>
  <c r="F8092" i="1"/>
  <c r="F8128" i="1"/>
  <c r="F8153" i="1"/>
  <c r="F8167" i="1"/>
  <c r="F8168" i="1"/>
  <c r="F8169" i="1"/>
  <c r="F8199" i="1"/>
  <c r="F8200" i="1"/>
  <c r="F8204" i="1"/>
  <c r="F7439" i="1"/>
  <c r="F8232" i="1"/>
  <c r="F8241" i="1"/>
  <c r="F8244" i="1"/>
  <c r="F8256" i="1"/>
  <c r="F8258" i="1"/>
  <c r="F8305" i="1"/>
  <c r="F8327" i="1"/>
  <c r="F8331" i="1"/>
  <c r="F8332" i="1"/>
  <c r="F8336" i="1"/>
  <c r="F8337" i="1"/>
  <c r="F8349" i="1"/>
  <c r="F8378" i="1"/>
  <c r="F8386" i="1"/>
  <c r="F8389" i="1"/>
  <c r="F8398" i="1"/>
  <c r="F8400" i="1"/>
  <c r="F8402" i="1"/>
  <c r="F8438" i="1"/>
  <c r="F8493" i="1"/>
  <c r="F8518" i="1"/>
  <c r="F8519" i="1"/>
  <c r="F8522" i="1"/>
  <c r="F8525" i="1"/>
  <c r="F8552" i="1"/>
  <c r="F8436" i="1"/>
  <c r="F8571" i="1"/>
  <c r="F8572" i="1"/>
  <c r="F8574" i="1"/>
  <c r="F8575" i="1"/>
  <c r="F8576" i="1"/>
  <c r="F8577" i="1"/>
  <c r="F8580" i="1"/>
  <c r="F8582" i="1"/>
  <c r="F8583" i="1"/>
  <c r="F8587" i="1"/>
  <c r="F8592" i="1"/>
  <c r="F8593" i="1"/>
  <c r="F8594" i="1"/>
  <c r="F8595" i="1"/>
  <c r="F8596" i="1"/>
  <c r="F8801" i="1"/>
  <c r="F8806" i="1"/>
  <c r="F8821" i="1"/>
  <c r="F8824" i="1"/>
  <c r="F8830" i="1"/>
  <c r="F8831" i="1"/>
  <c r="F8860" i="1"/>
  <c r="F8943" i="1"/>
  <c r="F8992" i="1"/>
  <c r="F9186" i="1"/>
  <c r="F9207" i="1"/>
  <c r="F9224" i="1"/>
  <c r="F9225" i="1"/>
  <c r="F9226" i="1"/>
  <c r="F9242" i="1"/>
  <c r="F9246" i="1"/>
  <c r="F9287" i="1"/>
  <c r="F9266" i="1"/>
  <c r="F9268" i="1"/>
  <c r="F9277" i="1"/>
  <c r="F9290" i="1"/>
  <c r="F9291" i="1"/>
  <c r="F9293" i="1"/>
  <c r="F9322" i="1"/>
  <c r="F9352" i="1"/>
  <c r="F9373" i="1"/>
  <c r="F9375" i="1"/>
  <c r="F9376" i="1"/>
  <c r="F9385" i="1"/>
  <c r="F9403" i="1"/>
  <c r="F9419" i="1"/>
  <c r="F9422" i="1"/>
  <c r="F9424" i="1"/>
  <c r="F9453" i="1"/>
  <c r="F9919" i="1"/>
  <c r="F9921" i="1"/>
  <c r="F9924" i="1"/>
  <c r="F9928" i="1"/>
  <c r="F9930" i="1"/>
  <c r="F9933" i="1"/>
  <c r="F9947" i="1"/>
  <c r="F9948" i="1"/>
  <c r="F9950" i="1"/>
  <c r="F9970" i="1"/>
  <c r="F9977" i="1"/>
  <c r="F9979" i="1"/>
  <c r="F10000" i="1"/>
  <c r="F10001" i="1"/>
  <c r="F10006" i="1"/>
  <c r="F10008" i="1"/>
  <c r="F10015" i="1"/>
  <c r="F10573" i="1"/>
  <c r="F10577" i="1"/>
  <c r="F10605" i="1"/>
  <c r="F10612" i="1"/>
  <c r="F10614" i="1"/>
  <c r="F10618" i="1"/>
  <c r="F10619" i="1"/>
  <c r="F10620" i="1"/>
  <c r="F10631" i="1"/>
  <c r="F10632" i="1"/>
  <c r="F10662" i="1"/>
  <c r="F10663" i="1"/>
  <c r="F10738" i="1"/>
  <c r="F10752" i="1"/>
  <c r="F10793" i="1"/>
  <c r="F10800" i="1"/>
  <c r="F11004" i="1"/>
  <c r="F10924" i="1"/>
  <c r="F8905" i="1"/>
  <c r="F11064" i="1"/>
  <c r="F11068" i="1"/>
  <c r="F11077" i="1"/>
  <c r="F11078" i="1"/>
  <c r="F11081" i="1"/>
  <c r="F11084" i="1"/>
  <c r="F11086" i="1"/>
  <c r="F11087" i="1"/>
  <c r="F11110" i="1"/>
  <c r="F9256" i="1"/>
  <c r="F11113" i="1"/>
  <c r="F11127" i="1"/>
  <c r="F11129" i="1"/>
  <c r="F11142" i="1"/>
  <c r="F11146" i="1"/>
  <c r="F11150" i="1"/>
  <c r="F11155" i="1"/>
  <c r="F11196" i="1"/>
  <c r="F11447" i="1"/>
  <c r="F11453" i="1"/>
  <c r="F11678" i="1"/>
  <c r="F11493" i="1"/>
  <c r="F11684" i="1"/>
  <c r="F11706" i="1"/>
  <c r="F11756" i="1"/>
  <c r="F11762" i="1"/>
  <c r="F11832" i="1"/>
  <c r="F11834" i="1"/>
  <c r="F11889" i="1"/>
  <c r="F11891" i="1"/>
  <c r="F11894" i="1"/>
  <c r="F11986" i="1"/>
  <c r="F12056" i="1"/>
  <c r="F12133" i="1"/>
  <c r="F12136" i="1"/>
  <c r="F12138" i="1"/>
  <c r="F12177" i="1"/>
  <c r="F12179" i="1"/>
  <c r="F12181" i="1"/>
  <c r="F12194" i="1"/>
  <c r="F12210" i="1"/>
  <c r="F12249" i="1"/>
  <c r="F12336" i="1"/>
  <c r="F12351" i="1"/>
  <c r="F12352" i="1"/>
  <c r="F12353" i="1"/>
  <c r="F12354" i="1"/>
  <c r="F12356" i="1"/>
  <c r="F12365" i="1"/>
  <c r="F12366" i="1"/>
  <c r="F12375" i="1"/>
  <c r="F12390" i="1"/>
  <c r="F12391" i="1"/>
  <c r="F12396" i="1"/>
  <c r="F12399" i="1"/>
  <c r="F12405" i="1"/>
  <c r="F12407" i="1"/>
  <c r="F12416" i="1"/>
  <c r="F12419" i="1"/>
  <c r="F12432" i="1"/>
  <c r="F12466" i="1"/>
  <c r="F12468" i="1"/>
  <c r="F12469" i="1"/>
  <c r="F12470" i="1"/>
  <c r="F12471" i="1"/>
  <c r="F12477" i="1"/>
  <c r="F12478" i="1"/>
  <c r="F12511" i="1"/>
  <c r="F12516" i="1"/>
  <c r="F12519" i="1"/>
  <c r="F12520" i="1"/>
  <c r="F12531" i="1"/>
  <c r="F12528" i="1"/>
  <c r="F12529" i="1"/>
  <c r="F12532" i="1"/>
  <c r="F12533" i="1"/>
  <c r="F12548" i="1"/>
  <c r="F12549" i="1"/>
  <c r="F12550" i="1"/>
  <c r="F12553" i="1"/>
  <c r="F12555" i="1"/>
  <c r="F12556" i="1"/>
  <c r="F12557" i="1"/>
  <c r="F12558" i="1"/>
  <c r="F12561" i="1"/>
  <c r="F12570" i="1"/>
  <c r="F12574" i="1"/>
  <c r="F12575" i="1"/>
  <c r="F12584" i="1"/>
  <c r="F12595" i="1"/>
  <c r="F12596" i="1"/>
  <c r="F12598" i="1"/>
  <c r="F12599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20" i="1"/>
  <c r="F12618" i="1"/>
  <c r="F12622" i="1"/>
  <c r="F12623" i="1"/>
  <c r="F12624" i="1"/>
  <c r="F12625" i="1"/>
  <c r="F12630" i="1"/>
  <c r="F12632" i="1"/>
  <c r="F12634" i="1"/>
  <c r="F12637" i="1"/>
  <c r="F12638" i="1"/>
  <c r="F12639" i="1"/>
  <c r="F12641" i="1"/>
  <c r="F12642" i="1"/>
  <c r="F12643" i="1"/>
  <c r="F12646" i="1"/>
  <c r="F12648" i="1"/>
  <c r="F12652" i="1"/>
  <c r="F12658" i="1"/>
  <c r="F12659" i="1"/>
  <c r="F12663" i="1"/>
  <c r="F12670" i="1"/>
  <c r="F12693" i="1"/>
  <c r="F12716" i="1"/>
  <c r="F13051" i="1"/>
  <c r="F13100" i="1"/>
  <c r="F13101" i="1"/>
  <c r="F13131" i="1"/>
  <c r="F13135" i="1"/>
  <c r="F13143" i="1"/>
  <c r="F13145" i="1"/>
  <c r="F13153" i="1"/>
  <c r="F13154" i="1"/>
  <c r="F13160" i="1"/>
  <c r="F13163" i="1"/>
  <c r="F13167" i="1"/>
  <c r="F13187" i="1"/>
  <c r="F13190" i="1"/>
  <c r="F13193" i="1"/>
  <c r="F13194" i="1"/>
  <c r="F13200" i="1"/>
  <c r="F13201" i="1"/>
  <c r="F13204" i="1"/>
  <c r="F13216" i="1"/>
  <c r="F13227" i="1"/>
  <c r="F13229" i="1"/>
  <c r="F13237" i="1"/>
  <c r="F13245" i="1"/>
  <c r="F13350" i="1"/>
  <c r="F13438" i="1"/>
  <c r="F13539" i="1"/>
  <c r="F13773" i="1"/>
  <c r="F13785" i="1"/>
  <c r="F13799" i="1"/>
  <c r="F13827" i="1"/>
  <c r="F13884" i="1"/>
  <c r="F13888" i="1"/>
  <c r="F13889" i="1"/>
  <c r="F13352" i="1"/>
  <c r="F13895" i="1"/>
  <c r="F13928" i="1"/>
  <c r="F13944" i="1"/>
  <c r="F13955" i="1"/>
  <c r="F13961" i="1"/>
  <c r="F13977" i="1"/>
  <c r="F14152" i="1"/>
  <c r="F14154" i="1"/>
  <c r="F14195" i="1"/>
  <c r="F14202" i="1"/>
  <c r="F14212" i="1"/>
  <c r="F14247" i="1"/>
  <c r="F14249" i="1"/>
  <c r="F14251" i="1"/>
  <c r="F14252" i="1"/>
  <c r="F14276" i="1"/>
  <c r="F14319" i="1"/>
  <c r="F14344" i="1"/>
  <c r="F14347" i="1"/>
  <c r="F14355" i="1"/>
  <c r="F14358" i="1"/>
  <c r="F14360" i="1"/>
  <c r="F14371" i="1"/>
  <c r="F14388" i="1"/>
  <c r="F14450" i="1"/>
  <c r="F14452" i="1"/>
  <c r="F14453" i="1"/>
  <c r="F14485" i="1"/>
  <c r="F14487" i="1"/>
  <c r="F14503" i="1"/>
  <c r="F14510" i="1"/>
  <c r="F14524" i="1"/>
  <c r="F14526" i="1"/>
  <c r="F14529" i="1"/>
  <c r="F14534" i="1"/>
  <c r="F14579" i="1"/>
  <c r="F14640" i="1"/>
  <c r="F14641" i="1"/>
  <c r="F14678" i="1"/>
  <c r="F14680" i="1"/>
  <c r="F14708" i="1"/>
  <c r="F14709" i="1"/>
  <c r="F14712" i="1"/>
  <c r="F14729" i="1"/>
  <c r="F14731" i="1"/>
  <c r="F14740" i="1"/>
  <c r="F14741" i="1"/>
  <c r="F14772" i="1"/>
  <c r="F14814" i="1"/>
  <c r="F14844" i="1"/>
  <c r="F14846" i="1"/>
  <c r="F14849" i="1"/>
  <c r="F14871" i="1"/>
  <c r="F14889" i="1"/>
  <c r="F14891" i="1"/>
  <c r="F14910" i="1"/>
  <c r="F14888" i="1"/>
  <c r="F14932" i="1"/>
  <c r="F14934" i="1"/>
  <c r="F14938" i="1"/>
  <c r="F14956" i="1"/>
  <c r="F14959" i="1"/>
  <c r="F14964" i="1"/>
  <c r="F14971" i="1"/>
  <c r="F14975" i="1"/>
  <c r="F14976" i="1"/>
  <c r="F14977" i="1"/>
  <c r="F14978" i="1"/>
  <c r="F14979" i="1"/>
  <c r="F14982" i="1"/>
  <c r="F14991" i="1"/>
  <c r="F14995" i="1"/>
  <c r="F14996" i="1"/>
  <c r="F14998" i="1"/>
  <c r="F15036" i="1"/>
  <c r="F15051" i="1"/>
  <c r="F15064" i="1"/>
  <c r="F15065" i="1"/>
  <c r="F15068" i="1"/>
  <c r="F15090" i="1"/>
  <c r="F15106" i="1"/>
  <c r="F15108" i="1"/>
  <c r="F15128" i="1"/>
  <c r="F15138" i="1"/>
  <c r="F15153" i="1"/>
  <c r="F15157" i="1"/>
  <c r="F15160" i="1"/>
  <c r="F15164" i="1"/>
  <c r="F15190" i="1"/>
  <c r="F15216" i="1"/>
  <c r="F15236" i="1"/>
  <c r="F15254" i="1"/>
  <c r="F15263" i="1"/>
  <c r="F15272" i="1"/>
  <c r="F15289" i="1"/>
  <c r="F15293" i="1"/>
  <c r="F15295" i="1"/>
  <c r="F15306" i="1"/>
  <c r="F15307" i="1"/>
  <c r="F15321" i="1"/>
  <c r="F15326" i="1"/>
  <c r="F15328" i="1"/>
  <c r="F15356" i="1"/>
  <c r="F15359" i="1"/>
  <c r="F15388" i="1"/>
  <c r="F15401" i="1"/>
  <c r="F15531" i="1"/>
  <c r="F15445" i="1"/>
  <c r="F15477" i="1"/>
  <c r="F15479" i="1"/>
  <c r="F15480" i="1"/>
  <c r="F15484" i="1"/>
  <c r="F15488" i="1"/>
  <c r="F15490" i="1"/>
  <c r="F15491" i="1"/>
  <c r="F15500" i="1"/>
  <c r="F15501" i="1"/>
  <c r="F15502" i="1"/>
  <c r="F15543" i="1"/>
  <c r="F15505" i="1"/>
  <c r="F15509" i="1"/>
  <c r="F15526" i="1"/>
  <c r="F15529" i="1"/>
  <c r="F15540" i="1"/>
  <c r="F15541" i="1"/>
  <c r="F15568" i="1"/>
  <c r="F15569" i="1"/>
  <c r="F15582" i="1"/>
  <c r="F15605" i="1"/>
  <c r="F15630" i="1"/>
  <c r="F15632" i="1"/>
  <c r="F15635" i="1"/>
  <c r="F15649" i="1"/>
  <c r="F15650" i="1"/>
  <c r="F15652" i="1"/>
  <c r="F15671" i="1"/>
  <c r="F15672" i="1"/>
  <c r="F15949" i="1"/>
  <c r="F16048" i="1"/>
  <c r="F16231" i="1"/>
  <c r="F16285" i="1"/>
  <c r="F16435" i="1"/>
  <c r="F15794" i="1"/>
  <c r="F16613" i="1"/>
  <c r="F16746" i="1"/>
  <c r="F16760" i="1"/>
  <c r="F16852" i="1"/>
  <c r="F17134" i="1"/>
  <c r="F17143" i="1"/>
  <c r="F17232" i="1"/>
  <c r="F17252" i="1"/>
  <c r="F17264" i="1"/>
  <c r="F17294" i="1"/>
  <c r="F17340" i="1"/>
  <c r="F17372" i="1"/>
  <c r="F17374" i="1"/>
  <c r="F17388" i="1"/>
  <c r="F17881" i="1"/>
  <c r="F17411" i="1"/>
  <c r="F17412" i="1"/>
  <c r="F17413" i="1"/>
  <c r="F17416" i="1"/>
  <c r="F17418" i="1"/>
  <c r="F17424" i="1"/>
  <c r="F17426" i="1"/>
  <c r="F17417" i="1"/>
  <c r="F17471" i="1"/>
  <c r="F17498" i="1"/>
  <c r="F17510" i="1"/>
  <c r="F17565" i="1"/>
  <c r="F17678" i="1"/>
  <c r="F17813" i="1"/>
  <c r="F17817" i="1"/>
  <c r="F17835" i="1"/>
  <c r="F17837" i="1"/>
  <c r="F17841" i="1"/>
  <c r="F17886" i="1"/>
  <c r="F17936" i="1"/>
  <c r="F17939" i="1"/>
  <c r="F17943" i="1"/>
  <c r="F17945" i="1"/>
  <c r="F17345" i="1"/>
  <c r="F17946" i="1"/>
  <c r="F17949" i="1"/>
  <c r="F17950" i="1"/>
  <c r="F17951" i="1"/>
  <c r="F17959" i="1"/>
  <c r="F17988" i="1"/>
  <c r="F17993" i="1"/>
  <c r="F17998" i="1"/>
  <c r="F18010" i="1"/>
  <c r="F18020" i="1"/>
  <c r="F18027" i="1"/>
  <c r="F18041" i="1"/>
  <c r="F18043" i="1"/>
  <c r="F18044" i="1"/>
  <c r="F18045" i="1"/>
  <c r="F18052" i="1"/>
  <c r="F18062" i="1"/>
  <c r="F18063" i="1"/>
  <c r="F18073" i="1"/>
  <c r="F18075" i="1"/>
  <c r="F18079" i="1"/>
  <c r="F18093" i="1"/>
  <c r="F18094" i="1"/>
  <c r="F18098" i="1"/>
  <c r="F18100" i="1"/>
  <c r="F18105" i="1"/>
  <c r="F18106" i="1"/>
  <c r="F18108" i="1"/>
  <c r="F18110" i="1"/>
  <c r="F18112" i="1"/>
  <c r="F18118" i="1"/>
  <c r="F18120" i="1"/>
  <c r="F18122" i="1"/>
  <c r="F18133" i="1"/>
  <c r="F18135" i="1"/>
  <c r="F18150" i="1"/>
  <c r="F18185" i="1"/>
  <c r="F18196" i="1"/>
  <c r="F18204" i="1"/>
  <c r="F18213" i="1"/>
  <c r="F18220" i="1"/>
  <c r="F18223" i="1"/>
  <c r="F18224" i="1"/>
  <c r="F18229" i="1"/>
  <c r="F18231" i="1"/>
  <c r="F18233" i="1"/>
  <c r="F18235" i="1"/>
  <c r="F18245" i="1"/>
  <c r="F18264" i="1"/>
  <c r="F18279" i="1"/>
  <c r="F18287" i="1"/>
  <c r="F18288" i="1"/>
  <c r="F18294" i="1"/>
  <c r="F18297" i="1"/>
  <c r="F18299" i="1"/>
  <c r="F18305" i="1"/>
  <c r="F18306" i="1"/>
  <c r="F18309" i="1"/>
  <c r="F18354" i="1"/>
  <c r="F18368" i="1"/>
  <c r="F18370" i="1"/>
  <c r="F18371" i="1"/>
  <c r="F18375" i="1"/>
  <c r="F18384" i="1"/>
  <c r="F18395" i="1"/>
  <c r="F18408" i="1"/>
  <c r="F18415" i="1"/>
  <c r="F18418" i="1"/>
  <c r="F18421" i="1"/>
  <c r="F18423" i="1"/>
  <c r="F18426" i="1"/>
  <c r="F18438" i="1"/>
  <c r="F18435" i="1"/>
  <c r="F18440" i="1"/>
  <c r="F18441" i="1"/>
  <c r="F18446" i="1"/>
  <c r="F18466" i="1"/>
  <c r="F18470" i="1"/>
  <c r="F18474" i="1"/>
  <c r="F18475" i="1"/>
  <c r="F18496" i="1"/>
  <c r="F18497" i="1"/>
  <c r="F18595" i="1"/>
  <c r="F18640" i="1"/>
  <c r="F18642" i="1"/>
  <c r="F18653" i="1"/>
  <c r="F18657" i="1"/>
  <c r="F18675" i="1"/>
  <c r="F18687" i="1"/>
  <c r="F18690" i="1"/>
  <c r="F18705" i="1"/>
  <c r="F18711" i="1"/>
  <c r="F18713" i="1"/>
  <c r="F18735" i="1"/>
  <c r="F19181" i="1"/>
  <c r="F18756" i="1"/>
  <c r="F18768" i="1"/>
  <c r="F18785" i="1"/>
  <c r="F19472" i="1"/>
  <c r="F18795" i="1"/>
  <c r="F18797" i="1"/>
  <c r="F18800" i="1"/>
  <c r="F18802" i="1"/>
  <c r="F18804" i="1"/>
  <c r="F18808" i="1"/>
  <c r="F18824" i="1"/>
  <c r="F18829" i="1"/>
  <c r="F18835" i="1"/>
  <c r="F18840" i="1"/>
  <c r="F18821" i="1"/>
  <c r="F18846" i="1"/>
  <c r="F18848" i="1"/>
  <c r="F18857" i="1"/>
  <c r="F18858" i="1"/>
  <c r="F18877" i="1"/>
  <c r="F18878" i="1"/>
  <c r="F18879" i="1"/>
  <c r="F18888" i="1"/>
  <c r="F18901" i="1"/>
  <c r="F18903" i="1"/>
  <c r="F18905" i="1"/>
  <c r="F18906" i="1"/>
  <c r="F18908" i="1"/>
  <c r="F18929" i="1"/>
  <c r="F19058" i="1"/>
  <c r="F19113" i="1"/>
  <c r="F19123" i="1"/>
  <c r="F19202" i="1"/>
  <c r="F19208" i="1"/>
  <c r="F19215" i="1"/>
  <c r="F19219" i="1"/>
  <c r="F19228" i="1"/>
  <c r="F19508" i="1"/>
  <c r="F19557" i="1"/>
  <c r="F19562" i="1"/>
  <c r="F19575" i="1"/>
  <c r="F19608" i="1"/>
  <c r="F19630" i="1"/>
  <c r="F19756" i="1"/>
  <c r="F19777" i="1"/>
  <c r="F19793" i="1"/>
  <c r="F19797" i="1"/>
  <c r="F19800" i="1"/>
  <c r="F19801" i="1"/>
  <c r="F19860" i="1"/>
  <c r="F19962" i="1"/>
  <c r="F19986" i="1"/>
  <c r="F20098" i="1"/>
  <c r="F20142" i="1"/>
  <c r="F20144" i="1"/>
  <c r="F20202" i="1"/>
  <c r="F20323" i="1"/>
  <c r="F20333" i="1"/>
  <c r="F20340" i="1"/>
  <c r="F20422" i="1"/>
  <c r="F20429" i="1"/>
  <c r="F20442" i="1"/>
  <c r="F20459" i="1"/>
  <c r="F20499" i="1"/>
  <c r="F20604" i="1"/>
  <c r="F20613" i="1"/>
  <c r="F20629" i="1"/>
  <c r="F20632" i="1"/>
  <c r="F20633" i="1"/>
  <c r="F20637" i="1"/>
  <c r="F20651" i="1"/>
  <c r="F20654" i="1"/>
  <c r="F20667" i="1"/>
  <c r="F20670" i="1"/>
  <c r="F20671" i="1"/>
  <c r="F20684" i="1"/>
  <c r="F20721" i="1"/>
  <c r="F20757" i="1"/>
  <c r="F20837" i="1"/>
  <c r="F20978" i="1"/>
  <c r="F21008" i="1"/>
  <c r="F21083" i="1"/>
  <c r="F21088" i="1"/>
  <c r="F21095" i="1"/>
  <c r="F21099" i="1"/>
  <c r="F21171" i="1"/>
  <c r="F21172" i="1"/>
  <c r="F21210" i="1"/>
  <c r="F21248" i="1"/>
  <c r="F21249" i="1"/>
  <c r="F21262" i="1"/>
  <c r="F21290" i="1"/>
  <c r="F21291" i="1"/>
  <c r="F21305" i="1"/>
  <c r="F21309" i="1"/>
  <c r="F21310" i="1"/>
  <c r="F21312" i="1"/>
  <c r="F21322" i="1"/>
  <c r="F21722" i="1"/>
  <c r="F21327" i="1"/>
  <c r="F21329" i="1"/>
  <c r="F21348" i="1"/>
  <c r="F21355" i="1"/>
  <c r="F21366" i="1"/>
  <c r="F21367" i="1"/>
  <c r="F21368" i="1"/>
  <c r="F21375" i="1"/>
  <c r="F21389" i="1"/>
  <c r="F21395" i="1"/>
  <c r="F21397" i="1"/>
  <c r="F21407" i="1"/>
  <c r="F21409" i="1"/>
  <c r="F21410" i="1"/>
  <c r="F21411" i="1"/>
  <c r="F21416" i="1"/>
  <c r="F21418" i="1"/>
  <c r="F21420" i="1"/>
  <c r="F21426" i="1"/>
  <c r="F21433" i="1"/>
  <c r="F21437" i="1"/>
  <c r="F21439" i="1"/>
  <c r="F21449" i="1"/>
  <c r="F21453" i="1"/>
  <c r="F21463" i="1"/>
  <c r="F21469" i="1"/>
  <c r="F21472" i="1"/>
  <c r="F21477" i="1"/>
  <c r="F21479" i="1"/>
  <c r="F21490" i="1"/>
  <c r="F21494" i="1"/>
  <c r="F21534" i="1"/>
  <c r="F21537" i="1"/>
  <c r="F21546" i="1"/>
  <c r="F21548" i="1"/>
  <c r="F21562" i="1"/>
  <c r="F21565" i="1"/>
  <c r="F21645" i="1"/>
  <c r="F21585" i="1"/>
  <c r="F21592" i="1"/>
  <c r="F21593" i="1"/>
  <c r="F21612" i="1"/>
  <c r="F21614" i="1"/>
  <c r="F21619" i="1"/>
  <c r="F21675" i="1"/>
  <c r="F21681" i="1"/>
  <c r="F21682" i="1"/>
  <c r="F21742" i="1"/>
  <c r="F21760" i="1"/>
  <c r="F21761" i="1"/>
  <c r="F21766" i="1"/>
  <c r="F21779" i="1"/>
  <c r="F21782" i="1"/>
  <c r="F21786" i="1"/>
  <c r="F21788" i="1"/>
  <c r="F21791" i="1"/>
  <c r="F21795" i="1"/>
  <c r="F21800" i="1"/>
  <c r="F21803" i="1"/>
  <c r="F21807" i="1"/>
  <c r="F21808" i="1"/>
  <c r="F21811" i="1"/>
  <c r="F21816" i="1"/>
  <c r="F21817" i="1"/>
  <c r="F21822" i="1"/>
  <c r="F21824" i="1"/>
  <c r="F21823" i="1"/>
  <c r="F21832" i="1"/>
  <c r="F21833" i="1"/>
  <c r="F21838" i="1"/>
  <c r="F21875" i="1"/>
  <c r="F21897" i="1"/>
  <c r="F21924" i="1"/>
  <c r="F21926" i="1"/>
  <c r="F21928" i="1"/>
  <c r="F21930" i="1"/>
  <c r="F21960" i="1"/>
  <c r="F21962" i="1"/>
  <c r="F21964" i="1"/>
  <c r="F21977" i="1"/>
  <c r="F21966" i="1"/>
  <c r="F21968" i="1"/>
  <c r="F21970" i="1"/>
  <c r="F21973" i="1"/>
  <c r="F21985" i="1"/>
  <c r="F22005" i="1"/>
  <c r="F22009" i="1"/>
  <c r="F22011" i="1"/>
  <c r="F22014" i="1"/>
  <c r="F22273" i="1"/>
  <c r="F22281" i="1"/>
  <c r="F22345" i="1"/>
  <c r="F22350" i="1"/>
  <c r="F22354" i="1"/>
  <c r="F22490" i="1"/>
  <c r="F22559" i="1"/>
  <c r="F22613" i="1"/>
  <c r="F22614" i="1"/>
  <c r="F22666" i="1"/>
  <c r="F22871" i="1"/>
  <c r="F22945" i="1"/>
  <c r="F23277" i="1"/>
  <c r="F23291" i="1"/>
  <c r="F23307" i="1"/>
  <c r="F23308" i="1"/>
  <c r="F23434" i="1"/>
  <c r="F23435" i="1"/>
  <c r="F23443" i="1"/>
  <c r="F23444" i="1"/>
  <c r="F23461" i="1"/>
  <c r="F23463" i="1"/>
  <c r="F23464" i="1"/>
  <c r="F23499" i="1"/>
  <c r="F23500" i="1"/>
  <c r="F23531" i="1"/>
  <c r="F23532" i="1"/>
  <c r="F23543" i="1"/>
  <c r="F23763" i="1"/>
  <c r="F23797" i="1"/>
  <c r="F23803" i="1"/>
  <c r="F23811" i="1"/>
  <c r="F23851" i="1"/>
  <c r="F23852" i="1"/>
  <c r="F23856" i="1"/>
  <c r="F23870" i="1"/>
  <c r="F23889" i="1"/>
  <c r="F23901" i="1"/>
  <c r="F23911" i="1"/>
  <c r="F23963" i="1"/>
  <c r="F24056" i="1"/>
  <c r="F24058" i="1"/>
  <c r="F24080" i="1"/>
  <c r="F24082" i="1"/>
  <c r="F24108" i="1"/>
  <c r="F24110" i="1"/>
  <c r="F24119" i="1"/>
  <c r="F24194" i="1"/>
  <c r="F24207" i="1"/>
  <c r="F24223" i="1"/>
  <c r="F24245" i="1"/>
  <c r="F24285" i="1"/>
  <c r="F24291" i="1"/>
  <c r="F24298" i="1"/>
  <c r="F24299" i="1"/>
  <c r="F24332" i="1"/>
  <c r="F24334" i="1"/>
  <c r="F24338" i="1"/>
  <c r="F24340" i="1"/>
  <c r="F24341" i="1"/>
  <c r="F24344" i="1"/>
  <c r="F24354" i="1"/>
  <c r="F24365" i="1"/>
  <c r="F24410" i="1"/>
  <c r="F24448" i="1"/>
  <c r="F24500" i="1"/>
  <c r="F24590" i="1"/>
  <c r="F24602" i="1"/>
  <c r="F24635" i="1"/>
  <c r="F24645" i="1"/>
  <c r="F24657" i="1"/>
  <c r="F24658" i="1"/>
  <c r="F24659" i="1"/>
  <c r="F24666" i="1"/>
  <c r="F24682" i="1"/>
  <c r="F24695" i="1"/>
  <c r="F24701" i="1"/>
  <c r="F24702" i="1"/>
  <c r="F24703" i="1"/>
  <c r="F24710" i="1"/>
  <c r="F24716" i="1"/>
  <c r="F24724" i="1"/>
  <c r="F24725" i="1"/>
  <c r="F24735" i="1"/>
  <c r="F24776" i="1"/>
  <c r="F24781" i="1"/>
  <c r="F24814" i="1"/>
  <c r="F24824" i="1"/>
  <c r="F24887" i="1"/>
  <c r="F24906" i="1"/>
  <c r="F24926" i="1"/>
  <c r="F24938" i="1"/>
  <c r="F24939" i="1"/>
  <c r="F24940" i="1"/>
  <c r="F24945" i="1"/>
  <c r="F24952" i="1"/>
  <c r="F24973" i="1"/>
  <c r="F24995" i="1"/>
  <c r="F25002" i="1"/>
  <c r="F25018" i="1"/>
  <c r="F25021" i="1"/>
  <c r="F25027" i="1"/>
  <c r="F25031" i="1"/>
  <c r="F25035" i="1"/>
  <c r="F25049" i="1"/>
  <c r="F25052" i="1"/>
  <c r="F25053" i="1"/>
  <c r="F25075" i="1"/>
  <c r="F25083" i="1"/>
  <c r="F25092" i="1"/>
  <c r="F25093" i="1"/>
  <c r="F25095" i="1"/>
  <c r="F25115" i="1"/>
  <c r="F25119" i="1"/>
  <c r="F25139" i="1"/>
  <c r="F25140" i="1"/>
  <c r="F25142" i="1"/>
  <c r="F25151" i="1"/>
  <c r="F25155" i="1"/>
  <c r="F25159" i="1"/>
  <c r="F25160" i="1"/>
  <c r="F25184" i="1"/>
  <c r="F25186" i="1"/>
  <c r="F25189" i="1"/>
  <c r="F25191" i="1"/>
  <c r="F25199" i="1"/>
  <c r="F25216" i="1"/>
  <c r="F25284" i="1"/>
  <c r="F25285" i="1"/>
  <c r="F25288" i="1"/>
  <c r="F25295" i="1"/>
  <c r="F25303" i="1"/>
  <c r="F25314" i="1"/>
  <c r="F25316" i="1"/>
  <c r="F25320" i="1"/>
  <c r="F25331" i="1"/>
  <c r="F25333" i="1"/>
  <c r="F25340" i="1"/>
  <c r="F25350" i="1"/>
  <c r="F25353" i="1"/>
  <c r="F25354" i="1"/>
  <c r="F25355" i="1"/>
  <c r="F25365" i="1"/>
  <c r="F25376" i="1"/>
  <c r="F25378" i="1"/>
  <c r="F25382" i="1"/>
  <c r="F25400" i="1"/>
  <c r="F25406" i="1"/>
  <c r="F25407" i="1"/>
  <c r="F25410" i="1"/>
  <c r="F25428" i="1"/>
  <c r="F25460" i="1"/>
  <c r="F25198" i="1"/>
  <c r="F25481" i="1"/>
  <c r="F25619" i="1"/>
  <c r="F25620" i="1"/>
  <c r="F25622" i="1"/>
  <c r="F25631" i="1"/>
  <c r="F25660" i="1"/>
  <c r="F25674" i="1"/>
  <c r="F25732" i="1"/>
  <c r="F25751" i="1"/>
  <c r="F25802" i="1"/>
  <c r="F25803" i="1"/>
  <c r="F25807" i="1"/>
  <c r="F25808" i="1"/>
  <c r="F25815" i="1"/>
  <c r="F25817" i="1"/>
  <c r="F25818" i="1"/>
  <c r="F25819" i="1"/>
  <c r="F25822" i="1"/>
  <c r="F25823" i="1"/>
  <c r="F25825" i="1"/>
  <c r="F25838" i="1"/>
  <c r="F25827" i="1"/>
  <c r="F25898" i="1"/>
  <c r="F25917" i="1"/>
  <c r="F25964" i="1"/>
  <c r="F25969" i="1"/>
  <c r="F25970" i="1"/>
  <c r="F25977" i="1"/>
  <c r="F25987" i="1"/>
  <c r="F25990" i="1"/>
  <c r="F25991" i="1"/>
  <c r="F25995" i="1"/>
  <c r="F26008" i="1"/>
  <c r="F26009" i="1"/>
  <c r="F26013" i="1"/>
  <c r="F26020" i="1"/>
  <c r="F26028" i="1"/>
  <c r="F26032" i="1"/>
  <c r="F26033" i="1"/>
  <c r="F26035" i="1"/>
  <c r="F26047" i="1"/>
  <c r="F26049" i="1"/>
  <c r="F26056" i="1"/>
  <c r="F26058" i="1"/>
  <c r="F26059" i="1"/>
  <c r="F26075" i="1"/>
  <c r="F26081" i="1"/>
  <c r="F26082" i="1"/>
  <c r="F26088" i="1"/>
  <c r="F26090" i="1"/>
  <c r="F26233" i="1"/>
  <c r="F26243" i="1"/>
  <c r="F26273" i="1"/>
  <c r="F26332" i="1"/>
  <c r="F26333" i="1"/>
  <c r="F26381" i="1"/>
  <c r="F26389" i="1"/>
  <c r="F26456" i="1"/>
  <c r="F26473" i="1"/>
  <c r="F26641" i="1"/>
  <c r="F26717" i="1"/>
  <c r="F26733" i="1"/>
  <c r="F26862" i="1"/>
  <c r="F26865" i="1"/>
  <c r="F26907" i="1"/>
  <c r="F26926" i="1"/>
  <c r="F26929" i="1"/>
  <c r="F26964" i="1"/>
  <c r="F27008" i="1"/>
  <c r="F27014" i="1"/>
  <c r="F27016" i="1"/>
  <c r="F27022" i="1"/>
  <c r="F27033" i="1"/>
  <c r="F27220" i="1"/>
  <c r="F27241" i="1"/>
  <c r="F27266" i="1"/>
  <c r="F27270" i="1"/>
  <c r="F27279" i="1"/>
  <c r="F27291" i="1"/>
  <c r="F27293" i="1"/>
  <c r="F27305" i="1"/>
  <c r="F27312" i="1"/>
  <c r="F27319" i="1"/>
  <c r="F27323" i="1"/>
  <c r="F27333" i="1"/>
  <c r="F27334" i="1"/>
  <c r="F27339" i="1"/>
  <c r="F27342" i="1"/>
  <c r="F27356" i="1"/>
  <c r="F27362" i="1"/>
  <c r="F27383" i="1"/>
  <c r="F27410" i="1"/>
  <c r="F27419" i="1"/>
  <c r="F27439" i="1"/>
  <c r="F27443" i="1"/>
  <c r="F27460" i="1"/>
  <c r="F27479" i="1"/>
  <c r="F27489" i="1"/>
  <c r="F27511" i="1"/>
  <c r="F27609" i="1"/>
  <c r="F27613" i="1"/>
  <c r="F27616" i="1"/>
  <c r="F27618" i="1"/>
  <c r="F27623" i="1"/>
  <c r="F27636" i="1"/>
  <c r="F27661" i="1"/>
  <c r="F27662" i="1"/>
  <c r="F27709" i="1"/>
  <c r="F27710" i="1"/>
  <c r="F27712" i="1"/>
  <c r="F27934" i="1"/>
  <c r="F27963" i="1"/>
  <c r="F27994" i="1"/>
  <c r="F28009" i="1"/>
  <c r="F28013" i="1"/>
  <c r="F28043" i="1"/>
  <c r="F28040" i="1"/>
  <c r="F28063" i="1"/>
  <c r="F28083" i="1"/>
  <c r="F28088" i="1"/>
  <c r="F28149" i="1"/>
  <c r="F28180" i="1"/>
  <c r="F28182" i="1"/>
  <c r="F28194" i="1"/>
  <c r="F28202" i="1"/>
  <c r="F28203" i="1"/>
  <c r="F28206" i="1"/>
  <c r="F28208" i="1"/>
  <c r="F28209" i="1"/>
  <c r="F28210" i="1"/>
  <c r="F27982" i="1"/>
  <c r="F28374" i="1"/>
  <c r="F28423" i="1"/>
  <c r="F28424" i="1"/>
  <c r="F28425" i="1"/>
  <c r="F28426" i="1"/>
  <c r="F28427" i="1"/>
  <c r="F28435" i="1"/>
  <c r="F28438" i="1"/>
  <c r="F28495" i="1"/>
  <c r="F28501" i="1"/>
  <c r="F28845" i="1"/>
  <c r="F28846" i="1"/>
  <c r="F28929" i="1"/>
  <c r="F28937" i="1"/>
  <c r="F28940" i="1"/>
  <c r="F28943" i="1"/>
  <c r="F28955" i="1"/>
  <c r="F28968" i="1"/>
  <c r="F28969" i="1"/>
  <c r="F29002" i="1"/>
  <c r="F28551" i="1"/>
  <c r="F29082" i="1"/>
  <c r="F29195" i="1"/>
  <c r="F29262" i="1"/>
  <c r="F29286" i="1"/>
  <c r="F29590" i="1"/>
  <c r="F29605" i="1"/>
  <c r="F29624" i="1"/>
  <c r="F28417" i="1"/>
  <c r="F29653" i="1"/>
  <c r="F29674" i="1"/>
  <c r="F29763" i="1"/>
  <c r="F29844" i="1"/>
  <c r="F29892" i="1"/>
  <c r="F29903" i="1"/>
  <c r="F29914" i="1"/>
  <c r="F29921" i="1"/>
  <c r="F29940" i="1"/>
  <c r="F29941" i="1"/>
  <c r="F29944" i="1"/>
  <c r="F29958" i="1"/>
  <c r="F29975" i="1"/>
  <c r="F29976" i="1"/>
  <c r="F29978" i="1"/>
  <c r="F29980" i="1"/>
  <c r="F29984" i="1"/>
  <c r="F29987" i="1"/>
  <c r="F29993" i="1"/>
  <c r="F29998" i="1"/>
  <c r="F29999" i="1"/>
  <c r="F30000" i="1"/>
  <c r="F30006" i="1"/>
  <c r="F30008" i="1"/>
  <c r="F30009" i="1"/>
  <c r="F30015" i="1"/>
  <c r="F30022" i="1"/>
  <c r="F30027" i="1"/>
  <c r="F30028" i="1"/>
  <c r="F30031" i="1"/>
  <c r="F30053" i="1"/>
  <c r="F30063" i="1"/>
  <c r="F30096" i="1"/>
  <c r="F30099" i="1"/>
  <c r="F30101" i="1"/>
  <c r="F30104" i="1"/>
  <c r="F30165" i="1"/>
  <c r="F30251" i="1"/>
  <c r="F30256" i="1"/>
  <c r="F30257" i="1"/>
  <c r="F30263" i="1"/>
  <c r="F30272" i="1"/>
  <c r="F30277" i="1"/>
  <c r="F30283" i="1"/>
  <c r="F30334" i="1"/>
  <c r="F30372" i="1"/>
  <c r="F30385" i="1"/>
  <c r="F30387" i="1"/>
  <c r="F30395" i="1"/>
  <c r="F30401" i="1"/>
  <c r="F31063" i="1"/>
  <c r="F31064" i="1"/>
  <c r="F31071" i="1"/>
  <c r="F12535" i="1"/>
  <c r="F31138" i="1"/>
  <c r="F31147" i="1"/>
  <c r="F31165" i="1"/>
  <c r="F31169" i="1"/>
  <c r="F31172" i="1"/>
  <c r="F31180" i="1"/>
  <c r="F31185" i="1"/>
  <c r="F31213" i="1"/>
  <c r="F31224" i="1"/>
  <c r="F31228" i="1"/>
  <c r="F31230" i="1"/>
  <c r="F31233" i="1"/>
  <c r="F31277" i="1"/>
  <c r="F31280" i="1"/>
  <c r="F31282" i="1"/>
  <c r="F31285" i="1"/>
  <c r="F31287" i="1"/>
  <c r="F31448" i="1"/>
  <c r="F31290" i="1"/>
  <c r="F31303" i="1"/>
  <c r="F31358" i="1"/>
  <c r="F31397" i="1"/>
  <c r="F31420" i="1"/>
  <c r="F31422" i="1"/>
  <c r="F31437" i="1"/>
  <c r="F31439" i="1"/>
  <c r="F31456" i="1"/>
  <c r="F31464" i="1"/>
  <c r="F31491" i="1"/>
  <c r="F31499" i="1"/>
  <c r="F31493" i="1"/>
  <c r="F31494" i="1"/>
  <c r="F31495" i="1"/>
  <c r="F31505" i="1"/>
  <c r="F31498" i="1"/>
  <c r="F31507" i="1"/>
  <c r="F31515" i="1"/>
  <c r="F31540" i="1"/>
  <c r="F31547" i="1"/>
  <c r="F31554" i="1"/>
  <c r="F31556" i="1"/>
  <c r="F31559" i="1"/>
  <c r="F31568" i="1"/>
  <c r="F32267" i="1"/>
  <c r="F32349" i="1"/>
  <c r="F32375" i="1"/>
  <c r="F32378" i="1"/>
  <c r="F32392" i="1"/>
  <c r="F32445" i="1"/>
  <c r="F32447" i="1"/>
  <c r="F32674" i="1"/>
  <c r="F32783" i="1"/>
  <c r="F18819" i="1"/>
  <c r="F32893" i="1"/>
  <c r="F32894" i="1"/>
  <c r="F32938" i="1"/>
  <c r="F33030" i="1"/>
  <c r="F33034" i="1"/>
  <c r="F33051" i="1"/>
  <c r="F33056" i="1"/>
  <c r="F33058" i="1"/>
  <c r="F29083" i="1"/>
  <c r="F33129" i="1"/>
  <c r="F33137" i="1"/>
  <c r="F33138" i="1"/>
  <c r="F33139" i="1"/>
  <c r="F33140" i="1"/>
  <c r="F33141" i="1"/>
  <c r="F33150" i="1"/>
  <c r="F33155" i="1"/>
  <c r="F33157" i="1"/>
  <c r="F33164" i="1"/>
  <c r="F33162" i="1"/>
  <c r="F33191" i="1"/>
  <c r="F33197" i="1"/>
  <c r="F33222" i="1"/>
  <c r="F33224" i="1"/>
  <c r="F33233" i="1"/>
  <c r="F33238" i="1"/>
  <c r="F33242" i="1"/>
  <c r="F33247" i="1"/>
  <c r="F33249" i="1"/>
  <c r="F33252" i="1"/>
  <c r="F33254" i="1"/>
  <c r="F33255" i="1"/>
  <c r="F33257" i="1"/>
  <c r="F33262" i="1"/>
  <c r="F33265" i="1"/>
  <c r="F33266" i="1"/>
  <c r="F33267" i="1"/>
  <c r="F33273" i="1"/>
  <c r="F33274" i="1"/>
  <c r="F33278" i="1"/>
  <c r="F33281" i="1"/>
  <c r="F33282" i="1"/>
  <c r="F33284" i="1"/>
  <c r="F33286" i="1"/>
  <c r="F33290" i="1"/>
  <c r="F33291" i="1"/>
  <c r="F33292" i="1"/>
  <c r="F33294" i="1"/>
  <c r="F33296" i="1"/>
  <c r="F33302" i="1"/>
  <c r="F33311" i="1"/>
  <c r="F33313" i="1"/>
  <c r="F33316" i="1"/>
  <c r="F33319" i="1"/>
  <c r="F33322" i="1"/>
  <c r="F33323" i="1"/>
  <c r="F33374" i="1"/>
  <c r="F33439" i="1"/>
  <c r="F33482" i="1"/>
  <c r="F33542" i="1"/>
  <c r="F33548" i="1"/>
  <c r="F33609" i="1"/>
  <c r="F33658" i="1"/>
  <c r="F33688" i="1"/>
  <c r="F33707" i="1"/>
  <c r="F33743" i="1"/>
  <c r="F33761" i="1"/>
  <c r="F33812" i="1"/>
  <c r="F33822" i="1"/>
  <c r="F33826" i="1"/>
  <c r="F33837" i="1"/>
  <c r="F33847" i="1"/>
  <c r="F33849" i="1"/>
  <c r="F33855" i="1"/>
  <c r="F33856" i="1"/>
  <c r="F33861" i="1"/>
  <c r="F33862" i="1"/>
  <c r="F33875" i="1"/>
  <c r="F33912" i="1"/>
  <c r="F33921" i="1"/>
  <c r="F33923" i="1"/>
  <c r="F33932" i="1"/>
  <c r="F33942" i="1"/>
  <c r="F33944" i="1"/>
  <c r="F33947" i="1"/>
  <c r="F33956" i="1"/>
  <c r="F33958" i="1"/>
  <c r="F33979" i="1"/>
  <c r="F33986" i="1"/>
  <c r="F33987" i="1"/>
  <c r="F33988" i="1"/>
  <c r="F33989" i="1"/>
  <c r="F34008" i="1"/>
  <c r="F34024" i="1"/>
  <c r="F34025" i="1"/>
  <c r="F34027" i="1"/>
  <c r="F34031" i="1"/>
  <c r="F34032" i="1"/>
  <c r="F34036" i="1"/>
  <c r="F34037" i="1"/>
  <c r="F34038" i="1"/>
  <c r="F34043" i="1"/>
  <c r="F34048" i="1"/>
  <c r="F34051" i="1"/>
  <c r="F34052" i="1"/>
  <c r="F34076" i="1"/>
  <c r="F34077" i="1"/>
  <c r="F34108" i="1"/>
  <c r="F34127" i="1"/>
  <c r="F34134" i="1"/>
  <c r="F34172" i="1"/>
  <c r="F34188" i="1"/>
  <c r="F34190" i="1"/>
  <c r="F34197" i="1"/>
  <c r="F34200" i="1"/>
  <c r="F34201" i="1"/>
  <c r="F34225" i="1"/>
  <c r="F34215" i="1"/>
  <c r="F34241" i="1"/>
  <c r="F34243" i="1"/>
  <c r="F34245" i="1"/>
  <c r="F34255" i="1"/>
  <c r="F34257" i="1"/>
  <c r="F34268" i="1"/>
  <c r="F34288" i="1"/>
  <c r="F34303" i="1"/>
  <c r="F34329" i="1"/>
  <c r="F34330" i="1"/>
  <c r="F34341" i="1"/>
  <c r="F34343" i="1"/>
  <c r="F34357" i="1"/>
  <c r="F34361" i="1"/>
  <c r="F34363" i="1"/>
  <c r="F34365" i="1"/>
  <c r="F34394" i="1"/>
  <c r="F34399" i="1"/>
  <c r="F34410" i="1"/>
  <c r="F34418" i="1"/>
  <c r="F34481" i="1"/>
  <c r="F34483" i="1"/>
  <c r="F34488" i="1"/>
  <c r="F34495" i="1"/>
  <c r="F34714" i="1"/>
  <c r="F34725" i="1"/>
  <c r="F34729" i="1"/>
  <c r="F34758" i="1"/>
  <c r="F34763" i="1"/>
  <c r="F34780" i="1"/>
  <c r="F34860" i="1"/>
  <c r="F34862" i="1"/>
  <c r="F34863" i="1"/>
  <c r="F34912" i="1"/>
  <c r="F34913" i="1"/>
  <c r="F34951" i="1"/>
  <c r="F35006" i="1"/>
  <c r="F35031" i="1"/>
  <c r="F35035" i="1"/>
  <c r="F35111" i="1"/>
  <c r="F35121" i="1"/>
  <c r="F35124" i="1"/>
  <c r="F35125" i="1"/>
  <c r="F35133" i="1"/>
  <c r="F35287" i="1"/>
  <c r="F35288" i="1"/>
  <c r="F35289" i="1"/>
  <c r="F35361" i="1"/>
  <c r="F35386" i="1"/>
  <c r="F35403" i="1"/>
  <c r="F35433" i="1"/>
  <c r="F35436" i="1"/>
  <c r="F35463" i="1"/>
  <c r="F35465" i="1"/>
  <c r="F35474" i="1"/>
  <c r="F35495" i="1"/>
  <c r="F35496" i="1"/>
  <c r="F35528" i="1"/>
  <c r="F35531" i="1"/>
  <c r="F35544" i="1"/>
  <c r="F35545" i="1"/>
  <c r="F35546" i="1"/>
  <c r="F35556" i="1"/>
  <c r="F35558" i="1"/>
  <c r="F35568" i="1"/>
  <c r="F35637" i="1"/>
  <c r="F35673" i="1"/>
  <c r="F35680" i="1"/>
  <c r="F35685" i="1"/>
  <c r="F35686" i="1"/>
  <c r="F35691" i="1"/>
  <c r="F35808" i="1"/>
  <c r="F35809" i="1"/>
  <c r="F36041" i="1"/>
  <c r="F36075" i="1"/>
  <c r="F36164" i="1"/>
  <c r="F36213" i="1"/>
  <c r="F36220" i="1"/>
  <c r="F36234" i="1"/>
  <c r="F36327" i="1"/>
  <c r="F36335" i="1"/>
  <c r="F36357" i="1"/>
  <c r="F6998" i="1"/>
  <c r="F21799" i="1"/>
  <c r="F15339" i="1"/>
  <c r="F18206" i="1"/>
  <c r="F13252" i="1"/>
  <c r="F19458" i="1"/>
  <c r="F18506" i="1"/>
  <c r="F7117" i="1"/>
  <c r="F7856" i="1"/>
  <c r="F2899" i="1"/>
  <c r="F36256" i="1"/>
  <c r="F13640" i="1"/>
  <c r="F21953" i="1"/>
  <c r="F14638" i="1"/>
  <c r="F21987" i="1"/>
  <c r="F13593" i="1"/>
  <c r="F17974" i="1"/>
  <c r="F18710" i="1"/>
  <c r="F8236" i="1"/>
  <c r="F19584" i="1"/>
  <c r="F14156" i="1"/>
  <c r="F18652" i="1"/>
  <c r="F14644" i="1"/>
  <c r="F3300" i="1"/>
  <c r="F17260" i="1"/>
  <c r="F21422" i="1"/>
  <c r="F7839" i="1"/>
  <c r="F21567" i="1"/>
  <c r="F21443" i="1"/>
  <c r="F21253" i="1"/>
  <c r="F13886" i="1"/>
  <c r="F12835" i="1"/>
  <c r="F12572" i="1"/>
  <c r="F15386" i="1"/>
  <c r="F9289" i="1"/>
  <c r="F1053" i="1"/>
  <c r="F21056" i="1"/>
  <c r="F18392" i="1"/>
  <c r="F8781" i="1"/>
  <c r="F7954" i="1"/>
  <c r="F22290" i="1"/>
  <c r="F162" i="1"/>
  <c r="F12579" i="1"/>
  <c r="F8270" i="1"/>
  <c r="F3504" i="1"/>
  <c r="F17883" i="1"/>
  <c r="F8591" i="1"/>
  <c r="F380" i="1"/>
  <c r="F3789" i="1"/>
  <c r="F4469" i="1"/>
  <c r="F4960" i="1"/>
  <c r="F5933" i="1"/>
  <c r="F7885" i="1"/>
  <c r="F10621" i="1"/>
  <c r="F18385" i="1"/>
  <c r="F11409" i="1"/>
  <c r="F12372" i="1"/>
  <c r="F21446" i="1"/>
  <c r="F24560" i="1"/>
  <c r="F27006" i="1"/>
  <c r="F27431" i="1"/>
  <c r="F27487" i="1"/>
  <c r="F25999" i="1"/>
  <c r="F33735" i="1"/>
  <c r="F34923" i="1"/>
  <c r="F34928" i="1"/>
  <c r="F18388" i="1"/>
  <c r="F34893" i="1"/>
  <c r="F34894" i="1"/>
  <c r="F35161" i="1"/>
  <c r="F12581" i="1"/>
  <c r="F36653" i="1"/>
  <c r="F35456" i="1"/>
  <c r="F18359" i="1"/>
  <c r="F36655" i="1"/>
  <c r="F35875" i="1"/>
  <c r="F35877" i="1"/>
  <c r="F35884" i="1"/>
  <c r="F19067" i="1"/>
  <c r="F35905" i="1"/>
  <c r="F24709" i="1"/>
  <c r="F36657" i="1"/>
  <c r="F35938" i="1"/>
  <c r="F35940" i="1"/>
  <c r="F35944" i="1"/>
  <c r="F35949" i="1"/>
  <c r="F18387" i="1"/>
  <c r="F18389" i="1"/>
  <c r="F35958" i="1"/>
  <c r="F35962" i="1"/>
  <c r="F36012" i="1"/>
  <c r="F36015" i="1"/>
  <c r="F36665" i="1"/>
  <c r="F36264" i="1"/>
  <c r="F36331" i="1"/>
  <c r="F35978" i="1"/>
  <c r="F7830" i="1"/>
  <c r="F34634" i="1"/>
  <c r="F25418" i="1"/>
  <c r="F16768" i="1"/>
  <c r="F26316" i="1"/>
  <c r="F13028" i="1"/>
  <c r="F8563" i="1"/>
  <c r="F943" i="1"/>
  <c r="F424" i="1"/>
  <c r="F453" i="1"/>
  <c r="F914" i="1"/>
  <c r="F3294" i="1"/>
  <c r="F4611" i="1"/>
  <c r="F4660" i="1"/>
  <c r="F5463" i="1"/>
  <c r="F6027" i="1"/>
  <c r="F6066" i="1"/>
  <c r="F6143" i="1"/>
  <c r="F6183" i="1"/>
  <c r="F6196" i="1"/>
  <c r="F7332" i="1"/>
  <c r="F7763" i="1"/>
  <c r="F8133" i="1"/>
  <c r="F8140" i="1"/>
  <c r="F8242" i="1"/>
  <c r="F8262" i="1"/>
  <c r="F8561" i="1"/>
  <c r="F8564" i="1"/>
  <c r="F8605" i="1"/>
  <c r="F8881" i="1"/>
  <c r="F8883" i="1"/>
  <c r="F9222" i="1"/>
  <c r="F9367" i="1"/>
  <c r="F9437" i="1"/>
  <c r="F10014" i="1"/>
  <c r="F10698" i="1"/>
  <c r="F8581" i="1"/>
  <c r="F11170" i="1"/>
  <c r="F11486" i="1"/>
  <c r="F11837" i="1"/>
  <c r="F12380" i="1"/>
  <c r="F12421" i="1"/>
  <c r="F12521" i="1"/>
  <c r="F12554" i="1"/>
  <c r="F12660" i="1"/>
  <c r="F12921" i="1"/>
  <c r="F12956" i="1"/>
  <c r="F12960" i="1"/>
  <c r="F13013" i="1"/>
  <c r="F13015" i="1"/>
  <c r="F13030" i="1"/>
  <c r="F13064" i="1"/>
  <c r="F9338" i="1"/>
  <c r="F14180" i="1"/>
  <c r="F14222" i="1"/>
  <c r="F14908" i="1"/>
  <c r="F15080" i="1"/>
  <c r="F16059" i="1"/>
  <c r="F16090" i="1"/>
  <c r="F16308" i="1"/>
  <c r="F16769" i="1"/>
  <c r="F16850" i="1"/>
  <c r="F17368" i="1"/>
  <c r="F17567" i="1"/>
  <c r="F17843" i="1"/>
  <c r="F17933" i="1"/>
  <c r="F18141" i="1"/>
  <c r="F18390" i="1"/>
  <c r="F19909" i="1"/>
  <c r="F20081" i="1"/>
  <c r="F20119" i="1"/>
  <c r="F21783" i="1"/>
  <c r="F20806" i="1"/>
  <c r="F33954" i="1"/>
  <c r="F20821" i="1"/>
  <c r="F21159" i="1"/>
  <c r="F21608" i="1"/>
  <c r="F21617" i="1"/>
  <c r="F21839" i="1"/>
  <c r="F23398" i="1"/>
  <c r="F23896" i="1"/>
  <c r="F24455" i="1"/>
  <c r="F24588" i="1"/>
  <c r="F24707" i="1"/>
  <c r="F24787" i="1"/>
  <c r="F24876" i="1"/>
  <c r="F24983" i="1"/>
  <c r="F24994" i="1"/>
  <c r="F25173" i="1"/>
  <c r="F25214" i="1"/>
  <c r="F25364" i="1"/>
  <c r="F25604" i="1"/>
  <c r="F25900" i="1"/>
  <c r="F26549" i="1"/>
  <c r="F27295" i="1"/>
  <c r="F27399" i="1"/>
  <c r="F27986" i="1"/>
  <c r="F28014" i="1"/>
  <c r="F28017" i="1"/>
  <c r="F28026" i="1"/>
  <c r="F28244" i="1"/>
  <c r="F34112" i="1"/>
  <c r="F28580" i="1"/>
  <c r="F28844" i="1"/>
  <c r="F28901" i="1"/>
  <c r="F28948" i="1"/>
  <c r="F28953" i="1"/>
  <c r="F29136" i="1"/>
  <c r="F8555" i="1"/>
  <c r="F30140" i="1"/>
  <c r="F30167" i="1"/>
  <c r="F6424" i="1"/>
  <c r="F30294" i="1"/>
  <c r="F30339" i="1"/>
  <c r="F30342" i="1"/>
  <c r="F31362" i="1"/>
  <c r="F31530" i="1"/>
  <c r="F34114" i="1"/>
  <c r="F32410" i="1"/>
  <c r="F32799" i="1"/>
  <c r="F32800" i="1"/>
  <c r="F32830" i="1"/>
  <c r="F32899" i="1"/>
  <c r="F33071" i="1"/>
  <c r="F33158" i="1"/>
  <c r="F32863" i="1"/>
  <c r="F33654" i="1"/>
  <c r="F34103" i="1"/>
  <c r="F34116" i="1"/>
  <c r="F34123" i="1"/>
  <c r="F34328" i="1"/>
  <c r="F34377" i="1"/>
  <c r="F34486" i="1"/>
  <c r="F34487" i="1"/>
  <c r="F34615" i="1"/>
  <c r="F27281" i="1"/>
  <c r="F34830" i="1"/>
  <c r="F34832" i="1"/>
  <c r="F35075" i="1"/>
  <c r="F35081" i="1"/>
  <c r="F35084" i="1"/>
  <c r="F35138" i="1"/>
  <c r="F35490" i="1"/>
  <c r="F8558" i="1"/>
  <c r="F35684" i="1"/>
  <c r="F36062" i="1"/>
  <c r="F36660" i="1"/>
  <c r="F36320" i="1"/>
  <c r="F36370" i="1"/>
  <c r="F36387" i="1"/>
  <c r="F29202" i="1"/>
  <c r="F8559" i="1"/>
  <c r="F12246" i="1"/>
  <c r="F13048" i="1"/>
  <c r="F18356" i="1"/>
  <c r="F24623" i="1"/>
  <c r="F24842" i="1"/>
  <c r="F29001" i="1"/>
  <c r="F29728" i="1"/>
  <c r="F29760" i="1"/>
  <c r="F553" i="1"/>
  <c r="F506" i="1"/>
  <c r="F4609" i="1"/>
  <c r="F5546" i="1"/>
  <c r="F9415" i="1"/>
  <c r="F13019" i="1"/>
  <c r="F26400" i="1"/>
  <c r="F21813" i="1"/>
  <c r="F15019" i="1"/>
  <c r="F12125" i="1"/>
  <c r="F24204" i="1"/>
  <c r="F27477" i="1"/>
  <c r="F2580" i="1"/>
  <c r="F2783" i="1"/>
  <c r="F2983" i="1"/>
  <c r="F4436" i="1"/>
  <c r="F5279" i="1"/>
  <c r="F7775" i="1"/>
  <c r="F7823" i="1"/>
  <c r="F8075" i="1"/>
  <c r="F8729" i="1"/>
  <c r="F8930" i="1"/>
  <c r="F9057" i="1"/>
  <c r="F9059" i="1"/>
  <c r="F9061" i="1"/>
  <c r="F10387" i="1"/>
  <c r="F10391" i="1"/>
  <c r="F10481" i="1"/>
  <c r="F11616" i="1"/>
  <c r="F11619" i="1"/>
  <c r="F12071" i="1"/>
  <c r="F12266" i="1"/>
  <c r="F12656" i="1"/>
  <c r="F12925" i="1"/>
  <c r="F12931" i="1"/>
  <c r="F13575" i="1"/>
  <c r="F13678" i="1"/>
  <c r="F14425" i="1"/>
  <c r="F14986" i="1"/>
  <c r="F15074" i="1"/>
  <c r="F15417" i="1"/>
  <c r="F15449" i="1"/>
  <c r="F15507" i="1"/>
  <c r="F15549" i="1"/>
  <c r="F15676" i="1"/>
  <c r="F16156" i="1"/>
  <c r="F17030" i="1"/>
  <c r="F17370" i="1"/>
  <c r="F17518" i="1"/>
  <c r="F19428" i="1"/>
  <c r="F19452" i="1"/>
  <c r="F19624" i="1"/>
  <c r="F19748" i="1"/>
  <c r="F19765" i="1"/>
  <c r="F19954" i="1"/>
  <c r="F20175" i="1"/>
  <c r="F20589" i="1"/>
  <c r="F20831" i="1"/>
  <c r="F20942" i="1"/>
  <c r="F31987" i="1"/>
  <c r="F130" i="1"/>
  <c r="F2547" i="1"/>
  <c r="F2578" i="1"/>
  <c r="F2598" i="1"/>
  <c r="F2681" i="1"/>
  <c r="F2683" i="1"/>
  <c r="F2749" i="1"/>
  <c r="F2779" i="1"/>
  <c r="F2909" i="1"/>
  <c r="F2915" i="1"/>
  <c r="F2972" i="1"/>
  <c r="F2986" i="1"/>
  <c r="F3043" i="1"/>
  <c r="F3076" i="1"/>
  <c r="F3100" i="1"/>
  <c r="F3114" i="1"/>
  <c r="F3126" i="1"/>
  <c r="F3145" i="1"/>
  <c r="F3242" i="1"/>
  <c r="F3282" i="1"/>
  <c r="F3399" i="1"/>
  <c r="F3401" i="1"/>
  <c r="F3431" i="1"/>
  <c r="F3905" i="1"/>
  <c r="F4358" i="1"/>
  <c r="F4360" i="1"/>
  <c r="F4366" i="1"/>
  <c r="F4368" i="1"/>
  <c r="F4370" i="1"/>
  <c r="F4391" i="1"/>
  <c r="F4394" i="1"/>
  <c r="F4412" i="1"/>
  <c r="F4438" i="1"/>
  <c r="F4451" i="1"/>
  <c r="F4549" i="1"/>
  <c r="F4570" i="1"/>
  <c r="F4580" i="1"/>
  <c r="F4582" i="1"/>
  <c r="F4048" i="1"/>
  <c r="F4718" i="1"/>
  <c r="F4830" i="1"/>
  <c r="F5089" i="1"/>
  <c r="F5243" i="1"/>
  <c r="F5261" i="1"/>
  <c r="F5269" i="1"/>
  <c r="F5277" i="1"/>
  <c r="F5285" i="1"/>
  <c r="F5301" i="1"/>
  <c r="F5697" i="1"/>
  <c r="F6389" i="1"/>
  <c r="F6619" i="1"/>
  <c r="F7072" i="1"/>
  <c r="F7316" i="1"/>
  <c r="F7360" i="1"/>
  <c r="F7380" i="1"/>
  <c r="F8014" i="1"/>
  <c r="F8654" i="1"/>
  <c r="F8677" i="1"/>
  <c r="F8710" i="1"/>
  <c r="F8733" i="1"/>
  <c r="F8735" i="1"/>
  <c r="F8737" i="1"/>
  <c r="F8785" i="1"/>
  <c r="F8797" i="1"/>
  <c r="F8846" i="1"/>
  <c r="F8872" i="1"/>
  <c r="F8950" i="1"/>
  <c r="F9133" i="1"/>
  <c r="F9171" i="1"/>
  <c r="F9173" i="1"/>
  <c r="F9213" i="1"/>
  <c r="F9219" i="1"/>
  <c r="F9240" i="1"/>
  <c r="F9295" i="1"/>
  <c r="F9297" i="1"/>
  <c r="F9317" i="1"/>
  <c r="F9342" i="1"/>
  <c r="F9346" i="1"/>
  <c r="F10021" i="1"/>
  <c r="F9641" i="1"/>
  <c r="F9649" i="1"/>
  <c r="F9651" i="1"/>
  <c r="F9657" i="1"/>
  <c r="F9724" i="1"/>
  <c r="F10047" i="1"/>
  <c r="F10049" i="1"/>
  <c r="F10055" i="1"/>
  <c r="F10069" i="1"/>
  <c r="F9903" i="1"/>
  <c r="F10155" i="1"/>
  <c r="F10153" i="1"/>
  <c r="F10185" i="1"/>
  <c r="F10269" i="1"/>
  <c r="F10377" i="1"/>
  <c r="F10379" i="1"/>
  <c r="F10381" i="1"/>
  <c r="F10383" i="1"/>
  <c r="F10385" i="1"/>
  <c r="F10389" i="1"/>
  <c r="F10393" i="1"/>
  <c r="F10457" i="1"/>
  <c r="F10459" i="1"/>
  <c r="F10509" i="1"/>
  <c r="F10523" i="1"/>
  <c r="F10681" i="1"/>
  <c r="F10733" i="1"/>
  <c r="F11165" i="1"/>
  <c r="F11412" i="1"/>
  <c r="F11416" i="1"/>
  <c r="F11516" i="1"/>
  <c r="F11548" i="1"/>
  <c r="F11550" i="1"/>
  <c r="F11628" i="1"/>
  <c r="F11642" i="1"/>
  <c r="F11730" i="1"/>
  <c r="F11722" i="1"/>
  <c r="F11829" i="1"/>
  <c r="F11861" i="1"/>
  <c r="F11994" i="1"/>
  <c r="F12014" i="1"/>
  <c r="F12064" i="1"/>
  <c r="F12099" i="1"/>
  <c r="F12263" i="1"/>
  <c r="F12379" i="1"/>
  <c r="F12434" i="1"/>
  <c r="F12947" i="1"/>
  <c r="F13116" i="1"/>
  <c r="F13538" i="1"/>
  <c r="F13573" i="1"/>
  <c r="F13625" i="1"/>
  <c r="F13666" i="1"/>
  <c r="F13670" i="1"/>
  <c r="F13672" i="1"/>
  <c r="F13660" i="1"/>
  <c r="F13697" i="1"/>
  <c r="F13797" i="1"/>
  <c r="F13857" i="1"/>
  <c r="F13903" i="1"/>
  <c r="F13911" i="1"/>
  <c r="F13913" i="1"/>
  <c r="F14005" i="1"/>
  <c r="F14007" i="1"/>
  <c r="F14177" i="1"/>
  <c r="F14189" i="1"/>
  <c r="F14256" i="1"/>
  <c r="F14260" i="1"/>
  <c r="F14262" i="1"/>
  <c r="F14308" i="1"/>
  <c r="F14391" i="1"/>
  <c r="F14436" i="1"/>
  <c r="F14627" i="1"/>
  <c r="F14629" i="1"/>
  <c r="F14647" i="1"/>
  <c r="F14907" i="1"/>
  <c r="F15104" i="1"/>
  <c r="F15226" i="1"/>
  <c r="F15405" i="1"/>
  <c r="F15519" i="1"/>
  <c r="F15551" i="1"/>
  <c r="F15618" i="1"/>
  <c r="F15634" i="1"/>
  <c r="F15638" i="1"/>
  <c r="F15948" i="1"/>
  <c r="F15993" i="1"/>
  <c r="F16056" i="1"/>
  <c r="F16096" i="1"/>
  <c r="F16202" i="1"/>
  <c r="F16403" i="1"/>
  <c r="F16543" i="1"/>
  <c r="F16771" i="1"/>
  <c r="F16955" i="1"/>
  <c r="F16973" i="1"/>
  <c r="F16975" i="1"/>
  <c r="F16998" i="1"/>
  <c r="F17248" i="1"/>
  <c r="F17262" i="1"/>
  <c r="F17281" i="1"/>
  <c r="F17285" i="1"/>
  <c r="F17287" i="1"/>
  <c r="F17514" i="1"/>
  <c r="F17776" i="1"/>
  <c r="F17800" i="1"/>
  <c r="F18101" i="1"/>
  <c r="F18143" i="1"/>
  <c r="F18886" i="1"/>
  <c r="F18890" i="1"/>
  <c r="F19264" i="1"/>
  <c r="F19306" i="1"/>
  <c r="F19322" i="1"/>
  <c r="F19326" i="1"/>
  <c r="F19334" i="1"/>
  <c r="F19354" i="1"/>
  <c r="F19367" i="1"/>
  <c r="F19369" i="1"/>
  <c r="F19377" i="1"/>
  <c r="F19456" i="1"/>
  <c r="F19479" i="1"/>
  <c r="F19481" i="1"/>
  <c r="F19482" i="1"/>
  <c r="F19497" i="1"/>
  <c r="F19538" i="1"/>
  <c r="F19546" i="1"/>
  <c r="F19596" i="1"/>
  <c r="F19614" i="1"/>
  <c r="F19628" i="1"/>
  <c r="F19803" i="1"/>
  <c r="F19807" i="1"/>
  <c r="F19825" i="1"/>
  <c r="F19838" i="1"/>
  <c r="F19959" i="1"/>
  <c r="F20172" i="1"/>
  <c r="F20186" i="1"/>
  <c r="F20254" i="1"/>
  <c r="F20280" i="1"/>
  <c r="F20336" i="1"/>
  <c r="F20363" i="1"/>
  <c r="F20378" i="1"/>
  <c r="F20501" i="1"/>
  <c r="F20730" i="1"/>
  <c r="F20797" i="1"/>
  <c r="F20799" i="1"/>
  <c r="F20884" i="1"/>
  <c r="F21028" i="1"/>
  <c r="F21036" i="1"/>
  <c r="F21054" i="1"/>
  <c r="F21080" i="1"/>
  <c r="F21129" i="1"/>
  <c r="F21155" i="1"/>
  <c r="F21260" i="1"/>
  <c r="F21403" i="1"/>
  <c r="F21413" i="1"/>
  <c r="F21554" i="1"/>
  <c r="F21878" i="1"/>
  <c r="F21975" i="1"/>
  <c r="F22032" i="1"/>
  <c r="F22323" i="1"/>
  <c r="F22362" i="1"/>
  <c r="F22370" i="1"/>
  <c r="F22690" i="1"/>
  <c r="F22761" i="1"/>
  <c r="F22799" i="1"/>
  <c r="F22941" i="1"/>
  <c r="F23000" i="1"/>
  <c r="F23002" i="1"/>
  <c r="F15486" i="1"/>
  <c r="F28764" i="1"/>
  <c r="F31006" i="1"/>
  <c r="F31014" i="1"/>
  <c r="F31720" i="1"/>
  <c r="F31963" i="1"/>
  <c r="F7085" i="1"/>
  <c r="F3078" i="1"/>
  <c r="F22288" i="1"/>
  <c r="F10455" i="1"/>
  <c r="F10149" i="1"/>
  <c r="F12933" i="1"/>
  <c r="F16098" i="1"/>
  <c r="F2520" i="1"/>
  <c r="F4616" i="1"/>
  <c r="F4543" i="1"/>
  <c r="F2765" i="1"/>
  <c r="F21038" i="1"/>
  <c r="F10125" i="1"/>
  <c r="F19330" i="1"/>
  <c r="F11732" i="1"/>
  <c r="F15267" i="1"/>
  <c r="F11034" i="1"/>
  <c r="F7103" i="1"/>
  <c r="F9228" i="1"/>
  <c r="F13686" i="1"/>
  <c r="F16395" i="1"/>
  <c r="F17670" i="1"/>
  <c r="F19363" i="1"/>
  <c r="F20620" i="1"/>
  <c r="F21428" i="1"/>
  <c r="F22846" i="1"/>
  <c r="F2348" i="1"/>
  <c r="F3796" i="1"/>
  <c r="F11092" i="1"/>
  <c r="F21988" i="1"/>
  <c r="F22084" i="1"/>
  <c r="F36645" i="1"/>
  <c r="F402" i="1"/>
  <c r="F34665" i="1"/>
  <c r="F34807" i="1"/>
  <c r="F34935" i="1"/>
  <c r="F11132" i="1"/>
  <c r="F35177" i="1"/>
  <c r="F36654" i="1"/>
  <c r="F21901" i="1"/>
  <c r="F12975" i="1"/>
  <c r="F36659" i="1"/>
  <c r="F11439" i="1"/>
  <c r="F8289" i="1"/>
  <c r="F53" i="1"/>
  <c r="F476" i="1"/>
  <c r="F609" i="1"/>
  <c r="F655" i="1"/>
  <c r="F661" i="1"/>
  <c r="F667" i="1"/>
  <c r="F715" i="1"/>
  <c r="F717" i="1"/>
  <c r="F718" i="1"/>
  <c r="F733" i="1"/>
  <c r="F739" i="1"/>
  <c r="F755" i="1"/>
  <c r="F765" i="1"/>
  <c r="F767" i="1"/>
  <c r="F769" i="1"/>
  <c r="F707" i="1"/>
  <c r="F918" i="1"/>
  <c r="F929" i="1"/>
  <c r="F931" i="1"/>
  <c r="F944" i="1"/>
  <c r="F955" i="1"/>
  <c r="F957" i="1"/>
  <c r="F989" i="1"/>
  <c r="F1057" i="1"/>
  <c r="F1061" i="1"/>
  <c r="F1076" i="1"/>
  <c r="F1079" i="1"/>
  <c r="F1083" i="1"/>
  <c r="F1107" i="1"/>
  <c r="F1109" i="1"/>
  <c r="F2306" i="1"/>
  <c r="F3545" i="1"/>
  <c r="F3553" i="1"/>
  <c r="F3569" i="1"/>
  <c r="F3614" i="1"/>
  <c r="F3665" i="1"/>
  <c r="F3673" i="1"/>
  <c r="F3705" i="1"/>
  <c r="F3805" i="1"/>
  <c r="F3855" i="1"/>
  <c r="F3857" i="1"/>
  <c r="F3887" i="1"/>
  <c r="F3889" i="1"/>
  <c r="F3893" i="1"/>
  <c r="F3895" i="1"/>
  <c r="F3955" i="1"/>
  <c r="F4215" i="1"/>
  <c r="F4217" i="1"/>
  <c r="F4219" i="1"/>
  <c r="F4221" i="1"/>
  <c r="F4223" i="1"/>
  <c r="F4225" i="1"/>
  <c r="F4227" i="1"/>
  <c r="F4229" i="1"/>
  <c r="F4233" i="1"/>
  <c r="F4237" i="1"/>
  <c r="F4239" i="1"/>
  <c r="F4241" i="1"/>
  <c r="F4473" i="1"/>
  <c r="F4475" i="1"/>
  <c r="F4477" i="1"/>
  <c r="F4479" i="1"/>
  <c r="F4481" i="1"/>
  <c r="F4483" i="1"/>
  <c r="F4485" i="1"/>
  <c r="F4487" i="1"/>
  <c r="F4525" i="1"/>
  <c r="F4533" i="1"/>
  <c r="F4630" i="1"/>
  <c r="F4666" i="1"/>
  <c r="F4687" i="1"/>
  <c r="F4691" i="1"/>
  <c r="F4731" i="1"/>
  <c r="F4733" i="1"/>
  <c r="F4735" i="1"/>
  <c r="F4739" i="1"/>
  <c r="F4741" i="1"/>
  <c r="F4747" i="1"/>
  <c r="F4751" i="1"/>
  <c r="F4758" i="1"/>
  <c r="F4770" i="1"/>
  <c r="F4773" i="1"/>
  <c r="F4786" i="1"/>
  <c r="F5347" i="1"/>
  <c r="F5350" i="1"/>
  <c r="F5555" i="1"/>
  <c r="F5595" i="1"/>
  <c r="F5592" i="1"/>
  <c r="F5597" i="1"/>
  <c r="F5599" i="1"/>
  <c r="F5627" i="1"/>
  <c r="F5629" i="1"/>
  <c r="F5746" i="1"/>
  <c r="F5748" i="1"/>
  <c r="F17357" i="1"/>
  <c r="F5844" i="1"/>
  <c r="F5854" i="1"/>
  <c r="F5855" i="1"/>
  <c r="F5903" i="1"/>
  <c r="F5907" i="1"/>
  <c r="F5911" i="1"/>
  <c r="F6026" i="1"/>
  <c r="F6028" i="1"/>
  <c r="F6035" i="1"/>
  <c r="F6037" i="1"/>
  <c r="F6039" i="1"/>
  <c r="F6041" i="1"/>
  <c r="F6043" i="1"/>
  <c r="F6045" i="1"/>
  <c r="F6047" i="1"/>
  <c r="F6049" i="1"/>
  <c r="F6053" i="1"/>
  <c r="F6055" i="1"/>
  <c r="F6057" i="1"/>
  <c r="F6061" i="1"/>
  <c r="F6063" i="1"/>
  <c r="F6074" i="1"/>
  <c r="F6119" i="1"/>
  <c r="F6135" i="1"/>
  <c r="F6153" i="1"/>
  <c r="F6393" i="1"/>
  <c r="F6401" i="1"/>
  <c r="F6409" i="1"/>
  <c r="F6426" i="1"/>
  <c r="F6570" i="1"/>
  <c r="F6633" i="1"/>
  <c r="F6660" i="1"/>
  <c r="F6676" i="1"/>
  <c r="F6683" i="1"/>
  <c r="F6690" i="1"/>
  <c r="F7480" i="1"/>
  <c r="F7485" i="1"/>
  <c r="F7537" i="1"/>
  <c r="F8207" i="1"/>
  <c r="F8208" i="1"/>
  <c r="F8214" i="1"/>
  <c r="F8246" i="1"/>
  <c r="F8264" i="1"/>
  <c r="F8267" i="1"/>
  <c r="F8278" i="1"/>
  <c r="F8280" i="1"/>
  <c r="F8286" i="1"/>
  <c r="F8297" i="1"/>
  <c r="F8290" i="1"/>
  <c r="F8301" i="1"/>
  <c r="F8309" i="1"/>
  <c r="F8311" i="1"/>
  <c r="F19892" i="1"/>
  <c r="F17359" i="1"/>
  <c r="F8317" i="1"/>
  <c r="F8319" i="1"/>
  <c r="F8335" i="1"/>
  <c r="F8352" i="1"/>
  <c r="F8354" i="1"/>
  <c r="F8356" i="1"/>
  <c r="F8366" i="1"/>
  <c r="F8714" i="1"/>
  <c r="F8725" i="1"/>
  <c r="F9274" i="1"/>
  <c r="F9270" i="1"/>
  <c r="F9309" i="1"/>
  <c r="F9311" i="1"/>
  <c r="F9313" i="1"/>
  <c r="F9899" i="1"/>
  <c r="F9922" i="1"/>
  <c r="F9988" i="1"/>
  <c r="F10788" i="1"/>
  <c r="F10792" i="1"/>
  <c r="F10813" i="1"/>
  <c r="F10823" i="1"/>
  <c r="F10824" i="1"/>
  <c r="F10821" i="1"/>
  <c r="F10828" i="1"/>
  <c r="F10829" i="1"/>
  <c r="F10831" i="1"/>
  <c r="F11060" i="1"/>
  <c r="F11112" i="1"/>
  <c r="F11121" i="1"/>
  <c r="F11201" i="1"/>
  <c r="F11368" i="1"/>
  <c r="F11374" i="1"/>
  <c r="F15779" i="1"/>
  <c r="F15810" i="1"/>
  <c r="F15808" i="1"/>
  <c r="F15844" i="1"/>
  <c r="F15951" i="1"/>
  <c r="F15953" i="1"/>
  <c r="F15979" i="1"/>
  <c r="F15980" i="1"/>
  <c r="F16080" i="1"/>
  <c r="F16273" i="1"/>
  <c r="F16277" i="1"/>
  <c r="F16280" i="1"/>
  <c r="F16281" i="1"/>
  <c r="F16275" i="1"/>
  <c r="F16300" i="1"/>
  <c r="F16301" i="1"/>
  <c r="F16311" i="1"/>
  <c r="F16314" i="1"/>
  <c r="F16320" i="1"/>
  <c r="F16418" i="1"/>
  <c r="F16442" i="1"/>
  <c r="F16450" i="1"/>
  <c r="F16452" i="1"/>
  <c r="F16454" i="1"/>
  <c r="F16456" i="1"/>
  <c r="F16470" i="1"/>
  <c r="F16473" i="1"/>
  <c r="F16476" i="1"/>
  <c r="F16479" i="1"/>
  <c r="F16494" i="1"/>
  <c r="F16500" i="1"/>
  <c r="F16503" i="1"/>
  <c r="F16554" i="1"/>
  <c r="F16556" i="1"/>
  <c r="F16609" i="1"/>
  <c r="F16623" i="1"/>
  <c r="F16649" i="1"/>
  <c r="F16708" i="1"/>
  <c r="F16780" i="1"/>
  <c r="F16782" i="1"/>
  <c r="F17230" i="1"/>
  <c r="F17271" i="1"/>
  <c r="F17279" i="1"/>
  <c r="F17293" i="1"/>
  <c r="F17355" i="1"/>
  <c r="F17361" i="1"/>
  <c r="F17363" i="1"/>
  <c r="F17365" i="1"/>
  <c r="F17379" i="1"/>
  <c r="F17399" i="1"/>
  <c r="F17447" i="1"/>
  <c r="F17462" i="1"/>
  <c r="F17465" i="1"/>
  <c r="F17467" i="1"/>
  <c r="F17469" i="1"/>
  <c r="F17512" i="1"/>
  <c r="F17924" i="1"/>
  <c r="F18067" i="1"/>
  <c r="F18116" i="1"/>
  <c r="F18247" i="1"/>
  <c r="F18278" i="1"/>
  <c r="F18332" i="1"/>
  <c r="F18334" i="1"/>
  <c r="F18335" i="1"/>
  <c r="F18338" i="1"/>
  <c r="F18340" i="1"/>
  <c r="F18342" i="1"/>
  <c r="F18398" i="1"/>
  <c r="F18410" i="1"/>
  <c r="F18417" i="1"/>
  <c r="F18430" i="1"/>
  <c r="F18437" i="1"/>
  <c r="F18443" i="1"/>
  <c r="F18445" i="1"/>
  <c r="F18450" i="1"/>
  <c r="F18505" i="1"/>
  <c r="F18697" i="1"/>
  <c r="F18728" i="1"/>
  <c r="F18765" i="1"/>
  <c r="F18767" i="1"/>
  <c r="F18853" i="1"/>
  <c r="F18868" i="1"/>
  <c r="F19160" i="1"/>
  <c r="F19175" i="1"/>
  <c r="F19185" i="1"/>
  <c r="F19187" i="1"/>
  <c r="F19686" i="1"/>
  <c r="F19696" i="1"/>
  <c r="F19698" i="1"/>
  <c r="F19700" i="1"/>
  <c r="F19705" i="1"/>
  <c r="F19702" i="1"/>
  <c r="F19722" i="1"/>
  <c r="F19723" i="1"/>
  <c r="F19742" i="1"/>
  <c r="F19744" i="1"/>
  <c r="F19767" i="1"/>
  <c r="F19850" i="1"/>
  <c r="F19851" i="1"/>
  <c r="F19904" i="1"/>
  <c r="F19906" i="1"/>
  <c r="F19907" i="1"/>
  <c r="F19966" i="1"/>
  <c r="F19974" i="1"/>
  <c r="F19990" i="1"/>
  <c r="F20068" i="1"/>
  <c r="F20270" i="1"/>
  <c r="F20688" i="1"/>
  <c r="F20693" i="1"/>
  <c r="F20695" i="1"/>
  <c r="F20697" i="1"/>
  <c r="F20699" i="1"/>
  <c r="F20701" i="1"/>
  <c r="F20770" i="1"/>
  <c r="F20867" i="1"/>
  <c r="F20871" i="1"/>
  <c r="F21672" i="1"/>
  <c r="F21693" i="1"/>
  <c r="F21728" i="1"/>
  <c r="F21913" i="1"/>
  <c r="F21914" i="1"/>
  <c r="F22008" i="1"/>
  <c r="F23885" i="1"/>
  <c r="F24045" i="1"/>
  <c r="F24221" i="1"/>
  <c r="F24246" i="1"/>
  <c r="F24264" i="1"/>
  <c r="F24329" i="1"/>
  <c r="F24342" i="1"/>
  <c r="F24465" i="1"/>
  <c r="F25006" i="1"/>
  <c r="F25210" i="1"/>
  <c r="F25157" i="1"/>
  <c r="F25246" i="1"/>
  <c r="F25249" i="1"/>
  <c r="F25277" i="1"/>
  <c r="F25380" i="1"/>
  <c r="F26156" i="1"/>
  <c r="F26232" i="1"/>
  <c r="F26503" i="1"/>
  <c r="F26566" i="1"/>
  <c r="F26570" i="1"/>
  <c r="F26909" i="1"/>
  <c r="F26973" i="1"/>
  <c r="F27019" i="1"/>
  <c r="F27263" i="1"/>
  <c r="F27336" i="1"/>
  <c r="F27349" i="1"/>
  <c r="F27505" i="1"/>
  <c r="F16305" i="1"/>
  <c r="F27577" i="1"/>
  <c r="F27946" i="1"/>
  <c r="F28051" i="1"/>
  <c r="F28069" i="1"/>
  <c r="F28076" i="1"/>
  <c r="F28451" i="1"/>
  <c r="F26924" i="1"/>
  <c r="F17367" i="1"/>
  <c r="F28592" i="1"/>
  <c r="F28596" i="1"/>
  <c r="F28612" i="1"/>
  <c r="F30378" i="1"/>
  <c r="F31123" i="1"/>
  <c r="F31157" i="1"/>
  <c r="F35359" i="1"/>
  <c r="F16428" i="1"/>
  <c r="F18428" i="1"/>
  <c r="F9197" i="1"/>
  <c r="F2300" i="1"/>
  <c r="F8299" i="1"/>
  <c r="F19714" i="1"/>
  <c r="F2316" i="1"/>
  <c r="F3523" i="1"/>
  <c r="F11061" i="1"/>
  <c r="F15780" i="1"/>
  <c r="F20687" i="1"/>
  <c r="F20846" i="1"/>
  <c r="F24898" i="1"/>
  <c r="F26963" i="1"/>
  <c r="F607" i="1"/>
  <c r="F710" i="1"/>
  <c r="F752" i="1"/>
  <c r="F763" i="1"/>
  <c r="F770" i="1"/>
  <c r="F1058" i="1"/>
  <c r="F1069" i="1"/>
  <c r="F1081" i="1"/>
  <c r="F1085" i="1"/>
  <c r="F1130" i="1"/>
  <c r="F2117" i="1"/>
  <c r="F2298" i="1"/>
  <c r="F3612" i="1"/>
  <c r="F4231" i="1"/>
  <c r="F4598" i="1"/>
  <c r="F4632" i="1"/>
  <c r="F4683" i="1"/>
  <c r="F4685" i="1"/>
  <c r="F4759" i="1"/>
  <c r="F5360" i="1"/>
  <c r="F6059" i="1"/>
  <c r="F6065" i="1"/>
  <c r="F6647" i="1"/>
  <c r="F8218" i="1"/>
  <c r="F8240" i="1"/>
  <c r="F8248" i="1"/>
  <c r="F8250" i="1"/>
  <c r="F8282" i="1"/>
  <c r="F8287" i="1"/>
  <c r="F8867" i="1"/>
  <c r="F9199" i="1"/>
  <c r="F10790" i="1"/>
  <c r="F11119" i="1"/>
  <c r="F11369" i="1"/>
  <c r="F12012" i="1"/>
  <c r="F15952" i="1"/>
  <c r="F15972" i="1"/>
  <c r="F16304" i="1"/>
  <c r="F16307" i="1"/>
  <c r="F16319" i="1"/>
  <c r="F16417" i="1"/>
  <c r="F16455" i="1"/>
  <c r="F16483" i="1"/>
  <c r="F16505" i="1"/>
  <c r="F16647" i="1"/>
  <c r="F16656" i="1"/>
  <c r="F16657" i="1"/>
  <c r="F17473" i="1"/>
  <c r="F18069" i="1"/>
  <c r="F18096" i="1"/>
  <c r="F18274" i="1"/>
  <c r="F18347" i="1"/>
  <c r="F18448" i="1"/>
  <c r="F19057" i="1"/>
  <c r="F19063" i="1"/>
  <c r="F19177" i="1"/>
  <c r="F19179" i="1"/>
  <c r="F19258" i="1"/>
  <c r="F19653" i="1"/>
  <c r="F19684" i="1"/>
  <c r="F19708" i="1"/>
  <c r="F19732" i="1"/>
  <c r="F19988" i="1"/>
  <c r="F20691" i="1"/>
  <c r="F20819" i="1"/>
  <c r="F20869" i="1"/>
  <c r="F21709" i="1"/>
  <c r="F24182" i="1"/>
  <c r="F2302" i="1"/>
  <c r="F4705" i="1"/>
  <c r="F4782" i="1"/>
  <c r="F18661" i="1"/>
  <c r="F6019" i="1"/>
  <c r="F6051" i="1"/>
  <c r="F6544" i="1"/>
  <c r="F8215" i="1"/>
  <c r="F8266" i="1"/>
  <c r="F8307" i="1"/>
  <c r="F8364" i="1"/>
  <c r="F9443" i="1"/>
  <c r="F11463" i="1"/>
  <c r="F15967" i="1"/>
  <c r="F15976" i="1"/>
  <c r="F16555" i="1"/>
  <c r="F16625" i="1"/>
  <c r="F17040" i="1"/>
  <c r="F17824" i="1"/>
  <c r="F17938" i="1"/>
  <c r="F18253" i="1"/>
  <c r="F18272" i="1"/>
  <c r="F18730" i="1"/>
  <c r="F19514" i="1"/>
  <c r="F19773" i="1"/>
  <c r="F772" i="1"/>
  <c r="F21679" i="1"/>
  <c r="F8303" i="1"/>
  <c r="F18172" i="1"/>
  <c r="F17570" i="1"/>
  <c r="F16274" i="1"/>
  <c r="F19847" i="1"/>
  <c r="F27672" i="1"/>
  <c r="F25690" i="1"/>
  <c r="F10834" i="1"/>
  <c r="F25261" i="1"/>
  <c r="F8868" i="1"/>
  <c r="F2051" i="1"/>
  <c r="F2318" i="1"/>
  <c r="F2541" i="1"/>
  <c r="F5086" i="1"/>
  <c r="F11694" i="1"/>
  <c r="F13210" i="1"/>
  <c r="F16721" i="1"/>
  <c r="F16740" i="1"/>
  <c r="F18090" i="1"/>
  <c r="F18160" i="1"/>
  <c r="F18304" i="1"/>
  <c r="F18364" i="1"/>
  <c r="F18366" i="1"/>
  <c r="F18815" i="1"/>
  <c r="F18870" i="1"/>
  <c r="F18987" i="1"/>
  <c r="F19516" i="1"/>
  <c r="F19522" i="1"/>
  <c r="F20000" i="1"/>
  <c r="F20194" i="1"/>
  <c r="F20563" i="1"/>
  <c r="F20944" i="1"/>
  <c r="F21169" i="1"/>
  <c r="F21430" i="1"/>
  <c r="F21580" i="1"/>
  <c r="F21677" i="1"/>
  <c r="F22022" i="1"/>
  <c r="F22313" i="1"/>
  <c r="F22684" i="1"/>
  <c r="F8112" i="1"/>
  <c r="F16413" i="1"/>
  <c r="F6606" i="1"/>
  <c r="F4743" i="1"/>
  <c r="F5617" i="1"/>
  <c r="F5989" i="1"/>
  <c r="F3515" i="1"/>
  <c r="F16070" i="1"/>
  <c r="F18058" i="1"/>
  <c r="F4737" i="1"/>
  <c r="F16068" i="1"/>
  <c r="F14481" i="1"/>
  <c r="F6271" i="1"/>
  <c r="F6031" i="1"/>
  <c r="F6383" i="1"/>
  <c r="F6734" i="1"/>
  <c r="F7729" i="1"/>
  <c r="F8020" i="1"/>
  <c r="F13486" i="1"/>
  <c r="F13149" i="1"/>
  <c r="F14445" i="1"/>
  <c r="F10576" i="1"/>
  <c r="F5522" i="1"/>
  <c r="F15260" i="1"/>
  <c r="F15594" i="1"/>
  <c r="F22285" i="1"/>
  <c r="F23985" i="1"/>
  <c r="F7990" i="1"/>
  <c r="F34159" i="1"/>
  <c r="F7587" i="1"/>
  <c r="F5693" i="1"/>
  <c r="F18991" i="1"/>
  <c r="F19147" i="1"/>
  <c r="F753" i="1"/>
  <c r="F1402" i="1"/>
  <c r="F6272" i="1"/>
  <c r="F6505" i="1"/>
  <c r="F6541" i="1"/>
  <c r="F7341" i="1"/>
  <c r="F7934" i="1"/>
  <c r="F7825" i="1"/>
  <c r="F7881" i="1"/>
  <c r="F9355" i="1"/>
  <c r="F10597" i="1"/>
  <c r="F13075" i="1"/>
  <c r="F15771" i="1"/>
  <c r="F16287" i="1"/>
  <c r="F18270" i="1"/>
  <c r="F23770" i="1"/>
  <c r="F23893" i="1"/>
  <c r="F24052" i="1"/>
  <c r="F25169" i="1"/>
  <c r="F25454" i="1"/>
  <c r="F26703" i="1"/>
  <c r="F26736" i="1"/>
  <c r="F26757" i="1"/>
  <c r="F27387" i="1"/>
  <c r="F31104" i="1"/>
  <c r="F31474" i="1"/>
  <c r="F31572" i="1"/>
  <c r="F35421" i="1"/>
  <c r="F657" i="1"/>
  <c r="F3866" i="1"/>
  <c r="F7364" i="1"/>
  <c r="F7793" i="1"/>
  <c r="F10810" i="1"/>
  <c r="F743" i="1"/>
  <c r="F16270" i="1"/>
  <c r="F18249" i="1"/>
  <c r="F18261" i="1"/>
  <c r="F18353" i="1"/>
  <c r="F18700" i="1"/>
  <c r="F23727" i="1"/>
  <c r="F25117" i="1"/>
  <c r="F26188" i="1"/>
  <c r="F26912" i="1"/>
  <c r="F26979" i="1"/>
  <c r="F17851" i="1"/>
  <c r="F12239" i="1"/>
  <c r="F746" i="1"/>
  <c r="F849" i="1"/>
  <c r="F831" i="1"/>
  <c r="F1013" i="1"/>
  <c r="F1016" i="1"/>
  <c r="F1023" i="1"/>
  <c r="F1039" i="1"/>
  <c r="F1409" i="1"/>
  <c r="F2215" i="1"/>
  <c r="F2343" i="1"/>
  <c r="F3829" i="1"/>
  <c r="F3868" i="1"/>
  <c r="F5794" i="1"/>
  <c r="F6150" i="1"/>
  <c r="F6088" i="1"/>
  <c r="F6273" i="1"/>
  <c r="F6403" i="1"/>
  <c r="F6535" i="1"/>
  <c r="F8820" i="1"/>
  <c r="F6664" i="1"/>
  <c r="F8828" i="1"/>
  <c r="F7474" i="1"/>
  <c r="F9937" i="1"/>
  <c r="F9531" i="1"/>
  <c r="F13368" i="1"/>
  <c r="F14003" i="1"/>
  <c r="F16078" i="1"/>
  <c r="F16448" i="1"/>
  <c r="F17228" i="1"/>
  <c r="F18208" i="1"/>
  <c r="F18349" i="1"/>
  <c r="F18782" i="1"/>
  <c r="F18791" i="1"/>
  <c r="F18942" i="1"/>
  <c r="F19244" i="1"/>
  <c r="F19781" i="1"/>
  <c r="F26919" i="1"/>
  <c r="F31193" i="1"/>
  <c r="F7835" i="1"/>
  <c r="F845" i="1"/>
  <c r="F740" i="1"/>
  <c r="F4647" i="1"/>
  <c r="F13366" i="1"/>
  <c r="F8826" i="1"/>
  <c r="F18259" i="1"/>
  <c r="F3756" i="1"/>
  <c r="F2367" i="1"/>
  <c r="F18460" i="1"/>
  <c r="F26699" i="1"/>
  <c r="F23743" i="1"/>
  <c r="F7883" i="1"/>
  <c r="F8834" i="1"/>
  <c r="F25966" i="1"/>
  <c r="F27236" i="1"/>
  <c r="F33744" i="1"/>
  <c r="F34936" i="1"/>
  <c r="F35163" i="1"/>
  <c r="F35898" i="1"/>
  <c r="F35927" i="1"/>
  <c r="F35964" i="1"/>
  <c r="F35954" i="1"/>
  <c r="F35960" i="1"/>
  <c r="F35993" i="1"/>
  <c r="F10655" i="1"/>
  <c r="F35180" i="1"/>
  <c r="F11199" i="1"/>
  <c r="F318" i="1"/>
  <c r="F8533" i="1"/>
  <c r="F8535" i="1"/>
  <c r="F16227" i="1"/>
  <c r="F12844" i="1"/>
  <c r="F35185" i="1"/>
  <c r="F18" i="1"/>
  <c r="F232" i="1"/>
  <c r="F260" i="1"/>
  <c r="F316" i="1"/>
  <c r="F5691" i="1"/>
  <c r="F378" i="1"/>
  <c r="F993" i="1"/>
  <c r="F3306" i="1"/>
  <c r="F3608" i="1"/>
  <c r="F4044" i="1"/>
  <c r="F5387" i="1"/>
  <c r="F5448" i="1"/>
  <c r="F5623" i="1"/>
  <c r="F5965" i="1"/>
  <c r="F5975" i="1"/>
  <c r="F5973" i="1"/>
  <c r="F8126" i="1"/>
  <c r="F8415" i="1"/>
  <c r="F8447" i="1"/>
  <c r="F8891" i="1"/>
  <c r="F9321" i="1"/>
  <c r="F9354" i="1"/>
  <c r="F7312" i="1"/>
  <c r="F11492" i="1"/>
  <c r="F14563" i="1"/>
  <c r="F14905" i="1"/>
  <c r="F286" i="1"/>
  <c r="F3573" i="1"/>
  <c r="F9319" i="1"/>
  <c r="F20222" i="1"/>
  <c r="F21691" i="1"/>
  <c r="F22822" i="1"/>
  <c r="F12036" i="1"/>
  <c r="F28253" i="1"/>
  <c r="F15971" i="1"/>
  <c r="F8350" i="1"/>
  <c r="F8478" i="1"/>
  <c r="F36039" i="1"/>
  <c r="F6834" i="1"/>
  <c r="F2926" i="1"/>
  <c r="F1285" i="1"/>
  <c r="F9229" i="1"/>
  <c r="F15557" i="1"/>
  <c r="F18936" i="1"/>
  <c r="F3316" i="1"/>
  <c r="F18937" i="1"/>
  <c r="F18940" i="1"/>
  <c r="F5170" i="1"/>
  <c r="F22418" i="1"/>
  <c r="F14473" i="1"/>
  <c r="F500" i="1"/>
  <c r="F4335" i="1"/>
  <c r="F3981" i="1"/>
  <c r="F8030" i="1"/>
  <c r="F12821" i="1"/>
  <c r="F25887" i="1"/>
  <c r="F27513" i="1"/>
  <c r="F33705" i="1"/>
  <c r="F29254" i="1"/>
  <c r="F18502" i="1"/>
  <c r="F3451" i="1"/>
  <c r="F1977" i="1"/>
  <c r="F1979" i="1"/>
  <c r="F2083" i="1"/>
  <c r="F3209" i="1"/>
  <c r="F3339" i="1"/>
  <c r="F4355" i="1"/>
  <c r="F12388" i="1"/>
  <c r="F13108" i="1"/>
  <c r="F13995" i="1"/>
  <c r="F14171" i="1"/>
  <c r="F14788" i="1"/>
  <c r="F15361" i="1"/>
  <c r="F16748" i="1"/>
  <c r="F17861" i="1"/>
  <c r="F18828" i="1"/>
  <c r="F19212" i="1"/>
  <c r="F20741" i="1"/>
  <c r="F21826" i="1"/>
  <c r="F7009" i="1"/>
  <c r="F8497" i="1"/>
  <c r="F19025" i="1"/>
  <c r="F35" i="1"/>
  <c r="F17646" i="1"/>
  <c r="F2539" i="1"/>
  <c r="F19439" i="1"/>
  <c r="F12833" i="1"/>
  <c r="F13053" i="1"/>
  <c r="F19586" i="1"/>
  <c r="F20823" i="1"/>
  <c r="F21207" i="1"/>
  <c r="F21907" i="1"/>
  <c r="F2627" i="1"/>
  <c r="F2693" i="1"/>
  <c r="F3563" i="1"/>
  <c r="F3847" i="1"/>
  <c r="F5407" i="1"/>
  <c r="F5567" i="1"/>
  <c r="F7926" i="1"/>
  <c r="F8115" i="1"/>
  <c r="F11747" i="1"/>
  <c r="F12676" i="1"/>
  <c r="F14044" i="1"/>
  <c r="F15318" i="1"/>
  <c r="F15535" i="1"/>
  <c r="F29032" i="1"/>
  <c r="F20580" i="1"/>
  <c r="F21045" i="1"/>
  <c r="F24399" i="1"/>
  <c r="F24863" i="1"/>
  <c r="F28378" i="1"/>
  <c r="F7961" i="1"/>
  <c r="F15035" i="1"/>
  <c r="F14372" i="1"/>
  <c r="F25608" i="1"/>
  <c r="F8740" i="1"/>
  <c r="F2852" i="1"/>
  <c r="F18008" i="1"/>
  <c r="F22222" i="1"/>
  <c r="F3357" i="1"/>
  <c r="F3098" i="1"/>
  <c r="F3195" i="1"/>
  <c r="F4167" i="1"/>
  <c r="F10758" i="1"/>
  <c r="F12010" i="1"/>
  <c r="F12118" i="1"/>
  <c r="F16493" i="1"/>
  <c r="F22994" i="1"/>
  <c r="F25610" i="1"/>
  <c r="F25878" i="1"/>
  <c r="F31635" i="1"/>
  <c r="F4777" i="1"/>
  <c r="F6602" i="1"/>
  <c r="F34641" i="1"/>
  <c r="F34806" i="1"/>
  <c r="F4168" i="1"/>
  <c r="F35973" i="1"/>
  <c r="F35994" i="1"/>
  <c r="F48" i="1"/>
  <c r="F148" i="1"/>
  <c r="F479" i="1"/>
  <c r="F1123" i="1"/>
  <c r="F2358" i="1"/>
  <c r="F5676" i="1"/>
  <c r="F4336" i="1"/>
  <c r="F6131" i="1"/>
  <c r="F7745" i="1"/>
  <c r="F6438" i="1"/>
  <c r="F11174" i="1"/>
  <c r="F11182" i="1"/>
  <c r="F18291" i="1"/>
  <c r="F18704" i="1"/>
  <c r="F19694" i="1"/>
  <c r="F19757" i="1"/>
  <c r="F20844" i="1"/>
  <c r="F26741" i="1"/>
  <c r="F382" i="1"/>
  <c r="F34061" i="1"/>
  <c r="F34647" i="1"/>
  <c r="F34649" i="1"/>
  <c r="F34685" i="1"/>
  <c r="F35928" i="1"/>
  <c r="F493" i="1"/>
  <c r="F515" i="1"/>
  <c r="F701" i="1"/>
  <c r="F4812" i="1"/>
  <c r="F4882" i="1"/>
  <c r="F4919" i="1"/>
  <c r="F4985" i="1"/>
  <c r="F5231" i="1"/>
  <c r="F5527" i="1"/>
  <c r="F5646" i="1"/>
  <c r="F5738" i="1"/>
  <c r="F5740" i="1"/>
  <c r="F5756" i="1"/>
  <c r="F5798" i="1"/>
  <c r="F6115" i="1"/>
  <c r="F7256" i="1"/>
  <c r="F8038" i="1"/>
  <c r="F8040" i="1"/>
  <c r="F8043" i="1"/>
  <c r="F8053" i="1"/>
  <c r="F8059" i="1"/>
  <c r="F8712" i="1"/>
  <c r="F8963" i="1"/>
  <c r="F10747" i="1"/>
  <c r="F11133" i="1"/>
  <c r="F12719" i="1"/>
  <c r="F15893" i="1"/>
  <c r="F15896" i="1"/>
  <c r="F15903" i="1"/>
  <c r="F15900" i="1"/>
  <c r="F15923" i="1"/>
  <c r="F18469" i="1"/>
  <c r="F19582" i="1"/>
  <c r="F20030" i="1"/>
  <c r="F20390" i="1"/>
  <c r="F20505" i="1"/>
  <c r="F20888" i="1"/>
  <c r="F20952" i="1"/>
  <c r="F26487" i="1"/>
  <c r="F28876" i="1"/>
  <c r="F29426" i="1"/>
  <c r="F35936" i="1"/>
  <c r="F7660" i="1"/>
  <c r="F19371" i="1"/>
  <c r="F19503" i="1"/>
  <c r="F29484" i="1"/>
  <c r="F3758" i="1"/>
  <c r="F4891" i="1"/>
  <c r="F6769" i="1"/>
  <c r="F7298" i="1"/>
  <c r="F7602" i="1"/>
  <c r="F12067" i="1"/>
  <c r="F16170" i="1"/>
  <c r="F27040" i="1"/>
  <c r="F31723" i="1"/>
  <c r="F28814" i="1"/>
  <c r="F29684" i="1"/>
  <c r="F31152" i="1"/>
  <c r="F31705" i="1"/>
  <c r="F34193" i="1"/>
  <c r="F14015" i="1"/>
  <c r="F14060" i="1"/>
  <c r="F17430" i="1"/>
  <c r="F21050" i="1"/>
  <c r="F4788" i="1"/>
  <c r="F2501" i="1"/>
  <c r="F2543" i="1"/>
  <c r="F2545" i="1"/>
  <c r="F3213" i="1"/>
  <c r="F3318" i="1"/>
  <c r="F4247" i="1"/>
  <c r="F4251" i="1"/>
  <c r="F4262" i="1"/>
  <c r="F4714" i="1"/>
  <c r="F7547" i="1"/>
  <c r="F7549" i="1"/>
  <c r="F7551" i="1"/>
  <c r="F7723" i="1"/>
  <c r="F10616" i="1"/>
  <c r="F10817" i="1"/>
  <c r="F11080" i="1"/>
  <c r="F11154" i="1"/>
  <c r="F17032" i="1"/>
  <c r="F19153" i="1"/>
  <c r="F19217" i="1"/>
  <c r="F20078" i="1"/>
  <c r="F20080" i="1"/>
  <c r="F20958" i="1"/>
  <c r="F20967" i="1"/>
  <c r="F20970" i="1"/>
  <c r="F21331" i="1"/>
  <c r="F21486" i="1"/>
  <c r="F21488" i="1"/>
  <c r="F21496" i="1"/>
  <c r="F21756" i="1"/>
  <c r="F21828" i="1"/>
  <c r="F21837" i="1"/>
  <c r="F21909" i="1"/>
  <c r="F21713" i="1"/>
  <c r="F11849" i="1"/>
  <c r="F12" i="1"/>
  <c r="F2659" i="1"/>
  <c r="F3164" i="1"/>
  <c r="F5230" i="1"/>
  <c r="F2" i="1"/>
  <c r="F3" i="1"/>
  <c r="F6748" i="1"/>
  <c r="F6750" i="1"/>
  <c r="F8164" i="1"/>
  <c r="F7644" i="1"/>
  <c r="F5" i="1"/>
  <c r="F6" i="1"/>
  <c r="F7" i="1"/>
  <c r="F13471" i="1"/>
  <c r="F16482" i="1"/>
  <c r="F8" i="1"/>
  <c r="F17857" i="1"/>
  <c r="F9" i="1"/>
  <c r="F10" i="1"/>
  <c r="F24576" i="1"/>
  <c r="F6418" i="1"/>
  <c r="F32164" i="1"/>
  <c r="F31681" i="1"/>
  <c r="F721" i="1"/>
  <c r="F4940" i="1"/>
  <c r="F7969" i="1"/>
  <c r="F8955" i="1"/>
  <c r="F10563" i="1"/>
  <c r="F11115" i="1"/>
  <c r="F19242" i="1"/>
  <c r="F21010" i="1"/>
  <c r="F29865" i="1"/>
  <c r="F34379" i="1"/>
  <c r="F859" i="1"/>
  <c r="F16727" i="1"/>
  <c r="F1071" i="1"/>
  <c r="F2308" i="1"/>
  <c r="F3995" i="1"/>
  <c r="F5577" i="1"/>
  <c r="F5061" i="1"/>
  <c r="F5118" i="1"/>
  <c r="F5123" i="1"/>
  <c r="F5126" i="1"/>
  <c r="F5158" i="1"/>
  <c r="F5159" i="1"/>
  <c r="F5579" i="1"/>
  <c r="F5581" i="1"/>
  <c r="F6307" i="1"/>
  <c r="F7707" i="1"/>
  <c r="F8130" i="1"/>
  <c r="F11117" i="1"/>
  <c r="F1019" i="1"/>
  <c r="F13066" i="1"/>
  <c r="F13079" i="1"/>
  <c r="F13083" i="1"/>
  <c r="F13087" i="1"/>
  <c r="F14912" i="1"/>
  <c r="F15563" i="1"/>
  <c r="F16725" i="1"/>
  <c r="F18612" i="1"/>
  <c r="F18614" i="1"/>
  <c r="F18620" i="1"/>
  <c r="F18622" i="1"/>
  <c r="F18899" i="1"/>
  <c r="F20624" i="1"/>
  <c r="F20626" i="1"/>
  <c r="F19266" i="1"/>
  <c r="F19592" i="1"/>
  <c r="F19890" i="1"/>
  <c r="F18616" i="1"/>
  <c r="F20412" i="1"/>
  <c r="F13081" i="1"/>
  <c r="F20628" i="1"/>
  <c r="F20656" i="1"/>
  <c r="F20899" i="1"/>
  <c r="F21451" i="1"/>
  <c r="F21852" i="1"/>
  <c r="F22656" i="1"/>
  <c r="F14973" i="1"/>
  <c r="F18618" i="1"/>
  <c r="F17942" i="1"/>
  <c r="F3835" i="1"/>
  <c r="F3845" i="1"/>
  <c r="F16371" i="1"/>
  <c r="F3843" i="1"/>
  <c r="F6681" i="1"/>
  <c r="F18708" i="1"/>
  <c r="F21448" i="1"/>
  <c r="F29570" i="1"/>
  <c r="F9185" i="1"/>
  <c r="F11" i="1"/>
  <c r="F22042" i="1"/>
  <c r="F10836" i="1"/>
  <c r="F10911" i="1"/>
  <c r="F10951" i="1"/>
  <c r="F14581" i="1"/>
  <c r="F23258" i="1"/>
  <c r="F23617" i="1"/>
  <c r="F106" i="1"/>
  <c r="F5450" i="1"/>
  <c r="F8918" i="1"/>
  <c r="F11612" i="1"/>
  <c r="F17018" i="1"/>
  <c r="F17019" i="1"/>
  <c r="F17827" i="1"/>
  <c r="F25459" i="1"/>
  <c r="F14041" i="1"/>
  <c r="F557" i="1"/>
  <c r="F3365" i="1"/>
  <c r="F12958" i="1"/>
  <c r="F19076" i="1"/>
  <c r="F3466" i="1"/>
  <c r="F4338" i="1"/>
  <c r="F11006" i="1"/>
  <c r="F12929" i="1"/>
  <c r="F13749" i="1"/>
  <c r="F21810" i="1"/>
  <c r="F33625" i="1"/>
  <c r="F21595" i="1"/>
  <c r="F123" i="1"/>
  <c r="F10721" i="1"/>
  <c r="F11461" i="1"/>
  <c r="F16834" i="1"/>
  <c r="F17309" i="1"/>
  <c r="F18585" i="1"/>
  <c r="F18587" i="1"/>
  <c r="F18843" i="1"/>
  <c r="F20528" i="1"/>
  <c r="F21373" i="1"/>
  <c r="F22753" i="1"/>
  <c r="F22966" i="1"/>
  <c r="F10438" i="1"/>
  <c r="F88" i="1"/>
  <c r="F85" i="1"/>
  <c r="F531" i="1"/>
  <c r="F535" i="1"/>
  <c r="F538" i="1"/>
  <c r="F905" i="1"/>
  <c r="F925" i="1"/>
  <c r="F1155" i="1"/>
  <c r="F1156" i="1"/>
  <c r="F1159" i="1"/>
  <c r="F1161" i="1"/>
  <c r="F1228" i="1"/>
  <c r="F1231" i="1"/>
  <c r="F10161" i="1"/>
  <c r="F35585" i="1"/>
  <c r="F2773" i="1"/>
  <c r="F2830" i="1"/>
  <c r="F3084" i="1"/>
  <c r="F3095" i="1"/>
  <c r="F3373" i="1"/>
  <c r="F3385" i="1"/>
  <c r="F3821" i="1"/>
  <c r="F4005" i="1"/>
  <c r="F4009" i="1"/>
  <c r="F4127" i="1"/>
  <c r="F4130" i="1"/>
  <c r="F4155" i="1"/>
  <c r="F4158" i="1"/>
  <c r="F4709" i="1"/>
  <c r="F4792" i="1"/>
  <c r="F4796" i="1"/>
  <c r="F4802" i="1"/>
  <c r="F4800" i="1"/>
  <c r="F4804" i="1"/>
  <c r="F4806" i="1"/>
  <c r="F4810" i="1"/>
  <c r="F4815" i="1"/>
  <c r="F4824" i="1"/>
  <c r="F4826" i="1"/>
  <c r="F5004" i="1"/>
  <c r="F9594" i="1"/>
  <c r="F5212" i="1"/>
  <c r="F5214" i="1"/>
  <c r="F5218" i="1"/>
  <c r="F5304" i="1"/>
  <c r="F5306" i="1"/>
  <c r="F30544" i="1"/>
  <c r="F5309" i="1"/>
  <c r="F5311" i="1"/>
  <c r="F5318" i="1"/>
  <c r="F5322" i="1"/>
  <c r="F5324" i="1"/>
  <c r="F5336" i="1"/>
  <c r="F5348" i="1"/>
  <c r="F5363" i="1"/>
  <c r="F5385" i="1"/>
  <c r="F5395" i="1"/>
  <c r="F5409" i="1"/>
  <c r="F5489" i="1"/>
  <c r="F5458" i="1"/>
  <c r="F5493" i="1"/>
  <c r="F5504" i="1"/>
  <c r="F5550" i="1"/>
  <c r="F5732" i="1"/>
  <c r="F5752" i="1"/>
  <c r="F5867" i="1"/>
  <c r="F5895" i="1"/>
  <c r="F9559" i="1"/>
  <c r="F9591" i="1"/>
  <c r="F9601" i="1"/>
  <c r="F9593" i="1"/>
  <c r="F18981" i="1"/>
  <c r="F9722" i="1"/>
  <c r="F9780" i="1"/>
  <c r="F5496" i="1"/>
  <c r="F10059" i="1"/>
  <c r="F10063" i="1"/>
  <c r="F10129" i="1"/>
  <c r="F10131" i="1"/>
  <c r="F10159" i="1"/>
  <c r="F30891" i="1"/>
  <c r="F10189" i="1"/>
  <c r="F10199" i="1"/>
  <c r="F5338" i="1"/>
  <c r="F5329" i="1"/>
  <c r="F10278" i="1"/>
  <c r="F4008" i="1"/>
  <c r="F10409" i="1"/>
  <c r="F9996" i="1"/>
  <c r="F10467" i="1"/>
  <c r="F10553" i="1"/>
  <c r="F10717" i="1"/>
  <c r="F11919" i="1"/>
  <c r="F11973" i="1"/>
  <c r="F11980" i="1"/>
  <c r="F12122" i="1"/>
  <c r="F13300" i="1"/>
  <c r="F13338" i="1"/>
  <c r="F13348" i="1"/>
  <c r="F13435" i="1"/>
  <c r="F13433" i="1"/>
  <c r="F13585" i="1"/>
  <c r="F13965" i="1"/>
  <c r="F14088" i="1"/>
  <c r="F14387" i="1"/>
  <c r="F14578" i="1"/>
  <c r="F14670" i="1"/>
  <c r="F15196" i="1"/>
  <c r="F15252" i="1"/>
  <c r="F15273" i="1"/>
  <c r="F15438" i="1"/>
  <c r="F15511" i="1"/>
  <c r="F15669" i="1"/>
  <c r="F15776" i="1"/>
  <c r="F15818" i="1"/>
  <c r="F16150" i="1"/>
  <c r="F16310" i="1"/>
  <c r="F16562" i="1"/>
  <c r="F16564" i="1"/>
  <c r="F16570" i="1"/>
  <c r="F16654" i="1"/>
  <c r="F16794" i="1"/>
  <c r="F17275" i="1"/>
  <c r="F17503" i="1"/>
  <c r="F18015" i="1"/>
  <c r="F18124" i="1"/>
  <c r="F2801" i="1"/>
  <c r="F19049" i="1"/>
  <c r="F19055" i="1"/>
  <c r="F19356" i="1"/>
  <c r="F9605" i="1"/>
  <c r="F19710" i="1"/>
  <c r="F19775" i="1"/>
  <c r="F19816" i="1"/>
  <c r="F19894" i="1"/>
  <c r="F19928" i="1"/>
  <c r="F20093" i="1"/>
  <c r="F20158" i="1"/>
  <c r="F20229" i="1"/>
  <c r="F20715" i="1"/>
  <c r="F20877" i="1"/>
  <c r="F21228" i="1"/>
  <c r="F21582" i="1"/>
  <c r="F21886" i="1"/>
  <c r="F21993" i="1"/>
  <c r="F12130" i="1"/>
  <c r="F22494" i="1"/>
  <c r="F22921" i="1"/>
  <c r="F25204" i="1"/>
  <c r="F25636" i="1"/>
  <c r="F26015" i="1"/>
  <c r="F1286" i="1"/>
  <c r="F26159" i="1"/>
  <c r="F10346" i="1"/>
  <c r="F26185" i="1"/>
  <c r="F26724" i="1"/>
  <c r="F30985" i="1"/>
  <c r="F28725" i="1"/>
  <c r="F29148" i="1"/>
  <c r="F30508" i="1"/>
  <c r="F30545" i="1"/>
  <c r="F10171" i="1"/>
  <c r="F30608" i="1"/>
  <c r="F10515" i="1"/>
  <c r="F30797" i="1"/>
  <c r="F30949" i="1"/>
  <c r="F30959" i="1"/>
  <c r="F30977" i="1"/>
  <c r="F20122" i="1"/>
  <c r="F10029" i="1"/>
  <c r="F31259" i="1"/>
  <c r="F31510" i="1"/>
  <c r="F31543" i="1"/>
  <c r="F32005" i="1"/>
  <c r="F33415" i="1"/>
  <c r="F30964" i="1"/>
  <c r="F35814" i="1"/>
  <c r="F36306" i="1"/>
  <c r="F36311" i="1"/>
  <c r="F10539" i="1"/>
  <c r="F11954" i="1"/>
  <c r="F540" i="1"/>
  <c r="F4794" i="1"/>
  <c r="F15256" i="1"/>
  <c r="F2974" i="1"/>
  <c r="F4674" i="1"/>
  <c r="F10556" i="1"/>
  <c r="F5868" i="1"/>
  <c r="F10187" i="1"/>
  <c r="F9718" i="1"/>
  <c r="F10255" i="1"/>
  <c r="F3096" i="1"/>
  <c r="F19996" i="1"/>
  <c r="F30549" i="1"/>
  <c r="F20380" i="1"/>
  <c r="F9596" i="1"/>
  <c r="F16468" i="1"/>
  <c r="F19997" i="1"/>
  <c r="F31036" i="1"/>
  <c r="F434" i="1"/>
  <c r="F436" i="1"/>
  <c r="F440" i="1"/>
  <c r="F467" i="1"/>
  <c r="F534" i="1"/>
  <c r="F544" i="1"/>
  <c r="F545" i="1"/>
  <c r="F625" i="1"/>
  <c r="F630" i="1"/>
  <c r="F2776" i="1"/>
  <c r="F28391" i="1"/>
  <c r="F30982" i="1"/>
  <c r="F3375" i="1"/>
  <c r="F3379" i="1"/>
  <c r="F3637" i="1"/>
  <c r="F3658" i="1"/>
  <c r="F4012" i="1"/>
  <c r="F4564" i="1"/>
  <c r="F4675" i="1"/>
  <c r="F4798" i="1"/>
  <c r="F4807" i="1"/>
  <c r="F4973" i="1"/>
  <c r="F5238" i="1"/>
  <c r="F5308" i="1"/>
  <c r="F5316" i="1"/>
  <c r="F5325" i="1"/>
  <c r="F5328" i="1"/>
  <c r="F5343" i="1"/>
  <c r="F5453" i="1"/>
  <c r="F5485" i="1"/>
  <c r="F5491" i="1"/>
  <c r="F5807" i="1"/>
  <c r="F5897" i="1"/>
  <c r="F6008" i="1"/>
  <c r="F6175" i="1"/>
  <c r="F7394" i="1"/>
  <c r="F7429" i="1"/>
  <c r="F7958" i="1"/>
  <c r="F9179" i="1"/>
  <c r="F9603" i="1"/>
  <c r="F9607" i="1"/>
  <c r="F9638" i="1"/>
  <c r="F9679" i="1"/>
  <c r="F9835" i="1"/>
  <c r="F9849" i="1"/>
  <c r="F10050" i="1"/>
  <c r="F10119" i="1"/>
  <c r="F10142" i="1"/>
  <c r="F10163" i="1"/>
  <c r="F10169" i="1"/>
  <c r="F10173" i="1"/>
  <c r="F10228" i="1"/>
  <c r="F10230" i="1"/>
  <c r="F10238" i="1"/>
  <c r="F10239" i="1"/>
  <c r="F10285" i="1"/>
  <c r="F10309" i="1"/>
  <c r="F10314" i="1"/>
  <c r="F10404" i="1"/>
  <c r="F10451" i="1"/>
  <c r="F10452" i="1"/>
  <c r="F10502" i="1"/>
  <c r="F17504" i="1"/>
  <c r="F10657" i="1"/>
  <c r="F10673" i="1"/>
  <c r="F10769" i="1"/>
  <c r="F11071" i="1"/>
  <c r="F11180" i="1"/>
  <c r="F11664" i="1"/>
  <c r="F11716" i="1"/>
  <c r="F11946" i="1"/>
  <c r="F11987" i="1"/>
  <c r="F12539" i="1"/>
  <c r="F9616" i="1"/>
  <c r="F13146" i="1"/>
  <c r="F13260" i="1"/>
  <c r="F13277" i="1"/>
  <c r="F14402" i="1"/>
  <c r="F14602" i="1"/>
  <c r="F14746" i="1"/>
  <c r="F14926" i="1"/>
  <c r="F15082" i="1"/>
  <c r="F15220" i="1"/>
  <c r="F15523" i="1"/>
  <c r="F16472" i="1"/>
  <c r="F16565" i="1"/>
  <c r="F16791" i="1"/>
  <c r="F16798" i="1"/>
  <c r="F16806" i="1"/>
  <c r="F16810" i="1"/>
  <c r="F17282" i="1"/>
  <c r="F17963" i="1"/>
  <c r="F17965" i="1"/>
  <c r="F17996" i="1"/>
  <c r="F19158" i="1"/>
  <c r="F19204" i="1"/>
  <c r="F19332" i="1"/>
  <c r="F19489" i="1"/>
  <c r="F20126" i="1"/>
  <c r="F14823" i="1"/>
  <c r="F20381" i="1"/>
  <c r="F20468" i="1"/>
  <c r="F20581" i="1"/>
  <c r="F20732" i="1"/>
  <c r="F20746" i="1"/>
  <c r="F21113" i="1"/>
  <c r="F21148" i="1"/>
  <c r="F21242" i="1"/>
  <c r="F11774" i="1"/>
  <c r="F21884" i="1"/>
  <c r="F10097" i="1"/>
  <c r="F22506" i="1"/>
  <c r="F22537" i="1"/>
  <c r="F9801" i="1"/>
  <c r="F25727" i="1"/>
  <c r="F25758" i="1"/>
  <c r="F25855" i="1"/>
  <c r="F26017" i="1"/>
  <c r="F26179" i="1"/>
  <c r="F26772" i="1"/>
  <c r="F27108" i="1"/>
  <c r="F17276" i="1"/>
  <c r="F27775" i="1"/>
  <c r="F28352" i="1"/>
  <c r="F29249" i="1"/>
  <c r="F13344" i="1"/>
  <c r="F2948" i="1"/>
  <c r="F30521" i="1"/>
  <c r="F2829" i="1"/>
  <c r="F30955" i="1"/>
  <c r="F30970" i="1"/>
  <c r="F30973" i="1"/>
  <c r="F30987" i="1"/>
  <c r="F30993" i="1"/>
  <c r="F30996" i="1"/>
  <c r="F31794" i="1"/>
  <c r="F2808" i="1"/>
  <c r="F2961" i="1"/>
  <c r="F34717" i="1"/>
  <c r="F34760" i="1"/>
  <c r="F35210" i="1"/>
  <c r="F36314" i="1"/>
  <c r="F35440" i="1"/>
  <c r="F30967" i="1"/>
  <c r="F10099" i="1"/>
  <c r="F7430" i="1"/>
  <c r="F21243" i="1"/>
  <c r="F18016" i="1"/>
  <c r="F10057" i="1"/>
  <c r="F10503" i="1"/>
  <c r="F10347" i="1"/>
  <c r="F10202" i="1"/>
  <c r="F13695" i="1"/>
  <c r="F10368" i="1"/>
  <c r="F10310" i="1"/>
  <c r="F10528" i="1"/>
  <c r="F23030" i="1"/>
  <c r="F5330" i="1"/>
  <c r="F25845" i="1"/>
  <c r="F10341" i="1"/>
  <c r="F21255" i="1"/>
  <c r="F5257" i="1"/>
  <c r="F22632" i="1"/>
  <c r="F15086" i="1"/>
  <c r="F19730" i="1"/>
  <c r="F2822" i="1"/>
  <c r="F4378" i="1"/>
  <c r="F35477" i="1"/>
  <c r="F10075" i="1"/>
  <c r="F5494" i="1"/>
  <c r="F3122" i="1"/>
  <c r="F15644" i="1"/>
  <c r="F12384" i="1"/>
  <c r="F15131" i="1"/>
  <c r="F14802" i="1"/>
  <c r="F13845" i="1"/>
  <c r="F5909" i="1"/>
  <c r="F7641" i="1"/>
  <c r="F750" i="1"/>
  <c r="F20204" i="1"/>
  <c r="F8961" i="1"/>
  <c r="F5792" i="1"/>
  <c r="F18934" i="1"/>
  <c r="F8598" i="1"/>
  <c r="F15250" i="1"/>
  <c r="F13122" i="1"/>
  <c r="F12518" i="1"/>
  <c r="F8880" i="1"/>
  <c r="F2958" i="1"/>
  <c r="F9987" i="1"/>
  <c r="F5553" i="1"/>
  <c r="F15571" i="1"/>
  <c r="F7889" i="1"/>
  <c r="F6090" i="1"/>
  <c r="F21157" i="1"/>
  <c r="F5864" i="1"/>
  <c r="F6511" i="1"/>
  <c r="F21657" i="1"/>
  <c r="F8893" i="1"/>
  <c r="F8795" i="1"/>
  <c r="F13765" i="1"/>
  <c r="F8818" i="1"/>
  <c r="F14806" i="1"/>
  <c r="F20278" i="1"/>
  <c r="F5389" i="1"/>
  <c r="F14716" i="1"/>
  <c r="F17520" i="1"/>
  <c r="F15133" i="1"/>
  <c r="F5622" i="1"/>
  <c r="F8793" i="1"/>
  <c r="F12368" i="1"/>
  <c r="F14613" i="1"/>
  <c r="F11198" i="1"/>
  <c r="F6521" i="1"/>
  <c r="F5730" i="1"/>
  <c r="F22284" i="1"/>
  <c r="F5403" i="1"/>
  <c r="F6515" i="1"/>
  <c r="F5849" i="1"/>
  <c r="F7906" i="1"/>
  <c r="F9360" i="1"/>
  <c r="F8091" i="1"/>
  <c r="F15030" i="1"/>
  <c r="F22947" i="1"/>
  <c r="F19796" i="1"/>
  <c r="F3827" i="1"/>
  <c r="F5772" i="1"/>
  <c r="F5774" i="1"/>
  <c r="F14674" i="1"/>
  <c r="F14684" i="1"/>
  <c r="F15281" i="1"/>
  <c r="F13112" i="1"/>
  <c r="F6713" i="1"/>
  <c r="F13114" i="1"/>
  <c r="F15283" i="1"/>
  <c r="F1289" i="1"/>
  <c r="F22002" i="1"/>
  <c r="F5233" i="1"/>
  <c r="F12160" i="1"/>
  <c r="F12907" i="1"/>
  <c r="F14778" i="1"/>
  <c r="F18266" i="1"/>
  <c r="F18486" i="1"/>
  <c r="F19348" i="1"/>
  <c r="F19638" i="1"/>
  <c r="F26539" i="1"/>
  <c r="F20622" i="1"/>
  <c r="F20711" i="1"/>
  <c r="F21209" i="1"/>
  <c r="F21333" i="1"/>
  <c r="F23024" i="1"/>
  <c r="F31118" i="1"/>
  <c r="F35298" i="1"/>
  <c r="F18654" i="1"/>
  <c r="F1543" i="1"/>
  <c r="F6351" i="1"/>
  <c r="F11457" i="1"/>
  <c r="F12245" i="1"/>
  <c r="F15969" i="1"/>
  <c r="F16066" i="1"/>
  <c r="F16463" i="1"/>
  <c r="F22347" i="1"/>
  <c r="F2247" i="1"/>
  <c r="F17015" i="1"/>
  <c r="F19401" i="1"/>
  <c r="F29644" i="1"/>
  <c r="F170" i="1"/>
  <c r="F4954" i="1"/>
  <c r="F5006" i="1"/>
  <c r="F5237" i="1"/>
  <c r="F5302" i="1"/>
  <c r="F5761" i="1"/>
  <c r="F6111" i="1"/>
  <c r="F17527" i="1"/>
  <c r="F17542" i="1"/>
  <c r="F19783" i="1"/>
  <c r="F20615" i="1"/>
  <c r="F20748" i="1"/>
  <c r="F21180" i="1"/>
  <c r="F21888" i="1"/>
  <c r="F21981" i="1"/>
  <c r="F26524" i="1"/>
  <c r="F55" i="1"/>
  <c r="F82" i="1"/>
  <c r="F407" i="1"/>
  <c r="F761" i="1"/>
  <c r="F863" i="1"/>
  <c r="F1332" i="1"/>
  <c r="F1340" i="1"/>
  <c r="F2155" i="1"/>
  <c r="F2245" i="1"/>
  <c r="F3519" i="1"/>
  <c r="F3648" i="1"/>
  <c r="F3779" i="1"/>
  <c r="F3877" i="1"/>
  <c r="F3879" i="1"/>
  <c r="F3881" i="1"/>
  <c r="F3947" i="1"/>
  <c r="F5469" i="1"/>
  <c r="F5881" i="1"/>
  <c r="F5986" i="1"/>
  <c r="F6013" i="1"/>
  <c r="F6625" i="1"/>
  <c r="F7452" i="1"/>
  <c r="F7545" i="1"/>
  <c r="F10802" i="1"/>
  <c r="F8600" i="1"/>
  <c r="F9447" i="1"/>
  <c r="F12006" i="1"/>
  <c r="F12465" i="1"/>
  <c r="F13623" i="1"/>
  <c r="F13759" i="1"/>
  <c r="F14324" i="1"/>
  <c r="F14963" i="1"/>
  <c r="F15297" i="1"/>
  <c r="F15778" i="1"/>
  <c r="F15803" i="1"/>
  <c r="F15807" i="1"/>
  <c r="F15830" i="1"/>
  <c r="F15834" i="1"/>
  <c r="F15936" i="1"/>
  <c r="F15978" i="1"/>
  <c r="F16036" i="1"/>
  <c r="F16154" i="1"/>
  <c r="F16283" i="1"/>
  <c r="F16293" i="1"/>
  <c r="F16325" i="1"/>
  <c r="F16415" i="1"/>
  <c r="F16422" i="1"/>
  <c r="F16430" i="1"/>
  <c r="F16438" i="1"/>
  <c r="F16444" i="1"/>
  <c r="F16446" i="1"/>
  <c r="F16487" i="1"/>
  <c r="F16489" i="1"/>
  <c r="F16491" i="1"/>
  <c r="F16496" i="1"/>
  <c r="F16502" i="1"/>
  <c r="F16511" i="1"/>
  <c r="F16552" i="1"/>
  <c r="F16606" i="1"/>
  <c r="F16617" i="1"/>
  <c r="F16784" i="1"/>
  <c r="F16828" i="1"/>
  <c r="F17297" i="1"/>
  <c r="F17299" i="1"/>
  <c r="F17301" i="1"/>
  <c r="F17538" i="1"/>
  <c r="F18054" i="1"/>
  <c r="F18458" i="1"/>
  <c r="F18926" i="1"/>
  <c r="F19183" i="1"/>
  <c r="F19466" i="1"/>
  <c r="F19550" i="1"/>
  <c r="F19632" i="1"/>
  <c r="F19859" i="1"/>
  <c r="F20894" i="1"/>
  <c r="F21540" i="1"/>
  <c r="F21670" i="1"/>
  <c r="F21687" i="1"/>
  <c r="F21768" i="1"/>
  <c r="F21854" i="1"/>
  <c r="F22647" i="1"/>
  <c r="F7507" i="1"/>
  <c r="F4903" i="1"/>
  <c r="F7375" i="1"/>
  <c r="F7377" i="1"/>
  <c r="F7703" i="1"/>
  <c r="F10079" i="1"/>
  <c r="F10223" i="1"/>
  <c r="F11885" i="1"/>
  <c r="F11981" i="1"/>
  <c r="F12586" i="1"/>
  <c r="F13316" i="1"/>
  <c r="F16568" i="1"/>
  <c r="F16814" i="1"/>
  <c r="F18237" i="1"/>
  <c r="F18433" i="1"/>
  <c r="F20754" i="1"/>
  <c r="F20835" i="1"/>
  <c r="F20839" i="1"/>
  <c r="F21498" i="1"/>
  <c r="F29096" i="1"/>
  <c r="F23" i="1"/>
  <c r="F27" i="1"/>
  <c r="F51" i="1"/>
  <c r="F84" i="1"/>
  <c r="F134" i="1"/>
  <c r="F328" i="1"/>
  <c r="F362" i="1"/>
  <c r="F366" i="1"/>
  <c r="F458" i="1"/>
  <c r="F478" i="1"/>
  <c r="F560" i="1"/>
  <c r="F562" i="1"/>
  <c r="F1417" i="1"/>
  <c r="F1444" i="1"/>
  <c r="F1446" i="1"/>
  <c r="F1491" i="1"/>
  <c r="F1503" i="1"/>
  <c r="F1523" i="1"/>
  <c r="F1621" i="1"/>
  <c r="F1623" i="1"/>
  <c r="F1633" i="1"/>
  <c r="F1757" i="1"/>
  <c r="F1919" i="1"/>
  <c r="F2035" i="1"/>
  <c r="F2037" i="1"/>
  <c r="F2123" i="1"/>
  <c r="F2339" i="1"/>
  <c r="F2357" i="1"/>
  <c r="F2369" i="1"/>
  <c r="F2371" i="1"/>
  <c r="F2434" i="1"/>
  <c r="F2493" i="1"/>
  <c r="F2495" i="1"/>
  <c r="F2497" i="1"/>
  <c r="F2499" i="1"/>
  <c r="F2533" i="1"/>
  <c r="F2562" i="1"/>
  <c r="F2564" i="1"/>
  <c r="F2572" i="1"/>
  <c r="F2988" i="1"/>
  <c r="F3104" i="1"/>
  <c r="F3106" i="1"/>
  <c r="F3137" i="1"/>
  <c r="F3139" i="1"/>
  <c r="F3168" i="1"/>
  <c r="F3182" i="1"/>
  <c r="F3186" i="1"/>
  <c r="F3188" i="1"/>
  <c r="F3190" i="1"/>
  <c r="F3389" i="1"/>
  <c r="F3549" i="1"/>
  <c r="F3654" i="1"/>
  <c r="F3863" i="1"/>
  <c r="F3911" i="1"/>
  <c r="F4199" i="1"/>
  <c r="F4653" i="1"/>
  <c r="F4959" i="1"/>
  <c r="F5001" i="1"/>
  <c r="F5271" i="1"/>
  <c r="F5473" i="1"/>
  <c r="F6858" i="1"/>
  <c r="F6860" i="1"/>
  <c r="F6920" i="1"/>
  <c r="F6956" i="1"/>
  <c r="F7087" i="1"/>
  <c r="F7392" i="1"/>
  <c r="F7515" i="1"/>
  <c r="F7563" i="1"/>
  <c r="F7613" i="1"/>
  <c r="F7713" i="1"/>
  <c r="F7801" i="1"/>
  <c r="F8376" i="1"/>
  <c r="F8646" i="1"/>
  <c r="F5112" i="1"/>
  <c r="F9139" i="1"/>
  <c r="F9145" i="1"/>
  <c r="F9147" i="1"/>
  <c r="F9155" i="1"/>
  <c r="F11497" i="1"/>
  <c r="F11577" i="1"/>
  <c r="F11682" i="1"/>
  <c r="F11769" i="1"/>
  <c r="F12002" i="1"/>
  <c r="F12034" i="1"/>
  <c r="F12095" i="1"/>
  <c r="F12101" i="1"/>
  <c r="F12725" i="1"/>
  <c r="F13104" i="1"/>
  <c r="F13156" i="1"/>
  <c r="F14385" i="1"/>
  <c r="F15242" i="1"/>
  <c r="F15921" i="1"/>
  <c r="F16031" i="1"/>
  <c r="F16265" i="1"/>
  <c r="F16387" i="1"/>
  <c r="F16391" i="1"/>
  <c r="F16475" i="1"/>
  <c r="F16529" i="1"/>
  <c r="F16754" i="1"/>
  <c r="F16773" i="1"/>
  <c r="F16818" i="1"/>
  <c r="F17224" i="1"/>
  <c r="F17226" i="1"/>
  <c r="F17456" i="1"/>
  <c r="F17460" i="1"/>
  <c r="F17480" i="1"/>
  <c r="F17891" i="1"/>
  <c r="F18513" i="1"/>
  <c r="F18515" i="1"/>
  <c r="F19982" i="1"/>
  <c r="F20052" i="1"/>
  <c r="F20056" i="1"/>
  <c r="F20260" i="1"/>
  <c r="F20444" i="1"/>
  <c r="F20490" i="1"/>
  <c r="F22068" i="1"/>
  <c r="F22070" i="1"/>
  <c r="F22078" i="1"/>
  <c r="F22482" i="1"/>
  <c r="F22555" i="1"/>
  <c r="F22801" i="1"/>
  <c r="F22897" i="1"/>
  <c r="F23014" i="1"/>
  <c r="F695" i="1"/>
  <c r="F4315" i="1"/>
  <c r="F4316" i="1"/>
  <c r="F4627" i="1"/>
  <c r="F6846" i="1"/>
  <c r="F6869" i="1"/>
  <c r="F7656" i="1"/>
  <c r="F9336" i="1"/>
  <c r="F9976" i="1"/>
  <c r="F9981" i="1"/>
  <c r="F13783" i="1"/>
  <c r="F16050" i="1"/>
  <c r="F19087" i="1"/>
  <c r="F19542" i="1"/>
  <c r="F19663" i="1"/>
  <c r="F22972" i="1"/>
  <c r="F28125" i="1"/>
  <c r="F32936" i="1"/>
  <c r="F35725" i="1"/>
  <c r="F34855" i="1"/>
  <c r="F689" i="1"/>
  <c r="F2280" i="1"/>
  <c r="F4132" i="1"/>
  <c r="F4968" i="1"/>
  <c r="F5757" i="1"/>
  <c r="F7773" i="1"/>
  <c r="F12614" i="1"/>
  <c r="F13975" i="1"/>
  <c r="F14997" i="1"/>
  <c r="F15344" i="1"/>
  <c r="F21627" i="1"/>
  <c r="F21805" i="1"/>
  <c r="F23501" i="1"/>
  <c r="F24694" i="1"/>
  <c r="F26550" i="1"/>
  <c r="F27660" i="1"/>
  <c r="F30012" i="1"/>
  <c r="F30018" i="1"/>
  <c r="F30290" i="1"/>
  <c r="F30398" i="1"/>
  <c r="F32285" i="1"/>
  <c r="F33075" i="1"/>
  <c r="F33079" i="1"/>
  <c r="F33305" i="1"/>
  <c r="F34102" i="1"/>
  <c r="F34356" i="1"/>
  <c r="F17819" i="1"/>
  <c r="F980" i="1"/>
  <c r="F1964" i="1"/>
  <c r="F2229" i="1"/>
  <c r="F4950" i="1"/>
  <c r="F5569" i="1"/>
  <c r="F13248" i="1"/>
  <c r="F13793" i="1"/>
  <c r="F15166" i="1"/>
  <c r="F15421" i="1"/>
  <c r="F17094" i="1"/>
  <c r="F17656" i="1"/>
  <c r="F17833" i="1"/>
  <c r="F18147" i="1"/>
  <c r="F21251" i="1"/>
  <c r="F21385" i="1"/>
  <c r="F22434" i="1"/>
  <c r="F20778" i="1"/>
  <c r="F5565" i="1"/>
  <c r="F15258" i="1"/>
  <c r="F1699" i="1"/>
  <c r="F1697" i="1"/>
  <c r="F11584" i="1"/>
  <c r="F3689" i="1"/>
  <c r="F5709" i="1"/>
  <c r="F2320" i="1"/>
  <c r="F6474" i="1"/>
  <c r="F7497" i="1"/>
  <c r="F6686" i="1"/>
  <c r="F8294" i="1"/>
  <c r="F10773" i="1"/>
  <c r="F11089" i="1"/>
  <c r="F17317" i="1"/>
  <c r="F18695" i="1"/>
  <c r="F26170" i="1"/>
  <c r="F36648" i="1"/>
  <c r="F26651" i="1"/>
  <c r="F33931" i="1"/>
  <c r="F34313" i="1"/>
  <c r="F34402" i="1"/>
  <c r="F8977" i="1"/>
  <c r="F11431" i="1"/>
  <c r="F35904" i="1"/>
  <c r="F35913" i="1"/>
  <c r="F35967" i="1"/>
  <c r="F36258" i="1"/>
  <c r="F1001" i="1"/>
  <c r="F2608" i="1"/>
  <c r="F3085" i="1"/>
  <c r="F4765" i="1"/>
  <c r="F9613" i="1"/>
  <c r="F10157" i="1"/>
  <c r="F13330" i="1"/>
  <c r="F14837" i="1"/>
  <c r="F15352" i="1"/>
  <c r="F15658" i="1"/>
  <c r="F16799" i="1"/>
  <c r="F23691" i="1"/>
  <c r="F31143" i="1"/>
  <c r="F31739" i="1"/>
  <c r="F34999" i="1"/>
  <c r="F35763" i="1"/>
  <c r="F627" i="1"/>
  <c r="F2633" i="1"/>
  <c r="F3935" i="1"/>
  <c r="F4116" i="1"/>
  <c r="F4282" i="1"/>
  <c r="F4775" i="1"/>
  <c r="F4914" i="1"/>
  <c r="F5889" i="1"/>
  <c r="F5992" i="1"/>
  <c r="F6621" i="1"/>
  <c r="F9008" i="1"/>
  <c r="F9629" i="1"/>
  <c r="F10105" i="1"/>
  <c r="F10019" i="1"/>
  <c r="F11913" i="1"/>
  <c r="F12903" i="1"/>
  <c r="F13363" i="1"/>
  <c r="F14134" i="1"/>
  <c r="F14349" i="1"/>
  <c r="F14413" i="1"/>
  <c r="F15584" i="1"/>
  <c r="F15595" i="1"/>
  <c r="F15682" i="1"/>
  <c r="F18983" i="1"/>
  <c r="F19431" i="1"/>
  <c r="F19642" i="1"/>
  <c r="F21137" i="1"/>
  <c r="F25642" i="1"/>
  <c r="F26800" i="1"/>
  <c r="F28880" i="1"/>
  <c r="F31341" i="1"/>
  <c r="F400" i="1"/>
  <c r="F639" i="1"/>
  <c r="F1063" i="1"/>
  <c r="F5659" i="1"/>
  <c r="F5887" i="1"/>
  <c r="F6172" i="1"/>
  <c r="F9615" i="1"/>
  <c r="F8083" i="1"/>
  <c r="F9285" i="1"/>
  <c r="F10026" i="1"/>
  <c r="F9854" i="1"/>
  <c r="F10369" i="1"/>
  <c r="F10478" i="1"/>
  <c r="F13185" i="1"/>
  <c r="F13286" i="1"/>
  <c r="F14185" i="1"/>
  <c r="F15184" i="1"/>
  <c r="F16796" i="1"/>
  <c r="F17926" i="1"/>
  <c r="F19240" i="1"/>
  <c r="F19528" i="1"/>
  <c r="F19898" i="1"/>
  <c r="F21666" i="1"/>
  <c r="F22961" i="1"/>
  <c r="F32088" i="1"/>
  <c r="F13206" i="1"/>
  <c r="F15246" i="1"/>
  <c r="F1707" i="1"/>
  <c r="F13743" i="1"/>
  <c r="F13813" i="1"/>
  <c r="F19033" i="1"/>
  <c r="F20309" i="1"/>
  <c r="F21983" i="1"/>
  <c r="F472" i="1"/>
  <c r="F2200" i="1"/>
  <c r="F2650" i="1"/>
  <c r="F2917" i="1"/>
  <c r="F2944" i="1"/>
  <c r="F2959" i="1"/>
  <c r="F3029" i="1"/>
  <c r="F3408" i="1"/>
  <c r="F3667" i="1"/>
  <c r="F3971" i="1"/>
  <c r="F4077" i="1"/>
  <c r="F4172" i="1"/>
  <c r="F4395" i="1"/>
  <c r="F4725" i="1"/>
  <c r="F4828" i="1"/>
  <c r="F5275" i="1"/>
  <c r="F5293" i="1"/>
  <c r="F5427" i="1"/>
  <c r="F5533" i="1"/>
  <c r="F5548" i="1"/>
  <c r="F5661" i="1"/>
  <c r="F5744" i="1"/>
  <c r="F5778" i="1"/>
  <c r="F5784" i="1"/>
  <c r="F5831" i="1"/>
  <c r="F5839" i="1"/>
  <c r="F5842" i="1"/>
  <c r="F5843" i="1"/>
  <c r="F5927" i="1"/>
  <c r="F5956" i="1"/>
  <c r="F5957" i="1"/>
  <c r="F5958" i="1"/>
  <c r="F5984" i="1"/>
  <c r="F6001" i="1"/>
  <c r="F6121" i="1"/>
  <c r="F6123" i="1"/>
  <c r="F6125" i="1"/>
  <c r="F6129" i="1"/>
  <c r="F6133" i="1"/>
  <c r="F6137" i="1"/>
  <c r="F6164" i="1"/>
  <c r="F6180" i="1"/>
  <c r="F6200" i="1"/>
  <c r="F6207" i="1"/>
  <c r="F6446" i="1"/>
  <c r="F6467" i="1"/>
  <c r="F6709" i="1"/>
  <c r="F6716" i="1"/>
  <c r="F7286" i="1"/>
  <c r="F7441" i="1"/>
  <c r="F7444" i="1"/>
  <c r="F7721" i="1"/>
  <c r="F7785" i="1"/>
  <c r="F7960" i="1"/>
  <c r="F8089" i="1"/>
  <c r="F8664" i="1"/>
  <c r="F9012" i="1"/>
  <c r="F9365" i="1"/>
  <c r="F10038" i="1"/>
  <c r="F9552" i="1"/>
  <c r="F9547" i="1"/>
  <c r="F9639" i="1"/>
  <c r="F9694" i="1"/>
  <c r="F9732" i="1"/>
  <c r="F9733" i="1"/>
  <c r="F9818" i="1"/>
  <c r="F9819" i="1"/>
  <c r="F9820" i="1"/>
  <c r="F9837" i="1"/>
  <c r="F9844" i="1"/>
  <c r="F9855" i="1"/>
  <c r="F10045" i="1"/>
  <c r="F10120" i="1"/>
  <c r="F10123" i="1"/>
  <c r="F10136" i="1"/>
  <c r="F10145" i="1"/>
  <c r="F10151" i="1"/>
  <c r="F10181" i="1"/>
  <c r="F10182" i="1"/>
  <c r="F10194" i="1"/>
  <c r="F10195" i="1"/>
  <c r="F10215" i="1"/>
  <c r="F10227" i="1"/>
  <c r="F10246" i="1"/>
  <c r="F10265" i="1"/>
  <c r="F10306" i="1"/>
  <c r="F10312" i="1"/>
  <c r="F10325" i="1"/>
  <c r="F10326" i="1"/>
  <c r="F10371" i="1"/>
  <c r="F10418" i="1"/>
  <c r="F10419" i="1"/>
  <c r="F10439" i="1"/>
  <c r="F10440" i="1"/>
  <c r="F10441" i="1"/>
  <c r="F10546" i="1"/>
  <c r="F10547" i="1"/>
  <c r="F10548" i="1"/>
  <c r="F10588" i="1"/>
  <c r="F10635" i="1"/>
  <c r="F10636" i="1"/>
  <c r="F11108" i="1"/>
  <c r="F11176" i="1"/>
  <c r="F11541" i="1"/>
  <c r="F11538" i="1"/>
  <c r="F11542" i="1"/>
  <c r="F11726" i="1"/>
  <c r="F11855" i="1"/>
  <c r="F12316" i="1"/>
  <c r="F12541" i="1"/>
  <c r="F12545" i="1"/>
  <c r="F12881" i="1"/>
  <c r="F12887" i="1"/>
  <c r="F12890" i="1"/>
  <c r="F12891" i="1"/>
  <c r="F13218" i="1"/>
  <c r="F13221" i="1"/>
  <c r="F13231" i="1"/>
  <c r="F13274" i="1"/>
  <c r="F13775" i="1"/>
  <c r="F13803" i="1"/>
  <c r="F13934" i="1"/>
  <c r="F13963" i="1"/>
  <c r="F14102" i="1"/>
  <c r="F14264" i="1"/>
  <c r="F14341" i="1"/>
  <c r="F14343" i="1"/>
  <c r="F14357" i="1"/>
  <c r="F14369" i="1"/>
  <c r="F14377" i="1"/>
  <c r="F14765" i="1"/>
  <c r="F14931" i="1"/>
  <c r="F15012" i="1"/>
  <c r="F15168" i="1"/>
  <c r="F15197" i="1"/>
  <c r="F15248" i="1"/>
  <c r="F15265" i="1"/>
  <c r="F15275" i="1"/>
  <c r="F15305" i="1"/>
  <c r="F15317" i="1"/>
  <c r="F15325" i="1"/>
  <c r="F15336" i="1"/>
  <c r="F15354" i="1"/>
  <c r="F15363" i="1"/>
  <c r="F15409" i="1"/>
  <c r="F15521" i="1"/>
  <c r="F15616" i="1"/>
  <c r="F15619" i="1"/>
  <c r="F15622" i="1"/>
  <c r="F15624" i="1"/>
  <c r="F15660" i="1"/>
  <c r="F15796" i="1"/>
  <c r="F16115" i="1"/>
  <c r="F16128" i="1"/>
  <c r="F16158" i="1"/>
  <c r="F16209" i="1"/>
  <c r="F16345" i="1"/>
  <c r="F16645" i="1"/>
  <c r="F16959" i="1"/>
  <c r="F17042" i="1"/>
  <c r="F17680" i="1"/>
  <c r="F18037" i="1"/>
  <c r="F18086" i="1"/>
  <c r="F18378" i="1"/>
  <c r="F18425" i="1"/>
  <c r="F18454" i="1"/>
  <c r="F18455" i="1"/>
  <c r="F18488" i="1"/>
  <c r="F18490" i="1"/>
  <c r="F18745" i="1"/>
  <c r="F18755" i="1"/>
  <c r="F18783" i="1"/>
  <c r="F19150" i="1"/>
  <c r="F19151" i="1"/>
  <c r="F11771" i="1"/>
  <c r="F19460" i="1"/>
  <c r="F19544" i="1"/>
  <c r="F19870" i="1"/>
  <c r="F20018" i="1"/>
  <c r="F20117" i="1"/>
  <c r="F20124" i="1"/>
  <c r="F20249" i="1"/>
  <c r="F20310" i="1"/>
  <c r="F20662" i="1"/>
  <c r="F20719" i="1"/>
  <c r="F20811" i="1"/>
  <c r="F20833" i="1"/>
  <c r="F20843" i="1"/>
  <c r="F21014" i="1"/>
  <c r="F21044" i="1"/>
  <c r="F21082" i="1"/>
  <c r="F21147" i="1"/>
  <c r="F21166" i="1"/>
  <c r="F21174" i="1"/>
  <c r="F21270" i="1"/>
  <c r="F21278" i="1"/>
  <c r="F21289" i="1"/>
  <c r="F21301" i="1"/>
  <c r="F21345" i="1"/>
  <c r="F21353" i="1"/>
  <c r="F21393" i="1"/>
  <c r="F21435" i="1"/>
  <c r="F21445" i="1"/>
  <c r="F21319" i="1"/>
  <c r="F21468" i="1"/>
  <c r="F21481" i="1"/>
  <c r="F21483" i="1"/>
  <c r="F21521" i="1"/>
  <c r="F21523" i="1"/>
  <c r="F21533" i="1"/>
  <c r="F21536" i="1"/>
  <c r="F21538" i="1"/>
  <c r="F21552" i="1"/>
  <c r="F21570" i="1"/>
  <c r="F21584" i="1"/>
  <c r="F21610" i="1"/>
  <c r="F21621" i="1"/>
  <c r="F21631" i="1"/>
  <c r="F21661" i="1"/>
  <c r="F21699" i="1"/>
  <c r="F21821" i="1"/>
  <c r="F21858" i="1"/>
  <c r="F21890" i="1"/>
  <c r="F21892" i="1"/>
  <c r="F21896" i="1"/>
  <c r="F22060" i="1"/>
  <c r="F22074" i="1"/>
  <c r="F22082" i="1"/>
  <c r="F22251" i="1"/>
  <c r="F22294" i="1"/>
  <c r="F22367" i="1"/>
  <c r="F22372" i="1"/>
  <c r="F22408" i="1"/>
  <c r="F22515" i="1"/>
  <c r="F22549" i="1"/>
  <c r="F22637" i="1"/>
  <c r="F22710" i="1"/>
  <c r="F22834" i="1"/>
  <c r="F22884" i="1"/>
  <c r="F22953" i="1"/>
  <c r="F22968" i="1"/>
  <c r="F22978" i="1"/>
  <c r="F25653" i="1"/>
  <c r="F27692" i="1"/>
  <c r="F9383" i="1"/>
  <c r="F30264" i="1"/>
  <c r="F34083" i="1"/>
  <c r="F21578" i="1"/>
  <c r="F15038" i="1"/>
  <c r="F15332" i="1"/>
  <c r="F31079" i="1"/>
  <c r="F12371" i="1"/>
  <c r="F14244" i="1"/>
  <c r="F244" i="1"/>
  <c r="F499" i="1"/>
  <c r="F504" i="1"/>
  <c r="F525" i="1"/>
  <c r="F912" i="1"/>
  <c r="F2055" i="1"/>
  <c r="F2192" i="1"/>
  <c r="F2198" i="1"/>
  <c r="F2904" i="1"/>
  <c r="F3554" i="1"/>
  <c r="F3559" i="1"/>
  <c r="F3586" i="1"/>
  <c r="F3811" i="1"/>
  <c r="F3957" i="1"/>
  <c r="F4062" i="1"/>
  <c r="F4620" i="1"/>
  <c r="F4784" i="1"/>
  <c r="F5038" i="1"/>
  <c r="F5121" i="1"/>
  <c r="F5127" i="1"/>
  <c r="F5575" i="1"/>
  <c r="F5762" i="1"/>
  <c r="F5800" i="1"/>
  <c r="F5813" i="1"/>
  <c r="F5815" i="1"/>
  <c r="F5819" i="1"/>
  <c r="F5821" i="1"/>
  <c r="F5823" i="1"/>
  <c r="F5962" i="1"/>
  <c r="F5994" i="1"/>
  <c r="F5999" i="1"/>
  <c r="F6011" i="1"/>
  <c r="F6352" i="1"/>
  <c r="F6440" i="1"/>
  <c r="F6635" i="1"/>
  <c r="F6643" i="1"/>
  <c r="F7519" i="1"/>
  <c r="F7726" i="1"/>
  <c r="F7829" i="1"/>
  <c r="F7935" i="1"/>
  <c r="F8101" i="1"/>
  <c r="F8117" i="1"/>
  <c r="F8154" i="1"/>
  <c r="F8188" i="1"/>
  <c r="F8338" i="1"/>
  <c r="F8434" i="1"/>
  <c r="F8474" i="1"/>
  <c r="F8550" i="1"/>
  <c r="F8569" i="1"/>
  <c r="F8573" i="1"/>
  <c r="F8579" i="1"/>
  <c r="F8588" i="1"/>
  <c r="F8589" i="1"/>
  <c r="F8609" i="1"/>
  <c r="F8940" i="1"/>
  <c r="F9369" i="1"/>
  <c r="F9420" i="1"/>
  <c r="F9421" i="1"/>
  <c r="F9423" i="1"/>
  <c r="F9935" i="1"/>
  <c r="F9939" i="1"/>
  <c r="F10606" i="1"/>
  <c r="F10796" i="1"/>
  <c r="F11074" i="1"/>
  <c r="F11076" i="1"/>
  <c r="F11143" i="1"/>
  <c r="F11758" i="1"/>
  <c r="F12207" i="1"/>
  <c r="F12370" i="1"/>
  <c r="F12386" i="1"/>
  <c r="F12467" i="1"/>
  <c r="F12621" i="1"/>
  <c r="F12626" i="1"/>
  <c r="F12627" i="1"/>
  <c r="F12694" i="1"/>
  <c r="F12713" i="1"/>
  <c r="F12899" i="1"/>
  <c r="F13050" i="1"/>
  <c r="F14182" i="1"/>
  <c r="F14243" i="1"/>
  <c r="F14326" i="1"/>
  <c r="F14327" i="1"/>
  <c r="F14333" i="1"/>
  <c r="F14527" i="1"/>
  <c r="F14625" i="1"/>
  <c r="F14936" i="1"/>
  <c r="F15017" i="1"/>
  <c r="F15028" i="1"/>
  <c r="F15291" i="1"/>
  <c r="F15561" i="1"/>
  <c r="F15606" i="1"/>
  <c r="F15655" i="1"/>
  <c r="F15689" i="1"/>
  <c r="F16457" i="1"/>
  <c r="F16756" i="1"/>
  <c r="F17947" i="1"/>
  <c r="F17999" i="1"/>
  <c r="F18001" i="1"/>
  <c r="F18014" i="1"/>
  <c r="F18046" i="1"/>
  <c r="F18087" i="1"/>
  <c r="F18131" i="1"/>
  <c r="F18006" i="1"/>
  <c r="F18192" i="1"/>
  <c r="F18644" i="1"/>
  <c r="F18645" i="1"/>
  <c r="F18672" i="1"/>
  <c r="F18720" i="1"/>
  <c r="F18741" i="1"/>
  <c r="F18822" i="1"/>
  <c r="F19165" i="1"/>
  <c r="F19734" i="1"/>
  <c r="F19735" i="1"/>
  <c r="F19784" i="1"/>
  <c r="F19786" i="1"/>
  <c r="F19868" i="1"/>
  <c r="F19887" i="1"/>
  <c r="F20076" i="1"/>
  <c r="F20082" i="1"/>
  <c r="F20420" i="1"/>
  <c r="F20433" i="1"/>
  <c r="F20712" i="1"/>
  <c r="F20716" i="1"/>
  <c r="F20774" i="1"/>
  <c r="F21121" i="1"/>
  <c r="F21287" i="1"/>
  <c r="F21377" i="1"/>
  <c r="F21423" i="1"/>
  <c r="F21484" i="1"/>
  <c r="F21511" i="1"/>
  <c r="F21572" i="1"/>
  <c r="F21638" i="1"/>
  <c r="F21764" i="1"/>
  <c r="F22030" i="1"/>
  <c r="F22543" i="1"/>
  <c r="F22693" i="1"/>
  <c r="F23345" i="1"/>
  <c r="F23441" i="1"/>
  <c r="F23449" i="1"/>
  <c r="F23535" i="1"/>
  <c r="F23542" i="1"/>
  <c r="F23832" i="1"/>
  <c r="F23842" i="1"/>
  <c r="F23880" i="1"/>
  <c r="F24121" i="1"/>
  <c r="F24123" i="1"/>
  <c r="F24125" i="1"/>
  <c r="F24093" i="1"/>
  <c r="F24128" i="1"/>
  <c r="F24321" i="1"/>
  <c r="F24592" i="1"/>
  <c r="F24594" i="1"/>
  <c r="F24674" i="1"/>
  <c r="F24678" i="1"/>
  <c r="F24687" i="1"/>
  <c r="F24690" i="1"/>
  <c r="F24691" i="1"/>
  <c r="F24712" i="1"/>
  <c r="F24721" i="1"/>
  <c r="F24962" i="1"/>
  <c r="F25187" i="1"/>
  <c r="F25218" i="1"/>
  <c r="F25254" i="1"/>
  <c r="F25286" i="1"/>
  <c r="F25290" i="1"/>
  <c r="F25307" i="1"/>
  <c r="F25328" i="1"/>
  <c r="F25348" i="1"/>
  <c r="F25351" i="1"/>
  <c r="F25370" i="1"/>
  <c r="F25415" i="1"/>
  <c r="F25422" i="1"/>
  <c r="F25483" i="1"/>
  <c r="F25713" i="1"/>
  <c r="F25813" i="1"/>
  <c r="F25904" i="1"/>
  <c r="F25908" i="1"/>
  <c r="F25952" i="1"/>
  <c r="F25994" i="1"/>
  <c r="F26031" i="1"/>
  <c r="F26057" i="1"/>
  <c r="F26098" i="1"/>
  <c r="F27244" i="1"/>
  <c r="F27280" i="1"/>
  <c r="F27287" i="1"/>
  <c r="F27311" i="1"/>
  <c r="F27432" i="1"/>
  <c r="F27480" i="1"/>
  <c r="F27495" i="1"/>
  <c r="F27668" i="1"/>
  <c r="F27669" i="1"/>
  <c r="F27673" i="1"/>
  <c r="F28213" i="1"/>
  <c r="F28376" i="1"/>
  <c r="F28752" i="1"/>
  <c r="F28982" i="1"/>
  <c r="F29006" i="1"/>
  <c r="F29271" i="1"/>
  <c r="F29618" i="1"/>
  <c r="F29651" i="1"/>
  <c r="F29895" i="1"/>
  <c r="F29899" i="1"/>
  <c r="F30088" i="1"/>
  <c r="F30247" i="1"/>
  <c r="F30274" i="1"/>
  <c r="F30375" i="1"/>
  <c r="F30396" i="1"/>
  <c r="F31068" i="1"/>
  <c r="F31078" i="1"/>
  <c r="F31128" i="1"/>
  <c r="F31153" i="1"/>
  <c r="F31260" i="1"/>
  <c r="F31550" i="1"/>
  <c r="F31561" i="1"/>
  <c r="F32360" i="1"/>
  <c r="F33230" i="1"/>
  <c r="F33244" i="1"/>
  <c r="F33268" i="1"/>
  <c r="F33298" i="1"/>
  <c r="F33300" i="1"/>
  <c r="F33310" i="1"/>
  <c r="F33841" i="1"/>
  <c r="F34323" i="1"/>
  <c r="F34324" i="1"/>
  <c r="F34403" i="1"/>
  <c r="F35048" i="1"/>
  <c r="F36371" i="1"/>
  <c r="F16848" i="1"/>
  <c r="F36125" i="1"/>
  <c r="F17697" i="1"/>
  <c r="F5817" i="1"/>
  <c r="F8716" i="1"/>
  <c r="F11898" i="1"/>
  <c r="F21637" i="1"/>
  <c r="F19" i="1"/>
  <c r="F128" i="1"/>
  <c r="F189" i="1"/>
  <c r="F461" i="1"/>
  <c r="F469" i="1"/>
  <c r="F555" i="1"/>
  <c r="F1294" i="1"/>
  <c r="F1418" i="1"/>
  <c r="F1436" i="1"/>
  <c r="F1459" i="1"/>
  <c r="F1639" i="1"/>
  <c r="F1894" i="1"/>
  <c r="F2065" i="1"/>
  <c r="F2149" i="1"/>
  <c r="F3644" i="1"/>
  <c r="F4696" i="1"/>
  <c r="F4697" i="1"/>
  <c r="F5649" i="1"/>
  <c r="F5651" i="1"/>
  <c r="F5681" i="1"/>
  <c r="F6290" i="1"/>
  <c r="F6342" i="1"/>
  <c r="F6406" i="1"/>
  <c r="F6622" i="1"/>
  <c r="F6878" i="1"/>
  <c r="F6911" i="1"/>
  <c r="F6938" i="1"/>
  <c r="F6990" i="1"/>
  <c r="F7455" i="1"/>
  <c r="F7458" i="1"/>
  <c r="F7532" i="1"/>
  <c r="F7654" i="1"/>
  <c r="F7669" i="1"/>
  <c r="F8016" i="1"/>
  <c r="F8026" i="1"/>
  <c r="F9897" i="1"/>
  <c r="F9974" i="1"/>
  <c r="F11366" i="1"/>
  <c r="F11676" i="1"/>
  <c r="F12218" i="1"/>
  <c r="F12374" i="1"/>
  <c r="F12671" i="1"/>
  <c r="F12686" i="1"/>
  <c r="F13219" i="1"/>
  <c r="F13240" i="1"/>
  <c r="F13381" i="1"/>
  <c r="F13382" i="1"/>
  <c r="F13385" i="1"/>
  <c r="F13390" i="1"/>
  <c r="F14053" i="1"/>
  <c r="F14175" i="1"/>
  <c r="F14258" i="1"/>
  <c r="F14430" i="1"/>
  <c r="F14433" i="1"/>
  <c r="F15934" i="1"/>
  <c r="F15999" i="1"/>
  <c r="F15996" i="1"/>
  <c r="F16004" i="1"/>
  <c r="F16249" i="1"/>
  <c r="F16337" i="1"/>
  <c r="F16382" i="1"/>
  <c r="F16580" i="1"/>
  <c r="F16842" i="1"/>
  <c r="F16843" i="1"/>
  <c r="F16845" i="1"/>
  <c r="F17353" i="1"/>
  <c r="F18962" i="1"/>
  <c r="F19551" i="1"/>
  <c r="F19672" i="1"/>
  <c r="F19841" i="1"/>
  <c r="F19957" i="1"/>
  <c r="F20008" i="1"/>
  <c r="F20010" i="1"/>
  <c r="F21001" i="1"/>
  <c r="F22303" i="1"/>
  <c r="F22395" i="1"/>
  <c r="F22403" i="1"/>
  <c r="F22616" i="1"/>
  <c r="F22627" i="1"/>
  <c r="F22997" i="1"/>
  <c r="F23208" i="1"/>
  <c r="F23361" i="1"/>
  <c r="F23410" i="1"/>
  <c r="F24017" i="1"/>
  <c r="F24219" i="1"/>
  <c r="F24357" i="1"/>
  <c r="F24767" i="1"/>
  <c r="F25646" i="1"/>
  <c r="F25884" i="1"/>
  <c r="F25929" i="1"/>
  <c r="F25941" i="1"/>
  <c r="F26833" i="1"/>
  <c r="F27440" i="1"/>
  <c r="F28132" i="1"/>
  <c r="F28175" i="1"/>
  <c r="F29318" i="1"/>
  <c r="F29573" i="1"/>
  <c r="F30195" i="1"/>
  <c r="F30197" i="1"/>
  <c r="F31047" i="1"/>
  <c r="F31374" i="1"/>
  <c r="F32307" i="1"/>
  <c r="F33131" i="1"/>
  <c r="F33211" i="1"/>
  <c r="F33212" i="1"/>
  <c r="F33214" i="1"/>
  <c r="F34732" i="1"/>
  <c r="F14" i="1"/>
  <c r="F113" i="1"/>
  <c r="F145" i="1"/>
  <c r="F146" i="1"/>
  <c r="F190" i="1"/>
  <c r="F320" i="1"/>
  <c r="F322" i="1"/>
  <c r="F371" i="1"/>
  <c r="F384" i="1"/>
  <c r="F398" i="1"/>
  <c r="F490" i="1"/>
  <c r="F521" i="1"/>
  <c r="F550" i="1"/>
  <c r="F554" i="1"/>
  <c r="F1349" i="1"/>
  <c r="F1351" i="1"/>
  <c r="F1447" i="1"/>
  <c r="F1458" i="1"/>
  <c r="F1636" i="1"/>
  <c r="F1987" i="1"/>
  <c r="F2291" i="1"/>
  <c r="F2294" i="1"/>
  <c r="F2333" i="1"/>
  <c r="F2347" i="1"/>
  <c r="F3570" i="1"/>
  <c r="F3575" i="1"/>
  <c r="F3987" i="1"/>
  <c r="F4056" i="1"/>
  <c r="F4267" i="1"/>
  <c r="F4269" i="1"/>
  <c r="F4544" i="1"/>
  <c r="F5509" i="1"/>
  <c r="F5647" i="1"/>
  <c r="F6292" i="1"/>
  <c r="F6294" i="1"/>
  <c r="F6298" i="1"/>
  <c r="F6336" i="1"/>
  <c r="F6337" i="1"/>
  <c r="F6339" i="1"/>
  <c r="F6338" i="1"/>
  <c r="F6340" i="1"/>
  <c r="F6341" i="1"/>
  <c r="F6343" i="1"/>
  <c r="F6346" i="1"/>
  <c r="F6626" i="1"/>
  <c r="F6740" i="1"/>
  <c r="F6742" i="1"/>
  <c r="F6892" i="1"/>
  <c r="F6902" i="1"/>
  <c r="F6991" i="1"/>
  <c r="F7016" i="1"/>
  <c r="F7272" i="1"/>
  <c r="F7322" i="1"/>
  <c r="F7438" i="1"/>
  <c r="F7592" i="1"/>
  <c r="F7593" i="1"/>
  <c r="F7668" i="1"/>
  <c r="F8010" i="1"/>
  <c r="F8012" i="1"/>
  <c r="F8017" i="1"/>
  <c r="F11373" i="1"/>
  <c r="F11379" i="1"/>
  <c r="F11386" i="1"/>
  <c r="F11467" i="1"/>
  <c r="F11494" i="1"/>
  <c r="F12308" i="1"/>
  <c r="F12364" i="1"/>
  <c r="F12673" i="1"/>
  <c r="F12684" i="1"/>
  <c r="F12692" i="1"/>
  <c r="F12710" i="1"/>
  <c r="F13070" i="1"/>
  <c r="F13377" i="1"/>
  <c r="F13392" i="1"/>
  <c r="F13397" i="1"/>
  <c r="F13580" i="1"/>
  <c r="F13946" i="1"/>
  <c r="F13949" i="1"/>
  <c r="F14058" i="1"/>
  <c r="F14068" i="1"/>
  <c r="F14253" i="1"/>
  <c r="F14375" i="1"/>
  <c r="F14399" i="1"/>
  <c r="F15687" i="1"/>
  <c r="F15781" i="1"/>
  <c r="F15981" i="1"/>
  <c r="F15998" i="1"/>
  <c r="F16007" i="1"/>
  <c r="F16085" i="1"/>
  <c r="F16247" i="1"/>
  <c r="F16353" i="1"/>
  <c r="F16372" i="1"/>
  <c r="F16404" i="1"/>
  <c r="F16615" i="1"/>
  <c r="F16712" i="1"/>
  <c r="F16839" i="1"/>
  <c r="F16856" i="1"/>
  <c r="F16857" i="1"/>
  <c r="F16860" i="1"/>
  <c r="F18256" i="1"/>
  <c r="F18310" i="1"/>
  <c r="F18592" i="1"/>
  <c r="F18596" i="1"/>
  <c r="F18597" i="1"/>
  <c r="F19969" i="1"/>
  <c r="F20009" i="1"/>
  <c r="F21605" i="1"/>
  <c r="F22388" i="1"/>
  <c r="F22393" i="1"/>
  <c r="F22397" i="1"/>
  <c r="F22411" i="1"/>
  <c r="F22428" i="1"/>
  <c r="F22682" i="1"/>
  <c r="F23037" i="1"/>
  <c r="F23204" i="1"/>
  <c r="F23207" i="1"/>
  <c r="F23217" i="1"/>
  <c r="F23267" i="1"/>
  <c r="F23313" i="1"/>
  <c r="F24026" i="1"/>
  <c r="F24135" i="1"/>
  <c r="F24150" i="1"/>
  <c r="F24151" i="1"/>
  <c r="F24215" i="1"/>
  <c r="F24282" i="1"/>
  <c r="F24283" i="1"/>
  <c r="F24375" i="1"/>
  <c r="F24385" i="1"/>
  <c r="F24765" i="1"/>
  <c r="F24857" i="1"/>
  <c r="F25264" i="1"/>
  <c r="F25873" i="1"/>
  <c r="F25924" i="1"/>
  <c r="F26445" i="1"/>
  <c r="F26545" i="1"/>
  <c r="F27816" i="1"/>
  <c r="F27952" i="1"/>
  <c r="F27965" i="1"/>
  <c r="F28030" i="1"/>
  <c r="F28094" i="1"/>
  <c r="F28095" i="1"/>
  <c r="F28100" i="1"/>
  <c r="F28317" i="1"/>
  <c r="F29338" i="1"/>
  <c r="F29571" i="1"/>
  <c r="F30403" i="1"/>
  <c r="F30462" i="1"/>
  <c r="F30464" i="1"/>
  <c r="F31084" i="1"/>
  <c r="F31093" i="1"/>
  <c r="F31124" i="1"/>
  <c r="F31371" i="1"/>
  <c r="F31373" i="1"/>
  <c r="F32260" i="1"/>
  <c r="F32883" i="1"/>
  <c r="F32915" i="1"/>
  <c r="F33180" i="1"/>
  <c r="F33213" i="1"/>
  <c r="F33611" i="1"/>
  <c r="F33667" i="1"/>
  <c r="F35391" i="1"/>
  <c r="F35737" i="1"/>
  <c r="F3641" i="1"/>
  <c r="F13558" i="1"/>
  <c r="F13557" i="1"/>
  <c r="F10855" i="1"/>
  <c r="F33746" i="1"/>
  <c r="F31749" i="1"/>
  <c r="F21475" i="1"/>
  <c r="F20616" i="1"/>
  <c r="F13897" i="1"/>
  <c r="F10307" i="1"/>
  <c r="F4279" i="1"/>
  <c r="F3184" i="1"/>
  <c r="F927" i="1"/>
  <c r="F12665" i="1"/>
  <c r="F35450" i="1"/>
  <c r="F24697" i="1"/>
  <c r="F26116" i="1"/>
  <c r="F30225" i="1"/>
  <c r="F33713" i="1"/>
  <c r="F33717" i="1"/>
  <c r="F34063" i="1"/>
  <c r="F36666" i="1"/>
  <c r="F621" i="1"/>
  <c r="F4143" i="1"/>
  <c r="F4200" i="1"/>
  <c r="F11353" i="1"/>
  <c r="F12577" i="1"/>
  <c r="F13042" i="1"/>
  <c r="F13054" i="1"/>
  <c r="F18492" i="1"/>
  <c r="F25971" i="1"/>
  <c r="F26625" i="1"/>
  <c r="F27421" i="1"/>
  <c r="F29614" i="1"/>
  <c r="F33715" i="1"/>
  <c r="F34064" i="1"/>
  <c r="F34236" i="1"/>
  <c r="F34652" i="1"/>
  <c r="F34932" i="1"/>
  <c r="F35178" i="1"/>
  <c r="F35837" i="1"/>
  <c r="F35972" i="1"/>
  <c r="F36013" i="1"/>
  <c r="F16397" i="1"/>
  <c r="F35859" i="1"/>
  <c r="F34643" i="1"/>
  <c r="F2887" i="1"/>
  <c r="F2998" i="1"/>
  <c r="F4558" i="1"/>
  <c r="F4703" i="1"/>
  <c r="F7797" i="1"/>
  <c r="F8742" i="1"/>
  <c r="F8708" i="1"/>
  <c r="F9501" i="1"/>
  <c r="F9517" i="1"/>
  <c r="F9645" i="1"/>
  <c r="F9754" i="1"/>
  <c r="F11167" i="1"/>
  <c r="F11956" i="1"/>
  <c r="F12583" i="1"/>
  <c r="F12905" i="1"/>
  <c r="F12935" i="1"/>
  <c r="F13597" i="1"/>
  <c r="F13693" i="1"/>
  <c r="F13716" i="1"/>
  <c r="F13841" i="1"/>
  <c r="F13921" i="1"/>
  <c r="F14283" i="1"/>
  <c r="F14408" i="1"/>
  <c r="F14752" i="1"/>
  <c r="F15148" i="1"/>
  <c r="F15427" i="1"/>
  <c r="F15661" i="1"/>
  <c r="F16369" i="1"/>
  <c r="F16533" i="1"/>
  <c r="F19298" i="1"/>
  <c r="F19387" i="1"/>
  <c r="F19434" i="1"/>
  <c r="F19572" i="1"/>
  <c r="F21032" i="1"/>
  <c r="F22458" i="1"/>
  <c r="F22465" i="1"/>
  <c r="F22817" i="1"/>
  <c r="F22905" i="1"/>
  <c r="F29062" i="1"/>
  <c r="F32083" i="1"/>
  <c r="F32202" i="1"/>
  <c r="F35710" i="1"/>
  <c r="F2617" i="1"/>
  <c r="F2883" i="1"/>
  <c r="F2869" i="1"/>
  <c r="F2885" i="1"/>
  <c r="F2889" i="1"/>
  <c r="F2990" i="1"/>
  <c r="F3355" i="1"/>
  <c r="F8810" i="1"/>
  <c r="F8850" i="1"/>
  <c r="F9463" i="1"/>
  <c r="F9477" i="1"/>
  <c r="F9502" i="1"/>
  <c r="F11921" i="1"/>
  <c r="F13596" i="1"/>
  <c r="F13684" i="1"/>
  <c r="F13865" i="1"/>
  <c r="F14821" i="1"/>
  <c r="F15862" i="1"/>
  <c r="F16359" i="1"/>
  <c r="F19495" i="1"/>
  <c r="F20709" i="1"/>
  <c r="F21776" i="1"/>
  <c r="F23212" i="1"/>
  <c r="F23213" i="1"/>
  <c r="F26535" i="1"/>
  <c r="F27688" i="1"/>
  <c r="F28984" i="1"/>
  <c r="F30618" i="1"/>
  <c r="F36145" i="1"/>
  <c r="F13881" i="1"/>
  <c r="F20376" i="1"/>
  <c r="F2747" i="1"/>
  <c r="F2811" i="1"/>
  <c r="F2817" i="1"/>
  <c r="F10262" i="1"/>
  <c r="F10299" i="1"/>
  <c r="F10549" i="1"/>
  <c r="F13510" i="1"/>
  <c r="F14370" i="1"/>
  <c r="F14827" i="1"/>
  <c r="F17826" i="1"/>
  <c r="F22924" i="1"/>
  <c r="F23429" i="1"/>
  <c r="F26240" i="1"/>
  <c r="F26311" i="1"/>
  <c r="F29250" i="1"/>
  <c r="F31936" i="1"/>
  <c r="F32230" i="1"/>
  <c r="F32232" i="1"/>
  <c r="F32234" i="1"/>
  <c r="F34821" i="1"/>
  <c r="F3786" i="1"/>
  <c r="F35171" i="1"/>
  <c r="F10856" i="1"/>
  <c r="F10858" i="1"/>
  <c r="F10889" i="1"/>
  <c r="F10897" i="1"/>
  <c r="F10912" i="1"/>
  <c r="F10944" i="1"/>
  <c r="F10952" i="1"/>
  <c r="F10971" i="1"/>
  <c r="F10986" i="1"/>
  <c r="F10996" i="1"/>
  <c r="F14151" i="1"/>
  <c r="F174" i="1"/>
  <c r="F403" i="1"/>
  <c r="F482" i="1"/>
  <c r="F2430" i="1"/>
  <c r="F2507" i="1"/>
  <c r="F2613" i="1"/>
  <c r="F3229" i="1"/>
  <c r="F3248" i="1"/>
  <c r="F3627" i="1"/>
  <c r="F4031" i="1"/>
  <c r="F4058" i="1"/>
  <c r="F4147" i="1"/>
  <c r="F5654" i="1"/>
  <c r="F5678" i="1"/>
  <c r="F5679" i="1"/>
  <c r="F5677" i="1"/>
  <c r="F5680" i="1"/>
  <c r="F5682" i="1"/>
  <c r="F4935" i="1"/>
  <c r="F5481" i="1"/>
  <c r="F6705" i="1"/>
  <c r="F7631" i="1"/>
  <c r="F7895" i="1"/>
  <c r="F8001" i="1"/>
  <c r="F8097" i="1"/>
  <c r="F8651" i="1"/>
  <c r="F9016" i="1"/>
  <c r="F9264" i="1"/>
  <c r="F10689" i="1"/>
  <c r="F11166" i="1"/>
  <c r="F11626" i="1"/>
  <c r="F11734" i="1"/>
  <c r="F12417" i="1"/>
  <c r="F12546" i="1"/>
  <c r="F12547" i="1"/>
  <c r="F12163" i="1"/>
  <c r="F12259" i="1"/>
  <c r="F12706" i="1"/>
  <c r="F13816" i="1"/>
  <c r="F14054" i="1"/>
  <c r="F14158" i="1"/>
  <c r="F14428" i="1"/>
  <c r="F14558" i="1"/>
  <c r="F14573" i="1"/>
  <c r="F15279" i="1"/>
  <c r="F16203" i="1"/>
  <c r="F16236" i="1"/>
  <c r="F16332" i="1"/>
  <c r="F16531" i="1"/>
  <c r="F16575" i="1"/>
  <c r="F17970" i="1"/>
  <c r="F19051" i="1"/>
  <c r="F19200" i="1"/>
  <c r="F19577" i="1"/>
  <c r="F19690" i="1"/>
  <c r="F20006" i="1"/>
  <c r="F20473" i="1"/>
  <c r="F20480" i="1"/>
  <c r="F21391" i="1"/>
  <c r="F22253" i="1"/>
  <c r="F22317" i="1"/>
  <c r="F22340" i="1"/>
  <c r="F26682" i="1"/>
  <c r="F26715" i="1"/>
  <c r="F28469" i="1"/>
  <c r="F28494" i="1"/>
  <c r="F28795" i="1"/>
  <c r="F28857" i="1"/>
  <c r="F28872" i="1"/>
  <c r="F28873" i="1"/>
  <c r="F28992" i="1"/>
  <c r="F29021" i="1"/>
  <c r="F29719" i="1"/>
  <c r="F30492" i="1"/>
  <c r="F30744" i="1"/>
  <c r="F30804" i="1"/>
  <c r="F31012" i="1"/>
  <c r="F32020" i="1"/>
  <c r="F32044" i="1"/>
  <c r="F32047" i="1"/>
  <c r="F31650" i="1"/>
  <c r="F31916" i="1"/>
  <c r="F32273" i="1"/>
  <c r="F32417" i="1"/>
  <c r="F32653" i="1"/>
  <c r="F32678" i="1"/>
  <c r="F32777" i="1"/>
  <c r="F32803" i="1"/>
  <c r="F32948" i="1"/>
  <c r="F33032" i="1"/>
  <c r="F33927" i="1"/>
  <c r="F34196" i="1"/>
  <c r="F34293" i="1"/>
  <c r="F34306" i="1"/>
  <c r="F34472" i="1"/>
  <c r="F15046" i="1"/>
  <c r="F19829" i="1"/>
  <c r="F7999" i="1"/>
  <c r="F7603" i="1"/>
  <c r="F9006" i="1"/>
  <c r="F9004" i="1"/>
  <c r="F9002" i="1"/>
  <c r="F9000" i="1"/>
  <c r="F8998" i="1"/>
  <c r="F8996" i="1"/>
  <c r="F102" i="1"/>
  <c r="F342" i="1"/>
  <c r="F491" i="1"/>
  <c r="F2443" i="1"/>
  <c r="F2459" i="1"/>
  <c r="F4293" i="1"/>
  <c r="F6917" i="1"/>
  <c r="F7014" i="1"/>
  <c r="F7579" i="1"/>
  <c r="F7581" i="1"/>
  <c r="F8836" i="1"/>
  <c r="F13427" i="1"/>
  <c r="F13583" i="1"/>
  <c r="F14191" i="1"/>
  <c r="F15342" i="1"/>
  <c r="F16611" i="1"/>
  <c r="F16953" i="1"/>
  <c r="F16992" i="1"/>
  <c r="F17371" i="1"/>
  <c r="F17859" i="1"/>
  <c r="F23940" i="1"/>
  <c r="F26467" i="1"/>
  <c r="F30503" i="1"/>
  <c r="F32205" i="1"/>
  <c r="F33683" i="1"/>
  <c r="F35127" i="1"/>
  <c r="F2453" i="1"/>
  <c r="F3393" i="1"/>
  <c r="F3509" i="1"/>
  <c r="F6707" i="1"/>
  <c r="F7013" i="1"/>
  <c r="F7396" i="1"/>
  <c r="F11204" i="1"/>
  <c r="F11471" i="1"/>
  <c r="F16951" i="1"/>
  <c r="F34468" i="1"/>
  <c r="F34469" i="1"/>
  <c r="F3901" i="1"/>
  <c r="F7278" i="1"/>
  <c r="F9301" i="1"/>
  <c r="F16" i="1"/>
  <c r="F21" i="1"/>
  <c r="F41" i="1"/>
  <c r="F45" i="1"/>
  <c r="F151" i="1"/>
  <c r="F172" i="1"/>
  <c r="F202" i="1"/>
  <c r="F204" i="1"/>
  <c r="F206" i="1"/>
  <c r="F250" i="1"/>
  <c r="F254" i="1"/>
  <c r="F262" i="1"/>
  <c r="F274" i="1"/>
  <c r="F279" i="1"/>
  <c r="F282" i="1"/>
  <c r="F332" i="1"/>
  <c r="F348" i="1"/>
  <c r="F350" i="1"/>
  <c r="F354" i="1"/>
  <c r="F356" i="1"/>
  <c r="F386" i="1"/>
  <c r="F411" i="1"/>
  <c r="F417" i="1"/>
  <c r="F442" i="1"/>
  <c r="F460" i="1"/>
  <c r="F495" i="1"/>
  <c r="F633" i="1"/>
  <c r="F713" i="1"/>
  <c r="F820" i="1"/>
  <c r="F826" i="1"/>
  <c r="F828" i="1"/>
  <c r="F833" i="1"/>
  <c r="F867" i="1"/>
  <c r="F879" i="1"/>
  <c r="F881" i="1"/>
  <c r="F885" i="1"/>
  <c r="F889" i="1"/>
  <c r="F899" i="1"/>
  <c r="F897" i="1"/>
  <c r="F901" i="1"/>
  <c r="F949" i="1"/>
  <c r="F951" i="1"/>
  <c r="F961" i="1"/>
  <c r="F965" i="1"/>
  <c r="F971" i="1"/>
  <c r="F982" i="1"/>
  <c r="F1051" i="1"/>
  <c r="F1119" i="1"/>
  <c r="F1134" i="1"/>
  <c r="F2394" i="1"/>
  <c r="F2401" i="1"/>
  <c r="F2406" i="1"/>
  <c r="F2408" i="1"/>
  <c r="F2410" i="1"/>
  <c r="F2412" i="1"/>
  <c r="F2416" i="1"/>
  <c r="F2418" i="1"/>
  <c r="F2436" i="1"/>
  <c r="F2473" i="1"/>
  <c r="F2476" i="1"/>
  <c r="F2477" i="1"/>
  <c r="F2481" i="1"/>
  <c r="F2485" i="1"/>
  <c r="F35593" i="1"/>
  <c r="F2487" i="1"/>
  <c r="F2503" i="1"/>
  <c r="F2505" i="1"/>
  <c r="F2535" i="1"/>
  <c r="F2512" i="1"/>
  <c r="F2514" i="1"/>
  <c r="F2525" i="1"/>
  <c r="F18412" i="1"/>
  <c r="F2527" i="1"/>
  <c r="F2529" i="1"/>
  <c r="F2531" i="1"/>
  <c r="F2555" i="1"/>
  <c r="F16885" i="1"/>
  <c r="F2568" i="1"/>
  <c r="F2570" i="1"/>
  <c r="F2934" i="1"/>
  <c r="F2970" i="1"/>
  <c r="F3025" i="1"/>
  <c r="F3068" i="1"/>
  <c r="F3118" i="1"/>
  <c r="F3174" i="1"/>
  <c r="F3155" i="1"/>
  <c r="F3153" i="1"/>
  <c r="F3223" i="1"/>
  <c r="F3341" i="1"/>
  <c r="F3429" i="1"/>
  <c r="F3449" i="1"/>
  <c r="F3508" i="1"/>
  <c r="F3529" i="1"/>
  <c r="F3531" i="1"/>
  <c r="F3587" i="1"/>
  <c r="F3589" i="1"/>
  <c r="F3591" i="1"/>
  <c r="F3597" i="1"/>
  <c r="F3629" i="1"/>
  <c r="F3631" i="1"/>
  <c r="F3656" i="1"/>
  <c r="F3762" i="1"/>
  <c r="F3823" i="1"/>
  <c r="F3851" i="1"/>
  <c r="F3875" i="1"/>
  <c r="F3883" i="1"/>
  <c r="F3933" i="1"/>
  <c r="F3938" i="1"/>
  <c r="F3939" i="1"/>
  <c r="F3979" i="1"/>
  <c r="F3997" i="1"/>
  <c r="F4002" i="1"/>
  <c r="F4020" i="1"/>
  <c r="F4160" i="1"/>
  <c r="F4192" i="1"/>
  <c r="F4207" i="1"/>
  <c r="F4253" i="1"/>
  <c r="F4291" i="1"/>
  <c r="F4312" i="1"/>
  <c r="F4321" i="1"/>
  <c r="F4324" i="1"/>
  <c r="F4535" i="1"/>
  <c r="F4541" i="1"/>
  <c r="F4689" i="1"/>
  <c r="F4729" i="1"/>
  <c r="F4947" i="1"/>
  <c r="F4965" i="1"/>
  <c r="F4967" i="1"/>
  <c r="F5216" i="1"/>
  <c r="F5295" i="1"/>
  <c r="F3983" i="1"/>
  <c r="F5371" i="1"/>
  <c r="F5434" i="1"/>
  <c r="F5519" i="1"/>
  <c r="F5883" i="1"/>
  <c r="F36175" i="1"/>
  <c r="F6141" i="1"/>
  <c r="F6139" i="1"/>
  <c r="F6303" i="1"/>
  <c r="F6321" i="1"/>
  <c r="F6357" i="1"/>
  <c r="F6369" i="1"/>
  <c r="F6371" i="1"/>
  <c r="F6373" i="1"/>
  <c r="F6375" i="1"/>
  <c r="F6411" i="1"/>
  <c r="F6413" i="1"/>
  <c r="F6436" i="1"/>
  <c r="F6442" i="1"/>
  <c r="F6641" i="1"/>
  <c r="F6732" i="1"/>
  <c r="F6746" i="1"/>
  <c r="F6754" i="1"/>
  <c r="F6756" i="1"/>
  <c r="F6828" i="1"/>
  <c r="F6864" i="1"/>
  <c r="F6882" i="1"/>
  <c r="F6887" i="1"/>
  <c r="F6889" i="1"/>
  <c r="F6895" i="1"/>
  <c r="F6905" i="1"/>
  <c r="F6907" i="1"/>
  <c r="F6909" i="1"/>
  <c r="F7131" i="1"/>
  <c r="F7132" i="1"/>
  <c r="F7274" i="1"/>
  <c r="F7280" i="1"/>
  <c r="F7282" i="1"/>
  <c r="F7284" i="1"/>
  <c r="F7294" i="1"/>
  <c r="F7410" i="1"/>
  <c r="F7412" i="1"/>
  <c r="F7450" i="1"/>
  <c r="F7422" i="1"/>
  <c r="F7460" i="1"/>
  <c r="F7463" i="1"/>
  <c r="F7464" i="1"/>
  <c r="F7505" i="1"/>
  <c r="F7530" i="1"/>
  <c r="F7543" i="1"/>
  <c r="F7571" i="1"/>
  <c r="F7605" i="1"/>
  <c r="F7607" i="1"/>
  <c r="F7623" i="1"/>
  <c r="F7634" i="1"/>
  <c r="F7646" i="1"/>
  <c r="F7658" i="1"/>
  <c r="F7910" i="1"/>
  <c r="F8106" i="1"/>
  <c r="F8132" i="1"/>
  <c r="F8139" i="1"/>
  <c r="F8148" i="1"/>
  <c r="F19976" i="1"/>
  <c r="F8323" i="1"/>
  <c r="F8430" i="1"/>
  <c r="F8444" i="1"/>
  <c r="F8446" i="1"/>
  <c r="F8451" i="1"/>
  <c r="F8453" i="1"/>
  <c r="F8455" i="1"/>
  <c r="F8456" i="1"/>
  <c r="F8466" i="1"/>
  <c r="F8480" i="1"/>
  <c r="F8537" i="1"/>
  <c r="F8542" i="1"/>
  <c r="F8544" i="1"/>
  <c r="F8679" i="1"/>
  <c r="F8683" i="1"/>
  <c r="F8685" i="1"/>
  <c r="F8687" i="1"/>
  <c r="F8689" i="1"/>
  <c r="F8693" i="1"/>
  <c r="F8707" i="1"/>
  <c r="F8731" i="1"/>
  <c r="F8748" i="1"/>
  <c r="F8765" i="1"/>
  <c r="F8789" i="1"/>
  <c r="F8791" i="1"/>
  <c r="F8800" i="1"/>
  <c r="F8887" i="1"/>
  <c r="F8889" i="1"/>
  <c r="F8894" i="1"/>
  <c r="F8895" i="1"/>
  <c r="F8933" i="1"/>
  <c r="F8957" i="1"/>
  <c r="F9281" i="1"/>
  <c r="F9340" i="1"/>
  <c r="F9387" i="1"/>
  <c r="F9398" i="1"/>
  <c r="F9400" i="1"/>
  <c r="F9413" i="1"/>
  <c r="F11009" i="1"/>
  <c r="F10627" i="1"/>
  <c r="F10784" i="1"/>
  <c r="F10754" i="1"/>
  <c r="F11126" i="1"/>
  <c r="F11365" i="1"/>
  <c r="F11384" i="1"/>
  <c r="F11388" i="1"/>
  <c r="F11390" i="1"/>
  <c r="F11392" i="1"/>
  <c r="F11396" i="1"/>
  <c r="F11404" i="1"/>
  <c r="F11500" i="1"/>
  <c r="F11514" i="1"/>
  <c r="F11598" i="1"/>
  <c r="F11600" i="1"/>
  <c r="F11602" i="1"/>
  <c r="F11609" i="1"/>
  <c r="F11610" i="1"/>
  <c r="F11623" i="1"/>
  <c r="F11630" i="1"/>
  <c r="F11777" i="1"/>
  <c r="F12140" i="1"/>
  <c r="F12142" i="1"/>
  <c r="F12333" i="1"/>
  <c r="F12348" i="1"/>
  <c r="F12414" i="1"/>
  <c r="F12563" i="1"/>
  <c r="F13085" i="1"/>
  <c r="F13127" i="1"/>
  <c r="F13129" i="1"/>
  <c r="F13133" i="1"/>
  <c r="F13254" i="1"/>
  <c r="F13379" i="1"/>
  <c r="F13405" i="1"/>
  <c r="F13423" i="1"/>
  <c r="F13431" i="1"/>
  <c r="F13445" i="1"/>
  <c r="F13447" i="1"/>
  <c r="F13449" i="1"/>
  <c r="F13452" i="1"/>
  <c r="F13465" i="1"/>
  <c r="F13481" i="1"/>
  <c r="F13595" i="1"/>
  <c r="F13925" i="1"/>
  <c r="F13927" i="1"/>
  <c r="F13968" i="1"/>
  <c r="F13971" i="1"/>
  <c r="F13973" i="1"/>
  <c r="F14011" i="1"/>
  <c r="F14013" i="1"/>
  <c r="F14023" i="1"/>
  <c r="F11394" i="1"/>
  <c r="F14090" i="1"/>
  <c r="F14382" i="1"/>
  <c r="F14548" i="1"/>
  <c r="F14550" i="1"/>
  <c r="F14554" i="1"/>
  <c r="F14556" i="1"/>
  <c r="F14569" i="1"/>
  <c r="F14591" i="1"/>
  <c r="F14617" i="1"/>
  <c r="F14631" i="1"/>
  <c r="F14668" i="1"/>
  <c r="F14676" i="1"/>
  <c r="F14696" i="1"/>
  <c r="F16909" i="1"/>
  <c r="F14727" i="1"/>
  <c r="F14852" i="1"/>
  <c r="F14893" i="1"/>
  <c r="F14895" i="1"/>
  <c r="F14898" i="1"/>
  <c r="F14899" i="1"/>
  <c r="F15040" i="1"/>
  <c r="F15482" i="1"/>
  <c r="F15785" i="1"/>
  <c r="F15789" i="1"/>
  <c r="F15959" i="1"/>
  <c r="F15962" i="1"/>
  <c r="F15963" i="1"/>
  <c r="F15965" i="1"/>
  <c r="F16003" i="1"/>
  <c r="F16006" i="1"/>
  <c r="F16023" i="1"/>
  <c r="F16025" i="1"/>
  <c r="F16083" i="1"/>
  <c r="F16100" i="1"/>
  <c r="F16132" i="1"/>
  <c r="F16176" i="1"/>
  <c r="F16179" i="1"/>
  <c r="F16181" i="1"/>
  <c r="F16183" i="1"/>
  <c r="F16192" i="1"/>
  <c r="F16291" i="1"/>
  <c r="F16299" i="1"/>
  <c r="F16376" i="1"/>
  <c r="F4245" i="1"/>
  <c r="F16420" i="1"/>
  <c r="F16535" i="1"/>
  <c r="F16581" i="1"/>
  <c r="F16583" i="1"/>
  <c r="F16621" i="1"/>
  <c r="F16710" i="1"/>
  <c r="F16732" i="1"/>
  <c r="F16767" i="1"/>
  <c r="F16870" i="1"/>
  <c r="F16862" i="1"/>
  <c r="F16863" i="1"/>
  <c r="F16875" i="1"/>
  <c r="F16881" i="1"/>
  <c r="F16887" i="1"/>
  <c r="F16891" i="1"/>
  <c r="F16895" i="1"/>
  <c r="F16897" i="1"/>
  <c r="F16903" i="1"/>
  <c r="F16905" i="1"/>
  <c r="F16907" i="1"/>
  <c r="F16911" i="1"/>
  <c r="F16913" i="1"/>
  <c r="F16917" i="1"/>
  <c r="F16921" i="1"/>
  <c r="F16923" i="1"/>
  <c r="F16925" i="1"/>
  <c r="F16927" i="1"/>
  <c r="F16931" i="1"/>
  <c r="F16933" i="1"/>
  <c r="F16935" i="1"/>
  <c r="F16937" i="1"/>
  <c r="F16939" i="1"/>
  <c r="F16943" i="1"/>
  <c r="F3157" i="1"/>
  <c r="F16965" i="1"/>
  <c r="F16967" i="1"/>
  <c r="F17266" i="1"/>
  <c r="F17323" i="1"/>
  <c r="F17327" i="1"/>
  <c r="F17329" i="1"/>
  <c r="F17331" i="1"/>
  <c r="F17339" i="1"/>
  <c r="F17429" i="1"/>
  <c r="F17444" i="1"/>
  <c r="F17445" i="1"/>
  <c r="F17446" i="1"/>
  <c r="F17438" i="1"/>
  <c r="F17452" i="1"/>
  <c r="F17564" i="1"/>
  <c r="F17705" i="1"/>
  <c r="F17711" i="1"/>
  <c r="F17792" i="1"/>
  <c r="F17805" i="1"/>
  <c r="F17839" i="1"/>
  <c r="F17869" i="1"/>
  <c r="F17871" i="1"/>
  <c r="F17918" i="1"/>
  <c r="F17978" i="1"/>
  <c r="F18060" i="1"/>
  <c r="F18072" i="1"/>
  <c r="F18092" i="1"/>
  <c r="F18302" i="1"/>
  <c r="F18330" i="1"/>
  <c r="F18501" i="1"/>
  <c r="F18589" i="1"/>
  <c r="F18732" i="1"/>
  <c r="F18734" i="1"/>
  <c r="F18949" i="1"/>
  <c r="F18975" i="1"/>
  <c r="F18977" i="1"/>
  <c r="F18979" i="1"/>
  <c r="F19069" i="1"/>
  <c r="F19108" i="1"/>
  <c r="F19125" i="1"/>
  <c r="F19145" i="1"/>
  <c r="F19462" i="1"/>
  <c r="F19494" i="1"/>
  <c r="F19789" i="1"/>
  <c r="F19878" i="1"/>
  <c r="F19932" i="1"/>
  <c r="F19978" i="1"/>
  <c r="F19980" i="1"/>
  <c r="F20060" i="1"/>
  <c r="F20164" i="1"/>
  <c r="F20262" i="1"/>
  <c r="F20319" i="1"/>
  <c r="F20372" i="1"/>
  <c r="F20374" i="1"/>
  <c r="F20450" i="1"/>
  <c r="F20452" i="1"/>
  <c r="F20454" i="1"/>
  <c r="F20456" i="1"/>
  <c r="F20602" i="1"/>
  <c r="F20673" i="1"/>
  <c r="F20994" i="1"/>
  <c r="F21201" i="1"/>
  <c r="F21202" i="1"/>
  <c r="F21257" i="1"/>
  <c r="F969" i="1"/>
  <c r="F21550" i="1"/>
  <c r="F21591" i="1"/>
  <c r="F21643" i="1"/>
  <c r="F21695" i="1"/>
  <c r="F21868" i="1"/>
  <c r="F22172" i="1"/>
  <c r="F22176" i="1"/>
  <c r="F22178" i="1"/>
  <c r="F22180" i="1"/>
  <c r="F22188" i="1"/>
  <c r="F22186" i="1"/>
  <c r="F22214" i="1"/>
  <c r="F22305" i="1"/>
  <c r="F22329" i="1"/>
  <c r="F22486" i="1"/>
  <c r="F22620" i="1"/>
  <c r="F22696" i="1"/>
  <c r="F22712" i="1"/>
  <c r="F22765" i="1"/>
  <c r="F22807" i="1"/>
  <c r="F22832" i="1"/>
  <c r="F22982" i="1"/>
  <c r="F22984" i="1"/>
  <c r="F23711" i="1"/>
  <c r="F4260" i="1"/>
  <c r="F683" i="1"/>
  <c r="F23220" i="1"/>
  <c r="F23752" i="1"/>
  <c r="F23779" i="1"/>
  <c r="F23815" i="1"/>
  <c r="F33052" i="1"/>
  <c r="F13504" i="1"/>
  <c r="F24049" i="1"/>
  <c r="F24042" i="1"/>
  <c r="F24105" i="1"/>
  <c r="F24106" i="1"/>
  <c r="F24107" i="1"/>
  <c r="F24304" i="1"/>
  <c r="F24527" i="1"/>
  <c r="F24528" i="1"/>
  <c r="F24618" i="1"/>
  <c r="F26163" i="1"/>
  <c r="F26555" i="1"/>
  <c r="F27608" i="1"/>
  <c r="F27666" i="1"/>
  <c r="F28045" i="1"/>
  <c r="F29238" i="1"/>
  <c r="F29328" i="1"/>
  <c r="F29589" i="1"/>
  <c r="F446" i="1"/>
  <c r="F31150" i="1"/>
  <c r="F31335" i="1"/>
  <c r="F32425" i="1"/>
  <c r="F32450" i="1"/>
  <c r="F32889" i="1"/>
  <c r="F33053" i="1"/>
  <c r="F33558" i="1"/>
  <c r="F33602" i="1"/>
  <c r="F16969" i="1"/>
  <c r="F35029" i="1"/>
  <c r="F35501" i="1"/>
  <c r="F35836" i="1"/>
  <c r="F35799" i="1"/>
  <c r="F3252" i="1"/>
  <c r="F11376" i="1"/>
  <c r="F17867" i="1"/>
  <c r="F14658" i="1"/>
  <c r="F14901" i="1"/>
  <c r="F4408" i="1"/>
  <c r="F19790" i="1"/>
  <c r="F142" i="1"/>
  <c r="F412" i="1"/>
  <c r="F2556" i="1"/>
  <c r="F19098" i="1"/>
  <c r="F3602" i="1"/>
  <c r="F16602" i="1"/>
  <c r="F6884" i="1"/>
  <c r="F388" i="1"/>
  <c r="F405" i="1"/>
  <c r="F413" i="1"/>
  <c r="F597" i="1"/>
  <c r="F599" i="1"/>
  <c r="F629" i="1"/>
  <c r="F851" i="1"/>
  <c r="F869" i="1"/>
  <c r="F891" i="1"/>
  <c r="F953" i="1"/>
  <c r="F967" i="1"/>
  <c r="F1089" i="1"/>
  <c r="F2489" i="1"/>
  <c r="F2491" i="1"/>
  <c r="F3062" i="1"/>
  <c r="F3064" i="1"/>
  <c r="F3066" i="1"/>
  <c r="F3511" i="1"/>
  <c r="F352" i="1"/>
  <c r="F3675" i="1"/>
  <c r="F3977" i="1"/>
  <c r="F4046" i="1"/>
  <c r="F4325" i="1"/>
  <c r="F4618" i="1"/>
  <c r="F4677" i="1"/>
  <c r="F4756" i="1"/>
  <c r="F4779" i="1"/>
  <c r="F5535" i="1"/>
  <c r="F5545" i="1"/>
  <c r="F5562" i="1"/>
  <c r="F5601" i="1"/>
  <c r="F5615" i="1"/>
  <c r="F5665" i="1"/>
  <c r="F5712" i="1"/>
  <c r="F5929" i="1"/>
  <c r="F6010" i="1"/>
  <c r="F5951" i="1"/>
  <c r="F5952" i="1"/>
  <c r="F6305" i="1"/>
  <c r="F6391" i="1"/>
  <c r="F6452" i="1"/>
  <c r="F6637" i="1"/>
  <c r="F6758" i="1"/>
  <c r="F7018" i="1"/>
  <c r="F7126" i="1"/>
  <c r="F7276" i="1"/>
  <c r="F7629" i="1"/>
  <c r="F8137" i="1"/>
  <c r="F8146" i="1"/>
  <c r="F8472" i="1"/>
  <c r="F8604" i="1"/>
  <c r="F8771" i="1"/>
  <c r="F9195" i="1"/>
  <c r="F10743" i="1"/>
  <c r="F11499" i="1"/>
  <c r="F12117" i="1"/>
  <c r="F12274" i="1"/>
  <c r="F13419" i="1"/>
  <c r="F13429" i="1"/>
  <c r="F13587" i="1"/>
  <c r="F13923" i="1"/>
  <c r="F13953" i="1"/>
  <c r="F14098" i="1"/>
  <c r="F16054" i="1"/>
  <c r="F16303" i="1"/>
  <c r="F16653" i="1"/>
  <c r="F16742" i="1"/>
  <c r="F16838" i="1"/>
  <c r="F16866" i="1"/>
  <c r="F16899" i="1"/>
  <c r="F16901" i="1"/>
  <c r="F16919" i="1"/>
  <c r="F16941" i="1"/>
  <c r="F17203" i="1"/>
  <c r="F17325" i="1"/>
  <c r="F17333" i="1"/>
  <c r="F17335" i="1"/>
  <c r="F17714" i="1"/>
  <c r="F17865" i="1"/>
  <c r="F17928" i="1"/>
  <c r="F18463" i="1"/>
  <c r="F18599" i="1"/>
  <c r="F19835" i="1"/>
  <c r="F20073" i="1"/>
  <c r="F20107" i="1"/>
  <c r="F20435" i="1"/>
  <c r="F20600" i="1"/>
  <c r="F21048" i="1"/>
  <c r="F22887" i="1"/>
  <c r="F23998" i="1"/>
  <c r="F24001" i="1"/>
  <c r="F665" i="1"/>
  <c r="F24350" i="1"/>
  <c r="F24457" i="1"/>
  <c r="F25271" i="1"/>
  <c r="F25275" i="1"/>
  <c r="F26207" i="1"/>
  <c r="F27631" i="1"/>
  <c r="F31388" i="1"/>
  <c r="F33455" i="1"/>
  <c r="F33456" i="1"/>
  <c r="F34967" i="1"/>
  <c r="F7559" i="1"/>
  <c r="F15787" i="1"/>
  <c r="F280" i="1"/>
  <c r="F16889" i="1"/>
  <c r="F8681" i="1"/>
  <c r="F12680" i="1"/>
  <c r="F18759" i="1"/>
  <c r="F22208" i="1"/>
  <c r="F176" i="1"/>
  <c r="F276" i="1"/>
  <c r="F326" i="1"/>
  <c r="F1097" i="1"/>
  <c r="F2414" i="1"/>
  <c r="F2461" i="1"/>
  <c r="F2566" i="1"/>
  <c r="F2893" i="1"/>
  <c r="F3588" i="1"/>
  <c r="F3590" i="1"/>
  <c r="F3593" i="1"/>
  <c r="F3595" i="1"/>
  <c r="F3839" i="1"/>
  <c r="F3927" i="1"/>
  <c r="F3985" i="1"/>
  <c r="F4124" i="1"/>
  <c r="F4285" i="1"/>
  <c r="F6359" i="1"/>
  <c r="F7096" i="1"/>
  <c r="F7589" i="1"/>
  <c r="F8315" i="1"/>
  <c r="F8420" i="1"/>
  <c r="F8691" i="1"/>
  <c r="F12350" i="1"/>
  <c r="F14552" i="1"/>
  <c r="F15071" i="1"/>
  <c r="F17798" i="1"/>
  <c r="F17807" i="1"/>
  <c r="F18326" i="1"/>
  <c r="F19792" i="1"/>
  <c r="F22360" i="1"/>
  <c r="F30370" i="1"/>
  <c r="F32888" i="1"/>
  <c r="F33734" i="1"/>
  <c r="F34972" i="1"/>
  <c r="F34985" i="1"/>
  <c r="F9193" i="1"/>
  <c r="F20996" i="1"/>
  <c r="F2685" i="1"/>
  <c r="F603" i="1"/>
  <c r="F877" i="1"/>
  <c r="F3314" i="1"/>
  <c r="F7128" i="1"/>
  <c r="F13789" i="1"/>
  <c r="F14561" i="1"/>
  <c r="F16436" i="1"/>
  <c r="F17436" i="1"/>
  <c r="F17710" i="1"/>
  <c r="F21899" i="1"/>
  <c r="F516" i="1"/>
  <c r="F16185" i="1"/>
  <c r="F20148" i="1"/>
  <c r="F13068" i="1"/>
  <c r="F397" i="1"/>
  <c r="F12678" i="1"/>
  <c r="F17337" i="1"/>
  <c r="F13979" i="1"/>
  <c r="F3708" i="1"/>
  <c r="F14567" i="1"/>
  <c r="F3239" i="1"/>
  <c r="F15095" i="1"/>
  <c r="F6377" i="1"/>
  <c r="F10582" i="1"/>
  <c r="F2479" i="1"/>
  <c r="F11401" i="1"/>
  <c r="F18699" i="1"/>
  <c r="F16703" i="1"/>
  <c r="F1049" i="1"/>
  <c r="F3792" i="1"/>
  <c r="F4065" i="1"/>
  <c r="F4070" i="1"/>
  <c r="F5625" i="1"/>
  <c r="F6181" i="1"/>
  <c r="F4201" i="1"/>
  <c r="F6614" i="1"/>
  <c r="F9189" i="1"/>
  <c r="F10595" i="1"/>
  <c r="F10819" i="1"/>
  <c r="F11122" i="1"/>
  <c r="F11171" i="1"/>
  <c r="F12649" i="1"/>
  <c r="F12717" i="1"/>
  <c r="F13047" i="1"/>
  <c r="F18350" i="1"/>
  <c r="F20511" i="1"/>
  <c r="F34396" i="1"/>
  <c r="F34802" i="1"/>
  <c r="F6264" i="1"/>
  <c r="F11857" i="1"/>
  <c r="F36652" i="1"/>
  <c r="F35454" i="1"/>
  <c r="F12842" i="1"/>
  <c r="F36011" i="1"/>
  <c r="F35855" i="1"/>
  <c r="F35857" i="1"/>
  <c r="F20469" i="1"/>
  <c r="F35911" i="1"/>
  <c r="F35918" i="1"/>
  <c r="F35933" i="1"/>
  <c r="F35970" i="1"/>
  <c r="F35977" i="1"/>
  <c r="F35982" i="1"/>
  <c r="F36664" i="1"/>
  <c r="F36269" i="1"/>
  <c r="F36334" i="1"/>
  <c r="F34896" i="1"/>
  <c r="F3764" i="1"/>
  <c r="F2960" i="1"/>
  <c r="F481" i="1"/>
  <c r="F2361" i="1"/>
  <c r="F3788" i="1"/>
  <c r="F16313" i="1"/>
  <c r="F4750" i="1"/>
  <c r="F5826" i="1"/>
  <c r="F7865" i="1"/>
  <c r="F8412" i="1"/>
  <c r="F9206" i="1"/>
  <c r="F7821" i="1"/>
  <c r="F12721" i="1"/>
  <c r="F21730" i="1"/>
  <c r="F24532" i="1"/>
  <c r="F13729" i="1"/>
  <c r="F33995" i="1"/>
  <c r="F34930" i="1"/>
  <c r="F35451" i="1"/>
  <c r="F35853" i="1"/>
  <c r="F35896" i="1"/>
  <c r="F35941" i="1"/>
  <c r="F35945" i="1"/>
  <c r="F36325" i="1"/>
  <c r="F3807" i="1"/>
  <c r="F7664" i="1"/>
  <c r="F14161" i="1"/>
  <c r="F22300" i="1"/>
  <c r="F691" i="1"/>
  <c r="F2622" i="1"/>
  <c r="F3205" i="1"/>
  <c r="F3243" i="1"/>
  <c r="F3244" i="1"/>
  <c r="F3265" i="1"/>
  <c r="F3288" i="1"/>
  <c r="F3319" i="1"/>
  <c r="F3367" i="1"/>
  <c r="F3683" i="1"/>
  <c r="F3684" i="1"/>
  <c r="F3913" i="1"/>
  <c r="F4118" i="1"/>
  <c r="F4138" i="1"/>
  <c r="F4318" i="1"/>
  <c r="F4405" i="1"/>
  <c r="F6177" i="1"/>
  <c r="F6525" i="1"/>
  <c r="F6529" i="1"/>
  <c r="F6804" i="1"/>
  <c r="F7414" i="1"/>
  <c r="F7416" i="1"/>
  <c r="F7520" i="1"/>
  <c r="F7642" i="1"/>
  <c r="F7672" i="1"/>
  <c r="F9967" i="1"/>
  <c r="F12408" i="1"/>
  <c r="F15076" i="1"/>
  <c r="F16016" i="1"/>
  <c r="F16017" i="1"/>
  <c r="F16052" i="1"/>
  <c r="F16122" i="1"/>
  <c r="F16190" i="1"/>
  <c r="F16715" i="1"/>
  <c r="F17189" i="1"/>
  <c r="F17191" i="1"/>
  <c r="F18038" i="1"/>
  <c r="F18477" i="1"/>
  <c r="F19065" i="1"/>
  <c r="F19523" i="1"/>
  <c r="F20900" i="1"/>
  <c r="F21555" i="1"/>
  <c r="F22280" i="1"/>
  <c r="F22861" i="1"/>
  <c r="F23003" i="1"/>
  <c r="F23005" i="1"/>
  <c r="F23838" i="1"/>
  <c r="F24200" i="1"/>
  <c r="F25666" i="1"/>
  <c r="F27273" i="1"/>
  <c r="F27307" i="1"/>
  <c r="F27950" i="1"/>
  <c r="F28333" i="1"/>
  <c r="F28995" i="1"/>
  <c r="F29129" i="1"/>
  <c r="F29229" i="1"/>
  <c r="F32817" i="1"/>
  <c r="F32832" i="1"/>
  <c r="F34980" i="1"/>
  <c r="F35382" i="1"/>
  <c r="F35681" i="1"/>
  <c r="F36054" i="1"/>
  <c r="F21715" i="1"/>
  <c r="F7858" i="1"/>
  <c r="F4419" i="1"/>
  <c r="F3166" i="1"/>
  <c r="F13373" i="1"/>
  <c r="F16945" i="1"/>
  <c r="F21074" i="1"/>
  <c r="F22751" i="1"/>
  <c r="F22561" i="1"/>
  <c r="F2456" i="1"/>
  <c r="F4413" i="1"/>
  <c r="F6918" i="1"/>
  <c r="F7083" i="1"/>
  <c r="F7557" i="1"/>
  <c r="F11518" i="1"/>
  <c r="F11996" i="1"/>
  <c r="F13502" i="1"/>
  <c r="F13807" i="1"/>
  <c r="F20066" i="1"/>
  <c r="F24147" i="1"/>
  <c r="F24758" i="1"/>
  <c r="F26744" i="1"/>
  <c r="F37" i="1"/>
  <c r="F152" i="1"/>
  <c r="F177" i="1"/>
  <c r="F194" i="1"/>
  <c r="F4331" i="1"/>
  <c r="F4398" i="1"/>
  <c r="F7676" i="1"/>
  <c r="F8848" i="1"/>
  <c r="F8915" i="1"/>
  <c r="F11402" i="1"/>
  <c r="F13357" i="1"/>
  <c r="F13477" i="1"/>
  <c r="F13598" i="1"/>
  <c r="F14396" i="1"/>
  <c r="F14546" i="1"/>
  <c r="F15069" i="1"/>
  <c r="F16962" i="1"/>
  <c r="F16963" i="1"/>
  <c r="F17349" i="1"/>
  <c r="F20886" i="1"/>
  <c r="F21655" i="1"/>
  <c r="F22363" i="1"/>
  <c r="F22827" i="1"/>
  <c r="F23720" i="1"/>
  <c r="F24269" i="1"/>
  <c r="F27360" i="1"/>
  <c r="F29634" i="1"/>
  <c r="F29678" i="1"/>
  <c r="F29818" i="1"/>
  <c r="F32191" i="1"/>
  <c r="F34035" i="1"/>
  <c r="F34041" i="1"/>
  <c r="F2110" i="1"/>
  <c r="F8959" i="1"/>
  <c r="F13751" i="1"/>
  <c r="F21697" i="1"/>
  <c r="F22269" i="1"/>
  <c r="F10213" i="1"/>
  <c r="F183" i="1"/>
  <c r="F3149" i="1"/>
  <c r="F4523" i="1"/>
  <c r="F5002" i="1"/>
  <c r="F5087" i="1"/>
  <c r="F5892" i="1"/>
  <c r="F8980" i="1"/>
  <c r="F10890" i="1"/>
  <c r="F12060" i="1"/>
  <c r="F13601" i="1"/>
  <c r="F13605" i="1"/>
  <c r="F14379" i="1"/>
  <c r="F17393" i="1"/>
  <c r="F17543" i="1"/>
  <c r="F17912" i="1"/>
  <c r="F20394" i="1"/>
  <c r="F20567" i="1"/>
  <c r="F20750" i="1"/>
  <c r="F22476" i="1"/>
  <c r="F24861" i="1"/>
  <c r="F27684" i="1"/>
  <c r="F2212" i="1"/>
  <c r="F12954" i="1"/>
  <c r="F13037" i="1"/>
  <c r="F19605" i="1"/>
  <c r="F21012" i="1"/>
  <c r="F22228" i="1"/>
  <c r="F15188" i="1"/>
  <c r="F893" i="1"/>
  <c r="F1075" i="1"/>
  <c r="F2079" i="1"/>
  <c r="F4595" i="1"/>
  <c r="F4636" i="1"/>
  <c r="F11469" i="1"/>
  <c r="F21647" i="1"/>
  <c r="F15579" i="1"/>
  <c r="F9455" i="1"/>
  <c r="F542" i="1"/>
  <c r="F3566" i="1"/>
  <c r="F7121" i="1"/>
  <c r="F7324" i="1"/>
  <c r="F7328" i="1"/>
  <c r="F8838" i="1"/>
  <c r="F10039" i="1"/>
  <c r="F9618" i="1"/>
  <c r="F9856" i="1"/>
  <c r="F10065" i="1"/>
  <c r="F10077" i="1"/>
  <c r="F10183" i="1"/>
  <c r="F10205" i="1"/>
  <c r="F10224" i="1"/>
  <c r="F10420" i="1"/>
  <c r="F12893" i="1"/>
  <c r="F13304" i="1"/>
  <c r="F9677" i="1"/>
  <c r="F20159" i="1"/>
  <c r="F20400" i="1"/>
  <c r="F35303" i="1"/>
  <c r="F36119" i="1"/>
  <c r="F14489" i="1"/>
  <c r="F1131" i="1"/>
  <c r="F5528" i="1"/>
  <c r="F5635" i="1"/>
  <c r="F5947" i="1"/>
  <c r="F5935" i="1"/>
  <c r="F5938" i="1"/>
  <c r="F6147" i="1"/>
  <c r="F6155" i="1"/>
  <c r="F6160" i="1"/>
  <c r="F7252" i="1"/>
  <c r="F6710" i="1"/>
  <c r="F34891" i="1"/>
  <c r="F9396" i="1"/>
  <c r="F10682" i="1"/>
  <c r="F34937" i="1"/>
  <c r="F9283" i="1"/>
  <c r="F13018" i="1"/>
  <c r="F25930" i="1"/>
  <c r="F13032" i="1"/>
  <c r="F16820" i="1"/>
  <c r="F20762" i="1"/>
  <c r="F21466" i="1"/>
  <c r="F22166" i="1"/>
  <c r="F24698" i="1"/>
  <c r="F25432" i="1"/>
  <c r="F25433" i="1"/>
  <c r="F25441" i="1"/>
  <c r="F25720" i="1"/>
  <c r="F25889" i="1"/>
  <c r="F25958" i="1"/>
  <c r="F36647" i="1"/>
  <c r="F27327" i="1"/>
  <c r="F27398" i="1"/>
  <c r="F27422" i="1"/>
  <c r="F30224" i="1"/>
  <c r="F36272" i="1"/>
  <c r="F30293" i="1"/>
  <c r="F30297" i="1"/>
  <c r="F34058" i="1"/>
  <c r="F34653" i="1"/>
  <c r="F26690" i="1"/>
  <c r="F36650" i="1"/>
  <c r="F34926" i="1"/>
  <c r="F34931" i="1"/>
  <c r="F34940" i="1"/>
  <c r="F35844" i="1"/>
  <c r="F35848" i="1"/>
  <c r="F35882" i="1"/>
  <c r="F35947" i="1"/>
  <c r="F35950" i="1"/>
  <c r="F35985" i="1"/>
  <c r="F36663" i="1"/>
  <c r="F36274" i="1"/>
  <c r="F35777" i="1"/>
  <c r="F27444" i="1"/>
  <c r="F20571" i="1"/>
  <c r="F21235" i="1"/>
  <c r="F22719" i="1"/>
  <c r="F36368" i="1"/>
  <c r="F11106" i="1"/>
  <c r="F15556" i="1"/>
  <c r="F15884" i="1"/>
  <c r="F17911" i="1"/>
  <c r="F18993" i="1"/>
  <c r="F19041" i="1"/>
  <c r="F19470" i="1"/>
  <c r="F20539" i="1"/>
  <c r="F20793" i="1"/>
  <c r="F20795" i="1"/>
  <c r="F21233" i="1"/>
  <c r="F23492" i="1"/>
  <c r="F23736" i="1"/>
  <c r="F13710" i="1"/>
  <c r="F2549" i="1"/>
  <c r="F4258" i="1"/>
  <c r="F5517" i="1"/>
  <c r="F7270" i="1"/>
  <c r="F7465" i="1"/>
  <c r="F17027" i="1"/>
  <c r="F17525" i="1"/>
  <c r="F9892" i="1"/>
  <c r="F22628" i="1"/>
  <c r="F24033" i="1"/>
  <c r="F34799" i="1"/>
  <c r="F35389" i="1"/>
  <c r="F10643" i="1"/>
  <c r="F14497" i="1"/>
  <c r="F4440" i="1"/>
  <c r="F5032" i="1"/>
  <c r="F5073" i="1"/>
  <c r="F5133" i="1"/>
  <c r="F5202" i="1"/>
  <c r="F5204" i="1"/>
  <c r="F6071" i="1"/>
  <c r="F6463" i="1"/>
  <c r="F6639" i="1"/>
  <c r="F8120" i="1"/>
  <c r="F9201" i="1"/>
  <c r="F10139" i="1"/>
  <c r="F10271" i="1"/>
  <c r="F11704" i="1"/>
  <c r="F12403" i="1"/>
  <c r="F12463" i="1"/>
  <c r="F13544" i="1"/>
  <c r="F13566" i="1"/>
  <c r="F14444" i="1"/>
  <c r="F14456" i="1"/>
  <c r="F14471" i="1"/>
  <c r="F14505" i="1"/>
  <c r="F15770" i="1"/>
  <c r="F18312" i="1"/>
  <c r="F21917" i="1"/>
  <c r="F21919" i="1"/>
  <c r="F21921" i="1"/>
  <c r="F21923" i="1"/>
  <c r="F17236" i="1"/>
  <c r="F18582" i="1"/>
  <c r="F947" i="1"/>
  <c r="F977" i="1"/>
  <c r="F1095" i="1"/>
  <c r="F1487" i="1"/>
  <c r="F1651" i="1"/>
  <c r="F2178" i="1"/>
  <c r="F2231" i="1"/>
  <c r="F2233" i="1"/>
  <c r="F2235" i="1"/>
  <c r="F3539" i="1"/>
  <c r="F3561" i="1"/>
  <c r="F3899" i="1"/>
  <c r="F3945" i="1"/>
  <c r="F4429" i="1"/>
  <c r="F5198" i="1"/>
  <c r="F5200" i="1"/>
  <c r="F5135" i="1"/>
  <c r="F5206" i="1"/>
  <c r="F5208" i="1"/>
  <c r="F5726" i="1"/>
  <c r="F6069" i="1"/>
  <c r="F6444" i="1"/>
  <c r="F6476" i="1"/>
  <c r="F6519" i="1"/>
  <c r="F7347" i="1"/>
  <c r="F8122" i="1"/>
  <c r="F8124" i="1"/>
  <c r="F7867" i="1"/>
  <c r="F8937" i="1"/>
  <c r="F9205" i="1"/>
  <c r="F9260" i="1"/>
  <c r="F9272" i="1"/>
  <c r="F9426" i="1"/>
  <c r="F10565" i="1"/>
  <c r="F10567" i="1"/>
  <c r="F10569" i="1"/>
  <c r="F10645" i="1"/>
  <c r="F10798" i="1"/>
  <c r="F11363" i="1"/>
  <c r="F11148" i="1"/>
  <c r="F11754" i="1"/>
  <c r="F12342" i="1"/>
  <c r="F12461" i="1"/>
  <c r="F12480" i="1"/>
  <c r="F13546" i="1"/>
  <c r="F13568" i="1"/>
  <c r="F14458" i="1"/>
  <c r="F14461" i="1"/>
  <c r="F14465" i="1"/>
  <c r="F14467" i="1"/>
  <c r="F14469" i="1"/>
  <c r="F14463" i="1"/>
  <c r="F14475" i="1"/>
  <c r="F14483" i="1"/>
  <c r="F14493" i="1"/>
  <c r="F14495" i="1"/>
  <c r="F14499" i="1"/>
  <c r="F14509" i="1"/>
  <c r="F14518" i="1"/>
  <c r="F14514" i="1"/>
  <c r="F14516" i="1"/>
  <c r="F14533" i="1"/>
  <c r="F14942" i="1"/>
  <c r="F14970" i="1"/>
  <c r="F15573" i="1"/>
  <c r="F15575" i="1"/>
  <c r="F15577" i="1"/>
  <c r="F18895" i="1"/>
  <c r="F17244" i="1"/>
  <c r="F17234" i="1"/>
  <c r="F17238" i="1"/>
  <c r="F17240" i="1"/>
  <c r="F17242" i="1"/>
  <c r="F18114" i="1"/>
  <c r="F18217" i="1"/>
  <c r="F18255" i="1"/>
  <c r="F18290" i="1"/>
  <c r="F18314" i="1"/>
  <c r="F18316" i="1"/>
  <c r="F18318" i="1"/>
  <c r="F18320" i="1"/>
  <c r="F18322" i="1"/>
  <c r="F18324" i="1"/>
  <c r="F18861" i="1"/>
  <c r="F21850" i="1"/>
  <c r="F22551" i="1"/>
  <c r="F22639" i="1"/>
  <c r="F22681" i="1"/>
  <c r="F14507" i="1"/>
  <c r="F1649" i="1"/>
  <c r="F699" i="1"/>
  <c r="F2483" i="1"/>
  <c r="F3437" i="1"/>
  <c r="F4028" i="1"/>
  <c r="F12839" i="1"/>
  <c r="F15303" i="1"/>
  <c r="F3447" i="1"/>
  <c r="F17222" i="1"/>
  <c r="F23873" i="1"/>
  <c r="F13425" i="1"/>
  <c r="F24606" i="1"/>
  <c r="F19099" i="1"/>
  <c r="F6719" i="1"/>
  <c r="F20660" i="1"/>
  <c r="F21587" i="1"/>
  <c r="F22826" i="1"/>
  <c r="F10602" i="1"/>
  <c r="F22484" i="1"/>
  <c r="F3111" i="1"/>
  <c r="F593" i="1"/>
  <c r="F6127" i="1"/>
  <c r="F4041" i="1"/>
  <c r="F24238" i="1"/>
  <c r="F30261" i="1"/>
  <c r="F758" i="1"/>
  <c r="F5455" i="1"/>
  <c r="F8662" i="1"/>
  <c r="F9191" i="1"/>
  <c r="F20865" i="1"/>
  <c r="F4042" i="1"/>
  <c r="F518" i="1"/>
  <c r="F15909" i="1"/>
  <c r="F4091" i="1"/>
  <c r="F4471" i="1"/>
  <c r="F5603" i="1"/>
  <c r="F5165" i="1"/>
  <c r="F6033" i="1"/>
  <c r="F6076" i="1"/>
  <c r="F7246" i="1"/>
  <c r="F7950" i="1"/>
  <c r="F8057" i="1"/>
  <c r="F7674" i="1"/>
  <c r="F8650" i="1"/>
  <c r="F12697" i="1"/>
  <c r="F24843" i="1"/>
  <c r="F28505" i="1"/>
  <c r="F17875" i="1"/>
  <c r="F18499" i="1"/>
  <c r="F20022" i="1"/>
  <c r="F20727" i="1"/>
  <c r="F18959" i="1"/>
  <c r="F20264" i="1"/>
  <c r="F20288" i="1"/>
  <c r="F20266" i="1"/>
  <c r="F20268" i="1"/>
  <c r="F21297" i="1"/>
  <c r="F20458" i="1"/>
  <c r="F20488" i="1"/>
  <c r="F393" i="1"/>
  <c r="F33638" i="1"/>
  <c r="F104" i="1"/>
  <c r="F15927" i="1"/>
  <c r="F19501" i="1"/>
  <c r="F20154" i="1"/>
  <c r="F35888" i="1"/>
  <c r="F21815" i="1"/>
  <c r="F16788" i="1"/>
  <c r="F658" i="1"/>
  <c r="F697" i="1"/>
  <c r="F829" i="1"/>
  <c r="F836" i="1"/>
  <c r="F938" i="1"/>
  <c r="F1086" i="1"/>
  <c r="F1110" i="1"/>
  <c r="F2645" i="1"/>
  <c r="F3261" i="1"/>
  <c r="F3337" i="1"/>
  <c r="F3621" i="1"/>
  <c r="F3652" i="1"/>
  <c r="F3661" i="1"/>
  <c r="F9907" i="1"/>
  <c r="F4054" i="1"/>
  <c r="F4102" i="1"/>
  <c r="F4613" i="1"/>
  <c r="F4887" i="1"/>
  <c r="F5444" i="1"/>
  <c r="F5556" i="1"/>
  <c r="F5589" i="1"/>
  <c r="F5639" i="1"/>
  <c r="F5990" i="1"/>
  <c r="F6420" i="1"/>
  <c r="F6427" i="1"/>
  <c r="F7304" i="1"/>
  <c r="F7400" i="1"/>
  <c r="F7426" i="1"/>
  <c r="F7472" i="1"/>
  <c r="F7689" i="1"/>
  <c r="F7691" i="1"/>
  <c r="F7760" i="1"/>
  <c r="F7903" i="1"/>
  <c r="F7922" i="1"/>
  <c r="F7928" i="1"/>
  <c r="F7948" i="1"/>
  <c r="F7982" i="1"/>
  <c r="F8659" i="1"/>
  <c r="F8777" i="1"/>
  <c r="F8783" i="1"/>
  <c r="F8798" i="1"/>
  <c r="F8844" i="1"/>
  <c r="F8896" i="1"/>
  <c r="F8924" i="1"/>
  <c r="F8965" i="1"/>
  <c r="F9349" i="1"/>
  <c r="F9350" i="1"/>
  <c r="F9380" i="1"/>
  <c r="F9978" i="1"/>
  <c r="F10725" i="1"/>
  <c r="F12127" i="1"/>
  <c r="F13958" i="1"/>
  <c r="F14869" i="1"/>
  <c r="F14955" i="1"/>
  <c r="F15032" i="1"/>
  <c r="F16042" i="1"/>
  <c r="F16091" i="1"/>
  <c r="F16094" i="1"/>
  <c r="F16550" i="1"/>
  <c r="F16758" i="1"/>
  <c r="F17319" i="1"/>
  <c r="F17478" i="1"/>
  <c r="F17703" i="1"/>
  <c r="F17921" i="1"/>
  <c r="F18667" i="1"/>
  <c r="F18702" i="1"/>
  <c r="F18887" i="1"/>
  <c r="F18916" i="1"/>
  <c r="F19956" i="1"/>
  <c r="F20012" i="1"/>
  <c r="F20238" i="1"/>
  <c r="F20301" i="1"/>
  <c r="F20974" i="1"/>
  <c r="F21119" i="1"/>
  <c r="F21343" i="1"/>
  <c r="F21471" i="1"/>
  <c r="F21607" i="1"/>
  <c r="F21616" i="1"/>
  <c r="F21790" i="1"/>
  <c r="F23767" i="1"/>
  <c r="F23782" i="1"/>
  <c r="F24064" i="1"/>
  <c r="F24408" i="1"/>
  <c r="F8779" i="1"/>
  <c r="F24470" i="1"/>
  <c r="F24489" i="1"/>
  <c r="F24491" i="1"/>
  <c r="F24492" i="1"/>
  <c r="F24836" i="1"/>
  <c r="F25072" i="1"/>
  <c r="F36162" i="1"/>
  <c r="F25088" i="1"/>
  <c r="F25096" i="1"/>
  <c r="F25417" i="1"/>
  <c r="F25419" i="1"/>
  <c r="F25467" i="1"/>
  <c r="F26166" i="1"/>
  <c r="F26623" i="1"/>
  <c r="F27029" i="1"/>
  <c r="F27500" i="1"/>
  <c r="F27621" i="1"/>
  <c r="F28039" i="1"/>
  <c r="F28047" i="1"/>
  <c r="F28284" i="1"/>
  <c r="F28324" i="1"/>
  <c r="F28798" i="1"/>
  <c r="F29131" i="1"/>
  <c r="F29179" i="1"/>
  <c r="F29189" i="1"/>
  <c r="F29268" i="1"/>
  <c r="F29300" i="1"/>
  <c r="F29302" i="1"/>
  <c r="F29324" i="1"/>
  <c r="F29343" i="1"/>
  <c r="F29466" i="1"/>
  <c r="F29750" i="1"/>
  <c r="F29835" i="1"/>
  <c r="F29872" i="1"/>
  <c r="F30286" i="1"/>
  <c r="F30511" i="1"/>
  <c r="F20315" i="1"/>
  <c r="F31024" i="1"/>
  <c r="F31621" i="1"/>
  <c r="F31630" i="1"/>
  <c r="F31651" i="1"/>
  <c r="F31713" i="1"/>
  <c r="F32180" i="1"/>
  <c r="F32396" i="1"/>
  <c r="F32705" i="1"/>
  <c r="F32707" i="1"/>
  <c r="F33093" i="1"/>
  <c r="F33174" i="1"/>
  <c r="F33353" i="1"/>
  <c r="F33737" i="1"/>
  <c r="F34224" i="1"/>
  <c r="F34321" i="1"/>
  <c r="F34656" i="1"/>
  <c r="F34666" i="1"/>
  <c r="F34856" i="1"/>
  <c r="F35692" i="1"/>
  <c r="F35800" i="1"/>
  <c r="F36026" i="1"/>
  <c r="F36055" i="1"/>
  <c r="F36058" i="1"/>
  <c r="F36200" i="1"/>
  <c r="F36229" i="1"/>
  <c r="F119" i="1"/>
  <c r="F179" i="1"/>
  <c r="F324" i="1"/>
  <c r="F757" i="1"/>
  <c r="F852" i="1"/>
  <c r="F24186" i="1"/>
  <c r="F1093" i="1"/>
  <c r="F1099" i="1"/>
  <c r="F3006" i="1"/>
  <c r="F3438" i="1"/>
  <c r="F3505" i="1"/>
  <c r="F3600" i="1"/>
  <c r="F3706" i="1"/>
  <c r="F3785" i="1"/>
  <c r="F4050" i="1"/>
  <c r="F4455" i="1"/>
  <c r="F4531" i="1"/>
  <c r="F4749" i="1"/>
  <c r="F4885" i="1"/>
  <c r="F5281" i="1"/>
  <c r="F5320" i="1"/>
  <c r="F5437" i="1"/>
  <c r="F5445" i="1"/>
  <c r="F5610" i="1"/>
  <c r="F5611" i="1"/>
  <c r="F6421" i="1"/>
  <c r="F6437" i="1"/>
  <c r="F6504" i="1"/>
  <c r="F6604" i="1"/>
  <c r="F7730" i="1"/>
  <c r="F7817" i="1"/>
  <c r="F7944" i="1"/>
  <c r="F9013" i="1"/>
  <c r="F9361" i="1"/>
  <c r="F9449" i="1"/>
  <c r="F10575" i="1"/>
  <c r="F11124" i="1"/>
  <c r="F11853" i="1"/>
  <c r="F16044" i="1"/>
  <c r="F16045" i="1"/>
  <c r="F16172" i="1"/>
  <c r="F16194" i="1"/>
  <c r="F16327" i="1"/>
  <c r="F16519" i="1"/>
  <c r="F17432" i="1"/>
  <c r="F18292" i="1"/>
  <c r="F18670" i="1"/>
  <c r="F18910" i="1"/>
  <c r="F19912" i="1"/>
  <c r="F20192" i="1"/>
  <c r="F21543" i="1"/>
  <c r="F21564" i="1"/>
  <c r="F22297" i="1"/>
  <c r="F24409" i="1"/>
  <c r="F24482" i="1"/>
  <c r="F24779" i="1"/>
  <c r="F24909" i="1"/>
  <c r="F25080" i="1"/>
  <c r="F25102" i="1"/>
  <c r="F25427" i="1"/>
  <c r="F26164" i="1"/>
  <c r="F26165" i="1"/>
  <c r="F26318" i="1"/>
  <c r="F26339" i="1"/>
  <c r="F26462" i="1"/>
  <c r="F27615" i="1"/>
  <c r="F27620" i="1"/>
  <c r="F27627" i="1"/>
  <c r="F27989" i="1"/>
  <c r="F28006" i="1"/>
  <c r="F28038" i="1"/>
  <c r="F29270" i="1"/>
  <c r="F29594" i="1"/>
  <c r="F30539" i="1"/>
  <c r="F30662" i="1"/>
  <c r="F30696" i="1"/>
  <c r="F31652" i="1"/>
  <c r="F31653" i="1"/>
  <c r="F31710" i="1"/>
  <c r="F31711" i="1"/>
  <c r="F31755" i="1"/>
  <c r="F31840" i="1"/>
  <c r="F32013" i="1"/>
  <c r="F32018" i="1"/>
  <c r="F33355" i="1"/>
  <c r="F33400" i="1"/>
  <c r="F33871" i="1"/>
  <c r="F34106" i="1"/>
  <c r="F34367" i="1"/>
  <c r="F35077" i="1"/>
  <c r="F35135" i="1"/>
  <c r="F35804" i="1"/>
  <c r="F36016" i="1"/>
  <c r="F36057" i="1"/>
  <c r="F36059" i="1"/>
  <c r="F36252" i="1"/>
  <c r="F20200" i="1"/>
  <c r="F27640" i="1"/>
  <c r="F4052" i="1"/>
  <c r="F9363" i="1"/>
  <c r="F34786" i="1"/>
  <c r="F33852" i="1"/>
  <c r="F33357" i="1"/>
  <c r="F32275" i="1"/>
  <c r="F31983" i="1"/>
  <c r="F34320" i="1"/>
  <c r="F6611" i="1"/>
  <c r="F6613" i="1"/>
  <c r="F10005" i="1"/>
  <c r="F25106" i="1"/>
  <c r="F18760" i="1"/>
  <c r="F4104" i="1"/>
  <c r="F9169" i="1"/>
  <c r="F9926" i="1"/>
  <c r="F10442" i="1"/>
  <c r="F11967" i="1"/>
  <c r="F13741" i="1"/>
  <c r="F13997" i="1"/>
  <c r="F15213" i="1"/>
  <c r="F19506" i="1"/>
  <c r="F21194" i="1"/>
  <c r="F663" i="1"/>
  <c r="F6092" i="1"/>
  <c r="F6096" i="1"/>
  <c r="F6104" i="1"/>
  <c r="F13233" i="1"/>
  <c r="F18170" i="1"/>
  <c r="F21860" i="1"/>
  <c r="F22315" i="1"/>
  <c r="F802" i="1"/>
  <c r="F5736" i="1"/>
  <c r="F6084" i="1"/>
  <c r="F234" i="1"/>
  <c r="F452" i="1"/>
  <c r="F1721" i="1"/>
  <c r="F2423" i="1"/>
  <c r="F2891" i="1"/>
  <c r="F3517" i="1"/>
  <c r="F3527" i="1"/>
  <c r="F3610" i="1"/>
  <c r="F3616" i="1"/>
  <c r="F3623" i="1"/>
  <c r="F3625" i="1"/>
  <c r="F3681" i="1"/>
  <c r="F4099" i="1"/>
  <c r="F4114" i="1"/>
  <c r="F4165" i="1"/>
  <c r="F4925" i="1"/>
  <c r="F5667" i="1"/>
  <c r="F5811" i="1"/>
  <c r="F6187" i="1"/>
  <c r="F6588" i="1"/>
  <c r="F7339" i="1"/>
  <c r="F7398" i="1"/>
  <c r="F7454" i="1"/>
  <c r="F7771" i="1"/>
  <c r="F7849" i="1"/>
  <c r="F7963" i="1"/>
  <c r="F8284" i="1"/>
  <c r="F8418" i="1"/>
  <c r="F8812" i="1"/>
  <c r="F10603" i="1"/>
  <c r="F11473" i="1"/>
  <c r="F11475" i="1"/>
  <c r="F13214" i="1"/>
  <c r="F16393" i="1"/>
  <c r="F16704" i="1"/>
  <c r="F16734" i="1"/>
  <c r="F16736" i="1"/>
  <c r="F16738" i="1"/>
  <c r="F16826" i="1"/>
  <c r="F16830" i="1"/>
  <c r="F17313" i="1"/>
  <c r="F17536" i="1"/>
  <c r="F17545" i="1"/>
  <c r="F17552" i="1"/>
  <c r="F17558" i="1"/>
  <c r="F18199" i="1"/>
  <c r="F18284" i="1"/>
  <c r="F18630" i="1"/>
  <c r="F18634" i="1"/>
  <c r="F18636" i="1"/>
  <c r="F18679" i="1"/>
  <c r="F18740" i="1"/>
  <c r="F18799" i="1"/>
  <c r="F18876" i="1"/>
  <c r="F18884" i="1"/>
  <c r="F18947" i="1"/>
  <c r="F18951" i="1"/>
  <c r="F18953" i="1"/>
  <c r="F18957" i="1"/>
  <c r="F18965" i="1"/>
  <c r="F18973" i="1"/>
  <c r="F19103" i="1"/>
  <c r="F19163" i="1"/>
  <c r="F19667" i="1"/>
  <c r="F19671" i="1"/>
  <c r="F19674" i="1"/>
  <c r="F19676" i="1"/>
  <c r="F19678" i="1"/>
  <c r="F19682" i="1"/>
  <c r="F18632" i="1"/>
  <c r="F19746" i="1"/>
  <c r="F19968" i="1"/>
  <c r="F20100" i="1"/>
  <c r="F20103" i="1"/>
  <c r="F20538" i="1"/>
  <c r="F20546" i="1"/>
  <c r="F20578" i="1"/>
  <c r="F20677" i="1"/>
  <c r="F20752" i="1"/>
  <c r="F20764" i="1"/>
  <c r="F20768" i="1"/>
  <c r="F21164" i="1"/>
  <c r="F21574" i="1"/>
  <c r="F21633" i="1"/>
  <c r="F21668" i="1"/>
  <c r="F21674" i="1"/>
  <c r="F21830" i="1"/>
  <c r="F21856" i="1"/>
  <c r="F21862" i="1"/>
  <c r="F21864" i="1"/>
  <c r="F21905" i="1"/>
  <c r="F22058" i="1"/>
  <c r="F22241" i="1"/>
  <c r="F22319" i="1"/>
  <c r="F22755" i="1"/>
  <c r="F4917" i="1"/>
  <c r="F5829" i="1"/>
  <c r="F7353" i="1"/>
  <c r="F16730" i="1"/>
  <c r="F17642" i="1"/>
  <c r="F18164" i="1"/>
  <c r="F18203" i="1"/>
  <c r="F18210" i="1"/>
  <c r="F18484" i="1"/>
  <c r="F18945" i="1"/>
  <c r="F20544" i="1"/>
  <c r="F20714" i="1"/>
  <c r="F20841" i="1"/>
  <c r="F21212" i="1"/>
  <c r="F22302" i="1"/>
  <c r="F22356" i="1"/>
  <c r="F22891" i="1"/>
  <c r="F20234" i="1"/>
  <c r="F3237" i="1"/>
  <c r="F43" i="1"/>
  <c r="F92" i="1"/>
  <c r="F125" i="1"/>
  <c r="F127" i="1"/>
  <c r="F138" i="1"/>
  <c r="F144" i="1"/>
  <c r="F196" i="1"/>
  <c r="F246" i="1"/>
  <c r="F220" i="1"/>
  <c r="F284" i="1"/>
  <c r="F374" i="1"/>
  <c r="F438" i="1"/>
  <c r="F605" i="1"/>
  <c r="F822" i="1"/>
  <c r="F861" i="1"/>
  <c r="F941" i="1"/>
  <c r="F1091" i="1"/>
  <c r="F1113" i="1"/>
  <c r="F2399" i="1"/>
  <c r="F2404" i="1"/>
  <c r="F2464" i="1"/>
  <c r="F2518" i="1"/>
  <c r="F2466" i="1"/>
  <c r="F2516" i="1"/>
  <c r="F2397" i="1"/>
  <c r="F2655" i="1"/>
  <c r="F3225" i="1"/>
  <c r="F3235" i="1"/>
  <c r="F3513" i="1"/>
  <c r="F3819" i="1"/>
  <c r="F4161" i="1"/>
  <c r="F4213" i="1"/>
  <c r="F4275" i="1"/>
  <c r="F4604" i="1"/>
  <c r="F4745" i="1"/>
  <c r="F5265" i="1"/>
  <c r="F6009" i="1"/>
  <c r="F6327" i="1"/>
  <c r="F6361" i="1"/>
  <c r="F6379" i="1"/>
  <c r="F6385" i="1"/>
  <c r="F6387" i="1"/>
  <c r="F6559" i="1"/>
  <c r="F6744" i="1"/>
  <c r="F6862" i="1"/>
  <c r="F6891" i="1"/>
  <c r="F6897" i="1"/>
  <c r="F6940" i="1"/>
  <c r="F7478" i="1"/>
  <c r="F7555" i="1"/>
  <c r="F7577" i="1"/>
  <c r="F7595" i="1"/>
  <c r="F7625" i="1"/>
  <c r="F7639" i="1"/>
  <c r="F7678" i="1"/>
  <c r="F6315" i="1"/>
  <c r="F7899" i="1"/>
  <c r="F8180" i="1"/>
  <c r="F8186" i="1"/>
  <c r="F8396" i="1"/>
  <c r="F8546" i="1"/>
  <c r="F8703" i="1"/>
  <c r="F8903" i="1"/>
  <c r="F9344" i="1"/>
  <c r="F10611" i="1"/>
  <c r="F10786" i="1"/>
  <c r="F11503" i="1"/>
  <c r="F11520" i="1"/>
  <c r="F11552" i="1"/>
  <c r="F11714" i="1"/>
  <c r="F11863" i="1"/>
  <c r="F12196" i="1"/>
  <c r="F12682" i="1"/>
  <c r="F14427" i="1"/>
  <c r="F13099" i="1"/>
  <c r="F13387" i="1"/>
  <c r="F13823" i="1"/>
  <c r="F13930" i="1"/>
  <c r="F13932" i="1"/>
  <c r="F13938" i="1"/>
  <c r="F14411" i="1"/>
  <c r="F13072" i="1"/>
  <c r="F14634" i="1"/>
  <c r="F14635" i="1"/>
  <c r="F14692" i="1"/>
  <c r="F14694" i="1"/>
  <c r="F14903" i="1"/>
  <c r="F15848" i="1"/>
  <c r="F16164" i="1"/>
  <c r="F16378" i="1"/>
  <c r="F16540" i="1"/>
  <c r="F16585" i="1"/>
  <c r="F16604" i="1"/>
  <c r="F16872" i="1"/>
  <c r="F16883" i="1"/>
  <c r="F16893" i="1"/>
  <c r="F16915" i="1"/>
  <c r="F16929" i="1"/>
  <c r="F17002" i="1"/>
  <c r="F17038" i="1"/>
  <c r="F17321" i="1"/>
  <c r="F16707" i="1"/>
  <c r="F17434" i="1"/>
  <c r="F17786" i="1"/>
  <c r="F18465" i="1"/>
  <c r="F18610" i="1"/>
  <c r="F18863" i="1"/>
  <c r="F19520" i="1"/>
  <c r="F19580" i="1"/>
  <c r="F19763" i="1"/>
  <c r="F18606" i="1"/>
  <c r="F20236" i="1"/>
  <c r="F20361" i="1"/>
  <c r="F21016" i="1"/>
  <c r="F21097" i="1"/>
  <c r="F21529" i="1"/>
  <c r="F21690" i="1"/>
  <c r="F22174" i="1"/>
  <c r="F22210" i="1"/>
  <c r="F22232" i="1"/>
  <c r="F22234" i="1"/>
  <c r="F22311" i="1"/>
  <c r="F22391" i="1"/>
  <c r="F22425" i="1"/>
  <c r="F22184" i="1"/>
  <c r="F23748" i="1"/>
  <c r="F23957" i="1"/>
  <c r="F23982" i="1"/>
  <c r="F24003" i="1"/>
  <c r="F24014" i="1"/>
  <c r="F24021" i="1"/>
  <c r="F24062" i="1"/>
  <c r="F24089" i="1"/>
  <c r="F24138" i="1"/>
  <c r="F24164" i="1"/>
  <c r="F24173" i="1"/>
  <c r="F24253" i="1"/>
  <c r="F24474" i="1"/>
  <c r="F24632" i="1"/>
  <c r="F24630" i="1"/>
  <c r="F24668" i="1"/>
  <c r="F26213" i="1"/>
  <c r="F26509" i="1"/>
  <c r="F26521" i="1"/>
  <c r="F26962" i="1"/>
  <c r="F27148" i="1"/>
  <c r="F29579" i="1"/>
  <c r="F29825" i="1"/>
  <c r="F29857" i="1"/>
  <c r="F30203" i="1"/>
  <c r="F31315" i="1"/>
  <c r="F32797" i="1"/>
  <c r="F33127" i="1"/>
  <c r="F13" i="1"/>
  <c r="F33465" i="1"/>
  <c r="F33116" i="1"/>
  <c r="F34969" i="1"/>
  <c r="F35013" i="1"/>
  <c r="F35757" i="1"/>
  <c r="F16432" i="1"/>
  <c r="F4" i="1"/>
  <c r="F601" i="1"/>
  <c r="F16879" i="1"/>
  <c r="F647" i="1"/>
  <c r="F1454" i="1"/>
  <c r="F2304" i="1"/>
  <c r="F4586" i="1"/>
  <c r="F7288" i="1"/>
  <c r="F15475" i="1"/>
  <c r="F15600" i="1"/>
  <c r="F16744" i="1"/>
  <c r="F16823" i="1"/>
  <c r="F16824" i="1"/>
  <c r="F17315" i="1"/>
  <c r="F17897" i="1"/>
  <c r="F18282" i="1"/>
  <c r="F18852" i="1"/>
  <c r="F18928" i="1"/>
  <c r="F18985" i="1"/>
  <c r="F19716" i="1"/>
  <c r="F20548" i="1"/>
  <c r="F20564" i="1"/>
  <c r="F20813" i="1"/>
  <c r="F20849" i="1"/>
  <c r="F22226" i="1"/>
  <c r="F22325" i="1"/>
  <c r="F22824" i="1"/>
  <c r="F15626" i="1"/>
  <c r="F21948" i="1"/>
  <c r="F19649" i="1"/>
  <c r="F19313" i="1"/>
  <c r="F19003" i="1"/>
  <c r="F17064" i="1"/>
  <c r="F16255" i="1"/>
  <c r="F15824" i="1"/>
  <c r="F14794" i="1"/>
  <c r="F14501" i="1"/>
  <c r="F13536" i="1"/>
  <c r="F13483" i="1"/>
  <c r="F8910" i="1"/>
  <c r="F5945" i="1"/>
  <c r="F4953" i="1"/>
  <c r="F4302" i="1"/>
  <c r="F4273" i="1"/>
  <c r="F4026" i="1"/>
  <c r="F3019" i="1"/>
  <c r="F22789" i="1"/>
  <c r="F20643" i="1"/>
  <c r="F17128" i="1"/>
  <c r="F15206" i="1"/>
  <c r="F14318" i="1"/>
  <c r="F11764" i="1"/>
  <c r="F11437" i="1"/>
  <c r="F9029" i="1"/>
  <c r="F7930" i="1"/>
  <c r="F7056" i="1"/>
  <c r="F5220" i="1"/>
  <c r="F3335" i="1"/>
  <c r="F1821" i="1"/>
  <c r="F2127" i="1"/>
  <c r="F20035" i="1"/>
  <c r="F17637" i="1"/>
  <c r="F1569" i="1"/>
  <c r="F22230" i="1"/>
  <c r="F22196" i="1"/>
  <c r="F21734" i="1"/>
  <c r="F21104" i="1"/>
  <c r="F20517" i="1"/>
  <c r="F20386" i="1"/>
  <c r="F20212" i="1"/>
  <c r="F20092" i="1"/>
  <c r="F20090" i="1"/>
  <c r="F20088" i="1"/>
  <c r="F20086" i="1"/>
  <c r="F19817" i="1"/>
  <c r="F18602" i="1"/>
  <c r="F18145" i="1"/>
  <c r="F17980" i="1"/>
  <c r="F17652" i="1"/>
  <c r="F17201" i="1"/>
  <c r="F17148" i="1"/>
  <c r="F17130" i="1"/>
  <c r="F17124" i="1"/>
  <c r="F17122" i="1"/>
  <c r="F17110" i="1"/>
  <c r="F16674" i="1"/>
  <c r="F16665" i="1"/>
  <c r="F16599" i="1"/>
  <c r="F16574" i="1"/>
  <c r="F16466" i="1"/>
  <c r="F16259" i="1"/>
  <c r="F16139" i="1"/>
  <c r="F16126" i="1"/>
  <c r="F15852" i="1"/>
  <c r="F15678" i="1"/>
  <c r="F15473" i="1"/>
  <c r="F15471" i="1"/>
  <c r="F15469" i="1"/>
  <c r="F15467" i="1"/>
  <c r="F15463" i="1"/>
  <c r="F15458" i="1"/>
  <c r="F15455" i="1"/>
  <c r="F15419" i="1"/>
  <c r="F15351" i="1"/>
  <c r="F15118" i="1"/>
  <c r="F14774" i="1"/>
  <c r="F14737" i="1"/>
  <c r="F14316" i="1"/>
  <c r="F14314" i="1"/>
  <c r="F14310" i="1"/>
  <c r="F14306" i="1"/>
  <c r="F14106" i="1"/>
  <c r="F14104" i="1"/>
  <c r="F14001" i="1"/>
  <c r="F13905" i="1"/>
  <c r="F13861" i="1"/>
  <c r="F13771" i="1"/>
  <c r="F13739" i="1"/>
  <c r="F13735" i="1"/>
  <c r="F13457" i="1"/>
  <c r="F13175" i="1"/>
  <c r="F13173" i="1"/>
  <c r="F12038" i="1"/>
  <c r="F11869" i="1"/>
  <c r="F11866" i="1"/>
  <c r="F11795" i="1"/>
  <c r="F11528" i="1"/>
  <c r="F11443" i="1"/>
  <c r="F11135" i="1"/>
  <c r="F11043" i="1"/>
  <c r="F11010" i="1"/>
  <c r="F10483" i="1"/>
  <c r="F9954" i="1"/>
  <c r="F9395" i="1"/>
  <c r="F9021" i="1"/>
  <c r="F8885" i="1"/>
  <c r="F7236" i="1"/>
  <c r="F7200" i="1"/>
  <c r="F7148" i="1"/>
  <c r="F7067" i="1"/>
  <c r="F6738" i="1"/>
  <c r="F6553" i="1"/>
  <c r="F6502" i="1"/>
  <c r="F6492" i="1"/>
  <c r="F6488" i="1"/>
  <c r="F5941" i="1"/>
  <c r="F5899" i="1"/>
  <c r="F5877" i="1"/>
  <c r="F5872" i="1"/>
  <c r="F5644" i="1"/>
  <c r="F5375" i="1"/>
  <c r="F5114" i="1"/>
  <c r="F5110" i="1"/>
  <c r="F5106" i="1"/>
  <c r="F5041" i="1"/>
  <c r="F4832" i="1"/>
  <c r="F4493" i="1"/>
  <c r="F3726" i="1"/>
  <c r="F3345" i="1"/>
  <c r="F3115" i="1"/>
  <c r="F3048" i="1"/>
  <c r="F1985" i="1"/>
  <c r="F1965" i="1"/>
  <c r="F1897" i="1"/>
  <c r="F1773" i="1"/>
  <c r="F1825" i="1"/>
  <c r="F1823" i="1"/>
  <c r="F1807" i="1"/>
  <c r="F1803" i="1"/>
  <c r="F1885" i="1"/>
  <c r="F1770" i="1"/>
  <c r="F1729" i="1"/>
  <c r="F1515" i="1"/>
  <c r="F1511" i="1"/>
  <c r="F1509" i="1"/>
  <c r="F1507" i="1"/>
  <c r="F1354" i="1"/>
  <c r="F22795" i="1"/>
  <c r="F22056" i="1"/>
  <c r="F21996" i="1"/>
  <c r="F21058" i="1"/>
  <c r="F20880" i="1"/>
  <c r="F20532" i="1"/>
  <c r="F19934" i="1"/>
  <c r="F17606" i="1"/>
  <c r="F17152" i="1"/>
  <c r="F17150" i="1"/>
  <c r="F14862" i="1"/>
  <c r="F13829" i="1"/>
  <c r="F12306" i="1"/>
  <c r="F11877" i="1"/>
  <c r="F11723" i="1"/>
  <c r="F11595" i="1"/>
  <c r="F6971" i="1"/>
  <c r="F9959" i="1"/>
  <c r="F9232" i="1"/>
  <c r="F7566" i="1"/>
  <c r="F7561" i="1"/>
  <c r="F6873" i="1"/>
  <c r="F6808" i="1"/>
  <c r="F6685" i="1"/>
  <c r="F6405" i="1"/>
  <c r="F5066" i="1"/>
  <c r="F4983" i="1"/>
  <c r="F4190" i="1"/>
  <c r="F3741" i="1"/>
  <c r="F3419" i="1"/>
  <c r="F2171" i="1"/>
  <c r="F1565" i="1"/>
  <c r="F1380" i="1"/>
  <c r="F21023" i="1"/>
  <c r="F20679" i="1"/>
  <c r="F19008" i="1"/>
  <c r="F16516" i="1"/>
  <c r="F12863" i="1"/>
  <c r="F7046" i="1"/>
  <c r="F3693" i="1"/>
  <c r="F17702" i="1"/>
  <c r="F17685" i="1"/>
  <c r="F14122" i="1"/>
  <c r="F12049" i="1"/>
  <c r="F8658" i="1"/>
  <c r="F8423" i="1"/>
  <c r="F5255" i="1"/>
  <c r="F2675" i="1"/>
  <c r="F21364" i="1"/>
  <c r="F17586" i="1"/>
  <c r="F16408" i="1"/>
  <c r="F15854" i="1"/>
  <c r="F14144" i="1"/>
  <c r="F13550" i="1"/>
  <c r="F10719" i="1"/>
  <c r="F8461" i="1"/>
  <c r="F4622" i="1"/>
  <c r="F1647" i="1"/>
  <c r="F22469" i="1"/>
  <c r="F21941" i="1"/>
  <c r="F20515" i="1"/>
  <c r="F18725" i="1"/>
  <c r="F17628" i="1"/>
  <c r="F17603" i="1"/>
  <c r="F17508" i="1"/>
  <c r="F16424" i="1"/>
  <c r="F15836" i="1"/>
  <c r="F14072" i="1"/>
  <c r="F12705" i="1"/>
  <c r="F12050" i="1"/>
  <c r="F11022" i="1"/>
  <c r="F8234" i="1"/>
  <c r="F3363" i="1"/>
  <c r="F1551" i="1"/>
  <c r="F20948" i="1"/>
  <c r="F20168" i="1"/>
  <c r="F20166" i="1"/>
  <c r="F19447" i="1"/>
  <c r="F18029" i="1"/>
  <c r="F17672" i="1"/>
  <c r="F17660" i="1"/>
  <c r="F16253" i="1"/>
  <c r="F13548" i="1"/>
  <c r="F11426" i="1"/>
  <c r="F8414" i="1"/>
  <c r="F8175" i="1"/>
  <c r="F7615" i="1"/>
  <c r="F6617" i="1"/>
  <c r="F5251" i="1"/>
  <c r="F22706" i="1"/>
  <c r="F20861" i="1"/>
  <c r="F20048" i="1"/>
  <c r="F19948" i="1"/>
  <c r="F19310" i="1"/>
  <c r="F17172" i="1"/>
  <c r="F17166" i="1"/>
  <c r="F17108" i="1"/>
  <c r="F16545" i="1"/>
  <c r="F16349" i="1"/>
  <c r="F15832" i="1"/>
  <c r="F15812" i="1"/>
  <c r="F15113" i="1"/>
  <c r="F15088" i="1"/>
  <c r="F15058" i="1"/>
  <c r="F14662" i="1"/>
  <c r="F14381" i="1"/>
  <c r="F13621" i="1"/>
  <c r="F12495" i="1"/>
  <c r="F12292" i="1"/>
  <c r="F12229" i="1"/>
  <c r="F11791" i="1"/>
  <c r="F11658" i="1"/>
  <c r="F11606" i="1"/>
  <c r="F11050" i="1"/>
  <c r="F10706" i="1"/>
  <c r="F9041" i="1"/>
  <c r="F8697" i="1"/>
  <c r="F8695" i="1"/>
  <c r="F7914" i="1"/>
  <c r="F7244" i="1"/>
  <c r="F7219" i="1"/>
  <c r="F7202" i="1"/>
  <c r="F6658" i="1"/>
  <c r="F6017" i="1"/>
  <c r="F4489" i="1"/>
  <c r="F2284" i="1"/>
  <c r="F1861" i="1"/>
  <c r="F1739" i="1"/>
  <c r="F1692" i="1"/>
  <c r="F1680" i="1"/>
  <c r="F1389" i="1"/>
  <c r="F21461" i="1"/>
  <c r="F20859" i="1"/>
  <c r="F20425" i="1"/>
  <c r="F17343" i="1"/>
  <c r="F16517" i="1"/>
  <c r="F16661" i="1"/>
  <c r="F15856" i="1"/>
  <c r="F15792" i="1"/>
  <c r="F13815" i="1"/>
  <c r="F12344" i="1"/>
  <c r="F12338" i="1"/>
  <c r="F11740" i="1"/>
  <c r="F11051" i="1"/>
  <c r="F11028" i="1"/>
  <c r="F6973" i="1"/>
  <c r="F11012" i="1"/>
  <c r="F8988" i="1"/>
  <c r="F7967" i="1"/>
  <c r="F7107" i="1"/>
  <c r="F7047" i="1"/>
  <c r="F3728" i="1"/>
  <c r="F2159" i="1"/>
  <c r="F2053" i="1"/>
  <c r="F1933" i="1"/>
  <c r="F1613" i="1"/>
  <c r="F21949" i="1"/>
  <c r="F20226" i="1"/>
  <c r="F18031" i="1"/>
  <c r="F16594" i="1"/>
  <c r="F16363" i="1"/>
  <c r="F15825" i="1"/>
  <c r="F15048" i="1"/>
  <c r="F14860" i="1"/>
  <c r="F12030" i="1"/>
  <c r="F7152" i="1"/>
  <c r="F6901" i="1"/>
  <c r="F4079" i="1"/>
  <c r="F2966" i="1"/>
  <c r="F1855" i="1"/>
  <c r="F22292" i="1"/>
  <c r="F20681" i="1"/>
  <c r="F19840" i="1"/>
  <c r="F19448" i="1"/>
  <c r="F19254" i="1"/>
  <c r="F19189" i="1"/>
  <c r="F19133" i="1"/>
  <c r="F17692" i="1"/>
  <c r="F12588" i="1"/>
  <c r="F11841" i="1"/>
  <c r="F11787" i="1"/>
  <c r="F10707" i="1"/>
  <c r="F9955" i="1"/>
  <c r="F8427" i="1"/>
  <c r="F6871" i="1"/>
  <c r="F5067" i="1"/>
  <c r="F2314" i="1"/>
  <c r="F1799" i="1"/>
  <c r="F1570" i="1"/>
  <c r="F1559" i="1"/>
  <c r="F1517" i="1"/>
  <c r="F22893" i="1"/>
  <c r="F21220" i="1"/>
  <c r="F19930" i="1"/>
  <c r="F19027" i="1"/>
  <c r="F16596" i="1"/>
  <c r="F14739" i="1"/>
  <c r="F14074" i="1"/>
  <c r="F8085" i="1"/>
  <c r="F7162" i="1"/>
  <c r="F4679" i="1"/>
  <c r="F2669" i="1"/>
  <c r="F1593" i="1"/>
  <c r="F20805" i="1"/>
  <c r="F20084" i="1"/>
  <c r="F20036" i="1"/>
  <c r="F17045" i="1"/>
  <c r="F15826" i="1"/>
  <c r="F14419" i="1"/>
  <c r="F13650" i="1"/>
  <c r="F12124" i="1"/>
  <c r="F11874" i="1"/>
  <c r="F7058" i="1"/>
  <c r="F7048" i="1"/>
  <c r="F4309" i="1"/>
  <c r="F3691" i="1"/>
  <c r="F3326" i="1"/>
  <c r="F1681" i="1"/>
  <c r="F1669" i="1"/>
  <c r="F1275" i="1"/>
  <c r="F456" i="1"/>
  <c r="F20534" i="1"/>
  <c r="F20014" i="1"/>
  <c r="F19256" i="1"/>
  <c r="F18681" i="1"/>
  <c r="F18669" i="1"/>
  <c r="F17197" i="1"/>
  <c r="F16426" i="1"/>
  <c r="F15842" i="1"/>
  <c r="F13899" i="1"/>
  <c r="F9994" i="1"/>
  <c r="F9439" i="1"/>
  <c r="F8462" i="1"/>
  <c r="F6815" i="1"/>
  <c r="F6113" i="1"/>
  <c r="F4136" i="1"/>
  <c r="F660" i="1"/>
  <c r="F14491" i="1"/>
  <c r="F7049" i="1"/>
  <c r="F1871" i="1"/>
  <c r="F731" i="1"/>
  <c r="F20645" i="1"/>
  <c r="F19016" i="1"/>
  <c r="F18604" i="1"/>
  <c r="F17184" i="1"/>
  <c r="F17162" i="1"/>
  <c r="F11809" i="1"/>
  <c r="F11056" i="1"/>
  <c r="F8701" i="1"/>
  <c r="F7887" i="1"/>
  <c r="F7534" i="1"/>
  <c r="F7099" i="1"/>
  <c r="F6574" i="1"/>
  <c r="F6563" i="1"/>
  <c r="F5541" i="1"/>
  <c r="F2355" i="1"/>
  <c r="F20853" i="1"/>
  <c r="F20330" i="1"/>
  <c r="F19136" i="1"/>
  <c r="F19029" i="1"/>
  <c r="F18749" i="1"/>
  <c r="F18048" i="1"/>
  <c r="F17650" i="1"/>
  <c r="F16675" i="1"/>
  <c r="F8424" i="1"/>
  <c r="F7567" i="1"/>
  <c r="F7068" i="1"/>
  <c r="F7050" i="1"/>
  <c r="F4142" i="1"/>
  <c r="F1853" i="1"/>
  <c r="F1851" i="1"/>
  <c r="F1787" i="1"/>
  <c r="F1723" i="1"/>
  <c r="F1719" i="1"/>
  <c r="F1589" i="1"/>
  <c r="F1555" i="1"/>
  <c r="F1545" i="1"/>
  <c r="F1539" i="1"/>
  <c r="F1434" i="1"/>
  <c r="F21024" i="1"/>
  <c r="F20904" i="1"/>
  <c r="F20803" i="1"/>
  <c r="F18693" i="1"/>
  <c r="F17587" i="1"/>
  <c r="F15940" i="1"/>
  <c r="F7789" i="1"/>
  <c r="F3669" i="1"/>
  <c r="F2111" i="1"/>
  <c r="F1863" i="1"/>
  <c r="F22805" i="1"/>
  <c r="F22701" i="1"/>
  <c r="F22630" i="1"/>
  <c r="F22442" i="1"/>
  <c r="F22013" i="1"/>
  <c r="F21998" i="1"/>
  <c r="F20683" i="1"/>
  <c r="F20595" i="1"/>
  <c r="F20530" i="1"/>
  <c r="F20348" i="1"/>
  <c r="F19560" i="1"/>
  <c r="F19532" i="1"/>
  <c r="F19314" i="1"/>
  <c r="F19119" i="1"/>
  <c r="F19117" i="1"/>
  <c r="F19013" i="1"/>
  <c r="F18806" i="1"/>
  <c r="F18149" i="1"/>
  <c r="F17668" i="1"/>
  <c r="F17421" i="1"/>
  <c r="F17199" i="1"/>
  <c r="F17182" i="1"/>
  <c r="F17160" i="1"/>
  <c r="F17116" i="1"/>
  <c r="F17076" i="1"/>
  <c r="F16689" i="1"/>
  <c r="F16681" i="1"/>
  <c r="F16678" i="1"/>
  <c r="F16142" i="1"/>
  <c r="F15986" i="1"/>
  <c r="F15946" i="1"/>
  <c r="F15525" i="1"/>
  <c r="F15398" i="1"/>
  <c r="F15127" i="1"/>
  <c r="F15125" i="1"/>
  <c r="F14798" i="1"/>
  <c r="F14720" i="1"/>
  <c r="F14123" i="1"/>
  <c r="F13411" i="1"/>
  <c r="F11807" i="1"/>
  <c r="F11803" i="1"/>
  <c r="F11738" i="1"/>
  <c r="F11718" i="1"/>
  <c r="F11655" i="1"/>
  <c r="F11560" i="1"/>
  <c r="F11558" i="1"/>
  <c r="F11052" i="1"/>
  <c r="F9153" i="1"/>
  <c r="F8190" i="1"/>
  <c r="F7648" i="1"/>
  <c r="F7226" i="1"/>
  <c r="F7210" i="1"/>
  <c r="F6832" i="1"/>
  <c r="F6762" i="1"/>
  <c r="F6333" i="1"/>
  <c r="F4913" i="1"/>
  <c r="F3671" i="1"/>
  <c r="F3050" i="1"/>
  <c r="F2793" i="1"/>
  <c r="F2137" i="1"/>
  <c r="F2132" i="1"/>
  <c r="F2077" i="1"/>
  <c r="F1869" i="1"/>
  <c r="F1771" i="1"/>
  <c r="F1734" i="1"/>
  <c r="F1693" i="1"/>
  <c r="F1688" i="1"/>
  <c r="F1573" i="1"/>
  <c r="F1385" i="1"/>
  <c r="F1381" i="1"/>
  <c r="F725" i="1"/>
  <c r="F166" i="1"/>
  <c r="F22673" i="1"/>
  <c r="F21025" i="1"/>
  <c r="F20216" i="1"/>
  <c r="F20062" i="1"/>
  <c r="F19769" i="1"/>
  <c r="F18810" i="1"/>
  <c r="F18780" i="1"/>
  <c r="F17289" i="1"/>
  <c r="F13719" i="1"/>
  <c r="F9149" i="1"/>
  <c r="F7242" i="1"/>
  <c r="F3349" i="1"/>
  <c r="F1833" i="1"/>
  <c r="F1753" i="1"/>
  <c r="F22575" i="1"/>
  <c r="F22438" i="1"/>
  <c r="F22343" i="1"/>
  <c r="F22198" i="1"/>
  <c r="F21601" i="1"/>
  <c r="F21285" i="1"/>
  <c r="F21141" i="1"/>
  <c r="F20984" i="1"/>
  <c r="F20484" i="1"/>
  <c r="F20350" i="1"/>
  <c r="F20156" i="1"/>
  <c r="F19950" i="1"/>
  <c r="F19923" i="1"/>
  <c r="F18026" i="1"/>
  <c r="F17885" i="1"/>
  <c r="F17696" i="1"/>
  <c r="F17620" i="1"/>
  <c r="F17588" i="1"/>
  <c r="F17158" i="1"/>
  <c r="F17080" i="1"/>
  <c r="F17057" i="1"/>
  <c r="F17046" i="1"/>
  <c r="F15425" i="1"/>
  <c r="F14864" i="1"/>
  <c r="F14139" i="1"/>
  <c r="F12864" i="1"/>
  <c r="F12488" i="1"/>
  <c r="F12330" i="1"/>
  <c r="F11797" i="1"/>
  <c r="F10739" i="1"/>
  <c r="F9254" i="1"/>
  <c r="F8173" i="1"/>
  <c r="F7389" i="1"/>
  <c r="F7384" i="1"/>
  <c r="F7238" i="1"/>
  <c r="F7214" i="1"/>
  <c r="F7186" i="1"/>
  <c r="F7150" i="1"/>
  <c r="F7051" i="1"/>
  <c r="F6792" i="1"/>
  <c r="F6790" i="1"/>
  <c r="F6695" i="1"/>
  <c r="F6349" i="1"/>
  <c r="F5573" i="1"/>
  <c r="F5222" i="1"/>
  <c r="F2312" i="1"/>
  <c r="F2255" i="1"/>
  <c r="F2098" i="1"/>
  <c r="F1971" i="1"/>
  <c r="F1789" i="1"/>
  <c r="F1754" i="1"/>
  <c r="F1749" i="1"/>
  <c r="F1703" i="1"/>
  <c r="F1571" i="1"/>
  <c r="F1552" i="1"/>
  <c r="F1499" i="1"/>
  <c r="F1452" i="1"/>
  <c r="F1370" i="1"/>
  <c r="F973" i="1"/>
  <c r="F13689" i="1"/>
  <c r="F11163" i="1"/>
  <c r="F7182" i="1"/>
  <c r="F7180" i="1"/>
  <c r="F2093" i="1"/>
  <c r="F1793" i="1"/>
  <c r="F1777" i="1"/>
  <c r="F22907" i="1"/>
  <c r="F22763" i="1"/>
  <c r="F21943" i="1"/>
  <c r="F20954" i="1"/>
  <c r="F20027" i="1"/>
  <c r="F19449" i="1"/>
  <c r="F19039" i="1"/>
  <c r="F19017" i="1"/>
  <c r="F18683" i="1"/>
  <c r="F17054" i="1"/>
  <c r="F16957" i="1"/>
  <c r="F16679" i="1"/>
  <c r="F16440" i="1"/>
  <c r="F15828" i="1"/>
  <c r="F13847" i="1"/>
  <c r="F13753" i="1"/>
  <c r="F13720" i="1"/>
  <c r="F12296" i="1"/>
  <c r="F11813" i="1"/>
  <c r="F11708" i="1"/>
  <c r="F11636" i="1"/>
  <c r="F11530" i="1"/>
  <c r="F11104" i="1"/>
  <c r="F8428" i="1"/>
  <c r="F7144" i="1"/>
  <c r="F7142" i="1"/>
  <c r="F11046" i="1"/>
  <c r="F6830" i="1"/>
  <c r="F5543" i="1"/>
  <c r="F4388" i="1"/>
  <c r="F4303" i="1"/>
  <c r="F2275" i="1"/>
  <c r="F2164" i="1"/>
  <c r="F2115" i="1"/>
  <c r="F2069" i="1"/>
  <c r="F2061" i="1"/>
  <c r="F1743" i="1"/>
  <c r="F1303" i="1"/>
  <c r="F1297" i="1"/>
  <c r="F693" i="1"/>
  <c r="F22858" i="1"/>
  <c r="F21321" i="1"/>
  <c r="F21226" i="1"/>
  <c r="F21215" i="1"/>
  <c r="F19857" i="1"/>
  <c r="F19855" i="1"/>
  <c r="F19853" i="1"/>
  <c r="F19252" i="1"/>
  <c r="F17690" i="1"/>
  <c r="F17674" i="1"/>
  <c r="F17070" i="1"/>
  <c r="F16670" i="1"/>
  <c r="F15840" i="1"/>
  <c r="F14042" i="1"/>
  <c r="F13455" i="1"/>
  <c r="F12525" i="1"/>
  <c r="F12310" i="1"/>
  <c r="F12058" i="1"/>
  <c r="F11819" i="1"/>
  <c r="F11648" i="1"/>
  <c r="F11637" i="1"/>
  <c r="F11044" i="1"/>
  <c r="F11024" i="1"/>
  <c r="F11020" i="1"/>
  <c r="F11016" i="1"/>
  <c r="F9328" i="1"/>
  <c r="F9237" i="1"/>
  <c r="F8539" i="1"/>
  <c r="F8192" i="1"/>
  <c r="F7176" i="1"/>
  <c r="F6816" i="1"/>
  <c r="F1867" i="1"/>
  <c r="F1795" i="1"/>
  <c r="F1683" i="1"/>
  <c r="F1585" i="1"/>
  <c r="F1525" i="1"/>
  <c r="F1397" i="1"/>
  <c r="F1857" i="1"/>
  <c r="F22913" i="1"/>
  <c r="F17207" i="1"/>
  <c r="F16316" i="1"/>
  <c r="F15238" i="1"/>
  <c r="F21462" i="1"/>
  <c r="F20214" i="1"/>
  <c r="F18050" i="1"/>
  <c r="F13651" i="1"/>
  <c r="F11820" i="1"/>
  <c r="F10740" i="1"/>
  <c r="F22901" i="1"/>
  <c r="F22771" i="1"/>
  <c r="F22691" i="1"/>
  <c r="F22595" i="1"/>
  <c r="F22200" i="1"/>
  <c r="F21950" i="1"/>
  <c r="F21780" i="1"/>
  <c r="F21216" i="1"/>
  <c r="F20986" i="1"/>
  <c r="F19406" i="1"/>
  <c r="F19137" i="1"/>
  <c r="F17688" i="1"/>
  <c r="F17664" i="1"/>
  <c r="F17638" i="1"/>
  <c r="F17186" i="1"/>
  <c r="F17168" i="1"/>
  <c r="F17114" i="1"/>
  <c r="F16752" i="1"/>
  <c r="F16399" i="1"/>
  <c r="F16222" i="1"/>
  <c r="F15493" i="1"/>
  <c r="F15180" i="1"/>
  <c r="F15079" i="1"/>
  <c r="F15016" i="1"/>
  <c r="F14985" i="1"/>
  <c r="F14652" i="1"/>
  <c r="F14187" i="1"/>
  <c r="F14124" i="1"/>
  <c r="F13993" i="1"/>
  <c r="F12645" i="1"/>
  <c r="F12028" i="1"/>
  <c r="F11656" i="1"/>
  <c r="F11420" i="1"/>
  <c r="F9183" i="1"/>
  <c r="F9181" i="1"/>
  <c r="F9055" i="1"/>
  <c r="F9010" i="1"/>
  <c r="F7390" i="1"/>
  <c r="F7192" i="1"/>
  <c r="F7190" i="1"/>
  <c r="F7184" i="1"/>
  <c r="F7178" i="1"/>
  <c r="F6572" i="1"/>
  <c r="F5506" i="1"/>
  <c r="F4907" i="1"/>
  <c r="F4389" i="1"/>
  <c r="F3745" i="1"/>
  <c r="F3742" i="1"/>
  <c r="F2062" i="1"/>
  <c r="F1817" i="1"/>
  <c r="F1813" i="1"/>
  <c r="F1809" i="1"/>
  <c r="F1755" i="1"/>
  <c r="F1587" i="1"/>
  <c r="F1401" i="1"/>
  <c r="F1301" i="1"/>
  <c r="F5116" i="1"/>
  <c r="F22895" i="1"/>
  <c r="F22702" i="1"/>
  <c r="F22598" i="1"/>
  <c r="F22591" i="1"/>
  <c r="F22202" i="1"/>
  <c r="F21525" i="1"/>
  <c r="F21365" i="1"/>
  <c r="F20789" i="1"/>
  <c r="F20787" i="1"/>
  <c r="F20776" i="1"/>
  <c r="F20485" i="1"/>
  <c r="F20338" i="1"/>
  <c r="F20218" i="1"/>
  <c r="F20037" i="1"/>
  <c r="F19880" i="1"/>
  <c r="F19426" i="1"/>
  <c r="F19009" i="1"/>
  <c r="F18168" i="1"/>
  <c r="F17682" i="1"/>
  <c r="F17654" i="1"/>
  <c r="F17644" i="1"/>
  <c r="F17626" i="1"/>
  <c r="F17531" i="1"/>
  <c r="F17188" i="1"/>
  <c r="F17180" i="1"/>
  <c r="F17174" i="1"/>
  <c r="F17170" i="1"/>
  <c r="F17126" i="1"/>
  <c r="F17092" i="1"/>
  <c r="F17088" i="1"/>
  <c r="F16591" i="1"/>
  <c r="F16027" i="1"/>
  <c r="F15987" i="1"/>
  <c r="F14856" i="1"/>
  <c r="F14819" i="1"/>
  <c r="F14117" i="1"/>
  <c r="F14094" i="1"/>
  <c r="F13769" i="1"/>
  <c r="F13727" i="1"/>
  <c r="F13609" i="1"/>
  <c r="F11821" i="1"/>
  <c r="F11789" i="1"/>
  <c r="F11724" i="1"/>
  <c r="F11692" i="1"/>
  <c r="F11680" i="1"/>
  <c r="F11578" i="1"/>
  <c r="F11378" i="1"/>
  <c r="F9390" i="1"/>
  <c r="F9177" i="1"/>
  <c r="F9163" i="1"/>
  <c r="F9151" i="1"/>
  <c r="F9039" i="1"/>
  <c r="F8923" i="1"/>
  <c r="F8254" i="1"/>
  <c r="F7573" i="1"/>
  <c r="F7062" i="1"/>
  <c r="F6875" i="1"/>
  <c r="F6313" i="1"/>
  <c r="F6310" i="1"/>
  <c r="F4670" i="1"/>
  <c r="F4304" i="1"/>
  <c r="F3734" i="1"/>
  <c r="F3557" i="1"/>
  <c r="F3361" i="1"/>
  <c r="F2206" i="1"/>
  <c r="F2099" i="1"/>
  <c r="F1889" i="1"/>
  <c r="F1883" i="1"/>
  <c r="F1849" i="1"/>
  <c r="F1841" i="1"/>
  <c r="F1791" i="1"/>
  <c r="F1775" i="1"/>
  <c r="F1677" i="1"/>
  <c r="F1387" i="1"/>
  <c r="F742" i="1"/>
  <c r="F22962" i="1"/>
  <c r="F22545" i="1"/>
  <c r="F21286" i="1"/>
  <c r="F21224" i="1"/>
  <c r="F21026" i="1"/>
  <c r="F20856" i="1"/>
  <c r="F20783" i="1"/>
  <c r="F20606" i="1"/>
  <c r="F20470" i="1"/>
  <c r="F20274" i="1"/>
  <c r="F20046" i="1"/>
  <c r="F19010" i="1"/>
  <c r="F17658" i="1"/>
  <c r="F17639" i="1"/>
  <c r="F17422" i="1"/>
  <c r="F17164" i="1"/>
  <c r="F17118" i="1"/>
  <c r="F17104" i="1"/>
  <c r="F17102" i="1"/>
  <c r="F17051" i="1"/>
  <c r="F16189" i="1"/>
  <c r="F15590" i="1"/>
  <c r="F15105" i="1"/>
  <c r="F15101" i="1"/>
  <c r="F14660" i="1"/>
  <c r="F14246" i="1"/>
  <c r="F11785" i="1"/>
  <c r="F9969" i="1"/>
  <c r="F8548" i="1"/>
  <c r="F8034" i="1"/>
  <c r="F7404" i="1"/>
  <c r="F7222" i="1"/>
  <c r="F6826" i="1"/>
  <c r="F6784" i="1"/>
  <c r="F6760" i="1"/>
  <c r="F6752" i="1"/>
  <c r="F6317" i="1"/>
  <c r="F5931" i="1"/>
  <c r="F4987" i="1"/>
  <c r="F4726" i="1"/>
  <c r="F4305" i="1"/>
  <c r="F3989" i="1"/>
  <c r="F2345" i="1"/>
  <c r="F2165" i="1"/>
  <c r="F1759" i="1"/>
  <c r="F1745" i="1"/>
  <c r="F1583" i="1"/>
  <c r="F1373" i="1"/>
  <c r="F703" i="1"/>
  <c r="F22933" i="1"/>
  <c r="F20526" i="1"/>
  <c r="F19442" i="1"/>
  <c r="F19023" i="1"/>
  <c r="F19001" i="1"/>
  <c r="F18716" i="1"/>
  <c r="F17686" i="1"/>
  <c r="F17194" i="1"/>
  <c r="F14745" i="1"/>
  <c r="F14477" i="1"/>
  <c r="F14141" i="1"/>
  <c r="F14048" i="1"/>
  <c r="F13611" i="1"/>
  <c r="F12690" i="1"/>
  <c r="F12331" i="1"/>
  <c r="F9047" i="1"/>
  <c r="F6877" i="1"/>
  <c r="F3687" i="1"/>
  <c r="F2063" i="1"/>
  <c r="F1819" i="1"/>
  <c r="F1667" i="1"/>
  <c r="F1607" i="1"/>
  <c r="F1605" i="1"/>
  <c r="F1595" i="1"/>
  <c r="F1581" i="1"/>
  <c r="F20038" i="1"/>
  <c r="F17604" i="1"/>
  <c r="F17138" i="1"/>
  <c r="F17106" i="1"/>
  <c r="F14886" i="1"/>
  <c r="F13652" i="1"/>
  <c r="F13403" i="1"/>
  <c r="F7575" i="1"/>
  <c r="F2142" i="1"/>
  <c r="F1781" i="1"/>
  <c r="F1763" i="1"/>
  <c r="F1375" i="1"/>
  <c r="F19738" i="1"/>
  <c r="F7787" i="1"/>
  <c r="F2100" i="1"/>
  <c r="F11414" i="1"/>
  <c r="F7232" i="1"/>
  <c r="F21951" i="1"/>
  <c r="F21337" i="1"/>
  <c r="F20902" i="1"/>
  <c r="F20328" i="1"/>
  <c r="F20286" i="1"/>
  <c r="F20284" i="1"/>
  <c r="F20256" i="1"/>
  <c r="F20042" i="1"/>
  <c r="F19916" i="1"/>
  <c r="F18685" i="1"/>
  <c r="F17879" i="1"/>
  <c r="F17694" i="1"/>
  <c r="F17136" i="1"/>
  <c r="F16691" i="1"/>
  <c r="F16572" i="1"/>
  <c r="F16297" i="1"/>
  <c r="F16062" i="1"/>
  <c r="F14078" i="1"/>
  <c r="F12709" i="1"/>
  <c r="F8442" i="1"/>
  <c r="F7198" i="1"/>
  <c r="F6822" i="1"/>
  <c r="F6549" i="1"/>
  <c r="F6478" i="1"/>
  <c r="F2101" i="1"/>
  <c r="F2075" i="1"/>
  <c r="F2073" i="1"/>
  <c r="F2071" i="1"/>
  <c r="F1887" i="1"/>
  <c r="F1881" i="1"/>
  <c r="F1489" i="1"/>
  <c r="F1997" i="1"/>
  <c r="F1995" i="1"/>
  <c r="F1689" i="1"/>
  <c r="F21161" i="1"/>
  <c r="F21070" i="1"/>
  <c r="F20188" i="1"/>
  <c r="F17277" i="1"/>
  <c r="F16121" i="1"/>
  <c r="F14875" i="1"/>
  <c r="F14721" i="1"/>
  <c r="F14479" i="1"/>
  <c r="F13520" i="1"/>
  <c r="F13518" i="1"/>
  <c r="F12915" i="1"/>
  <c r="F11925" i="1"/>
  <c r="F11073" i="1"/>
  <c r="F10247" i="1"/>
  <c r="F9049" i="1"/>
  <c r="F8008" i="1"/>
  <c r="F6556" i="1"/>
  <c r="F6551" i="1"/>
  <c r="F6434" i="1"/>
  <c r="F5759" i="1"/>
  <c r="F5383" i="1"/>
  <c r="F5381" i="1"/>
  <c r="F4188" i="1"/>
  <c r="F649" i="1"/>
  <c r="F22692" i="1"/>
  <c r="F22635" i="1"/>
  <c r="F22626" i="1"/>
  <c r="F22618" i="1"/>
  <c r="F22599" i="1"/>
  <c r="F22525" i="1"/>
  <c r="F22521" i="1"/>
  <c r="F22517" i="1"/>
  <c r="F22510" i="1"/>
  <c r="F22192" i="1"/>
  <c r="F21972" i="1"/>
  <c r="F21361" i="1"/>
  <c r="F21268" i="1"/>
  <c r="F21040" i="1"/>
  <c r="F20881" i="1"/>
  <c r="F20596" i="1"/>
  <c r="F20519" i="1"/>
  <c r="F20292" i="1"/>
  <c r="F20290" i="1"/>
  <c r="F20252" i="1"/>
  <c r="F19938" i="1"/>
  <c r="F19926" i="1"/>
  <c r="F19827" i="1"/>
  <c r="F19754" i="1"/>
  <c r="F19626" i="1"/>
  <c r="F19440" i="1"/>
  <c r="F19407" i="1"/>
  <c r="F19379" i="1"/>
  <c r="F19343" i="1"/>
  <c r="F19341" i="1"/>
  <c r="F19250" i="1"/>
  <c r="F19227" i="1"/>
  <c r="F19196" i="1"/>
  <c r="F19191" i="1"/>
  <c r="F18999" i="1"/>
  <c r="F18718" i="1"/>
  <c r="F18153" i="1"/>
  <c r="F18024" i="1"/>
  <c r="F17640" i="1"/>
  <c r="F17596" i="1"/>
  <c r="F17387" i="1"/>
  <c r="F17220" i="1"/>
  <c r="F17146" i="1"/>
  <c r="F17142" i="1"/>
  <c r="F17140" i="1"/>
  <c r="F17062" i="1"/>
  <c r="F17052" i="1"/>
  <c r="F16971" i="1"/>
  <c r="F16671" i="1"/>
  <c r="F16667" i="1"/>
  <c r="F16663" i="1"/>
  <c r="F16592" i="1"/>
  <c r="F16478" i="1"/>
  <c r="F16269" i="1"/>
  <c r="F16223" i="1"/>
  <c r="F16213" i="1"/>
  <c r="F16198" i="1"/>
  <c r="F16160" i="1"/>
  <c r="F16108" i="1"/>
  <c r="F15816" i="1"/>
  <c r="F15814" i="1"/>
  <c r="F15665" i="1"/>
  <c r="F15667" i="1"/>
  <c r="F15465" i="1"/>
  <c r="F15459" i="1"/>
  <c r="F15433" i="1"/>
  <c r="F15407" i="1"/>
  <c r="F15214" i="1"/>
  <c r="F15182" i="1"/>
  <c r="F15059" i="1"/>
  <c r="F15022" i="1"/>
  <c r="F14940" i="1"/>
  <c r="F14664" i="1"/>
  <c r="F14611" i="1"/>
  <c r="F14417" i="1"/>
  <c r="F14270" i="1"/>
  <c r="F14145" i="1"/>
  <c r="F14128" i="1"/>
  <c r="F14080" i="1"/>
  <c r="F14076" i="1"/>
  <c r="F13909" i="1"/>
  <c r="F13755" i="1"/>
  <c r="F13703" i="1"/>
  <c r="F13591" i="1"/>
  <c r="F13395" i="1"/>
  <c r="F12543" i="1"/>
  <c r="F12509" i="1"/>
  <c r="F12507" i="1"/>
  <c r="F12505" i="1"/>
  <c r="F12503" i="1"/>
  <c r="F12501" i="1"/>
  <c r="F12499" i="1"/>
  <c r="F12290" i="1"/>
  <c r="F12282" i="1"/>
  <c r="F12280" i="1"/>
  <c r="F12278" i="1"/>
  <c r="F12089" i="1"/>
  <c r="F12051" i="1"/>
  <c r="F12032" i="1"/>
  <c r="F11939" i="1"/>
  <c r="F11879" i="1"/>
  <c r="F11875" i="1"/>
  <c r="F11793" i="1"/>
  <c r="F11760" i="1"/>
  <c r="F11669" i="1"/>
  <c r="F11652" i="1"/>
  <c r="F11650" i="1"/>
  <c r="F11638" i="1"/>
  <c r="F11546" i="1"/>
  <c r="F11507" i="1"/>
  <c r="F11161" i="1"/>
  <c r="F10714" i="1"/>
  <c r="F10517" i="1"/>
  <c r="F10505" i="1"/>
  <c r="F10497" i="1"/>
  <c r="F10479" i="1"/>
  <c r="F10465" i="1"/>
  <c r="F10461" i="1"/>
  <c r="F10443" i="1"/>
  <c r="F10421" i="1"/>
  <c r="F10401" i="1"/>
  <c r="F10359" i="1"/>
  <c r="F10327" i="1"/>
  <c r="F10297" i="1"/>
  <c r="F10267" i="1"/>
  <c r="F10263" i="1"/>
  <c r="F10233" i="1"/>
  <c r="F10225" i="1"/>
  <c r="F10196" i="1"/>
  <c r="F10137" i="1"/>
  <c r="F10121" i="1"/>
  <c r="F10091" i="1"/>
  <c r="F10072" i="1"/>
  <c r="F9943" i="1"/>
  <c r="F9857" i="1"/>
  <c r="F9845" i="1"/>
  <c r="F9829" i="1"/>
  <c r="F9825" i="1"/>
  <c r="F9821" i="1"/>
  <c r="F9765" i="1"/>
  <c r="F9734" i="1"/>
  <c r="F9715" i="1"/>
  <c r="F9713" i="1"/>
  <c r="F9695" i="1"/>
  <c r="F9643" i="1"/>
  <c r="F9393" i="1"/>
  <c r="F9031" i="1"/>
  <c r="F9027" i="1"/>
  <c r="F8911" i="1"/>
  <c r="F8602" i="1"/>
  <c r="F8384" i="1"/>
  <c r="F7897" i="1"/>
  <c r="F7436" i="1"/>
  <c r="F7228" i="1"/>
  <c r="F7220" i="1"/>
  <c r="F7204" i="1"/>
  <c r="F7188" i="1"/>
  <c r="F7172" i="1"/>
  <c r="F7170" i="1"/>
  <c r="F7160" i="1"/>
  <c r="F7158" i="1"/>
  <c r="F7063" i="1"/>
  <c r="F6924" i="1"/>
  <c r="F6800" i="1"/>
  <c r="F6662" i="1"/>
  <c r="F6557" i="1"/>
  <c r="F6494" i="1"/>
  <c r="F5391" i="1"/>
  <c r="F5377" i="1"/>
  <c r="F5043" i="1"/>
  <c r="F4584" i="1"/>
  <c r="F4453" i="1"/>
  <c r="F4289" i="1"/>
  <c r="F4151" i="1"/>
  <c r="F4038" i="1"/>
  <c r="F4024" i="1"/>
  <c r="F17090" i="1"/>
  <c r="F3993" i="1"/>
  <c r="F3849" i="1"/>
  <c r="F3743" i="1"/>
  <c r="F3732" i="1"/>
  <c r="F3699" i="1"/>
  <c r="F2261" i="1"/>
  <c r="F2085" i="1"/>
  <c r="F1873" i="1"/>
  <c r="F1865" i="1"/>
  <c r="F1845" i="1"/>
  <c r="F1801" i="1"/>
  <c r="F1797" i="1"/>
  <c r="F1740" i="1"/>
  <c r="F1735" i="1"/>
  <c r="F1655" i="1"/>
  <c r="F1615" i="1"/>
  <c r="F1579" i="1"/>
  <c r="F1540" i="1"/>
  <c r="F1513" i="1"/>
  <c r="F1393" i="1"/>
  <c r="F1391" i="1"/>
  <c r="F735" i="1"/>
  <c r="F685" i="1"/>
  <c r="F681" i="1"/>
  <c r="F679" i="1"/>
  <c r="F31973" i="1"/>
  <c r="F22785" i="1"/>
  <c r="F22470" i="1"/>
  <c r="F19276" i="1"/>
  <c r="F17068" i="1"/>
  <c r="F15121" i="1"/>
  <c r="F13346" i="1"/>
  <c r="F13342" i="1"/>
  <c r="F8380" i="1"/>
  <c r="F7140" i="1"/>
  <c r="F5051" i="1"/>
  <c r="F1741" i="1"/>
  <c r="F1695" i="1"/>
  <c r="F11929" i="1"/>
  <c r="F11596" i="1"/>
  <c r="F9770" i="1"/>
  <c r="F7164" i="1"/>
  <c r="F20180" i="1"/>
  <c r="F17132" i="1"/>
  <c r="F15604" i="1"/>
  <c r="F15215" i="1"/>
  <c r="F12188" i="1"/>
  <c r="F7105" i="1"/>
  <c r="F7101" i="1"/>
  <c r="F7064" i="1"/>
  <c r="F6547" i="1"/>
  <c r="F6490" i="1"/>
  <c r="F1659" i="1"/>
  <c r="F1553" i="1"/>
  <c r="F22400" i="1"/>
  <c r="F20028" i="1"/>
  <c r="F16541" i="1"/>
  <c r="F15376" i="1"/>
  <c r="F14118" i="1"/>
  <c r="F10551" i="1"/>
  <c r="F7528" i="1"/>
  <c r="F7522" i="1"/>
  <c r="F1811" i="1"/>
  <c r="F11038" i="1"/>
  <c r="F2133" i="1"/>
  <c r="F2138" i="1"/>
  <c r="F20524" i="1"/>
  <c r="F12300" i="1"/>
  <c r="F6423" i="1"/>
  <c r="F22573" i="1"/>
  <c r="F22444" i="1"/>
  <c r="F1541" i="1"/>
  <c r="F20227" i="1"/>
  <c r="F19109" i="1"/>
  <c r="F18269" i="1"/>
  <c r="F14025" i="1"/>
  <c r="F13630" i="1"/>
  <c r="F12132" i="1"/>
  <c r="F3991" i="1"/>
  <c r="F19750" i="1"/>
  <c r="F21441" i="1"/>
  <c r="F19845" i="1"/>
  <c r="F17112" i="1"/>
  <c r="F9051" i="1"/>
  <c r="F20522" i="1"/>
  <c r="F20486" i="1"/>
  <c r="F19914" i="1"/>
  <c r="F17630" i="1"/>
  <c r="F16687" i="1"/>
  <c r="F16187" i="1"/>
  <c r="F14760" i="1"/>
  <c r="F13690" i="1"/>
  <c r="F12287" i="1"/>
  <c r="F11660" i="1"/>
  <c r="F10741" i="1"/>
  <c r="F8374" i="1"/>
  <c r="F7052" i="1"/>
  <c r="F4981" i="1"/>
  <c r="F4307" i="1"/>
  <c r="F4209" i="1"/>
  <c r="F1827" i="1"/>
  <c r="F1557" i="1"/>
  <c r="F1399" i="1"/>
  <c r="F12431" i="1"/>
  <c r="F22677" i="1"/>
  <c r="F21870" i="1"/>
  <c r="F20016" i="1"/>
  <c r="F19936" i="1"/>
  <c r="F18726" i="1"/>
  <c r="F17120" i="1"/>
  <c r="F17098" i="1"/>
  <c r="F16498" i="1"/>
  <c r="F16178" i="1"/>
  <c r="F14876" i="1"/>
  <c r="F14082" i="1"/>
  <c r="F13401" i="1"/>
  <c r="F11871" i="1"/>
  <c r="F11534" i="1"/>
  <c r="F10677" i="1"/>
  <c r="F9963" i="1"/>
  <c r="F9961" i="1"/>
  <c r="F9391" i="1"/>
  <c r="F7206" i="1"/>
  <c r="F7208" i="1"/>
  <c r="F7194" i="1"/>
  <c r="F7174" i="1"/>
  <c r="F7109" i="1"/>
  <c r="F7034" i="1"/>
  <c r="F6311" i="1"/>
  <c r="F5537" i="1"/>
  <c r="F4626" i="1"/>
  <c r="F1837" i="1"/>
  <c r="F1785" i="1"/>
  <c r="F22563" i="1"/>
  <c r="F22194" i="1"/>
  <c r="F21218" i="1"/>
  <c r="F20892" i="1"/>
  <c r="F20857" i="1"/>
  <c r="F20240" i="1"/>
  <c r="F19944" i="1"/>
  <c r="F19450" i="1"/>
  <c r="F19105" i="1"/>
  <c r="F19011" i="1"/>
  <c r="F18997" i="1"/>
  <c r="F18855" i="1"/>
  <c r="F17154" i="1"/>
  <c r="F16685" i="1"/>
  <c r="F16323" i="1"/>
  <c r="F16245" i="1"/>
  <c r="F16200" i="1"/>
  <c r="F15119" i="1"/>
  <c r="F15045" i="1"/>
  <c r="F13777" i="1"/>
  <c r="F13225" i="1"/>
  <c r="F13095" i="1"/>
  <c r="F12288" i="1"/>
  <c r="F12184" i="1"/>
  <c r="F12054" i="1"/>
  <c r="F10695" i="1"/>
  <c r="F10594" i="1"/>
  <c r="F9025" i="1"/>
  <c r="F9023" i="1"/>
  <c r="F8194" i="1"/>
  <c r="F7912" i="1"/>
  <c r="F7212" i="1"/>
  <c r="F7113" i="1"/>
  <c r="F7076" i="1"/>
  <c r="F7074" i="1"/>
  <c r="F6496" i="1"/>
  <c r="F6170" i="1"/>
  <c r="F4163" i="1"/>
  <c r="F4106" i="1"/>
  <c r="F3724" i="1"/>
  <c r="F3331" i="1"/>
  <c r="F2273" i="1"/>
  <c r="F1953" i="1"/>
  <c r="F1831" i="1"/>
  <c r="F1829" i="1"/>
  <c r="F1103" i="1"/>
  <c r="F11805" i="1"/>
  <c r="F8388" i="1"/>
  <c r="F25181" i="1"/>
  <c r="F24555" i="1"/>
  <c r="F21705" i="1"/>
  <c r="F19946" i="1"/>
  <c r="F14858" i="1"/>
  <c r="F2332" i="1"/>
  <c r="F2326" i="1"/>
  <c r="F2322" i="1"/>
  <c r="F36649" i="1"/>
  <c r="F19924" i="1"/>
  <c r="F7918" i="1"/>
  <c r="F2667" i="1"/>
  <c r="F2267" i="1"/>
  <c r="F8722" i="1"/>
  <c r="F4671" i="1"/>
  <c r="F1879" i="1"/>
  <c r="F3730" i="1"/>
  <c r="F3046" i="1"/>
  <c r="F15461" i="1"/>
  <c r="F8990" i="1"/>
  <c r="F3736" i="1"/>
  <c r="F1779" i="1"/>
  <c r="F6576" i="1"/>
  <c r="F21707" i="1"/>
  <c r="F9113" i="1"/>
  <c r="F10043" i="1"/>
  <c r="F1847" i="1"/>
  <c r="F16683" i="1"/>
  <c r="F2161" i="1"/>
  <c r="F12489" i="1"/>
  <c r="F7916" i="1"/>
  <c r="F705" i="1"/>
  <c r="F4345" i="1"/>
  <c r="F4346" i="1"/>
  <c r="F4410" i="1"/>
  <c r="F6165" i="1"/>
  <c r="F9746" i="1"/>
  <c r="F10316" i="1"/>
  <c r="F10498" i="1"/>
  <c r="F10671" i="1"/>
  <c r="F11827" i="1"/>
  <c r="F11881" i="1"/>
  <c r="F13437" i="1"/>
  <c r="F14879" i="1"/>
  <c r="F15026" i="1"/>
  <c r="F15323" i="1"/>
  <c r="F19320" i="1"/>
  <c r="F19902" i="1"/>
  <c r="F20250" i="1"/>
  <c r="F20356" i="1"/>
  <c r="F21597" i="1"/>
  <c r="F16786" i="1"/>
  <c r="F24604" i="1"/>
  <c r="F16329" i="1"/>
  <c r="F121" i="1"/>
  <c r="F3660" i="1"/>
  <c r="F4879" i="1"/>
  <c r="F8210" i="1"/>
  <c r="F8557" i="1"/>
  <c r="F10623" i="1"/>
  <c r="F13022" i="1"/>
  <c r="F18924" i="1"/>
  <c r="F24929" i="1"/>
  <c r="F25086" i="1"/>
  <c r="F28549" i="1"/>
  <c r="F32387" i="1"/>
  <c r="F16243" i="1"/>
  <c r="F528" i="1"/>
  <c r="F916" i="1"/>
  <c r="F1026" i="1"/>
  <c r="F1028" i="1"/>
  <c r="F1031" i="1"/>
  <c r="F1033" i="1"/>
  <c r="F1035" i="1"/>
  <c r="F1456" i="1"/>
  <c r="F3521" i="1"/>
  <c r="F3663" i="1"/>
  <c r="F3930" i="1"/>
  <c r="F4000" i="1"/>
  <c r="F4068" i="1"/>
  <c r="F4537" i="1"/>
  <c r="F5619" i="1"/>
  <c r="F4539" i="1"/>
  <c r="F7769" i="1"/>
  <c r="F8182" i="1"/>
  <c r="F8206" i="1"/>
  <c r="F10687" i="1"/>
  <c r="F12836" i="1"/>
  <c r="F12962" i="1"/>
  <c r="F14179" i="1"/>
  <c r="F14878" i="1"/>
  <c r="F15123" i="1"/>
  <c r="F13825" i="1"/>
  <c r="F14884" i="1"/>
  <c r="F16351" i="1"/>
  <c r="F16485" i="1"/>
  <c r="F16762" i="1"/>
  <c r="F16868" i="1"/>
  <c r="F17968" i="1"/>
  <c r="F18286" i="1"/>
  <c r="F21111" i="1"/>
  <c r="F21381" i="1"/>
  <c r="F12828" i="1"/>
  <c r="F12840" i="1"/>
  <c r="F13005" i="1"/>
  <c r="F24605" i="1"/>
  <c r="F28550" i="1"/>
  <c r="F29598" i="1"/>
  <c r="F32412" i="1"/>
  <c r="F16331" i="1"/>
  <c r="F12830" i="1"/>
  <c r="F17969" i="1"/>
  <c r="F3231" i="1"/>
  <c r="F23708" i="1"/>
  <c r="F415" i="1"/>
  <c r="F975" i="1"/>
  <c r="F2827" i="1"/>
  <c r="F2841" i="1"/>
  <c r="F3377" i="1"/>
  <c r="F3397" i="1"/>
  <c r="F3409" i="1"/>
  <c r="F3703" i="1"/>
  <c r="F4036" i="1"/>
  <c r="F4184" i="1"/>
  <c r="F4283" i="1"/>
  <c r="F4927" i="1"/>
  <c r="F5674" i="1"/>
  <c r="F9675" i="1"/>
  <c r="F9703" i="1"/>
  <c r="F9774" i="1"/>
  <c r="F10197" i="1"/>
  <c r="F10283" i="1"/>
  <c r="F10290" i="1"/>
  <c r="F10319" i="1"/>
  <c r="F10344" i="1"/>
  <c r="F10453" i="1"/>
  <c r="F10469" i="1"/>
  <c r="F10485" i="1"/>
  <c r="F10499" i="1"/>
  <c r="F10532" i="1"/>
  <c r="F10537" i="1"/>
  <c r="F11505" i="1"/>
  <c r="F12877" i="1"/>
  <c r="F13169" i="1"/>
  <c r="F13176" i="1"/>
  <c r="F13292" i="1"/>
  <c r="F13318" i="1"/>
  <c r="F13326" i="1"/>
  <c r="F13791" i="1"/>
  <c r="F14607" i="1"/>
  <c r="F15403" i="1"/>
  <c r="F16558" i="1"/>
  <c r="F17377" i="1"/>
  <c r="F18918" i="1"/>
  <c r="F19157" i="1"/>
  <c r="F20230" i="1"/>
  <c r="F21078" i="1"/>
  <c r="F21184" i="1"/>
  <c r="F21191" i="1"/>
  <c r="F21751" i="1"/>
  <c r="F22004" i="1"/>
  <c r="F22492" i="1"/>
  <c r="F22498" i="1"/>
  <c r="F22512" i="1"/>
  <c r="F23322" i="1"/>
  <c r="F27680" i="1"/>
  <c r="F27695" i="1"/>
  <c r="F29350" i="1"/>
  <c r="F29380" i="1"/>
  <c r="F30516" i="1"/>
  <c r="F30553" i="1"/>
  <c r="F6174" i="1"/>
  <c r="F31728" i="1"/>
  <c r="F31828" i="1"/>
  <c r="F20674" i="1"/>
  <c r="F23675" i="1"/>
  <c r="F10429" i="1"/>
  <c r="F11845" i="1"/>
  <c r="F4551" i="1"/>
  <c r="F11040" i="1"/>
  <c r="F864" i="1"/>
  <c r="F865" i="1"/>
  <c r="F2428" i="1"/>
  <c r="F3005" i="1"/>
  <c r="F2662" i="1"/>
  <c r="F2663" i="1"/>
  <c r="F2665" i="1"/>
  <c r="F2918" i="1"/>
  <c r="F5138" i="1"/>
  <c r="F4003" i="1"/>
  <c r="F5139" i="1"/>
  <c r="F4465" i="1"/>
  <c r="F5039" i="1"/>
  <c r="F5152" i="1"/>
  <c r="F5140" i="1"/>
  <c r="F5141" i="1"/>
  <c r="F5549" i="1"/>
  <c r="F5856" i="1"/>
  <c r="F5916" i="1"/>
  <c r="F7370" i="1"/>
  <c r="F7371" i="1"/>
  <c r="F7356" i="1"/>
  <c r="F7535" i="1"/>
  <c r="F11361" i="1"/>
  <c r="F11145" i="1"/>
  <c r="F12712" i="1"/>
  <c r="F12883" i="1"/>
  <c r="F12945" i="1"/>
  <c r="F14070" i="1"/>
  <c r="F5142" i="1"/>
  <c r="F14459" i="1"/>
  <c r="F14519" i="1"/>
  <c r="F14521" i="1"/>
  <c r="F5143" i="1"/>
  <c r="F17534" i="1"/>
  <c r="F5144" i="1"/>
  <c r="F18624" i="1"/>
  <c r="F19475" i="1"/>
  <c r="F22588" i="1"/>
  <c r="F23374" i="1"/>
  <c r="F5145" i="1"/>
  <c r="F26737" i="1"/>
  <c r="F26780" i="1"/>
  <c r="F5148" i="1"/>
  <c r="F26967" i="1"/>
  <c r="F5146" i="1"/>
  <c r="F27568" i="1"/>
  <c r="F27569" i="1"/>
  <c r="F5147" i="1"/>
  <c r="F5149" i="1"/>
  <c r="F27570" i="1"/>
  <c r="F29786" i="1"/>
  <c r="F30452" i="1"/>
  <c r="F30554" i="1"/>
  <c r="F31762" i="1"/>
  <c r="F31960" i="1"/>
  <c r="F5150" i="1"/>
  <c r="F32015" i="1"/>
  <c r="F32017" i="1"/>
  <c r="F32016" i="1"/>
  <c r="F32098" i="1"/>
  <c r="F32258" i="1"/>
  <c r="F32369" i="1"/>
  <c r="F33106" i="1"/>
  <c r="F33182" i="1"/>
  <c r="F33538" i="1"/>
  <c r="F34019" i="1"/>
  <c r="F34475" i="1"/>
  <c r="F5151" i="1"/>
  <c r="F34477" i="1"/>
  <c r="F34476" i="1"/>
  <c r="F29904" i="1"/>
  <c r="F13642" i="1"/>
  <c r="F20735" i="1"/>
  <c r="F46" i="1"/>
  <c r="F2427" i="1"/>
  <c r="F2594" i="1"/>
  <c r="F6415" i="1"/>
  <c r="F8166" i="1"/>
  <c r="F13443" i="1"/>
  <c r="F13451" i="1"/>
  <c r="F14009" i="1"/>
  <c r="F14809" i="1"/>
  <c r="F16233" i="1"/>
  <c r="F22739" i="1"/>
  <c r="F19727" i="1"/>
  <c r="F30189" i="1"/>
  <c r="F28129" i="1"/>
  <c r="F167" i="1"/>
  <c r="F556" i="1"/>
  <c r="F978" i="1"/>
  <c r="F6265" i="1"/>
  <c r="F9174" i="1"/>
  <c r="F10017" i="1"/>
  <c r="F11088" i="1"/>
  <c r="F11152" i="1"/>
  <c r="F21076" i="1"/>
  <c r="F23497" i="1"/>
  <c r="F27442" i="1"/>
  <c r="F29992" i="1"/>
  <c r="F30029" i="1"/>
  <c r="F33718" i="1"/>
  <c r="F34279" i="1"/>
  <c r="F36656" i="1"/>
  <c r="F35871" i="1"/>
  <c r="F35935" i="1"/>
  <c r="F35943" i="1"/>
  <c r="F21515" i="1"/>
  <c r="F11686" i="1"/>
  <c r="F368" i="1"/>
  <c r="F1420" i="1"/>
  <c r="F1675" i="1"/>
  <c r="F1481" i="1"/>
  <c r="F1727" i="1"/>
  <c r="F1891" i="1"/>
  <c r="F1975" i="1"/>
  <c r="F2157" i="1"/>
  <c r="F2175" i="1"/>
  <c r="F2440" i="1"/>
  <c r="F2442" i="1"/>
  <c r="F2522" i="1"/>
  <c r="F2639" i="1"/>
  <c r="F2855" i="1"/>
  <c r="F3070" i="1"/>
  <c r="F3322" i="1"/>
  <c r="F3701" i="1"/>
  <c r="F18955" i="1"/>
  <c r="F3801" i="1"/>
  <c r="F3825" i="1"/>
  <c r="F3865" i="1"/>
  <c r="F3975" i="1"/>
  <c r="F5071" i="1"/>
  <c r="F5094" i="1"/>
  <c r="F5173" i="1"/>
  <c r="F5393" i="1"/>
  <c r="F6730" i="1"/>
  <c r="F6818" i="1"/>
  <c r="F6930" i="1"/>
  <c r="F6932" i="1"/>
  <c r="F7038" i="1"/>
  <c r="F7124" i="1"/>
  <c r="F7386" i="1"/>
  <c r="F7681" i="1"/>
  <c r="F8858" i="1"/>
  <c r="F8994" i="1"/>
  <c r="F9053" i="1"/>
  <c r="F9071" i="1"/>
  <c r="F9303" i="1"/>
  <c r="F11428" i="1"/>
  <c r="F12052" i="1"/>
  <c r="F12062" i="1"/>
  <c r="F12227" i="1"/>
  <c r="F12491" i="1"/>
  <c r="F12911" i="1"/>
  <c r="F12913" i="1"/>
  <c r="F13489" i="1"/>
  <c r="F19554" i="1"/>
  <c r="F13627" i="1"/>
  <c r="F13733" i="1"/>
  <c r="F13763" i="1"/>
  <c r="F13779" i="1"/>
  <c r="F14064" i="1"/>
  <c r="F14395" i="1"/>
  <c r="F13936" i="1"/>
  <c r="F14393" i="1"/>
  <c r="F14440" i="1"/>
  <c r="F14531" i="1"/>
  <c r="F15062" i="1"/>
  <c r="F15374" i="1"/>
  <c r="F15917" i="1"/>
  <c r="F16148" i="1"/>
  <c r="F19618" i="1"/>
  <c r="F17303" i="1"/>
  <c r="F17477" i="1"/>
  <c r="F17618" i="1"/>
  <c r="F17829" i="1"/>
  <c r="F18967" i="1"/>
  <c r="F18969" i="1"/>
  <c r="F19085" i="1"/>
  <c r="F19485" i="1"/>
  <c r="F19665" i="1"/>
  <c r="F20057" i="1"/>
  <c r="F20058" i="1"/>
  <c r="F20176" i="1"/>
  <c r="F21105" i="1"/>
  <c r="F22054" i="1"/>
  <c r="F22206" i="1"/>
  <c r="F22472" i="1"/>
  <c r="F23020" i="1"/>
  <c r="F20020" i="1"/>
  <c r="F1371" i="1"/>
  <c r="F6842" i="1"/>
  <c r="F10749" i="1"/>
  <c r="F15692" i="1"/>
  <c r="F21557" i="1"/>
  <c r="F11698" i="1"/>
  <c r="F12150" i="1"/>
  <c r="F17915" i="1"/>
  <c r="F20566" i="1"/>
  <c r="F8114" i="1"/>
  <c r="F8744" i="1"/>
  <c r="F10599" i="1"/>
  <c r="F14601" i="1"/>
  <c r="F17909" i="1"/>
  <c r="F18817" i="1"/>
  <c r="F18893" i="1"/>
  <c r="F18971" i="1"/>
  <c r="F19261" i="1"/>
  <c r="F19468" i="1"/>
  <c r="F20591" i="1"/>
  <c r="F21293" i="1"/>
  <c r="F22247" i="1"/>
  <c r="F22416" i="1"/>
  <c r="F22767" i="1"/>
  <c r="F39" i="1"/>
  <c r="F2946" i="1"/>
  <c r="F8142" i="1"/>
  <c r="F11451" i="1"/>
  <c r="F12302" i="1"/>
  <c r="F17058" i="1"/>
  <c r="F18665" i="1"/>
  <c r="F20766" i="1"/>
  <c r="F20965" i="1"/>
  <c r="F36553" i="1"/>
  <c r="D508" i="2"/>
  <c r="C508" i="2"/>
  <c r="D507" i="2"/>
  <c r="C507" i="2"/>
  <c r="D506" i="2"/>
  <c r="C506" i="2"/>
  <c r="D505" i="2"/>
  <c r="C505" i="2"/>
  <c r="D504" i="2"/>
  <c r="C504" i="2"/>
  <c r="D503" i="2"/>
  <c r="C503" i="2"/>
  <c r="D502" i="2"/>
  <c r="C502" i="2"/>
  <c r="D501" i="2"/>
  <c r="C501" i="2"/>
  <c r="D500" i="2"/>
  <c r="C500" i="2"/>
  <c r="D499" i="2"/>
  <c r="C499" i="2"/>
  <c r="D498" i="2"/>
  <c r="C498" i="2"/>
  <c r="D497" i="2"/>
  <c r="C497" i="2"/>
  <c r="D496" i="2"/>
  <c r="C496" i="2"/>
  <c r="D495" i="2"/>
  <c r="C495" i="2"/>
  <c r="D494" i="2"/>
  <c r="C494" i="2"/>
  <c r="D493" i="2"/>
  <c r="C493" i="2"/>
  <c r="D492" i="2"/>
  <c r="C492" i="2"/>
  <c r="D491" i="2"/>
  <c r="C491" i="2"/>
  <c r="D490" i="2"/>
  <c r="C490" i="2"/>
  <c r="D489" i="2"/>
  <c r="C489" i="2"/>
  <c r="D488" i="2"/>
  <c r="C488" i="2"/>
  <c r="D487" i="2"/>
  <c r="C487" i="2"/>
  <c r="D486" i="2"/>
  <c r="C486" i="2"/>
  <c r="D485" i="2"/>
  <c r="C485" i="2"/>
  <c r="D484" i="2"/>
  <c r="C484" i="2"/>
  <c r="D483" i="2"/>
  <c r="C483" i="2"/>
  <c r="D482" i="2"/>
  <c r="C482" i="2"/>
  <c r="D481" i="2"/>
  <c r="C481" i="2"/>
  <c r="D480" i="2"/>
  <c r="C480" i="2"/>
  <c r="D479" i="2"/>
  <c r="C479" i="2"/>
  <c r="D478" i="2"/>
  <c r="C478" i="2"/>
  <c r="D477" i="2"/>
  <c r="C477" i="2"/>
  <c r="D476" i="2"/>
  <c r="C476" i="2"/>
  <c r="D475" i="2"/>
  <c r="C475" i="2"/>
  <c r="D474" i="2"/>
  <c r="C474" i="2"/>
  <c r="D473" i="2"/>
  <c r="C473" i="2"/>
  <c r="D472" i="2"/>
  <c r="C472" i="2"/>
  <c r="D471" i="2"/>
  <c r="C471" i="2"/>
  <c r="D470" i="2"/>
  <c r="C470" i="2"/>
  <c r="D469" i="2"/>
  <c r="C469" i="2"/>
  <c r="D468" i="2"/>
  <c r="C468" i="2"/>
  <c r="D467" i="2"/>
  <c r="C467" i="2"/>
  <c r="D466" i="2"/>
  <c r="C466" i="2"/>
  <c r="D465" i="2"/>
  <c r="C465" i="2"/>
  <c r="D464" i="2"/>
  <c r="C464" i="2"/>
  <c r="D463" i="2"/>
  <c r="C463" i="2"/>
  <c r="D462" i="2"/>
  <c r="C462" i="2"/>
  <c r="D461" i="2"/>
  <c r="C461" i="2"/>
  <c r="D460" i="2"/>
  <c r="C460" i="2"/>
  <c r="D459" i="2"/>
  <c r="C459" i="2"/>
  <c r="D458" i="2"/>
  <c r="C458" i="2"/>
  <c r="D457" i="2"/>
  <c r="C457" i="2"/>
  <c r="D456" i="2"/>
  <c r="C456" i="2"/>
  <c r="D455" i="2"/>
  <c r="C455" i="2"/>
  <c r="D454" i="2"/>
  <c r="C454" i="2"/>
  <c r="D453" i="2"/>
  <c r="C453" i="2"/>
  <c r="D452" i="2"/>
  <c r="C452" i="2"/>
  <c r="D451" i="2"/>
  <c r="C451" i="2"/>
  <c r="D450" i="2"/>
  <c r="C450" i="2"/>
  <c r="D449" i="2"/>
  <c r="C449" i="2"/>
  <c r="D448" i="2"/>
  <c r="C448" i="2"/>
  <c r="D447" i="2"/>
  <c r="C447" i="2"/>
  <c r="D446" i="2"/>
  <c r="C446" i="2"/>
  <c r="D445" i="2"/>
  <c r="C445" i="2"/>
  <c r="D444" i="2"/>
  <c r="C444" i="2"/>
  <c r="D443" i="2"/>
  <c r="C443" i="2"/>
  <c r="D442" i="2"/>
  <c r="C442" i="2"/>
  <c r="D441" i="2"/>
  <c r="C441" i="2"/>
  <c r="D440" i="2"/>
  <c r="C440" i="2"/>
  <c r="D439" i="2"/>
  <c r="C439" i="2"/>
  <c r="D438" i="2"/>
  <c r="C438" i="2"/>
  <c r="D437" i="2"/>
  <c r="C437" i="2"/>
  <c r="D436" i="2"/>
  <c r="C436" i="2"/>
  <c r="D435" i="2"/>
  <c r="C435" i="2"/>
  <c r="D434" i="2"/>
  <c r="C434" i="2"/>
  <c r="D433" i="2"/>
  <c r="C433" i="2"/>
  <c r="D432" i="2"/>
  <c r="C432" i="2"/>
  <c r="D431" i="2"/>
  <c r="C431" i="2"/>
  <c r="D430" i="2"/>
  <c r="C430" i="2"/>
  <c r="D429" i="2"/>
  <c r="C429" i="2"/>
  <c r="D428" i="2"/>
  <c r="C428" i="2"/>
  <c r="D427" i="2"/>
  <c r="C427" i="2"/>
  <c r="D426" i="2"/>
  <c r="C426" i="2"/>
  <c r="D425" i="2"/>
  <c r="C425" i="2"/>
  <c r="D424" i="2"/>
  <c r="C424" i="2"/>
  <c r="D423" i="2"/>
  <c r="C423" i="2"/>
  <c r="D422" i="2"/>
  <c r="C422" i="2"/>
  <c r="D421" i="2"/>
  <c r="C421" i="2"/>
  <c r="D420" i="2"/>
  <c r="C420" i="2"/>
  <c r="D419" i="2"/>
  <c r="C419" i="2"/>
  <c r="D418" i="2"/>
  <c r="C418" i="2"/>
  <c r="D417" i="2"/>
  <c r="C417" i="2"/>
  <c r="D416" i="2"/>
  <c r="C416" i="2"/>
  <c r="D415" i="2"/>
  <c r="C415" i="2"/>
  <c r="D414" i="2"/>
  <c r="C414" i="2"/>
  <c r="D413" i="2"/>
  <c r="C413" i="2"/>
  <c r="D412" i="2"/>
  <c r="C412" i="2"/>
  <c r="D411" i="2"/>
  <c r="C411" i="2"/>
  <c r="D410" i="2"/>
  <c r="C410" i="2"/>
  <c r="D409" i="2"/>
  <c r="C409" i="2"/>
  <c r="D408" i="2"/>
  <c r="C408" i="2"/>
  <c r="D407" i="2"/>
  <c r="C407" i="2"/>
  <c r="D406" i="2"/>
  <c r="C406" i="2"/>
  <c r="D405" i="2"/>
  <c r="C405" i="2"/>
  <c r="D404" i="2"/>
  <c r="C404" i="2"/>
  <c r="D403" i="2"/>
  <c r="C403" i="2"/>
  <c r="D402" i="2"/>
  <c r="C402" i="2"/>
  <c r="D401" i="2"/>
  <c r="C401" i="2"/>
  <c r="D400" i="2"/>
  <c r="C400" i="2"/>
  <c r="D399" i="2"/>
  <c r="C399" i="2"/>
  <c r="D398" i="2"/>
  <c r="C398" i="2"/>
  <c r="D397" i="2"/>
  <c r="C397" i="2"/>
  <c r="D396" i="2"/>
  <c r="C396" i="2"/>
  <c r="D395" i="2"/>
  <c r="C395" i="2"/>
  <c r="D394" i="2"/>
  <c r="C394" i="2"/>
  <c r="D393" i="2"/>
  <c r="C393" i="2"/>
  <c r="D392" i="2"/>
  <c r="C392" i="2"/>
  <c r="D391" i="2"/>
  <c r="C391" i="2"/>
  <c r="D390" i="2"/>
  <c r="C390" i="2"/>
  <c r="D389" i="2"/>
  <c r="C389" i="2"/>
  <c r="D388" i="2"/>
  <c r="C388" i="2"/>
  <c r="D387" i="2"/>
  <c r="C387" i="2"/>
  <c r="D386" i="2"/>
  <c r="C386" i="2"/>
  <c r="D385" i="2"/>
  <c r="C385" i="2"/>
  <c r="D384" i="2"/>
  <c r="C384" i="2"/>
  <c r="D383" i="2"/>
  <c r="C383" i="2"/>
  <c r="D382" i="2"/>
  <c r="C382" i="2"/>
  <c r="D381" i="2"/>
  <c r="C381" i="2"/>
  <c r="D380" i="2"/>
  <c r="C380" i="2"/>
  <c r="D379" i="2"/>
  <c r="C379" i="2"/>
  <c r="D378" i="2"/>
  <c r="C378" i="2"/>
  <c r="D377" i="2"/>
  <c r="C377" i="2"/>
  <c r="D376" i="2"/>
  <c r="C376" i="2"/>
  <c r="D375" i="2"/>
  <c r="C375" i="2"/>
  <c r="D374" i="2"/>
  <c r="C374" i="2"/>
  <c r="D373" i="2"/>
  <c r="C373" i="2"/>
  <c r="D372" i="2"/>
  <c r="C372" i="2"/>
  <c r="D371" i="2"/>
  <c r="C371" i="2"/>
  <c r="D370" i="2"/>
  <c r="C370" i="2"/>
  <c r="D369" i="2"/>
  <c r="C369" i="2"/>
  <c r="D368" i="2"/>
  <c r="C368" i="2"/>
  <c r="D367" i="2"/>
  <c r="C367" i="2"/>
  <c r="D366" i="2"/>
  <c r="C366" i="2"/>
  <c r="D365" i="2"/>
  <c r="C365" i="2"/>
  <c r="D364" i="2"/>
  <c r="C364" i="2"/>
  <c r="D363" i="2"/>
  <c r="C363" i="2"/>
  <c r="D362" i="2"/>
  <c r="C362" i="2"/>
  <c r="D361" i="2"/>
  <c r="C361" i="2"/>
  <c r="D360" i="2"/>
  <c r="C360" i="2"/>
  <c r="D359" i="2"/>
  <c r="C359" i="2"/>
  <c r="D358" i="2"/>
  <c r="C358" i="2"/>
  <c r="D357" i="2"/>
  <c r="C357" i="2"/>
  <c r="D356" i="2"/>
  <c r="C356" i="2"/>
  <c r="D355" i="2"/>
  <c r="C355" i="2"/>
  <c r="D354" i="2"/>
  <c r="C354" i="2"/>
  <c r="D353" i="2"/>
  <c r="C353" i="2"/>
  <c r="D352" i="2"/>
  <c r="C352" i="2"/>
  <c r="D351" i="2"/>
  <c r="C351" i="2"/>
  <c r="D350" i="2"/>
  <c r="C350" i="2"/>
  <c r="D349" i="2"/>
  <c r="C349" i="2"/>
  <c r="D348" i="2"/>
  <c r="C348" i="2"/>
  <c r="D347" i="2"/>
  <c r="C347" i="2"/>
  <c r="D346" i="2"/>
  <c r="C346" i="2"/>
  <c r="D345" i="2"/>
  <c r="C345" i="2"/>
  <c r="D344" i="2"/>
  <c r="C344" i="2"/>
  <c r="D343" i="2"/>
  <c r="C343" i="2"/>
  <c r="D342" i="2"/>
  <c r="C342" i="2"/>
  <c r="D341" i="2"/>
  <c r="C341" i="2"/>
  <c r="D340" i="2"/>
  <c r="C340" i="2"/>
  <c r="D339" i="2"/>
  <c r="C339" i="2"/>
  <c r="D338" i="2"/>
  <c r="C338" i="2"/>
  <c r="D337" i="2"/>
  <c r="C337" i="2"/>
  <c r="D336" i="2"/>
  <c r="C336" i="2"/>
  <c r="D335" i="2"/>
  <c r="C335" i="2"/>
  <c r="D334" i="2"/>
  <c r="C334" i="2"/>
  <c r="D333" i="2"/>
  <c r="C333" i="2"/>
  <c r="D332" i="2"/>
  <c r="C332" i="2"/>
  <c r="D331" i="2"/>
  <c r="C331" i="2"/>
  <c r="D330" i="2"/>
  <c r="C330" i="2"/>
  <c r="D329" i="2"/>
  <c r="C329" i="2"/>
  <c r="D328" i="2"/>
  <c r="C328" i="2"/>
  <c r="D327" i="2"/>
  <c r="C327" i="2"/>
  <c r="D326" i="2"/>
  <c r="C326" i="2"/>
  <c r="D325" i="2"/>
  <c r="C325" i="2"/>
  <c r="D324" i="2"/>
  <c r="C324" i="2"/>
  <c r="D323" i="2"/>
  <c r="C323" i="2"/>
  <c r="D322" i="2"/>
  <c r="C322" i="2"/>
  <c r="D321" i="2"/>
  <c r="C321" i="2"/>
  <c r="D320" i="2"/>
  <c r="C320" i="2"/>
  <c r="D319" i="2"/>
  <c r="C319" i="2"/>
  <c r="D318" i="2"/>
  <c r="C318" i="2"/>
  <c r="D317" i="2"/>
  <c r="C317" i="2"/>
  <c r="D316" i="2"/>
  <c r="C316" i="2"/>
  <c r="D315" i="2"/>
  <c r="C315" i="2"/>
  <c r="D314" i="2"/>
  <c r="C314" i="2"/>
  <c r="D313" i="2"/>
  <c r="C313" i="2"/>
  <c r="D312" i="2"/>
  <c r="C312" i="2"/>
  <c r="D311" i="2"/>
  <c r="C311" i="2"/>
  <c r="D310" i="2"/>
  <c r="C310" i="2"/>
  <c r="D309" i="2"/>
  <c r="C309" i="2"/>
  <c r="D308" i="2"/>
  <c r="C308" i="2"/>
  <c r="D307" i="2"/>
  <c r="C307" i="2"/>
  <c r="D306" i="2"/>
  <c r="C306" i="2"/>
  <c r="D305" i="2"/>
  <c r="C305" i="2"/>
  <c r="D304" i="2"/>
  <c r="C304" i="2"/>
  <c r="D303" i="2"/>
  <c r="C303" i="2"/>
  <c r="D302" i="2"/>
  <c r="C302" i="2"/>
  <c r="D301" i="2"/>
  <c r="C301" i="2"/>
  <c r="D300" i="2"/>
  <c r="C300" i="2"/>
  <c r="D299" i="2"/>
  <c r="C299" i="2"/>
  <c r="D298" i="2"/>
  <c r="C298" i="2"/>
  <c r="D297" i="2"/>
  <c r="C297" i="2"/>
  <c r="D296" i="2"/>
  <c r="C296" i="2"/>
  <c r="D295" i="2"/>
  <c r="C295" i="2"/>
  <c r="D294" i="2"/>
  <c r="C294" i="2"/>
  <c r="D293" i="2"/>
  <c r="C293" i="2"/>
  <c r="D292" i="2"/>
  <c r="C292" i="2"/>
  <c r="D291" i="2"/>
  <c r="C291" i="2"/>
  <c r="D290" i="2"/>
  <c r="C290" i="2"/>
  <c r="D289" i="2"/>
  <c r="C289" i="2"/>
  <c r="D288" i="2"/>
  <c r="C288" i="2"/>
  <c r="D287" i="2"/>
  <c r="C287" i="2"/>
  <c r="D286" i="2"/>
  <c r="C286" i="2"/>
  <c r="D285" i="2"/>
  <c r="C285" i="2"/>
  <c r="D284" i="2"/>
  <c r="C284" i="2"/>
  <c r="D283" i="2"/>
  <c r="C283" i="2"/>
  <c r="D282" i="2"/>
  <c r="C282" i="2"/>
  <c r="D281" i="2"/>
  <c r="C281" i="2"/>
  <c r="D280" i="2"/>
  <c r="C280" i="2"/>
  <c r="D279" i="2"/>
  <c r="C279" i="2"/>
  <c r="D278" i="2"/>
  <c r="C278" i="2"/>
  <c r="D277" i="2"/>
  <c r="C277" i="2"/>
  <c r="D276" i="2"/>
  <c r="C276" i="2"/>
  <c r="D275" i="2"/>
  <c r="C275" i="2"/>
  <c r="D274" i="2"/>
  <c r="C274" i="2"/>
  <c r="D273" i="2"/>
  <c r="C273" i="2"/>
  <c r="D272" i="2"/>
  <c r="C272" i="2"/>
  <c r="D271" i="2"/>
  <c r="C271" i="2"/>
  <c r="D270" i="2"/>
  <c r="C270" i="2"/>
  <c r="D269" i="2"/>
  <c r="C269" i="2"/>
  <c r="D268" i="2"/>
  <c r="C268" i="2"/>
  <c r="D267" i="2"/>
  <c r="C267" i="2"/>
  <c r="D266" i="2"/>
  <c r="C266" i="2"/>
  <c r="D265" i="2"/>
  <c r="C265" i="2"/>
  <c r="D264" i="2"/>
  <c r="C264" i="2"/>
  <c r="D263" i="2"/>
  <c r="C263" i="2"/>
  <c r="D262" i="2"/>
  <c r="C262" i="2"/>
  <c r="D261" i="2"/>
  <c r="C261" i="2"/>
  <c r="D260" i="2"/>
  <c r="C260" i="2"/>
  <c r="D259" i="2"/>
  <c r="C259" i="2"/>
  <c r="D258" i="2"/>
  <c r="C258" i="2"/>
  <c r="D257" i="2"/>
  <c r="C257" i="2"/>
  <c r="D256" i="2"/>
  <c r="C256" i="2"/>
  <c r="D255" i="2"/>
  <c r="C255" i="2"/>
  <c r="D254" i="2"/>
  <c r="C254" i="2"/>
  <c r="D253" i="2"/>
  <c r="C253" i="2"/>
  <c r="D252" i="2"/>
  <c r="C252" i="2"/>
  <c r="D251" i="2"/>
  <c r="C251" i="2"/>
  <c r="D250" i="2"/>
  <c r="C250" i="2"/>
  <c r="D249" i="2"/>
  <c r="C249" i="2"/>
  <c r="D248" i="2"/>
  <c r="C248" i="2"/>
  <c r="D247" i="2"/>
  <c r="C247" i="2"/>
  <c r="D246" i="2"/>
  <c r="C246" i="2"/>
  <c r="D245" i="2"/>
  <c r="C245" i="2"/>
  <c r="D244" i="2"/>
  <c r="C244" i="2"/>
  <c r="D243" i="2"/>
  <c r="C243" i="2"/>
  <c r="D242" i="2"/>
  <c r="C242" i="2"/>
  <c r="D241" i="2"/>
  <c r="C241" i="2"/>
  <c r="D240" i="2"/>
  <c r="C240" i="2"/>
  <c r="D239" i="2"/>
  <c r="C239" i="2"/>
  <c r="D238" i="2"/>
  <c r="C238" i="2"/>
  <c r="D237" i="2"/>
  <c r="C237" i="2"/>
  <c r="D236" i="2"/>
  <c r="C236" i="2"/>
  <c r="D235" i="2"/>
  <c r="C235" i="2"/>
  <c r="D234" i="2"/>
  <c r="C234" i="2"/>
  <c r="D233" i="2"/>
  <c r="C233" i="2"/>
  <c r="D232" i="2"/>
  <c r="C232" i="2"/>
  <c r="D231" i="2"/>
  <c r="C231" i="2"/>
  <c r="D230" i="2"/>
  <c r="C230" i="2"/>
  <c r="D229" i="2"/>
  <c r="C229" i="2"/>
  <c r="D228" i="2"/>
  <c r="C228" i="2"/>
  <c r="D227" i="2"/>
  <c r="C227" i="2"/>
  <c r="D226" i="2"/>
  <c r="C226" i="2"/>
  <c r="D225" i="2"/>
  <c r="C225" i="2"/>
  <c r="D224" i="2"/>
  <c r="C224" i="2"/>
  <c r="D223" i="2"/>
  <c r="C223" i="2"/>
  <c r="D222" i="2"/>
  <c r="C222" i="2"/>
  <c r="D221" i="2"/>
  <c r="C221" i="2"/>
  <c r="D220" i="2"/>
  <c r="C220" i="2"/>
  <c r="D219" i="2"/>
  <c r="C219" i="2"/>
  <c r="D218" i="2"/>
  <c r="C218" i="2"/>
  <c r="D217" i="2"/>
  <c r="C217" i="2"/>
  <c r="D216" i="2"/>
  <c r="C216" i="2"/>
  <c r="D215" i="2"/>
  <c r="C215" i="2"/>
  <c r="D214" i="2"/>
  <c r="C214" i="2"/>
  <c r="D213" i="2"/>
  <c r="C213" i="2"/>
  <c r="D212" i="2"/>
  <c r="C212" i="2"/>
  <c r="D211" i="2"/>
  <c r="C211" i="2"/>
  <c r="D210" i="2"/>
  <c r="C210" i="2"/>
  <c r="D209" i="2"/>
  <c r="C209" i="2"/>
  <c r="D208" i="2"/>
  <c r="C208" i="2"/>
  <c r="D207" i="2"/>
  <c r="C207" i="2"/>
  <c r="D206" i="2"/>
  <c r="C206" i="2"/>
  <c r="D205" i="2"/>
  <c r="C205" i="2"/>
  <c r="D204" i="2"/>
  <c r="C204" i="2"/>
  <c r="D203" i="2"/>
  <c r="C203" i="2"/>
  <c r="D202" i="2"/>
  <c r="C202" i="2"/>
  <c r="D201" i="2"/>
  <c r="C201" i="2"/>
  <c r="D200" i="2"/>
  <c r="C200" i="2"/>
  <c r="D199" i="2"/>
  <c r="C199" i="2"/>
  <c r="D198" i="2"/>
  <c r="C198" i="2"/>
  <c r="D197" i="2"/>
  <c r="C197" i="2"/>
  <c r="D196" i="2"/>
  <c r="C196" i="2"/>
  <c r="D195" i="2"/>
  <c r="C195" i="2"/>
  <c r="D194" i="2"/>
  <c r="C194" i="2"/>
  <c r="D193" i="2"/>
  <c r="C193" i="2"/>
  <c r="D192" i="2"/>
  <c r="C192" i="2"/>
  <c r="D191" i="2"/>
  <c r="C191" i="2"/>
  <c r="D190" i="2"/>
  <c r="C190" i="2"/>
  <c r="D189" i="2"/>
  <c r="C189" i="2"/>
  <c r="D188" i="2"/>
  <c r="C188" i="2"/>
  <c r="D187" i="2"/>
  <c r="C187" i="2"/>
  <c r="D186" i="2"/>
  <c r="C186" i="2"/>
  <c r="D185" i="2"/>
  <c r="C185" i="2"/>
  <c r="D184" i="2"/>
  <c r="C184" i="2"/>
  <c r="D183" i="2"/>
  <c r="C183" i="2"/>
  <c r="D182" i="2"/>
  <c r="C182" i="2"/>
  <c r="D181" i="2"/>
  <c r="C181" i="2"/>
  <c r="D180" i="2"/>
  <c r="C180" i="2"/>
  <c r="D179" i="2"/>
  <c r="C179" i="2"/>
  <c r="D178" i="2"/>
  <c r="C178" i="2"/>
  <c r="D177" i="2"/>
  <c r="C177" i="2"/>
  <c r="D176" i="2"/>
  <c r="C176" i="2"/>
  <c r="D175" i="2"/>
  <c r="C175" i="2"/>
  <c r="D174" i="2"/>
  <c r="C174" i="2"/>
  <c r="D173" i="2"/>
  <c r="C173" i="2"/>
  <c r="D172" i="2"/>
  <c r="C172" i="2"/>
  <c r="D171" i="2"/>
  <c r="C171" i="2"/>
  <c r="D170" i="2"/>
  <c r="C170" i="2"/>
  <c r="D169" i="2"/>
  <c r="C169" i="2"/>
  <c r="D168" i="2"/>
  <c r="C168" i="2"/>
  <c r="D167" i="2"/>
  <c r="C167" i="2"/>
  <c r="D166" i="2"/>
  <c r="C166" i="2"/>
  <c r="D165" i="2"/>
  <c r="C165" i="2"/>
  <c r="D164" i="2"/>
  <c r="C164" i="2"/>
  <c r="D163" i="2"/>
  <c r="C163" i="2"/>
  <c r="D162" i="2"/>
  <c r="C162" i="2"/>
  <c r="D161" i="2"/>
  <c r="C161" i="2"/>
  <c r="D160" i="2"/>
  <c r="C160" i="2"/>
  <c r="D159" i="2"/>
  <c r="C159" i="2"/>
  <c r="D158" i="2"/>
  <c r="C158" i="2"/>
  <c r="D157" i="2"/>
  <c r="C157" i="2"/>
  <c r="D156" i="2"/>
  <c r="C156" i="2"/>
  <c r="D155" i="2"/>
  <c r="C155" i="2"/>
  <c r="D154" i="2"/>
  <c r="C154" i="2"/>
  <c r="D153" i="2"/>
  <c r="C153" i="2"/>
  <c r="D152" i="2"/>
  <c r="C152" i="2"/>
  <c r="D151" i="2"/>
  <c r="C151" i="2"/>
  <c r="D150" i="2"/>
  <c r="C150" i="2"/>
  <c r="D149" i="2"/>
  <c r="C149" i="2"/>
  <c r="D148" i="2"/>
  <c r="C148" i="2"/>
  <c r="D147" i="2"/>
  <c r="C147" i="2"/>
  <c r="D146" i="2"/>
  <c r="C146" i="2"/>
  <c r="D145" i="2"/>
  <c r="C145" i="2"/>
  <c r="D144" i="2"/>
  <c r="C144" i="2"/>
  <c r="D143" i="2"/>
  <c r="C143" i="2"/>
  <c r="D142" i="2"/>
  <c r="C142" i="2"/>
  <c r="D141" i="2"/>
  <c r="C141" i="2"/>
  <c r="D140" i="2"/>
  <c r="C140" i="2"/>
  <c r="D139" i="2"/>
  <c r="C139" i="2"/>
  <c r="D138" i="2"/>
  <c r="C138" i="2"/>
  <c r="D137" i="2"/>
  <c r="C137" i="2"/>
  <c r="D136" i="2"/>
  <c r="C136" i="2"/>
  <c r="D135" i="2"/>
  <c r="C135" i="2"/>
  <c r="D134" i="2"/>
  <c r="C134" i="2"/>
  <c r="D133" i="2"/>
  <c r="C133" i="2"/>
  <c r="D132" i="2"/>
  <c r="C132" i="2"/>
  <c r="D131" i="2"/>
  <c r="C131" i="2"/>
  <c r="D130" i="2"/>
  <c r="C130" i="2"/>
  <c r="D129" i="2"/>
  <c r="C129" i="2"/>
  <c r="D128" i="2"/>
  <c r="C128" i="2"/>
  <c r="D127" i="2"/>
  <c r="C127" i="2"/>
  <c r="D126" i="2"/>
  <c r="C126" i="2"/>
  <c r="D125" i="2"/>
  <c r="C125" i="2"/>
  <c r="D124" i="2"/>
  <c r="C124" i="2"/>
  <c r="D123" i="2"/>
  <c r="C123" i="2"/>
  <c r="D122" i="2"/>
  <c r="C122" i="2"/>
  <c r="D121" i="2"/>
  <c r="C121" i="2"/>
  <c r="D120" i="2"/>
  <c r="C120" i="2"/>
  <c r="D119" i="2"/>
  <c r="C119" i="2"/>
  <c r="D118" i="2"/>
  <c r="C118" i="2"/>
  <c r="D117" i="2"/>
  <c r="C117" i="2"/>
  <c r="D116" i="2"/>
  <c r="C116" i="2"/>
  <c r="D115" i="2"/>
  <c r="C115" i="2"/>
  <c r="D114" i="2"/>
  <c r="C114" i="2"/>
  <c r="D113" i="2"/>
  <c r="C113" i="2"/>
  <c r="D112" i="2"/>
  <c r="C112" i="2"/>
  <c r="D111" i="2"/>
  <c r="C111" i="2"/>
  <c r="D110" i="2"/>
  <c r="C110" i="2"/>
  <c r="D109" i="2"/>
  <c r="C109" i="2"/>
  <c r="D108" i="2"/>
  <c r="C108" i="2"/>
  <c r="D107" i="2"/>
  <c r="C107" i="2"/>
  <c r="D106" i="2"/>
  <c r="C106" i="2"/>
  <c r="D105" i="2"/>
  <c r="C105" i="2"/>
  <c r="D104" i="2"/>
  <c r="C104" i="2"/>
  <c r="D103" i="2"/>
  <c r="C103" i="2"/>
  <c r="D102" i="2"/>
  <c r="C102" i="2"/>
  <c r="D101" i="2"/>
  <c r="C101" i="2"/>
  <c r="D100" i="2"/>
  <c r="C100" i="2"/>
  <c r="D99" i="2"/>
  <c r="C99" i="2"/>
  <c r="D98" i="2"/>
  <c r="C98" i="2"/>
  <c r="D97" i="2"/>
  <c r="C97" i="2"/>
  <c r="D96" i="2"/>
  <c r="C96" i="2"/>
  <c r="D95" i="2"/>
  <c r="C95" i="2"/>
  <c r="D94" i="2"/>
  <c r="C94" i="2"/>
  <c r="D93" i="2"/>
  <c r="C93" i="2"/>
  <c r="D92" i="2"/>
  <c r="C92" i="2"/>
  <c r="D91" i="2"/>
  <c r="C91" i="2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A20965" i="1"/>
  <c r="A8142" i="1"/>
  <c r="A20591" i="1"/>
  <c r="A17909" i="1"/>
  <c r="A20566" i="1"/>
  <c r="A21557" i="1"/>
  <c r="A20020" i="1"/>
  <c r="A22054" i="1"/>
  <c r="A19485" i="1"/>
  <c r="A17477" i="1"/>
  <c r="A15062" i="1"/>
  <c r="A14064" i="1"/>
  <c r="A13489" i="1"/>
  <c r="A12052" i="1"/>
  <c r="A8858" i="1"/>
  <c r="A6930" i="1"/>
  <c r="A5071" i="1"/>
  <c r="A3701" i="1"/>
  <c r="A2442" i="1"/>
  <c r="A1727" i="1"/>
  <c r="A35935" i="1"/>
  <c r="A30029" i="1"/>
  <c r="A11152" i="1"/>
  <c r="A556" i="1"/>
  <c r="A16233" i="1"/>
  <c r="A6415" i="1"/>
  <c r="A20735" i="1"/>
  <c r="A34475" i="1"/>
  <c r="A32258" i="1"/>
  <c r="A5150" i="1"/>
  <c r="A5149" i="1"/>
  <c r="A5146" i="1"/>
  <c r="A18665" i="1"/>
  <c r="A39" i="1"/>
  <c r="A22767" i="1"/>
  <c r="A19261" i="1"/>
  <c r="A10599" i="1"/>
  <c r="A10749" i="1"/>
  <c r="A20176" i="1"/>
  <c r="A18969" i="1"/>
  <c r="A19618" i="1"/>
  <c r="A14440" i="1"/>
  <c r="A13763" i="1"/>
  <c r="A12911" i="1"/>
  <c r="A9303" i="1"/>
  <c r="A7386" i="1"/>
  <c r="A6730" i="1"/>
  <c r="A3865" i="1"/>
  <c r="A3070" i="1"/>
  <c r="A2175" i="1"/>
  <c r="A1675" i="1"/>
  <c r="A21515" i="1"/>
  <c r="A36656" i="1"/>
  <c r="A27442" i="1"/>
  <c r="A10017" i="1"/>
  <c r="A28129" i="1"/>
  <c r="A14009" i="1"/>
  <c r="A2594" i="1"/>
  <c r="A29904" i="1"/>
  <c r="A33538" i="1"/>
  <c r="A31762" i="1"/>
  <c r="A29786" i="1"/>
  <c r="A5148" i="1"/>
  <c r="A23374" i="1"/>
  <c r="A5143" i="1"/>
  <c r="A12945" i="1"/>
  <c r="A7356" i="1"/>
  <c r="A5141" i="1"/>
  <c r="A5139" i="1"/>
  <c r="A2662" i="1"/>
  <c r="A21293" i="1"/>
  <c r="A22206" i="1"/>
  <c r="A17618" i="1"/>
  <c r="A14395" i="1"/>
  <c r="A12062" i="1"/>
  <c r="A6932" i="1"/>
  <c r="A18955" i="1"/>
  <c r="A1891" i="1"/>
  <c r="A35943" i="1"/>
  <c r="A21076" i="1"/>
  <c r="A8166" i="1"/>
  <c r="A5151" i="1"/>
  <c r="A32015" i="1"/>
  <c r="A27570" i="1"/>
  <c r="A7371" i="1"/>
  <c r="A4465" i="1"/>
  <c r="A865" i="1"/>
  <c r="A23675" i="1"/>
  <c r="A31728" i="1"/>
  <c r="A22498" i="1"/>
  <c r="A18918" i="1"/>
  <c r="A13176" i="1"/>
  <c r="A10469" i="1"/>
  <c r="A9675" i="1"/>
  <c r="A3377" i="1"/>
  <c r="A21111" i="1"/>
  <c r="A14884" i="1"/>
  <c r="A10687" i="1"/>
  <c r="A4537" i="1"/>
  <c r="A3521" i="1"/>
  <c r="A1026" i="1"/>
  <c r="A4879" i="1"/>
  <c r="A20356" i="1"/>
  <c r="A14879" i="1"/>
  <c r="A10316" i="1"/>
  <c r="A705" i="1"/>
  <c r="A12489" i="1"/>
  <c r="A3736" i="1"/>
  <c r="A3046" i="1"/>
  <c r="A1879" i="1"/>
  <c r="A2267" i="1"/>
  <c r="A2322" i="1"/>
  <c r="A24555" i="1"/>
  <c r="A11805" i="1"/>
  <c r="A3724" i="1"/>
  <c r="A7076" i="1"/>
  <c r="A9025" i="1"/>
  <c r="A13095" i="1"/>
  <c r="A16245" i="1"/>
  <c r="A19011" i="1"/>
  <c r="A20892" i="1"/>
  <c r="A7034" i="1"/>
  <c r="A20766" i="1"/>
  <c r="A19468" i="1"/>
  <c r="A17915" i="1"/>
  <c r="A15692" i="1"/>
  <c r="A21105" i="1"/>
  <c r="A17303" i="1"/>
  <c r="A13779" i="1"/>
  <c r="A11428" i="1"/>
  <c r="A6818" i="1"/>
  <c r="A3322" i="1"/>
  <c r="A1481" i="1"/>
  <c r="A35871" i="1"/>
  <c r="A11088" i="1"/>
  <c r="A34019" i="1"/>
  <c r="A31960" i="1"/>
  <c r="A5147" i="1"/>
  <c r="A5145" i="1"/>
  <c r="A14459" i="1"/>
  <c r="A7370" i="1"/>
  <c r="A864" i="1"/>
  <c r="A6174" i="1"/>
  <c r="A13825" i="1"/>
  <c r="A5142" i="1"/>
  <c r="A4003" i="1"/>
  <c r="A11040" i="1"/>
  <c r="A20674" i="1"/>
  <c r="A27695" i="1"/>
  <c r="A22492" i="1"/>
  <c r="A17377" i="1"/>
  <c r="A13169" i="1"/>
  <c r="A10453" i="1"/>
  <c r="A5674" i="1"/>
  <c r="A2841" i="1"/>
  <c r="A3231" i="1"/>
  <c r="A28550" i="1"/>
  <c r="A18286" i="1"/>
  <c r="A15123" i="1"/>
  <c r="A8206" i="1"/>
  <c r="A4068" i="1"/>
  <c r="A1456" i="1"/>
  <c r="A916" i="1"/>
  <c r="A32387" i="1"/>
  <c r="A28549" i="1"/>
  <c r="A18924" i="1"/>
  <c r="A3660" i="1"/>
  <c r="A20250" i="1"/>
  <c r="A13437" i="1"/>
  <c r="A9746" i="1"/>
  <c r="A17058" i="1"/>
  <c r="A18971" i="1"/>
  <c r="A12150" i="1"/>
  <c r="A6842" i="1"/>
  <c r="A20058" i="1"/>
  <c r="A16148" i="1"/>
  <c r="A13733" i="1"/>
  <c r="A9071" i="1"/>
  <c r="A5393" i="1"/>
  <c r="A2855" i="1"/>
  <c r="A1420" i="1"/>
  <c r="A9174" i="1"/>
  <c r="A19727" i="1"/>
  <c r="A2427" i="1"/>
  <c r="A33182" i="1"/>
  <c r="A22588" i="1"/>
  <c r="A14070" i="1"/>
  <c r="A5916" i="1"/>
  <c r="A5138" i="1"/>
  <c r="A29380" i="1"/>
  <c r="A27680" i="1"/>
  <c r="A22004" i="1"/>
  <c r="A16558" i="1"/>
  <c r="A12877" i="1"/>
  <c r="A10344" i="1"/>
  <c r="A4927" i="1"/>
  <c r="A2827" i="1"/>
  <c r="A17969" i="1"/>
  <c r="A32412" i="1"/>
  <c r="A24605" i="1"/>
  <c r="A17968" i="1"/>
  <c r="A12883" i="1"/>
  <c r="A5549" i="1"/>
  <c r="A2918" i="1"/>
  <c r="A11845" i="1"/>
  <c r="A11451" i="1"/>
  <c r="A18817" i="1"/>
  <c r="A19665" i="1"/>
  <c r="A15374" i="1"/>
  <c r="A19554" i="1"/>
  <c r="A8994" i="1"/>
  <c r="A5094" i="1"/>
  <c r="A2522" i="1"/>
  <c r="A11686" i="1"/>
  <c r="A33718" i="1"/>
  <c r="A978" i="1"/>
  <c r="A22739" i="1"/>
  <c r="A32369" i="1"/>
  <c r="A30452" i="1"/>
  <c r="A27568" i="1"/>
  <c r="A18624" i="1"/>
  <c r="A12712" i="1"/>
  <c r="A2665" i="1"/>
  <c r="A21191" i="1"/>
  <c r="A14607" i="1"/>
  <c r="A11505" i="1"/>
  <c r="A10290" i="1"/>
  <c r="A4184" i="1"/>
  <c r="A415" i="1"/>
  <c r="A16331" i="1"/>
  <c r="A16762" i="1"/>
  <c r="A14179" i="1"/>
  <c r="A7769" i="1"/>
  <c r="A3930" i="1"/>
  <c r="A1033" i="1"/>
  <c r="A16243" i="1"/>
  <c r="A25086" i="1"/>
  <c r="A10623" i="1"/>
  <c r="A16329" i="1"/>
  <c r="A19320" i="1"/>
  <c r="A11827" i="1"/>
  <c r="A4410" i="1"/>
  <c r="A21707" i="1"/>
  <c r="A8722" i="1"/>
  <c r="A14858" i="1"/>
  <c r="A1953" i="1"/>
  <c r="A6170" i="1"/>
  <c r="A7912" i="1"/>
  <c r="A12054" i="1"/>
  <c r="A15045" i="1"/>
  <c r="A17154" i="1"/>
  <c r="A19944" i="1"/>
  <c r="A2946" i="1"/>
  <c r="A14601" i="1"/>
  <c r="A19085" i="1"/>
  <c r="A14531" i="1"/>
  <c r="A12913" i="1"/>
  <c r="A7681" i="1"/>
  <c r="A3975" i="1"/>
  <c r="A2440" i="1"/>
  <c r="A29992" i="1"/>
  <c r="A167" i="1"/>
  <c r="A14809" i="1"/>
  <c r="A13642" i="1"/>
  <c r="A32098" i="1"/>
  <c r="A26967" i="1"/>
  <c r="A5144" i="1"/>
  <c r="A5140" i="1"/>
  <c r="A2663" i="1"/>
  <c r="A10429" i="1"/>
  <c r="A29350" i="1"/>
  <c r="A21184" i="1"/>
  <c r="A13791" i="1"/>
  <c r="A10537" i="1"/>
  <c r="A10283" i="1"/>
  <c r="A4036" i="1"/>
  <c r="A12840" i="1"/>
  <c r="A17534" i="1"/>
  <c r="A11145" i="1"/>
  <c r="A5152" i="1"/>
  <c r="A23322" i="1"/>
  <c r="A21078" i="1"/>
  <c r="A13326" i="1"/>
  <c r="A10532" i="1"/>
  <c r="A10197" i="1"/>
  <c r="A3703" i="1"/>
  <c r="A12828" i="1"/>
  <c r="A16485" i="1"/>
  <c r="A12962" i="1"/>
  <c r="A4539" i="1"/>
  <c r="A1031" i="1"/>
  <c r="A8557" i="1"/>
  <c r="A24604" i="1"/>
  <c r="A15323" i="1"/>
  <c r="A10671" i="1"/>
  <c r="A4346" i="1"/>
  <c r="A16683" i="1"/>
  <c r="A6576" i="1"/>
  <c r="A15461" i="1"/>
  <c r="A19924" i="1"/>
  <c r="A19946" i="1"/>
  <c r="A2273" i="1"/>
  <c r="A6496" i="1"/>
  <c r="A8194" i="1"/>
  <c r="A12184" i="1"/>
  <c r="A8114" i="1"/>
  <c r="A13936" i="1"/>
  <c r="A3801" i="1"/>
  <c r="A23497" i="1"/>
  <c r="A34477" i="1"/>
  <c r="A26737" i="1"/>
  <c r="A13318" i="1"/>
  <c r="A3409" i="1"/>
  <c r="A29598" i="1"/>
  <c r="A16351" i="1"/>
  <c r="A4000" i="1"/>
  <c r="A7916" i="1"/>
  <c r="A4106" i="1"/>
  <c r="A15119" i="1"/>
  <c r="A22563" i="1"/>
  <c r="A7109" i="1"/>
  <c r="A5039" i="1"/>
  <c r="A13292" i="1"/>
  <c r="A3397" i="1"/>
  <c r="A13022" i="1"/>
  <c r="A1779" i="1"/>
  <c r="A21705" i="1"/>
  <c r="A19105" i="1"/>
  <c r="A9963" i="1"/>
  <c r="A14876" i="1"/>
  <c r="A19936" i="1"/>
  <c r="A1827" i="1"/>
  <c r="A10741" i="1"/>
  <c r="A16687" i="1"/>
  <c r="A9051" i="1"/>
  <c r="A19750" i="1"/>
  <c r="A19109" i="1"/>
  <c r="A22573" i="1"/>
  <c r="A6423" i="1"/>
  <c r="A11038" i="1"/>
  <c r="A14118" i="1"/>
  <c r="A1553" i="1"/>
  <c r="A7105" i="1"/>
  <c r="A7164" i="1"/>
  <c r="A7140" i="1"/>
  <c r="A19276" i="1"/>
  <c r="A1391" i="1"/>
  <c r="A1655" i="1"/>
  <c r="A1865" i="1"/>
  <c r="A3743" i="1"/>
  <c r="A4151" i="1"/>
  <c r="A5391" i="1"/>
  <c r="A7063" i="1"/>
  <c r="A7204" i="1"/>
  <c r="A8602" i="1"/>
  <c r="A9695" i="1"/>
  <c r="A9825" i="1"/>
  <c r="A10091" i="1"/>
  <c r="A10263" i="1"/>
  <c r="A10421" i="1"/>
  <c r="A10505" i="1"/>
  <c r="A11638" i="1"/>
  <c r="A12302" i="1"/>
  <c r="A11698" i="1"/>
  <c r="A13627" i="1"/>
  <c r="A2639" i="1"/>
  <c r="A6265" i="1"/>
  <c r="A33106" i="1"/>
  <c r="A19475" i="1"/>
  <c r="A975" i="1"/>
  <c r="A14878" i="1"/>
  <c r="A3663" i="1"/>
  <c r="A11881" i="1"/>
  <c r="A1103" i="1"/>
  <c r="A4163" i="1"/>
  <c r="A10594" i="1"/>
  <c r="A16200" i="1"/>
  <c r="A7174" i="1"/>
  <c r="A23020" i="1"/>
  <c r="A12491" i="1"/>
  <c r="A2157" i="1"/>
  <c r="A30189" i="1"/>
  <c r="A32016" i="1"/>
  <c r="A3005" i="1"/>
  <c r="A31828" i="1"/>
  <c r="A8210" i="1"/>
  <c r="A8990" i="1"/>
  <c r="A3730" i="1"/>
  <c r="A2667" i="1"/>
  <c r="A25181" i="1"/>
  <c r="A19450" i="1"/>
  <c r="A1785" i="1"/>
  <c r="A10677" i="1"/>
  <c r="A16178" i="1"/>
  <c r="A20016" i="1"/>
  <c r="A4209" i="1"/>
  <c r="A11660" i="1"/>
  <c r="A17630" i="1"/>
  <c r="A17112" i="1"/>
  <c r="A3991" i="1"/>
  <c r="A20227" i="1"/>
  <c r="A12300" i="1"/>
  <c r="A15376" i="1"/>
  <c r="A1659" i="1"/>
  <c r="A12188" i="1"/>
  <c r="A9770" i="1"/>
  <c r="A8380" i="1"/>
  <c r="A22470" i="1"/>
  <c r="A1393" i="1"/>
  <c r="A1735" i="1"/>
  <c r="A1873" i="1"/>
  <c r="A3849" i="1"/>
  <c r="A4289" i="1"/>
  <c r="A6494" i="1"/>
  <c r="A22472" i="1"/>
  <c r="A12227" i="1"/>
  <c r="A1975" i="1"/>
  <c r="A32017" i="1"/>
  <c r="A14521" i="1"/>
  <c r="A2428" i="1"/>
  <c r="A10499" i="1"/>
  <c r="A23708" i="1"/>
  <c r="A12836" i="1"/>
  <c r="A10498" i="1"/>
  <c r="A7074" i="1"/>
  <c r="A10695" i="1"/>
  <c r="A20240" i="1"/>
  <c r="A14519" i="1"/>
  <c r="A22512" i="1"/>
  <c r="A10485" i="1"/>
  <c r="A1035" i="1"/>
  <c r="A2161" i="1"/>
  <c r="A7918" i="1"/>
  <c r="A1829" i="1"/>
  <c r="A16323" i="1"/>
  <c r="A1837" i="1"/>
  <c r="A7208" i="1"/>
  <c r="A11534" i="1"/>
  <c r="A16498" i="1"/>
  <c r="A21870" i="1"/>
  <c r="A4307" i="1"/>
  <c r="A12287" i="1"/>
  <c r="A19914" i="1"/>
  <c r="A19845" i="1"/>
  <c r="A12132" i="1"/>
  <c r="A20524" i="1"/>
  <c r="A1811" i="1"/>
  <c r="A16541" i="1"/>
  <c r="A6490" i="1"/>
  <c r="A15215" i="1"/>
  <c r="A11596" i="1"/>
  <c r="A13342" i="1"/>
  <c r="A22785" i="1"/>
  <c r="A679" i="1"/>
  <c r="A1513" i="1"/>
  <c r="A1740" i="1"/>
  <c r="A2085" i="1"/>
  <c r="A3993" i="1"/>
  <c r="A4453" i="1"/>
  <c r="A6557" i="1"/>
  <c r="A7160" i="1"/>
  <c r="A7228" i="1"/>
  <c r="A9027" i="1"/>
  <c r="A9715" i="1"/>
  <c r="A9845" i="1"/>
  <c r="A10137" i="1"/>
  <c r="A10297" i="1"/>
  <c r="A10461" i="1"/>
  <c r="A10714" i="1"/>
  <c r="A1371" i="1"/>
  <c r="A20057" i="1"/>
  <c r="A9053" i="1"/>
  <c r="A368" i="1"/>
  <c r="A30554" i="1"/>
  <c r="A4551" i="1"/>
  <c r="A21751" i="1"/>
  <c r="A10319" i="1"/>
  <c r="A12830" i="1"/>
  <c r="A13005" i="1"/>
  <c r="A121" i="1"/>
  <c r="A21597" i="1"/>
  <c r="A12288" i="1"/>
  <c r="A20857" i="1"/>
  <c r="A4626" i="1"/>
  <c r="A22416" i="1"/>
  <c r="A18967" i="1"/>
  <c r="A7124" i="1"/>
  <c r="A13451" i="1"/>
  <c r="A11361" i="1"/>
  <c r="A8182" i="1"/>
  <c r="A1028" i="1"/>
  <c r="A6165" i="1"/>
  <c r="A1847" i="1"/>
  <c r="A36649" i="1"/>
  <c r="A8388" i="1"/>
  <c r="A1831" i="1"/>
  <c r="A7113" i="1"/>
  <c r="A16685" i="1"/>
  <c r="A5537" i="1"/>
  <c r="A7206" i="1"/>
  <c r="A11871" i="1"/>
  <c r="A17098" i="1"/>
  <c r="A22677" i="1"/>
  <c r="A12431" i="1"/>
  <c r="A4981" i="1"/>
  <c r="A13690" i="1"/>
  <c r="A20486" i="1"/>
  <c r="A21441" i="1"/>
  <c r="A13630" i="1"/>
  <c r="A7522" i="1"/>
  <c r="A20028" i="1"/>
  <c r="A6547" i="1"/>
  <c r="A15604" i="1"/>
  <c r="A11929" i="1"/>
  <c r="A1695" i="1"/>
  <c r="A13346" i="1"/>
  <c r="A31973" i="1"/>
  <c r="A681" i="1"/>
  <c r="A1540" i="1"/>
  <c r="A1797" i="1"/>
  <c r="A2261" i="1"/>
  <c r="A17090" i="1"/>
  <c r="A4584" i="1"/>
  <c r="A6662" i="1"/>
  <c r="A7170" i="1"/>
  <c r="A7436" i="1"/>
  <c r="A9031" i="1"/>
  <c r="A9734" i="1"/>
  <c r="A9857" i="1"/>
  <c r="A10196" i="1"/>
  <c r="A10327" i="1"/>
  <c r="A10465" i="1"/>
  <c r="A30516" i="1"/>
  <c r="A19157" i="1"/>
  <c r="A9703" i="1"/>
  <c r="A21381" i="1"/>
  <c r="A5619" i="1"/>
  <c r="A19902" i="1"/>
  <c r="A4345" i="1"/>
  <c r="A10043" i="1"/>
  <c r="A2326" i="1"/>
  <c r="A3331" i="1"/>
  <c r="A7212" i="1"/>
  <c r="A13225" i="1"/>
  <c r="A21218" i="1"/>
  <c r="A6311" i="1"/>
  <c r="A9391" i="1"/>
  <c r="A13401" i="1"/>
  <c r="A17120" i="1"/>
  <c r="A1399" i="1"/>
  <c r="A7052" i="1"/>
  <c r="A14760" i="1"/>
  <c r="A20522" i="1"/>
  <c r="A14025" i="1"/>
  <c r="A8744" i="1"/>
  <c r="A3825" i="1"/>
  <c r="A9023" i="1"/>
  <c r="A17068" i="1"/>
  <c r="A5043" i="1"/>
  <c r="A9943" i="1"/>
  <c r="A11669" i="1"/>
  <c r="A12051" i="1"/>
  <c r="A12501" i="1"/>
  <c r="A18726" i="1"/>
  <c r="A16187" i="1"/>
  <c r="A7528" i="1"/>
  <c r="A735" i="1"/>
  <c r="A7188" i="1"/>
  <c r="A9643" i="1"/>
  <c r="A10517" i="1"/>
  <c r="A12503" i="1"/>
  <c r="A13703" i="1"/>
  <c r="A14145" i="1"/>
  <c r="A15022" i="1"/>
  <c r="A15459" i="1"/>
  <c r="A16108" i="1"/>
  <c r="A16478" i="1"/>
  <c r="A17052" i="1"/>
  <c r="A17387" i="1"/>
  <c r="A18999" i="1"/>
  <c r="A19343" i="1"/>
  <c r="A19827" i="1"/>
  <c r="A20519" i="1"/>
  <c r="A21972" i="1"/>
  <c r="A22599" i="1"/>
  <c r="A5381" i="1"/>
  <c r="A8008" i="1"/>
  <c r="A13518" i="1"/>
  <c r="A17277" i="1"/>
  <c r="A34279" i="1"/>
  <c r="A24929" i="1"/>
  <c r="A7194" i="1"/>
  <c r="A3699" i="1"/>
  <c r="A5377" i="1"/>
  <c r="A7220" i="1"/>
  <c r="A9713" i="1"/>
  <c r="A10072" i="1"/>
  <c r="A10359" i="1"/>
  <c r="A11760" i="1"/>
  <c r="A12089" i="1"/>
  <c r="A9113" i="1"/>
  <c r="A2332" i="1"/>
  <c r="A13777" i="1"/>
  <c r="A10551" i="1"/>
  <c r="A11161" i="1"/>
  <c r="A12278" i="1"/>
  <c r="A12505" i="1"/>
  <c r="A13755" i="1"/>
  <c r="A14270" i="1"/>
  <c r="A15059" i="1"/>
  <c r="A15465" i="1"/>
  <c r="A16160" i="1"/>
  <c r="A16592" i="1"/>
  <c r="A17062" i="1"/>
  <c r="A17596" i="1"/>
  <c r="A19191" i="1"/>
  <c r="A19379" i="1"/>
  <c r="A19926" i="1"/>
  <c r="A20596" i="1"/>
  <c r="A22192" i="1"/>
  <c r="A22618" i="1"/>
  <c r="A13443" i="1"/>
  <c r="A30553" i="1"/>
  <c r="A16786" i="1"/>
  <c r="A18855" i="1"/>
  <c r="A7064" i="1"/>
  <c r="A1579" i="1"/>
  <c r="A3732" i="1"/>
  <c r="A10121" i="1"/>
  <c r="A10401" i="1"/>
  <c r="A11793" i="1"/>
  <c r="A46" i="1"/>
  <c r="A16868" i="1"/>
  <c r="A18997" i="1"/>
  <c r="A9961" i="1"/>
  <c r="A1557" i="1"/>
  <c r="A1541" i="1"/>
  <c r="A1741" i="1"/>
  <c r="A6800" i="1"/>
  <c r="A7897" i="1"/>
  <c r="A9765" i="1"/>
  <c r="A11507" i="1"/>
  <c r="A11875" i="1"/>
  <c r="A12280" i="1"/>
  <c r="A12507" i="1"/>
  <c r="A13909" i="1"/>
  <c r="A14417" i="1"/>
  <c r="A15182" i="1"/>
  <c r="A15667" i="1"/>
  <c r="A16198" i="1"/>
  <c r="A16663" i="1"/>
  <c r="A17140" i="1"/>
  <c r="A17640" i="1"/>
  <c r="A19196" i="1"/>
  <c r="A19407" i="1"/>
  <c r="A19938" i="1"/>
  <c r="A20881" i="1"/>
  <c r="A22510" i="1"/>
  <c r="A22626" i="1"/>
  <c r="A5759" i="1"/>
  <c r="A10247" i="1"/>
  <c r="A14479" i="1"/>
  <c r="A21070" i="1"/>
  <c r="A1995" i="1"/>
  <c r="A2073" i="1"/>
  <c r="A7198" i="1"/>
  <c r="A16572" i="1"/>
  <c r="A34476" i="1"/>
  <c r="A22400" i="1"/>
  <c r="A7101" i="1"/>
  <c r="A1615" i="1"/>
  <c r="A10443" i="1"/>
  <c r="A12509" i="1"/>
  <c r="A17829" i="1"/>
  <c r="A20230" i="1"/>
  <c r="A22444" i="1"/>
  <c r="A5051" i="1"/>
  <c r="A4024" i="1"/>
  <c r="A6924" i="1"/>
  <c r="A8384" i="1"/>
  <c r="A9821" i="1"/>
  <c r="A10225" i="1"/>
  <c r="A11546" i="1"/>
  <c r="A11879" i="1"/>
  <c r="A12282" i="1"/>
  <c r="A14076" i="1"/>
  <c r="A14611" i="1"/>
  <c r="A15214" i="1"/>
  <c r="A15665" i="1"/>
  <c r="A16213" i="1"/>
  <c r="A16667" i="1"/>
  <c r="A17142" i="1"/>
  <c r="A18024" i="1"/>
  <c r="A19227" i="1"/>
  <c r="A19440" i="1"/>
  <c r="A20252" i="1"/>
  <c r="A21040" i="1"/>
  <c r="A22517" i="1"/>
  <c r="A22635" i="1"/>
  <c r="A14393" i="1"/>
  <c r="A26780" i="1"/>
  <c r="A15026" i="1"/>
  <c r="A4671" i="1"/>
  <c r="A22194" i="1"/>
  <c r="A14082" i="1"/>
  <c r="A8374" i="1"/>
  <c r="A18269" i="1"/>
  <c r="A17132" i="1"/>
  <c r="A1801" i="1"/>
  <c r="A4038" i="1"/>
  <c r="A9829" i="1"/>
  <c r="A10233" i="1"/>
  <c r="A10479" i="1"/>
  <c r="A11650" i="1"/>
  <c r="A11939" i="1"/>
  <c r="A14080" i="1"/>
  <c r="A14664" i="1"/>
  <c r="A15407" i="1"/>
  <c r="A15814" i="1"/>
  <c r="A16223" i="1"/>
  <c r="A16671" i="1"/>
  <c r="A17146" i="1"/>
  <c r="A18153" i="1"/>
  <c r="A19250" i="1"/>
  <c r="A19626" i="1"/>
  <c r="A20290" i="1"/>
  <c r="A21268" i="1"/>
  <c r="A22521" i="1"/>
  <c r="A22692" i="1"/>
  <c r="A5173" i="1"/>
  <c r="A10267" i="1"/>
  <c r="A15433" i="1"/>
  <c r="A17220" i="1"/>
  <c r="A20292" i="1"/>
  <c r="A2075" i="1"/>
  <c r="A16062" i="1"/>
  <c r="A20256" i="1"/>
  <c r="A2100" i="1"/>
  <c r="A1763" i="1"/>
  <c r="A14886" i="1"/>
  <c r="A1581" i="1"/>
  <c r="A2063" i="1"/>
  <c r="A13611" i="1"/>
  <c r="A17686" i="1"/>
  <c r="A22933" i="1"/>
  <c r="A1759" i="1"/>
  <c r="A4987" i="1"/>
  <c r="A6826" i="1"/>
  <c r="A11785" i="1"/>
  <c r="A16189" i="1"/>
  <c r="A27569" i="1"/>
  <c r="A7158" i="1"/>
  <c r="A12543" i="1"/>
  <c r="A649" i="1"/>
  <c r="A11925" i="1"/>
  <c r="A16297" i="1"/>
  <c r="A7535" i="1"/>
  <c r="A13395" i="1"/>
  <c r="A2101" i="1"/>
  <c r="A16691" i="1"/>
  <c r="A20284" i="1"/>
  <c r="A7787" i="1"/>
  <c r="A1781" i="1"/>
  <c r="A17106" i="1"/>
  <c r="A1595" i="1"/>
  <c r="A3687" i="1"/>
  <c r="A14048" i="1"/>
  <c r="A18716" i="1"/>
  <c r="A2165" i="1"/>
  <c r="A5931" i="1"/>
  <c r="A5856" i="1"/>
  <c r="A7172" i="1"/>
  <c r="A10497" i="1"/>
  <c r="A13591" i="1"/>
  <c r="A15816" i="1"/>
  <c r="A18718" i="1"/>
  <c r="A21361" i="1"/>
  <c r="A4188" i="1"/>
  <c r="A12915" i="1"/>
  <c r="A20286" i="1"/>
  <c r="A15403" i="1"/>
  <c r="A8911" i="1"/>
  <c r="A5383" i="1"/>
  <c r="A13520" i="1"/>
  <c r="A1689" i="1"/>
  <c r="A6478" i="1"/>
  <c r="A17136" i="1"/>
  <c r="A20328" i="1"/>
  <c r="A7232" i="1"/>
  <c r="A19738" i="1"/>
  <c r="A2142" i="1"/>
  <c r="A17138" i="1"/>
  <c r="A1605" i="1"/>
  <c r="A6877" i="1"/>
  <c r="A14141" i="1"/>
  <c r="A19001" i="1"/>
  <c r="A703" i="1"/>
  <c r="A2345" i="1"/>
  <c r="A6317" i="1"/>
  <c r="A9774" i="1"/>
  <c r="A6434" i="1"/>
  <c r="A14721" i="1"/>
  <c r="A1997" i="1"/>
  <c r="A6549" i="1"/>
  <c r="A20902" i="1"/>
  <c r="A4283" i="1"/>
  <c r="A20180" i="1"/>
  <c r="A685" i="1"/>
  <c r="A9393" i="1"/>
  <c r="A11652" i="1"/>
  <c r="A14128" i="1"/>
  <c r="A16269" i="1"/>
  <c r="A19341" i="1"/>
  <c r="A22525" i="1"/>
  <c r="A6822" i="1"/>
  <c r="A17694" i="1"/>
  <c r="A21337" i="1"/>
  <c r="A11414" i="1"/>
  <c r="A7575" i="1"/>
  <c r="A17604" i="1"/>
  <c r="A1607" i="1"/>
  <c r="A9047" i="1"/>
  <c r="A14477" i="1"/>
  <c r="A19023" i="1"/>
  <c r="A1373" i="1"/>
  <c r="A3989" i="1"/>
  <c r="A6752" i="1"/>
  <c r="A8034" i="1"/>
  <c r="A15101" i="1"/>
  <c r="A17104" i="1"/>
  <c r="A19010" i="1"/>
  <c r="A20856" i="1"/>
  <c r="A1841" i="1"/>
  <c r="A3361" i="1"/>
  <c r="A6313" i="1"/>
  <c r="A9039" i="1"/>
  <c r="A11578" i="1"/>
  <c r="A14819" i="1"/>
  <c r="A17092" i="1"/>
  <c r="A17531" i="1"/>
  <c r="A19009" i="1"/>
  <c r="A20485" i="1"/>
  <c r="A22202" i="1"/>
  <c r="A6551" i="1"/>
  <c r="A14875" i="1"/>
  <c r="A1489" i="1"/>
  <c r="A8442" i="1"/>
  <c r="A17879" i="1"/>
  <c r="A22247" i="1"/>
  <c r="A12032" i="1"/>
  <c r="A18685" i="1"/>
  <c r="A21951" i="1"/>
  <c r="A13403" i="1"/>
  <c r="A20038" i="1"/>
  <c r="A1667" i="1"/>
  <c r="A12331" i="1"/>
  <c r="A14745" i="1"/>
  <c r="A19442" i="1"/>
  <c r="A1583" i="1"/>
  <c r="A4305" i="1"/>
  <c r="A6760" i="1"/>
  <c r="A8548" i="1"/>
  <c r="A15105" i="1"/>
  <c r="A17118" i="1"/>
  <c r="A20046" i="1"/>
  <c r="A21026" i="1"/>
  <c r="A15121" i="1"/>
  <c r="A1845" i="1"/>
  <c r="A16971" i="1"/>
  <c r="A14660" i="1"/>
  <c r="A1387" i="1"/>
  <c r="A7062" i="1"/>
  <c r="A13727" i="1"/>
  <c r="A17644" i="1"/>
  <c r="A22598" i="1"/>
  <c r="A5116" i="1"/>
  <c r="A1401" i="1"/>
  <c r="A3745" i="1"/>
  <c r="A7192" i="1"/>
  <c r="A12028" i="1"/>
  <c r="A15079" i="1"/>
  <c r="A17186" i="1"/>
  <c r="A21780" i="1"/>
  <c r="A11820" i="1"/>
  <c r="A1857" i="1"/>
  <c r="A1525" i="1"/>
  <c r="A7176" i="1"/>
  <c r="A11020" i="1"/>
  <c r="A12058" i="1"/>
  <c r="A16670" i="1"/>
  <c r="A19855" i="1"/>
  <c r="A1303" i="1"/>
  <c r="A2275" i="1"/>
  <c r="A7142" i="1"/>
  <c r="A11708" i="1"/>
  <c r="A15828" i="1"/>
  <c r="A19017" i="1"/>
  <c r="A22763" i="1"/>
  <c r="A11163" i="1"/>
  <c r="A1375" i="1"/>
  <c r="A1819" i="1"/>
  <c r="A4726" i="1"/>
  <c r="A20274" i="1"/>
  <c r="A2206" i="1"/>
  <c r="A11378" i="1"/>
  <c r="A17088" i="1"/>
  <c r="A20338" i="1"/>
  <c r="A7390" i="1"/>
  <c r="A17638" i="1"/>
  <c r="A15590" i="1"/>
  <c r="A1677" i="1"/>
  <c r="A3557" i="1"/>
  <c r="A7573" i="1"/>
  <c r="A11680" i="1"/>
  <c r="A13769" i="1"/>
  <c r="A17126" i="1"/>
  <c r="A17654" i="1"/>
  <c r="A20776" i="1"/>
  <c r="A22702" i="1"/>
  <c r="A1587" i="1"/>
  <c r="A4389" i="1"/>
  <c r="A12645" i="1"/>
  <c r="A15180" i="1"/>
  <c r="A21950" i="1"/>
  <c r="A13651" i="1"/>
  <c r="A15238" i="1"/>
  <c r="A1585" i="1"/>
  <c r="A8192" i="1"/>
  <c r="A11024" i="1"/>
  <c r="A12310" i="1"/>
  <c r="A17070" i="1"/>
  <c r="A19857" i="1"/>
  <c r="A1743" i="1"/>
  <c r="A4303" i="1"/>
  <c r="A7144" i="1"/>
  <c r="A11813" i="1"/>
  <c r="A16440" i="1"/>
  <c r="A19039" i="1"/>
  <c r="A22907" i="1"/>
  <c r="A1777" i="1"/>
  <c r="A13689" i="1"/>
  <c r="A1571" i="1"/>
  <c r="A19754" i="1"/>
  <c r="A6556" i="1"/>
  <c r="A1881" i="1"/>
  <c r="A20470" i="1"/>
  <c r="A1775" i="1"/>
  <c r="A8254" i="1"/>
  <c r="A14094" i="1"/>
  <c r="A17682" i="1"/>
  <c r="A22895" i="1"/>
  <c r="A1755" i="1"/>
  <c r="A4907" i="1"/>
  <c r="A9010" i="1"/>
  <c r="A13993" i="1"/>
  <c r="A15493" i="1"/>
  <c r="A17664" i="1"/>
  <c r="A22200" i="1"/>
  <c r="A9049" i="1"/>
  <c r="A1887" i="1"/>
  <c r="A13652" i="1"/>
  <c r="A12690" i="1"/>
  <c r="A6784" i="1"/>
  <c r="A17051" i="1"/>
  <c r="A20606" i="1"/>
  <c r="A3734" i="1"/>
  <c r="A11692" i="1"/>
  <c r="A17170" i="1"/>
  <c r="A20787" i="1"/>
  <c r="A5506" i="1"/>
  <c r="A16222" i="1"/>
  <c r="A18050" i="1"/>
  <c r="A16316" i="1"/>
  <c r="A1683" i="1"/>
  <c r="A8539" i="1"/>
  <c r="A11044" i="1"/>
  <c r="A12525" i="1"/>
  <c r="A17674" i="1"/>
  <c r="A21215" i="1"/>
  <c r="A2061" i="1"/>
  <c r="A4388" i="1"/>
  <c r="A8428" i="1"/>
  <c r="A12296" i="1"/>
  <c r="A16679" i="1"/>
  <c r="A19449" i="1"/>
  <c r="A1793" i="1"/>
  <c r="A973" i="1"/>
  <c r="A1703" i="1"/>
  <c r="A2255" i="1"/>
  <c r="A6790" i="1"/>
  <c r="A7238" i="1"/>
  <c r="A11797" i="1"/>
  <c r="A15425" i="1"/>
  <c r="A17620" i="1"/>
  <c r="A20156" i="1"/>
  <c r="A21601" i="1"/>
  <c r="A11073" i="1"/>
  <c r="A2071" i="1"/>
  <c r="A17102" i="1"/>
  <c r="A20783" i="1"/>
  <c r="A1791" i="1"/>
  <c r="A8923" i="1"/>
  <c r="A14117" i="1"/>
  <c r="A18168" i="1"/>
  <c r="A1809" i="1"/>
  <c r="A9055" i="1"/>
  <c r="A14124" i="1"/>
  <c r="A17688" i="1"/>
  <c r="A22595" i="1"/>
  <c r="A18893" i="1"/>
  <c r="A16121" i="1"/>
  <c r="A12709" i="1"/>
  <c r="A7222" i="1"/>
  <c r="A1849" i="1"/>
  <c r="A4304" i="1"/>
  <c r="A9151" i="1"/>
  <c r="A11724" i="1"/>
  <c r="A14856" i="1"/>
  <c r="A17174" i="1"/>
  <c r="A19426" i="1"/>
  <c r="A20789" i="1"/>
  <c r="A1813" i="1"/>
  <c r="A6572" i="1"/>
  <c r="A9181" i="1"/>
  <c r="A14187" i="1"/>
  <c r="A16399" i="1"/>
  <c r="A19137" i="1"/>
  <c r="A20214" i="1"/>
  <c r="A17207" i="1"/>
  <c r="A1795" i="1"/>
  <c r="A9237" i="1"/>
  <c r="A11637" i="1"/>
  <c r="A13455" i="1"/>
  <c r="A17690" i="1"/>
  <c r="A21226" i="1"/>
  <c r="A2069" i="1"/>
  <c r="A5543" i="1"/>
  <c r="A11104" i="1"/>
  <c r="A13720" i="1"/>
  <c r="A16957" i="1"/>
  <c r="A20027" i="1"/>
  <c r="A2093" i="1"/>
  <c r="A1370" i="1"/>
  <c r="A1749" i="1"/>
  <c r="A2312" i="1"/>
  <c r="A6792" i="1"/>
  <c r="A7384" i="1"/>
  <c r="A12330" i="1"/>
  <c r="A17046" i="1"/>
  <c r="A17696" i="1"/>
  <c r="A20350" i="1"/>
  <c r="A22198" i="1"/>
  <c r="A15917" i="1"/>
  <c r="A2138" i="1"/>
  <c r="A12290" i="1"/>
  <c r="A20188" i="1"/>
  <c r="A17194" i="1"/>
  <c r="A7404" i="1"/>
  <c r="A17164" i="1"/>
  <c r="A21224" i="1"/>
  <c r="A4670" i="1"/>
  <c r="A11789" i="1"/>
  <c r="A17180" i="1"/>
  <c r="A21365" i="1"/>
  <c r="A1817" i="1"/>
  <c r="A14652" i="1"/>
  <c r="A22691" i="1"/>
  <c r="A20526" i="1"/>
  <c r="A15987" i="1"/>
  <c r="A9183" i="1"/>
  <c r="A19406" i="1"/>
  <c r="A11648" i="1"/>
  <c r="A21321" i="1"/>
  <c r="A693" i="1"/>
  <c r="A11530" i="1"/>
  <c r="A20954" i="1"/>
  <c r="A1452" i="1"/>
  <c r="A1753" i="1"/>
  <c r="A1573" i="1"/>
  <c r="A2077" i="1"/>
  <c r="A4913" i="1"/>
  <c r="A7648" i="1"/>
  <c r="A11655" i="1"/>
  <c r="A14123" i="1"/>
  <c r="A15525" i="1"/>
  <c r="A16689" i="1"/>
  <c r="A17421" i="1"/>
  <c r="A19119" i="1"/>
  <c r="A20595" i="1"/>
  <c r="A22701" i="1"/>
  <c r="A12499" i="1"/>
  <c r="A14078" i="1"/>
  <c r="A21286" i="1"/>
  <c r="A6310" i="1"/>
  <c r="A21525" i="1"/>
  <c r="A11420" i="1"/>
  <c r="A20986" i="1"/>
  <c r="A5573" i="1"/>
  <c r="A8173" i="1"/>
  <c r="A17080" i="1"/>
  <c r="A20984" i="1"/>
  <c r="A1833" i="1"/>
  <c r="A18810" i="1"/>
  <c r="A14940" i="1"/>
  <c r="A19916" i="1"/>
  <c r="A22545" i="1"/>
  <c r="A6875" i="1"/>
  <c r="A16027" i="1"/>
  <c r="A22591" i="1"/>
  <c r="A1301" i="1"/>
  <c r="A11656" i="1"/>
  <c r="A21216" i="1"/>
  <c r="A1397" i="1"/>
  <c r="A11819" i="1"/>
  <c r="A22858" i="1"/>
  <c r="A1297" i="1"/>
  <c r="A11636" i="1"/>
  <c r="A21943" i="1"/>
  <c r="A1499" i="1"/>
  <c r="A1688" i="1"/>
  <c r="A2132" i="1"/>
  <c r="A6333" i="1"/>
  <c r="A8190" i="1"/>
  <c r="A11718" i="1"/>
  <c r="A14720" i="1"/>
  <c r="A15946" i="1"/>
  <c r="A17076" i="1"/>
  <c r="A17668" i="1"/>
  <c r="A19314" i="1"/>
  <c r="A20683" i="1"/>
  <c r="A22805" i="1"/>
  <c r="A20042" i="1"/>
  <c r="A1745" i="1"/>
  <c r="A22962" i="1"/>
  <c r="A16591" i="1"/>
  <c r="A6349" i="1"/>
  <c r="A9254" i="1"/>
  <c r="A17158" i="1"/>
  <c r="A21141" i="1"/>
  <c r="A3349" i="1"/>
  <c r="A19769" i="1"/>
  <c r="A9163" i="1"/>
  <c r="A22913" i="1"/>
  <c r="A1867" i="1"/>
  <c r="A14042" i="1"/>
  <c r="A2115" i="1"/>
  <c r="A13753" i="1"/>
  <c r="A7180" i="1"/>
  <c r="A1552" i="1"/>
  <c r="A6695" i="1"/>
  <c r="A10739" i="1"/>
  <c r="A17588" i="1"/>
  <c r="A21285" i="1"/>
  <c r="A166" i="1"/>
  <c r="A1693" i="1"/>
  <c r="A2137" i="1"/>
  <c r="A6762" i="1"/>
  <c r="A9153" i="1"/>
  <c r="A11738" i="1"/>
  <c r="A14798" i="1"/>
  <c r="A15986" i="1"/>
  <c r="A17116" i="1"/>
  <c r="A18149" i="1"/>
  <c r="A19532" i="1"/>
  <c r="A21998" i="1"/>
  <c r="A9969" i="1"/>
  <c r="A17188" i="1"/>
  <c r="A2062" i="1"/>
  <c r="A14985" i="1"/>
  <c r="A22771" i="1"/>
  <c r="A1754" i="1"/>
  <c r="A7051" i="1"/>
  <c r="A12488" i="1"/>
  <c r="A17885" i="1"/>
  <c r="A22343" i="1"/>
  <c r="A7242" i="1"/>
  <c r="A20062" i="1"/>
  <c r="A742" i="1"/>
  <c r="A9177" i="1"/>
  <c r="A17626" i="1"/>
  <c r="A10740" i="1"/>
  <c r="A6816" i="1"/>
  <c r="A15840" i="1"/>
  <c r="A2164" i="1"/>
  <c r="A13847" i="1"/>
  <c r="A7182" i="1"/>
  <c r="A725" i="1"/>
  <c r="A1734" i="1"/>
  <c r="A2793" i="1"/>
  <c r="A6832" i="1"/>
  <c r="A11052" i="1"/>
  <c r="A11803" i="1"/>
  <c r="A15125" i="1"/>
  <c r="A16142" i="1"/>
  <c r="A17160" i="1"/>
  <c r="A18806" i="1"/>
  <c r="A19560" i="1"/>
  <c r="A22013" i="1"/>
  <c r="A7038" i="1"/>
  <c r="A14246" i="1"/>
  <c r="A9390" i="1"/>
  <c r="A3742" i="1"/>
  <c r="A15016" i="1"/>
  <c r="A22901" i="1"/>
  <c r="A1789" i="1"/>
  <c r="A7150" i="1"/>
  <c r="A12864" i="1"/>
  <c r="A18026" i="1"/>
  <c r="A22438" i="1"/>
  <c r="A9149" i="1"/>
  <c r="A20216" i="1"/>
  <c r="A528" i="1"/>
  <c r="A1883" i="1"/>
  <c r="A19880" i="1"/>
  <c r="A7178" i="1"/>
  <c r="A16752" i="1"/>
  <c r="A21462" i="1"/>
  <c r="A9328" i="1"/>
  <c r="A19252" i="1"/>
  <c r="A6830" i="1"/>
  <c r="A17054" i="1"/>
  <c r="A1381" i="1"/>
  <c r="A1771" i="1"/>
  <c r="A3050" i="1"/>
  <c r="A7210" i="1"/>
  <c r="A11558" i="1"/>
  <c r="A11807" i="1"/>
  <c r="A15127" i="1"/>
  <c r="A16678" i="1"/>
  <c r="A17182" i="1"/>
  <c r="A19013" i="1"/>
  <c r="A20348" i="1"/>
  <c r="A22442" i="1"/>
  <c r="A2099" i="1"/>
  <c r="A20484" i="1"/>
  <c r="A1539" i="1"/>
  <c r="A1851" i="1"/>
  <c r="A4142" i="1"/>
  <c r="A11821" i="1"/>
  <c r="A1971" i="1"/>
  <c r="A22575" i="1"/>
  <c r="A18693" i="1"/>
  <c r="A1853" i="1"/>
  <c r="A18048" i="1"/>
  <c r="A2355" i="1"/>
  <c r="A7887" i="1"/>
  <c r="A18604" i="1"/>
  <c r="A1871" i="1"/>
  <c r="A9439" i="1"/>
  <c r="A18669" i="1"/>
  <c r="A1669" i="1"/>
  <c r="A7058" i="1"/>
  <c r="A17045" i="1"/>
  <c r="A14074" i="1"/>
  <c r="A22893" i="1"/>
  <c r="A5067" i="1"/>
  <c r="A11841" i="1"/>
  <c r="A19448" i="1"/>
  <c r="A12030" i="1"/>
  <c r="A18031" i="1"/>
  <c r="A2053" i="1"/>
  <c r="A8988" i="1"/>
  <c r="A12338" i="1"/>
  <c r="A16517" i="1"/>
  <c r="A1861" i="1"/>
  <c r="A7219" i="1"/>
  <c r="A10706" i="1"/>
  <c r="A12292" i="1"/>
  <c r="A15088" i="1"/>
  <c r="A17108" i="1"/>
  <c r="A20861" i="1"/>
  <c r="A5222" i="1"/>
  <c r="A20803" i="1"/>
  <c r="A1555" i="1"/>
  <c r="A18749" i="1"/>
  <c r="A5541" i="1"/>
  <c r="A8701" i="1"/>
  <c r="A19016" i="1"/>
  <c r="A7049" i="1"/>
  <c r="A660" i="1"/>
  <c r="A9994" i="1"/>
  <c r="A18681" i="1"/>
  <c r="A1681" i="1"/>
  <c r="A11874" i="1"/>
  <c r="A20036" i="1"/>
  <c r="A1593" i="1"/>
  <c r="A14739" i="1"/>
  <c r="A1517" i="1"/>
  <c r="A6871" i="1"/>
  <c r="A12588" i="1"/>
  <c r="A19840" i="1"/>
  <c r="A1855" i="1"/>
  <c r="A14860" i="1"/>
  <c r="A20226" i="1"/>
  <c r="A2159" i="1"/>
  <c r="A11012" i="1"/>
  <c r="A12344" i="1"/>
  <c r="A17343" i="1"/>
  <c r="A2284" i="1"/>
  <c r="A7244" i="1"/>
  <c r="A11050" i="1"/>
  <c r="A12495" i="1"/>
  <c r="A15113" i="1"/>
  <c r="A17166" i="1"/>
  <c r="A22706" i="1"/>
  <c r="A6617" i="1"/>
  <c r="A16253" i="1"/>
  <c r="A20168" i="1"/>
  <c r="A3363" i="1"/>
  <c r="A15836" i="1"/>
  <c r="A20515" i="1"/>
  <c r="A4622" i="1"/>
  <c r="A16408" i="1"/>
  <c r="A17422" i="1"/>
  <c r="A7184" i="1"/>
  <c r="A7186" i="1"/>
  <c r="A1863" i="1"/>
  <c r="A20904" i="1"/>
  <c r="A7068" i="1"/>
  <c r="A19029" i="1"/>
  <c r="A17639" i="1"/>
  <c r="A20037" i="1"/>
  <c r="A7214" i="1"/>
  <c r="A3671" i="1"/>
  <c r="A15398" i="1"/>
  <c r="A20530" i="1"/>
  <c r="A1589" i="1"/>
  <c r="A7567" i="1"/>
  <c r="A6563" i="1"/>
  <c r="A11056" i="1"/>
  <c r="A20645" i="1"/>
  <c r="A14491" i="1"/>
  <c r="A4136" i="1"/>
  <c r="A13899" i="1"/>
  <c r="A19256" i="1"/>
  <c r="A3326" i="1"/>
  <c r="A12124" i="1"/>
  <c r="A20084" i="1"/>
  <c r="A2669" i="1"/>
  <c r="A16596" i="1"/>
  <c r="A1559" i="1"/>
  <c r="A8427" i="1"/>
  <c r="A17692" i="1"/>
  <c r="A20681" i="1"/>
  <c r="A2966" i="1"/>
  <c r="A15048" i="1"/>
  <c r="A21949" i="1"/>
  <c r="A3728" i="1"/>
  <c r="A6973" i="1"/>
  <c r="A13815" i="1"/>
  <c r="A20425" i="1"/>
  <c r="A1389" i="1"/>
  <c r="A4489" i="1"/>
  <c r="A7914" i="1"/>
  <c r="A11606" i="1"/>
  <c r="A13621" i="1"/>
  <c r="A17658" i="1"/>
  <c r="A20218" i="1"/>
  <c r="A7190" i="1"/>
  <c r="A7389" i="1"/>
  <c r="A2111" i="1"/>
  <c r="A21024" i="1"/>
  <c r="A19136" i="1"/>
  <c r="A17114" i="1"/>
  <c r="A14139" i="1"/>
  <c r="A13719" i="1"/>
  <c r="A3669" i="1"/>
  <c r="A1719" i="1"/>
  <c r="A8424" i="1"/>
  <c r="A6574" i="1"/>
  <c r="A11809" i="1"/>
  <c r="A6113" i="1"/>
  <c r="A15842" i="1"/>
  <c r="A20014" i="1"/>
  <c r="A3691" i="1"/>
  <c r="A13650" i="1"/>
  <c r="A20805" i="1"/>
  <c r="A4679" i="1"/>
  <c r="A19027" i="1"/>
  <c r="A1570" i="1"/>
  <c r="A9955" i="1"/>
  <c r="A19133" i="1"/>
  <c r="A2133" i="1"/>
  <c r="A14864" i="1"/>
  <c r="A17289" i="1"/>
  <c r="A7226" i="1"/>
  <c r="A16681" i="1"/>
  <c r="A22630" i="1"/>
  <c r="A1723" i="1"/>
  <c r="A20330" i="1"/>
  <c r="A21161" i="1"/>
  <c r="A1889" i="1"/>
  <c r="A11016" i="1"/>
  <c r="A11046" i="1"/>
  <c r="A19950" i="1"/>
  <c r="A22673" i="1"/>
  <c r="A1385" i="1"/>
  <c r="A11560" i="1"/>
  <c r="A17199" i="1"/>
  <c r="A17587" i="1"/>
  <c r="A17650" i="1"/>
  <c r="A7534" i="1"/>
  <c r="A17184" i="1"/>
  <c r="A731" i="1"/>
  <c r="A8462" i="1"/>
  <c r="A17197" i="1"/>
  <c r="A1275" i="1"/>
  <c r="A13609" i="1"/>
  <c r="A18683" i="1"/>
  <c r="A7050" i="1"/>
  <c r="A4079" i="1"/>
  <c r="A7967" i="1"/>
  <c r="A15856" i="1"/>
  <c r="A15058" i="1"/>
  <c r="A19310" i="1"/>
  <c r="A18029" i="1"/>
  <c r="A14072" i="1"/>
  <c r="A10719" i="1"/>
  <c r="A16675" i="1"/>
  <c r="A6815" i="1"/>
  <c r="A15826" i="1"/>
  <c r="A19189" i="1"/>
  <c r="A6901" i="1"/>
  <c r="A6658" i="1"/>
  <c r="A11658" i="1"/>
  <c r="A8414" i="1"/>
  <c r="A1551" i="1"/>
  <c r="A2675" i="1"/>
  <c r="A17685" i="1"/>
  <c r="A12863" i="1"/>
  <c r="A1380" i="1"/>
  <c r="A4983" i="1"/>
  <c r="A7561" i="1"/>
  <c r="A11723" i="1"/>
  <c r="A17152" i="1"/>
  <c r="A21996" i="1"/>
  <c r="A1354" i="1"/>
  <c r="A1770" i="1"/>
  <c r="A1773" i="1"/>
  <c r="A3345" i="1"/>
  <c r="A5110" i="1"/>
  <c r="A5899" i="1"/>
  <c r="A6738" i="1"/>
  <c r="A9021" i="1"/>
  <c r="A11135" i="1"/>
  <c r="A12038" i="1"/>
  <c r="A13771" i="1"/>
  <c r="A14306" i="1"/>
  <c r="A15118" i="1"/>
  <c r="A15467" i="1"/>
  <c r="A16126" i="1"/>
  <c r="A16665" i="1"/>
  <c r="A17148" i="1"/>
  <c r="A19817" i="1"/>
  <c r="A20386" i="1"/>
  <c r="A7930" i="1"/>
  <c r="A17128" i="1"/>
  <c r="A4026" i="1"/>
  <c r="A13483" i="1"/>
  <c r="A17064" i="1"/>
  <c r="A22226" i="1"/>
  <c r="A18985" i="1"/>
  <c r="A16824" i="1"/>
  <c r="A4586" i="1"/>
  <c r="A4" i="1"/>
  <c r="A33116" i="1"/>
  <c r="A32797" i="1"/>
  <c r="A26962" i="1"/>
  <c r="A24474" i="1"/>
  <c r="A24173" i="1"/>
  <c r="A24003" i="1"/>
  <c r="A23957" i="1"/>
  <c r="A22232" i="1"/>
  <c r="A21016" i="1"/>
  <c r="A19520" i="1"/>
  <c r="A16707" i="1"/>
  <c r="A16893" i="1"/>
  <c r="A16378" i="1"/>
  <c r="A14635" i="1"/>
  <c r="A13930" i="1"/>
  <c r="A12196" i="1"/>
  <c r="A10786" i="1"/>
  <c r="A8396" i="1"/>
  <c r="A7639" i="1"/>
  <c r="A6940" i="1"/>
  <c r="A6387" i="1"/>
  <c r="A5265" i="1"/>
  <c r="A3819" i="1"/>
  <c r="A2516" i="1"/>
  <c r="A1113" i="1"/>
  <c r="A438" i="1"/>
  <c r="A144" i="1"/>
  <c r="A3237" i="1"/>
  <c r="A22891" i="1"/>
  <c r="A20544" i="1"/>
  <c r="A17642" i="1"/>
  <c r="A16661" i="1"/>
  <c r="A15812" i="1"/>
  <c r="A19948" i="1"/>
  <c r="A19447" i="1"/>
  <c r="A21941" i="1"/>
  <c r="A13550" i="1"/>
  <c r="A2098" i="1"/>
  <c r="A1869" i="1"/>
  <c r="A7162" i="1"/>
  <c r="A1799" i="1"/>
  <c r="A19254" i="1"/>
  <c r="A7152" i="1"/>
  <c r="A1613" i="1"/>
  <c r="A11028" i="1"/>
  <c r="A7202" i="1"/>
  <c r="A11791" i="1"/>
  <c r="A11426" i="1"/>
  <c r="A16424" i="1"/>
  <c r="A5255" i="1"/>
  <c r="A17702" i="1"/>
  <c r="A16516" i="1"/>
  <c r="A1565" i="1"/>
  <c r="A5066" i="1"/>
  <c r="A7566" i="1"/>
  <c r="A11877" i="1"/>
  <c r="A17606" i="1"/>
  <c r="A22056" i="1"/>
  <c r="A1507" i="1"/>
  <c r="A1885" i="1"/>
  <c r="A1897" i="1"/>
  <c r="A3726" i="1"/>
  <c r="A5114" i="1"/>
  <c r="A5941" i="1"/>
  <c r="A7067" i="1"/>
  <c r="A9395" i="1"/>
  <c r="A11443" i="1"/>
  <c r="A13173" i="1"/>
  <c r="A13861" i="1"/>
  <c r="A14310" i="1"/>
  <c r="A15351" i="1"/>
  <c r="A15469" i="1"/>
  <c r="A16139" i="1"/>
  <c r="A16674" i="1"/>
  <c r="A17201" i="1"/>
  <c r="A20086" i="1"/>
  <c r="A20517" i="1"/>
  <c r="A2127" i="1"/>
  <c r="A9029" i="1"/>
  <c r="A20643" i="1"/>
  <c r="A4273" i="1"/>
  <c r="A13536" i="1"/>
  <c r="A19003" i="1"/>
  <c r="A20849" i="1"/>
  <c r="A18928" i="1"/>
  <c r="A16823" i="1"/>
  <c r="A2304" i="1"/>
  <c r="A33127" i="1"/>
  <c r="A30203" i="1"/>
  <c r="A26521" i="1"/>
  <c r="A24630" i="1"/>
  <c r="A24021" i="1"/>
  <c r="A22184" i="1"/>
  <c r="A22210" i="1"/>
  <c r="A20361" i="1"/>
  <c r="A18863" i="1"/>
  <c r="A17321" i="1"/>
  <c r="A16883" i="1"/>
  <c r="A16164" i="1"/>
  <c r="A14634" i="1"/>
  <c r="A13823" i="1"/>
  <c r="A11863" i="1"/>
  <c r="A10611" i="1"/>
  <c r="A8186" i="1"/>
  <c r="A7625" i="1"/>
  <c r="A6897" i="1"/>
  <c r="A6385" i="1"/>
  <c r="A4745" i="1"/>
  <c r="A3513" i="1"/>
  <c r="A2466" i="1"/>
  <c r="A1091" i="1"/>
  <c r="A374" i="1"/>
  <c r="A138" i="1"/>
  <c r="A22356" i="1"/>
  <c r="A18945" i="1"/>
  <c r="A16730" i="1"/>
  <c r="A19923" i="1"/>
  <c r="A20853" i="1"/>
  <c r="A8085" i="1"/>
  <c r="A2314" i="1"/>
  <c r="A1933" i="1"/>
  <c r="A11051" i="1"/>
  <c r="A20859" i="1"/>
  <c r="A12229" i="1"/>
  <c r="A13548" i="1"/>
  <c r="A17508" i="1"/>
  <c r="A8423" i="1"/>
  <c r="A19008" i="1"/>
  <c r="A2171" i="1"/>
  <c r="A6405" i="1"/>
  <c r="A9232" i="1"/>
  <c r="A12306" i="1"/>
  <c r="A19934" i="1"/>
  <c r="A22795" i="1"/>
  <c r="A1509" i="1"/>
  <c r="A1803" i="1"/>
  <c r="A1965" i="1"/>
  <c r="A4493" i="1"/>
  <c r="A5375" i="1"/>
  <c r="A6488" i="1"/>
  <c r="A7148" i="1"/>
  <c r="A9954" i="1"/>
  <c r="A11528" i="1"/>
  <c r="A13175" i="1"/>
  <c r="A13905" i="1"/>
  <c r="A14314" i="1"/>
  <c r="A15419" i="1"/>
  <c r="A15471" i="1"/>
  <c r="A16259" i="1"/>
  <c r="A17110" i="1"/>
  <c r="A17652" i="1"/>
  <c r="A20088" i="1"/>
  <c r="A21104" i="1"/>
  <c r="A1569" i="1"/>
  <c r="A1821" i="1"/>
  <c r="A11437" i="1"/>
  <c r="A22789" i="1"/>
  <c r="A4302" i="1"/>
  <c r="A14501" i="1"/>
  <c r="A19313" i="1"/>
  <c r="A15626" i="1"/>
  <c r="A20813" i="1"/>
  <c r="A18852" i="1"/>
  <c r="A16744" i="1"/>
  <c r="A1454" i="1"/>
  <c r="A16432" i="1"/>
  <c r="A35013" i="1"/>
  <c r="A33465" i="1"/>
  <c r="A29825" i="1"/>
  <c r="A26509" i="1"/>
  <c r="A24632" i="1"/>
  <c r="A24164" i="1"/>
  <c r="A1434" i="1"/>
  <c r="A10707" i="1"/>
  <c r="A7047" i="1"/>
  <c r="A1739" i="1"/>
  <c r="A8697" i="1"/>
  <c r="A14381" i="1"/>
  <c r="A16545" i="1"/>
  <c r="A17660" i="1"/>
  <c r="A12050" i="1"/>
  <c r="A21025" i="1"/>
  <c r="A15940" i="1"/>
  <c r="A1787" i="1"/>
  <c r="A14419" i="1"/>
  <c r="A6017" i="1"/>
  <c r="A8175" i="1"/>
  <c r="A18725" i="1"/>
  <c r="A21364" i="1"/>
  <c r="A14122" i="1"/>
  <c r="A7046" i="1"/>
  <c r="A4190" i="1"/>
  <c r="A6873" i="1"/>
  <c r="A11595" i="1"/>
  <c r="A17150" i="1"/>
  <c r="A21058" i="1"/>
  <c r="A1729" i="1"/>
  <c r="A1825" i="1"/>
  <c r="A3115" i="1"/>
  <c r="A5106" i="1"/>
  <c r="A5877" i="1"/>
  <c r="A6553" i="1"/>
  <c r="A8885" i="1"/>
  <c r="A11043" i="1"/>
  <c r="A11869" i="1"/>
  <c r="A13739" i="1"/>
  <c r="A14106" i="1"/>
  <c r="A14774" i="1"/>
  <c r="A15463" i="1"/>
  <c r="A15852" i="1"/>
  <c r="A16599" i="1"/>
  <c r="A17130" i="1"/>
  <c r="A18602" i="1"/>
  <c r="A20212" i="1"/>
  <c r="A22230" i="1"/>
  <c r="A7056" i="1"/>
  <c r="A15206" i="1"/>
  <c r="A20534" i="1"/>
  <c r="A22292" i="1"/>
  <c r="A11740" i="1"/>
  <c r="A8695" i="1"/>
  <c r="A22469" i="1"/>
  <c r="A3419" i="1"/>
  <c r="A1807" i="1"/>
  <c r="A11866" i="1"/>
  <c r="A15473" i="1"/>
  <c r="A3335" i="1"/>
  <c r="A14794" i="1"/>
  <c r="A22325" i="1"/>
  <c r="A18282" i="1"/>
  <c r="A7288" i="1"/>
  <c r="A35757" i="1"/>
  <c r="A29857" i="1"/>
  <c r="A29579" i="1"/>
  <c r="A27148" i="1"/>
  <c r="A24014" i="1"/>
  <c r="A21529" i="1"/>
  <c r="A16585" i="1"/>
  <c r="A11520" i="1"/>
  <c r="A6744" i="1"/>
  <c r="A2404" i="1"/>
  <c r="A19853" i="1"/>
  <c r="A17172" i="1"/>
  <c r="A20948" i="1"/>
  <c r="A8658" i="1"/>
  <c r="A3741" i="1"/>
  <c r="A1823" i="1"/>
  <c r="A7200" i="1"/>
  <c r="A15678" i="1"/>
  <c r="A21734" i="1"/>
  <c r="A5220" i="1"/>
  <c r="A22391" i="1"/>
  <c r="A17002" i="1"/>
  <c r="A13099" i="1"/>
  <c r="A7577" i="1"/>
  <c r="A3225" i="1"/>
  <c r="A125" i="1"/>
  <c r="A5829" i="1"/>
  <c r="A21864" i="1"/>
  <c r="A21668" i="1"/>
  <c r="A20752" i="1"/>
  <c r="A20100" i="1"/>
  <c r="A19676" i="1"/>
  <c r="A18973" i="1"/>
  <c r="A18884" i="1"/>
  <c r="A18634" i="1"/>
  <c r="A17545" i="1"/>
  <c r="A16736" i="1"/>
  <c r="A11473" i="1"/>
  <c r="A7849" i="1"/>
  <c r="A6187" i="1"/>
  <c r="A4099" i="1"/>
  <c r="A3527" i="1"/>
  <c r="A234" i="1"/>
  <c r="A18170" i="1"/>
  <c r="A6092" i="1"/>
  <c r="A11967" i="1"/>
  <c r="A25106" i="1"/>
  <c r="A32275" i="1"/>
  <c r="A27640" i="1"/>
  <c r="A36016" i="1"/>
  <c r="A35077" i="1"/>
  <c r="A34367" i="1"/>
  <c r="A32018" i="1"/>
  <c r="A31710" i="1"/>
  <c r="A28006" i="1"/>
  <c r="A26339" i="1"/>
  <c r="A20192" i="1"/>
  <c r="A16519" i="1"/>
  <c r="A11853" i="1"/>
  <c r="A7944" i="1"/>
  <c r="A6421" i="1"/>
  <c r="A5281" i="1"/>
  <c r="A3785" i="1"/>
  <c r="A1099" i="1"/>
  <c r="A179" i="1"/>
  <c r="A36055" i="1"/>
  <c r="A35692" i="1"/>
  <c r="A34666" i="1"/>
  <c r="A33353" i="1"/>
  <c r="A31651" i="1"/>
  <c r="A29750" i="1"/>
  <c r="A29324" i="1"/>
  <c r="A29131" i="1"/>
  <c r="A27500" i="1"/>
  <c r="A24491" i="1"/>
  <c r="A21790" i="1"/>
  <c r="A20974" i="1"/>
  <c r="A18887" i="1"/>
  <c r="A17319" i="1"/>
  <c r="A15032" i="1"/>
  <c r="A9978" i="1"/>
  <c r="A8896" i="1"/>
  <c r="A7982" i="1"/>
  <c r="A7691" i="1"/>
  <c r="A6427" i="1"/>
  <c r="A5444" i="1"/>
  <c r="A1545" i="1"/>
  <c r="A7099" i="1"/>
  <c r="A15792" i="1"/>
  <c r="A20048" i="1"/>
  <c r="A5251" i="1"/>
  <c r="A8234" i="1"/>
  <c r="A12049" i="1"/>
  <c r="A7236" i="1"/>
  <c r="A14316" i="1"/>
  <c r="A22196" i="1"/>
  <c r="A3019" i="1"/>
  <c r="A15824" i="1"/>
  <c r="A17897" i="1"/>
  <c r="A31315" i="1"/>
  <c r="A26213" i="1"/>
  <c r="A21097" i="1"/>
  <c r="A18610" i="1"/>
  <c r="A16540" i="1"/>
  <c r="A13072" i="1"/>
  <c r="A11503" i="1"/>
  <c r="A8180" i="1"/>
  <c r="A6559" i="1"/>
  <c r="A4604" i="1"/>
  <c r="A2399" i="1"/>
  <c r="A284" i="1"/>
  <c r="A18484" i="1"/>
  <c r="A17057" i="1"/>
  <c r="A456" i="1"/>
  <c r="A19930" i="1"/>
  <c r="A9041" i="1"/>
  <c r="A11022" i="1"/>
  <c r="A13829" i="1"/>
  <c r="A5644" i="1"/>
  <c r="A14737" i="1"/>
  <c r="A17980" i="1"/>
  <c r="A22311" i="1"/>
  <c r="A16929" i="1"/>
  <c r="A14427" i="1"/>
  <c r="A7555" i="1"/>
  <c r="A2655" i="1"/>
  <c r="A92" i="1"/>
  <c r="A4917" i="1"/>
  <c r="A22755" i="1"/>
  <c r="A21862" i="1"/>
  <c r="A4309" i="1"/>
  <c r="A21461" i="1"/>
  <c r="A1647" i="1"/>
  <c r="A3693" i="1"/>
  <c r="A6685" i="1"/>
  <c r="A1985" i="1"/>
  <c r="A13735" i="1"/>
  <c r="A16466" i="1"/>
  <c r="A11764" i="1"/>
  <c r="A4953" i="1"/>
  <c r="A22234" i="1"/>
  <c r="A20236" i="1"/>
  <c r="A16915" i="1"/>
  <c r="A15848" i="1"/>
  <c r="A12682" i="1"/>
  <c r="A9344" i="1"/>
  <c r="A7478" i="1"/>
  <c r="A6379" i="1"/>
  <c r="A2397" i="1"/>
  <c r="A941" i="1"/>
  <c r="A43" i="1"/>
  <c r="A22302" i="1"/>
  <c r="A22319" i="1"/>
  <c r="A21856" i="1"/>
  <c r="A21574" i="1"/>
  <c r="A20578" i="1"/>
  <c r="A19746" i="1"/>
  <c r="A19671" i="1"/>
  <c r="A18957" i="1"/>
  <c r="A18799" i="1"/>
  <c r="A18284" i="1"/>
  <c r="A17313" i="1"/>
  <c r="A16704" i="1"/>
  <c r="A8812" i="1"/>
  <c r="A7454" i="1"/>
  <c r="A5667" i="1"/>
  <c r="A3625" i="1"/>
  <c r="A2891" i="1"/>
  <c r="A5736" i="1"/>
  <c r="A802" i="1"/>
  <c r="A19506" i="1"/>
  <c r="A9926" i="1"/>
  <c r="A6613" i="1"/>
  <c r="A33852" i="1"/>
  <c r="A35804" i="1"/>
  <c r="A33871" i="1"/>
  <c r="A31652" i="1"/>
  <c r="A26165" i="1"/>
  <c r="A24779" i="1"/>
  <c r="A18910" i="1"/>
  <c r="A16194" i="1"/>
  <c r="A10575" i="1"/>
  <c r="A7730" i="1"/>
  <c r="A5610" i="1"/>
  <c r="A4749" i="1"/>
  <c r="A3600" i="1"/>
  <c r="A24186" i="1"/>
  <c r="A36200" i="1"/>
  <c r="A34321" i="1"/>
  <c r="A33093" i="1"/>
  <c r="A30511" i="1"/>
  <c r="A29300" i="1"/>
  <c r="A28284" i="1"/>
  <c r="A25467" i="1"/>
  <c r="A25088" i="1"/>
  <c r="A24470" i="1"/>
  <c r="A21607" i="1"/>
  <c r="A20238" i="1"/>
  <c r="A18667" i="1"/>
  <c r="A16550" i="1"/>
  <c r="A14869" i="1"/>
  <c r="A9350" i="1"/>
  <c r="A8798" i="1"/>
  <c r="A7928" i="1"/>
  <c r="A7472" i="1"/>
  <c r="A7048" i="1"/>
  <c r="A1680" i="1"/>
  <c r="A12705" i="1"/>
  <c r="A6808" i="1"/>
  <c r="A3048" i="1"/>
  <c r="A10483" i="1"/>
  <c r="A16574" i="1"/>
  <c r="A14318" i="1"/>
  <c r="A20548" i="1"/>
  <c r="A16879" i="1"/>
  <c r="A24089" i="1"/>
  <c r="A23748" i="1"/>
  <c r="A17786" i="1"/>
  <c r="A13938" i="1"/>
  <c r="A6315" i="1"/>
  <c r="A4213" i="1"/>
  <c r="A246" i="1"/>
  <c r="A18203" i="1"/>
  <c r="A15825" i="1"/>
  <c r="A14662" i="1"/>
  <c r="A14144" i="1"/>
  <c r="A20532" i="1"/>
  <c r="A1515" i="1"/>
  <c r="A6492" i="1"/>
  <c r="A15458" i="1"/>
  <c r="A20090" i="1"/>
  <c r="A20035" i="1"/>
  <c r="A19716" i="1"/>
  <c r="A15600" i="1"/>
  <c r="A601" i="1"/>
  <c r="A34969" i="1"/>
  <c r="A24668" i="1"/>
  <c r="A24253" i="1"/>
  <c r="A24062" i="1"/>
  <c r="A22174" i="1"/>
  <c r="A17434" i="1"/>
  <c r="A16872" i="1"/>
  <c r="A13932" i="1"/>
  <c r="A11714" i="1"/>
  <c r="A7678" i="1"/>
  <c r="A6891" i="1"/>
  <c r="A4161" i="1"/>
  <c r="A2518" i="1"/>
  <c r="A196" i="1"/>
  <c r="A18164" i="1"/>
  <c r="A19117" i="1"/>
  <c r="A20166" i="1"/>
  <c r="A17586" i="1"/>
  <c r="A6971" i="1"/>
  <c r="A5041" i="1"/>
  <c r="A11795" i="1"/>
  <c r="A17124" i="1"/>
  <c r="A22425" i="1"/>
  <c r="A19580" i="1"/>
  <c r="A17038" i="1"/>
  <c r="A14692" i="1"/>
  <c r="A13387" i="1"/>
  <c r="A8546" i="1"/>
  <c r="A7595" i="1"/>
  <c r="A6009" i="1"/>
  <c r="A3235" i="1"/>
  <c r="A605" i="1"/>
  <c r="A127" i="1"/>
  <c r="A20714" i="1"/>
  <c r="A7353" i="1"/>
  <c r="A21905" i="1"/>
  <c r="A13411" i="1"/>
  <c r="A7107" i="1"/>
  <c r="A15832" i="1"/>
  <c r="A17603" i="1"/>
  <c r="A14001" i="1"/>
  <c r="A20092" i="1"/>
  <c r="A21948" i="1"/>
  <c r="A20546" i="1"/>
  <c r="A18636" i="1"/>
  <c r="A7963" i="1"/>
  <c r="A452" i="1"/>
  <c r="A4052" i="1"/>
  <c r="A33355" i="1"/>
  <c r="A26462" i="1"/>
  <c r="A21543" i="1"/>
  <c r="A6437" i="1"/>
  <c r="A324" i="1"/>
  <c r="A34856" i="1"/>
  <c r="A32705" i="1"/>
  <c r="A29835" i="1"/>
  <c r="A28324" i="1"/>
  <c r="A25072" i="1"/>
  <c r="A16042" i="1"/>
  <c r="A7760" i="1"/>
  <c r="A11787" i="1"/>
  <c r="A16349" i="1"/>
  <c r="A17628" i="1"/>
  <c r="A4832" i="1"/>
  <c r="A14104" i="1"/>
  <c r="A15475" i="1"/>
  <c r="A21674" i="1"/>
  <c r="A20538" i="1"/>
  <c r="A18951" i="1"/>
  <c r="A13214" i="1"/>
  <c r="A3616" i="1"/>
  <c r="A6104" i="1"/>
  <c r="A34320" i="1"/>
  <c r="A30662" i="1"/>
  <c r="A27620" i="1"/>
  <c r="A24482" i="1"/>
  <c r="A9361" i="1"/>
  <c r="A3438" i="1"/>
  <c r="A30286" i="1"/>
  <c r="A25419" i="1"/>
  <c r="A17703" i="1"/>
  <c r="A8777" i="1"/>
  <c r="A5990" i="1"/>
  <c r="A4102" i="1"/>
  <c r="A938" i="1"/>
  <c r="A658" i="1"/>
  <c r="A20154" i="1"/>
  <c r="A15927" i="1"/>
  <c r="A20288" i="1"/>
  <c r="A17875" i="1"/>
  <c r="A6076" i="1"/>
  <c r="A15909" i="1"/>
  <c r="A30261" i="1"/>
  <c r="A19099" i="1"/>
  <c r="A15303" i="1"/>
  <c r="A699" i="1"/>
  <c r="A22681" i="1"/>
  <c r="A18322" i="1"/>
  <c r="A18255" i="1"/>
  <c r="A17234" i="1"/>
  <c r="A14970" i="1"/>
  <c r="A14509" i="1"/>
  <c r="A14463" i="1"/>
  <c r="A13568" i="1"/>
  <c r="A11148" i="1"/>
  <c r="A10565" i="1"/>
  <c r="A7867" i="1"/>
  <c r="A6444" i="1"/>
  <c r="A5200" i="1"/>
  <c r="A3539" i="1"/>
  <c r="A1487" i="1"/>
  <c r="A21917" i="1"/>
  <c r="A14444" i="1"/>
  <c r="A10271" i="1"/>
  <c r="A6071" i="1"/>
  <c r="A4440" i="1"/>
  <c r="A34799" i="1"/>
  <c r="A24033" i="1"/>
  <c r="A7270" i="1"/>
  <c r="A20539" i="1"/>
  <c r="A15556" i="1"/>
  <c r="A22719" i="1"/>
  <c r="A36663" i="1"/>
  <c r="A35882" i="1"/>
  <c r="A30297" i="1"/>
  <c r="A25720" i="1"/>
  <c r="A22166" i="1"/>
  <c r="A13018" i="1"/>
  <c r="A17162" i="1"/>
  <c r="A7615" i="1"/>
  <c r="A5872" i="1"/>
  <c r="A647" i="1"/>
  <c r="A13" i="1"/>
  <c r="A24138" i="1"/>
  <c r="A21633" i="1"/>
  <c r="A19667" i="1"/>
  <c r="A18630" i="1"/>
  <c r="A16830" i="1"/>
  <c r="A7771" i="1"/>
  <c r="A4925" i="1"/>
  <c r="A6084" i="1"/>
  <c r="A21194" i="1"/>
  <c r="A9169" i="1"/>
  <c r="A20200" i="1"/>
  <c r="A31840" i="1"/>
  <c r="A26318" i="1"/>
  <c r="A19912" i="1"/>
  <c r="A16172" i="1"/>
  <c r="A5611" i="1"/>
  <c r="A4531" i="1"/>
  <c r="A119" i="1"/>
  <c r="A34656" i="1"/>
  <c r="A32396" i="1"/>
  <c r="A31621" i="1"/>
  <c r="A27029" i="1"/>
  <c r="A24836" i="1"/>
  <c r="A8779" i="1"/>
  <c r="A21616" i="1"/>
  <c r="A20012" i="1"/>
  <c r="A14955" i="1"/>
  <c r="A9349" i="1"/>
  <c r="A7689" i="1"/>
  <c r="A15455" i="1"/>
  <c r="A20103" i="1"/>
  <c r="A18947" i="1"/>
  <c r="A11475" i="1"/>
  <c r="A3610" i="1"/>
  <c r="A6096" i="1"/>
  <c r="A31983" i="1"/>
  <c r="A30539" i="1"/>
  <c r="A27615" i="1"/>
  <c r="A24409" i="1"/>
  <c r="A9013" i="1"/>
  <c r="A3006" i="1"/>
  <c r="A35800" i="1"/>
  <c r="A25417" i="1"/>
  <c r="A17478" i="1"/>
  <c r="A8659" i="1"/>
  <c r="A5639" i="1"/>
  <c r="A4054" i="1"/>
  <c r="A3337" i="1"/>
  <c r="A16788" i="1"/>
  <c r="A20488" i="1"/>
  <c r="A20264" i="1"/>
  <c r="A28505" i="1"/>
  <c r="A8650" i="1"/>
  <c r="A6033" i="1"/>
  <c r="A518" i="1"/>
  <c r="A20865" i="1"/>
  <c r="A12839" i="1"/>
  <c r="A22639" i="1"/>
  <c r="A18320" i="1"/>
  <c r="A18217" i="1"/>
  <c r="A17244" i="1"/>
  <c r="A14942" i="1"/>
  <c r="A14499" i="1"/>
  <c r="A14469" i="1"/>
  <c r="A13546" i="1"/>
  <c r="A11363" i="1"/>
  <c r="A9426" i="1"/>
  <c r="A8124" i="1"/>
  <c r="A6069" i="1"/>
  <c r="A5198" i="1"/>
  <c r="A2235" i="1"/>
  <c r="A1095" i="1"/>
  <c r="A18312" i="1"/>
  <c r="A13566" i="1"/>
  <c r="A10139" i="1"/>
  <c r="A5204" i="1"/>
  <c r="A14497" i="1"/>
  <c r="A22628" i="1"/>
  <c r="A5517" i="1"/>
  <c r="A23736" i="1"/>
  <c r="A19470" i="1"/>
  <c r="A11106" i="1"/>
  <c r="A21235" i="1"/>
  <c r="A35985" i="1"/>
  <c r="A36650" i="1"/>
  <c r="A30293" i="1"/>
  <c r="A25441" i="1"/>
  <c r="A21466" i="1"/>
  <c r="A9283" i="1"/>
  <c r="A7252" i="1"/>
  <c r="A5947" i="1"/>
  <c r="A6502" i="1"/>
  <c r="A19968" i="1"/>
  <c r="A19163" i="1"/>
  <c r="A16826" i="1"/>
  <c r="A4165" i="1"/>
  <c r="A22315" i="1"/>
  <c r="A4104" i="1"/>
  <c r="A35135" i="1"/>
  <c r="A31755" i="1"/>
  <c r="A16045" i="1"/>
  <c r="A4455" i="1"/>
  <c r="A31024" i="1"/>
  <c r="A29268" i="1"/>
  <c r="A24408" i="1"/>
  <c r="A19956" i="1"/>
  <c r="A8965" i="1"/>
  <c r="A7789" i="1"/>
  <c r="A16426" i="1"/>
  <c r="A17672" i="1"/>
  <c r="A9959" i="1"/>
  <c r="A22824" i="1"/>
  <c r="A21690" i="1"/>
  <c r="A16604" i="1"/>
  <c r="A11552" i="1"/>
  <c r="A6862" i="1"/>
  <c r="A2464" i="1"/>
  <c r="A20234" i="1"/>
  <c r="A22241" i="1"/>
  <c r="A21164" i="1"/>
  <c r="A18876" i="1"/>
  <c r="A18199" i="1"/>
  <c r="A10603" i="1"/>
  <c r="A7398" i="1"/>
  <c r="A3517" i="1"/>
  <c r="A663" i="1"/>
  <c r="A15213" i="1"/>
  <c r="A33357" i="1"/>
  <c r="A36252" i="1"/>
  <c r="A34106" i="1"/>
  <c r="A29594" i="1"/>
  <c r="A26164" i="1"/>
  <c r="A18670" i="1"/>
  <c r="A7817" i="1"/>
  <c r="A5445" i="1"/>
  <c r="A1093" i="1"/>
  <c r="A34224" i="1"/>
  <c r="A29466" i="1"/>
  <c r="A28047" i="1"/>
  <c r="A25096" i="1"/>
  <c r="A21471" i="1"/>
  <c r="A16758" i="1"/>
  <c r="A13958" i="1"/>
  <c r="A7948" i="1"/>
  <c r="A7426" i="1"/>
  <c r="A5589" i="1"/>
  <c r="A9907" i="1"/>
  <c r="A3261" i="1"/>
  <c r="A836" i="1"/>
  <c r="A19501" i="1"/>
  <c r="A20458" i="1"/>
  <c r="A18959" i="1"/>
  <c r="A24843" i="1"/>
  <c r="A7674" i="1"/>
  <c r="A5165" i="1"/>
  <c r="A9191" i="1"/>
  <c r="A24238" i="1"/>
  <c r="A3111" i="1"/>
  <c r="A22826" i="1"/>
  <c r="A23873" i="1"/>
  <c r="A4028" i="1"/>
  <c r="A22551" i="1"/>
  <c r="A18318" i="1"/>
  <c r="A18114" i="1"/>
  <c r="A18895" i="1"/>
  <c r="A14533" i="1"/>
  <c r="A14495" i="1"/>
  <c r="A14467" i="1"/>
  <c r="A12480" i="1"/>
  <c r="A10798" i="1"/>
  <c r="A9272" i="1"/>
  <c r="A8122" i="1"/>
  <c r="A5726" i="1"/>
  <c r="A4429" i="1"/>
  <c r="A2233" i="1"/>
  <c r="A977" i="1"/>
  <c r="A15770" i="1"/>
  <c r="A13544" i="1"/>
  <c r="A9201" i="1"/>
  <c r="A5202" i="1"/>
  <c r="A10643" i="1"/>
  <c r="A9892" i="1"/>
  <c r="A4258" i="1"/>
  <c r="A23492" i="1"/>
  <c r="A19041" i="1"/>
  <c r="A36368" i="1"/>
  <c r="A20571" i="1"/>
  <c r="A35950" i="1"/>
  <c r="A35848" i="1"/>
  <c r="A34940" i="1"/>
  <c r="A26690" i="1"/>
  <c r="A36272" i="1"/>
  <c r="A27422" i="1"/>
  <c r="A36647" i="1"/>
  <c r="A20762" i="1"/>
  <c r="A34937" i="1"/>
  <c r="A6160" i="1"/>
  <c r="A5635" i="1"/>
  <c r="A36119" i="1"/>
  <c r="A16363" i="1"/>
  <c r="A15854" i="1"/>
  <c r="A20679" i="1"/>
  <c r="A20880" i="1"/>
  <c r="A8910" i="1"/>
  <c r="A19763" i="1"/>
  <c r="A14694" i="1"/>
  <c r="A8703" i="1"/>
  <c r="A6327" i="1"/>
  <c r="A822" i="1"/>
  <c r="A20841" i="1"/>
  <c r="A20764" i="1"/>
  <c r="A19682" i="1"/>
  <c r="A18965" i="1"/>
  <c r="A18740" i="1"/>
  <c r="A16734" i="1"/>
  <c r="A8418" i="1"/>
  <c r="A3681" i="1"/>
  <c r="A2423" i="1"/>
  <c r="A13233" i="1"/>
  <c r="A10005" i="1"/>
  <c r="A34786" i="1"/>
  <c r="A31653" i="1"/>
  <c r="A29270" i="1"/>
  <c r="A27989" i="1"/>
  <c r="A22297" i="1"/>
  <c r="A11124" i="1"/>
  <c r="A6604" i="1"/>
  <c r="A3706" i="1"/>
  <c r="A852" i="1"/>
  <c r="A33174" i="1"/>
  <c r="A20315" i="1"/>
  <c r="A29179" i="1"/>
  <c r="A28798" i="1"/>
  <c r="A26166" i="1"/>
  <c r="A36162" i="1"/>
  <c r="A24064" i="1"/>
  <c r="A23782" i="1"/>
  <c r="A18702" i="1"/>
  <c r="A16094" i="1"/>
  <c r="A8844" i="1"/>
  <c r="A7922" i="1"/>
  <c r="A18780" i="1"/>
  <c r="A19649" i="1"/>
  <c r="A21830" i="1"/>
  <c r="A19674" i="1"/>
  <c r="A18953" i="1"/>
  <c r="A17536" i="1"/>
  <c r="A16393" i="1"/>
  <c r="A5811" i="1"/>
  <c r="A3623" i="1"/>
  <c r="A10442" i="1"/>
  <c r="A6611" i="1"/>
  <c r="A32013" i="1"/>
  <c r="A30696" i="1"/>
  <c r="A27627" i="1"/>
  <c r="A25080" i="1"/>
  <c r="A16327" i="1"/>
  <c r="A9449" i="1"/>
  <c r="A4885" i="1"/>
  <c r="A3505" i="1"/>
  <c r="A36229" i="1"/>
  <c r="A36026" i="1"/>
  <c r="A33737" i="1"/>
  <c r="A31630" i="1"/>
  <c r="A29302" i="1"/>
  <c r="A24489" i="1"/>
  <c r="A20301" i="1"/>
  <c r="A17921" i="1"/>
  <c r="A9380" i="1"/>
  <c r="A8783" i="1"/>
  <c r="A6420" i="1"/>
  <c r="A4613" i="1"/>
  <c r="A3621" i="1"/>
  <c r="A1086" i="1"/>
  <c r="A697" i="1"/>
  <c r="A35888" i="1"/>
  <c r="A33638" i="1"/>
  <c r="A4887" i="1"/>
  <c r="A829" i="1"/>
  <c r="A5938" i="1"/>
  <c r="A10205" i="1"/>
  <c r="A16255" i="1"/>
  <c r="A14411" i="1"/>
  <c r="A220" i="1"/>
  <c r="A20022" i="1"/>
  <c r="A7950" i="1"/>
  <c r="A5455" i="1"/>
  <c r="A10602" i="1"/>
  <c r="A18314" i="1"/>
  <c r="A14514" i="1"/>
  <c r="A12342" i="1"/>
  <c r="A6519" i="1"/>
  <c r="A2178" i="1"/>
  <c r="A12403" i="1"/>
  <c r="A13710" i="1"/>
  <c r="A17911" i="1"/>
  <c r="A34058" i="1"/>
  <c r="A25958" i="1"/>
  <c r="A9396" i="1"/>
  <c r="A5935" i="1"/>
  <c r="A20159" i="1"/>
  <c r="A8838" i="1"/>
  <c r="A9455" i="1"/>
  <c r="A11469" i="1"/>
  <c r="A893" i="1"/>
  <c r="A22228" i="1"/>
  <c r="A20567" i="1"/>
  <c r="A13605" i="1"/>
  <c r="A5087" i="1"/>
  <c r="A21697" i="1"/>
  <c r="A29634" i="1"/>
  <c r="A16963" i="1"/>
  <c r="A13477" i="1"/>
  <c r="A4398" i="1"/>
  <c r="A13502" i="1"/>
  <c r="A4413" i="1"/>
  <c r="A22751" i="1"/>
  <c r="A34980" i="1"/>
  <c r="A28333" i="1"/>
  <c r="A23005" i="1"/>
  <c r="A19523" i="1"/>
  <c r="A16715" i="1"/>
  <c r="A15076" i="1"/>
  <c r="A7416" i="1"/>
  <c r="A4405" i="1"/>
  <c r="A3683" i="1"/>
  <c r="A3243" i="1"/>
  <c r="A22300" i="1"/>
  <c r="A35896" i="1"/>
  <c r="A13729" i="1"/>
  <c r="A8412" i="1"/>
  <c r="A2361" i="1"/>
  <c r="A35982" i="1"/>
  <c r="A35911" i="1"/>
  <c r="A35857" i="1"/>
  <c r="A36652" i="1"/>
  <c r="A13047" i="1"/>
  <c r="A10595" i="1"/>
  <c r="A4070" i="1"/>
  <c r="A16703" i="1"/>
  <c r="A20768" i="1"/>
  <c r="A35303" i="1"/>
  <c r="A10183" i="1"/>
  <c r="A11010" i="1"/>
  <c r="A8903" i="1"/>
  <c r="A21212" i="1"/>
  <c r="A3661" i="1"/>
  <c r="A21297" i="1"/>
  <c r="A18499" i="1"/>
  <c r="A7246" i="1"/>
  <c r="A758" i="1"/>
  <c r="A21850" i="1"/>
  <c r="A18290" i="1"/>
  <c r="A15577" i="1"/>
  <c r="A14518" i="1"/>
  <c r="A14465" i="1"/>
  <c r="A11754" i="1"/>
  <c r="A9260" i="1"/>
  <c r="A6476" i="1"/>
  <c r="A3945" i="1"/>
  <c r="A1651" i="1"/>
  <c r="A17236" i="1"/>
  <c r="A14505" i="1"/>
  <c r="A11704" i="1"/>
  <c r="A5133" i="1"/>
  <c r="A35389" i="1"/>
  <c r="A17525" i="1"/>
  <c r="A21233" i="1"/>
  <c r="A15884" i="1"/>
  <c r="A27444" i="1"/>
  <c r="A21023" i="1"/>
  <c r="A23982" i="1"/>
  <c r="A20677" i="1"/>
  <c r="A3652" i="1"/>
  <c r="A21220" i="1"/>
  <c r="A13457" i="1"/>
  <c r="A7899" i="1"/>
  <c r="A18210" i="1"/>
  <c r="A18679" i="1"/>
  <c r="A8284" i="1"/>
  <c r="A1721" i="1"/>
  <c r="A9363" i="1"/>
  <c r="A33400" i="1"/>
  <c r="A21564" i="1"/>
  <c r="A6504" i="1"/>
  <c r="A757" i="1"/>
  <c r="A32707" i="1"/>
  <c r="A29872" i="1"/>
  <c r="A23767" i="1"/>
  <c r="A16091" i="1"/>
  <c r="A7903" i="1"/>
  <c r="A20268" i="1"/>
  <c r="A4042" i="1"/>
  <c r="A24606" i="1"/>
  <c r="A3437" i="1"/>
  <c r="A18861" i="1"/>
  <c r="A15575" i="1"/>
  <c r="A14461" i="1"/>
  <c r="A9205" i="1"/>
  <c r="A3899" i="1"/>
  <c r="A14471" i="1"/>
  <c r="A5073" i="1"/>
  <c r="A17027" i="1"/>
  <c r="A20795" i="1"/>
  <c r="A35777" i="1"/>
  <c r="A34926" i="1"/>
  <c r="A27327" i="1"/>
  <c r="A13032" i="1"/>
  <c r="A5528" i="1"/>
  <c r="A10065" i="1"/>
  <c r="A7324" i="1"/>
  <c r="A15579" i="1"/>
  <c r="A4595" i="1"/>
  <c r="A15188" i="1"/>
  <c r="A19605" i="1"/>
  <c r="A24861" i="1"/>
  <c r="A17912" i="1"/>
  <c r="A12060" i="1"/>
  <c r="A4523" i="1"/>
  <c r="A8959" i="1"/>
  <c r="A32191" i="1"/>
  <c r="A27360" i="1"/>
  <c r="A22363" i="1"/>
  <c r="A15069" i="1"/>
  <c r="A11402" i="1"/>
  <c r="A194" i="1"/>
  <c r="A24758" i="1"/>
  <c r="A11518" i="1"/>
  <c r="A22561" i="1"/>
  <c r="A16945" i="1"/>
  <c r="A21715" i="1"/>
  <c r="A32832" i="1"/>
  <c r="A23838" i="1"/>
  <c r="A22861" i="1"/>
  <c r="A18477" i="1"/>
  <c r="A14862" i="1"/>
  <c r="A20564" i="1"/>
  <c r="A12893" i="1"/>
  <c r="A17168" i="1"/>
  <c r="A16594" i="1"/>
  <c r="A17122" i="1"/>
  <c r="A17552" i="1"/>
  <c r="A6588" i="1"/>
  <c r="A13741" i="1"/>
  <c r="A36057" i="1"/>
  <c r="A25102" i="1"/>
  <c r="A17432" i="1"/>
  <c r="A5320" i="1"/>
  <c r="A31713" i="1"/>
  <c r="A27621" i="1"/>
  <c r="A24492" i="1"/>
  <c r="A21119" i="1"/>
  <c r="A10725" i="1"/>
  <c r="A7304" i="1"/>
  <c r="A1110" i="1"/>
  <c r="A104" i="1"/>
  <c r="A18145" i="1"/>
  <c r="A20660" i="1"/>
  <c r="A17240" i="1"/>
  <c r="A5206" i="1"/>
  <c r="A21921" i="1"/>
  <c r="A7328" i="1"/>
  <c r="A17543" i="1"/>
  <c r="A5002" i="1"/>
  <c r="A13598" i="1"/>
  <c r="A152" i="1"/>
  <c r="A7557" i="1"/>
  <c r="A21074" i="1"/>
  <c r="A24200" i="1"/>
  <c r="A21555" i="1"/>
  <c r="A16122" i="1"/>
  <c r="A4138" i="1"/>
  <c r="A7664" i="1"/>
  <c r="A21730" i="1"/>
  <c r="A36011" i="1"/>
  <c r="A3792" i="1"/>
  <c r="A3708" i="1"/>
  <c r="A16436" i="1"/>
  <c r="A20996" i="1"/>
  <c r="A34985" i="1"/>
  <c r="A19792" i="1"/>
  <c r="A8420" i="1"/>
  <c r="A3985" i="1"/>
  <c r="A2566" i="1"/>
  <c r="A18759" i="1"/>
  <c r="A34967" i="1"/>
  <c r="A33456" i="1"/>
  <c r="A24001" i="1"/>
  <c r="A20073" i="1"/>
  <c r="A17714" i="1"/>
  <c r="A16919" i="1"/>
  <c r="A16653" i="1"/>
  <c r="A13587" i="1"/>
  <c r="A10743" i="1"/>
  <c r="A8137" i="1"/>
  <c r="A6637" i="1"/>
  <c r="A6010" i="1"/>
  <c r="A5562" i="1"/>
  <c r="A4618" i="1"/>
  <c r="A3511" i="1"/>
  <c r="A16738" i="1"/>
  <c r="A18760" i="1"/>
  <c r="A28038" i="1"/>
  <c r="A4050" i="1"/>
  <c r="A34653" i="1"/>
  <c r="A25930" i="1"/>
  <c r="A10420" i="1"/>
  <c r="A21647" i="1"/>
  <c r="A21012" i="1"/>
  <c r="A22269" i="1"/>
  <c r="A29818" i="1"/>
  <c r="A21655" i="1"/>
  <c r="A13357" i="1"/>
  <c r="A35382" i="1"/>
  <c r="A16052" i="1"/>
  <c r="A7520" i="1"/>
  <c r="A4118" i="1"/>
  <c r="A3244" i="1"/>
  <c r="A3807" i="1"/>
  <c r="A35853" i="1"/>
  <c r="A12721" i="1"/>
  <c r="A3788" i="1"/>
  <c r="A36269" i="1"/>
  <c r="A35918" i="1"/>
  <c r="A34802" i="1"/>
  <c r="A10819" i="1"/>
  <c r="A1049" i="1"/>
  <c r="A34972" i="1"/>
  <c r="A18326" i="1"/>
  <c r="A3927" i="1"/>
  <c r="A2461" i="1"/>
  <c r="A1692" i="1"/>
  <c r="A5556" i="1"/>
  <c r="A8662" i="1"/>
  <c r="A6719" i="1"/>
  <c r="A1649" i="1"/>
  <c r="A14507" i="1"/>
  <c r="A17238" i="1"/>
  <c r="A12461" i="1"/>
  <c r="A5135" i="1"/>
  <c r="A21919" i="1"/>
  <c r="A35947" i="1"/>
  <c r="A7121" i="1"/>
  <c r="A4636" i="1"/>
  <c r="A17393" i="1"/>
  <c r="A3149" i="1"/>
  <c r="A13751" i="1"/>
  <c r="A37" i="1"/>
  <c r="A7083" i="1"/>
  <c r="A13373" i="1"/>
  <c r="A20900" i="1"/>
  <c r="A7414" i="1"/>
  <c r="A3205" i="1"/>
  <c r="A481" i="1"/>
  <c r="A9189" i="1"/>
  <c r="A18699" i="1"/>
  <c r="A14561" i="1"/>
  <c r="A32888" i="1"/>
  <c r="A8315" i="1"/>
  <c r="A12680" i="1"/>
  <c r="A33455" i="1"/>
  <c r="A31388" i="1"/>
  <c r="A25275" i="1"/>
  <c r="A23998" i="1"/>
  <c r="A22887" i="1"/>
  <c r="A19835" i="1"/>
  <c r="A17335" i="1"/>
  <c r="A16901" i="1"/>
  <c r="A16303" i="1"/>
  <c r="A13429" i="1"/>
  <c r="A9195" i="1"/>
  <c r="A7629" i="1"/>
  <c r="A6452" i="1"/>
  <c r="A5929" i="1"/>
  <c r="A5545" i="1"/>
  <c r="A4325" i="1"/>
  <c r="A3066" i="1"/>
  <c r="A967" i="1"/>
  <c r="A599" i="1"/>
  <c r="A16602" i="1"/>
  <c r="A142" i="1"/>
  <c r="A3252" i="1"/>
  <c r="A35836" i="1"/>
  <c r="A4260" i="1"/>
  <c r="A22832" i="1"/>
  <c r="A22486" i="1"/>
  <c r="A22180" i="1"/>
  <c r="A21643" i="1"/>
  <c r="A21201" i="1"/>
  <c r="A20452" i="1"/>
  <c r="A20164" i="1"/>
  <c r="A19789" i="1"/>
  <c r="A19069" i="1"/>
  <c r="A18732" i="1"/>
  <c r="A18072" i="1"/>
  <c r="A17839" i="1"/>
  <c r="A17452" i="1"/>
  <c r="A17339" i="1"/>
  <c r="A17637" i="1"/>
  <c r="A18606" i="1"/>
  <c r="A7339" i="1"/>
  <c r="A36059" i="1"/>
  <c r="A25427" i="1"/>
  <c r="A29343" i="1"/>
  <c r="A21343" i="1"/>
  <c r="A2645" i="1"/>
  <c r="A12697" i="1"/>
  <c r="A4041" i="1"/>
  <c r="A13425" i="1"/>
  <c r="A15573" i="1"/>
  <c r="A10645" i="1"/>
  <c r="A3561" i="1"/>
  <c r="A14456" i="1"/>
  <c r="A20793" i="1"/>
  <c r="A1131" i="1"/>
  <c r="A10224" i="1"/>
  <c r="A13037" i="1"/>
  <c r="A29678" i="1"/>
  <c r="A20886" i="1"/>
  <c r="A8915" i="1"/>
  <c r="A26744" i="1"/>
  <c r="A25666" i="1"/>
  <c r="A19065" i="1"/>
  <c r="A16017" i="1"/>
  <c r="A3913" i="1"/>
  <c r="A7821" i="1"/>
  <c r="A12842" i="1"/>
  <c r="A20511" i="1"/>
  <c r="A13068" i="1"/>
  <c r="A13789" i="1"/>
  <c r="A9193" i="1"/>
  <c r="A17807" i="1"/>
  <c r="A7589" i="1"/>
  <c r="A3839" i="1"/>
  <c r="A2414" i="1"/>
  <c r="A18465" i="1"/>
  <c r="A6127" i="1"/>
  <c r="A10569" i="1"/>
  <c r="A35844" i="1"/>
  <c r="A25889" i="1"/>
  <c r="A3566" i="1"/>
  <c r="A14379" i="1"/>
  <c r="A183" i="1"/>
  <c r="A2110" i="1"/>
  <c r="A6918" i="1"/>
  <c r="A3166" i="1"/>
  <c r="A32817" i="1"/>
  <c r="A27950" i="1"/>
  <c r="A6804" i="1"/>
  <c r="A2622" i="1"/>
  <c r="A35945" i="1"/>
  <c r="A2960" i="1"/>
  <c r="A20469" i="1"/>
  <c r="A34396" i="1"/>
  <c r="A6614" i="1"/>
  <c r="A11401" i="1"/>
  <c r="A7128" i="1"/>
  <c r="A7096" i="1"/>
  <c r="A3595" i="1"/>
  <c r="A8681" i="1"/>
  <c r="A25271" i="1"/>
  <c r="A665" i="1"/>
  <c r="A21048" i="1"/>
  <c r="A18599" i="1"/>
  <c r="A17333" i="1"/>
  <c r="A16899" i="1"/>
  <c r="A16054" i="1"/>
  <c r="A13419" i="1"/>
  <c r="A8771" i="1"/>
  <c r="A7276" i="1"/>
  <c r="A6391" i="1"/>
  <c r="A5712" i="1"/>
  <c r="A5535" i="1"/>
  <c r="A4046" i="1"/>
  <c r="A3064" i="1"/>
  <c r="A22058" i="1"/>
  <c r="A4114" i="1"/>
  <c r="A24909" i="1"/>
  <c r="A36058" i="1"/>
  <c r="A29189" i="1"/>
  <c r="A18916" i="1"/>
  <c r="A10682" i="1"/>
  <c r="A14489" i="1"/>
  <c r="A10077" i="1"/>
  <c r="A12954" i="1"/>
  <c r="A13601" i="1"/>
  <c r="A17349" i="1"/>
  <c r="A8848" i="1"/>
  <c r="A24147" i="1"/>
  <c r="A2456" i="1"/>
  <c r="A18038" i="1"/>
  <c r="A16016" i="1"/>
  <c r="A6529" i="1"/>
  <c r="A3684" i="1"/>
  <c r="A691" i="1"/>
  <c r="A36325" i="1"/>
  <c r="A35941" i="1"/>
  <c r="A35451" i="1"/>
  <c r="A9206" i="1"/>
  <c r="A36664" i="1"/>
  <c r="A35454" i="1"/>
  <c r="A18350" i="1"/>
  <c r="A4201" i="1"/>
  <c r="A2479" i="1"/>
  <c r="A33734" i="1"/>
  <c r="A17798" i="1"/>
  <c r="A1097" i="1"/>
  <c r="A8461" i="1"/>
  <c r="A5945" i="1"/>
  <c r="A14903" i="1"/>
  <c r="A393" i="1"/>
  <c r="A8057" i="1"/>
  <c r="A593" i="1"/>
  <c r="A14516" i="1"/>
  <c r="A10567" i="1"/>
  <c r="A2231" i="1"/>
  <c r="A12463" i="1"/>
  <c r="A18993" i="1"/>
  <c r="A30224" i="1"/>
  <c r="A25433" i="1"/>
  <c r="A34891" i="1"/>
  <c r="A542" i="1"/>
  <c r="A2079" i="1"/>
  <c r="A10213" i="1"/>
  <c r="A34041" i="1"/>
  <c r="A16962" i="1"/>
  <c r="A4419" i="1"/>
  <c r="A12408" i="1"/>
  <c r="A3367" i="1"/>
  <c r="A7865" i="1"/>
  <c r="A35977" i="1"/>
  <c r="A12717" i="1"/>
  <c r="A13979" i="1"/>
  <c r="A20148" i="1"/>
  <c r="A3314" i="1"/>
  <c r="A15071" i="1"/>
  <c r="A6359" i="1"/>
  <c r="A3593" i="1"/>
  <c r="A326" i="1"/>
  <c r="A16889" i="1"/>
  <c r="A20600" i="1"/>
  <c r="A18463" i="1"/>
  <c r="A17325" i="1"/>
  <c r="A16866" i="1"/>
  <c r="A14098" i="1"/>
  <c r="A12274" i="1"/>
  <c r="A8604" i="1"/>
  <c r="A7126" i="1"/>
  <c r="A6305" i="1"/>
  <c r="A5665" i="1"/>
  <c r="A4779" i="1"/>
  <c r="A3977" i="1"/>
  <c r="A3062" i="1"/>
  <c r="A891" i="1"/>
  <c r="A413" i="1"/>
  <c r="A19098" i="1"/>
  <c r="A4408" i="1"/>
  <c r="A14658" i="1"/>
  <c r="A16969" i="1"/>
  <c r="A33602" i="1"/>
  <c r="A32425" i="1"/>
  <c r="A24618" i="1"/>
  <c r="A24527" i="1"/>
  <c r="A24106" i="1"/>
  <c r="A13504" i="1"/>
  <c r="A23815" i="1"/>
  <c r="A23752" i="1"/>
  <c r="A23220" i="1"/>
  <c r="A23711" i="1"/>
  <c r="A22765" i="1"/>
  <c r="A22305" i="1"/>
  <c r="A22176" i="1"/>
  <c r="A21550" i="1"/>
  <c r="A20673" i="1"/>
  <c r="A6361" i="1"/>
  <c r="A18632" i="1"/>
  <c r="A18292" i="1"/>
  <c r="A28039" i="1"/>
  <c r="A12127" i="1"/>
  <c r="A20266" i="1"/>
  <c r="A5603" i="1"/>
  <c r="A17222" i="1"/>
  <c r="A18324" i="1"/>
  <c r="A14493" i="1"/>
  <c r="A8937" i="1"/>
  <c r="A947" i="1"/>
  <c r="A8120" i="1"/>
  <c r="A7465" i="1"/>
  <c r="A34931" i="1"/>
  <c r="A6710" i="1"/>
  <c r="A9856" i="1"/>
  <c r="A2212" i="1"/>
  <c r="A22476" i="1"/>
  <c r="A10890" i="1"/>
  <c r="A7676" i="1"/>
  <c r="A20066" i="1"/>
  <c r="A7858" i="1"/>
  <c r="A17191" i="1"/>
  <c r="A6525" i="1"/>
  <c r="A3764" i="1"/>
  <c r="A6181" i="1"/>
  <c r="A10582" i="1"/>
  <c r="A15095" i="1"/>
  <c r="A17337" i="1"/>
  <c r="A21899" i="1"/>
  <c r="A877" i="1"/>
  <c r="A30370" i="1"/>
  <c r="A14552" i="1"/>
  <c r="A276" i="1"/>
  <c r="A280" i="1"/>
  <c r="A19103" i="1"/>
  <c r="A16044" i="1"/>
  <c r="A8924" i="1"/>
  <c r="A20400" i="1"/>
  <c r="A17189" i="1"/>
  <c r="A3288" i="1"/>
  <c r="A4750" i="1"/>
  <c r="A11171" i="1"/>
  <c r="A6377" i="1"/>
  <c r="A516" i="1"/>
  <c r="A3588" i="1"/>
  <c r="A22329" i="1"/>
  <c r="A21695" i="1"/>
  <c r="A20456" i="1"/>
  <c r="A20060" i="1"/>
  <c r="A19125" i="1"/>
  <c r="A18589" i="1"/>
  <c r="A17871" i="1"/>
  <c r="A17438" i="1"/>
  <c r="A17323" i="1"/>
  <c r="A16935" i="1"/>
  <c r="A16895" i="1"/>
  <c r="A16862" i="1"/>
  <c r="A16583" i="1"/>
  <c r="A16299" i="1"/>
  <c r="A16176" i="1"/>
  <c r="A16006" i="1"/>
  <c r="A15789" i="1"/>
  <c r="A14895" i="1"/>
  <c r="A14676" i="1"/>
  <c r="A14556" i="1"/>
  <c r="A11394" i="1"/>
  <c r="A13968" i="1"/>
  <c r="A13481" i="1"/>
  <c r="A13431" i="1"/>
  <c r="A13129" i="1"/>
  <c r="A12333" i="1"/>
  <c r="A11610" i="1"/>
  <c r="A11500" i="1"/>
  <c r="A11384" i="1"/>
  <c r="A11009" i="1"/>
  <c r="A9281" i="1"/>
  <c r="A8887" i="1"/>
  <c r="A8731" i="1"/>
  <c r="A8683" i="1"/>
  <c r="A8466" i="1"/>
  <c r="A8444" i="1"/>
  <c r="A8132" i="1"/>
  <c r="A7623" i="1"/>
  <c r="A7505" i="1"/>
  <c r="A7412" i="1"/>
  <c r="A7274" i="1"/>
  <c r="A6895" i="1"/>
  <c r="A6756" i="1"/>
  <c r="A6436" i="1"/>
  <c r="A6369" i="1"/>
  <c r="A36175" i="1"/>
  <c r="A5295" i="1"/>
  <c r="A4689" i="1"/>
  <c r="A4291" i="1"/>
  <c r="A4002" i="1"/>
  <c r="A3883" i="1"/>
  <c r="A3631" i="1"/>
  <c r="A3531" i="1"/>
  <c r="A3223" i="1"/>
  <c r="A3025" i="1"/>
  <c r="A2555" i="1"/>
  <c r="A2514" i="1"/>
  <c r="A35593" i="1"/>
  <c r="A2436" i="1"/>
  <c r="A2406" i="1"/>
  <c r="A982" i="1"/>
  <c r="A901" i="1"/>
  <c r="A879" i="1"/>
  <c r="A713" i="1"/>
  <c r="A411" i="1"/>
  <c r="A332" i="1"/>
  <c r="A250" i="1"/>
  <c r="A45" i="1"/>
  <c r="A3901" i="1"/>
  <c r="A11471" i="1"/>
  <c r="A3393" i="1"/>
  <c r="A32205" i="1"/>
  <c r="A17371" i="1"/>
  <c r="A13583" i="1"/>
  <c r="A6917" i="1"/>
  <c r="A102" i="1"/>
  <c r="A9006" i="1"/>
  <c r="A33032" i="1"/>
  <c r="A32678" i="1"/>
  <c r="A32273" i="1"/>
  <c r="A32047" i="1"/>
  <c r="A30804" i="1"/>
  <c r="A28992" i="1"/>
  <c r="A28469" i="1"/>
  <c r="A26715" i="1"/>
  <c r="A20480" i="1"/>
  <c r="A19051" i="1"/>
  <c r="A16203" i="1"/>
  <c r="A14054" i="1"/>
  <c r="A12546" i="1"/>
  <c r="A9264" i="1"/>
  <c r="A7631" i="1"/>
  <c r="A5677" i="1"/>
  <c r="A4031" i="1"/>
  <c r="A2430" i="1"/>
  <c r="A10944" i="1"/>
  <c r="A32234" i="1"/>
  <c r="A23429" i="1"/>
  <c r="A10549" i="1"/>
  <c r="A20376" i="1"/>
  <c r="A1511" i="1"/>
  <c r="A4091" i="1"/>
  <c r="A14475" i="1"/>
  <c r="A24698" i="1"/>
  <c r="A9677" i="1"/>
  <c r="A27684" i="1"/>
  <c r="A14396" i="1"/>
  <c r="A27273" i="1"/>
  <c r="A16190" i="1"/>
  <c r="A35855" i="1"/>
  <c r="A22360" i="1"/>
  <c r="A2893" i="1"/>
  <c r="A20107" i="1"/>
  <c r="A16742" i="1"/>
  <c r="A8146" i="1"/>
  <c r="A5601" i="1"/>
  <c r="A2489" i="1"/>
  <c r="A388" i="1"/>
  <c r="A31150" i="1"/>
  <c r="A26555" i="1"/>
  <c r="A22984" i="1"/>
  <c r="A22214" i="1"/>
  <c r="A19980" i="1"/>
  <c r="A18501" i="1"/>
  <c r="A17446" i="1"/>
  <c r="A16913" i="1"/>
  <c r="A17558" i="1"/>
  <c r="A5437" i="1"/>
  <c r="A7400" i="1"/>
  <c r="A14458" i="1"/>
  <c r="A21923" i="1"/>
  <c r="A36274" i="1"/>
  <c r="A16820" i="1"/>
  <c r="A13304" i="1"/>
  <c r="A3265" i="1"/>
  <c r="A16313" i="1"/>
  <c r="A11122" i="1"/>
  <c r="A33053" i="1"/>
  <c r="A32889" i="1"/>
  <c r="A31335" i="1"/>
  <c r="A29328" i="1"/>
  <c r="A28045" i="1"/>
  <c r="A21591" i="1"/>
  <c r="A20454" i="1"/>
  <c r="A19978" i="1"/>
  <c r="A19108" i="1"/>
  <c r="A18330" i="1"/>
  <c r="A17869" i="1"/>
  <c r="A17445" i="1"/>
  <c r="A17266" i="1"/>
  <c r="A16933" i="1"/>
  <c r="A16891" i="1"/>
  <c r="A16870" i="1"/>
  <c r="A16581" i="1"/>
  <c r="A16291" i="1"/>
  <c r="A16132" i="1"/>
  <c r="A16003" i="1"/>
  <c r="A15785" i="1"/>
  <c r="A14893" i="1"/>
  <c r="A14668" i="1"/>
  <c r="A14554" i="1"/>
  <c r="A14023" i="1"/>
  <c r="A13927" i="1"/>
  <c r="A13465" i="1"/>
  <c r="A13423" i="1"/>
  <c r="A13127" i="1"/>
  <c r="A12142" i="1"/>
  <c r="A11609" i="1"/>
  <c r="A11404" i="1"/>
  <c r="A11365" i="1"/>
  <c r="A9413" i="1"/>
  <c r="A8957" i="1"/>
  <c r="A8800" i="1"/>
  <c r="A8707" i="1"/>
  <c r="A8679" i="1"/>
  <c r="A8456" i="1"/>
  <c r="A8430" i="1"/>
  <c r="A8106" i="1"/>
  <c r="A7607" i="1"/>
  <c r="A7464" i="1"/>
  <c r="A7410" i="1"/>
  <c r="A7132" i="1"/>
  <c r="A6889" i="1"/>
  <c r="A6754" i="1"/>
  <c r="A6413" i="1"/>
  <c r="A6357" i="1"/>
  <c r="A5883" i="1"/>
  <c r="A5216" i="1"/>
  <c r="A4541" i="1"/>
  <c r="A4253" i="1"/>
  <c r="A3997" i="1"/>
  <c r="A3875" i="1"/>
  <c r="A17315" i="1"/>
  <c r="A6639" i="1"/>
  <c r="A34035" i="1"/>
  <c r="A4331" i="1"/>
  <c r="A9967" i="1"/>
  <c r="A34930" i="1"/>
  <c r="A11857" i="1"/>
  <c r="A17928" i="1"/>
  <c r="A13953" i="1"/>
  <c r="A7018" i="1"/>
  <c r="A4756" i="1"/>
  <c r="A1089" i="1"/>
  <c r="A6884" i="1"/>
  <c r="A14901" i="1"/>
  <c r="A33558" i="1"/>
  <c r="A26163" i="1"/>
  <c r="A24042" i="1"/>
  <c r="A22982" i="1"/>
  <c r="A22186" i="1"/>
  <c r="A969" i="1"/>
  <c r="A16967" i="1"/>
  <c r="A16931" i="1"/>
  <c r="A16911" i="1"/>
  <c r="A21860" i="1"/>
  <c r="A21815" i="1"/>
  <c r="A6155" i="1"/>
  <c r="A9618" i="1"/>
  <c r="A20750" i="1"/>
  <c r="A36054" i="1"/>
  <c r="A7672" i="1"/>
  <c r="A34896" i="1"/>
  <c r="A5625" i="1"/>
  <c r="A3239" i="1"/>
  <c r="A17710" i="1"/>
  <c r="A12350" i="1"/>
  <c r="A176" i="1"/>
  <c r="A953" i="1"/>
  <c r="A3602" i="1"/>
  <c r="A35029" i="1"/>
  <c r="A20450" i="1"/>
  <c r="A19932" i="1"/>
  <c r="A18979" i="1"/>
  <c r="A18302" i="1"/>
  <c r="A17805" i="1"/>
  <c r="A17444" i="1"/>
  <c r="A16927" i="1"/>
  <c r="A16887" i="1"/>
  <c r="A16767" i="1"/>
  <c r="A16535" i="1"/>
  <c r="A16192" i="1"/>
  <c r="A16100" i="1"/>
  <c r="A15965" i="1"/>
  <c r="A15482" i="1"/>
  <c r="A14852" i="1"/>
  <c r="A14631" i="1"/>
  <c r="A14550" i="1"/>
  <c r="A14013" i="1"/>
  <c r="A13925" i="1"/>
  <c r="A13452" i="1"/>
  <c r="A13405" i="1"/>
  <c r="A13085" i="1"/>
  <c r="A12140" i="1"/>
  <c r="A11602" i="1"/>
  <c r="A11396" i="1"/>
  <c r="A11126" i="1"/>
  <c r="A9400" i="1"/>
  <c r="A8933" i="1"/>
  <c r="A8791" i="1"/>
  <c r="A8693" i="1"/>
  <c r="A8544" i="1"/>
  <c r="A8455" i="1"/>
  <c r="A8323" i="1"/>
  <c r="A7910" i="1"/>
  <c r="A7605" i="1"/>
  <c r="A7463" i="1"/>
  <c r="A7294" i="1"/>
  <c r="A7131" i="1"/>
  <c r="A6887" i="1"/>
  <c r="A6746" i="1"/>
  <c r="A6411" i="1"/>
  <c r="A6321" i="1"/>
  <c r="A5519" i="1"/>
  <c r="A4967" i="1"/>
  <c r="A4535" i="1"/>
  <c r="A4207" i="1"/>
  <c r="A3979" i="1"/>
  <c r="A3851" i="1"/>
  <c r="A3597" i="1"/>
  <c r="A3508" i="1"/>
  <c r="A3155" i="1"/>
  <c r="A2934" i="1"/>
  <c r="A2529" i="1"/>
  <c r="A2535" i="1"/>
  <c r="A2481" i="1"/>
  <c r="A2416" i="1"/>
  <c r="A2394" i="1"/>
  <c r="A965" i="1"/>
  <c r="A899" i="1"/>
  <c r="A833" i="1"/>
  <c r="A495" i="1"/>
  <c r="A356" i="1"/>
  <c r="A279" i="1"/>
  <c r="A204" i="1"/>
  <c r="A21" i="1"/>
  <c r="A7396" i="1"/>
  <c r="A35127" i="1"/>
  <c r="A23940" i="1"/>
  <c r="A16953" i="1"/>
  <c r="A8836" i="1"/>
  <c r="A2459" i="1"/>
  <c r="A8998" i="1"/>
  <c r="A7999" i="1"/>
  <c r="A34306" i="1"/>
  <c r="A32948" i="1"/>
  <c r="A32020" i="1"/>
  <c r="A28872" i="1"/>
  <c r="A22340" i="1"/>
  <c r="A20006" i="1"/>
  <c r="A16575" i="1"/>
  <c r="A14573" i="1"/>
  <c r="A12706" i="1"/>
  <c r="A11734" i="1"/>
  <c r="A8651" i="1"/>
  <c r="A5481" i="1"/>
  <c r="A5678" i="1"/>
  <c r="A3248" i="1"/>
  <c r="A403" i="1"/>
  <c r="A10996" i="1"/>
  <c r="A10897" i="1"/>
  <c r="A32230" i="1"/>
  <c r="A29250" i="1"/>
  <c r="A17826" i="1"/>
  <c r="A10262" i="1"/>
  <c r="A36145" i="1"/>
  <c r="A22484" i="1"/>
  <c r="A7347" i="1"/>
  <c r="A6463" i="1"/>
  <c r="A20394" i="1"/>
  <c r="A177" i="1"/>
  <c r="A14161" i="1"/>
  <c r="A36334" i="1"/>
  <c r="A4065" i="1"/>
  <c r="A14567" i="1"/>
  <c r="A17436" i="1"/>
  <c r="A8691" i="1"/>
  <c r="A22208" i="1"/>
  <c r="A27631" i="1"/>
  <c r="A17865" i="1"/>
  <c r="A13923" i="1"/>
  <c r="A6758" i="1"/>
  <c r="A4677" i="1"/>
  <c r="A869" i="1"/>
  <c r="A2556" i="1"/>
  <c r="A24107" i="1"/>
  <c r="A22807" i="1"/>
  <c r="A22188" i="1"/>
  <c r="A21257" i="1"/>
  <c r="A20374" i="1"/>
  <c r="A18977" i="1"/>
  <c r="A17792" i="1"/>
  <c r="A16965" i="1"/>
  <c r="A16907" i="1"/>
  <c r="A13997" i="1"/>
  <c r="A32180" i="1"/>
  <c r="A21587" i="1"/>
  <c r="A5208" i="1"/>
  <c r="A5032" i="1"/>
  <c r="A6147" i="1"/>
  <c r="A10039" i="1"/>
  <c r="A35681" i="1"/>
  <c r="A7642" i="1"/>
  <c r="A33995" i="1"/>
  <c r="A6264" i="1"/>
  <c r="A35501" i="1"/>
  <c r="A24105" i="1"/>
  <c r="A22712" i="1"/>
  <c r="A20372" i="1"/>
  <c r="A19878" i="1"/>
  <c r="A18975" i="1"/>
  <c r="A18092" i="1"/>
  <c r="A17711" i="1"/>
  <c r="A17429" i="1"/>
  <c r="A3157" i="1"/>
  <c r="A16925" i="1"/>
  <c r="A16881" i="1"/>
  <c r="A16732" i="1"/>
  <c r="A16420" i="1"/>
  <c r="A16183" i="1"/>
  <c r="A16083" i="1"/>
  <c r="A15963" i="1"/>
  <c r="A15040" i="1"/>
  <c r="A14727" i="1"/>
  <c r="A14617" i="1"/>
  <c r="A14548" i="1"/>
  <c r="A14011" i="1"/>
  <c r="A13449" i="1"/>
  <c r="A13379" i="1"/>
  <c r="A12563" i="1"/>
  <c r="A11777" i="1"/>
  <c r="A11600" i="1"/>
  <c r="A11392" i="1"/>
  <c r="A10754" i="1"/>
  <c r="A9398" i="1"/>
  <c r="A8895" i="1"/>
  <c r="A8789" i="1"/>
  <c r="A8689" i="1"/>
  <c r="A8542" i="1"/>
  <c r="A8453" i="1"/>
  <c r="A19976" i="1"/>
  <c r="A7658" i="1"/>
  <c r="A7571" i="1"/>
  <c r="A7460" i="1"/>
  <c r="A7284" i="1"/>
  <c r="A6909" i="1"/>
  <c r="A6882" i="1"/>
  <c r="A6732" i="1"/>
  <c r="A6375" i="1"/>
  <c r="A6303" i="1"/>
  <c r="A5434" i="1"/>
  <c r="A4965" i="1"/>
  <c r="A4324" i="1"/>
  <c r="A4192" i="1"/>
  <c r="A3939" i="1"/>
  <c r="A3823" i="1"/>
  <c r="A3591" i="1"/>
  <c r="A3449" i="1"/>
  <c r="A3174" i="1"/>
  <c r="A2570" i="1"/>
  <c r="A4275" i="1"/>
  <c r="A3447" i="1"/>
  <c r="A18582" i="1"/>
  <c r="A24269" i="1"/>
  <c r="A29229" i="1"/>
  <c r="A23003" i="1"/>
  <c r="A35970" i="1"/>
  <c r="A26207" i="1"/>
  <c r="A24457" i="1"/>
  <c r="A17203" i="1"/>
  <c r="A12117" i="1"/>
  <c r="A5952" i="1"/>
  <c r="A3675" i="1"/>
  <c r="A851" i="1"/>
  <c r="A17867" i="1"/>
  <c r="A29589" i="1"/>
  <c r="A29238" i="1"/>
  <c r="A24049" i="1"/>
  <c r="A22178" i="1"/>
  <c r="A21202" i="1"/>
  <c r="A16943" i="1"/>
  <c r="A16905" i="1"/>
  <c r="A31711" i="1"/>
  <c r="A26623" i="1"/>
  <c r="A27398" i="1"/>
  <c r="A8980" i="1"/>
  <c r="A13807" i="1"/>
  <c r="A29129" i="1"/>
  <c r="A6177" i="1"/>
  <c r="A24532" i="1"/>
  <c r="A35933" i="1"/>
  <c r="A12678" i="1"/>
  <c r="A603" i="1"/>
  <c r="A4285" i="1"/>
  <c r="A15787" i="1"/>
  <c r="A27666" i="1"/>
  <c r="A22696" i="1"/>
  <c r="A22172" i="1"/>
  <c r="A20319" i="1"/>
  <c r="A19494" i="1"/>
  <c r="A18949" i="1"/>
  <c r="A18060" i="1"/>
  <c r="A17705" i="1"/>
  <c r="A17331" i="1"/>
  <c r="A16923" i="1"/>
  <c r="A16903" i="1"/>
  <c r="A16875" i="1"/>
  <c r="A16710" i="1"/>
  <c r="A4245" i="1"/>
  <c r="A16181" i="1"/>
  <c r="A16025" i="1"/>
  <c r="A15962" i="1"/>
  <c r="A14899" i="1"/>
  <c r="A16909" i="1"/>
  <c r="A14591" i="1"/>
  <c r="A14382" i="1"/>
  <c r="A13973" i="1"/>
  <c r="A13447" i="1"/>
  <c r="A13254" i="1"/>
  <c r="A12414" i="1"/>
  <c r="A11630" i="1"/>
  <c r="A11598" i="1"/>
  <c r="A11390" i="1"/>
  <c r="A10784" i="1"/>
  <c r="A9387" i="1"/>
  <c r="A8894" i="1"/>
  <c r="A8765" i="1"/>
  <c r="A8687" i="1"/>
  <c r="A8537" i="1"/>
  <c r="A8451" i="1"/>
  <c r="A8148" i="1"/>
  <c r="A7646" i="1"/>
  <c r="A7543" i="1"/>
  <c r="A7422" i="1"/>
  <c r="A7282" i="1"/>
  <c r="A6907" i="1"/>
  <c r="A6864" i="1"/>
  <c r="A6641" i="1"/>
  <c r="A6373" i="1"/>
  <c r="A6139" i="1"/>
  <c r="A5371" i="1"/>
  <c r="A4947" i="1"/>
  <c r="A4321" i="1"/>
  <c r="A4160" i="1"/>
  <c r="A3938" i="1"/>
  <c r="A3762" i="1"/>
  <c r="A3589" i="1"/>
  <c r="A3429" i="1"/>
  <c r="A3118" i="1"/>
  <c r="A2568" i="1"/>
  <c r="A18412" i="1"/>
  <c r="A2503" i="1"/>
  <c r="A2476" i="1"/>
  <c r="A2410" i="1"/>
  <c r="A1119" i="1"/>
  <c r="A951" i="1"/>
  <c r="A885" i="1"/>
  <c r="A826" i="1"/>
  <c r="A442" i="1"/>
  <c r="A350" i="1"/>
  <c r="A262" i="1"/>
  <c r="A172" i="1"/>
  <c r="A9301" i="1"/>
  <c r="A34468" i="1"/>
  <c r="A6707" i="1"/>
  <c r="A15342" i="1"/>
  <c r="A7579" i="1"/>
  <c r="A491" i="1"/>
  <c r="A9002" i="1"/>
  <c r="A15046" i="1"/>
  <c r="A34196" i="1"/>
  <c r="A32777" i="1"/>
  <c r="A28795" i="1"/>
  <c r="A22253" i="1"/>
  <c r="A19577" i="1"/>
  <c r="A16332" i="1"/>
  <c r="A14428" i="1"/>
  <c r="A12163" i="1"/>
  <c r="A11166" i="1"/>
  <c r="A8001" i="1"/>
  <c r="A5682" i="1"/>
  <c r="A4147" i="1"/>
  <c r="A2613" i="1"/>
  <c r="A14151" i="1"/>
  <c r="A10971" i="1"/>
  <c r="A10858" i="1"/>
  <c r="A3786" i="1"/>
  <c r="A26311" i="1"/>
  <c r="A14370" i="1"/>
  <c r="A19678" i="1"/>
  <c r="A25432" i="1"/>
  <c r="A16838" i="1"/>
  <c r="A405" i="1"/>
  <c r="A24528" i="1"/>
  <c r="A16937" i="1"/>
  <c r="A3587" i="1"/>
  <c r="A16885" i="1"/>
  <c r="A2485" i="1"/>
  <c r="A354" i="1"/>
  <c r="A151" i="1"/>
  <c r="A11204" i="1"/>
  <c r="A16611" i="1"/>
  <c r="A4293" i="1"/>
  <c r="A29719" i="1"/>
  <c r="A20709" i="1"/>
  <c r="A18316" i="1"/>
  <c r="A23720" i="1"/>
  <c r="A4318" i="1"/>
  <c r="A11499" i="1"/>
  <c r="A412" i="1"/>
  <c r="A20994" i="1"/>
  <c r="A17978" i="1"/>
  <c r="A16921" i="1"/>
  <c r="A2477" i="1"/>
  <c r="A1051" i="1"/>
  <c r="A867" i="1"/>
  <c r="A7013" i="1"/>
  <c r="A34472" i="1"/>
  <c r="A32803" i="1"/>
  <c r="A13816" i="1"/>
  <c r="A6705" i="1"/>
  <c r="A482" i="1"/>
  <c r="A22924" i="1"/>
  <c r="A2811" i="1"/>
  <c r="A13596" i="1"/>
  <c r="A8810" i="1"/>
  <c r="A2883" i="1"/>
  <c r="A32202" i="1"/>
  <c r="A19572" i="1"/>
  <c r="A15661" i="1"/>
  <c r="A13921" i="1"/>
  <c r="A12905" i="1"/>
  <c r="A9517" i="1"/>
  <c r="A4558" i="1"/>
  <c r="A16397" i="1"/>
  <c r="A35178" i="1"/>
  <c r="A13054" i="1"/>
  <c r="A621" i="1"/>
  <c r="A30225" i="1"/>
  <c r="A927" i="1"/>
  <c r="A21475" i="1"/>
  <c r="A13557" i="1"/>
  <c r="A33611" i="1"/>
  <c r="A32915" i="1"/>
  <c r="A31093" i="1"/>
  <c r="A28317" i="1"/>
  <c r="A25924" i="1"/>
  <c r="A25264" i="1"/>
  <c r="A24151" i="1"/>
  <c r="A23207" i="1"/>
  <c r="A22428" i="1"/>
  <c r="A20009" i="1"/>
  <c r="A18256" i="1"/>
  <c r="A16615" i="1"/>
  <c r="A16007" i="1"/>
  <c r="A14375" i="1"/>
  <c r="A13580" i="1"/>
  <c r="A12692" i="1"/>
  <c r="A11467" i="1"/>
  <c r="A8010" i="1"/>
  <c r="A7272" i="1"/>
  <c r="A17242" i="1"/>
  <c r="A22827" i="1"/>
  <c r="A19790" i="1"/>
  <c r="A20602" i="1"/>
  <c r="A17918" i="1"/>
  <c r="A16376" i="1"/>
  <c r="A14898" i="1"/>
  <c r="A13971" i="1"/>
  <c r="A12348" i="1"/>
  <c r="A10627" i="1"/>
  <c r="A8685" i="1"/>
  <c r="A7634" i="1"/>
  <c r="A6905" i="1"/>
  <c r="A6141" i="1"/>
  <c r="A4020" i="1"/>
  <c r="A3529" i="1"/>
  <c r="A2531" i="1"/>
  <c r="A828" i="1"/>
  <c r="A348" i="1"/>
  <c r="A41" i="1"/>
  <c r="A14191" i="1"/>
  <c r="A2443" i="1"/>
  <c r="A7603" i="1"/>
  <c r="A29021" i="1"/>
  <c r="A20473" i="1"/>
  <c r="A16236" i="1"/>
  <c r="A10689" i="1"/>
  <c r="A4058" i="1"/>
  <c r="A10952" i="1"/>
  <c r="A19495" i="1"/>
  <c r="A14483" i="1"/>
  <c r="A14546" i="1"/>
  <c r="A3319" i="1"/>
  <c r="A12649" i="1"/>
  <c r="A8472" i="1"/>
  <c r="A446" i="1"/>
  <c r="A683" i="1"/>
  <c r="A16917" i="1"/>
  <c r="A2527" i="1"/>
  <c r="A2473" i="1"/>
  <c r="A971" i="1"/>
  <c r="A16" i="1"/>
  <c r="A3509" i="1"/>
  <c r="A31916" i="1"/>
  <c r="A30744" i="1"/>
  <c r="A12259" i="1"/>
  <c r="A4935" i="1"/>
  <c r="A174" i="1"/>
  <c r="A35171" i="1"/>
  <c r="A14827" i="1"/>
  <c r="A2747" i="1"/>
  <c r="A27688" i="1"/>
  <c r="A11921" i="1"/>
  <c r="A3355" i="1"/>
  <c r="A2617" i="1"/>
  <c r="A29062" i="1"/>
  <c r="A22905" i="1"/>
  <c r="A19434" i="1"/>
  <c r="A15427" i="1"/>
  <c r="A13841" i="1"/>
  <c r="A12583" i="1"/>
  <c r="A9501" i="1"/>
  <c r="A2998" i="1"/>
  <c r="A36013" i="1"/>
  <c r="A34932" i="1"/>
  <c r="A29614" i="1"/>
  <c r="A13042" i="1"/>
  <c r="A36666" i="1"/>
  <c r="A3184" i="1"/>
  <c r="A31749" i="1"/>
  <c r="A13558" i="1"/>
  <c r="A33213" i="1"/>
  <c r="A32883" i="1"/>
  <c r="A32260" i="1"/>
  <c r="A30462" i="1"/>
  <c r="A28030" i="1"/>
  <c r="A24375" i="1"/>
  <c r="A24150" i="1"/>
  <c r="A23204" i="1"/>
  <c r="A22411" i="1"/>
  <c r="A19969" i="1"/>
  <c r="A16860" i="1"/>
  <c r="A16404" i="1"/>
  <c r="A15998" i="1"/>
  <c r="A11996" i="1"/>
  <c r="A24350" i="1"/>
  <c r="A5951" i="1"/>
  <c r="A11376" i="1"/>
  <c r="A33052" i="1"/>
  <c r="A3341" i="1"/>
  <c r="A961" i="1"/>
  <c r="A820" i="1"/>
  <c r="A282" i="1"/>
  <c r="A342" i="1"/>
  <c r="A19829" i="1"/>
  <c r="A19690" i="1"/>
  <c r="A16359" i="1"/>
  <c r="A4124" i="1"/>
  <c r="A20262" i="1"/>
  <c r="A17564" i="1"/>
  <c r="A16897" i="1"/>
  <c r="A16179" i="1"/>
  <c r="A14696" i="1"/>
  <c r="A13595" i="1"/>
  <c r="A11623" i="1"/>
  <c r="A9340" i="1"/>
  <c r="A8480" i="1"/>
  <c r="A7530" i="1"/>
  <c r="A6828" i="1"/>
  <c r="A3983" i="1"/>
  <c r="A3933" i="1"/>
  <c r="A2525" i="1"/>
  <c r="A2418" i="1"/>
  <c r="A274" i="1"/>
  <c r="A7278" i="1"/>
  <c r="A2453" i="1"/>
  <c r="A13427" i="1"/>
  <c r="A31650" i="1"/>
  <c r="A28873" i="1"/>
  <c r="A15279" i="1"/>
  <c r="A9016" i="1"/>
  <c r="A3627" i="1"/>
  <c r="A10912" i="1"/>
  <c r="A26535" i="1"/>
  <c r="A9502" i="1"/>
  <c r="A2990" i="1"/>
  <c r="A32083" i="1"/>
  <c r="A22817" i="1"/>
  <c r="A19387" i="1"/>
  <c r="A15148" i="1"/>
  <c r="A13716" i="1"/>
  <c r="A11956" i="1"/>
  <c r="A8708" i="1"/>
  <c r="A2887" i="1"/>
  <c r="A35972" i="1"/>
  <c r="A34652" i="1"/>
  <c r="A27421" i="1"/>
  <c r="A12577" i="1"/>
  <c r="A26116" i="1"/>
  <c r="A4279" i="1"/>
  <c r="A3641" i="1"/>
  <c r="A31373" i="1"/>
  <c r="A31084" i="1"/>
  <c r="A30403" i="1"/>
  <c r="A27965" i="1"/>
  <c r="A24283" i="1"/>
  <c r="A24135" i="1"/>
  <c r="A22397" i="1"/>
  <c r="A18597" i="1"/>
  <c r="A16857" i="1"/>
  <c r="A16372" i="1"/>
  <c r="A15981" i="1"/>
  <c r="A14068" i="1"/>
  <c r="A13392" i="1"/>
  <c r="A12673" i="1"/>
  <c r="A11379" i="1"/>
  <c r="A7593" i="1"/>
  <c r="A6991" i="1"/>
  <c r="A6346" i="1"/>
  <c r="A1075" i="1"/>
  <c r="A3590" i="1"/>
  <c r="A5615" i="1"/>
  <c r="A32450" i="1"/>
  <c r="A24304" i="1"/>
  <c r="A3153" i="1"/>
  <c r="A2412" i="1"/>
  <c r="A949" i="1"/>
  <c r="A633" i="1"/>
  <c r="A33683" i="1"/>
  <c r="A34293" i="1"/>
  <c r="A32653" i="1"/>
  <c r="A19200" i="1"/>
  <c r="A12547" i="1"/>
  <c r="A5680" i="1"/>
  <c r="A34821" i="1"/>
  <c r="A13510" i="1"/>
  <c r="A13881" i="1"/>
  <c r="A15862" i="1"/>
  <c r="A20727" i="1"/>
  <c r="A2549" i="1"/>
  <c r="A352" i="1"/>
  <c r="A35799" i="1"/>
  <c r="A27608" i="1"/>
  <c r="A19462" i="1"/>
  <c r="A17329" i="1"/>
  <c r="A2512" i="1"/>
  <c r="A460" i="1"/>
  <c r="A254" i="1"/>
  <c r="A17859" i="1"/>
  <c r="A7581" i="1"/>
  <c r="A8996" i="1"/>
  <c r="A30492" i="1"/>
  <c r="A28857" i="1"/>
  <c r="A26682" i="1"/>
  <c r="A14558" i="1"/>
  <c r="A8097" i="1"/>
  <c r="A3229" i="1"/>
  <c r="A10889" i="1"/>
  <c r="A23213" i="1"/>
  <c r="A9477" i="1"/>
  <c r="A2889" i="1"/>
  <c r="A22465" i="1"/>
  <c r="A19298" i="1"/>
  <c r="A14752" i="1"/>
  <c r="A13693" i="1"/>
  <c r="A11167" i="1"/>
  <c r="A8742" i="1"/>
  <c r="A34236" i="1"/>
  <c r="A26625" i="1"/>
  <c r="A11353" i="1"/>
  <c r="A34063" i="1"/>
  <c r="A24697" i="1"/>
  <c r="A10307" i="1"/>
  <c r="A35737" i="1"/>
  <c r="A31371" i="1"/>
  <c r="A29571" i="1"/>
  <c r="A28100" i="1"/>
  <c r="A27952" i="1"/>
  <c r="A26545" i="1"/>
  <c r="A24857" i="1"/>
  <c r="A24282" i="1"/>
  <c r="A23313" i="1"/>
  <c r="A22393" i="1"/>
  <c r="A18596" i="1"/>
  <c r="A28995" i="1"/>
  <c r="A397" i="1"/>
  <c r="A7559" i="1"/>
  <c r="A22620" i="1"/>
  <c r="A19145" i="1"/>
  <c r="A17327" i="1"/>
  <c r="A16863" i="1"/>
  <c r="A16023" i="1"/>
  <c r="A14569" i="1"/>
  <c r="A13445" i="1"/>
  <c r="A11514" i="1"/>
  <c r="A8889" i="1"/>
  <c r="A8446" i="1"/>
  <c r="A7450" i="1"/>
  <c r="A6442" i="1"/>
  <c r="A4729" i="1"/>
  <c r="A3656" i="1"/>
  <c r="A3068" i="1"/>
  <c r="A2505" i="1"/>
  <c r="A2408" i="1"/>
  <c r="A897" i="1"/>
  <c r="A34469" i="1"/>
  <c r="A33927" i="1"/>
  <c r="A32044" i="1"/>
  <c r="A28984" i="1"/>
  <c r="A14821" i="1"/>
  <c r="A4471" i="1"/>
  <c r="A27307" i="1"/>
  <c r="A5826" i="1"/>
  <c r="A16185" i="1"/>
  <c r="A20435" i="1"/>
  <c r="A2491" i="1"/>
  <c r="A889" i="1"/>
  <c r="A417" i="1"/>
  <c r="A206" i="1"/>
  <c r="A7014" i="1"/>
  <c r="A9000" i="1"/>
  <c r="A28494" i="1"/>
  <c r="A22317" i="1"/>
  <c r="A17970" i="1"/>
  <c r="A12417" i="1"/>
  <c r="A5679" i="1"/>
  <c r="A32232" i="1"/>
  <c r="A10299" i="1"/>
  <c r="A23212" i="1"/>
  <c r="A9463" i="1"/>
  <c r="A2885" i="1"/>
  <c r="A35710" i="1"/>
  <c r="A22458" i="1"/>
  <c r="A16533" i="1"/>
  <c r="A14408" i="1"/>
  <c r="A13597" i="1"/>
  <c r="A9754" i="1"/>
  <c r="A7797" i="1"/>
  <c r="A34643" i="1"/>
  <c r="A35837" i="1"/>
  <c r="A34064" i="1"/>
  <c r="A25971" i="1"/>
  <c r="A4200" i="1"/>
  <c r="A33717" i="1"/>
  <c r="A35450" i="1"/>
  <c r="A13897" i="1"/>
  <c r="A10855" i="1"/>
  <c r="A35391" i="1"/>
  <c r="A33180" i="1"/>
  <c r="A31124" i="1"/>
  <c r="A29338" i="1"/>
  <c r="A28095" i="1"/>
  <c r="A26445" i="1"/>
  <c r="A25873" i="1"/>
  <c r="A24765" i="1"/>
  <c r="A24026" i="1"/>
  <c r="A23267" i="1"/>
  <c r="A23037" i="1"/>
  <c r="A22388" i="1"/>
  <c r="A18592" i="1"/>
  <c r="A16839" i="1"/>
  <c r="A16247" i="1"/>
  <c r="A8748" i="1"/>
  <c r="A16531" i="1"/>
  <c r="A10986" i="1"/>
  <c r="A16369" i="1"/>
  <c r="A20616" i="1"/>
  <c r="A22682" i="1"/>
  <c r="A15687" i="1"/>
  <c r="A12710" i="1"/>
  <c r="A7592" i="1"/>
  <c r="A6341" i="1"/>
  <c r="A5509" i="1"/>
  <c r="A2294" i="1"/>
  <c r="A629" i="1"/>
  <c r="A2487" i="1"/>
  <c r="A30503" i="1"/>
  <c r="A32417" i="1"/>
  <c r="A14158" i="1"/>
  <c r="A10856" i="1"/>
  <c r="A12684" i="1"/>
  <c r="A7438" i="1"/>
  <c r="A4544" i="1"/>
  <c r="A2291" i="1"/>
  <c r="A490" i="1"/>
  <c r="A14" i="1"/>
  <c r="A31047" i="1"/>
  <c r="A28175" i="1"/>
  <c r="A26833" i="1"/>
  <c r="A24767" i="1"/>
  <c r="A24017" i="1"/>
  <c r="A22303" i="1"/>
  <c r="A19672" i="1"/>
  <c r="A16842" i="1"/>
  <c r="A15996" i="1"/>
  <c r="A14175" i="1"/>
  <c r="A13240" i="1"/>
  <c r="A11676" i="1"/>
  <c r="A7669" i="1"/>
  <c r="A6938" i="1"/>
  <c r="A6290" i="1"/>
  <c r="A3644" i="1"/>
  <c r="A1436" i="1"/>
  <c r="A189" i="1"/>
  <c r="A5817" i="1"/>
  <c r="A33268" i="1"/>
  <c r="A31561" i="1"/>
  <c r="A30396" i="1"/>
  <c r="A26057" i="1"/>
  <c r="A25908" i="1"/>
  <c r="A25415" i="1"/>
  <c r="A25290" i="1"/>
  <c r="A25187" i="1"/>
  <c r="A24592" i="1"/>
  <c r="A24093" i="1"/>
  <c r="A23880" i="1"/>
  <c r="A22693" i="1"/>
  <c r="A21511" i="1"/>
  <c r="A20774" i="1"/>
  <c r="A20076" i="1"/>
  <c r="A19734" i="1"/>
  <c r="A18645" i="1"/>
  <c r="A18046" i="1"/>
  <c r="A16457" i="1"/>
  <c r="A15028" i="1"/>
  <c r="A14327" i="1"/>
  <c r="A12899" i="1"/>
  <c r="A12467" i="1"/>
  <c r="A11076" i="1"/>
  <c r="A9423" i="1"/>
  <c r="A8589" i="1"/>
  <c r="A8474" i="1"/>
  <c r="A8101" i="1"/>
  <c r="A6635" i="1"/>
  <c r="A5962" i="1"/>
  <c r="A5800" i="1"/>
  <c r="A4784" i="1"/>
  <c r="A3559" i="1"/>
  <c r="A912" i="1"/>
  <c r="A14244" i="1"/>
  <c r="A21578" i="1"/>
  <c r="A34083" i="1"/>
  <c r="A22710" i="1"/>
  <c r="A22367" i="1"/>
  <c r="A21896" i="1"/>
  <c r="A21661" i="1"/>
  <c r="A21552" i="1"/>
  <c r="A21483" i="1"/>
  <c r="A21393" i="1"/>
  <c r="A21270" i="1"/>
  <c r="A21014" i="1"/>
  <c r="A20310" i="1"/>
  <c r="A19544" i="1"/>
  <c r="A18755" i="1"/>
  <c r="A18425" i="1"/>
  <c r="A16959" i="1"/>
  <c r="A16115" i="1"/>
  <c r="A15616" i="1"/>
  <c r="A15325" i="1"/>
  <c r="A15197" i="1"/>
  <c r="A14369" i="1"/>
  <c r="A13963" i="1"/>
  <c r="A13221" i="1"/>
  <c r="A12545" i="1"/>
  <c r="A11538" i="1"/>
  <c r="A10588" i="1"/>
  <c r="A10439" i="1"/>
  <c r="A10325" i="1"/>
  <c r="A10215" i="1"/>
  <c r="A10145" i="1"/>
  <c r="A9844" i="1"/>
  <c r="A9732" i="1"/>
  <c r="A9365" i="1"/>
  <c r="A7721" i="1"/>
  <c r="A6467" i="1"/>
  <c r="A6137" i="1"/>
  <c r="A5892" i="1"/>
  <c r="A597" i="1"/>
  <c r="A16621" i="1"/>
  <c r="A8139" i="1"/>
  <c r="A26467" i="1"/>
  <c r="A14283" i="1"/>
  <c r="A33715" i="1"/>
  <c r="A21605" i="1"/>
  <c r="A14399" i="1"/>
  <c r="A12364" i="1"/>
  <c r="A6340" i="1"/>
  <c r="A4269" i="1"/>
  <c r="A1987" i="1"/>
  <c r="A398" i="1"/>
  <c r="A34732" i="1"/>
  <c r="A22280" i="1"/>
  <c r="A2401" i="1"/>
  <c r="A16992" i="1"/>
  <c r="A31012" i="1"/>
  <c r="A14253" i="1"/>
  <c r="A12308" i="1"/>
  <c r="A7322" i="1"/>
  <c r="A6338" i="1"/>
  <c r="A1636" i="1"/>
  <c r="A384" i="1"/>
  <c r="A33131" i="1"/>
  <c r="A30197" i="1"/>
  <c r="A28132" i="1"/>
  <c r="A25941" i="1"/>
  <c r="A22997" i="1"/>
  <c r="A21001" i="1"/>
  <c r="A19551" i="1"/>
  <c r="A16580" i="1"/>
  <c r="A15999" i="1"/>
  <c r="A14053" i="1"/>
  <c r="A13219" i="1"/>
  <c r="A11366" i="1"/>
  <c r="A7654" i="1"/>
  <c r="A6911" i="1"/>
  <c r="A5681" i="1"/>
  <c r="A2149" i="1"/>
  <c r="A1418" i="1"/>
  <c r="A128" i="1"/>
  <c r="A17697" i="1"/>
  <c r="A34403" i="1"/>
  <c r="A31550" i="1"/>
  <c r="A31153" i="1"/>
  <c r="A29618" i="1"/>
  <c r="A27495" i="1"/>
  <c r="A25904" i="1"/>
  <c r="A25713" i="1"/>
  <c r="A25370" i="1"/>
  <c r="A25286" i="1"/>
  <c r="A24687" i="1"/>
  <c r="A24321" i="1"/>
  <c r="A23842" i="1"/>
  <c r="A22543" i="1"/>
  <c r="A21484" i="1"/>
  <c r="A20716" i="1"/>
  <c r="A19887" i="1"/>
  <c r="A19165" i="1"/>
  <c r="A18644" i="1"/>
  <c r="A18014" i="1"/>
  <c r="A15689" i="1"/>
  <c r="A15017" i="1"/>
  <c r="A14326" i="1"/>
  <c r="A12713" i="1"/>
  <c r="A12386" i="1"/>
  <c r="A11074" i="1"/>
  <c r="A9421" i="1"/>
  <c r="A8588" i="1"/>
  <c r="A8434" i="1"/>
  <c r="A7935" i="1"/>
  <c r="A6440" i="1"/>
  <c r="A5823" i="1"/>
  <c r="A5762" i="1"/>
  <c r="A4620" i="1"/>
  <c r="A3554" i="1"/>
  <c r="A525" i="1"/>
  <c r="A12371" i="1"/>
  <c r="A27692" i="1"/>
  <c r="A22978" i="1"/>
  <c r="A22637" i="1"/>
  <c r="A15959" i="1"/>
  <c r="A7280" i="1"/>
  <c r="A1134" i="1"/>
  <c r="A11626" i="1"/>
  <c r="A31936" i="1"/>
  <c r="A21776" i="1"/>
  <c r="A12935" i="1"/>
  <c r="A18492" i="1"/>
  <c r="A33746" i="1"/>
  <c r="A30464" i="1"/>
  <c r="A24385" i="1"/>
  <c r="A18310" i="1"/>
  <c r="A14058" i="1"/>
  <c r="A7016" i="1"/>
  <c r="A6339" i="1"/>
  <c r="A4267" i="1"/>
  <c r="A1458" i="1"/>
  <c r="A371" i="1"/>
  <c r="A23779" i="1"/>
  <c r="A7895" i="1"/>
  <c r="A26240" i="1"/>
  <c r="A13865" i="1"/>
  <c r="A16856" i="1"/>
  <c r="A13949" i="1"/>
  <c r="A11494" i="1"/>
  <c r="A6902" i="1"/>
  <c r="A6337" i="1"/>
  <c r="A4056" i="1"/>
  <c r="A322" i="1"/>
  <c r="A30195" i="1"/>
  <c r="A25929" i="1"/>
  <c r="A24357" i="1"/>
  <c r="A22627" i="1"/>
  <c r="A20010" i="1"/>
  <c r="A18962" i="1"/>
  <c r="A16382" i="1"/>
  <c r="A15934" i="1"/>
  <c r="A13390" i="1"/>
  <c r="A12686" i="1"/>
  <c r="A9974" i="1"/>
  <c r="A7532" i="1"/>
  <c r="A6878" i="1"/>
  <c r="A5651" i="1"/>
  <c r="A2065" i="1"/>
  <c r="A1294" i="1"/>
  <c r="A19" i="1"/>
  <c r="A36125" i="1"/>
  <c r="A34324" i="1"/>
  <c r="A33310" i="1"/>
  <c r="A31128" i="1"/>
  <c r="A30375" i="1"/>
  <c r="A29271" i="1"/>
  <c r="A28752" i="1"/>
  <c r="A27480" i="1"/>
  <c r="A27287" i="1"/>
  <c r="A26031" i="1"/>
  <c r="A25351" i="1"/>
  <c r="A25254" i="1"/>
  <c r="A24721" i="1"/>
  <c r="A24678" i="1"/>
  <c r="A24125" i="1"/>
  <c r="A23832" i="1"/>
  <c r="A23449" i="1"/>
  <c r="A22030" i="1"/>
  <c r="A21423" i="1"/>
  <c r="A20712" i="1"/>
  <c r="A19868" i="1"/>
  <c r="A18822" i="1"/>
  <c r="A18192" i="1"/>
  <c r="A18001" i="1"/>
  <c r="A15655" i="1"/>
  <c r="A14936" i="1"/>
  <c r="A14243" i="1"/>
  <c r="A12694" i="1"/>
  <c r="A12370" i="1"/>
  <c r="A10796" i="1"/>
  <c r="A9420" i="1"/>
  <c r="A8579" i="1"/>
  <c r="A8338" i="1"/>
  <c r="A7829" i="1"/>
  <c r="A6352" i="1"/>
  <c r="A5821" i="1"/>
  <c r="A5575" i="1"/>
  <c r="A4062" i="1"/>
  <c r="A2904" i="1"/>
  <c r="A504" i="1"/>
  <c r="A31079" i="1"/>
  <c r="A9383" i="1"/>
  <c r="A22968" i="1"/>
  <c r="A22549" i="1"/>
  <c r="A22251" i="1"/>
  <c r="A21890" i="1"/>
  <c r="A21621" i="1"/>
  <c r="A21536" i="1"/>
  <c r="A21468" i="1"/>
  <c r="A21345" i="1"/>
  <c r="A21166" i="1"/>
  <c r="A20833" i="1"/>
  <c r="A20124" i="1"/>
  <c r="A11771" i="1"/>
  <c r="A18490" i="1"/>
  <c r="A18086" i="1"/>
  <c r="A16345" i="1"/>
  <c r="A15660" i="1"/>
  <c r="A15409" i="1"/>
  <c r="A15305" i="1"/>
  <c r="A15012" i="1"/>
  <c r="A14343" i="1"/>
  <c r="A13803" i="1"/>
  <c r="A12891" i="1"/>
  <c r="A12316" i="1"/>
  <c r="A11176" i="1"/>
  <c r="A10547" i="1"/>
  <c r="A10306" i="1"/>
  <c r="A10194" i="1"/>
  <c r="A10123" i="1"/>
  <c r="A9820" i="1"/>
  <c r="A9639" i="1"/>
  <c r="A8664" i="1"/>
  <c r="A7441" i="1"/>
  <c r="A6207" i="1"/>
  <c r="A6129" i="1"/>
  <c r="A5958" i="1"/>
  <c r="A14090" i="1"/>
  <c r="A6371" i="1"/>
  <c r="A881" i="1"/>
  <c r="A13684" i="1"/>
  <c r="A9645" i="1"/>
  <c r="A4143" i="1"/>
  <c r="A24215" i="1"/>
  <c r="A11386" i="1"/>
  <c r="A6892" i="1"/>
  <c r="A6336" i="1"/>
  <c r="A3987" i="1"/>
  <c r="A1447" i="1"/>
  <c r="A320" i="1"/>
  <c r="A861" i="1"/>
  <c r="A16712" i="1"/>
  <c r="A13946" i="1"/>
  <c r="A11373" i="1"/>
  <c r="A6298" i="1"/>
  <c r="A3575" i="1"/>
  <c r="A1351" i="1"/>
  <c r="A33214" i="1"/>
  <c r="A29573" i="1"/>
  <c r="A25884" i="1"/>
  <c r="A24219" i="1"/>
  <c r="A23410" i="1"/>
  <c r="A22616" i="1"/>
  <c r="A20008" i="1"/>
  <c r="A17353" i="1"/>
  <c r="A16337" i="1"/>
  <c r="A14433" i="1"/>
  <c r="A13385" i="1"/>
  <c r="A12671" i="1"/>
  <c r="A9897" i="1"/>
  <c r="A7458" i="1"/>
  <c r="A6622" i="1"/>
  <c r="A5649" i="1"/>
  <c r="A1894" i="1"/>
  <c r="A555" i="1"/>
  <c r="A21637" i="1"/>
  <c r="A16848" i="1"/>
  <c r="A34323" i="1"/>
  <c r="A33244" i="1"/>
  <c r="A30274" i="1"/>
  <c r="A30088" i="1"/>
  <c r="A29899" i="1"/>
  <c r="A29006" i="1"/>
  <c r="A27673" i="1"/>
  <c r="A27432" i="1"/>
  <c r="A27280" i="1"/>
  <c r="A25994" i="1"/>
  <c r="A25813" i="1"/>
  <c r="A25483" i="1"/>
  <c r="A25348" i="1"/>
  <c r="A24712" i="1"/>
  <c r="A24674" i="1"/>
  <c r="A24123" i="1"/>
  <c r="A23441" i="1"/>
  <c r="A21764" i="1"/>
  <c r="A21377" i="1"/>
  <c r="A20433" i="1"/>
  <c r="A19786" i="1"/>
  <c r="A18741" i="1"/>
  <c r="A18006" i="1"/>
  <c r="A17999" i="1"/>
  <c r="A15606" i="1"/>
  <c r="A14625" i="1"/>
  <c r="A14182" i="1"/>
  <c r="A12627" i="1"/>
  <c r="A12207" i="1"/>
  <c r="A10606" i="1"/>
  <c r="A9369" i="1"/>
  <c r="A8573" i="1"/>
  <c r="A8188" i="1"/>
  <c r="A7726" i="1"/>
  <c r="A6011" i="1"/>
  <c r="A5819" i="1"/>
  <c r="A5127" i="1"/>
  <c r="A3957" i="1"/>
  <c r="A2198" i="1"/>
  <c r="A499" i="1"/>
  <c r="A30264" i="1"/>
  <c r="A22953" i="1"/>
  <c r="A22515" i="1"/>
  <c r="A22082" i="1"/>
  <c r="A21858" i="1"/>
  <c r="A21610" i="1"/>
  <c r="A21533" i="1"/>
  <c r="A21319" i="1"/>
  <c r="A21301" i="1"/>
  <c r="A21147" i="1"/>
  <c r="A20811" i="1"/>
  <c r="A20117" i="1"/>
  <c r="A19151" i="1"/>
  <c r="A18488" i="1"/>
  <c r="A18037" i="1"/>
  <c r="A16209" i="1"/>
  <c r="A15624" i="1"/>
  <c r="A15363" i="1"/>
  <c r="A15275" i="1"/>
  <c r="A14931" i="1"/>
  <c r="A14341" i="1"/>
  <c r="A13775" i="1"/>
  <c r="A12890" i="1"/>
  <c r="A11855" i="1"/>
  <c r="A11108" i="1"/>
  <c r="A10546" i="1"/>
  <c r="A10418" i="1"/>
  <c r="A10265" i="1"/>
  <c r="A2685" i="1"/>
  <c r="A21868" i="1"/>
  <c r="A13133" i="1"/>
  <c r="A4312" i="1"/>
  <c r="A386" i="1"/>
  <c r="A9004" i="1"/>
  <c r="A5654" i="1"/>
  <c r="A2817" i="1"/>
  <c r="A8850" i="1"/>
  <c r="A4703" i="1"/>
  <c r="A33713" i="1"/>
  <c r="A33667" i="1"/>
  <c r="A28094" i="1"/>
  <c r="A16353" i="1"/>
  <c r="A13397" i="1"/>
  <c r="A8017" i="1"/>
  <c r="A6742" i="1"/>
  <c r="A3570" i="1"/>
  <c r="A1349" i="1"/>
  <c r="A190" i="1"/>
  <c r="A33212" i="1"/>
  <c r="A16941" i="1"/>
  <c r="A16939" i="1"/>
  <c r="A2970" i="1"/>
  <c r="A16951" i="1"/>
  <c r="A30618" i="1"/>
  <c r="A15781" i="1"/>
  <c r="A7668" i="1"/>
  <c r="A6343" i="1"/>
  <c r="A5647" i="1"/>
  <c r="A2333" i="1"/>
  <c r="A521" i="1"/>
  <c r="A113" i="1"/>
  <c r="A31374" i="1"/>
  <c r="A27440" i="1"/>
  <c r="A23208" i="1"/>
  <c r="A22395" i="1"/>
  <c r="A19841" i="1"/>
  <c r="A16843" i="1"/>
  <c r="A16004" i="1"/>
  <c r="A14258" i="1"/>
  <c r="A13381" i="1"/>
  <c r="A12218" i="1"/>
  <c r="A8016" i="1"/>
  <c r="A6990" i="1"/>
  <c r="A6342" i="1"/>
  <c r="A4696" i="1"/>
  <c r="A1459" i="1"/>
  <c r="A461" i="1"/>
  <c r="A8716" i="1"/>
  <c r="A36371" i="1"/>
  <c r="A33841" i="1"/>
  <c r="A33298" i="1"/>
  <c r="A32360" i="1"/>
  <c r="A31260" i="1"/>
  <c r="A31068" i="1"/>
  <c r="A30247" i="1"/>
  <c r="A29651" i="1"/>
  <c r="A28213" i="1"/>
  <c r="A27668" i="1"/>
  <c r="A27311" i="1"/>
  <c r="A27244" i="1"/>
  <c r="A26098" i="1"/>
  <c r="A25952" i="1"/>
  <c r="A25307" i="1"/>
  <c r="A24962" i="1"/>
  <c r="A24690" i="1"/>
  <c r="A24594" i="1"/>
  <c r="A24121" i="1"/>
  <c r="A23535" i="1"/>
  <c r="A21572" i="1"/>
  <c r="A21121" i="1"/>
  <c r="A20082" i="1"/>
  <c r="A19735" i="1"/>
  <c r="A18672" i="1"/>
  <c r="A18087" i="1"/>
  <c r="A16756" i="1"/>
  <c r="A15291" i="1"/>
  <c r="A14333" i="1"/>
  <c r="A12621" i="1"/>
  <c r="A11143" i="1"/>
  <c r="A9935" i="1"/>
  <c r="A8609" i="1"/>
  <c r="A8550" i="1"/>
  <c r="A8117" i="1"/>
  <c r="A6643" i="1"/>
  <c r="A5994" i="1"/>
  <c r="A5813" i="1"/>
  <c r="A5038" i="1"/>
  <c r="A3586" i="1"/>
  <c r="A2055" i="1"/>
  <c r="A15038" i="1"/>
  <c r="A21391" i="1"/>
  <c r="A12665" i="1"/>
  <c r="A8012" i="1"/>
  <c r="A33211" i="1"/>
  <c r="A22294" i="1"/>
  <c r="A21538" i="1"/>
  <c r="A21174" i="1"/>
  <c r="A19460" i="1"/>
  <c r="A16645" i="1"/>
  <c r="A15317" i="1"/>
  <c r="A13934" i="1"/>
  <c r="A11541" i="1"/>
  <c r="A10312" i="1"/>
  <c r="A9012" i="1"/>
  <c r="A6180" i="1"/>
  <c r="A4077" i="1"/>
  <c r="A21983" i="1"/>
  <c r="A2507" i="1"/>
  <c r="A6740" i="1"/>
  <c r="A32307" i="1"/>
  <c r="A22403" i="1"/>
  <c r="A12374" i="1"/>
  <c r="A469" i="1"/>
  <c r="A33230" i="1"/>
  <c r="A28982" i="1"/>
  <c r="A24691" i="1"/>
  <c r="A21638" i="1"/>
  <c r="A17947" i="1"/>
  <c r="A9939" i="1"/>
  <c r="A5815" i="1"/>
  <c r="A22074" i="1"/>
  <c r="A21523" i="1"/>
  <c r="A21082" i="1"/>
  <c r="A19150" i="1"/>
  <c r="A16158" i="1"/>
  <c r="A15265" i="1"/>
  <c r="A13274" i="1"/>
  <c r="A10636" i="1"/>
  <c r="A10246" i="1"/>
  <c r="A9855" i="1"/>
  <c r="A8089" i="1"/>
  <c r="A5927" i="1"/>
  <c r="A5533" i="1"/>
  <c r="A3971" i="1"/>
  <c r="A472" i="1"/>
  <c r="A20309" i="1"/>
  <c r="A21666" i="1"/>
  <c r="A15184" i="1"/>
  <c r="A9854" i="1"/>
  <c r="A5887" i="1"/>
  <c r="A28880" i="1"/>
  <c r="A21137" i="1"/>
  <c r="A15584" i="1"/>
  <c r="A11913" i="1"/>
  <c r="A5992" i="1"/>
  <c r="A3935" i="1"/>
  <c r="A31739" i="1"/>
  <c r="A15658" i="1"/>
  <c r="A4765" i="1"/>
  <c r="A35913" i="1"/>
  <c r="A34313" i="1"/>
  <c r="A26170" i="1"/>
  <c r="A8294" i="1"/>
  <c r="A3689" i="1"/>
  <c r="A1699" i="1"/>
  <c r="A22434" i="1"/>
  <c r="A17094" i="1"/>
  <c r="A4950" i="1"/>
  <c r="A30290" i="1"/>
  <c r="A24694" i="1"/>
  <c r="A14997" i="1"/>
  <c r="A4132" i="1"/>
  <c r="A16050" i="1"/>
  <c r="A6869" i="1"/>
  <c r="A22482" i="1"/>
  <c r="A20260" i="1"/>
  <c r="A17891" i="1"/>
  <c r="A16818" i="1"/>
  <c r="A16387" i="1"/>
  <c r="A13156" i="1"/>
  <c r="A12002" i="1"/>
  <c r="A9147" i="1"/>
  <c r="A7801" i="1"/>
  <c r="A7087" i="1"/>
  <c r="A5271" i="1"/>
  <c r="A3863" i="1"/>
  <c r="A3186" i="1"/>
  <c r="A3104" i="1"/>
  <c r="A2499" i="1"/>
  <c r="A2369" i="1"/>
  <c r="A1919" i="1"/>
  <c r="A1503" i="1"/>
  <c r="A560" i="1"/>
  <c r="A134" i="1"/>
  <c r="A20839" i="1"/>
  <c r="A16568" i="1"/>
  <c r="A10079" i="1"/>
  <c r="A18734" i="1"/>
  <c r="A6626" i="1"/>
  <c r="A9837" i="1"/>
  <c r="A7960" i="1"/>
  <c r="A6164" i="1"/>
  <c r="A5843" i="1"/>
  <c r="A5427" i="1"/>
  <c r="A3667" i="1"/>
  <c r="A19033" i="1"/>
  <c r="A6294" i="1"/>
  <c r="A29318" i="1"/>
  <c r="A19957" i="1"/>
  <c r="A8026" i="1"/>
  <c r="A11898" i="1"/>
  <c r="A28376" i="1"/>
  <c r="A21287" i="1"/>
  <c r="A15561" i="1"/>
  <c r="A8940" i="1"/>
  <c r="A5121" i="1"/>
  <c r="A22060" i="1"/>
  <c r="A21521" i="1"/>
  <c r="A21044" i="1"/>
  <c r="A18783" i="1"/>
  <c r="A16128" i="1"/>
  <c r="A15248" i="1"/>
  <c r="A13231" i="1"/>
  <c r="A10635" i="1"/>
  <c r="A10227" i="1"/>
  <c r="A9819" i="1"/>
  <c r="A6133" i="1"/>
  <c r="A5842" i="1"/>
  <c r="A3408" i="1"/>
  <c r="A13813" i="1"/>
  <c r="A19898" i="1"/>
  <c r="A14185" i="1"/>
  <c r="A10026" i="1"/>
  <c r="A5659" i="1"/>
  <c r="A25642" i="1"/>
  <c r="A19642" i="1"/>
  <c r="A14413" i="1"/>
  <c r="A10019" i="1"/>
  <c r="A5889" i="1"/>
  <c r="A2633" i="1"/>
  <c r="A15352" i="1"/>
  <c r="A3085" i="1"/>
  <c r="A35904" i="1"/>
  <c r="A33931" i="1"/>
  <c r="A6686" i="1"/>
  <c r="A15258" i="1"/>
  <c r="A21385" i="1"/>
  <c r="A15421" i="1"/>
  <c r="A2229" i="1"/>
  <c r="A33079" i="1"/>
  <c r="A26550" i="1"/>
  <c r="A13975" i="1"/>
  <c r="A2280" i="1"/>
  <c r="A32936" i="1"/>
  <c r="A13783" i="1"/>
  <c r="A6846" i="1"/>
  <c r="A22078" i="1"/>
  <c r="A20056" i="1"/>
  <c r="A17480" i="1"/>
  <c r="A16773" i="1"/>
  <c r="A16265" i="1"/>
  <c r="A13104" i="1"/>
  <c r="A11769" i="1"/>
  <c r="A9145" i="1"/>
  <c r="A7713" i="1"/>
  <c r="A6956" i="1"/>
  <c r="A5001" i="1"/>
  <c r="A3654" i="1"/>
  <c r="A3182" i="1"/>
  <c r="A2988" i="1"/>
  <c r="A2497" i="1"/>
  <c r="A2357" i="1"/>
  <c r="A1757" i="1"/>
  <c r="A1491" i="1"/>
  <c r="A478" i="1"/>
  <c r="A84" i="1"/>
  <c r="A20835" i="1"/>
  <c r="A13316" i="1"/>
  <c r="A7703" i="1"/>
  <c r="A11388" i="1"/>
  <c r="A27816" i="1"/>
  <c r="A6292" i="1"/>
  <c r="A21892" i="1"/>
  <c r="A21481" i="1"/>
  <c r="A20843" i="1"/>
  <c r="A18745" i="1"/>
  <c r="A15796" i="1"/>
  <c r="A15168" i="1"/>
  <c r="A13218" i="1"/>
  <c r="A10548" i="1"/>
  <c r="A10195" i="1"/>
  <c r="A9818" i="1"/>
  <c r="A7785" i="1"/>
  <c r="A6125" i="1"/>
  <c r="A5839" i="1"/>
  <c r="A5293" i="1"/>
  <c r="A3629" i="1"/>
  <c r="A2347" i="1"/>
  <c r="A16845" i="1"/>
  <c r="A7455" i="1"/>
  <c r="A31078" i="1"/>
  <c r="A27669" i="1"/>
  <c r="A25422" i="1"/>
  <c r="A24128" i="1"/>
  <c r="A20420" i="1"/>
  <c r="A14527" i="1"/>
  <c r="A8569" i="1"/>
  <c r="A3811" i="1"/>
  <c r="A21821" i="1"/>
  <c r="A21445" i="1"/>
  <c r="A20719" i="1"/>
  <c r="A18455" i="1"/>
  <c r="A15622" i="1"/>
  <c r="A14765" i="1"/>
  <c r="A12887" i="1"/>
  <c r="A10441" i="1"/>
  <c r="A10182" i="1"/>
  <c r="A7444" i="1"/>
  <c r="A6123" i="1"/>
  <c r="A5831" i="1"/>
  <c r="A5275" i="1"/>
  <c r="A3029" i="1"/>
  <c r="A13743" i="1"/>
  <c r="A19528" i="1"/>
  <c r="A13286" i="1"/>
  <c r="A9285" i="1"/>
  <c r="A1063" i="1"/>
  <c r="A19431" i="1"/>
  <c r="A14349" i="1"/>
  <c r="A10105" i="1"/>
  <c r="A4914" i="1"/>
  <c r="A627" i="1"/>
  <c r="A14837" i="1"/>
  <c r="A2608" i="1"/>
  <c r="A11431" i="1"/>
  <c r="A18695" i="1"/>
  <c r="A7497" i="1"/>
  <c r="A11584" i="1"/>
  <c r="A5565" i="1"/>
  <c r="A21251" i="1"/>
  <c r="A15166" i="1"/>
  <c r="A1964" i="1"/>
  <c r="A34356" i="1"/>
  <c r="A33075" i="1"/>
  <c r="A30018" i="1"/>
  <c r="A23501" i="1"/>
  <c r="A12614" i="1"/>
  <c r="A689" i="1"/>
  <c r="A22972" i="1"/>
  <c r="A9981" i="1"/>
  <c r="A4627" i="1"/>
  <c r="A23014" i="1"/>
  <c r="A22070" i="1"/>
  <c r="A20052" i="1"/>
  <c r="A17460" i="1"/>
  <c r="A16754" i="1"/>
  <c r="A16031" i="1"/>
  <c r="A12725" i="1"/>
  <c r="A11682" i="1"/>
  <c r="A9139" i="1"/>
  <c r="A7613" i="1"/>
  <c r="A6920" i="1"/>
  <c r="A4959" i="1"/>
  <c r="A3549" i="1"/>
  <c r="A3168" i="1"/>
  <c r="A2572" i="1"/>
  <c r="A2495" i="1"/>
  <c r="A2339" i="1"/>
  <c r="A1633" i="1"/>
  <c r="A1446" i="1"/>
  <c r="A458" i="1"/>
  <c r="A51" i="1"/>
  <c r="A20754" i="1"/>
  <c r="A12586" i="1"/>
  <c r="A7377" i="1"/>
  <c r="A2869" i="1"/>
  <c r="A23217" i="1"/>
  <c r="A22884" i="1"/>
  <c r="A10181" i="1"/>
  <c r="A9733" i="1"/>
  <c r="A7286" i="1"/>
  <c r="A5784" i="1"/>
  <c r="A4828" i="1"/>
  <c r="A2959" i="1"/>
  <c r="A1707" i="1"/>
  <c r="A202" i="1"/>
  <c r="A554" i="1"/>
  <c r="A25646" i="1"/>
  <c r="A16249" i="1"/>
  <c r="A6406" i="1"/>
  <c r="A35048" i="1"/>
  <c r="A25328" i="1"/>
  <c r="A19784" i="1"/>
  <c r="A13050" i="1"/>
  <c r="A8154" i="1"/>
  <c r="A2192" i="1"/>
  <c r="A21699" i="1"/>
  <c r="A21435" i="1"/>
  <c r="A20662" i="1"/>
  <c r="A18454" i="1"/>
  <c r="A15619" i="1"/>
  <c r="A14377" i="1"/>
  <c r="A12881" i="1"/>
  <c r="A10440" i="1"/>
  <c r="A9694" i="1"/>
  <c r="A6716" i="1"/>
  <c r="A6121" i="1"/>
  <c r="A4725" i="1"/>
  <c r="A19240" i="1"/>
  <c r="A13185" i="1"/>
  <c r="A8083" i="1"/>
  <c r="A639" i="1"/>
  <c r="A26800" i="1"/>
  <c r="A18983" i="1"/>
  <c r="A14134" i="1"/>
  <c r="A9629" i="1"/>
  <c r="A4775" i="1"/>
  <c r="A23691" i="1"/>
  <c r="A13330" i="1"/>
  <c r="A1001" i="1"/>
  <c r="A8977" i="1"/>
  <c r="A17317" i="1"/>
  <c r="A6474" i="1"/>
  <c r="A20778" i="1"/>
  <c r="A18147" i="1"/>
  <c r="A13793" i="1"/>
  <c r="A34102" i="1"/>
  <c r="A32285" i="1"/>
  <c r="A30012" i="1"/>
  <c r="A21805" i="1"/>
  <c r="A7773" i="1"/>
  <c r="A34855" i="1"/>
  <c r="A19663" i="1"/>
  <c r="A9976" i="1"/>
  <c r="A4316" i="1"/>
  <c r="A22897" i="1"/>
  <c r="A22068" i="1"/>
  <c r="A19982" i="1"/>
  <c r="A17456" i="1"/>
  <c r="A16529" i="1"/>
  <c r="A15921" i="1"/>
  <c r="A12101" i="1"/>
  <c r="A11577" i="1"/>
  <c r="A5112" i="1"/>
  <c r="A7563" i="1"/>
  <c r="A6860" i="1"/>
  <c r="A4653" i="1"/>
  <c r="A3389" i="1"/>
  <c r="A3139" i="1"/>
  <c r="A2564" i="1"/>
  <c r="A2493" i="1"/>
  <c r="A2123" i="1"/>
  <c r="A1623" i="1"/>
  <c r="A1444" i="1"/>
  <c r="A366" i="1"/>
  <c r="A27" i="1"/>
  <c r="A29096" i="1"/>
  <c r="A18433" i="1"/>
  <c r="A11981" i="1"/>
  <c r="A2483" i="1"/>
  <c r="A21032" i="1"/>
  <c r="A16085" i="1"/>
  <c r="A550" i="1"/>
  <c r="A22834" i="1"/>
  <c r="A21631" i="1"/>
  <c r="A21353" i="1"/>
  <c r="A20249" i="1"/>
  <c r="A18378" i="1"/>
  <c r="A15521" i="1"/>
  <c r="A14357" i="1"/>
  <c r="A12541" i="1"/>
  <c r="A10419" i="1"/>
  <c r="A10151" i="1"/>
  <c r="A9547" i="1"/>
  <c r="A6001" i="1"/>
  <c r="A5778" i="1"/>
  <c r="A2944" i="1"/>
  <c r="A23361" i="1"/>
  <c r="A29895" i="1"/>
  <c r="A18131" i="1"/>
  <c r="A19870" i="1"/>
  <c r="A11542" i="1"/>
  <c r="A6200" i="1"/>
  <c r="A2200" i="1"/>
  <c r="A10369" i="1"/>
  <c r="A12903" i="1"/>
  <c r="A34402" i="1"/>
  <c r="A5569" i="1"/>
  <c r="A27660" i="1"/>
  <c r="A7656" i="1"/>
  <c r="A22555" i="1"/>
  <c r="A16391" i="1"/>
  <c r="A8376" i="1"/>
  <c r="A3188" i="1"/>
  <c r="A2035" i="1"/>
  <c r="A16814" i="1"/>
  <c r="A17299" i="1"/>
  <c r="A16491" i="1"/>
  <c r="A16293" i="1"/>
  <c r="A15297" i="1"/>
  <c r="A7545" i="1"/>
  <c r="A3877" i="1"/>
  <c r="A761" i="1"/>
  <c r="A20615" i="1"/>
  <c r="A4954" i="1"/>
  <c r="A14430" i="1"/>
  <c r="A12626" i="1"/>
  <c r="A22408" i="1"/>
  <c r="A17680" i="1"/>
  <c r="A10371" i="1"/>
  <c r="A5984" i="1"/>
  <c r="A9615" i="1"/>
  <c r="A9008" i="1"/>
  <c r="A26651" i="1"/>
  <c r="A980" i="1"/>
  <c r="A28125" i="1"/>
  <c r="A4315" i="1"/>
  <c r="A20490" i="1"/>
  <c r="A15242" i="1"/>
  <c r="A7515" i="1"/>
  <c r="A3137" i="1"/>
  <c r="A1621" i="1"/>
  <c r="A11885" i="1"/>
  <c r="A19859" i="1"/>
  <c r="A17297" i="1"/>
  <c r="A16489" i="1"/>
  <c r="A16283" i="1"/>
  <c r="A7452" i="1"/>
  <c r="A3779" i="1"/>
  <c r="A407" i="1"/>
  <c r="A19783" i="1"/>
  <c r="A170" i="1"/>
  <c r="A6351" i="1"/>
  <c r="A21333" i="1"/>
  <c r="A19348" i="1"/>
  <c r="A5233" i="1"/>
  <c r="A6713" i="1"/>
  <c r="A5774" i="1"/>
  <c r="A5849" i="1"/>
  <c r="A11198" i="1"/>
  <c r="A5622" i="1"/>
  <c r="A5389" i="1"/>
  <c r="A13765" i="1"/>
  <c r="A6511" i="1"/>
  <c r="A9987" i="1"/>
  <c r="A750" i="1"/>
  <c r="A12384" i="1"/>
  <c r="A3122" i="1"/>
  <c r="A19730" i="1"/>
  <c r="A10341" i="1"/>
  <c r="A10202" i="1"/>
  <c r="A35210" i="1"/>
  <c r="A34760" i="1"/>
  <c r="A31794" i="1"/>
  <c r="A30993" i="1"/>
  <c r="A30970" i="1"/>
  <c r="A10097" i="1"/>
  <c r="A20746" i="1"/>
  <c r="A20126" i="1"/>
  <c r="A17965" i="1"/>
  <c r="A16791" i="1"/>
  <c r="A14926" i="1"/>
  <c r="A13146" i="1"/>
  <c r="A11664" i="1"/>
  <c r="A10657" i="1"/>
  <c r="A10314" i="1"/>
  <c r="A10230" i="1"/>
  <c r="A10119" i="1"/>
  <c r="A9607" i="1"/>
  <c r="A6175" i="1"/>
  <c r="A5453" i="1"/>
  <c r="A5238" i="1"/>
  <c r="A4012" i="1"/>
  <c r="A28391" i="1"/>
  <c r="A544" i="1"/>
  <c r="A16468" i="1"/>
  <c r="A19996" i="1"/>
  <c r="A15256" i="1"/>
  <c r="A10539" i="1"/>
  <c r="A31543" i="1"/>
  <c r="A10029" i="1"/>
  <c r="A30959" i="1"/>
  <c r="A10515" i="1"/>
  <c r="A10171" i="1"/>
  <c r="A29148" i="1"/>
  <c r="A26015" i="1"/>
  <c r="A12130" i="1"/>
  <c r="A19894" i="1"/>
  <c r="A19055" i="1"/>
  <c r="A17275" i="1"/>
  <c r="A16310" i="1"/>
  <c r="A15438" i="1"/>
  <c r="A14387" i="1"/>
  <c r="A13348" i="1"/>
  <c r="A11919" i="1"/>
  <c r="A4008" i="1"/>
  <c r="A30891" i="1"/>
  <c r="A9601" i="1"/>
  <c r="A5732" i="1"/>
  <c r="A5409" i="1"/>
  <c r="A5324" i="1"/>
  <c r="A5306" i="1"/>
  <c r="A5004" i="1"/>
  <c r="A4804" i="1"/>
  <c r="A4158" i="1"/>
  <c r="A3821" i="1"/>
  <c r="A1161" i="1"/>
  <c r="A538" i="1"/>
  <c r="A22753" i="1"/>
  <c r="A17309" i="1"/>
  <c r="A21595" i="1"/>
  <c r="A21810" i="1"/>
  <c r="A14041" i="1"/>
  <c r="A17019" i="1"/>
  <c r="A14581" i="1"/>
  <c r="A18708" i="1"/>
  <c r="A3845" i="1"/>
  <c r="A22656" i="1"/>
  <c r="A13081" i="1"/>
  <c r="A20626" i="1"/>
  <c r="A18612" i="1"/>
  <c r="A13087" i="1"/>
  <c r="A8130" i="1"/>
  <c r="A5159" i="1"/>
  <c r="A5577" i="1"/>
  <c r="A34379" i="1"/>
  <c r="A21010" i="1"/>
  <c r="A4940" i="1"/>
  <c r="A16482" i="1"/>
  <c r="A8164" i="1"/>
  <c r="A3164" i="1"/>
  <c r="A21909" i="1"/>
  <c r="A21486" i="1"/>
  <c r="A20078" i="1"/>
  <c r="A10817" i="1"/>
  <c r="A3213" i="1"/>
  <c r="A14060" i="1"/>
  <c r="A31152" i="1"/>
  <c r="A27040" i="1"/>
  <c r="A6769" i="1"/>
  <c r="A20390" i="1"/>
  <c r="A15903" i="1"/>
  <c r="A8963" i="1"/>
  <c r="A8038" i="1"/>
  <c r="A5738" i="1"/>
  <c r="A4882" i="1"/>
  <c r="A19694" i="1"/>
  <c r="A7745" i="1"/>
  <c r="A479" i="1"/>
  <c r="A35859" i="1"/>
  <c r="A5957" i="1"/>
  <c r="A19632" i="1"/>
  <c r="A16487" i="1"/>
  <c r="A16154" i="1"/>
  <c r="A14963" i="1"/>
  <c r="A6625" i="1"/>
  <c r="A3648" i="1"/>
  <c r="A22347" i="1"/>
  <c r="A13382" i="1"/>
  <c r="A11758" i="1"/>
  <c r="A22372" i="1"/>
  <c r="A17042" i="1"/>
  <c r="A10326" i="1"/>
  <c r="A5956" i="1"/>
  <c r="A6172" i="1"/>
  <c r="A6621" i="1"/>
  <c r="A16799" i="1"/>
  <c r="A36648" i="1"/>
  <c r="A17819" i="1"/>
  <c r="A695" i="1"/>
  <c r="A20444" i="1"/>
  <c r="A14385" i="1"/>
  <c r="A7392" i="1"/>
  <c r="A3106" i="1"/>
  <c r="A1523" i="1"/>
  <c r="A10223" i="1"/>
  <c r="A19550" i="1"/>
  <c r="A16828" i="1"/>
  <c r="A16446" i="1"/>
  <c r="A16036" i="1"/>
  <c r="A14324" i="1"/>
  <c r="A82" i="1"/>
  <c r="A17542" i="1"/>
  <c r="A1543" i="1"/>
  <c r="A21209" i="1"/>
  <c r="A18486" i="1"/>
  <c r="A22002" i="1"/>
  <c r="A5772" i="1"/>
  <c r="A5730" i="1"/>
  <c r="A15133" i="1"/>
  <c r="A20278" i="1"/>
  <c r="A8795" i="1"/>
  <c r="A13122" i="1"/>
  <c r="A5494" i="1"/>
  <c r="A15086" i="1"/>
  <c r="A25845" i="1"/>
  <c r="A10310" i="1"/>
  <c r="A10347" i="1"/>
  <c r="A35440" i="1"/>
  <c r="A34717" i="1"/>
  <c r="A2829" i="1"/>
  <c r="A26772" i="1"/>
  <c r="A9801" i="1"/>
  <c r="A21884" i="1"/>
  <c r="A20732" i="1"/>
  <c r="A19489" i="1"/>
  <c r="A17963" i="1"/>
  <c r="A16565" i="1"/>
  <c r="A14746" i="1"/>
  <c r="A9616" i="1"/>
  <c r="A17504" i="1"/>
  <c r="A10309" i="1"/>
  <c r="A10228" i="1"/>
  <c r="A10050" i="1"/>
  <c r="A9603" i="1"/>
  <c r="A6008" i="1"/>
  <c r="A5343" i="1"/>
  <c r="A4973" i="1"/>
  <c r="A3658" i="1"/>
  <c r="A534" i="1"/>
  <c r="A9596" i="1"/>
  <c r="A3096" i="1"/>
  <c r="A5868" i="1"/>
  <c r="A4794" i="1"/>
  <c r="A30964" i="1"/>
  <c r="A33415" i="1"/>
  <c r="A31510" i="1"/>
  <c r="A30508" i="1"/>
  <c r="A26724" i="1"/>
  <c r="A21993" i="1"/>
  <c r="A20715" i="1"/>
  <c r="A19816" i="1"/>
  <c r="A19049" i="1"/>
  <c r="A16794" i="1"/>
  <c r="A16150" i="1"/>
  <c r="A15273" i="1"/>
  <c r="A14088" i="1"/>
  <c r="A13338" i="1"/>
  <c r="A10717" i="1"/>
  <c r="A10278" i="1"/>
  <c r="A10159" i="1"/>
  <c r="A5496" i="1"/>
  <c r="A9591" i="1"/>
  <c r="A5550" i="1"/>
  <c r="A5395" i="1"/>
  <c r="A5322" i="1"/>
  <c r="A5304" i="1"/>
  <c r="A4826" i="1"/>
  <c r="A4800" i="1"/>
  <c r="A4155" i="1"/>
  <c r="A3385" i="1"/>
  <c r="A2773" i="1"/>
  <c r="A1159" i="1"/>
  <c r="A535" i="1"/>
  <c r="A21373" i="1"/>
  <c r="A16834" i="1"/>
  <c r="A13749" i="1"/>
  <c r="A19076" i="1"/>
  <c r="A17018" i="1"/>
  <c r="A10951" i="1"/>
  <c r="A6681" i="1"/>
  <c r="A3835" i="1"/>
  <c r="A21852" i="1"/>
  <c r="A20412" i="1"/>
  <c r="A20624" i="1"/>
  <c r="A16725" i="1"/>
  <c r="A13083" i="1"/>
  <c r="A7707" i="1"/>
  <c r="A5158" i="1"/>
  <c r="A3995" i="1"/>
  <c r="A19242" i="1"/>
  <c r="A721" i="1"/>
  <c r="A13377" i="1"/>
  <c r="A4697" i="1"/>
  <c r="A25218" i="1"/>
  <c r="A7519" i="1"/>
  <c r="A21584" i="1"/>
  <c r="A15354" i="1"/>
  <c r="A10136" i="1"/>
  <c r="A5744" i="1"/>
  <c r="A15246" i="1"/>
  <c r="A400" i="1"/>
  <c r="A4282" i="1"/>
  <c r="A10157" i="1"/>
  <c r="A11089" i="1"/>
  <c r="A21627" i="1"/>
  <c r="A18515" i="1"/>
  <c r="A12095" i="1"/>
  <c r="A6858" i="1"/>
  <c r="A2562" i="1"/>
  <c r="A1417" i="1"/>
  <c r="A7375" i="1"/>
  <c r="A7507" i="1"/>
  <c r="A22647" i="1"/>
  <c r="A19466" i="1"/>
  <c r="A16784" i="1"/>
  <c r="A15978" i="1"/>
  <c r="A13759" i="1"/>
  <c r="A6013" i="1"/>
  <c r="A3519" i="1"/>
  <c r="A55" i="1"/>
  <c r="A17527" i="1"/>
  <c r="A29644" i="1"/>
  <c r="A16463" i="1"/>
  <c r="A13070" i="1"/>
  <c r="A10120" i="1"/>
  <c r="A5661" i="1"/>
  <c r="A13206" i="1"/>
  <c r="A4903" i="1"/>
  <c r="A19183" i="1"/>
  <c r="A16617" i="1"/>
  <c r="A16444" i="1"/>
  <c r="A15936" i="1"/>
  <c r="A13623" i="1"/>
  <c r="A5986" i="1"/>
  <c r="A2245" i="1"/>
  <c r="A26524" i="1"/>
  <c r="A6111" i="1"/>
  <c r="A19401" i="1"/>
  <c r="A16066" i="1"/>
  <c r="A31118" i="1"/>
  <c r="A20711" i="1"/>
  <c r="A18266" i="1"/>
  <c r="A13112" i="1"/>
  <c r="A15281" i="1"/>
  <c r="A3827" i="1"/>
  <c r="A8091" i="1"/>
  <c r="A6515" i="1"/>
  <c r="A14613" i="1"/>
  <c r="A17520" i="1"/>
  <c r="A14806" i="1"/>
  <c r="A8893" i="1"/>
  <c r="A8598" i="1"/>
  <c r="A18934" i="1"/>
  <c r="A13845" i="1"/>
  <c r="A10075" i="1"/>
  <c r="A22632" i="1"/>
  <c r="A5330" i="1"/>
  <c r="A18016" i="1"/>
  <c r="A2961" i="1"/>
  <c r="A30987" i="1"/>
  <c r="A30955" i="1"/>
  <c r="A13344" i="1"/>
  <c r="A28352" i="1"/>
  <c r="A25855" i="1"/>
  <c r="A11774" i="1"/>
  <c r="A20581" i="1"/>
  <c r="A19332" i="1"/>
  <c r="A17282" i="1"/>
  <c r="A16472" i="1"/>
  <c r="A14602" i="1"/>
  <c r="A12539" i="1"/>
  <c r="A11180" i="1"/>
  <c r="A10502" i="1"/>
  <c r="A10285" i="1"/>
  <c r="A10173" i="1"/>
  <c r="A9849" i="1"/>
  <c r="A9179" i="1"/>
  <c r="A5897" i="1"/>
  <c r="A5328" i="1"/>
  <c r="A4807" i="1"/>
  <c r="A3637" i="1"/>
  <c r="A2776" i="1"/>
  <c r="A467" i="1"/>
  <c r="A31036" i="1"/>
  <c r="A10556" i="1"/>
  <c r="A540" i="1"/>
  <c r="A36311" i="1"/>
  <c r="A20122" i="1"/>
  <c r="A28725" i="1"/>
  <c r="A21886" i="1"/>
  <c r="A20229" i="1"/>
  <c r="A19775" i="1"/>
  <c r="A2801" i="1"/>
  <c r="A16654" i="1"/>
  <c r="A15818" i="1"/>
  <c r="A15252" i="1"/>
  <c r="A13965" i="1"/>
  <c r="A13300" i="1"/>
  <c r="A10553" i="1"/>
  <c r="A5329" i="1"/>
  <c r="A10131" i="1"/>
  <c r="A9780" i="1"/>
  <c r="A9559" i="1"/>
  <c r="A5504" i="1"/>
  <c r="A5385" i="1"/>
  <c r="A5318" i="1"/>
  <c r="A5218" i="1"/>
  <c r="A4824" i="1"/>
  <c r="A4802" i="1"/>
  <c r="A4130" i="1"/>
  <c r="A3373" i="1"/>
  <c r="A35585" i="1"/>
  <c r="A1156" i="1"/>
  <c r="A531" i="1"/>
  <c r="A20528" i="1"/>
  <c r="A11461" i="1"/>
  <c r="A33625" i="1"/>
  <c r="A12929" i="1"/>
  <c r="A12958" i="1"/>
  <c r="A11612" i="1"/>
  <c r="A23617" i="1"/>
  <c r="A10911" i="1"/>
  <c r="A29570" i="1"/>
  <c r="A3843" i="1"/>
  <c r="A17942" i="1"/>
  <c r="A21451" i="1"/>
  <c r="A1639" i="1"/>
  <c r="A5999" i="1"/>
  <c r="A21570" i="1"/>
  <c r="A15336" i="1"/>
  <c r="A10045" i="1"/>
  <c r="A5548" i="1"/>
  <c r="A22961" i="1"/>
  <c r="A4116" i="1"/>
  <c r="A9613" i="1"/>
  <c r="A10773" i="1"/>
  <c r="A33305" i="1"/>
  <c r="A15344" i="1"/>
  <c r="A18513" i="1"/>
  <c r="A12034" i="1"/>
  <c r="A5473" i="1"/>
  <c r="A2533" i="1"/>
  <c r="A562" i="1"/>
  <c r="A21854" i="1"/>
  <c r="A18926" i="1"/>
  <c r="A16606" i="1"/>
  <c r="A16438" i="1"/>
  <c r="A12465" i="1"/>
  <c r="A5881" i="1"/>
  <c r="A5761" i="1"/>
  <c r="A145" i="1"/>
  <c r="A4172" i="1"/>
  <c r="A32088" i="1"/>
  <c r="A21687" i="1"/>
  <c r="A18458" i="1"/>
  <c r="A16511" i="1"/>
  <c r="A16422" i="1"/>
  <c r="A15830" i="1"/>
  <c r="A3947" i="1"/>
  <c r="A1340" i="1"/>
  <c r="A21888" i="1"/>
  <c r="A5302" i="1"/>
  <c r="A2247" i="1"/>
  <c r="A6446" i="1"/>
  <c r="A2650" i="1"/>
  <c r="A20894" i="1"/>
  <c r="A17301" i="1"/>
  <c r="A16496" i="1"/>
  <c r="A15778" i="1"/>
  <c r="A10802" i="1"/>
  <c r="A3879" i="1"/>
  <c r="A5006" i="1"/>
  <c r="A11457" i="1"/>
  <c r="A23024" i="1"/>
  <c r="A19638" i="1"/>
  <c r="A12160" i="1"/>
  <c r="A13114" i="1"/>
  <c r="A14674" i="1"/>
  <c r="A22284" i="1"/>
  <c r="A6521" i="1"/>
  <c r="A8818" i="1"/>
  <c r="A21657" i="1"/>
  <c r="A12518" i="1"/>
  <c r="A20204" i="1"/>
  <c r="A5909" i="1"/>
  <c r="A2822" i="1"/>
  <c r="A21255" i="1"/>
  <c r="A10057" i="1"/>
  <c r="A10099" i="1"/>
  <c r="A26017" i="1"/>
  <c r="A25727" i="1"/>
  <c r="A22506" i="1"/>
  <c r="A21113" i="1"/>
  <c r="A14823" i="1"/>
  <c r="A17996" i="1"/>
  <c r="A16798" i="1"/>
  <c r="A15082" i="1"/>
  <c r="A13260" i="1"/>
  <c r="A11716" i="1"/>
  <c r="A10673" i="1"/>
  <c r="A10404" i="1"/>
  <c r="A10238" i="1"/>
  <c r="A10142" i="1"/>
  <c r="A9638" i="1"/>
  <c r="A7394" i="1"/>
  <c r="A5485" i="1"/>
  <c r="A5308" i="1"/>
  <c r="A4564" i="1"/>
  <c r="A30982" i="1"/>
  <c r="A545" i="1"/>
  <c r="A434" i="1"/>
  <c r="A30549" i="1"/>
  <c r="A10187" i="1"/>
  <c r="A2974" i="1"/>
  <c r="A32005" i="1"/>
  <c r="A31259" i="1"/>
  <c r="A30797" i="1"/>
  <c r="A30985" i="1"/>
  <c r="A26185" i="1"/>
  <c r="A1286" i="1"/>
  <c r="A22494" i="1"/>
  <c r="A20877" i="1"/>
  <c r="A19928" i="1"/>
  <c r="A19356" i="1"/>
  <c r="A17503" i="1"/>
  <c r="A16562" i="1"/>
  <c r="A15511" i="1"/>
  <c r="A14578" i="1"/>
  <c r="A13435" i="1"/>
  <c r="A11973" i="1"/>
  <c r="A10409" i="1"/>
  <c r="A10189" i="1"/>
  <c r="A10059" i="1"/>
  <c r="A9593" i="1"/>
  <c r="A5752" i="1"/>
  <c r="A5489" i="1"/>
  <c r="A5336" i="1"/>
  <c r="A30544" i="1"/>
  <c r="A9594" i="1"/>
  <c r="A4806" i="1"/>
  <c r="A4709" i="1"/>
  <c r="A4005" i="1"/>
  <c r="A2830" i="1"/>
  <c r="A1228" i="1"/>
  <c r="A905" i="1"/>
  <c r="A10438" i="1"/>
  <c r="A25653" i="1"/>
  <c r="A2917" i="1"/>
  <c r="A13363" i="1"/>
  <c r="A13248" i="1"/>
  <c r="A3190" i="1"/>
  <c r="A17538" i="1"/>
  <c r="A8600" i="1"/>
  <c r="A20748" i="1"/>
  <c r="A21448" i="1"/>
  <c r="A13079" i="1"/>
  <c r="A5118" i="1"/>
  <c r="A6" i="1"/>
  <c r="A11849" i="1"/>
  <c r="A20967" i="1"/>
  <c r="A7551" i="1"/>
  <c r="A2501" i="1"/>
  <c r="A7602" i="1"/>
  <c r="A18469" i="1"/>
  <c r="A8053" i="1"/>
  <c r="A5231" i="1"/>
  <c r="A34647" i="1"/>
  <c r="A11182" i="1"/>
  <c r="A4777" i="1"/>
  <c r="A10758" i="1"/>
  <c r="A28378" i="1"/>
  <c r="A15318" i="1"/>
  <c r="A2693" i="1"/>
  <c r="A8497" i="1"/>
  <c r="A1979" i="1"/>
  <c r="A18936" i="1"/>
  <c r="A14905" i="1"/>
  <c r="A7312" i="1"/>
  <c r="A3608" i="1"/>
  <c r="A21289" i="1"/>
  <c r="A35763" i="1"/>
  <c r="A30398" i="1"/>
  <c r="A2434" i="1"/>
  <c r="A16552" i="1"/>
  <c r="A5469" i="1"/>
  <c r="A19796" i="1"/>
  <c r="A2958" i="1"/>
  <c r="A7641" i="1"/>
  <c r="A10503" i="1"/>
  <c r="A20468" i="1"/>
  <c r="A14402" i="1"/>
  <c r="A5807" i="1"/>
  <c r="A630" i="1"/>
  <c r="A10255" i="1"/>
  <c r="A35814" i="1"/>
  <c r="A30949" i="1"/>
  <c r="A10346" i="1"/>
  <c r="A20158" i="1"/>
  <c r="A15776" i="1"/>
  <c r="A10467" i="1"/>
  <c r="A5895" i="1"/>
  <c r="A5214" i="1"/>
  <c r="A3095" i="1"/>
  <c r="A25459" i="1"/>
  <c r="A10836" i="1"/>
  <c r="A19266" i="1"/>
  <c r="A13066" i="1"/>
  <c r="A5" i="1"/>
  <c r="A21713" i="1"/>
  <c r="A20958" i="1"/>
  <c r="A7549" i="1"/>
  <c r="A4788" i="1"/>
  <c r="A7298" i="1"/>
  <c r="A29426" i="1"/>
  <c r="A15923" i="1"/>
  <c r="A8043" i="1"/>
  <c r="A4985" i="1"/>
  <c r="A34061" i="1"/>
  <c r="A11174" i="1"/>
  <c r="A35994" i="1"/>
  <c r="A31635" i="1"/>
  <c r="A4167" i="1"/>
  <c r="A8740" i="1"/>
  <c r="A14044" i="1"/>
  <c r="A2627" i="1"/>
  <c r="A20741" i="1"/>
  <c r="A14171" i="1"/>
  <c r="A33705" i="1"/>
  <c r="A500" i="1"/>
  <c r="A36039" i="1"/>
  <c r="A9354" i="1"/>
  <c r="A5973" i="1"/>
  <c r="A16227" i="1"/>
  <c r="A35180" i="1"/>
  <c r="A35964" i="1"/>
  <c r="A35163" i="1"/>
  <c r="A8834" i="1"/>
  <c r="A3756" i="1"/>
  <c r="A4647" i="1"/>
  <c r="A18349" i="1"/>
  <c r="A16078" i="1"/>
  <c r="A6664" i="1"/>
  <c r="A2343" i="1"/>
  <c r="A1013" i="1"/>
  <c r="A26979" i="1"/>
  <c r="A25117" i="1"/>
  <c r="A18249" i="1"/>
  <c r="A3866" i="1"/>
  <c r="A31572" i="1"/>
  <c r="A15771" i="1"/>
  <c r="A7934" i="1"/>
  <c r="A753" i="1"/>
  <c r="A15260" i="1"/>
  <c r="A8020" i="1"/>
  <c r="A14481" i="1"/>
  <c r="A5989" i="1"/>
  <c r="A16413" i="1"/>
  <c r="A22313" i="1"/>
  <c r="A20944" i="1"/>
  <c r="A18987" i="1"/>
  <c r="A18160" i="1"/>
  <c r="A5086" i="1"/>
  <c r="A25261" i="1"/>
  <c r="A27672" i="1"/>
  <c r="A8303" i="1"/>
  <c r="A19514" i="1"/>
  <c r="A17040" i="1"/>
  <c r="A9443" i="1"/>
  <c r="A6051" i="1"/>
  <c r="A19732" i="1"/>
  <c r="A19177" i="1"/>
  <c r="A18096" i="1"/>
  <c r="A16505" i="1"/>
  <c r="A16304" i="1"/>
  <c r="A10790" i="1"/>
  <c r="A8248" i="1"/>
  <c r="A5360" i="1"/>
  <c r="A4231" i="1"/>
  <c r="A1081" i="1"/>
  <c r="A710" i="1"/>
  <c r="A15780" i="1"/>
  <c r="A28076" i="1"/>
  <c r="A27946" i="1"/>
  <c r="A27263" i="1"/>
  <c r="A26570" i="1"/>
  <c r="A25246" i="1"/>
  <c r="A25157" i="1"/>
  <c r="A24342" i="1"/>
  <c r="A24221" i="1"/>
  <c r="A21914" i="1"/>
  <c r="A20695" i="1"/>
  <c r="A19974" i="1"/>
  <c r="A19850" i="1"/>
  <c r="A19702" i="1"/>
  <c r="A19187" i="1"/>
  <c r="A18767" i="1"/>
  <c r="A18445" i="1"/>
  <c r="A18398" i="1"/>
  <c r="A18332" i="1"/>
  <c r="A17512" i="1"/>
  <c r="A17399" i="1"/>
  <c r="A17293" i="1"/>
  <c r="A16708" i="1"/>
  <c r="A16503" i="1"/>
  <c r="A16470" i="1"/>
  <c r="A16418" i="1"/>
  <c r="A16275" i="1"/>
  <c r="A15980" i="1"/>
  <c r="A15810" i="1"/>
  <c r="A11112" i="1"/>
  <c r="A10824" i="1"/>
  <c r="A9922" i="1"/>
  <c r="A9274" i="1"/>
  <c r="A8352" i="1"/>
  <c r="A8311" i="1"/>
  <c r="A8280" i="1"/>
  <c r="A8208" i="1"/>
  <c r="A6683" i="1"/>
  <c r="A6409" i="1"/>
  <c r="A6074" i="1"/>
  <c r="A6053" i="1"/>
  <c r="A6039" i="1"/>
  <c r="A5907" i="1"/>
  <c r="A5748" i="1"/>
  <c r="A5592" i="1"/>
  <c r="A4773" i="1"/>
  <c r="A4739" i="1"/>
  <c r="A4666" i="1"/>
  <c r="A4483" i="1"/>
  <c r="A4241" i="1"/>
  <c r="A4225" i="1"/>
  <c r="A3955" i="1"/>
  <c r="A3855" i="1"/>
  <c r="A3569" i="1"/>
  <c r="A1083" i="1"/>
  <c r="A957" i="1"/>
  <c r="A707" i="1"/>
  <c r="A733" i="1"/>
  <c r="A655" i="1"/>
  <c r="A35177" i="1"/>
  <c r="A21988" i="1"/>
  <c r="A22846" i="1"/>
  <c r="A13686" i="1"/>
  <c r="A2765" i="1"/>
  <c r="A2520" i="1"/>
  <c r="A7085" i="1"/>
  <c r="A22941" i="1"/>
  <c r="A22323" i="1"/>
  <c r="A21403" i="1"/>
  <c r="A21036" i="1"/>
  <c r="A33300" i="1"/>
  <c r="A21278" i="1"/>
  <c r="A34999" i="1"/>
  <c r="A2371" i="1"/>
  <c r="A3881" i="1"/>
  <c r="A5237" i="1"/>
  <c r="A22947" i="1"/>
  <c r="A8880" i="1"/>
  <c r="A4378" i="1"/>
  <c r="A30973" i="1"/>
  <c r="A25758" i="1"/>
  <c r="A20381" i="1"/>
  <c r="A13277" i="1"/>
  <c r="A10239" i="1"/>
  <c r="A5491" i="1"/>
  <c r="A625" i="1"/>
  <c r="A9718" i="1"/>
  <c r="A26159" i="1"/>
  <c r="A20093" i="1"/>
  <c r="A15669" i="1"/>
  <c r="A9996" i="1"/>
  <c r="A5867" i="1"/>
  <c r="A5212" i="1"/>
  <c r="A3084" i="1"/>
  <c r="A22042" i="1"/>
  <c r="A18899" i="1"/>
  <c r="A1019" i="1"/>
  <c r="A5061" i="1"/>
  <c r="A3195" i="1"/>
  <c r="A25608" i="1"/>
  <c r="A12676" i="1"/>
  <c r="A19212" i="1"/>
  <c r="A13995" i="1"/>
  <c r="A1977" i="1"/>
  <c r="A27513" i="1"/>
  <c r="A14473" i="1"/>
  <c r="A15557" i="1"/>
  <c r="A28253" i="1"/>
  <c r="A22822" i="1"/>
  <c r="A14563" i="1"/>
  <c r="A5975" i="1"/>
  <c r="A3306" i="1"/>
  <c r="A260" i="1"/>
  <c r="A20018" i="1"/>
  <c r="A31143" i="1"/>
  <c r="A22801" i="1"/>
  <c r="A2037" i="1"/>
  <c r="A16502" i="1"/>
  <c r="A18622" i="1"/>
  <c r="A2308" i="1"/>
  <c r="A32164" i="1"/>
  <c r="A24576" i="1"/>
  <c r="A7644" i="1"/>
  <c r="A20080" i="1"/>
  <c r="A7547" i="1"/>
  <c r="A21050" i="1"/>
  <c r="A31705" i="1"/>
  <c r="A35936" i="1"/>
  <c r="A15900" i="1"/>
  <c r="A8040" i="1"/>
  <c r="A4919" i="1"/>
  <c r="A6438" i="1"/>
  <c r="A35973" i="1"/>
  <c r="A3098" i="1"/>
  <c r="A14372" i="1"/>
  <c r="A13108" i="1"/>
  <c r="A9321" i="1"/>
  <c r="A8535" i="1"/>
  <c r="A10655" i="1"/>
  <c r="A35927" i="1"/>
  <c r="A34936" i="1"/>
  <c r="A7883" i="1"/>
  <c r="A18259" i="1"/>
  <c r="A740" i="1"/>
  <c r="A31193" i="1"/>
  <c r="A19781" i="1"/>
  <c r="A18208" i="1"/>
  <c r="A14003" i="1"/>
  <c r="A9531" i="1"/>
  <c r="A8820" i="1"/>
  <c r="A2215" i="1"/>
  <c r="A831" i="1"/>
  <c r="A17851" i="1"/>
  <c r="A26912" i="1"/>
  <c r="A16270" i="1"/>
  <c r="A657" i="1"/>
  <c r="A31474" i="1"/>
  <c r="A26757" i="1"/>
  <c r="A24052" i="1"/>
  <c r="A13075" i="1"/>
  <c r="A7341" i="1"/>
  <c r="A34159" i="1"/>
  <c r="A5522" i="1"/>
  <c r="A7729" i="1"/>
  <c r="A16068" i="1"/>
  <c r="A5617" i="1"/>
  <c r="A8112" i="1"/>
  <c r="A22022" i="1"/>
  <c r="A20563" i="1"/>
  <c r="A18870" i="1"/>
  <c r="A18090" i="1"/>
  <c r="A2541" i="1"/>
  <c r="A19847" i="1"/>
  <c r="A18172" i="1"/>
  <c r="A18730" i="1"/>
  <c r="A16625" i="1"/>
  <c r="A8364" i="1"/>
  <c r="A6019" i="1"/>
  <c r="A21709" i="1"/>
  <c r="A19708" i="1"/>
  <c r="A19063" i="1"/>
  <c r="A18069" i="1"/>
  <c r="A16483" i="1"/>
  <c r="A15972" i="1"/>
  <c r="A9199" i="1"/>
  <c r="A8240" i="1"/>
  <c r="A4759" i="1"/>
  <c r="A3612" i="1"/>
  <c r="A1069" i="1"/>
  <c r="A607" i="1"/>
  <c r="A11061" i="1"/>
  <c r="A8299" i="1"/>
  <c r="A28612" i="1"/>
  <c r="A17367" i="1"/>
  <c r="A26924" i="1"/>
  <c r="A28069" i="1"/>
  <c r="A27019" i="1"/>
  <c r="A26973" i="1"/>
  <c r="A26566" i="1"/>
  <c r="A25210" i="1"/>
  <c r="A25006" i="1"/>
  <c r="A24465" i="1"/>
  <c r="A24329" i="1"/>
  <c r="A21913" i="1"/>
  <c r="A20867" i="1"/>
  <c r="A20693" i="1"/>
  <c r="A19966" i="1"/>
  <c r="A19767" i="1"/>
  <c r="A19705" i="1"/>
  <c r="A19185" i="1"/>
  <c r="A18765" i="1"/>
  <c r="A18443" i="1"/>
  <c r="A18342" i="1"/>
  <c r="A18278" i="1"/>
  <c r="A17469" i="1"/>
  <c r="A17379" i="1"/>
  <c r="A17279" i="1"/>
  <c r="A16649" i="1"/>
  <c r="A16500" i="1"/>
  <c r="A16456" i="1"/>
  <c r="A16320" i="1"/>
  <c r="A16281" i="1"/>
  <c r="A15979" i="1"/>
  <c r="A15779" i="1"/>
  <c r="A11060" i="1"/>
  <c r="A10823" i="1"/>
  <c r="A23542" i="1"/>
  <c r="A14264" i="1"/>
  <c r="A17926" i="1"/>
  <c r="A36258" i="1"/>
  <c r="A5757" i="1"/>
  <c r="A17226" i="1"/>
  <c r="A362" i="1"/>
  <c r="A16430" i="1"/>
  <c r="A2155" i="1"/>
  <c r="A17015" i="1"/>
  <c r="A20622" i="1"/>
  <c r="A15030" i="1"/>
  <c r="A12368" i="1"/>
  <c r="A5864" i="1"/>
  <c r="A14802" i="1"/>
  <c r="A21243" i="1"/>
  <c r="A27775" i="1"/>
  <c r="A19204" i="1"/>
  <c r="A11987" i="1"/>
  <c r="A10169" i="1"/>
  <c r="A5325" i="1"/>
  <c r="A440" i="1"/>
  <c r="A25636" i="1"/>
  <c r="A19710" i="1"/>
  <c r="A15196" i="1"/>
  <c r="A5338" i="1"/>
  <c r="A5493" i="1"/>
  <c r="A4815" i="1"/>
  <c r="A10161" i="1"/>
  <c r="A22966" i="1"/>
  <c r="A17827" i="1"/>
  <c r="A11" i="1"/>
  <c r="A16371" i="1"/>
  <c r="A18620" i="1"/>
  <c r="A11117" i="1"/>
  <c r="A1071" i="1"/>
  <c r="A6418" i="1"/>
  <c r="A10" i="1"/>
  <c r="A6750" i="1"/>
  <c r="A21837" i="1"/>
  <c r="A19217" i="1"/>
  <c r="A4714" i="1"/>
  <c r="A4891" i="1"/>
  <c r="A15896" i="1"/>
  <c r="A7256" i="1"/>
  <c r="A4812" i="1"/>
  <c r="A6131" i="1"/>
  <c r="A25878" i="1"/>
  <c r="A15035" i="1"/>
  <c r="A24863" i="1"/>
  <c r="A11747" i="1"/>
  <c r="A21907" i="1"/>
  <c r="A3451" i="1"/>
  <c r="A25887" i="1"/>
  <c r="A9229" i="1"/>
  <c r="A21691" i="1"/>
  <c r="A8891" i="1"/>
  <c r="A5965" i="1"/>
  <c r="A993" i="1"/>
  <c r="A232" i="1"/>
  <c r="A23345" i="1"/>
  <c r="A14102" i="1"/>
  <c r="A16796" i="1"/>
  <c r="A35967" i="1"/>
  <c r="A4968" i="1"/>
  <c r="A17224" i="1"/>
  <c r="A328" i="1"/>
  <c r="A16415" i="1"/>
  <c r="A1332" i="1"/>
  <c r="A26539" i="1"/>
  <c r="A8793" i="1"/>
  <c r="A21157" i="1"/>
  <c r="A15250" i="1"/>
  <c r="A15131" i="1"/>
  <c r="A5257" i="1"/>
  <c r="A7430" i="1"/>
  <c r="A19158" i="1"/>
  <c r="A11946" i="1"/>
  <c r="A10163" i="1"/>
  <c r="A5316" i="1"/>
  <c r="A436" i="1"/>
  <c r="A4674" i="1"/>
  <c r="A25204" i="1"/>
  <c r="A9605" i="1"/>
  <c r="A14670" i="1"/>
  <c r="A10199" i="1"/>
  <c r="A5458" i="1"/>
  <c r="A4810" i="1"/>
  <c r="A1231" i="1"/>
  <c r="A18843" i="1"/>
  <c r="A11006" i="1"/>
  <c r="A8918" i="1"/>
  <c r="A18618" i="1"/>
  <c r="A20899" i="1"/>
  <c r="A6307" i="1"/>
  <c r="A16727" i="1"/>
  <c r="A6748" i="1"/>
  <c r="A21828" i="1"/>
  <c r="A19153" i="1"/>
  <c r="A4262" i="1"/>
  <c r="A3758" i="1"/>
  <c r="A15893" i="1"/>
  <c r="A6115" i="1"/>
  <c r="A701" i="1"/>
  <c r="A382" i="1"/>
  <c r="A4336" i="1"/>
  <c r="A3357" i="1"/>
  <c r="A24399" i="1"/>
  <c r="A8115" i="1"/>
  <c r="A18828" i="1"/>
  <c r="A12388" i="1"/>
  <c r="A22418" i="1"/>
  <c r="A1285" i="1"/>
  <c r="A20222" i="1"/>
  <c r="A18" i="1"/>
  <c r="A8533" i="1"/>
  <c r="A33744" i="1"/>
  <c r="A23743" i="1"/>
  <c r="A845" i="1"/>
  <c r="A19244" i="1"/>
  <c r="A17228" i="1"/>
  <c r="A9937" i="1"/>
  <c r="A6535" i="1"/>
  <c r="A6150" i="1"/>
  <c r="A1409" i="1"/>
  <c r="A849" i="1"/>
  <c r="A23727" i="1"/>
  <c r="A743" i="1"/>
  <c r="A31104" i="1"/>
  <c r="A26736" i="1"/>
  <c r="A23893" i="1"/>
  <c r="A10597" i="1"/>
  <c r="A6541" i="1"/>
  <c r="A19147" i="1"/>
  <c r="A23985" i="1"/>
  <c r="A10576" i="1"/>
  <c r="A6734" i="1"/>
  <c r="A4737" i="1"/>
  <c r="A18058" i="1"/>
  <c r="A4743" i="1"/>
  <c r="A21677" i="1"/>
  <c r="A20194" i="1"/>
  <c r="A18815" i="1"/>
  <c r="A16740" i="1"/>
  <c r="A2318" i="1"/>
  <c r="A16274" i="1"/>
  <c r="A18272" i="1"/>
  <c r="A16555" i="1"/>
  <c r="A8307" i="1"/>
  <c r="A18661" i="1"/>
  <c r="A20869" i="1"/>
  <c r="A19684" i="1"/>
  <c r="A19057" i="1"/>
  <c r="A17473" i="1"/>
  <c r="A16455" i="1"/>
  <c r="A15952" i="1"/>
  <c r="A8867" i="1"/>
  <c r="A8218" i="1"/>
  <c r="A4685" i="1"/>
  <c r="A2298" i="1"/>
  <c r="A1058" i="1"/>
  <c r="A26963" i="1"/>
  <c r="A3523" i="1"/>
  <c r="A2300" i="1"/>
  <c r="A18428" i="1"/>
  <c r="A35359" i="1"/>
  <c r="A28596" i="1"/>
  <c r="A28051" i="1"/>
  <c r="A27577" i="1"/>
  <c r="A25380" i="1"/>
  <c r="A24264" i="1"/>
  <c r="A21728" i="1"/>
  <c r="A20770" i="1"/>
  <c r="A20688" i="1"/>
  <c r="A19907" i="1"/>
  <c r="A19744" i="1"/>
  <c r="A19700" i="1"/>
  <c r="A19175" i="1"/>
  <c r="A18728" i="1"/>
  <c r="A18437" i="1"/>
  <c r="A18340" i="1"/>
  <c r="A18247" i="1"/>
  <c r="A17467" i="1"/>
  <c r="A17365" i="1"/>
  <c r="A17271" i="1"/>
  <c r="A16623" i="1"/>
  <c r="A16494" i="1"/>
  <c r="A16454" i="1"/>
  <c r="A16314" i="1"/>
  <c r="A16280" i="1"/>
  <c r="A15953" i="1"/>
  <c r="A11374" i="1"/>
  <c r="A10831" i="1"/>
  <c r="A10813" i="1"/>
  <c r="A9313" i="1"/>
  <c r="A8714" i="1"/>
  <c r="A8319" i="1"/>
  <c r="A8301" i="1"/>
  <c r="A8267" i="1"/>
  <c r="A7537" i="1"/>
  <c r="A6660" i="1"/>
  <c r="A6393" i="1"/>
  <c r="A6063" i="1"/>
  <c r="A6047" i="1"/>
  <c r="A6035" i="1"/>
  <c r="A5855" i="1"/>
  <c r="A5629" i="1"/>
  <c r="A5555" i="1"/>
  <c r="A4758" i="1"/>
  <c r="A4733" i="1"/>
  <c r="A4533" i="1"/>
  <c r="A4479" i="1"/>
  <c r="A4237" i="1"/>
  <c r="A4221" i="1"/>
  <c r="A3893" i="1"/>
  <c r="A3705" i="1"/>
  <c r="A3545" i="1"/>
  <c r="A1076" i="1"/>
  <c r="A944" i="1"/>
  <c r="A767" i="1"/>
  <c r="A717" i="1"/>
  <c r="A609" i="1"/>
  <c r="A11439" i="1"/>
  <c r="A21901" i="1"/>
  <c r="A34935" i="1"/>
  <c r="A3796" i="1"/>
  <c r="A20620" i="1"/>
  <c r="A7103" i="1"/>
  <c r="A11732" i="1"/>
  <c r="A4543" i="1"/>
  <c r="A16098" i="1"/>
  <c r="A22761" i="1"/>
  <c r="A21975" i="1"/>
  <c r="A21155" i="1"/>
  <c r="A18720" i="1"/>
  <c r="A11726" i="1"/>
  <c r="A10478" i="1"/>
  <c r="A35725" i="1"/>
  <c r="A16475" i="1"/>
  <c r="A23" i="1"/>
  <c r="A16325" i="1"/>
  <c r="A863" i="1"/>
  <c r="A18587" i="1"/>
  <c r="A4338" i="1"/>
  <c r="A5450" i="1"/>
  <c r="A14973" i="1"/>
  <c r="A20656" i="1"/>
  <c r="A18614" i="1"/>
  <c r="A5581" i="1"/>
  <c r="A11115" i="1"/>
  <c r="A9" i="1"/>
  <c r="A3" i="1"/>
  <c r="A21756" i="1"/>
  <c r="A17032" i="1"/>
  <c r="A4251" i="1"/>
  <c r="A29684" i="1"/>
  <c r="A29484" i="1"/>
  <c r="A28876" i="1"/>
  <c r="A20952" i="1"/>
  <c r="A12719" i="1"/>
  <c r="A5798" i="1"/>
  <c r="A515" i="1"/>
  <c r="A26741" i="1"/>
  <c r="A5676" i="1"/>
  <c r="A4168" i="1"/>
  <c r="A25610" i="1"/>
  <c r="A7926" i="1"/>
  <c r="A21207" i="1"/>
  <c r="A19439" i="1"/>
  <c r="A17861" i="1"/>
  <c r="A12821" i="1"/>
  <c r="A8478" i="1"/>
  <c r="A8447" i="1"/>
  <c r="A5623" i="1"/>
  <c r="A378" i="1"/>
  <c r="A244" i="1"/>
  <c r="A9552" i="1"/>
  <c r="A2320" i="1"/>
  <c r="A19542" i="1"/>
  <c r="A11497" i="1"/>
  <c r="A21768" i="1"/>
  <c r="A15834" i="1"/>
  <c r="A15969" i="1"/>
  <c r="A14778" i="1"/>
  <c r="A9360" i="1"/>
  <c r="A6090" i="1"/>
  <c r="A15644" i="1"/>
  <c r="A23030" i="1"/>
  <c r="A30521" i="1"/>
  <c r="A17276" i="1"/>
  <c r="A16810" i="1"/>
  <c r="A11071" i="1"/>
  <c r="A9835" i="1"/>
  <c r="A4798" i="1"/>
  <c r="A18124" i="1"/>
  <c r="A13585" i="1"/>
  <c r="A10129" i="1"/>
  <c r="A5363" i="1"/>
  <c r="A4796" i="1"/>
  <c r="A1155" i="1"/>
  <c r="A5579" i="1"/>
  <c r="A859" i="1"/>
  <c r="A10563" i="1"/>
  <c r="A17857" i="1"/>
  <c r="A2" i="1"/>
  <c r="A21496" i="1"/>
  <c r="A11154" i="1"/>
  <c r="A4247" i="1"/>
  <c r="A28814" i="1"/>
  <c r="A19503" i="1"/>
  <c r="A20888" i="1"/>
  <c r="A11133" i="1"/>
  <c r="A5756" i="1"/>
  <c r="A493" i="1"/>
  <c r="A20844" i="1"/>
  <c r="A2358" i="1"/>
  <c r="A34806" i="1"/>
  <c r="A22994" i="1"/>
  <c r="A7961" i="1"/>
  <c r="A21045" i="1"/>
  <c r="A5567" i="1"/>
  <c r="A20823" i="1"/>
  <c r="A4355" i="1"/>
  <c r="A18502" i="1"/>
  <c r="A5170" i="1"/>
  <c r="A2926" i="1"/>
  <c r="A9319" i="1"/>
  <c r="A5691" i="1"/>
  <c r="A318" i="1"/>
  <c r="A35993" i="1"/>
  <c r="A35898" i="1"/>
  <c r="A27236" i="1"/>
  <c r="A26699" i="1"/>
  <c r="A7835" i="1"/>
  <c r="A18942" i="1"/>
  <c r="A13368" i="1"/>
  <c r="A7474" i="1"/>
  <c r="A6403" i="1"/>
  <c r="A5794" i="1"/>
  <c r="A1039" i="1"/>
  <c r="A18700" i="1"/>
  <c r="A10810" i="1"/>
  <c r="A35421" i="1"/>
  <c r="A26703" i="1"/>
  <c r="A23770" i="1"/>
  <c r="A9355" i="1"/>
  <c r="A6505" i="1"/>
  <c r="A18991" i="1"/>
  <c r="A14445" i="1"/>
  <c r="A6383" i="1"/>
  <c r="A16070" i="1"/>
  <c r="A21580" i="1"/>
  <c r="A20000" i="1"/>
  <c r="A18366" i="1"/>
  <c r="A16721" i="1"/>
  <c r="A2051" i="1"/>
  <c r="A21679" i="1"/>
  <c r="A18253" i="1"/>
  <c r="A15976" i="1"/>
  <c r="A8266" i="1"/>
  <c r="A4782" i="1"/>
  <c r="A20819" i="1"/>
  <c r="A19653" i="1"/>
  <c r="A18448" i="1"/>
  <c r="A16657" i="1"/>
  <c r="A16417" i="1"/>
  <c r="A12012" i="1"/>
  <c r="A8287" i="1"/>
  <c r="A6647" i="1"/>
  <c r="A4683" i="1"/>
  <c r="A2117" i="1"/>
  <c r="A770" i="1"/>
  <c r="A24898" i="1"/>
  <c r="A31157" i="1"/>
  <c r="A28451" i="1"/>
  <c r="A16305" i="1"/>
  <c r="A15332" i="1"/>
  <c r="A10038" i="1"/>
  <c r="A31341" i="1"/>
  <c r="A5709" i="1"/>
  <c r="A19087" i="1"/>
  <c r="A9155" i="1"/>
  <c r="A21498" i="1"/>
  <c r="A21670" i="1"/>
  <c r="A15807" i="1"/>
  <c r="A12245" i="1"/>
  <c r="A12907" i="1"/>
  <c r="A7906" i="1"/>
  <c r="A14716" i="1"/>
  <c r="A7889" i="1"/>
  <c r="A10528" i="1"/>
  <c r="A30967" i="1"/>
  <c r="A2808" i="1"/>
  <c r="A2948" i="1"/>
  <c r="A27108" i="1"/>
  <c r="A22537" i="1"/>
  <c r="A16806" i="1"/>
  <c r="A10769" i="1"/>
  <c r="A9679" i="1"/>
  <c r="A4675" i="1"/>
  <c r="A19997" i="1"/>
  <c r="A11954" i="1"/>
  <c r="A30608" i="1"/>
  <c r="A22921" i="1"/>
  <c r="A18015" i="1"/>
  <c r="A13433" i="1"/>
  <c r="A10063" i="1"/>
  <c r="A5348" i="1"/>
  <c r="A4792" i="1"/>
  <c r="A925" i="1"/>
  <c r="A18585" i="1"/>
  <c r="A3466" i="1"/>
  <c r="A106" i="1"/>
  <c r="A9185" i="1"/>
  <c r="A20628" i="1"/>
  <c r="A15563" i="1"/>
  <c r="A8955" i="1"/>
  <c r="A16493" i="1"/>
  <c r="A22222" i="1"/>
  <c r="A5407" i="1"/>
  <c r="A19586" i="1"/>
  <c r="A2539" i="1"/>
  <c r="A7009" i="1"/>
  <c r="A16748" i="1"/>
  <c r="A3339" i="1"/>
  <c r="A29254" i="1"/>
  <c r="A8030" i="1"/>
  <c r="A18940" i="1"/>
  <c r="A8350" i="1"/>
  <c r="A3573" i="1"/>
  <c r="A8415" i="1"/>
  <c r="A5448" i="1"/>
  <c r="A15595" i="1"/>
  <c r="A17656" i="1"/>
  <c r="A3911" i="1"/>
  <c r="A18054" i="1"/>
  <c r="A9447" i="1"/>
  <c r="A21180" i="1"/>
  <c r="A35298" i="1"/>
  <c r="A15283" i="1"/>
  <c r="A14684" i="1"/>
  <c r="A5403" i="1"/>
  <c r="A5553" i="1"/>
  <c r="A8961" i="1"/>
  <c r="A35477" i="1"/>
  <c r="A13695" i="1"/>
  <c r="A30996" i="1"/>
  <c r="A29249" i="1"/>
  <c r="A26179" i="1"/>
  <c r="A21148" i="1"/>
  <c r="A15220" i="1"/>
  <c r="A10451" i="1"/>
  <c r="A7429" i="1"/>
  <c r="A3375" i="1"/>
  <c r="A21228" i="1"/>
  <c r="A16564" i="1"/>
  <c r="A11980" i="1"/>
  <c r="A18981" i="1"/>
  <c r="A5309" i="1"/>
  <c r="A4009" i="1"/>
  <c r="A88" i="1"/>
  <c r="A19592" i="1"/>
  <c r="A5123" i="1"/>
  <c r="A31681" i="1"/>
  <c r="A7" i="1"/>
  <c r="A12" i="1"/>
  <c r="A20970" i="1"/>
  <c r="A7723" i="1"/>
  <c r="A2543" i="1"/>
  <c r="A34193" i="1"/>
  <c r="A12067" i="1"/>
  <c r="A7660" i="1"/>
  <c r="A19582" i="1"/>
  <c r="A8059" i="1"/>
  <c r="A5527" i="1"/>
  <c r="A34649" i="1"/>
  <c r="A18291" i="1"/>
  <c r="A48" i="1"/>
  <c r="A6602" i="1"/>
  <c r="A12010" i="1"/>
  <c r="A15535" i="1"/>
  <c r="A3563" i="1"/>
  <c r="A19025" i="1"/>
  <c r="A21826" i="1"/>
  <c r="A14788" i="1"/>
  <c r="A2083" i="1"/>
  <c r="A4335" i="1"/>
  <c r="A3316" i="1"/>
  <c r="A15971" i="1"/>
  <c r="A8126" i="1"/>
  <c r="A4044" i="1"/>
  <c r="A11199" i="1"/>
  <c r="A35954" i="1"/>
  <c r="A2367" i="1"/>
  <c r="A13366" i="1"/>
  <c r="A18782" i="1"/>
  <c r="A6088" i="1"/>
  <c r="A3829" i="1"/>
  <c r="A1016" i="1"/>
  <c r="A12239" i="1"/>
  <c r="A18261" i="1"/>
  <c r="A7364" i="1"/>
  <c r="A27387" i="1"/>
  <c r="A25169" i="1"/>
  <c r="A16287" i="1"/>
  <c r="A7825" i="1"/>
  <c r="A1402" i="1"/>
  <c r="A7587" i="1"/>
  <c r="A15594" i="1"/>
  <c r="A13486" i="1"/>
  <c r="A6271" i="1"/>
  <c r="A6606" i="1"/>
  <c r="A22684" i="1"/>
  <c r="A21169" i="1"/>
  <c r="A19516" i="1"/>
  <c r="A18304" i="1"/>
  <c r="A11694" i="1"/>
  <c r="A25690" i="1"/>
  <c r="A17570" i="1"/>
  <c r="A19773" i="1"/>
  <c r="A17824" i="1"/>
  <c r="A11463" i="1"/>
  <c r="A6544" i="1"/>
  <c r="A2302" i="1"/>
  <c r="A24182" i="1"/>
  <c r="A19988" i="1"/>
  <c r="A19179" i="1"/>
  <c r="A18274" i="1"/>
  <c r="A16647" i="1"/>
  <c r="A16307" i="1"/>
  <c r="A11119" i="1"/>
  <c r="A8250" i="1"/>
  <c r="A6059" i="1"/>
  <c r="A4598" i="1"/>
  <c r="A1085" i="1"/>
  <c r="A752" i="1"/>
  <c r="A20687" i="1"/>
  <c r="A19714" i="1"/>
  <c r="A9197" i="1"/>
  <c r="A16428" i="1"/>
  <c r="A30378" i="1"/>
  <c r="A28592" i="1"/>
  <c r="A26503" i="1"/>
  <c r="A25249" i="1"/>
  <c r="A24246" i="1"/>
  <c r="A23885" i="1"/>
  <c r="A22008" i="1"/>
  <c r="A20871" i="1"/>
  <c r="A20697" i="1"/>
  <c r="A19990" i="1"/>
  <c r="A19851" i="1"/>
  <c r="A19722" i="1"/>
  <c r="A19686" i="1"/>
  <c r="A18853" i="1"/>
  <c r="A18450" i="1"/>
  <c r="A18410" i="1"/>
  <c r="A18334" i="1"/>
  <c r="A17924" i="1"/>
  <c r="A17447" i="1"/>
  <c r="A17355" i="1"/>
  <c r="A16780" i="1"/>
  <c r="A16554" i="1"/>
  <c r="A16473" i="1"/>
  <c r="A16442" i="1"/>
  <c r="A16300" i="1"/>
  <c r="A16080" i="1"/>
  <c r="A15808" i="1"/>
  <c r="A11121" i="1"/>
  <c r="A4395" i="1"/>
  <c r="A21981" i="1"/>
  <c r="A15571" i="1"/>
  <c r="A3379" i="1"/>
  <c r="A4127" i="1"/>
  <c r="A34685" i="1"/>
  <c r="A3981" i="1"/>
  <c r="A286" i="1"/>
  <c r="A27336" i="1"/>
  <c r="A20699" i="1"/>
  <c r="A19696" i="1"/>
  <c r="A18335" i="1"/>
  <c r="A16782" i="1"/>
  <c r="A16301" i="1"/>
  <c r="A10828" i="1"/>
  <c r="A8725" i="1"/>
  <c r="A8297" i="1"/>
  <c r="A6690" i="1"/>
  <c r="A6061" i="1"/>
  <c r="A5595" i="1"/>
  <c r="A4691" i="1"/>
  <c r="A4473" i="1"/>
  <c r="A3889" i="1"/>
  <c r="A769" i="1"/>
  <c r="A53" i="1"/>
  <c r="A36654" i="1"/>
  <c r="A2348" i="1"/>
  <c r="A28764" i="1"/>
  <c r="A20378" i="1"/>
  <c r="A19838" i="1"/>
  <c r="A19546" i="1"/>
  <c r="A19377" i="1"/>
  <c r="A19306" i="1"/>
  <c r="A17776" i="1"/>
  <c r="A16975" i="1"/>
  <c r="A16096" i="1"/>
  <c r="A15551" i="1"/>
  <c r="A14629" i="1"/>
  <c r="A18616" i="1"/>
  <c r="A8" i="1"/>
  <c r="A21488" i="1"/>
  <c r="A19757" i="1"/>
  <c r="A20580" i="1"/>
  <c r="A8828" i="1"/>
  <c r="A26188" i="1"/>
  <c r="A18270" i="1"/>
  <c r="A13149" i="1"/>
  <c r="A18364" i="1"/>
  <c r="A8215" i="1"/>
  <c r="A16656" i="1"/>
  <c r="A1130" i="1"/>
  <c r="A8366" i="1"/>
  <c r="A6676" i="1"/>
  <c r="A6057" i="1"/>
  <c r="A5911" i="1"/>
  <c r="A5350" i="1"/>
  <c r="A4239" i="1"/>
  <c r="A3887" i="1"/>
  <c r="A1107" i="1"/>
  <c r="A765" i="1"/>
  <c r="A11132" i="1"/>
  <c r="A15267" i="1"/>
  <c r="A12933" i="1"/>
  <c r="A21554" i="1"/>
  <c r="A20363" i="1"/>
  <c r="A17514" i="1"/>
  <c r="A14256" i="1"/>
  <c r="A13911" i="1"/>
  <c r="A13660" i="1"/>
  <c r="A13538" i="1"/>
  <c r="A12099" i="1"/>
  <c r="A11722" i="1"/>
  <c r="A11516" i="1"/>
  <c r="A10523" i="1"/>
  <c r="A10385" i="1"/>
  <c r="A10185" i="1"/>
  <c r="A10049" i="1"/>
  <c r="A9641" i="1"/>
  <c r="A9295" i="1"/>
  <c r="A9133" i="1"/>
  <c r="A8737" i="1"/>
  <c r="A8014" i="1"/>
  <c r="A6389" i="1"/>
  <c r="A5261" i="1"/>
  <c r="A4582" i="1"/>
  <c r="A4412" i="1"/>
  <c r="A4360" i="1"/>
  <c r="A3282" i="1"/>
  <c r="A3076" i="1"/>
  <c r="A2779" i="1"/>
  <c r="A2578" i="1"/>
  <c r="A20831" i="1"/>
  <c r="A19624" i="1"/>
  <c r="A16156" i="1"/>
  <c r="A15074" i="1"/>
  <c r="A12925" i="1"/>
  <c r="A10481" i="1"/>
  <c r="A8930" i="1"/>
  <c r="A4436" i="1"/>
  <c r="A12125" i="1"/>
  <c r="A553" i="1"/>
  <c r="A24623" i="1"/>
  <c r="A8558" i="1"/>
  <c r="A35075" i="1"/>
  <c r="A34487" i="1"/>
  <c r="A34116" i="1"/>
  <c r="A33158" i="1"/>
  <c r="A32410" i="1"/>
  <c r="A30294" i="1"/>
  <c r="A28844" i="1"/>
  <c r="A28014" i="1"/>
  <c r="A25604" i="1"/>
  <c r="A24983" i="1"/>
  <c r="A23398" i="1"/>
  <c r="A33954" i="1"/>
  <c r="A18390" i="1"/>
  <c r="A16850" i="1"/>
  <c r="A14908" i="1"/>
  <c r="A13030" i="1"/>
  <c r="A12660" i="1"/>
  <c r="A11486" i="1"/>
  <c r="A9367" i="1"/>
  <c r="A8561" i="1"/>
  <c r="A7332" i="1"/>
  <c r="A453" i="1"/>
  <c r="A13028" i="1"/>
  <c r="A35978" i="1"/>
  <c r="A36012" i="1"/>
  <c r="A35949" i="1"/>
  <c r="A12581" i="1"/>
  <c r="A27431" i="1"/>
  <c r="A10621" i="1"/>
  <c r="A380" i="1"/>
  <c r="A8270" i="1"/>
  <c r="A18392" i="1"/>
  <c r="A12572" i="1"/>
  <c r="A3300" i="1"/>
  <c r="A17974" i="1"/>
  <c r="A36256" i="1"/>
  <c r="A19458" i="1"/>
  <c r="A36357" i="1"/>
  <c r="A15682" i="1"/>
  <c r="A18654" i="1"/>
  <c r="A5792" i="1"/>
  <c r="A20380" i="1"/>
  <c r="A21582" i="1"/>
  <c r="A85" i="1"/>
  <c r="A19890" i="1"/>
  <c r="A13471" i="1"/>
  <c r="A21331" i="1"/>
  <c r="A18704" i="1"/>
  <c r="A29032" i="1"/>
  <c r="A18937" i="1"/>
  <c r="A11492" i="1"/>
  <c r="A20270" i="1"/>
  <c r="A19160" i="1"/>
  <c r="A18116" i="1"/>
  <c r="A16609" i="1"/>
  <c r="A16277" i="1"/>
  <c r="A10821" i="1"/>
  <c r="A8356" i="1"/>
  <c r="A8286" i="1"/>
  <c r="A6633" i="1"/>
  <c r="A5903" i="1"/>
  <c r="A5347" i="1"/>
  <c r="A4687" i="1"/>
  <c r="A4233" i="1"/>
  <c r="A1079" i="1"/>
  <c r="A755" i="1"/>
  <c r="A34807" i="1"/>
  <c r="A10149" i="1"/>
  <c r="A15486" i="1"/>
  <c r="A22799" i="1"/>
  <c r="A21028" i="1"/>
  <c r="A20336" i="1"/>
  <c r="A19825" i="1"/>
  <c r="A19538" i="1"/>
  <c r="A19369" i="1"/>
  <c r="A19264" i="1"/>
  <c r="A17287" i="1"/>
  <c r="A16973" i="1"/>
  <c r="A16056" i="1"/>
  <c r="A15519" i="1"/>
  <c r="A14627" i="1"/>
  <c r="A1697" i="1"/>
  <c r="A10721" i="1"/>
  <c r="A14912" i="1"/>
  <c r="A5230" i="1"/>
  <c r="A11080" i="1"/>
  <c r="A1123" i="1"/>
  <c r="A3847" i="1"/>
  <c r="A6834" i="1"/>
  <c r="A35960" i="1"/>
  <c r="A6273" i="1"/>
  <c r="A18353" i="1"/>
  <c r="A7881" i="1"/>
  <c r="A6031" i="1"/>
  <c r="A13210" i="1"/>
  <c r="A4705" i="1"/>
  <c r="A16319" i="1"/>
  <c r="A763" i="1"/>
  <c r="A26232" i="1"/>
  <c r="A25277" i="1"/>
  <c r="A20068" i="1"/>
  <c r="A18868" i="1"/>
  <c r="A18067" i="1"/>
  <c r="A16556" i="1"/>
  <c r="A16273" i="1"/>
  <c r="A10792" i="1"/>
  <c r="A8278" i="1"/>
  <c r="A6570" i="1"/>
  <c r="A6055" i="1"/>
  <c r="A5854" i="1"/>
  <c r="A4630" i="1"/>
  <c r="A4229" i="1"/>
  <c r="A3857" i="1"/>
  <c r="A1061" i="1"/>
  <c r="A8289" i="1"/>
  <c r="A34665" i="1"/>
  <c r="A19330" i="1"/>
  <c r="A22690" i="1"/>
  <c r="A21413" i="1"/>
  <c r="A20884" i="1"/>
  <c r="A18890" i="1"/>
  <c r="A14436" i="1"/>
  <c r="A14189" i="1"/>
  <c r="A13903" i="1"/>
  <c r="A13672" i="1"/>
  <c r="A13116" i="1"/>
  <c r="A12064" i="1"/>
  <c r="A11730" i="1"/>
  <c r="A11416" i="1"/>
  <c r="A10509" i="1"/>
  <c r="A10383" i="1"/>
  <c r="A10153" i="1"/>
  <c r="A10047" i="1"/>
  <c r="A10021" i="1"/>
  <c r="A9240" i="1"/>
  <c r="A8950" i="1"/>
  <c r="A8735" i="1"/>
  <c r="A7380" i="1"/>
  <c r="A5697" i="1"/>
  <c r="A5243" i="1"/>
  <c r="A4580" i="1"/>
  <c r="A4394" i="1"/>
  <c r="A4358" i="1"/>
  <c r="A3242" i="1"/>
  <c r="A3043" i="1"/>
  <c r="A2749" i="1"/>
  <c r="A2547" i="1"/>
  <c r="A20589" i="1"/>
  <c r="A19452" i="1"/>
  <c r="A15676" i="1"/>
  <c r="A14986" i="1"/>
  <c r="A12656" i="1"/>
  <c r="A10391" i="1"/>
  <c r="A8729" i="1"/>
  <c r="A2983" i="1"/>
  <c r="A13019" i="1"/>
  <c r="A29760" i="1"/>
  <c r="A18356" i="1"/>
  <c r="A36387" i="1"/>
  <c r="A34486" i="1"/>
  <c r="A33071" i="1"/>
  <c r="A34114" i="1"/>
  <c r="A8555" i="1"/>
  <c r="A28580" i="1"/>
  <c r="A27986" i="1"/>
  <c r="A25364" i="1"/>
  <c r="A24876" i="1"/>
  <c r="A21839" i="1"/>
  <c r="A20806" i="1"/>
  <c r="A18141" i="1"/>
  <c r="A16769" i="1"/>
  <c r="A14222" i="1"/>
  <c r="A13015" i="1"/>
  <c r="A12554" i="1"/>
  <c r="A11170" i="1"/>
  <c r="A9222" i="1"/>
  <c r="A8262" i="1"/>
  <c r="A6196" i="1"/>
  <c r="A5463" i="1"/>
  <c r="A424" i="1"/>
  <c r="A26316" i="1"/>
  <c r="A36331" i="1"/>
  <c r="A35944" i="1"/>
  <c r="A35905" i="1"/>
  <c r="A34928" i="1"/>
  <c r="A27006" i="1"/>
  <c r="A21446" i="1"/>
  <c r="A7885" i="1"/>
  <c r="A8591" i="1"/>
  <c r="A21056" i="1"/>
  <c r="A12835" i="1"/>
  <c r="A7839" i="1"/>
  <c r="A14644" i="1"/>
  <c r="A14156" i="1"/>
  <c r="A13593" i="1"/>
  <c r="A2899" i="1"/>
  <c r="A13252" i="1"/>
  <c r="A36234" i="1"/>
  <c r="A35691" i="1"/>
  <c r="A35568" i="1"/>
  <c r="A35546" i="1"/>
  <c r="A35474" i="1"/>
  <c r="A35463" i="1"/>
  <c r="A35124" i="1"/>
  <c r="A35006" i="1"/>
  <c r="A34913" i="1"/>
  <c r="A34862" i="1"/>
  <c r="A34763" i="1"/>
  <c r="A34488" i="1"/>
  <c r="A34410" i="1"/>
  <c r="A34361" i="1"/>
  <c r="A34255" i="1"/>
  <c r="A34215" i="1"/>
  <c r="A34190" i="1"/>
  <c r="A34127" i="1"/>
  <c r="A34048" i="1"/>
  <c r="A34032" i="1"/>
  <c r="A33989" i="1"/>
  <c r="A33979" i="1"/>
  <c r="A33942" i="1"/>
  <c r="A33912" i="1"/>
  <c r="A33855" i="1"/>
  <c r="A33812" i="1"/>
  <c r="A33548" i="1"/>
  <c r="A33322" i="1"/>
  <c r="A33313" i="1"/>
  <c r="A33296" i="1"/>
  <c r="A33267" i="1"/>
  <c r="A33257" i="1"/>
  <c r="A33249" i="1"/>
  <c r="A33157" i="1"/>
  <c r="A33140" i="1"/>
  <c r="A18819" i="1"/>
  <c r="A32674" i="1"/>
  <c r="A32378" i="1"/>
  <c r="A32267" i="1"/>
  <c r="A31556" i="1"/>
  <c r="A31505" i="1"/>
  <c r="A31422" i="1"/>
  <c r="A31287" i="1"/>
  <c r="A31277" i="1"/>
  <c r="A31228" i="1"/>
  <c r="A31147" i="1"/>
  <c r="A30387" i="1"/>
  <c r="A30256" i="1"/>
  <c r="A30165" i="1"/>
  <c r="A30104" i="1"/>
  <c r="A30015" i="1"/>
  <c r="A30006" i="1"/>
  <c r="A17833" i="1"/>
  <c r="A1289" i="1"/>
  <c r="A21242" i="1"/>
  <c r="A36306" i="1"/>
  <c r="A16570" i="1"/>
  <c r="A123" i="1"/>
  <c r="A2659" i="1"/>
  <c r="A10616" i="1"/>
  <c r="A26487" i="1"/>
  <c r="A148" i="1"/>
  <c r="A10788" i="1"/>
  <c r="A8354" i="1"/>
  <c r="A8264" i="1"/>
  <c r="A6049" i="1"/>
  <c r="A5844" i="1"/>
  <c r="A4786" i="1"/>
  <c r="A4525" i="1"/>
  <c r="A3805" i="1"/>
  <c r="A1057" i="1"/>
  <c r="A739" i="1"/>
  <c r="A21428" i="1"/>
  <c r="A10125" i="1"/>
  <c r="A10455" i="1"/>
  <c r="A20799" i="1"/>
  <c r="A20280" i="1"/>
  <c r="A19807" i="1"/>
  <c r="A19497" i="1"/>
  <c r="A19367" i="1"/>
  <c r="A18886" i="1"/>
  <c r="A17285" i="1"/>
  <c r="A16955" i="1"/>
  <c r="A15993" i="1"/>
  <c r="A15405" i="1"/>
  <c r="A9336" i="1"/>
  <c r="A3365" i="1"/>
  <c r="A3318" i="1"/>
  <c r="A20505" i="1"/>
  <c r="A34641" i="1"/>
  <c r="A13053" i="1"/>
  <c r="A5387" i="1"/>
  <c r="A3868" i="1"/>
  <c r="A7793" i="1"/>
  <c r="A6272" i="1"/>
  <c r="A8868" i="1"/>
  <c r="A11369" i="1"/>
  <c r="A20846" i="1"/>
  <c r="A19906" i="1"/>
  <c r="A18697" i="1"/>
  <c r="A17465" i="1"/>
  <c r="A16479" i="1"/>
  <c r="A15951" i="1"/>
  <c r="A8335" i="1"/>
  <c r="A8246" i="1"/>
  <c r="A6426" i="1"/>
  <c r="A6045" i="1"/>
  <c r="A4770" i="1"/>
  <c r="A4487" i="1"/>
  <c r="A4227" i="1"/>
  <c r="A3673" i="1"/>
  <c r="A718" i="1"/>
  <c r="A36659" i="1"/>
  <c r="A402" i="1"/>
  <c r="A19363" i="1"/>
  <c r="A31720" i="1"/>
  <c r="A22370" i="1"/>
  <c r="A19354" i="1"/>
  <c r="A15226" i="1"/>
  <c r="A14391" i="1"/>
  <c r="A14177" i="1"/>
  <c r="A13857" i="1"/>
  <c r="A13670" i="1"/>
  <c r="A12947" i="1"/>
  <c r="A12014" i="1"/>
  <c r="A11642" i="1"/>
  <c r="A11412" i="1"/>
  <c r="A10459" i="1"/>
  <c r="A10381" i="1"/>
  <c r="A10155" i="1"/>
  <c r="A9724" i="1"/>
  <c r="A9346" i="1"/>
  <c r="A9219" i="1"/>
  <c r="A8872" i="1"/>
  <c r="A8733" i="1"/>
  <c r="A7360" i="1"/>
  <c r="A5301" i="1"/>
  <c r="A5089" i="1"/>
  <c r="A4570" i="1"/>
  <c r="A4391" i="1"/>
  <c r="A3905" i="1"/>
  <c r="A3145" i="1"/>
  <c r="A2986" i="1"/>
  <c r="A130" i="1"/>
  <c r="A20175" i="1"/>
  <c r="A19428" i="1"/>
  <c r="A15549" i="1"/>
  <c r="A14425" i="1"/>
  <c r="A12266" i="1"/>
  <c r="A10387" i="1"/>
  <c r="A8075" i="1"/>
  <c r="A2783" i="1"/>
  <c r="A15019" i="1"/>
  <c r="A9415" i="1"/>
  <c r="A29728" i="1"/>
  <c r="A13048" i="1"/>
  <c r="A36370" i="1"/>
  <c r="A36660" i="1"/>
  <c r="A35490" i="1"/>
  <c r="A34832" i="1"/>
  <c r="A34377" i="1"/>
  <c r="A34103" i="1"/>
  <c r="A32899" i="1"/>
  <c r="A31530" i="1"/>
  <c r="A6424" i="1"/>
  <c r="A29136" i="1"/>
  <c r="A34112" i="1"/>
  <c r="A27399" i="1"/>
  <c r="A25214" i="1"/>
  <c r="A24588" i="1"/>
  <c r="A21617" i="1"/>
  <c r="A21783" i="1"/>
  <c r="A17933" i="1"/>
  <c r="A16308" i="1"/>
  <c r="A14180" i="1"/>
  <c r="A13013" i="1"/>
  <c r="A12521" i="1"/>
  <c r="A8581" i="1"/>
  <c r="A8883" i="1"/>
  <c r="A8242" i="1"/>
  <c r="A6183" i="1"/>
  <c r="A4660" i="1"/>
  <c r="A16768" i="1"/>
  <c r="A36264" i="1"/>
  <c r="A35962" i="1"/>
  <c r="A35940" i="1"/>
  <c r="A19067" i="1"/>
  <c r="A36655" i="1"/>
  <c r="A35161" i="1"/>
  <c r="A34923" i="1"/>
  <c r="A33735" i="1"/>
  <c r="A5933" i="1"/>
  <c r="A1053" i="1"/>
  <c r="A13886" i="1"/>
  <c r="A21443" i="1"/>
  <c r="A21422" i="1"/>
  <c r="A18652" i="1"/>
  <c r="A19584" i="1"/>
  <c r="A21987" i="1"/>
  <c r="A18206" i="1"/>
  <c r="A36335" i="1"/>
  <c r="A36220" i="1"/>
  <c r="A10368" i="1"/>
  <c r="A15523" i="1"/>
  <c r="A12122" i="1"/>
  <c r="A557" i="1"/>
  <c r="A5126" i="1"/>
  <c r="A2545" i="1"/>
  <c r="A20030" i="1"/>
  <c r="A12833" i="1"/>
  <c r="A15361" i="1"/>
  <c r="A19904" i="1"/>
  <c r="A18505" i="1"/>
  <c r="A17462" i="1"/>
  <c r="A16476" i="1"/>
  <c r="A15844" i="1"/>
  <c r="A9988" i="1"/>
  <c r="A8317" i="1"/>
  <c r="A6401" i="1"/>
  <c r="A6043" i="1"/>
  <c r="A17357" i="1"/>
  <c r="A4751" i="1"/>
  <c r="A4223" i="1"/>
  <c r="A3665" i="1"/>
  <c r="A989" i="1"/>
  <c r="A715" i="1"/>
  <c r="A36645" i="1"/>
  <c r="A17670" i="1"/>
  <c r="A21038" i="1"/>
  <c r="A21260" i="1"/>
  <c r="A20797" i="1"/>
  <c r="A20254" i="1"/>
  <c r="A19803" i="1"/>
  <c r="A19482" i="1"/>
  <c r="A19334" i="1"/>
  <c r="A18143" i="1"/>
  <c r="A17281" i="1"/>
  <c r="A16771" i="1"/>
  <c r="A15948" i="1"/>
  <c r="A15104" i="1"/>
  <c r="A21540" i="1"/>
  <c r="A23258" i="1"/>
  <c r="A17430" i="1"/>
  <c r="A10747" i="1"/>
  <c r="A17646" i="1"/>
  <c r="A25966" i="1"/>
  <c r="A26919" i="1"/>
  <c r="A18791" i="1"/>
  <c r="A1023" i="1"/>
  <c r="A5693" i="1"/>
  <c r="A10834" i="1"/>
  <c r="A772" i="1"/>
  <c r="A20691" i="1"/>
  <c r="A8282" i="1"/>
  <c r="A2316" i="1"/>
  <c r="A31123" i="1"/>
  <c r="A27505" i="1"/>
  <c r="A9899" i="1"/>
  <c r="A17359" i="1"/>
  <c r="A8214" i="1"/>
  <c r="A6153" i="1"/>
  <c r="A5746" i="1"/>
  <c r="A4747" i="1"/>
  <c r="A4485" i="1"/>
  <c r="A4219" i="1"/>
  <c r="A955" i="1"/>
  <c r="A667" i="1"/>
  <c r="A22288" i="1"/>
  <c r="A31963" i="1"/>
  <c r="A22362" i="1"/>
  <c r="A21129" i="1"/>
  <c r="A19481" i="1"/>
  <c r="A15638" i="1"/>
  <c r="A14308" i="1"/>
  <c r="A14007" i="1"/>
  <c r="A13797" i="1"/>
  <c r="A13666" i="1"/>
  <c r="A12434" i="1"/>
  <c r="A11994" i="1"/>
  <c r="A11628" i="1"/>
  <c r="A11165" i="1"/>
  <c r="A10457" i="1"/>
  <c r="A10379" i="1"/>
  <c r="A9903" i="1"/>
  <c r="A9657" i="1"/>
  <c r="A9342" i="1"/>
  <c r="A9213" i="1"/>
  <c r="A8846" i="1"/>
  <c r="A8710" i="1"/>
  <c r="A7316" i="1"/>
  <c r="A5285" i="1"/>
  <c r="A4830" i="1"/>
  <c r="A4549" i="1"/>
  <c r="A4370" i="1"/>
  <c r="A3431" i="1"/>
  <c r="A3126" i="1"/>
  <c r="A2972" i="1"/>
  <c r="A2683" i="1"/>
  <c r="A31987" i="1"/>
  <c r="A19954" i="1"/>
  <c r="A17518" i="1"/>
  <c r="A15507" i="1"/>
  <c r="A13678" i="1"/>
  <c r="A12071" i="1"/>
  <c r="A9061" i="1"/>
  <c r="A7823" i="1"/>
  <c r="A2580" i="1"/>
  <c r="A21813" i="1"/>
  <c r="A5546" i="1"/>
  <c r="A12246" i="1"/>
  <c r="A36062" i="1"/>
  <c r="A35138" i="1"/>
  <c r="A34830" i="1"/>
  <c r="A34328" i="1"/>
  <c r="A33654" i="1"/>
  <c r="A32830" i="1"/>
  <c r="A31362" i="1"/>
  <c r="A28953" i="1"/>
  <c r="A28244" i="1"/>
  <c r="A27295" i="1"/>
  <c r="A25173" i="1"/>
  <c r="A24787" i="1"/>
  <c r="A21608" i="1"/>
  <c r="A20119" i="1"/>
  <c r="A17843" i="1"/>
  <c r="A16090" i="1"/>
  <c r="A9338" i="1"/>
  <c r="A12960" i="1"/>
  <c r="A12421" i="1"/>
  <c r="A10698" i="1"/>
  <c r="A8881" i="1"/>
  <c r="A8140" i="1"/>
  <c r="A6143" i="1"/>
  <c r="A4611" i="1"/>
  <c r="A943" i="1"/>
  <c r="A25418" i="1"/>
  <c r="A35958" i="1"/>
  <c r="A35938" i="1"/>
  <c r="A35884" i="1"/>
  <c r="A18359" i="1"/>
  <c r="A34894" i="1"/>
  <c r="A25999" i="1"/>
  <c r="A12372" i="1"/>
  <c r="A4960" i="1"/>
  <c r="A12579" i="1"/>
  <c r="A22290" i="1"/>
  <c r="A9289" i="1"/>
  <c r="A21567" i="1"/>
  <c r="A14638" i="1"/>
  <c r="A7856" i="1"/>
  <c r="A15339" i="1"/>
  <c r="A6998" i="1"/>
  <c r="A36327" i="1"/>
  <c r="A36164" i="1"/>
  <c r="A146" i="1"/>
  <c r="A36314" i="1"/>
  <c r="A10452" i="1"/>
  <c r="A30977" i="1"/>
  <c r="A9722" i="1"/>
  <c r="A29865" i="1"/>
  <c r="A14015" i="1"/>
  <c r="A8712" i="1"/>
  <c r="A12118" i="1"/>
  <c r="A35" i="1"/>
  <c r="A3209" i="1"/>
  <c r="A316" i="1"/>
  <c r="A21693" i="1"/>
  <c r="A19742" i="1"/>
  <c r="A18430" i="1"/>
  <c r="A17363" i="1"/>
  <c r="A16452" i="1"/>
  <c r="A11368" i="1"/>
  <c r="A9311" i="1"/>
  <c r="A8207" i="1"/>
  <c r="A6135" i="1"/>
  <c r="A6041" i="1"/>
  <c r="A5627" i="1"/>
  <c r="A4481" i="1"/>
  <c r="A4217" i="1"/>
  <c r="A3614" i="1"/>
  <c r="A931" i="1"/>
  <c r="A12975" i="1"/>
  <c r="A16395" i="1"/>
  <c r="A4616" i="1"/>
  <c r="A20730" i="1"/>
  <c r="A20186" i="1"/>
  <c r="A19628" i="1"/>
  <c r="A19479" i="1"/>
  <c r="A19326" i="1"/>
  <c r="A18101" i="1"/>
  <c r="A17262" i="1"/>
  <c r="A16543" i="1"/>
  <c r="A15634" i="1"/>
  <c r="A14907" i="1"/>
  <c r="A18237" i="1"/>
  <c r="A12844" i="1"/>
  <c r="A19522" i="1"/>
  <c r="A18347" i="1"/>
  <c r="A27349" i="1"/>
  <c r="A19698" i="1"/>
  <c r="A10829" i="1"/>
  <c r="A476" i="1"/>
  <c r="A21054" i="1"/>
  <c r="A13913" i="1"/>
  <c r="A11829" i="1"/>
  <c r="A10269" i="1"/>
  <c r="A9171" i="1"/>
  <c r="A5269" i="1"/>
  <c r="A3399" i="1"/>
  <c r="A17030" i="1"/>
  <c r="A9057" i="1"/>
  <c r="A506" i="1"/>
  <c r="A35684" i="1"/>
  <c r="A32863" i="1"/>
  <c r="A28901" i="1"/>
  <c r="A17368" i="1"/>
  <c r="A11837" i="1"/>
  <c r="A6027" i="1"/>
  <c r="A36015" i="1"/>
  <c r="A36653" i="1"/>
  <c r="A24560" i="1"/>
  <c r="A3504" i="1"/>
  <c r="A21799" i="1"/>
  <c r="A35289" i="1"/>
  <c r="A34394" i="1"/>
  <c r="A34172" i="1"/>
  <c r="A34037" i="1"/>
  <c r="A33986" i="1"/>
  <c r="A33921" i="1"/>
  <c r="A33761" i="1"/>
  <c r="A33609" i="1"/>
  <c r="A33439" i="1"/>
  <c r="A33319" i="1"/>
  <c r="A33281" i="1"/>
  <c r="A33247" i="1"/>
  <c r="A33164" i="1"/>
  <c r="A33137" i="1"/>
  <c r="A32349" i="1"/>
  <c r="A31554" i="1"/>
  <c r="A31507" i="1"/>
  <c r="A31493" i="1"/>
  <c r="A31303" i="1"/>
  <c r="A31224" i="1"/>
  <c r="A31064" i="1"/>
  <c r="A30101" i="1"/>
  <c r="A29976" i="1"/>
  <c r="A29941" i="1"/>
  <c r="A29892" i="1"/>
  <c r="A29674" i="1"/>
  <c r="A29624" i="1"/>
  <c r="A29002" i="1"/>
  <c r="A28846" i="1"/>
  <c r="A28495" i="1"/>
  <c r="A28374" i="1"/>
  <c r="A28194" i="1"/>
  <c r="A27661" i="1"/>
  <c r="A27342" i="1"/>
  <c r="A27305" i="1"/>
  <c r="A26862" i="1"/>
  <c r="A26332" i="1"/>
  <c r="A26082" i="1"/>
  <c r="A26033" i="1"/>
  <c r="A25995" i="1"/>
  <c r="A25969" i="1"/>
  <c r="A25917" i="1"/>
  <c r="A25818" i="1"/>
  <c r="A25732" i="1"/>
  <c r="A25355" i="1"/>
  <c r="A25331" i="1"/>
  <c r="A25216" i="1"/>
  <c r="A25184" i="1"/>
  <c r="A25142" i="1"/>
  <c r="A25095" i="1"/>
  <c r="A25018" i="1"/>
  <c r="A24973" i="1"/>
  <c r="A24926" i="1"/>
  <c r="A24824" i="1"/>
  <c r="A24666" i="1"/>
  <c r="A24410" i="1"/>
  <c r="A24338" i="1"/>
  <c r="A24245" i="1"/>
  <c r="A24207" i="1"/>
  <c r="A24056" i="1"/>
  <c r="A23889" i="1"/>
  <c r="A15803" i="1"/>
  <c r="A18460" i="1"/>
  <c r="A6065" i="1"/>
  <c r="A18417" i="1"/>
  <c r="A9309" i="1"/>
  <c r="A6037" i="1"/>
  <c r="A3078" i="1"/>
  <c r="A31014" i="1"/>
  <c r="A13697" i="1"/>
  <c r="A11550" i="1"/>
  <c r="A10069" i="1"/>
  <c r="A8797" i="1"/>
  <c r="A4718" i="1"/>
  <c r="A3114" i="1"/>
  <c r="A15449" i="1"/>
  <c r="A7775" i="1"/>
  <c r="A29001" i="1"/>
  <c r="A35084" i="1"/>
  <c r="A32800" i="1"/>
  <c r="A28026" i="1"/>
  <c r="A24455" i="1"/>
  <c r="A16059" i="1"/>
  <c r="A10014" i="1"/>
  <c r="A3294" i="1"/>
  <c r="A18389" i="1"/>
  <c r="A34893" i="1"/>
  <c r="A11409" i="1"/>
  <c r="A162" i="1"/>
  <c r="A8236" i="1"/>
  <c r="A34343" i="1"/>
  <c r="A34134" i="1"/>
  <c r="A34036" i="1"/>
  <c r="A33743" i="1"/>
  <c r="A33262" i="1"/>
  <c r="A33242" i="1"/>
  <c r="A32938" i="1"/>
  <c r="A32783" i="1"/>
  <c r="A31280" i="1"/>
  <c r="A31213" i="1"/>
  <c r="A31063" i="1"/>
  <c r="A30283" i="1"/>
  <c r="A29940" i="1"/>
  <c r="A29262" i="1"/>
  <c r="A28940" i="1"/>
  <c r="A28013" i="1"/>
  <c r="A27339" i="1"/>
  <c r="A27241" i="1"/>
  <c r="A26273" i="1"/>
  <c r="A26013" i="1"/>
  <c r="A25964" i="1"/>
  <c r="A25827" i="1"/>
  <c r="A25354" i="1"/>
  <c r="A12006" i="1"/>
  <c r="A30545" i="1"/>
  <c r="A6028" i="1"/>
  <c r="A4215" i="1"/>
  <c r="A31006" i="1"/>
  <c r="A20501" i="1"/>
  <c r="A19322" i="1"/>
  <c r="A15618" i="1"/>
  <c r="A36075" i="1"/>
  <c r="A35809" i="1"/>
  <c r="A35531" i="1"/>
  <c r="A35288" i="1"/>
  <c r="A35035" i="1"/>
  <c r="A34495" i="1"/>
  <c r="A34341" i="1"/>
  <c r="A34077" i="1"/>
  <c r="A34031" i="1"/>
  <c r="A33947" i="1"/>
  <c r="A33374" i="1"/>
  <c r="A33316" i="1"/>
  <c r="A33292" i="1"/>
  <c r="A33155" i="1"/>
  <c r="A33058" i="1"/>
  <c r="A31499" i="1"/>
  <c r="A30372" i="1"/>
  <c r="A29975" i="1"/>
  <c r="A27934" i="1"/>
  <c r="A27636" i="1"/>
  <c r="A27419" i="1"/>
  <c r="A26081" i="1"/>
  <c r="A25817" i="1"/>
  <c r="A25622" i="1"/>
  <c r="A25400" i="1"/>
  <c r="A25314" i="1"/>
  <c r="A25288" i="1"/>
  <c r="A25155" i="1"/>
  <c r="A25140" i="1"/>
  <c r="A25093" i="1"/>
  <c r="A25049" i="1"/>
  <c r="A24945" i="1"/>
  <c r="A24906" i="1"/>
  <c r="A24735" i="1"/>
  <c r="A24725" i="1"/>
  <c r="A24703" i="1"/>
  <c r="A24635" i="1"/>
  <c r="A24500" i="1"/>
  <c r="A24365" i="1"/>
  <c r="A24299" i="1"/>
  <c r="A24082" i="1"/>
  <c r="A23911" i="1"/>
  <c r="A23763" i="1"/>
  <c r="A23531" i="1"/>
  <c r="A23307" i="1"/>
  <c r="A22945" i="1"/>
  <c r="A22490" i="1"/>
  <c r="A22014" i="1"/>
  <c r="A21970" i="1"/>
  <c r="A21960" i="1"/>
  <c r="A21897" i="1"/>
  <c r="A21824" i="1"/>
  <c r="A21807" i="1"/>
  <c r="A21786" i="1"/>
  <c r="A21742" i="1"/>
  <c r="A21612" i="1"/>
  <c r="A21562" i="1"/>
  <c r="A21490" i="1"/>
  <c r="A21453" i="1"/>
  <c r="A21420" i="1"/>
  <c r="A21407" i="1"/>
  <c r="A21367" i="1"/>
  <c r="A21722" i="1"/>
  <c r="A21291" i="1"/>
  <c r="A21172" i="1"/>
  <c r="A21008" i="1"/>
  <c r="A20671" i="1"/>
  <c r="A20633" i="1"/>
  <c r="A20459" i="1"/>
  <c r="A20323" i="1"/>
  <c r="A19962" i="1"/>
  <c r="A19777" i="1"/>
  <c r="A19557" i="1"/>
  <c r="A19202" i="1"/>
  <c r="A18906" i="1"/>
  <c r="A18878" i="1"/>
  <c r="A18821" i="1"/>
  <c r="A18804" i="1"/>
  <c r="A18785" i="1"/>
  <c r="A18711" i="1"/>
  <c r="A18653" i="1"/>
  <c r="A18475" i="1"/>
  <c r="A18440" i="1"/>
  <c r="A18418" i="1"/>
  <c r="A18371" i="1"/>
  <c r="A18305" i="1"/>
  <c r="A18279" i="1"/>
  <c r="A18229" i="1"/>
  <c r="A18196" i="1"/>
  <c r="A18120" i="1"/>
  <c r="A18105" i="1"/>
  <c r="A18075" i="1"/>
  <c r="A18044" i="1"/>
  <c r="A17998" i="1"/>
  <c r="A17949" i="1"/>
  <c r="A17936" i="1"/>
  <c r="A17813" i="1"/>
  <c r="A17417" i="1"/>
  <c r="A17412" i="1"/>
  <c r="A17340" i="1"/>
  <c r="A17134" i="1"/>
  <c r="A16435" i="1"/>
  <c r="A15671" i="1"/>
  <c r="A15630" i="1"/>
  <c r="A15540" i="1"/>
  <c r="A15502" i="1"/>
  <c r="A15484" i="1"/>
  <c r="A15401" i="1"/>
  <c r="A15326" i="1"/>
  <c r="A15289" i="1"/>
  <c r="A15190" i="1"/>
  <c r="A15128" i="1"/>
  <c r="A15064" i="1"/>
  <c r="A14991" i="1"/>
  <c r="A14975" i="1"/>
  <c r="A14934" i="1"/>
  <c r="A14871" i="1"/>
  <c r="A14741" i="1"/>
  <c r="A14708" i="1"/>
  <c r="A14534" i="1"/>
  <c r="A14487" i="1"/>
  <c r="A14371" i="1"/>
  <c r="A14319" i="1"/>
  <c r="A14212" i="1"/>
  <c r="A8826" i="1"/>
  <c r="A25454" i="1"/>
  <c r="A4632" i="1"/>
  <c r="A26909" i="1"/>
  <c r="A18338" i="1"/>
  <c r="A9270" i="1"/>
  <c r="A6026" i="1"/>
  <c r="A3895" i="1"/>
  <c r="A11548" i="1"/>
  <c r="A10055" i="1"/>
  <c r="A8785" i="1"/>
  <c r="A4048" i="1"/>
  <c r="A3100" i="1"/>
  <c r="A15417" i="1"/>
  <c r="A5279" i="1"/>
  <c r="A24842" i="1"/>
  <c r="A35081" i="1"/>
  <c r="A32799" i="1"/>
  <c r="A28017" i="1"/>
  <c r="A23896" i="1"/>
  <c r="A15080" i="1"/>
  <c r="A9437" i="1"/>
  <c r="A914" i="1"/>
  <c r="A18387" i="1"/>
  <c r="A18388" i="1"/>
  <c r="A18385" i="1"/>
  <c r="A18710" i="1"/>
  <c r="A35808" i="1"/>
  <c r="A35528" i="1"/>
  <c r="A35465" i="1"/>
  <c r="A35386" i="1"/>
  <c r="A35287" i="1"/>
  <c r="A35031" i="1"/>
  <c r="A34863" i="1"/>
  <c r="A34729" i="1"/>
  <c r="A34288" i="1"/>
  <c r="A34225" i="1"/>
  <c r="A34076" i="1"/>
  <c r="A33875" i="1"/>
  <c r="A33707" i="1"/>
  <c r="A33278" i="1"/>
  <c r="A33224" i="1"/>
  <c r="A33129" i="1"/>
  <c r="A31547" i="1"/>
  <c r="A31491" i="1"/>
  <c r="A31290" i="1"/>
  <c r="A30277" i="1"/>
  <c r="A30099" i="1"/>
  <c r="A30031" i="1"/>
  <c r="A30000" i="1"/>
  <c r="A29653" i="1"/>
  <c r="A29605" i="1"/>
  <c r="A28969" i="1"/>
  <c r="A28845" i="1"/>
  <c r="A28425" i="1"/>
  <c r="A27511" i="1"/>
  <c r="A27334" i="1"/>
  <c r="A27293" i="1"/>
  <c r="A27220" i="1"/>
  <c r="A27022" i="1"/>
  <c r="A26929" i="1"/>
  <c r="A26641" i="1"/>
  <c r="A26243" i="1"/>
  <c r="A26032" i="1"/>
  <c r="A26009" i="1"/>
  <c r="A25991" i="1"/>
  <c r="A25898" i="1"/>
  <c r="A25838" i="1"/>
  <c r="A25620" i="1"/>
  <c r="A25353" i="1"/>
  <c r="A31723" i="1"/>
  <c r="A7990" i="1"/>
  <c r="A17938" i="1"/>
  <c r="A17361" i="1"/>
  <c r="A19892" i="1"/>
  <c r="A5599" i="1"/>
  <c r="A3553" i="1"/>
  <c r="A23002" i="1"/>
  <c r="A13625" i="1"/>
  <c r="A10733" i="1"/>
  <c r="A9651" i="1"/>
  <c r="A8677" i="1"/>
  <c r="A4451" i="1"/>
  <c r="A2915" i="1"/>
  <c r="A13575" i="1"/>
  <c r="A27477" i="1"/>
  <c r="A8559" i="1"/>
  <c r="A27281" i="1"/>
  <c r="A30342" i="1"/>
  <c r="A26549" i="1"/>
  <c r="A21159" i="1"/>
  <c r="A13064" i="1"/>
  <c r="A8605" i="1"/>
  <c r="A36657" i="1"/>
  <c r="A4469" i="1"/>
  <c r="A7954" i="1"/>
  <c r="A21953" i="1"/>
  <c r="A35686" i="1"/>
  <c r="A34860" i="1"/>
  <c r="A34483" i="1"/>
  <c r="A34330" i="1"/>
  <c r="A34027" i="1"/>
  <c r="A33862" i="1"/>
  <c r="A33688" i="1"/>
  <c r="A33291" i="1"/>
  <c r="A33238" i="1"/>
  <c r="A33056" i="1"/>
  <c r="A32894" i="1"/>
  <c r="A31448" i="1"/>
  <c r="A31185" i="1"/>
  <c r="A30272" i="1"/>
  <c r="A30096" i="1"/>
  <c r="A29999" i="1"/>
  <c r="A29987" i="1"/>
  <c r="A29921" i="1"/>
  <c r="A29844" i="1"/>
  <c r="A29195" i="1"/>
  <c r="A28968" i="1"/>
  <c r="A28438" i="1"/>
  <c r="A28424" i="1"/>
  <c r="A28210" i="1"/>
  <c r="A28182" i="1"/>
  <c r="A28009" i="1"/>
  <c r="A27489" i="1"/>
  <c r="A27410" i="1"/>
  <c r="A27333" i="1"/>
  <c r="A27291" i="1"/>
  <c r="A27016" i="1"/>
  <c r="A26926" i="1"/>
  <c r="A26456" i="1"/>
  <c r="A26233" i="1"/>
  <c r="A26049" i="1"/>
  <c r="A26028" i="1"/>
  <c r="A26008" i="1"/>
  <c r="A25990" i="1"/>
  <c r="A25815" i="1"/>
  <c r="A25619" i="1"/>
  <c r="A25460" i="1"/>
  <c r="A25285" i="1"/>
  <c r="A25199" i="1"/>
  <c r="A25139" i="1"/>
  <c r="A25092" i="1"/>
  <c r="A25035" i="1"/>
  <c r="A24940" i="1"/>
  <c r="A24814" i="1"/>
  <c r="A24702" i="1"/>
  <c r="A24659" i="1"/>
  <c r="A24645" i="1"/>
  <c r="A24354" i="1"/>
  <c r="A24334" i="1"/>
  <c r="A24298" i="1"/>
  <c r="A23856" i="1"/>
  <c r="A23811" i="1"/>
  <c r="A23500" i="1"/>
  <c r="A22871" i="1"/>
  <c r="A22354" i="1"/>
  <c r="A22011" i="1"/>
  <c r="A21968" i="1"/>
  <c r="A21875" i="1"/>
  <c r="A21822" i="1"/>
  <c r="A21803" i="1"/>
  <c r="A21782" i="1"/>
  <c r="A21682" i="1"/>
  <c r="A21593" i="1"/>
  <c r="A21548" i="1"/>
  <c r="A21479" i="1"/>
  <c r="A21449" i="1"/>
  <c r="A21418" i="1"/>
  <c r="A21397" i="1"/>
  <c r="A21366" i="1"/>
  <c r="A21322" i="1"/>
  <c r="A21290" i="1"/>
  <c r="A21171" i="1"/>
  <c r="A20978" i="1"/>
  <c r="A20670" i="1"/>
  <c r="A20632" i="1"/>
  <c r="A20442" i="1"/>
  <c r="A20202" i="1"/>
  <c r="A19860" i="1"/>
  <c r="A19756" i="1"/>
  <c r="A19508" i="1"/>
  <c r="A19123" i="1"/>
  <c r="A18905" i="1"/>
  <c r="A18877" i="1"/>
  <c r="A18840" i="1"/>
  <c r="A18802" i="1"/>
  <c r="A18768" i="1"/>
  <c r="A18705" i="1"/>
  <c r="A18642" i="1"/>
  <c r="A18474" i="1"/>
  <c r="A18435" i="1"/>
  <c r="A18415" i="1"/>
  <c r="A18370" i="1"/>
  <c r="A18299" i="1"/>
  <c r="A18264" i="1"/>
  <c r="A18224" i="1"/>
  <c r="A18185" i="1"/>
  <c r="A18118" i="1"/>
  <c r="A18100" i="1"/>
  <c r="A18073" i="1"/>
  <c r="A18043" i="1"/>
  <c r="A17993" i="1"/>
  <c r="A17946" i="1"/>
  <c r="A17886" i="1"/>
  <c r="A17678" i="1"/>
  <c r="A17426" i="1"/>
  <c r="A17411" i="1"/>
  <c r="A17294" i="1"/>
  <c r="A16852" i="1"/>
  <c r="A16285" i="1"/>
  <c r="A15652" i="1"/>
  <c r="A15605" i="1"/>
  <c r="A15529" i="1"/>
  <c r="A15501" i="1"/>
  <c r="A15480" i="1"/>
  <c r="A15388" i="1"/>
  <c r="A15321" i="1"/>
  <c r="A15272" i="1"/>
  <c r="A15164" i="1"/>
  <c r="A15108" i="1"/>
  <c r="A15051" i="1"/>
  <c r="A14982" i="1"/>
  <c r="A14971" i="1"/>
  <c r="A14932" i="1"/>
  <c r="A14849" i="1"/>
  <c r="A14740" i="1"/>
  <c r="A14680" i="1"/>
  <c r="A14529" i="1"/>
  <c r="A5311" i="1"/>
  <c r="A16170" i="1"/>
  <c r="A8309" i="1"/>
  <c r="A2306" i="1"/>
  <c r="A22084" i="1"/>
  <c r="A20172" i="1"/>
  <c r="A17800" i="1"/>
  <c r="A14647" i="1"/>
  <c r="A35685" i="1"/>
  <c r="A35558" i="1"/>
  <c r="A35436" i="1"/>
  <c r="A34725" i="1"/>
  <c r="A34481" i="1"/>
  <c r="A34329" i="1"/>
  <c r="A34108" i="1"/>
  <c r="A34052" i="1"/>
  <c r="A34025" i="1"/>
  <c r="A33944" i="1"/>
  <c r="A33837" i="1"/>
  <c r="A33290" i="1"/>
  <c r="A33255" i="1"/>
  <c r="A33222" i="1"/>
  <c r="A33150" i="1"/>
  <c r="A33051" i="1"/>
  <c r="A32447" i="1"/>
  <c r="A31540" i="1"/>
  <c r="A31397" i="1"/>
  <c r="A31180" i="1"/>
  <c r="A31138" i="1"/>
  <c r="A30063" i="1"/>
  <c r="A30028" i="1"/>
  <c r="A29998" i="1"/>
  <c r="A29590" i="1"/>
  <c r="A28423" i="1"/>
  <c r="A28209" i="1"/>
  <c r="A28063" i="1"/>
  <c r="A27712" i="1"/>
  <c r="A27623" i="1"/>
  <c r="A27014" i="1"/>
  <c r="A26075" i="1"/>
  <c r="A25987" i="1"/>
  <c r="A25808" i="1"/>
  <c r="A25382" i="1"/>
  <c r="A25350" i="1"/>
  <c r="A19371" i="1"/>
  <c r="A22285" i="1"/>
  <c r="A15967" i="1"/>
  <c r="A24045" i="1"/>
  <c r="A17230" i="1"/>
  <c r="A8290" i="1"/>
  <c r="A5597" i="1"/>
  <c r="A1109" i="1"/>
  <c r="A11092" i="1"/>
  <c r="A23000" i="1"/>
  <c r="A19959" i="1"/>
  <c r="A13573" i="1"/>
  <c r="A10681" i="1"/>
  <c r="A9649" i="1"/>
  <c r="A8654" i="1"/>
  <c r="A4438" i="1"/>
  <c r="A2909" i="1"/>
  <c r="A20942" i="1"/>
  <c r="A12931" i="1"/>
  <c r="A24204" i="1"/>
  <c r="A29202" i="1"/>
  <c r="A34615" i="1"/>
  <c r="A30339" i="1"/>
  <c r="A25900" i="1"/>
  <c r="A20821" i="1"/>
  <c r="A8564" i="1"/>
  <c r="A8563" i="1"/>
  <c r="A24709" i="1"/>
  <c r="A3789" i="1"/>
  <c r="A8781" i="1"/>
  <c r="A13640" i="1"/>
  <c r="A35680" i="1"/>
  <c r="A35556" i="1"/>
  <c r="A35496" i="1"/>
  <c r="A35433" i="1"/>
  <c r="A35361" i="1"/>
  <c r="A35133" i="1"/>
  <c r="A34780" i="1"/>
  <c r="A34268" i="1"/>
  <c r="A34201" i="1"/>
  <c r="A34051" i="1"/>
  <c r="A33861" i="1"/>
  <c r="A33826" i="1"/>
  <c r="A33311" i="1"/>
  <c r="A33274" i="1"/>
  <c r="A33254" i="1"/>
  <c r="A32893" i="1"/>
  <c r="A32445" i="1"/>
  <c r="A31464" i="1"/>
  <c r="A31233" i="1"/>
  <c r="A12535" i="1"/>
  <c r="A30263" i="1"/>
  <c r="A30027" i="1"/>
  <c r="A29984" i="1"/>
  <c r="A29914" i="1"/>
  <c r="A28180" i="1"/>
  <c r="A27994" i="1"/>
  <c r="A27479" i="1"/>
  <c r="A27323" i="1"/>
  <c r="A26907" i="1"/>
  <c r="A25825" i="1"/>
  <c r="A25428" i="1"/>
  <c r="A25303" i="1"/>
  <c r="A25284" i="1"/>
  <c r="A25191" i="1"/>
  <c r="A25151" i="1"/>
  <c r="A25083" i="1"/>
  <c r="A25031" i="1"/>
  <c r="A25002" i="1"/>
  <c r="A24939" i="1"/>
  <c r="A24781" i="1"/>
  <c r="A24724" i="1"/>
  <c r="A24701" i="1"/>
  <c r="A24682" i="1"/>
  <c r="A24658" i="1"/>
  <c r="A24590" i="1"/>
  <c r="A24344" i="1"/>
  <c r="A24332" i="1"/>
  <c r="A24291" i="1"/>
  <c r="A24194" i="1"/>
  <c r="A24110" i="1"/>
  <c r="A24080" i="1"/>
  <c r="A23852" i="1"/>
  <c r="A5740" i="1"/>
  <c r="A16448" i="1"/>
  <c r="A3515" i="1"/>
  <c r="A26156" i="1"/>
  <c r="A21672" i="1"/>
  <c r="A16450" i="1"/>
  <c r="A7485" i="1"/>
  <c r="A4741" i="1"/>
  <c r="A929" i="1"/>
  <c r="A9228" i="1"/>
  <c r="A19614" i="1"/>
  <c r="A14262" i="1"/>
  <c r="A12379" i="1"/>
  <c r="A10393" i="1"/>
  <c r="A9317" i="1"/>
  <c r="A7072" i="1"/>
  <c r="A4368" i="1"/>
  <c r="A2681" i="1"/>
  <c r="A19765" i="1"/>
  <c r="A11619" i="1"/>
  <c r="A36320" i="1"/>
  <c r="A30167" i="1"/>
  <c r="A20081" i="1"/>
  <c r="A12956" i="1"/>
  <c r="A8133" i="1"/>
  <c r="A34634" i="1"/>
  <c r="A35877" i="1"/>
  <c r="A17260" i="1"/>
  <c r="A7117" i="1"/>
  <c r="A36213" i="1"/>
  <c r="A36041" i="1"/>
  <c r="A34257" i="1"/>
  <c r="A34024" i="1"/>
  <c r="A33856" i="1"/>
  <c r="A33658" i="1"/>
  <c r="A33542" i="1"/>
  <c r="A33273" i="1"/>
  <c r="A33233" i="1"/>
  <c r="A33197" i="1"/>
  <c r="A31498" i="1"/>
  <c r="A31456" i="1"/>
  <c r="A31172" i="1"/>
  <c r="A30257" i="1"/>
  <c r="A30009" i="1"/>
  <c r="A28955" i="1"/>
  <c r="A28937" i="1"/>
  <c r="A28435" i="1"/>
  <c r="A28208" i="1"/>
  <c r="A27618" i="1"/>
  <c r="A27460" i="1"/>
  <c r="A27319" i="1"/>
  <c r="A27279" i="1"/>
  <c r="A26389" i="1"/>
  <c r="A26090" i="1"/>
  <c r="A26059" i="1"/>
  <c r="A26047" i="1"/>
  <c r="A25977" i="1"/>
  <c r="A25807" i="1"/>
  <c r="A25674" i="1"/>
  <c r="A25481" i="1"/>
  <c r="A25410" i="1"/>
  <c r="A25378" i="1"/>
  <c r="A5646" i="1"/>
  <c r="A12036" i="1"/>
  <c r="A7480" i="1"/>
  <c r="A4735" i="1"/>
  <c r="A11034" i="1"/>
  <c r="A22032" i="1"/>
  <c r="A19596" i="1"/>
  <c r="A17248" i="1"/>
  <c r="A35673" i="1"/>
  <c r="A35495" i="1"/>
  <c r="A34714" i="1"/>
  <c r="A34418" i="1"/>
  <c r="A34245" i="1"/>
  <c r="A34200" i="1"/>
  <c r="A34008" i="1"/>
  <c r="A33932" i="1"/>
  <c r="A33849" i="1"/>
  <c r="A33822" i="1"/>
  <c r="A33323" i="1"/>
  <c r="A33286" i="1"/>
  <c r="A33266" i="1"/>
  <c r="A33252" i="1"/>
  <c r="A33141" i="1"/>
  <c r="A33034" i="1"/>
  <c r="A31358" i="1"/>
  <c r="A31285" i="1"/>
  <c r="A31169" i="1"/>
  <c r="A30334" i="1"/>
  <c r="A30008" i="1"/>
  <c r="A29958" i="1"/>
  <c r="A29082" i="1"/>
  <c r="A28501" i="1"/>
  <c r="A28206" i="1"/>
  <c r="A28149" i="1"/>
  <c r="A27710" i="1"/>
  <c r="A27616" i="1"/>
  <c r="A27443" i="1"/>
  <c r="A27383" i="1"/>
  <c r="A27008" i="1"/>
  <c r="A26865" i="1"/>
  <c r="A26733" i="1"/>
  <c r="A26381" i="1"/>
  <c r="A26088" i="1"/>
  <c r="A26058" i="1"/>
  <c r="A25823" i="1"/>
  <c r="A25803" i="1"/>
  <c r="A25407" i="1"/>
  <c r="A25376" i="1"/>
  <c r="A25340" i="1"/>
  <c r="A25320" i="1"/>
  <c r="A25189" i="1"/>
  <c r="A25160" i="1"/>
  <c r="A25119" i="1"/>
  <c r="A25053" i="1"/>
  <c r="A25027" i="1"/>
  <c r="A24995" i="1"/>
  <c r="A24952" i="1"/>
  <c r="A24938" i="1"/>
  <c r="A24887" i="1"/>
  <c r="A24716" i="1"/>
  <c r="A24657" i="1"/>
  <c r="A24602" i="1"/>
  <c r="A24448" i="1"/>
  <c r="A24341" i="1"/>
  <c r="A24285" i="1"/>
  <c r="A24108" i="1"/>
  <c r="A23901" i="1"/>
  <c r="A23870" i="1"/>
  <c r="A6709" i="1"/>
  <c r="A35928" i="1"/>
  <c r="A20701" i="1"/>
  <c r="A16311" i="1"/>
  <c r="A4731" i="1"/>
  <c r="A918" i="1"/>
  <c r="A21878" i="1"/>
  <c r="A16998" i="1"/>
  <c r="A14260" i="1"/>
  <c r="A12263" i="1"/>
  <c r="A10389" i="1"/>
  <c r="A9297" i="1"/>
  <c r="A6619" i="1"/>
  <c r="A4366" i="1"/>
  <c r="A2598" i="1"/>
  <c r="A19748" i="1"/>
  <c r="A11616" i="1"/>
  <c r="A26400" i="1"/>
  <c r="A34123" i="1"/>
  <c r="A30140" i="1"/>
  <c r="A24994" i="1"/>
  <c r="A19909" i="1"/>
  <c r="A12921" i="1"/>
  <c r="A7763" i="1"/>
  <c r="A7830" i="1"/>
  <c r="A35875" i="1"/>
  <c r="A27487" i="1"/>
  <c r="A15386" i="1"/>
  <c r="A18506" i="1"/>
  <c r="A35125" i="1"/>
  <c r="A34951" i="1"/>
  <c r="A34365" i="1"/>
  <c r="A34197" i="1"/>
  <c r="A34043" i="1"/>
  <c r="A33988" i="1"/>
  <c r="A33958" i="1"/>
  <c r="A33482" i="1"/>
  <c r="A33284" i="1"/>
  <c r="A33191" i="1"/>
  <c r="A33139" i="1"/>
  <c r="A33030" i="1"/>
  <c r="A32392" i="1"/>
  <c r="A31515" i="1"/>
  <c r="A31495" i="1"/>
  <c r="A31439" i="1"/>
  <c r="A31230" i="1"/>
  <c r="A30401" i="1"/>
  <c r="A29980" i="1"/>
  <c r="A29903" i="1"/>
  <c r="A28551" i="1"/>
  <c r="A28929" i="1"/>
  <c r="A28427" i="1"/>
  <c r="A27982" i="1"/>
  <c r="A28088" i="1"/>
  <c r="A27439" i="1"/>
  <c r="A26473" i="1"/>
  <c r="A26035" i="1"/>
  <c r="A25822" i="1"/>
  <c r="A25660" i="1"/>
  <c r="A25406" i="1"/>
  <c r="A7969" i="1"/>
  <c r="A34241" i="1"/>
  <c r="A33923" i="1"/>
  <c r="A33294" i="1"/>
  <c r="A33138" i="1"/>
  <c r="A28943" i="1"/>
  <c r="A28202" i="1"/>
  <c r="A27609" i="1"/>
  <c r="A26964" i="1"/>
  <c r="A22009" i="1"/>
  <c r="A21926" i="1"/>
  <c r="A21808" i="1"/>
  <c r="A21675" i="1"/>
  <c r="A21389" i="1"/>
  <c r="A21095" i="1"/>
  <c r="A20422" i="1"/>
  <c r="A19219" i="1"/>
  <c r="A18829" i="1"/>
  <c r="A18595" i="1"/>
  <c r="A18354" i="1"/>
  <c r="A18135" i="1"/>
  <c r="A18027" i="1"/>
  <c r="A17510" i="1"/>
  <c r="A16746" i="1"/>
  <c r="A15509" i="1"/>
  <c r="A15306" i="1"/>
  <c r="A14998" i="1"/>
  <c r="A14844" i="1"/>
  <c r="A13889" i="1"/>
  <c r="A13773" i="1"/>
  <c r="A13229" i="1"/>
  <c r="A13194" i="1"/>
  <c r="A13160" i="1"/>
  <c r="A13131" i="1"/>
  <c r="A12716" i="1"/>
  <c r="A12652" i="1"/>
  <c r="A12639" i="1"/>
  <c r="A12625" i="1"/>
  <c r="A12613" i="1"/>
  <c r="A12607" i="1"/>
  <c r="A12599" i="1"/>
  <c r="A12574" i="1"/>
  <c r="A12555" i="1"/>
  <c r="A12532" i="1"/>
  <c r="A12516" i="1"/>
  <c r="A12469" i="1"/>
  <c r="A12407" i="1"/>
  <c r="A12375" i="1"/>
  <c r="A12352" i="1"/>
  <c r="A12181" i="1"/>
  <c r="A12056" i="1"/>
  <c r="A11832" i="1"/>
  <c r="A11678" i="1"/>
  <c r="A11146" i="1"/>
  <c r="A11110" i="1"/>
  <c r="A11077" i="1"/>
  <c r="A10800" i="1"/>
  <c r="A10632" i="1"/>
  <c r="A10612" i="1"/>
  <c r="A10006" i="1"/>
  <c r="A9950" i="1"/>
  <c r="A9924" i="1"/>
  <c r="A9419" i="1"/>
  <c r="A9352" i="1"/>
  <c r="A9268" i="1"/>
  <c r="A9225" i="1"/>
  <c r="A8860" i="1"/>
  <c r="A8801" i="1"/>
  <c r="A8587" i="1"/>
  <c r="A8575" i="1"/>
  <c r="A8525" i="1"/>
  <c r="A8402" i="1"/>
  <c r="A8349" i="1"/>
  <c r="A8305" i="1"/>
  <c r="A7439" i="1"/>
  <c r="A8167" i="1"/>
  <c r="A8072" i="1"/>
  <c r="A7965" i="1"/>
  <c r="A7952" i="1"/>
  <c r="A7870" i="1"/>
  <c r="A7767" i="1"/>
  <c r="A7751" i="1"/>
  <c r="A7734" i="1"/>
  <c r="A7699" i="1"/>
  <c r="A7498" i="1"/>
  <c r="A7373" i="1"/>
  <c r="A7318" i="1"/>
  <c r="A7001" i="1"/>
  <c r="A6717" i="1"/>
  <c r="A6599" i="1"/>
  <c r="A6480" i="1"/>
  <c r="A6448" i="1"/>
  <c r="A6024" i="1"/>
  <c r="A5969" i="1"/>
  <c r="A5873" i="1"/>
  <c r="A5741" i="1"/>
  <c r="A5669" i="1"/>
  <c r="A5442" i="1"/>
  <c r="A5334" i="1"/>
  <c r="A5160" i="1"/>
  <c r="A5076" i="1"/>
  <c r="A4910" i="1"/>
  <c r="A4874" i="1"/>
  <c r="A4860" i="1"/>
  <c r="A4850" i="1"/>
  <c r="A4833" i="1"/>
  <c r="A4363" i="1"/>
  <c r="A4109" i="1"/>
  <c r="A34003" i="1"/>
  <c r="A3917" i="1"/>
  <c r="A3858" i="1"/>
  <c r="A3813" i="1"/>
  <c r="A3772" i="1"/>
  <c r="A3697" i="1"/>
  <c r="A3542" i="1"/>
  <c r="A3458" i="1"/>
  <c r="A3433" i="1"/>
  <c r="A3293" i="1"/>
  <c r="A3240" i="1"/>
  <c r="A3135" i="1"/>
  <c r="A3012" i="1"/>
  <c r="A2695" i="1"/>
  <c r="A2623" i="1"/>
  <c r="A2444" i="1"/>
  <c r="A2217" i="1"/>
  <c r="A2176" i="1"/>
  <c r="A1927" i="1"/>
  <c r="A921" i="1"/>
  <c r="A497" i="1"/>
  <c r="A36651" i="1"/>
  <c r="A33394" i="1"/>
  <c r="A29087" i="1"/>
  <c r="A25436" i="1"/>
  <c r="A20002" i="1"/>
  <c r="A17784" i="1"/>
  <c r="A12972" i="1"/>
  <c r="A12569" i="1"/>
  <c r="A8982" i="1"/>
  <c r="A3793" i="1"/>
  <c r="A29638" i="1"/>
  <c r="A17984" i="1"/>
  <c r="A2114" i="1"/>
  <c r="A15654" i="1"/>
  <c r="A21939" i="1"/>
  <c r="A21502" i="1"/>
  <c r="A21107" i="1"/>
  <c r="A20150" i="1"/>
  <c r="A18774" i="1"/>
  <c r="A17550" i="1"/>
  <c r="A15533" i="1"/>
  <c r="A15382" i="1"/>
  <c r="A15330" i="1"/>
  <c r="A15140" i="1"/>
  <c r="A14882" i="1"/>
  <c r="A14782" i="1"/>
  <c r="A13843" i="1"/>
  <c r="A13196" i="1"/>
  <c r="A12485" i="1"/>
  <c r="A10756" i="1"/>
  <c r="A8898" i="1"/>
  <c r="A18008" i="1"/>
  <c r="A5277" i="1"/>
  <c r="A4609" i="1"/>
  <c r="A12380" i="1"/>
  <c r="A21253" i="1"/>
  <c r="A35545" i="1"/>
  <c r="A34758" i="1"/>
  <c r="A34188" i="1"/>
  <c r="A33847" i="1"/>
  <c r="A29083" i="1"/>
  <c r="A31071" i="1"/>
  <c r="A25333" i="1"/>
  <c r="A24695" i="1"/>
  <c r="A23444" i="1"/>
  <c r="A22005" i="1"/>
  <c r="A21800" i="1"/>
  <c r="A21619" i="1"/>
  <c r="A21494" i="1"/>
  <c r="A21327" i="1"/>
  <c r="A21262" i="1"/>
  <c r="A20684" i="1"/>
  <c r="A20629" i="1"/>
  <c r="A19986" i="1"/>
  <c r="A19630" i="1"/>
  <c r="A18908" i="1"/>
  <c r="A18858" i="1"/>
  <c r="A19472" i="1"/>
  <c r="A18690" i="1"/>
  <c r="A18441" i="1"/>
  <c r="A18408" i="1"/>
  <c r="A18287" i="1"/>
  <c r="A18223" i="1"/>
  <c r="A18106" i="1"/>
  <c r="A18063" i="1"/>
  <c r="A17950" i="1"/>
  <c r="A17841" i="1"/>
  <c r="A17413" i="1"/>
  <c r="A17264" i="1"/>
  <c r="A15672" i="1"/>
  <c r="A15582" i="1"/>
  <c r="A15488" i="1"/>
  <c r="A15359" i="1"/>
  <c r="A15216" i="1"/>
  <c r="A15106" i="1"/>
  <c r="A14976" i="1"/>
  <c r="A14888" i="1"/>
  <c r="A14709" i="1"/>
  <c r="A14526" i="1"/>
  <c r="A14452" i="1"/>
  <c r="A14347" i="1"/>
  <c r="A14247" i="1"/>
  <c r="A13961" i="1"/>
  <c r="A2852" i="1"/>
  <c r="A19456" i="1"/>
  <c r="A35544" i="1"/>
  <c r="A33282" i="1"/>
  <c r="A31494" i="1"/>
  <c r="A30053" i="1"/>
  <c r="A28083" i="1"/>
  <c r="A25819" i="1"/>
  <c r="A22666" i="1"/>
  <c r="A21985" i="1"/>
  <c r="A21924" i="1"/>
  <c r="A21795" i="1"/>
  <c r="A21477" i="1"/>
  <c r="A21416" i="1"/>
  <c r="A21375" i="1"/>
  <c r="A21088" i="1"/>
  <c r="A20340" i="1"/>
  <c r="A19215" i="1"/>
  <c r="A18824" i="1"/>
  <c r="A18497" i="1"/>
  <c r="A18309" i="1"/>
  <c r="A18133" i="1"/>
  <c r="A18020" i="1"/>
  <c r="A17498" i="1"/>
  <c r="A16613" i="1"/>
  <c r="A15505" i="1"/>
  <c r="A15295" i="1"/>
  <c r="A14996" i="1"/>
  <c r="A14814" i="1"/>
  <c r="A13955" i="1"/>
  <c r="A13888" i="1"/>
  <c r="A13539" i="1"/>
  <c r="A13227" i="1"/>
  <c r="A13193" i="1"/>
  <c r="A13154" i="1"/>
  <c r="A13101" i="1"/>
  <c r="A12693" i="1"/>
  <c r="A12648" i="1"/>
  <c r="A12638" i="1"/>
  <c r="A12624" i="1"/>
  <c r="A12612" i="1"/>
  <c r="A12606" i="1"/>
  <c r="A12598" i="1"/>
  <c r="A12570" i="1"/>
  <c r="A12553" i="1"/>
  <c r="A12529" i="1"/>
  <c r="A12511" i="1"/>
  <c r="A12468" i="1"/>
  <c r="A12405" i="1"/>
  <c r="A12366" i="1"/>
  <c r="A12351" i="1"/>
  <c r="A12179" i="1"/>
  <c r="A11986" i="1"/>
  <c r="A11762" i="1"/>
  <c r="A11453" i="1"/>
  <c r="A11142" i="1"/>
  <c r="A11087" i="1"/>
  <c r="A11068" i="1"/>
  <c r="A10793" i="1"/>
  <c r="A10631" i="1"/>
  <c r="A10605" i="1"/>
  <c r="A10001" i="1"/>
  <c r="A9948" i="1"/>
  <c r="A9921" i="1"/>
  <c r="A9403" i="1"/>
  <c r="A9322" i="1"/>
  <c r="A9266" i="1"/>
  <c r="A9224" i="1"/>
  <c r="A8831" i="1"/>
  <c r="A8596" i="1"/>
  <c r="A8583" i="1"/>
  <c r="A8574" i="1"/>
  <c r="A8522" i="1"/>
  <c r="A8400" i="1"/>
  <c r="A8337" i="1"/>
  <c r="A8258" i="1"/>
  <c r="A8204" i="1"/>
  <c r="A8153" i="1"/>
  <c r="A8071" i="1"/>
  <c r="A7975" i="1"/>
  <c r="A7932" i="1"/>
  <c r="A7861" i="1"/>
  <c r="A7761" i="1"/>
  <c r="A7750" i="1"/>
  <c r="A7728" i="1"/>
  <c r="A7697" i="1"/>
  <c r="A7495" i="1"/>
  <c r="A7366" i="1"/>
  <c r="A7314" i="1"/>
  <c r="A6999" i="1"/>
  <c r="A6652" i="1"/>
  <c r="A6598" i="1"/>
  <c r="A6470" i="1"/>
  <c r="A6447" i="1"/>
  <c r="A6022" i="1"/>
  <c r="A5961" i="1"/>
  <c r="A5847" i="1"/>
  <c r="A5704" i="1"/>
  <c r="A5656" i="1"/>
  <c r="A5440" i="1"/>
  <c r="A5296" i="1"/>
  <c r="A5155" i="1"/>
  <c r="A5044" i="1"/>
  <c r="A4909" i="1"/>
  <c r="A4870" i="1"/>
  <c r="A4858" i="1"/>
  <c r="A4847" i="1"/>
  <c r="A4763" i="1"/>
  <c r="A5078" i="1"/>
  <c r="A4108" i="1"/>
  <c r="A16261" i="1"/>
  <c r="A3915" i="1"/>
  <c r="A3853" i="1"/>
  <c r="A3810" i="1"/>
  <c r="A3771" i="1"/>
  <c r="A3679" i="1"/>
  <c r="A3536" i="1"/>
  <c r="A19723" i="1"/>
  <c r="A16403" i="1"/>
  <c r="A3401" i="1"/>
  <c r="A6066" i="1"/>
  <c r="A33265" i="1"/>
  <c r="A31437" i="1"/>
  <c r="A30022" i="1"/>
  <c r="A29763" i="1"/>
  <c r="A28040" i="1"/>
  <c r="A27362" i="1"/>
  <c r="A26717" i="1"/>
  <c r="A25802" i="1"/>
  <c r="A25316" i="1"/>
  <c r="A25115" i="1"/>
  <c r="A24119" i="1"/>
  <c r="A23851" i="1"/>
  <c r="A23543" i="1"/>
  <c r="A23443" i="1"/>
  <c r="A22614" i="1"/>
  <c r="A21838" i="1"/>
  <c r="A21791" i="1"/>
  <c r="A21614" i="1"/>
  <c r="A21472" i="1"/>
  <c r="A21411" i="1"/>
  <c r="A21249" i="1"/>
  <c r="A20613" i="1"/>
  <c r="A19608" i="1"/>
  <c r="A18857" i="1"/>
  <c r="A18687" i="1"/>
  <c r="A18395" i="1"/>
  <c r="A18220" i="1"/>
  <c r="A18062" i="1"/>
  <c r="A17837" i="1"/>
  <c r="A17252" i="1"/>
  <c r="A15569" i="1"/>
  <c r="A15356" i="1"/>
  <c r="A15090" i="1"/>
  <c r="A14910" i="1"/>
  <c r="A14524" i="1"/>
  <c r="A14450" i="1"/>
  <c r="A14344" i="1"/>
  <c r="A14202" i="1"/>
  <c r="A35185" i="1"/>
  <c r="A16202" i="1"/>
  <c r="A31420" i="1"/>
  <c r="A28043" i="1"/>
  <c r="A27356" i="1"/>
  <c r="A26020" i="1"/>
  <c r="A25751" i="1"/>
  <c r="A23435" i="1"/>
  <c r="A22613" i="1"/>
  <c r="A21973" i="1"/>
  <c r="A21833" i="1"/>
  <c r="A21592" i="1"/>
  <c r="A21469" i="1"/>
  <c r="A21368" i="1"/>
  <c r="A21312" i="1"/>
  <c r="A21083" i="1"/>
  <c r="A20667" i="1"/>
  <c r="A20333" i="1"/>
  <c r="A19801" i="1"/>
  <c r="A19208" i="1"/>
  <c r="A18903" i="1"/>
  <c r="A18808" i="1"/>
  <c r="A18756" i="1"/>
  <c r="A18496" i="1"/>
  <c r="A18438" i="1"/>
  <c r="A18306" i="1"/>
  <c r="A18245" i="1"/>
  <c r="A18122" i="1"/>
  <c r="A18098" i="1"/>
  <c r="A18010" i="1"/>
  <c r="A17345" i="1"/>
  <c r="A17471" i="1"/>
  <c r="A17881" i="1"/>
  <c r="A15794" i="1"/>
  <c r="A15650" i="1"/>
  <c r="A15543" i="1"/>
  <c r="A15479" i="1"/>
  <c r="A15293" i="1"/>
  <c r="A15160" i="1"/>
  <c r="A14995" i="1"/>
  <c r="A14964" i="1"/>
  <c r="A14772" i="1"/>
  <c r="A14678" i="1"/>
  <c r="A13944" i="1"/>
  <c r="A13884" i="1"/>
  <c r="A13438" i="1"/>
  <c r="A13216" i="1"/>
  <c r="A13190" i="1"/>
  <c r="A13153" i="1"/>
  <c r="A13100" i="1"/>
  <c r="A12670" i="1"/>
  <c r="A12646" i="1"/>
  <c r="A12637" i="1"/>
  <c r="A12623" i="1"/>
  <c r="A12611" i="1"/>
  <c r="A12605" i="1"/>
  <c r="A12596" i="1"/>
  <c r="A12561" i="1"/>
  <c r="A12550" i="1"/>
  <c r="A12528" i="1"/>
  <c r="A12478" i="1"/>
  <c r="A12466" i="1"/>
  <c r="A12399" i="1"/>
  <c r="A12365" i="1"/>
  <c r="A12336" i="1"/>
  <c r="A12177" i="1"/>
  <c r="A11894" i="1"/>
  <c r="A11756" i="1"/>
  <c r="A11447" i="1"/>
  <c r="A11129" i="1"/>
  <c r="A11086" i="1"/>
  <c r="A11064" i="1"/>
  <c r="A10752" i="1"/>
  <c r="A10620" i="1"/>
  <c r="A10577" i="1"/>
  <c r="A10000" i="1"/>
  <c r="A9947" i="1"/>
  <c r="A9919" i="1"/>
  <c r="A9385" i="1"/>
  <c r="A9293" i="1"/>
  <c r="A9287" i="1"/>
  <c r="A9207" i="1"/>
  <c r="A8830" i="1"/>
  <c r="A8595" i="1"/>
  <c r="A8582" i="1"/>
  <c r="A8572" i="1"/>
  <c r="A8519" i="1"/>
  <c r="A8398" i="1"/>
  <c r="A8336" i="1"/>
  <c r="A8256" i="1"/>
  <c r="A8200" i="1"/>
  <c r="A8128" i="1"/>
  <c r="A8036" i="1"/>
  <c r="A7974" i="1"/>
  <c r="A7920" i="1"/>
  <c r="A7852" i="1"/>
  <c r="A7759" i="1"/>
  <c r="A7747" i="1"/>
  <c r="A7724" i="1"/>
  <c r="A7696" i="1"/>
  <c r="A7483" i="1"/>
  <c r="A7365" i="1"/>
  <c r="A7300" i="1"/>
  <c r="A7006" i="1"/>
  <c r="A6997" i="1"/>
  <c r="A6645" i="1"/>
  <c r="A6542" i="1"/>
  <c r="A6465" i="1"/>
  <c r="A6162" i="1"/>
  <c r="A6020" i="1"/>
  <c r="A5960" i="1"/>
  <c r="A5832" i="1"/>
  <c r="A5702" i="1"/>
  <c r="A5620" i="1"/>
  <c r="A5413" i="1"/>
  <c r="A5210" i="1"/>
  <c r="A5154" i="1"/>
  <c r="A4974" i="1"/>
  <c r="A4898" i="1"/>
  <c r="A4868" i="1"/>
  <c r="A4856" i="1"/>
  <c r="A4761" i="1"/>
  <c r="A4176" i="1"/>
  <c r="A4100" i="1"/>
  <c r="A3925" i="1"/>
  <c r="A3908" i="1"/>
  <c r="A3837" i="1"/>
  <c r="A3783" i="1"/>
  <c r="A3754" i="1"/>
  <c r="A3677" i="1"/>
  <c r="A3534" i="1"/>
  <c r="A3455" i="1"/>
  <c r="A3351" i="1"/>
  <c r="A3271" i="1"/>
  <c r="A3203" i="1"/>
  <c r="A3108" i="1"/>
  <c r="A2936" i="1"/>
  <c r="A2643" i="1"/>
  <c r="A2612" i="1"/>
  <c r="A2419" i="1"/>
  <c r="A2208" i="1"/>
  <c r="A2144" i="1"/>
  <c r="A1126" i="1"/>
  <c r="A874" i="1"/>
  <c r="A80" i="1"/>
  <c r="A1839" i="1"/>
  <c r="A30360" i="1"/>
  <c r="A28137" i="1"/>
  <c r="A26944" i="1"/>
  <c r="A17930" i="1"/>
  <c r="A16241" i="1"/>
  <c r="A12967" i="1"/>
  <c r="A12552" i="1"/>
  <c r="A22085" i="1"/>
  <c r="A919" i="1"/>
  <c r="A22380" i="1"/>
  <c r="A7611" i="1"/>
  <c r="A7166" i="1"/>
  <c r="A1406" i="1"/>
  <c r="A22725" i="1"/>
  <c r="A21724" i="1"/>
  <c r="A21383" i="1"/>
  <c r="A20738" i="1"/>
  <c r="A19568" i="1"/>
  <c r="A18494" i="1"/>
  <c r="A15663" i="1"/>
  <c r="A15496" i="1"/>
  <c r="A15368" i="1"/>
  <c r="A15311" i="1"/>
  <c r="A15050" i="1"/>
  <c r="A14808" i="1"/>
  <c r="A14605" i="1"/>
  <c r="A13141" i="1"/>
  <c r="A12455" i="1"/>
  <c r="A10586" i="1"/>
  <c r="A8804" i="1"/>
  <c r="A746" i="1"/>
  <c r="A11201" i="1"/>
  <c r="A14005" i="1"/>
  <c r="A36665" i="1"/>
  <c r="A35403" i="1"/>
  <c r="A34038" i="1"/>
  <c r="A30395" i="1"/>
  <c r="A25295" i="1"/>
  <c r="A25075" i="1"/>
  <c r="A24340" i="1"/>
  <c r="A23532" i="1"/>
  <c r="A23434" i="1"/>
  <c r="A21966" i="1"/>
  <c r="A21832" i="1"/>
  <c r="A21788" i="1"/>
  <c r="A21585" i="1"/>
  <c r="A21410" i="1"/>
  <c r="A21248" i="1"/>
  <c r="A20604" i="1"/>
  <c r="A19575" i="1"/>
  <c r="A18848" i="1"/>
  <c r="A18675" i="1"/>
  <c r="A18384" i="1"/>
  <c r="A18213" i="1"/>
  <c r="A18052" i="1"/>
  <c r="A17835" i="1"/>
  <c r="A17232" i="1"/>
  <c r="A15568" i="1"/>
  <c r="A15068" i="1"/>
  <c r="A14891" i="1"/>
  <c r="A14510" i="1"/>
  <c r="A14388" i="1"/>
  <c r="A14276" i="1"/>
  <c r="A14195" i="1"/>
  <c r="A34399" i="1"/>
  <c r="A30385" i="1"/>
  <c r="A28417" i="1"/>
  <c r="A28426" i="1"/>
  <c r="A27963" i="1"/>
  <c r="A27312" i="1"/>
  <c r="A25631" i="1"/>
  <c r="A23499" i="1"/>
  <c r="A22559" i="1"/>
  <c r="A21977" i="1"/>
  <c r="A21779" i="1"/>
  <c r="A21645" i="1"/>
  <c r="A21463" i="1"/>
  <c r="A21310" i="1"/>
  <c r="A20654" i="1"/>
  <c r="A19800" i="1"/>
  <c r="A18901" i="1"/>
  <c r="A19181" i="1"/>
  <c r="A18426" i="1"/>
  <c r="A18235" i="1"/>
  <c r="A18094" i="1"/>
  <c r="A17945" i="1"/>
  <c r="A17388" i="1"/>
  <c r="A15649" i="1"/>
  <c r="A15477" i="1"/>
  <c r="A15157" i="1"/>
  <c r="A14959" i="1"/>
  <c r="A14641" i="1"/>
  <c r="A13928" i="1"/>
  <c r="A13827" i="1"/>
  <c r="A13350" i="1"/>
  <c r="A13204" i="1"/>
  <c r="A13187" i="1"/>
  <c r="A13145" i="1"/>
  <c r="A13051" i="1"/>
  <c r="A12663" i="1"/>
  <c r="A12643" i="1"/>
  <c r="A12634" i="1"/>
  <c r="A12622" i="1"/>
  <c r="A12610" i="1"/>
  <c r="A12604" i="1"/>
  <c r="A12595" i="1"/>
  <c r="A12558" i="1"/>
  <c r="A12549" i="1"/>
  <c r="A12531" i="1"/>
  <c r="A12477" i="1"/>
  <c r="A12432" i="1"/>
  <c r="A12396" i="1"/>
  <c r="A12356" i="1"/>
  <c r="A12249" i="1"/>
  <c r="A12138" i="1"/>
  <c r="A11891" i="1"/>
  <c r="A11706" i="1"/>
  <c r="A11196" i="1"/>
  <c r="A11127" i="1"/>
  <c r="A11084" i="1"/>
  <c r="A8905" i="1"/>
  <c r="A10738" i="1"/>
  <c r="A10619" i="1"/>
  <c r="A10573" i="1"/>
  <c r="A9979" i="1"/>
  <c r="A9933" i="1"/>
  <c r="A9453" i="1"/>
  <c r="A9376" i="1"/>
  <c r="A9291" i="1"/>
  <c r="A9246" i="1"/>
  <c r="A9186" i="1"/>
  <c r="A8824" i="1"/>
  <c r="A8594" i="1"/>
  <c r="A8580" i="1"/>
  <c r="A8571" i="1"/>
  <c r="A8518" i="1"/>
  <c r="A8389" i="1"/>
  <c r="A8332" i="1"/>
  <c r="A8244" i="1"/>
  <c r="A8199" i="1"/>
  <c r="A8092" i="1"/>
  <c r="A7988" i="1"/>
  <c r="A7972" i="1"/>
  <c r="A7901" i="1"/>
  <c r="A7837" i="1"/>
  <c r="A7757" i="1"/>
  <c r="A7743" i="1"/>
  <c r="A7719" i="1"/>
  <c r="A7693" i="1"/>
  <c r="A7481" i="1"/>
  <c r="A7358" i="1"/>
  <c r="A7292" i="1"/>
  <c r="A7003" i="1"/>
  <c r="A6996" i="1"/>
  <c r="A6607" i="1"/>
  <c r="A6533" i="1"/>
  <c r="A6464" i="1"/>
  <c r="A6161" i="1"/>
  <c r="A5995" i="1"/>
  <c r="A5925" i="1"/>
  <c r="A5833" i="1"/>
  <c r="A5701" i="1"/>
  <c r="A5471" i="1"/>
  <c r="A5411" i="1"/>
  <c r="A5169" i="1"/>
  <c r="A5136" i="1"/>
  <c r="A4969" i="1"/>
  <c r="A4877" i="1"/>
  <c r="A4866" i="1"/>
  <c r="A4854" i="1"/>
  <c r="A4845" i="1"/>
  <c r="A4753" i="1"/>
  <c r="A4173" i="1"/>
  <c r="A4093" i="1"/>
  <c r="A3924" i="1"/>
  <c r="A3907" i="1"/>
  <c r="A3833" i="1"/>
  <c r="A3781" i="1"/>
  <c r="A8646" i="1"/>
  <c r="A21430" i="1"/>
  <c r="A11861" i="1"/>
  <c r="A28948" i="1"/>
  <c r="A35456" i="1"/>
  <c r="A34363" i="1"/>
  <c r="A32375" i="1"/>
  <c r="A27709" i="1"/>
  <c r="A27270" i="1"/>
  <c r="A26333" i="1"/>
  <c r="A25198" i="1"/>
  <c r="A25052" i="1"/>
  <c r="A24776" i="1"/>
  <c r="A24058" i="1"/>
  <c r="A23464" i="1"/>
  <c r="A22350" i="1"/>
  <c r="A21964" i="1"/>
  <c r="A21823" i="1"/>
  <c r="A21766" i="1"/>
  <c r="A21439" i="1"/>
  <c r="A21409" i="1"/>
  <c r="A21355" i="1"/>
  <c r="A21210" i="1"/>
  <c r="A20837" i="1"/>
  <c r="A20499" i="1"/>
  <c r="A20144" i="1"/>
  <c r="A19562" i="1"/>
  <c r="A19113" i="1"/>
  <c r="A18846" i="1"/>
  <c r="A18800" i="1"/>
  <c r="A18657" i="1"/>
  <c r="A18470" i="1"/>
  <c r="A18375" i="1"/>
  <c r="A18297" i="1"/>
  <c r="A18204" i="1"/>
  <c r="A18112" i="1"/>
  <c r="A18045" i="1"/>
  <c r="A17988" i="1"/>
  <c r="A17817" i="1"/>
  <c r="A17424" i="1"/>
  <c r="A17143" i="1"/>
  <c r="A16231" i="1"/>
  <c r="A15541" i="1"/>
  <c r="A15500" i="1"/>
  <c r="A15328" i="1"/>
  <c r="A15263" i="1"/>
  <c r="A15065" i="1"/>
  <c r="A14979" i="1"/>
  <c r="A14889" i="1"/>
  <c r="A14731" i="1"/>
  <c r="A14503" i="1"/>
  <c r="A14360" i="1"/>
  <c r="A14252" i="1"/>
  <c r="A14154" i="1"/>
  <c r="A4199" i="1"/>
  <c r="A6119" i="1"/>
  <c r="A34357" i="1"/>
  <c r="A33987" i="1"/>
  <c r="A31282" i="1"/>
  <c r="A29993" i="1"/>
  <c r="A29286" i="1"/>
  <c r="A27662" i="1"/>
  <c r="A27266" i="1"/>
  <c r="A25970" i="1"/>
  <c r="A23463" i="1"/>
  <c r="A23308" i="1"/>
  <c r="A22345" i="1"/>
  <c r="A21817" i="1"/>
  <c r="A21761" i="1"/>
  <c r="A21565" i="1"/>
  <c r="A21437" i="1"/>
  <c r="A21309" i="1"/>
  <c r="A20651" i="1"/>
  <c r="A19797" i="1"/>
  <c r="A18888" i="1"/>
  <c r="A18735" i="1"/>
  <c r="A18423" i="1"/>
  <c r="A18233" i="1"/>
  <c r="A18093" i="1"/>
  <c r="A17943" i="1"/>
  <c r="A17374" i="1"/>
  <c r="A15635" i="1"/>
  <c r="A15445" i="1"/>
  <c r="A15153" i="1"/>
  <c r="A14956" i="1"/>
  <c r="A14640" i="1"/>
  <c r="A13895" i="1"/>
  <c r="A13799" i="1"/>
  <c r="A13245" i="1"/>
  <c r="A13201" i="1"/>
  <c r="A13167" i="1"/>
  <c r="A13143" i="1"/>
  <c r="A12659" i="1"/>
  <c r="A12642" i="1"/>
  <c r="A12632" i="1"/>
  <c r="A12618" i="1"/>
  <c r="A12609" i="1"/>
  <c r="A12603" i="1"/>
  <c r="A12584" i="1"/>
  <c r="A12557" i="1"/>
  <c r="A12548" i="1"/>
  <c r="A12520" i="1"/>
  <c r="A12471" i="1"/>
  <c r="A12419" i="1"/>
  <c r="A12391" i="1"/>
  <c r="A12354" i="1"/>
  <c r="A12210" i="1"/>
  <c r="A12136" i="1"/>
  <c r="A11889" i="1"/>
  <c r="A11684" i="1"/>
  <c r="A11155" i="1"/>
  <c r="A11113" i="1"/>
  <c r="A11081" i="1"/>
  <c r="A10924" i="1"/>
  <c r="A10663" i="1"/>
  <c r="A10618" i="1"/>
  <c r="A10015" i="1"/>
  <c r="A9977" i="1"/>
  <c r="A9930" i="1"/>
  <c r="A9424" i="1"/>
  <c r="A9375" i="1"/>
  <c r="A9290" i="1"/>
  <c r="A9242" i="1"/>
  <c r="A8992" i="1"/>
  <c r="A8821" i="1"/>
  <c r="A8593" i="1"/>
  <c r="A8577" i="1"/>
  <c r="A8436" i="1"/>
  <c r="A8493" i="1"/>
  <c r="A8386" i="1"/>
  <c r="A8331" i="1"/>
  <c r="A8241" i="1"/>
  <c r="A8169" i="1"/>
  <c r="A8079" i="1"/>
  <c r="A7986" i="1"/>
  <c r="A7970" i="1"/>
  <c r="A8313" i="1"/>
  <c r="A7820" i="1"/>
  <c r="A7755" i="1"/>
  <c r="A7741" i="1"/>
  <c r="A7718" i="1"/>
  <c r="A7685" i="1"/>
  <c r="A7446" i="1"/>
  <c r="A7355" i="1"/>
  <c r="A7119" i="1"/>
  <c r="A7005" i="1"/>
  <c r="A6994" i="1"/>
  <c r="A6609" i="1"/>
  <c r="A6531" i="1"/>
  <c r="A6461" i="1"/>
  <c r="A6151" i="1"/>
  <c r="A5976" i="1"/>
  <c r="A5920" i="1"/>
  <c r="A5812" i="1"/>
  <c r="A5700" i="1"/>
  <c r="A5461" i="1"/>
  <c r="A5355" i="1"/>
  <c r="A5167" i="1"/>
  <c r="A5130" i="1"/>
  <c r="A4957" i="1"/>
  <c r="A4876" i="1"/>
  <c r="A4864" i="1"/>
  <c r="A5080" i="1"/>
  <c r="A4844" i="1"/>
  <c r="A4663" i="1"/>
  <c r="A4144" i="1"/>
  <c r="A4072" i="1"/>
  <c r="A3923" i="1"/>
  <c r="A3903" i="1"/>
  <c r="A3817" i="1"/>
  <c r="A3775" i="1"/>
  <c r="A3717" i="1"/>
  <c r="A3604" i="1"/>
  <c r="A3461" i="1"/>
  <c r="A3442" i="1"/>
  <c r="A3323" i="1"/>
  <c r="A3253" i="1"/>
  <c r="A3178" i="1"/>
  <c r="A3079" i="1"/>
  <c r="A2897" i="1"/>
  <c r="A2640" i="1"/>
  <c r="A2574" i="1"/>
  <c r="A2330" i="1"/>
  <c r="A2195" i="1"/>
  <c r="A2054" i="1"/>
  <c r="A1055" i="1"/>
  <c r="A847" i="1"/>
  <c r="A13197" i="1"/>
  <c r="A36662" i="1"/>
  <c r="A27492" i="1"/>
  <c r="A25444" i="1"/>
  <c r="A21873" i="1"/>
  <c r="A17794" i="1"/>
  <c r="A13045" i="1"/>
  <c r="A12964" i="1"/>
  <c r="A11632" i="1"/>
  <c r="A5008" i="1"/>
  <c r="A11137" i="1"/>
  <c r="A5943" i="1"/>
  <c r="A22296" i="1"/>
  <c r="A21719" i="1"/>
  <c r="A21303" i="1"/>
  <c r="A19258" i="1"/>
  <c r="A4477" i="1"/>
  <c r="A10377" i="1"/>
  <c r="A17370" i="1"/>
  <c r="A24707" i="1"/>
  <c r="A35121" i="1"/>
  <c r="A33956" i="1"/>
  <c r="A33162" i="1"/>
  <c r="A31568" i="1"/>
  <c r="A30251" i="1"/>
  <c r="A25186" i="1"/>
  <c r="A25021" i="1"/>
  <c r="A23963" i="1"/>
  <c r="A23803" i="1"/>
  <c r="A23291" i="1"/>
  <c r="A22281" i="1"/>
  <c r="A21962" i="1"/>
  <c r="A21816" i="1"/>
  <c r="A21546" i="1"/>
  <c r="A21433" i="1"/>
  <c r="A21348" i="1"/>
  <c r="A20757" i="1"/>
  <c r="A20142" i="1"/>
  <c r="A19058" i="1"/>
  <c r="A18797" i="1"/>
  <c r="A18466" i="1"/>
  <c r="A18294" i="1"/>
  <c r="A18110" i="1"/>
  <c r="A17959" i="1"/>
  <c r="A17418" i="1"/>
  <c r="A16048" i="1"/>
  <c r="A15491" i="1"/>
  <c r="A15254" i="1"/>
  <c r="A14978" i="1"/>
  <c r="A14729" i="1"/>
  <c r="A14485" i="1"/>
  <c r="A14358" i="1"/>
  <c r="A14251" i="1"/>
  <c r="A14152" i="1"/>
  <c r="A661" i="1"/>
  <c r="A35637" i="1"/>
  <c r="A27613" i="1"/>
  <c r="A21534" i="1"/>
  <c r="A20721" i="1"/>
  <c r="A18929" i="1"/>
  <c r="A18446" i="1"/>
  <c r="A18108" i="1"/>
  <c r="A17416" i="1"/>
  <c r="A15490" i="1"/>
  <c r="A14977" i="1"/>
  <c r="A14355" i="1"/>
  <c r="A3620" i="1"/>
  <c r="A3312" i="1"/>
  <c r="A3014" i="1"/>
  <c r="A2448" i="1"/>
  <c r="A1963" i="1"/>
  <c r="A21339" i="1"/>
  <c r="A20196" i="1"/>
  <c r="A18772" i="1"/>
  <c r="A15384" i="1"/>
  <c r="A15313" i="1"/>
  <c r="A14784" i="1"/>
  <c r="A13634" i="1"/>
  <c r="A11422" i="1"/>
  <c r="A8816" i="1"/>
  <c r="A35111" i="1"/>
  <c r="A27033" i="1"/>
  <c r="A23277" i="1"/>
  <c r="A20637" i="1"/>
  <c r="A18879" i="1"/>
  <c r="A18421" i="1"/>
  <c r="A18079" i="1"/>
  <c r="A17372" i="1"/>
  <c r="A15531" i="1"/>
  <c r="A14938" i="1"/>
  <c r="A13163" i="1"/>
  <c r="A12620" i="1"/>
  <c r="A12519" i="1"/>
  <c r="A12133" i="1"/>
  <c r="A11004" i="1"/>
  <c r="A9422" i="1"/>
  <c r="A8592" i="1"/>
  <c r="A8232" i="1"/>
  <c r="A7779" i="1"/>
  <c r="A7335" i="1"/>
  <c r="A6458" i="1"/>
  <c r="A5449" i="1"/>
  <c r="A4862" i="1"/>
  <c r="A3919" i="1"/>
  <c r="A3551" i="1"/>
  <c r="A12974" i="1"/>
  <c r="A11892" i="1"/>
  <c r="A1125" i="1"/>
  <c r="A15614" i="1"/>
  <c r="A15002" i="1"/>
  <c r="A13137" i="1"/>
  <c r="A7891" i="1"/>
  <c r="A7841" i="1"/>
  <c r="A7509" i="1"/>
  <c r="A7020" i="1"/>
  <c r="A6582" i="1"/>
  <c r="A6472" i="1"/>
  <c r="A5530" i="1"/>
  <c r="A4397" i="1"/>
  <c r="A3941" i="1"/>
  <c r="A2119" i="1"/>
  <c r="A1411" i="1"/>
  <c r="A15642" i="1"/>
  <c r="A12148" i="1"/>
  <c r="A6507" i="1"/>
  <c r="A32495" i="1"/>
  <c r="A32455" i="1"/>
  <c r="A32467" i="1"/>
  <c r="A32481" i="1"/>
  <c r="A28074" i="1"/>
  <c r="A25922" i="1"/>
  <c r="A24442" i="1"/>
  <c r="A19092" i="1"/>
  <c r="A15209" i="1"/>
  <c r="A6295" i="1"/>
  <c r="A5722" i="1"/>
  <c r="A3016" i="1"/>
  <c r="A33458" i="1"/>
  <c r="A27448" i="1"/>
  <c r="A24434" i="1"/>
  <c r="A16719" i="1"/>
  <c r="A6288" i="1"/>
  <c r="A16459" i="1"/>
  <c r="A25858" i="1"/>
  <c r="A4977" i="1"/>
  <c r="A3041" i="1"/>
  <c r="A8727" i="1"/>
  <c r="A7078" i="1"/>
  <c r="A530" i="1"/>
  <c r="A9841" i="1"/>
  <c r="A2763" i="1"/>
  <c r="A6108" i="1"/>
  <c r="A17700" i="1"/>
  <c r="A34820" i="1"/>
  <c r="A30887" i="1"/>
  <c r="A27781" i="1"/>
  <c r="A18380" i="1"/>
  <c r="A15269" i="1"/>
  <c r="A13324" i="1"/>
  <c r="A10012" i="1"/>
  <c r="A10248" i="1"/>
  <c r="A9790" i="1"/>
  <c r="A6568" i="1"/>
  <c r="A24157" i="1"/>
  <c r="A29716" i="1"/>
  <c r="A24544" i="1"/>
  <c r="A16173" i="1"/>
  <c r="A8755" i="1"/>
  <c r="A11773" i="1"/>
  <c r="A20959" i="1"/>
  <c r="A29306" i="1"/>
  <c r="A25397" i="1"/>
  <c r="A24796" i="1"/>
  <c r="A31116" i="1"/>
  <c r="A23424" i="1"/>
  <c r="A18590" i="1"/>
  <c r="A17903" i="1"/>
  <c r="A14681" i="1"/>
  <c r="A10761" i="1"/>
  <c r="A2402" i="1"/>
  <c r="A21080" i="1"/>
  <c r="A34912" i="1"/>
  <c r="A31165" i="1"/>
  <c r="A24710" i="1"/>
  <c r="A21426" i="1"/>
  <c r="A14249" i="1"/>
  <c r="A3291" i="1"/>
  <c r="A3010" i="1"/>
  <c r="A2424" i="1"/>
  <c r="A1442" i="1"/>
  <c r="A19620" i="1"/>
  <c r="A18394" i="1"/>
  <c r="A6335" i="1"/>
  <c r="A21880" i="1"/>
  <c r="A17863" i="1"/>
  <c r="A15301" i="1"/>
  <c r="A13534" i="1"/>
  <c r="A34303" i="1"/>
  <c r="A21395" i="1"/>
  <c r="A20429" i="1"/>
  <c r="A18835" i="1"/>
  <c r="A18368" i="1"/>
  <c r="A18041" i="1"/>
  <c r="A16760" i="1"/>
  <c r="A15307" i="1"/>
  <c r="A14846" i="1"/>
  <c r="A13135" i="1"/>
  <c r="A12608" i="1"/>
  <c r="A12470" i="1"/>
  <c r="A11834" i="1"/>
  <c r="A10662" i="1"/>
  <c r="A9373" i="1"/>
  <c r="A8576" i="1"/>
  <c r="A8168" i="1"/>
  <c r="A7752" i="1"/>
  <c r="A7010" i="1"/>
  <c r="A6072" i="1"/>
  <c r="A5100" i="1"/>
  <c r="A4852" i="1"/>
  <c r="A3897" i="1"/>
  <c r="A3463" i="1"/>
  <c r="A3255" i="1"/>
  <c r="A2900" i="1"/>
  <c r="A2349" i="1"/>
  <c r="A1064" i="1"/>
  <c r="A19622" i="1"/>
  <c r="A10803" i="1"/>
  <c r="A895" i="1"/>
  <c r="A21109" i="1"/>
  <c r="A19669" i="1"/>
  <c r="A15565" i="1"/>
  <c r="A15380" i="1"/>
  <c r="A14968" i="1"/>
  <c r="A13570" i="1"/>
  <c r="A12616" i="1"/>
  <c r="A10625" i="1"/>
  <c r="A8767" i="1"/>
  <c r="A7860" i="1"/>
  <c r="A7832" i="1"/>
  <c r="A7469" i="1"/>
  <c r="A6989" i="1"/>
  <c r="A6580" i="1"/>
  <c r="A6469" i="1"/>
  <c r="A5776" i="1"/>
  <c r="A5477" i="1"/>
  <c r="A4287" i="1"/>
  <c r="A21701" i="1"/>
  <c r="A2045" i="1"/>
  <c r="A1408" i="1"/>
  <c r="A15315" i="1"/>
  <c r="A11184" i="1"/>
  <c r="A5768" i="1"/>
  <c r="A32493" i="1"/>
  <c r="A32453" i="1"/>
  <c r="A32489" i="1"/>
  <c r="A32487" i="1"/>
  <c r="A32498" i="1"/>
  <c r="A28068" i="1"/>
  <c r="A18401" i="1"/>
  <c r="A14850" i="1"/>
  <c r="A6286" i="1"/>
  <c r="A5607" i="1"/>
  <c r="A487" i="1"/>
  <c r="A30555" i="1"/>
  <c r="A27447" i="1"/>
  <c r="A21688" i="1"/>
  <c r="A16111" i="1"/>
  <c r="A6281" i="1"/>
  <c r="A13713" i="1"/>
  <c r="A510" i="1"/>
  <c r="A8102" i="1"/>
  <c r="A3289" i="1"/>
  <c r="A512" i="1"/>
  <c r="A30314" i="1"/>
  <c r="A9682" i="1"/>
  <c r="A723" i="1"/>
  <c r="A4178" i="1"/>
  <c r="A34387" i="1"/>
  <c r="A806" i="1"/>
  <c r="A17899" i="1"/>
  <c r="A14924" i="1"/>
  <c r="A13265" i="1"/>
  <c r="A10521" i="1"/>
  <c r="A10222" i="1"/>
  <c r="A9742" i="1"/>
  <c r="A5482" i="1"/>
  <c r="A17905" i="1"/>
  <c r="A26529" i="1"/>
  <c r="A29491" i="1"/>
  <c r="A24254" i="1"/>
  <c r="A15290" i="1"/>
  <c r="A6322" i="1"/>
  <c r="A36160" i="1"/>
  <c r="A35331" i="1"/>
  <c r="A36177" i="1"/>
  <c r="A28467" i="1"/>
  <c r="A35683" i="1"/>
  <c r="A31567" i="1"/>
  <c r="A24563" i="1"/>
  <c r="A23346" i="1"/>
  <c r="A19100" i="1"/>
  <c r="A17902" i="1"/>
  <c r="A14557" i="1"/>
  <c r="A7097" i="1"/>
  <c r="A2510" i="1"/>
  <c r="A13990" i="1"/>
  <c r="A7992" i="1"/>
  <c r="A17961" i="1"/>
  <c r="A8531" i="1"/>
  <c r="A5915" i="1"/>
  <c r="A1949" i="1"/>
  <c r="A20707" i="1"/>
  <c r="A16588" i="1"/>
  <c r="A7471" i="1"/>
  <c r="A94" i="1"/>
  <c r="A6928" i="1"/>
  <c r="A20306" i="1"/>
  <c r="A22797" i="1"/>
  <c r="A22679" i="1"/>
  <c r="A22585" i="1"/>
  <c r="A21911" i="1"/>
  <c r="A21460" i="1"/>
  <c r="A21005" i="1"/>
  <c r="A20044" i="1"/>
  <c r="A19194" i="1"/>
  <c r="A17832" i="1"/>
  <c r="A17666" i="1"/>
  <c r="A17592" i="1"/>
  <c r="A17574" i="1"/>
  <c r="A17096" i="1"/>
  <c r="A16385" i="1"/>
  <c r="A15823" i="1"/>
  <c r="A14656" i="1"/>
  <c r="A14040" i="1"/>
  <c r="A13831" i="1"/>
  <c r="A13649" i="1"/>
  <c r="A13493" i="1"/>
  <c r="A12362" i="1"/>
  <c r="A12294" i="1"/>
  <c r="A11901" i="1"/>
  <c r="A11586" i="1"/>
  <c r="A11477" i="1"/>
  <c r="A6987" i="1"/>
  <c r="A10731" i="1"/>
  <c r="A9038" i="1"/>
  <c r="A8198" i="1"/>
  <c r="A7619" i="1"/>
  <c r="A7224" i="1"/>
  <c r="A7115" i="1"/>
  <c r="A6867" i="1"/>
  <c r="A6788" i="1"/>
  <c r="A9173" i="1"/>
  <c r="A34243" i="1"/>
  <c r="A26056" i="1"/>
  <c r="A22273" i="1"/>
  <c r="A13977" i="1"/>
  <c r="A3460" i="1"/>
  <c r="A3250" i="1"/>
  <c r="A2894" i="1"/>
  <c r="A2296" i="1"/>
  <c r="A923" i="1"/>
  <c r="A36658" i="1"/>
  <c r="A25440" i="1"/>
  <c r="A17796" i="1"/>
  <c r="A12970" i="1"/>
  <c r="A4444" i="1"/>
  <c r="A21721" i="1"/>
  <c r="A17562" i="1"/>
  <c r="A15150" i="1"/>
  <c r="A13475" i="1"/>
  <c r="A29978" i="1"/>
  <c r="A21930" i="1"/>
  <c r="A13352" i="1"/>
  <c r="A12602" i="1"/>
  <c r="A12416" i="1"/>
  <c r="A11493" i="1"/>
  <c r="A10614" i="1"/>
  <c r="A9277" i="1"/>
  <c r="A8552" i="1"/>
  <c r="A8077" i="1"/>
  <c r="A7739" i="1"/>
  <c r="A7002" i="1"/>
  <c r="A5970" i="1"/>
  <c r="A5161" i="1"/>
  <c r="A4837" i="1"/>
  <c r="A3815" i="1"/>
  <c r="A4895" i="1"/>
  <c r="A22309" i="1"/>
  <c r="A19566" i="1"/>
  <c r="A15346" i="1"/>
  <c r="A14046" i="1"/>
  <c r="A10584" i="1"/>
  <c r="A8666" i="1"/>
  <c r="A7854" i="1"/>
  <c r="A7705" i="1"/>
  <c r="A7408" i="1"/>
  <c r="A6649" i="1"/>
  <c r="A6578" i="1"/>
  <c r="A6198" i="1"/>
  <c r="A5766" i="1"/>
  <c r="A5299" i="1"/>
  <c r="A4211" i="1"/>
  <c r="A3760" i="1"/>
  <c r="A1983" i="1"/>
  <c r="A1404" i="1"/>
  <c r="A14780" i="1"/>
  <c r="A8095" i="1"/>
  <c r="A5764" i="1"/>
  <c r="A32491" i="1"/>
  <c r="A32461" i="1"/>
  <c r="A32473" i="1"/>
  <c r="A32477" i="1"/>
  <c r="A29631" i="1"/>
  <c r="A27579" i="1"/>
  <c r="A25121" i="1"/>
  <c r="A24268" i="1"/>
  <c r="A18399" i="1"/>
  <c r="A10728" i="1"/>
  <c r="A6284" i="1"/>
  <c r="A5604" i="1"/>
  <c r="A27446" i="1"/>
  <c r="A20728" i="1"/>
  <c r="A15790" i="1"/>
  <c r="A6277" i="1"/>
  <c r="A23138" i="1"/>
  <c r="A13707" i="1"/>
  <c r="A508" i="1"/>
  <c r="A16058" i="1"/>
  <c r="A7736" i="1"/>
  <c r="A3161" i="1"/>
  <c r="A431" i="1"/>
  <c r="A29371" i="1"/>
  <c r="A16410" i="1"/>
  <c r="A7994" i="1"/>
  <c r="A13312" i="1"/>
  <c r="A671" i="1"/>
  <c r="A5860" i="1"/>
  <c r="A20584" i="1"/>
  <c r="A16790" i="1"/>
  <c r="A14923" i="1"/>
  <c r="A12897" i="1"/>
  <c r="A10466" i="1"/>
  <c r="A10127" i="1"/>
  <c r="A9719" i="1"/>
  <c r="A4526" i="1"/>
  <c r="A28246" i="1"/>
  <c r="A28805" i="1"/>
  <c r="A24043" i="1"/>
  <c r="A14714" i="1"/>
  <c r="A5097" i="1"/>
  <c r="A36114" i="1"/>
  <c r="A35060" i="1"/>
  <c r="A36176" i="1"/>
  <c r="A28092" i="1"/>
  <c r="A25359" i="1"/>
  <c r="A24711" i="1"/>
  <c r="A24183" i="1"/>
  <c r="A9059" i="1"/>
  <c r="A29944" i="1"/>
  <c r="A24223" i="1"/>
  <c r="A21928" i="1"/>
  <c r="A21329" i="1"/>
  <c r="A20098" i="1"/>
  <c r="A18795" i="1"/>
  <c r="A18288" i="1"/>
  <c r="A17951" i="1"/>
  <c r="A15949" i="1"/>
  <c r="A15236" i="1"/>
  <c r="A14712" i="1"/>
  <c r="A3456" i="1"/>
  <c r="A3227" i="1"/>
  <c r="A2653" i="1"/>
  <c r="A2213" i="1"/>
  <c r="A887" i="1"/>
  <c r="A17788" i="1"/>
  <c r="A12966" i="1"/>
  <c r="A5862" i="1"/>
  <c r="A17554" i="1"/>
  <c r="A20896" i="1"/>
  <c r="A17556" i="1"/>
  <c r="A15517" i="1"/>
  <c r="A15144" i="1"/>
  <c r="A14854" i="1"/>
  <c r="A13441" i="1"/>
  <c r="A12475" i="1"/>
  <c r="A7958" i="1"/>
  <c r="A21811" i="1"/>
  <c r="A21305" i="1"/>
  <c r="A19793" i="1"/>
  <c r="A18713" i="1"/>
  <c r="A18231" i="1"/>
  <c r="A17939" i="1"/>
  <c r="A15632" i="1"/>
  <c r="A15138" i="1"/>
  <c r="A14579" i="1"/>
  <c r="A13785" i="1"/>
  <c r="A12658" i="1"/>
  <c r="A12575" i="1"/>
  <c r="A12390" i="1"/>
  <c r="A11150" i="1"/>
  <c r="A10008" i="1"/>
  <c r="A9226" i="1"/>
  <c r="A8438" i="1"/>
  <c r="A7980" i="1"/>
  <c r="A7701" i="1"/>
  <c r="A6993" i="1"/>
  <c r="A5918" i="1"/>
  <c r="A5124" i="1"/>
  <c r="A4634" i="1"/>
  <c r="A3773" i="1"/>
  <c r="A3453" i="1"/>
  <c r="A3192" i="1"/>
  <c r="A2642" i="1"/>
  <c r="A2197" i="1"/>
  <c r="A872" i="1"/>
  <c r="A28138" i="1"/>
  <c r="A25034" i="1"/>
  <c r="A21649" i="1"/>
  <c r="A22708" i="1"/>
  <c r="A21629" i="1"/>
  <c r="A18961" i="1"/>
  <c r="A15334" i="1"/>
  <c r="A13951" i="1"/>
  <c r="A9203" i="1"/>
  <c r="A8081" i="1"/>
  <c r="A8854" i="1"/>
  <c r="A7621" i="1"/>
  <c r="A7310" i="1"/>
  <c r="A7476" i="1"/>
  <c r="A6509" i="1"/>
  <c r="A5806" i="1"/>
  <c r="A5706" i="1"/>
  <c r="A5274" i="1"/>
  <c r="A4205" i="1"/>
  <c r="A2324" i="1"/>
  <c r="A1981" i="1"/>
  <c r="A774" i="1"/>
  <c r="A14706" i="1"/>
  <c r="A7998" i="1"/>
  <c r="A5499" i="1"/>
  <c r="A32463" i="1"/>
  <c r="A32469" i="1"/>
  <c r="A32471" i="1"/>
  <c r="A32475" i="1"/>
  <c r="A31692" i="1"/>
  <c r="A29187" i="1"/>
  <c r="A27574" i="1"/>
  <c r="A24864" i="1"/>
  <c r="A24259" i="1"/>
  <c r="A16109" i="1"/>
  <c r="A9324" i="1"/>
  <c r="A6283" i="1"/>
  <c r="A3470" i="1"/>
  <c r="A34206" i="1"/>
  <c r="A26984" i="1"/>
  <c r="A20105" i="1"/>
  <c r="A13123" i="1"/>
  <c r="A4839" i="1"/>
  <c r="A10879" i="1"/>
  <c r="A13244" i="1"/>
  <c r="A13582" i="1"/>
  <c r="A2657" i="1"/>
  <c r="A13617" i="1"/>
  <c r="A5467" i="1"/>
  <c r="A4235" i="1"/>
  <c r="A21379" i="1"/>
  <c r="A19712" i="1"/>
  <c r="A15995" i="1"/>
  <c r="A14609" i="1"/>
  <c r="A12158" i="1"/>
  <c r="A10403" i="1"/>
  <c r="A10109" i="1"/>
  <c r="A9630" i="1"/>
  <c r="A2839" i="1"/>
  <c r="A36173" i="1"/>
  <c r="A2447" i="1"/>
  <c r="A25362" i="1"/>
  <c r="A20299" i="1"/>
  <c r="A13076" i="1"/>
  <c r="A3044" i="1"/>
  <c r="A36113" i="1"/>
  <c r="A34978" i="1"/>
  <c r="A26437" i="1"/>
  <c r="A25325" i="1"/>
  <c r="A31538" i="1"/>
  <c r="A24174" i="1"/>
  <c r="A34971" i="1"/>
  <c r="A17906" i="1"/>
  <c r="A15546" i="1"/>
  <c r="A13073" i="1"/>
  <c r="A23797" i="1"/>
  <c r="A21760" i="1"/>
  <c r="A21099" i="1"/>
  <c r="A19228" i="1"/>
  <c r="A18640" i="1"/>
  <c r="A18150" i="1"/>
  <c r="A17565" i="1"/>
  <c r="A15526" i="1"/>
  <c r="A15036" i="1"/>
  <c r="A13237" i="1"/>
  <c r="A12641" i="1"/>
  <c r="A12556" i="1"/>
  <c r="A12353" i="1"/>
  <c r="A9256" i="1"/>
  <c r="A9970" i="1"/>
  <c r="A8943" i="1"/>
  <c r="A8378" i="1"/>
  <c r="A7957" i="1"/>
  <c r="A7684" i="1"/>
  <c r="A6601" i="1"/>
  <c r="A5750" i="1"/>
  <c r="A4923" i="1"/>
  <c r="A4131" i="1"/>
  <c r="A3722" i="1"/>
  <c r="A33527" i="1"/>
  <c r="A22698" i="1"/>
  <c r="A16513" i="1"/>
  <c r="A18511" i="1"/>
  <c r="A14804" i="1"/>
  <c r="A18813" i="1"/>
  <c r="A17540" i="1"/>
  <c r="A15338" i="1"/>
  <c r="A15067" i="1"/>
  <c r="A13883" i="1"/>
  <c r="A13162" i="1"/>
  <c r="A8907" i="1"/>
  <c r="A8032" i="1"/>
  <c r="A7847" i="1"/>
  <c r="A7617" i="1"/>
  <c r="A7290" i="1"/>
  <c r="A6590" i="1"/>
  <c r="A6517" i="1"/>
  <c r="A5802" i="1"/>
  <c r="A5631" i="1"/>
  <c r="A4681" i="1"/>
  <c r="A4153" i="1"/>
  <c r="A2241" i="1"/>
  <c r="A1903" i="1"/>
  <c r="A20497" i="1"/>
  <c r="A14704" i="1"/>
  <c r="A7845" i="1"/>
  <c r="A5401" i="1"/>
  <c r="A32459" i="1"/>
  <c r="A32479" i="1"/>
  <c r="A32485" i="1"/>
  <c r="A27573" i="1"/>
  <c r="A19587" i="1"/>
  <c r="A15560" i="1"/>
  <c r="A7790" i="1"/>
  <c r="A6278" i="1"/>
  <c r="A3262" i="1"/>
  <c r="A33631" i="1"/>
  <c r="A27575" i="1"/>
  <c r="A20104" i="1"/>
  <c r="A9275" i="1"/>
  <c r="A4589" i="1"/>
  <c r="A19818" i="1"/>
  <c r="A10840" i="1"/>
  <c r="A32152" i="1"/>
  <c r="A12004" i="1"/>
  <c r="A7627" i="1"/>
  <c r="A2635" i="1"/>
  <c r="A10261" i="1"/>
  <c r="A5430" i="1"/>
  <c r="A27475" i="1"/>
  <c r="A35552" i="1"/>
  <c r="A19512" i="1"/>
  <c r="A15515" i="1"/>
  <c r="A13804" i="1"/>
  <c r="A10772" i="1"/>
  <c r="A10308" i="1"/>
  <c r="A10094" i="1"/>
  <c r="A9598" i="1"/>
  <c r="A2799" i="1"/>
  <c r="A14815" i="1"/>
  <c r="A24955" i="1"/>
  <c r="A18154" i="1"/>
  <c r="A13947" i="1"/>
  <c r="A1279" i="1"/>
  <c r="A36297" i="1"/>
  <c r="A35056" i="1"/>
  <c r="A30034" i="1"/>
  <c r="A26401" i="1"/>
  <c r="A17883" i="1"/>
  <c r="A28203" i="1"/>
  <c r="A25159" i="1"/>
  <c r="A21681" i="1"/>
  <c r="A14453" i="1"/>
  <c r="A3695" i="1"/>
  <c r="A3387" i="1"/>
  <c r="A3132" i="1"/>
  <c r="A2625" i="1"/>
  <c r="A2167" i="1"/>
  <c r="A473" i="1"/>
  <c r="A4889" i="1"/>
  <c r="A20325" i="1"/>
  <c r="A20388" i="1"/>
  <c r="A15390" i="1"/>
  <c r="A14796" i="1"/>
  <c r="A12200" i="1"/>
  <c r="A31559" i="1"/>
  <c r="A9928" i="1"/>
  <c r="A5129" i="1"/>
  <c r="A2602" i="1"/>
  <c r="A14614" i="1"/>
  <c r="A8775" i="1"/>
  <c r="A15043" i="1"/>
  <c r="A7978" i="1"/>
  <c r="A5770" i="1"/>
  <c r="A32457" i="1"/>
  <c r="A17453" i="1"/>
  <c r="A16700" i="1"/>
  <c r="A16750" i="1"/>
  <c r="A5663" i="1"/>
  <c r="A5425" i="1"/>
  <c r="A8370" i="1"/>
  <c r="A22454" i="1"/>
  <c r="A19918" i="1"/>
  <c r="A17582" i="1"/>
  <c r="A15586" i="1"/>
  <c r="A13607" i="1"/>
  <c r="A11825" i="1"/>
  <c r="A9983" i="1"/>
  <c r="A7196" i="1"/>
  <c r="A2188" i="1"/>
  <c r="A12723" i="1"/>
  <c r="A20641" i="1"/>
  <c r="A14800" i="1"/>
  <c r="A28718" i="1"/>
  <c r="A15259" i="1"/>
  <c r="A33630" i="1"/>
  <c r="A6297" i="1"/>
  <c r="A14585" i="1"/>
  <c r="A7420" i="1"/>
  <c r="A10093" i="1"/>
  <c r="A15494" i="1"/>
  <c r="A9833" i="1"/>
  <c r="A35722" i="1"/>
  <c r="A28188" i="1"/>
  <c r="A26402" i="1"/>
  <c r="A20161" i="1"/>
  <c r="A4332" i="1"/>
  <c r="A14173" i="1"/>
  <c r="A20462" i="1"/>
  <c r="A10665" i="1"/>
  <c r="A5487" i="1"/>
  <c r="A22912" i="1"/>
  <c r="A22607" i="1"/>
  <c r="A21599" i="1"/>
  <c r="A20982" i="1"/>
  <c r="A18374" i="1"/>
  <c r="A17610" i="1"/>
  <c r="A16318" i="1"/>
  <c r="A14272" i="1"/>
  <c r="A13722" i="1"/>
  <c r="A12527" i="1"/>
  <c r="A12241" i="1"/>
  <c r="A11481" i="1"/>
  <c r="A11055" i="1"/>
  <c r="A8440" i="1"/>
  <c r="A7597" i="1"/>
  <c r="A6936" i="1"/>
  <c r="A6786" i="1"/>
  <c r="A2265" i="1"/>
  <c r="A2141" i="1"/>
  <c r="A1969" i="1"/>
  <c r="A1747" i="1"/>
  <c r="A1671" i="1"/>
  <c r="A1627" i="1"/>
  <c r="A1519" i="1"/>
  <c r="A1438" i="1"/>
  <c r="A1363" i="1"/>
  <c r="A730" i="1"/>
  <c r="A19045" i="1"/>
  <c r="A20916" i="1"/>
  <c r="A20928" i="1"/>
  <c r="A35728" i="1"/>
  <c r="A35372" i="1"/>
  <c r="A33660" i="1"/>
  <c r="A33380" i="1"/>
  <c r="A32620" i="1"/>
  <c r="A31533" i="1"/>
  <c r="A31411" i="1"/>
  <c r="A29499" i="1"/>
  <c r="A29201" i="1"/>
  <c r="A29060" i="1"/>
  <c r="A28379" i="1"/>
  <c r="A23068" i="1"/>
  <c r="A22927" i="1"/>
  <c r="A22624" i="1"/>
  <c r="A22460" i="1"/>
  <c r="A21994" i="1"/>
  <c r="A21266" i="1"/>
  <c r="A20938" i="1"/>
  <c r="A20608" i="1"/>
  <c r="A20134" i="1"/>
  <c r="A19574" i="1"/>
  <c r="A19409" i="1"/>
  <c r="A19316" i="1"/>
  <c r="A19288" i="1"/>
  <c r="A19127" i="1"/>
  <c r="A18178" i="1"/>
  <c r="A17707" i="1"/>
  <c r="A17258" i="1"/>
  <c r="A16221" i="1"/>
  <c r="A15890" i="1"/>
  <c r="A15277" i="1"/>
  <c r="A14619" i="1"/>
  <c r="A13981" i="1"/>
  <c r="A13120" i="1"/>
  <c r="A11998" i="1"/>
  <c r="A11752" i="1"/>
  <c r="A11568" i="1"/>
  <c r="A10991" i="1"/>
  <c r="A10970" i="1"/>
  <c r="A10946" i="1"/>
  <c r="A10928" i="1"/>
  <c r="A10892" i="1"/>
  <c r="A10874" i="1"/>
  <c r="A10862" i="1"/>
  <c r="A10839" i="1"/>
  <c r="A9411" i="1"/>
  <c r="A9215" i="1"/>
  <c r="A8840" i="1"/>
  <c r="A7683" i="1"/>
  <c r="A6771" i="1"/>
  <c r="A5558" i="1"/>
  <c r="A4511" i="1"/>
  <c r="A4495" i="1"/>
  <c r="A3403" i="1"/>
  <c r="A3214" i="1"/>
  <c r="A3058" i="1"/>
  <c r="A2968" i="1"/>
  <c r="A2729" i="1"/>
  <c r="A2713" i="1"/>
  <c r="A2699" i="1"/>
  <c r="A2583" i="1"/>
  <c r="A835" i="1"/>
  <c r="A18473" i="1"/>
  <c r="A21258" i="1"/>
  <c r="A13795" i="1"/>
  <c r="A10693" i="1"/>
  <c r="A4591" i="1"/>
  <c r="A3304" i="1"/>
  <c r="A36235" i="1"/>
  <c r="A35099" i="1"/>
  <c r="A29929" i="1"/>
  <c r="A26478" i="1"/>
  <c r="A20169" i="1"/>
  <c r="A9015" i="1"/>
  <c r="A1909" i="1"/>
  <c r="A16357" i="1"/>
  <c r="A12154" i="1"/>
  <c r="A26873" i="1"/>
  <c r="A13308" i="1"/>
  <c r="A34697" i="1"/>
  <c r="A33984" i="1"/>
  <c r="A33504" i="1"/>
  <c r="A31524" i="1"/>
  <c r="A30689" i="1"/>
  <c r="A27927" i="1"/>
  <c r="A13200" i="1"/>
  <c r="A8806" i="1"/>
  <c r="A4872" i="1"/>
  <c r="A2134" i="1"/>
  <c r="A12567" i="1"/>
  <c r="A5399" i="1"/>
  <c r="A7843" i="1"/>
  <c r="A5613" i="1"/>
  <c r="A32465" i="1"/>
  <c r="A22777" i="1"/>
  <c r="A14945" i="1"/>
  <c r="A5412" i="1"/>
  <c r="A21513" i="1"/>
  <c r="A12213" i="1"/>
  <c r="A4467" i="1"/>
  <c r="A22436" i="1"/>
  <c r="A22567" i="1"/>
  <c r="A6460" i="1"/>
  <c r="A22815" i="1"/>
  <c r="A22430" i="1"/>
  <c r="A21545" i="1"/>
  <c r="A19799" i="1"/>
  <c r="A17901" i="1"/>
  <c r="A17580" i="1"/>
  <c r="A17066" i="1"/>
  <c r="A14764" i="1"/>
  <c r="A14149" i="1"/>
  <c r="A13522" i="1"/>
  <c r="A12523" i="1"/>
  <c r="A11818" i="1"/>
  <c r="A11479" i="1"/>
  <c r="A9972" i="1"/>
  <c r="A8276" i="1"/>
  <c r="A7138" i="1"/>
  <c r="A6934" i="1"/>
  <c r="A25365" i="1"/>
  <c r="A502" i="1"/>
  <c r="A5432" i="1"/>
  <c r="A25282" i="1"/>
  <c r="A3274" i="1"/>
  <c r="A4514" i="1"/>
  <c r="A17311" i="1"/>
  <c r="A9221" i="1"/>
  <c r="A5397" i="1"/>
  <c r="A10904" i="1"/>
  <c r="A20972" i="1"/>
  <c r="A935" i="1"/>
  <c r="A20956" i="1"/>
  <c r="A17662" i="1"/>
  <c r="A16124" i="1"/>
  <c r="A13761" i="1"/>
  <c r="A12202" i="1"/>
  <c r="A6983" i="1"/>
  <c r="A7424" i="1"/>
  <c r="A6780" i="1"/>
  <c r="A2259" i="1"/>
  <c r="A2131" i="1"/>
  <c r="A1967" i="1"/>
  <c r="A1815" i="1"/>
  <c r="A1665" i="1"/>
  <c r="A1625" i="1"/>
  <c r="A1493" i="1"/>
  <c r="A1415" i="1"/>
  <c r="A1358" i="1"/>
  <c r="A15805" i="1"/>
  <c r="A20906" i="1"/>
  <c r="A20920" i="1"/>
  <c r="A20930" i="1"/>
  <c r="A2721" i="1"/>
  <c r="A34851" i="1"/>
  <c r="A33349" i="1"/>
  <c r="A31531" i="1"/>
  <c r="A31433" i="1"/>
  <c r="A31410" i="1"/>
  <c r="A31349" i="1"/>
  <c r="A30789" i="1"/>
  <c r="A30633" i="1"/>
  <c r="A30584" i="1"/>
  <c r="A30185" i="1"/>
  <c r="A29345" i="1"/>
  <c r="A29198" i="1"/>
  <c r="A27704" i="1"/>
  <c r="A27146" i="1"/>
  <c r="A25651" i="1"/>
  <c r="A23237" i="1"/>
  <c r="A22874" i="1"/>
  <c r="A22577" i="1"/>
  <c r="A22448" i="1"/>
  <c r="A21738" i="1"/>
  <c r="A21264" i="1"/>
  <c r="A20890" i="1"/>
  <c r="A20513" i="1"/>
  <c r="A20115" i="1"/>
  <c r="A19429" i="1"/>
  <c r="A19403" i="1"/>
  <c r="A19302" i="1"/>
  <c r="A19284" i="1"/>
  <c r="A19047" i="1"/>
  <c r="A18176" i="1"/>
  <c r="A17516" i="1"/>
  <c r="A17256" i="1"/>
  <c r="A16135" i="1"/>
  <c r="A15866" i="1"/>
  <c r="A15135" i="1"/>
  <c r="A14398" i="1"/>
  <c r="A13870" i="1"/>
  <c r="A12866" i="1"/>
  <c r="A11911" i="1"/>
  <c r="A11736" i="1"/>
  <c r="A11566" i="1"/>
  <c r="A10985" i="1"/>
  <c r="A10966" i="1"/>
  <c r="A10940" i="1"/>
  <c r="A10926" i="1"/>
  <c r="A10891" i="1"/>
  <c r="A10873" i="1"/>
  <c r="A10860" i="1"/>
  <c r="A10837" i="1"/>
  <c r="A9379" i="1"/>
  <c r="A9161" i="1"/>
  <c r="A8720" i="1"/>
  <c r="A7489" i="1"/>
  <c r="A6697" i="1"/>
  <c r="A5287" i="1"/>
  <c r="A4509" i="1"/>
  <c r="A4433" i="1"/>
  <c r="A3381" i="1"/>
  <c r="A3146" i="1"/>
  <c r="A3054" i="1"/>
  <c r="A2928" i="1"/>
  <c r="A2727" i="1"/>
  <c r="A2711" i="1"/>
  <c r="A2674" i="1"/>
  <c r="A2582" i="1"/>
  <c r="A4552" i="1"/>
  <c r="A6417" i="1"/>
  <c r="A27390" i="1"/>
  <c r="A25937" i="1"/>
  <c r="A19972" i="1"/>
  <c r="A12727" i="1"/>
  <c r="A9211" i="1"/>
  <c r="A4040" i="1"/>
  <c r="A3269" i="1"/>
  <c r="A35069" i="1"/>
  <c r="A32937" i="1"/>
  <c r="A30193" i="1"/>
  <c r="A28448" i="1"/>
  <c r="A2279" i="1"/>
  <c r="A25600" i="1"/>
  <c r="A20140" i="1"/>
  <c r="A8540" i="1"/>
  <c r="A1135" i="1"/>
  <c r="A8947" i="1"/>
  <c r="A22738" i="1"/>
  <c r="A19375" i="1"/>
  <c r="A10511" i="1"/>
  <c r="A9331" i="1"/>
  <c r="A14086" i="1"/>
  <c r="A35753" i="1"/>
  <c r="A36634" i="1"/>
  <c r="A22733" i="1"/>
  <c r="A21315" i="1"/>
  <c r="A20464" i="1"/>
  <c r="A19525" i="1"/>
  <c r="A19214" i="1"/>
  <c r="A16380" i="1"/>
  <c r="A15553" i="1"/>
  <c r="A14312" i="1"/>
  <c r="A13644" i="1"/>
  <c r="A12284" i="1"/>
  <c r="A11510" i="1"/>
  <c r="A9889" i="1"/>
  <c r="A9877" i="1"/>
  <c r="A9868" i="1"/>
  <c r="A29767" i="1"/>
  <c r="A9627" i="1"/>
  <c r="A8954" i="1"/>
  <c r="A5642" i="1"/>
  <c r="A4712" i="1"/>
  <c r="A12630" i="1"/>
  <c r="A8327" i="1"/>
  <c r="A4066" i="1"/>
  <c r="A7517" i="1"/>
  <c r="A4665" i="1"/>
  <c r="A20132" i="1"/>
  <c r="A32483" i="1"/>
  <c r="A7320" i="1"/>
  <c r="A5030" i="1"/>
  <c r="A5063" i="1"/>
  <c r="A2432" i="1"/>
  <c r="A4769" i="1"/>
  <c r="A4897" i="1"/>
  <c r="A7406" i="1"/>
  <c r="A24908" i="1"/>
  <c r="A35566" i="1"/>
  <c r="A20438" i="1"/>
  <c r="A14713" i="1"/>
  <c r="A2467" i="1"/>
  <c r="A14584" i="1"/>
  <c r="A16832" i="1"/>
  <c r="A8935" i="1"/>
  <c r="A15774" i="1"/>
  <c r="A4265" i="1"/>
  <c r="A7230" i="1"/>
  <c r="A22787" i="1"/>
  <c r="A22236" i="1"/>
  <c r="A21371" i="1"/>
  <c r="A19740" i="1"/>
  <c r="A17632" i="1"/>
  <c r="A17576" i="1"/>
  <c r="A17060" i="1"/>
  <c r="A14750" i="1"/>
  <c r="A14036" i="1"/>
  <c r="A13501" i="1"/>
  <c r="A12358" i="1"/>
  <c r="A11811" i="1"/>
  <c r="A11459" i="1"/>
  <c r="A9168" i="1"/>
  <c r="A8196" i="1"/>
  <c r="A7134" i="1"/>
  <c r="A6824" i="1"/>
  <c r="A2103" i="1"/>
  <c r="A9957" i="1"/>
  <c r="A25061" i="1"/>
  <c r="A14232" i="1"/>
  <c r="A10963" i="1"/>
  <c r="A6678" i="1"/>
  <c r="A5241" i="1"/>
  <c r="A4243" i="1"/>
  <c r="A15772" i="1"/>
  <c r="A330" i="1"/>
  <c r="A12703" i="1"/>
  <c r="A22038" i="1"/>
  <c r="A20344" i="1"/>
  <c r="A19206" i="1"/>
  <c r="A17602" i="1"/>
  <c r="A17578" i="1"/>
  <c r="A16106" i="1"/>
  <c r="A14725" i="1"/>
  <c r="A13699" i="1"/>
  <c r="A13497" i="1"/>
  <c r="A12097" i="1"/>
  <c r="A11710" i="1"/>
  <c r="A6981" i="1"/>
  <c r="A9045" i="1"/>
  <c r="A7156" i="1"/>
  <c r="A7168" i="1"/>
  <c r="A3929" i="1"/>
  <c r="A2253" i="1"/>
  <c r="A1962" i="1"/>
  <c r="A1725" i="1"/>
  <c r="A1661" i="1"/>
  <c r="A1599" i="1"/>
  <c r="A1485" i="1"/>
  <c r="A1413" i="1"/>
  <c r="A1356" i="1"/>
  <c r="A13701" i="1"/>
  <c r="A20908" i="1"/>
  <c r="A20918" i="1"/>
  <c r="A20932" i="1"/>
  <c r="A32733" i="1"/>
  <c r="A31846" i="1"/>
  <c r="A31527" i="1"/>
  <c r="A31408" i="1"/>
  <c r="A31347" i="1"/>
  <c r="A30580" i="1"/>
  <c r="A27702" i="1"/>
  <c r="A617" i="1"/>
  <c r="A23677" i="1"/>
  <c r="A22989" i="1"/>
  <c r="A22809" i="1"/>
  <c r="A22557" i="1"/>
  <c r="A22368" i="1"/>
  <c r="A21736" i="1"/>
  <c r="A21124" i="1"/>
  <c r="A20781" i="1"/>
  <c r="A20342" i="1"/>
  <c r="A20111" i="1"/>
  <c r="A19419" i="1"/>
  <c r="A19357" i="1"/>
  <c r="A19300" i="1"/>
  <c r="A19280" i="1"/>
  <c r="A19043" i="1"/>
  <c r="A18104" i="1"/>
  <c r="A17410" i="1"/>
  <c r="A17254" i="1"/>
  <c r="A16130" i="1"/>
  <c r="A15801" i="1"/>
  <c r="A14920" i="1"/>
  <c r="A14114" i="1"/>
  <c r="A13869" i="1"/>
  <c r="A12565" i="1"/>
  <c r="A11887" i="1"/>
  <c r="A11727" i="1"/>
  <c r="A11524" i="1"/>
  <c r="A10981" i="1"/>
  <c r="A10965" i="1"/>
  <c r="A10939" i="1"/>
  <c r="A10919" i="1"/>
  <c r="A10888" i="1"/>
  <c r="A10871" i="1"/>
  <c r="A10852" i="1"/>
  <c r="A10701" i="1"/>
  <c r="A9334" i="1"/>
  <c r="A9135" i="1"/>
  <c r="A8669" i="1"/>
  <c r="A7487" i="1"/>
  <c r="A6456" i="1"/>
  <c r="A5091" i="1"/>
  <c r="A4507" i="1"/>
  <c r="A4403" i="1"/>
  <c r="A3320" i="1"/>
  <c r="A3124" i="1"/>
  <c r="A3038" i="1"/>
  <c r="A2920" i="1"/>
  <c r="A2723" i="1"/>
  <c r="A2709" i="1"/>
  <c r="A2637" i="1"/>
  <c r="A2537" i="1"/>
  <c r="A15498" i="1"/>
  <c r="A23377" i="1"/>
  <c r="A23160" i="1"/>
  <c r="A17250" i="1"/>
  <c r="A12629" i="1"/>
  <c r="A8938" i="1"/>
  <c r="A4014" i="1"/>
  <c r="A2903" i="1"/>
  <c r="A36231" i="1"/>
  <c r="A34911" i="1"/>
  <c r="A25762" i="1"/>
  <c r="A19570" i="1"/>
  <c r="A8527" i="1"/>
  <c r="A784" i="1"/>
  <c r="A13469" i="1"/>
  <c r="A14338" i="1"/>
  <c r="A28336" i="1"/>
  <c r="A23194" i="1"/>
  <c r="A22668" i="1"/>
  <c r="A21295" i="1"/>
  <c r="A23461" i="1"/>
  <c r="A12533" i="1"/>
  <c r="A7873" i="1"/>
  <c r="A15646" i="1"/>
  <c r="A13139" i="1"/>
  <c r="A7022" i="1"/>
  <c r="A4122" i="1"/>
  <c r="A12457" i="1"/>
  <c r="A20364" i="1"/>
  <c r="A10948" i="1"/>
  <c r="A16775" i="1"/>
  <c r="A6484" i="1"/>
  <c r="A2392" i="1"/>
  <c r="A11036" i="1"/>
  <c r="A5049" i="1"/>
  <c r="A22775" i="1"/>
  <c r="A21284" i="1"/>
  <c r="A17624" i="1"/>
  <c r="A17048" i="1"/>
  <c r="A13940" i="1"/>
  <c r="A12346" i="1"/>
  <c r="A11445" i="1"/>
  <c r="A8172" i="1"/>
  <c r="A6812" i="1"/>
  <c r="A2251" i="1"/>
  <c r="A2091" i="1"/>
  <c r="A3441" i="1"/>
  <c r="A15400" i="1"/>
  <c r="A12221" i="1"/>
  <c r="A24444" i="1"/>
  <c r="A6275" i="1"/>
  <c r="A30079" i="1"/>
  <c r="A30866" i="1"/>
  <c r="A8644" i="1"/>
  <c r="A10554" i="1"/>
  <c r="A548" i="1"/>
  <c r="A16228" i="1"/>
  <c r="A34845" i="1"/>
  <c r="A31470" i="1"/>
  <c r="A17907" i="1"/>
  <c r="A13487" i="1"/>
  <c r="A21659" i="1"/>
  <c r="A23555" i="1"/>
  <c r="A1531" i="1"/>
  <c r="A6922" i="1"/>
  <c r="A11434" i="1"/>
  <c r="A11614" i="1"/>
  <c r="A22603" i="1"/>
  <c r="A21872" i="1"/>
  <c r="A20198" i="1"/>
  <c r="A19169" i="1"/>
  <c r="A17601" i="1"/>
  <c r="A17572" i="1"/>
  <c r="A16029" i="1"/>
  <c r="A14597" i="1"/>
  <c r="A13692" i="1"/>
  <c r="A13491" i="1"/>
  <c r="A12093" i="1"/>
  <c r="A11574" i="1"/>
  <c r="A11018" i="1"/>
  <c r="A9033" i="1"/>
  <c r="A7154" i="1"/>
  <c r="A7092" i="1"/>
  <c r="A3650" i="1"/>
  <c r="A2089" i="1"/>
  <c r="A1955" i="1"/>
  <c r="A1705" i="1"/>
  <c r="A1657" i="1"/>
  <c r="A1563" i="1"/>
  <c r="A1479" i="1"/>
  <c r="A1395" i="1"/>
  <c r="A937" i="1"/>
  <c r="A23428" i="1"/>
  <c r="A5513" i="1"/>
  <c r="A20910" i="1"/>
  <c r="A20922" i="1"/>
  <c r="A20934" i="1"/>
  <c r="A36295" i="1"/>
  <c r="A31627" i="1"/>
  <c r="A31517" i="1"/>
  <c r="A31416" i="1"/>
  <c r="A29210" i="1"/>
  <c r="A28928" i="1"/>
  <c r="A28716" i="1"/>
  <c r="A27107" i="1"/>
  <c r="A23252" i="1"/>
  <c r="A22976" i="1"/>
  <c r="A23710" i="1"/>
  <c r="A22553" i="1"/>
  <c r="A22277" i="1"/>
  <c r="A21641" i="1"/>
  <c r="A21052" i="1"/>
  <c r="A20658" i="1"/>
  <c r="A20276" i="1"/>
  <c r="A19940" i="1"/>
  <c r="A19417" i="1"/>
  <c r="A19345" i="1"/>
  <c r="A19299" i="1"/>
  <c r="A19274" i="1"/>
  <c r="A18831" i="1"/>
  <c r="A17750" i="1"/>
  <c r="A17391" i="1"/>
  <c r="A16836" i="1"/>
  <c r="A16104" i="1"/>
  <c r="A15783" i="1"/>
  <c r="A14685" i="1"/>
  <c r="A14112" i="1"/>
  <c r="A13839" i="1"/>
  <c r="A12237" i="1"/>
  <c r="A11843" i="1"/>
  <c r="A11712" i="1"/>
  <c r="A11485" i="1"/>
  <c r="A10979" i="1"/>
  <c r="A10955" i="1"/>
  <c r="A10936" i="1"/>
  <c r="A10917" i="1"/>
  <c r="A10883" i="1"/>
  <c r="A10870" i="1"/>
  <c r="A10850" i="1"/>
  <c r="A10691" i="1"/>
  <c r="A9326" i="1"/>
  <c r="A8986" i="1"/>
  <c r="A8667" i="1"/>
  <c r="A7306" i="1"/>
  <c r="A5967" i="1"/>
  <c r="A5082" i="1"/>
  <c r="A4503" i="1"/>
  <c r="A4295" i="1"/>
  <c r="A3308" i="1"/>
  <c r="A3119" i="1"/>
  <c r="A3037" i="1"/>
  <c r="A2911" i="1"/>
  <c r="A2719" i="1"/>
  <c r="A2706" i="1"/>
  <c r="A2629" i="1"/>
  <c r="A2125" i="1"/>
  <c r="A6927" i="1"/>
  <c r="A25601" i="1"/>
  <c r="A22991" i="1"/>
  <c r="A16764" i="1"/>
  <c r="A12382" i="1"/>
  <c r="A8104" i="1"/>
  <c r="A3533" i="1"/>
  <c r="A775" i="1"/>
  <c r="A36190" i="1"/>
  <c r="A33801" i="1"/>
  <c r="A32362" i="1"/>
  <c r="A20612" i="1"/>
  <c r="A17916" i="1"/>
  <c r="A8469" i="1"/>
  <c r="A156" i="1"/>
  <c r="A29165" i="1"/>
  <c r="A15055" i="1"/>
  <c r="A31519" i="1"/>
  <c r="A17022" i="1"/>
  <c r="A33635" i="1"/>
  <c r="A31786" i="1"/>
  <c r="A4475" i="1"/>
  <c r="A21537" i="1"/>
  <c r="A12194" i="1"/>
  <c r="A7382" i="1"/>
  <c r="A3342" i="1"/>
  <c r="A6584" i="1"/>
  <c r="A2221" i="1"/>
  <c r="A6962" i="1"/>
  <c r="A32892" i="1"/>
  <c r="A22034" i="1"/>
  <c r="A16608" i="1"/>
  <c r="A6345" i="1"/>
  <c r="A857" i="1"/>
  <c r="A8253" i="1"/>
  <c r="A5418" i="1"/>
  <c r="A11532" i="1"/>
  <c r="A22770" i="1"/>
  <c r="A22593" i="1"/>
  <c r="A21280" i="1"/>
  <c r="A20128" i="1"/>
  <c r="A17622" i="1"/>
  <c r="A17594" i="1"/>
  <c r="A17026" i="1"/>
  <c r="A15983" i="1"/>
  <c r="A13855" i="1"/>
  <c r="A13654" i="1"/>
  <c r="A12329" i="1"/>
  <c r="A11905" i="1"/>
  <c r="A11418" i="1"/>
  <c r="A10746" i="1"/>
  <c r="A7709" i="1"/>
  <c r="A7240" i="1"/>
  <c r="A6802" i="1"/>
  <c r="A2311" i="1"/>
  <c r="A2186" i="1"/>
  <c r="A17567" i="1"/>
  <c r="A3141" i="1"/>
  <c r="A22385" i="1"/>
  <c r="A17904" i="1"/>
  <c r="A12156" i="1"/>
  <c r="A10571" i="1"/>
  <c r="A22182" i="1"/>
  <c r="A21772" i="1"/>
  <c r="A19060" i="1"/>
  <c r="A17082" i="1"/>
  <c r="A14593" i="1"/>
  <c r="A13354" i="1"/>
  <c r="A11526" i="1"/>
  <c r="A8926" i="1"/>
  <c r="A6946" i="1"/>
  <c r="A2173" i="1"/>
  <c r="A2043" i="1"/>
  <c r="A1877" i="1"/>
  <c r="A1702" i="1"/>
  <c r="A1645" i="1"/>
  <c r="A1550" i="1"/>
  <c r="A1477" i="1"/>
  <c r="A1369" i="1"/>
  <c r="A910" i="1"/>
  <c r="A20912" i="1"/>
  <c r="A20924" i="1"/>
  <c r="A20936" i="1"/>
  <c r="A34351" i="1"/>
  <c r="A32903" i="1"/>
  <c r="A31414" i="1"/>
  <c r="A30625" i="1"/>
  <c r="A29209" i="1"/>
  <c r="A29084" i="1"/>
  <c r="A22952" i="1"/>
  <c r="A22757" i="1"/>
  <c r="A22533" i="1"/>
  <c r="A22274" i="1"/>
  <c r="A21432" i="1"/>
  <c r="A20980" i="1"/>
  <c r="A20649" i="1"/>
  <c r="A20223" i="1"/>
  <c r="A19813" i="1"/>
  <c r="A19414" i="1"/>
  <c r="A19324" i="1"/>
  <c r="A19292" i="1"/>
  <c r="A19270" i="1"/>
  <c r="A18751" i="1"/>
  <c r="A17748" i="1"/>
  <c r="A17270" i="1"/>
  <c r="A16560" i="1"/>
  <c r="A16087" i="1"/>
  <c r="A15545" i="1"/>
  <c r="A14666" i="1"/>
  <c r="A14057" i="1"/>
  <c r="A13837" i="1"/>
  <c r="A12192" i="1"/>
  <c r="A11823" i="1"/>
  <c r="A11702" i="1"/>
  <c r="A10999" i="1"/>
  <c r="A10975" i="1"/>
  <c r="A10958" i="1"/>
  <c r="A10934" i="1"/>
  <c r="A10902" i="1"/>
  <c r="A10880" i="1"/>
  <c r="A10868" i="1"/>
  <c r="A10848" i="1"/>
  <c r="A10010" i="1"/>
  <c r="A9248" i="1"/>
  <c r="A8919" i="1"/>
  <c r="A8656" i="1"/>
  <c r="A7267" i="1"/>
  <c r="A5689" i="1"/>
  <c r="A5059" i="1"/>
  <c r="A4501" i="1"/>
  <c r="A4140" i="1"/>
  <c r="A3302" i="1"/>
  <c r="A3109" i="1"/>
  <c r="A3031" i="1"/>
  <c r="A2733" i="1"/>
  <c r="A2717" i="1"/>
  <c r="A2703" i="1"/>
  <c r="A2587" i="1"/>
  <c r="A2081" i="1"/>
  <c r="A13638" i="1"/>
  <c r="A22665" i="1"/>
  <c r="A15888" i="1"/>
  <c r="A12007" i="1"/>
  <c r="A7983" i="1"/>
  <c r="A3472" i="1"/>
  <c r="A34910" i="1"/>
  <c r="A33674" i="1"/>
  <c r="A32299" i="1"/>
  <c r="A30126" i="1"/>
  <c r="A27473" i="1"/>
  <c r="A20396" i="1"/>
  <c r="A17845" i="1"/>
  <c r="A4901" i="1"/>
  <c r="A18035" i="1"/>
  <c r="A22496" i="1"/>
  <c r="A10768" i="1"/>
  <c r="A9864" i="1"/>
  <c r="A19491" i="1"/>
  <c r="A35769" i="1"/>
  <c r="A35508" i="1"/>
  <c r="A23440" i="1"/>
  <c r="A23136" i="1"/>
  <c r="A21937" i="1"/>
  <c r="A20875" i="1"/>
  <c r="A19809" i="1"/>
  <c r="A19477" i="1"/>
  <c r="A18088" i="1"/>
  <c r="A15878" i="1"/>
  <c r="A15372" i="1"/>
  <c r="A13893" i="1"/>
  <c r="A13529" i="1"/>
  <c r="A12085" i="1"/>
  <c r="A10685" i="1"/>
  <c r="A9885" i="1"/>
  <c r="A9871" i="1"/>
  <c r="A10201" i="1"/>
  <c r="A33971" i="1"/>
  <c r="A7717" i="1"/>
  <c r="A5345" i="1"/>
  <c r="A4575" i="1"/>
  <c r="A3565" i="1"/>
  <c r="A2976" i="1"/>
  <c r="A2876" i="1"/>
  <c r="A2751" i="1"/>
  <c r="A466" i="1"/>
  <c r="A4356" i="1"/>
  <c r="A5521" i="1"/>
  <c r="A1875" i="1"/>
  <c r="A843" i="1"/>
  <c r="A13867" i="1"/>
  <c r="A29505" i="1"/>
  <c r="A23248" i="1"/>
  <c r="A22531" i="1"/>
  <c r="A19726" i="1"/>
  <c r="A17746" i="1"/>
  <c r="A13983" i="1"/>
  <c r="A10973" i="1"/>
  <c r="A10846" i="1"/>
  <c r="A5609" i="1"/>
  <c r="A3023" i="1"/>
  <c r="A28868" i="1"/>
  <c r="A1940" i="1"/>
  <c r="A9538" i="1"/>
  <c r="A33505" i="1"/>
  <c r="A19259" i="1"/>
  <c r="A15514" i="1"/>
  <c r="A13859" i="1"/>
  <c r="A9887" i="1"/>
  <c r="A31660" i="1"/>
  <c r="A4578" i="1"/>
  <c r="A2870" i="1"/>
  <c r="A35698" i="1"/>
  <c r="A34796" i="1"/>
  <c r="A33523" i="1"/>
  <c r="A1173" i="1"/>
  <c r="A27690" i="1"/>
  <c r="A26094" i="1"/>
  <c r="A22734" i="1"/>
  <c r="A21229" i="1"/>
  <c r="A20949" i="1"/>
  <c r="A19534" i="1"/>
  <c r="A17803" i="1"/>
  <c r="A15450" i="1"/>
  <c r="A11674" i="1"/>
  <c r="A10295" i="1"/>
  <c r="A9772" i="1"/>
  <c r="A5982" i="1"/>
  <c r="A4562" i="1"/>
  <c r="A2975" i="1"/>
  <c r="A36333" i="1"/>
  <c r="A35981" i="1"/>
  <c r="A34941" i="1"/>
  <c r="A33819" i="1"/>
  <c r="A26648" i="1"/>
  <c r="A25446" i="1"/>
  <c r="A12826" i="1"/>
  <c r="A11078" i="1"/>
  <c r="A4649" i="1"/>
  <c r="A10592" i="1"/>
  <c r="A131" i="1"/>
  <c r="A19070" i="1"/>
  <c r="A13336" i="1"/>
  <c r="A10555" i="1"/>
  <c r="A9863" i="1"/>
  <c r="A8745" i="1"/>
  <c r="A36139" i="1"/>
  <c r="A35758" i="1"/>
  <c r="A35697" i="1"/>
  <c r="A27172" i="1"/>
  <c r="A1276" i="1"/>
  <c r="A22729" i="1"/>
  <c r="A21750" i="1"/>
  <c r="A20873" i="1"/>
  <c r="A17461" i="1"/>
  <c r="A15453" i="1"/>
  <c r="A13306" i="1"/>
  <c r="A11592" i="1"/>
  <c r="A10293" i="1"/>
  <c r="A9670" i="1"/>
  <c r="A4556" i="1"/>
  <c r="A2771" i="1"/>
  <c r="A36329" i="1"/>
  <c r="A35980" i="1"/>
  <c r="A35924" i="1"/>
  <c r="A6689" i="1"/>
  <c r="A29888" i="1"/>
  <c r="A26626" i="1"/>
  <c r="A25435" i="1"/>
  <c r="A19836" i="1"/>
  <c r="A12423" i="1"/>
  <c r="A7500" i="1"/>
  <c r="A4513" i="1"/>
  <c r="A12590" i="1"/>
  <c r="A23654" i="1"/>
  <c r="A22020" i="1"/>
  <c r="A15974" i="1"/>
  <c r="A13656" i="1"/>
  <c r="A11916" i="1"/>
  <c r="A9779" i="1"/>
  <c r="A3172" i="1"/>
  <c r="A36643" i="1"/>
  <c r="A36104" i="1"/>
  <c r="A36102" i="1"/>
  <c r="A36096" i="1"/>
  <c r="A33682" i="1"/>
  <c r="A32772" i="1"/>
  <c r="A28214" i="1"/>
  <c r="A23712" i="1"/>
  <c r="A20495" i="1"/>
  <c r="A20220" i="1"/>
  <c r="A19074" i="1"/>
  <c r="A15925" i="1"/>
  <c r="A15892" i="1"/>
  <c r="A12251" i="1"/>
  <c r="A11562" i="1"/>
  <c r="A8979" i="1"/>
  <c r="A8063" i="1"/>
  <c r="A8045" i="1"/>
  <c r="A7260" i="1"/>
  <c r="A5502" i="1"/>
  <c r="A4842" i="1"/>
  <c r="A4716" i="1"/>
  <c r="A9561" i="1"/>
  <c r="A10468" i="1"/>
  <c r="A30636" i="1"/>
  <c r="A23329" i="1"/>
  <c r="A13179" i="1"/>
  <c r="A10658" i="1"/>
  <c r="A10102" i="1"/>
  <c r="A2846" i="1"/>
  <c r="A26958" i="1"/>
  <c r="A17195" i="1"/>
  <c r="A11985" i="1"/>
  <c r="A7363" i="1"/>
  <c r="A2981" i="1"/>
  <c r="A19720" i="1"/>
  <c r="A3143" i="1"/>
  <c r="A34452" i="1"/>
  <c r="A32549" i="1"/>
  <c r="A28674" i="1"/>
  <c r="A32379" i="1"/>
  <c r="A32324" i="1"/>
  <c r="A30149" i="1"/>
  <c r="A28803" i="1"/>
  <c r="A28566" i="1"/>
  <c r="A27827" i="1"/>
  <c r="A27634" i="1"/>
  <c r="A29453" i="1"/>
  <c r="A27272" i="1"/>
  <c r="A26738" i="1"/>
  <c r="A24826" i="1"/>
  <c r="A24233" i="1"/>
  <c r="A23822" i="1"/>
  <c r="A23016" i="1"/>
  <c r="A22889" i="1"/>
  <c r="A22661" i="1"/>
  <c r="A22401" i="1"/>
  <c r="A22337" i="1"/>
  <c r="A21758" i="1"/>
  <c r="A21062" i="1"/>
  <c r="A20940" i="1"/>
  <c r="A20446" i="1"/>
  <c r="A20332" i="1"/>
  <c r="A20146" i="1"/>
  <c r="A19610" i="1"/>
  <c r="A19081" i="1"/>
  <c r="A18871" i="1"/>
  <c r="A18779" i="1"/>
  <c r="A17778" i="1"/>
  <c r="A17754" i="1"/>
  <c r="A17734" i="1"/>
  <c r="A17720" i="1"/>
  <c r="A17492" i="1"/>
  <c r="A17385" i="1"/>
  <c r="A17208" i="1"/>
  <c r="A16641" i="1"/>
  <c r="A16147" i="1"/>
  <c r="A23026" i="1"/>
  <c r="A18677" i="1"/>
  <c r="A14589" i="1"/>
  <c r="A11522" i="1"/>
  <c r="A6944" i="1"/>
  <c r="A1685" i="1"/>
  <c r="A19655" i="1"/>
  <c r="A35731" i="1"/>
  <c r="A29208" i="1"/>
  <c r="A23241" i="1"/>
  <c r="A22190" i="1"/>
  <c r="A19413" i="1"/>
  <c r="A17268" i="1"/>
  <c r="A13709" i="1"/>
  <c r="A10956" i="1"/>
  <c r="A9901" i="1"/>
  <c r="A4608" i="1"/>
  <c r="A2730" i="1"/>
  <c r="A22440" i="1"/>
  <c r="A2825" i="1"/>
  <c r="A20736" i="1"/>
  <c r="A18793" i="1"/>
  <c r="A15141" i="1"/>
  <c r="A9860" i="1"/>
  <c r="A8739" i="1"/>
  <c r="A4574" i="1"/>
  <c r="A2979" i="1"/>
  <c r="A2741" i="1"/>
  <c r="A35390" i="1"/>
  <c r="A32102" i="1"/>
  <c r="A21748" i="1"/>
  <c r="A20791" i="1"/>
  <c r="A19499" i="1"/>
  <c r="A16961" i="1"/>
  <c r="A14989" i="1"/>
  <c r="A13256" i="1"/>
  <c r="A9906" i="1"/>
  <c r="A9745" i="1"/>
  <c r="A5673" i="1"/>
  <c r="A4554" i="1"/>
  <c r="A2755" i="1"/>
  <c r="A35975" i="1"/>
  <c r="A35922" i="1"/>
  <c r="A35862" i="1"/>
  <c r="A33111" i="1"/>
  <c r="A24893" i="1"/>
  <c r="A11640" i="1"/>
  <c r="A6560" i="1"/>
  <c r="A6523" i="1"/>
  <c r="A22224" i="1"/>
  <c r="A29805" i="1"/>
  <c r="A13374" i="1"/>
  <c r="A13499" i="1"/>
  <c r="A22745" i="1"/>
  <c r="A17614" i="1"/>
  <c r="A13835" i="1"/>
  <c r="A11382" i="1"/>
  <c r="A6798" i="1"/>
  <c r="A20398" i="1"/>
  <c r="A15111" i="1"/>
  <c r="A12146" i="1"/>
  <c r="A9881" i="1"/>
  <c r="A10051" i="1"/>
  <c r="A4572" i="1"/>
  <c r="A2907" i="1"/>
  <c r="A2736" i="1"/>
  <c r="A36138" i="1"/>
  <c r="A33388" i="1"/>
  <c r="A31834" i="1"/>
  <c r="A30859" i="1"/>
  <c r="A22654" i="1"/>
  <c r="A21651" i="1"/>
  <c r="A20801" i="1"/>
  <c r="A19297" i="1"/>
  <c r="A14423" i="1"/>
  <c r="A13270" i="1"/>
  <c r="A11096" i="1"/>
  <c r="A10175" i="1"/>
  <c r="A9709" i="1"/>
  <c r="A5465" i="1"/>
  <c r="A2867" i="1"/>
  <c r="A36328" i="1"/>
  <c r="A35910" i="1"/>
  <c r="A35861" i="1"/>
  <c r="A32368" i="1"/>
  <c r="A26621" i="1"/>
  <c r="A24891" i="1"/>
  <c r="A19832" i="1"/>
  <c r="A187" i="1"/>
  <c r="A7936" i="1"/>
  <c r="A21272" i="1"/>
  <c r="A15053" i="1"/>
  <c r="A13296" i="1"/>
  <c r="A11672" i="1"/>
  <c r="A9693" i="1"/>
  <c r="A3102" i="1"/>
  <c r="A36106" i="1"/>
  <c r="A36661" i="1"/>
  <c r="A36636" i="1"/>
  <c r="A36095" i="1"/>
  <c r="A33636" i="1"/>
  <c r="A27176" i="1"/>
  <c r="A21685" i="1"/>
  <c r="A20440" i="1"/>
  <c r="A20210" i="1"/>
  <c r="A18988" i="1"/>
  <c r="A15915" i="1"/>
  <c r="A15886" i="1"/>
  <c r="A12225" i="1"/>
  <c r="A11069" i="1"/>
  <c r="A8715" i="1"/>
  <c r="A8060" i="1"/>
  <c r="A8004" i="1"/>
  <c r="A7254" i="1"/>
  <c r="A5500" i="1"/>
  <c r="A4937" i="1"/>
  <c r="A4822" i="1"/>
  <c r="A4517" i="1"/>
  <c r="A30376" i="1"/>
  <c r="A21232" i="1"/>
  <c r="A12856" i="1"/>
  <c r="A13276" i="1"/>
  <c r="A9805" i="1"/>
  <c r="A2842" i="1"/>
  <c r="A18459" i="1"/>
  <c r="A11772" i="1"/>
  <c r="A6835" i="1"/>
  <c r="A35696" i="1"/>
  <c r="A18833" i="1"/>
  <c r="A17758" i="1"/>
  <c r="A23299" i="1"/>
  <c r="A34457" i="1"/>
  <c r="A34442" i="1"/>
  <c r="A32963" i="1"/>
  <c r="A32361" i="1"/>
  <c r="A28565" i="1"/>
  <c r="A27825" i="1"/>
  <c r="A26785" i="1"/>
  <c r="A26719" i="1"/>
  <c r="A10777" i="1"/>
  <c r="A22743" i="1"/>
  <c r="A17612" i="1"/>
  <c r="A13833" i="1"/>
  <c r="A11371" i="1"/>
  <c r="A6796" i="1"/>
  <c r="A1643" i="1"/>
  <c r="A10844" i="1"/>
  <c r="A32551" i="1"/>
  <c r="A31413" i="1"/>
  <c r="A29061" i="1"/>
  <c r="A21299" i="1"/>
  <c r="A19318" i="1"/>
  <c r="A16355" i="1"/>
  <c r="A12119" i="1"/>
  <c r="A10932" i="1"/>
  <c r="A9217" i="1"/>
  <c r="A4497" i="1"/>
  <c r="A2715" i="1"/>
  <c r="A14201" i="1"/>
  <c r="A34849" i="1"/>
  <c r="A4383" i="1"/>
  <c r="A35761" i="1"/>
  <c r="A20004" i="1"/>
  <c r="A17990" i="1"/>
  <c r="A14266" i="1"/>
  <c r="A9878" i="1"/>
  <c r="A9823" i="1"/>
  <c r="A7302" i="1"/>
  <c r="A4547" i="1"/>
  <c r="A2879" i="1"/>
  <c r="A2676" i="1"/>
  <c r="A35802" i="1"/>
  <c r="A29502" i="1"/>
  <c r="A28465" i="1"/>
  <c r="A26775" i="1"/>
  <c r="A22546" i="1"/>
  <c r="A20585" i="1"/>
  <c r="A19294" i="1"/>
  <c r="A16365" i="1"/>
  <c r="A14364" i="1"/>
  <c r="A13356" i="1"/>
  <c r="A9883" i="1"/>
  <c r="A9545" i="1"/>
  <c r="A5423" i="1"/>
  <c r="A4529" i="1"/>
  <c r="A2743" i="1"/>
  <c r="A20785" i="1"/>
  <c r="A36326" i="1"/>
  <c r="A35909" i="1"/>
  <c r="A34809" i="1"/>
  <c r="A13737" i="1"/>
  <c r="A28981" i="1"/>
  <c r="A26326" i="1"/>
  <c r="A18362" i="1"/>
  <c r="A10630" i="1"/>
  <c r="A6109" i="1"/>
  <c r="A3092" i="1"/>
  <c r="A19454" i="1"/>
  <c r="A22900" i="1"/>
  <c r="A29330" i="1"/>
  <c r="A21517" i="1"/>
  <c r="A6145" i="1"/>
  <c r="A22474" i="1"/>
  <c r="A17590" i="1"/>
  <c r="A13613" i="1"/>
  <c r="A10705" i="1"/>
  <c r="A2277" i="1"/>
  <c r="A22736" i="1"/>
  <c r="A17474" i="1"/>
  <c r="A14100" i="1"/>
  <c r="A11903" i="1"/>
  <c r="A9874" i="1"/>
  <c r="A5698" i="1"/>
  <c r="A4180" i="1"/>
  <c r="A2865" i="1"/>
  <c r="A35751" i="1"/>
  <c r="A32045" i="1"/>
  <c r="A31783" i="1"/>
  <c r="A22541" i="1"/>
  <c r="A21504" i="1"/>
  <c r="A20368" i="1"/>
  <c r="A19154" i="1"/>
  <c r="A16295" i="1"/>
  <c r="A12325" i="1"/>
  <c r="A10525" i="1"/>
  <c r="A10106" i="1"/>
  <c r="A10041" i="1"/>
  <c r="A5013" i="1"/>
  <c r="A3953" i="1"/>
  <c r="A36266" i="1"/>
  <c r="A35956" i="1"/>
  <c r="A35900" i="1"/>
  <c r="A35846" i="1"/>
  <c r="A34803" i="1"/>
  <c r="A28973" i="1"/>
  <c r="A26226" i="1"/>
  <c r="A21956" i="1"/>
  <c r="A13040" i="1"/>
  <c r="A10628" i="1"/>
  <c r="A24317" i="1"/>
  <c r="A5937" i="1"/>
  <c r="A19423" i="1"/>
  <c r="A14831" i="1"/>
  <c r="A13249" i="1"/>
  <c r="A10713" i="1"/>
  <c r="A9563" i="1"/>
  <c r="A2671" i="1"/>
  <c r="A36105" i="1"/>
  <c r="A36639" i="1"/>
  <c r="A36101" i="1"/>
  <c r="A32751" i="1"/>
  <c r="A30300" i="1"/>
  <c r="A21275" i="1"/>
  <c r="A20437" i="1"/>
  <c r="A20182" i="1"/>
  <c r="A22170" i="1"/>
  <c r="A15913" i="1"/>
  <c r="A12425" i="1"/>
  <c r="A12217" i="1"/>
  <c r="A10775" i="1"/>
  <c r="A8648" i="1"/>
  <c r="A8055" i="1"/>
  <c r="A7652" i="1"/>
  <c r="A6156" i="1"/>
  <c r="A5420" i="1"/>
  <c r="A4934" i="1"/>
  <c r="A4814" i="1"/>
  <c r="A346" i="1"/>
  <c r="A19647" i="1"/>
  <c r="A11945" i="1"/>
  <c r="A10425" i="1"/>
  <c r="A9803" i="1"/>
  <c r="A2833" i="1"/>
  <c r="A35053" i="1"/>
  <c r="A27165" i="1"/>
  <c r="A26877" i="1"/>
  <c r="A16723" i="1"/>
  <c r="A11625" i="1"/>
  <c r="A6381" i="1"/>
  <c r="A30328" i="1"/>
  <c r="A35605" i="1"/>
  <c r="A17486" i="1"/>
  <c r="A8975" i="1"/>
  <c r="A12026" i="1"/>
  <c r="A34441" i="1"/>
  <c r="A32630" i="1"/>
  <c r="A32546" i="1"/>
  <c r="A32505" i="1"/>
  <c r="A29650" i="1"/>
  <c r="A29500" i="1"/>
  <c r="A6726" i="1"/>
  <c r="A28250" i="1"/>
  <c r="A28174" i="1"/>
  <c r="A27945" i="1"/>
  <c r="A27824" i="1"/>
  <c r="A27598" i="1"/>
  <c r="A21060" i="1"/>
  <c r="A26784" i="1"/>
  <c r="A24232" i="1"/>
  <c r="A23089" i="1"/>
  <c r="A22980" i="1"/>
  <c r="A22830" i="1"/>
  <c r="A22529" i="1"/>
  <c r="A22352" i="1"/>
  <c r="A22278" i="1"/>
  <c r="A21307" i="1"/>
  <c r="A20998" i="1"/>
  <c r="A20610" i="1"/>
  <c r="A20410" i="1"/>
  <c r="A20258" i="1"/>
  <c r="A20064" i="1"/>
  <c r="A19492" i="1"/>
  <c r="A18874" i="1"/>
  <c r="A18826" i="1"/>
  <c r="A18012" i="1"/>
  <c r="A17767" i="1"/>
  <c r="A17743" i="1"/>
  <c r="A17729" i="1"/>
  <c r="A17716" i="1"/>
  <c r="A17487" i="1"/>
  <c r="A17216" i="1"/>
  <c r="A17024" i="1"/>
  <c r="A16637" i="1"/>
  <c r="A16547" i="1"/>
  <c r="A16480" i="1"/>
  <c r="A16207" i="1"/>
  <c r="A15938" i="1"/>
  <c r="A2632" i="1"/>
  <c r="A6015" i="1"/>
  <c r="A2271" i="1"/>
  <c r="A1538" i="1"/>
  <c r="A20914" i="1"/>
  <c r="A33404" i="1"/>
  <c r="A23232" i="1"/>
  <c r="A20976" i="1"/>
  <c r="A19289" i="1"/>
  <c r="A16038" i="1"/>
  <c r="A11781" i="1"/>
  <c r="A10896" i="1"/>
  <c r="A8842" i="1"/>
  <c r="A3411" i="1"/>
  <c r="A2701" i="1"/>
  <c r="A25993" i="1"/>
  <c r="A11554" i="1"/>
  <c r="A33673" i="1"/>
  <c r="A24831" i="1"/>
  <c r="A9533" i="1"/>
  <c r="A28168" i="1"/>
  <c r="A19656" i="1"/>
  <c r="A16374" i="1"/>
  <c r="A11644" i="1"/>
  <c r="A9872" i="1"/>
  <c r="A9655" i="1"/>
  <c r="A5259" i="1"/>
  <c r="A4170" i="1"/>
  <c r="A2863" i="1"/>
  <c r="A2576" i="1"/>
  <c r="A22526" i="1"/>
  <c r="A21341" i="1"/>
  <c r="A19053" i="1"/>
  <c r="A16267" i="1"/>
  <c r="A13941" i="1"/>
  <c r="A12171" i="1"/>
  <c r="A10524" i="1"/>
  <c r="A10101" i="1"/>
  <c r="A4724" i="1"/>
  <c r="A3943" i="1"/>
  <c r="A2725" i="1"/>
  <c r="A23559" i="1"/>
  <c r="A36086" i="1"/>
  <c r="A35845" i="1"/>
  <c r="A34680" i="1"/>
  <c r="A32313" i="1"/>
  <c r="A28951" i="1"/>
  <c r="A36646" i="1"/>
  <c r="A6006" i="1"/>
  <c r="A20130" i="1"/>
  <c r="A3193" i="1"/>
  <c r="A6631" i="1"/>
  <c r="A11014" i="1"/>
  <c r="A22322" i="1"/>
  <c r="A19530" i="1"/>
  <c r="A16343" i="1"/>
  <c r="A13851" i="1"/>
  <c r="A11203" i="1"/>
  <c r="A9710" i="1"/>
  <c r="A5640" i="1"/>
  <c r="A34294" i="1"/>
  <c r="A30701" i="1"/>
  <c r="A22514" i="1"/>
  <c r="A21247" i="1"/>
  <c r="A20228" i="1"/>
  <c r="A18920" i="1"/>
  <c r="A16166" i="1"/>
  <c r="A13579" i="1"/>
  <c r="A10067" i="1"/>
  <c r="A8675" i="1"/>
  <c r="A4701" i="1"/>
  <c r="A3547" i="1"/>
  <c r="A903" i="1"/>
  <c r="A36049" i="1"/>
  <c r="A35951" i="1"/>
  <c r="A35892" i="1"/>
  <c r="A22220" i="1"/>
  <c r="A520" i="1"/>
  <c r="A30346" i="1"/>
  <c r="A25726" i="1"/>
  <c r="A21559" i="1"/>
  <c r="A13003" i="1"/>
  <c r="A8360" i="1"/>
  <c r="A5948" i="1"/>
  <c r="A22080" i="1"/>
  <c r="A5633" i="1"/>
  <c r="A22653" i="1"/>
  <c r="A19365" i="1"/>
  <c r="A14790" i="1"/>
  <c r="A13089" i="1"/>
  <c r="A10608" i="1"/>
  <c r="A6703" i="1"/>
  <c r="A1117" i="1"/>
  <c r="A36644" i="1"/>
  <c r="A36642" i="1"/>
  <c r="A36638" i="1"/>
  <c r="A36100" i="1"/>
  <c r="A32769" i="1"/>
  <c r="A21274" i="1"/>
  <c r="A20431" i="1"/>
  <c r="A20178" i="1"/>
  <c r="A18479" i="1"/>
  <c r="A15911" i="1"/>
  <c r="A12424" i="1"/>
  <c r="A11836" i="1"/>
  <c r="A9451" i="1"/>
  <c r="A8068" i="1"/>
  <c r="A8051" i="1"/>
  <c r="A7264" i="1"/>
  <c r="A5913" i="1"/>
  <c r="A5104" i="1"/>
  <c r="A4921" i="1"/>
  <c r="A4820" i="1"/>
  <c r="A338" i="1"/>
  <c r="A34066" i="1"/>
  <c r="A19383" i="1"/>
  <c r="A11194" i="1"/>
  <c r="A10406" i="1"/>
  <c r="A9621" i="1"/>
  <c r="A2815" i="1"/>
  <c r="A24326" i="1"/>
  <c r="A16716" i="1"/>
  <c r="A7942" i="1"/>
  <c r="A6204" i="1"/>
  <c r="A17721" i="1"/>
  <c r="A17751" i="1"/>
  <c r="A6969" i="1"/>
  <c r="A19192" i="1"/>
  <c r="A33203" i="1"/>
  <c r="A32544" i="1"/>
  <c r="A29851" i="1"/>
  <c r="A29609" i="1"/>
  <c r="A29445" i="1"/>
  <c r="A28624" i="1"/>
  <c r="A27823" i="1"/>
  <c r="A27596" i="1"/>
  <c r="A2237" i="1"/>
  <c r="A26875" i="1"/>
  <c r="A26669" i="1"/>
  <c r="A25638" i="1"/>
  <c r="A24231" i="1"/>
  <c r="A33429" i="1"/>
  <c r="A24101" i="1"/>
  <c r="A22949" i="1"/>
  <c r="A22715" i="1"/>
  <c r="A22488" i="1"/>
  <c r="A22348" i="1"/>
  <c r="A22275" i="1"/>
  <c r="A21145" i="1"/>
  <c r="A20992" i="1"/>
  <c r="A20507" i="1"/>
  <c r="A20408" i="1"/>
  <c r="A20206" i="1"/>
  <c r="A19884" i="1"/>
  <c r="A19464" i="1"/>
  <c r="A18873" i="1"/>
  <c r="A18789" i="1"/>
  <c r="A18004" i="1"/>
  <c r="A17765" i="1"/>
  <c r="A17741" i="1"/>
  <c r="A17732" i="1"/>
  <c r="A17772" i="1"/>
  <c r="A17483" i="1"/>
  <c r="A17214" i="1"/>
  <c r="A16778" i="1"/>
  <c r="A33302" i="1"/>
  <c r="A21770" i="1"/>
  <c r="A17079" i="1"/>
  <c r="A13158" i="1"/>
  <c r="A8699" i="1"/>
  <c r="A2153" i="1"/>
  <c r="A1440" i="1"/>
  <c r="A20926" i="1"/>
  <c r="A35017" i="1"/>
  <c r="A22936" i="1"/>
  <c r="A20635" i="1"/>
  <c r="A19173" i="1"/>
  <c r="A15378" i="1"/>
  <c r="A11621" i="1"/>
  <c r="A10877" i="1"/>
  <c r="A7827" i="1"/>
  <c r="A3217" i="1"/>
  <c r="A2586" i="1"/>
  <c r="A5870" i="1"/>
  <c r="A30200" i="1"/>
  <c r="A20307" i="1"/>
  <c r="A23445" i="1"/>
  <c r="A34699" i="1"/>
  <c r="A19411" i="1"/>
  <c r="A13786" i="1"/>
  <c r="A10767" i="1"/>
  <c r="A10427" i="1"/>
  <c r="A9867" i="1"/>
  <c r="A11883" i="1"/>
  <c r="A2874" i="1"/>
  <c r="A428" i="1"/>
  <c r="A35648" i="1"/>
  <c r="A31689" i="1"/>
  <c r="A23658" i="1"/>
  <c r="A22508" i="1"/>
  <c r="A21182" i="1"/>
  <c r="A19984" i="1"/>
  <c r="A15991" i="1"/>
  <c r="A13478" i="1"/>
  <c r="A12087" i="1"/>
  <c r="A10437" i="1"/>
  <c r="A9838" i="1"/>
  <c r="A7940" i="1"/>
  <c r="A3424" i="1"/>
  <c r="A524" i="1"/>
  <c r="A7585" i="1"/>
  <c r="A35946" i="1"/>
  <c r="A35891" i="1"/>
  <c r="A34068" i="1"/>
  <c r="A30222" i="1"/>
  <c r="A21404" i="1"/>
  <c r="A6513" i="1"/>
  <c r="A19761" i="1"/>
  <c r="A19225" i="1"/>
  <c r="A21135" i="1"/>
  <c r="A16777" i="1"/>
  <c r="A12304" i="1"/>
  <c r="A7666" i="1"/>
  <c r="A21726" i="1"/>
  <c r="A34996" i="1"/>
  <c r="A16168" i="1"/>
  <c r="A13985" i="1"/>
  <c r="A9529" i="1"/>
  <c r="A9535" i="1"/>
  <c r="A5247" i="1"/>
  <c r="A3427" i="1"/>
  <c r="A2873" i="1"/>
  <c r="A419" i="1"/>
  <c r="A35711" i="1"/>
  <c r="A32201" i="1"/>
  <c r="A12937" i="1"/>
  <c r="A21143" i="1"/>
  <c r="A19759" i="1"/>
  <c r="A18845" i="1"/>
  <c r="A15588" i="1"/>
  <c r="A11988" i="1"/>
  <c r="A9799" i="1"/>
  <c r="A6693" i="1"/>
  <c r="A4693" i="1"/>
  <c r="A3407" i="1"/>
  <c r="A99" i="1"/>
  <c r="A35931" i="1"/>
  <c r="A35839" i="1"/>
  <c r="A34065" i="1"/>
  <c r="A30220" i="1"/>
  <c r="A27234" i="1"/>
  <c r="A20208" i="1"/>
  <c r="A8359" i="1"/>
  <c r="A5875" i="1"/>
  <c r="A18066" i="1"/>
  <c r="A2857" i="1"/>
  <c r="A34317" i="1"/>
  <c r="A16808" i="1"/>
  <c r="A22046" i="1"/>
  <c r="A18128" i="1"/>
  <c r="A14335" i="1"/>
  <c r="A12895" i="1"/>
  <c r="A10400" i="1"/>
  <c r="A5365" i="1"/>
  <c r="A465" i="1"/>
  <c r="A36108" i="1"/>
  <c r="A36641" i="1"/>
  <c r="A36637" i="1"/>
  <c r="A36099" i="1"/>
  <c r="A20829" i="1"/>
  <c r="A20393" i="1"/>
  <c r="A20152" i="1"/>
  <c r="A17889" i="1"/>
  <c r="A15907" i="1"/>
  <c r="A12268" i="1"/>
  <c r="A11570" i="1"/>
  <c r="A9019" i="1"/>
  <c r="A8066" i="1"/>
  <c r="A8048" i="1"/>
  <c r="A7262" i="1"/>
  <c r="A5901" i="1"/>
  <c r="A5102" i="1"/>
  <c r="A4905" i="1"/>
  <c r="A4818" i="1"/>
  <c r="A334" i="1"/>
  <c r="A30765" i="1"/>
  <c r="A18404" i="1"/>
  <c r="A11188" i="1"/>
  <c r="A10315" i="1"/>
  <c r="A9567" i="1"/>
  <c r="A11662" i="1"/>
  <c r="A33068" i="1"/>
  <c r="A27054" i="1"/>
  <c r="A24165" i="1"/>
  <c r="A16549" i="1"/>
  <c r="A7650" i="1"/>
  <c r="A3309" i="1"/>
  <c r="A16619" i="1"/>
  <c r="A17724" i="1"/>
  <c r="A33427" i="1"/>
  <c r="A12103" i="1"/>
  <c r="A11779" i="1"/>
  <c r="A35380" i="1"/>
  <c r="A32663" i="1"/>
  <c r="A32542" i="1"/>
  <c r="A32444" i="1"/>
  <c r="A29599" i="1"/>
  <c r="A27993" i="1"/>
  <c r="A27836" i="1"/>
  <c r="A26848" i="1"/>
  <c r="A25626" i="1"/>
  <c r="A24230" i="1"/>
  <c r="A24203" i="1"/>
  <c r="A23022" i="1"/>
  <c r="A22939" i="1"/>
  <c r="A22663" i="1"/>
  <c r="A22427" i="1"/>
  <c r="A22344" i="1"/>
  <c r="A21882" i="1"/>
  <c r="A21139" i="1"/>
  <c r="A20990" i="1"/>
  <c r="A20503" i="1"/>
  <c r="A20404" i="1"/>
  <c r="A20190" i="1"/>
  <c r="A19718" i="1"/>
  <c r="A19248" i="1"/>
  <c r="A18872" i="1"/>
  <c r="A27346" i="1"/>
  <c r="A17895" i="1"/>
  <c r="A1495" i="1"/>
  <c r="A17790" i="1"/>
  <c r="A15598" i="1"/>
  <c r="A10253" i="1"/>
  <c r="A35768" i="1"/>
  <c r="A15580" i="1"/>
  <c r="A4566" i="1"/>
  <c r="A35880" i="1"/>
  <c r="A20733" i="1"/>
  <c r="A14084" i="1"/>
  <c r="A36640" i="1"/>
  <c r="A31376" i="1"/>
  <c r="A20576" i="1"/>
  <c r="A11564" i="1"/>
  <c r="A5015" i="1"/>
  <c r="A7637" i="1"/>
  <c r="A6722" i="1"/>
  <c r="A23130" i="1"/>
  <c r="A22398" i="1"/>
  <c r="A20851" i="1"/>
  <c r="A19524" i="1"/>
  <c r="A17770" i="1"/>
  <c r="A17718" i="1"/>
  <c r="A17072" i="1"/>
  <c r="A16523" i="1"/>
  <c r="A16072" i="1"/>
  <c r="A15034" i="1"/>
  <c r="A14199" i="1"/>
  <c r="A13359" i="1"/>
  <c r="A12410" i="1"/>
  <c r="A12233" i="1"/>
  <c r="A12109" i="1"/>
  <c r="A11209" i="1"/>
  <c r="A9252" i="1"/>
  <c r="A9117" i="1"/>
  <c r="A9090" i="1"/>
  <c r="A9067" i="1"/>
  <c r="A8864" i="1"/>
  <c r="A7031" i="1"/>
  <c r="A6850" i="1"/>
  <c r="A6764" i="1"/>
  <c r="A5416" i="1"/>
  <c r="A4329" i="1"/>
  <c r="A3714" i="1"/>
  <c r="A2363" i="1"/>
  <c r="A2257" i="1"/>
  <c r="A2049" i="1"/>
  <c r="A2007" i="1"/>
  <c r="A1925" i="1"/>
  <c r="A1767" i="1"/>
  <c r="A1467" i="1"/>
  <c r="A1330" i="1"/>
  <c r="A160" i="1"/>
  <c r="A31631" i="1"/>
  <c r="A16873" i="1"/>
  <c r="A14183" i="1"/>
  <c r="A6885" i="1"/>
  <c r="A3870" i="1"/>
  <c r="A149" i="1"/>
  <c r="A34316" i="1"/>
  <c r="A26953" i="1"/>
  <c r="A21066" i="1"/>
  <c r="A19156" i="1"/>
  <c r="A14833" i="1"/>
  <c r="A12497" i="1"/>
  <c r="A11101" i="1"/>
  <c r="A10245" i="1"/>
  <c r="A9623" i="1"/>
  <c r="A3296" i="1"/>
  <c r="A10025" i="1"/>
  <c r="A14993" i="1"/>
  <c r="A10450" i="1"/>
  <c r="A10289" i="1"/>
  <c r="A10083" i="1"/>
  <c r="A10313" i="1"/>
  <c r="A36317" i="1"/>
  <c r="A31237" i="1"/>
  <c r="A31043" i="1"/>
  <c r="A30538" i="1"/>
  <c r="A29409" i="1"/>
  <c r="A28350" i="1"/>
  <c r="A26678" i="1"/>
  <c r="A22500" i="1"/>
  <c r="A21335" i="1"/>
  <c r="A20370" i="1"/>
  <c r="A19223" i="1"/>
  <c r="A15443" i="1"/>
  <c r="A14404" i="1"/>
  <c r="A13327" i="1"/>
  <c r="A13262" i="1"/>
  <c r="A11907" i="1"/>
  <c r="A10763" i="1"/>
  <c r="A10395" i="1"/>
  <c r="A10141" i="1"/>
  <c r="A9537" i="1"/>
  <c r="A7553" i="1"/>
  <c r="A5879" i="1"/>
  <c r="A4073" i="1"/>
  <c r="A2768" i="1"/>
  <c r="A2597" i="1"/>
  <c r="A164" i="1"/>
  <c r="A22870" i="1"/>
  <c r="A22581" i="1"/>
  <c r="A19771" i="1"/>
  <c r="A17855" i="1"/>
  <c r="A13011" i="1"/>
  <c r="A10003" i="1"/>
  <c r="A8162" i="1"/>
  <c r="A7349" i="1"/>
  <c r="A6100" i="1"/>
  <c r="A4112" i="1"/>
  <c r="A1243" i="1"/>
  <c r="A1195" i="1"/>
  <c r="A907" i="1"/>
  <c r="A484" i="1"/>
  <c r="A266" i="1"/>
  <c r="A242" i="1"/>
  <c r="A8410" i="1"/>
  <c r="A13007" i="1"/>
  <c r="A22882" i="1"/>
  <c r="A22848" i="1"/>
  <c r="A13189" i="1"/>
  <c r="A22422" i="1"/>
  <c r="A22261" i="1"/>
  <c r="A22064" i="1"/>
  <c r="A20296" i="1"/>
  <c r="A19865" i="1"/>
  <c r="A18219" i="1"/>
  <c r="A18182" i="1"/>
  <c r="A17849" i="1"/>
  <c r="A14296" i="1"/>
  <c r="A13242" i="1"/>
  <c r="A12987" i="1"/>
  <c r="A1313" i="1"/>
  <c r="A11851" i="1"/>
  <c r="A8585" i="1"/>
  <c r="A8488" i="1"/>
  <c r="A999" i="1"/>
  <c r="A8274" i="1"/>
  <c r="A8222" i="1"/>
  <c r="A6666" i="1"/>
  <c r="A6106" i="1"/>
  <c r="A5734" i="1"/>
  <c r="A1319" i="1"/>
  <c r="A2341" i="1"/>
  <c r="A2009" i="1"/>
  <c r="A12298" i="1"/>
  <c r="A10864" i="1"/>
  <c r="A30077" i="1"/>
  <c r="A21589" i="1"/>
  <c r="A13334" i="1"/>
  <c r="A34875" i="1"/>
  <c r="A12831" i="1"/>
  <c r="A17764" i="1"/>
  <c r="A17496" i="1"/>
  <c r="A16763" i="1"/>
  <c r="A15014" i="1"/>
  <c r="A14197" i="1"/>
  <c r="A13235" i="1"/>
  <c r="A12231" i="1"/>
  <c r="A12107" i="1"/>
  <c r="A11604" i="1"/>
  <c r="A11208" i="1"/>
  <c r="A9143" i="1"/>
  <c r="A9115" i="1"/>
  <c r="A9065" i="1"/>
  <c r="A8863" i="1"/>
  <c r="A7514" i="1"/>
  <c r="A6965" i="1"/>
  <c r="A6848" i="1"/>
  <c r="A6736" i="1"/>
  <c r="A4311" i="1"/>
  <c r="A3709" i="1"/>
  <c r="A3060" i="1"/>
  <c r="A2353" i="1"/>
  <c r="A2249" i="1"/>
  <c r="A2047" i="1"/>
  <c r="A1923" i="1"/>
  <c r="A1761" i="1"/>
  <c r="A1575" i="1"/>
  <c r="A1465" i="1"/>
  <c r="A1327" i="1"/>
  <c r="A158" i="1"/>
  <c r="A24395" i="1"/>
  <c r="A22792" i="1"/>
  <c r="A16347" i="1"/>
  <c r="A14353" i="1"/>
  <c r="A3577" i="1"/>
  <c r="A140" i="1"/>
  <c r="A1601" i="1"/>
  <c r="A32171" i="1"/>
  <c r="A11897" i="1"/>
  <c r="A21041" i="1"/>
  <c r="A9858" i="1"/>
  <c r="A22920" i="1"/>
  <c r="A13310" i="1"/>
  <c r="A3162" i="1"/>
  <c r="A34890" i="1"/>
  <c r="A12852" i="1"/>
  <c r="A36103" i="1"/>
  <c r="A20352" i="1"/>
  <c r="A8984" i="1"/>
  <c r="A4881" i="1"/>
  <c r="A17853" i="1"/>
  <c r="A3176" i="1"/>
  <c r="A7070" i="1"/>
  <c r="A26843" i="1"/>
  <c r="A23018" i="1"/>
  <c r="A22339" i="1"/>
  <c r="A20448" i="1"/>
  <c r="A19111" i="1"/>
  <c r="A16521" i="1"/>
  <c r="A16039" i="1"/>
  <c r="A14092" i="1"/>
  <c r="A13102" i="1"/>
  <c r="A12401" i="1"/>
  <c r="A12223" i="1"/>
  <c r="A12105" i="1"/>
  <c r="A11590" i="1"/>
  <c r="A9141" i="1"/>
  <c r="A9111" i="1"/>
  <c r="A9089" i="1"/>
  <c r="A9063" i="1"/>
  <c r="A8856" i="1"/>
  <c r="A7418" i="1"/>
  <c r="A6840" i="1"/>
  <c r="A6728" i="1"/>
  <c r="A5405" i="1"/>
  <c r="A4197" i="1"/>
  <c r="A3599" i="1"/>
  <c r="A3035" i="1"/>
  <c r="A2239" i="1"/>
  <c r="A2039" i="1"/>
  <c r="A2005" i="1"/>
  <c r="A1921" i="1"/>
  <c r="A1717" i="1"/>
  <c r="A1561" i="1"/>
  <c r="A1325" i="1"/>
  <c r="A112" i="1"/>
  <c r="A32911" i="1"/>
  <c r="A25779" i="1"/>
  <c r="A16257" i="1"/>
  <c r="A13556" i="1"/>
  <c r="A6775" i="1"/>
  <c r="A3576" i="1"/>
  <c r="A29592" i="1"/>
  <c r="A26064" i="1"/>
  <c r="A22504" i="1"/>
  <c r="A20744" i="1"/>
  <c r="A17381" i="1"/>
  <c r="A14687" i="1"/>
  <c r="A12253" i="1"/>
  <c r="A11100" i="1"/>
  <c r="A10164" i="1"/>
  <c r="A9566" i="1"/>
  <c r="A3117" i="1"/>
  <c r="A26419" i="1"/>
  <c r="A22925" i="1"/>
  <c r="A10417" i="1"/>
  <c r="A10180" i="1"/>
  <c r="A10081" i="1"/>
  <c r="A14096" i="1"/>
  <c r="A35217" i="1"/>
  <c r="A31042" i="1"/>
  <c r="A30489" i="1"/>
  <c r="A29030" i="1"/>
  <c r="A21936" i="1"/>
  <c r="A21246" i="1"/>
  <c r="A19637" i="1"/>
  <c r="A19089" i="1"/>
  <c r="A15414" i="1"/>
  <c r="A14169" i="1"/>
  <c r="A13321" i="1"/>
  <c r="A12878" i="1"/>
  <c r="A11742" i="1"/>
  <c r="A10579" i="1"/>
  <c r="A10358" i="1"/>
  <c r="A9744" i="1"/>
  <c r="A8953" i="1"/>
  <c r="A7527" i="1"/>
  <c r="A4991" i="1"/>
  <c r="A4064" i="1"/>
  <c r="A2762" i="1"/>
  <c r="A963" i="1"/>
  <c r="A22779" i="1"/>
  <c r="A16117" i="1"/>
  <c r="A33651" i="1"/>
  <c r="A22864" i="1"/>
  <c r="A22579" i="1"/>
  <c r="A18912" i="1"/>
  <c r="A17822" i="1"/>
  <c r="A12999" i="1"/>
  <c r="A8503" i="1"/>
  <c r="A8160" i="1"/>
  <c r="A6672" i="1"/>
  <c r="A6098" i="1"/>
  <c r="A3841" i="1"/>
  <c r="A1227" i="1"/>
  <c r="A1167" i="1"/>
  <c r="A810" i="1"/>
  <c r="A310" i="1"/>
  <c r="A7344" i="1"/>
  <c r="A312" i="1"/>
  <c r="A1187" i="1"/>
  <c r="A2027" i="1"/>
  <c r="A23029" i="1"/>
  <c r="A22868" i="1"/>
  <c r="A22842" i="1"/>
  <c r="A22387" i="1"/>
  <c r="A22259" i="1"/>
  <c r="A22016" i="1"/>
  <c r="A20294" i="1"/>
  <c r="A19704" i="1"/>
  <c r="A18201" i="1"/>
  <c r="A13361" i="1"/>
  <c r="A17409" i="1"/>
  <c r="A14756" i="1"/>
  <c r="A14294" i="1"/>
  <c r="A13212" i="1"/>
  <c r="A12991" i="1"/>
  <c r="A12985" i="1"/>
  <c r="A12944" i="1"/>
  <c r="A8515" i="1"/>
  <c r="A8486" i="1"/>
  <c r="A8404" i="1"/>
  <c r="A8272" i="1"/>
  <c r="A8220" i="1"/>
  <c r="A6674" i="1"/>
  <c r="A6086" i="1"/>
  <c r="A5796" i="1"/>
  <c r="A5357" i="1"/>
  <c r="A4643" i="1"/>
  <c r="A786" i="1"/>
  <c r="A5025" i="1"/>
  <c r="A1338" i="1"/>
  <c r="A1309" i="1"/>
  <c r="A1263" i="1"/>
  <c r="A1258" i="1"/>
  <c r="A1247" i="1"/>
  <c r="A1235" i="1"/>
  <c r="A1203" i="1"/>
  <c r="A1189" i="1"/>
  <c r="A1041" i="1"/>
  <c r="A1009" i="1"/>
  <c r="A818" i="1"/>
  <c r="A804" i="1"/>
  <c r="A7662" i="1"/>
  <c r="A22671" i="1"/>
  <c r="A6942" i="1"/>
  <c r="A11830" i="1"/>
  <c r="A5225" i="1"/>
  <c r="A35642" i="1"/>
  <c r="A22502" i="1"/>
  <c r="A11750" i="1"/>
  <c r="A20321" i="1"/>
  <c r="A8259" i="1"/>
  <c r="A23012" i="1"/>
  <c r="A22335" i="1"/>
  <c r="A20417" i="1"/>
  <c r="A18922" i="1"/>
  <c r="A17756" i="1"/>
  <c r="A17494" i="1"/>
  <c r="A16759" i="1"/>
  <c r="A16509" i="1"/>
  <c r="A16019" i="1"/>
  <c r="A14812" i="1"/>
  <c r="A14066" i="1"/>
  <c r="A12917" i="1"/>
  <c r="A12398" i="1"/>
  <c r="A12066" i="1"/>
  <c r="A11588" i="1"/>
  <c r="A10649" i="1"/>
  <c r="A9131" i="1"/>
  <c r="A9110" i="1"/>
  <c r="A9087" i="1"/>
  <c r="A8024" i="1"/>
  <c r="A7402" i="1"/>
  <c r="A6958" i="1"/>
  <c r="A6838" i="1"/>
  <c r="A6680" i="1"/>
  <c r="A5379" i="1"/>
  <c r="A3885" i="1"/>
  <c r="A2924" i="1"/>
  <c r="A2351" i="1"/>
  <c r="A2224" i="1"/>
  <c r="A2033" i="1"/>
  <c r="A2001" i="1"/>
  <c r="A1711" i="1"/>
  <c r="A1529" i="1"/>
  <c r="A1463" i="1"/>
  <c r="A1323" i="1"/>
  <c r="A90" i="1"/>
  <c r="A32661" i="1"/>
  <c r="A24290" i="1"/>
  <c r="A22782" i="1"/>
  <c r="A16134" i="1"/>
  <c r="A13523" i="1"/>
  <c r="A6566" i="1"/>
  <c r="A19886" i="1"/>
  <c r="A33997" i="1"/>
  <c r="A10274" i="1"/>
  <c r="A7146" i="1"/>
  <c r="A19285" i="1"/>
  <c r="A4606" i="1"/>
  <c r="A35639" i="1"/>
  <c r="A22366" i="1"/>
  <c r="A11700" i="1"/>
  <c r="A34062" i="1"/>
  <c r="A8041" i="1"/>
  <c r="A10251" i="1"/>
  <c r="A36097" i="1"/>
  <c r="A19964" i="1"/>
  <c r="A8065" i="1"/>
  <c r="A4790" i="1"/>
  <c r="A10751" i="1"/>
  <c r="A26999" i="1"/>
  <c r="A6159" i="1"/>
  <c r="A16015" i="1"/>
  <c r="A34431" i="1"/>
  <c r="A28567" i="1"/>
  <c r="A27977" i="1"/>
  <c r="A26742" i="1"/>
  <c r="A17774" i="1"/>
  <c r="A17490" i="1"/>
  <c r="A16639" i="1"/>
  <c r="A16507" i="1"/>
  <c r="A15942" i="1"/>
  <c r="A14723" i="1"/>
  <c r="A12876" i="1"/>
  <c r="A12394" i="1"/>
  <c r="A12212" i="1"/>
  <c r="A12024" i="1"/>
  <c r="A11580" i="1"/>
  <c r="A10647" i="1"/>
  <c r="A9109" i="1"/>
  <c r="A9085" i="1"/>
  <c r="A8973" i="1"/>
  <c r="A8022" i="1"/>
  <c r="A7378" i="1"/>
  <c r="A6952" i="1"/>
  <c r="A6596" i="1"/>
  <c r="A5373" i="1"/>
  <c r="A4016" i="1"/>
  <c r="A3445" i="1"/>
  <c r="A2922" i="1"/>
  <c r="A2334" i="1"/>
  <c r="A1991" i="1"/>
  <c r="A1993" i="1"/>
  <c r="A1917" i="1"/>
  <c r="A1641" i="1"/>
  <c r="A1521" i="1"/>
  <c r="A1461" i="1"/>
  <c r="A32" i="1"/>
  <c r="A32658" i="1"/>
  <c r="A25749" i="1"/>
  <c r="A24197" i="1"/>
  <c r="A22462" i="1"/>
  <c r="A13484" i="1"/>
  <c r="A6363" i="1"/>
  <c r="A3432" i="1"/>
  <c r="A13554" i="1"/>
  <c r="A32092" i="1"/>
  <c r="A30825" i="1"/>
  <c r="A27760" i="1"/>
  <c r="A21933" i="1"/>
  <c r="A20478" i="1"/>
  <c r="A16816" i="1"/>
  <c r="A14336" i="1"/>
  <c r="A12215" i="1"/>
  <c r="A10534" i="1"/>
  <c r="A9828" i="1"/>
  <c r="A8109" i="1"/>
  <c r="A3033" i="1"/>
  <c r="A34899" i="1"/>
  <c r="A13171" i="1"/>
  <c r="A10366" i="1"/>
  <c r="A10135" i="1"/>
  <c r="A10037" i="1"/>
  <c r="A36135" i="1"/>
  <c r="A33603" i="1"/>
  <c r="A31196" i="1"/>
  <c r="A28575" i="1"/>
  <c r="A28148" i="1"/>
  <c r="A26289" i="1"/>
  <c r="A23124" i="1"/>
  <c r="A21893" i="1"/>
  <c r="A21091" i="1"/>
  <c r="A19509" i="1"/>
  <c r="A17847" i="1"/>
  <c r="A15371" i="1"/>
  <c r="A14132" i="1"/>
  <c r="A13320" i="1"/>
  <c r="A12868" i="1"/>
  <c r="A11192" i="1"/>
  <c r="A10557" i="1"/>
  <c r="A10281" i="1"/>
  <c r="A9717" i="1"/>
  <c r="A8674" i="1"/>
  <c r="A7503" i="1"/>
  <c r="A4710" i="1"/>
  <c r="A4060" i="1"/>
  <c r="A2761" i="1"/>
  <c r="A737" i="1"/>
  <c r="A1937" i="1"/>
  <c r="A8228" i="1"/>
  <c r="A22860" i="1"/>
  <c r="A21237" i="1"/>
  <c r="A18866" i="1"/>
  <c r="A17523" i="1"/>
  <c r="A12977" i="1"/>
  <c r="A8501" i="1"/>
  <c r="A8158" i="1"/>
  <c r="A6670" i="1"/>
  <c r="A2223" i="1"/>
  <c r="A1223" i="1"/>
  <c r="A308" i="1"/>
  <c r="A801" i="1"/>
  <c r="A298" i="1"/>
  <c r="A669" i="1"/>
  <c r="A18897" i="1"/>
  <c r="A2003" i="1"/>
  <c r="A780" i="1"/>
  <c r="A1219" i="1"/>
  <c r="A25799" i="1"/>
  <c r="A25795" i="1"/>
  <c r="A5027" i="1"/>
  <c r="A1315" i="1"/>
  <c r="A23010" i="1"/>
  <c r="A22856" i="1"/>
  <c r="A22840" i="1"/>
  <c r="A23028" i="1"/>
  <c r="A22258" i="1"/>
  <c r="A252" i="1"/>
  <c r="A20272" i="1"/>
  <c r="A18243" i="1"/>
  <c r="A18195" i="1"/>
  <c r="A18174" i="1"/>
  <c r="A17405" i="1"/>
  <c r="A14304" i="1"/>
  <c r="A13165" i="1"/>
  <c r="A13001" i="1"/>
  <c r="A12983" i="1"/>
  <c r="A12885" i="1"/>
  <c r="A8495" i="1"/>
  <c r="A8484" i="1"/>
  <c r="A8343" i="1"/>
  <c r="A8238" i="1"/>
  <c r="A8184" i="1"/>
  <c r="A6656" i="1"/>
  <c r="A6082" i="1"/>
  <c r="A5790" i="1"/>
  <c r="A5021" i="1"/>
  <c r="A2210" i="1"/>
  <c r="A1939" i="1"/>
  <c r="A1336" i="1"/>
  <c r="A1307" i="1"/>
  <c r="A1267" i="1"/>
  <c r="A1256" i="1"/>
  <c r="A1245" i="1"/>
  <c r="A1233" i="1"/>
  <c r="A1217" i="1"/>
  <c r="A1201" i="1"/>
  <c r="A1177" i="1"/>
  <c r="A1149" i="1"/>
  <c r="A1038" i="1"/>
  <c r="A1003" i="1"/>
  <c r="A816" i="1"/>
  <c r="A798" i="1"/>
  <c r="A748" i="1"/>
  <c r="A675" i="1"/>
  <c r="A14130" i="1"/>
  <c r="A792" i="1"/>
  <c r="A26530" i="1"/>
  <c r="A2041" i="1"/>
  <c r="A20138" i="1"/>
  <c r="A3072" i="1"/>
  <c r="A3618" i="1"/>
  <c r="A15851" i="1"/>
  <c r="A3384" i="1"/>
  <c r="A29365" i="1"/>
  <c r="A21131" i="1"/>
  <c r="A10367" i="1"/>
  <c r="A34651" i="1"/>
  <c r="A22903" i="1"/>
  <c r="A21794" i="1"/>
  <c r="A20359" i="1"/>
  <c r="A6723" i="1"/>
  <c r="A17740" i="1"/>
  <c r="A17482" i="1"/>
  <c r="A16635" i="1"/>
  <c r="A16401" i="1"/>
  <c r="A15860" i="1"/>
  <c r="A14587" i="1"/>
  <c r="A13808" i="1"/>
  <c r="A12701" i="1"/>
  <c r="A12377" i="1"/>
  <c r="A12206" i="1"/>
  <c r="A11572" i="1"/>
  <c r="A9941" i="1"/>
  <c r="A9128" i="1"/>
  <c r="A9107" i="1"/>
  <c r="A9083" i="1"/>
  <c r="A8969" i="1"/>
  <c r="A7362" i="1"/>
  <c r="A6950" i="1"/>
  <c r="A6810" i="1"/>
  <c r="A6594" i="1"/>
  <c r="A5228" i="1"/>
  <c r="A3966" i="1"/>
  <c r="A2697" i="1"/>
  <c r="A2328" i="1"/>
  <c r="A2194" i="1"/>
  <c r="A2025" i="1"/>
  <c r="A1992" i="1"/>
  <c r="A1915" i="1"/>
  <c r="A1505" i="1"/>
  <c r="A1432" i="1"/>
  <c r="A1322" i="1"/>
  <c r="A29" i="1"/>
  <c r="A32640" i="1"/>
  <c r="A30186" i="1"/>
  <c r="A20357" i="1"/>
  <c r="A16010" i="1"/>
  <c r="A13415" i="1"/>
  <c r="A6188" i="1"/>
  <c r="A3264" i="1"/>
  <c r="A9731" i="1"/>
  <c r="A33866" i="1"/>
  <c r="A5074" i="1"/>
  <c r="A15538" i="1"/>
  <c r="A3359" i="1"/>
  <c r="A10355" i="1"/>
  <c r="A36348" i="1"/>
  <c r="A29890" i="1"/>
  <c r="A5837" i="1"/>
  <c r="A4148" i="1"/>
  <c r="A16225" i="1"/>
  <c r="A8047" i="1"/>
  <c r="A10287" i="1"/>
  <c r="A26346" i="1"/>
  <c r="A34424" i="1"/>
  <c r="A32419" i="1"/>
  <c r="A28392" i="1"/>
  <c r="A22878" i="1"/>
  <c r="A21754" i="1"/>
  <c r="A20317" i="1"/>
  <c r="A18832" i="1"/>
  <c r="A16632" i="1"/>
  <c r="A16389" i="1"/>
  <c r="A15799" i="1"/>
  <c r="A14544" i="1"/>
  <c r="A13725" i="1"/>
  <c r="A12318" i="1"/>
  <c r="A12190" i="1"/>
  <c r="A12018" i="1"/>
  <c r="A11490" i="1"/>
  <c r="A9918" i="1"/>
  <c r="A9126" i="1"/>
  <c r="A9081" i="1"/>
  <c r="A8967" i="1"/>
  <c r="A7996" i="1"/>
  <c r="A7334" i="1"/>
  <c r="A6948" i="1"/>
  <c r="A6806" i="1"/>
  <c r="A4637" i="1"/>
  <c r="A3948" i="1"/>
  <c r="A3286" i="1"/>
  <c r="A2691" i="1"/>
  <c r="A2289" i="1"/>
  <c r="A2190" i="1"/>
  <c r="A1990" i="1"/>
  <c r="A1913" i="1"/>
  <c r="A1631" i="1"/>
  <c r="A1496" i="1"/>
  <c r="A1429" i="1"/>
  <c r="A1321" i="1"/>
  <c r="A28614" i="1"/>
  <c r="A19680" i="1"/>
  <c r="A16002" i="1"/>
  <c r="A5314" i="1"/>
  <c r="A2437" i="1"/>
  <c r="A32089" i="1"/>
  <c r="A31045" i="1"/>
  <c r="A27686" i="1"/>
  <c r="A21739" i="1"/>
  <c r="A19901" i="1"/>
  <c r="A16802" i="1"/>
  <c r="A14126" i="1"/>
  <c r="A11969" i="1"/>
  <c r="A10471" i="1"/>
  <c r="A9793" i="1"/>
  <c r="A4344" i="1"/>
  <c r="A2678" i="1"/>
  <c r="A20248" i="1"/>
  <c r="A13151" i="1"/>
  <c r="A10321" i="1"/>
  <c r="A10118" i="1"/>
  <c r="A7781" i="1"/>
  <c r="A30991" i="1"/>
  <c r="A31657" i="1"/>
  <c r="A31179" i="1"/>
  <c r="A18787" i="1"/>
  <c r="A25988" i="1"/>
  <c r="A21774" i="1"/>
  <c r="A21030" i="1"/>
  <c r="A19358" i="1"/>
  <c r="A16597" i="1"/>
  <c r="A15004" i="1"/>
  <c r="A14108" i="1"/>
  <c r="A13314" i="1"/>
  <c r="A12174" i="1"/>
  <c r="A11190" i="1"/>
  <c r="A10519" i="1"/>
  <c r="A10277" i="1"/>
  <c r="A9653" i="1"/>
  <c r="A8107" i="1"/>
  <c r="A7435" i="1"/>
  <c r="A4126" i="1"/>
  <c r="A3960" i="1"/>
  <c r="A2821" i="1"/>
  <c r="A645" i="1"/>
  <c r="A16196" i="1"/>
  <c r="A22813" i="1"/>
  <c r="A20414" i="1"/>
  <c r="A15287" i="1"/>
  <c r="A6102" i="1"/>
  <c r="A8499" i="1"/>
  <c r="A8152" i="1"/>
  <c r="A6668" i="1"/>
  <c r="A4999" i="1"/>
  <c r="A1213" i="1"/>
  <c r="A1105" i="1"/>
  <c r="A790" i="1"/>
  <c r="A290" i="1"/>
  <c r="A224" i="1"/>
  <c r="A22062" i="1"/>
  <c r="A8505" i="1"/>
  <c r="A1043" i="1"/>
  <c r="A7337" i="1"/>
  <c r="A778" i="1"/>
  <c r="A1025" i="1"/>
  <c r="A17407" i="1"/>
  <c r="A1171" i="1"/>
  <c r="A12997" i="1"/>
  <c r="A22838" i="1"/>
  <c r="A22583" i="1"/>
  <c r="A22358" i="1"/>
  <c r="A22257" i="1"/>
  <c r="A21717" i="1"/>
  <c r="A20075" i="1"/>
  <c r="A18241" i="1"/>
  <c r="A18191" i="1"/>
  <c r="A18162" i="1"/>
  <c r="A17404" i="1"/>
  <c r="A14302" i="1"/>
  <c r="A14292" i="1"/>
  <c r="A13118" i="1"/>
  <c r="A12981" i="1"/>
  <c r="A12846" i="1"/>
  <c r="A11455" i="1"/>
  <c r="A8492" i="1"/>
  <c r="A8482" i="1"/>
  <c r="A4657" i="1"/>
  <c r="A8230" i="1"/>
  <c r="A6654" i="1"/>
  <c r="A6080" i="1"/>
  <c r="A5788" i="1"/>
  <c r="A5019" i="1"/>
  <c r="A4639" i="1"/>
  <c r="A2202" i="1"/>
  <c r="A1935" i="1"/>
  <c r="A1334" i="1"/>
  <c r="A1305" i="1"/>
  <c r="A1265" i="1"/>
  <c r="A1255" i="1"/>
  <c r="A1241" i="1"/>
  <c r="A1365" i="1"/>
  <c r="A18239" i="1"/>
  <c r="A1469" i="1"/>
  <c r="A13576" i="1"/>
  <c r="A2756" i="1"/>
  <c r="A19603" i="1"/>
  <c r="A9795" i="1"/>
  <c r="A36014" i="1"/>
  <c r="A27066" i="1"/>
  <c r="A17736" i="1"/>
  <c r="A17440" i="1"/>
  <c r="A14542" i="1"/>
  <c r="A13615" i="1"/>
  <c r="A12699" i="1"/>
  <c r="A12276" i="1"/>
  <c r="A12144" i="1"/>
  <c r="A12016" i="1"/>
  <c r="A9914" i="1"/>
  <c r="A9125" i="1"/>
  <c r="A9105" i="1"/>
  <c r="A9079" i="1"/>
  <c r="A8945" i="1"/>
  <c r="A7894" i="1"/>
  <c r="A6899" i="1"/>
  <c r="A6794" i="1"/>
  <c r="A6527" i="1"/>
  <c r="A4602" i="1"/>
  <c r="A3891" i="1"/>
  <c r="A3233" i="1"/>
  <c r="A2288" i="1"/>
  <c r="A2182" i="1"/>
  <c r="A2019" i="1"/>
  <c r="A1989" i="1"/>
  <c r="A1911" i="1"/>
  <c r="A1629" i="1"/>
  <c r="A1428" i="1"/>
  <c r="A1281" i="1"/>
  <c r="A31647" i="1"/>
  <c r="A32534" i="1"/>
  <c r="A27240" i="1"/>
  <c r="A19615" i="1"/>
  <c r="A15957" i="1"/>
  <c r="A13408" i="1"/>
  <c r="A4416" i="1"/>
  <c r="A2393" i="1"/>
  <c r="A22955" i="1"/>
  <c r="A35625" i="1"/>
  <c r="A2753" i="1"/>
  <c r="A33535" i="1"/>
  <c r="A27701" i="1"/>
  <c r="A19590" i="1"/>
  <c r="A35983" i="1"/>
  <c r="A27404" i="1"/>
  <c r="A15093" i="1"/>
  <c r="A22028" i="1"/>
  <c r="A15905" i="1"/>
  <c r="A5885" i="1"/>
  <c r="A22969" i="1"/>
  <c r="A32857" i="1"/>
  <c r="A23823" i="1"/>
  <c r="A22659" i="1"/>
  <c r="A21064" i="1"/>
  <c r="A20184" i="1"/>
  <c r="A18776" i="1"/>
  <c r="A17760" i="1"/>
  <c r="A17218" i="1"/>
  <c r="A16631" i="1"/>
  <c r="A16341" i="1"/>
  <c r="A15640" i="1"/>
  <c r="A14540" i="1"/>
  <c r="A13531" i="1"/>
  <c r="A12696" i="1"/>
  <c r="A12114" i="1"/>
  <c r="A11983" i="1"/>
  <c r="A11488" i="1"/>
  <c r="A9910" i="1"/>
  <c r="A9123" i="1"/>
  <c r="A9101" i="1"/>
  <c r="A8928" i="1"/>
  <c r="A7875" i="1"/>
  <c r="A7326" i="1"/>
  <c r="A6880" i="1"/>
  <c r="A6777" i="1"/>
  <c r="A6325" i="1"/>
  <c r="A3831" i="1"/>
  <c r="A3200" i="1"/>
  <c r="A2558" i="1"/>
  <c r="A2286" i="1"/>
  <c r="A2180" i="1"/>
  <c r="A2017" i="1"/>
  <c r="A1905" i="1"/>
  <c r="A1617" i="1"/>
  <c r="A1483" i="1"/>
  <c r="A1424" i="1"/>
  <c r="A364" i="1"/>
  <c r="A33525" i="1"/>
  <c r="A27238" i="1"/>
  <c r="A25470" i="1"/>
  <c r="A23954" i="1"/>
  <c r="A19078" i="1"/>
  <c r="A15956" i="1"/>
  <c r="A12593" i="1"/>
  <c r="A391" i="1"/>
  <c r="A17502" i="1"/>
  <c r="A30746" i="1"/>
  <c r="A27788" i="1"/>
  <c r="A27682" i="1"/>
  <c r="A25843" i="1"/>
  <c r="A21351" i="1"/>
  <c r="A19896" i="1"/>
  <c r="A15447" i="1"/>
  <c r="A13467" i="1"/>
  <c r="A11942" i="1"/>
  <c r="A9997" i="1"/>
  <c r="A9789" i="1"/>
  <c r="A3737" i="1"/>
  <c r="A1115" i="1"/>
  <c r="A32010" i="1"/>
  <c r="A17500" i="1"/>
  <c r="A12901" i="1"/>
  <c r="A10320" i="1"/>
  <c r="A10090" i="1"/>
  <c r="A5457" i="1"/>
  <c r="A35412" i="1"/>
  <c r="A35046" i="1"/>
  <c r="A32922" i="1"/>
  <c r="A32156" i="1"/>
  <c r="A31167" i="1"/>
  <c r="A29362" i="1"/>
  <c r="A27796" i="1"/>
  <c r="A23050" i="1"/>
  <c r="A21650" i="1"/>
  <c r="A21018" i="1"/>
  <c r="A19352" i="1"/>
  <c r="A15674" i="1"/>
  <c r="A14966" i="1"/>
  <c r="A13820" i="1"/>
  <c r="A13289" i="1"/>
  <c r="A11914" i="1"/>
  <c r="A11187" i="1"/>
  <c r="A10496" i="1"/>
  <c r="A10221" i="1"/>
  <c r="A9685" i="1"/>
  <c r="A7878" i="1"/>
  <c r="A7329" i="1"/>
  <c r="A4120" i="1"/>
  <c r="A3646" i="1"/>
  <c r="A2739" i="1"/>
  <c r="A427" i="1"/>
  <c r="A8507" i="1"/>
  <c r="A8329" i="1"/>
  <c r="A19831" i="1"/>
  <c r="A22781" i="1"/>
  <c r="A19866" i="1"/>
  <c r="A18184" i="1"/>
  <c r="A15285" i="1"/>
  <c r="A8406" i="1"/>
  <c r="A8144" i="1"/>
  <c r="A6651" i="1"/>
  <c r="A4997" i="1"/>
  <c r="A2219" i="1"/>
  <c r="A1209" i="1"/>
  <c r="A1007" i="1"/>
  <c r="A709" i="1"/>
  <c r="A288" i="1"/>
  <c r="A230" i="1"/>
  <c r="A6397" i="1"/>
  <c r="A12993" i="1"/>
  <c r="A22886" i="1"/>
  <c r="A22854" i="1"/>
  <c r="A22844" i="1"/>
  <c r="A22569" i="1"/>
  <c r="A22267" i="1"/>
  <c r="A22249" i="1"/>
  <c r="A1344" i="1"/>
  <c r="A19874" i="1"/>
  <c r="A18228" i="1"/>
  <c r="A18189" i="1"/>
  <c r="A18158" i="1"/>
  <c r="A619" i="1"/>
  <c r="A14300" i="1"/>
  <c r="A14290" i="1"/>
  <c r="A13093" i="1"/>
  <c r="A12995" i="1"/>
  <c r="A12979" i="1"/>
  <c r="A12824" i="1"/>
  <c r="A9905" i="1"/>
  <c r="A8490" i="1"/>
  <c r="A8468" i="1"/>
  <c r="A8325" i="1"/>
  <c r="A8226" i="1"/>
  <c r="A7732" i="1"/>
  <c r="A6482" i="1"/>
  <c r="A6078" i="1"/>
  <c r="A5780" i="1"/>
  <c r="A5017" i="1"/>
  <c r="A22456" i="1"/>
  <c r="A2023" i="1"/>
  <c r="A1929" i="1"/>
  <c r="A21103" i="1"/>
  <c r="A28649" i="1"/>
  <c r="A14650" i="1"/>
  <c r="A10679" i="1"/>
  <c r="A18754" i="1"/>
  <c r="A5560" i="1"/>
  <c r="A25449" i="1"/>
  <c r="A23788" i="1"/>
  <c r="A22658" i="1"/>
  <c r="A20999" i="1"/>
  <c r="A20136" i="1"/>
  <c r="A18414" i="1"/>
  <c r="A17728" i="1"/>
  <c r="A17212" i="1"/>
  <c r="A16629" i="1"/>
  <c r="A16339" i="1"/>
  <c r="A15299" i="1"/>
  <c r="A13527" i="1"/>
  <c r="A12688" i="1"/>
  <c r="A12272" i="1"/>
  <c r="A12113" i="1"/>
  <c r="A11690" i="1"/>
  <c r="A11465" i="1"/>
  <c r="A9121" i="1"/>
  <c r="A9099" i="1"/>
  <c r="A9075" i="1"/>
  <c r="A8917" i="1"/>
  <c r="A7851" i="1"/>
  <c r="A7094" i="1"/>
  <c r="A6773" i="1"/>
  <c r="A5583" i="1"/>
  <c r="A4425" i="1"/>
  <c r="A3720" i="1"/>
  <c r="A3198" i="1"/>
  <c r="A2551" i="1"/>
  <c r="A2147" i="1"/>
  <c r="A2015" i="1"/>
  <c r="A1947" i="1"/>
  <c r="A1899" i="1"/>
  <c r="A1611" i="1"/>
  <c r="A1475" i="1"/>
  <c r="A360" i="1"/>
  <c r="A31634" i="1"/>
  <c r="A26982" i="1"/>
  <c r="A23761" i="1"/>
  <c r="A15152" i="1"/>
  <c r="A11517" i="1"/>
  <c r="A4347" i="1"/>
  <c r="A376" i="1"/>
  <c r="A15240" i="1"/>
  <c r="A32225" i="1"/>
  <c r="A16695" i="1"/>
  <c r="A2861" i="1"/>
  <c r="A35886" i="1"/>
  <c r="A17210" i="1"/>
  <c r="A12412" i="1"/>
  <c r="A6852" i="1"/>
  <c r="A2451" i="1"/>
  <c r="A1591" i="1"/>
  <c r="A26838" i="1"/>
  <c r="A3871" i="1"/>
  <c r="A1197" i="1"/>
  <c r="A1163" i="1"/>
  <c r="A1011" i="1"/>
  <c r="A653" i="1"/>
  <c r="A450" i="1"/>
  <c r="A292" i="1"/>
  <c r="A615" i="1"/>
  <c r="A185" i="1"/>
  <c r="A22943" i="1"/>
  <c r="A20354" i="1"/>
  <c r="A14748" i="1"/>
  <c r="A30740" i="1"/>
  <c r="A22957" i="1"/>
  <c r="A18481" i="1"/>
  <c r="A13340" i="1"/>
  <c r="A12198" i="1"/>
  <c r="A2850" i="1"/>
  <c r="A36236" i="1"/>
  <c r="A7869" i="1"/>
  <c r="A68" i="1"/>
  <c r="A74" i="1"/>
  <c r="A22791" i="1"/>
  <c r="A16335" i="1"/>
  <c r="A13987" i="1"/>
  <c r="A19651" i="1"/>
  <c r="A22407" i="1"/>
  <c r="A3525" i="1"/>
  <c r="A12493" i="1"/>
  <c r="A16578" i="1"/>
  <c r="A12243" i="1"/>
  <c r="A9093" i="1"/>
  <c r="A6766" i="1"/>
  <c r="A2282" i="1"/>
  <c r="A1473" i="1"/>
  <c r="A25012" i="1"/>
  <c r="A10317" i="1"/>
  <c r="A15193" i="1"/>
  <c r="A31276" i="1"/>
  <c r="A20491" i="1"/>
  <c r="A11909" i="1"/>
  <c r="A6702" i="1"/>
  <c r="A7345" i="1"/>
  <c r="A22587" i="1"/>
  <c r="A7783" i="1"/>
  <c r="A623" i="1"/>
  <c r="A1205" i="1"/>
  <c r="A22239" i="1"/>
  <c r="A17401" i="1"/>
  <c r="A12186" i="1"/>
  <c r="A7351" i="1"/>
  <c r="A2021" i="1"/>
  <c r="A1269" i="1"/>
  <c r="A1237" i="1"/>
  <c r="A1193" i="1"/>
  <c r="A997" i="1"/>
  <c r="A788" i="1"/>
  <c r="A652" i="1"/>
  <c r="A448" i="1"/>
  <c r="A1211" i="1"/>
  <c r="A228" i="1"/>
  <c r="A9188" i="1"/>
  <c r="A29870" i="1"/>
  <c r="A22643" i="1"/>
  <c r="A9931" i="1"/>
  <c r="A30723" i="1"/>
  <c r="A22919" i="1"/>
  <c r="A13331" i="1"/>
  <c r="A11970" i="1"/>
  <c r="A5997" i="1"/>
  <c r="A2746" i="1"/>
  <c r="A36211" i="1"/>
  <c r="A6185" i="1"/>
  <c r="A62" i="1"/>
  <c r="A6954" i="1"/>
  <c r="A22327" i="1"/>
  <c r="A16289" i="1"/>
  <c r="A5036" i="1"/>
  <c r="A8099" i="1"/>
  <c r="A22333" i="1"/>
  <c r="A2244" i="1"/>
  <c r="A2263" i="1"/>
  <c r="A11864" i="1"/>
  <c r="A727" i="1"/>
  <c r="A1663" i="1"/>
  <c r="A2956" i="1"/>
  <c r="A3421" i="1"/>
  <c r="A5047" i="1"/>
  <c r="A6977" i="1"/>
  <c r="A8464" i="1"/>
  <c r="A10781" i="1"/>
  <c r="A10915" i="1"/>
  <c r="A10977" i="1"/>
  <c r="A12048" i="1"/>
  <c r="A13459" i="1"/>
  <c r="A13989" i="1"/>
  <c r="A14776" i="1"/>
  <c r="A16211" i="1"/>
  <c r="A17176" i="1"/>
  <c r="A17676" i="1"/>
  <c r="A19281" i="1"/>
  <c r="A20026" i="1"/>
  <c r="A22565" i="1"/>
  <c r="A22204" i="1"/>
  <c r="A19843" i="1"/>
  <c r="A15006" i="1"/>
  <c r="A10723" i="1"/>
  <c r="A6355" i="1"/>
  <c r="A21835" i="1"/>
  <c r="A15528" i="1"/>
  <c r="A4249" i="1"/>
  <c r="A18040" i="1"/>
  <c r="A11931" i="1"/>
  <c r="A13628" i="1"/>
  <c r="A21474" i="1"/>
  <c r="A5695" i="1"/>
  <c r="A36148" i="1"/>
  <c r="A35586" i="1"/>
  <c r="A35425" i="1"/>
  <c r="A35150" i="1"/>
  <c r="A35106" i="1"/>
  <c r="A34711" i="1"/>
  <c r="A33981" i="1"/>
  <c r="A32654" i="1"/>
  <c r="A32210" i="1"/>
  <c r="A32085" i="1"/>
  <c r="A32001" i="1"/>
  <c r="A31948" i="1"/>
  <c r="A30774" i="1"/>
  <c r="A30691" i="1"/>
  <c r="A30652" i="1"/>
  <c r="A29099" i="1"/>
  <c r="A28890" i="1"/>
  <c r="A28058" i="1"/>
  <c r="A27888" i="1"/>
  <c r="A27756" i="1"/>
  <c r="A26612" i="1"/>
  <c r="A26424" i="1"/>
  <c r="A26295" i="1"/>
  <c r="A26280" i="1"/>
  <c r="A26259" i="1"/>
  <c r="A25981" i="1"/>
  <c r="A25956" i="1"/>
  <c r="A25862" i="1"/>
  <c r="A23537" i="1"/>
  <c r="A22866" i="1"/>
  <c r="A22450" i="1"/>
  <c r="A21903" i="1"/>
  <c r="A21357" i="1"/>
  <c r="A21116" i="1"/>
  <c r="A20876" i="1"/>
  <c r="A20665" i="1"/>
  <c r="A19882" i="1"/>
  <c r="A19600" i="1"/>
  <c r="A19385" i="1"/>
  <c r="A19128" i="1"/>
  <c r="A17976" i="1"/>
  <c r="A17382" i="1"/>
  <c r="A17006" i="1"/>
  <c r="A16988" i="1"/>
  <c r="A16361" i="1"/>
  <c r="A15874" i="1"/>
  <c r="A15436" i="1"/>
  <c r="A15224" i="1"/>
  <c r="A15175" i="1"/>
  <c r="A15010" i="1"/>
  <c r="A14917" i="1"/>
  <c r="A14766" i="1"/>
  <c r="A14559" i="1"/>
  <c r="A14281" i="1"/>
  <c r="A14230" i="1"/>
  <c r="A14216" i="1"/>
  <c r="A14136" i="1"/>
  <c r="A14016" i="1"/>
  <c r="A13877" i="1"/>
  <c r="A13676" i="1"/>
  <c r="A13562" i="1"/>
  <c r="A13420" i="1"/>
  <c r="A12857" i="1"/>
  <c r="A12090" i="1"/>
  <c r="A11979" i="1"/>
  <c r="A11958" i="1"/>
  <c r="A11933" i="1"/>
  <c r="A11665" i="1"/>
  <c r="A10667" i="1"/>
  <c r="A9785" i="1"/>
  <c r="A9669" i="1"/>
  <c r="A9658" i="1"/>
  <c r="A9636" i="1"/>
  <c r="A9573" i="1"/>
  <c r="A9556" i="1"/>
  <c r="A9520" i="1"/>
  <c r="A9511" i="1"/>
  <c r="A9503" i="1"/>
  <c r="A9493" i="1"/>
  <c r="A9484" i="1"/>
  <c r="A9474" i="1"/>
  <c r="A9464" i="1"/>
  <c r="A9456" i="1"/>
  <c r="A9406" i="1"/>
  <c r="A8852" i="1"/>
  <c r="A8749" i="1"/>
  <c r="A7526" i="1"/>
  <c r="A6094" i="1"/>
  <c r="A5720" i="1"/>
  <c r="A5421" i="1"/>
  <c r="A4971" i="1"/>
  <c r="A4441" i="1"/>
  <c r="A4373" i="1"/>
  <c r="A4085" i="1"/>
  <c r="A3959" i="1"/>
  <c r="A3747" i="1"/>
  <c r="A3413" i="1"/>
  <c r="A3257" i="1"/>
  <c r="A35770" i="1"/>
  <c r="A20816" i="1"/>
  <c r="A22402" i="1"/>
  <c r="A16525" i="1"/>
  <c r="A12235" i="1"/>
  <c r="A9091" i="1"/>
  <c r="A2269" i="1"/>
  <c r="A1471" i="1"/>
  <c r="A375" i="1"/>
  <c r="A1931" i="1"/>
  <c r="A1225" i="1"/>
  <c r="A1191" i="1"/>
  <c r="A1153" i="1"/>
  <c r="A991" i="1"/>
  <c r="A270" i="1"/>
  <c r="A226" i="1"/>
  <c r="A1005" i="1"/>
  <c r="A18406" i="1"/>
  <c r="A28360" i="1"/>
  <c r="A22464" i="1"/>
  <c r="A19556" i="1"/>
  <c r="A5510" i="1"/>
  <c r="A22749" i="1"/>
  <c r="A16812" i="1"/>
  <c r="A13284" i="1"/>
  <c r="A10545" i="1"/>
  <c r="A5980" i="1"/>
  <c r="A5836" i="1"/>
  <c r="A60" i="1"/>
  <c r="A22216" i="1"/>
  <c r="A13223" i="1"/>
  <c r="A3579" i="1"/>
  <c r="A20815" i="1"/>
  <c r="A21399" i="1"/>
  <c r="A22986" i="1"/>
  <c r="A2087" i="1"/>
  <c r="A4022" i="1"/>
  <c r="A23351" i="1"/>
  <c r="A7111" i="1"/>
  <c r="A29792" i="1"/>
  <c r="A16251" i="1"/>
  <c r="A9073" i="1"/>
  <c r="A5571" i="1"/>
  <c r="A2121" i="1"/>
  <c r="A1361" i="1"/>
  <c r="A23094" i="1"/>
  <c r="A13407" i="1"/>
  <c r="A21241" i="1"/>
  <c r="A9625" i="1"/>
  <c r="A10464" i="1"/>
  <c r="A31162" i="1"/>
  <c r="A19339" i="1"/>
  <c r="A11090" i="1"/>
  <c r="A4089" i="1"/>
  <c r="A19862" i="1"/>
  <c r="A6117" i="1"/>
  <c r="A272" i="1"/>
  <c r="A22218" i="1"/>
  <c r="A22915" i="1"/>
  <c r="A20402" i="1"/>
  <c r="A14298" i="1"/>
  <c r="A9527" i="1"/>
  <c r="A6396" i="1"/>
  <c r="A1346" i="1"/>
  <c r="A212" i="1"/>
  <c r="A2365" i="1"/>
  <c r="A8509" i="1"/>
  <c r="A959" i="1"/>
  <c r="A238" i="1"/>
  <c r="A643" i="1"/>
  <c r="A300" i="1"/>
  <c r="A222" i="1"/>
  <c r="A108" i="1"/>
  <c r="A13039" i="1"/>
  <c r="A21519" i="1"/>
  <c r="A19238" i="1"/>
  <c r="A22611" i="1"/>
  <c r="A16033" i="1"/>
  <c r="A10513" i="1"/>
  <c r="A5978" i="1"/>
  <c r="A2679" i="1"/>
  <c r="A36169" i="1"/>
  <c r="A5011" i="1"/>
  <c r="A59" i="1"/>
  <c r="A56" i="1"/>
  <c r="A63" i="1"/>
  <c r="A29682" i="1"/>
  <c r="A12429" i="1"/>
  <c r="A3056" i="1"/>
  <c r="A20569" i="1"/>
  <c r="A22383" i="1"/>
  <c r="A22245" i="1"/>
  <c r="A9167" i="1"/>
  <c r="A11992" i="1"/>
  <c r="A871" i="1"/>
  <c r="A1731" i="1"/>
  <c r="A3053" i="1"/>
  <c r="A4277" i="1"/>
  <c r="A5253" i="1"/>
  <c r="A6979" i="1"/>
  <c r="A8813" i="1"/>
  <c r="A10898" i="1"/>
  <c r="A10922" i="1"/>
  <c r="A10983" i="1"/>
  <c r="A12173" i="1"/>
  <c r="A13461" i="1"/>
  <c r="A14147" i="1"/>
  <c r="A15115" i="1"/>
  <c r="A16660" i="1"/>
  <c r="A17178" i="1"/>
  <c r="A18251" i="1"/>
  <c r="A19487" i="1"/>
  <c r="A20472" i="1"/>
  <c r="A22606" i="1"/>
  <c r="A30645" i="1"/>
  <c r="A21797" i="1"/>
  <c r="A17992" i="1"/>
  <c r="A14268" i="1"/>
  <c r="A8449" i="1"/>
  <c r="A3207" i="1"/>
  <c r="A20639" i="1"/>
  <c r="A12537" i="1"/>
  <c r="A14442" i="1"/>
  <c r="A14285" i="1"/>
  <c r="A27785" i="1"/>
  <c r="A2859" i="1"/>
  <c r="A13662" i="1"/>
  <c r="A5478" i="1"/>
  <c r="A36146" i="1"/>
  <c r="A35102" i="1"/>
  <c r="A34366" i="1"/>
  <c r="A33901" i="1"/>
  <c r="A33885" i="1"/>
  <c r="A32580" i="1"/>
  <c r="A32206" i="1"/>
  <c r="A32076" i="1"/>
  <c r="A32024" i="1"/>
  <c r="A31998" i="1"/>
  <c r="A31947" i="1"/>
  <c r="A31799" i="1"/>
  <c r="A31452" i="1"/>
  <c r="A30771" i="1"/>
  <c r="A29883" i="1"/>
  <c r="A29293" i="1"/>
  <c r="A28707" i="1"/>
  <c r="A28057" i="1"/>
  <c r="A27795" i="1"/>
  <c r="A27755" i="1"/>
  <c r="A27728" i="1"/>
  <c r="A26672" i="1"/>
  <c r="A26656" i="1"/>
  <c r="A26421" i="1"/>
  <c r="A26250" i="1"/>
  <c r="A26106" i="1"/>
  <c r="A26072" i="1"/>
  <c r="A25656" i="1"/>
  <c r="A22850" i="1"/>
  <c r="A22376" i="1"/>
  <c r="A21746" i="1"/>
  <c r="A21189" i="1"/>
  <c r="A21087" i="1"/>
  <c r="A20827" i="1"/>
  <c r="A20494" i="1"/>
  <c r="A19821" i="1"/>
  <c r="A19474" i="1"/>
  <c r="A19351" i="1"/>
  <c r="A18914" i="1"/>
  <c r="A17971" i="1"/>
  <c r="A17350" i="1"/>
  <c r="A17003" i="1"/>
  <c r="A16983" i="1"/>
  <c r="A16140" i="1"/>
  <c r="A15872" i="1"/>
  <c r="A15431" i="1"/>
  <c r="A15222" i="1"/>
  <c r="A15173" i="1"/>
  <c r="A15008" i="1"/>
  <c r="A14843" i="1"/>
  <c r="A14758" i="1"/>
  <c r="A14407" i="1"/>
  <c r="A14280" i="1"/>
  <c r="A14229" i="1"/>
  <c r="A14210" i="1"/>
  <c r="A14135" i="1"/>
  <c r="A13915" i="1"/>
  <c r="A13863" i="1"/>
  <c r="A13674" i="1"/>
  <c r="A13552" i="1"/>
  <c r="A13417" i="1"/>
  <c r="A12513" i="1"/>
  <c r="A12083" i="1"/>
  <c r="A11975" i="1"/>
  <c r="A11953" i="1"/>
  <c r="A11927" i="1"/>
  <c r="A11509" i="1"/>
  <c r="A10661" i="1"/>
  <c r="A9783" i="1"/>
  <c r="A9741" i="1"/>
  <c r="A9699" i="1"/>
  <c r="A9588" i="1"/>
  <c r="A9572" i="1"/>
  <c r="A9543" i="1"/>
  <c r="A9519" i="1"/>
  <c r="A9510" i="1"/>
  <c r="A9499" i="1"/>
  <c r="A9489" i="1"/>
  <c r="A9482" i="1"/>
  <c r="A9472" i="1"/>
  <c r="A9461" i="1"/>
  <c r="A9454" i="1"/>
  <c r="A9315" i="1"/>
  <c r="A8772" i="1"/>
  <c r="A8719" i="1"/>
  <c r="A7428" i="1"/>
  <c r="A5890" i="1"/>
  <c r="A5718" i="1"/>
  <c r="A5341" i="1"/>
  <c r="A4941" i="1"/>
  <c r="A4400" i="1"/>
  <c r="A4372" i="1"/>
  <c r="A4083" i="1"/>
  <c r="A26695" i="1"/>
  <c r="A20988" i="1"/>
  <c r="A16074" i="1"/>
  <c r="A12111" i="1"/>
  <c r="A9069" i="1"/>
  <c r="A5475" i="1"/>
  <c r="A1359" i="1"/>
  <c r="A23048" i="1"/>
  <c r="A1221" i="1"/>
  <c r="A18212" i="1"/>
  <c r="A1151" i="1"/>
  <c r="A782" i="1"/>
  <c r="A641" i="1"/>
  <c r="A193" i="1"/>
  <c r="A216" i="1"/>
  <c r="A78" i="1"/>
  <c r="A8345" i="1"/>
  <c r="A8607" i="1"/>
  <c r="A21325" i="1"/>
  <c r="A18663" i="1"/>
  <c r="A5010" i="1"/>
  <c r="A22523" i="1"/>
  <c r="A15864" i="1"/>
  <c r="A13282" i="1"/>
  <c r="A10494" i="1"/>
  <c r="A5367" i="1"/>
  <c r="A32765" i="1"/>
  <c r="A29664" i="1"/>
  <c r="A21510" i="1"/>
  <c r="A5359" i="1"/>
  <c r="A67" i="1"/>
  <c r="A57" i="1"/>
  <c r="A20113" i="1"/>
  <c r="A12204" i="1"/>
  <c r="A3009" i="1"/>
  <c r="A17247" i="1"/>
  <c r="A20756" i="1"/>
  <c r="A20536" i="1"/>
  <c r="A1045" i="1"/>
  <c r="A10995" i="1"/>
  <c r="A18126" i="1"/>
  <c r="A12260" i="1"/>
  <c r="A15244" i="1"/>
  <c r="A11646" i="1"/>
  <c r="A4423" i="1"/>
  <c r="A2013" i="1"/>
  <c r="A336" i="1"/>
  <c r="A18482" i="1"/>
  <c r="A25759" i="1"/>
  <c r="A19661" i="1"/>
  <c r="A10396" i="1"/>
  <c r="A10305" i="1"/>
  <c r="A10495" i="1"/>
  <c r="A3371" i="1"/>
  <c r="A18180" i="1"/>
  <c r="A4645" i="1"/>
  <c r="A22988" i="1"/>
  <c r="A22852" i="1"/>
  <c r="A19872" i="1"/>
  <c r="A13589" i="1"/>
  <c r="A8517" i="1"/>
  <c r="A5804" i="1"/>
  <c r="A1342" i="1"/>
  <c r="A1261" i="1"/>
  <c r="A1185" i="1"/>
  <c r="A4641" i="1"/>
  <c r="A933" i="1"/>
  <c r="A745" i="1"/>
  <c r="A306" i="1"/>
  <c r="A268" i="1"/>
  <c r="A19692" i="1"/>
  <c r="A794" i="1"/>
  <c r="A34079" i="1"/>
  <c r="A29509" i="1"/>
  <c r="A25458" i="1"/>
  <c r="A20963" i="1"/>
  <c r="A18648" i="1"/>
  <c r="A4963" i="1"/>
  <c r="A22519" i="1"/>
  <c r="A15592" i="1"/>
  <c r="A13271" i="1"/>
  <c r="A4767" i="1"/>
  <c r="A7265" i="1"/>
  <c r="A36030" i="1"/>
  <c r="A32763" i="1"/>
  <c r="A28895" i="1"/>
  <c r="A21317" i="1"/>
  <c r="A75" i="1"/>
  <c r="A61" i="1"/>
  <c r="A24227" i="1"/>
  <c r="A19308" i="1"/>
  <c r="A1713" i="1"/>
  <c r="A22721" i="1"/>
  <c r="A33469" i="1"/>
  <c r="A15262" i="1"/>
  <c r="A20558" i="1"/>
  <c r="A18628" i="1"/>
  <c r="A5096" i="1"/>
  <c r="A23083" i="1"/>
  <c r="A1379" i="1"/>
  <c r="A1859" i="1"/>
  <c r="A3219" i="1"/>
  <c r="A4326" i="1"/>
  <c r="A5263" i="1"/>
  <c r="A7030" i="1"/>
  <c r="A9250" i="1"/>
  <c r="A10900" i="1"/>
  <c r="A10938" i="1"/>
  <c r="A10989" i="1"/>
  <c r="A12257" i="1"/>
  <c r="A13463" i="1"/>
  <c r="A14421" i="1"/>
  <c r="A15838" i="1"/>
  <c r="A16693" i="1"/>
  <c r="A17205" i="1"/>
  <c r="A19019" i="1"/>
  <c r="A19752" i="1"/>
  <c r="A20825" i="1"/>
  <c r="A22731" i="1"/>
  <c r="A16215" i="1"/>
  <c r="A21653" i="1"/>
  <c r="A17982" i="1"/>
  <c r="A13957" i="1"/>
  <c r="A7599" i="1"/>
  <c r="A2687" i="1"/>
  <c r="A19640" i="1"/>
  <c r="A8921" i="1"/>
  <c r="A13203" i="1"/>
  <c r="A4353" i="1"/>
  <c r="A35043" i="1"/>
  <c r="A29449" i="1"/>
  <c r="A11977" i="1"/>
  <c r="A15437" i="1"/>
  <c r="A36144" i="1"/>
  <c r="A35733" i="1"/>
  <c r="A35205" i="1"/>
  <c r="A35148" i="1"/>
  <c r="A35117" i="1"/>
  <c r="A34959" i="1"/>
  <c r="A33899" i="1"/>
  <c r="A33489" i="1"/>
  <c r="A32204" i="1"/>
  <c r="A32074" i="1"/>
  <c r="A31919" i="1"/>
  <c r="A30772" i="1"/>
  <c r="A29829" i="1"/>
  <c r="A27787" i="1"/>
  <c r="A27743" i="1"/>
  <c r="A26666" i="1"/>
  <c r="A26607" i="1"/>
  <c r="A26534" i="1"/>
  <c r="A26416" i="1"/>
  <c r="A26290" i="1"/>
  <c r="A26238" i="1"/>
  <c r="A25945" i="1"/>
  <c r="A22759" i="1"/>
  <c r="A22211" i="1"/>
  <c r="A21744" i="1"/>
  <c r="A21185" i="1"/>
  <c r="A21085" i="1"/>
  <c r="A20760" i="1"/>
  <c r="A20475" i="1"/>
  <c r="A19804" i="1"/>
  <c r="A19397" i="1"/>
  <c r="A19381" i="1"/>
  <c r="A18746" i="1"/>
  <c r="A17932" i="1"/>
  <c r="A17035" i="1"/>
  <c r="A17000" i="1"/>
  <c r="A16981" i="1"/>
  <c r="A16137" i="1"/>
  <c r="A15870" i="1"/>
  <c r="A15428" i="1"/>
  <c r="A15234" i="1"/>
  <c r="A15172" i="1"/>
  <c r="A14929" i="1"/>
  <c r="A14841" i="1"/>
  <c r="A14754" i="1"/>
  <c r="A14362" i="1"/>
  <c r="A14240" i="1"/>
  <c r="A14228" i="1"/>
  <c r="A14205" i="1"/>
  <c r="A14110" i="1"/>
  <c r="A13901" i="1"/>
  <c r="A13853" i="1"/>
  <c r="A13668" i="1"/>
  <c r="A13542" i="1"/>
  <c r="A13398" i="1"/>
  <c r="A12269" i="1"/>
  <c r="A12075" i="1"/>
  <c r="A11972" i="1"/>
  <c r="A11948" i="1"/>
  <c r="A11918" i="1"/>
  <c r="A11408" i="1"/>
  <c r="A9840" i="1"/>
  <c r="A9766" i="1"/>
  <c r="A9730" i="1"/>
  <c r="A9696" i="1"/>
  <c r="A9586" i="1"/>
  <c r="A9571" i="1"/>
  <c r="A9541" i="1"/>
  <c r="A9518" i="1"/>
  <c r="A9507" i="1"/>
  <c r="A9500" i="1"/>
  <c r="A9488" i="1"/>
  <c r="A9480" i="1"/>
  <c r="A9471" i="1"/>
  <c r="A9460" i="1"/>
  <c r="A9445" i="1"/>
  <c r="A9258" i="1"/>
  <c r="A8763" i="1"/>
  <c r="A8027" i="1"/>
  <c r="A7296" i="1"/>
  <c r="A5851" i="1"/>
  <c r="A5716" i="1"/>
  <c r="A10993" i="1"/>
  <c r="A19658" i="1"/>
  <c r="A15155" i="1"/>
  <c r="A11617" i="1"/>
  <c r="A8913" i="1"/>
  <c r="A4362" i="1"/>
  <c r="A2011" i="1"/>
  <c r="A17809" i="1"/>
  <c r="A34346" i="1"/>
  <c r="A1253" i="1"/>
  <c r="A9891" i="1"/>
  <c r="A1183" i="1"/>
  <c r="A814" i="1"/>
  <c r="A637" i="1"/>
  <c r="A304" i="1"/>
  <c r="A264" i="1"/>
  <c r="A3632" i="1"/>
  <c r="A29495" i="1"/>
  <c r="A24069" i="1"/>
  <c r="A18215" i="1"/>
  <c r="A4659" i="1"/>
  <c r="A31217" i="1"/>
  <c r="A30498" i="1"/>
  <c r="A15309" i="1"/>
  <c r="A13258" i="1"/>
  <c r="A10449" i="1"/>
  <c r="A4695" i="1"/>
  <c r="A8948" i="1"/>
  <c r="A16536" i="1"/>
  <c r="A4522" i="1"/>
  <c r="A16627" i="1"/>
  <c r="A64" i="1"/>
  <c r="A19278" i="1"/>
  <c r="A9916" i="1"/>
  <c r="A1619" i="1"/>
  <c r="A20550" i="1"/>
  <c r="A1843" i="1"/>
  <c r="A25664" i="1"/>
  <c r="A17986" i="1"/>
  <c r="A36107" i="1"/>
  <c r="A5525" i="1"/>
  <c r="A14538" i="1"/>
  <c r="A11435" i="1"/>
  <c r="A7813" i="1"/>
  <c r="A1945" i="1"/>
  <c r="A33123" i="1"/>
  <c r="A14791" i="1"/>
  <c r="A15415" i="1"/>
  <c r="A985" i="1"/>
  <c r="A10089" i="1"/>
  <c r="A14700" i="1"/>
  <c r="A10204" i="1"/>
  <c r="A2705" i="1"/>
  <c r="A14288" i="1"/>
  <c r="A1348" i="1"/>
  <c r="A22811" i="1"/>
  <c r="A18226" i="1"/>
  <c r="A13091" i="1"/>
  <c r="A8408" i="1"/>
  <c r="A5754" i="1"/>
  <c r="A1251" i="1"/>
  <c r="A1215" i="1"/>
  <c r="A1181" i="1"/>
  <c r="A1047" i="1"/>
  <c r="A813" i="1"/>
  <c r="A13009" i="1"/>
  <c r="A635" i="1"/>
  <c r="A302" i="1"/>
  <c r="A258" i="1"/>
  <c r="A210" i="1"/>
  <c r="A30093" i="1"/>
  <c r="A12000" i="1"/>
  <c r="A29140" i="1"/>
  <c r="A20560" i="1"/>
  <c r="A17559" i="1"/>
  <c r="A1329" i="1"/>
  <c r="A22480" i="1"/>
  <c r="A15084" i="1"/>
  <c r="A13181" i="1"/>
  <c r="A10354" i="1"/>
  <c r="A15881" i="1"/>
  <c r="A4505" i="1"/>
  <c r="A66" i="1"/>
  <c r="A18659" i="1"/>
  <c r="A9157" i="1"/>
  <c r="A21955" i="1"/>
  <c r="A8087" i="1"/>
  <c r="A18689" i="1"/>
  <c r="A18626" i="1"/>
  <c r="A22432" i="1"/>
  <c r="A12918" i="1"/>
  <c r="A1527" i="1"/>
  <c r="A1973" i="1"/>
  <c r="A3221" i="1"/>
  <c r="A4588" i="1"/>
  <c r="A6432" i="1"/>
  <c r="A7308" i="1"/>
  <c r="A9305" i="1"/>
  <c r="A10906" i="1"/>
  <c r="A10941" i="1"/>
  <c r="A11098" i="1"/>
  <c r="A12312" i="1"/>
  <c r="A13745" i="1"/>
  <c r="A14596" i="1"/>
  <c r="A15945" i="1"/>
  <c r="A17084" i="1"/>
  <c r="A17530" i="1"/>
  <c r="A19246" i="1"/>
  <c r="A19811" i="1"/>
  <c r="A21003" i="1"/>
  <c r="A10375" i="1"/>
  <c r="A21203" i="1"/>
  <c r="A16877" i="1"/>
  <c r="A13389" i="1"/>
  <c r="A7591" i="1"/>
  <c r="A2600" i="1"/>
  <c r="A19594" i="1"/>
  <c r="A8769" i="1"/>
  <c r="A5084" i="1"/>
  <c r="A26110" i="1"/>
  <c r="A25801" i="1"/>
  <c r="A9509" i="1"/>
  <c r="A27789" i="1"/>
  <c r="A35514" i="1"/>
  <c r="A35022" i="1"/>
  <c r="A34204" i="1"/>
  <c r="A32973" i="1"/>
  <c r="A32203" i="1"/>
  <c r="A32185" i="1"/>
  <c r="A32064" i="1"/>
  <c r="A31990" i="1"/>
  <c r="A31868" i="1"/>
  <c r="A29277" i="1"/>
  <c r="A28811" i="1"/>
  <c r="A28692" i="1"/>
  <c r="A28396" i="1"/>
  <c r="A28055" i="1"/>
  <c r="A27748" i="1"/>
  <c r="A26662" i="1"/>
  <c r="A26654" i="1"/>
  <c r="A26404" i="1"/>
  <c r="A26299" i="1"/>
  <c r="A26288" i="1"/>
  <c r="A26275" i="1"/>
  <c r="A26227" i="1"/>
  <c r="A26069" i="1"/>
  <c r="A25967" i="1"/>
  <c r="A25704" i="1"/>
  <c r="A23157" i="1"/>
  <c r="A22723" i="1"/>
  <c r="A22050" i="1"/>
  <c r="A21455" i="1"/>
  <c r="A21176" i="1"/>
  <c r="A21072" i="1"/>
  <c r="A20742" i="1"/>
  <c r="A20313" i="1"/>
  <c r="A19635" i="1"/>
  <c r="A19394" i="1"/>
  <c r="A19328" i="1"/>
  <c r="A18738" i="1"/>
  <c r="A17816" i="1"/>
  <c r="A17034" i="1"/>
  <c r="A16996" i="1"/>
  <c r="A16949" i="1"/>
  <c r="A16076" i="1"/>
  <c r="A15628" i="1"/>
  <c r="A15411" i="1"/>
  <c r="A15202" i="1"/>
  <c r="A15169" i="1"/>
  <c r="A14953" i="1"/>
  <c r="A14835" i="1"/>
  <c r="A14701" i="1"/>
  <c r="A14332" i="1"/>
  <c r="A14238" i="1"/>
  <c r="A14225" i="1"/>
  <c r="A14167" i="1"/>
  <c r="A14033" i="1"/>
  <c r="A13900" i="1"/>
  <c r="A13801" i="1"/>
  <c r="A13663" i="1"/>
  <c r="A13511" i="1"/>
  <c r="A12940" i="1"/>
  <c r="A12255" i="1"/>
  <c r="A12074" i="1"/>
  <c r="A11966" i="1"/>
  <c r="A11944" i="1"/>
  <c r="A11745" i="1"/>
  <c r="A11160" i="1"/>
  <c r="A9830" i="1"/>
  <c r="A9763" i="1"/>
  <c r="A9720" i="1"/>
  <c r="A9692" i="1"/>
  <c r="A9583" i="1"/>
  <c r="A9570" i="1"/>
  <c r="A9523" i="1"/>
  <c r="A9514" i="1"/>
  <c r="A9506" i="1"/>
  <c r="A9496" i="1"/>
  <c r="A9487" i="1"/>
  <c r="A3391" i="1"/>
  <c r="A24229" i="1"/>
  <c r="A17782" i="1"/>
  <c r="A14274" i="1"/>
  <c r="A11214" i="1"/>
  <c r="A7792" i="1"/>
  <c r="A3712" i="1"/>
  <c r="A1943" i="1"/>
  <c r="A33122" i="1"/>
  <c r="A1021" i="1"/>
  <c r="A809" i="1"/>
  <c r="A22265" i="1"/>
  <c r="A257" i="1"/>
  <c r="A8511" i="1"/>
  <c r="A20556" i="1"/>
  <c r="A1121" i="1"/>
  <c r="A23614" i="1"/>
  <c r="A22017" i="1"/>
  <c r="A12874" i="1"/>
  <c r="A9817" i="1"/>
  <c r="A3423" i="1"/>
  <c r="A10815" i="1"/>
  <c r="A3211" i="1"/>
  <c r="A58" i="1"/>
  <c r="A71" i="1"/>
  <c r="A17761" i="1"/>
  <c r="A69" i="1"/>
  <c r="A1501" i="1"/>
  <c r="A19083" i="1"/>
  <c r="A17395" i="1"/>
  <c r="A22820" i="1"/>
  <c r="A8870" i="1"/>
  <c r="A6168" i="1"/>
  <c r="A13525" i="1"/>
  <c r="A9330" i="1"/>
  <c r="A7090" i="1"/>
  <c r="A3170" i="1"/>
  <c r="A31633" i="1"/>
  <c r="A7632" i="1"/>
  <c r="A13280" i="1"/>
  <c r="A4030" i="1"/>
  <c r="A32138" i="1"/>
  <c r="A22535" i="1"/>
  <c r="A13564" i="1"/>
  <c r="A9550" i="1"/>
  <c r="A395" i="1"/>
  <c r="A10760" i="1"/>
  <c r="A1199" i="1"/>
  <c r="A22478" i="1"/>
  <c r="A18187" i="1"/>
  <c r="A8321" i="1"/>
  <c r="A4656" i="1"/>
  <c r="A1312" i="1"/>
  <c r="A1249" i="1"/>
  <c r="A1207" i="1"/>
  <c r="A1180" i="1"/>
  <c r="A1015" i="1"/>
  <c r="A687" i="1"/>
  <c r="A240" i="1"/>
  <c r="A208" i="1"/>
  <c r="A33617" i="1"/>
  <c r="A20554" i="1"/>
  <c r="A17307" i="1"/>
  <c r="A986" i="1"/>
  <c r="A20366" i="1"/>
  <c r="A14769" i="1"/>
  <c r="A12869" i="1"/>
  <c r="A9637" i="1"/>
  <c r="A3369" i="1"/>
  <c r="A33480" i="1"/>
  <c r="A9894" i="1"/>
  <c r="A1067" i="1"/>
  <c r="A72" i="1"/>
  <c r="A16714" i="1"/>
  <c r="A8006" i="1"/>
  <c r="A595" i="1"/>
  <c r="A4257" i="1"/>
  <c r="A10809" i="1"/>
  <c r="A1577" i="1"/>
  <c r="A1835" i="1"/>
  <c r="A6975" i="1"/>
  <c r="A1537" i="1"/>
  <c r="A2109" i="1"/>
  <c r="A3284" i="1"/>
  <c r="A4932" i="1"/>
  <c r="A6967" i="1"/>
  <c r="A8372" i="1"/>
  <c r="A9348" i="1"/>
  <c r="A11032" i="1"/>
  <c r="A10954" i="1"/>
  <c r="A11556" i="1"/>
  <c r="A12340" i="1"/>
  <c r="A13767" i="1"/>
  <c r="A14599" i="1"/>
  <c r="A16064" i="1"/>
  <c r="A17086" i="1"/>
  <c r="A17648" i="1"/>
  <c r="A19268" i="1"/>
  <c r="A19823" i="1"/>
  <c r="A21222" i="1"/>
  <c r="A21576" i="1"/>
  <c r="A23008" i="1"/>
  <c r="A20772" i="1"/>
  <c r="A16102" i="1"/>
  <c r="A12322" i="1"/>
  <c r="A7583" i="1"/>
  <c r="A248" i="1"/>
  <c r="A19540" i="1"/>
  <c r="A5163" i="1"/>
  <c r="A7816" i="1"/>
  <c r="A15868" i="1"/>
  <c r="A26751" i="1"/>
  <c r="A8878" i="1"/>
  <c r="A36385" i="1"/>
  <c r="A36109" i="1"/>
  <c r="A35146" i="1"/>
  <c r="A34175" i="1"/>
  <c r="A32955" i="1"/>
  <c r="A32692" i="1"/>
  <c r="A32294" i="1"/>
  <c r="A32183" i="1"/>
  <c r="A32095" i="1"/>
  <c r="A32031" i="1"/>
  <c r="A31913" i="1"/>
  <c r="A31050" i="1"/>
  <c r="A30776" i="1"/>
  <c r="A30758" i="1"/>
  <c r="A30707" i="1"/>
  <c r="A30661" i="1"/>
  <c r="A30576" i="1"/>
  <c r="A30540" i="1"/>
  <c r="A27763" i="1"/>
  <c r="A26869" i="1"/>
  <c r="A26661" i="1"/>
  <c r="A26284" i="1"/>
  <c r="A26271" i="1"/>
  <c r="A26066" i="1"/>
  <c r="A25919" i="1"/>
  <c r="A25701" i="1"/>
  <c r="A25625" i="1"/>
  <c r="A22601" i="1"/>
  <c r="A22044" i="1"/>
  <c r="A21387" i="1"/>
  <c r="A21153" i="1"/>
  <c r="A21042" i="1"/>
  <c r="A20725" i="1"/>
  <c r="A19991" i="1"/>
  <c r="A19602" i="1"/>
  <c r="A19393" i="1"/>
  <c r="A19139" i="1"/>
  <c r="A18638" i="1"/>
  <c r="A17801" i="1"/>
  <c r="A17010" i="1"/>
  <c r="A16993" i="1"/>
  <c r="A16947" i="1"/>
  <c r="A16034" i="1"/>
  <c r="A15601" i="1"/>
  <c r="A15396" i="1"/>
  <c r="A15201" i="1"/>
  <c r="A15163" i="1"/>
  <c r="A14949" i="1"/>
  <c r="A14825" i="1"/>
  <c r="A14698" i="1"/>
  <c r="A14321" i="1"/>
  <c r="A14236" i="1"/>
  <c r="A14220" i="1"/>
  <c r="A14165" i="1"/>
  <c r="A14019" i="1"/>
  <c r="A13879" i="1"/>
  <c r="A13714" i="1"/>
  <c r="A13632" i="1"/>
  <c r="A13508" i="1"/>
  <c r="A12927" i="1"/>
  <c r="A12169" i="1"/>
  <c r="A12073" i="1"/>
  <c r="A11962" i="1"/>
  <c r="A11937" i="1"/>
  <c r="A11744" i="1"/>
  <c r="A10712" i="1"/>
  <c r="A9808" i="1"/>
  <c r="A9758" i="1"/>
  <c r="A9664" i="1"/>
  <c r="A9681" i="1"/>
  <c r="A9581" i="1"/>
  <c r="A9569" i="1"/>
  <c r="A9522" i="1"/>
  <c r="A9513" i="1"/>
  <c r="A9505" i="1"/>
  <c r="A9495" i="1"/>
  <c r="A9486" i="1"/>
  <c r="A9476" i="1"/>
  <c r="A9467" i="1"/>
  <c r="A9458" i="1"/>
  <c r="A9435" i="1"/>
  <c r="A9043" i="1"/>
  <c r="A8761" i="1"/>
  <c r="A7904" i="1"/>
  <c r="A6399" i="1"/>
  <c r="A5728" i="1"/>
  <c r="A5590" i="1"/>
  <c r="A5223" i="1"/>
  <c r="A4723" i="1"/>
  <c r="A4379" i="1"/>
  <c r="A4202" i="1"/>
  <c r="A3965" i="1"/>
  <c r="A20041" i="1"/>
  <c r="A10641" i="1"/>
  <c r="A12651" i="1"/>
  <c r="A9119" i="1"/>
  <c r="A6854" i="1"/>
  <c r="A2523" i="1"/>
  <c r="A1609" i="1"/>
  <c r="A4271" i="1"/>
  <c r="A31896" i="1"/>
  <c r="A25769" i="1"/>
  <c r="A11783" i="1"/>
  <c r="A27759" i="1"/>
  <c r="A19224" i="1"/>
  <c r="A21635" i="1"/>
  <c r="A13264" i="1"/>
  <c r="A7877" i="1"/>
  <c r="A218" i="1"/>
  <c r="A22876" i="1"/>
  <c r="A22880" i="1"/>
  <c r="A8347" i="1"/>
  <c r="A995" i="1"/>
  <c r="A22263" i="1"/>
  <c r="A18156" i="1"/>
  <c r="A214" i="1"/>
  <c r="A8225" i="1"/>
  <c r="A1273" i="1"/>
  <c r="A1239" i="1"/>
  <c r="A8513" i="1"/>
  <c r="A1165" i="1"/>
  <c r="A796" i="1"/>
  <c r="A673" i="1"/>
  <c r="A611" i="1"/>
  <c r="A294" i="1"/>
  <c r="A198" i="1"/>
  <c r="A20415" i="1"/>
  <c r="A16651" i="1"/>
  <c r="A22727" i="1"/>
  <c r="A31994" i="1"/>
  <c r="A30766" i="1"/>
  <c r="A18838" i="1"/>
  <c r="A13355" i="1"/>
  <c r="A12515" i="1"/>
  <c r="A10023" i="1"/>
  <c r="A2957" i="1"/>
  <c r="A30326" i="1"/>
  <c r="A9299" i="1"/>
  <c r="A8971" i="1"/>
  <c r="A12022" i="1"/>
  <c r="A23262" i="1"/>
  <c r="A70" i="1"/>
  <c r="A6856" i="1"/>
  <c r="A76" i="1"/>
  <c r="A15846" i="1"/>
  <c r="A16461" i="1"/>
  <c r="A6331" i="1"/>
  <c r="A1673" i="1"/>
  <c r="A2942" i="1"/>
  <c r="A3330" i="1"/>
  <c r="A5034" i="1"/>
  <c r="A6768" i="1"/>
  <c r="A8392" i="1"/>
  <c r="A10697" i="1"/>
  <c r="A10913" i="1"/>
  <c r="A10961" i="1"/>
  <c r="A12040" i="1"/>
  <c r="A12860" i="1"/>
  <c r="A13781" i="1"/>
  <c r="A14733" i="1"/>
  <c r="A16162" i="1"/>
  <c r="A17156" i="1"/>
  <c r="A17609" i="1"/>
  <c r="A19272" i="1"/>
  <c r="A19922" i="1"/>
  <c r="A21866" i="1"/>
  <c r="A31415" i="1"/>
  <c r="A22271" i="1"/>
  <c r="A20574" i="1"/>
  <c r="A12654" i="1"/>
  <c r="A6782" i="1"/>
  <c r="A22717" i="1"/>
  <c r="A19091" i="1"/>
  <c r="A4629" i="1"/>
  <c r="A22374" i="1"/>
  <c r="A7892" i="1"/>
  <c r="A35221" i="1"/>
  <c r="A14351" i="1"/>
  <c r="A21506" i="1"/>
  <c r="A6194" i="1"/>
  <c r="A35646" i="1"/>
  <c r="A35427" i="1"/>
  <c r="A35143" i="1"/>
  <c r="A33905" i="1"/>
  <c r="A33169" i="1"/>
  <c r="A32680" i="1"/>
  <c r="A31756" i="1"/>
  <c r="A30932" i="1"/>
  <c r="A30775" i="1"/>
  <c r="A30529" i="1"/>
  <c r="A29100" i="1"/>
  <c r="A27736" i="1"/>
  <c r="A26683" i="1"/>
  <c r="A26644" i="1"/>
  <c r="A26571" i="1"/>
  <c r="A26428" i="1"/>
  <c r="A26394" i="1"/>
  <c r="A26282" i="1"/>
  <c r="A26244" i="1"/>
  <c r="A26223" i="1"/>
  <c r="A25957" i="1"/>
  <c r="A25906" i="1"/>
  <c r="A25699" i="1"/>
  <c r="A25615" i="1"/>
  <c r="A22935" i="1"/>
  <c r="A22539" i="1"/>
  <c r="A22026" i="1"/>
  <c r="A21358" i="1"/>
  <c r="A21151" i="1"/>
  <c r="A21034" i="1"/>
  <c r="A20705" i="1"/>
  <c r="A19994" i="1"/>
  <c r="A19598" i="1"/>
  <c r="A19391" i="1"/>
  <c r="A19131" i="1"/>
  <c r="A18166" i="1"/>
  <c r="A17415" i="1"/>
  <c r="A17008" i="1"/>
  <c r="A16989" i="1"/>
  <c r="A16368" i="1"/>
  <c r="A15989" i="1"/>
  <c r="A15503" i="1"/>
  <c r="A15348" i="1"/>
  <c r="A15200" i="1"/>
  <c r="A15091" i="1"/>
  <c r="A14943" i="1"/>
  <c r="A14786" i="1"/>
  <c r="A14645" i="1"/>
  <c r="A29116" i="1"/>
  <c r="A14214" i="1"/>
  <c r="A14218" i="1"/>
  <c r="A14163" i="1"/>
  <c r="A14017" i="1"/>
  <c r="A13872" i="1"/>
  <c r="A13682" i="1"/>
  <c r="A13603" i="1"/>
  <c r="A13506" i="1"/>
  <c r="A12909" i="1"/>
  <c r="A12162" i="1"/>
  <c r="A12072" i="1"/>
  <c r="A11960" i="1"/>
  <c r="A11935" i="1"/>
  <c r="A11695" i="1"/>
  <c r="A10670" i="1"/>
  <c r="A9807" i="1"/>
  <c r="A9753" i="1"/>
  <c r="A9661" i="1"/>
  <c r="A9672" i="1"/>
  <c r="A9580" i="1"/>
  <c r="A9568" i="1"/>
  <c r="A9521" i="1"/>
  <c r="A9512" i="1"/>
  <c r="A9504" i="1"/>
  <c r="A9494" i="1"/>
  <c r="A9485" i="1"/>
  <c r="A9475" i="1"/>
  <c r="A9465" i="1"/>
  <c r="A9457" i="1"/>
  <c r="A9407" i="1"/>
  <c r="A8876" i="1"/>
  <c r="A8754" i="1"/>
  <c r="A7541" i="1"/>
  <c r="A236" i="1"/>
  <c r="A4928" i="1"/>
  <c r="A4081" i="1"/>
  <c r="A3634" i="1"/>
  <c r="A3202" i="1"/>
  <c r="A2881" i="1"/>
  <c r="A1175" i="1"/>
  <c r="A26111" i="1"/>
  <c r="A21115" i="1"/>
  <c r="A19230" i="1"/>
  <c r="A16152" i="1"/>
  <c r="A25911" i="1"/>
  <c r="A13705" i="1"/>
  <c r="A11441" i="1"/>
  <c r="A9644" i="1"/>
  <c r="A9490" i="1"/>
  <c r="A8759" i="1"/>
  <c r="A3259" i="1"/>
  <c r="A10507" i="1"/>
  <c r="A11424" i="1"/>
  <c r="A25777" i="1"/>
  <c r="A16980" i="1"/>
  <c r="A14062" i="1"/>
  <c r="A10590" i="1"/>
  <c r="A7569" i="1"/>
  <c r="A2938" i="1"/>
  <c r="A21401" i="1"/>
  <c r="A5353" i="1"/>
  <c r="A22993" i="1"/>
  <c r="A22452" i="1"/>
  <c r="A20509" i="1"/>
  <c r="A19436" i="1"/>
  <c r="A17458" i="1"/>
  <c r="A15880" i="1"/>
  <c r="A13106" i="1"/>
  <c r="A11767" i="1"/>
  <c r="A9103" i="1"/>
  <c r="A7803" i="1"/>
  <c r="A6844" i="1"/>
  <c r="A4651" i="1"/>
  <c r="A2689" i="1"/>
  <c r="A1901" i="1"/>
  <c r="A390" i="1"/>
  <c r="A110" i="1"/>
  <c r="A17948" i="1"/>
  <c r="A33935" i="1"/>
  <c r="A27445" i="1"/>
  <c r="A14448" i="1"/>
  <c r="A33259" i="1"/>
  <c r="A31210" i="1"/>
  <c r="A20427" i="1"/>
  <c r="A18420" i="1"/>
  <c r="A15341" i="1"/>
  <c r="A18077" i="1"/>
  <c r="A29831" i="1"/>
  <c r="A19072" i="1"/>
  <c r="A3158" i="1"/>
  <c r="A27504" i="1"/>
  <c r="A11172" i="1"/>
  <c r="A5249" i="1"/>
  <c r="A430" i="1"/>
  <c r="A11205" i="1"/>
  <c r="A5539" i="1"/>
  <c r="A21531" i="1"/>
  <c r="A12483" i="1"/>
  <c r="A22964" i="1"/>
  <c r="A20946" i="1"/>
  <c r="A19612" i="1"/>
  <c r="A19021" i="1"/>
  <c r="A17291" i="1"/>
  <c r="A13747" i="1"/>
  <c r="A11801" i="1"/>
  <c r="A7216" i="1"/>
  <c r="A6454" i="1"/>
  <c r="A5056" i="1"/>
  <c r="A2204" i="1"/>
  <c r="A21415" i="1"/>
  <c r="A13413" i="1"/>
  <c r="A10651" i="1"/>
  <c r="A4447" i="1"/>
  <c r="A1635" i="1"/>
  <c r="A2787" i="1"/>
  <c r="A35424" i="1"/>
  <c r="A30207" i="1"/>
  <c r="A25613" i="1"/>
  <c r="A23041" i="1"/>
  <c r="A19121" i="1"/>
  <c r="A14690" i="1"/>
  <c r="A13183" i="1"/>
  <c r="A11949" i="1"/>
  <c r="A10531" i="1"/>
  <c r="A10273" i="1"/>
  <c r="A10117" i="1"/>
  <c r="A9691" i="1"/>
  <c r="A5282" i="1"/>
  <c r="A3180" i="1"/>
  <c r="A2844" i="1"/>
  <c r="A2791" i="1"/>
  <c r="A30764" i="1"/>
  <c r="A28079" i="1"/>
  <c r="A19389" i="1"/>
  <c r="A13850" i="1"/>
  <c r="A12872" i="1"/>
  <c r="A10353" i="1"/>
  <c r="A10035" i="1"/>
  <c r="A2795" i="1"/>
  <c r="A22410" i="1"/>
  <c r="A7491" i="1"/>
  <c r="A20809" i="1"/>
  <c r="A23071" i="1"/>
  <c r="A5108" i="1"/>
  <c r="A34854" i="1"/>
  <c r="A25195" i="1"/>
  <c r="A18381" i="1"/>
  <c r="A36117" i="1"/>
  <c r="A5923" i="1"/>
  <c r="A24655" i="1"/>
  <c r="A200" i="1"/>
  <c r="A97" i="1"/>
  <c r="A9459" i="1"/>
  <c r="A6189" i="1"/>
  <c r="A4781" i="1"/>
  <c r="A3968" i="1"/>
  <c r="A3468" i="1"/>
  <c r="A3127" i="1"/>
  <c r="A2661" i="1"/>
  <c r="A32208" i="1"/>
  <c r="A31736" i="1"/>
  <c r="A26635" i="1"/>
  <c r="A22931" i="1"/>
  <c r="A19198" i="1"/>
  <c r="A16113" i="1"/>
  <c r="A15098" i="1"/>
  <c r="A14565" i="1"/>
  <c r="A13680" i="1"/>
  <c r="A10727" i="1"/>
  <c r="A9483" i="1"/>
  <c r="A8750" i="1"/>
  <c r="A5290" i="1"/>
  <c r="A4186" i="1"/>
  <c r="A2589" i="1"/>
  <c r="A2767" i="1"/>
  <c r="A4018" i="1"/>
  <c r="A15192" i="1"/>
  <c r="A65" i="1"/>
  <c r="A5786" i="1"/>
  <c r="A2648" i="1"/>
  <c r="A31984" i="1"/>
  <c r="A30684" i="1"/>
  <c r="A29121" i="1"/>
  <c r="A28099" i="1"/>
  <c r="A22929" i="1"/>
  <c r="A21093" i="1"/>
  <c r="A18743" i="1"/>
  <c r="A15876" i="1"/>
  <c r="A15097" i="1"/>
  <c r="A9667" i="1"/>
  <c r="A10708" i="1"/>
  <c r="A9702" i="1"/>
  <c r="A9481" i="1"/>
  <c r="A7764" i="1"/>
  <c r="A5023" i="1"/>
  <c r="A4181" i="1"/>
  <c r="A2993" i="1"/>
  <c r="A22747" i="1"/>
  <c r="A10373" i="1"/>
  <c r="A2784" i="1"/>
  <c r="A33544" i="1"/>
  <c r="A14026" i="1"/>
  <c r="A18650" i="1"/>
  <c r="A21703" i="1"/>
  <c r="A21958" i="1"/>
  <c r="A15358" i="1"/>
  <c r="A14050" i="1"/>
  <c r="A9985" i="1"/>
  <c r="A7511" i="1"/>
  <c r="A4297" i="1"/>
  <c r="A2455" i="1"/>
  <c r="A17014" i="1"/>
  <c r="A4836" i="1"/>
  <c r="A22975" i="1"/>
  <c r="A22076" i="1"/>
  <c r="A20406" i="1"/>
  <c r="A19171" i="1"/>
  <c r="A17397" i="1"/>
  <c r="A15858" i="1"/>
  <c r="A13097" i="1"/>
  <c r="A11688" i="1"/>
  <c r="A8808" i="1"/>
  <c r="A7799" i="1"/>
  <c r="A5369" i="1"/>
  <c r="A4600" i="1"/>
  <c r="A2618" i="1"/>
  <c r="A1765" i="1"/>
  <c r="A370" i="1"/>
  <c r="A31" i="1"/>
  <c r="A33295" i="1"/>
  <c r="A14208" i="1"/>
  <c r="A31446" i="1"/>
  <c r="A12435" i="1"/>
  <c r="A34278" i="1"/>
  <c r="A33277" i="1"/>
  <c r="A12473" i="1"/>
  <c r="A19141" i="1"/>
  <c r="A18431" i="1"/>
  <c r="A14193" i="1"/>
  <c r="A17780" i="1"/>
  <c r="A6319" i="1"/>
  <c r="A13473" i="1"/>
  <c r="A2610" i="1"/>
  <c r="A13017" i="1"/>
  <c r="A8432" i="1"/>
  <c r="A3861" i="1"/>
  <c r="A36185" i="1"/>
  <c r="A10653" i="1"/>
  <c r="A5053" i="1"/>
  <c r="A17100" i="1"/>
  <c r="A22803" i="1"/>
  <c r="A20863" i="1"/>
  <c r="A19210" i="1"/>
  <c r="A18837" i="1"/>
  <c r="A17074" i="1"/>
  <c r="A13496" i="1"/>
  <c r="A11544" i="1"/>
  <c r="A7137" i="1"/>
  <c r="A6330" i="1"/>
  <c r="A4624" i="1"/>
  <c r="A2151" i="1"/>
  <c r="A19143" i="1"/>
  <c r="A11799" i="1"/>
  <c r="A9911" i="1"/>
  <c r="A4427" i="1"/>
  <c r="A1426" i="1"/>
  <c r="A32014" i="1"/>
  <c r="A30674" i="1"/>
  <c r="A28989" i="1"/>
  <c r="A22911" i="1"/>
  <c r="A17737" i="1"/>
  <c r="A14689" i="1"/>
  <c r="A12854" i="1"/>
  <c r="A11923" i="1"/>
  <c r="A10423" i="1"/>
  <c r="A10244" i="1"/>
  <c r="A10088" i="1"/>
  <c r="A9611" i="1"/>
  <c r="A4407" i="1"/>
  <c r="A3129" i="1"/>
  <c r="A2837" i="1"/>
  <c r="A2789" i="1"/>
  <c r="A22306" i="1"/>
  <c r="A19155" i="1"/>
  <c r="A13636" i="1"/>
  <c r="A12314" i="1"/>
  <c r="A10260" i="1"/>
  <c r="A5825" i="1"/>
  <c r="A420" i="1"/>
  <c r="A22331" i="1"/>
  <c r="A22420" i="1"/>
  <c r="A3869" i="1"/>
  <c r="A8705" i="1"/>
  <c r="A27262" i="1"/>
  <c r="A28863" i="1"/>
  <c r="A22242" i="1"/>
  <c r="A11030" i="1"/>
  <c r="A34979" i="1"/>
  <c r="A15611" i="1"/>
  <c r="A9944" i="1"/>
  <c r="A422" i="1"/>
  <c r="A12427" i="1"/>
  <c r="A17726" i="1"/>
  <c r="A1271" i="1"/>
  <c r="A19536" i="1"/>
  <c r="A73" i="1"/>
  <c r="A9441" i="1"/>
  <c r="A4560" i="1"/>
  <c r="A3963" i="1"/>
  <c r="A3414" i="1"/>
  <c r="A1951" i="1"/>
  <c r="A2620" i="1"/>
  <c r="A36309" i="1"/>
  <c r="A32168" i="1"/>
  <c r="A30591" i="1"/>
  <c r="A26606" i="1"/>
  <c r="A25702" i="1"/>
  <c r="A22049" i="1"/>
  <c r="A20703" i="1"/>
  <c r="A15684" i="1"/>
  <c r="A14951" i="1"/>
  <c r="A14415" i="1"/>
  <c r="A13514" i="1"/>
  <c r="A9816" i="1"/>
  <c r="A9525" i="1"/>
  <c r="A7539" i="1"/>
  <c r="A4944" i="1"/>
  <c r="A4087" i="1"/>
  <c r="A19688" i="1"/>
  <c r="A13658" i="1"/>
  <c r="A7715" i="1"/>
  <c r="A181" i="1"/>
  <c r="A14762" i="1"/>
  <c r="A5724" i="1"/>
  <c r="A4381" i="1"/>
  <c r="A3952" i="1"/>
  <c r="A3395" i="1"/>
  <c r="A3088" i="1"/>
  <c r="A33777" i="1"/>
  <c r="A32681" i="1"/>
  <c r="A31704" i="1"/>
  <c r="A27918" i="1"/>
  <c r="A26605" i="1"/>
  <c r="A26267" i="1"/>
  <c r="A22048" i="1"/>
  <c r="A20652" i="1"/>
  <c r="A18033" i="1"/>
  <c r="A15680" i="1"/>
  <c r="A14916" i="1"/>
  <c r="A14368" i="1"/>
  <c r="A9787" i="1"/>
  <c r="A9524" i="1"/>
  <c r="A9479" i="1"/>
  <c r="A7442" i="1"/>
  <c r="A4943" i="1"/>
  <c r="A2963" i="1"/>
  <c r="A9797" i="1"/>
  <c r="A2734" i="1"/>
  <c r="A24768" i="1"/>
  <c r="A35170" i="1"/>
  <c r="A14868" i="1"/>
  <c r="A13811" i="1"/>
  <c r="A8671" i="1"/>
  <c r="A5684" i="1"/>
  <c r="A1073" i="1"/>
  <c r="A32728" i="1"/>
  <c r="A15931" i="1"/>
  <c r="A4519" i="1"/>
  <c r="A22704" i="1"/>
  <c r="A22072" i="1"/>
  <c r="A20298" i="1"/>
  <c r="A19115" i="1"/>
  <c r="A17347" i="1"/>
  <c r="A14817" i="1"/>
  <c r="A12939" i="1"/>
  <c r="A11582" i="1"/>
  <c r="A7811" i="1"/>
  <c r="A7795" i="1"/>
  <c r="A5245" i="1"/>
  <c r="A4499" i="1"/>
  <c r="A2293" i="1"/>
  <c r="A1715" i="1"/>
  <c r="A358" i="1"/>
  <c r="A26" i="1"/>
  <c r="A21347" i="1"/>
  <c r="A23452" i="1"/>
  <c r="A10806" i="1"/>
  <c r="A31286" i="1"/>
  <c r="A9402" i="1"/>
  <c r="A20646" i="1"/>
  <c r="A18300" i="1"/>
  <c r="A12597" i="1"/>
  <c r="A7772" i="1"/>
  <c r="A4097" i="1"/>
  <c r="A33165" i="1"/>
  <c r="A9417" i="1"/>
  <c r="A340" i="1"/>
  <c r="A22650" i="1"/>
  <c r="A27499" i="1"/>
  <c r="A8529" i="1"/>
  <c r="A1290" i="1"/>
  <c r="A7738" i="1"/>
  <c r="A8135" i="1"/>
  <c r="A16205" i="1"/>
  <c r="A18082" i="1"/>
  <c r="A5057" i="1"/>
  <c r="A7234" i="1"/>
  <c r="A22774" i="1"/>
  <c r="A20385" i="1"/>
  <c r="A19167" i="1"/>
  <c r="A18130" i="1"/>
  <c r="A16854" i="1"/>
  <c r="A12949" i="1"/>
  <c r="A11058" i="1"/>
  <c r="A7036" i="1"/>
  <c r="A5858" i="1"/>
  <c r="A4491" i="1"/>
  <c r="A1907" i="1"/>
  <c r="A19031" i="1"/>
  <c r="A1653" i="1"/>
  <c r="A24401" i="1"/>
  <c r="A22836" i="1"/>
  <c r="A9077" i="1"/>
  <c r="A2781" i="1"/>
  <c r="A15610" i="1"/>
  <c r="A35790" i="1"/>
  <c r="A31930" i="1"/>
  <c r="A30649" i="1"/>
  <c r="A29414" i="1"/>
  <c r="A28081" i="1"/>
  <c r="A22024" i="1"/>
  <c r="A16804" i="1"/>
  <c r="A14052" i="1"/>
  <c r="A12667" i="1"/>
  <c r="A11922" i="1"/>
  <c r="A10416" i="1"/>
  <c r="A10203" i="1"/>
  <c r="A10070" i="1"/>
  <c r="A9549" i="1"/>
  <c r="A4385" i="1"/>
  <c r="A3090" i="1"/>
  <c r="A2834" i="1"/>
  <c r="A841" i="1"/>
  <c r="A21205" i="1"/>
  <c r="A17893" i="1"/>
  <c r="A13302" i="1"/>
  <c r="A12165" i="1"/>
  <c r="A10235" i="1"/>
  <c r="A4979" i="1"/>
  <c r="A20282" i="1"/>
  <c r="A21625" i="1"/>
  <c r="A22414" i="1"/>
  <c r="A7082" i="1"/>
  <c r="A24911" i="1"/>
  <c r="A14947" i="1"/>
  <c r="A28126" i="1"/>
  <c r="A21006" i="1"/>
  <c r="A34358" i="1"/>
  <c r="A27135" i="1"/>
  <c r="A23314" i="1"/>
  <c r="A13238" i="1"/>
  <c r="A9371" i="1"/>
  <c r="A8476" i="1"/>
  <c r="A3799" i="1"/>
  <c r="A9307" i="1"/>
  <c r="A9097" i="1"/>
  <c r="A5714" i="1"/>
  <c r="A4380" i="1"/>
  <c r="A3949" i="1"/>
  <c r="A3346" i="1"/>
  <c r="A3080" i="1"/>
  <c r="A2592" i="1"/>
  <c r="A36278" i="1"/>
  <c r="A31929" i="1"/>
  <c r="A31620" i="1"/>
  <c r="A25700" i="1"/>
  <c r="A22041" i="1"/>
  <c r="A19645" i="1"/>
  <c r="A17931" i="1"/>
  <c r="A14914" i="1"/>
  <c r="A14329" i="1"/>
  <c r="A12850" i="1"/>
  <c r="A9761" i="1"/>
  <c r="A9516" i="1"/>
  <c r="A9473" i="1"/>
  <c r="A4930" i="1"/>
  <c r="A3748" i="1"/>
  <c r="A2962" i="1"/>
  <c r="A19338" i="1"/>
  <c r="A9609" i="1"/>
  <c r="A2169" i="1"/>
  <c r="A30801" i="1"/>
  <c r="A22645" i="1"/>
  <c r="A10807" i="1"/>
  <c r="A17548" i="1"/>
  <c r="A21492" i="1"/>
  <c r="A7054" i="1"/>
  <c r="A1169" i="1"/>
  <c r="A10036" i="1"/>
  <c r="A22686" i="1"/>
  <c r="A3777" i="1"/>
  <c r="A3278" i="1"/>
  <c r="A3021" i="1"/>
  <c r="A2591" i="1"/>
  <c r="A34733" i="1"/>
  <c r="A32060" i="1"/>
  <c r="A25655" i="1"/>
  <c r="A19079" i="1"/>
  <c r="A17012" i="1"/>
  <c r="A15441" i="1"/>
  <c r="A14839" i="1"/>
  <c r="A14278" i="1"/>
  <c r="A12848" i="1"/>
  <c r="A9515" i="1"/>
  <c r="A9470" i="1"/>
  <c r="A7250" i="1"/>
  <c r="A4694" i="1"/>
  <c r="A1128" i="1"/>
  <c r="A21623" i="1"/>
  <c r="A22641" i="1"/>
  <c r="A14672" i="1"/>
  <c r="A12592" i="1"/>
  <c r="A8150" i="1"/>
  <c r="A6915" i="1"/>
  <c r="A3267" i="1"/>
  <c r="A16119" i="1"/>
  <c r="A30182" i="1"/>
  <c r="A15929" i="1"/>
  <c r="A1101" i="1"/>
  <c r="A31412" i="1"/>
  <c r="A22649" i="1"/>
  <c r="A21603" i="1"/>
  <c r="A20232" i="1"/>
  <c r="A18995" i="1"/>
  <c r="A16021" i="1"/>
  <c r="A14636" i="1"/>
  <c r="A12459" i="1"/>
  <c r="A10930" i="1"/>
  <c r="A7809" i="1"/>
  <c r="A7493" i="1"/>
  <c r="A5235" i="1"/>
  <c r="A4196" i="1"/>
  <c r="A2184" i="1"/>
  <c r="A1709" i="1"/>
  <c r="A344" i="1"/>
  <c r="A15392" i="1"/>
  <c r="A5809" i="1"/>
  <c r="A30613" i="1"/>
  <c r="A3541" i="1"/>
  <c r="A18495" i="1"/>
  <c r="A9357" i="1"/>
  <c r="A25344" i="1"/>
  <c r="A12633" i="1"/>
  <c r="A25647" i="1"/>
  <c r="A23455" i="1"/>
  <c r="A19776" i="1"/>
  <c r="A18107" i="1"/>
  <c r="A12559" i="1"/>
  <c r="A9278" i="1"/>
  <c r="A5435" i="1"/>
  <c r="A27990" i="1"/>
  <c r="A4421" i="1"/>
  <c r="A34266" i="1"/>
  <c r="A26847" i="1"/>
  <c r="A21123" i="1"/>
  <c r="A12923" i="1"/>
  <c r="A8524" i="1"/>
  <c r="A883" i="1"/>
  <c r="A29461" i="1"/>
  <c r="A1805" i="1"/>
  <c r="A6498" i="1"/>
  <c r="A1597" i="1"/>
  <c r="A6986" i="1"/>
  <c r="A15186" i="1"/>
  <c r="A15423" i="1"/>
  <c r="A1422" i="1"/>
  <c r="A22000" i="1"/>
  <c r="A20346" i="1"/>
  <c r="A19095" i="1"/>
  <c r="A18084" i="1"/>
  <c r="A16220" i="1"/>
  <c r="A12920" i="1"/>
  <c r="A11026" i="1"/>
  <c r="A13731" i="1"/>
  <c r="A5687" i="1"/>
  <c r="A4431" i="1"/>
  <c r="A1450" i="1"/>
  <c r="A18722" i="1"/>
  <c r="A22238" i="1"/>
  <c r="A7080" i="1"/>
  <c r="A1999" i="1"/>
  <c r="A36214" i="1"/>
  <c r="A34318" i="1"/>
  <c r="A31901" i="1"/>
  <c r="A28453" i="1"/>
  <c r="A21126" i="1"/>
  <c r="A16405" i="1"/>
  <c r="A14021" i="1"/>
  <c r="A12360" i="1"/>
  <c r="A11667" i="1"/>
  <c r="A10343" i="1"/>
  <c r="A10200" i="1"/>
  <c r="A10061" i="1"/>
  <c r="A6537" i="1"/>
  <c r="A4376" i="1"/>
  <c r="A2955" i="1"/>
  <c r="A2819" i="1"/>
  <c r="A444" i="1"/>
  <c r="A30485" i="1"/>
  <c r="A27778" i="1"/>
  <c r="A20247" i="1"/>
  <c r="A16643" i="1"/>
  <c r="A13298" i="1"/>
  <c r="A12153" i="1"/>
  <c r="A10116" i="1"/>
  <c r="A2813" i="1"/>
  <c r="A32231" i="1"/>
  <c r="A18276" i="1"/>
  <c r="A20552" i="1"/>
  <c r="A22378" i="1"/>
  <c r="A23941" i="1"/>
  <c r="A8211" i="1"/>
  <c r="A24190" i="1"/>
  <c r="A33709" i="1"/>
  <c r="A24663" i="1"/>
  <c r="A20587" i="1"/>
  <c r="A13029" i="1"/>
  <c r="A8567" i="1"/>
  <c r="A3074" i="1"/>
  <c r="A314" i="1"/>
  <c r="A3347" i="1"/>
  <c r="A4255" i="1"/>
  <c r="A8757" i="1"/>
  <c r="A5584" i="1"/>
  <c r="A4374" i="1"/>
  <c r="A3770" i="1"/>
  <c r="A3276" i="1"/>
  <c r="A2995" i="1"/>
  <c r="A2509" i="1"/>
  <c r="A29072" i="1"/>
  <c r="A27891" i="1"/>
  <c r="A22035" i="1"/>
  <c r="A19564" i="1"/>
  <c r="A16986" i="1"/>
  <c r="A15218" i="1"/>
  <c r="A14234" i="1"/>
  <c r="A12320" i="1"/>
  <c r="A9756" i="1"/>
  <c r="A9508" i="1"/>
  <c r="A9468" i="1"/>
  <c r="A7248" i="1"/>
  <c r="A3746" i="1"/>
  <c r="A2913" i="1"/>
  <c r="A16089" i="1"/>
  <c r="A6701" i="1"/>
  <c r="A9235" i="1"/>
  <c r="A11406" i="1"/>
  <c r="A1893" i="1"/>
  <c r="A12989" i="1"/>
  <c r="A20542" i="1"/>
  <c r="A7711" i="1"/>
  <c r="A1783" i="1"/>
  <c r="A5339" i="1"/>
  <c r="A4371" i="1"/>
  <c r="A2994" i="1"/>
  <c r="A2471" i="1"/>
  <c r="A36156" i="1"/>
  <c r="A30872" i="1"/>
  <c r="A27786" i="1"/>
  <c r="A21527" i="1"/>
  <c r="A36355" i="1"/>
  <c r="A15208" i="1"/>
  <c r="A14829" i="1"/>
  <c r="A14207" i="1"/>
  <c r="A12076" i="1"/>
  <c r="A9740" i="1"/>
  <c r="A9462" i="1"/>
  <c r="A6429" i="1"/>
  <c r="A4593" i="1"/>
  <c r="A3412" i="1"/>
  <c r="A13618" i="1"/>
  <c r="A5671" i="1"/>
  <c r="A30620" i="1"/>
  <c r="A18022" i="1"/>
  <c r="A9223" i="1"/>
  <c r="A30298" i="1"/>
  <c r="A24877" i="1"/>
  <c r="A22446" i="1"/>
  <c r="A14623" i="1"/>
  <c r="A12335" i="1"/>
  <c r="A7946" i="1"/>
  <c r="A6367" i="1"/>
  <c r="A3150" i="1"/>
  <c r="A26853" i="1"/>
  <c r="A24073" i="1"/>
  <c r="A14034" i="1"/>
  <c r="A115" i="1"/>
  <c r="A28830" i="1"/>
  <c r="A22622" i="1"/>
  <c r="A21500" i="1"/>
  <c r="A20050" i="1"/>
  <c r="A18263" i="1"/>
  <c r="A16263" i="1"/>
  <c r="A13873" i="1"/>
  <c r="A12020" i="1"/>
  <c r="A10866" i="1"/>
  <c r="A7807" i="1"/>
  <c r="A7258" i="1"/>
  <c r="A4995" i="1"/>
  <c r="A4034" i="1"/>
  <c r="A2108" i="1"/>
  <c r="A1603" i="1"/>
  <c r="A136" i="1"/>
  <c r="A8382" i="1"/>
  <c r="A15685" i="1"/>
  <c r="A9279" i="1"/>
  <c r="A29916" i="1"/>
  <c r="A15235" i="1"/>
  <c r="A4094" i="1"/>
  <c r="A34118" i="1"/>
  <c r="A23437" i="1"/>
  <c r="A25810" i="1"/>
  <c r="A18849" i="1"/>
  <c r="A15159" i="1"/>
  <c r="A8553" i="1"/>
  <c r="A8362" i="1"/>
  <c r="A5166" i="1"/>
  <c r="A27928" i="1"/>
  <c r="A4415" i="1"/>
  <c r="A20779" i="1"/>
  <c r="A12838" i="1"/>
  <c r="A13033" i="1"/>
  <c r="A824" i="1"/>
  <c r="A18328" i="1"/>
  <c r="A1283" i="1"/>
  <c r="A1299" i="1"/>
  <c r="A3803" i="1"/>
  <c r="A21733" i="1"/>
  <c r="A19952" i="1"/>
  <c r="A19037" i="1"/>
  <c r="A17811" i="1"/>
  <c r="A15567" i="1"/>
  <c r="A12167" i="1"/>
  <c r="A9037" i="1"/>
  <c r="A6539" i="1"/>
  <c r="A5653" i="1"/>
  <c r="A2337" i="1"/>
  <c r="A1384" i="1"/>
  <c r="A14655" i="1"/>
  <c r="A19616" i="1"/>
  <c r="A6820" i="1"/>
  <c r="A1957" i="1"/>
  <c r="A10487" i="1"/>
  <c r="A29281" i="1"/>
  <c r="A25844" i="1"/>
  <c r="A20304" i="1"/>
  <c r="A15394" i="1"/>
  <c r="A13515" i="1"/>
  <c r="A11968" i="1"/>
  <c r="A11483" i="1"/>
  <c r="A10318" i="1"/>
  <c r="A10166" i="1"/>
  <c r="A9768" i="1"/>
  <c r="A6146" i="1"/>
  <c r="A3716" i="1"/>
  <c r="A2932" i="1"/>
  <c r="A2804" i="1"/>
  <c r="A35038" i="1"/>
  <c r="A31563" i="1"/>
  <c r="A28357" i="1"/>
  <c r="A25948" i="1"/>
  <c r="A20246" i="1"/>
  <c r="A15024" i="1"/>
  <c r="A13293" i="1"/>
  <c r="A10779" i="1"/>
  <c r="A9778" i="1"/>
  <c r="A2775" i="1"/>
  <c r="A22714" i="1"/>
  <c r="A6586" i="1"/>
  <c r="A18583" i="1"/>
  <c r="A9244" i="1"/>
  <c r="A839" i="1"/>
  <c r="A23906" i="1"/>
  <c r="A4893" i="1"/>
  <c r="A23887" i="1"/>
  <c r="A35401" i="1"/>
  <c r="A34170" i="1"/>
  <c r="A28385" i="1"/>
  <c r="A26034" i="1"/>
  <c r="A20418" i="1"/>
  <c r="A13023" i="1"/>
  <c r="A8357" i="1"/>
  <c r="A4568" i="1"/>
  <c r="A31632" i="1"/>
  <c r="A677" i="1"/>
  <c r="A17305" i="1"/>
  <c r="A96" i="1"/>
  <c r="A9478" i="1"/>
  <c r="A7924" i="1"/>
  <c r="A5288" i="1"/>
  <c r="A4352" i="1"/>
  <c r="A3765" i="1"/>
  <c r="A3258" i="1"/>
  <c r="A2469" i="1"/>
  <c r="A36147" i="1"/>
  <c r="A33605" i="1"/>
  <c r="A32414" i="1"/>
  <c r="A30479" i="1"/>
  <c r="A21196" i="1"/>
  <c r="A19517" i="1"/>
  <c r="A16527" i="1"/>
  <c r="A15199" i="1"/>
  <c r="A14768" i="1"/>
  <c r="A11951" i="1"/>
  <c r="A9663" i="1"/>
  <c r="A9497" i="1"/>
  <c r="A9262" i="1"/>
  <c r="A6192" i="1"/>
  <c r="A2616" i="1"/>
  <c r="A4343" i="1"/>
  <c r="A30259" i="1"/>
  <c r="A18763" i="1"/>
  <c r="A7457" i="1"/>
  <c r="A613" i="1"/>
  <c r="A15901" i="1"/>
  <c r="A3638" i="1"/>
  <c r="A3256" i="1"/>
  <c r="A2964" i="1"/>
  <c r="A1277" i="1"/>
  <c r="A35141" i="1"/>
  <c r="A21186" i="1"/>
  <c r="A19399" i="1"/>
  <c r="A15146" i="1"/>
  <c r="A14735" i="1"/>
  <c r="A13920" i="1"/>
  <c r="A11941" i="1"/>
  <c r="A9705" i="1"/>
  <c r="A9492" i="1"/>
  <c r="A5904" i="1"/>
  <c r="A4449" i="1"/>
  <c r="A3280" i="1"/>
  <c r="A27724" i="1"/>
  <c r="A13199" i="1"/>
  <c r="A35202" i="1"/>
  <c r="A17449" i="1"/>
  <c r="A5781" i="1"/>
  <c r="A21957" i="1"/>
  <c r="A19421" i="1"/>
  <c r="A14575" i="1"/>
  <c r="A11449" i="1"/>
  <c r="A7609" i="1"/>
  <c r="A6365" i="1"/>
  <c r="A3148" i="1"/>
  <c r="A23140" i="1"/>
  <c r="A12180" i="1"/>
  <c r="A28828" i="1"/>
  <c r="A23656" i="1"/>
  <c r="A22996" i="1"/>
  <c r="A22609" i="1"/>
  <c r="A21133" i="1"/>
  <c r="A19548" i="1"/>
  <c r="A17877" i="1"/>
  <c r="A15919" i="1"/>
  <c r="A13818" i="1"/>
  <c r="A11859" i="1"/>
  <c r="A9137" i="1"/>
  <c r="A7805" i="1"/>
  <c r="A6960" i="1"/>
  <c r="A4993" i="1"/>
  <c r="A3027" i="1"/>
  <c r="A2067" i="1"/>
  <c r="A1317" i="1"/>
  <c r="A117" i="1"/>
  <c r="A11067" i="1"/>
  <c r="A21979" i="1"/>
  <c r="A32348" i="1"/>
  <c r="A28967" i="1"/>
  <c r="A15536" i="1"/>
  <c r="A18137" i="1"/>
  <c r="A33306" i="1"/>
  <c r="A31292" i="1"/>
  <c r="A25341" i="1"/>
  <c r="A20723" i="1"/>
  <c r="A18608" i="1"/>
  <c r="A14961" i="1"/>
  <c r="A9964" i="1"/>
  <c r="A26005" i="1"/>
  <c r="A32644" i="1"/>
  <c r="A27925" i="1"/>
  <c r="A3999" i="1"/>
  <c r="A36184" i="1"/>
  <c r="A854" i="1"/>
  <c r="A19876" i="1"/>
  <c r="A11178" i="1"/>
  <c r="A6564" i="1"/>
  <c r="A552" i="1"/>
  <c r="A13126" i="1"/>
  <c r="A17872" i="1"/>
  <c r="A21068" i="1"/>
  <c r="A6486" i="1"/>
  <c r="A11536" i="1"/>
  <c r="A22675" i="1"/>
  <c r="A20961" i="1"/>
  <c r="A19942" i="1"/>
  <c r="A19035" i="1"/>
  <c r="A17617" i="1"/>
  <c r="A13999" i="1"/>
  <c r="A12047" i="1"/>
  <c r="A8394" i="1"/>
  <c r="A6500" i="1"/>
  <c r="A5069" i="1"/>
  <c r="A2227" i="1"/>
  <c r="A13757" i="1"/>
  <c r="A11212" i="1"/>
  <c r="A5267" i="1"/>
  <c r="A2930" i="1"/>
  <c r="A2803" i="1"/>
  <c r="A30705" i="1"/>
  <c r="A30473" i="1"/>
  <c r="A25697" i="1"/>
  <c r="A23338" i="1"/>
  <c r="A19336" i="1"/>
  <c r="A15178" i="1"/>
  <c r="A13288" i="1"/>
  <c r="A11963" i="1"/>
  <c r="A10675" i="1"/>
  <c r="A10304" i="1"/>
  <c r="A10143" i="1"/>
  <c r="A9743" i="1"/>
  <c r="A5637" i="1"/>
  <c r="A3606" i="1"/>
  <c r="A2848" i="1"/>
  <c r="A2798" i="1"/>
  <c r="A28278" i="1"/>
  <c r="A19373" i="1"/>
  <c r="A14223" i="1"/>
  <c r="A13268" i="1"/>
  <c r="A10365" i="1"/>
  <c r="A9548" i="1"/>
  <c r="A2807" i="1"/>
  <c r="A22571" i="1"/>
  <c r="A16699" i="1"/>
  <c r="A3333" i="1"/>
  <c r="A29602" i="1"/>
  <c r="A23546" i="1"/>
  <c r="A2559" i="1"/>
  <c r="A9408" i="1"/>
  <c r="A34920" i="1"/>
  <c r="A33990" i="1"/>
  <c r="A24613" i="1"/>
  <c r="A20598" i="1"/>
  <c r="A11429" i="1"/>
  <c r="A8293" i="1"/>
  <c r="A296" i="1"/>
  <c r="A9469" i="1"/>
  <c r="A6591" i="1"/>
  <c r="A4988" i="1"/>
  <c r="A4194" i="1"/>
  <c r="A3635" i="1"/>
  <c r="A3246" i="1"/>
  <c r="A2940" i="1"/>
  <c r="A30773" i="1"/>
  <c r="A30124" i="1"/>
  <c r="A21178" i="1"/>
  <c r="A19361" i="1"/>
  <c r="A16367" i="1"/>
  <c r="A15137" i="1"/>
  <c r="A14621" i="1"/>
  <c r="A13917" i="1"/>
  <c r="A9704" i="1"/>
  <c r="A9491" i="1"/>
  <c r="A8874" i="1"/>
  <c r="A9498" i="1"/>
  <c r="A4351" i="1"/>
  <c r="A3273" i="1"/>
  <c r="A2590" i="1"/>
  <c r="A12069" i="1"/>
  <c r="A4075" i="1"/>
  <c r="A8787" i="1"/>
  <c r="A15898" i="1"/>
  <c r="A5515" i="1"/>
</calcChain>
</file>

<file path=xl/sharedStrings.xml><?xml version="1.0" encoding="utf-8"?>
<sst xmlns="http://schemas.openxmlformats.org/spreadsheetml/2006/main" count="133588" uniqueCount="36234">
  <si>
    <t>Cidade</t>
  </si>
  <si>
    <t>City</t>
  </si>
  <si>
    <t>country</t>
  </si>
  <si>
    <t>subcountry</t>
  </si>
  <si>
    <t>geonameid</t>
  </si>
  <si>
    <t>Repetido?</t>
  </si>
  <si>
    <t>Ä € rt khwä jah</t>
  </si>
  <si>
    <t>Ä€rt KhwÄjah</t>
  </si>
  <si>
    <t>Afghanistan</t>
  </si>
  <si>
    <t>TakhÄr</t>
  </si>
  <si>
    <t>Ä € smä r</t>
  </si>
  <si>
    <t>Ä€smÄr</t>
  </si>
  <si>
    <t>Konar</t>
  </si>
  <si>
    <t>Aä «bak</t>
  </si>
  <si>
    <t>AÄ«bak</t>
  </si>
  <si>
    <t>SamangÄn</t>
  </si>
  <si>
    <t>Andkhå y</t>
  </si>
  <si>
    <t>AndkhÅy</t>
  </si>
  <si>
    <t>Faryab</t>
  </si>
  <si>
    <t>Asadä Bä d</t>
  </si>
  <si>
    <t>AsadÄbÄd</t>
  </si>
  <si>
    <t>Bä myä n</t>
  </si>
  <si>
    <t>BÄmyÄn</t>
  </si>
  <si>
    <t>BÄmÄ«Än</t>
  </si>
  <si>
    <t>Bä Zä Rak</t>
  </si>
  <si>
    <t>BÄzÄrak</t>
  </si>
  <si>
    <t>Panjshir</t>
  </si>
  <si>
    <t>Baghlä n</t>
  </si>
  <si>
    <t>BaghlÄn</t>
  </si>
  <si>
    <t>WilÄyat-e BaghlÄn</t>
  </si>
  <si>
    <t>Balkh</t>
  </si>
  <si>
    <t>Barakä «Barak</t>
  </si>
  <si>
    <t>BarakÄ« Barak</t>
  </si>
  <si>
    <t>Lowgar</t>
  </si>
  <si>
    <t>Charikar</t>
  </si>
  <si>
    <t>ParvÄn</t>
  </si>
  <si>
    <t>Farah</t>
  </si>
  <si>
    <t>Fayzabad</t>
  </si>
  <si>
    <t>Badakhshan</t>
  </si>
  <si>
    <t>Gardä “z</t>
  </si>
  <si>
    <t>GardÄ“z</t>
  </si>
  <si>
    <t>Paktia</t>
  </si>
  <si>
    <t>GERESHK</t>
  </si>
  <si>
    <t>Gereshk</t>
  </si>
  <si>
    <t>Helmand</t>
  </si>
  <si>
    <t>Ghazni</t>
  </si>
  <si>
    <t>GhaznÄ«</t>
  </si>
  <si>
    <t>Ghormach</t>
  </si>
  <si>
    <t>Badghis</t>
  </si>
  <si>
    <t>Herä T.</t>
  </si>
  <si>
    <t>HerÄt</t>
  </si>
  <si>
    <t>Herat</t>
  </si>
  <si>
    <t>Jabal OS Saraj</t>
  </si>
  <si>
    <t>Jabal os Saraj</t>
  </si>
  <si>
    <t>Jalä lä bä d</t>
  </si>
  <si>
    <t>JalÄlÄbÄd</t>
  </si>
  <si>
    <t>NangarhÄr</t>
  </si>
  <si>
    <t>Cabul</t>
  </si>
  <si>
    <t>Kabul</t>
  </si>
  <si>
    <t>Kafir Qala</t>
  </si>
  <si>
    <t>Kandahä r</t>
  </si>
  <si>
    <t>KandahÄr</t>
  </si>
  <si>
    <t>Karukh</t>
  </si>
  <si>
    <t>Khä sh</t>
  </si>
  <si>
    <t>KhÄsh</t>
  </si>
  <si>
    <t>NÄ«mrÅ«z</t>
  </si>
  <si>
    <t>KHå ST</t>
  </si>
  <si>
    <t>KhÅst</t>
  </si>
  <si>
    <t>Khowst</t>
  </si>
  <si>
    <t>KHANABAD</t>
  </si>
  <si>
    <t>Khanabad</t>
  </si>
  <si>
    <t>Kunduz</t>
  </si>
  <si>
    <t>Khulm</t>
  </si>
  <si>
    <t>Kushk</t>
  </si>
  <si>
    <t>Lashkar Gä h</t>
  </si>
  <si>
    <t>Lashkar GÄh</t>
  </si>
  <si>
    <t>Markaz-e Woluswalä «-ye ä € chä« n</t>
  </si>
  <si>
    <t>Markaz-e WoluswalÄ«-ye Ä€chÄ«n</t>
  </si>
  <si>
    <t>Maymana</t>
  </si>
  <si>
    <t>Mazä r-e sharä «f</t>
  </si>
  <si>
    <t>MazÄr-e SharÄ«f</t>
  </si>
  <si>
    <t>Mehtar lä m</t>
  </si>
  <si>
    <t>Mehtar LÄm</t>
  </si>
  <si>
    <t>LaghmÄn</t>
  </si>
  <si>
    <t>Nahrä «n</t>
  </si>
  <si>
    <t>NahrÄ«n</t>
  </si>
  <si>
    <t>Paghmä n</t>
  </si>
  <si>
    <t>PaghmÄn</t>
  </si>
  <si>
    <t>Pul-e Khumrä «</t>
  </si>
  <si>
    <t>Pul-e KhumrÄ«</t>
  </si>
  <si>
    <t>Qarä wul</t>
  </si>
  <si>
    <t>QarÄwul</t>
  </si>
  <si>
    <t>Qarqä «n</t>
  </si>
  <si>
    <t>QarqÄ«n</t>
  </si>
  <si>
    <t>JowzjÄn</t>
  </si>
  <si>
    <t>Rustä q</t>
  </si>
  <si>
    <t>RustÄq</t>
  </si>
  <si>
    <t>Sang-e Chä Rak</t>
  </si>
  <si>
    <t>Sang-e ChÄrak</t>
  </si>
  <si>
    <t>Sar-e Pol</t>
  </si>
  <si>
    <t>Sar-e Pul</t>
  </si>
  <si>
    <t>Shä «ná¸ aná¸</t>
  </si>
  <si>
    <t>ShÄ«ná¸aná¸</t>
  </si>
  <si>
    <t>Shahrak</t>
  </si>
  <si>
    <t>Ghowr</t>
  </si>
  <si>
    <t>Shibirghä n</t>
  </si>
  <si>
    <t>ShibirghÄn</t>
  </si>
  <si>
    <t>Taloqan</t>
  </si>
  <si>
    <t>Zaranj</t>
  </si>
  <si>
    <t>Mariehamn</t>
  </si>
  <si>
    <t>Aland Islands</t>
  </si>
  <si>
    <t>Mariehamns stad</t>
  </si>
  <si>
    <t>Berat</t>
  </si>
  <si>
    <t>Albania</t>
  </si>
  <si>
    <t>Burrel</t>
  </si>
  <si>
    <t>DibÃ«r</t>
  </si>
  <si>
    <t>Durré</t>
  </si>
  <si>
    <t>DurrÃ«s</t>
  </si>
  <si>
    <t>Elbasan</t>
  </si>
  <si>
    <t>Fero</t>
  </si>
  <si>
    <t>Fier</t>
  </si>
  <si>
    <t>Fero-ã ‡ ifã§i</t>
  </si>
  <si>
    <t>Fier-Ã‡ifÃ§i</t>
  </si>
  <si>
    <t>Gjirokastã r</t>
  </si>
  <si>
    <t>GjirokastÃ«r</t>
  </si>
  <si>
    <t>Kavajã «</t>
  </si>
  <si>
    <t>KavajÃ«</t>
  </si>
  <si>
    <t>TiranÃ«</t>
  </si>
  <si>
    <t>Kor'An «</t>
  </si>
  <si>
    <t>KorÃ§Ã«</t>
  </si>
  <si>
    <t>Krujã «</t>
  </si>
  <si>
    <t>KrujÃ«</t>
  </si>
  <si>
    <t>Kuã§ov'</t>
  </si>
  <si>
    <t>KuÃ§ovÃ«</t>
  </si>
  <si>
    <t>Kuké</t>
  </si>
  <si>
    <t>KukÃ«s</t>
  </si>
  <si>
    <t>La -se</t>
  </si>
  <si>
    <t>LaÃ§</t>
  </si>
  <si>
    <t>LezhÃ«</t>
  </si>
  <si>
    <t>Lezhã «</t>
  </si>
  <si>
    <t>Lushnjã «</t>
  </si>
  <si>
    <t>LushnjÃ«</t>
  </si>
  <si>
    <t>Patos fshat</t>
  </si>
  <si>
    <t>Patos Fshat</t>
  </si>
  <si>
    <t>Sarandã «</t>
  </si>
  <si>
    <t>SarandÃ«</t>
  </si>
  <si>
    <t>VlorÃ«</t>
  </si>
  <si>
    <t>Shkodã r</t>
  </si>
  <si>
    <t>ShkodÃ«r</t>
  </si>
  <si>
    <t>Tirana</t>
  </si>
  <si>
    <t>Vlorã</t>
  </si>
  <si>
    <t>â € ˜aãn el hadjel</t>
  </si>
  <si>
    <t>â€˜AÃ¯n el Hadjel</t>
  </si>
  <si>
    <t>Algeria</t>
  </si>
  <si>
    <t>MÊ¼sila</t>
  </si>
  <si>
    <t>â € ™ aãn</t>
  </si>
  <si>
    <t>â€™AÃ¯n Abid</t>
  </si>
  <si>
    <t>Constantine</t>
  </si>
  <si>
    <t>â € ™ Aã ã</t>
  </si>
  <si>
    <t>â€™AÃ¯n Benian</t>
  </si>
  <si>
    <t>Tipaza</t>
  </si>
  <si>
    <t>â € ™ Aãn Deheb</t>
  </si>
  <si>
    <t>â€™AÃ¯n Deheb</t>
  </si>
  <si>
    <t>Tiaret</t>
  </si>
  <si>
    <t>â € ™ aãn El Bell</t>
  </si>
  <si>
    <t>â€™AÃ¯n el Bell</t>
  </si>
  <si>
    <t>Djelfa</t>
  </si>
  <si>
    <t>â € ™ aãn El Berd</t>
  </si>
  <si>
    <t>â€™AÃ¯n el Berd</t>
  </si>
  <si>
    <t>Sidi Bel AbbÃ¨s</t>
  </si>
  <si>
    <t>Ai Hammam</t>
  </si>
  <si>
    <t>â€™AÃ¯n el Hammam</t>
  </si>
  <si>
    <t>Tizi Ouzou</t>
  </si>
  <si>
    <t>â € ™ Aãn El MelH</t>
  </si>
  <si>
    <t>â€™AÃ¯n el Melh</t>
  </si>
  <si>
    <t>â € ™ Aãn El Turk</t>
  </si>
  <si>
    <t>â€™AÃ¯n el Turk</t>
  </si>
  <si>
    <t>Oran</t>
  </si>
  <si>
    <t>â € €</t>
  </si>
  <si>
    <t>â€™AÃ¯n Merane</t>
  </si>
  <si>
    <t>Relizane</t>
  </si>
  <si>
    <t>Aãn arnat</t>
  </si>
  <si>
    <t>AÃ¯n Arnat</t>
  </si>
  <si>
    <t>SÃ©tif</t>
  </si>
  <si>
    <t>Aãn beã</t>
  </si>
  <si>
    <t>AÃ¯n BeÃ¯da</t>
  </si>
  <si>
    <t>Oum el Bouaghi</t>
  </si>
  <si>
    <t>Aãn Bessem</t>
  </si>
  <si>
    <t>AÃ¯n Bessem</t>
  </si>
  <si>
    <t>Bouira</t>
  </si>
  <si>
    <t>Aãn defla</t>
  </si>
  <si>
    <t>AÃ¯n Defla</t>
  </si>
  <si>
    <t>Aãn el bya</t>
  </si>
  <si>
    <t>AÃ¯n el Bya</t>
  </si>
  <si>
    <t>Aã¯n Fakroun</t>
  </si>
  <si>
    <t>AÃ¯n Fakroun</t>
  </si>
  <si>
    <t>Aã¯n Kercha</t>
  </si>
  <si>
    <t>AÃ¯n Kercha</t>
  </si>
  <si>
    <t>Aãn oussera</t>
  </si>
  <si>
    <t>AÃ¯n Oussera</t>
  </si>
  <si>
    <t>Aãn sefra</t>
  </si>
  <si>
    <t>AÃ¯n Sefra</t>
  </si>
  <si>
    <t>Naama Ø§Ù„Ù†Ø¹Ø§Ù…Ø©</t>
  </si>
  <si>
    <t>Aã¯n SMARA</t>
  </si>
  <si>
    <t>AÃ¯n Smara</t>
  </si>
  <si>
    <t>Aãn Taya</t>
  </si>
  <si>
    <t>AÃ¯n Taya</t>
  </si>
  <si>
    <t>Alger</t>
  </si>
  <si>
    <t>Aãn temououcent</t>
  </si>
  <si>
    <t>AÃ¯n Temouchent</t>
  </si>
  <si>
    <t>Aãn touta</t>
  </si>
  <si>
    <t>AÃ¯n Touta</t>
  </si>
  <si>
    <t>Batna</t>
  </si>
  <si>
    <t>Abou El Hassan</t>
  </si>
  <si>
    <t>Abou el Hassan</t>
  </si>
  <si>
    <t>Chlef</t>
  </si>
  <si>
    <t>ADRAR</t>
  </si>
  <si>
    <t>Adrar</t>
  </si>
  <si>
    <t>Aflou</t>
  </si>
  <si>
    <t>Laghouat</t>
  </si>
  <si>
    <t>Akbou</t>
  </si>
  <si>
    <t>BejaÃ¯a</t>
  </si>
  <si>
    <t>Argel</t>
  </si>
  <si>
    <t>Algiers</t>
  </si>
  <si>
    <t>Amizour</t>
  </si>
  <si>
    <t>Ammi Moussa</t>
  </si>
  <si>
    <t>Annaba</t>
  </si>
  <si>
    <t>Aoulef</t>
  </si>
  <si>
    <t>Arbatache</t>
  </si>
  <si>
    <t>Boumerdes</t>
  </si>
  <si>
    <t>Arhribs</t>
  </si>
  <si>
    <t>Aresta</t>
  </si>
  <si>
    <t>Arris</t>
  </si>
  <si>
    <t>Azazga</t>
  </si>
  <si>
    <t>Azzaba</t>
  </si>
  <si>
    <t>Skikda</t>
  </si>
  <si>
    <t>Bá © char</t>
  </si>
  <si>
    <t>BÃ©char</t>
  </si>
  <si>
    <t>Bab Ezzouar</t>
  </si>
  <si>
    <t>Babor - Ville</t>
  </si>
  <si>
    <t>BABOR - VILLE</t>
  </si>
  <si>
    <t>Baraki</t>
  </si>
  <si>
    <t>Barbacha</t>
  </si>
  <si>
    <t>Barika</t>
  </si>
  <si>
    <t>Bejaãa</t>
  </si>
  <si>
    <t>Ben Mehidi</t>
  </si>
  <si>
    <t>El Tarf</t>
  </si>
  <si>
    <t>Beni Amrane</t>
  </si>
  <si>
    <t>Beni Douala</t>
  </si>
  <si>
    <t>Beni Mered</t>
  </si>
  <si>
    <t>Blida</t>
  </si>
  <si>
    <t>Beni mester</t>
  </si>
  <si>
    <t>Beni Mester</t>
  </si>
  <si>
    <t>Tlemcen</t>
  </si>
  <si>
    <t>Beni Saf</t>
  </si>
  <si>
    <t>Bensekrane</t>
  </si>
  <si>
    <t>Berrahal</t>
  </si>
  <si>
    <t>Berriane</t>
  </si>
  <si>
    <t>GhardaÃ¯a</t>
  </si>
  <si>
    <t>Berrouaghia</t>
  </si>
  <si>
    <t>MÃ©dÃ©a</t>
  </si>
  <si>
    <t>Besbes</t>
  </si>
  <si>
    <t>Bir el atter</t>
  </si>
  <si>
    <t>Bir el Ater</t>
  </si>
  <si>
    <t>TÃ©bessa</t>
  </si>
  <si>
    <t>Bir El Djir</t>
  </si>
  <si>
    <t>Bir el Djir</t>
  </si>
  <si>
    <t>Birine</t>
  </si>
  <si>
    <t>Birkhadem</t>
  </si>
  <si>
    <t>Biskra</t>
  </si>
  <si>
    <t>Boi arfa</t>
  </si>
  <si>
    <t>BoÃ» Arfa</t>
  </si>
  <si>
    <t>Boghni</t>
  </si>
  <si>
    <t>Bordj Bou Arreridj</t>
  </si>
  <si>
    <t>Bordj Bou ArrÃ©ridj</t>
  </si>
  <si>
    <t>Bordj El Kiffan</t>
  </si>
  <si>
    <t>Bordj el Kiffan</t>
  </si>
  <si>
    <t>Bordj Ghdir</t>
  </si>
  <si>
    <t>Bordj Zemoura</t>
  </si>
  <si>
    <t>Bou hanifia el hamamat</t>
  </si>
  <si>
    <t>Bou Hanifia el Hamamat</t>
  </si>
  <si>
    <t>Mascara</t>
  </si>
  <si>
    <t>Bou ismaãl</t>
  </si>
  <si>
    <t>Bou IsmaÃ¯l</t>
  </si>
  <si>
    <t>Bou tlelis</t>
  </si>
  <si>
    <t>Bou Tlelis</t>
  </si>
  <si>
    <t>Bouã¯ra</t>
  </si>
  <si>
    <t>BouÃ¯ra</t>
  </si>
  <si>
    <t>Boudjima</t>
  </si>
  <si>
    <t>Boudouaou</t>
  </si>
  <si>
    <t>Boufarik</t>
  </si>
  <si>
    <t>Bougaa</t>
  </si>
  <si>
    <t>Bougara</t>
  </si>
  <si>
    <t>Bouinan</t>
  </si>
  <si>
    <t>Boukadir</t>
  </si>
  <si>
    <t>Boumahra Ahmed</t>
  </si>
  <si>
    <t>Guelma</t>
  </si>
  <si>
    <t>Boumerdas</t>
  </si>
  <si>
    <t>Brezina</t>
  </si>
  <si>
    <t>El Bayadh</t>
  </si>
  <si>
    <t>Chabet El Ameur</t>
  </si>
  <si>
    <t>Chabet el Ameur</t>
  </si>
  <si>
    <t>Charef</t>
  </si>
  <si>
    <t>Chebli</t>
  </si>
  <si>
    <t>Chelghoum El Aã</t>
  </si>
  <si>
    <t>Chelghoum el AÃ¯d</t>
  </si>
  <si>
    <t>Mila</t>
  </si>
  <si>
    <t>Chemini</t>
  </si>
  <si>
    <t>Cheraga</t>
  </si>
  <si>
    <t>Cheria</t>
  </si>
  <si>
    <t>Chetouane</t>
  </si>
  <si>
    <t>CHIFFA</t>
  </si>
  <si>
    <t>Chiffa</t>
  </si>
  <si>
    <t>Chorfa</t>
  </si>
  <si>
    <t>Constantino</t>
  </si>
  <si>
    <t>Dar Chioukh</t>
  </si>
  <si>
    <t>Dar El Beã</t>
  </si>
  <si>
    <t>Dar el BeÃ¯da</t>
  </si>
  <si>
    <t>Debila</t>
  </si>
  <si>
    <t>El Oued</t>
  </si>
  <si>
    <t>Dellys</t>
  </si>
  <si>
    <t>Didouche Mourad</t>
  </si>
  <si>
    <t>Djamaa</t>
  </si>
  <si>
    <t>Ouargla</t>
  </si>
  <si>
    <t>Djidiouia</t>
  </si>
  <si>
    <t>Douera</t>
  </si>
  <si>
    <t>Draa Ben Khedda</t>
  </si>
  <si>
    <t>Draa El Mizan</t>
  </si>
  <si>
    <t>Draa el Mizan</t>
  </si>
  <si>
    <t>Drean</t>
  </si>
  <si>
    <t>ECH Chettia</t>
  </si>
  <si>
    <t>Ech Chettia</t>
  </si>
  <si>
    <t>El Abadia</t>
  </si>
  <si>
    <t>El Abiodh Sidi Cheikh</t>
  </si>
  <si>
    <t>El achir</t>
  </si>
  <si>
    <t>El Achir</t>
  </si>
  <si>
    <t>El Affroun</t>
  </si>
  <si>
    <t>El Amria</t>
  </si>
  <si>
    <t>El Aouinet</t>
  </si>
  <si>
    <t>El attaf</t>
  </si>
  <si>
    <t>El Attaf</t>
  </si>
  <si>
    <t>El Eulma</t>
  </si>
  <si>
    <t>El Hadjar</t>
  </si>
  <si>
    <t>El Hadjira</t>
  </si>
  <si>
    <t>El Hed</t>
  </si>
  <si>
    <t>el hed</t>
  </si>
  <si>
    <t>El Idrissia</t>
  </si>
  <si>
    <t>El Kala</t>
  </si>
  <si>
    <t>El Khroub</t>
  </si>
  <si>
    <t>El Kseur</t>
  </si>
  <si>
    <t>El Malah</t>
  </si>
  <si>
    <t>El oued</t>
  </si>
  <si>
    <t>ES Senia</t>
  </si>
  <si>
    <t>Es Senia</t>
  </si>
  <si>
    <t>Feraoun</t>
  </si>
  <si>
    <t>Freha</t>
  </si>
  <si>
    <t>Frenda</t>
  </si>
  <si>
    <t>Ghardaãa</t>
  </si>
  <si>
    <t>Hé Liopolis</t>
  </si>
  <si>
    <t>HÃ©liopolis</t>
  </si>
  <si>
    <t>Hadjout</t>
  </si>
  <si>
    <t>Hamma Bouziane</t>
  </si>
  <si>
    <t>Hammam Bou Hadjar</t>
  </si>
  <si>
    <t>Hammamet</t>
  </si>
  <si>
    <t>Hassi Messsaoud</t>
  </si>
  <si>
    <t>Hassi Messaoud</t>
  </si>
  <si>
    <t>Hennaya</t>
  </si>
  <si>
    <t>Iighram</t>
  </si>
  <si>
    <t>Ighram</t>
  </si>
  <si>
    <t>I-n-Salah</t>
  </si>
  <si>
    <t>Tamanghasset</t>
  </si>
  <si>
    <t>Isser</t>
  </si>
  <si>
    <t>Jijel</t>
  </si>
  <si>
    <t>Kerkera</t>
  </si>
  <si>
    <t>Khemis El Khechna</t>
  </si>
  <si>
    <t>Khemis el Khechna</t>
  </si>
  <si>
    <t>Khemis Miliana</t>
  </si>
  <si>
    <t>Khenchela</t>
  </si>
  <si>
    <t>Kolea</t>
  </si>
  <si>
    <t>Ksar Chellala</t>
  </si>
  <si>
    <t>Ksar El Boukhari</t>
  </si>
  <si>
    <t>Ksar el Boukhari</t>
  </si>
  <si>
    <t>Arbaa naã na Irathen</t>
  </si>
  <si>
    <t>Lâ€™Arbaa NaÃ¯t Irathen</t>
  </si>
  <si>
    <t>Lakhdaria</t>
  </si>
  <si>
    <t>Larba'</t>
  </si>
  <si>
    <t>LarbaÃ¢</t>
  </si>
  <si>
    <t>Lardjem</t>
  </si>
  <si>
    <t>Tissemsilt</t>
  </si>
  <si>
    <t>Mâ € ™ sila</t>
  </si>
  <si>
    <t>Mâ€™Sila</t>
  </si>
  <si>
    <t>M © d.</t>
  </si>
  <si>
    <t>Makouda</t>
  </si>
  <si>
    <t>Manso »ra</t>
  </si>
  <si>
    <t>MansoÃ»ra</t>
  </si>
  <si>
    <t>Mansourah</t>
  </si>
  <si>
    <t>Rímel</t>
  </si>
  <si>
    <t>Mazouna</t>
  </si>
  <si>
    <t>Meftah</t>
  </si>
  <si>
    <t>Megarine</t>
  </si>
  <si>
    <t>Mehdia</t>
  </si>
  <si>
    <t>Mekla</t>
  </si>
  <si>
    <t>Melouza</t>
  </si>
  <si>
    <t>Merouana</t>
  </si>
  <si>
    <t>Mers El Kebir</t>
  </si>
  <si>
    <t>Mers el Kebir</t>
  </si>
  <si>
    <t>Meskiana</t>
  </si>
  <si>
    <t>Messaad</t>
  </si>
  <si>
    <t>Metlili Chaamba</t>
  </si>
  <si>
    <t>MOSTAGANEM</t>
  </si>
  <si>
    <t>Mostaganem</t>
  </si>
  <si>
    <t>Mouzaãa</t>
  </si>
  <si>
    <t>MouzaÃ¯a</t>
  </si>
  <si>
    <t>Naciria</t>
  </si>
  <si>
    <t>Nedroma</t>
  </si>
  <si>
    <t>Oued el abtal</t>
  </si>
  <si>
    <t>Oued el Abtal</t>
  </si>
  <si>
    <t>Oued el alleug</t>
  </si>
  <si>
    <t>Oued el Alleug</t>
  </si>
  <si>
    <t>Oued fodda</t>
  </si>
  <si>
    <t>Oued Fodda</t>
  </si>
  <si>
    <t>Oued rhiou</t>
  </si>
  <si>
    <t>Oued Rhiou</t>
  </si>
  <si>
    <t>Oued asty</t>
  </si>
  <si>
    <t>Oued Sly</t>
  </si>
  <si>
    <t>Mimoun</t>
  </si>
  <si>
    <t>Ouled Mimoun</t>
  </si>
  <si>
    <t>Oum el bouaghi</t>
  </si>
  <si>
    <t>R.</t>
  </si>
  <si>
    <t>RÃ¢s el AÃ¯oun</t>
  </si>
  <si>
    <t>RÃ¢s el Oued</t>
  </si>
  <si>
    <t>Reggane</t>
  </si>
  <si>
    <t>Regaãa</t>
  </si>
  <si>
    <t>ReghaÃ¯a</t>
  </si>
  <si>
    <t>Reguiba</t>
  </si>
  <si>
    <t>Remchi</t>
  </si>
  <si>
    <t>Robbah</t>
  </si>
  <si>
    <t>Rouached</t>
  </si>
  <si>
    <t>Rouiba</t>
  </si>
  <si>
    <t>Rouissat</t>
  </si>
  <si>
    <t>S © TIF</t>
  </si>
  <si>
    <t>Saã</t>
  </si>
  <si>
    <t>SaÃ¯da</t>
  </si>
  <si>
    <t>Salah Bey</t>
  </si>
  <si>
    <t>Saoula</t>
  </si>
  <si>
    <t>Sebdou</t>
  </si>
  <si>
    <t>Seddouk</t>
  </si>
  <si>
    <t>Sedrata</t>
  </si>
  <si>
    <t>Souk Ahras</t>
  </si>
  <si>
    <t>Sfizef</t>
  </si>
  <si>
    <t>Sidi Aã¯sa</t>
  </si>
  <si>
    <t>Sidi AÃ¯ssa</t>
  </si>
  <si>
    <t>Sidi Abdelli</t>
  </si>
  <si>
    <t>Sidi Akkacha</t>
  </si>
  <si>
    <t>Sidi Amrane</t>
  </si>
  <si>
    <t>Sidi Bel Abbãs</t>
  </si>
  <si>
    <t>Sidi Ech Chahmi</t>
  </si>
  <si>
    <t>Sidi ech Chahmi</t>
  </si>
  <si>
    <t>Sidi Khaled</t>
  </si>
  <si>
    <t>Sidi M © Rouane</t>
  </si>
  <si>
    <t>Sidi MÃ©rouane</t>
  </si>
  <si>
    <t>Sidi Moussa</t>
  </si>
  <si>
    <t>Sidi Okba</t>
  </si>
  <si>
    <t>Sig</t>
  </si>
  <si>
    <t>Sougueur</t>
  </si>
  <si>
    <t>Souma</t>
  </si>
  <si>
    <t>Azedo el ghozlane</t>
  </si>
  <si>
    <t>Sour el Ghozlane</t>
  </si>
  <si>
    <t>Té Bessa</t>
  </si>
  <si>
    <t>Tadmaã</t>
  </si>
  <si>
    <t>TadmaÃ¯t</t>
  </si>
  <si>
    <t>Tamálico</t>
  </si>
  <si>
    <t>Tamalous</t>
  </si>
  <si>
    <t>Tamanrasset</t>
  </si>
  <si>
    <t>Tazoult-Lambese</t>
  </si>
  <si>
    <t>Tebesbest</t>
  </si>
  <si>
    <t>Telerghma</t>
  </si>
  <si>
    <t>Entãoia</t>
  </si>
  <si>
    <t>Thenia</t>
  </si>
  <si>
    <t>Então o El tinha</t>
  </si>
  <si>
    <t>Theniet el Had</t>
  </si>
  <si>
    <t>Timimoun</t>
  </si>
  <si>
    <t>Timizart</t>
  </si>
  <si>
    <t>Tindouf</t>
  </si>
  <si>
    <t>Tipasa</t>
  </si>
  <si>
    <t>Tirmitina</t>
  </si>
  <si>
    <t>Tirmitine</t>
  </si>
  <si>
    <t>TissemSilt</t>
  </si>
  <si>
    <t>Tizi Gheniff</t>
  </si>
  <si>
    <t>Tizi Rached</t>
  </si>
  <si>
    <t>Tizi-n-tleta</t>
  </si>
  <si>
    <t>Tizi-n-Tleta</t>
  </si>
  <si>
    <t>Tolga</t>
  </si>
  <si>
    <t>Touggourt</t>
  </si>
  <si>
    <t>Zemoura</t>
  </si>
  <si>
    <t>Zeralda</t>
  </si>
  <si>
    <t>Zeribet el oued</t>
  </si>
  <si>
    <t>Zeribet el Oued</t>
  </si>
  <si>
    <t>Pago Pago</t>
  </si>
  <si>
    <t>American Samoa</t>
  </si>
  <si>
    <t>Eastern District</t>
  </si>
  <si>
    <t>Andorra la Vella</t>
  </si>
  <si>
    <t>Andorra</t>
  </si>
  <si>
    <t>Les Escaldes</t>
  </si>
  <si>
    <t>les Escaldes</t>
  </si>
  <si>
    <t>Escaldes-Engordany</t>
  </si>
  <si>
    <t>Benguela</t>
  </si>
  <si>
    <t>Angola</t>
  </si>
  <si>
    <t>Caãla</t>
  </si>
  <si>
    <t>CaÃ¡la</t>
  </si>
  <si>
    <t>Huambo</t>
  </si>
  <si>
    <t>Cabinda</t>
  </si>
  <si>
    <t>Caluquembe</t>
  </si>
  <si>
    <t>HuÃ­la</t>
  </si>
  <si>
    <t>Camacupa</t>
  </si>
  <si>
    <t>BiÃ©</t>
  </si>
  <si>
    <t>Catabola</t>
  </si>
  <si>
    <t>Catumbela</t>
  </si>
  <si>
    <t>Caxito</t>
  </si>
  <si>
    <t>Bengo</t>
  </si>
  <si>
    <t>Cuito</t>
  </si>
  <si>
    <t>Lobito</t>
  </si>
  <si>
    <t>Longonjo</t>
  </si>
  <si>
    <t>Luanda</t>
  </si>
  <si>
    <t>Luau</t>
  </si>
  <si>
    <t>Moxico</t>
  </si>
  <si>
    <t>Lubango</t>
  </si>
  <si>
    <t>Lucapa</t>
  </si>
  <si>
    <t>Lunda Norte</t>
  </si>
  <si>
    <t>Luena</t>
  </si>
  <si>
    <t>Malanje</t>
  </si>
  <si>
    <t>MBANZA Congo</t>
  </si>
  <si>
    <t>Mbanza Congo</t>
  </si>
  <si>
    <t>Zaire</t>
  </si>
  <si>
    <t>Menongue</t>
  </si>
  <si>
    <t>Cuando Cubango</t>
  </si>
  <si>
    <t>Nâ € ™ Dalatando</t>
  </si>
  <si>
    <t>Nâ€™dalatando</t>
  </si>
  <si>
    <t>Cuanza Norte</t>
  </si>
  <si>
    <t>Namibe</t>
  </si>
  <si>
    <t>Nzeto</t>
  </si>
  <si>
    <t>Saurimo</t>
  </si>
  <si>
    <t>Lunda Sul</t>
  </si>
  <si>
    <t>Soio</t>
  </si>
  <si>
    <t>Sumbe</t>
  </si>
  <si>
    <t>Cuanza Sul</t>
  </si>
  <si>
    <t>Uãge</t>
  </si>
  <si>
    <t>UÃ­ge</t>
  </si>
  <si>
    <t>O Vale</t>
  </si>
  <si>
    <t>The Valley</t>
  </si>
  <si>
    <t>Anguilla</t>
  </si>
  <si>
    <t>N/A</t>
  </si>
  <si>
    <t>São John</t>
  </si>
  <si>
    <t>Saint Johnâ€™s</t>
  </si>
  <si>
    <t>Antigua and Barbuda</t>
  </si>
  <si>
    <t>Saint John</t>
  </si>
  <si>
    <t>E Atuya</t>
  </si>
  <si>
    <t>AÃ±atuya</t>
  </si>
  <si>
    <t>Argentina</t>
  </si>
  <si>
    <t>Santiago del Estero</t>
  </si>
  <si>
    <t>Adrogué</t>
  </si>
  <si>
    <t>AdroguÃ©</t>
  </si>
  <si>
    <t>Buenos Aires</t>
  </si>
  <si>
    <t>Aguaras</t>
  </si>
  <si>
    <t>Aguilares</t>
  </si>
  <si>
    <t>TucumÃ¡n</t>
  </si>
  <si>
    <t>Albardãn</t>
  </si>
  <si>
    <t>AlbardÃ³n</t>
  </si>
  <si>
    <t>San Juan</t>
  </si>
  <si>
    <t>Alderetes</t>
  </si>
  <si>
    <t>Allen</t>
  </si>
  <si>
    <t>Rio Negro</t>
  </si>
  <si>
    <t>Alta Gracia</t>
  </si>
  <si>
    <t>Cordoba</t>
  </si>
  <si>
    <t>Aristã³bulo del Valle</t>
  </si>
  <si>
    <t>AristÃ³bulo del Valle</t>
  </si>
  <si>
    <t>Misiones</t>
  </si>
  <si>
    <t>Arroyito</t>
  </si>
  <si>
    <t>Arroyo Seco</t>
  </si>
  <si>
    <t>Santa Fe</t>
  </si>
  <si>
    <t>AVELLANEDA</t>
  </si>
  <si>
    <t>Avellaneda</t>
  </si>
  <si>
    <t>Azul</t>
  </si>
  <si>
    <t>Bahãa Blanca</t>
  </si>
  <si>
    <t>BahÃ­a Blanca</t>
  </si>
  <si>
    <t>Barranqueras</t>
  </si>
  <si>
    <t>Chaco</t>
  </si>
  <si>
    <t>Bell Ville</t>
  </si>
  <si>
    <t>Bella Vista</t>
  </si>
  <si>
    <t>Buenos Aires F.D.</t>
  </si>
  <si>
    <t>CãRDOBA</t>
  </si>
  <si>
    <t>CÃ³rdoba</t>
  </si>
  <si>
    <t>Ca ± Ada de Gãmez</t>
  </si>
  <si>
    <t>CaÃ±ada de GÃ³mez</t>
  </si>
  <si>
    <t>Caleta Olivia</t>
  </si>
  <si>
    <t>Santa Cruz</t>
  </si>
  <si>
    <t>Campana</t>
  </si>
  <si>
    <t>Capitá BermunDez</t>
  </si>
  <si>
    <t>CapitÃ¡n BermÃºdez</t>
  </si>
  <si>
    <t>Carcara ±</t>
  </si>
  <si>
    <t>CarcaraÃ±Ã¡</t>
  </si>
  <si>
    <t>Casilda</t>
  </si>
  <si>
    <t>Castelli</t>
  </si>
  <si>
    <t>Catriel</t>
  </si>
  <si>
    <t>CAUCETE</t>
  </si>
  <si>
    <t>Caucete</t>
  </si>
  <si>
    <t>Centenario</t>
  </si>
  <si>
    <t>Neuquen</t>
  </si>
  <si>
    <t>Chacabuco</t>
  </si>
  <si>
    <t>Chajarã</t>
  </si>
  <si>
    <t>ChajarÃ­</t>
  </si>
  <si>
    <t>Entre Rios</t>
  </si>
  <si>
    <t>Charata</t>
  </si>
  <si>
    <t>Chilecito</t>
  </si>
  <si>
    <t>La Rioja</t>
  </si>
  <si>
    <t>Chimbas</t>
  </si>
  <si>
    <t>Chivilcoy</t>
  </si>
  <si>
    <t>Cinco Saltos</t>
  </si>
  <si>
    <t>Cipolletti</t>
  </si>
  <si>
    <t>ColeGiales</t>
  </si>
  <si>
    <t>Colegiales</t>
  </si>
  <si>
    <t>Comodoro Rivadavia</t>
  </si>
  <si>
    <t>Chubut</t>
  </si>
  <si>
    <t>Concepciãnh del Uruguai</t>
  </si>
  <si>
    <t>ConcepciÃ³n del Uruguay</t>
  </si>
  <si>
    <t>Concordia</t>
  </si>
  <si>
    <t>Coronda</t>
  </si>
  <si>
    <t>Coronel Suíz</t>
  </si>
  <si>
    <t>Coronel SuÃ¡rez</t>
  </si>
  <si>
    <t>Corrientes</t>
  </si>
  <si>
    <t>Cosquãn</t>
  </si>
  <si>
    <t>CosquÃ­n</t>
  </si>
  <si>
    <t>Crespo</t>
  </si>
  <si>
    <t>Cruz del Eje</t>
  </si>
  <si>
    <t>CULUZÃº CUATI érte</t>
  </si>
  <si>
    <t>CuruzÃº CuatiÃ¡</t>
  </si>
  <si>
    <t>Cutral-cã</t>
  </si>
  <si>
    <t>Cutral-CÃ³</t>
  </si>
  <si>
    <t>De av</t>
  </si>
  <si>
    <t>DeÃ¡n Funes</t>
  </si>
  <si>
    <t>diamante</t>
  </si>
  <si>
    <t>Diamante</t>
  </si>
  <si>
    <t>Dolores</t>
  </si>
  <si>
    <t>El Bolsãn</t>
  </si>
  <si>
    <t>El BolsÃ³n</t>
  </si>
  <si>
    <t>El Soberbio</t>
  </si>
  <si>
    <t>Embalse</t>
  </si>
  <si>
    <t>Embarcaciãn</t>
  </si>
  <si>
    <t>EmbarcaciÃ³n</t>
  </si>
  <si>
    <t>Salta</t>
  </si>
  <si>
    <t>Esperanza</t>
  </si>
  <si>
    <t>Esquel</t>
  </si>
  <si>
    <t>Esquina</t>
  </si>
  <si>
    <t>Famaillá</t>
  </si>
  <si>
    <t>FamaillÃ¡</t>
  </si>
  <si>
    <t>Federal</t>
  </si>
  <si>
    <t>Firmat</t>
  </si>
  <si>
    <t>Fontana</t>
  </si>
  <si>
    <t>Formosa</t>
  </si>
  <si>
    <t>GãlVez</t>
  </si>
  <si>
    <t>GÃ¡lvez</t>
  </si>
  <si>
    <t>Garupá</t>
  </si>
  <si>
    <t>GarupÃ¡</t>
  </si>
  <si>
    <t>General Enrique Mosconi</t>
  </si>
  <si>
    <t>General José de San Martãn</t>
  </si>
  <si>
    <t>General JosÃ© de San MartÃ­n</t>
  </si>
  <si>
    <t>Geral Pico</t>
  </si>
  <si>
    <t>General Pico</t>
  </si>
  <si>
    <t>La Pampa</t>
  </si>
  <si>
    <t>General Pinedo</t>
  </si>
  <si>
    <t>General Roca</t>
  </si>
  <si>
    <t>GOBERNADOR GORVEZ</t>
  </si>
  <si>
    <t>Gobernador GÃ¡lvez</t>
  </si>
  <si>
    <t>Gobernador Ingeniero Valentãn Virasoro</t>
  </si>
  <si>
    <t>Gobernador Ingeniero ValentÃ­n Virasoro</t>
  </si>
  <si>
    <t>Goya</t>
  </si>
  <si>
    <t>Granadero Baigorria</t>
  </si>
  <si>
    <t>GualEguay</t>
  </si>
  <si>
    <t>Gualeguay</t>
  </si>
  <si>
    <t>GualEguaych ênus</t>
  </si>
  <si>
    <t>GualeguaychÃº</t>
  </si>
  <si>
    <t>Jardãn Amé Rica</t>
  </si>
  <si>
    <t>JardÃ­n AmÃ©rica</t>
  </si>
  <si>
    <t>Jes ã êmbolos marãa</t>
  </si>
  <si>
    <t>JesÃºs MarÃ­a</t>
  </si>
  <si>
    <t>Joaquãn V. Gonzã</t>
  </si>
  <si>
    <t>JoaquÃ­n V. GonzÃ¡lez</t>
  </si>
  <si>
    <t>Junãn</t>
  </si>
  <si>
    <t>JunÃ­n</t>
  </si>
  <si>
    <t>La calera</t>
  </si>
  <si>
    <t>La Calera</t>
  </si>
  <si>
    <t>La Falda</t>
  </si>
  <si>
    <t>La Paz</t>
  </si>
  <si>
    <t>La Plata</t>
  </si>
  <si>
    <t>Laboulaye</t>
  </si>
  <si>
    <t>Las Breã ± como</t>
  </si>
  <si>
    <t>Las BreÃ±as</t>
  </si>
  <si>
    <t>Libertador General San Martãn</t>
  </si>
  <si>
    <t>Libertador General San MartÃ­n</t>
  </si>
  <si>
    <t>Jujuy</t>
  </si>
  <si>
    <t>Lincoln</t>
  </si>
  <si>
    <t>Lujãn</t>
  </si>
  <si>
    <t>LujÃ¡n</t>
  </si>
  <si>
    <t>Machagai</t>
  </si>
  <si>
    <t>Mar del Plata</t>
  </si>
  <si>
    <t>MARCOS JUNEREZ</t>
  </si>
  <si>
    <t>Marcos JuÃ¡rez</t>
  </si>
  <si>
    <t>Mendoza</t>
  </si>
  <si>
    <t>Mercedes</t>
  </si>
  <si>
    <t>Monte Caseros</t>
  </si>
  <si>
    <t>Montecarlo</t>
  </si>
  <si>
    <t>Monteros</t>
  </si>
  <si>
    <t>Morãn</t>
  </si>
  <si>
    <t>MorÃ³n</t>
  </si>
  <si>
    <t>Morteros</t>
  </si>
  <si>
    <t>Necochea</t>
  </si>
  <si>
    <t>Neuqué n</t>
  </si>
  <si>
    <t>NeuquÃ©n</t>
  </si>
  <si>
    <t>Nueve de Julio</t>
  </si>
  <si>
    <t>Ober.</t>
  </si>
  <si>
    <t>OberÃ¡</t>
  </si>
  <si>
    <t>Olavarrãa</t>
  </si>
  <si>
    <t>OlavarrÃ­a</t>
  </si>
  <si>
    <t>Pé © Rez</t>
  </si>
  <si>
    <t>PÃ©rez</t>
  </si>
  <si>
    <t>Palpal.</t>
  </si>
  <si>
    <t>PalpalÃ¡</t>
  </si>
  <si>
    <t>Paraná</t>
  </si>
  <si>
    <t>ParanÃ¡</t>
  </si>
  <si>
    <t>Paso de Los Libres</t>
  </si>
  <si>
    <t>Paso de los Libres</t>
  </si>
  <si>
    <t>Pergamino</t>
  </si>
  <si>
    <t>Pirané</t>
  </si>
  <si>
    <t>PiranÃ©</t>
  </si>
  <si>
    <t>Plottier</t>
  </si>
  <si>
    <t>Pocito</t>
  </si>
  <si>
    <t>Pontevedra</t>
  </si>
  <si>
    <t>Posadas</t>
  </si>
  <si>
    <t>Presidencia Roque Sãnz Penha ± A</t>
  </si>
  <si>
    <t>Presidencia Roque SÃ¡enz PeÃ±a</t>
  </si>
  <si>
    <t>Puerto Eldorado</t>
  </si>
  <si>
    <t>Porto Esperanza</t>
  </si>
  <si>
    <t>Puerto Esperanza</t>
  </si>
  <si>
    <t>Puerto Iguazi</t>
  </si>
  <si>
    <t>Puerto IguazÃº</t>
  </si>
  <si>
    <t>Puerto Madryn</t>
  </si>
  <si>
    <t>Porto Rico</t>
  </si>
  <si>
    <t>Puerto Rico</t>
  </si>
  <si>
    <t>Punta Alta</t>
  </si>
  <si>
    <t>Quilmes</t>
  </si>
  <si>
    <t>Quitilipi</t>
  </si>
  <si>
    <t>Rafaela</t>
  </si>
  <si>
    <t>Rão Ceballos</t>
  </si>
  <si>
    <t>RÃ­o Ceballos</t>
  </si>
  <si>
    <t>Rão Cuarto</t>
  </si>
  <si>
    <t>RÃ­o Cuarto</t>
  </si>
  <si>
    <t>Rão Gallegos</t>
  </si>
  <si>
    <t>RÃ­o Gallegos</t>
  </si>
  <si>
    <t>Rão Segundo</t>
  </si>
  <si>
    <t>RÃ­o Segundo</t>
  </si>
  <si>
    <t>Rão Tercero</t>
  </si>
  <si>
    <t>RÃ­o Tercero</t>
  </si>
  <si>
    <t>Rawson</t>
  </si>
  <si>
    <t>Reconquista</t>
  </si>
  <si>
    <t>Resistência</t>
  </si>
  <si>
    <t>Resistencia</t>
  </si>
  <si>
    <t>Retiro</t>
  </si>
  <si>
    <t>Rosario</t>
  </si>
  <si>
    <t>RUFINO</t>
  </si>
  <si>
    <t>Rufino</t>
  </si>
  <si>
    <t>Saladas</t>
  </si>
  <si>
    <t>San Antonio Oeste</t>
  </si>
  <si>
    <t>San Carlos de Bariloche</t>
  </si>
  <si>
    <t>San Fernando del Valle de Catamarca</t>
  </si>
  <si>
    <t>Catamarca</t>
  </si>
  <si>
    <t>São Francisco</t>
  </si>
  <si>
    <t>San Francisco</t>
  </si>
  <si>
    <t>San Isidro</t>
  </si>
  <si>
    <t>San Javier</t>
  </si>
  <si>
    <t>San Jorge</t>
  </si>
  <si>
    <t>San José de Jãcal</t>
  </si>
  <si>
    <t>San JosÃ© de JÃ¡chal</t>
  </si>
  <si>
    <t>San Justo</t>
  </si>
  <si>
    <t>San Lorenzo</t>
  </si>
  <si>
    <t>San Luis</t>
  </si>
  <si>
    <t>San Luis del Palmar</t>
  </si>
  <si>
    <t>San Martãn</t>
  </si>
  <si>
    <t>San MartÃ­n</t>
  </si>
  <si>
    <t>San Martãn de Los Andes</t>
  </si>
  <si>
    <t>San MartÃ­n de los Andes</t>
  </si>
  <si>
    <t>San Miguel de Tucum.</t>
  </si>
  <si>
    <t>San Miguel de TucumÃ¡n</t>
  </si>
  <si>
    <t>San Nicolá de Los Arroyos</t>
  </si>
  <si>
    <t>San NicolÃ¡s de los Arroyos</t>
  </si>
  <si>
    <t>Sao Pedro</t>
  </si>
  <si>
    <t>San Pedro</t>
  </si>
  <si>
    <t>San Rafael</t>
  </si>
  <si>
    <t>San Ramã³n de la Nueva Orãn</t>
  </si>
  <si>
    <t>San RamÃ³n de la Nueva OrÃ¡n</t>
  </si>
  <si>
    <t>San Salvador de Jujuy</t>
  </si>
  <si>
    <t>San Vicente</t>
  </si>
  <si>
    <t>Santa Elena</t>
  </si>
  <si>
    <t>Santa Fe de la Vera Cruz</t>
  </si>
  <si>
    <t>Santa Lucãa</t>
  </si>
  <si>
    <t>Santa LucÃ­a</t>
  </si>
  <si>
    <t>Santa Rosa</t>
  </si>
  <si>
    <t>Santo Tomé</t>
  </si>
  <si>
    <t>Santo TomÃ©</t>
  </si>
  <si>
    <t>SUNCHALES</t>
  </si>
  <si>
    <t>Sunchales</t>
  </si>
  <si>
    <t>Tafã Viejo</t>
  </si>
  <si>
    <t>TafÃ­ Viejo</t>
  </si>
  <si>
    <t>Tandil</t>
  </si>
  <si>
    <t>Tartagal</t>
  </si>
  <si>
    <t>Terra de Rão Hondo</t>
  </si>
  <si>
    <t>Termas de RÃ­o Hondo</t>
  </si>
  <si>
    <t>Tigre</t>
  </si>
  <si>
    <t>Trelew</t>
  </si>
  <si>
    <t>Tres Arroyos</t>
  </si>
  <si>
    <t>Tres Isletas</t>
  </si>
  <si>
    <t>UNQUILLO</t>
  </si>
  <si>
    <t>Unquillo</t>
  </si>
  <si>
    <t>Ushuaia</t>
  </si>
  <si>
    <t>Tierra del Fuego</t>
  </si>
  <si>
    <t>Veinticinco de Mayo</t>
  </si>
  <si>
    <t>Venado Tuerto</t>
  </si>
  <si>
    <t>Vera</t>
  </si>
  <si>
    <t>Victoria</t>
  </si>
  <si>
    <t>Viedma</t>
  </si>
  <si>
    <t>Villa ã ngela</t>
  </si>
  <si>
    <t>Villa Ãngela</t>
  </si>
  <si>
    <t>Villa Allende</t>
  </si>
  <si>
    <t>Villa Carlos Paz</t>
  </si>
  <si>
    <t>Villa Constituciãn</t>
  </si>
  <si>
    <t>Villa ConstituciÃ³n</t>
  </si>
  <si>
    <t>Villa Dolores</t>
  </si>
  <si>
    <t>Villa Gesell</t>
  </si>
  <si>
    <t>Villa Lugano</t>
  </si>
  <si>
    <t>Villa Marãa</t>
  </si>
  <si>
    <t>Villa MarÃ­a</t>
  </si>
  <si>
    <t>Villa Mercedes</t>
  </si>
  <si>
    <t>Villa Nueva</t>
  </si>
  <si>
    <t>Villa Ocampo</t>
  </si>
  <si>
    <t>Villa Paula de Sarmiento</t>
  </si>
  <si>
    <t>Villa Regina</t>
  </si>
  <si>
    <t>Villa Santa Rita</t>
  </si>
  <si>
    <t>Villaguay</t>
  </si>
  <si>
    <t>Yerba Buena</t>
  </si>
  <si>
    <t>Zã</t>
  </si>
  <si>
    <t>ZÃ¡rate</t>
  </si>
  <si>
    <t>Zapala</t>
  </si>
  <si>
    <t>ABOVYAN</t>
  </si>
  <si>
    <t>Abovyan</t>
  </si>
  <si>
    <t>Armenia</t>
  </si>
  <si>
    <t>Kotayk Province</t>
  </si>
  <si>
    <t>ARARAT</t>
  </si>
  <si>
    <t>Ararat</t>
  </si>
  <si>
    <t>Ararat Province</t>
  </si>
  <si>
    <t>Armavir</t>
  </si>
  <si>
    <t>Armavir Province</t>
  </si>
  <si>
    <t>Artashat</t>
  </si>
  <si>
    <t>Ashtarak</t>
  </si>
  <si>
    <t>Aragatsotn Province</t>
  </si>
  <si>
    <t>Ejmiatsin</t>
  </si>
  <si>
    <t>Gavarr</t>
  </si>
  <si>
    <t>Gegharkunik Province</t>
  </si>
  <si>
    <t>Goris</t>
  </si>
  <si>
    <t>Syunik Province</t>
  </si>
  <si>
    <t>Gyumri</t>
  </si>
  <si>
    <t>Shirak Province</t>
  </si>
  <si>
    <t>Chapéus Avan</t>
  </si>
  <si>
    <t>Hatsâ€™avan</t>
  </si>
  <si>
    <t>Hrazdan</t>
  </si>
  <si>
    <t>Kapan</t>
  </si>
  <si>
    <t>Masis</t>
  </si>
  <si>
    <t>Sevan</t>
  </si>
  <si>
    <t>Spitak</t>
  </si>
  <si>
    <t>Lori Province</t>
  </si>
  <si>
    <t>Vanadzor</t>
  </si>
  <si>
    <t>Yerevan</t>
  </si>
  <si>
    <t>Angochi</t>
  </si>
  <si>
    <t>Aruba</t>
  </si>
  <si>
    <t>Babijn</t>
  </si>
  <si>
    <t>Oranjestad</t>
  </si>
  <si>
    <t>Adelaide</t>
  </si>
  <si>
    <t>Australia</t>
  </si>
  <si>
    <t>South Australia</t>
  </si>
  <si>
    <t>Adelaide Hills</t>
  </si>
  <si>
    <t>Albany</t>
  </si>
  <si>
    <t>Western Australia</t>
  </si>
  <si>
    <t>Albury</t>
  </si>
  <si>
    <t>New South Wales</t>
  </si>
  <si>
    <t>Alice Springs</t>
  </si>
  <si>
    <t>Northern Territory</t>
  </si>
  <si>
    <t>Altona Meadows</t>
  </si>
  <si>
    <t>Armadale</t>
  </si>
  <si>
    <t>Armidale</t>
  </si>
  <si>
    <t>Ashfield</t>
  </si>
  <si>
    <t>Auburn</t>
  </si>
  <si>
    <t>Ballarat</t>
  </si>
  <si>
    <t>Balwyn North</t>
  </si>
  <si>
    <t>Bankstown</t>
  </si>
  <si>
    <t>Ponto de Banora</t>
  </si>
  <si>
    <t>Banora Point</t>
  </si>
  <si>
    <t>Bathurst</t>
  </si>
  <si>
    <t>Baulkham Hills</t>
  </si>
  <si>
    <t>Bendigo</t>
  </si>
  <si>
    <t>Berwick</t>
  </si>
  <si>
    <t>Blacktown</t>
  </si>
  <si>
    <t>Booval</t>
  </si>
  <si>
    <t>Queensland</t>
  </si>
  <si>
    <t>Boronia</t>
  </si>
  <si>
    <t>Bracken Ridge</t>
  </si>
  <si>
    <t>Brighton East</t>
  </si>
  <si>
    <t>Brisbane</t>
  </si>
  <si>
    <t>Colina quebrada</t>
  </si>
  <si>
    <t>Broken Hill</t>
  </si>
  <si>
    <t>Brunswick</t>
  </si>
  <si>
    <t>Buderim</t>
  </si>
  <si>
    <t>Bunbury</t>
  </si>
  <si>
    <t>Bundaberg</t>
  </si>
  <si>
    <t>BUNDOORA</t>
  </si>
  <si>
    <t>Bundoora</t>
  </si>
  <si>
    <t>Burnie</t>
  </si>
  <si>
    <t>Tasmania</t>
  </si>
  <si>
    <t>Busselton</t>
  </si>
  <si>
    <t>Caboolture</t>
  </si>
  <si>
    <t>Cairns</t>
  </si>
  <si>
    <t>Caloundra</t>
  </si>
  <si>
    <t>Camberwell</t>
  </si>
  <si>
    <t>Canberra</t>
  </si>
  <si>
    <t>Australian Capital Territory</t>
  </si>
  <si>
    <t>Canning Vale</t>
  </si>
  <si>
    <t>Carindale</t>
  </si>
  <si>
    <t>Caringbah</t>
  </si>
  <si>
    <t>Carlingford</t>
  </si>
  <si>
    <t>Carnegie</t>
  </si>
  <si>
    <t>Carrum Downs</t>
  </si>
  <si>
    <t>Castle Hill</t>
  </si>
  <si>
    <t>Cessnock</t>
  </si>
  <si>
    <t>Cheltenham</t>
  </si>
  <si>
    <t>Cidade de Parramatta</t>
  </si>
  <si>
    <t>City of Parramatta</t>
  </si>
  <si>
    <t>Clayton</t>
  </si>
  <si>
    <t>Coburg</t>
  </si>
  <si>
    <t>Porto de Coffs</t>
  </si>
  <si>
    <t>Coffs Harbour</t>
  </si>
  <si>
    <t>Craigieburn</t>
  </si>
  <si>
    <t>Cranbourne</t>
  </si>
  <si>
    <t>Cronulla</t>
  </si>
  <si>
    <t>Dandenong</t>
  </si>
  <si>
    <t>Dandenong North</t>
  </si>
  <si>
    <t>Darwin</t>
  </si>
  <si>
    <t>Baía de Deception</t>
  </si>
  <si>
    <t>Deception Bay</t>
  </si>
  <si>
    <t>Dee Por quê</t>
  </si>
  <si>
    <t>Dee Why</t>
  </si>
  <si>
    <t>Parque dos cervos</t>
  </si>
  <si>
    <t>Deer Park</t>
  </si>
  <si>
    <t>Devonport</t>
  </si>
  <si>
    <t>Doncaster</t>
  </si>
  <si>
    <t>Doncaster leste</t>
  </si>
  <si>
    <t>Doncaster East</t>
  </si>
  <si>
    <t>DUBBO</t>
  </si>
  <si>
    <t>Dubbo</t>
  </si>
  <si>
    <t>Earlwood</t>
  </si>
  <si>
    <t>Echuca</t>
  </si>
  <si>
    <t>Eltham</t>
  </si>
  <si>
    <t>Endeavor Hills</t>
  </si>
  <si>
    <t>Endeavour Hills</t>
  </si>
  <si>
    <t>Engadine</t>
  </si>
  <si>
    <t>Epping</t>
  </si>
  <si>
    <t>Essendon</t>
  </si>
  <si>
    <t>Ferntree Gully</t>
  </si>
  <si>
    <t>Lago florestal</t>
  </si>
  <si>
    <t>Forest Lake</t>
  </si>
  <si>
    <t>Forster</t>
  </si>
  <si>
    <t>Frankston</t>
  </si>
  <si>
    <t>Frankston East</t>
  </si>
  <si>
    <t>Frankston South</t>
  </si>
  <si>
    <t>Fremantle</t>
  </si>
  <si>
    <t>Gawler</t>
  </si>
  <si>
    <t>Geelong</t>
  </si>
  <si>
    <t>Geraldton</t>
  </si>
  <si>
    <t>Gladstone</t>
  </si>
  <si>
    <t>Glen Iris</t>
  </si>
  <si>
    <t>Glenferrie</t>
  </si>
  <si>
    <t>Glenmore Park</t>
  </si>
  <si>
    <t>Glenroy</t>
  </si>
  <si>
    <t>Costa Dourada</t>
  </si>
  <si>
    <t>Gold Coast</t>
  </si>
  <si>
    <t>Gosnells</t>
  </si>
  <si>
    <t>Goulburn</t>
  </si>
  <si>
    <t>Granville</t>
  </si>
  <si>
    <t>Greensborough</t>
  </si>
  <si>
    <t>Griffith</t>
  </si>
  <si>
    <t>Hampton Park</t>
  </si>
  <si>
    <t>Hawthorn South</t>
  </si>
  <si>
    <t>Encosta</t>
  </si>
  <si>
    <t>Hillside</t>
  </si>
  <si>
    <t>Hobart</t>
  </si>
  <si>
    <t>Hoppers cruzando</t>
  </si>
  <si>
    <t>Hoppers Crossing</t>
  </si>
  <si>
    <t>Hornsby</t>
  </si>
  <si>
    <t>Kalgoorlie</t>
  </si>
  <si>
    <t>Katoomba</t>
  </si>
  <si>
    <t>Kew</t>
  </si>
  <si>
    <t>Keysborough</t>
  </si>
  <si>
    <t>Kwinana</t>
  </si>
  <si>
    <t>Lalor</t>
  </si>
  <si>
    <t>Langwarrin</t>
  </si>
  <si>
    <t>Lara</t>
  </si>
  <si>
    <t>Launceston</t>
  </si>
  <si>
    <t>Lilydale</t>
  </si>
  <si>
    <t>Lismore</t>
  </si>
  <si>
    <t>Liverpool</t>
  </si>
  <si>
    <t>Cidade de Logan</t>
  </si>
  <si>
    <t>Logan City</t>
  </si>
  <si>
    <t>Mackay</t>
  </si>
  <si>
    <t>Maitland</t>
  </si>
  <si>
    <t>Malvern East</t>
  </si>
  <si>
    <t>Mandurah</t>
  </si>
  <si>
    <t>Maroubra</t>
  </si>
  <si>
    <t>Marrickville</t>
  </si>
  <si>
    <t>Maryborough</t>
  </si>
  <si>
    <t>Melbourne</t>
  </si>
  <si>
    <t>Melton</t>
  </si>
  <si>
    <t>Mildura</t>
  </si>
  <si>
    <t>Mill Park</t>
  </si>
  <si>
    <t>Moe</t>
  </si>
  <si>
    <t>Morayfield</t>
  </si>
  <si>
    <t>Mornington</t>
  </si>
  <si>
    <t>Morphett Vale</t>
  </si>
  <si>
    <t>Mosman</t>
  </si>
  <si>
    <t>Monte Eliza</t>
  </si>
  <si>
    <t>Mount Eliza</t>
  </si>
  <si>
    <t>Mount Gambier</t>
  </si>
  <si>
    <t>Monte Isa</t>
  </si>
  <si>
    <t>Mount Isa</t>
  </si>
  <si>
    <t>Monte Martha</t>
  </si>
  <si>
    <t>Mount Martha</t>
  </si>
  <si>
    <t>Mulgrave</t>
  </si>
  <si>
    <t>Murray Bridge</t>
  </si>
  <si>
    <t>Narangba</t>
  </si>
  <si>
    <t>Narre Warren</t>
  </si>
  <si>
    <t>Narre Warren South</t>
  </si>
  <si>
    <t>Nerang</t>
  </si>
  <si>
    <t>Newcastle</t>
  </si>
  <si>
    <t>Noble Park</t>
  </si>
  <si>
    <t>North Ryde</t>
  </si>
  <si>
    <t>Northcote</t>
  </si>
  <si>
    <t>Nowra</t>
  </si>
  <si>
    <t>Laranja</t>
  </si>
  <si>
    <t>Orange</t>
  </si>
  <si>
    <t>Pakenham South</t>
  </si>
  <si>
    <t>Palmerston</t>
  </si>
  <si>
    <t>Paramatta</t>
  </si>
  <si>
    <t>Perth</t>
  </si>
  <si>
    <t>Cozinheiro de pontos</t>
  </si>
  <si>
    <t>Point Cook</t>
  </si>
  <si>
    <t>Port Hedland</t>
  </si>
  <si>
    <t>Port Macquarie</t>
  </si>
  <si>
    <t>Port Stephens</t>
  </si>
  <si>
    <t>Preston</t>
  </si>
  <si>
    <t>Prospect</t>
  </si>
  <si>
    <t>Quakers Hill</t>
  </si>
  <si>
    <t>Queanbeyan</t>
  </si>
  <si>
    <t>Randwick</t>
  </si>
  <si>
    <t>Reservatório</t>
  </si>
  <si>
    <t>Reservoir</t>
  </si>
  <si>
    <t>Richmond</t>
  </si>
  <si>
    <t>Rockhampton</t>
  </si>
  <si>
    <t>Rockingham</t>
  </si>
  <si>
    <t>Rowville</t>
  </si>
  <si>
    <t>Roxburgh Park</t>
  </si>
  <si>
    <t>Saint Albans</t>
  </si>
  <si>
    <t>Saint Kilda</t>
  </si>
  <si>
    <t>Seaford</t>
  </si>
  <si>
    <t>Shepparton</t>
  </si>
  <si>
    <t>South Brisbane</t>
  </si>
  <si>
    <t>South Grafton</t>
  </si>
  <si>
    <t>Southport</t>
  </si>
  <si>
    <t>Springvale</t>
  </si>
  <si>
    <t>St Albans</t>
  </si>
  <si>
    <t>Sunbury</t>
  </si>
  <si>
    <t>Sunnybank</t>
  </si>
  <si>
    <t>Sunnybank Hills</t>
  </si>
  <si>
    <t>Sunshine West</t>
  </si>
  <si>
    <t>Paraíso dos surfistas</t>
  </si>
  <si>
    <t>Surfers Paradise</t>
  </si>
  <si>
    <t>Sydney</t>
  </si>
  <si>
    <t>Tamworth</t>
  </si>
  <si>
    <t>Taree</t>
  </si>
  <si>
    <t>Tarneit</t>
  </si>
  <si>
    <t>Taylors Lakes</t>
  </si>
  <si>
    <t>Thomastown</t>
  </si>
  <si>
    <t>Thornbury</t>
  </si>
  <si>
    <t>Thornlie</t>
  </si>
  <si>
    <t>Toowoomba</t>
  </si>
  <si>
    <t>Townsville</t>
  </si>
  <si>
    <t>TRARALGON</t>
  </si>
  <si>
    <t>Traralgon</t>
  </si>
  <si>
    <t>Umina</t>
  </si>
  <si>
    <t>Wagga Wagga</t>
  </si>
  <si>
    <t>Wangaratta</t>
  </si>
  <si>
    <t>Wantirna South</t>
  </si>
  <si>
    <t>Warrnambool</t>
  </si>
  <si>
    <t>Werribee</t>
  </si>
  <si>
    <t>West Senannt</t>
  </si>
  <si>
    <t>West Pennant</t>
  </si>
  <si>
    <t>Whyalla</t>
  </si>
  <si>
    <t>Willetton</t>
  </si>
  <si>
    <t>Wodonga</t>
  </si>
  <si>
    <t>Wollongong</t>
  </si>
  <si>
    <t>Woodridge</t>
  </si>
  <si>
    <t>Wyndham Vale</t>
  </si>
  <si>
    <t>Amstetten</t>
  </si>
  <si>
    <t>Austria</t>
  </si>
  <si>
    <t>Lower Austria</t>
  </si>
  <si>
    <t>Ansfelden</t>
  </si>
  <si>
    <t>Salzburg</t>
  </si>
  <si>
    <t>Baden</t>
  </si>
  <si>
    <t>Braunau Am Inn</t>
  </si>
  <si>
    <t>Braunau am Inn</t>
  </si>
  <si>
    <t>Upper Austria</t>
  </si>
  <si>
    <t>Bregenz</t>
  </si>
  <si>
    <t>Vorarlberg</t>
  </si>
  <si>
    <t>Dornbirn</t>
  </si>
  <si>
    <t>Feldkirch</t>
  </si>
  <si>
    <t>Graz</t>
  </si>
  <si>
    <t>Styria</t>
  </si>
  <si>
    <t>Hallein</t>
  </si>
  <si>
    <t>Innsbruck</t>
  </si>
  <si>
    <t>Tyrol</t>
  </si>
  <si>
    <t>Kapfenberg</t>
  </si>
  <si>
    <t>KLAGENFURT AM WãRTHERSEE</t>
  </si>
  <si>
    <t>Klagenfurt am WÃ¶rthersee</t>
  </si>
  <si>
    <t>Carinthia</t>
  </si>
  <si>
    <t>Klosterneuburg</t>
  </si>
  <si>
    <t>Krems An Der Donau</t>
  </si>
  <si>
    <t>Krems an der Donau</t>
  </si>
  <si>
    <t>Kufstein</t>
  </si>
  <si>
    <t>Leoben</t>
  </si>
  <si>
    <t>Bolsa</t>
  </si>
  <si>
    <t>Leonding</t>
  </si>
  <si>
    <t>Linz</t>
  </si>
  <si>
    <t>Lustenau</t>
  </si>
  <si>
    <t>Muito</t>
  </si>
  <si>
    <t>MÃ¶dling</t>
  </si>
  <si>
    <t>Saalfelden am Steinernen Meer</t>
  </si>
  <si>
    <t>Salzburgo</t>
  </si>
  <si>
    <t>Sankt Pãlten</t>
  </si>
  <si>
    <t>Sankt PÃ¶lten</t>
  </si>
  <si>
    <t>Schwechat</t>
  </si>
  <si>
    <t>Spittal a Der Drau</t>
  </si>
  <si>
    <t>Spittal an der Drau</t>
  </si>
  <si>
    <t>Steyr</t>
  </si>
  <si>
    <t>Ternitz</t>
  </si>
  <si>
    <t>Traiskirchen</t>
  </si>
  <si>
    <t>Traun</t>
  </si>
  <si>
    <t>Viena</t>
  </si>
  <si>
    <t>Vienna</t>
  </si>
  <si>
    <t>Villach</t>
  </si>
  <si>
    <t>Weinzierl Bei Krems</t>
  </si>
  <si>
    <t>Weinzierl bei Krems</t>
  </si>
  <si>
    <t>Wels</t>
  </si>
  <si>
    <t>Wiener Neustadt</t>
  </si>
  <si>
    <t>Wolfsberg</t>
  </si>
  <si>
    <t>Aäÿdaåÿ</t>
  </si>
  <si>
    <t>AÄŸdaÅŸ</t>
  </si>
  <si>
    <t>Azerbaijan</t>
  </si>
  <si>
    <t>Aäÿdam</t>
  </si>
  <si>
    <t>AÄŸdam</t>
  </si>
  <si>
    <t>Æ hmé ™ dbé ™ yli</t>
  </si>
  <si>
    <t>ÆhmÉ™dbÉ™yli</t>
  </si>
  <si>
    <t>SaatlÄ±</t>
  </si>
  <si>
    <t>Agdzhabedy</t>
  </si>
  <si>
    <t>AÄŸcabÇdi</t>
  </si>
  <si>
    <t>Aghsu</t>
  </si>
  <si>
    <t>AÄŸsu</t>
  </si>
  <si>
    <t>Amirdzhan</t>
  </si>
  <si>
    <t>Baki</t>
  </si>
  <si>
    <t>Astara</t>
  </si>
  <si>
    <t>Åžirvan</t>
  </si>
  <si>
    <t>Shirvan</t>
  </si>
  <si>
    <t>Bakä ± Xanov</t>
  </si>
  <si>
    <t>BakÄ±xanov</t>
  </si>
  <si>
    <t>Baku</t>
  </si>
  <si>
    <t>Barda</t>
  </si>
  <si>
    <t>BÇrdÇ</t>
  </si>
  <si>
    <t>Beylagan</t>
  </si>
  <si>
    <t>BeylÉ™qan</t>
  </si>
  <si>
    <t>Bilajari</t>
  </si>
  <si>
    <t>Biny Selo</t>
  </si>
  <si>
    <t>Buzovna</t>
  </si>
  <si>
    <t>Divichibazar</t>
  </si>
  <si>
    <t>Shabran</t>
  </si>
  <si>
    <t>Dzhalilabad</t>
  </si>
  <si>
    <t>Jalilabad</t>
  </si>
  <si>
    <t>Fizuli</t>
  </si>
  <si>
    <t>FÃ¼zuli</t>
  </si>
  <si>
    <t>Ganja</t>
  </si>
  <si>
    <t>GÇncÇ</t>
  </si>
  <si>
    <t>Geoktschai</t>
  </si>
  <si>
    <t>GÃ¶yÃ§ay</t>
  </si>
  <si>
    <t>Hãvsan</t>
  </si>
  <si>
    <t>HÃ¶vsan</t>
  </si>
  <si>
    <t>Hacä ± Zeynalabdin</t>
  </si>
  <si>
    <t>HacÄ± Zeynalabdin</t>
  </si>
  <si>
    <t>Sumqayit</t>
  </si>
  <si>
    <t>Hacä ± Qabul</t>
  </si>
  <si>
    <t>HacÄ±qabul</t>
  </si>
  <si>
    <t>IMISHLI</t>
  </si>
  <si>
    <t>Imishli</t>
  </si>
  <si>
    <t>Ä°miÅŸli</t>
  </si>
  <si>
    <t>Khirdalan</t>
  </si>
  <si>
    <t>AbÅŸeron</t>
  </si>
  <si>
    <t>Kyurdarmir</t>
  </si>
  <si>
    <t>KÃ¼rdÇmir</t>
  </si>
  <si>
    <t>LãKBATAN</t>
  </si>
  <si>
    <t>LÃ¶kbatan</t>
  </si>
  <si>
    <t>Lankaran</t>
  </si>
  <si>
    <t>LÉ™nkÉ™ran</t>
  </si>
  <si>
    <t>Maåÿtaäÿa</t>
  </si>
  <si>
    <t>MaÅŸtaÄŸa</t>
  </si>
  <si>
    <t>Mardakan</t>
  </si>
  <si>
    <t>Mingelchaur</t>
  </si>
  <si>
    <t>MingÇcevir</t>
  </si>
  <si>
    <t>Nakhchivan</t>
  </si>
  <si>
    <t>Nakhichevan</t>
  </si>
  <si>
    <t>Neftã§ala</t>
  </si>
  <si>
    <t>NeftÃ§ala</t>
  </si>
  <si>
    <t>Pushkino</t>
  </si>
  <si>
    <t>BilÇsuvar</t>
  </si>
  <si>
    <t>Qaraã§uxur</t>
  </si>
  <si>
    <t>QaraÃ§uxur</t>
  </si>
  <si>
    <t>QAZAX</t>
  </si>
  <si>
    <t>Qazax</t>
  </si>
  <si>
    <t>Quba</t>
  </si>
  <si>
    <t>QUSAR</t>
  </si>
  <si>
    <t>Qusar</t>
  </si>
  <si>
    <t>Saatlä ±</t>
  </si>
  <si>
    <t>Sabirabad</t>
  </si>
  <si>
    <t>Sabunã§u</t>
  </si>
  <si>
    <t>SabunÃ§u</t>
  </si>
  <si>
    <t>Salyan</t>
  </si>
  <si>
    <t>Shamakhi</t>
  </si>
  <si>
    <t>ÅžamaxÄ±</t>
  </si>
  <si>
    <t>Shamkhor</t>
  </si>
  <si>
    <t>ÅžÇmkir</t>
  </si>
  <si>
    <t>Sheki</t>
  </si>
  <si>
    <t>Shaki City</t>
  </si>
  <si>
    <t>Shushi</t>
  </si>
  <si>
    <t>ÅžuÅŸa</t>
  </si>
  <si>
    <t>Sumqayä ± T.</t>
  </si>
  <si>
    <t>SumqayÄ±t</t>
  </si>
  <si>
    <t>Terter</t>
  </si>
  <si>
    <t>TÇrtÇr</t>
  </si>
  <si>
    <t>Ujar</t>
  </si>
  <si>
    <t>Ucar</t>
  </si>
  <si>
    <t>Xaã§maz</t>
  </si>
  <si>
    <t>XaÃ§maz</t>
  </si>
  <si>
    <t>Xankandi</t>
  </si>
  <si>
    <t>XankÇndi</t>
  </si>
  <si>
    <t>Yelenendorf</t>
  </si>
  <si>
    <t>Goygol Rayon</t>
  </si>
  <si>
    <t>Suraxanä Yeni</t>
  </si>
  <si>
    <t>Yeni SuraxanÄ±</t>
  </si>
  <si>
    <t>Yevlakh</t>
  </si>
  <si>
    <t>Yevlax City</t>
  </si>
  <si>
    <t>Zabrat</t>
  </si>
  <si>
    <t>Zaqatala</t>
  </si>
  <si>
    <t>Porto Livre</t>
  </si>
  <si>
    <t>Freeport</t>
  </si>
  <si>
    <t>Bahamas</t>
  </si>
  <si>
    <t>Lucaya</t>
  </si>
  <si>
    <t>Nassau</t>
  </si>
  <si>
    <t>New Providence</t>
  </si>
  <si>
    <t>Al Muharraq</t>
  </si>
  <si>
    <t>Bahrain</t>
  </si>
  <si>
    <t>Muharraq</t>
  </si>
  <si>
    <t>Ar rifä â € ˜</t>
  </si>
  <si>
    <t>Ar RifÄâ€˜</t>
  </si>
  <si>
    <t>Southern Governorate</t>
  </si>
  <si>
    <t>Dä R Kulayb</t>
  </si>
  <si>
    <t>DÄr Kulayb</t>
  </si>
  <si>
    <t>Jidd á¸ëafåomas</t>
  </si>
  <si>
    <t>Jidd á¸¨afÅŸ</t>
  </si>
  <si>
    <t>Manama</t>
  </si>
  <si>
    <t>Madä «nat á¸ëamad</t>
  </si>
  <si>
    <t>MadÄ«nat á¸¨amad</t>
  </si>
  <si>
    <t>Central Governorate</t>
  </si>
  <si>
    <t>Madä «nat â € ˜ äªsã</t>
  </si>
  <si>
    <t>MadÄ«nat â€˜ÄªsÃ¡</t>
  </si>
  <si>
    <t>Sitrah</t>
  </si>
  <si>
    <t>Azimpur</t>
  </si>
  <si>
    <t>Bangladesh</t>
  </si>
  <si>
    <t>Dhaka</t>
  </si>
  <si>
    <t>Bä Jitpur</t>
  </si>
  <si>
    <t>BÄjitpur</t>
  </si>
  <si>
    <t>Bä ndarban</t>
  </si>
  <si>
    <t>BÄndarban</t>
  </si>
  <si>
    <t>Chittagong</t>
  </si>
  <si>
    <t>Badarganj</t>
  </si>
  <si>
    <t>Rangpur Division</t>
  </si>
  <si>
    <t>Baniachang</t>
  </si>
  <si>
    <t>Sylhet</t>
  </si>
  <si>
    <t>Barisä l</t>
  </si>
  <si>
    <t>BarisÄl</t>
  </si>
  <si>
    <t>Bera</t>
  </si>
  <si>
    <t>RÄjshÄhi</t>
  </si>
  <si>
    <t>Bhä ndä ria</t>
  </si>
  <si>
    <t>BhÄndÄria</t>
  </si>
  <si>
    <t>Bhä Tpä Ra Abhaynagar</t>
  </si>
  <si>
    <t>BhÄtpÄra Abhaynagar</t>
  </si>
  <si>
    <t>Khulna</t>
  </si>
  <si>
    <t>Bhairab bä zä r</t>
  </si>
  <si>
    <t>Bhairab BÄzÄr</t>
  </si>
  <si>
    <t>Bherä Mä ra</t>
  </si>
  <si>
    <t>BherÄmÄra</t>
  </si>
  <si>
    <t>Bhola</t>
  </si>
  <si>
    <t>Bogra</t>
  </si>
  <si>
    <t>Burhä Nuddin</t>
  </si>
  <si>
    <t>BurhÄnuddin</t>
  </si>
  <si>
    <t>Char Bhadrä San</t>
  </si>
  <si>
    <t>Char BhadrÄsan</t>
  </si>
  <si>
    <t>Chhä Galnä iya</t>
  </si>
  <si>
    <t>ChhÄgalnÄiya</t>
  </si>
  <si>
    <t>Chhä Tak</t>
  </si>
  <si>
    <t>ChhÄtak</t>
  </si>
  <si>
    <t>Chilmä Ri</t>
  </si>
  <si>
    <t>ChilmÄri</t>
  </si>
  <si>
    <t>Comilla</t>
  </si>
  <si>
    <t>Cox Bä Zä r</t>
  </si>
  <si>
    <t>Coxâ€™s BÄzÄr</t>
  </si>
  <si>
    <t>Dinä Jpur</t>
  </si>
  <si>
    <t>DinÄjpur</t>
  </si>
  <si>
    <t>Dohä r</t>
  </si>
  <si>
    <t>DohÄr</t>
  </si>
  <si>
    <t>Farä dpur</t>
  </si>
  <si>
    <t>FarÄ«dpur</t>
  </si>
  <si>
    <t>Fatikchari</t>
  </si>
  <si>
    <t>Feni</t>
  </si>
  <si>
    <t>Gafargaon</t>
  </si>
  <si>
    <t>GAURNADI</t>
  </si>
  <si>
    <t>Gaurnadi</t>
  </si>
  <si>
    <t>Hä jä «ganj</t>
  </si>
  <si>
    <t>HÄjÄ«ganj</t>
  </si>
  <si>
    <t>Habiganj</t>
  </si>
  <si>
    <t>Ishurdi</t>
  </si>
  <si>
    <t>Jamä lpur</t>
  </si>
  <si>
    <t>JamÄlpur</t>
  </si>
  <si>
    <t>Jessore</t>
  </si>
  <si>
    <t>Jhingergä Cha</t>
  </si>
  <si>
    <t>JhingergÄcha</t>
  </si>
  <si>
    <t>Joypur Hä t</t>
  </si>
  <si>
    <t>Joypur HÄt</t>
  </si>
  <si>
    <t>Kä lä «ganj</t>
  </si>
  <si>
    <t>KÄlÄ«ganj</t>
  </si>
  <si>
    <t>Kä Lia</t>
  </si>
  <si>
    <t>KÄlia</t>
  </si>
  <si>
    <t>Kesabpur</t>
  </si>
  <si>
    <t>Khagrachhari</t>
  </si>
  <si>
    <t>Kishorganj</t>
  </si>
  <si>
    <t>Kushtia</t>
  </si>
  <si>
    <t>Lä kshä m</t>
  </si>
  <si>
    <t>LÄkshÄm</t>
  </si>
  <si>
    <t>Lä Lmohan</t>
  </si>
  <si>
    <t>LÄlmohan</t>
  </si>
  <si>
    <t>Lakshmä «pur</t>
  </si>
  <si>
    <t>LakshmÄ«pur</t>
  </si>
  <si>
    <t>Lalmanirhat</t>
  </si>
  <si>
    <t>Mä dä rä «pur</t>
  </si>
  <si>
    <t>MÄdÄrÄ«pur</t>
  </si>
  <si>
    <t>Manikchari</t>
  </si>
  <si>
    <t>Mathba</t>
  </si>
  <si>
    <t>Maulavi bä zä r</t>
  </si>
  <si>
    <t>Maulavi BÄzÄr</t>
  </si>
  <si>
    <t>Mehendiganj</t>
  </si>
  <si>
    <t>Mirzä Pur</t>
  </si>
  <si>
    <t>MirzÄpur</t>
  </si>
  <si>
    <t>Morrelgonj</t>
  </si>
  <si>
    <t>Muktä Gä Cha</t>
  </si>
  <si>
    <t>MuktÄgÄcha</t>
  </si>
  <si>
    <t>Mymensingh</t>
  </si>
  <si>
    <t>Nä Garpur</t>
  </si>
  <si>
    <t>NÄgarpur</t>
  </si>
  <si>
    <t>Nä lchiti</t>
  </si>
  <si>
    <t>NÄlchiti</t>
  </si>
  <si>
    <t>Nä Rä Yanganj</t>
  </si>
  <si>
    <t>NÄrÄyanganj</t>
  </si>
  <si>
    <t>NABä «Nagar</t>
  </si>
  <si>
    <t>NabÄ«nagar</t>
  </si>
  <si>
    <t>Nageswari</t>
  </si>
  <si>
    <t>NARAIL</t>
  </si>
  <si>
    <t>Narail</t>
  </si>
  <si>
    <t>Narsingdi</t>
  </si>
  <si>
    <t>Nawä Bganj</t>
  </si>
  <si>
    <t>NawÄbganj</t>
  </si>
  <si>
    <t>Netrakona</t>
  </si>
  <si>
    <t>Pä «rgaaj</t>
  </si>
  <si>
    <t>PÄ«rgaaj</t>
  </si>
  <si>
    <t>Pä bna</t>
  </si>
  <si>
    <t>PÄbna</t>
  </si>
  <si>
    <t>Pä Lang</t>
  </si>
  <si>
    <t>PÄlang</t>
  </si>
  <si>
    <t>Pä R Naogaon</t>
  </si>
  <si>
    <t>PÄr Naogaon</t>
  </si>
  <si>
    <t>Paltan</t>
  </si>
  <si>
    <t>Panchagarh</t>
  </si>
  <si>
    <t>Parbatipur</t>
  </si>
  <si>
    <t>Patiya</t>
  </si>
  <si>
    <t>Phultala</t>
  </si>
  <si>
    <t>Pirojpur</t>
  </si>
  <si>
    <t>Rä ipur</t>
  </si>
  <si>
    <t>RÄipur</t>
  </si>
  <si>
    <t>Rä jshä oi</t>
  </si>
  <si>
    <t>Rä mganj</t>
  </si>
  <si>
    <t>RÄmganj</t>
  </si>
  <si>
    <t>Rangpur</t>
  </si>
  <si>
    <t>Raojä n</t>
  </si>
  <si>
    <t>RaojÄn</t>
  </si>
  <si>
    <t>Sä Tkania</t>
  </si>
  <si>
    <t>SÄtkania</t>
  </si>
  <si>
    <t>Sä Tkhira</t>
  </si>
  <si>
    <t>SÄtkhira</t>
  </si>
  <si>
    <t>Saidpur</t>
  </si>
  <si>
    <t>Sakhipur</t>
  </si>
  <si>
    <t>Sandwä «p</t>
  </si>
  <si>
    <t>SandwÄ«p</t>
  </si>
  <si>
    <t>Sarankhola</t>
  </si>
  <si>
    <t>Sarishä bä ri</t>
  </si>
  <si>
    <t>SarishÄbÄri</t>
  </si>
  <si>
    <t>Shä Hzä Dpur</t>
  </si>
  <si>
    <t>ShÄhzÄdpur</t>
  </si>
  <si>
    <t>Sherpur</t>
  </si>
  <si>
    <t>Shibganj</t>
  </si>
  <si>
    <t>Sirä Jganj</t>
  </si>
  <si>
    <t>SirÄjganj</t>
  </si>
  <si>
    <t>Tä ngä il</t>
  </si>
  <si>
    <t>TÄngÄil</t>
  </si>
  <si>
    <t>Teknä f</t>
  </si>
  <si>
    <t>TeknÄf</t>
  </si>
  <si>
    <t>Thä Kurgaon</t>
  </si>
  <si>
    <t>ThÄkurgaon</t>
  </si>
  <si>
    <t>Tungi</t>
  </si>
  <si>
    <t>Tungipä ra</t>
  </si>
  <si>
    <t>TungipÄra</t>
  </si>
  <si>
    <t>Uttar Char Fasson</t>
  </si>
  <si>
    <t>Bridgetown</t>
  </si>
  <si>
    <t>Barbados</t>
  </si>
  <si>
    <t>Saint Michael</t>
  </si>
  <si>
    <t>Asipovichy</t>
  </si>
  <si>
    <t>Belarus</t>
  </si>
  <si>
    <t>Mogilev</t>
  </si>
  <si>
    <t>Babruysk</t>
  </si>
  <si>
    <t>Baranovichi</t>
  </si>
  <si>
    <t>Brest</t>
  </si>
  <si>
    <t>Byaroza</t>
  </si>
  <si>
    <t>Bykhaw</t>
  </si>
  <si>
    <t>Dobrush</t>
  </si>
  <si>
    <t>Gomel</t>
  </si>
  <si>
    <t>Dzyarzhynsk</t>
  </si>
  <si>
    <t>Minsk</t>
  </si>
  <si>
    <t>Hlybokaye</t>
  </si>
  <si>
    <t>Vitebsk</t>
  </si>
  <si>
    <t>Horad Barysaw</t>
  </si>
  <si>
    <t>Horad Zhodzina</t>
  </si>
  <si>
    <t>Horki</t>
  </si>
  <si>
    <t>Hrodna</t>
  </si>
  <si>
    <t>Grodnenskaya</t>
  </si>
  <si>
    <t>Ivatsevichy</t>
  </si>
  <si>
    <t>Kalinkavichy</t>
  </si>
  <si>
    <t>Kalodzishchy</t>
  </si>
  <si>
    <t>Kobryn</t>
  </si>
  <si>
    <t>Krychaw</t>
  </si>
  <si>
    <t>Lida</t>
  </si>
  <si>
    <t>Luninyets</t>
  </si>
  <si>
    <t>Lyepyel '</t>
  </si>
  <si>
    <t>Lyepyelâ€™</t>
  </si>
  <si>
    <t>Mahilyow</t>
  </si>
  <si>
    <t>Maladzyechna</t>
  </si>
  <si>
    <t>Malinovka</t>
  </si>
  <si>
    <t>Minsk City</t>
  </si>
  <si>
    <t>Mar '™ â € ™ ina horka</t>
  </si>
  <si>
    <t>Marâ€™â€™ina Horka</t>
  </si>
  <si>
    <t>Sava</t>
  </si>
  <si>
    <t>Masty</t>
  </si>
  <si>
    <t>Mazyr</t>
  </si>
  <si>
    <t>Navahrudak</t>
  </si>
  <si>
    <t>Navapolatsk</t>
  </si>
  <si>
    <t>Novoye Medvezhino</t>
  </si>
  <si>
    <t>Orsha</t>
  </si>
  <si>
    <t>Pastavy</t>
  </si>
  <si>
    <t>Pinsk</t>
  </si>
  <si>
    <t>Polatsk</t>
  </si>
  <si>
    <t>PRUZHANY</t>
  </si>
  <si>
    <t>Pruzhany</t>
  </si>
  <si>
    <t>Rahachow</t>
  </si>
  <si>
    <t>Rechytsa</t>
  </si>
  <si>
    <t>Salihorsk</t>
  </si>
  <si>
    <t>Shchuchin</t>
  </si>
  <si>
    <t>Slonim</t>
  </si>
  <si>
    <t>Slutsk</t>
  </si>
  <si>
    <t>Smarhonâ €</t>
  </si>
  <si>
    <t>Smarhonâ€™</t>
  </si>
  <si>
    <t>Stowbtsy</t>
  </si>
  <si>
    <t>Svyetlahorsk</t>
  </si>
  <si>
    <t>Vawkavysk</t>
  </si>
  <si>
    <t>Vilyeyka</t>
  </si>
  <si>
    <t>Zhlobin</t>
  </si>
  <si>
    <t>Aalst</t>
  </si>
  <si>
    <t>Belgium</t>
  </si>
  <si>
    <t>Flanders</t>
  </si>
  <si>
    <t>Aalter</t>
  </si>
  <si>
    <t>Aarschot</t>
  </si>
  <si>
    <t>ANDENNE</t>
  </si>
  <si>
    <t>Andenne</t>
  </si>
  <si>
    <t>Wallonia</t>
  </si>
  <si>
    <t>Ans</t>
  </si>
  <si>
    <t>Antuérpia</t>
  </si>
  <si>
    <t>Antwerpen</t>
  </si>
  <si>
    <t>Arlon</t>
  </si>
  <si>
    <t>Asse</t>
  </si>
  <si>
    <t>Ath</t>
  </si>
  <si>
    <t>Balen</t>
  </si>
  <si>
    <t>Beerse</t>
  </si>
  <si>
    <t>Beersel</t>
  </si>
  <si>
    <t>Beringen</t>
  </si>
  <si>
    <t>Beveren</t>
  </si>
  <si>
    <t>Bilzen</t>
  </si>
  <si>
    <t>Binche</t>
  </si>
  <si>
    <t>Blankenberge</t>
  </si>
  <si>
    <t>estrondo</t>
  </si>
  <si>
    <t>Boom</t>
  </si>
  <si>
    <t>Bornem</t>
  </si>
  <si>
    <t>Boussu</t>
  </si>
  <si>
    <t>Braine-l'alleud</t>
  </si>
  <si>
    <t>Braine-l'Alleud</t>
  </si>
  <si>
    <t>Brape-le-com-com</t>
  </si>
  <si>
    <t>Braine-le-Comte</t>
  </si>
  <si>
    <t>Brasschaat</t>
  </si>
  <si>
    <t>Brecht</t>
  </si>
  <si>
    <t>Brugge</t>
  </si>
  <si>
    <t>Bruxelas</t>
  </si>
  <si>
    <t>Brussels</t>
  </si>
  <si>
    <t>Brussels Capital</t>
  </si>
  <si>
    <t>Bruxelles</t>
  </si>
  <si>
    <t>CH. Telet</t>
  </si>
  <si>
    <t>ChÃ¢telet</t>
  </si>
  <si>
    <t>Charleroi</t>
  </si>
  <si>
    <t>Chasse Royale</t>
  </si>
  <si>
    <t>Chaudfontaine</t>
  </si>
  <si>
    <t>Colfontaine</t>
  </si>
  <si>
    <t>Courcelles</t>
  </si>
  <si>
    <t>Deinze</t>
  </si>
  <si>
    <t>Denderleeuw</t>
  </si>
  <si>
    <t>Dendermonde</t>
  </si>
  <si>
    <t>Destelbergen</t>
  </si>
  <si>
    <t>Diepenbeek</t>
  </si>
  <si>
    <t>Diest</t>
  </si>
  <si>
    <t>Diksmuide</t>
  </si>
  <si>
    <t>Dilbeek</t>
  </si>
  <si>
    <t>Dour</t>
  </si>
  <si>
    <t>Duffel</t>
  </si>
  <si>
    <t>Edegem</t>
  </si>
  <si>
    <t>Eeklo</t>
  </si>
  <si>
    <t>Essen</t>
  </si>
  <si>
    <t>Eupen</t>
  </si>
  <si>
    <t>EverGEM</t>
  </si>
  <si>
    <t>Evergem</t>
  </si>
  <si>
    <t>Fl © Malle-Haute</t>
  </si>
  <si>
    <t>FlÃ©malle-Haute</t>
  </si>
  <si>
    <t>Fl © Ron</t>
  </si>
  <si>
    <t>FlÃ©ron</t>
  </si>
  <si>
    <t>Fleurus</t>
  </si>
  <si>
    <t>Frameries</t>
  </si>
  <si>
    <t>Geel</t>
  </si>
  <si>
    <t>Gembloux</t>
  </si>
  <si>
    <t>Genk</t>
  </si>
  <si>
    <t>Gent</t>
  </si>
  <si>
    <t>Geraardsbergen</t>
  </si>
  <si>
    <t>Grimbergen</t>
  </si>
  <si>
    <t>Haaltert</t>
  </si>
  <si>
    <t>Halle</t>
  </si>
  <si>
    <t>Hamme</t>
  </si>
  <si>
    <t>Harelbeke</t>
  </si>
  <si>
    <t>Hasselt</t>
  </si>
  <si>
    <t>Heist-Op-Den-Berg</t>
  </si>
  <si>
    <t>Heist-op-den-Berg</t>
  </si>
  <si>
    <t>Helchteren</t>
  </si>
  <si>
    <t>Herent</t>
  </si>
  <si>
    <t>Herentals</t>
  </si>
  <si>
    <t>Herstal</t>
  </si>
  <si>
    <t>Herve</t>
  </si>
  <si>
    <t>Herzele</t>
  </si>
  <si>
    <t>Heusden</t>
  </si>
  <si>
    <t>Hoboken</t>
  </si>
  <si>
    <t>Hoogstraten</t>
  </si>
  <si>
    <t>Houthalen</t>
  </si>
  <si>
    <t>Huy</t>
  </si>
  <si>
    <t>IEPER</t>
  </si>
  <si>
    <t>Ieper</t>
  </si>
  <si>
    <t>Izegem</t>
  </si>
  <si>
    <t>Kalmthout</t>
  </si>
  <si>
    <t>Kapellen</t>
  </si>
  <si>
    <t>Kasterlee</t>
  </si>
  <si>
    <t>Knokke-Heist</t>
  </si>
  <si>
    <t>Koksijde</t>
  </si>
  <si>
    <t>Kontich</t>
  </si>
  <si>
    <t>Kortenberg</t>
  </si>
  <si>
    <t>Kortrijk</t>
  </si>
  <si>
    <t>La Louviãre</t>
  </si>
  <si>
    <t>La LouviÃ¨re</t>
  </si>
  <si>
    <t>LANAKEN</t>
  </si>
  <si>
    <t>Lanaken</t>
  </si>
  <si>
    <t>Lebbeke</t>
  </si>
  <si>
    <t>Lede</t>
  </si>
  <si>
    <t>Lessines</t>
  </si>
  <si>
    <t>Leuven</t>
  </si>
  <si>
    <t>Liãge</t>
  </si>
  <si>
    <t>LiÃ¨ge</t>
  </si>
  <si>
    <t>Lier</t>
  </si>
  <si>
    <t>Lille</t>
  </si>
  <si>
    <t>Lochristi</t>
  </si>
  <si>
    <t>Lokeren</t>
  </si>
  <si>
    <t>Lommel</t>
  </si>
  <si>
    <t>Londerzeel</t>
  </si>
  <si>
    <t>Louvain-La-Neuve</t>
  </si>
  <si>
    <t>Louvain-la-Neuve</t>
  </si>
  <si>
    <t>Maaseik</t>
  </si>
  <si>
    <t>Maasmechelen</t>
  </si>
  <si>
    <t>Maldegem</t>
  </si>
  <si>
    <t>Gerenciar</t>
  </si>
  <si>
    <t>Manage</t>
  </si>
  <si>
    <t>Marche-en-famenne</t>
  </si>
  <si>
    <t>Marche-en-Famenne</t>
  </si>
  <si>
    <t>Mechelen</t>
  </si>
  <si>
    <t>Meise</t>
  </si>
  <si>
    <t>Menen</t>
  </si>
  <si>
    <t>Merelbeke</t>
  </si>
  <si>
    <t>Middelkerke</t>
  </si>
  <si>
    <t>Mol</t>
  </si>
  <si>
    <t>Mons</t>
  </si>
  <si>
    <t>Morlanwelz-Mariemont</t>
  </si>
  <si>
    <t>Mortsel</t>
  </si>
  <si>
    <t>Mouscron</t>
  </si>
  <si>
    <t>Namur</t>
  </si>
  <si>
    <t>Neerpelt</t>
  </si>
  <si>
    <t>Nijlen</t>
  </si>
  <si>
    <t>Ninove</t>
  </si>
  <si>
    <t>Nivelles</t>
  </si>
  <si>
    <t>Oostkamp</t>
  </si>
  <si>
    <t>OSTEND</t>
  </si>
  <si>
    <t>Ostend</t>
  </si>
  <si>
    <t>Oudenaarde</t>
  </si>
  <si>
    <t>Opeye</t>
  </si>
  <si>
    <t>Oupeye</t>
  </si>
  <si>
    <t>Overijse</t>
  </si>
  <si>
    <t>Pés Ruwelz</t>
  </si>
  <si>
    <t>PÃ©ruwelz</t>
  </si>
  <si>
    <t>Par</t>
  </si>
  <si>
    <t>Peer</t>
  </si>
  <si>
    <t>Pont-Celles</t>
  </si>
  <si>
    <t>Pont-Ã -Celles</t>
  </si>
  <si>
    <t>Poperinge</t>
  </si>
  <si>
    <t>Título</t>
  </si>
  <si>
    <t>Putte</t>
  </si>
  <si>
    <t>Puurs</t>
  </si>
  <si>
    <t>Quaregnon</t>
  </si>
  <si>
    <t>Ranst</t>
  </si>
  <si>
    <t>Riemst</t>
  </si>
  <si>
    <t>Rixensart</t>
  </si>
  <si>
    <t>Roeselare</t>
  </si>
  <si>
    <t>ROnse</t>
  </si>
  <si>
    <t>Ronse</t>
  </si>
  <si>
    <t>Rotselaar</t>
  </si>
  <si>
    <t>Saint-Ghislain</t>
  </si>
  <si>
    <t>Saint-Nicolas</t>
  </si>
  <si>
    <t>Schilde</t>
  </si>
  <si>
    <t>Schoten</t>
  </si>
  <si>
    <t>Soro</t>
  </si>
  <si>
    <t>Seraing</t>
  </si>
  <si>
    <t>Sint-genesius-rode</t>
  </si>
  <si>
    <t>Sint-Genesius-Rode</t>
  </si>
  <si>
    <t>Sint-Gillis-Waas</t>
  </si>
  <si>
    <t>Sint-Katelijne-Waver</t>
  </si>
  <si>
    <t>Sint-Kruis</t>
  </si>
  <si>
    <t>Sint-Niklaas</t>
  </si>
  <si>
    <t>Sint-Pieters-Leeuw</t>
  </si>
  <si>
    <t>Sint-Truiden</t>
  </si>
  <si>
    <t>Soignies</t>
  </si>
  <si>
    <t>Soumagne</t>
  </si>
  <si>
    <t>Stabroek</t>
  </si>
  <si>
    <t>Stekene</t>
  </si>
  <si>
    <t>Temse</t>
  </si>
  <si>
    <t>Tervuren</t>
  </si>
  <si>
    <t>Tessenderlo</t>
  </si>
  <si>
    <t>Tielt</t>
  </si>
  <si>
    <t>Tienen</t>
  </si>
  <si>
    <t>Tongeren</t>
  </si>
  <si>
    <t>Torhout</t>
  </si>
  <si>
    <t>Torneio</t>
  </si>
  <si>
    <t>Tournai</t>
  </si>
  <si>
    <t>Tube</t>
  </si>
  <si>
    <t>Tubize</t>
  </si>
  <si>
    <t>Turnhout</t>
  </si>
  <si>
    <t>Verviers</t>
  </si>
  <si>
    <t>Vilvoorde</t>
  </si>
  <si>
    <t>Vis ©</t>
  </si>
  <si>
    <t>VisÃ©</t>
  </si>
  <si>
    <t>Walcourt</t>
  </si>
  <si>
    <t>Waregem</t>
  </si>
  <si>
    <t>Waterloo</t>
  </si>
  <si>
    <t>Wavre</t>
  </si>
  <si>
    <t>Wervik</t>
  </si>
  <si>
    <t>Westerlo</t>
  </si>
  <si>
    <t>Úmido</t>
  </si>
  <si>
    <t>Wetteren</t>
  </si>
  <si>
    <t>Wevelgem</t>
  </si>
  <si>
    <t>Wilebroek</t>
  </si>
  <si>
    <t>Willebroek</t>
  </si>
  <si>
    <t>Wuustwezel</t>
  </si>
  <si>
    <t>Zaventem</t>
  </si>
  <si>
    <t>Zedelgem</t>
  </si>
  <si>
    <t>Zele</t>
  </si>
  <si>
    <t>Zemst</t>
  </si>
  <si>
    <t>Zoersel</t>
  </si>
  <si>
    <t>Zonhoven</t>
  </si>
  <si>
    <t>Zottegem</t>
  </si>
  <si>
    <t>Zwevegem</t>
  </si>
  <si>
    <t>Zwijndrecht</t>
  </si>
  <si>
    <t>Cidade de Belize</t>
  </si>
  <si>
    <t>Belize City</t>
  </si>
  <si>
    <t>Belize</t>
  </si>
  <si>
    <t>Belmopan</t>
  </si>
  <si>
    <t>Cayo</t>
  </si>
  <si>
    <t>Caminhada de laranja</t>
  </si>
  <si>
    <t>Orange Walk</t>
  </si>
  <si>
    <t>San Ignacio</t>
  </si>
  <si>
    <t>Abomey</t>
  </si>
  <si>
    <t>Benin</t>
  </si>
  <si>
    <t>Zou</t>
  </si>
  <si>
    <t>Abomey-Calavi</t>
  </si>
  <si>
    <t>Atlantique</t>
  </si>
  <si>
    <t>Allada</t>
  </si>
  <si>
    <t>Aplahoué</t>
  </si>
  <si>
    <t>AplahouÃ©</t>
  </si>
  <si>
    <t>Kouffo</t>
  </si>
  <si>
    <t>Banikoara</t>
  </si>
  <si>
    <t>Alibori</t>
  </si>
  <si>
    <t>Bassila</t>
  </si>
  <si>
    <t>Donga</t>
  </si>
  <si>
    <t>Bem -sucedido</t>
  </si>
  <si>
    <t>BembÃ¨rÃ¨kÃ¨</t>
  </si>
  <si>
    <t>Borgou</t>
  </si>
  <si>
    <t>Bohicon</t>
  </si>
  <si>
    <t>Comé</t>
  </si>
  <si>
    <t>ComÃ©</t>
  </si>
  <si>
    <t>Mono</t>
  </si>
  <si>
    <t>Cotonou</t>
  </si>
  <si>
    <t>Littoral</t>
  </si>
  <si>
    <t>Cové</t>
  </si>
  <si>
    <t>CovÃ©</t>
  </si>
  <si>
    <t>Dassa-Zoumé</t>
  </si>
  <si>
    <t>Dassa-ZoumÃ©</t>
  </si>
  <si>
    <t>Collines</t>
  </si>
  <si>
    <t>Djougou</t>
  </si>
  <si>
    <t>Dogbo</t>
  </si>
  <si>
    <t>Ké Tou</t>
  </si>
  <si>
    <t>KÃ©tou</t>
  </si>
  <si>
    <t>Plateau</t>
  </si>
  <si>
    <t>Kandi</t>
  </si>
  <si>
    <t>Lokossa</t>
  </si>
  <si>
    <t>Malanville</t>
  </si>
  <si>
    <t>Atakora</t>
  </si>
  <si>
    <t>Natitingou</t>
  </si>
  <si>
    <t>Nikki</t>
  </si>
  <si>
    <t>Ouidah</t>
  </si>
  <si>
    <t>Parakou</t>
  </si>
  <si>
    <t>Pobé</t>
  </si>
  <si>
    <t>PobÃ©</t>
  </si>
  <si>
    <t>Porto-novo</t>
  </si>
  <si>
    <t>Porto-Novo</t>
  </si>
  <si>
    <t>QuÃ©mÃ©</t>
  </si>
  <si>
    <t>Saké T ©</t>
  </si>
  <si>
    <t>SakÃ©tÃ©</t>
  </si>
  <si>
    <t>SAVO ©</t>
  </si>
  <si>
    <t>SavÃ©</t>
  </si>
  <si>
    <t>Savalou</t>
  </si>
  <si>
    <t>Tanguié Ta</t>
  </si>
  <si>
    <t>TanguiÃ©ta</t>
  </si>
  <si>
    <t>Tchaourou</t>
  </si>
  <si>
    <t>Hamilton</t>
  </si>
  <si>
    <t>Bermuda</t>
  </si>
  <si>
    <t>Hamilton city</t>
  </si>
  <si>
    <t>Phuntsholing</t>
  </si>
  <si>
    <t>Bhutan</t>
  </si>
  <si>
    <t>Chukha District</t>
  </si>
  <si>
    <t>Punä kha</t>
  </si>
  <si>
    <t>PunÄkha</t>
  </si>
  <si>
    <t>Punakha</t>
  </si>
  <si>
    <t>Thimphu</t>
  </si>
  <si>
    <t>Tsirang</t>
  </si>
  <si>
    <t>Chirang</t>
  </si>
  <si>
    <t>Camiri</t>
  </si>
  <si>
    <t>Bolivia</t>
  </si>
  <si>
    <t>Cobija</t>
  </si>
  <si>
    <t>Pando</t>
  </si>
  <si>
    <t>Cochabamba</t>
  </si>
  <si>
    <t>Cotoca</t>
  </si>
  <si>
    <t>Guayaramerãn</t>
  </si>
  <si>
    <t>GuayaramerÃ­n</t>
  </si>
  <si>
    <t>El Beni</t>
  </si>
  <si>
    <t>Huanuni</t>
  </si>
  <si>
    <t>Oruro</t>
  </si>
  <si>
    <t>Llallalalalala</t>
  </si>
  <si>
    <t>Llallagua</t>
  </si>
  <si>
    <t>PotosÃ­</t>
  </si>
  <si>
    <t>Mizque</t>
  </si>
  <si>
    <t>Montero</t>
  </si>
  <si>
    <t>Potosã</t>
  </si>
  <si>
    <t>Punata</t>
  </si>
  <si>
    <t>Riberalta</t>
  </si>
  <si>
    <t>San Borja</t>
  </si>
  <si>
    <t>San Ignacio de Velasco</t>
  </si>
  <si>
    <t>Santa Cruz de la Sierra</t>
  </si>
  <si>
    <t>Santiago del Torno</t>
  </si>
  <si>
    <t>SUCRE</t>
  </si>
  <si>
    <t>Sucre</t>
  </si>
  <si>
    <t>Chuquisaca</t>
  </si>
  <si>
    <t>Tarija</t>
  </si>
  <si>
    <t>Trinidad</t>
  </si>
  <si>
    <t>Tupiza</t>
  </si>
  <si>
    <t>Villa Yapacanã</t>
  </si>
  <si>
    <t>Villa YapacanÃ­</t>
  </si>
  <si>
    <t>Villamontes</t>
  </si>
  <si>
    <t>Villazãn</t>
  </si>
  <si>
    <t>VillazÃ³n</t>
  </si>
  <si>
    <t>Warnes</t>
  </si>
  <si>
    <t>Yacuiba</t>
  </si>
  <si>
    <t>Kralendijk</t>
  </si>
  <si>
    <t xml:space="preserve">Bonaire, Saint Eustatius and Saba </t>
  </si>
  <si>
    <t>Bonaire</t>
  </si>
  <si>
    <t>Banja Luka</t>
  </si>
  <si>
    <t>Bosnia and Herzegovina</t>
  </si>
  <si>
    <t>Republika Srpska</t>
  </si>
  <si>
    <t>Bihaä ‡</t>
  </si>
  <si>
    <t>BihaÄ‡</t>
  </si>
  <si>
    <t>Federation of Bosnia and Herzegovina</t>
  </si>
  <si>
    <t>Bijeljina</t>
  </si>
  <si>
    <t>Bosanska Krupa</t>
  </si>
  <si>
    <t>Brä ko</t>
  </si>
  <si>
    <t>BrÄko</t>
  </si>
  <si>
    <t>Bugojno</t>
  </si>
  <si>
    <t>Cazin</t>
  </si>
  <si>
    <t>DOBOJ</t>
  </si>
  <si>
    <t>Doboj</t>
  </si>
  <si>
    <t>Goraå¾de</t>
  </si>
  <si>
    <t>GoraÅ¾de</t>
  </si>
  <si>
    <t>Graä Anica</t>
  </si>
  <si>
    <t>GraÄanica</t>
  </si>
  <si>
    <t>Gradaä ac</t>
  </si>
  <si>
    <t>GradaÄac</t>
  </si>
  <si>
    <t>Konjic</t>
  </si>
  <si>
    <t>MOSTAR</t>
  </si>
  <si>
    <t>Mostar</t>
  </si>
  <si>
    <t>Prijedor</t>
  </si>
  <si>
    <t>Sarajevo</t>
  </si>
  <si>
    <t>Travnik</t>
  </si>
  <si>
    <t>Trebinje</t>
  </si>
  <si>
    <t>Tuzla</t>
  </si>
  <si>
    <t>Velika Kladuå¡A</t>
  </si>
  <si>
    <t>Velika KladuÅ¡a</t>
  </si>
  <si>
    <t>VISOKO</t>
  </si>
  <si>
    <t>Visoko</t>
  </si>
  <si>
    <t>Zenica</t>
  </si>
  <si>
    <t>Francistown</t>
  </si>
  <si>
    <t>Botswana</t>
  </si>
  <si>
    <t>North East</t>
  </si>
  <si>
    <t>Gaborone</t>
  </si>
  <si>
    <t>South East</t>
  </si>
  <si>
    <t>Janeng</t>
  </si>
  <si>
    <t>Kanye</t>
  </si>
  <si>
    <t>Southern</t>
  </si>
  <si>
    <t>Letlhakane</t>
  </si>
  <si>
    <t>Central</t>
  </si>
  <si>
    <t>Lobatse</t>
  </si>
  <si>
    <t>Mahalapye</t>
  </si>
  <si>
    <t>Maun</t>
  </si>
  <si>
    <t>North West</t>
  </si>
  <si>
    <t>Mochudi</t>
  </si>
  <si>
    <t>Kgatleng</t>
  </si>
  <si>
    <t>Mogoditshane</t>
  </si>
  <si>
    <t>Kweneng</t>
  </si>
  <si>
    <t>Molepolole</t>
  </si>
  <si>
    <t>Mosopa</t>
  </si>
  <si>
    <t>Palapye</t>
  </si>
  <si>
    <t>Ramotswa</t>
  </si>
  <si>
    <t>Selebi-Phikwe</t>
  </si>
  <si>
    <t>Serowe</t>
  </si>
  <si>
    <t>Thamaga</t>
  </si>
  <si>
    <t>Tonota</t>
  </si>
  <si>
    <t>Ã Bidos</t>
  </si>
  <si>
    <t>Ãbidos</t>
  </si>
  <si>
    <t>Brazil</t>
  </si>
  <si>
    <t>ParÃ¡</t>
  </si>
  <si>
    <t>Ã Gua Preta</t>
  </si>
  <si>
    <t>Ãgua Preta</t>
  </si>
  <si>
    <t>Pernambuco</t>
  </si>
  <si>
    <t>Ã Guas Belas</t>
  </si>
  <si>
    <t>Ãguas Belas</t>
  </si>
  <si>
    <t>Ã Guas de Lindãia</t>
  </si>
  <si>
    <t>Ãguas de LindÃ³ia</t>
  </si>
  <si>
    <t>SÃ£o Paulo</t>
  </si>
  <si>
    <t>Ã Guas Vermelhas</t>
  </si>
  <si>
    <t>Ãguas Vermelhas</t>
  </si>
  <si>
    <t>Minas Gerais</t>
  </si>
  <si>
    <t>Ã Lvares Machado</t>
  </si>
  <si>
    <t>Ãlvares Machado</t>
  </si>
  <si>
    <t>Aã§u</t>
  </si>
  <si>
    <t>AÃ§u</t>
  </si>
  <si>
    <t>Rio Grande do Norte</t>
  </si>
  <si>
    <t>Abaet ©</t>
  </si>
  <si>
    <t>AbaetÃ©</t>
  </si>
  <si>
    <t>ABAETETUBA</t>
  </si>
  <si>
    <t>Abaetetuba</t>
  </si>
  <si>
    <t>Abreu e Lima</t>
  </si>
  <si>
    <t>Acarain</t>
  </si>
  <si>
    <t>AcaraÃº</t>
  </si>
  <si>
    <t>CearÃ¡</t>
  </si>
  <si>
    <t>ACOPIARA</t>
  </si>
  <si>
    <t>Acopiara</t>
  </si>
  <si>
    <t>Adamantina</t>
  </si>
  <si>
    <t>Afogados da Ingazeira</t>
  </si>
  <si>
    <t>Aguaã</t>
  </si>
  <si>
    <t>AguaÃ­</t>
  </si>
  <si>
    <t>AGUDOS</t>
  </si>
  <si>
    <t>Agudos</t>
  </si>
  <si>
    <t>Aimoré</t>
  </si>
  <si>
    <t>AimorÃ©s</t>
  </si>
  <si>
    <t>Alé m paraãba</t>
  </si>
  <si>
    <t>AlÃ©m ParaÃ­ba</t>
  </si>
  <si>
    <t>Alagoa Grande</t>
  </si>
  <si>
    <t>ParaÃ­ba</t>
  </si>
  <si>
    <t>ALAGOINHAS</t>
  </si>
  <si>
    <t>Alagoinhas</t>
  </si>
  <si>
    <t>Bahia</t>
  </si>
  <si>
    <t>Alegre</t>
  </si>
  <si>
    <t>EspÃ­rito Santo</t>
  </si>
  <si>
    <t>Alegrete</t>
  </si>
  <si>
    <t>Rio Grande do Sul</t>
  </si>
  <si>
    <t>Alenquer</t>
  </si>
  <si>
    <t>Alfenas</t>
  </si>
  <si>
    <t>Almeirim</t>
  </si>
  <si>
    <t>Almenara</t>
  </si>
  <si>
    <t>Almirante Tamandaré</t>
  </si>
  <si>
    <t>Almirante TamandarÃ©</t>
  </si>
  <si>
    <t>Altamira</t>
  </si>
  <si>
    <t>Altos</t>
  </si>
  <si>
    <t>PiauÃ­</t>
  </si>
  <si>
    <t>AM © RICO Brasiliense</t>
  </si>
  <si>
    <t>AmÃ©rico Brasiliense</t>
  </si>
  <si>
    <t>Amaraji</t>
  </si>
  <si>
    <t>Amargosa</t>
  </si>
  <si>
    <t>Americana</t>
  </si>
  <si>
    <t>Amparo</t>
  </si>
  <si>
    <t>Anã -Polis</t>
  </si>
  <si>
    <t>AnÃ¡polis</t>
  </si>
  <si>
    <t>GoiÃ¡s</t>
  </si>
  <si>
    <t>Ananindeua</t>
  </si>
  <si>
    <t>Anastãcio</t>
  </si>
  <si>
    <t>AnastÃ¡cio</t>
  </si>
  <si>
    <t>Mato Grosso do Sul</t>
  </si>
  <si>
    <t>Andradas</t>
  </si>
  <si>
    <t>Andradina</t>
  </si>
  <si>
    <t>Angra dos reis</t>
  </si>
  <si>
    <t>Angra dos Reis</t>
  </si>
  <si>
    <t>Rio de Janeiro</t>
  </si>
  <si>
    <t>Anicunos</t>
  </si>
  <si>
    <t>Anicuns</t>
  </si>
  <si>
    <t>Antonina</t>
  </si>
  <si>
    <t>Aparecida</t>
  </si>
  <si>
    <t>Aparecida de goi ¢ nia</t>
  </si>
  <si>
    <t>Aparecida de GoiÃ¢nia</t>
  </si>
  <si>
    <t>Aparecida do taboado</t>
  </si>
  <si>
    <t>Aparecida do Taboado</t>
  </si>
  <si>
    <t>APIAN</t>
  </si>
  <si>
    <t>ApiaÃ­</t>
  </si>
  <si>
    <t>Apodi</t>
  </si>
  <si>
    <t>APUCARANA</t>
  </si>
  <si>
    <t>Apucarana</t>
  </si>
  <si>
    <t>Aquidauana</t>
  </si>
  <si>
    <t>Aquiraz</t>
  </si>
  <si>
    <t>Araã§atuba</t>
  </si>
  <si>
    <t>AraÃ§atuba</t>
  </si>
  <si>
    <t>Araã§aiaba da serra</t>
  </si>
  <si>
    <t>AraÃ§oiaba da Serra</t>
  </si>
  <si>
    <t>Araã§uaã</t>
  </si>
  <si>
    <t>AraÃ§uaÃ­</t>
  </si>
  <si>
    <t>ARACAJU</t>
  </si>
  <si>
    <t>Aracaju</t>
  </si>
  <si>
    <t>Sergipe</t>
  </si>
  <si>
    <t>Aracati</t>
  </si>
  <si>
    <t>Araci</t>
  </si>
  <si>
    <t>ARACRUZ</t>
  </si>
  <si>
    <t>Aracruz</t>
  </si>
  <si>
    <t>ARAGARALAS</t>
  </si>
  <si>
    <t>AragarÃ§as</t>
  </si>
  <si>
    <t>Araguaãna</t>
  </si>
  <si>
    <t>AraguaÃ­na</t>
  </si>
  <si>
    <t>Tocantins</t>
  </si>
  <si>
    <t>Araguari</t>
  </si>
  <si>
    <t>ARARACA</t>
  </si>
  <si>
    <t>Arapiraca</t>
  </si>
  <si>
    <t>Alagoas</t>
  </si>
  <si>
    <t>ARAPONTAS</t>
  </si>
  <si>
    <t>Arapongas</t>
  </si>
  <si>
    <t>Ararangu um</t>
  </si>
  <si>
    <t>AraranguÃ¡</t>
  </si>
  <si>
    <t>Santa Catarina</t>
  </si>
  <si>
    <t>Araraquara</t>
  </si>
  <si>
    <t>Araras</t>
  </si>
  <si>
    <t>Arari</t>
  </si>
  <si>
    <t>MaranhÃ£o</t>
  </si>
  <si>
    <t>Araripina</t>
  </si>
  <si>
    <t>Araruama</t>
  </si>
  <si>
    <t>Araucária</t>
  </si>
  <si>
    <t>AraucÃ¡ria</t>
  </si>
  <si>
    <t>Arax.</t>
  </si>
  <si>
    <t>AraxÃ¡</t>
  </si>
  <si>
    <t>Arcos</t>
  </si>
  <si>
    <t>Arcoverde</t>
  </si>
  <si>
    <t>Areia Branca</t>
  </si>
  <si>
    <t>Aripuanã</t>
  </si>
  <si>
    <t>AripuanÃ£</t>
  </si>
  <si>
    <t>Mato Grosso</t>
  </si>
  <si>
    <t>Ariquemes</t>
  </si>
  <si>
    <t>RondÃ´nia</t>
  </si>
  <si>
    <t>Armaã l £ o de Bã</t>
  </si>
  <si>
    <t>ArmaÃ§Ã£o de BÃºzios</t>
  </si>
  <si>
    <t>Arraial do Cabo</t>
  </si>
  <si>
    <t>Arroio do Meio</t>
  </si>
  <si>
    <t>Arroio Grande</t>
  </si>
  <si>
    <t>Artur Nogueira</t>
  </si>
  <si>
    <t>Arujã</t>
  </si>
  <si>
    <t>ArujÃ¡</t>
  </si>
  <si>
    <t>Assis</t>
  </si>
  <si>
    <t>Astorga</t>
  </si>
  <si>
    <t>ATALAIA</t>
  </si>
  <si>
    <t>Atalaia</t>
  </si>
  <si>
    <t>ATIBAIA</t>
  </si>
  <si>
    <t>Atibaia</t>
  </si>
  <si>
    <t>Augusto Corrãªa</t>
  </si>
  <si>
    <t>Augusto CorrÃªa</t>
  </si>
  <si>
    <t>Avaré</t>
  </si>
  <si>
    <t>AvarÃ©</t>
  </si>
  <si>
    <t>Bacabal</t>
  </si>
  <si>
    <t>Bag ©</t>
  </si>
  <si>
    <t>BagÃ©</t>
  </si>
  <si>
    <t>BAIXO Guandu</t>
  </si>
  <si>
    <t>Baixo Guandu</t>
  </si>
  <si>
    <t>Balneálio Camboriun</t>
  </si>
  <si>
    <t>BalneÃ¡rio CamboriÃº</t>
  </si>
  <si>
    <t>Balsas</t>
  </si>
  <si>
    <t>Bambuã</t>
  </si>
  <si>
    <t>BambuÃ­</t>
  </si>
  <si>
    <t>Bandeirantes</t>
  </si>
  <si>
    <t>Barã o de Cocais</t>
  </si>
  <si>
    <t>BarÃ£o de Cocais</t>
  </si>
  <si>
    <t>Barbacena</t>
  </si>
  <si>
    <t>Barbalha</t>
  </si>
  <si>
    <t>Barcarena</t>
  </si>
  <si>
    <t>Bariri</t>
  </si>
  <si>
    <t>Barra</t>
  </si>
  <si>
    <t>Barra Bonita</t>
  </si>
  <si>
    <t>Barra de Sã o Francisco</t>
  </si>
  <si>
    <t>Barra de SÃ£o Francisco</t>
  </si>
  <si>
    <t>Barra Do Bugres</t>
  </si>
  <si>
    <t>Barra do Bugres</t>
  </si>
  <si>
    <t>Barra do corda</t>
  </si>
  <si>
    <t>Barra do Corda</t>
  </si>
  <si>
    <t>Barra do garãs</t>
  </si>
  <si>
    <t>Barra do GarÃ§as</t>
  </si>
  <si>
    <t>Barra do Piraã</t>
  </si>
  <si>
    <t>Barra do PiraÃ­</t>
  </si>
  <si>
    <t>Barra dos Coqueiros</t>
  </si>
  <si>
    <t>Barra Mansa</t>
  </si>
  <si>
    <t>Barra velha</t>
  </si>
  <si>
    <t>Barra Velha</t>
  </si>
  <si>
    <t>Barras</t>
  </si>
  <si>
    <t>Barreiras</t>
  </si>
  <si>
    <t>Barreirinhas</t>
  </si>
  <si>
    <t>Barreiiro do Jaãba</t>
  </si>
  <si>
    <t>Barreiro do JaÃ­ba</t>
  </si>
  <si>
    <t>Barreiiros</t>
  </si>
  <si>
    <t>Barreiros</t>
  </si>
  <si>
    <t>Barretos</t>
  </si>
  <si>
    <t>Barrinha</t>
  </si>
  <si>
    <t>Barroso</t>
  </si>
  <si>
    <t>Barueri</t>
  </si>
  <si>
    <t>Bastos</t>
  </si>
  <si>
    <t>Batatais</t>
  </si>
  <si>
    <t>Baturité</t>
  </si>
  <si>
    <t>BaturitÃ©</t>
  </si>
  <si>
    <t>Bauru</t>
  </si>
  <si>
    <t>Bayeux</t>
  </si>
  <si>
    <t>BebedoUro</t>
  </si>
  <si>
    <t>Bebedouro</t>
  </si>
  <si>
    <t>Beberibe</t>
  </si>
  <si>
    <t>Bela Vista</t>
  </si>
  <si>
    <t>Belé m</t>
  </si>
  <si>
    <t>BelÃ©m</t>
  </si>
  <si>
    <t>Belford Roxo</t>
  </si>
  <si>
    <t>Belo Horizonte</t>
  </si>
  <si>
    <t>Belo Jardim</t>
  </si>
  <si>
    <t>Belo Oriente</t>
  </si>
  <si>
    <t>Benefícios</t>
  </si>
  <si>
    <t>Benevides</t>
  </si>
  <si>
    <t>Bento Gonã§alves</t>
  </si>
  <si>
    <t>Bento GonÃ§alves</t>
  </si>
  <si>
    <t>Bertioga</t>
  </si>
  <si>
    <t>BETIM</t>
  </si>
  <si>
    <t>Betim</t>
  </si>
  <si>
    <t>Bezerros</t>
  </si>
  <si>
    <t>BIGUANA</t>
  </si>
  <si>
    <t>BiguaÃ§u</t>
  </si>
  <si>
    <t>Birigui</t>
  </si>
  <si>
    <t>Biritiba Mirim</t>
  </si>
  <si>
    <t>Blumenau</t>
  </si>
  <si>
    <t>Boa Esperanã§a</t>
  </si>
  <si>
    <t>Boa EsperanÃ§a</t>
  </si>
  <si>
    <t>BOA VIAGEM</t>
  </si>
  <si>
    <t>Boa Viagem</t>
  </si>
  <si>
    <t>Boa Vista</t>
  </si>
  <si>
    <t>Roraima</t>
  </si>
  <si>
    <t>BOCAIOIVA</t>
  </si>
  <si>
    <t>BocaiÃºva</t>
  </si>
  <si>
    <t>Boituva</t>
  </si>
  <si>
    <t>Bom Conselho</t>
  </si>
  <si>
    <t>Bom Despacho</t>
  </si>
  <si>
    <t>Bom Jesus da Lapa</t>
  </si>
  <si>
    <t>Bom Jesus do Itabapoana</t>
  </si>
  <si>
    <t>BOTUCATU</t>
  </si>
  <si>
    <t>Botucatu</t>
  </si>
  <si>
    <t>Braã§o do Norte</t>
  </si>
  <si>
    <t>BraÃ§o do Norte</t>
  </si>
  <si>
    <t>Braganã§a</t>
  </si>
  <si>
    <t>BraganÃ§a</t>
  </si>
  <si>
    <t>Braganía Paulista</t>
  </si>
  <si>
    <t>BraganÃ§a Paulista</t>
  </si>
  <si>
    <t>Brasãlia</t>
  </si>
  <si>
    <t>BrasÃ­lia</t>
  </si>
  <si>
    <t>Federal District</t>
  </si>
  <si>
    <t>Brejo da Madre de Deus</t>
  </si>
  <si>
    <t>Brejo Santo</t>
  </si>
  <si>
    <t>Breves</t>
  </si>
  <si>
    <t>Brodã³squi</t>
  </si>
  <si>
    <t>BrodÃ³squi</t>
  </si>
  <si>
    <t>Brotas</t>
  </si>
  <si>
    <t>Brumadinho</t>
  </si>
  <si>
    <t>Brumado</t>
  </si>
  <si>
    <t>Brusco</t>
  </si>
  <si>
    <t>Brusque</t>
  </si>
  <si>
    <t>Buã</t>
  </si>
  <si>
    <t>BuÃ­que</t>
  </si>
  <si>
    <t>Buerarema</t>
  </si>
  <si>
    <t>Buri</t>
  </si>
  <si>
    <t>Buriti Bravo</t>
  </si>
  <si>
    <t>Burite</t>
  </si>
  <si>
    <t>Buritis</t>
  </si>
  <si>
    <t>Buritizeiro</t>
  </si>
  <si>
    <t>Butiã</t>
  </si>
  <si>
    <t>ButiÃ¡</t>
  </si>
  <si>
    <t>C ndido Mota</t>
  </si>
  <si>
    <t>CÃ¢ndido Mota</t>
  </si>
  <si>
    <t>Caã§ador</t>
  </si>
  <si>
    <t>CaÃ§ador</t>
  </si>
  <si>
    <t>Caã§apava</t>
  </si>
  <si>
    <t>CaÃ§apava</t>
  </si>
  <si>
    <t>CAãApava do sul</t>
  </si>
  <si>
    <t>CaÃ§apava do Sul</t>
  </si>
  <si>
    <t>Cabedelo</t>
  </si>
  <si>
    <t>Cabo</t>
  </si>
  <si>
    <t>Cabo Frio</t>
  </si>
  <si>
    <t>Cabre da</t>
  </si>
  <si>
    <t>CabreÃºva</t>
  </si>
  <si>
    <t>Cabrobã</t>
  </si>
  <si>
    <t>CabrobÃ³</t>
  </si>
  <si>
    <t>Cãcero Dantas</t>
  </si>
  <si>
    <t>CÃ­cero Dantas</t>
  </si>
  <si>
    <t>Cachoeira</t>
  </si>
  <si>
    <t>Cachoeira do sul</t>
  </si>
  <si>
    <t>Cachoeira do Sul</t>
  </si>
  <si>
    <t>Cachariras de Macacu</t>
  </si>
  <si>
    <t>Cachoeiras de Macacu</t>
  </si>
  <si>
    <t>Cacharirinha</t>
  </si>
  <si>
    <t>Cachoeirinha</t>
  </si>
  <si>
    <t>Cachariro de Itapemirim</t>
  </si>
  <si>
    <t>Cachoeiro de Itapemirim</t>
  </si>
  <si>
    <t>Cacoal</t>
  </si>
  <si>
    <t>Caeté</t>
  </si>
  <si>
    <t>CaetÃ©</t>
  </si>
  <si>
    <t>Caetité</t>
  </si>
  <si>
    <t>CaetitÃ©</t>
  </si>
  <si>
    <t>Caicã</t>
  </si>
  <si>
    <t>CaicÃ³</t>
  </si>
  <si>
    <t>Caiitas</t>
  </si>
  <si>
    <t>Caieiras</t>
  </si>
  <si>
    <t>Cajamar</t>
  </si>
  <si>
    <t>Cajati</t>
  </si>
  <si>
    <t>CaJazeiras</t>
  </si>
  <si>
    <t>Cajazeiras</t>
  </si>
  <si>
    <t>Cajuiiro</t>
  </si>
  <si>
    <t>Cajueiro</t>
  </si>
  <si>
    <t>Cajuru</t>
  </si>
  <si>
    <t>Caldas Novas</t>
  </si>
  <si>
    <t>Camaã§ari</t>
  </si>
  <si>
    <t>CamaÃ§ari</t>
  </si>
  <si>
    <t>Camanducaia</t>
  </si>
  <si>
    <t>Camaquã</t>
  </si>
  <si>
    <t>CamaquÃ£</t>
  </si>
  <si>
    <t>Camba</t>
  </si>
  <si>
    <t>CambÃ©</t>
  </si>
  <si>
    <t>Cambará</t>
  </si>
  <si>
    <t>CambarÃ¡</t>
  </si>
  <si>
    <t>CAMBEBBA</t>
  </si>
  <si>
    <t>Cambebba</t>
  </si>
  <si>
    <t>Cambuã</t>
  </si>
  <si>
    <t>CambuÃ­</t>
  </si>
  <si>
    <t>Camet.</t>
  </si>
  <si>
    <t>CametÃ¡</t>
  </si>
  <si>
    <t>Camocim</t>
  </si>
  <si>
    <t>Campina Grande</t>
  </si>
  <si>
    <t>Campina Grande do Sul</t>
  </si>
  <si>
    <t>Campinas</t>
  </si>
  <si>
    <t>Campo Alegre</t>
  </si>
  <si>
    <t>Campo Belo</t>
  </si>
  <si>
    <t>Campo Formoso</t>
  </si>
  <si>
    <t>Campo Grande</t>
  </si>
  <si>
    <t>Campo Largo</t>
  </si>
  <si>
    <t>Campo Maior</t>
  </si>
  <si>
    <t>Campo Mourã £ o</t>
  </si>
  <si>
    <t>Campo MourÃ£o</t>
  </si>
  <si>
    <t>Campo Verde</t>
  </si>
  <si>
    <t>Campos</t>
  </si>
  <si>
    <t>Campos Belos</t>
  </si>
  <si>
    <t>Campos do Jordã o</t>
  </si>
  <si>
    <t>Campos do JordÃ£o</t>
  </si>
  <si>
    <t>Campos Gerais</t>
  </si>
  <si>
    <t>Campos Novos</t>
  </si>
  <si>
    <t>Vendas de Campos</t>
  </si>
  <si>
    <t>Campos Sales</t>
  </si>
  <si>
    <t>Canavieiras</t>
  </si>
  <si>
    <t>Candelá</t>
  </si>
  <si>
    <t>CandelÃ¡ria</t>
  </si>
  <si>
    <t>Canela</t>
  </si>
  <si>
    <t>Canguã§u</t>
  </si>
  <si>
    <t>CanguÃ§u</t>
  </si>
  <si>
    <t>Canguaretama</t>
  </si>
  <si>
    <t>CanInIndé</t>
  </si>
  <si>
    <t>CanindÃ©</t>
  </si>
  <si>
    <t>Canoas</t>
  </si>
  <si>
    <t>CANOINHAS</t>
  </si>
  <si>
    <t>Canoinhas</t>
  </si>
  <si>
    <t>Cap'O Bonito</t>
  </si>
  <si>
    <t>CapÃ¢o Bonito</t>
  </si>
  <si>
    <t>Capã £ o da Canoa</t>
  </si>
  <si>
    <t>CapÃ£o da Canoa</t>
  </si>
  <si>
    <t>Capanema</t>
  </si>
  <si>
    <t>Capela</t>
  </si>
  <si>
    <t>Capelinha</t>
  </si>
  <si>
    <t>Capim Grosso</t>
  </si>
  <si>
    <t>Capinzal</t>
  </si>
  <si>
    <t>Capitã £ o POONO</t>
  </si>
  <si>
    <t>CapitÃ£o PoÃ§o</t>
  </si>
  <si>
    <t>Capivari</t>
  </si>
  <si>
    <t>CARAGUATATUBA</t>
  </si>
  <si>
    <t>Caraguatatuba</t>
  </si>
  <si>
    <t>Carandaã</t>
  </si>
  <si>
    <t>CarandaÃ­</t>
  </si>
  <si>
    <t>Carangola</t>
  </si>
  <si>
    <t>Carapicuãba</t>
  </si>
  <si>
    <t>CarapicuÃ­ba</t>
  </si>
  <si>
    <t>Caratinga</t>
  </si>
  <si>
    <t>CARAUARI</t>
  </si>
  <si>
    <t>Carauari</t>
  </si>
  <si>
    <t>Amazonas</t>
  </si>
  <si>
    <t>Carazinho</t>
  </si>
  <si>
    <t>Carlos Barbosa</t>
  </si>
  <si>
    <t>Carmo do Cajuru</t>
  </si>
  <si>
    <t>Carmo do Paranaãba</t>
  </si>
  <si>
    <t>Carmo do ParanaÃ­ba</t>
  </si>
  <si>
    <t>Carolina</t>
  </si>
  <si>
    <t>Carpina</t>
  </si>
  <si>
    <t>Caruaru</t>
  </si>
  <si>
    <t>Casa Branca</t>
  </si>
  <si>
    <t>Cascavel</t>
  </si>
  <si>
    <t>Casimiro de Abreu</t>
  </si>
  <si>
    <t>Cassil'Dia</t>
  </si>
  <si>
    <t>CassilÃ¢ndia</t>
  </si>
  <si>
    <t>Castanhal</t>
  </si>
  <si>
    <t>Castelo</t>
  </si>
  <si>
    <t>Castro</t>
  </si>
  <si>
    <t>Cataguases</t>
  </si>
  <si>
    <t>Catalã o</t>
  </si>
  <si>
    <t>CatalÃ£o</t>
  </si>
  <si>
    <t>Catanduva</t>
  </si>
  <si>
    <t>Catendo</t>
  </si>
  <si>
    <t>Catende</t>
  </si>
  <si>
    <t>Catol © do Rocha</t>
  </si>
  <si>
    <t>CatolÃ© do Rocha</t>
  </si>
  <si>
    <t>Catu</t>
  </si>
  <si>
    <t>Caucaia</t>
  </si>
  <si>
    <t>Caxambu</t>
  </si>
  <si>
    <t>Caxias</t>
  </si>
  <si>
    <t>Caxias do sul</t>
  </si>
  <si>
    <t>Caxias do Sul</t>
  </si>
  <si>
    <t>Ceará Mir</t>
  </si>
  <si>
    <t>CearÃ¡ Mirim</t>
  </si>
  <si>
    <t>Celso Ramos</t>
  </si>
  <si>
    <t>Ceres</t>
  </si>
  <si>
    <t>Cerquilho</t>
  </si>
  <si>
    <t>Chã Grande</t>
  </si>
  <si>
    <t>ChÃ£ Grande</t>
  </si>
  <si>
    <t>Chapadinha</t>
  </si>
  <si>
    <t>Chapecã</t>
  </si>
  <si>
    <t>ChapecÃ³</t>
  </si>
  <si>
    <t>Charqueadas</t>
  </si>
  <si>
    <t>Cianorte</t>
  </si>
  <si>
    <t>Clão</t>
  </si>
  <si>
    <t>ClÃ¡udio</t>
  </si>
  <si>
    <t>Coaraci</t>
  </si>
  <si>
    <t>Coari</t>
  </si>
  <si>
    <t>Codã³</t>
  </si>
  <si>
    <t>CodÃ³</t>
  </si>
  <si>
    <t>Coelho neto</t>
  </si>
  <si>
    <t>Coelho Neto</t>
  </si>
  <si>
    <t>Colatina</t>
  </si>
  <si>
    <t>Colinas</t>
  </si>
  <si>
    <t>Colombo</t>
  </si>
  <si>
    <t>Colorado</t>
  </si>
  <si>
    <t>CONCÃO</t>
  </si>
  <si>
    <t>ConcÃ³rdia</t>
  </si>
  <si>
    <t>Concebiã l £ o da barra</t>
  </si>
  <si>
    <t>ConceiÃ§Ã£o da Barra</t>
  </si>
  <si>
    <t>Conceão</t>
  </si>
  <si>
    <t>ConceiÃ§Ã£o da Feira</t>
  </si>
  <si>
    <t>Concei. Das Alagoas</t>
  </si>
  <si>
    <t>ConceiÃ§Ã£o das Alagoas</t>
  </si>
  <si>
    <t>Concebiinon £ o do araguaia</t>
  </si>
  <si>
    <t>ConceiÃ§Ã£o do Araguaia</t>
  </si>
  <si>
    <t>Concebiinon £ o do coité</t>
  </si>
  <si>
    <t>ConceiÃ§Ã£o do CoitÃ©</t>
  </si>
  <si>
    <t>Jacuã</t>
  </si>
  <si>
    <t>ConceiÃ§Ã£o do JacuÃ­pe</t>
  </si>
  <si>
    <t>Conchal</t>
  </si>
  <si>
    <t>Condado</t>
  </si>
  <si>
    <t>Conde</t>
  </si>
  <si>
    <t>Congonhas</t>
  </si>
  <si>
    <t>Conseelheiro lafaiete</t>
  </si>
  <si>
    <t>Conselheiro Lafaiete</t>
  </si>
  <si>
    <t>Contagem</t>
  </si>
  <si>
    <t>Cordeirã³ Polis</t>
  </si>
  <si>
    <t>CordeirÃ³polis</t>
  </si>
  <si>
    <t>Cordeiro</t>
  </si>
  <si>
    <t>Corinto</t>
  </si>
  <si>
    <t>Milho © lio procã³pio</t>
  </si>
  <si>
    <t>CornÃ©lio ProcÃ³pio</t>
  </si>
  <si>
    <t>Coroatá</t>
  </si>
  <si>
    <t>CoroatÃ¡</t>
  </si>
  <si>
    <t>Coromandel</t>
  </si>
  <si>
    <t>Coronel Fabriciano</t>
  </si>
  <si>
    <t>Coronel Vivida</t>
  </si>
  <si>
    <t>Corumbá</t>
  </si>
  <si>
    <t>CorumbÃ¡</t>
  </si>
  <si>
    <t>Coruripe</t>
  </si>
  <si>
    <t>Cosmã³ Polis</t>
  </si>
  <si>
    <t>CosmÃ³polis</t>
  </si>
  <si>
    <t>Cotia</t>
  </si>
  <si>
    <t>Coxim</t>
  </si>
  <si>
    <t>CRATEI</t>
  </si>
  <si>
    <t>CrateÃºs</t>
  </si>
  <si>
    <t>Crato</t>
  </si>
  <si>
    <t>Cravinhos</t>
  </si>
  <si>
    <t>Criciiima</t>
  </si>
  <si>
    <t>CriciÃºma</t>
  </si>
  <si>
    <t>Cristalina</t>
  </si>
  <si>
    <t>Cruz Alta</t>
  </si>
  <si>
    <t>Cruz Das Almas</t>
  </si>
  <si>
    <t>Cruz das Almas</t>
  </si>
  <si>
    <t>Cruzeiro</t>
  </si>
  <si>
    <t>Cruzeiro do OESTE</t>
  </si>
  <si>
    <t>Cruzeiro do Oeste</t>
  </si>
  <si>
    <t>Cruzeiro do sul</t>
  </si>
  <si>
    <t>Cruzeiro do Sul</t>
  </si>
  <si>
    <t>Acre</t>
  </si>
  <si>
    <t>Cubatã o</t>
  </si>
  <si>
    <t>CubatÃ£o</t>
  </si>
  <si>
    <t>Cuiab.</t>
  </si>
  <si>
    <t>CuiabÃ¡</t>
  </si>
  <si>
    <t>Cupira</t>
  </si>
  <si>
    <t>Curitiba</t>
  </si>
  <si>
    <t>Curitibanos</t>
  </si>
  <si>
    <t>Currais Novos</t>
  </si>
  <si>
    <t>Cururupu</t>
  </si>
  <si>
    <t>Curvelo</t>
  </si>
  <si>
    <t>Custãide</t>
  </si>
  <si>
    <t>CustÃ³dia</t>
  </si>
  <si>
    <t>Delmiro Gouveia</t>
  </si>
  <si>
    <t>DeMerval Lobã £ o</t>
  </si>
  <si>
    <t>Demerval LobÃ£o</t>
  </si>
  <si>
    <t>Descalvado</t>
  </si>
  <si>
    <t>Diadema</t>
  </si>
  <si>
    <t>Diamantina</t>
  </si>
  <si>
    <t>Diamantino</t>
  </si>
  <si>
    <t>Divinã³ Polis</t>
  </si>
  <si>
    <t>DivinÃ³polis</t>
  </si>
  <si>
    <t>Dois cãRregos</t>
  </si>
  <si>
    <t>Dois CÃ³rregos</t>
  </si>
  <si>
    <t>Dois vizins</t>
  </si>
  <si>
    <t>Dois Vizinhos</t>
  </si>
  <si>
    <t>Dom Pedrito</t>
  </si>
  <si>
    <t>Dom Pedro</t>
  </si>
  <si>
    <t>Dourados</t>
  </si>
  <si>
    <t>Duque de Caxias</t>
  </si>
  <si>
    <t>Eirunepé</t>
  </si>
  <si>
    <t>EirunepÃ©</t>
  </si>
  <si>
    <t>Elã³i Mendes</t>
  </si>
  <si>
    <t>ElÃ³i Mendes</t>
  </si>
  <si>
    <t>Embu</t>
  </si>
  <si>
    <t>Embu guaã§u</t>
  </si>
  <si>
    <t>Embu GuaÃ§u</t>
  </si>
  <si>
    <t>Encantado</t>
  </si>
  <si>
    <t>Encruzilhada do sul</t>
  </si>
  <si>
    <t>Encruzilhada do Sul</t>
  </si>
  <si>
    <t>Erechim</t>
  </si>
  <si>
    <t>Escada</t>
  </si>
  <si>
    <t>Esmeraldas</t>
  </si>
  <si>
    <t>Espãrito Santo do Pinhal</t>
  </si>
  <si>
    <t>EspÃ­rito Santo do Pinhal</t>
  </si>
  <si>
    <t>Esperanã§a</t>
  </si>
  <si>
    <t>EsperanÃ§a</t>
  </si>
  <si>
    <t>Esperantina</t>
  </si>
  <si>
    <t>Espinosa</t>
  </si>
  <si>
    <t>Esplanada</t>
  </si>
  <si>
    <t>Estã ¢ nchia</t>
  </si>
  <si>
    <t>EstÃ¢ncia</t>
  </si>
  <si>
    <t>Estã ¢ ncia velha</t>
  </si>
  <si>
    <t>EstÃ¢ncia Velha</t>
  </si>
  <si>
    <t>Esteio</t>
  </si>
  <si>
    <t>Estreito</t>
  </si>
  <si>
    <t>Estrela</t>
  </si>
  <si>
    <t>Euclides da Cunha</t>
  </si>
  <si>
    <t>EUSE © BIO</t>
  </si>
  <si>
    <t>EusÃ©bio</t>
  </si>
  <si>
    <t>Extremoz</t>
  </si>
  <si>
    <t>Farroupilh</t>
  </si>
  <si>
    <t>Farroupilha</t>
  </si>
  <si>
    <t>Feira de Santana</t>
  </si>
  <si>
    <t>Fernandã³ Polis</t>
  </si>
  <si>
    <t>FernandÃ³polis</t>
  </si>
  <si>
    <t>Ferraz de Vasconcelos</t>
  </si>
  <si>
    <t>Flores da Cunha</t>
  </si>
  <si>
    <t>Floresta</t>
  </si>
  <si>
    <t>Florianã³ Polis</t>
  </si>
  <si>
    <t>FlorianÃ³polis</t>
  </si>
  <si>
    <t>Floriano</t>
  </si>
  <si>
    <t>Fonte Boa</t>
  </si>
  <si>
    <t>Formiga</t>
  </si>
  <si>
    <t>Forquilhinha</t>
  </si>
  <si>
    <t>Fortaleza</t>
  </si>
  <si>
    <t>Foz do iguaã§u</t>
  </si>
  <si>
    <t>Foz do IguaÃ§u</t>
  </si>
  <si>
    <t>Franca</t>
  </si>
  <si>
    <t>Francisco Beltrã o</t>
  </si>
  <si>
    <t>Francisco BeltrÃ£o</t>
  </si>
  <si>
    <t>Francisco Morato</t>
  </si>
  <si>
    <t>Franco da Rocha</t>
  </si>
  <si>
    <t>Frederico Westphalen</t>
  </si>
  <si>
    <t>Freguesia do ribeirao da ilha</t>
  </si>
  <si>
    <t>Freguesia do Ribeirao da Ilha</t>
  </si>
  <si>
    <t>Frutal</t>
  </si>
  <si>
    <t>Gameleira</t>
  </si>
  <si>
    <t>Gandu</t>
  </si>
  <si>
    <t>Garã§a</t>
  </si>
  <si>
    <t>GarÃ§a</t>
  </si>
  <si>
    <t>Garanhuns</t>
  </si>
  <si>
    <t>Garibaldi</t>
  </si>
  <si>
    <t>Gaspar</t>
  </si>
  <si>
    <t>Glã³ria do goit.</t>
  </si>
  <si>
    <t>GlÃ³ria do GoitÃ¡</t>
  </si>
  <si>
    <t>Goiãs</t>
  </si>
  <si>
    <t>Goi ¢ nia</t>
  </si>
  <si>
    <t>GoiÃ¢nia</t>
  </si>
  <si>
    <t>Goiana</t>
  </si>
  <si>
    <t>Goiané Sia</t>
  </si>
  <si>
    <t>GoianÃ©sia</t>
  </si>
  <si>
    <t>Goianira</t>
  </si>
  <si>
    <t>Goiatuba</t>
  </si>
  <si>
    <t>Governador Valadares</t>
  </si>
  <si>
    <t>Graja ã</t>
  </si>
  <si>
    <t>GrajaÃº</t>
  </si>
  <si>
    <t>Granja</t>
  </si>
  <si>
    <t>Gravat.</t>
  </si>
  <si>
    <t>GravatÃ¡</t>
  </si>
  <si>
    <t>Gravataã</t>
  </si>
  <si>
    <t>GravataÃ­</t>
  </si>
  <si>
    <t>Guaã§uã</t>
  </si>
  <si>
    <t>GuaÃ§uÃ­</t>
  </si>
  <si>
    <t>Guaãba</t>
  </si>
  <si>
    <t>GuaÃ­ba</t>
  </si>
  <si>
    <t>Guaãra</t>
  </si>
  <si>
    <t>GuaÃ­ra</t>
  </si>
  <si>
    <t>Guaiinoba</t>
  </si>
  <si>
    <t>GuaiÃºba</t>
  </si>
  <si>
    <t>Guajará Mirim</t>
  </si>
  <si>
    <t>GuajarÃ¡ Mirim</t>
  </si>
  <si>
    <t>Guanambi</t>
  </si>
  <si>
    <t>Guanhã £ es</t>
  </si>
  <si>
    <t>GuanhÃ£es</t>
  </si>
  <si>
    <t>Guapimirim</t>
  </si>
  <si>
    <t>Guapro ©</t>
  </si>
  <si>
    <t>GuaporÃ©</t>
  </si>
  <si>
    <t>Guará</t>
  </si>
  <si>
    <t>GuarÃ¡</t>
  </si>
  <si>
    <t>Guarabira</t>
  </si>
  <si>
    <t>Guaraciaba do Norte</t>
  </si>
  <si>
    <t>Guaramirim</t>
  </si>
  <si>
    <t>Guarané Sia</t>
  </si>
  <si>
    <t>GuaranÃ©sia</t>
  </si>
  <si>
    <t>Guarapari</t>
  </si>
  <si>
    <t>Guarapuava</t>
  </si>
  <si>
    <t>Guararapes</t>
  </si>
  <si>
    <t>Guarema</t>
  </si>
  <si>
    <t>Guararema</t>
  </si>
  <si>
    <t>Guaratinguetá</t>
  </si>
  <si>
    <t>GuaratinguetÃ¡</t>
  </si>
  <si>
    <t>Guaratuba</t>
  </si>
  <si>
    <t>Guariba</t>
  </si>
  <si>
    <t>Guarujã</t>
  </si>
  <si>
    <t>GuarujÃ¡</t>
  </si>
  <si>
    <t>Guarulhos</t>
  </si>
  <si>
    <t>Guaxup ©</t>
  </si>
  <si>
    <t>GuaxupÃ©</t>
  </si>
  <si>
    <t>Gurupi</t>
  </si>
  <si>
    <t>Herval</t>
  </si>
  <si>
    <t>Horizonte</t>
  </si>
  <si>
    <t>Hortol'nDia</t>
  </si>
  <si>
    <t>HortolÃ¢ndia</t>
  </si>
  <si>
    <t>Humait.</t>
  </si>
  <si>
    <t>HumaitÃ¡</t>
  </si>
  <si>
    <t>Iã</t>
  </si>
  <si>
    <t>IÃ§ara</t>
  </si>
  <si>
    <t>Iaã§u</t>
  </si>
  <si>
    <t>IaÃ§u</t>
  </si>
  <si>
    <t>Ibaiti</t>
  </si>
  <si>
    <t>Ibaté</t>
  </si>
  <si>
    <t>IbatÃ©</t>
  </si>
  <si>
    <t>Ibiã</t>
  </si>
  <si>
    <t>IbiÃ¡</t>
  </si>
  <si>
    <t>Ibiinina</t>
  </si>
  <si>
    <t>IbiÃºna</t>
  </si>
  <si>
    <t>Ibicaraã</t>
  </si>
  <si>
    <t>IbicaraÃ­</t>
  </si>
  <si>
    <t>Ibiporã</t>
  </si>
  <si>
    <t>IbiporÃ£</t>
  </si>
  <si>
    <t>Ibirama</t>
  </si>
  <si>
    <t>Ibirataia</t>
  </si>
  <si>
    <t>Ibirité</t>
  </si>
  <si>
    <t>IbiritÃ©</t>
  </si>
  <si>
    <t>Ibitinga</t>
  </si>
  <si>
    <t>Ibotirama</t>
  </si>
  <si>
    <t>Icã</t>
  </si>
  <si>
    <t>IcÃ³</t>
  </si>
  <si>
    <t>Igaraã§u do Tietã</t>
  </si>
  <si>
    <t>IgaraÃ§u do TietÃª</t>
  </si>
  <si>
    <t>Igarapé</t>
  </si>
  <si>
    <t>IgarapÃ©</t>
  </si>
  <si>
    <t>Igarapé © aã§u</t>
  </si>
  <si>
    <t>IgarapÃ© AÃ§u</t>
  </si>
  <si>
    <t>Igarapé miri</t>
  </si>
  <si>
    <t>IgarapÃ© Miri</t>
  </si>
  <si>
    <t>Igarapava</t>
  </si>
  <si>
    <t>Igarassu</t>
  </si>
  <si>
    <t>Igrejinha</t>
  </si>
  <si>
    <t>Iguape</t>
  </si>
  <si>
    <t>Iguatu</t>
  </si>
  <si>
    <t>Ijuã</t>
  </si>
  <si>
    <t>IjuÃ­</t>
  </si>
  <si>
    <t>Ilha Solteira</t>
  </si>
  <si>
    <t>Ilhé nos EUA</t>
  </si>
  <si>
    <t>IlhÃ©us</t>
  </si>
  <si>
    <t>Ilhabela</t>
  </si>
  <si>
    <t>Imbituba</t>
  </si>
  <si>
    <t>Imbituva</t>
  </si>
  <si>
    <t>Imperatriz</t>
  </si>
  <si>
    <t>INDAIAL</t>
  </si>
  <si>
    <t>Indaial</t>
  </si>
  <si>
    <t>Indaiatuba</t>
  </si>
  <si>
    <t>Inumas</t>
  </si>
  <si>
    <t>Inhumas</t>
  </si>
  <si>
    <t>Ipaba</t>
  </si>
  <si>
    <t>Ipameri</t>
  </si>
  <si>
    <t>Ipatinga</t>
  </si>
  <si>
    <t>Iperã</t>
  </si>
  <si>
    <t>IperÃ³</t>
  </si>
  <si>
    <t>IPIAun</t>
  </si>
  <si>
    <t>IpiaÃº</t>
  </si>
  <si>
    <t>Ipirá</t>
  </si>
  <si>
    <t>IpirÃ¡</t>
  </si>
  <si>
    <t>Ipojuca</t>
  </si>
  <si>
    <t>Iporá</t>
  </si>
  <si>
    <t>IporÃ¡</t>
  </si>
  <si>
    <t>IPU</t>
  </si>
  <si>
    <t>Ipu</t>
  </si>
  <si>
    <t>IPubi</t>
  </si>
  <si>
    <t>Ipubi</t>
  </si>
  <si>
    <t>Ipueiras</t>
  </si>
  <si>
    <t>Iracemãpolis</t>
  </si>
  <si>
    <t>IracemÃ¡polis</t>
  </si>
  <si>
    <t>Irati</t>
  </si>
  <si>
    <t>Irecã</t>
  </si>
  <si>
    <t>IrecÃª</t>
  </si>
  <si>
    <t>Itális</t>
  </si>
  <si>
    <t>ItÃ¡polis</t>
  </si>
  <si>
    <t>Itaã</t>
  </si>
  <si>
    <t>ItaÃ­</t>
  </si>
  <si>
    <t>Itaina</t>
  </si>
  <si>
    <t>ItaÃºna</t>
  </si>
  <si>
    <t>Itabaiana</t>
  </si>
  <si>
    <t>Itabaianinha</t>
  </si>
  <si>
    <t>Itaberaã</t>
  </si>
  <si>
    <t>ItaberaÃ­</t>
  </si>
  <si>
    <t>Itaberaba</t>
  </si>
  <si>
    <t>Itabira</t>
  </si>
  <si>
    <t>Itabirito</t>
  </si>
  <si>
    <t>Itaboraã</t>
  </si>
  <si>
    <t>ItaboraÃ­</t>
  </si>
  <si>
    <t>Itabuna</t>
  </si>
  <si>
    <t>ItACaatiara</t>
  </si>
  <si>
    <t>Itacoatiara</t>
  </si>
  <si>
    <t>Itaguaã</t>
  </si>
  <si>
    <t>ItaguaÃ­</t>
  </si>
  <si>
    <t>Itaitinga</t>
  </si>
  <si>
    <t>Itaituba</t>
  </si>
  <si>
    <t>Itajaã</t>
  </si>
  <si>
    <t>ItajaÃ­</t>
  </si>
  <si>
    <t>Itajuã</t>
  </si>
  <si>
    <t>ItajuÃ­pe</t>
  </si>
  <si>
    <t>Itajub.</t>
  </si>
  <si>
    <t>ItajubÃ¡</t>
  </si>
  <si>
    <t>Itamaraju</t>
  </si>
  <si>
    <t>Itamarandiba</t>
  </si>
  <si>
    <t>Itambé</t>
  </si>
  <si>
    <t>ItambÃ©</t>
  </si>
  <si>
    <t>Itanha © m</t>
  </si>
  <si>
    <t>ItanhaÃ©m</t>
  </si>
  <si>
    <t>Itaocara</t>
  </si>
  <si>
    <t>Itapaci</t>
  </si>
  <si>
    <t>Itapagé</t>
  </si>
  <si>
    <t>ItapagÃ©</t>
  </si>
  <si>
    <t>Itaparica</t>
  </si>
  <si>
    <t>ItapeCerica</t>
  </si>
  <si>
    <t>Itapecerica</t>
  </si>
  <si>
    <t>ItapeCerica da Serra</t>
  </si>
  <si>
    <t>Itapecerica da Serra</t>
  </si>
  <si>
    <t>ItapeCuru Mirim</t>
  </si>
  <si>
    <t>Itapecuru Mirim</t>
  </si>
  <si>
    <t>Itapema</t>
  </si>
  <si>
    <t>Itapemirim</t>
  </si>
  <si>
    <t>ITAPERUÃ§U</t>
  </si>
  <si>
    <t>ItaperuÃ§u</t>
  </si>
  <si>
    <t>Itaperuna</t>
  </si>
  <si>
    <t>ITAPETINGA</t>
  </si>
  <si>
    <t>Itapetinga</t>
  </si>
  <si>
    <t>ITAPETININGINEA</t>
  </si>
  <si>
    <t>Itapetininga</t>
  </si>
  <si>
    <t>Itapeva</t>
  </si>
  <si>
    <t>Itapevi</t>
  </si>
  <si>
    <t>Itapipoca</t>
  </si>
  <si>
    <t>Itapira</t>
  </si>
  <si>
    <t>Itapissuma</t>
  </si>
  <si>
    <t>Itaporanga</t>
  </si>
  <si>
    <t>Itapuranga</t>
  </si>
  <si>
    <t>ItaquaqueCetuba</t>
  </si>
  <si>
    <t>Itaquaquecetuba</t>
  </si>
  <si>
    <t>Itaqui</t>
  </si>
  <si>
    <t>Itararé</t>
  </si>
  <si>
    <t>ItararÃ©</t>
  </si>
  <si>
    <t>Itatiba</t>
  </si>
  <si>
    <t>Itatinga</t>
  </si>
  <si>
    <t>Itororã</t>
  </si>
  <si>
    <t>ItororÃ³</t>
  </si>
  <si>
    <t>ITU</t>
  </si>
  <si>
    <t>Itu</t>
  </si>
  <si>
    <t>ITuberá</t>
  </si>
  <si>
    <t>ItuberÃ¡</t>
  </si>
  <si>
    <t>Ituiutaba</t>
  </si>
  <si>
    <t>Itumbiara</t>
  </si>
  <si>
    <t>ITupeva</t>
  </si>
  <si>
    <t>Itupeva</t>
  </si>
  <si>
    <t>Itupiranga</t>
  </si>
  <si>
    <t>Iturama</t>
  </si>
  <si>
    <t>ITuverava</t>
  </si>
  <si>
    <t>Ituverava</t>
  </si>
  <si>
    <t>Ivoti</t>
  </si>
  <si>
    <t>Jaã</t>
  </si>
  <si>
    <t>JaÃº</t>
  </si>
  <si>
    <t>Jaboatã o</t>
  </si>
  <si>
    <t>JaboatÃ£o</t>
  </si>
  <si>
    <t>Jaboatã o Dos Guararapes</t>
  </si>
  <si>
    <t>JaboatÃ£o dos Guararapes</t>
  </si>
  <si>
    <t>Jaboticabal</t>
  </si>
  <si>
    <t>Jacareã</t>
  </si>
  <si>
    <t>JacareÃ­</t>
  </si>
  <si>
    <t>Jacarezinho</t>
  </si>
  <si>
    <t>Jaciara</t>
  </si>
  <si>
    <t>Jacobina</t>
  </si>
  <si>
    <t>Jacutinga</t>
  </si>
  <si>
    <t>Jaguaquara</t>
  </si>
  <si>
    <t>Jaguarã o</t>
  </si>
  <si>
    <t>JaguarÃ£o</t>
  </si>
  <si>
    <t>Jaguarari</t>
  </si>
  <si>
    <t>Jaguariaãva</t>
  </si>
  <si>
    <t>JaguariaÃ­va</t>
  </si>
  <si>
    <t>Jaguariunana</t>
  </si>
  <si>
    <t>JaguariÃºna</t>
  </si>
  <si>
    <t>Jaguaribe</t>
  </si>
  <si>
    <t>Jaguaruana</t>
  </si>
  <si>
    <t>Jales</t>
  </si>
  <si>
    <t>Janaiba</t>
  </si>
  <si>
    <t>JanaÃºba</t>
  </si>
  <si>
    <t>Jandaia do sul</t>
  </si>
  <si>
    <t>Jandaia do Sul</t>
  </si>
  <si>
    <t>Jandira</t>
  </si>
  <si>
    <t>Janu ênia</t>
  </si>
  <si>
    <t>JanuÃ¡ria</t>
  </si>
  <si>
    <t>Jôlio de Castilhos</t>
  </si>
  <si>
    <t>JÃºlio de Castilhos</t>
  </si>
  <si>
    <t>Japeri</t>
  </si>
  <si>
    <t>Jaraguá</t>
  </si>
  <si>
    <t>JaraguÃ¡</t>
  </si>
  <si>
    <t>Jaragu ã o sul</t>
  </si>
  <si>
    <t>JaraguÃ¡ do Sul</t>
  </si>
  <si>
    <t>Jardim</t>
  </si>
  <si>
    <t>Jardinã³polis</t>
  </si>
  <si>
    <t>JardinÃ³polis</t>
  </si>
  <si>
    <t>Jarinu</t>
  </si>
  <si>
    <t>Jaru</t>
  </si>
  <si>
    <t>Jataã</t>
  </si>
  <si>
    <t>JataÃ­</t>
  </si>
  <si>
    <t>JATOB.</t>
  </si>
  <si>
    <t>JatobÃ¡</t>
  </si>
  <si>
    <t>Jequié</t>
  </si>
  <si>
    <t>JequiÃ©</t>
  </si>
  <si>
    <t>Jequitinhonha</t>
  </si>
  <si>
    <t>Jeremoabo</t>
  </si>
  <si>
    <t>Ji paraná</t>
  </si>
  <si>
    <t>Ji ParanÃ¡</t>
  </si>
  <si>
    <t>Joã o C ¢ mara</t>
  </si>
  <si>
    <t>JoÃ£o CÃ¢mara</t>
  </si>
  <si>
    <t>Joã o Monlevade</t>
  </si>
  <si>
    <t>JoÃ£o Monlevade</t>
  </si>
  <si>
    <t>Joã o Pessoa</t>
  </si>
  <si>
    <t>JoÃ£o Pessoa</t>
  </si>
  <si>
    <t>Joã o Pinheiro</t>
  </si>
  <si>
    <t>JoÃ£o Pinheiro</t>
  </si>
  <si>
    <t>Joaã§aba</t>
  </si>
  <si>
    <t>JoaÃ§aba</t>
  </si>
  <si>
    <t>Junção</t>
  </si>
  <si>
    <t>Joinville</t>
  </si>
  <si>
    <t>José Bonifá</t>
  </si>
  <si>
    <t>JosÃ© BonifÃ¡cio</t>
  </si>
  <si>
    <t>José de Freitas</t>
  </si>
  <si>
    <t>JosÃ© de Freitas</t>
  </si>
  <si>
    <t>Juatuba</t>
  </si>
  <si>
    <t>Juazoiro do Norte</t>
  </si>
  <si>
    <t>Juazeiro do Norte</t>
  </si>
  <si>
    <t>Juiz de Fora</t>
  </si>
  <si>
    <t>Jundiaã</t>
  </si>
  <si>
    <t>JundiaÃ­</t>
  </si>
  <si>
    <t>Ladá</t>
  </si>
  <si>
    <t>LadÃ¡rio</t>
  </si>
  <si>
    <t>Lagarto</t>
  </si>
  <si>
    <t>Lages</t>
  </si>
  <si>
    <t>Lago da Pedra</t>
  </si>
  <si>
    <t>Lagoa da Prata</t>
  </si>
  <si>
    <t>Lagoa Do Itaenga</t>
  </si>
  <si>
    <t>Lagoa do Itaenga</t>
  </si>
  <si>
    <t>Lagoa Santa</t>
  </si>
  <si>
    <t>Lagoa Vermelha</t>
  </si>
  <si>
    <t>Laguna</t>
  </si>
  <si>
    <t>Lajeado</t>
  </si>
  <si>
    <t>Lajedo</t>
  </si>
  <si>
    <t>Lajinha</t>
  </si>
  <si>
    <t>Lapa</t>
  </si>
  <si>
    <t>LARANJAL PAULISTA</t>
  </si>
  <si>
    <t>Laranjal Paulista</t>
  </si>
  <si>
    <t>LARANJÉRAS</t>
  </si>
  <si>
    <t>Laranjeiras</t>
  </si>
  <si>
    <t>Laranjeiras do sul</t>
  </si>
  <si>
    <t>Laranjeiras do Sul</t>
  </si>
  <si>
    <t>Lauro de Freitas</t>
  </si>
  <si>
    <t>Lavras</t>
  </si>
  <si>
    <t>Lavras da Mangabeira</t>
  </si>
  <si>
    <t>Leme</t>
  </si>
  <si>
    <t>Lenã ênis Paulista</t>
  </si>
  <si>
    <t>LenÃ§Ã³is Paulista</t>
  </si>
  <si>
    <t>Leopoldina</t>
  </si>
  <si>
    <t>Limeira</t>
  </si>
  <si>
    <t>Limooiro</t>
  </si>
  <si>
    <t>Limoeiro</t>
  </si>
  <si>
    <t>Limoiro do Norte</t>
  </si>
  <si>
    <t>Limoeiro do Norte</t>
  </si>
  <si>
    <t>LINHARES</t>
  </si>
  <si>
    <t>Linhares</t>
  </si>
  <si>
    <t>Lins</t>
  </si>
  <si>
    <t>Livramento do Brumado</t>
  </si>
  <si>
    <t>Loanda</t>
  </si>
  <si>
    <t>Londrina</t>
  </si>
  <si>
    <t>Lorena</t>
  </si>
  <si>
    <t>Louveira</t>
  </si>
  <si>
    <t>Lucas</t>
  </si>
  <si>
    <t>Luzi ¢ nia</t>
  </si>
  <si>
    <t>LuziÃ¢nia</t>
  </si>
  <si>
    <t>Maca ©</t>
  </si>
  <si>
    <t>MacaÃ©</t>
  </si>
  <si>
    <t>Macaba</t>
  </si>
  <si>
    <t>MacaÃ­ba</t>
  </si>
  <si>
    <t>Macapá</t>
  </si>
  <si>
    <t>MacapÃ¡</t>
  </si>
  <si>
    <t>AmapÃ¡</t>
  </si>
  <si>
    <t>Macatuba</t>
  </si>
  <si>
    <t>Macau</t>
  </si>
  <si>
    <t>Maceiã</t>
  </si>
  <si>
    <t>MaceiÃ³</t>
  </si>
  <si>
    <t>Machado</t>
  </si>
  <si>
    <t>Mafra</t>
  </si>
  <si>
    <t>Mairinque</t>
  </si>
  <si>
    <t>Mairiporá</t>
  </si>
  <si>
    <t>MairiporÃ£</t>
  </si>
  <si>
    <t>Mamanguape</t>
  </si>
  <si>
    <t>MANACAPURU</t>
  </si>
  <si>
    <t>Manacapuru</t>
  </si>
  <si>
    <t>Manaus</t>
  </si>
  <si>
    <t>Mandaguari</t>
  </si>
  <si>
    <t>Mangaratiba</t>
  </si>
  <si>
    <t>Manhuaã§u</t>
  </si>
  <si>
    <t>ManhuaÃ§u</t>
  </si>
  <si>
    <t>Manhumirim</t>
  </si>
  <si>
    <t>Marabá</t>
  </si>
  <si>
    <t>MarabÃ¡</t>
  </si>
  <si>
    <t>Maracás</t>
  </si>
  <si>
    <t>MaracÃ¡s</t>
  </si>
  <si>
    <t>Maracaju</t>
  </si>
  <si>
    <t>Maracanai</t>
  </si>
  <si>
    <t>MaracanaÃº</t>
  </si>
  <si>
    <t>Maragogi</t>
  </si>
  <si>
    <t>Maragogipe</t>
  </si>
  <si>
    <t>Marãlia</t>
  </si>
  <si>
    <t>MarÃ­lia</t>
  </si>
  <si>
    <t>Marataiza</t>
  </si>
  <si>
    <t>Marataizes</t>
  </si>
  <si>
    <t>Marau</t>
  </si>
  <si>
    <t>Marechal Cénido Rondon</t>
  </si>
  <si>
    <t>Marechal CÃ¢ndido Rondon</t>
  </si>
  <si>
    <t>Marechal Deodoro</t>
  </si>
  <si>
    <t>Mari</t>
  </si>
  <si>
    <t>Marialva</t>
  </si>
  <si>
    <t>Mariana</t>
  </si>
  <si>
    <t>Maricã</t>
  </si>
  <si>
    <t>MaricÃ¡</t>
  </si>
  <si>
    <t>Maringã</t>
  </si>
  <si>
    <t>MaringÃ¡</t>
  </si>
  <si>
    <t>Martinã³ Polis</t>
  </si>
  <si>
    <t>MartinÃ³polis</t>
  </si>
  <si>
    <t>Mascote</t>
  </si>
  <si>
    <t>Mata de Sã o Joã</t>
  </si>
  <si>
    <t>Mata de SÃ£o JoÃ£o</t>
  </si>
  <si>
    <t>Matã o</t>
  </si>
  <si>
    <t>MatÃ£o</t>
  </si>
  <si>
    <t>Mateus Leme</t>
  </si>
  <si>
    <t>Matozinhos</t>
  </si>
  <si>
    <t>Matriz de Camaragibe</t>
  </si>
  <si>
    <t>Mauá</t>
  </si>
  <si>
    <t>MauÃ¡</t>
  </si>
  <si>
    <t>Maué S.</t>
  </si>
  <si>
    <t>MauÃ©s</t>
  </si>
  <si>
    <t>Medeiros neto</t>
  </si>
  <si>
    <t>Medeiros Neto</t>
  </si>
  <si>
    <t>Medianeira</t>
  </si>
  <si>
    <t>Mendes</t>
  </si>
  <si>
    <t>Miguel Pereira</t>
  </si>
  <si>
    <t>MiguelãPolis</t>
  </si>
  <si>
    <t>MiguelÃ³polis</t>
  </si>
  <si>
    <t>Mineiros</t>
  </si>
  <si>
    <t>Miracema</t>
  </si>
  <si>
    <t>Mirandopãlis</t>
  </si>
  <si>
    <t>MirandopÃ³lis</t>
  </si>
  <si>
    <t>Mocajuba</t>
  </si>
  <si>
    <t>Mococa</t>
  </si>
  <si>
    <t>Mogi Das Cruzes</t>
  </si>
  <si>
    <t>Mogi das Cruzes</t>
  </si>
  <si>
    <t>Mogi Mirim</t>
  </si>
  <si>
    <t>Mogi-gaucu</t>
  </si>
  <si>
    <t>Mogi-Gaucu</t>
  </si>
  <si>
    <t>Moju</t>
  </si>
  <si>
    <t>Mombaã§a</t>
  </si>
  <si>
    <t>MombaÃ§a</t>
  </si>
  <si>
    <t>MongaGu avé</t>
  </si>
  <si>
    <t>MongaguÃ¡</t>
  </si>
  <si>
    <t>Monte Alegre</t>
  </si>
  <si>
    <t>Monte Alto</t>
  </si>
  <si>
    <t>Monte Aprazãvel</t>
  </si>
  <si>
    <t>Monte AprazÃ­vel</t>
  </si>
  <si>
    <t>Monte Azul Paulista</t>
  </si>
  <si>
    <t>Monte Carmelo</t>
  </si>
  <si>
    <t>Monte Mor</t>
  </si>
  <si>
    <t>Monte Santo de Minas</t>
  </si>
  <si>
    <t>Monteiro</t>
  </si>
  <si>
    <t>Montenegro</t>
  </si>
  <si>
    <t>Montes Claros</t>
  </si>
  <si>
    <t>Morada Nova</t>
  </si>
  <si>
    <t>Moreno</t>
  </si>
  <si>
    <t>Morrins</t>
  </si>
  <si>
    <t>Morrinhos</t>
  </si>
  <si>
    <t>Morro Agudo</t>
  </si>
  <si>
    <t>Morro do Chapé u</t>
  </si>
  <si>
    <t>Morro do ChapÃ©u</t>
  </si>
  <si>
    <t>Mossorã</t>
  </si>
  <si>
    <t>MossorÃ³</t>
  </si>
  <si>
    <t>Mucuri</t>
  </si>
  <si>
    <t>Muriaé</t>
  </si>
  <si>
    <t>MuriaÃ©</t>
  </si>
  <si>
    <t>Murici</t>
  </si>
  <si>
    <t>Muritiba</t>
  </si>
  <si>
    <t>MUZAMBINHO</t>
  </si>
  <si>
    <t>Muzambinho</t>
  </si>
  <si>
    <t>Nanuque</t>
  </si>
  <si>
    <t>Natal</t>
  </si>
  <si>
    <t>Navegantes</t>
  </si>
  <si>
    <t>Naviraã</t>
  </si>
  <si>
    <t>NaviraÃ­</t>
  </si>
  <si>
    <t>Nazaré</t>
  </si>
  <si>
    <t>NazarÃ©</t>
  </si>
  <si>
    <t>Nazar © da mata</t>
  </si>
  <si>
    <t>NazarÃ© da Mata</t>
  </si>
  <si>
    <t>Nepomuceno</t>
  </si>
  <si>
    <t>Nerã³ Polis</t>
  </si>
  <si>
    <t>NerÃ³polis</t>
  </si>
  <si>
    <t>Nilã³ Polis</t>
  </si>
  <si>
    <t>NilÃ³polis</t>
  </si>
  <si>
    <t>Niquelâ € ndia</t>
  </si>
  <si>
    <t>NiquelÃ¢ndia</t>
  </si>
  <si>
    <t>Niterãi</t>
  </si>
  <si>
    <t>NiterÃ³i</t>
  </si>
  <si>
    <t>Nossa senhora da glóia</t>
  </si>
  <si>
    <t>Nossa Senhora da GlÃ³ria</t>
  </si>
  <si>
    <t>Nossa Senhora do Socorro</t>
  </si>
  <si>
    <t>Nova Cruz</t>
  </si>
  <si>
    <t>Nova Era</t>
  </si>
  <si>
    <t>Nova Friburgo</t>
  </si>
  <si>
    <t>Nova Granada</t>
  </si>
  <si>
    <t>Nova Iguaã§u</t>
  </si>
  <si>
    <t>Nova IguaÃ§u</t>
  </si>
  <si>
    <t>Nova Lima</t>
  </si>
  <si>
    <t>Nova Odessa</t>
  </si>
  <si>
    <t>Nova Olãmpia</t>
  </si>
  <si>
    <t>Nova OlÃ­mpia</t>
  </si>
  <si>
    <t>Nova Petrã³ Polis</t>
  </si>
  <si>
    <t>Nova PetrÃ³polis</t>
  </si>
  <si>
    <t>Nova Prata</t>
  </si>
  <si>
    <t>Nova Russa</t>
  </si>
  <si>
    <t>Nova Russas</t>
  </si>
  <si>
    <t>Nova Vené Cia</t>
  </si>
  <si>
    <t>Nova VenÃ©cia</t>
  </si>
  <si>
    <t>Nova Viã§osa</t>
  </si>
  <si>
    <t>Nova ViÃ§osa</t>
  </si>
  <si>
    <t>Novo Hamburgo</t>
  </si>
  <si>
    <t>Novo Horizonte</t>
  </si>
  <si>
    <t>Oiras</t>
  </si>
  <si>
    <t>Oeiras</t>
  </si>
  <si>
    <t>Olãmpia</t>
  </si>
  <si>
    <t>OlÃ­mpia</t>
  </si>
  <si>
    <t>Olinda</t>
  </si>
  <si>
    <t>Oliveira</t>
  </si>
  <si>
    <t>Orãs</t>
  </si>
  <si>
    <t>OrÃ³s</t>
  </si>
  <si>
    <t>Oriximiná</t>
  </si>
  <si>
    <t>OriximinÃ¡</t>
  </si>
  <si>
    <t>Orl ¢ ndia</t>
  </si>
  <si>
    <t>OrlÃ¢ndia</t>
  </si>
  <si>
    <t>Orleans</t>
  </si>
  <si>
    <t>Osã³ri</t>
  </si>
  <si>
    <t>OsÃ³rio</t>
  </si>
  <si>
    <t>Otasco</t>
  </si>
  <si>
    <t>Osasco</t>
  </si>
  <si>
    <t>Osvaldo Cruz</t>
  </si>
  <si>
    <t>Ouricuri</t>
  </si>
  <si>
    <t>OurINHOS</t>
  </si>
  <si>
    <t>Ourinhos</t>
  </si>
  <si>
    <t>Ouro Branco</t>
  </si>
  <si>
    <t>Ouro preto</t>
  </si>
  <si>
    <t>Ouro Preto</t>
  </si>
  <si>
    <t>Ouro preto doeste</t>
  </si>
  <si>
    <t>Ouro Preto do Oeste</t>
  </si>
  <si>
    <t>Pã'sto fiscal rolim de moura</t>
  </si>
  <si>
    <t>PÃ´sto Fiscal Rolim de Moura</t>
  </si>
  <si>
    <t>Pacajus</t>
  </si>
  <si>
    <t>Pacatuba</t>
  </si>
  <si>
    <t>Padre Bernardo</t>
  </si>
  <si>
    <t>Paiã§andu</t>
  </si>
  <si>
    <t>PaiÃ§andu</t>
  </si>
  <si>
    <t>Palhoã§a</t>
  </si>
  <si>
    <t>PalhoÃ§a</t>
  </si>
  <si>
    <t>Palmares</t>
  </si>
  <si>
    <t>Palmas</t>
  </si>
  <si>
    <t>Palmeira</t>
  </si>
  <si>
    <t>Palmeira Das Missão</t>
  </si>
  <si>
    <t>Palmeira das MissÃµes</t>
  </si>
  <si>
    <t>Palmital</t>
  </si>
  <si>
    <t>Palotina</t>
  </si>
  <si>
    <t>Panambi</t>
  </si>
  <si>
    <t>Parão de Minas</t>
  </si>
  <si>
    <t>ParÃ¡ de Minas</t>
  </si>
  <si>
    <t>Paraãba do sul</t>
  </si>
  <si>
    <t>ParaÃ­ba do Sul</t>
  </si>
  <si>
    <t>Paracambi</t>
  </si>
  <si>
    <t>Paracatu</t>
  </si>
  <si>
    <t>Paracuru</t>
  </si>
  <si>
    <t>Paragominas</t>
  </si>
  <si>
    <t>Paraguaã§u</t>
  </si>
  <si>
    <t>ParaguaÃ§u</t>
  </si>
  <si>
    <t>Paraguaã ênse Paulista</t>
  </si>
  <si>
    <t>ParaguaÃ§u Paulista</t>
  </si>
  <si>
    <t>Paraipaba</t>
  </si>
  <si>
    <t>Paranaãba</t>
  </si>
  <si>
    <t>ParanaÃ­ba</t>
  </si>
  <si>
    <t>Paranagu avé</t>
  </si>
  <si>
    <t>ParanaguÃ¡</t>
  </si>
  <si>
    <t>Paranapanema</t>
  </si>
  <si>
    <t>Paranavaã</t>
  </si>
  <si>
    <t>ParanavaÃ­</t>
  </si>
  <si>
    <t>Paraty</t>
  </si>
  <si>
    <t>Parelhas</t>
  </si>
  <si>
    <t>Parintins</t>
  </si>
  <si>
    <t>Parnaãba</t>
  </si>
  <si>
    <t>ParnaÃ­ba</t>
  </si>
  <si>
    <t>Parnamirim</t>
  </si>
  <si>
    <t>Parobé</t>
  </si>
  <si>
    <t>ParobÃ©</t>
  </si>
  <si>
    <t>Passo Fundo</t>
  </si>
  <si>
    <t>Passos</t>
  </si>
  <si>
    <t>Pato Branco</t>
  </si>
  <si>
    <t>Patos</t>
  </si>
  <si>
    <t>Patos de Minas</t>
  </si>
  <si>
    <t>Patrocãnio</t>
  </si>
  <si>
    <t>PatrocÃ­nio</t>
  </si>
  <si>
    <t>Paty Do Alferres</t>
  </si>
  <si>
    <t>Paty do Alferes</t>
  </si>
  <si>
    <t>Paulãnia</t>
  </si>
  <si>
    <t>PaulÃ­nia</t>
  </si>
  <si>
    <t>Paulista</t>
  </si>
  <si>
    <t>Paulo Afonso</t>
  </si>
  <si>
    <t>Pederneiras</t>
  </si>
  <si>
    <t>Pedra Azul</t>
  </si>
  <si>
    <t>Pedra Branca</t>
  </si>
  <si>
    <t>Pedreira</t>
  </si>
  <si>
    <t>Pedro II</t>
  </si>
  <si>
    <t>Pedro Leopoldo</t>
  </si>
  <si>
    <t>Pelotas</t>
  </si>
  <si>
    <t>Pen</t>
  </si>
  <si>
    <t>PenÃ¡polis</t>
  </si>
  <si>
    <t>Penalva</t>
  </si>
  <si>
    <t>Penedo</t>
  </si>
  <si>
    <t>Penha</t>
  </si>
  <si>
    <t>Pentecoste</t>
  </si>
  <si>
    <t>Perdãµes</t>
  </si>
  <si>
    <t>PerdÃµes</t>
  </si>
  <si>
    <t>Pereira Barreto</t>
  </si>
  <si>
    <t>Peruãbe</t>
  </si>
  <si>
    <t>PeruÃ­be</t>
  </si>
  <si>
    <t>Pesqueira</t>
  </si>
  <si>
    <t>Petrã³ Polis</t>
  </si>
  <si>
    <t>PetrÃ³polis</t>
  </si>
  <si>
    <t>Petrolina</t>
  </si>
  <si>
    <t>Piã inos</t>
  </si>
  <si>
    <t>PiÃºma</t>
  </si>
  <si>
    <t>Picos</t>
  </si>
  <si>
    <t>Piedade</t>
  </si>
  <si>
    <t>Pilar</t>
  </si>
  <si>
    <t>Pilar do sul</t>
  </si>
  <si>
    <t>Pilar do Sul</t>
  </si>
  <si>
    <t>Pimenta Bueno</t>
  </si>
  <si>
    <t>Pindamonhangaba</t>
  </si>
  <si>
    <t>Pindaré Mirim</t>
  </si>
  <si>
    <t>PindarÃ© Mirim</t>
  </si>
  <si>
    <t>Pindobaã</t>
  </si>
  <si>
    <t>PindobaÃ§u</t>
  </si>
  <si>
    <t>Pinhã o</t>
  </si>
  <si>
    <t>PinhÃ£o</t>
  </si>
  <si>
    <t>Pinhis</t>
  </si>
  <si>
    <t>Pinhais</t>
  </si>
  <si>
    <t>Pinheiral</t>
  </si>
  <si>
    <t>Pinheiro</t>
  </si>
  <si>
    <t>Piraã</t>
  </si>
  <si>
    <t>PiraÃ­</t>
  </si>
  <si>
    <t>Piraã do sul</t>
  </si>
  <si>
    <t>PiraÃ­ do Sul</t>
  </si>
  <si>
    <t>Piracaia</t>
  </si>
  <si>
    <t>Piracanjuba</t>
  </si>
  <si>
    <t>Piracicaba</t>
  </si>
  <si>
    <t>Piracuruca</t>
  </si>
  <si>
    <t>Piraju</t>
  </si>
  <si>
    <t>Pirajuã</t>
  </si>
  <si>
    <t>PirajuÃ­</t>
  </si>
  <si>
    <t>Pirapora</t>
  </si>
  <si>
    <t>Pirapozinho</t>
  </si>
  <si>
    <t>Piraquara</t>
  </si>
  <si>
    <t>Pirassununga</t>
  </si>
  <si>
    <t>Pires do Rio</t>
  </si>
  <si>
    <t>Piripiri</t>
  </si>
  <si>
    <t>Piritiba</t>
  </si>
  <si>
    <t>Pitanga</t>
  </si>
  <si>
    <t>Pitanguiras</t>
  </si>
  <si>
    <t>Pitangueiras</t>
  </si>
  <si>
    <t>Pitangui</t>
  </si>
  <si>
    <t>Piuã</t>
  </si>
  <si>
    <t>PiuÃ­</t>
  </si>
  <si>
    <t>Plaltina</t>
  </si>
  <si>
    <t>Planaltina</t>
  </si>
  <si>
    <t>Poã</t>
  </si>
  <si>
    <t>PoÃ¡</t>
  </si>
  <si>
    <t>Poã -ãos</t>
  </si>
  <si>
    <t>PoÃ§Ãµes</t>
  </si>
  <si>
    <t>Poã§os de Caldas</t>
  </si>
  <si>
    <t>PoÃ§os de Caldas</t>
  </si>
  <si>
    <t>Pocon ©</t>
  </si>
  <si>
    <t>PoconÃ©</t>
  </si>
  <si>
    <t>Pombal</t>
  </si>
  <si>
    <t>Pombos</t>
  </si>
  <si>
    <t>Pomerode</t>
  </si>
  <si>
    <t>Pompé © ia</t>
  </si>
  <si>
    <t>PompÃ©ia</t>
  </si>
  <si>
    <t>Pompé © u</t>
  </si>
  <si>
    <t>PompÃ©u</t>
  </si>
  <si>
    <t>PONTA GROSSA</t>
  </si>
  <si>
    <t>Ponta Grossa</t>
  </si>
  <si>
    <t>Ponta Porã</t>
  </si>
  <si>
    <t>Ponta PorÃ£</t>
  </si>
  <si>
    <t>Pontal</t>
  </si>
  <si>
    <t>Ponte Nova</t>
  </si>
  <si>
    <t>Pontes e Lacerda</t>
  </si>
  <si>
    <t>Porangatu</t>
  </si>
  <si>
    <t>Portã o</t>
  </si>
  <si>
    <t>PortÃ£o</t>
  </si>
  <si>
    <t>Portel</t>
  </si>
  <si>
    <t>Porto Alegre</t>
  </si>
  <si>
    <t>Porto Calvo</t>
  </si>
  <si>
    <t>Porto Feliz</t>
  </si>
  <si>
    <t>Porto Ferreira</t>
  </si>
  <si>
    <t>Porto Seguro</t>
  </si>
  <si>
    <t>Porto Uniã £ o</t>
  </si>
  <si>
    <t>Porto UniÃ£o</t>
  </si>
  <si>
    <t>PORTO VELHO</t>
  </si>
  <si>
    <t>Porto Velho</t>
  </si>
  <si>
    <t>Posse</t>
  </si>
  <si>
    <t>Pouso Alegre</t>
  </si>
  <si>
    <t>Prado</t>
  </si>
  <si>
    <t>Praia Grande</t>
  </si>
  <si>
    <t>Prata</t>
  </si>
  <si>
    <t>Presidente Dutra</t>
  </si>
  <si>
    <t>Presidente Epitá</t>
  </si>
  <si>
    <t>Presidente EpitÃ¡cio</t>
  </si>
  <si>
    <t>Presidente Prudente</t>
  </si>
  <si>
    <t>Presidente Venceslau</t>
  </si>
  <si>
    <t>Promissão o</t>
  </si>
  <si>
    <t>PromissÃ£o</t>
  </si>
  <si>
    <t>Propri.</t>
  </si>
  <si>
    <t>PropriÃ¡</t>
  </si>
  <si>
    <t>PrudentãPolis</t>
  </si>
  <si>
    <t>PrudentÃ³polis</t>
  </si>
  <si>
    <t>Quaraã</t>
  </si>
  <si>
    <t>QuaraÃ­</t>
  </si>
  <si>
    <t>Quatro Barras</t>
  </si>
  <si>
    <t>Queimados</t>
  </si>
  <si>
    <t>Quirinã³polis</t>
  </si>
  <si>
    <t>QuirinÃ³polis</t>
  </si>
  <si>
    <t>Quixadá</t>
  </si>
  <si>
    <t>QuixadÃ¡</t>
  </si>
  <si>
    <t>Quixeramobim</t>
  </si>
  <si>
    <t>Rancharia</t>
  </si>
  <si>
    <t>Recife</t>
  </si>
  <si>
    <t>Regente Feijã</t>
  </si>
  <si>
    <t>Regente FeijÃ³</t>
  </si>
  <si>
    <t>Registro</t>
  </si>
  <si>
    <t>Resenda</t>
  </si>
  <si>
    <t>Resende</t>
  </si>
  <si>
    <t>Resplandor</t>
  </si>
  <si>
    <t>Resplendor</t>
  </si>
  <si>
    <t>Riachã £ o jacuãpe</t>
  </si>
  <si>
    <t>RiachÃ£o do JacuÃ­pe</t>
  </si>
  <si>
    <t>Ribeira do Pombal</t>
  </si>
  <si>
    <t>Ribeirã o</t>
  </si>
  <si>
    <t>RibeirÃ£o</t>
  </si>
  <si>
    <t>Ribeirã o da ilha</t>
  </si>
  <si>
    <t>RibeirÃ£o da Ilha</t>
  </si>
  <si>
    <t>Ribeirã o Das Neves</t>
  </si>
  <si>
    <t>RibeirÃ£o das Neves</t>
  </si>
  <si>
    <t>Ribeirão pires</t>
  </si>
  <si>
    <t>RibeirÃ£o Pires</t>
  </si>
  <si>
    <t>Ribeirã £ o preto</t>
  </si>
  <si>
    <t>RibeirÃ£o Preto</t>
  </si>
  <si>
    <t>Rio Bonito</t>
  </si>
  <si>
    <t>Rio Branco</t>
  </si>
  <si>
    <t>Rio Branco do Sul</t>
  </si>
  <si>
    <t>Rio Brilhante</t>
  </si>
  <si>
    <t>Rio Claro</t>
  </si>
  <si>
    <t>Rio Das Ostras</t>
  </si>
  <si>
    <t>Rio das Ostras</t>
  </si>
  <si>
    <t>Rio Das Pedras</t>
  </si>
  <si>
    <t>Rio das Pedras</t>
  </si>
  <si>
    <t>Rio do sul</t>
  </si>
  <si>
    <t>Rio do Sul</t>
  </si>
  <si>
    <t>Rio Formoso</t>
  </si>
  <si>
    <t>Rio Grande</t>
  </si>
  <si>
    <t>Rio Grande da Serra</t>
  </si>
  <si>
    <t>Rio Largo</t>
  </si>
  <si>
    <t>Rio Negrinho</t>
  </si>
  <si>
    <t>Rio Pardo</t>
  </si>
  <si>
    <t>Rio preto da eva</t>
  </si>
  <si>
    <t>Rio Preto da Eva</t>
  </si>
  <si>
    <t>Rio real</t>
  </si>
  <si>
    <t>Rio Real</t>
  </si>
  <si>
    <t>Rio Verde de Mato Grosso</t>
  </si>
  <si>
    <t>Rol ¢ ndia</t>
  </si>
  <si>
    <t>RolÃ¢ndia</t>
  </si>
  <si>
    <t>Rolante</t>
  </si>
  <si>
    <t>Rondonã³polis</t>
  </si>
  <si>
    <t>RondonÃ³polis</t>
  </si>
  <si>
    <t>Rosã do sul</t>
  </si>
  <si>
    <t>RosÃ¡rio do Sul</t>
  </si>
  <si>
    <t>Rubiataba</t>
  </si>
  <si>
    <t>Russa</t>
  </si>
  <si>
    <t>Russas</t>
  </si>
  <si>
    <t>Ruy Barbosa</t>
  </si>
  <si>
    <t>Sã o Bento</t>
  </si>
  <si>
    <t>SÃ£o Bento</t>
  </si>
  <si>
    <t>Sã o Bento do Sul</t>
  </si>
  <si>
    <t>SÃ£o Bento do Sul</t>
  </si>
  <si>
    <t>Sã o Bernardo do Campo</t>
  </si>
  <si>
    <t>SÃ£o Bernardo do Campo</t>
  </si>
  <si>
    <t>Sã o Borja</t>
  </si>
  <si>
    <t>SÃ£o Borja</t>
  </si>
  <si>
    <t>Sã o caetano do sul</t>
  </si>
  <si>
    <t>SÃ£o Caetano do Sul</t>
  </si>
  <si>
    <t>Sã o Carlos</t>
  </si>
  <si>
    <t>SÃ£o Carlos</t>
  </si>
  <si>
    <t>Sã o CristãVã</t>
  </si>
  <si>
    <t>SÃ£o CristÃ³vÃ£o</t>
  </si>
  <si>
    <t>Sã o Domingos do Maranhã</t>
  </si>
  <si>
    <t>SÃ£o Domingos do MaranhÃ£o</t>
  </si>
  <si>
    <t>Fé félix do Xingu</t>
  </si>
  <si>
    <t>SÃ£o FÃ©lix do Xingu</t>
  </si>
  <si>
    <t>Sã o fidé lis</t>
  </si>
  <si>
    <t>SÃ£o FidÃ©lis</t>
  </si>
  <si>
    <t>Sã o Francisco</t>
  </si>
  <si>
    <t>SÃ£o Francisco</t>
  </si>
  <si>
    <t>Sã o Francisco Do Conde</t>
  </si>
  <si>
    <t>SÃ£o Francisco do Conde</t>
  </si>
  <si>
    <t>Sã o Francisco do Sul</t>
  </si>
  <si>
    <t>SÃ£o Francisco do Sul</t>
  </si>
  <si>
    <t>Gabriel</t>
  </si>
  <si>
    <t>SÃ£o Gabriel</t>
  </si>
  <si>
    <t>Sã o Gabriel da Cachoeira</t>
  </si>
  <si>
    <t>SÃ£o Gabriel da Cachoeira</t>
  </si>
  <si>
    <t>Sã o Gonã§alo do AMANTE</t>
  </si>
  <si>
    <t>SÃ£o GonÃ§alo do Amarante</t>
  </si>
  <si>
    <t>Sã £ o Gonã§alo do Sapucaã</t>
  </si>
  <si>
    <t>SÃ£o GonÃ§alo do SapucaÃ­</t>
  </si>
  <si>
    <t>Sã o Gotardo</t>
  </si>
  <si>
    <t>SÃ£o Gotardo</t>
  </si>
  <si>
    <t>Sã o Jerã'nimo</t>
  </si>
  <si>
    <t>SÃ£o JerÃ´nimo</t>
  </si>
  <si>
    <t>Sã o Joã o da Barra</t>
  </si>
  <si>
    <t>SÃ£o JoÃ£o da Barra</t>
  </si>
  <si>
    <t>Sã £ o Joã o da BOA Vista</t>
  </si>
  <si>
    <t>SÃ£o JoÃ£o da Boa Vista</t>
  </si>
  <si>
    <t>Sã o Joã de Meriti</t>
  </si>
  <si>
    <t>SÃ£o JoÃ£o de Meriti</t>
  </si>
  <si>
    <t>Sã o Joã o del rei</t>
  </si>
  <si>
    <t>SÃ£o JoÃ£o del Rei</t>
  </si>
  <si>
    <t>Sã o Joã o Dos INUMUNS</t>
  </si>
  <si>
    <t>SÃ£o JoÃ£o dos Inhamuns</t>
  </si>
  <si>
    <t>Sã o Joã o dos Patos</t>
  </si>
  <si>
    <t>SÃ£o JoÃ£o dos Patos</t>
  </si>
  <si>
    <t>Sã £ o Joã £ o Nepomuceno</t>
  </si>
  <si>
    <t>SÃ£o JoÃ£o Nepomuceno</t>
  </si>
  <si>
    <t>Sã o Joaquim</t>
  </si>
  <si>
    <t>SÃ£o Joaquim</t>
  </si>
  <si>
    <t>Sã o Joaquim da Barra</t>
  </si>
  <si>
    <t>SÃ£o Joaquim da Barra</t>
  </si>
  <si>
    <t>Sã o José</t>
  </si>
  <si>
    <t>SÃ£o JosÃ©</t>
  </si>
  <si>
    <t>Sã o José de Mipibu</t>
  </si>
  <si>
    <t>SÃ£o JosÃ© de Mipibu</t>
  </si>
  <si>
    <t>Sã o José de Ribamar</t>
  </si>
  <si>
    <t>SÃ£o JosÃ© de Ribamar</t>
  </si>
  <si>
    <t>Sã o José do Egito</t>
  </si>
  <si>
    <t>SÃ£o JosÃ© do Egito</t>
  </si>
  <si>
    <t>Sã o José do Rio Pardo</t>
  </si>
  <si>
    <t>SÃ£o JosÃ© do Rio Pardo</t>
  </si>
  <si>
    <t>Sã o José do Rio Preto</t>
  </si>
  <si>
    <t>SÃ£o JosÃ© do Rio Preto</t>
  </si>
  <si>
    <t>Sã o José dos Campos dos Campos</t>
  </si>
  <si>
    <t>SÃ£o JosÃ© dos Campos</t>
  </si>
  <si>
    <t>Sã o José dos Pinhis</t>
  </si>
  <si>
    <t>SÃ£o JosÃ© dos Pinhais</t>
  </si>
  <si>
    <t>Sã o leopoldo</t>
  </si>
  <si>
    <t>SÃ£o Leopoldo</t>
  </si>
  <si>
    <t>Sã o Lourenã§o</t>
  </si>
  <si>
    <t>SÃ£o LourenÃ§o</t>
  </si>
  <si>
    <t>Sã o Lourenã§o da Mata</t>
  </si>
  <si>
    <t>SÃ£o LourenÃ§o da Mata</t>
  </si>
  <si>
    <t>Sã o Lourenã§o do Sul</t>
  </si>
  <si>
    <t>SÃ£o LourenÃ§o do Sul</t>
  </si>
  <si>
    <t>Sã o Luãs</t>
  </si>
  <si>
    <t>SÃ£o LuÃ­s</t>
  </si>
  <si>
    <t>Sã o Luãs de Montes Belos</t>
  </si>
  <si>
    <t>SÃ£o LuÃ­s de Montes Belos</t>
  </si>
  <si>
    <t>Sã o Luãs Do Quetunde</t>
  </si>
  <si>
    <t>SÃ£o LuÃ­s do Quitunde</t>
  </si>
  <si>
    <t>Sã o Luiz Gonzaga</t>
  </si>
  <si>
    <t>SÃ£o Luiz Gonzaga</t>
  </si>
  <si>
    <t>Sã o Manuel</t>
  </si>
  <si>
    <t>SÃ£o Manuel</t>
  </si>
  <si>
    <t>Sã o Marcos</t>
  </si>
  <si>
    <t>SÃ£o Marcos</t>
  </si>
  <si>
    <t>Sã o mateus</t>
  </si>
  <si>
    <t>SÃ£o Mateus</t>
  </si>
  <si>
    <t>Sã o mateus do maranhã £ o</t>
  </si>
  <si>
    <t>SÃ£o Mateus do MaranhÃ£o</t>
  </si>
  <si>
    <t>Sã o mateus do sul</t>
  </si>
  <si>
    <t>SÃ£o Mateus do Sul</t>
  </si>
  <si>
    <t>Sã o Miguel do Aragaia</t>
  </si>
  <si>
    <t>SÃ£o Miguel do Araguaia</t>
  </si>
  <si>
    <t>Sã o Miguel do Guamã</t>
  </si>
  <si>
    <t>SÃ£o Miguel do GuamÃ¡</t>
  </si>
  <si>
    <t>Sã o Miguel Do Iguaã§u</t>
  </si>
  <si>
    <t>SÃ£o Miguel do IguaÃ§u</t>
  </si>
  <si>
    <t>Sã o Miguel dos Campos</t>
  </si>
  <si>
    <t>SÃ£o Miguel dos Campos</t>
  </si>
  <si>
    <t>Sã o Paulo</t>
  </si>
  <si>
    <t>São Paulo</t>
  </si>
  <si>
    <t>Sã o Pedro</t>
  </si>
  <si>
    <t>SÃ£o Pedro</t>
  </si>
  <si>
    <t>Sã o Pedro da Aldeia</t>
  </si>
  <si>
    <t>SÃ£o Pedro da Aldeia</t>
  </si>
  <si>
    <t>Sã o Raimundo Nonato</t>
  </si>
  <si>
    <t>SÃ£o Raimundo Nonato</t>
  </si>
  <si>
    <t>Sã o Roque</t>
  </si>
  <si>
    <t>SÃ£o Roque</t>
  </si>
  <si>
    <t>Sã o sebastiã o</t>
  </si>
  <si>
    <t>SÃ£o SebastiÃ£o</t>
  </si>
  <si>
    <t>Sã o sebastiã £ o do caã</t>
  </si>
  <si>
    <t>SÃ£o SebastiÃ£o do CaÃ­</t>
  </si>
  <si>
    <t>Sã o sebastiã £ o para paraãso</t>
  </si>
  <si>
    <t>SÃ£o SebastiÃ£o do ParaÃ­so</t>
  </si>
  <si>
    <t>Sã o sebastiã £ o Pass ©</t>
  </si>
  <si>
    <t>SÃ£o SebastiÃ£o do PassÃ©</t>
  </si>
  <si>
    <t>Sã o sepé</t>
  </si>
  <si>
    <t>SÃ£o SepÃ©</t>
  </si>
  <si>
    <t>Vicente</t>
  </si>
  <si>
    <t>SÃ£o Vicente</t>
  </si>
  <si>
    <t>Sacramento</t>
  </si>
  <si>
    <t>Salgueiro</t>
  </si>
  <si>
    <t>Salinã³ Polis</t>
  </si>
  <si>
    <t>SalinÃ³polis</t>
  </si>
  <si>
    <t>Salinas</t>
  </si>
  <si>
    <t>Salto</t>
  </si>
  <si>
    <t>Salto de Pirapora</t>
  </si>
  <si>
    <t>Salvador</t>
  </si>
  <si>
    <t>Santa Bãrbara d'Oeste</t>
  </si>
  <si>
    <t>Santa BÃ¡rbara d'Oeste</t>
  </si>
  <si>
    <t>Santa Cecãlia</t>
  </si>
  <si>
    <t>Santa CecÃ­lia</t>
  </si>
  <si>
    <t>Santa Cruz Cabrãlia</t>
  </si>
  <si>
    <t>Santa Cruz CabrÃ¡lia</t>
  </si>
  <si>
    <t>Santa Cruz Das Palmeiras</t>
  </si>
  <si>
    <t>Santa Cruz das Palmeiras</t>
  </si>
  <si>
    <t>Santa Cruz do Capibaribe</t>
  </si>
  <si>
    <t>Santa Cruz do Rio Pardo</t>
  </si>
  <si>
    <t>Santa Cruz do Sul</t>
  </si>
  <si>
    <t>Santa F © do Sul</t>
  </si>
  <si>
    <t>Santa FÃ© do Sul</t>
  </si>
  <si>
    <t>Santa Gertrudes</t>
  </si>
  <si>
    <t>Santa Helena</t>
  </si>
  <si>
    <t>Santa Helena de Goiãs</t>
  </si>
  <si>
    <t>Santa Helena de GoiÃ¡s</t>
  </si>
  <si>
    <t>Papai Noel</t>
  </si>
  <si>
    <t>Santa InÃªs</t>
  </si>
  <si>
    <t>Santa Isabel</t>
  </si>
  <si>
    <t>Santa Luzia</t>
  </si>
  <si>
    <t>Santa Maria</t>
  </si>
  <si>
    <t>Santa Maria da Vitã³ria</t>
  </si>
  <si>
    <t>Santa Maria da VitÃ³ria</t>
  </si>
  <si>
    <t>Santa Quité © ria</t>
  </si>
  <si>
    <t>Santa QuitÃ©ria</t>
  </si>
  <si>
    <t>Santa Quit.</t>
  </si>
  <si>
    <t>Santa QuitÃ©ria do MaranhÃ£o</t>
  </si>
  <si>
    <t>Santa Rita</t>
  </si>
  <si>
    <t>Santa Rita do Passa Quatro</t>
  </si>
  <si>
    <t>Santa Rita do Sapucaã</t>
  </si>
  <si>
    <t>Santa Rita do SapucaÃ­</t>
  </si>
  <si>
    <t>Santa Rosa de Viterbo</t>
  </si>
  <si>
    <t>Santa Vitã³ria do Palmar</t>
  </si>
  <si>
    <t>Santa VitÃ³ria do Palmar</t>
  </si>
  <si>
    <t>Santaluz</t>
  </si>
  <si>
    <t>Santana</t>
  </si>
  <si>
    <t>Santana de Parnaãba</t>
  </si>
  <si>
    <t>Santana de ParnaÃ­ba</t>
  </si>
  <si>
    <t>Santana do ipanema</t>
  </si>
  <si>
    <t>Santana do Ipanema</t>
  </si>
  <si>
    <t>Santana do Livramento</t>
  </si>
  <si>
    <t>Santana do Paraãso</t>
  </si>
  <si>
    <t>Santana do ParaÃ­so</t>
  </si>
  <si>
    <t>Santaré m</t>
  </si>
  <si>
    <t>SantarÃ©m</t>
  </si>
  <si>
    <t>Santiago</t>
  </si>
  <si>
    <t>Santo ãngelo</t>
  </si>
  <si>
    <t>Santo Ã‚ngelo</t>
  </si>
  <si>
    <t>Santo Amaro</t>
  </si>
  <si>
    <t>Santo Amaro da Imperatriz</t>
  </si>
  <si>
    <t>Santo Anastãcio</t>
  </si>
  <si>
    <t>Santo AnastÃ¡cio</t>
  </si>
  <si>
    <t>Santo André</t>
  </si>
  <si>
    <t>Santo AndrÃ©</t>
  </si>
  <si>
    <t>Santo Antã'nio da Platina</t>
  </si>
  <si>
    <t>Santo AntÃ´nio da Platina</t>
  </si>
  <si>
    <t>Santo Antã'nio de Jesus</t>
  </si>
  <si>
    <t>Santo AntÃ´nio de Jesus</t>
  </si>
  <si>
    <t>Santo Antã'nio de Pãdua</t>
  </si>
  <si>
    <t>Santo AntÃ´nio de PÃ¡dua</t>
  </si>
  <si>
    <t>Santo Antã'nio de Posse</t>
  </si>
  <si>
    <t>Santo AntÃ´nio de Posse</t>
  </si>
  <si>
    <t>Santo antãonio do amparo</t>
  </si>
  <si>
    <t>Santo AntÃ´nio do Amparo</t>
  </si>
  <si>
    <t>Santo Antã'nio do Monte</t>
  </si>
  <si>
    <t>Santo AntÃ´nio do Monte</t>
  </si>
  <si>
    <t>Santo Estãªvã o</t>
  </si>
  <si>
    <t>Santo EstÃªvÃ£o</t>
  </si>
  <si>
    <t>Santos</t>
  </si>
  <si>
    <t>Santos Dumont</t>
  </si>
  <si>
    <t>Sapiranga</t>
  </si>
  <si>
    <t>SAPUCAIA</t>
  </si>
  <si>
    <t>Sapucaia</t>
  </si>
  <si>
    <t>Saquarema</t>
  </si>
  <si>
    <t>Sarandi</t>
  </si>
  <si>
    <t>Sarzedo</t>
  </si>
  <si>
    <t>SATUBA</t>
  </si>
  <si>
    <t>Satuba</t>
  </si>
  <si>
    <t>Saubara</t>
  </si>
  <si>
    <t>Schroeder</t>
  </si>
  <si>
    <t>Seabra</t>
  </si>
  <si>
    <t>Sena Madureira</t>
  </si>
  <si>
    <t>Senador Canedo</t>
  </si>
  <si>
    <t>Senador Pompeu</t>
  </si>
  <si>
    <t>Senhor do Bonfim</t>
  </si>
  <si>
    <t>Soropé © dica</t>
  </si>
  <si>
    <t>SeropÃ©dica</t>
  </si>
  <si>
    <t>Serra</t>
  </si>
  <si>
    <t>Serra Negra</t>
  </si>
  <si>
    <t>Serra Tanhada</t>
  </si>
  <si>
    <t>Serra Talhada</t>
  </si>
  <si>
    <t>Serrana</t>
  </si>
  <si>
    <t>Serrinha</t>
  </si>
  <si>
    <t>Sertã nia</t>
  </si>
  <si>
    <t>SertÃ¢nia</t>
  </si>
  <si>
    <t>Sertã ozinho</t>
  </si>
  <si>
    <t>SertÃ£ozinho</t>
  </si>
  <si>
    <t>Sete Lagoas</t>
  </si>
  <si>
    <t>Sidrol'nDia</t>
  </si>
  <si>
    <t>SidrolÃ¢ndia</t>
  </si>
  <si>
    <t>Silva Jardim</t>
  </si>
  <si>
    <t>Simã o Dias</t>
  </si>
  <si>
    <t>SimÃ£o Dias</t>
  </si>
  <si>
    <t>Simãµes filho</t>
  </si>
  <si>
    <t>SimÃµes Filho</t>
  </si>
  <si>
    <t>Sinop</t>
  </si>
  <si>
    <t>Sirinha © m</t>
  </si>
  <si>
    <t>SirinhaÃ©m</t>
  </si>
  <si>
    <t>Sobradinho</t>
  </si>
  <si>
    <t>Sobral</t>
  </si>
  <si>
    <t>Socorro</t>
  </si>
  <si>
    <t>Sol'a</t>
  </si>
  <si>
    <t>SolÃ¢nea</t>
  </si>
  <si>
    <t>Soledade</t>
  </si>
  <si>
    <t>Sorocaba</t>
  </si>
  <si>
    <t>Soue</t>
  </si>
  <si>
    <t>Soure</t>
  </si>
  <si>
    <t>Sousa</t>
  </si>
  <si>
    <t>SUMARA ©</t>
  </si>
  <si>
    <t>SumarÃ©</t>
  </si>
  <si>
    <t>Surrubim</t>
  </si>
  <si>
    <t>Surubim</t>
  </si>
  <si>
    <t>Suzano</t>
  </si>
  <si>
    <t>Tabatinga</t>
  </si>
  <si>
    <t>Tabira</t>
  </si>
  <si>
    <t>Taboã o da serra</t>
  </si>
  <si>
    <t>TaboÃ£o da Serra</t>
  </si>
  <si>
    <t>Taibeiras</t>
  </si>
  <si>
    <t>Taiobeiras</t>
  </si>
  <si>
    <t>Tamandaré</t>
  </si>
  <si>
    <t>TamandarÃ©</t>
  </si>
  <si>
    <t>Tambaã</t>
  </si>
  <si>
    <t>TambaÃº</t>
  </si>
  <si>
    <t>Tanabi</t>
  </si>
  <si>
    <t>Tangu °</t>
  </si>
  <si>
    <t>TanguÃ¡</t>
  </si>
  <si>
    <t>Fitas</t>
  </si>
  <si>
    <t>Tapes</t>
  </si>
  <si>
    <t>Tapiramut.</t>
  </si>
  <si>
    <t>TapiramutÃ¡</t>
  </si>
  <si>
    <t>TAQUARA</t>
  </si>
  <si>
    <t>Taquara</t>
  </si>
  <si>
    <t>TAQUARI</t>
  </si>
  <si>
    <t>Taquari</t>
  </si>
  <si>
    <t>Taquaritinga</t>
  </si>
  <si>
    <t>TAQUARITUBA</t>
  </si>
  <si>
    <t>Taquarituba</t>
  </si>
  <si>
    <t>Tarauac.</t>
  </si>
  <si>
    <t>TarauacÃ¡</t>
  </si>
  <si>
    <t>Tatuã</t>
  </si>
  <si>
    <t>TatuÃ­</t>
  </si>
  <si>
    <t>Taubaté</t>
  </si>
  <si>
    <t>TaubatÃ©</t>
  </si>
  <si>
    <t>Teã³filo otoni</t>
  </si>
  <si>
    <t>TeÃ³filo Otoni</t>
  </si>
  <si>
    <t>Tefé</t>
  </si>
  <si>
    <t>TefÃ©</t>
  </si>
  <si>
    <t>Telãªmaco Borba</t>
  </si>
  <si>
    <t>TelÃªmaco Borba</t>
  </si>
  <si>
    <t>Teodoro Sampaio</t>
  </si>
  <si>
    <t>TeresãPolis</t>
  </si>
  <si>
    <t>TeresÃ³polis</t>
  </si>
  <si>
    <t>Teresina</t>
  </si>
  <si>
    <t>Teutã'nia</t>
  </si>
  <si>
    <t>TeutÃ´nia</t>
  </si>
  <si>
    <t>Tiangu.</t>
  </si>
  <si>
    <t>TianguÃ¡</t>
  </si>
  <si>
    <t>Tietã</t>
  </si>
  <si>
    <t>TietÃª</t>
  </si>
  <si>
    <t>Tijucas</t>
  </si>
  <si>
    <t>Timã³teo</t>
  </si>
  <si>
    <t>TimÃ³teo</t>
  </si>
  <si>
    <t>Timbã</t>
  </si>
  <si>
    <t>TimbÃ³</t>
  </si>
  <si>
    <t>Timba ênia</t>
  </si>
  <si>
    <t>TimbaÃºba</t>
  </si>
  <si>
    <t>Timbiras</t>
  </si>
  <si>
    <t>Timon</t>
  </si>
  <si>
    <t>Tobias Barreto</t>
  </si>
  <si>
    <t>Toledo</t>
  </si>
  <si>
    <t>TOMA © AONA</t>
  </si>
  <si>
    <t>TomÃ© AÃ§u</t>
  </si>
  <si>
    <t>Toritama</t>
  </si>
  <si>
    <t>Torres</t>
  </si>
  <si>
    <t>TROªS CORAãIm</t>
  </si>
  <si>
    <t>TrÃªs CoraÃ§Ãµes</t>
  </si>
  <si>
    <t>Trés coroas</t>
  </si>
  <si>
    <t>TrÃªs Coroas</t>
  </si>
  <si>
    <t>Trés de maio</t>
  </si>
  <si>
    <t>TrÃªs de Maio</t>
  </si>
  <si>
    <t>Lagoas Trés</t>
  </si>
  <si>
    <t>TrÃªs Lagoas</t>
  </si>
  <si>
    <t>Trés passos</t>
  </si>
  <si>
    <t>TrÃªs Passos</t>
  </si>
  <si>
    <t>Pontas de Trés</t>
  </si>
  <si>
    <t>TrÃªs Pontas</t>
  </si>
  <si>
    <t>Trés rios</t>
  </si>
  <si>
    <t>TrÃªs Rios</t>
  </si>
  <si>
    <t>TRAIRI</t>
  </si>
  <si>
    <t>Trairi</t>
  </si>
  <si>
    <t>TRamandaã</t>
  </si>
  <si>
    <t>TramandaÃ­</t>
  </si>
  <si>
    <t>Tremembé</t>
  </si>
  <si>
    <t>TremembÃ©</t>
  </si>
  <si>
    <t>Trindade</t>
  </si>
  <si>
    <t>Tubarã o</t>
  </si>
  <si>
    <t>TubarÃ£o</t>
  </si>
  <si>
    <t>Tucano</t>
  </si>
  <si>
    <t>Tucumã</t>
  </si>
  <si>
    <t>TucumÃ£</t>
  </si>
  <si>
    <t>Tucuruã</t>
  </si>
  <si>
    <t>TucuruÃ­</t>
  </si>
  <si>
    <t>Tuntum</t>
  </si>
  <si>
    <t>Tupã</t>
  </si>
  <si>
    <t>TupÃ£</t>
  </si>
  <si>
    <t>Tupaciguara</t>
  </si>
  <si>
    <t>Tupanciretã</t>
  </si>
  <si>
    <t>TupanciretÃ£</t>
  </si>
  <si>
    <t>Ubã</t>
  </si>
  <si>
    <t>UbÃ¡</t>
  </si>
  <si>
    <t>Ubaitaba</t>
  </si>
  <si>
    <t>Ubatã</t>
  </si>
  <si>
    <t>UbatÃ£</t>
  </si>
  <si>
    <t>Ubatuba</t>
  </si>
  <si>
    <t>Uberaba</t>
  </si>
  <si>
    <t>Uberl ¢ ndia</t>
  </si>
  <si>
    <t>UberlÃ¢ndia</t>
  </si>
  <si>
    <t>Umuarama</t>
  </si>
  <si>
    <t>Una</t>
  </si>
  <si>
    <t>Unaã</t>
  </si>
  <si>
    <t>UnaÃ­</t>
  </si>
  <si>
    <t>Uniã £ o</t>
  </si>
  <si>
    <t>UniÃ£o</t>
  </si>
  <si>
    <t>Uniã £ o da Vitíia</t>
  </si>
  <si>
    <t>UniÃ£o da VitÃ³ria</t>
  </si>
  <si>
    <t>Uniã £ o dos Palmares</t>
  </si>
  <si>
    <t>UniÃ£o dos Palmares</t>
  </si>
  <si>
    <t>Uruãga</t>
  </si>
  <si>
    <t>UruÃ§uca</t>
  </si>
  <si>
    <t>Uruaã§u</t>
  </si>
  <si>
    <t>UruaÃ§u</t>
  </si>
  <si>
    <t>Uruguaiana</t>
  </si>
  <si>
    <t>Vãrzea Alegre</t>
  </si>
  <si>
    <t>VÃ¡rzea Alegre</t>
  </si>
  <si>
    <t>Vãrzea da palma</t>
  </si>
  <si>
    <t>VÃ¡rzea da Palma</t>
  </si>
  <si>
    <t>Vãrzea Grande</t>
  </si>
  <si>
    <t>VÃ¡rzea Grande</t>
  </si>
  <si>
    <t>Vãrzea Paulista</t>
  </si>
  <si>
    <t>VÃ¡rzea Paulista</t>
  </si>
  <si>
    <t>Valas</t>
  </si>
  <si>
    <t>Vacaria</t>
  </si>
  <si>
    <t>Valenã§a</t>
  </si>
  <si>
    <t>ValenÃ§a</t>
  </si>
  <si>
    <t>Valenã§a do Piauã</t>
  </si>
  <si>
    <t>ValenÃ§a do PiauÃ­</t>
  </si>
  <si>
    <t>Valinhos</t>
  </si>
  <si>
    <t>Valparaãso</t>
  </si>
  <si>
    <t>ValparaÃ­so</t>
  </si>
  <si>
    <t>Vargem Grande</t>
  </si>
  <si>
    <t>Vargem Grande do Sul</t>
  </si>
  <si>
    <t>Varvenha</t>
  </si>
  <si>
    <t>Varginha</t>
  </si>
  <si>
    <t>Varjota</t>
  </si>
  <si>
    <t>Vassouras</t>
  </si>
  <si>
    <t>Vazante</t>
  </si>
  <si>
    <t>Venã ¢ € Aires</t>
  </si>
  <si>
    <t>VenÃ¢ncio Aires</t>
  </si>
  <si>
    <t>Vera Cruz</t>
  </si>
  <si>
    <t>Veranã³ Polis</t>
  </si>
  <si>
    <t>VeranÃ³polis</t>
  </si>
  <si>
    <t>Vespasiano</t>
  </si>
  <si>
    <t>Viã§osa</t>
  </si>
  <si>
    <t>ViÃ§osa</t>
  </si>
  <si>
    <t>Viã§osa do Ceará</t>
  </si>
  <si>
    <t>ViÃ§osa do CearÃ¡</t>
  </si>
  <si>
    <t>Viamã o</t>
  </si>
  <si>
    <t>ViamÃ£o</t>
  </si>
  <si>
    <t>Viana</t>
  </si>
  <si>
    <t>Videira</t>
  </si>
  <si>
    <t>Vigia</t>
  </si>
  <si>
    <t>Vila velha</t>
  </si>
  <si>
    <t>Vila Velha</t>
  </si>
  <si>
    <t>Vilhena</t>
  </si>
  <si>
    <t>Vinhedo</t>
  </si>
  <si>
    <t>Viradouro</t>
  </si>
  <si>
    <t>Visconde do Rio Branco</t>
  </si>
  <si>
    <t>Viseu</t>
  </si>
  <si>
    <t>Vitíia</t>
  </si>
  <si>
    <t>VitÃ³ria</t>
  </si>
  <si>
    <t>Vitã³ia da conquista</t>
  </si>
  <si>
    <t>VitÃ³ria da Conquista</t>
  </si>
  <si>
    <t>Vitã³ria de Santo Antã O</t>
  </si>
  <si>
    <t>VitÃ³ria de Santo AntÃ£o</t>
  </si>
  <si>
    <t>Vitã³ria do Mearim</t>
  </si>
  <si>
    <t>VitÃ³ria do Mearim</t>
  </si>
  <si>
    <t>Volta Redonda</t>
  </si>
  <si>
    <t>Votorantim</t>
  </si>
  <si>
    <t>Votuporanga</t>
  </si>
  <si>
    <t>Wenceslau Braz</t>
  </si>
  <si>
    <t>Xanxerã</t>
  </si>
  <si>
    <t>XanxerÃª</t>
  </si>
  <si>
    <t>Xique xique</t>
  </si>
  <si>
    <t>Xique Xique</t>
  </si>
  <si>
    <t>Cidade rodoviária</t>
  </si>
  <si>
    <t>Road Town</t>
  </si>
  <si>
    <t>British Virgin Islands</t>
  </si>
  <si>
    <t>Tortola</t>
  </si>
  <si>
    <t>Bandar Seri Begawan</t>
  </si>
  <si>
    <t>Brunei</t>
  </si>
  <si>
    <t>Brunei and Muara</t>
  </si>
  <si>
    <t>KUALA FELAIT</t>
  </si>
  <si>
    <t>Kuala Belait</t>
  </si>
  <si>
    <t>Belait</t>
  </si>
  <si>
    <t>Seria</t>
  </si>
  <si>
    <t>Tutong</t>
  </si>
  <si>
    <t>Asenovgrad</t>
  </si>
  <si>
    <t>Bulgaria</t>
  </si>
  <si>
    <t>Plovdiv</t>
  </si>
  <si>
    <t>Aytos</t>
  </si>
  <si>
    <t>Burgas</t>
  </si>
  <si>
    <t>Berkovitsa</t>
  </si>
  <si>
    <t>Montana</t>
  </si>
  <si>
    <t>Blagoevgrad</t>
  </si>
  <si>
    <t>Botevgrad</t>
  </si>
  <si>
    <t>Sofiya</t>
  </si>
  <si>
    <t>Cherven Bryag</t>
  </si>
  <si>
    <t>Pleven</t>
  </si>
  <si>
    <t>Chirpan</t>
  </si>
  <si>
    <t>Stara Zagora</t>
  </si>
  <si>
    <t>Dimitrovgrad</t>
  </si>
  <si>
    <t>Khaskovo</t>
  </si>
  <si>
    <t>Dobrich</t>
  </si>
  <si>
    <t>Dupnitsa</t>
  </si>
  <si>
    <t>Kyustendil</t>
  </si>
  <si>
    <t>Gabrovo</t>
  </si>
  <si>
    <t>Gorna Oryakhovitsa</t>
  </si>
  <si>
    <t>Veliko TÅ­rnovo</t>
  </si>
  <si>
    <t>Gotse Delchev</t>
  </si>
  <si>
    <t>Haskovo</t>
  </si>
  <si>
    <t>Kardzhali</t>
  </si>
  <si>
    <t>KÅ­rdzhali</t>
  </si>
  <si>
    <t>Karlovo</t>
  </si>
  <si>
    <t>Karnobat</t>
  </si>
  <si>
    <t>Kazanlåk</t>
  </si>
  <si>
    <t>KazanlÅ­k</t>
  </si>
  <si>
    <t>Kharmanli</t>
  </si>
  <si>
    <t>LOM</t>
  </si>
  <si>
    <t>Lom</t>
  </si>
  <si>
    <t>Lovech</t>
  </si>
  <si>
    <t>Nova Zagora</t>
  </si>
  <si>
    <t>Sliven</t>
  </si>
  <si>
    <t>Panagyurishte</t>
  </si>
  <si>
    <t>Pazardzhik</t>
  </si>
  <si>
    <t>Pernik</t>
  </si>
  <si>
    <t>Peshtera</t>
  </si>
  <si>
    <t>Petrich</t>
  </si>
  <si>
    <t>Popovo</t>
  </si>
  <si>
    <t>TÅ­rgovishte</t>
  </si>
  <si>
    <t>Rakovski</t>
  </si>
  <si>
    <t>Razgrad</t>
  </si>
  <si>
    <t>Ardil</t>
  </si>
  <si>
    <t>Ruse</t>
  </si>
  <si>
    <t>Samokov</t>
  </si>
  <si>
    <t>Sandanski</t>
  </si>
  <si>
    <t>Sevlievo</t>
  </si>
  <si>
    <t>Shumen</t>
  </si>
  <si>
    <t>Silistra</t>
  </si>
  <si>
    <t>Smolyan</t>
  </si>
  <si>
    <t>Sofia</t>
  </si>
  <si>
    <t>Sofia-Capital</t>
  </si>
  <si>
    <t>SVILENGRAD</t>
  </si>
  <si>
    <t>Svilengrad</t>
  </si>
  <si>
    <t>Svishtov</t>
  </si>
  <si>
    <t>Targovishte</t>
  </si>
  <si>
    <t>Troyan</t>
  </si>
  <si>
    <t>Varna</t>
  </si>
  <si>
    <t>Veliko Tårnovo</t>
  </si>
  <si>
    <t>Velingrad</t>
  </si>
  <si>
    <t>Vidin</t>
  </si>
  <si>
    <t>Vratsa</t>
  </si>
  <si>
    <t>Yambol</t>
  </si>
  <si>
    <t>BanFora</t>
  </si>
  <si>
    <t>Banfora</t>
  </si>
  <si>
    <t>Burkina Faso</t>
  </si>
  <si>
    <t>Cascades</t>
  </si>
  <si>
    <t>BOBO-DIOULASSO</t>
  </si>
  <si>
    <t>Bobo-Dioulasso</t>
  </si>
  <si>
    <t>High-Basins</t>
  </si>
  <si>
    <t>Boulsa</t>
  </si>
  <si>
    <t>Centre-Nord</t>
  </si>
  <si>
    <t>Boussé</t>
  </si>
  <si>
    <t>BoussÃ©</t>
  </si>
  <si>
    <t>Plateau-Central</t>
  </si>
  <si>
    <t>DO © DOUGOU</t>
  </si>
  <si>
    <t>DÃ©dougou</t>
  </si>
  <si>
    <t>Boucle du Mouhoun</t>
  </si>
  <si>
    <t>Diapaga</t>
  </si>
  <si>
    <t>Est</t>
  </si>
  <si>
    <t>Djibo</t>
  </si>
  <si>
    <t>Sahel</t>
  </si>
  <si>
    <t>Dori</t>
  </si>
  <si>
    <t>Fada N'Gourma</t>
  </si>
  <si>
    <t>Fada N'gourma</t>
  </si>
  <si>
    <t>Gaoua</t>
  </si>
  <si>
    <t>Southwest</t>
  </si>
  <si>
    <t>Garango</t>
  </si>
  <si>
    <t>Centre-Est</t>
  </si>
  <si>
    <t>Gourcy</t>
  </si>
  <si>
    <t>Nord</t>
  </si>
  <si>
    <t>HOUNDO ©</t>
  </si>
  <si>
    <t>HoundÃ©</t>
  </si>
  <si>
    <t>Kaya</t>
  </si>
  <si>
    <t>Kokologo</t>
  </si>
  <si>
    <t>Centre-Ouest</t>
  </si>
  <si>
    <t>Kombissiri</t>
  </si>
  <si>
    <t>Centre-Sud</t>
  </si>
  <si>
    <t>Kongoussi</t>
  </si>
  <si>
    <t>Koudougou</t>
  </si>
  <si>
    <t>Koup © la</t>
  </si>
  <si>
    <t>KoupÃ©la</t>
  </si>
  <si>
    <t>L © o</t>
  </si>
  <si>
    <t>LÃ©o</t>
  </si>
  <si>
    <t>Mangá</t>
  </si>
  <si>
    <t>Manga</t>
  </si>
  <si>
    <t>Substantivo</t>
  </si>
  <si>
    <t>Nouna</t>
  </si>
  <si>
    <t>Orodara</t>
  </si>
  <si>
    <t>Ouagadougou</t>
  </si>
  <si>
    <t>Centre</t>
  </si>
  <si>
    <t>Ouahigouya</t>
  </si>
  <si>
    <t>P</t>
  </si>
  <si>
    <t>PÃ´</t>
  </si>
  <si>
    <t>R © o</t>
  </si>
  <si>
    <t>RÃ©o</t>
  </si>
  <si>
    <t>Tenkodogo</t>
  </si>
  <si>
    <t>Titao</t>
  </si>
  <si>
    <t>Tougan</t>
  </si>
  <si>
    <t>Yako</t>
  </si>
  <si>
    <t>Zorgo</t>
  </si>
  <si>
    <t>Bujumbura</t>
  </si>
  <si>
    <t>Burundi</t>
  </si>
  <si>
    <t>Bujumbura Mairie</t>
  </si>
  <si>
    <t>Bururi</t>
  </si>
  <si>
    <t>Gitega</t>
  </si>
  <si>
    <t>Kayanza</t>
  </si>
  <si>
    <t>Makamba</t>
  </si>
  <si>
    <t>Muramvya</t>
  </si>
  <si>
    <t>Muyinga</t>
  </si>
  <si>
    <t>Ngozi</t>
  </si>
  <si>
    <t>Rutana</t>
  </si>
  <si>
    <t>Ruyigi</t>
  </si>
  <si>
    <t>Ban Lång</t>
  </si>
  <si>
    <t>Ban LÅ­ng</t>
  </si>
  <si>
    <t>Cambodia</t>
  </si>
  <si>
    <t>Ratanakiri</t>
  </si>
  <si>
    <t>Battambang</t>
  </si>
  <si>
    <t>Kampong Cham</t>
  </si>
  <si>
    <t>Kampong Chhnang</t>
  </si>
  <si>
    <t>Kampong Speu</t>
  </si>
  <si>
    <t>Kampong Thom</t>
  </si>
  <si>
    <t>Kampot</t>
  </si>
  <si>
    <t>Koh Kong</t>
  </si>
  <si>
    <t>Kratié</t>
  </si>
  <si>
    <t>KratiÃ©</t>
  </si>
  <si>
    <t>Kratie</t>
  </si>
  <si>
    <t>Lumphäƒt</t>
  </si>
  <si>
    <t>LumphÄƒt</t>
  </si>
  <si>
    <t>Paãy pãªt</t>
  </si>
  <si>
    <t>PaÃ´y PÃªt</t>
  </si>
  <si>
    <t>Banteay Meanchey</t>
  </si>
  <si>
    <t>Pailin</t>
  </si>
  <si>
    <t>Phnom Penh</t>
  </si>
  <si>
    <t>Phumä vé al srãª</t>
  </si>
  <si>
    <t>PhumÄ­ VÃ©al SrÃª</t>
  </si>
  <si>
    <t>Takeo</t>
  </si>
  <si>
    <t>Presa veng</t>
  </si>
  <si>
    <t>Prey Veng</t>
  </si>
  <si>
    <t>Perseguir</t>
  </si>
  <si>
    <t>Pursat</t>
  </si>
  <si>
    <t>São Mraã</t>
  </si>
  <si>
    <t>SÃ¢mraÃ´ng</t>
  </si>
  <si>
    <t>ÅŽtÃ¢r MÃ©anchey</t>
  </si>
  <si>
    <t>Siem Reap</t>
  </si>
  <si>
    <t>Sihanoukville</t>
  </si>
  <si>
    <t>Preah Sihanouk</t>
  </si>
  <si>
    <t>Siså Phå n</t>
  </si>
  <si>
    <t>SisÅphÅn</t>
  </si>
  <si>
    <t>Smach significa Chey</t>
  </si>
  <si>
    <t>Smach Mean Chey</t>
  </si>
  <si>
    <t>Treng</t>
  </si>
  <si>
    <t>Stung Treng</t>
  </si>
  <si>
    <t>Svay Rieng</t>
  </si>
  <si>
    <t>Ta Khmau</t>
  </si>
  <si>
    <t>Kandal</t>
  </si>
  <si>
    <t>Tbãªng Má © Anchey</t>
  </si>
  <si>
    <t>TbÃªng MÃ©anchey</t>
  </si>
  <si>
    <t>Preah Vihear</t>
  </si>
  <si>
    <t>Bolowa</t>
  </si>
  <si>
    <t>Ã‰bolowa</t>
  </si>
  <si>
    <t>Cameroon</t>
  </si>
  <si>
    <t>South Province</t>
  </si>
  <si>
    <t>Akonolinga</t>
  </si>
  <si>
    <t>B © LABO</t>
  </si>
  <si>
    <t>BÃ©labo</t>
  </si>
  <si>
    <t>East</t>
  </si>
  <si>
    <t>Bafang</t>
  </si>
  <si>
    <t>West</t>
  </si>
  <si>
    <t>Bafia</t>
  </si>
  <si>
    <t>Bafoussam</t>
  </si>
  <si>
    <t>Bali</t>
  </si>
  <si>
    <t>North-West Province</t>
  </si>
  <si>
    <t>Bamenda</t>
  </si>
  <si>
    <t>Bamusso</t>
  </si>
  <si>
    <t>South-West Province</t>
  </si>
  <si>
    <t>BANGANGTA ©</t>
  </si>
  <si>
    <t>BangangtÃ©</t>
  </si>
  <si>
    <t>Banyo</t>
  </si>
  <si>
    <t>Adamaoua</t>
  </si>
  <si>
    <t>Batouri</t>
  </si>
  <si>
    <t>Bertoua</t>
  </si>
  <si>
    <t>Bogo</t>
  </si>
  <si>
    <t>Far North</t>
  </si>
  <si>
    <t>Buea</t>
  </si>
  <si>
    <t>Dizangu ©</t>
  </si>
  <si>
    <t>DizanguÃ©</t>
  </si>
  <si>
    <t>Douala</t>
  </si>
  <si>
    <t>Dschang</t>
  </si>
  <si>
    <t>Edé a</t>
  </si>
  <si>
    <t>EdÃ©a</t>
  </si>
  <si>
    <t>Esé Ka</t>
  </si>
  <si>
    <t>EsÃ©ka</t>
  </si>
  <si>
    <t>Fonte</t>
  </si>
  <si>
    <t>Fontem</t>
  </si>
  <si>
    <t>Foumban</t>
  </si>
  <si>
    <t>Foumbot</t>
  </si>
  <si>
    <t>Fundamento</t>
  </si>
  <si>
    <t>Fundong</t>
  </si>
  <si>
    <t>Garoua</t>
  </si>
  <si>
    <t>North Province</t>
  </si>
  <si>
    <t>Garoua Boulaã</t>
  </si>
  <si>
    <t>Garoua BoulaÃ¯</t>
  </si>
  <si>
    <t>Guider</t>
  </si>
  <si>
    <t>Idenao</t>
  </si>
  <si>
    <t>Ka © l ©</t>
  </si>
  <si>
    <t>KaÃ©lÃ©</t>
  </si>
  <si>
    <t>Koussé Ri</t>
  </si>
  <si>
    <t>KoussÃ©ri</t>
  </si>
  <si>
    <t>Kribi</t>
  </si>
  <si>
    <t>Kumba</t>
  </si>
  <si>
    <t>Kumbo</t>
  </si>
  <si>
    <t>Lagdo</t>
  </si>
  <si>
    <t>Limpe</t>
  </si>
  <si>
    <t>Limbe</t>
  </si>
  <si>
    <t>LOLODORF</t>
  </si>
  <si>
    <t>Lolodorf</t>
  </si>
  <si>
    <t>Loum</t>
  </si>
  <si>
    <t>Mamfe</t>
  </si>
  <si>
    <t>Manjo</t>
  </si>
  <si>
    <t>Maroua</t>
  </si>
  <si>
    <t>Mbalmayo</t>
  </si>
  <si>
    <t>Mbandjok</t>
  </si>
  <si>
    <t>Mbanga</t>
  </si>
  <si>
    <t>Mbouda</t>
  </si>
  <si>
    <t>Meã¯ganga</t>
  </si>
  <si>
    <t>MeÃ¯ganga</t>
  </si>
  <si>
    <t>Melong</t>
  </si>
  <si>
    <t>Mokolo</t>
  </si>
  <si>
    <t>Mora</t>
  </si>
  <si>
    <t>Mutengene</t>
  </si>
  <si>
    <t>Muyuka</t>
  </si>
  <si>
    <t>Nanga Eboko</t>
  </si>
  <si>
    <t>Ngaound © r ©</t>
  </si>
  <si>
    <t>NgaoundÃ©rÃ©</t>
  </si>
  <si>
    <t>Nkongsamba</t>
  </si>
  <si>
    <t>Nkoteng</t>
  </si>
  <si>
    <t>Obala</t>
  </si>
  <si>
    <t>Penja</t>
  </si>
  <si>
    <t>Sangmé Lima</t>
  </si>
  <si>
    <t>SangmÃ©lima</t>
  </si>
  <si>
    <t>Tcholliré</t>
  </si>
  <si>
    <t>TchollirÃ©</t>
  </si>
  <si>
    <t>Tibati</t>
  </si>
  <si>
    <t>Tiko</t>
  </si>
  <si>
    <t>Tonga</t>
  </si>
  <si>
    <t>WUM</t>
  </si>
  <si>
    <t>Wum</t>
  </si>
  <si>
    <t>Yagoua</t>
  </si>
  <si>
    <t>Yaound ©</t>
  </si>
  <si>
    <t>YaoundÃ©</t>
  </si>
  <si>
    <t>Abbotsford</t>
  </si>
  <si>
    <t>Canada</t>
  </si>
  <si>
    <t>British Columbia</t>
  </si>
  <si>
    <t>Airdrie</t>
  </si>
  <si>
    <t>Alberta</t>
  </si>
  <si>
    <t>Ajax</t>
  </si>
  <si>
    <t>Ontario</t>
  </si>
  <si>
    <t>Alma</t>
  </si>
  <si>
    <t>Quebec</t>
  </si>
  <si>
    <t>Amos</t>
  </si>
  <si>
    <t>Ancaster</t>
  </si>
  <si>
    <t>Anmore</t>
  </si>
  <si>
    <t>Baie-comau</t>
  </si>
  <si>
    <t>Baie-Comeau</t>
  </si>
  <si>
    <t>Barrie</t>
  </si>
  <si>
    <t>Beaconsfield</t>
  </si>
  <si>
    <t>Município do Condado Regional de Bellechasse</t>
  </si>
  <si>
    <t>Bellechasse Regional County Municipality</t>
  </si>
  <si>
    <t>Belleville</t>
  </si>
  <si>
    <t>Beloeil</t>
  </si>
  <si>
    <t>Blainville</t>
  </si>
  <si>
    <t>Boisbriand</t>
  </si>
  <si>
    <t>Boucherville</t>
  </si>
  <si>
    <t>Bradford West Gwillimbury</t>
  </si>
  <si>
    <t>Brampton</t>
  </si>
  <si>
    <t>Brandon</t>
  </si>
  <si>
    <t>Manitoba</t>
  </si>
  <si>
    <t>Brant</t>
  </si>
  <si>
    <t>Brantford</t>
  </si>
  <si>
    <t>Brockville</t>
  </si>
  <si>
    <t>BROSSARD</t>
  </si>
  <si>
    <t>Brossard</t>
  </si>
  <si>
    <t>Burlington</t>
  </si>
  <si>
    <t>Burnaby</t>
  </si>
  <si>
    <t>Cãte-Saint-Luc</t>
  </si>
  <si>
    <t>CÃ´te-Saint-Luc</t>
  </si>
  <si>
    <t>Calgary</t>
  </si>
  <si>
    <t>Cambridge</t>
  </si>
  <si>
    <t>Rio Campbell</t>
  </si>
  <si>
    <t>Campbell River</t>
  </si>
  <si>
    <t>Camrose</t>
  </si>
  <si>
    <t>Candiac</t>
  </si>
  <si>
    <t>Ché Teauguay</t>
  </si>
  <si>
    <t>ChÃ¢teauguay</t>
  </si>
  <si>
    <t>Chambly</t>
  </si>
  <si>
    <t>Charlottetown</t>
  </si>
  <si>
    <t>Prince Edward Island</t>
  </si>
  <si>
    <t>Chilliwack</t>
  </si>
  <si>
    <t>Clarence-Rockland</t>
  </si>
  <si>
    <t>Cobourg</t>
  </si>
  <si>
    <t>Cochrane</t>
  </si>
  <si>
    <t>Cole Harbor</t>
  </si>
  <si>
    <t>Cole Harbour</t>
  </si>
  <si>
    <t>Nova Scotia</t>
  </si>
  <si>
    <t>Collingwood</t>
  </si>
  <si>
    <t>Concepção Bay South</t>
  </si>
  <si>
    <t>Conception Bay South</t>
  </si>
  <si>
    <t>Newfoundland and Labrador</t>
  </si>
  <si>
    <t>Coquitlam</t>
  </si>
  <si>
    <t>Corner Brook</t>
  </si>
  <si>
    <t>Cornualha</t>
  </si>
  <si>
    <t>Cornwall</t>
  </si>
  <si>
    <t>Courtenay</t>
  </si>
  <si>
    <t>Cranbrook</t>
  </si>
  <si>
    <t>Dartmouth</t>
  </si>
  <si>
    <t>Delta</t>
  </si>
  <si>
    <t>Deux-Montagnes</t>
  </si>
  <si>
    <t>Dieppe</t>
  </si>
  <si>
    <t>New Brunswick</t>
  </si>
  <si>
    <t>DOLLARD-DES ORMEAUX</t>
  </si>
  <si>
    <t>Dollard-Des Ormeaux</t>
  </si>
  <si>
    <t>Dorval</t>
  </si>
  <si>
    <t>Drummondville</t>
  </si>
  <si>
    <t>Duncan</t>
  </si>
  <si>
    <t>Edmonton</t>
  </si>
  <si>
    <t>Edmundston</t>
  </si>
  <si>
    <t>Etobicoke</t>
  </si>
  <si>
    <t>Fort Erie</t>
  </si>
  <si>
    <t>Fort McMurray</t>
  </si>
  <si>
    <t>Fort St. John</t>
  </si>
  <si>
    <t>Fredericton</t>
  </si>
  <si>
    <t>Gatineau</t>
  </si>
  <si>
    <t>Glace Bay</t>
  </si>
  <si>
    <t>Granby</t>
  </si>
  <si>
    <t>Grande Prairie</t>
  </si>
  <si>
    <t>Maior Napanee</t>
  </si>
  <si>
    <t>Greater Napanee</t>
  </si>
  <si>
    <t>Grande Sudbury</t>
  </si>
  <si>
    <t>Greater Sudbury</t>
  </si>
  <si>
    <t>Guelph</t>
  </si>
  <si>
    <t>Halifax</t>
  </si>
  <si>
    <t>Huntsville</t>
  </si>
  <si>
    <t>Joliette</t>
  </si>
  <si>
    <t>Jonquiãre</t>
  </si>
  <si>
    <t>JonquiÃ¨re</t>
  </si>
  <si>
    <t>Kamloops</t>
  </si>
  <si>
    <t>Kelowna</t>
  </si>
  <si>
    <t>Keswick</t>
  </si>
  <si>
    <t>Kingston</t>
  </si>
  <si>
    <t>Kirkland</t>
  </si>
  <si>
    <t>Kitchener</t>
  </si>
  <si>
    <t>La Prairie</t>
  </si>
  <si>
    <t>Vis</t>
  </si>
  <si>
    <t>LÃ©vis</t>
  </si>
  <si>
    <t>Ladner</t>
  </si>
  <si>
    <t>L'Ancienne-Lorette</t>
  </si>
  <si>
    <t>Langford</t>
  </si>
  <si>
    <t>Langley</t>
  </si>
  <si>
    <t>L'Assomption</t>
  </si>
  <si>
    <t>Laval</t>
  </si>
  <si>
    <t>Leduc</t>
  </si>
  <si>
    <t>Lethbridge</t>
  </si>
  <si>
    <t>Lloydminster</t>
  </si>
  <si>
    <t>Saskatchewan</t>
  </si>
  <si>
    <t>Londres</t>
  </si>
  <si>
    <t>London</t>
  </si>
  <si>
    <t>Longueuil</t>
  </si>
  <si>
    <t>Baixo Sacvkille</t>
  </si>
  <si>
    <t>Lower Sacvkille</t>
  </si>
  <si>
    <t>Magog</t>
  </si>
  <si>
    <t>Maple Ridge</t>
  </si>
  <si>
    <t>Markham</t>
  </si>
  <si>
    <t>Mascouche</t>
  </si>
  <si>
    <t>Chapéu de medicina</t>
  </si>
  <si>
    <t>Medicine Hat</t>
  </si>
  <si>
    <t>Midland</t>
  </si>
  <si>
    <t>Milton</t>
  </si>
  <si>
    <t>Mirabel</t>
  </si>
  <si>
    <t>Miramichi</t>
  </si>
  <si>
    <t>Mississauga</t>
  </si>
  <si>
    <t>Moncton</t>
  </si>
  <si>
    <t>Montré al</t>
  </si>
  <si>
    <t>MontrÃ©al</t>
  </si>
  <si>
    <t>Mont-Royal</t>
  </si>
  <si>
    <t>Mont-Saint-Hilaire</t>
  </si>
  <si>
    <t>maxilar de alce</t>
  </si>
  <si>
    <t>Moose Jaw</t>
  </si>
  <si>
    <t>Monte Pearl</t>
  </si>
  <si>
    <t>Mount Pearl</t>
  </si>
  <si>
    <t>Nanaimo</t>
  </si>
  <si>
    <t>Novo Glasgow</t>
  </si>
  <si>
    <t>New Glasgow</t>
  </si>
  <si>
    <t>New Westminster</t>
  </si>
  <si>
    <t>Novo Mercado</t>
  </si>
  <si>
    <t>Newmarket</t>
  </si>
  <si>
    <t>Cataratas do Niágara</t>
  </si>
  <si>
    <t>Niagara Falls</t>
  </si>
  <si>
    <t>Condado de Norfolk</t>
  </si>
  <si>
    <t>Norfolk County</t>
  </si>
  <si>
    <t>North Battleford</t>
  </si>
  <si>
    <t>North Bay</t>
  </si>
  <si>
    <t>North Cowichan</t>
  </si>
  <si>
    <t>North Vancouver</t>
  </si>
  <si>
    <t>North York</t>
  </si>
  <si>
    <t>Oak Bay</t>
  </si>
  <si>
    <t>Oakville</t>
  </si>
  <si>
    <t>Okanagan</t>
  </si>
  <si>
    <t>Orangeville</t>
  </si>
  <si>
    <t>Orillia</t>
  </si>
  <si>
    <t>Oshawa</t>
  </si>
  <si>
    <t>Ottawa</t>
  </si>
  <si>
    <t>Owen Sound</t>
  </si>
  <si>
    <t>Parksville</t>
  </si>
  <si>
    <t>Pembroke</t>
  </si>
  <si>
    <t>Penticton</t>
  </si>
  <si>
    <t>Petawawa</t>
  </si>
  <si>
    <t>Peterborough</t>
  </si>
  <si>
    <t>Pickering</t>
  </si>
  <si>
    <t>Pitt Meadows</t>
  </si>
  <si>
    <t>Pointe-Claire</t>
  </si>
  <si>
    <t>Port Alberni</t>
  </si>
  <si>
    <t>Port Colborne</t>
  </si>
  <si>
    <t>Port Moody</t>
  </si>
  <si>
    <t>Príncipe Albert</t>
  </si>
  <si>
    <t>Prince Albert</t>
  </si>
  <si>
    <t>Príncipe edward</t>
  </si>
  <si>
    <t>Prince Edward</t>
  </si>
  <si>
    <t>Príncipe George</t>
  </si>
  <si>
    <t>Prince George</t>
  </si>
  <si>
    <t>Quê © BEC</t>
  </si>
  <si>
    <t>QuÃ©bec</t>
  </si>
  <si>
    <t>Quinte oeste</t>
  </si>
  <si>
    <t>Quinte West</t>
  </si>
  <si>
    <t>Rayside-Balfour</t>
  </si>
  <si>
    <t>Cervo vermelho</t>
  </si>
  <si>
    <t>Red Deer</t>
  </si>
  <si>
    <t>Regina</t>
  </si>
  <si>
    <t>Repentigny</t>
  </si>
  <si>
    <t>Richmond Hill</t>
  </si>
  <si>
    <t>Rimouski</t>
  </si>
  <si>
    <t>Riviãre-du-Loup</t>
  </si>
  <si>
    <t>RiviÃ¨re-du-Loup</t>
  </si>
  <si>
    <t>Rouyn-Noranda</t>
  </si>
  <si>
    <t>Saguenay</t>
  </si>
  <si>
    <t>São João</t>
  </si>
  <si>
    <t>Saint-Augustin-De-DeSmaures</t>
  </si>
  <si>
    <t>Saint-Augustin-de-Desmaures</t>
  </si>
  <si>
    <t>Saint-Basile-L-Grend</t>
  </si>
  <si>
    <t>Saint-Basile-le-Grand</t>
  </si>
  <si>
    <t>Saint-Bruno-de Montarville</t>
  </si>
  <si>
    <t>Saint-Bruno-de-Montarville</t>
  </si>
  <si>
    <t>Saint-Constant</t>
  </si>
  <si>
    <t>Sainte-Catherine</t>
  </si>
  <si>
    <t>Sainte-Julie</t>
  </si>
  <si>
    <t>Sainte-th'n © rãse</t>
  </si>
  <si>
    <t>Sainte-ThÃ©rÃ¨se</t>
  </si>
  <si>
    <t>Saint-eustache</t>
  </si>
  <si>
    <t>Saint-Eustache</t>
  </si>
  <si>
    <t>Saint-Hyacinthe</t>
  </si>
  <si>
    <t>Saint-Jé</t>
  </si>
  <si>
    <t>Saint-JÃ©rÃ´me</t>
  </si>
  <si>
    <t>Saint-Jean-sur-Richelieu</t>
  </si>
  <si>
    <t>Saint-lé onard</t>
  </si>
  <si>
    <t>Saint-LÃ©onard</t>
  </si>
  <si>
    <t>São Lourenço</t>
  </si>
  <si>
    <t>Saint-Laurent</t>
  </si>
  <si>
    <t>Saint-Lazare</t>
  </si>
  <si>
    <t>Salaberry-de Valleyfield</t>
  </si>
  <si>
    <t>Salaberry-de-Valleyfield</t>
  </si>
  <si>
    <t>Braço de salmão</t>
  </si>
  <si>
    <t>Salmon Arm</t>
  </si>
  <si>
    <t>Sarnia</t>
  </si>
  <si>
    <t>Saskatoon</t>
  </si>
  <si>
    <t>Sault Ste. Marie</t>
  </si>
  <si>
    <t>Scarborough</t>
  </si>
  <si>
    <t>Setembro-ão</t>
  </si>
  <si>
    <t>Sept-ÃŽles</t>
  </si>
  <si>
    <t>Shawinigan</t>
  </si>
  <si>
    <t>Sherbrooke</t>
  </si>
  <si>
    <t>Sherwood Park</t>
  </si>
  <si>
    <t>Sorel-tracy</t>
  </si>
  <si>
    <t>Sorel-Tracy</t>
  </si>
  <si>
    <t>Spruce Grove</t>
  </si>
  <si>
    <t>St. Albert</t>
  </si>
  <si>
    <t>St. Catharines</t>
  </si>
  <si>
    <t>St. John's</t>
  </si>
  <si>
    <t>St. Thomas</t>
  </si>
  <si>
    <t>Stratford</t>
  </si>
  <si>
    <t>Surrey</t>
  </si>
  <si>
    <t>Terraço</t>
  </si>
  <si>
    <t>Terrace</t>
  </si>
  <si>
    <t>Terrebonne</t>
  </si>
  <si>
    <t>Thetford-Mines</t>
  </si>
  <si>
    <t>Thorold</t>
  </si>
  <si>
    <t>Baia do Trovão</t>
  </si>
  <si>
    <t>Thunder Bay</t>
  </si>
  <si>
    <t>Timmins</t>
  </si>
  <si>
    <t>Toronto</t>
  </si>
  <si>
    <t>Trois-riviãres</t>
  </si>
  <si>
    <t>Trois-RiviÃ¨res</t>
  </si>
  <si>
    <t>TRURO</t>
  </si>
  <si>
    <t>Truro</t>
  </si>
  <si>
    <t>Val-d'or</t>
  </si>
  <si>
    <t>Val-d'Or</t>
  </si>
  <si>
    <t>Vancouver</t>
  </si>
  <si>
    <t>Varennes</t>
  </si>
  <si>
    <t>Vaudreuil-Dorion</t>
  </si>
  <si>
    <t>Vaughan</t>
  </si>
  <si>
    <t>Vernon</t>
  </si>
  <si>
    <t>Victoriaville</t>
  </si>
  <si>
    <t>Bosque de nogueira</t>
  </si>
  <si>
    <t>Walnut Grove</t>
  </si>
  <si>
    <t>Bem e</t>
  </si>
  <si>
    <t>Welland</t>
  </si>
  <si>
    <t>extremo oeste</t>
  </si>
  <si>
    <t>West End</t>
  </si>
  <si>
    <t>West Kelowna</t>
  </si>
  <si>
    <t>West Vancouver</t>
  </si>
  <si>
    <t>Westmount</t>
  </si>
  <si>
    <t>Rocha Branca</t>
  </si>
  <si>
    <t>White Rock</t>
  </si>
  <si>
    <t>Cavalo branco</t>
  </si>
  <si>
    <t>Whitehorse</t>
  </si>
  <si>
    <t>Yukon</t>
  </si>
  <si>
    <t>Willowdale</t>
  </si>
  <si>
    <t>Windsor</t>
  </si>
  <si>
    <t>Winnipeg</t>
  </si>
  <si>
    <t>Woodstock</t>
  </si>
  <si>
    <t>Yellowknife</t>
  </si>
  <si>
    <t>Northwest Territories</t>
  </si>
  <si>
    <t>Yorkton</t>
  </si>
  <si>
    <t>Cova Figueira</t>
  </si>
  <si>
    <t>Cape Verde</t>
  </si>
  <si>
    <t>Santa Catarina do Fogo</t>
  </si>
  <si>
    <t>Mindelo</t>
  </si>
  <si>
    <t>Praia</t>
  </si>
  <si>
    <t>Sal</t>
  </si>
  <si>
    <t>George Town</t>
  </si>
  <si>
    <t>Cayman Islands</t>
  </si>
  <si>
    <t>Bambari</t>
  </si>
  <si>
    <t>Central African Republic</t>
  </si>
  <si>
    <t>Ouaka</t>
  </si>
  <si>
    <t>BANGASSOU</t>
  </si>
  <si>
    <t>Bangassou</t>
  </si>
  <si>
    <t>Mbomou</t>
  </si>
  <si>
    <t>Bangui</t>
  </si>
  <si>
    <t>BATANGAFO</t>
  </si>
  <si>
    <t>Batangafo</t>
  </si>
  <si>
    <t>Ouham</t>
  </si>
  <si>
    <t>Berbé rati</t>
  </si>
  <si>
    <t>BerbÃ©rati</t>
  </si>
  <si>
    <t>MambÃ©rÃ©-KadÃ©Ã¯</t>
  </si>
  <si>
    <t>Bimbo</t>
  </si>
  <si>
    <t>Ombella-Mpoko</t>
  </si>
  <si>
    <t>Boda</t>
  </si>
  <si>
    <t>Lobaye</t>
  </si>
  <si>
    <t>Bossangoa</t>
  </si>
  <si>
    <t>Bouar</t>
  </si>
  <si>
    <t>Nana-MambÃ©rÃ©</t>
  </si>
  <si>
    <t>Bozoum</t>
  </si>
  <si>
    <t>Ouham-PendÃ©</t>
  </si>
  <si>
    <t>Bria</t>
  </si>
  <si>
    <t>Haute-Kotto</t>
  </si>
  <si>
    <t>Carnot</t>
  </si>
  <si>
    <t>Damara</t>
  </si>
  <si>
    <t>Ippy</t>
  </si>
  <si>
    <t>Kaga Bandoro</t>
  </si>
  <si>
    <t>Nana-GrÃ©bizi</t>
  </si>
  <si>
    <t>MBAã¯ki</t>
  </si>
  <si>
    <t>MbaÃ¯ki</t>
  </si>
  <si>
    <t>Mobaye</t>
  </si>
  <si>
    <t>Basse-Kotto</t>
  </si>
  <si>
    <t>NOLA</t>
  </si>
  <si>
    <t>Nola</t>
  </si>
  <si>
    <t>Sangha-MbaÃ©rÃ©</t>
  </si>
  <si>
    <t>Paoua</t>
  </si>
  <si>
    <t>SIBT</t>
  </si>
  <si>
    <t>Sibut</t>
  </si>
  <si>
    <t>KÃ©mo</t>
  </si>
  <si>
    <t>Ab.</t>
  </si>
  <si>
    <t>AbÃ©chÃ©</t>
  </si>
  <si>
    <t>Chad</t>
  </si>
  <si>
    <t>OuaddaÃ¯</t>
  </si>
  <si>
    <t>Sou timan</t>
  </si>
  <si>
    <t>Am Timan</t>
  </si>
  <si>
    <t>Salamat</t>
  </si>
  <si>
    <t>ATI</t>
  </si>
  <si>
    <t>Ati</t>
  </si>
  <si>
    <t>Batha</t>
  </si>
  <si>
    <t>Benoy</t>
  </si>
  <si>
    <t>Logone Occidental</t>
  </si>
  <si>
    <t>Bitkine</t>
  </si>
  <si>
    <t>GuÃ©ra</t>
  </si>
  <si>
    <t>Bongo</t>
  </si>
  <si>
    <t>Bongor</t>
  </si>
  <si>
    <t>Mayo-Kebbi Est</t>
  </si>
  <si>
    <t>DOBA</t>
  </si>
  <si>
    <t>Doba</t>
  </si>
  <si>
    <t>Logone Oriental</t>
  </si>
  <si>
    <t>Dourbali</t>
  </si>
  <si>
    <t>Chari-Baguirmi</t>
  </si>
  <si>
    <t>Fada</t>
  </si>
  <si>
    <t>Ennedi-Ouest</t>
  </si>
  <si>
    <t>Kelo</t>
  </si>
  <si>
    <t>TandjilÃ©</t>
  </si>
  <si>
    <t>Koumra</t>
  </si>
  <si>
    <t>Mandoul</t>
  </si>
  <si>
    <t>Kyabé</t>
  </si>
  <si>
    <t>KyabÃ©</t>
  </si>
  <si>
    <t>Moyen-Chari</t>
  </si>
  <si>
    <t>Laã</t>
  </si>
  <si>
    <t>LaÃ¯</t>
  </si>
  <si>
    <t>Mao</t>
  </si>
  <si>
    <t>Kanem</t>
  </si>
  <si>
    <t>Massaguet</t>
  </si>
  <si>
    <t>Hadjer-Lamis</t>
  </si>
  <si>
    <t>Massakory</t>
  </si>
  <si>
    <t>Mboursou L © r ©</t>
  </si>
  <si>
    <t>Mboursou LÃ©rÃ©</t>
  </si>
  <si>
    <t>Mayo-Kebbi Ouest</t>
  </si>
  <si>
    <t>Mongo</t>
  </si>
  <si>
    <t>Moundou</t>
  </si>
  <si>
    <t>Moussoro</t>
  </si>
  <si>
    <t>Barh el Gazel</t>
  </si>
  <si>
    <t>N'DJamena</t>
  </si>
  <si>
    <t>N'Djamena</t>
  </si>
  <si>
    <t>Oum hadjer</t>
  </si>
  <si>
    <t>Oum Hadjer</t>
  </si>
  <si>
    <t>Pala</t>
  </si>
  <si>
    <t>Sagh</t>
  </si>
  <si>
    <t>Ancud</t>
  </si>
  <si>
    <t>Chile</t>
  </si>
  <si>
    <t>Los Lagos</t>
  </si>
  <si>
    <t>Angol</t>
  </si>
  <si>
    <t>AraucanÃ­a</t>
  </si>
  <si>
    <t>Antofagasta</t>
  </si>
  <si>
    <t>Arauco</t>
  </si>
  <si>
    <t>BiobÃ­o</t>
  </si>
  <si>
    <t>ARICA</t>
  </si>
  <si>
    <t>Arica</t>
  </si>
  <si>
    <t>Arica y Parinacota</t>
  </si>
  <si>
    <t>Buin</t>
  </si>
  <si>
    <t>Santiago Metropolitan</t>
  </si>
  <si>
    <t>Ca ± ete</t>
  </si>
  <si>
    <t>CaÃ±ete</t>
  </si>
  <si>
    <t>Cabrero</t>
  </si>
  <si>
    <t>Calama</t>
  </si>
  <si>
    <t>Cartagena</t>
  </si>
  <si>
    <t>Cauquenes</t>
  </si>
  <si>
    <t>Maule</t>
  </si>
  <si>
    <t>Chicureo Abajo</t>
  </si>
  <si>
    <t>Chiguayante</t>
  </si>
  <si>
    <t>Chill ênn</t>
  </si>
  <si>
    <t>ChillÃ¡n</t>
  </si>
  <si>
    <t>Chimbarongo</t>
  </si>
  <si>
    <t>O'Higgins</t>
  </si>
  <si>
    <t>Coihaique</t>
  </si>
  <si>
    <t>AisÃ©n</t>
  </si>
  <si>
    <t>Collipulli</t>
  </si>
  <si>
    <t>Concepciãn</t>
  </si>
  <si>
    <t>ConcepciÃ³n</t>
  </si>
  <si>
    <t>Constituciãn</t>
  </si>
  <si>
    <t>ConstituciÃ³n</t>
  </si>
  <si>
    <t>Copiapã</t>
  </si>
  <si>
    <t>CopiapÃ³</t>
  </si>
  <si>
    <t>Atacama</t>
  </si>
  <si>
    <t>Coquimbo</t>
  </si>
  <si>
    <t>Coronel</t>
  </si>
  <si>
    <t>Curanilahue</t>
  </si>
  <si>
    <t>Curicã</t>
  </si>
  <si>
    <t>CuricÃ³</t>
  </si>
  <si>
    <t>Diego de Almagro</t>
  </si>
  <si>
    <t>El Monte</t>
  </si>
  <si>
    <t>Frutillar</t>
  </si>
  <si>
    <t>GRANEROS</t>
  </si>
  <si>
    <t>Graneros</t>
  </si>
  <si>
    <t>Hacienda La Calera</t>
  </si>
  <si>
    <t>Illapel</t>
  </si>
  <si>
    <t>Iquique</t>
  </si>
  <si>
    <t>TarapacÃ¡</t>
  </si>
  <si>
    <t>La laja</t>
  </si>
  <si>
    <t>La Laja</t>
  </si>
  <si>
    <t>La Ligua</t>
  </si>
  <si>
    <t>La Pintana</t>
  </si>
  <si>
    <t>La Serena</t>
  </si>
  <si>
    <t>La uniãn</t>
  </si>
  <si>
    <t>La UniÃ³n</t>
  </si>
  <si>
    <t>Los RÃ­os</t>
  </si>
  <si>
    <t>LAMPA</t>
  </si>
  <si>
    <t>Lampa</t>
  </si>
  <si>
    <t>Las Animas</t>
  </si>
  <si>
    <t>LaUtaro</t>
  </si>
  <si>
    <t>Lautaro</t>
  </si>
  <si>
    <t>Lebu</t>
  </si>
  <si>
    <t>Limache</t>
  </si>
  <si>
    <t>Linares</t>
  </si>
  <si>
    <t>Llaillay</t>
  </si>
  <si>
    <t>Lo Prado</t>
  </si>
  <si>
    <t>Lonnche</t>
  </si>
  <si>
    <t>Loncoche</t>
  </si>
  <si>
    <t>Los ã ngeles</t>
  </si>
  <si>
    <t>Los Ãngeles</t>
  </si>
  <si>
    <t>Los Andes</t>
  </si>
  <si>
    <t>LOTA</t>
  </si>
  <si>
    <t>Lota</t>
  </si>
  <si>
    <t>Machalã</t>
  </si>
  <si>
    <t>MachalÃ­</t>
  </si>
  <si>
    <t>Melipilla</t>
  </si>
  <si>
    <t>Molina</t>
  </si>
  <si>
    <t>Mulch © n</t>
  </si>
  <si>
    <t>MulchÃ©n</t>
  </si>
  <si>
    <t>Nacimiento</t>
  </si>
  <si>
    <t>Nueva Imperial</t>
  </si>
  <si>
    <t>Osorno</t>
  </si>
  <si>
    <t>Ovalle</t>
  </si>
  <si>
    <t>Paine</t>
  </si>
  <si>
    <t>Panguipulli</t>
  </si>
  <si>
    <t>Parral</t>
  </si>
  <si>
    <t>Peã ± aflor</t>
  </si>
  <si>
    <t>PeÃ±aflor</t>
  </si>
  <si>
    <t>Penco</t>
  </si>
  <si>
    <t>PUCONN</t>
  </si>
  <si>
    <t>PucÃ³n</t>
  </si>
  <si>
    <t>Puente Alto</t>
  </si>
  <si>
    <t>Puerto Aisé n © n</t>
  </si>
  <si>
    <t>Puerto AisÃ©n</t>
  </si>
  <si>
    <t>Puerto Montt</t>
  </si>
  <si>
    <t>Porto Natales</t>
  </si>
  <si>
    <t>Puerto Natales</t>
  </si>
  <si>
    <t>Magallanes</t>
  </si>
  <si>
    <t>Puerto Quellãn</t>
  </si>
  <si>
    <t>Puerto QuellÃ³n</t>
  </si>
  <si>
    <t>Puerto Varas</t>
  </si>
  <si>
    <t>Punta Arenas</t>
  </si>
  <si>
    <t>Quillota</t>
  </si>
  <si>
    <t>Quilpué</t>
  </si>
  <si>
    <t>QuilpuÃ©</t>
  </si>
  <si>
    <t>Rancaga</t>
  </si>
  <si>
    <t>Rancagua</t>
  </si>
  <si>
    <t>Rão Bueno</t>
  </si>
  <si>
    <t>RÃ­o Bueno</t>
  </si>
  <si>
    <t>Rengo</t>
  </si>
  <si>
    <t>Santo António</t>
  </si>
  <si>
    <t>San Antonio</t>
  </si>
  <si>
    <t>San Bernardo</t>
  </si>
  <si>
    <t>San Carlos</t>
  </si>
  <si>
    <t>San Felipe</t>
  </si>
  <si>
    <t>San Vicente de Tagua Tagua</t>
  </si>
  <si>
    <t>Talagante</t>
  </si>
  <si>
    <t>Talca</t>
  </si>
  <si>
    <t>Talcahuano</t>
  </si>
  <si>
    <t>Temuco</t>
  </si>
  <si>
    <t>Tocopilla</t>
  </si>
  <si>
    <t>Tomé</t>
  </si>
  <si>
    <t>TomÃ©</t>
  </si>
  <si>
    <t>Valdivia</t>
  </si>
  <si>
    <t>Vallenar</t>
  </si>
  <si>
    <t>Vi ± A Del Mar</t>
  </si>
  <si>
    <t>ViÃ±a del Mar</t>
  </si>
  <si>
    <t>Villa Alemana</t>
  </si>
  <si>
    <t>Villarca</t>
  </si>
  <si>
    <t>Villarrica</t>
  </si>
  <si>
    <t>Acheng</t>
  </si>
  <si>
    <t>China</t>
  </si>
  <si>
    <t>Heilongjiang Sheng</t>
  </si>
  <si>
    <t>Altay</t>
  </si>
  <si>
    <t>Xinjiang Uygur Zizhiqu</t>
  </si>
  <si>
    <t>Anbu</t>
  </si>
  <si>
    <t>Guangdong</t>
  </si>
  <si>
    <t>Anda</t>
  </si>
  <si>
    <t>Anjiang</t>
  </si>
  <si>
    <t>Hunan</t>
  </si>
  <si>
    <t>Ankang</t>
  </si>
  <si>
    <t>Shaanxi</t>
  </si>
  <si>
    <t>Anlu</t>
  </si>
  <si>
    <t>Hubei</t>
  </si>
  <si>
    <t>Anqing</t>
  </si>
  <si>
    <t>Anhui Sheng</t>
  </si>
  <si>
    <t>Anqiu</t>
  </si>
  <si>
    <t>Shandong Sheng</t>
  </si>
  <si>
    <t>Anshan</t>
  </si>
  <si>
    <t>Liaoning</t>
  </si>
  <si>
    <t>Anshun</t>
  </si>
  <si>
    <t>Guizhou Sheng</t>
  </si>
  <si>
    <t>Ansiang</t>
  </si>
  <si>
    <t>Anxiang</t>
  </si>
  <si>
    <t>Anyang</t>
  </si>
  <si>
    <t>Henan Sheng</t>
  </si>
  <si>
    <t>Ã -rãmqi</t>
  </si>
  <si>
    <t>ÃœrÃ¼mqi</t>
  </si>
  <si>
    <t>Aral</t>
  </si>
  <si>
    <t>Babu</t>
  </si>
  <si>
    <t>Guangxi Zhuangzu Zizhiqu</t>
  </si>
  <si>
    <t>Baicheng</t>
  </si>
  <si>
    <t>Jilin Sheng</t>
  </si>
  <si>
    <t>Baihe</t>
  </si>
  <si>
    <t>Baijiantan</t>
  </si>
  <si>
    <t>Baiquan</t>
  </si>
  <si>
    <t>Baise City</t>
  </si>
  <si>
    <t>Baishan</t>
  </si>
  <si>
    <t>Baishishan</t>
  </si>
  <si>
    <t>Baiyin</t>
  </si>
  <si>
    <t>Gansu Sheng</t>
  </si>
  <si>
    <t>Bamiantong</t>
  </si>
  <si>
    <t>Baoding</t>
  </si>
  <si>
    <t>Hebei</t>
  </si>
  <si>
    <t>Baoqing</t>
  </si>
  <si>
    <t>Baoshan</t>
  </si>
  <si>
    <t>Baotou</t>
  </si>
  <si>
    <t>Inner Mongolia</t>
  </si>
  <si>
    <t>Baoying</t>
  </si>
  <si>
    <t>Jiangsu</t>
  </si>
  <si>
    <t>Bayan</t>
  </si>
  <si>
    <t>Bei â € um</t>
  </si>
  <si>
    <t>Beiâ€™an</t>
  </si>
  <si>
    <t>Beibei</t>
  </si>
  <si>
    <t>Chongqing Shi</t>
  </si>
  <si>
    <t>Beichengqu</t>
  </si>
  <si>
    <t>Beidaihehaibin</t>
  </si>
  <si>
    <t>Beidao</t>
  </si>
  <si>
    <t>Beihai</t>
  </si>
  <si>
    <t>Pequim</t>
  </si>
  <si>
    <t>Beijing</t>
  </si>
  <si>
    <t>Beipiao</t>
  </si>
  <si>
    <t>Bengbu</t>
  </si>
  <si>
    <t>Benxi</t>
  </si>
  <si>
    <t>Bianzhuang</t>
  </si>
  <si>
    <t>Bijie</t>
  </si>
  <si>
    <t>Binhe</t>
  </si>
  <si>
    <t>Binzhou</t>
  </si>
  <si>
    <t>Bojia</t>
  </si>
  <si>
    <t>Boli</t>
  </si>
  <si>
    <t>Boshan</t>
  </si>
  <si>
    <t>Botou</t>
  </si>
  <si>
    <t>Bozhou</t>
  </si>
  <si>
    <t>Buhe</t>
  </si>
  <si>
    <t>Caidiano</t>
  </si>
  <si>
    <t>Caidian</t>
  </si>
  <si>
    <t>Cangzhou</t>
  </si>
  <si>
    <t>Caohe</t>
  </si>
  <si>
    <t>Chaihe</t>
  </si>
  <si>
    <t>Changchun</t>
  </si>
  <si>
    <t>Changde</t>
  </si>
  <si>
    <t>Changji</t>
  </si>
  <si>
    <t>Changleng</t>
  </si>
  <si>
    <t>Jiangxi Sheng</t>
  </si>
  <si>
    <t>Changli</t>
  </si>
  <si>
    <t>Trocando</t>
  </si>
  <si>
    <t>Changling</t>
  </si>
  <si>
    <t>Changing</t>
  </si>
  <si>
    <t>Changping</t>
  </si>
  <si>
    <t>Changqing</t>
  </si>
  <si>
    <t>Changsha</t>
  </si>
  <si>
    <t>Cidade de Changshu</t>
  </si>
  <si>
    <t>Changshu City</t>
  </si>
  <si>
    <t>Changtu</t>
  </si>
  <si>
    <t>Changzhi</t>
  </si>
  <si>
    <t>Shanxi Sheng</t>
  </si>
  <si>
    <t>Changzhou</t>
  </si>
  <si>
    <t>Chaohu</t>
  </si>
  <si>
    <t>Chaoyang</t>
  </si>
  <si>
    <t>Chaozhou</t>
  </si>
  <si>
    <t>Chengde</t>
  </si>
  <si>
    <t>Chengdu</t>
  </si>
  <si>
    <t>Sichuan</t>
  </si>
  <si>
    <t>Chenghua</t>
  </si>
  <si>
    <t>Chengyang</t>
  </si>
  <si>
    <t>Fujian</t>
  </si>
  <si>
    <t>Chengzhong</t>
  </si>
  <si>
    <t>Chengzihe</t>
  </si>
  <si>
    <t>Chenzhou</t>
  </si>
  <si>
    <t>Chifeng</t>
  </si>
  <si>
    <t>Chizhou</t>
  </si>
  <si>
    <t>Chongglong</t>
  </si>
  <si>
    <t>Chonglong</t>
  </si>
  <si>
    <t>Chongqing</t>
  </si>
  <si>
    <t>Chuzhou</t>
  </si>
  <si>
    <t>Dãªqãªn</t>
  </si>
  <si>
    <t>DÃªqÃªn</t>
  </si>
  <si>
    <t>Tibet Autonomous Region</t>
  </si>
  <si>
    <t>Dadukou</t>
  </si>
  <si>
    <t>Dalai</t>
  </si>
  <si>
    <t>Dali</t>
  </si>
  <si>
    <t>Yunnan</t>
  </si>
  <si>
    <t>Dalian</t>
  </si>
  <si>
    <t>Daliang</t>
  </si>
  <si>
    <t>Dalianwan</t>
  </si>
  <si>
    <t>Dandong</t>
  </si>
  <si>
    <t>Danjiangkou</t>
  </si>
  <si>
    <t>Danshui</t>
  </si>
  <si>
    <t>Daokou</t>
  </si>
  <si>
    <t>Daqing</t>
  </si>
  <si>
    <t>DASHA</t>
  </si>
  <si>
    <t>Dasha</t>
  </si>
  <si>
    <t>Dashiqiao</t>
  </si>
  <si>
    <t>Dashitou</t>
  </si>
  <si>
    <t>Datong</t>
  </si>
  <si>
    <t>Dawukou</t>
  </si>
  <si>
    <t>Ningxia Huizu Zizhiqu</t>
  </si>
  <si>
    <t>Daxing</t>
  </si>
  <si>
    <t>DIA</t>
  </si>
  <si>
    <t>Daye</t>
  </si>
  <si>
    <t>Dazhong</t>
  </si>
  <si>
    <t>Dazhou</t>
  </si>
  <si>
    <t>Dehui</t>
  </si>
  <si>
    <t>Dengzhou</t>
  </si>
  <si>
    <t>Deqing</t>
  </si>
  <si>
    <t>Zhejiang Sheng</t>
  </si>
  <si>
    <t>Deyang</t>
  </si>
  <si>
    <t>Dezhou</t>
  </si>
  <si>
    <t>Dingcheng</t>
  </si>
  <si>
    <t>Dingtao</t>
  </si>
  <si>
    <t>Dingzhou</t>
  </si>
  <si>
    <t>Dongcun</t>
  </si>
  <si>
    <t>Dongdu</t>
  </si>
  <si>
    <t>Dongfeng</t>
  </si>
  <si>
    <t>Dongguan</t>
  </si>
  <si>
    <t>Donghai</t>
  </si>
  <si>
    <t>Dongkan</t>
  </si>
  <si>
    <t>Dongling</t>
  </si>
  <si>
    <t>Dongning</t>
  </si>
  <si>
    <t>Dongsheng</t>
  </si>
  <si>
    <t>Dongtai</t>
  </si>
  <si>
    <t>Dongxing</t>
  </si>
  <si>
    <t>Dongyang</t>
  </si>
  <si>
    <t>Ducheng</t>
  </si>
  <si>
    <t>Dunhua</t>
  </si>
  <si>
    <t>Duobao</t>
  </si>
  <si>
    <t>Duyun</t>
  </si>
  <si>
    <t>Encheng</t>
  </si>
  <si>
    <t>Enshi</t>
  </si>
  <si>
    <t>Erdaojiang</t>
  </si>
  <si>
    <t>ERENHOT</t>
  </si>
  <si>
    <t>Erenhot</t>
  </si>
  <si>
    <t>Ezhou</t>
  </si>
  <si>
    <t>Fangshan</t>
  </si>
  <si>
    <t>Feicheng</t>
  </si>
  <si>
    <t>Fendou</t>
  </si>
  <si>
    <t>Fengcheng</t>
  </si>
  <si>
    <t>Fenghua</t>
  </si>
  <si>
    <t>Fenghuang</t>
  </si>
  <si>
    <t>Fengkou</t>
  </si>
  <si>
    <t>FenGrun</t>
  </si>
  <si>
    <t>Fengrun</t>
  </si>
  <si>
    <t>Fengxiano</t>
  </si>
  <si>
    <t>Fengxian</t>
  </si>
  <si>
    <t>Fengxiang</t>
  </si>
  <si>
    <t>Fenyi</t>
  </si>
  <si>
    <t>Foshan</t>
  </si>
  <si>
    <t>Fuding</t>
  </si>
  <si>
    <t>Fujin</t>
  </si>
  <si>
    <t>Fuli</t>
  </si>
  <si>
    <t>Fuling</t>
  </si>
  <si>
    <t>Fuqing</t>
  </si>
  <si>
    <t>Fushun</t>
  </si>
  <si>
    <t>Fuxin</t>
  </si>
  <si>
    <t>Fuyang</t>
  </si>
  <si>
    <t>Fuyu</t>
  </si>
  <si>
    <t>Fuyuan</t>
  </si>
  <si>
    <t>Fuzhou</t>
  </si>
  <si>
    <t>Gannan</t>
  </si>
  <si>
    <t>Gaogou</t>
  </si>
  <si>
    <t>Gaomi</t>
  </si>
  <si>
    <t>Gaoping</t>
  </si>
  <si>
    <t>Gaoyou</t>
  </si>
  <si>
    <t>Gaozhou</t>
  </si>
  <si>
    <t>Gejiu</t>
  </si>
  <si>
    <t>GENHE</t>
  </si>
  <si>
    <t>Genhe</t>
  </si>
  <si>
    <t>GongChanGling</t>
  </si>
  <si>
    <t>Gongchangling</t>
  </si>
  <si>
    <t>Gongzhuling</t>
  </si>
  <si>
    <t>Guangming</t>
  </si>
  <si>
    <t>Guangshui</t>
  </si>
  <si>
    <t>Guangyuan</t>
  </si>
  <si>
    <t>Guangzhou</t>
  </si>
  <si>
    <t>Guankou</t>
  </si>
  <si>
    <t>Gucheng Chengguanzhen</t>
  </si>
  <si>
    <t>Guigang</t>
  </si>
  <si>
    <t>Guilin</t>
  </si>
  <si>
    <t>Guiping</t>
  </si>
  <si>
    <t>Guiren</t>
  </si>
  <si>
    <t>Guixi</t>
  </si>
  <si>
    <t>Guiyang</t>
  </si>
  <si>
    <t>Guli</t>
  </si>
  <si>
    <t>Guozhen</t>
  </si>
  <si>
    <t>Gushu</t>
  </si>
  <si>
    <t>Gutao</t>
  </si>
  <si>
    <t>Guye</t>
  </si>
  <si>
    <t>Haicheng</t>
  </si>
  <si>
    <t>Haikou</t>
  </si>
  <si>
    <t>Hainan</t>
  </si>
  <si>
    <t>Hailar</t>
  </si>
  <si>
    <t>Hailin</t>
  </si>
  <si>
    <t>Hailun</t>
  </si>
  <si>
    <t>Haimen</t>
  </si>
  <si>
    <t>Haizhou</t>
  </si>
  <si>
    <t>Hami</t>
  </si>
  <si>
    <t>Hancheng</t>
  </si>
  <si>
    <t>Hanchuan</t>
  </si>
  <si>
    <t>Handan</t>
  </si>
  <si>
    <t>Hangu</t>
  </si>
  <si>
    <t>Tianjin Shi</t>
  </si>
  <si>
    <t>Hangzhou</t>
  </si>
  <si>
    <t>Hanting</t>
  </si>
  <si>
    <t>Hanzhong</t>
  </si>
  <si>
    <t>Harbin</t>
  </si>
  <si>
    <t>Hebi</t>
  </si>
  <si>
    <t>Hechuan</t>
  </si>
  <si>
    <t>Hecun</t>
  </si>
  <si>
    <t>Hede</t>
  </si>
  <si>
    <t>Hefei</t>
  </si>
  <si>
    <t>Hegang</t>
  </si>
  <si>
    <t>Heihe</t>
  </si>
  <si>
    <t>Heishan</t>
  </si>
  <si>
    <t>Helong</t>
  </si>
  <si>
    <t>Hengshui</t>
  </si>
  <si>
    <t>Hengyang</t>
  </si>
  <si>
    <t>Hepingjie</t>
  </si>
  <si>
    <t>Hepo</t>
  </si>
  <si>
    <t>Heyuan</t>
  </si>
  <si>
    <t>Heze</t>
  </si>
  <si>
    <t>Hohhot</t>
  </si>
  <si>
    <t>Honggang</t>
  </si>
  <si>
    <t>Hongjiang</t>
  </si>
  <si>
    <t>Hongqiao</t>
  </si>
  <si>
    <t>Hotan</t>
  </si>
  <si>
    <t>Hoxtolgay</t>
  </si>
  <si>
    <t>Huadiano</t>
  </si>
  <si>
    <t>Huadian</t>
  </si>
  <si>
    <t>Huai'an</t>
  </si>
  <si>
    <t>Huaibei</t>
  </si>
  <si>
    <t>Huaicheng</t>
  </si>
  <si>
    <t>Huaidiano</t>
  </si>
  <si>
    <t>Huaidian</t>
  </si>
  <si>
    <t>Huaihua</t>
  </si>
  <si>
    <t>Huainan</t>
  </si>
  <si>
    <t>Huaiyuan Chengguanzhen</t>
  </si>
  <si>
    <t>Huanan</t>
  </si>
  <si>
    <t>Huanggang</t>
  </si>
  <si>
    <t>Huangmei</t>
  </si>
  <si>
    <t>Huangnihe</t>
  </si>
  <si>
    <t>Huangpi</t>
  </si>
  <si>
    <t>Huangshan</t>
  </si>
  <si>
    <t>Huangshi</t>
  </si>
  <si>
    <t>Huangyan</t>
  </si>
  <si>
    <t>Huangzhou</t>
  </si>
  <si>
    <t>Huanren</t>
  </si>
  <si>
    <t>Huazhou</t>
  </si>
  <si>
    <t>Huicheng</t>
  </si>
  <si>
    <t>Huilong</t>
  </si>
  <si>
    <t>Huinan</t>
  </si>
  <si>
    <t>Huizhou</t>
  </si>
  <si>
    <t>HULAN</t>
  </si>
  <si>
    <t>Hulan</t>
  </si>
  <si>
    <t>HULAN ERGI</t>
  </si>
  <si>
    <t>Hulan Ergi</t>
  </si>
  <si>
    <t>Humen</t>
  </si>
  <si>
    <t>Hunchun</t>
  </si>
  <si>
    <t>Huoqiu Chengguanzhen</t>
  </si>
  <si>
    <t>Hushitai</t>
  </si>
  <si>
    <t>Hutang</t>
  </si>
  <si>
    <t>Huzhou</t>
  </si>
  <si>
    <t>Jagdaqi</t>
  </si>
  <si>
    <t>Jalai Nur</t>
  </si>
  <si>
    <t>Ji - um</t>
  </si>
  <si>
    <t>Jiâ€™an</t>
  </si>
  <si>
    <t>Jiamusi</t>
  </si>
  <si>
    <t>Jian 'ouu</t>
  </si>
  <si>
    <t>Jianâ€™ou</t>
  </si>
  <si>
    <t>Jiangganchi</t>
  </si>
  <si>
    <t>Jiangguanchi</t>
  </si>
  <si>
    <t>Jiangkou</t>
  </si>
  <si>
    <t>Jiangmen</t>
  </si>
  <si>
    <t>JianGuang</t>
  </si>
  <si>
    <t>Jianguang</t>
  </si>
  <si>
    <t>Jiangyan</t>
  </si>
  <si>
    <t>Jiangyin</t>
  </si>
  <si>
    <t>Jiangyou</t>
  </si>
  <si>
    <t>Jiaojiang</t>
  </si>
  <si>
    <t>Jiaozhou</t>
  </si>
  <si>
    <t>Jiaozuo</t>
  </si>
  <si>
    <t>Jiashan</t>
  </si>
  <si>
    <t>Jiaxing</t>
  </si>
  <si>
    <t>Jiayuguan</t>
  </si>
  <si>
    <t>Jiazi</t>
  </si>
  <si>
    <t>Jidong</t>
  </si>
  <si>
    <t>Jiehu</t>
  </si>
  <si>
    <t>Jieshi</t>
  </si>
  <si>
    <t>Jieshou</t>
  </si>
  <si>
    <t>Jiexiu</t>
  </si>
  <si>
    <t>Jieyang</t>
  </si>
  <si>
    <t>Jijiang</t>
  </si>
  <si>
    <t>Jilin</t>
  </si>
  <si>
    <t>Jimo</t>
  </si>
  <si>
    <t>Jinan</t>
  </si>
  <si>
    <t>Jinchang</t>
  </si>
  <si>
    <t>Jincheng</t>
  </si>
  <si>
    <t>Jingdezhen</t>
  </si>
  <si>
    <t>Jinghong</t>
  </si>
  <si>
    <t>Jingling</t>
  </si>
  <si>
    <t>Jingmen</t>
  </si>
  <si>
    <t>Jingzhou</t>
  </si>
  <si>
    <t>Jinhua</t>
  </si>
  <si>
    <t>Jining</t>
  </si>
  <si>
    <t>Jinji</t>
  </si>
  <si>
    <t>Jinjiang</t>
  </si>
  <si>
    <t>Jinsha</t>
  </si>
  <si>
    <t>Jinshi</t>
  </si>
  <si>
    <t>Jinxiang</t>
  </si>
  <si>
    <t>Jinzhou</t>
  </si>
  <si>
    <t>Jishu</t>
  </si>
  <si>
    <t>Jishui</t>
  </si>
  <si>
    <t>Jiujiang</t>
  </si>
  <si>
    <t>Jiupu</t>
  </si>
  <si>
    <t>Jiuquan</t>
  </si>
  <si>
    <t>Jiutai</t>
  </si>
  <si>
    <t>Jixi</t>
  </si>
  <si>
    <t>JUEGANG</t>
  </si>
  <si>
    <t>Juegang</t>
  </si>
  <si>
    <t>Juye</t>
  </si>
  <si>
    <t>Kaifeng</t>
  </si>
  <si>
    <t>Kaihua</t>
  </si>
  <si>
    <t>Kaitong</t>
  </si>
  <si>
    <t>Kaiyuan</t>
  </si>
  <si>
    <t>Kangding</t>
  </si>
  <si>
    <t>Kashgar</t>
  </si>
  <si>
    <t>Kuandian</t>
  </si>
  <si>
    <t>Kuche</t>
  </si>
  <si>
    <t>Kunming</t>
  </si>
  <si>
    <t>Kunshan</t>
  </si>
  <si>
    <t>Kunyang</t>
  </si>
  <si>
    <t>Lãshun</t>
  </si>
  <si>
    <t>LÃ¼shun</t>
  </si>
  <si>
    <t>LAIBIN</t>
  </si>
  <si>
    <t>Laibin</t>
  </si>
  <si>
    <t>Laiwu</t>
  </si>
  <si>
    <t>LAIXI</t>
  </si>
  <si>
    <t>Laixi</t>
  </si>
  <si>
    <t>Laiyang</t>
  </si>
  <si>
    <t>Langfang</t>
  </si>
  <si>
    <t>Langtou</t>
  </si>
  <si>
    <t>Langxiang</t>
  </si>
  <si>
    <t>Langzhong</t>
  </si>
  <si>
    <t>Lanxi</t>
  </si>
  <si>
    <t>Lanzhou</t>
  </si>
  <si>
    <t>Laochenglu</t>
  </si>
  <si>
    <t>Laohekou</t>
  </si>
  <si>
    <t>Laojunmiao</t>
  </si>
  <si>
    <t>Lecheng</t>
  </si>
  <si>
    <t>Leiyang</t>
  </si>
  <si>
    <t>Lengshuijiang</t>
  </si>
  <si>
    <t>Lengshuitan</t>
  </si>
  <si>
    <t>Leshan</t>
  </si>
  <si>
    <t>Lhasa</t>
  </si>
  <si>
    <t>LIANGHU</t>
  </si>
  <si>
    <t>Lianghu</t>
  </si>
  <si>
    <t>Liangxiang</t>
  </si>
  <si>
    <t>Lianhe</t>
  </si>
  <si>
    <t>Lianjiang</t>
  </si>
  <si>
    <t>Lianran</t>
  </si>
  <si>
    <t>Lianshan</t>
  </si>
  <si>
    <t>Lianyuan</t>
  </si>
  <si>
    <t>Lianzhou</t>
  </si>
  <si>
    <t>Liaocheng</t>
  </si>
  <si>
    <t>Liaoyang</t>
  </si>
  <si>
    <t>Liaoyuan</t>
  </si>
  <si>
    <t>Liaozhong</t>
  </si>
  <si>
    <t>Licheng</t>
  </si>
  <si>
    <t>Lichuan</t>
  </si>
  <si>
    <t>Lijiang</t>
  </si>
  <si>
    <t>Lincheng</t>
  </si>
  <si>
    <t>Linfen</t>
  </si>
  <si>
    <t>Lingcheng</t>
  </si>
  <si>
    <t>Lingdong</t>
  </si>
  <si>
    <t>Linghai</t>
  </si>
  <si>
    <t>Lingyuan</t>
  </si>
  <si>
    <t>Linhai</t>
  </si>
  <si>
    <t>Linjiang</t>
  </si>
  <si>
    <t>Linkou</t>
  </si>
  <si>
    <t>Linping</t>
  </si>
  <si>
    <t>Linqiong</t>
  </si>
  <si>
    <t>Linqu</t>
  </si>
  <si>
    <t>Linshui</t>
  </si>
  <si>
    <t>Lintong</t>
  </si>
  <si>
    <t>Linxi</t>
  </si>
  <si>
    <t>Linxia Chengguanzhen</t>
  </si>
  <si>
    <t>Linyi</t>
  </si>
  <si>
    <t>Lishu</t>
  </si>
  <si>
    <t>Lishui</t>
  </si>
  <si>
    <t>Liuhe</t>
  </si>
  <si>
    <t>Liupanshui</t>
  </si>
  <si>
    <t>Longfeng</t>
  </si>
  <si>
    <t>Longgang</t>
  </si>
  <si>
    <t>Longjiang</t>
  </si>
  <si>
    <t>Longjing</t>
  </si>
  <si>
    <t>Longquan</t>
  </si>
  <si>
    <t>Loudi</t>
  </si>
  <si>
    <t>Loushanguan</t>
  </si>
  <si>
    <t>Luancheng</t>
  </si>
  <si>
    <t>Lu Bu</t>
  </si>
  <si>
    <t>Lubu</t>
  </si>
  <si>
    <t>Lucheng</t>
  </si>
  <si>
    <t>Luocheng</t>
  </si>
  <si>
    <t>Luofeng</t>
  </si>
  <si>
    <t>Luohe</t>
  </si>
  <si>
    <t>Luorong</t>
  </si>
  <si>
    <t>Luoyang</t>
  </si>
  <si>
    <t>Luqiao</t>
  </si>
  <si>
    <t>Luxu</t>
  </si>
  <si>
    <t>Maba</t>
  </si>
  <si>
    <t>Mabai</t>
  </si>
  <si>
    <t>Macheng</t>
  </si>
  <si>
    <t>Majie</t>
  </si>
  <si>
    <t>Manzhouli</t>
  </si>
  <si>
    <t>Meihekou</t>
  </si>
  <si>
    <t>Meizhou</t>
  </si>
  <si>
    <t>Mengcheng Chengguanzhen</t>
  </si>
  <si>
    <t>Mengia</t>
  </si>
  <si>
    <t>Mengyin</t>
  </si>
  <si>
    <t>Mentougou</t>
  </si>
  <si>
    <t>Mianyang</t>
  </si>
  <si>
    <t>Minggang</t>
  </si>
  <si>
    <t>Mingguang</t>
  </si>
  <si>
    <t>Mingshui</t>
  </si>
  <si>
    <t>Mingyue</t>
  </si>
  <si>
    <t>Minzhu</t>
  </si>
  <si>
    <t>Mishan</t>
  </si>
  <si>
    <t>Miyang</t>
  </si>
  <si>
    <t>Mizhou</t>
  </si>
  <si>
    <t>Mudanjiang</t>
  </si>
  <si>
    <t>Mudu</t>
  </si>
  <si>
    <t>Mujiayingzi</t>
  </si>
  <si>
    <t>Nagqu</t>
  </si>
  <si>
    <t>Nanchang</t>
  </si>
  <si>
    <t>Nanchong</t>
  </si>
  <si>
    <t>NANDING</t>
  </si>
  <si>
    <t>Nanding</t>
  </si>
  <si>
    <t>Nandu</t>
  </si>
  <si>
    <t>Nanfeng</t>
  </si>
  <si>
    <t>Nangandao</t>
  </si>
  <si>
    <t>Nangong</t>
  </si>
  <si>
    <t>Nanjing</t>
  </si>
  <si>
    <t>Nanlong</t>
  </si>
  <si>
    <t>Nanma</t>
  </si>
  <si>
    <t>Nanning</t>
  </si>
  <si>
    <t>Nanpiao</t>
  </si>
  <si>
    <t>Nanping</t>
  </si>
  <si>
    <t>Nantai</t>
  </si>
  <si>
    <t>NANTONG</t>
  </si>
  <si>
    <t>Nantong</t>
  </si>
  <si>
    <t>Nanyang</t>
  </si>
  <si>
    <t>Nanzhang Chengguanzhen</t>
  </si>
  <si>
    <t>Nanzhou</t>
  </si>
  <si>
    <t>Nehe</t>
  </si>
  <si>
    <t>Neijiang</t>
  </si>
  <si>
    <t>Nenjiang</t>
  </si>
  <si>
    <t>Nianzishan</t>
  </si>
  <si>
    <t>Ningbo</t>
  </si>
  <si>
    <t>Ningde</t>
  </si>
  <si>
    <t>Ninghai</t>
  </si>
  <si>
    <t>Ningyang</t>
  </si>
  <si>
    <t>Ordos</t>
  </si>
  <si>
    <t>Oroqen Zizhiqi</t>
  </si>
  <si>
    <t>Panshan</t>
  </si>
  <si>
    <t>Panshi</t>
  </si>
  <si>
    <t>Pengcheng</t>
  </si>
  <si>
    <t>Pingdingshan</t>
  </si>
  <si>
    <t>Pingdu</t>
  </si>
  <si>
    <t>Pingliang</t>
  </si>
  <si>
    <t>Pingnan</t>
  </si>
  <si>
    <t>Pingshan</t>
  </si>
  <si>
    <t>Pingxiang</t>
  </si>
  <si>
    <t>Pingyi</t>
  </si>
  <si>
    <t>Pingyin</t>
  </si>
  <si>
    <t>Pingzhuang</t>
  </si>
  <si>
    <t>Pizhou</t>
  </si>
  <si>
    <t>Poyang</t>
  </si>
  <si>
    <t>Pucheng</t>
  </si>
  <si>
    <t>Pulandiano</t>
  </si>
  <si>
    <t>Pulandian</t>
  </si>
  <si>
    <t>Pumiao</t>
  </si>
  <si>
    <t>Punindo</t>
  </si>
  <si>
    <t>Puning</t>
  </si>
  <si>
    <t>Puqi</t>
  </si>
  <si>
    <t>Putian</t>
  </si>
  <si>
    <t>Puyang</t>
  </si>
  <si>
    <t>Puyang Chengguanzhen</t>
  </si>
  <si>
    <t>Qamdo</t>
  </si>
  <si>
    <t>Qianguo</t>
  </si>
  <si>
    <t>Qianjiang</t>
  </si>
  <si>
    <t>Qianzhou</t>
  </si>
  <si>
    <t>Qingdao</t>
  </si>
  <si>
    <t>Qinggang</t>
  </si>
  <si>
    <t>Qingnian</t>
  </si>
  <si>
    <t>Qingquan</t>
  </si>
  <si>
    <t>Qingyang</t>
  </si>
  <si>
    <t>Qingyuan</t>
  </si>
  <si>
    <t>Qingzhou</t>
  </si>
  <si>
    <t>Qinhuangdao</t>
  </si>
  <si>
    <t>Qinnan</t>
  </si>
  <si>
    <t>Qinzhou</t>
  </si>
  <si>
    <t>Qionghu</t>
  </si>
  <si>
    <t>Qiongshan</t>
  </si>
  <si>
    <t>Qiqihar</t>
  </si>
  <si>
    <t>Quanzhou</t>
  </si>
  <si>
    <t>Qufu</t>
  </si>
  <si>
    <t>Qujing</t>
  </si>
  <si>
    <t>Quzhou</t>
  </si>
  <si>
    <t>Renqiu</t>
  </si>
  <si>
    <t>Rikaze</t>
  </si>
  <si>
    <t>Rizhao</t>
  </si>
  <si>
    <t>Execução</t>
  </si>
  <si>
    <t>Runing</t>
  </si>
  <si>
    <t>Salaqi</t>
  </si>
  <si>
    <t>Sanchazi</t>
  </si>
  <si>
    <t>Sanming</t>
  </si>
  <si>
    <t>Sanshui</t>
  </si>
  <si>
    <t>Sanya</t>
  </si>
  <si>
    <t>Sayibage</t>
  </si>
  <si>
    <t>Shache</t>
  </si>
  <si>
    <t>Shahecheng</t>
  </si>
  <si>
    <t>Shancheng</t>
  </si>
  <si>
    <t>Xangai</t>
  </si>
  <si>
    <t>Shanghai</t>
  </si>
  <si>
    <t>Shanghai Shi</t>
  </si>
  <si>
    <t>Shangmei</t>
  </si>
  <si>
    <t>Shangqiu</t>
  </si>
  <si>
    <t>Shangrao</t>
  </si>
  <si>
    <t>Shangri-La</t>
  </si>
  <si>
    <t>Shangyu</t>
  </si>
  <si>
    <t>Shangzhi</t>
  </si>
  <si>
    <t>SHANHAIGUAN</t>
  </si>
  <si>
    <t>Shanhaiguan</t>
  </si>
  <si>
    <t>Shanhetun</t>
  </si>
  <si>
    <t>Shanting</t>
  </si>
  <si>
    <t>Shantou</t>
  </si>
  <si>
    <t>Shanwei</t>
  </si>
  <si>
    <t>Shaoguan</t>
  </si>
  <si>
    <t>Shaowu</t>
  </si>
  <si>
    <t>Shaoxing</t>
  </si>
  <si>
    <t>Modelagem</t>
  </si>
  <si>
    <t>Shaping</t>
  </si>
  <si>
    <t>Shashi</t>
  </si>
  <si>
    <t>Shengli</t>
  </si>
  <si>
    <t>Shenjiamen</t>
  </si>
  <si>
    <t>Shenyang</t>
  </si>
  <si>
    <t>Shenzhen</t>
  </si>
  <si>
    <t>Shiguai</t>
  </si>
  <si>
    <t>Shihezi</t>
  </si>
  <si>
    <t>Shijiazhuang</t>
  </si>
  <si>
    <t>Shilin</t>
  </si>
  <si>
    <t>Shilong</t>
  </si>
  <si>
    <t>Shima</t>
  </si>
  <si>
    <t>Shiqi</t>
  </si>
  <si>
    <t>Shiqiao</t>
  </si>
  <si>
    <t>Shitanjing</t>
  </si>
  <si>
    <t>Shiwan</t>
  </si>
  <si>
    <t>Shixing</t>
  </si>
  <si>
    <t>Shiyan</t>
  </si>
  <si>
    <t>Shizilu</t>
  </si>
  <si>
    <t>Shizuishan</t>
  </si>
  <si>
    <t>Shouguang</t>
  </si>
  <si>
    <t>Shuangcheng</t>
  </si>
  <si>
    <t>Shuangyang</t>
  </si>
  <si>
    <t>Shuangyashan</t>
  </si>
  <si>
    <t>Shulan</t>
  </si>
  <si>
    <t>Shunyi</t>
  </si>
  <si>
    <t>Bebendo</t>
  </si>
  <si>
    <t>Siping</t>
  </si>
  <si>
    <t>Sishui</t>
  </si>
  <si>
    <t>Songjiang</t>
  </si>
  <si>
    <t>Songjianghe</t>
  </si>
  <si>
    <t>Songling</t>
  </si>
  <si>
    <t>Songyang</t>
  </si>
  <si>
    <t>Suicheng</t>
  </si>
  <si>
    <t>Suifenhe</t>
  </si>
  <si>
    <t>Suihua</t>
  </si>
  <si>
    <t>Suileng</t>
  </si>
  <si>
    <t>Suinante</t>
  </si>
  <si>
    <t>Suining</t>
  </si>
  <si>
    <t>Suixi</t>
  </si>
  <si>
    <t>Suizhou</t>
  </si>
  <si>
    <t>Sujiatun</t>
  </si>
  <si>
    <t>Suozhen</t>
  </si>
  <si>
    <t>Suzhou</t>
  </si>
  <si>
    <t>Tahe</t>
  </si>
  <si>
    <t>Tai € ​​um</t>
  </si>
  <si>
    <t>Taiâ€™an</t>
  </si>
  <si>
    <t>Taihe</t>
  </si>
  <si>
    <t>Taikang</t>
  </si>
  <si>
    <t>Tailai</t>
  </si>
  <si>
    <t>Taishan</t>
  </si>
  <si>
    <t>Taixing</t>
  </si>
  <si>
    <t>Taiyuan</t>
  </si>
  <si>
    <t>Taizhou</t>
  </si>
  <si>
    <t>Tanggu</t>
  </si>
  <si>
    <t>Tangjiazhuang</t>
  </si>
  <si>
    <t>Tangping</t>
  </si>
  <si>
    <t>Tangshan</t>
  </si>
  <si>
    <t>Tangzhai</t>
  </si>
  <si>
    <t>Tantou</t>
  </si>
  <si>
    <t>Taozhuang</t>
  </si>
  <si>
    <t>Tengzhou</t>
  </si>
  <si>
    <t>Tianchang</t>
  </si>
  <si>
    <t>Tianfu</t>
  </si>
  <si>
    <t>Tianjin</t>
  </si>
  <si>
    <t>Tianpeng</t>
  </si>
  <si>
    <t>Tianshui</t>
  </si>
  <si>
    <t>Tieli</t>
  </si>
  <si>
    <t>Tieling</t>
  </si>
  <si>
    <t>Tongchuan</t>
  </si>
  <si>
    <t>Tongliao</t>
  </si>
  <si>
    <t>Tongren</t>
  </si>
  <si>
    <t>Tongshan</t>
  </si>
  <si>
    <t>Tongzhou</t>
  </si>
  <si>
    <t>Tumen</t>
  </si>
  <si>
    <t>Ulanhot</t>
  </si>
  <si>
    <t>Wacheng</t>
  </si>
  <si>
    <t>Wafangdian</t>
  </si>
  <si>
    <t>Wangkui</t>
  </si>
  <si>
    <t>Wangqing</t>
  </si>
  <si>
    <t>Wanning</t>
  </si>
  <si>
    <t>Wanxian</t>
  </si>
  <si>
    <t>Weichanglu</t>
  </si>
  <si>
    <t>Weifang</t>
  </si>
  <si>
    <t>Weihai</t>
  </si>
  <si>
    <t>Weinan</t>
  </si>
  <si>
    <t>Weining</t>
  </si>
  <si>
    <t>Wenling</t>
  </si>
  <si>
    <t>Cidade de Wenshan</t>
  </si>
  <si>
    <t>Wenshan City</t>
  </si>
  <si>
    <t>Wenshang</t>
  </si>
  <si>
    <t>Wenxing</t>
  </si>
  <si>
    <t>Wenzhou</t>
  </si>
  <si>
    <t>Wuchang</t>
  </si>
  <si>
    <t>Wucheng</t>
  </si>
  <si>
    <t>Wuchuan</t>
  </si>
  <si>
    <t>Wuda</t>
  </si>
  <si>
    <t>Wuhai</t>
  </si>
  <si>
    <t>Wuhan</t>
  </si>
  <si>
    <t>Wuhu</t>
  </si>
  <si>
    <t>WUSONG</t>
  </si>
  <si>
    <t>Wusong</t>
  </si>
  <si>
    <t>Wuwei</t>
  </si>
  <si>
    <t>Wuxi</t>
  </si>
  <si>
    <t>Wuxue</t>
  </si>
  <si>
    <t>Wuyang</t>
  </si>
  <si>
    <t>Wuzhou</t>
  </si>
  <si>
    <t>Xi € um</t>
  </si>
  <si>
    <t>Xiâ€™an</t>
  </si>
  <si>
    <t>XIAMEN</t>
  </si>
  <si>
    <t>Xiamen</t>
  </si>
  <si>
    <t>Xiangcheng Chengguanzhen</t>
  </si>
  <si>
    <t>Xiangtan</t>
  </si>
  <si>
    <t>Xiangxiang</t>
  </si>
  <si>
    <t>Xiangyang</t>
  </si>
  <si>
    <t>Xianju</t>
  </si>
  <si>
    <t>Xiannã</t>
  </si>
  <si>
    <t>XiannÃ¼</t>
  </si>
  <si>
    <t>Xianning</t>
  </si>
  <si>
    <t>Xianshuigu</t>
  </si>
  <si>
    <t>Xiantao</t>
  </si>
  <si>
    <t>Xianyang</t>
  </si>
  <si>
    <t>Xiaogan</t>
  </si>
  <si>
    <t>Xiaolingwei</t>
  </si>
  <si>
    <t>Xiaoshan</t>
  </si>
  <si>
    <t>Xiaoshi</t>
  </si>
  <si>
    <t>Xiaoweizhai</t>
  </si>
  <si>
    <t>XIASHI</t>
  </si>
  <si>
    <t>Xiashi</t>
  </si>
  <si>
    <t>Xiazhen</t>
  </si>
  <si>
    <t>Xiazhuang</t>
  </si>
  <si>
    <t>Xichang</t>
  </si>
  <si>
    <t>Xifeng</t>
  </si>
  <si>
    <t>Xihe</t>
  </si>
  <si>
    <t>Xilin quente</t>
  </si>
  <si>
    <t>Xilin Hot</t>
  </si>
  <si>
    <t>XIMEI</t>
  </si>
  <si>
    <t>Ximei</t>
  </si>
  <si>
    <t>Xincheng</t>
  </si>
  <si>
    <t>Xindi</t>
  </si>
  <si>
    <t>Xindiano</t>
  </si>
  <si>
    <t>Xindian</t>
  </si>
  <si>
    <t>Xingcheng</t>
  </si>
  <si>
    <t>Xinghua</t>
  </si>
  <si>
    <t>Xinglongshan</t>
  </si>
  <si>
    <t>Xingtai</t>
  </si>
  <si>
    <t>Xinhui</t>
  </si>
  <si>
    <t>Xining</t>
  </si>
  <si>
    <t>Qinghai Sheng</t>
  </si>
  <si>
    <t>Xinji</t>
  </si>
  <si>
    <t>Xinmin</t>
  </si>
  <si>
    <t>Xinpu</t>
  </si>
  <si>
    <t>Xinqing</t>
  </si>
  <si>
    <t>Xinshi</t>
  </si>
  <si>
    <t>XINTAI</t>
  </si>
  <si>
    <t>Xintai</t>
  </si>
  <si>
    <t>Xinyang</t>
  </si>
  <si>
    <t>Xinyi</t>
  </si>
  <si>
    <t>Xinyu</t>
  </si>
  <si>
    <t>Xinzhi</t>
  </si>
  <si>
    <t>Xinzhou</t>
  </si>
  <si>
    <t>Xiongzhou</t>
  </si>
  <si>
    <t>Xishan</t>
  </si>
  <si>
    <t>Xiulina</t>
  </si>
  <si>
    <t>Xiulin</t>
  </si>
  <si>
    <t>Xiuyan</t>
  </si>
  <si>
    <t>XiUyying</t>
  </si>
  <si>
    <t>Xiuying</t>
  </si>
  <si>
    <t>XIXIANG</t>
  </si>
  <si>
    <t>Xixiang</t>
  </si>
  <si>
    <t>Xuanzhou</t>
  </si>
  <si>
    <t>Xucheng</t>
  </si>
  <si>
    <t>Xunchang</t>
  </si>
  <si>
    <t>Yakeshi</t>
  </si>
  <si>
    <t>Yancheng</t>
  </si>
  <si>
    <t>Yangchun</t>
  </si>
  <si>
    <t>Yangcun</t>
  </si>
  <si>
    <t>Yanggu</t>
  </si>
  <si>
    <t>Yangjiang</t>
  </si>
  <si>
    <t>Yangliuqing</t>
  </si>
  <si>
    <t>Yangquan</t>
  </si>
  <si>
    <t>Yangshuo</t>
  </si>
  <si>
    <t>Yangzhou</t>
  </si>
  <si>
    <t>Yanji</t>
  </si>
  <si>
    <t>Yanjiang</t>
  </si>
  <si>
    <t>Yanliang</t>
  </si>
  <si>
    <t>Yanta</t>
  </si>
  <si>
    <t>Yantai</t>
  </si>
  <si>
    <t>Yantongshan</t>
  </si>
  <si>
    <t>Yanzhou</t>
  </si>
  <si>
    <t>Yashan</t>
  </si>
  <si>
    <t>Yatou</t>
  </si>
  <si>
    <t>Yebaishou</t>
  </si>
  <si>
    <t>Yibin</t>
  </si>
  <si>
    <t>Yichang</t>
  </si>
  <si>
    <t>Yicheng</t>
  </si>
  <si>
    <t>Yichun</t>
  </si>
  <si>
    <t>Yigou</t>
  </si>
  <si>
    <t>Yilan</t>
  </si>
  <si>
    <t>Yima</t>
  </si>
  <si>
    <t>Yinchuan</t>
  </si>
  <si>
    <t>Yingbazha</t>
  </si>
  <si>
    <t>Yingchuan</t>
  </si>
  <si>
    <t>Yingkou</t>
  </si>
  <si>
    <t>Yingshang Chengguanzhen</t>
  </si>
  <si>
    <t>Yinzhu</t>
  </si>
  <si>
    <t>Yishui</t>
  </si>
  <si>
    <t>Yiwu</t>
  </si>
  <si>
    <t>Yiyang</t>
  </si>
  <si>
    <t>Yongchuan</t>
  </si>
  <si>
    <t>Yongfeng</t>
  </si>
  <si>
    <t>Youhao</t>
  </si>
  <si>
    <t>Yuanping</t>
  </si>
  <si>
    <t>Yucheng</t>
  </si>
  <si>
    <t>YUCI</t>
  </si>
  <si>
    <t>Yuci</t>
  </si>
  <si>
    <t>Yudong</t>
  </si>
  <si>
    <t>Yueyang</t>
  </si>
  <si>
    <t>Yulin</t>
  </si>
  <si>
    <t>Yuncheng</t>
  </si>
  <si>
    <t>Yunfu</t>
  </si>
  <si>
    <t>Yunmeng Chengguanzhen</t>
  </si>
  <si>
    <t>Yunyang</t>
  </si>
  <si>
    <t>Yushu</t>
  </si>
  <si>
    <t>Yutan</t>
  </si>
  <si>
    <t>Yuxi</t>
  </si>
  <si>
    <t>Yuxia</t>
  </si>
  <si>
    <t>Yuyao</t>
  </si>
  <si>
    <t>Zalantun</t>
  </si>
  <si>
    <t>Zaoyang</t>
  </si>
  <si>
    <t>Zaozhuang</t>
  </si>
  <si>
    <t>Zhangjiagang</t>
  </si>
  <si>
    <t>Zhangjiajie</t>
  </si>
  <si>
    <t>Zhangjiakou</t>
  </si>
  <si>
    <t>Zhangjiakou Shi Xuanhua Qu</t>
  </si>
  <si>
    <t>Zhangye</t>
  </si>
  <si>
    <t>Zhangzhou</t>
  </si>
  <si>
    <t>Zhanjiang</t>
  </si>
  <si>
    <t>Zhaobaoshan</t>
  </si>
  <si>
    <t>Zhaodong</t>
  </si>
  <si>
    <t>Zhaogezhuang</t>
  </si>
  <si>
    <t>Zhaoqing</t>
  </si>
  <si>
    <t>Zhaotong</t>
  </si>
  <si>
    <t>Zhaoyuan</t>
  </si>
  <si>
    <t>Zhaozhou</t>
  </si>
  <si>
    <t>Zhengjiatun</t>
  </si>
  <si>
    <t>Zhengzhou</t>
  </si>
  <si>
    <t>Zhenjiang</t>
  </si>
  <si>
    <t>Zhenlai</t>
  </si>
  <si>
    <t>Zhenzhou</t>
  </si>
  <si>
    <t>Zhicheng</t>
  </si>
  <si>
    <t>Zhijiang</t>
  </si>
  <si>
    <t>Zhongshan</t>
  </si>
  <si>
    <t>Zhongshu</t>
  </si>
  <si>
    <t>Zhongxiang</t>
  </si>
  <si>
    <t>Zhongxing</t>
  </si>
  <si>
    <t>Zhoucheng</t>
  </si>
  <si>
    <t>Zhoucun</t>
  </si>
  <si>
    <t>Zhoukou</t>
  </si>
  <si>
    <t>Zhoushan</t>
  </si>
  <si>
    <t>Zhouzhuang</t>
  </si>
  <si>
    <t>Zhu Cheng City</t>
  </si>
  <si>
    <t>Zhuanghe</t>
  </si>
  <si>
    <t>Zhuangyuan</t>
  </si>
  <si>
    <t>Zhuhai</t>
  </si>
  <si>
    <t>Zhuji</t>
  </si>
  <si>
    <t>Zhujiajiao</t>
  </si>
  <si>
    <t>Zhumadian</t>
  </si>
  <si>
    <t>Zhuzhou</t>
  </si>
  <si>
    <t>Zibo</t>
  </si>
  <si>
    <t>Zigong</t>
  </si>
  <si>
    <t>Zijinglu</t>
  </si>
  <si>
    <t>Zoucheng</t>
  </si>
  <si>
    <t>Zunyi</t>
  </si>
  <si>
    <t>Fish Fish Cove</t>
  </si>
  <si>
    <t>Flying Fish Cove</t>
  </si>
  <si>
    <t>Christmas Island</t>
  </si>
  <si>
    <t>Ilha Oeste</t>
  </si>
  <si>
    <t>West Island</t>
  </si>
  <si>
    <t>Cocos Islands</t>
  </si>
  <si>
    <t>Acacãas</t>
  </si>
  <si>
    <t>AcacÃ­as</t>
  </si>
  <si>
    <t>Colombia</t>
  </si>
  <si>
    <t>Meta</t>
  </si>
  <si>
    <t>Aguachica</t>
  </si>
  <si>
    <t>Cesar</t>
  </si>
  <si>
    <t>Aguadas</t>
  </si>
  <si>
    <t>Caldas</t>
  </si>
  <si>
    <t>Aguazul</t>
  </si>
  <si>
    <t>Casanare</t>
  </si>
  <si>
    <t>Agustãn codazzi</t>
  </si>
  <si>
    <t>AgustÃ­n Codazzi</t>
  </si>
  <si>
    <t>Andalucãa</t>
  </si>
  <si>
    <t>AndalucÃ­a</t>
  </si>
  <si>
    <t>Valle del Cauca</t>
  </si>
  <si>
    <t>Andes</t>
  </si>
  <si>
    <t>Antioquia</t>
  </si>
  <si>
    <t>Anserma</t>
  </si>
  <si>
    <t>Risaralda</t>
  </si>
  <si>
    <t>Aparadã</t>
  </si>
  <si>
    <t>ApartadÃ³</t>
  </si>
  <si>
    <t>Aracataca</t>
  </si>
  <si>
    <t>Magdalena</t>
  </si>
  <si>
    <t>Arauca</t>
  </si>
  <si>
    <t>Ariguanã</t>
  </si>
  <si>
    <t>AriguanÃ­</t>
  </si>
  <si>
    <t>Arjona</t>
  </si>
  <si>
    <t>BolÃ­var</t>
  </si>
  <si>
    <t>Armênia</t>
  </si>
  <si>
    <t>QuindÃ­o</t>
  </si>
  <si>
    <t>Ayapel</t>
  </si>
  <si>
    <t>Baranoa</t>
  </si>
  <si>
    <t>AtlÃ¡ntico</t>
  </si>
  <si>
    <t>Barbosa</t>
  </si>
  <si>
    <t>Santander</t>
  </si>
  <si>
    <t>Barrancabermeja</t>
  </si>
  <si>
    <t>Barrancas</t>
  </si>
  <si>
    <t>La Guajira</t>
  </si>
  <si>
    <t>Barranquilla</t>
  </si>
  <si>
    <t>Belé n de Umbãa</t>
  </si>
  <si>
    <t>BelÃ©n de UmbrÃ­a</t>
  </si>
  <si>
    <t>Belalcazar</t>
  </si>
  <si>
    <t>Cauca</t>
  </si>
  <si>
    <t>Bello</t>
  </si>
  <si>
    <t>Bogot.</t>
  </si>
  <si>
    <t>BogotÃ¡</t>
  </si>
  <si>
    <t>Bogota D.C.</t>
  </si>
  <si>
    <t>Bucaramanga</t>
  </si>
  <si>
    <t>Buenaventura</t>
  </si>
  <si>
    <t>Bua</t>
  </si>
  <si>
    <t>Buga</t>
  </si>
  <si>
    <t>Caicedonia</t>
  </si>
  <si>
    <t>Cajic.</t>
  </si>
  <si>
    <t>CajicÃ¡</t>
  </si>
  <si>
    <t>Cundinamarca</t>
  </si>
  <si>
    <t>Calarcá</t>
  </si>
  <si>
    <t>CalarcÃ¡</t>
  </si>
  <si>
    <t>Cali</t>
  </si>
  <si>
    <t>Campo de la Cruz</t>
  </si>
  <si>
    <t>Campoalegre</t>
  </si>
  <si>
    <t>Huila</t>
  </si>
  <si>
    <t>Candelaria</t>
  </si>
  <si>
    <t>CüCuta</t>
  </si>
  <si>
    <t>CÃºcuta</t>
  </si>
  <si>
    <t>Norte de Santander</t>
  </si>
  <si>
    <t>CAREPA</t>
  </si>
  <si>
    <t>Carepa</t>
  </si>
  <si>
    <t>Carmen de Viboral</t>
  </si>
  <si>
    <t>Cartago</t>
  </si>
  <si>
    <t>CAUCASIA</t>
  </si>
  <si>
    <t>Caucasia</t>
  </si>
  <si>
    <t>CERETA ©</t>
  </si>
  <si>
    <t>CeretÃ©</t>
  </si>
  <si>
    <t>Chãa</t>
  </si>
  <si>
    <t>ChÃ­a</t>
  </si>
  <si>
    <t>Chaparral</t>
  </si>
  <si>
    <t>Tolima</t>
  </si>
  <si>
    <t>Chigorodã</t>
  </si>
  <si>
    <t>ChigorodÃ³</t>
  </si>
  <si>
    <t>Chimichaga</t>
  </si>
  <si>
    <t>Chimichagua</t>
  </si>
  <si>
    <t>Chin__º</t>
  </si>
  <si>
    <t>ChinÃº</t>
  </si>
  <si>
    <t>Chinchin.</t>
  </si>
  <si>
    <t>ChinchinÃ¡</t>
  </si>
  <si>
    <t>Chiquinquirá</t>
  </si>
  <si>
    <t>ChiquinquirÃ¡</t>
  </si>
  <si>
    <t>BoyacÃ¡</t>
  </si>
  <si>
    <t>Chiriguaná</t>
  </si>
  <si>
    <t>ChiriguanÃ¡</t>
  </si>
  <si>
    <t>CI © NAGA</t>
  </si>
  <si>
    <t>CiÃ©naga</t>
  </si>
  <si>
    <t>CI © NAGA DE ORO</t>
  </si>
  <si>
    <t>CiÃ©naga de Oro</t>
  </si>
  <si>
    <t>Circasia</t>
  </si>
  <si>
    <t>Ciudad Bolãvar</t>
  </si>
  <si>
    <t>Ciudad BolÃ­var</t>
  </si>
  <si>
    <t>Corozal</t>
  </si>
  <si>
    <t>Curumanã</t>
  </si>
  <si>
    <t>CurumanÃ­</t>
  </si>
  <si>
    <t>Dos Quebradas</t>
  </si>
  <si>
    <t>Duitama</t>
  </si>
  <si>
    <t>El Bagre</t>
  </si>
  <si>
    <t>El Banco</t>
  </si>
  <si>
    <t>El Carmen de Bolãvar</t>
  </si>
  <si>
    <t>El Carmen de BolÃ­var</t>
  </si>
  <si>
    <t>El Cerrito</t>
  </si>
  <si>
    <t>El Charco</t>
  </si>
  <si>
    <t>NariÃ±o</t>
  </si>
  <si>
    <t>El Copey</t>
  </si>
  <si>
    <t>El retá n © n</t>
  </si>
  <si>
    <t>El RetÃ©n</t>
  </si>
  <si>
    <t>Envigado</t>
  </si>
  <si>
    <t>Espinal</t>
  </si>
  <si>
    <t>Facatativá</t>
  </si>
  <si>
    <t>FacatativÃ¡</t>
  </si>
  <si>
    <t>Falhas</t>
  </si>
  <si>
    <t>Flandes</t>
  </si>
  <si>
    <t>FLORENCIA</t>
  </si>
  <si>
    <t>Florencia</t>
  </si>
  <si>
    <t>CaquetÃ¡</t>
  </si>
  <si>
    <t>Flórida</t>
  </si>
  <si>
    <t>Florida</t>
  </si>
  <si>
    <t>Floridablanca</t>
  </si>
  <si>
    <t>Fonseca</t>
  </si>
  <si>
    <t>Fresno</t>
  </si>
  <si>
    <t>Fundaciãn</t>
  </si>
  <si>
    <t>FundaciÃ³n</t>
  </si>
  <si>
    <t>FUNZA</t>
  </si>
  <si>
    <t>Funza</t>
  </si>
  <si>
    <t>Fusagasuga</t>
  </si>
  <si>
    <t>Galapa</t>
  </si>
  <si>
    <t>Garzãn</t>
  </si>
  <si>
    <t>GarzÃ³n</t>
  </si>
  <si>
    <t>Girã</t>
  </si>
  <si>
    <t>GirÃ³n</t>
  </si>
  <si>
    <t>Cidade de Girardot</t>
  </si>
  <si>
    <t>Girardot City</t>
  </si>
  <si>
    <t>Granada</t>
  </si>
  <si>
    <t>Guacarã</t>
  </si>
  <si>
    <t>GuacarÃ­</t>
  </si>
  <si>
    <t>Honda</t>
  </si>
  <si>
    <t>Ibagué</t>
  </si>
  <si>
    <t>IbaguÃ©</t>
  </si>
  <si>
    <t>Ipiales</t>
  </si>
  <si>
    <t>Itagün</t>
  </si>
  <si>
    <t>ItagÃ¼Ã­</t>
  </si>
  <si>
    <t>Jamundã</t>
  </si>
  <si>
    <t>JamundÃ­</t>
  </si>
  <si>
    <t>La Ceja</t>
  </si>
  <si>
    <t>La Dorada</t>
  </si>
  <si>
    <t>La Estrella</t>
  </si>
  <si>
    <t>La Jagua de Ibirico</t>
  </si>
  <si>
    <t>La Mesa</t>
  </si>
  <si>
    <t>La Tebaida</t>
  </si>
  <si>
    <t>La Virginia</t>
  </si>
  <si>
    <t>Lé Rida</t>
  </si>
  <si>
    <t>LÃ©rida</t>
  </si>
  <si>
    <t>Lãbano</t>
  </si>
  <si>
    <t>LÃ­bano</t>
  </si>
  <si>
    <t>Leticia</t>
  </si>
  <si>
    <t>Lorica</t>
  </si>
  <si>
    <t>Pátios de Los</t>
  </si>
  <si>
    <t>Los Patios</t>
  </si>
  <si>
    <t>Málaga</t>
  </si>
  <si>
    <t>MÃ¡laga</t>
  </si>
  <si>
    <t>Madri</t>
  </si>
  <si>
    <t>Madrid</t>
  </si>
  <si>
    <t>Magangu ©</t>
  </si>
  <si>
    <t>MaganguÃ©</t>
  </si>
  <si>
    <t>Maicao</t>
  </si>
  <si>
    <t>Malambo</t>
  </si>
  <si>
    <t>Manizales</t>
  </si>
  <si>
    <t>Manzanares</t>
  </si>
  <si>
    <t>Marãa La Baja</t>
  </si>
  <si>
    <t>MarÃ­a la Baja</t>
  </si>
  <si>
    <t>Marinilla</t>
  </si>
  <si>
    <t>Mariquita</t>
  </si>
  <si>
    <t>Medellãn</t>
  </si>
  <si>
    <t>MedellÃ­n</t>
  </si>
  <si>
    <t>Melgar</t>
  </si>
  <si>
    <t>MOCOA</t>
  </si>
  <si>
    <t>Mocoa</t>
  </si>
  <si>
    <t>Putumayo</t>
  </si>
  <si>
    <t>Mompãs</t>
  </si>
  <si>
    <t>MompÃ³s</t>
  </si>
  <si>
    <t>Montelãbano</t>
  </si>
  <si>
    <t>MontelÃ­bano</t>
  </si>
  <si>
    <t>Monterãa</t>
  </si>
  <si>
    <t>MonterÃ­a</t>
  </si>
  <si>
    <t>Morales</t>
  </si>
  <si>
    <t>Mosquera</t>
  </si>
  <si>
    <t>Municipio de Copacabana</t>
  </si>
  <si>
    <t>Neiva</t>
  </si>
  <si>
    <t>Oca ± a</t>
  </si>
  <si>
    <t>OcaÃ±a</t>
  </si>
  <si>
    <t>Pacho</t>
  </si>
  <si>
    <t>Palmar de Varela</t>
  </si>
  <si>
    <t>Palmira</t>
  </si>
  <si>
    <t>Pamplona</t>
  </si>
  <si>
    <t>Pasto</t>
  </si>
  <si>
    <t>Patãa</t>
  </si>
  <si>
    <t>PatÃ­a</t>
  </si>
  <si>
    <t>Pereira</t>
  </si>
  <si>
    <t>Piedecuesta</t>
  </si>
  <si>
    <t>Pitalito</t>
  </si>
  <si>
    <t>Pivijay</t>
  </si>
  <si>
    <t>Planeta Rica</t>
  </si>
  <si>
    <t>Platão</t>
  </si>
  <si>
    <t>Plato</t>
  </si>
  <si>
    <t>PoPayá</t>
  </si>
  <si>
    <t>PopayÃ¡n</t>
  </si>
  <si>
    <t>Pradera</t>
  </si>
  <si>
    <t>Puerto ASA</t>
  </si>
  <si>
    <t>Puerto AsÃ­s</t>
  </si>
  <si>
    <t>Puerto Berrão</t>
  </si>
  <si>
    <t>Puerto BerrÃ­o</t>
  </si>
  <si>
    <t>Puerto Boyacã</t>
  </si>
  <si>
    <t>Puerto BoyacÃ¡</t>
  </si>
  <si>
    <t>Porto Colômbia</t>
  </si>
  <si>
    <t>Puerto Colombia</t>
  </si>
  <si>
    <t>Puerto Lãpez</t>
  </si>
  <si>
    <t>Puerto LÃ³pez</t>
  </si>
  <si>
    <t>Porto Santander</t>
  </si>
  <si>
    <t>Puerto Santander</t>
  </si>
  <si>
    <t>Puerto Tejada</t>
  </si>
  <si>
    <t>Quibdã</t>
  </si>
  <si>
    <t>QuibdÃ³</t>
  </si>
  <si>
    <t>ChocÃ³</t>
  </si>
  <si>
    <t>Quimbaya</t>
  </si>
  <si>
    <t>Rãohacha</t>
  </si>
  <si>
    <t>RÃ­ohacha</t>
  </si>
  <si>
    <t>Repelão</t>
  </si>
  <si>
    <t>RepelÃ³n</t>
  </si>
  <si>
    <t>Rionegro</t>
  </si>
  <si>
    <t>Riosucio</t>
  </si>
  <si>
    <t>Roldanillo</t>
  </si>
  <si>
    <t>Sabanagrande</t>
  </si>
  <si>
    <t>Sabanalarga</t>
  </si>
  <si>
    <t>Sabaneta</t>
  </si>
  <si>
    <t>Sahagãon</t>
  </si>
  <si>
    <t>SahagÃºn</t>
  </si>
  <si>
    <t>Salamina</t>
  </si>
  <si>
    <t>Sampué</t>
  </si>
  <si>
    <t>SampuÃ©s</t>
  </si>
  <si>
    <t>San André</t>
  </si>
  <si>
    <t>San AndrÃ©s</t>
  </si>
  <si>
    <t>ArchipiÃ©lago de San AndrÃ©s, Providencia y Santa Catalina</t>
  </si>
  <si>
    <t>San Benito Abad</t>
  </si>
  <si>
    <t>San Gil</t>
  </si>
  <si>
    <t>San Jacinto</t>
  </si>
  <si>
    <t>San José Del Guaviare</t>
  </si>
  <si>
    <t>San JosÃ© del Guaviare</t>
  </si>
  <si>
    <t>Guaviare</t>
  </si>
  <si>
    <t>San Juan del Cesar</t>
  </si>
  <si>
    <t>San Juan Nepomuceno</t>
  </si>
  <si>
    <t>San Marcos</t>
  </si>
  <si>
    <t>San Onofre</t>
  </si>
  <si>
    <t>Santa Marta</t>
  </si>
  <si>
    <t>Santa Rosa de Cabal</t>
  </si>
  <si>
    <t>Santander de Quilichao</t>
  </si>
  <si>
    <t>Santo tomá</t>
  </si>
  <si>
    <t>Santo TomÃ¡s</t>
  </si>
  <si>
    <t>Santuario</t>
  </si>
  <si>
    <t>Segovia</t>
  </si>
  <si>
    <t>Sevilha</t>
  </si>
  <si>
    <t>Sevilla</t>
  </si>
  <si>
    <t>Sibaté</t>
  </si>
  <si>
    <t>SibatÃ©</t>
  </si>
  <si>
    <t>Sincé</t>
  </si>
  <si>
    <t>SincÃ©</t>
  </si>
  <si>
    <t>Sincelejo</t>
  </si>
  <si>
    <t>Sobacha</t>
  </si>
  <si>
    <t>Soacha</t>
  </si>
  <si>
    <t>Sogamoso</t>
  </si>
  <si>
    <t>Soledad</t>
  </si>
  <si>
    <t>Sonsãn</t>
  </si>
  <si>
    <t>SonsÃ³n</t>
  </si>
  <si>
    <t>Domar</t>
  </si>
  <si>
    <t>Tame</t>
  </si>
  <si>
    <t>T ° OQUERRES</t>
  </si>
  <si>
    <t>TÃºquerres</t>
  </si>
  <si>
    <t>Tierralta</t>
  </si>
  <si>
    <t>Tol ole</t>
  </si>
  <si>
    <t>TolÃº</t>
  </si>
  <si>
    <t>Tulu.</t>
  </si>
  <si>
    <t>TuluÃ¡</t>
  </si>
  <si>
    <t>Tumaco</t>
  </si>
  <si>
    <t>Tunja</t>
  </si>
  <si>
    <t>Turbaco</t>
  </si>
  <si>
    <t>Turbo</t>
  </si>
  <si>
    <t>Ubaté</t>
  </si>
  <si>
    <t>UbatÃ©</t>
  </si>
  <si>
    <t>Urrao</t>
  </si>
  <si>
    <t>ValleDupar</t>
  </si>
  <si>
    <t>Valledupar</t>
  </si>
  <si>
    <t>Villa del Rosario</t>
  </si>
  <si>
    <t>Villamarãa</t>
  </si>
  <si>
    <t>VillamarÃ­a</t>
  </si>
  <si>
    <t>Villanueva</t>
  </si>
  <si>
    <t>Villavicencio</t>
  </si>
  <si>
    <t>Villeta</t>
  </si>
  <si>
    <t>Viterbo</t>
  </si>
  <si>
    <t>Yarumal</t>
  </si>
  <si>
    <t>Yopal</t>
  </si>
  <si>
    <t>Yumbo</t>
  </si>
  <si>
    <t>Zaragoza</t>
  </si>
  <si>
    <t>Zarzal</t>
  </si>
  <si>
    <t>Zipaquirá</t>
  </si>
  <si>
    <t>ZipaquirÃ¡</t>
  </si>
  <si>
    <t>Moroni</t>
  </si>
  <si>
    <t>Comoros</t>
  </si>
  <si>
    <t>Grande Comore</t>
  </si>
  <si>
    <t>Moutsamoudou</t>
  </si>
  <si>
    <t>Anjouan</t>
  </si>
  <si>
    <t>Avarua</t>
  </si>
  <si>
    <t>Cook Islands</t>
  </si>
  <si>
    <t>ALAJUELA</t>
  </si>
  <si>
    <t>Alajuela</t>
  </si>
  <si>
    <t>Costa Rica</t>
  </si>
  <si>
    <t>Aserrã</t>
  </si>
  <si>
    <t>AserrÃ­</t>
  </si>
  <si>
    <t>San JosÃ©</t>
  </si>
  <si>
    <t>Ca ± como</t>
  </si>
  <si>
    <t>CaÃ±as</t>
  </si>
  <si>
    <t>Guanacaste</t>
  </si>
  <si>
    <t>Calle Blancos</t>
  </si>
  <si>
    <t>Chacarita</t>
  </si>
  <si>
    <t>Puntarenas</t>
  </si>
  <si>
    <t>COLIMA</t>
  </si>
  <si>
    <t>Colima</t>
  </si>
  <si>
    <t>Curridabat</t>
  </si>
  <si>
    <t>Esparza</t>
  </si>
  <si>
    <t>Guên</t>
  </si>
  <si>
    <t>GuÃ¡piles</t>
  </si>
  <si>
    <t>LimÃ³n</t>
  </si>
  <si>
    <t>Guadalupe</t>
  </si>
  <si>
    <t>Heredia</t>
  </si>
  <si>
    <t>Ipãs</t>
  </si>
  <si>
    <t>IpÃ­s</t>
  </si>
  <si>
    <t>Libéria</t>
  </si>
  <si>
    <t>Liberia</t>
  </si>
  <si>
    <t>Limãn</t>
  </si>
  <si>
    <t>Nicoya</t>
  </si>
  <si>
    <t>Paraãso</t>
  </si>
  <si>
    <t>ParaÃ­so</t>
  </si>
  <si>
    <t>Patarr.</t>
  </si>
  <si>
    <t>PatarrÃ¡</t>
  </si>
  <si>
    <t>Purral</t>
  </si>
  <si>
    <t>Quesada</t>
  </si>
  <si>
    <t>San Diego</t>
  </si>
  <si>
    <t>San José</t>
  </si>
  <si>
    <t>San Juan de Dios</t>
  </si>
  <si>
    <t>São Miguel</t>
  </si>
  <si>
    <t>San Miguel</t>
  </si>
  <si>
    <t>San Pablo</t>
  </si>
  <si>
    <t>San Rafael Abajo</t>
  </si>
  <si>
    <t>San Rafael Arriba</t>
  </si>
  <si>
    <t>San Vicente de Moravia</t>
  </si>
  <si>
    <t>SiquiRres</t>
  </si>
  <si>
    <t>Siquirres</t>
  </si>
  <si>
    <t>Tejar</t>
  </si>
  <si>
    <t>Turrialba</t>
  </si>
  <si>
    <t>Å Ibenik</t>
  </si>
  <si>
    <t>Å ibenik</t>
  </si>
  <si>
    <t>Croatia</t>
  </si>
  <si>
    <t>Å ibensko-Kniniska</t>
  </si>
  <si>
    <t>Äœakovec</t>
  </si>
  <si>
    <t>ÄŒakovec</t>
  </si>
  <si>
    <t>MeÄ‘imurska</t>
  </si>
  <si>
    <t>Bjelovar</t>
  </si>
  <si>
    <t>Bjelovarsko-Bilogorska</t>
  </si>
  <si>
    <t>Dubrovnik</t>
  </si>
  <si>
    <t>DubrovaÄko-Neretvanska</t>
  </si>
  <si>
    <t>Karlovac</t>
  </si>
  <si>
    <t>KarlovaÄka</t>
  </si>
  <si>
    <t>Koprivnica</t>
  </si>
  <si>
    <t>KoprivniÄko-KriÅ¾evaÄka</t>
  </si>
  <si>
    <t>Osijek</t>
  </si>
  <si>
    <t>OsjeÄko-Baranjska</t>
  </si>
  <si>
    <t>Poå Gura</t>
  </si>
  <si>
    <t>PoÅ¾ega</t>
  </si>
  <si>
    <t>PoÅ¾eÅ¡ko-Slavonska</t>
  </si>
  <si>
    <t>Pula</t>
  </si>
  <si>
    <t>Istarska</t>
  </si>
  <si>
    <t>Rijeka</t>
  </si>
  <si>
    <t>Primorsko-Goranska</t>
  </si>
  <si>
    <t>Samobor</t>
  </si>
  <si>
    <t>ZagrebaÄka</t>
  </si>
  <si>
    <t>Sesvete</t>
  </si>
  <si>
    <t>Grad Zagreb</t>
  </si>
  <si>
    <t>Sisak</t>
  </si>
  <si>
    <t>SisaÄko-MoslavaÄka</t>
  </si>
  <si>
    <t>Slavonski Brod</t>
  </si>
  <si>
    <t>Brodsko-Posavska</t>
  </si>
  <si>
    <t>Solin</t>
  </si>
  <si>
    <t>Splitsko-Dalmatinska</t>
  </si>
  <si>
    <t>Dividir</t>
  </si>
  <si>
    <t>Split</t>
  </si>
  <si>
    <t>Vara Undin</t>
  </si>
  <si>
    <t>VaraÅ¾din</t>
  </si>
  <si>
    <t>VaraÅ¾dinska</t>
  </si>
  <si>
    <t>Velika Gorica</t>
  </si>
  <si>
    <t>Vinkovci</t>
  </si>
  <si>
    <t>Vukovarsko-Srijemska</t>
  </si>
  <si>
    <t>Virovitica</t>
  </si>
  <si>
    <t>VirovitiÄk-Podravska</t>
  </si>
  <si>
    <t>Vukovar</t>
  </si>
  <si>
    <t>Zadar</t>
  </si>
  <si>
    <t>Zadarska</t>
  </si>
  <si>
    <t>Zagreb</t>
  </si>
  <si>
    <t>Zagreb - Cente</t>
  </si>
  <si>
    <t>Zagreb - Centar</t>
  </si>
  <si>
    <t>Zagreb-Stenjevec</t>
  </si>
  <si>
    <t>Zagreb- Stenjevec</t>
  </si>
  <si>
    <t>Zapreå¡iä ‡</t>
  </si>
  <si>
    <t>ZapreÅ¡iÄ‡</t>
  </si>
  <si>
    <t>Abreus</t>
  </si>
  <si>
    <t>Cuba</t>
  </si>
  <si>
    <t>Cienfuegos</t>
  </si>
  <si>
    <t>Aguada de Pasajeros</t>
  </si>
  <si>
    <t>Alamar</t>
  </si>
  <si>
    <t>La Habana</t>
  </si>
  <si>
    <t>Alquãzar</t>
  </si>
  <si>
    <t>AlquÃ­zar</t>
  </si>
  <si>
    <t>Artemisa</t>
  </si>
  <si>
    <t>Amancio</t>
  </si>
  <si>
    <t>Las Tunas</t>
  </si>
  <si>
    <t>Arroyo Naranjo</t>
  </si>
  <si>
    <t>Bãguanos</t>
  </si>
  <si>
    <t>BÃ¡guanos</t>
  </si>
  <si>
    <t>HolguÃ­n</t>
  </si>
  <si>
    <t>Bahãa Honda</t>
  </si>
  <si>
    <t>BahÃ­a Honda</t>
  </si>
  <si>
    <t>Banes</t>
  </si>
  <si>
    <t>Baracoa</t>
  </si>
  <si>
    <t>GuantÃ¡namo</t>
  </si>
  <si>
    <t>Baragu érfico</t>
  </si>
  <si>
    <t>BaraguÃ¡</t>
  </si>
  <si>
    <t>Ciego de Ãvila</t>
  </si>
  <si>
    <t>Bartolomé © Masã</t>
  </si>
  <si>
    <t>BartolomÃ© MasÃ³</t>
  </si>
  <si>
    <t>Granma</t>
  </si>
  <si>
    <t>Bauta</t>
  </si>
  <si>
    <t>Bayamo</t>
  </si>
  <si>
    <t>Bejucal</t>
  </si>
  <si>
    <t>Mayabeque</t>
  </si>
  <si>
    <t>Boyeros</t>
  </si>
  <si>
    <t>Cão</t>
  </si>
  <si>
    <t>CÃ¡rdenas</t>
  </si>
  <si>
    <t>Matanzas</t>
  </si>
  <si>
    <t>Cabaiguí</t>
  </si>
  <si>
    <t>CabaiguÃ¡n</t>
  </si>
  <si>
    <t>Sancti SpÃ­ritus</t>
  </si>
  <si>
    <t>Cacocum</t>
  </si>
  <si>
    <t>CAIBARIO © n</t>
  </si>
  <si>
    <t>CaibariÃ©n</t>
  </si>
  <si>
    <t>Villa Clara</t>
  </si>
  <si>
    <t>Calimete</t>
  </si>
  <si>
    <t>Camagãey</t>
  </si>
  <si>
    <t>CamagÃ¼ey</t>
  </si>
  <si>
    <t>Camajuanã</t>
  </si>
  <si>
    <t>CamajuanÃ­</t>
  </si>
  <si>
    <t>CAMPECHUELA</t>
  </si>
  <si>
    <t>Campechuela</t>
  </si>
  <si>
    <t>CAUTO CRISTO</t>
  </si>
  <si>
    <t>Cauto Cristo</t>
  </si>
  <si>
    <t>Centro Habana</t>
  </si>
  <si>
    <t>Cerro</t>
  </si>
  <si>
    <t>Chambas</t>
  </si>
  <si>
    <t>Ciego de ã Vila</t>
  </si>
  <si>
    <t>Cifuentes</t>
  </si>
  <si>
    <t>Ciro Redondo</t>
  </si>
  <si>
    <t>Colã</t>
  </si>
  <si>
    <t>ColÃ³n</t>
  </si>
  <si>
    <t>Colômbia</t>
  </si>
  <si>
    <t>Consolaciãn del Sur</t>
  </si>
  <si>
    <t>ConsolaciÃ³n del Sur</t>
  </si>
  <si>
    <t>Pinar del RÃ­o</t>
  </si>
  <si>
    <t>Contamastre</t>
  </si>
  <si>
    <t>Contramaestre</t>
  </si>
  <si>
    <t>Santiago de Cuba</t>
  </si>
  <si>
    <t>Corralillo</t>
  </si>
  <si>
    <t>Cruces</t>
  </si>
  <si>
    <t>Cueto</t>
  </si>
  <si>
    <t>Cumanayagua</t>
  </si>
  <si>
    <t>Diez de Octubre</t>
  </si>
  <si>
    <t>Encrucijada</t>
  </si>
  <si>
    <t>Esmeralda</t>
  </si>
  <si>
    <t>Fomento</t>
  </si>
  <si>
    <t>Gãines</t>
  </si>
  <si>
    <t>GÃ¼ines</t>
  </si>
  <si>
    <t>Gãira de Melena</t>
  </si>
  <si>
    <t>GÃ¼ira de Melena</t>
  </si>
  <si>
    <t>Gibara</t>
  </si>
  <si>
    <t>Guãimaro</t>
  </si>
  <si>
    <t>GuÃ¡imaro</t>
  </si>
  <si>
    <t>Guanabacoa</t>
  </si>
  <si>
    <t>Guanajay</t>
  </si>
  <si>
    <t>Guane</t>
  </si>
  <si>
    <t>Guantánamo</t>
  </si>
  <si>
    <t>Guisa</t>
  </si>
  <si>
    <t>Habana del Este</t>
  </si>
  <si>
    <t>Havana</t>
  </si>
  <si>
    <t>Holguãn</t>
  </si>
  <si>
    <t>Jagãey Grande</t>
  </si>
  <si>
    <t>JagÃ¼ey Grande</t>
  </si>
  <si>
    <t>Jaruco</t>
  </si>
  <si>
    <t>Jatibonico</t>
  </si>
  <si>
    <t>Jes ã © © © ndez</t>
  </si>
  <si>
    <t>JesÃºs MenÃ©ndez</t>
  </si>
  <si>
    <t>Jiguanã</t>
  </si>
  <si>
    <t>JiguanÃ­</t>
  </si>
  <si>
    <t>JiMaguayã</t>
  </si>
  <si>
    <t>JimaguayÃº</t>
  </si>
  <si>
    <t>Jobabo</t>
  </si>
  <si>
    <t>Jovellanos</t>
  </si>
  <si>
    <t>La Habana Vieja</t>
  </si>
  <si>
    <t>La salud</t>
  </si>
  <si>
    <t>La Salud</t>
  </si>
  <si>
    <t>La Sierpe</t>
  </si>
  <si>
    <t>Los Palacios</t>
  </si>
  <si>
    <t>Madruga</t>
  </si>
  <si>
    <t>Maisã</t>
  </si>
  <si>
    <t>MaisÃ­</t>
  </si>
  <si>
    <t>Manicaragua</t>
  </si>
  <si>
    <t>Manzanillo</t>
  </si>
  <si>
    <t>Mariel</t>
  </si>
  <si>
    <t>Mídia Luna</t>
  </si>
  <si>
    <t>Media Luna</t>
  </si>
  <si>
    <t>Minas</t>
  </si>
  <si>
    <t>Minas de Matahambre</t>
  </si>
  <si>
    <t>MOA</t>
  </si>
  <si>
    <t>Moa</t>
  </si>
  <si>
    <t>Niquero</t>
  </si>
  <si>
    <t>Nueva Gerona</t>
  </si>
  <si>
    <t>Isla de la Juventud</t>
  </si>
  <si>
    <t>Nuevitas</t>
  </si>
  <si>
    <t>Palma Soriano</t>
  </si>
  <si>
    <t>Pedro Betancourt</t>
  </si>
  <si>
    <t>Perico</t>
  </si>
  <si>
    <t>Pinar del Rão</t>
  </si>
  <si>
    <t>Placetas</t>
  </si>
  <si>
    <t>Primero de Enero</t>
  </si>
  <si>
    <t>Puerto Padre</t>
  </si>
  <si>
    <t>Ranchuelo</t>
  </si>
  <si>
    <t>Rão Cauto</t>
  </si>
  <si>
    <t>RÃ­o Cauto</t>
  </si>
  <si>
    <t>Rão Guayabal de Yateras</t>
  </si>
  <si>
    <t>RÃ­o Guayabal de Yateras</t>
  </si>
  <si>
    <t>Regla</t>
  </si>
  <si>
    <t>Remedios</t>
  </si>
  <si>
    <t>Rodas</t>
  </si>
  <si>
    <t>Sagua de Tãnamo</t>
  </si>
  <si>
    <t>Sagua de TÃ¡namo</t>
  </si>
  <si>
    <t>Sagua la Grande</t>
  </si>
  <si>
    <t>San Antonio de Los Baã OS</t>
  </si>
  <si>
    <t>San Antonio de los BaÃ±os</t>
  </si>
  <si>
    <t>San Cristobal</t>
  </si>
  <si>
    <t>San Germãn</t>
  </si>
  <si>
    <t>San GermÃ¡n</t>
  </si>
  <si>
    <t>San José de Las Lajas</t>
  </si>
  <si>
    <t>San JosÃ© de las Lajas</t>
  </si>
  <si>
    <t>San Miguel del Padrãn</t>
  </si>
  <si>
    <t>San Miguel del PadrÃ³n</t>
  </si>
  <si>
    <t>Santi spãritu</t>
  </si>
  <si>
    <t>Santa Clara</t>
  </si>
  <si>
    <t>Santa Cruz del Norte</t>
  </si>
  <si>
    <t>Santa Cruz del Sur</t>
  </si>
  <si>
    <t>Santiago de Las Vegas</t>
  </si>
  <si>
    <t>Santiago de las Vegas</t>
  </si>
  <si>
    <t>Santo Domingo</t>
  </si>
  <si>
    <t>Sibanicã</t>
  </si>
  <si>
    <t>SibanicÃº</t>
  </si>
  <si>
    <t>Uniã³n de reyes</t>
  </si>
  <si>
    <t>UniÃ³n de Reyes</t>
  </si>
  <si>
    <t>Varadero</t>
  </si>
  <si>
    <t>Venezuela</t>
  </si>
  <si>
    <t>Vertientes</t>
  </si>
  <si>
    <t>Vi ± ales</t>
  </si>
  <si>
    <t>ViÃ±ales</t>
  </si>
  <si>
    <t>Yaguajay</t>
  </si>
  <si>
    <t>Yara</t>
  </si>
  <si>
    <t>Willemstad</t>
  </si>
  <si>
    <t>Curacao</t>
  </si>
  <si>
    <t>Famagusta</t>
  </si>
  <si>
    <t>Cyprus</t>
  </si>
  <si>
    <t>Ammochostos</t>
  </si>
  <si>
    <t>Kyrenia</t>
  </si>
  <si>
    <t>Keryneia</t>
  </si>
  <si>
    <t>Larnaca</t>
  </si>
  <si>
    <t>Larnaka</t>
  </si>
  <si>
    <t>Limassol</t>
  </si>
  <si>
    <t>NICOSIA</t>
  </si>
  <si>
    <t>Nicosia</t>
  </si>
  <si>
    <t>Lefkosia</t>
  </si>
  <si>
    <t>Paphos</t>
  </si>
  <si>
    <t>Pafos</t>
  </si>
  <si>
    <t>Protaras</t>
  </si>
  <si>
    <t>Å Umberk</t>
  </si>
  <si>
    <t>Å umperk</t>
  </si>
  <si>
    <t>Czech Republic</t>
  </si>
  <si>
    <t>OlomouckÃ½</t>
  </si>
  <si>
    <t>Å½ä ãr nad sãzavou</t>
  </si>
  <si>
    <t>Å½ÄÃ¡r nad SÃ¡zavou</t>
  </si>
  <si>
    <t>VysoÄina</t>
  </si>
  <si>
    <t>Å½ä ãr nad sãzavou druhy</t>
  </si>
  <si>
    <t>Å½ÄÃ¡r nad SÃ¡zavou Druhy</t>
  </si>
  <si>
    <t>Å½ATec</t>
  </si>
  <si>
    <t>Å½atec</t>
  </si>
  <si>
    <t>ÃšsteckÃ½</t>
  </si>
  <si>
    <t>Mais</t>
  </si>
  <si>
    <t>ÄŒernÃ½ Most</t>
  </si>
  <si>
    <t>Praha</t>
  </si>
  <si>
    <t>Lãpa</t>
  </si>
  <si>
    <t>ÄŒeskÃ¡ LÃ­pa</t>
  </si>
  <si>
    <t>LibereckÃ½</t>
  </si>
  <si>
    <t>Äœeskã Tå ™ eBovã</t>
  </si>
  <si>
    <t>ÄŒeskÃ¡ TÅ™ebovÃ¡</t>
  </si>
  <si>
    <t>PardubickÃ½</t>
  </si>
  <si>
    <t>Äœeské budä ›jovice</t>
  </si>
  <si>
    <t>ÄŒeskÃ© BudÄ›jovice</t>
  </si>
  <si>
    <t>JihoÄeskÃ½</t>
  </si>
  <si>
    <t>Äœeskã grä ›Å¡ãn</t>
  </si>
  <si>
    <t>ÄŒeskÃ½ TÄ›Å¡Ã­n</t>
  </si>
  <si>
    <t>MoravskoslezskÃ½</t>
  </si>
  <si>
    <t>Labem de ãstã</t>
  </si>
  <si>
    <t>ÃšstÃ­ nad Labem</t>
  </si>
  <si>
    <t>Ãstã nad orlicã</t>
  </si>
  <si>
    <t>ÃšstÃ­ nad OrlicÃ­</t>
  </si>
  <si>
    <t>Bãlina</t>
  </si>
  <si>
    <t>BÃ­lina</t>
  </si>
  <si>
    <t>Bãlina Kyselka</t>
  </si>
  <si>
    <t>BÃ­lina Kyselka</t>
  </si>
  <si>
    <t>Bå ™ Eclav</t>
  </si>
  <si>
    <t>BÅ™eclav</t>
  </si>
  <si>
    <t>South Moravian</t>
  </si>
  <si>
    <t>Beneficiário</t>
  </si>
  <si>
    <t>BeneÅ¡ov</t>
  </si>
  <si>
    <t>Central Bohemia</t>
  </si>
  <si>
    <t>Beroun</t>
  </si>
  <si>
    <t>Blansko</t>
  </si>
  <si>
    <t>Bohumãn</t>
  </si>
  <si>
    <t>BohumÃ­n</t>
  </si>
  <si>
    <t>Branãk</t>
  </si>
  <si>
    <t>BranÃ­k</t>
  </si>
  <si>
    <t>Brandão Nad Labem-Stará</t>
  </si>
  <si>
    <t>BrandÃ½s nad Labem-StarÃ¡ Boleslav</t>
  </si>
  <si>
    <t>Brno</t>
  </si>
  <si>
    <t>Bruntá</t>
  </si>
  <si>
    <t>BruntÃ¡l</t>
  </si>
  <si>
    <t>Cheb</t>
  </si>
  <si>
    <t>KarlovarskÃ½</t>
  </si>
  <si>
    <t>Chomutov</t>
  </si>
  <si>
    <t>Chrudim</t>
  </si>
  <si>
    <t>Dä ›ä ãn</t>
  </si>
  <si>
    <t>DÄ›ÄÃ­n</t>
  </si>
  <si>
    <t>Dvå¯r kr -lové © nad labem</t>
  </si>
  <si>
    <t>DvÅ¯r KrÃ¡lovÃ© nad Labem</t>
  </si>
  <si>
    <t>KrÃ¡lovÃ©hradeckÃ½</t>
  </si>
  <si>
    <t>Frã½dek-Mãstek</t>
  </si>
  <si>
    <t>FrÃ½dek-MÃ­stek</t>
  </si>
  <si>
    <t>Havãå ™ ov</t>
  </si>
  <si>
    <t>HavÃ­Å™ov</t>
  </si>
  <si>
    <t>Havlãä kå¯v brod</t>
  </si>
  <si>
    <t>HavlÃ­ÄkÅ¯v Brod</t>
  </si>
  <si>
    <t>Hodonãn</t>
  </si>
  <si>
    <t>HodonÃ­n</t>
  </si>
  <si>
    <t>HRADEC KR ©</t>
  </si>
  <si>
    <t>Hradec KrÃ¡lovÃ©</t>
  </si>
  <si>
    <t>Hranice</t>
  </si>
  <si>
    <t>Jablonec nad nisou</t>
  </si>
  <si>
    <t>Jablonec nad Nisou</t>
  </si>
  <si>
    <t>Jiä ãn</t>
  </si>
  <si>
    <t>JiÄÃ­n</t>
  </si>
  <si>
    <t>Jihlava</t>
  </si>
  <si>
    <t>Jindå ™ ichå¯v hradec</t>
  </si>
  <si>
    <t>JindÅ™ichÅ¯v Hradec</t>
  </si>
  <si>
    <t>Jirkov</t>
  </si>
  <si>
    <t>Kadaåˆ</t>
  </si>
  <si>
    <t>KadaÅˆ</t>
  </si>
  <si>
    <t>Karlovy varia</t>
  </si>
  <si>
    <t>Karlovy Vary</t>
  </si>
  <si>
    <t>Karvin.</t>
  </si>
  <si>
    <t>KarvinÃ¡</t>
  </si>
  <si>
    <t>Klã¡å¡terec nad Ohå ™ ã</t>
  </si>
  <si>
    <t>KlÃ¡Å¡terec nad OhÅ™Ã­</t>
  </si>
  <si>
    <t>Kladno</t>
  </si>
  <si>
    <t>Klatovy</t>
  </si>
  <si>
    <t>PlzeÅˆskÃ½</t>
  </si>
  <si>
    <t>Kolãn</t>
  </si>
  <si>
    <t>KolÃ­n</t>
  </si>
  <si>
    <t>Kopå ™ ivnice</t>
  </si>
  <si>
    <t>KopÅ™ivnice</t>
  </si>
  <si>
    <t>Kralupy Nad Vltavou</t>
  </si>
  <si>
    <t>Kralupy nad Vltavou</t>
  </si>
  <si>
    <t>Krnov</t>
  </si>
  <si>
    <t>Kromä ›Å ™ Ês</t>
  </si>
  <si>
    <t>KromÄ›Å™Ã­Å¾</t>
  </si>
  <si>
    <t>ZlÃ­n</t>
  </si>
  <si>
    <t>Kutnã Hora</t>
  </si>
  <si>
    <t>KutnÃ¡ Hora</t>
  </si>
  <si>
    <t>Letåˆany</t>
  </si>
  <si>
    <t>LetÅˆany</t>
  </si>
  <si>
    <t>Libbeåˆ</t>
  </si>
  <si>
    <t>LibeÅˆ</t>
  </si>
  <si>
    <t>Liberec</t>
  </si>
  <si>
    <t>Litomä ›Å ™ Ice</t>
  </si>
  <si>
    <t>LitomÄ›Å™ice</t>
  </si>
  <si>
    <t>Litvãnov</t>
  </si>
  <si>
    <t>LitvÃ­nov</t>
  </si>
  <si>
    <t>Louny</t>
  </si>
  <si>
    <t>Mä ›Lnãk</t>
  </si>
  <si>
    <t>MÄ›lnÃ­k</t>
  </si>
  <si>
    <t>Mladá Boleslav</t>
  </si>
  <si>
    <t>MladÃ¡ Boleslav</t>
  </si>
  <si>
    <t>Modå ™ qualquer</t>
  </si>
  <si>
    <t>ModÅ™any</t>
  </si>
  <si>
    <t>Maioria</t>
  </si>
  <si>
    <t>Most</t>
  </si>
  <si>
    <t>N ãchod</t>
  </si>
  <si>
    <t>NÃ¡chod</t>
  </si>
  <si>
    <t>Neratovice</t>
  </si>
  <si>
    <t>Novã Jiä ãn</t>
  </si>
  <si>
    <t>NovÃ½ JiÄÃ­n</t>
  </si>
  <si>
    <t>Olomouc</t>
  </si>
  <si>
    <t>Opava</t>
  </si>
  <si>
    <t>Orlov.</t>
  </si>
  <si>
    <t>OrlovÃ¡</t>
  </si>
  <si>
    <t>Ostrava</t>
  </si>
  <si>
    <t>Ostrov</t>
  </si>
  <si>
    <t>OTROKOVICE</t>
  </si>
  <si>
    <t>Otrokovice</t>
  </si>
  <si>
    <t>Pardubice</t>
  </si>
  <si>
    <t>Pãsek</t>
  </si>
  <si>
    <t>PÃ­sek</t>
  </si>
  <si>
    <t>På ™ ãbram</t>
  </si>
  <si>
    <t>PÅ™Ã­bram</t>
  </si>
  <si>
    <t>På ™ Erov</t>
  </si>
  <si>
    <t>PÅ™erov</t>
  </si>
  <si>
    <t>Pelhå ™ IMOV</t>
  </si>
  <si>
    <t>PelhÅ™imov</t>
  </si>
  <si>
    <t>Pilsen</t>
  </si>
  <si>
    <t>Praga</t>
  </si>
  <si>
    <t>Prague</t>
  </si>
  <si>
    <t>Prosek</t>
  </si>
  <si>
    <t>PROSTä ›Jov</t>
  </si>
  <si>
    <t>ProstÄ›jov</t>
  </si>
  <si>
    <t>Rakovnã</t>
  </si>
  <si>
    <t>RakovnÃ­k</t>
  </si>
  <si>
    <t>Roå Gu</t>
  </si>
  <si>
    <t>RoÅ¾nov pod RadhoÅ¡tÄ›m</t>
  </si>
  <si>
    <t>Slanã½</t>
  </si>
  <si>
    <t>SlanÃ½</t>
  </si>
  <si>
    <t>Sokolov</t>
  </si>
  <si>
    <t>Estrela bohumãn</t>
  </si>
  <si>
    <t>StarÃ½ BohumÃ­n</t>
  </si>
  <si>
    <t>Strakonice</t>
  </si>
  <si>
    <t>Svitavy</t>
  </si>
  <si>
    <t>Tã</t>
  </si>
  <si>
    <t>TÃ¡bor</t>
  </si>
  <si>
    <t>Tå ™ ebãä</t>
  </si>
  <si>
    <t>TÅ™ebÃ­Ä</t>
  </si>
  <si>
    <t>Tå ™ INEC</t>
  </si>
  <si>
    <t>TÅ™inec</t>
  </si>
  <si>
    <t>Teplice</t>
  </si>
  <si>
    <t>Trutnov</t>
  </si>
  <si>
    <t>Uherské hradiå¡tä ›</t>
  </si>
  <si>
    <t>UherskÃ© HradiÅ¡tÄ›</t>
  </si>
  <si>
    <t>Uherskã Brod</t>
  </si>
  <si>
    <t>UherskÃ½ Brod</t>
  </si>
  <si>
    <t>Vala © meziå ™ ãä ã</t>
  </si>
  <si>
    <t>ValaÅ¡skÃ© MeziÅ™Ã­ÄÃ­</t>
  </si>
  <si>
    <t>Varnsdorf</t>
  </si>
  <si>
    <t>Vsetãn</t>
  </si>
  <si>
    <t>VsetÃ­n</t>
  </si>
  <si>
    <t>Vyå¡kov</t>
  </si>
  <si>
    <t>VyÅ¡kov</t>
  </si>
  <si>
    <t>Zlãn</t>
  </si>
  <si>
    <t>Znojmo</t>
  </si>
  <si>
    <t>Aketi</t>
  </si>
  <si>
    <t>Democratic Republic of the Congo</t>
  </si>
  <si>
    <t>Eastern Province</t>
  </si>
  <si>
    <t>Bandundu</t>
  </si>
  <si>
    <t>Basoko</t>
  </si>
  <si>
    <t>Beni</t>
  </si>
  <si>
    <t>Nord Kivu</t>
  </si>
  <si>
    <t>Boende</t>
  </si>
  <si>
    <t>Ã‰quateur</t>
  </si>
  <si>
    <t>Bolobo</t>
  </si>
  <si>
    <t>Bondo</t>
  </si>
  <si>
    <t>Bukama</t>
  </si>
  <si>
    <t>Katanga</t>
  </si>
  <si>
    <t>Bukavu</t>
  </si>
  <si>
    <t>South Kivu</t>
  </si>
  <si>
    <t>Bulungu</t>
  </si>
  <si>
    <t>Bumba</t>
  </si>
  <si>
    <t>Bunia</t>
  </si>
  <si>
    <t>Businga</t>
  </si>
  <si>
    <t>Buta</t>
  </si>
  <si>
    <t>Butembo</t>
  </si>
  <si>
    <t>Demba</t>
  </si>
  <si>
    <t>KasaÃ¯-Occidental</t>
  </si>
  <si>
    <t>Gandajika</t>
  </si>
  <si>
    <t>KasaÃ¯-Oriental</t>
  </si>
  <si>
    <t>Gbadolite</t>
  </si>
  <si>
    <t>Gemena</t>
  </si>
  <si>
    <t>Goma</t>
  </si>
  <si>
    <t>Ilebo</t>
  </si>
  <si>
    <t>Inongo</t>
  </si>
  <si>
    <t>Isiro</t>
  </si>
  <si>
    <t>Kabalo</t>
  </si>
  <si>
    <t>Kabare</t>
  </si>
  <si>
    <t>Kabinda</t>
  </si>
  <si>
    <t>Kalemie</t>
  </si>
  <si>
    <t>Kambove</t>
  </si>
  <si>
    <t>Kamina</t>
  </si>
  <si>
    <t>Kampene</t>
  </si>
  <si>
    <t>Maniema</t>
  </si>
  <si>
    <t>Kananga</t>
  </si>
  <si>
    <t>Kasangulu</t>
  </si>
  <si>
    <t>Bas-Congo</t>
  </si>
  <si>
    <t>Kasongo</t>
  </si>
  <si>
    <t>Kasongo-Lunda</t>
  </si>
  <si>
    <t>Kikwit</t>
  </si>
  <si>
    <t>Kindu</t>
  </si>
  <si>
    <t>Kinshasa</t>
  </si>
  <si>
    <t>Kipushi</t>
  </si>
  <si>
    <t>Kisangani</t>
  </si>
  <si>
    <t>Kolwezi</t>
  </si>
  <si>
    <t>Kongolo</t>
  </si>
  <si>
    <t>Libenge</t>
  </si>
  <si>
    <t>Likasi</t>
  </si>
  <si>
    <t>Lisala</t>
  </si>
  <si>
    <t>Lodja</t>
  </si>
  <si>
    <t>LUBAO</t>
  </si>
  <si>
    <t>Lubao</t>
  </si>
  <si>
    <t>Lubumbashi</t>
  </si>
  <si>
    <t>Luebo</t>
  </si>
  <si>
    <t>Lusambo</t>
  </si>
  <si>
    <t>Mangai</t>
  </si>
  <si>
    <t>Masina</t>
  </si>
  <si>
    <t>Matadi</t>
  </si>
  <si>
    <t>Mbandaka</t>
  </si>
  <si>
    <t>MBANZA-NGUNgu</t>
  </si>
  <si>
    <t>Mbanza-Ngungu</t>
  </si>
  <si>
    <t>Mbuji-mayi</t>
  </si>
  <si>
    <t>Mbuji-Mayi</t>
  </si>
  <si>
    <t>Mushie</t>
  </si>
  <si>
    <t>Mweka</t>
  </si>
  <si>
    <t>Mwene-ditu</t>
  </si>
  <si>
    <t>Mwene-Ditu</t>
  </si>
  <si>
    <t>Nioki</t>
  </si>
  <si>
    <t>Interesse</t>
  </si>
  <si>
    <t>Sake</t>
  </si>
  <si>
    <t>Tshela</t>
  </si>
  <si>
    <t>Tshikapa</t>
  </si>
  <si>
    <t>Uvira</t>
  </si>
  <si>
    <t>Wamba</t>
  </si>
  <si>
    <t>Watsa</t>
  </si>
  <si>
    <t>Yangambi</t>
  </si>
  <si>
    <t>Århus</t>
  </si>
  <si>
    <t>Ã… rhus</t>
  </si>
  <si>
    <t>Denmark</t>
  </si>
  <si>
    <t>Central Jutland</t>
  </si>
  <si>
    <t>Aabenraa</t>
  </si>
  <si>
    <t>South Denmark</t>
  </si>
  <si>
    <t>Aalborg</t>
  </si>
  <si>
    <t>North Denmark</t>
  </si>
  <si>
    <t>Albertslund</t>
  </si>
  <si>
    <t>Capital Region</t>
  </si>
  <si>
    <t>Baileunha</t>
  </si>
  <si>
    <t>Ballerup</t>
  </si>
  <si>
    <t>Birkerãd</t>
  </si>
  <si>
    <t>BirkerÃ¸d</t>
  </si>
  <si>
    <t>Charlottenlund</t>
  </si>
  <si>
    <t>Copenhague</t>
  </si>
  <si>
    <t>Copenhagen</t>
  </si>
  <si>
    <t>Esbjerg</t>
  </si>
  <si>
    <t>Farum</t>
  </si>
  <si>
    <t>Fredicia</t>
  </si>
  <si>
    <t>Fredericia</t>
  </si>
  <si>
    <t>Frederiksberg</t>
  </si>
  <si>
    <t>Frederikshavn</t>
  </si>
  <si>
    <t>Glostrup</t>
  </si>
  <si>
    <t>Greve</t>
  </si>
  <si>
    <t>Zealand</t>
  </si>
  <si>
    <t>Hãrsholm</t>
  </si>
  <si>
    <t>HÃ¸rsholm</t>
  </si>
  <si>
    <t>Haderslev</t>
  </si>
  <si>
    <t>Helsingãr</t>
  </si>
  <si>
    <t>HelsingÃ¸r</t>
  </si>
  <si>
    <t>Herning</t>
  </si>
  <si>
    <t>Hilleri</t>
  </si>
  <si>
    <t>HillerÃ¸d</t>
  </si>
  <si>
    <t>Hjãrring</t>
  </si>
  <si>
    <t>HjÃ¸rring</t>
  </si>
  <si>
    <t>Holbã</t>
  </si>
  <si>
    <t>HolbÃ¦k</t>
  </si>
  <si>
    <t>Holstebro</t>
  </si>
  <si>
    <t>Cavalos</t>
  </si>
  <si>
    <t>Horsens</t>
  </si>
  <si>
    <t>Hvidovre</t>
  </si>
  <si>
    <t>Ishãj</t>
  </si>
  <si>
    <t>IshÃ¸j</t>
  </si>
  <si>
    <t>Kãge</t>
  </si>
  <si>
    <t>KÃ¸ge</t>
  </si>
  <si>
    <t>Kalundborg</t>
  </si>
  <si>
    <t>Kolding</t>
  </si>
  <si>
    <t>Kobenhavn</t>
  </si>
  <si>
    <t>København</t>
  </si>
  <si>
    <t>Korsã</t>
  </si>
  <si>
    <t>KorsÃ¸r</t>
  </si>
  <si>
    <t>Lilleri</t>
  </si>
  <si>
    <t>LillerÃ¸d</t>
  </si>
  <si>
    <t>No ministrado</t>
  </si>
  <si>
    <t>NÃ¦stved</t>
  </si>
  <si>
    <t>Nãrresundby</t>
  </si>
  <si>
    <t>NÃ¸rresundby</t>
  </si>
  <si>
    <t>Nyborg</t>
  </si>
  <si>
    <t>Falster de Nyking</t>
  </si>
  <si>
    <t>NykÃ¸bing Falster</t>
  </si>
  <si>
    <t>ODense</t>
  </si>
  <si>
    <t>Odense</t>
  </si>
  <si>
    <t>Rãdovre</t>
  </si>
  <si>
    <t>RÃ¸dovre</t>
  </si>
  <si>
    <t>Randers</t>
  </si>
  <si>
    <t>Tocar</t>
  </si>
  <si>
    <t>Ringsted</t>
  </si>
  <si>
    <t>Roskilde</t>
  </si>
  <si>
    <t>Sãnderborg</t>
  </si>
  <si>
    <t>SÃ¸nderborg</t>
  </si>
  <si>
    <t>Silkeborg</t>
  </si>
  <si>
    <t>Pisar</t>
  </si>
  <si>
    <t>Skive</t>
  </si>
  <si>
    <t>Slagelse</t>
  </si>
  <si>
    <t>Stenlãse</t>
  </si>
  <si>
    <t>StenlÃ¸se</t>
  </si>
  <si>
    <t>Svendborg</t>
  </si>
  <si>
    <t>Taastrup</t>
  </si>
  <si>
    <t>Vanlãse</t>
  </si>
  <si>
    <t>VanlÃ¸se</t>
  </si>
  <si>
    <t>Vejle</t>
  </si>
  <si>
    <t>Viborg</t>
  </si>
  <si>
    <t>á¸žã ¢ nan</t>
  </si>
  <si>
    <t>á¸ŽÃ¢nan</t>
  </si>
  <si>
    <t>Djibouti</t>
  </si>
  <si>
    <t>Ali Sabieh</t>
  </si>
  <si>
    <t>'Ali Sabieh</t>
  </si>
  <si>
    <t>Djibuti</t>
  </si>
  <si>
    <t>Obock</t>
  </si>
  <si>
    <t>Tadjoura</t>
  </si>
  <si>
    <t>Tadjourah</t>
  </si>
  <si>
    <t>Roseau</t>
  </si>
  <si>
    <t>Dominica</t>
  </si>
  <si>
    <t>Saint George</t>
  </si>
  <si>
    <t>Azua</t>
  </si>
  <si>
    <t>Dominican Republic</t>
  </si>
  <si>
    <t>Bajos de Haina</t>
  </si>
  <si>
    <t>San CristÃ³bal</t>
  </si>
  <si>
    <t>Banã</t>
  </si>
  <si>
    <t>BanÃ­</t>
  </si>
  <si>
    <t>Peravia</t>
  </si>
  <si>
    <t>Bayaguana</t>
  </si>
  <si>
    <t>Monte Plata</t>
  </si>
  <si>
    <t>Nacional</t>
  </si>
  <si>
    <t>Boca Chica</t>
  </si>
  <si>
    <t>Bonao</t>
  </si>
  <si>
    <t>MonseÃ±or Nouel</t>
  </si>
  <si>
    <t>Ciudad Nueva</t>
  </si>
  <si>
    <t>Concepciã³n de la vega</t>
  </si>
  <si>
    <t>ConcepciÃ³n de La Vega</t>
  </si>
  <si>
    <t>La Vega</t>
  </si>
  <si>
    <t>Constanza</t>
  </si>
  <si>
    <t>Cotuã</t>
  </si>
  <si>
    <t>CotuÃ­</t>
  </si>
  <si>
    <t>SÃ¡nchez RamÃ­rez</t>
  </si>
  <si>
    <t>Dajabãn</t>
  </si>
  <si>
    <t>DajabÃ³n</t>
  </si>
  <si>
    <t>Valverde</t>
  </si>
  <si>
    <t>Prefeito de Hato del Rey</t>
  </si>
  <si>
    <t>Hato Mayor del Rey</t>
  </si>
  <si>
    <t>Hato Mayor</t>
  </si>
  <si>
    <t>Jarabacoa</t>
  </si>
  <si>
    <t>La Romana</t>
  </si>
  <si>
    <t>Las matas de farfãn</t>
  </si>
  <si>
    <t>Las Matas de FarfÃ¡n</t>
  </si>
  <si>
    <t>MOCA</t>
  </si>
  <si>
    <t>Moca</t>
  </si>
  <si>
    <t>Espaillat</t>
  </si>
  <si>
    <t>NAGUA</t>
  </si>
  <si>
    <t>Nagua</t>
  </si>
  <si>
    <t>MarÃ­a Trinidad SÃ¡nchez</t>
  </si>
  <si>
    <t>Neiba</t>
  </si>
  <si>
    <t>Baoruco</t>
  </si>
  <si>
    <t>Puerto Plata</t>
  </si>
  <si>
    <t>Punta Cana</t>
  </si>
  <si>
    <t>La Altagracia</t>
  </si>
  <si>
    <t>QuisQueya</t>
  </si>
  <si>
    <t>Quisqueya</t>
  </si>
  <si>
    <t>San Pedro de MacorÃ­s</t>
  </si>
  <si>
    <t>Rão Grande</t>
  </si>
  <si>
    <t>RÃ­o Grande</t>
  </si>
  <si>
    <t>Sabana Grande de Boy.</t>
  </si>
  <si>
    <t>Sabana Grande de BoyÃ¡</t>
  </si>
  <si>
    <t>Santiago RodrÃ­guez</t>
  </si>
  <si>
    <t>Salcedo</t>
  </si>
  <si>
    <t>Hermanas Mirabal</t>
  </si>
  <si>
    <t>Salvaleãn de Higãey</t>
  </si>
  <si>
    <t>SalvaleÃ³n de HigÃ¼ey</t>
  </si>
  <si>
    <t>San Cristãpara</t>
  </si>
  <si>
    <t>San Fernando de Monte Cristi</t>
  </si>
  <si>
    <t>Monte Cristi</t>
  </si>
  <si>
    <t>São Francisco de Macorãs</t>
  </si>
  <si>
    <t>San Francisco de MacorÃ­s</t>
  </si>
  <si>
    <t>Duarte</t>
  </si>
  <si>
    <t>San José de Ocoa</t>
  </si>
  <si>
    <t>San JosÃ© de Ocoa</t>
  </si>
  <si>
    <t>San Juan de la Maguana</t>
  </si>
  <si>
    <t>San Pedro de Macorãs</t>
  </si>
  <si>
    <t>Santa Cruz de Barahona</t>
  </si>
  <si>
    <t>Barahona</t>
  </si>
  <si>
    <t>Santa Cruz de El Seibo</t>
  </si>
  <si>
    <t>El SeÃ­bo</t>
  </si>
  <si>
    <t>Santiago de Los Caballeros</t>
  </si>
  <si>
    <t>Santiago de los Caballeros</t>
  </si>
  <si>
    <t>Santo Domingo Oeste</t>
  </si>
  <si>
    <t>Tamboril</t>
  </si>
  <si>
    <t>Villa Altagracia</t>
  </si>
  <si>
    <t>Villa Bisonã</t>
  </si>
  <si>
    <t>Villa BisonÃ³</t>
  </si>
  <si>
    <t>Villa Consuelo</t>
  </si>
  <si>
    <t>Villa Francisca</t>
  </si>
  <si>
    <t>Aileu</t>
  </si>
  <si>
    <t>East Timor</t>
  </si>
  <si>
    <t>Baucau</t>
  </si>
  <si>
    <t>Dili</t>
  </si>
  <si>
    <t>DÃ­li</t>
  </si>
  <si>
    <t>Liquica</t>
  </si>
  <si>
    <t>LiquiÃ§Ã¡</t>
  </si>
  <si>
    <t>Lospalos</t>
  </si>
  <si>
    <t>LautÃ©m</t>
  </si>
  <si>
    <t>Maliana</t>
  </si>
  <si>
    <t>Bobonaro</t>
  </si>
  <si>
    <t>Maubara</t>
  </si>
  <si>
    <t>Mesmo</t>
  </si>
  <si>
    <t>Same</t>
  </si>
  <si>
    <t>Manufahi</t>
  </si>
  <si>
    <t>Suai</t>
  </si>
  <si>
    <t>Cova Lima</t>
  </si>
  <si>
    <t>Venilale</t>
  </si>
  <si>
    <t>Ambato</t>
  </si>
  <si>
    <t>Ecuador</t>
  </si>
  <si>
    <t>Tungurahua</t>
  </si>
  <si>
    <t>Atuntaqui</t>
  </si>
  <si>
    <t>Imbabura</t>
  </si>
  <si>
    <t>AZOGUES</t>
  </si>
  <si>
    <t>Azogues</t>
  </si>
  <si>
    <t>CaÃ±ar</t>
  </si>
  <si>
    <t>Babahoyo</t>
  </si>
  <si>
    <t>Bahãa de cará</t>
  </si>
  <si>
    <t>BahÃ­a de CarÃ¡quez</t>
  </si>
  <si>
    <t>ManabÃ­</t>
  </si>
  <si>
    <t>Balzar</t>
  </si>
  <si>
    <t>Guayas</t>
  </si>
  <si>
    <t>BOCA SUNO</t>
  </si>
  <si>
    <t>Boca Suno</t>
  </si>
  <si>
    <t>Orellana</t>
  </si>
  <si>
    <t>Caleta</t>
  </si>
  <si>
    <t>Calceta</t>
  </si>
  <si>
    <t>Cariamanga</t>
  </si>
  <si>
    <t>Loja</t>
  </si>
  <si>
    <t>Catamayo</t>
  </si>
  <si>
    <t>Cayambe</t>
  </si>
  <si>
    <t>Pichincha</t>
  </si>
  <si>
    <t>Chone</t>
  </si>
  <si>
    <t>Cuenca</t>
  </si>
  <si>
    <t>Azuay</t>
  </si>
  <si>
    <t>El Triunfo</t>
  </si>
  <si>
    <t>ELOY ALFARO</t>
  </si>
  <si>
    <t>Eloy Alfaro</t>
  </si>
  <si>
    <t>Gualaceo</t>
  </si>
  <si>
    <t>Guaranda</t>
  </si>
  <si>
    <t>Guayaquil</t>
  </si>
  <si>
    <t>Huaquilas</t>
  </si>
  <si>
    <t>Huaquillas</t>
  </si>
  <si>
    <t>El Oro</t>
  </si>
  <si>
    <t>Ibarra</t>
  </si>
  <si>
    <t>Jipijapa</t>
  </si>
  <si>
    <t>La Libertad</t>
  </si>
  <si>
    <t>La maná</t>
  </si>
  <si>
    <t>La ManÃ¡</t>
  </si>
  <si>
    <t>Cotopaxi</t>
  </si>
  <si>
    <t>La Troncal</t>
  </si>
  <si>
    <t>Latacunga</t>
  </si>
  <si>
    <t>Macas</t>
  </si>
  <si>
    <t>Morona-Santiago</t>
  </si>
  <si>
    <t>Machachi</t>
  </si>
  <si>
    <t>MACHALA</t>
  </si>
  <si>
    <t>Machala</t>
  </si>
  <si>
    <t>Manta</t>
  </si>
  <si>
    <t>Montalvo</t>
  </si>
  <si>
    <t>Montecristi</t>
  </si>
  <si>
    <t>Naranjal</t>
  </si>
  <si>
    <t>Naranjito</t>
  </si>
  <si>
    <t>Nueva Loja</t>
  </si>
  <si>
    <t>Sucumbios</t>
  </si>
  <si>
    <t>OTAVALO</t>
  </si>
  <si>
    <t>Otavalo</t>
  </si>
  <si>
    <t>Pasaje</t>
  </si>
  <si>
    <t>Pedro Carbo</t>
  </si>
  <si>
    <t>Pelileo</t>
  </si>
  <si>
    <t>Pi ± AS</t>
  </si>
  <si>
    <t>PiÃ±as</t>
  </si>
  <si>
    <t>Playas</t>
  </si>
  <si>
    <t>Portoviejo</t>
  </si>
  <si>
    <t>Puerto Francisco de Orellana</t>
  </si>
  <si>
    <t>Pujilã</t>
  </si>
  <si>
    <t>PujilÃ­</t>
  </si>
  <si>
    <t>Puyo</t>
  </si>
  <si>
    <t>Pastaza</t>
  </si>
  <si>
    <t>Quevedo</t>
  </si>
  <si>
    <t>Quito</t>
  </si>
  <si>
    <t>Riobamba</t>
  </si>
  <si>
    <t>Chimborazo</t>
  </si>
  <si>
    <t>Rosa Zarate</t>
  </si>
  <si>
    <t>Samborondãn</t>
  </si>
  <si>
    <t>SamborondÃ³n</t>
  </si>
  <si>
    <t>San Gabriel</t>
  </si>
  <si>
    <t>Carchi</t>
  </si>
  <si>
    <t>San Lorenzo de Esmeraldas</t>
  </si>
  <si>
    <t>Santo Domingo de Los Colorados</t>
  </si>
  <si>
    <t>Santo Domingo de los Colorados</t>
  </si>
  <si>
    <t>Santo Domingo de los TsÃ¡chilas</t>
  </si>
  <si>
    <t>TENA</t>
  </si>
  <si>
    <t>Tena</t>
  </si>
  <si>
    <t>Napo</t>
  </si>
  <si>
    <t>Tulcãn</t>
  </si>
  <si>
    <t>TulcÃ¡n</t>
  </si>
  <si>
    <t>TutamandaHostel</t>
  </si>
  <si>
    <t>Tutamandahostel</t>
  </si>
  <si>
    <t>Velasco Ibarra</t>
  </si>
  <si>
    <t>Ventanas</t>
  </si>
  <si>
    <t>Vinces</t>
  </si>
  <si>
    <t>Yaguachi Nuevo</t>
  </si>
  <si>
    <t>Zamora</t>
  </si>
  <si>
    <t>Zamora-Chinchipe</t>
  </si>
  <si>
    <t>á¸ëalwä n</t>
  </si>
  <si>
    <t>á¸¨alwÄn</t>
  </si>
  <si>
    <t>Egypt</t>
  </si>
  <si>
    <t>Cairo Governorate</t>
  </si>
  <si>
    <t>Á¸AWSHS</t>
  </si>
  <si>
    <t>á¸¨awsh â€˜ÄªsÃ¡</t>
  </si>
  <si>
    <t>Al Buá¸©ayrah</t>
  </si>
  <si>
    <t>Å miyah</t>
  </si>
  <si>
    <t>Å¢Ämiyah</t>
  </si>
  <si>
    <t>Muá¸©ÄfazÌ§at al FayyÅ«m</t>
  </si>
  <si>
    <t>Å ¢ ahå £ ä</t>
  </si>
  <si>
    <t>Å¢ahÅ£Ä</t>
  </si>
  <si>
    <t>SÅ«hÄj</t>
  </si>
  <si>
    <t>Å ¢ alkhä</t>
  </si>
  <si>
    <t>Å¢alkhÄ</t>
  </si>
  <si>
    <t>Muá¸©ÄfazÌ§at ad DaqahlÄ«yah</t>
  </si>
  <si>
    <t>â € ˜izbat al Burj</t>
  </si>
  <si>
    <t>â€˜Izbat al Burj</t>
  </si>
  <si>
    <t>Aåero Åžaff</t>
  </si>
  <si>
    <t>AÅŸ Åžaff</t>
  </si>
  <si>
    <t>Al JÄ«zah</t>
  </si>
  <si>
    <t>Abå «al maå £ ä mä« r</t>
  </si>
  <si>
    <t>AbÅ« al MaÅ£ÄmÄ«r</t>
  </si>
  <si>
    <t>Abå «kabä« r</t>
  </si>
  <si>
    <t>AbÅ« KabÄ«r</t>
  </si>
  <si>
    <t>Abå «Qurqä Åutos</t>
  </si>
  <si>
    <t>AbÅ« QurqÄÅŸ</t>
  </si>
  <si>
    <t>Al MinyÄ</t>
  </si>
  <si>
    <t>Abå «tä« j</t>
  </si>
  <si>
    <t>AbÅ« TÄ«j</t>
  </si>
  <si>
    <t>AsyÅ«Å£</t>
  </si>
  <si>
    <t>Abnå «b</t>
  </si>
  <si>
    <t>AbnÅ«b</t>
  </si>
  <si>
    <t>Ad dilinjä t</t>
  </si>
  <si>
    <t>Ad DilinjÄt</t>
  </si>
  <si>
    <t>Ain Sukhna</t>
  </si>
  <si>
    <t>As Suways</t>
  </si>
  <si>
    <t>Ajä</t>
  </si>
  <si>
    <t>AjÄ</t>
  </si>
  <si>
    <t>Akhmä «m</t>
  </si>
  <si>
    <t>AkhmÄ«m</t>
  </si>
  <si>
    <t>Al á¸ëä må «l</t>
  </si>
  <si>
    <t>Al á¸¨ÄmÅ«l</t>
  </si>
  <si>
    <t>Kafr ash Shaykh</t>
  </si>
  <si>
    <t>Al á¸ëawä midä «yah</t>
  </si>
  <si>
    <t>Al á¸¨awÄmidÄ«yah</t>
  </si>
  <si>
    <t>Al â € 'Ayyä Å £</t>
  </si>
  <si>
    <t>Al â€˜AyyÄÅ£</t>
  </si>
  <si>
    <t>Al Bä Jå «r</t>
  </si>
  <si>
    <t>Al BÄjÅ«r</t>
  </si>
  <si>
    <t>Muá¸©ÄfazÌ§at al MinÅ«fÄ«yah</t>
  </si>
  <si>
    <t>Al Badä rä «</t>
  </si>
  <si>
    <t>Al BadÄrÄ«</t>
  </si>
  <si>
    <t>Al Balyanä</t>
  </si>
  <si>
    <t>Al BalyanÄ</t>
  </si>
  <si>
    <t>Al Bawä «Å £ ä«</t>
  </si>
  <si>
    <t>Al BawÄ«Å£Ä«</t>
  </si>
  <si>
    <t>Al Fashn</t>
  </si>
  <si>
    <t>Muá¸©ÄfazÌ§at BanÄ« Suwayf</t>
  </si>
  <si>
    <t>Al fayyå «m</t>
  </si>
  <si>
    <t>Al FayyÅ«m</t>
  </si>
  <si>
    <t>Al ibrä hä «mä« yah</t>
  </si>
  <si>
    <t>Al IbrÄhÄ«mÄ«yah</t>
  </si>
  <si>
    <t>Al Jä «Zah</t>
  </si>
  <si>
    <t>Al Jamä lä «yah</t>
  </si>
  <si>
    <t>Al JamÄlÄ«yah</t>
  </si>
  <si>
    <t>Al Khä Nkah</t>
  </si>
  <si>
    <t>Al KhÄnkah</t>
  </si>
  <si>
    <t>Muá¸©ÄfazÌ§at al QalyÅ«bÄ«yah</t>
  </si>
  <si>
    <t>Al Khä Rijah</t>
  </si>
  <si>
    <t>Al KhÄrijah</t>
  </si>
  <si>
    <t>Muá¸©ÄfazÌ§at al WÄdÄ« al JadÄ«d</t>
  </si>
  <si>
    <t>Al maá¸ © Allah Al Kubrã</t>
  </si>
  <si>
    <t>Al Maá¸©allah al KubrÃ¡</t>
  </si>
  <si>
    <t>Muá¸©ÄfazÌ§at al GharbÄ«yah</t>
  </si>
  <si>
    <t>Al maå £ arä «yah</t>
  </si>
  <si>
    <t>Al MaÅ£arÄ«yah</t>
  </si>
  <si>
    <t>Al Manåÿå «rah</t>
  </si>
  <si>
    <t>Al ManÅŸÅ«rah</t>
  </si>
  <si>
    <t>Al Manshä h</t>
  </si>
  <si>
    <t>Al ManshÄh</t>
  </si>
  <si>
    <t>Al Manzilah</t>
  </si>
  <si>
    <t>Al Minyä</t>
  </si>
  <si>
    <t>Al qå «Åutos« yah</t>
  </si>
  <si>
    <t>Al QÅ«ÅŸÄ«yah</t>
  </si>
  <si>
    <t>Al Qanä Å £ ir al khayrä «yah</t>
  </si>
  <si>
    <t>Al QanÄÅ£ir al KhayrÄ«yah</t>
  </si>
  <si>
    <t>Al Qanä yä t</t>
  </si>
  <si>
    <t>Al QanÄyÄt</t>
  </si>
  <si>
    <t>Al Quåeroyr</t>
  </si>
  <si>
    <t>Al QuÅŸayr</t>
  </si>
  <si>
    <t>Red Sea</t>
  </si>
  <si>
    <t>Al Qurayn</t>
  </si>
  <si>
    <t>Al Wä Siå £ ah</t>
  </si>
  <si>
    <t>Al WÄsiÅ£ah</t>
  </si>
  <si>
    <t>Alexandria</t>
  </si>
  <si>
    <t>Arish</t>
  </si>
  <si>
    <t>ShamÄl SÄ«nÄÊ¼</t>
  </si>
  <si>
    <t>Ash Shuhadä -</t>
  </si>
  <si>
    <t>Ash ShuhadÄâ€™</t>
  </si>
  <si>
    <t>Ashmå «n</t>
  </si>
  <si>
    <t>AshmÅ«n</t>
  </si>
  <si>
    <t>Aswan</t>
  </si>
  <si>
    <t>AswÄn</t>
  </si>
  <si>
    <t>Asyå «Å £</t>
  </si>
  <si>
    <t>Em Tall Al Kabä «r</t>
  </si>
  <si>
    <t>At Tall al KabÄ«r</t>
  </si>
  <si>
    <t>Al IsmÄâ€˜Ä«lÄ«yah</t>
  </si>
  <si>
    <t>Awsä «m</t>
  </si>
  <si>
    <t>AwsÄ«m</t>
  </si>
  <si>
    <t>Az zarqä</t>
  </si>
  <si>
    <t>Az ZarqÄ</t>
  </si>
  <si>
    <t>DumyÄÅ£</t>
  </si>
  <si>
    <t>Bå «r safä jah</t>
  </si>
  <si>
    <t>BÅ«r SafÄjah</t>
  </si>
  <si>
    <t>Bå «sh</t>
  </si>
  <si>
    <t>BÅ«sh</t>
  </si>
  <si>
    <t>Banä «mazä r</t>
  </si>
  <si>
    <t>BanÄ« MazÄr</t>
  </si>
  <si>
    <t>Banä «suwayf</t>
  </si>
  <si>
    <t>BanÄ« Suwayf</t>
  </si>
  <si>
    <t>Banhä</t>
  </si>
  <si>
    <t>BanhÄ</t>
  </si>
  <si>
    <t>Basyå «n</t>
  </si>
  <si>
    <t>BasyÅ«n</t>
  </si>
  <si>
    <t>Bilbays</t>
  </si>
  <si>
    <t>Bilqä s</t>
  </si>
  <si>
    <t>BilqÄs</t>
  </si>
  <si>
    <t>Cairo</t>
  </si>
  <si>
    <t>Damanhå «r</t>
  </si>
  <si>
    <t>DamanhÅ«r</t>
  </si>
  <si>
    <t>Damietta</t>
  </si>
  <si>
    <t>Dayr mawä s</t>
  </si>
  <si>
    <t>Dayr MawÄs</t>
  </si>
  <si>
    <t>Dayrå «Å £</t>
  </si>
  <si>
    <t>DayrÅ«Å£</t>
  </si>
  <si>
    <t>Dikirnis</t>
  </si>
  <si>
    <t>Diså «q</t>
  </si>
  <si>
    <t>DisÅ«q</t>
  </si>
  <si>
    <t>Dishnä</t>
  </si>
  <si>
    <t>DishnÄ</t>
  </si>
  <si>
    <t>QinÄ</t>
  </si>
  <si>
    <t>DIYARB NAJM</t>
  </si>
  <si>
    <t>Diyarb Najm</t>
  </si>
  <si>
    <t>Fä qå «s</t>
  </si>
  <si>
    <t>FÄqÅ«s</t>
  </si>
  <si>
    <t>Fä Raskå «r</t>
  </si>
  <si>
    <t>FÄraskÅ«r</t>
  </si>
  <si>
    <t>Farshå «Å £</t>
  </si>
  <si>
    <t>FarshÅ«Å£</t>
  </si>
  <si>
    <t>Fuwwah</t>
  </si>
  <si>
    <t>Hihyä</t>
  </si>
  <si>
    <t>HihyÄ</t>
  </si>
  <si>
    <t>Hurghada</t>
  </si>
  <si>
    <t>Iå £ sä</t>
  </si>
  <si>
    <t>IÅ£sÄ</t>
  </si>
  <si>
    <t>Ibshawä y</t>
  </si>
  <si>
    <t>IbshawÄy</t>
  </si>
  <si>
    <t>Idfå «</t>
  </si>
  <si>
    <t>IdfÅ«</t>
  </si>
  <si>
    <t>Idkå «</t>
  </si>
  <si>
    <t>IdkÅ«</t>
  </si>
  <si>
    <t>Ismailia</t>
  </si>
  <si>
    <t>Isnä</t>
  </si>
  <si>
    <t>IsnÄ</t>
  </si>
  <si>
    <t>Jirjä</t>
  </si>
  <si>
    <t>JirjÄ</t>
  </si>
  <si>
    <t>Juhaynah</t>
  </si>
  <si>
    <t>KAFR AD DAWWä R</t>
  </si>
  <si>
    <t>Kafr ad DawwÄr</t>
  </si>
  <si>
    <t>KAFR Ash Shaykh</t>
  </si>
  <si>
    <t>Kaffr az zayyä t</t>
  </si>
  <si>
    <t>Kafr az ZayyÄt</t>
  </si>
  <si>
    <t>Kafr Åžaqr</t>
  </si>
  <si>
    <t>Kawm á¸ëamä dah</t>
  </si>
  <si>
    <t>Kawm á¸¨amÄdah</t>
  </si>
  <si>
    <t>Kawm umbå «</t>
  </si>
  <si>
    <t>Kawm UmbÅ«</t>
  </si>
  <si>
    <t>Kousa</t>
  </si>
  <si>
    <t>Luxor</t>
  </si>
  <si>
    <t>Maå £ ä y</t>
  </si>
  <si>
    <t>MaÅ£Äy</t>
  </si>
  <si>
    <t>Madä «Nat Sittah Uktå« Bar</t>
  </si>
  <si>
    <t>MadÄ«nat Sittah UktÅ«bar</t>
  </si>
  <si>
    <t>Mallawä «</t>
  </si>
  <si>
    <t>MallawÄ«</t>
  </si>
  <si>
    <t>Manfalå «Å £</t>
  </si>
  <si>
    <t>ManfalÅ«Å£</t>
  </si>
  <si>
    <t>Mashtå «l como så« q</t>
  </si>
  <si>
    <t>MashtÅ«l as SÅ«q</t>
  </si>
  <si>
    <t>Mersa Matruh</t>
  </si>
  <si>
    <t>Muá¸©ÄfazÌ§at MaÅ£rÅ«á¸©</t>
  </si>
  <si>
    <t>Minå «f</t>
  </si>
  <si>
    <t>MinÅ«f</t>
  </si>
  <si>
    <t>Minyat e Naåÿr</t>
  </si>
  <si>
    <t>Minyat an NaÅŸr</t>
  </si>
  <si>
    <t>Naj 'á¸ëammä dä «</t>
  </si>
  <si>
    <t>Najâ€˜ á¸¨ammÄdÄ«</t>
  </si>
  <si>
    <t>Port disse</t>
  </si>
  <si>
    <t>Port Said</t>
  </si>
  <si>
    <t>Muá¸©ÄfazÌ§at BÅ«r Saâ€˜Ä«d</t>
  </si>
  <si>
    <t>Qalyå «b</t>
  </si>
  <si>
    <t>QalyÅ«b</t>
  </si>
  <si>
    <t>Qinä</t>
  </si>
  <si>
    <t>Quå £ Å «r</t>
  </si>
  <si>
    <t>QuÅ£Å«r</t>
  </si>
  <si>
    <t>Quwaysinä</t>
  </si>
  <si>
    <t>QuwaysinÄ</t>
  </si>
  <si>
    <t>Ras Gharib</t>
  </si>
  <si>
    <t>Rosetta</t>
  </si>
  <si>
    <t>Sä «dä« sä lim</t>
  </si>
  <si>
    <t>SÄ«dÄ« SÄlim</t>
  </si>
  <si>
    <t>Samä lå «Å £</t>
  </si>
  <si>
    <t>SamÄlÅ«Å£</t>
  </si>
  <si>
    <t>Samannå «d</t>
  </si>
  <si>
    <t>SamannÅ«d</t>
  </si>
  <si>
    <t>Shibä «n al kawm</t>
  </si>
  <si>
    <t>ShibÄ«n al Kawm</t>
  </si>
  <si>
    <t>Shibä «n al qanä Å £ ir</t>
  </si>
  <si>
    <t>ShibÄ«n al QanÄÅ£ir</t>
  </si>
  <si>
    <t>Shirbä «n</t>
  </si>
  <si>
    <t>ShirbÄ«n</t>
  </si>
  <si>
    <t>Sohag</t>
  </si>
  <si>
    <t>Suez</t>
  </si>
  <si>
    <t>Sumuså £ ä como sul -£ ä nä «</t>
  </si>
  <si>
    <t>SumusÅ£Ä as SulÅ£ÄnÄ«</t>
  </si>
  <si>
    <t>Talä</t>
  </si>
  <si>
    <t>TalÄ</t>
  </si>
  <si>
    <t>Tanda</t>
  </si>
  <si>
    <t>Toukh</t>
  </si>
  <si>
    <t>Zagazig</t>
  </si>
  <si>
    <t>Ziftinho</t>
  </si>
  <si>
    <t>ZiftÃ¡</t>
  </si>
  <si>
    <t>Acajutla</t>
  </si>
  <si>
    <t>El Salvador</t>
  </si>
  <si>
    <t>Sonsonate</t>
  </si>
  <si>
    <t>San Salvador</t>
  </si>
  <si>
    <t>Ahuachapá</t>
  </si>
  <si>
    <t>AhuachapÃ¡n</t>
  </si>
  <si>
    <t>AntiGUO cuscatlãn</t>
  </si>
  <si>
    <t>Antiguo CuscatlÃ¡n</t>
  </si>
  <si>
    <t>Apopa</t>
  </si>
  <si>
    <t>Ayutuxtepeque</t>
  </si>
  <si>
    <t>Chalatenango</t>
  </si>
  <si>
    <t>Chalchuapa</t>
  </si>
  <si>
    <t>Santa Ana</t>
  </si>
  <si>
    <t>Cojutepeque</t>
  </si>
  <si>
    <t>CuscatlÃ¡n</t>
  </si>
  <si>
    <t>Cuscatancingo</t>
  </si>
  <si>
    <t>Delgado</t>
  </si>
  <si>
    <t>Ilopango</t>
  </si>
  <si>
    <t>Izalco</t>
  </si>
  <si>
    <t>Mejicanos</t>
  </si>
  <si>
    <t>Metapá</t>
  </si>
  <si>
    <t>MetapÃ¡n</t>
  </si>
  <si>
    <t>Puerto El Triunfo</t>
  </si>
  <si>
    <t>UsulutÃ¡n</t>
  </si>
  <si>
    <t>Quezaltepeque</t>
  </si>
  <si>
    <t>MorazÃ¡n</t>
  </si>
  <si>
    <t>San Rafael Oriente</t>
  </si>
  <si>
    <t>são Salvador</t>
  </si>
  <si>
    <t>Santa ana</t>
  </si>
  <si>
    <t>Santa Tecla</t>
  </si>
  <si>
    <t>Santiago de Marãa</t>
  </si>
  <si>
    <t>Santiago de MarÃ­a</t>
  </si>
  <si>
    <t>Sensepepeque</t>
  </si>
  <si>
    <t>Sensuntepeque</t>
  </si>
  <si>
    <t>CabaÃ±as</t>
  </si>
  <si>
    <t>Sonsonato</t>
  </si>
  <si>
    <t>Sonzacate</t>
  </si>
  <si>
    <t>Soyapango</t>
  </si>
  <si>
    <t>Usulutá</t>
  </si>
  <si>
    <t>Zacatecoluca</t>
  </si>
  <si>
    <t>Bata</t>
  </si>
  <si>
    <t>Equatorial Guinea</t>
  </si>
  <si>
    <t>Litoral</t>
  </si>
  <si>
    <t>EBEBIYIN</t>
  </si>
  <si>
    <t>Ebebiyin</t>
  </si>
  <si>
    <t>KiÃ©-Ntem</t>
  </si>
  <si>
    <t>Malabo</t>
  </si>
  <si>
    <t>Bioko Norte</t>
  </si>
  <si>
    <t>Asmara</t>
  </si>
  <si>
    <t>Eritrea</t>
  </si>
  <si>
    <t>MaÊ¼Äkel</t>
  </si>
  <si>
    <t>Assab</t>
  </si>
  <si>
    <t>DebubawÄ« KÊ¼eyih BahrÄ«</t>
  </si>
  <si>
    <t>Barentu</t>
  </si>
  <si>
    <t>Gash Barka</t>
  </si>
  <si>
    <t>Keren</t>
  </si>
  <si>
    <t>Ä€nseba</t>
  </si>
  <si>
    <t>Massawa</t>
  </si>
  <si>
    <t>Northern Red Sea Region</t>
  </si>
  <si>
    <t>Mendefera</t>
  </si>
  <si>
    <t>Debub</t>
  </si>
  <si>
    <t>Kohtla-Järve</t>
  </si>
  <si>
    <t>Kohtla-JÃ¤rve</t>
  </si>
  <si>
    <t>Estonia</t>
  </si>
  <si>
    <t>Ida-Virumaa</t>
  </si>
  <si>
    <t>Maardu</t>
  </si>
  <si>
    <t>Harjumaa</t>
  </si>
  <si>
    <t>Narva</t>
  </si>
  <si>
    <t>Pärnu</t>
  </si>
  <si>
    <t>PÃ¤rnu</t>
  </si>
  <si>
    <t>PÃ¤rnumaa</t>
  </si>
  <si>
    <t>Rakvere</t>
  </si>
  <si>
    <t>LÃ¤Ã¤ne-Virumaa</t>
  </si>
  <si>
    <t>Sillamau</t>
  </si>
  <si>
    <t>SillamÃ¤e</t>
  </si>
  <si>
    <t>Tallinn</t>
  </si>
  <si>
    <t>Tartu</t>
  </si>
  <si>
    <t>Viljandi</t>
  </si>
  <si>
    <t>Viljandimaa</t>
  </si>
  <si>
    <t>Ä € dä «grat</t>
  </si>
  <si>
    <t>Ä€dÄ«grat</t>
  </si>
  <si>
    <t>Ethiopia</t>
  </si>
  <si>
    <t>Tigray</t>
  </si>
  <si>
    <t>Ä € dä «s zemen</t>
  </si>
  <si>
    <t>Ä€dÄ«s Zemen</t>
  </si>
  <si>
    <t>Amhara</t>
  </si>
  <si>
    <t>Garo</t>
  </si>
  <si>
    <t>Ä€garo</t>
  </si>
  <si>
    <t>Oromiya</t>
  </si>
  <si>
    <t>Ä € rba Minch -</t>
  </si>
  <si>
    <t>Ä€rba Minchâ€™</t>
  </si>
  <si>
    <t>Southern Nations, Nationalities, and People's Region</t>
  </si>
  <si>
    <t>Ä € reka</t>
  </si>
  <si>
    <t>Ä€reka</t>
  </si>
  <si>
    <t>Ä € sasa</t>
  </si>
  <si>
    <t>Ä€sasa</t>
  </si>
  <si>
    <t>Ä € SBE Teferä «</t>
  </si>
  <si>
    <t>Ä€sbe TeferÄ«</t>
  </si>
  <si>
    <t>Ä € sosa</t>
  </si>
  <si>
    <t>Ä€sosa</t>
  </si>
  <si>
    <t>BÄ«nshangul Gumuz</t>
  </si>
  <si>
    <t>ABOMSA</t>
  </si>
  <si>
    <t>Abomsa</t>
  </si>
  <si>
    <t>Addiet Canna</t>
  </si>
  <si>
    <t>Adis Abeba</t>
  </si>
  <si>
    <t>Addis Ababa</t>
  </si>
  <si>
    <t>Ä€dÄ«s Ä€beba</t>
  </si>
  <si>
    <t>Asaita</t>
  </si>
  <si>
    <t>Ä€far</t>
  </si>
  <si>
    <t>Axum</t>
  </si>
  <si>
    <t>Bahir Dar</t>
  </si>
  <si>
    <t>Bako</t>
  </si>
  <si>
    <t>Batä «</t>
  </si>
  <si>
    <t>BatÄ«</t>
  </si>
  <si>
    <t>Bedä “sa</t>
  </si>
  <si>
    <t>BedÄ“sa</t>
  </si>
  <si>
    <t>Bedelä “</t>
  </si>
  <si>
    <t>BedelÄ“</t>
  </si>
  <si>
    <t>Bichena</t>
  </si>
  <si>
    <t>Bishoftu</t>
  </si>
  <si>
    <t>Bodä «tä«</t>
  </si>
  <si>
    <t>BodÄ«tÄ«</t>
  </si>
  <si>
    <t>Bonga</t>
  </si>
  <si>
    <t>Burä “</t>
  </si>
  <si>
    <t>BurÄ“</t>
  </si>
  <si>
    <t>Butajä «ra</t>
  </si>
  <si>
    <t>ButajÄ«ra</t>
  </si>
  <si>
    <t>Dä «la</t>
  </si>
  <si>
    <t>DÄ«la</t>
  </si>
  <si>
    <t>DeBark '</t>
  </si>
  <si>
    <t>Debarkâ€™</t>
  </si>
  <si>
    <t>Debre Birhan</t>
  </si>
  <si>
    <t>Debre Mark 'OS</t>
  </si>
  <si>
    <t>Debre Markâ€™os</t>
  </si>
  <si>
    <t>Debre Tabor</t>
  </si>
  <si>
    <t>Dembä «dolo</t>
  </si>
  <si>
    <t>DembÄ« Dolo</t>
  </si>
  <si>
    <t>Desä “</t>
  </si>
  <si>
    <t>DesÄ“</t>
  </si>
  <si>
    <t>Dire Dawa</t>
  </si>
  <si>
    <t>Dodola</t>
  </si>
  <si>
    <t>Dubti</t>
  </si>
  <si>
    <t>Felege Neway</t>
  </si>
  <si>
    <t>Fichä “</t>
  </si>
  <si>
    <t>FichÄ“</t>
  </si>
  <si>
    <t>Finote Selam</t>
  </si>
  <si>
    <t>Gambä “la</t>
  </si>
  <si>
    <t>GambÄ“la</t>
  </si>
  <si>
    <t>Gambela</t>
  </si>
  <si>
    <t>Gebre Guracha</t>
  </si>
  <si>
    <t>Gelemso</t>
  </si>
  <si>
    <t>Genet</t>
  </si>
  <si>
    <t>Gimbi</t>
  </si>
  <si>
    <t>Ginir</t>
  </si>
  <si>
    <t>GOBA</t>
  </si>
  <si>
    <t>Goba</t>
  </si>
  <si>
    <t>Gondar</t>
  </si>
  <si>
    <t>Hä Gere Hiywet</t>
  </si>
  <si>
    <t>HÄgere Hiywet</t>
  </si>
  <si>
    <t>Hagere Maryam</t>
  </si>
  <si>
    <t>Harar</t>
  </si>
  <si>
    <t>Harari</t>
  </si>
  <si>
    <t>Hawassa</t>
  </si>
  <si>
    <t>Inda Silasä “</t>
  </si>
  <si>
    <t>Inda SilasÄ“</t>
  </si>
  <si>
    <t>Jä «ma</t>
  </si>
  <si>
    <t>JÄ«ma</t>
  </si>
  <si>
    <t>Jijiga</t>
  </si>
  <si>
    <t>Somali</t>
  </si>
  <si>
    <t>Jinka</t>
  </si>
  <si>
    <t>K 'olä «para</t>
  </si>
  <si>
    <t>Kâ€™olÄ«to</t>
  </si>
  <si>
    <t>Kemisä “</t>
  </si>
  <si>
    <t>KemisÄ“</t>
  </si>
  <si>
    <t>Kibre Mengist</t>
  </si>
  <si>
    <t>Kombolcha</t>
  </si>
  <si>
    <t>Korem</t>
  </si>
  <si>
    <t>Maych 'ew</t>
  </si>
  <si>
    <t>Maychâ€™ew</t>
  </si>
  <si>
    <t>Mekele</t>
  </si>
  <si>
    <t>Mendä «</t>
  </si>
  <si>
    <t>MendÄ«</t>
  </si>
  <si>
    <t>Metahä ra</t>
  </si>
  <si>
    <t>MetahÄra</t>
  </si>
  <si>
    <t>Metu</t>
  </si>
  <si>
    <t>Mojo</t>
  </si>
  <si>
    <t>Nazrä “t</t>
  </si>
  <si>
    <t>NazrÄ“t</t>
  </si>
  <si>
    <t>Nejo</t>
  </si>
  <si>
    <t>Robä «t</t>
  </si>
  <si>
    <t>RobÄ«t</t>
  </si>
  <si>
    <t>Sebera</t>
  </si>
  <si>
    <t>Sebeta</t>
  </si>
  <si>
    <t>Shakä «So</t>
  </si>
  <si>
    <t>ShakÄ«so</t>
  </si>
  <si>
    <t>Shambu</t>
  </si>
  <si>
    <t>Shashemenä “</t>
  </si>
  <si>
    <t>ShashemenÄ“</t>
  </si>
  <si>
    <t>Tippi</t>
  </si>
  <si>
    <t>Waliso</t>
  </si>
  <si>
    <t>Wenjä «</t>
  </si>
  <si>
    <t>WenjÄ«</t>
  </si>
  <si>
    <t>Werota</t>
  </si>
  <si>
    <t>Yabä “lo</t>
  </si>
  <si>
    <t>YabÄ“lo</t>
  </si>
  <si>
    <t>Yirga 'Alem</t>
  </si>
  <si>
    <t>Yirga â€˜Alem</t>
  </si>
  <si>
    <t>Ziway</t>
  </si>
  <si>
    <t>Stanley</t>
  </si>
  <si>
    <t>Falkland Islands</t>
  </si>
  <si>
    <t>Tãrshavn</t>
  </si>
  <si>
    <t>TÃ³rshavn</t>
  </si>
  <si>
    <t>Faroe Islands</t>
  </si>
  <si>
    <t>Streymoy</t>
  </si>
  <si>
    <t>Labasa</t>
  </si>
  <si>
    <t>Fiji</t>
  </si>
  <si>
    <t>Northern</t>
  </si>
  <si>
    <t>Lautoka</t>
  </si>
  <si>
    <t>Western</t>
  </si>
  <si>
    <t>Nadi</t>
  </si>
  <si>
    <t>Suva</t>
  </si>
  <si>
    <t>Anjala</t>
  </si>
  <si>
    <t>Finland</t>
  </si>
  <si>
    <t>Kymenlaakso</t>
  </si>
  <si>
    <t>Espoo</t>
  </si>
  <si>
    <t>Uusimaa</t>
  </si>
  <si>
    <t>Forsa</t>
  </si>
  <si>
    <t>Forssa</t>
  </si>
  <si>
    <t>HÃ¤me</t>
  </si>
  <si>
    <t>HONTEENLINNA</t>
  </si>
  <si>
    <t>HÃ¤meenlinna</t>
  </si>
  <si>
    <t>Hamina</t>
  </si>
  <si>
    <t>Haukipudas</t>
  </si>
  <si>
    <t>Northern Ostrobothnia</t>
  </si>
  <si>
    <t>Heinola</t>
  </si>
  <si>
    <t>PÃ¤ijÃ¤nne Tavastia</t>
  </si>
  <si>
    <t>Helsinque</t>
  </si>
  <si>
    <t>Helsinki</t>
  </si>
  <si>
    <t>Hollola</t>
  </si>
  <si>
    <t>Hyvinge</t>
  </si>
  <si>
    <t>Iisalmi</t>
  </si>
  <si>
    <t>Northern Savo</t>
  </si>
  <si>
    <t>Imatra</t>
  </si>
  <si>
    <t>South Karelia</t>
  </si>
  <si>
    <t>JãMSau</t>
  </si>
  <si>
    <t>JÃ¤msÃ¤</t>
  </si>
  <si>
    <t>Central Finland</t>
  </si>
  <si>
    <t>JOjurvenpäd</t>
  </si>
  <si>
    <t>JÃ¤rvenpÃ¤Ã¤</t>
  </si>
  <si>
    <t>Jakobstad</t>
  </si>
  <si>
    <t>Ostrobothnia</t>
  </si>
  <si>
    <t>Janakkala</t>
  </si>
  <si>
    <t>Joensuu</t>
  </si>
  <si>
    <t>North Karelia</t>
  </si>
  <si>
    <t>Jyväskylau</t>
  </si>
  <si>
    <t>JyvÃ¤skylÃ¤</t>
  </si>
  <si>
    <t>Kaarina</t>
  </si>
  <si>
    <t>Southwest Finland</t>
  </si>
  <si>
    <t>Kajaani</t>
  </si>
  <si>
    <t>Kainuu</t>
  </si>
  <si>
    <t>Kangasala</t>
  </si>
  <si>
    <t>Pirkanmaa</t>
  </si>
  <si>
    <t>Karhula</t>
  </si>
  <si>
    <t>Kemi</t>
  </si>
  <si>
    <t>Lapland</t>
  </si>
  <si>
    <t>Kerava</t>
  </si>
  <si>
    <t>Kirkkonummi</t>
  </si>
  <si>
    <t>Kokkola</t>
  </si>
  <si>
    <t>Central Ostrobothnia</t>
  </si>
  <si>
    <t>Korsholm</t>
  </si>
  <si>
    <t>Kotka</t>
  </si>
  <si>
    <t>Kouvola</t>
  </si>
  <si>
    <t>KUOPIO</t>
  </si>
  <si>
    <t>Kuopio</t>
  </si>
  <si>
    <t>Kuusamo</t>
  </si>
  <si>
    <t>LOJSI-TURUNMAA</t>
  </si>
  <si>
    <t>LÃ¤nsi-Turunmaa</t>
  </si>
  <si>
    <t>Lahti</t>
  </si>
  <si>
    <t>Lappeenranta</t>
  </si>
  <si>
    <t>Laukaa</t>
  </si>
  <si>
    <t>Lempäãälälä</t>
  </si>
  <si>
    <t>LempÃ¤Ã¤lÃ¤</t>
  </si>
  <si>
    <t>Mentira</t>
  </si>
  <si>
    <t>Lieto</t>
  </si>
  <si>
    <t>Lohja</t>
  </si>
  <si>
    <t>Lovisa</t>
  </si>
  <si>
    <t>Mãtsau</t>
  </si>
  <si>
    <t>MÃ¤ntsÃ¤lÃ¤</t>
  </si>
  <si>
    <t>Mikkeli</t>
  </si>
  <si>
    <t>Southern Savonia</t>
  </si>
  <si>
    <t>Nokia</t>
  </si>
  <si>
    <t>Nurmijärvi</t>
  </si>
  <si>
    <t>NurmijÃ¤rvi</t>
  </si>
  <si>
    <t>Oulu</t>
  </si>
  <si>
    <t>Pirkkala</t>
  </si>
  <si>
    <t>Pori</t>
  </si>
  <si>
    <t>Satakunta</t>
  </si>
  <si>
    <t>Porvoo</t>
  </si>
  <si>
    <t>Raahe</t>
  </si>
  <si>
    <t>Raisio</t>
  </si>
  <si>
    <t>Rauma</t>
  </si>
  <si>
    <t>Riihimäki</t>
  </si>
  <si>
    <t>RiihimÃ¤ki</t>
  </si>
  <si>
    <t>Rovaniemi</t>
  </si>
  <si>
    <t>Salo</t>
  </si>
  <si>
    <t>Savonlinna</t>
  </si>
  <si>
    <t>Seinäjoki</t>
  </si>
  <si>
    <t>SeinÃ¤joki</t>
  </si>
  <si>
    <t>Southern Ostrobothnia</t>
  </si>
  <si>
    <t>Sibbo</t>
  </si>
  <si>
    <t>Siilinjärvi</t>
  </si>
  <si>
    <t>SiilinjÃ¤rvi</t>
  </si>
  <si>
    <t>Tampere</t>
  </si>
  <si>
    <t>Tornio</t>
  </si>
  <si>
    <t>Turku</t>
  </si>
  <si>
    <t>Tuusula</t>
  </si>
  <si>
    <t>Uusikaupunki</t>
  </si>
  <si>
    <t>Vaasa</t>
  </si>
  <si>
    <t>Valkeakoski</t>
  </si>
  <si>
    <t>Vantaa</t>
  </si>
  <si>
    <t>Varkaus</t>
  </si>
  <si>
    <t>Vihti</t>
  </si>
  <si>
    <t>Ylãjäjärvi</t>
  </si>
  <si>
    <t>YlÃ¶jÃ¤rvi</t>
  </si>
  <si>
    <t>Chirolles</t>
  </si>
  <si>
    <t>Ã‰chirolles</t>
  </si>
  <si>
    <t>France</t>
  </si>
  <si>
    <t>Auvergne-RhÃ´ne-Alpes</t>
  </si>
  <si>
    <t>Cully</t>
  </si>
  <si>
    <t>Ã‰cully</t>
  </si>
  <si>
    <t>Lancourt</t>
  </si>
  <si>
    <t>Ã‰lancourt</t>
  </si>
  <si>
    <t>ÃŽle-de-France</t>
  </si>
  <si>
    <t>Pernay</t>
  </si>
  <si>
    <t>Ã‰pernay</t>
  </si>
  <si>
    <t>Alsace-Champagne-Ardenne-Lorraine</t>
  </si>
  <si>
    <t>Ã ã</t>
  </si>
  <si>
    <t>Ã‰pinal</t>
  </si>
  <si>
    <t>Pinay-sur-seine</t>
  </si>
  <si>
    <t>Ã‰pinay-sur-Seine</t>
  </si>
  <si>
    <t>Ã ã Queurdreville-Hainneville</t>
  </si>
  <si>
    <t>Ã‰queurdreville-Hainneville</t>
  </si>
  <si>
    <t>Normandy</t>
  </si>
  <si>
    <t>Ragny</t>
  </si>
  <si>
    <t>Ã‰ragny</t>
  </si>
  <si>
    <t>Tampes</t>
  </si>
  <si>
    <t>Ã‰tampes</t>
  </si>
  <si>
    <t>Ã `Vreux</t>
  </si>
  <si>
    <t>Ã‰vreux</t>
  </si>
  <si>
    <t>Ã</t>
  </si>
  <si>
    <t>Ã‰vry</t>
  </si>
  <si>
    <t>Abbeville</t>
  </si>
  <si>
    <t>Nord-Pas-de-Calais-Picardie</t>
  </si>
  <si>
    <t>ACHVES</t>
  </si>
  <si>
    <t>AchÃ¨res</t>
  </si>
  <si>
    <t>Agde</t>
  </si>
  <si>
    <t>Languedoc-Roussillon-Midi-PyrÃ©nÃ©es</t>
  </si>
  <si>
    <t>Agen</t>
  </si>
  <si>
    <t>Aquitaine-Limousin-Poitou-Charentes</t>
  </si>
  <si>
    <t>AIX-en provence</t>
  </si>
  <si>
    <t>Aix-en-Provence</t>
  </si>
  <si>
    <t>Provence-Alpes-CÃ´te d'Azur</t>
  </si>
  <si>
    <t>AIX-les-Bains</t>
  </si>
  <si>
    <t>Aix-les-Bains</t>
  </si>
  <si>
    <t>Ajaccio</t>
  </si>
  <si>
    <t>Corsica</t>
  </si>
  <si>
    <t>ALAN</t>
  </si>
  <si>
    <t>AlÃ¨s</t>
  </si>
  <si>
    <t>Albertville</t>
  </si>
  <si>
    <t>Albi</t>
  </si>
  <si>
    <t>Alenãonon</t>
  </si>
  <si>
    <t>AlenÃ§on</t>
  </si>
  <si>
    <t>Alfortville</t>
  </si>
  <si>
    <t>Allauch</t>
  </si>
  <si>
    <t>Amiens</t>
  </si>
  <si>
    <t>Angers</t>
  </si>
  <si>
    <t>Pays de la Loire</t>
  </si>
  <si>
    <t>Anglet</t>
  </si>
  <si>
    <t>Angoulãªme</t>
  </si>
  <si>
    <t>AngoulÃªme</t>
  </si>
  <si>
    <t>Annecy</t>
  </si>
  <si>
    <t>Annecy-le-Vieux</t>
  </si>
  <si>
    <t>Annemasse</t>
  </si>
  <si>
    <t>Annonay</t>
  </si>
  <si>
    <t>Antibes</t>
  </si>
  <si>
    <t>Antony</t>
  </si>
  <si>
    <t>Arcueil</t>
  </si>
  <si>
    <t>Argentão</t>
  </si>
  <si>
    <t>Argentan</t>
  </si>
  <si>
    <t>Argenteuil</t>
  </si>
  <si>
    <t>Arles</t>
  </si>
  <si>
    <t>Armentiãres</t>
  </si>
  <si>
    <t>ArmentiÃ¨res</t>
  </si>
  <si>
    <t>Arras</t>
  </si>
  <si>
    <t>Asniãres-sur-seine</t>
  </si>
  <si>
    <t>AsniÃ¨res-sur-Seine</t>
  </si>
  <si>
    <t>Athis-Mon</t>
  </si>
  <si>
    <t>Athis-Mons</t>
  </si>
  <si>
    <t>Aubagne</t>
  </si>
  <si>
    <t>Aubervilliers</t>
  </si>
  <si>
    <t>Auch</t>
  </si>
  <si>
    <t>Audincourt</t>
  </si>
  <si>
    <t>Bourgogne-Franche-ComtÃ©</t>
  </si>
  <si>
    <t>AULNAY-SOUS-BOIS</t>
  </si>
  <si>
    <t>Aulnay-sous-Bois</t>
  </si>
  <si>
    <t>Aurillac</t>
  </si>
  <si>
    <t>AUTUN</t>
  </si>
  <si>
    <t>Autun</t>
  </si>
  <si>
    <t>Auxerre</t>
  </si>
  <si>
    <t>Avignon</t>
  </si>
  <si>
    <t>AVION</t>
  </si>
  <si>
    <t>Avion</t>
  </si>
  <si>
    <t>Avon</t>
  </si>
  <si>
    <t>BãGLES</t>
  </si>
  <si>
    <t>BÃ¨gles</t>
  </si>
  <si>
    <t>Bá © thune</t>
  </si>
  <si>
    <t>BÃ©thune</t>
  </si>
  <si>
    <t>B © Ziers</t>
  </si>
  <si>
    <t>BÃ©ziers</t>
  </si>
  <si>
    <t>Bagneux</t>
  </si>
  <si>
    <t>Bagnolet</t>
  </si>
  <si>
    <t>Bagnols-sur-Cãze</t>
  </si>
  <si>
    <t>Bagnols-sur-CÃ¨ze</t>
  </si>
  <si>
    <t>Balma</t>
  </si>
  <si>
    <t>Bar-le-duc</t>
  </si>
  <si>
    <t>Bar-le-Duc</t>
  </si>
  <si>
    <t>Bastia</t>
  </si>
  <si>
    <t>Bayonne</t>
  </si>
  <si>
    <t>Beaune</t>
  </si>
  <si>
    <t>Beauvais</t>
  </si>
  <si>
    <t>Belfort</t>
  </si>
  <si>
    <t>Berck</t>
  </si>
  <si>
    <t>BERCK-PLAGE</t>
  </si>
  <si>
    <t>Berck-Plage</t>
  </si>
  <si>
    <t>Bergerac</t>
  </si>
  <si>
    <t>Besanãon</t>
  </si>
  <si>
    <t>BesanÃ§on</t>
  </si>
  <si>
    <t>Bezons</t>
  </si>
  <si>
    <t>Biarritz</t>
  </si>
  <si>
    <t>Bischheim</t>
  </si>
  <si>
    <t>Blagnac</t>
  </si>
  <si>
    <t>Blanquefort</t>
  </si>
  <si>
    <t>Blois</t>
  </si>
  <si>
    <t>Bobigny</t>
  </si>
  <si>
    <t>Bois-Colombes</t>
  </si>
  <si>
    <t>Boissy-Saint-Lé Ger</t>
  </si>
  <si>
    <t>Boissy-Saint-LÃ©ger</t>
  </si>
  <si>
    <t>Bondy</t>
  </si>
  <si>
    <t>Bonneuil-sur-Marne</t>
  </si>
  <si>
    <t>Bordeaux</t>
  </si>
  <si>
    <t>Bouguenais</t>
  </si>
  <si>
    <t>Boulogne-Billancourt</t>
  </si>
  <si>
    <t>Boulogne-sur-Mer</t>
  </si>
  <si>
    <t>Bourg-en-Bresse</t>
  </si>
  <si>
    <t>Bourges</t>
  </si>
  <si>
    <t>Valência de Bourg-lins</t>
  </si>
  <si>
    <t>Bourg-lÃ¨s-Valence</t>
  </si>
  <si>
    <t>Bourg-La-Reine</t>
  </si>
  <si>
    <t>Bourg-la-Reine</t>
  </si>
  <si>
    <t>Bourgoin</t>
  </si>
  <si>
    <t>Bourgoin-Jallieu</t>
  </si>
  <si>
    <t>Bré © Tigny-sur-rege</t>
  </si>
  <si>
    <t>BrÃ©tigny-sur-Orge</t>
  </si>
  <si>
    <t>Bressuire</t>
  </si>
  <si>
    <t>Brittany</t>
  </si>
  <si>
    <t>BRIE-COMTE-ROBERT</t>
  </si>
  <si>
    <t>Brie-Comte-Robert</t>
  </si>
  <si>
    <t>Brignóis</t>
  </si>
  <si>
    <t>Brignoles</t>
  </si>
  <si>
    <t>Brive-La-Gaillarde</t>
  </si>
  <si>
    <t>Brive-la-Gaillarde</t>
  </si>
  <si>
    <t>Bron</t>
  </si>
  <si>
    <t>Bruay-La-Buissiãre</t>
  </si>
  <si>
    <t>Bruay-la-BuissiÃ¨re</t>
  </si>
  <si>
    <t>Brunoy</t>
  </si>
  <si>
    <t>Bry-sur-Marne</t>
  </si>
  <si>
    <t>Cachan</t>
  </si>
  <si>
    <t>Caen</t>
  </si>
  <si>
    <t>Cagnes-sur-Mer</t>
  </si>
  <si>
    <t>Cahors</t>
  </si>
  <si>
    <t>Calais</t>
  </si>
  <si>
    <t>Caluire-et-Cuire</t>
  </si>
  <si>
    <t>Cambrai</t>
  </si>
  <si>
    <t>Cannes</t>
  </si>
  <si>
    <t>Canteleu</t>
  </si>
  <si>
    <t>Carcassonne</t>
  </si>
  <si>
    <t>Carpentras</t>
  </si>
  <si>
    <t>Carquefou</t>
  </si>
  <si>
    <t>Carrianhres-Sousy-Poissy</t>
  </si>
  <si>
    <t>CarriÃ¨res-sous-Poissy</t>
  </si>
  <si>
    <t>Carvin</t>
  </si>
  <si>
    <t>Castelnau-le-Lez</t>
  </si>
  <si>
    <t>Castres</t>
  </si>
  <si>
    <t>Cavaillon</t>
  </si>
  <si>
    <t>Cenon</t>
  </si>
  <si>
    <t>Cergy</t>
  </si>
  <si>
    <t>Cergy-Pontoise</t>
  </si>
  <si>
    <t>Cesson-S © Vigné</t>
  </si>
  <si>
    <t>Cesson-SÃ©vignÃ©</t>
  </si>
  <si>
    <t>Cestas</t>
  </si>
  <si>
    <t>CHÉ LONS-EN-CAMPAGNE</t>
  </si>
  <si>
    <t>ChÃ¢lons-en-Champagne</t>
  </si>
  <si>
    <t>Chéaudun</t>
  </si>
  <si>
    <t>ChÃ¢teaudun</t>
  </si>
  <si>
    <t>CHÉ TEAUROUX</t>
  </si>
  <si>
    <t>ChÃ¢teauroux</t>
  </si>
  <si>
    <t>CHÉ TEU-THIERRY</t>
  </si>
  <si>
    <t>ChÃ¢teau-Thierry</t>
  </si>
  <si>
    <t>CH ¢ TellerAult</t>
  </si>
  <si>
    <t>ChÃ¢tellerault</t>
  </si>
  <si>
    <t>Ché Tenay-Malabry</t>
  </si>
  <si>
    <t>ChÃ¢tenay-Malabry</t>
  </si>
  <si>
    <t>CH. Tillon</t>
  </si>
  <si>
    <t>ChÃ¢tillon</t>
  </si>
  <si>
    <t>Challans</t>
  </si>
  <si>
    <t>Chalon-sur-Saã</t>
  </si>
  <si>
    <t>Chalon-sur-SaÃ´ne</t>
  </si>
  <si>
    <t>Chamaliãres</t>
  </si>
  <si>
    <t>ChamaliÃ¨res</t>
  </si>
  <si>
    <t>Chambé ry</t>
  </si>
  <si>
    <t>ChambÃ©ry</t>
  </si>
  <si>
    <t>Champigny-sur-Marne</t>
  </si>
  <si>
    <t>Champs-sur-Marne</t>
  </si>
  <si>
    <t>Charenton-le-Pont</t>
  </si>
  <si>
    <t>CHARLEVILLE-MO © ​​ZIãRES</t>
  </si>
  <si>
    <t>Charleville-MÃ©ziÃ¨res</t>
  </si>
  <si>
    <t>Chartres</t>
  </si>
  <si>
    <t>Chatou</t>
  </si>
  <si>
    <t>Chaumont</t>
  </si>
  <si>
    <t>Chaville</t>
  </si>
  <si>
    <t>Chelas</t>
  </si>
  <si>
    <t>Chelles</t>
  </si>
  <si>
    <t>Chenã</t>
  </si>
  <si>
    <t>ChenÃ´ve</t>
  </si>
  <si>
    <t>Chenneviires-sur-marne</t>
  </si>
  <si>
    <t>ChenneviÃ¨res-sur-Marne</t>
  </si>
  <si>
    <t>Cherbourg-Octeville</t>
  </si>
  <si>
    <t>Chevilly Larue</t>
  </si>
  <si>
    <t>Chevilly-Larue</t>
  </si>
  <si>
    <t>Fria-mazarina</t>
  </si>
  <si>
    <t>Chilly-Mazarin</t>
  </si>
  <si>
    <t>Choisy-le-Roi</t>
  </si>
  <si>
    <t>CHOLET</t>
  </si>
  <si>
    <t>Cholet</t>
  </si>
  <si>
    <t>Clamart</t>
  </si>
  <si>
    <t>Clermont-Ferrand</t>
  </si>
  <si>
    <t>Clichy</t>
  </si>
  <si>
    <t>Clichy-Sous-bois</t>
  </si>
  <si>
    <t>Clichy-sous-Bois</t>
  </si>
  <si>
    <t>Bacos</t>
  </si>
  <si>
    <t>Cluses</t>
  </si>
  <si>
    <t>Conhaque</t>
  </si>
  <si>
    <t>Cognac</t>
  </si>
  <si>
    <t>Colmar</t>
  </si>
  <si>
    <t>Colombos</t>
  </si>
  <si>
    <t>Colombes</t>
  </si>
  <si>
    <t>Colomiers</t>
  </si>
  <si>
    <t>Combs-la-ville</t>
  </si>
  <si>
    <t>Combs-la-Ville</t>
  </si>
  <si>
    <t>Compiãgne</t>
  </si>
  <si>
    <t>CompiÃ¨gne</t>
  </si>
  <si>
    <t>Concarneau</t>
  </si>
  <si>
    <t>Conflans-sainte-homonorino</t>
  </si>
  <si>
    <t>Conflans-Sainte-Honorine</t>
  </si>
  <si>
    <t>Corbeil-ESONNES</t>
  </si>
  <si>
    <t>Corbeil-Essonnes</t>
  </si>
  <si>
    <t>Cormeilles-en-parisis</t>
  </si>
  <si>
    <t>Cormeilles-en-Parisis</t>
  </si>
  <si>
    <t>Couã ron</t>
  </si>
  <si>
    <t>CouÃ«ron</t>
  </si>
  <si>
    <t>Coudekerque-Branche</t>
  </si>
  <si>
    <t>Coulommiers</t>
  </si>
  <si>
    <t>Courbevoie</t>
  </si>
  <si>
    <t>Cournon-d-Auvergne</t>
  </si>
  <si>
    <t>Cournon-dâ€™Auvergne</t>
  </si>
  <si>
    <t>Cr © py-en-valois</t>
  </si>
  <si>
    <t>CrÃ©py-en-Valois</t>
  </si>
  <si>
    <t>Cr © Teil</t>
  </si>
  <si>
    <t>CrÃ©teil</t>
  </si>
  <si>
    <t>Cran-gevrier</t>
  </si>
  <si>
    <t>Cran-Gevrier</t>
  </si>
  <si>
    <t>Creil</t>
  </si>
  <si>
    <t>Croix</t>
  </si>
  <si>
    <t>CUGNAUX</t>
  </si>
  <si>
    <t>Cugnaux</t>
  </si>
  <si>
    <t>Dé Cines-Charpieu</t>
  </si>
  <si>
    <t>DÃ©cines-Charpieu</t>
  </si>
  <si>
    <t>Dammarie-les-lys</t>
  </si>
  <si>
    <t>Dammarie-les-Lys</t>
  </si>
  <si>
    <t>Dax</t>
  </si>
  <si>
    <t>Denain</t>
  </si>
  <si>
    <t>Deuil-La-Barre</t>
  </si>
  <si>
    <t>Deuil-la-Barre</t>
  </si>
  <si>
    <t>Digne-les-Bains</t>
  </si>
  <si>
    <t>Dijon</t>
  </si>
  <si>
    <t>Dole</t>
  </si>
  <si>
    <t>DOMONT</t>
  </si>
  <si>
    <t>Domont</t>
  </si>
  <si>
    <t>Douai</t>
  </si>
  <si>
    <t>DOUNENENEZ</t>
  </si>
  <si>
    <t>Douarnenez</t>
  </si>
  <si>
    <t>Draguignan</t>
  </si>
  <si>
    <t>Drancy</t>
  </si>
  <si>
    <t>Draveil</t>
  </si>
  <si>
    <t>Dreux</t>
  </si>
  <si>
    <t>Dunkerque</t>
  </si>
  <si>
    <t>Eaubonne</t>
  </si>
  <si>
    <t>Elbeuf</t>
  </si>
  <si>
    <t>Ermont</t>
  </si>
  <si>
    <t>Eysines</t>
  </si>
  <si>
    <t>Fé Camp</t>
  </si>
  <si>
    <t>FÃ©camp</t>
  </si>
  <si>
    <t>Faches-thumesnil</t>
  </si>
  <si>
    <t>Faches-Thumesnil</t>
  </si>
  <si>
    <t>Firminy</t>
  </si>
  <si>
    <t>Flers</t>
  </si>
  <si>
    <t>Fleury-les-Aubrais</t>
  </si>
  <si>
    <t>FLOIRAC</t>
  </si>
  <si>
    <t>Floirac</t>
  </si>
  <si>
    <t>Fontaine</t>
  </si>
  <si>
    <t>Fontainebleau</t>
  </si>
  <si>
    <t>Fontenay-Aux-Roses</t>
  </si>
  <si>
    <t>Fontenay-aux-Roses</t>
  </si>
  <si>
    <t>Fontenay-le-com</t>
  </si>
  <si>
    <t>Fontenay-le-Comte</t>
  </si>
  <si>
    <t>Fontenay-Sous-bois</t>
  </si>
  <si>
    <t>Fontenay-sous-Bois</t>
  </si>
  <si>
    <t>Forbach</t>
  </si>
  <si>
    <t>Fos-sur-Mer</t>
  </si>
  <si>
    <t>Fougãres</t>
  </si>
  <si>
    <t>FougÃ¨res</t>
  </si>
  <si>
    <t>Fr © Jus</t>
  </si>
  <si>
    <t>FrÃ©jus</t>
  </si>
  <si>
    <t>Franconville</t>
  </si>
  <si>
    <t>Fresnes</t>
  </si>
  <si>
    <t>Frontignan</t>
  </si>
  <si>
    <t>Gagny</t>
  </si>
  <si>
    <t>Brecha</t>
  </si>
  <si>
    <t>Gap</t>
  </si>
  <si>
    <t>Garches</t>
  </si>
  <si>
    <t>Gardanne</t>
  </si>
  <si>
    <t>Garges-Lã-Goneesse</t>
  </si>
  <si>
    <t>Garges-lÃ¨s-Gonesse</t>
  </si>
  <si>
    <t>Gennevilliers</t>
  </si>
  <si>
    <t>Gentilly</t>
  </si>
  <si>
    <t>Gien</t>
  </si>
  <si>
    <t>Gif-sur-yvette</t>
  </si>
  <si>
    <t>Gif-sur-Yvette</t>
  </si>
  <si>
    <t>Givors</t>
  </si>
  <si>
    <t>Gonesse</t>
  </si>
  <si>
    <t>Goussainville</t>
  </si>
  <si>
    <t>Gradignan</t>
  </si>
  <si>
    <t>Grande-Synthe</t>
  </si>
  <si>
    <t>Grasse</t>
  </si>
  <si>
    <t>Grenoble</t>
  </si>
  <si>
    <t>Grigny</t>
  </si>
  <si>
    <t>Guá © Rande</t>
  </si>
  <si>
    <t>GuÃ©rande</t>
  </si>
  <si>
    <t>Gu' © ret</t>
  </si>
  <si>
    <t>GuÃ©ret</t>
  </si>
  <si>
    <t>Gujan-Mestras</t>
  </si>
  <si>
    <t>Guyancourt</t>
  </si>
  <si>
    <t>H © Nin-Beaumont</t>
  </si>
  <si>
    <t>HÃ©nin-Beaumont</t>
  </si>
  <si>
    <t>H © Rouville-Saint-Clair</t>
  </si>
  <si>
    <t>HÃ©rouville-Saint-Clair</t>
  </si>
  <si>
    <t>Haguenau</t>
  </si>
  <si>
    <t>Halluin</t>
  </si>
  <si>
    <t>Haubourdin</t>
  </si>
  <si>
    <t>Hautmont</t>
  </si>
  <si>
    <t>Hayange</t>
  </si>
  <si>
    <t>Hazebrouck</t>
  </si>
  <si>
    <t>Bainha</t>
  </si>
  <si>
    <t>Hem</t>
  </si>
  <si>
    <t>Herblay</t>
  </si>
  <si>
    <t>Houilles</t>
  </si>
  <si>
    <t>Hyãres</t>
  </si>
  <si>
    <t>HyÃ¨res</t>
  </si>
  <si>
    <t>Illkirch-Graffenstaden</t>
  </si>
  <si>
    <t>Illzach</t>
  </si>
  <si>
    <t>Issoire</t>
  </si>
  <si>
    <t>Issy-les-Moulineaux</t>
  </si>
  <si>
    <t>Istres</t>
  </si>
  <si>
    <t>Ivry-sur-seine</t>
  </si>
  <si>
    <t>Ivry-sur-Seine</t>
  </si>
  <si>
    <t>Joinville-le-Pont</t>
  </si>
  <si>
    <t>JOU © -LO © S-TOURS</t>
  </si>
  <si>
    <t>JouÃ©-lÃ©s-Tours</t>
  </si>
  <si>
    <t>Jouy-le-Moutier</t>
  </si>
  <si>
    <t>La Baule-Escoublac</t>
  </si>
  <si>
    <t>La Celle-Saint-Cloud</t>
  </si>
  <si>
    <t>La Chapelle-surdre</t>
  </si>
  <si>
    <t>La Chapelle-sur-Erdre</t>
  </si>
  <si>
    <t>La Ciotat</t>
  </si>
  <si>
    <t>La Courneuve</t>
  </si>
  <si>
    <t>La Crau</t>
  </si>
  <si>
    <t>La Defesa</t>
  </si>
  <si>
    <t>La Defense</t>
  </si>
  <si>
    <t>La Flãche</t>
  </si>
  <si>
    <t>La FlÃ¨che</t>
  </si>
  <si>
    <t>La Garde</t>
  </si>
  <si>
    <t>La Garenne-Colombes</t>
  </si>
  <si>
    <t>La madeleine</t>
  </si>
  <si>
    <t>La Madeleine</t>
  </si>
  <si>
    <t>La Rochelle</t>
  </si>
  <si>
    <t>La Roche-sur-yon</t>
  </si>
  <si>
    <t>La Roche-sur-Yon</t>
  </si>
  <si>
    <t>La Seyne-sur-Mer</t>
  </si>
  <si>
    <t>La teste-de-buch</t>
  </si>
  <si>
    <t>La Teste-de-Buch</t>
  </si>
  <si>
    <t>La Valette-Du-Var</t>
  </si>
  <si>
    <t>La Valette-du-Var</t>
  </si>
  <si>
    <t>Isle-surgue lâ €</t>
  </si>
  <si>
    <t>Lâ€™Isle-sur-la-Sorgue</t>
  </si>
  <si>
    <t>Lagny-sur-Marne</t>
  </si>
  <si>
    <t>LamberSart</t>
  </si>
  <si>
    <t>Lambersart</t>
  </si>
  <si>
    <t>Landerneau</t>
  </si>
  <si>
    <t>Lanester</t>
  </si>
  <si>
    <t>Lannion</t>
  </si>
  <si>
    <t>Laon</t>
  </si>
  <si>
    <t>LATTES</t>
  </si>
  <si>
    <t>Lattes</t>
  </si>
  <si>
    <t>Laxou</t>
  </si>
  <si>
    <t>Le Blanc-Mesnil</t>
  </si>
  <si>
    <t>Le Bouscat</t>
  </si>
  <si>
    <t>Le Cannet</t>
  </si>
  <si>
    <t>Le Chesnay</t>
  </si>
  <si>
    <t>Le Creusot</t>
  </si>
  <si>
    <t>Le Grand-Quevilly</t>
  </si>
  <si>
    <t>Le Havre</t>
  </si>
  <si>
    <t>Le kremlin-bicãªtre</t>
  </si>
  <si>
    <t>Le Kremlin-BicÃªtre</t>
  </si>
  <si>
    <t>Le M © E-Sur-Seine</t>
  </si>
  <si>
    <t>Le MÃ©e-sur-Seine</t>
  </si>
  <si>
    <t>Le Mans</t>
  </si>
  <si>
    <t>Le pecq</t>
  </si>
  <si>
    <t>Le Pecq</t>
  </si>
  <si>
    <t>Le Perreux-sur-Marne</t>
  </si>
  <si>
    <t>Le Petit-Quevilly</t>
  </si>
  <si>
    <t>Le Plessis-Robinson</t>
  </si>
  <si>
    <t>Le Plessis-Tré Vise</t>
  </si>
  <si>
    <t>Le Plessis-TrÃ©vise</t>
  </si>
  <si>
    <t>Le Pontet</t>
  </si>
  <si>
    <t>Le prã-Saint-Gervais</t>
  </si>
  <si>
    <t>Le PrÃ©-Saint-Gervais</t>
  </si>
  <si>
    <t>Le Puy-envely</t>
  </si>
  <si>
    <t>Le Puy-en-Velay</t>
  </si>
  <si>
    <t>Le v © sinet</t>
  </si>
  <si>
    <t>Le VÃ©sinet</t>
  </si>
  <si>
    <t>Lente</t>
  </si>
  <si>
    <t>Lens</t>
  </si>
  <si>
    <t>Les Clayes-Sous-bois</t>
  </si>
  <si>
    <t>Les Clayes-sous-Bois</t>
  </si>
  <si>
    <t>Les Herbiers</t>
  </si>
  <si>
    <t>Les Lilas</t>
  </si>
  <si>
    <t>Les Mureaux</t>
  </si>
  <si>
    <t>Les Pavillons-Sous-bois</t>
  </si>
  <si>
    <t>Les Pavillons-sous-Bois</t>
  </si>
  <si>
    <t>Les Pennes-Mirabeau</t>
  </si>
  <si>
    <t>Les Sables-D'olonne</t>
  </si>
  <si>
    <t>Les Sables-d'Olonne</t>
  </si>
  <si>
    <t>Les Ulis</t>
  </si>
  <si>
    <t>Levallois-Perret</t>
  </si>
  <si>
    <t>L'A HAL-LE-ROSES</t>
  </si>
  <si>
    <t>L'HaÃ¿-les-Roses</t>
  </si>
  <si>
    <t>Lié Vin</t>
  </si>
  <si>
    <t>LiÃ©vin</t>
  </si>
  <si>
    <t>Libourne</t>
  </si>
  <si>
    <t>Limay</t>
  </si>
  <si>
    <t>Limeil-Bré Vannes</t>
  </si>
  <si>
    <t>Limeil-BrÃ©vannes</t>
  </si>
  <si>
    <t>Limoges</t>
  </si>
  <si>
    <t>Lingolsheim</t>
  </si>
  <si>
    <t>Lisieux</t>
  </si>
  <si>
    <t>Livry-Gargan</t>
  </si>
  <si>
    <t>Lognes</t>
  </si>
  <si>
    <t>Lomme</t>
  </si>
  <si>
    <t>Longjumeau</t>
  </si>
  <si>
    <t>Lons-le-Saunier</t>
  </si>
  <si>
    <t>Loos</t>
  </si>
  <si>
    <t>Loriente</t>
  </si>
  <si>
    <t>Lorient</t>
  </si>
  <si>
    <t>Lormont</t>
  </si>
  <si>
    <t>Lourdes</t>
  </si>
  <si>
    <t>Louviers</t>
  </si>
  <si>
    <t>LUCO ©</t>
  </si>
  <si>
    <t>LucÃ©</t>
  </si>
  <si>
    <t>Luné ville</t>
  </si>
  <si>
    <t>LunÃ©ville</t>
  </si>
  <si>
    <t>Lunel</t>
  </si>
  <si>
    <t>Lyon</t>
  </si>
  <si>
    <t>M ¢ con</t>
  </si>
  <si>
    <t>MÃ¢con</t>
  </si>
  <si>
    <t>M © rignac</t>
  </si>
  <si>
    <t>MÃ©rignac</t>
  </si>
  <si>
    <t>Notasons-Alfort</t>
  </si>
  <si>
    <t>Maisons-Alfort</t>
  </si>
  <si>
    <t>Maisões-Laffitte</t>
  </si>
  <si>
    <t>Maisons-Laffitte</t>
  </si>
  <si>
    <t>Malakoff</t>
  </si>
  <si>
    <t>Mandelieu-La-Napoule</t>
  </si>
  <si>
    <t>Mandelieu-la-Napoule</t>
  </si>
  <si>
    <t>Manosco</t>
  </si>
  <si>
    <t>Manosque</t>
  </si>
  <si>
    <t>Mantes-La-Jolie</t>
  </si>
  <si>
    <t>Mantes-la-Jolie</t>
  </si>
  <si>
    <t>Mantes-La-Ville</t>
  </si>
  <si>
    <t>Mantes-la-Ville</t>
  </si>
  <si>
    <t>Marcq-en-Barå “ul</t>
  </si>
  <si>
    <t>Marcq-en-BarÅ“ul</t>
  </si>
  <si>
    <t>Marignane</t>
  </si>
  <si>
    <t>Marly-le-Roi</t>
  </si>
  <si>
    <t>Marmande</t>
  </si>
  <si>
    <t>Marselha</t>
  </si>
  <si>
    <t>Marseille</t>
  </si>
  <si>
    <t>Marselha 01</t>
  </si>
  <si>
    <t>Marseille 01</t>
  </si>
  <si>
    <t>Marselha 02</t>
  </si>
  <si>
    <t>Marseille 02</t>
  </si>
  <si>
    <t>Marselha 03</t>
  </si>
  <si>
    <t>Marseille 03</t>
  </si>
  <si>
    <t>Marselha 04</t>
  </si>
  <si>
    <t>Marseille 04</t>
  </si>
  <si>
    <t>Marselha 05</t>
  </si>
  <si>
    <t>Marseille 05</t>
  </si>
  <si>
    <t>Marselha 06</t>
  </si>
  <si>
    <t>Marseille 06</t>
  </si>
  <si>
    <t>Marselha 07</t>
  </si>
  <si>
    <t>Marseille 07</t>
  </si>
  <si>
    <t>Marselha 08</t>
  </si>
  <si>
    <t>Marseille 08</t>
  </si>
  <si>
    <t>Marselha 09</t>
  </si>
  <si>
    <t>Marseille 09</t>
  </si>
  <si>
    <t>Marselha 10</t>
  </si>
  <si>
    <t>Marseille 10</t>
  </si>
  <si>
    <t>Marselha 11</t>
  </si>
  <si>
    <t>Marseille 11</t>
  </si>
  <si>
    <t>Marselha 12</t>
  </si>
  <si>
    <t>Marseille 12</t>
  </si>
  <si>
    <t>Marselha 13</t>
  </si>
  <si>
    <t>Marseille 13</t>
  </si>
  <si>
    <t>Marselha 14</t>
  </si>
  <si>
    <t>Marseille 14</t>
  </si>
  <si>
    <t>Marselha 15</t>
  </si>
  <si>
    <t>Marseille 15</t>
  </si>
  <si>
    <t>Marselha 16</t>
  </si>
  <si>
    <t>Marseille 16</t>
  </si>
  <si>
    <t>Martigues</t>
  </si>
  <si>
    <t>Massy</t>
  </si>
  <si>
    <t>Maubeuge</t>
  </si>
  <si>
    <t>Mauguio</t>
  </si>
  <si>
    <t>Maurepas</t>
  </si>
  <si>
    <t>Mayenne</t>
  </si>
  <si>
    <t>Meaux</t>
  </si>
  <si>
    <t>Melun</t>
  </si>
  <si>
    <t>Menton</t>
  </si>
  <si>
    <t>Metz</t>
  </si>
  <si>
    <t>Meudon</t>
  </si>
  <si>
    <t>Meylan</t>
  </si>
  <si>
    <t>Meyzieu</t>
  </si>
  <si>
    <t>Millau</t>
  </si>
  <si>
    <t>Miramas</t>
  </si>
  <si>
    <t>Mitry-Mory</t>
  </si>
  <si>
    <t>Moíio-Cramayel</t>
  </si>
  <si>
    <t>Moissy-Cramayel</t>
  </si>
  <si>
    <t>Mons-en-Barå “Ul</t>
  </si>
  <si>
    <t>Mons-en-BarÅ“ul</t>
  </si>
  <si>
    <t>Monté Limar</t>
  </si>
  <si>
    <t>MontÃ©limar</t>
  </si>
  <si>
    <t>Montargis</t>
  </si>
  <si>
    <t>Montauban</t>
  </si>
  <si>
    <t>Montbé Liard</t>
  </si>
  <si>
    <t>MontbÃ©liard</t>
  </si>
  <si>
    <t>Montbrison</t>
  </si>
  <si>
    <t>Montceau-les-Mines</t>
  </si>
  <si>
    <t>Mont-de-Marsan</t>
  </si>
  <si>
    <t>Montereau-Fault-Yonne</t>
  </si>
  <si>
    <t>Montesson</t>
  </si>
  <si>
    <t>Montfermeil</t>
  </si>
  <si>
    <t>Montgeron</t>
  </si>
  <si>
    <t>Montigny-lin-Cormeilles</t>
  </si>
  <si>
    <t>Montigny-lÃ¨s-Cormeilles</t>
  </si>
  <si>
    <t>Montigny-lin-Metz</t>
  </si>
  <si>
    <t>Montigny-lÃ¨s-Metz</t>
  </si>
  <si>
    <t>Montigny-le-Bretonneux</t>
  </si>
  <si>
    <t>Montivilliers</t>
  </si>
  <si>
    <t>Montluí</t>
  </si>
  <si>
    <t>MontluÃ§on</t>
  </si>
  <si>
    <t>Montmorency</t>
  </si>
  <si>
    <t>Montpellier</t>
  </si>
  <si>
    <t>Montreuil</t>
  </si>
  <si>
    <t>Montrouge</t>
  </si>
  <si>
    <t>Mont-Saint-Reignan</t>
  </si>
  <si>
    <t>Mont-Saint-Aignan</t>
  </si>
  <si>
    <t>Morlaix</t>
  </si>
  <si>
    <t>Morsang-sur-rege</t>
  </si>
  <si>
    <t>Morsang-sur-Orge</t>
  </si>
  <si>
    <t>Mougins</t>
  </si>
  <si>
    <t>Moulins</t>
  </si>
  <si>
    <t>Mulhouse</t>
  </si>
  <si>
    <t>MURET</t>
  </si>
  <si>
    <t>Muret</t>
  </si>
  <si>
    <t>Nã®mes</t>
  </si>
  <si>
    <t>NÃ®mes</t>
  </si>
  <si>
    <t>Nancy</t>
  </si>
  <si>
    <t>Nantere</t>
  </si>
  <si>
    <t>Nanterre</t>
  </si>
  <si>
    <t>Nantes</t>
  </si>
  <si>
    <t>Narbonne</t>
  </si>
  <si>
    <t>Neuilly-Plaince</t>
  </si>
  <si>
    <t>Neuilly-Plaisance</t>
  </si>
  <si>
    <t>Neuilly-sur-Marne</t>
  </si>
  <si>
    <t>Neuilly-sur-seine</t>
  </si>
  <si>
    <t>Neuilly-sur-Seine</t>
  </si>
  <si>
    <t>Nunca</t>
  </si>
  <si>
    <t>Nevers</t>
  </si>
  <si>
    <t>Legal</t>
  </si>
  <si>
    <t>Nice</t>
  </si>
  <si>
    <t>Niort</t>
  </si>
  <si>
    <t>Nogent-sur-Marne</t>
  </si>
  <si>
    <t>Nogent-sur-Oise</t>
  </si>
  <si>
    <t>Noisiel</t>
  </si>
  <si>
    <t>Grand-le-neta</t>
  </si>
  <si>
    <t>Noisy-le-Grand</t>
  </si>
  <si>
    <t>Noisy-le-Sec</t>
  </si>
  <si>
    <t>Noyon</t>
  </si>
  <si>
    <t>Octeville</t>
  </si>
  <si>
    <t>Olivet</t>
  </si>
  <si>
    <t>Orl © Ans</t>
  </si>
  <si>
    <t>OrlÃ©ans</t>
  </si>
  <si>
    <t>Orly</t>
  </si>
  <si>
    <t>Orsay</t>
  </si>
  <si>
    <t>Orvault</t>
  </si>
  <si>
    <t>Osny</t>
  </si>
  <si>
    <t>Oullins</t>
  </si>
  <si>
    <t>Outreau</t>
  </si>
  <si>
    <t>Oyonnax</t>
  </si>
  <si>
    <t>Ozoir-La-Ferriãre</t>
  </si>
  <si>
    <t>Ozoir-la-FerriÃ¨re</t>
  </si>
  <si>
    <t>Pé © Rigueux</t>
  </si>
  <si>
    <t>PÃ©rigueux</t>
  </si>
  <si>
    <t>Palaiseau</t>
  </si>
  <si>
    <t>Pamiers</t>
  </si>
  <si>
    <t>Pantin</t>
  </si>
  <si>
    <t>Paris</t>
  </si>
  <si>
    <t>Pau</t>
  </si>
  <si>
    <t>Perpignan</t>
  </si>
  <si>
    <t>Peruis</t>
  </si>
  <si>
    <t>Pertuis</t>
  </si>
  <si>
    <t>Pessac</t>
  </si>
  <si>
    <t>Pierrefitte-sur-seine</t>
  </si>
  <si>
    <t>Pierrefitte-sur-Seine</t>
  </si>
  <si>
    <t>Plaiance-Du-Touch</t>
  </si>
  <si>
    <t>Plaisance-du-Touch</t>
  </si>
  <si>
    <t>Plaisir</t>
  </si>
  <si>
    <t>Ploemeur</t>
  </si>
  <si>
    <t>Poissy</t>
  </si>
  <si>
    <t>Poitiers</t>
  </si>
  <si>
    <t>Pont-ã-Mousson</t>
  </si>
  <si>
    <t>Pont-Ã -Mousson</t>
  </si>
  <si>
    <t>Pontarlier</t>
  </si>
  <si>
    <t>PONTAULT-COMBAULT</t>
  </si>
  <si>
    <t>Pontault-Combault</t>
  </si>
  <si>
    <t>Pontivy</t>
  </si>
  <si>
    <t>PONTOISE</t>
  </si>
  <si>
    <t>Pontoise</t>
  </si>
  <si>
    <t>Port-de-Bouc</t>
  </si>
  <si>
    <t>Puteaux</t>
  </si>
  <si>
    <t>Quimper</t>
  </si>
  <si>
    <t>Rambouillet</t>
  </si>
  <si>
    <t>Reims</t>
  </si>
  <si>
    <t>Rennes</t>
  </si>
  <si>
    <t>Rezé</t>
  </si>
  <si>
    <t>RezÃ©</t>
  </si>
  <si>
    <t>Rillieux-la-pape</t>
  </si>
  <si>
    <t>Rillieux-la-Pape</t>
  </si>
  <si>
    <t>Riom</t>
  </si>
  <si>
    <t>Ris-Orangis</t>
  </si>
  <si>
    <t>Roanne</t>
  </si>
  <si>
    <t>Rochefort</t>
  </si>
  <si>
    <t>Rodez</t>
  </si>
  <si>
    <t>Roissy-en-Brie</t>
  </si>
  <si>
    <t>Romainville</t>
  </si>
  <si>
    <t>Romanos-sur-isãre</t>
  </si>
  <si>
    <t>Romans-sur-IsÃ¨re</t>
  </si>
  <si>
    <t>Romorantin-Lanthenay</t>
  </si>
  <si>
    <t>Ronchin</t>
  </si>
  <si>
    <t>Rosny-Sous-bois</t>
  </si>
  <si>
    <t>Rosny-sous-Bois</t>
  </si>
  <si>
    <t>ROUBAIX</t>
  </si>
  <si>
    <t>Roubaix</t>
  </si>
  <si>
    <t>Rouen</t>
  </si>
  <si>
    <t>Royan</t>
  </si>
  <si>
    <t>Rueil-Malmaison</t>
  </si>
  <si>
    <t>Saciar</t>
  </si>
  <si>
    <t>SÃ¨te</t>
  </si>
  <si>
    <t>Sãvres</t>
  </si>
  <si>
    <t>SÃ¨vres</t>
  </si>
  <si>
    <t>Sé Lestat</t>
  </si>
  <si>
    <t>SÃ©lestat</t>
  </si>
  <si>
    <t>Saint-ã Êr</t>
  </si>
  <si>
    <t>Saint-Ã‰grÃ¨ve</t>
  </si>
  <si>
    <t>Saint-Tienne</t>
  </si>
  <si>
    <t>Saint-Ã‰tienne</t>
  </si>
  <si>
    <t>Saint-Tienne-Du-Rouvray</t>
  </si>
  <si>
    <t>Saint-Ã‰tienne-du-Rouvray</t>
  </si>
  <si>
    <t>Saint-Amand-les-Eax</t>
  </si>
  <si>
    <t>Saint-Amand-les-Eaux</t>
  </si>
  <si>
    <t>Saint-Avertin</t>
  </si>
  <si>
    <t>Saint-Avold</t>
  </si>
  <si>
    <t>Saint-Brieuc</t>
  </si>
  <si>
    <t>Saint-Chamond</t>
  </si>
  <si>
    <t>Saint-cloud</t>
  </si>
  <si>
    <t>Saint-Cloud</t>
  </si>
  <si>
    <t>Saint-Cyr-Lâ € ã ã Cole</t>
  </si>
  <si>
    <t>Saint-Cyr-lâ€™Ã‰cole</t>
  </si>
  <si>
    <t>Saint-Cyr-sur-Loire</t>
  </si>
  <si>
    <t>Saint-denis</t>
  </si>
  <si>
    <t>Saint-Denis</t>
  </si>
  <si>
    <t>Saint-Dié-Des-Vosges</t>
  </si>
  <si>
    <t>Saint-DiÃ©-des-Vosges</t>
  </si>
  <si>
    <t>Saint-Dizier</t>
  </si>
  <si>
    <t>Sainte-Foy-Lona-Lyon</t>
  </si>
  <si>
    <t>Sainte-Foy-lÃ¨s-Lyon</t>
  </si>
  <si>
    <t>Sainte-Genevii-DeS-Bois</t>
  </si>
  <si>
    <t>Sainte-GeneviÃ¨ve-des-Bois</t>
  </si>
  <si>
    <t>SANTES</t>
  </si>
  <si>
    <t>Saintes</t>
  </si>
  <si>
    <t>Saint-Fons</t>
  </si>
  <si>
    <t>Saint-Genis-Laval</t>
  </si>
  <si>
    <t>Saint-Germain-en-laye</t>
  </si>
  <si>
    <t>Saint-Germain-en-Laye</t>
  </si>
  <si>
    <t>Saint-Gratien</t>
  </si>
  <si>
    <t>Saint-Herblain</t>
  </si>
  <si>
    <t>Saint-Jean-de-Braye</t>
  </si>
  <si>
    <t>Saint-Jean-de-La-Ruelle</t>
  </si>
  <si>
    <t>Saint-Jean-de-la-Ruelle</t>
  </si>
  <si>
    <t>Saint-l ã'</t>
  </si>
  <si>
    <t>Saint-LÃ´</t>
  </si>
  <si>
    <t>Saint-Laurent-Du-Var</t>
  </si>
  <si>
    <t>Saint-Laurent-du-Var</t>
  </si>
  <si>
    <t>Saint-Leu</t>
  </si>
  <si>
    <t>Saint-Leu-La-Forina</t>
  </si>
  <si>
    <t>Saint-Leu-la-ForÃªt</t>
  </si>
  <si>
    <t>Saint-Louis</t>
  </si>
  <si>
    <t>Saint-Mé Dard-en-Jalles</t>
  </si>
  <si>
    <t>Saint-MÃ©dard-en-Jalles</t>
  </si>
  <si>
    <t>Saint-Malo</t>
  </si>
  <si>
    <t>Saint-Mandé</t>
  </si>
  <si>
    <t>Saint-MandÃ©</t>
  </si>
  <si>
    <t>Saint-Martin-d'Res</t>
  </si>
  <si>
    <t>Saint-Martin-dâ€™HÃ¨res</t>
  </si>
  <si>
    <t>Saint-Maur-de-Fossé</t>
  </si>
  <si>
    <t>Saint-Maur-des-FossÃ©s</t>
  </si>
  <si>
    <t>Saint-Maximin-La-Sainte-Baume</t>
  </si>
  <si>
    <t>Saint-Maximin-la-Sainte-Baume</t>
  </si>
  <si>
    <t>Saint-Michel-Sur-Morge</t>
  </si>
  <si>
    <t>Saint-Michel-sur-Orge</t>
  </si>
  <si>
    <t>Saint-Nazaire</t>
  </si>
  <si>
    <t>Saint-omer</t>
  </si>
  <si>
    <t>Saint-Omer</t>
  </si>
  <si>
    <t>Saint-ouen</t>
  </si>
  <si>
    <t>Saint-Ouen</t>
  </si>
  <si>
    <t>Saint-Oen-lâ € ™ Aumã</t>
  </si>
  <si>
    <t>Saint-Ouen-lâ€™AumÃ´ne</t>
  </si>
  <si>
    <t>Saint-Pierre-de-Corps</t>
  </si>
  <si>
    <t>Saint-Pierre-des-Corps</t>
  </si>
  <si>
    <t>Saint-Pol-sur-Mer</t>
  </si>
  <si>
    <t>Saint-Priest</t>
  </si>
  <si>
    <t>Saint-Fentin</t>
  </si>
  <si>
    <t>Saint-Quentin</t>
  </si>
  <si>
    <t>Saint-Fentin-en-yvelines</t>
  </si>
  <si>
    <t>Saint-Quentin-en-Yvelines</t>
  </si>
  <si>
    <t>Saint-Raphaã l</t>
  </si>
  <si>
    <t>Saint-RaphaÃ«l</t>
  </si>
  <si>
    <t>Saint-S © Bastien-sur-Loire</t>
  </si>
  <si>
    <t>Saint-SÃ©bastien-sur-Loire</t>
  </si>
  <si>
    <t>Sallanches</t>
  </si>
  <si>
    <t>Salão-de-provenção</t>
  </si>
  <si>
    <t>Salon-de-Provence</t>
  </si>
  <si>
    <t>Sanary-sur-Mer</t>
  </si>
  <si>
    <t>Sannois</t>
  </si>
  <si>
    <t>Saran</t>
  </si>
  <si>
    <t>Sarcelles</t>
  </si>
  <si>
    <t>Sarreguemines</t>
  </si>
  <si>
    <t>Sartrouville</t>
  </si>
  <si>
    <t>Saumur</t>
  </si>
  <si>
    <t>Savigny-le-Temple</t>
  </si>
  <si>
    <t>Savigny-Sur-Morge</t>
  </si>
  <si>
    <t>Savigny-sur-Orge</t>
  </si>
  <si>
    <t>Sceaux</t>
  </si>
  <si>
    <t>Schiltigheim</t>
  </si>
  <si>
    <t>Sedan</t>
  </si>
  <si>
    <t>Senlis</t>
  </si>
  <si>
    <t>Sens</t>
  </si>
  <si>
    <t>Sevran</t>
  </si>
  <si>
    <t>Seynod</t>
  </si>
  <si>
    <t>Sin-le-Noble</t>
  </si>
  <si>
    <t>Seis-quatro-les-plages</t>
  </si>
  <si>
    <t>Six-Fours-les-Plages</t>
  </si>
  <si>
    <t>SOISSONS</t>
  </si>
  <si>
    <t>Soissons</t>
  </si>
  <si>
    <t>SOISY-SOUS-MONTMORANCE</t>
  </si>
  <si>
    <t>Soisy-sous-Montmorency</t>
  </si>
  <si>
    <t>Sorgues</t>
  </si>
  <si>
    <t>Sotteville-lã-Rouen</t>
  </si>
  <si>
    <t>Sotteville-lÃ¨s-Rouen</t>
  </si>
  <si>
    <t>Manchas</t>
  </si>
  <si>
    <t>Stains</t>
  </si>
  <si>
    <t>Estrasburgo</t>
  </si>
  <si>
    <t>Strasbourg</t>
  </si>
  <si>
    <t>Suty-en-Brie</t>
  </si>
  <si>
    <t>Sucy-en-Brie</t>
  </si>
  <si>
    <t>Suresnes</t>
  </si>
  <si>
    <t>Talência</t>
  </si>
  <si>
    <t>Talence</t>
  </si>
  <si>
    <t>Tarbes</t>
  </si>
  <si>
    <t>Tassin-La-Demi-Lune</t>
  </si>
  <si>
    <t>Tassin-la-Demi-Lune</t>
  </si>
  <si>
    <t>TAVERNY</t>
  </si>
  <si>
    <t>Taverny</t>
  </si>
  <si>
    <t>Tergnier</t>
  </si>
  <si>
    <t>Thiais</t>
  </si>
  <si>
    <t>Thionville</t>
  </si>
  <si>
    <t>Thonon-les-Bains</t>
  </si>
  <si>
    <t>Torcy</t>
  </si>
  <si>
    <t>Toul</t>
  </si>
  <si>
    <t>Toulon</t>
  </si>
  <si>
    <t>Toulouse</t>
  </si>
  <si>
    <t>TOURCOING</t>
  </si>
  <si>
    <t>Tourcoing</t>
  </si>
  <si>
    <t>TourLaville</t>
  </si>
  <si>
    <t>Tourlaville</t>
  </si>
  <si>
    <t>Tournefeuille</t>
  </si>
  <si>
    <t>Passeios</t>
  </si>
  <si>
    <t>Tours</t>
  </si>
  <si>
    <t>Trappes</t>
  </si>
  <si>
    <t>Tremblay-en-France</t>
  </si>
  <si>
    <t>Troyes</t>
  </si>
  <si>
    <t>Tule</t>
  </si>
  <si>
    <t>Tulle</t>
  </si>
  <si>
    <t>V © LIZY-VILLACOUBLAY</t>
  </si>
  <si>
    <t>VÃ©lizy-Villacoublay</t>
  </si>
  <si>
    <t>Vé © nissieux</t>
  </si>
  <si>
    <t>VÃ©nissieux</t>
  </si>
  <si>
    <t>Valência</t>
  </si>
  <si>
    <t>Valence</t>
  </si>
  <si>
    <t>Valenciennes</t>
  </si>
  <si>
    <t>Vallauris</t>
  </si>
  <si>
    <t>Vandå “Uvre-lã-Nancy</t>
  </si>
  <si>
    <t>VandÅ“uvre-lÃ¨s-Nancy</t>
  </si>
  <si>
    <t>Vannes</t>
  </si>
  <si>
    <t>Vanves</t>
  </si>
  <si>
    <t>VAULX-en-vavin</t>
  </si>
  <si>
    <t>Vaulx-en-Velin</t>
  </si>
  <si>
    <t>Vauré al</t>
  </si>
  <si>
    <t>VaurÃ©al</t>
  </si>
  <si>
    <t>Vence</t>
  </si>
  <si>
    <t>Vendã</t>
  </si>
  <si>
    <t>VendÃ´me</t>
  </si>
  <si>
    <t>Verdun</t>
  </si>
  <si>
    <t>Verneuil-sur-seine</t>
  </si>
  <si>
    <t>Verneuil-sur-Seine</t>
  </si>
  <si>
    <t>Verriãres-le-Buisson</t>
  </si>
  <si>
    <t>VerriÃ¨res-le-Buisson</t>
  </si>
  <si>
    <t>Versalhes</t>
  </si>
  <si>
    <t>Versailles</t>
  </si>
  <si>
    <t>Vertou</t>
  </si>
  <si>
    <t>Vesoul</t>
  </si>
  <si>
    <t>Vichy</t>
  </si>
  <si>
    <t>Vienne</t>
  </si>
  <si>
    <t>Vierzon</t>
  </si>
  <si>
    <t>Vigneux-sur-seine</t>
  </si>
  <si>
    <t>Vigneux-sur-Seine</t>
  </si>
  <si>
    <t>Villefontaine</t>
  </si>
  <si>
    <t>Villefranche-sur-Saã</t>
  </si>
  <si>
    <t>Villefranche-sur-SaÃ´ne</t>
  </si>
  <si>
    <t>Villejuif</t>
  </si>
  <si>
    <t>Villemomble</t>
  </si>
  <si>
    <t>Villanave-d'Ornon</t>
  </si>
  <si>
    <t>Villenave-dâ€™Ornon</t>
  </si>
  <si>
    <t>Villeneuve-d'ASCQ</t>
  </si>
  <si>
    <t>Villeneuve-d'Ascq</t>
  </si>
  <si>
    <t>Villeneuve-La-Garenne</t>
  </si>
  <si>
    <t>Villeneuve-la-Garenne</t>
  </si>
  <si>
    <t>Villeneuve-le-Roi</t>
  </si>
  <si>
    <t>Villeneuve-Saint-Georges</t>
  </si>
  <si>
    <t>Villeneuve-sur-lot</t>
  </si>
  <si>
    <t>Villeneuve-sur-Lot</t>
  </si>
  <si>
    <t>Villeparisis</t>
  </si>
  <si>
    <t>VillePinte</t>
  </si>
  <si>
    <t>Villepinte</t>
  </si>
  <si>
    <t>Villers-Lona-Nancy</t>
  </si>
  <si>
    <t>Villers-lÃ¨s-Nancy</t>
  </si>
  <si>
    <t>Villeurbanne</t>
  </si>
  <si>
    <t>Villiers-le-Bel</t>
  </si>
  <si>
    <t>Villiers-sur-Marne</t>
  </si>
  <si>
    <t>Vincennes</t>
  </si>
  <si>
    <t>Viroflay</t>
  </si>
  <si>
    <t>Viry-ch all Tillon</t>
  </si>
  <si>
    <t>Viry-ChÃ¢tillon</t>
  </si>
  <si>
    <t>Vitré ©</t>
  </si>
  <si>
    <t>VitrÃ©</t>
  </si>
  <si>
    <t>Vitrolles</t>
  </si>
  <si>
    <t>VITRY-LE-L-FRANONOIS</t>
  </si>
  <si>
    <t>Vitry-le-FranÃ§ois</t>
  </si>
  <si>
    <t>Vitry-sur-Seine</t>
  </si>
  <si>
    <t>Voiron</t>
  </si>
  <si>
    <t>Wasquehal</t>
  </si>
  <si>
    <t>Wattrelos</t>
  </si>
  <si>
    <t>Wittenheim</t>
  </si>
  <si>
    <t>Yerres</t>
  </si>
  <si>
    <t>Yutz</t>
  </si>
  <si>
    <t>Pimenta de caiena</t>
  </si>
  <si>
    <t>Cayenne</t>
  </si>
  <si>
    <t>French Guiana</t>
  </si>
  <si>
    <t>Guyane</t>
  </si>
  <si>
    <t>Kourou</t>
  </si>
  <si>
    <t>Matoury</t>
  </si>
  <si>
    <t>Ré Mire-Montjoly</t>
  </si>
  <si>
    <t>RÃ©mire-Montjoly</t>
  </si>
  <si>
    <t>Saint-Laurent-Du-Maroni</t>
  </si>
  <si>
    <t>Saint-Laurent-du-Maroni</t>
  </si>
  <si>
    <t>Faaa</t>
  </si>
  <si>
    <t>French Polynesia</t>
  </si>
  <si>
    <t>ÃŽles du Vent</t>
  </si>
  <si>
    <t>Papeete</t>
  </si>
  <si>
    <t>Punaauia</t>
  </si>
  <si>
    <t>Port-Aux-Franã§ais</t>
  </si>
  <si>
    <t>Port-aux-FranÃ§ais</t>
  </si>
  <si>
    <t>French Southern Territories</t>
  </si>
  <si>
    <t>Kerguelen</t>
  </si>
  <si>
    <t>Franceville</t>
  </si>
  <si>
    <t>Gabon</t>
  </si>
  <si>
    <t>Haut-OgoouÃ©</t>
  </si>
  <si>
    <t>Koulamouto</t>
  </si>
  <si>
    <t>Koulamoutou</t>
  </si>
  <si>
    <t>OgoouÃ©-Lolo</t>
  </si>
  <si>
    <t>Lambaré n © n ©</t>
  </si>
  <si>
    <t>LambarÃ©nÃ©</t>
  </si>
  <si>
    <t>Moyen-OgoouÃ©</t>
  </si>
  <si>
    <t>Libreville</t>
  </si>
  <si>
    <t>Estuaire</t>
  </si>
  <si>
    <t>Moanda</t>
  </si>
  <si>
    <t>Mouila</t>
  </si>
  <si>
    <t>NgouniÃ©</t>
  </si>
  <si>
    <t>Oyem</t>
  </si>
  <si>
    <t>Woleu-Ntem</t>
  </si>
  <si>
    <t>Port-Gentil</t>
  </si>
  <si>
    <t>OgoouÃ©-Maritime</t>
  </si>
  <si>
    <t>Tchibanga</t>
  </si>
  <si>
    <t>Nyanga</t>
  </si>
  <si>
    <t>Bakau</t>
  </si>
  <si>
    <t>Gambia</t>
  </si>
  <si>
    <t>Banjul</t>
  </si>
  <si>
    <t>Brikama</t>
  </si>
  <si>
    <t>Farafenni</t>
  </si>
  <si>
    <t>North Bank</t>
  </si>
  <si>
    <t>Lamin</t>
  </si>
  <si>
    <t>Sukuta</t>
  </si>
  <si>
    <t>Akhaltsikhe</t>
  </si>
  <si>
    <t>Georgia</t>
  </si>
  <si>
    <t>Samtskhe-Javakheti</t>
  </si>
  <si>
    <t>Batumi</t>
  </si>
  <si>
    <t>Ajaria</t>
  </si>
  <si>
    <t>Gori</t>
  </si>
  <si>
    <t>Shida Kartli</t>
  </si>
  <si>
    <t>Khashuri</t>
  </si>
  <si>
    <t>Kobuleti</t>
  </si>
  <si>
    <t>Kutaisi</t>
  </si>
  <si>
    <t>Imereti</t>
  </si>
  <si>
    <t>Marneuli</t>
  </si>
  <si>
    <t>Kvemo Kartli</t>
  </si>
  <si>
    <t>Ochâ € ™ amch â €</t>
  </si>
  <si>
    <t>Ochâ€™amchâ€™ire</t>
  </si>
  <si>
    <t>Abkhazia</t>
  </si>
  <si>
    <t>Ozurgeti</t>
  </si>
  <si>
    <t>Guria</t>
  </si>
  <si>
    <t>Eu</t>
  </si>
  <si>
    <t>Pâ€™otâ€™i</t>
  </si>
  <si>
    <t>Samegrelo and Zemo Svaneti</t>
  </si>
  <si>
    <t>Ferrugem AVI</t>
  </si>
  <si>
    <t>Rustâ€™avi</t>
  </si>
  <si>
    <t>Samtredia</t>
  </si>
  <si>
    <t>Senak 'eu</t>
  </si>
  <si>
    <t>Senakâ€™i</t>
  </si>
  <si>
    <t>Sokhumi</t>
  </si>
  <si>
    <t>STANTSIYA NOVYY AFON</t>
  </si>
  <si>
    <t>Stantsiya Novyy Afon</t>
  </si>
  <si>
    <t>Tbilisi</t>
  </si>
  <si>
    <t>T'bilisi</t>
  </si>
  <si>
    <t>Telavi</t>
  </si>
  <si>
    <t>Kakheti</t>
  </si>
  <si>
    <t>Tqvarch'eli</t>
  </si>
  <si>
    <t>Ts € khinvali</t>
  </si>
  <si>
    <t>Tsâ€™khinvali</t>
  </si>
  <si>
    <t>Tsqaltubo</t>
  </si>
  <si>
    <t>Zestap 'oni</t>
  </si>
  <si>
    <t>Zestapâ€™oni</t>
  </si>
  <si>
    <t>Zugdidi</t>
  </si>
  <si>
    <t>Aachen</t>
  </si>
  <si>
    <t>Germany</t>
  </si>
  <si>
    <t>North Rhine-Westphalia</t>
  </si>
  <si>
    <t>Aalen</t>
  </si>
  <si>
    <t>Baden-WÃ¼rttemberg</t>
  </si>
  <si>
    <t>Achern</t>
  </si>
  <si>
    <t>Achim</t>
  </si>
  <si>
    <t>Lower Saxony</t>
  </si>
  <si>
    <t>Adlershof</t>
  </si>
  <si>
    <t>Berlin</t>
  </si>
  <si>
    <t>Ahaus</t>
  </si>
  <si>
    <t>Ahlen</t>
  </si>
  <si>
    <t>Ahrensburg</t>
  </si>
  <si>
    <t>Schleswig-Holstein</t>
  </si>
  <si>
    <t>Ã - Hringen</t>
  </si>
  <si>
    <t>Ã–hringen</t>
  </si>
  <si>
    <t>Aichach</t>
  </si>
  <si>
    <t>Bavaria</t>
  </si>
  <si>
    <t>Albstadt</t>
  </si>
  <si>
    <t>Alfeld</t>
  </si>
  <si>
    <t>Alfter</t>
  </si>
  <si>
    <t>Alsdorf</t>
  </si>
  <si>
    <t>Alsfeld</t>
  </si>
  <si>
    <t>Hesse</t>
  </si>
  <si>
    <t>Altdorf</t>
  </si>
  <si>
    <t>Altena</t>
  </si>
  <si>
    <t>Altenburg</t>
  </si>
  <si>
    <t>Thuringia</t>
  </si>
  <si>
    <t>Altglienicke</t>
  </si>
  <si>
    <t>Alt-Hohensch nhhausen</t>
  </si>
  <si>
    <t>Alt-HohenschÃ¶nhausen</t>
  </si>
  <si>
    <t>Altona</t>
  </si>
  <si>
    <t>Hamburg</t>
  </si>
  <si>
    <t>Altstadt Nord</t>
  </si>
  <si>
    <t>Altstadt Sud</t>
  </si>
  <si>
    <t>Alzenau em Unterfranken</t>
  </si>
  <si>
    <t>Alzenau in Unterfranken</t>
  </si>
  <si>
    <t>Alzey</t>
  </si>
  <si>
    <t>Rheinland-Pfalz</t>
  </si>
  <si>
    <t>Amberg</t>
  </si>
  <si>
    <t>Andernach</t>
  </si>
  <si>
    <t>Angermãnde</t>
  </si>
  <si>
    <t>AngermÃ¼nde</t>
  </si>
  <si>
    <t>Brandenburg</t>
  </si>
  <si>
    <t>Annaberg-Buchholz</t>
  </si>
  <si>
    <t>Saxony</t>
  </si>
  <si>
    <t>Ansbach</t>
  </si>
  <si>
    <t>Ãbach-Palenberg</t>
  </si>
  <si>
    <t>Ãœbach-Palenberg</t>
  </si>
  <si>
    <t>Ã Berlingen</t>
  </si>
  <si>
    <t>Ãœberlingen</t>
  </si>
  <si>
    <t>APOLDA</t>
  </si>
  <si>
    <t>Apolda</t>
  </si>
  <si>
    <t>Arnsberg</t>
  </si>
  <si>
    <t>Arnstadt</t>
  </si>
  <si>
    <t>Aschaffenburg</t>
  </si>
  <si>
    <t>Ascheberg</t>
  </si>
  <si>
    <t>Aschersleben</t>
  </si>
  <si>
    <t>Saxony-Anhalt</t>
  </si>
  <si>
    <t>Atender</t>
  </si>
  <si>
    <t>Attendorn</t>
  </si>
  <si>
    <t>Aue</t>
  </si>
  <si>
    <t>Auerbach</t>
  </si>
  <si>
    <t>Augsburg</t>
  </si>
  <si>
    <t>Aurique</t>
  </si>
  <si>
    <t>Aurich</t>
  </si>
  <si>
    <t>Bãblingen</t>
  </si>
  <si>
    <t>BÃ¶blingen</t>
  </si>
  <si>
    <t>Bãnen</t>
  </si>
  <si>
    <t>BÃ¶nen</t>
  </si>
  <si>
    <t>BãCKEBURG</t>
  </si>
  <si>
    <t>BÃ¼ckeburg</t>
  </si>
  <si>
    <t>Büdingen</t>
  </si>
  <si>
    <t>BÃ¼dingen</t>
  </si>
  <si>
    <t>BãHL</t>
  </si>
  <si>
    <t>BÃ¼hl</t>
  </si>
  <si>
    <t>Bãnde</t>
  </si>
  <si>
    <t>BÃ¼nde</t>
  </si>
  <si>
    <t>Bãren</t>
  </si>
  <si>
    <t>BÃ¼ren</t>
  </si>
  <si>
    <t>Bãrstadt</t>
  </si>
  <si>
    <t>BÃ¼rstadt</t>
  </si>
  <si>
    <t>Babenhausen</t>
  </si>
  <si>
    <t>Backnang</t>
  </si>
  <si>
    <t>Aiblor ruim</t>
  </si>
  <si>
    <t>Bad Aibling</t>
  </si>
  <si>
    <t>Bad Arolsen</t>
  </si>
  <si>
    <t>Bentheim ruim</t>
  </si>
  <si>
    <t>Bad Bentheim</t>
  </si>
  <si>
    <t>Bad Berleburg</t>
  </si>
  <si>
    <t>Dürkheim ruim</t>
  </si>
  <si>
    <t>Bad DÃ¼rkheim</t>
  </si>
  <si>
    <t>Bad Driburg</t>
  </si>
  <si>
    <t>Bad Essen</t>
  </si>
  <si>
    <t>Bad Harzburg</t>
  </si>
  <si>
    <t>Bad Hersfeld</t>
  </si>
  <si>
    <t>Bad Homburg vor der Hãe</t>
  </si>
  <si>
    <t>Bad Homburg vor der HÃ¶he</t>
  </si>
  <si>
    <t>Bad Honnef</t>
  </si>
  <si>
    <t>Bad Kissingen</t>
  </si>
  <si>
    <t>Bad Kreuznach</t>
  </si>
  <si>
    <t>Bad Laasphe</t>
  </si>
  <si>
    <t>Bad Langensalza</t>
  </si>
  <si>
    <t>Bad LippsPringe</t>
  </si>
  <si>
    <t>Bad Lippspringe</t>
  </si>
  <si>
    <t>Bad Mãnder Am Deister</t>
  </si>
  <si>
    <t>Bad MÃ¼nder am Deister</t>
  </si>
  <si>
    <t>Bad Mãtereifel</t>
  </si>
  <si>
    <t>Bad MÃ¼nstereifel</t>
  </si>
  <si>
    <t>Bad Mergentheim</t>
  </si>
  <si>
    <t>Bad Nauheim</t>
  </si>
  <si>
    <t>Bad Neuenahr-Ahrweiler</t>
  </si>
  <si>
    <t>Bad Neustadt An Der Saale</t>
  </si>
  <si>
    <t>Bad Neustadt an der Saale</t>
  </si>
  <si>
    <t>Oeynhausen ruim</t>
  </si>
  <si>
    <t>Bad Oeynhausen</t>
  </si>
  <si>
    <t>Bad Oldesloe</t>
  </si>
  <si>
    <t>Pyrmont ruim</t>
  </si>
  <si>
    <t>Bad Pyrmont</t>
  </si>
  <si>
    <t>Rappenau ruim</t>
  </si>
  <si>
    <t>Bad Rappenau</t>
  </si>
  <si>
    <t>Bad Reichenhall</t>
  </si>
  <si>
    <t>Bad Sagckingen</t>
  </si>
  <si>
    <t>Bad SÃ¤ckingen</t>
  </si>
  <si>
    <t>Bad Salzufflen</t>
  </si>
  <si>
    <t>Bad Salzuflen</t>
  </si>
  <si>
    <t>Bad Salzungen</t>
  </si>
  <si>
    <t>Bad Schwartau</t>
  </si>
  <si>
    <t>Bad Segeberg</t>
  </si>
  <si>
    <t>Bad Soden am Taunus</t>
  </si>
  <si>
    <t>Bad Tãlz</t>
  </si>
  <si>
    <t>Bad TÃ¶lz</t>
  </si>
  <si>
    <t>Vilbel ruim</t>
  </si>
  <si>
    <t>Bad Vilbel</t>
  </si>
  <si>
    <t>Bad Waldsee</t>
  </si>
  <si>
    <t>Bad Wildungen</t>
  </si>
  <si>
    <t>Zwischenahn ruim</t>
  </si>
  <si>
    <t>Bad Zwischenahn</t>
  </si>
  <si>
    <t>Baden-Baden</t>
  </si>
  <si>
    <t>Baesweiler</t>
  </si>
  <si>
    <t>Baiersbronn</t>
  </si>
  <si>
    <t>Balingen</t>
  </si>
  <si>
    <t>Bamberg</t>
  </si>
  <si>
    <t>Barmbek-Nord</t>
  </si>
  <si>
    <t>Bassum</t>
  </si>
  <si>
    <t>Baumschulenweg</t>
  </si>
  <si>
    <t>Baunatal</t>
  </si>
  <si>
    <t>Bautzen</t>
  </si>
  <si>
    <t>Bayreuth</t>
  </si>
  <si>
    <t>Beckingen</t>
  </si>
  <si>
    <t>Saarland</t>
  </si>
  <si>
    <t>Beckum</t>
  </si>
  <si>
    <t>Bedburg</t>
  </si>
  <si>
    <t>Bendorf</t>
  </si>
  <si>
    <t>Bensheim</t>
  </si>
  <si>
    <t>Bergedorf</t>
  </si>
  <si>
    <t>Bergheim</t>
  </si>
  <si>
    <t>Bergisch Gladbach</t>
  </si>
  <si>
    <t>Bergkamen</t>
  </si>
  <si>
    <t>Bergneustadt</t>
  </si>
  <si>
    <t>Berlim</t>
  </si>
  <si>
    <t>Berlin Kãpenick</t>
  </si>
  <si>
    <t>Berlin KÃ¶penick</t>
  </si>
  <si>
    <t>Berlin Schãneberg</t>
  </si>
  <si>
    <t>Berlin SchÃ¶neberg</t>
  </si>
  <si>
    <t>Treptow de Berlim</t>
  </si>
  <si>
    <t>Berlin Treptow</t>
  </si>
  <si>
    <t>Bernau Bei Berlin</t>
  </si>
  <si>
    <t>Bernau bei Berlin</t>
  </si>
  <si>
    <t>Bernburg</t>
  </si>
  <si>
    <t>Beverungen</t>
  </si>
  <si>
    <t>Bexbach</t>
  </si>
  <si>
    <t>Biberach An Der Riã</t>
  </si>
  <si>
    <t>Biberach an der RiÃŸ</t>
  </si>
  <si>
    <t>BIELEFELD</t>
  </si>
  <si>
    <t>Bielefeld</t>
  </si>
  <si>
    <t>Biesdorf</t>
  </si>
  <si>
    <t>Bietigheim-Bissingen</t>
  </si>
  <si>
    <t>BIDERSTOECKCHEN</t>
  </si>
  <si>
    <t>Bilderstoeckchen</t>
  </si>
  <si>
    <t>Bingen Am Rhein</t>
  </si>
  <si>
    <t>Bingen am Rhein</t>
  </si>
  <si>
    <t>Bitterfeld-Wolfen</t>
  </si>
  <si>
    <t>Blankenburg</t>
  </si>
  <si>
    <t>Blieskastel</t>
  </si>
  <si>
    <t>Blomberg</t>
  </si>
  <si>
    <t>Bobingen</t>
  </si>
  <si>
    <t>Bocholt</t>
  </si>
  <si>
    <t>Bochum</t>
  </si>
  <si>
    <t>Bochum-Hordel</t>
  </si>
  <si>
    <t>Bogenhausen</t>
  </si>
  <si>
    <t>Bonn</t>
  </si>
  <si>
    <t>Boppard</t>
  </si>
  <si>
    <t>Borken</t>
  </si>
  <si>
    <t>Borna</t>
  </si>
  <si>
    <t>Bornheim</t>
  </si>
  <si>
    <t>Bottrop</t>
  </si>
  <si>
    <t>Br ° GEGNE</t>
  </si>
  <si>
    <t>BrÃ¼ggen</t>
  </si>
  <si>
    <t>Br ° Hl</t>
  </si>
  <si>
    <t>BrÃ¼hl</t>
  </si>
  <si>
    <t>Brackenheim</t>
  </si>
  <si>
    <t>Freio (unterweser)</t>
  </si>
  <si>
    <t>Brake (Unterweser)</t>
  </si>
  <si>
    <t>Brakel</t>
  </si>
  <si>
    <t>Bramsche</t>
  </si>
  <si>
    <t>Braunschweig</t>
  </si>
  <si>
    <t>Bremen</t>
  </si>
  <si>
    <t>Bremerhaven</t>
  </si>
  <si>
    <t>Bremervãrde</t>
  </si>
  <si>
    <t>BremervÃ¶rde</t>
  </si>
  <si>
    <t>Bretten</t>
  </si>
  <si>
    <t>Brilon</t>
  </si>
  <si>
    <t>Britz</t>
  </si>
  <si>
    <t>Bruchkãbel</t>
  </si>
  <si>
    <t>BruchkÃ¶bel</t>
  </si>
  <si>
    <t>Bruchsal</t>
  </si>
  <si>
    <t>Bruckmãhl</t>
  </si>
  <si>
    <t>BruckmÃ¼hl</t>
  </si>
  <si>
    <t>Buchen</t>
  </si>
  <si>
    <t>Buchholz em Der Nordheide</t>
  </si>
  <si>
    <t>Buchholz in der Nordheide</t>
  </si>
  <si>
    <t>Buckow</t>
  </si>
  <si>
    <t>Burg Bei Magdeburg</t>
  </si>
  <si>
    <t>Burg bei Magdeburg</t>
  </si>
  <si>
    <t>Burg Unter-Falkenstein</t>
  </si>
  <si>
    <t>Burgdorf</t>
  </si>
  <si>
    <t>Burghausen</t>
  </si>
  <si>
    <t>Burscheid</t>
  </si>
  <si>
    <t>Butzbach</t>
  </si>
  <si>
    <t>Buxtehude</t>
  </si>
  <si>
    <t>Calw</t>
  </si>
  <si>
    <t>Castrop-Rauxel</t>
  </si>
  <si>
    <t>Celle</t>
  </si>
  <si>
    <t>Cham</t>
  </si>
  <si>
    <t>Charlottenburg</t>
  </si>
  <si>
    <t>CHARLOTTENBURG-NORD</t>
  </si>
  <si>
    <t>Charlottenburg-Nord</t>
  </si>
  <si>
    <t>Chemnitz</t>
  </si>
  <si>
    <t>Clauthal-Zellerfeld</t>
  </si>
  <si>
    <t>Clausthal-Zellerfeld</t>
  </si>
  <si>
    <t>Cloppenburg</t>
  </si>
  <si>
    <t>Coesfeld</t>
  </si>
  <si>
    <t>Coswig</t>
  </si>
  <si>
    <t>Cottbus</t>
  </si>
  <si>
    <t>Crailsheim</t>
  </si>
  <si>
    <t>Crimmitschau</t>
  </si>
  <si>
    <t>Cuxhaven</t>
  </si>
  <si>
    <t>Cunewalde</t>
  </si>
  <si>
    <t xml:space="preserve"> Bautzen</t>
  </si>
  <si>
    <t>DãBELN</t>
  </si>
  <si>
    <t>DÃ¶beln</t>
  </si>
  <si>
    <t>D ãlmen</t>
  </si>
  <si>
    <t>DÃ¼lmen</t>
  </si>
  <si>
    <t>D ãren</t>
  </si>
  <si>
    <t>DÃ¼ren</t>
  </si>
  <si>
    <t>D ãSSELDORF</t>
  </si>
  <si>
    <t>DÃ¼sseldorf</t>
  </si>
  <si>
    <t>Dachau</t>
  </si>
  <si>
    <t>Dahlem</t>
  </si>
  <si>
    <t>Damme</t>
  </si>
  <si>
    <t>Darmstadt</t>
  </si>
  <si>
    <t>Datteln</t>
  </si>
  <si>
    <t>Degendorf</t>
  </si>
  <si>
    <t>Deggendorf</t>
  </si>
  <si>
    <t>Delbrãck</t>
  </si>
  <si>
    <t>DelbrÃ¼ck</t>
  </si>
  <si>
    <t>Delitzsch</t>
  </si>
  <si>
    <t>Delmenhorst</t>
  </si>
  <si>
    <t>Dessau</t>
  </si>
  <si>
    <t>Detmold</t>
  </si>
  <si>
    <t>Deutz</t>
  </si>
  <si>
    <t>Dieburg</t>
  </si>
  <si>
    <t>Diepholz</t>
  </si>
  <si>
    <t>Dietzenbach</t>
  </si>
  <si>
    <t>Dillenburg</t>
  </si>
  <si>
    <t>DILLINGEN</t>
  </si>
  <si>
    <t>Dillingen</t>
  </si>
  <si>
    <t>DILLINGEN AN DONAU</t>
  </si>
  <si>
    <t>Dillingen an der Donau</t>
  </si>
  <si>
    <t>Dingolfing</t>
  </si>
  <si>
    <t>Dinslaken</t>
  </si>
  <si>
    <t>Ditzingen</t>
  </si>
  <si>
    <t>Donaueschingen</t>
  </si>
  <si>
    <t>Donauwãrth</t>
  </si>
  <si>
    <t>DonauwÃ¶rth</t>
  </si>
  <si>
    <t>Dormagen</t>
  </si>
  <si>
    <t>Dorsten</t>
  </si>
  <si>
    <t>Dortmund</t>
  </si>
  <si>
    <t>Dreieich</t>
  </si>
  <si>
    <t>Drensteinfurt</t>
  </si>
  <si>
    <t>Dresden</t>
  </si>
  <si>
    <t>Duderstadt</t>
  </si>
  <si>
    <t>Duisburg</t>
  </si>
  <si>
    <t>Eberbach</t>
  </si>
  <si>
    <t>Ebersbach e Fils</t>
  </si>
  <si>
    <t>Ebersbach an der Fils</t>
  </si>
  <si>
    <t>Eberswalde</t>
  </si>
  <si>
    <t>Eckernfãrde</t>
  </si>
  <si>
    <t>EckernfÃ¶rde</t>
  </si>
  <si>
    <t>Edewecht</t>
  </si>
  <si>
    <t>Eggenstein-Leopoldshafen</t>
  </si>
  <si>
    <t>Ehingen</t>
  </si>
  <si>
    <t>Eidelstedt</t>
  </si>
  <si>
    <t>Eilenburg</t>
  </si>
  <si>
    <t>Eimsbãttel</t>
  </si>
  <si>
    <t>EimsbÃ¼ttel</t>
  </si>
  <si>
    <t>Einbeck</t>
  </si>
  <si>
    <t>Eisenach</t>
  </si>
  <si>
    <t>Eisenhüttenstadt</t>
  </si>
  <si>
    <t>EisenhÃ¼ttenstadt</t>
  </si>
  <si>
    <t>Eislingen</t>
  </si>
  <si>
    <t>Eitorf</t>
  </si>
  <si>
    <t>Ellwangen</t>
  </si>
  <si>
    <t>Elmshorn</t>
  </si>
  <si>
    <t>Elsdorf</t>
  </si>
  <si>
    <t>ELTVILLE</t>
  </si>
  <si>
    <t>Eltville</t>
  </si>
  <si>
    <t>Emden</t>
  </si>
  <si>
    <t>Emmendingen</t>
  </si>
  <si>
    <t>Emmerich</t>
  </si>
  <si>
    <t>Emsdetten</t>
  </si>
  <si>
    <t>Engelskirchen</t>
  </si>
  <si>
    <t>Enger</t>
  </si>
  <si>
    <t>Ennepetal</t>
  </si>
  <si>
    <t>Ennigerloh</t>
  </si>
  <si>
    <t>Eppelborn</t>
  </si>
  <si>
    <t>Eppingen</t>
  </si>
  <si>
    <t>Erding</t>
  </si>
  <si>
    <t>Erftstadt</t>
  </si>
  <si>
    <t>Erfurt</t>
  </si>
  <si>
    <t>Erkelenz</t>
  </si>
  <si>
    <t>Erkrath</t>
  </si>
  <si>
    <t>Erlangen</t>
  </si>
  <si>
    <t>Erwitte</t>
  </si>
  <si>
    <t>Eschorn</t>
  </si>
  <si>
    <t>Eschborn</t>
  </si>
  <si>
    <t>Eschwege</t>
  </si>
  <si>
    <t>Eschweiler</t>
  </si>
  <si>
    <t>Espelkamp</t>
  </si>
  <si>
    <t>Esslingen</t>
  </si>
  <si>
    <t>Ettlingen</t>
  </si>
  <si>
    <t>Euskirchen</t>
  </si>
  <si>
    <t>EUTIN</t>
  </si>
  <si>
    <t>Eutin</t>
  </si>
  <si>
    <t>F ênrstenfeldbruck</t>
  </si>
  <si>
    <t>FÃ¼rstenfeldbruck</t>
  </si>
  <si>
    <t>Fürstenwalde</t>
  </si>
  <si>
    <t>FÃ¼rstenwalde</t>
  </si>
  <si>
    <t>F ênrth</t>
  </si>
  <si>
    <t>FÃ¼rth</t>
  </si>
  <si>
    <t>Falkenhagener Feld</t>
  </si>
  <si>
    <t>Falkensee</t>
  </si>
  <si>
    <t>Farmsen-Berne</t>
  </si>
  <si>
    <t>Fellbach</t>
  </si>
  <si>
    <t>Fennpfuhl</t>
  </si>
  <si>
    <t>FILDERSTADT</t>
  </si>
  <si>
    <t>Filderstadt</t>
  </si>
  <si>
    <t>FinNentrop</t>
  </si>
  <si>
    <t>Finnentrop</t>
  </si>
  <si>
    <t>Finsterwalde</t>
  </si>
  <si>
    <t>FLirsheim</t>
  </si>
  <si>
    <t>FlÃ¶rsheim</t>
  </si>
  <si>
    <t>Flensburg</t>
  </si>
  <si>
    <t>Forchheim</t>
  </si>
  <si>
    <t>Forst</t>
  </si>
  <si>
    <t>FRãNDENDERG</t>
  </si>
  <si>
    <t>FrÃ¶ndenberg</t>
  </si>
  <si>
    <t>Frankenberg</t>
  </si>
  <si>
    <t>Frankenthal</t>
  </si>
  <si>
    <t>Frankfurt (oder)</t>
  </si>
  <si>
    <t>Frankfurt (Oder)</t>
  </si>
  <si>
    <t>Frankfurt A.M.</t>
  </si>
  <si>
    <t>Frankfurt a.M.</t>
  </si>
  <si>
    <t>Frankfurt Am Main</t>
  </si>
  <si>
    <t>Frankfurt am Main</t>
  </si>
  <si>
    <t>FRANZI É BUCHHOLZ</t>
  </si>
  <si>
    <t>FranzÃ¶sisch Buchholz</t>
  </si>
  <si>
    <t>Frechen</t>
  </si>
  <si>
    <t>Freiberg</t>
  </si>
  <si>
    <t>Freiberg am Neckar</t>
  </si>
  <si>
    <t>Freiburg</t>
  </si>
  <si>
    <t>FreiLassing</t>
  </si>
  <si>
    <t>Freilassing</t>
  </si>
  <si>
    <t>Freising</t>
  </si>
  <si>
    <t>Freital</t>
  </si>
  <si>
    <t>Freudenberg</t>
  </si>
  <si>
    <t>Freudenstadt</t>
  </si>
  <si>
    <t>Friedberg</t>
  </si>
  <si>
    <t>Friedenau</t>
  </si>
  <si>
    <t>Friedrichsdorf</t>
  </si>
  <si>
    <t>Friedrichsfelde</t>
  </si>
  <si>
    <t>Friedrichshafen</t>
  </si>
  <si>
    <t>Friedrichshagen</t>
  </si>
  <si>
    <t>Friedrichshain</t>
  </si>
  <si>
    <t>Friasythe</t>
  </si>
  <si>
    <t>Friesoythe</t>
  </si>
  <si>
    <t>Frohnau</t>
  </si>
  <si>
    <t>Fulda</t>
  </si>
  <si>
    <t>Gãpingen</t>
  </si>
  <si>
    <t>GÃ¶ppingen</t>
  </si>
  <si>
    <t>Gãrlitz</t>
  </si>
  <si>
    <t>GÃ¶rlitz</t>
  </si>
  <si>
    <t>Gãttingen</t>
  </si>
  <si>
    <t>GÃ¶ttingen</t>
  </si>
  <si>
    <t>Günzburg</t>
  </si>
  <si>
    <t>GÃ¼nzburg</t>
  </si>
  <si>
    <t>Gãstrow</t>
  </si>
  <si>
    <t>GÃ¼strow</t>
  </si>
  <si>
    <t>Mecklenburg-Vorpommern</t>
  </si>
  <si>
    <t>Gãtersloh</t>
  </si>
  <si>
    <t>GÃ¼tersloh</t>
  </si>
  <si>
    <t>Gaggenau</t>
  </si>
  <si>
    <t>Ganderkesee</t>
  </si>
  <si>
    <t>Garbsen</t>
  </si>
  <si>
    <t>Garching Bei Mãnchen</t>
  </si>
  <si>
    <t>Garching bei MÃ¼nchen</t>
  </si>
  <si>
    <t>Garmisch-Partenkirchen</t>
  </si>
  <si>
    <t>Gartenstadt</t>
  </si>
  <si>
    <t>Gauting</t>
  </si>
  <si>
    <t>Geesthacht</t>
  </si>
  <si>
    <t>Geilenkirchen</t>
  </si>
  <si>
    <t>Geislingen um Der Steige</t>
  </si>
  <si>
    <t>Geislingen an der Steige</t>
  </si>
  <si>
    <t>Geldern</t>
  </si>
  <si>
    <t>Gelnhausen</t>
  </si>
  <si>
    <t>Gelsenkirchen</t>
  </si>
  <si>
    <t>Georgsmarienhãtte</t>
  </si>
  <si>
    <t>GeorgsmarienhÃ¼tte</t>
  </si>
  <si>
    <t>Gera</t>
  </si>
  <si>
    <t>Geretsried</t>
  </si>
  <si>
    <t>Gerlingen</t>
  </si>
  <si>
    <t>Germinando</t>
  </si>
  <si>
    <t>Germering</t>
  </si>
  <si>
    <t>Germersheim</t>
  </si>
  <si>
    <t>Gersthofen</t>
  </si>
  <si>
    <t>Gescher</t>
  </si>
  <si>
    <t>Geseke</t>
  </si>
  <si>
    <t>Gesundbrunnen</t>
  </si>
  <si>
    <t>Gevelsberg</t>
  </si>
  <si>
    <t>Gieãen</t>
  </si>
  <si>
    <t>GieÃŸen</t>
  </si>
  <si>
    <t>Giengen An der Brenz</t>
  </si>
  <si>
    <t>Giengen an der Brenz</t>
  </si>
  <si>
    <t>Gifhorn</t>
  </si>
  <si>
    <t>Gilching</t>
  </si>
  <si>
    <t>Ginsheim-Gustavsburg</t>
  </si>
  <si>
    <t>Gladbeck</t>
  </si>
  <si>
    <t>Glauchau</t>
  </si>
  <si>
    <t>Glinde</t>
  </si>
  <si>
    <t>Goch</t>
  </si>
  <si>
    <t>Goslar</t>
  </si>
  <si>
    <t>Gotha</t>
  </si>
  <si>
    <t>Grãbenzell</t>
  </si>
  <si>
    <t>GrÃ¶benzell</t>
  </si>
  <si>
    <t>Grefrath</t>
  </si>
  <si>
    <t>Greifswald</t>
  </si>
  <si>
    <t>Greiz</t>
  </si>
  <si>
    <t>Greven</t>
  </si>
  <si>
    <t>Grevenbroich</t>
  </si>
  <si>
    <t>Griesheim</t>
  </si>
  <si>
    <t>Grimma</t>
  </si>
  <si>
    <t>GroinHain</t>
  </si>
  <si>
    <t>GroÃŸenhain</t>
  </si>
  <si>
    <t>Groin-Gerau</t>
  </si>
  <si>
    <t>GroÃŸ-Gerau</t>
  </si>
  <si>
    <t>Groinostheim</t>
  </si>
  <si>
    <t>GroÃŸostheim</t>
  </si>
  <si>
    <t>Groin-UMSTADT</t>
  </si>
  <si>
    <t>GroÃŸ-Umstadt</t>
  </si>
  <si>
    <t>GRONAU</t>
  </si>
  <si>
    <t>Gronau</t>
  </si>
  <si>
    <t>Gropiusstadt</t>
  </si>
  <si>
    <t>Guben</t>
  </si>
  <si>
    <t>Gummersbach</t>
  </si>
  <si>
    <t>Gunzenhausen</t>
  </si>
  <si>
    <t>Hãrstel</t>
  </si>
  <si>
    <t>HÃ¶rstel</t>
  </si>
  <si>
    <t>HONVELHOF</t>
  </si>
  <si>
    <t>HÃ¶velhof</t>
  </si>
  <si>
    <t>Hãxter</t>
  </si>
  <si>
    <t>HÃ¶xter</t>
  </si>
  <si>
    <t>HãCKELHOVEN</t>
  </si>
  <si>
    <t>HÃ¼ckelhoven</t>
  </si>
  <si>
    <t>Hãckeswagen</t>
  </si>
  <si>
    <t>HÃ¼ckeswagen</t>
  </si>
  <si>
    <t>Hãnfeld</t>
  </si>
  <si>
    <t>HÃ¼nfeld</t>
  </si>
  <si>
    <t>Hãrth</t>
  </si>
  <si>
    <t>HÃ¼rth</t>
  </si>
  <si>
    <t>Haan</t>
  </si>
  <si>
    <t>Haar</t>
  </si>
  <si>
    <t>Haãloch</t>
  </si>
  <si>
    <t>HaÃŸloch</t>
  </si>
  <si>
    <t>Hagen</t>
  </si>
  <si>
    <t>Haiger</t>
  </si>
  <si>
    <t>Hakenfelde</t>
  </si>
  <si>
    <t>Halberstadt</t>
  </si>
  <si>
    <t>Haldensleben i</t>
  </si>
  <si>
    <t>Haldensleben I</t>
  </si>
  <si>
    <t>Halle (Saale)</t>
  </si>
  <si>
    <t>Halle Neustadt</t>
  </si>
  <si>
    <t>Halstenbek</t>
  </si>
  <si>
    <t>Haltern</t>
  </si>
  <si>
    <t>Halver</t>
  </si>
  <si>
    <t>Hamburgo</t>
  </si>
  <si>
    <t>Hamburgo-Mitte</t>
  </si>
  <si>
    <t>Hamburg-Mitte</t>
  </si>
  <si>
    <t>Hamburgo-Nord</t>
  </si>
  <si>
    <t>Hamburg-Nord</t>
  </si>
  <si>
    <t>Hameln</t>
  </si>
  <si>
    <t>Hamm</t>
  </si>
  <si>
    <t>Hamminkeln</t>
  </si>
  <si>
    <t>Hanau Am Main</t>
  </si>
  <si>
    <t>Hanau am Main</t>
  </si>
  <si>
    <t>Hannover</t>
  </si>
  <si>
    <t>Hannoversch Mãnden</t>
  </si>
  <si>
    <t>Hannoversch MÃ¼nden</t>
  </si>
  <si>
    <t>Harburg</t>
  </si>
  <si>
    <t>Haren</t>
  </si>
  <si>
    <t>Harsewinkel</t>
  </si>
  <si>
    <t>Haselbachtal</t>
  </si>
  <si>
    <t>Hattersheim</t>
  </si>
  <si>
    <t>Hattingen</t>
  </si>
  <si>
    <t>Hechingen</t>
  </si>
  <si>
    <t>Heide</t>
  </si>
  <si>
    <t>Heidelberg</t>
  </si>
  <si>
    <t>Heidenau</t>
  </si>
  <si>
    <t>Heidenheim An Der Brenz</t>
  </si>
  <si>
    <t>Heidenheim an der Brenz</t>
  </si>
  <si>
    <t>Heilbad Heiligenstadt</t>
  </si>
  <si>
    <t>Heilbronn</t>
  </si>
  <si>
    <t>Heiligenhaus</t>
  </si>
  <si>
    <t>Heiligensee</t>
  </si>
  <si>
    <t>Heinsberg</t>
  </si>
  <si>
    <t>Hellersdorf</t>
  </si>
  <si>
    <t>Helmstedt</t>
  </si>
  <si>
    <t>Hemer</t>
  </si>
  <si>
    <t>Hemmingen</t>
  </si>
  <si>
    <t>Hennef</t>
  </si>
  <si>
    <t>Hennigsdorf</t>
  </si>
  <si>
    <t>HENSTEDT-ULZBURG</t>
  </si>
  <si>
    <t>Henstedt-Ulzburg</t>
  </si>
  <si>
    <t>Heppenheim An Der Bergstrasse</t>
  </si>
  <si>
    <t>Heppenheim an der Bergstrasse</t>
  </si>
  <si>
    <t>Herborn</t>
  </si>
  <si>
    <t>Herdecke</t>
  </si>
  <si>
    <t>Herford</t>
  </si>
  <si>
    <t>Hermsdorf</t>
  </si>
  <si>
    <t>Herne</t>
  </si>
  <si>
    <t>Herrenberg</t>
  </si>
  <si>
    <t>Herten</t>
  </si>
  <si>
    <t>Herzogenaurach</t>
  </si>
  <si>
    <t>Herzogenrath</t>
  </si>
  <si>
    <t>Hessisch Oldendorf</t>
  </si>
  <si>
    <t>Hettstedt</t>
  </si>
  <si>
    <t>Heusenstamm</t>
  </si>
  <si>
    <t>Heusweiler</t>
  </si>
  <si>
    <t>Hiddenhausen</t>
  </si>
  <si>
    <t>Hilchenbach</t>
  </si>
  <si>
    <t>Hilden</t>
  </si>
  <si>
    <t>Hildesheim</t>
  </si>
  <si>
    <t>Hille</t>
  </si>
  <si>
    <t>Hochfeld</t>
  </si>
  <si>
    <t>Hochheim Am Main</t>
  </si>
  <si>
    <t>Hochheim am Main</t>
  </si>
  <si>
    <t>Hockenheim</t>
  </si>
  <si>
    <t>Hof</t>
  </si>
  <si>
    <t>Hofgeismar</t>
  </si>
  <si>
    <t>Hofheim am Tauunus</t>
  </si>
  <si>
    <t>Hofheim am Taunus</t>
  </si>
  <si>
    <t>Hohen Neuendorf</t>
  </si>
  <si>
    <t>Hohenstein-Irnstthal</t>
  </si>
  <si>
    <t>Hohenstein-Ernstthal</t>
  </si>
  <si>
    <t>Holzkirchen</t>
  </si>
  <si>
    <t>Holzminden</t>
  </si>
  <si>
    <t>Holzwickede</t>
  </si>
  <si>
    <t>HOMBURGO</t>
  </si>
  <si>
    <t>Homburg</t>
  </si>
  <si>
    <t>Horb am Neckar</t>
  </si>
  <si>
    <t>Hoyerswerda</t>
  </si>
  <si>
    <t>Hude</t>
  </si>
  <si>
    <t>Humboldtkolonie</t>
  </si>
  <si>
    <t>Hummelsbüttel</t>
  </si>
  <si>
    <t>HummelsbÃ¼ttel</t>
  </si>
  <si>
    <t>Husum</t>
  </si>
  <si>
    <t>Ibbenbãren</t>
  </si>
  <si>
    <t>IbbenbÃ¼ren</t>
  </si>
  <si>
    <t>Idar-Oberstein</t>
  </si>
  <si>
    <t>Idstein</t>
  </si>
  <si>
    <t>Illetissen</t>
  </si>
  <si>
    <t>Illertissen</t>
  </si>
  <si>
    <t>Illingen</t>
  </si>
  <si>
    <t>Ilmenau</t>
  </si>
  <si>
    <t>Ingolstadt</t>
  </si>
  <si>
    <t>Iserlohn</t>
  </si>
  <si>
    <t>ISERNHAGEN FARSTER BAUERSCHAFT</t>
  </si>
  <si>
    <t>Isernhagen Farster Bauerschaft</t>
  </si>
  <si>
    <t>Itzehoe</t>
  </si>
  <si>
    <t>JãCHEN</t>
  </si>
  <si>
    <t>JÃ¼chen</t>
  </si>
  <si>
    <t>Jãlich</t>
  </si>
  <si>
    <t>JÃ¼lich</t>
  </si>
  <si>
    <t>Jena</t>
  </si>
  <si>
    <t>Johannisthal</t>
  </si>
  <si>
    <t>Kãln</t>
  </si>
  <si>
    <t>KÃ¶ln</t>
  </si>
  <si>
    <t>Kãnigs Wusterhausen</t>
  </si>
  <si>
    <t>KÃ¶nigs Wusterhausen</t>
  </si>
  <si>
    <t>Kãnigsbrunn</t>
  </si>
  <si>
    <t>KÃ¶nigsbrunn</t>
  </si>
  <si>
    <t>Kãnigslutter am Elm</t>
  </si>
  <si>
    <t>KÃ¶nigslutter am Elm</t>
  </si>
  <si>
    <t>Kãnigstein im tauunus</t>
  </si>
  <si>
    <t>KÃ¶nigstein im Taunus</t>
  </si>
  <si>
    <t>KãNIGSWINT</t>
  </si>
  <si>
    <t>KÃ¶nigswinter</t>
  </si>
  <si>
    <t>KãPenick</t>
  </si>
  <si>
    <t>KÃ¶penick</t>
  </si>
  <si>
    <t>KãENHEN</t>
  </si>
  <si>
    <t>KÃ¶then</t>
  </si>
  <si>
    <t>Künzell</t>
  </si>
  <si>
    <t>KÃ¼nzell</t>
  </si>
  <si>
    <t>Künzelsau</t>
  </si>
  <si>
    <t>KÃ¼nzelsau</t>
  </si>
  <si>
    <t>Kãrten</t>
  </si>
  <si>
    <t>KÃ¼rten</t>
  </si>
  <si>
    <t>Kaarst</t>
  </si>
  <si>
    <t>Kaiserslautern</t>
  </si>
  <si>
    <t>Kalk</t>
  </si>
  <si>
    <t>Kaltenkirchen</t>
  </si>
  <si>
    <t>Kamen</t>
  </si>
  <si>
    <t>Kamenz</t>
  </si>
  <si>
    <t>Kamp-Lintfort</t>
  </si>
  <si>
    <t>Karben</t>
  </si>
  <si>
    <t>Karlsfeld</t>
  </si>
  <si>
    <t>Karlshorst</t>
  </si>
  <si>
    <t>Karlsruhe</t>
  </si>
  <si>
    <t>Karlstadt</t>
  </si>
  <si>
    <t>Karow</t>
  </si>
  <si>
    <t>Kassel</t>
  </si>
  <si>
    <t>Kaufbeuren</t>
  </si>
  <si>
    <t>Kaulsdorf</t>
  </si>
  <si>
    <t>Kehl</t>
  </si>
  <si>
    <t>Kelheim</t>
  </si>
  <si>
    <t>KELKHEIM (TAUNUS)</t>
  </si>
  <si>
    <t>Kelkheim (Taunus)</t>
  </si>
  <si>
    <t>Kempen</t>
  </si>
  <si>
    <t>KEMPEN (ALLGOJ)</t>
  </si>
  <si>
    <t>Kempten (AllgÃ¤u)</t>
  </si>
  <si>
    <t>Kerpen</t>
  </si>
  <si>
    <t>Kevelaer</t>
  </si>
  <si>
    <t>Kiel</t>
  </si>
  <si>
    <t>Kierspe</t>
  </si>
  <si>
    <t>Kirchhain</t>
  </si>
  <si>
    <t>Kirchheim Unter Teck</t>
  </si>
  <si>
    <t>Kirchheim unter Teck</t>
  </si>
  <si>
    <t>Kirchlengern</t>
  </si>
  <si>
    <t>Kitzingen</t>
  </si>
  <si>
    <t>Kleinmachnow</t>
  </si>
  <si>
    <t>Kleve</t>
  </si>
  <si>
    <t>Köln</t>
  </si>
  <si>
    <t>Renânia do Norte-Vestfália</t>
  </si>
  <si>
    <t>Koblenz</t>
  </si>
  <si>
    <t>Kolbermoor</t>
  </si>
  <si>
    <t>Konstanz</t>
  </si>
  <si>
    <t>Konz</t>
  </si>
  <si>
    <t>Korbach</t>
  </si>
  <si>
    <t>Korntal</t>
  </si>
  <si>
    <t>Kornwestheim</t>
  </si>
  <si>
    <t>Korschenbroich</t>
  </si>
  <si>
    <t>Krefeld</t>
  </si>
  <si>
    <t>Kreuzau</t>
  </si>
  <si>
    <t>Kreuzberg</t>
  </si>
  <si>
    <t>Kreuztal</t>
  </si>
  <si>
    <t>KRONACH</t>
  </si>
  <si>
    <t>Kronach</t>
  </si>
  <si>
    <t>Kronberg</t>
  </si>
  <si>
    <t>Kulmbach</t>
  </si>
  <si>
    <t>Lãbau</t>
  </si>
  <si>
    <t>LÃ¶bau</t>
  </si>
  <si>
    <t>Lãhne</t>
  </si>
  <si>
    <t>LÃ¶hne</t>
  </si>
  <si>
    <t>LãRRACH</t>
  </si>
  <si>
    <t>LÃ¶rrach</t>
  </si>
  <si>
    <t>LãBBECKE</t>
  </si>
  <si>
    <t>LÃ¼bbecke</t>
  </si>
  <si>
    <t>Lãbbenau</t>
  </si>
  <si>
    <t>LÃ¼bbenau</t>
  </si>
  <si>
    <t>Lãbeck</t>
  </si>
  <si>
    <t>LÃ¼beck</t>
  </si>
  <si>
    <t>LãDENSCHEID</t>
  </si>
  <si>
    <t>LÃ¼denscheid</t>
  </si>
  <si>
    <t>Lãdinghausen</t>
  </si>
  <si>
    <t>LÃ¼dinghausen</t>
  </si>
  <si>
    <t>Lãneburg</t>
  </si>
  <si>
    <t>LÃ¼neburg</t>
  </si>
  <si>
    <t>Lãnen</t>
  </si>
  <si>
    <t>LÃ¼nen</t>
  </si>
  <si>
    <t>Laatzen</t>
  </si>
  <si>
    <t>LAGE</t>
  </si>
  <si>
    <t>Lage</t>
  </si>
  <si>
    <t>Lahnstein</t>
  </si>
  <si>
    <t>Lahr</t>
  </si>
  <si>
    <t>Lampertheim</t>
  </si>
  <si>
    <t>Landau em Der Pfalz</t>
  </si>
  <si>
    <t>Landau in der Pfalz</t>
  </si>
  <si>
    <t>Landsberg Am Lech</t>
  </si>
  <si>
    <t>Landsberg am Lech</t>
  </si>
  <si>
    <t>Landshut</t>
  </si>
  <si>
    <t>Langen</t>
  </si>
  <si>
    <t>Langenfeld</t>
  </si>
  <si>
    <t>Langenhagen</t>
  </si>
  <si>
    <t>Langenhorn</t>
  </si>
  <si>
    <t>Lankwitz</t>
  </si>
  <si>
    <t>Lauchhammer</t>
  </si>
  <si>
    <t>Lauda-kãnigshofen</t>
  </si>
  <si>
    <t>Lauda-KÃ¶nigshofen</t>
  </si>
  <si>
    <t>Lauf An Der Pegnitz</t>
  </si>
  <si>
    <t>Lauf an der Pegnitz</t>
  </si>
  <si>
    <t>Laupheim</t>
  </si>
  <si>
    <t>LeBach</t>
  </si>
  <si>
    <t>Lebach</t>
  </si>
  <si>
    <t>Leer</t>
  </si>
  <si>
    <t>Lehrte</t>
  </si>
  <si>
    <t>Leichlingen</t>
  </si>
  <si>
    <t>Leimen</t>
  </si>
  <si>
    <t>Leinfelden-Echterdingen</t>
  </si>
  <si>
    <t>Leipzig</t>
  </si>
  <si>
    <t>Lemgo</t>
  </si>
  <si>
    <t>Lengerich</t>
  </si>
  <si>
    <t>Lennestadt</t>
  </si>
  <si>
    <t>Leonberg</t>
  </si>
  <si>
    <t>Leopoldshin</t>
  </si>
  <si>
    <t>LeopoldshÃ¶he</t>
  </si>
  <si>
    <t>Leutkirch im Allgäu</t>
  </si>
  <si>
    <t>Leutkirch im AllgÃ¤u</t>
  </si>
  <si>
    <t>Leverkusen</t>
  </si>
  <si>
    <t>Lichtenberg</t>
  </si>
  <si>
    <t>Lichtenfels</t>
  </si>
  <si>
    <t>Lichtenrade</t>
  </si>
  <si>
    <t>Lichterfelde</t>
  </si>
  <si>
    <t>Lilienthal</t>
  </si>
  <si>
    <t>Limbach-Oberfrohna</t>
  </si>
  <si>
    <t>Limburg e Der Lahn</t>
  </si>
  <si>
    <t>Limburg an der Lahn</t>
  </si>
  <si>
    <t>Lindau</t>
  </si>
  <si>
    <t>Lindlar</t>
  </si>
  <si>
    <t>Lingen</t>
  </si>
  <si>
    <t>Lippstadt</t>
  </si>
  <si>
    <t>Lohmar</t>
  </si>
  <si>
    <t>Lohne</t>
  </si>
  <si>
    <t>Lohr am main</t>
  </si>
  <si>
    <t>Lohr am Main</t>
  </si>
  <si>
    <t>Losheim</t>
  </si>
  <si>
    <t>Loxstedt</t>
  </si>
  <si>
    <t>Luckenwalde</t>
  </si>
  <si>
    <t>Ludwigsburg</t>
  </si>
  <si>
    <t>Ludwigsfelde</t>
  </si>
  <si>
    <t>Ludwigshafen am Rhein</t>
  </si>
  <si>
    <t>MOjuRKISCHES VIERTEL</t>
  </si>
  <si>
    <t>MÃ¤rkisches Viertel</t>
  </si>
  <si>
    <t>Mãlln</t>
  </si>
  <si>
    <t>MÃ¶lln</t>
  </si>
  <si>
    <t>MãNCHENGLADBACH</t>
  </si>
  <si>
    <t>MÃ¶nchengladbach</t>
  </si>
  <si>
    <t>Mãrfelden-Walldorf</t>
  </si>
  <si>
    <t>MÃ¶rfelden-Walldorf</t>
  </si>
  <si>
    <t>M fursingen</t>
  </si>
  <si>
    <t>MÃ¶ssingen</t>
  </si>
  <si>
    <t>Mãhlacker</t>
  </si>
  <si>
    <t>MÃ¼hlacker</t>
  </si>
  <si>
    <t>M hldorf</t>
  </si>
  <si>
    <t>MÃ¼hldorf</t>
  </si>
  <si>
    <t>M hlhausen</t>
  </si>
  <si>
    <t>MÃ¼hlhausen</t>
  </si>
  <si>
    <t>MãHLHEIM AM PRINCIPAL</t>
  </si>
  <si>
    <t>MÃ¼hlheim am Main</t>
  </si>
  <si>
    <t>Mãlheim</t>
  </si>
  <si>
    <t>MÃ¼lheim</t>
  </si>
  <si>
    <t>Mãlheim (Ruhr)</t>
  </si>
  <si>
    <t>MÃ¼lheim (Ruhr)</t>
  </si>
  <si>
    <t>Mãllheim</t>
  </si>
  <si>
    <t>MÃ¼llheim</t>
  </si>
  <si>
    <t>Mãnster</t>
  </si>
  <si>
    <t>MÃ¼nster</t>
  </si>
  <si>
    <t>Magdeburg</t>
  </si>
  <si>
    <t>Mahlsdorf</t>
  </si>
  <si>
    <t>MANAL</t>
  </si>
  <si>
    <t>Maintal</t>
  </si>
  <si>
    <t>Mainz</t>
  </si>
  <si>
    <t>Mannheim</t>
  </si>
  <si>
    <t>Marbach am Neckar</t>
  </si>
  <si>
    <t>MARBURGO AN DER LAHN</t>
  </si>
  <si>
    <t>Marburg an der Lahn</t>
  </si>
  <si>
    <t>Mariendorf</t>
  </si>
  <si>
    <t>Marienfelde</t>
  </si>
  <si>
    <t>Marientehal</t>
  </si>
  <si>
    <t>Marienthal</t>
  </si>
  <si>
    <t>Markkleeberg</t>
  </si>
  <si>
    <t>Marktoberdorf</t>
  </si>
  <si>
    <t>MarkTredWitz</t>
  </si>
  <si>
    <t>Marktredwitz</t>
  </si>
  <si>
    <t>Marga</t>
  </si>
  <si>
    <t>Marl</t>
  </si>
  <si>
    <t>Marsberg</t>
  </si>
  <si>
    <t>Marzahn</t>
  </si>
  <si>
    <t>Mayen</t>
  </si>
  <si>
    <t>MECHERNICH</t>
  </si>
  <si>
    <t>Mechernich</t>
  </si>
  <si>
    <t>Meckenheim</t>
  </si>
  <si>
    <t>Meerane</t>
  </si>
  <si>
    <t>Meerbusch</t>
  </si>
  <si>
    <t>Meiderich</t>
  </si>
  <si>
    <t>Meinerzhagen</t>
  </si>
  <si>
    <t>Meiningen</t>
  </si>
  <si>
    <t>Meissen</t>
  </si>
  <si>
    <t>Melle</t>
  </si>
  <si>
    <t>Memmingen</t>
  </si>
  <si>
    <t>Menden</t>
  </si>
  <si>
    <t>Meppen</t>
  </si>
  <si>
    <t>MEREBURGO</t>
  </si>
  <si>
    <t>Merseburg</t>
  </si>
  <si>
    <t>Merzig</t>
  </si>
  <si>
    <t>Meschede</t>
  </si>
  <si>
    <t>Mettmann</t>
  </si>
  <si>
    <t>Metzingen</t>
  </si>
  <si>
    <t>Michelstadt</t>
  </si>
  <si>
    <t>Minden</t>
  </si>
  <si>
    <t>Mitte</t>
  </si>
  <si>
    <t>Mittweida</t>
  </si>
  <si>
    <t>Moabit</t>
  </si>
  <si>
    <t>Moers</t>
  </si>
  <si>
    <t>Monheim am Rhein</t>
  </si>
  <si>
    <t>Moosburgo</t>
  </si>
  <si>
    <t>Moosburg</t>
  </si>
  <si>
    <t>Mosbach</t>
  </si>
  <si>
    <t>Much</t>
  </si>
  <si>
    <t>Munique</t>
  </si>
  <si>
    <t>Munich</t>
  </si>
  <si>
    <t>München</t>
  </si>
  <si>
    <t>Munster</t>
  </si>
  <si>
    <t>Münster</t>
  </si>
  <si>
    <t>Nãrdingen</t>
  </si>
  <si>
    <t>NÃ¶rdlingen</t>
  </si>
  <si>
    <t>N nhambrecht</t>
  </si>
  <si>
    <t>NÃ¼mbrecht</t>
  </si>
  <si>
    <t>Nürnberg</t>
  </si>
  <si>
    <t>NÃ¼rnberg</t>
  </si>
  <si>
    <t>Nürtingen</t>
  </si>
  <si>
    <t>NÃ¼rtingen</t>
  </si>
  <si>
    <t>Nagold</t>
  </si>
  <si>
    <t>Nauen</t>
  </si>
  <si>
    <t>Naumburg</t>
  </si>
  <si>
    <t>Pescoço</t>
  </si>
  <si>
    <t>Neckarsulm</t>
  </si>
  <si>
    <t>Netphen</t>
  </si>
  <si>
    <t>Nettetal</t>
  </si>
  <si>
    <t>Neu Isenburg</t>
  </si>
  <si>
    <t>Neu Wulmstorf</t>
  </si>
  <si>
    <t>Neu-Anspach</t>
  </si>
  <si>
    <t>Neubrãck</t>
  </si>
  <si>
    <t>NeubrÃ¼ck</t>
  </si>
  <si>
    <t>Neubrandenburg</t>
  </si>
  <si>
    <t>Neuburg e Der Donau</t>
  </si>
  <si>
    <t>Neuburg an der Donau</t>
  </si>
  <si>
    <t>Neue Neustadt</t>
  </si>
  <si>
    <t>Neuehrenfeld</t>
  </si>
  <si>
    <t>Neuenhagen</t>
  </si>
  <si>
    <t>Neufahrn Bei Freising</t>
  </si>
  <si>
    <t>Neufahrn bei Freising</t>
  </si>
  <si>
    <t>Neu-Hohenschãnhausen</t>
  </si>
  <si>
    <t>Neu-HohenschÃ¶nhausen</t>
  </si>
  <si>
    <t>Neumãnster</t>
  </si>
  <si>
    <t>NeumÃ¼nster</t>
  </si>
  <si>
    <t>Neumarkt em Der Oberpfalz</t>
  </si>
  <si>
    <t>Neumarkt in der Oberpfalz</t>
  </si>
  <si>
    <t>Neunkirchen</t>
  </si>
  <si>
    <t>Neuruppin</t>
  </si>
  <si>
    <t>Neuss</t>
  </si>
  <si>
    <t>Neustadt</t>
  </si>
  <si>
    <t>Neustadt Am Rãbenberge</t>
  </si>
  <si>
    <t>Neustadt am RÃ¼benberge</t>
  </si>
  <si>
    <t>Neustadt Bei Coburg</t>
  </si>
  <si>
    <t>Neustadt bei Coburg</t>
  </si>
  <si>
    <t>Neustadt em Holstein</t>
  </si>
  <si>
    <t>Neustadt in Holstein</t>
  </si>
  <si>
    <t>Neustadt/Nord</t>
  </si>
  <si>
    <t>Neustadt/sãd</t>
  </si>
  <si>
    <t>Neustadt/SÃ¼d</t>
  </si>
  <si>
    <t>Neustrelitz</t>
  </si>
  <si>
    <t>Neu-ulm</t>
  </si>
  <si>
    <t>Neu-Ulm</t>
  </si>
  <si>
    <t>Neuwied</t>
  </si>
  <si>
    <t>NIDDA</t>
  </si>
  <si>
    <t>Nidda</t>
  </si>
  <si>
    <t>Nidderau</t>
  </si>
  <si>
    <t>Nieder-iningelheim</t>
  </si>
  <si>
    <t>Nieder-Ingelheim</t>
  </si>
  <si>
    <t>Niederkassel</t>
  </si>
  <si>
    <t>Niederkrãchten</t>
  </si>
  <si>
    <t>NiederkrÃ¼chten</t>
  </si>
  <si>
    <t>NIEDERRAD</t>
  </si>
  <si>
    <t>Niederrad</t>
  </si>
  <si>
    <t>NIEDERSCHINHAUSEN</t>
  </si>
  <si>
    <t>NiederschÃ¶nhausen</t>
  </si>
  <si>
    <t>Nienburg</t>
  </si>
  <si>
    <t>Nikolassee</t>
  </si>
  <si>
    <t>Nippes</t>
  </si>
  <si>
    <t>Norden</t>
  </si>
  <si>
    <t>Nordenham</t>
  </si>
  <si>
    <t>Norderstedt</t>
  </si>
  <si>
    <t>Nordhausen</t>
  </si>
  <si>
    <t>Nordhorn</t>
  </si>
  <si>
    <t>Northeim</t>
  </si>
  <si>
    <t>Nottuln</t>
  </si>
  <si>
    <t>OBERASBACH</t>
  </si>
  <si>
    <t>Oberasbach</t>
  </si>
  <si>
    <t>OBERHAUSEN</t>
  </si>
  <si>
    <t>Oberhausen</t>
  </si>
  <si>
    <t>Oberkirch</t>
  </si>
  <si>
    <t>Ober-Ramstadt</t>
  </si>
  <si>
    <t>OBERSCHINEWEIDE</t>
  </si>
  <si>
    <t>OberschÃ¶neweide</t>
  </si>
  <si>
    <t>Obertshausen</t>
  </si>
  <si>
    <t>OBERURSEL</t>
  </si>
  <si>
    <t>Oberursel</t>
  </si>
  <si>
    <t>Ochtrup</t>
  </si>
  <si>
    <t>Odenthal</t>
  </si>
  <si>
    <t>Oelde</t>
  </si>
  <si>
    <t>Oer-wenschwick</t>
  </si>
  <si>
    <t>Oer-Erkenschwick</t>
  </si>
  <si>
    <t>Oerlinghausen</t>
  </si>
  <si>
    <t>Offenbach</t>
  </si>
  <si>
    <t>Offenburg</t>
  </si>
  <si>
    <t>Olching</t>
  </si>
  <si>
    <t>Oldenburg</t>
  </si>
  <si>
    <t>Olpe</t>
  </si>
  <si>
    <t>Olsberg</t>
  </si>
  <si>
    <t>OPLADEN</t>
  </si>
  <si>
    <t>Opladen</t>
  </si>
  <si>
    <t>Oranienburg</t>
  </si>
  <si>
    <t>Oschatz</t>
  </si>
  <si>
    <t>Oschersleben</t>
  </si>
  <si>
    <t>Osnabrãck</t>
  </si>
  <si>
    <t>OsnabrÃ¼ck</t>
  </si>
  <si>
    <t>Osterholz-Scharmbeck</t>
  </si>
  <si>
    <t>Ostfildern</t>
  </si>
  <si>
    <t>Ottobrunn</t>
  </si>
  <si>
    <t>Ottweiler</t>
  </si>
  <si>
    <t>Overath</t>
  </si>
  <si>
    <t>Oyten</t>
  </si>
  <si>
    <t>P ãttlingen</t>
  </si>
  <si>
    <t>PÃ¼ttlingen</t>
  </si>
  <si>
    <t>Paderborn</t>
  </si>
  <si>
    <t>Pankow</t>
  </si>
  <si>
    <t>PapEnburg</t>
  </si>
  <si>
    <t>Papenburg</t>
  </si>
  <si>
    <t>Parchim</t>
  </si>
  <si>
    <t>Passando</t>
  </si>
  <si>
    <t>Pasing</t>
  </si>
  <si>
    <t>Passau</t>
  </si>
  <si>
    <t>Peine</t>
  </si>
  <si>
    <t>Penzberg</t>
  </si>
  <si>
    <t>Petershagen</t>
  </si>
  <si>
    <t>Pfaffenhofen e Der Ilm</t>
  </si>
  <si>
    <t>Pfaffenhofen an der Ilm</t>
  </si>
  <si>
    <t>Pforzheim</t>
  </si>
  <si>
    <t>Pfullingen</t>
  </si>
  <si>
    <t>Pfungstadt</t>
  </si>
  <si>
    <t>Pinneberg</t>
  </si>
  <si>
    <t>Pirmasens</t>
  </si>
  <si>
    <t>Pirna</t>
  </si>
  <si>
    <t>Plauen</t>
  </si>
  <si>
    <t>Plettenberg</t>
  </si>
  <si>
    <t>Poppenbüttel</t>
  </si>
  <si>
    <t>PoppenbÃ¼ttel</t>
  </si>
  <si>
    <t>Porta Westfalica</t>
  </si>
  <si>
    <t>Potsdam</t>
  </si>
  <si>
    <t>Preetz</t>
  </si>
  <si>
    <t>Prenzlau</t>
  </si>
  <si>
    <t>Prenzlauer Berg</t>
  </si>
  <si>
    <t>Puchheim</t>
  </si>
  <si>
    <t>Pulheim</t>
  </si>
  <si>
    <t>Quedlinburg</t>
  </si>
  <si>
    <t>Quickborn</t>
  </si>
  <si>
    <t>RãSRATH</t>
  </si>
  <si>
    <t>RÃ¶srath</t>
  </si>
  <si>
    <t>RãSSELSHEIM</t>
  </si>
  <si>
    <t>RÃ¼sselsheim</t>
  </si>
  <si>
    <t>Radeberg</t>
  </si>
  <si>
    <t>Radebeul</t>
  </si>
  <si>
    <t>Radevormwald</t>
  </si>
  <si>
    <t>Radolfzell am Bodensee</t>
  </si>
  <si>
    <t>Rahden</t>
  </si>
  <si>
    <t>Rastatt</t>
  </si>
  <si>
    <t>Rastede</t>
  </si>
  <si>
    <t>CAVEKAU</t>
  </si>
  <si>
    <t>Ratekau</t>
  </si>
  <si>
    <t>Rathenow</t>
  </si>
  <si>
    <t>Ratingen</t>
  </si>
  <si>
    <t>Ravensburg</t>
  </si>
  <si>
    <t>Recklinghausen</t>
  </si>
  <si>
    <t>Rees</t>
  </si>
  <si>
    <t>Regensburg</t>
  </si>
  <si>
    <t>Reichenbach/Vogtland</t>
  </si>
  <si>
    <t>Reinbek</t>
  </si>
  <si>
    <t>Reinheim</t>
  </si>
  <si>
    <t>Reinickendorf</t>
  </si>
  <si>
    <t>Remagen</t>
  </si>
  <si>
    <t>Remscheid</t>
  </si>
  <si>
    <t>RENDSBURG</t>
  </si>
  <si>
    <t>Rendsburg</t>
  </si>
  <si>
    <t>Renningen</t>
  </si>
  <si>
    <t>Reutlingen</t>
  </si>
  <si>
    <t>RHEDA-WIEDENBRICK</t>
  </si>
  <si>
    <t>Rheda-WiedenbrÃ¼ck</t>
  </si>
  <si>
    <t>Rhede</t>
  </si>
  <si>
    <t>Rheinbach</t>
  </si>
  <si>
    <t>Rheinberg</t>
  </si>
  <si>
    <t>Rheine</t>
  </si>
  <si>
    <t>Rheinfelden (Baden)</t>
  </si>
  <si>
    <t>Rheinstetten</t>
  </si>
  <si>
    <t>Ribnitz-Damgarten</t>
  </si>
  <si>
    <t>Riedstadt</t>
  </si>
  <si>
    <t>Riegelsberg</t>
  </si>
  <si>
    <t>Riesa</t>
  </si>
  <si>
    <t>Rietberg</t>
  </si>
  <si>
    <t>Rinteln</t>
  </si>
  <si>
    <t>Rodgau</t>
  </si>
  <si>
    <t>Ronnenberg</t>
  </si>
  <si>
    <t>Rosenheim</t>
  </si>
  <si>
    <t>Rostock</t>
  </si>
  <si>
    <t>Rotenburg</t>
  </si>
  <si>
    <t>Roth</t>
  </si>
  <si>
    <t>Rottenburg</t>
  </si>
  <si>
    <t>Rottweil</t>
  </si>
  <si>
    <t>Rudolstadt</t>
  </si>
  <si>
    <t>RUDOW</t>
  </si>
  <si>
    <t>Rudow</t>
  </si>
  <si>
    <t>Rummelsburg</t>
  </si>
  <si>
    <t>Smmmerda</t>
  </si>
  <si>
    <t>SÃ¶mmerda</t>
  </si>
  <si>
    <t>Saalfeld</t>
  </si>
  <si>
    <t>Saarbrãcken</t>
  </si>
  <si>
    <t>SaarbrÃ¼cken</t>
  </si>
  <si>
    <t>Saarlouis</t>
  </si>
  <si>
    <t>Salzkotten</t>
  </si>
  <si>
    <t>Salzwedel</t>
  </si>
  <si>
    <t>Sangerhausen</t>
  </si>
  <si>
    <t>Sankt Augustin</t>
  </si>
  <si>
    <t>Sankt Ingbert</t>
  </si>
  <si>
    <t>Sankt Wendel</t>
  </si>
  <si>
    <t>Sarstedt</t>
  </si>
  <si>
    <t>Sasel</t>
  </si>
  <si>
    <t>Saulgau</t>
  </si>
  <si>
    <t>Schãnebeck</t>
  </si>
  <si>
    <t>SchÃ¶nebeck</t>
  </si>
  <si>
    <t>Schãneberg</t>
  </si>
  <si>
    <t>SchÃ¶neberg</t>
  </si>
  <si>
    <t>Schiffestadt</t>
  </si>
  <si>
    <t>Schifferstadt</t>
  </si>
  <si>
    <t>Schiffweiler</t>
  </si>
  <si>
    <t>Schkeuditz</t>
  </si>
  <si>
    <t>SchliChtern</t>
  </si>
  <si>
    <t>SchlÃ¼chtern</t>
  </si>
  <si>
    <t>Schleswig</t>
  </si>
  <si>
    <t>Schmalkalden</t>
  </si>
  <si>
    <t>Schmallenberg</t>
  </si>
  <si>
    <t>Schmargendorf</t>
  </si>
  <si>
    <t>Schmelz</t>
  </si>
  <si>
    <t>Schneeberg</t>
  </si>
  <si>
    <t>Schneverdingen</t>
  </si>
  <si>
    <t>Schopfheim</t>
  </si>
  <si>
    <t>Schorndorf</t>
  </si>
  <si>
    <t>Schortens</t>
  </si>
  <si>
    <t>Schramberg</t>
  </si>
  <si>
    <t>Schrobenhausen</t>
  </si>
  <si>
    <t>Schwãbisch Gmãnd</t>
  </si>
  <si>
    <t>SchwÃ¤bisch GmÃ¼nd</t>
  </si>
  <si>
    <t>SCHWONTE HALL</t>
  </si>
  <si>
    <t>SchwÃ¤bisch Hall</t>
  </si>
  <si>
    <t>Schwabach</t>
  </si>
  <si>
    <t>Schwalbach</t>
  </si>
  <si>
    <t>Schwalmstadt</t>
  </si>
  <si>
    <t>Schwalmtal</t>
  </si>
  <si>
    <t>Schwandorf em Bayern</t>
  </si>
  <si>
    <t>Schwandorf in Bayern</t>
  </si>
  <si>
    <t>Schwanewede</t>
  </si>
  <si>
    <t>Schwarzenberg</t>
  </si>
  <si>
    <t>Schwedt (oder)</t>
  </si>
  <si>
    <t>Schwedt (Oder)</t>
  </si>
  <si>
    <t>Schweinfurt</t>
  </si>
  <si>
    <t>Schwelm</t>
  </si>
  <si>
    <t>Schwerin</t>
  </si>
  <si>
    <t>Schwerte</t>
  </si>
  <si>
    <t>Schwetzingen</t>
  </si>
  <si>
    <t>Seeheim-Jugenheim</t>
  </si>
  <si>
    <t>Seelze</t>
  </si>
  <si>
    <t>Seesen</t>
  </si>
  <si>
    <t>Seevetal</t>
  </si>
  <si>
    <t>Sehnde</t>
  </si>
  <si>
    <t>Selb</t>
  </si>
  <si>
    <t>Seligenstadt</t>
  </si>
  <si>
    <t>Selm</t>
  </si>
  <si>
    <t>Senden</t>
  </si>
  <si>
    <t>Senftenberg</t>
  </si>
  <si>
    <t>Siegburg</t>
  </si>
  <si>
    <t>Siegen</t>
  </si>
  <si>
    <t>Sigmaringen</t>
  </si>
  <si>
    <t>Simmerath</t>
  </si>
  <si>
    <t>Sindelfingen</t>
  </si>
  <si>
    <t>Singen</t>
  </si>
  <si>
    <t>Sinsheim</t>
  </si>
  <si>
    <t>Sinzig</t>
  </si>
  <si>
    <t>Soest</t>
  </si>
  <si>
    <t>Solingen</t>
  </si>
  <si>
    <t>Soltau</t>
  </si>
  <si>
    <t>Sondershausen</t>
  </si>
  <si>
    <t>Sonneberg</t>
  </si>
  <si>
    <t>Sonthofen</t>
  </si>
  <si>
    <t>Spandau</t>
  </si>
  <si>
    <t>Vingança</t>
  </si>
  <si>
    <t>Spenge</t>
  </si>
  <si>
    <t>Speyer</t>
  </si>
  <si>
    <t>Spramerg</t>
  </si>
  <si>
    <t>Spremberg</t>
  </si>
  <si>
    <t>Springhe</t>
  </si>
  <si>
    <t>Springe</t>
  </si>
  <si>
    <t>Sprockhãvel</t>
  </si>
  <si>
    <t>SprockhÃ¶vel</t>
  </si>
  <si>
    <t>St. Pauli</t>
  </si>
  <si>
    <t>Staaken</t>
  </si>
  <si>
    <t>Staãfurt</t>
  </si>
  <si>
    <t>StaÃŸfurt</t>
  </si>
  <si>
    <t>Stade</t>
  </si>
  <si>
    <t>Stadtallendorf</t>
  </si>
  <si>
    <t>Stadthagen</t>
  </si>
  <si>
    <t>Stadtlohn</t>
  </si>
  <si>
    <t>Starnberg</t>
  </si>
  <si>
    <t>Steglitz</t>
  </si>
  <si>
    <t>Steilhoop</t>
  </si>
  <si>
    <t>Steilshoop</t>
  </si>
  <si>
    <t>Steinfurt</t>
  </si>
  <si>
    <t>Steinhagen</t>
  </si>
  <si>
    <t>Stellingen</t>
  </si>
  <si>
    <t>Stendal</t>
  </si>
  <si>
    <t>Stockach</t>
  </si>
  <si>
    <t>Stockelsdorf</t>
  </si>
  <si>
    <t>Stolberg</t>
  </si>
  <si>
    <t>Straelen</t>
  </si>
  <si>
    <t>Stralsund</t>
  </si>
  <si>
    <t>Straubing</t>
  </si>
  <si>
    <t>Strausberg</t>
  </si>
  <si>
    <t>Stuhr</t>
  </si>
  <si>
    <t>Stuttgart</t>
  </si>
  <si>
    <t>Stuttgart Feuerbach</t>
  </si>
  <si>
    <t>Stuttgart Mãhlhausen</t>
  </si>
  <si>
    <t>Stuttgart MÃ¼hlhausen</t>
  </si>
  <si>
    <t>Stuttgart-Ost</t>
  </si>
  <si>
    <t>Suhl</t>
  </si>
  <si>
    <t>Sulzbach</t>
  </si>
  <si>
    <t>Sulzbach-Rosenberg</t>
  </si>
  <si>
    <t>Sundern</t>
  </si>
  <si>
    <t>Syke</t>
  </si>
  <si>
    <t>TãNISVORST</t>
  </si>
  <si>
    <t>TÃ¶nisvorst</t>
  </si>
  <si>
    <t>Tãbingen</t>
  </si>
  <si>
    <t>TÃ¼bingen</t>
  </si>
  <si>
    <t>Taufkirchen</t>
  </si>
  <si>
    <t>Taunusstein</t>
  </si>
  <si>
    <t>Tegel</t>
  </si>
  <si>
    <t>Telgte</t>
  </si>
  <si>
    <t>Teltow</t>
  </si>
  <si>
    <t>Tempelhof</t>
  </si>
  <si>
    <t>Templin</t>
  </si>
  <si>
    <t>Tettnang</t>
  </si>
  <si>
    <t>Torgau</t>
  </si>
  <si>
    <t>Traunreut</t>
  </si>
  <si>
    <t>Traunstein</t>
  </si>
  <si>
    <t>Trier</t>
  </si>
  <si>
    <t>Troisdorf</t>
  </si>
  <si>
    <t>Trossingen</t>
  </si>
  <si>
    <t>Tuttlingen</t>
  </si>
  <si>
    <t>Uelzen</t>
  </si>
  <si>
    <t>Uetersen</t>
  </si>
  <si>
    <t>Ulm</t>
  </si>
  <si>
    <t>Unna</t>
  </si>
  <si>
    <t>Unterhaching</t>
  </si>
  <si>
    <t>Unterkrozingen</t>
  </si>
  <si>
    <t>Unterschleiãheim</t>
  </si>
  <si>
    <t>UnterschleiÃŸheim</t>
  </si>
  <si>
    <t>USLAR</t>
  </si>
  <si>
    <t>Uslar</t>
  </si>
  <si>
    <t>Vãlklingen</t>
  </si>
  <si>
    <t>VÃ¶lklingen</t>
  </si>
  <si>
    <t>Vaihingen An Der Enz</t>
  </si>
  <si>
    <t>Vaihingen an der Enz</t>
  </si>
  <si>
    <t>Varel</t>
  </si>
  <si>
    <t>Vaterstetten</t>
  </si>
  <si>
    <t>Vechelde</t>
  </si>
  <si>
    <t>Vechta</t>
  </si>
  <si>
    <t>Velbert</t>
  </si>
  <si>
    <t>Vellmar</t>
  </si>
  <si>
    <t>Verden</t>
  </si>
  <si>
    <t>Verl</t>
  </si>
  <si>
    <t>Versmold</t>
  </si>
  <si>
    <t>Viernheim</t>
  </si>
  <si>
    <t>Viersen</t>
  </si>
  <si>
    <t>Villingen-Schwenningen</t>
  </si>
  <si>
    <t>Vilshofen</t>
  </si>
  <si>
    <t>Vlotho</t>
  </si>
  <si>
    <t>Voerde</t>
  </si>
  <si>
    <t>Vreden</t>
  </si>
  <si>
    <t>Wrth AM Rhein</t>
  </si>
  <si>
    <t>WÃ¶rth am Rhein</t>
  </si>
  <si>
    <t>Wãlfrath</t>
  </si>
  <si>
    <t>WÃ¼lfrath</t>
  </si>
  <si>
    <t>Wãrselen</t>
  </si>
  <si>
    <t>WÃ¼rselen</t>
  </si>
  <si>
    <t>Wãrzburg</t>
  </si>
  <si>
    <t>WÃ¼rzburg</t>
  </si>
  <si>
    <t>Wachtberg</t>
  </si>
  <si>
    <t>Wadern</t>
  </si>
  <si>
    <t>Wadgassen</t>
  </si>
  <si>
    <t>WAGHäUSEL</t>
  </si>
  <si>
    <t>WaghÃ¤usel</t>
  </si>
  <si>
    <t>Waiblingen</t>
  </si>
  <si>
    <t>Waldbrãl</t>
  </si>
  <si>
    <t>WaldbrÃ¶l</t>
  </si>
  <si>
    <t>Waldkirch</t>
  </si>
  <si>
    <t>Waldkraiburg</t>
  </si>
  <si>
    <t>Waldshut-Tiengen</t>
  </si>
  <si>
    <t>Wallenhorst</t>
  </si>
  <si>
    <t>WalsRode</t>
  </si>
  <si>
    <t>Walsrode</t>
  </si>
  <si>
    <t>Waltrop</t>
  </si>
  <si>
    <t>Wandlitz</t>
  </si>
  <si>
    <t>Wandsbek</t>
  </si>
  <si>
    <t>Wangen im Allgã</t>
  </si>
  <si>
    <t>Wangen im AllgÃ¤u</t>
  </si>
  <si>
    <t>Warburg</t>
  </si>
  <si>
    <t>Wardenburg</t>
  </si>
  <si>
    <t>Waren</t>
  </si>
  <si>
    <t>Warendorf</t>
  </si>
  <si>
    <t>Warstein</t>
  </si>
  <si>
    <t>Wassenberg</t>
  </si>
  <si>
    <t>Casamento</t>
  </si>
  <si>
    <t>Wedding</t>
  </si>
  <si>
    <t>Wedel</t>
  </si>
  <si>
    <t>Weener</t>
  </si>
  <si>
    <t>Wegberg</t>
  </si>
  <si>
    <t>Weiãenburg em Bayern</t>
  </si>
  <si>
    <t>WeiÃŸenburg in Bayern</t>
  </si>
  <si>
    <t>Weiãenfels</t>
  </si>
  <si>
    <t>WeiÃŸenfels</t>
  </si>
  <si>
    <t>Weiãensee</t>
  </si>
  <si>
    <t>WeiÃŸensee</t>
  </si>
  <si>
    <t>WeiiWasser</t>
  </si>
  <si>
    <t>WeiÃŸwasser</t>
  </si>
  <si>
    <t>Weiden</t>
  </si>
  <si>
    <t>Weil Am Rhein</t>
  </si>
  <si>
    <t>Weil am Rhein</t>
  </si>
  <si>
    <t>Weil Der Stadt</t>
  </si>
  <si>
    <t>Weil der Stadt</t>
  </si>
  <si>
    <t>Weilerswist</t>
  </si>
  <si>
    <t>Weilheim</t>
  </si>
  <si>
    <t>Weimar</t>
  </si>
  <si>
    <t>Weingarten</t>
  </si>
  <si>
    <t>Weinheim</t>
  </si>
  <si>
    <t>WeInstadt-Endersbach</t>
  </si>
  <si>
    <t>Weinstadt-Endersbach</t>
  </si>
  <si>
    <t>Weiterstadt</t>
  </si>
  <si>
    <t>Wendelstein</t>
  </si>
  <si>
    <t>WENDEN</t>
  </si>
  <si>
    <t>Wenden</t>
  </si>
  <si>
    <t>Wendlingen am Neckar</t>
  </si>
  <si>
    <t>Werdau</t>
  </si>
  <si>
    <t>Werder</t>
  </si>
  <si>
    <t>Werdohl</t>
  </si>
  <si>
    <t>Werl</t>
  </si>
  <si>
    <t>Wermelskirchen</t>
  </si>
  <si>
    <t>Werne</t>
  </si>
  <si>
    <t>Wernigerode</t>
  </si>
  <si>
    <t>Wertheim</t>
  </si>
  <si>
    <t>Wesel</t>
  </si>
  <si>
    <t>Wesseling</t>
  </si>
  <si>
    <t>Extremo oeste</t>
  </si>
  <si>
    <t>Westend</t>
  </si>
  <si>
    <t>Westerstede</t>
  </si>
  <si>
    <t>Mais úmido (Ruhr)</t>
  </si>
  <si>
    <t>Wetter (Ruhr)</t>
  </si>
  <si>
    <t>Wetzlar</t>
  </si>
  <si>
    <t>Wiehl</t>
  </si>
  <si>
    <t>Wiesbaden</t>
  </si>
  <si>
    <t>Wiesloch</t>
  </si>
  <si>
    <t>Wildeshausen</t>
  </si>
  <si>
    <t>Wilhelmshaven</t>
  </si>
  <si>
    <t>Wilhelmstadt</t>
  </si>
  <si>
    <t>Willich</t>
  </si>
  <si>
    <t>Wilmersdorf</t>
  </si>
  <si>
    <t>Wilnsdorf</t>
  </si>
  <si>
    <t>Winnenden</t>
  </si>
  <si>
    <t>Winsen</t>
  </si>
  <si>
    <t>Hude de inverno</t>
  </si>
  <si>
    <t>Winterhude</t>
  </si>
  <si>
    <t>Wipperfãrth</t>
  </si>
  <si>
    <t>WipperfÃ¼rth</t>
  </si>
  <si>
    <t>Wismar</t>
  </si>
  <si>
    <t>Witten</t>
  </si>
  <si>
    <t>Wittenau</t>
  </si>
  <si>
    <t>Wittenberge</t>
  </si>
  <si>
    <t>Wittlich</t>
  </si>
  <si>
    <t>Wittmund</t>
  </si>
  <si>
    <t>Wittstock</t>
  </si>
  <si>
    <t>Witzenhausen</t>
  </si>
  <si>
    <t>Wolfen</t>
  </si>
  <si>
    <t>Wolfenbüttel</t>
  </si>
  <si>
    <t>WolfenbÃ¼ttel</t>
  </si>
  <si>
    <t>Wolfratshausen</t>
  </si>
  <si>
    <t>Wolfsburg</t>
  </si>
  <si>
    <t>Vermes</t>
  </si>
  <si>
    <t>Worms</t>
  </si>
  <si>
    <t>Wunstorf</t>
  </si>
  <si>
    <t>Wuppertal</t>
  </si>
  <si>
    <t>Wurzen</t>
  </si>
  <si>
    <t>Xanten</t>
  </si>
  <si>
    <t>Zehlendorf</t>
  </si>
  <si>
    <t>Zeitz</t>
  </si>
  <si>
    <t>Zerbst</t>
  </si>
  <si>
    <t>Zirndorf</t>
  </si>
  <si>
    <t>Zittau</t>
  </si>
  <si>
    <t>Zossen</t>
  </si>
  <si>
    <t>Zulpich</t>
  </si>
  <si>
    <t>Zweibrãcken</t>
  </si>
  <si>
    <t>ZweibrÃ¼cken</t>
  </si>
  <si>
    <t>Zwickau</t>
  </si>
  <si>
    <t>Aburi</t>
  </si>
  <si>
    <t>Ghana</t>
  </si>
  <si>
    <t>Eastern</t>
  </si>
  <si>
    <t>Accra</t>
  </si>
  <si>
    <t>Greater Accra</t>
  </si>
  <si>
    <t>Achiaman</t>
  </si>
  <si>
    <t>Agogo</t>
  </si>
  <si>
    <t>Ashanti</t>
  </si>
  <si>
    <t>Akim Oda</t>
  </si>
  <si>
    <t>Akwatia</t>
  </si>
  <si>
    <t>Anloga</t>
  </si>
  <si>
    <t>Volta</t>
  </si>
  <si>
    <t>Apam</t>
  </si>
  <si>
    <t>Asamankese</t>
  </si>
  <si>
    <t>Axim</t>
  </si>
  <si>
    <t>Bawku</t>
  </si>
  <si>
    <t>Upper East</t>
  </si>
  <si>
    <t>Begoro</t>
  </si>
  <si>
    <t>Berekum</t>
  </si>
  <si>
    <t>Brong-Ahafo</t>
  </si>
  <si>
    <t>Bibiani</t>
  </si>
  <si>
    <t>Bolgatanga</t>
  </si>
  <si>
    <t>CAVELE DE CAPE</t>
  </si>
  <si>
    <t>Cape Coast</t>
  </si>
  <si>
    <t>cúpula</t>
  </si>
  <si>
    <t>Dome</t>
  </si>
  <si>
    <t>Dunkwa</t>
  </si>
  <si>
    <t>Ejura</t>
  </si>
  <si>
    <t>Elmina</t>
  </si>
  <si>
    <t>Foso</t>
  </si>
  <si>
    <t>GBAWE</t>
  </si>
  <si>
    <t>Gbawe</t>
  </si>
  <si>
    <t>Ho</t>
  </si>
  <si>
    <t>Hohoe</t>
  </si>
  <si>
    <t>Kasoa</t>
  </si>
  <si>
    <t>Keta</t>
  </si>
  <si>
    <t>Kintampo</t>
  </si>
  <si>
    <t>Koforidua</t>
  </si>
  <si>
    <t>Konongo</t>
  </si>
  <si>
    <t>Kpandu</t>
  </si>
  <si>
    <t>Kumasi</t>
  </si>
  <si>
    <t>Mampong</t>
  </si>
  <si>
    <t>Medina Estates</t>
  </si>
  <si>
    <t>Navrongo</t>
  </si>
  <si>
    <t>Nkawkaw</t>
  </si>
  <si>
    <t>NSAWAM</t>
  </si>
  <si>
    <t>Nsawam</t>
  </si>
  <si>
    <t>Nungua</t>
  </si>
  <si>
    <t>Obuasi</t>
  </si>
  <si>
    <t>Prestea</t>
  </si>
  <si>
    <t>Salaga</t>
  </si>
  <si>
    <t>Saltpond</t>
  </si>
  <si>
    <t>Savelugu</t>
  </si>
  <si>
    <t>Sekondi-takoradi</t>
  </si>
  <si>
    <t>Sekondi-Takoradi</t>
  </si>
  <si>
    <t>Junção Shama</t>
  </si>
  <si>
    <t>Shama Junction</t>
  </si>
  <si>
    <t>Suhum</t>
  </si>
  <si>
    <t>SUNYANI</t>
  </si>
  <si>
    <t>Sunyani</t>
  </si>
  <si>
    <t>Swedru</t>
  </si>
  <si>
    <t>Tafo</t>
  </si>
  <si>
    <t>Takoradi</t>
  </si>
  <si>
    <t>Tamale</t>
  </si>
  <si>
    <t>Tarkwa</t>
  </si>
  <si>
    <t>Techiman</t>
  </si>
  <si>
    <t>Tema</t>
  </si>
  <si>
    <t>Teshi Cidade Velha</t>
  </si>
  <si>
    <t>Teshi Old Town</t>
  </si>
  <si>
    <t>Wa</t>
  </si>
  <si>
    <t>Upper West</t>
  </si>
  <si>
    <t>Wenchi</t>
  </si>
  <si>
    <t>Winneba</t>
  </si>
  <si>
    <t>Yendi</t>
  </si>
  <si>
    <t>Gibraltar</t>
  </si>
  <si>
    <t>Ã ã Dessa</t>
  </si>
  <si>
    <t>Ã‰dessa</t>
  </si>
  <si>
    <t>Greece</t>
  </si>
  <si>
    <t>Central Macedonia</t>
  </si>
  <si>
    <t>Ã Gioi anárgyroi</t>
  </si>
  <si>
    <t>Ãgioi AnÃ¡rgyroi</t>
  </si>
  <si>
    <t>Attica</t>
  </si>
  <si>
    <t>Ã Limos</t>
  </si>
  <si>
    <t>Ãlimos</t>
  </si>
  <si>
    <t>Ãlion</t>
  </si>
  <si>
    <t>Ã não liã³sia</t>
  </si>
  <si>
    <t>Ãno LiÃ³sia</t>
  </si>
  <si>
    <t>Ã rgos</t>
  </si>
  <si>
    <t>Ãrgos</t>
  </si>
  <si>
    <t>Peloponnese</t>
  </si>
  <si>
    <t>Ã rta</t>
  </si>
  <si>
    <t>Ãrta</t>
  </si>
  <si>
    <t>Epirus</t>
  </si>
  <si>
    <t>Aãgio</t>
  </si>
  <si>
    <t>AÃ­gio</t>
  </si>
  <si>
    <t>West Greece</t>
  </si>
  <si>
    <t>Acharn © s</t>
  </si>
  <si>
    <t>AcharnÃ©s</t>
  </si>
  <si>
    <t>Agãa Paraskevã</t>
  </si>
  <si>
    <t>AgÃ­a ParaskevÃ­</t>
  </si>
  <si>
    <t>Agãa VarvãRa</t>
  </si>
  <si>
    <t>AgÃ­a VarvÃ¡ra</t>
  </si>
  <si>
    <t>Agios Dimitrios</t>
  </si>
  <si>
    <t>Agios ioannis Rentis</t>
  </si>
  <si>
    <t>Agios Ioannis Rentis</t>
  </si>
  <si>
    <t>Agrãnio</t>
  </si>
  <si>
    <t>AgrÃ­nio</t>
  </si>
  <si>
    <t>Aig .Leo</t>
  </si>
  <si>
    <t>AigÃ¡leo</t>
  </si>
  <si>
    <t>AlexandroiPoli</t>
  </si>
  <si>
    <t>AlexandroÃºpoli</t>
  </si>
  <si>
    <t>East Macedonia and Thrace</t>
  </si>
  <si>
    <t>Amaliã</t>
  </si>
  <si>
    <t>AmaliÃ¡da</t>
  </si>
  <si>
    <t>ArgyroiPoli</t>
  </si>
  <si>
    <t>ArgyroÃºpoli</t>
  </si>
  <si>
    <t>Artá © mida</t>
  </si>
  <si>
    <t>ArtÃ©mida</t>
  </si>
  <si>
    <t>AsprãPyrgos</t>
  </si>
  <si>
    <t>AsprÃ³pyrgos</t>
  </si>
  <si>
    <t>Atenas</t>
  </si>
  <si>
    <t>Athens</t>
  </si>
  <si>
    <t>Chaãdã</t>
  </si>
  <si>
    <t>ChaÃ¯dÃ¡ri</t>
  </si>
  <si>
    <t>Chalkãda</t>
  </si>
  <si>
    <t>ChalkÃ­da</t>
  </si>
  <si>
    <t>Central Greece</t>
  </si>
  <si>
    <t>Chaniã</t>
  </si>
  <si>
    <t>ChaniÃ¡</t>
  </si>
  <si>
    <t>Crete</t>
  </si>
  <si>
    <t>Quios</t>
  </si>
  <si>
    <t>Chios</t>
  </si>
  <si>
    <t>North Aegean</t>
  </si>
  <si>
    <t>Cholargãs</t>
  </si>
  <si>
    <t>CholargÃ³s</t>
  </si>
  <si>
    <t>Corfu</t>
  </si>
  <si>
    <t>Ionian Islands</t>
  </si>
  <si>
    <t>Dhafnã</t>
  </si>
  <si>
    <t>DhafnÃ­</t>
  </si>
  <si>
    <t>Drama</t>
  </si>
  <si>
    <t>DrÃ¡ma</t>
  </si>
  <si>
    <t>Elefsãna</t>
  </si>
  <si>
    <t>ElefsÃ­na</t>
  </si>
  <si>
    <t>Ellinikã</t>
  </si>
  <si>
    <t>EllinikÃ³</t>
  </si>
  <si>
    <t>Flã rina</t>
  </si>
  <si>
    <t>FlÃ³rina</t>
  </si>
  <si>
    <t>West Macedonia</t>
  </si>
  <si>
    <t>Gé Rakas</t>
  </si>
  <si>
    <t>GÃ©rakas</t>
  </si>
  <si>
    <t>Galá</t>
  </si>
  <si>
    <t>GalÃ¡tsi</t>
  </si>
  <si>
    <t>Giannits.</t>
  </si>
  <si>
    <t>GiannitsÃ¡</t>
  </si>
  <si>
    <t>Glyfãda</t>
  </si>
  <si>
    <t>GlyfÃ¡da</t>
  </si>
  <si>
    <t>Ilioiopoli</t>
  </si>
  <si>
    <t>IlioÃºpoli</t>
  </si>
  <si>
    <t>Io -nnina</t>
  </si>
  <si>
    <t>IoÃ¡nnina</t>
  </si>
  <si>
    <t>Irãkleio</t>
  </si>
  <si>
    <t>IrÃ¡kleio</t>
  </si>
  <si>
    <t>Irã</t>
  </si>
  <si>
    <t>IrÃ¡kleion</t>
  </si>
  <si>
    <t>Kã³rinthos</t>
  </si>
  <si>
    <t>KÃ³rinthos</t>
  </si>
  <si>
    <t>Kaisarian</t>
  </si>
  <si>
    <t>KaisarianÃ­</t>
  </si>
  <si>
    <t>Kalamá</t>
  </si>
  <si>
    <t>KalamÃ¡ta</t>
  </si>
  <si>
    <t>Kalamariã</t>
  </si>
  <si>
    <t>KalamariÃ¡</t>
  </si>
  <si>
    <t>Kallithé a</t>
  </si>
  <si>
    <t>KallithÃ©a</t>
  </si>
  <si>
    <t>Kamaterãn</t>
  </si>
  <si>
    <t>KamaterÃ³n</t>
  </si>
  <si>
    <t>Kardãtsa</t>
  </si>
  <si>
    <t>KardÃ­tsa</t>
  </si>
  <si>
    <t>Thessaly</t>
  </si>
  <si>
    <t>Katerãni</t>
  </si>
  <si>
    <t>KaterÃ­ni</t>
  </si>
  <si>
    <t>Kavía</t>
  </si>
  <si>
    <t>KavÃ¡la</t>
  </si>
  <si>
    <t>Keratsãni</t>
  </si>
  <si>
    <t>KeratsÃ­ni</t>
  </si>
  <si>
    <t>Khalándrion</t>
  </si>
  <si>
    <t>KhalÃ¡ndrion</t>
  </si>
  <si>
    <t>KiFisiã</t>
  </si>
  <si>
    <t>KifisiÃ¡</t>
  </si>
  <si>
    <t>Kilkãs</t>
  </si>
  <si>
    <t>KilkÃ­s</t>
  </si>
  <si>
    <t>Komotinã</t>
  </si>
  <si>
    <t>KomotinÃ­</t>
  </si>
  <si>
    <t>Koropã</t>
  </si>
  <si>
    <t>KoropÃ­</t>
  </si>
  <si>
    <t>Korydallãs</t>
  </si>
  <si>
    <t>KorydallÃ³s</t>
  </si>
  <si>
    <t>Kos</t>
  </si>
  <si>
    <t>South Aegean</t>
  </si>
  <si>
    <t>Kozãni</t>
  </si>
  <si>
    <t>KozÃ¡ni</t>
  </si>
  <si>
    <t>Lê</t>
  </si>
  <si>
    <t>LÃ¡risa</t>
  </si>
  <si>
    <t>Lamãa</t>
  </si>
  <si>
    <t>LamÃ­a</t>
  </si>
  <si>
    <t>Livadeiã</t>
  </si>
  <si>
    <t>LivadeiÃ¡</t>
  </si>
  <si>
    <t>Má © Gara</t>
  </si>
  <si>
    <t>MÃ©gara</t>
  </si>
  <si>
    <t>Maroisi</t>
  </si>
  <si>
    <t>MaroÃºsi</t>
  </si>
  <si>
    <t>Melãssia</t>
  </si>
  <si>
    <t>MelÃ­ssia</t>
  </si>
  <si>
    <t>Menemé ni</t>
  </si>
  <si>
    <t>MenemÃ©ni</t>
  </si>
  <si>
    <t>Metamã³rfosi</t>
  </si>
  <si>
    <t>MetamÃ³rfosi</t>
  </si>
  <si>
    <t>Moskhãton</t>
  </si>
  <si>
    <t>MoskhÃ¡ton</t>
  </si>
  <si>
    <t>Mytilãni</t>
  </si>
  <si>
    <t>MytilÃ­ni</t>
  </si>
  <si>
    <t>NãOUSA</t>
  </si>
  <si>
    <t>NÃ¡ousa</t>
  </si>
  <si>
    <t>Não a erythraãa</t>
  </si>
  <si>
    <t>NÃ©a ErythraÃ­a</t>
  </si>
  <si>
    <t>N e Filadé Lfeia</t>
  </si>
  <si>
    <t>NÃ©a FiladÃ©lfeia</t>
  </si>
  <si>
    <t>Né © a ionãa</t>
  </si>
  <si>
    <t>NÃ©a IonÃ­a</t>
  </si>
  <si>
    <t>Não</t>
  </si>
  <si>
    <t>NÃ©a MÃ¡kri</t>
  </si>
  <si>
    <t>N © A Smã½rni</t>
  </si>
  <si>
    <t>NÃ©a SmÃ½rni</t>
  </si>
  <si>
    <t>Nãkaia</t>
  </si>
  <si>
    <t>NÃ­kaia</t>
  </si>
  <si>
    <t>Oraiã³kastro</t>
  </si>
  <si>
    <t>OraiÃ³kastro</t>
  </si>
  <si>
    <t>Orestiã</t>
  </si>
  <si>
    <t>OrestiÃ¡da</t>
  </si>
  <si>
    <t>Pãtra</t>
  </si>
  <si>
    <t>PÃ¡tra</t>
  </si>
  <si>
    <t>P. Fki</t>
  </si>
  <si>
    <t>PÃ©fki</t>
  </si>
  <si>
    <t>Pé Rama</t>
  </si>
  <si>
    <t>PÃ©rama</t>
  </si>
  <si>
    <t>Pã½rgos</t>
  </si>
  <si>
    <t>PÃ½rgos</t>
  </si>
  <si>
    <t>Palaiã féliro</t>
  </si>
  <si>
    <t>PalaiÃ³ FÃ¡liro</t>
  </si>
  <si>
    <t>Panã³rama</t>
  </si>
  <si>
    <t>PanÃ³rama</t>
  </si>
  <si>
    <t>Peraãa</t>
  </si>
  <si>
    <t>PeraÃ­a</t>
  </si>
  <si>
    <t>Peristé © ri</t>
  </si>
  <si>
    <t>PeristÃ©ri</t>
  </si>
  <si>
    <t>Petroiopolis</t>
  </si>
  <si>
    <t>PetroÃºpolis</t>
  </si>
  <si>
    <t>Pireu</t>
  </si>
  <si>
    <t>Piraeus</t>
  </si>
  <si>
    <t>Polãchni</t>
  </si>
  <si>
    <t>PolÃ­chni</t>
  </si>
  <si>
    <t>PRO © Veza</t>
  </si>
  <si>
    <t>PrÃ©veza</t>
  </si>
  <si>
    <t>Ptolemaá¸¯da</t>
  </si>
  <si>
    <t>Pylaãa</t>
  </si>
  <si>
    <t>PylaÃ­a</t>
  </si>
  <si>
    <t>Rão</t>
  </si>
  <si>
    <t>RÃ³dos</t>
  </si>
  <si>
    <t>Rethymno</t>
  </si>
  <si>
    <t>Sm rres</t>
  </si>
  <si>
    <t>SÃ©rres</t>
  </si>
  <si>
    <t>Salamãna</t>
  </si>
  <si>
    <t>SalamÃ­na</t>
  </si>
  <si>
    <t>Spãrti</t>
  </si>
  <si>
    <t>SpÃ¡rti</t>
  </si>
  <si>
    <t>Sykié s</t>
  </si>
  <si>
    <t>SykiÃ©s</t>
  </si>
  <si>
    <t>Thãvai</t>
  </si>
  <si>
    <t>ThÃ­vai</t>
  </si>
  <si>
    <t>Thessalonãki</t>
  </si>
  <si>
    <t>ThessalonÃ­ki</t>
  </si>
  <si>
    <t>Trãkala</t>
  </si>
  <si>
    <t>TrÃ­kala</t>
  </si>
  <si>
    <t>Trãpoli</t>
  </si>
  <si>
    <t>TrÃ­poli</t>
  </si>
  <si>
    <t>Vã</t>
  </si>
  <si>
    <t>VÃ¡ri</t>
  </si>
  <si>
    <t>V © ROIA</t>
  </si>
  <si>
    <t>VÃ©roia</t>
  </si>
  <si>
    <t>Vã½nas</t>
  </si>
  <si>
    <t>VÃ½ronas</t>
  </si>
  <si>
    <t>Vã los</t>
  </si>
  <si>
    <t>VÃ³los</t>
  </si>
  <si>
    <t>Voãola</t>
  </si>
  <si>
    <t>VoÃºla</t>
  </si>
  <si>
    <t>Vrilissia</t>
  </si>
  <si>
    <t>X nthi</t>
  </si>
  <si>
    <t>XÃ¡nthi</t>
  </si>
  <si>
    <t>Zográ</t>
  </si>
  <si>
    <t>ZogrÃ¡fos</t>
  </si>
  <si>
    <t>Nuuk</t>
  </si>
  <si>
    <t>Greenland</t>
  </si>
  <si>
    <t>Sermersooq</t>
  </si>
  <si>
    <t>Saint George's</t>
  </si>
  <si>
    <t>Grenada</t>
  </si>
  <si>
    <t>Baie-Mahault</t>
  </si>
  <si>
    <t>Guadeloupe</t>
  </si>
  <si>
    <t>Basse-terere</t>
  </si>
  <si>
    <t>Basse-Terre</t>
  </si>
  <si>
    <t>Capesterre-Belle-Eau</t>
  </si>
  <si>
    <t>Le Gosier</t>
  </si>
  <si>
    <t>Le Moule</t>
  </si>
  <si>
    <t>Les Abymes</t>
  </si>
  <si>
    <t>Petit-Bourg</t>
  </si>
  <si>
    <t>Pointe-pitre</t>
  </si>
  <si>
    <t>Pointe-Ã -Pitre</t>
  </si>
  <si>
    <t>Sainte-Anne</t>
  </si>
  <si>
    <t>Sainte-Rose</t>
  </si>
  <si>
    <t>Dededo Village</t>
  </si>
  <si>
    <t>Guam</t>
  </si>
  <si>
    <t>Dededo</t>
  </si>
  <si>
    <t>Casa do governo de Guam</t>
  </si>
  <si>
    <t>Guam Government House</t>
  </si>
  <si>
    <t>Hagatna</t>
  </si>
  <si>
    <t>Hagdio tã ± a</t>
  </si>
  <si>
    <t>HagÃ¥tÃ±a</t>
  </si>
  <si>
    <t>Vila de Mangilao</t>
  </si>
  <si>
    <t>Mangilao Village</t>
  </si>
  <si>
    <t>Mangilao</t>
  </si>
  <si>
    <t>Vila Tamuning-Tumon-Harmon</t>
  </si>
  <si>
    <t>Tamuning-Tumon-Harmon Village</t>
  </si>
  <si>
    <t>Tamuning</t>
  </si>
  <si>
    <t>Vila de Yigo</t>
  </si>
  <si>
    <t>Yigo Village</t>
  </si>
  <si>
    <t>Yigo</t>
  </si>
  <si>
    <t>Alotenango</t>
  </si>
  <si>
    <t>Guatemala</t>
  </si>
  <si>
    <t>SacatepÃ©quez</t>
  </si>
  <si>
    <t>Amatitlãn</t>
  </si>
  <si>
    <t>AmatitlÃ¡n</t>
  </si>
  <si>
    <t>Antígua Guatemala</t>
  </si>
  <si>
    <t>Antigua Guatemala</t>
  </si>
  <si>
    <t>ASUNCIOVA MITA</t>
  </si>
  <si>
    <t>AsunciÃ³n Mita</t>
  </si>
  <si>
    <t>Jutiapa</t>
  </si>
  <si>
    <t>Barberena</t>
  </si>
  <si>
    <t>Cantil</t>
  </si>
  <si>
    <t>Cantel</t>
  </si>
  <si>
    <t>Quetzaltenango</t>
  </si>
  <si>
    <t>Chicacao</t>
  </si>
  <si>
    <t>Suchitepeque</t>
  </si>
  <si>
    <t>Chichicastenango</t>
  </si>
  <si>
    <t>QuichÃ©</t>
  </si>
  <si>
    <t>Chimaltenango</t>
  </si>
  <si>
    <t>Chinautla</t>
  </si>
  <si>
    <t>Chiquimula</t>
  </si>
  <si>
    <t>Chisec</t>
  </si>
  <si>
    <t>Alta Verapaz</t>
  </si>
  <si>
    <t>Ciudad Vieja</t>
  </si>
  <si>
    <t>Coatepeque</t>
  </si>
  <si>
    <t>Cobão</t>
  </si>
  <si>
    <t>CobÃ¡n</t>
  </si>
  <si>
    <t>Colomba</t>
  </si>
  <si>
    <t>COMALAPA</t>
  </si>
  <si>
    <t>Comalapa</t>
  </si>
  <si>
    <t>Comitancillo</t>
  </si>
  <si>
    <t>Cuilapa</t>
  </si>
  <si>
    <t>El Estor</t>
  </si>
  <si>
    <t>Izabal</t>
  </si>
  <si>
    <t>El Palmar</t>
  </si>
  <si>
    <t>El Tejar</t>
  </si>
  <si>
    <t>Escuintla</t>
  </si>
  <si>
    <t>Esquipulas</t>
  </si>
  <si>
    <t>Flores</t>
  </si>
  <si>
    <t>PetÃ©n</t>
  </si>
  <si>
    <t>FRAIJANES</t>
  </si>
  <si>
    <t>Fraijanes</t>
  </si>
  <si>
    <t>Guali</t>
  </si>
  <si>
    <t>GualÃ¡n</t>
  </si>
  <si>
    <t>Zacapa</t>
  </si>
  <si>
    <t>cidade de Guatemala</t>
  </si>
  <si>
    <t>Guatemala City</t>
  </si>
  <si>
    <t>Huehuetenango</t>
  </si>
  <si>
    <t>Jacaltenango</t>
  </si>
  <si>
    <t>Jalapa</t>
  </si>
  <si>
    <t>Jocotenango</t>
  </si>
  <si>
    <t>La Esperanza</t>
  </si>
  <si>
    <t>La Gomera</t>
  </si>
  <si>
    <t>Mazatenango</t>
  </si>
  <si>
    <t>Mixco</t>
  </si>
  <si>
    <t>MOMOSTENANGO</t>
  </si>
  <si>
    <t>Momostenango</t>
  </si>
  <si>
    <t>TotonicapÃ¡n</t>
  </si>
  <si>
    <t>Nahual.</t>
  </si>
  <si>
    <t>NahualÃ¡</t>
  </si>
  <si>
    <t>SololÃ¡</t>
  </si>
  <si>
    <t>Nebaj</t>
  </si>
  <si>
    <t>Nuevo San Carlos</t>
  </si>
  <si>
    <t>Retalhuleu</t>
  </si>
  <si>
    <t>Ostuncalco</t>
  </si>
  <si>
    <t>Palãn</t>
  </si>
  <si>
    <t>PalÃ­n</t>
  </si>
  <si>
    <t>Palencia</t>
  </si>
  <si>
    <t>Panzãs</t>
  </si>
  <si>
    <t>PanzÃ³s</t>
  </si>
  <si>
    <t>Patzun</t>
  </si>
  <si>
    <t>PatzÃºn</t>
  </si>
  <si>
    <t>Patzicãa</t>
  </si>
  <si>
    <t>PatzicÃ­a</t>
  </si>
  <si>
    <t>Petapa</t>
  </si>
  <si>
    <t>POPT ÊN</t>
  </si>
  <si>
    <t>PoptÃºn</t>
  </si>
  <si>
    <t>Puerto Barrios</t>
  </si>
  <si>
    <t>Puerto San José</t>
  </si>
  <si>
    <t>Puerto San JosÃ©</t>
  </si>
  <si>
    <t>RETALHULEU</t>
  </si>
  <si>
    <t>Salamã</t>
  </si>
  <si>
    <t>SalamÃ¡</t>
  </si>
  <si>
    <t>Baja Verapaz</t>
  </si>
  <si>
    <t>San André © S Itzapa</t>
  </si>
  <si>
    <t>San AndrÃ©s Itzapa</t>
  </si>
  <si>
    <t>San Benito</t>
  </si>
  <si>
    <t>San Cristão Verapaz</t>
  </si>
  <si>
    <t>San CristÃ³bal Verapaz</t>
  </si>
  <si>
    <t>São Francisco El Alto</t>
  </si>
  <si>
    <t>San Francisco El Alto</t>
  </si>
  <si>
    <t>San José Pinula</t>
  </si>
  <si>
    <t>San JosÃ© Pinula</t>
  </si>
  <si>
    <t>San Juan Sacatepé</t>
  </si>
  <si>
    <t>San Juan SacatepÃ©quez</t>
  </si>
  <si>
    <t>San Lucas Sacatepé</t>
  </si>
  <si>
    <t>San Lucas SacatepÃ©quez</t>
  </si>
  <si>
    <t>San Pablo Jocopilas</t>
  </si>
  <si>
    <t>San Pedro Ayampuc</t>
  </si>
  <si>
    <t>San Pedro Sacatepé</t>
  </si>
  <si>
    <t>San Pedro SacatepÃ©quez</t>
  </si>
  <si>
    <t>Sanarate</t>
  </si>
  <si>
    <t>El Progreso</t>
  </si>
  <si>
    <t>Santa Catarina Pinula</t>
  </si>
  <si>
    <t>Santa Cruz del Quiché</t>
  </si>
  <si>
    <t>Santa Cruz del QuichÃ©</t>
  </si>
  <si>
    <t>Santa Lucãa Cotzumalguapa</t>
  </si>
  <si>
    <t>Santa LucÃ­a Cotzumalguapa</t>
  </si>
  <si>
    <t>Santa Marãa de Jesã</t>
  </si>
  <si>
    <t>Santa MarÃ­a de JesÃºs</t>
  </si>
  <si>
    <t>Santiago atitli</t>
  </si>
  <si>
    <t>Santiago AtitlÃ¡n</t>
  </si>
  <si>
    <t>SANTIAGO Sacatepé</t>
  </si>
  <si>
    <t>Santiago SacatepÃ©quez</t>
  </si>
  <si>
    <t>Sololi</t>
  </si>
  <si>
    <t>Sumpango</t>
  </si>
  <si>
    <t>Tecpãn Guatemala</t>
  </si>
  <si>
    <t>TecpÃ¡n Guatemala</t>
  </si>
  <si>
    <t>Tiquisate</t>
  </si>
  <si>
    <t>TOTONICAPAN</t>
  </si>
  <si>
    <t>Canales de Villa</t>
  </si>
  <si>
    <t>Villa Canales</t>
  </si>
  <si>
    <t>Saint Peter Port</t>
  </si>
  <si>
    <t>Guernsey</t>
  </si>
  <si>
    <t>St Peter Port</t>
  </si>
  <si>
    <t>Boké</t>
  </si>
  <si>
    <t>BokÃ©</t>
  </si>
  <si>
    <t>Guinea</t>
  </si>
  <si>
    <t>Boke</t>
  </si>
  <si>
    <t>Camayenne</t>
  </si>
  <si>
    <t>Conakry</t>
  </si>
  <si>
    <t>Coyah</t>
  </si>
  <si>
    <t>Kindia</t>
  </si>
  <si>
    <t>Fria</t>
  </si>
  <si>
    <t>Gueckedou</t>
  </si>
  <si>
    <t>Nzerekore</t>
  </si>
  <si>
    <t>Kamsar</t>
  </si>
  <si>
    <t>Kankan</t>
  </si>
  <si>
    <t>Kissidougou</t>
  </si>
  <si>
    <t>Faranah</t>
  </si>
  <si>
    <t>Labé ©</t>
  </si>
  <si>
    <t>LabÃ©</t>
  </si>
  <si>
    <t>Labe</t>
  </si>
  <si>
    <t>Macenta</t>
  </si>
  <si>
    <t>Mamou</t>
  </si>
  <si>
    <t>Nzé R © Koré</t>
  </si>
  <si>
    <t>NzÃ©rÃ©korÃ©</t>
  </si>
  <si>
    <t>Pão Pita</t>
  </si>
  <si>
    <t>Pita</t>
  </si>
  <si>
    <t>Siguiri</t>
  </si>
  <si>
    <t>Té Limé © L ©</t>
  </si>
  <si>
    <t>TÃ©limÃ©lÃ©</t>
  </si>
  <si>
    <t>Tougué</t>
  </si>
  <si>
    <t>TouguÃ©</t>
  </si>
  <si>
    <t>Bafat.</t>
  </si>
  <si>
    <t>BafatÃ¡</t>
  </si>
  <si>
    <t>Guinea-Bissau</t>
  </si>
  <si>
    <t>Bissau</t>
  </si>
  <si>
    <t>Georgetown</t>
  </si>
  <si>
    <t>Guyana</t>
  </si>
  <si>
    <t>Demerara-Mahaica</t>
  </si>
  <si>
    <t>Linden</t>
  </si>
  <si>
    <t>Upper Demerara-Berbice</t>
  </si>
  <si>
    <t>Novo Amsterdã</t>
  </si>
  <si>
    <t>New Amsterdam</t>
  </si>
  <si>
    <t>East Berbice-Corentyne</t>
  </si>
  <si>
    <t>Carrefour</t>
  </si>
  <si>
    <t>Haiti</t>
  </si>
  <si>
    <t>Ouest</t>
  </si>
  <si>
    <t>Croix des Bouquets</t>
  </si>
  <si>
    <t>Sarmes</t>
  </si>
  <si>
    <t>DÃ©sarmes</t>
  </si>
  <si>
    <t>Artibonite</t>
  </si>
  <si>
    <t>Delmas 73</t>
  </si>
  <si>
    <t>Parisien afe</t>
  </si>
  <si>
    <t>Fond Parisien</t>
  </si>
  <si>
    <t>GONAYIV</t>
  </si>
  <si>
    <t>Gonayiv</t>
  </si>
  <si>
    <t>Grangwav</t>
  </si>
  <si>
    <t>Gressier</t>
  </si>
  <si>
    <t>Hinche</t>
  </si>
  <si>
    <t>J © r © mie</t>
  </si>
  <si>
    <t>JÃ©rÃ©mie</t>
  </si>
  <si>
    <t>GrandÊ¼Anse</t>
  </si>
  <si>
    <t>Jacmel</t>
  </si>
  <si>
    <t>Sud-Est</t>
  </si>
  <si>
    <t>Kenscoff</t>
  </si>
  <si>
    <t>Og © og ¢ ne</t>
  </si>
  <si>
    <t>LÃ©ogÃ¢ne</t>
  </si>
  <si>
    <t>Lenbe</t>
  </si>
  <si>
    <t>Les Cayes</t>
  </si>
  <si>
    <t>Sud</t>
  </si>
  <si>
    <t>MIRAGO ¢ NE</t>
  </si>
  <si>
    <t>MiragoÃ¢ne</t>
  </si>
  <si>
    <t>OKAP</t>
  </si>
  <si>
    <t>Okap</t>
  </si>
  <si>
    <t>Pél © tionville</t>
  </si>
  <si>
    <t>PÃ©tionville</t>
  </si>
  <si>
    <t>Port-au-Prince</t>
  </si>
  <si>
    <t>Port-de-Paix</t>
  </si>
  <si>
    <t>Nord-Ouest</t>
  </si>
  <si>
    <t>Saint-Marc</t>
  </si>
  <si>
    <t>Thomazeau</t>
  </si>
  <si>
    <t>Ti port-de-paix</t>
  </si>
  <si>
    <t>Ti Port-de-Paix</t>
  </si>
  <si>
    <t>Tigwav</t>
  </si>
  <si>
    <t>Verrettes</t>
  </si>
  <si>
    <t>Choloma</t>
  </si>
  <si>
    <t>Honduras</t>
  </si>
  <si>
    <t>CortÃ©s</t>
  </si>
  <si>
    <t>Ciudad Choluteca</t>
  </si>
  <si>
    <t>Choluteca</t>
  </si>
  <si>
    <t>Cofradãa</t>
  </si>
  <si>
    <t>CofradÃ­a</t>
  </si>
  <si>
    <t>Comayagua</t>
  </si>
  <si>
    <t>Danlã</t>
  </si>
  <si>
    <t>DanlÃ­</t>
  </si>
  <si>
    <t>El ParaÃ­so</t>
  </si>
  <si>
    <t>El paraãso</t>
  </si>
  <si>
    <t>Yoro</t>
  </si>
  <si>
    <t>Juticalpa</t>
  </si>
  <si>
    <t>Olancho</t>
  </si>
  <si>
    <t>La Ceiba</t>
  </si>
  <si>
    <t>AtlÃ¡ntida</t>
  </si>
  <si>
    <t>La Lima</t>
  </si>
  <si>
    <t>Olanchito</t>
  </si>
  <si>
    <t>Potreillos</t>
  </si>
  <si>
    <t>Potrerillos</t>
  </si>
  <si>
    <t>Puerto Cortez</t>
  </si>
  <si>
    <t>Valle</t>
  </si>
  <si>
    <t>San Pedro Sula</t>
  </si>
  <si>
    <t>Santa Barbara</t>
  </si>
  <si>
    <t>Santa BÃ¡rbara</t>
  </si>
  <si>
    <t>Santa Rosa de Copá</t>
  </si>
  <si>
    <t>Santa Rosa de CopÃ¡n</t>
  </si>
  <si>
    <t>CopÃ¡n</t>
  </si>
  <si>
    <t>Siguatepeque</t>
  </si>
  <si>
    <t>Tegucigalpa</t>
  </si>
  <si>
    <t>Francisco MorazÃ¡n</t>
  </si>
  <si>
    <t>Tela</t>
  </si>
  <si>
    <t>ToCoa</t>
  </si>
  <si>
    <t>Tocoa</t>
  </si>
  <si>
    <t>Hong Kong</t>
  </si>
  <si>
    <t>Central and Western</t>
  </si>
  <si>
    <t>Kowloon</t>
  </si>
  <si>
    <t>Kowloon City</t>
  </si>
  <si>
    <t>Sha lin</t>
  </si>
  <si>
    <t>Sha Tin</t>
  </si>
  <si>
    <t>Tai Po</t>
  </si>
  <si>
    <t>Tsuen Wan</t>
  </si>
  <si>
    <t>Tuen Mun</t>
  </si>
  <si>
    <t>Yuen long kau hui</t>
  </si>
  <si>
    <t>Yuen Long Kau Hui</t>
  </si>
  <si>
    <t>Yuen Long</t>
  </si>
  <si>
    <t>Ã “ZD</t>
  </si>
  <si>
    <t>Ã“zd</t>
  </si>
  <si>
    <t>Hungary</t>
  </si>
  <si>
    <t>Borsod-AbaÃºj-ZemplÃ©n</t>
  </si>
  <si>
    <t>Ã rd</t>
  </si>
  <si>
    <t>Ã‰rd</t>
  </si>
  <si>
    <t>Pest</t>
  </si>
  <si>
    <t>ABONY</t>
  </si>
  <si>
    <t>Abony</t>
  </si>
  <si>
    <t>Ajka</t>
  </si>
  <si>
    <t>VeszprÃ©m</t>
  </si>
  <si>
    <t>Bá © k © s</t>
  </si>
  <si>
    <t>BÃ©kÃ©s</t>
  </si>
  <si>
    <t>Bekes</t>
  </si>
  <si>
    <t>Bá © k © scsaba</t>
  </si>
  <si>
    <t>BÃ©kÃ©scsaba</t>
  </si>
  <si>
    <t>Baja</t>
  </si>
  <si>
    <t>BÃ¡cs-Kiskun</t>
  </si>
  <si>
    <t>Balassagyarmat</t>
  </si>
  <si>
    <t>NÃ³grÃ¡d</t>
  </si>
  <si>
    <t>Balmaz najv</t>
  </si>
  <si>
    <t>BalmazÃºjvÃ¡ros</t>
  </si>
  <si>
    <t>HajdÃº-Bihar</t>
  </si>
  <si>
    <t>Berettyã³ºJfalu</t>
  </si>
  <si>
    <t>BerettyÃ³Ãºjfalu</t>
  </si>
  <si>
    <t>Budaãrs</t>
  </si>
  <si>
    <t>BudaÃ¶rs</t>
  </si>
  <si>
    <t>Budapeste</t>
  </si>
  <si>
    <t>Budapest</t>
  </si>
  <si>
    <t>Budapeste I. Kerãlet</t>
  </si>
  <si>
    <t>Budapest I. kerÃ¼let</t>
  </si>
  <si>
    <t>Budapeste II. ker ênlet</t>
  </si>
  <si>
    <t>Budapest II. kerÃ¼let</t>
  </si>
  <si>
    <t>Budapeste III. ker ênlet</t>
  </si>
  <si>
    <t>Budapest III. kerÃ¼let</t>
  </si>
  <si>
    <t>Budapeste IV. ker ênlet</t>
  </si>
  <si>
    <t>Budapest IV. kerÃ¼let</t>
  </si>
  <si>
    <t>Budapeste ix. ker ênlet</t>
  </si>
  <si>
    <t>Budapest IX. kerÃ¼let</t>
  </si>
  <si>
    <t>Budapeste vi. ker ênlet</t>
  </si>
  <si>
    <t>Budapest VI. kerÃ¼let</t>
  </si>
  <si>
    <t>Budapeste vii. ker ênlet</t>
  </si>
  <si>
    <t>Budapest VII. kerÃ¼let</t>
  </si>
  <si>
    <t>Budapeste viii. ker ênlet</t>
  </si>
  <si>
    <t>Budapest VIII. kerÃ¼let</t>
  </si>
  <si>
    <t>Budapeste X. Kerãlet</t>
  </si>
  <si>
    <t>Budapest X. kerÃ¼let</t>
  </si>
  <si>
    <t>Budapeste xi. ker ênlet</t>
  </si>
  <si>
    <t>Budapest XI. kerÃ¼let</t>
  </si>
  <si>
    <t>Budapeste xii. ker ênlet</t>
  </si>
  <si>
    <t>Budapest XII. kerÃ¼let</t>
  </si>
  <si>
    <t>Budapeste XIII. ker ênlet</t>
  </si>
  <si>
    <t>Budapest XIII. kerÃ¼let</t>
  </si>
  <si>
    <t>Budapeste XIV. ker ênlet</t>
  </si>
  <si>
    <t>Budapest XIV. kerÃ¼let</t>
  </si>
  <si>
    <t>Budapeste xix. ker ênlet</t>
  </si>
  <si>
    <t>Budapest XIX. kerÃ¼let</t>
  </si>
  <si>
    <t>Budapeste xv. ker ênlet</t>
  </si>
  <si>
    <t>Budapest XV. kerÃ¼let</t>
  </si>
  <si>
    <t>Budapeste xvi. ker ênlet</t>
  </si>
  <si>
    <t>Budapest XVI. kerÃ¼let</t>
  </si>
  <si>
    <t>Budapeste xvii. ker ênlet</t>
  </si>
  <si>
    <t>Budapest XVII. kerÃ¼let</t>
  </si>
  <si>
    <t>Budapeste xviii. ker ênlet</t>
  </si>
  <si>
    <t>Budapest XVIII. kerÃ¼let</t>
  </si>
  <si>
    <t>Budapeste xx. ker ênlet</t>
  </si>
  <si>
    <t>Budapest XX. kerÃ¼let</t>
  </si>
  <si>
    <t>Budapeste xxi. ker ênlet</t>
  </si>
  <si>
    <t>Budapest XXI. kerÃ¼let</t>
  </si>
  <si>
    <t>Budapeste xxii. ker ênlet</t>
  </si>
  <si>
    <t>Budapest XXII. kerÃ¼let</t>
  </si>
  <si>
    <t>Budapeste xxiii. ker ênlet</t>
  </si>
  <si>
    <t>Budapest XXIII. kerÃ¼let</t>
  </si>
  <si>
    <t>Ceglé d</t>
  </si>
  <si>
    <t>CeglÃ©d</t>
  </si>
  <si>
    <t>Csongrãd</t>
  </si>
  <si>
    <t>CsongrÃ¡d</t>
  </si>
  <si>
    <t>Dabas</t>
  </si>
  <si>
    <t>Debrecen</t>
  </si>
  <si>
    <t>Domb</t>
  </si>
  <si>
    <t>DombÃ³vÃ¡r</t>
  </si>
  <si>
    <t>Tolna</t>
  </si>
  <si>
    <t>DunaiiJv .Ros</t>
  </si>
  <si>
    <t>DunaÃºjvÃ¡ros</t>
  </si>
  <si>
    <t>FejÃ©r</t>
  </si>
  <si>
    <t>Dunaharaszti</t>
  </si>
  <si>
    <t>Dunakeszi</t>
  </si>
  <si>
    <t>Eger</t>
  </si>
  <si>
    <t>Heves</t>
  </si>
  <si>
    <t>Esztergom</t>
  </si>
  <si>
    <t>KomÃ¡rom-Esztergom</t>
  </si>
  <si>
    <t>Fã</t>
  </si>
  <si>
    <t>FÃ³t</t>
  </si>
  <si>
    <t>Gãd</t>
  </si>
  <si>
    <t>GÃ¶d</t>
  </si>
  <si>
    <t>Gãdãllå ‘</t>
  </si>
  <si>
    <t>GÃ¶dÃ¶llÅ‘</t>
  </si>
  <si>
    <t>Gyá</t>
  </si>
  <si>
    <t>GyÃ¡l</t>
  </si>
  <si>
    <t>Gyå‘r</t>
  </si>
  <si>
    <t>GyÅ‘r</t>
  </si>
  <si>
    <t>GyÅ‘r-Moson-Sopron</t>
  </si>
  <si>
    <t>Gyãngy's</t>
  </si>
  <si>
    <t>GyÃ¶ngyÃ¶s</t>
  </si>
  <si>
    <t>Gyomaendrå‘d</t>
  </si>
  <si>
    <t>GyomaendrÅ‘d</t>
  </si>
  <si>
    <t>Gyula</t>
  </si>
  <si>
    <t>Hãdmezå‘vãs</t>
  </si>
  <si>
    <t>HÃ³dmezÅ‘vÃ¡sÃ¡rhely</t>
  </si>
  <si>
    <t>Hajd © NY</t>
  </si>
  <si>
    <t>HajdÃºbÃ¶szÃ¶rmÃ©ny</t>
  </si>
  <si>
    <t>Hajdã n</t>
  </si>
  <si>
    <t>HajdÃºnÃ¡nÃ¡s</t>
  </si>
  <si>
    <t>Hajdãszoboszlã</t>
  </si>
  <si>
    <t>HajdÃºszoboszlÃ³</t>
  </si>
  <si>
    <t>Hatvan</t>
  </si>
  <si>
    <t>Jã-szberé ny</t>
  </si>
  <si>
    <t>JÃ¡szberÃ©ny</t>
  </si>
  <si>
    <t>JÃ¡sz-Nagykun-Szolnok</t>
  </si>
  <si>
    <t>Kalocsa</t>
  </si>
  <si>
    <t>Kaposvãr</t>
  </si>
  <si>
    <t>KaposvÃ¡r</t>
  </si>
  <si>
    <t>Somogy</t>
  </si>
  <si>
    <t>Karcag</t>
  </si>
  <si>
    <t>Kazincbarcika</t>
  </si>
  <si>
    <t>Kecskemé</t>
  </si>
  <si>
    <t>KecskemÃ©t</t>
  </si>
  <si>
    <t>Keszthely</t>
  </si>
  <si>
    <t>Zala</t>
  </si>
  <si>
    <t>Kiskå‘rãs</t>
  </si>
  <si>
    <t>KiskÅ‘rÃ¶s</t>
  </si>
  <si>
    <t>Kiskunfé Legyhãza</t>
  </si>
  <si>
    <t>KiskunfÃ©legyhÃ¡za</t>
  </si>
  <si>
    <t>Kiskunhalas</t>
  </si>
  <si>
    <t>Kisvãrda</t>
  </si>
  <si>
    <t>KisvÃ¡rda</t>
  </si>
  <si>
    <t>Szabolcs-SzatmÃ¡r-Bereg</t>
  </si>
  <si>
    <t>Komá</t>
  </si>
  <si>
    <t>KomÃ¡rom</t>
  </si>
  <si>
    <t>Komlã</t>
  </si>
  <si>
    <t>KomlÃ³</t>
  </si>
  <si>
    <t>Baranya</t>
  </si>
  <si>
    <t>Szalka</t>
  </si>
  <si>
    <t>MÃ¡tÃ©szalka</t>
  </si>
  <si>
    <t>Makã</t>
  </si>
  <si>
    <t>MakÃ³</t>
  </si>
  <si>
    <t>Mezå‘kãvesd</t>
  </si>
  <si>
    <t>MezÅ‘kÃ¶vesd</t>
  </si>
  <si>
    <t>Mezå‘tãR</t>
  </si>
  <si>
    <t>MezÅ‘tÃºr</t>
  </si>
  <si>
    <t>Miskolc</t>
  </si>
  <si>
    <t>Mohãcs</t>
  </si>
  <si>
    <t>MohÃ¡cs</t>
  </si>
  <si>
    <t>Monor</t>
  </si>
  <si>
    <t>MosonmagyarãV</t>
  </si>
  <si>
    <t>MosonmagyarÃ³vÃ¡r</t>
  </si>
  <si>
    <t>Nagykå‘rãs</t>
  </si>
  <si>
    <t>NagykÅ‘rÃ¶s</t>
  </si>
  <si>
    <t>Nagykanizsa</t>
  </si>
  <si>
    <t>Nyãregyhãza</t>
  </si>
  <si>
    <t>NyÃ­regyhÃ¡za</t>
  </si>
  <si>
    <t>Orosh av</t>
  </si>
  <si>
    <t>OroshÃ¡za</t>
  </si>
  <si>
    <t>Oroszlãny</t>
  </si>
  <si>
    <t>OroszlÃ¡ny</t>
  </si>
  <si>
    <t>Pã</t>
  </si>
  <si>
    <t>PÃ¡pa</t>
  </si>
  <si>
    <t>P. Cs</t>
  </si>
  <si>
    <t>PÃ©cs</t>
  </si>
  <si>
    <t>Pãspãkladá</t>
  </si>
  <si>
    <t>PÃ¼spÃ¶kladÃ¡ny</t>
  </si>
  <si>
    <t>Paks</t>
  </si>
  <si>
    <t>Parão</t>
  </si>
  <si>
    <t>ParÃ¡dsasvÃ¡r</t>
  </si>
  <si>
    <t>São</t>
  </si>
  <si>
    <t>SÃ¡rvÃ¡r</t>
  </si>
  <si>
    <t>Vas</t>
  </si>
  <si>
    <t>SÃ¡toraljaÃºjhely</t>
  </si>
  <si>
    <t>Salgã³tarjãn</t>
  </si>
  <si>
    <t>SalgÃ³tarjÃ¡n</t>
  </si>
  <si>
    <t>Siã³Fok</t>
  </si>
  <si>
    <t>SiÃ³fok</t>
  </si>
  <si>
    <t>Sopron</t>
  </si>
  <si>
    <t>Szãzhalombatta</t>
  </si>
  <si>
    <t>SzÃ¡zhalombatta</t>
  </si>
  <si>
    <t>Szé kesfehé rvãr</t>
  </si>
  <si>
    <t>SzÃ©kesfehÃ©rvÃ¡r</t>
  </si>
  <si>
    <t>Szarvas</t>
  </si>
  <si>
    <t>Povoado</t>
  </si>
  <si>
    <t>Szeged</t>
  </si>
  <si>
    <t>Szeksz ênd</t>
  </si>
  <si>
    <t>SzekszÃ¡rd</t>
  </si>
  <si>
    <t>Szentendre</t>
  </si>
  <si>
    <t>Szentes</t>
  </si>
  <si>
    <t>Szigetszentmiklãs</t>
  </si>
  <si>
    <t>SzigetszentmiklÃ³s</t>
  </si>
  <si>
    <t>Szolnok</t>
  </si>
  <si>
    <t>Szombathely</t>
  </si>
  <si>
    <t>T'Rākszentmiklãs</t>
  </si>
  <si>
    <t>TÃ¶rÃ¶kszentmiklÃ³s</t>
  </si>
  <si>
    <t>Tapolca</t>
  </si>
  <si>
    <t>Tata</t>
  </si>
  <si>
    <t>Tatabãnya</t>
  </si>
  <si>
    <t>TatabÃ¡nya</t>
  </si>
  <si>
    <t>Tiszaijv ã</t>
  </si>
  <si>
    <t>TiszaÃºjvÃ¡ros</t>
  </si>
  <si>
    <t>V ã</t>
  </si>
  <si>
    <t>VÃ¡c</t>
  </si>
  <si>
    <t>V ãrpalota</t>
  </si>
  <si>
    <t>VÃ¡rpalota</t>
  </si>
  <si>
    <t>VECSO © S.</t>
  </si>
  <si>
    <t>VecsÃ©s</t>
  </si>
  <si>
    <t>Veszpré m</t>
  </si>
  <si>
    <t>Zalaegerszeg</t>
  </si>
  <si>
    <t>Akureyri</t>
  </si>
  <si>
    <t>Iceland</t>
  </si>
  <si>
    <t>Northeast</t>
  </si>
  <si>
    <t>HAFNARFJãRO ° UR</t>
  </si>
  <si>
    <t>HafnarfjÃ¶rÃ°ur</t>
  </si>
  <si>
    <t>Kã³pavogur</t>
  </si>
  <si>
    <t>KÃ³pavogur</t>
  </si>
  <si>
    <t>Reykjavãk</t>
  </si>
  <si>
    <t>ReykjavÃ­k</t>
  </si>
  <si>
    <t>Ä € bu</t>
  </si>
  <si>
    <t>Ä€bu</t>
  </si>
  <si>
    <t>India</t>
  </si>
  <si>
    <t>Rajasthan</t>
  </si>
  <si>
    <t>Ä € Bu Road</t>
  </si>
  <si>
    <t>Ä€bu Road</t>
  </si>
  <si>
    <t>Ä € Dampur</t>
  </si>
  <si>
    <t>Ä€dampur</t>
  </si>
  <si>
    <t>Punjab</t>
  </si>
  <si>
    <t>Ä € dilä bä d</t>
  </si>
  <si>
    <t>Ä€dilÄbÄd</t>
  </si>
  <si>
    <t>Telangana</t>
  </si>
  <si>
    <t>Doni</t>
  </si>
  <si>
    <t>Ä€doni</t>
  </si>
  <si>
    <t>Andhra Pradesh</t>
  </si>
  <si>
    <t>Ä € gra</t>
  </si>
  <si>
    <t>Ä€gra</t>
  </si>
  <si>
    <t>Uttar Pradesh</t>
  </si>
  <si>
    <t>Ä € Langä Yam</t>
  </si>
  <si>
    <t>Ä€langÄyam</t>
  </si>
  <si>
    <t>Tamil Nadu</t>
  </si>
  <si>
    <t>Ä € Langulam</t>
  </si>
  <si>
    <t>Ä€langulam</t>
  </si>
  <si>
    <t>Ä € mlä gora</t>
  </si>
  <si>
    <t>Ä€mlÄgora</t>
  </si>
  <si>
    <t>West Bengal</t>
  </si>
  <si>
    <t>Ä € mli</t>
  </si>
  <si>
    <t>Ä€mli</t>
  </si>
  <si>
    <t>Dadra and Nagar Haveli</t>
  </si>
  <si>
    <t>Ä € mta</t>
  </si>
  <si>
    <t>Ä€mta</t>
  </si>
  <si>
    <t>Ä € Nand</t>
  </si>
  <si>
    <t>Ä€nand</t>
  </si>
  <si>
    <t>Gujarat</t>
  </si>
  <si>
    <t>Ä € ndippatti</t>
  </si>
  <si>
    <t>Ä€ndippatti</t>
  </si>
  <si>
    <t>Ä € rangaon</t>
  </si>
  <si>
    <t>Ä€rangaon</t>
  </si>
  <si>
    <t>Maharashtra</t>
  </si>
  <si>
    <t>Ä € rani</t>
  </si>
  <si>
    <t>Ä€rani</t>
  </si>
  <si>
    <t>Ron</t>
  </si>
  <si>
    <t>Ä€ron</t>
  </si>
  <si>
    <t>Madhya Pradesh</t>
  </si>
  <si>
    <t>Ä € rVI</t>
  </si>
  <si>
    <t>Ä€rvi</t>
  </si>
  <si>
    <t>Ä € Sandh</t>
  </si>
  <si>
    <t>Ä€sandh</t>
  </si>
  <si>
    <t>Haryana</t>
  </si>
  <si>
    <t>Sansol</t>
  </si>
  <si>
    <t>Ä€sansol</t>
  </si>
  <si>
    <t>Ä € sika</t>
  </si>
  <si>
    <t>Ä€sika</t>
  </si>
  <si>
    <t>Odisha</t>
  </si>
  <si>
    <t>Sind</t>
  </si>
  <si>
    <t>Ä€sind</t>
  </si>
  <si>
    <t>Thagarh</t>
  </si>
  <si>
    <t>Ä€thagarh</t>
  </si>
  <si>
    <t>Ä € vadi</t>
  </si>
  <si>
    <t>Ä€vadi</t>
  </si>
  <si>
    <t>Åªn</t>
  </si>
  <si>
    <t>Abhayä Puri</t>
  </si>
  <si>
    <t>AbhayÄpuri</t>
  </si>
  <si>
    <t>Assam</t>
  </si>
  <si>
    <t>ABOHAR</t>
  </si>
  <si>
    <t>Abohar</t>
  </si>
  <si>
    <t>Achalpur</t>
  </si>
  <si>
    <t>Achhnera</t>
  </si>
  <si>
    <t>Adå «r</t>
  </si>
  <si>
    <t>AdÅ«r</t>
  </si>
  <si>
    <t>Kerala</t>
  </si>
  <si>
    <t>Addanki</t>
  </si>
  <si>
    <t>Adirampattinam</t>
  </si>
  <si>
    <t>Adra</t>
  </si>
  <si>
    <t>Afzalgarh</t>
  </si>
  <si>
    <t>Afzalpur</t>
  </si>
  <si>
    <t>Karnataka</t>
  </si>
  <si>
    <t>Agar</t>
  </si>
  <si>
    <t>Agartala</t>
  </si>
  <si>
    <t>Tripura</t>
  </si>
  <si>
    <t>Ahmadnagar</t>
  </si>
  <si>
    <t>Ahmadpur</t>
  </si>
  <si>
    <t>Ahmedabad</t>
  </si>
  <si>
    <t>Ahraura</t>
  </si>
  <si>
    <t>Airoli</t>
  </si>
  <si>
    <t>Aistala</t>
  </si>
  <si>
    <t>Aizawl</t>
  </si>
  <si>
    <t>Mizoram</t>
  </si>
  <si>
    <t>Ajmer</t>
  </si>
  <si>
    <t>Ajnä la</t>
  </si>
  <si>
    <t>AjnÄla</t>
  </si>
  <si>
    <t>Ajodhya</t>
  </si>
  <si>
    <t>AJRA</t>
  </si>
  <si>
    <t>Ajra</t>
  </si>
  <si>
    <t>Akalkot</t>
  </si>
  <si>
    <t>Akaltara</t>
  </si>
  <si>
    <t>Chhattisgarh</t>
  </si>
  <si>
    <t>Akbarpur</t>
  </si>
  <si>
    <t>Akivä «du</t>
  </si>
  <si>
    <t>AkivÄ«du</t>
  </si>
  <si>
    <t>Akkarampalle</t>
  </si>
  <si>
    <t>Aklera</t>
  </si>
  <si>
    <t>Akola</t>
  </si>
  <si>
    <t>Akot</t>
  </si>
  <si>
    <t>Alä «bä g</t>
  </si>
  <si>
    <t>AlÄ«bÄg</t>
  </si>
  <si>
    <t>Alä «Ganj</t>
  </si>
  <si>
    <t>AlÄ«ganj</t>
  </si>
  <si>
    <t>Alä «Garh</t>
  </si>
  <si>
    <t>AlÄ«garh</t>
  </si>
  <si>
    <t>Alä «pur</t>
  </si>
  <si>
    <t>AlÄ«pur</t>
  </si>
  <si>
    <t>NCT</t>
  </si>
  <si>
    <t>Uma terra</t>
  </si>
  <si>
    <t>Aland</t>
  </si>
  <si>
    <t>ALANDI</t>
  </si>
  <si>
    <t>Alandi</t>
  </si>
  <si>
    <t>ALANDUR</t>
  </si>
  <si>
    <t>Alandur</t>
  </si>
  <si>
    <t>Allahä Bä d</t>
  </si>
  <si>
    <t>AllahÄbÄd</t>
  </si>
  <si>
    <t>Alleppey</t>
  </si>
  <si>
    <t>Almora</t>
  </si>
  <si>
    <t>Uttarakhand</t>
  </si>
  <si>
    <t>Alnä var</t>
  </si>
  <si>
    <t>AlnÄvar</t>
  </si>
  <si>
    <t>Junto</t>
  </si>
  <si>
    <t>Along</t>
  </si>
  <si>
    <t>Arunachal Pradesh</t>
  </si>
  <si>
    <t>Bastante</t>
  </si>
  <si>
    <t>Alot</t>
  </si>
  <si>
    <t>Aluva</t>
  </si>
  <si>
    <t>Alwar</t>
  </si>
  <si>
    <t>Amalä Puram</t>
  </si>
  <si>
    <t>AmalÄpuram</t>
  </si>
  <si>
    <t>Amalner</t>
  </si>
  <si>
    <t>Amarnä th</t>
  </si>
  <si>
    <t>AmarnÄth</t>
  </si>
  <si>
    <t>Amarpä Tan</t>
  </si>
  <si>
    <t>AmarpÄtan</t>
  </si>
  <si>
    <t>Amarpur</t>
  </si>
  <si>
    <t>Bihar</t>
  </si>
  <si>
    <t>Ambä h</t>
  </si>
  <si>
    <t>AmbÄh</t>
  </si>
  <si>
    <t>Ambä Jogä i</t>
  </si>
  <si>
    <t>AmbÄjogÄi</t>
  </si>
  <si>
    <t>Ambä la</t>
  </si>
  <si>
    <t>AmbÄla</t>
  </si>
  <si>
    <t>Ambad</t>
  </si>
  <si>
    <t>Ambasamudram</t>
  </si>
  <si>
    <t>Ambattå «r</t>
  </si>
  <si>
    <t>AmbattÅ«r</t>
  </si>
  <si>
    <t>Ambikä Pur</t>
  </si>
  <si>
    <t>AmbikÄpur</t>
  </si>
  <si>
    <t>Ambur</t>
  </si>
  <si>
    <t>AMET</t>
  </si>
  <si>
    <t>Amet</t>
  </si>
  <si>
    <t>Amla</t>
  </si>
  <si>
    <t>Amod</t>
  </si>
  <si>
    <t>Amrä Vati</t>
  </si>
  <si>
    <t>AmrÄvati</t>
  </si>
  <si>
    <t>Amreli</t>
  </si>
  <si>
    <t>Amritsar</t>
  </si>
  <si>
    <t>Amroha</t>
  </si>
  <si>
    <t>Amroli</t>
  </si>
  <si>
    <t>Amudä Lavalasa</t>
  </si>
  <si>
    <t>AmudÄlavalasa</t>
  </si>
  <si>
    <t>Anå «pgarh</t>
  </si>
  <si>
    <t>AnÅ«pgarh</t>
  </si>
  <si>
    <t>Anå «ppur</t>
  </si>
  <si>
    <t>AnÅ«ppur</t>
  </si>
  <si>
    <t>Anå «Pshahr</t>
  </si>
  <si>
    <t>AnÅ«pshahr</t>
  </si>
  <si>
    <t>Anaimalai</t>
  </si>
  <si>
    <t>Anakä Palle</t>
  </si>
  <si>
    <t>AnakÄpalle</t>
  </si>
  <si>
    <t>Anandpur</t>
  </si>
  <si>
    <t>Anantapur</t>
  </si>
  <si>
    <t>Anantnag</t>
  </si>
  <si>
    <t>Kashmir</t>
  </si>
  <si>
    <t>Andol</t>
  </si>
  <si>
    <t>Anekal</t>
  </si>
  <si>
    <t>Angamä Li</t>
  </si>
  <si>
    <t>AngamÄli</t>
  </si>
  <si>
    <t>Angul</t>
  </si>
  <si>
    <t>Anjä r</t>
  </si>
  <si>
    <t>AnjÄr</t>
  </si>
  <si>
    <t>Anjad</t>
  </si>
  <si>
    <t>Anjangaon</t>
  </si>
  <si>
    <t>Ankleshwar</t>
  </si>
  <si>
    <t>Annigeri</t>
  </si>
  <si>
    <t>Annur</t>
  </si>
  <si>
    <t>Anshing</t>
  </si>
  <si>
    <t>Anta</t>
  </si>
  <si>
    <t>Anthiyur</t>
  </si>
  <si>
    <t>Aonla</t>
  </si>
  <si>
    <t>Arä mbä gh</t>
  </si>
  <si>
    <t>ArÄmbÄgh</t>
  </si>
  <si>
    <t>Arä ria</t>
  </si>
  <si>
    <t>ArÄria</t>
  </si>
  <si>
    <t>Arakkonam</t>
  </si>
  <si>
    <t>Arang</t>
  </si>
  <si>
    <t>Arantä ngi</t>
  </si>
  <si>
    <t>ArantÄngi</t>
  </si>
  <si>
    <t>Arcot</t>
  </si>
  <si>
    <t>Ariyalå «r</t>
  </si>
  <si>
    <t>AriyalÅ«r</t>
  </si>
  <si>
    <t>Arkalgå «d</t>
  </si>
  <si>
    <t>ArkalgÅ«d</t>
  </si>
  <si>
    <t>Aroor</t>
  </si>
  <si>
    <t>Arrah</t>
  </si>
  <si>
    <t>Arsikere</t>
  </si>
  <si>
    <t>ARUKUTTI</t>
  </si>
  <si>
    <t>Arukutti</t>
  </si>
  <si>
    <t>Arumuganeri</t>
  </si>
  <si>
    <t>ARUPPUKKOTTAI</t>
  </si>
  <si>
    <t>Aruppukkottai</t>
  </si>
  <si>
    <t>Ashoknagar</t>
  </si>
  <si>
    <t>Ashoknagar Kalyangarh</t>
  </si>
  <si>
    <t>Ashta</t>
  </si>
  <si>
    <t>Asifä bä d</t>
  </si>
  <si>
    <t>AsifÄbÄd</t>
  </si>
  <si>
    <t>Atarra</t>
  </si>
  <si>
    <t>Athni</t>
  </si>
  <si>
    <t>Atmakå «r</t>
  </si>
  <si>
    <t>AtmakÅ«r</t>
  </si>
  <si>
    <t>Atraulä «</t>
  </si>
  <si>
    <t>AtraulÄ«</t>
  </si>
  <si>
    <t>Attili</t>
  </si>
  <si>
    <t>Attingal</t>
  </si>
  <si>
    <t>Atur</t>
  </si>
  <si>
    <t>Attur</t>
  </si>
  <si>
    <t>Aurä d</t>
  </si>
  <si>
    <t>AurÄd</t>
  </si>
  <si>
    <t>Auraiya</t>
  </si>
  <si>
    <t>Aurangä Bä d</t>
  </si>
  <si>
    <t>AurangÄbÄd</t>
  </si>
  <si>
    <t>Aurangabad</t>
  </si>
  <si>
    <t>AUSA</t>
  </si>
  <si>
    <t>Ausa</t>
  </si>
  <si>
    <t>Avanigadda</t>
  </si>
  <si>
    <t>Avinashi</t>
  </si>
  <si>
    <t>Ayakudi</t>
  </si>
  <si>
    <t>Azamgarh</t>
  </si>
  <si>
    <t>Bä «dar</t>
  </si>
  <si>
    <t>BÄ«dar</t>
  </si>
  <si>
    <t>Bä «Kaner</t>
  </si>
  <si>
    <t>BÄ«kaner</t>
  </si>
  <si>
    <t>Bä «lä spur</t>
  </si>
  <si>
    <t>BÄ«lÄspur</t>
  </si>
  <si>
    <t>Bå «ndi</t>
  </si>
  <si>
    <t>BÅ«ndi</t>
  </si>
  <si>
    <t>Bå «ndu</t>
  </si>
  <si>
    <t>BÅ«ndu</t>
  </si>
  <si>
    <t>Jharkhand</t>
  </si>
  <si>
    <t>Bä «rpur</t>
  </si>
  <si>
    <t>BÄ«rpur</t>
  </si>
  <si>
    <t>Bä «Salpur</t>
  </si>
  <si>
    <t>BÄ«salpur</t>
  </si>
  <si>
    <t>Bä Bai</t>
  </si>
  <si>
    <t>BÄbai</t>
  </si>
  <si>
    <t>Bä Bra</t>
  </si>
  <si>
    <t>BÄbra</t>
  </si>
  <si>
    <t>Bä dä mi</t>
  </si>
  <si>
    <t>BÄdÄmi</t>
  </si>
  <si>
    <t>Bä gepalli</t>
  </si>
  <si>
    <t>BÄgepalli</t>
  </si>
  <si>
    <t>Bä gha purä na</t>
  </si>
  <si>
    <t>BÄgha PurÄna</t>
  </si>
  <si>
    <t>Bä ghdogra</t>
  </si>
  <si>
    <t>BÄghdogra</t>
  </si>
  <si>
    <t>Bä ghpat</t>
  </si>
  <si>
    <t>BÄghpat</t>
  </si>
  <si>
    <t>Bä h</t>
  </si>
  <si>
    <t>BÄh</t>
  </si>
  <si>
    <t>Bä lä cor</t>
  </si>
  <si>
    <t>BÄlÄchor</t>
  </si>
  <si>
    <t>Bä lä ghä t</t>
  </si>
  <si>
    <t>BÄlÄghÄt</t>
  </si>
  <si>
    <t>Bä lä Pur</t>
  </si>
  <si>
    <t>BÄlÄpur</t>
  </si>
  <si>
    <t>Bä Li</t>
  </si>
  <si>
    <t>BÄli</t>
  </si>
  <si>
    <t>Bä Lotra</t>
  </si>
  <si>
    <t>BÄlotra</t>
  </si>
  <si>
    <t>Bä Lugaon</t>
  </si>
  <si>
    <t>BÄlugaon</t>
  </si>
  <si>
    <t>Bä Lurghä T.</t>
  </si>
  <si>
    <t>BÄlurghÄt</t>
  </si>
  <si>
    <t>Bä mor kalä n</t>
  </si>
  <si>
    <t>BÄmor KalÄn</t>
  </si>
  <si>
    <t>Bä Napur</t>
  </si>
  <si>
    <t>BÄnapur</t>
  </si>
  <si>
    <t>Bä nda</t>
  </si>
  <si>
    <t>BÄnda</t>
  </si>
  <si>
    <t>Bä ndä «kå« i i</t>
  </si>
  <si>
    <t>BÄndÄ«kÅ«i</t>
  </si>
  <si>
    <t>Bä Ngarmau</t>
  </si>
  <si>
    <t>BÄngarmau</t>
  </si>
  <si>
    <t>Bä nka</t>
  </si>
  <si>
    <t>BÄnka</t>
  </si>
  <si>
    <t>Bä Nki</t>
  </si>
  <si>
    <t>BÄnki</t>
  </si>
  <si>
    <t>Bä Nkura</t>
  </si>
  <si>
    <t>BÄnkura</t>
  </si>
  <si>
    <t>Bä nsbä ria</t>
  </si>
  <si>
    <t>BÄnsbÄria</t>
  </si>
  <si>
    <t>Bä nsdä «h</t>
  </si>
  <si>
    <t>BÄnsdÄ«h</t>
  </si>
  <si>
    <t>Bä nsi</t>
  </si>
  <si>
    <t>BÄnsi</t>
  </si>
  <si>
    <t>Bä Nswä da</t>
  </si>
  <si>
    <t>BÄnswÄda</t>
  </si>
  <si>
    <t>Bä Nswä ra</t>
  </si>
  <si>
    <t>BÄnswÄra</t>
  </si>
  <si>
    <t>Bä ntva</t>
  </si>
  <si>
    <t>BÄntva</t>
  </si>
  <si>
    <t>Bä Patla</t>
  </si>
  <si>
    <t>BÄpatla</t>
  </si>
  <si>
    <t>Bä Rä Kpur</t>
  </si>
  <si>
    <t>BÄrÄkpur</t>
  </si>
  <si>
    <t>Bä rä Mati</t>
  </si>
  <si>
    <t>BÄrÄmati</t>
  </si>
  <si>
    <t>Bä rä n</t>
  </si>
  <si>
    <t>BÄrÄn</t>
  </si>
  <si>
    <t>Bä rä sábado</t>
  </si>
  <si>
    <t>BÄrÄsat</t>
  </si>
  <si>
    <t>Bä Ramå «la</t>
  </si>
  <si>
    <t>BÄramÅ«la</t>
  </si>
  <si>
    <t>Bä Rdoli</t>
  </si>
  <si>
    <t>BÄrdoli</t>
  </si>
  <si>
    <t>Bä rh</t>
  </si>
  <si>
    <t>BÄrh</t>
  </si>
  <si>
    <t>Bä Ri</t>
  </si>
  <si>
    <t>BÄri</t>
  </si>
  <si>
    <t>Bä rmer</t>
  </si>
  <si>
    <t>BÄrmer</t>
  </si>
  <si>
    <t>Bä rsi</t>
  </si>
  <si>
    <t>BÄrsi</t>
  </si>
  <si>
    <t>Bä Ruipur</t>
  </si>
  <si>
    <t>BÄruipur</t>
  </si>
  <si>
    <t>Bä Runi</t>
  </si>
  <si>
    <t>BÄruni</t>
  </si>
  <si>
    <t>Soda Bä</t>
  </si>
  <si>
    <t>BÄsoda</t>
  </si>
  <si>
    <t>Bä Sudebpur</t>
  </si>
  <si>
    <t>BÄsudebpur</t>
  </si>
  <si>
    <t>Bä Zpur</t>
  </si>
  <si>
    <t>BÄzpur</t>
  </si>
  <si>
    <t>Babä «na</t>
  </si>
  <si>
    <t>BabÄ«na</t>
  </si>
  <si>
    <t>Baberu</t>
  </si>
  <si>
    <t>Babrä la</t>
  </si>
  <si>
    <t>BabrÄla</t>
  </si>
  <si>
    <t>Bachhraon</t>
  </si>
  <si>
    <t>Bada barabä «l</t>
  </si>
  <si>
    <t>Bada BarabÄ«l</t>
  </si>
  <si>
    <t>Badå «ria</t>
  </si>
  <si>
    <t>BadÅ«ria</t>
  </si>
  <si>
    <t>BADAGARA</t>
  </si>
  <si>
    <t>Badagara</t>
  </si>
  <si>
    <t>Baddi</t>
  </si>
  <si>
    <t>Himachal Pradesh</t>
  </si>
  <si>
    <t>Badlapur</t>
  </si>
  <si>
    <t>Guerra de Badnä</t>
  </si>
  <si>
    <t>BadnÄwar</t>
  </si>
  <si>
    <t>Badvel</t>
  </si>
  <si>
    <t>Bagaha</t>
  </si>
  <si>
    <t>Bagalkot</t>
  </si>
  <si>
    <t>Bantar</t>
  </si>
  <si>
    <t>Bagar</t>
  </si>
  <si>
    <t>Bagasra</t>
  </si>
  <si>
    <t>Bagulä</t>
  </si>
  <si>
    <t>BagulÄ</t>
  </si>
  <si>
    <t>Bahä Durganj</t>
  </si>
  <si>
    <t>BahÄdurganj</t>
  </si>
  <si>
    <t>Bahä Durgarh</t>
  </si>
  <si>
    <t>BahÄdurgarh</t>
  </si>
  <si>
    <t>Baharampur</t>
  </si>
  <si>
    <t>Baheri</t>
  </si>
  <si>
    <t>Bahjoi</t>
  </si>
  <si>
    <t>Bahraigh</t>
  </si>
  <si>
    <t>Bahula</t>
  </si>
  <si>
    <t>Baidyabä ti</t>
  </si>
  <si>
    <t>BaidyabÄti</t>
  </si>
  <si>
    <t>Baihar</t>
  </si>
  <si>
    <t>Bail-Hongal</t>
  </si>
  <si>
    <t>Bairä Gnia</t>
  </si>
  <si>
    <t>BairÄgnia</t>
  </si>
  <si>
    <t>Baj Baj</t>
  </si>
  <si>
    <t>Bakhtiyä rpur</t>
  </si>
  <si>
    <t>BakhtiyÄrpur</t>
  </si>
  <si>
    <t>Balä ngä «r</t>
  </si>
  <si>
    <t>BalÄngÄ«r</t>
  </si>
  <si>
    <t>BALARä MPUR</t>
  </si>
  <si>
    <t>BalarÄmpur</t>
  </si>
  <si>
    <t>Balasore</t>
  </si>
  <si>
    <t>Ballä lpur</t>
  </si>
  <si>
    <t>BallÄlpur</t>
  </si>
  <si>
    <t>Balod</t>
  </si>
  <si>
    <t>Baloda Bä Zä R</t>
  </si>
  <si>
    <t>Baloda BÄzÄr</t>
  </si>
  <si>
    <t>Balrä Mpur</t>
  </si>
  <si>
    <t>BalrÄmpur</t>
  </si>
  <si>
    <t>Banå «r</t>
  </si>
  <si>
    <t>BanÅ«r</t>
  </si>
  <si>
    <t>Banat</t>
  </si>
  <si>
    <t>Banda</t>
  </si>
  <si>
    <t>Bandipura</t>
  </si>
  <si>
    <t>Banga</t>
  </si>
  <si>
    <t>Bangä Rapet</t>
  </si>
  <si>
    <t>BangÄrapet</t>
  </si>
  <si>
    <t>BANGANAPALLE</t>
  </si>
  <si>
    <t>Banganapalle</t>
  </si>
  <si>
    <t>Bangaon</t>
  </si>
  <si>
    <t>Bankra</t>
  </si>
  <si>
    <t>Banmankhi</t>
  </si>
  <si>
    <t>Bannå «r</t>
  </si>
  <si>
    <t>BannÅ«r</t>
  </si>
  <si>
    <t>Bantvä l</t>
  </si>
  <si>
    <t>BantvÄl</t>
  </si>
  <si>
    <t>Bar Bigha</t>
  </si>
  <si>
    <t>Bara Uchä Na</t>
  </si>
  <si>
    <t>Bara UchÄna</t>
  </si>
  <si>
    <t>Baranagar</t>
  </si>
  <si>
    <t>Barauli</t>
  </si>
  <si>
    <t>Baraut</t>
  </si>
  <si>
    <t>Barbil</t>
  </si>
  <si>
    <t>Barddhamä n</t>
  </si>
  <si>
    <t>BarddhamÄn</t>
  </si>
  <si>
    <t>Bareilly</t>
  </si>
  <si>
    <t>Bargarh</t>
  </si>
  <si>
    <t>Bargi</t>
  </si>
  <si>
    <t>Barhiya</t>
  </si>
  <si>
    <t>Bari Sä Dri</t>
  </si>
  <si>
    <t>Bari SÄdri</t>
  </si>
  <si>
    <t>Barjala</t>
  </si>
  <si>
    <t>Barka Kä Na</t>
  </si>
  <si>
    <t>Barka KÄna</t>
  </si>
  <si>
    <t>Barki Saria</t>
  </si>
  <si>
    <t>Barnä la</t>
  </si>
  <si>
    <t>BarnÄla</t>
  </si>
  <si>
    <t>Barpä Li</t>
  </si>
  <si>
    <t>BarpÄli</t>
  </si>
  <si>
    <t>Barpeta</t>
  </si>
  <si>
    <t>Road Barpeta</t>
  </si>
  <si>
    <t>Barpeta Road</t>
  </si>
  <si>
    <t>Barwä la</t>
  </si>
  <si>
    <t>BarwÄla</t>
  </si>
  <si>
    <t>Barwä ni</t>
  </si>
  <si>
    <t>BarwÄni</t>
  </si>
  <si>
    <t>Basavakalyä n</t>
  </si>
  <si>
    <t>BasavakalyÄn</t>
  </si>
  <si>
    <t>Basavana Bä Gevä di</t>
  </si>
  <si>
    <t>Basavana BÄgevÄdi</t>
  </si>
  <si>
    <t>Basi</t>
  </si>
  <si>
    <t>Basmat</t>
  </si>
  <si>
    <t>Basni</t>
  </si>
  <si>
    <t>Bastä «</t>
  </si>
  <si>
    <t>BastÄ«</t>
  </si>
  <si>
    <t>Baswa</t>
  </si>
  <si>
    <t>Batä la</t>
  </si>
  <si>
    <t>BatÄla</t>
  </si>
  <si>
    <t>Bauda</t>
  </si>
  <si>
    <t>Bawä Na</t>
  </si>
  <si>
    <t>BawÄna</t>
  </si>
  <si>
    <t>Bayä Na</t>
  </si>
  <si>
    <t>BayÄna</t>
  </si>
  <si>
    <t>Guerra beä</t>
  </si>
  <si>
    <t>BeÄwar</t>
  </si>
  <si>
    <t>Bedi</t>
  </si>
  <si>
    <t>Começou</t>
  </si>
  <si>
    <t>BegÅ«n</t>
  </si>
  <si>
    <t>Begamganj</t>
  </si>
  <si>
    <t>Begusarai</t>
  </si>
  <si>
    <t>Behat</t>
  </si>
  <si>
    <t>Behror</t>
  </si>
  <si>
    <t>Bela</t>
  </si>
  <si>
    <t>Belå «r</t>
  </si>
  <si>
    <t>BelÅ«r</t>
  </si>
  <si>
    <t>Beldä nga</t>
  </si>
  <si>
    <t>BeldÄnga</t>
  </si>
  <si>
    <t>Belgaum</t>
  </si>
  <si>
    <t>Bellampalli</t>
  </si>
  <si>
    <t>Bellary</t>
  </si>
  <si>
    <t>Belonia</t>
  </si>
  <si>
    <t>Belsand</t>
  </si>
  <si>
    <t>BEMETä ra</t>
  </si>
  <si>
    <t>BemetÄra</t>
  </si>
  <si>
    <t>Bengaluru</t>
  </si>
  <si>
    <t>Beohä ri</t>
  </si>
  <si>
    <t>BeohÄri</t>
  </si>
  <si>
    <t>Berasia</t>
  </si>
  <si>
    <t>Beri Khä s</t>
  </si>
  <si>
    <t>Beri KhÄs</t>
  </si>
  <si>
    <t>Betå «l</t>
  </si>
  <si>
    <t>BetÅ«l</t>
  </si>
  <si>
    <t>Betamcherla</t>
  </si>
  <si>
    <t>Bettiah</t>
  </si>
  <si>
    <t>Bewar</t>
  </si>
  <si>
    <t>Beypore</t>
  </si>
  <si>
    <t>Bhä «khi</t>
  </si>
  <si>
    <t>BhÄ«khi</t>
  </si>
  <si>
    <t>Bhä «lwä ra</t>
  </si>
  <si>
    <t>BhÄ«lwÄra</t>
  </si>
  <si>
    <t>Bhå «m</t>
  </si>
  <si>
    <t>BhÅ«m</t>
  </si>
  <si>
    <t>Bhä «mavaram</t>
  </si>
  <si>
    <t>BhÄ«mavaram</t>
  </si>
  <si>
    <t>Bhä Munipatnam</t>
  </si>
  <si>
    <t>BhÄ«munipatnam</t>
  </si>
  <si>
    <t>Bhä «nmä l</t>
  </si>
  <si>
    <t>BhÄ«nmÄl</t>
  </si>
  <si>
    <t>Bhä Dä Sar</t>
  </si>
  <si>
    <t>BhÄdÄsar</t>
  </si>
  <si>
    <t>Bhä dra</t>
  </si>
  <si>
    <t>BhÄdra</t>
  </si>
  <si>
    <t>Bhä Galpur</t>
  </si>
  <si>
    <t>BhÄgalpur</t>
  </si>
  <si>
    <t>Bhä lki</t>
  </si>
  <si>
    <t>BhÄlki</t>
  </si>
  <si>
    <t>Bhä nder</t>
  </si>
  <si>
    <t>BhÄnder</t>
  </si>
  <si>
    <t>Bhä npura</t>
  </si>
  <si>
    <t>BhÄnpura</t>
  </si>
  <si>
    <t>Bhä npurä «</t>
  </si>
  <si>
    <t>BhÄnpurÄ«</t>
  </si>
  <si>
    <t>Bhä nvad</t>
  </si>
  <si>
    <t>BhÄnvad</t>
  </si>
  <si>
    <t>Bhä tä pä ra</t>
  </si>
  <si>
    <t>BhÄtÄpÄra</t>
  </si>
  <si>
    <t>Bhä tpä ra</t>
  </si>
  <si>
    <t>BhÄtpÄra</t>
  </si>
  <si>
    <t>Bhä Vnagar</t>
  </si>
  <si>
    <t>BhÄvnagar</t>
  </si>
  <si>
    <t>Bhä Yä Vadar</t>
  </si>
  <si>
    <t>BhÄyÄvadar</t>
  </si>
  <si>
    <t>Bhabhua</t>
  </si>
  <si>
    <t>Bhachä u</t>
  </si>
  <si>
    <t>BhachÄu</t>
  </si>
  <si>
    <t>Bhadaur</t>
  </si>
  <si>
    <t>Bhadohi</t>
  </si>
  <si>
    <t>Bhadrä Chalam</t>
  </si>
  <si>
    <t>BhadrÄchalam</t>
  </si>
  <si>
    <t>Bhadrä Vati</t>
  </si>
  <si>
    <t>BhadrÄvati</t>
  </si>
  <si>
    <t>Bhadrakh</t>
  </si>
  <si>
    <t>Bhadreswar</t>
  </si>
  <si>
    <t>Bhainsdehi</t>
  </si>
  <si>
    <t>BHAISA</t>
  </si>
  <si>
    <t>Bhaisa</t>
  </si>
  <si>
    <t>Bhandä ra</t>
  </si>
  <si>
    <t>BhandÄra</t>
  </si>
  <si>
    <t>Bhanjanagar</t>
  </si>
  <si>
    <t>Bharå «ch</t>
  </si>
  <si>
    <t>BharÅ«ch</t>
  </si>
  <si>
    <t>Bharatpur</t>
  </si>
  <si>
    <t>Bharthana</t>
  </si>
  <si>
    <t>Bharwä Ri</t>
  </si>
  <si>
    <t>BharwÄri</t>
  </si>
  <si>
    <t>Guerra de Bhasä</t>
  </si>
  <si>
    <t>BhasÄwar</t>
  </si>
  <si>
    <t>Bhatinda</t>
  </si>
  <si>
    <t>Bhatkal</t>
  </si>
  <si>
    <t>Bhattiprolu</t>
  </si>
  <si>
    <t>Bhavä ni</t>
  </si>
  <si>
    <t>BhavÄni</t>
  </si>
  <si>
    <t>Bhawä nä «garh</t>
  </si>
  <si>
    <t>BhawÄnÄ«garh</t>
  </si>
  <si>
    <t>Bhawä Niganj</t>
  </si>
  <si>
    <t>BhawÄniganj</t>
  </si>
  <si>
    <t>Bhawä Nipatna</t>
  </si>
  <si>
    <t>BhawÄnipatna</t>
  </si>
  <si>
    <t>Bhawanipur</t>
  </si>
  <si>
    <t>Bhayandar</t>
  </si>
  <si>
    <t>Bhikangaon</t>
  </si>
  <si>
    <t>Bhilai</t>
  </si>
  <si>
    <t>Bhind</t>
  </si>
  <si>
    <t>Bhindä r</t>
  </si>
  <si>
    <t>BhindÄr</t>
  </si>
  <si>
    <t>Bhinga</t>
  </si>
  <si>
    <t>Bhitarwä r</t>
  </si>
  <si>
    <t>BhitarwÄr</t>
  </si>
  <si>
    <t>Bhiwä ni</t>
  </si>
  <si>
    <t>BhiwÄni</t>
  </si>
  <si>
    <t>Bhiwadi</t>
  </si>
  <si>
    <t>Bhiwandi</t>
  </si>
  <si>
    <t>Bhogpur</t>
  </si>
  <si>
    <t>Bhongä «r</t>
  </si>
  <si>
    <t>BhongÄ«r</t>
  </si>
  <si>
    <t>Bhongaon</t>
  </si>
  <si>
    <t>Bhopal</t>
  </si>
  <si>
    <t>Bhor</t>
  </si>
  <si>
    <t>Bhuban</t>
  </si>
  <si>
    <t>Bhubaneshwar</t>
  </si>
  <si>
    <t>Bhudgaon</t>
  </si>
  <si>
    <t>Bhuj</t>
  </si>
  <si>
    <t>Bhusä Val</t>
  </si>
  <si>
    <t>BhusÄval</t>
  </si>
  <si>
    <t>Bhuvanagiri</t>
  </si>
  <si>
    <t>Biaora</t>
  </si>
  <si>
    <t>Bidhå «na</t>
  </si>
  <si>
    <t>BidhÅ«na</t>
  </si>
  <si>
    <t>Bihä r</t>
  </si>
  <si>
    <t>BihÄr</t>
  </si>
  <si>
    <t>Bihä rä «ganj</t>
  </si>
  <si>
    <t>BihÄrÄ«ganj</t>
  </si>
  <si>
    <t>Guerra de Bijä</t>
  </si>
  <si>
    <t>BijÄwar</t>
  </si>
  <si>
    <t>Bijapur</t>
  </si>
  <si>
    <t>Bijbiä ra</t>
  </si>
  <si>
    <t>BijbiÄra</t>
  </si>
  <si>
    <t>Bijnor</t>
  </si>
  <si>
    <t>Bikramganj</t>
  </si>
  <si>
    <t>Bilä ra</t>
  </si>
  <si>
    <t>BilÄra</t>
  </si>
  <si>
    <t>Bilä Ri</t>
  </si>
  <si>
    <t>BilÄri</t>
  </si>
  <si>
    <t>Bilä Sipä ra</t>
  </si>
  <si>
    <t>BilÄsipÄra</t>
  </si>
  <si>
    <t>Bilä Spur</t>
  </si>
  <si>
    <t>BilÄspur</t>
  </si>
  <si>
    <t>Bilgi</t>
  </si>
  <si>
    <t>Bilgrä m</t>
  </si>
  <si>
    <t>BilgrÄm</t>
  </si>
  <si>
    <t>BILHAUR</t>
  </si>
  <si>
    <t>Bilhaur</t>
  </si>
  <si>
    <t>Bilimora</t>
  </si>
  <si>
    <t>Bilsanda</t>
  </si>
  <si>
    <t>Bilsi</t>
  </si>
  <si>
    <t>Bilthra</t>
  </si>
  <si>
    <t>Bindki</t>
  </si>
  <si>
    <t>Binka</t>
  </si>
  <si>
    <t>Birå «r</t>
  </si>
  <si>
    <t>BirÅ«r</t>
  </si>
  <si>
    <t>Birmitrapur</t>
  </si>
  <si>
    <t>Birpara</t>
  </si>
  <si>
    <t>Bisauli</t>
  </si>
  <si>
    <t>Bishnupur</t>
  </si>
  <si>
    <t>Bissä u</t>
  </si>
  <si>
    <t>BissÄu</t>
  </si>
  <si>
    <t>Biswä n</t>
  </si>
  <si>
    <t>BiswÄn</t>
  </si>
  <si>
    <t>Bobbili</t>
  </si>
  <si>
    <t>Bodhan</t>
  </si>
  <si>
    <t>Bodinä yakkanå «r</t>
  </si>
  <si>
    <t>BodinÄyakkanÅ«r</t>
  </si>
  <si>
    <t>Boisar</t>
  </si>
  <si>
    <t>Bokä Ro</t>
  </si>
  <si>
    <t>BokÄro</t>
  </si>
  <si>
    <t>Bokajä n</t>
  </si>
  <si>
    <t>BokajÄn</t>
  </si>
  <si>
    <t>Bolpur</t>
  </si>
  <si>
    <t>Bongaigaon</t>
  </si>
  <si>
    <t>Borivli</t>
  </si>
  <si>
    <t>Borsad</t>
  </si>
  <si>
    <t>Botä d</t>
  </si>
  <si>
    <t>BotÄd</t>
  </si>
  <si>
    <t>Brä Jarä Jnagar</t>
  </si>
  <si>
    <t>BrÄjarÄjnagar</t>
  </si>
  <si>
    <t>Brahmapur</t>
  </si>
  <si>
    <t>Budaun</t>
  </si>
  <si>
    <t>Buddh Gaya</t>
  </si>
  <si>
    <t>Budhä na</t>
  </si>
  <si>
    <t>BudhÄna</t>
  </si>
  <si>
    <t>Budhlä da</t>
  </si>
  <si>
    <t>BudhlÄda</t>
  </si>
  <si>
    <t>Bulandshahr</t>
  </si>
  <si>
    <t>Buldä Na</t>
  </si>
  <si>
    <t>BuldÄna</t>
  </si>
  <si>
    <t>Burhä npur</t>
  </si>
  <si>
    <t>BurhÄnpur</t>
  </si>
  <si>
    <t>Burhar</t>
  </si>
  <si>
    <t>Burla</t>
  </si>
  <si>
    <t>BUXAR</t>
  </si>
  <si>
    <t>Buxar</t>
  </si>
  <si>
    <t>Byä DGI</t>
  </si>
  <si>
    <t>ByÄdgi</t>
  </si>
  <si>
    <t>Byndoor</t>
  </si>
  <si>
    <t>Calangute</t>
  </si>
  <si>
    <t>Goa</t>
  </si>
  <si>
    <t>Cannanore</t>
  </si>
  <si>
    <t>Conservas</t>
  </si>
  <si>
    <t>Canning</t>
  </si>
  <si>
    <t>Chä Purupalle</t>
  </si>
  <si>
    <t>ChÄ«purupalle</t>
  </si>
  <si>
    <t>Chä «rä la</t>
  </si>
  <si>
    <t>ChÄ«rÄla</t>
  </si>
  <si>
    <t>Chå «ru</t>
  </si>
  <si>
    <t>ChÅ«ru</t>
  </si>
  <si>
    <t>Chä «tä pur</t>
  </si>
  <si>
    <t>ChÄ«tÄpur</t>
  </si>
  <si>
    <t>Chä ä «bä sa</t>
  </si>
  <si>
    <t>ChÄÄ«bÄsa</t>
  </si>
  <si>
    <t>Chä Kan</t>
  </si>
  <si>
    <t>ChÄkan</t>
  </si>
  <si>
    <t>Chä Kia</t>
  </si>
  <si>
    <t>ChÄkia</t>
  </si>
  <si>
    <t>Chä Lisgaon</t>
  </si>
  <si>
    <t>ChÄlisgaon</t>
  </si>
  <si>
    <t>Chä mpa</t>
  </si>
  <si>
    <t>ChÄmpa</t>
  </si>
  <si>
    <t>Chä Nasma</t>
  </si>
  <si>
    <t>ChÄnasma</t>
  </si>
  <si>
    <t>Chä nda</t>
  </si>
  <si>
    <t>ChÄnda</t>
  </si>
  <si>
    <t>Chä ndå «r</t>
  </si>
  <si>
    <t>ChÄndÅ«r</t>
  </si>
  <si>
    <t>Chä ndå «r bä zä r</t>
  </si>
  <si>
    <t>ChÄndÅ«r BÄzÄr</t>
  </si>
  <si>
    <t>Chä ndor</t>
  </si>
  <si>
    <t>ChÄndor</t>
  </si>
  <si>
    <t>Chä ndpur</t>
  </si>
  <si>
    <t>ChÄndpur</t>
  </si>
  <si>
    <t>Chä ndur</t>
  </si>
  <si>
    <t>ChÄndur</t>
  </si>
  <si>
    <t>Chä par</t>
  </si>
  <si>
    <t>ChÄpar</t>
  </si>
  <si>
    <t>Chä Pra</t>
  </si>
  <si>
    <t>ChÄpra</t>
  </si>
  <si>
    <t>Chä s</t>
  </si>
  <si>
    <t>ChÄs</t>
  </si>
  <si>
    <t>Chä Vakkä d</t>
  </si>
  <si>
    <t>ChÄvakkÄd</t>
  </si>
  <si>
    <t>Chakapara</t>
  </si>
  <si>
    <t>Chaklä Si</t>
  </si>
  <si>
    <t>ChaklÄsi</t>
  </si>
  <si>
    <t>Chakradharpur</t>
  </si>
  <si>
    <t>Chaksu</t>
  </si>
  <si>
    <t>Chalä la</t>
  </si>
  <si>
    <t>ChalÄla</t>
  </si>
  <si>
    <t>Challakere</t>
  </si>
  <si>
    <t>Challapalle</t>
  </si>
  <si>
    <t>Chamba</t>
  </si>
  <si>
    <t>Chamrajnagar</t>
  </si>
  <si>
    <t>Chandannagar</t>
  </si>
  <si>
    <t>Chandauli</t>
  </si>
  <si>
    <t>Chanderi</t>
  </si>
  <si>
    <t>Chandigarh</t>
  </si>
  <si>
    <t>Chandrakona</t>
  </si>
  <si>
    <t>Chanduasi</t>
  </si>
  <si>
    <t>Changanä Cheri</t>
  </si>
  <si>
    <t>ChanganÄcheri</t>
  </si>
  <si>
    <t>Channagiri</t>
  </si>
  <si>
    <t>Channapatna</t>
  </si>
  <si>
    <t>Channarä Yapatna</t>
  </si>
  <si>
    <t>ChannarÄyapatna</t>
  </si>
  <si>
    <t>Charkhä Ri</t>
  </si>
  <si>
    <t>CharkhÄri</t>
  </si>
  <si>
    <t>Charkhi dä dri</t>
  </si>
  <si>
    <t>Charkhi DÄdri</t>
  </si>
  <si>
    <t>Charthä Wal</t>
  </si>
  <si>
    <t>CharthÄwal</t>
  </si>
  <si>
    <t>Chatra</t>
  </si>
  <si>
    <t>Chatrapur</t>
  </si>
  <si>
    <t>ChemMumiahpet</t>
  </si>
  <si>
    <t>Chemmumiahpet</t>
  </si>
  <si>
    <t>Chengalpattu</t>
  </si>
  <si>
    <t>Chengam</t>
  </si>
  <si>
    <t>Chengannå «r</t>
  </si>
  <si>
    <t>ChengannÅ«r</t>
  </si>
  <si>
    <t>Chennai</t>
  </si>
  <si>
    <t>Chennimalai</t>
  </si>
  <si>
    <t>CHERPULASSERY</t>
  </si>
  <si>
    <t>Cherpulassery</t>
  </si>
  <si>
    <t>Cherthala</t>
  </si>
  <si>
    <t>Chetput</t>
  </si>
  <si>
    <t>Chettipä Laiyam</t>
  </si>
  <si>
    <t>ChettipÄlaiyam</t>
  </si>
  <si>
    <t>Cheyyar</t>
  </si>
  <si>
    <t>Chhä par</t>
  </si>
  <si>
    <t>ChhÄpar</t>
  </si>
  <si>
    <t>Chhä ta</t>
  </si>
  <si>
    <t>ChhÄta</t>
  </si>
  <si>
    <t>Chhä Tä Pur</t>
  </si>
  <si>
    <t>ChhÄtÄpur</t>
  </si>
  <si>
    <t>Chhabra</t>
  </si>
  <si>
    <t>Chhala</t>
  </si>
  <si>
    <t>Chhaprauli</t>
  </si>
  <si>
    <t>Chharra</t>
  </si>
  <si>
    <t>Chhatarpur</t>
  </si>
  <si>
    <t>Chhibrä Mau</t>
  </si>
  <si>
    <t>ChhibrÄmau</t>
  </si>
  <si>
    <t>Chhindwä ra</t>
  </si>
  <si>
    <t>ChhindwÄra</t>
  </si>
  <si>
    <t>Chhota Udepur</t>
  </si>
  <si>
    <t>Chhoti Sä Dri</t>
  </si>
  <si>
    <t>Chhoti SÄdri</t>
  </si>
  <si>
    <t>Chicacole</t>
  </si>
  <si>
    <t>Chicholi</t>
  </si>
  <si>
    <t>Chidambaram</t>
  </si>
  <si>
    <t>Chidawa</t>
  </si>
  <si>
    <t>Chik Ballä Pur</t>
  </si>
  <si>
    <t>Chik BallÄpur</t>
  </si>
  <si>
    <t>Chikhli</t>
  </si>
  <si>
    <t>Chikmagalå «r</t>
  </si>
  <si>
    <t>ChikmagalÅ«r</t>
  </si>
  <si>
    <t>Chiknä Yakanhalli</t>
  </si>
  <si>
    <t>ChiknÄyakanhalli</t>
  </si>
  <si>
    <t>Chikodi</t>
  </si>
  <si>
    <t>Chilakalå «Rupeta</t>
  </si>
  <si>
    <t>ChilakalÅ«rupet</t>
  </si>
  <si>
    <t>Chillupä r</t>
  </si>
  <si>
    <t>ChillupÄr</t>
  </si>
  <si>
    <t>Chincholi</t>
  </si>
  <si>
    <t>Chinna Salem</t>
  </si>
  <si>
    <t>Chinnachowk</t>
  </si>
  <si>
    <t>Chinnamanå «r</t>
  </si>
  <si>
    <t>ChinnamanÅ«r</t>
  </si>
  <si>
    <t>Chintä Mani</t>
  </si>
  <si>
    <t>ChintÄmani</t>
  </si>
  <si>
    <t>Chiplå «n</t>
  </si>
  <si>
    <t>ChiplÅ«n</t>
  </si>
  <si>
    <t>Chitradurga</t>
  </si>
  <si>
    <t>Chittå «r</t>
  </si>
  <si>
    <t>ChittÅ«r</t>
  </si>
  <si>
    <t>Chittaranjan</t>
  </si>
  <si>
    <t>Chittaurgarh</t>
  </si>
  <si>
    <t>Chodavaram</t>
  </si>
  <si>
    <t>Chopda</t>
  </si>
  <si>
    <t>Chotila</t>
  </si>
  <si>
    <t>Chunä r</t>
  </si>
  <si>
    <t>ChunÄr</t>
  </si>
  <si>
    <t>Churä Chä ndpur</t>
  </si>
  <si>
    <t>ChurÄchÄndpur</t>
  </si>
  <si>
    <t>Manipur</t>
  </si>
  <si>
    <t>Cidade de Clement</t>
  </si>
  <si>
    <t>Clement Town</t>
  </si>
  <si>
    <t>Cochin</t>
  </si>
  <si>
    <t>Coimbatore</t>
  </si>
  <si>
    <t>Colachel</t>
  </si>
  <si>
    <t>Colgong</t>
  </si>
  <si>
    <t>Coronelganj</t>
  </si>
  <si>
    <t>Colonelganj</t>
  </si>
  <si>
    <t>Contai</t>
  </si>
  <si>
    <t>Coondapoor</t>
  </si>
  <si>
    <t>Cuddalore</t>
  </si>
  <si>
    <t>Cuddapah</t>
  </si>
  <si>
    <t>CUMBUM</t>
  </si>
  <si>
    <t>Cumbum</t>
  </si>
  <si>
    <t>Cuncolim</t>
  </si>
  <si>
    <t>Curcorema</t>
  </si>
  <si>
    <t>Curchorem</t>
  </si>
  <si>
    <t>Cuttack</t>
  </si>
  <si>
    <t>Dä «dwä na</t>
  </si>
  <si>
    <t>DÄ«dwÄna</t>
  </si>
  <si>
    <t>Dä «g</t>
  </si>
  <si>
    <t>DÄ«g</t>
  </si>
  <si>
    <t>Dä «glå« r</t>
  </si>
  <si>
    <t>DÄ«glÅ«r</t>
  </si>
  <si>
    <t>Dä «nä nagar</t>
  </si>
  <si>
    <t>DÄ«nÄnagar</t>
  </si>
  <si>
    <t>Då «ngarpur</t>
  </si>
  <si>
    <t>DÅ«ngarpur</t>
  </si>
  <si>
    <t>Dä «nhä ta</t>
  </si>
  <si>
    <t>DÄ«nhÄta</t>
  </si>
  <si>
    <t>Dä «sa</t>
  </si>
  <si>
    <t>DÄ«sa</t>
  </si>
  <si>
    <t>Dä dri</t>
  </si>
  <si>
    <t>DÄdri</t>
  </si>
  <si>
    <t>Dä hä nu</t>
  </si>
  <si>
    <t>DÄhÄnu</t>
  </si>
  <si>
    <t>Dä Kor</t>
  </si>
  <si>
    <t>DÄkor</t>
  </si>
  <si>
    <t>Dä Mnagar</t>
  </si>
  <si>
    <t>DÄmnagar</t>
  </si>
  <si>
    <t>Dä rjiling</t>
  </si>
  <si>
    <t>DÄrjiling</t>
  </si>
  <si>
    <t>Dä rwha</t>
  </si>
  <si>
    <t>DÄrwha</t>
  </si>
  <si>
    <t>Dä sna</t>
  </si>
  <si>
    <t>DÄsna</t>
  </si>
  <si>
    <t>Dä Tä Ganj</t>
  </si>
  <si>
    <t>DÄtÄganj</t>
  </si>
  <si>
    <t>Dabhoi</t>
  </si>
  <si>
    <t>Daboh</t>
  </si>
  <si>
    <t>Dabra</t>
  </si>
  <si>
    <t>Dabwä li</t>
  </si>
  <si>
    <t>DabwÄli</t>
  </si>
  <si>
    <t>Dahegä m</t>
  </si>
  <si>
    <t>DahegÄm</t>
  </si>
  <si>
    <t>Dalkola</t>
  </si>
  <si>
    <t>Dalsingh Sarai</t>
  </si>
  <si>
    <t>Daltonnj</t>
  </si>
  <si>
    <t>Daltonganj</t>
  </si>
  <si>
    <t>Barragem</t>
  </si>
  <si>
    <t>Dam Dam</t>
  </si>
  <si>
    <t>Daman</t>
  </si>
  <si>
    <t>Daman and Diu</t>
  </si>
  <si>
    <t>Damoh</t>
  </si>
  <si>
    <t>Dandeli</t>
  </si>
  <si>
    <t>Darbhanga</t>
  </si>
  <si>
    <t>Daryä Pur</t>
  </si>
  <si>
    <t>DaryÄpur</t>
  </si>
  <si>
    <t>Daså «ya</t>
  </si>
  <si>
    <t>DasÅ«ya</t>
  </si>
  <si>
    <t>Dasnapur</t>
  </si>
  <si>
    <t>Datia</t>
  </si>
  <si>
    <t>Dattä Pur</t>
  </si>
  <si>
    <t>DattÄpur</t>
  </si>
  <si>
    <t>Daudnagar</t>
  </si>
  <si>
    <t>Daund</t>
  </si>
  <si>
    <t>Dausa</t>
  </si>
  <si>
    <t>Deå «lgaon rä ja</t>
  </si>
  <si>
    <t>DeÅ«lgaon RÄja</t>
  </si>
  <si>
    <t>Dehra Då «n</t>
  </si>
  <si>
    <t>Dehra DÅ«n</t>
  </si>
  <si>
    <t>Dehri</t>
  </si>
  <si>
    <t>Délhi</t>
  </si>
  <si>
    <t>Delhi</t>
  </si>
  <si>
    <t>Denkanikota</t>
  </si>
  <si>
    <t>Deoband</t>
  </si>
  <si>
    <t>Deogarh</t>
  </si>
  <si>
    <t>Deolä Li</t>
  </si>
  <si>
    <t>DeolÄli</t>
  </si>
  <si>
    <t>Deoli</t>
  </si>
  <si>
    <t>Deoraniä n</t>
  </si>
  <si>
    <t>DeoraniÄn</t>
  </si>
  <si>
    <t>Deori Khä s</t>
  </si>
  <si>
    <t>Deori KhÄs</t>
  </si>
  <si>
    <t>Deoria</t>
  </si>
  <si>
    <t>DePä lpur</t>
  </si>
  <si>
    <t>DepÄlpur</t>
  </si>
  <si>
    <t>Deshnoke</t>
  </si>
  <si>
    <t>Devakottai</t>
  </si>
  <si>
    <t>Devanhalli</t>
  </si>
  <si>
    <t>Devarkonda</t>
  </si>
  <si>
    <t>Devgadh Bä Riya</t>
  </si>
  <si>
    <t>Devgadh BÄriya</t>
  </si>
  <si>
    <t>Devgarh</t>
  </si>
  <si>
    <t>Dewas</t>
  </si>
  <si>
    <t>Dhå «lia</t>
  </si>
  <si>
    <t>DhÅ«lia</t>
  </si>
  <si>
    <t>Dhå «ri</t>
  </si>
  <si>
    <t>DhÅ«ri</t>
  </si>
  <si>
    <t>Dhä ka</t>
  </si>
  <si>
    <t>DhÄka</t>
  </si>
  <si>
    <t>Dhä mnod</t>
  </si>
  <si>
    <t>DhÄmnod</t>
  </si>
  <si>
    <t>Dhä Mpur</t>
  </si>
  <si>
    <t>DhÄmpur</t>
  </si>
  <si>
    <t>Dhä r</t>
  </si>
  <si>
    <t>DhÄr</t>
  </si>
  <si>
    <t>Dhä rå «r</t>
  </si>
  <si>
    <t>DhÄrÅ«r</t>
  </si>
  <si>
    <t>Dhä ri</t>
  </si>
  <si>
    <t>DhÄri</t>
  </si>
  <si>
    <t>Dhä riwä l</t>
  </si>
  <si>
    <t>DhÄriwÄl</t>
  </si>
  <si>
    <t>Dhä Ruhera</t>
  </si>
  <si>
    <t>DhÄruhera</t>
  </si>
  <si>
    <t>Dhamtari</t>
  </si>
  <si>
    <t>Dhanaula</t>
  </si>
  <si>
    <t>Dhanaura</t>
  </si>
  <si>
    <t>Dhanbä d</t>
  </si>
  <si>
    <t>DhanbÄd</t>
  </si>
  <si>
    <t>Dhandhuka</t>
  </si>
  <si>
    <t>DHANERA</t>
  </si>
  <si>
    <t>Dhanera</t>
  </si>
  <si>
    <t>Dharampur</t>
  </si>
  <si>
    <t>Dharangaon</t>
  </si>
  <si>
    <t>DHARAPURAM</t>
  </si>
  <si>
    <t>Dharapuram</t>
  </si>
  <si>
    <t>Dharmä Bä d</t>
  </si>
  <si>
    <t>DharmÄbÄd</t>
  </si>
  <si>
    <t>Dharmadam</t>
  </si>
  <si>
    <t>Dharmanagar</t>
  </si>
  <si>
    <t>Dharmapuri</t>
  </si>
  <si>
    <t>Dharmavaram</t>
  </si>
  <si>
    <t>Dharmsä la</t>
  </si>
  <si>
    <t>DharmsÄla</t>
  </si>
  <si>
    <t>Dhaulpur</t>
  </si>
  <si>
    <t>Dhaurahra</t>
  </si>
  <si>
    <t>Dhekiajuli</t>
  </si>
  <si>
    <t>Dhenkä nä l</t>
  </si>
  <si>
    <t>DhenkÄnÄl</t>
  </si>
  <si>
    <t>Dhing</t>
  </si>
  <si>
    <t>Dholka</t>
  </si>
  <si>
    <t>DHONE</t>
  </si>
  <si>
    <t>Dhone</t>
  </si>
  <si>
    <t>Dhorä ji</t>
  </si>
  <si>
    <t>DhorÄji</t>
  </si>
  <si>
    <t>Dhrä Ngadhra</t>
  </si>
  <si>
    <t>DhrÄngadhra</t>
  </si>
  <si>
    <t>Dhrol</t>
  </si>
  <si>
    <t>Dhuburi</t>
  </si>
  <si>
    <t>Dhulagari</t>
  </si>
  <si>
    <t>Dhuliä n</t>
  </si>
  <si>
    <t>DhuliÄn</t>
  </si>
  <si>
    <t>Dhupgä ri</t>
  </si>
  <si>
    <t>DhupgÄri</t>
  </si>
  <si>
    <t>Diamond Harbor</t>
  </si>
  <si>
    <t>Diamond Harbour</t>
  </si>
  <si>
    <t>Dibai</t>
  </si>
  <si>
    <t>Dibrugarh</t>
  </si>
  <si>
    <t>Dicholi</t>
  </si>
  <si>
    <t>Digboi</t>
  </si>
  <si>
    <t>Dighwä ra</t>
  </si>
  <si>
    <t>DighwÄra</t>
  </si>
  <si>
    <t>Digros</t>
  </si>
  <si>
    <t>Digras</t>
  </si>
  <si>
    <t>Dimä Pur</t>
  </si>
  <si>
    <t>DimÄpur</t>
  </si>
  <si>
    <t>Nagaland</t>
  </si>
  <si>
    <t>Dinapore</t>
  </si>
  <si>
    <t>Dindigul</t>
  </si>
  <si>
    <t>Dindori</t>
  </si>
  <si>
    <t>Diphu</t>
  </si>
  <si>
    <t>DIU</t>
  </si>
  <si>
    <t>Diu</t>
  </si>
  <si>
    <t>Dod Ballä Pur</t>
  </si>
  <si>
    <t>Dod BallÄpur</t>
  </si>
  <si>
    <t>Doda</t>
  </si>
  <si>
    <t>Dohad</t>
  </si>
  <si>
    <t>Dombivli</t>
  </si>
  <si>
    <t>Dondaicha</t>
  </si>
  <si>
    <t>Dongargarh</t>
  </si>
  <si>
    <t>Dorä ha</t>
  </si>
  <si>
    <t>DorÄha</t>
  </si>
  <si>
    <t>Dornakal</t>
  </si>
  <si>
    <t>Dubrä Jpur</t>
  </si>
  <si>
    <t>DubrÄjpur</t>
  </si>
  <si>
    <t>Dugda</t>
  </si>
  <si>
    <t>Duliä Gaon</t>
  </si>
  <si>
    <t>DuliÄgaon</t>
  </si>
  <si>
    <t>DUM DUMA</t>
  </si>
  <si>
    <t>Dum Duma</t>
  </si>
  <si>
    <t>Dumjor</t>
  </si>
  <si>
    <t>Dumka</t>
  </si>
  <si>
    <t>Dumra</t>
  </si>
  <si>
    <t>Dumraon</t>
  </si>
  <si>
    <t>Durg</t>
  </si>
  <si>
    <t>Durgä Pur</t>
  </si>
  <si>
    <t>DurgÄpur</t>
  </si>
  <si>
    <t>Durgapur</t>
  </si>
  <si>
    <t>Dwä rka</t>
  </si>
  <si>
    <t>DwÄrka</t>
  </si>
  <si>
    <t>Egra</t>
  </si>
  <si>
    <t>Elå «r</t>
  </si>
  <si>
    <t>ElÅ«r</t>
  </si>
  <si>
    <t>ELAMAnchili</t>
  </si>
  <si>
    <t>Elamanchili</t>
  </si>
  <si>
    <t>Ellenabad</t>
  </si>
  <si>
    <t>Ellore</t>
  </si>
  <si>
    <t>Emmiganå «r</t>
  </si>
  <si>
    <t>EmmiganÅ«r</t>
  </si>
  <si>
    <t>Erä ttupetta</t>
  </si>
  <si>
    <t>ErÄttupetta</t>
  </si>
  <si>
    <t>Erandol</t>
  </si>
  <si>
    <t>Corroa</t>
  </si>
  <si>
    <t>Erode</t>
  </si>
  <si>
    <t>Erguntla</t>
  </si>
  <si>
    <t>Erraguntla</t>
  </si>
  <si>
    <t>Etä wa</t>
  </si>
  <si>
    <t>EtÄwa</t>
  </si>
  <si>
    <t>Etä wah</t>
  </si>
  <si>
    <t>EtÄwah</t>
  </si>
  <si>
    <t>Fä «rozä bä d</t>
  </si>
  <si>
    <t>FÄ«rozÄbÄd</t>
  </si>
  <si>
    <t>Fä «Rozpur Jhirka</t>
  </si>
  <si>
    <t>FÄ«rozpur Jhirka</t>
  </si>
  <si>
    <t>Fä lä kä ta</t>
  </si>
  <si>
    <t>FÄlÄkÄta</t>
  </si>
  <si>
    <t>Fä Zilka</t>
  </si>
  <si>
    <t>FÄzilka</t>
  </si>
  <si>
    <t>Faizpur</t>
  </si>
  <si>
    <t>Farä «dä bä d</t>
  </si>
  <si>
    <t>FarÄ«dÄbÄd</t>
  </si>
  <si>
    <t>Farä «dkot</t>
  </si>
  <si>
    <t>FarÄ«dkot</t>
  </si>
  <si>
    <t>Farakka</t>
  </si>
  <si>
    <t>Farrukhä bä d</t>
  </si>
  <si>
    <t>FarrukhÄbÄd</t>
  </si>
  <si>
    <t>Farrukhnagar</t>
  </si>
  <si>
    <t>Fatehä Bä d</t>
  </si>
  <si>
    <t>FatehÄbÄd</t>
  </si>
  <si>
    <t>Fatehganj West</t>
  </si>
  <si>
    <t>Fatehgarh chå «riä n</t>
  </si>
  <si>
    <t>Fatehgarh ChÅ«riÄn</t>
  </si>
  <si>
    <t>Fatehpur</t>
  </si>
  <si>
    <t>Fatehpur Sä «kri</t>
  </si>
  <si>
    <t>Fatehpur SÄ«kri</t>
  </si>
  <si>
    <t>Fatwa</t>
  </si>
  <si>
    <t>Ferokh</t>
  </si>
  <si>
    <t>Ferozepore</t>
  </si>
  <si>
    <t>Forbesganj</t>
  </si>
  <si>
    <t>Fort Gloster</t>
  </si>
  <si>
    <t>Pedras francesas</t>
  </si>
  <si>
    <t>French Rocks</t>
  </si>
  <si>
    <t>Fyzä Bä d</t>
  </si>
  <si>
    <t>FyzÄbÄd</t>
  </si>
  <si>
    <t>Gå «då« r</t>
  </si>
  <si>
    <t>GÅ«dÅ«r</t>
  </si>
  <si>
    <t>Gå «Duvä ncheri</t>
  </si>
  <si>
    <t>GÅ«duvÄncheri</t>
  </si>
  <si>
    <t>Gä darwä ra</t>
  </si>
  <si>
    <t>GÄdarwÄra</t>
  </si>
  <si>
    <t>Gä ndarbal</t>
  </si>
  <si>
    <t>GÄndarbal</t>
  </si>
  <si>
    <t>Gä ndhä «dhä m</t>
  </si>
  <si>
    <t>GÄndhÄ«dhÄm</t>
  </si>
  <si>
    <t>Gadag</t>
  </si>
  <si>
    <t>Gaddi Annaram</t>
  </si>
  <si>
    <t>Gadhada</t>
  </si>
  <si>
    <t>Gadhinglaj</t>
  </si>
  <si>
    <t>Gadwä l</t>
  </si>
  <si>
    <t>GadwÄl</t>
  </si>
  <si>
    <t>Gajendragarh</t>
  </si>
  <si>
    <t>Gajraula</t>
  </si>
  <si>
    <t>Gajuwaka</t>
  </si>
  <si>
    <t>GANDEVI</t>
  </si>
  <si>
    <t>Gandevi</t>
  </si>
  <si>
    <t>Gangä Kher</t>
  </si>
  <si>
    <t>GangÄkher</t>
  </si>
  <si>
    <t>Gangä Nagar</t>
  </si>
  <si>
    <t>GangÄnagar</t>
  </si>
  <si>
    <t>Gangä Pur</t>
  </si>
  <si>
    <t>GangÄpur</t>
  </si>
  <si>
    <t>Gangä Rä Mpur</t>
  </si>
  <si>
    <t>GangÄrÄmpur</t>
  </si>
  <si>
    <t>Gangä wati</t>
  </si>
  <si>
    <t>GangÄwati</t>
  </si>
  <si>
    <t>GANGOH</t>
  </si>
  <si>
    <t>Gangoh</t>
  </si>
  <si>
    <t>Gangolli</t>
  </si>
  <si>
    <t>Gangtok</t>
  </si>
  <si>
    <t>Sikkim</t>
  </si>
  <si>
    <t>Ganj Dundwä ra</t>
  </si>
  <si>
    <t>Ganj DundwÄra</t>
  </si>
  <si>
    <t>Gannavaram</t>
  </si>
  <si>
    <t>Garhä Kota</t>
  </si>
  <si>
    <t>GarhÄkota</t>
  </si>
  <si>
    <t>Garhmuktesar</t>
  </si>
  <si>
    <t>Garhshankar</t>
  </si>
  <si>
    <t>Garhwa</t>
  </si>
  <si>
    <t>Gariadhar</t>
  </si>
  <si>
    <t>Garui</t>
  </si>
  <si>
    <t>Gauripur</t>
  </si>
  <si>
    <t>Gaya</t>
  </si>
  <si>
    <t>Gevrai</t>
  </si>
  <si>
    <t>Ghä tä l</t>
  </si>
  <si>
    <t>GhÄtÄl</t>
  </si>
  <si>
    <t>GHä Tampur</t>
  </si>
  <si>
    <t>GhÄtampur</t>
  </si>
  <si>
    <t>GHä Tanji</t>
  </si>
  <si>
    <t>GhÄtanji</t>
  </si>
  <si>
    <t>Ghä tsä «la</t>
  </si>
  <si>
    <t>GhÄtsÄ«la</t>
  </si>
  <si>
    <t>Ghä ziä bä d</t>
  </si>
  <si>
    <t>GhÄziÄbÄd</t>
  </si>
  <si>
    <t>Ghandinagar</t>
  </si>
  <si>
    <t>Gharaunda</t>
  </si>
  <si>
    <t>Ghatkesar</t>
  </si>
  <si>
    <t>Ghazä «pur</t>
  </si>
  <si>
    <t>GhazÄ«pur</t>
  </si>
  <si>
    <t>Ghosä «</t>
  </si>
  <si>
    <t>GhosÄ«</t>
  </si>
  <si>
    <t>Ghoti Budrukh</t>
  </si>
  <si>
    <t>Ghugus</t>
  </si>
  <si>
    <t>Giddalå «r</t>
  </si>
  <si>
    <t>GiddalÅ«r</t>
  </si>
  <si>
    <t>Giddarbä ha</t>
  </si>
  <si>
    <t>GiddarbÄha</t>
  </si>
  <si>
    <t>Ginguee</t>
  </si>
  <si>
    <t>Gingee</t>
  </si>
  <si>
    <t>Girä «dä« h</t>
  </si>
  <si>
    <t>GirÄ«dÄ«h</t>
  </si>
  <si>
    <t>Goä lpä ra</t>
  </si>
  <si>
    <t>GoÄlpÄra</t>
  </si>
  <si>
    <t>Gobä rdä nga</t>
  </si>
  <si>
    <t>GobÄrdÄnga</t>
  </si>
  <si>
    <t>Gobichettipalayam</t>
  </si>
  <si>
    <t>Gobindpur</t>
  </si>
  <si>
    <t>Godda</t>
  </si>
  <si>
    <t>Godhra</t>
  </si>
  <si>
    <t>Gohä na</t>
  </si>
  <si>
    <t>GohÄna</t>
  </si>
  <si>
    <t>Gohadi</t>
  </si>
  <si>
    <t>Gokak</t>
  </si>
  <si>
    <t>Gokarna</t>
  </si>
  <si>
    <t>Gola Gokarannä th</t>
  </si>
  <si>
    <t>Gola GokarannÄth</t>
  </si>
  <si>
    <t>Golä ghä T.</t>
  </si>
  <si>
    <t>GolÄghÄt</t>
  </si>
  <si>
    <t>Gomoh</t>
  </si>
  <si>
    <t>Gondä City</t>
  </si>
  <si>
    <t>GondÄ City</t>
  </si>
  <si>
    <t>Gondal</t>
  </si>
  <si>
    <t>Gondiä</t>
  </si>
  <si>
    <t>GondiÄ</t>
  </si>
  <si>
    <t>Gopä lganj</t>
  </si>
  <si>
    <t>GopÄlganj</t>
  </si>
  <si>
    <t>Gorakhpur</t>
  </si>
  <si>
    <t>Goribidnå «r</t>
  </si>
  <si>
    <t>GoribidnÅ«r</t>
  </si>
  <si>
    <t>Gosä Ba</t>
  </si>
  <si>
    <t>GosÄba</t>
  </si>
  <si>
    <t>Govardhan</t>
  </si>
  <si>
    <t>Goyerkä ta</t>
  </si>
  <si>
    <t>GoyerkÄta</t>
  </si>
  <si>
    <t>Maior Noida</t>
  </si>
  <si>
    <t>Greater Noida</t>
  </si>
  <si>
    <t>Gubbi</t>
  </si>
  <si>
    <t>Gudalur</t>
  </si>
  <si>
    <t>Gudivä da</t>
  </si>
  <si>
    <t>GudivÄda</t>
  </si>
  <si>
    <t>Gudiyatham</t>
  </si>
  <si>
    <t>Gulä Bpura</t>
  </si>
  <si>
    <t>GulÄbpura</t>
  </si>
  <si>
    <t>Gulä Othi</t>
  </si>
  <si>
    <t>GulÄothi</t>
  </si>
  <si>
    <t>Gulbarga</t>
  </si>
  <si>
    <t>GuledaGudda</t>
  </si>
  <si>
    <t>Guledagudda</t>
  </si>
  <si>
    <t>Gumia</t>
  </si>
  <si>
    <t>Gumla</t>
  </si>
  <si>
    <t>Gummidipundi</t>
  </si>
  <si>
    <t>Guna</t>
  </si>
  <si>
    <t>GundLupet</t>
  </si>
  <si>
    <t>Gundlupet</t>
  </si>
  <si>
    <t>Gunnaur</t>
  </si>
  <si>
    <t>Guntå «r</t>
  </si>
  <si>
    <t>GuntÅ«r</t>
  </si>
  <si>
    <t>Junção Guntakal</t>
  </si>
  <si>
    <t>Guntakal Junction</t>
  </si>
  <si>
    <t>Gunupur</t>
  </si>
  <si>
    <t>Gurgaon</t>
  </si>
  <si>
    <t>Gurmatkä l</t>
  </si>
  <si>
    <t>GurmatkÄl</t>
  </si>
  <si>
    <t>GURSAHä IGANJ</t>
  </si>
  <si>
    <t>GursahÄiganj</t>
  </si>
  <si>
    <t>Gursarä i</t>
  </si>
  <si>
    <t>GursarÄi</t>
  </si>
  <si>
    <t>Guru har sahä eu</t>
  </si>
  <si>
    <t>Guru Har SahÄi</t>
  </si>
  <si>
    <t>Guruvä yå «r</t>
  </si>
  <si>
    <t>GuruvÄyÅ«r</t>
  </si>
  <si>
    <t>Guskhara</t>
  </si>
  <si>
    <t>Guwahati</t>
  </si>
  <si>
    <t>Gwalior</t>
  </si>
  <si>
    <t>Hä «rä kud</t>
  </si>
  <si>
    <t>HÄ«rÄkud</t>
  </si>
  <si>
    <t>Hä Bra</t>
  </si>
  <si>
    <t>HÄbra</t>
  </si>
  <si>
    <t>Hä Flong</t>
  </si>
  <si>
    <t>HÄflong</t>
  </si>
  <si>
    <t>Hä jä «pur</t>
  </si>
  <si>
    <t>HÄjÄ«pur</t>
  </si>
  <si>
    <t>Hä Jo</t>
  </si>
  <si>
    <t>HÄjo</t>
  </si>
  <si>
    <t>Hä lä «sahar</t>
  </si>
  <si>
    <t>HÄlÄ«sahar</t>
  </si>
  <si>
    <t>Hä lol</t>
  </si>
  <si>
    <t>HÄlol</t>
  </si>
  <si>
    <t>Hä Ngal</t>
  </si>
  <si>
    <t>HÄngal</t>
  </si>
  <si>
    <t>Hä nsi</t>
  </si>
  <si>
    <t>HÄnsi</t>
  </si>
  <si>
    <t>Hä Ora</t>
  </si>
  <si>
    <t>HÄora</t>
  </si>
  <si>
    <t>Hä Pur</t>
  </si>
  <si>
    <t>HÄpur</t>
  </si>
  <si>
    <t>Hä Rij</t>
  </si>
  <si>
    <t>HÄrij</t>
  </si>
  <si>
    <t>Hä Simä Ra</t>
  </si>
  <si>
    <t>HÄsimÄra</t>
  </si>
  <si>
    <t>Hä Thras</t>
  </si>
  <si>
    <t>HÄthras</t>
  </si>
  <si>
    <t>Hä Veri</t>
  </si>
  <si>
    <t>HÄveri</t>
  </si>
  <si>
    <t>Hadagalli</t>
  </si>
  <si>
    <t>Hadgä on</t>
  </si>
  <si>
    <t>HadgÄon</t>
  </si>
  <si>
    <t>Hailä Kä ndi</t>
  </si>
  <si>
    <t>HailÄkÄndi</t>
  </si>
  <si>
    <t>Haldaur</t>
  </si>
  <si>
    <t>Haldia</t>
  </si>
  <si>
    <t>Haldwani</t>
  </si>
  <si>
    <t>Haliyal</t>
  </si>
  <si>
    <t>Halvad</t>
  </si>
  <si>
    <t>Hamä «rpur</t>
  </si>
  <si>
    <t>HamÄ«rpur</t>
  </si>
  <si>
    <t>Handiä</t>
  </si>
  <si>
    <t>HandiÄ</t>
  </si>
  <si>
    <t>Hanumä Ngarh</t>
  </si>
  <si>
    <t>HanumÄngarh</t>
  </si>
  <si>
    <t>Harå «r</t>
  </si>
  <si>
    <t>HarÅ«r</t>
  </si>
  <si>
    <t>HARA KHä S.</t>
  </si>
  <si>
    <t>Harda KhÄs</t>
  </si>
  <si>
    <t>Hardoä «</t>
  </si>
  <si>
    <t>HardoÄ«</t>
  </si>
  <si>
    <t>Haridwar</t>
  </si>
  <si>
    <t>Harihar</t>
  </si>
  <si>
    <t>Harpä lpur</t>
  </si>
  <si>
    <t>HarpÄlpur</t>
  </si>
  <si>
    <t>Harpanahalli</t>
  </si>
  <si>
    <t>Harså «d</t>
  </si>
  <si>
    <t>HarsÅ«d</t>
  </si>
  <si>
    <t>Hasanpur</t>
  </si>
  <si>
    <t>Hassan</t>
  </si>
  <si>
    <t>Hastinä Pur</t>
  </si>
  <si>
    <t>HastinÄpur</t>
  </si>
  <si>
    <t>Hatta</t>
  </si>
  <si>
    <t>Hazä rä «bä g</t>
  </si>
  <si>
    <t>HazÄrÄ«bÄg</t>
  </si>
  <si>
    <t>Hilsa</t>
  </si>
  <si>
    <t>Himatnagar</t>
  </si>
  <si>
    <t>Hindaun</t>
  </si>
  <si>
    <t>Hindoria</t>
  </si>
  <si>
    <t>Hindupur</t>
  </si>
  <si>
    <t>Hinganghä T.</t>
  </si>
  <si>
    <t>HinganghÄt</t>
  </si>
  <si>
    <t>Hingoli</t>
  </si>
  <si>
    <t>Hinjilikatu</t>
  </si>
  <si>
    <t>Hirekerå «r</t>
  </si>
  <si>
    <t>HirekerÅ«r</t>
  </si>
  <si>
    <t>Hiriyå «r</t>
  </si>
  <si>
    <t>HiriyÅ«r</t>
  </si>
  <si>
    <t>Hisar</t>
  </si>
  <si>
    <t>Hisuä</t>
  </si>
  <si>
    <t>HisuÄ</t>
  </si>
  <si>
    <t>Hodal</t>
  </si>
  <si>
    <t>Hojä i</t>
  </si>
  <si>
    <t>HojÄi</t>
  </si>
  <si>
    <t>Holalkere</t>
  </si>
  <si>
    <t>Buraco Narsipur</t>
  </si>
  <si>
    <t>Hole Narsipur</t>
  </si>
  <si>
    <t>Homnä bä d</t>
  </si>
  <si>
    <t>HomnÄbÄd</t>
  </si>
  <si>
    <t>Honä var</t>
  </si>
  <si>
    <t>HonÄvar</t>
  </si>
  <si>
    <t>Honnä Li</t>
  </si>
  <si>
    <t>HonnÄli</t>
  </si>
  <si>
    <t>Hoså «r</t>
  </si>
  <si>
    <t>HosÅ«r</t>
  </si>
  <si>
    <t>Hosdurga</t>
  </si>
  <si>
    <t>Hoshangä Bä d</t>
  </si>
  <si>
    <t>HoshangÄbÄd</t>
  </si>
  <si>
    <t>Hoskote</t>
  </si>
  <si>
    <t>Hospet</t>
  </si>
  <si>
    <t>Howli</t>
  </si>
  <si>
    <t>Hubli</t>
  </si>
  <si>
    <t>Hugli</t>
  </si>
  <si>
    <t>Hukeri</t>
  </si>
  <si>
    <t>Hungund</t>
  </si>
  <si>
    <t>Hunså «r</t>
  </si>
  <si>
    <t>HunsÅ«r</t>
  </si>
  <si>
    <t>Husainä bä d</t>
  </si>
  <si>
    <t>HusainÄbÄd</t>
  </si>
  <si>
    <t>Hyderabad</t>
  </si>
  <si>
    <t>Ichalkaranji</t>
  </si>
  <si>
    <t>Ichchä Puram</t>
  </si>
  <si>
    <t>IchchÄpuram</t>
  </si>
  <si>
    <t>Idappadi</t>
  </si>
  <si>
    <t>Igatpuri</t>
  </si>
  <si>
    <t>Ilkal</t>
  </si>
  <si>
    <t>Imphal</t>
  </si>
  <si>
    <t>Indä Pur</t>
  </si>
  <si>
    <t>IndÄpur</t>
  </si>
  <si>
    <t>Indergarh</t>
  </si>
  <si>
    <t>Indi</t>
  </si>
  <si>
    <t>Indore</t>
  </si>
  <si>
    <t>Indri</t>
  </si>
  <si>
    <t>Ingrä j bä zä r</t>
  </si>
  <si>
    <t>IngrÄj BÄzÄr</t>
  </si>
  <si>
    <t>Injambakkam</t>
  </si>
  <si>
    <t>Iringal</t>
  </si>
  <si>
    <t>Irinjä Lakuda</t>
  </si>
  <si>
    <t>IrinjÄlakuda</t>
  </si>
  <si>
    <t>Irugå «r</t>
  </si>
  <si>
    <t>IrugÅ«r</t>
  </si>
  <si>
    <t>Islä Mnagar</t>
  </si>
  <si>
    <t>IslÄmnagar</t>
  </si>
  <si>
    <t>Islä Mpur</t>
  </si>
  <si>
    <t>IslÄmpur</t>
  </si>
  <si>
    <t>Itä Nagar</t>
  </si>
  <si>
    <t>ItÄnagar</t>
  </si>
  <si>
    <t>Itä rsi</t>
  </si>
  <si>
    <t>ItÄrsi</t>
  </si>
  <si>
    <t>Itimä Dpur</t>
  </si>
  <si>
    <t>ItimÄdpur</t>
  </si>
  <si>
    <t>Jå «nä gadh</t>
  </si>
  <si>
    <t>JÅ«nÄgadh</t>
  </si>
  <si>
    <t>Jå «nä Garh</t>
  </si>
  <si>
    <t>JÅ«nÄgarh</t>
  </si>
  <si>
    <t>Jä «nd</t>
  </si>
  <si>
    <t>JÄ«nd</t>
  </si>
  <si>
    <t>Jä Jpur</t>
  </si>
  <si>
    <t>JÄjpur</t>
  </si>
  <si>
    <t>Jä Laun</t>
  </si>
  <si>
    <t>JÄlaun</t>
  </si>
  <si>
    <t>Jä lna</t>
  </si>
  <si>
    <t>JÄlna</t>
  </si>
  <si>
    <t>Jä Madoba</t>
  </si>
  <si>
    <t>JÄmadoba</t>
  </si>
  <si>
    <t>Jä Mai</t>
  </si>
  <si>
    <t>JÄmai</t>
  </si>
  <si>
    <t>Jä Mnagar</t>
  </si>
  <si>
    <t>JÄmnagar</t>
  </si>
  <si>
    <t>Jä Mtä Ra</t>
  </si>
  <si>
    <t>JÄmtÄra</t>
  </si>
  <si>
    <t>Jä Muria</t>
  </si>
  <si>
    <t>JÄmuria</t>
  </si>
  <si>
    <t>Jä njgä «r</t>
  </si>
  <si>
    <t>JÄnjgÄ«r</t>
  </si>
  <si>
    <t>Jä Nsath</t>
  </si>
  <si>
    <t>JÄnsath</t>
  </si>
  <si>
    <t>Jä wad</t>
  </si>
  <si>
    <t>JÄwad</t>
  </si>
  <si>
    <t>Jabalpur</t>
  </si>
  <si>
    <t>Jagä Dhri</t>
  </si>
  <si>
    <t>JagÄdhri</t>
  </si>
  <si>
    <t>Jagalå «r</t>
  </si>
  <si>
    <t>JagalÅ«r</t>
  </si>
  <si>
    <t>Jagatsinghapur</t>
  </si>
  <si>
    <t>Jagdä «Shpur</t>
  </si>
  <si>
    <t>JagdÄ«shpur</t>
  </si>
  <si>
    <t>Jagdä «Spur</t>
  </si>
  <si>
    <t>JagdÄ«spur</t>
  </si>
  <si>
    <t>Jagdalpur</t>
  </si>
  <si>
    <t>Jaggayyapeta</t>
  </si>
  <si>
    <t>Jagraon</t>
  </si>
  <si>
    <t>Jagtiä l</t>
  </si>
  <si>
    <t>JagtiÄl</t>
  </si>
  <si>
    <t>Jahä nä bä d</t>
  </si>
  <si>
    <t>JahÄnÄbÄd</t>
  </si>
  <si>
    <t>Jahä ngä «rä bä d</t>
  </si>
  <si>
    <t>JahÄngÄ«rÄbÄd</t>
  </si>
  <si>
    <t>Jahä Zpur</t>
  </si>
  <si>
    <t>JahÄzpur</t>
  </si>
  <si>
    <t>Jaigaon</t>
  </si>
  <si>
    <t>Jaipur</t>
  </si>
  <si>
    <t>Jais</t>
  </si>
  <si>
    <t>Jaisalmer</t>
  </si>
  <si>
    <t>Jaisingpur</t>
  </si>
  <si>
    <t>Jaitä correu</t>
  </si>
  <si>
    <t>JaitÄran</t>
  </si>
  <si>
    <t>JAITO</t>
  </si>
  <si>
    <t>Jaito</t>
  </si>
  <si>
    <t>Jalä lä «</t>
  </si>
  <si>
    <t>JalÄlÄ«</t>
  </si>
  <si>
    <t>Jalä lä ruim</t>
  </si>
  <si>
    <t>JalÄlÄbad</t>
  </si>
  <si>
    <t>Jalä lpur</t>
  </si>
  <si>
    <t>JalÄlpur</t>
  </si>
  <si>
    <t>Jalandhar</t>
  </si>
  <si>
    <t>Jalesar</t>
  </si>
  <si>
    <t>Jaleshwar</t>
  </si>
  <si>
    <t>Jalgaon</t>
  </si>
  <si>
    <t>Jalgaon Jamod</t>
  </si>
  <si>
    <t>Jalor</t>
  </si>
  <si>
    <t>Jalpä Igui</t>
  </si>
  <si>
    <t>JalpÄiguri</t>
  </si>
  <si>
    <t>Jamå «ä«</t>
  </si>
  <si>
    <t>JamÅ«Ä«</t>
  </si>
  <si>
    <t>Jambusar</t>
  </si>
  <si>
    <t>Jamkhandi</t>
  </si>
  <si>
    <t>Jammalamadugu</t>
  </si>
  <si>
    <t>Jammu</t>
  </si>
  <si>
    <t>Jamshedpur</t>
  </si>
  <si>
    <t>Jandiä la</t>
  </si>
  <si>
    <t>JandiÄla</t>
  </si>
  <si>
    <t>Jangaon</t>
  </si>
  <si>
    <t>Jangipur</t>
  </si>
  <si>
    <t>Jaorä</t>
  </si>
  <si>
    <t>JaorÄ</t>
  </si>
  <si>
    <t>Jarwal</t>
  </si>
  <si>
    <t>Jasdan</t>
  </si>
  <si>
    <t>Jashpurnagar</t>
  </si>
  <si>
    <t>Jasidih</t>
  </si>
  <si>
    <t>Jaspur</t>
  </si>
  <si>
    <t>Jaswantnagar</t>
  </si>
  <si>
    <t>Jatä ra</t>
  </si>
  <si>
    <t>JatÄra</t>
  </si>
  <si>
    <t>Jatani</t>
  </si>
  <si>
    <t>Jaunpur</t>
  </si>
  <si>
    <t>Jayamkondacholapuram</t>
  </si>
  <si>
    <t>Jaynagar</t>
  </si>
  <si>
    <t>Jaynagar-Majilpur</t>
  </si>
  <si>
    <t>Jetpur</t>
  </si>
  <si>
    <t>Jevargi</t>
  </si>
  <si>
    <t>Judeu</t>
  </si>
  <si>
    <t>Jewar</t>
  </si>
  <si>
    <t>Jeypore</t>
  </si>
  <si>
    <t>Jhä «njhak</t>
  </si>
  <si>
    <t>JhÄ«njhak</t>
  </si>
  <si>
    <t>Jhå «si</t>
  </si>
  <si>
    <t>JhÅ«si</t>
  </si>
  <si>
    <t>Jhä Jhä</t>
  </si>
  <si>
    <t>JhÄ JhÄ</t>
  </si>
  <si>
    <t>Jhä Bua</t>
  </si>
  <si>
    <t>JhÄbua</t>
  </si>
  <si>
    <t>Jhä lä wä r</t>
  </si>
  <si>
    <t>JhÄlÄwÄr</t>
  </si>
  <si>
    <t>Jhä Lrapä Tan</t>
  </si>
  <si>
    <t>JhÄlrapÄtan</t>
  </si>
  <si>
    <t>Jhä Lu</t>
  </si>
  <si>
    <t>JhÄlu</t>
  </si>
  <si>
    <t>Jhä nsi</t>
  </si>
  <si>
    <t>JhÄnsi</t>
  </si>
  <si>
    <t>Jhä rgrä m</t>
  </si>
  <si>
    <t>JhÄrgrÄm</t>
  </si>
  <si>
    <t>Jhä rsuguda</t>
  </si>
  <si>
    <t>JhÄrsuguda</t>
  </si>
  <si>
    <t>Jhajjar</t>
  </si>
  <si>
    <t>Jhalida</t>
  </si>
  <si>
    <t>Jhanjhä rpur</t>
  </si>
  <si>
    <t>JhanjhÄrpur</t>
  </si>
  <si>
    <t>Jharia</t>
  </si>
  <si>
    <t>Jhinjhä Na</t>
  </si>
  <si>
    <t>JhinjhÄna</t>
  </si>
  <si>
    <t>Jhunjhunå «n</t>
  </si>
  <si>
    <t>JhunjhunÅ«n</t>
  </si>
  <si>
    <t>Jintå «r</t>
  </si>
  <si>
    <t>JintÅ«r</t>
  </si>
  <si>
    <t>Jodhpur</t>
  </si>
  <si>
    <t>Jodiya Bandar</t>
  </si>
  <si>
    <t>Jogbani</t>
  </si>
  <si>
    <t>Jolä rpettai</t>
  </si>
  <si>
    <t>JolÄrpettai</t>
  </si>
  <si>
    <t>Jora</t>
  </si>
  <si>
    <t>Jorhä T.</t>
  </si>
  <si>
    <t>JorhÄt</t>
  </si>
  <si>
    <t>Jugsä Lai</t>
  </si>
  <si>
    <t>JugsÄlai</t>
  </si>
  <si>
    <t>Jumri Tilaiyä</t>
  </si>
  <si>
    <t>Jumri TilaiyÄ</t>
  </si>
  <si>
    <t>Junnar</t>
  </si>
  <si>
    <t>Kå «dligi</t>
  </si>
  <si>
    <t>KÅ«dligi</t>
  </si>
  <si>
    <t>Kå «katpalli</t>
  </si>
  <si>
    <t>KÅ«katpalli</t>
  </si>
  <si>
    <t>Kå «mher</t>
  </si>
  <si>
    <t>KÅ«mher</t>
  </si>
  <si>
    <t>Kä «Ratpur</t>
  </si>
  <si>
    <t>KÄ«ratpur</t>
  </si>
  <si>
    <t>Kä gal</t>
  </si>
  <si>
    <t>KÄgal</t>
  </si>
  <si>
    <t>Kä Kinä da</t>
  </si>
  <si>
    <t>KÄkinÄda</t>
  </si>
  <si>
    <t>Kä Kori</t>
  </si>
  <si>
    <t>KÄkori</t>
  </si>
  <si>
    <t>Kä lä nwä li</t>
  </si>
  <si>
    <t>KÄlÄnwÄli</t>
  </si>
  <si>
    <t>Kä lä vad</t>
  </si>
  <si>
    <t>KÄlÄvad</t>
  </si>
  <si>
    <t>Kä Limpong</t>
  </si>
  <si>
    <t>KÄlimpong</t>
  </si>
  <si>
    <t>Kä liyä ganj</t>
  </si>
  <si>
    <t>KÄliyÄganj</t>
  </si>
  <si>
    <t>Kä lka</t>
  </si>
  <si>
    <t>KÄlka</t>
  </si>
  <si>
    <t>Kä lna</t>
  </si>
  <si>
    <t>KÄlna</t>
  </si>
  <si>
    <t>Kä lol</t>
  </si>
  <si>
    <t>KÄlol</t>
  </si>
  <si>
    <t>Kä lpi</t>
  </si>
  <si>
    <t>KÄlpi</t>
  </si>
  <si>
    <t>Kä Mä Khyä Nagar</t>
  </si>
  <si>
    <t>KÄmÄkhyÄnagar</t>
  </si>
  <si>
    <t>Kä Mä Reddi</t>
  </si>
  <si>
    <t>KÄmÄreddi</t>
  </si>
  <si>
    <t>Kä mä rhä ti</t>
  </si>
  <si>
    <t>KÄmÄrhÄti</t>
  </si>
  <si>
    <t>Kä Man</t>
  </si>
  <si>
    <t>KÄman</t>
  </si>
  <si>
    <t>Kä Mthi</t>
  </si>
  <si>
    <t>KÄmthi</t>
  </si>
  <si>
    <t>Kä Nchipuram</t>
  </si>
  <si>
    <t>KÄnchipuram</t>
  </si>
  <si>
    <t>Kä nchrä pä ra</t>
  </si>
  <si>
    <t>KÄnchrÄpÄra</t>
  </si>
  <si>
    <t>Kä ndhla</t>
  </si>
  <si>
    <t>KÄndhla</t>
  </si>
  <si>
    <t>Kä ndi</t>
  </si>
  <si>
    <t>KÄndi</t>
  </si>
  <si>
    <t>Kä ndla</t>
  </si>
  <si>
    <t>KÄndla</t>
  </si>
  <si>
    <t>Kä nke</t>
  </si>
  <si>
    <t>KÄnke</t>
  </si>
  <si>
    <t>Kä nker</t>
  </si>
  <si>
    <t>KÄnker</t>
  </si>
  <si>
    <t>Kä nnangä d</t>
  </si>
  <si>
    <t>KÄnnangÄd</t>
  </si>
  <si>
    <t>Kä nt</t>
  </si>
  <si>
    <t>KÄnt</t>
  </si>
  <si>
    <t>Kä nth</t>
  </si>
  <si>
    <t>KÄnth</t>
  </si>
  <si>
    <t>Kä Pren</t>
  </si>
  <si>
    <t>KÄpren</t>
  </si>
  <si>
    <t>Kä Raikä l</t>
  </si>
  <si>
    <t>KÄraikÄl</t>
  </si>
  <si>
    <t>Pondicherry</t>
  </si>
  <si>
    <t>Kä Raikkudi</t>
  </si>
  <si>
    <t>KÄraikkudi</t>
  </si>
  <si>
    <t>Kä Ramadai</t>
  </si>
  <si>
    <t>KÄramadai</t>
  </si>
  <si>
    <t>Kä Ranja</t>
  </si>
  <si>
    <t>KÄranja</t>
  </si>
  <si>
    <t>Kä rkala</t>
  </si>
  <si>
    <t>KÄrkala</t>
  </si>
  <si>
    <t>Kä rsiyä ng</t>
  </si>
  <si>
    <t>KÄrsiyÄng</t>
  </si>
  <si>
    <t>Kä Saragod</t>
  </si>
  <si>
    <t>KÄsaragod</t>
  </si>
  <si>
    <t>Kä Sganj</t>
  </si>
  <si>
    <t>KÄsganj</t>
  </si>
  <si>
    <t>Kä Thor</t>
  </si>
  <si>
    <t>KÄthor</t>
  </si>
  <si>
    <t>Kä Tol</t>
  </si>
  <si>
    <t>KÄtol</t>
  </si>
  <si>
    <t>Kä Toya</t>
  </si>
  <si>
    <t>KÄtoya</t>
  </si>
  <si>
    <t>Kä Tpä Di</t>
  </si>
  <si>
    <t>KÄtpÄdi</t>
  </si>
  <si>
    <t>Kä trä s</t>
  </si>
  <si>
    <t>KÄtrÄs</t>
  </si>
  <si>
    <t>Kä Vali</t>
  </si>
  <si>
    <t>KÄvali</t>
  </si>
  <si>
    <t>Kä Yankulam</t>
  </si>
  <si>
    <t>KÄyankulam</t>
  </si>
  <si>
    <t>Kabrä i</t>
  </si>
  <si>
    <t>KabrÄi</t>
  </si>
  <si>
    <t>Kachhwa</t>
  </si>
  <si>
    <t>Kadå «r</t>
  </si>
  <si>
    <t>KadÅ«r</t>
  </si>
  <si>
    <t>Kadakkavoor</t>
  </si>
  <si>
    <t>Kadayanallur</t>
  </si>
  <si>
    <t>Kadi</t>
  </si>
  <si>
    <t>Kadiri</t>
  </si>
  <si>
    <t>Kadod</t>
  </si>
  <si>
    <t>Kaikalå «r</t>
  </si>
  <si>
    <t>KaikalÅ«r</t>
  </si>
  <si>
    <t>Kailä Ras</t>
  </si>
  <si>
    <t>KailÄras</t>
  </si>
  <si>
    <t>Kailä Shahar</t>
  </si>
  <si>
    <t>KailÄshahar</t>
  </si>
  <si>
    <t>Kaimganj</t>
  </si>
  <si>
    <t>Kaimori</t>
  </si>
  <si>
    <t>Kairä Na</t>
  </si>
  <si>
    <t>KairÄna</t>
  </si>
  <si>
    <t>Kaithal</t>
  </si>
  <si>
    <t>Kakching</t>
  </si>
  <si>
    <t>Kakrä la</t>
  </si>
  <si>
    <t>KakrÄla</t>
  </si>
  <si>
    <t>Kalä Naur</t>
  </si>
  <si>
    <t>KalÄnaur</t>
  </si>
  <si>
    <t>Kalakkä du</t>
  </si>
  <si>
    <t>KalakkÄdu</t>
  </si>
  <si>
    <t>Kalamassery</t>
  </si>
  <si>
    <t>Kalamb</t>
  </si>
  <si>
    <t>Kalamnå «ri</t>
  </si>
  <si>
    <t>KalamnÅ«ri</t>
  </si>
  <si>
    <t>Kalavoor</t>
  </si>
  <si>
    <t>Kalghatgi</t>
  </si>
  <si>
    <t>Kallakkurichchi</t>
  </si>
  <si>
    <t>Kallidaikurichchi</t>
  </si>
  <si>
    <t>Kalmeshwar</t>
  </si>
  <si>
    <t>Kalpetta</t>
  </si>
  <si>
    <t>Kalugumalai</t>
  </si>
  <si>
    <t>Kalyä n</t>
  </si>
  <si>
    <t>KalyÄn</t>
  </si>
  <si>
    <t>Kalyandurg</t>
  </si>
  <si>
    <t>Kalyani</t>
  </si>
  <si>
    <t>Kamalganj</t>
  </si>
  <si>
    <t>Kampli</t>
  </si>
  <si>
    <t>Kanakapura</t>
  </si>
  <si>
    <t>Kandukå «r</t>
  </si>
  <si>
    <t>KandukÅ«r</t>
  </si>
  <si>
    <t>Kangayam</t>
  </si>
  <si>
    <t>Kanigiri</t>
  </si>
  <si>
    <t>Kankauli</t>
  </si>
  <si>
    <t>Kannad</t>
  </si>
  <si>
    <t>Kannauj</t>
  </si>
  <si>
    <t>Kanniyä Kumä Ri</t>
  </si>
  <si>
    <t>KanniyÄkumÄri</t>
  </si>
  <si>
    <t>Kannod</t>
  </si>
  <si>
    <t>Kanpur</t>
  </si>
  <si>
    <t>Kantä Bä nji</t>
  </si>
  <si>
    <t>KantÄbÄnji</t>
  </si>
  <si>
    <t>Kanuru</t>
  </si>
  <si>
    <t>Kapå «rthala</t>
  </si>
  <si>
    <t>KapÅ«rthala</t>
  </si>
  <si>
    <t>Kapadvanj</t>
  </si>
  <si>
    <t>Karä Mganj</t>
  </si>
  <si>
    <t>KarÄ«mganj</t>
  </si>
  <si>
    <t>Karä «Mnagar</t>
  </si>
  <si>
    <t>KarÄ«mnagar</t>
  </si>
  <si>
    <t>Karä d</t>
  </si>
  <si>
    <t>KarÄd</t>
  </si>
  <si>
    <t>Karamsad</t>
  </si>
  <si>
    <t>Karanpur</t>
  </si>
  <si>
    <t>Karauli</t>
  </si>
  <si>
    <t>Kareli</t>
  </si>
  <si>
    <t>KARERA</t>
  </si>
  <si>
    <t>Karera</t>
  </si>
  <si>
    <t>Karhal</t>
  </si>
  <si>
    <t>Karjat</t>
  </si>
  <si>
    <t>Karmä la</t>
  </si>
  <si>
    <t>KarmÄla</t>
  </si>
  <si>
    <t>Karnä l</t>
  </si>
  <si>
    <t>KarnÄl</t>
  </si>
  <si>
    <t>Karol Bä gh</t>
  </si>
  <si>
    <t>Karol BÄgh</t>
  </si>
  <si>
    <t>Kartä Rpur</t>
  </si>
  <si>
    <t>KartÄrpur</t>
  </si>
  <si>
    <t>Karur</t>
  </si>
  <si>
    <t>Karwar</t>
  </si>
  <si>
    <t>Kasba</t>
  </si>
  <si>
    <t>Kashipur</t>
  </si>
  <si>
    <t>Kasrä Wad</t>
  </si>
  <si>
    <t>KasrÄwad</t>
  </si>
  <si>
    <t>Katangi</t>
  </si>
  <si>
    <t>Katghora</t>
  </si>
  <si>
    <t>Kathua</t>
  </si>
  <si>
    <t>Katihar</t>
  </si>
  <si>
    <t>Kattanam</t>
  </si>
  <si>
    <t>Kattivä Kkam</t>
  </si>
  <si>
    <t>KattivÄkkam</t>
  </si>
  <si>
    <t>Kawardha</t>
  </si>
  <si>
    <t>Kayalpattinam</t>
  </si>
  <si>
    <t>Keelakarai</t>
  </si>
  <si>
    <t>Kekri</t>
  </si>
  <si>
    <t>Kemrä «</t>
  </si>
  <si>
    <t>KemrÄ«</t>
  </si>
  <si>
    <t>Kenda</t>
  </si>
  <si>
    <t>Kendrä Parha</t>
  </si>
  <si>
    <t>KendrÄparha</t>
  </si>
  <si>
    <t>Kerå «r</t>
  </si>
  <si>
    <t>KerÅ«r</t>
  </si>
  <si>
    <t>Keshod</t>
  </si>
  <si>
    <t>Keshorai Pä Tan</t>
  </si>
  <si>
    <t>Keshorai PÄtan</t>
  </si>
  <si>
    <t>Kesinga</t>
  </si>
  <si>
    <t>Khå «tä r</t>
  </si>
  <si>
    <t>KhÅ«tÄr</t>
  </si>
  <si>
    <t>Khä Crod</t>
  </si>
  <si>
    <t>KhÄchrod</t>
  </si>
  <si>
    <t>Khä mgaon</t>
  </si>
  <si>
    <t>KhÄmgaon</t>
  </si>
  <si>
    <t>Khä nä Pur</t>
  </si>
  <si>
    <t>KhÄnÄpur</t>
  </si>
  <si>
    <t>Khä pa</t>
  </si>
  <si>
    <t>KhÄpa</t>
  </si>
  <si>
    <t>Khä Rupatia</t>
  </si>
  <si>
    <t>KhÄrupatia</t>
  </si>
  <si>
    <t>Khä Tegaon</t>
  </si>
  <si>
    <t>KhÄtegaon</t>
  </si>
  <si>
    <t>Khä tra</t>
  </si>
  <si>
    <t>KhÄtra</t>
  </si>
  <si>
    <t>Khada</t>
  </si>
  <si>
    <t>Khadki</t>
  </si>
  <si>
    <t>Khagaria</t>
  </si>
  <si>
    <t>Khagaul</t>
  </si>
  <si>
    <t>Khair</t>
  </si>
  <si>
    <t>Khairä Bä d</t>
  </si>
  <si>
    <t>KhairÄbÄd</t>
  </si>
  <si>
    <t>Khairä Garh</t>
  </si>
  <si>
    <t>KhairÄgarh</t>
  </si>
  <si>
    <t>Khajurä Ho</t>
  </si>
  <si>
    <t>KhajurÄho</t>
  </si>
  <si>
    <t>Khalä «lä bä d</t>
  </si>
  <si>
    <t>KhalÄ«lÄbÄd</t>
  </si>
  <si>
    <t>Khamaria</t>
  </si>
  <si>
    <t>Khambhä liya</t>
  </si>
  <si>
    <t>KhambhÄliya</t>
  </si>
  <si>
    <t>Khambhä T.</t>
  </si>
  <si>
    <t>KhambhÄt</t>
  </si>
  <si>
    <t>Khammam</t>
  </si>
  <si>
    <t>Khandela</t>
  </si>
  <si>
    <t>Khandwa</t>
  </si>
  <si>
    <t>Khanna</t>
  </si>
  <si>
    <t>Kharagpur</t>
  </si>
  <si>
    <t>Kharakvasla</t>
  </si>
  <si>
    <t>Kharar</t>
  </si>
  <si>
    <t>Khardah</t>
  </si>
  <si>
    <t>Khargone</t>
  </si>
  <si>
    <t>Kharkhauda</t>
  </si>
  <si>
    <t>Kharsia</t>
  </si>
  <si>
    <t>Khatä «Ma</t>
  </si>
  <si>
    <t>KhatÄ«ma</t>
  </si>
  <si>
    <t>Khatauli</t>
  </si>
  <si>
    <t>Khed Brahma</t>
  </si>
  <si>
    <t>Kheda</t>
  </si>
  <si>
    <t>Khekra</t>
  </si>
  <si>
    <t>Kherä Lu</t>
  </si>
  <si>
    <t>KherÄlu</t>
  </si>
  <si>
    <t>Kheri</t>
  </si>
  <si>
    <t>Khetia</t>
  </si>
  <si>
    <t>Khetri</t>
  </si>
  <si>
    <t>Khilchipur</t>
  </si>
  <si>
    <t>Khirkiyä n</t>
  </si>
  <si>
    <t>KhirkiyÄn</t>
  </si>
  <si>
    <t>Khopoli</t>
  </si>
  <si>
    <t>Khowai</t>
  </si>
  <si>
    <t>Khuldä Bä d</t>
  </si>
  <si>
    <t>KhuldÄbÄd</t>
  </si>
  <si>
    <t>Khunti</t>
  </si>
  <si>
    <t>Khurai</t>
  </si>
  <si>
    <t>Khurda</t>
  </si>
  <si>
    <t>Khurja</t>
  </si>
  <si>
    <t>Kichha</t>
  </si>
  <si>
    <t>Kinwat</t>
  </si>
  <si>
    <t>Kirandul</t>
  </si>
  <si>
    <t>Kiraoli</t>
  </si>
  <si>
    <t>Kishanganj</t>
  </si>
  <si>
    <t>Kishangarh</t>
  </si>
  <si>
    <t>Kishtwä r</t>
  </si>
  <si>
    <t>KishtwÄr</t>
  </si>
  <si>
    <t>Kithor</t>
  </si>
  <si>
    <t>Kizhake Chä Lakudi</t>
  </si>
  <si>
    <t>Kizhake ChÄlakudi</t>
  </si>
  <si>
    <t>Koä th</t>
  </si>
  <si>
    <t>KoÄth</t>
  </si>
  <si>
    <t>Koch Bihä r</t>
  </si>
  <si>
    <t>Koch BihÄr</t>
  </si>
  <si>
    <t>Kodä «Nar</t>
  </si>
  <si>
    <t>KodÄ«nar</t>
  </si>
  <si>
    <t>Kodä r</t>
  </si>
  <si>
    <t>KodÄr</t>
  </si>
  <si>
    <t>Kodaikä nä l</t>
  </si>
  <si>
    <t>KodaikÄnÄl</t>
  </si>
  <si>
    <t>Kodarmä</t>
  </si>
  <si>
    <t>KodarmÄ</t>
  </si>
  <si>
    <t>Kodoli</t>
  </si>
  <si>
    <t>Kodungallå «r</t>
  </si>
  <si>
    <t>KodungallÅ«r</t>
  </si>
  <si>
    <t>Koelwä r</t>
  </si>
  <si>
    <t>KoelwÄr</t>
  </si>
  <si>
    <t>Kohima</t>
  </si>
  <si>
    <t>Kokrajhar</t>
  </si>
  <si>
    <t>Kolä r</t>
  </si>
  <si>
    <t>KolÄr</t>
  </si>
  <si>
    <t>Kolä Ras</t>
  </si>
  <si>
    <t>KolÄras</t>
  </si>
  <si>
    <t>Kolasib</t>
  </si>
  <si>
    <t>Kolhä Pur</t>
  </si>
  <si>
    <t>KolhÄpur</t>
  </si>
  <si>
    <t>Calcutá</t>
  </si>
  <si>
    <t>Kolkata</t>
  </si>
  <si>
    <t>Kollam</t>
  </si>
  <si>
    <t>Kollegä l</t>
  </si>
  <si>
    <t>KollegÄl</t>
  </si>
  <si>
    <t>Konä rka</t>
  </si>
  <si>
    <t>KonÄrka</t>
  </si>
  <si>
    <t>Konch</t>
  </si>
  <si>
    <t>Kondagaon</t>
  </si>
  <si>
    <t>Kondapalle</t>
  </si>
  <si>
    <t>Konnå «r</t>
  </si>
  <si>
    <t>KonnÅ«r</t>
  </si>
  <si>
    <t>Konnagar</t>
  </si>
  <si>
    <t>Koothanallur</t>
  </si>
  <si>
    <t>Kopä Ganj</t>
  </si>
  <si>
    <t>KopÄganj</t>
  </si>
  <si>
    <t>Kopargaon</t>
  </si>
  <si>
    <t>Koppal</t>
  </si>
  <si>
    <t>Korä Put</t>
  </si>
  <si>
    <t>KorÄput</t>
  </si>
  <si>
    <t>Koratla</t>
  </si>
  <si>
    <t>Korba</t>
  </si>
  <si>
    <t>Koregaon</t>
  </si>
  <si>
    <t>Korwai</t>
  </si>
  <si>
    <t>Kosamba</t>
  </si>
  <si>
    <t>Kosi</t>
  </si>
  <si>
    <t>Kosigi</t>
  </si>
  <si>
    <t>Kota</t>
  </si>
  <si>
    <t>Kotä</t>
  </si>
  <si>
    <t>KotÄ</t>
  </si>
  <si>
    <t>KOTAGIRI</t>
  </si>
  <si>
    <t>Kotagiri</t>
  </si>
  <si>
    <t>Kotamangalam</t>
  </si>
  <si>
    <t>Kotapä RH</t>
  </si>
  <si>
    <t>KotapÄrh</t>
  </si>
  <si>
    <t>Kotdwä ra</t>
  </si>
  <si>
    <t>KotdwÄra</t>
  </si>
  <si>
    <t>Kotkapura</t>
  </si>
  <si>
    <t>Kotma</t>
  </si>
  <si>
    <t>Kotputli</t>
  </si>
  <si>
    <t>Kottå «ru</t>
  </si>
  <si>
    <t>KottÅ«ru</t>
  </si>
  <si>
    <t>Kottagå «dem</t>
  </si>
  <si>
    <t>KottagÅ«dem</t>
  </si>
  <si>
    <t>Kottayam</t>
  </si>
  <si>
    <t>Kovå «r</t>
  </si>
  <si>
    <t>KovÅ«r</t>
  </si>
  <si>
    <t>Kovilpatti</t>
  </si>
  <si>
    <t>Kovvå «r</t>
  </si>
  <si>
    <t>KovvÅ«r</t>
  </si>
  <si>
    <t>Koynanagar</t>
  </si>
  <si>
    <t>Kozhikode</t>
  </si>
  <si>
    <t>Krishnagiri</t>
  </si>
  <si>
    <t>Krishnanagar</t>
  </si>
  <si>
    <t>Krishnarä Jpet</t>
  </si>
  <si>
    <t>KrishnarÄjpet</t>
  </si>
  <si>
    <t>Kuchä Man</t>
  </si>
  <si>
    <t>KuchÄman</t>
  </si>
  <si>
    <t>KUCHABURI</t>
  </si>
  <si>
    <t>Kuchaiburi</t>
  </si>
  <si>
    <t>Kuchera</t>
  </si>
  <si>
    <t>Kudachi</t>
  </si>
  <si>
    <t>Kuju</t>
  </si>
  <si>
    <t>Kukshi</t>
  </si>
  <si>
    <t>Kulgam</t>
  </si>
  <si>
    <t>Kulittalai</t>
  </si>
  <si>
    <t>Kulpahä r</t>
  </si>
  <si>
    <t>KulpahÄr</t>
  </si>
  <si>
    <t>Kultali</t>
  </si>
  <si>
    <t>Kulti</t>
  </si>
  <si>
    <t>Kulu</t>
  </si>
  <si>
    <t>Kumbakonam</t>
  </si>
  <si>
    <t>Kumbalam</t>
  </si>
  <si>
    <t>Kumbhrä j</t>
  </si>
  <si>
    <t>KumbhrÄj</t>
  </si>
  <si>
    <t>Kumhä Ri</t>
  </si>
  <si>
    <t>KumhÄri</t>
  </si>
  <si>
    <t>Kumta</t>
  </si>
  <si>
    <t>Kunda</t>
  </si>
  <si>
    <t>Kundarkhi</t>
  </si>
  <si>
    <t>Kundgol</t>
  </si>
  <si>
    <t>Kundla</t>
  </si>
  <si>
    <t>Kunigal</t>
  </si>
  <si>
    <t>Kunnamangalam</t>
  </si>
  <si>
    <t>Kunnamkulam</t>
  </si>
  <si>
    <t>Kuppam</t>
  </si>
  <si>
    <t>Kurandvä d</t>
  </si>
  <si>
    <t>KurandvÄd</t>
  </si>
  <si>
    <t>Kurduvä Di</t>
  </si>
  <si>
    <t>KurduvÄdi</t>
  </si>
  <si>
    <t>Kurinjippä Di</t>
  </si>
  <si>
    <t>KurinjippÄdi</t>
  </si>
  <si>
    <t>Kushtagi</t>
  </si>
  <si>
    <t>Kutiatodu</t>
  </si>
  <si>
    <t>Kutiyä Na</t>
  </si>
  <si>
    <t>KutiyÄna</t>
  </si>
  <si>
    <t>Kuttampuzha</t>
  </si>
  <si>
    <t>Kuzhithurai</t>
  </si>
  <si>
    <t>Kyathampalle</t>
  </si>
  <si>
    <t>Lå «nä vä da</t>
  </si>
  <si>
    <t>LÅ«nÄvÄda</t>
  </si>
  <si>
    <t>Lä dnå «n</t>
  </si>
  <si>
    <t>LÄdnÅ«n</t>
  </si>
  <si>
    <t>Lä Dwa</t>
  </si>
  <si>
    <t>LÄdwa</t>
  </si>
  <si>
    <t>Lä Harpur</t>
  </si>
  <si>
    <t>LÄharpur</t>
  </si>
  <si>
    <t>Lä Kheri</t>
  </si>
  <si>
    <t>LÄkheri</t>
  </si>
  <si>
    <t>Lä lganj</t>
  </si>
  <si>
    <t>LÄlganj</t>
  </si>
  <si>
    <t>Lä Lgola</t>
  </si>
  <si>
    <t>LÄlgola</t>
  </si>
  <si>
    <t>Lä lpur</t>
  </si>
  <si>
    <t>LÄlpur</t>
  </si>
  <si>
    <t>Lä lsot</t>
  </si>
  <si>
    <t>LÄlsot</t>
  </si>
  <si>
    <t>Lä Tehä r</t>
  </si>
  <si>
    <t>LÄtehÄr</t>
  </si>
  <si>
    <t>Lä thi</t>
  </si>
  <si>
    <t>LÄthi</t>
  </si>
  <si>
    <t>Lä War Khä s</t>
  </si>
  <si>
    <t>LÄwar KhÄs</t>
  </si>
  <si>
    <t>LachhMangarh Sä «Kar</t>
  </si>
  <si>
    <t>Lachhmangarh SÄ«kar</t>
  </si>
  <si>
    <t>Lahä r</t>
  </si>
  <si>
    <t>LahÄr</t>
  </si>
  <si>
    <t>Lakhä «mpur</t>
  </si>
  <si>
    <t>LakhÄ«mpur</t>
  </si>
  <si>
    <t>Lakhnä Don</t>
  </si>
  <si>
    <t>LakhnÄdon</t>
  </si>
  <si>
    <t>Lakhyabad</t>
  </si>
  <si>
    <t>Laksar</t>
  </si>
  <si>
    <t>Lakshmeshwar</t>
  </si>
  <si>
    <t>Lal Bahadur Nagar</t>
  </si>
  <si>
    <t>Lalgudi</t>
  </si>
  <si>
    <t>Lalitpur</t>
  </si>
  <si>
    <t>Lar</t>
  </si>
  <si>
    <t>Latur</t>
  </si>
  <si>
    <t>Laungowä l</t>
  </si>
  <si>
    <t>LaungowÄl</t>
  </si>
  <si>
    <t>Leh</t>
  </si>
  <si>
    <t>LETERI</t>
  </si>
  <si>
    <t>Leteri</t>
  </si>
  <si>
    <t>Limbdi</t>
  </si>
  <si>
    <t>Lingsugå «r</t>
  </si>
  <si>
    <t>LingsugÅ«r</t>
  </si>
  <si>
    <t>Lohä rdaga</t>
  </si>
  <si>
    <t>LohÄrdaga</t>
  </si>
  <si>
    <t>Lonä r</t>
  </si>
  <si>
    <t>LonÄr</t>
  </si>
  <si>
    <t>Lonavla</t>
  </si>
  <si>
    <t>Loni</t>
  </si>
  <si>
    <t>LOSAL</t>
  </si>
  <si>
    <t>Losal</t>
  </si>
  <si>
    <t>Luckeesarai</t>
  </si>
  <si>
    <t>Lucknow</t>
  </si>
  <si>
    <t>Ludhiä Na</t>
  </si>
  <si>
    <t>LudhiÄna</t>
  </si>
  <si>
    <t>Colônia ferroviária de Lumding</t>
  </si>
  <si>
    <t>Lumding Railway Colony</t>
  </si>
  <si>
    <t>Lunglei</t>
  </si>
  <si>
    <t>Må «dbidri</t>
  </si>
  <si>
    <t>MÅ«dbidri</t>
  </si>
  <si>
    <t>Mal</t>
  </si>
  <si>
    <t>MÅ«l</t>
  </si>
  <si>
    <t>Må «lki</t>
  </si>
  <si>
    <t>MÅ«lki</t>
  </si>
  <si>
    <t>Må «ndwa</t>
  </si>
  <si>
    <t>MÅ«ndwa</t>
  </si>
  <si>
    <t>Mä «njå« r</t>
  </si>
  <si>
    <t>MÄ«njÅ«r</t>
  </si>
  <si>
    <t>Mä «rä npur</t>
  </si>
  <si>
    <t>MÄ«rÄnpur</t>
  </si>
  <si>
    <t>Mä «rä npur katra</t>
  </si>
  <si>
    <t>MÄ«rÄnpur Katra</t>
  </si>
  <si>
    <t>Mä «rganj</t>
  </si>
  <si>
    <t>MÄ«rganj</t>
  </si>
  <si>
    <t>Må «vattupula</t>
  </si>
  <si>
    <t>MÅ«vattupula</t>
  </si>
  <si>
    <t>Mä Cherla</t>
  </si>
  <si>
    <t>MÄcherla</t>
  </si>
  <si>
    <t>Mä chhä «wä ra</t>
  </si>
  <si>
    <t>MÄchhÄ«wÄra</t>
  </si>
  <si>
    <t>Mä Gadi</t>
  </si>
  <si>
    <t>MÄgadi</t>
  </si>
  <si>
    <t>Mä Jalgaon</t>
  </si>
  <si>
    <t>MÄjalgaon</t>
  </si>
  <si>
    <t>Mä Kum</t>
  </si>
  <si>
    <t>MÄkum</t>
  </si>
  <si>
    <t>Mä lå «r</t>
  </si>
  <si>
    <t>MÄlÅ«r</t>
  </si>
  <si>
    <t>Mä Legaon</t>
  </si>
  <si>
    <t>MÄlegaon</t>
  </si>
  <si>
    <t>Mä Ler Kotla</t>
  </si>
  <si>
    <t>MÄler Kotla</t>
  </si>
  <si>
    <t>Mä Lpura</t>
  </si>
  <si>
    <t>MÄlpura</t>
  </si>
  <si>
    <t>Mä Lvan</t>
  </si>
  <si>
    <t>MÄlvan</t>
  </si>
  <si>
    <t>Mä Nä Vadar</t>
  </si>
  <si>
    <t>MÄnÄvadar</t>
  </si>
  <si>
    <t>Mä ndal</t>
  </si>
  <si>
    <t>MÄndal</t>
  </si>
  <si>
    <t>Mä Ndalgarh</t>
  </si>
  <si>
    <t>MÄndalgarh</t>
  </si>
  <si>
    <t>Mä ndu</t>
  </si>
  <si>
    <t>MÄndu</t>
  </si>
  <si>
    <t>Mä ndvi</t>
  </si>
  <si>
    <t>MÄndvi</t>
  </si>
  <si>
    <t>Mä Ngrol</t>
  </si>
  <si>
    <t>MÄngrol</t>
  </si>
  <si>
    <t>Mä NSA</t>
  </si>
  <si>
    <t>MÄnsa</t>
  </si>
  <si>
    <t>Mä nvi</t>
  </si>
  <si>
    <t>MÄnvi</t>
  </si>
  <si>
    <t>Mä Nwat</t>
  </si>
  <si>
    <t>MÄnwat</t>
  </si>
  <si>
    <t>Mä Puca</t>
  </si>
  <si>
    <t>MÄpuca</t>
  </si>
  <si>
    <t>Mä Rahra</t>
  </si>
  <si>
    <t>MÄrahra</t>
  </si>
  <si>
    <t>Mä rkä Pur</t>
  </si>
  <si>
    <t>MÄrkÄpur</t>
  </si>
  <si>
    <t>Mä tä bhä nga</t>
  </si>
  <si>
    <t>MÄtÄbhÄnga</t>
  </si>
  <si>
    <t>Mä Velikara</t>
  </si>
  <si>
    <t>MÄvelikara</t>
  </si>
  <si>
    <t>Machhlä «Shahr</t>
  </si>
  <si>
    <t>MachhlÄ«shahr</t>
  </si>
  <si>
    <t>Machilä «Patnam</t>
  </si>
  <si>
    <t>MachilÄ«patnam</t>
  </si>
  <si>
    <t>Madambakkam</t>
  </si>
  <si>
    <t>Madanapalle</t>
  </si>
  <si>
    <t>Maddå «r</t>
  </si>
  <si>
    <t>MaddÅ«r</t>
  </si>
  <si>
    <t>Maddagiri</t>
  </si>
  <si>
    <t>Madgaon</t>
  </si>
  <si>
    <t>Madhipura</t>
  </si>
  <si>
    <t>Madhubani</t>
  </si>
  <si>
    <t>Madhupur</t>
  </si>
  <si>
    <t>Madhyamgram</t>
  </si>
  <si>
    <t>Madikeri</t>
  </si>
  <si>
    <t>Madipakkam</t>
  </si>
  <si>
    <t>Madukkå «r</t>
  </si>
  <si>
    <t>MadukkÅ«r</t>
  </si>
  <si>
    <t>Madukkarai</t>
  </si>
  <si>
    <t>Madurä Ntakam</t>
  </si>
  <si>
    <t>MadurÄntakam</t>
  </si>
  <si>
    <t>Madurai</t>
  </si>
  <si>
    <t>Maghar</t>
  </si>
  <si>
    <t>Mahä “</t>
  </si>
  <si>
    <t>MahÄ“</t>
  </si>
  <si>
    <t>Mahä «shä dal</t>
  </si>
  <si>
    <t>MahÄ«shÄdal</t>
  </si>
  <si>
    <t>Mahä d</t>
  </si>
  <si>
    <t>MahÄd</t>
  </si>
  <si>
    <t>Mahä Lingpur</t>
  </si>
  <si>
    <t>MahÄlingpur</t>
  </si>
  <si>
    <t>Mahä rä ganj</t>
  </si>
  <si>
    <t>MahÄrÄganj</t>
  </si>
  <si>
    <t>Mahä Rä Jgani</t>
  </si>
  <si>
    <t>MahÄrÄjgani</t>
  </si>
  <si>
    <t>Mahä Samund</t>
  </si>
  <si>
    <t>MahÄsamund</t>
  </si>
  <si>
    <t>Maham</t>
  </si>
  <si>
    <t>Mahbå «bä bä d</t>
  </si>
  <si>
    <t>MahbÅ«bÄbÄd</t>
  </si>
  <si>
    <t>Mahbå «Bnagar</t>
  </si>
  <si>
    <t>MahbÅ«bnagar</t>
  </si>
  <si>
    <t>Mahemdä vä d</t>
  </si>
  <si>
    <t>MahemdÄvÄd</t>
  </si>
  <si>
    <t>Mahendragarh</t>
  </si>
  <si>
    <t>Maheshwar</t>
  </si>
  <si>
    <t>Mahgawä n</t>
  </si>
  <si>
    <t>MahgawÄn</t>
  </si>
  <si>
    <t>Mahiari</t>
  </si>
  <si>
    <t>Mahmudä bä d</t>
  </si>
  <si>
    <t>MahmudÄbÄd</t>
  </si>
  <si>
    <t>Mahobä</t>
  </si>
  <si>
    <t>MahobÄ</t>
  </si>
  <si>
    <t>Maholi</t>
  </si>
  <si>
    <t>Mahudha</t>
  </si>
  <si>
    <t>Mahwah</t>
  </si>
  <si>
    <t>Maihar</t>
  </si>
  <si>
    <t>Mainä Guri</t>
  </si>
  <si>
    <t>MainÄguri</t>
  </si>
  <si>
    <t>Mainpuri</t>
  </si>
  <si>
    <t>Mairwa</t>
  </si>
  <si>
    <t>Makrä Na</t>
  </si>
  <si>
    <t>MakrÄna</t>
  </si>
  <si>
    <t>Maksi</t>
  </si>
  <si>
    <t>Malä «hä bä d</t>
  </si>
  <si>
    <t>MalÄ«hÄbÄd</t>
  </si>
  <si>
    <t>Malakanagiri</t>
  </si>
  <si>
    <t>Malappuram</t>
  </si>
  <si>
    <t>Malaut</t>
  </si>
  <si>
    <t>Malavalli</t>
  </si>
  <si>
    <t>Malkä Pur</t>
  </si>
  <si>
    <t>MalkÄpur</t>
  </si>
  <si>
    <t>Malkajgiri</t>
  </si>
  <si>
    <t>Mallasamudram</t>
  </si>
  <si>
    <t>Malpe</t>
  </si>
  <si>
    <t>Manä sa</t>
  </si>
  <si>
    <t>ManÄsa</t>
  </si>
  <si>
    <t>Guerra de Manä</t>
  </si>
  <si>
    <t>ManÄwar</t>
  </si>
  <si>
    <t>Manali</t>
  </si>
  <si>
    <t>Manamadurai</t>
  </si>
  <si>
    <t>Manapparai</t>
  </si>
  <si>
    <t>Mancherä l</t>
  </si>
  <si>
    <t>MancherÄl</t>
  </si>
  <si>
    <t>Mandä War</t>
  </si>
  <si>
    <t>MandÄwar</t>
  </si>
  <si>
    <t>Mandamarri</t>
  </si>
  <si>
    <t>Mandapam</t>
  </si>
  <si>
    <t>Mandapeta</t>
  </si>
  <si>
    <t>Mandi</t>
  </si>
  <si>
    <t>Mandideep</t>
  </si>
  <si>
    <t>Mandlä</t>
  </si>
  <si>
    <t>MandlÄ</t>
  </si>
  <si>
    <t>Mandsaur</t>
  </si>
  <si>
    <t>Mandya</t>
  </si>
  <si>
    <t>Maner</t>
  </si>
  <si>
    <t>Mangalagiri</t>
  </si>
  <si>
    <t>Mangaldai</t>
  </si>
  <si>
    <t>Mangalore</t>
  </si>
  <si>
    <t>MANGLAUR</t>
  </si>
  <si>
    <t>Manglaur</t>
  </si>
  <si>
    <t>Mangrå «l pä« r</t>
  </si>
  <si>
    <t>MangrÅ«l PÄ«r</t>
  </si>
  <si>
    <t>Maniar</t>
  </si>
  <si>
    <t>Manihä ri</t>
  </si>
  <si>
    <t>ManihÄri</t>
  </si>
  <si>
    <t>Manjeri</t>
  </si>
  <si>
    <t>Manjhanpur</t>
  </si>
  <si>
    <t>Mankä Char</t>
  </si>
  <si>
    <t>MankÄchar</t>
  </si>
  <si>
    <t>Meghalaya</t>
  </si>
  <si>
    <t>Manmä d</t>
  </si>
  <si>
    <t>ManmÄd</t>
  </si>
  <si>
    <t>Mannä Rakkä T.</t>
  </si>
  <si>
    <t>MannÄrakkÄt</t>
  </si>
  <si>
    <t>Mannargudi</t>
  </si>
  <si>
    <t>Manoharpur</t>
  </si>
  <si>
    <t>Manthani</t>
  </si>
  <si>
    <t>Manuguru</t>
  </si>
  <si>
    <t>Marakkanam</t>
  </si>
  <si>
    <t>Margherita</t>
  </si>
  <si>
    <t>Marhaura</t>
  </si>
  <si>
    <t>Mariä Hu</t>
  </si>
  <si>
    <t>MariÄhu</t>
  </si>
  <si>
    <t>Mariä ni</t>
  </si>
  <si>
    <t>MariÄni</t>
  </si>
  <si>
    <t>Crazeirinha</t>
  </si>
  <si>
    <t>Marigaon</t>
  </si>
  <si>
    <t>Marmagao</t>
  </si>
  <si>
    <t>Masaurhi Buzurg</t>
  </si>
  <si>
    <t>Mathura</t>
  </si>
  <si>
    <t>Mattanå «r</t>
  </si>
  <si>
    <t>MattanÅ«r</t>
  </si>
  <si>
    <t>Mau</t>
  </si>
  <si>
    <t>Mau aimma</t>
  </si>
  <si>
    <t>Mau Aimma</t>
  </si>
  <si>
    <t>Maudaha</t>
  </si>
  <si>
    <t>Mauganj</t>
  </si>
  <si>
    <t>Maur</t>
  </si>
  <si>
    <t>Mavoor</t>
  </si>
  <si>
    <t>Mawä na</t>
  </si>
  <si>
    <t>MawÄna</t>
  </si>
  <si>
    <t>Mayä ng Imphä l</t>
  </si>
  <si>
    <t>MayÄng ImphÄl</t>
  </si>
  <si>
    <t>Mayiladuthurai</t>
  </si>
  <si>
    <t>Medak</t>
  </si>
  <si>
    <t>Medinä «pur</t>
  </si>
  <si>
    <t>MedinÄ«pur</t>
  </si>
  <si>
    <t>Meerut</t>
  </si>
  <si>
    <t>Mehekar</t>
  </si>
  <si>
    <t>Mehndä Wal</t>
  </si>
  <si>
    <t>MehndÄwal</t>
  </si>
  <si>
    <t>Melur</t>
  </si>
  <si>
    <t>Memä Ri</t>
  </si>
  <si>
    <t>MemÄri</t>
  </si>
  <si>
    <t>Mendarda</t>
  </si>
  <si>
    <t>Merta</t>
  </si>
  <si>
    <t>Mettupalayam</t>
  </si>
  <si>
    <t>Mettur</t>
  </si>
  <si>
    <t>Mhä svä d</t>
  </si>
  <si>
    <t>MhÄsvÄd</t>
  </si>
  <si>
    <t>Mihona</t>
  </si>
  <si>
    <t>Milak</t>
  </si>
  <si>
    <t>Miriä lgå «da</t>
  </si>
  <si>
    <t>MiriÄlgÅ«da</t>
  </si>
  <si>
    <t>Misrikh</t>
  </si>
  <si>
    <t>Modä SA</t>
  </si>
  <si>
    <t>ModÄsa</t>
  </si>
  <si>
    <t>Moga</t>
  </si>
  <si>
    <t>Mohali</t>
  </si>
  <si>
    <t>Moirä ng</t>
  </si>
  <si>
    <t>MoirÄng</t>
  </si>
  <si>
    <t>Mokameh</t>
  </si>
  <si>
    <t>Mokokchå «ng</t>
  </si>
  <si>
    <t>MokokchÅ«ng</t>
  </si>
  <si>
    <t>seg</t>
  </si>
  <si>
    <t>Mon</t>
  </si>
  <si>
    <t>Monghyr</t>
  </si>
  <si>
    <t>Monoharpur</t>
  </si>
  <si>
    <t>Morä dä bä d</t>
  </si>
  <si>
    <t>MorÄdÄbÄd</t>
  </si>
  <si>
    <t>Morä r</t>
  </si>
  <si>
    <t>MorÄr</t>
  </si>
  <si>
    <t>Moram</t>
  </si>
  <si>
    <t>Morbi</t>
  </si>
  <si>
    <t>morena</t>
  </si>
  <si>
    <t>Morena</t>
  </si>
  <si>
    <t>Morinda</t>
  </si>
  <si>
    <t>Morsi</t>
  </si>
  <si>
    <t>Morwa</t>
  </si>
  <si>
    <t>Mothä «hä ri</t>
  </si>
  <si>
    <t>MothÄ«hÄri</t>
  </si>
  <si>
    <t>MUBä Rakpur</t>
  </si>
  <si>
    <t>MubÄrakpur</t>
  </si>
  <si>
    <t>Muddebihä l</t>
  </si>
  <si>
    <t>MuddebihÄl</t>
  </si>
  <si>
    <t>Mudgal</t>
  </si>
  <si>
    <t>Mudhol</t>
  </si>
  <si>
    <t>Mudkhed</t>
  </si>
  <si>
    <t>Mughal Sarä i</t>
  </si>
  <si>
    <t>Mughal SarÄi</t>
  </si>
  <si>
    <t>Muhammadä Bä d</t>
  </si>
  <si>
    <t>MuhammadÄbÄd</t>
  </si>
  <si>
    <t>Mukeriä n</t>
  </si>
  <si>
    <t>MukeriÄn</t>
  </si>
  <si>
    <t>Mukher</t>
  </si>
  <si>
    <t>Muktsar</t>
  </si>
  <si>
    <t>Mulbä gal</t>
  </si>
  <si>
    <t>MulbÄgal</t>
  </si>
  <si>
    <t>Mulgund</t>
  </si>
  <si>
    <t>MultAi</t>
  </si>
  <si>
    <t>Multai</t>
  </si>
  <si>
    <t>Muluppilagadu</t>
  </si>
  <si>
    <t>Mumbai</t>
  </si>
  <si>
    <t>Mundargi</t>
  </si>
  <si>
    <t>Mundgod</t>
  </si>
  <si>
    <t>Mundra</t>
  </si>
  <si>
    <t>Mungaoli</t>
  </si>
  <si>
    <t>Mungeli</t>
  </si>
  <si>
    <t>Munnar</t>
  </si>
  <si>
    <t>Murä Dnagar</t>
  </si>
  <si>
    <t>MurÄdnagar</t>
  </si>
  <si>
    <t>Murbä d</t>
  </si>
  <si>
    <t>MurbÄd</t>
  </si>
  <si>
    <t>Murlä «Ganj</t>
  </si>
  <si>
    <t>MurlÄ«ganj</t>
  </si>
  <si>
    <t>Murshidä Bä d</t>
  </si>
  <si>
    <t>MurshidÄbÄd</t>
  </si>
  <si>
    <t>Murtajä Pur</t>
  </si>
  <si>
    <t>MurtajÄpur</t>
  </si>
  <si>
    <t>Murudeshwara</t>
  </si>
  <si>
    <t>Murwä ra</t>
  </si>
  <si>
    <t>MurwÄra</t>
  </si>
  <si>
    <t>Mushä Bani</t>
  </si>
  <si>
    <t>MushÄbani</t>
  </si>
  <si>
    <t>Musiri</t>
  </si>
  <si>
    <t>Mussoorie</t>
  </si>
  <si>
    <t>Muttupet</t>
  </si>
  <si>
    <t>Muvattupuzha</t>
  </si>
  <si>
    <t>Muzaffarnagar</t>
  </si>
  <si>
    <t>Muzaffarpur</t>
  </si>
  <si>
    <t>Mysore</t>
  </si>
  <si>
    <t>Nä «lä“ shwar</t>
  </si>
  <si>
    <t>NÄ«lÄ“shwar</t>
  </si>
  <si>
    <t>Nä «lgiri</t>
  </si>
  <si>
    <t>NÄ«lgiri</t>
  </si>
  <si>
    <t>Nä «Lokheri</t>
  </si>
  <si>
    <t>NÄ«lokheri</t>
  </si>
  <si>
    <t>Nä «mä j</t>
  </si>
  <si>
    <t>NÄ«mÄj</t>
  </si>
  <si>
    <t>Nä «mbä hera</t>
  </si>
  <si>
    <t>NÄ«mbÄhera</t>
  </si>
  <si>
    <t>Nå «rpur</t>
  </si>
  <si>
    <t>NÅ«rpur</t>
  </si>
  <si>
    <t>Nå «zvä« d</t>
  </si>
  <si>
    <t>NÅ«zvÄ«d</t>
  </si>
  <si>
    <t>Nä Bha</t>
  </si>
  <si>
    <t>NÄbha</t>
  </si>
  <si>
    <t>Nä Dä Puram</t>
  </si>
  <si>
    <t>NÄdÄpuram</t>
  </si>
  <si>
    <t>Nä Dbai</t>
  </si>
  <si>
    <t>NÄdbai</t>
  </si>
  <si>
    <t>Nä Gamangala</t>
  </si>
  <si>
    <t>NÄgamangala</t>
  </si>
  <si>
    <t>Nä Gappattinam</t>
  </si>
  <si>
    <t>NÄgappattinam</t>
  </si>
  <si>
    <t>Nä gar karnå «l</t>
  </si>
  <si>
    <t>NÄgar KarnÅ«l</t>
  </si>
  <si>
    <t>Nä Gaur</t>
  </si>
  <si>
    <t>NÄgaur</t>
  </si>
  <si>
    <t>Nä Gercoil</t>
  </si>
  <si>
    <t>NÄgercoil</t>
  </si>
  <si>
    <t>Deus</t>
  </si>
  <si>
    <t>NÄgod</t>
  </si>
  <si>
    <t>Nä Han</t>
  </si>
  <si>
    <t>NÄhan</t>
  </si>
  <si>
    <t>Nä Magiripettai</t>
  </si>
  <si>
    <t>NÄmagiripettai</t>
  </si>
  <si>
    <t>Nä Makkal</t>
  </si>
  <si>
    <t>NÄmakkal</t>
  </si>
  <si>
    <t>Mrrup para nä</t>
  </si>
  <si>
    <t>NÄmrup</t>
  </si>
  <si>
    <t>Nä ndå «ra Buzurg</t>
  </si>
  <si>
    <t>NÄndÅ«ra Buzurg</t>
  </si>
  <si>
    <t>Ndgaon</t>
  </si>
  <si>
    <t>NÄndgaon</t>
  </si>
  <si>
    <t>Township de Ngal</t>
  </si>
  <si>
    <t>NÄngal Township</t>
  </si>
  <si>
    <t>Ngloi jä t</t>
  </si>
  <si>
    <t>NÄngloi JÄt</t>
  </si>
  <si>
    <t>Nä npä ra</t>
  </si>
  <si>
    <t>NÄnpÄra</t>
  </si>
  <si>
    <t>Nä Rä Yanpet</t>
  </si>
  <si>
    <t>NÄrÄyanpet</t>
  </si>
  <si>
    <t>Nä Ravä Rikuppam</t>
  </si>
  <si>
    <t>NÄravÄrikuppam</t>
  </si>
  <si>
    <t>Nä Rnaul</t>
  </si>
  <si>
    <t>NÄrnaul</t>
  </si>
  <si>
    <t>Nä Rnaund</t>
  </si>
  <si>
    <t>NÄrnaund</t>
  </si>
  <si>
    <t>Nä Spur</t>
  </si>
  <si>
    <t>NÄspur</t>
  </si>
  <si>
    <t>Nä Sriganj</t>
  </si>
  <si>
    <t>NÄsriganj</t>
  </si>
  <si>
    <t>Nä thdwä ra</t>
  </si>
  <si>
    <t>NÄthdwÄra</t>
  </si>
  <si>
    <t>Nä wa</t>
  </si>
  <si>
    <t>NÄwa</t>
  </si>
  <si>
    <t>Nä Yudupeta</t>
  </si>
  <si>
    <t>NÄyudupeta</t>
  </si>
  <si>
    <t>Nabagrä m</t>
  </si>
  <si>
    <t>NabagrÄm</t>
  </si>
  <si>
    <t>Nadiä d</t>
  </si>
  <si>
    <t>NadiÄd</t>
  </si>
  <si>
    <t>Naduvannå «r</t>
  </si>
  <si>
    <t>NaduvannÅ«r</t>
  </si>
  <si>
    <t>Nagä «na</t>
  </si>
  <si>
    <t>NagÄ«na</t>
  </si>
  <si>
    <t>Nagar</t>
  </si>
  <si>
    <t>Nagari</t>
  </si>
  <si>
    <t>Nagda</t>
  </si>
  <si>
    <t>Nagpur</t>
  </si>
  <si>
    <t>Naharlagun</t>
  </si>
  <si>
    <t>Nahorkatiya</t>
  </si>
  <si>
    <t>Naihä ti</t>
  </si>
  <si>
    <t>NaihÄti</t>
  </si>
  <si>
    <t>Naini tä l</t>
  </si>
  <si>
    <t>Naini TÄl</t>
  </si>
  <si>
    <t>Nainpur</t>
  </si>
  <si>
    <t>Nainwa</t>
  </si>
  <si>
    <t>Najä «bä bä d</t>
  </si>
  <si>
    <t>NajÄ«bÄbÄd</t>
  </si>
  <si>
    <t>Nakå «r</t>
  </si>
  <si>
    <t>NakÅ«r</t>
  </si>
  <si>
    <t>Nakodar</t>
  </si>
  <si>
    <t>Naksalbä Ri</t>
  </si>
  <si>
    <t>NaksalbÄri</t>
  </si>
  <si>
    <t>Naldurg</t>
  </si>
  <si>
    <t>Nalgonda</t>
  </si>
  <si>
    <t>Nalhä Ti</t>
  </si>
  <si>
    <t>NalhÄti</t>
  </si>
  <si>
    <t>Nambiyå «r</t>
  </si>
  <si>
    <t>NambiyÅ«r</t>
  </si>
  <si>
    <t>Nanauta</t>
  </si>
  <si>
    <t>Nanded</t>
  </si>
  <si>
    <t>Nandigä Ma</t>
  </si>
  <si>
    <t>NandigÄma</t>
  </si>
  <si>
    <t>Nandikotkå «r</t>
  </si>
  <si>
    <t>NandikotkÅ«r</t>
  </si>
  <si>
    <t>Nandurbar</t>
  </si>
  <si>
    <t>Nandyä l</t>
  </si>
  <si>
    <t>NandyÄl</t>
  </si>
  <si>
    <t>Nangi</t>
  </si>
  <si>
    <t>Nanjangå «d</t>
  </si>
  <si>
    <t>NanjangÅ«d</t>
  </si>
  <si>
    <t>Napä Sar</t>
  </si>
  <si>
    <t>NapÄsar</t>
  </si>
  <si>
    <t>Narä Yangarh</t>
  </si>
  <si>
    <t>NarÄyangarh</t>
  </si>
  <si>
    <t>Naraina</t>
  </si>
  <si>
    <t>Naraini</t>
  </si>
  <si>
    <t>Narasannapeta</t>
  </si>
  <si>
    <t>Narasapur</t>
  </si>
  <si>
    <t>Narasaraopet</t>
  </si>
  <si>
    <t>Narauli</t>
  </si>
  <si>
    <t>Naraura</t>
  </si>
  <si>
    <t>NARGAL</t>
  </si>
  <si>
    <t>Naregal</t>
  </si>
  <si>
    <t>Nargund</t>
  </si>
  <si>
    <t>Narsä Patnam</t>
  </si>
  <si>
    <t>NarsÄ«patnam</t>
  </si>
  <si>
    <t>Narsimhapur</t>
  </si>
  <si>
    <t>Narsinghgarh</t>
  </si>
  <si>
    <t>Narwä Na</t>
  </si>
  <si>
    <t>NarwÄna</t>
  </si>
  <si>
    <t>Narwar</t>
  </si>
  <si>
    <t>Nasä «rä bä d</t>
  </si>
  <si>
    <t>NasÄ«rÄbÄd</t>
  </si>
  <si>
    <t>Nashik</t>
  </si>
  <si>
    <t>Nasrullä Hganj</t>
  </si>
  <si>
    <t>NasrullÄhganj</t>
  </si>
  <si>
    <t>Nattam</t>
  </si>
  <si>
    <t>Naugachhia</t>
  </si>
  <si>
    <t>Nautanwa</t>
  </si>
  <si>
    <t>Navadwä «p</t>
  </si>
  <si>
    <t>NavadwÄ«p</t>
  </si>
  <si>
    <t>Navalgund</t>
  </si>
  <si>
    <t>Navi Mumbai</t>
  </si>
  <si>
    <t>Nawä da</t>
  </si>
  <si>
    <t>NawÄda</t>
  </si>
  <si>
    <t>Nawä Shahr</t>
  </si>
  <si>
    <t>NawÄshahr</t>
  </si>
  <si>
    <t>Nawalgarh</t>
  </si>
  <si>
    <t>Nayä Garh</t>
  </si>
  <si>
    <t>NayÄgarh</t>
  </si>
  <si>
    <t>Nedumangä d</t>
  </si>
  <si>
    <t>NedumangÄd</t>
  </si>
  <si>
    <t>Neelankarai</t>
  </si>
  <si>
    <t>Neem Ka Thana</t>
  </si>
  <si>
    <t>Neem ka Thana</t>
  </si>
  <si>
    <t>Nelamangala</t>
  </si>
  <si>
    <t>Nellikkuppam</t>
  </si>
  <si>
    <t>Nelore</t>
  </si>
  <si>
    <t>Nellore</t>
  </si>
  <si>
    <t>Nepä Nagar</t>
  </si>
  <si>
    <t>NepÄnagar</t>
  </si>
  <si>
    <t>Neral</t>
  </si>
  <si>
    <t>Nova Delhi</t>
  </si>
  <si>
    <t>New Delhi</t>
  </si>
  <si>
    <t>Neyyä Ttinkara</t>
  </si>
  <si>
    <t>NeyyÄttinkara</t>
  </si>
  <si>
    <t>Nichlaul</t>
  </si>
  <si>
    <t>Nidadavole</t>
  </si>
  <si>
    <t>Nihtaur</t>
  </si>
  <si>
    <t>Nilakottai</t>
  </si>
  <si>
    <t>Nilanga</t>
  </si>
  <si>
    <t>Nimä Parha</t>
  </si>
  <si>
    <t>NimÄparha</t>
  </si>
  <si>
    <t>Nipä ni</t>
  </si>
  <si>
    <t>NipÄni</t>
  </si>
  <si>
    <t>Nirmä li</t>
  </si>
  <si>
    <t>NirmÄli</t>
  </si>
  <si>
    <t>Nirmal</t>
  </si>
  <si>
    <t>Niwai</t>
  </si>
  <si>
    <t>Nizä mä bä d</t>
  </si>
  <si>
    <t>NizÄmÄbÄd</t>
  </si>
  <si>
    <t>Noä Mundi</t>
  </si>
  <si>
    <t>NoÄmundi</t>
  </si>
  <si>
    <t>Nohar</t>
  </si>
  <si>
    <t>Noida</t>
  </si>
  <si>
    <t>Nokha</t>
  </si>
  <si>
    <t>NongStoin</t>
  </si>
  <si>
    <t>Nongstoin</t>
  </si>
  <si>
    <t>North Guwä Hä Ti</t>
  </si>
  <si>
    <t>North GuwÄhÄti</t>
  </si>
  <si>
    <t>Lakhimpur do Norte</t>
  </si>
  <si>
    <t>North Lakhimpur</t>
  </si>
  <si>
    <t>Nowrangapur</t>
  </si>
  <si>
    <t>Obra</t>
  </si>
  <si>
    <t>Okha</t>
  </si>
  <si>
    <t>Ongole</t>
  </si>
  <si>
    <t>Ooty</t>
  </si>
  <si>
    <t>Orai</t>
  </si>
  <si>
    <t>Osmanabad</t>
  </si>
  <si>
    <t>Ottappä lam</t>
  </si>
  <si>
    <t>OttappÄlam</t>
  </si>
  <si>
    <t>Ozar</t>
  </si>
  <si>
    <t>Pä «libhä« t</t>
  </si>
  <si>
    <t>PÄ«libhÄ«t</t>
  </si>
  <si>
    <t>På «nä hä na</t>
  </si>
  <si>
    <t>PÅ«nÄhÄna</t>
  </si>
  <si>
    <t>På «nch</t>
  </si>
  <si>
    <t>PÅ«nch</t>
  </si>
  <si>
    <t>På «ndri</t>
  </si>
  <si>
    <t>PÅ«ndri</t>
  </si>
  <si>
    <t>Pä «pä r</t>
  </si>
  <si>
    <t>PÄ«pÄr</t>
  </si>
  <si>
    <t>Pä «Pri</t>
  </si>
  <si>
    <t>PÄ«pri</t>
  </si>
  <si>
    <t>På «Ranpur</t>
  </si>
  <si>
    <t>PÅ«ranpur</t>
  </si>
  <si>
    <t>På «rna</t>
  </si>
  <si>
    <t>PÅ«rna</t>
  </si>
  <si>
    <t>Pä chora</t>
  </si>
  <si>
    <t>PÄchora</t>
  </si>
  <si>
    <t>Pä Kä la</t>
  </si>
  <si>
    <t>PÄkÄla</t>
  </si>
  <si>
    <t>Pä Kaur</t>
  </si>
  <si>
    <t>PÄkaur</t>
  </si>
  <si>
    <t>Pä Lakkodu</t>
  </si>
  <si>
    <t>PÄlakkodu</t>
  </si>
  <si>
    <t>Pä Lakollu</t>
  </si>
  <si>
    <t>PÄlakollu</t>
  </si>
  <si>
    <t>Pä Lanpur</t>
  </si>
  <si>
    <t>PÄlanpur</t>
  </si>
  <si>
    <t>Pä lghar</t>
  </si>
  <si>
    <t>PÄlghar</t>
  </si>
  <si>
    <t>Pä Li</t>
  </si>
  <si>
    <t>PÄli</t>
  </si>
  <si>
    <t>Pä Litä na</t>
  </si>
  <si>
    <t>PÄlitÄna</t>
  </si>
  <si>
    <t>Pä Lkonda</t>
  </si>
  <si>
    <t>PÄlkonda</t>
  </si>
  <si>
    <t>Pä Lonncha</t>
  </si>
  <si>
    <t>PÄloncha</t>
  </si>
  <si>
    <t>Pä nä «Pat</t>
  </si>
  <si>
    <t>PÄnÄ«pat</t>
  </si>
  <si>
    <t>Pä Nchla</t>
  </si>
  <si>
    <t>PÄnchla</t>
  </si>
  <si>
    <t>Pä ndhurnä</t>
  </si>
  <si>
    <t>PÄndhurnÄ</t>
  </si>
  <si>
    <t>Pä nihä ti</t>
  </si>
  <si>
    <t>PÄnihÄti</t>
  </si>
  <si>
    <t>Pä Ona Sä Hib</t>
  </si>
  <si>
    <t>PÄonta SÄhib</t>
  </si>
  <si>
    <t>Pä ppinisshä “ri</t>
  </si>
  <si>
    <t>PÄppinisshÄ“ri</t>
  </si>
  <si>
    <t>Pä rdi</t>
  </si>
  <si>
    <t>PÄrdi</t>
  </si>
  <si>
    <t>Pä rvatipuram</t>
  </si>
  <si>
    <t>PÄrvatipuram</t>
  </si>
  <si>
    <t>Pä suspighä t</t>
  </si>
  <si>
    <t>PÄsighÄt</t>
  </si>
  <si>
    <t>Pä tå «r</t>
  </si>
  <si>
    <t>PÄtÅ«r</t>
  </si>
  <si>
    <t>Pä Tan</t>
  </si>
  <si>
    <t>PÄtan</t>
  </si>
  <si>
    <t>Pä Thardi</t>
  </si>
  <si>
    <t>PÄthardi</t>
  </si>
  <si>
    <t>Pä Thardih</t>
  </si>
  <si>
    <t>PÄthardih</t>
  </si>
  <si>
    <t>Pä Thri</t>
  </si>
  <si>
    <t>PÄthri</t>
  </si>
  <si>
    <t>Pä Vugada</t>
  </si>
  <si>
    <t>PÄvugada</t>
  </si>
  <si>
    <t>Pachperwa</t>
  </si>
  <si>
    <t>Padam</t>
  </si>
  <si>
    <t>Padampur</t>
  </si>
  <si>
    <t>Padmanä Bhapuram</t>
  </si>
  <si>
    <t>PadmanÄbhapuram</t>
  </si>
  <si>
    <t>Padra</t>
  </si>
  <si>
    <t>Padrauna</t>
  </si>
  <si>
    <t>Pahä su</t>
  </si>
  <si>
    <t>PahÄsu</t>
  </si>
  <si>
    <t>Paithan</t>
  </si>
  <si>
    <t>Palä SA</t>
  </si>
  <si>
    <t>PalÄsa</t>
  </si>
  <si>
    <t>Palakkad</t>
  </si>
  <si>
    <t>Palani</t>
  </si>
  <si>
    <t>Palera</t>
  </si>
  <si>
    <t>Paliä Kalä n</t>
  </si>
  <si>
    <t>PaliÄ KalÄn</t>
  </si>
  <si>
    <t>Pallä Varam</t>
  </si>
  <si>
    <t>PallÄvaram</t>
  </si>
  <si>
    <t>Palladam</t>
  </si>
  <si>
    <t>Pallappatti</t>
  </si>
  <si>
    <t>Pallikondai</t>
  </si>
  <si>
    <t>Pallippatti</t>
  </si>
  <si>
    <t>Palmanner</t>
  </si>
  <si>
    <t>Palmaner</t>
  </si>
  <si>
    <t>Palwal</t>
  </si>
  <si>
    <t>Palwancha</t>
  </si>
  <si>
    <t>Panä Gar</t>
  </si>
  <si>
    <t>PanÄgar</t>
  </si>
  <si>
    <t>Panaji</t>
  </si>
  <si>
    <t>Pandharpur</t>
  </si>
  <si>
    <t>Pandua</t>
  </si>
  <si>
    <t>Panmana</t>
  </si>
  <si>
    <t>Panna</t>
  </si>
  <si>
    <t>Panruti</t>
  </si>
  <si>
    <t>Panvel</t>
  </si>
  <si>
    <t>Papanasam</t>
  </si>
  <si>
    <t>Parä «chhatgarh</t>
  </si>
  <si>
    <t>ParÄ«chhatgarh</t>
  </si>
  <si>
    <t>Parä dä «p garh</t>
  </si>
  <si>
    <t>ParÄdÄ«p Garh</t>
  </si>
  <si>
    <t>Parä Sia</t>
  </si>
  <si>
    <t>ParÄsia</t>
  </si>
  <si>
    <t>Paramaguudi</t>
  </si>
  <si>
    <t>Paramagudi</t>
  </si>
  <si>
    <t>Paravå «r</t>
  </si>
  <si>
    <t>ParavÅ«r</t>
  </si>
  <si>
    <t>Parbhani</t>
  </si>
  <si>
    <t>Pariyä Puram</t>
  </si>
  <si>
    <t>PariyÄpuram</t>
  </si>
  <si>
    <t>Parlä Kimidi</t>
  </si>
  <si>
    <t>ParlÄkimidi</t>
  </si>
  <si>
    <t>Parli Vaijnä th</t>
  </si>
  <si>
    <t>Parli VaijnÄth</t>
  </si>
  <si>
    <t>Parola</t>
  </si>
  <si>
    <t>Partå «r</t>
  </si>
  <si>
    <t>PartÅ«r</t>
  </si>
  <si>
    <t>Parvatsar</t>
  </si>
  <si>
    <t>Pasä n</t>
  </si>
  <si>
    <t>PasÄn</t>
  </si>
  <si>
    <t>Patä Mundai</t>
  </si>
  <si>
    <t>PatÄmundai</t>
  </si>
  <si>
    <t>Patancheru</t>
  </si>
  <si>
    <t>Pataudi</t>
  </si>
  <si>
    <t>Pathä nkot</t>
  </si>
  <si>
    <t>PathÄnkot</t>
  </si>
  <si>
    <t>Pathalgaon</t>
  </si>
  <si>
    <t>Pathanä Mthitta</t>
  </si>
  <si>
    <t>PathanÄmthitta</t>
  </si>
  <si>
    <t>Patária</t>
  </si>
  <si>
    <t>Patharia</t>
  </si>
  <si>
    <t>Patiä la</t>
  </si>
  <si>
    <t>PatiÄla</t>
  </si>
  <si>
    <t>Patna</t>
  </si>
  <si>
    <t>Patnä Garh</t>
  </si>
  <si>
    <t>PatnÄgarh</t>
  </si>
  <si>
    <t>Patti</t>
  </si>
  <si>
    <t>Pattukkottai</t>
  </si>
  <si>
    <t>Pauri</t>
  </si>
  <si>
    <t>Pawä Yan</t>
  </si>
  <si>
    <t>PawÄyan</t>
  </si>
  <si>
    <t>Pawni</t>
  </si>
  <si>
    <t>Payyannå «r</t>
  </si>
  <si>
    <t>PayyannÅ«r</t>
  </si>
  <si>
    <t>Pedana</t>
  </si>
  <si>
    <t>Peddä Puram</t>
  </si>
  <si>
    <t>PeddÄpuram</t>
  </si>
  <si>
    <t>Peddapalli</t>
  </si>
  <si>
    <t>Pehowa</t>
  </si>
  <si>
    <t>Caneta</t>
  </si>
  <si>
    <t>Pennä Dam</t>
  </si>
  <si>
    <t>PennÄdam</t>
  </si>
  <si>
    <t>Pennä Garam</t>
  </si>
  <si>
    <t>PennÄgaram</t>
  </si>
  <si>
    <t>Penugonda</t>
  </si>
  <si>
    <t>Penukonda</t>
  </si>
  <si>
    <t>Perambalur</t>
  </si>
  <si>
    <t>Peranä Mpattu</t>
  </si>
  <si>
    <t>PeranÄmpattu</t>
  </si>
  <si>
    <t>Peravurani</t>
  </si>
  <si>
    <t>Periyakulam</t>
  </si>
  <si>
    <t>Periyanayakkanpalaiyam</t>
  </si>
  <si>
    <t>Perumbavor</t>
  </si>
  <si>
    <t>Perumbavoor</t>
  </si>
  <si>
    <t>Perumpä vå «r</t>
  </si>
  <si>
    <t>PerumpÄvÅ«r</t>
  </si>
  <si>
    <t>Perundurai</t>
  </si>
  <si>
    <t>Perunguudi</t>
  </si>
  <si>
    <t>Perungudi</t>
  </si>
  <si>
    <t>Petlä d</t>
  </si>
  <si>
    <t>PetlÄd</t>
  </si>
  <si>
    <t>Phagwä ra</t>
  </si>
  <si>
    <t>PhagwÄra</t>
  </si>
  <si>
    <t>Phalauda</t>
  </si>
  <si>
    <t>Phalodi</t>
  </si>
  <si>
    <t>Phaltan</t>
  </si>
  <si>
    <t>Phaphå «nd</t>
  </si>
  <si>
    <t>PhaphÅ«nd</t>
  </si>
  <si>
    <t>Phek</t>
  </si>
  <si>
    <t>Phillaur</t>
  </si>
  <si>
    <t>Phirangipuram</t>
  </si>
  <si>
    <t>Phulabä ni</t>
  </si>
  <si>
    <t>PhulabÄni</t>
  </si>
  <si>
    <t>Phulera</t>
  </si>
  <si>
    <t>Phulpur</t>
  </si>
  <si>
    <t>Pihä nä «</t>
  </si>
  <si>
    <t>PihÄnÄ«</t>
  </si>
  <si>
    <t>Pilä ni</t>
  </si>
  <si>
    <t>PilÄni</t>
  </si>
  <si>
    <t>Pilibangan</t>
  </si>
  <si>
    <t>Pilkhua</t>
  </si>
  <si>
    <t>Pimpri</t>
  </si>
  <si>
    <t>Pinä Hat</t>
  </si>
  <si>
    <t>PinÄhat</t>
  </si>
  <si>
    <t>Pindwä ra</t>
  </si>
  <si>
    <t>PindwÄra</t>
  </si>
  <si>
    <t>Pinjaur</t>
  </si>
  <si>
    <t>Pipili</t>
  </si>
  <si>
    <t>Pipraich</t>
  </si>
  <si>
    <t>Piravam</t>
  </si>
  <si>
    <t>Piriyä Patna</t>
  </si>
  <si>
    <t>PiriyÄpatna</t>
  </si>
  <si>
    <t>Piro</t>
  </si>
  <si>
    <t>Pithä Puram</t>
  </si>
  <si>
    <t>PithÄpuram</t>
  </si>
  <si>
    <t>Pithampur</t>
  </si>
  <si>
    <t>Pithorä Garh</t>
  </si>
  <si>
    <t>PithorÄgarh</t>
  </si>
  <si>
    <t>Pokaran</t>
  </si>
  <si>
    <t>Polar</t>
  </si>
  <si>
    <t>PolÅ«r</t>
  </si>
  <si>
    <t>Polasara</t>
  </si>
  <si>
    <t>Polavaram</t>
  </si>
  <si>
    <t>Pollachi</t>
  </si>
  <si>
    <t>Ponda</t>
  </si>
  <si>
    <t>Ponnå «ru</t>
  </si>
  <si>
    <t>PonnÅ«ru</t>
  </si>
  <si>
    <t>Ponnä ni</t>
  </si>
  <si>
    <t>PonnÄni</t>
  </si>
  <si>
    <t>Ponneri</t>
  </si>
  <si>
    <t>Ponnur</t>
  </si>
  <si>
    <t>Poonamalle</t>
  </si>
  <si>
    <t>Porbandar</t>
  </si>
  <si>
    <t>Porsa</t>
  </si>
  <si>
    <t>Port Blair</t>
  </si>
  <si>
    <t>Andaman and Nicobar Islands</t>
  </si>
  <si>
    <t>Porur</t>
  </si>
  <si>
    <t>Powai</t>
  </si>
  <si>
    <t>Pratä Pgarh</t>
  </si>
  <si>
    <t>PratÄpgarh</t>
  </si>
  <si>
    <t>Proddatå «r</t>
  </si>
  <si>
    <t>ProddatÅ«r</t>
  </si>
  <si>
    <t>Puducherry</t>
  </si>
  <si>
    <t>Pudukkottai</t>
  </si>
  <si>
    <t>Pujali</t>
  </si>
  <si>
    <t>Pukhrä yä n</t>
  </si>
  <si>
    <t>PukhrÄyÄn</t>
  </si>
  <si>
    <t>Pulgaon</t>
  </si>
  <si>
    <t>Pulivendla</t>
  </si>
  <si>
    <t>Puliyangudi</t>
  </si>
  <si>
    <t>Pulwama</t>
  </si>
  <si>
    <t>Punä sa</t>
  </si>
  <si>
    <t>PunÄsa</t>
  </si>
  <si>
    <t>Punalå «r</t>
  </si>
  <si>
    <t>PunalÅ«r</t>
  </si>
  <si>
    <t>Pune</t>
  </si>
  <si>
    <t>Punganå «ru</t>
  </si>
  <si>
    <t>PunganÅ«ru</t>
  </si>
  <si>
    <t>Punjai Puliyampatti</t>
  </si>
  <si>
    <t>PUPRI</t>
  </si>
  <si>
    <t>Pupri</t>
  </si>
  <si>
    <t>Puri</t>
  </si>
  <si>
    <t>Purnia</t>
  </si>
  <si>
    <t>Puruliya</t>
  </si>
  <si>
    <t>Purwä</t>
  </si>
  <si>
    <t>PurwÄ</t>
  </si>
  <si>
    <t>Pusad</t>
  </si>
  <si>
    <t>Pushkar</t>
  </si>
  <si>
    <t>Puttå «r</t>
  </si>
  <si>
    <t>PuttÅ«r</t>
  </si>
  <si>
    <t>Qä diä n</t>
  </si>
  <si>
    <t>QÄdiÄn</t>
  </si>
  <si>
    <t>Quthbullapur</t>
  </si>
  <si>
    <t>Rå «Darpur</t>
  </si>
  <si>
    <t>RÅ«darpur</t>
  </si>
  <si>
    <t>Rä «ngas</t>
  </si>
  <si>
    <t>RÄ«ngas</t>
  </si>
  <si>
    <t>Rä Dhanpur</t>
  </si>
  <si>
    <t>RÄdhanpur</t>
  </si>
  <si>
    <t>Rä Ghogarh</t>
  </si>
  <si>
    <t>RÄghogarh</t>
  </si>
  <si>
    <t>Rä Hatgarh</t>
  </si>
  <si>
    <t>RÄhatgarh</t>
  </si>
  <si>
    <t>Rä huri</t>
  </si>
  <si>
    <t>RÄhuri</t>
  </si>
  <si>
    <t>Rä ichå «r</t>
  </si>
  <si>
    <t>RÄichÅ«r</t>
  </si>
  <si>
    <t>Rä Iganj</t>
  </si>
  <si>
    <t>RÄiganj</t>
  </si>
  <si>
    <t>Rä ikot</t>
  </si>
  <si>
    <t>RÄikot</t>
  </si>
  <si>
    <t>Rä isinghnagar</t>
  </si>
  <si>
    <t>RÄisinghnagar</t>
  </si>
  <si>
    <t>Rä jå «ra</t>
  </si>
  <si>
    <t>RÄjÅ«ra</t>
  </si>
  <si>
    <t>Rä Jä Khera</t>
  </si>
  <si>
    <t>RÄjÄkhera</t>
  </si>
  <si>
    <t>Rä Jahmundry</t>
  </si>
  <si>
    <t>RÄjahmundry</t>
  </si>
  <si>
    <t>Rä Jaldesar</t>
  </si>
  <si>
    <t>RÄjaldesar</t>
  </si>
  <si>
    <t>Rä Jampet</t>
  </si>
  <si>
    <t>RÄjampet</t>
  </si>
  <si>
    <t>Rä jgä «r</t>
  </si>
  <si>
    <t>RÄjgÄ«r</t>
  </si>
  <si>
    <t>Rä Jgarh</t>
  </si>
  <si>
    <t>RÄjgarh</t>
  </si>
  <si>
    <t>Rä Jgurunagar</t>
  </si>
  <si>
    <t>RÄjgurunagar</t>
  </si>
  <si>
    <t>Rä jkot</t>
  </si>
  <si>
    <t>RÄjkot</t>
  </si>
  <si>
    <t>Rä jmahal</t>
  </si>
  <si>
    <t>RÄjmahal</t>
  </si>
  <si>
    <t>Rä J-Nä ndgaon</t>
  </si>
  <si>
    <t>RÄj-NÄndgaon</t>
  </si>
  <si>
    <t>Rä jpä «pla</t>
  </si>
  <si>
    <t>RÄjpÄ«pla</t>
  </si>
  <si>
    <t>Rä jpura</t>
  </si>
  <si>
    <t>RÄjpura</t>
  </si>
  <si>
    <t>Rä Jsamand</t>
  </si>
  <si>
    <t>RÄjsamand</t>
  </si>
  <si>
    <t>Rä jula</t>
  </si>
  <si>
    <t>RÄjula</t>
  </si>
  <si>
    <t>Rä Mä Puram</t>
  </si>
  <si>
    <t>RÄmÄpuram</t>
  </si>
  <si>
    <t>Rä Machandrapuram</t>
  </si>
  <si>
    <t>RÄmachandrapuram</t>
  </si>
  <si>
    <t>Rä Managlaram</t>
  </si>
  <si>
    <t>RÄmanagaram</t>
  </si>
  <si>
    <t>Rä Mganj Mandi</t>
  </si>
  <si>
    <t>RÄmganj Mandi</t>
  </si>
  <si>
    <t>Rä Mgarh</t>
  </si>
  <si>
    <t>RÄmgarh</t>
  </si>
  <si>
    <t>Rä Mgundam</t>
  </si>
  <si>
    <t>RÄmgundam</t>
  </si>
  <si>
    <t>Rä mjä «banpur</t>
  </si>
  <si>
    <t>RÄmjÄ«banpur</t>
  </si>
  <si>
    <t>Rä Mnagar</t>
  </si>
  <si>
    <t>RÄmnagar</t>
  </si>
  <si>
    <t>Rä Mpur</t>
  </si>
  <si>
    <t>RÄmpur</t>
  </si>
  <si>
    <t>Rä Mpura</t>
  </si>
  <si>
    <t>RÄmpura</t>
  </si>
  <si>
    <t>Rä Mtek</t>
  </si>
  <si>
    <t>RÄmtek</t>
  </si>
  <si>
    <t>Rä nä «bennur</t>
  </si>
  <si>
    <t>RÄnÄ«bennur</t>
  </si>
  <si>
    <t>Rä nä «ganj</t>
  </si>
  <si>
    <t>RÄnÄ«ganj</t>
  </si>
  <si>
    <t>Rä nä «pur</t>
  </si>
  <si>
    <t>RÄnÄ«pur</t>
  </si>
  <si>
    <t>Rä nä ghä t</t>
  </si>
  <si>
    <t>RÄnÄghÄt</t>
  </si>
  <si>
    <t>Rä nä vä v</t>
  </si>
  <si>
    <t>RÄnÄvÄv</t>
  </si>
  <si>
    <t>Rä nia</t>
  </si>
  <si>
    <t>RÄnia</t>
  </si>
  <si>
    <t>Rä Nikhet</t>
  </si>
  <si>
    <t>RÄnikhet</t>
  </si>
  <si>
    <t>Rä par</t>
  </si>
  <si>
    <t>RÄpar</t>
  </si>
  <si>
    <t>Rä th</t>
  </si>
  <si>
    <t>RÄth</t>
  </si>
  <si>
    <t>Rä ver</t>
  </si>
  <si>
    <t>RÄver</t>
  </si>
  <si>
    <t>Rä watbhä ta</t>
  </si>
  <si>
    <t>RÄwatbhÄta</t>
  </si>
  <si>
    <t>Rä watsä r</t>
  </si>
  <si>
    <t>RÄwatsÄr</t>
  </si>
  <si>
    <t>Rä ya</t>
  </si>
  <si>
    <t>RÄya</t>
  </si>
  <si>
    <t>Rä Yachoti</t>
  </si>
  <si>
    <t>RÄyachoti</t>
  </si>
  <si>
    <t>Rä yadrug</t>
  </si>
  <si>
    <t>RÄyadrug</t>
  </si>
  <si>
    <t>Rä ybä g</t>
  </si>
  <si>
    <t>RÄybÄg</t>
  </si>
  <si>
    <t>Rä zä m</t>
  </si>
  <si>
    <t>RÄzÄm</t>
  </si>
  <si>
    <t>Rabkavi</t>
  </si>
  <si>
    <t>Raebareli</t>
  </si>
  <si>
    <t>Rafiganj</t>
  </si>
  <si>
    <t>Raghunathpur</t>
  </si>
  <si>
    <t>Rahimatpur</t>
  </si>
  <si>
    <t>Raigarh</t>
  </si>
  <si>
    <t>Raipur</t>
  </si>
  <si>
    <t>Raisen</t>
  </si>
  <si>
    <t>Rajaori</t>
  </si>
  <si>
    <t>Rajapalaiyam</t>
  </si>
  <si>
    <t>Rajpur</t>
  </si>
  <si>
    <t>Ramagundam</t>
  </si>
  <si>
    <t>Ramanathapuram</t>
  </si>
  <si>
    <t>Ramanayyapeta</t>
  </si>
  <si>
    <t>Rameswaram</t>
  </si>
  <si>
    <t>Rampachodavaram</t>
  </si>
  <si>
    <t>Rampur Hat</t>
  </si>
  <si>
    <t>Ranchi</t>
  </si>
  <si>
    <t>Rangä Pä Ra</t>
  </si>
  <si>
    <t>RangÄpÄra</t>
  </si>
  <si>
    <t>Rangia</t>
  </si>
  <si>
    <t>Rasipuram</t>
  </si>
  <si>
    <t>Rasrä</t>
  </si>
  <si>
    <t>RasrÄ</t>
  </si>
  <si>
    <t>Ratangarh</t>
  </si>
  <si>
    <t>Ratanpur</t>
  </si>
  <si>
    <t>RATIA</t>
  </si>
  <si>
    <t>Ratia</t>
  </si>
  <si>
    <t>Ratlä m</t>
  </si>
  <si>
    <t>RatlÄm</t>
  </si>
  <si>
    <t>Ratnagiri</t>
  </si>
  <si>
    <t>Raxaul</t>
  </si>
  <si>
    <t>Rehli</t>
  </si>
  <si>
    <t>Remuna</t>
  </si>
  <si>
    <t>Renigunta</t>
  </si>
  <si>
    <t>Renukå «t</t>
  </si>
  <si>
    <t>RenukÅ«t</t>
  </si>
  <si>
    <t>Reoti</t>
  </si>
  <si>
    <t>Repalle</t>
  </si>
  <si>
    <t>Revelganj</t>
  </si>
  <si>
    <t>Rewa</t>
  </si>
  <si>
    <t>Rewä ri</t>
  </si>
  <si>
    <t>RewÄri</t>
  </si>
  <si>
    <t>Richha</t>
  </si>
  <si>
    <t>Rishä «Kesh</t>
  </si>
  <si>
    <t>RishÄ«kesh</t>
  </si>
  <si>
    <t>Rishra</t>
  </si>
  <si>
    <t>Risod</t>
  </si>
  <si>
    <t>Robertsganj</t>
  </si>
  <si>
    <t>Robertsonpet</t>
  </si>
  <si>
    <t>Roha</t>
  </si>
  <si>
    <t>Rohtak</t>
  </si>
  <si>
    <t>Roorkee</t>
  </si>
  <si>
    <t>Ropar</t>
  </si>
  <si>
    <t>Rura</t>
  </si>
  <si>
    <t>Rusera</t>
  </si>
  <si>
    <t>Så «jä ngarh</t>
  </si>
  <si>
    <t>SÅ«jÄngarh</t>
  </si>
  <si>
    <t>Sä «Kar</t>
  </si>
  <si>
    <t>SÄ«kar</t>
  </si>
  <si>
    <t>Så «lå« ru</t>
  </si>
  <si>
    <t>SÅ«lÅ«ru</t>
  </si>
  <si>
    <t>Sä «ra</t>
  </si>
  <si>
    <t>SÄ«ra</t>
  </si>
  <si>
    <t>Så «Rajgarh</t>
  </si>
  <si>
    <t>SÅ«rajgarh</t>
  </si>
  <si>
    <t>Så «Randai</t>
  </si>
  <si>
    <t>SÅ«randai</t>
  </si>
  <si>
    <t>Så «rato</t>
  </si>
  <si>
    <t>SÅ«rat</t>
  </si>
  <si>
    <t>Så «Ratgarh</t>
  </si>
  <si>
    <t>SÅ«ratgarh</t>
  </si>
  <si>
    <t>Sä «rkä zhi</t>
  </si>
  <si>
    <t>SÄ«rkÄzhi</t>
  </si>
  <si>
    <t>Sä «tä Marhi</t>
  </si>
  <si>
    <t>SÄ«tÄmarhi</t>
  </si>
  <si>
    <t>Sä «tä Pur</t>
  </si>
  <si>
    <t>SÄ«tÄpur</t>
  </si>
  <si>
    <t>Sä dri</t>
  </si>
  <si>
    <t>SÄdri</t>
  </si>
  <si>
    <t>Sä Gar</t>
  </si>
  <si>
    <t>SÄgar</t>
  </si>
  <si>
    <t>Sä Hibganj</t>
  </si>
  <si>
    <t>SÄhibganj</t>
  </si>
  <si>
    <t>Sä lå «mbar</t>
  </si>
  <si>
    <t>SÄlÅ«mbar</t>
  </si>
  <si>
    <t>Sä lå «r</t>
  </si>
  <si>
    <t>SÄlÅ«r</t>
  </si>
  <si>
    <t>Sä Malkot</t>
  </si>
  <si>
    <t>SÄmalkot</t>
  </si>
  <si>
    <t>Sä MBA</t>
  </si>
  <si>
    <t>SÄmba</t>
  </si>
  <si>
    <t>Sä mbhar</t>
  </si>
  <si>
    <t>SÄmbhar</t>
  </si>
  <si>
    <t>Sä Nand</t>
  </si>
  <si>
    <t>SÄnand</t>
  </si>
  <si>
    <t>Sä nchor</t>
  </si>
  <si>
    <t>SÄnchor</t>
  </si>
  <si>
    <t>Sä ndi</t>
  </si>
  <si>
    <t>SÄndi</t>
  </si>
  <si>
    <t>Sä Ngli</t>
  </si>
  <si>
    <t>SÄngli</t>
  </si>
  <si>
    <t>Sä Ngola</t>
  </si>
  <si>
    <t>SÄngola</t>
  </si>
  <si>
    <t>Sä nkrä il</t>
  </si>
  <si>
    <t>SÄnkrÄil</t>
  </si>
  <si>
    <t>Sä Rangpur</t>
  </si>
  <si>
    <t>SÄrangpur</t>
  </si>
  <si>
    <t>Sä Svad</t>
  </si>
  <si>
    <t>SÄsvad</t>
  </si>
  <si>
    <t>Sä Tä Ra</t>
  </si>
  <si>
    <t>SÄtÄra</t>
  </si>
  <si>
    <t>Sä Vantvä Di</t>
  </si>
  <si>
    <t>SÄvantvÄdi</t>
  </si>
  <si>
    <t>Sä vda</t>
  </si>
  <si>
    <t>SÄvda</t>
  </si>
  <si>
    <t>Sä yla</t>
  </si>
  <si>
    <t>SÄyla</t>
  </si>
  <si>
    <t>Sabalgarh</t>
  </si>
  <si>
    <t>Sadä Bä d</t>
  </si>
  <si>
    <t>SadÄbÄd</t>
  </si>
  <si>
    <t>Sadä Seopet</t>
  </si>
  <si>
    <t>SadÄseopet</t>
  </si>
  <si>
    <t>Sadalgi</t>
  </si>
  <si>
    <t>Safä «pur</t>
  </si>
  <si>
    <t>SafÄ«pur</t>
  </si>
  <si>
    <t>Safidon</t>
  </si>
  <si>
    <t>Sagauli</t>
  </si>
  <si>
    <t>Sahä Ranpur</t>
  </si>
  <si>
    <t>SahÄranpur</t>
  </si>
  <si>
    <t>Guerra Sahä</t>
  </si>
  <si>
    <t>SahÄwar</t>
  </si>
  <si>
    <t>Saharsa</t>
  </si>
  <si>
    <t>Sahaspur</t>
  </si>
  <si>
    <t>Sahaswä n</t>
  </si>
  <si>
    <t>SahaswÄn</t>
  </si>
  <si>
    <t>Saiha</t>
  </si>
  <si>
    <t>Saint Thomas Mount</t>
  </si>
  <si>
    <t>Sainthia</t>
  </si>
  <si>
    <t>Sakleshpur</t>
  </si>
  <si>
    <t>Saktä «</t>
  </si>
  <si>
    <t>SaktÄ«</t>
  </si>
  <si>
    <t>Salä ya</t>
  </si>
  <si>
    <t>SalÄya</t>
  </si>
  <si>
    <t>Salem</t>
  </si>
  <si>
    <t>Samä Lkha</t>
  </si>
  <si>
    <t>SamÄlkha</t>
  </si>
  <si>
    <t>Samä Stipur</t>
  </si>
  <si>
    <t>SamÄstipur</t>
  </si>
  <si>
    <t>Sambalpur</t>
  </si>
  <si>
    <t>Sambhal</t>
  </si>
  <si>
    <t>Samdari</t>
  </si>
  <si>
    <t>Samrä la</t>
  </si>
  <si>
    <t>SamrÄla</t>
  </si>
  <si>
    <t>Samthar</t>
  </si>
  <si>
    <t>Sanä Wad</t>
  </si>
  <si>
    <t>SanÄwad</t>
  </si>
  <si>
    <t>Sanaur</t>
  </si>
  <si>
    <t>Sancoale</t>
  </si>
  <si>
    <t>Sandä «la</t>
  </si>
  <si>
    <t>SandÄ«la</t>
  </si>
  <si>
    <t>Sandå «r</t>
  </si>
  <si>
    <t>SandÅ«r</t>
  </si>
  <si>
    <t>Sangä Reddi</t>
  </si>
  <si>
    <t>SangÄreddi</t>
  </si>
  <si>
    <t>Sangamner</t>
  </si>
  <si>
    <t>Sangariä</t>
  </si>
  <si>
    <t>SangariÄ</t>
  </si>
  <si>
    <t>Sangod</t>
  </si>
  <si>
    <t>Sangrå «r</t>
  </si>
  <si>
    <t>SangrÅ«r</t>
  </si>
  <si>
    <t>Sankeshwar</t>
  </si>
  <si>
    <t>Saoner</t>
  </si>
  <si>
    <t>Sarä i ä € kil</t>
  </si>
  <si>
    <t>SarÄi Ä€kil</t>
  </si>
  <si>
    <t>Sarä i mä «r</t>
  </si>
  <si>
    <t>SarÄi MÄ«r</t>
  </si>
  <si>
    <t>Saraipali</t>
  </si>
  <si>
    <t>Sarauli</t>
  </si>
  <si>
    <t>Sardä Rshahr</t>
  </si>
  <si>
    <t>SardÄrshahr</t>
  </si>
  <si>
    <t>Sardhana</t>
  </si>
  <si>
    <t>Sardulgarh</t>
  </si>
  <si>
    <t>Sarkhej</t>
  </si>
  <si>
    <t>Sarwä r</t>
  </si>
  <si>
    <t>SarwÄr</t>
  </si>
  <si>
    <t>Satä nä</t>
  </si>
  <si>
    <t>SatÄnÄ</t>
  </si>
  <si>
    <t>Sathupalli</t>
  </si>
  <si>
    <t>Sathyamangalam</t>
  </si>
  <si>
    <t>Satna</t>
  </si>
  <si>
    <t>Sattenapalle</t>
  </si>
  <si>
    <t>Sattur</t>
  </si>
  <si>
    <t>Saugor</t>
  </si>
  <si>
    <t>Saundatti</t>
  </si>
  <si>
    <t>Sausar</t>
  </si>
  <si>
    <t>Savanå «r</t>
  </si>
  <si>
    <t>SavanÅ«r</t>
  </si>
  <si>
    <t>Sawä i mä dhopur</t>
  </si>
  <si>
    <t>SawÄi MÄdhopur</t>
  </si>
  <si>
    <t>Secunderabad</t>
  </si>
  <si>
    <t>Sehore</t>
  </si>
  <si>
    <t>Selu</t>
  </si>
  <si>
    <t>Sendhwa</t>
  </si>
  <si>
    <t>Seohä ra</t>
  </si>
  <si>
    <t>SeohÄra</t>
  </si>
  <si>
    <t>Seondha</t>
  </si>
  <si>
    <t>Seoni</t>
  </si>
  <si>
    <t>Seoni Mä lwa</t>
  </si>
  <si>
    <t>Seoni MÄlwa</t>
  </si>
  <si>
    <t>Seram</t>
  </si>
  <si>
    <t>Serchhä «p</t>
  </si>
  <si>
    <t>SerchhÄ«p</t>
  </si>
  <si>
    <t>Serilingampalle</t>
  </si>
  <si>
    <t>Shä «Shgarh</t>
  </si>
  <si>
    <t>ShÄ«shgarh</t>
  </si>
  <si>
    <t>Shä hä bä d</t>
  </si>
  <si>
    <t>ShÄhÄbÄd</t>
  </si>
  <si>
    <t>Shä hä da</t>
  </si>
  <si>
    <t>ShÄhÄda</t>
  </si>
  <si>
    <t>Shä Hganj</t>
  </si>
  <si>
    <t>ShÄhganj</t>
  </si>
  <si>
    <t>Shä oi</t>
  </si>
  <si>
    <t>ShÄhi</t>
  </si>
  <si>
    <t>Shä hjä npur</t>
  </si>
  <si>
    <t>ShÄhjÄnpur</t>
  </si>
  <si>
    <t>Shä Hpur</t>
  </si>
  <si>
    <t>ShÄhpur</t>
  </si>
  <si>
    <t>Shä Hpura</t>
  </si>
  <si>
    <t>ShÄhpura</t>
  </si>
  <si>
    <t>Shä Jä Pur</t>
  </si>
  <si>
    <t>ShÄjÄpur</t>
  </si>
  <si>
    <t>Shä Mgarh</t>
  </si>
  <si>
    <t>ShÄmgarh</t>
  </si>
  <si>
    <t>Shä mli</t>
  </si>
  <si>
    <t>ShÄmli</t>
  </si>
  <si>
    <t>Shä Ntipur</t>
  </si>
  <si>
    <t>ShÄntipur</t>
  </si>
  <si>
    <t>Shahbazpur</t>
  </si>
  <si>
    <t>Shahdol</t>
  </si>
  <si>
    <t>Shamsä bä d</t>
  </si>
  <si>
    <t>ShamsÄbÄd</t>
  </si>
  <si>
    <t>Shegaon</t>
  </si>
  <si>
    <t>Sheikhpura</t>
  </si>
  <si>
    <t>Sheoganj</t>
  </si>
  <si>
    <t>Sheohar</t>
  </si>
  <si>
    <t>Sheopur</t>
  </si>
  <si>
    <t>Sherghä ti</t>
  </si>
  <si>
    <t>SherghÄti</t>
  </si>
  <si>
    <t>Sherkot</t>
  </si>
  <si>
    <t>Shertallai</t>
  </si>
  <si>
    <t>Shiggaon</t>
  </si>
  <si>
    <t>Shikä rpå «r</t>
  </si>
  <si>
    <t>ShikÄrpÅ«r</t>
  </si>
  <si>
    <t>Shikä Rpur</t>
  </si>
  <si>
    <t>ShikÄrpur</t>
  </si>
  <si>
    <t>Shikohä Bä d</t>
  </si>
  <si>
    <t>ShikohÄbÄd</t>
  </si>
  <si>
    <t>Shiliguri</t>
  </si>
  <si>
    <t>Shillong</t>
  </si>
  <si>
    <t>Shimla</t>
  </si>
  <si>
    <t>Shimoga</t>
  </si>
  <si>
    <t>Shiraguppi</t>
  </si>
  <si>
    <t>Shirdi</t>
  </si>
  <si>
    <t>Shirhatti</t>
  </si>
  <si>
    <t>Shirpur</t>
  </si>
  <si>
    <t>Shivaji Nagar</t>
  </si>
  <si>
    <t>Shivpuri</t>
  </si>
  <si>
    <t>Sholinghur</t>
  </si>
  <si>
    <t>Shorä Pur</t>
  </si>
  <si>
    <t>ShorÄpur</t>
  </si>
  <si>
    <t>Shoranå «r</t>
  </si>
  <si>
    <t>ShoranÅ«r</t>
  </si>
  <si>
    <t>Shrä Gonda</t>
  </si>
  <si>
    <t>ShrÄ«gonda</t>
  </si>
  <si>
    <t>Short mpur</t>
  </si>
  <si>
    <t>ShrÄ«rÄmpur</t>
  </si>
  <si>
    <t>Shrä «rangapattana</t>
  </si>
  <si>
    <t>ShrÄ«rangapattana</t>
  </si>
  <si>
    <t>Shujä lpur</t>
  </si>
  <si>
    <t>ShujÄlpur</t>
  </si>
  <si>
    <t>Shyamnagar</t>
  </si>
  <si>
    <t>Sibsä Gar</t>
  </si>
  <si>
    <t>SibsÄgar</t>
  </si>
  <si>
    <t>Siddhapur</t>
  </si>
  <si>
    <t>Siddipet</t>
  </si>
  <si>
    <t>Sidhaulä «</t>
  </si>
  <si>
    <t>SidhaulÄ«</t>
  </si>
  <si>
    <t>Sidhi</t>
  </si>
  <si>
    <t>Sidlaghatta</t>
  </si>
  <si>
    <t>Sihor</t>
  </si>
  <si>
    <t>Sihorä</t>
  </si>
  <si>
    <t>SihorÄ</t>
  </si>
  <si>
    <t>Sijua</t>
  </si>
  <si>
    <t>Sikandarä Bä d</t>
  </si>
  <si>
    <t>SikandarÄbÄd</t>
  </si>
  <si>
    <t>Sikandarpur</t>
  </si>
  <si>
    <t>Sikandra Rao</t>
  </si>
  <si>
    <t>Sikka</t>
  </si>
  <si>
    <t>Silao</t>
  </si>
  <si>
    <t>Silapathar</t>
  </si>
  <si>
    <t>Silchar</t>
  </si>
  <si>
    <t>Sillod</t>
  </si>
  <si>
    <t>Silvassa</t>
  </si>
  <si>
    <t>Simdega</t>
  </si>
  <si>
    <t>Sindgi</t>
  </si>
  <si>
    <t>Sindhnå «r</t>
  </si>
  <si>
    <t>SindhnÅ«r</t>
  </si>
  <si>
    <t>Singä Nallå «r</t>
  </si>
  <si>
    <t>SingÄnallÅ«r</t>
  </si>
  <si>
    <t>Singä Pur</t>
  </si>
  <si>
    <t>SingÄpur</t>
  </si>
  <si>
    <t>Singarä Yakonda</t>
  </si>
  <si>
    <t>SingarÄyakonda</t>
  </si>
  <si>
    <t>Singrauli</t>
  </si>
  <si>
    <t>Singur</t>
  </si>
  <si>
    <t>Sinnar</t>
  </si>
  <si>
    <t>Sirå «r</t>
  </si>
  <si>
    <t>SirÅ«r</t>
  </si>
  <si>
    <t>Sirhind</t>
  </si>
  <si>
    <t>Sirohi</t>
  </si>
  <si>
    <t>SIRONJ</t>
  </si>
  <si>
    <t>Sironj</t>
  </si>
  <si>
    <t>Sirsa</t>
  </si>
  <si>
    <t>Sirsä Ganj</t>
  </si>
  <si>
    <t>SirsÄganj</t>
  </si>
  <si>
    <t>Sirsi</t>
  </si>
  <si>
    <t>Sirsilla</t>
  </si>
  <si>
    <t>Siruguppa</t>
  </si>
  <si>
    <t>Sirumugai</t>
  </si>
  <si>
    <t>Sisauli</t>
  </si>
  <si>
    <t>Siswä bä zä r</t>
  </si>
  <si>
    <t>SiswÄ BÄzÄr</t>
  </si>
  <si>
    <t>Sitä rganj</t>
  </si>
  <si>
    <t>SitÄrganj</t>
  </si>
  <si>
    <t>Siuri</t>
  </si>
  <si>
    <t>Sivaganga</t>
  </si>
  <si>
    <t>Sivagiri</t>
  </si>
  <si>
    <t>Sivakasi</t>
  </si>
  <si>
    <t>Siwä n</t>
  </si>
  <si>
    <t>SiwÄn</t>
  </si>
  <si>
    <t>Siwä Na</t>
  </si>
  <si>
    <t>SiwÄna</t>
  </si>
  <si>
    <t>Sohä Gpur</t>
  </si>
  <si>
    <t>SohÄgpur</t>
  </si>
  <si>
    <t>Sohna</t>
  </si>
  <si>
    <t>Sojä «tra</t>
  </si>
  <si>
    <t>SojÄ«tra</t>
  </si>
  <si>
    <t>Sojat</t>
  </si>
  <si>
    <t>Solä Pur</t>
  </si>
  <si>
    <t>SolÄpur</t>
  </si>
  <si>
    <t>Solan</t>
  </si>
  <si>
    <t>Someshwar</t>
  </si>
  <si>
    <t>Sompeta</t>
  </si>
  <si>
    <t>Sonä «Pat</t>
  </si>
  <si>
    <t>SonÄ«pat</t>
  </si>
  <si>
    <t>Sonä Mukhi</t>
  </si>
  <si>
    <t>SonÄmukhi</t>
  </si>
  <si>
    <t>Sonä Ri</t>
  </si>
  <si>
    <t>SonÄri</t>
  </si>
  <si>
    <t>Sonepur</t>
  </si>
  <si>
    <t>Songadh</t>
  </si>
  <si>
    <t>Sopur</t>
  </si>
  <si>
    <t>Sorada</t>
  </si>
  <si>
    <t>Soron</t>
  </si>
  <si>
    <t>Soyä «Bug</t>
  </si>
  <si>
    <t>SoyÄ«bug</t>
  </si>
  <si>
    <t>Soygaon</t>
  </si>
  <si>
    <t>Srä «nagar</t>
  </si>
  <si>
    <t>SrÄ«nagar</t>
  </si>
  <si>
    <t>Srä «nivä Spur</t>
  </si>
  <si>
    <t>SrÄ«nivÄspur</t>
  </si>
  <si>
    <t>Srä «perumbå« då «r</t>
  </si>
  <si>
    <t>SrÄ«perumbÅ«dÅ«r</t>
  </si>
  <si>
    <t>Srä «rä mnagar</t>
  </si>
  <si>
    <t>SrÄ«rÄmnagar</t>
  </si>
  <si>
    <t>Srä «Sailain</t>
  </si>
  <si>
    <t>SrÄ«sailain</t>
  </si>
  <si>
    <t>Srä Vardhan</t>
  </si>
  <si>
    <t>SrÄ«vardhan</t>
  </si>
  <si>
    <t>Sri Då «ngargarh</t>
  </si>
  <si>
    <t>Sri DÅ«ngargarh</t>
  </si>
  <si>
    <t>Sri Mä Dhopur</t>
  </si>
  <si>
    <t>Sri MÄdhopur</t>
  </si>
  <si>
    <t>Srinagar</t>
  </si>
  <si>
    <t>Srirä Mpur</t>
  </si>
  <si>
    <t>SrirÄmpur</t>
  </si>
  <si>
    <t>Srivaikuntam</t>
  </si>
  <si>
    <t>Srivilliputhur</t>
  </si>
  <si>
    <t>Suä r</t>
  </si>
  <si>
    <t>SuÄr</t>
  </si>
  <si>
    <t>Suket</t>
  </si>
  <si>
    <t>Sultä npur</t>
  </si>
  <si>
    <t>SultÄnpur</t>
  </si>
  <si>
    <t>Sultanpur</t>
  </si>
  <si>
    <t>Sulur</t>
  </si>
  <si>
    <t>Sulya</t>
  </si>
  <si>
    <t>Sunä m</t>
  </si>
  <si>
    <t>SunÄm</t>
  </si>
  <si>
    <t>Sundargarh</t>
  </si>
  <si>
    <t>Sundarnagar</t>
  </si>
  <si>
    <t>Sunel</t>
  </si>
  <si>
    <t>Supaul</t>
  </si>
  <si>
    <t>Surendranagar</t>
  </si>
  <si>
    <t>Suriä nwä n</t>
  </si>
  <si>
    <t>SuriÄnwÄn</t>
  </si>
  <si>
    <t>Suriä Pet</t>
  </si>
  <si>
    <t>SuriÄpet</t>
  </si>
  <si>
    <t>Tä «Kamgarh</t>
  </si>
  <si>
    <t>TÄ«kamgarh</t>
  </si>
  <si>
    <t>Tå «ndla</t>
  </si>
  <si>
    <t>TÅ«ndla</t>
  </si>
  <si>
    <t>Tä «rthahalli</t>
  </si>
  <si>
    <t>TÄ«rthahalli</t>
  </si>
  <si>
    <t>Tä Depalle</t>
  </si>
  <si>
    <t>TÄdepalle</t>
  </si>
  <si>
    <t>Tä depallegå «dem</t>
  </si>
  <si>
    <t>TÄdepallegÅ«dem</t>
  </si>
  <si>
    <t>Tä Dpatri</t>
  </si>
  <si>
    <t>TÄdpatri</t>
  </si>
  <si>
    <t>Tä Jpur</t>
  </si>
  <si>
    <t>TÄjpur</t>
  </si>
  <si>
    <t>Tä Ki</t>
  </si>
  <si>
    <t>TÄki</t>
  </si>
  <si>
    <t>Tä lä «kota</t>
  </si>
  <si>
    <t>TÄlÄ«kota</t>
  </si>
  <si>
    <t>Tä lcher</t>
  </si>
  <si>
    <t>TÄlcher</t>
  </si>
  <si>
    <t>Tä nda</t>
  </si>
  <si>
    <t>TÄnda</t>
  </si>
  <si>
    <t>Tä ndå «r</t>
  </si>
  <si>
    <t>TÄndÅ«r</t>
  </si>
  <si>
    <t>Tä ndä</t>
  </si>
  <si>
    <t>TÄndÄ</t>
  </si>
  <si>
    <t>Tä oru</t>
  </si>
  <si>
    <t>TÄoru</t>
  </si>
  <si>
    <t>Tä Rä Nagar</t>
  </si>
  <si>
    <t>TÄrÄnagar</t>
  </si>
  <si>
    <t>Tä Ramangalam</t>
  </si>
  <si>
    <t>TÄramangalam</t>
  </si>
  <si>
    <t>Tä Sgaon</t>
  </si>
  <si>
    <t>TÄsgaon</t>
  </si>
  <si>
    <t>Takhatgarh</t>
  </si>
  <si>
    <t>Takhatpur</t>
  </si>
  <si>
    <t>Talä ja</t>
  </si>
  <si>
    <t>TalÄja</t>
  </si>
  <si>
    <t>Talegaon Dä Bhä de</t>
  </si>
  <si>
    <t>Talegaon DÄbhÄde</t>
  </si>
  <si>
    <t>Taleigao</t>
  </si>
  <si>
    <t>Talipparamba</t>
  </si>
  <si>
    <t>Taloda</t>
  </si>
  <si>
    <t>Talwä ra</t>
  </si>
  <si>
    <t>TalwÄra</t>
  </si>
  <si>
    <t>Talwandi Bhai</t>
  </si>
  <si>
    <t>Tamlå «k</t>
  </si>
  <si>
    <t>TamlÅ«k</t>
  </si>
  <si>
    <t>Tanakpur</t>
  </si>
  <si>
    <t>Tanuku</t>
  </si>
  <si>
    <t>Tarä na</t>
  </si>
  <si>
    <t>TarÄna</t>
  </si>
  <si>
    <t>Tarakeswar</t>
  </si>
  <si>
    <t>Tarikere</t>
  </si>
  <si>
    <t>Tarn Tä correu</t>
  </si>
  <si>
    <t>Tarn TÄran</t>
  </si>
  <si>
    <t>Teghra</t>
  </si>
  <si>
    <t>Tehri</t>
  </si>
  <si>
    <t>Tekä Ri</t>
  </si>
  <si>
    <t>TekÄri</t>
  </si>
  <si>
    <t>Tekkalakote</t>
  </si>
  <si>
    <t>Tekkali</t>
  </si>
  <si>
    <t>Telhä Ra</t>
  </si>
  <si>
    <t>TelhÄra</t>
  </si>
  <si>
    <t>Tellicherry</t>
  </si>
  <si>
    <t>Teni</t>
  </si>
  <si>
    <t>Teonthar</t>
  </si>
  <si>
    <t>Terdä l</t>
  </si>
  <si>
    <t>TerdÄl</t>
  </si>
  <si>
    <t>Tezpur</t>
  </si>
  <si>
    <t>Thä Kurganj</t>
  </si>
  <si>
    <t>ThÄkurganj</t>
  </si>
  <si>
    <t>Thä n</t>
  </si>
  <si>
    <t>ThÄn</t>
  </si>
  <si>
    <t>Thä na Bhawan</t>
  </si>
  <si>
    <t>ThÄna Bhawan</t>
  </si>
  <si>
    <t>Thä ne</t>
  </si>
  <si>
    <t>ThÄne</t>
  </si>
  <si>
    <t>Thä Nesar</t>
  </si>
  <si>
    <t>ThÄnesar</t>
  </si>
  <si>
    <t>Thä Sra</t>
  </si>
  <si>
    <t>ThÄsra</t>
  </si>
  <si>
    <t>Thakurdwara</t>
  </si>
  <si>
    <t>Thanjä vå «r</t>
  </si>
  <si>
    <t>ThanjÄvÅ«r</t>
  </si>
  <si>
    <t>Tharä d</t>
  </si>
  <si>
    <t>TharÄd</t>
  </si>
  <si>
    <t>Tharangambadi</t>
  </si>
  <si>
    <t>Thenkasi</t>
  </si>
  <si>
    <t>Thiruthani</t>
  </si>
  <si>
    <t>Thiruvananthapuram</t>
  </si>
  <si>
    <t>Thiruvarur</t>
  </si>
  <si>
    <t>Tubä l</t>
  </si>
  <si>
    <t>ThoubÄl</t>
  </si>
  <si>
    <t>Tijä ra</t>
  </si>
  <si>
    <t>TijÄra</t>
  </si>
  <si>
    <t>Tilhar</t>
  </si>
  <si>
    <t>Tindivanam</t>
  </si>
  <si>
    <t>Tinnanå «r</t>
  </si>
  <si>
    <t>TinnanÅ«r</t>
  </si>
  <si>
    <t>Tinsukia</t>
  </si>
  <si>
    <t>Tiptå «r</t>
  </si>
  <si>
    <t>TiptÅ«r</t>
  </si>
  <si>
    <t>Tiruchchendur</t>
  </si>
  <si>
    <t>Tiruchengode</t>
  </si>
  <si>
    <t>Tiruchirappalli</t>
  </si>
  <si>
    <t>Tirukkoyilur</t>
  </si>
  <si>
    <t>Tirumala</t>
  </si>
  <si>
    <t>Tirunelveli</t>
  </si>
  <si>
    <t>Tirupati</t>
  </si>
  <si>
    <t>Tirupparangunram</t>
  </si>
  <si>
    <t>Tiruppur</t>
  </si>
  <si>
    <t>Tiruppuvanam</t>
  </si>
  <si>
    <t>Tirur</t>
  </si>
  <si>
    <t>Tiruttangal</t>
  </si>
  <si>
    <t>Tiruvalla</t>
  </si>
  <si>
    <t>Tiruvallur</t>
  </si>
  <si>
    <t>Tiruvannä Malai</t>
  </si>
  <si>
    <t>TiruvannÄmalai</t>
  </si>
  <si>
    <t>Tiruvottiyå «r</t>
  </si>
  <si>
    <t>TiruvottiyÅ«r</t>
  </si>
  <si>
    <t>Tisaiyanvilai</t>
  </si>
  <si>
    <t>Titä Garh</t>
  </si>
  <si>
    <t>TitÄgarh</t>
  </si>
  <si>
    <t>Titlä Garh</t>
  </si>
  <si>
    <t>TitlÄgarh</t>
  </si>
  <si>
    <t>Todabhim</t>
  </si>
  <si>
    <t>Todarisingh</t>
  </si>
  <si>
    <t>Todaraisingh</t>
  </si>
  <si>
    <t>Tohä na</t>
  </si>
  <si>
    <t>TohÄna</t>
  </si>
  <si>
    <t>Tondi</t>
  </si>
  <si>
    <t>Tonk</t>
  </si>
  <si>
    <t>Trichå «r</t>
  </si>
  <si>
    <t>TrichÅ«r</t>
  </si>
  <si>
    <t>Tuensang</t>
  </si>
  <si>
    <t>Tufä Nganj</t>
  </si>
  <si>
    <t>TufÄnganj</t>
  </si>
  <si>
    <t>Tuljä Pur</t>
  </si>
  <si>
    <t>TuljÄpur</t>
  </si>
  <si>
    <t>Tulsä «pur</t>
  </si>
  <si>
    <t>TulsÄ«pur</t>
  </si>
  <si>
    <t>Tumkå «r</t>
  </si>
  <si>
    <t>TumkÅ«r</t>
  </si>
  <si>
    <t>Tumsar</t>
  </si>
  <si>
    <t>Tuni</t>
  </si>
  <si>
    <t>TURA</t>
  </si>
  <si>
    <t>Tura</t>
  </si>
  <si>
    <t>TURAIYå «r</t>
  </si>
  <si>
    <t>TuraiyÅ«r</t>
  </si>
  <si>
    <t>Udaipur</t>
  </si>
  <si>
    <t>Udaipura</t>
  </si>
  <si>
    <t>Udalguri</t>
  </si>
  <si>
    <t>Udankudi</t>
  </si>
  <si>
    <t>Udgä «r</t>
  </si>
  <si>
    <t>UdgÄ«r</t>
  </si>
  <si>
    <t>Udhampur</t>
  </si>
  <si>
    <t>Udipi</t>
  </si>
  <si>
    <t>Udumalaippetti</t>
  </si>
  <si>
    <t>Udumalaippettai</t>
  </si>
  <si>
    <t>Ujhä ni</t>
  </si>
  <si>
    <t>UjhÄni</t>
  </si>
  <si>
    <t>Ujjain</t>
  </si>
  <si>
    <t>Uluhasnagar</t>
  </si>
  <si>
    <t>Ulhasnagar</t>
  </si>
  <si>
    <t>Ullal</t>
  </si>
  <si>
    <t>Umarga</t>
  </si>
  <si>
    <t>Umaria</t>
  </si>
  <si>
    <t>Umarkhed</t>
  </si>
  <si>
    <t>Umkot</t>
  </si>
  <si>
    <t>Umarkot</t>
  </si>
  <si>
    <t>Umred</t>
  </si>
  <si>
    <t>Umreth</t>
  </si>
  <si>
    <t>Un</t>
  </si>
  <si>
    <t>Desfrit</t>
  </si>
  <si>
    <t>Unhel</t>
  </si>
  <si>
    <t>Unjha</t>
  </si>
  <si>
    <t>Unnä o</t>
  </si>
  <si>
    <t>UnnÄo</t>
  </si>
  <si>
    <t>UPLETA</t>
  </si>
  <si>
    <t>Upleta</t>
  </si>
  <si>
    <t>Uppal Kalan</t>
  </si>
  <si>
    <t>Uran</t>
  </si>
  <si>
    <t>Uravakonda</t>
  </si>
  <si>
    <t>Usehat</t>
  </si>
  <si>
    <t>Usilampatti</t>
  </si>
  <si>
    <t>Utraula</t>
  </si>
  <si>
    <t>Uttamapä Laiyam</t>
  </si>
  <si>
    <t>UttamapÄlaiyam</t>
  </si>
  <si>
    <t>Uttarkä Shi</t>
  </si>
  <si>
    <t>UttarkÄshi</t>
  </si>
  <si>
    <t>Uttiramerå «r</t>
  </si>
  <si>
    <t>UttiramerÅ«r</t>
  </si>
  <si>
    <t>V.S.K.Valasai (Dindigul-Dist.)</t>
  </si>
  <si>
    <t>Vä «rarä jendrapet</t>
  </si>
  <si>
    <t>VÄ«rarÄjendrapet</t>
  </si>
  <si>
    <t>Vä «sä vadar</t>
  </si>
  <si>
    <t>VÄ«sÄvadar</t>
  </si>
  <si>
    <t>Vä da</t>
  </si>
  <si>
    <t>VÄda</t>
  </si>
  <si>
    <t>Vä Dippatti</t>
  </si>
  <si>
    <t>VÄdippatti</t>
  </si>
  <si>
    <t>Vä Sco da Gä Ma</t>
  </si>
  <si>
    <t>VÄsco Da GÄma</t>
  </si>
  <si>
    <t>Vä sudvanallå «r</t>
  </si>
  <si>
    <t>VÄsudevanallÅ«r</t>
  </si>
  <si>
    <t>Vadakku valliyå «r</t>
  </si>
  <si>
    <t>Vadakku ValliyÅ«r</t>
  </si>
  <si>
    <t>Vadamadurai</t>
  </si>
  <si>
    <t>Vadlapå «di</t>
  </si>
  <si>
    <t>VadlapÅ«di</t>
  </si>
  <si>
    <t>Vadnagar</t>
  </si>
  <si>
    <t>Vadodara</t>
  </si>
  <si>
    <t>Vaijä Pur</t>
  </si>
  <si>
    <t>VaijÄpur</t>
  </si>
  <si>
    <t>Vaikam</t>
  </si>
  <si>
    <t>Valabhä «pur</t>
  </si>
  <si>
    <t>ValabhÄ«pur</t>
  </si>
  <si>
    <t>Vallabh Vidyanagar</t>
  </si>
  <si>
    <t>Valparai</t>
  </si>
  <si>
    <t>Valsä d</t>
  </si>
  <si>
    <t>ValsÄd</t>
  </si>
  <si>
    <t>Vandavä Si</t>
  </si>
  <si>
    <t>VandavÄsi</t>
  </si>
  <si>
    <t>Vaniyambadi</t>
  </si>
  <si>
    <t>VAPI</t>
  </si>
  <si>
    <t>Vapi</t>
  </si>
  <si>
    <t>Varanasi</t>
  </si>
  <si>
    <t>Varangaon</t>
  </si>
  <si>
    <t>Varkala</t>
  </si>
  <si>
    <t>Vasa</t>
  </si>
  <si>
    <t>Vasind</t>
  </si>
  <si>
    <t>VatTalkundu</t>
  </si>
  <si>
    <t>Vattalkundu</t>
  </si>
  <si>
    <t>Vayalä r</t>
  </si>
  <si>
    <t>VayalÄr</t>
  </si>
  <si>
    <t>Vedaraniyam</t>
  </si>
  <si>
    <t>Vejalpur</t>
  </si>
  <si>
    <t>Vellore</t>
  </si>
  <si>
    <t>Velur</t>
  </si>
  <si>
    <t>Vemalwä da</t>
  </si>
  <si>
    <t>VemalwÄda</t>
  </si>
  <si>
    <t>Venkatagiri</t>
  </si>
  <si>
    <t>Vepagunta</t>
  </si>
  <si>
    <t>Verä Val</t>
  </si>
  <si>
    <t>VerÄval</t>
  </si>
  <si>
    <t>Vetapä lem</t>
  </si>
  <si>
    <t>VetapÄlem</t>
  </si>
  <si>
    <t>Vettå «r</t>
  </si>
  <si>
    <t>VettÅ«r</t>
  </si>
  <si>
    <t>Vettaikkaranpudur</t>
  </si>
  <si>
    <t>Vidisha</t>
  </si>
  <si>
    <t>Vijä Pur</t>
  </si>
  <si>
    <t>VijÄpur</t>
  </si>
  <si>
    <t>Vijayapura</t>
  </si>
  <si>
    <t>Vijayawada</t>
  </si>
  <si>
    <t>Vikä rä bä d</t>
  </si>
  <si>
    <t>VikÄrÄbÄd</t>
  </si>
  <si>
    <t>Villupuram</t>
  </si>
  <si>
    <t>Vinukonda</t>
  </si>
  <si>
    <t>Virä r</t>
  </si>
  <si>
    <t>VirÄr</t>
  </si>
  <si>
    <t>Viravanallå «r</t>
  </si>
  <si>
    <t>ViravanallÅ«r</t>
  </si>
  <si>
    <t>Virudunagar</t>
  </si>
  <si>
    <t>Visakhapatnam</t>
  </si>
  <si>
    <t>Visnagar</t>
  </si>
  <si>
    <t>Vite</t>
  </si>
  <si>
    <t>Vizianagaram</t>
  </si>
  <si>
    <t>Vriddhä chalam</t>
  </si>
  <si>
    <t>VriddhÄchalam</t>
  </si>
  <si>
    <t>Vrindä van</t>
  </si>
  <si>
    <t>VrindÄvan</t>
  </si>
  <si>
    <t>Vuyyå «ru</t>
  </si>
  <si>
    <t>VuyyÅ«ru</t>
  </si>
  <si>
    <t>Vyä ra</t>
  </si>
  <si>
    <t>VyÄra</t>
  </si>
  <si>
    <t>Wä Di</t>
  </si>
  <si>
    <t>WÄdi</t>
  </si>
  <si>
    <t>Wä nkä Ner</t>
  </si>
  <si>
    <t>WÄnkÄner</t>
  </si>
  <si>
    <t>Wä rä seonä «</t>
  </si>
  <si>
    <t>WÄrÄseonÄ«</t>
  </si>
  <si>
    <t>Wä ris Alä «ganj</t>
  </si>
  <si>
    <t>WÄris AlÄ«ganj</t>
  </si>
  <si>
    <t>Wä shä «m</t>
  </si>
  <si>
    <t>WÄshÄ«m</t>
  </si>
  <si>
    <t>Wai</t>
  </si>
  <si>
    <t>Walajapet</t>
  </si>
  <si>
    <t>Wani</t>
  </si>
  <si>
    <t>WanParti</t>
  </si>
  <si>
    <t>Wanparti</t>
  </si>
  <si>
    <t>Warangal</t>
  </si>
  <si>
    <t>Wardha</t>
  </si>
  <si>
    <t>Warora</t>
  </si>
  <si>
    <t>Warud</t>
  </si>
  <si>
    <t>Wazä «rganj</t>
  </si>
  <si>
    <t>WazÄ«rganj</t>
  </si>
  <si>
    <t>Wellington</t>
  </si>
  <si>
    <t>Nós somos</t>
  </si>
  <si>
    <t>Wer</t>
  </si>
  <si>
    <t>Wokha</t>
  </si>
  <si>
    <t>Yä dgä «r</t>
  </si>
  <si>
    <t>YÄdgÄ«r</t>
  </si>
  <si>
    <t>Yä Val</t>
  </si>
  <si>
    <t>YÄval</t>
  </si>
  <si>
    <t>Yamunä Nagar</t>
  </si>
  <si>
    <t>YamunÄnagar</t>
  </si>
  <si>
    <t>Yanam</t>
  </si>
  <si>
    <t>Yanamalakuduru</t>
  </si>
  <si>
    <t>Yavatmä l</t>
  </si>
  <si>
    <t>YavatmÄl</t>
  </si>
  <si>
    <t>Yelahanka</t>
  </si>
  <si>
    <t>Yellä Pur</t>
  </si>
  <si>
    <t>YellÄpur</t>
  </si>
  <si>
    <t>Yellandu</t>
  </si>
  <si>
    <t>Yeola</t>
  </si>
  <si>
    <t>Zahirä Bä d</t>
  </si>
  <si>
    <t>ZahirÄbÄd</t>
  </si>
  <si>
    <t>Zaidpur</t>
  </si>
  <si>
    <t>Zamä nia</t>
  </si>
  <si>
    <t>ZamÄnia</t>
  </si>
  <si>
    <t>Zira</t>
  </si>
  <si>
    <t>Zunheboto</t>
  </si>
  <si>
    <t>Abepura</t>
  </si>
  <si>
    <t>Indonesia</t>
  </si>
  <si>
    <t>Papua</t>
  </si>
  <si>
    <t>Adiwerna</t>
  </si>
  <si>
    <t>Central Java</t>
  </si>
  <si>
    <t>Amahai</t>
  </si>
  <si>
    <t>Maluku</t>
  </si>
  <si>
    <t>Ambarawa</t>
  </si>
  <si>
    <t>Ambon</t>
  </si>
  <si>
    <t>Amuntai</t>
  </si>
  <si>
    <t>South Kalimantan</t>
  </si>
  <si>
    <t>Arjawinangun</t>
  </si>
  <si>
    <t>West Java</t>
  </si>
  <si>
    <t>Astanajapura</t>
  </si>
  <si>
    <t>Atambua</t>
  </si>
  <si>
    <t>East Nusa Tenggara</t>
  </si>
  <si>
    <t>Babat</t>
  </si>
  <si>
    <t>East Java</t>
  </si>
  <si>
    <t>Baekrajan</t>
  </si>
  <si>
    <t>Balaipungut</t>
  </si>
  <si>
    <t>Riau</t>
  </si>
  <si>
    <t>BALAPULANG</t>
  </si>
  <si>
    <t>Balapulang</t>
  </si>
  <si>
    <t>Balikpapan</t>
  </si>
  <si>
    <t>East Kalimantan</t>
  </si>
  <si>
    <t>Balung</t>
  </si>
  <si>
    <t>Bambanglipuro</t>
  </si>
  <si>
    <t>Daerah Istimewa Yogyakarta</t>
  </si>
  <si>
    <t>Banda Aceh</t>
  </si>
  <si>
    <t>Aceh</t>
  </si>
  <si>
    <t>Bandar</t>
  </si>
  <si>
    <t>North Sumatra</t>
  </si>
  <si>
    <t>Bandar Lampung</t>
  </si>
  <si>
    <t>Lampung</t>
  </si>
  <si>
    <t>Bandung</t>
  </si>
  <si>
    <t>Bangil</t>
  </si>
  <si>
    <t>Bangkalan</t>
  </si>
  <si>
    <t>Banjar</t>
  </si>
  <si>
    <t>Banjaran</t>
  </si>
  <si>
    <t>Banjarmasin</t>
  </si>
  <si>
    <t>Bantul</t>
  </si>
  <si>
    <t>Banyumas</t>
  </si>
  <si>
    <t>Banyuwangi</t>
  </si>
  <si>
    <t>Barabai</t>
  </si>
  <si>
    <t>Batang</t>
  </si>
  <si>
    <t>Batu</t>
  </si>
  <si>
    <t>Baturaden</t>
  </si>
  <si>
    <t>Baturaja</t>
  </si>
  <si>
    <t>South Sumatra</t>
  </si>
  <si>
    <t>Bekasi</t>
  </si>
  <si>
    <t>Belawan</t>
  </si>
  <si>
    <t>Bengkulu</t>
  </si>
  <si>
    <t>Berastagi</t>
  </si>
  <si>
    <t>Besuki</t>
  </si>
  <si>
    <t>BIMA</t>
  </si>
  <si>
    <t>Bima</t>
  </si>
  <si>
    <t>West Nusa Tenggara</t>
  </si>
  <si>
    <t>Binjai</t>
  </si>
  <si>
    <t>Bireun</t>
  </si>
  <si>
    <t>Bitung</t>
  </si>
  <si>
    <t>North Sulawesi</t>
  </si>
  <si>
    <t>Blitar</t>
  </si>
  <si>
    <t>Blora</t>
  </si>
  <si>
    <t>BOGOR</t>
  </si>
  <si>
    <t>Bogor</t>
  </si>
  <si>
    <t>Bojonegoro</t>
  </si>
  <si>
    <t>Bondowoso</t>
  </si>
  <si>
    <t>Bontang</t>
  </si>
  <si>
    <t>Boyolali</t>
  </si>
  <si>
    <t>Boyolangu</t>
  </si>
  <si>
    <t>Buaran</t>
  </si>
  <si>
    <t>Buduran</t>
  </si>
  <si>
    <t>Bukittinggi</t>
  </si>
  <si>
    <t>West Sumatra</t>
  </si>
  <si>
    <t>Bulakamba</t>
  </si>
  <si>
    <t>Candi Prambanan</t>
  </si>
  <si>
    <t>Caringin</t>
  </si>
  <si>
    <t>Ceper</t>
  </si>
  <si>
    <t>CEPU</t>
  </si>
  <si>
    <t>Cepu</t>
  </si>
  <si>
    <t>Ciamis</t>
  </si>
  <si>
    <t>Ciampea</t>
  </si>
  <si>
    <t>Cibinong</t>
  </si>
  <si>
    <t>Cicurug</t>
  </si>
  <si>
    <t>Cikampek</t>
  </si>
  <si>
    <t>Cikarang</t>
  </si>
  <si>
    <t>Cikupa</t>
  </si>
  <si>
    <t>Cileungsir</t>
  </si>
  <si>
    <t>Cileunyi</t>
  </si>
  <si>
    <t>Cimahi</t>
  </si>
  <si>
    <t>Ciputat</t>
  </si>
  <si>
    <t>Ciranjang-Hilir</t>
  </si>
  <si>
    <t>Ciranjang-hilir</t>
  </si>
  <si>
    <t>Cirebon</t>
  </si>
  <si>
    <t>Citereup</t>
  </si>
  <si>
    <t>Citeureup</t>
  </si>
  <si>
    <t>Cidade de Balikpapan</t>
  </si>
  <si>
    <t>City of Balikpapan</t>
  </si>
  <si>
    <t>Colomadu</t>
  </si>
  <si>
    <t>Comal</t>
  </si>
  <si>
    <t>CURUG</t>
  </si>
  <si>
    <t>Curug</t>
  </si>
  <si>
    <t>Banten</t>
  </si>
  <si>
    <t>Curup</t>
  </si>
  <si>
    <t>Dampit</t>
  </si>
  <si>
    <t>Delanggu</t>
  </si>
  <si>
    <t>Deli tua</t>
  </si>
  <si>
    <t>Deli Tua</t>
  </si>
  <si>
    <t>DeMak</t>
  </si>
  <si>
    <t>Demak</t>
  </si>
  <si>
    <t>Denpasar</t>
  </si>
  <si>
    <t>Depok</t>
  </si>
  <si>
    <t>Diwek</t>
  </si>
  <si>
    <t>Dompu</t>
  </si>
  <si>
    <t>Driyorejo</t>
  </si>
  <si>
    <t>Dukuhturi</t>
  </si>
  <si>
    <t>Dumai</t>
  </si>
  <si>
    <t>Ende</t>
  </si>
  <si>
    <t>Galesong</t>
  </si>
  <si>
    <t>South Sulawesi</t>
  </si>
  <si>
    <t>Gambiran Satu</t>
  </si>
  <si>
    <t>GAMPENGREJO</t>
  </si>
  <si>
    <t>Gampengrejo</t>
  </si>
  <si>
    <t>Gamping lor</t>
  </si>
  <si>
    <t>Gamping Lor</t>
  </si>
  <si>
    <t>Gatak</t>
  </si>
  <si>
    <t>Gebog</t>
  </si>
  <si>
    <t>Gedangan</t>
  </si>
  <si>
    <t>Genteng</t>
  </si>
  <si>
    <t>Godean</t>
  </si>
  <si>
    <t>Gombong</t>
  </si>
  <si>
    <t>Gongdanglegi Kulon</t>
  </si>
  <si>
    <t>Gorontalo</t>
  </si>
  <si>
    <t>Gresik</t>
  </si>
  <si>
    <t>Grogol</t>
  </si>
  <si>
    <t>Indramayu</t>
  </si>
  <si>
    <t>Jacarta</t>
  </si>
  <si>
    <t>Jakarta</t>
  </si>
  <si>
    <t>Jakarta Raya</t>
  </si>
  <si>
    <t>Cidade de Jambi</t>
  </si>
  <si>
    <t>Jambi City</t>
  </si>
  <si>
    <t>Jambi</t>
  </si>
  <si>
    <t>Jaten</t>
  </si>
  <si>
    <t>Jatibarang</t>
  </si>
  <si>
    <t>Jatiroto</t>
  </si>
  <si>
    <t>Jatiwangi</t>
  </si>
  <si>
    <t>Jayapura</t>
  </si>
  <si>
    <t>Jekulo</t>
  </si>
  <si>
    <t>JEMBER</t>
  </si>
  <si>
    <t>Jember</t>
  </si>
  <si>
    <t>Jogonalan</t>
  </si>
  <si>
    <t>Jombang</t>
  </si>
  <si>
    <t>Juwana</t>
  </si>
  <si>
    <t>Kabanjahe</t>
  </si>
  <si>
    <t>Kalianget</t>
  </si>
  <si>
    <t>Kamal</t>
  </si>
  <si>
    <t>Karangampel</t>
  </si>
  <si>
    <t>Karanganom</t>
  </si>
  <si>
    <t>Karangasem</t>
  </si>
  <si>
    <t>Karangsembung</t>
  </si>
  <si>
    <t>Kartasura</t>
  </si>
  <si>
    <t>Kasihan</t>
  </si>
  <si>
    <t>Katabu</t>
  </si>
  <si>
    <t>Sulawesi Tenggara</t>
  </si>
  <si>
    <t>Kawalu</t>
  </si>
  <si>
    <t>Kebomas</t>
  </si>
  <si>
    <t>Kebonarun</t>
  </si>
  <si>
    <t>Kediri</t>
  </si>
  <si>
    <t>Kedungwaru</t>
  </si>
  <si>
    <t>Kedungwuni</t>
  </si>
  <si>
    <t>Kefamenanu</t>
  </si>
  <si>
    <t>KENCONG</t>
  </si>
  <si>
    <t>Kencong</t>
  </si>
  <si>
    <t>Kendari</t>
  </si>
  <si>
    <t>Kepanjen</t>
  </si>
  <si>
    <t>Kertosono</t>
  </si>
  <si>
    <t>Ketanggungan</t>
  </si>
  <si>
    <t>Kijang</t>
  </si>
  <si>
    <t>Riau Islands</t>
  </si>
  <si>
    <t>KISARAN</t>
  </si>
  <si>
    <t>Kisaran</t>
  </si>
  <si>
    <t>Klangenan</t>
  </si>
  <si>
    <t>Klaten</t>
  </si>
  <si>
    <t>Klungkung</t>
  </si>
  <si>
    <t>Kotabumi</t>
  </si>
  <si>
    <t>Cracsaan</t>
  </si>
  <si>
    <t>Kraksaan</t>
  </si>
  <si>
    <t>Kresek</t>
  </si>
  <si>
    <t>Krian</t>
  </si>
  <si>
    <t>Kroya</t>
  </si>
  <si>
    <t>Kuala Tungkal</t>
  </si>
  <si>
    <t>Kualakapuas</t>
  </si>
  <si>
    <t>Central Kalimantan</t>
  </si>
  <si>
    <t>Partido</t>
  </si>
  <si>
    <t>Kudus</t>
  </si>
  <si>
    <t>Kuningan</t>
  </si>
  <si>
    <t>Kupang</t>
  </si>
  <si>
    <t>Kuta</t>
  </si>
  <si>
    <t>Kutoarjo</t>
  </si>
  <si>
    <t>Labuan</t>
  </si>
  <si>
    <t>Labuan Bajo</t>
  </si>
  <si>
    <t>Labuhan Deli</t>
  </si>
  <si>
    <t>Lahat</t>
  </si>
  <si>
    <t>Lamongan</t>
  </si>
  <si>
    <t>Langsa</t>
  </si>
  <si>
    <t>Lasem</t>
  </si>
  <si>
    <t>Lawang</t>
  </si>
  <si>
    <t>Lebaksiu</t>
  </si>
  <si>
    <t>Lembang</t>
  </si>
  <si>
    <t>Lhokseumawe</t>
  </si>
  <si>
    <t>Loa Janan</t>
  </si>
  <si>
    <t>LUBUKLINGGAU</t>
  </si>
  <si>
    <t>Lubuklinggau</t>
  </si>
  <si>
    <t>Lumajang</t>
  </si>
  <si>
    <t>Luwuk</t>
  </si>
  <si>
    <t>Central Sulawesi</t>
  </si>
  <si>
    <t>Madiun</t>
  </si>
  <si>
    <t>Magelang</t>
  </si>
  <si>
    <t>Majalengka</t>
  </si>
  <si>
    <t>Majenang</t>
  </si>
  <si>
    <t>Majene</t>
  </si>
  <si>
    <t>Sulawesi Barat</t>
  </si>
  <si>
    <t>Makassar</t>
  </si>
  <si>
    <t>Malang</t>
  </si>
  <si>
    <t>Manado</t>
  </si>
  <si>
    <t>Mangggar</t>
  </si>
  <si>
    <t>Manggar</t>
  </si>
  <si>
    <t>Bangkaâ€“Belitung Islands</t>
  </si>
  <si>
    <t>Manismata</t>
  </si>
  <si>
    <t>West Kalimantan</t>
  </si>
  <si>
    <t>Manokwari</t>
  </si>
  <si>
    <t>West Papua</t>
  </si>
  <si>
    <t>MARGAHAYUKENCANA</t>
  </si>
  <si>
    <t>Margahayukencana</t>
  </si>
  <si>
    <t>Margasari</t>
  </si>
  <si>
    <t>Martapura</t>
  </si>
  <si>
    <t>Mataram</t>
  </si>
  <si>
    <t>Maumere</t>
  </si>
  <si>
    <t>Medan</t>
  </si>
  <si>
    <t>Melati</t>
  </si>
  <si>
    <t>Mendaha</t>
  </si>
  <si>
    <t>Mertoyudan</t>
  </si>
  <si>
    <t>Metrô</t>
  </si>
  <si>
    <t>Metro</t>
  </si>
  <si>
    <t>Meulaboh</t>
  </si>
  <si>
    <t>Mlonggo</t>
  </si>
  <si>
    <t>Mojoagung</t>
  </si>
  <si>
    <t>Mojokerto</t>
  </si>
  <si>
    <t>MRANGGEN</t>
  </si>
  <si>
    <t>Mranggen</t>
  </si>
  <si>
    <t>Muncar</t>
  </si>
  <si>
    <t>Muntilan</t>
  </si>
  <si>
    <t>Muntok</t>
  </si>
  <si>
    <t>Nabire</t>
  </si>
  <si>
    <t>Negara</t>
  </si>
  <si>
    <t>Nganjuk</t>
  </si>
  <si>
    <t>Ngawi</t>
  </si>
  <si>
    <t>Ngemplak</t>
  </si>
  <si>
    <t>Ngoro</t>
  </si>
  <si>
    <t>Ngunut</t>
  </si>
  <si>
    <t>Paciran</t>
  </si>
  <si>
    <t>Padalarang</t>
  </si>
  <si>
    <t>Padang</t>
  </si>
  <si>
    <t>Padangsidempuan</t>
  </si>
  <si>
    <t>Pageralam</t>
  </si>
  <si>
    <t>Pakisaji</t>
  </si>
  <si>
    <t>Palangkaraya</t>
  </si>
  <si>
    <t>Palembang</t>
  </si>
  <si>
    <t>Palimanan</t>
  </si>
  <si>
    <t>Palopo</t>
  </si>
  <si>
    <t>Palu</t>
  </si>
  <si>
    <t>Pamanukan</t>
  </si>
  <si>
    <t>Pamekasan</t>
  </si>
  <si>
    <t>Pameungpeuk</t>
  </si>
  <si>
    <t>Pamulang</t>
  </si>
  <si>
    <t>Panarukan</t>
  </si>
  <si>
    <t>Pandaan</t>
  </si>
  <si>
    <t>Pandak</t>
  </si>
  <si>
    <t>PandeGlang</t>
  </si>
  <si>
    <t>Pandeglang</t>
  </si>
  <si>
    <t>Pangkalan Brandan</t>
  </si>
  <si>
    <t>Pangkalanbuun</t>
  </si>
  <si>
    <t>Pangkalpinang</t>
  </si>
  <si>
    <t>Panji</t>
  </si>
  <si>
    <t>Pare</t>
  </si>
  <si>
    <t>Parepare</t>
  </si>
  <si>
    <t>Pariaman</t>
  </si>
  <si>
    <t>Parung</t>
  </si>
  <si>
    <t>Pasarkemis</t>
  </si>
  <si>
    <t>Paseh</t>
  </si>
  <si>
    <t>Pasuruan</t>
  </si>
  <si>
    <t>Pati</t>
  </si>
  <si>
    <t>Payakumbuh</t>
  </si>
  <si>
    <t>Pecangaan</t>
  </si>
  <si>
    <t>Pekalongan</t>
  </si>
  <si>
    <t>Pekan Bahapal</t>
  </si>
  <si>
    <t>Pekanbaru</t>
  </si>
  <si>
    <t>Pelabuhanratu</t>
  </si>
  <si>
    <t>Pemalang</t>
  </si>
  <si>
    <t>Pemangkat</t>
  </si>
  <si>
    <t>Pematangsintar</t>
  </si>
  <si>
    <t>Pematangsiantar</t>
  </si>
  <si>
    <t>Perbaungan</t>
  </si>
  <si>
    <t>Percut</t>
  </si>
  <si>
    <t>Petarukan</t>
  </si>
  <si>
    <t>Plumbon</t>
  </si>
  <si>
    <t>Polewali</t>
  </si>
  <si>
    <t>Ponorogo</t>
  </si>
  <si>
    <t>Pontianak</t>
  </si>
  <si>
    <t>Poso</t>
  </si>
  <si>
    <t>Prabumulih</t>
  </si>
  <si>
    <t>Praya</t>
  </si>
  <si>
    <t>Prigen</t>
  </si>
  <si>
    <t>Probolinggo</t>
  </si>
  <si>
    <t>Pundong</t>
  </si>
  <si>
    <t>Purbalingga</t>
  </si>
  <si>
    <t>Purwakarta</t>
  </si>
  <si>
    <t>Purwodadi</t>
  </si>
  <si>
    <t>Purwokerto</t>
  </si>
  <si>
    <t>Rajapolah</t>
  </si>
  <si>
    <t>Randudongkal</t>
  </si>
  <si>
    <t>Rangkasbitung</t>
  </si>
  <si>
    <t>Rantauprapat</t>
  </si>
  <si>
    <t>Rantepao</t>
  </si>
  <si>
    <t>RUBANGAN</t>
  </si>
  <si>
    <t>Rembangan</t>
  </si>
  <si>
    <t>Rengasdengklok</t>
  </si>
  <si>
    <t>Releuet</t>
  </si>
  <si>
    <t>Reuleuet</t>
  </si>
  <si>
    <t>Ruteng</t>
  </si>
  <si>
    <t>Sabang</t>
  </si>
  <si>
    <t>Salatiga</t>
  </si>
  <si>
    <t>Samarinda</t>
  </si>
  <si>
    <t>Sampang</t>
  </si>
  <si>
    <t>Sampit</t>
  </si>
  <si>
    <t>Sawangan</t>
  </si>
  <si>
    <t>Selogiri</t>
  </si>
  <si>
    <t>Semarang</t>
  </si>
  <si>
    <t>Sengkang</t>
  </si>
  <si>
    <t>Sepatan</t>
  </si>
  <si>
    <t>Serang</t>
  </si>
  <si>
    <t>Ser</t>
  </si>
  <si>
    <t>Seririt</t>
  </si>
  <si>
    <t>Serpong</t>
  </si>
  <si>
    <t>Costurar em</t>
  </si>
  <si>
    <t>Sewon</t>
  </si>
  <si>
    <t>Sibolga</t>
  </si>
  <si>
    <t>Sidareja</t>
  </si>
  <si>
    <t>Sindoarjo</t>
  </si>
  <si>
    <t>Sidoarjo</t>
  </si>
  <si>
    <t>Sigli</t>
  </si>
  <si>
    <t>Sijunjung</t>
  </si>
  <si>
    <t>Simpang</t>
  </si>
  <si>
    <t>Singaparna</t>
  </si>
  <si>
    <t>Singaraja</t>
  </si>
  <si>
    <t>Singkawang</t>
  </si>
  <si>
    <t>Singkil</t>
  </si>
  <si>
    <t>Singojuruh</t>
  </si>
  <si>
    <t>SINGOSARI</t>
  </si>
  <si>
    <t>Singosari</t>
  </si>
  <si>
    <t>Sinjai</t>
  </si>
  <si>
    <t>Situbondo</t>
  </si>
  <si>
    <t>Slawi</t>
  </si>
  <si>
    <t>Sleman</t>
  </si>
  <si>
    <t>SOE</t>
  </si>
  <si>
    <t>Soe</t>
  </si>
  <si>
    <t>Sofifi</t>
  </si>
  <si>
    <t>Maluku Utara</t>
  </si>
  <si>
    <t>Sokaraja</t>
  </si>
  <si>
    <t>Soko</t>
  </si>
  <si>
    <t>Solok</t>
  </si>
  <si>
    <t>Soreang</t>
  </si>
  <si>
    <t>Sorong</t>
  </si>
  <si>
    <t>South Tangerang</t>
  </si>
  <si>
    <t>SRAGEN</t>
  </si>
  <si>
    <t>Sragen</t>
  </si>
  <si>
    <t>Srandakan</t>
  </si>
  <si>
    <t>Srono</t>
  </si>
  <si>
    <t>Stabat</t>
  </si>
  <si>
    <t>Sukabumi</t>
  </si>
  <si>
    <t>Sumbawa Besar</t>
  </si>
  <si>
    <t>Sumber</t>
  </si>
  <si>
    <t>Sumberpucung</t>
  </si>
  <si>
    <t>Sumedang Utara</t>
  </si>
  <si>
    <t>SUMENEP</t>
  </si>
  <si>
    <t>Sumenep</t>
  </si>
  <si>
    <t>Sungai Penuh</t>
  </si>
  <si>
    <t>Sungai Raya</t>
  </si>
  <si>
    <t>SunGailiat</t>
  </si>
  <si>
    <t>Sungailiat</t>
  </si>
  <si>
    <t>Sunggal</t>
  </si>
  <si>
    <t>Surabaya</t>
  </si>
  <si>
    <t>Surakarta</t>
  </si>
  <si>
    <t>Tabanan</t>
  </si>
  <si>
    <t>Tangerang</t>
  </si>
  <si>
    <t>Tanggulangin</t>
  </si>
  <si>
    <t>Tanjung Pandan</t>
  </si>
  <si>
    <t>Tanjungagung</t>
  </si>
  <si>
    <t>Tanjungbalai</t>
  </si>
  <si>
    <t>Tanjungpinang</t>
  </si>
  <si>
    <t>Tanjungtiram</t>
  </si>
  <si>
    <t>Tarakan</t>
  </si>
  <si>
    <t>North Kalimantan</t>
  </si>
  <si>
    <t>Tarub</t>
  </si>
  <si>
    <t>Tasikmalaya</t>
  </si>
  <si>
    <t>Tayu</t>
  </si>
  <si>
    <t>Tebinggi</t>
  </si>
  <si>
    <t>Tebingtinggi</t>
  </si>
  <si>
    <t>Tegal</t>
  </si>
  <si>
    <t>Teluk Nibung</t>
  </si>
  <si>
    <t>Teluknaga</t>
  </si>
  <si>
    <t>Terbanggi Besar</t>
  </si>
  <si>
    <t>Ternate</t>
  </si>
  <si>
    <t>Tomohon</t>
  </si>
  <si>
    <t>Tondano</t>
  </si>
  <si>
    <t>Tongging</t>
  </si>
  <si>
    <t>Trenggalek</t>
  </si>
  <si>
    <t>Trucuk</t>
  </si>
  <si>
    <t>Tual</t>
  </si>
  <si>
    <t>Tuban</t>
  </si>
  <si>
    <t>Tulangan Utara</t>
  </si>
  <si>
    <t>Tulungagung</t>
  </si>
  <si>
    <t>Ubud</t>
  </si>
  <si>
    <t>Ungaran</t>
  </si>
  <si>
    <t>Waingapu</t>
  </si>
  <si>
    <t>Wanaraja</t>
  </si>
  <si>
    <t>Wangon</t>
  </si>
  <si>
    <t>Watampone</t>
  </si>
  <si>
    <t>Wedi</t>
  </si>
  <si>
    <t>Welahan</t>
  </si>
  <si>
    <t>Weleri</t>
  </si>
  <si>
    <t>Weru</t>
  </si>
  <si>
    <t>Wiradesa</t>
  </si>
  <si>
    <t>Wongsorejo</t>
  </si>
  <si>
    <t>Wonpringgo</t>
  </si>
  <si>
    <t>Wonopringgo</t>
  </si>
  <si>
    <t>Wonosari</t>
  </si>
  <si>
    <t>Wonosobo</t>
  </si>
  <si>
    <t>Yogyakarta</t>
  </si>
  <si>
    <t>â € 'Ajab Shä «r</t>
  </si>
  <si>
    <t>â€˜Ajab ShÄ«r</t>
  </si>
  <si>
    <t>Iran</t>
  </si>
  <si>
    <t>East Azerbaijan</t>
  </si>
  <si>
    <t>Ä € bä deh</t>
  </si>
  <si>
    <t>Ä€bÄdeh</t>
  </si>
  <si>
    <t>Fars</t>
  </si>
  <si>
    <t>Ä € bdä nä n</t>
  </si>
  <si>
    <t>Ä€bdÄnÄn</t>
  </si>
  <si>
    <t>ÄªlÄm</t>
  </si>
  <si>
    <t>Ä € byek</t>
  </si>
  <si>
    <t>Ä€byek</t>
  </si>
  <si>
    <t>Markazi</t>
  </si>
  <si>
    <t>Ä € mol</t>
  </si>
  <si>
    <t>Ä€mol</t>
  </si>
  <si>
    <t>MÄzandarÄn</t>
  </si>
  <si>
    <t>Ä € stä neh-ye ashrafä «yeh</t>
  </si>
  <si>
    <t>Ä€stÄneh-ye AshrafÄ«yeh</t>
  </si>
  <si>
    <t>GÄ«lÄn</t>
  </si>
  <si>
    <t>Ä € stä rä</t>
  </si>
  <si>
    <t>Ä€stÄrÄ</t>
  </si>
  <si>
    <t>Ä € zä dshahr</t>
  </si>
  <si>
    <t>Ä€zÄdshahr</t>
  </si>
  <si>
    <t>HamadÄn</t>
  </si>
  <si>
    <t>GolestÄn</t>
  </si>
  <si>
    <t>Äªlä m</t>
  </si>
  <si>
    <t>Äªrä nshahr</t>
  </si>
  <si>
    <t>ÄªrÄnshahr</t>
  </si>
  <si>
    <t>Sistan and Baluchestan</t>
  </si>
  <si>
    <t>Äªstgä h-e rä h ä € han-e Garmsä r</t>
  </si>
  <si>
    <t>ÄªstgÄh-e RÄh Ä€han-e GarmsÄr</t>
  </si>
  <si>
    <t>SemnÄn</t>
  </si>
  <si>
    <t>Abadan</t>
  </si>
  <si>
    <t>Khuzestan</t>
  </si>
  <si>
    <t>Abhar</t>
  </si>
  <si>
    <t>Zanjan</t>
  </si>
  <si>
    <t>Aghajari</t>
  </si>
  <si>
    <t>Ahar</t>
  </si>
  <si>
    <t>Ahvaz</t>
  </si>
  <si>
    <t>Akbarä Bä d</t>
  </si>
  <si>
    <t>AkbarÄbÄd</t>
  </si>
  <si>
    <t>Alä «gå« darz</t>
  </si>
  <si>
    <t>AlÄ«gÅ«darz</t>
  </si>
  <si>
    <t>LorestÄn</t>
  </si>
  <si>
    <t>ALESHTAR</t>
  </si>
  <si>
    <t>Aleshtar</t>
  </si>
  <si>
    <t>Alvand</t>
  </si>
  <si>
    <t>Arä k</t>
  </si>
  <si>
    <t>ArÄk</t>
  </si>
  <si>
    <t>Ardabä «l</t>
  </si>
  <si>
    <t>ArdabÄ«l</t>
  </si>
  <si>
    <t>Ardakä n</t>
  </si>
  <si>
    <t>ArdakÄn</t>
  </si>
  <si>
    <t>Yazd</t>
  </si>
  <si>
    <t>Ardestä n</t>
  </si>
  <si>
    <t>ArdestÄn</t>
  </si>
  <si>
    <t>Isfahan</t>
  </si>
  <si>
    <t>Aznä</t>
  </si>
  <si>
    <t>AznÄ</t>
  </si>
  <si>
    <t>Bä «jä r</t>
  </si>
  <si>
    <t>BÄ«jÄr</t>
  </si>
  <si>
    <t>KordestÄn</t>
  </si>
  <si>
    <t>Bå «kä n</t>
  </si>
  <si>
    <t>BÅ«kÄn</t>
  </si>
  <si>
    <t>Ä€zÌ„ÄrbÄyjÄn-e GharbÄ«</t>
  </si>
  <si>
    <t>Bä «Rjand</t>
  </si>
  <si>
    <t>BÄ«rjand</t>
  </si>
  <si>
    <t>KhorÄsÄn-e JonÅ«bÄ«</t>
  </si>
  <si>
    <t>Bä Bol</t>
  </si>
  <si>
    <t>BÄbol</t>
  </si>
  <si>
    <t>Bä Bolsar</t>
  </si>
  <si>
    <t>BÄbolsar</t>
  </si>
  <si>
    <t>Bä fq</t>
  </si>
  <si>
    <t>BÄfq</t>
  </si>
  <si>
    <t>Bä neh</t>
  </si>
  <si>
    <t>BÄneh</t>
  </si>
  <si>
    <t>Bahä r</t>
  </si>
  <si>
    <t>BahÄr</t>
  </si>
  <si>
    <t>Bam</t>
  </si>
  <si>
    <t>Kerman</t>
  </si>
  <si>
    <t>Bandar â € ˜ABBä s</t>
  </si>
  <si>
    <t>Bandar â€˜AbbÄs</t>
  </si>
  <si>
    <t>Hormozgan</t>
  </si>
  <si>
    <t>Bandar-e Anzalä «</t>
  </si>
  <si>
    <t>Bandar-e AnzalÄ«</t>
  </si>
  <si>
    <t>Bandar-e bå «shehr</t>
  </si>
  <si>
    <t>Bandar-e BÅ«shehr</t>
  </si>
  <si>
    <t>Bushehr</t>
  </si>
  <si>
    <t>Bandar-e Ganä Veh</t>
  </si>
  <si>
    <t>Bandar-e GanÄveh</t>
  </si>
  <si>
    <t>Bandar-e Lengeh</t>
  </si>
  <si>
    <t>Bardsä «r</t>
  </si>
  <si>
    <t>BardsÄ«r</t>
  </si>
  <si>
    <t>Behbahä n</t>
  </si>
  <si>
    <t>BehbahÄn</t>
  </si>
  <si>
    <t>Behshahr</t>
  </si>
  <si>
    <t>Bojnå «rd</t>
  </si>
  <si>
    <t>BojnÅ«rd</t>
  </si>
  <si>
    <t>KhorÄsÄn-e ShomÄlÄ«</t>
  </si>
  <si>
    <t>Bonä b</t>
  </si>
  <si>
    <t>BonÄb</t>
  </si>
  <si>
    <t>Borå «Jen</t>
  </si>
  <si>
    <t>BorÅ«jen</t>
  </si>
  <si>
    <t>ChahÄr Maá¸©Äll va BakhtÄ«ÄrÄ«</t>
  </si>
  <si>
    <t>Borå «Jerd</t>
  </si>
  <si>
    <t>BorÅ«jerd</t>
  </si>
  <si>
    <t>Borä Zjä n</t>
  </si>
  <si>
    <t>BorÄzjÄn</t>
  </si>
  <si>
    <t>Chä lå «s</t>
  </si>
  <si>
    <t>ChÄlÅ«s</t>
  </si>
  <si>
    <t>Chabahar</t>
  </si>
  <si>
    <t>Chenä rä n</t>
  </si>
  <si>
    <t>ChenÄrÄn</t>
  </si>
  <si>
    <t>Razavi Khorasan</t>
  </si>
  <si>
    <t>Dä mghä n</t>
  </si>
  <si>
    <t>DÄmghÄn</t>
  </si>
  <si>
    <t>Dä rä b</t>
  </si>
  <si>
    <t>DÄrÄb</t>
  </si>
  <si>
    <t>Damä Vand</t>
  </si>
  <si>
    <t>DamÄvand</t>
  </si>
  <si>
    <t>TehrÄn</t>
  </si>
  <si>
    <t>Darreh Shahr</t>
  </si>
  <si>
    <t>Dehdasht</t>
  </si>
  <si>
    <t>KohgÄ«lÅ«yeh va BÅ«yer Aá¸©mad</t>
  </si>
  <si>
    <t>Dehlorä n</t>
  </si>
  <si>
    <t>DehlorÄn</t>
  </si>
  <si>
    <t>Delä «Jä n</t>
  </si>
  <si>
    <t>DelÄ«jÄn</t>
  </si>
  <si>
    <t>Dogonbadan</t>
  </si>
  <si>
    <t>Dorcheh pä «ä z</t>
  </si>
  <si>
    <t>Dorcheh PÄ«Äz</t>
  </si>
  <si>
    <t>Dowlatä Bä d</t>
  </si>
  <si>
    <t>DowlatÄbÄd</t>
  </si>
  <si>
    <t>Eqbä lä «yeh</t>
  </si>
  <si>
    <t>EqbÄlÄ«yeh</t>
  </si>
  <si>
    <t>Esfarä Yen</t>
  </si>
  <si>
    <t>EsfarÄyen</t>
  </si>
  <si>
    <t>Få «Man</t>
  </si>
  <si>
    <t>FÅ«man</t>
  </si>
  <si>
    <t>Fä «rå« zä bä d</t>
  </si>
  <si>
    <t>FÄ«rÅ«zÄbÄd</t>
  </si>
  <si>
    <t>Fä rsä n</t>
  </si>
  <si>
    <t>FÄrsÄn</t>
  </si>
  <si>
    <t>Falä varjä n</t>
  </si>
  <si>
    <t>FalÄvarjÄn</t>
  </si>
  <si>
    <t>Farrokh Shahr</t>
  </si>
  <si>
    <t>Fasä</t>
  </si>
  <si>
    <t>FasÄ</t>
  </si>
  <si>
    <t>Fereydå «nkenä r</t>
  </si>
  <si>
    <t>FereydÅ«nkenÄr</t>
  </si>
  <si>
    <t>Gerä sh</t>
  </si>
  <si>
    <t>GerÄsh</t>
  </si>
  <si>
    <t>Golpä Yegä n</t>
  </si>
  <si>
    <t>GolpÄyegÄn</t>
  </si>
  <si>
    <t>Gonä Bä d</t>
  </si>
  <si>
    <t>GonÄbÄd</t>
  </si>
  <si>
    <t>Gonbad-e kä vå «s</t>
  </si>
  <si>
    <t>Gonbad-e KÄvÅ«s</t>
  </si>
  <si>
    <t>Gorgä n</t>
  </si>
  <si>
    <t>GorgÄn</t>
  </si>
  <si>
    <t>Hamadä n</t>
  </si>
  <si>
    <t>Harsä «n</t>
  </si>
  <si>
    <t>HarsÄ«n</t>
  </si>
  <si>
    <t>KermÄnshÄh</t>
  </si>
  <si>
    <t>Hashtpar</t>
  </si>
  <si>
    <t>Hashtrå «d</t>
  </si>
  <si>
    <t>HashtrÅ«d</t>
  </si>
  <si>
    <t>Jå «ybä r</t>
  </si>
  <si>
    <t>JÅ«ybÄr</t>
  </si>
  <si>
    <t>Javä nrå «d</t>
  </si>
  <si>
    <t>JavÄnrÅ«d</t>
  </si>
  <si>
    <t>Kå «hdasht</t>
  </si>
  <si>
    <t>KÅ«hdasht</t>
  </si>
  <si>
    <t>Kä «sh</t>
  </si>
  <si>
    <t>KÄ«sh</t>
  </si>
  <si>
    <t>Kä myä rä n</t>
  </si>
  <si>
    <t>KÄmyÄrÄn</t>
  </si>
  <si>
    <t>Kä Shä n</t>
  </si>
  <si>
    <t>KÄshÄn</t>
  </si>
  <si>
    <t>Kä shmar</t>
  </si>
  <si>
    <t>KÄshmar</t>
  </si>
  <si>
    <t>Kä Zerå «n</t>
  </si>
  <si>
    <t>KÄzerÅ«n</t>
  </si>
  <si>
    <t>Kahrä «z</t>
  </si>
  <si>
    <t>KahrÄ«z</t>
  </si>
  <si>
    <t>Kalä Leh</t>
  </si>
  <si>
    <t>KalÄleh</t>
  </si>
  <si>
    <t>Kangä var</t>
  </si>
  <si>
    <t>KangÄvar</t>
  </si>
  <si>
    <t>Karaj</t>
  </si>
  <si>
    <t>Alborz</t>
  </si>
  <si>
    <t>Kelä «shä d va så« darjä n</t>
  </si>
  <si>
    <t>KelÄ«shÄd va SÅ«darjÄn</t>
  </si>
  <si>
    <t>Kermä Nshä h</t>
  </si>
  <si>
    <t>Khalkhä l</t>
  </si>
  <si>
    <t>KhalkhÄl</t>
  </si>
  <si>
    <t>Khomeyn</t>
  </si>
  <si>
    <t>Khomeynä «Shahr</t>
  </si>
  <si>
    <t>KhomeynÄ« Shahr</t>
  </si>
  <si>
    <t>Khorramabad</t>
  </si>
  <si>
    <t>Khorramdarreth</t>
  </si>
  <si>
    <t>Khorramdarreh</t>
  </si>
  <si>
    <t>Khorramshahr</t>
  </si>
  <si>
    <t>Khvä nsä r</t>
  </si>
  <si>
    <t>KhvÄnsÄr</t>
  </si>
  <si>
    <t>Khvoy</t>
  </si>
  <si>
    <t>Langarå «d</t>
  </si>
  <si>
    <t>LangarÅ«d</t>
  </si>
  <si>
    <t>Mä «ä ä jo</t>
  </si>
  <si>
    <t>MÄ«ÄndoÄb</t>
  </si>
  <si>
    <t>Mä «nä b</t>
  </si>
  <si>
    <t>MÄ«nÄb</t>
  </si>
  <si>
    <t>Mahä bä d</t>
  </si>
  <si>
    <t>MahÄbÄd</t>
  </si>
  <si>
    <t>Mahdishahr</t>
  </si>
  <si>
    <t>Mahrä «z</t>
  </si>
  <si>
    <t>MahrÄ«z</t>
  </si>
  <si>
    <t>Malä Rd</t>
  </si>
  <si>
    <t>MalÄrd</t>
  </si>
  <si>
    <t>Malä yer</t>
  </si>
  <si>
    <t>MalÄyer</t>
  </si>
  <si>
    <t>Marand</t>
  </si>
  <si>
    <t>Mashhad</t>
  </si>
  <si>
    <t>Masjed Soleymä n</t>
  </si>
  <si>
    <t>Masjed SoleymÄn</t>
  </si>
  <si>
    <t>Meybod</t>
  </si>
  <si>
    <t>Nå «rä bä d</t>
  </si>
  <si>
    <t>NÅ«rÄbÄd</t>
  </si>
  <si>
    <t>Nä «shä bå« r</t>
  </si>
  <si>
    <t>NÄ«shÄbÅ«r</t>
  </si>
  <si>
    <t>Nahä Vand</t>
  </si>
  <si>
    <t>NahÄvand</t>
  </si>
  <si>
    <t>Najafä Bä d</t>
  </si>
  <si>
    <t>NajafÄbÄd</t>
  </si>
  <si>
    <t>Naqadeh</t>
  </si>
  <si>
    <t>Nazì§arä bä d</t>
  </si>
  <si>
    <t>NazÌ§arÄbÄd</t>
  </si>
  <si>
    <t>Nekä</t>
  </si>
  <si>
    <t>NekÄ</t>
  </si>
  <si>
    <t>Neyrä «z</t>
  </si>
  <si>
    <t>NeyrÄ«z</t>
  </si>
  <si>
    <t>Nothahr</t>
  </si>
  <si>
    <t>Nowshahr</t>
  </si>
  <si>
    <t>Omä «dä« yeh</t>
  </si>
  <si>
    <t>OmÄ«dÄ«yeh</t>
  </si>
  <si>
    <t>Orå «mä« yeh</t>
  </si>
  <si>
    <t>OrÅ«mÄ«yeh</t>
  </si>
  <si>
    <t>Oshnavä «yeh</t>
  </si>
  <si>
    <t>OshnavÄ«yeh</t>
  </si>
  <si>
    <t>Pä «shvä</t>
  </si>
  <si>
    <t>PÄ«shvÄ</t>
  </si>
  <si>
    <t>Pä rsä bä d</t>
  </si>
  <si>
    <t>PÄrsÄbÄd</t>
  </si>
  <si>
    <t>Pä veh</t>
  </si>
  <si>
    <t>PÄveh</t>
  </si>
  <si>
    <t>Filial de Pasragad</t>
  </si>
  <si>
    <t>Pasragad Branch</t>
  </si>
  <si>
    <t>Piranshahr</t>
  </si>
  <si>
    <t>Qå «chä n</t>
  </si>
  <si>
    <t>QÅ«chÄn</t>
  </si>
  <si>
    <t>Qä</t>
  </si>
  <si>
    <t>QÄâ€™en</t>
  </si>
  <si>
    <t>Qaåÿr-e Qand</t>
  </si>
  <si>
    <t>QaÅŸr-e Qand</t>
  </si>
  <si>
    <t>Qahderä «jä n</t>
  </si>
  <si>
    <t>QahderÄ«jÄn</t>
  </si>
  <si>
    <t>Qarah áº ”ä» `™ od dä« n</t>
  </si>
  <si>
    <t>Qarah áº”Ä«Äâ€™ od DÄ«n</t>
  </si>
  <si>
    <t>Qarchak</t>
  </si>
  <si>
    <t>Qazvin</t>
  </si>
  <si>
    <t>QazvÄ«n</t>
  </si>
  <si>
    <t>Qeshm</t>
  </si>
  <si>
    <t>Qom</t>
  </si>
  <si>
    <t>Qorveh</t>
  </si>
  <si>
    <t>Rå «dsar</t>
  </si>
  <si>
    <t>RÅ«dsar</t>
  </si>
  <si>
    <t>Rä Mhormoz</t>
  </si>
  <si>
    <t>RÄmhormoz</t>
  </si>
  <si>
    <t>Rä mshä «r</t>
  </si>
  <si>
    <t>RÄmshÄ«r</t>
  </si>
  <si>
    <t>Rä var</t>
  </si>
  <si>
    <t>RÄvar</t>
  </si>
  <si>
    <t>Rafsanjä n</t>
  </si>
  <si>
    <t>RafsanjÄn</t>
  </si>
  <si>
    <t>Rasht</t>
  </si>
  <si>
    <t>Rehnä n</t>
  </si>
  <si>
    <t>RehnÄn</t>
  </si>
  <si>
    <t>Robä Å £ karä «m</t>
  </si>
  <si>
    <t>RobÄÅ£ KarÄ«m</t>
  </si>
  <si>
    <t>Så «Sangerd</t>
  </si>
  <si>
    <t>SÅ«sangerd</t>
  </si>
  <si>
    <t>Sä Veh</t>
  </si>
  <si>
    <t>SÄveh</t>
  </si>
  <si>
    <t>Sabzevar</t>
  </si>
  <si>
    <t>Salmä s</t>
  </si>
  <si>
    <t>SalmÄs</t>
  </si>
  <si>
    <t>Sanandaj</t>
  </si>
  <si>
    <t>Saqqez</t>
  </si>
  <si>
    <t>Sarakhs</t>
  </si>
  <si>
    <t>Sari</t>
  </si>
  <si>
    <t>Sarpol-e Zì „Ahä B</t>
  </si>
  <si>
    <t>Sarpol-e ZÌ„ahÄb</t>
  </si>
  <si>
    <t>Semä «Rom</t>
  </si>
  <si>
    <t>SemÄ«rom</t>
  </si>
  <si>
    <t>Semnä n</t>
  </si>
  <si>
    <t>Shä «rvä n</t>
  </si>
  <si>
    <t>ShÄ«rvÄn</t>
  </si>
  <si>
    <t>Shå «sh</t>
  </si>
  <si>
    <t>ShÅ«sh</t>
  </si>
  <si>
    <t>Shå «shtar</t>
  </si>
  <si>
    <t>ShÅ«shtar</t>
  </si>
  <si>
    <t>Shä degä n</t>
  </si>
  <si>
    <t>ShÄdegÄn</t>
  </si>
  <si>
    <t>Shä hä «n dezh</t>
  </si>
  <si>
    <t>ShÄhÄ«n Dezh</t>
  </si>
  <si>
    <t>Shä hreáº • ä</t>
  </si>
  <si>
    <t>ShÄhreáº•Ä</t>
  </si>
  <si>
    <t>Shahrä «ä r</t>
  </si>
  <si>
    <t>ShahrÄ«Är</t>
  </si>
  <si>
    <t>Shahr-e Bä Bak</t>
  </si>
  <si>
    <t>Shahr-e BÄbak</t>
  </si>
  <si>
    <t>Shahre Jadide eisheh</t>
  </si>
  <si>
    <t>Shahre Jadide Andisheh</t>
  </si>
  <si>
    <t>Shahr-e Kord</t>
  </si>
  <si>
    <t>Shahrud</t>
  </si>
  <si>
    <t>Shiraz</t>
  </si>
  <si>
    <t>Sirjan</t>
  </si>
  <si>
    <t>Sonqor</t>
  </si>
  <si>
    <t>Tä Kestä n</t>
  </si>
  <si>
    <t>TÄkestÄn</t>
  </si>
  <si>
    <t>Tä ybä d</t>
  </si>
  <si>
    <t>TÄybÄd</t>
  </si>
  <si>
    <t>Tabas</t>
  </si>
  <si>
    <t>Tabriz</t>
  </si>
  <si>
    <t>Taft</t>
  </si>
  <si>
    <t>Takä b</t>
  </si>
  <si>
    <t>TakÄb</t>
  </si>
  <si>
    <t>Teerã</t>
  </si>
  <si>
    <t>Tehran</t>
  </si>
  <si>
    <t>Tonekä Bon</t>
  </si>
  <si>
    <t>TonekÄbon</t>
  </si>
  <si>
    <t>Torbat-e á¸ëeydarä «yeh</t>
  </si>
  <si>
    <t>Torbat-e á¸¨eydarÄ«yeh</t>
  </si>
  <si>
    <t>Torbat-e Jä m</t>
  </si>
  <si>
    <t>Torbat-e JÄm</t>
  </si>
  <si>
    <t>Varä mä «n</t>
  </si>
  <si>
    <t>VarÄmÄ«n</t>
  </si>
  <si>
    <t>Yasuj</t>
  </si>
  <si>
    <t>Zä Bol</t>
  </si>
  <si>
    <t>ZÄbol</t>
  </si>
  <si>
    <t>Zahedan</t>
  </si>
  <si>
    <t>Zanjä n</t>
  </si>
  <si>
    <t>ZanjÄn</t>
  </si>
  <si>
    <t>Zarand</t>
  </si>
  <si>
    <t>á¸ëadä «Thah</t>
  </si>
  <si>
    <t>á¸¨adÄ«thah</t>
  </si>
  <si>
    <t>Iraq</t>
  </si>
  <si>
    <t>Anbar</t>
  </si>
  <si>
    <t>Á¸ALABJAH</t>
  </si>
  <si>
    <t>á¸¨alabjah</t>
  </si>
  <si>
    <t>As SulaymÄnÄ«yah</t>
  </si>
  <si>
    <t>â € 'Afak</t>
  </si>
  <si>
    <t>â€˜Afak</t>
  </si>
  <si>
    <t>Al QÄdisÄ«yah</t>
  </si>
  <si>
    <t>â € ˜alä «al gharbä«</t>
  </si>
  <si>
    <t>â€˜AlÄ« al GharbÄ«</t>
  </si>
  <si>
    <t>Maysan</t>
  </si>
  <si>
    <t>â € 'ANAT AL QADä «mah</t>
  </si>
  <si>
    <t>â€˜Anat al QadÄ«mah</t>
  </si>
  <si>
    <t>â € ˜Aqrah</t>
  </si>
  <si>
    <t>â€˜Aqrah</t>
  </si>
  <si>
    <t>NÄ«nawÃ¡</t>
  </si>
  <si>
    <t>Aåero Åžuwayrah</t>
  </si>
  <si>
    <t>AÅŸ Åžuwayrah</t>
  </si>
  <si>
    <t>WÄsiÅ£</t>
  </si>
  <si>
    <t>Abå «ghurayb</t>
  </si>
  <si>
    <t>AbÅ« Ghurayb</t>
  </si>
  <si>
    <t>Mayorality of Baghdad</t>
  </si>
  <si>
    <t>Ad dä «wä nä« yah</t>
  </si>
  <si>
    <t>Ad DÄ«wÄnÄ«yah</t>
  </si>
  <si>
    <t>Ad dujayl</t>
  </si>
  <si>
    <t>Ad Dujayl</t>
  </si>
  <si>
    <t>Salah ad Din Governorate</t>
  </si>
  <si>
    <t>Al á¸ëayy</t>
  </si>
  <si>
    <t>Al á¸¨ayy</t>
  </si>
  <si>
    <t>Al Á¸ëillah</t>
  </si>
  <si>
    <t>Al á¸¨illah</t>
  </si>
  <si>
    <t>BÄbil</t>
  </si>
  <si>
    <t>Al â € ˜amä rah</t>
  </si>
  <si>
    <t>Al â€˜AmÄrah</t>
  </si>
  <si>
    <t>Al â € ˜ Azä «zä« yah</t>
  </si>
  <si>
    <t>Al â€˜AzÄ«zÄ«yah</t>
  </si>
  <si>
    <t>Al Baåÿrah al Qadä «mah</t>
  </si>
  <si>
    <t>Al BaÅŸrah al QadÄ«mah</t>
  </si>
  <si>
    <t>Basra Governorate</t>
  </si>
  <si>
    <t>Al fä w</t>
  </si>
  <si>
    <t>Al FÄw</t>
  </si>
  <si>
    <t>Al Fallå «Jah</t>
  </si>
  <si>
    <t>Al FallÅ«jah</t>
  </si>
  <si>
    <t>Al Hä Rithah</t>
  </si>
  <si>
    <t>Al HÄrithah</t>
  </si>
  <si>
    <t>Al Hindä Yah</t>
  </si>
  <si>
    <t>Al HindÄ«yah</t>
  </si>
  <si>
    <t>KarbalÄÊ¼</t>
  </si>
  <si>
    <t>Al kå «t</t>
  </si>
  <si>
    <t>Al KÅ«t</t>
  </si>
  <si>
    <t>Al mawåÿil al jadä «dah</t>
  </si>
  <si>
    <t>Al MawÅŸil al JadÄ«dah</t>
  </si>
  <si>
    <t>Al miqdä dä «yah</t>
  </si>
  <si>
    <t>Al MiqdÄdÄ«yah</t>
  </si>
  <si>
    <t>DiyÄlÃ¡</t>
  </si>
  <si>
    <t>Al Mishkhä b</t>
  </si>
  <si>
    <t>Al MishkhÄb</t>
  </si>
  <si>
    <t>An Najaf</t>
  </si>
  <si>
    <t>Al Musayyyib</t>
  </si>
  <si>
    <t>Al Musayyib</t>
  </si>
  <si>
    <t>Al-Hamdaniya</t>
  </si>
  <si>
    <t>Um nä Åÿirä «yah</t>
  </si>
  <si>
    <t>An NÄÅŸirÄ«yah</t>
  </si>
  <si>
    <t>Dhi Qar</t>
  </si>
  <si>
    <t>Ar ruå £ bah</t>
  </si>
  <si>
    <t>Ar RuÅ£bah</t>
  </si>
  <si>
    <t>Ar rumaythah</t>
  </si>
  <si>
    <t>Ar Rumaythah</t>
  </si>
  <si>
    <t>Al MuthannÃ¡</t>
  </si>
  <si>
    <t>Como Samawah</t>
  </si>
  <si>
    <t>As Samawah</t>
  </si>
  <si>
    <t>Como Sulaymä nä «yah</t>
  </si>
  <si>
    <t>Ash Shä mä «yah</t>
  </si>
  <si>
    <t>Ash ShÄmÄ«yah</t>
  </si>
  <si>
    <t>Ash Shaå £ rah</t>
  </si>
  <si>
    <t>Ash ShaÅ£rah</t>
  </si>
  <si>
    <t>Az Zubayr</t>
  </si>
  <si>
    <t>Bagdá</t>
  </si>
  <si>
    <t>Baghdad</t>
  </si>
  <si>
    <t>Balad</t>
  </si>
  <si>
    <t>Baqubah</t>
  </si>
  <si>
    <t>Basrah</t>
  </si>
  <si>
    <t>Bayjä «</t>
  </si>
  <si>
    <t>BayjÄ«</t>
  </si>
  <si>
    <t>Baynjiwayn</t>
  </si>
  <si>
    <t>Dihok</t>
  </si>
  <si>
    <t>DahÅ«k</t>
  </si>
  <si>
    <t>Erbil</t>
  </si>
  <si>
    <t>ArbÄ«l</t>
  </si>
  <si>
    <t>Chapéu</t>
  </si>
  <si>
    <t>HÄ«t</t>
  </si>
  <si>
    <t>Imam Qasim</t>
  </si>
  <si>
    <t>Jamjamä l</t>
  </si>
  <si>
    <t>JamjamÄl</t>
  </si>
  <si>
    <t>Karbala</t>
  </si>
  <si>
    <t>Khä liåero</t>
  </si>
  <si>
    <t>KhÄliÅŸ</t>
  </si>
  <si>
    <t>Kifrä «</t>
  </si>
  <si>
    <t>KifrÄ«</t>
  </si>
  <si>
    <t>Kirkuk</t>
  </si>
  <si>
    <t>At TaÊ¼mÄ«m</t>
  </si>
  <si>
    <t>Koysinceq</t>
  </si>
  <si>
    <t>Kufa</t>
  </si>
  <si>
    <t>Mandalä «</t>
  </si>
  <si>
    <t>MandalÄ«</t>
  </si>
  <si>
    <t>Mosul</t>
  </si>
  <si>
    <t>Nä á¸ © ä «yat saddat al hindä« yah</t>
  </si>
  <si>
    <t>NÄá¸©Ä«yat Saddat al HindÄ«yah</t>
  </si>
  <si>
    <t>Nä á¸ © iyat al fuhå «d</t>
  </si>
  <si>
    <t>NÄá¸©iyat al FuhÅ«d</t>
  </si>
  <si>
    <t>Nä á¸ © iyat Ash Shinä fä «yah</t>
  </si>
  <si>
    <t>NÄá¸©iyat ash ShinÄfÄ«yah</t>
  </si>
  <si>
    <t>Nahiyat Ghammas</t>
  </si>
  <si>
    <t>Najaf</t>
  </si>
  <si>
    <t>Rä wah</t>
  </si>
  <si>
    <t>RÄwah</t>
  </si>
  <si>
    <t>Ramadi</t>
  </si>
  <si>
    <t>Ruwä ndiz</t>
  </si>
  <si>
    <t>RuwÄndiz</t>
  </si>
  <si>
    <t>Sä «nah</t>
  </si>
  <si>
    <t>SÄ«nah</t>
  </si>
  <si>
    <t>Sä Marrä â € ™</t>
  </si>
  <si>
    <t>SÄmarrÄâ€™</t>
  </si>
  <si>
    <t>Sinjä r</t>
  </si>
  <si>
    <t>SinjÄr</t>
  </si>
  <si>
    <t>Tallkayf</t>
  </si>
  <si>
    <t>Tikrä «t</t>
  </si>
  <si>
    <t>TikrÄ«t</t>
  </si>
  <si>
    <t>Tozkhurmato</t>
  </si>
  <si>
    <t>Umm qaåÿr</t>
  </si>
  <si>
    <t>Umm QaÅŸr</t>
  </si>
  <si>
    <t>Zaxo</t>
  </si>
  <si>
    <t>Um Muileann GCearr</t>
  </si>
  <si>
    <t>An Muileann gCearr</t>
  </si>
  <si>
    <t>Ireland</t>
  </si>
  <si>
    <t>Leinster</t>
  </si>
  <si>
    <t>Athlone</t>
  </si>
  <si>
    <t>Balbriggan</t>
  </si>
  <si>
    <t>Blanchardstown</t>
  </si>
  <si>
    <t>Carlow</t>
  </si>
  <si>
    <t>Celbridge</t>
  </si>
  <si>
    <t>CLUAIN FELEA</t>
  </si>
  <si>
    <t>Cluain Meala</t>
  </si>
  <si>
    <t>Cortiça</t>
  </si>
  <si>
    <t>Cork</t>
  </si>
  <si>
    <t>Dü Laoghaire</t>
  </si>
  <si>
    <t>DÃºn Laoghaire</t>
  </si>
  <si>
    <t>Donaghmede</t>
  </si>
  <si>
    <t>Drogheda</t>
  </si>
  <si>
    <t>Droichead Nua</t>
  </si>
  <si>
    <t>Dublin</t>
  </si>
  <si>
    <t>Dundalk</t>
  </si>
  <si>
    <t>Ennis</t>
  </si>
  <si>
    <t>Finglas</t>
  </si>
  <si>
    <t>Gaillimh</t>
  </si>
  <si>
    <t>Connaught</t>
  </si>
  <si>
    <t>Kilkenny</t>
  </si>
  <si>
    <t>Leixlip</t>
  </si>
  <si>
    <t>Letterkenny</t>
  </si>
  <si>
    <t>Ulster</t>
  </si>
  <si>
    <t>Loch Garman</t>
  </si>
  <si>
    <t>Lucan</t>
  </si>
  <si>
    <t>Luimneach</t>
  </si>
  <si>
    <t>Malahide</t>
  </si>
  <si>
    <t>NaAS</t>
  </si>
  <si>
    <t>Naas</t>
  </si>
  <si>
    <t>Navan</t>
  </si>
  <si>
    <t>Sandyford</t>
  </si>
  <si>
    <t>Sligo</t>
  </si>
  <si>
    <t>Espadas</t>
  </si>
  <si>
    <t>Swords</t>
  </si>
  <si>
    <t>Tallaght</t>
  </si>
  <si>
    <t>TRalee</t>
  </si>
  <si>
    <t>Tralee</t>
  </si>
  <si>
    <t>Waterford</t>
  </si>
  <si>
    <t>Douglas</t>
  </si>
  <si>
    <t>Isle of Man</t>
  </si>
  <si>
    <t>â € ˜afulta '</t>
  </si>
  <si>
    <t>â€˜Afula â€˜Illit</t>
  </si>
  <si>
    <t>Israel</t>
  </si>
  <si>
    <t>Northern District</t>
  </si>
  <si>
    <t>â € ˜akko</t>
  </si>
  <si>
    <t>â€˜Akko</t>
  </si>
  <si>
    <t>â € 'Arad</t>
  </si>
  <si>
    <t>â€˜Arad</t>
  </si>
  <si>
    <t>Southern District</t>
  </si>
  <si>
    <t>Ariel</t>
  </si>
  <si>
    <t>Jerusalem</t>
  </si>
  <si>
    <t>Ashdod</t>
  </si>
  <si>
    <t>Ashqelon</t>
  </si>
  <si>
    <t>Yam de morcego</t>
  </si>
  <si>
    <t>Bat Yam</t>
  </si>
  <si>
    <t>Tel Aviv</t>
  </si>
  <si>
    <t>Beersheba</t>
  </si>
  <si>
    <t>Ben © Beraq</t>
  </si>
  <si>
    <t>BenÃ© Beraq</t>
  </si>
  <si>
    <t>Aposto que ela é um</t>
  </si>
  <si>
    <t>Bet Sheâ€™an</t>
  </si>
  <si>
    <t>Aposta Shemesh</t>
  </si>
  <si>
    <t>Bet Shemesh</t>
  </si>
  <si>
    <t>Dä liyat el karmil</t>
  </si>
  <si>
    <t>DÄliyat el Karmil</t>
  </si>
  <si>
    <t>Haifa</t>
  </si>
  <si>
    <t>Dimona</t>
  </si>
  <si>
    <t>Eágua Á pontaiyiba</t>
  </si>
  <si>
    <t>Eá¹­ á¹¬aiyiba</t>
  </si>
  <si>
    <t>Central District</t>
  </si>
  <si>
    <t>Eilat</t>
  </si>
  <si>
    <t>Er reina</t>
  </si>
  <si>
    <t>Er Reina</t>
  </si>
  <si>
    <t>Giv 'em Shemu' © l</t>
  </si>
  <si>
    <t>Givâ€˜at Shemuâ€™Ã©l</t>
  </si>
  <si>
    <t>Givâ € 'Anayim</t>
  </si>
  <si>
    <t>Givâ€˜atayim</t>
  </si>
  <si>
    <t>Herzliyya</t>
  </si>
  <si>
    <t>Hì ± Adera</t>
  </si>
  <si>
    <t>HÌ±adera</t>
  </si>
  <si>
    <t>Hì ± olon</t>
  </si>
  <si>
    <t>HÌ±olon</t>
  </si>
  <si>
    <t>Hod Hasharon</t>
  </si>
  <si>
    <t>Hod HaSharon</t>
  </si>
  <si>
    <t>Jerusalém</t>
  </si>
  <si>
    <t>Judeida Makr</t>
  </si>
  <si>
    <t>Kannä Kannä</t>
  </si>
  <si>
    <t>Kafr KannÄ</t>
  </si>
  <si>
    <t>Kafr Mandä</t>
  </si>
  <si>
    <t>Kafr MandÄ</t>
  </si>
  <si>
    <t>Kafr qä Sim</t>
  </si>
  <si>
    <t>Kafr QÄsim</t>
  </si>
  <si>
    <t>Karmi 'el</t>
  </si>
  <si>
    <t>Karmiâ€™el</t>
  </si>
  <si>
    <t>Kfar Saba</t>
  </si>
  <si>
    <t>LOD</t>
  </si>
  <si>
    <t>Lod</t>
  </si>
  <si>
    <t>Maalot Tarshä «hä</t>
  </si>
  <si>
    <t>maalot TarshÄ«hÄ</t>
  </si>
  <si>
    <t>Maghä r</t>
  </si>
  <si>
    <t>MaghÄr</t>
  </si>
  <si>
    <t>Mevo betar</t>
  </si>
  <si>
    <t>Mevo Betar</t>
  </si>
  <si>
    <t>Migdal Haâ € ˜EMEQ</t>
  </si>
  <si>
    <t>Migdal Haâ€˜Emeq</t>
  </si>
  <si>
    <t>Modiin</t>
  </si>
  <si>
    <t>Modiin ilit</t>
  </si>
  <si>
    <t>Modiin Ilit</t>
  </si>
  <si>
    <t>Nahariya</t>
  </si>
  <si>
    <t>Nazareth</t>
  </si>
  <si>
    <t>Nesher</t>
  </si>
  <si>
    <t>Ness Ziona</t>
  </si>
  <si>
    <t>Netanya</t>
  </si>
  <si>
    <t>Netivot</t>
  </si>
  <si>
    <t>OFAQIM</t>
  </si>
  <si>
    <t>Ofaqim</t>
  </si>
  <si>
    <t>Ou yehuda</t>
  </si>
  <si>
    <t>Or Yehuda</t>
  </si>
  <si>
    <t>PETAÁRO - TIQWA</t>
  </si>
  <si>
    <t>Petaáº– Tiqwa</t>
  </si>
  <si>
    <t>Qalansuwa</t>
  </si>
  <si>
    <t>Qiryat Ata</t>
  </si>
  <si>
    <t>Qiryat bialik</t>
  </si>
  <si>
    <t>Qiryat Bialik</t>
  </si>
  <si>
    <t>Qiryat gat</t>
  </si>
  <si>
    <t>Qiryat Gat</t>
  </si>
  <si>
    <t>Qiryat moáº • qin</t>
  </si>
  <si>
    <t>Qiryat Moáº•qin</t>
  </si>
  <si>
    <t>Qiryat shemona</t>
  </si>
  <si>
    <t>Qiryat Shemona</t>
  </si>
  <si>
    <t>Qiryat Yam</t>
  </si>
  <si>
    <t>Ra'anana</t>
  </si>
  <si>
    <t>Ramat Gan</t>
  </si>
  <si>
    <t>Ramat Hasharon</t>
  </si>
  <si>
    <t>Ramat HaSharon</t>
  </si>
  <si>
    <t>Ramla</t>
  </si>
  <si>
    <t>Rishon leáº ”iyyon</t>
  </si>
  <si>
    <t>Rishon Leáº”iyyon</t>
  </si>
  <si>
    <t>Rosh haâ € '</t>
  </si>
  <si>
    <t>Rosh Haâ€˜Ayin</t>
  </si>
  <si>
    <t>Safed</t>
  </si>
  <si>
    <t>Sakhnä «n</t>
  </si>
  <si>
    <t>SakhnÄ«n</t>
  </si>
  <si>
    <t>Sederot</t>
  </si>
  <si>
    <t>Tamra</t>
  </si>
  <si>
    <t>Tiberíades</t>
  </si>
  <si>
    <t>Tiberias</t>
  </si>
  <si>
    <t>Tirah</t>
  </si>
  <si>
    <t>Tirat Karmel</t>
  </si>
  <si>
    <t>Umm el faá¸ ¥ m</t>
  </si>
  <si>
    <t>Umm el Faá¸¥m</t>
  </si>
  <si>
    <t>Jerusalém Ocidental</t>
  </si>
  <si>
    <t>West Jerusalem</t>
  </si>
  <si>
    <t>YAFO</t>
  </si>
  <si>
    <t>Yafo</t>
  </si>
  <si>
    <t>Yavné</t>
  </si>
  <si>
    <t>YavnÃ©</t>
  </si>
  <si>
    <t>Yehud</t>
  </si>
  <si>
    <t>ABANO TERME</t>
  </si>
  <si>
    <t>Abano Terme</t>
  </si>
  <si>
    <t>Italy</t>
  </si>
  <si>
    <t>Veneto</t>
  </si>
  <si>
    <t>Abbiategrasso</t>
  </si>
  <si>
    <t>Lombardy</t>
  </si>
  <si>
    <t>Acerra</t>
  </si>
  <si>
    <t>Campania</t>
  </si>
  <si>
    <t>ACI Castello</t>
  </si>
  <si>
    <t>Aci Castello</t>
  </si>
  <si>
    <t>Sicily</t>
  </si>
  <si>
    <t>ACI Catena</t>
  </si>
  <si>
    <t>Aci Catena</t>
  </si>
  <si>
    <t>Antica de Fusano-Ostia de Acilia-Castel</t>
  </si>
  <si>
    <t>Acilia-Castel Fusano-Ostia Antica</t>
  </si>
  <si>
    <t>Latium</t>
  </si>
  <si>
    <t>ACIREEE</t>
  </si>
  <si>
    <t>Acireale</t>
  </si>
  <si>
    <t>Acquaviva delle Fonti</t>
  </si>
  <si>
    <t>Apulia</t>
  </si>
  <si>
    <t>ACTI TERME</t>
  </si>
  <si>
    <t>Acqui Terme</t>
  </si>
  <si>
    <t>Piedmont</t>
  </si>
  <si>
    <t>Adelfia</t>
  </si>
  <si>
    <t>Adrano</t>
  </si>
  <si>
    <t>Afragola</t>
  </si>
  <si>
    <t>Agrigento</t>
  </si>
  <si>
    <t>Agropoli</t>
  </si>
  <si>
    <t>Alba</t>
  </si>
  <si>
    <t>Albano Laziale</t>
  </si>
  <si>
    <t>Albenga</t>
  </si>
  <si>
    <t>Liguria</t>
  </si>
  <si>
    <t>Albignasego</t>
  </si>
  <si>
    <t>Alcamo</t>
  </si>
  <si>
    <t>Alessandria</t>
  </si>
  <si>
    <t>Alghero</t>
  </si>
  <si>
    <t>Sardinia</t>
  </si>
  <si>
    <t>Alpignano</t>
  </si>
  <si>
    <t>Altamura</t>
  </si>
  <si>
    <t>Amato</t>
  </si>
  <si>
    <t>Calabria</t>
  </si>
  <si>
    <t>Ancona</t>
  </si>
  <si>
    <t>The Marches</t>
  </si>
  <si>
    <t>Andria</t>
  </si>
  <si>
    <t>ANGRI</t>
  </si>
  <si>
    <t>Angri</t>
  </si>
  <si>
    <t>Anzio</t>
  </si>
  <si>
    <t>Aosta</t>
  </si>
  <si>
    <t>Aosta Valley</t>
  </si>
  <si>
    <t>Aprilia</t>
  </si>
  <si>
    <t>Arcore</t>
  </si>
  <si>
    <t>Ardea</t>
  </si>
  <si>
    <t>Arese</t>
  </si>
  <si>
    <t>Arezzo</t>
  </si>
  <si>
    <t>Tuscany</t>
  </si>
  <si>
    <t>Ariccia</t>
  </si>
  <si>
    <t>Arpino</t>
  </si>
  <si>
    <t>Arzano</t>
  </si>
  <si>
    <t>Arzignano</t>
  </si>
  <si>
    <t>Ascoli piceno</t>
  </si>
  <si>
    <t>Ascoli Piceno</t>
  </si>
  <si>
    <t>Assembléia</t>
  </si>
  <si>
    <t>Assemini</t>
  </si>
  <si>
    <t>Asti</t>
  </si>
  <si>
    <t>Augusta</t>
  </si>
  <si>
    <t>Avellino</t>
  </si>
  <si>
    <t>Aversa</t>
  </si>
  <si>
    <t>Avezzano</t>
  </si>
  <si>
    <t>Abruzzo</t>
  </si>
  <si>
    <t>Avola</t>
  </si>
  <si>
    <t>Bacoli</t>
  </si>
  <si>
    <t>Bagheria</t>
  </si>
  <si>
    <t>Bagnoli</t>
  </si>
  <si>
    <t>Barcellona Pozzo di Gotto</t>
  </si>
  <si>
    <t>Bareggio</t>
  </si>
  <si>
    <t>Bari</t>
  </si>
  <si>
    <t>Barletta</t>
  </si>
  <si>
    <t>Bassano del Grappa</t>
  </si>
  <si>
    <t>Bastia Umbra</t>
  </si>
  <si>
    <t>Bastia umbra</t>
  </si>
  <si>
    <t>Umbria</t>
  </si>
  <si>
    <t>Battipaglia</t>
  </si>
  <si>
    <t>Marina de Bellaria-Ivea</t>
  </si>
  <si>
    <t>Bellaria-Igea Marina</t>
  </si>
  <si>
    <t>Emilia-Romagna</t>
  </si>
  <si>
    <t>Belluno</t>
  </si>
  <si>
    <t>Belpasso</t>
  </si>
  <si>
    <t>Benevento</t>
  </si>
  <si>
    <t>Bergamo</t>
  </si>
  <si>
    <t>Biancavilla</t>
  </si>
  <si>
    <t>Biella</t>
  </si>
  <si>
    <t>Bisceglie</t>
  </si>
  <si>
    <t>Bitonto</t>
  </si>
  <si>
    <t>Bollate</t>
  </si>
  <si>
    <t>Bolonha</t>
  </si>
  <si>
    <t>Bologna</t>
  </si>
  <si>
    <t>Bolzano</t>
  </si>
  <si>
    <t>Trentino-Alto Adige</t>
  </si>
  <si>
    <t>Borgomano</t>
  </si>
  <si>
    <t>Borgomanero</t>
  </si>
  <si>
    <t>Boscoreale</t>
  </si>
  <si>
    <t>Bovisio-Masciago</t>
  </si>
  <si>
    <t>Sutiã</t>
  </si>
  <si>
    <t>Bra</t>
  </si>
  <si>
    <t>Brescia</t>
  </si>
  <si>
    <t>Bressanone</t>
  </si>
  <si>
    <t>BRESSO</t>
  </si>
  <si>
    <t>Bresso</t>
  </si>
  <si>
    <t>Brindisi</t>
  </si>
  <si>
    <t>Bronte</t>
  </si>
  <si>
    <t>BRIGHERIO</t>
  </si>
  <si>
    <t>Brugherio</t>
  </si>
  <si>
    <t>Brusciano</t>
  </si>
  <si>
    <t>BUSSOLENGO</t>
  </si>
  <si>
    <t>Bussolengo</t>
  </si>
  <si>
    <t>Busto Arsizio</t>
  </si>
  <si>
    <t>Cagliari</t>
  </si>
  <si>
    <t>Caivano</t>
  </si>
  <si>
    <t>Caltagirone</t>
  </si>
  <si>
    <t>Caltanissetta</t>
  </si>
  <si>
    <t>Camaiore</t>
  </si>
  <si>
    <t>Campi Bisenzio</t>
  </si>
  <si>
    <t>Campobasso</t>
  </si>
  <si>
    <t>Molise</t>
  </si>
  <si>
    <t>Canicattã</t>
  </si>
  <si>
    <t>CanicattÃ¬</t>
  </si>
  <si>
    <t>Canosa di Puglia</t>
  </si>
  <si>
    <t>Cantão</t>
  </si>
  <si>
    <t>CantÃ¹</t>
  </si>
  <si>
    <t>Capannori</t>
  </si>
  <si>
    <t>Capua</t>
  </si>
  <si>
    <t>Carate Brianza</t>
  </si>
  <si>
    <t>Carbonia</t>
  </si>
  <si>
    <t>Cardito</t>
  </si>
  <si>
    <t>Carini</t>
  </si>
  <si>
    <t>Carmagnola</t>
  </si>
  <si>
    <t>Caronno Persusella</t>
  </si>
  <si>
    <t>Caronno Pertusella</t>
  </si>
  <si>
    <t>Carpi Centro</t>
  </si>
  <si>
    <t>Carrara</t>
  </si>
  <si>
    <t>Casa Santa</t>
  </si>
  <si>
    <t>Casal Di Principe</t>
  </si>
  <si>
    <t>Casal di Principe</t>
  </si>
  <si>
    <t>Casale Monferrato</t>
  </si>
  <si>
    <t>Casalecchio di Reno</t>
  </si>
  <si>
    <t>Casalnuovo di Napoli</t>
  </si>
  <si>
    <t>Casamassima</t>
  </si>
  <si>
    <t>Casarano</t>
  </si>
  <si>
    <t>Casavatore</t>
  </si>
  <si>
    <t>Cascina</t>
  </si>
  <si>
    <t>Caserta</t>
  </si>
  <si>
    <t>Casoria</t>
  </si>
  <si>
    <t>Cassano d'Ada</t>
  </si>
  <si>
    <t>Cassano d'Adda</t>
  </si>
  <si>
    <t>Cassano Magnago</t>
  </si>
  <si>
    <t>Cassino</t>
  </si>
  <si>
    <t>Castel Maggiore</t>
  </si>
  <si>
    <t>Castel Volturno</t>
  </si>
  <si>
    <t>Castelfranco Emilia</t>
  </si>
  <si>
    <t>Castelfranco Veneto</t>
  </si>
  <si>
    <t>CastelLamare di Stabia</t>
  </si>
  <si>
    <t>Castellammare di Stabia</t>
  </si>
  <si>
    <t>Castelvetrano</t>
  </si>
  <si>
    <t>Castiglione Delle Stiviere</t>
  </si>
  <si>
    <t>Castiglione delle Stiviere</t>
  </si>
  <si>
    <t>Castrovillari</t>
  </si>
  <si>
    <t>Catania</t>
  </si>
  <si>
    <t>Catanzaro</t>
  </si>
  <si>
    <t>Cattolica</t>
  </si>
  <si>
    <t>Cava d m tirreni</t>
  </si>
  <si>
    <t>Cava DÃ¨ Tirreni</t>
  </si>
  <si>
    <t>Cecina</t>
  </si>
  <si>
    <t>CEGLIE MESSAPICA</t>
  </si>
  <si>
    <t>Ceglie Messapica</t>
  </si>
  <si>
    <t>CENTO</t>
  </si>
  <si>
    <t>Cento</t>
  </si>
  <si>
    <t>Cercola</t>
  </si>
  <si>
    <t>Cerignola</t>
  </si>
  <si>
    <t>Cernusco Sul Naviglio</t>
  </si>
  <si>
    <t>Cernusco sul Naviglio</t>
  </si>
  <si>
    <t>Cerveteri</t>
  </si>
  <si>
    <t>Cervia</t>
  </si>
  <si>
    <t>Cesano Boscone</t>
  </si>
  <si>
    <t>Cesano Maderno</t>
  </si>
  <si>
    <t>Cesena</t>
  </si>
  <si>
    <t>Cesenatico</t>
  </si>
  <si>
    <t>Chiari</t>
  </si>
  <si>
    <t>Chiavari</t>
  </si>
  <si>
    <t>Chieri</t>
  </si>
  <si>
    <t>Chieti</t>
  </si>
  <si>
    <t>Chioggia</t>
  </si>
  <si>
    <t>Chivasso</t>
  </si>
  <si>
    <t>Ciampino</t>
  </si>
  <si>
    <t>Cinisello Balsamo</t>
  </si>
  <si>
    <t>Ciriã</t>
  </si>
  <si>
    <t>CiriÃ¨</t>
  </si>
  <si>
    <t>Cisterna di latina</t>
  </si>
  <si>
    <t>Cisterna di Latina</t>
  </si>
  <si>
    <t>Cittã di Castello</t>
  </si>
  <si>
    <t>CittÃ  di Castello</t>
  </si>
  <si>
    <t>Civitanova Marche</t>
  </si>
  <si>
    <t>Civitavecchia</t>
  </si>
  <si>
    <t>Colle di Val D'Elsa</t>
  </si>
  <si>
    <t>Colle di Val d'Elsa</t>
  </si>
  <si>
    <t>Colleferro</t>
  </si>
  <si>
    <t>Collegno</t>
  </si>
  <si>
    <t>Cologno Monzese</t>
  </si>
  <si>
    <t>COMISO</t>
  </si>
  <si>
    <t>Comiso</t>
  </si>
  <si>
    <t>Como</t>
  </si>
  <si>
    <t>CONEGLIANO</t>
  </si>
  <si>
    <t>Conegliano</t>
  </si>
  <si>
    <t>Conversano</t>
  </si>
  <si>
    <t>Copertino</t>
  </si>
  <si>
    <t>Corato</t>
  </si>
  <si>
    <t>Cordenons</t>
  </si>
  <si>
    <t>Friuli Venezia Giulia</t>
  </si>
  <si>
    <t>Corigliano Scalo</t>
  </si>
  <si>
    <t>Cormano</t>
  </si>
  <si>
    <t>CORNAREDO</t>
  </si>
  <si>
    <t>Cornaredo</t>
  </si>
  <si>
    <t>Correggio</t>
  </si>
  <si>
    <t>Corsico</t>
  </si>
  <si>
    <t>Cosenza</t>
  </si>
  <si>
    <t>Crema</t>
  </si>
  <si>
    <t>Cremona</t>
  </si>
  <si>
    <t>Crotone</t>
  </si>
  <si>
    <t>Cuneo</t>
  </si>
  <si>
    <t>Cusano Milanino</t>
  </si>
  <si>
    <t>Dalmine</t>
  </si>
  <si>
    <t>Desenzano del Garda</t>
  </si>
  <si>
    <t>Desio</t>
  </si>
  <si>
    <t>Domodossola</t>
  </si>
  <si>
    <t>Eboli</t>
  </si>
  <si>
    <t>Empoli</t>
  </si>
  <si>
    <t>Enna</t>
  </si>
  <si>
    <t>Erba</t>
  </si>
  <si>
    <t>Ercolano</t>
  </si>
  <si>
    <t>Fabriano</t>
  </si>
  <si>
    <t>Faenza</t>
  </si>
  <si>
    <t>Falconara Marittima</t>
  </si>
  <si>
    <t>Fano</t>
  </si>
  <si>
    <t>Fasano</t>
  </si>
  <si>
    <t>Favara</t>
  </si>
  <si>
    <t>Fermo</t>
  </si>
  <si>
    <t>Ferrara</t>
  </si>
  <si>
    <t>Fidenza</t>
  </si>
  <si>
    <t>Fiorano</t>
  </si>
  <si>
    <t>Fiumicino-Isola Sacra</t>
  </si>
  <si>
    <t>Florence</t>
  </si>
  <si>
    <t>Floridia</t>
  </si>
  <si>
    <t>Foggia</t>
  </si>
  <si>
    <t>Foligno</t>
  </si>
  <si>
    <t>Folônica</t>
  </si>
  <si>
    <t>Follonica</t>
  </si>
  <si>
    <t>Fondi</t>
  </si>
  <si>
    <t>Forio</t>
  </si>
  <si>
    <t>Forlã</t>
  </si>
  <si>
    <t>ForlÃ¬</t>
  </si>
  <si>
    <t>Formia</t>
  </si>
  <si>
    <t>Formigine</t>
  </si>
  <si>
    <t>Fornacelle</t>
  </si>
  <si>
    <t>Fossano</t>
  </si>
  <si>
    <t>Francavilla Al Mare</t>
  </si>
  <si>
    <t>Francavilla al Mare</t>
  </si>
  <si>
    <t>Francavilla Fontana</t>
  </si>
  <si>
    <t>Frascati</t>
  </si>
  <si>
    <t>Frattamaggiore</t>
  </si>
  <si>
    <t>Frattaminore</t>
  </si>
  <si>
    <t>Frosinona</t>
  </si>
  <si>
    <t>Frosinone</t>
  </si>
  <si>
    <t>Gaeta</t>
  </si>
  <si>
    <t>Galatina</t>
  </si>
  <si>
    <t>Gallarato</t>
  </si>
  <si>
    <t>Gallarate</t>
  </si>
  <si>
    <t>Gallipoli</t>
  </si>
  <si>
    <t>Garbagnate milanese</t>
  </si>
  <si>
    <t>Garbagnate Milanese</t>
  </si>
  <si>
    <t>Gela</t>
  </si>
  <si>
    <t>Génova</t>
  </si>
  <si>
    <t>Genoa</t>
  </si>
  <si>
    <t>Genzano di Roma</t>
  </si>
  <si>
    <t>Ghedi</t>
  </si>
  <si>
    <t>Giarre</t>
  </si>
  <si>
    <t>Ginosa</t>
  </si>
  <si>
    <t>Gioia del Colle</t>
  </si>
  <si>
    <t>Gioia Tauro</t>
  </si>
  <si>
    <t>Giovinazzo</t>
  </si>
  <si>
    <t>Giugliano na Campânia</t>
  </si>
  <si>
    <t>Giugliano in Campania</t>
  </si>
  <si>
    <t>Giulianova</t>
  </si>
  <si>
    <t>Giussano</t>
  </si>
  <si>
    <t>Gorgonzola</t>
  </si>
  <si>
    <t>Gorizia</t>
  </si>
  <si>
    <t>Gragnano</t>
  </si>
  <si>
    <t>Gravina di Catania</t>
  </si>
  <si>
    <t>Gravina em Puglia</t>
  </si>
  <si>
    <t>Gravina in Puglia</t>
  </si>
  <si>
    <t>GrossEto</t>
  </si>
  <si>
    <t>Grosseto</t>
  </si>
  <si>
    <t>Grottaferrata</t>
  </si>
  <si>
    <t>Grottaglie</t>
  </si>
  <si>
    <t>Grugliasco</t>
  </si>
  <si>
    <t>GRUMO NEVANO</t>
  </si>
  <si>
    <t>Grumo Nevano</t>
  </si>
  <si>
    <t>Guidonia</t>
  </si>
  <si>
    <t>Guidonia Montecelio</t>
  </si>
  <si>
    <t>Iglesias</t>
  </si>
  <si>
    <t>Imola</t>
  </si>
  <si>
    <t>Imperia</t>
  </si>
  <si>
    <t>Ischia</t>
  </si>
  <si>
    <t>Ischia Porto</t>
  </si>
  <si>
    <t>ISERNIA</t>
  </si>
  <si>
    <t>Isernia</t>
  </si>
  <si>
    <t>Ivrea</t>
  </si>
  <si>
    <t>Jesi</t>
  </si>
  <si>
    <t>La Spezia</t>
  </si>
  <si>
    <t>Ladispoli</t>
  </si>
  <si>
    <t>LAINATE</t>
  </si>
  <si>
    <t>Lainate</t>
  </si>
  <si>
    <t>Lamezia Terme</t>
  </si>
  <si>
    <t>Lancenigo-Villorba</t>
  </si>
  <si>
    <t>Lanciano</t>
  </si>
  <si>
    <t>L'Aquila</t>
  </si>
  <si>
    <t>Latina</t>
  </si>
  <si>
    <t>Lecce</t>
  </si>
  <si>
    <t>LECCO</t>
  </si>
  <si>
    <t>Lecco</t>
  </si>
  <si>
    <t>Legnago</t>
  </si>
  <si>
    <t>LEGNANO</t>
  </si>
  <si>
    <t>Legnano</t>
  </si>
  <si>
    <t>Lentini</t>
  </si>
  <si>
    <t>Licata</t>
  </si>
  <si>
    <t>Lido</t>
  </si>
  <si>
    <t>Lido di Ostia</t>
  </si>
  <si>
    <t>Limbo</t>
  </si>
  <si>
    <t>Limbiate</t>
  </si>
  <si>
    <t>Lissone</t>
  </si>
  <si>
    <t>Livorno</t>
  </si>
  <si>
    <t>Lodi</t>
  </si>
  <si>
    <t>Lucca</t>
  </si>
  <si>
    <t>Lucera</t>
  </si>
  <si>
    <t>Lugo</t>
  </si>
  <si>
    <t>Lumezzane</t>
  </si>
  <si>
    <t>Macerata</t>
  </si>
  <si>
    <t>Maddaloni</t>
  </si>
  <si>
    <t>Magenta</t>
  </si>
  <si>
    <t>Malnato</t>
  </si>
  <si>
    <t>Malnate</t>
  </si>
  <si>
    <t>Manduria</t>
  </si>
  <si>
    <t>Manfredonia</t>
  </si>
  <si>
    <t>Mantova</t>
  </si>
  <si>
    <t>Marano di Napoli</t>
  </si>
  <si>
    <t>Marcianise</t>
  </si>
  <si>
    <t>Mariano comense</t>
  </si>
  <si>
    <t>Mariano Comense</t>
  </si>
  <si>
    <t>Marigliano</t>
  </si>
  <si>
    <t>Marina di Ardea-Tor San Lorenzo</t>
  </si>
  <si>
    <t>Marina di Carrara</t>
  </si>
  <si>
    <t>Marino</t>
  </si>
  <si>
    <t>Marsala</t>
  </si>
  <si>
    <t>Martina Franca</t>
  </si>
  <si>
    <t>Mascalucia</t>
  </si>
  <si>
    <t>Massa</t>
  </si>
  <si>
    <t>Massafra</t>
  </si>
  <si>
    <t>Matera</t>
  </si>
  <si>
    <t>Basilicate</t>
  </si>
  <si>
    <t>Mazara del Vallo</t>
  </si>
  <si>
    <t>Meda</t>
  </si>
  <si>
    <t>Meleglano</t>
  </si>
  <si>
    <t>Melegnano</t>
  </si>
  <si>
    <t>Melito di Napoli</t>
  </si>
  <si>
    <t>Melzo</t>
  </si>
  <si>
    <t>Mentana</t>
  </si>
  <si>
    <t>Merano</t>
  </si>
  <si>
    <t>Mesagne</t>
  </si>
  <si>
    <t>Messina</t>
  </si>
  <si>
    <t>Mestre</t>
  </si>
  <si>
    <t>Milano</t>
  </si>
  <si>
    <t>Milazzo</t>
  </si>
  <si>
    <t>Minturno</t>
  </si>
  <si>
    <t>Mira Taglio</t>
  </si>
  <si>
    <t>Mirandola</t>
  </si>
  <si>
    <t>Mirano</t>
  </si>
  <si>
    <t>Misilmeri</t>
  </si>
  <si>
    <t>Misterbianco</t>
  </si>
  <si>
    <t>Modena</t>
  </si>
  <si>
    <t>Modica</t>
  </si>
  <si>
    <t>Moduguno</t>
  </si>
  <si>
    <t>Modugno</t>
  </si>
  <si>
    <t>Mogliano Veneto</t>
  </si>
  <si>
    <t>Mola di Bari</t>
  </si>
  <si>
    <t>Molfetta</t>
  </si>
  <si>
    <t>Moncalieri</t>
  </si>
  <si>
    <t>Mondovã</t>
  </si>
  <si>
    <t>MondovÃ¬</t>
  </si>
  <si>
    <t>Mondragone</t>
  </si>
  <si>
    <t>Monfalcone</t>
  </si>
  <si>
    <t>Monopoli</t>
  </si>
  <si>
    <t>Monreale</t>
  </si>
  <si>
    <t>Monserrato</t>
  </si>
  <si>
    <t>Montebelluna</t>
  </si>
  <si>
    <t>Montecatini-terme</t>
  </si>
  <si>
    <t>Montecatini-Terme</t>
  </si>
  <si>
    <t>Montecchio Maggiore-Alte Ceccato</t>
  </si>
  <si>
    <t>Montemurlo</t>
  </si>
  <si>
    <t>Monterotondo</t>
  </si>
  <si>
    <t>Monterusciello</t>
  </si>
  <si>
    <t>Montesilvano Marina</t>
  </si>
  <si>
    <t>Montevarchi</t>
  </si>
  <si>
    <t>Montichiari</t>
  </si>
  <si>
    <t>Monza</t>
  </si>
  <si>
    <t>Muggiã</t>
  </si>
  <si>
    <t>MuggiÃ²</t>
  </si>
  <si>
    <t>Mugnano di Napoli</t>
  </si>
  <si>
    <t>Napoli</t>
  </si>
  <si>
    <t>Nardã</t>
  </si>
  <si>
    <t>NardÃ²</t>
  </si>
  <si>
    <t>NERVRANO</t>
  </si>
  <si>
    <t>Nerviano</t>
  </si>
  <si>
    <t>Nettuno</t>
  </si>
  <si>
    <t>Nicastro-Sambiase</t>
  </si>
  <si>
    <t>Nichelino</t>
  </si>
  <si>
    <t>Niscemi</t>
  </si>
  <si>
    <t>Nocera Inferiore</t>
  </si>
  <si>
    <t>Nocera Superiore</t>
  </si>
  <si>
    <t>Noci</t>
  </si>
  <si>
    <t>Noicattaro</t>
  </si>
  <si>
    <t>Noto</t>
  </si>
  <si>
    <t>Nova milanese</t>
  </si>
  <si>
    <t>Nova Milanese</t>
  </si>
  <si>
    <t>Novara</t>
  </si>
  <si>
    <t>Novate milanese</t>
  </si>
  <si>
    <t>Novate Milanese</t>
  </si>
  <si>
    <t>Novi Ligure</t>
  </si>
  <si>
    <t>Nuoro</t>
  </si>
  <si>
    <t>Oderzo</t>
  </si>
  <si>
    <t>Olbia</t>
  </si>
  <si>
    <t>Orbassano</t>
  </si>
  <si>
    <t>Oristano</t>
  </si>
  <si>
    <t>Orta Di Atella</t>
  </si>
  <si>
    <t>Orta di Atella</t>
  </si>
  <si>
    <t>Orta Nova</t>
  </si>
  <si>
    <t>Osimo</t>
  </si>
  <si>
    <t>Ostuni</t>
  </si>
  <si>
    <t>OTTAVIANO</t>
  </si>
  <si>
    <t>Ottaviano</t>
  </si>
  <si>
    <t>Pachino</t>
  </si>
  <si>
    <t>Paderno Dugnano</t>
  </si>
  <si>
    <t>Padova</t>
  </si>
  <si>
    <t>Pagani</t>
  </si>
  <si>
    <t>Palagiano</t>
  </si>
  <si>
    <t>Palageria</t>
  </si>
  <si>
    <t>Palagonia</t>
  </si>
  <si>
    <t>Palazzolo Sull'oglio</t>
  </si>
  <si>
    <t>Palazzolo sull'Oglio</t>
  </si>
  <si>
    <t>Palermo</t>
  </si>
  <si>
    <t>Pallanza-intra-suna</t>
  </si>
  <si>
    <t>Pallanza-Intra-Suna</t>
  </si>
  <si>
    <t>Palma di Montechiaro</t>
  </si>
  <si>
    <t>Palmi</t>
  </si>
  <si>
    <t>Palo del Del Colle</t>
  </si>
  <si>
    <t>Palo del Colle</t>
  </si>
  <si>
    <t>Paolo VI</t>
  </si>
  <si>
    <t>Parabiago</t>
  </si>
  <si>
    <t>Parma</t>
  </si>
  <si>
    <t>Partinico</t>
  </si>
  <si>
    <t>Paternã</t>
  </si>
  <si>
    <t>PaternÃ²</t>
  </si>
  <si>
    <t>Pavia</t>
  </si>
  <si>
    <t>Perugia</t>
  </si>
  <si>
    <t>Pesaro</t>
  </si>
  <si>
    <t>Pescara</t>
  </si>
  <si>
    <t>Piacenza</t>
  </si>
  <si>
    <t>Piazza Armserina</t>
  </si>
  <si>
    <t>Piazza Armerina</t>
  </si>
  <si>
    <t>Pietrasanta</t>
  </si>
  <si>
    <t>Pinerolo</t>
  </si>
  <si>
    <t>Pioltello</t>
  </si>
  <si>
    <t>Piombino</t>
  </si>
  <si>
    <t>Piossasco</t>
  </si>
  <si>
    <t>Pisa</t>
  </si>
  <si>
    <t>Pistoia</t>
  </si>
  <si>
    <t>Poggibonsi</t>
  </si>
  <si>
    <t>Poggiomarino</t>
  </si>
  <si>
    <t>Pomezia</t>
  </si>
  <si>
    <t>Pomigliano d'Arco</t>
  </si>
  <si>
    <t>Pompéia</t>
  </si>
  <si>
    <t>Pompei</t>
  </si>
  <si>
    <t>PONDETERA</t>
  </si>
  <si>
    <t>Pontedera</t>
  </si>
  <si>
    <t>PORDENONA</t>
  </si>
  <si>
    <t>Pordenone</t>
  </si>
  <si>
    <t>Portici</t>
  </si>
  <si>
    <t>Porto Empedocle</t>
  </si>
  <si>
    <t>Porto San Giorgio</t>
  </si>
  <si>
    <t>Porto Sant'elpidio</t>
  </si>
  <si>
    <t>Porto Sant'Elpidio</t>
  </si>
  <si>
    <t>Porto Torres</t>
  </si>
  <si>
    <t>PortoGruaro</t>
  </si>
  <si>
    <t>Portogruaro</t>
  </si>
  <si>
    <t>Potenza</t>
  </si>
  <si>
    <t>Pozzallo</t>
  </si>
  <si>
    <t>Pozzuoli</t>
  </si>
  <si>
    <t>Prato</t>
  </si>
  <si>
    <t>Putignano</t>
  </si>
  <si>
    <t>Qualiano</t>
  </si>
  <si>
    <t>Quarto</t>
  </si>
  <si>
    <t>Quartu Sant'elena</t>
  </si>
  <si>
    <t>Quartu Sant'Elena</t>
  </si>
  <si>
    <t>Quattromiglia</t>
  </si>
  <si>
    <t>Ragusa</t>
  </si>
  <si>
    <t>Rapallo</t>
  </si>
  <si>
    <t>Ravenna</t>
  </si>
  <si>
    <t>Reggio Calabria</t>
  </si>
  <si>
    <t>Reggio Nell'emilia</t>
  </si>
  <si>
    <t>Reggio nell'Emilia</t>
  </si>
  <si>
    <t>Reggio Emilia</t>
  </si>
  <si>
    <t>Rho</t>
  </si>
  <si>
    <t>Ribera</t>
  </si>
  <si>
    <t>Riccione</t>
  </si>
  <si>
    <t>Rieti</t>
  </si>
  <si>
    <t>Rimini</t>
  </si>
  <si>
    <t>Rivoli</t>
  </si>
  <si>
    <t>Rocca di Papa</t>
  </si>
  <si>
    <t>Romano Banco</t>
  </si>
  <si>
    <t>Romano di Lombardia</t>
  </si>
  <si>
    <t>Roma</t>
  </si>
  <si>
    <t>Rome</t>
  </si>
  <si>
    <t>Roseto Degli Abruzzi</t>
  </si>
  <si>
    <t>Roseto degli Abruzzi</t>
  </si>
  <si>
    <t>Rosignano Solvay-Castiglioncello</t>
  </si>
  <si>
    <t>Rosolini</t>
  </si>
  <si>
    <t>Rossano Stazione</t>
  </si>
  <si>
    <t>Rovereto</t>
  </si>
  <si>
    <t>Rovigo</t>
  </si>
  <si>
    <t>Rozzano</t>
  </si>
  <si>
    <t>Rutigliano</t>
  </si>
  <si>
    <t>Ruvo di Puglia</t>
  </si>
  <si>
    <t>Sacile</t>
  </si>
  <si>
    <t>Salerno</t>
  </si>
  <si>
    <t>Salsomaggiore Terme</t>
  </si>
  <si>
    <t>San Benedetto del Tronto</t>
  </si>
  <si>
    <t>San Bonifacio</t>
  </si>
  <si>
    <t>San Cataldo</t>
  </si>
  <si>
    <t>San Donã di Piave</t>
  </si>
  <si>
    <t>San DonÃ  di Piave</t>
  </si>
  <si>
    <t>San Donato Milanês</t>
  </si>
  <si>
    <t>San Donato Milanese</t>
  </si>
  <si>
    <t>San Felice A Cancello</t>
  </si>
  <si>
    <t>San Giorgio A Cremono</t>
  </si>
  <si>
    <t>San Giorgio a Cremano</t>
  </si>
  <si>
    <t>San Giovanni em Fiore</t>
  </si>
  <si>
    <t>San Giovanni in Fiore</t>
  </si>
  <si>
    <t>San Giovanni em Persiqueto</t>
  </si>
  <si>
    <t>San Giovanni in Persiceto</t>
  </si>
  <si>
    <t>San Giovanni la Punta</t>
  </si>
  <si>
    <t>San Giovanni Lupatoto</t>
  </si>
  <si>
    <t>San Giovanni Rotondo</t>
  </si>
  <si>
    <t>San Giovanni Valdarno</t>
  </si>
  <si>
    <t>San Giuliano Milanês</t>
  </si>
  <si>
    <t>San Giuliano Milanese</t>
  </si>
  <si>
    <t>San Giuseppe Vesuviano</t>
  </si>
  <si>
    <t>San Lazzaro</t>
  </si>
  <si>
    <t>San Mauro Torinese</t>
  </si>
  <si>
    <t>San Miniato</t>
  </si>
  <si>
    <t>San Miniato Basso</t>
  </si>
  <si>
    <t>San Nicola La Strada</t>
  </si>
  <si>
    <t>San Nicola la Strada</t>
  </si>
  <si>
    <t>San Paolo</t>
  </si>
  <si>
    <t>San Remo</t>
  </si>
  <si>
    <t>San Salvo</t>
  </si>
  <si>
    <t>San Sebastiano</t>
  </si>
  <si>
    <t>San Severo</t>
  </si>
  <si>
    <t>San Vito Dei Normanni</t>
  </si>
  <si>
    <t>San Vito dei Normanni</t>
  </si>
  <si>
    <t>Sannicandro Garganico</t>
  </si>
  <si>
    <t>Santa Maria Capua Vetere</t>
  </si>
  <si>
    <t>Sant'anastasia</t>
  </si>
  <si>
    <t>Sant'Anastasia</t>
  </si>
  <si>
    <t>Sant'Antimo</t>
  </si>
  <si>
    <t>Sant'Antonio abate</t>
  </si>
  <si>
    <t>Sant'Antonio Abate</t>
  </si>
  <si>
    <t>Santeramo em Colle</t>
  </si>
  <si>
    <t>Santeramo in Colle</t>
  </si>
  <si>
    <t>Sarno</t>
  </si>
  <si>
    <t>Saronno</t>
  </si>
  <si>
    <t>Sarzana</t>
  </si>
  <si>
    <t>Sassari</t>
  </si>
  <si>
    <t>Sassuolo</t>
  </si>
  <si>
    <t>Como vai</t>
  </si>
  <si>
    <t>Savigliano</t>
  </si>
  <si>
    <t>Savona</t>
  </si>
  <si>
    <t>Scafati</t>
  </si>
  <si>
    <t>Scandicci</t>
  </si>
  <si>
    <t>Schio</t>
  </si>
  <si>
    <t>Sciacca</t>
  </si>
  <si>
    <t>Scicli</t>
  </si>
  <si>
    <t>Escordia</t>
  </si>
  <si>
    <t>Scordia</t>
  </si>
  <si>
    <t>Segrate</t>
  </si>
  <si>
    <t>Selargius</t>
  </si>
  <si>
    <t>Senago</t>
  </si>
  <si>
    <t>Senigallia</t>
  </si>
  <si>
    <t>Seregno</t>
  </si>
  <si>
    <t>Seriado</t>
  </si>
  <si>
    <t>Seriate</t>
  </si>
  <si>
    <t>Sesto fiorentino</t>
  </si>
  <si>
    <t>Sesto Fiorentino</t>
  </si>
  <si>
    <t>Sesto San Giovanni</t>
  </si>
  <si>
    <t>Sestri Levante</t>
  </si>
  <si>
    <t>Sestu</t>
  </si>
  <si>
    <t>Settimo Torinese</t>
  </si>
  <si>
    <t>Seveso</t>
  </si>
  <si>
    <t>Sezze</t>
  </si>
  <si>
    <t>SIDERNO</t>
  </si>
  <si>
    <t>Siderno</t>
  </si>
  <si>
    <t>Siena</t>
  </si>
  <si>
    <t>Sinnai</t>
  </si>
  <si>
    <t>Siracusa</t>
  </si>
  <si>
    <t>Somma Vesuviana</t>
  </si>
  <si>
    <t>Sondrio</t>
  </si>
  <si>
    <t>Sora</t>
  </si>
  <si>
    <t>Spinea-orgnano</t>
  </si>
  <si>
    <t>Spinea-Orgnano</t>
  </si>
  <si>
    <t>Spoleto</t>
  </si>
  <si>
    <t>Sulmona</t>
  </si>
  <si>
    <t>Suzzara</t>
  </si>
  <si>
    <t>Taranto</t>
  </si>
  <si>
    <t>Teramo</t>
  </si>
  <si>
    <t>Terlizzi</t>
  </si>
  <si>
    <t>Termini iMerese</t>
  </si>
  <si>
    <t>Termini Imerese</t>
  </si>
  <si>
    <t>Termoli</t>
  </si>
  <si>
    <t>Terni</t>
  </si>
  <si>
    <t>Terracina</t>
  </si>
  <si>
    <t>Terzigno</t>
  </si>
  <si>
    <t>Thiene</t>
  </si>
  <si>
    <t>Tivoli</t>
  </si>
  <si>
    <t>Tolentino</t>
  </si>
  <si>
    <t>Tor Lupara</t>
  </si>
  <si>
    <t>Torre Annunziata</t>
  </si>
  <si>
    <t>Torre del Greco</t>
  </si>
  <si>
    <t>TorreMaggiore</t>
  </si>
  <si>
    <t>Torremaggiore</t>
  </si>
  <si>
    <t>Tornea</t>
  </si>
  <si>
    <t>Tortona</t>
  </si>
  <si>
    <t>Torvaianica</t>
  </si>
  <si>
    <t>Tradate</t>
  </si>
  <si>
    <t>Trani</t>
  </si>
  <si>
    <t>Trapani</t>
  </si>
  <si>
    <t>Trecate</t>
  </si>
  <si>
    <t>Trento</t>
  </si>
  <si>
    <t>Trentola-Ducenta</t>
  </si>
  <si>
    <t>Treviglio</t>
  </si>
  <si>
    <t>Treviso</t>
  </si>
  <si>
    <t>Trezzano Sul Naviglio</t>
  </si>
  <si>
    <t>Trezzano sul Naviglio</t>
  </si>
  <si>
    <t>Trieste</t>
  </si>
  <si>
    <t>Triggiano</t>
  </si>
  <si>
    <t>Turim</t>
  </si>
  <si>
    <t>Turin</t>
  </si>
  <si>
    <t>Torino</t>
  </si>
  <si>
    <t>Udine</t>
  </si>
  <si>
    <t>Valdagno</t>
  </si>
  <si>
    <t>Valenza</t>
  </si>
  <si>
    <t>Valenzano</t>
  </si>
  <si>
    <t>Varese</t>
  </si>
  <si>
    <t>Vasto</t>
  </si>
  <si>
    <t>Velletri</t>
  </si>
  <si>
    <t>Venaria Reale</t>
  </si>
  <si>
    <t>Veneza</t>
  </si>
  <si>
    <t>Venice</t>
  </si>
  <si>
    <t>Ventimiglia</t>
  </si>
  <si>
    <t>Verbania</t>
  </si>
  <si>
    <t>Vercelli</t>
  </si>
  <si>
    <t>Verona</t>
  </si>
  <si>
    <t>ViaReggio</t>
  </si>
  <si>
    <t>Viareggio</t>
  </si>
  <si>
    <t>Vibo Valentia</t>
  </si>
  <si>
    <t>Vicenza</t>
  </si>
  <si>
    <t>Vigevano</t>
  </si>
  <si>
    <t>Vignola</t>
  </si>
  <si>
    <t>Vilabate</t>
  </si>
  <si>
    <t>Villabate</t>
  </si>
  <si>
    <t>Villafranca di Verona</t>
  </si>
  <si>
    <t>Villanova</t>
  </si>
  <si>
    <t>Villaricca</t>
  </si>
  <si>
    <t>Vimercate</t>
  </si>
  <si>
    <t>Vimodrone</t>
  </si>
  <si>
    <t>Vittoria</t>
  </si>
  <si>
    <t>Vittorio Veneto</t>
  </si>
  <si>
    <t>Voghera</t>
  </si>
  <si>
    <t>Volla</t>
  </si>
  <si>
    <t>Zola Preveosa</t>
  </si>
  <si>
    <t>Zola Predosa</t>
  </si>
  <si>
    <t>Abengourou</t>
  </si>
  <si>
    <t>Ivory Coast</t>
  </si>
  <si>
    <t>Moyen-ComoÃ©</t>
  </si>
  <si>
    <t>Abidjan</t>
  </si>
  <si>
    <t>Lagunes</t>
  </si>
  <si>
    <t>Abobo</t>
  </si>
  <si>
    <t>ABOISSO</t>
  </si>
  <si>
    <t>Aboisso</t>
  </si>
  <si>
    <t>Sud-ComoÃ©</t>
  </si>
  <si>
    <t>Adiaké</t>
  </si>
  <si>
    <t>AdiakÃ©</t>
  </si>
  <si>
    <t>Adzopé</t>
  </si>
  <si>
    <t>AdzopÃ©</t>
  </si>
  <si>
    <t>Affário</t>
  </si>
  <si>
    <t>Affery</t>
  </si>
  <si>
    <t>Agboville</t>
  </si>
  <si>
    <t>AgnÃ©by</t>
  </si>
  <si>
    <t>Agnibilé Krou</t>
  </si>
  <si>
    <t>AgnibilÃ©krou</t>
  </si>
  <si>
    <t>Akoup ©</t>
  </si>
  <si>
    <t>AkoupÃ©</t>
  </si>
  <si>
    <t>Anyama</t>
  </si>
  <si>
    <t>Lacs</t>
  </si>
  <si>
    <t>B © OUMI</t>
  </si>
  <si>
    <t>BÃ©oumi</t>
  </si>
  <si>
    <t>VallÃ©e du Bandama</t>
  </si>
  <si>
    <t>BANGOLO</t>
  </si>
  <si>
    <t>Bangolo</t>
  </si>
  <si>
    <t>Dix-Huit Montagnes</t>
  </si>
  <si>
    <t>Biankouma</t>
  </si>
  <si>
    <t>Bingerville</t>
  </si>
  <si>
    <t>Bondoukou</t>
  </si>
  <si>
    <t>Zanzan</t>
  </si>
  <si>
    <t>Bongouanou</t>
  </si>
  <si>
    <t>Bonoua</t>
  </si>
  <si>
    <t>Bouaflé</t>
  </si>
  <si>
    <t>BouaflÃ©</t>
  </si>
  <si>
    <t>MarahouÃ©</t>
  </si>
  <si>
    <t>Bouaké</t>
  </si>
  <si>
    <t>BouakÃ©</t>
  </si>
  <si>
    <t>Bouna</t>
  </si>
  <si>
    <t>Boundiali</t>
  </si>
  <si>
    <t>Savanes</t>
  </si>
  <si>
    <t>Dabou</t>
  </si>
  <si>
    <t>Daloa</t>
  </si>
  <si>
    <t>Haut-Sassandra</t>
  </si>
  <si>
    <t>Danané</t>
  </si>
  <si>
    <t>DananÃ©</t>
  </si>
  <si>
    <t>Daoukro</t>
  </si>
  <si>
    <t>NÊ¼zi-ComoÃ©</t>
  </si>
  <si>
    <t>Dimbokro</t>
  </si>
  <si>
    <t>Divo</t>
  </si>
  <si>
    <t>Sud-Bandama</t>
  </si>
  <si>
    <t>Duekoué</t>
  </si>
  <si>
    <t>DuekouÃ©</t>
  </si>
  <si>
    <t>Ferkess © Dougou</t>
  </si>
  <si>
    <t>FerkessÃ©dougou</t>
  </si>
  <si>
    <t>Gagnoa</t>
  </si>
  <si>
    <t>Fromager</t>
  </si>
  <si>
    <t>Grand-Bassam</t>
  </si>
  <si>
    <t>Guiglo</t>
  </si>
  <si>
    <t>Issia</t>
  </si>
  <si>
    <t>Katiola</t>
  </si>
  <si>
    <t>Korhogo</t>
  </si>
  <si>
    <t>Lakota</t>
  </si>
  <si>
    <t>Homem</t>
  </si>
  <si>
    <t>Man</t>
  </si>
  <si>
    <t>Mankono</t>
  </si>
  <si>
    <t>Worodougou</t>
  </si>
  <si>
    <t>Odienné</t>
  </si>
  <si>
    <t>OdiennÃ©</t>
  </si>
  <si>
    <t>DenguÃ©lÃ©</t>
  </si>
  <si>
    <t>Oumé</t>
  </si>
  <si>
    <t>OumÃ©</t>
  </si>
  <si>
    <t>S © gua © la</t>
  </si>
  <si>
    <t>SÃ©guÃ©la</t>
  </si>
  <si>
    <t>Sakassou</t>
  </si>
  <si>
    <t>San-P © Dro</t>
  </si>
  <si>
    <t>San-PÃ©dro</t>
  </si>
  <si>
    <t>Bas-Sassandra</t>
  </si>
  <si>
    <t>Sassandra</t>
  </si>
  <si>
    <t>Sinfra</t>
  </si>
  <si>
    <t>Soubré</t>
  </si>
  <si>
    <t>SoubrÃ©</t>
  </si>
  <si>
    <t>Tabou</t>
  </si>
  <si>
    <t>Tengrela</t>
  </si>
  <si>
    <t>Tiassalé</t>
  </si>
  <si>
    <t>TiassalÃ©</t>
  </si>
  <si>
    <t>Touba</t>
  </si>
  <si>
    <t>Bafing</t>
  </si>
  <si>
    <t>Toumodi</t>
  </si>
  <si>
    <t>Vavoua</t>
  </si>
  <si>
    <t>Yamoussoukro</t>
  </si>
  <si>
    <t>Zué Noula</t>
  </si>
  <si>
    <t>ZuÃ©noula</t>
  </si>
  <si>
    <t>Árvore do meio do caminho</t>
  </si>
  <si>
    <t>Half Way Tree</t>
  </si>
  <si>
    <t>Jamaica</t>
  </si>
  <si>
    <t>Saint Andrew</t>
  </si>
  <si>
    <t>LINSTEAD</t>
  </si>
  <si>
    <t>Linstead</t>
  </si>
  <si>
    <t>Saint Catherine</t>
  </si>
  <si>
    <t>Mandeville</t>
  </si>
  <si>
    <t>Manchester</t>
  </si>
  <si>
    <t>May Pen</t>
  </si>
  <si>
    <t>Clarendon</t>
  </si>
  <si>
    <t>Baía de Montego</t>
  </si>
  <si>
    <t>Montego Bay</t>
  </si>
  <si>
    <t>Saint James</t>
  </si>
  <si>
    <t>New Kingston</t>
  </si>
  <si>
    <t>Antigo porto</t>
  </si>
  <si>
    <t>Old Harbour</t>
  </si>
  <si>
    <t>Portmore</t>
  </si>
  <si>
    <t>Savanna-La-Mar</t>
  </si>
  <si>
    <t>Savanna-la-Mar</t>
  </si>
  <si>
    <t>Westmoreland</t>
  </si>
  <si>
    <t>Cidade espanhola</t>
  </si>
  <si>
    <t>Spanish Town</t>
  </si>
  <si>
    <t>Abashiri</t>
  </si>
  <si>
    <t>Japan</t>
  </si>
  <si>
    <t>Hokkaido</t>
  </si>
  <si>
    <t>Abiko</t>
  </si>
  <si>
    <t>Chiba</t>
  </si>
  <si>
    <t>Adeoshimo</t>
  </si>
  <si>
    <t>Ageoshimo</t>
  </si>
  <si>
    <t>Saitama</t>
  </si>
  <si>
    <t>Aioi</t>
  </si>
  <si>
    <t>HyÅgo</t>
  </si>
  <si>
    <t>Akashi</t>
  </si>
  <si>
    <t>Aki</t>
  </si>
  <si>
    <t>Kochi</t>
  </si>
  <si>
    <t>Akita</t>
  </si>
  <si>
    <t>Akitashi</t>
  </si>
  <si>
    <t>Akune</t>
  </si>
  <si>
    <t>Kagoshima</t>
  </si>
  <si>
    <t>Amagasaki</t>
  </si>
  <si>
    <t>Amagi</t>
  </si>
  <si>
    <t>Fukuoka</t>
  </si>
  <si>
    <t>Ami</t>
  </si>
  <si>
    <t>Ibaraki</t>
  </si>
  <si>
    <t>Anan</t>
  </si>
  <si>
    <t>Tokushima</t>
  </si>
  <si>
    <t>Anjå</t>
  </si>
  <si>
    <t>AnjÅ</t>
  </si>
  <si>
    <t>Aichi</t>
  </si>
  <si>
    <t>Annaka</t>
  </si>
  <si>
    <t>Gunma</t>
  </si>
  <si>
    <t>Åœami</t>
  </si>
  <si>
    <t>ÅŒami</t>
  </si>
  <si>
    <t>Åœarai</t>
  </si>
  <si>
    <t>ÅŒarai</t>
  </si>
  <si>
    <t>Åœbu</t>
  </si>
  <si>
    <t>ÅŒbu</t>
  </si>
  <si>
    <t>Åœdachå -å da</t>
  </si>
  <si>
    <t>ÅŒdachÅ-Åda</t>
  </si>
  <si>
    <t>Shimane</t>
  </si>
  <si>
    <t>Åœdate</t>
  </si>
  <si>
    <t>ÅŒdate</t>
  </si>
  <si>
    <t>Åœfunato</t>
  </si>
  <si>
    <t>ÅŒfunato</t>
  </si>
  <si>
    <t>Iwate</t>
  </si>
  <si>
    <t>ÅœGaki</t>
  </si>
  <si>
    <t>ÅŒgaki</t>
  </si>
  <si>
    <t>Gifu</t>
  </si>
  <si>
    <t>Åœhara</t>
  </si>
  <si>
    <t>ÅŒhara</t>
  </si>
  <si>
    <t>Åœi</t>
  </si>
  <si>
    <t>ÅŒi</t>
  </si>
  <si>
    <t>Åœso</t>
  </si>
  <si>
    <t>ÅŒiso</t>
  </si>
  <si>
    <t>Kanagawa</t>
  </si>
  <si>
    <t>Åœita</t>
  </si>
  <si>
    <t>ÅŒita</t>
  </si>
  <si>
    <t>Oita</t>
  </si>
  <si>
    <t>Åœkawa</t>
  </si>
  <si>
    <t>ÅŒkawa</t>
  </si>
  <si>
    <t>Saga Prefecture</t>
  </si>
  <si>
    <t>Åœkawara</t>
  </si>
  <si>
    <t>ÅŒkawara</t>
  </si>
  <si>
    <t>Miyagi</t>
  </si>
  <si>
    <t>Åœkuchi-shinohara</t>
  </si>
  <si>
    <t>ÅŒkuchi-shinohara</t>
  </si>
  <si>
    <t>Åœmachi</t>
  </si>
  <si>
    <t>ÅŒmachi</t>
  </si>
  <si>
    <t>Nagano</t>
  </si>
  <si>
    <t>Åœmagari</t>
  </si>
  <si>
    <t>ÅŒmagari</t>
  </si>
  <si>
    <t>Åœmamachå -å mama</t>
  </si>
  <si>
    <t>ÅŒmamachÅ-Åmama</t>
  </si>
  <si>
    <t>Åœme</t>
  </si>
  <si>
    <t>ÅŒme</t>
  </si>
  <si>
    <t>Tokyo</t>
  </si>
  <si>
    <t>Åœmihachiman</t>
  </si>
  <si>
    <t>ÅŒmihachiman</t>
  </si>
  <si>
    <t>Shiga Prefecture</t>
  </si>
  <si>
    <t>Åœmiya</t>
  </si>
  <si>
    <t>ÅŒmiya</t>
  </si>
  <si>
    <t>Åœmura</t>
  </si>
  <si>
    <t>ÅŒmura</t>
  </si>
  <si>
    <t>Nagasaki</t>
  </si>
  <si>
    <t>Åœmuta</t>
  </si>
  <si>
    <t>ÅŒmuta</t>
  </si>
  <si>
    <t>Åœno-hara</t>
  </si>
  <si>
    <t>ÅŒno-hara</t>
  </si>
  <si>
    <t>Hiroshima</t>
  </si>
  <si>
    <t>Åœnojå</t>
  </si>
  <si>
    <t>ÅŒnojÅ</t>
  </si>
  <si>
    <t>Åœta</t>
  </si>
  <si>
    <t>ÅŒta</t>
  </si>
  <si>
    <t>Åœwake</t>
  </si>
  <si>
    <t>ÅŒtake</t>
  </si>
  <si>
    <t>Yamaguchi</t>
  </si>
  <si>
    <t>Åœtawara</t>
  </si>
  <si>
    <t>ÅŒtawara</t>
  </si>
  <si>
    <t>Tochigi</t>
  </si>
  <si>
    <t>Åœtsu</t>
  </si>
  <si>
    <t>ÅŒtsu</t>
  </si>
  <si>
    <t>Åœtsuchi</t>
  </si>
  <si>
    <t>ÅŒtsuchi</t>
  </si>
  <si>
    <t>Åœtsuki</t>
  </si>
  <si>
    <t>ÅŒtsuki</t>
  </si>
  <si>
    <t>Yamanashi</t>
  </si>
  <si>
    <t>Åœyama</t>
  </si>
  <si>
    <t>ÅŒyama</t>
  </si>
  <si>
    <t>Shizuoka</t>
  </si>
  <si>
    <t>Åœzu</t>
  </si>
  <si>
    <t>ÅŒzu</t>
  </si>
  <si>
    <t>Kumamoto</t>
  </si>
  <si>
    <t>Ehime</t>
  </si>
  <si>
    <t>Aomorishi</t>
  </si>
  <si>
    <t>Aomori</t>
  </si>
  <si>
    <t>ARAI</t>
  </si>
  <si>
    <t>Arai</t>
  </si>
  <si>
    <t>Niigata</t>
  </si>
  <si>
    <t>Asahi</t>
  </si>
  <si>
    <t>Asahikawa</t>
  </si>
  <si>
    <t>Asaka</t>
  </si>
  <si>
    <t>Ashibetsu</t>
  </si>
  <si>
    <t>Ashikaga</t>
  </si>
  <si>
    <t>Ashiya</t>
  </si>
  <si>
    <t>ASO</t>
  </si>
  <si>
    <t>Aso</t>
  </si>
  <si>
    <t>ATAMI</t>
  </si>
  <si>
    <t>Atami</t>
  </si>
  <si>
    <t>Atsugi</t>
  </si>
  <si>
    <t>Ayabe</t>
  </si>
  <si>
    <t>Kyoto</t>
  </si>
  <si>
    <t>Beppu</t>
  </si>
  <si>
    <t>Bibai</t>
  </si>
  <si>
    <t>Bihoro</t>
  </si>
  <si>
    <t>Bungo-takada-shi</t>
  </si>
  <si>
    <t>Bungo-Takada-shi</t>
  </si>
  <si>
    <t>Buzen</t>
  </si>
  <si>
    <t>Chå Fugaoka</t>
  </si>
  <si>
    <t>ChÅfugaoka</t>
  </si>
  <si>
    <t>Chatan</t>
  </si>
  <si>
    <t>Okinawa</t>
  </si>
  <si>
    <t>Chichibu</t>
  </si>
  <si>
    <t>Chigasaki</t>
  </si>
  <si>
    <t>Chikushino-shi</t>
  </si>
  <si>
    <t>Chino</t>
  </si>
  <si>
    <t>Chiryå «</t>
  </si>
  <si>
    <t>ChiryÅ«</t>
  </si>
  <si>
    <t>Quitose</t>
  </si>
  <si>
    <t>Chitose</t>
  </si>
  <si>
    <t>Daigo</t>
  </si>
  <si>
    <t>Daitå Chå</t>
  </si>
  <si>
    <t>DaitÅchÅ</t>
  </si>
  <si>
    <t>ÅŒsaka</t>
  </si>
  <si>
    <t>Data</t>
  </si>
  <si>
    <t>Date</t>
  </si>
  <si>
    <t>Dazaifu</t>
  </si>
  <si>
    <t>Ebetsu</t>
  </si>
  <si>
    <t>Edaki</t>
  </si>
  <si>
    <t>Edosaki</t>
  </si>
  <si>
    <t>Enzan</t>
  </si>
  <si>
    <t>Fuchå «chå</t>
  </si>
  <si>
    <t>FuchÅ«chÅ</t>
  </si>
  <si>
    <t>Fuji</t>
  </si>
  <si>
    <t>Fujieda</t>
  </si>
  <si>
    <t>Fujikawaguchiko</t>
  </si>
  <si>
    <t>Fujinomiya</t>
  </si>
  <si>
    <t>Fujioka</t>
  </si>
  <si>
    <t>Fujisawa</t>
  </si>
  <si>
    <t>Fujishiro</t>
  </si>
  <si>
    <t>Fukagawa</t>
  </si>
  <si>
    <t>Fukayachå</t>
  </si>
  <si>
    <t>FukayachÅ</t>
  </si>
  <si>
    <t>Fukiage-Fujimi</t>
  </si>
  <si>
    <t>Fukiage-fujimi</t>
  </si>
  <si>
    <t>Fukuchiyama</t>
  </si>
  <si>
    <t>Fukuechå</t>
  </si>
  <si>
    <t>FukuechÅ</t>
  </si>
  <si>
    <t>Fukui-shi</t>
  </si>
  <si>
    <t>Fukui</t>
  </si>
  <si>
    <t>Fukumitsu</t>
  </si>
  <si>
    <t>Toyama</t>
  </si>
  <si>
    <t>Fukura</t>
  </si>
  <si>
    <t>Fukuroi</t>
  </si>
  <si>
    <t>Fukushima</t>
  </si>
  <si>
    <t>Fukuyama</t>
  </si>
  <si>
    <t>Funaishikawa</t>
  </si>
  <si>
    <t>Funehikimachi-funehiki</t>
  </si>
  <si>
    <t>Furukawa</t>
  </si>
  <si>
    <t>Fussa</t>
  </si>
  <si>
    <t>Futtsu</t>
  </si>
  <si>
    <t>Gå do</t>
  </si>
  <si>
    <t>GÅdo</t>
  </si>
  <si>
    <t>Gå Tsuchå</t>
  </si>
  <si>
    <t>GÅtsuchÅ</t>
  </si>
  <si>
    <t>Gamagå Ri</t>
  </si>
  <si>
    <t>GamagÅri</t>
  </si>
  <si>
    <t>Gero</t>
  </si>
  <si>
    <t>Gifu-shi</t>
  </si>
  <si>
    <t>Ginowan</t>
  </si>
  <si>
    <t>Gobå</t>
  </si>
  <si>
    <t>GobÅ</t>
  </si>
  <si>
    <t>Wakayama</t>
  </si>
  <si>
    <t>Gojå</t>
  </si>
  <si>
    <t>GojÅ</t>
  </si>
  <si>
    <t>Nara</t>
  </si>
  <si>
    <t>Gose</t>
  </si>
  <si>
    <t>Gosen</t>
  </si>
  <si>
    <t>Goshogawara</t>
  </si>
  <si>
    <t>Gotenba</t>
  </si>
  <si>
    <t>Gujå</t>
  </si>
  <si>
    <t>GujÅ</t>
  </si>
  <si>
    <t>Gushikawa</t>
  </si>
  <si>
    <t>Gyå da</t>
  </si>
  <si>
    <t>GyÅda</t>
  </si>
  <si>
    <t>Hå fu</t>
  </si>
  <si>
    <t>HÅfu</t>
  </si>
  <si>
    <t>Hå Jå</t>
  </si>
  <si>
    <t>HÅjÅ</t>
  </si>
  <si>
    <t>Hachiå Ji</t>
  </si>
  <si>
    <t>HachiÅji</t>
  </si>
  <si>
    <t>Hachinohe</t>
  </si>
  <si>
    <t>Hadano</t>
  </si>
  <si>
    <t>Hagi</t>
  </si>
  <si>
    <t>Haibara-Akanedai</t>
  </si>
  <si>
    <t>Haibara-akanedai</t>
  </si>
  <si>
    <t>Hakodate</t>
  </si>
  <si>
    <t>Hakui</t>
  </si>
  <si>
    <t>Ishikawa</t>
  </si>
  <si>
    <t>Hamada</t>
  </si>
  <si>
    <t>Hamakita</t>
  </si>
  <si>
    <t>Hamamatsu</t>
  </si>
  <si>
    <t>Hamanoichi</t>
  </si>
  <si>
    <t>Hanamaki</t>
  </si>
  <si>
    <t>Hanawa</t>
  </si>
  <si>
    <t>Hande</t>
  </si>
  <si>
    <t>Handa</t>
  </si>
  <si>
    <t>Hannå</t>
  </si>
  <si>
    <t>HannÅ</t>
  </si>
  <si>
    <t>Hanyå «</t>
  </si>
  <si>
    <t>HanyÅ«</t>
  </si>
  <si>
    <t>Hasaki</t>
  </si>
  <si>
    <t>Hashimoto</t>
  </si>
  <si>
    <t>Hasuda</t>
  </si>
  <si>
    <t>HATOGAYA-HONCHå</t>
  </si>
  <si>
    <t>Hatogaya-honchÅ</t>
  </si>
  <si>
    <t>Hatsukaichi</t>
  </si>
  <si>
    <t>Hayama</t>
  </si>
  <si>
    <t>Hekinan</t>
  </si>
  <si>
    <t>Higashimurayama-shi</t>
  </si>
  <si>
    <t>Higashine</t>
  </si>
  <si>
    <t>Yamagata</t>
  </si>
  <si>
    <t>Hiji</t>
  </si>
  <si>
    <t>Hikari</t>
  </si>
  <si>
    <t>Hikone</t>
  </si>
  <si>
    <t>Himeji</t>
  </si>
  <si>
    <t>Himimachi</t>
  </si>
  <si>
    <t>Hino</t>
  </si>
  <si>
    <t>Hirado</t>
  </si>
  <si>
    <t>Hirakata</t>
  </si>
  <si>
    <t>Hirara</t>
  </si>
  <si>
    <t>Hiratachå</t>
  </si>
  <si>
    <t>HiratachÅ</t>
  </si>
  <si>
    <t>Hiratsuka</t>
  </si>
  <si>
    <t>Hirosaki</t>
  </si>
  <si>
    <t>Hisai-Motomachi</t>
  </si>
  <si>
    <t>Hisai-motomachi</t>
  </si>
  <si>
    <t>Mie</t>
  </si>
  <si>
    <t>Hita</t>
  </si>
  <si>
    <t>Hitachi</t>
  </si>
  <si>
    <t>Hitachi-naka</t>
  </si>
  <si>
    <t>Hitachi-Naka</t>
  </si>
  <si>
    <t>Hitoyoshi</t>
  </si>
  <si>
    <t>Hobaramachi</t>
  </si>
  <si>
    <t>Honchå</t>
  </si>
  <si>
    <t>HonchÅ</t>
  </si>
  <si>
    <t>Hondo</t>
  </si>
  <si>
    <t>Honjå</t>
  </si>
  <si>
    <t>HonjÅ</t>
  </si>
  <si>
    <t>Hotaka</t>
  </si>
  <si>
    <t>Ibara</t>
  </si>
  <si>
    <t>Okayama</t>
  </si>
  <si>
    <t>Ibusuki</t>
  </si>
  <si>
    <t>Ichihara</t>
  </si>
  <si>
    <t>Ichinohe</t>
  </si>
  <si>
    <t>Ichinomiya</t>
  </si>
  <si>
    <t>Ichinoseki</t>
  </si>
  <si>
    <t>Iida</t>
  </si>
  <si>
    <t>Iiyama</t>
  </si>
  <si>
    <t>Iizuka</t>
  </si>
  <si>
    <t>Ijå «in</t>
  </si>
  <si>
    <t>IjÅ«in</t>
  </si>
  <si>
    <t>Ikeda</t>
  </si>
  <si>
    <t>Ikedachå</t>
  </si>
  <si>
    <t>IkedachÅ</t>
  </si>
  <si>
    <t>Ikoma</t>
  </si>
  <si>
    <t>Imaichi</t>
  </si>
  <si>
    <t>IMARICHL -Kå</t>
  </si>
  <si>
    <t>ImarichÅ-kÅ</t>
  </si>
  <si>
    <t>Em um</t>
  </si>
  <si>
    <t>Ina</t>
  </si>
  <si>
    <t>Inashiki</t>
  </si>
  <si>
    <t>Inawashiro</t>
  </si>
  <si>
    <t>Inazawa</t>
  </si>
  <si>
    <t>Innoshima</t>
  </si>
  <si>
    <t>Eu não</t>
  </si>
  <si>
    <t>Ino</t>
  </si>
  <si>
    <t>Inuyama</t>
  </si>
  <si>
    <t>Isahaya</t>
  </si>
  <si>
    <t>Eu vi um</t>
  </si>
  <si>
    <t>Isawa</t>
  </si>
  <si>
    <t>Ise</t>
  </si>
  <si>
    <t>Isehara</t>
  </si>
  <si>
    <t>Isesaki</t>
  </si>
  <si>
    <t>Ishigaki</t>
  </si>
  <si>
    <t>Ishige</t>
  </si>
  <si>
    <t>Ishii</t>
  </si>
  <si>
    <t>Ishikari</t>
  </si>
  <si>
    <t>Ishiki</t>
  </si>
  <si>
    <t>Ishinomaki</t>
  </si>
  <si>
    <t>Ishioka</t>
  </si>
  <si>
    <t>Itå</t>
  </si>
  <si>
    <t>ItÅ</t>
  </si>
  <si>
    <t>Itako</t>
  </si>
  <si>
    <t>Itami</t>
  </si>
  <si>
    <t>Itoigawa</t>
  </si>
  <si>
    <t>Itoman</t>
  </si>
  <si>
    <t>Itsukaichi</t>
  </si>
  <si>
    <t>Iwade</t>
  </si>
  <si>
    <t>Eu quero</t>
  </si>
  <si>
    <t>Iwai</t>
  </si>
  <si>
    <t>Iwaki</t>
  </si>
  <si>
    <t>Iwakuni</t>
  </si>
  <si>
    <t>Iwakura</t>
  </si>
  <si>
    <t>Iwamizawa</t>
  </si>
  <si>
    <t>Iwanai</t>
  </si>
  <si>
    <t>Iwanuma</t>
  </si>
  <si>
    <t>Iwase</t>
  </si>
  <si>
    <t>Iwata</t>
  </si>
  <si>
    <t>Iwatsuki</t>
  </si>
  <si>
    <t>Iyo</t>
  </si>
  <si>
    <t>Izumi</t>
  </si>
  <si>
    <t>Izumiå tsu</t>
  </si>
  <si>
    <t>IzumiÅtsu</t>
  </si>
  <si>
    <t>Izumo</t>
  </si>
  <si>
    <t>Jå Etsu</t>
  </si>
  <si>
    <t>JÅetsu</t>
  </si>
  <si>
    <t>Kå fu</t>
  </si>
  <si>
    <t>KÅfu</t>
  </si>
  <si>
    <t>Kå Nan</t>
  </si>
  <si>
    <t>KÅnan</t>
  </si>
  <si>
    <t>Kå Nosu</t>
  </si>
  <si>
    <t>KÅnosu</t>
  </si>
  <si>
    <t>Kå Riyama</t>
  </si>
  <si>
    <t>KÅriyama</t>
  </si>
  <si>
    <t>Kadoma</t>
  </si>
  <si>
    <t>Kainan</t>
  </si>
  <si>
    <t>Kaizuka</t>
  </si>
  <si>
    <t>Kajiki</t>
  </si>
  <si>
    <t>Kakamigahara</t>
  </si>
  <si>
    <t>Kakegawa</t>
  </si>
  <si>
    <t>Kakogawachå -Honmachi</t>
  </si>
  <si>
    <t>KakogawachÅ-honmachi</t>
  </si>
  <si>
    <t>Kakuda</t>
  </si>
  <si>
    <t>Kamaishi</t>
  </si>
  <si>
    <t>Kamakura</t>
  </si>
  <si>
    <t>Kameda-Honchå</t>
  </si>
  <si>
    <t>Kameda-honchÅ</t>
  </si>
  <si>
    <t>Kameoka</t>
  </si>
  <si>
    <t>Kameyama</t>
  </si>
  <si>
    <t>Kamifukuoka</t>
  </si>
  <si>
    <t>Kamigyå -ku</t>
  </si>
  <si>
    <t>KamigyÅ-ku</t>
  </si>
  <si>
    <t>Kamiichi</t>
  </si>
  <si>
    <t>Kamiiso</t>
  </si>
  <si>
    <t>Kamimaruko</t>
  </si>
  <si>
    <t>Kaminokawa</t>
  </si>
  <si>
    <t>Kaminoyama</t>
  </si>
  <si>
    <t>Kamirenjaku</t>
  </si>
  <si>
    <t>Kamo</t>
  </si>
  <si>
    <t>Kamogatachå -kamogata</t>
  </si>
  <si>
    <t>KamogatachÅ-kamogata</t>
  </si>
  <si>
    <t>Kamogawa</t>
  </si>
  <si>
    <t>Kamojimachå -jå Gejima</t>
  </si>
  <si>
    <t>KamojimachÅ-jÅgejima</t>
  </si>
  <si>
    <t>Kan'njichå</t>
  </si>
  <si>
    <t>Kanâ€™onjichÅ</t>
  </si>
  <si>
    <t>Kagawa</t>
  </si>
  <si>
    <t>Kanaya</t>
  </si>
  <si>
    <t>Kanazawa</t>
  </si>
  <si>
    <t>Kanda</t>
  </si>
  <si>
    <t>KANEKOMACHI</t>
  </si>
  <si>
    <t>Kanekomachi</t>
  </si>
  <si>
    <t>Kanie</t>
  </si>
  <si>
    <t>Kannabechå -yahiro</t>
  </si>
  <si>
    <t>KannabechÅ-yahiro</t>
  </si>
  <si>
    <t>Kanoya</t>
  </si>
  <si>
    <t>Kanuma</t>
  </si>
  <si>
    <t>Kanzakimachi-kanzaki</t>
  </si>
  <si>
    <t>Karasuyama</t>
  </si>
  <si>
    <t>Karatsu</t>
  </si>
  <si>
    <t>Kariya</t>
  </si>
  <si>
    <t>Kasama</t>
  </si>
  <si>
    <t>Kasamatsuchå</t>
  </si>
  <si>
    <t>KasamatsuchÅ</t>
  </si>
  <si>
    <t>Kasaoka</t>
  </si>
  <si>
    <t>Kaskera-shirakame</t>
  </si>
  <si>
    <t>Kaseda-shirakame</t>
  </si>
  <si>
    <t>Kashihara</t>
  </si>
  <si>
    <t>Kashihara-shi</t>
  </si>
  <si>
    <t>Kashima</t>
  </si>
  <si>
    <t>Kashima-shi</t>
  </si>
  <si>
    <t>Kashiwa</t>
  </si>
  <si>
    <t>Kashiwazaki</t>
  </si>
  <si>
    <t>Kasugai</t>
  </si>
  <si>
    <t>Kasukabe</t>
  </si>
  <si>
    <t>Katori-shi</t>
  </si>
  <si>
    <t>Katsuren-Haebaru</t>
  </si>
  <si>
    <t>Katsuren-haebaru</t>
  </si>
  <si>
    <t>Katsuta</t>
  </si>
  <si>
    <t>Katsuura</t>
  </si>
  <si>
    <t>Katsuyama</t>
  </si>
  <si>
    <t>KAWAGE</t>
  </si>
  <si>
    <t>Kawage</t>
  </si>
  <si>
    <t>Kawagoe</t>
  </si>
  <si>
    <t>Kawaguchi</t>
  </si>
  <si>
    <t>Kawanishi</t>
  </si>
  <si>
    <t>Kawanoechå</t>
  </si>
  <si>
    <t>KawanoechÅ</t>
  </si>
  <si>
    <t>Kawasaki</t>
  </si>
  <si>
    <t>Kazo</t>
  </si>
  <si>
    <t>Kikuchi</t>
  </si>
  <si>
    <t>Kimitsu</t>
  </si>
  <si>
    <t>Kiryå «</t>
  </si>
  <si>
    <t>KiryÅ«</t>
  </si>
  <si>
    <t>Kisai</t>
  </si>
  <si>
    <t>KISARAZU</t>
  </si>
  <si>
    <t>Kisarazu</t>
  </si>
  <si>
    <t>Kishiwada</t>
  </si>
  <si>
    <t>Kitahama</t>
  </si>
  <si>
    <t>Kitahiroshima</t>
  </si>
  <si>
    <t>Kitaibaraki</t>
  </si>
  <si>
    <t>Kitakami</t>
  </si>
  <si>
    <t>Kitakata</t>
  </si>
  <si>
    <t>Kitakyushu</t>
  </si>
  <si>
    <t>Kitami</t>
  </si>
  <si>
    <t>Kitsuki</t>
  </si>
  <si>
    <t>Kobayashi</t>
  </si>
  <si>
    <t>Miyazaki</t>
  </si>
  <si>
    <t>Kobe</t>
  </si>
  <si>
    <t>Kodamachå -kodamaminami</t>
  </si>
  <si>
    <t>KodamachÅ-kodamaminami</t>
  </si>
  <si>
    <t>Koga</t>
  </si>
  <si>
    <t>KOGOTA</t>
  </si>
  <si>
    <t>Kogota</t>
  </si>
  <si>
    <t>Kokubu-Matsuki</t>
  </si>
  <si>
    <t>Kokubu-matsuki</t>
  </si>
  <si>
    <t>Kokubunji</t>
  </si>
  <si>
    <t>Komaki</t>
  </si>
  <si>
    <t>Komatsu</t>
  </si>
  <si>
    <t>Komatsushimachå</t>
  </si>
  <si>
    <t>KomatsushimachÅ</t>
  </si>
  <si>
    <t>Komono</t>
  </si>
  <si>
    <t>Komoro</t>
  </si>
  <si>
    <t>Kosai-shi</t>
  </si>
  <si>
    <t>Koshigaya</t>
  </si>
  <si>
    <t>Kozakai-Chå</t>
  </si>
  <si>
    <t>Kozakai-chÅ</t>
  </si>
  <si>
    <t>Kudamatsu</t>
  </si>
  <si>
    <t>Kukichå «Å</t>
  </si>
  <si>
    <t>KukichÅ«Å</t>
  </si>
  <si>
    <t>Kumagaya</t>
  </si>
  <si>
    <t>Kurashiki</t>
  </si>
  <si>
    <t>Kurayoshi</t>
  </si>
  <si>
    <t>Tottori</t>
  </si>
  <si>
    <t>Kure</t>
  </si>
  <si>
    <t>Kurihashi</t>
  </si>
  <si>
    <t>Kuroda</t>
  </si>
  <si>
    <t>Kuroishi</t>
  </si>
  <si>
    <t>Kuroiso</t>
  </si>
  <si>
    <t>Kurume</t>
  </si>
  <si>
    <t>Kusatsu</t>
  </si>
  <si>
    <t>Kushikino</t>
  </si>
  <si>
    <t>Kushima</t>
  </si>
  <si>
    <t>Kushiro</t>
  </si>
  <si>
    <t>Quioto</t>
  </si>
  <si>
    <t>Machida</t>
  </si>
  <si>
    <t>Maebaru-chå «Å</t>
  </si>
  <si>
    <t>Maebaru-chÅ«Å</t>
  </si>
  <si>
    <t>Maebashi</t>
  </si>
  <si>
    <t>MAIZURU</t>
  </si>
  <si>
    <t>Maizuru</t>
  </si>
  <si>
    <t>Makabe</t>
  </si>
  <si>
    <t>Maki</t>
  </si>
  <si>
    <t>Makubetsu</t>
  </si>
  <si>
    <t>Makurazaki</t>
  </si>
  <si>
    <t>Marugame</t>
  </si>
  <si>
    <t>Marumori</t>
  </si>
  <si>
    <t>Maruoka</t>
  </si>
  <si>
    <t>Masaki-Chå</t>
  </si>
  <si>
    <t>Masaki-chÅ</t>
  </si>
  <si>
    <t>Mashiko</t>
  </si>
  <si>
    <t>Masuda</t>
  </si>
  <si>
    <t>Matsubara</t>
  </si>
  <si>
    <t>Matsubase</t>
  </si>
  <si>
    <t>Matsudo</t>
  </si>
  <si>
    <t>Matsue</t>
  </si>
  <si>
    <t>Matsumoto</t>
  </si>
  <si>
    <t>Matsushima</t>
  </si>
  <si>
    <t>Matsutå</t>
  </si>
  <si>
    <t>MatsutÅ</t>
  </si>
  <si>
    <t>Matsuyama</t>
  </si>
  <si>
    <t>Menuma</t>
  </si>
  <si>
    <t>Mibu</t>
  </si>
  <si>
    <t>Mihara</t>
  </si>
  <si>
    <t>Miharu</t>
  </si>
  <si>
    <t>Miki</t>
  </si>
  <si>
    <t>Mikuni</t>
  </si>
  <si>
    <t>Minakuchichå -Matoba</t>
  </si>
  <si>
    <t>MinakuchichÅ-matoba</t>
  </si>
  <si>
    <t>Minamata</t>
  </si>
  <si>
    <t>Minamirinkan</t>
  </si>
  <si>
    <t>Minato</t>
  </si>
  <si>
    <t>Mino</t>
  </si>
  <si>
    <t>Minokamo</t>
  </si>
  <si>
    <t>Misawa</t>
  </si>
  <si>
    <t>Mishima</t>
  </si>
  <si>
    <t>Mitaka-shi</t>
  </si>
  <si>
    <t>Mitake</t>
  </si>
  <si>
    <t>Mito</t>
  </si>
  <si>
    <t>Mitsukaidå</t>
  </si>
  <si>
    <t>MitsukaidÅ</t>
  </si>
  <si>
    <t>Mitsuke</t>
  </si>
  <si>
    <t>Miura</t>
  </si>
  <si>
    <t>Miyako</t>
  </si>
  <si>
    <t>Miyakonojå</t>
  </si>
  <si>
    <t>MiyakonojÅ</t>
  </si>
  <si>
    <t>Miyata</t>
  </si>
  <si>
    <t>Miyazu</t>
  </si>
  <si>
    <t>Miyoshi</t>
  </si>
  <si>
    <t>Mizunami</t>
  </si>
  <si>
    <t>Mizusawa</t>
  </si>
  <si>
    <t>Mobara</t>
  </si>
  <si>
    <t>Mombetsu</t>
  </si>
  <si>
    <t>Mooka</t>
  </si>
  <si>
    <t>Mori</t>
  </si>
  <si>
    <t>Moriguchi</t>
  </si>
  <si>
    <t>Morioka</t>
  </si>
  <si>
    <t>Moriya</t>
  </si>
  <si>
    <t>Moriyama</t>
  </si>
  <si>
    <t>Morohongå</t>
  </si>
  <si>
    <t>MorohongÅ</t>
  </si>
  <si>
    <t>Motegi</t>
  </si>
  <si>
    <t>Motomiya</t>
  </si>
  <si>
    <t>Muikamachi</t>
  </si>
  <si>
    <t>Mukå</t>
  </si>
  <si>
    <t>MukÅ</t>
  </si>
  <si>
    <t>Murakami</t>
  </si>
  <si>
    <t>Muramatsu</t>
  </si>
  <si>
    <t>Muroran</t>
  </si>
  <si>
    <t>Muroto-Misakicho</t>
  </si>
  <si>
    <t>Muroto-misakicho</t>
  </si>
  <si>
    <t>Musashino</t>
  </si>
  <si>
    <t>Mutsu</t>
  </si>
  <si>
    <t>Nå Gata</t>
  </si>
  <si>
    <t>NÅgata</t>
  </si>
  <si>
    <t>Nabari</t>
  </si>
  <si>
    <t>Nagahama</t>
  </si>
  <si>
    <t>Nagai</t>
  </si>
  <si>
    <t>Nagaoka</t>
  </si>
  <si>
    <t>Nagareyama</t>
  </si>
  <si>
    <t>Nagato</t>
  </si>
  <si>
    <t>Nago</t>
  </si>
  <si>
    <t>Nagoya</t>
  </si>
  <si>
    <t>Naha</t>
  </si>
  <si>
    <t>Naka</t>
  </si>
  <si>
    <t>Nakama</t>
  </si>
  <si>
    <t>Nakamura</t>
  </si>
  <si>
    <t>Nakano</t>
  </si>
  <si>
    <t>Nakanojå Machi</t>
  </si>
  <si>
    <t>NakanojÅmachi</t>
  </si>
  <si>
    <t>Nakatsu</t>
  </si>
  <si>
    <t>Nakatsugawa</t>
  </si>
  <si>
    <t>Namerikawa</t>
  </si>
  <si>
    <t>Namie</t>
  </si>
  <si>
    <t>Namioka</t>
  </si>
  <si>
    <t>Nanae</t>
  </si>
  <si>
    <t>Nanao</t>
  </si>
  <si>
    <t>Nanto-shi</t>
  </si>
  <si>
    <t>Nara-shi</t>
  </si>
  <si>
    <t>Narita</t>
  </si>
  <si>
    <t>Narutå</t>
  </si>
  <si>
    <t>NarutÅ</t>
  </si>
  <si>
    <t>Narutochå -Mitsuishi</t>
  </si>
  <si>
    <t>NarutochÅ-mitsuishi</t>
  </si>
  <si>
    <t>Nayoro</t>
  </si>
  <si>
    <t>Naze</t>
  </si>
  <si>
    <t>Nemuro</t>
  </si>
  <si>
    <t>Neyagawa</t>
  </si>
  <si>
    <t>Nichinan</t>
  </si>
  <si>
    <t>Nihommatsu</t>
  </si>
  <si>
    <t>Niihama</t>
  </si>
  <si>
    <t>Niimi</t>
  </si>
  <si>
    <t>Niitsu-Honchå</t>
  </si>
  <si>
    <t>Niitsu-honchÅ</t>
  </si>
  <si>
    <t>Nikkå</t>
  </si>
  <si>
    <t>NikkÅ</t>
  </si>
  <si>
    <t>Ninomiya</t>
  </si>
  <si>
    <t>Nirasaki</t>
  </si>
  <si>
    <t>Nishifukuma</t>
  </si>
  <si>
    <t>Nishinomiya-hama</t>
  </si>
  <si>
    <t>Nishinoomote</t>
  </si>
  <si>
    <t>Nishio</t>
  </si>
  <si>
    <t>Nishishinminato</t>
  </si>
  <si>
    <t>Nishi-Tokyo-shi</t>
  </si>
  <si>
    <t>Nishiwaki</t>
  </si>
  <si>
    <t>Nobeoka</t>
  </si>
  <si>
    <t>Noda</t>
  </si>
  <si>
    <t>NONOICHI</t>
  </si>
  <si>
    <t>Nonoichi</t>
  </si>
  <si>
    <t>Noshiro</t>
  </si>
  <si>
    <t>Numata</t>
  </si>
  <si>
    <t>Numazu</t>
  </si>
  <si>
    <t>Nyå «zen</t>
  </si>
  <si>
    <t>NyÅ«zen</t>
  </si>
  <si>
    <t>Obama</t>
  </si>
  <si>
    <t>Obanazawa</t>
  </si>
  <si>
    <t>Obihiro</t>
  </si>
  <si>
    <t>Obita</t>
  </si>
  <si>
    <t>Odawara</t>
  </si>
  <si>
    <t>Ogå Ri-Shimogå</t>
  </si>
  <si>
    <t>OgÅri-shimogÅ</t>
  </si>
  <si>
    <t>Ogawa</t>
  </si>
  <si>
    <t>OJIYA</t>
  </si>
  <si>
    <t>Ojiya</t>
  </si>
  <si>
    <t>Oka</t>
  </si>
  <si>
    <t>Okaya</t>
  </si>
  <si>
    <t>Okingama</t>
  </si>
  <si>
    <t>Okazaki</t>
  </si>
  <si>
    <t>OKEGAWA</t>
  </si>
  <si>
    <t>Okegawa</t>
  </si>
  <si>
    <t>Okunoya</t>
  </si>
  <si>
    <t>Omigawa</t>
  </si>
  <si>
    <t>Ono</t>
  </si>
  <si>
    <t>Onoda</t>
  </si>
  <si>
    <t>Onomichi</t>
  </si>
  <si>
    <t>Osaka</t>
  </si>
  <si>
    <t>Otaru</t>
  </si>
  <si>
    <t>Otofuke</t>
  </si>
  <si>
    <t>Owase</t>
  </si>
  <si>
    <t>Oyama</t>
  </si>
  <si>
    <t>Rifu</t>
  </si>
  <si>
    <t>Rumoi</t>
  </si>
  <si>
    <t>Ryå «Å</t>
  </si>
  <si>
    <t>RyÅ«Å</t>
  </si>
  <si>
    <t>Ryå «Gasaki</t>
  </si>
  <si>
    <t>RyÅ«gasaki</t>
  </si>
  <si>
    <t>Ryå Tsu-Minato</t>
  </si>
  <si>
    <t>RyÅtsu-minato</t>
  </si>
  <si>
    <t>Så Ja</t>
  </si>
  <si>
    <t>SÅja</t>
  </si>
  <si>
    <t>Så ka</t>
  </si>
  <si>
    <t>SÅka</t>
  </si>
  <si>
    <t>Sabae</t>
  </si>
  <si>
    <t>Saga</t>
  </si>
  <si>
    <t>Sagae</t>
  </si>
  <si>
    <t>Sagara</t>
  </si>
  <si>
    <t>Saijå</t>
  </si>
  <si>
    <t>SaijÅ</t>
  </si>
  <si>
    <t>Saiki</t>
  </si>
  <si>
    <t>Sakado</t>
  </si>
  <si>
    <t>Sakai</t>
  </si>
  <si>
    <t>Sakaidechå</t>
  </si>
  <si>
    <t>SakaidechÅ</t>
  </si>
  <si>
    <t>Sakaiminato</t>
  </si>
  <si>
    <t>Sakai-nakajima</t>
  </si>
  <si>
    <t>Sakata</t>
  </si>
  <si>
    <t>Saku</t>
  </si>
  <si>
    <t>Sakura</t>
  </si>
  <si>
    <t>Sakurai</t>
  </si>
  <si>
    <t>Sandachå</t>
  </si>
  <si>
    <t>SandachÅ</t>
  </si>
  <si>
    <t>Sanjå</t>
  </si>
  <si>
    <t>SanjÅ</t>
  </si>
  <si>
    <t>Sano</t>
  </si>
  <si>
    <t>Sapporo</t>
  </si>
  <si>
    <t>Sasaguri</t>
  </si>
  <si>
    <t>Sasayama</t>
  </si>
  <si>
    <t>Sasebo</t>
  </si>
  <si>
    <t>Satsumasendai</t>
  </si>
  <si>
    <t>SATTE</t>
  </si>
  <si>
    <t>Satte</t>
  </si>
  <si>
    <t>Sawara</t>
  </si>
  <si>
    <t>Sayama</t>
  </si>
  <si>
    <t>Sendai</t>
  </si>
  <si>
    <t>Setakamachi-takayanagi</t>
  </si>
  <si>
    <t>SETO</t>
  </si>
  <si>
    <t>Seto</t>
  </si>
  <si>
    <t>Shå Bara</t>
  </si>
  <si>
    <t>ShÅbara</t>
  </si>
  <si>
    <t>Shå bu</t>
  </si>
  <si>
    <t>ShÅbu</t>
  </si>
  <si>
    <t>Shibata</t>
  </si>
  <si>
    <t>Shibetsu</t>
  </si>
  <si>
    <t>Shibukawa</t>
  </si>
  <si>
    <t>Shibushi</t>
  </si>
  <si>
    <t>Shido</t>
  </si>
  <si>
    <t>Shiki</t>
  </si>
  <si>
    <t>Shimabara</t>
  </si>
  <si>
    <t>Shimada</t>
  </si>
  <si>
    <t>Shimoda</t>
  </si>
  <si>
    <t>Shimodate</t>
  </si>
  <si>
    <t>Shimo-Furano</t>
  </si>
  <si>
    <t>Shimo-furano</t>
  </si>
  <si>
    <t>Shimokizukuri</t>
  </si>
  <si>
    <t>Shimonoseki</t>
  </si>
  <si>
    <t>Shimotoda</t>
  </si>
  <si>
    <t>Shin'iChi</t>
  </si>
  <si>
    <t>Shinâ€™ichi</t>
  </si>
  <si>
    <t>Shingå «</t>
  </si>
  <si>
    <t>ShingÅ«</t>
  </si>
  <si>
    <t>Shinjå</t>
  </si>
  <si>
    <t>ShinjÅ</t>
  </si>
  <si>
    <t>Shinshiro</t>
  </si>
  <si>
    <t>Shiogama</t>
  </si>
  <si>
    <t>Shiojiri</t>
  </si>
  <si>
    <t>Shiozawa</t>
  </si>
  <si>
    <t>Shirahamachå -Usazakiminami</t>
  </si>
  <si>
    <t>ShirahamachÅ-usazakiminami</t>
  </si>
  <si>
    <t>Shiraoi</t>
  </si>
  <si>
    <t>Shiraoka</t>
  </si>
  <si>
    <t>Shiroi</t>
  </si>
  <si>
    <t>Shiroishi</t>
  </si>
  <si>
    <t>Shirone</t>
  </si>
  <si>
    <t>Shisui</t>
  </si>
  <si>
    <t>Shizukuishi</t>
  </si>
  <si>
    <t>Shizunai-Furukawachå</t>
  </si>
  <si>
    <t>Shizunai-furukawachÅ</t>
  </si>
  <si>
    <t>Sobue</t>
  </si>
  <si>
    <t>Sueyoshichå -ninokata</t>
  </si>
  <si>
    <t>SueyoshichÅ-ninokata</t>
  </si>
  <si>
    <t>Sugito</t>
  </si>
  <si>
    <t>Suibara</t>
  </si>
  <si>
    <t>Traje</t>
  </si>
  <si>
    <t>Suita</t>
  </si>
  <si>
    <t>Sukagawa</t>
  </si>
  <si>
    <t>Sukumo</t>
  </si>
  <si>
    <t>SUMOTO</t>
  </si>
  <si>
    <t>Sumoto</t>
  </si>
  <si>
    <t>Sunagawa</t>
  </si>
  <si>
    <t>Susaki</t>
  </si>
  <si>
    <t>Suwa</t>
  </si>
  <si>
    <t>Suzaka</t>
  </si>
  <si>
    <t>Suzuka</t>
  </si>
  <si>
    <t>Tå Betsu</t>
  </si>
  <si>
    <t>TÅbetsu</t>
  </si>
  <si>
    <t>Tå Gane</t>
  </si>
  <si>
    <t>TÅgane</t>
  </si>
  <si>
    <t>Tå Kamachi</t>
  </si>
  <si>
    <t>TÅkamachi</t>
  </si>
  <si>
    <t>Tå não</t>
  </si>
  <si>
    <t>TÅno</t>
  </si>
  <si>
    <t>Tadotsu</t>
  </si>
  <si>
    <t>Tagawa</t>
  </si>
  <si>
    <t>Tahara</t>
  </si>
  <si>
    <t>Tajimi</t>
  </si>
  <si>
    <t>Takahagi</t>
  </si>
  <si>
    <t>Takahama</t>
  </si>
  <si>
    <t>Takahashi</t>
  </si>
  <si>
    <t>Takahata</t>
  </si>
  <si>
    <t>Takaishi</t>
  </si>
  <si>
    <t>Takamatsu</t>
  </si>
  <si>
    <t>Takanabe</t>
  </si>
  <si>
    <t>Takanosu</t>
  </si>
  <si>
    <t>Takaoka</t>
  </si>
  <si>
    <t>Takarazuka</t>
  </si>
  <si>
    <t>Takasaki</t>
  </si>
  <si>
    <t>Takatsuki</t>
  </si>
  <si>
    <t>Takayama</t>
  </si>
  <si>
    <t>Takedamachi</t>
  </si>
  <si>
    <t>Takefu</t>
  </si>
  <si>
    <t>Takehara</t>
  </si>
  <si>
    <t>Takeochå -Takeo</t>
  </si>
  <si>
    <t>TakeochÅ-takeo</t>
  </si>
  <si>
    <t>Taketoyo</t>
  </si>
  <si>
    <t>Takikawa</t>
  </si>
  <si>
    <t>Tamamura</t>
  </si>
  <si>
    <t>Tamana</t>
  </si>
  <si>
    <t>Tamano</t>
  </si>
  <si>
    <t>Tanabe</t>
  </si>
  <si>
    <t>Tanashichå</t>
  </si>
  <si>
    <t>TanashichÅ</t>
  </si>
  <si>
    <t>Tanuma</t>
  </si>
  <si>
    <t>Tanushimarumachi-Toyoki</t>
  </si>
  <si>
    <t>Tanushimarumachi-toyoki</t>
  </si>
  <si>
    <t>Tarui</t>
  </si>
  <si>
    <t>Tarumizu</t>
  </si>
  <si>
    <t>Tatebayashi</t>
  </si>
  <si>
    <t>Tateyama</t>
  </si>
  <si>
    <t>Tatsuno</t>
  </si>
  <si>
    <t>Tatsunochå -tominaga</t>
  </si>
  <si>
    <t>TatsunochÅ-tominaga</t>
  </si>
  <si>
    <t>Tawaramoto</t>
  </si>
  <si>
    <t>Tendå</t>
  </si>
  <si>
    <t>TendÅ</t>
  </si>
  <si>
    <t>Tennå</t>
  </si>
  <si>
    <t>TennÅ</t>
  </si>
  <si>
    <t>Tenri</t>
  </si>
  <si>
    <t>Toba</t>
  </si>
  <si>
    <t>Tochio-Honchå</t>
  </si>
  <si>
    <t>Tochio-honchÅ</t>
  </si>
  <si>
    <t>Togitsu</t>
  </si>
  <si>
    <t>Toki</t>
  </si>
  <si>
    <t>Tokoname</t>
  </si>
  <si>
    <t>Tokorozawa</t>
  </si>
  <si>
    <t>Tokuyama</t>
  </si>
  <si>
    <t>Tóquio</t>
  </si>
  <si>
    <t>Tomakomai</t>
  </si>
  <si>
    <t>Tomigusuku</t>
  </si>
  <si>
    <t>Tomioka</t>
  </si>
  <si>
    <t>Tomiya</t>
  </si>
  <si>
    <t>Tomobe</t>
  </si>
  <si>
    <t>Tondabayashichå</t>
  </si>
  <si>
    <t>TondabayashichÅ</t>
  </si>
  <si>
    <t>Tonoshå</t>
  </si>
  <si>
    <t>TonoshÅ</t>
  </si>
  <si>
    <t>Toride</t>
  </si>
  <si>
    <t>Tosu</t>
  </si>
  <si>
    <t>Toyohama</t>
  </si>
  <si>
    <t>Toyohashi</t>
  </si>
  <si>
    <t>Toyokawa</t>
  </si>
  <si>
    <t>Toyonaka</t>
  </si>
  <si>
    <t>Toyooka</t>
  </si>
  <si>
    <t>Toyoshina</t>
  </si>
  <si>
    <t>Toyota</t>
  </si>
  <si>
    <t>TSU</t>
  </si>
  <si>
    <t>Tsu</t>
  </si>
  <si>
    <t>Tsubame</t>
  </si>
  <si>
    <t>Tsubata</t>
  </si>
  <si>
    <t>Tsukawaki</t>
  </si>
  <si>
    <t>Tsukuba</t>
  </si>
  <si>
    <t>Tsukumiura</t>
  </si>
  <si>
    <t>Tsuma</t>
  </si>
  <si>
    <t>Tsuruga</t>
  </si>
  <si>
    <t>Tsurugi-asahimachi</t>
  </si>
  <si>
    <t>Tsuruoka</t>
  </si>
  <si>
    <t>Tsurusaki</t>
  </si>
  <si>
    <t>Tsushima</t>
  </si>
  <si>
    <t>Tsuyama</t>
  </si>
  <si>
    <t>Ube</t>
  </si>
  <si>
    <t>Ueda</t>
  </si>
  <si>
    <t>Ueki</t>
  </si>
  <si>
    <t>Ueno-ebisumachi</t>
  </si>
  <si>
    <t>Uenohara</t>
  </si>
  <si>
    <t>Uji</t>
  </si>
  <si>
    <t>Ujiie</t>
  </si>
  <si>
    <t>Umi</t>
  </si>
  <si>
    <t>Uozu</t>
  </si>
  <si>
    <t>Urayasu</t>
  </si>
  <si>
    <t>Ureshinomachi-Shimojuku</t>
  </si>
  <si>
    <t>Ureshinomachi-shimojuku</t>
  </si>
  <si>
    <t>USHIBUKA</t>
  </si>
  <si>
    <t>Ushibuka</t>
  </si>
  <si>
    <t>Ushiku</t>
  </si>
  <si>
    <t>Usuki</t>
  </si>
  <si>
    <t>Uto</t>
  </si>
  <si>
    <t>Utsunomiya</t>
  </si>
  <si>
    <t>Uwajima</t>
  </si>
  <si>
    <t>Wakimachi</t>
  </si>
  <si>
    <t>Wakkanai</t>
  </si>
  <si>
    <t>Wako</t>
  </si>
  <si>
    <t>Wakuya</t>
  </si>
  <si>
    <t>Watari</t>
  </si>
  <si>
    <t>Yå «ki</t>
  </si>
  <si>
    <t>YÅ«ki</t>
  </si>
  <si>
    <t>Yå Kaichiba</t>
  </si>
  <si>
    <t>YÅkaichiba</t>
  </si>
  <si>
    <t>Yachimata</t>
  </si>
  <si>
    <t>Yaita</t>
  </si>
  <si>
    <t>Yaizu</t>
  </si>
  <si>
    <t>Yamada</t>
  </si>
  <si>
    <t>Yamaga</t>
  </si>
  <si>
    <t>Yamazakichå -nakabirose</t>
  </si>
  <si>
    <t>YamazakichÅ-nakabirose</t>
  </si>
  <si>
    <t>Yamoto</t>
  </si>
  <si>
    <t>Yanagawa</t>
  </si>
  <si>
    <t>Yanagawamachi-Saiwaichå</t>
  </si>
  <si>
    <t>Yanagawamachi-saiwaichÅ</t>
  </si>
  <si>
    <t>Yanai</t>
  </si>
  <si>
    <t>Yao</t>
  </si>
  <si>
    <t>Yashio-shi</t>
  </si>
  <si>
    <t>Yashiro</t>
  </si>
  <si>
    <t>Yasugichå</t>
  </si>
  <si>
    <t>YasugichÅ</t>
  </si>
  <si>
    <t>Yatsuomachi-higashikumisaka</t>
  </si>
  <si>
    <t>Yatsushiro</t>
  </si>
  <si>
    <t>Yawata</t>
  </si>
  <si>
    <t>Yoichi</t>
  </si>
  <si>
    <t>Yokkaichi</t>
  </si>
  <si>
    <t>Yokohama</t>
  </si>
  <si>
    <t>Yokosuka</t>
  </si>
  <si>
    <t>Yokotemachi</t>
  </si>
  <si>
    <t>Yonago</t>
  </si>
  <si>
    <t>Yonezawa</t>
  </si>
  <si>
    <t>Yono</t>
  </si>
  <si>
    <t>Yorii</t>
  </si>
  <si>
    <t>Yoshida-Kasugachå</t>
  </si>
  <si>
    <t>Yoshida-kasugachÅ</t>
  </si>
  <si>
    <t>Yoshii</t>
  </si>
  <si>
    <t>Yoshikawa</t>
  </si>
  <si>
    <t>Yotsukaidå</t>
  </si>
  <si>
    <t>YotsukaidÅ</t>
  </si>
  <si>
    <t>Youkaichi</t>
  </si>
  <si>
    <t>Yugawara</t>
  </si>
  <si>
    <t>Yukuhashi</t>
  </si>
  <si>
    <t>Yuza</t>
  </si>
  <si>
    <t>Yuzawa</t>
  </si>
  <si>
    <t>Zama</t>
  </si>
  <si>
    <t>Zushi</t>
  </si>
  <si>
    <t>Saint Helier</t>
  </si>
  <si>
    <t>Jersey</t>
  </si>
  <si>
    <t>St Helier</t>
  </si>
  <si>
    <t>â € ˜ajlå «n</t>
  </si>
  <si>
    <t>â€˜AjlÅ«n</t>
  </si>
  <si>
    <t>Jordan</t>
  </si>
  <si>
    <t>Ajlun</t>
  </si>
  <si>
    <t>â € 'ANJARAH</t>
  </si>
  <si>
    <t>â€˜Anjarah</t>
  </si>
  <si>
    <t>â € ˜izrä</t>
  </si>
  <si>
    <t>â€˜IzrÄ</t>
  </si>
  <si>
    <t>Karak</t>
  </si>
  <si>
    <t>Aå £ Å ¢ afä «lah</t>
  </si>
  <si>
    <t>AÅ£ Å¢afÄ«lah</t>
  </si>
  <si>
    <t>Tafielah</t>
  </si>
  <si>
    <t>Al Jubayhah</t>
  </si>
  <si>
    <t>Amman</t>
  </si>
  <si>
    <t>Al Quwaysimah</t>
  </si>
  <si>
    <t>Amã</t>
  </si>
  <si>
    <t>Aqaba</t>
  </si>
  <si>
    <t>Ar ramthä</t>
  </si>
  <si>
    <t>Ar RamthÄ</t>
  </si>
  <si>
    <t>Irbid</t>
  </si>
  <si>
    <t>Como salå £</t>
  </si>
  <si>
    <t>As SalÅ£</t>
  </si>
  <si>
    <t>Balqa</t>
  </si>
  <si>
    <t>Aydå «n</t>
  </si>
  <si>
    <t>AydÅ«n</t>
  </si>
  <si>
    <t>Jarash</t>
  </si>
  <si>
    <t>Jerash</t>
  </si>
  <si>
    <t>Judita</t>
  </si>
  <si>
    <t>Cidade de Karak</t>
  </si>
  <si>
    <t>Karak City</t>
  </si>
  <si>
    <t>Kurayyimah</t>
  </si>
  <si>
    <t>Mä Dabä</t>
  </si>
  <si>
    <t>MÄdabÄ</t>
  </si>
  <si>
    <t>Madaba</t>
  </si>
  <si>
    <t>Ma'an</t>
  </si>
  <si>
    <t>Maâ€™an</t>
  </si>
  <si>
    <t>Mafraq</t>
  </si>
  <si>
    <t>Qä «r moä v</t>
  </si>
  <si>
    <t>QÄ«r MoÄv</t>
  </si>
  <si>
    <t>Russeifa</t>
  </si>
  <si>
    <t>Zarqa</t>
  </si>
  <si>
    <t>Saá¸ © ä b</t>
  </si>
  <si>
    <t>Saá¸©Äb</t>
  </si>
  <si>
    <t>Safi</t>
  </si>
  <si>
    <t>Umm como sumä q</t>
  </si>
  <si>
    <t>Umm as SummÄq</t>
  </si>
  <si>
    <t>Wä dä «como sä« r</t>
  </si>
  <si>
    <t>WÄdÄ« as SÄ«r</t>
  </si>
  <si>
    <t>Abay</t>
  </si>
  <si>
    <t>Kazakhstan</t>
  </si>
  <si>
    <t>Qaraghandy</t>
  </si>
  <si>
    <t>Akkol '</t>
  </si>
  <si>
    <t>Akkolâ€™</t>
  </si>
  <si>
    <t>Aqmola</t>
  </si>
  <si>
    <t>Aksu</t>
  </si>
  <si>
    <t>Pavlodar</t>
  </si>
  <si>
    <t>OngtÃ¼stik Qazaqstan</t>
  </si>
  <si>
    <t>Aktau</t>
  </si>
  <si>
    <t>MangghystaÅ«</t>
  </si>
  <si>
    <t>Almaty</t>
  </si>
  <si>
    <t>Almaty Qalasy</t>
  </si>
  <si>
    <t>Aqsay</t>
  </si>
  <si>
    <t>Batys Qazaqstan</t>
  </si>
  <si>
    <t>Aqtãbe</t>
  </si>
  <si>
    <t>AqtÃ¶be</t>
  </si>
  <si>
    <t>Qyzylorda</t>
  </si>
  <si>
    <t>Arkalyk</t>
  </si>
  <si>
    <t>Qostanay</t>
  </si>
  <si>
    <t>Arys</t>
  </si>
  <si>
    <t>Astana</t>
  </si>
  <si>
    <t>Astana Qalasy</t>
  </si>
  <si>
    <t>Atbasar</t>
  </si>
  <si>
    <t>Atyrau</t>
  </si>
  <si>
    <t>AtyraÅ«</t>
  </si>
  <si>
    <t>Ayagoz</t>
  </si>
  <si>
    <t>East Kazakhstan</t>
  </si>
  <si>
    <t>Ayteke bi</t>
  </si>
  <si>
    <t>Ayteke Bi</t>
  </si>
  <si>
    <t>Balqash</t>
  </si>
  <si>
    <t>Balyqshy</t>
  </si>
  <si>
    <t>Baykonyr</t>
  </si>
  <si>
    <t>Bayqongyr Qalasy</t>
  </si>
  <si>
    <t>Burunday</t>
  </si>
  <si>
    <t>Almaty Oblysy</t>
  </si>
  <si>
    <t>Chu</t>
  </si>
  <si>
    <t>Zhambyl</t>
  </si>
  <si>
    <t>Dzhetygara</t>
  </si>
  <si>
    <t>Ekibastuz</t>
  </si>
  <si>
    <t>Embi</t>
  </si>
  <si>
    <t>Esik</t>
  </si>
  <si>
    <t>Georgä Evka</t>
  </si>
  <si>
    <t>GeorgÄ«evka</t>
  </si>
  <si>
    <t>Kandyagash</t>
  </si>
  <si>
    <t>Kapshagay</t>
  </si>
  <si>
    <t>Karagandy</t>
  </si>
  <si>
    <t>Karatau</t>
  </si>
  <si>
    <t>Kentau</t>
  </si>
  <si>
    <t>Khromtau</t>
  </si>
  <si>
    <t>Kokshetau</t>
  </si>
  <si>
    <t>Kostanay</t>
  </si>
  <si>
    <t>Kyzylorda</t>
  </si>
  <si>
    <t>Kyzyl-Odera</t>
  </si>
  <si>
    <t>Kyzyl-Orda</t>
  </si>
  <si>
    <t>Lenger</t>
  </si>
  <si>
    <t>Lisakovsk</t>
  </si>
  <si>
    <t>Makä «nsk</t>
  </si>
  <si>
    <t>MakÄ«nsk</t>
  </si>
  <si>
    <t>Merke</t>
  </si>
  <si>
    <t>Oral</t>
  </si>
  <si>
    <t>Otegen Batyra</t>
  </si>
  <si>
    <t>PETOPAVL</t>
  </si>
  <si>
    <t>Petropavl</t>
  </si>
  <si>
    <t>SoltÃ¼stik Qazaqstan</t>
  </si>
  <si>
    <t>Qulsário</t>
  </si>
  <si>
    <t>Qulsary</t>
  </si>
  <si>
    <t>Ridder</t>
  </si>
  <si>
    <t>Rudnyy</t>
  </si>
  <si>
    <t>Sarkand</t>
  </si>
  <si>
    <t>Saryaghash</t>
  </si>
  <si>
    <t>Sarykemer</t>
  </si>
  <si>
    <t>Semey</t>
  </si>
  <si>
    <t>Shä «eli</t>
  </si>
  <si>
    <t>ShÄ«eli</t>
  </si>
  <si>
    <t>Shalkar</t>
  </si>
  <si>
    <t>Shalqar</t>
  </si>
  <si>
    <t>Shardara</t>
  </si>
  <si>
    <t>Shchå «chä« nsk</t>
  </si>
  <si>
    <t>ShchÅ«chÄ«nsk</t>
  </si>
  <si>
    <t>Shemonaä «kha</t>
  </si>
  <si>
    <t>ShemonaÄ«kha</t>
  </si>
  <si>
    <t>Shymkent</t>
  </si>
  <si>
    <t>Sorang</t>
  </si>
  <si>
    <t>StepNogorsk</t>
  </si>
  <si>
    <t>Stepnogorsk</t>
  </si>
  <si>
    <t>Taldykorgan</t>
  </si>
  <si>
    <t>Taldyqorghan</t>
  </si>
  <si>
    <t>Talghar</t>
  </si>
  <si>
    <t>Taraz</t>
  </si>
  <si>
    <t>Tasbãget</t>
  </si>
  <si>
    <t>TasbÃ¶get</t>
  </si>
  <si>
    <t>Tekeli</t>
  </si>
  <si>
    <t>Temirtau</t>
  </si>
  <si>
    <t>Turquestão</t>
  </si>
  <si>
    <t>Turkestan</t>
  </si>
  <si>
    <t>Ush-tyube</t>
  </si>
  <si>
    <t>Ush-Tyube</t>
  </si>
  <si>
    <t>Ust-kamenogorsk</t>
  </si>
  <si>
    <t>Ust-Kamenogorsk</t>
  </si>
  <si>
    <t>Vannovka</t>
  </si>
  <si>
    <t>Yanykurgan</t>
  </si>
  <si>
    <t>Zaysan</t>
  </si>
  <si>
    <t>Zhanaozen</t>
  </si>
  <si>
    <t>Zhangatas</t>
  </si>
  <si>
    <t>Zharkent</t>
  </si>
  <si>
    <t>Zhezqazghan</t>
  </si>
  <si>
    <t>Zhosaly</t>
  </si>
  <si>
    <t>Zyryanovsk</t>
  </si>
  <si>
    <t>Rio Athi</t>
  </si>
  <si>
    <t>Athi River</t>
  </si>
  <si>
    <t>Kenya</t>
  </si>
  <si>
    <t>Machakos</t>
  </si>
  <si>
    <t>Bungoma</t>
  </si>
  <si>
    <t>Busia</t>
  </si>
  <si>
    <t>Eldoret</t>
  </si>
  <si>
    <t>Uasin Gishu</t>
  </si>
  <si>
    <t>Garissa</t>
  </si>
  <si>
    <t>HOMA BAY</t>
  </si>
  <si>
    <t>Homa Bay</t>
  </si>
  <si>
    <t>Isiolo</t>
  </si>
  <si>
    <t>Kabarnet</t>
  </si>
  <si>
    <t>Baringo</t>
  </si>
  <si>
    <t>Kakamega</t>
  </si>
  <si>
    <t>Kapenguria</t>
  </si>
  <si>
    <t>West Pokot</t>
  </si>
  <si>
    <t>Karuri</t>
  </si>
  <si>
    <t>Murang'A</t>
  </si>
  <si>
    <t>Kericó</t>
  </si>
  <si>
    <t>Kericho</t>
  </si>
  <si>
    <t>Keruguya</t>
  </si>
  <si>
    <t>Kirinyaga</t>
  </si>
  <si>
    <t>Kiambu</t>
  </si>
  <si>
    <t>Kilifi</t>
  </si>
  <si>
    <t>Kisii</t>
  </si>
  <si>
    <t>Kisumu</t>
  </si>
  <si>
    <t>Kitale</t>
  </si>
  <si>
    <t>Trans Nzoia</t>
  </si>
  <si>
    <t>Kitui</t>
  </si>
  <si>
    <t>Lamu</t>
  </si>
  <si>
    <t>Lodwar</t>
  </si>
  <si>
    <t>Turkana</t>
  </si>
  <si>
    <t>Lugulu</t>
  </si>
  <si>
    <t>Makueni</t>
  </si>
  <si>
    <t>Malindi</t>
  </si>
  <si>
    <t>Mandera</t>
  </si>
  <si>
    <t>Maralal</t>
  </si>
  <si>
    <t>Samburu</t>
  </si>
  <si>
    <t>Marsabit</t>
  </si>
  <si>
    <t>Mbale</t>
  </si>
  <si>
    <t>Vihiga</t>
  </si>
  <si>
    <t>Meru</t>
  </si>
  <si>
    <t>Migori</t>
  </si>
  <si>
    <t>Molo</t>
  </si>
  <si>
    <t>Nakuru</t>
  </si>
  <si>
    <t>Mombasa</t>
  </si>
  <si>
    <t>Moyale</t>
  </si>
  <si>
    <t>Muhoroni</t>
  </si>
  <si>
    <t>Mumias</t>
  </si>
  <si>
    <t>Nairobi</t>
  </si>
  <si>
    <t>Nairobi Area</t>
  </si>
  <si>
    <t>Naivasha</t>
  </si>
  <si>
    <t>Nanyuki</t>
  </si>
  <si>
    <t>Laikipia</t>
  </si>
  <si>
    <t>Narok</t>
  </si>
  <si>
    <t>Nyahururu</t>
  </si>
  <si>
    <t>Nyeri</t>
  </si>
  <si>
    <t>Ol Kalou</t>
  </si>
  <si>
    <t>Nyandarua</t>
  </si>
  <si>
    <t>Pumwani</t>
  </si>
  <si>
    <t>Rongai</t>
  </si>
  <si>
    <t>Siaya</t>
  </si>
  <si>
    <t>Thika</t>
  </si>
  <si>
    <t>Voi</t>
  </si>
  <si>
    <t>Taita Taveta</t>
  </si>
  <si>
    <t>Wajir</t>
  </si>
  <si>
    <t>Webuye</t>
  </si>
  <si>
    <t>Tarawa</t>
  </si>
  <si>
    <t>Kiribati</t>
  </si>
  <si>
    <t>Gilbert Islands</t>
  </si>
  <si>
    <t>De dan§an</t>
  </si>
  <si>
    <t>DeÃ§an</t>
  </si>
  <si>
    <t>Kosovo</t>
  </si>
  <si>
    <t>Gjakova</t>
  </si>
  <si>
    <t>Dragash</t>
  </si>
  <si>
    <t>Prizren</t>
  </si>
  <si>
    <t>Ferizaj</t>
  </si>
  <si>
    <t>Gjakovã</t>
  </si>
  <si>
    <t>GjakovÃ«</t>
  </si>
  <si>
    <t>Gjilan</t>
  </si>
  <si>
    <t>Glogovac</t>
  </si>
  <si>
    <t>Pristina</t>
  </si>
  <si>
    <t>Istok</t>
  </si>
  <si>
    <t>Pec</t>
  </si>
  <si>
    <t>Kosovo Polje</t>
  </si>
  <si>
    <t>Leposaviq</t>
  </si>
  <si>
    <t>Mitrovica</t>
  </si>
  <si>
    <t>Llazicã</t>
  </si>
  <si>
    <t>LlazicÃ«</t>
  </si>
  <si>
    <t>Mitrovicã</t>
  </si>
  <si>
    <t>MitrovicÃ«</t>
  </si>
  <si>
    <t>ORAHOVAC</t>
  </si>
  <si>
    <t>Orahovac</t>
  </si>
  <si>
    <t>Pejã «</t>
  </si>
  <si>
    <t>PejÃ«</t>
  </si>
  <si>
    <t>Podujeva</t>
  </si>
  <si>
    <t>Shtime</t>
  </si>
  <si>
    <t>Suva Reka</t>
  </si>
  <si>
    <t>Vitina</t>
  </si>
  <si>
    <t>Vushtrri</t>
  </si>
  <si>
    <t>Zveä an</t>
  </si>
  <si>
    <t>ZveÄan</t>
  </si>
  <si>
    <t>á¸ëawallä «</t>
  </si>
  <si>
    <t>á¸¨awallÄ«</t>
  </si>
  <si>
    <t>Kuwait</t>
  </si>
  <si>
    <t>Muá¸©ÄfazÌ§at á¸¨awallÄ«</t>
  </si>
  <si>
    <t>Ad Dasmah</t>
  </si>
  <si>
    <t>Al Asimah</t>
  </si>
  <si>
    <t>Al aá¸ © madä «</t>
  </si>
  <si>
    <t>Al Aá¸©madÄ«</t>
  </si>
  <si>
    <t>Al Faá¸ © ä á¸ © ä «l</t>
  </si>
  <si>
    <t>Al Faá¸©Äá¸©Ä«l</t>
  </si>
  <si>
    <t>Al Farwä nä «yah</t>
  </si>
  <si>
    <t>Al FarwÄnÄ«yah</t>
  </si>
  <si>
    <t>Al Farwaniyah</t>
  </si>
  <si>
    <t>Al Finå £ ä s</t>
  </si>
  <si>
    <t>Al FinÅ£Äs</t>
  </si>
  <si>
    <t>Al Jahrä -</t>
  </si>
  <si>
    <t>Al JahrÄâ€™</t>
  </si>
  <si>
    <t>Al JahrÄÊ¼</t>
  </si>
  <si>
    <t>Al mahbå «lah</t>
  </si>
  <si>
    <t>Al MahbÅ«lah</t>
  </si>
  <si>
    <t>Al Manqaf</t>
  </si>
  <si>
    <t>Ar rä biyah</t>
  </si>
  <si>
    <t>Ar RÄbiyah</t>
  </si>
  <si>
    <t>Ar riqqah</t>
  </si>
  <si>
    <t>Ar Riqqah</t>
  </si>
  <si>
    <t>Ar rumaythä «yah</t>
  </si>
  <si>
    <t>Ar RumaythÄ«yah</t>
  </si>
  <si>
    <t>Como sä limä «yah</t>
  </si>
  <si>
    <t>As SÄlimÄ«yah</t>
  </si>
  <si>
    <t>Åžabä Á¸ © como Sä Lim</t>
  </si>
  <si>
    <t>ÅžabÄá¸© as SÄlim</t>
  </si>
  <si>
    <t>MubÄrak al KabÄ«r</t>
  </si>
  <si>
    <t>Bayä n</t>
  </si>
  <si>
    <t>BayÄn</t>
  </si>
  <si>
    <t>Janå «b como Surrah</t>
  </si>
  <si>
    <t>JanÅ«b as Surrah</t>
  </si>
  <si>
    <t>Cidade de Kuwait</t>
  </si>
  <si>
    <t>Kuwait City</t>
  </si>
  <si>
    <t>Salw avé</t>
  </si>
  <si>
    <t>SalwÃ¡</t>
  </si>
  <si>
    <t>AT-Bashi</t>
  </si>
  <si>
    <t>At-Bashi</t>
  </si>
  <si>
    <t>Kyrgyzstan</t>
  </si>
  <si>
    <t>Naryn</t>
  </si>
  <si>
    <t>Balykchy</t>
  </si>
  <si>
    <t>Ysyk-KÃ¶l</t>
  </si>
  <si>
    <t>Bazar-Korgon</t>
  </si>
  <si>
    <t>Jalal-Abad</t>
  </si>
  <si>
    <t>Bishkek</t>
  </si>
  <si>
    <t>Cholpon-ata</t>
  </si>
  <si>
    <t>Cholpon-Ata</t>
  </si>
  <si>
    <t>IRADAN</t>
  </si>
  <si>
    <t>Iradan</t>
  </si>
  <si>
    <t>Batken</t>
  </si>
  <si>
    <t>Isfana</t>
  </si>
  <si>
    <t>Kant</t>
  </si>
  <si>
    <t>ChÃ¼y</t>
  </si>
  <si>
    <t>Kara Suu</t>
  </si>
  <si>
    <t>Osh</t>
  </si>
  <si>
    <t>Kara-Balta</t>
  </si>
  <si>
    <t>Karakol</t>
  </si>
  <si>
    <t>Kyzyl-Kyya</t>
  </si>
  <si>
    <t>Kyzyl-suu</t>
  </si>
  <si>
    <t>Kyzyl-Suu</t>
  </si>
  <si>
    <t>Osh City</t>
  </si>
  <si>
    <t>Suluktu</t>
  </si>
  <si>
    <t>Talas</t>
  </si>
  <si>
    <t>Tash-Kumyr</t>
  </si>
  <si>
    <t>Tokmok</t>
  </si>
  <si>
    <t>Toktogul</t>
  </si>
  <si>
    <t>Uzgen</t>
  </si>
  <si>
    <t>Ban Houakhoua</t>
  </si>
  <si>
    <t>Laos</t>
  </si>
  <si>
    <t>Bokeo Province</t>
  </si>
  <si>
    <t>Luang Prabang</t>
  </si>
  <si>
    <t>Louangphabang</t>
  </si>
  <si>
    <t>Muang Pakxan</t>
  </si>
  <si>
    <t>Bolikhamsai Province</t>
  </si>
  <si>
    <t>Muang Phãnsavan</t>
  </si>
  <si>
    <t>Muang PhÃ´nsavan</t>
  </si>
  <si>
    <t>Xiangkhoang</t>
  </si>
  <si>
    <t>Muang Xay</t>
  </si>
  <si>
    <t>OudÃ´mxai</t>
  </si>
  <si>
    <t>Pakx ©</t>
  </si>
  <si>
    <t>PakxÃ©</t>
  </si>
  <si>
    <t>Champasak</t>
  </si>
  <si>
    <t>Phonsavan</t>
  </si>
  <si>
    <t>Savannakhé T.</t>
  </si>
  <si>
    <t>SavannakhÃ©t</t>
  </si>
  <si>
    <t>SavannahkhÃ©t</t>
  </si>
  <si>
    <t>Thakhãk</t>
  </si>
  <si>
    <t>ThakhÃ¨k</t>
  </si>
  <si>
    <t>Khammouan</t>
  </si>
  <si>
    <t>Vangviang</t>
  </si>
  <si>
    <t>Vientiane Province</t>
  </si>
  <si>
    <t>Vientiane</t>
  </si>
  <si>
    <t>Xam Nua</t>
  </si>
  <si>
    <t>Houaphan</t>
  </si>
  <si>
    <t>Cä “sis</t>
  </si>
  <si>
    <t>CÄ“sis</t>
  </si>
  <si>
    <t>Latvia</t>
  </si>
  <si>
    <t>CÄ“su Rajons</t>
  </si>
  <si>
    <t>Daugavpils</t>
  </si>
  <si>
    <t>Daugavpils municipality</t>
  </si>
  <si>
    <t>Jä “Kabpils</t>
  </si>
  <si>
    <t>JÄ“kabpils</t>
  </si>
  <si>
    <t>JÄ“kabpils Municipality</t>
  </si>
  <si>
    <t>Jå «rmala</t>
  </si>
  <si>
    <t>JÅ«rmala</t>
  </si>
  <si>
    <t>Jelgava</t>
  </si>
  <si>
    <t>Liepä Ja</t>
  </si>
  <si>
    <t>LiepÄja</t>
  </si>
  <si>
    <t>Ogro</t>
  </si>
  <si>
    <t>Ogre</t>
  </si>
  <si>
    <t>Rä “Zekne</t>
  </si>
  <si>
    <t>RÄ“zekne</t>
  </si>
  <si>
    <t>Riga</t>
  </si>
  <si>
    <t>Salaspils</t>
  </si>
  <si>
    <t>Tukums</t>
  </si>
  <si>
    <t>Tukuma Rajons</t>
  </si>
  <si>
    <t>Valmiera</t>
  </si>
  <si>
    <t>Valmieras Rajons</t>
  </si>
  <si>
    <t>VEC-LIEPä JA</t>
  </si>
  <si>
    <t>Vec-LiepÄja</t>
  </si>
  <si>
    <t>Ventspils</t>
  </si>
  <si>
    <t>Baalbek</t>
  </si>
  <si>
    <t>Lebanon</t>
  </si>
  <si>
    <t>Baalbek-Hermel</t>
  </si>
  <si>
    <t>Bcharré</t>
  </si>
  <si>
    <t>BcharrÃ©</t>
  </si>
  <si>
    <t>Liban-Nord</t>
  </si>
  <si>
    <t>Beirute</t>
  </si>
  <si>
    <t>Beirut</t>
  </si>
  <si>
    <t>Beyrouth</t>
  </si>
  <si>
    <t>Djounie</t>
  </si>
  <si>
    <t>Mont-Liban</t>
  </si>
  <si>
    <t>Pt</t>
  </si>
  <si>
    <t>En NÃ¢qoÃ»ra</t>
  </si>
  <si>
    <t>Liban-Sud</t>
  </si>
  <si>
    <t>Habboã »cap</t>
  </si>
  <si>
    <t>HabboÃ»ch</t>
  </si>
  <si>
    <t>NabatÃ®yÃ©</t>
  </si>
  <si>
    <t>JBAã</t>
  </si>
  <si>
    <t>JbaÃ¯l</t>
  </si>
  <si>
    <t>Nabatã®yé et tahta</t>
  </si>
  <si>
    <t>NabatÃ®yÃ© et Tahta</t>
  </si>
  <si>
    <t>Ra de Bayrå «t</t>
  </si>
  <si>
    <t>Raâ€™s BayrÅ«t</t>
  </si>
  <si>
    <t>Sidon</t>
  </si>
  <si>
    <t>Trípoli</t>
  </si>
  <si>
    <t>Tripoli</t>
  </si>
  <si>
    <t>Pneu</t>
  </si>
  <si>
    <t>Tyre</t>
  </si>
  <si>
    <t>Zahlé</t>
  </si>
  <si>
    <t>ZahlÃ©</t>
  </si>
  <si>
    <t>BÃ©qaa</t>
  </si>
  <si>
    <t>Butha-Buthe</t>
  </si>
  <si>
    <t>Lesotho</t>
  </si>
  <si>
    <t>Leribe</t>
  </si>
  <si>
    <t>Mafeteng</t>
  </si>
  <si>
    <t>Maputsoe</t>
  </si>
  <si>
    <t>Maseru</t>
  </si>
  <si>
    <t>Mohale Hoek</t>
  </si>
  <si>
    <t>Mohaleâ€™s Hoek</t>
  </si>
  <si>
    <t>MohaleÊ¼s Hoek</t>
  </si>
  <si>
    <t>Nek de Qacha</t>
  </si>
  <si>
    <t>Qachaâ€™s Nek</t>
  </si>
  <si>
    <t>QachaÊ¼s Nek</t>
  </si>
  <si>
    <t>Quthing</t>
  </si>
  <si>
    <t>Bensonville</t>
  </si>
  <si>
    <t>Montserrado</t>
  </si>
  <si>
    <t>Buchanan</t>
  </si>
  <si>
    <t>Grand Bassa</t>
  </si>
  <si>
    <t>GBARNGA</t>
  </si>
  <si>
    <t>Gbarnga</t>
  </si>
  <si>
    <t>Bong</t>
  </si>
  <si>
    <t>Greenville</t>
  </si>
  <si>
    <t>Sinoe</t>
  </si>
  <si>
    <t>Harper</t>
  </si>
  <si>
    <t>Maryland</t>
  </si>
  <si>
    <t>Kakata</t>
  </si>
  <si>
    <t>Margibi</t>
  </si>
  <si>
    <t>Monróvia</t>
  </si>
  <si>
    <t>Monrovia</t>
  </si>
  <si>
    <t>Novo Yekepa</t>
  </si>
  <si>
    <t>New Yekepa</t>
  </si>
  <si>
    <t>Nimba</t>
  </si>
  <si>
    <t>Voinjama</t>
  </si>
  <si>
    <t>Lofa</t>
  </si>
  <si>
    <t>Zwedru</t>
  </si>
  <si>
    <t>Grand Gedeh</t>
  </si>
  <si>
    <t>Ajdabiya</t>
  </si>
  <si>
    <t>Libya</t>
  </si>
  <si>
    <t>Shaâ€˜bÄ«yat al WÄá¸©Ät</t>
  </si>
  <si>
    <t>Al abyä r</t>
  </si>
  <si>
    <t>Al AbyÄr</t>
  </si>
  <si>
    <t>Al Marj</t>
  </si>
  <si>
    <t>Al Bayá¸‘ä â € ™</t>
  </si>
  <si>
    <t>Al Bayá¸‘Äâ€™</t>
  </si>
  <si>
    <t>Al Jabal al Akhá¸‘ar</t>
  </si>
  <si>
    <t>Al jadä «d</t>
  </si>
  <si>
    <t>Al JadÄ«d</t>
  </si>
  <si>
    <t>SabhÄ</t>
  </si>
  <si>
    <t>Al Jawf</t>
  </si>
  <si>
    <t>Al Kufrah</t>
  </si>
  <si>
    <t>Al Khums</t>
  </si>
  <si>
    <t>Al Marqab</t>
  </si>
  <si>
    <t>Al Qubbah</t>
  </si>
  <si>
    <t>Darnah</t>
  </si>
  <si>
    <t>Em tä j</t>
  </si>
  <si>
    <t>At TÄj</t>
  </si>
  <si>
    <t>Awbä rä «</t>
  </si>
  <si>
    <t>AwbÄrÄ«</t>
  </si>
  <si>
    <t>Shaâ€˜bÄ«yat WÄdÄ« al á¸¨ayÄt</t>
  </si>
  <si>
    <t>Az zä wä «yah</t>
  </si>
  <si>
    <t>Az ZÄwÄ«yah</t>
  </si>
  <si>
    <t>Az ZÄwiyah</t>
  </si>
  <si>
    <t>Az zintä n</t>
  </si>
  <si>
    <t>Az ZintÄn</t>
  </si>
  <si>
    <t>Shaâ€˜bÄ«yat al Jabal al GharbÄ«</t>
  </si>
  <si>
    <t>Az zuwaytä «nah</t>
  </si>
  <si>
    <t>Az ZuwaytÄ«nah</t>
  </si>
  <si>
    <t>Åžabrä tah</t>
  </si>
  <si>
    <t>ÅžabrÄtah</t>
  </si>
  <si>
    <t>Åžurmä n</t>
  </si>
  <si>
    <t>ÅžurmÄn</t>
  </si>
  <si>
    <t>Banä «Walä« d</t>
  </si>
  <si>
    <t>BanÄ« WalÄ«d</t>
  </si>
  <si>
    <t>MiÅŸrÄtah</t>
  </si>
  <si>
    <t>Benghazi</t>
  </si>
  <si>
    <t>BanghÄzÄ«</t>
  </si>
  <si>
    <t>Brak</t>
  </si>
  <si>
    <t>Ash ShÄÅ£iÊ¼</t>
  </si>
  <si>
    <t>Gharyan</t>
  </si>
  <si>
    <t>Ghat</t>
  </si>
  <si>
    <t>Shaâ€˜bÄ«yat GhÄt</t>
  </si>
  <si>
    <t>Hå «n</t>
  </si>
  <si>
    <t>HÅ«n</t>
  </si>
  <si>
    <t>Al Jufrah</t>
  </si>
  <si>
    <t>Masallä Tah</t>
  </si>
  <si>
    <t>MasallÄtah</t>
  </si>
  <si>
    <t>Miåÿrä Tah</t>
  </si>
  <si>
    <t>Mizdah</t>
  </si>
  <si>
    <t>Murzuq</t>
  </si>
  <si>
    <t>Nä lå «t</t>
  </si>
  <si>
    <t>NÄlÅ«t</t>
  </si>
  <si>
    <t>Shaâ€˜bÄ«yat NÄlÅ«t</t>
  </si>
  <si>
    <t>Sabhä</t>
  </si>
  <si>
    <t>Sirte</t>
  </si>
  <si>
    <t>Surt</t>
  </si>
  <si>
    <t>Sulå «q</t>
  </si>
  <si>
    <t>SulÅ«q</t>
  </si>
  <si>
    <t>Tå «Krah</t>
  </si>
  <si>
    <t>TÅ«krah</t>
  </si>
  <si>
    <t>Tagiura</t>
  </si>
  <si>
    <t>Tarhuna</t>
  </si>
  <si>
    <t>Tobruk</t>
  </si>
  <si>
    <t>Shaâ€˜bÄ«yat al BuÅ£nÄn</t>
  </si>
  <si>
    <t>Waddä n</t>
  </si>
  <si>
    <t>WaddÄn</t>
  </si>
  <si>
    <t>Yafran</t>
  </si>
  <si>
    <t>Zalå £ an</t>
  </si>
  <si>
    <t>ZalÅ£an</t>
  </si>
  <si>
    <t>An NuqÄÅ£ al Khams</t>
  </si>
  <si>
    <t>Zawiya</t>
  </si>
  <si>
    <t>Zliten</t>
  </si>
  <si>
    <t>Zuwä rah</t>
  </si>
  <si>
    <t>ZuwÄrah</t>
  </si>
  <si>
    <t>Vaduz</t>
  </si>
  <si>
    <t>Liechtenstein</t>
  </si>
  <si>
    <t>Å Eå¡kinä—</t>
  </si>
  <si>
    <t>Å eÅ¡kinÄ—</t>
  </si>
  <si>
    <t>Lithuania</t>
  </si>
  <si>
    <t>Vilnius County</t>
  </si>
  <si>
    <t>Å iauliai</t>
  </si>
  <si>
    <t>Å iauliai</t>
  </si>
  <si>
    <t>Å iauliÅ³ apskritis</t>
  </si>
  <si>
    <t>Å ilainiai</t>
  </si>
  <si>
    <t>Å ilainiai</t>
  </si>
  <si>
    <t>Kauno apskritis</t>
  </si>
  <si>
    <t>Aleksotas</t>
  </si>
  <si>
    <t>Alytus</t>
  </si>
  <si>
    <t>Alytaus apskritis</t>
  </si>
  <si>
    <t>Dainava (Kaunas)</t>
  </si>
  <si>
    <t>Druskininkai</t>
  </si>
  <si>
    <t>Eiguliai</t>
  </si>
  <si>
    <t>Fabijoniå¡kä - S.</t>
  </si>
  <si>
    <t>FabijoniÅ¡kÄ—s</t>
  </si>
  <si>
    <t>Gargå¾dai</t>
  </si>
  <si>
    <t>GargÅ¾dai</t>
  </si>
  <si>
    <t>KlaipÄ—dos apskritis</t>
  </si>
  <si>
    <t>Jonava</t>
  </si>
  <si>
    <t>Justiniå¡kä - S.</t>
  </si>
  <si>
    <t>JustiniÅ¡kÄ—s</t>
  </si>
  <si>
    <t>Kä - kainiai</t>
  </si>
  <si>
    <t>KÄ—dainiai</t>
  </si>
  <si>
    <t>Kaunas</t>
  </si>
  <si>
    <t>KLAIPä - DA</t>
  </si>
  <si>
    <t>KlaipÄ—da</t>
  </si>
  <si>
    <t>Kretinga</t>
  </si>
  <si>
    <t>Lazdynai</t>
  </si>
  <si>
    <t>MariJampolä—</t>
  </si>
  <si>
    <t>MarijampolÄ—</t>
  </si>
  <si>
    <t>MarijampolÄ—s apskritis</t>
  </si>
  <si>
    <t>Mazeikiai</t>
  </si>
  <si>
    <t>TelÅ¡iÅ³ apskritis</t>
  </si>
  <si>
    <t>Naujamiestis</t>
  </si>
  <si>
    <t>Paå¡ilaiä iai</t>
  </si>
  <si>
    <t>PaÅ¡ilaiÄiai</t>
  </si>
  <si>
    <t>Palanga</t>
  </si>
  <si>
    <t>Panevä - Åona</t>
  </si>
  <si>
    <t>PanevÄ—Å¾ys</t>
  </si>
  <si>
    <t>Pilaitä—</t>
  </si>
  <si>
    <t>PilaitÄ—</t>
  </si>
  <si>
    <t>Mergulho</t>
  </si>
  <si>
    <t>Plunge</t>
  </si>
  <si>
    <t>Radviliskis</t>
  </si>
  <si>
    <t>Rokiå¡kis</t>
  </si>
  <si>
    <t>RokiÅ¡kis</t>
  </si>
  <si>
    <t>Siluto</t>
  </si>
  <si>
    <t>Silute</t>
  </si>
  <si>
    <t>Taurage</t>
  </si>
  <si>
    <t>TauragÄ—s apskritis</t>
  </si>
  <si>
    <t>Telsiai</t>
  </si>
  <si>
    <t>UKMERGE</t>
  </si>
  <si>
    <t>Ukmerge</t>
  </si>
  <si>
    <t>Utena</t>
  </si>
  <si>
    <t>Utenos apskritis</t>
  </si>
  <si>
    <t>Vilkpä - dä—</t>
  </si>
  <si>
    <t>VilkpÄ—dÄ—</t>
  </si>
  <si>
    <t>Vilnius</t>
  </si>
  <si>
    <t>Visaginas</t>
  </si>
  <si>
    <t>Dudelange</t>
  </si>
  <si>
    <t>Luxembourg</t>
  </si>
  <si>
    <t>Esch-sur-Alzette</t>
  </si>
  <si>
    <t>Luxemburgo</t>
  </si>
  <si>
    <t>Macao</t>
  </si>
  <si>
    <t>Å Uto ORIZARE</t>
  </si>
  <si>
    <t>Å uto Orizare</t>
  </si>
  <si>
    <t>Macedonia</t>
  </si>
  <si>
    <t>Å uto Orizari</t>
  </si>
  <si>
    <t>ÄAir</t>
  </si>
  <si>
    <t>ÄŒair</t>
  </si>
  <si>
    <t>Bitola</t>
  </si>
  <si>
    <t>BOGOVINJE</t>
  </si>
  <si>
    <t>Bogovinje</t>
  </si>
  <si>
    <t>Brvenica</t>
  </si>
  <si>
    <t>Butel</t>
  </si>
  <si>
    <t>Center Å½Upa</t>
  </si>
  <si>
    <t>Centar Å½upa</t>
  </si>
  <si>
    <t>Ð ð ° ð´ .. prests</t>
  </si>
  <si>
    <t>Ð Ð°Ð´Ð¾Ð²Ð¸Ñˆ</t>
  </si>
  <si>
    <t>RadoviÅ¡</t>
  </si>
  <si>
    <t>Ð ð µñ ðµð½</t>
  </si>
  <si>
    <t>Ð ÐµÑÐµÐ½</t>
  </si>
  <si>
    <t>Resen</t>
  </si>
  <si>
    <t>Ð¡ð ° ñ € ð ° ñ˜</t>
  </si>
  <si>
    <t>Ð¡Ð°Ñ€Ð°Ñ˜</t>
  </si>
  <si>
    <t>Saraj</t>
  </si>
  <si>
    <t>Ð ‚ñƒð´ðµð ½ð¸ ‡ ð ° ð ½ð¸</t>
  </si>
  <si>
    <t>Ð¡Ñ‚ÑƒÐ´ÐµÐ½Ð¸Ñ‡Ð°Ð½Ð¸</t>
  </si>
  <si>
    <t>StudeniÄani</t>
  </si>
  <si>
    <t>Ð ›ð¸ð¿ðºð¾ð²ð¾</t>
  </si>
  <si>
    <t>Ð›Ð¸Ð¿ÐºÐ¾Ð²Ð¾</t>
  </si>
  <si>
    <t>Opstina Lipkovo</t>
  </si>
  <si>
    <t>Ð ¢ ðµð ° ñ € ñ † ðµ</t>
  </si>
  <si>
    <t>Ð¢ÐµÐ°Ñ€Ñ†Ðµ</t>
  </si>
  <si>
    <t>Tearce</t>
  </si>
  <si>
    <t>Ð ðµð³ð tinha</t>
  </si>
  <si>
    <t>ÐÐµÐ³Ð¾Ñ‚Ð¸Ð½Ð¾</t>
  </si>
  <si>
    <t>VrapÄiÅ¡te</t>
  </si>
  <si>
    <t>Ð --ðµð »ð¸ð½ð¾</t>
  </si>
  <si>
    <t>Ð–ÐµÐ»Ð¸Ð½Ð¾</t>
  </si>
  <si>
    <t>Å½elino</t>
  </si>
  <si>
    <t>DeBar</t>
  </si>
  <si>
    <t>Debar</t>
  </si>
  <si>
    <t>DelCevo</t>
  </si>
  <si>
    <t>Delcevo</t>
  </si>
  <si>
    <t>DelÄevo</t>
  </si>
  <si>
    <t>Ðšñ € ð¸²ð ° ðÿ ° ð »ð ° ð ½ð ° ° °</t>
  </si>
  <si>
    <t>ÐšÑ€Ð¸Ð²Ð° ÐŸÐ°Ð»Ð°Ð½ÐºÐ°</t>
  </si>
  <si>
    <t>Kriva Palanka</t>
  </si>
  <si>
    <t>Gevgelija</t>
  </si>
  <si>
    <t>Gostivar</t>
  </si>
  <si>
    <t>Ilinden</t>
  </si>
  <si>
    <t>Kamenjane</t>
  </si>
  <si>
    <t>Kavadarcci</t>
  </si>
  <si>
    <t>Kavadarci</t>
  </si>
  <si>
    <t>Kiä Evo</t>
  </si>
  <si>
    <t>KiÄevo</t>
  </si>
  <si>
    <t>Kisela Voda</t>
  </si>
  <si>
    <t>Kochani</t>
  </si>
  <si>
    <t>KoÄani</t>
  </si>
  <si>
    <t>Kumanovo</t>
  </si>
  <si>
    <t>Negociação</t>
  </si>
  <si>
    <t>Negotino</t>
  </si>
  <si>
    <t>Ohrid</t>
  </si>
  <si>
    <t>Prilep</t>
  </si>
  <si>
    <t>Shtip</t>
  </si>
  <si>
    <t>Å tip</t>
  </si>
  <si>
    <t>Skopje</t>
  </si>
  <si>
    <t>KarpoÅ¡</t>
  </si>
  <si>
    <t>Stuga</t>
  </si>
  <si>
    <t>Struga</t>
  </si>
  <si>
    <t>Strumica</t>
  </si>
  <si>
    <t>Tetovo</t>
  </si>
  <si>
    <t>Vels</t>
  </si>
  <si>
    <t>Veles</t>
  </si>
  <si>
    <t>Vinica</t>
  </si>
  <si>
    <t>Alarobia</t>
  </si>
  <si>
    <t>Madagascar</t>
  </si>
  <si>
    <t>Analamanga</t>
  </si>
  <si>
    <t>Ambalavao</t>
  </si>
  <si>
    <t>Upper Matsiatra</t>
  </si>
  <si>
    <t>Ambanja</t>
  </si>
  <si>
    <t>Diana</t>
  </si>
  <si>
    <t>Ambarakaraka</t>
  </si>
  <si>
    <t>Ambato Boeny</t>
  </si>
  <si>
    <t>Boeny</t>
  </si>
  <si>
    <t>Ambatofinandrahana</t>
  </si>
  <si>
    <t>Amoron'i Mania</t>
  </si>
  <si>
    <t>Ambatolampy</t>
  </si>
  <si>
    <t>Vakinankaratra</t>
  </si>
  <si>
    <t>Ambatondrazaka</t>
  </si>
  <si>
    <t>Alaotra Mangoro</t>
  </si>
  <si>
    <t>Ambilobe</t>
  </si>
  <si>
    <t>AMBOANJO</t>
  </si>
  <si>
    <t>Amboanjo</t>
  </si>
  <si>
    <t>Vatovavy Fitovinany</t>
  </si>
  <si>
    <t>AMBOASARY</t>
  </si>
  <si>
    <t>Amboasary</t>
  </si>
  <si>
    <t>Anosy</t>
  </si>
  <si>
    <t>Ambohitrolomahitsy</t>
  </si>
  <si>
    <t>Ambositra</t>
  </si>
  <si>
    <t>Ambovombe</t>
  </si>
  <si>
    <t>Androy</t>
  </si>
  <si>
    <t>Ampahana</t>
  </si>
  <si>
    <t>Ampanihy</t>
  </si>
  <si>
    <t>Atsimo-Andrefana</t>
  </si>
  <si>
    <t>Amparafaravola</t>
  </si>
  <si>
    <t>Ampasimanolotra</t>
  </si>
  <si>
    <t>Atsinanana</t>
  </si>
  <si>
    <t>ANDAPA</t>
  </si>
  <si>
    <t>Andapa</t>
  </si>
  <si>
    <t>Andilamena</t>
  </si>
  <si>
    <t>Anjozorobe</t>
  </si>
  <si>
    <t>Ankazoabo</t>
  </si>
  <si>
    <t>Ankazobe</t>
  </si>
  <si>
    <t>Ankazondandy</t>
  </si>
  <si>
    <t>Antalaha</t>
  </si>
  <si>
    <t>Antananarivo</t>
  </si>
  <si>
    <t>Antanifotsia</t>
  </si>
  <si>
    <t>Antanifotsy</t>
  </si>
  <si>
    <t>Antsirabe</t>
  </si>
  <si>
    <t>Antsiranana</t>
  </si>
  <si>
    <t>Antsohihy</t>
  </si>
  <si>
    <t>AntsoHimbondrona</t>
  </si>
  <si>
    <t>Antsohimbondrona</t>
  </si>
  <si>
    <t>Arivonimamo</t>
  </si>
  <si>
    <t>Itasy</t>
  </si>
  <si>
    <t>Bealanana</t>
  </si>
  <si>
    <t>Belo Sur Tsiribihina</t>
  </si>
  <si>
    <t>Belo sur Tsiribihina</t>
  </si>
  <si>
    <t>Menabe</t>
  </si>
  <si>
    <t>Beloha</t>
  </si>
  <si>
    <t>Beroroha</t>
  </si>
  <si>
    <t>Betafo</t>
  </si>
  <si>
    <t>Betioky</t>
  </si>
  <si>
    <t>Fandriana</t>
  </si>
  <si>
    <t>Farafangana</t>
  </si>
  <si>
    <t>Atsimo-Atsinanana</t>
  </si>
  <si>
    <t>Faratsiho</t>
  </si>
  <si>
    <t>Fenoarivo atsinanana</t>
  </si>
  <si>
    <t>Fenoarivo Atsinanana</t>
  </si>
  <si>
    <t>Analanjirofo</t>
  </si>
  <si>
    <t>Fenoarivo estar</t>
  </si>
  <si>
    <t>Fenoarivo Be</t>
  </si>
  <si>
    <t>Bongolava</t>
  </si>
  <si>
    <t>Fianarantsoa</t>
  </si>
  <si>
    <t>Fort Dauphin</t>
  </si>
  <si>
    <t>Hell-ville</t>
  </si>
  <si>
    <t>Hell-Ville</t>
  </si>
  <si>
    <t>Ifanadiana</t>
  </si>
  <si>
    <t>Ihosy</t>
  </si>
  <si>
    <t>Ihorombe</t>
  </si>
  <si>
    <t>Ikalamavony</t>
  </si>
  <si>
    <t>Ikongo</t>
  </si>
  <si>
    <t>Maevatanana</t>
  </si>
  <si>
    <t>Betsiboka</t>
  </si>
  <si>
    <t>Mahajanga</t>
  </si>
  <si>
    <t>Mahanoro</t>
  </si>
  <si>
    <t>Manirano</t>
  </si>
  <si>
    <t>Maintirano</t>
  </si>
  <si>
    <t>Melaky</t>
  </si>
  <si>
    <t>Manakara</t>
  </si>
  <si>
    <t>Mananara</t>
  </si>
  <si>
    <t>Mananjary</t>
  </si>
  <si>
    <t>Manjakandriana</t>
  </si>
  <si>
    <t>MaroantSetra</t>
  </si>
  <si>
    <t>Maroantsetra</t>
  </si>
  <si>
    <t>Marolambo</t>
  </si>
  <si>
    <t>Marovoay</t>
  </si>
  <si>
    <t>Miandrarivo</t>
  </si>
  <si>
    <t>Miandrivazo</t>
  </si>
  <si>
    <t>Moramanga</t>
  </si>
  <si>
    <t>Morondava</t>
  </si>
  <si>
    <t>Nosy Varika</t>
  </si>
  <si>
    <t>Sadabe</t>
  </si>
  <si>
    <t>Sahavato</t>
  </si>
  <si>
    <t>Sakaraha</t>
  </si>
  <si>
    <t>Sambava</t>
  </si>
  <si>
    <t>Sitampiky</t>
  </si>
  <si>
    <t>Soanierana Ivongo</t>
  </si>
  <si>
    <t>Soanindrariny</t>
  </si>
  <si>
    <t>Soavinandriana</t>
  </si>
  <si>
    <t>Toamasina</t>
  </si>
  <si>
    <t>Toliara</t>
  </si>
  <si>
    <t>Tsaratanana</t>
  </si>
  <si>
    <t>Tsiombe</t>
  </si>
  <si>
    <t>Tsiroanomandidy</t>
  </si>
  <si>
    <t>Vangaindrano</t>
  </si>
  <si>
    <t>Vavatenina</t>
  </si>
  <si>
    <t>Voibinany</t>
  </si>
  <si>
    <t>Vohibinany</t>
  </si>
  <si>
    <t>VoiPhaho</t>
  </si>
  <si>
    <t>Vohipaho</t>
  </si>
  <si>
    <t>Vondrozo</t>
  </si>
  <si>
    <t>Balaka</t>
  </si>
  <si>
    <t>Malawi</t>
  </si>
  <si>
    <t>Southern Region</t>
  </si>
  <si>
    <t>Blantyre</t>
  </si>
  <si>
    <t>Dedza</t>
  </si>
  <si>
    <t>Central Region</t>
  </si>
  <si>
    <t>Karonga</t>
  </si>
  <si>
    <t>Northern Region</t>
  </si>
  <si>
    <t>Kasungu</t>
  </si>
  <si>
    <t>Lilongwe</t>
  </si>
  <si>
    <t>Liwonde</t>
  </si>
  <si>
    <t>Mangochi</t>
  </si>
  <si>
    <t>MCHINJI</t>
  </si>
  <si>
    <t>Mchinji</t>
  </si>
  <si>
    <t>Mulanje</t>
  </si>
  <si>
    <t>Mzimba</t>
  </si>
  <si>
    <t>Mzuzu</t>
  </si>
  <si>
    <t>Nkhotakota</t>
  </si>
  <si>
    <t>Nsanje</t>
  </si>
  <si>
    <t>Rumphi</t>
  </si>
  <si>
    <t>Salima</t>
  </si>
  <si>
    <t>Zomba</t>
  </si>
  <si>
    <t>Alor Gajah</t>
  </si>
  <si>
    <t>Malaysia</t>
  </si>
  <si>
    <t>Melaka</t>
  </si>
  <si>
    <t>ALOR SETAR</t>
  </si>
  <si>
    <t>Alor Setar</t>
  </si>
  <si>
    <t>Kedah</t>
  </si>
  <si>
    <t>Bagan Serai</t>
  </si>
  <si>
    <t>Perak</t>
  </si>
  <si>
    <t>Bahau</t>
  </si>
  <si>
    <t>Negeri Sembilan</t>
  </si>
  <si>
    <t>Bakri</t>
  </si>
  <si>
    <t>Johor</t>
  </si>
  <si>
    <t>Bandar Labuan</t>
  </si>
  <si>
    <t>Sabah</t>
  </si>
  <si>
    <t>Banting</t>
  </si>
  <si>
    <t>Selangor</t>
  </si>
  <si>
    <t>Batang Berjuntai</t>
  </si>
  <si>
    <t>Batu Arang</t>
  </si>
  <si>
    <t>Batu Berendam</t>
  </si>
  <si>
    <t>Batu Gajah</t>
  </si>
  <si>
    <t>Batu Pahat</t>
  </si>
  <si>
    <t>Beaufort</t>
  </si>
  <si>
    <t>Bedong</t>
  </si>
  <si>
    <t>Cidade de Bentong</t>
  </si>
  <si>
    <t>Bentong Town</t>
  </si>
  <si>
    <t>Pahang</t>
  </si>
  <si>
    <t>Bidur</t>
  </si>
  <si>
    <t>Bintulu</t>
  </si>
  <si>
    <t>Sarawak</t>
  </si>
  <si>
    <t>Bukit Mertajam</t>
  </si>
  <si>
    <t>Penang</t>
  </si>
  <si>
    <t>Bukit Rambai</t>
  </si>
  <si>
    <t>Butterworth</t>
  </si>
  <si>
    <t>Cukai</t>
  </si>
  <si>
    <t>Terengganu</t>
  </si>
  <si>
    <t>Donggonton</t>
  </si>
  <si>
    <t>Donggongon</t>
  </si>
  <si>
    <t>Gua Musang</t>
  </si>
  <si>
    <t>Kelantan</t>
  </si>
  <si>
    <t>Gurun</t>
  </si>
  <si>
    <t>IPOH</t>
  </si>
  <si>
    <t>Ipoh</t>
  </si>
  <si>
    <t>Jenjarum</t>
  </si>
  <si>
    <t>Jerantut</t>
  </si>
  <si>
    <t>Jitra</t>
  </si>
  <si>
    <t>Johor Bahru</t>
  </si>
  <si>
    <t>Kampar</t>
  </si>
  <si>
    <t>Kampong Baharu Balakong</t>
  </si>
  <si>
    <t>Kampong Dungun</t>
  </si>
  <si>
    <t>Kampong Kadok</t>
  </si>
  <si>
    <t>Kampong Masjid Tanah</t>
  </si>
  <si>
    <t>Kampong Pangkal Kalong</t>
  </si>
  <si>
    <t>Kampung Ayer Keroh</t>
  </si>
  <si>
    <t>Kampung Ayer Molek</t>
  </si>
  <si>
    <t>Kampung Baharu Nilai</t>
  </si>
  <si>
    <t>Kampung Baru Subang</t>
  </si>
  <si>
    <t>Kampung Bukit Baharu</t>
  </si>
  <si>
    <t>Kampung Pasir Gudang Baru</t>
  </si>
  <si>
    <t>Kampung Simpang Renggam</t>
  </si>
  <si>
    <t>Kampung Sungai Ara</t>
  </si>
  <si>
    <t>Kampung Tanjung Karang</t>
  </si>
  <si>
    <t>Kangar</t>
  </si>
  <si>
    <t>Perlis</t>
  </si>
  <si>
    <t>Kapit</t>
  </si>
  <si>
    <t>Keningau</t>
  </si>
  <si>
    <t>Kepala batas</t>
  </si>
  <si>
    <t>Kepala Batas</t>
  </si>
  <si>
    <t>Kertih</t>
  </si>
  <si>
    <t>Kinarut</t>
  </si>
  <si>
    <t>Klang</t>
  </si>
  <si>
    <t>Klebang Besar</t>
  </si>
  <si>
    <t>Kluang</t>
  </si>
  <si>
    <t>Kota Bharu</t>
  </si>
  <si>
    <t>Kota Kinabalu</t>
  </si>
  <si>
    <t>Kota Tinggi</t>
  </si>
  <si>
    <t>Kuah</t>
  </si>
  <si>
    <t>Kuala Kangsar</t>
  </si>
  <si>
    <t>Kuala Kedah</t>
  </si>
  <si>
    <t>Kuala Lipis</t>
  </si>
  <si>
    <t>Kuala Lumpur</t>
  </si>
  <si>
    <t>KUALA PILAH</t>
  </si>
  <si>
    <t>Kuala Pilah</t>
  </si>
  <si>
    <t>Kuala Selangor</t>
  </si>
  <si>
    <t>Kuala Terengganu</t>
  </si>
  <si>
    <t>Kuang</t>
  </si>
  <si>
    <t>Kuantan</t>
  </si>
  <si>
    <t>Kuching</t>
  </si>
  <si>
    <t>Kudat</t>
  </si>
  <si>
    <t>Kulai</t>
  </si>
  <si>
    <t>Kulim</t>
  </si>
  <si>
    <t>Labis</t>
  </si>
  <si>
    <t>Ladang Seri Kundang</t>
  </si>
  <si>
    <t>Lahad Datu</t>
  </si>
  <si>
    <t>Limbang</t>
  </si>
  <si>
    <t>Lumut</t>
  </si>
  <si>
    <t>Malaca</t>
  </si>
  <si>
    <t>Malacca</t>
  </si>
  <si>
    <t>Marang</t>
  </si>
  <si>
    <t>Mentekab</t>
  </si>
  <si>
    <t>Mersing</t>
  </si>
  <si>
    <t>Miri</t>
  </si>
  <si>
    <t>Muar</t>
  </si>
  <si>
    <t>Nibong Tebal</t>
  </si>
  <si>
    <t>Padang Mat Sirat</t>
  </si>
  <si>
    <t>Paka</t>
  </si>
  <si>
    <t>Pantai Cenang</t>
  </si>
  <si>
    <t>Pantai Remis</t>
  </si>
  <si>
    <t>Papar</t>
  </si>
  <si>
    <t>Parit Buntar</t>
  </si>
  <si>
    <t>Parit Raja</t>
  </si>
  <si>
    <t>Pasir Mas</t>
  </si>
  <si>
    <t>Pekan</t>
  </si>
  <si>
    <t>Pekan Nenas</t>
  </si>
  <si>
    <t>Perai</t>
  </si>
  <si>
    <t>Peringat</t>
  </si>
  <si>
    <t>Permatang Kuching</t>
  </si>
  <si>
    <t>PETALING JAYA</t>
  </si>
  <si>
    <t>Petaling Jaya</t>
  </si>
  <si>
    <t>Pontian Kechil</t>
  </si>
  <si>
    <t>Port Dickson</t>
  </si>
  <si>
    <t>Putatan</t>
  </si>
  <si>
    <t>Putra Heights</t>
  </si>
  <si>
    <t>Putrajaya</t>
  </si>
  <si>
    <t>Ranau</t>
  </si>
  <si>
    <t>Raub</t>
  </si>
  <si>
    <t>Rawang</t>
  </si>
  <si>
    <t>Sabak Bernam</t>
  </si>
  <si>
    <t>Sandakan</t>
  </si>
  <si>
    <t>Sarikei</t>
  </si>
  <si>
    <t>Segamat</t>
  </si>
  <si>
    <t>Semenyih</t>
  </si>
  <si>
    <t>Semporna</t>
  </si>
  <si>
    <t>Sepang</t>
  </si>
  <si>
    <t>Seremban</t>
  </si>
  <si>
    <t>Serendah</t>
  </si>
  <si>
    <t>Shah Alam</t>
  </si>
  <si>
    <t>Sibu</t>
  </si>
  <si>
    <t>Simanggang</t>
  </si>
  <si>
    <t>Simpang Empat</t>
  </si>
  <si>
    <t>Skudai</t>
  </si>
  <si>
    <t>Subang Jaya</t>
  </si>
  <si>
    <t>Sungai Besar</t>
  </si>
  <si>
    <t>Sungai Petani</t>
  </si>
  <si>
    <t>Sungai Udang</t>
  </si>
  <si>
    <t>Taiping</t>
  </si>
  <si>
    <t>Taman Senai</t>
  </si>
  <si>
    <t>Tampin</t>
  </si>
  <si>
    <t>Tanah Merah</t>
  </si>
  <si>
    <t>Tangkak</t>
  </si>
  <si>
    <t>Tanjung Sepat</t>
  </si>
  <si>
    <t>Tanjung Tokong</t>
  </si>
  <si>
    <t>Estrada de Tapah</t>
  </si>
  <si>
    <t>Tapah Road</t>
  </si>
  <si>
    <t>Tasek Glugor</t>
  </si>
  <si>
    <t>Tawau</t>
  </si>
  <si>
    <t>Teluk Intan</t>
  </si>
  <si>
    <t>Temerluh</t>
  </si>
  <si>
    <t>Ulu Tiram</t>
  </si>
  <si>
    <t>Yong Peng</t>
  </si>
  <si>
    <t>Macho</t>
  </si>
  <si>
    <t>Male</t>
  </si>
  <si>
    <t>Maldives</t>
  </si>
  <si>
    <t>Kaafu Atoll</t>
  </si>
  <si>
    <t>Bafoulabé</t>
  </si>
  <si>
    <t>BafoulabÃ©</t>
  </si>
  <si>
    <t>Mali</t>
  </si>
  <si>
    <t>Kayes</t>
  </si>
  <si>
    <t>Bamako</t>
  </si>
  <si>
    <t>Banamba</t>
  </si>
  <si>
    <t>Koulikoro</t>
  </si>
  <si>
    <t>Bougouni</t>
  </si>
  <si>
    <t>Sikasso</t>
  </si>
  <si>
    <t>Djé nn ©</t>
  </si>
  <si>
    <t>DjÃ©nnÃ©</t>
  </si>
  <si>
    <t>Mopti</t>
  </si>
  <si>
    <t>Gao</t>
  </si>
  <si>
    <t>Kangaba</t>
  </si>
  <si>
    <t>Kati</t>
  </si>
  <si>
    <t>Kolokani</t>
  </si>
  <si>
    <t>Koutiala</t>
  </si>
  <si>
    <t>Markala</t>
  </si>
  <si>
    <t>SÃ©gou</t>
  </si>
  <si>
    <t>S © GOU</t>
  </si>
  <si>
    <t>Sagalo</t>
  </si>
  <si>
    <t>San</t>
  </si>
  <si>
    <t>Timbuktu</t>
  </si>
  <si>
    <t>Tombouctou</t>
  </si>
  <si>
    <t>Yorosso</t>
  </si>
  <si>
    <t>Å »Abbar</t>
  </si>
  <si>
    <t>Å»abbar</t>
  </si>
  <si>
    <t>Malta</t>
  </si>
  <si>
    <t>Ä¦aÅ¼-Å»abbar</t>
  </si>
  <si>
    <t>Birkirkara</t>
  </si>
  <si>
    <t>MOSTA</t>
  </si>
  <si>
    <t>Mosta</t>
  </si>
  <si>
    <t>Il-Mosta</t>
  </si>
  <si>
    <t>Qormi</t>
  </si>
  <si>
    <t>Valletta</t>
  </si>
  <si>
    <t>Il-Belt Valletta</t>
  </si>
  <si>
    <t>Majuro</t>
  </si>
  <si>
    <t>Marshall Islands</t>
  </si>
  <si>
    <t>Majuro Atoll</t>
  </si>
  <si>
    <t>RMI Capitol</t>
  </si>
  <si>
    <t>Ducos</t>
  </si>
  <si>
    <t>Martinique</t>
  </si>
  <si>
    <t>Fort-de-France</t>
  </si>
  <si>
    <t>La trinité</t>
  </si>
  <si>
    <t>La TrinitÃ©</t>
  </si>
  <si>
    <t>Le Franã§ois</t>
  </si>
  <si>
    <t>Le FranÃ§ois</t>
  </si>
  <si>
    <t>Le Lamentin</t>
  </si>
  <si>
    <t>Le Robert</t>
  </si>
  <si>
    <t>Petite riviãre salé</t>
  </si>
  <si>
    <t>Petite RiviÃ¨re SalÃ©e</t>
  </si>
  <si>
    <t>Sainte-Marie</t>
  </si>
  <si>
    <t>São José</t>
  </si>
  <si>
    <t>Saint-Joseph</t>
  </si>
  <si>
    <t>Uma perna</t>
  </si>
  <si>
    <t>Aleg</t>
  </si>
  <si>
    <t>Mauritania</t>
  </si>
  <si>
    <t>Brakna</t>
  </si>
  <si>
    <t>Atar</t>
  </si>
  <si>
    <t>Ka © Di</t>
  </si>
  <si>
    <t>KaÃ©di</t>
  </si>
  <si>
    <t>Gorgol</t>
  </si>
  <si>
    <t>Kiffa</t>
  </si>
  <si>
    <t>Assaba</t>
  </si>
  <si>
    <t>N © ma</t>
  </si>
  <si>
    <t>NÃ©ma</t>
  </si>
  <si>
    <t>Hodh ech Chargui</t>
  </si>
  <si>
    <t>Nou' Dhibou</t>
  </si>
  <si>
    <t>NouÃ¢dhibou</t>
  </si>
  <si>
    <t>Dakhlet Nouadhibou</t>
  </si>
  <si>
    <t>NouakChott</t>
  </si>
  <si>
    <t>Nouakchott</t>
  </si>
  <si>
    <t>Rosso</t>
  </si>
  <si>
    <t>Trarza</t>
  </si>
  <si>
    <t>Sé Libaby</t>
  </si>
  <si>
    <t>SÃ©libaby</t>
  </si>
  <si>
    <t>Guidimaka</t>
  </si>
  <si>
    <t>Té Kane</t>
  </si>
  <si>
    <t>TÃ©kane</t>
  </si>
  <si>
    <t>Zoueate</t>
  </si>
  <si>
    <t>Zouerate</t>
  </si>
  <si>
    <t>Tiris Zemmour</t>
  </si>
  <si>
    <t>Bel Air Riviãre Sãche</t>
  </si>
  <si>
    <t>Bel Air RiviÃ¨re SÃ¨che</t>
  </si>
  <si>
    <t>Mauritius</t>
  </si>
  <si>
    <t>Flacq</t>
  </si>
  <si>
    <t>Center de Flacq</t>
  </si>
  <si>
    <t>Centre de Flacq</t>
  </si>
  <si>
    <t>CUREPIPE</t>
  </si>
  <si>
    <t>Curepipe</t>
  </si>
  <si>
    <t>Plaines Wilhems</t>
  </si>
  <si>
    <t>Goodlands</t>
  </si>
  <si>
    <t>RiviÃ¨re du Rempart</t>
  </si>
  <si>
    <t>Le Hochet</t>
  </si>
  <si>
    <t>Pamplemousses</t>
  </si>
  <si>
    <t>Mahé Bourg</t>
  </si>
  <si>
    <t>MahÃ©bourg</t>
  </si>
  <si>
    <t>Grand Port</t>
  </si>
  <si>
    <t>Porto Louis</t>
  </si>
  <si>
    <t>Port Louis</t>
  </si>
  <si>
    <t>Quatre nascido</t>
  </si>
  <si>
    <t>Quatre Bornes</t>
  </si>
  <si>
    <t>Saint Pierre</t>
  </si>
  <si>
    <t>Moka</t>
  </si>
  <si>
    <t>Triolet</t>
  </si>
  <si>
    <t>Vácuoas</t>
  </si>
  <si>
    <t>Vacoas</t>
  </si>
  <si>
    <t>Dzaoudzi</t>
  </si>
  <si>
    <t>Mayotte</t>
  </si>
  <si>
    <t>Koungou</t>
  </si>
  <si>
    <t>Mamoudzou</t>
  </si>
  <si>
    <t>Ã Lamo</t>
  </si>
  <si>
    <t>Ãlamo</t>
  </si>
  <si>
    <t>Mexico</t>
  </si>
  <si>
    <t>Veracruz</t>
  </si>
  <si>
    <t>Ã lvaro obregãn</t>
  </si>
  <si>
    <t>Ãlvaro ObregÃ³n</t>
  </si>
  <si>
    <t>Mexico City</t>
  </si>
  <si>
    <t>Abasolo</t>
  </si>
  <si>
    <t>Guanajuato</t>
  </si>
  <si>
    <t>Acábaro</t>
  </si>
  <si>
    <t>AcÃ¡mbaro</t>
  </si>
  <si>
    <t>Acajete</t>
  </si>
  <si>
    <t>Puebla</t>
  </si>
  <si>
    <t>Acaneta</t>
  </si>
  <si>
    <t>Acaponeta</t>
  </si>
  <si>
    <t>Nayarit</t>
  </si>
  <si>
    <t>Acapulco de Juã</t>
  </si>
  <si>
    <t>Acapulco de JuÃ¡rez</t>
  </si>
  <si>
    <t>Guerrero</t>
  </si>
  <si>
    <t>ACATL ÂMPO DE OSORIO</t>
  </si>
  <si>
    <t>AcatlÃ¡n de Osorio</t>
  </si>
  <si>
    <t>Acatzingo de Hidalgo</t>
  </si>
  <si>
    <t>Acayucan</t>
  </si>
  <si>
    <t>Actopan</t>
  </si>
  <si>
    <t>Hidalgo</t>
  </si>
  <si>
    <t>Agua Dulce</t>
  </si>
  <si>
    <t>Agua Prieta</t>
  </si>
  <si>
    <t>Sonora</t>
  </si>
  <si>
    <t>Aguascalientes</t>
  </si>
  <si>
    <t>Ajalpan</t>
  </si>
  <si>
    <t>Alborada Jaltenco</t>
  </si>
  <si>
    <t>MÃ©xico</t>
  </si>
  <si>
    <t>Allende</t>
  </si>
  <si>
    <t>Coahuila</t>
  </si>
  <si>
    <t>Nuevo LeÃ³n</t>
  </si>
  <si>
    <t>Tamaulipas</t>
  </si>
  <si>
    <t>Altepexi</t>
  </si>
  <si>
    <t>Alto Lucero</t>
  </si>
  <si>
    <t>Altotonga</t>
  </si>
  <si>
    <t>AMECA</t>
  </si>
  <si>
    <t>Ameca</t>
  </si>
  <si>
    <t>Jalisco</t>
  </si>
  <si>
    <t>Amecameca</t>
  </si>
  <si>
    <t>Amozoc de Mota</t>
  </si>
  <si>
    <t>Ampliaciãn San Mateo (Colonia Solidaridad)</t>
  </si>
  <si>
    <t>AmpliaciÃ³n San Mateo (Colonia Solidaridad)</t>
  </si>
  <si>
    <t>Anãhuac</t>
  </si>
  <si>
    <t>AnÃ¡huac</t>
  </si>
  <si>
    <t>Uma panela</t>
  </si>
  <si>
    <t>Apan</t>
  </si>
  <si>
    <t>Apaseo El Alto</t>
  </si>
  <si>
    <t>Apaseo el Alto</t>
  </si>
  <si>
    <t>Apaseo El Grande</t>
  </si>
  <si>
    <t>Apaseo el Grande</t>
  </si>
  <si>
    <t>Apatzingá</t>
  </si>
  <si>
    <t>ApatzingÃ¡n</t>
  </si>
  <si>
    <t>MichoacÃ¡n</t>
  </si>
  <si>
    <t>Apizaco</t>
  </si>
  <si>
    <t>Tlaxcala</t>
  </si>
  <si>
    <t>Apodaca</t>
  </si>
  <si>
    <t>ARANDAS</t>
  </si>
  <si>
    <t>Arandas</t>
  </si>
  <si>
    <t>Arcelia</t>
  </si>
  <si>
    <t>Armeria</t>
  </si>
  <si>
    <t>Arriaga</t>
  </si>
  <si>
    <t>Chiapas</t>
  </si>
  <si>
    <t>Atlacomulco</t>
  </si>
  <si>
    <t>Atlixco</t>
  </si>
  <si>
    <t>Atrotonilco El Alto</t>
  </si>
  <si>
    <t>Atotonilco el Alto</t>
  </si>
  <si>
    <t>Atoyac de ã Lvarez</t>
  </si>
  <si>
    <t>Atoyac de Ãlvarez</t>
  </si>
  <si>
    <t>AUTL ÍMO DE NAVARRO</t>
  </si>
  <si>
    <t>AutlÃ¡n de Navarro</t>
  </si>
  <si>
    <t>Axochiapan</t>
  </si>
  <si>
    <t>Morelos</t>
  </si>
  <si>
    <t>Azcapotzalco</t>
  </si>
  <si>
    <t>Farpa</t>
  </si>
  <si>
    <t>Banderilla</t>
  </si>
  <si>
    <t>Benito Juarez</t>
  </si>
  <si>
    <t>BerriozãBal</t>
  </si>
  <si>
    <t>BerriozÃ¡bal</t>
  </si>
  <si>
    <t>Buenavista</t>
  </si>
  <si>
    <t>Tabasco</t>
  </si>
  <si>
    <t>Cabo San Lucas</t>
  </si>
  <si>
    <t>Baja California Sur</t>
  </si>
  <si>
    <t>Cadereyta</t>
  </si>
  <si>
    <t>Calpulalpan</t>
  </si>
  <si>
    <t>Calvillo</t>
  </si>
  <si>
    <t>Campeche</t>
  </si>
  <si>
    <t>CANANEA</t>
  </si>
  <si>
    <t>Cananea</t>
  </si>
  <si>
    <t>Cancün</t>
  </si>
  <si>
    <t>CancÃºn</t>
  </si>
  <si>
    <t>Quintana Roo</t>
  </si>
  <si>
    <t>Capulhuac</t>
  </si>
  <si>
    <t>Cardenas</t>
  </si>
  <si>
    <t>San Luis PotosÃ­</t>
  </si>
  <si>
    <t>Carlos A. Carrillo</t>
  </si>
  <si>
    <t>Casa Blanca</t>
  </si>
  <si>
    <t>Castanha ± OS</t>
  </si>
  <si>
    <t>CastaÃ±os</t>
  </si>
  <si>
    <t>Catemaco</t>
  </si>
  <si>
    <t>Celaya</t>
  </si>
  <si>
    <t>Centro Familiar La Soledad</t>
  </si>
  <si>
    <t>Centro Familiar la Soledad</t>
  </si>
  <si>
    <t>Cerro Azul</t>
  </si>
  <si>
    <t>Chalco de Dãaz Covarrubias</t>
  </si>
  <si>
    <t>Chalco de DÃ­az Covarrubias</t>
  </si>
  <si>
    <t>Champetãn</t>
  </si>
  <si>
    <t>ChampotÃ³n</t>
  </si>
  <si>
    <t>Chapala</t>
  </si>
  <si>
    <t>Chetumal</t>
  </si>
  <si>
    <t>Chiapa de Corzo</t>
  </si>
  <si>
    <t>Chiautempan</t>
  </si>
  <si>
    <t>Chiautla</t>
  </si>
  <si>
    <t>Chiché n-Itzã</t>
  </si>
  <si>
    <t>ChichÃ©n-ItzÃ¡</t>
  </si>
  <si>
    <t>YucatÃ¡n</t>
  </si>
  <si>
    <t>Chiconcuac</t>
  </si>
  <si>
    <t>Chignahuapan</t>
  </si>
  <si>
    <t>Chihuahua</t>
  </si>
  <si>
    <t>Chilapa de Alvarez</t>
  </si>
  <si>
    <t>Chilpancingo de Los Bravos</t>
  </si>
  <si>
    <t>Chilpancingo de los Bravos</t>
  </si>
  <si>
    <t>Cholula</t>
  </si>
  <si>
    <t>CIHUATLON</t>
  </si>
  <si>
    <t>CihuatlÃ¡n</t>
  </si>
  <si>
    <t>Cintalapa de Figueroa</t>
  </si>
  <si>
    <t>Ciudad Acui ± A</t>
  </si>
  <si>
    <t>Ciudad AcuÃ±a</t>
  </si>
  <si>
    <t>Ciudad Altamirano</t>
  </si>
  <si>
    <t>Ciudad Anãhuac</t>
  </si>
  <si>
    <t>Ciudad AnÃ¡huac</t>
  </si>
  <si>
    <t>Ciudad Camargo</t>
  </si>
  <si>
    <t>Ciudad Constituciãn</t>
  </si>
  <si>
    <t>Ciudad ConstituciÃ³n</t>
  </si>
  <si>
    <t>Ciudad de Huajuapan de Leãn</t>
  </si>
  <si>
    <t>Ciudad de Huajuapan de LeÃ³n</t>
  </si>
  <si>
    <t>Oaxaca</t>
  </si>
  <si>
    <t>Ciudad de Huitzuco</t>
  </si>
  <si>
    <t>Ciudad de Villa de ã Lvarez</t>
  </si>
  <si>
    <t>Ciudad de Villa de Ãlvarez</t>
  </si>
  <si>
    <t>Ciudad del Carmen</t>
  </si>
  <si>
    <t>Ciudad Delicias</t>
  </si>
  <si>
    <t>Ciudad Ferná</t>
  </si>
  <si>
    <t>Ciudad FernÃ¡ndez</t>
  </si>
  <si>
    <t>Ciudad Frontera</t>
  </si>
  <si>
    <t>Ciudad Guzmãn</t>
  </si>
  <si>
    <t>Ciudad GuzmÃ¡n</t>
  </si>
  <si>
    <t>Ciudad Hidalgo</t>
  </si>
  <si>
    <t>Ciudad Juã</t>
  </si>
  <si>
    <t>Ciudad JuÃ¡rez</t>
  </si>
  <si>
    <t>Ciudad lãzaro cãrdenas</t>
  </si>
  <si>
    <t>Ciudad LÃ¡zaro CÃ¡rdenas</t>
  </si>
  <si>
    <t>Ciudad lãpez mateos</t>
  </si>
  <si>
    <t>Ciudad LÃ³pez Mateos</t>
  </si>
  <si>
    <t>Ciudad Lerdo</t>
  </si>
  <si>
    <t>Ciudad Madero</t>
  </si>
  <si>
    <t>Ciudad Mante</t>
  </si>
  <si>
    <t>Ciudad Mendoza</t>
  </si>
  <si>
    <t>Ciudad Miguel Alemãn</t>
  </si>
  <si>
    <t>Ciudad Miguel AlemÃ¡n</t>
  </si>
  <si>
    <t>Ciudad Nezahualcoyotl</t>
  </si>
  <si>
    <t>Ciudad Obregãn</t>
  </si>
  <si>
    <t>Ciudad ObregÃ³n</t>
  </si>
  <si>
    <t>Ciudad Sabinas</t>
  </si>
  <si>
    <t>Ciudad Sahagun</t>
  </si>
  <si>
    <t>Ciudad Serdãn</t>
  </si>
  <si>
    <t>Ciudad SerdÃ¡n</t>
  </si>
  <si>
    <t>Ciudad Valles</t>
  </si>
  <si>
    <t>Ciudad Victoria</t>
  </si>
  <si>
    <t>Coacalco</t>
  </si>
  <si>
    <t>Coatepec</t>
  </si>
  <si>
    <t>Coatlnchá</t>
  </si>
  <si>
    <t>CoatlinchÃ¡n</t>
  </si>
  <si>
    <t>Coatzacoalcos</t>
  </si>
  <si>
    <t>Coatzintla</t>
  </si>
  <si>
    <t>Colonia del Valle</t>
  </si>
  <si>
    <t>Colonia Lindavista</t>
  </si>
  <si>
    <t>Colonia Nativitas</t>
  </si>
  <si>
    <t>Colonia Santa Teresa</t>
  </si>
  <si>
    <t>Comalcalco</t>
  </si>
  <si>
    <t>Comitãn</t>
  </si>
  <si>
    <t>ComitÃ¡n</t>
  </si>
  <si>
    <t>Comonfort</t>
  </si>
  <si>
    <t>Compostela</t>
  </si>
  <si>
    <t>Cortazar</t>
  </si>
  <si>
    <t>Cosamaloapan de Carpio</t>
  </si>
  <si>
    <t>Cosoleacca</t>
  </si>
  <si>
    <t>Cosoleacaque</t>
  </si>
  <si>
    <t>Coyoacãn</t>
  </si>
  <si>
    <t>CoyoacÃ¡n</t>
  </si>
  <si>
    <t>Coiotepec</t>
  </si>
  <si>
    <t>Coyotepec</t>
  </si>
  <si>
    <t>Crucecita</t>
  </si>
  <si>
    <t>Cuajimalpa</t>
  </si>
  <si>
    <t>Cuauhté moc</t>
  </si>
  <si>
    <t>CuauhtÃ©moc</t>
  </si>
  <si>
    <t>Cuatepec de hinojosa</t>
  </si>
  <si>
    <t>Cuautepec de Hinojosa</t>
  </si>
  <si>
    <t>Cuautitlãn</t>
  </si>
  <si>
    <t>CuautitlÃ¡n</t>
  </si>
  <si>
    <t>Cuautitlãncalli</t>
  </si>
  <si>
    <t>CuautitlÃ¡n Izcalli</t>
  </si>
  <si>
    <t>Cuautla morelos</t>
  </si>
  <si>
    <t>Cuautla Morelos</t>
  </si>
  <si>
    <t>Cuautlancingo</t>
  </si>
  <si>
    <t>Cuernavaca</t>
  </si>
  <si>
    <t>Culiac</t>
  </si>
  <si>
    <t>CuliacÃ¡n</t>
  </si>
  <si>
    <t>Sinaloa</t>
  </si>
  <si>
    <t>Cunduac</t>
  </si>
  <si>
    <t>CunduacÃ¡n</t>
  </si>
  <si>
    <t>Dolores Hidalgo Cuna de la Independencia Nacional</t>
  </si>
  <si>
    <t>Don Antonio</t>
  </si>
  <si>
    <t>EcatePec</t>
  </si>
  <si>
    <t>Ecatepec</t>
  </si>
  <si>
    <t>El Grullo</t>
  </si>
  <si>
    <t>El Pueblito</t>
  </si>
  <si>
    <t>QuerÃ©taro</t>
  </si>
  <si>
    <t>El Salto</t>
  </si>
  <si>
    <t>Emiliano Zapata</t>
  </si>
  <si>
    <t>Empalme</t>
  </si>
  <si>
    <t>Encarnaciãn de dãaz</t>
  </si>
  <si>
    <t>EncarnaciÃ³n de DÃ­az</t>
  </si>
  <si>
    <t>Ensenada</t>
  </si>
  <si>
    <t>Baja California</t>
  </si>
  <si>
    <t>Escã</t>
  </si>
  <si>
    <t>EscÃ¡rcega</t>
  </si>
  <si>
    <t>Escuinapa de Hidalgo</t>
  </si>
  <si>
    <t>Felipe Carrillo Puerto</t>
  </si>
  <si>
    <t>Fortãn de Las Flores</t>
  </si>
  <si>
    <t>FortÃ­n de las Flores</t>
  </si>
  <si>
    <t>Fraccionamiento Ciudad Olmeca</t>
  </si>
  <si>
    <t>FRaccionamiento Palmas real</t>
  </si>
  <si>
    <t>Fraccionamiento Real Palmas</t>
  </si>
  <si>
    <t>Fresnillo</t>
  </si>
  <si>
    <t>Zacatecas</t>
  </si>
  <si>
    <t>Frontera</t>
  </si>
  <si>
    <t>Frontera Comalapa</t>
  </si>
  <si>
    <t>Fuentes del Valle</t>
  </si>
  <si>
    <t>Garcãa</t>
  </si>
  <si>
    <t>GarcÃ­a</t>
  </si>
  <si>
    <t>Garza Garcãa</t>
  </si>
  <si>
    <t>Garza GarcÃ­a</t>
  </si>
  <si>
    <t>Geral Escobedo</t>
  </si>
  <si>
    <t>General Escobedo</t>
  </si>
  <si>
    <t>Gomez Palacio</t>
  </si>
  <si>
    <t>Durango</t>
  </si>
  <si>
    <t>Guacamayas</t>
  </si>
  <si>
    <t>Guadalajara</t>
  </si>
  <si>
    <t>Guadalupe Victoria</t>
  </si>
  <si>
    <t>Guamãochil</t>
  </si>
  <si>
    <t>GuamÃºchil</t>
  </si>
  <si>
    <t>Guasave</t>
  </si>
  <si>
    <t>Gustavo A. Madero</t>
  </si>
  <si>
    <t>Hacienda Santa Fe</t>
  </si>
  <si>
    <t>Herã�ic zitícuaro</t>
  </si>
  <si>
    <t>HerÃ³ica ZitÃ¡cuaro</t>
  </si>
  <si>
    <t>Hermosillo</t>
  </si>
  <si>
    <t>Heroica Alvarado</t>
  </si>
  <si>
    <t>Heroica Caborca</t>
  </si>
  <si>
    <t>Heroica Ciudad de Tlaxiaco</t>
  </si>
  <si>
    <t>Heroica Guaymas</t>
  </si>
  <si>
    <t>Heroica Matamoros</t>
  </si>
  <si>
    <t>Hidalgo Del Parral</t>
  </si>
  <si>
    <t>Hidalgo del Parral</t>
  </si>
  <si>
    <t>Huamantla</t>
  </si>
  <si>
    <t>Huatabampo</t>
  </si>
  <si>
    <t>Huatusco de Chicuellar</t>
  </si>
  <si>
    <t>Huauchinango</t>
  </si>
  <si>
    <t>Huejotzingo</t>
  </si>
  <si>
    <t>Huejutla de Reyes</t>
  </si>
  <si>
    <t>Huetamo de n ã ± ez</t>
  </si>
  <si>
    <t>Huetamo de NÃºÃ±ez</t>
  </si>
  <si>
    <t>Huilango</t>
  </si>
  <si>
    <t>Huimanguillo</t>
  </si>
  <si>
    <t>Huitzuco de Los Figueroa</t>
  </si>
  <si>
    <t>Huitzuco de los Figueroa</t>
  </si>
  <si>
    <t>Huixquilucan</t>
  </si>
  <si>
    <t>Huixtla</t>
  </si>
  <si>
    <t>Hunucmã</t>
  </si>
  <si>
    <t>HunucmÃ¡</t>
  </si>
  <si>
    <t>Iguala de la Independencia</t>
  </si>
  <si>
    <t>IRAPUATO</t>
  </si>
  <si>
    <t>Irapuato</t>
  </si>
  <si>
    <t>Ixmiquipan</t>
  </si>
  <si>
    <t>Ixmiquilpan</t>
  </si>
  <si>
    <t>Ixtac zoquitli</t>
  </si>
  <si>
    <t>Ixtac ZoquitlÃ¡n</t>
  </si>
  <si>
    <t>Ixtapa</t>
  </si>
  <si>
    <t>Ixtapaluca</t>
  </si>
  <si>
    <t>Ixtapan de la sal</t>
  </si>
  <si>
    <t>Ixtapan de la Sal</t>
  </si>
  <si>
    <t>Ixtapa-zihuatanejo</t>
  </si>
  <si>
    <t>Ixtapa-Zihuatanejo</t>
  </si>
  <si>
    <t>Ixtl ênn del Rão</t>
  </si>
  <si>
    <t>IxtlÃ¡n del RÃ­o</t>
  </si>
  <si>
    <t>IzüCar de Matamoros</t>
  </si>
  <si>
    <t>IzÃºcar de Matamoros</t>
  </si>
  <si>
    <t>Iztacalco</t>
  </si>
  <si>
    <t>Iztapalapa</t>
  </si>
  <si>
    <t>Jalostotitlãn</t>
  </si>
  <si>
    <t>JalostotitlÃ¡n</t>
  </si>
  <si>
    <t>Jalpa de Má © ndez</t>
  </si>
  <si>
    <t>Jalpa de MÃ©ndez</t>
  </si>
  <si>
    <t>Jamay</t>
  </si>
  <si>
    <t>Jaral del Progreso</t>
  </si>
  <si>
    <t>Jardines de la Silla (Jardines)</t>
  </si>
  <si>
    <t>Jerez de Garcãa Salinas</t>
  </si>
  <si>
    <t>Jerez de GarcÃ­a Salinas</t>
  </si>
  <si>
    <t>Jes ã êmbolos del Monte</t>
  </si>
  <si>
    <t>JesÃºs del Monte</t>
  </si>
  <si>
    <t>Jimé Nez</t>
  </si>
  <si>
    <t>JimÃ©nez</t>
  </si>
  <si>
    <t>Jiquãlpan de Jui</t>
  </si>
  <si>
    <t>JiquÃ­lpan de JuÃ¡rez</t>
  </si>
  <si>
    <t>JiutePec</t>
  </si>
  <si>
    <t>Jiutepec</t>
  </si>
  <si>
    <t>Jocotepec</t>
  </si>
  <si>
    <t>Jojutla</t>
  </si>
  <si>
    <t>Juan Jose Rios</t>
  </si>
  <si>
    <t>Juchití de Zaragoza</t>
  </si>
  <si>
    <t>JuchitÃ¡n de Zaragoza</t>
  </si>
  <si>
    <t>Kanasãn</t>
  </si>
  <si>
    <t>KanasÃ­n</t>
  </si>
  <si>
    <t>La Barca</t>
  </si>
  <si>
    <t>La Cruz</t>
  </si>
  <si>
    <t>La Ermita</t>
  </si>
  <si>
    <t>La Isla</t>
  </si>
  <si>
    <t>La Oilla</t>
  </si>
  <si>
    <t>La Orilla</t>
  </si>
  <si>
    <t>La Piedad Cavadas</t>
  </si>
  <si>
    <t>La Providencia Siglo xxi</t>
  </si>
  <si>
    <t>La Providencia Siglo XXI</t>
  </si>
  <si>
    <t>Lagos de Moreno</t>
  </si>
  <si>
    <t>Las Choapas</t>
  </si>
  <si>
    <t>Las Delicias</t>
  </si>
  <si>
    <t>Las Margaritas</t>
  </si>
  <si>
    <t>Las Pintas de Arriba</t>
  </si>
  <si>
    <t>Las Pintitas</t>
  </si>
  <si>
    <t>Leã</t>
  </si>
  <si>
    <t>LeÃ³n</t>
  </si>
  <si>
    <t>Lerdo de Tejada</t>
  </si>
  <si>
    <t>Lerma de Villada</t>
  </si>
  <si>
    <t>Leyva Solano</t>
  </si>
  <si>
    <t>Licenciado Benito Juã (Campo Gobierno)</t>
  </si>
  <si>
    <t>Licenciado Benito JuÃ¡rez (Campo Gobierno)</t>
  </si>
  <si>
    <t>Lomas del Sur</t>
  </si>
  <si>
    <t>Loreto</t>
  </si>
  <si>
    <t>Los Mochis</t>
  </si>
  <si>
    <t>Los Reyes La Paz</t>
  </si>
  <si>
    <t>Má © Rida</t>
  </si>
  <si>
    <t>MÃ©rida</t>
  </si>
  <si>
    <t>Macuspana</t>
  </si>
  <si>
    <t>Magdalena Contreras</t>
  </si>
  <si>
    <t>Magdalena de Kino</t>
  </si>
  <si>
    <t>Malinaltepec</t>
  </si>
  <si>
    <t>Manuel Ojinaga</t>
  </si>
  <si>
    <t>MAPASTEPEC</t>
  </si>
  <si>
    <t>Mapastepec</t>
  </si>
  <si>
    <t>Maravatão</t>
  </si>
  <si>
    <t>MaravatÃ­o</t>
  </si>
  <si>
    <t>Marfil</t>
  </si>
  <si>
    <t>Martãnez de la torre</t>
  </si>
  <si>
    <t>MartÃ­nez de la Torre</t>
  </si>
  <si>
    <t>Matãas Romero</t>
  </si>
  <si>
    <t>MatÃ­as Romero</t>
  </si>
  <si>
    <t>Matamoros</t>
  </si>
  <si>
    <t>Matehuala</t>
  </si>
  <si>
    <t>Mazatlãn</t>
  </si>
  <si>
    <t>MazatlÃ¡n</t>
  </si>
  <si>
    <t>Medina</t>
  </si>
  <si>
    <t>MELCHOR MÃOZQUIZ</t>
  </si>
  <si>
    <t>Melchor MÃºzquiz</t>
  </si>
  <si>
    <t>Melchor Ocampo</t>
  </si>
  <si>
    <t>Metepec</t>
  </si>
  <si>
    <t>Mexicali</t>
  </si>
  <si>
    <t>Cidade do México</t>
  </si>
  <si>
    <t>México D.F.</t>
  </si>
  <si>
    <t>Miahuatlã de Porfirio Dãaz</t>
  </si>
  <si>
    <t>MiahuatlÃ¡n de Porfirio DÃ­az</t>
  </si>
  <si>
    <t>Miguel Alemãn (La Doce)</t>
  </si>
  <si>
    <t>Miguel AlemÃ¡n (La Doce)</t>
  </si>
  <si>
    <t>Miguel Hidalgo</t>
  </si>
  <si>
    <t>Milpa Alta</t>
  </si>
  <si>
    <t>Minatitlan</t>
  </si>
  <si>
    <t>Miramar</t>
  </si>
  <si>
    <t>Misantla</t>
  </si>
  <si>
    <t>Mitras Poniente</t>
  </si>
  <si>
    <t>Mixquiahuala de Juarez</t>
  </si>
  <si>
    <t>Monclova</t>
  </si>
  <si>
    <t>Montemorelos</t>
  </si>
  <si>
    <t>Monterrey</t>
  </si>
  <si>
    <t>Morelia</t>
  </si>
  <si>
    <t>Moroleãn</t>
  </si>
  <si>
    <t>MoroleÃ³n</t>
  </si>
  <si>
    <t>Motozintla</t>
  </si>
  <si>
    <t>Motul</t>
  </si>
  <si>
    <t>Moyotzingo</t>
  </si>
  <si>
    <t>Naranjos</t>
  </si>
  <si>
    <t>Naucalpan de Jui</t>
  </si>
  <si>
    <t>Naucalpan de JuÃ¡rez</t>
  </si>
  <si>
    <t>Nava</t>
  </si>
  <si>
    <t>Navojoa</t>
  </si>
  <si>
    <t>Navolato</t>
  </si>
  <si>
    <t>Nicolá R Casillas</t>
  </si>
  <si>
    <t>NicolÃ¡s R Casillas</t>
  </si>
  <si>
    <t>Nicolá Romero</t>
  </si>
  <si>
    <t>NicolÃ¡s Romero</t>
  </si>
  <si>
    <t>Nochistlãn</t>
  </si>
  <si>
    <t>NochistlÃ¡n</t>
  </si>
  <si>
    <t>Nogales</t>
  </si>
  <si>
    <t>Nueva Italia de Ruiz</t>
  </si>
  <si>
    <t>Nueva Rosita</t>
  </si>
  <si>
    <t>Nuevo Casas Grandes</t>
  </si>
  <si>
    <t>Nuevo Laredo</t>
  </si>
  <si>
    <t>Nuevo M © XICO</t>
  </si>
  <si>
    <t>Nuevo MÃ©xico</t>
  </si>
  <si>
    <t>Oaxaca de Jui</t>
  </si>
  <si>
    <t>Oaxaca de JuÃ¡rez</t>
  </si>
  <si>
    <t>OCOSOSO</t>
  </si>
  <si>
    <t>Ocosingo</t>
  </si>
  <si>
    <t>OCOTL</t>
  </si>
  <si>
    <t>OcotlÃ¡n</t>
  </si>
  <si>
    <t>Ocoyoacac</t>
  </si>
  <si>
    <t>Ocozocoautla de Espinosa</t>
  </si>
  <si>
    <t>Ojinaga</t>
  </si>
  <si>
    <t>Ojo de Agua</t>
  </si>
  <si>
    <t>OMETEPEC</t>
  </si>
  <si>
    <t>Ometepec</t>
  </si>
  <si>
    <t>Orizaba</t>
  </si>
  <si>
    <t>Oxkutzkab</t>
  </si>
  <si>
    <t>Ozumba de Alzate</t>
  </si>
  <si>
    <t>Pãruco</t>
  </si>
  <si>
    <t>PÃ¡nuco</t>
  </si>
  <si>
    <t>Pãtzcuaro</t>
  </si>
  <si>
    <t>PÃ¡tzcuaro</t>
  </si>
  <si>
    <t>Pé © njamo</t>
  </si>
  <si>
    <t>PÃ©njamo</t>
  </si>
  <si>
    <t>Pã³rticos de San Antonio</t>
  </si>
  <si>
    <t>PÃ³rticos de San Antonio</t>
  </si>
  <si>
    <t>Pachuca de Soto</t>
  </si>
  <si>
    <t>Palau</t>
  </si>
  <si>
    <t>Palenque</t>
  </si>
  <si>
    <t>Palmarito Tochapá</t>
  </si>
  <si>
    <t>Palmarito TochapÃ¡n</t>
  </si>
  <si>
    <t>Papalotla</t>
  </si>
  <si>
    <t>Papantla de Olarte</t>
  </si>
  <si>
    <t>Paracho de Verduzco</t>
  </si>
  <si>
    <t>Paraíso</t>
  </si>
  <si>
    <t>Paraiso</t>
  </si>
  <si>
    <t>Parque Industrial Ciudad Mitras</t>
  </si>
  <si>
    <t>Parras de la Fuente</t>
  </si>
  <si>
    <t>Pedro Meoqui</t>
  </si>
  <si>
    <t>Perote</t>
  </si>
  <si>
    <t>Petatlãn</t>
  </si>
  <si>
    <t>PetatlÃ¡n</t>
  </si>
  <si>
    <t>Peto</t>
  </si>
  <si>
    <t>Piedras Negras</t>
  </si>
  <si>
    <t>Pijijiapan</t>
  </si>
  <si>
    <t>Playa del Carmen</t>
  </si>
  <si>
    <t>Polanco</t>
  </si>
  <si>
    <t>Poza Rica de Hidalgo</t>
  </si>
  <si>
    <t>Progreso de Alvaro Obregon</t>
  </si>
  <si>
    <t>Progreso de Castro</t>
  </si>
  <si>
    <t>Pueblo Nuevo</t>
  </si>
  <si>
    <t>Puente de Ixtla</t>
  </si>
  <si>
    <t>Puerto Escondido</t>
  </si>
  <si>
    <t>Puerto peã ± asco</t>
  </si>
  <si>
    <t>Puerto PeÃ±asco</t>
  </si>
  <si>
    <t>Puerto Vallarta</t>
  </si>
  <si>
    <t>Puruãndiro</t>
  </si>
  <si>
    <t>PuruÃ¡ndiro</t>
  </si>
  <si>
    <t>Ramos Arizpe</t>
  </si>
  <si>
    <t>Rão Blanco</t>
  </si>
  <si>
    <t>RÃ­o Blanco</t>
  </si>
  <si>
    <t>Rão Bravo</t>
  </si>
  <si>
    <t>RÃ­o Bravo</t>
  </si>
  <si>
    <t>Rão de Tepa</t>
  </si>
  <si>
    <t>RÃ­o de Teapa</t>
  </si>
  <si>
    <t>Rão Verde</t>
  </si>
  <si>
    <t>RÃ­o Verde</t>
  </si>
  <si>
    <t>Reyes Acozac</t>
  </si>
  <si>
    <t>Reynosa</t>
  </si>
  <si>
    <t>Rincã de Romos</t>
  </si>
  <si>
    <t>RincÃ³n de Romos</t>
  </si>
  <si>
    <t>Rodolfo Sãnchez taboada</t>
  </si>
  <si>
    <t>Rodolfo SÃ¡nchez Taboada</t>
  </si>
  <si>
    <t>Romita</t>
  </si>
  <si>
    <t>Rosarito</t>
  </si>
  <si>
    <t>Sabinas Hidalgo</t>
  </si>
  <si>
    <t>Sahuayo de Morelos</t>
  </si>
  <si>
    <t>Salamanca</t>
  </si>
  <si>
    <t>Salina Cruz</t>
  </si>
  <si>
    <t>Saltillo</t>
  </si>
  <si>
    <t>Salvatierra</t>
  </si>
  <si>
    <t>San André s Cholula</t>
  </si>
  <si>
    <t>San AndrÃ©s Cholula</t>
  </si>
  <si>
    <t>San Andres Tuxtla</t>
  </si>
  <si>
    <t>San Antonio de la Cal</t>
  </si>
  <si>
    <t>San Antonio Tecãmitl</t>
  </si>
  <si>
    <t>San Antonio TecÃ³mitl</t>
  </si>
  <si>
    <t>San Bernardino Contla</t>
  </si>
  <si>
    <t>San Buenaventura</t>
  </si>
  <si>
    <t>San Cristã³b de las Casas</t>
  </si>
  <si>
    <t>San CristÃ³bal de las Casas</t>
  </si>
  <si>
    <t>San Fernando</t>
  </si>
  <si>
    <t>São Francisco Acuautla</t>
  </si>
  <si>
    <t>San Francisco Acuautla</t>
  </si>
  <si>
    <t>São Francisco del Rincãn</t>
  </si>
  <si>
    <t>San Francisco del RincÃ³n</t>
  </si>
  <si>
    <t>San Jerã³nimo Cuatro Vientos</t>
  </si>
  <si>
    <t>San JerÃ³nimo Cuatro Vientos</t>
  </si>
  <si>
    <t>San Jerã³nimo ixtepec</t>
  </si>
  <si>
    <t>San JerÃ³nimo Ixtepec</t>
  </si>
  <si>
    <t>San Jorge Pueblo Nuevo</t>
  </si>
  <si>
    <t>San José Del Cabo</t>
  </si>
  <si>
    <t>San JosÃ© del Cabo</t>
  </si>
  <si>
    <t>San José Guadalupe Otzacatipan</t>
  </si>
  <si>
    <t>San JosÃ© Guadalupe Otzacatipan</t>
  </si>
  <si>
    <t>San José Iturbide</t>
  </si>
  <si>
    <t>San JosÃ© Iturbide</t>
  </si>
  <si>
    <t>San Juan de Los Lagos</t>
  </si>
  <si>
    <t>San Juan de los Lagos</t>
  </si>
  <si>
    <t>San Juan del Rão</t>
  </si>
  <si>
    <t>San Juan del RÃ­o</t>
  </si>
  <si>
    <t>San Lorenzo Acopilco</t>
  </si>
  <si>
    <t>San Luis de la Paz</t>
  </si>
  <si>
    <t>San Luis Potosã</t>
  </si>
  <si>
    <t>San Luis Rão Colorado</t>
  </si>
  <si>
    <t>San Luis RÃ­o Colorado</t>
  </si>
  <si>
    <t>San Martãn Azcatepec</t>
  </si>
  <si>
    <t>San MartÃ­n Azcatepec</t>
  </si>
  <si>
    <t>San Martin Texmelucan de Labastida</t>
  </si>
  <si>
    <t>San Mateo Atenco</t>
  </si>
  <si>
    <t>San Mateo Otzacatipan</t>
  </si>
  <si>
    <t>San Miguel de Allende</t>
  </si>
  <si>
    <t>San Miguel de Cozumel</t>
  </si>
  <si>
    <t>San Miguel de Papasquiaro</t>
  </si>
  <si>
    <t>San Miguel El Alto</t>
  </si>
  <si>
    <t>San Miguel el Alto</t>
  </si>
  <si>
    <t>San Miguel Xico Viejo</t>
  </si>
  <si>
    <t>San Miguel Zinacantepec</t>
  </si>
  <si>
    <t>San Nicolá de Los Garza</t>
  </si>
  <si>
    <t>San NicolÃ¡s de los Garza</t>
  </si>
  <si>
    <t>San Pablo Autopan</t>
  </si>
  <si>
    <t>San Pablo de Las Salinas</t>
  </si>
  <si>
    <t>San Pablo de las Salinas</t>
  </si>
  <si>
    <t>San Pedro Garza Garcia</t>
  </si>
  <si>
    <t>San Pedro Madera</t>
  </si>
  <si>
    <t>San Rafael Tlanalapan</t>
  </si>
  <si>
    <t>San Salvador Atenco</t>
  </si>
  <si>
    <t>San Salvador El Seco</t>
  </si>
  <si>
    <t>San Salvador Tizatlalli</t>
  </si>
  <si>
    <t>San Sebastiãn El Grande</t>
  </si>
  <si>
    <t>San SebastiÃ¡n el Grande</t>
  </si>
  <si>
    <t>San Vicente Chicoloapan</t>
  </si>
  <si>
    <t>Sanctorum</t>
  </si>
  <si>
    <t>Santa Anita</t>
  </si>
  <si>
    <t>Santa Cruz de Juventino Rosas</t>
  </si>
  <si>
    <t>Santa Cruz Xoxocotli</t>
  </si>
  <si>
    <t>Santa Cruz XoxocotlÃ¡n</t>
  </si>
  <si>
    <t>Santa Marãa Chimalhuacãn</t>
  </si>
  <si>
    <t>Santa MarÃ­a ChimalhuacÃ¡n</t>
  </si>
  <si>
    <t>Santa Marãa TotoltePec</t>
  </si>
  <si>
    <t>Santa MarÃ­a Totoltepec</t>
  </si>
  <si>
    <t>Santa Rosa Jauregui</t>
  </si>
  <si>
    <t>Santiago de Querê</t>
  </si>
  <si>
    <t>Santiago de QuerÃ©taro</t>
  </si>
  <si>
    <t>Santiago Ixcuintla</t>
  </si>
  <si>
    <t>Santiago Momoxpan</t>
  </si>
  <si>
    <t>Santiago Papasquiaro</t>
  </si>
  <si>
    <t>Santiago Pinotepa Nacional</t>
  </si>
  <si>
    <t>SANTIAGO TONANGUISTENCO</t>
  </si>
  <si>
    <t>Santiago TÃ­anguistenco</t>
  </si>
  <si>
    <t>Santiago Teyahualco</t>
  </si>
  <si>
    <t>SANTIAGO TULANTEPEC</t>
  </si>
  <si>
    <t>Santiago Tulantepec</t>
  </si>
  <si>
    <t>Santiago Tuxtla</t>
  </si>
  <si>
    <t>Santo Domingo Tehuantepec</t>
  </si>
  <si>
    <t>Sayula</t>
  </si>
  <si>
    <t>Soledad Dãez Gutié Rrez</t>
  </si>
  <si>
    <t>Soledad DÃ­ez GutiÃ©rrez</t>
  </si>
  <si>
    <t>Soledad de Graciano São</t>
  </si>
  <si>
    <t>Soledad de Graciano SÃ¡nchez</t>
  </si>
  <si>
    <t>Sombrete</t>
  </si>
  <si>
    <t>Sombrerete</t>
  </si>
  <si>
    <t>Tacãmbaro de Codallos</t>
  </si>
  <si>
    <t>TacÃ¡mbaro de Codallos</t>
  </si>
  <si>
    <t>Tala</t>
  </si>
  <si>
    <t>Tamazula de Gordiano</t>
  </si>
  <si>
    <t>Tamazunchale</t>
  </si>
  <si>
    <t>Tampico</t>
  </si>
  <si>
    <t>Tangancãcuaro de Arista</t>
  </si>
  <si>
    <t>TangancÃ­cuaro de Arista</t>
  </si>
  <si>
    <t>Tantoyuca</t>
  </si>
  <si>
    <t>Tapachula</t>
  </si>
  <si>
    <t>Taxco de alarcãn</t>
  </si>
  <si>
    <t>Taxco de AlarcÃ³n</t>
  </si>
  <si>
    <t>TEAPA</t>
  </si>
  <si>
    <t>Teapa</t>
  </si>
  <si>
    <t>TecãMAC de Felipe Villanueva</t>
  </si>
  <si>
    <t>TecÃ¡mac de Felipe Villanueva</t>
  </si>
  <si>
    <t>Tecamac de Felipe Villanueva</t>
  </si>
  <si>
    <t>Tecamachalco</t>
  </si>
  <si>
    <t>Tecate</t>
  </si>
  <si>
    <t>TECAX</t>
  </si>
  <si>
    <t>Tecax</t>
  </si>
  <si>
    <t>Tecoman</t>
  </si>
  <si>
    <t>Tehuacãn</t>
  </si>
  <si>
    <t>TehuacÃ¡n</t>
  </si>
  <si>
    <t>Tejupilco de Hidalgo</t>
  </si>
  <si>
    <t>Teloloapan</t>
  </si>
  <si>
    <t>Temapache</t>
  </si>
  <si>
    <t>Temixco</t>
  </si>
  <si>
    <t>Tenango de Arista</t>
  </si>
  <si>
    <t>Tenosique de pino</t>
  </si>
  <si>
    <t>Tenosique de Pino SuÃ¡rez</t>
  </si>
  <si>
    <t>Teocaltiche</t>
  </si>
  <si>
    <t>Teolocholco</t>
  </si>
  <si>
    <t>Teoloyucan</t>
  </si>
  <si>
    <t>Teotihuaci de Arista</t>
  </si>
  <si>
    <t>TeotihuacÃ¡n de Arista</t>
  </si>
  <si>
    <t>Tepalcatepec</t>
  </si>
  <si>
    <t>Tepatitlãn de morelos</t>
  </si>
  <si>
    <t>TepatitlÃ¡n de Morelos</t>
  </si>
  <si>
    <t>Tepatlaxco de Hidalgo</t>
  </si>
  <si>
    <t>Tepeaca</t>
  </si>
  <si>
    <t>Tepeji de Ocampo</t>
  </si>
  <si>
    <t>Tepic</t>
  </si>
  <si>
    <t>Tepotzotlãn</t>
  </si>
  <si>
    <t>TepotzotlÃ¡n</t>
  </si>
  <si>
    <t>Tepoztlãn</t>
  </si>
  <si>
    <t>TepoztlÃ¡n</t>
  </si>
  <si>
    <t>Tequila</t>
  </si>
  <si>
    <t>Tequisquiiapan</t>
  </si>
  <si>
    <t>Tequisquiapan</t>
  </si>
  <si>
    <t>Tequixquiac</t>
  </si>
  <si>
    <t>Terrazas del Valle</t>
  </si>
  <si>
    <t>Tesistá</t>
  </si>
  <si>
    <t>TesistÃ¡n</t>
  </si>
  <si>
    <t>Texcoco de Mora</t>
  </si>
  <si>
    <t>Teziutlan</t>
  </si>
  <si>
    <t>Tezontepec de Aldama</t>
  </si>
  <si>
    <t>Ticul</t>
  </si>
  <si>
    <t>Tijuana</t>
  </si>
  <si>
    <t>Tixtla de Guerrero</t>
  </si>
  <si>
    <t>Tizayuca</t>
  </si>
  <si>
    <t>Tizimãn</t>
  </si>
  <si>
    <t>TizimÃ­n</t>
  </si>
  <si>
    <t>Tlahuac</t>
  </si>
  <si>
    <t>Tlajomulco de zun</t>
  </si>
  <si>
    <t>Tlajomulco de ZÃºÃ±iga</t>
  </si>
  <si>
    <t>Tlalnepantla</t>
  </si>
  <si>
    <t>Tlalpan</t>
  </si>
  <si>
    <t>Tlapa de comonfort</t>
  </si>
  <si>
    <t>Tlapa de Comonfort</t>
  </si>
  <si>
    <t>Tlapacoyan</t>
  </si>
  <si>
    <t>TLAQUEPAQUE</t>
  </si>
  <si>
    <t>Tlaquepaque</t>
  </si>
  <si>
    <t>Tlaquiltenango</t>
  </si>
  <si>
    <t>Tlaxcala de xicohtencatl</t>
  </si>
  <si>
    <t>Tlaxcala de Xicohtencatl</t>
  </si>
  <si>
    <t>TLAZCALAINCE</t>
  </si>
  <si>
    <t>Tlazcalancingo</t>
  </si>
  <si>
    <t>Toluca</t>
  </si>
  <si>
    <t>Tonal.</t>
  </si>
  <si>
    <t>TonalÃ¡</t>
  </si>
  <si>
    <t>Torreon</t>
  </si>
  <si>
    <t>Tres de Mayo</t>
  </si>
  <si>
    <t>Tula de Allende</t>
  </si>
  <si>
    <t>Tulancinga</t>
  </si>
  <si>
    <t>Tulancingo</t>
  </si>
  <si>
    <t>TULTEPEC</t>
  </si>
  <si>
    <t>Tultepec</t>
  </si>
  <si>
    <t>Tultitlãn</t>
  </si>
  <si>
    <t>TultitlÃ¡n</t>
  </si>
  <si>
    <t>Tuxpan</t>
  </si>
  <si>
    <t>Tuxpan de Rodrãguez Cano</t>
  </si>
  <si>
    <t>Tuxpan de RodrÃ­guez Cano</t>
  </si>
  <si>
    <t>TuxtePec</t>
  </si>
  <si>
    <t>Tuxtepec</t>
  </si>
  <si>
    <t>Tuxtla Gutié rrez</t>
  </si>
  <si>
    <t>Tuxtla GutiÃ©rrez</t>
  </si>
  <si>
    <t>Umman</t>
  </si>
  <si>
    <t>Uman</t>
  </si>
  <si>
    <t>Uriangato</t>
  </si>
  <si>
    <t>Uruapan</t>
  </si>
  <si>
    <t>Vãctor Rosales</t>
  </si>
  <si>
    <t>VÃ­ctor Rosales</t>
  </si>
  <si>
    <t>Valladolid</t>
  </si>
  <si>
    <t>Valle de Bravo</t>
  </si>
  <si>
    <t>Valle de Santiago</t>
  </si>
  <si>
    <t>Valle Hermoso</t>
  </si>
  <si>
    <t>Venceremos</t>
  </si>
  <si>
    <t>Venustiano Carranza</t>
  </si>
  <si>
    <t>Vicente Guerrero</t>
  </si>
  <si>
    <t>Victoria de Durango</t>
  </si>
  <si>
    <t>Villa cuauhté moc otzolotepec</t>
  </si>
  <si>
    <t>Villa CuauhtÃ©moc Otzolotepec</t>
  </si>
  <si>
    <t>Villa de Costa Rica</t>
  </si>
  <si>
    <t>Villa del Prado 2da Secciãn</t>
  </si>
  <si>
    <t>Villa del Prado 2da SecciÃ³n</t>
  </si>
  <si>
    <t>Villa Juã</t>
  </si>
  <si>
    <t>Villa JuÃ¡rez</t>
  </si>
  <si>
    <t>Villa Nanchital</t>
  </si>
  <si>
    <t>Villagra</t>
  </si>
  <si>
    <t>VillagrÃ¡n</t>
  </si>
  <si>
    <t>Villahermosa</t>
  </si>
  <si>
    <t>XALAPA DE ENROQUEZ</t>
  </si>
  <si>
    <t>Xalapa de EnrÃ­quez</t>
  </si>
  <si>
    <t>Xico</t>
  </si>
  <si>
    <t>Xicotepec de Jui</t>
  </si>
  <si>
    <t>Xicotepec de JuÃ¡rez</t>
  </si>
  <si>
    <t>Xochimilco</t>
  </si>
  <si>
    <t>XochitePec</t>
  </si>
  <si>
    <t>Xochitepec</t>
  </si>
  <si>
    <t>Xonacatlãn</t>
  </si>
  <si>
    <t>XonacatlÃ¡n</t>
  </si>
  <si>
    <t>Xoxocotla</t>
  </si>
  <si>
    <t>Yautepec</t>
  </si>
  <si>
    <t>YECAPIXTLA</t>
  </si>
  <si>
    <t>Yecapixtla</t>
  </si>
  <si>
    <t>Yuré Cuaro</t>
  </si>
  <si>
    <t>YurÃ©cuaro</t>
  </si>
  <si>
    <t>Yuriria</t>
  </si>
  <si>
    <t>ZACAPAN</t>
  </si>
  <si>
    <t>ZacapÃº</t>
  </si>
  <si>
    <t>Zacatelco</t>
  </si>
  <si>
    <t>ZACATEPEC</t>
  </si>
  <si>
    <t>Zacatepec</t>
  </si>
  <si>
    <t>Zacatlãn</t>
  </si>
  <si>
    <t>ZacatlÃ¡n</t>
  </si>
  <si>
    <t>Zacoalco de Torres</t>
  </si>
  <si>
    <t>Zacualtipãn</t>
  </si>
  <si>
    <t>ZacualtipÃ¡n</t>
  </si>
  <si>
    <t>Zapopan</t>
  </si>
  <si>
    <t>Zapotiltic</t>
  </si>
  <si>
    <t>Zapotlanejo</t>
  </si>
  <si>
    <t>Zumpango</t>
  </si>
  <si>
    <t>Zumpango del Rão</t>
  </si>
  <si>
    <t>Zumpango del RÃ­o</t>
  </si>
  <si>
    <t>Palikir - Centro Nacional do Governo</t>
  </si>
  <si>
    <t>Palikir - National Government Center</t>
  </si>
  <si>
    <t>Micronesia</t>
  </si>
  <si>
    <t>Pohnpei</t>
  </si>
  <si>
    <t>Bäƒlå £ i</t>
  </si>
  <si>
    <t>BÄƒlÅ£i</t>
  </si>
  <si>
    <t>Moldova</t>
  </si>
  <si>
    <t>Bender</t>
  </si>
  <si>
    <t>Bilicenii Vechi</t>
  </si>
  <si>
    <t>SÃ®ngerei</t>
  </si>
  <si>
    <t>Cäƒuåÿeni</t>
  </si>
  <si>
    <t>CÄƒuÅŸeni</t>
  </si>
  <si>
    <t>Cahul</t>
  </si>
  <si>
    <t>Ceadão-Lunga</t>
  </si>
  <si>
    <t>CeadÃ®r-Lunga</t>
  </si>
  <si>
    <t>GÄƒgÄƒuzia</t>
  </si>
  <si>
    <t>Chiåÿinäƒu</t>
  </si>
  <si>
    <t>ChiÅŸinÄƒu</t>
  </si>
  <si>
    <t>Comrat</t>
  </si>
  <si>
    <t>Drochia</t>
  </si>
  <si>
    <t>Dubäƒsari</t>
  </si>
  <si>
    <t>DubÄƒsari</t>
  </si>
  <si>
    <t>TeleneÅŸti</t>
  </si>
  <si>
    <t>Edineå £</t>
  </si>
  <si>
    <t>EdineÅ£</t>
  </si>
  <si>
    <t>Raionul EdineÅ£</t>
  </si>
  <si>
    <t>Floreåÿti</t>
  </si>
  <si>
    <t>FloreÅŸti</t>
  </si>
  <si>
    <t>Hã®nceåÿti</t>
  </si>
  <si>
    <t>HÃ®nceÅŸti</t>
  </si>
  <si>
    <t>Orhei</t>
  </si>
  <si>
    <t>RÃ®bniÅ£a</t>
  </si>
  <si>
    <t>StÃ®nga Nistrului</t>
  </si>
  <si>
    <t>Slobozia</t>
  </si>
  <si>
    <t>Soroca</t>
  </si>
  <si>
    <t>Raionul Soroca</t>
  </si>
  <si>
    <t>Straåÿeni</t>
  </si>
  <si>
    <t>StraÅŸeni</t>
  </si>
  <si>
    <t>StrÄƒÈ™eni</t>
  </si>
  <si>
    <t>TIRASPOLUL</t>
  </si>
  <si>
    <t>Tiraspolul</t>
  </si>
  <si>
    <t>Ungheni</t>
  </si>
  <si>
    <t>Mônaco</t>
  </si>
  <si>
    <t>Monaco</t>
  </si>
  <si>
    <t>Monte-Carlo</t>
  </si>
  <si>
    <t>Ã -lgiy</t>
  </si>
  <si>
    <t>Ã–lgiy</t>
  </si>
  <si>
    <t>Mongolia</t>
  </si>
  <si>
    <t>Bayan-Ã–lgiy</t>
  </si>
  <si>
    <t>Altai</t>
  </si>
  <si>
    <t>GovÄ­-Altay</t>
  </si>
  <si>
    <t>Arvayheer</t>
  </si>
  <si>
    <t>Ã–vÃ¶rhangay</t>
  </si>
  <si>
    <t>Baruun-Urt</t>
  </si>
  <si>
    <t>SÃ¼hbaatar</t>
  </si>
  <si>
    <t>Bayanhongor</t>
  </si>
  <si>
    <t>Bulgan</t>
  </si>
  <si>
    <t>Dalandzadgad</t>
  </si>
  <si>
    <t>Ã–mnÃ¶govÄ­</t>
  </si>
  <si>
    <t>Darhan</t>
  </si>
  <si>
    <t>Darhan Uul</t>
  </si>
  <si>
    <t>Ð --ñ ññ tinha</t>
  </si>
  <si>
    <t>Ð—ÑƒÑƒÐ½Ð¼Ð¾Ð´</t>
  </si>
  <si>
    <t>Central Aimak</t>
  </si>
  <si>
    <t>Dz ênnharaa</t>
  </si>
  <si>
    <t>DzÃ¼Ã¼nharaa</t>
  </si>
  <si>
    <t>Selenge</t>
  </si>
  <si>
    <t>Erdenet</t>
  </si>
  <si>
    <t>Orhon</t>
  </si>
  <si>
    <t>Hovd</t>
  </si>
  <si>
    <t>Khovd</t>
  </si>
  <si>
    <t>Mandalgovi</t>
  </si>
  <si>
    <t>Middle GovÄ­</t>
  </si>
  <si>
    <t>Murun-Kuren</t>
  </si>
  <si>
    <t>Murun-kuren</t>
  </si>
  <si>
    <t>HÃ¶vsgÃ¶l</t>
  </si>
  <si>
    <t>Sühbaatar</t>
  </si>
  <si>
    <t>Saynshand</t>
  </si>
  <si>
    <t>East Gobi Aymag</t>
  </si>
  <si>
    <t>Ulaangom</t>
  </si>
  <si>
    <t>Uvs</t>
  </si>
  <si>
    <t>Ulaanbaatar</t>
  </si>
  <si>
    <t>Ulan Bator</t>
  </si>
  <si>
    <t>Uliastay</t>
  </si>
  <si>
    <t>Dzabkhan</t>
  </si>
  <si>
    <t>Bar</t>
  </si>
  <si>
    <t>Bijelo Polje</t>
  </si>
  <si>
    <t>Budva</t>
  </si>
  <si>
    <t>Cetinje</t>
  </si>
  <si>
    <t>Herceg-Novi</t>
  </si>
  <si>
    <t>Herceg Novi</t>
  </si>
  <si>
    <t>Nikå¡iä ‡</t>
  </si>
  <si>
    <t>NikÅ¡iÄ‡</t>
  </si>
  <si>
    <t>OpÅ¡tina NikÅ¡iÄ‡</t>
  </si>
  <si>
    <t>Pljevlja</t>
  </si>
  <si>
    <t>Podgorica</t>
  </si>
  <si>
    <t>Brades</t>
  </si>
  <si>
    <t>Montserrat</t>
  </si>
  <si>
    <t>Saint Peter</t>
  </si>
  <si>
    <t>Plymouth</t>
  </si>
  <si>
    <t>Saint Anthony</t>
  </si>
  <si>
    <t>Agadir</t>
  </si>
  <si>
    <t>Morocco</t>
  </si>
  <si>
    <t>Souss-Massa-DrÃ¢a</t>
  </si>
  <si>
    <t>Ahfir</t>
  </si>
  <si>
    <t>Oriental</t>
  </si>
  <si>
    <t>Al Hoceã</t>
  </si>
  <si>
    <t>Al HoceÃ¯ma</t>
  </si>
  <si>
    <t>Taza-Al Hoceima-Taounate</t>
  </si>
  <si>
    <t>Asilah</t>
  </si>
  <si>
    <t>Tanger-TÃ©touan</t>
  </si>
  <si>
    <t>Azemmour</t>
  </si>
  <si>
    <t>Doukkala-Abda</t>
  </si>
  <si>
    <t>Azrou</t>
  </si>
  <si>
    <t>MeknÃ¨s-Tafilalet</t>
  </si>
  <si>
    <t>Beni Mellal</t>
  </si>
  <si>
    <t>Tadla-Azilal</t>
  </si>
  <si>
    <t>Berkane</t>
  </si>
  <si>
    <t>Berrechid</t>
  </si>
  <si>
    <t>Chaouia-Ouardigha</t>
  </si>
  <si>
    <t>Boujniba</t>
  </si>
  <si>
    <t>Bouznika</t>
  </si>
  <si>
    <t>Casablanca</t>
  </si>
  <si>
    <t>Grand Casablanca</t>
  </si>
  <si>
    <t>Chefchaouene</t>
  </si>
  <si>
    <t>Dakhla</t>
  </si>
  <si>
    <t>Oued ed Dahab-Lagouira</t>
  </si>
  <si>
    <t>El AãUn</t>
  </si>
  <si>
    <t>El AÃ¯oun</t>
  </si>
  <si>
    <t>El Hajeb</t>
  </si>
  <si>
    <t>El Jadida</t>
  </si>
  <si>
    <t>Esseouira</t>
  </si>
  <si>
    <t>Essaouira</t>
  </si>
  <si>
    <t>Marrakech-Tensift-Al Haouz</t>
  </si>
  <si>
    <t>F'S Al Bali</t>
  </si>
  <si>
    <t>FÃ¨s al Bali</t>
  </si>
  <si>
    <t>FÃ¨s-Boulemane</t>
  </si>
  <si>
    <t>Fes</t>
  </si>
  <si>
    <t>Fkih Ben Salah</t>
  </si>
  <si>
    <t>Guelmim</t>
  </si>
  <si>
    <t>Guelmim-Es Smara</t>
  </si>
  <si>
    <t>Guercif</t>
  </si>
  <si>
    <t>Imzoí rene</t>
  </si>
  <si>
    <t>ImzoÃ»rene</t>
  </si>
  <si>
    <t>Jerada</t>
  </si>
  <si>
    <t>Kasba Tadla</t>
  </si>
  <si>
    <t>Kenitra</t>
  </si>
  <si>
    <t>Gharb-Chrarda-Beni Hssen</t>
  </si>
  <si>
    <t>Khemisset</t>
  </si>
  <si>
    <t>Rabat-SalÃ©-Zemmour-ZaÃ«r</t>
  </si>
  <si>
    <t>Khenifra</t>
  </si>
  <si>
    <t>Khouribga</t>
  </si>
  <si>
    <t>Ksar el Kebir</t>
  </si>
  <si>
    <t>Ksar El Kebir</t>
  </si>
  <si>
    <t>Larache</t>
  </si>
  <si>
    <t>Marrakesh</t>
  </si>
  <si>
    <t>Martil</t>
  </si>
  <si>
    <t>Mechraa Bel Ksiri</t>
  </si>
  <si>
    <t>Meknãs</t>
  </si>
  <si>
    <t>MeknÃ¨s</t>
  </si>
  <si>
    <t>Midelt</t>
  </si>
  <si>
    <t>Mohammedia</t>
  </si>
  <si>
    <t>Nador</t>
  </si>
  <si>
    <t>Ouarzazat</t>
  </si>
  <si>
    <t>Zem oued</t>
  </si>
  <si>
    <t>Oued Zem</t>
  </si>
  <si>
    <t>Ouezzane</t>
  </si>
  <si>
    <t>Oujda</t>
  </si>
  <si>
    <t>Oulad Teã¯ma</t>
  </si>
  <si>
    <t>Oulad TeÃ¯ma</t>
  </si>
  <si>
    <t>Rabat</t>
  </si>
  <si>
    <t>Oferta</t>
  </si>
  <si>
    <t>Sale</t>
  </si>
  <si>
    <t>Sefrou</t>
  </si>
  <si>
    <t>Settat</t>
  </si>
  <si>
    <t>Sidi Bennour</t>
  </si>
  <si>
    <t>Sidi Ifni</t>
  </si>
  <si>
    <t>Sidi Qacem</t>
  </si>
  <si>
    <t>Sidi Slimane</t>
  </si>
  <si>
    <t>Sidi Yahia El Gharb</t>
  </si>
  <si>
    <t>Skhirate</t>
  </si>
  <si>
    <t>Souq larbâ â € a al gharb</t>
  </si>
  <si>
    <t>Souq Larbâ€™a al Gharb</t>
  </si>
  <si>
    <t>Téan</t>
  </si>
  <si>
    <t>TÃ©touan</t>
  </si>
  <si>
    <t>Tahla</t>
  </si>
  <si>
    <t>Tânger</t>
  </si>
  <si>
    <t>Tangier</t>
  </si>
  <si>
    <t>Tan-tan</t>
  </si>
  <si>
    <t>Tan-Tan</t>
  </si>
  <si>
    <t>Taounate</t>
  </si>
  <si>
    <t>Taourirt</t>
  </si>
  <si>
    <t>Taroudant</t>
  </si>
  <si>
    <t>Taza</t>
  </si>
  <si>
    <t>Tiflet</t>
  </si>
  <si>
    <t>Tinghir</t>
  </si>
  <si>
    <t>Tirhanimã®</t>
  </si>
  <si>
    <t>TirhanimÃ®ne</t>
  </si>
  <si>
    <t>Tiznit</t>
  </si>
  <si>
    <t>Yssoufia</t>
  </si>
  <si>
    <t>Youssoufia</t>
  </si>
  <si>
    <t>Zaã</t>
  </si>
  <si>
    <t>ZaÃ¯o</t>
  </si>
  <si>
    <t>Zagora</t>
  </si>
  <si>
    <t>Antãnio Enes</t>
  </si>
  <si>
    <t>AntÃ³nio Enes</t>
  </si>
  <si>
    <t>Mozambique</t>
  </si>
  <si>
    <t>Nampula</t>
  </si>
  <si>
    <t>Beira</t>
  </si>
  <si>
    <t>Sofala</t>
  </si>
  <si>
    <t>Chutono</t>
  </si>
  <si>
    <t>Chibuto</t>
  </si>
  <si>
    <t>Gaza</t>
  </si>
  <si>
    <t>Chimoio</t>
  </si>
  <si>
    <t>Manica</t>
  </si>
  <si>
    <t>Chokwé</t>
  </si>
  <si>
    <t>ChokwÃ©</t>
  </si>
  <si>
    <t>Cuamba</t>
  </si>
  <si>
    <t>Niassa</t>
  </si>
  <si>
    <t>DONDO</t>
  </si>
  <si>
    <t>Dondo</t>
  </si>
  <si>
    <t>Ilha de Moã§ambique</t>
  </si>
  <si>
    <t>Ilha de MoÃ§ambique</t>
  </si>
  <si>
    <t>Inambane</t>
  </si>
  <si>
    <t>Inhambane</t>
  </si>
  <si>
    <t>Lichinga</t>
  </si>
  <si>
    <t>Macia</t>
  </si>
  <si>
    <t>Manjacaze</t>
  </si>
  <si>
    <t>Maputo</t>
  </si>
  <si>
    <t>Maputo City</t>
  </si>
  <si>
    <t>Matola</t>
  </si>
  <si>
    <t>Maxixe</t>
  </si>
  <si>
    <t>MocãMboa</t>
  </si>
  <si>
    <t>MocÃ­mboa</t>
  </si>
  <si>
    <t>Cabo Delgado</t>
  </si>
  <si>
    <t>Montepuez</t>
  </si>
  <si>
    <t>MUTUÊNLI</t>
  </si>
  <si>
    <t>MutuÃ¡li</t>
  </si>
  <si>
    <t>Nacala</t>
  </si>
  <si>
    <t>Pemba</t>
  </si>
  <si>
    <t>Quelimane</t>
  </si>
  <si>
    <t>ZambÃ©zia</t>
  </si>
  <si>
    <t>Ressano Garcia</t>
  </si>
  <si>
    <t>Tete</t>
  </si>
  <si>
    <t>Xai-xai</t>
  </si>
  <si>
    <t>Xai-Xai</t>
  </si>
  <si>
    <t>Bago</t>
  </si>
  <si>
    <t>Myanmar</t>
  </si>
  <si>
    <t>Bhamo</t>
  </si>
  <si>
    <t>Kachin</t>
  </si>
  <si>
    <t>Bogale</t>
  </si>
  <si>
    <t>Ayeyarwady</t>
  </si>
  <si>
    <t>Chauk</t>
  </si>
  <si>
    <t>Magway</t>
  </si>
  <si>
    <t>Dawei</t>
  </si>
  <si>
    <t>Tanintharyi</t>
  </si>
  <si>
    <t>Hakha</t>
  </si>
  <si>
    <t>Chin</t>
  </si>
  <si>
    <t>Hinthada</t>
  </si>
  <si>
    <t>HPA-AN</t>
  </si>
  <si>
    <t>Hpa-an</t>
  </si>
  <si>
    <t>Kayin</t>
  </si>
  <si>
    <t>Kanbe</t>
  </si>
  <si>
    <t>Yangon</t>
  </si>
  <si>
    <t>Kayan</t>
  </si>
  <si>
    <t>Kyaikkami</t>
  </si>
  <si>
    <t>Kyaiklat</t>
  </si>
  <si>
    <t>Kyaikto</t>
  </si>
  <si>
    <t>Kyaukse</t>
  </si>
  <si>
    <t>Mandalay</t>
  </si>
  <si>
    <t>Lashio</t>
  </si>
  <si>
    <t>Shan</t>
  </si>
  <si>
    <t>Letpandan</t>
  </si>
  <si>
    <t>Loikaw</t>
  </si>
  <si>
    <t>Kayah</t>
  </si>
  <si>
    <t>Martaban</t>
  </si>
  <si>
    <t>Maubin</t>
  </si>
  <si>
    <t>Mawlaik</t>
  </si>
  <si>
    <t>Sagain</t>
  </si>
  <si>
    <t>Mawlamyine</t>
  </si>
  <si>
    <t>Mawlamyinegyunn</t>
  </si>
  <si>
    <t>Meiktila</t>
  </si>
  <si>
    <t>Minbu</t>
  </si>
  <si>
    <t>Mogok</t>
  </si>
  <si>
    <t>Monywa</t>
  </si>
  <si>
    <t>Mudon</t>
  </si>
  <si>
    <t>Myanaung</t>
  </si>
  <si>
    <t>Myawadi</t>
  </si>
  <si>
    <t>Myaydo</t>
  </si>
  <si>
    <t>Myeik</t>
  </si>
  <si>
    <t>Myingyan</t>
  </si>
  <si>
    <t>Myitkyina</t>
  </si>
  <si>
    <t>Nay Pyi Taw</t>
  </si>
  <si>
    <t>Nyaungdon</t>
  </si>
  <si>
    <t>Nyaunglebin</t>
  </si>
  <si>
    <t>Pakokku</t>
  </si>
  <si>
    <t>Pathein</t>
  </si>
  <si>
    <t>Paungde</t>
  </si>
  <si>
    <t>Pyapon</t>
  </si>
  <si>
    <t>Pyay</t>
  </si>
  <si>
    <t>Pyin oo lwin</t>
  </si>
  <si>
    <t>Pyin Oo Lwin</t>
  </si>
  <si>
    <t>Pyinmana</t>
  </si>
  <si>
    <t>Pyu</t>
  </si>
  <si>
    <t>Sagaing</t>
  </si>
  <si>
    <t>Shwebo</t>
  </si>
  <si>
    <t>Sittwe</t>
  </si>
  <si>
    <t>Rakhine</t>
  </si>
  <si>
    <t>Syriam</t>
  </si>
  <si>
    <t>Taungdwingyi</t>
  </si>
  <si>
    <t>Taunggyi</t>
  </si>
  <si>
    <t>Taungoo</t>
  </si>
  <si>
    <t>Thanatpin</t>
  </si>
  <si>
    <t>THARYARWADY</t>
  </si>
  <si>
    <t>Tharyarwady</t>
  </si>
  <si>
    <t>Thaton</t>
  </si>
  <si>
    <t>Thayetmyo</t>
  </si>
  <si>
    <t>Thongwa</t>
  </si>
  <si>
    <t>Twante</t>
  </si>
  <si>
    <t>Wakema</t>
  </si>
  <si>
    <t>Yametina</t>
  </si>
  <si>
    <t>Yamethin</t>
  </si>
  <si>
    <t>Yenangyaung</t>
  </si>
  <si>
    <t>Gobabis</t>
  </si>
  <si>
    <t>Namibia</t>
  </si>
  <si>
    <t>Omaheke</t>
  </si>
  <si>
    <t>Grootfontein</t>
  </si>
  <si>
    <t>Otjozondjupa</t>
  </si>
  <si>
    <t>Katima Mulilo</t>
  </si>
  <si>
    <t>Zambezi</t>
  </si>
  <si>
    <t>Keetmanshoop</t>
  </si>
  <si>
    <t>Karas</t>
  </si>
  <si>
    <t>LãDERITZ</t>
  </si>
  <si>
    <t>LÃ¼deritz</t>
  </si>
  <si>
    <t>Okahandja</t>
  </si>
  <si>
    <t>Oshakati</t>
  </si>
  <si>
    <t>Oshana</t>
  </si>
  <si>
    <t>Otjiwarongo</t>
  </si>
  <si>
    <t>Rehoboth</t>
  </si>
  <si>
    <t>Hardap</t>
  </si>
  <si>
    <t>Rundu</t>
  </si>
  <si>
    <t>Kavango East</t>
  </si>
  <si>
    <t>Swakopmund</t>
  </si>
  <si>
    <t>Erongo</t>
  </si>
  <si>
    <t>Walvis Bay</t>
  </si>
  <si>
    <t>Windhoek</t>
  </si>
  <si>
    <t>Khomas</t>
  </si>
  <si>
    <t>Yaren</t>
  </si>
  <si>
    <t>Nauru</t>
  </si>
  <si>
    <t>Bä «rganj</t>
  </si>
  <si>
    <t>BÄ«rganj</t>
  </si>
  <si>
    <t>Nepal</t>
  </si>
  <si>
    <t>Bä Glung</t>
  </si>
  <si>
    <t>BÄglung</t>
  </si>
  <si>
    <t>Western Region</t>
  </si>
  <si>
    <t>Banepä</t>
  </si>
  <si>
    <t>BanepÄ</t>
  </si>
  <si>
    <t>Bhadrapur</t>
  </si>
  <si>
    <t>Eastern Region</t>
  </si>
  <si>
    <t>Bhairä Hawä</t>
  </si>
  <si>
    <t>BhairÄhawÄ</t>
  </si>
  <si>
    <t>Birä Tnagar</t>
  </si>
  <si>
    <t>BirÄtnagar</t>
  </si>
  <si>
    <t>Birendranagar</t>
  </si>
  <si>
    <t>Mid Western</t>
  </si>
  <si>
    <t>Butwä l</t>
  </si>
  <si>
    <t>ButwÄl</t>
  </si>
  <si>
    <t>Dä rchulä</t>
  </si>
  <si>
    <t>DÄrchulÄ</t>
  </si>
  <si>
    <t>DADELDHURä</t>
  </si>
  <si>
    <t>DadeldhurÄ</t>
  </si>
  <si>
    <t>Far Western</t>
  </si>
  <si>
    <t>Dailekh</t>
  </si>
  <si>
    <t>Dhangarhi</t>
  </si>
  <si>
    <t>Dhankutä</t>
  </si>
  <si>
    <t>DhankutÄ</t>
  </si>
  <si>
    <t>Dharä n bä zä r</t>
  </si>
  <si>
    <t>DharÄn BÄzÄr</t>
  </si>
  <si>
    <t>DIPAYAL</t>
  </si>
  <si>
    <t>Dipayal</t>
  </si>
  <si>
    <t>Gaur</t>
  </si>
  <si>
    <t>Gulariyä</t>
  </si>
  <si>
    <t>GulariyÄ</t>
  </si>
  <si>
    <t>Hetauda</t>
  </si>
  <si>
    <t>Ilä m</t>
  </si>
  <si>
    <t>IlÄm</t>
  </si>
  <si>
    <t>Ithari</t>
  </si>
  <si>
    <t>Jaleswar</t>
  </si>
  <si>
    <t>Janakpur</t>
  </si>
  <si>
    <t>Katmandu</t>
  </si>
  <si>
    <t>Kathmandu</t>
  </si>
  <si>
    <t>Khä ndbä ri</t>
  </si>
  <si>
    <t>KhÄndbÄri</t>
  </si>
  <si>
    <t>Kirtipur</t>
  </si>
  <si>
    <t>Lahä n</t>
  </si>
  <si>
    <t>LahÄn</t>
  </si>
  <si>
    <t>Mahendranagar</t>
  </si>
  <si>
    <t>Malangwa</t>
  </si>
  <si>
    <t>Nepalgunj</t>
  </si>
  <si>
    <t>Panautiì ‡ ì „</t>
  </si>
  <si>
    <t>PanautiÌ‡Ì„</t>
  </si>
  <si>
    <t>Pokhara</t>
  </si>
  <si>
    <t>Rä jbirä j</t>
  </si>
  <si>
    <t>RÄjbirÄj</t>
  </si>
  <si>
    <t>Sirä Hä</t>
  </si>
  <si>
    <t>SirÄhÄ</t>
  </si>
  <si>
    <t>Tä «kä pur</t>
  </si>
  <si>
    <t>TÄ«kÄpur</t>
  </si>
  <si>
    <t>Tä Nsen</t>
  </si>
  <si>
    <t>TÄnsen</t>
  </si>
  <si>
    <t>Wä Ling</t>
  </si>
  <si>
    <t>WÄling</t>
  </si>
  <si>
    <t>Aalsmeer</t>
  </si>
  <si>
    <t>Netherlands</t>
  </si>
  <si>
    <t>North Holland</t>
  </si>
  <si>
    <t>Aalten</t>
  </si>
  <si>
    <t>Gelderland</t>
  </si>
  <si>
    <t>ALBLASSERDAM</t>
  </si>
  <si>
    <t>Alblasserdam</t>
  </si>
  <si>
    <t>South Holland</t>
  </si>
  <si>
    <t>Alkmaar</t>
  </si>
  <si>
    <t>Almelo</t>
  </si>
  <si>
    <t>Overijssel</t>
  </si>
  <si>
    <t>Almere Stad</t>
  </si>
  <si>
    <t>Flevoland</t>
  </si>
  <si>
    <t>Alfeno aan den rijn</t>
  </si>
  <si>
    <t>Alphen aan den Rijn</t>
  </si>
  <si>
    <t>Amersfoort</t>
  </si>
  <si>
    <t>Utrecht</t>
  </si>
  <si>
    <t>Amstelveen</t>
  </si>
  <si>
    <t>Amsterdã</t>
  </si>
  <si>
    <t>Amsterdam</t>
  </si>
  <si>
    <t>Amsterdam-Zuidoost</t>
  </si>
  <si>
    <t>Anloo</t>
  </si>
  <si>
    <t>Drenthe</t>
  </si>
  <si>
    <t>Apeldoorn</t>
  </si>
  <si>
    <t>Arnhem</t>
  </si>
  <si>
    <t>Assen</t>
  </si>
  <si>
    <t>Asten</t>
  </si>
  <si>
    <t>North Brabant</t>
  </si>
  <si>
    <t>Baarn</t>
  </si>
  <si>
    <t>Barendrecht</t>
  </si>
  <si>
    <t>Barneveld</t>
  </si>
  <si>
    <t>Beek</t>
  </si>
  <si>
    <t>Limburg</t>
  </si>
  <si>
    <t>Benthuizen</t>
  </si>
  <si>
    <t>Bergeijk</t>
  </si>
  <si>
    <t>Bergen Op Zoom</t>
  </si>
  <si>
    <t>Bergen op Zoom</t>
  </si>
  <si>
    <t>Bergschenhoek</t>
  </si>
  <si>
    <t>Berkel en Rodenrijs</t>
  </si>
  <si>
    <t>Melhor</t>
  </si>
  <si>
    <t>Best</t>
  </si>
  <si>
    <t>Beuningen</t>
  </si>
  <si>
    <t>Beverwijk</t>
  </si>
  <si>
    <t>Bladel</t>
  </si>
  <si>
    <t>Bloemendaal</t>
  </si>
  <si>
    <t>Bodegraven</t>
  </si>
  <si>
    <t>Borger</t>
  </si>
  <si>
    <t>Nascer</t>
  </si>
  <si>
    <t>Born</t>
  </si>
  <si>
    <t>Nascido</t>
  </si>
  <si>
    <t>Borne</t>
  </si>
  <si>
    <t>Borssele</t>
  </si>
  <si>
    <t>Zeeland</t>
  </si>
  <si>
    <t>Boskoop</t>
  </si>
  <si>
    <t>Boxtel</t>
  </si>
  <si>
    <t>Breda</t>
  </si>
  <si>
    <t>Broek em Waterland</t>
  </si>
  <si>
    <t>Broek in Waterland</t>
  </si>
  <si>
    <t>Broek op Langedijk</t>
  </si>
  <si>
    <t>Brummen</t>
  </si>
  <si>
    <t>Brunssum</t>
  </si>
  <si>
    <t>Bunschoten</t>
  </si>
  <si>
    <t>Bussum</t>
  </si>
  <si>
    <t>Capelle aan den ijssel</t>
  </si>
  <si>
    <t>Capelle aan den IJssel</t>
  </si>
  <si>
    <t>Castricum</t>
  </si>
  <si>
    <t>Cranendonck</t>
  </si>
  <si>
    <t>Cuijk</t>
  </si>
  <si>
    <t>Culemborg</t>
  </si>
  <si>
    <t>Dalfsen</t>
  </si>
  <si>
    <t>De Bilt</t>
  </si>
  <si>
    <t>Delfshaven</t>
  </si>
  <si>
    <t>Delft</t>
  </si>
  <si>
    <t>Delfzijl</t>
  </si>
  <si>
    <t>Groningen</t>
  </si>
  <si>
    <t>Den Helder</t>
  </si>
  <si>
    <t>Deventer</t>
  </si>
  <si>
    <t>Diemen</t>
  </si>
  <si>
    <t>Doetinchem</t>
  </si>
  <si>
    <t>Dongen</t>
  </si>
  <si>
    <t>Dordrecht</t>
  </si>
  <si>
    <t>Drachten</t>
  </si>
  <si>
    <t>Friesland</t>
  </si>
  <si>
    <t>Driebergen-Rijsenburg</t>
  </si>
  <si>
    <t>DriMelen</t>
  </si>
  <si>
    <t>Drimmelen</t>
  </si>
  <si>
    <t>Dronten</t>
  </si>
  <si>
    <t>Druten</t>
  </si>
  <si>
    <t>Duiven</t>
  </si>
  <si>
    <t>Ede</t>
  </si>
  <si>
    <t>EERSEL</t>
  </si>
  <si>
    <t>Eersel</t>
  </si>
  <si>
    <t>Eibergen</t>
  </si>
  <si>
    <t>Eindhoven</t>
  </si>
  <si>
    <t>Elburgo</t>
  </si>
  <si>
    <t>Elburg</t>
  </si>
  <si>
    <t>Elst</t>
  </si>
  <si>
    <t>Emmeloord</t>
  </si>
  <si>
    <t>Emmen</t>
  </si>
  <si>
    <t>Enkhuizen</t>
  </si>
  <si>
    <t>Enschede</t>
  </si>
  <si>
    <t>EPE</t>
  </si>
  <si>
    <t>Epe</t>
  </si>
  <si>
    <t>Ermelo</t>
  </si>
  <si>
    <t>Geertruidenberg</t>
  </si>
  <si>
    <t>Geldermalsen</t>
  </si>
  <si>
    <t>Geldrop</t>
  </si>
  <si>
    <t>Gendringen</t>
  </si>
  <si>
    <t>Gennep</t>
  </si>
  <si>
    <t>Vai</t>
  </si>
  <si>
    <t>Goes</t>
  </si>
  <si>
    <t>GOIRLE</t>
  </si>
  <si>
    <t>Goirle</t>
  </si>
  <si>
    <t>Gorinchem</t>
  </si>
  <si>
    <t>Gouda</t>
  </si>
  <si>
    <t>Groesbeek</t>
  </si>
  <si>
    <t>Haaksbergen</t>
  </si>
  <si>
    <t>Haarlem</t>
  </si>
  <si>
    <t>Hardenberg</t>
  </si>
  <si>
    <t>Harderwijk</t>
  </si>
  <si>
    <t>Harenkarspel</t>
  </si>
  <si>
    <t>Harlingen</t>
  </si>
  <si>
    <t>Heemskerk</t>
  </si>
  <si>
    <t>Heemstede</t>
  </si>
  <si>
    <t>Heerde</t>
  </si>
  <si>
    <t>Heerenveen</t>
  </si>
  <si>
    <t>Heerhugowaard</t>
  </si>
  <si>
    <t>Heerlen</t>
  </si>
  <si>
    <t>Heesch</t>
  </si>
  <si>
    <t>Heiloo</t>
  </si>
  <si>
    <t>Hellevoetsluis</t>
  </si>
  <si>
    <t>Helmond</t>
  </si>
  <si>
    <t>Hendrik-ifo-ambacht</t>
  </si>
  <si>
    <t>Hendrik-Ido-Ambacht</t>
  </si>
  <si>
    <t>Hengelo</t>
  </si>
  <si>
    <t>Hillegom</t>
  </si>
  <si>
    <t>Hilvarenbeek</t>
  </si>
  <si>
    <t>Hilversum</t>
  </si>
  <si>
    <t>Hoensbroek</t>
  </si>
  <si>
    <t>Hoge Vucht</t>
  </si>
  <si>
    <t>HOOFDDORP</t>
  </si>
  <si>
    <t>Hoofddorp</t>
  </si>
  <si>
    <t>Hoogeveen</t>
  </si>
  <si>
    <t>Hoogezand</t>
  </si>
  <si>
    <t>Hoorn</t>
  </si>
  <si>
    <t>Horst</t>
  </si>
  <si>
    <t>Houten</t>
  </si>
  <si>
    <t>Huizen</t>
  </si>
  <si>
    <t>IJSSELSTEIN</t>
  </si>
  <si>
    <t>IJsselstein</t>
  </si>
  <si>
    <t>Kampen</t>
  </si>
  <si>
    <t>Katwijk Aan Zee</t>
  </si>
  <si>
    <t>Katwijk aan Zee</t>
  </si>
  <si>
    <t>Kerkrade</t>
  </si>
  <si>
    <t>Korrewegwijk</t>
  </si>
  <si>
    <t>Krimpen Aan den ijssel</t>
  </si>
  <si>
    <t>Krimpen aan den IJssel</t>
  </si>
  <si>
    <t>alho-poró</t>
  </si>
  <si>
    <t>Leek</t>
  </si>
  <si>
    <t>Leerdam</t>
  </si>
  <si>
    <t>Leeuwarden</t>
  </si>
  <si>
    <t>Leiden</t>
  </si>
  <si>
    <t>LeiderDorp</t>
  </si>
  <si>
    <t>Leiderdorp</t>
  </si>
  <si>
    <t>Lelystad</t>
  </si>
  <si>
    <t>Leusden</t>
  </si>
  <si>
    <t>Lichtenvoorde</t>
  </si>
  <si>
    <t>Lindenholt</t>
  </si>
  <si>
    <t>Lisse</t>
  </si>
  <si>
    <t>Loon Op Zand</t>
  </si>
  <si>
    <t>Loon op Zand</t>
  </si>
  <si>
    <t>Perdador</t>
  </si>
  <si>
    <t>Losser</t>
  </si>
  <si>
    <t>Maarssen</t>
  </si>
  <si>
    <t>Maassluis</t>
  </si>
  <si>
    <t>Maastricht</t>
  </si>
  <si>
    <t>Medemblik</t>
  </si>
  <si>
    <t>Meerssen</t>
  </si>
  <si>
    <t>Meppel</t>
  </si>
  <si>
    <t>Middelburg</t>
  </si>
  <si>
    <t>MIDDELHARNIS</t>
  </si>
  <si>
    <t>Middelharnis</t>
  </si>
  <si>
    <t>Mijdrecht</t>
  </si>
  <si>
    <t>Naaldwijk</t>
  </si>
  <si>
    <t>Naarden</t>
  </si>
  <si>
    <t>Nederweert</t>
  </si>
  <si>
    <t>Nieuwegein</t>
  </si>
  <si>
    <t>Nijkerk</t>
  </si>
  <si>
    <t>Nijmegen</t>
  </si>
  <si>
    <t>Noordwijk-binnen</t>
  </si>
  <si>
    <t>Noordwijk-Binnen</t>
  </si>
  <si>
    <t>Noordwijkerhout</t>
  </si>
  <si>
    <t>Nuenen</t>
  </si>
  <si>
    <t>NUNSPEET</t>
  </si>
  <si>
    <t>Nunspeet</t>
  </si>
  <si>
    <t>Nuth</t>
  </si>
  <si>
    <t>Oegstgeest</t>
  </si>
  <si>
    <t>Oisterwijk</t>
  </si>
  <si>
    <t>Oldebroek</t>
  </si>
  <si>
    <t>Oldenzaal</t>
  </si>
  <si>
    <t>Oosterhout</t>
  </si>
  <si>
    <t>OSS</t>
  </si>
  <si>
    <t>Oss</t>
  </si>
  <si>
    <t>Oud-Beijerland</t>
  </si>
  <si>
    <t>Papendrecht</t>
  </si>
  <si>
    <t>Pijnacker</t>
  </si>
  <si>
    <t>Purmerend</t>
  </si>
  <si>
    <t>Putten</t>
  </si>
  <si>
    <t>Raalte</t>
  </si>
  <si>
    <t>Rhenen</t>
  </si>
  <si>
    <t>RHOON</t>
  </si>
  <si>
    <t>Rhoon</t>
  </si>
  <si>
    <t>Ridderkerk</t>
  </si>
  <si>
    <t>Rijswijk</t>
  </si>
  <si>
    <t>Roermond</t>
  </si>
  <si>
    <t>Roosendaal</t>
  </si>
  <si>
    <t>Roterdã</t>
  </si>
  <si>
    <t>Rotterdam</t>
  </si>
  <si>
    <t>Rucphen</t>
  </si>
  <si>
    <t>Schagen</t>
  </si>
  <si>
    <t>Scheveningen</t>
  </si>
  <si>
    <t>Schiedam</t>
  </si>
  <si>
    <t>Schijndel</t>
  </si>
  <si>
    <t>'S-Gravenzande</t>
  </si>
  <si>
    <t>'s-Gravenzande</t>
  </si>
  <si>
    <t>'S-Hertogenbosch</t>
  </si>
  <si>
    <t>'s-Hertogenbosch</t>
  </si>
  <si>
    <t>Sint-Oedenrode</t>
  </si>
  <si>
    <t>Sittard</t>
  </si>
  <si>
    <t>Sliedrecht</t>
  </si>
  <si>
    <t>Sneek</t>
  </si>
  <si>
    <t>Someren</t>
  </si>
  <si>
    <t>Spijkenisse</t>
  </si>
  <si>
    <t>Stadskanaal</t>
  </si>
  <si>
    <t>Staphorst</t>
  </si>
  <si>
    <t>Steenbergen</t>
  </si>
  <si>
    <t>Steenwijk</t>
  </si>
  <si>
    <t>Tegelen</t>
  </si>
  <si>
    <t>Terneuzen</t>
  </si>
  <si>
    <t>A Haia</t>
  </si>
  <si>
    <t>The Hague</t>
  </si>
  <si>
    <t>Tiel</t>
  </si>
  <si>
    <t>Tilburg</t>
  </si>
  <si>
    <t>Tongelre</t>
  </si>
  <si>
    <t>Tubbergen</t>
  </si>
  <si>
    <t>Uden</t>
  </si>
  <si>
    <t>Uithoorn</t>
  </si>
  <si>
    <t>Urk</t>
  </si>
  <si>
    <t>Valkenswaard</t>
  </si>
  <si>
    <t>Veendam</t>
  </si>
  <si>
    <t>Veenendaal</t>
  </si>
  <si>
    <t>Veere</t>
  </si>
  <si>
    <t>Veghel</t>
  </si>
  <si>
    <t>Veldhoven</t>
  </si>
  <si>
    <t>Velp</t>
  </si>
  <si>
    <t>Velsen-Zuid</t>
  </si>
  <si>
    <t>Venlo</t>
  </si>
  <si>
    <t>VenRay</t>
  </si>
  <si>
    <t>Venray</t>
  </si>
  <si>
    <t>Vianen</t>
  </si>
  <si>
    <t>Vlaardingen</t>
  </si>
  <si>
    <t>Vlagtwedde</t>
  </si>
  <si>
    <t>Vlissingen</t>
  </si>
  <si>
    <t>Volendam</t>
  </si>
  <si>
    <t>Voorburg</t>
  </si>
  <si>
    <t>Voorhout</t>
  </si>
  <si>
    <t>Voorschoten</t>
  </si>
  <si>
    <t>Voorst</t>
  </si>
  <si>
    <t>Vught</t>
  </si>
  <si>
    <t>Waalre</t>
  </si>
  <si>
    <t>Waalwijk</t>
  </si>
  <si>
    <t>Waddinxveen</t>
  </si>
  <si>
    <t>Wageningen</t>
  </si>
  <si>
    <t>Wassenaar</t>
  </si>
  <si>
    <t>Weert</t>
  </si>
  <si>
    <t>Weesp</t>
  </si>
  <si>
    <t>Werkendam</t>
  </si>
  <si>
    <t>Westervoort</t>
  </si>
  <si>
    <t>Wierden</t>
  </si>
  <si>
    <t>Wijchen</t>
  </si>
  <si>
    <t>Wijk Bij Duurstede</t>
  </si>
  <si>
    <t>Wijk bij Duurstede</t>
  </si>
  <si>
    <t>Winschoten</t>
  </si>
  <si>
    <t>Winterswijk</t>
  </si>
  <si>
    <t>Wisch</t>
  </si>
  <si>
    <t>Woensdrecht</t>
  </si>
  <si>
    <t>Woerden</t>
  </si>
  <si>
    <t>Wolvega</t>
  </si>
  <si>
    <t>Ypenburg</t>
  </si>
  <si>
    <t>Zaandam</t>
  </si>
  <si>
    <t>Zaanstad</t>
  </si>
  <si>
    <t>Zaltbommel</t>
  </si>
  <si>
    <t>Zandvoort</t>
  </si>
  <si>
    <t>Zeewolde</t>
  </si>
  <si>
    <t>Zeísta</t>
  </si>
  <si>
    <t>Zeist</t>
  </si>
  <si>
    <t>Zevenaar</t>
  </si>
  <si>
    <t>Zoetermeer</t>
  </si>
  <si>
    <t>Zundert</t>
  </si>
  <si>
    <t>Zutphen</t>
  </si>
  <si>
    <t>Zwolle</t>
  </si>
  <si>
    <t>Idiota © a</t>
  </si>
  <si>
    <t>DumbÃ©a</t>
  </si>
  <si>
    <t>New Caledonia</t>
  </si>
  <si>
    <t>Mont-Dore</t>
  </si>
  <si>
    <t>Noumé a</t>
  </si>
  <si>
    <t>NoumÃ©a</t>
  </si>
  <si>
    <t>Ashburton</t>
  </si>
  <si>
    <t>New Zealand</t>
  </si>
  <si>
    <t>Canterbury</t>
  </si>
  <si>
    <t>Auckland</t>
  </si>
  <si>
    <t>Blenheim</t>
  </si>
  <si>
    <t>Marlborough</t>
  </si>
  <si>
    <t>Waikato</t>
  </si>
  <si>
    <t>Christchurch</t>
  </si>
  <si>
    <t>Dunedin</t>
  </si>
  <si>
    <t>Otago</t>
  </si>
  <si>
    <t>Gisborne</t>
  </si>
  <si>
    <t>Hastings</t>
  </si>
  <si>
    <t>Hawke's Bay</t>
  </si>
  <si>
    <t>Invercargill</t>
  </si>
  <si>
    <t>Southland</t>
  </si>
  <si>
    <t>Trovão</t>
  </si>
  <si>
    <t>Levin</t>
  </si>
  <si>
    <t>Manawatu-Wanganui</t>
  </si>
  <si>
    <t>Inferior Hutt</t>
  </si>
  <si>
    <t>Lower Hutt</t>
  </si>
  <si>
    <t>Mangere</t>
  </si>
  <si>
    <t>Cidade de Manukau</t>
  </si>
  <si>
    <t>Manukau City</t>
  </si>
  <si>
    <t>Masterton</t>
  </si>
  <si>
    <t>Napier</t>
  </si>
  <si>
    <t>Nelson</t>
  </si>
  <si>
    <t>New Plymouth</t>
  </si>
  <si>
    <t>Taranaki</t>
  </si>
  <si>
    <t>Costa norte</t>
  </si>
  <si>
    <t>North Shore</t>
  </si>
  <si>
    <t>Palmerston North</t>
  </si>
  <si>
    <t>Papakura</t>
  </si>
  <si>
    <t>Paraparaumu</t>
  </si>
  <si>
    <t>Porirua</t>
  </si>
  <si>
    <t>Pukekohe East</t>
  </si>
  <si>
    <t>Rotorua</t>
  </si>
  <si>
    <t>Bay of Plenty</t>
  </si>
  <si>
    <t>Taradale</t>
  </si>
  <si>
    <t>Taupo</t>
  </si>
  <si>
    <t>Tauranga</t>
  </si>
  <si>
    <t>Timaru</t>
  </si>
  <si>
    <t>Hutt superior</t>
  </si>
  <si>
    <t>Upper Hutt</t>
  </si>
  <si>
    <t>Waitakere</t>
  </si>
  <si>
    <t>Wanganui</t>
  </si>
  <si>
    <t>Whakatane</t>
  </si>
  <si>
    <t>Whangarei</t>
  </si>
  <si>
    <t>Northland</t>
  </si>
  <si>
    <t>Bluefields</t>
  </si>
  <si>
    <t>Nicaragua</t>
  </si>
  <si>
    <t>AtlÃ¡ntico Sur</t>
  </si>
  <si>
    <t>Boaco</t>
  </si>
  <si>
    <t>Camoapa</t>
  </si>
  <si>
    <t>Chichigalpa</t>
  </si>
  <si>
    <t>Chinandega</t>
  </si>
  <si>
    <t>Ciudad Sandino</t>
  </si>
  <si>
    <t>Managua</t>
  </si>
  <si>
    <t>Diriamba</t>
  </si>
  <si>
    <t>Carazo</t>
  </si>
  <si>
    <t>El Crucero</t>
  </si>
  <si>
    <t>El Viejo</t>
  </si>
  <si>
    <t>Estelã</t>
  </si>
  <si>
    <t>EstelÃ­</t>
  </si>
  <si>
    <t>Nueva Segovia</t>
  </si>
  <si>
    <t>Jinotega</t>
  </si>
  <si>
    <t>Jinotepe</t>
  </si>
  <si>
    <t>Juigalpa</t>
  </si>
  <si>
    <t>Chontales</t>
  </si>
  <si>
    <t>La Paz Centro</t>
  </si>
  <si>
    <t>Manágua</t>
  </si>
  <si>
    <t>Masatepe</t>
  </si>
  <si>
    <t>Masaya</t>
  </si>
  <si>
    <t>MATAGALPA</t>
  </si>
  <si>
    <t>Matagalpa</t>
  </si>
  <si>
    <t>Nagarote</t>
  </si>
  <si>
    <t>Nandaime</t>
  </si>
  <si>
    <t>Nueva Guiné</t>
  </si>
  <si>
    <t>Nueva Guinea</t>
  </si>
  <si>
    <t>OCOTAL</t>
  </si>
  <si>
    <t>Ocotal</t>
  </si>
  <si>
    <t>Puerto Cabezas</t>
  </si>
  <si>
    <t>AtlÃ¡ntico Norte (RAAN)</t>
  </si>
  <si>
    <t>Rama</t>
  </si>
  <si>
    <t>Rivas</t>
  </si>
  <si>
    <t>San Rafael del Sur</t>
  </si>
  <si>
    <t>Siuna</t>
  </si>
  <si>
    <t>Somotillo</t>
  </si>
  <si>
    <t>Somoto</t>
  </si>
  <si>
    <t>Madriz</t>
  </si>
  <si>
    <t>Tipitapa</t>
  </si>
  <si>
    <t>Agadez</t>
  </si>
  <si>
    <t>Niger</t>
  </si>
  <si>
    <t>ALAGHSAS</t>
  </si>
  <si>
    <t>Alaghsas</t>
  </si>
  <si>
    <t>Ayorou</t>
  </si>
  <si>
    <t>TillabÃ©ri</t>
  </si>
  <si>
    <t>Birni N Konni</t>
  </si>
  <si>
    <t>Tahoua</t>
  </si>
  <si>
    <t>Dakoro</t>
  </si>
  <si>
    <t>Maradi</t>
  </si>
  <si>
    <t>Difna</t>
  </si>
  <si>
    <t>Diffa</t>
  </si>
  <si>
    <t>Dogondoutchi</t>
  </si>
  <si>
    <t>Dosso</t>
  </si>
  <si>
    <t>DOSSO</t>
  </si>
  <si>
    <t>Ill © la</t>
  </si>
  <si>
    <t>IllÃ©la</t>
  </si>
  <si>
    <t>Madaoua</t>
  </si>
  <si>
    <t>MAGARIA</t>
  </si>
  <si>
    <t>Magaria</t>
  </si>
  <si>
    <t>Zinder</t>
  </si>
  <si>
    <t>Matamey</t>
  </si>
  <si>
    <t>Mayahi</t>
  </si>
  <si>
    <t>Espelia</t>
  </si>
  <si>
    <t>Mirriah</t>
  </si>
  <si>
    <t>Nguigmi</t>
  </si>
  <si>
    <t>Niamey</t>
  </si>
  <si>
    <t>Té © ra</t>
  </si>
  <si>
    <t>TÃ©ra</t>
  </si>
  <si>
    <t>Bronzeado</t>
  </si>
  <si>
    <t>Tanout</t>
  </si>
  <si>
    <t>Tessaoua</t>
  </si>
  <si>
    <t>Tibiri</t>
  </si>
  <si>
    <t>Tillabé © ri</t>
  </si>
  <si>
    <t>ABA</t>
  </si>
  <si>
    <t>Aba</t>
  </si>
  <si>
    <t>Nigeria</t>
  </si>
  <si>
    <t>Abia</t>
  </si>
  <si>
    <t>Abakaliki</t>
  </si>
  <si>
    <t>Ebonyi</t>
  </si>
  <si>
    <t>Abeokuta</t>
  </si>
  <si>
    <t>Ogun</t>
  </si>
  <si>
    <t>Abuja</t>
  </si>
  <si>
    <t>Abuja Federal Capital Territory</t>
  </si>
  <si>
    <t>Ado Odo</t>
  </si>
  <si>
    <t>Ado-Ekiti</t>
  </si>
  <si>
    <t>Ekiti</t>
  </si>
  <si>
    <t>Afikpo</t>
  </si>
  <si>
    <t>Agbor</t>
  </si>
  <si>
    <t>Agulu</t>
  </si>
  <si>
    <t>Anambra</t>
  </si>
  <si>
    <t>Ajaokuta</t>
  </si>
  <si>
    <t>Kogi</t>
  </si>
  <si>
    <t>Aku</t>
  </si>
  <si>
    <t>Enugu</t>
  </si>
  <si>
    <t>Akure</t>
  </si>
  <si>
    <t>Ondo</t>
  </si>
  <si>
    <t>Akwanga</t>
  </si>
  <si>
    <t>Nassarawa</t>
  </si>
  <si>
    <t>AMAGBO</t>
  </si>
  <si>
    <t>Amaigbo</t>
  </si>
  <si>
    <t>Anchau</t>
  </si>
  <si>
    <t>Kaduna</t>
  </si>
  <si>
    <t>Apomu</t>
  </si>
  <si>
    <t>Osun</t>
  </si>
  <si>
    <t>Aramoko-Ekiti</t>
  </si>
  <si>
    <t>Argungu</t>
  </si>
  <si>
    <t>Kebbi</t>
  </si>
  <si>
    <t>Asaba</t>
  </si>
  <si>
    <t>Auchi</t>
  </si>
  <si>
    <t>Edo</t>
  </si>
  <si>
    <t>Awgu</t>
  </si>
  <si>
    <t>Awka</t>
  </si>
  <si>
    <t>Azare</t>
  </si>
  <si>
    <t>Bauchi</t>
  </si>
  <si>
    <t>Babana</t>
  </si>
  <si>
    <t>Badegry</t>
  </si>
  <si>
    <t>Badagry</t>
  </si>
  <si>
    <t>Lagos</t>
  </si>
  <si>
    <t>Bama</t>
  </si>
  <si>
    <t>Borno</t>
  </si>
  <si>
    <t>Baro</t>
  </si>
  <si>
    <t>Beli</t>
  </si>
  <si>
    <t>Taraba</t>
  </si>
  <si>
    <t>BENDE</t>
  </si>
  <si>
    <t>Bende</t>
  </si>
  <si>
    <t>Cidade de Benin</t>
  </si>
  <si>
    <t>Benin City</t>
  </si>
  <si>
    <t>Bida</t>
  </si>
  <si>
    <t>Billiri</t>
  </si>
  <si>
    <t>Gombe</t>
  </si>
  <si>
    <t>Birnin Kebbi</t>
  </si>
  <si>
    <t>Birnin Kudu</t>
  </si>
  <si>
    <t>Jigawa</t>
  </si>
  <si>
    <t>BIU</t>
  </si>
  <si>
    <t>Biu</t>
  </si>
  <si>
    <t>Bode Saadu</t>
  </si>
  <si>
    <t>Kwara</t>
  </si>
  <si>
    <t>Bonny</t>
  </si>
  <si>
    <t>Rivers</t>
  </si>
  <si>
    <t>Buguma</t>
  </si>
  <si>
    <t>Bukuru</t>
  </si>
  <si>
    <t>Burutu</t>
  </si>
  <si>
    <t>Calabar</t>
  </si>
  <si>
    <t>Cross River</t>
  </si>
  <si>
    <t>Damaturu</t>
  </si>
  <si>
    <t>Yobe</t>
  </si>
  <si>
    <t>DAMBOA</t>
  </si>
  <si>
    <t>Damboa</t>
  </si>
  <si>
    <t>Darazo</t>
  </si>
  <si>
    <t>Daura</t>
  </si>
  <si>
    <t>Katsina</t>
  </si>
  <si>
    <t>Deba</t>
  </si>
  <si>
    <t>Degema Hulk</t>
  </si>
  <si>
    <t>Dikwa</t>
  </si>
  <si>
    <t>Doma</t>
  </si>
  <si>
    <t>Dukku</t>
  </si>
  <si>
    <t>Dutse</t>
  </si>
  <si>
    <t>Dutsen Wai</t>
  </si>
  <si>
    <t>Ebute Ikorodu</t>
  </si>
  <si>
    <t>Effium</t>
  </si>
  <si>
    <t>Effon Alaiye</t>
  </si>
  <si>
    <t>Egbe</t>
  </si>
  <si>
    <t>Eha amufu</t>
  </si>
  <si>
    <t>Eha Amufu</t>
  </si>
  <si>
    <t>Ejigbo</t>
  </si>
  <si>
    <t>Eket</t>
  </si>
  <si>
    <t>Akwa Ibom</t>
  </si>
  <si>
    <t>Ekpoma</t>
  </si>
  <si>
    <t>Elele</t>
  </si>
  <si>
    <t>Emre-Ekiti</t>
  </si>
  <si>
    <t>Emure-Ekiti</t>
  </si>
  <si>
    <t>Enugu-ezike</t>
  </si>
  <si>
    <t>Enugu-Ezike</t>
  </si>
  <si>
    <t>Enugu-ukwu</t>
  </si>
  <si>
    <t>Enugu-Ukwu</t>
  </si>
  <si>
    <t>Esuk Oron</t>
  </si>
  <si>
    <t>Ezza-ohu</t>
  </si>
  <si>
    <t>Ezza-Ohu</t>
  </si>
  <si>
    <t>Fiditi</t>
  </si>
  <si>
    <t>Oyo</t>
  </si>
  <si>
    <t>FUNTUA</t>
  </si>
  <si>
    <t>Funtua</t>
  </si>
  <si>
    <t>Gamboru</t>
  </si>
  <si>
    <t>Ganye</t>
  </si>
  <si>
    <t>Adamawa</t>
  </si>
  <si>
    <t>Garko</t>
  </si>
  <si>
    <t>Gashua</t>
  </si>
  <si>
    <t>Kano</t>
  </si>
  <si>
    <t>Gbongan</t>
  </si>
  <si>
    <t>Geidam</t>
  </si>
  <si>
    <t>Gembu</t>
  </si>
  <si>
    <t>Gombi</t>
  </si>
  <si>
    <t>Gumel</t>
  </si>
  <si>
    <t>Gummi</t>
  </si>
  <si>
    <t>Zamfara</t>
  </si>
  <si>
    <t>Gusau</t>
  </si>
  <si>
    <t>Gwadabawa</t>
  </si>
  <si>
    <t>Sokoto</t>
  </si>
  <si>
    <t>Gwaram</t>
  </si>
  <si>
    <t>Gwarzo</t>
  </si>
  <si>
    <t>Gwoza</t>
  </si>
  <si>
    <t>Hadejia</t>
  </si>
  <si>
    <t>Ibadan</t>
  </si>
  <si>
    <t>IBETO</t>
  </si>
  <si>
    <t>Ibeto</t>
  </si>
  <si>
    <t>Ibi</t>
  </si>
  <si>
    <t>Idah</t>
  </si>
  <si>
    <t>Idanre</t>
  </si>
  <si>
    <t>Ifo</t>
  </si>
  <si>
    <t>Igbara-Odo</t>
  </si>
  <si>
    <t>Igbeti</t>
  </si>
  <si>
    <t>Igboho</t>
  </si>
  <si>
    <t>Igbo-ora</t>
  </si>
  <si>
    <t>Igbo-Ora</t>
  </si>
  <si>
    <t>Igbor</t>
  </si>
  <si>
    <t>Benue</t>
  </si>
  <si>
    <t>Igbo-ukwu</t>
  </si>
  <si>
    <t>Igbo-Ukwu</t>
  </si>
  <si>
    <t>Igede-Ekiti</t>
  </si>
  <si>
    <t>Ihiala</t>
  </si>
  <si>
    <t>Ijebu-igbo</t>
  </si>
  <si>
    <t>Ijebu-Igbo</t>
  </si>
  <si>
    <t>Ijebu-Jesa</t>
  </si>
  <si>
    <t>Ijebu-Ode</t>
  </si>
  <si>
    <t>Ijero-Ekiti</t>
  </si>
  <si>
    <t>Ikeja</t>
  </si>
  <si>
    <t>Ikere-Ekiti</t>
  </si>
  <si>
    <t>Ikire</t>
  </si>
  <si>
    <t>Ikirun</t>
  </si>
  <si>
    <t>Ikom</t>
  </si>
  <si>
    <t>Ikot ekpene</t>
  </si>
  <si>
    <t>Ikot Ekpene</t>
  </si>
  <si>
    <t>Ila Orangun</t>
  </si>
  <si>
    <t>Ilaro</t>
  </si>
  <si>
    <t>Ilesa</t>
  </si>
  <si>
    <t>Illala</t>
  </si>
  <si>
    <t>Illela</t>
  </si>
  <si>
    <t>Ilobu</t>
  </si>
  <si>
    <t>Ilorin</t>
  </si>
  <si>
    <t>Inisa</t>
  </si>
  <si>
    <t>Iperu</t>
  </si>
  <si>
    <t>Ipoti</t>
  </si>
  <si>
    <t>ISANLU-ATOIJOWA</t>
  </si>
  <si>
    <t>Isanlu-Itedoijowa</t>
  </si>
  <si>
    <t>Ise-Ekiti</t>
  </si>
  <si>
    <t>Isieke</t>
  </si>
  <si>
    <t>Iwo</t>
  </si>
  <si>
    <t>Jalingo</t>
  </si>
  <si>
    <t>Jebba</t>
  </si>
  <si>
    <t>JEGA</t>
  </si>
  <si>
    <t>Jega</t>
  </si>
  <si>
    <t>Jimeta</t>
  </si>
  <si>
    <t>Jos</t>
  </si>
  <si>
    <t>Kabba</t>
  </si>
  <si>
    <t>Kachia</t>
  </si>
  <si>
    <t>Kafanchan</t>
  </si>
  <si>
    <t>Kagoro</t>
  </si>
  <si>
    <t>Kaiama</t>
  </si>
  <si>
    <t>Kamba</t>
  </si>
  <si>
    <t>Kari</t>
  </si>
  <si>
    <t>Katsina-Ala</t>
  </si>
  <si>
    <t>Kaura Namoda</t>
  </si>
  <si>
    <t>Keffi</t>
  </si>
  <si>
    <t>Kisi</t>
  </si>
  <si>
    <t>Kiyawa</t>
  </si>
  <si>
    <t>Kontagora</t>
  </si>
  <si>
    <t>Kuje</t>
  </si>
  <si>
    <t>Kukawa</t>
  </si>
  <si>
    <t>Kumagunnam</t>
  </si>
  <si>
    <t>Kumo</t>
  </si>
  <si>
    <t>Kwale</t>
  </si>
  <si>
    <t>Lafia</t>
  </si>
  <si>
    <t>Lafiagi</t>
  </si>
  <si>
    <t>Lalupon</t>
  </si>
  <si>
    <t>Lapai</t>
  </si>
  <si>
    <t>Lere</t>
  </si>
  <si>
    <t>Lokoja</t>
  </si>
  <si>
    <t>Magumeri</t>
  </si>
  <si>
    <t>Maiduguri</t>
  </si>
  <si>
    <t>Makoko</t>
  </si>
  <si>
    <t>Makurdi</t>
  </si>
  <si>
    <t>Malumfashi</t>
  </si>
  <si>
    <t>Marte</t>
  </si>
  <si>
    <t>Minna</t>
  </si>
  <si>
    <t>Modakeke</t>
  </si>
  <si>
    <t>Mokwa</t>
  </si>
  <si>
    <t>Monguno</t>
  </si>
  <si>
    <t>Moriki</t>
  </si>
  <si>
    <t>Mubi</t>
  </si>
  <si>
    <t>Nafada</t>
  </si>
  <si>
    <t>Nasarawa</t>
  </si>
  <si>
    <t>Nguru</t>
  </si>
  <si>
    <t>Nkpor</t>
  </si>
  <si>
    <t>Nkwerre</t>
  </si>
  <si>
    <t>Imo</t>
  </si>
  <si>
    <t>Nnewi</t>
  </si>
  <si>
    <t>Nsukka</t>
  </si>
  <si>
    <t>Numan</t>
  </si>
  <si>
    <t>Obonoma</t>
  </si>
  <si>
    <t>Obudu</t>
  </si>
  <si>
    <t>Tributo</t>
  </si>
  <si>
    <t>Ode</t>
  </si>
  <si>
    <t>Offa</t>
  </si>
  <si>
    <t>Ogaminana</t>
  </si>
  <si>
    <t>Ogoja</t>
  </si>
  <si>
    <t>Oguta</t>
  </si>
  <si>
    <t>Ogwashi-uku</t>
  </si>
  <si>
    <t>Ogwashi-Uku</t>
  </si>
  <si>
    <t>Ohafia-ifigh</t>
  </si>
  <si>
    <t>Ohafia-Ifigh</t>
  </si>
  <si>
    <t>OKE ILA</t>
  </si>
  <si>
    <t>Oke Ila</t>
  </si>
  <si>
    <t>Oke mesi</t>
  </si>
  <si>
    <t>Oke Mesi</t>
  </si>
  <si>
    <t>OKENE</t>
  </si>
  <si>
    <t>Okene</t>
  </si>
  <si>
    <t>Okigwe</t>
  </si>
  <si>
    <t>Okrika</t>
  </si>
  <si>
    <t>Okuta</t>
  </si>
  <si>
    <t>Olupona</t>
  </si>
  <si>
    <t>Onitsha</t>
  </si>
  <si>
    <t>Oita Eruwa</t>
  </si>
  <si>
    <t>Orita Eruwa</t>
  </si>
  <si>
    <t>Osogbo</t>
  </si>
  <si>
    <t>OTAN AYEGBAJU</t>
  </si>
  <si>
    <t>Otan Ayegbaju</t>
  </si>
  <si>
    <t>Otukpa</t>
  </si>
  <si>
    <t>Owerri</t>
  </si>
  <si>
    <t>OWO</t>
  </si>
  <si>
    <t>Owo</t>
  </si>
  <si>
    <t>Oyan</t>
  </si>
  <si>
    <t>Ozubulu</t>
  </si>
  <si>
    <t>Pankshin</t>
  </si>
  <si>
    <t>Patigi</t>
  </si>
  <si>
    <t>Pindiga</t>
  </si>
  <si>
    <t>Port Harcourt</t>
  </si>
  <si>
    <t>Potiskum</t>
  </si>
  <si>
    <t>Rano</t>
  </si>
  <si>
    <t>Rijau</t>
  </si>
  <si>
    <t>Saki</t>
  </si>
  <si>
    <t>Sapele</t>
  </si>
  <si>
    <t>Shagamu</t>
  </si>
  <si>
    <t>Soba</t>
  </si>
  <si>
    <t>Sofo-birnin-gwari</t>
  </si>
  <si>
    <t>Sofo-Birnin-Gwari</t>
  </si>
  <si>
    <t>Suleja</t>
  </si>
  <si>
    <t>Takum</t>
  </si>
  <si>
    <t>Talata mafara</t>
  </si>
  <si>
    <t>Talata Mafara</t>
  </si>
  <si>
    <t>Tambuwal</t>
  </si>
  <si>
    <t>Tegina</t>
  </si>
  <si>
    <t>Ubiaja</t>
  </si>
  <si>
    <t>Uga</t>
  </si>
  <si>
    <t>Ugep</t>
  </si>
  <si>
    <t>Ughelli</t>
  </si>
  <si>
    <t>Umuahia</t>
  </si>
  <si>
    <t>Uromi</t>
  </si>
  <si>
    <t>Uyo</t>
  </si>
  <si>
    <t>Warri</t>
  </si>
  <si>
    <t>Wudil</t>
  </si>
  <si>
    <t>Wukari</t>
  </si>
  <si>
    <t>Yenagoa</t>
  </si>
  <si>
    <t>Bayelsa</t>
  </si>
  <si>
    <t>Yola</t>
  </si>
  <si>
    <t>Zaria</t>
  </si>
  <si>
    <t>Zungeru</t>
  </si>
  <si>
    <t>Zuru</t>
  </si>
  <si>
    <t>Alofi</t>
  </si>
  <si>
    <t>Niue</t>
  </si>
  <si>
    <t>Å¬iju</t>
  </si>
  <si>
    <t>North Korea</t>
  </si>
  <si>
    <t>P'yÅngan-bukto</t>
  </si>
  <si>
    <t>Anak</t>
  </si>
  <si>
    <t>Hwanghae-bukto</t>
  </si>
  <si>
    <t>Anbyå n-Åp</t>
  </si>
  <si>
    <t>AnbyÅn-Å­p</t>
  </si>
  <si>
    <t>KangwÅn-do</t>
  </si>
  <si>
    <t>Anju</t>
  </si>
  <si>
    <t>P'yÅngan-namdo</t>
  </si>
  <si>
    <t>Aoji-ri</t>
  </si>
  <si>
    <t>HamgyÅng-bukto</t>
  </si>
  <si>
    <t>Ayang-ni</t>
  </si>
  <si>
    <t>Hwanghae-namdo</t>
  </si>
  <si>
    <t>Chå Ngju</t>
  </si>
  <si>
    <t>ChÅngju</t>
  </si>
  <si>
    <t>Chaeryå Ng-Åp</t>
  </si>
  <si>
    <t>ChaeryÅng-Å­p</t>
  </si>
  <si>
    <t>Changyå n</t>
  </si>
  <si>
    <t>ChangyÅn</t>
  </si>
  <si>
    <t>Chongjin</t>
  </si>
  <si>
    <t>Chunghwa</t>
  </si>
  <si>
    <t>Pyongyang</t>
  </si>
  <si>
    <t>Haeju</t>
  </si>
  <si>
    <t>Håkkyo-ri</t>
  </si>
  <si>
    <t>HÅ­kkyo-ri</t>
  </si>
  <si>
    <t>Hamhång</t>
  </si>
  <si>
    <t>HamhÅ­ng</t>
  </si>
  <si>
    <t>HamgyÅng-namdo</t>
  </si>
  <si>
    <t>Hångnam</t>
  </si>
  <si>
    <t>HÅ­ngnam</t>
  </si>
  <si>
    <t>Hoeryå ng</t>
  </si>
  <si>
    <t>HoeryÅng</t>
  </si>
  <si>
    <t>Hoeyang</t>
  </si>
  <si>
    <t>Hongwå n</t>
  </si>
  <si>
    <t>HongwÅn</t>
  </si>
  <si>
    <t>Hwangju-Åp</t>
  </si>
  <si>
    <t>Hwangju-Å­p</t>
  </si>
  <si>
    <t>Hyesan-dong</t>
  </si>
  <si>
    <t>Yanggang-do</t>
  </si>
  <si>
    <t>Hyesan-Si</t>
  </si>
  <si>
    <t>Hyesan-si</t>
  </si>
  <si>
    <t>Iwå n-Åp</t>
  </si>
  <si>
    <t>IwÅn-Å­p</t>
  </si>
  <si>
    <t>Kaeså Ng</t>
  </si>
  <si>
    <t>KaesÅng</t>
  </si>
  <si>
    <t>Kangdong-Åp</t>
  </si>
  <si>
    <t>Kangdong-Å­p</t>
  </si>
  <si>
    <t>Kanggye-Si</t>
  </si>
  <si>
    <t>Kanggye-si</t>
  </si>
  <si>
    <t>Chagang-do</t>
  </si>
  <si>
    <t>KAPSAN-ÅP</t>
  </si>
  <si>
    <t>Kapsan-Å­p</t>
  </si>
  <si>
    <t>Kilju</t>
  </si>
  <si>
    <t>Kosan</t>
  </si>
  <si>
    <t>Kowå n-Åp</t>
  </si>
  <si>
    <t>KowÅn-Å­p</t>
  </si>
  <si>
    <t>Kujang-Åp</t>
  </si>
  <si>
    <t>Kujang-Å­p</t>
  </si>
  <si>
    <t>Kuså Ng</t>
  </si>
  <si>
    <t>KusÅng</t>
  </si>
  <si>
    <t>Kyå Ngså Ng</t>
  </si>
  <si>
    <t>KyÅngsÅng</t>
  </si>
  <si>
    <t>Musan-Åp</t>
  </si>
  <si>
    <t>Musan-Å­p</t>
  </si>
  <si>
    <t>Najin</t>
  </si>
  <si>
    <t>Rason</t>
  </si>
  <si>
    <t>Namp 'o</t>
  </si>
  <si>
    <t>Nampâ€™o</t>
  </si>
  <si>
    <t>Namyang-dong</t>
  </si>
  <si>
    <t>Nanam</t>
  </si>
  <si>
    <t>Ongjin</t>
  </si>
  <si>
    <t>Onså ng</t>
  </si>
  <si>
    <t>OnsÅng</t>
  </si>
  <si>
    <t>Pâ € yå ngså ng</t>
  </si>
  <si>
    <t>Pâ€™yÅngsÅng</t>
  </si>
  <si>
    <t>Så Nbong</t>
  </si>
  <si>
    <t>SÅnbong</t>
  </si>
  <si>
    <t>Sakchu-Åp</t>
  </si>
  <si>
    <t>Sakchu-Å­p</t>
  </si>
  <si>
    <t>SAMHO-RODONGJAGU</t>
  </si>
  <si>
    <t>Samho-rodongjagu</t>
  </si>
  <si>
    <t>Sångho 1-língua</t>
  </si>
  <si>
    <t>SÅ­ngho 1-tong</t>
  </si>
  <si>
    <t>Sariwå n</t>
  </si>
  <si>
    <t>SariwÅn</t>
  </si>
  <si>
    <t>Sil-Li</t>
  </si>
  <si>
    <t>Sil-li</t>
  </si>
  <si>
    <t>Sinåiju</t>
  </si>
  <si>
    <t>SinÅ­iju</t>
  </si>
  <si>
    <t>Sinanju</t>
  </si>
  <si>
    <t>Sinmak</t>
  </si>
  <si>
    <t>Songnim</t>
  </si>
  <si>
    <t>Sunan</t>
  </si>
  <si>
    <t>T ™ ONGCH '™ Å n-Åp</t>
  </si>
  <si>
    <t>Tâ€™ongchâ€™Ån-Å­p</t>
  </si>
  <si>
    <t>Wå Nsan</t>
  </si>
  <si>
    <t>WÅnsan</t>
  </si>
  <si>
    <t>Yå Nan-Åp</t>
  </si>
  <si>
    <t>YÅnan-Å­p</t>
  </si>
  <si>
    <t>Yå Nggwang-Åp</t>
  </si>
  <si>
    <t>YÅnggwang-Å­p</t>
  </si>
  <si>
    <t>Yuktae-dong</t>
  </si>
  <si>
    <t>Saipan</t>
  </si>
  <si>
    <t>Northern Mariana Islands</t>
  </si>
  <si>
    <t>Ã… Lesund</t>
  </si>
  <si>
    <t>Ã…lesund</t>
  </si>
  <si>
    <t>Norway</t>
  </si>
  <si>
    <t>MÃ¸re og Romsdal</t>
  </si>
  <si>
    <t>Arendal</t>
  </si>
  <si>
    <t>Aust-Agder</t>
  </si>
  <si>
    <t>Pergunte</t>
  </si>
  <si>
    <t>AskÃ¸y</t>
  </si>
  <si>
    <t>Hordaland</t>
  </si>
  <si>
    <t>Bergen</t>
  </si>
  <si>
    <t>Bodã</t>
  </si>
  <si>
    <t>BodÃ¸</t>
  </si>
  <si>
    <t>Nordland</t>
  </si>
  <si>
    <t>Drammen</t>
  </si>
  <si>
    <t>Buskerud</t>
  </si>
  <si>
    <t>Fredrikstad</t>
  </si>
  <si>
    <t>Ã˜stfold</t>
  </si>
  <si>
    <t>Gjãvik</t>
  </si>
  <si>
    <t>GjÃ¸vik</t>
  </si>
  <si>
    <t>Oppland</t>
  </si>
  <si>
    <t>Halden</t>
  </si>
  <si>
    <t>HAMAR</t>
  </si>
  <si>
    <t>Hamar</t>
  </si>
  <si>
    <t>Hedmark</t>
  </si>
  <si>
    <t>Harstad</t>
  </si>
  <si>
    <t>Troms</t>
  </si>
  <si>
    <t>Haugesund</t>
  </si>
  <si>
    <t>Rogaland</t>
  </si>
  <si>
    <t>Horten</t>
  </si>
  <si>
    <t>Vestfold</t>
  </si>
  <si>
    <t>Kongsberg</t>
  </si>
  <si>
    <t>Kristiansand</t>
  </si>
  <si>
    <t>Vest-Agder</t>
  </si>
  <si>
    <t>Kristiansund</t>
  </si>
  <si>
    <t>Larvik</t>
  </si>
  <si>
    <t>Lillehammer</t>
  </si>
  <si>
    <t>Mo i rana</t>
  </si>
  <si>
    <t>Mo i Rana</t>
  </si>
  <si>
    <t>Molde</t>
  </si>
  <si>
    <t>Musgo</t>
  </si>
  <si>
    <t>Moss</t>
  </si>
  <si>
    <t>Oslo</t>
  </si>
  <si>
    <t>Porsgrunn</t>
  </si>
  <si>
    <t>Telemark</t>
  </si>
  <si>
    <t>Sandefjord</t>
  </si>
  <si>
    <t>Sandnes</t>
  </si>
  <si>
    <t>Sarpsborg</t>
  </si>
  <si>
    <t>Skien</t>
  </si>
  <si>
    <t>Stavanger</t>
  </si>
  <si>
    <t>Stavern</t>
  </si>
  <si>
    <t xml:space="preserve">Vestfold </t>
  </si>
  <si>
    <t>Steinkjer</t>
  </si>
  <si>
    <t>Nord-TrÃ¸ndelag</t>
  </si>
  <si>
    <t>TãNSBERG</t>
  </si>
  <si>
    <t>TÃ¸nsberg</t>
  </si>
  <si>
    <t>Tromsã</t>
  </si>
  <si>
    <t>TromsÃ¸</t>
  </si>
  <si>
    <t>Trondheim</t>
  </si>
  <si>
    <t>SÃ¸r-TrÃ¸ndelag</t>
  </si>
  <si>
    <t>Ytrebygda</t>
  </si>
  <si>
    <t>â € ˜ibrä «</t>
  </si>
  <si>
    <t>â€˜IbrÄ«</t>
  </si>
  <si>
    <t>Oman</t>
  </si>
  <si>
    <t>AzÌ§ ZÌ§Ähirah</t>
  </si>
  <si>
    <t>Ä € barragem</t>
  </si>
  <si>
    <t>Ä€dam</t>
  </si>
  <si>
    <t>Muá¸©ÄfazÌ§at ad DÄkhilÄ«yah</t>
  </si>
  <si>
    <t>Al Buraymä «</t>
  </si>
  <si>
    <t>Al BuraymÄ«</t>
  </si>
  <si>
    <t>Al Buraimi</t>
  </si>
  <si>
    <t>Al khä bå «rah</t>
  </si>
  <si>
    <t>Al KhÄbÅ«rah</t>
  </si>
  <si>
    <t>Al Batinah North Governorate</t>
  </si>
  <si>
    <t>Al Liwä â € ™</t>
  </si>
  <si>
    <t>Al LiwÄâ€™</t>
  </si>
  <si>
    <t>Como suwayq</t>
  </si>
  <si>
    <t>As Suwayq</t>
  </si>
  <si>
    <t>Åžaá¸ © Am</t>
  </si>
  <si>
    <t>Åžaá¸©am</t>
  </si>
  <si>
    <t>Åžalä lah</t>
  </si>
  <si>
    <t>ÅžalÄlah</t>
  </si>
  <si>
    <t>ZÌ§ufÄr</t>
  </si>
  <si>
    <t>Badä «Yah</t>
  </si>
  <si>
    <t>BadÄ«yah</t>
  </si>
  <si>
    <t>Ash Sharqiyah North Governorate</t>
  </si>
  <si>
    <t>Bahlä â € ™</t>
  </si>
  <si>
    <t>BahlÄâ€™</t>
  </si>
  <si>
    <t>Barkä â € ™</t>
  </si>
  <si>
    <t>BarkÄâ€™</t>
  </si>
  <si>
    <t>Al Batinah South Governorate</t>
  </si>
  <si>
    <t>Bawsshar</t>
  </si>
  <si>
    <t>Bawshar</t>
  </si>
  <si>
    <t>Muá¸©ÄfazÌ§at MasqaÅ£</t>
  </si>
  <si>
    <t>Bidbid</t>
  </si>
  <si>
    <t>Ibrä â € ™</t>
  </si>
  <si>
    <t>IbrÄâ€™</t>
  </si>
  <si>
    <t>Izkä «</t>
  </si>
  <si>
    <t>IzkÄ«</t>
  </si>
  <si>
    <t>Khasab</t>
  </si>
  <si>
    <t>Musandam</t>
  </si>
  <si>
    <t>Muscat</t>
  </si>
  <si>
    <t>Nizwã</t>
  </si>
  <si>
    <t>NizwÃ¡</t>
  </si>
  <si>
    <t>Rustaq</t>
  </si>
  <si>
    <t>Seeb</t>
  </si>
  <si>
    <t>Shinä Åutos</t>
  </si>
  <si>
    <t>ShinÄÅŸ</t>
  </si>
  <si>
    <t>Sohar</t>
  </si>
  <si>
    <t>Sufä lat samä â € ™ il</t>
  </si>
  <si>
    <t>SufÄlat SamÄâ€™il</t>
  </si>
  <si>
    <t>Sur</t>
  </si>
  <si>
    <t>Ash Sharqiyah South Governorate</t>
  </si>
  <si>
    <t>Yanqul</t>
  </si>
  <si>
    <t>Ä € rifwä la</t>
  </si>
  <si>
    <t>Ä€rifwÄla</t>
  </si>
  <si>
    <t>Pakistan</t>
  </si>
  <si>
    <t>Abbottä Bä d</t>
  </si>
  <si>
    <t>AbbottÄbÄd</t>
  </si>
  <si>
    <t>Khyber Pakhtunkhwa</t>
  </si>
  <si>
    <t>Ahmadpur East</t>
  </si>
  <si>
    <t>Ahmadpur Siä l</t>
  </si>
  <si>
    <t>Ahmadpur SiÄl</t>
  </si>
  <si>
    <t>Akora</t>
  </si>
  <si>
    <t>Amangarh</t>
  </si>
  <si>
    <t>Cidade de Attock</t>
  </si>
  <si>
    <t>Attock City</t>
  </si>
  <si>
    <t>Bå «rewä la</t>
  </si>
  <si>
    <t>BÅ«rewÄla</t>
  </si>
  <si>
    <t>Badä «n</t>
  </si>
  <si>
    <t>BadÄ«n</t>
  </si>
  <si>
    <t>Sindh</t>
  </si>
  <si>
    <t>Baddomalhi</t>
  </si>
  <si>
    <t>Bahä Walnagar</t>
  </si>
  <si>
    <t>BahÄwalnagar</t>
  </si>
  <si>
    <t>Bahä Walpur</t>
  </si>
  <si>
    <t>BahÄwalpur</t>
  </si>
  <si>
    <t>Bannu</t>
  </si>
  <si>
    <t>Basä «rpur</t>
  </si>
  <si>
    <t>BasÄ«rpur</t>
  </si>
  <si>
    <t>Bat Khela</t>
  </si>
  <si>
    <t>BalochistÄn</t>
  </si>
  <si>
    <t>Bhä i pheru</t>
  </si>
  <si>
    <t>BhÄi Pheru</t>
  </si>
  <si>
    <t>Bhä n</t>
  </si>
  <si>
    <t>BhÄn</t>
  </si>
  <si>
    <t>Bhakkar</t>
  </si>
  <si>
    <t>Bhalwä l</t>
  </si>
  <si>
    <t>BhalwÄl</t>
  </si>
  <si>
    <t>Bhawä Na</t>
  </si>
  <si>
    <t>BhawÄna</t>
  </si>
  <si>
    <t>Bhera</t>
  </si>
  <si>
    <t>Bhimbar</t>
  </si>
  <si>
    <t>Azad Kashmir</t>
  </si>
  <si>
    <t>Bhit shä h</t>
  </si>
  <si>
    <t>Bhit ShÄh</t>
  </si>
  <si>
    <t>Bhopä lwä la</t>
  </si>
  <si>
    <t>BhopÄlwÄla</t>
  </si>
  <si>
    <t>Chä «chä watni</t>
  </si>
  <si>
    <t>ChÄ«chÄwatni</t>
  </si>
  <si>
    <t>Chå «har kä na</t>
  </si>
  <si>
    <t>ChÅ«har KÄna</t>
  </si>
  <si>
    <t>Chå «niä n</t>
  </si>
  <si>
    <t>ChÅ«niÄn</t>
  </si>
  <si>
    <t>Chak ä € zam saffo</t>
  </si>
  <si>
    <t>Chak Ä€zam Saffo</t>
  </si>
  <si>
    <t>Chak duzentos quarenta e nove TDA</t>
  </si>
  <si>
    <t>Chak Two Hundred Forty-Nine TDA</t>
  </si>
  <si>
    <t>Chakwä l</t>
  </si>
  <si>
    <t>ChakwÄl</t>
  </si>
  <si>
    <t>Chaman</t>
  </si>
  <si>
    <t>Charsadda</t>
  </si>
  <si>
    <t>Chawinda</t>
  </si>
  <si>
    <t>Chiniot</t>
  </si>
  <si>
    <t>Chishtiä n mandi</t>
  </si>
  <si>
    <t>ChishtiÄn Mandi</t>
  </si>
  <si>
    <t>Choa Saidä n Shä h</t>
  </si>
  <si>
    <t>Choa SaidÄn ShÄh</t>
  </si>
  <si>
    <t>Cor</t>
  </si>
  <si>
    <t>Chor</t>
  </si>
  <si>
    <t>Chuhar Jamä Li</t>
  </si>
  <si>
    <t>Chuhar JamÄli</t>
  </si>
  <si>
    <t>Dä «pä lpur</t>
  </si>
  <si>
    <t>DÄ«pÄlpur</t>
  </si>
  <si>
    <t>Dä «r</t>
  </si>
  <si>
    <t>DÄ«r</t>
  </si>
  <si>
    <t>Dä Å «d khel</t>
  </si>
  <si>
    <t>DÄÅ«d Khel</t>
  </si>
  <si>
    <t>Dä Dhar</t>
  </si>
  <si>
    <t>DÄdhar</t>
  </si>
  <si>
    <t>Dä jal</t>
  </si>
  <si>
    <t>DÄjal</t>
  </si>
  <si>
    <t>Dadu</t>
  </si>
  <si>
    <t>Darya Khä n</t>
  </si>
  <si>
    <t>Darya KhÄn</t>
  </si>
  <si>
    <t>Daska</t>
  </si>
  <si>
    <t>Daur</t>
  </si>
  <si>
    <t>Dera Bugti</t>
  </si>
  <si>
    <t>Dera Ghazi Khan</t>
  </si>
  <si>
    <t>Dera ismä ä «l khä n</t>
  </si>
  <si>
    <t>Dera IsmÄÄ«l KhÄn</t>
  </si>
  <si>
    <t>Dhanot</t>
  </si>
  <si>
    <t>Dhoro Naro</t>
  </si>
  <si>
    <t>DIGRI</t>
  </si>
  <si>
    <t>Digri</t>
  </si>
  <si>
    <t>Dijkot</t>
  </si>
  <si>
    <t>Dinga</t>
  </si>
  <si>
    <t>Dullewä la</t>
  </si>
  <si>
    <t>DullewÄla</t>
  </si>
  <si>
    <t>Dunga Bunga</t>
  </si>
  <si>
    <t>Dunyä Pur</t>
  </si>
  <si>
    <t>DunyÄpur</t>
  </si>
  <si>
    <t>Eminä Bä d</t>
  </si>
  <si>
    <t>EminÄbÄd</t>
  </si>
  <si>
    <t>Faisalä Bä d</t>
  </si>
  <si>
    <t>FaisalÄbÄd</t>
  </si>
  <si>
    <t>Faqä «rwä li</t>
  </si>
  <si>
    <t>FaqÄ«rwÄli</t>
  </si>
  <si>
    <t>Faruka</t>
  </si>
  <si>
    <t>Fazalpur</t>
  </si>
  <si>
    <t>Fort Abbä s</t>
  </si>
  <si>
    <t>Fort AbbÄs</t>
  </si>
  <si>
    <t>Gå «jar khä n</t>
  </si>
  <si>
    <t>GÅ«jar KhÄn</t>
  </si>
  <si>
    <t>Gambat</t>
  </si>
  <si>
    <t>Garh mahä rä ja</t>
  </si>
  <si>
    <t>Garh MahÄrÄja</t>
  </si>
  <si>
    <t>Ghä ro</t>
  </si>
  <si>
    <t>GhÄro</t>
  </si>
  <si>
    <t>Ghauspur</t>
  </si>
  <si>
    <t>Ghotki</t>
  </si>
  <si>
    <t>Gojra</t>
  </si>
  <si>
    <t>Gujrä nwä la</t>
  </si>
  <si>
    <t>GujrÄnwÄla</t>
  </si>
  <si>
    <t>Gujrä T.</t>
  </si>
  <si>
    <t>GujrÄt</t>
  </si>
  <si>
    <t>Gwadar</t>
  </si>
  <si>
    <t>Hä fizä bä d</t>
  </si>
  <si>
    <t>HÄfizÄbÄd</t>
  </si>
  <si>
    <t>Hä la</t>
  </si>
  <si>
    <t>HÄla</t>
  </si>
  <si>
    <t>Hä Silpur</t>
  </si>
  <si>
    <t>HÄsilpur</t>
  </si>
  <si>
    <t>Hadä li</t>
  </si>
  <si>
    <t>HadÄli</t>
  </si>
  <si>
    <t>Harä «Pur</t>
  </si>
  <si>
    <t>HarÄ«pur</t>
  </si>
  <si>
    <t>Harnoli</t>
  </si>
  <si>
    <t>Haru Zbad</t>
  </si>
  <si>
    <t>Hasan Abdä l</t>
  </si>
  <si>
    <t>Hasan AbdÄl</t>
  </si>
  <si>
    <t>Haveli</t>
  </si>
  <si>
    <t>Haveliä n</t>
  </si>
  <si>
    <t>HaveliÄn</t>
  </si>
  <si>
    <t>Hazro</t>
  </si>
  <si>
    <t>Hingorja</t>
  </si>
  <si>
    <t>Hujra</t>
  </si>
  <si>
    <t>Islamabad</t>
  </si>
  <si>
    <t>IslÄmÄbÄd</t>
  </si>
  <si>
    <t>Jä «wani</t>
  </si>
  <si>
    <t>JÄ«wani</t>
  </si>
  <si>
    <t>Jä Mpur</t>
  </si>
  <si>
    <t>JÄmpur</t>
  </si>
  <si>
    <t>Jacobä Bä d</t>
  </si>
  <si>
    <t>JacobÄbÄd</t>
  </si>
  <si>
    <t>Jahä niä n shä h</t>
  </si>
  <si>
    <t>JahÄniÄn ShÄh</t>
  </si>
  <si>
    <t>Jalä lpur pä «rwä la</t>
  </si>
  <si>
    <t>JalÄlpur PÄ«rwÄla</t>
  </si>
  <si>
    <t>Jand</t>
  </si>
  <si>
    <t>Jarä nwä la</t>
  </si>
  <si>
    <t>JarÄnwÄla</t>
  </si>
  <si>
    <t>Jatoi Shimä Li</t>
  </si>
  <si>
    <t>Jatoi ShimÄli</t>
  </si>
  <si>
    <t>Jauharä Bä d</t>
  </si>
  <si>
    <t>JauharÄbÄd</t>
  </si>
  <si>
    <t>Jhang Sadr</t>
  </si>
  <si>
    <t>Jhawä Riä n</t>
  </si>
  <si>
    <t>JhawÄriÄn</t>
  </si>
  <si>
    <t>Jhelum</t>
  </si>
  <si>
    <t>Jhol</t>
  </si>
  <si>
    <t>Jhumra</t>
  </si>
  <si>
    <t>Johi</t>
  </si>
  <si>
    <t>Kä hna</t>
  </si>
  <si>
    <t>KÄhna</t>
  </si>
  <si>
    <t>Kä lä bä gh</t>
  </si>
  <si>
    <t>KÄlÄbÄgh</t>
  </si>
  <si>
    <t>Kä Leke Mandi</t>
  </si>
  <si>
    <t>KÄleke Mandi</t>
  </si>
  <si>
    <t>Kä Mra</t>
  </si>
  <si>
    <t>KÄmra</t>
  </si>
  <si>
    <t>Kabä «rwä la</t>
  </si>
  <si>
    <t>KabÄ«rwÄla</t>
  </si>
  <si>
    <t>Kahå «ta</t>
  </si>
  <si>
    <t>KahÅ«ta</t>
  </si>
  <si>
    <t>Kalå «r kot</t>
  </si>
  <si>
    <t>KalÅ«r Kot</t>
  </si>
  <si>
    <t>Kalä T.</t>
  </si>
  <si>
    <t>KalÄt</t>
  </si>
  <si>
    <t>Kallar Kahä r</t>
  </si>
  <si>
    <t>Kallar KahÄr</t>
  </si>
  <si>
    <t>Kamä «r</t>
  </si>
  <si>
    <t>KamÄ«r</t>
  </si>
  <si>
    <t>Kamä Lia</t>
  </si>
  <si>
    <t>KamÄlia</t>
  </si>
  <si>
    <t>Kamar Mushä ni</t>
  </si>
  <si>
    <t>Kamar MushÄni</t>
  </si>
  <si>
    <t>Kambar</t>
  </si>
  <si>
    <t>Kamoke</t>
  </si>
  <si>
    <t>Kandhkot</t>
  </si>
  <si>
    <t>Kandiä Ro</t>
  </si>
  <si>
    <t>KandiÄro</t>
  </si>
  <si>
    <t>Kanganpur</t>
  </si>
  <si>
    <t>Carachi</t>
  </si>
  <si>
    <t>Karachi</t>
  </si>
  <si>
    <t>Karor</t>
  </si>
  <si>
    <t>Kaså «r</t>
  </si>
  <si>
    <t>KasÅ«r</t>
  </si>
  <si>
    <t>Caxemira</t>
  </si>
  <si>
    <t>Kashmor</t>
  </si>
  <si>
    <t>Khä ngä h Dogrä n</t>
  </si>
  <si>
    <t>KhÄngÄh DogrÄn</t>
  </si>
  <si>
    <t>Khä Ngarh</t>
  </si>
  <si>
    <t>KhÄngarh</t>
  </si>
  <si>
    <t>Khä npur</t>
  </si>
  <si>
    <t>KhÄnpur</t>
  </si>
  <si>
    <t>Khä rä n</t>
  </si>
  <si>
    <t>KhÄrÄn</t>
  </si>
  <si>
    <t>Khä Riä n</t>
  </si>
  <si>
    <t>KhÄriÄn</t>
  </si>
  <si>
    <t>Khairpur</t>
  </si>
  <si>
    <t>Khairpur Nathan Shä h</t>
  </si>
  <si>
    <t>Khairpur Nathan ShÄh</t>
  </si>
  <si>
    <t>Khalä Bat</t>
  </si>
  <si>
    <t>KhalÄbat</t>
  </si>
  <si>
    <t>Khewra</t>
  </si>
  <si>
    <t>Khurriä nwä la</t>
  </si>
  <si>
    <t>KhurriÄnwÄla</t>
  </si>
  <si>
    <t>Khushä b</t>
  </si>
  <si>
    <t>KhushÄb</t>
  </si>
  <si>
    <t>Kohä T.</t>
  </si>
  <si>
    <t>KohÄt</t>
  </si>
  <si>
    <t>Kohror Pakka</t>
  </si>
  <si>
    <t>KOT ADU</t>
  </si>
  <si>
    <t>Kot Addu</t>
  </si>
  <si>
    <t>Kot Diji</t>
  </si>
  <si>
    <t>Kot Ghulä M Muhammad</t>
  </si>
  <si>
    <t>Kot GhulÄm Muhammad</t>
  </si>
  <si>
    <t>Kot må «min</t>
  </si>
  <si>
    <t>Kot MÅ«min</t>
  </si>
  <si>
    <t>Kot Malik</t>
  </si>
  <si>
    <t>Kot Rä Dha Kishan</t>
  </si>
  <si>
    <t>Kot RÄdha Kishan</t>
  </si>
  <si>
    <t>Kot Samä Ba</t>
  </si>
  <si>
    <t>Kot SamÄba</t>
  </si>
  <si>
    <t>Kotli</t>
  </si>
  <si>
    <t>Kotli lohä rä n</t>
  </si>
  <si>
    <t>Kotli LohÄrÄn</t>
  </si>
  <si>
    <t>Kotri</t>
  </si>
  <si>
    <t>Kulä Chi</t>
  </si>
  <si>
    <t>KulÄchi</t>
  </si>
  <si>
    <t>Kundiä n</t>
  </si>
  <si>
    <t>KundiÄn</t>
  </si>
  <si>
    <t>Kunjä h</t>
  </si>
  <si>
    <t>KunjÄh</t>
  </si>
  <si>
    <t>Kunri</t>
  </si>
  <si>
    <t>Lä Chi</t>
  </si>
  <si>
    <t>LÄchi</t>
  </si>
  <si>
    <t>Lä la må «sa</t>
  </si>
  <si>
    <t>LÄla MÅ«sa</t>
  </si>
  <si>
    <t>Lä liä n</t>
  </si>
  <si>
    <t>LÄliÄn</t>
  </si>
  <si>
    <t>Lä rkä na</t>
  </si>
  <si>
    <t>LÄrkÄna</t>
  </si>
  <si>
    <t>Ladhewä la warä ich</t>
  </si>
  <si>
    <t>LadhewÄla WarÄich</t>
  </si>
  <si>
    <t>Lahore</t>
  </si>
  <si>
    <t>Lakki Marwat</t>
  </si>
  <si>
    <t>Layyah</t>
  </si>
  <si>
    <t>Lodhrä n</t>
  </si>
  <si>
    <t>LodhrÄn</t>
  </si>
  <si>
    <t>Loralai</t>
  </si>
  <si>
    <t>Mä «rpur mä thelo</t>
  </si>
  <si>
    <t>MÄ«rpur MÄthelo</t>
  </si>
  <si>
    <t>Mä mu kä njan</t>
  </si>
  <si>
    <t>MÄmu KÄnjan</t>
  </si>
  <si>
    <t>Mä nä nwä la</t>
  </si>
  <si>
    <t>MÄnÄnwÄla</t>
  </si>
  <si>
    <t>Mä Nsehra</t>
  </si>
  <si>
    <t>MÄnsehra</t>
  </si>
  <si>
    <t>Mä tli</t>
  </si>
  <si>
    <t>MÄtli</t>
  </si>
  <si>
    <t>Mach</t>
  </si>
  <si>
    <t>Mailsi</t>
  </si>
  <si>
    <t>Malakwä l</t>
  </si>
  <si>
    <t>MalakwÄl</t>
  </si>
  <si>
    <t>Cidade de Malakwal</t>
  </si>
  <si>
    <t>Malakwal City</t>
  </si>
  <si>
    <t>Malir Cantonment</t>
  </si>
  <si>
    <t>Mandi bahä uddä «n</t>
  </si>
  <si>
    <t>Mandi BahÄuddÄ«n</t>
  </si>
  <si>
    <t>MANGLA</t>
  </si>
  <si>
    <t>Mangla</t>
  </si>
  <si>
    <t>Mardan</t>
  </si>
  <si>
    <t>Mastung</t>
  </si>
  <si>
    <t>Matiä Ri</t>
  </si>
  <si>
    <t>MatiÄri</t>
  </si>
  <si>
    <t>Mehar</t>
  </si>
  <si>
    <t>Mehrä bpur</t>
  </si>
  <si>
    <t>MehrÄbpur</t>
  </si>
  <si>
    <t>Miä n Channå «n</t>
  </si>
  <si>
    <t>MiÄn ChannÅ«n</t>
  </si>
  <si>
    <t>Miä nwä li</t>
  </si>
  <si>
    <t>MiÄnwÄli</t>
  </si>
  <si>
    <t>Minchinä Bä d</t>
  </si>
  <si>
    <t>MinchinÄbÄd</t>
  </si>
  <si>
    <t>Mingora</t>
  </si>
  <si>
    <t>Mirpur Khas</t>
  </si>
  <si>
    <t>Mitha Tiwä Na</t>
  </si>
  <si>
    <t>Mitha TiwÄna</t>
  </si>
  <si>
    <t>Mithi</t>
  </si>
  <si>
    <t>Moro</t>
  </si>
  <si>
    <t>Multä n</t>
  </si>
  <si>
    <t>MultÄn</t>
  </si>
  <si>
    <t>Murä «dke</t>
  </si>
  <si>
    <t>MurÄ«dke</t>
  </si>
  <si>
    <t>Murree</t>
  </si>
  <si>
    <t>Mustafä Bä d</t>
  </si>
  <si>
    <t>MustafÄbÄd</t>
  </si>
  <si>
    <t>Muzaffarä Bä d</t>
  </si>
  <si>
    <t>MuzaffarÄbÄd</t>
  </si>
  <si>
    <t>Muzaffargarh</t>
  </si>
  <si>
    <t>Nä Rang</t>
  </si>
  <si>
    <t>NÄrang</t>
  </si>
  <si>
    <t>Nä Rowä l</t>
  </si>
  <si>
    <t>NÄrowÄl</t>
  </si>
  <si>
    <t>Nankä na sä hib</t>
  </si>
  <si>
    <t>NankÄna SÄhib</t>
  </si>
  <si>
    <t>Naudero</t>
  </si>
  <si>
    <t>Naukot</t>
  </si>
  <si>
    <t>Naushahra Virkä n</t>
  </si>
  <si>
    <t>Naushahra VirkÄn</t>
  </si>
  <si>
    <t>Naushahro fä «roz</t>
  </si>
  <si>
    <t>Naushahro FÄ«roz</t>
  </si>
  <si>
    <t>Nawä Bshä h</t>
  </si>
  <si>
    <t>NawÄbshÄh</t>
  </si>
  <si>
    <t>Novo Bä dä h</t>
  </si>
  <si>
    <t>New BÄdÄh</t>
  </si>
  <si>
    <t>Cantonamento nothera</t>
  </si>
  <si>
    <t>Nowshera Cantonment</t>
  </si>
  <si>
    <t>Nushki</t>
  </si>
  <si>
    <t>Okä ra</t>
  </si>
  <si>
    <t>OkÄra</t>
  </si>
  <si>
    <t>Pä «r Jo Goth</t>
  </si>
  <si>
    <t>PÄ«r jo Goth</t>
  </si>
  <si>
    <t>Pä «r Mahal</t>
  </si>
  <si>
    <t>PÄ«r Mahal</t>
  </si>
  <si>
    <t>Pä Kpattan</t>
  </si>
  <si>
    <t>PÄkpattan</t>
  </si>
  <si>
    <t>Pä no ä € qil</t>
  </si>
  <si>
    <t>PÄno Ä€qil</t>
  </si>
  <si>
    <t>Pabbi</t>
  </si>
  <si>
    <t>Pad äªdan</t>
  </si>
  <si>
    <t>Pad Äªdan</t>
  </si>
  <si>
    <t>Pahä Rpur</t>
  </si>
  <si>
    <t>PahÄrpur</t>
  </si>
  <si>
    <t>Pasni</t>
  </si>
  <si>
    <t>Pasrå «r</t>
  </si>
  <si>
    <t>PasrÅ«r</t>
  </si>
  <si>
    <t>Pattoki</t>
  </si>
  <si>
    <t>Peshawar</t>
  </si>
  <si>
    <t>Phä Lia</t>
  </si>
  <si>
    <t>PhÄlia</t>
  </si>
  <si>
    <t>Pind Dä Dan Khä n</t>
  </si>
  <si>
    <t>Pind DÄdan KhÄn</t>
  </si>
  <si>
    <t>Pindi Bhattiä n</t>
  </si>
  <si>
    <t>Pindi BhattiÄn</t>
  </si>
  <si>
    <t>Pindi Gheb</t>
  </si>
  <si>
    <t>Pishin</t>
  </si>
  <si>
    <t>Qä Dirpur rä n</t>
  </si>
  <si>
    <t>QÄdirpur RÄn</t>
  </si>
  <si>
    <t>Quetta</t>
  </si>
  <si>
    <t>Rä Dhan</t>
  </si>
  <si>
    <t>RÄdhan</t>
  </si>
  <si>
    <t>Rä iwind</t>
  </si>
  <si>
    <t>RÄiwind</t>
  </si>
  <si>
    <t>Rä Ja Jang</t>
  </si>
  <si>
    <t>RÄja Jang</t>
  </si>
  <si>
    <t>Rä Janpur</t>
  </si>
  <si>
    <t>RÄjanpur</t>
  </si>
  <si>
    <t>Rä Wala Kot</t>
  </si>
  <si>
    <t>RÄwala Kot</t>
  </si>
  <si>
    <t>Rabwä h</t>
  </si>
  <si>
    <t>RabwÄh</t>
  </si>
  <si>
    <t>Ratodero</t>
  </si>
  <si>
    <t>Rawalpindi</t>
  </si>
  <si>
    <t>Renä La Khurd</t>
  </si>
  <si>
    <t>RenÄla Khurd</t>
  </si>
  <si>
    <t>Risä Lpur</t>
  </si>
  <si>
    <t>RisÄlpur</t>
  </si>
  <si>
    <t>Rohri</t>
  </si>
  <si>
    <t>Sä «Ta Road</t>
  </si>
  <si>
    <t>SÄ«ta Road</t>
  </si>
  <si>
    <t>Sä diqä bä d</t>
  </si>
  <si>
    <t>SÄdiqÄbÄd</t>
  </si>
  <si>
    <t>Sä hä «wä l</t>
  </si>
  <si>
    <t>SÄhÄ«wÄl</t>
  </si>
  <si>
    <t>Sä Nghar</t>
  </si>
  <si>
    <t>SÄnghar</t>
  </si>
  <si>
    <t>Sahiwal</t>
  </si>
  <si>
    <t>Sakrand</t>
  </si>
  <si>
    <t>Sambriä l</t>
  </si>
  <si>
    <t>SambriÄl</t>
  </si>
  <si>
    <t>Hill Sangla</t>
  </si>
  <si>
    <t>Sangla Hill</t>
  </si>
  <si>
    <t>Sarä i ä € lamgä «r</t>
  </si>
  <si>
    <t>SarÄi Ä€lamgÄ«r</t>
  </si>
  <si>
    <t>Sarä I Naurang</t>
  </si>
  <si>
    <t>SarÄi Naurang</t>
  </si>
  <si>
    <t>Sarä I Sidhu</t>
  </si>
  <si>
    <t>SarÄi Sidhu</t>
  </si>
  <si>
    <t>Sargodha</t>
  </si>
  <si>
    <t>Sehwä n</t>
  </si>
  <si>
    <t>SehwÄn</t>
  </si>
  <si>
    <t>Sethä Rja Old</t>
  </si>
  <si>
    <t>SethÄrja Old</t>
  </si>
  <si>
    <t>Shä Hdä Dkot</t>
  </si>
  <si>
    <t>ShÄhdÄdkot</t>
  </si>
  <si>
    <t>Shä Hdä Dpur</t>
  </si>
  <si>
    <t>ShÄhdÄdpur</t>
  </si>
  <si>
    <t>Shä Hpur Chä Kar</t>
  </si>
  <si>
    <t>ShÄhpur ChÄkar</t>
  </si>
  <si>
    <t>Shabqadar</t>
  </si>
  <si>
    <t>Shahkot</t>
  </si>
  <si>
    <t>Shahr Sultä n</t>
  </si>
  <si>
    <t>Shahr SultÄn</t>
  </si>
  <si>
    <t>Shakargarr</t>
  </si>
  <si>
    <t>Sharqpur</t>
  </si>
  <si>
    <t>Sheikhupura</t>
  </si>
  <si>
    <t>Shorko</t>
  </si>
  <si>
    <t>Shujä ä bä d</t>
  </si>
  <si>
    <t>ShujÄÄbÄd</t>
  </si>
  <si>
    <t>Sialkot</t>
  </si>
  <si>
    <t>Sibi</t>
  </si>
  <si>
    <t>Sillä nwä li</t>
  </si>
  <si>
    <t>SillÄnwÄli</t>
  </si>
  <si>
    <t>Sinjhoro</t>
  </si>
  <si>
    <t>Sodhra</t>
  </si>
  <si>
    <t>Sukheke Mandi</t>
  </si>
  <si>
    <t>Sukkur</t>
  </si>
  <si>
    <t>Surkhpur</t>
  </si>
  <si>
    <t>SWä Bi</t>
  </si>
  <si>
    <t>SwÄbi</t>
  </si>
  <si>
    <t>Tä l</t>
  </si>
  <si>
    <t>TÄl</t>
  </si>
  <si>
    <t>Tä ndliä nwä la</t>
  </si>
  <si>
    <t>TÄndliÄnwÄla</t>
  </si>
  <si>
    <t>Tä nk</t>
  </si>
  <si>
    <t>TÄnk</t>
  </si>
  <si>
    <t>Talagang</t>
  </si>
  <si>
    <t>Talamba</t>
  </si>
  <si>
    <t>Talenhä r</t>
  </si>
  <si>
    <t>TalhÄr</t>
  </si>
  <si>
    <t>Barragem tando ä €</t>
  </si>
  <si>
    <t>Tando Ä€dam</t>
  </si>
  <si>
    <t>Tando Allä Hyä r</t>
  </si>
  <si>
    <t>Tando AllÄhyÄr</t>
  </si>
  <si>
    <t>Tando Ghulä M Ali</t>
  </si>
  <si>
    <t>Tando GhulÄm Ali</t>
  </si>
  <si>
    <t>Tando Jä m</t>
  </si>
  <si>
    <t>Tando JÄm</t>
  </si>
  <si>
    <t>Tando Muhammad Khä n</t>
  </si>
  <si>
    <t>Tando Muhammad KhÄn</t>
  </si>
  <si>
    <t>Tangi</t>
  </si>
  <si>
    <t>Taunsa</t>
  </si>
  <si>
    <t>Thä ru shä h</t>
  </si>
  <si>
    <t>ThÄru ShÄh</t>
  </si>
  <si>
    <t>Thatta</t>
  </si>
  <si>
    <t>Thul</t>
  </si>
  <si>
    <t>Toba Tek Singh</t>
  </si>
  <si>
    <t>Topi</t>
  </si>
  <si>
    <t>Turbat</t>
  </si>
  <si>
    <t>Ubauro</t>
  </si>
  <si>
    <t>Usta Muhammad</t>
  </si>
  <si>
    <t>Uthal</t>
  </si>
  <si>
    <t>Utmä Nzai</t>
  </si>
  <si>
    <t>UtmÄnzai</t>
  </si>
  <si>
    <t>Vihä ri</t>
  </si>
  <si>
    <t>VihÄri</t>
  </si>
  <si>
    <t>Wä rä h</t>
  </si>
  <si>
    <t>WÄrÄh</t>
  </si>
  <si>
    <t>Warburton</t>
  </si>
  <si>
    <t>Wazä «rä bä d</t>
  </si>
  <si>
    <t>WazÄ«rÄbÄd</t>
  </si>
  <si>
    <t>Yazman</t>
  </si>
  <si>
    <t>Zä hir pä «r</t>
  </si>
  <si>
    <t>ZÄhir PÄ«r</t>
  </si>
  <si>
    <t>Zafarwä l</t>
  </si>
  <si>
    <t>ZafarwÄl</t>
  </si>
  <si>
    <t>Zaida</t>
  </si>
  <si>
    <t>Zhob</t>
  </si>
  <si>
    <t>MELEKEOK</t>
  </si>
  <si>
    <t>Melekeok</t>
  </si>
  <si>
    <t>á¸ëalá¸ © Å «l</t>
  </si>
  <si>
    <t>á¸¨alá¸©Å«l</t>
  </si>
  <si>
    <t>Palestinian Territory</t>
  </si>
  <si>
    <t>West Bank</t>
  </si>
  <si>
    <t>Å ¢ Å «Bä s</t>
  </si>
  <si>
    <t>Å¢Å«bÄs</t>
  </si>
  <si>
    <t>Å ¢ Å «lkarm</t>
  </si>
  <si>
    <t>Å¢Å«lkarm</t>
  </si>
  <si>
    <t>â € ˜Abasä n al kabä «rah</t>
  </si>
  <si>
    <t>â€˜AbasÄn al KabÄ«rah</t>
  </si>
  <si>
    <t>Gaza Strip</t>
  </si>
  <si>
    <t>Al â € 'Ayzarä «yah</t>
  </si>
  <si>
    <t>Al â€˜AyzarÄ«yah</t>
  </si>
  <si>
    <t>Al Bä «rah</t>
  </si>
  <si>
    <t>Al BÄ«rah</t>
  </si>
  <si>
    <t>Al Burayj</t>
  </si>
  <si>
    <t>Al Qarä Rah</t>
  </si>
  <si>
    <t>Al QarÄrah</t>
  </si>
  <si>
    <t>Al yä må «n</t>
  </si>
  <si>
    <t>Al YÄmÅ«n</t>
  </si>
  <si>
    <t>Um nuåÿayrä t</t>
  </si>
  <si>
    <t>An NuÅŸayrÄt</t>
  </si>
  <si>
    <t>Ar rä m wa á¸ ä á © iyat al barä «d</t>
  </si>
  <si>
    <t>Ar RÄm wa á¸Äá¸©iyat al BarÄ«d</t>
  </si>
  <si>
    <t>Como Samå «â € '</t>
  </si>
  <si>
    <t>As SamÅ«â€˜</t>
  </si>
  <si>
    <t>Az zuwä ydah</t>
  </si>
  <si>
    <t>Az ZuwÄydah</t>
  </si>
  <si>
    <t>Azì§ Zì§ä hirä «yah</t>
  </si>
  <si>
    <t>AzÌ§ ZÌ§ÄhirÄ«yah</t>
  </si>
  <si>
    <t>Balä Å £ ah</t>
  </si>
  <si>
    <t>BalÄÅ£ah</t>
  </si>
  <si>
    <t>Banä «na '' m</t>
  </si>
  <si>
    <t>BanÄ« Naâ€˜Ä«m</t>
  </si>
  <si>
    <t>Banä «Suhaylä</t>
  </si>
  <si>
    <t>BanÄ« SuhaylÄ</t>
  </si>
  <si>
    <t>Bayt Á¸ëä nå «n</t>
  </si>
  <si>
    <t>Bayt á¸¨ÄnÅ«n</t>
  </si>
  <si>
    <t>Bayt Jä lä</t>
  </si>
  <si>
    <t>Bayt JÄlÄ</t>
  </si>
  <si>
    <t>Bayt Lä Hyä</t>
  </si>
  <si>
    <t>Bayt LÄhyÄ</t>
  </si>
  <si>
    <t>Belém</t>
  </si>
  <si>
    <t>Bethlehem</t>
  </si>
  <si>
    <t>Då «rä</t>
  </si>
  <si>
    <t>DÅ«rÄ</t>
  </si>
  <si>
    <t>Dayr Al Balaá¸ ©</t>
  </si>
  <si>
    <t>Dayr al Balaá¸©</t>
  </si>
  <si>
    <t>Leste de Jerusalém</t>
  </si>
  <si>
    <t>East Jerusalem</t>
  </si>
  <si>
    <t>Hebron</t>
  </si>
  <si>
    <t>Idhnä</t>
  </si>
  <si>
    <t>IdhnÄ</t>
  </si>
  <si>
    <t>Jabä lyä</t>
  </si>
  <si>
    <t>JabÄlyÄ</t>
  </si>
  <si>
    <t>Janä «n</t>
  </si>
  <si>
    <t>JanÄ«n</t>
  </si>
  <si>
    <t>Jericó</t>
  </si>
  <si>
    <t>Jericho</t>
  </si>
  <si>
    <t>Khä n yå «nis</t>
  </si>
  <si>
    <t>KhÄn YÅ«nis</t>
  </si>
  <si>
    <t>Nablus</t>
  </si>
  <si>
    <t>Cidade Velha</t>
  </si>
  <si>
    <t>Old City</t>
  </si>
  <si>
    <t>Qabä Å £ ä «yah</t>
  </si>
  <si>
    <t>QabÄÅ£Ä«yah</t>
  </si>
  <si>
    <t>Qalqä «lyah</t>
  </si>
  <si>
    <t>QalqÄ«lyah</t>
  </si>
  <si>
    <t>Rafaá¸ ©</t>
  </si>
  <si>
    <t>Rafaá¸©</t>
  </si>
  <si>
    <t>Ramallah</t>
  </si>
  <si>
    <t>Saâ € ˜ «r</t>
  </si>
  <si>
    <t>Saâ€˜Ä«r</t>
  </si>
  <si>
    <t>Yuta</t>
  </si>
  <si>
    <t>Aguadulce</t>
  </si>
  <si>
    <t>Panama</t>
  </si>
  <si>
    <t>CoclÃ©</t>
  </si>
  <si>
    <t>Alcalde Dãaz</t>
  </si>
  <si>
    <t>Alcalde DÃ­az</t>
  </si>
  <si>
    <t>PanamÃ¡</t>
  </si>
  <si>
    <t>Arraijãn</t>
  </si>
  <si>
    <t>ArraijÃ¡n</t>
  </si>
  <si>
    <t>Cativ.</t>
  </si>
  <si>
    <t>CativÃ¡</t>
  </si>
  <si>
    <t>Changuinola</t>
  </si>
  <si>
    <t>Bocas del Toro</t>
  </si>
  <si>
    <t>Chepo</t>
  </si>
  <si>
    <t>Chilibre</t>
  </si>
  <si>
    <t>Chitré ©</t>
  </si>
  <si>
    <t>ChitrÃ©</t>
  </si>
  <si>
    <t>Herrera</t>
  </si>
  <si>
    <t>David</t>
  </si>
  <si>
    <t>ChiriquÃ­</t>
  </si>
  <si>
    <t>La Cabima</t>
  </si>
  <si>
    <t>La chorrera</t>
  </si>
  <si>
    <t>La Chorrera</t>
  </si>
  <si>
    <t>La Concepciãn</t>
  </si>
  <si>
    <t>La ConcepciÃ³n</t>
  </si>
  <si>
    <t>Las Cumbres</t>
  </si>
  <si>
    <t>Nuevo Arraijãn</t>
  </si>
  <si>
    <t>Nuevo ArraijÃ¡n</t>
  </si>
  <si>
    <t>Pacora</t>
  </si>
  <si>
    <t>Panamá</t>
  </si>
  <si>
    <t>Pedregal</t>
  </si>
  <si>
    <t>Puerto Armuelles</t>
  </si>
  <si>
    <t>San Miguelito</t>
  </si>
  <si>
    <t>Santiago de Veraguas</t>
  </si>
  <si>
    <t>Veraguas</t>
  </si>
  <si>
    <t>Tocumen</t>
  </si>
  <si>
    <t>Vista Alegre</t>
  </si>
  <si>
    <t>Arawa</t>
  </si>
  <si>
    <t>Papua New Guinea</t>
  </si>
  <si>
    <t>Bougainville</t>
  </si>
  <si>
    <t>Bulolo</t>
  </si>
  <si>
    <t>Morobe</t>
  </si>
  <si>
    <t>Daru</t>
  </si>
  <si>
    <t>Western Province</t>
  </si>
  <si>
    <t>Goroka</t>
  </si>
  <si>
    <t>Eastern Highlands</t>
  </si>
  <si>
    <t>Kimbe</t>
  </si>
  <si>
    <t>West New Britain</t>
  </si>
  <si>
    <t>Kokopo</t>
  </si>
  <si>
    <t>East New Britain</t>
  </si>
  <si>
    <t>Lae</t>
  </si>
  <si>
    <t>Madang</t>
  </si>
  <si>
    <t>Mendi</t>
  </si>
  <si>
    <t>Southern Highlands</t>
  </si>
  <si>
    <t>Monte Hagen</t>
  </si>
  <si>
    <t>Mount Hagen</t>
  </si>
  <si>
    <t>Western Highlands</t>
  </si>
  <si>
    <t>Popondetta</t>
  </si>
  <si>
    <t>Northern Province</t>
  </si>
  <si>
    <t>Port Moresby</t>
  </si>
  <si>
    <t>National Capital</t>
  </si>
  <si>
    <t>Wewak</t>
  </si>
  <si>
    <t>East Sepik</t>
  </si>
  <si>
    <t>ASUNCIãn</t>
  </si>
  <si>
    <t>AsunciÃ³n</t>
  </si>
  <si>
    <t>Paraguay</t>
  </si>
  <si>
    <t>Caacup ©</t>
  </si>
  <si>
    <t>CaacupÃ©</t>
  </si>
  <si>
    <t>Cordillera</t>
  </si>
  <si>
    <t>Caaazú</t>
  </si>
  <si>
    <t>CaaguazÃº</t>
  </si>
  <si>
    <t>Caazapá</t>
  </si>
  <si>
    <t>CaazapÃ¡</t>
  </si>
  <si>
    <t>CAIATÂNE</t>
  </si>
  <si>
    <t>CapiatÃ¡</t>
  </si>
  <si>
    <t>Ciudad del Este</t>
  </si>
  <si>
    <t>Alto ParanÃ¡</t>
  </si>
  <si>
    <t>Colonia Mariano Roque Alonso</t>
  </si>
  <si>
    <t>Coronel Oviedo</t>
  </si>
  <si>
    <t>Ecarnaciãn</t>
  </si>
  <si>
    <t>EncarnaciÃ³n</t>
  </si>
  <si>
    <t>ItapÃºa</t>
  </si>
  <si>
    <t>Fernando de la Mora</t>
  </si>
  <si>
    <t>É</t>
  </si>
  <si>
    <t>ItÃ¡</t>
  </si>
  <si>
    <t>Itaugu.</t>
  </si>
  <si>
    <t>ItauguÃ¡</t>
  </si>
  <si>
    <t>Lambaré</t>
  </si>
  <si>
    <t>LambarÃ©</t>
  </si>
  <si>
    <t>Limpio</t>
  </si>
  <si>
    <t>Nemby</t>
  </si>
  <si>
    <t>Pedro Juan Caballero</t>
  </si>
  <si>
    <t>Amambay</t>
  </si>
  <si>
    <t>Ã‘eembucÃº</t>
  </si>
  <si>
    <t>Presidente Franco</t>
  </si>
  <si>
    <t>San Juan Bautista</t>
  </si>
  <si>
    <t>Villa Elisa</t>
  </si>
  <si>
    <t>Villa Hayes</t>
  </si>
  <si>
    <t>Presidente Hayes</t>
  </si>
  <si>
    <t>GuairÃ¡</t>
  </si>
  <si>
    <t>ABANCAY</t>
  </si>
  <si>
    <t>Abancay</t>
  </si>
  <si>
    <t>Peru</t>
  </si>
  <si>
    <t>ApurÃ­mac</t>
  </si>
  <si>
    <t>Andahuaylas</t>
  </si>
  <si>
    <t>Arequipa</t>
  </si>
  <si>
    <t>Ayacucho</t>
  </si>
  <si>
    <t>Ayaviri</t>
  </si>
  <si>
    <t>Puno</t>
  </si>
  <si>
    <t>Bagua Grande</t>
  </si>
  <si>
    <t>Barranca</t>
  </si>
  <si>
    <t>Lima region</t>
  </si>
  <si>
    <t>Bellavista</t>
  </si>
  <si>
    <t>Cajamarca</t>
  </si>
  <si>
    <t>Callao</t>
  </si>
  <si>
    <t>Camaná</t>
  </si>
  <si>
    <t>CamanÃ¡</t>
  </si>
  <si>
    <t>Catacaos</t>
  </si>
  <si>
    <t>Piura</t>
  </si>
  <si>
    <t>Cerro de Pasco</t>
  </si>
  <si>
    <t>Pasco</t>
  </si>
  <si>
    <t>Chachapoyas</t>
  </si>
  <si>
    <t>Chancay</t>
  </si>
  <si>
    <t>Chaupimarca</t>
  </si>
  <si>
    <t>Chepé n</t>
  </si>
  <si>
    <t>ChepÃ©n</t>
  </si>
  <si>
    <t>Chiclayo</t>
  </si>
  <si>
    <t>Lambayeque</t>
  </si>
  <si>
    <t>Chimbote</t>
  </si>
  <si>
    <t>Ancash</t>
  </si>
  <si>
    <t>Chincha Alta</t>
  </si>
  <si>
    <t>Ica</t>
  </si>
  <si>
    <t>Chocope</t>
  </si>
  <si>
    <t>Chongoyape</t>
  </si>
  <si>
    <t>Chosica</t>
  </si>
  <si>
    <t>Chulucanas</t>
  </si>
  <si>
    <t>Coishco</t>
  </si>
  <si>
    <t>Cusco</t>
  </si>
  <si>
    <t>Ferrei ± AFE</t>
  </si>
  <si>
    <t>FerreÃ±afe</t>
  </si>
  <si>
    <t>Huãruco</t>
  </si>
  <si>
    <t>HuÃ¡nuco</t>
  </si>
  <si>
    <t>Huanuco</t>
  </si>
  <si>
    <t>Huacho</t>
  </si>
  <si>
    <t>Hualmay</t>
  </si>
  <si>
    <t>Huamachuco</t>
  </si>
  <si>
    <t>Huancavelica</t>
  </si>
  <si>
    <t>Huancayo</t>
  </si>
  <si>
    <t>Huanta</t>
  </si>
  <si>
    <t>Huaral</t>
  </si>
  <si>
    <t>Huaraz</t>
  </si>
  <si>
    <t>Huarmey</t>
  </si>
  <si>
    <t>Huaura</t>
  </si>
  <si>
    <t>ICA</t>
  </si>
  <si>
    <t>Ilave</t>
  </si>
  <si>
    <t>ILO</t>
  </si>
  <si>
    <t>Ilo</t>
  </si>
  <si>
    <t>Moquegua</t>
  </si>
  <si>
    <t>Imperial</t>
  </si>
  <si>
    <t>Iquitos</t>
  </si>
  <si>
    <t>Jaé n</t>
  </si>
  <si>
    <t>JaÃ©n</t>
  </si>
  <si>
    <t>Jauja</t>
  </si>
  <si>
    <t>Juanjuã</t>
  </si>
  <si>
    <t>JuanjuÃ­</t>
  </si>
  <si>
    <t>Juliaca</t>
  </si>
  <si>
    <t>La Breita</t>
  </si>
  <si>
    <t>La Oroya</t>
  </si>
  <si>
    <t>La Peca</t>
  </si>
  <si>
    <t>La Rinconada</t>
  </si>
  <si>
    <t>Laredo</t>
  </si>
  <si>
    <t>Lima</t>
  </si>
  <si>
    <t>Lima Province</t>
  </si>
  <si>
    <t>Mala</t>
  </si>
  <si>
    <t>Marcavelica</t>
  </si>
  <si>
    <t>Minas de Marcona</t>
  </si>
  <si>
    <t>Moche</t>
  </si>
  <si>
    <t>Mollendo</t>
  </si>
  <si>
    <t>Monsefin</t>
  </si>
  <si>
    <t>MonsefÃº</t>
  </si>
  <si>
    <t>Maquegua</t>
  </si>
  <si>
    <t>Moyobamba</t>
  </si>
  <si>
    <t>Nazca</t>
  </si>
  <si>
    <t>Nuevo Imperial</t>
  </si>
  <si>
    <t>Pacasmayo</t>
  </si>
  <si>
    <t>Paijãn</t>
  </si>
  <si>
    <t>PaijÃ¡n</t>
  </si>
  <si>
    <t>Paita</t>
  </si>
  <si>
    <t>Paramenga</t>
  </si>
  <si>
    <t>Paramonga</t>
  </si>
  <si>
    <t>Picsi</t>
  </si>
  <si>
    <t>Pimentel</t>
  </si>
  <si>
    <t>Pisco</t>
  </si>
  <si>
    <t>Pucallpa</t>
  </si>
  <si>
    <t>Ucayali</t>
  </si>
  <si>
    <t>Puerto Maldonado</t>
  </si>
  <si>
    <t>Madre de Dios</t>
  </si>
  <si>
    <t>QuerecoTillo</t>
  </si>
  <si>
    <t>Querecotillo</t>
  </si>
  <si>
    <t>Rioja</t>
  </si>
  <si>
    <t>Sa ã ± a</t>
  </si>
  <si>
    <t>SaÃ±a</t>
  </si>
  <si>
    <t>San Clemente</t>
  </si>
  <si>
    <t>San Pedro de Lloc</t>
  </si>
  <si>
    <t>San Vicente de Ca ± Ete</t>
  </si>
  <si>
    <t>San Vicente de CaÃ±ete</t>
  </si>
  <si>
    <t>Santiago de Cao</t>
  </si>
  <si>
    <t>Santiago de Surco</t>
  </si>
  <si>
    <t>Satipo</t>
  </si>
  <si>
    <t>Sechura</t>
  </si>
  <si>
    <t>Sicuani</t>
  </si>
  <si>
    <t>Sullana</t>
  </si>
  <si>
    <t>Tacna</t>
  </si>
  <si>
    <t>Talara</t>
  </si>
  <si>
    <t>Tambo Grande</t>
  </si>
  <si>
    <t>Tambopata</t>
  </si>
  <si>
    <t>Tarma</t>
  </si>
  <si>
    <t>Tingo Marãa</t>
  </si>
  <si>
    <t>Tingo MarÃ­a</t>
  </si>
  <si>
    <t>Tocache</t>
  </si>
  <si>
    <t>Trujillo</t>
  </si>
  <si>
    <t>Tumbes</t>
  </si>
  <si>
    <t>Uchiza</t>
  </si>
  <si>
    <t>Virão</t>
  </si>
  <si>
    <t>VirÃº</t>
  </si>
  <si>
    <t>Yanacancha</t>
  </si>
  <si>
    <t>Yunguyo</t>
  </si>
  <si>
    <t>Yurimaguas</t>
  </si>
  <si>
    <t>Zarumilla</t>
  </si>
  <si>
    <t>Abucay</t>
  </si>
  <si>
    <t>Philippines</t>
  </si>
  <si>
    <t>Central Luzon</t>
  </si>
  <si>
    <t>Abuyog</t>
  </si>
  <si>
    <t>Eastern Visayas</t>
  </si>
  <si>
    <t>Agoo</t>
  </si>
  <si>
    <t>Ilocos</t>
  </si>
  <si>
    <t>Um rótulo</t>
  </si>
  <si>
    <t>Alabel</t>
  </si>
  <si>
    <t>Soccsksargen</t>
  </si>
  <si>
    <t>Alaminos</t>
  </si>
  <si>
    <t>Calabarzon</t>
  </si>
  <si>
    <t>Aliaga</t>
  </si>
  <si>
    <t>Alicia</t>
  </si>
  <si>
    <t>Cagayan Valley</t>
  </si>
  <si>
    <t>Amadeo</t>
  </si>
  <si>
    <t>Angat</t>
  </si>
  <si>
    <t>Cidade de Angeles</t>
  </si>
  <si>
    <t>Angeles City</t>
  </si>
  <si>
    <t>Angono</t>
  </si>
  <si>
    <t>Antipolo</t>
  </si>
  <si>
    <t>Apalit</t>
  </si>
  <si>
    <t>Aparri</t>
  </si>
  <si>
    <t>APAS</t>
  </si>
  <si>
    <t>Apas</t>
  </si>
  <si>
    <t>Central Visayas</t>
  </si>
  <si>
    <t>Arayat</t>
  </si>
  <si>
    <t>Aringay</t>
  </si>
  <si>
    <t>Ásia</t>
  </si>
  <si>
    <t>Asia</t>
  </si>
  <si>
    <t>Western Visayas</t>
  </si>
  <si>
    <t>Atimonan</t>
  </si>
  <si>
    <t>aurora</t>
  </si>
  <si>
    <t>Aurora</t>
  </si>
  <si>
    <t>Banha ± ga</t>
  </si>
  <si>
    <t>BaÃ±ga</t>
  </si>
  <si>
    <t>Baao</t>
  </si>
  <si>
    <t>Bicol</t>
  </si>
  <si>
    <t>Babo-Pangulo</t>
  </si>
  <si>
    <t>Cidade de Bacolod</t>
  </si>
  <si>
    <t>Bacolod City</t>
  </si>
  <si>
    <t>Bacoor</t>
  </si>
  <si>
    <t>Baggabag b</t>
  </si>
  <si>
    <t>Baggabag B</t>
  </si>
  <si>
    <t>Cidade de Bago</t>
  </si>
  <si>
    <t>Bago City</t>
  </si>
  <si>
    <t>Bagong Pagasa</t>
  </si>
  <si>
    <t>Baguio</t>
  </si>
  <si>
    <t>Bah-bah</t>
  </si>
  <si>
    <t>Bah-Bah</t>
  </si>
  <si>
    <t>Caraga</t>
  </si>
  <si>
    <t>Bais</t>
  </si>
  <si>
    <t>Balagtas</t>
  </si>
  <si>
    <t>Balamban</t>
  </si>
  <si>
    <t>Balanga</t>
  </si>
  <si>
    <t>Balayan</t>
  </si>
  <si>
    <t>Baliuag</t>
  </si>
  <si>
    <t>Bambang</t>
  </si>
  <si>
    <t>BANAYBANAY</t>
  </si>
  <si>
    <t>Banaybanay</t>
  </si>
  <si>
    <t>Bansalan</t>
  </si>
  <si>
    <t>Davao</t>
  </si>
  <si>
    <t>Bantayan</t>
  </si>
  <si>
    <t>Baras</t>
  </si>
  <si>
    <t>Cidade de Batac</t>
  </si>
  <si>
    <t>Batac City</t>
  </si>
  <si>
    <t>Batangas</t>
  </si>
  <si>
    <t>Bato</t>
  </si>
  <si>
    <t>Bauan</t>
  </si>
  <si>
    <t>Bauang</t>
  </si>
  <si>
    <t>Baía</t>
  </si>
  <si>
    <t>Bay</t>
  </si>
  <si>
    <t>Bayambang</t>
  </si>
  <si>
    <t>Bayawan</t>
  </si>
  <si>
    <t>Baybay</t>
  </si>
  <si>
    <t>Bayombong</t>
  </si>
  <si>
    <t>Bayugan</t>
  </si>
  <si>
    <t>Bignay Uno</t>
  </si>
  <si>
    <t>Binalbagan</t>
  </si>
  <si>
    <t>Binangonan</t>
  </si>
  <si>
    <t>Binmaley</t>
  </si>
  <si>
    <t>Binonga</t>
  </si>
  <si>
    <t>Bislig</t>
  </si>
  <si>
    <t>Bocaue</t>
  </si>
  <si>
    <t>Bongabon</t>
  </si>
  <si>
    <t>Bongao</t>
  </si>
  <si>
    <t>Autonomous Region in Muslim Mindanao</t>
  </si>
  <si>
    <t>Borongan</t>
  </si>
  <si>
    <t>BOROON</t>
  </si>
  <si>
    <t>Boroon</t>
  </si>
  <si>
    <t>Northern Mindanao</t>
  </si>
  <si>
    <t>Botolan</t>
  </si>
  <si>
    <t>Budta</t>
  </si>
  <si>
    <t>Bugo</t>
  </si>
  <si>
    <t>Buhi</t>
  </si>
  <si>
    <t>Bulacan</t>
  </si>
  <si>
    <t>Bulan</t>
  </si>
  <si>
    <t>Bulaon</t>
  </si>
  <si>
    <t>Buluan</t>
  </si>
  <si>
    <t>Bunawan</t>
  </si>
  <si>
    <t>Burgos</t>
  </si>
  <si>
    <t>Bustos</t>
  </si>
  <si>
    <t>Butuan</t>
  </si>
  <si>
    <t>Cabadbaran</t>
  </si>
  <si>
    <t>Cabagan</t>
  </si>
  <si>
    <t>Cidade de Cabanatuan</t>
  </si>
  <si>
    <t>Cabanatuan City</t>
  </si>
  <si>
    <t>Cabayangan</t>
  </si>
  <si>
    <t>Cabiao</t>
  </si>
  <si>
    <t>Cádiz</t>
  </si>
  <si>
    <t>Cadiz</t>
  </si>
  <si>
    <t>Cagayan de Oro</t>
  </si>
  <si>
    <t>Cainta</t>
  </si>
  <si>
    <t>Calabanga</t>
  </si>
  <si>
    <t>Calaca</t>
  </si>
  <si>
    <t>Calamba</t>
  </si>
  <si>
    <t>CALAPAN</t>
  </si>
  <si>
    <t>Calapan</t>
  </si>
  <si>
    <t>Mimaropa</t>
  </si>
  <si>
    <t>Calasiao</t>
  </si>
  <si>
    <t>Calatagan</t>
  </si>
  <si>
    <t>Calauag</t>
  </si>
  <si>
    <t>Calauan</t>
  </si>
  <si>
    <t>Cidade de Calbayog</t>
  </si>
  <si>
    <t>Calbayog City</t>
  </si>
  <si>
    <t>Calumpang</t>
  </si>
  <si>
    <t>Metro Manila</t>
  </si>
  <si>
    <t>Calumpit</t>
  </si>
  <si>
    <t>Camiling</t>
  </si>
  <si>
    <t>Candaba</t>
  </si>
  <si>
    <t>Canlaon</t>
  </si>
  <si>
    <t>Capas</t>
  </si>
  <si>
    <t>Carcar</t>
  </si>
  <si>
    <t>Cardona</t>
  </si>
  <si>
    <t>Carigara</t>
  </si>
  <si>
    <t>Carmona</t>
  </si>
  <si>
    <t>Castillejos</t>
  </si>
  <si>
    <t>Catanauan</t>
  </si>
  <si>
    <t>Catarman</t>
  </si>
  <si>
    <t>Catbalogan</t>
  </si>
  <si>
    <t>Cidade de Cavite</t>
  </si>
  <si>
    <t>Cavite City</t>
  </si>
  <si>
    <t>cidade de Cebu</t>
  </si>
  <si>
    <t>Cebu City</t>
  </si>
  <si>
    <t>Cidade de Isabela</t>
  </si>
  <si>
    <t>City of Isabela</t>
  </si>
  <si>
    <t>Cogan</t>
  </si>
  <si>
    <t>Concepcion</t>
  </si>
  <si>
    <t>Concepcion Ibaba</t>
  </si>
  <si>
    <t>Consolacion</t>
  </si>
  <si>
    <t>Cordova</t>
  </si>
  <si>
    <t>Cotabato</t>
  </si>
  <si>
    <t>Daet</t>
  </si>
  <si>
    <t>Danao</t>
  </si>
  <si>
    <t>Dapitan</t>
  </si>
  <si>
    <t>Zamboanga Peninsula</t>
  </si>
  <si>
    <t>Dasmariã ± AS</t>
  </si>
  <si>
    <t>DasmariÃ±as</t>
  </si>
  <si>
    <t>Del Pilar</t>
  </si>
  <si>
    <t>Diadi</t>
  </si>
  <si>
    <t>Digos</t>
  </si>
  <si>
    <t>Dinalupihan</t>
  </si>
  <si>
    <t>Dipolog</t>
  </si>
  <si>
    <t>Dologon</t>
  </si>
  <si>
    <t>Domalanoan</t>
  </si>
  <si>
    <t>Don Carlos</t>
  </si>
  <si>
    <t>Dumaguete</t>
  </si>
  <si>
    <t>Escalante</t>
  </si>
  <si>
    <t>Gapan</t>
  </si>
  <si>
    <t>General Mamerto Natividad</t>
  </si>
  <si>
    <t>General Santos</t>
  </si>
  <si>
    <t>General Tinio</t>
  </si>
  <si>
    <t>Trias gerais</t>
  </si>
  <si>
    <t>General Trias</t>
  </si>
  <si>
    <t>Gerona</t>
  </si>
  <si>
    <t>Glan</t>
  </si>
  <si>
    <t>Guiguinto</t>
  </si>
  <si>
    <t>Guihulã gan</t>
  </si>
  <si>
    <t>GuihulÃ±gan</t>
  </si>
  <si>
    <t>Guimba</t>
  </si>
  <si>
    <t>Guiset East</t>
  </si>
  <si>
    <t>Gumaca</t>
  </si>
  <si>
    <t>Guyong</t>
  </si>
  <si>
    <t>Hagonoy</t>
  </si>
  <si>
    <t>Hermosa</t>
  </si>
  <si>
    <t>Himamaylan</t>
  </si>
  <si>
    <t>Hinigaran</t>
  </si>
  <si>
    <t>IBA</t>
  </si>
  <si>
    <t>Iba</t>
  </si>
  <si>
    <t>ILAGAN</t>
  </si>
  <si>
    <t>Ilagan</t>
  </si>
  <si>
    <t>Cidade de Iligan</t>
  </si>
  <si>
    <t>Iligan City</t>
  </si>
  <si>
    <t>Iloilo</t>
  </si>
  <si>
    <t>Imus</t>
  </si>
  <si>
    <t>Indang</t>
  </si>
  <si>
    <t>Ipil</t>
  </si>
  <si>
    <t>Cidade de Iriga</t>
  </si>
  <si>
    <t>Iriga City</t>
  </si>
  <si>
    <t>Irosina</t>
  </si>
  <si>
    <t>Irosin</t>
  </si>
  <si>
    <t>Isabela</t>
  </si>
  <si>
    <t>Isulan</t>
  </si>
  <si>
    <t>Itogon</t>
  </si>
  <si>
    <t>Jaen</t>
  </si>
  <si>
    <t>Jagna</t>
  </si>
  <si>
    <t>Jalajala</t>
  </si>
  <si>
    <t>Jasaan</t>
  </si>
  <si>
    <t>JOLO</t>
  </si>
  <si>
    <t>Jolo</t>
  </si>
  <si>
    <t>Jose Paã ± Ganiban</t>
  </si>
  <si>
    <t>Jose PaÃ±ganiban</t>
  </si>
  <si>
    <t>Kabacan</t>
  </si>
  <si>
    <t>Kabankalan</t>
  </si>
  <si>
    <t>Kalibo (Poblacion)</t>
  </si>
  <si>
    <t>Kalibo (poblacion)</t>
  </si>
  <si>
    <t>Kawit</t>
  </si>
  <si>
    <t>KIDAPAWAN</t>
  </si>
  <si>
    <t>Kidapawan</t>
  </si>
  <si>
    <t>Koronadal</t>
  </si>
  <si>
    <t>La Carlota</t>
  </si>
  <si>
    <t>La Castellana</t>
  </si>
  <si>
    <t>La Trinidad</t>
  </si>
  <si>
    <t>LABO</t>
  </si>
  <si>
    <t>Labo</t>
  </si>
  <si>
    <t>LaGuilayan</t>
  </si>
  <si>
    <t>Laguilayan</t>
  </si>
  <si>
    <t>Lala</t>
  </si>
  <si>
    <t>Laoag</t>
  </si>
  <si>
    <t>Laoang</t>
  </si>
  <si>
    <t>Cidade de Lapu-Lapu</t>
  </si>
  <si>
    <t>Lapu-Lapu City</t>
  </si>
  <si>
    <t>Laur</t>
  </si>
  <si>
    <t>Legaspi</t>
  </si>
  <si>
    <t>Libertad</t>
  </si>
  <si>
    <t>Libon</t>
  </si>
  <si>
    <t>Lilio</t>
  </si>
  <si>
    <t>Liloan</t>
  </si>
  <si>
    <t>Lingayen</t>
  </si>
  <si>
    <t>Lipa City</t>
  </si>
  <si>
    <t>Loboc</t>
  </si>
  <si>
    <t>Loma de Gato</t>
  </si>
  <si>
    <t>Lopez</t>
  </si>
  <si>
    <t>Los Banha ± OS</t>
  </si>
  <si>
    <t>Los BaÃ±os</t>
  </si>
  <si>
    <t>Lucban</t>
  </si>
  <si>
    <t>Lucena</t>
  </si>
  <si>
    <t>Lumbang</t>
  </si>
  <si>
    <t>Lupon</t>
  </si>
  <si>
    <t>Maao</t>
  </si>
  <si>
    <t>Maasin</t>
  </si>
  <si>
    <t>Cidade de Mabalacat</t>
  </si>
  <si>
    <t>Mabalacat City</t>
  </si>
  <si>
    <t>Magalang</t>
  </si>
  <si>
    <t>Maganoy</t>
  </si>
  <si>
    <t>Magarao</t>
  </si>
  <si>
    <t>Magsaysay</t>
  </si>
  <si>
    <t>Mahayag</t>
  </si>
  <si>
    <t>Cidade de Makati</t>
  </si>
  <si>
    <t>Makati City</t>
  </si>
  <si>
    <t>Malabanban Norte</t>
  </si>
  <si>
    <t>Malanday</t>
  </si>
  <si>
    <t>Malapatan</t>
  </si>
  <si>
    <t>Malaiobalay</t>
  </si>
  <si>
    <t>Malaybalay</t>
  </si>
  <si>
    <t>Malilipot</t>
  </si>
  <si>
    <t>Malingao</t>
  </si>
  <si>
    <t>Malita</t>
  </si>
  <si>
    <t>Malolos</t>
  </si>
  <si>
    <t>Pistola malu</t>
  </si>
  <si>
    <t>MaluÃ±gun</t>
  </si>
  <si>
    <t>Maluso</t>
  </si>
  <si>
    <t>Malvar</t>
  </si>
  <si>
    <t>Mamátido</t>
  </si>
  <si>
    <t>Mamatid</t>
  </si>
  <si>
    <t>Mamburao</t>
  </si>
  <si>
    <t>Manaoag</t>
  </si>
  <si>
    <t>Manapla</t>
  </si>
  <si>
    <t>Manay</t>
  </si>
  <si>
    <t>Cidade de Mandaluyong</t>
  </si>
  <si>
    <t>Mandaluyong City</t>
  </si>
  <si>
    <t>Cidade de Mandaue</t>
  </si>
  <si>
    <t>Mandaue City</t>
  </si>
  <si>
    <t>Mangaldan</t>
  </si>
  <si>
    <t>Manibaug Pasig</t>
  </si>
  <si>
    <t>Manila</t>
  </si>
  <si>
    <t>Mankayan</t>
  </si>
  <si>
    <t>Manolo Fortich</t>
  </si>
  <si>
    <t>Mansalay</t>
  </si>
  <si>
    <t>Mansilingan</t>
  </si>
  <si>
    <t>Mantampay</t>
  </si>
  <si>
    <t>Maragondon</t>
  </si>
  <si>
    <t>Maramag</t>
  </si>
  <si>
    <t>Cidade de Marawi</t>
  </si>
  <si>
    <t>Marawi City</t>
  </si>
  <si>
    <t>Mariano</t>
  </si>
  <si>
    <t>Marilao</t>
  </si>
  <si>
    <t>Mariveles</t>
  </si>
  <si>
    <t>Masantol</t>
  </si>
  <si>
    <t>Masbate</t>
  </si>
  <si>
    <t>Masinloc</t>
  </si>
  <si>
    <t>Mati</t>
  </si>
  <si>
    <t>Mauban</t>
  </si>
  <si>
    <t>Mendez-NUI ± ez</t>
  </si>
  <si>
    <t>Mendez-NuÃ±ez</t>
  </si>
  <si>
    <t>México</t>
  </si>
  <si>
    <t>Meycauayan</t>
  </si>
  <si>
    <t>MidSayap</t>
  </si>
  <si>
    <t>Midsayap</t>
  </si>
  <si>
    <t>Minglanilla</t>
  </si>
  <si>
    <t>Molave</t>
  </si>
  <si>
    <t>Monkayo</t>
  </si>
  <si>
    <t>Morong</t>
  </si>
  <si>
    <t>Mu ± oz</t>
  </si>
  <si>
    <t>MuÃ±oz</t>
  </si>
  <si>
    <t>Murcia</t>
  </si>
  <si>
    <t>Muricay</t>
  </si>
  <si>
    <t>Nabua</t>
  </si>
  <si>
    <t>Nabunturan</t>
  </si>
  <si>
    <t>Naga</t>
  </si>
  <si>
    <t>Nagcarlan</t>
  </si>
  <si>
    <t>Naic</t>
  </si>
  <si>
    <t>Narra</t>
  </si>
  <si>
    <t>Nasugbu</t>
  </si>
  <si>
    <t>Nova Corella</t>
  </si>
  <si>
    <t>New Corella</t>
  </si>
  <si>
    <t>Norzagaray</t>
  </si>
  <si>
    <t>Noveleta</t>
  </si>
  <si>
    <t>Obando</t>
  </si>
  <si>
    <t>Olongapo</t>
  </si>
  <si>
    <t>Orani</t>
  </si>
  <si>
    <t>Órion</t>
  </si>
  <si>
    <t>Orion</t>
  </si>
  <si>
    <t>Ormoc</t>
  </si>
  <si>
    <t>Oroquieta</t>
  </si>
  <si>
    <t>Cidade de Ozamiz</t>
  </si>
  <si>
    <t>Ozamiz City</t>
  </si>
  <si>
    <t>Pacol</t>
  </si>
  <si>
    <t>Paete</t>
  </si>
  <si>
    <t>Pagadian</t>
  </si>
  <si>
    <t>Pagalui ± gan</t>
  </si>
  <si>
    <t>PagaluÃ±gan</t>
  </si>
  <si>
    <t>Pagbilao</t>
  </si>
  <si>
    <t>Cidade de Palayan</t>
  </si>
  <si>
    <t>Palayan City</t>
  </si>
  <si>
    <t>Palo</t>
  </si>
  <si>
    <t>Panabo</t>
  </si>
  <si>
    <t>Panalanoy</t>
  </si>
  <si>
    <t>Pandacaqui</t>
  </si>
  <si>
    <t>Pandan</t>
  </si>
  <si>
    <t>Pandi</t>
  </si>
  <si>
    <t>Pangil</t>
  </si>
  <si>
    <t>Paniqui</t>
  </si>
  <si>
    <t>Pantubig</t>
  </si>
  <si>
    <t>Paombong</t>
  </si>
  <si>
    <t>Mamão</t>
  </si>
  <si>
    <t>Papaya</t>
  </si>
  <si>
    <t>Parang</t>
  </si>
  <si>
    <t>Pasig City</t>
  </si>
  <si>
    <t>Passi</t>
  </si>
  <si>
    <t>Patuto</t>
  </si>
  <si>
    <t>Peã ± aranda</t>
  </si>
  <si>
    <t>PeÃ±aranda</t>
  </si>
  <si>
    <t>Pila</t>
  </si>
  <si>
    <t>Pililla</t>
  </si>
  <si>
    <t>Pinamalayan</t>
  </si>
  <si>
    <t>Pinamungahan</t>
  </si>
  <si>
    <t>Pio</t>
  </si>
  <si>
    <t>Plaridel</t>
  </si>
  <si>
    <t>Polangui</t>
  </si>
  <si>
    <t>Polomolok</t>
  </si>
  <si>
    <t>Porac</t>
  </si>
  <si>
    <t>Área portuária</t>
  </si>
  <si>
    <t>Port Area</t>
  </si>
  <si>
    <t>Puerto Princesa</t>
  </si>
  <si>
    <t>Pulilan</t>
  </si>
  <si>
    <t>Pulong Santa Cruz</t>
  </si>
  <si>
    <t>Pulupandan</t>
  </si>
  <si>
    <t>Quezon</t>
  </si>
  <si>
    <t>Cidade de Quezon</t>
  </si>
  <si>
    <t>Quezon City</t>
  </si>
  <si>
    <t>Quiapo</t>
  </si>
  <si>
    <t>Ramon</t>
  </si>
  <si>
    <t>Ramos</t>
  </si>
  <si>
    <t>Recodo</t>
  </si>
  <si>
    <t>Rizal</t>
  </si>
  <si>
    <t>Rodriguez</t>
  </si>
  <si>
    <t>Romblon</t>
  </si>
  <si>
    <t>Roxas</t>
  </si>
  <si>
    <t>Cidade de Roxas</t>
  </si>
  <si>
    <t>Roxas City</t>
  </si>
  <si>
    <t>Sablayan</t>
  </si>
  <si>
    <t>Sagay</t>
  </si>
  <si>
    <t>Samal</t>
  </si>
  <si>
    <t>Sampaloc</t>
  </si>
  <si>
    <t>San Ildefonso</t>
  </si>
  <si>
    <t>San Jose</t>
  </si>
  <si>
    <t>San Jose del Monte</t>
  </si>
  <si>
    <t>San Leonardo</t>
  </si>
  <si>
    <t>San Marcelino</t>
  </si>
  <si>
    <t>San Mariano</t>
  </si>
  <si>
    <t>San Mateo</t>
  </si>
  <si>
    <t>San Narciso</t>
  </si>
  <si>
    <t>San Nicolas</t>
  </si>
  <si>
    <t>San Pascual</t>
  </si>
  <si>
    <t>San Simon</t>
  </si>
  <si>
    <t>Santa Catalina</t>
  </si>
  <si>
    <t>Santo Tomas</t>
  </si>
  <si>
    <t>Santol</t>
  </si>
  <si>
    <t>Saravia</t>
  </si>
  <si>
    <t>Sariaya</t>
  </si>
  <si>
    <t>Sebu</t>
  </si>
  <si>
    <t>Sexmoan</t>
  </si>
  <si>
    <t>Sibulan</t>
  </si>
  <si>
    <t>Silang</t>
  </si>
  <si>
    <t>Sipalay</t>
  </si>
  <si>
    <t>Sitangkai</t>
  </si>
  <si>
    <t>Solana</t>
  </si>
  <si>
    <t>Solano</t>
  </si>
  <si>
    <t>Sorsogon</t>
  </si>
  <si>
    <t>Suay</t>
  </si>
  <si>
    <t>Subic</t>
  </si>
  <si>
    <t>Surallah</t>
  </si>
  <si>
    <t>Surigao</t>
  </si>
  <si>
    <t>Taal</t>
  </si>
  <si>
    <t>Tabaco</t>
  </si>
  <si>
    <t>Tabuk</t>
  </si>
  <si>
    <t>Tacurong</t>
  </si>
  <si>
    <t>Tagas</t>
  </si>
  <si>
    <t>Cidade de Tagbilaran</t>
  </si>
  <si>
    <t>Tagbilaran City</t>
  </si>
  <si>
    <t>Tagoloan</t>
  </si>
  <si>
    <t>Tagudin</t>
  </si>
  <si>
    <t>Taguig</t>
  </si>
  <si>
    <t>Tagum</t>
  </si>
  <si>
    <t>Talacogon</t>
  </si>
  <si>
    <t>Talavera</t>
  </si>
  <si>
    <t>Talisay</t>
  </si>
  <si>
    <t>Taloc</t>
  </si>
  <si>
    <t>Tanauan</t>
  </si>
  <si>
    <t>Tanay</t>
  </si>
  <si>
    <t>Tandag</t>
  </si>
  <si>
    <t>Tangub</t>
  </si>
  <si>
    <t>Tanjay</t>
  </si>
  <si>
    <t>Tanza</t>
  </si>
  <si>
    <t>Tarlac City</t>
  </si>
  <si>
    <t>Tayabas</t>
  </si>
  <si>
    <t>Taytay</t>
  </si>
  <si>
    <t>Telabastagan</t>
  </si>
  <si>
    <t>Teresa</t>
  </si>
  <si>
    <t>Tiwi</t>
  </si>
  <si>
    <t>Cidade de Tuguegarao</t>
  </si>
  <si>
    <t>Tuguegarao City</t>
  </si>
  <si>
    <t>Tupi</t>
  </si>
  <si>
    <t>Ualog</t>
  </si>
  <si>
    <t>Urdaneta</t>
  </si>
  <si>
    <t>Valencia</t>
  </si>
  <si>
    <t>Veruela</t>
  </si>
  <si>
    <t>Victorias</t>
  </si>
  <si>
    <t>Vigan</t>
  </si>
  <si>
    <t>Virac</t>
  </si>
  <si>
    <t>Wao</t>
  </si>
  <si>
    <t>Zamboanga</t>
  </si>
  <si>
    <t>Adamstown</t>
  </si>
  <si>
    <t>Pitcairn</t>
  </si>
  <si>
    <t>Å »agaå„</t>
  </si>
  <si>
    <t>Å»agaÅ„</t>
  </si>
  <si>
    <t>Poland</t>
  </si>
  <si>
    <t>Lubusz</t>
  </si>
  <si>
    <t>Å »ary</t>
  </si>
  <si>
    <t>Å»ary</t>
  </si>
  <si>
    <t>Å »Oliborz</t>
  </si>
  <si>
    <t>Å»oliborz</t>
  </si>
  <si>
    <t>Masovian Voivodeship</t>
  </si>
  <si>
    <t>Å »ory</t>
  </si>
  <si>
    <t>Å»ory</t>
  </si>
  <si>
    <t>Silesian Voivodeship</t>
  </si>
  <si>
    <t>Å »yrardãw</t>
  </si>
  <si>
    <t>Å»yrardÃ³w</t>
  </si>
  <si>
    <t>Å »ywiec</t>
  </si>
  <si>
    <t>Å»ywiec</t>
  </si>
  <si>
    <t>Å ã ldå º</t>
  </si>
  <si>
    <t>ÅÃ³dÅº</t>
  </si>
  <si>
    <t>ÅÃ³dÅº Voivodeship</t>
  </si>
  <si>
    <t>Å Aå „Corte</t>
  </si>
  <si>
    <t>ÅaÅ„cut</t>
  </si>
  <si>
    <t>Subcarpathian Voivodeship</t>
  </si>
  <si>
    <t>Å apy</t>
  </si>
  <si>
    <t>Åapy</t>
  </si>
  <si>
    <t>Podlasie</t>
  </si>
  <si>
    <t>Å pergunta</t>
  </si>
  <si>
    <t>Åask</t>
  </si>
  <si>
    <t>Å ä ™ czna</t>
  </si>
  <si>
    <t>ÅÄ™czna</t>
  </si>
  <si>
    <t>Lublin Voivodeship</t>
  </si>
  <si>
    <t>Å ä ™ czyca</t>
  </si>
  <si>
    <t>ÅÄ™czyca</t>
  </si>
  <si>
    <t>Å Aziska gãrne</t>
  </si>
  <si>
    <t>Åaziska GÃ³rne</t>
  </si>
  <si>
    <t>Å omå¼a</t>
  </si>
  <si>
    <t>ÅomÅ¼a</t>
  </si>
  <si>
    <t>Å omianki</t>
  </si>
  <si>
    <t>Åomianki</t>
  </si>
  <si>
    <t>Å Owicz</t>
  </si>
  <si>
    <t>Åowicz</t>
  </si>
  <si>
    <t>Å UKãW</t>
  </si>
  <si>
    <t>ÅukÃ³w</t>
  </si>
  <si>
    <t>AleksandrãW Å ã ldzki</t>
  </si>
  <si>
    <t>AleksandrÃ³w ÅÃ³dzki</t>
  </si>
  <si>
    <t>AndrychãW</t>
  </si>
  <si>
    <t>AndrychÃ³w</t>
  </si>
  <si>
    <t>Lesser Poland Voivodeship</t>
  </si>
  <si>
    <t>Åšrã³dmieå ›cie</t>
  </si>
  <si>
    <t>ÅšrÃ³dmieÅ›cie</t>
  </si>
  <si>
    <t>Åšrem</t>
  </si>
  <si>
    <t>Greater Poland Voivodeship</t>
  </si>
  <si>
    <t>Åšroda wielkopolska</t>
  </si>
  <si>
    <t>Åšroda Wielkopolska</t>
  </si>
  <si>
    <t>Åšwiä ™ Tochåowice</t>
  </si>
  <si>
    <t>ÅšwiÄ™tochÅ‚owice</t>
  </si>
  <si>
    <t>Åšwidnica</t>
  </si>
  <si>
    <t>Lower Silesian Voivodeship</t>
  </si>
  <si>
    <t>Åšwidnik</t>
  </si>
  <si>
    <t>Åšwidwin</t>
  </si>
  <si>
    <t>West Pomeranian Voivodeship</t>
  </si>
  <si>
    <t>Åšwiebodzice</t>
  </si>
  <si>
    <t>Åšwiebodzin</t>
  </si>
  <si>
    <t>Åšwiecie</t>
  </si>
  <si>
    <t>Kujawsko-Pomorskie</t>
  </si>
  <si>
    <t>Åšwinoujå ›cie</t>
  </si>
  <si>
    <t>ÅšwinoujÅ›cie</t>
  </si>
  <si>
    <t>AugustãW</t>
  </si>
  <si>
    <t>AugustÃ³w</t>
  </si>
  <si>
    <t>Bartoszyce</t>
  </si>
  <si>
    <t>Warmian-Masurian Voivodeship</t>
  </si>
  <si>
    <t>Bä ™ Dzin</t>
  </si>
  <si>
    <t>BÄ™dzin</t>
  </si>
  <si>
    <t>Beå ‚chatãW</t>
  </si>
  <si>
    <t>BeÅ‚chatÃ³w</t>
  </si>
  <si>
    <t>Bemowo</t>
  </si>
  <si>
    <t>Biå ‚goraj</t>
  </si>
  <si>
    <t>BiÅ‚goraj</t>
  </si>
  <si>
    <t>Biaå ‚a Podlaska</t>
  </si>
  <si>
    <t>BiaÅ‚a Podlaska</t>
  </si>
  <si>
    <t>Biaå‚ååeka</t>
  </si>
  <si>
    <t>BiaÅ‚oÅ‚eka</t>
  </si>
  <si>
    <t>Biaågard</t>
  </si>
  <si>
    <t>BiaÅ‚ogard</t>
  </si>
  <si>
    <t>Biaå -ystok</t>
  </si>
  <si>
    <t>BiaÅ‚ystok</t>
  </si>
  <si>
    <t>Bielany</t>
  </si>
  <si>
    <t>BIELAWA</t>
  </si>
  <si>
    <t>Bielawa</t>
  </si>
  <si>
    <t>Bielsk Podlaski</t>
  </si>
  <si>
    <t>Bielsko-biala</t>
  </si>
  <si>
    <t>Bielsko-Biala</t>
  </si>
  <si>
    <t>Bieruå „</t>
  </si>
  <si>
    <t>BieruÅ„</t>
  </si>
  <si>
    <t>Bochnia</t>
  </si>
  <si>
    <t>BOGATYNIA</t>
  </si>
  <si>
    <t>Bogatynia</t>
  </si>
  <si>
    <t>BoguszãW-Gorce</t>
  </si>
  <si>
    <t>BoguszÃ³w-Gorce</t>
  </si>
  <si>
    <t>Bolesåwawiec</t>
  </si>
  <si>
    <t>BolesÅ‚awiec</t>
  </si>
  <si>
    <t>Braniewo</t>
  </si>
  <si>
    <t>Brodnica</t>
  </si>
  <si>
    <t>Brzeg</t>
  </si>
  <si>
    <t>Opole Voivodeship</t>
  </si>
  <si>
    <t>Brzesko</t>
  </si>
  <si>
    <t>Busko-ZdrãJ</t>
  </si>
  <si>
    <t>Busko-ZdrÃ³j</t>
  </si>
  <si>
    <t>ÅšwiÄ™tokrzyskie</t>
  </si>
  <si>
    <t>Bydgoszcz</t>
  </si>
  <si>
    <t>BytãW</t>
  </si>
  <si>
    <t>BytÃ³w</t>
  </si>
  <si>
    <t>Pomeranian Voivodeship</t>
  </si>
  <si>
    <t>Bytom</t>
  </si>
  <si>
    <t>Cheå</t>
  </si>
  <si>
    <t>CheÅ‚m</t>
  </si>
  <si>
    <t>Cheå ‚må¼a</t>
  </si>
  <si>
    <t>CheÅ‚mÅ¼a</t>
  </si>
  <si>
    <t>Cheå °</t>
  </si>
  <si>
    <t>CheÅ‚mno</t>
  </si>
  <si>
    <t>Chodzieå¼</t>
  </si>
  <si>
    <t>ChodzieÅ¼</t>
  </si>
  <si>
    <t>Chojnice</t>
  </si>
  <si>
    <t>ChorzãW</t>
  </si>
  <si>
    <t>ChorzÃ³w</t>
  </si>
  <si>
    <t>Choszczno</t>
  </si>
  <si>
    <t>ChrzanãW</t>
  </si>
  <si>
    <t>ChrzanÃ³w</t>
  </si>
  <si>
    <t>CiechanãW</t>
  </si>
  <si>
    <t>CiechanÃ³w</t>
  </si>
  <si>
    <t>Cieszyn</t>
  </si>
  <si>
    <t>CZä ™ Stochowa</t>
  </si>
  <si>
    <t>CzÄ™stochowa</t>
  </si>
  <si>
    <t>Czecchowice-Dziedzice</t>
  </si>
  <si>
    <t>Czechowice-Dziedzice</t>
  </si>
  <si>
    <t>Czeladåº</t>
  </si>
  <si>
    <t>CzeladÅº</t>
  </si>
  <si>
    <t>Czerwionka-leszczyny</t>
  </si>
  <si>
    <t>Czerwionka-Leszczyny</t>
  </si>
  <si>
    <t>Dä… Browa gã³rnicza</t>
  </si>
  <si>
    <t>DÄ…browa GÃ³rnicza</t>
  </si>
  <si>
    <t>Dä ™ Bica</t>
  </si>
  <si>
    <t>DÄ™bica</t>
  </si>
  <si>
    <t>Dä ™ Blin</t>
  </si>
  <si>
    <t>DÄ™blin</t>
  </si>
  <si>
    <t>Dziaådowo</t>
  </si>
  <si>
    <t>DziaÅ‚dowo</t>
  </si>
  <si>
    <t>Dzierå¼oniãW</t>
  </si>
  <si>
    <t>DzierÅ¼oniÃ³w</t>
  </si>
  <si>
    <t>Eå ‚k</t>
  </si>
  <si>
    <t>EÅ‚k</t>
  </si>
  <si>
    <t>Elblä… g</t>
  </si>
  <si>
    <t>ElblÄ…g</t>
  </si>
  <si>
    <t>Fordon</t>
  </si>
  <si>
    <t>Gå ãgãW</t>
  </si>
  <si>
    <t>GÅ‚ogÃ³w</t>
  </si>
  <si>
    <t>Gåowno</t>
  </si>
  <si>
    <t>GÅ‚owno</t>
  </si>
  <si>
    <t>Gå ‚uchoå ^zy</t>
  </si>
  <si>
    <t>GÅ‚uchoÅ‚azy</t>
  </si>
  <si>
    <t>Garwolin</t>
  </si>
  <si>
    <t>Gdaå „sk</t>
  </si>
  <si>
    <t>GdaÅ„sk</t>
  </si>
  <si>
    <t>Gdynia</t>
  </si>
  <si>
    <t>Giå¼ycko</t>
  </si>
  <si>
    <t>GiÅ¼ycko</t>
  </si>
  <si>
    <t>Gierå ‚oå¼</t>
  </si>
  <si>
    <t>GierÅ‚oÅ¼</t>
  </si>
  <si>
    <t>Gliwice</t>
  </si>
  <si>
    <t>Gniezno</t>
  </si>
  <si>
    <t>GoleniãW</t>
  </si>
  <si>
    <t>GoleniÃ³w</t>
  </si>
  <si>
    <t>Gorlice</t>
  </si>
  <si>
    <t>GorzãW Wielkopolski</t>
  </si>
  <si>
    <t>GorzÃ³w Wielkopolski</t>
  </si>
  <si>
    <t>Gostyå „</t>
  </si>
  <si>
    <t>GostyÅ„</t>
  </si>
  <si>
    <t>Gostynin</t>
  </si>
  <si>
    <t>Grajewo</t>
  </si>
  <si>
    <t>Grodzisk Mazowiecki</t>
  </si>
  <si>
    <t>Grudziä… Dz</t>
  </si>
  <si>
    <t>GrudziÄ…dz</t>
  </si>
  <si>
    <t>Gryfice</t>
  </si>
  <si>
    <t>Gryfino</t>
  </si>
  <si>
    <t>Gubin</t>
  </si>
  <si>
    <t>HajnãWka</t>
  </si>
  <si>
    <t>HajnÃ³wka</t>
  </si>
  <si>
    <t>HrubieszãW</t>
  </si>
  <si>
    <t>HrubieszÃ³w</t>
  </si>
  <si>
    <t>Iå ‚awa</t>
  </si>
  <si>
    <t>IÅ‚awa</t>
  </si>
  <si>
    <t>Inowrocåwaw</t>
  </si>
  <si>
    <t>InowrocÅ‚aw</t>
  </si>
  <si>
    <t>JãzefãW</t>
  </si>
  <si>
    <t>JÃ³zefÃ³w</t>
  </si>
  <si>
    <t>Jarocin</t>
  </si>
  <si>
    <t>Jarosåwaw</t>
  </si>
  <si>
    <t>JarosÅ‚aw</t>
  </si>
  <si>
    <t>Jaså '</t>
  </si>
  <si>
    <t>JasÅ‚o</t>
  </si>
  <si>
    <t>JASTRZä ™ Bie ZdrãJ</t>
  </si>
  <si>
    <t>JastrzÄ™bie ZdrÃ³j</t>
  </si>
  <si>
    <t>Jä ™ DrZejãW</t>
  </si>
  <si>
    <t>JÄ™drzejÃ³w</t>
  </si>
  <si>
    <t>Jawor</t>
  </si>
  <si>
    <t>Jaworzno</t>
  </si>
  <si>
    <t>Jelcz</t>
  </si>
  <si>
    <t>Jelcz Laskowice</t>
  </si>
  <si>
    <t>Jelenia gã³ra</t>
  </si>
  <si>
    <t>Jelenia GÃ³ra</t>
  </si>
  <si>
    <t>Kå ‚odzko</t>
  </si>
  <si>
    <t>KÅ‚odzko</t>
  </si>
  <si>
    <t>Kabaty</t>
  </si>
  <si>
    <t>Kalisz</t>
  </si>
  <si>
    <t>Kamienna gã³ra</t>
  </si>
  <si>
    <t>Kamienna GÃ³ra</t>
  </si>
  <si>
    <t>Kartuzy</t>
  </si>
  <si>
    <t>Katowice</t>
  </si>
  <si>
    <t>Kä ™ dzierzyn-koåºle</t>
  </si>
  <si>
    <t>KÄ™dzierzyn-KoÅºle</t>
  </si>
  <si>
    <t>Kä ™ Trzyn</t>
  </si>
  <si>
    <t>KÄ™trzyn</t>
  </si>
  <si>
    <t>Kä ™ Ty</t>
  </si>
  <si>
    <t>KÄ™ty</t>
  </si>
  <si>
    <t>Kielce</t>
  </si>
  <si>
    <t>Kluczbork</t>
  </si>
  <si>
    <t>KnurãW</t>
  </si>
  <si>
    <t>KnurÃ³w</t>
  </si>
  <si>
    <t>Koå‚o</t>
  </si>
  <si>
    <t>KoÅ‚o</t>
  </si>
  <si>
    <t>Koåbrzeg</t>
  </si>
  <si>
    <t>KoÅ‚obrzeg</t>
  </si>
  <si>
    <t>Koå „Skie</t>
  </si>
  <si>
    <t>KoÅ„skie</t>
  </si>
  <si>
    <t>Koå ›Cian</t>
  </si>
  <si>
    <t>KoÅ›cian</t>
  </si>
  <si>
    <t>Koå ›Cierzyna</t>
  </si>
  <si>
    <t>KoÅ›cierzyna</t>
  </si>
  <si>
    <t>KOBYå'ka</t>
  </si>
  <si>
    <t>KobyÅ‚ka</t>
  </si>
  <si>
    <t>Konin</t>
  </si>
  <si>
    <t>Konstancin-Jeziorna</t>
  </si>
  <si>
    <t>KonstantynãW Å ã ldzki</t>
  </si>
  <si>
    <t>KonstantynÃ³w ÅÃ³dzki</t>
  </si>
  <si>
    <t>Kostrzyn Nad Odrä…</t>
  </si>
  <si>
    <t>Kostrzyn nad OdrÄ…</t>
  </si>
  <si>
    <t>Koszalin</t>
  </si>
  <si>
    <t>Kozienice</t>
  </si>
  <si>
    <t>Kraå ›Nik</t>
  </si>
  <si>
    <t>KraÅ›nik</t>
  </si>
  <si>
    <t>Cracóvia</t>
  </si>
  <si>
    <t>KrakÃ³w</t>
  </si>
  <si>
    <t>Krapkowice</t>
  </si>
  <si>
    <t>Krasnystaw</t>
  </si>
  <si>
    <t>Krosno</t>
  </si>
  <si>
    <t>Krotoszyn</t>
  </si>
  <si>
    <t>Kutno</t>
  </si>
  <si>
    <t>Kwidzyn</t>
  </si>
  <si>
    <t>Lä ™ Bork</t>
  </si>
  <si>
    <t>LÄ™bork</t>
  </si>
  <si>
    <t>Lä ™ Dziny</t>
  </si>
  <si>
    <t>LÄ™dziny</t>
  </si>
  <si>
    <t>Legionowo</t>
  </si>
  <si>
    <t>Legnica</t>
  </si>
  <si>
    <t>Leszno</t>
  </si>
  <si>
    <t>Libiä… Å¼</t>
  </si>
  <si>
    <t>LibiÄ…Å¼</t>
  </si>
  <si>
    <t>Lidzbark Warmiå „Ski</t>
  </si>
  <si>
    <t>Lidzbark WarmiÅ„ski</t>
  </si>
  <si>
    <t>Lubaå „</t>
  </si>
  <si>
    <t>LubaÅ„</t>
  </si>
  <si>
    <t>LubartãW</t>
  </si>
  <si>
    <t>LubartÃ³w</t>
  </si>
  <si>
    <t>LUBIN</t>
  </si>
  <si>
    <t>Lubin</t>
  </si>
  <si>
    <t>Lublin</t>
  </si>
  <si>
    <t>Lubliniec</t>
  </si>
  <si>
    <t>Luboå „</t>
  </si>
  <si>
    <t>LuboÅ„</t>
  </si>
  <si>
    <t>Må ‚awa</t>
  </si>
  <si>
    <t>MÅ‚awa</t>
  </si>
  <si>
    <t>Malbork</t>
  </si>
  <si>
    <t>Marki</t>
  </si>
  <si>
    <t>Miå „sk mazowiecki</t>
  </si>
  <si>
    <t>MiÅ„sk Mazowiecki</t>
  </si>
  <si>
    <t>Miä ™ Dzyrzec Podlaski</t>
  </si>
  <si>
    <t>MiÄ™dzyrzec Podlaski</t>
  </si>
  <si>
    <t>Miä ™ Dzyrzecz</t>
  </si>
  <si>
    <t>MiÄ™dzyrzecz</t>
  </si>
  <si>
    <t>MIELEC</t>
  </si>
  <si>
    <t>Mielec</t>
  </si>
  <si>
    <t>Mikoå ãnw</t>
  </si>
  <si>
    <t>MikoÅ‚Ã³w</t>
  </si>
  <si>
    <t>Milanãwek</t>
  </si>
  <si>
    <t>MilanÃ³wek</t>
  </si>
  <si>
    <t>MokotãW</t>
  </si>
  <si>
    <t>MokotÃ³w</t>
  </si>
  <si>
    <t>Mrä… Gowo</t>
  </si>
  <si>
    <t>MrÄ…gowo</t>
  </si>
  <si>
    <t>Myå ›Lenice</t>
  </si>
  <si>
    <t>MyÅ›lenice</t>
  </si>
  <si>
    <t>Mysåwice</t>
  </si>
  <si>
    <t>MysÅ‚owice</t>
  </si>
  <si>
    <t>Myszkãw</t>
  </si>
  <si>
    <t>MyszkÃ³w</t>
  </si>
  <si>
    <t>Nakå ‚nad noteciä…</t>
  </si>
  <si>
    <t>NakÅ‚o nad NoteciÄ…</t>
  </si>
  <si>
    <t>Namyså ãnw</t>
  </si>
  <si>
    <t>NamysÅ‚Ã³w</t>
  </si>
  <si>
    <t>Nisko</t>
  </si>
  <si>
    <t>Agora Ruda</t>
  </si>
  <si>
    <t>Nowa Ruda</t>
  </si>
  <si>
    <t>Nowa sã</t>
  </si>
  <si>
    <t>Nowa SÃ³l</t>
  </si>
  <si>
    <t>Nowogard</t>
  </si>
  <si>
    <t>Nowy Dwãris Mazowiecki</t>
  </si>
  <si>
    <t>Nowy DwÃ³r Mazowiecki</t>
  </si>
  <si>
    <t>Nowy Sä… Cz</t>
  </si>
  <si>
    <t>Nowy SÄ…cz</t>
  </si>
  <si>
    <t>Nowy Targ</t>
  </si>
  <si>
    <t>Nowy Tomyå ›L</t>
  </si>
  <si>
    <t>Nowy TomyÅ›l</t>
  </si>
  <si>
    <t>NYSA</t>
  </si>
  <si>
    <t>Nysa</t>
  </si>
  <si>
    <t>Oåwawa</t>
  </si>
  <si>
    <t>OÅ‚awa</t>
  </si>
  <si>
    <t>Oå ›wiä ™ cim</t>
  </si>
  <si>
    <t>OÅ›wiÄ™cim</t>
  </si>
  <si>
    <t>Oborniki</t>
  </si>
  <si>
    <t>OCHOTA</t>
  </si>
  <si>
    <t>Ochota</t>
  </si>
  <si>
    <t>Oleå ›Nica</t>
  </si>
  <si>
    <t>OleÅ›nica</t>
  </si>
  <si>
    <t>Olecko</t>
  </si>
  <si>
    <t>Olkusz</t>
  </si>
  <si>
    <t>Olsztyn</t>
  </si>
  <si>
    <t>Opoczno</t>
  </si>
  <si>
    <t>Opole</t>
  </si>
  <si>
    <t>Orzesze</t>
  </si>
  <si>
    <t>Ostrã³da</t>
  </si>
  <si>
    <t>OstrÃ³da</t>
  </si>
  <si>
    <t>Ostrã³w Mazowiecka</t>
  </si>
  <si>
    <t>OstrÃ³w Mazowiecka</t>
  </si>
  <si>
    <t>OstrãW Wielkopolski</t>
  </si>
  <si>
    <t>OstrÃ³w Wielkopolski</t>
  </si>
  <si>
    <t>OSTROå‚ ™ Ka</t>
  </si>
  <si>
    <t>OstroÅ‚Ä™ka</t>
  </si>
  <si>
    <t>Ostrowiec Åšwiä ™ Tokrzyski</t>
  </si>
  <si>
    <t>Ostrowiec ÅšwiÄ™tokrzyski</t>
  </si>
  <si>
    <t>Otwock</t>
  </si>
  <si>
    <t>OzorkãW</t>
  </si>
  <si>
    <t>OzorkÃ³w</t>
  </si>
  <si>
    <t>På‚oå „sk</t>
  </si>
  <si>
    <t>PÅ‚oÅ„sk</t>
  </si>
  <si>
    <t>På</t>
  </si>
  <si>
    <t>PÅ‚ock</t>
  </si>
  <si>
    <t>Pabianice</t>
  </si>
  <si>
    <t>Piå '</t>
  </si>
  <si>
    <t>PiÅ‚a</t>
  </si>
  <si>
    <t>Piaseczno</t>
  </si>
  <si>
    <t>PiastãW</t>
  </si>
  <si>
    <t>PiastÃ³w</t>
  </si>
  <si>
    <t>Piekary Åšlä… Skie</t>
  </si>
  <si>
    <t>Piekary ÅšlÄ…skie</t>
  </si>
  <si>
    <t>Pionki</t>
  </si>
  <si>
    <t>PiotrkãW Trybunalski</t>
  </si>
  <si>
    <t>PiotrkÃ³w Trybunalski</t>
  </si>
  <si>
    <t>Pisz</t>
  </si>
  <si>
    <t>Pleszew</t>
  </si>
  <si>
    <t>Polícia</t>
  </si>
  <si>
    <t>Police</t>
  </si>
  <si>
    <t>Polkowice</t>
  </si>
  <si>
    <t>Poznaå „</t>
  </si>
  <si>
    <t>PoznaÅ„</t>
  </si>
  <si>
    <t>Praga pã³å</t>
  </si>
  <si>
    <t>Praga PÃ³Å‚noc</t>
  </si>
  <si>
    <t>Praga Poåudnie</t>
  </si>
  <si>
    <t>Praga PoÅ‚udnie</t>
  </si>
  <si>
    <t>Prudnik</t>
  </si>
  <si>
    <t>Pruszcz gdaå „esqui</t>
  </si>
  <si>
    <t>Pruszcz GdaÅ„ski</t>
  </si>
  <si>
    <t>PruszkãW</t>
  </si>
  <si>
    <t>PruszkÃ³w</t>
  </si>
  <si>
    <t>Przasnysz</t>
  </si>
  <si>
    <t>Przemyå ›l</t>
  </si>
  <si>
    <t>PrzemyÅ›l</t>
  </si>
  <si>
    <t>Przeworsk</t>
  </si>
  <si>
    <t>Pszczyna</t>
  </si>
  <si>
    <t>Puåwy</t>
  </si>
  <si>
    <t>PuÅ‚awy</t>
  </si>
  <si>
    <t>Puå ‚tusk</t>
  </si>
  <si>
    <t>PuÅ‚tusk</t>
  </si>
  <si>
    <t>Pyskowice</t>
  </si>
  <si>
    <t>Racibã rz</t>
  </si>
  <si>
    <t>RacibÃ³rz</t>
  </si>
  <si>
    <t>Radlin</t>
  </si>
  <si>
    <t>Radom</t>
  </si>
  <si>
    <t>Radomsko</t>
  </si>
  <si>
    <t>RadzionkãW</t>
  </si>
  <si>
    <t>RadzionkÃ³w</t>
  </si>
  <si>
    <t>Radzyå „Podlaski</t>
  </si>
  <si>
    <t>RadzyÅ„ Podlaski</t>
  </si>
  <si>
    <t>Rawa Mazowiecka</t>
  </si>
  <si>
    <t>Rawicz</t>
  </si>
  <si>
    <t>Reda</t>
  </si>
  <si>
    <t>RembertãW</t>
  </si>
  <si>
    <t>RembertÃ³w</t>
  </si>
  <si>
    <t>Ropczyce</t>
  </si>
  <si>
    <t>Ruda Åšlä… Ska</t>
  </si>
  <si>
    <t>Ruda ÅšlÄ…ska</t>
  </si>
  <si>
    <t>Rumia</t>
  </si>
  <si>
    <t>Rybnik</t>
  </si>
  <si>
    <t>Ryduå'towy</t>
  </si>
  <si>
    <t>RyduÅ‚towy</t>
  </si>
  <si>
    <t>Rypin</t>
  </si>
  <si>
    <t>RzeszãW</t>
  </si>
  <si>
    <t>RzeszÃ³w</t>
  </si>
  <si>
    <t>Så ‚ubice</t>
  </si>
  <si>
    <t>SÅ‚ubice</t>
  </si>
  <si>
    <t>Så ‚upsk</t>
  </si>
  <si>
    <t>SÅ‚upsk</t>
  </si>
  <si>
    <t>Sandomierz</t>
  </si>
  <si>
    <t>Sanok</t>
  </si>
  <si>
    <t>Siedlce</t>
  </si>
  <si>
    <t>Siemianowice Åšlä… Skie</t>
  </si>
  <si>
    <t>Siemianowice ÅšlÄ…skie</t>
  </si>
  <si>
    <t>SiemiTycze</t>
  </si>
  <si>
    <t>Siemiatycze</t>
  </si>
  <si>
    <t>Sieradz</t>
  </si>
  <si>
    <t>Sierpc</t>
  </si>
  <si>
    <t>Skaråstoysko-kamienna</t>
  </si>
  <si>
    <t>SkarÅ¼ysko-Kamienna</t>
  </si>
  <si>
    <t>Skawina</t>
  </si>
  <si>
    <t>Skierniewice</t>
  </si>
  <si>
    <t>Sochaczew</t>
  </si>
  <si>
    <t>Sokã³å ‚ka</t>
  </si>
  <si>
    <t>SokÃ³Å‚ka</t>
  </si>
  <si>
    <t>Sokoå ã o podlaski</t>
  </si>
  <si>
    <t>SokoÅ‚Ã³w Podlaski</t>
  </si>
  <si>
    <t>Solec Kujawski</t>
  </si>
  <si>
    <t>Sopot</t>
  </si>
  <si>
    <t>Sosnowiec</t>
  </si>
  <si>
    <t>Stalowa Wola</t>
  </si>
  <si>
    <t>Starachowice</t>
  </si>
  <si>
    <t>Stargard Szczeciå „Ski</t>
  </si>
  <si>
    <t>Stargard SzczeciÅ„ski</t>
  </si>
  <si>
    <t>Starogard Gdaå „Ski</t>
  </si>
  <si>
    <t>Starogard GdaÅ„ski</t>
  </si>
  <si>
    <t>StaszãW</t>
  </si>
  <si>
    <t>StaszÃ³w</t>
  </si>
  <si>
    <t>Strzegom</t>
  </si>
  <si>
    <t>Strzelce Opolskie</t>
  </si>
  <si>
    <t>SulechãW</t>
  </si>
  <si>
    <t>SulechÃ³w</t>
  </si>
  <si>
    <t>SulejãWek</t>
  </si>
  <si>
    <t>SulejÃ³wek</t>
  </si>
  <si>
    <t>Suwaå ‚ki</t>
  </si>
  <si>
    <t>SuwaÅ‚ki</t>
  </si>
  <si>
    <t>Swarzä ™ dz</t>
  </si>
  <si>
    <t>SwarzÄ™dz</t>
  </si>
  <si>
    <t>Szamotuå</t>
  </si>
  <si>
    <t>SzamotuÅ‚y</t>
  </si>
  <si>
    <t>Szczecin</t>
  </si>
  <si>
    <t>Szczecinek</t>
  </si>
  <si>
    <t>Szczytno</t>
  </si>
  <si>
    <t>TargãWek</t>
  </si>
  <si>
    <t>TargÃ³wek</t>
  </si>
  <si>
    <t>TarnãW</t>
  </si>
  <si>
    <t>TarnÃ³w</t>
  </si>
  <si>
    <t>Tarnobrzeg</t>
  </si>
  <si>
    <t>Tarnowskie gã³ry</t>
  </si>
  <si>
    <t>Tarnowskie GÃ³ry</t>
  </si>
  <si>
    <t>Tczew</t>
  </si>
  <si>
    <t>TomaszãW Lubelski</t>
  </si>
  <si>
    <t>TomaszÃ³w Lubelski</t>
  </si>
  <si>
    <t>TomaszãW Mazowiecki</t>
  </si>
  <si>
    <t>TomaszÃ³w Mazowiecki</t>
  </si>
  <si>
    <t>Toruå „</t>
  </si>
  <si>
    <t>ToruÅ„</t>
  </si>
  <si>
    <t>Trzcianka</t>
  </si>
  <si>
    <t>Trzebinia</t>
  </si>
  <si>
    <t>Turek</t>
  </si>
  <si>
    <t>Tychy</t>
  </si>
  <si>
    <t>Ursus</t>
  </si>
  <si>
    <t>UrsynãW</t>
  </si>
  <si>
    <t>UrsynÃ³w</t>
  </si>
  <si>
    <t>Ustka</t>
  </si>
  <si>
    <t>Ustroå „</t>
  </si>
  <si>
    <t>UstroÅ„</t>
  </si>
  <si>
    <t>Wå ‚ocåwek</t>
  </si>
  <si>
    <t>WÅ‚ocÅ‚awek</t>
  </si>
  <si>
    <t>Wå ochy</t>
  </si>
  <si>
    <t>WÅ‚ochy</t>
  </si>
  <si>
    <t>Wä… Growiec</t>
  </si>
  <si>
    <t>WÄ…growiec</t>
  </si>
  <si>
    <t>Waå ‚brzych</t>
  </si>
  <si>
    <t>WaÅ‚brzych</t>
  </si>
  <si>
    <t>Waå ‚cz</t>
  </si>
  <si>
    <t>WaÅ‚cz</t>
  </si>
  <si>
    <t>Wadowice</t>
  </si>
  <si>
    <t>Varsóvia</t>
  </si>
  <si>
    <t>Warsaw</t>
  </si>
  <si>
    <t>Warszawa</t>
  </si>
  <si>
    <t>Wawer</t>
  </si>
  <si>
    <t>Wejherowo</t>
  </si>
  <si>
    <t>Wesoå ‚</t>
  </si>
  <si>
    <t>WesoÅ‚a</t>
  </si>
  <si>
    <t>Wieliczka</t>
  </si>
  <si>
    <t>Wieluå „</t>
  </si>
  <si>
    <t>WieluÅ„</t>
  </si>
  <si>
    <t>Woå‚omin</t>
  </si>
  <si>
    <t>WoÅ‚omin</t>
  </si>
  <si>
    <t>Wodzisåwaw Åšlä… esqui</t>
  </si>
  <si>
    <t>WodzisÅ‚aw ÅšlÄ…ski</t>
  </si>
  <si>
    <t>Wola</t>
  </si>
  <si>
    <t>Wrocåwaw</t>
  </si>
  <si>
    <t>WrocÅ‚aw</t>
  </si>
  <si>
    <t>Wrzeå ›Nia</t>
  </si>
  <si>
    <t>WrzeÅ›nia</t>
  </si>
  <si>
    <t>Wyszkãw</t>
  </si>
  <si>
    <t>WyszkÃ³w</t>
  </si>
  <si>
    <t>ZåtotãW</t>
  </si>
  <si>
    <t>ZÅ‚otÃ³w</t>
  </si>
  <si>
    <t>Zåtotoryja</t>
  </si>
  <si>
    <t>ZÅ‚otoryja</t>
  </si>
  <si>
    <t>Zä… bki</t>
  </si>
  <si>
    <t>ZÄ…bki</t>
  </si>
  <si>
    <t>Zä… bkowice Åšlä… skie</t>
  </si>
  <si>
    <t>ZÄ…bkowice ÅšlÄ…skie</t>
  </si>
  <si>
    <t>Zabrze</t>
  </si>
  <si>
    <t>Zakopane</t>
  </si>
  <si>
    <t>Zambrã³w</t>
  </si>
  <si>
    <t>ZambrÃ³w</t>
  </si>
  <si>
    <t>Zamoå ›ä ‡</t>
  </si>
  <si>
    <t>ZamoÅ›Ä‡</t>
  </si>
  <si>
    <t>Zawiercie</t>
  </si>
  <si>
    <t>Zduå „Ska Wola</t>
  </si>
  <si>
    <t>ZduÅ„ska Wola</t>
  </si>
  <si>
    <t>Zgierz</t>
  </si>
  <si>
    <t>Zgorzelec</t>
  </si>
  <si>
    <t>Zielona gã³ra</t>
  </si>
  <si>
    <t>Zielona GÃ³ra</t>
  </si>
  <si>
    <t>Zielonka</t>
  </si>
  <si>
    <t>Ã vora</t>
  </si>
  <si>
    <t>Ã‰vora</t>
  </si>
  <si>
    <t>Portugal</t>
  </si>
  <si>
    <t>Ã Guas Santos</t>
  </si>
  <si>
    <t>Ãguas Santas</t>
  </si>
  <si>
    <t>Porto</t>
  </si>
  <si>
    <t>Ã lhavo</t>
  </si>
  <si>
    <t>Ãlhavo</t>
  </si>
  <si>
    <t>Aveiro</t>
  </si>
  <si>
    <t>Albufeira</t>
  </si>
  <si>
    <t>Faro</t>
  </si>
  <si>
    <t>Alcabideche</t>
  </si>
  <si>
    <t>Lisbon</t>
  </si>
  <si>
    <t>Algo © s</t>
  </si>
  <si>
    <t>AlgÃ©s</t>
  </si>
  <si>
    <t>Almada</t>
  </si>
  <si>
    <t>SetÃºbal</t>
  </si>
  <si>
    <t>Amadora</t>
  </si>
  <si>
    <t>Amora</t>
  </si>
  <si>
    <t>Arrentela</t>
  </si>
  <si>
    <t>Baguim do Monte</t>
  </si>
  <si>
    <t>Barcelos</t>
  </si>
  <si>
    <t>Braga</t>
  </si>
  <si>
    <t>Barreiiro</t>
  </si>
  <si>
    <t>Barreiro</t>
  </si>
  <si>
    <t>Beja</t>
  </si>
  <si>
    <t>BELAS</t>
  </si>
  <si>
    <t>Belas</t>
  </si>
  <si>
    <t>Bougado</t>
  </si>
  <si>
    <t>C ¢ Mara de Lobos</t>
  </si>
  <si>
    <t>CÃ¢mara de Lobos</t>
  </si>
  <si>
    <t>Madeira</t>
  </si>
  <si>
    <t>Cacé m</t>
  </si>
  <si>
    <t>CacÃ©m</t>
  </si>
  <si>
    <t>Caldas da Rainha</t>
  </si>
  <si>
    <t>Leiria</t>
  </si>
  <si>
    <t>Camarato</t>
  </si>
  <si>
    <t>Camarate</t>
  </si>
  <si>
    <t>Canidelo</t>
  </si>
  <si>
    <t>Caparica</t>
  </si>
  <si>
    <t>Carcavelos</t>
  </si>
  <si>
    <t>Carnaxida</t>
  </si>
  <si>
    <t>Carnaxide</t>
  </si>
  <si>
    <t>Cascais</t>
  </si>
  <si>
    <t>Castelo Branco</t>
  </si>
  <si>
    <t>Charneca</t>
  </si>
  <si>
    <t>Coimbra</t>
  </si>
  <si>
    <t>Corrios</t>
  </si>
  <si>
    <t>Corroios</t>
  </si>
  <si>
    <t>Covilhã</t>
  </si>
  <si>
    <t>CovilhÃ£</t>
  </si>
  <si>
    <t>Custoias</t>
  </si>
  <si>
    <t>Guarda</t>
  </si>
  <si>
    <t>Entroncamento</t>
  </si>
  <si>
    <t>Ermesinde</t>
  </si>
  <si>
    <t>Esposende</t>
  </si>
  <si>
    <t>Estoril</t>
  </si>
  <si>
    <t>F ¢ Nzeres</t>
  </si>
  <si>
    <t>FÃ¢nzeres</t>
  </si>
  <si>
    <t>Fafe</t>
  </si>
  <si>
    <t>Feira</t>
  </si>
  <si>
    <t>Funchal</t>
  </si>
  <si>
    <t>Gondomar</t>
  </si>
  <si>
    <t>Guimarã</t>
  </si>
  <si>
    <t>GuimarÃ£es</t>
  </si>
  <si>
    <t>LARANJÉRO</t>
  </si>
  <si>
    <t>Laranjeiro</t>
  </si>
  <si>
    <t>Leã§a da Palmeira</t>
  </si>
  <si>
    <t>LeÃ§a da Palmeira</t>
  </si>
  <si>
    <t>Leã§a do Bailio</t>
  </si>
  <si>
    <t>LeÃ§a do Bailio</t>
  </si>
  <si>
    <t>Linda-A-Avelha</t>
  </si>
  <si>
    <t>Linda-a-Velha</t>
  </si>
  <si>
    <t>Lisboa</t>
  </si>
  <si>
    <t>Lould</t>
  </si>
  <si>
    <t>LoulÃ©</t>
  </si>
  <si>
    <t>Loures</t>
  </si>
  <si>
    <t>Maia</t>
  </si>
  <si>
    <t>Marinha Grande</t>
  </si>
  <si>
    <t>Matoscos</t>
  </si>
  <si>
    <t>Matosinhos</t>
  </si>
  <si>
    <t>Moita</t>
  </si>
  <si>
    <t>Monã £ o</t>
  </si>
  <si>
    <t>MonÃ§Ã£o</t>
  </si>
  <si>
    <t>Viana do Castelo</t>
  </si>
  <si>
    <t>Monsanto</t>
  </si>
  <si>
    <t>Monte Estoril</t>
  </si>
  <si>
    <t>Montijo</t>
  </si>
  <si>
    <t>Odivelas</t>
  </si>
  <si>
    <t>Olhã £ o</t>
  </si>
  <si>
    <t>OlhÃ£o</t>
  </si>
  <si>
    <t>Oliveira do Douro</t>
  </si>
  <si>
    <t>Ovar</t>
  </si>
  <si>
    <t>Pã³voa de Santa Iria</t>
  </si>
  <si>
    <t>PÃ³voa de Santa Iria</t>
  </si>
  <si>
    <t>Pã³voa de varzim</t>
  </si>
  <si>
    <t>PÃ³voa de Varzim</t>
  </si>
  <si>
    <t>Paino de Arcos</t>
  </si>
  <si>
    <t>PaÃ§o de Arcos</t>
  </si>
  <si>
    <t>Palmela</t>
  </si>
  <si>
    <t>Parede</t>
  </si>
  <si>
    <t>Pedroso</t>
  </si>
  <si>
    <t>Peniche</t>
  </si>
  <si>
    <t>Pinhal Novo</t>
  </si>
  <si>
    <t>Ponta Delgada</t>
  </si>
  <si>
    <t>Azores</t>
  </si>
  <si>
    <t>Ponte de Lima</t>
  </si>
  <si>
    <t>Pontinha</t>
  </si>
  <si>
    <t>Portalegre</t>
  </si>
  <si>
    <t>Portimã o</t>
  </si>
  <si>
    <t>PortimÃ£o</t>
  </si>
  <si>
    <t>Quarteira</t>
  </si>
  <si>
    <t>Queluz</t>
  </si>
  <si>
    <t>Ramada</t>
  </si>
  <si>
    <t>Rio de Mouro</t>
  </si>
  <si>
    <t>Rio Tinto</t>
  </si>
  <si>
    <t>Sã o Domingos de Rana</t>
  </si>
  <si>
    <t>SÃ£o Domingos de Rana</t>
  </si>
  <si>
    <t>Sã £ o Joã o da Madeira</t>
  </si>
  <si>
    <t>SÃ£o JoÃ£o da Madeira</t>
  </si>
  <si>
    <t>Sã o Joã o da Talha</t>
  </si>
  <si>
    <t>SÃ£o JoÃ£o da Talha</t>
  </si>
  <si>
    <t>Sã o Mamede de Infesta</t>
  </si>
  <si>
    <t>SÃ£o Mamede de Infesta</t>
  </si>
  <si>
    <t>Sã o Pedro da Cova</t>
  </si>
  <si>
    <t>SÃ£o Pedro da Cova</t>
  </si>
  <si>
    <t>Sacavé m</t>
  </si>
  <si>
    <t>SacavÃ©m</t>
  </si>
  <si>
    <t>Santa Iria da Azã³ia</t>
  </si>
  <si>
    <t>Santa Iria da AzÃ³ia</t>
  </si>
  <si>
    <t>Senhora da Hora</t>
  </si>
  <si>
    <t>Sequeira</t>
  </si>
  <si>
    <t>Sesimbra</t>
  </si>
  <si>
    <t>Setãobal</t>
  </si>
  <si>
    <t>Sintra</t>
  </si>
  <si>
    <t>Tomar</t>
  </si>
  <si>
    <t>Torres Vedras</t>
  </si>
  <si>
    <t>Valongo</t>
  </si>
  <si>
    <t>Vialonga</t>
  </si>
  <si>
    <t>Vila do Conde</t>
  </si>
  <si>
    <t>Vila Franca de Xira</t>
  </si>
  <si>
    <t>Vila Nova de Gaia</t>
  </si>
  <si>
    <t>Vila real</t>
  </si>
  <si>
    <t>Vila Real</t>
  </si>
  <si>
    <t>Vilar de Andorinho</t>
  </si>
  <si>
    <t>Aguadilla</t>
  </si>
  <si>
    <t>Arecibo</t>
  </si>
  <si>
    <t>Barceloneta</t>
  </si>
  <si>
    <t>Bayamãn</t>
  </si>
  <si>
    <t>BayamÃ³n</t>
  </si>
  <si>
    <t>CAGUAS</t>
  </si>
  <si>
    <t>Caguas</t>
  </si>
  <si>
    <t>Toa Baja</t>
  </si>
  <si>
    <t>Cata ± O.</t>
  </si>
  <si>
    <t>CataÃ±o</t>
  </si>
  <si>
    <t>Catano</t>
  </si>
  <si>
    <t>Cayey</t>
  </si>
  <si>
    <t>Fajardo</t>
  </si>
  <si>
    <t>Guayama</t>
  </si>
  <si>
    <t>Guaynabo</t>
  </si>
  <si>
    <t>Humacao</t>
  </si>
  <si>
    <t>Levittown</t>
  </si>
  <si>
    <t>Manatã</t>
  </si>
  <si>
    <t>ManatÃ­</t>
  </si>
  <si>
    <t>Manati</t>
  </si>
  <si>
    <t>Mayagãez</t>
  </si>
  <si>
    <t>MayagÃ¼ez</t>
  </si>
  <si>
    <t>Mayaguez</t>
  </si>
  <si>
    <t>Ponce</t>
  </si>
  <si>
    <t>Trujillo Alto</t>
  </si>
  <si>
    <t>Vega Baja</t>
  </si>
  <si>
    <t>Yauco</t>
  </si>
  <si>
    <t>Al Khawr</t>
  </si>
  <si>
    <t>Qatar</t>
  </si>
  <si>
    <t>Al Wakrah</t>
  </si>
  <si>
    <t>Ar rayyä n</t>
  </si>
  <si>
    <t>Ar RayyÄn</t>
  </si>
  <si>
    <t>BaladÄ«yat ar RayyÄn</t>
  </si>
  <si>
    <t>Doha</t>
  </si>
  <si>
    <t>BaladÄ«yat ad Dawá¸©ah</t>
  </si>
  <si>
    <t>Umm Åžalä l muá¸ © Ammad</t>
  </si>
  <si>
    <t>Umm ÅžalÄl Muá¸©ammad</t>
  </si>
  <si>
    <t>BaladÄ«yat Umm ÅžalÄl</t>
  </si>
  <si>
    <t>Brazzaville</t>
  </si>
  <si>
    <t>Republic of the Congo</t>
  </si>
  <si>
    <t>Dolisie</t>
  </si>
  <si>
    <t>Niari</t>
  </si>
  <si>
    <t>Gamboma</t>
  </si>
  <si>
    <t>Plateaux</t>
  </si>
  <si>
    <t>Impfondo</t>
  </si>
  <si>
    <t>Likouala</t>
  </si>
  <si>
    <t>Bouenza</t>
  </si>
  <si>
    <t>Loandjili</t>
  </si>
  <si>
    <t>Pointe-Noire</t>
  </si>
  <si>
    <t>Madingou</t>
  </si>
  <si>
    <t>Mossendjo</t>
  </si>
  <si>
    <t>OUA © SSO</t>
  </si>
  <si>
    <t>OuÃ©sso</t>
  </si>
  <si>
    <t>Sangha</t>
  </si>
  <si>
    <t>Owando</t>
  </si>
  <si>
    <t>Cuvette</t>
  </si>
  <si>
    <t>PONTE-NOIRE</t>
  </si>
  <si>
    <t>Sibiti</t>
  </si>
  <si>
    <t>LÃ©koumou</t>
  </si>
  <si>
    <t>LA Posse</t>
  </si>
  <si>
    <t>La Possession</t>
  </si>
  <si>
    <t>Reunion</t>
  </si>
  <si>
    <t>RÃ©union</t>
  </si>
  <si>
    <t>Le Port</t>
  </si>
  <si>
    <t>Le Tampon</t>
  </si>
  <si>
    <t>Piton Saint-Leu</t>
  </si>
  <si>
    <t>Saint-André</t>
  </si>
  <si>
    <t>Saint-AndrÃ©</t>
  </si>
  <si>
    <t>Saint-benóã</t>
  </si>
  <si>
    <t>Saint-BenoÃ®t</t>
  </si>
  <si>
    <t>Sainte-Suzanne</t>
  </si>
  <si>
    <t>Saint-Paul</t>
  </si>
  <si>
    <t>Saint-Pierre</t>
  </si>
  <si>
    <t>Adjudic</t>
  </si>
  <si>
    <t>Adjud</t>
  </si>
  <si>
    <t>Romania</t>
  </si>
  <si>
    <t>Vrancea</t>
  </si>
  <si>
    <t>Aiud</t>
  </si>
  <si>
    <t>Alba Iulia</t>
  </si>
  <si>
    <t>Teleorman</t>
  </si>
  <si>
    <t>ARAD</t>
  </si>
  <si>
    <t>Arad</t>
  </si>
  <si>
    <t>Åžimleu Silvaniei</t>
  </si>
  <si>
    <t>SÄƒlaj</t>
  </si>
  <si>
    <t>B ¢ rlad</t>
  </si>
  <si>
    <t>BÃ¢rlad</t>
  </si>
  <si>
    <t>Vaslui</t>
  </si>
  <si>
    <t>Bacäƒu</t>
  </si>
  <si>
    <t>BacÄƒu</t>
  </si>
  <si>
    <t>Bäƒicoi</t>
  </si>
  <si>
    <t>BÄƒicoi</t>
  </si>
  <si>
    <t>Prahova</t>
  </si>
  <si>
    <t>Bäƒileåÿti</t>
  </si>
  <si>
    <t>BÄƒileÅŸti</t>
  </si>
  <si>
    <t>Dolj</t>
  </si>
  <si>
    <t>Baia Mare</t>
  </si>
  <si>
    <t>MaramureÅŸ</t>
  </si>
  <si>
    <t>Satu Mare</t>
  </si>
  <si>
    <t>Baia Sprie</t>
  </si>
  <si>
    <t>Balåero</t>
  </si>
  <si>
    <t>BalÅŸ</t>
  </si>
  <si>
    <t>Olt</t>
  </si>
  <si>
    <t>Bistriå £ a</t>
  </si>
  <si>
    <t>BistriÅ£a</t>
  </si>
  <si>
    <t>BistriÅ£a-NÄƒsÄƒud</t>
  </si>
  <si>
    <t>Blaj</t>
  </si>
  <si>
    <t>Bocåÿa</t>
  </si>
  <si>
    <t>BocÅŸa</t>
  </si>
  <si>
    <t>CaraÅŸ-Severin</t>
  </si>
  <si>
    <t>Boråero</t>
  </si>
  <si>
    <t>BorÅŸa</t>
  </si>
  <si>
    <t>BOTOåÿani</t>
  </si>
  <si>
    <t>BotoÅŸani</t>
  </si>
  <si>
    <t>Bra -se</t>
  </si>
  <si>
    <t>BraÅŸov</t>
  </si>
  <si>
    <t>Brad</t>
  </si>
  <si>
    <t>Hunedoara</t>
  </si>
  <si>
    <t>Bräƒila</t>
  </si>
  <si>
    <t>BrÄƒila</t>
  </si>
  <si>
    <t>Breaza</t>
  </si>
  <si>
    <t>Bucareste</t>
  </si>
  <si>
    <t>Bucharest</t>
  </si>
  <si>
    <t>BucureÅŸti</t>
  </si>
  <si>
    <t>Buftea</t>
  </si>
  <si>
    <t>Ilfov</t>
  </si>
  <si>
    <t>Buhuåÿi</t>
  </si>
  <si>
    <t>BuhuÅŸi</t>
  </si>
  <si>
    <t>Buzäƒu</t>
  </si>
  <si>
    <t>BuzÄƒu</t>
  </si>
  <si>
    <t>C. MPIA TURZII</t>
  </si>
  <si>
    <t>CÃ¢mpia Turzii</t>
  </si>
  <si>
    <t>Cluj</t>
  </si>
  <si>
    <t>C. Mpina</t>
  </si>
  <si>
    <t>CÃ¢mpina</t>
  </si>
  <si>
    <t>Cé Mpulung Mollovescs</t>
  </si>
  <si>
    <t>CÃ¢mpulung Moldovenesc</t>
  </si>
  <si>
    <t>Suceava</t>
  </si>
  <si>
    <t>Calafat</t>
  </si>
  <si>
    <t>Caracal</t>
  </si>
  <si>
    <t>Caransebeåÿ</t>
  </si>
  <si>
    <t>CaransebeÅŸ</t>
  </si>
  <si>
    <t>Carei</t>
  </si>
  <si>
    <t>Cernavodäƒ</t>
  </si>
  <si>
    <t>CernavodÄƒ</t>
  </si>
  <si>
    <t>ConstanÈ›a</t>
  </si>
  <si>
    <t>Cisnäƒdie</t>
  </si>
  <si>
    <t>CisnÄƒdie</t>
  </si>
  <si>
    <t>Sibiu</t>
  </si>
  <si>
    <t>Cluj-Napoca</t>
  </si>
  <si>
    <t>Codlea</t>
  </si>
  <si>
    <t>Comäƒneåÿti</t>
  </si>
  <si>
    <t>ComÄƒneÅŸti</t>
  </si>
  <si>
    <t>Constanå £ a</t>
  </si>
  <si>
    <t>ConstanÅ£a</t>
  </si>
  <si>
    <t>Corabia</t>
  </si>
  <si>
    <t>Craiova</t>
  </si>
  <si>
    <t>CUGIR</t>
  </si>
  <si>
    <t>Cugir</t>
  </si>
  <si>
    <t>Curtea de Argeåÿ</t>
  </si>
  <si>
    <t>Curtea de ArgeÅŸ</t>
  </si>
  <si>
    <t>ArgeÅŸ</t>
  </si>
  <si>
    <t>DEJ</t>
  </si>
  <si>
    <t>Dej</t>
  </si>
  <si>
    <t>Deva</t>
  </si>
  <si>
    <t>Dorohoi</t>
  </si>
  <si>
    <t>Dräƒgäƒåÿani</t>
  </si>
  <si>
    <t>DrÄƒgÄƒÅŸani</t>
  </si>
  <si>
    <t>VÃ¢lcea</t>
  </si>
  <si>
    <t>Drobeta-Turnu Severin</t>
  </si>
  <si>
    <t>MehedinÅ£i</t>
  </si>
  <si>
    <t>Fäƒgäƒraè ™</t>
  </si>
  <si>
    <t>FÄƒgÄƒraÈ™</t>
  </si>
  <si>
    <t>FäƒLticeni</t>
  </si>
  <si>
    <t>FÄƒlticeni</t>
  </si>
  <si>
    <t>FETEåÿti</t>
  </si>
  <si>
    <t>FeteÅŸti</t>
  </si>
  <si>
    <t>IalomiÅ£a</t>
  </si>
  <si>
    <t>Feteè ™ Ti-Garäƒ</t>
  </si>
  <si>
    <t>FeteÈ™ti-GarÄƒ</t>
  </si>
  <si>
    <t>Filiaåero</t>
  </si>
  <si>
    <t>FiliaÅŸi</t>
  </si>
  <si>
    <t>Focè ™ Ani</t>
  </si>
  <si>
    <t>FocÈ™ani</t>
  </si>
  <si>
    <t>Gäƒeåÿti</t>
  </si>
  <si>
    <t>GÄƒeÅŸti</t>
  </si>
  <si>
    <t>DÃ¢mboviÅ£a</t>
  </si>
  <si>
    <t>Galaå £ i</t>
  </si>
  <si>
    <t>GalaÅ£i</t>
  </si>
  <si>
    <t>Gheorgheni</t>
  </si>
  <si>
    <t>Harghita</t>
  </si>
  <si>
    <t>Gherla</t>
  </si>
  <si>
    <t>Giurgiu</t>
  </si>
  <si>
    <t>Gura humorului</t>
  </si>
  <si>
    <t>Gura Humorului</t>
  </si>
  <si>
    <t>Huåero</t>
  </si>
  <si>
    <t>HuÅŸi</t>
  </si>
  <si>
    <t>Iaåÿi</t>
  </si>
  <si>
    <t>IaÅŸi</t>
  </si>
  <si>
    <t>Luduåero</t>
  </si>
  <si>
    <t>LuduÅŸ</t>
  </si>
  <si>
    <t>MureÅŸ</t>
  </si>
  <si>
    <t>Lugoj</t>
  </si>
  <si>
    <t>TimiÅŸ</t>
  </si>
  <si>
    <t>Lupeni</t>
  </si>
  <si>
    <t>Mangalia</t>
  </si>
  <si>
    <t>Medgidia</t>
  </si>
  <si>
    <t>Mediaåero</t>
  </si>
  <si>
    <t>MediaÅŸ</t>
  </si>
  <si>
    <t>Miercurea-ciuc</t>
  </si>
  <si>
    <t>Miercurea-Ciuc</t>
  </si>
  <si>
    <t>Mioveni</t>
  </si>
  <si>
    <t>Mizil</t>
  </si>
  <si>
    <t>Moineåÿti</t>
  </si>
  <si>
    <t>MoineÅŸti</t>
  </si>
  <si>
    <t>Moreni</t>
  </si>
  <si>
    <t>Monte</t>
  </si>
  <si>
    <t>Motru</t>
  </si>
  <si>
    <t>Gorj</t>
  </si>
  <si>
    <t>Näƒvodari</t>
  </si>
  <si>
    <t>NÄƒvodari</t>
  </si>
  <si>
    <t>OCNA MUREåÿ</t>
  </si>
  <si>
    <t>Ocna MureÅŸ</t>
  </si>
  <si>
    <t>ODORHEIU SECUIESC</t>
  </si>
  <si>
    <t>Odorheiu Secuiesc</t>
  </si>
  <si>
    <t>Olteniå £ a</t>
  </si>
  <si>
    <t>OlteniÅ£a</t>
  </si>
  <si>
    <t>CÄƒlÄƒraÅŸi</t>
  </si>
  <si>
    <t>Oradea</t>
  </si>
  <si>
    <t>Bihor</t>
  </si>
  <si>
    <t>Oräƒåÿtie</t>
  </si>
  <si>
    <t>OrÄƒÅŸtie</t>
  </si>
  <si>
    <t>Paåÿcani</t>
  </si>
  <si>
    <t>PaÅŸcani</t>
  </si>
  <si>
    <t>Pantelimon</t>
  </si>
  <si>
    <t>Petrila</t>
  </si>
  <si>
    <t>Petroåeroni</t>
  </si>
  <si>
    <t>PetroÅŸani</t>
  </si>
  <si>
    <t>Piatra Neamå £</t>
  </si>
  <si>
    <t>Piatra NeamÅ£</t>
  </si>
  <si>
    <t>NeamÅ£</t>
  </si>
  <si>
    <t>Piteåÿti</t>
  </si>
  <si>
    <t>PiteÅŸti</t>
  </si>
  <si>
    <t>Ploieåÿti</t>
  </si>
  <si>
    <t>PloieÅŸti</t>
  </si>
  <si>
    <t>POPELOÿTI-LEORDENI</t>
  </si>
  <si>
    <t>PopeÅŸti-Leordeni</t>
  </si>
  <si>
    <t>Rão Åÿnov</t>
  </si>
  <si>
    <t>RÃ¢ÅŸnov</t>
  </si>
  <si>
    <t>Rã mnicu säƒrat</t>
  </si>
  <si>
    <t>RÃ¢mnicu SÄƒrat</t>
  </si>
  <si>
    <t>Rã mnicu v ¢ lcea</t>
  </si>
  <si>
    <t>RÃ¢mnicu VÃ¢lcea</t>
  </si>
  <si>
    <t>Räƒdäƒuè ›i</t>
  </si>
  <si>
    <t>RÄƒdÄƒuÈ›i</t>
  </si>
  <si>
    <t>Reåÿiå £ a</t>
  </si>
  <si>
    <t>ReÅŸiÅ£a</t>
  </si>
  <si>
    <t>Reghin-Sat</t>
  </si>
  <si>
    <t>Roè ™ iorii de vede</t>
  </si>
  <si>
    <t>RoÈ™iorii de Vede</t>
  </si>
  <si>
    <t>romano</t>
  </si>
  <si>
    <t>Roman</t>
  </si>
  <si>
    <t>Säƒcele</t>
  </si>
  <si>
    <t>SÄƒcele</t>
  </si>
  <si>
    <t>SALONTA</t>
  </si>
  <si>
    <t>Salonta</t>
  </si>
  <si>
    <t>SATU Mare</t>
  </si>
  <si>
    <t>SEBELOU</t>
  </si>
  <si>
    <t>SebeÅŸ</t>
  </si>
  <si>
    <t>Setor 1</t>
  </si>
  <si>
    <t>Sector 1</t>
  </si>
  <si>
    <t>Setor 2</t>
  </si>
  <si>
    <t>Sector 2</t>
  </si>
  <si>
    <t>Setor 3</t>
  </si>
  <si>
    <t>Sector 3</t>
  </si>
  <si>
    <t>Setor 4</t>
  </si>
  <si>
    <t>Sector 4</t>
  </si>
  <si>
    <t>Setor 5</t>
  </si>
  <si>
    <t>Sector 5</t>
  </si>
  <si>
    <t>Setor 6</t>
  </si>
  <si>
    <t>Sector 6</t>
  </si>
  <si>
    <t>Sfã ntu-gheorghe</t>
  </si>
  <si>
    <t>SfÃ¢ntu-Gheorghe</t>
  </si>
  <si>
    <t>Covasna</t>
  </si>
  <si>
    <t>SIGETU MARMAå £ IEI</t>
  </si>
  <si>
    <t>Sighetu MarmaÅ£iei</t>
  </si>
  <si>
    <t>Sighiè ™ Oara</t>
  </si>
  <si>
    <t>SighiÈ™oara</t>
  </si>
  <si>
    <t>Slatina</t>
  </si>
  <si>
    <t>Sucuva</t>
  </si>
  <si>
    <t>Té rgoviåÿte</t>
  </si>
  <si>
    <t>TÃ¢rgoviÅŸte</t>
  </si>
  <si>
    <t>T ¢ rgu jiu</t>
  </si>
  <si>
    <t>TÃ¢rgu Jiu</t>
  </si>
  <si>
    <t>T ¢ rgu neamå £</t>
  </si>
  <si>
    <t>TÃ¢rgu NeamÅ£</t>
  </si>
  <si>
    <t>T ¢ rgu secuiesc</t>
  </si>
  <si>
    <t>TÃ¢rgu Secuiesc</t>
  </si>
  <si>
    <t>T ¢ rgu-mureåero</t>
  </si>
  <si>
    <t>TÃ¢rgu-MureÅŸ</t>
  </si>
  <si>
    <t>Té rnäƒveni</t>
  </si>
  <si>
    <t>TÃ¢rnÄƒveni</t>
  </si>
  <si>
    <t>Tecuci</t>
  </si>
  <si>
    <t>Timiåÿoara</t>
  </si>
  <si>
    <t>TimiÅŸoara</t>
  </si>
  <si>
    <t>Tulcea</t>
  </si>
  <si>
    <t>Turda</t>
  </si>
  <si>
    <t>Turn Mäƒgule</t>
  </si>
  <si>
    <t>Turnu MÄƒgurele</t>
  </si>
  <si>
    <t>Urziceni</t>
  </si>
  <si>
    <t>Vatra Dornei</t>
  </si>
  <si>
    <t>Viåÿeu de Sus</t>
  </si>
  <si>
    <t>ViÅŸeu de Sus</t>
  </si>
  <si>
    <t>Voluntari</t>
  </si>
  <si>
    <t>Vulcan</t>
  </si>
  <si>
    <t>Zäƒrneè ™ Ti</t>
  </si>
  <si>
    <t>ZÄƒrneÈ™ti</t>
  </si>
  <si>
    <t>Zaläƒu</t>
  </si>
  <si>
    <t>ZalÄƒu</t>
  </si>
  <si>
    <t>Zimniquea</t>
  </si>
  <si>
    <t>Zimnicea</t>
  </si>
  <si>
    <t>Abakan</t>
  </si>
  <si>
    <t>Russia</t>
  </si>
  <si>
    <t>Khakasiya</t>
  </si>
  <si>
    <t>ABAZA</t>
  </si>
  <si>
    <t>Abaza</t>
  </si>
  <si>
    <t>Abdulino</t>
  </si>
  <si>
    <t>Orenburg</t>
  </si>
  <si>
    <t>Abinsk</t>
  </si>
  <si>
    <t>Krasnodarskiy</t>
  </si>
  <si>
    <t>Achinsk</t>
  </si>
  <si>
    <t>Krasnoyarskiy</t>
  </si>
  <si>
    <t>Achkhoy-Martan</t>
  </si>
  <si>
    <t>Chechnya</t>
  </si>
  <si>
    <t>Adler</t>
  </si>
  <si>
    <t>Admiralteisky</t>
  </si>
  <si>
    <t>St.-Petersburg</t>
  </si>
  <si>
    <t>Afipskiy</t>
  </si>
  <si>
    <t>Agidel '</t>
  </si>
  <si>
    <t>Agidelâ€™</t>
  </si>
  <si>
    <t>Bashkortostan</t>
  </si>
  <si>
    <t>Agryz</t>
  </si>
  <si>
    <t>Tatarstan</t>
  </si>
  <si>
    <t>Akademgorodok</t>
  </si>
  <si>
    <t>Novosibirsk</t>
  </si>
  <si>
    <t>Akademicheskoe</t>
  </si>
  <si>
    <t>Leningrad</t>
  </si>
  <si>
    <t>Akhtubinsk</t>
  </si>
  <si>
    <t>Astrakhan</t>
  </si>
  <si>
    <t>Akhtyrskiy</t>
  </si>
  <si>
    <t>Aksay</t>
  </si>
  <si>
    <t>Rostov</t>
  </si>
  <si>
    <t>Todos os conhecidos</t>
  </si>
  <si>
    <t>Alâ€™metâ€™yevsk</t>
  </si>
  <si>
    <t>ALAGIR</t>
  </si>
  <si>
    <t>Alagir</t>
  </si>
  <si>
    <t>North Ossetia</t>
  </si>
  <si>
    <t>Alapayevsk</t>
  </si>
  <si>
    <t>Sverdlovsk</t>
  </si>
  <si>
    <t>Alatyr '</t>
  </si>
  <si>
    <t>Alatyrâ€™</t>
  </si>
  <si>
    <t>Chuvashia</t>
  </si>
  <si>
    <t>Aldan</t>
  </si>
  <si>
    <t>Sakha</t>
  </si>
  <si>
    <t>Aleksandrov</t>
  </si>
  <si>
    <t>Vladimir</t>
  </si>
  <si>
    <t>Aleksandrovsk</t>
  </si>
  <si>
    <t>Perm</t>
  </si>
  <si>
    <t>Aleksandrovskoye</t>
  </si>
  <si>
    <t>Stavropol'skiy</t>
  </si>
  <si>
    <t>Alekseyevka</t>
  </si>
  <si>
    <t>MO</t>
  </si>
  <si>
    <t>Belgorod</t>
  </si>
  <si>
    <t>Aleksin</t>
  </si>
  <si>
    <t>Tula</t>
  </si>
  <si>
    <t>Aleysk</t>
  </si>
  <si>
    <t>Altai Krai</t>
  </si>
  <si>
    <t>Altuf »yevskiy</t>
  </si>
  <si>
    <t>Altufâ€™yevskiy</t>
  </si>
  <si>
    <t>Moscow</t>
  </si>
  <si>
    <t>Aminâ € yevo</t>
  </si>
  <si>
    <t>Aminâ€™yevo</t>
  </si>
  <si>
    <t>Amursk</t>
  </si>
  <si>
    <t>Khabarovsk Krai</t>
  </si>
  <si>
    <t>Anapa</t>
  </si>
  <si>
    <t>Andreyevskoye</t>
  </si>
  <si>
    <t>Angarsk</t>
  </si>
  <si>
    <t>Irkutsk</t>
  </si>
  <si>
    <t>Anna</t>
  </si>
  <si>
    <t>Voronezj</t>
  </si>
  <si>
    <t>Annino</t>
  </si>
  <si>
    <t>Anzhero-Sudzhensk</t>
  </si>
  <si>
    <t>Kemerovo</t>
  </si>
  <si>
    <t>Apatidade</t>
  </si>
  <si>
    <t>Apatity</t>
  </si>
  <si>
    <t>Murmansk</t>
  </si>
  <si>
    <t>Aprelevka</t>
  </si>
  <si>
    <t>Apsheronsk</t>
  </si>
  <si>
    <t>Aramil</t>
  </si>
  <si>
    <t>Ardon</t>
  </si>
  <si>
    <t>Argun</t>
  </si>
  <si>
    <t>Arkhangel 'sk</t>
  </si>
  <si>
    <t>Arkhangelâ€™sk</t>
  </si>
  <si>
    <t>Arkhangelskaya</t>
  </si>
  <si>
    <t>Arsen € yev</t>
  </si>
  <si>
    <t>Arsenâ€™yev</t>
  </si>
  <si>
    <t>Primorskiy</t>
  </si>
  <si>
    <t>Arsk</t>
  </si>
  <si>
    <t>Artã m</t>
  </si>
  <si>
    <t>ArtÃ«m</t>
  </si>
  <si>
    <t>Artã «movskiy</t>
  </si>
  <si>
    <t>ArtÃ«movskiy</t>
  </si>
  <si>
    <t>Arzamas</t>
  </si>
  <si>
    <t>Nizjnij Novgorod</t>
  </si>
  <si>
    <t>Arzgir</t>
  </si>
  <si>
    <t>O mais amizade</t>
  </si>
  <si>
    <t>Asbest</t>
  </si>
  <si>
    <t>Asha</t>
  </si>
  <si>
    <t>Chelyabinsk</t>
  </si>
  <si>
    <t>Asino</t>
  </si>
  <si>
    <t>Tomsk</t>
  </si>
  <si>
    <t>Astracã</t>
  </si>
  <si>
    <t>Atkarsk</t>
  </si>
  <si>
    <t>Saratov</t>
  </si>
  <si>
    <t>Avtovo</t>
  </si>
  <si>
    <t>AvTury</t>
  </si>
  <si>
    <t>Avtury</t>
  </si>
  <si>
    <t>Aykhal</t>
  </si>
  <si>
    <t>Azov</t>
  </si>
  <si>
    <t>Babushkin</t>
  </si>
  <si>
    <t>Bantayevskaya</t>
  </si>
  <si>
    <t>Bagayevskaya</t>
  </si>
  <si>
    <t>Bakal</t>
  </si>
  <si>
    <t>Baksan</t>
  </si>
  <si>
    <t>Kabardino-Balkariya</t>
  </si>
  <si>
    <t>Balabanovo</t>
  </si>
  <si>
    <t>Kaluga</t>
  </si>
  <si>
    <t>Balakovo</t>
  </si>
  <si>
    <t>Balashikha</t>
  </si>
  <si>
    <t>Balashov</t>
  </si>
  <si>
    <t>Balezino</t>
  </si>
  <si>
    <t>Udmurtiya</t>
  </si>
  <si>
    <t>Baltiysk</t>
  </si>
  <si>
    <t>Kaliningrad</t>
  </si>
  <si>
    <t>Barabinsk</t>
  </si>
  <si>
    <t>Barnaul</t>
  </si>
  <si>
    <t>Barysh</t>
  </si>
  <si>
    <t>Ulyanovsk</t>
  </si>
  <si>
    <t>BATAYSK</t>
  </si>
  <si>
    <t>Bataysk</t>
  </si>
  <si>
    <t>Bavly</t>
  </si>
  <si>
    <t>Baykal 'sk</t>
  </si>
  <si>
    <t>Baykalâ€™sk</t>
  </si>
  <si>
    <t>Baymak</t>
  </si>
  <si>
    <t>Belé «v</t>
  </si>
  <si>
    <t>BelÃ«v</t>
  </si>
  <si>
    <t>Belaya Glina</t>
  </si>
  <si>
    <t>Belaya Kalitva</t>
  </si>
  <si>
    <t>Belebey</t>
  </si>
  <si>
    <t>Belidzhi</t>
  </si>
  <si>
    <t>Dagestan</t>
  </si>
  <si>
    <t>Belogorsk</t>
  </si>
  <si>
    <t>Amur</t>
  </si>
  <si>
    <t>Beloozã rskiy</t>
  </si>
  <si>
    <t>BeloozÃ«rskiy</t>
  </si>
  <si>
    <t>Belorechensk</t>
  </si>
  <si>
    <t>Beloretsk</t>
  </si>
  <si>
    <t>Belovo</t>
  </si>
  <si>
    <t>Beloyarskiy</t>
  </si>
  <si>
    <t>Khanty-Mansiyskiy Avtonomnyy Okrug</t>
  </si>
  <si>
    <t>Berá Zovka</t>
  </si>
  <si>
    <t>BerÃ«zovka</t>
  </si>
  <si>
    <t>Berá Zovskiy</t>
  </si>
  <si>
    <t>BerÃ«zovskiy</t>
  </si>
  <si>
    <t>Berdsk</t>
  </si>
  <si>
    <t>Berezniki</t>
  </si>
  <si>
    <t>Beryozovsky</t>
  </si>
  <si>
    <t>Beslan</t>
  </si>
  <si>
    <t>Bezenchuk</t>
  </si>
  <si>
    <t>Samara</t>
  </si>
  <si>
    <t>Bezhetsk</t>
  </si>
  <si>
    <t>Tverskaya</t>
  </si>
  <si>
    <t>Bibirevo</t>
  </si>
  <si>
    <t>Bikin</t>
  </si>
  <si>
    <t>Birobidzhan</t>
  </si>
  <si>
    <t>Jewish Autonomous Oblast</t>
  </si>
  <si>
    <t>Birsk</t>
  </si>
  <si>
    <t>Biryulã «vo</t>
  </si>
  <si>
    <t>BiryulÃ«vo</t>
  </si>
  <si>
    <t>Biryulá «vo Zapadnoye</t>
  </si>
  <si>
    <t>BiryulÃ«vo Zapadnoye</t>
  </si>
  <si>
    <t>Biryysk</t>
  </si>
  <si>
    <t>Biysk</t>
  </si>
  <si>
    <t>Blagodarnyy</t>
  </si>
  <si>
    <t>Blagoveshchensk</t>
  </si>
  <si>
    <t>Bobrov</t>
  </si>
  <si>
    <t>Bodaybo</t>
  </si>
  <si>
    <t>Bogdanovich</t>
  </si>
  <si>
    <t>Bogoroditsk</t>
  </si>
  <si>
    <t>Bogorodsk</t>
  </si>
  <si>
    <t>Bogorodskoye</t>
  </si>
  <si>
    <t>Bogotol</t>
  </si>
  <si>
    <t>Boguchar</t>
  </si>
  <si>
    <t>Boksitogorsk</t>
  </si>
  <si>
    <t>Bolâ € Shaya Setun '</t>
  </si>
  <si>
    <t>Bolâ€™shaya Setunâ€™</t>
  </si>
  <si>
    <t>Bolâ € Shoy Kamen '</t>
  </si>
  <si>
    <t>Bolâ€™shoy Kamenâ€™</t>
  </si>
  <si>
    <t>Boloye</t>
  </si>
  <si>
    <t>Bologoye</t>
  </si>
  <si>
    <t>Bolotnoye</t>
  </si>
  <si>
    <t>Bor</t>
  </si>
  <si>
    <t>Borisoglebsk</t>
  </si>
  <si>
    <t>Borodino</t>
  </si>
  <si>
    <t>Borovichi</t>
  </si>
  <si>
    <t>Novgorod</t>
  </si>
  <si>
    <t>Borovskiy</t>
  </si>
  <si>
    <t>Tjumen</t>
  </si>
  <si>
    <t>Borzya</t>
  </si>
  <si>
    <t>Transbaikal Territory</t>
  </si>
  <si>
    <t>Brateyevo</t>
  </si>
  <si>
    <t>Bratsk</t>
  </si>
  <si>
    <t>Bronnitsy</t>
  </si>
  <si>
    <t>Bryansk</t>
  </si>
  <si>
    <t>Brjansk</t>
  </si>
  <si>
    <t>Bryukhovetskaya</t>
  </si>
  <si>
    <t>Budã «nnovsk</t>
  </si>
  <si>
    <t>BudÃ«nnovsk</t>
  </si>
  <si>
    <t>Bugulâ €</t>
  </si>
  <si>
    <t>Bugulâ€™ma</t>
  </si>
  <si>
    <t>Buguruslan</t>
  </si>
  <si>
    <t>Buinsk</t>
  </si>
  <si>
    <t>Businovo</t>
  </si>
  <si>
    <t>Buturlinovka</t>
  </si>
  <si>
    <t>Comprar</t>
  </si>
  <si>
    <t>Buy</t>
  </si>
  <si>
    <t>Kostroma</t>
  </si>
  <si>
    <t>Buynaksk</t>
  </si>
  <si>
    <t>Buzuluk</t>
  </si>
  <si>
    <t>Centralniy</t>
  </si>
  <si>
    <t>Chapayevsk</t>
  </si>
  <si>
    <t>Chaykovskiy</t>
  </si>
  <si>
    <t>Chebarkul '</t>
  </si>
  <si>
    <t>Chebarkulâ€™</t>
  </si>
  <si>
    <t>Cheboksary</t>
  </si>
  <si>
    <t>Chegem</t>
  </si>
  <si>
    <t>Chekhov</t>
  </si>
  <si>
    <t>Cherã «Mushki</t>
  </si>
  <si>
    <t>CherÃ«mushki</t>
  </si>
  <si>
    <t>Cheremkhovo</t>
  </si>
  <si>
    <t>Cherepanovo</t>
  </si>
  <si>
    <t>Cherepovets</t>
  </si>
  <si>
    <t>Vologda</t>
  </si>
  <si>
    <t>Cherkessk</t>
  </si>
  <si>
    <t>Karachayevo-Cherkesiya</t>
  </si>
  <si>
    <t>Chernaya Rechka</t>
  </si>
  <si>
    <t>Chernogolovka</t>
  </si>
  <si>
    <t>Chernogorsk</t>
  </si>
  <si>
    <t>Chernushka</t>
  </si>
  <si>
    <t>Chernyakhovsk</t>
  </si>
  <si>
    <t>Chernyanka</t>
  </si>
  <si>
    <t>CHERTANOVO YUZHNOYE</t>
  </si>
  <si>
    <t>Chertanovo Yuzhnoye</t>
  </si>
  <si>
    <t>Chishmy</t>
  </si>
  <si>
    <t>CHISTOOL '</t>
  </si>
  <si>
    <t>Chistopolâ€™</t>
  </si>
  <si>
    <t>Chita</t>
  </si>
  <si>
    <t>Chudovo</t>
  </si>
  <si>
    <t>Chunskiy</t>
  </si>
  <si>
    <t>Chusovoy</t>
  </si>
  <si>
    <t>Dachnoye</t>
  </si>
  <si>
    <t>DAGESTANSKIYE OGNI</t>
  </si>
  <si>
    <t>Dagestanskiye Ogni</t>
  </si>
  <si>
    <t>Dagomys</t>
  </si>
  <si>
    <t>Dal'rechensk</t>
  </si>
  <si>
    <t>Dalâ€™nerechensk</t>
  </si>
  <si>
    <t>Dal'negorsk</t>
  </si>
  <si>
    <t>Danilov</t>
  </si>
  <si>
    <t>Jaroslavl</t>
  </si>
  <si>
    <t>Dankov</t>
  </si>
  <si>
    <t>Lipetsk</t>
  </si>
  <si>
    <t>Davlekanovo</t>
  </si>
  <si>
    <t>Davydkovo</t>
  </si>
  <si>
    <t>Dedovsk</t>
  </si>
  <si>
    <t>Degtyarsk</t>
  </si>
  <si>
    <t>Derbente</t>
  </si>
  <si>
    <t>Derbent</t>
  </si>
  <si>
    <t>Desnogorsk</t>
  </si>
  <si>
    <t>Smolensk</t>
  </si>
  <si>
    <t>Dinskaya</t>
  </si>
  <si>
    <t>Divnogorsk</t>
  </si>
  <si>
    <t>Divnoye</t>
  </si>
  <si>
    <t>Dmitrov</t>
  </si>
  <si>
    <t>Dobryanka</t>
  </si>
  <si>
    <t>Dolgoprudnyy</t>
  </si>
  <si>
    <t>DOMODEDOVO</t>
  </si>
  <si>
    <t>Domodedovo</t>
  </si>
  <si>
    <t>Donetsk</t>
  </si>
  <si>
    <t>Donskoy</t>
  </si>
  <si>
    <t>Donskoye</t>
  </si>
  <si>
    <t>Dorogomilovo</t>
  </si>
  <si>
    <t>Dubna</t>
  </si>
  <si>
    <t>Dubovka</t>
  </si>
  <si>
    <t>Volgograd</t>
  </si>
  <si>
    <t>Dudinka</t>
  </si>
  <si>
    <t>Dugulubgey</t>
  </si>
  <si>
    <t>Dyat 'kovo</t>
  </si>
  <si>
    <t>Dyatâ€™kovo</t>
  </si>
  <si>
    <t>Dyurtyuli</t>
  </si>
  <si>
    <t>Dzerzhinsk</t>
  </si>
  <si>
    <t>Dzerzhinskiy</t>
  </si>
  <si>
    <t>Ekazhevo</t>
  </si>
  <si>
    <t>Ingushetiya</t>
  </si>
  <si>
    <t>Elektrogorsk</t>
  </si>
  <si>
    <t>Elektrostal '</t>
  </si>
  <si>
    <t>Elektrostalâ€™</t>
  </si>
  <si>
    <t>Elektrougli</t>
  </si>
  <si>
    <t>Elista</t>
  </si>
  <si>
    <t>Kalmykiya</t>
  </si>
  <si>
    <t>Inimigo</t>
  </si>
  <si>
    <t>Enem</t>
  </si>
  <si>
    <t>Adygeya</t>
  </si>
  <si>
    <t>Engenhado</t>
  </si>
  <si>
    <t>Engelâ€™s</t>
  </si>
  <si>
    <t>Ezhva</t>
  </si>
  <si>
    <t>Komi Republic</t>
  </si>
  <si>
    <t>Fili</t>
  </si>
  <si>
    <t>Finlyandskiy</t>
  </si>
  <si>
    <t>Fokino</t>
  </si>
  <si>
    <t>FROLOVO</t>
  </si>
  <si>
    <t>Frolovo</t>
  </si>
  <si>
    <t>Fryazevo</t>
  </si>
  <si>
    <t>Fryazino</t>
  </si>
  <si>
    <t>Furmanov</t>
  </si>
  <si>
    <t>Ivanovo</t>
  </si>
  <si>
    <t>Gagarin</t>
  </si>
  <si>
    <t>Galich</t>
  </si>
  <si>
    <t>Gatchina</t>
  </si>
  <si>
    <t>Gavrilov-yam</t>
  </si>
  <si>
    <t>Gavrilov-Yam</t>
  </si>
  <si>
    <t>Gay</t>
  </si>
  <si>
    <t>GELENDZHIK</t>
  </si>
  <si>
    <t>Gelendzhik</t>
  </si>
  <si>
    <t>Georgiyevsk</t>
  </si>
  <si>
    <t>Giaginskaya</t>
  </si>
  <si>
    <t>Glazov</t>
  </si>
  <si>
    <t>Golâ € Yanovo</t>
  </si>
  <si>
    <t>Golâ€™yanovo</t>
  </si>
  <si>
    <t>Golitsyno</t>
  </si>
  <si>
    <t>Gorelovo</t>
  </si>
  <si>
    <t>Gorno-Altaysk</t>
  </si>
  <si>
    <t>Altai Republic</t>
  </si>
  <si>
    <t>Gornyak</t>
  </si>
  <si>
    <t>Gorodets</t>
  </si>
  <si>
    <t>Gorodishche</t>
  </si>
  <si>
    <t>Goryachevodskiy</t>
  </si>
  <si>
    <t>Goryachiy Klyuch</t>
  </si>
  <si>
    <t>Grazhdanka</t>
  </si>
  <si>
    <t>GRIBANOVSKIY</t>
  </si>
  <si>
    <t>Gribanovskiy</t>
  </si>
  <si>
    <t>Groznyy</t>
  </si>
  <si>
    <t>Gryazi</t>
  </si>
  <si>
    <t>Gryazovets</t>
  </si>
  <si>
    <t>Gubakha</t>
  </si>
  <si>
    <t>Gubkin</t>
  </si>
  <si>
    <t>Gubkinskiy</t>
  </si>
  <si>
    <t>Yamalo-Nenetskiy Avtonomnyy Okrug</t>
  </si>
  <si>
    <t>Gudermes</t>
  </si>
  <si>
    <t>Gukovo</t>
  </si>
  <si>
    <t>Gul 'Kevichi</t>
  </si>
  <si>
    <t>Gulâ€™kevichi</t>
  </si>
  <si>
    <t>Gur 'yevsk</t>
  </si>
  <si>
    <t>Gurâ€™yevsk</t>
  </si>
  <si>
    <t>Gus € ™ -khrustal 'nyy</t>
  </si>
  <si>
    <t>Gusâ€™-Khrustalâ€™nyy</t>
  </si>
  <si>
    <t>Gusev</t>
  </si>
  <si>
    <t>Gusinoozyorsk</t>
  </si>
  <si>
    <t>Respublika Buryatiya</t>
  </si>
  <si>
    <t>Igra</t>
  </si>
  <si>
    <t>IL â € ™ Skiy</t>
  </si>
  <si>
    <t>Ilâ€™skiy</t>
  </si>
  <si>
    <t>Ilanskiy</t>
  </si>
  <si>
    <t>Inozemtsevo</t>
  </si>
  <si>
    <t>Inza</t>
  </si>
  <si>
    <t>Ipatovo</t>
  </si>
  <si>
    <t>Irbit</t>
  </si>
  <si>
    <t>Isakogorka</t>
  </si>
  <si>
    <t>Ishim</t>
  </si>
  <si>
    <t>Ishimbay</t>
  </si>
  <si>
    <t>Iskitim</t>
  </si>
  <si>
    <t>Istra</t>
  </si>
  <si>
    <t>Ivanovskoye</t>
  </si>
  <si>
    <t>Ivanteyevka</t>
  </si>
  <si>
    <t>Ivdelâ €</t>
  </si>
  <si>
    <t>Ivdelâ€™</t>
  </si>
  <si>
    <t>Izberbash</t>
  </si>
  <si>
    <t>Izhevsk</t>
  </si>
  <si>
    <t>Izluchinsk</t>
  </si>
  <si>
    <t>Izmaylovo</t>
  </si>
  <si>
    <t>Izobil 'nyy</t>
  </si>
  <si>
    <t>Izobilâ€™nyy</t>
  </si>
  <si>
    <t>Kabanovo</t>
  </si>
  <si>
    <t>Kachkanar</t>
  </si>
  <si>
    <t>Kalach</t>
  </si>
  <si>
    <t>Kalachinsk</t>
  </si>
  <si>
    <t>Omsk</t>
  </si>
  <si>
    <t>Kalach-Na-donu</t>
  </si>
  <si>
    <t>Kalach-na-Donu</t>
  </si>
  <si>
    <t>Kaliningrado</t>
  </si>
  <si>
    <t>Kalininsk</t>
  </si>
  <si>
    <t>Kalininskiy</t>
  </si>
  <si>
    <t>Kaltan</t>
  </si>
  <si>
    <t>Kamen '-na-obi</t>
  </si>
  <si>
    <t>Kamenâ€™-na-Obi</t>
  </si>
  <si>
    <t>Kamensk-shakhtinskiy</t>
  </si>
  <si>
    <t>Kamensk-Shakhtinskiy</t>
  </si>
  <si>
    <t>Kamensk-mus</t>
  </si>
  <si>
    <t>Kamensk-Uralâ€™skiy</t>
  </si>
  <si>
    <t>Kamyshin</t>
  </si>
  <si>
    <t>Kamyshlov</t>
  </si>
  <si>
    <t>Kamyzyak</t>
  </si>
  <si>
    <t>Kanash</t>
  </si>
  <si>
    <t>Kandalaksha</t>
  </si>
  <si>
    <t>Kanevskaya</t>
  </si>
  <si>
    <t>Kansk</t>
  </si>
  <si>
    <t>Kantyshevo</t>
  </si>
  <si>
    <t>Kapotnya</t>
  </si>
  <si>
    <t>Karabanovo</t>
  </si>
  <si>
    <t>Karabash</t>
  </si>
  <si>
    <t>Karabulak</t>
  </si>
  <si>
    <t>Karachayevsk</t>
  </si>
  <si>
    <t>Karachev</t>
  </si>
  <si>
    <t>Karasuk</t>
  </si>
  <si>
    <t>Karpinsk</t>
  </si>
  <si>
    <t>Kartaly</t>
  </si>
  <si>
    <t>Kashin</t>
  </si>
  <si>
    <t>Kashira</t>
  </si>
  <si>
    <t>Kasimov</t>
  </si>
  <si>
    <t>Rjazan</t>
  </si>
  <si>
    <t>Kasli</t>
  </si>
  <si>
    <t>Kaspiysk</t>
  </si>
  <si>
    <t>KASTANAYEVO</t>
  </si>
  <si>
    <t>Kastanayevo</t>
  </si>
  <si>
    <t>Katav-Ivanovsk</t>
  </si>
  <si>
    <t>Kataysk</t>
  </si>
  <si>
    <t>Kurgan</t>
  </si>
  <si>
    <t>KAVALEROVO</t>
  </si>
  <si>
    <t>Kavalerovo</t>
  </si>
  <si>
    <t>Kayyerkan</t>
  </si>
  <si>
    <t>Kazan</t>
  </si>
  <si>
    <t>Kedrovka</t>
  </si>
  <si>
    <t>Khabarovsk</t>
  </si>
  <si>
    <t>Khabarovsk vtoroy</t>
  </si>
  <si>
    <t>Khabarovsk Vtoroy</t>
  </si>
  <si>
    <t>Khadyzhensk</t>
  </si>
  <si>
    <t>Khanty-Mansiysk</t>
  </si>
  <si>
    <t>Kharabali</t>
  </si>
  <si>
    <t>Khasavyurt</t>
  </si>
  <si>
    <t>Khimki</t>
  </si>
  <si>
    <t>Kholmsk</t>
  </si>
  <si>
    <t>Sakhalin</t>
  </si>
  <si>
    <t>Kholmskiy</t>
  </si>
  <si>
    <t>Khoroshã «vo-mnevniki</t>
  </si>
  <si>
    <t>KhoroshÃ«vo-Mnevniki</t>
  </si>
  <si>
    <t>Khosta</t>
  </si>
  <si>
    <t>Khot'kovo</t>
  </si>
  <si>
    <t>Kimovsk</t>
  </si>
  <si>
    <t>Kimry</t>
  </si>
  <si>
    <t>Kinelâ €</t>
  </si>
  <si>
    <t>Kinelâ€™</t>
  </si>
  <si>
    <t>Kinelâ € -Cerkassy</t>
  </si>
  <si>
    <t>Kinelâ€™-Cherkassy</t>
  </si>
  <si>
    <t>Kineshma</t>
  </si>
  <si>
    <t>Kingisepp</t>
  </si>
  <si>
    <t>Kireyevsk</t>
  </si>
  <si>
    <t>Kirishi</t>
  </si>
  <si>
    <t>Kirov</t>
  </si>
  <si>
    <t>Kirovgrad</t>
  </si>
  <si>
    <t>Kirovo-Chepetsk</t>
  </si>
  <si>
    <t>Kirovsk</t>
  </si>
  <si>
    <t>Kirsanov</t>
  </si>
  <si>
    <t>Tambov</t>
  </si>
  <si>
    <t>Kirzhach</t>
  </si>
  <si>
    <t>Kiselã vsk</t>
  </si>
  <si>
    <t>KiselÃ«vsk</t>
  </si>
  <si>
    <t>Kislovodsk</t>
  </si>
  <si>
    <t>Kizel</t>
  </si>
  <si>
    <t>Kizilyurt</t>
  </si>
  <si>
    <t>Kizlyar</t>
  </si>
  <si>
    <t>Klimovsk</t>
  </si>
  <si>
    <t>Klin</t>
  </si>
  <si>
    <t>Klintsy</t>
  </si>
  <si>
    <t>Kochenã «vo</t>
  </si>
  <si>
    <t>KochenÃ«vo</t>
  </si>
  <si>
    <t>Kochubeyevskoye</t>
  </si>
  <si>
    <t>Kodinsk</t>
  </si>
  <si>
    <t>Kogalym</t>
  </si>
  <si>
    <t>Kokhma</t>
  </si>
  <si>
    <t>KOL 'Chugino</t>
  </si>
  <si>
    <t>Kolâ€™chugino</t>
  </si>
  <si>
    <t>Kolomenskoye</t>
  </si>
  <si>
    <t>Kolomna</t>
  </si>
  <si>
    <t>Kolomyagi</t>
  </si>
  <si>
    <t>Kolpashevo</t>
  </si>
  <si>
    <t>Kolpino</t>
  </si>
  <si>
    <t>Komendantsky Aerodrom</t>
  </si>
  <si>
    <t>Komendantsky aerodrom</t>
  </si>
  <si>
    <t>Kommunar</t>
  </si>
  <si>
    <t>Komsomolsk-on-Amur</t>
  </si>
  <si>
    <t>Konakovo</t>
  </si>
  <si>
    <t>Kondopoga</t>
  </si>
  <si>
    <t>Republic of Karelia</t>
  </si>
  <si>
    <t>Kondrovo</t>
  </si>
  <si>
    <t>Konstantinovsk</t>
  </si>
  <si>
    <t>Kopeysk</t>
  </si>
  <si>
    <t>Korenovsk</t>
  </si>
  <si>
    <t>Korkino</t>
  </si>
  <si>
    <t>Korolev</t>
  </si>
  <si>
    <t>Korsakov</t>
  </si>
  <si>
    <t>Koryazhma</t>
  </si>
  <si>
    <t>KOSAYA GORA</t>
  </si>
  <si>
    <t>Kosaya Gora</t>
  </si>
  <si>
    <t>Kostomuksha</t>
  </si>
  <si>
    <t>Kotel'nich</t>
  </si>
  <si>
    <t>Kotelâ€™nich</t>
  </si>
  <si>
    <t>Kotel 'Niki</t>
  </si>
  <si>
    <t>Kotelâ€™niki</t>
  </si>
  <si>
    <t>Kotel 'Nikovo</t>
  </si>
  <si>
    <t>Kotelâ€™nikovo</t>
  </si>
  <si>
    <t>Kotlas</t>
  </si>
  <si>
    <t>Kotlovka</t>
  </si>
  <si>
    <t>Kotovo</t>
  </si>
  <si>
    <t>Kotovsk</t>
  </si>
  <si>
    <t>Kovdor</t>
  </si>
  <si>
    <t>Kovrov</t>
  </si>
  <si>
    <t>Kovylino</t>
  </si>
  <si>
    <t>Kovylkino</t>
  </si>
  <si>
    <t>Mordoviya</t>
  </si>
  <si>
    <t>MODEMENTO KOZ '</t>
  </si>
  <si>
    <t>Kozâ€™modemâ€™yansk</t>
  </si>
  <si>
    <t>Mariy-El</t>
  </si>
  <si>
    <t>Kozelâ € sk</t>
  </si>
  <si>
    <t>Kozelâ€™sk</t>
  </si>
  <si>
    <t>Kozeyevo</t>
  </si>
  <si>
    <t>Kozhukhovo</t>
  </si>
  <si>
    <t>Krasnoarmeysk</t>
  </si>
  <si>
    <t>Krasnoarmyyskaya</t>
  </si>
  <si>
    <t>Krasnoarmeyskaya</t>
  </si>
  <si>
    <t>Krasnodar</t>
  </si>
  <si>
    <t>Krasnogorsk</t>
  </si>
  <si>
    <t>Krasnogvardeyskoye</t>
  </si>
  <si>
    <t>Krasnogvargeisky</t>
  </si>
  <si>
    <t>Krasnokamensk</t>
  </si>
  <si>
    <t>Krasnokamsk</t>
  </si>
  <si>
    <t>Krasnoobsk</t>
  </si>
  <si>
    <t>Krasnotur 'Insk</t>
  </si>
  <si>
    <t>Krasnoturâ€™insk</t>
  </si>
  <si>
    <t>Krasnoufimsk</t>
  </si>
  <si>
    <t>Krasnoural 'sk</t>
  </si>
  <si>
    <t>Krasnouralâ€™sk</t>
  </si>
  <si>
    <t>Krasnovishersk</t>
  </si>
  <si>
    <t>Krasnoyarsk</t>
  </si>
  <si>
    <t>Krasnoye Selo</t>
  </si>
  <si>
    <t>Krasnoznamensk</t>
  </si>
  <si>
    <t>Krasnyy Sulin</t>
  </si>
  <si>
    <t>KRESTOVSKIY OSTROV</t>
  </si>
  <si>
    <t>Krestovskiy ostrov</t>
  </si>
  <si>
    <t>Kronshtadt</t>
  </si>
  <si>
    <t>Kropotkin</t>
  </si>
  <si>
    <t>Krymsk</t>
  </si>
  <si>
    <t>Kstovo</t>
  </si>
  <si>
    <t>Kubinka</t>
  </si>
  <si>
    <t>Kudepsta</t>
  </si>
  <si>
    <t>Kudymkar</t>
  </si>
  <si>
    <t>Kukmor</t>
  </si>
  <si>
    <t>Kulebaki</t>
  </si>
  <si>
    <t>Kulunda</t>
  </si>
  <si>
    <t>KUMERTAU</t>
  </si>
  <si>
    <t>Kumertau</t>
  </si>
  <si>
    <t>Kungur</t>
  </si>
  <si>
    <t>Kupchino</t>
  </si>
  <si>
    <t>Kupino</t>
  </si>
  <si>
    <t>Kur'nanovo</t>
  </si>
  <si>
    <t>Kurâ€™yanovo</t>
  </si>
  <si>
    <t>Kurchaloy</t>
  </si>
  <si>
    <t>Kurchatov</t>
  </si>
  <si>
    <t>Kursk</t>
  </si>
  <si>
    <t>Kurganinsk</t>
  </si>
  <si>
    <t>Kurortnyy</t>
  </si>
  <si>
    <t>Kurovskoye</t>
  </si>
  <si>
    <t>Kurtamysh</t>
  </si>
  <si>
    <t>Kusa</t>
  </si>
  <si>
    <t>Kushchã vskaya</t>
  </si>
  <si>
    <t>KushchÃ«vskaya</t>
  </si>
  <si>
    <t>Kushva</t>
  </si>
  <si>
    <t>Kuskovo</t>
  </si>
  <si>
    <t>Kuvandyk</t>
  </si>
  <si>
    <t>Kuybyshev</t>
  </si>
  <si>
    <t>Kuz 'Minki</t>
  </si>
  <si>
    <t>Kuzâ€™minki</t>
  </si>
  <si>
    <t>Kuznetsk</t>
  </si>
  <si>
    <t>Penza</t>
  </si>
  <si>
    <t>Kyakhta</t>
  </si>
  <si>
    <t>Kyshtym</t>
  </si>
  <si>
    <t>Kyzyl</t>
  </si>
  <si>
    <t>Tyva</t>
  </si>
  <si>
    <t>Eu sou govskiy</t>
  </si>
  <si>
    <t>Lâ€™govskiy</t>
  </si>
  <si>
    <t>Labinsk</t>
  </si>
  <si>
    <t>Labytnangi</t>
  </si>
  <si>
    <t>Lakinsk</t>
  </si>
  <si>
    <t>Langepas</t>
  </si>
  <si>
    <t>Lazarevskoye</t>
  </si>
  <si>
    <t>Lebedyan '</t>
  </si>
  <si>
    <t>Lebedyanâ€™</t>
  </si>
  <si>
    <t>Lefortovo</t>
  </si>
  <si>
    <t>Leningradskaya</t>
  </si>
  <si>
    <t>Leninogorsk</t>
  </si>
  <si>
    <t>Leninsk</t>
  </si>
  <si>
    <t>Leninskiye Gory</t>
  </si>
  <si>
    <t>Leninsk-Kuznetky</t>
  </si>
  <si>
    <t>Leninsk-Kuznetsky</t>
  </si>
  <si>
    <t>Lensk</t>
  </si>
  <si>
    <t>Leonovo</t>
  </si>
  <si>
    <t>LERMONTOV</t>
  </si>
  <si>
    <t>Lermontov</t>
  </si>
  <si>
    <t>Lesnoy</t>
  </si>
  <si>
    <t>Lesosibirsk</t>
  </si>
  <si>
    <t>Lesozavodsk</t>
  </si>
  <si>
    <t>Levoberezhnaya</t>
  </si>
  <si>
    <t>Levoberezhnyy</t>
  </si>
  <si>
    <t>LIANOZOVO</t>
  </si>
  <si>
    <t>Lianozovo</t>
  </si>
  <si>
    <t>Likhobory</t>
  </si>
  <si>
    <t>Likino-Dulevo</t>
  </si>
  <si>
    <t>Liná «vo</t>
  </si>
  <si>
    <t>LinÃ«vo</t>
  </si>
  <si>
    <t>LIPETSK</t>
  </si>
  <si>
    <t>Liski</t>
  </si>
  <si>
    <t>Livny</t>
  </si>
  <si>
    <t>Orjol</t>
  </si>
  <si>
    <t>Lobnya</t>
  </si>
  <si>
    <t>Polo LoDEYNOYE</t>
  </si>
  <si>
    <t>Lodeynoye Pole</t>
  </si>
  <si>
    <t>Lomonosov</t>
  </si>
  <si>
    <t>Losino-Petrovskiy</t>
  </si>
  <si>
    <t>Luchegorsk</t>
  </si>
  <si>
    <t>LUGA</t>
  </si>
  <si>
    <t>Luga</t>
  </si>
  <si>
    <t>Lukhovitsy</t>
  </si>
  <si>
    <t>Luzhniki</t>
  </si>
  <si>
    <t>Lyantor</t>
  </si>
  <si>
    <t>Lys â €</t>
  </si>
  <si>
    <t>Lysâ€™va</t>
  </si>
  <si>
    <t>Lyskovo</t>
  </si>
  <si>
    <t>Lytkarino</t>
  </si>
  <si>
    <t>Lyubertsy</t>
  </si>
  <si>
    <t>Lyublino</t>
  </si>
  <si>
    <t>Lyudinovo</t>
  </si>
  <si>
    <t>Magadan</t>
  </si>
  <si>
    <t>Magnitogorsk</t>
  </si>
  <si>
    <t>Makhachkala</t>
  </si>
  <si>
    <t>Malakhovka</t>
  </si>
  <si>
    <t>Malgobek</t>
  </si>
  <si>
    <t>Maloyaroslavets</t>
  </si>
  <si>
    <t>Manturovo</t>
  </si>
  <si>
    <t>Mar 'ina roshcha</t>
  </si>
  <si>
    <t>Marâ€™ina Roshcha</t>
  </si>
  <si>
    <t>Mar 'ino</t>
  </si>
  <si>
    <t>Marâ€™ino</t>
  </si>
  <si>
    <t>Mariinsk</t>
  </si>
  <si>
    <t>Markova</t>
  </si>
  <si>
    <t>Marcas</t>
  </si>
  <si>
    <t>Marks</t>
  </si>
  <si>
    <t>Matveyevskoye</t>
  </si>
  <si>
    <t>Maykop</t>
  </si>
  <si>
    <t>Mayma</t>
  </si>
  <si>
    <t>Mednogorsk</t>
  </si>
  <si>
    <t>Medvedevo</t>
  </si>
  <si>
    <t>MEDVEDOVSKAYA</t>
  </si>
  <si>
    <t>Medvedovskaya</t>
  </si>
  <si>
    <t>MedVezh - Yegorsk</t>
  </si>
  <si>
    <t>Medvezhâ€™yegorsk</t>
  </si>
  <si>
    <t>Megion</t>
  </si>
  <si>
    <t>Melenki</t>
  </si>
  <si>
    <t>Meleuz</t>
  </si>
  <si>
    <t>Mendeleyevsk</t>
  </si>
  <si>
    <t>Menzelinsk</t>
  </si>
  <si>
    <t>Metalostroy</t>
  </si>
  <si>
    <t>Metallostroy</t>
  </si>
  <si>
    <t>METROGORODOK</t>
  </si>
  <si>
    <t>Metrogorodok</t>
  </si>
  <si>
    <t>Mezhdurechensk</t>
  </si>
  <si>
    <t>Miass</t>
  </si>
  <si>
    <t>Michurinsk</t>
  </si>
  <si>
    <t>Mikhalkovo</t>
  </si>
  <si>
    <t>Mikhaylovka</t>
  </si>
  <si>
    <t>Mikhaylovsk</t>
  </si>
  <si>
    <t>Millerovo</t>
  </si>
  <si>
    <t>Mineralnye Vody</t>
  </si>
  <si>
    <t>Minusinsk</t>
  </si>
  <si>
    <t>Mirny</t>
  </si>
  <si>
    <t>Mirnyy</t>
  </si>
  <si>
    <t>Monchegorsk</t>
  </si>
  <si>
    <t>Monino</t>
  </si>
  <si>
    <t>Morozovsk</t>
  </si>
  <si>
    <t>Morshansk</t>
  </si>
  <si>
    <t>Moscou</t>
  </si>
  <si>
    <t>Moskovskiy</t>
  </si>
  <si>
    <t>MOSTOVSKOY</t>
  </si>
  <si>
    <t>Mostovskoy</t>
  </si>
  <si>
    <t>Mozdok</t>
  </si>
  <si>
    <t>Mozhaysk</t>
  </si>
  <si>
    <t>Mozhga</t>
  </si>
  <si>
    <t>MTSENSK</t>
  </si>
  <si>
    <t>Mtsensk</t>
  </si>
  <si>
    <t>MURAVLENKO</t>
  </si>
  <si>
    <t>Muravlenko</t>
  </si>
  <si>
    <t>Murom</t>
  </si>
  <si>
    <t>Myski</t>
  </si>
  <si>
    <t>MyTishchi</t>
  </si>
  <si>
    <t>Mytishchi</t>
  </si>
  <si>
    <t>Naberezhnyye Chelny</t>
  </si>
  <si>
    <t>Nadym</t>
  </si>
  <si>
    <t>Nagornyy</t>
  </si>
  <si>
    <t>Nakhabino</t>
  </si>
  <si>
    <t>Nakhodka</t>
  </si>
  <si>
    <t>Nalâ € chik</t>
  </si>
  <si>
    <t>Nalâ€™chik</t>
  </si>
  <si>
    <t>Naro-Fominsk</t>
  </si>
  <si>
    <t>Nartkala</t>
  </si>
  <si>
    <t>Nar'yan-mar</t>
  </si>
  <si>
    <t>Nar'yan-Mar</t>
  </si>
  <si>
    <t>Nenetskiy Avtonomnyy Okrug</t>
  </si>
  <si>
    <t>Navashino</t>
  </si>
  <si>
    <t>Nazarovo</t>
  </si>
  <si>
    <t>Nazran '</t>
  </si>
  <si>
    <t>Nazranâ€™</t>
  </si>
  <si>
    <t>Neftegorsk</t>
  </si>
  <si>
    <t>Neftekamsk</t>
  </si>
  <si>
    <t>Neftekumsk</t>
  </si>
  <si>
    <t>Nefteyugansk</t>
  </si>
  <si>
    <t>Nelidovo</t>
  </si>
  <si>
    <t>Nerchinsk</t>
  </si>
  <si>
    <t>Nerekhta</t>
  </si>
  <si>
    <t>Neryungri</t>
  </si>
  <si>
    <t>Nestevskaya</t>
  </si>
  <si>
    <t>Nesterovskaya</t>
  </si>
  <si>
    <t>Nev 'Yansk</t>
  </si>
  <si>
    <t>Nevâ€™yansk</t>
  </si>
  <si>
    <t>Nevelâ €</t>
  </si>
  <si>
    <t>Nevelâ€™</t>
  </si>
  <si>
    <t>Pskov</t>
  </si>
  <si>
    <t>Nevel 'sk</t>
  </si>
  <si>
    <t>Nevelâ€™sk</t>
  </si>
  <si>
    <t>Nevinnomyssk</t>
  </si>
  <si>
    <t>Nezlobnaya</t>
  </si>
  <si>
    <t>Nikelâ €</t>
  </si>
  <si>
    <t>Nikelâ€™</t>
  </si>
  <si>
    <t>Nikol 'sk</t>
  </si>
  <si>
    <t>Nikolâ€™sk</t>
  </si>
  <si>
    <t>Nikol 'Skoye</t>
  </si>
  <si>
    <t>Nikolâ€™skoye</t>
  </si>
  <si>
    <t>Nikolayevsk</t>
  </si>
  <si>
    <t>Nikolayevsk-on-amure</t>
  </si>
  <si>
    <t>Nikolayevsk-on-Amure</t>
  </si>
  <si>
    <t>Nikulino</t>
  </si>
  <si>
    <t>Nizhnekamsk</t>
  </si>
  <si>
    <t>Nizhnesortymskiy</t>
  </si>
  <si>
    <t>Nizhneudinsk</t>
  </si>
  <si>
    <t>Nizhnevartovsk</t>
  </si>
  <si>
    <t>Nizhniy Lomov</t>
  </si>
  <si>
    <t>Nizhniy Novgorod</t>
  </si>
  <si>
    <t>Nizhniy Tagil</t>
  </si>
  <si>
    <t>Nizhnyaya Salda</t>
  </si>
  <si>
    <t>Nizhnyaya Tura</t>
  </si>
  <si>
    <t>Noginsk</t>
  </si>
  <si>
    <t>Norilsk</t>
  </si>
  <si>
    <t>Novaya Balakhna</t>
  </si>
  <si>
    <t>Novaya Derevnya</t>
  </si>
  <si>
    <t>Novaya Usman '</t>
  </si>
  <si>
    <t>Novaya Usmanâ€™</t>
  </si>
  <si>
    <t>Novoaleksandrovsk</t>
  </si>
  <si>
    <t>Novoaltaysk</t>
  </si>
  <si>
    <t>Novoanninskiy</t>
  </si>
  <si>
    <t>NovocheBoksarsk</t>
  </si>
  <si>
    <t>Novocheboksarsk</t>
  </si>
  <si>
    <t>Novocherkassk</t>
  </si>
  <si>
    <t>Novodvinsk</t>
  </si>
  <si>
    <t>NovoGireyevo</t>
  </si>
  <si>
    <t>Novogireyevo</t>
  </si>
  <si>
    <t>Novokhovrino</t>
  </si>
  <si>
    <t>Novokubansk</t>
  </si>
  <si>
    <t>Novokuybyshevsk</t>
  </si>
  <si>
    <t>Novokuz 'Minki</t>
  </si>
  <si>
    <t>Novokuzâ€™minki</t>
  </si>
  <si>
    <t>Novokuznetk</t>
  </si>
  <si>
    <t>Novokuznetsk</t>
  </si>
  <si>
    <t>Novomichurinsk</t>
  </si>
  <si>
    <t>Novomoskovsk</t>
  </si>
  <si>
    <t>Novopavlovsk</t>
  </si>
  <si>
    <t>Novo-Peredelkino</t>
  </si>
  <si>
    <t>Novopokrovskaya</t>
  </si>
  <si>
    <t>Novelossiysk</t>
  </si>
  <si>
    <t>Novorossiysk</t>
  </si>
  <si>
    <t>Novoshakhtinsk</t>
  </si>
  <si>
    <t>Novosilikatnyy</t>
  </si>
  <si>
    <t>Novotitarovskaya</t>
  </si>
  <si>
    <t>NovoTroitsk</t>
  </si>
  <si>
    <t>Novotroitsk</t>
  </si>
  <si>
    <t>Novoul € Yanovsk</t>
  </si>
  <si>
    <t>Novoulâ€™yanovsk</t>
  </si>
  <si>
    <t>Novoural 'sk</t>
  </si>
  <si>
    <t>Novouralâ€™sk</t>
  </si>
  <si>
    <t>Novouzensk</t>
  </si>
  <si>
    <t>Novovladykino</t>
  </si>
  <si>
    <t>Novovoronezh</t>
  </si>
  <si>
    <t>Novozybkov</t>
  </si>
  <si>
    <t>Novyy Oskol</t>
  </si>
  <si>
    <t>Novyy Urengoy</t>
  </si>
  <si>
    <t>Novyye Cherã «Mushki</t>
  </si>
  <si>
    <t>Novyye CherÃ«mushki</t>
  </si>
  <si>
    <t>Novyye Kuz 'Minki</t>
  </si>
  <si>
    <t>Novyye Kuzâ€™minki</t>
  </si>
  <si>
    <t>Noyabrsk</t>
  </si>
  <si>
    <t>Nurlat</t>
  </si>
  <si>
    <t>Nyagan</t>
  </si>
  <si>
    <t>Nyandoma</t>
  </si>
  <si>
    <t>NYTVA</t>
  </si>
  <si>
    <t>Nytva</t>
  </si>
  <si>
    <t>Ob'i</t>
  </si>
  <si>
    <t>Obâ€™</t>
  </si>
  <si>
    <t>Obninsk</t>
  </si>
  <si>
    <t>Obukhovo</t>
  </si>
  <si>
    <t>Ochã «r</t>
  </si>
  <si>
    <t>OchÃ«r</t>
  </si>
  <si>
    <t>Ochakovo-Matveyevskoye</t>
  </si>
  <si>
    <t>Odintsovo</t>
  </si>
  <si>
    <t>Oktyabr 'esquie</t>
  </si>
  <si>
    <t>Oktyabrâ€™skiy</t>
  </si>
  <si>
    <t>Olenegorsk</t>
  </si>
  <si>
    <t>Omutninsk</t>
  </si>
  <si>
    <t>Onega</t>
  </si>
  <si>
    <t>OrÃ«l</t>
  </si>
  <si>
    <t>Ordzhonikidzevskaya</t>
  </si>
  <si>
    <t>Orekhovo-Borisovo</t>
  </si>
  <si>
    <t>Orekhovo-Borisovo Severnoye</t>
  </si>
  <si>
    <t>Orekhovo-Zuyevo</t>
  </si>
  <si>
    <t>Orlovskiy</t>
  </si>
  <si>
    <t>Orsk</t>
  </si>
  <si>
    <t>Osa</t>
  </si>
  <si>
    <t>Osinniki</t>
  </si>
  <si>
    <t>Ostankinskiy</t>
  </si>
  <si>
    <t>OSTASHKOV</t>
  </si>
  <si>
    <t>Ostashkov</t>
  </si>
  <si>
    <t>Ostrogozhsk</t>
  </si>
  <si>
    <t>OTRADNAYA</t>
  </si>
  <si>
    <t>Otradnaya</t>
  </si>
  <si>
    <t>OTRADNOYE</t>
  </si>
  <si>
    <t>Otradnoye</t>
  </si>
  <si>
    <t>OTRADNYY</t>
  </si>
  <si>
    <t>Otradnyy</t>
  </si>
  <si>
    <t>Ozé</t>
  </si>
  <si>
    <t>OzÃ«ry</t>
  </si>
  <si>
    <t>Ozerki</t>
  </si>
  <si>
    <t>Ozersk</t>
  </si>
  <si>
    <t>Pallasovka</t>
  </si>
  <si>
    <t>Parnas</t>
  </si>
  <si>
    <t>Partizansk</t>
  </si>
  <si>
    <t>Pashkovskiy</t>
  </si>
  <si>
    <t>Pavlovo</t>
  </si>
  <si>
    <t>Pavlovsk</t>
  </si>
  <si>
    <t>Pavlovskaya</t>
  </si>
  <si>
    <t>Pavlovskiy Posad</t>
  </si>
  <si>
    <t>Pechora</t>
  </si>
  <si>
    <t>Pereslavlâ € -zalesskiy</t>
  </si>
  <si>
    <t>Pereslavlâ€™-Zalesskiy</t>
  </si>
  <si>
    <t>Perovo</t>
  </si>
  <si>
    <t>Persianovka</t>
  </si>
  <si>
    <t>Pervoural - sk</t>
  </si>
  <si>
    <t>Pervouralâ€™sk</t>
  </si>
  <si>
    <t>Pestovo</t>
  </si>
  <si>
    <t>Peterhof</t>
  </si>
  <si>
    <t>Petrodvorets</t>
  </si>
  <si>
    <t>Petrogradka</t>
  </si>
  <si>
    <t>Petropavlovsk-Kamchatsky</t>
  </si>
  <si>
    <t>Kamtsjatka</t>
  </si>
  <si>
    <t>Petrovsk</t>
  </si>
  <si>
    <t>Petrovskaya</t>
  </si>
  <si>
    <t>Petrovsk-Zabaykal 'Skiy</t>
  </si>
  <si>
    <t>Petrovsk-Zabaykalâ€™skiy</t>
  </si>
  <si>
    <t>Petrozavodsk</t>
  </si>
  <si>
    <t>Petushki</t>
  </si>
  <si>
    <t>Pikalã «vo</t>
  </si>
  <si>
    <t>PikalÃ«vo</t>
  </si>
  <si>
    <t>Plasta</t>
  </si>
  <si>
    <t>Plast</t>
  </si>
  <si>
    <t>Plavsk</t>
  </si>
  <si>
    <t>Pochep</t>
  </si>
  <si>
    <t>Podol 'sk</t>
  </si>
  <si>
    <t>Podolâ€™sk</t>
  </si>
  <si>
    <t>Vodporozhâ €</t>
  </si>
  <si>
    <t>Podporozhâ€™ye</t>
  </si>
  <si>
    <t>Pokachi</t>
  </si>
  <si>
    <t>Pokhvistnevo</t>
  </si>
  <si>
    <t>Pokrov</t>
  </si>
  <si>
    <t>POKROVSKOYE-STRESHNO «VO</t>
  </si>
  <si>
    <t>Pokrovskoye-StreshnÃ«vo</t>
  </si>
  <si>
    <t>Polevskoy</t>
  </si>
  <si>
    <t>Polarnia</t>
  </si>
  <si>
    <t>Polyarnyy</t>
  </si>
  <si>
    <t>Polyarnyye Zori</t>
  </si>
  <si>
    <t>Polysayevo</t>
  </si>
  <si>
    <t>Poronaysk</t>
  </si>
  <si>
    <t>Povorino</t>
  </si>
  <si>
    <t>Poykovskiy</t>
  </si>
  <si>
    <t>Presnenskiy</t>
  </si>
  <si>
    <t>Pridonskoy</t>
  </si>
  <si>
    <t>Primorsko-Akhtarsk</t>
  </si>
  <si>
    <t>Priozã rsk</t>
  </si>
  <si>
    <t>PriozÃ«rsk</t>
  </si>
  <si>
    <t>Privolzhsk</t>
  </si>
  <si>
    <t>Privolzhskiy</t>
  </si>
  <si>
    <t>Priyutovo</t>
  </si>
  <si>
    <t>Prokhladnyy</t>
  </si>
  <si>
    <t>Prokop 'yevsk</t>
  </si>
  <si>
    <t>Prokopâ€™yevsk</t>
  </si>
  <si>
    <t>Proletarsk</t>
  </si>
  <si>
    <t>Promyshlennaya</t>
  </si>
  <si>
    <t>Protvino</t>
  </si>
  <si>
    <t>Pugachev</t>
  </si>
  <si>
    <t>Pushchino</t>
  </si>
  <si>
    <t>Pushkin</t>
  </si>
  <si>
    <t>Pyatigorsk</t>
  </si>
  <si>
    <t>Pyt-yakh</t>
  </si>
  <si>
    <t>Pyt-Yakh</t>
  </si>
  <si>
    <t>Raduzhny</t>
  </si>
  <si>
    <t>Raduzhnyy</t>
  </si>
  <si>
    <t>Ramenki</t>
  </si>
  <si>
    <t>Rasskazovo</t>
  </si>
  <si>
    <t>Raychikhinsk</t>
  </si>
  <si>
    <t>Rayevskiy</t>
  </si>
  <si>
    <t>Razumnoye</t>
  </si>
  <si>
    <t>Reftinskiy</t>
  </si>
  <si>
    <t>Reutov</t>
  </si>
  <si>
    <t>Revda</t>
  </si>
  <si>
    <t>Rezh</t>
  </si>
  <si>
    <t>Rodniki</t>
  </si>
  <si>
    <t>Roshal '</t>
  </si>
  <si>
    <t>Roshalâ€™</t>
  </si>
  <si>
    <t>Roslavlâ €</t>
  </si>
  <si>
    <t>Roslavlâ€™</t>
  </si>
  <si>
    <t>Rossosh '</t>
  </si>
  <si>
    <t>Rossoshâ€™</t>
  </si>
  <si>
    <t>Rostokino</t>
  </si>
  <si>
    <t>Rostov-na-donu</t>
  </si>
  <si>
    <t>Rostov-na-Donu</t>
  </si>
  <si>
    <t>Rtishchevo</t>
  </si>
  <si>
    <t>Rublã «vo</t>
  </si>
  <si>
    <t>RublÃ«vo</t>
  </si>
  <si>
    <t>Rubtsovsk</t>
  </si>
  <si>
    <t>RUZAYEVKA</t>
  </si>
  <si>
    <t>Ruzayevka</t>
  </si>
  <si>
    <t>Ryazan '</t>
  </si>
  <si>
    <t>Ryazanâ€™</t>
  </si>
  <si>
    <t>Ryazanskiy</t>
  </si>
  <si>
    <t>Ryazhsk</t>
  </si>
  <si>
    <t>Rybatskoye</t>
  </si>
  <si>
    <t>Rybinsk</t>
  </si>
  <si>
    <t>Rybnoye</t>
  </si>
  <si>
    <t>Rylâ € sk</t>
  </si>
  <si>
    <t>Rylâ€™sk</t>
  </si>
  <si>
    <t>Rzhev</t>
  </si>
  <si>
    <t>Safonovo</t>
  </si>
  <si>
    <t>São Petersburgo</t>
  </si>
  <si>
    <t>Saint Petersburg</t>
  </si>
  <si>
    <t>Sal'k sk</t>
  </si>
  <si>
    <t>Salâ€™sk</t>
  </si>
  <si>
    <t>Salavat</t>
  </si>
  <si>
    <t>Salekhard</t>
  </si>
  <si>
    <t>Sampsonievskiy</t>
  </si>
  <si>
    <t>Saraktash</t>
  </si>
  <si>
    <t>Saransk</t>
  </si>
  <si>
    <t>Sarapul</t>
  </si>
  <si>
    <t>Sarov</t>
  </si>
  <si>
    <t>Sasovo</t>
  </si>
  <si>
    <t>Satka</t>
  </si>
  <si>
    <t>Sayanogorsk</t>
  </si>
  <si>
    <t>Sayansk</t>
  </si>
  <si>
    <t>Segezha</t>
  </si>
  <si>
    <t>Selâ € TSO</t>
  </si>
  <si>
    <t>Selâ€™tso</t>
  </si>
  <si>
    <t>Semã «novembro</t>
  </si>
  <si>
    <t>SemÃ«nov</t>
  </si>
  <si>
    <t>Semã «Novskoye</t>
  </si>
  <si>
    <t>SemÃ«novskoye</t>
  </si>
  <si>
    <t>Semikarakorsk</t>
  </si>
  <si>
    <t>Semiluki</t>
  </si>
  <si>
    <t>Serdobsk</t>
  </si>
  <si>
    <t>Sergach</t>
  </si>
  <si>
    <t>Sergiyev Posad</t>
  </si>
  <si>
    <t>Serov</t>
  </si>
  <si>
    <t>Serpukhov</t>
  </si>
  <si>
    <t>Sertolovo</t>
  </si>
  <si>
    <t>Sestroretsk</t>
  </si>
  <si>
    <t>Setun '</t>
  </si>
  <si>
    <t>Setunâ€™</t>
  </si>
  <si>
    <t>Severnyy</t>
  </si>
  <si>
    <t>SeveroBaykal 'sk</t>
  </si>
  <si>
    <t>Severobaykalâ€™sk</t>
  </si>
  <si>
    <t>Severodvinsk</t>
  </si>
  <si>
    <t>Severomorsk</t>
  </si>
  <si>
    <t>SeveRoural - sk</t>
  </si>
  <si>
    <t>Severouralâ€™sk</t>
  </si>
  <si>
    <t>Severo-Zadonsk</t>
  </si>
  <si>
    <t>Seversk</t>
  </si>
  <si>
    <t>Severskaya</t>
  </si>
  <si>
    <t>Shadrinsk</t>
  </si>
  <si>
    <t>Shakhty</t>
  </si>
  <si>
    <t>Shakhun '</t>
  </si>
  <si>
    <t>Shakhunâ€™ya</t>
  </si>
  <si>
    <t>Shali</t>
  </si>
  <si>
    <t>Compartilhar</t>
  </si>
  <si>
    <t>Sharâ€™ya</t>
  </si>
  <si>
    <t>Sharypovo</t>
  </si>
  <si>
    <t>Shatura</t>
  </si>
  <si>
    <t>Shchã «kino</t>
  </si>
  <si>
    <t>ShchÃ«kino</t>
  </si>
  <si>
    <t>Shchelkovo</t>
  </si>
  <si>
    <t>Shcherbinka</t>
  </si>
  <si>
    <t>Shchigry</t>
  </si>
  <si>
    <t>Shchukino</t>
  </si>
  <si>
    <t>Shebekino</t>
  </si>
  <si>
    <t>Sheksna</t>
  </si>
  <si>
    <t>Shelekhov</t>
  </si>
  <si>
    <t>Shilovo</t>
  </si>
  <si>
    <t>Shimanovsk</t>
  </si>
  <si>
    <t>Shumerlya</t>
  </si>
  <si>
    <t>Shumikha</t>
  </si>
  <si>
    <t>Shushary</t>
  </si>
  <si>
    <t>Shushenskoye</t>
  </si>
  <si>
    <t>Shuya</t>
  </si>
  <si>
    <t>Sibay</t>
  </si>
  <si>
    <t>Sim</t>
  </si>
  <si>
    <t>Skhodnya</t>
  </si>
  <si>
    <t>Skopin</t>
  </si>
  <si>
    <t>Slantsy</t>
  </si>
  <si>
    <t>Slavgorod</t>
  </si>
  <si>
    <t>Slavyansk-Na-Kubani</t>
  </si>
  <si>
    <t>Slavyansk-na-Kubani</t>
  </si>
  <si>
    <t>Slobodka</t>
  </si>
  <si>
    <t>Slobodskoy</t>
  </si>
  <si>
    <t>Slyudyanka</t>
  </si>
  <si>
    <t>Snezhinsk</t>
  </si>
  <si>
    <t>Sobinka</t>
  </si>
  <si>
    <t>Sochi</t>
  </si>
  <si>
    <t>Sofrino</t>
  </si>
  <si>
    <t>Sokol</t>
  </si>
  <si>
    <t>Sokol 'Niki</t>
  </si>
  <si>
    <t>Sokolâ€™niki</t>
  </si>
  <si>
    <t>Solâ € -iletsk</t>
  </si>
  <si>
    <t>Solâ€™-Iletsk</t>
  </si>
  <si>
    <t>Solikamsk</t>
  </si>
  <si>
    <t>Solnechnogorsk</t>
  </si>
  <si>
    <t>Solntsevo</t>
  </si>
  <si>
    <t>Sorochinsk</t>
  </si>
  <si>
    <t>Sortavala</t>
  </si>
  <si>
    <t>Sosnogorsk</t>
  </si>
  <si>
    <t>Sosnovaya Polyana</t>
  </si>
  <si>
    <t>Sosnovka</t>
  </si>
  <si>
    <t>Sosnovoborsk</t>
  </si>
  <si>
    <t>Sosnovyy Bor</t>
  </si>
  <si>
    <t>Sovetsk</t>
  </si>
  <si>
    <t>Sovetskaya gavan '</t>
  </si>
  <si>
    <t>Sovetskaya Gavanâ€™</t>
  </si>
  <si>
    <t>Sovetskiy</t>
  </si>
  <si>
    <t>Spassk-dal-niy</t>
  </si>
  <si>
    <t>Spassk-Dalâ€™niy</t>
  </si>
  <si>
    <t>Sredneuralsk</t>
  </si>
  <si>
    <t>Staraya Derevnya</t>
  </si>
  <si>
    <t>Staraya Kupavna</t>
  </si>
  <si>
    <t>Staraya Russa</t>
  </si>
  <si>
    <t>Starodub</t>
  </si>
  <si>
    <t>Starominskaya</t>
  </si>
  <si>
    <t>Staroshcherbinovskaya</t>
  </si>
  <si>
    <t>Staryy Malgobek</t>
  </si>
  <si>
    <t>Staryy Oskol</t>
  </si>
  <si>
    <t>Stavropolâ €</t>
  </si>
  <si>
    <t>Stavropolâ€™</t>
  </si>
  <si>
    <t>Sterlitamak</t>
  </si>
  <si>
    <t>Strezhevoy</t>
  </si>
  <si>
    <t>Strogino</t>
  </si>
  <si>
    <t>Stroitelâ €</t>
  </si>
  <si>
    <t>Stroitelâ€™</t>
  </si>
  <si>
    <t>Strunino</t>
  </si>
  <si>
    <t>Stupino</t>
  </si>
  <si>
    <t>Sukhinichi</t>
  </si>
  <si>
    <t>LOG SUKHOY</t>
  </si>
  <si>
    <t>Sukhoy Log</t>
  </si>
  <si>
    <t>Surgut</t>
  </si>
  <si>
    <t>Surkhakhi</t>
  </si>
  <si>
    <t>Surovikino</t>
  </si>
  <si>
    <t>Suvorov</t>
  </si>
  <si>
    <t>Suvorovskaya</t>
  </si>
  <si>
    <t>Suzun</t>
  </si>
  <si>
    <t>Svetlanovskiy</t>
  </si>
  <si>
    <t>SvetLograd</t>
  </si>
  <si>
    <t>Svetlograd</t>
  </si>
  <si>
    <t>Svetlyy</t>
  </si>
  <si>
    <t>Svetogorsk</t>
  </si>
  <si>
    <t>Sviblovo</t>
  </si>
  <si>
    <t>Svobodnyy</t>
  </si>
  <si>
    <t>Svobody</t>
  </si>
  <si>
    <t>Syktyvkar</t>
  </si>
  <si>
    <t>Sysert '</t>
  </si>
  <si>
    <t>Sysertâ€™</t>
  </si>
  <si>
    <t>Syzran '</t>
  </si>
  <si>
    <t>Syzranâ€™</t>
  </si>
  <si>
    <t>Taganrog</t>
  </si>
  <si>
    <t>Taganskiy</t>
  </si>
  <si>
    <t>Tal 'Menka</t>
  </si>
  <si>
    <t>Talâ€™menka</t>
  </si>
  <si>
    <t>Talitsa</t>
  </si>
  <si>
    <t>Talnakh</t>
  </si>
  <si>
    <t>Tara</t>
  </si>
  <si>
    <t>Tarko-Sale</t>
  </si>
  <si>
    <t>Tashtagol</t>
  </si>
  <si>
    <t>Tatarsk</t>
  </si>
  <si>
    <t>Tavda</t>
  </si>
  <si>
    <t>Tayga</t>
  </si>
  <si>
    <t>Tayshet</t>
  </si>
  <si>
    <t>Tbilisskaya</t>
  </si>
  <si>
    <t>Tekstil 'shchiki</t>
  </si>
  <si>
    <t>Tekstilâ€™shchiki</t>
  </si>
  <si>
    <t>Temryuk</t>
  </si>
  <si>
    <t>Terek</t>
  </si>
  <si>
    <t>Teykovo</t>
  </si>
  <si>
    <t>Tikhoretsk</t>
  </si>
  <si>
    <t>Tikhvin</t>
  </si>
  <si>
    <t>Timashã vsk</t>
  </si>
  <si>
    <t>TimashÃ«vsk</t>
  </si>
  <si>
    <t>TOBOL 'SK</t>
  </si>
  <si>
    <t>Tobolâ€™sk</t>
  </si>
  <si>
    <t>Toguchin</t>
  </si>
  <si>
    <t>Tolâ € yatti</t>
  </si>
  <si>
    <t>Tolâ€™yatti</t>
  </si>
  <si>
    <t>Tomilino</t>
  </si>
  <si>
    <t>Topki</t>
  </si>
  <si>
    <t>Torzhok</t>
  </si>
  <si>
    <t>Tosno</t>
  </si>
  <si>
    <t>Tré Khgornyy</t>
  </si>
  <si>
    <t>TrÃ«khgornyy</t>
  </si>
  <si>
    <t>Troitsk</t>
  </si>
  <si>
    <t>Troitskaya</t>
  </si>
  <si>
    <t>Tropará «vo</t>
  </si>
  <si>
    <t>TroparÃ«vo</t>
  </si>
  <si>
    <t>Trubchevsk</t>
  </si>
  <si>
    <t>Trudovoye</t>
  </si>
  <si>
    <t>Tsaritsyno</t>
  </si>
  <si>
    <t>Tsimlyansk</t>
  </si>
  <si>
    <t>Tsotsin-yurt</t>
  </si>
  <si>
    <t>Tsotsin-Yurt</t>
  </si>
  <si>
    <t>Tuapso</t>
  </si>
  <si>
    <t>Tuapse</t>
  </si>
  <si>
    <t>Tuchkovo</t>
  </si>
  <si>
    <t>Tulun</t>
  </si>
  <si>
    <t>TURINSK</t>
  </si>
  <si>
    <t>Turinsk</t>
  </si>
  <si>
    <t>Tutayev</t>
  </si>
  <si>
    <t>Tuymazy</t>
  </si>
  <si>
    <t>Tver</t>
  </si>
  <si>
    <t>Tynda</t>
  </si>
  <si>
    <t>Tyoply Stan</t>
  </si>
  <si>
    <t>Tyrnyuzz</t>
  </si>
  <si>
    <t>Tyrnyauz</t>
  </si>
  <si>
    <t>Tyumen</t>
  </si>
  <si>
    <t>Uchaly</t>
  </si>
  <si>
    <t>Uchkeken</t>
  </si>
  <si>
    <t>Udachny</t>
  </si>
  <si>
    <t>Udomlya</t>
  </si>
  <si>
    <t>Ufa</t>
  </si>
  <si>
    <t>Uglich</t>
  </si>
  <si>
    <t>UKHTA</t>
  </si>
  <si>
    <t>Ukhta</t>
  </si>
  <si>
    <t>Ulan-ude</t>
  </si>
  <si>
    <t>Ulan-Ude</t>
  </si>
  <si>
    <t>Unecha</t>
  </si>
  <si>
    <t>Untolovo</t>
  </si>
  <si>
    <t>Uray</t>
  </si>
  <si>
    <t>Uritsk</t>
  </si>
  <si>
    <t>Urus-martano</t>
  </si>
  <si>
    <t>Urus-Martan</t>
  </si>
  <si>
    <t>Uryupinsk</t>
  </si>
  <si>
    <t>Usinsk</t>
  </si>
  <si>
    <t>Usman</t>
  </si>
  <si>
    <t>Usmanâ€™</t>
  </si>
  <si>
    <t>Usol 'ye-sibirskoye</t>
  </si>
  <si>
    <t>Usolâ€™ye-Sibirskoye</t>
  </si>
  <si>
    <t>Ussuriysk</t>
  </si>
  <si>
    <t>Ust € -dzheguta</t>
  </si>
  <si>
    <t>Ustâ€™-Dzheguta</t>
  </si>
  <si>
    <t>Ust »-ilimsk</t>
  </si>
  <si>
    <t>Ustâ€™-Ilimsk</t>
  </si>
  <si>
    <t>Ustâ € -katav</t>
  </si>
  <si>
    <t>Ustâ€™-Katav</t>
  </si>
  <si>
    <t>Ustâ € -kut</t>
  </si>
  <si>
    <t>Ustâ€™-Kut</t>
  </si>
  <si>
    <t>Ustâ € -labinsk</t>
  </si>
  <si>
    <t>Ustâ€™-Labinsk</t>
  </si>
  <si>
    <t>Uva</t>
  </si>
  <si>
    <t>Uvarovo</t>
  </si>
  <si>
    <t>Uzhur</t>
  </si>
  <si>
    <t>Uzlovaya</t>
  </si>
  <si>
    <t>Vagonoremont</t>
  </si>
  <si>
    <t>Valday</t>
  </si>
  <si>
    <t>Valuyki</t>
  </si>
  <si>
    <t>Vanino</t>
  </si>
  <si>
    <t>Vasil 'yevo</t>
  </si>
  <si>
    <t>Vasilâ€™yevo</t>
  </si>
  <si>
    <t>Vasyl'evsky ostrov</t>
  </si>
  <si>
    <t>Vasyl'evsky Ostrov</t>
  </si>
  <si>
    <t>Vatutino</t>
  </si>
  <si>
    <t>VEL'S SK</t>
  </si>
  <si>
    <t>Velâ€™sk</t>
  </si>
  <si>
    <t>Velikiy Novgorod</t>
  </si>
  <si>
    <t>Velikiy Ustyug</t>
  </si>
  <si>
    <t>Velikiye Luki</t>
  </si>
  <si>
    <t>Venã v</t>
  </si>
  <si>
    <t>VenÃ«v</t>
  </si>
  <si>
    <t>Vereshchagino</t>
  </si>
  <si>
    <t>Verkhniy Ufaley</t>
  </si>
  <si>
    <t>Verkhnyaya pyshma</t>
  </si>
  <si>
    <t>Verkhnyaya Pyshma</t>
  </si>
  <si>
    <t>Verkhnyaya Salda</t>
  </si>
  <si>
    <t>Veshnyaki</t>
  </si>
  <si>
    <t>Vichuga</t>
  </si>
  <si>
    <t>Vidnoye</t>
  </si>
  <si>
    <t>Vikhorevka</t>
  </si>
  <si>
    <t>Vilyuchinsk</t>
  </si>
  <si>
    <t>Vladikavkaz</t>
  </si>
  <si>
    <t>Vladivostok</t>
  </si>
  <si>
    <t>Vnukovo</t>
  </si>
  <si>
    <t>Vol.</t>
  </si>
  <si>
    <t>Volâ€™sk</t>
  </si>
  <si>
    <t>Volgodonsk</t>
  </si>
  <si>
    <t>Volgogrado</t>
  </si>
  <si>
    <t>Volgorechensk</t>
  </si>
  <si>
    <t>Volkhov</t>
  </si>
  <si>
    <t>Volokolamsk</t>
  </si>
  <si>
    <t>Volzhsk</t>
  </si>
  <si>
    <t>Volzhskiy</t>
  </si>
  <si>
    <t>Vorgashor</t>
  </si>
  <si>
    <t>Vorkuta</t>
  </si>
  <si>
    <t>Vorob 'yovo</t>
  </si>
  <si>
    <t>Vorobâ€™yovo</t>
  </si>
  <si>
    <t>Voronezh</t>
  </si>
  <si>
    <t>Voskresensk</t>
  </si>
  <si>
    <t>Vostochnoe Degunino</t>
  </si>
  <si>
    <t>Vostryakovo</t>
  </si>
  <si>
    <t>Votkinsk</t>
  </si>
  <si>
    <t>Vrangelâ €</t>
  </si>
  <si>
    <t>Vrangelâ€™</t>
  </si>
  <si>
    <t>Vsevolozhsk</t>
  </si>
  <si>
    <t>Vyatskiye Polyany</t>
  </si>
  <si>
    <t>Vyazâ € ma</t>
  </si>
  <si>
    <t>Vyazâ€™ma</t>
  </si>
  <si>
    <t>Vyazemskiy</t>
  </si>
  <si>
    <t>Vyazniki</t>
  </si>
  <si>
    <t>Vyborg</t>
  </si>
  <si>
    <t>Vykhino-Zhulebino</t>
  </si>
  <si>
    <t>Vyksa</t>
  </si>
  <si>
    <t>Vyselki</t>
  </si>
  <si>
    <t>Vyshniy voloché</t>
  </si>
  <si>
    <t>Vyshniy VolochÃ«k</t>
  </si>
  <si>
    <t>Yablonovskiy</t>
  </si>
  <si>
    <t>Yagry</t>
  </si>
  <si>
    <t>Yakutsk</t>
  </si>
  <si>
    <t>Yalutovsk</t>
  </si>
  <si>
    <t>Yalutorovsk</t>
  </si>
  <si>
    <t>Yanaul</t>
  </si>
  <si>
    <t>Yaransk</t>
  </si>
  <si>
    <t>Yaroslavl</t>
  </si>
  <si>
    <t>Yaroslavskiy</t>
  </si>
  <si>
    <t>Yarovoye</t>
  </si>
  <si>
    <t>Yartsevo</t>
  </si>
  <si>
    <t>Yasenevo</t>
  </si>
  <si>
    <t>Yashkino</t>
  </si>
  <si>
    <t>Yasnogorsk</t>
  </si>
  <si>
    <t>Yasnyy</t>
  </si>
  <si>
    <t>Yefremov</t>
  </si>
  <si>
    <t>Yegor 'yevsk</t>
  </si>
  <si>
    <t>Yegorâ€™yevsk</t>
  </si>
  <si>
    <t>Yegorlykskaya</t>
  </si>
  <si>
    <t>Yekaterinburg</t>
  </si>
  <si>
    <t>Yelabuga</t>
  </si>
  <si>
    <t>Yelan '</t>
  </si>
  <si>
    <t>Yelanâ€™</t>
  </si>
  <si>
    <t>YELETS</t>
  </si>
  <si>
    <t>Yelets</t>
  </si>
  <si>
    <t>Yelizavetinskaya</t>
  </si>
  <si>
    <t>Yelizovo</t>
  </si>
  <si>
    <t>Yemanzhelinsk</t>
  </si>
  <si>
    <t>Yemva</t>
  </si>
  <si>
    <t>Yeniseysk</t>
  </si>
  <si>
    <t>Yershov</t>
  </si>
  <si>
    <t>Yessentuki</t>
  </si>
  <si>
    <t>YESSENTUKSKAYA</t>
  </si>
  <si>
    <t>Yessentukskaya</t>
  </si>
  <si>
    <t>Yeysk</t>
  </si>
  <si>
    <t>Yoshkar-Ola</t>
  </si>
  <si>
    <t>Yubileyny</t>
  </si>
  <si>
    <t>Yugorsk</t>
  </si>
  <si>
    <t>Yurâ € yev-pol 'esquiam</t>
  </si>
  <si>
    <t>Yurâ€™yev-Polâ€™skiy</t>
  </si>
  <si>
    <t>Yurga</t>
  </si>
  <si>
    <t>Yuzhno-Sakhalinsk</t>
  </si>
  <si>
    <t>Yuzhnoural 'sk</t>
  </si>
  <si>
    <t>Yuzhnouralâ€™sk</t>
  </si>
  <si>
    <t>Yuzhnyy</t>
  </si>
  <si>
    <t>Zagor '</t>
  </si>
  <si>
    <t>Zagorâ€™ye</t>
  </si>
  <si>
    <t>Zainsk</t>
  </si>
  <si>
    <t>Zamoskvorech '</t>
  </si>
  <si>
    <t>Zamoskvorechâ€™ye</t>
  </si>
  <si>
    <t>Zapadnoye Degunino</t>
  </si>
  <si>
    <t>Zapolyarnyy</t>
  </si>
  <si>
    <t>Zaraysk</t>
  </si>
  <si>
    <t>Zarechnyy</t>
  </si>
  <si>
    <t>Zarinsk</t>
  </si>
  <si>
    <t>Zarya</t>
  </si>
  <si>
    <t>Zavodoukovsk</t>
  </si>
  <si>
    <t>Zavolzhâ €</t>
  </si>
  <si>
    <t>Zavolzhâ€™ye</t>
  </si>
  <si>
    <t>ZELEANCHUKSKAYA</t>
  </si>
  <si>
    <t>Zelenchukskaya</t>
  </si>
  <si>
    <t>Zelenodolsk</t>
  </si>
  <si>
    <t>ZeleNogorsk</t>
  </si>
  <si>
    <t>Zelenogorsk</t>
  </si>
  <si>
    <t>ZELENOGRAD</t>
  </si>
  <si>
    <t>Zelenograd</t>
  </si>
  <si>
    <t>Zelenokumsk</t>
  </si>
  <si>
    <t>Zernograd</t>
  </si>
  <si>
    <t>Zeya</t>
  </si>
  <si>
    <t>Zheleznodorozhnyy</t>
  </si>
  <si>
    <t>Zheleznogorsk</t>
  </si>
  <si>
    <t>Zheleznogorsk-ilimskiy</t>
  </si>
  <si>
    <t>Zheleznogorsk-Ilimskiy</t>
  </si>
  <si>
    <t>Zheleznovodsk</t>
  </si>
  <si>
    <t>Zherdevka</t>
  </si>
  <si>
    <t>Zhigulevsk</t>
  </si>
  <si>
    <t>Zhirnovsk</t>
  </si>
  <si>
    <t>Zhukovka</t>
  </si>
  <si>
    <t>Zhukovskiy</t>
  </si>
  <si>
    <t>Zhulebino</t>
  </si>
  <si>
    <t>Zima</t>
  </si>
  <si>
    <t>Zimovniki</t>
  </si>
  <si>
    <t>Zlatoust</t>
  </si>
  <si>
    <t>Znamensk</t>
  </si>
  <si>
    <t>Zvenigorod</t>
  </si>
  <si>
    <t>Zvero</t>
  </si>
  <si>
    <t>Zverevo</t>
  </si>
  <si>
    <t>Zyablikovo</t>
  </si>
  <si>
    <t>Zyuzino</t>
  </si>
  <si>
    <t>Mas são</t>
  </si>
  <si>
    <t>Butare</t>
  </si>
  <si>
    <t>Rwanda</t>
  </si>
  <si>
    <t>Southern Province</t>
  </si>
  <si>
    <t>Byumba</t>
  </si>
  <si>
    <t>Cyangugu</t>
  </si>
  <si>
    <t>Gisenyi</t>
  </si>
  <si>
    <t>Gitarama</t>
  </si>
  <si>
    <t>Kibungo</t>
  </si>
  <si>
    <t>Kibuye</t>
  </si>
  <si>
    <t>Kigali</t>
  </si>
  <si>
    <t>Musanze</t>
  </si>
  <si>
    <t>NZEGA</t>
  </si>
  <si>
    <t>Nzega</t>
  </si>
  <si>
    <t>Rwamagana</t>
  </si>
  <si>
    <t>Gustavia</t>
  </si>
  <si>
    <t>Saint Barthelemy</t>
  </si>
  <si>
    <t>Jamestown</t>
  </si>
  <si>
    <t>Saint Helena</t>
  </si>
  <si>
    <t>Basseterre</t>
  </si>
  <si>
    <t>Saint Kitts and Nevis</t>
  </si>
  <si>
    <t>Saint George Basseterre</t>
  </si>
  <si>
    <t>Castries</t>
  </si>
  <si>
    <t>Saint Lucia</t>
  </si>
  <si>
    <t>Castries Quarter</t>
  </si>
  <si>
    <t>Carrigot</t>
  </si>
  <si>
    <t>Marigot</t>
  </si>
  <si>
    <t>Saint Martin</t>
  </si>
  <si>
    <t>Saint Pierre and Miquelon</t>
  </si>
  <si>
    <t>Kingstown</t>
  </si>
  <si>
    <t>Saint Vincent and the Grenadines</t>
  </si>
  <si>
    <t>Kingstown Park</t>
  </si>
  <si>
    <t>APIA</t>
  </si>
  <si>
    <t>Apia</t>
  </si>
  <si>
    <t>Samoa</t>
  </si>
  <si>
    <t>Tuamasaga</t>
  </si>
  <si>
    <t>San Marino</t>
  </si>
  <si>
    <t>Sã o tomé</t>
  </si>
  <si>
    <t>SÃ£o TomÃ©</t>
  </si>
  <si>
    <t>Sao Tome and Principe</t>
  </si>
  <si>
    <t>SÃ£o TomÃ© Island</t>
  </si>
  <si>
    <t>Å ¢ ubarjal</t>
  </si>
  <si>
    <t>Å¢ubarjal</t>
  </si>
  <si>
    <t>Saudi Arabia</t>
  </si>
  <si>
    <t>Å ¢ Urayf</t>
  </si>
  <si>
    <t>Å¢urayf</t>
  </si>
  <si>
    <t>Northern Borders</t>
  </si>
  <si>
    <t>â € ˜afä «f</t>
  </si>
  <si>
    <t>â€˜AfÄ«f</t>
  </si>
  <si>
    <t>Ar RiyÄá¸‘</t>
  </si>
  <si>
    <t>â € 'ar'</t>
  </si>
  <si>
    <t>â€˜Arâ€˜ar</t>
  </si>
  <si>
    <t>Aå £ Å ¢ araf</t>
  </si>
  <si>
    <t>AÅ£ Å¢araf</t>
  </si>
  <si>
    <t>Abå «â € ˜arä« sh</t>
  </si>
  <si>
    <t>AbÅ« â€˜ArÄ«sh</t>
  </si>
  <si>
    <t>Jizan</t>
  </si>
  <si>
    <t>Abha</t>
  </si>
  <si>
    <t>MinÅ£aqat â€˜AsÄ«r</t>
  </si>
  <si>
    <t>Abqaiq</t>
  </si>
  <si>
    <t>Ad Dawä Dimä «</t>
  </si>
  <si>
    <t>Ad DawÄdimÄ«</t>
  </si>
  <si>
    <t>Ad dilam</t>
  </si>
  <si>
    <t>Ad Dilam</t>
  </si>
  <si>
    <t>Al â € ˜Ul.</t>
  </si>
  <si>
    <t>Al â€˜UlÃ¡</t>
  </si>
  <si>
    <t>Al MadÄ«nah al Munawwarah</t>
  </si>
  <si>
    <t>Al bä á¸ © ah</t>
  </si>
  <si>
    <t>Al BÄá¸©ah</t>
  </si>
  <si>
    <t>MinÅ£aqat al BÄá¸©ah</t>
  </si>
  <si>
    <t>Al Baå £ Å £ ä lä «yah</t>
  </si>
  <si>
    <t>Al BaÅ£Å£ÄlÄ«yah</t>
  </si>
  <si>
    <t>Al bukayrä «yah</t>
  </si>
  <si>
    <t>Al BukayrÄ«yah</t>
  </si>
  <si>
    <t>Al-Qassim</t>
  </si>
  <si>
    <t>Al hufå «f</t>
  </si>
  <si>
    <t>Al HufÅ«f</t>
  </si>
  <si>
    <t>Al Jubayl</t>
  </si>
  <si>
    <t>Al Jumå «m</t>
  </si>
  <si>
    <t>Al JumÅ«m</t>
  </si>
  <si>
    <t>Makkah</t>
  </si>
  <si>
    <t>Al Khafjä «</t>
  </si>
  <si>
    <t>Al KhafjÄ«</t>
  </si>
  <si>
    <t>Al Mithnab</t>
  </si>
  <si>
    <t>Al Mubarraz</t>
  </si>
  <si>
    <t>Al Munayzilah</t>
  </si>
  <si>
    <t>Al Qaå £ ä «f</t>
  </si>
  <si>
    <t>Al QaÅ£Ä«f</t>
  </si>
  <si>
    <t>Al Qayåÿå «mah</t>
  </si>
  <si>
    <t>Al QayÅŸÅ«mah</t>
  </si>
  <si>
    <t>Al wajh</t>
  </si>
  <si>
    <t>Al Wajh</t>
  </si>
  <si>
    <t>MinÅ£aqat TabÅ«k</t>
  </si>
  <si>
    <t>Um nimä Åutos</t>
  </si>
  <si>
    <t>An NimÄÅŸ</t>
  </si>
  <si>
    <t>Ar rass</t>
  </si>
  <si>
    <t>Ar Rass</t>
  </si>
  <si>
    <t>Como Sulayyil</t>
  </si>
  <si>
    <t>As Sulayyil</t>
  </si>
  <si>
    <t>Ash Shafä</t>
  </si>
  <si>
    <t>Ash ShafÄ</t>
  </si>
  <si>
    <t>Az zulfi</t>
  </si>
  <si>
    <t>Az Zulfi</t>
  </si>
  <si>
    <t>Åžä mitah</t>
  </si>
  <si>
    <t>ÅžÄmitah</t>
  </si>
  <si>
    <t>Åžabyä</t>
  </si>
  <si>
    <t>ÅžabyÄ</t>
  </si>
  <si>
    <t>Åžafwã</t>
  </si>
  <si>
    <t>ÅžafwÃ¡</t>
  </si>
  <si>
    <t>Badr á¸ëunayn</t>
  </si>
  <si>
    <t>Badr á¸¨unayn</t>
  </si>
  <si>
    <t>Buraydah</t>
  </si>
  <si>
    <t>Dammam</t>
  </si>
  <si>
    <t>Dhahran</t>
  </si>
  <si>
    <t>Duba</t>
  </si>
  <si>
    <t>Saudação</t>
  </si>
  <si>
    <t>Ha'il</t>
  </si>
  <si>
    <t>á¸¨ÄÊ¼il</t>
  </si>
  <si>
    <t>Jeddah</t>
  </si>
  <si>
    <t>Khamis Mushait</t>
  </si>
  <si>
    <t>Khobar</t>
  </si>
  <si>
    <t>Meca</t>
  </si>
  <si>
    <t>Mecca</t>
  </si>
  <si>
    <t>Najrä n</t>
  </si>
  <si>
    <t>NajrÄn</t>
  </si>
  <si>
    <t>Qal € 'em bä «shah</t>
  </si>
  <si>
    <t>Qalâ€˜at BÄ«shah</t>
  </si>
  <si>
    <t>Qurayyat</t>
  </si>
  <si>
    <t>Rä bigh</t>
  </si>
  <si>
    <t>RÄbigh</t>
  </si>
  <si>
    <t>Raá¸ © ä «mah</t>
  </si>
  <si>
    <t>Raá¸©Ä«mah</t>
  </si>
  <si>
    <t>Riyadh</t>
  </si>
  <si>
    <t>Sakakah</t>
  </si>
  <si>
    <t>Sayhä T.</t>
  </si>
  <si>
    <t>SayhÄt</t>
  </si>
  <si>
    <t>Sul -£ ä nah</t>
  </si>
  <si>
    <t>SulÅ£Änah</t>
  </si>
  <si>
    <t>Tä rå «t</t>
  </si>
  <si>
    <t>TÄrÅ«t</t>
  </si>
  <si>
    <t>TA</t>
  </si>
  <si>
    <t>Taâ€™if</t>
  </si>
  <si>
    <t>Turabah</t>
  </si>
  <si>
    <t>Umm lajj</t>
  </si>
  <si>
    <t>Umm Lajj</t>
  </si>
  <si>
    <t>Unaizah</t>
  </si>
  <si>
    <t>Yanbu</t>
  </si>
  <si>
    <t>Bignona</t>
  </si>
  <si>
    <t>Senegal</t>
  </si>
  <si>
    <t>Ziguinchor</t>
  </si>
  <si>
    <t>Dakar</t>
  </si>
  <si>
    <t>Dara</t>
  </si>
  <si>
    <t>Louga</t>
  </si>
  <si>
    <t>GUINGINA © o</t>
  </si>
  <si>
    <t>GuinguinÃ©o</t>
  </si>
  <si>
    <t>Fatick</t>
  </si>
  <si>
    <t>Joal-Fadiout</t>
  </si>
  <si>
    <t>ThiÃ¨s</t>
  </si>
  <si>
    <t>Ké Dougou</t>
  </si>
  <si>
    <t>KÃ©dougou</t>
  </si>
  <si>
    <t>Kaffrine</t>
  </si>
  <si>
    <t>Kaolack</t>
  </si>
  <si>
    <t>Kayar</t>
  </si>
  <si>
    <t>Kolda</t>
  </si>
  <si>
    <t>Má © Khé</t>
  </si>
  <si>
    <t>MÃ©khÃ©</t>
  </si>
  <si>
    <t>Matam</t>
  </si>
  <si>
    <t>Mbaké</t>
  </si>
  <si>
    <t>MbakÃ©</t>
  </si>
  <si>
    <t>Diourbel</t>
  </si>
  <si>
    <t>Ndibãne dahra</t>
  </si>
  <si>
    <t>NdibÃ¨ne Dahra</t>
  </si>
  <si>
    <t>Ngué Khokh</t>
  </si>
  <si>
    <t>NguÃ©khokh</t>
  </si>
  <si>
    <t>Nioro du Rip</t>
  </si>
  <si>
    <t>Pikine</t>
  </si>
  <si>
    <t>Pourham</t>
  </si>
  <si>
    <t>BOUT</t>
  </si>
  <si>
    <t>Pout</t>
  </si>
  <si>
    <t>Richard-Toll</t>
  </si>
  <si>
    <t>S © dhiou</t>
  </si>
  <si>
    <t>SÃ©dhiou</t>
  </si>
  <si>
    <t>Tambacounda</t>
  </si>
  <si>
    <t>Thiins nones</t>
  </si>
  <si>
    <t>ThiÃ¨s Nones</t>
  </si>
  <si>
    <t>Ti © Bo</t>
  </si>
  <si>
    <t>TiÃ©bo</t>
  </si>
  <si>
    <t>V © Lingara</t>
  </si>
  <si>
    <t>VÃ©lingara</t>
  </si>
  <si>
    <t>Å abac</t>
  </si>
  <si>
    <t>Å abac</t>
  </si>
  <si>
    <t>Serbia</t>
  </si>
  <si>
    <t>Central Serbia</t>
  </si>
  <si>
    <t>Ä † uprija</t>
  </si>
  <si>
    <t>Ä†uprija</t>
  </si>
  <si>
    <t>Äœaä ak</t>
  </si>
  <si>
    <t>ÄŒaÄak</t>
  </si>
  <si>
    <t>Apatina</t>
  </si>
  <si>
    <t>Apatin</t>
  </si>
  <si>
    <t>Vojvodina</t>
  </si>
  <si>
    <t>Aranä‘elovac</t>
  </si>
  <si>
    <t>AranÄ‘elovac</t>
  </si>
  <si>
    <t>Baä Ka Palanka</t>
  </si>
  <si>
    <t>BaÄka Palanka</t>
  </si>
  <si>
    <t>Baä Ka Topola</t>
  </si>
  <si>
    <t>BaÄka Topola</t>
  </si>
  <si>
    <t>Beä ej</t>
  </si>
  <si>
    <t>BeÄej</t>
  </si>
  <si>
    <t>Belgrado</t>
  </si>
  <si>
    <t>Belgrade</t>
  </si>
  <si>
    <t>Gornji Milanovac</t>
  </si>
  <si>
    <t>Inä‘ija</t>
  </si>
  <si>
    <t>InÄ‘ija</t>
  </si>
  <si>
    <t>Jagodina</t>
  </si>
  <si>
    <t>Kikinda</t>
  </si>
  <si>
    <t>KNJAZEVAC</t>
  </si>
  <si>
    <t>Knjazevac</t>
  </si>
  <si>
    <t>Kragujevac</t>
  </si>
  <si>
    <t>Kraljevo</t>
  </si>
  <si>
    <t>Kruå¡evac</t>
  </si>
  <si>
    <t>KruÅ¡evac</t>
  </si>
  <si>
    <t>Lazarevac</t>
  </si>
  <si>
    <t>Leskovac</t>
  </si>
  <si>
    <t>Negociar</t>
  </si>
  <si>
    <t>Negotin</t>
  </si>
  <si>
    <t>Niå¡</t>
  </si>
  <si>
    <t>NiÅ¡</t>
  </si>
  <si>
    <t>Nova Pazova</t>
  </si>
  <si>
    <t>Novi Pazar</t>
  </si>
  <si>
    <t>Novi triste</t>
  </si>
  <si>
    <t>Novi Sad</t>
  </si>
  <si>
    <t>Obrenovac</t>
  </si>
  <si>
    <t>Panä Evo</t>
  </si>
  <si>
    <t>PanÄevo</t>
  </si>
  <si>
    <t>Pirot</t>
  </si>
  <si>
    <t>Poåo araCevac</t>
  </si>
  <si>
    <t>PoÅ¾arevac</t>
  </si>
  <si>
    <t>Prokuplje</t>
  </si>
  <si>
    <t>Ruma</t>
  </si>
  <si>
    <t>Senta</t>
  </si>
  <si>
    <t>Smederevo</t>
  </si>
  <si>
    <t>Smederevska Palanka</t>
  </si>
  <si>
    <t>Somor</t>
  </si>
  <si>
    <t>Sombor</t>
  </si>
  <si>
    <t>SREMä ICA</t>
  </si>
  <si>
    <t>SremÄica</t>
  </si>
  <si>
    <t>Sremska Mitrovica</t>
  </si>
  <si>
    <t>Stara Pazova</t>
  </si>
  <si>
    <t>Subotica</t>
  </si>
  <si>
    <t>Trstenik</t>
  </si>
  <si>
    <t>Uå¾ice</t>
  </si>
  <si>
    <t>UÅ¾ice</t>
  </si>
  <si>
    <t>Valjevo</t>
  </si>
  <si>
    <t>Vrå¡ac</t>
  </si>
  <si>
    <t>VrÅ¡ac</t>
  </si>
  <si>
    <t>VRANJE</t>
  </si>
  <si>
    <t>Vranje</t>
  </si>
  <si>
    <t>Vrbas</t>
  </si>
  <si>
    <t>Zajeä ar</t>
  </si>
  <si>
    <t>ZajeÄar</t>
  </si>
  <si>
    <t>Zemun</t>
  </si>
  <si>
    <t>Zrenjanin</t>
  </si>
  <si>
    <t>Seychelles</t>
  </si>
  <si>
    <t>English River</t>
  </si>
  <si>
    <t>Bo</t>
  </si>
  <si>
    <t>Sierra Leone</t>
  </si>
  <si>
    <t>Freetown</t>
  </si>
  <si>
    <t>Western Area</t>
  </si>
  <si>
    <t>Kabala</t>
  </si>
  <si>
    <t>Kenema</t>
  </si>
  <si>
    <t>Koidu</t>
  </si>
  <si>
    <t>Lunar</t>
  </si>
  <si>
    <t>Lunsar</t>
  </si>
  <si>
    <t>Makeni</t>
  </si>
  <si>
    <t>Port Loko</t>
  </si>
  <si>
    <t>Segbwema</t>
  </si>
  <si>
    <t>Cingapura</t>
  </si>
  <si>
    <t>Singapore</t>
  </si>
  <si>
    <t>Central Singapore</t>
  </si>
  <si>
    <t>Philipsburg</t>
  </si>
  <si>
    <t>Sint Maarten</t>
  </si>
  <si>
    <t>Å½iar nad hronom</t>
  </si>
  <si>
    <t>Å½iar nad Hronom</t>
  </si>
  <si>
    <t>Slovakia</t>
  </si>
  <si>
    <t>BanskobystrickÃ½</t>
  </si>
  <si>
    <t>Å½ilina</t>
  </si>
  <si>
    <t>Å½ilinskÃ½</t>
  </si>
  <si>
    <t>Ä ”adca</t>
  </si>
  <si>
    <t>ÄŒadca</t>
  </si>
  <si>
    <t>Bãnovce nad bebravou</t>
  </si>
  <si>
    <t>BÃ¡novce nad Bebravou</t>
  </si>
  <si>
    <t>TrenÄiansky</t>
  </si>
  <si>
    <t>Banskã Bystrica</t>
  </si>
  <si>
    <t>BanskÃ¡ Bystrica</t>
  </si>
  <si>
    <t>Bardejov</t>
  </si>
  <si>
    <t>PreÅ¡ovskÃ½</t>
  </si>
  <si>
    <t>Bratislava</t>
  </si>
  <si>
    <t>BratislavskÃ½</t>
  </si>
  <si>
    <t>Brezno</t>
  </si>
  <si>
    <t>Detva</t>
  </si>
  <si>
    <t>Dolnã½ Kubãn</t>
  </si>
  <si>
    <t>DolnÃ½ KubÃ­n</t>
  </si>
  <si>
    <t>DUBNICA NAD VÊNHOM</t>
  </si>
  <si>
    <t>Dubnica nad VÃ¡hom</t>
  </si>
  <si>
    <t>Nitriansky</t>
  </si>
  <si>
    <t>Dunajsk avreda</t>
  </si>
  <si>
    <t>DunajskÃ¡ Streda</t>
  </si>
  <si>
    <t>TrnavskÃ½</t>
  </si>
  <si>
    <t>Galanta</t>
  </si>
  <si>
    <t>Handlov.</t>
  </si>
  <si>
    <t>HandlovÃ¡</t>
  </si>
  <si>
    <t>Hlohovec</t>
  </si>
  <si>
    <t>Humenné</t>
  </si>
  <si>
    <t>HumennÃ©</t>
  </si>
  <si>
    <t>Keå¾marok</t>
  </si>
  <si>
    <t>KeÅ¾marok</t>
  </si>
  <si>
    <t>Koå¡ice</t>
  </si>
  <si>
    <t>KoÅ¡ice</t>
  </si>
  <si>
    <t>KoÅ¡ickÃ½</t>
  </si>
  <si>
    <t>KomÃ¡rno</t>
  </si>
  <si>
    <t>Kysucké Nov.</t>
  </si>
  <si>
    <t>KysuckÃ© NovÃ© Mesto</t>
  </si>
  <si>
    <t>Levice</t>
  </si>
  <si>
    <t>Liptovskã½ mikulã</t>
  </si>
  <si>
    <t>LiptovskÃ½ MikulÃ¡Å¡</t>
  </si>
  <si>
    <t>Luä Enec</t>
  </si>
  <si>
    <t>LuÄenec</t>
  </si>
  <si>
    <t>Malacky</t>
  </si>
  <si>
    <t>Martin</t>
  </si>
  <si>
    <t>Michalovce</t>
  </si>
  <si>
    <t>Nitra</t>
  </si>
  <si>
    <t>Novão mesto nad vãhom</t>
  </si>
  <si>
    <t>NovÃ© Mesto nad VÃ¡hom</t>
  </si>
  <si>
    <t>Nová © ZãMky</t>
  </si>
  <si>
    <t>NovÃ© ZÃ¡mky</t>
  </si>
  <si>
    <t>PãoChov</t>
  </si>
  <si>
    <t>PÃºchov</t>
  </si>
  <si>
    <t>Parte parte</t>
  </si>
  <si>
    <t>PartizÃ¡nske</t>
  </si>
  <si>
    <t>Pezinok</t>
  </si>
  <si>
    <t>Pieå¡å ¥ qualquer</t>
  </si>
  <si>
    <t>PieÅ¡Å¥any</t>
  </si>
  <si>
    <t>Poprado</t>
  </si>
  <si>
    <t>Poprad</t>
  </si>
  <si>
    <t>POVAå¾SK'Strica</t>
  </si>
  <si>
    <t>PovaÅ¾skÃ¡ Bystrica</t>
  </si>
  <si>
    <t>Pré -...</t>
  </si>
  <si>
    <t>PreÅ¡ov</t>
  </si>
  <si>
    <t>Prievidza</t>
  </si>
  <si>
    <t>Rimavskã Sobota</t>
  </si>
  <si>
    <t>RimavskÃ¡ Sobota</t>
  </si>
  <si>
    <t>Roå Guha</t>
  </si>
  <si>
    <t>RoÅ¾Åˆava</t>
  </si>
  <si>
    <t>Ruå¾omberok</t>
  </si>
  <si>
    <t>RuÅ¾omberok</t>
  </si>
  <si>
    <t>Sellye</t>
  </si>
  <si>
    <t>Senica</t>
  </si>
  <si>
    <t>Skalica</t>
  </si>
  <si>
    <t>Snina</t>
  </si>
  <si>
    <t>Spiå¡skã Nov</t>
  </si>
  <si>
    <t>SpiÅ¡skÃ¡ NovÃ¡ Ves</t>
  </si>
  <si>
    <t>Estrela ä ä½ubovåˆa</t>
  </si>
  <si>
    <t>StarÃ¡ Ä½ubovÅˆa</t>
  </si>
  <si>
    <t>Trebiå¡ov</t>
  </si>
  <si>
    <t>TrebiÅ¡ov</t>
  </si>
  <si>
    <t>Trenä ãn</t>
  </si>
  <si>
    <t>TrenÄÃ­n</t>
  </si>
  <si>
    <t>Trnava</t>
  </si>
  <si>
    <t>Vranov Nad Topä¾ou</t>
  </si>
  <si>
    <t>Vranov nad TopÄ¾ou</t>
  </si>
  <si>
    <t>Zlaté Moravce</t>
  </si>
  <si>
    <t>ZlatÃ© Moravce</t>
  </si>
  <si>
    <t>ZVOLEN</t>
  </si>
  <si>
    <t>Zvolen</t>
  </si>
  <si>
    <t>Celje</t>
  </si>
  <si>
    <t>Slovenia</t>
  </si>
  <si>
    <t>Koper</t>
  </si>
  <si>
    <t>Koper-Capodistria</t>
  </si>
  <si>
    <t>Kranj</t>
  </si>
  <si>
    <t>Ljubljana</t>
  </si>
  <si>
    <t>Maribor</t>
  </si>
  <si>
    <t>Novo Mesto</t>
  </si>
  <si>
    <t>Ptuj</t>
  </si>
  <si>
    <t>Trbovlje</t>
  </si>
  <si>
    <t>Velenje</t>
  </si>
  <si>
    <t>Honiara</t>
  </si>
  <si>
    <t>Solomon Islands</t>
  </si>
  <si>
    <t>Guadalcanal</t>
  </si>
  <si>
    <t>Afgooye</t>
  </si>
  <si>
    <t>Somalia</t>
  </si>
  <si>
    <t>Lower Shabeelle</t>
  </si>
  <si>
    <t>Baardheere</t>
  </si>
  <si>
    <t>Gedo</t>
  </si>
  <si>
    <t>Baidoa</t>
  </si>
  <si>
    <t>Beledweyne</t>
  </si>
  <si>
    <t>Hiiraan</t>
  </si>
  <si>
    <t>Berbera</t>
  </si>
  <si>
    <t>Woqooyi Galbeed</t>
  </si>
  <si>
    <t>BOSASO</t>
  </si>
  <si>
    <t>Bosaso</t>
  </si>
  <si>
    <t>Burao</t>
  </si>
  <si>
    <t>Togdheer</t>
  </si>
  <si>
    <t>Buulobarde</t>
  </si>
  <si>
    <t>Buurhakaba</t>
  </si>
  <si>
    <t>Ceeldheer</t>
  </si>
  <si>
    <t>Galguduud</t>
  </si>
  <si>
    <t>Ceerigaabo</t>
  </si>
  <si>
    <t>Sanaag</t>
  </si>
  <si>
    <t>Eyl</t>
  </si>
  <si>
    <t>Nugaal</t>
  </si>
  <si>
    <t>Gaalkacyo</t>
  </si>
  <si>
    <t>Mudug</t>
  </si>
  <si>
    <t>Garoowe</t>
  </si>
  <si>
    <t>Hargeysa</t>
  </si>
  <si>
    <t>Jamaame</t>
  </si>
  <si>
    <t>Lower Juba</t>
  </si>
  <si>
    <t>Jawhar</t>
  </si>
  <si>
    <t>Middle Shabele</t>
  </si>
  <si>
    <t>Jilib</t>
  </si>
  <si>
    <t>Middle Juba</t>
  </si>
  <si>
    <t>Kismayo</t>
  </si>
  <si>
    <t>Laascaanood</t>
  </si>
  <si>
    <t>Sool</t>
  </si>
  <si>
    <t>Luuq</t>
  </si>
  <si>
    <t>Marka</t>
  </si>
  <si>
    <t>Mogadishu</t>
  </si>
  <si>
    <t>Banaadir</t>
  </si>
  <si>
    <t>Qandala</t>
  </si>
  <si>
    <t>Qoryooley</t>
  </si>
  <si>
    <t>Wanlaweyn</t>
  </si>
  <si>
    <t>Aliwal North</t>
  </si>
  <si>
    <t>South Africa</t>
  </si>
  <si>
    <t>Eastern Cape</t>
  </si>
  <si>
    <t>Allanridge</t>
  </si>
  <si>
    <t>Orange Free State</t>
  </si>
  <si>
    <t>Atlantis</t>
  </si>
  <si>
    <t>Western Cape</t>
  </si>
  <si>
    <t>Balfour</t>
  </si>
  <si>
    <t>Mpumalanga</t>
  </si>
  <si>
    <t>Ballitoville</t>
  </si>
  <si>
    <t>KwaZulu-Natal</t>
  </si>
  <si>
    <t>Barberton</t>
  </si>
  <si>
    <t>Beaufort West</t>
  </si>
  <si>
    <t>Benoni</t>
  </si>
  <si>
    <t>Gauteng</t>
  </si>
  <si>
    <t>Bethal</t>
  </si>
  <si>
    <t>Bhisho</t>
  </si>
  <si>
    <t>Bloemfontein</t>
  </si>
  <si>
    <t>Bloemhof</t>
  </si>
  <si>
    <t>North-West</t>
  </si>
  <si>
    <t>Boksburg</t>
  </si>
  <si>
    <t>Bothaville</t>
  </si>
  <si>
    <t>Botshabelo</t>
  </si>
  <si>
    <t>Brakpan</t>
  </si>
  <si>
    <t>britânicos</t>
  </si>
  <si>
    <t>Brits</t>
  </si>
  <si>
    <t>BronkhorstsPruit</t>
  </si>
  <si>
    <t>Bronkhorstspruit</t>
  </si>
  <si>
    <t>cidade do Cabo</t>
  </si>
  <si>
    <t>Cape Town</t>
  </si>
  <si>
    <t>Carletonville</t>
  </si>
  <si>
    <t>Centurião</t>
  </si>
  <si>
    <t>Centurion</t>
  </si>
  <si>
    <t>Christiana</t>
  </si>
  <si>
    <t>CRADOCK</t>
  </si>
  <si>
    <t>Cradock</t>
  </si>
  <si>
    <t>Cullinan</t>
  </si>
  <si>
    <t>De Aar</t>
  </si>
  <si>
    <t>Northern Cape</t>
  </si>
  <si>
    <t>Delmas</t>
  </si>
  <si>
    <t>Diepsloot</t>
  </si>
  <si>
    <t>DrieFontein</t>
  </si>
  <si>
    <t>Driefontein</t>
  </si>
  <si>
    <t>Duiwelskloof</t>
  </si>
  <si>
    <t>Limpopo</t>
  </si>
  <si>
    <t>Dundee</t>
  </si>
  <si>
    <t>Durban</t>
  </si>
  <si>
    <t>Leste de Londres</t>
  </si>
  <si>
    <t>East London</t>
  </si>
  <si>
    <t>Ekangala</t>
  </si>
  <si>
    <t>Emballenhle</t>
  </si>
  <si>
    <t>eMbalenhle</t>
  </si>
  <si>
    <t>Empangeni</t>
  </si>
  <si>
    <t>Esikhawini</t>
  </si>
  <si>
    <t>eSikhawini</t>
  </si>
  <si>
    <t>Fochville</t>
  </si>
  <si>
    <t>Fort Beaufort</t>
  </si>
  <si>
    <t>Ga-rankuwa</t>
  </si>
  <si>
    <t>Ga-Rankuwa</t>
  </si>
  <si>
    <t>George</t>
  </si>
  <si>
    <t>Giyani</t>
  </si>
  <si>
    <t>Graaff-Reinet</t>
  </si>
  <si>
    <t>Grabouw</t>
  </si>
  <si>
    <t>Grahamstown</t>
  </si>
  <si>
    <t>Harrismith</t>
  </si>
  <si>
    <t>Heilbron</t>
  </si>
  <si>
    <t>Hendrina</t>
  </si>
  <si>
    <t>Hennenman</t>
  </si>
  <si>
    <t>Hermanus</t>
  </si>
  <si>
    <t>Howick</t>
  </si>
  <si>
    <t>Joanesburgo</t>
  </si>
  <si>
    <t>Johannesburg</t>
  </si>
  <si>
    <t>Kimberley</t>
  </si>
  <si>
    <t>Klerksdorp</t>
  </si>
  <si>
    <t>Knysna</t>
  </si>
  <si>
    <t>Kokstad</t>
  </si>
  <si>
    <t>Komatipoort</t>
  </si>
  <si>
    <t>Kraaifontein</t>
  </si>
  <si>
    <t>Kriel</t>
  </si>
  <si>
    <t>Kroonstad</t>
  </si>
  <si>
    <t>Krugersdorp</t>
  </si>
  <si>
    <t>Kruisfentoin</t>
  </si>
  <si>
    <t>Kruisfontein</t>
  </si>
  <si>
    <t>Kutloanong</t>
  </si>
  <si>
    <t>Lady Frere</t>
  </si>
  <si>
    <t>Ladybrand</t>
  </si>
  <si>
    <t>Lansdowne</t>
  </si>
  <si>
    <t>Lebowakgomo</t>
  </si>
  <si>
    <t>Lichtenburg</t>
  </si>
  <si>
    <t>Louis Trichardt</t>
  </si>
  <si>
    <t>Lydenburg</t>
  </si>
  <si>
    <t>Mabopane</t>
  </si>
  <si>
    <t>Malmesbury</t>
  </si>
  <si>
    <t>Margate</t>
  </si>
  <si>
    <t>Midrand</t>
  </si>
  <si>
    <t>Mmabatho</t>
  </si>
  <si>
    <t>Modimolle</t>
  </si>
  <si>
    <t>Mokopane</t>
  </si>
  <si>
    <t>Mondlo</t>
  </si>
  <si>
    <t>Mossel Bay</t>
  </si>
  <si>
    <t>Mpophomeni</t>
  </si>
  <si>
    <t>Mthatha</t>
  </si>
  <si>
    <t>Nelspruit</t>
  </si>
  <si>
    <t>Nigel</t>
  </si>
  <si>
    <t>Nkowakowa</t>
  </si>
  <si>
    <t>Orkney</t>
  </si>
  <si>
    <t>Oudtshoorn</t>
  </si>
  <si>
    <t>Paarl</t>
  </si>
  <si>
    <t>Pampierstad</t>
  </si>
  <si>
    <t>Parys</t>
  </si>
  <si>
    <t>Phalaborwa</t>
  </si>
  <si>
    <t>Phuthaditjhaba</t>
  </si>
  <si>
    <t>Piet Retief</t>
  </si>
  <si>
    <t>Pietermaritzburg</t>
  </si>
  <si>
    <t>Baía de Plettenberg</t>
  </si>
  <si>
    <t>Plettenberg Bay</t>
  </si>
  <si>
    <t>Polokwane</t>
  </si>
  <si>
    <t>Port Alfred</t>
  </si>
  <si>
    <t>Port Elizabeth</t>
  </si>
  <si>
    <t>Port Shepstone</t>
  </si>
  <si>
    <t>Potchefstroom</t>
  </si>
  <si>
    <t>Pretória</t>
  </si>
  <si>
    <t>Pretoria</t>
  </si>
  <si>
    <t>Queensdale</t>
  </si>
  <si>
    <t>Queenstown</t>
  </si>
  <si>
    <t>Randfontein</t>
  </si>
  <si>
    <t>Reitz</t>
  </si>
  <si>
    <t>Retreat</t>
  </si>
  <si>
    <t>Richards Bay</t>
  </si>
  <si>
    <t>Rondebosch</t>
  </si>
  <si>
    <t>Roodepoort</t>
  </si>
  <si>
    <t>Rustenburg</t>
  </si>
  <si>
    <t>Saldanha</t>
  </si>
  <si>
    <t>Sasolburg</t>
  </si>
  <si>
    <t>Schweizer-Reneke</t>
  </si>
  <si>
    <t>Scottburgh</t>
  </si>
  <si>
    <t>Secunda</t>
  </si>
  <si>
    <t>Senekal</t>
  </si>
  <si>
    <t>Siyabuswa</t>
  </si>
  <si>
    <t>Somerset East</t>
  </si>
  <si>
    <t>Soweto</t>
  </si>
  <si>
    <t>Molas</t>
  </si>
  <si>
    <t>Springs</t>
  </si>
  <si>
    <t>Standerton</t>
  </si>
  <si>
    <t>Stanger</t>
  </si>
  <si>
    <t>Stellenbosch</t>
  </si>
  <si>
    <t>Stilfontein</t>
  </si>
  <si>
    <t>Stutterheim</t>
  </si>
  <si>
    <t>TEMBISA</t>
  </si>
  <si>
    <t>Tembisa</t>
  </si>
  <si>
    <t>Thaba nchu</t>
  </si>
  <si>
    <t>Thaba Nchu</t>
  </si>
  <si>
    <t>Theunissen</t>
  </si>
  <si>
    <t>Thohoyandou</t>
  </si>
  <si>
    <t>Tzaneen</t>
  </si>
  <si>
    <t>Uitenhage</t>
  </si>
  <si>
    <t>Ulundi</t>
  </si>
  <si>
    <t>Umkomaas</t>
  </si>
  <si>
    <t>Upington</t>
  </si>
  <si>
    <t>Vanderbijlpark</t>
  </si>
  <si>
    <t>Vereeniging</t>
  </si>
  <si>
    <t>Viljoenskroon</t>
  </si>
  <si>
    <t>Virgínia</t>
  </si>
  <si>
    <t>Virginia</t>
  </si>
  <si>
    <t>Volksrust</t>
  </si>
  <si>
    <t>Vryburg</t>
  </si>
  <si>
    <t>Vryheid</t>
  </si>
  <si>
    <t>Baths Warm</t>
  </si>
  <si>
    <t>Warmbaths</t>
  </si>
  <si>
    <t>Warrenton</t>
  </si>
  <si>
    <t>Welkom</t>
  </si>
  <si>
    <t>WESSELSBRON</t>
  </si>
  <si>
    <t>Wesselsbron</t>
  </si>
  <si>
    <t>Westonaria</t>
  </si>
  <si>
    <t>Rio branco</t>
  </si>
  <si>
    <t>White River</t>
  </si>
  <si>
    <t>Witbank</t>
  </si>
  <si>
    <t>Wolmaransstad</t>
  </si>
  <si>
    <t>Worcester</t>
  </si>
  <si>
    <t>Zeerust</t>
  </si>
  <si>
    <t>Grytviken</t>
  </si>
  <si>
    <t>South Georgia and the South Sandwich Islands</t>
  </si>
  <si>
    <t>Andong</t>
  </si>
  <si>
    <t>South Korea</t>
  </si>
  <si>
    <t>Gyeongsangbuk-do</t>
  </si>
  <si>
    <t>Ansan-Si</t>
  </si>
  <si>
    <t>Ansan-si</t>
  </si>
  <si>
    <t>Gyeonggi-do</t>
  </si>
  <si>
    <t>Anseong</t>
  </si>
  <si>
    <t>Anyang-Si</t>
  </si>
  <si>
    <t>Anyang-si</t>
  </si>
  <si>
    <t>Asan</t>
  </si>
  <si>
    <t>Chungcheongnam-do</t>
  </si>
  <si>
    <t>Beolgyo</t>
  </si>
  <si>
    <t>Jeollanam-do</t>
  </si>
  <si>
    <t>BUCHEON-SI</t>
  </si>
  <si>
    <t>Bucheon-si</t>
  </si>
  <si>
    <t>Busan</t>
  </si>
  <si>
    <t>Changnyeong</t>
  </si>
  <si>
    <t>Gyeongsangnam-do</t>
  </si>
  <si>
    <t>Changsu</t>
  </si>
  <si>
    <t>Jeollabuk-do</t>
  </si>
  <si>
    <t>Changwon</t>
  </si>
  <si>
    <t>Cheonan</t>
  </si>
  <si>
    <t>Cheongju-Si</t>
  </si>
  <si>
    <t>Cheongju-si</t>
  </si>
  <si>
    <t>Chungcheongbuk-do</t>
  </si>
  <si>
    <t>Gun Cheongsong</t>
  </si>
  <si>
    <t>Cheongsong gun</t>
  </si>
  <si>
    <t>Chinch'å n</t>
  </si>
  <si>
    <t>Chinch'Ån</t>
  </si>
  <si>
    <t>Chinju</t>
  </si>
  <si>
    <t>Chuncheon</t>
  </si>
  <si>
    <t>Gangwon-do</t>
  </si>
  <si>
    <t>Daegu</t>
  </si>
  <si>
    <t>Daejeon</t>
  </si>
  <si>
    <t>Eisen</t>
  </si>
  <si>
    <t>Enjitsu</t>
  </si>
  <si>
    <t>Fuyo</t>
  </si>
  <si>
    <t>Gigeturi</t>
  </si>
  <si>
    <t>Gaigeturi</t>
  </si>
  <si>
    <t>Jeju-do</t>
  </si>
  <si>
    <t>Ganghwa-gun</t>
  </si>
  <si>
    <t>Incheon</t>
  </si>
  <si>
    <t>Gapyeong</t>
  </si>
  <si>
    <t>Gijang</t>
  </si>
  <si>
    <t>Gimcheon</t>
  </si>
  <si>
    <t>Gongju</t>
  </si>
  <si>
    <t>Goseong</t>
  </si>
  <si>
    <t>Goyang-si</t>
  </si>
  <si>
    <t>Gumi</t>
  </si>
  <si>
    <t>Guri-si</t>
  </si>
  <si>
    <t>Gwangju</t>
  </si>
  <si>
    <t>Gyeongsan-Si</t>
  </si>
  <si>
    <t>Gyeongsan-si</t>
  </si>
  <si>
    <t>Haenam</t>
  </si>
  <si>
    <t>Hanam</t>
  </si>
  <si>
    <t>Hayang</t>
  </si>
  <si>
    <t>Heung-hai</t>
  </si>
  <si>
    <t>Hongch 'Å n</t>
  </si>
  <si>
    <t>Hongchâ€™Ån</t>
  </si>
  <si>
    <t>Hongsung</t>
  </si>
  <si>
    <t>Hwacheon</t>
  </si>
  <si>
    <t>Hwado</t>
  </si>
  <si>
    <t>Hwaseong-Si</t>
  </si>
  <si>
    <t>Hwaseong-si</t>
  </si>
  <si>
    <t>Hwasun</t>
  </si>
  <si>
    <t>Hwawå n</t>
  </si>
  <si>
    <t>HwawÅn</t>
  </si>
  <si>
    <t>Icheon-Si</t>
  </si>
  <si>
    <t>Icheon-si</t>
  </si>
  <si>
    <t>Iksan</t>
  </si>
  <si>
    <t>Imsil</t>
  </si>
  <si>
    <t>Cidade de Jeju</t>
  </si>
  <si>
    <t>Jeju City</t>
  </si>
  <si>
    <t>Jenzan</t>
  </si>
  <si>
    <t>Jeonju</t>
  </si>
  <si>
    <t>Jinan-Gun</t>
  </si>
  <si>
    <t>Jinan-gun</t>
  </si>
  <si>
    <t>Kang-neung</t>
  </si>
  <si>
    <t>Kimhae</t>
  </si>
  <si>
    <t>Kimje</t>
  </si>
  <si>
    <t>Kinzan</t>
  </si>
  <si>
    <t>Koch'ang</t>
  </si>
  <si>
    <t>Koesan</t>
  </si>
  <si>
    <t>Kosong</t>
  </si>
  <si>
    <t>Kunsan</t>
  </si>
  <si>
    <t>Kunwi</t>
  </si>
  <si>
    <t>Kurye</t>
  </si>
  <si>
    <t>Kwangmyå ng</t>
  </si>
  <si>
    <t>KwangmyÅng</t>
  </si>
  <si>
    <t>Kwangyang</t>
  </si>
  <si>
    <t>Kyonju</t>
  </si>
  <si>
    <t>Kyosai</t>
  </si>
  <si>
    <t>Miryang</t>
  </si>
  <si>
    <t>MOPPO</t>
  </si>
  <si>
    <t>Moppo</t>
  </si>
  <si>
    <t>Muan</t>
  </si>
  <si>
    <t>Mungyeong</t>
  </si>
  <si>
    <t>Munsan</t>
  </si>
  <si>
    <t>Naeså</t>
  </si>
  <si>
    <t>NaesÅ</t>
  </si>
  <si>
    <t>Naju</t>
  </si>
  <si>
    <t>Namyangju</t>
  </si>
  <si>
    <t>Nangen</t>
  </si>
  <si>
    <t>Neietsu</t>
  </si>
  <si>
    <t>Nonsan</t>
  </si>
  <si>
    <t>Okcheon</t>
  </si>
  <si>
    <t>Osan</t>
  </si>
  <si>
    <t>Pohang</t>
  </si>
  <si>
    <t>Puan</t>
  </si>
  <si>
    <t>Pubal</t>
  </si>
  <si>
    <t>Reiko</t>
  </si>
  <si>
    <t>Sangju</t>
  </si>
  <si>
    <t>Santyoku</t>
  </si>
  <si>
    <t>Seogwipo</t>
  </si>
  <si>
    <t>Seonghwan</t>
  </si>
  <si>
    <t>Seongnam-Si</t>
  </si>
  <si>
    <t>Seongnam-si</t>
  </si>
  <si>
    <t>Seul</t>
  </si>
  <si>
    <t>Seoul</t>
  </si>
  <si>
    <t>Sinan</t>
  </si>
  <si>
    <t>Sinhyeon</t>
  </si>
  <si>
    <t>Sokcho</t>
  </si>
  <si>
    <t>Suisan</t>
  </si>
  <si>
    <t>Suncheon</t>
  </si>
  <si>
    <t>Suwon-Si</t>
  </si>
  <si>
    <t>Suwon-si</t>
  </si>
  <si>
    <t>Aebaek</t>
  </si>
  <si>
    <t>Tâ€™aebaek</t>
  </si>
  <si>
    <t>Taesal-Li</t>
  </si>
  <si>
    <t>Taesal-li</t>
  </si>
  <si>
    <t>Taisen-ri</t>
  </si>
  <si>
    <t>Tangjin</t>
  </si>
  <si>
    <t>Tonghae</t>
  </si>
  <si>
    <t>Uijeongbu-si</t>
  </si>
  <si>
    <t>Ulsan</t>
  </si>
  <si>
    <t>Ungsang</t>
  </si>
  <si>
    <t>Wå nju</t>
  </si>
  <si>
    <t>WÅnju</t>
  </si>
  <si>
    <t>Wabu</t>
  </si>
  <si>
    <t>Waegwan</t>
  </si>
  <si>
    <t>Wanju</t>
  </si>
  <si>
    <t>Yå ng-dong</t>
  </si>
  <si>
    <t>YÅng-dong</t>
  </si>
  <si>
    <t>Yå nmu</t>
  </si>
  <si>
    <t>YÅnmu</t>
  </si>
  <si>
    <t>Yangju</t>
  </si>
  <si>
    <t>Yangp'yå ng</t>
  </si>
  <si>
    <t>Yangp'yÅng</t>
  </si>
  <si>
    <t>Yangsan</t>
  </si>
  <si>
    <t>Yeoju</t>
  </si>
  <si>
    <t>Yeosu</t>
  </si>
  <si>
    <t>Yesan</t>
  </si>
  <si>
    <t>Aweil</t>
  </si>
  <si>
    <t>South Sudan</t>
  </si>
  <si>
    <t>Northern Bahr al Ghazal</t>
  </si>
  <si>
    <t>Gogrial</t>
  </si>
  <si>
    <t>Warrap</t>
  </si>
  <si>
    <t>Juba</t>
  </si>
  <si>
    <t>Central Equatoria</t>
  </si>
  <si>
    <t>Malakal</t>
  </si>
  <si>
    <t>Upper Nile</t>
  </si>
  <si>
    <t>PAJOK</t>
  </si>
  <si>
    <t>Pajok</t>
  </si>
  <si>
    <t>Eastern Equatoria</t>
  </si>
  <si>
    <t>RUMBEK</t>
  </si>
  <si>
    <t>Rumbek</t>
  </si>
  <si>
    <t>Lakes</t>
  </si>
  <si>
    <t>Tonj</t>
  </si>
  <si>
    <t>Torit</t>
  </si>
  <si>
    <t>Wau</t>
  </si>
  <si>
    <t>Western Bahr al Ghazal</t>
  </si>
  <si>
    <t>YAMBIO</t>
  </si>
  <si>
    <t>Yambio</t>
  </si>
  <si>
    <t>Western Equatoria</t>
  </si>
  <si>
    <t>Yei</t>
  </si>
  <si>
    <t>Um coru.</t>
  </si>
  <si>
    <t>A CoruÃ±a</t>
  </si>
  <si>
    <t>Spain</t>
  </si>
  <si>
    <t>Galicia</t>
  </si>
  <si>
    <t>A Estrada</t>
  </si>
  <si>
    <t>Ã cija</t>
  </si>
  <si>
    <t>Ã‰cija</t>
  </si>
  <si>
    <t>Andalusia</t>
  </si>
  <si>
    <t>Ã Guilas</t>
  </si>
  <si>
    <t>Ãguilas</t>
  </si>
  <si>
    <t>Ã vila</t>
  </si>
  <si>
    <t>Ãvila</t>
  </si>
  <si>
    <t>Castille and LeÃ³n</t>
  </si>
  <si>
    <t>Adeje</t>
  </si>
  <si>
    <t>Canary Islands</t>
  </si>
  <si>
    <t>AGãIMES</t>
  </si>
  <si>
    <t>AgÃ¼imes</t>
  </si>
  <si>
    <t>Alaquma</t>
  </si>
  <si>
    <t>AlaquÃ s</t>
  </si>
  <si>
    <t>Albacete</t>
  </si>
  <si>
    <t>Castille-La Mancha</t>
  </si>
  <si>
    <t>Albal</t>
  </si>
  <si>
    <t>Albolote</t>
  </si>
  <si>
    <t>Alboraya</t>
  </si>
  <si>
    <t>Alcá de San Juan</t>
  </si>
  <si>
    <t>AlcÃ¡zar de San Juan</t>
  </si>
  <si>
    <t>Alca ± iz</t>
  </si>
  <si>
    <t>AlcaÃ±iz</t>
  </si>
  <si>
    <t>Aragon</t>
  </si>
  <si>
    <t>Alcalá de Guadaira</t>
  </si>
  <si>
    <t>AlcalÃ¡ de Guadaira</t>
  </si>
  <si>
    <t>Alcalá de Henares</t>
  </si>
  <si>
    <t>AlcalÃ¡ de Henares</t>
  </si>
  <si>
    <t>Alcalá real</t>
  </si>
  <si>
    <t>AlcalÃ¡ la Real</t>
  </si>
  <si>
    <t>Alcantarilla</t>
  </si>
  <si>
    <t>ALCVADIA</t>
  </si>
  <si>
    <t>AlcÃºdia</t>
  </si>
  <si>
    <t>Balearic Islands</t>
  </si>
  <si>
    <t>Alcobendas</t>
  </si>
  <si>
    <t>Alcorcãn</t>
  </si>
  <si>
    <t>AlcorcÃ³n</t>
  </si>
  <si>
    <t>Alcoy</t>
  </si>
  <si>
    <t>Aldaia</t>
  </si>
  <si>
    <t>Alfafar</t>
  </si>
  <si>
    <t>Algeciras</t>
  </si>
  <si>
    <t>Algemesã</t>
  </si>
  <si>
    <t>AlgemesÃ­</t>
  </si>
  <si>
    <t>Algo</t>
  </si>
  <si>
    <t>Algete</t>
  </si>
  <si>
    <t>Algorta</t>
  </si>
  <si>
    <t>Basque Country</t>
  </si>
  <si>
    <t>ALHAMA DE MURCIA</t>
  </si>
  <si>
    <t>Alhama de Murcia</t>
  </si>
  <si>
    <t>Alaurãn de la Torre</t>
  </si>
  <si>
    <t>AlhaurÃ­n de la Torre</t>
  </si>
  <si>
    <t>Alaurãn El Grande</t>
  </si>
  <si>
    <t>AlhaurÃ­n el Grande</t>
  </si>
  <si>
    <t>Alicante</t>
  </si>
  <si>
    <t>Aljaraque</t>
  </si>
  <si>
    <t>Almansa</t>
  </si>
  <si>
    <t>Almassora</t>
  </si>
  <si>
    <t>AlmendRalejo</t>
  </si>
  <si>
    <t>Almendralejo</t>
  </si>
  <si>
    <t>Extremadura</t>
  </si>
  <si>
    <t>Almerãa</t>
  </si>
  <si>
    <t>AlmerÃ­a</t>
  </si>
  <si>
    <t>Almonte</t>
  </si>
  <si>
    <t>Almoradã</t>
  </si>
  <si>
    <t>AlmoradÃ­</t>
  </si>
  <si>
    <t>Almozara</t>
  </si>
  <si>
    <t>Almuã ± © Car</t>
  </si>
  <si>
    <t>AlmuÃ±Ã©car</t>
  </si>
  <si>
    <t>Altea</t>
  </si>
  <si>
    <t>Alzira</t>
  </si>
  <si>
    <t>Amé</t>
  </si>
  <si>
    <t>AmÃ©s</t>
  </si>
  <si>
    <t>Amorebieta</t>
  </si>
  <si>
    <t>Amposta</t>
  </si>
  <si>
    <t>Catalonia</t>
  </si>
  <si>
    <t>E ênjar</t>
  </si>
  <si>
    <t>AndÃºjar</t>
  </si>
  <si>
    <t>Antequera</t>
  </si>
  <si>
    <t>Aranda de Duero</t>
  </si>
  <si>
    <t>Aranjuez</t>
  </si>
  <si>
    <t>Archena</t>
  </si>
  <si>
    <t>Arcos de la Frontera</t>
  </si>
  <si>
    <t>Arganda</t>
  </si>
  <si>
    <t>Arganzuela</t>
  </si>
  <si>
    <t>Armilla</t>
  </si>
  <si>
    <t>ARONA</t>
  </si>
  <si>
    <t>Arona</t>
  </si>
  <si>
    <t>Arrasate / Mondragãn</t>
  </si>
  <si>
    <t>Arrasate / MondragÃ³n</t>
  </si>
  <si>
    <t>Arrecife</t>
  </si>
  <si>
    <t>Arteixo</t>
  </si>
  <si>
    <t>Arucas</t>
  </si>
  <si>
    <t>Ãbeda</t>
  </si>
  <si>
    <t>Ãšbeda</t>
  </si>
  <si>
    <t>Aspe</t>
  </si>
  <si>
    <t>Atamarãa</t>
  </si>
  <si>
    <t>AtamarÃ­a</t>
  </si>
  <si>
    <t>Atarfe</t>
  </si>
  <si>
    <t>AVILA © S.</t>
  </si>
  <si>
    <t>AvilÃ©s</t>
  </si>
  <si>
    <t>Asturias</t>
  </si>
  <si>
    <t>Ayamonte</t>
  </si>
  <si>
    <t>Azuqueca de Henares</t>
  </si>
  <si>
    <t>JAR</t>
  </si>
  <si>
    <t>BÃ©jar</t>
  </si>
  <si>
    <t>Bá © Tera</t>
  </si>
  <si>
    <t>BÃ©tera</t>
  </si>
  <si>
    <t>Badajoz</t>
  </si>
  <si>
    <t>Badalona</t>
  </si>
  <si>
    <t>Baena</t>
  </si>
  <si>
    <t>Baeza</t>
  </si>
  <si>
    <t>Bailé n</t>
  </si>
  <si>
    <t>BailÃ©n</t>
  </si>
  <si>
    <t>Balaguer</t>
  </si>
  <si>
    <t>Banyoles</t>
  </si>
  <si>
    <t>Bara</t>
  </si>
  <si>
    <t>BaraÃ±Ã¡in</t>
  </si>
  <si>
    <t>Navarre</t>
  </si>
  <si>
    <t>Barajas de Madrid</t>
  </si>
  <si>
    <t>Barakaldo</t>
  </si>
  <si>
    <t>Barbastro</t>
  </si>
  <si>
    <t>Barbate de Franco</t>
  </si>
  <si>
    <t>Barberã del Vallí</t>
  </si>
  <si>
    <t>BarberÃ  del VallÃ¨s</t>
  </si>
  <si>
    <t>Barcelona</t>
  </si>
  <si>
    <t>Basauri</t>
  </si>
  <si>
    <t>Baza</t>
  </si>
  <si>
    <t>Benalmânia</t>
  </si>
  <si>
    <t>BenalmÃ¡dena</t>
  </si>
  <si>
    <t>BENAVENTE</t>
  </si>
  <si>
    <t>Benavente</t>
  </si>
  <si>
    <t>BENETOSSER</t>
  </si>
  <si>
    <t>BenetÃºsser</t>
  </si>
  <si>
    <t>Benicã ssim</t>
  </si>
  <si>
    <t>BenicÃ ssim</t>
  </si>
  <si>
    <t>Benicarlã</t>
  </si>
  <si>
    <t>BenicarlÃ³</t>
  </si>
  <si>
    <t>Benidorm</t>
  </si>
  <si>
    <t>Berga</t>
  </si>
  <si>
    <t>Berja</t>
  </si>
  <si>
    <t>Bermeo</t>
  </si>
  <si>
    <t>Bilbao</t>
  </si>
  <si>
    <t>Blanes</t>
  </si>
  <si>
    <t>Boadilla del Monte</t>
  </si>
  <si>
    <t>Boiro</t>
  </si>
  <si>
    <t>Bormujos</t>
  </si>
  <si>
    <t>Burjassot</t>
  </si>
  <si>
    <t>Burlata</t>
  </si>
  <si>
    <t>Burriana</t>
  </si>
  <si>
    <t>CÃ¡ceres</t>
  </si>
  <si>
    <t>Cãrtama</t>
  </si>
  <si>
    <t>CÃ¡rtama</t>
  </si>
  <si>
    <t>CABRA</t>
  </si>
  <si>
    <t>Cabra</t>
  </si>
  <si>
    <t>Calafell</t>
  </si>
  <si>
    <t>Calahorra</t>
  </si>
  <si>
    <t>Calatayud</t>
  </si>
  <si>
    <t>Caldes de Montbui</t>
  </si>
  <si>
    <t>Calella</t>
  </si>
  <si>
    <t>Callosa de Segura</t>
  </si>
  <si>
    <t>Calp</t>
  </si>
  <si>
    <t>Calviã</t>
  </si>
  <si>
    <t>CalviÃ </t>
  </si>
  <si>
    <t>Camargo</t>
  </si>
  <si>
    <t>Cantabria</t>
  </si>
  <si>
    <t>Camas</t>
  </si>
  <si>
    <t>Cambre</t>
  </si>
  <si>
    <t>Cambrils</t>
  </si>
  <si>
    <t>Campi ± a</t>
  </si>
  <si>
    <t>CampiÃ±a</t>
  </si>
  <si>
    <t>Campo de Criptana</t>
  </si>
  <si>
    <t>Cangas faz Morazo</t>
  </si>
  <si>
    <t>Cangas do Morrazo</t>
  </si>
  <si>
    <t>Canovelles</t>
  </si>
  <si>
    <t>Carabanchel</t>
  </si>
  <si>
    <t>Caravaca</t>
  </si>
  <si>
    <t>Carballo</t>
  </si>
  <si>
    <t>Carcaixent</t>
  </si>
  <si>
    <t>Cardedeu</t>
  </si>
  <si>
    <t>Carlet</t>
  </si>
  <si>
    <t>Cartaya</t>
  </si>
  <si>
    <t>Castellã³ de la plana</t>
  </si>
  <si>
    <t>CastellÃ³ de la Plana</t>
  </si>
  <si>
    <t>Castellar del Vallãs</t>
  </si>
  <si>
    <t>Castellar del VallÃ¨s</t>
  </si>
  <si>
    <t>Castelldefels</t>
  </si>
  <si>
    <t>Castilleja de la Cuesta</t>
  </si>
  <si>
    <t>Castro-urdiales</t>
  </si>
  <si>
    <t>Castro-Urdiales</t>
  </si>
  <si>
    <t>Catarroja</t>
  </si>
  <si>
    <t>Cehegãn</t>
  </si>
  <si>
    <t>CehegÃ­n</t>
  </si>
  <si>
    <t>Cerdanyola del Vallí</t>
  </si>
  <si>
    <t>Cerdanyola del VallÃ¨s</t>
  </si>
  <si>
    <t>CEUTA</t>
  </si>
  <si>
    <t>Ceuta</t>
  </si>
  <si>
    <t>Chamartãn</t>
  </si>
  <si>
    <t>ChamartÃ­n</t>
  </si>
  <si>
    <t>Câmara</t>
  </si>
  <si>
    <t>ChamberÃ­</t>
  </si>
  <si>
    <t>Chiclana de la Frontera</t>
  </si>
  <si>
    <t>Chipiona</t>
  </si>
  <si>
    <t>Ciempozuelos</t>
  </si>
  <si>
    <t>Cieza</t>
  </si>
  <si>
    <t>Centro da cidade</t>
  </si>
  <si>
    <t>City Center</t>
  </si>
  <si>
    <t>Ciudad lineal</t>
  </si>
  <si>
    <t>Ciudad Lineal</t>
  </si>
  <si>
    <t>Ciudad Real</t>
  </si>
  <si>
    <t>Ciutadella</t>
  </si>
  <si>
    <t>Ciutat Vella</t>
  </si>
  <si>
    <t>Coãn</t>
  </si>
  <si>
    <t>CoÃ­n</t>
  </si>
  <si>
    <t>Collorado-Villalba</t>
  </si>
  <si>
    <t>Collado-Villalba</t>
  </si>
  <si>
    <t>Colmenar Viejo</t>
  </si>
  <si>
    <t>Conil de la Frontera</t>
  </si>
  <si>
    <t>Coria del Rão</t>
  </si>
  <si>
    <t>Coria del RÃ­o</t>
  </si>
  <si>
    <t>Cornellã de Llobregat</t>
  </si>
  <si>
    <t>CornellÃ  de Llobregat</t>
  </si>
  <si>
    <t>Corvera de Asturias</t>
  </si>
  <si>
    <t>Coslada</t>
  </si>
  <si>
    <t>Crevillente</t>
  </si>
  <si>
    <t>Culrera</t>
  </si>
  <si>
    <t>Cullera</t>
  </si>
  <si>
    <t>Culledero</t>
  </si>
  <si>
    <t>Culleredo</t>
  </si>
  <si>
    <t>Daimiel</t>
  </si>
  <si>
    <t>Delicias</t>
  </si>
  <si>
    <t>Denia</t>
  </si>
  <si>
    <t>Don Benito</t>
  </si>
  <si>
    <t>Donostia / San Sebastiãn</t>
  </si>
  <si>
    <t>Donostia / San SebastiÃ¡n</t>
  </si>
  <si>
    <t>Dos Hermanas</t>
  </si>
  <si>
    <t>Eibar</t>
  </si>
  <si>
    <t>Eixample</t>
  </si>
  <si>
    <t>Ejea de Los Caballeros</t>
  </si>
  <si>
    <t>Ejea de los Caballeros</t>
  </si>
  <si>
    <t>El Arahal</t>
  </si>
  <si>
    <t>El Astillero</t>
  </si>
  <si>
    <t>El Campello</t>
  </si>
  <si>
    <t>el Campello</t>
  </si>
  <si>
    <t>El Ejido</t>
  </si>
  <si>
    <t>El Masnou</t>
  </si>
  <si>
    <t>El Prat de Llobregat</t>
  </si>
  <si>
    <t>El Puerto de Santa Marãa</t>
  </si>
  <si>
    <t>El Puerto de Santa MarÃ­a</t>
  </si>
  <si>
    <t>El Vendrell</t>
  </si>
  <si>
    <t>El Viso del Alcor</t>
  </si>
  <si>
    <t>Elche</t>
  </si>
  <si>
    <t>Elda</t>
  </si>
  <si>
    <t>Erandio</t>
  </si>
  <si>
    <t>Ermitaga ± a</t>
  </si>
  <si>
    <t>ErmitagaÃ±a</t>
  </si>
  <si>
    <t>Ermua</t>
  </si>
  <si>
    <t>Errerenia</t>
  </si>
  <si>
    <t>Errenteria</t>
  </si>
  <si>
    <t>Esparregura</t>
  </si>
  <si>
    <t>Esparreguera</t>
  </si>
  <si>
    <t>Esplugues de llobregat</t>
  </si>
  <si>
    <t>Esplugues de Llobregat</t>
  </si>
  <si>
    <t>Estepona</t>
  </si>
  <si>
    <t>Felanitx</t>
  </si>
  <si>
    <t>Ferrol</t>
  </si>
  <si>
    <t>Figueras</t>
  </si>
  <si>
    <t>figuras</t>
  </si>
  <si>
    <t>Figueres</t>
  </si>
  <si>
    <t>Fuencarral-El Pardo</t>
  </si>
  <si>
    <t>Fuengirola</t>
  </si>
  <si>
    <t>Fuenlabrada</t>
  </si>
  <si>
    <t>Gãndar</t>
  </si>
  <si>
    <t>GÃ¡ldar</t>
  </si>
  <si>
    <t>Gãimar</t>
  </si>
  <si>
    <t>GÃ¼imar</t>
  </si>
  <si>
    <t>Galapagar</t>
  </si>
  <si>
    <t>Galdakao</t>
  </si>
  <si>
    <t>Gandia</t>
  </si>
  <si>
    <t>Gasteiz / Vitoria</t>
  </si>
  <si>
    <t>Gavã</t>
  </si>
  <si>
    <t>GavÃ </t>
  </si>
  <si>
    <t>Gernika-Lumo</t>
  </si>
  <si>
    <t>Getafe</t>
  </si>
  <si>
    <t>Getxo</t>
  </si>
  <si>
    <t>Gijã³n</t>
  </si>
  <si>
    <t>GijÃ³n</t>
  </si>
  <si>
    <t>Girona</t>
  </si>
  <si>
    <t>Gré Cia</t>
  </si>
  <si>
    <t>GrÃ cia</t>
  </si>
  <si>
    <t>Granadilla de Abona</t>
  </si>
  <si>
    <t>Granollers</t>
  </si>
  <si>
    <t>Groa de Murviedro</t>
  </si>
  <si>
    <t>Guãa de Isora</t>
  </si>
  <si>
    <t>GuÃ­a de Isora</t>
  </si>
  <si>
    <t>Guadix</t>
  </si>
  <si>
    <t>Guardamar del Segura</t>
  </si>
  <si>
    <t>Inferno</t>
  </si>
  <si>
    <t>HellÃ­n</t>
  </si>
  <si>
    <t>Hernani</t>
  </si>
  <si>
    <t>Hondaribia</t>
  </si>
  <si>
    <t>Hondarribia</t>
  </si>
  <si>
    <t>Horta-guinardã</t>
  </si>
  <si>
    <t>Horta-GuinardÃ³</t>
  </si>
  <si>
    <t>Hortaleza</t>
  </si>
  <si>
    <t>Hué Rcal-Overa</t>
  </si>
  <si>
    <t>HuÃ©rcal-Overa</t>
  </si>
  <si>
    <t>Huelva</t>
  </si>
  <si>
    <t>Huesca</t>
  </si>
  <si>
    <t>Humanes de Madrid</t>
  </si>
  <si>
    <t>Ibiza</t>
  </si>
  <si>
    <t>Icod de los vinos</t>
  </si>
  <si>
    <t>Icod de los Vinos</t>
  </si>
  <si>
    <t>Igualada</t>
  </si>
  <si>
    <t>Illescas</t>
  </si>
  <si>
    <t>Inca</t>
  </si>
  <si>
    <t>Ingenio</t>
  </si>
  <si>
    <t>Eu corro</t>
  </si>
  <si>
    <t>Irun</t>
  </si>
  <si>
    <t>Isla Cristina</t>
  </si>
  <si>
    <t>Iturrama</t>
  </si>
  <si>
    <t>Javea</t>
  </si>
  <si>
    <t>Jerez de la Frontera</t>
  </si>
  <si>
    <t>Jumilla</t>
  </si>
  <si>
    <t>La Carolina</t>
  </si>
  <si>
    <t>La Laguna</t>
  </si>
  <si>
    <t>La lãnea de la concepciãn</t>
  </si>
  <si>
    <t>La LÃ­nea de la ConcepciÃ³n</t>
  </si>
  <si>
    <t>La Nucia</t>
  </si>
  <si>
    <t>la Nucia</t>
  </si>
  <si>
    <t>La Oliva</t>
  </si>
  <si>
    <t>La Orotava</t>
  </si>
  <si>
    <t>La Pineda</t>
  </si>
  <si>
    <t>La pobla de vallbona</t>
  </si>
  <si>
    <t>La Pobla de Vallbona</t>
  </si>
  <si>
    <t>La Roda</t>
  </si>
  <si>
    <t>La solana</t>
  </si>
  <si>
    <t>La Solana</t>
  </si>
  <si>
    <t>Laguna de Duero</t>
  </si>
  <si>
    <t>Lalãn</t>
  </si>
  <si>
    <t>LalÃ­n</t>
  </si>
  <si>
    <t>L'Alf's del Pi</t>
  </si>
  <si>
    <t>l'AlfÃ s del Pi</t>
  </si>
  <si>
    <t>Las Cabezas de San Juan</t>
  </si>
  <si>
    <t>Las Gabias</t>
  </si>
  <si>
    <t>Las Palmas de Gran Canaria</t>
  </si>
  <si>
    <t>Las Rozas de Madrid</t>
  </si>
  <si>
    <t>Las Torres de Cotillas</t>
  </si>
  <si>
    <t>Lasarte</t>
  </si>
  <si>
    <t>Laudio / llodio</t>
  </si>
  <si>
    <t>Laudio / Llodio</t>
  </si>
  <si>
    <t>Lebrija</t>
  </si>
  <si>
    <t>Legan © s</t>
  </si>
  <si>
    <t>LeganÃ©s</t>
  </si>
  <si>
    <t>Leioa</t>
  </si>
  <si>
    <t>L'Eniana</t>
  </si>
  <si>
    <t>L'Eliana</t>
  </si>
  <si>
    <t>Lepe</t>
  </si>
  <si>
    <t>Les Corts</t>
  </si>
  <si>
    <t>les Corts</t>
  </si>
  <si>
    <t>Hospitalet de llobregat</t>
  </si>
  <si>
    <t>L'Hospitalet de Llobregat</t>
  </si>
  <si>
    <t>Llãria</t>
  </si>
  <si>
    <t>LlÃ­ria</t>
  </si>
  <si>
    <t>Llefiã</t>
  </si>
  <si>
    <t>LlefiÃ </t>
  </si>
  <si>
    <t>Lleida</t>
  </si>
  <si>
    <t>LLORET DE MAR</t>
  </si>
  <si>
    <t>Lloret de Mar</t>
  </si>
  <si>
    <t>Llucmajor</t>
  </si>
  <si>
    <t>Logroi ± O.</t>
  </si>
  <si>
    <t>LogroÃ±o</t>
  </si>
  <si>
    <t>Lora del Rão</t>
  </si>
  <si>
    <t>Lora del RÃ­o</t>
  </si>
  <si>
    <t>Lorca</t>
  </si>
  <si>
    <t>Los Alcíares</t>
  </si>
  <si>
    <t>Los AlcÃ¡zares</t>
  </si>
  <si>
    <t>Los Barrios</t>
  </si>
  <si>
    <t>Los Llanos de Aridane</t>
  </si>
  <si>
    <t>Los Palacios y Villafranca</t>
  </si>
  <si>
    <t>Los Realejos</t>
  </si>
  <si>
    <t>Estóis</t>
  </si>
  <si>
    <t>MÃ³stoles</t>
  </si>
  <si>
    <t>Maã</t>
  </si>
  <si>
    <t>MaÃ³</t>
  </si>
  <si>
    <t>Mairena del Alcor</t>
  </si>
  <si>
    <t>Mairena del Aljarafe</t>
  </si>
  <si>
    <t>Majadahonda</t>
  </si>
  <si>
    <t>Malgrat de Mar.</t>
  </si>
  <si>
    <t>Malgrat de Mar</t>
  </si>
  <si>
    <t>Manacor</t>
  </si>
  <si>
    <t>Manises</t>
  </si>
  <si>
    <t>Manlleu</t>
  </si>
  <si>
    <t>Manresa</t>
  </si>
  <si>
    <t>Maracena</t>
  </si>
  <si>
    <t>Marãn</t>
  </si>
  <si>
    <t>MarÃ­n</t>
  </si>
  <si>
    <t>Marbella</t>
  </si>
  <si>
    <t>Marchena</t>
  </si>
  <si>
    <t>Marratxã</t>
  </si>
  <si>
    <t>MarratxÃ­</t>
  </si>
  <si>
    <t>Martorell</t>
  </si>
  <si>
    <t>Martos</t>
  </si>
  <si>
    <t>Maspalomas</t>
  </si>
  <si>
    <t>Massamagrell</t>
  </si>
  <si>
    <t>Matarã</t>
  </si>
  <si>
    <t>MatarÃ³</t>
  </si>
  <si>
    <t>Mazarrãn</t>
  </si>
  <si>
    <t>MazarrÃ³n</t>
  </si>
  <si>
    <t>Medina Del Campo</t>
  </si>
  <si>
    <t>Medina del Campo</t>
  </si>
  <si>
    <t>Mejorada del Campo</t>
  </si>
  <si>
    <t>Melilla</t>
  </si>
  <si>
    <t>Mieres</t>
  </si>
  <si>
    <t>Mijas</t>
  </si>
  <si>
    <t>Miranda de Ebro</t>
  </si>
  <si>
    <t>Mislata</t>
  </si>
  <si>
    <t>Moaã ± a</t>
  </si>
  <si>
    <t>MoaÃ±a</t>
  </si>
  <si>
    <t>Mog</t>
  </si>
  <si>
    <t>MogÃ¡n</t>
  </si>
  <si>
    <t>Moguer</t>
  </si>
  <si>
    <t>Molina de Segura</t>
  </si>
  <si>
    <t>Molins de Rei</t>
  </si>
  <si>
    <t>Mollet del Vallãs</t>
  </si>
  <si>
    <t>Mollet del VallÃ¨s</t>
  </si>
  <si>
    <t>Moncada</t>
  </si>
  <si>
    <t>Moncloa-aravaca</t>
  </si>
  <si>
    <t>Moncloa-Aravaca</t>
  </si>
  <si>
    <t>Monforte de Lemos</t>
  </si>
  <si>
    <t>Montcada I Reixac</t>
  </si>
  <si>
    <t>Montcada i Reixac</t>
  </si>
  <si>
    <t>Montecanal</t>
  </si>
  <si>
    <t>Montilla</t>
  </si>
  <si>
    <t>Montornãs del Vallí</t>
  </si>
  <si>
    <t>MontornÃ¨s del VallÃ¨s</t>
  </si>
  <si>
    <t>Monzã</t>
  </si>
  <si>
    <t>MonzÃ³n</t>
  </si>
  <si>
    <t>Morã³n de la Frontera</t>
  </si>
  <si>
    <t>MorÃ³n de la Frontera</t>
  </si>
  <si>
    <t>Moratalaz</t>
  </si>
  <si>
    <t>Motril</t>
  </si>
  <si>
    <t>Muchamiel</t>
  </si>
  <si>
    <t>Mula</t>
  </si>
  <si>
    <t>Mungia</t>
  </si>
  <si>
    <t>Nãjar</t>
  </si>
  <si>
    <t>NÃ­jar</t>
  </si>
  <si>
    <t>Narã</t>
  </si>
  <si>
    <t>NarÃ³n</t>
  </si>
  <si>
    <t>Natahoyo</t>
  </si>
  <si>
    <t>NavalCarnero</t>
  </si>
  <si>
    <t>Navalcarnero</t>
  </si>
  <si>
    <t>Navalmoral de la Mata</t>
  </si>
  <si>
    <t>Nerja</t>
  </si>
  <si>
    <t>Nigrá</t>
  </si>
  <si>
    <t>NigrÃ¡n</t>
  </si>
  <si>
    <t>Nou Barris</t>
  </si>
  <si>
    <t>Novelda</t>
  </si>
  <si>
    <t>Oleiros</t>
  </si>
  <si>
    <t>Olesa de Montserrat</t>
  </si>
  <si>
    <t>Oliva</t>
  </si>
  <si>
    <t>Oliver-Valdefierro</t>
  </si>
  <si>
    <t>OLOT</t>
  </si>
  <si>
    <t>Olot</t>
  </si>
  <si>
    <t>Onda</t>
  </si>
  <si>
    <t>Ontinyent</t>
  </si>
  <si>
    <t>Oria</t>
  </si>
  <si>
    <t>Orihuela</t>
  </si>
  <si>
    <t>Osuna</t>
  </si>
  <si>
    <t>Ourense</t>
  </si>
  <si>
    <t>Oviedo</t>
  </si>
  <si>
    <t>PãJara</t>
  </si>
  <si>
    <t>PÃ¡jara</t>
  </si>
  <si>
    <t>PAIPORTA</t>
  </si>
  <si>
    <t>Paiporta</t>
  </si>
  <si>
    <t>Palafrugell</t>
  </si>
  <si>
    <t>Palamãs</t>
  </si>
  <si>
    <t>PalamÃ³s</t>
  </si>
  <si>
    <t>Palma</t>
  </si>
  <si>
    <t>Palma del Rão</t>
  </si>
  <si>
    <t>Palma del RÃ­o</t>
  </si>
  <si>
    <t>Parets del Vallí</t>
  </si>
  <si>
    <t>Parets del VallÃ¨s</t>
  </si>
  <si>
    <t>Parla</t>
  </si>
  <si>
    <t>Pasaia</t>
  </si>
  <si>
    <t>Paterna</t>
  </si>
  <si>
    <t>PicaSente</t>
  </si>
  <si>
    <t>Picassent</t>
  </si>
  <si>
    <t>Pilar de la Horadada</t>
  </si>
  <si>
    <t>Pinar de Chamartão</t>
  </si>
  <si>
    <t>Pinar de ChamartÃ­n</t>
  </si>
  <si>
    <t>Pineda de Mar.</t>
  </si>
  <si>
    <t>Pineda de Mar</t>
  </si>
  <si>
    <t>Pinto</t>
  </si>
  <si>
    <t>PLASENCIA</t>
  </si>
  <si>
    <t>Plasencia</t>
  </si>
  <si>
    <t>Playa del Ingles</t>
  </si>
  <si>
    <t>Poio</t>
  </si>
  <si>
    <t>Pólenãa</t>
  </si>
  <si>
    <t>PollenÃ§a</t>
  </si>
  <si>
    <t>Ponferrada</t>
  </si>
  <si>
    <t>Ponteareas</t>
  </si>
  <si>
    <t>PORRIO ± O.</t>
  </si>
  <si>
    <t>PorriÃ±o</t>
  </si>
  <si>
    <t>Portugalete</t>
  </si>
  <si>
    <t>POZOBLANCO</t>
  </si>
  <si>
    <t>Pozoblanco</t>
  </si>
  <si>
    <t>Pozuelo de alarcãn</t>
  </si>
  <si>
    <t>Pozuelo de AlarcÃ³n</t>
  </si>
  <si>
    <t>Premiã de Mar.</t>
  </si>
  <si>
    <t>PremiÃ  de Mar</t>
  </si>
  <si>
    <t>Priego de Cãrdoba</t>
  </si>
  <si>
    <t>Priego de CÃ³rdoba</t>
  </si>
  <si>
    <t>Primer Ensanche</t>
  </si>
  <si>
    <t>Puã§ol</t>
  </si>
  <si>
    <t>PuÃ§ol</t>
  </si>
  <si>
    <t>Puente de Vallecas</t>
  </si>
  <si>
    <t>Puente-Genil</t>
  </si>
  <si>
    <t>Puerto de la Cruz</t>
  </si>
  <si>
    <t>Puerto del Carmen</t>
  </si>
  <si>
    <t>Puerto del Rosario</t>
  </si>
  <si>
    <t>Puerto Real</t>
  </si>
  <si>
    <t>Puertollano</t>
  </si>
  <si>
    <t>Quart de Poblet</t>
  </si>
  <si>
    <t>Realejo Alto</t>
  </si>
  <si>
    <t>Redondela</t>
  </si>
  <si>
    <t>Requena</t>
  </si>
  <si>
    <t>Reus</t>
  </si>
  <si>
    <t>Ribarroja</t>
  </si>
  <si>
    <t>Ribeira</t>
  </si>
  <si>
    <t>Rincã³n de la Victoria</t>
  </si>
  <si>
    <t>RincÃ³n de la Victoria</t>
  </si>
  <si>
    <t>Ripollet</t>
  </si>
  <si>
    <t>Rivas-Vaciamadrid</t>
  </si>
  <si>
    <t>Rojales</t>
  </si>
  <si>
    <t>Ronda</t>
  </si>
  <si>
    <t>Roquetas de Mar.</t>
  </si>
  <si>
    <t>Roquetas de Mar</t>
  </si>
  <si>
    <t>Rosas</t>
  </si>
  <si>
    <t>Roses</t>
  </si>
  <si>
    <t>Rota</t>
  </si>
  <si>
    <t>Rubã</t>
  </si>
  <si>
    <t>RubÃ­</t>
  </si>
  <si>
    <t>Sabadell</t>
  </si>
  <si>
    <t>Saguu</t>
  </si>
  <si>
    <t>Sagunto</t>
  </si>
  <si>
    <t>Salou</t>
  </si>
  <si>
    <t>Salt</t>
  </si>
  <si>
    <t>Sama</t>
  </si>
  <si>
    <t>San André S Del Rabanedo</t>
  </si>
  <si>
    <t>San AndrÃ©s del Rabanedo</t>
  </si>
  <si>
    <t>San Bartolomé</t>
  </si>
  <si>
    <t>San BartolomÃ©</t>
  </si>
  <si>
    <t>San Bartolomé de Tirajana</t>
  </si>
  <si>
    <t>San BartolomÃ© de Tirajana</t>
  </si>
  <si>
    <t>San Blas</t>
  </si>
  <si>
    <t>San Fernando de Henares</t>
  </si>
  <si>
    <t>San Juan de Alicante</t>
  </si>
  <si>
    <t>San Juan de Aznalfarache</t>
  </si>
  <si>
    <t>San Lorenzo de El Escorial</t>
  </si>
  <si>
    <t>San Martãn de la Vega</t>
  </si>
  <si>
    <t>San MartÃ­n de la Vega</t>
  </si>
  <si>
    <t>San Miguel de Abona</t>
  </si>
  <si>
    <t>San Miguel De Abona</t>
  </si>
  <si>
    <t>San Pedro de Alcãntara</t>
  </si>
  <si>
    <t>San Pedro de AlcÃ¡ntara</t>
  </si>
  <si>
    <t>San Pedro del Pinatar</t>
  </si>
  <si>
    <t>San Roque</t>
  </si>
  <si>
    <t>San Sebastiãn de Los Reyes</t>
  </si>
  <si>
    <t>San SebastiÃ¡n de los Reyes</t>
  </si>
  <si>
    <t>San Vicent del Raspeig</t>
  </si>
  <si>
    <t>SanlãoCar de Barreda</t>
  </si>
  <si>
    <t>SanlÃºcar de Barrameda</t>
  </si>
  <si>
    <t>Sant Adriã de Besãs</t>
  </si>
  <si>
    <t>Sant AdriÃ  de BesÃ²s</t>
  </si>
  <si>
    <t>Sant Andreu de la Barca</t>
  </si>
  <si>
    <t>Sant Andreu de Palomar</t>
  </si>
  <si>
    <t>Sant Antoni de Portmany</t>
  </si>
  <si>
    <t>Sant Boi de Llobregat</t>
  </si>
  <si>
    <t>Sant Carles de la Rã pita</t>
  </si>
  <si>
    <t>Sant Carles de la RÃ pita</t>
  </si>
  <si>
    <t>Sant Celoni</t>
  </si>
  <si>
    <t>SANT CUGAT DEL VALLI</t>
  </si>
  <si>
    <t>Sant Cugat del VallÃ¨s</t>
  </si>
  <si>
    <t>Sant Feliu de Guãxols</t>
  </si>
  <si>
    <t>Sant Feliu de GuÃ­xols</t>
  </si>
  <si>
    <t>Sant Feliu de Llobregat</t>
  </si>
  <si>
    <t>Sant Joan Despã</t>
  </si>
  <si>
    <t>Sant Joan DespÃ­</t>
  </si>
  <si>
    <t>Sant apenas Desvern</t>
  </si>
  <si>
    <t>Sant Just Desvern</t>
  </si>
  <si>
    <t>Sant Martã</t>
  </si>
  <si>
    <t>Sant MartÃ­</t>
  </si>
  <si>
    <t>Sant Pere de Ribes</t>
  </si>
  <si>
    <t>Sant Quirze del Vallãs</t>
  </si>
  <si>
    <t>Sant Quirze del VallÃ¨s</t>
  </si>
  <si>
    <t>Sant Vicenã dels Horts</t>
  </si>
  <si>
    <t>Sant VicenÃ§ dels Horts</t>
  </si>
  <si>
    <t>Santa Brãgida</t>
  </si>
  <si>
    <t>Santa BrÃ­gida</t>
  </si>
  <si>
    <t>Santa Coloma de Gramenet</t>
  </si>
  <si>
    <t>Santa Cruz de la Palma</t>
  </si>
  <si>
    <t>Santa Cruz de Tenerife</t>
  </si>
  <si>
    <t>Santa Eulã ria des Riu</t>
  </si>
  <si>
    <t>Santa EulÃ ria des Riu</t>
  </si>
  <si>
    <t>Santa Perpãtua de Mogoda</t>
  </si>
  <si>
    <t>Santa PerpÃ¨tua de Mogoda</t>
  </si>
  <si>
    <t>Santa Pola</t>
  </si>
  <si>
    <t>Santafé</t>
  </si>
  <si>
    <t>SantafÃ©</t>
  </si>
  <si>
    <t>Santiago de Compostela</t>
  </si>
  <si>
    <t>Santomera</t>
  </si>
  <si>
    <t>SANTS-MONTJUãC</t>
  </si>
  <si>
    <t>Sants-MontjuÃ¯c</t>
  </si>
  <si>
    <t>Santurtzi</t>
  </si>
  <si>
    <t>Santutxu</t>
  </si>
  <si>
    <t>Sanxenxo</t>
  </si>
  <si>
    <t>Sarriã-Sant Gervasi</t>
  </si>
  <si>
    <t>SarriÃ -Sant Gervasi</t>
  </si>
  <si>
    <t>Segundo Ensanche</t>
  </si>
  <si>
    <t>Sese ± a</t>
  </si>
  <si>
    <t>SeseÃ±a</t>
  </si>
  <si>
    <t>Sestao</t>
  </si>
  <si>
    <t>Silla</t>
  </si>
  <si>
    <t>Sitges</t>
  </si>
  <si>
    <t>Soria</t>
  </si>
  <si>
    <t>Sueca</t>
  </si>
  <si>
    <t>Tã rrega</t>
  </si>
  <si>
    <t>TÃ rrega</t>
  </si>
  <si>
    <t>Tãas</t>
  </si>
  <si>
    <t>TÃ­as</t>
  </si>
  <si>
    <t>Tacoronte</t>
  </si>
  <si>
    <t>Talavera de la reina</t>
  </si>
  <si>
    <t>Talavera de la Reina</t>
  </si>
  <si>
    <t>Tarancãn</t>
  </si>
  <si>
    <t>TarancÃ³n</t>
  </si>
  <si>
    <t>Tarifa</t>
  </si>
  <si>
    <t>Tarragona</t>
  </si>
  <si>
    <t>Tavernes de la Valldigna</t>
  </si>
  <si>
    <t>Teguise</t>
  </si>
  <si>
    <t>Telde</t>
  </si>
  <si>
    <t>Teo</t>
  </si>
  <si>
    <t>Terrassa</t>
  </si>
  <si>
    <t>Teruel</t>
  </si>
  <si>
    <t>Tetuí de Las Victorias</t>
  </si>
  <si>
    <t>TetuÃ¡n de las Victorias</t>
  </si>
  <si>
    <t>Tolosa</t>
  </si>
  <si>
    <t>Tomares</t>
  </si>
  <si>
    <t>Tomelloso</t>
  </si>
  <si>
    <t>Tordera</t>
  </si>
  <si>
    <t>Torredembarra</t>
  </si>
  <si>
    <t>Torrejã de Ardoz</t>
  </si>
  <si>
    <t>TorrejÃ³n de Ardoz</t>
  </si>
  <si>
    <t>Torrelavega</t>
  </si>
  <si>
    <t>Torrelodones</t>
  </si>
  <si>
    <t>Torreremolinos</t>
  </si>
  <si>
    <t>Torremolinos</t>
  </si>
  <si>
    <t>Torrente</t>
  </si>
  <si>
    <t>Torrent</t>
  </si>
  <si>
    <t>Torre-Pacheco</t>
  </si>
  <si>
    <t>Torrevieja</t>
  </si>
  <si>
    <t>Torrox</t>
  </si>
  <si>
    <t>Tortosa</t>
  </si>
  <si>
    <t>Totana</t>
  </si>
  <si>
    <t>Tres Canto</t>
  </si>
  <si>
    <t>Tres Cantos</t>
  </si>
  <si>
    <t>Tudela</t>
  </si>
  <si>
    <t>Tui</t>
  </si>
  <si>
    <t>Ubrique</t>
  </si>
  <si>
    <t>Usera</t>
  </si>
  <si>
    <t>Utebo</t>
  </si>
  <si>
    <t>Utrera</t>
  </si>
  <si>
    <t>Vé © lez-mãlaga</t>
  </si>
  <si>
    <t>VÃ©lez-MÃ¡laga</t>
  </si>
  <si>
    <t>Vãcar</t>
  </si>
  <si>
    <t>VÃ­car</t>
  </si>
  <si>
    <t>Valdemoro</t>
  </si>
  <si>
    <t>Valdepeã ± como</t>
  </si>
  <si>
    <t>ValdepeÃ±as</t>
  </si>
  <si>
    <t>Valls</t>
  </si>
  <si>
    <t>Vic</t>
  </si>
  <si>
    <t>Vicá</t>
  </si>
  <si>
    <t>VicÃ¡lvaro</t>
  </si>
  <si>
    <t>Vigo</t>
  </si>
  <si>
    <t>Viladecans</t>
  </si>
  <si>
    <t>Vilafranca del Penedãs</t>
  </si>
  <si>
    <t>Vilafranca del PenedÃ¨s</t>
  </si>
  <si>
    <t>Vilagarcãa de Arousa</t>
  </si>
  <si>
    <t>VilagarcÃ­a de Arousa</t>
  </si>
  <si>
    <t>Vilalba</t>
  </si>
  <si>
    <t>Vilanova I la Geltrã</t>
  </si>
  <si>
    <t>Vilanova i la GeltrÃº</t>
  </si>
  <si>
    <t>Vila-Real</t>
  </si>
  <si>
    <t>Vila-real</t>
  </si>
  <si>
    <t>Vilaseca</t>
  </si>
  <si>
    <t>Vila-seca</t>
  </si>
  <si>
    <t>ViLassar de Mar.</t>
  </si>
  <si>
    <t>Vilassar de Mar</t>
  </si>
  <si>
    <t>Villa de Vallecas</t>
  </si>
  <si>
    <t>Villajoyosa</t>
  </si>
  <si>
    <t>Villanueva de la Ca ± Ada</t>
  </si>
  <si>
    <t>Villanueva de la CaÃ±ada</t>
  </si>
  <si>
    <t>Villanueva de la Serena</t>
  </si>
  <si>
    <t>Villanueva del Pardillo</t>
  </si>
  <si>
    <t>Villaquilambre</t>
  </si>
  <si>
    <t>Villarrobledo</t>
  </si>
  <si>
    <t>Villaverde</t>
  </si>
  <si>
    <t>Villaviciosa de Odã</t>
  </si>
  <si>
    <t>Villaviciosa de OdÃ³n</t>
  </si>
  <si>
    <t>Villena</t>
  </si>
  <si>
    <t>Vinarã²s</t>
  </si>
  <si>
    <t>VinarÃ²s</t>
  </si>
  <si>
    <t>Viveiro</t>
  </si>
  <si>
    <t>Xã tiva</t>
  </si>
  <si>
    <t>XÃ tiva</t>
  </si>
  <si>
    <t>Xirivela</t>
  </si>
  <si>
    <t>Xirivella</t>
  </si>
  <si>
    <t>Yecla</t>
  </si>
  <si>
    <t>Zafra</t>
  </si>
  <si>
    <t>Zarautz</t>
  </si>
  <si>
    <t>Zubia</t>
  </si>
  <si>
    <t>Ambalangoda</t>
  </si>
  <si>
    <t>Sri Lanka</t>
  </si>
  <si>
    <t>Ampara</t>
  </si>
  <si>
    <t>Anuradhapura</t>
  </si>
  <si>
    <t>North Central</t>
  </si>
  <si>
    <t>Badulla</t>
  </si>
  <si>
    <t>Battaramulla South</t>
  </si>
  <si>
    <t>BATCICALOA</t>
  </si>
  <si>
    <t>Batticaloa</t>
  </si>
  <si>
    <t>Bentota</t>
  </si>
  <si>
    <t>Beruwala</t>
  </si>
  <si>
    <t>Chilaw</t>
  </si>
  <si>
    <t>North Western</t>
  </si>
  <si>
    <t>DAMBULLA</t>
  </si>
  <si>
    <t>Dambulla</t>
  </si>
  <si>
    <t>Lavinia de Dehiwala-Mount</t>
  </si>
  <si>
    <t>Dehiwala-Mount Lavinia</t>
  </si>
  <si>
    <t>Cidade de Eavur</t>
  </si>
  <si>
    <t>Eravur Town</t>
  </si>
  <si>
    <t>Galkissa</t>
  </si>
  <si>
    <t>Galle</t>
  </si>
  <si>
    <t>Gampola</t>
  </si>
  <si>
    <t>Hanwella Ihala</t>
  </si>
  <si>
    <t>Hatton</t>
  </si>
  <si>
    <t>Hendala</t>
  </si>
  <si>
    <t>Homagama</t>
  </si>
  <si>
    <t>Ja Ela</t>
  </si>
  <si>
    <t>Jaffna</t>
  </si>
  <si>
    <t>Kalmunai</t>
  </si>
  <si>
    <t>KalUtara</t>
  </si>
  <si>
    <t>Kalutara</t>
  </si>
  <si>
    <t>Kandana</t>
  </si>
  <si>
    <t>Kandy</t>
  </si>
  <si>
    <t>Katunayaka</t>
  </si>
  <si>
    <t>Kelaniya</t>
  </si>
  <si>
    <t>Kolonnawa</t>
  </si>
  <si>
    <t>Kotikawatta</t>
  </si>
  <si>
    <t>Kurunegala</t>
  </si>
  <si>
    <t>Maharagama</t>
  </si>
  <si>
    <t>Matara</t>
  </si>
  <si>
    <t>Moratuwa</t>
  </si>
  <si>
    <t>Monte Lavinia</t>
  </si>
  <si>
    <t>Mount Lavinia</t>
  </si>
  <si>
    <t>Mulleriyawa</t>
  </si>
  <si>
    <t>Negombo</t>
  </si>
  <si>
    <t>Nuwara Eliya</t>
  </si>
  <si>
    <t>Panadura</t>
  </si>
  <si>
    <t>Peliyagoda</t>
  </si>
  <si>
    <t>Pita Kotte</t>
  </si>
  <si>
    <t>Point Pedro</t>
  </si>
  <si>
    <t>Puttalam</t>
  </si>
  <si>
    <t>Ratnapura</t>
  </si>
  <si>
    <t>Sabaragamuwa</t>
  </si>
  <si>
    <t>Shanjeev Home</t>
  </si>
  <si>
    <t>Sri Jayewardenepura Kotte</t>
  </si>
  <si>
    <t>Trincomalee</t>
  </si>
  <si>
    <t>ValvedDitturai</t>
  </si>
  <si>
    <t>Valvedditturai</t>
  </si>
  <si>
    <t>Vavuniya</t>
  </si>
  <si>
    <t>Wattala</t>
  </si>
  <si>
    <t>Weligama</t>
  </si>
  <si>
    <t>Welisara</t>
  </si>
  <si>
    <t>Abå «Zabad</t>
  </si>
  <si>
    <t>AbÅ« Zabad</t>
  </si>
  <si>
    <t>Sudan</t>
  </si>
  <si>
    <t>West Kordofan State</t>
  </si>
  <si>
    <t>Abu Jibeha</t>
  </si>
  <si>
    <t>Southern Kordofan</t>
  </si>
  <si>
    <t>Ad Dindar</t>
  </si>
  <si>
    <t>SinnÄr</t>
  </si>
  <si>
    <t>Ad Douiem</t>
  </si>
  <si>
    <t>White Nile</t>
  </si>
  <si>
    <t>Ad-damazin</t>
  </si>
  <si>
    <t>Ad-Damazin</t>
  </si>
  <si>
    <t>Blue Nile</t>
  </si>
  <si>
    <t>Al á¸ëawä tah</t>
  </si>
  <si>
    <t>Al á¸¨awÄtah</t>
  </si>
  <si>
    <t>Al Qaá¸‘Ärif</t>
  </si>
  <si>
    <t>Al Hasaheisa</t>
  </si>
  <si>
    <t>Al JazÄ«rah</t>
  </si>
  <si>
    <t>Al Hilä Liyya</t>
  </si>
  <si>
    <t>Al HilÄliyya</t>
  </si>
  <si>
    <t>Al Manä Qil</t>
  </si>
  <si>
    <t>Al ManÄqil</t>
  </si>
  <si>
    <t>Al Mijlad</t>
  </si>
  <si>
    <t>Al Qadarif</t>
  </si>
  <si>
    <t>Al Qiå £ ena</t>
  </si>
  <si>
    <t>Al QiÅ£ena</t>
  </si>
  <si>
    <t>Um nuhå «d</t>
  </si>
  <si>
    <t>An NuhÅ«d</t>
  </si>
  <si>
    <t>Ar rahad</t>
  </si>
  <si>
    <t>Ar Rahad</t>
  </si>
  <si>
    <t>ShamÄl KurdufÄn</t>
  </si>
  <si>
    <t>Ar ruseris</t>
  </si>
  <si>
    <t>Ar Ruseris</t>
  </si>
  <si>
    <t>Como så «kä«</t>
  </si>
  <si>
    <t>As SÅ«kÄ«</t>
  </si>
  <si>
    <t>Atbara</t>
  </si>
  <si>
    <t>River Nile</t>
  </si>
  <si>
    <t>Bä rah</t>
  </si>
  <si>
    <t>BÄrah</t>
  </si>
  <si>
    <t>Berbere</t>
  </si>
  <si>
    <t>Berber</t>
  </si>
  <si>
    <t>Dilling</t>
  </si>
  <si>
    <t>Doka</t>
  </si>
  <si>
    <t>Ed Damer</t>
  </si>
  <si>
    <t>El Bauga</t>
  </si>
  <si>
    <t>El Daein</t>
  </si>
  <si>
    <t>Eastern Darfur</t>
  </si>
  <si>
    <t>El Fasher</t>
  </si>
  <si>
    <t>Northern Darfur</t>
  </si>
  <si>
    <t>El Obeid</t>
  </si>
  <si>
    <t>Geneina</t>
  </si>
  <si>
    <t>Western Darfur</t>
  </si>
  <si>
    <t>Kadugli</t>
  </si>
  <si>
    <t>Kassala</t>
  </si>
  <si>
    <t>Cartum</t>
  </si>
  <si>
    <t>Khartoum</t>
  </si>
  <si>
    <t>Kinä Na</t>
  </si>
  <si>
    <t>KinÄna</t>
  </si>
  <si>
    <t>Kosti</t>
  </si>
  <si>
    <t>Kuraymah</t>
  </si>
  <si>
    <t>Northern State</t>
  </si>
  <si>
    <t>Maiurno</t>
  </si>
  <si>
    <t>Omdurman</t>
  </si>
  <si>
    <t>Port Sudan</t>
  </si>
  <si>
    <t>Rabak</t>
  </si>
  <si>
    <t>Sawä Kin</t>
  </si>
  <si>
    <t>SawÄkin</t>
  </si>
  <si>
    <t>Shendi</t>
  </si>
  <si>
    <t>Singa</t>
  </si>
  <si>
    <t>Tandaltä «</t>
  </si>
  <si>
    <t>TandaltÄ«</t>
  </si>
  <si>
    <t>Tokä r</t>
  </si>
  <si>
    <t>TokÄr</t>
  </si>
  <si>
    <t>Umm Ruwaba</t>
  </si>
  <si>
    <t>Wad Medani</t>
  </si>
  <si>
    <t>Zalingei</t>
  </si>
  <si>
    <t>Central Darfur</t>
  </si>
  <si>
    <t>LelyDorp</t>
  </si>
  <si>
    <t>Lelydorp</t>
  </si>
  <si>
    <t>Suriname</t>
  </si>
  <si>
    <t>Wanica</t>
  </si>
  <si>
    <t>Paramaribo</t>
  </si>
  <si>
    <t>Longyearbyen</t>
  </si>
  <si>
    <t>Svalbard and Jan Mayen</t>
  </si>
  <si>
    <t>Svalbard</t>
  </si>
  <si>
    <t>Lobamba</t>
  </si>
  <si>
    <t>Swaziland</t>
  </si>
  <si>
    <t>Hhohho</t>
  </si>
  <si>
    <t>Manzini</t>
  </si>
  <si>
    <t>Mbabane</t>
  </si>
  <si>
    <t>`Ngelholm</t>
  </si>
  <si>
    <t>Ã„ngelholm</t>
  </si>
  <si>
    <t>Sweden</t>
  </si>
  <si>
    <t>SkÃ¥ne</t>
  </si>
  <si>
    <t>Ã… Kersberga</t>
  </si>
  <si>
    <t>Ã…kersberga</t>
  </si>
  <si>
    <t>Stockholm</t>
  </si>
  <si>
    <t>Ã… rsta</t>
  </si>
  <si>
    <t>Ã…rsta</t>
  </si>
  <si>
    <t>ALINGS ¥ S.</t>
  </si>
  <si>
    <t>AlingsÃ¥s</t>
  </si>
  <si>
    <t>VÃ¤stra GÃ¶taland</t>
  </si>
  <si>
    <t>Ã - Rebro</t>
  </si>
  <si>
    <t>Ã–rebro</t>
  </si>
  <si>
    <t>Ã -rnskãldsvik</t>
  </si>
  <si>
    <t>Ã–rnskÃ¶ldsvik</t>
  </si>
  <si>
    <t>VÃ¤sternorrland</t>
  </si>
  <si>
    <t>Ã - estermalm</t>
  </si>
  <si>
    <t>Ã–stermalm</t>
  </si>
  <si>
    <t>Ã - Larternd</t>
  </si>
  <si>
    <t>Ã–stersund</t>
  </si>
  <si>
    <t>JÃ¤mtland</t>
  </si>
  <si>
    <t>Boden</t>
  </si>
  <si>
    <t>Norrbotten</t>
  </si>
  <si>
    <t>Bräcke</t>
  </si>
  <si>
    <t> Jämtland</t>
  </si>
  <si>
    <t>Vaia</t>
  </si>
  <si>
    <t>Boo</t>
  </si>
  <si>
    <t>Borão s</t>
  </si>
  <si>
    <t>BorÃ¥s</t>
  </si>
  <si>
    <t>Borlänge</t>
  </si>
  <si>
    <t>BorlÃ¤nge</t>
  </si>
  <si>
    <t>Dalarna</t>
  </si>
  <si>
    <t>Bromma</t>
  </si>
  <si>
    <t>Enkãping</t>
  </si>
  <si>
    <t>EnkÃ¶ping</t>
  </si>
  <si>
    <t>Uppsala</t>
  </si>
  <si>
    <t>Eskilstuna</t>
  </si>
  <si>
    <t>SÃ¶dermanland</t>
  </si>
  <si>
    <t>Esli</t>
  </si>
  <si>
    <t>EslÃ¶v</t>
  </si>
  <si>
    <t>Falkãping</t>
  </si>
  <si>
    <t>FalkÃ¶ping</t>
  </si>
  <si>
    <t>Falkenberg</t>
  </si>
  <si>
    <t>Halland</t>
  </si>
  <si>
    <t>Falun</t>
  </si>
  <si>
    <t>Gäävle</t>
  </si>
  <si>
    <t>GÃ¤vle</t>
  </si>
  <si>
    <t>GÃ¤vleborg</t>
  </si>
  <si>
    <t>Gãteborg</t>
  </si>
  <si>
    <t>GÃ¶teborg</t>
  </si>
  <si>
    <t>GAMLA UPPSALA</t>
  </si>
  <si>
    <t>Gamla Uppsala</t>
  </si>
  <si>
    <t>HOJRNIRAND</t>
  </si>
  <si>
    <t>HÃ¤rnÃ¶sand</t>
  </si>
  <si>
    <t>HOJSSLEHOLM</t>
  </si>
  <si>
    <t>HÃ¤ssleholm</t>
  </si>
  <si>
    <t>Halmstad</t>
  </si>
  <si>
    <t>Haninge</t>
  </si>
  <si>
    <t>Helsingborg</t>
  </si>
  <si>
    <t>Huddinge</t>
  </si>
  <si>
    <t>Huskvarna</t>
  </si>
  <si>
    <t>JÃ¶nkÃ¶ping</t>
  </si>
  <si>
    <t>Jãnkãping</t>
  </si>
  <si>
    <t>Jakobsberg</t>
  </si>
  <si>
    <t>Kãping</t>
  </si>
  <si>
    <t>KÃ¶ping</t>
  </si>
  <si>
    <t>VÃ¤stmanland</t>
  </si>
  <si>
    <t>Kalmar</t>
  </si>
  <si>
    <t>Karlshamn</t>
  </si>
  <si>
    <t>Blekinge</t>
  </si>
  <si>
    <t>Karlskoga</t>
  </si>
  <si>
    <t>Karlskrona</t>
  </si>
  <si>
    <t>Karlstad</t>
  </si>
  <si>
    <t>VÃ¤rmland</t>
  </si>
  <si>
    <t>Katrineholm</t>
  </si>
  <si>
    <t>Kiruna</t>
  </si>
  <si>
    <t>Kristianstad</t>
  </si>
  <si>
    <t>Kristinehamn</t>
  </si>
  <si>
    <t>KungauLV</t>
  </si>
  <si>
    <t>KungÃ¤lv</t>
  </si>
  <si>
    <t>Kungsbacka</t>
  </si>
  <si>
    <t>Landskrona</t>
  </si>
  <si>
    <t>Lerum</t>
  </si>
  <si>
    <t>Lidingã</t>
  </si>
  <si>
    <t>LidingÃ¶</t>
  </si>
  <si>
    <t>Lidkãping</t>
  </si>
  <si>
    <t>LidkÃ¶ping</t>
  </si>
  <si>
    <t>Linki</t>
  </si>
  <si>
    <t>LinkÃ¶ping</t>
  </si>
  <si>
    <t>Ã–stergÃ¶tland</t>
  </si>
  <si>
    <t>Luleã ¥</t>
  </si>
  <si>
    <t>LuleÃ¥</t>
  </si>
  <si>
    <t>Luleå</t>
  </si>
  <si>
    <t>Lund</t>
  </si>
  <si>
    <t>Märsta</t>
  </si>
  <si>
    <t>MÃ¤rsta</t>
  </si>
  <si>
    <t>Mãlndal</t>
  </si>
  <si>
    <t>MÃ¶lndal</t>
  </si>
  <si>
    <t>Majorna</t>
  </si>
  <si>
    <t>Malmé</t>
  </si>
  <si>
    <t>MalmÃ¶</t>
  </si>
  <si>
    <t>Motala</t>
  </si>
  <si>
    <t>NãSSJã</t>
  </si>
  <si>
    <t>NÃ¤ssjÃ¶</t>
  </si>
  <si>
    <t>Nacka</t>
  </si>
  <si>
    <t>NORRKI</t>
  </si>
  <si>
    <t>NorrkÃ¶ping</t>
  </si>
  <si>
    <t>Norrtälje</t>
  </si>
  <si>
    <t>NorrtÃ¤lje</t>
  </si>
  <si>
    <t>NYKI</t>
  </si>
  <si>
    <t>NykÃ¶ping</t>
  </si>
  <si>
    <t>Oskarshamn</t>
  </si>
  <si>
    <t>Parille</t>
  </si>
  <si>
    <t>Partille</t>
  </si>
  <si>
    <t>Pite ¥</t>
  </si>
  <si>
    <t>PiteÃ¥</t>
  </si>
  <si>
    <t>Rão Sunda</t>
  </si>
  <si>
    <t>RÃ¥sunda</t>
  </si>
  <si>
    <t>SãDERTANTO</t>
  </si>
  <si>
    <t>SÃ¶dertÃ¤lje</t>
  </si>
  <si>
    <t>Sandviken</t>
  </si>
  <si>
    <t>Skãvde</t>
  </si>
  <si>
    <t>SkÃ¶vde</t>
  </si>
  <si>
    <t>Skara</t>
  </si>
  <si>
    <t>Skellefteã</t>
  </si>
  <si>
    <t>SkellefteÃ¥</t>
  </si>
  <si>
    <t>VÃ¤sterbotten</t>
  </si>
  <si>
    <t>Sollentuna</t>
  </si>
  <si>
    <t>Solna</t>
  </si>
  <si>
    <t>Estocolmo</t>
  </si>
  <si>
    <t>Sundbyberg</t>
  </si>
  <si>
    <t>Sundsvall</t>
  </si>
  <si>
    <t>T €</t>
  </si>
  <si>
    <t>TÃ¤by</t>
  </si>
  <si>
    <t>Trelleborg</t>
  </si>
  <si>
    <t>Trolllhättan</t>
  </si>
  <si>
    <t>TrollhÃ¤ttan</t>
  </si>
  <si>
    <t>Tullinge</t>
  </si>
  <si>
    <t>Tumba</t>
  </si>
  <si>
    <t>Uddevalla</t>
  </si>
  <si>
    <t>Umeé ¥</t>
  </si>
  <si>
    <t>UmeÃ¥</t>
  </si>
  <si>
    <t>Upplands Väsby</t>
  </si>
  <si>
    <t>Upplands VÃ¤sby</t>
  </si>
  <si>
    <t>Vänersborg</t>
  </si>
  <si>
    <t>VÃ¤nersborg</t>
  </si>
  <si>
    <t>Värnamo</t>
  </si>
  <si>
    <t>VÃ¤rnamo</t>
  </si>
  <si>
    <t>Västerã s</t>
  </si>
  <si>
    <t>VÃ¤sterÃ¥s</t>
  </si>
  <si>
    <t>Västervik</t>
  </si>
  <si>
    <t>VÃ¤stervik</t>
  </si>
  <si>
    <t>Växjji</t>
  </si>
  <si>
    <t>VÃ¤xjÃ¶</t>
  </si>
  <si>
    <t>Kronoberg</t>
  </si>
  <si>
    <t>Vallentuna</t>
  </si>
  <si>
    <t>Varberg</t>
  </si>
  <si>
    <t>Visby</t>
  </si>
  <si>
    <t>Gotland</t>
  </si>
  <si>
    <t>Ystad</t>
  </si>
  <si>
    <t>Aarau</t>
  </si>
  <si>
    <t>Switzerland</t>
  </si>
  <si>
    <t>Aargau</t>
  </si>
  <si>
    <t>Adliswil</t>
  </si>
  <si>
    <t>Zurich</t>
  </si>
  <si>
    <t>Allschwil</t>
  </si>
  <si>
    <t>Basel-Landschaft</t>
  </si>
  <si>
    <t>Baar</t>
  </si>
  <si>
    <t>Zug</t>
  </si>
  <si>
    <t>Basileia</t>
  </si>
  <si>
    <t>Basel</t>
  </si>
  <si>
    <t>Basel-City</t>
  </si>
  <si>
    <t>Bellinzona</t>
  </si>
  <si>
    <t>Ticino</t>
  </si>
  <si>
    <t>Bern</t>
  </si>
  <si>
    <t>Biel/Bienne</t>
  </si>
  <si>
    <t>Carouge</t>
  </si>
  <si>
    <t>Geneva</t>
  </si>
  <si>
    <t>Chur</t>
  </si>
  <si>
    <t>Grisons</t>
  </si>
  <si>
    <t>D ãbendorf</t>
  </si>
  <si>
    <t>DÃ¼bendorf</t>
  </si>
  <si>
    <t>Dietikon</t>
  </si>
  <si>
    <t>Lucerne</t>
  </si>
  <si>
    <t>Frauenfeld</t>
  </si>
  <si>
    <t>Thurgau</t>
  </si>
  <si>
    <t>Friborg</t>
  </si>
  <si>
    <t>Fribourg</t>
  </si>
  <si>
    <t>Gen ênve</t>
  </si>
  <si>
    <t>GenÃ¨ve</t>
  </si>
  <si>
    <t>Genève</t>
  </si>
  <si>
    <t>Gossau</t>
  </si>
  <si>
    <t>Saint Gallen</t>
  </si>
  <si>
    <t>Grenchen</t>
  </si>
  <si>
    <t>Solothurn</t>
  </si>
  <si>
    <t>Herisau</t>
  </si>
  <si>
    <t>Appenzell Ausserrhoden</t>
  </si>
  <si>
    <t>Horgen</t>
  </si>
  <si>
    <t>Jona</t>
  </si>
  <si>
    <t>Kãniz</t>
  </si>
  <si>
    <t>KÃ¶niz</t>
  </si>
  <si>
    <t>Kloten</t>
  </si>
  <si>
    <t>Kreuzlingen</t>
  </si>
  <si>
    <t>Kriens</t>
  </si>
  <si>
    <t>La Chaux-de-Fonds</t>
  </si>
  <si>
    <t>NeuchÃ¢tel</t>
  </si>
  <si>
    <t>Lancy</t>
  </si>
  <si>
    <t>Lausanne</t>
  </si>
  <si>
    <t>Vaud</t>
  </si>
  <si>
    <t>Le Ch. Telard</t>
  </si>
  <si>
    <t>Le ChÃ¢telard</t>
  </si>
  <si>
    <t>Littau</t>
  </si>
  <si>
    <t>LUGANO</t>
  </si>
  <si>
    <t>Lugano</t>
  </si>
  <si>
    <t>Luzern</t>
  </si>
  <si>
    <t>Meyrin</t>
  </si>
  <si>
    <t>Monthey</t>
  </si>
  <si>
    <t>Valais</t>
  </si>
  <si>
    <t>Montreux</t>
  </si>
  <si>
    <t>Muttenz</t>
  </si>
  <si>
    <t>Neuch'n Tel</t>
  </si>
  <si>
    <t>Nyon</t>
  </si>
  <si>
    <t>Oberwinterthur (Kreis 2)</t>
  </si>
  <si>
    <t>Olten</t>
  </si>
  <si>
    <t>Onex</t>
  </si>
  <si>
    <t>Pully</t>
  </si>
  <si>
    <t>Rapperswil</t>
  </si>
  <si>
    <t>Renns</t>
  </si>
  <si>
    <t>Renens</t>
  </si>
  <si>
    <t>Riehen</t>
  </si>
  <si>
    <t>Sankt Gallen</t>
  </si>
  <si>
    <t>Schaffhausen</t>
  </si>
  <si>
    <t>Visto (Kreis 3)</t>
  </si>
  <si>
    <t>Seen (Kreis 3)</t>
  </si>
  <si>
    <t>Sierre</t>
  </si>
  <si>
    <t>Sitten</t>
  </si>
  <si>
    <t>Stadt Winterthur (Kreis 1)</t>
  </si>
  <si>
    <t>Steffisburg</t>
  </si>
  <si>
    <t>Thun</t>
  </si>
  <si>
    <t>Uster</t>
  </si>
  <si>
    <t>Vernier</t>
  </si>
  <si>
    <t>Vevey</t>
  </si>
  <si>
    <t>Wettingen</t>
  </si>
  <si>
    <t>Wil</t>
  </si>
  <si>
    <t>Winterthur</t>
  </si>
  <si>
    <t>Yverdon-les-Bains</t>
  </si>
  <si>
    <t>Zürich</t>
  </si>
  <si>
    <t>ZÃ¼rich</t>
  </si>
  <si>
    <t>Zürich (Kreis 10)</t>
  </si>
  <si>
    <t>ZÃ¼rich (Kreis 10)</t>
  </si>
  <si>
    <t>Zürich (Kreis 10) / Hãngg</t>
  </si>
  <si>
    <t>ZÃ¼rich (Kreis 10) / HÃ¶ngg</t>
  </si>
  <si>
    <t>Zürich (Kreis 10) / Wipkingen</t>
  </si>
  <si>
    <t>ZÃ¼rich (Kreis 10) / Wipkingen</t>
  </si>
  <si>
    <t>Zürich (Kreis 11)</t>
  </si>
  <si>
    <t>ZÃ¼rich (Kreis 11)</t>
  </si>
  <si>
    <t>Zürich (Kreis 11) / Affoltern</t>
  </si>
  <si>
    <t>ZÃ¼rich (Kreis 11) / Affoltern</t>
  </si>
  <si>
    <t>Zürich (Kreis 11) / oerlikon</t>
  </si>
  <si>
    <t>ZÃ¼rich (Kreis 11) / Oerlikon</t>
  </si>
  <si>
    <t>Zürich (Kreis 11) / Seebach</t>
  </si>
  <si>
    <t>ZÃ¼rich (Kreis 11) / Seebach</t>
  </si>
  <si>
    <t>Zürich (Kreis 12)</t>
  </si>
  <si>
    <t>ZÃ¼rich (Kreis 12)</t>
  </si>
  <si>
    <t>Zürich (Kreis 2)</t>
  </si>
  <si>
    <t>ZÃ¼rich (Kreis 2)</t>
  </si>
  <si>
    <t>Zürich (Kreis 2) / Wollishofen</t>
  </si>
  <si>
    <t>ZÃ¼rich (Kreis 2) / Wollishofen</t>
  </si>
  <si>
    <t>Zürich (Kreis 3)</t>
  </si>
  <si>
    <t>ZÃ¼rich (Kreis 3)</t>
  </si>
  <si>
    <t>Zürich (Kreis 3) / Sihlfeld</t>
  </si>
  <si>
    <t>ZÃ¼rich (Kreis 3) / Sihlfeld</t>
  </si>
  <si>
    <t>Zürich (Kreis 4)</t>
  </si>
  <si>
    <t>ZÃ¼rich (Kreis 4)</t>
  </si>
  <si>
    <t>Zürich (Kreis 6)</t>
  </si>
  <si>
    <t>ZÃ¼rich (Kreis 6)</t>
  </si>
  <si>
    <t>Zürich (Kreis 6) / Unterstrass</t>
  </si>
  <si>
    <t>ZÃ¼rich (Kreis 6) / Unterstrass</t>
  </si>
  <si>
    <t>Zürich (Kreis 7)</t>
  </si>
  <si>
    <t>ZÃ¼rich (Kreis 7)</t>
  </si>
  <si>
    <t>Zürich (Kreis 8)</t>
  </si>
  <si>
    <t>ZÃ¼rich (Kreis 8)</t>
  </si>
  <si>
    <t>Zürich (Kreis 9)</t>
  </si>
  <si>
    <t>ZÃ¼rich (Kreis 9)</t>
  </si>
  <si>
    <t>Zürich (Kreis 9) / Albisrieden</t>
  </si>
  <si>
    <t>ZÃ¼rich (Kreis 9) / Albisrieden</t>
  </si>
  <si>
    <t>Zürich (Kreis 9) / Altstetten</t>
  </si>
  <si>
    <t>ZÃ¼rich (Kreis 9) / Altstetten</t>
  </si>
  <si>
    <t>á¸ëalfä yä</t>
  </si>
  <si>
    <t>á¸¨alfÄyÄ</t>
  </si>
  <si>
    <t>Syria</t>
  </si>
  <si>
    <t>Hama</t>
  </si>
  <si>
    <t>á¸ëamä h</t>
  </si>
  <si>
    <t>á¸¨amÄh</t>
  </si>
  <si>
    <t>á¸ëarastä</t>
  </si>
  <si>
    <t>á¸¨arastÄ</t>
  </si>
  <si>
    <t>Rif-dimashq</t>
  </si>
  <si>
    <t>Å ¢ afas</t>
  </si>
  <si>
    <t>Å¢afas</t>
  </si>
  <si>
    <t>Daraa</t>
  </si>
  <si>
    <t>Å ¢ ayyibat al imä m</t>
  </si>
  <si>
    <t>Å¢ayyibat al ImÄm</t>
  </si>
  <si>
    <t>â € ˜Afrä «n</t>
  </si>
  <si>
    <t>â€˜AfrÄ«n</t>
  </si>
  <si>
    <t>Aleppo</t>
  </si>
  <si>
    <t>'</t>
  </si>
  <si>
    <t>â€˜Ayn al â€˜Arab</t>
  </si>
  <si>
    <t>â € ˜irbä «n</t>
  </si>
  <si>
    <t>â€˜IrbÄ«n</t>
  </si>
  <si>
    <t>Ä € lbå «kamä l</t>
  </si>
  <si>
    <t>Ä€lbÅ« KamÄl</t>
  </si>
  <si>
    <t>Deir ez-Zor</t>
  </si>
  <si>
    <t>Aåero Åžanamayn</t>
  </si>
  <si>
    <t>AÅŸ Åžanamayn</t>
  </si>
  <si>
    <t>Ad dä nä</t>
  </si>
  <si>
    <t>Ad DÄnÄ</t>
  </si>
  <si>
    <t>Idlib</t>
  </si>
  <si>
    <t>Ad darbä sä «yah</t>
  </si>
  <si>
    <t>Ad DarbÄsÄ«yah</t>
  </si>
  <si>
    <t>Al-Hasakah</t>
  </si>
  <si>
    <t>Al á¸ëarä k</t>
  </si>
  <si>
    <t>Al á¸¨arÄk</t>
  </si>
  <si>
    <t>Al á¸ëasakah</t>
  </si>
  <si>
    <t>Al á¸¨asakah</t>
  </si>
  <si>
    <t>Al bä b</t>
  </si>
  <si>
    <t>Al BÄb</t>
  </si>
  <si>
    <t>Al Kiswah</t>
  </si>
  <si>
    <t>Al Mayä dä «n</t>
  </si>
  <si>
    <t>Al MayÄdÄ«n</t>
  </si>
  <si>
    <t>Al Qaryatayn</t>
  </si>
  <si>
    <t>Homs</t>
  </si>
  <si>
    <t>Al quå £ ayfah</t>
  </si>
  <si>
    <t>Al QuÅ£ayfah</t>
  </si>
  <si>
    <t>Al Qunayå £ Irah</t>
  </si>
  <si>
    <t>Al QunayÅ£irah</t>
  </si>
  <si>
    <t>Quneitra</t>
  </si>
  <si>
    <t>Um nabk</t>
  </si>
  <si>
    <t>An Nabk</t>
  </si>
  <si>
    <t>Ar raqqah</t>
  </si>
  <si>
    <t>Ar Raqqah</t>
  </si>
  <si>
    <t>Ar-Raqqah</t>
  </si>
  <si>
    <t>Ar Rastan</t>
  </si>
  <si>
    <t>Como safä «rah</t>
  </si>
  <si>
    <t>As SafÄ«rah</t>
  </si>
  <si>
    <t>Como salamä «yah</t>
  </si>
  <si>
    <t>As SalamÄ«yah</t>
  </si>
  <si>
    <t>Como suwaydä â € ™</t>
  </si>
  <si>
    <t>As SuwaydÄâ€™</t>
  </si>
  <si>
    <t>As-Suwayda</t>
  </si>
  <si>
    <t>Ash Shaykh Miskä «n</t>
  </si>
  <si>
    <t>Ash Shaykh MiskÄ«n</t>
  </si>
  <si>
    <t>Em alto</t>
  </si>
  <si>
    <t>At Tall</t>
  </si>
  <si>
    <t>Ath Thawrah</t>
  </si>
  <si>
    <t>Az zabadä nä «</t>
  </si>
  <si>
    <t>Az ZabadÄnÄ«</t>
  </si>
  <si>
    <t>Bä niyä s</t>
  </si>
  <si>
    <t>BÄniyÄs</t>
  </si>
  <si>
    <t>Tartus</t>
  </si>
  <si>
    <t>Binnish</t>
  </si>
  <si>
    <t>Dä Rayyä</t>
  </si>
  <si>
    <t>DÄrayyÄ</t>
  </si>
  <si>
    <t>Damasco</t>
  </si>
  <si>
    <t>Damascus</t>
  </si>
  <si>
    <t>Dimashq</t>
  </si>
  <si>
    <t>Dar € '</t>
  </si>
  <si>
    <t>Darâ€˜Ä</t>
  </si>
  <si>
    <t>Dayr Á¸ëä Fir</t>
  </si>
  <si>
    <t>Dayr á¸¨Äfir</t>
  </si>
  <si>
    <t>Deir ez-zor</t>
  </si>
  <si>
    <t>Douma</t>
  </si>
  <si>
    <t>Hajä «n</t>
  </si>
  <si>
    <t>HajÄ«n</t>
  </si>
  <si>
    <t>Eu sou 'Zä z Z</t>
  </si>
  <si>
    <t>Iâ€˜zÄz</t>
  </si>
  <si>
    <t>Inkhil</t>
  </si>
  <si>
    <t>Jä Sim</t>
  </si>
  <si>
    <t>JÄsim</t>
  </si>
  <si>
    <t>Jablah</t>
  </si>
  <si>
    <t>Latakia</t>
  </si>
  <si>
    <t>Jarä Bulus</t>
  </si>
  <si>
    <t>JarÄbulus</t>
  </si>
  <si>
    <t>Jayrå «d</t>
  </si>
  <si>
    <t>JayrÅ«d</t>
  </si>
  <si>
    <t>Jisr Ash Shughå «r</t>
  </si>
  <si>
    <t>Jisr ash ShughÅ«r</t>
  </si>
  <si>
    <t>KAFR Lä Hä</t>
  </si>
  <si>
    <t>Kafr LÄhÄ</t>
  </si>
  <si>
    <t>Kafr Nubl</t>
  </si>
  <si>
    <t>Kafr takhä rä «m</t>
  </si>
  <si>
    <t>Kafr TakhÄrÄ«m</t>
  </si>
  <si>
    <t>KAFR ZAYTä</t>
  </si>
  <si>
    <t>Kafr ZaytÄ</t>
  </si>
  <si>
    <t>Khä n shaykhå «n</t>
  </si>
  <si>
    <t>KhÄn ShaykhÅ«n</t>
  </si>
  <si>
    <t>Ma ''arratmiåÿrä «n</t>
  </si>
  <si>
    <t>Maâ€˜arratmiÅŸrÄ«n</t>
  </si>
  <si>
    <t>Maåÿyä f</t>
  </si>
  <si>
    <t>MaÅŸyÄf</t>
  </si>
  <si>
    <t>Manbij</t>
  </si>
  <si>
    <t>Nubl</t>
  </si>
  <si>
    <t>Qä rah</t>
  </si>
  <si>
    <t>QÄrah</t>
  </si>
  <si>
    <t>Qaå £ anä</t>
  </si>
  <si>
    <t>QaÅ£anÄ</t>
  </si>
  <si>
    <t>Salqä «n</t>
  </si>
  <si>
    <t>SalqÄ«n</t>
  </si>
  <si>
    <t>Sarä Qib</t>
  </si>
  <si>
    <t>SarÄqib</t>
  </si>
  <si>
    <t>Satita</t>
  </si>
  <si>
    <t>Souran</t>
  </si>
  <si>
    <t>Subaykhä n</t>
  </si>
  <si>
    <t>SubaykhÄn</t>
  </si>
  <si>
    <t>Tä DIF</t>
  </si>
  <si>
    <t>TÄdif</t>
  </si>
  <si>
    <t>Tadmur</t>
  </si>
  <si>
    <t>Alto rif't</t>
  </si>
  <si>
    <t>Tall Rifâ€˜at</t>
  </si>
  <si>
    <t>Tallbä «sah</t>
  </si>
  <si>
    <t>TallbÄ«sah</t>
  </si>
  <si>
    <t>Tallkalakh</t>
  </si>
  <si>
    <t>Tartas</t>
  </si>
  <si>
    <t>Tartouss</t>
  </si>
  <si>
    <t>Yabrå «d</t>
  </si>
  <si>
    <t>YabrÅ«d</t>
  </si>
  <si>
    <t>Banqiao</t>
  </si>
  <si>
    <t>Taiwan</t>
  </si>
  <si>
    <t>Taipei</t>
  </si>
  <si>
    <t>Daxi</t>
  </si>
  <si>
    <t>Douliu</t>
  </si>
  <si>
    <t>Hengchun</t>
  </si>
  <si>
    <t>Hsinchu</t>
  </si>
  <si>
    <t>Cidade de Hualien</t>
  </si>
  <si>
    <t>Hualien City</t>
  </si>
  <si>
    <t>Kaohsiung</t>
  </si>
  <si>
    <t>Keelung</t>
  </si>
  <si>
    <t>Lugu</t>
  </si>
  <si>
    <t>Magong</t>
  </si>
  <si>
    <t>Nantou</t>
  </si>
  <si>
    <t>Puli</t>
  </si>
  <si>
    <t>Taichung</t>
  </si>
  <si>
    <t>Tainan</t>
  </si>
  <si>
    <t>Cidade de Taitung</t>
  </si>
  <si>
    <t>Taitung City</t>
  </si>
  <si>
    <t>Cidade de Taoyuan</t>
  </si>
  <si>
    <t>Taoyuan City</t>
  </si>
  <si>
    <t>Yujing</t>
  </si>
  <si>
    <t>Zhongxing nova vila</t>
  </si>
  <si>
    <t>Zhongxing New Village</t>
  </si>
  <si>
    <t>BOSHKENGASH</t>
  </si>
  <si>
    <t>Boshkengash</t>
  </si>
  <si>
    <t>Tajikistan</t>
  </si>
  <si>
    <t>Dushanbe</t>
  </si>
  <si>
    <t>Chkalov</t>
  </si>
  <si>
    <t>Viloyati Sughd</t>
  </si>
  <si>
    <t>Chubek</t>
  </si>
  <si>
    <t>Khatlon</t>
  </si>
  <si>
    <t>Danghara</t>
  </si>
  <si>
    <t>Farkhor</t>
  </si>
  <si>
    <t>Hisor</t>
  </si>
  <si>
    <t>Republican Subordination</t>
  </si>
  <si>
    <t>Isfara</t>
  </si>
  <si>
    <t>Ishqoshim</t>
  </si>
  <si>
    <t>Gorno-Badakhshan</t>
  </si>
  <si>
    <t>Istaravshan</t>
  </si>
  <si>
    <t>Kålob</t>
  </si>
  <si>
    <t>KÅ­lob</t>
  </si>
  <si>
    <t>Khåjand</t>
  </si>
  <si>
    <t>KhÅ­jand</t>
  </si>
  <si>
    <t>Khorugh</t>
  </si>
  <si>
    <t>Kolkhozobod</t>
  </si>
  <si>
    <t>Konibodom</t>
  </si>
  <si>
    <t>Norak</t>
  </si>
  <si>
    <t>Panjakent</t>
  </si>
  <si>
    <t>Proletar</t>
  </si>
  <si>
    <t>Qårghonteppa</t>
  </si>
  <si>
    <t>QÅ­rghonteppa</t>
  </si>
  <si>
    <t>Tursunzoda</t>
  </si>
  <si>
    <t>Vahdat</t>
  </si>
  <si>
    <t>Vakhsh</t>
  </si>
  <si>
    <t>Vose</t>
  </si>
  <si>
    <t>Voseâ€™</t>
  </si>
  <si>
    <t>Yovon</t>
  </si>
  <si>
    <t>Arusha</t>
  </si>
  <si>
    <t>Tanzania</t>
  </si>
  <si>
    <t>Babati</t>
  </si>
  <si>
    <t>Manyara</t>
  </si>
  <si>
    <t>Bagamoyo</t>
  </si>
  <si>
    <t>Pwani</t>
  </si>
  <si>
    <t>Bariadi</t>
  </si>
  <si>
    <t>Simiyu</t>
  </si>
  <si>
    <t>Bashanet</t>
  </si>
  <si>
    <t>Basotu</t>
  </si>
  <si>
    <t>Biharamulo</t>
  </si>
  <si>
    <t>Kagera</t>
  </si>
  <si>
    <t>Bugarama</t>
  </si>
  <si>
    <t>Bukoba</t>
  </si>
  <si>
    <t>Bunda</t>
  </si>
  <si>
    <t>Mara</t>
  </si>
  <si>
    <t>Bungu</t>
  </si>
  <si>
    <t>BUSERERERERE</t>
  </si>
  <si>
    <t>Buseresere</t>
  </si>
  <si>
    <t>Geita</t>
  </si>
  <si>
    <t>Butiama</t>
  </si>
  <si>
    <t>Chake Chake</t>
  </si>
  <si>
    <t>Pemba South</t>
  </si>
  <si>
    <t>Chala</t>
  </si>
  <si>
    <t>Rukwa</t>
  </si>
  <si>
    <t>Chalinze</t>
  </si>
  <si>
    <t>Chanika</t>
  </si>
  <si>
    <t>Tanga</t>
  </si>
  <si>
    <t>Chato</t>
  </si>
  <si>
    <t>Chimala</t>
  </si>
  <si>
    <t>Mbeya</t>
  </si>
  <si>
    <t>Dar es Salaam</t>
  </si>
  <si>
    <t>Dareda</t>
  </si>
  <si>
    <t>Dodoma</t>
  </si>
  <si>
    <t>Dongobesh</t>
  </si>
  <si>
    <t>Galappo</t>
  </si>
  <si>
    <t>Geiro</t>
  </si>
  <si>
    <t>Morogoro</t>
  </si>
  <si>
    <t>Hedaru</t>
  </si>
  <si>
    <t>Kilimanjaro</t>
  </si>
  <si>
    <t>Ifakara</t>
  </si>
  <si>
    <t>Igunugu</t>
  </si>
  <si>
    <t>Igugunu</t>
  </si>
  <si>
    <t>Singida</t>
  </si>
  <si>
    <t>Igunga</t>
  </si>
  <si>
    <t>Tabora</t>
  </si>
  <si>
    <t>Igurusi</t>
  </si>
  <si>
    <t>Ikungi</t>
  </si>
  <si>
    <t>Ilembula</t>
  </si>
  <si>
    <t>Njombe</t>
  </si>
  <si>
    <t>Ilongero</t>
  </si>
  <si>
    <t>Ilula</t>
  </si>
  <si>
    <t>Iringa</t>
  </si>
  <si>
    <t>Ipinda</t>
  </si>
  <si>
    <t>ISAKA</t>
  </si>
  <si>
    <t>Isaka</t>
  </si>
  <si>
    <t>Shinyanga</t>
  </si>
  <si>
    <t>Itigi</t>
  </si>
  <si>
    <t>Izazi</t>
  </si>
  <si>
    <t>Kabanga</t>
  </si>
  <si>
    <t>Kahama</t>
  </si>
  <si>
    <t>Kakonko</t>
  </si>
  <si>
    <t>Kigoma</t>
  </si>
  <si>
    <t>Kamachumu</t>
  </si>
  <si>
    <t>Kasamwa</t>
  </si>
  <si>
    <t>Kasulu</t>
  </si>
  <si>
    <t>Katerero</t>
  </si>
  <si>
    <t>Katoro</t>
  </si>
  <si>
    <t>Katumba</t>
  </si>
  <si>
    <t>Kibaha</t>
  </si>
  <si>
    <t>Kibakwe</t>
  </si>
  <si>
    <t>Kibara</t>
  </si>
  <si>
    <t>Kibiti</t>
  </si>
  <si>
    <t>Kibondo</t>
  </si>
  <si>
    <t>Kidatu</t>
  </si>
  <si>
    <t>Kidodi</t>
  </si>
  <si>
    <t>Kigonsera</t>
  </si>
  <si>
    <t>Ruvuma</t>
  </si>
  <si>
    <t>Kihangara</t>
  </si>
  <si>
    <t>Mwanza</t>
  </si>
  <si>
    <t>Kilosa</t>
  </si>
  <si>
    <t>Kingori</t>
  </si>
  <si>
    <t>Kiomboi</t>
  </si>
  <si>
    <t>Kirando</t>
  </si>
  <si>
    <t>Kiratu</t>
  </si>
  <si>
    <t>Kissesa</t>
  </si>
  <si>
    <t>Kisesa</t>
  </si>
  <si>
    <t>Kishapu</t>
  </si>
  <si>
    <t>Kitama</t>
  </si>
  <si>
    <t>Mtwara</t>
  </si>
  <si>
    <t>Kiwira</t>
  </si>
  <si>
    <t>Kondoa</t>
  </si>
  <si>
    <t>Kyela</t>
  </si>
  <si>
    <t>Laela</t>
  </si>
  <si>
    <t>Lalago</t>
  </si>
  <si>
    <t>Lembeni</t>
  </si>
  <si>
    <t>Lindi</t>
  </si>
  <si>
    <t>Liwale</t>
  </si>
  <si>
    <t>LUCHING</t>
  </si>
  <si>
    <t>Luchingu</t>
  </si>
  <si>
    <t>Lugoba</t>
  </si>
  <si>
    <t>Lukuledi</t>
  </si>
  <si>
    <t>Lushoto</t>
  </si>
  <si>
    <t>Mabama</t>
  </si>
  <si>
    <t>Mafinga</t>
  </si>
  <si>
    <t>Magole</t>
  </si>
  <si>
    <t>Magomeni</t>
  </si>
  <si>
    <t>Magugu</t>
  </si>
  <si>
    <t>Mahanje</t>
  </si>
  <si>
    <t>Makumbako</t>
  </si>
  <si>
    <t>Makuyuni</t>
  </si>
  <si>
    <t>Malampaka</t>
  </si>
  <si>
    <t>Malinyi</t>
  </si>
  <si>
    <t>MAPOSENI</t>
  </si>
  <si>
    <t>Maposeni</t>
  </si>
  <si>
    <t>Maramba</t>
  </si>
  <si>
    <t>Masasi</t>
  </si>
  <si>
    <t>Masumbwe</t>
  </si>
  <si>
    <t>Maswa</t>
  </si>
  <si>
    <t>Matai</t>
  </si>
  <si>
    <t>Matiri</t>
  </si>
  <si>
    <t>Matui</t>
  </si>
  <si>
    <t>Mazinde</t>
  </si>
  <si>
    <t>Mbingda</t>
  </si>
  <si>
    <t>Mbinga</t>
  </si>
  <si>
    <t>Mbuguni</t>
  </si>
  <si>
    <t>Merelani</t>
  </si>
  <si>
    <t>MGANDU</t>
  </si>
  <si>
    <t>Mgandu</t>
  </si>
  <si>
    <t>Mhango</t>
  </si>
  <si>
    <t>Mikumi</t>
  </si>
  <si>
    <t>Misungwi</t>
  </si>
  <si>
    <t>Mkuranga</t>
  </si>
  <si>
    <t>Mlalo</t>
  </si>
  <si>
    <t>Mlandizi</t>
  </si>
  <si>
    <t>Mlangali</t>
  </si>
  <si>
    <t>Mlimba</t>
  </si>
  <si>
    <t>Mlowo</t>
  </si>
  <si>
    <t>Moshi</t>
  </si>
  <si>
    <t>Mpanda</t>
  </si>
  <si>
    <t>Katavi</t>
  </si>
  <si>
    <t>Mpwapwa</t>
  </si>
  <si>
    <t>Msowero</t>
  </si>
  <si>
    <t>Mtinko</t>
  </si>
  <si>
    <t>Mto wa mbu</t>
  </si>
  <si>
    <t>Mto wa Mbu</t>
  </si>
  <si>
    <t>Mtwango</t>
  </si>
  <si>
    <t>Mugumu</t>
  </si>
  <si>
    <t>Muheza</t>
  </si>
  <si>
    <t>Mungaa</t>
  </si>
  <si>
    <t>Muriti</t>
  </si>
  <si>
    <t>Musoma</t>
  </si>
  <si>
    <t>Mvomero</t>
  </si>
  <si>
    <t>Mwadui</t>
  </si>
  <si>
    <t>Mwandiga</t>
  </si>
  <si>
    <t>Nachingwea</t>
  </si>
  <si>
    <t>Namanyere</t>
  </si>
  <si>
    <t>Nanganga</t>
  </si>
  <si>
    <t>Nangomba</t>
  </si>
  <si>
    <t>Nangwa</t>
  </si>
  <si>
    <t>Nanyamba</t>
  </si>
  <si>
    <t>Newala Kisimani</t>
  </si>
  <si>
    <t>Ngara</t>
  </si>
  <si>
    <t>Ngerengere</t>
  </si>
  <si>
    <t>Ngudu</t>
  </si>
  <si>
    <t>Nguruka</t>
  </si>
  <si>
    <t>Nshamba</t>
  </si>
  <si>
    <t>Nsunga</t>
  </si>
  <si>
    <t>Nyakabindi</t>
  </si>
  <si>
    <t>Nyalikungu</t>
  </si>
  <si>
    <t>NYAMUSWA</t>
  </si>
  <si>
    <t>Nyamuswa</t>
  </si>
  <si>
    <t>Nyangao</t>
  </si>
  <si>
    <t>Old Shinyanga</t>
  </si>
  <si>
    <t>Puma</t>
  </si>
  <si>
    <t>Rujewa</t>
  </si>
  <si>
    <t>Rulge</t>
  </si>
  <si>
    <t>Rulenge</t>
  </si>
  <si>
    <t>Sepuka</t>
  </si>
  <si>
    <t>Shelui</t>
  </si>
  <si>
    <t>Sikonge</t>
  </si>
  <si>
    <t>Siari</t>
  </si>
  <si>
    <t>Sirari</t>
  </si>
  <si>
    <t>Sokoni</t>
  </si>
  <si>
    <t>Zanzibar Central/South</t>
  </si>
  <si>
    <t>Somanda</t>
  </si>
  <si>
    <t>Songea</t>
  </si>
  <si>
    <t>Songwa</t>
  </si>
  <si>
    <t>Sumbawanga</t>
  </si>
  <si>
    <t>Tandahimba</t>
  </si>
  <si>
    <t>Tarime</t>
  </si>
  <si>
    <t>Tinde</t>
  </si>
  <si>
    <t>Tingi</t>
  </si>
  <si>
    <t>Tukuyu</t>
  </si>
  <si>
    <t>Tumbi</t>
  </si>
  <si>
    <t>Tunduma</t>
  </si>
  <si>
    <t>Urambo</t>
  </si>
  <si>
    <t>Rio dos EUA</t>
  </si>
  <si>
    <t>Usa River</t>
  </si>
  <si>
    <t>USAGARA</t>
  </si>
  <si>
    <t>Usagara</t>
  </si>
  <si>
    <t>Usevia</t>
  </si>
  <si>
    <t>Ushirombo</t>
  </si>
  <si>
    <t>Uvinza</t>
  </si>
  <si>
    <t>Uyovu</t>
  </si>
  <si>
    <t>Vikindu</t>
  </si>
  <si>
    <t>Vwawa</t>
  </si>
  <si>
    <t>Wete</t>
  </si>
  <si>
    <t>Pemba North</t>
  </si>
  <si>
    <t>Zanzibar</t>
  </si>
  <si>
    <t>Zanzibar Urban/West</t>
  </si>
  <si>
    <t>Amnat Charoen</t>
  </si>
  <si>
    <t>Thailand</t>
  </si>
  <si>
    <t>Amphoe sikhiu</t>
  </si>
  <si>
    <t>Amphoe Sikhiu</t>
  </si>
  <si>
    <t>Nakhon Ratchasima</t>
  </si>
  <si>
    <t>Aranyaprathet</t>
  </si>
  <si>
    <t>Sa Kaeo</t>
  </si>
  <si>
    <t>Ban Bang Kadi Pathum Thani</t>
  </si>
  <si>
    <t>Phra Nakhon Si Ayutthaya</t>
  </si>
  <si>
    <t>Ban Bueng</t>
  </si>
  <si>
    <t>Chon Buri</t>
  </si>
  <si>
    <t>Ban Chalong</t>
  </si>
  <si>
    <t>Phuket</t>
  </si>
  <si>
    <t>Ban Chang</t>
  </si>
  <si>
    <t>Rayong</t>
  </si>
  <si>
    <t>Ban Dung</t>
  </si>
  <si>
    <t>Changwat Udon Thani</t>
  </si>
  <si>
    <t>Ban Huai Thalaeng</t>
  </si>
  <si>
    <t>Ban Khlong Bang São Thong</t>
  </si>
  <si>
    <t>Ban Khlong Bang Sao Thong</t>
  </si>
  <si>
    <t>Samut Prakan</t>
  </si>
  <si>
    <t>Ban Lam Luk Ka</t>
  </si>
  <si>
    <t>Pathum Thani</t>
  </si>
  <si>
    <t>Ban Mai</t>
  </si>
  <si>
    <t>Songkhla</t>
  </si>
  <si>
    <t>Ban mo</t>
  </si>
  <si>
    <t>Ban Mo</t>
  </si>
  <si>
    <t>Sara Buri</t>
  </si>
  <si>
    <t>Ban na</t>
  </si>
  <si>
    <t>Ban Na</t>
  </si>
  <si>
    <t>Sukhothai</t>
  </si>
  <si>
    <t>Ban Na San</t>
  </si>
  <si>
    <t>Surat Thani</t>
  </si>
  <si>
    <t>Ban nong wua então</t>
  </si>
  <si>
    <t>Ban Nong Wua So</t>
  </si>
  <si>
    <t>Ban Phaeo</t>
  </si>
  <si>
    <t>Samut Sakhon</t>
  </si>
  <si>
    <t>Ban Phai</t>
  </si>
  <si>
    <t>Khon Kaen</t>
  </si>
  <si>
    <t>Ban Phan Don</t>
  </si>
  <si>
    <t>Ban Pong</t>
  </si>
  <si>
    <t>Ratchaburi</t>
  </si>
  <si>
    <t>Ban Rangsit</t>
  </si>
  <si>
    <t>Ban Ratsada</t>
  </si>
  <si>
    <t>Ban Selaphum</t>
  </si>
  <si>
    <t>Roi Et</t>
  </si>
  <si>
    <t>Ban Tak</t>
  </si>
  <si>
    <t>Tak</t>
  </si>
  <si>
    <t>Ban Talat Bueng</t>
  </si>
  <si>
    <t>Ban Talat Nua</t>
  </si>
  <si>
    <t>Proibir talat yai</t>
  </si>
  <si>
    <t>Ban Talat Yai</t>
  </si>
  <si>
    <t>BANG BAN</t>
  </si>
  <si>
    <t>Bang Ban</t>
  </si>
  <si>
    <t>Distrito de Bang Bo</t>
  </si>
  <si>
    <t>Bang Bo District</t>
  </si>
  <si>
    <t>Tanga de bua bua</t>
  </si>
  <si>
    <t>Bang Bua Thong</t>
  </si>
  <si>
    <t>Nonthaburi</t>
  </si>
  <si>
    <t>Bang Krathum</t>
  </si>
  <si>
    <t>Phitsanulok</t>
  </si>
  <si>
    <t>Bang Kruai</t>
  </si>
  <si>
    <t>Bang Lamung</t>
  </si>
  <si>
    <t>Bang Len</t>
  </si>
  <si>
    <t>Nakhon Pathom</t>
  </si>
  <si>
    <t>Bang Mun Nak</t>
  </si>
  <si>
    <t>Phichit</t>
  </si>
  <si>
    <t>Bang pa-in</t>
  </si>
  <si>
    <t>Bang Pa-in</t>
  </si>
  <si>
    <t>Bang Pakong</t>
  </si>
  <si>
    <t>Chachoengsao</t>
  </si>
  <si>
    <t>Bang Phae</t>
  </si>
  <si>
    <t>Bang Racham</t>
  </si>
  <si>
    <t>Sing Buri</t>
  </si>
  <si>
    <t>Bang Rakam</t>
  </si>
  <si>
    <t>Bang Saphan</t>
  </si>
  <si>
    <t>Prachuap Khiri Khan</t>
  </si>
  <si>
    <t>Bangkok</t>
  </si>
  <si>
    <t>Betong</t>
  </si>
  <si>
    <t>Yala</t>
  </si>
  <si>
    <t>Bo Phloi</t>
  </si>
  <si>
    <t>Kanchanaburi</t>
  </si>
  <si>
    <t>Bua Yai</t>
  </si>
  <si>
    <t>Buriram</t>
  </si>
  <si>
    <t>Cha-am</t>
  </si>
  <si>
    <t>Phetchaburi</t>
  </si>
  <si>
    <t>Chai Badan</t>
  </si>
  <si>
    <t>Lop Buri</t>
  </si>
  <si>
    <t>Chai Nat</t>
  </si>
  <si>
    <t>Chaiyaphum</t>
  </si>
  <si>
    <t>Chanthaburi</t>
  </si>
  <si>
    <t>Chiang Mai</t>
  </si>
  <si>
    <t>Chiang Rai</t>
  </si>
  <si>
    <t>Chok Chai</t>
  </si>
  <si>
    <t>Chom Bueng</t>
  </si>
  <si>
    <t>Chon Daen</t>
  </si>
  <si>
    <t>Phetchabun</t>
  </si>
  <si>
    <t>Chum phae</t>
  </si>
  <si>
    <t>Chum Phae</t>
  </si>
  <si>
    <t>Chumphon</t>
  </si>
  <si>
    <t>DAMNOSEN SADUAK</t>
  </si>
  <si>
    <t>Damnoen Saduak</t>
  </si>
  <si>
    <t>Dan Khun Thot</t>
  </si>
  <si>
    <t>Den chai</t>
  </si>
  <si>
    <t>Den Chai</t>
  </si>
  <si>
    <t>Phrae</t>
  </si>
  <si>
    <t>Det udom</t>
  </si>
  <si>
    <t>Det Udom</t>
  </si>
  <si>
    <t>Changwat Ubon Ratchathani</t>
  </si>
  <si>
    <t>Dok Kham Tai</t>
  </si>
  <si>
    <t>Phayao</t>
  </si>
  <si>
    <t>Pendure o dong</t>
  </si>
  <si>
    <t>Hang Dong</t>
  </si>
  <si>
    <t>Chapéu yai</t>
  </si>
  <si>
    <t>Hat Yai</t>
  </si>
  <si>
    <t>Hua Hin</t>
  </si>
  <si>
    <t>Huai yot</t>
  </si>
  <si>
    <t>Huai Yot</t>
  </si>
  <si>
    <t>Trang</t>
  </si>
  <si>
    <t>Kabin Buri</t>
  </si>
  <si>
    <t>Prachin Buri</t>
  </si>
  <si>
    <t>Kaeng Khoi</t>
  </si>
  <si>
    <t>Kaeng Khro</t>
  </si>
  <si>
    <t>Kalasin</t>
  </si>
  <si>
    <t>Kamalasai</t>
  </si>
  <si>
    <t>Kamphaeng Phet</t>
  </si>
  <si>
    <t>Kantharalak</t>
  </si>
  <si>
    <t>Sisaket</t>
  </si>
  <si>
    <t>Kaset Sombun</t>
  </si>
  <si>
    <t>Kaset Wisai</t>
  </si>
  <si>
    <t>Kathu</t>
  </si>
  <si>
    <t>Khanu Woralaksaburi</t>
  </si>
  <si>
    <t>Khao Wong</t>
  </si>
  <si>
    <t>Khao yoi</t>
  </si>
  <si>
    <t>Khao Yoi</t>
  </si>
  <si>
    <t>Khlong Luang</t>
  </si>
  <si>
    <t>Khon Buri</t>
  </si>
  <si>
    <t>Klaeng</t>
  </si>
  <si>
    <t>Ko Samui</t>
  </si>
  <si>
    <t>Krabi</t>
  </si>
  <si>
    <t>Krathum Baen</t>
  </si>
  <si>
    <t>Kuchinarai</t>
  </si>
  <si>
    <t>Kui Buri</t>
  </si>
  <si>
    <t>KUT CHAP</t>
  </si>
  <si>
    <t>Kut Chap</t>
  </si>
  <si>
    <t>Laem Sing</t>
  </si>
  <si>
    <t>Lampang</t>
  </si>
  <si>
    <t>LAMPHUN</t>
  </si>
  <si>
    <t>Lamphun</t>
  </si>
  <si>
    <t>Lang Suan</t>
  </si>
  <si>
    <t>Lat Yao</t>
  </si>
  <si>
    <t>Nakhon Sawan</t>
  </si>
  <si>
    <t>Loei</t>
  </si>
  <si>
    <t>Lom Sak</t>
  </si>
  <si>
    <t>Mae Chan</t>
  </si>
  <si>
    <t>Mae Ramat</t>
  </si>
  <si>
    <t>Mae Sai</t>
  </si>
  <si>
    <t>Mae sot</t>
  </si>
  <si>
    <t>Mae Sot</t>
  </si>
  <si>
    <t>Maha Sarakham</t>
  </si>
  <si>
    <t>MUEANG NONTHABURI</t>
  </si>
  <si>
    <t>Mueang Nonthaburi</t>
  </si>
  <si>
    <t>Mukdahan</t>
  </si>
  <si>
    <t>Na Klang</t>
  </si>
  <si>
    <t>Changwat Nong Bua Lamphu</t>
  </si>
  <si>
    <t>Nakhon Luang</t>
  </si>
  <si>
    <t>Nakhon Nayok</t>
  </si>
  <si>
    <t>Nakhon Phanom</t>
  </si>
  <si>
    <t>Nakhon Si Thammarat</t>
  </si>
  <si>
    <t>Nam Som</t>
  </si>
  <si>
    <t>Nan</t>
  </si>
  <si>
    <t>Nang Rong</t>
  </si>
  <si>
    <t>Narathiwat</t>
  </si>
  <si>
    <t>Não cantado</t>
  </si>
  <si>
    <t>Non Sung</t>
  </si>
  <si>
    <t>NONG BUA LAMPHU</t>
  </si>
  <si>
    <t>Nong Bua Lamphu</t>
  </si>
  <si>
    <t>Nong Khae</t>
  </si>
  <si>
    <t>Nong Khai</t>
  </si>
  <si>
    <t>Nong Kung Si</t>
  </si>
  <si>
    <t>Nong Phai</t>
  </si>
  <si>
    <t>Pa cantou</t>
  </si>
  <si>
    <t>Pa Sang</t>
  </si>
  <si>
    <t>Pak Chong</t>
  </si>
  <si>
    <t>Pak Kret</t>
  </si>
  <si>
    <t>Pak Phanang</t>
  </si>
  <si>
    <t>Pattani</t>
  </si>
  <si>
    <t>Phak Hai</t>
  </si>
  <si>
    <t>Phan Thong</t>
  </si>
  <si>
    <t>Phanat Nikhom</t>
  </si>
  <si>
    <t>Phanom Sarakham</t>
  </si>
  <si>
    <t>Phatthalung</t>
  </si>
  <si>
    <t>Phatthaya</t>
  </si>
  <si>
    <t>Phibun Mangsahan</t>
  </si>
  <si>
    <t>PHON CHAROEN</t>
  </si>
  <si>
    <t>Phon Charoen</t>
  </si>
  <si>
    <t>Fotharam</t>
  </si>
  <si>
    <t>Photharam</t>
  </si>
  <si>
    <t>Phra Phutthabat</t>
  </si>
  <si>
    <t>Phra Pradaeng</t>
  </si>
  <si>
    <t>Phu Khiao</t>
  </si>
  <si>
    <t>Phu Kradueng</t>
  </si>
  <si>
    <t>Phunphin</t>
  </si>
  <si>
    <t>Prakhon Chai</t>
  </si>
  <si>
    <t>Pran Buri</t>
  </si>
  <si>
    <t>Ra-ngae</t>
  </si>
  <si>
    <t>Ranong</t>
  </si>
  <si>
    <t>Ranot</t>
  </si>
  <si>
    <t>ROI ET</t>
  </si>
  <si>
    <t>Ron Phibun</t>
  </si>
  <si>
    <t>SA KAEO</t>
  </si>
  <si>
    <t>Sadao</t>
  </si>
  <si>
    <t>Sakon Nakhon</t>
  </si>
  <si>
    <t>Sam Phran</t>
  </si>
  <si>
    <t>Sam Roi Yot</t>
  </si>
  <si>
    <t>Samut Songkhram</t>
  </si>
  <si>
    <t>San Kamphaeng</t>
  </si>
  <si>
    <t>San Pa Tong</t>
  </si>
  <si>
    <t>Saraburi</t>
  </si>
  <si>
    <t>Sathahip</t>
  </si>
  <si>
    <t>Sattahip</t>
  </si>
  <si>
    <t>Satun</t>
  </si>
  <si>
    <t>Sawang Daen Din</t>
  </si>
  <si>
    <t>Sawankhalok</t>
  </si>
  <si>
    <t>Seka</t>
  </si>
  <si>
    <t>Changwat Bueng Kan</t>
  </si>
  <si>
    <t>Si Racha</t>
  </si>
  <si>
    <t>Si sa ket</t>
  </si>
  <si>
    <t>Si Sa Ket</t>
  </si>
  <si>
    <t>Si Satchanalai</t>
  </si>
  <si>
    <t>Cante Buri</t>
  </si>
  <si>
    <t>Su-ngai Kolok</t>
  </si>
  <si>
    <t>Suphan Buri</t>
  </si>
  <si>
    <t>Surin</t>
  </si>
  <si>
    <t>Tak Bai</t>
  </si>
  <si>
    <t>Taphan Hin</t>
  </si>
  <si>
    <t>Tha bo</t>
  </si>
  <si>
    <t>Tha Bo</t>
  </si>
  <si>
    <t>Tha Mai</t>
  </si>
  <si>
    <t>Tha Maka</t>
  </si>
  <si>
    <t>Tha Muang</t>
  </si>
  <si>
    <t>Tha Ruea</t>
  </si>
  <si>
    <t>Tha yang</t>
  </si>
  <si>
    <t>Tha Yang</t>
  </si>
  <si>
    <t>Thap Khlo</t>
  </si>
  <si>
    <t>Thap do que</t>
  </si>
  <si>
    <t>Thap Than</t>
  </si>
  <si>
    <t>Uthai Thani</t>
  </si>
  <si>
    <t>Thoen</t>
  </si>
  <si>
    <t>Thung Song</t>
  </si>
  <si>
    <t>TRANG</t>
  </si>
  <si>
    <t>Trat</t>
  </si>
  <si>
    <t>Ubon Ratchathani</t>
  </si>
  <si>
    <t>Udon Thani</t>
  </si>
  <si>
    <t>Uthai thani</t>
  </si>
  <si>
    <t>Uttaradit</t>
  </si>
  <si>
    <t>Wang Nam Yen</t>
  </si>
  <si>
    <t>Wang Noi</t>
  </si>
  <si>
    <t>Wang Saphung</t>
  </si>
  <si>
    <t>Warin Chamrap</t>
  </si>
  <si>
    <t>Wichian Buri</t>
  </si>
  <si>
    <t>Wichit</t>
  </si>
  <si>
    <t>Wiset Chaichan</t>
  </si>
  <si>
    <t>Ang Thong</t>
  </si>
  <si>
    <t>Yaring</t>
  </si>
  <si>
    <t>Yasothon</t>
  </si>
  <si>
    <t>Aná</t>
  </si>
  <si>
    <t>AnÃ©ho</t>
  </si>
  <si>
    <t>Togo</t>
  </si>
  <si>
    <t>Maritime</t>
  </si>
  <si>
    <t>Atakpamé</t>
  </si>
  <si>
    <t>AtakpamÃ©</t>
  </si>
  <si>
    <t>Badou</t>
  </si>
  <si>
    <t>Bafilo</t>
  </si>
  <si>
    <t>Kara</t>
  </si>
  <si>
    <t>Bassar</t>
  </si>
  <si>
    <t>DAPAONG</t>
  </si>
  <si>
    <t>Dapaong</t>
  </si>
  <si>
    <t>Kpalimé</t>
  </si>
  <si>
    <t>KpalimÃ©</t>
  </si>
  <si>
    <t>Lomé</t>
  </si>
  <si>
    <t>LomÃ©</t>
  </si>
  <si>
    <t>Niamtougou</t>
  </si>
  <si>
    <t>Nots ©</t>
  </si>
  <si>
    <t>NotsÃ©</t>
  </si>
  <si>
    <t>Sansanné -Mango</t>
  </si>
  <si>
    <t>SansannÃ©-Mango</t>
  </si>
  <si>
    <t>Sokodé</t>
  </si>
  <si>
    <t>SokodÃ©</t>
  </si>
  <si>
    <t>Centrale</t>
  </si>
  <si>
    <t>Sotouboua</t>
  </si>
  <si>
    <t>Tchamba</t>
  </si>
  <si>
    <t>Tsé Vié</t>
  </si>
  <si>
    <t>TsÃ©viÃ©</t>
  </si>
  <si>
    <t>Vogan</t>
  </si>
  <si>
    <t>Nuku '˜alofa</t>
  </si>
  <si>
    <t>Nukuâ€˜alofa</t>
  </si>
  <si>
    <t>Tongatapu</t>
  </si>
  <si>
    <t>ARIMA</t>
  </si>
  <si>
    <t>Arima</t>
  </si>
  <si>
    <t>Trinidad and Tobago</t>
  </si>
  <si>
    <t>Borough of Arima</t>
  </si>
  <si>
    <t>Chaguanas</t>
  </si>
  <si>
    <t>Laventille</t>
  </si>
  <si>
    <t>San Juan/Laventille</t>
  </si>
  <si>
    <t>Marabella</t>
  </si>
  <si>
    <t>City of San Fernando</t>
  </si>
  <si>
    <t>MON Repos</t>
  </si>
  <si>
    <t>Mon Repos</t>
  </si>
  <si>
    <t>Paradise</t>
  </si>
  <si>
    <t>Tunapuna/Piarco</t>
  </si>
  <si>
    <t>Point Fortin</t>
  </si>
  <si>
    <t>Porto da Espanha</t>
  </si>
  <si>
    <t>Port of Spain</t>
  </si>
  <si>
    <t>City of Port of Spain</t>
  </si>
  <si>
    <t>Mayaro</t>
  </si>
  <si>
    <t>Sangre Grande</t>
  </si>
  <si>
    <t>Tobago</t>
  </si>
  <si>
    <t>Tunapuna</t>
  </si>
  <si>
    <t>Akouda</t>
  </si>
  <si>
    <t>Tunisia</t>
  </si>
  <si>
    <t>SÅ«sah</t>
  </si>
  <si>
    <t>Al Mars.</t>
  </si>
  <si>
    <t>Al MarsÃ¡</t>
  </si>
  <si>
    <t>TÅ«nis</t>
  </si>
  <si>
    <t>Ar rudayyif</t>
  </si>
  <si>
    <t>Ar Rudayyif</t>
  </si>
  <si>
    <t>Gafsa</t>
  </si>
  <si>
    <t>Ariana</t>
  </si>
  <si>
    <t>B © JA</t>
  </si>
  <si>
    <t>BÃ©ja</t>
  </si>
  <si>
    <t>BÄjah</t>
  </si>
  <si>
    <t>Bekalta</t>
  </si>
  <si>
    <t>Al MunastÄ«r</t>
  </si>
  <si>
    <t>Ben AROUS</t>
  </si>
  <si>
    <t>Ben Arous</t>
  </si>
  <si>
    <t>Bin â€˜ArÅ«s</t>
  </si>
  <si>
    <t>Beni Khiar</t>
  </si>
  <si>
    <t>NÄbul</t>
  </si>
  <si>
    <t>Bizerte</t>
  </si>
  <si>
    <t>Banzart</t>
  </si>
  <si>
    <t>Carthage</t>
  </si>
  <si>
    <t>Chebba</t>
  </si>
  <si>
    <t>Al MahdÄ«yah</t>
  </si>
  <si>
    <t>Dar Chabanne</t>
  </si>
  <si>
    <t>Djemmal</t>
  </si>
  <si>
    <t>DOUANE</t>
  </si>
  <si>
    <t>Douane</t>
  </si>
  <si>
    <t>Douar Tindja</t>
  </si>
  <si>
    <t>Douz</t>
  </si>
  <si>
    <t>QibilÄ«</t>
  </si>
  <si>
    <t>El Alia</t>
  </si>
  <si>
    <t>El Fahs</t>
  </si>
  <si>
    <t>ZaghwÄn</t>
  </si>
  <si>
    <t>El Hamma</t>
  </si>
  <si>
    <t>QÄbis</t>
  </si>
  <si>
    <t>El Jem</t>
  </si>
  <si>
    <t>El Kef</t>
  </si>
  <si>
    <t>Kef</t>
  </si>
  <si>
    <t>Gabãs</t>
  </si>
  <si>
    <t>GabÃ¨s</t>
  </si>
  <si>
    <t>GAFSA</t>
  </si>
  <si>
    <t>Galaat El Andless</t>
  </si>
  <si>
    <t>Galaat el Andeless</t>
  </si>
  <si>
    <t>Gremda</t>
  </si>
  <si>
    <t>ÅžafÄqis</t>
  </si>
  <si>
    <t>Hammam Souse</t>
  </si>
  <si>
    <t>Hammam Sousse</t>
  </si>
  <si>
    <t>Hammam-Lif</t>
  </si>
  <si>
    <t>Houmt Souk</t>
  </si>
  <si>
    <t>MadanÄ«n</t>
  </si>
  <si>
    <t>Jendouba</t>
  </si>
  <si>
    <t>JundÅ«bah</t>
  </si>
  <si>
    <t>Ké Libia</t>
  </si>
  <si>
    <t>KÃ©libia</t>
  </si>
  <si>
    <t>Kairouan</t>
  </si>
  <si>
    <t>Al QayrawÄn</t>
  </si>
  <si>
    <t>Kasserine</t>
  </si>
  <si>
    <t>Al QaÅŸrayn</t>
  </si>
  <si>
    <t>Kebili</t>
  </si>
  <si>
    <t>Ksar Helal</t>
  </si>
  <si>
    <t>Ksar Hellal</t>
  </si>
  <si>
    <t>Ksour Essef</t>
  </si>
  <si>
    <t>Ksour Essaf</t>
  </si>
  <si>
    <t>La Goulete</t>
  </si>
  <si>
    <t>La Goulette</t>
  </si>
  <si>
    <t>La Mohammedia</t>
  </si>
  <si>
    <t>La Sebala du Mornag</t>
  </si>
  <si>
    <t>Mahdia</t>
  </si>
  <si>
    <t>Manouba</t>
  </si>
  <si>
    <t>Mateur</t>
  </si>
  <si>
    <t>Medenina</t>
  </si>
  <si>
    <t>Medenine</t>
  </si>
  <si>
    <t>Medjez El Bab</t>
  </si>
  <si>
    <t>Medjez el Bab</t>
  </si>
  <si>
    <t>Mennzel Bou Zelfa</t>
  </si>
  <si>
    <t>Menzel Abderhaman</t>
  </si>
  <si>
    <t>Menzel Bourguiba</t>
  </si>
  <si>
    <t>Menzel Jemil</t>
  </si>
  <si>
    <t>Metlaoui</t>
  </si>
  <si>
    <t>Midoun</t>
  </si>
  <si>
    <t>Monastir</t>
  </si>
  <si>
    <t>MSAKEN</t>
  </si>
  <si>
    <t>Msaken</t>
  </si>
  <si>
    <t>Nabeul</t>
  </si>
  <si>
    <t>Nefta</t>
  </si>
  <si>
    <t>Tawzar</t>
  </si>
  <si>
    <t>Ouardenina</t>
  </si>
  <si>
    <t>Ouardenine</t>
  </si>
  <si>
    <t>Oued lill</t>
  </si>
  <si>
    <t>Oued Lill</t>
  </si>
  <si>
    <t>RADI</t>
  </si>
  <si>
    <t>RadÃ¨s</t>
  </si>
  <si>
    <t>Sfax</t>
  </si>
  <si>
    <t>Sidi Bouzid</t>
  </si>
  <si>
    <t>SÄ«dÄ« BÅ« Zayd</t>
  </si>
  <si>
    <t>Siliana</t>
  </si>
  <si>
    <t>SilyÄnah</t>
  </si>
  <si>
    <t>Skanes</t>
  </si>
  <si>
    <t>Sousse</t>
  </si>
  <si>
    <t>Tajerouine</t>
  </si>
  <si>
    <t>Takelsa</t>
  </si>
  <si>
    <t>Tataouine</t>
  </si>
  <si>
    <t>Thala</t>
  </si>
  <si>
    <t>Tozeur</t>
  </si>
  <si>
    <t>Tunis</t>
  </si>
  <si>
    <t>Zaghouan</t>
  </si>
  <si>
    <t>Zarzis</t>
  </si>
  <si>
    <t>Zouila</t>
  </si>
  <si>
    <t>Ä ° dil</t>
  </si>
  <si>
    <t>Ä°dil</t>
  </si>
  <si>
    <t>Turkey</t>
  </si>
  <si>
    <t>ÅžÄ±rnak</t>
  </si>
  <si>
    <t>Ä ° negol</t>
  </si>
  <si>
    <t>Ä°negol</t>
  </si>
  <si>
    <t>Bursa</t>
  </si>
  <si>
    <t>Ä ° Skilip</t>
  </si>
  <si>
    <t>Ä°skilip</t>
  </si>
  <si>
    <t>Ã‡orum</t>
  </si>
  <si>
    <t>Stanbul</t>
  </si>
  <si>
    <t>Ä°stanbul</t>
  </si>
  <si>
    <t>Istanbul</t>
  </si>
  <si>
    <t>Ä ° zmir</t>
  </si>
  <si>
    <t>Ä°zmir</t>
  </si>
  <si>
    <t>Ä ° ZMIT</t>
  </si>
  <si>
    <t>Ä°zmit</t>
  </si>
  <si>
    <t>Kocaeli</t>
  </si>
  <si>
    <t>Ä ° Znik</t>
  </si>
  <si>
    <t>Ä°znik</t>
  </si>
  <si>
    <t>Ã ‡ Aäÿlayancerit</t>
  </si>
  <si>
    <t>Ã‡aÄŸlayancerit</t>
  </si>
  <si>
    <t>KahramanmaraÅŸ</t>
  </si>
  <si>
    <t>Ã ‡ AN</t>
  </si>
  <si>
    <t>Ã‡an</t>
  </si>
  <si>
    <t>Ã‡anakkale Province</t>
  </si>
  <si>
    <t>Anakkale</t>
  </si>
  <si>
    <t>Ã‡anakkale</t>
  </si>
  <si>
    <t>Ankaya</t>
  </si>
  <si>
    <t>Ã‡ankaya</t>
  </si>
  <si>
    <t>Ankara</t>
  </si>
  <si>
    <t>Ã ‡ AråÿAMBA</t>
  </si>
  <si>
    <t>Ã‡arÅŸamba</t>
  </si>
  <si>
    <t>Samsun</t>
  </si>
  <si>
    <t>Atalca</t>
  </si>
  <si>
    <t>Ã‡atalca</t>
  </si>
  <si>
    <t>Ay</t>
  </si>
  <si>
    <t>Ã‡ay</t>
  </si>
  <si>
    <t>Afyonkarahisar</t>
  </si>
  <si>
    <t>Aycuma</t>
  </si>
  <si>
    <t>Ã‡aycuma</t>
  </si>
  <si>
    <t>Zonguldak</t>
  </si>
  <si>
    <t>Ayeli</t>
  </si>
  <si>
    <t>Ã‡ayeli</t>
  </si>
  <si>
    <t>Rize</t>
  </si>
  <si>
    <t>Ã ‡ EåÿMe</t>
  </si>
  <si>
    <t>Ã‡eÅŸme</t>
  </si>
  <si>
    <t>Ã ‡ Erkeåÿ</t>
  </si>
  <si>
    <t>Ã‡erkeÅŸ</t>
  </si>
  <si>
    <t>Ã‡ankÄ±rÄ±</t>
  </si>
  <si>
    <t>Erkezkãy</t>
  </si>
  <si>
    <t>Ã‡erkezkÃ¶y</t>
  </si>
  <si>
    <t>TekirdaÄŸ</t>
  </si>
  <si>
    <t>Ermik</t>
  </si>
  <si>
    <t>Ã‡ermik</t>
  </si>
  <si>
    <t>DiyarbakÄ±r</t>
  </si>
  <si>
    <t>`Ine</t>
  </si>
  <si>
    <t>Ã‡ine</t>
  </si>
  <si>
    <t>AydÄ±n</t>
  </si>
  <si>
    <t>Orlu</t>
  </si>
  <si>
    <t>Ã‡orlu</t>
  </si>
  <si>
    <t>Orum</t>
  </si>
  <si>
    <t>Ubuk</t>
  </si>
  <si>
    <t>Ã‡ubuk</t>
  </si>
  <si>
    <t>`UMRA</t>
  </si>
  <si>
    <t>Ã‡umra</t>
  </si>
  <si>
    <t>Konya</t>
  </si>
  <si>
    <t>Aåero</t>
  </si>
  <si>
    <t>AÅŸkale</t>
  </si>
  <si>
    <t>Erzurum</t>
  </si>
  <si>
    <t>Aäÿrä ±</t>
  </si>
  <si>
    <t>AÄŸrÄ±</t>
  </si>
  <si>
    <t>Adä ± yaman</t>
  </si>
  <si>
    <t>AdÄ±yaman</t>
  </si>
  <si>
    <t>Adana</t>
  </si>
  <si>
    <t>Adapazarä ±</t>
  </si>
  <si>
    <t>AdapazarÄ±</t>
  </si>
  <si>
    <t>Sakarya</t>
  </si>
  <si>
    <t>Ã -Demiåero</t>
  </si>
  <si>
    <t>Ã–demiÅŸ</t>
  </si>
  <si>
    <t>Adilcevaz</t>
  </si>
  <si>
    <t>Bitlis</t>
  </si>
  <si>
    <t>Afåÿin</t>
  </si>
  <si>
    <t>AfÅŸin</t>
  </si>
  <si>
    <t>Ahlat</t>
  </si>
  <si>
    <t>Akã§aabat</t>
  </si>
  <si>
    <t>AkÃ§aabat</t>
  </si>
  <si>
    <t>Trabzon</t>
  </si>
  <si>
    <t>Akã§akale</t>
  </si>
  <si>
    <t>AkÃ§akale</t>
  </si>
  <si>
    <t>ÅžanlÄ±urfa</t>
  </si>
  <si>
    <t>Akã§akoca</t>
  </si>
  <si>
    <t>AkÃ§akoca</t>
  </si>
  <si>
    <t>DÃ¼zce</t>
  </si>
  <si>
    <t>Akåÿehir</t>
  </si>
  <si>
    <t>AkÅŸehir</t>
  </si>
  <si>
    <t>Akdaäÿmadeni</t>
  </si>
  <si>
    <t>AkdaÄŸmadeni</t>
  </si>
  <si>
    <t>Yozgat</t>
  </si>
  <si>
    <t>Akhisar</t>
  </si>
  <si>
    <t>Manisa</t>
  </si>
  <si>
    <t>Aksaray</t>
  </si>
  <si>
    <t>Akyazä ±</t>
  </si>
  <si>
    <t>AkyazÄ±</t>
  </si>
  <si>
    <t>ALAåÿEHIR</t>
  </si>
  <si>
    <t>AlaÅŸehir</t>
  </si>
  <si>
    <t>Alaca</t>
  </si>
  <si>
    <t>ALANYA</t>
  </si>
  <si>
    <t>Alanya</t>
  </si>
  <si>
    <t>Antalya</t>
  </si>
  <si>
    <t>ALAPLä ±</t>
  </si>
  <si>
    <t>AlaplÄ±</t>
  </si>
  <si>
    <t>Aliaäÿa</t>
  </si>
  <si>
    <t>AliaÄŸa</t>
  </si>
  <si>
    <t>Amasya</t>
  </si>
  <si>
    <t>Anamur</t>
  </si>
  <si>
    <t>Mersin</t>
  </si>
  <si>
    <t>Ancara</t>
  </si>
  <si>
    <t>Antakya</t>
  </si>
  <si>
    <t>Hatay</t>
  </si>
  <si>
    <t>Ãnye</t>
  </si>
  <si>
    <t>Ãœnye</t>
  </si>
  <si>
    <t>Ordu</t>
  </si>
  <si>
    <t>Ã rgãp</t>
  </si>
  <si>
    <t>ÃœrgÃ¼p</t>
  </si>
  <si>
    <t>NevÅŸehir</t>
  </si>
  <si>
    <t>Ã'skãdar</t>
  </si>
  <si>
    <t>ÃœskÃ¼dar</t>
  </si>
  <si>
    <t>Araklä ±</t>
  </si>
  <si>
    <t>AraklÄ±</t>
  </si>
  <si>
    <t>Ardahan</t>
  </si>
  <si>
    <t>Ardeåÿen</t>
  </si>
  <si>
    <t>ArdeÅŸen</t>
  </si>
  <si>
    <t>Arhavi</t>
  </si>
  <si>
    <t>Artvin</t>
  </si>
  <si>
    <t>Arsin</t>
  </si>
  <si>
    <t>Ataåÿehir</t>
  </si>
  <si>
    <t>AtaÅŸehir</t>
  </si>
  <si>
    <t>Aydä ± n</t>
  </si>
  <si>
    <t>Ayvalä ± k</t>
  </si>
  <si>
    <t>AyvalÄ±k</t>
  </si>
  <si>
    <t>BalÄ±kesir</t>
  </si>
  <si>
    <t>Åžä ± rnak</t>
  </si>
  <si>
    <t>Åžanlä ± urfa</t>
  </si>
  <si>
    <t>Åžarkä ± Åutos</t>
  </si>
  <si>
    <t>ÅžarkÄ±ÅŸla</t>
  </si>
  <si>
    <t>Sivas</t>
  </si>
  <si>
    <t>Åžarkã®karaaäÿaã</t>
  </si>
  <si>
    <t>ÅžarkÃ®karaaÄŸaÃ§</t>
  </si>
  <si>
    <t>Isparta</t>
  </si>
  <si>
    <t>Åžebin Karahisar</t>
  </si>
  <si>
    <t>Giresun</t>
  </si>
  <si>
    <t>Åžemdinli</t>
  </si>
  <si>
    <t>HakkÃ¢ri</t>
  </si>
  <si>
    <t>Åžereflikoinhisar</t>
  </si>
  <si>
    <t>ÅžereflikoÃ§hisar</t>
  </si>
  <si>
    <t>Åžiåÿli</t>
  </si>
  <si>
    <t>ÅžiÅŸli</t>
  </si>
  <si>
    <t>Bãyãkãnkmece</t>
  </si>
  <si>
    <t>BÃ¼yÃ¼kÃ§ekmece</t>
  </si>
  <si>
    <t>Baåÿakåÿehir</t>
  </si>
  <si>
    <t>BaÅŸakÅŸehir</t>
  </si>
  <si>
    <t>Baäÿcä ± lar</t>
  </si>
  <si>
    <t>BaÄŸcÄ±lar</t>
  </si>
  <si>
    <t>Babaeski</t>
  </si>
  <si>
    <t>KÄ±rklareli</t>
  </si>
  <si>
    <t>Bafra</t>
  </si>
  <si>
    <t>Bahã§e</t>
  </si>
  <si>
    <t>BahÃ§e</t>
  </si>
  <si>
    <t>Bahã§Elievler</t>
  </si>
  <si>
    <t>BahÃ§elievler</t>
  </si>
  <si>
    <t>Balä ± Kesir</t>
  </si>
  <si>
    <t>Banaz</t>
  </si>
  <si>
    <t>UÅŸak</t>
  </si>
  <si>
    <t>Bandä ± rma</t>
  </si>
  <si>
    <t>BandÄ±rma</t>
  </si>
  <si>
    <t>Bartä ± n</t>
  </si>
  <si>
    <t>BartÄ±n</t>
  </si>
  <si>
    <t>Baskil</t>
  </si>
  <si>
    <t>ElazÄ±ÄŸ</t>
  </si>
  <si>
    <t>Batikent</t>
  </si>
  <si>
    <t>homem Morcego</t>
  </si>
  <si>
    <t>Batman</t>
  </si>
  <si>
    <t>Bayä ± ndä ± R</t>
  </si>
  <si>
    <t>BayÄ±ndÄ±r</t>
  </si>
  <si>
    <t>Bayburt</t>
  </si>
  <si>
    <t>Beåÿikdãzã</t>
  </si>
  <si>
    <t>BeÅŸikdÃ¼zÃ¼</t>
  </si>
  <si>
    <t>Belek</t>
  </si>
  <si>
    <t>Belen</t>
  </si>
  <si>
    <t>Bergama</t>
  </si>
  <si>
    <t>Besni</t>
  </si>
  <si>
    <t>Beyåÿehir</t>
  </si>
  <si>
    <t>BeyÅŸehir</t>
  </si>
  <si>
    <t>Beykonak</t>
  </si>
  <si>
    <t>Beylikdãzü</t>
  </si>
  <si>
    <t>BeylikdÃ¼zÃ¼</t>
  </si>
  <si>
    <t>Beyparzarä ±</t>
  </si>
  <si>
    <t>BeypazarÄ±</t>
  </si>
  <si>
    <t>BIGA</t>
  </si>
  <si>
    <t>Biga</t>
  </si>
  <si>
    <t>Bigadiã§</t>
  </si>
  <si>
    <t>BigadiÃ§</t>
  </si>
  <si>
    <t>BILECIK</t>
  </si>
  <si>
    <t>Bilecik</t>
  </si>
  <si>
    <t>Bingãl</t>
  </si>
  <si>
    <t>BingÃ¶l</t>
  </si>
  <si>
    <t>Birecik</t>
  </si>
  <si>
    <t>Bismil</t>
  </si>
  <si>
    <t>Bodrum</t>
  </si>
  <si>
    <t>MuÄŸla</t>
  </si>
  <si>
    <t>Bolu</t>
  </si>
  <si>
    <t>Bolvadin</t>
  </si>
  <si>
    <t>NiÄŸde</t>
  </si>
  <si>
    <t>Boyabat</t>
  </si>
  <si>
    <t>Bozãyãik</t>
  </si>
  <si>
    <t>BozÃ¼yÃ¼k</t>
  </si>
  <si>
    <t>Bozova</t>
  </si>
  <si>
    <t>BOZYAZä ±</t>
  </si>
  <si>
    <t>BozyazÄ±</t>
  </si>
  <si>
    <t>Bucak</t>
  </si>
  <si>
    <t>Burdur</t>
  </si>
  <si>
    <t>Bulanä ± K.</t>
  </si>
  <si>
    <t>BulanÄ±k</t>
  </si>
  <si>
    <t>MuÅŸ</t>
  </si>
  <si>
    <t>Bulancak</t>
  </si>
  <si>
    <t>Burhaniye</t>
  </si>
  <si>
    <t>Ceyhan</t>
  </si>
  <si>
    <t>Ceylanpä ± Nar</t>
  </si>
  <si>
    <t>CeylanpÄ±nar</t>
  </si>
  <si>
    <t>Cimin</t>
  </si>
  <si>
    <t>Erzincan</t>
  </si>
  <si>
    <t>Cizre</t>
  </si>
  <si>
    <t>DãRTYOL</t>
  </si>
  <si>
    <t>DÃ¶rtyol</t>
  </si>
  <si>
    <t>D ãzce</t>
  </si>
  <si>
    <t>Dalaman</t>
  </si>
  <si>
    <t>Darende</t>
  </si>
  <si>
    <t>Malatya</t>
  </si>
  <si>
    <t>Dargeér</t>
  </si>
  <si>
    <t>DargeÃ§it</t>
  </si>
  <si>
    <t>Mardin</t>
  </si>
  <si>
    <t>Demirci</t>
  </si>
  <si>
    <t>Denizciler</t>
  </si>
  <si>
    <t>Denizli</t>
  </si>
  <si>
    <t>Develi</t>
  </si>
  <si>
    <t>Kayseri</t>
  </si>
  <si>
    <t>Devrek</t>
  </si>
  <si>
    <t>Didim</t>
  </si>
  <si>
    <t>Dinar</t>
  </si>
  <si>
    <t>Diyadin</t>
  </si>
  <si>
    <t>Diyarbakä ± r</t>
  </si>
  <si>
    <t>Doäÿubayazä ± t</t>
  </si>
  <si>
    <t>DoÄŸubayazÄ±t</t>
  </si>
  <si>
    <t>Dursunbey</t>
  </si>
  <si>
    <t>Eäÿirdir</t>
  </si>
  <si>
    <t>EÄŸirdir</t>
  </si>
  <si>
    <t>Edirne</t>
  </si>
  <si>
    <t>Edremit</t>
  </si>
  <si>
    <t>Elazä ± äÿ</t>
  </si>
  <si>
    <t>Elbistão</t>
  </si>
  <si>
    <t>Elbistan</t>
  </si>
  <si>
    <t>Eletkirt</t>
  </si>
  <si>
    <t>EleÅŸkirt</t>
  </si>
  <si>
    <t>Elmadaäÿ</t>
  </si>
  <si>
    <t>ElmadaÄŸ</t>
  </si>
  <si>
    <t>Elmalä ±</t>
  </si>
  <si>
    <t>ElmalÄ±</t>
  </si>
  <si>
    <t>Emet</t>
  </si>
  <si>
    <t>KÃ¼tahya</t>
  </si>
  <si>
    <t>Emininnã</t>
  </si>
  <si>
    <t>EminÃ¶nÃ¼</t>
  </si>
  <si>
    <t>Emirdaäÿ</t>
  </si>
  <si>
    <t>EmirdaÄŸ</t>
  </si>
  <si>
    <t>Erbaa</t>
  </si>
  <si>
    <t>Tokat</t>
  </si>
  <si>
    <t>Erciåero</t>
  </si>
  <si>
    <t>ErciÅŸ</t>
  </si>
  <si>
    <t>Van</t>
  </si>
  <si>
    <t>Erdek</t>
  </si>
  <si>
    <t>Erdemli</t>
  </si>
  <si>
    <t>Ereäÿli</t>
  </si>
  <si>
    <t>EreÄŸli</t>
  </si>
  <si>
    <t>Ergani</t>
  </si>
  <si>
    <t>Ermenek</t>
  </si>
  <si>
    <t>Karaman</t>
  </si>
  <si>
    <t>Erzin</t>
  </si>
  <si>
    <t>Esenler</t>
  </si>
  <si>
    <t>Esenyurt</t>
  </si>
  <si>
    <t>Eskiåÿehir</t>
  </si>
  <si>
    <t>EskiÅŸehir</t>
  </si>
  <si>
    <t>Espiye</t>
  </si>
  <si>
    <t>Ezine</t>
  </si>
  <si>
    <t>Fatsa</t>
  </si>
  <si>
    <t>Ferizli</t>
  </si>
  <si>
    <t>Fethiye</t>
  </si>
  <si>
    <t>Foã§a</t>
  </si>
  <si>
    <t>FoÃ§a</t>
  </si>
  <si>
    <t>Gãksun</t>
  </si>
  <si>
    <t>GÃ¶ksun</t>
  </si>
  <si>
    <t>Gãlbaåÿä ±</t>
  </si>
  <si>
    <t>GÃ¶lbaÅŸÄ±</t>
  </si>
  <si>
    <t>Gãlcãk</t>
  </si>
  <si>
    <t>GÃ¶lcÃ¼k</t>
  </si>
  <si>
    <t>Gãnen</t>
  </si>
  <si>
    <t>GÃ¶nen</t>
  </si>
  <si>
    <t>Gãrele</t>
  </si>
  <si>
    <t>GÃ¶rele</t>
  </si>
  <si>
    <t>Merter de Gãngãren</t>
  </si>
  <si>
    <t>gÃ¼ngÃ¶ren merter</t>
  </si>
  <si>
    <t>GãRGENTEPE</t>
  </si>
  <si>
    <t>GÃ¼rgentepe</t>
  </si>
  <si>
    <t>Gãroymak</t>
  </si>
  <si>
    <t>GÃ¼roymak</t>
  </si>
  <si>
    <t>Gãrpä ± Nar</t>
  </si>
  <si>
    <t>GÃ¼rpÄ±nar</t>
  </si>
  <si>
    <t>Gãrsu</t>
  </si>
  <si>
    <t>GÃ¼rsu</t>
  </si>
  <si>
    <t>GaziantEp</t>
  </si>
  <si>
    <t>Gaziantep</t>
  </si>
  <si>
    <t>Gazipaåÿa</t>
  </si>
  <si>
    <t>GazipaÅŸa</t>
  </si>
  <si>
    <t>Gebze</t>
  </si>
  <si>
    <t>GEDIZ</t>
  </si>
  <si>
    <t>Gediz</t>
  </si>
  <si>
    <t>Gelibolu</t>
  </si>
  <si>
    <t>Gemerek</t>
  </si>
  <si>
    <t>Gemlik</t>
  </si>
  <si>
    <t>Gené</t>
  </si>
  <si>
    <t>GenÃ§</t>
  </si>
  <si>
    <t>GEREDE</t>
  </si>
  <si>
    <t>Gerede</t>
  </si>
  <si>
    <t>Geyve</t>
  </si>
  <si>
    <t>Gumushkhane</t>
  </si>
  <si>
    <t>GÃ¼mÃ¼ÅŸhane</t>
  </si>
  <si>
    <t>Hä ± nä ± s</t>
  </si>
  <si>
    <t>HÄ±nÄ±s</t>
  </si>
  <si>
    <t>Hacä ± lar</t>
  </si>
  <si>
    <t>HacÄ±lar</t>
  </si>
  <si>
    <t>Hadim</t>
  </si>
  <si>
    <t>Hakkari</t>
  </si>
  <si>
    <t>Havza</t>
  </si>
  <si>
    <t>Hayrabolu</t>
  </si>
  <si>
    <t>HENDEK</t>
  </si>
  <si>
    <t>Hendek</t>
  </si>
  <si>
    <t>Hilvan</t>
  </si>
  <si>
    <t>Hizan</t>
  </si>
  <si>
    <t>Hopa</t>
  </si>
  <si>
    <t>Horasan</t>
  </si>
  <si>
    <t>ISPARTA</t>
  </si>
  <si>
    <t>IÄŸdÄ±r</t>
  </si>
  <si>
    <t>K ¢ HTA</t>
  </si>
  <si>
    <t>KÃ¢hta</t>
  </si>
  <si>
    <t>Kä ± rä ± khan</t>
  </si>
  <si>
    <t>KÄ±rÄ±khan</t>
  </si>
  <si>
    <t>Kä ± rä ± kkale</t>
  </si>
  <si>
    <t>KÄ±rÄ±kkale</t>
  </si>
  <si>
    <t>Kä ± råÿehir</t>
  </si>
  <si>
    <t>KÄ±rÅŸehir</t>
  </si>
  <si>
    <t>Kä ± rkaäÿaã</t>
  </si>
  <si>
    <t>KÄ±rkaÄŸaÃ§</t>
  </si>
  <si>
    <t>Kä ± rklareli</t>
  </si>
  <si>
    <t>Kä ± Zä ± Lcahamam</t>
  </si>
  <si>
    <t>KÄ±zÄ±lcahamam</t>
  </si>
  <si>
    <t>Kä ± zä ± ltepe</t>
  </si>
  <si>
    <t>KÄ±zÄ±ltepe</t>
  </si>
  <si>
    <t>Kãrfez</t>
  </si>
  <si>
    <t>KÃ¶rfez</t>
  </si>
  <si>
    <t>Kütahya</t>
  </si>
  <si>
    <t>Kaäÿä ± zman</t>
  </si>
  <si>
    <t>KaÄŸÄ±zman</t>
  </si>
  <si>
    <t>Kars</t>
  </si>
  <si>
    <t>Kadä ± Nhanä ±</t>
  </si>
  <si>
    <t>KadÄ±nhanÄ±</t>
  </si>
  <si>
    <t>Kadirli</t>
  </si>
  <si>
    <t>Kahramanmaraåero</t>
  </si>
  <si>
    <t>Kaman</t>
  </si>
  <si>
    <t>Karaãban</t>
  </si>
  <si>
    <t>KaraÃ§oban</t>
  </si>
  <si>
    <t>Karabãk</t>
  </si>
  <si>
    <t>KarabÃ¼k</t>
  </si>
  <si>
    <t>Karabaäÿlar</t>
  </si>
  <si>
    <t>KarabaÄŸlar</t>
  </si>
  <si>
    <t>Karacabey</t>
  </si>
  <si>
    <t>Karakoãnan</t>
  </si>
  <si>
    <t>KarakoÃ§an</t>
  </si>
  <si>
    <t>Karamãrsel</t>
  </si>
  <si>
    <t>KaramÃ¼rsel</t>
  </si>
  <si>
    <t>Karapä ± NAR</t>
  </si>
  <si>
    <t>KarapÄ±nar</t>
  </si>
  <si>
    <t>Karasu</t>
  </si>
  <si>
    <t>Kastamonu</t>
  </si>
  <si>
    <t>Kavaklä ±</t>
  </si>
  <si>
    <t>KavaklÄ±</t>
  </si>
  <si>
    <t>Keåÿan</t>
  </si>
  <si>
    <t>KeÅŸan</t>
  </si>
  <si>
    <t>Kelkit</t>
  </si>
  <si>
    <t>Kemalpaåÿa</t>
  </si>
  <si>
    <t>KemalpaÅŸa</t>
  </si>
  <si>
    <t>Kemer</t>
  </si>
  <si>
    <t>Keskin</t>
  </si>
  <si>
    <t>Kestel</t>
  </si>
  <si>
    <t>Khanjarah</t>
  </si>
  <si>
    <t>Kilis</t>
  </si>
  <si>
    <t>Kocaali</t>
  </si>
  <si>
    <t>Korgan</t>
  </si>
  <si>
    <t>Korkuteli</t>
  </si>
  <si>
    <t>Kovancä ± lar</t>
  </si>
  <si>
    <t>KovancÄ±lar</t>
  </si>
  <si>
    <t>Kozan</t>
  </si>
  <si>
    <t>Kozluk</t>
  </si>
  <si>
    <t>Kuåÿadasä ±</t>
  </si>
  <si>
    <t>KuÅŸadasÄ±</t>
  </si>
  <si>
    <t>Kula</t>
  </si>
  <si>
    <t>Kulp</t>
  </si>
  <si>
    <t>Kumru</t>
  </si>
  <si>
    <t>Kurtalan</t>
  </si>
  <si>
    <t>Siirt</t>
  </si>
  <si>
    <t>Lãleburgaz</t>
  </si>
  <si>
    <t>LÃ¼leburgaz</t>
  </si>
  <si>
    <t>Piolhos</t>
  </si>
  <si>
    <t>Lice</t>
  </si>
  <si>
    <t>Mahmutlar</t>
  </si>
  <si>
    <t>Malazgirt</t>
  </si>
  <si>
    <t>Malkara</t>
  </si>
  <si>
    <t>Maltepe</t>
  </si>
  <si>
    <t>Manavgat</t>
  </si>
  <si>
    <t>Marmaris</t>
  </si>
  <si>
    <t>Menderes</t>
  </si>
  <si>
    <t>Menemen</t>
  </si>
  <si>
    <t>Mercin</t>
  </si>
  <si>
    <t>Merter KeresteCiler</t>
  </si>
  <si>
    <t>merter keresteciler</t>
  </si>
  <si>
    <t>Merzifon</t>
  </si>
  <si>
    <t>Midyat</t>
  </si>
  <si>
    <t>Milas</t>
  </si>
  <si>
    <t>Mimarsinan</t>
  </si>
  <si>
    <t>Muåero</t>
  </si>
  <si>
    <t>Muäÿla</t>
  </si>
  <si>
    <t>Mucur</t>
  </si>
  <si>
    <t>Mudanya</t>
  </si>
  <si>
    <t>MURATPABOLA</t>
  </si>
  <si>
    <t>MuratpaÅŸa</t>
  </si>
  <si>
    <t>Mustafakemalpaåÿa</t>
  </si>
  <si>
    <t>MustafakemalpaÅŸa</t>
  </si>
  <si>
    <t>Mut</t>
  </si>
  <si>
    <t>Nallä ± Han</t>
  </si>
  <si>
    <t>NallÄ±han</t>
  </si>
  <si>
    <t>Nazilli</t>
  </si>
  <si>
    <t>Nevåÿehir</t>
  </si>
  <si>
    <t>Niäÿde</t>
  </si>
  <si>
    <t>Niksar</t>
  </si>
  <si>
    <t>Nizip</t>
  </si>
  <si>
    <t>Nusaybin</t>
  </si>
  <si>
    <t>De</t>
  </si>
  <si>
    <t>Of</t>
  </si>
  <si>
    <t>Oltu</t>
  </si>
  <si>
    <t>ORDU</t>
  </si>
  <si>
    <t>Orhangazi</t>
  </si>
  <si>
    <t>Ortaca</t>
  </si>
  <si>
    <t>Ortakãy</t>
  </si>
  <si>
    <t>OrtakÃ¶y</t>
  </si>
  <si>
    <t>Osmancä ± k</t>
  </si>
  <si>
    <t>OsmancÄ±k</t>
  </si>
  <si>
    <t>Osmaneli</t>
  </si>
  <si>
    <t>Osmaniye</t>
  </si>
  <si>
    <t>Pasinler</t>
  </si>
  <si>
    <t>Patnos</t>
  </si>
  <si>
    <t>Pazarcä ± K.</t>
  </si>
  <si>
    <t>PazarcÄ±k</t>
  </si>
  <si>
    <t>Polatlä ±</t>
  </si>
  <si>
    <t>PolatlÄ±</t>
  </si>
  <si>
    <t>Reyhanlä ±</t>
  </si>
  <si>
    <t>ReyhanlÄ±</t>
  </si>
  <si>
    <t>SÃ¶ke</t>
  </si>
  <si>
    <t>Sürmene</t>
  </si>
  <si>
    <t>SÃ¼rmene</t>
  </si>
  <si>
    <t>Safranbolu</t>
  </si>
  <si>
    <t>Salihli</t>
  </si>
  <si>
    <t>Santaktepe</t>
  </si>
  <si>
    <t>Sancaktepe</t>
  </si>
  <si>
    <t>Sandä ± Klä ±</t>
  </si>
  <si>
    <t>SandÄ±klÄ±</t>
  </si>
  <si>
    <t>Sapanca</t>
  </si>
  <si>
    <t>Sarä ± Kamä ± Åutos</t>
  </si>
  <si>
    <t>SarÄ±kamÄ±ÅŸ</t>
  </si>
  <si>
    <t>Saraykãy</t>
  </si>
  <si>
    <t>SaraykÃ¶y</t>
  </si>
  <si>
    <t>Sarigerme</t>
  </si>
  <si>
    <t>Seferhisar</t>
  </si>
  <si>
    <t>Selã§uk</t>
  </si>
  <si>
    <t>SelÃ§uk</t>
  </si>
  <si>
    <t>Senirkent</t>
  </si>
  <si>
    <t>Serik</t>
  </si>
  <si>
    <t>Serinhisar</t>
  </si>
  <si>
    <t>Serinyol</t>
  </si>
  <si>
    <t>Seydiåÿehir</t>
  </si>
  <si>
    <t>SeydiÅŸehir</t>
  </si>
  <si>
    <t>Silifke</t>
  </si>
  <si>
    <t>Silivri</t>
  </si>
  <si>
    <t>Silopi</t>
  </si>
  <si>
    <t>Silvan</t>
  </si>
  <si>
    <t>Simav</t>
  </si>
  <si>
    <t>Siverek</t>
  </si>
  <si>
    <t>Solhan</t>
  </si>
  <si>
    <t>Soma</t>
  </si>
  <si>
    <t>Sorgun</t>
  </si>
  <si>
    <t>Suåÿehri</t>
  </si>
  <si>
    <t>SuÅŸehri</t>
  </si>
  <si>
    <t>Sultanbeyli</t>
  </si>
  <si>
    <t>Sultangazi</t>
  </si>
  <si>
    <t>Suluova</t>
  </si>
  <si>
    <t>Sungurlu</t>
  </si>
  <si>
    <t>Suavor</t>
  </si>
  <si>
    <t>SuruÃ§</t>
  </si>
  <si>
    <t>Susurluk</t>
  </si>
  <si>
    <t>Taåero</t>
  </si>
  <si>
    <t>TaÅŸkÃ¶prÃ¼</t>
  </si>
  <si>
    <t>Taåerova</t>
  </si>
  <si>
    <t>TaÅŸova</t>
  </si>
  <si>
    <t>Tarso</t>
  </si>
  <si>
    <t>Tarsus</t>
  </si>
  <si>
    <t>Tatvan</t>
  </si>
  <si>
    <t>Tavåÿanlä ±</t>
  </si>
  <si>
    <t>TavÅŸanlÄ±</t>
  </si>
  <si>
    <t>Tekirdaäÿ</t>
  </si>
  <si>
    <t>Tekirova</t>
  </si>
  <si>
    <t>Tekkekãy</t>
  </si>
  <si>
    <t>TekkekÃ¶y</t>
  </si>
  <si>
    <t>Tepecik</t>
  </si>
  <si>
    <t>Terme</t>
  </si>
  <si>
    <t>Tire</t>
  </si>
  <si>
    <t>Pneubolu</t>
  </si>
  <si>
    <t>Tirebolu</t>
  </si>
  <si>
    <t>Torbalä ±</t>
  </si>
  <si>
    <t>TorbalÄ±</t>
  </si>
  <si>
    <t>Tosya</t>
  </si>
  <si>
    <t>Tunceli</t>
  </si>
  <si>
    <t>Turgutlu</t>
  </si>
  <si>
    <t>Turgutreis</t>
  </si>
  <si>
    <t>Turhal</t>
  </si>
  <si>
    <t>Uåÿak</t>
  </si>
  <si>
    <t>Umraniye</t>
  </si>
  <si>
    <t>Urla</t>
  </si>
  <si>
    <t>Uzunkãpr prã</t>
  </si>
  <si>
    <t>UzunkÃ¶prÃ¼</t>
  </si>
  <si>
    <t>Vakfä ± kebir</t>
  </si>
  <si>
    <t>VakfÄ±kebir</t>
  </si>
  <si>
    <t>furgão</t>
  </si>
  <si>
    <t>Varto</t>
  </si>
  <si>
    <t>Vezirkãpr prã</t>
  </si>
  <si>
    <t>VezirkÃ¶prÃ¼</t>
  </si>
  <si>
    <t>Viranåÿehir</t>
  </si>
  <si>
    <t>ViranÅŸehir</t>
  </si>
  <si>
    <t>Yãksekova</t>
  </si>
  <si>
    <t>YÃ¼ksekova</t>
  </si>
  <si>
    <t>Yahyalä ±</t>
  </si>
  <si>
    <t>YahyalÄ±</t>
  </si>
  <si>
    <t>YakUplu</t>
  </si>
  <si>
    <t>Yakuplu</t>
  </si>
  <si>
    <t>Yalova</t>
  </si>
  <si>
    <t>Yalvaã</t>
  </si>
  <si>
    <t>YalvaÃ§</t>
  </si>
  <si>
    <t>Yataäÿan</t>
  </si>
  <si>
    <t>YataÄŸan</t>
  </si>
  <si>
    <t>Yeåÿilli</t>
  </si>
  <si>
    <t>YeÅŸilli</t>
  </si>
  <si>
    <t>Yeniåÿehir</t>
  </si>
  <si>
    <t>YeniÅŸehir</t>
  </si>
  <si>
    <t>Yerkãy</t>
  </si>
  <si>
    <t>YerkÃ¶y</t>
  </si>
  <si>
    <t>Yomra</t>
  </si>
  <si>
    <t>Zeytinburnu</t>
  </si>
  <si>
    <t>Zile</t>
  </si>
  <si>
    <t>Zonglúldak</t>
  </si>
  <si>
    <t>Turkmenistan</t>
  </si>
  <si>
    <t>Ahal</t>
  </si>
  <si>
    <t>Annau</t>
  </si>
  <si>
    <t>Ashgabat</t>
  </si>
  <si>
    <t>ATAMYRAT</t>
  </si>
  <si>
    <t>Atamyrat</t>
  </si>
  <si>
    <t>Lebap</t>
  </si>
  <si>
    <t>Baharly</t>
  </si>
  <si>
    <t>Balkanabat</t>
  </si>
  <si>
    <t>Balkan</t>
  </si>
  <si>
    <t>Bayramaly</t>
  </si>
  <si>
    <t>Mary</t>
  </si>
  <si>
    <t>Boldumsaz</t>
  </si>
  <si>
    <t>DaÅŸoguz</t>
  </si>
  <si>
    <t>Daåÿoguz</t>
  </si>
  <si>
    <t>Gazanjyk</t>
  </si>
  <si>
    <t>Gazojak</t>
  </si>
  <si>
    <t>Gowurdak</t>
  </si>
  <si>
    <t>Gumdag</t>
  </si>
  <si>
    <t>KãneNeãrgench</t>
  </si>
  <si>
    <t>KÃ¶neÃ¼rgench</t>
  </si>
  <si>
    <t>Kaka</t>
  </si>
  <si>
    <t>Saã ãat</t>
  </si>
  <si>
    <t>SaÃ½at</t>
  </si>
  <si>
    <t>Seydi</t>
  </si>
  <si>
    <t>TãRKMENABAT</t>
  </si>
  <si>
    <t>TÃ¼rkmenabat</t>
  </si>
  <si>
    <t>TãRKMENBAB</t>
  </si>
  <si>
    <t>TÃ¼rkmenbaÅŸy</t>
  </si>
  <si>
    <t>Tagta</t>
  </si>
  <si>
    <t>Tejen</t>
  </si>
  <si>
    <t>Yolãten</t>
  </si>
  <si>
    <t>YolÃ¶ten</t>
  </si>
  <si>
    <t>Yylanly</t>
  </si>
  <si>
    <t>Cidade de Cockburn</t>
  </si>
  <si>
    <t>Cockburn Town</t>
  </si>
  <si>
    <t>Turks and Caicos Islands</t>
  </si>
  <si>
    <t>FUNAFUTI</t>
  </si>
  <si>
    <t>Funafuti</t>
  </si>
  <si>
    <t>Tuvalu</t>
  </si>
  <si>
    <t>Charlotte Amalie</t>
  </si>
  <si>
    <t>U.S. Virgin Islands</t>
  </si>
  <si>
    <t>Saint Thomas Island</t>
  </si>
  <si>
    <t>Saint Croix</t>
  </si>
  <si>
    <t>Saint Croix Island</t>
  </si>
  <si>
    <t>Adjumani</t>
  </si>
  <si>
    <t>Uganda</t>
  </si>
  <si>
    <t>ARUA</t>
  </si>
  <si>
    <t>Arua</t>
  </si>
  <si>
    <t>Bugiri</t>
  </si>
  <si>
    <t>Bundibugyo</t>
  </si>
  <si>
    <t>BUSEMBATIA</t>
  </si>
  <si>
    <t>Busembatia</t>
  </si>
  <si>
    <t>Buwenge</t>
  </si>
  <si>
    <t>Bwizibwera</t>
  </si>
  <si>
    <t>Entebbe</t>
  </si>
  <si>
    <t>Portal de Fort</t>
  </si>
  <si>
    <t>Fort Portal</t>
  </si>
  <si>
    <t>Gulu</t>
  </si>
  <si>
    <t>Hoima</t>
  </si>
  <si>
    <t>Iganga</t>
  </si>
  <si>
    <t>Jinja</t>
  </si>
  <si>
    <t>Kabale</t>
  </si>
  <si>
    <t>Kampala</t>
  </si>
  <si>
    <t>Kamwenge</t>
  </si>
  <si>
    <t>Kasese</t>
  </si>
  <si>
    <t>Kayunga</t>
  </si>
  <si>
    <t>Kireka</t>
  </si>
  <si>
    <t>Kitgum</t>
  </si>
  <si>
    <t>Kotido</t>
  </si>
  <si>
    <t>Kyenjojo</t>
  </si>
  <si>
    <t>Lira</t>
  </si>
  <si>
    <t>Lugazi</t>
  </si>
  <si>
    <t>Luwero</t>
  </si>
  <si>
    <t>Masaka</t>
  </si>
  <si>
    <t>Masindi</t>
  </si>
  <si>
    <t>Mbarara</t>
  </si>
  <si>
    <t>Mityana</t>
  </si>
  <si>
    <t>Moyo</t>
  </si>
  <si>
    <t>Mubende</t>
  </si>
  <si>
    <t>Mukono</t>
  </si>
  <si>
    <t>Namasuba</t>
  </si>
  <si>
    <t>Nebbi</t>
  </si>
  <si>
    <t>Njeru</t>
  </si>
  <si>
    <t>Ntungamo</t>
  </si>
  <si>
    <t>Nyacera</t>
  </si>
  <si>
    <t>Nyachera</t>
  </si>
  <si>
    <t>Paidha</t>
  </si>
  <si>
    <t>Pallisa</t>
  </si>
  <si>
    <t>Soroti</t>
  </si>
  <si>
    <t>Tororo</t>
  </si>
  <si>
    <t>Wakiso</t>
  </si>
  <si>
    <t>Wobulenzi</t>
  </si>
  <si>
    <t>Yumbe</t>
  </si>
  <si>
    <t>Alchevs 'k</t>
  </si>
  <si>
    <t>Alchevsâ€™k</t>
  </si>
  <si>
    <t>Ukraine</t>
  </si>
  <si>
    <t>Luhansk</t>
  </si>
  <si>
    <t>Alushta</t>
  </si>
  <si>
    <t>Crimea</t>
  </si>
  <si>
    <t>Amvrosiyivka</t>
  </si>
  <si>
    <t>Antratsyt</t>
  </si>
  <si>
    <t>APOSTOLOVE</t>
  </si>
  <si>
    <t>Apostolove</t>
  </si>
  <si>
    <t>Dnipropetrovsk</t>
  </si>
  <si>
    <t>Exército 'k</t>
  </si>
  <si>
    <t>Armyansâ€™k</t>
  </si>
  <si>
    <t>Artemivs 'k</t>
  </si>
  <si>
    <t>Artemivsâ€™k</t>
  </si>
  <si>
    <t>Artsyz</t>
  </si>
  <si>
    <t>Odessa</t>
  </si>
  <si>
    <t>Avdiyivka</t>
  </si>
  <si>
    <t>BakhchySaray</t>
  </si>
  <si>
    <t>Bakhchysaray</t>
  </si>
  <si>
    <t>Bakhmach</t>
  </si>
  <si>
    <t>Chernihiv</t>
  </si>
  <si>
    <t>Balaklava</t>
  </si>
  <si>
    <t>Misto Sevastopolâ€™</t>
  </si>
  <si>
    <t>Balakliya</t>
  </si>
  <si>
    <t>Kharkiv</t>
  </si>
  <si>
    <t>Balta</t>
  </si>
  <si>
    <t>Vinnyts'ka</t>
  </si>
  <si>
    <t>Berdyans 'k</t>
  </si>
  <si>
    <t>Berdyansâ€™k</t>
  </si>
  <si>
    <t>Zaporizhia</t>
  </si>
  <si>
    <t>Berdychiv</t>
  </si>
  <si>
    <t>Zhytomyr</t>
  </si>
  <si>
    <t>Berehove</t>
  </si>
  <si>
    <t>Zakarpattia</t>
  </si>
  <si>
    <t>BILA TSERKVA</t>
  </si>
  <si>
    <t>Bila Tserkva</t>
  </si>
  <si>
    <t>Kiev</t>
  </si>
  <si>
    <t>Bilhorod-dnistrovs 'kyy</t>
  </si>
  <si>
    <t>Bilhorod-Dnistrovsâ€™kyy</t>
  </si>
  <si>
    <t>Bilohirs 'k</t>
  </si>
  <si>
    <t>Bilohirsâ€™k</t>
  </si>
  <si>
    <t>Bilopillya</t>
  </si>
  <si>
    <t>Sumy</t>
  </si>
  <si>
    <t>Bohodukhiv</t>
  </si>
  <si>
    <t>Bohuslav</t>
  </si>
  <si>
    <t>Bolhrad</t>
  </si>
  <si>
    <t>Boryslav</t>
  </si>
  <si>
    <t>Lviv</t>
  </si>
  <si>
    <t>Boryspilâ €</t>
  </si>
  <si>
    <t>Boryspilâ€™</t>
  </si>
  <si>
    <t>Boyarka</t>
  </si>
  <si>
    <t>Brody</t>
  </si>
  <si>
    <t>Brovary</t>
  </si>
  <si>
    <t>Bryanka</t>
  </si>
  <si>
    <t>BUCHA</t>
  </si>
  <si>
    <t>Bucha</t>
  </si>
  <si>
    <t>Cherkasy</t>
  </si>
  <si>
    <t>Chernivtsi</t>
  </si>
  <si>
    <t>Chervonohrad</t>
  </si>
  <si>
    <t>CERBOVONOPARTYZANS € ™ K</t>
  </si>
  <si>
    <t>Chervonopartyzansâ€™k</t>
  </si>
  <si>
    <t>Chortkiv</t>
  </si>
  <si>
    <t>Ternopil</t>
  </si>
  <si>
    <t>Chuhuyiv</t>
  </si>
  <si>
    <t>Ð¡ð »ð ° ð²ñƒñ¸ñ ‡ ‡</t>
  </si>
  <si>
    <t>Ð¡Ð»Ð°Ð²ÑƒÑ‚Ð¸Ñ‡</t>
  </si>
  <si>
    <t>Ð‘ðµñ € ðµðd ° ð½ð¸</t>
  </si>
  <si>
    <t>Ð‘ÐµÑ€ÐµÐ¶Ð°Ð½Ð¸</t>
  </si>
  <si>
    <t>Debal 'Tseve</t>
  </si>
  <si>
    <t>Debalâ€™tseve</t>
  </si>
  <si>
    <t>Derhachi</t>
  </si>
  <si>
    <t>Dniprodzerzhyns</t>
  </si>
  <si>
    <t>Dniprodzerzhynsâ€™k</t>
  </si>
  <si>
    <t>Dniprorudne</t>
  </si>
  <si>
    <t>Dobropillya</t>
  </si>
  <si>
    <t>Dokuchayevs 'k</t>
  </si>
  <si>
    <t>Dokuchayevsâ€™k</t>
  </si>
  <si>
    <t>Dolyna</t>
  </si>
  <si>
    <t>Ivano-Frankivsk</t>
  </si>
  <si>
    <t>Dolyns'ka</t>
  </si>
  <si>
    <t>Kirovohrad</t>
  </si>
  <si>
    <t>Drohobych</t>
  </si>
  <si>
    <t>Druzhkivka</t>
  </si>
  <si>
    <t>Dubno</t>
  </si>
  <si>
    <t>Rivne</t>
  </si>
  <si>
    <t>Dunaivtsi</t>
  </si>
  <si>
    <t>Khmelnytskyi</t>
  </si>
  <si>
    <t>Dymytrov</t>
  </si>
  <si>
    <t>Dzerzhyns 'k</t>
  </si>
  <si>
    <t>Dzerzhynsâ€™k</t>
  </si>
  <si>
    <t>Dzhankoy</t>
  </si>
  <si>
    <t>Energodar</t>
  </si>
  <si>
    <t>Fastiv</t>
  </si>
  <si>
    <t>Feodosiya</t>
  </si>
  <si>
    <t>Hadyach</t>
  </si>
  <si>
    <t>Poltava</t>
  </si>
  <si>
    <t>Haysyn</t>
  </si>
  <si>
    <t>Hayvoron</t>
  </si>
  <si>
    <t>Heniches 'k</t>
  </si>
  <si>
    <t>Henichesâ€™k</t>
  </si>
  <si>
    <t>Kherson</t>
  </si>
  <si>
    <t>Hlukhiv</t>
  </si>
  <si>
    <t>Hola Prystan '</t>
  </si>
  <si>
    <t>Hola Prystanâ€™</t>
  </si>
  <si>
    <t>Horlivka</t>
  </si>
  <si>
    <t>Horodok</t>
  </si>
  <si>
    <t>Horodysche</t>
  </si>
  <si>
    <t>Horodyshche</t>
  </si>
  <si>
    <t>Hulyaypole</t>
  </si>
  <si>
    <t>Illichivs 'k</t>
  </si>
  <si>
    <t>Illichivsâ€™k</t>
  </si>
  <si>
    <t>ILOVAYS -</t>
  </si>
  <si>
    <t>Ilovaysâ€™k</t>
  </si>
  <si>
    <t>Irpin</t>
  </si>
  <si>
    <t>Ivano-Frankivs 'K</t>
  </si>
  <si>
    <t>Ivano-Frankivsâ€™k</t>
  </si>
  <si>
    <t>Izmayil</t>
  </si>
  <si>
    <t>Izyaslav</t>
  </si>
  <si>
    <t>Izyum</t>
  </si>
  <si>
    <t>Kakhovka</t>
  </si>
  <si>
    <t>Kalush</t>
  </si>
  <si>
    <t>Kalynivka</t>
  </si>
  <si>
    <t>Kamieniec Podolski</t>
  </si>
  <si>
    <t>Kaniv</t>
  </si>
  <si>
    <t>Karlivka</t>
  </si>
  <si>
    <t>Kerch</t>
  </si>
  <si>
    <t>Khartsyzâ € k</t>
  </si>
  <si>
    <t>Khartsyzâ€™k</t>
  </si>
  <si>
    <t>Khmelâ € ™ NYTS - KYY</t>
  </si>
  <si>
    <t>Khmelâ€™nytsâ€™kyy</t>
  </si>
  <si>
    <t>Khmilâ € nyk</t>
  </si>
  <si>
    <t>Khmilâ€™nyk</t>
  </si>
  <si>
    <t>Khust</t>
  </si>
  <si>
    <t>Kyiv City</t>
  </si>
  <si>
    <t>Kiliya</t>
  </si>
  <si>
    <t>Kirovs 'k</t>
  </si>
  <si>
    <t>Kirovsâ€™k</t>
  </si>
  <si>
    <t>Kivertsi</t>
  </si>
  <si>
    <t>Volyn</t>
  </si>
  <si>
    <t>Kivsharivka</t>
  </si>
  <si>
    <t>Kolomyya</t>
  </si>
  <si>
    <t>Komsomol '</t>
  </si>
  <si>
    <t>Komsomolâ€™sâ€™ke</t>
  </si>
  <si>
    <t>Komsomolsk</t>
  </si>
  <si>
    <t>Konotop</t>
  </si>
  <si>
    <t>Korosten '</t>
  </si>
  <si>
    <t>Korostenâ€™</t>
  </si>
  <si>
    <t>Korostyshiv</t>
  </si>
  <si>
    <t>Korsun '-Shevchenkivs' Kyy</t>
  </si>
  <si>
    <t>Korsunâ€™-Shevchenkivsâ€™kyy</t>
  </si>
  <si>
    <t>Kostopil '</t>
  </si>
  <si>
    <t>Kostopilâ€™</t>
  </si>
  <si>
    <t>Kostyantynivka</t>
  </si>
  <si>
    <t>Kotovs 'k</t>
  </si>
  <si>
    <t>Kotovsâ€™k</t>
  </si>
  <si>
    <t>Kovel '</t>
  </si>
  <si>
    <t>Kovelâ€™</t>
  </si>
  <si>
    <t>Kozyatyn</t>
  </si>
  <si>
    <t>Kramators 'k</t>
  </si>
  <si>
    <t>Kramatorsâ€™k</t>
  </si>
  <si>
    <t>Krasnoarmiys 'k</t>
  </si>
  <si>
    <t>Krasnoarmiysâ€™k</t>
  </si>
  <si>
    <t>Krasnodon</t>
  </si>
  <si>
    <t>Krasnohrad</t>
  </si>
  <si>
    <t>Krasnoperekops 'k</t>
  </si>
  <si>
    <t>Krasnoperekopsâ€™k</t>
  </si>
  <si>
    <t>Krasnyy Luch</t>
  </si>
  <si>
    <t>Krasnyy Lyman</t>
  </si>
  <si>
    <t>Krasyliv</t>
  </si>
  <si>
    <t>Kremenchuk</t>
  </si>
  <si>
    <t>Kremenets '</t>
  </si>
  <si>
    <t>Kremenetsâ€™</t>
  </si>
  <si>
    <t>Kreminna</t>
  </si>
  <si>
    <t>KROLEVETS '</t>
  </si>
  <si>
    <t>Krolevetsâ€™</t>
  </si>
  <si>
    <t>Kryvyi Rih</t>
  </si>
  <si>
    <t>Kupjansk</t>
  </si>
  <si>
    <t>Kurakhovo</t>
  </si>
  <si>
    <t>Kuznetsovs 'k</t>
  </si>
  <si>
    <t>Kuznetsovsâ€™k</t>
  </si>
  <si>
    <t>Ladyzhyn</t>
  </si>
  <si>
    <t>Lebedyn</t>
  </si>
  <si>
    <t>Lozova</t>
  </si>
  <si>
    <t>Lubrificante</t>
  </si>
  <si>
    <t>Lubny</t>
  </si>
  <si>
    <t>Luts - k</t>
  </si>
  <si>
    <t>Lutsâ€™k</t>
  </si>
  <si>
    <t>Lutuhyne</t>
  </si>
  <si>
    <t>Lisícha -€ k</t>
  </si>
  <si>
    <t>Lysychansâ€™k</t>
  </si>
  <si>
    <t>Lyubotyn</t>
  </si>
  <si>
    <t>Makiyivka</t>
  </si>
  <si>
    <t>Malyn</t>
  </si>
  <si>
    <t>Maranelets</t>
  </si>
  <si>
    <t>Marhanetsâ€™</t>
  </si>
  <si>
    <t>Mariupol</t>
  </si>
  <si>
    <t>Melitopolâ €</t>
  </si>
  <si>
    <t>Melitopolâ€™</t>
  </si>
  <si>
    <t>Merefa</t>
  </si>
  <si>
    <t>Miskhor</t>
  </si>
  <si>
    <t>Mohyliv-Podilâ â € ™ Kyy</t>
  </si>
  <si>
    <t>Mohyliv-Podilâ€™sâ€™kyy</t>
  </si>
  <si>
    <t>Molodohvardiys 'k</t>
  </si>
  <si>
    <t>Molodohvardiysâ€™k</t>
  </si>
  <si>
    <t>Mukacheve</t>
  </si>
  <si>
    <t>Mykolayiv</t>
  </si>
  <si>
    <t>Mykolaiv</t>
  </si>
  <si>
    <t>Myrhorod</t>
  </si>
  <si>
    <t>Nadvirna</t>
  </si>
  <si>
    <t>Netishyn</t>
  </si>
  <si>
    <t>Nikopolâ €</t>
  </si>
  <si>
    <t>Nikopolâ€™</t>
  </si>
  <si>
    <t>Nizhyn</t>
  </si>
  <si>
    <t>Nosivka</t>
  </si>
  <si>
    <t>Nova Kakhovka</t>
  </si>
  <si>
    <t>Novohrad-volyns-Kyy</t>
  </si>
  <si>
    <t>Novohrad-Volynsâ€™kyy</t>
  </si>
  <si>
    <t>Novomoskovs 'k</t>
  </si>
  <si>
    <t>Novomoskovsâ€™k</t>
  </si>
  <si>
    <t>Novoukrayinka</t>
  </si>
  <si>
    <t>Novovolyns 'K</t>
  </si>
  <si>
    <t>Novovolynsâ€™k</t>
  </si>
  <si>
    <t>Novoy Savorivs'k</t>
  </si>
  <si>
    <t>Novoyavorivs'k</t>
  </si>
  <si>
    <t>Novyy Buh</t>
  </si>
  <si>
    <t>Nyzhnâ € ohirs 'kyy</t>
  </si>
  <si>
    <t>Nyzhnâ€™ohirsâ€™kyy</t>
  </si>
  <si>
    <t>Obukhiv</t>
  </si>
  <si>
    <t>Ochakiv</t>
  </si>
  <si>
    <t>Okhtyrka</t>
  </si>
  <si>
    <t>Oleksandriya</t>
  </si>
  <si>
    <t>Orikhiv</t>
  </si>
  <si>
    <t>Ovruch</t>
  </si>
  <si>
    <t>Pavlohrad</t>
  </si>
  <si>
    <t>Perevalâ € ™ K</t>
  </si>
  <si>
    <t>Perevalâ€™sâ€™k</t>
  </si>
  <si>
    <t>Pereyaslav-khmel-nyts 'kyy</t>
  </si>
  <si>
    <t>Pereyaslav-Khmelâ€™nytsâ€™kyy</t>
  </si>
  <si>
    <t>Pervomays 'k</t>
  </si>
  <si>
    <t>Pervomaysâ€™k</t>
  </si>
  <si>
    <t>PiTykhatky</t>
  </si>
  <si>
    <t>Piatykhatky</t>
  </si>
  <si>
    <t>Pidhorodne</t>
  </si>
  <si>
    <t>Polohy</t>
  </si>
  <si>
    <t>Polonne</t>
  </si>
  <si>
    <t>Popasna</t>
  </si>
  <si>
    <t>Pryluky</t>
  </si>
  <si>
    <t>Putyvlâ €</t>
  </si>
  <si>
    <t>Putyvlâ€™</t>
  </si>
  <si>
    <t>Pyryatyn</t>
  </si>
  <si>
    <t>Radomyshlâ €</t>
  </si>
  <si>
    <t>Radomyshlâ€™</t>
  </si>
  <si>
    <t>Reni</t>
  </si>
  <si>
    <t>Romny</t>
  </si>
  <si>
    <t>ROVEN - KY</t>
  </si>
  <si>
    <t>Rovenâ€™ky</t>
  </si>
  <si>
    <t>Rozdilâ € ™ na</t>
  </si>
  <si>
    <t>Rozdilâ€™na</t>
  </si>
  <si>
    <t>Rubizhne</t>
  </si>
  <si>
    <t>Saky</t>
  </si>
  <si>
    <t>Sambir</t>
  </si>
  <si>
    <t>Sarny</t>
  </si>
  <si>
    <t>Selydove</t>
  </si>
  <si>
    <t>Sevastopol</t>
  </si>
  <si>
    <t>Shakhtars 'K</t>
  </si>
  <si>
    <t>Shakhtarsâ€™k</t>
  </si>
  <si>
    <t>Shepetivka</t>
  </si>
  <si>
    <t>Shostka</t>
  </si>
  <si>
    <t>Shpola</t>
  </si>
  <si>
    <t>Simferopol</t>
  </si>
  <si>
    <t>Skadovs 'k</t>
  </si>
  <si>
    <t>Skadovsâ€™k</t>
  </si>
  <si>
    <t>Skvyra</t>
  </si>
  <si>
    <t>Slavuta</t>
  </si>
  <si>
    <t>Esloviansk</t>
  </si>
  <si>
    <t>Sloviansk</t>
  </si>
  <si>
    <t>Smila</t>
  </si>
  <si>
    <t>Snizhne</t>
  </si>
  <si>
    <t>Sokal '</t>
  </si>
  <si>
    <t>Sokalâ€™</t>
  </si>
  <si>
    <t>Stakhanov</t>
  </si>
  <si>
    <t>Starobil '</t>
  </si>
  <si>
    <t>Starobilâ€™sâ€™k</t>
  </si>
  <si>
    <t>Starokostyantyniv</t>
  </si>
  <si>
    <t>Stebnyk</t>
  </si>
  <si>
    <t>Stryi</t>
  </si>
  <si>
    <t>Svalyava</t>
  </si>
  <si>
    <t>Svatove</t>
  </si>
  <si>
    <t>Sverdlovs 'k</t>
  </si>
  <si>
    <t>Sverdlovsâ€™k</t>
  </si>
  <si>
    <t>Svitlovods 'k</t>
  </si>
  <si>
    <t>Svitlovodsâ€™k</t>
  </si>
  <si>
    <t>Syevyerodonets 'k</t>
  </si>
  <si>
    <t>Syevyerodonetsâ€™k</t>
  </si>
  <si>
    <t>Synel 'Nykove</t>
  </si>
  <si>
    <t>Synelâ€™nykove</t>
  </si>
  <si>
    <t>Tal 'ne</t>
  </si>
  <si>
    <t>Talâ€™ne</t>
  </si>
  <si>
    <t>Ternopilâ €</t>
  </si>
  <si>
    <t>Ternopilâ€™</t>
  </si>
  <si>
    <t>Tokmak</t>
  </si>
  <si>
    <t>Torez</t>
  </si>
  <si>
    <t>Truskavets</t>
  </si>
  <si>
    <t>Tsyurupyns 'k</t>
  </si>
  <si>
    <t>Tsyurupynsâ€™k</t>
  </si>
  <si>
    <t>Tul't Chyn</t>
  </si>
  <si>
    <t>Tulâ€™chyn</t>
  </si>
  <si>
    <t>UMAN â €</t>
  </si>
  <si>
    <t>Umanâ€™</t>
  </si>
  <si>
    <t>Uzhhhorod</t>
  </si>
  <si>
    <t>Uzhhorod</t>
  </si>
  <si>
    <t>Vasylivka</t>
  </si>
  <si>
    <t>Vasilkiv</t>
  </si>
  <si>
    <t>Vasylkiv</t>
  </si>
  <si>
    <t>Vatutine</t>
  </si>
  <si>
    <t>Vinnytsya</t>
  </si>
  <si>
    <t>Volnovakha</t>
  </si>
  <si>
    <t>Volodymyr-Volyns-Kyy</t>
  </si>
  <si>
    <t>Volodymyr-Volynsâ€™kyy</t>
  </si>
  <si>
    <t>Vovchans 'K</t>
  </si>
  <si>
    <t>Vovchansâ€™k</t>
  </si>
  <si>
    <t>Voznesensk</t>
  </si>
  <si>
    <t>Vynohradiv</t>
  </si>
  <si>
    <t>Vyshhorod</t>
  </si>
  <si>
    <t>Vyshneve</t>
  </si>
  <si>
    <t>Yahotyn</t>
  </si>
  <si>
    <t>Yalta</t>
  </si>
  <si>
    <t>Yasynuvata</t>
  </si>
  <si>
    <t>Yenakiyeve</t>
  </si>
  <si>
    <t>Yevpatoriya</t>
  </si>
  <si>
    <t>Yuzhne</t>
  </si>
  <si>
    <t>Yuzhnoukrains'k</t>
  </si>
  <si>
    <t>Zaporizhzhya</t>
  </si>
  <si>
    <t>Zdolbuniv</t>
  </si>
  <si>
    <t>Zhashkiv</t>
  </si>
  <si>
    <t>Zhmerynka</t>
  </si>
  <si>
    <t>Zhovti Vody</t>
  </si>
  <si>
    <t>Zmiyiv</t>
  </si>
  <si>
    <t>Znomenka</t>
  </si>
  <si>
    <t>Zolochiv</t>
  </si>
  <si>
    <t>Zolotonosha</t>
  </si>
  <si>
    <t>Zuhres</t>
  </si>
  <si>
    <t>Zvenyhorodka</t>
  </si>
  <si>
    <t>Abu Dhabi</t>
  </si>
  <si>
    <t>United Arab Emirates</t>
  </si>
  <si>
    <t>ADH DHAYD</t>
  </si>
  <si>
    <t>Adh Dhayd</t>
  </si>
  <si>
    <t>Ash ShÄriqah</t>
  </si>
  <si>
    <t>Ajman</t>
  </si>
  <si>
    <t>Al Ain</t>
  </si>
  <si>
    <t>Al Fujayrah</t>
  </si>
  <si>
    <t>Ar ruways</t>
  </si>
  <si>
    <t>Ar Ruways</t>
  </si>
  <si>
    <t>Dibba al-Fujairah</t>
  </si>
  <si>
    <t>Dibba Al-Fujairah</t>
  </si>
  <si>
    <t>Dibba al-Hisn</t>
  </si>
  <si>
    <t>Dibba Al-Hisn</t>
  </si>
  <si>
    <t>Dubai</t>
  </si>
  <si>
    <t>Khawr Fakkä n</t>
  </si>
  <si>
    <t>Khawr FakkÄn</t>
  </si>
  <si>
    <t>Ras al-Khaimah</t>
  </si>
  <si>
    <t>RaÊ¼s al Khaymah</t>
  </si>
  <si>
    <t>Sharjah</t>
  </si>
  <si>
    <t>Umm al Qaywayn</t>
  </si>
  <si>
    <t>Aberdare</t>
  </si>
  <si>
    <t>United Kingdom</t>
  </si>
  <si>
    <t>Wales</t>
  </si>
  <si>
    <t>Aberdeen</t>
  </si>
  <si>
    <t>Scotland</t>
  </si>
  <si>
    <t>Abergele</t>
  </si>
  <si>
    <t>Aberystwyth</t>
  </si>
  <si>
    <t>Abingdon</t>
  </si>
  <si>
    <t>England</t>
  </si>
  <si>
    <t>Accrington</t>
  </si>
  <si>
    <t>Acocks verde</t>
  </si>
  <si>
    <t>Acocks Green</t>
  </si>
  <si>
    <t>Agir sobre</t>
  </si>
  <si>
    <t>Acton</t>
  </si>
  <si>
    <t>Aldershot</t>
  </si>
  <si>
    <t>Aldridge</t>
  </si>
  <si>
    <t>Alfreton</t>
  </si>
  <si>
    <t>Alloa</t>
  </si>
  <si>
    <t>Alton</t>
  </si>
  <si>
    <t>Altrincham</t>
  </si>
  <si>
    <t>Amersham</t>
  </si>
  <si>
    <t>Amersham na colina</t>
  </si>
  <si>
    <t>Amersham on the Hill</t>
  </si>
  <si>
    <t>E acabou</t>
  </si>
  <si>
    <t>Andover</t>
  </si>
  <si>
    <t>Antrim</t>
  </si>
  <si>
    <t>Northern Ireland</t>
  </si>
  <si>
    <t>Arbroath</t>
  </si>
  <si>
    <t>Arnold</t>
  </si>
  <si>
    <t>Ascot</t>
  </si>
  <si>
    <t>Ashford</t>
  </si>
  <si>
    <t>Ashton em Makerfield</t>
  </si>
  <si>
    <t>Ashton in Makerfield</t>
  </si>
  <si>
    <t>Ashton-under-Lyne</t>
  </si>
  <si>
    <t>Atherton</t>
  </si>
  <si>
    <t>Aylesbury</t>
  </si>
  <si>
    <t>Ayr</t>
  </si>
  <si>
    <t>Baildon</t>
  </si>
  <si>
    <t>Ballymena</t>
  </si>
  <si>
    <t>Banbridge</t>
  </si>
  <si>
    <t>Banbury</t>
  </si>
  <si>
    <t>Bangor</t>
  </si>
  <si>
    <t>Banstead</t>
  </si>
  <si>
    <t>Latidos</t>
  </si>
  <si>
    <t>Barking</t>
  </si>
  <si>
    <t>Barnet</t>
  </si>
  <si>
    <t>Barnsley</t>
  </si>
  <si>
    <t>Barnstaple</t>
  </si>
  <si>
    <t>Barrhead</t>
  </si>
  <si>
    <t>Barrow em Furness</t>
  </si>
  <si>
    <t>Barrow in Furness</t>
  </si>
  <si>
    <t>Barry</t>
  </si>
  <si>
    <t>Bartley Green</t>
  </si>
  <si>
    <t>Basildon</t>
  </si>
  <si>
    <t>Basingstoke</t>
  </si>
  <si>
    <t>Banho</t>
  </si>
  <si>
    <t>Bath</t>
  </si>
  <si>
    <t>Bathgate</t>
  </si>
  <si>
    <t>Batley</t>
  </si>
  <si>
    <t>Battersea</t>
  </si>
  <si>
    <t>Bayswater</t>
  </si>
  <si>
    <t>Bearsden</t>
  </si>
  <si>
    <t>Bebington</t>
  </si>
  <si>
    <t>Beckenham</t>
  </si>
  <si>
    <t>Becontree</t>
  </si>
  <si>
    <t>Bedford</t>
  </si>
  <si>
    <t>Bedlington</t>
  </si>
  <si>
    <t>Bedworth</t>
  </si>
  <si>
    <t>Belfast</t>
  </si>
  <si>
    <t>Bellshill</t>
  </si>
  <si>
    <t>Belper</t>
  </si>
  <si>
    <t>Bentley</t>
  </si>
  <si>
    <t>Berkhamsted</t>
  </si>
  <si>
    <t>Berwick-upon-Tweed</t>
  </si>
  <si>
    <t>Berwick-Upon-Tweed</t>
  </si>
  <si>
    <t>Bethnal Green</t>
  </si>
  <si>
    <t>Beverley</t>
  </si>
  <si>
    <t>Bexhill-on-Sea</t>
  </si>
  <si>
    <t>Bexley</t>
  </si>
  <si>
    <t>Bicester</t>
  </si>
  <si>
    <t>Biddulph</t>
  </si>
  <si>
    <t>Bideford</t>
  </si>
  <si>
    <t>Biggleswade</t>
  </si>
  <si>
    <t>Billericay</t>
  </si>
  <si>
    <t>Billingham</t>
  </si>
  <si>
    <t>Bingley</t>
  </si>
  <si>
    <t>Birkenhead</t>
  </si>
  <si>
    <t>Birmingham</t>
  </si>
  <si>
    <t>Bispo Auckland</t>
  </si>
  <si>
    <t>Bishop Auckland</t>
  </si>
  <si>
    <t>Bishopbriggs</t>
  </si>
  <si>
    <t>Bispos Stortford</t>
  </si>
  <si>
    <t>Bishops Stortford</t>
  </si>
  <si>
    <t>Bishopstoke</t>
  </si>
  <si>
    <t>Chama Negra</t>
  </si>
  <si>
    <t>Blackburn</t>
  </si>
  <si>
    <t>Blackheath</t>
  </si>
  <si>
    <t>Blackpool</t>
  </si>
  <si>
    <t>Madeira preta</t>
  </si>
  <si>
    <t>Blackwood</t>
  </si>
  <si>
    <t>Bletchley</t>
  </si>
  <si>
    <t>Bloxwich</t>
  </si>
  <si>
    <t>Blyth</t>
  </si>
  <si>
    <t>Bognor Regis</t>
  </si>
  <si>
    <t>Bolton</t>
  </si>
  <si>
    <t>Botle</t>
  </si>
  <si>
    <t>Bootle</t>
  </si>
  <si>
    <t>Borehamwood</t>
  </si>
  <si>
    <t>Boston</t>
  </si>
  <si>
    <t>Bournemouth</t>
  </si>
  <si>
    <t>Bowthorpe</t>
  </si>
  <si>
    <t>Bracknell</t>
  </si>
  <si>
    <t>Bradford</t>
  </si>
  <si>
    <t>Braintree</t>
  </si>
  <si>
    <t>Bramhall</t>
  </si>
  <si>
    <t>Bredbury</t>
  </si>
  <si>
    <t>Brentwood</t>
  </si>
  <si>
    <t>Bridgend</t>
  </si>
  <si>
    <t>Bridgwater</t>
  </si>
  <si>
    <t>Bridlington</t>
  </si>
  <si>
    <t>Brierley Hill</t>
  </si>
  <si>
    <t>Brighouse</t>
  </si>
  <si>
    <t>Brighton</t>
  </si>
  <si>
    <t>Bristol</t>
  </si>
  <si>
    <t>Ferry britânico</t>
  </si>
  <si>
    <t>Briton Ferry</t>
  </si>
  <si>
    <t>Brixham</t>
  </si>
  <si>
    <t>Brixton</t>
  </si>
  <si>
    <t>Broadstairs</t>
  </si>
  <si>
    <t>Bromsgrove</t>
  </si>
  <si>
    <t>Brownhills</t>
  </si>
  <si>
    <t>BRMYBO</t>
  </si>
  <si>
    <t>Brymbo</t>
  </si>
  <si>
    <t>Buckhaven</t>
  </si>
  <si>
    <t>Buckley</t>
  </si>
  <si>
    <t>Burgess Hill</t>
  </si>
  <si>
    <t>Burnham-on-Sea</t>
  </si>
  <si>
    <t>Burnley</t>
  </si>
  <si>
    <t>Burntwood</t>
  </si>
  <si>
    <t>Burton em Trent</t>
  </si>
  <si>
    <t>Burton upon Trent</t>
  </si>
  <si>
    <t>Enterrar</t>
  </si>
  <si>
    <t>Bury</t>
  </si>
  <si>
    <t>Bury St Edmunds</t>
  </si>
  <si>
    <t>Bushey</t>
  </si>
  <si>
    <t>Buxton</t>
  </si>
  <si>
    <t>Caerphilly</t>
  </si>
  <si>
    <t>Camberley</t>
  </si>
  <si>
    <t>Camborne</t>
  </si>
  <si>
    <t>Cidade de Camden</t>
  </si>
  <si>
    <t>Camden Town</t>
  </si>
  <si>
    <t>Canary Wharf</t>
  </si>
  <si>
    <t>Cannock</t>
  </si>
  <si>
    <t>Cardiff</t>
  </si>
  <si>
    <t>Carlisle</t>
  </si>
  <si>
    <t>Carmarthen</t>
  </si>
  <si>
    <t>Carrickfergus</t>
  </si>
  <si>
    <t>Carshalton</t>
  </si>
  <si>
    <t>Castleford</t>
  </si>
  <si>
    <t>Castlereagh</t>
  </si>
  <si>
    <t>Caterham</t>
  </si>
  <si>
    <t>Chalfont Saint Peter</t>
  </si>
  <si>
    <t>Chapel Allerton</t>
  </si>
  <si>
    <t>Chapletown</t>
  </si>
  <si>
    <t>Chatham</t>
  </si>
  <si>
    <t>Cheadle hulme</t>
  </si>
  <si>
    <t>Cheadle Hulme</t>
  </si>
  <si>
    <t>Chelmsford</t>
  </si>
  <si>
    <t>Chelsea</t>
  </si>
  <si>
    <t>Chesham</t>
  </si>
  <si>
    <t>Cheshunt</t>
  </si>
  <si>
    <t>Chessington</t>
  </si>
  <si>
    <t>Chester</t>
  </si>
  <si>
    <t>Chesterfield</t>
  </si>
  <si>
    <t>Chester-le-street</t>
  </si>
  <si>
    <t>Chester-le-Street</t>
  </si>
  <si>
    <t>Chichester</t>
  </si>
  <si>
    <t>Chippenham</t>
  </si>
  <si>
    <t>Lascando Sodbury</t>
  </si>
  <si>
    <t>Chipping Sodbury</t>
  </si>
  <si>
    <t>Chislehurst</t>
  </si>
  <si>
    <t>Chorley</t>
  </si>
  <si>
    <t>Cirencester</t>
  </si>
  <si>
    <t>Cidade de Londres</t>
  </si>
  <si>
    <t>City of London</t>
  </si>
  <si>
    <t>Clacton-on-Sea</t>
  </si>
  <si>
    <t>Cleckheaton</t>
  </si>
  <si>
    <t>Cleethorpes</t>
  </si>
  <si>
    <t>Clevedon</t>
  </si>
  <si>
    <t>Clitheroe</t>
  </si>
  <si>
    <t>Clydach</t>
  </si>
  <si>
    <t>Clydebank</t>
  </si>
  <si>
    <t>Coalville</t>
  </si>
  <si>
    <t>Cowes</t>
  </si>
  <si>
    <t>Isle of Wight</t>
  </si>
  <si>
    <t>Coatbridge</t>
  </si>
  <si>
    <t>Cobham</t>
  </si>
  <si>
    <t>Coity</t>
  </si>
  <si>
    <t>Craigavon</t>
  </si>
  <si>
    <t>Crosby</t>
  </si>
  <si>
    <t>Deeside</t>
  </si>
  <si>
    <t>Derry</t>
  </si>
  <si>
    <t>Earlsfield</t>
  </si>
  <si>
    <t>Erskine</t>
  </si>
  <si>
    <t>Ewell</t>
  </si>
  <si>
    <t>Failsworth</t>
  </si>
  <si>
    <t>Ferndown</t>
  </si>
  <si>
    <t>Hadley Wood</t>
  </si>
  <si>
    <t>Hale</t>
  </si>
  <si>
    <t>Harringay</t>
  </si>
  <si>
    <t>Ilha de Hayling</t>
  </si>
  <si>
    <t>Hayling Island</t>
  </si>
  <si>
    <t>Heavitree</t>
  </si>
  <si>
    <t>Endurecer</t>
  </si>
  <si>
    <t>Hedge End</t>
  </si>
  <si>
    <t>Heywood</t>
  </si>
  <si>
    <t>Pico alto</t>
  </si>
  <si>
    <t>High Peak</t>
  </si>
  <si>
    <t>Holloway</t>
  </si>
  <si>
    <t>Hornchurch</t>
  </si>
  <si>
    <t>casco</t>
  </si>
  <si>
    <t>Hull</t>
  </si>
  <si>
    <t>Irvine</t>
  </si>
  <si>
    <t>Ilha de Lewis</t>
  </si>
  <si>
    <t>Isle of Lewis</t>
  </si>
  <si>
    <t>Isleworth</t>
  </si>
  <si>
    <t>Islington</t>
  </si>
  <si>
    <t>Jarrow</t>
  </si>
  <si>
    <t>Johnstone</t>
  </si>
  <si>
    <t>Keighley</t>
  </si>
  <si>
    <t>Kempston</t>
  </si>
  <si>
    <t>Kempston Hardwick</t>
  </si>
  <si>
    <t>Kendal</t>
  </si>
  <si>
    <t>Kenilworth</t>
  </si>
  <si>
    <t>Kettering</t>
  </si>
  <si>
    <t>Keynsham</t>
  </si>
  <si>
    <t>Kidderminster</t>
  </si>
  <si>
    <t>Kidlington</t>
  </si>
  <si>
    <t>Kidsgrove</t>
  </si>
  <si>
    <t>Kilmarnock</t>
  </si>
  <si>
    <t>Kilwinning</t>
  </si>
  <si>
    <t>King's Lynn</t>
  </si>
  <si>
    <t>Kingswinford</t>
  </si>
  <si>
    <t>Kingswood</t>
  </si>
  <si>
    <t>Kirkby</t>
  </si>
  <si>
    <t>Kirkby em Ashfield</t>
  </si>
  <si>
    <t>Kirkby in Ashfield</t>
  </si>
  <si>
    <t>Kirkcaldy</t>
  </si>
  <si>
    <t>Kirkintilloch</t>
  </si>
  <si>
    <t>Lancaster</t>
  </si>
  <si>
    <t>Lancing</t>
  </si>
  <si>
    <t>Larkhall</t>
  </si>
  <si>
    <t>Larne</t>
  </si>
  <si>
    <t>Leatherhead</t>
  </si>
  <si>
    <t>Leeds</t>
  </si>
  <si>
    <t>Leicester</t>
  </si>
  <si>
    <t>Leigh</t>
  </si>
  <si>
    <t>Leighton Buzzard</t>
  </si>
  <si>
    <t>Letchworth</t>
  </si>
  <si>
    <t>Letchworth Garden City</t>
  </si>
  <si>
    <t>Lewes</t>
  </si>
  <si>
    <t>Leyland</t>
  </si>
  <si>
    <t>Lichfield</t>
  </si>
  <si>
    <t>Lisburn</t>
  </si>
  <si>
    <t>Litherland</t>
  </si>
  <si>
    <t>Littlehampton</t>
  </si>
  <si>
    <t>Livingston</t>
  </si>
  <si>
    <t>Llandudno</t>
  </si>
  <si>
    <t>Llanelli</t>
  </si>
  <si>
    <t>Lofthouse</t>
  </si>
  <si>
    <t>Londonderry County Borough</t>
  </si>
  <si>
    <t>Long Eaton</t>
  </si>
  <si>
    <t>Longfield</t>
  </si>
  <si>
    <t>Longsight</t>
  </si>
  <si>
    <t>Loughborough</t>
  </si>
  <si>
    <t>Louth</t>
  </si>
  <si>
    <t>Inferior Earley</t>
  </si>
  <si>
    <t>Lower Earley</t>
  </si>
  <si>
    <t>Lowestoft</t>
  </si>
  <si>
    <t>Luton</t>
  </si>
  <si>
    <t>Lytham St Annes</t>
  </si>
  <si>
    <t>Macclesfield</t>
  </si>
  <si>
    <t>Maesteg</t>
  </si>
  <si>
    <t>Maghull</t>
  </si>
  <si>
    <t>Virgindade</t>
  </si>
  <si>
    <t>Maidenhead</t>
  </si>
  <si>
    <t>Maidstone</t>
  </si>
  <si>
    <t>Maldon</t>
  </si>
  <si>
    <t>Maltby</t>
  </si>
  <si>
    <t>Mangotsfield</t>
  </si>
  <si>
    <t>Mansfield</t>
  </si>
  <si>
    <t>Mansfield Woodhouse</t>
  </si>
  <si>
    <t>Marchar</t>
  </si>
  <si>
    <t>March</t>
  </si>
  <si>
    <t>Market Harborough</t>
  </si>
  <si>
    <t>Marlow</t>
  </si>
  <si>
    <t>Marple</t>
  </si>
  <si>
    <t>Melton Mowbray</t>
  </si>
  <si>
    <t>Mendip</t>
  </si>
  <si>
    <t>Merthyr Tydfil</t>
  </si>
  <si>
    <t>MEXBOROUGH</t>
  </si>
  <si>
    <t>Mexborough</t>
  </si>
  <si>
    <t>Middlesbrough</t>
  </si>
  <si>
    <t>Middleton</t>
  </si>
  <si>
    <t>Milton Keynes</t>
  </si>
  <si>
    <t>Mirfield</t>
  </si>
  <si>
    <t>Mitcham</t>
  </si>
  <si>
    <t>Morecambe</t>
  </si>
  <si>
    <t>Moreton</t>
  </si>
  <si>
    <t>Morley</t>
  </si>
  <si>
    <t>Motherwell</t>
  </si>
  <si>
    <t>Musselburgh</t>
  </si>
  <si>
    <t>Nailsea</t>
  </si>
  <si>
    <t>Neath</t>
  </si>
  <si>
    <t>Neston</t>
  </si>
  <si>
    <t>Novo malden</t>
  </si>
  <si>
    <t>New Malden</t>
  </si>
  <si>
    <t>New Milton</t>
  </si>
  <si>
    <t>Newark em Trent</t>
  </si>
  <si>
    <t>Newark on Trent</t>
  </si>
  <si>
    <t>Newburn</t>
  </si>
  <si>
    <t>Newbury</t>
  </si>
  <si>
    <t>Newcastle sob Lyme</t>
  </si>
  <si>
    <t>Newcastle under Lyme</t>
  </si>
  <si>
    <t>Newcastle sobre Tyne</t>
  </si>
  <si>
    <t>Newcastle upon Tyne</t>
  </si>
  <si>
    <t>Newport</t>
  </si>
  <si>
    <t>Newport Pagnell</t>
  </si>
  <si>
    <t>Newquay</t>
  </si>
  <si>
    <t>Newry</t>
  </si>
  <si>
    <t>Newton Abbot</t>
  </si>
  <si>
    <t>Newton Aycliffe</t>
  </si>
  <si>
    <t>Newton Mearns</t>
  </si>
  <si>
    <t>Newton-le-Willows</t>
  </si>
  <si>
    <t>Newtownabbey</t>
  </si>
  <si>
    <t>Newtowards</t>
  </si>
  <si>
    <t>Newtownards</t>
  </si>
  <si>
    <t>North Shields</t>
  </si>
  <si>
    <t>Northallerton</t>
  </si>
  <si>
    <t>Northampton</t>
  </si>
  <si>
    <t>Northolt</t>
  </si>
  <si>
    <t>Northwich</t>
  </si>
  <si>
    <t>Norwich</t>
  </si>
  <si>
    <t>Nottingham</t>
  </si>
  <si>
    <t>Nuneaton</t>
  </si>
  <si>
    <t>Oadby</t>
  </si>
  <si>
    <t>Oldham</t>
  </si>
  <si>
    <t>Omagh</t>
  </si>
  <si>
    <t>Ormskirk</t>
  </si>
  <si>
    <t>Orpington</t>
  </si>
  <si>
    <t>OSSETT</t>
  </si>
  <si>
    <t>Ossett</t>
  </si>
  <si>
    <t>Oswestry</t>
  </si>
  <si>
    <t>Oxford</t>
  </si>
  <si>
    <t>PAIGNON</t>
  </si>
  <si>
    <t>Paignton</t>
  </si>
  <si>
    <t>Paisley</t>
  </si>
  <si>
    <t>Penarth</t>
  </si>
  <si>
    <t>Penicuik</t>
  </si>
  <si>
    <t>Penzance</t>
  </si>
  <si>
    <t>Peterhead</t>
  </si>
  <si>
    <t>Peterlee</t>
  </si>
  <si>
    <t>Pinner</t>
  </si>
  <si>
    <t>Pitsea</t>
  </si>
  <si>
    <t>Plymstock</t>
  </si>
  <si>
    <t>Polmont</t>
  </si>
  <si>
    <t>Pontefract</t>
  </si>
  <si>
    <t>Pontypool</t>
  </si>
  <si>
    <t>Pontypridd</t>
  </si>
  <si>
    <t>Poole</t>
  </si>
  <si>
    <t>Port Glasgow</t>
  </si>
  <si>
    <t>Portadown</t>
  </si>
  <si>
    <t>Porthcawl</t>
  </si>
  <si>
    <t>Portishead</t>
  </si>
  <si>
    <t>Portslade</t>
  </si>
  <si>
    <t>Portsmouth</t>
  </si>
  <si>
    <t>Potters bar</t>
  </si>
  <si>
    <t>Potters Bar</t>
  </si>
  <si>
    <t>POULTON LE FYLDE</t>
  </si>
  <si>
    <t>Poulton le Fylde</t>
  </si>
  <si>
    <t>Prescot</t>
  </si>
  <si>
    <t>Prestatyn</t>
  </si>
  <si>
    <t>Prestwich</t>
  </si>
  <si>
    <t>Prestwick</t>
  </si>
  <si>
    <t>Pudsey</t>
  </si>
  <si>
    <t>Purley</t>
  </si>
  <si>
    <t>Radcliffe</t>
  </si>
  <si>
    <t>Ramsbottom</t>
  </si>
  <si>
    <t>Ramsgate</t>
  </si>
  <si>
    <t>RawMarsh</t>
  </si>
  <si>
    <t>Rawmarsh</t>
  </si>
  <si>
    <t>Rawtenstall</t>
  </si>
  <si>
    <t>Rayleigh</t>
  </si>
  <si>
    <t>Leitura</t>
  </si>
  <si>
    <t>Reading</t>
  </si>
  <si>
    <t>Redcar</t>
  </si>
  <si>
    <t>Redditch</t>
  </si>
  <si>
    <t>Morro Vermelho</t>
  </si>
  <si>
    <t>Redhill</t>
  </si>
  <si>
    <t>Reigate</t>
  </si>
  <si>
    <t>Renfrew</t>
  </si>
  <si>
    <t>Rhondda</t>
  </si>
  <si>
    <t>Rhyl</t>
  </si>
  <si>
    <t>Ripley</t>
  </si>
  <si>
    <t>Ripon</t>
  </si>
  <si>
    <t>RISCA</t>
  </si>
  <si>
    <t>Risca</t>
  </si>
  <si>
    <t>Rochdale</t>
  </si>
  <si>
    <t>Rochester</t>
  </si>
  <si>
    <t>Rochford</t>
  </si>
  <si>
    <t>Romsey</t>
  </si>
  <si>
    <t>Rossendale</t>
  </si>
  <si>
    <t>Rotherham</t>
  </si>
  <si>
    <t>RottingDean</t>
  </si>
  <si>
    <t>Rottingdean</t>
  </si>
  <si>
    <t>Royal Leamington Spa</t>
  </si>
  <si>
    <t>Royal Tunbridge Wells</t>
  </si>
  <si>
    <t>Royton</t>
  </si>
  <si>
    <t>Rugby</t>
  </si>
  <si>
    <t>Rugeley</t>
  </si>
  <si>
    <t>Ruislip</t>
  </si>
  <si>
    <t>Runcorn</t>
  </si>
  <si>
    <t>Rushden</t>
  </si>
  <si>
    <t>Rutherglen</t>
  </si>
  <si>
    <t>Ryde</t>
  </si>
  <si>
    <t>Ryton</t>
  </si>
  <si>
    <t>Saint Andrews</t>
  </si>
  <si>
    <t>Saint Neots</t>
  </si>
  <si>
    <t>Salford</t>
  </si>
  <si>
    <t>Salisbury</t>
  </si>
  <si>
    <t>Sandbach</t>
  </si>
  <si>
    <t>Sandown</t>
  </si>
  <si>
    <t>Scunthorpe</t>
  </si>
  <si>
    <t>Seaham</t>
  </si>
  <si>
    <t>Selby</t>
  </si>
  <si>
    <t>Sevenoaks</t>
  </si>
  <si>
    <t>Sheffield</t>
  </si>
  <si>
    <t>Shetland</t>
  </si>
  <si>
    <t>Shipley</t>
  </si>
  <si>
    <t>Shirley</t>
  </si>
  <si>
    <t>Shoreham</t>
  </si>
  <si>
    <t>Shoreham-by-Sea</t>
  </si>
  <si>
    <t>Shrewsbury</t>
  </si>
  <si>
    <t>Sittingbourne</t>
  </si>
  <si>
    <t>Skegness</t>
  </si>
  <si>
    <t>Skelmersdale</t>
  </si>
  <si>
    <t>Sleaford</t>
  </si>
  <si>
    <t>Slough</t>
  </si>
  <si>
    <t>Solihull</t>
  </si>
  <si>
    <t>Benfleet do Sul</t>
  </si>
  <si>
    <t>South Benfleet</t>
  </si>
  <si>
    <t>South Croydon</t>
  </si>
  <si>
    <t>South Elmsall</t>
  </si>
  <si>
    <t>South Ocockendon</t>
  </si>
  <si>
    <t>South Ockendon</t>
  </si>
  <si>
    <t>Shields do Sul</t>
  </si>
  <si>
    <t>South Shields</t>
  </si>
  <si>
    <t>Southall</t>
  </si>
  <si>
    <t>Southampton</t>
  </si>
  <si>
    <t>Southend-on-Sea</t>
  </si>
  <si>
    <t>Mar do Sul</t>
  </si>
  <si>
    <t>Southsea</t>
  </si>
  <si>
    <t>Spalding</t>
  </si>
  <si>
    <t>Spennymoor</t>
  </si>
  <si>
    <t>St Austell</t>
  </si>
  <si>
    <t>St Helens</t>
  </si>
  <si>
    <t>Stafford</t>
  </si>
  <si>
    <t>Staines</t>
  </si>
  <si>
    <t>Stalybridge</t>
  </si>
  <si>
    <t>Stamford</t>
  </si>
  <si>
    <t>Staveley</t>
  </si>
  <si>
    <t>Stevenage</t>
  </si>
  <si>
    <t>Stirling</t>
  </si>
  <si>
    <t>Stockport</t>
  </si>
  <si>
    <t>Stockton-on-Tees</t>
  </si>
  <si>
    <t>Stoke-on-Trent</t>
  </si>
  <si>
    <t>Stourbridge</t>
  </si>
  <si>
    <t>Stourport-on-Severn</t>
  </si>
  <si>
    <t>StowMarket</t>
  </si>
  <si>
    <t>Stowmarket</t>
  </si>
  <si>
    <t>Surbiton</t>
  </si>
  <si>
    <t>Telford</t>
  </si>
  <si>
    <t>Thornton-Cleveleys</t>
  </si>
  <si>
    <t>Uckfield</t>
  </si>
  <si>
    <t>Urmston</t>
  </si>
  <si>
    <t>Wakefield</t>
  </si>
  <si>
    <t>Andando</t>
  </si>
  <si>
    <t>Walkden</t>
  </si>
  <si>
    <t>Wallasey</t>
  </si>
  <si>
    <t>WallSend</t>
  </si>
  <si>
    <t>Wallsend</t>
  </si>
  <si>
    <t>Walsall</t>
  </si>
  <si>
    <t>Waltham Abbey</t>
  </si>
  <si>
    <t>Walton-on-Thames</t>
  </si>
  <si>
    <t>louça</t>
  </si>
  <si>
    <t>Ware</t>
  </si>
  <si>
    <t>WarmInster</t>
  </si>
  <si>
    <t>Warminster</t>
  </si>
  <si>
    <t>Warrington</t>
  </si>
  <si>
    <t>Warwick</t>
  </si>
  <si>
    <t>Washington</t>
  </si>
  <si>
    <t>Waterlooville</t>
  </si>
  <si>
    <t>Watford</t>
  </si>
  <si>
    <t>Wath sobre Dearne</t>
  </si>
  <si>
    <t>Wath upon Dearne</t>
  </si>
  <si>
    <t>Wednesdaybury</t>
  </si>
  <si>
    <t>Wednesbury</t>
  </si>
  <si>
    <t>Wednesdayfield</t>
  </si>
  <si>
    <t>Wednesfield</t>
  </si>
  <si>
    <t>Welling</t>
  </si>
  <si>
    <t>Wellingborough</t>
  </si>
  <si>
    <t>Welwyn Garden City</t>
  </si>
  <si>
    <t>West Bridgford</t>
  </si>
  <si>
    <t>West Bromwich</t>
  </si>
  <si>
    <t>West Molesey</t>
  </si>
  <si>
    <t>Westhoughton</t>
  </si>
  <si>
    <t>Weston-Super-Mare</t>
  </si>
  <si>
    <t>Weston-super-Mare</t>
  </si>
  <si>
    <t>Weybridge</t>
  </si>
  <si>
    <t>Weymouth</t>
  </si>
  <si>
    <t>Whickham</t>
  </si>
  <si>
    <t>Whitefield</t>
  </si>
  <si>
    <t>Whitehaven</t>
  </si>
  <si>
    <t>Whitley Bay</t>
  </si>
  <si>
    <t>Whitstable</t>
  </si>
  <si>
    <t>Wickford</t>
  </si>
  <si>
    <t>Widnes</t>
  </si>
  <si>
    <t>Wigan</t>
  </si>
  <si>
    <t>Wigston Magna</t>
  </si>
  <si>
    <t>Willenhall</t>
  </si>
  <si>
    <t>Wilmslow</t>
  </si>
  <si>
    <t>Winchester</t>
  </si>
  <si>
    <t>Winsford</t>
  </si>
  <si>
    <t>Wisbech</t>
  </si>
  <si>
    <t>Wishaw</t>
  </si>
  <si>
    <t>Witham</t>
  </si>
  <si>
    <t>Witney</t>
  </si>
  <si>
    <t>Woking</t>
  </si>
  <si>
    <t>Wokingham</t>
  </si>
  <si>
    <t>Wolverhampton</t>
  </si>
  <si>
    <t>Wombwell</t>
  </si>
  <si>
    <t>Woodford Green</t>
  </si>
  <si>
    <t>Workington</t>
  </si>
  <si>
    <t>WorksOP</t>
  </si>
  <si>
    <t>Worksop</t>
  </si>
  <si>
    <t>Worthing</t>
  </si>
  <si>
    <t>Wrexham</t>
  </si>
  <si>
    <t>Yate</t>
  </si>
  <si>
    <t>Yateley</t>
  </si>
  <si>
    <t>Yeadon</t>
  </si>
  <si>
    <t>Yeovil</t>
  </si>
  <si>
    <t>Iorque</t>
  </si>
  <si>
    <t>York</t>
  </si>
  <si>
    <t>â € ˜EWA Gentry</t>
  </si>
  <si>
    <t>â€˜Ewa Gentry</t>
  </si>
  <si>
    <t>United States</t>
  </si>
  <si>
    <t>Hawaii</t>
  </si>
  <si>
    <t>South Dakota</t>
  </si>
  <si>
    <t>Abilene</t>
  </si>
  <si>
    <t>Texas</t>
  </si>
  <si>
    <t>Abington</t>
  </si>
  <si>
    <t>Massachusetts</t>
  </si>
  <si>
    <t>Acworth</t>
  </si>
  <si>
    <t>Ada</t>
  </si>
  <si>
    <t>Oklahoma</t>
  </si>
  <si>
    <t>Addison</t>
  </si>
  <si>
    <t>Illinois</t>
  </si>
  <si>
    <t>Adelanto</t>
  </si>
  <si>
    <t>California</t>
  </si>
  <si>
    <t>Adelphi</t>
  </si>
  <si>
    <t>Adrian</t>
  </si>
  <si>
    <t>Michigan</t>
  </si>
  <si>
    <t>Affton</t>
  </si>
  <si>
    <t>Missouri</t>
  </si>
  <si>
    <t>Agawam</t>
  </si>
  <si>
    <t>Agoura</t>
  </si>
  <si>
    <t>Agoura Hills</t>
  </si>
  <si>
    <t>Aiken</t>
  </si>
  <si>
    <t>South Carolina</t>
  </si>
  <si>
    <t>Akron</t>
  </si>
  <si>
    <t>Ohio</t>
  </si>
  <si>
    <t>Alafaya</t>
  </si>
  <si>
    <t>Alameda</t>
  </si>
  <si>
    <t>Alamo</t>
  </si>
  <si>
    <t>Alamogordo</t>
  </si>
  <si>
    <t>New Mexico</t>
  </si>
  <si>
    <t>New York</t>
  </si>
  <si>
    <t>Oregon</t>
  </si>
  <si>
    <t>Albemarle</t>
  </si>
  <si>
    <t>North Carolina</t>
  </si>
  <si>
    <t>Albert Lea</t>
  </si>
  <si>
    <t>Minnesota</t>
  </si>
  <si>
    <t>Albuquerque</t>
  </si>
  <si>
    <t>Aldine</t>
  </si>
  <si>
    <t>Louisiana</t>
  </si>
  <si>
    <t>Algonquin</t>
  </si>
  <si>
    <t>Alhambra</t>
  </si>
  <si>
    <t>Alice</t>
  </si>
  <si>
    <t>Aliso Viejo</t>
  </si>
  <si>
    <t>Allapattah</t>
  </si>
  <si>
    <t>Allen Park</t>
  </si>
  <si>
    <t>Allendale</t>
  </si>
  <si>
    <t>Allentown</t>
  </si>
  <si>
    <t>Pennsylvania</t>
  </si>
  <si>
    <t>Aliança</t>
  </si>
  <si>
    <t>Alliance</t>
  </si>
  <si>
    <t>Allison Park</t>
  </si>
  <si>
    <t>Aloha</t>
  </si>
  <si>
    <t>Alpharetta</t>
  </si>
  <si>
    <t>Alsip</t>
  </si>
  <si>
    <t>Altadena</t>
  </si>
  <si>
    <t>Altamont</t>
  </si>
  <si>
    <t>Altamonte Springs</t>
  </si>
  <si>
    <t>Altoona</t>
  </si>
  <si>
    <t>Altus</t>
  </si>
  <si>
    <t>Rocha de Alúume</t>
  </si>
  <si>
    <t>Alum Rock</t>
  </si>
  <si>
    <t>Alvin</t>
  </si>
  <si>
    <t>amarelo</t>
  </si>
  <si>
    <t>Amarillo</t>
  </si>
  <si>
    <t>Canyon americano</t>
  </si>
  <si>
    <t>American Canyon</t>
  </si>
  <si>
    <t>American Fork</t>
  </si>
  <si>
    <t>Utah</t>
  </si>
  <si>
    <t>Americus</t>
  </si>
  <si>
    <t>Ames</t>
  </si>
  <si>
    <t>Iowa</t>
  </si>
  <si>
    <t>Amesbury</t>
  </si>
  <si>
    <t>Amherst</t>
  </si>
  <si>
    <t>Amherst Center</t>
  </si>
  <si>
    <t>Anacortes</t>
  </si>
  <si>
    <t>Anaheim</t>
  </si>
  <si>
    <t>Ancoragem</t>
  </si>
  <si>
    <t>Anchorage</t>
  </si>
  <si>
    <t>Alaska</t>
  </si>
  <si>
    <t>Anderson</t>
  </si>
  <si>
    <t>Indiana</t>
  </si>
  <si>
    <t>Angleton</t>
  </si>
  <si>
    <t>Ankeny</t>
  </si>
  <si>
    <t>Ann Arbor</t>
  </si>
  <si>
    <t>Annapolis</t>
  </si>
  <si>
    <t>Anoka</t>
  </si>
  <si>
    <t>Ansonia</t>
  </si>
  <si>
    <t>Connecticut</t>
  </si>
  <si>
    <t>Antílope</t>
  </si>
  <si>
    <t>Antelope</t>
  </si>
  <si>
    <t>Anthem</t>
  </si>
  <si>
    <t>Arizona</t>
  </si>
  <si>
    <t>Antióquia</t>
  </si>
  <si>
    <t>Antioch</t>
  </si>
  <si>
    <t>Apache Junction</t>
  </si>
  <si>
    <t>Ápice</t>
  </si>
  <si>
    <t>Apex</t>
  </si>
  <si>
    <t>Apopka</t>
  </si>
  <si>
    <t>Vale da Apple</t>
  </si>
  <si>
    <t>Apple Valley</t>
  </si>
  <si>
    <t>Appleton</t>
  </si>
  <si>
    <t>Wisconsin</t>
  </si>
  <si>
    <t>Arbutus</t>
  </si>
  <si>
    <t>Arcadia</t>
  </si>
  <si>
    <t>Arcata</t>
  </si>
  <si>
    <t>Arden-arden</t>
  </si>
  <si>
    <t>Arden-Arcade</t>
  </si>
  <si>
    <t>Ardmore</t>
  </si>
  <si>
    <t>Arlington</t>
  </si>
  <si>
    <t>Arlington Heights</t>
  </si>
  <si>
    <t>Arroyo Grande</t>
  </si>
  <si>
    <t>Artesia</t>
  </si>
  <si>
    <t>Arvada</t>
  </si>
  <si>
    <t>Arvin</t>
  </si>
  <si>
    <t>ASBURY PARK</t>
  </si>
  <si>
    <t>Asbury Park</t>
  </si>
  <si>
    <t>New Jersey</t>
  </si>
  <si>
    <t>Asheboro</t>
  </si>
  <si>
    <t>Asheville</t>
  </si>
  <si>
    <t>Ashland</t>
  </si>
  <si>
    <t>Kentucky</t>
  </si>
  <si>
    <t>Ashtabula</t>
  </si>
  <si>
    <t>Ashwaubenon</t>
  </si>
  <si>
    <t>Aspen Hill</t>
  </si>
  <si>
    <t>Atascadero</t>
  </si>
  <si>
    <t>Atascocita</t>
  </si>
  <si>
    <t>Atlanta</t>
  </si>
  <si>
    <t>Cidade atlântica</t>
  </si>
  <si>
    <t>Atlantic City</t>
  </si>
  <si>
    <t>Attleboro</t>
  </si>
  <si>
    <t>Atwater</t>
  </si>
  <si>
    <t>Maine</t>
  </si>
  <si>
    <t>Auburn Hills</t>
  </si>
  <si>
    <t>Austin</t>
  </si>
  <si>
    <t>Austintown</t>
  </si>
  <si>
    <t>Avenal</t>
  </si>
  <si>
    <t>Avenel</t>
  </si>
  <si>
    <t>Aventura</t>
  </si>
  <si>
    <t>Alturas de abacate</t>
  </si>
  <si>
    <t>Avocado Heights</t>
  </si>
  <si>
    <t>Avon Center</t>
  </si>
  <si>
    <t>Lago Avon</t>
  </si>
  <si>
    <t>Avon Lake</t>
  </si>
  <si>
    <t>Avondale</t>
  </si>
  <si>
    <t>Azusa</t>
  </si>
  <si>
    <t>Back Mountain</t>
  </si>
  <si>
    <t>Texugo</t>
  </si>
  <si>
    <t>Badger</t>
  </si>
  <si>
    <t>Ilha de Bainbridge</t>
  </si>
  <si>
    <t>Bainbridge Island</t>
  </si>
  <si>
    <t>Bakersfield</t>
  </si>
  <si>
    <t>Balch Springs</t>
  </si>
  <si>
    <t>Baldwin</t>
  </si>
  <si>
    <t>Parque Baldwin</t>
  </si>
  <si>
    <t>Baldwin Park</t>
  </si>
  <si>
    <t>Ballenger Creek</t>
  </si>
  <si>
    <t>Ballwin</t>
  </si>
  <si>
    <t>Baltimore</t>
  </si>
  <si>
    <t>Proibição</t>
  </si>
  <si>
    <t>Banning</t>
  </si>
  <si>
    <t>Barnstable</t>
  </si>
  <si>
    <t>Barrington</t>
  </si>
  <si>
    <t>Rhode Island</t>
  </si>
  <si>
    <t>Barstow</t>
  </si>
  <si>
    <t>Alturas de Barstow</t>
  </si>
  <si>
    <t>Barstow Heights</t>
  </si>
  <si>
    <t>Bartlesville</t>
  </si>
  <si>
    <t>Bartlett</t>
  </si>
  <si>
    <t>Tennessee</t>
  </si>
  <si>
    <t>Bartow</t>
  </si>
  <si>
    <t>Batávia</t>
  </si>
  <si>
    <t>Batavia</t>
  </si>
  <si>
    <t>Baton Rouge</t>
  </si>
  <si>
    <t>Riacho de batalha</t>
  </si>
  <si>
    <t>Battle Creek</t>
  </si>
  <si>
    <t>Battle Ground</t>
  </si>
  <si>
    <t>Bay City</t>
  </si>
  <si>
    <t>Bay Point</t>
  </si>
  <si>
    <t>Bay Shore</t>
  </si>
  <si>
    <t>Bay Village</t>
  </si>
  <si>
    <t>Bayonet Point</t>
  </si>
  <si>
    <t>Bayou Cane</t>
  </si>
  <si>
    <t>Bayshore Gardens</t>
  </si>
  <si>
    <t>Bayside</t>
  </si>
  <si>
    <t>Baytown</t>
  </si>
  <si>
    <t>Baliza</t>
  </si>
  <si>
    <t>Beacon</t>
  </si>
  <si>
    <t>Urso</t>
  </si>
  <si>
    <t>Bear</t>
  </si>
  <si>
    <t>Delaware</t>
  </si>
  <si>
    <t>Beaumont</t>
  </si>
  <si>
    <t>Barragem de castores</t>
  </si>
  <si>
    <t>Beaver Dam</t>
  </si>
  <si>
    <t>Beaver Creek</t>
  </si>
  <si>
    <t>Beavercreek</t>
  </si>
  <si>
    <t>Beaverton</t>
  </si>
  <si>
    <t>New Hampshire</t>
  </si>
  <si>
    <t>Bel Air North</t>
  </si>
  <si>
    <t>Bel Air South</t>
  </si>
  <si>
    <t>Sino</t>
  </si>
  <si>
    <t>Bell</t>
  </si>
  <si>
    <t>Bell Gardens</t>
  </si>
  <si>
    <t>Arkansas</t>
  </si>
  <si>
    <t>Bellaire</t>
  </si>
  <si>
    <t>Belle Glade</t>
  </si>
  <si>
    <t>Bellevue</t>
  </si>
  <si>
    <t>Nebraska</t>
  </si>
  <si>
    <t>Campânula</t>
  </si>
  <si>
    <t>Bellflower</t>
  </si>
  <si>
    <t>Bellingham</t>
  </si>
  <si>
    <t>Bellmore</t>
  </si>
  <si>
    <t>Bellview</t>
  </si>
  <si>
    <t>Bellwood</t>
  </si>
  <si>
    <t>Belmont</t>
  </si>
  <si>
    <t>Beloit</t>
  </si>
  <si>
    <t>Aperte o cinto</t>
  </si>
  <si>
    <t>Belton</t>
  </si>
  <si>
    <t>Beltsville</t>
  </si>
  <si>
    <t>Belvedere Park</t>
  </si>
  <si>
    <t>Belvidere</t>
  </si>
  <si>
    <t>Benbrook</t>
  </si>
  <si>
    <t>Dobrar</t>
  </si>
  <si>
    <t>Bend</t>
  </si>
  <si>
    <t>Benicia</t>
  </si>
  <si>
    <t>Bensenville</t>
  </si>
  <si>
    <t>Bensonhurst</t>
  </si>
  <si>
    <t>Dobrado</t>
  </si>
  <si>
    <t>Benton</t>
  </si>
  <si>
    <t>Bentonville</t>
  </si>
  <si>
    <t>Berea</t>
  </si>
  <si>
    <t>Bergenfield</t>
  </si>
  <si>
    <t>Berkeley</t>
  </si>
  <si>
    <t>Berwyn</t>
  </si>
  <si>
    <t>Bessemer</t>
  </si>
  <si>
    <t>Alabama</t>
  </si>
  <si>
    <t>Betânia</t>
  </si>
  <si>
    <t>Bethany</t>
  </si>
  <si>
    <t>Bethel Park</t>
  </si>
  <si>
    <t>Bethesda</t>
  </si>
  <si>
    <t>Bethpage</t>
  </si>
  <si>
    <t>Bettendorf</t>
  </si>
  <si>
    <t>Beverly</t>
  </si>
  <si>
    <t>Beverly Cove</t>
  </si>
  <si>
    <t>Beverly Hills</t>
  </si>
  <si>
    <t>BidDeford</t>
  </si>
  <si>
    <t>Biddeford</t>
  </si>
  <si>
    <t>Big Spring</t>
  </si>
  <si>
    <t>Billerica</t>
  </si>
  <si>
    <t>Faturamento</t>
  </si>
  <si>
    <t>Billings</t>
  </si>
  <si>
    <t>Biloxi</t>
  </si>
  <si>
    <t>Mississippi</t>
  </si>
  <si>
    <t>Binghamton</t>
  </si>
  <si>
    <t>Bismarck</t>
  </si>
  <si>
    <t>North Dakota</t>
  </si>
  <si>
    <t>Bixby</t>
  </si>
  <si>
    <t>Blaine</t>
  </si>
  <si>
    <t>Bloomfield</t>
  </si>
  <si>
    <t>Bloomingdale</t>
  </si>
  <si>
    <t>Bloomington</t>
  </si>
  <si>
    <t>Ilha Azul</t>
  </si>
  <si>
    <t>Blue Island</t>
  </si>
  <si>
    <t>Blue Springs</t>
  </si>
  <si>
    <t>Blythe</t>
  </si>
  <si>
    <t>Blytheville</t>
  </si>
  <si>
    <t>Boardman</t>
  </si>
  <si>
    <t>Boca del Mar.</t>
  </si>
  <si>
    <t>Boca Del Mar</t>
  </si>
  <si>
    <t>Boca Raton</t>
  </si>
  <si>
    <t>Boise</t>
  </si>
  <si>
    <t>Idaho</t>
  </si>
  <si>
    <t>Bolingbrook</t>
  </si>
  <si>
    <t>Bonita Springs</t>
  </si>
  <si>
    <t>Lago Bonney</t>
  </si>
  <si>
    <t>Bonney Lake</t>
  </si>
  <si>
    <t>Boone</t>
  </si>
  <si>
    <t>Borough of Queens</t>
  </si>
  <si>
    <t>Bossier City</t>
  </si>
  <si>
    <t>Bostonia</t>
  </si>
  <si>
    <t>Bothell</t>
  </si>
  <si>
    <t>Pedregulho</t>
  </si>
  <si>
    <t>Boulder</t>
  </si>
  <si>
    <t>Cidade de Boulder</t>
  </si>
  <si>
    <t>Boulder City</t>
  </si>
  <si>
    <t>Nevada</t>
  </si>
  <si>
    <t>Abundante</t>
  </si>
  <si>
    <t>Bountiful</t>
  </si>
  <si>
    <t>Bourbonnais</t>
  </si>
  <si>
    <t>Bowie</t>
  </si>
  <si>
    <t>Bowling Green</t>
  </si>
  <si>
    <t>Boyle Heights</t>
  </si>
  <si>
    <t>Boynton Beach</t>
  </si>
  <si>
    <t>Bozeman</t>
  </si>
  <si>
    <t>Bradenton</t>
  </si>
  <si>
    <t>Bradley</t>
  </si>
  <si>
    <t>Branford</t>
  </si>
  <si>
    <t>Brawley</t>
  </si>
  <si>
    <t>Brea</t>
  </si>
  <si>
    <t>Bremerton</t>
  </si>
  <si>
    <t>Brenham</t>
  </si>
  <si>
    <t>Brent</t>
  </si>
  <si>
    <t>Brentwood Estates</t>
  </si>
  <si>
    <t>Bridgeport</t>
  </si>
  <si>
    <t>Bridgeton</t>
  </si>
  <si>
    <t>Bridgeview</t>
  </si>
  <si>
    <t>Bridgewater</t>
  </si>
  <si>
    <t>Cidade de Brigham</t>
  </si>
  <si>
    <t>Brigham City</t>
  </si>
  <si>
    <t>Broad Ripple</t>
  </si>
  <si>
    <t>Broadview Heights</t>
  </si>
  <si>
    <t>Brockton</t>
  </si>
  <si>
    <t>Flecha Quebrada</t>
  </si>
  <si>
    <t>Broken Arrow</t>
  </si>
  <si>
    <t>Brook Park</t>
  </si>
  <si>
    <t>Brookfield</t>
  </si>
  <si>
    <t>Brookhaven</t>
  </si>
  <si>
    <t>Brookings</t>
  </si>
  <si>
    <t>Brookline</t>
  </si>
  <si>
    <t>Brooklyn</t>
  </si>
  <si>
    <t>Brooklyn Center</t>
  </si>
  <si>
    <t>Brooklyn Park</t>
  </si>
  <si>
    <t>Broomfield</t>
  </si>
  <si>
    <t>Brownsburg</t>
  </si>
  <si>
    <t>Brownsville</t>
  </si>
  <si>
    <t>Brownwood</t>
  </si>
  <si>
    <t>Brushy Creek</t>
  </si>
  <si>
    <t>Bryan</t>
  </si>
  <si>
    <t>Bryant</t>
  </si>
  <si>
    <t>Bryn Mawr-Skyway</t>
  </si>
  <si>
    <t>Buckeye</t>
  </si>
  <si>
    <t>Buena Park</t>
  </si>
  <si>
    <t>Buenaventura Lagos</t>
  </si>
  <si>
    <t>Buenaventura Lakes</t>
  </si>
  <si>
    <t>Búfalo</t>
  </si>
  <si>
    <t>Buffalo</t>
  </si>
  <si>
    <t>Buffalo Grove</t>
  </si>
  <si>
    <t>Bullhead City</t>
  </si>
  <si>
    <t>Burbank</t>
  </si>
  <si>
    <t>Burien</t>
  </si>
  <si>
    <t>Burleson</t>
  </si>
  <si>
    <t>Burlingame</t>
  </si>
  <si>
    <t>Vermont</t>
  </si>
  <si>
    <t>Burnsville</t>
  </si>
  <si>
    <t>Burton</t>
  </si>
  <si>
    <t>Butte</t>
  </si>
  <si>
    <t>Butte-Silver Bow (Balance)</t>
  </si>
  <si>
    <t>Ca ± na cidade</t>
  </si>
  <si>
    <t>CaÃ±on City</t>
  </si>
  <si>
    <t>Cabot</t>
  </si>
  <si>
    <t>Cahokia</t>
  </si>
  <si>
    <t>Calabasas</t>
  </si>
  <si>
    <t>Caldwell</t>
  </si>
  <si>
    <t>Caledônia</t>
  </si>
  <si>
    <t>Caledonia</t>
  </si>
  <si>
    <t>Calexico</t>
  </si>
  <si>
    <t>Calhoun</t>
  </si>
  <si>
    <t>Cidade de Calumet</t>
  </si>
  <si>
    <t>Calumet City</t>
  </si>
  <si>
    <t>Calverton</t>
  </si>
  <si>
    <t>Camarillo</t>
  </si>
  <si>
    <t>Camden</t>
  </si>
  <si>
    <t>Parque Cameron</t>
  </si>
  <si>
    <t>Cameron Park</t>
  </si>
  <si>
    <t>Camp Springs</t>
  </si>
  <si>
    <t>Campbell</t>
  </si>
  <si>
    <t>Canby</t>
  </si>
  <si>
    <t>Candler-Mcafee</t>
  </si>
  <si>
    <t>Candler-McAfee</t>
  </si>
  <si>
    <t>CANOGA PARK</t>
  </si>
  <si>
    <t>Canoga Park</t>
  </si>
  <si>
    <t>Canton</t>
  </si>
  <si>
    <t>Acantonamento</t>
  </si>
  <si>
    <t>Cantonment</t>
  </si>
  <si>
    <t>Lago Canyon</t>
  </si>
  <si>
    <t>Canyon Lake</t>
  </si>
  <si>
    <t>Cape Coral</t>
  </si>
  <si>
    <t>Cape Girardeau</t>
  </si>
  <si>
    <t>Carbondale</t>
  </si>
  <si>
    <t>Carlsbad</t>
  </si>
  <si>
    <t>Carmel</t>
  </si>
  <si>
    <t>Carmichael</t>
  </si>
  <si>
    <t>Carney</t>
  </si>
  <si>
    <t>Carol City</t>
  </si>
  <si>
    <t>Carol Stream</t>
  </si>
  <si>
    <t>Carpentersville</t>
  </si>
  <si>
    <t>Carrboro</t>
  </si>
  <si>
    <t>Carrollton</t>
  </si>
  <si>
    <t>Carrollwood</t>
  </si>
  <si>
    <t>Vila de Carrollwood</t>
  </si>
  <si>
    <t>Carrollwood Village</t>
  </si>
  <si>
    <t>Carson</t>
  </si>
  <si>
    <t>Carson City</t>
  </si>
  <si>
    <t>Carteret</t>
  </si>
  <si>
    <t>Cartersville</t>
  </si>
  <si>
    <t>Cary</t>
  </si>
  <si>
    <t>Hélice de Casa de Oro-Mount</t>
  </si>
  <si>
    <t>Casa de Oro-Mount Helix</t>
  </si>
  <si>
    <t>Casa Grande</t>
  </si>
  <si>
    <t>Casas Adobes</t>
  </si>
  <si>
    <t>Casper</t>
  </si>
  <si>
    <t>Wyoming</t>
  </si>
  <si>
    <t>Casselberry</t>
  </si>
  <si>
    <t>Castaic</t>
  </si>
  <si>
    <t>Castle Rock</t>
  </si>
  <si>
    <t>Castlewood</t>
  </si>
  <si>
    <t>Vale Castro</t>
  </si>
  <si>
    <t>Castro Valley</t>
  </si>
  <si>
    <t>Foothills da Catalina</t>
  </si>
  <si>
    <t>Catalina Foothills</t>
  </si>
  <si>
    <t>Cidade da Catedral</t>
  </si>
  <si>
    <t>Cathedral City</t>
  </si>
  <si>
    <t>Catonsville</t>
  </si>
  <si>
    <t>Cidade de cedro</t>
  </si>
  <si>
    <t>Cedar City</t>
  </si>
  <si>
    <t>Cedar Falls</t>
  </si>
  <si>
    <t>Cedar Hill</t>
  </si>
  <si>
    <t>Parque de cedro</t>
  </si>
  <si>
    <t>Cedar Park</t>
  </si>
  <si>
    <t>Cedar Rapids</t>
  </si>
  <si>
    <t>Centenário</t>
  </si>
  <si>
    <t>Centennial</t>
  </si>
  <si>
    <t>Ponto central</t>
  </si>
  <si>
    <t>Center Point</t>
  </si>
  <si>
    <t>CenterEach</t>
  </si>
  <si>
    <t>Centereach</t>
  </si>
  <si>
    <t>Centerville</t>
  </si>
  <si>
    <t>Central Falls</t>
  </si>
  <si>
    <t>Islip central</t>
  </si>
  <si>
    <t>Central Islip</t>
  </si>
  <si>
    <t>Central Point</t>
  </si>
  <si>
    <t>Centralia</t>
  </si>
  <si>
    <t>Cerritos</t>
  </si>
  <si>
    <t>Chalmette</t>
  </si>
  <si>
    <t>Chambersburg</t>
  </si>
  <si>
    <t>Champaign</t>
  </si>
  <si>
    <t>Champlin</t>
  </si>
  <si>
    <t>Chandler</t>
  </si>
  <si>
    <t>Chanhassen</t>
  </si>
  <si>
    <t>ChannelView</t>
  </si>
  <si>
    <t>Channelview</t>
  </si>
  <si>
    <t>Chapel Hill</t>
  </si>
  <si>
    <t>charleston</t>
  </si>
  <si>
    <t>Charleston</t>
  </si>
  <si>
    <t>Charlotte</t>
  </si>
  <si>
    <t>Chaska</t>
  </si>
  <si>
    <t>Chatsworth</t>
  </si>
  <si>
    <t>Chattanooga</t>
  </si>
  <si>
    <t>Cheektowaga</t>
  </si>
  <si>
    <t>Cherry Hill</t>
  </si>
  <si>
    <t>Cheshire</t>
  </si>
  <si>
    <t>Cheyenne</t>
  </si>
  <si>
    <t>Chicago</t>
  </si>
  <si>
    <t>Chicago Heights</t>
  </si>
  <si>
    <t>Chickasha</t>
  </si>
  <si>
    <t>Chico</t>
  </si>
  <si>
    <t>Chicopee</t>
  </si>
  <si>
    <t>Chillum</t>
  </si>
  <si>
    <t>Hills Chino</t>
  </si>
  <si>
    <t>Chino Hills</t>
  </si>
  <si>
    <t>Chowchilla</t>
  </si>
  <si>
    <t>Chula Vista</t>
  </si>
  <si>
    <t>Cibolo</t>
  </si>
  <si>
    <t>Cícero</t>
  </si>
  <si>
    <t>Cicero</t>
  </si>
  <si>
    <t>Cimarron Hills</t>
  </si>
  <si>
    <t>Cincinnati</t>
  </si>
  <si>
    <t>Cinco Ranch</t>
  </si>
  <si>
    <t>Alturas cítricas</t>
  </si>
  <si>
    <t>Citrus Heights</t>
  </si>
  <si>
    <t>Parque Citrus</t>
  </si>
  <si>
    <t>Citrus Park</t>
  </si>
  <si>
    <t>Cidade de Milford (saldo)</t>
  </si>
  <si>
    <t>City of Milford (balance)</t>
  </si>
  <si>
    <t>Cidade de Sammamish</t>
  </si>
  <si>
    <t>City of Sammamish</t>
  </si>
  <si>
    <t>Claremont</t>
  </si>
  <si>
    <t>Claremore</t>
  </si>
  <si>
    <t>Clarksdale</t>
  </si>
  <si>
    <t>Clarksville</t>
  </si>
  <si>
    <t>Clearfield</t>
  </si>
  <si>
    <t>Clearlake</t>
  </si>
  <si>
    <t>Água limpa</t>
  </si>
  <si>
    <t>Clearwater</t>
  </si>
  <si>
    <t>Cleburne</t>
  </si>
  <si>
    <t>Clemmons</t>
  </si>
  <si>
    <t>Clermont</t>
  </si>
  <si>
    <t>Cleveland</t>
  </si>
  <si>
    <t>Parque Cliffside</t>
  </si>
  <si>
    <t>Cliffside Park</t>
  </si>
  <si>
    <t>Clifton</t>
  </si>
  <si>
    <t>Clinton</t>
  </si>
  <si>
    <t>Clive</t>
  </si>
  <si>
    <t>CloverLeaf</t>
  </si>
  <si>
    <t>Cloverleaf</t>
  </si>
  <si>
    <t>Cloverly</t>
  </si>
  <si>
    <t>Clovis</t>
  </si>
  <si>
    <t>Coachella</t>
  </si>
  <si>
    <t>Cockeysville</t>
  </si>
  <si>
    <t>Cacau</t>
  </si>
  <si>
    <t>Cocoa</t>
  </si>
  <si>
    <t>Coconut Creek</t>
  </si>
  <si>
    <t>Coqueiral</t>
  </si>
  <si>
    <t>Coconut Grove</t>
  </si>
  <si>
    <t>Coeur d'Alene</t>
  </si>
  <si>
    <t>Cohoes</t>
  </si>
  <si>
    <t>Colchester</t>
  </si>
  <si>
    <t>College Park</t>
  </si>
  <si>
    <t>Estação da faculdade</t>
  </si>
  <si>
    <t>College Station</t>
  </si>
  <si>
    <t>Colleyville</t>
  </si>
  <si>
    <t>Collierville</t>
  </si>
  <si>
    <t>Collinsville</t>
  </si>
  <si>
    <t>Colonia</t>
  </si>
  <si>
    <t>Colorado Springs</t>
  </si>
  <si>
    <t>Colton</t>
  </si>
  <si>
    <t>Columbia</t>
  </si>
  <si>
    <t>Columbia Heights</t>
  </si>
  <si>
    <t>Columbine</t>
  </si>
  <si>
    <t>Columbus</t>
  </si>
  <si>
    <t>Commack</t>
  </si>
  <si>
    <t>Cidade do Comércio</t>
  </si>
  <si>
    <t>Commerce City</t>
  </si>
  <si>
    <t>Compton</t>
  </si>
  <si>
    <t>Concórdia</t>
  </si>
  <si>
    <t>Concord</t>
  </si>
  <si>
    <t>Coney Island</t>
  </si>
  <si>
    <t>Conroe</t>
  </si>
  <si>
    <t>Conversar</t>
  </si>
  <si>
    <t>Converse</t>
  </si>
  <si>
    <t>Conway</t>
  </si>
  <si>
    <t>Conyers</t>
  </si>
  <si>
    <t>Cookeville</t>
  </si>
  <si>
    <t>Coon Rapids</t>
  </si>
  <si>
    <t>Cooper City</t>
  </si>
  <si>
    <t>Coos Bay</t>
  </si>
  <si>
    <t>Copiague</t>
  </si>
  <si>
    <t>Coppell</t>
  </si>
  <si>
    <t>Copperas Cove</t>
  </si>
  <si>
    <t>Coral Gables</t>
  </si>
  <si>
    <t>Coral Springs</t>
  </si>
  <si>
    <t>Terraço de coral</t>
  </si>
  <si>
    <t>Coral Terrace</t>
  </si>
  <si>
    <t>Coralville</t>
  </si>
  <si>
    <t>Coram</t>
  </si>
  <si>
    <t>Corcoran</t>
  </si>
  <si>
    <t>Corinth</t>
  </si>
  <si>
    <t>Cornelius</t>
  </si>
  <si>
    <t>Corona</t>
  </si>
  <si>
    <t>Coronado</t>
  </si>
  <si>
    <t>Corpus Christi</t>
  </si>
  <si>
    <t>Corsicana</t>
  </si>
  <si>
    <t>Cortland</t>
  </si>
  <si>
    <t>Corvallis</t>
  </si>
  <si>
    <t>Costa Mesa</t>
  </si>
  <si>
    <t>Cottage Grove</t>
  </si>
  <si>
    <t>Lago Cottage</t>
  </si>
  <si>
    <t>Cottage Lake</t>
  </si>
  <si>
    <t>Alturas de Cottonwood</t>
  </si>
  <si>
    <t>Cottonwood Heights</t>
  </si>
  <si>
    <t>Council Bluffs</t>
  </si>
  <si>
    <t>Clube de Campo</t>
  </si>
  <si>
    <t>Country Club</t>
  </si>
  <si>
    <t>Country Club Hills</t>
  </si>
  <si>
    <t>Caminhada no país</t>
  </si>
  <si>
    <t>Country Walk</t>
  </si>
  <si>
    <t>Coventry</t>
  </si>
  <si>
    <t>Covina</t>
  </si>
  <si>
    <t>Covington</t>
  </si>
  <si>
    <t>Township de Cranberry</t>
  </si>
  <si>
    <t>Cranberry Township</t>
  </si>
  <si>
    <t>Cranford</t>
  </si>
  <si>
    <t>Cranston</t>
  </si>
  <si>
    <t>Crawfordsville</t>
  </si>
  <si>
    <t>Crest Hill</t>
  </si>
  <si>
    <t>Crestview</t>
  </si>
  <si>
    <t>Creve Coeur</t>
  </si>
  <si>
    <t>Crofton</t>
  </si>
  <si>
    <t>Crown Point</t>
  </si>
  <si>
    <t>Cristal</t>
  </si>
  <si>
    <t>Crystal</t>
  </si>
  <si>
    <t>Crystal Lake</t>
  </si>
  <si>
    <t>Cudahy</t>
  </si>
  <si>
    <t>Cidade de Culver</t>
  </si>
  <si>
    <t>Culver City</t>
  </si>
  <si>
    <t>Cumberland</t>
  </si>
  <si>
    <t>Cupertino</t>
  </si>
  <si>
    <t>Cutler</t>
  </si>
  <si>
    <t>Cutler Bay</t>
  </si>
  <si>
    <t>Cutler Ridge</t>
  </si>
  <si>
    <t>Cuyahoga Falls</t>
  </si>
  <si>
    <t>Cipreste</t>
  </si>
  <si>
    <t>Cypress</t>
  </si>
  <si>
    <t>Dallas</t>
  </si>
  <si>
    <t>Dalton</t>
  </si>
  <si>
    <t>Cidade de Daly</t>
  </si>
  <si>
    <t>Daly City</t>
  </si>
  <si>
    <t>Dana Point</t>
  </si>
  <si>
    <t>Dania Beach</t>
  </si>
  <si>
    <t>Danvers</t>
  </si>
  <si>
    <t>Danville</t>
  </si>
  <si>
    <t>Daphne</t>
  </si>
  <si>
    <t>Darien</t>
  </si>
  <si>
    <t>Davenport</t>
  </si>
  <si>
    <t>Davie</t>
  </si>
  <si>
    <t>Davis</t>
  </si>
  <si>
    <t>Dayton</t>
  </si>
  <si>
    <t>Daytona Beach</t>
  </si>
  <si>
    <t>De pere</t>
  </si>
  <si>
    <t>De Pere</t>
  </si>
  <si>
    <t>Dearborn</t>
  </si>
  <si>
    <t>Dearborn Heights</t>
  </si>
  <si>
    <t>DeBary</t>
  </si>
  <si>
    <t>Decatur</t>
  </si>
  <si>
    <t>Dedham</t>
  </si>
  <si>
    <t>Deerfield</t>
  </si>
  <si>
    <t>Deerfield Beach</t>
  </si>
  <si>
    <t>Desafio</t>
  </si>
  <si>
    <t>Defiance</t>
  </si>
  <si>
    <t>DeKalb</t>
  </si>
  <si>
    <t>Del City</t>
  </si>
  <si>
    <t>Del Rio</t>
  </si>
  <si>
    <t>DeLand</t>
  </si>
  <si>
    <t>Delano</t>
  </si>
  <si>
    <t>Delray Beach</t>
  </si>
  <si>
    <t>Deltona</t>
  </si>
  <si>
    <t>Denison</t>
  </si>
  <si>
    <t>Denton</t>
  </si>
  <si>
    <t>Denver</t>
  </si>
  <si>
    <t>Depew</t>
  </si>
  <si>
    <t>Derby</t>
  </si>
  <si>
    <t>Kansas</t>
  </si>
  <si>
    <t>Derry Village</t>
  </si>
  <si>
    <t>Des Moines</t>
  </si>
  <si>
    <t>Des Plaines</t>
  </si>
  <si>
    <t>Desert Hot Springs</t>
  </si>
  <si>
    <t>DESOTO</t>
  </si>
  <si>
    <t>DeSoto</t>
  </si>
  <si>
    <t>Detroit</t>
  </si>
  <si>
    <t>Barra de diamante</t>
  </si>
  <si>
    <t>Diamond Bar</t>
  </si>
  <si>
    <t>Dickinson</t>
  </si>
  <si>
    <t>Dinuba</t>
  </si>
  <si>
    <t>Dix Hills</t>
  </si>
  <si>
    <t>Dixiana</t>
  </si>
  <si>
    <t>Dixon</t>
  </si>
  <si>
    <t>Dodge City</t>
  </si>
  <si>
    <t>Dolton</t>
  </si>
  <si>
    <t>Donna</t>
  </si>
  <si>
    <t>Doral</t>
  </si>
  <si>
    <t>Dothan</t>
  </si>
  <si>
    <t>Douglasville</t>
  </si>
  <si>
    <t>Dover</t>
  </si>
  <si>
    <t>Downers Grove</t>
  </si>
  <si>
    <t>Downey</t>
  </si>
  <si>
    <t>Dracut</t>
  </si>
  <si>
    <t>Draper</t>
  </si>
  <si>
    <t>Drexel Heights</t>
  </si>
  <si>
    <t>Drexel Hill</t>
  </si>
  <si>
    <t>Dubuque</t>
  </si>
  <si>
    <t>Duluth</t>
  </si>
  <si>
    <t>Dumont</t>
  </si>
  <si>
    <t>Duncanville</t>
  </si>
  <si>
    <t>Dunwoody</t>
  </si>
  <si>
    <t>Durant</t>
  </si>
  <si>
    <t>Durham</t>
  </si>
  <si>
    <t>Tintureiro</t>
  </si>
  <si>
    <t>Dyer</t>
  </si>
  <si>
    <t>Dyersburg</t>
  </si>
  <si>
    <t>Eagan</t>
  </si>
  <si>
    <t>Águia</t>
  </si>
  <si>
    <t>Eagle</t>
  </si>
  <si>
    <t>Montanha Eagle</t>
  </si>
  <si>
    <t>Eagle Mountain</t>
  </si>
  <si>
    <t>Eagle Pass</t>
  </si>
  <si>
    <t>Rio Eagle</t>
  </si>
  <si>
    <t>Eagle River</t>
  </si>
  <si>
    <t>Easley</t>
  </si>
  <si>
    <t>East Brainerd</t>
  </si>
  <si>
    <t>East Brunswick</t>
  </si>
  <si>
    <t>Chattanooga Oriental</t>
  </si>
  <si>
    <t>East Chattanooga</t>
  </si>
  <si>
    <t>East Chicago</t>
  </si>
  <si>
    <t>East Cleveland</t>
  </si>
  <si>
    <t>Concord leste</t>
  </si>
  <si>
    <t>East Concord</t>
  </si>
  <si>
    <t>Florença Oriental</t>
  </si>
  <si>
    <t>East Florence</t>
  </si>
  <si>
    <t>Hemet leste</t>
  </si>
  <si>
    <t>East Hemet</t>
  </si>
  <si>
    <t>East Hill-Meridian</t>
  </si>
  <si>
    <t>Independência Oriental</t>
  </si>
  <si>
    <t>East Independence</t>
  </si>
  <si>
    <t>East Lake</t>
  </si>
  <si>
    <t>Parque Oriental para East Lake</t>
  </si>
  <si>
    <t>East Lake-Orient Park</t>
  </si>
  <si>
    <t>East Lansing</t>
  </si>
  <si>
    <t>East Longmeadow</t>
  </si>
  <si>
    <t>East Los Angeles</t>
  </si>
  <si>
    <t>Massapequa Oriental</t>
  </si>
  <si>
    <t>East Massapequa</t>
  </si>
  <si>
    <t>Meadow leste</t>
  </si>
  <si>
    <t>East Meadow</t>
  </si>
  <si>
    <t>East Millcreek</t>
  </si>
  <si>
    <t>East Moline</t>
  </si>
  <si>
    <t>Leste de Nova York</t>
  </si>
  <si>
    <t>East New York</t>
  </si>
  <si>
    <t>East Northport</t>
  </si>
  <si>
    <t>Orange East</t>
  </si>
  <si>
    <t>East Orange</t>
  </si>
  <si>
    <t>Palo Alto Oriental</t>
  </si>
  <si>
    <t>East Palo Alto</t>
  </si>
  <si>
    <t>East Patchogue</t>
  </si>
  <si>
    <t>Alturas de Pensacola Oriental</t>
  </si>
  <si>
    <t>East Pensacola Heights</t>
  </si>
  <si>
    <t>PEORIA ORIENTE</t>
  </si>
  <si>
    <t>East Peoria</t>
  </si>
  <si>
    <t>East Point</t>
  </si>
  <si>
    <t>East Providence</t>
  </si>
  <si>
    <t>East Rancho Dominguez</t>
  </si>
  <si>
    <t>East Ridge</t>
  </si>
  <si>
    <t>East Riverdale</t>
  </si>
  <si>
    <t>Saint Louis do leste</t>
  </si>
  <si>
    <t>East Saint Louis</t>
  </si>
  <si>
    <t>East Setauket</t>
  </si>
  <si>
    <t>Eastchester</t>
  </si>
  <si>
    <t>Easthampton</t>
  </si>
  <si>
    <t>Eastlake</t>
  </si>
  <si>
    <t>Easton</t>
  </si>
  <si>
    <t>Eastpointe</t>
  </si>
  <si>
    <t>Eau Claire</t>
  </si>
  <si>
    <t>Echo Park</t>
  </si>
  <si>
    <t>Éden</t>
  </si>
  <si>
    <t>Eden</t>
  </si>
  <si>
    <t>Eden Prairie</t>
  </si>
  <si>
    <t>Edgewater</t>
  </si>
  <si>
    <t>Edgewood</t>
  </si>
  <si>
    <t>Edina</t>
  </si>
  <si>
    <t>Edinburg</t>
  </si>
  <si>
    <t>Edison</t>
  </si>
  <si>
    <t>Edmond</t>
  </si>
  <si>
    <t>Edmonds</t>
  </si>
  <si>
    <t>Edwardsville</t>
  </si>
  <si>
    <t>Eggertsville</t>
  </si>
  <si>
    <t>Egito lago-leto</t>
  </si>
  <si>
    <t>Egypt Lake-Leto</t>
  </si>
  <si>
    <t>El Cajon</t>
  </si>
  <si>
    <t>El Centro</t>
  </si>
  <si>
    <t>El Dorado</t>
  </si>
  <si>
    <t>El Dorado Hills</t>
  </si>
  <si>
    <t>El Mirage</t>
  </si>
  <si>
    <t>El Paso</t>
  </si>
  <si>
    <t>El Reno</t>
  </si>
  <si>
    <t>El Segundo</t>
  </si>
  <si>
    <t>ALDERSBURG</t>
  </si>
  <si>
    <t>Eldersburg</t>
  </si>
  <si>
    <t>Elgin</t>
  </si>
  <si>
    <t>Elizabeth</t>
  </si>
  <si>
    <t>Cidade de Elizabeth</t>
  </si>
  <si>
    <t>Elizabeth City</t>
  </si>
  <si>
    <t>Elizabethtown</t>
  </si>
  <si>
    <t>Elk Grove</t>
  </si>
  <si>
    <t>Vila de Elk Grove</t>
  </si>
  <si>
    <t>Elk Grove Village</t>
  </si>
  <si>
    <t>Rio Elk</t>
  </si>
  <si>
    <t>Elk River</t>
  </si>
  <si>
    <t>Elkhart</t>
  </si>
  <si>
    <t>Elko</t>
  </si>
  <si>
    <t>Elkridge</t>
  </si>
  <si>
    <t>Elkton</t>
  </si>
  <si>
    <t>Ellensburg</t>
  </si>
  <si>
    <t>Cidade de Ellicott</t>
  </si>
  <si>
    <t>Ellicott City</t>
  </si>
  <si>
    <t>Elmhurst</t>
  </si>
  <si>
    <t>Elmira</t>
  </si>
  <si>
    <t>Elmont</t>
  </si>
  <si>
    <t>Elmwood Park</t>
  </si>
  <si>
    <t>ELOY</t>
  </si>
  <si>
    <t>Eloy</t>
  </si>
  <si>
    <t>Elyria</t>
  </si>
  <si>
    <t>Emporia</t>
  </si>
  <si>
    <t>Colinas encantadas</t>
  </si>
  <si>
    <t>Enchanted Hills</t>
  </si>
  <si>
    <t>Encinitas</t>
  </si>
  <si>
    <t>Englewood</t>
  </si>
  <si>
    <t>Enid</t>
  </si>
  <si>
    <t>Ensley</t>
  </si>
  <si>
    <t>Empreendimento</t>
  </si>
  <si>
    <t>Enterprise</t>
  </si>
  <si>
    <t>Erie</t>
  </si>
  <si>
    <t>Erlanger</t>
  </si>
  <si>
    <t>Escondido</t>
  </si>
  <si>
    <t>Essex</t>
  </si>
  <si>
    <t>Estelle</t>
  </si>
  <si>
    <t>Estero</t>
  </si>
  <si>
    <t>Euclides</t>
  </si>
  <si>
    <t>Euclid</t>
  </si>
  <si>
    <t>Eugene</t>
  </si>
  <si>
    <t>Euless</t>
  </si>
  <si>
    <t>Eureka</t>
  </si>
  <si>
    <t>Eustis</t>
  </si>
  <si>
    <t>Evans</t>
  </si>
  <si>
    <t>Evanston</t>
  </si>
  <si>
    <t>Evansville</t>
  </si>
  <si>
    <t>Everett</t>
  </si>
  <si>
    <t>Evergreen Park</t>
  </si>
  <si>
    <t>Ewing</t>
  </si>
  <si>
    <t>JAVIDO FAIR</t>
  </si>
  <si>
    <t>Fair Lawn</t>
  </si>
  <si>
    <t>Fair Oaks</t>
  </si>
  <si>
    <t>Fairbanks</t>
  </si>
  <si>
    <t>Fairborn</t>
  </si>
  <si>
    <t>Fairfield</t>
  </si>
  <si>
    <t>Fairfield Heights</t>
  </si>
  <si>
    <t>Fairhaven</t>
  </si>
  <si>
    <t>Fairhope</t>
  </si>
  <si>
    <t>Fairland</t>
  </si>
  <si>
    <t>Fairview Heights</t>
  </si>
  <si>
    <t>Fairview Park</t>
  </si>
  <si>
    <t>Fairwood</t>
  </si>
  <si>
    <t>Rio de Fall</t>
  </si>
  <si>
    <t>Fall River</t>
  </si>
  <si>
    <t>Fallbrook</t>
  </si>
  <si>
    <t>Fargo</t>
  </si>
  <si>
    <t>Faribault</t>
  </si>
  <si>
    <t>Filial dos agricultores</t>
  </si>
  <si>
    <t>Farmers Branch</t>
  </si>
  <si>
    <t>Farmington</t>
  </si>
  <si>
    <t>Farmington Hills</t>
  </si>
  <si>
    <t>Farmingville</t>
  </si>
  <si>
    <t>Farragut</t>
  </si>
  <si>
    <t>Fayetteville</t>
  </si>
  <si>
    <t>Maneira federal</t>
  </si>
  <si>
    <t>Federal Way</t>
  </si>
  <si>
    <t>Ferguson</t>
  </si>
  <si>
    <t>Fern Creek</t>
  </si>
  <si>
    <t>Ferndale</t>
  </si>
  <si>
    <t>Fernley</t>
  </si>
  <si>
    <t>Ferry Pass</t>
  </si>
  <si>
    <t>Fillmore</t>
  </si>
  <si>
    <t>Findlay</t>
  </si>
  <si>
    <t>Pescadores</t>
  </si>
  <si>
    <t>Fishers</t>
  </si>
  <si>
    <t>Fitchburg</t>
  </si>
  <si>
    <t>Cinco cantos</t>
  </si>
  <si>
    <t>Five Corners</t>
  </si>
  <si>
    <t>Flagami</t>
  </si>
  <si>
    <t>Flagstaff</t>
  </si>
  <si>
    <t>pedra</t>
  </si>
  <si>
    <t>Flint</t>
  </si>
  <si>
    <t>Parque Floral</t>
  </si>
  <si>
    <t>Floral Park</t>
  </si>
  <si>
    <t>Florence-Graham</t>
  </si>
  <si>
    <t>Florida Ridge</t>
  </si>
  <si>
    <t>Florim</t>
  </si>
  <si>
    <t>Florin</t>
  </si>
  <si>
    <t>Florissant</t>
  </si>
  <si>
    <t>Monte de flores</t>
  </si>
  <si>
    <t>Flower Mound</t>
  </si>
  <si>
    <t>Poços fluindo</t>
  </si>
  <si>
    <t>Flowing Wells</t>
  </si>
  <si>
    <t>Folsom</t>
  </si>
  <si>
    <t>Fond du Lac</t>
  </si>
  <si>
    <t>Fazendas de Foothill</t>
  </si>
  <si>
    <t>Foothill Farms</t>
  </si>
  <si>
    <t>Fords</t>
  </si>
  <si>
    <t>Forest Grove</t>
  </si>
  <si>
    <t>Colinas da floresta</t>
  </si>
  <si>
    <t>Forest Hills</t>
  </si>
  <si>
    <t>Parque Florestal</t>
  </si>
  <si>
    <t>Forest Park</t>
  </si>
  <si>
    <t>Forrest City</t>
  </si>
  <si>
    <t>Fort Bragg</t>
  </si>
  <si>
    <t>Fort Collins</t>
  </si>
  <si>
    <t>Fort Dodge</t>
  </si>
  <si>
    <t>Fort Hood</t>
  </si>
  <si>
    <t>Fort Hunt</t>
  </si>
  <si>
    <t>Fort Lauderdale</t>
  </si>
  <si>
    <t>Fort Lee</t>
  </si>
  <si>
    <t>Fort Leonard Wood</t>
  </si>
  <si>
    <t>Fort Myers</t>
  </si>
  <si>
    <t>Fort Pierce</t>
  </si>
  <si>
    <t>Fort Smith</t>
  </si>
  <si>
    <t>Fort Thomas</t>
  </si>
  <si>
    <t>Fort Walton Beach</t>
  </si>
  <si>
    <t>Fort Washington</t>
  </si>
  <si>
    <t>Fort Wayne</t>
  </si>
  <si>
    <t>Fort Worth</t>
  </si>
  <si>
    <t>Foothills da Fortuna</t>
  </si>
  <si>
    <t>Fortuna Foothills</t>
  </si>
  <si>
    <t>Foster City</t>
  </si>
  <si>
    <t>Fountain</t>
  </si>
  <si>
    <t>Colinas da fonte</t>
  </si>
  <si>
    <t>Fountain Hills</t>
  </si>
  <si>
    <t>Vale da Fonte</t>
  </si>
  <si>
    <t>Fountain Valley</t>
  </si>
  <si>
    <t>Fountainebleau</t>
  </si>
  <si>
    <t>Quatro cantos</t>
  </si>
  <si>
    <t>Four Corners</t>
  </si>
  <si>
    <t>Framingham</t>
  </si>
  <si>
    <t>Centro de Framingham</t>
  </si>
  <si>
    <t>Framingham Center</t>
  </si>
  <si>
    <t>Frankfort</t>
  </si>
  <si>
    <t>Franklin</t>
  </si>
  <si>
    <t>Franklin Park</t>
  </si>
  <si>
    <t>Franklin Square</t>
  </si>
  <si>
    <t>Frederick</t>
  </si>
  <si>
    <t>Frederickson</t>
  </si>
  <si>
    <t>Fremont</t>
  </si>
  <si>
    <t>Fridley</t>
  </si>
  <si>
    <t>Friendswood</t>
  </si>
  <si>
    <t>Frisco</t>
  </si>
  <si>
    <t>Enseada de frutas</t>
  </si>
  <si>
    <t>Fruit Cove</t>
  </si>
  <si>
    <t>Fullerton</t>
  </si>
  <si>
    <t>Fuquay-Varina</t>
  </si>
  <si>
    <t>Gadsden</t>
  </si>
  <si>
    <t>Gahanna</t>
  </si>
  <si>
    <t>Gainesville</t>
  </si>
  <si>
    <t>Gaithersburg</t>
  </si>
  <si>
    <t>Galesburg</t>
  </si>
  <si>
    <t>Gallatin</t>
  </si>
  <si>
    <t>Gallup</t>
  </si>
  <si>
    <t>Galt</t>
  </si>
  <si>
    <t>Galveston</t>
  </si>
  <si>
    <t>Cidade Jardim</t>
  </si>
  <si>
    <t>Garden City</t>
  </si>
  <si>
    <t>Garden Grove</t>
  </si>
  <si>
    <t>Gardena</t>
  </si>
  <si>
    <t>jardineiro</t>
  </si>
  <si>
    <t>Gardner</t>
  </si>
  <si>
    <t>Garfield</t>
  </si>
  <si>
    <t>Garfield Heights</t>
  </si>
  <si>
    <t>Festão</t>
  </si>
  <si>
    <t>Garland</t>
  </si>
  <si>
    <t>Garner</t>
  </si>
  <si>
    <t>Gary</t>
  </si>
  <si>
    <t>Gastonia</t>
  </si>
  <si>
    <t>Gatesville</t>
  </si>
  <si>
    <t>Gautier</t>
  </si>
  <si>
    <t>Genebra</t>
  </si>
  <si>
    <t>Germantown</t>
  </si>
  <si>
    <t>Gilbert</t>
  </si>
  <si>
    <t>Gillette</t>
  </si>
  <si>
    <t>Gilroy</t>
  </si>
  <si>
    <t>Glassboro</t>
  </si>
  <si>
    <t>Glassmanor</t>
  </si>
  <si>
    <t>Glen Avon</t>
  </si>
  <si>
    <t>Glen Burnie</t>
  </si>
  <si>
    <t>Glen Cove</t>
  </si>
  <si>
    <t>Glen Ellyn</t>
  </si>
  <si>
    <t>Glendale</t>
  </si>
  <si>
    <t>Glendora</t>
  </si>
  <si>
    <t>Alturas de Glenvar</t>
  </si>
  <si>
    <t>Glenvar Heights</t>
  </si>
  <si>
    <t>Glenview</t>
  </si>
  <si>
    <t>Gloucester</t>
  </si>
  <si>
    <t>Gloversville</t>
  </si>
  <si>
    <t>Godfrey</t>
  </si>
  <si>
    <t>Dourado</t>
  </si>
  <si>
    <t>Golden</t>
  </si>
  <si>
    <t>portão Dourado</t>
  </si>
  <si>
    <t>Golden Gate</t>
  </si>
  <si>
    <t>Glades dourados</t>
  </si>
  <si>
    <t>Golden Glades</t>
  </si>
  <si>
    <t>Golden Valley</t>
  </si>
  <si>
    <t>Goldsboro</t>
  </si>
  <si>
    <t>Goleta</t>
  </si>
  <si>
    <t>Goodings Grove</t>
  </si>
  <si>
    <t>Goodlettsville</t>
  </si>
  <si>
    <t>Bom ano</t>
  </si>
  <si>
    <t>Goodyear</t>
  </si>
  <si>
    <t>Goose Creek</t>
  </si>
  <si>
    <t>Goshen</t>
  </si>
  <si>
    <t>Grafton</t>
  </si>
  <si>
    <t>Graham</t>
  </si>
  <si>
    <t>Grand Forks</t>
  </si>
  <si>
    <t>Grand Island</t>
  </si>
  <si>
    <t>Grand Junction</t>
  </si>
  <si>
    <t>Grand Prairie</t>
  </si>
  <si>
    <t>Grand Rapids</t>
  </si>
  <si>
    <t>Grande visão</t>
  </si>
  <si>
    <t>Grandview</t>
  </si>
  <si>
    <t>Grandville</t>
  </si>
  <si>
    <t>Granger</t>
  </si>
  <si>
    <t>Baía de granito</t>
  </si>
  <si>
    <t>Granite Bay</t>
  </si>
  <si>
    <t>Cidade de granito</t>
  </si>
  <si>
    <t>Granite City</t>
  </si>
  <si>
    <t>Subsídios passam</t>
  </si>
  <si>
    <t>Grants Pass</t>
  </si>
  <si>
    <t>Grapevine</t>
  </si>
  <si>
    <t>Grayslake</t>
  </si>
  <si>
    <t>Grande Bend</t>
  </si>
  <si>
    <t>Great Bend</t>
  </si>
  <si>
    <t>Grandes quedas</t>
  </si>
  <si>
    <t>Great Falls</t>
  </si>
  <si>
    <t>Grande Northdale</t>
  </si>
  <si>
    <t>Greater Northdale</t>
  </si>
  <si>
    <t>Greeley</t>
  </si>
  <si>
    <t>Verde</t>
  </si>
  <si>
    <t>Green</t>
  </si>
  <si>
    <t>Baía Verde</t>
  </si>
  <si>
    <t>Green Bay</t>
  </si>
  <si>
    <t>Haven Green</t>
  </si>
  <si>
    <t>Green Haven</t>
  </si>
  <si>
    <t>Vale Verde</t>
  </si>
  <si>
    <t>Green Valley</t>
  </si>
  <si>
    <t>Cidade de Greenacres</t>
  </si>
  <si>
    <t>Greenacres City</t>
  </si>
  <si>
    <t>Cinto Verde</t>
  </si>
  <si>
    <t>Greenbelt</t>
  </si>
  <si>
    <t>Greenburgh</t>
  </si>
  <si>
    <t>Greeneville</t>
  </si>
  <si>
    <t>Greenfield</t>
  </si>
  <si>
    <t>Greensboro</t>
  </si>
  <si>
    <t>Greenwood</t>
  </si>
  <si>
    <t>Greer</t>
  </si>
  <si>
    <t>Gresham</t>
  </si>
  <si>
    <t>Gretna</t>
  </si>
  <si>
    <t>Griffin</t>
  </si>
  <si>
    <t>Grosse Pointe Woods</t>
  </si>
  <si>
    <t>Grove City</t>
  </si>
  <si>
    <t>Groves</t>
  </si>
  <si>
    <t>Gulfport</t>
  </si>
  <si>
    <t>Gurnee</t>
  </si>
  <si>
    <t>Hacienda Heights</t>
  </si>
  <si>
    <t>Hackensack</t>
  </si>
  <si>
    <t>Hagerstown</t>
  </si>
  <si>
    <t>Haines City</t>
  </si>
  <si>
    <t>Hallandale Beach</t>
  </si>
  <si>
    <t>Haltom City</t>
  </si>
  <si>
    <t>Lago de presunto</t>
  </si>
  <si>
    <t>Ham Lake</t>
  </si>
  <si>
    <t>Hammond</t>
  </si>
  <si>
    <t>Hamtramck</t>
  </si>
  <si>
    <t>Hanahan</t>
  </si>
  <si>
    <t>Hanford</t>
  </si>
  <si>
    <t>canibal</t>
  </si>
  <si>
    <t>Hannibal</t>
  </si>
  <si>
    <t>Hanover</t>
  </si>
  <si>
    <t>Hanover Park</t>
  </si>
  <si>
    <t>Harker Heights</t>
  </si>
  <si>
    <t>Harrisburg</t>
  </si>
  <si>
    <t>Harrison</t>
  </si>
  <si>
    <t>Harvey</t>
  </si>
  <si>
    <t>Haslett</t>
  </si>
  <si>
    <t>Hattiesburg</t>
  </si>
  <si>
    <t>Hauppauge</t>
  </si>
  <si>
    <t>Havelock</t>
  </si>
  <si>
    <t>Haverhill</t>
  </si>
  <si>
    <t>Hawthorne</t>
  </si>
  <si>
    <t>Hayesville</t>
  </si>
  <si>
    <t>Hays</t>
  </si>
  <si>
    <t>Hayward</t>
  </si>
  <si>
    <t>Hazel Dell</t>
  </si>
  <si>
    <t>Hazel Park</t>
  </si>
  <si>
    <t>Hazelwood</t>
  </si>
  <si>
    <t>Hazleton</t>
  </si>
  <si>
    <t>Helena</t>
  </si>
  <si>
    <t>Ele encontrou</t>
  </si>
  <si>
    <t>Hemet</t>
  </si>
  <si>
    <t>Hempstead</t>
  </si>
  <si>
    <t>Henderson</t>
  </si>
  <si>
    <t>Hendersonville</t>
  </si>
  <si>
    <t>Hércules</t>
  </si>
  <si>
    <t>Hercules</t>
  </si>
  <si>
    <t>Hereford</t>
  </si>
  <si>
    <t>Hermiston</t>
  </si>
  <si>
    <t>Eremitério</t>
  </si>
  <si>
    <t>Hermitage</t>
  </si>
  <si>
    <t>Praia de Hermosa</t>
  </si>
  <si>
    <t>Hermosa Beach</t>
  </si>
  <si>
    <t>Herriman</t>
  </si>
  <si>
    <t>Hesperia</t>
  </si>
  <si>
    <t>Hialeah</t>
  </si>
  <si>
    <t>Hialeah Gardens</t>
  </si>
  <si>
    <t>Hibbing</t>
  </si>
  <si>
    <t>Hickory</t>
  </si>
  <si>
    <t>Hicksville</t>
  </si>
  <si>
    <t>Ponto alto</t>
  </si>
  <si>
    <t>High Point</t>
  </si>
  <si>
    <t>Highland</t>
  </si>
  <si>
    <t>Highland Park</t>
  </si>
  <si>
    <t>Highland Village</t>
  </si>
  <si>
    <t>Highlands Ranch</t>
  </si>
  <si>
    <t>Highview</t>
  </si>
  <si>
    <t>Hillcrest Heights</t>
  </si>
  <si>
    <t>Hilliard</t>
  </si>
  <si>
    <t>Hillsboro</t>
  </si>
  <si>
    <t>Hilo</t>
  </si>
  <si>
    <t>Hilton Head Island</t>
  </si>
  <si>
    <t>Hinesville</t>
  </si>
  <si>
    <t>Hinsdale</t>
  </si>
  <si>
    <t>Hobbs</t>
  </si>
  <si>
    <t>Hoffman Estates</t>
  </si>
  <si>
    <t>Holbrook</t>
  </si>
  <si>
    <t>Holden</t>
  </si>
  <si>
    <t>Feriado</t>
  </si>
  <si>
    <t>Holiday</t>
  </si>
  <si>
    <t>Holladay</t>
  </si>
  <si>
    <t>Holanda</t>
  </si>
  <si>
    <t>Holland</t>
  </si>
  <si>
    <t>Hollister</t>
  </si>
  <si>
    <t>Holly Springs</t>
  </si>
  <si>
    <t>Hollywood</t>
  </si>
  <si>
    <t>Holt</t>
  </si>
  <si>
    <t>Holtsville</t>
  </si>
  <si>
    <t>Holyoke</t>
  </si>
  <si>
    <t>Homer Glen</t>
  </si>
  <si>
    <t>Herdade</t>
  </si>
  <si>
    <t>Homestead</t>
  </si>
  <si>
    <t>Homewood</t>
  </si>
  <si>
    <t>Honolulu</t>
  </si>
  <si>
    <t>aspirador</t>
  </si>
  <si>
    <t>Hoover</t>
  </si>
  <si>
    <t>Hopatcong</t>
  </si>
  <si>
    <t>HOPATCONG HILLS</t>
  </si>
  <si>
    <t>Hopatcong Hills</t>
  </si>
  <si>
    <t>Hope Mills</t>
  </si>
  <si>
    <t>Hopkins</t>
  </si>
  <si>
    <t>Hopkinsville</t>
  </si>
  <si>
    <t>Cidade de Horizon</t>
  </si>
  <si>
    <t>Horizon City</t>
  </si>
  <si>
    <t>Lago Horn</t>
  </si>
  <si>
    <t>Horn Lake</t>
  </si>
  <si>
    <t>Hot Springs</t>
  </si>
  <si>
    <t>Parque Nacional Hot Springs</t>
  </si>
  <si>
    <t>Hot Springs National Park</t>
  </si>
  <si>
    <t>Houma</t>
  </si>
  <si>
    <t>Houston</t>
  </si>
  <si>
    <t>Howard</t>
  </si>
  <si>
    <t>Huber Heights</t>
  </si>
  <si>
    <t>Hudson</t>
  </si>
  <si>
    <t>Hueytown</t>
  </si>
  <si>
    <t>Humilde</t>
  </si>
  <si>
    <t>Humble</t>
  </si>
  <si>
    <t>Hunt Valley</t>
  </si>
  <si>
    <t>Huntersville</t>
  </si>
  <si>
    <t>Huntington</t>
  </si>
  <si>
    <t>Praia de Huntington</t>
  </si>
  <si>
    <t>Huntington Beach</t>
  </si>
  <si>
    <t>Huntington Park</t>
  </si>
  <si>
    <t>Estação de Huntington</t>
  </si>
  <si>
    <t>Huntington Station</t>
  </si>
  <si>
    <t>Huntley</t>
  </si>
  <si>
    <t>Hurst</t>
  </si>
  <si>
    <t>Hutchinson</t>
  </si>
  <si>
    <t>Hyattsville</t>
  </si>
  <si>
    <t>Idaho Falls</t>
  </si>
  <si>
    <t>Ilchester</t>
  </si>
  <si>
    <t>Immokalee</t>
  </si>
  <si>
    <t>Praia imperial</t>
  </si>
  <si>
    <t>Imperial Beach</t>
  </si>
  <si>
    <t>Independência</t>
  </si>
  <si>
    <t>Independence</t>
  </si>
  <si>
    <t>Trilha indiana</t>
  </si>
  <si>
    <t>Indian Trail</t>
  </si>
  <si>
    <t>Indianapolis</t>
  </si>
  <si>
    <t>Indio</t>
  </si>
  <si>
    <t>Inglewood</t>
  </si>
  <si>
    <t>Inglewood-Finn Hill</t>
  </si>
  <si>
    <t>Alturas de Inver Grove</t>
  </si>
  <si>
    <t>Inver Grove Heights</t>
  </si>
  <si>
    <t>Iona</t>
  </si>
  <si>
    <t>Cidade de Iowa</t>
  </si>
  <si>
    <t>Iowa City</t>
  </si>
  <si>
    <t>Rio Iron</t>
  </si>
  <si>
    <t>Iron River</t>
  </si>
  <si>
    <t>Irondequoit</t>
  </si>
  <si>
    <t>Ironville</t>
  </si>
  <si>
    <t>Irving</t>
  </si>
  <si>
    <t>Irvington</t>
  </si>
  <si>
    <t>Iselin</t>
  </si>
  <si>
    <t>Islip</t>
  </si>
  <si>
    <t>Issaquah</t>
  </si>
  <si>
    <t>Ithaca</t>
  </si>
  <si>
    <t>Ives Estates</t>
  </si>
  <si>
    <t>Jackson</t>
  </si>
  <si>
    <t>Jacksonville</t>
  </si>
  <si>
    <t>Jacksonville Beach</t>
  </si>
  <si>
    <t>Jamaica Plain</t>
  </si>
  <si>
    <t>Janesville</t>
  </si>
  <si>
    <t>Estates de jasmim</t>
  </si>
  <si>
    <t>Jasmine Estates</t>
  </si>
  <si>
    <t>Jaspe</t>
  </si>
  <si>
    <t>Jasper</t>
  </si>
  <si>
    <t>Jefferson City</t>
  </si>
  <si>
    <t>Jeffersontown</t>
  </si>
  <si>
    <t>Jeffersonville</t>
  </si>
  <si>
    <t>Jenison</t>
  </si>
  <si>
    <t>Jenks</t>
  </si>
  <si>
    <t>Cidade de Jersey</t>
  </si>
  <si>
    <t>Jersey City</t>
  </si>
  <si>
    <t>Johns Creek</t>
  </si>
  <si>
    <t>Johnson City</t>
  </si>
  <si>
    <t>Johnston</t>
  </si>
  <si>
    <t>Johnstown</t>
  </si>
  <si>
    <t>Joliet</t>
  </si>
  <si>
    <t>Jonesboro</t>
  </si>
  <si>
    <t>Joplin</t>
  </si>
  <si>
    <t>Cidade de Junction</t>
  </si>
  <si>
    <t>Junction City</t>
  </si>
  <si>
    <t>Juneau</t>
  </si>
  <si>
    <t>Júpiter</t>
  </si>
  <si>
    <t>Jupiter</t>
  </si>
  <si>
    <t>Kä «Hei</t>
  </si>
  <si>
    <t>KÄ«hei</t>
  </si>
  <si>
    <t>Kä ne''ohe</t>
  </si>
  <si>
    <t>KÄneâ€˜ohe</t>
  </si>
  <si>
    <t>Kahului</t>
  </si>
  <si>
    <t>Kailua</t>
  </si>
  <si>
    <t>Kalamazoo</t>
  </si>
  <si>
    <t>Kalispell</t>
  </si>
  <si>
    <t>Kankakee</t>
  </si>
  <si>
    <t>Kannapolis</t>
  </si>
  <si>
    <t>Cidade de Kansas</t>
  </si>
  <si>
    <t>Kansas City</t>
  </si>
  <si>
    <t>Kaukauna</t>
  </si>
  <si>
    <t>Kaysville</t>
  </si>
  <si>
    <t>Kearney</t>
  </si>
  <si>
    <t>Kearns</t>
  </si>
  <si>
    <t>Kearny</t>
  </si>
  <si>
    <t>Keene</t>
  </si>
  <si>
    <t>Keizer</t>
  </si>
  <si>
    <t>Ken Caryl</t>
  </si>
  <si>
    <t>Kendale Lakes</t>
  </si>
  <si>
    <t>Kendall</t>
  </si>
  <si>
    <t>Kendall West</t>
  </si>
  <si>
    <t>Kenmore</t>
  </si>
  <si>
    <t>Kenner</t>
  </si>
  <si>
    <t>Kennesaw</t>
  </si>
  <si>
    <t>Kennewick</t>
  </si>
  <si>
    <t>Kenosha</t>
  </si>
  <si>
    <t>Kent</t>
  </si>
  <si>
    <t>Kentwood</t>
  </si>
  <si>
    <t>Kernersville</t>
  </si>
  <si>
    <t>Key West</t>
  </si>
  <si>
    <t>Keystone</t>
  </si>
  <si>
    <t>Rei da Prússia</t>
  </si>
  <si>
    <t>King of Prussia</t>
  </si>
  <si>
    <t>Homem Rei</t>
  </si>
  <si>
    <t>Kingman</t>
  </si>
  <si>
    <t>Kings Park</t>
  </si>
  <si>
    <t>Kingsland</t>
  </si>
  <si>
    <t>Kingsport</t>
  </si>
  <si>
    <t>Kinston</t>
  </si>
  <si>
    <t>Kirksville</t>
  </si>
  <si>
    <t>Kirkwood</t>
  </si>
  <si>
    <t>Kiryas Joel</t>
  </si>
  <si>
    <t>Kissimmee</t>
  </si>
  <si>
    <t>Klamath cai</t>
  </si>
  <si>
    <t>Klamath Falls</t>
  </si>
  <si>
    <t>Knoxville</t>
  </si>
  <si>
    <t>Kokomo</t>
  </si>
  <si>
    <t>Kuna</t>
  </si>
  <si>
    <t>La Crescenta-Montrose</t>
  </si>
  <si>
    <t>La Crosse</t>
  </si>
  <si>
    <t>La Grange</t>
  </si>
  <si>
    <t>La vergne</t>
  </si>
  <si>
    <t>La Vergne</t>
  </si>
  <si>
    <t>La Vista</t>
  </si>
  <si>
    <t>Lacey</t>
  </si>
  <si>
    <t>Lackawanna</t>
  </si>
  <si>
    <t>Laconia</t>
  </si>
  <si>
    <t>Lafayette</t>
  </si>
  <si>
    <t>Lago Butler</t>
  </si>
  <si>
    <t>Lake Butler</t>
  </si>
  <si>
    <t>Lago Charles</t>
  </si>
  <si>
    <t>Lake Charles</t>
  </si>
  <si>
    <t>Floresta do lago</t>
  </si>
  <si>
    <t>Lake Forest</t>
  </si>
  <si>
    <t>Cidade do Lago Havasu</t>
  </si>
  <si>
    <t>Lake Havasu City</t>
  </si>
  <si>
    <t>Lago nas colinas</t>
  </si>
  <si>
    <t>Lake in the Hills</t>
  </si>
  <si>
    <t>Lago Madaleno</t>
  </si>
  <si>
    <t>Lake Magdalene</t>
  </si>
  <si>
    <t>Lago Oswego</t>
  </si>
  <si>
    <t>Lake Oswego</t>
  </si>
  <si>
    <t>Lago Ronkonkoma</t>
  </si>
  <si>
    <t>Lake Ronkonkoma</t>
  </si>
  <si>
    <t>Costa do lago</t>
  </si>
  <si>
    <t>Lake Shore</t>
  </si>
  <si>
    <t>Lago Stevens</t>
  </si>
  <si>
    <t>Lake Stevens</t>
  </si>
  <si>
    <t>Lake Worth</t>
  </si>
  <si>
    <t>Corredor do lago Worth</t>
  </si>
  <si>
    <t>Lake Worth Corridor</t>
  </si>
  <si>
    <t>Lago Zurique</t>
  </si>
  <si>
    <t>Lake Zurich</t>
  </si>
  <si>
    <t>Lakeland</t>
  </si>
  <si>
    <t>Lakeside</t>
  </si>
  <si>
    <t>Lakeville</t>
  </si>
  <si>
    <t>Lakewood</t>
  </si>
  <si>
    <t>Terra o 'lagos</t>
  </si>
  <si>
    <t>Land O' Lakes</t>
  </si>
  <si>
    <t>Landover</t>
  </si>
  <si>
    <t>Langley Park</t>
  </si>
  <si>
    <t>Lansdale</t>
  </si>
  <si>
    <t>Lansing</t>
  </si>
  <si>
    <t>Laplace</t>
  </si>
  <si>
    <t>LaPorte</t>
  </si>
  <si>
    <t>Laramie</t>
  </si>
  <si>
    <t>Largo</t>
  </si>
  <si>
    <t>Las Cruces</t>
  </si>
  <si>
    <t>Las Vegas</t>
  </si>
  <si>
    <t>Lauderdale Lakes</t>
  </si>
  <si>
    <t>Lauderhill</t>
  </si>
  <si>
    <t>Louro</t>
  </si>
  <si>
    <t>Laurel</t>
  </si>
  <si>
    <t>Laurinburg</t>
  </si>
  <si>
    <t>Lawrence</t>
  </si>
  <si>
    <t>Lawrenceville</t>
  </si>
  <si>
    <t>Lawton</t>
  </si>
  <si>
    <t>Layton</t>
  </si>
  <si>
    <t>Lealman</t>
  </si>
  <si>
    <t>Leavenworth</t>
  </si>
  <si>
    <t>Leawood</t>
  </si>
  <si>
    <t>Líbano</t>
  </si>
  <si>
    <t>Cúpula de Lee</t>
  </si>
  <si>
    <t>Lee's Summit</t>
  </si>
  <si>
    <t>Leesburg</t>
  </si>
  <si>
    <t>Lehi</t>
  </si>
  <si>
    <t>Lehigh Acres</t>
  </si>
  <si>
    <t>Cidade de Leisure</t>
  </si>
  <si>
    <t>Leisure City</t>
  </si>
  <si>
    <t>Lemay</t>
  </si>
  <si>
    <t>Lemont</t>
  </si>
  <si>
    <t>Lenexa</t>
  </si>
  <si>
    <t>Lenoir</t>
  </si>
  <si>
    <t>Lendas</t>
  </si>
  <si>
    <t>Lents</t>
  </si>
  <si>
    <t>Leominster</t>
  </si>
  <si>
    <t>Lewiston</t>
  </si>
  <si>
    <t>LEWISTON ORCHARDS</t>
  </si>
  <si>
    <t>Lewiston Orchards</t>
  </si>
  <si>
    <t>Lexington</t>
  </si>
  <si>
    <t>Lexington-Fayette</t>
  </si>
  <si>
    <t>Liberal</t>
  </si>
  <si>
    <t>Liberdade</t>
  </si>
  <si>
    <t>Liberty</t>
  </si>
  <si>
    <t>Libertyville</t>
  </si>
  <si>
    <t>Limerick</t>
  </si>
  <si>
    <t>Lincoln Park</t>
  </si>
  <si>
    <t>Lindenhurst</t>
  </si>
  <si>
    <t>Lindenwold</t>
  </si>
  <si>
    <t>Lagos lino</t>
  </si>
  <si>
    <t>Lino Lakes</t>
  </si>
  <si>
    <t>Lisle</t>
  </si>
  <si>
    <t>Lithia Springs</t>
  </si>
  <si>
    <t>Pedra pequena</t>
  </si>
  <si>
    <t>Little Rock</t>
  </si>
  <si>
    <t>Littleton</t>
  </si>
  <si>
    <t>Livonia</t>
  </si>
  <si>
    <t>Lochearn</t>
  </si>
  <si>
    <t>Lockport</t>
  </si>
  <si>
    <t>Logan</t>
  </si>
  <si>
    <t>Logansport</t>
  </si>
  <si>
    <t>Loma Linda</t>
  </si>
  <si>
    <t>Lombard</t>
  </si>
  <si>
    <t>Lomita</t>
  </si>
  <si>
    <t>Lompoc</t>
  </si>
  <si>
    <t>Long Beach</t>
  </si>
  <si>
    <t>Ramo longo</t>
  </si>
  <si>
    <t>Long Branch</t>
  </si>
  <si>
    <t>Long Island City</t>
  </si>
  <si>
    <t>Longmeadow</t>
  </si>
  <si>
    <t>Longmont</t>
  </si>
  <si>
    <t>Visão de longo prazo</t>
  </si>
  <si>
    <t>Longview</t>
  </si>
  <si>
    <t>Lorain</t>
  </si>
  <si>
    <t>Los Altos</t>
  </si>
  <si>
    <t>Los Angeles</t>
  </si>
  <si>
    <t>Los Banos</t>
  </si>
  <si>
    <t>Los Gatos</t>
  </si>
  <si>
    <t>Louisville</t>
  </si>
  <si>
    <t>Terra do amor</t>
  </si>
  <si>
    <t>Loveland</t>
  </si>
  <si>
    <t>Loves park</t>
  </si>
  <si>
    <t>Loves Park</t>
  </si>
  <si>
    <t>Lowell</t>
  </si>
  <si>
    <t>Lubbock</t>
  </si>
  <si>
    <t>Ludlow</t>
  </si>
  <si>
    <t>Lumberton</t>
  </si>
  <si>
    <t>Lutz</t>
  </si>
  <si>
    <t>Lynbrook</t>
  </si>
  <si>
    <t>Lyndhurst</t>
  </si>
  <si>
    <t>Lynn</t>
  </si>
  <si>
    <t>Lynn Haven</t>
  </si>
  <si>
    <t>Lynnwood</t>
  </si>
  <si>
    <t>Lynwood</t>
  </si>
  <si>
    <t>Mableton</t>
  </si>
  <si>
    <t>Machesney Park</t>
  </si>
  <si>
    <t>Macomb</t>
  </si>
  <si>
    <t>Macon</t>
  </si>
  <si>
    <t>Madera</t>
  </si>
  <si>
    <t>Madison</t>
  </si>
  <si>
    <t>Madison Heights</t>
  </si>
  <si>
    <t>Madisonville</t>
  </si>
  <si>
    <t>Magna</t>
  </si>
  <si>
    <t>Makakilo</t>
  </si>
  <si>
    <t>Cidade de Makakilo</t>
  </si>
  <si>
    <t>Makakilo City</t>
  </si>
  <si>
    <t>Malden</t>
  </si>
  <si>
    <t>Mamaroneck</t>
  </si>
  <si>
    <t>Mandan</t>
  </si>
  <si>
    <t>Manhattan</t>
  </si>
  <si>
    <t>Manhattan Beach</t>
  </si>
  <si>
    <t>Manitowoc</t>
  </si>
  <si>
    <t>Mankato</t>
  </si>
  <si>
    <t>Manteca</t>
  </si>
  <si>
    <t>Maple Grove</t>
  </si>
  <si>
    <t>Alturas de bordo</t>
  </si>
  <si>
    <t>Maple Heights</t>
  </si>
  <si>
    <t>Maple Shade</t>
  </si>
  <si>
    <t>Maple Valley</t>
  </si>
  <si>
    <t>Maplewood</t>
  </si>
  <si>
    <t>Marana</t>
  </si>
  <si>
    <t>Marblehead</t>
  </si>
  <si>
    <t>Maricopa</t>
  </si>
  <si>
    <t>Marietta</t>
  </si>
  <si>
    <t>Marina</t>
  </si>
  <si>
    <t>Marion</t>
  </si>
  <si>
    <t>Marlboro</t>
  </si>
  <si>
    <t>Marquette</t>
  </si>
  <si>
    <t>Marrero</t>
  </si>
  <si>
    <t>Marshalltown</t>
  </si>
  <si>
    <t>Marshfield</t>
  </si>
  <si>
    <t>Martha Lake</t>
  </si>
  <si>
    <t>Martinez</t>
  </si>
  <si>
    <t>Cidade de Maryland</t>
  </si>
  <si>
    <t>Maryland City</t>
  </si>
  <si>
    <t>Maryland Heights</t>
  </si>
  <si>
    <t>Marysville</t>
  </si>
  <si>
    <t>Maryville</t>
  </si>
  <si>
    <t>Pedreiro</t>
  </si>
  <si>
    <t>Mason</t>
  </si>
  <si>
    <t>Cidade de Mason</t>
  </si>
  <si>
    <t>Mason City</t>
  </si>
  <si>
    <t>Massapequa</t>
  </si>
  <si>
    <t>Parque Massapequa</t>
  </si>
  <si>
    <t>Massapequa Park</t>
  </si>
  <si>
    <t>Massillon</t>
  </si>
  <si>
    <t>mástique</t>
  </si>
  <si>
    <t>Mastic</t>
  </si>
  <si>
    <t>Matteson</t>
  </si>
  <si>
    <t>Matthews</t>
  </si>
  <si>
    <t>Mattoon</t>
  </si>
  <si>
    <t>Mauldin</t>
  </si>
  <si>
    <t>Maumelle</t>
  </si>
  <si>
    <t>Mayfield Heights</t>
  </si>
  <si>
    <t>Maywood</t>
  </si>
  <si>
    <t>McAlester</t>
  </si>
  <si>
    <t>McDonough</t>
  </si>
  <si>
    <t>McHenry</t>
  </si>
  <si>
    <t>McKeesport</t>
  </si>
  <si>
    <t>McKinleyville</t>
  </si>
  <si>
    <t>McMinnville</t>
  </si>
  <si>
    <t>Vale do Mead</t>
  </si>
  <si>
    <t>Mead Valley</t>
  </si>
  <si>
    <t>Woods de Meadow</t>
  </si>
  <si>
    <t>Meadow Woods</t>
  </si>
  <si>
    <t>Mades</t>
  </si>
  <si>
    <t>Meads</t>
  </si>
  <si>
    <t>Medford</t>
  </si>
  <si>
    <t>Mehlville</t>
  </si>
  <si>
    <t>Melrose</t>
  </si>
  <si>
    <t>Melrose Park</t>
  </si>
  <si>
    <t>Melville</t>
  </si>
  <si>
    <t>Memphis</t>
  </si>
  <si>
    <t>Menasha</t>
  </si>
  <si>
    <t>Menifee</t>
  </si>
  <si>
    <t>Parque Menlo</t>
  </si>
  <si>
    <t>Menlo Park</t>
  </si>
  <si>
    <t>Menomonee cai</t>
  </si>
  <si>
    <t>Menomonee Falls</t>
  </si>
  <si>
    <t>Menomonie</t>
  </si>
  <si>
    <t>Mentor</t>
  </si>
  <si>
    <t>Mequon</t>
  </si>
  <si>
    <t>Merced</t>
  </si>
  <si>
    <t>Mercer Island</t>
  </si>
  <si>
    <t>Meridiano</t>
  </si>
  <si>
    <t>Meridian</t>
  </si>
  <si>
    <t>Merrick</t>
  </si>
  <si>
    <t>Merrillville</t>
  </si>
  <si>
    <t>Merrimack</t>
  </si>
  <si>
    <t>Ilha Merritt</t>
  </si>
  <si>
    <t>Merritt Island</t>
  </si>
  <si>
    <t>Mesa</t>
  </si>
  <si>
    <t>Mesquite</t>
  </si>
  <si>
    <t>Metairie</t>
  </si>
  <si>
    <t>Metairie Terrace</t>
  </si>
  <si>
    <t>Methuen</t>
  </si>
  <si>
    <t>Miami</t>
  </si>
  <si>
    <t>Praia de Miami</t>
  </si>
  <si>
    <t>Miami Beach</t>
  </si>
  <si>
    <t>Miami Gardens</t>
  </si>
  <si>
    <t>Miami Lakes</t>
  </si>
  <si>
    <t>Miamisburg</t>
  </si>
  <si>
    <t>Cidade de Michigan</t>
  </si>
  <si>
    <t>Michigan City</t>
  </si>
  <si>
    <t>Rio médio</t>
  </si>
  <si>
    <t>Middle River</t>
  </si>
  <si>
    <t>Middleburg Heights</t>
  </si>
  <si>
    <t>Middletown</t>
  </si>
  <si>
    <t>Midvale</t>
  </si>
  <si>
    <t>Cidade do Centro -Oeste</t>
  </si>
  <si>
    <t>Midwest City</t>
  </si>
  <si>
    <t>Milford</t>
  </si>
  <si>
    <t>Milford Mill</t>
  </si>
  <si>
    <t>Cidade de Mililani</t>
  </si>
  <si>
    <t>Mililani Town</t>
  </si>
  <si>
    <t>Mill Creek</t>
  </si>
  <si>
    <t>Millbrae</t>
  </si>
  <si>
    <t>Millcreek</t>
  </si>
  <si>
    <t>Milledgeville</t>
  </si>
  <si>
    <t>Millville</t>
  </si>
  <si>
    <t>Milpitas</t>
  </si>
  <si>
    <t>Milwaukee</t>
  </si>
  <si>
    <t>Milwaukie</t>
  </si>
  <si>
    <t>Mineola</t>
  </si>
  <si>
    <t>Minneapolis</t>
  </si>
  <si>
    <t>Minnetonka</t>
  </si>
  <si>
    <t>Minnetonka Mills</t>
  </si>
  <si>
    <t>Minot</t>
  </si>
  <si>
    <t>Mint Hill</t>
  </si>
  <si>
    <t>Mira Loma</t>
  </si>
  <si>
    <t>Mishawaka</t>
  </si>
  <si>
    <t>Missão Viejo</t>
  </si>
  <si>
    <t>Mission Viejo</t>
  </si>
  <si>
    <t>Missoula</t>
  </si>
  <si>
    <t>Mitchell</t>
  </si>
  <si>
    <t>Móvel</t>
  </si>
  <si>
    <t>Mobile</t>
  </si>
  <si>
    <t>Modesto</t>
  </si>
  <si>
    <t>MOKENA</t>
  </si>
  <si>
    <t>Mokena</t>
  </si>
  <si>
    <t>Moline</t>
  </si>
  <si>
    <t>Monroe</t>
  </si>
  <si>
    <t>Monroeville</t>
  </si>
  <si>
    <t>Monsey</t>
  </si>
  <si>
    <t>Montclair</t>
  </si>
  <si>
    <t>Montebello</t>
  </si>
  <si>
    <t>Monterey</t>
  </si>
  <si>
    <t>Monterey Park</t>
  </si>
  <si>
    <t>Montgomery</t>
  </si>
  <si>
    <t>Montgomery Village</t>
  </si>
  <si>
    <t>Montrose</t>
  </si>
  <si>
    <t>Moore</t>
  </si>
  <si>
    <t>Mooresville</t>
  </si>
  <si>
    <t>Moorhead</t>
  </si>
  <si>
    <t>Moorpark</t>
  </si>
  <si>
    <t>Moraga</t>
  </si>
  <si>
    <t>Moreno Valley</t>
  </si>
  <si>
    <t>Morgan Hill</t>
  </si>
  <si>
    <t>Morganton</t>
  </si>
  <si>
    <t>Morristown</t>
  </si>
  <si>
    <t>Morrisville</t>
  </si>
  <si>
    <t>Morton</t>
  </si>
  <si>
    <t>Morton Grove</t>
  </si>
  <si>
    <t>Lago de Moses</t>
  </si>
  <si>
    <t>Moses Lake</t>
  </si>
  <si>
    <t>Monte Clemens</t>
  </si>
  <si>
    <t>Mount Clemens</t>
  </si>
  <si>
    <t>Monte Juliet</t>
  </si>
  <si>
    <t>Mount Juliet</t>
  </si>
  <si>
    <t>Monte Laurel</t>
  </si>
  <si>
    <t>Mount Laurel</t>
  </si>
  <si>
    <t>Mount Líbano</t>
  </si>
  <si>
    <t>Mount Lebanon</t>
  </si>
  <si>
    <t>Monte Pleasant</t>
  </si>
  <si>
    <t>Mount Pleasant</t>
  </si>
  <si>
    <t>Mount Prospect</t>
  </si>
  <si>
    <t>Monte Vernon</t>
  </si>
  <si>
    <t>Mount Vernon</t>
  </si>
  <si>
    <t>Mountain Brook</t>
  </si>
  <si>
    <t>Topo da montanha</t>
  </si>
  <si>
    <t>Mountain Top</t>
  </si>
  <si>
    <t>vista da montanha</t>
  </si>
  <si>
    <t>Mountain View</t>
  </si>
  <si>
    <t>Mountlake Terrace</t>
  </si>
  <si>
    <t>Mukilteo</t>
  </si>
  <si>
    <t>Muncie</t>
  </si>
  <si>
    <t>Mundelein</t>
  </si>
  <si>
    <t>Murfreesboro</t>
  </si>
  <si>
    <t>Murray</t>
  </si>
  <si>
    <t>Murrieta</t>
  </si>
  <si>
    <t>Murrysville</t>
  </si>
  <si>
    <t>Muscatine</t>
  </si>
  <si>
    <t>Muskego</t>
  </si>
  <si>
    <t>Muskegon</t>
  </si>
  <si>
    <t>Muskogee</t>
  </si>
  <si>
    <t>Mustang</t>
  </si>
  <si>
    <t>Myrtle Beach</t>
  </si>
  <si>
    <t>Myrtle Grove</t>
  </si>
  <si>
    <t>Nampa</t>
  </si>
  <si>
    <t>Nanuet</t>
  </si>
  <si>
    <t>Napa</t>
  </si>
  <si>
    <t>Naperville</t>
  </si>
  <si>
    <t>Nápoles</t>
  </si>
  <si>
    <t>Naples</t>
  </si>
  <si>
    <t>Nashua</t>
  </si>
  <si>
    <t>Nashville</t>
  </si>
  <si>
    <t>Natchez</t>
  </si>
  <si>
    <t>Natchitoches</t>
  </si>
  <si>
    <t>Natick</t>
  </si>
  <si>
    <t>Cidade Nacional</t>
  </si>
  <si>
    <t>National City</t>
  </si>
  <si>
    <t>Navarra</t>
  </si>
  <si>
    <t>Needham</t>
  </si>
  <si>
    <t>Neenah</t>
  </si>
  <si>
    <t>New Albany</t>
  </si>
  <si>
    <t>New Bedford</t>
  </si>
  <si>
    <t>Nova Berlim</t>
  </si>
  <si>
    <t>New Berlin</t>
  </si>
  <si>
    <t>New Bern</t>
  </si>
  <si>
    <t>New Brighton</t>
  </si>
  <si>
    <t>Novo castelo</t>
  </si>
  <si>
    <t>New Castle</t>
  </si>
  <si>
    <t>Nova cidade</t>
  </si>
  <si>
    <t>New City</t>
  </si>
  <si>
    <t>Nova Esperança</t>
  </si>
  <si>
    <t>New Hope</t>
  </si>
  <si>
    <t>Nova Ibéria</t>
  </si>
  <si>
    <t>New Iberia</t>
  </si>
  <si>
    <t>Novo Lenox</t>
  </si>
  <si>
    <t>New Lenox</t>
  </si>
  <si>
    <t>New Milford</t>
  </si>
  <si>
    <t>Nova Orleans</t>
  </si>
  <si>
    <t>New Orleans</t>
  </si>
  <si>
    <t>Nova Filadélfia</t>
  </si>
  <si>
    <t>New Philadelphia</t>
  </si>
  <si>
    <t>Nova Rochelle</t>
  </si>
  <si>
    <t>New Rochelle</t>
  </si>
  <si>
    <t>Nova praia de Smyrna</t>
  </si>
  <si>
    <t>New Smyrna Beach</t>
  </si>
  <si>
    <t>New South Memphis</t>
  </si>
  <si>
    <t>Cidade de Nova York</t>
  </si>
  <si>
    <t>New York City</t>
  </si>
  <si>
    <t>Newark</t>
  </si>
  <si>
    <t>Newberg</t>
  </si>
  <si>
    <t>Newburg</t>
  </si>
  <si>
    <t>Newburgh</t>
  </si>
  <si>
    <t>Newburyport</t>
  </si>
  <si>
    <t>NEWNAN</t>
  </si>
  <si>
    <t>Newnan</t>
  </si>
  <si>
    <t>praia de Newport</t>
  </si>
  <si>
    <t>Newport Beach</t>
  </si>
  <si>
    <t>Newton</t>
  </si>
  <si>
    <t>Nicholasville</t>
  </si>
  <si>
    <t>Niles</t>
  </si>
  <si>
    <t>Nipomo</t>
  </si>
  <si>
    <t>NIXA</t>
  </si>
  <si>
    <t>Nixa</t>
  </si>
  <si>
    <t>Noblesville</t>
  </si>
  <si>
    <t>Norco</t>
  </si>
  <si>
    <t>Norfolk</t>
  </si>
  <si>
    <t>Norland</t>
  </si>
  <si>
    <t>Normal</t>
  </si>
  <si>
    <t>normando</t>
  </si>
  <si>
    <t>Norman</t>
  </si>
  <si>
    <t>Norristown</t>
  </si>
  <si>
    <t>North Amityville</t>
  </si>
  <si>
    <t>North Arlington</t>
  </si>
  <si>
    <t>Augusta do Norte</t>
  </si>
  <si>
    <t>North Augusta</t>
  </si>
  <si>
    <t>Aurora norte</t>
  </si>
  <si>
    <t>North Aurora</t>
  </si>
  <si>
    <t>Babilônia do Norte</t>
  </si>
  <si>
    <t>North Babylon</t>
  </si>
  <si>
    <t>North Bay Shore</t>
  </si>
  <si>
    <t>North Bel Air</t>
  </si>
  <si>
    <t>North Bellmore</t>
  </si>
  <si>
    <t>North Bergen</t>
  </si>
  <si>
    <t>NORTE BETHESDA</t>
  </si>
  <si>
    <t>North Bethesda</t>
  </si>
  <si>
    <t>Canton do norte</t>
  </si>
  <si>
    <t>North Canton</t>
  </si>
  <si>
    <t>North Charleston</t>
  </si>
  <si>
    <t>North Chicago</t>
  </si>
  <si>
    <t>North Chicopee</t>
  </si>
  <si>
    <t>North Creek</t>
  </si>
  <si>
    <t>North Decatur</t>
  </si>
  <si>
    <t>Hills do North Druid</t>
  </si>
  <si>
    <t>North Druid Hills</t>
  </si>
  <si>
    <t>North Fort Myers</t>
  </si>
  <si>
    <t>North Glendale</t>
  </si>
  <si>
    <t>Highlands do norte</t>
  </si>
  <si>
    <t>North Highlands</t>
  </si>
  <si>
    <t>North Hollywood</t>
  </si>
  <si>
    <t>North Kingstown</t>
  </si>
  <si>
    <t>North La Crosse</t>
  </si>
  <si>
    <t>North Las Vegas</t>
  </si>
  <si>
    <t>North Lauderdale</t>
  </si>
  <si>
    <t>North Little Rock</t>
  </si>
  <si>
    <t>Massapequa do Norte</t>
  </si>
  <si>
    <t>North Massapequa</t>
  </si>
  <si>
    <t>North Miami</t>
  </si>
  <si>
    <t>North Miami Beach</t>
  </si>
  <si>
    <t>North Ogden</t>
  </si>
  <si>
    <t>North Olmsted</t>
  </si>
  <si>
    <t>North Peoria</t>
  </si>
  <si>
    <t>North Plainfield</t>
  </si>
  <si>
    <t>North Platte</t>
  </si>
  <si>
    <t>Porto Norte</t>
  </si>
  <si>
    <t>North Port</t>
  </si>
  <si>
    <t>North Potomac</t>
  </si>
  <si>
    <t>North Providence</t>
  </si>
  <si>
    <t>North Ridgeville</t>
  </si>
  <si>
    <t>North Royalton</t>
  </si>
  <si>
    <t>North Salt Lake</t>
  </si>
  <si>
    <t>North Tonawanda</t>
  </si>
  <si>
    <t>North Tustin</t>
  </si>
  <si>
    <t>Corrente do North Valley</t>
  </si>
  <si>
    <t>North Valley Stream</t>
  </si>
  <si>
    <t>Northbrook</t>
  </si>
  <si>
    <t>Northfield</t>
  </si>
  <si>
    <t>Northglenn</t>
  </si>
  <si>
    <t>Northport</t>
  </si>
  <si>
    <t>Northridge</t>
  </si>
  <si>
    <t>Norton</t>
  </si>
  <si>
    <t>Norton Shores</t>
  </si>
  <si>
    <t>Norwalk</t>
  </si>
  <si>
    <t>Norwood</t>
  </si>
  <si>
    <t>Novato</t>
  </si>
  <si>
    <t>Novi</t>
  </si>
  <si>
    <t>Nutley</t>
  </si>
  <si>
    <t>Oak Creek</t>
  </si>
  <si>
    <t>Floresta de Oak</t>
  </si>
  <si>
    <t>Oak Forest</t>
  </si>
  <si>
    <t>Oak Grove</t>
  </si>
  <si>
    <t>Oak Harbor</t>
  </si>
  <si>
    <t>Oak Hill</t>
  </si>
  <si>
    <t>Oak Lawn</t>
  </si>
  <si>
    <t>Oak Park</t>
  </si>
  <si>
    <t>Oak Ridge</t>
  </si>
  <si>
    <t>Oakdale</t>
  </si>
  <si>
    <t>Oakland</t>
  </si>
  <si>
    <t>Oakland Park</t>
  </si>
  <si>
    <t>Oakley</t>
  </si>
  <si>
    <t>Ocala</t>
  </si>
  <si>
    <t>Ocean Acres</t>
  </si>
  <si>
    <t>Ocean Springs</t>
  </si>
  <si>
    <t>Oceanse</t>
  </si>
  <si>
    <t>Oceanside</t>
  </si>
  <si>
    <t>Ocoee</t>
  </si>
  <si>
    <t>Oconomowoc</t>
  </si>
  <si>
    <t>Odenton</t>
  </si>
  <si>
    <t>O'Fallon</t>
  </si>
  <si>
    <t>Ogden</t>
  </si>
  <si>
    <t>Oildale</t>
  </si>
  <si>
    <t>Ojus</t>
  </si>
  <si>
    <t>Okemos</t>
  </si>
  <si>
    <t>Cidade de Oklahoma</t>
  </si>
  <si>
    <t>Oklahoma City</t>
  </si>
  <si>
    <t>Okolona</t>
  </si>
  <si>
    <t>Olathe</t>
  </si>
  <si>
    <t>Ponte Velha</t>
  </si>
  <si>
    <t>Old Bridge</t>
  </si>
  <si>
    <t>Ramo de oliveira</t>
  </si>
  <si>
    <t>Olive Branch</t>
  </si>
  <si>
    <t>Olney</t>
  </si>
  <si>
    <t>Olympia</t>
  </si>
  <si>
    <t>Omaha</t>
  </si>
  <si>
    <t>Onalaska</t>
  </si>
  <si>
    <t>Ontário</t>
  </si>
  <si>
    <t>OPA-LOCKA</t>
  </si>
  <si>
    <t>Opa-locka</t>
  </si>
  <si>
    <t>Opelika</t>
  </si>
  <si>
    <t>Oppelousas</t>
  </si>
  <si>
    <t>Opelousas</t>
  </si>
  <si>
    <t>Oportunidade</t>
  </si>
  <si>
    <t>Opportunity</t>
  </si>
  <si>
    <t>Orangevale</t>
  </si>
  <si>
    <t>Pomares</t>
  </si>
  <si>
    <t>Orchards</t>
  </si>
  <si>
    <t>Orcutt</t>
  </si>
  <si>
    <t>Cidade do Oregon</t>
  </si>
  <si>
    <t>Oregon City</t>
  </si>
  <si>
    <t>Orem</t>
  </si>
  <si>
    <t>ORINDA</t>
  </si>
  <si>
    <t>Orinda</t>
  </si>
  <si>
    <t>Orland Park</t>
  </si>
  <si>
    <t>Orlando</t>
  </si>
  <si>
    <t>Ormond Beach</t>
  </si>
  <si>
    <t>Oro Valley</t>
  </si>
  <si>
    <t>Oroville</t>
  </si>
  <si>
    <t>Oshkosh</t>
  </si>
  <si>
    <t>Ossining</t>
  </si>
  <si>
    <t>Oswego</t>
  </si>
  <si>
    <t>Ottumwa</t>
  </si>
  <si>
    <t>Terrestre</t>
  </si>
  <si>
    <t>Overland</t>
  </si>
  <si>
    <t>Overland Park</t>
  </si>
  <si>
    <t>Owasso</t>
  </si>
  <si>
    <t>Owatonna</t>
  </si>
  <si>
    <t>Owensboro</t>
  </si>
  <si>
    <t>Owings Mills</t>
  </si>
  <si>
    <t>OWOSSO</t>
  </si>
  <si>
    <t>Owosso</t>
  </si>
  <si>
    <t>Oxnard</t>
  </si>
  <si>
    <t>Oxnard Shores</t>
  </si>
  <si>
    <t>Oxon Hill</t>
  </si>
  <si>
    <t>Ozark</t>
  </si>
  <si>
    <t>Ritmo</t>
  </si>
  <si>
    <t>Pace</t>
  </si>
  <si>
    <t>Pacific Grove</t>
  </si>
  <si>
    <t>Pacifica</t>
  </si>
  <si>
    <t>Paducah</t>
  </si>
  <si>
    <t>Pahrump</t>
  </si>
  <si>
    <t>Painesville</t>
  </si>
  <si>
    <t>Palatina</t>
  </si>
  <si>
    <t>Palatine</t>
  </si>
  <si>
    <t>Palisades Park</t>
  </si>
  <si>
    <t>Palm Bay</t>
  </si>
  <si>
    <t>Palm Beach Gardens</t>
  </si>
  <si>
    <t>Palm City</t>
  </si>
  <si>
    <t>Palm Coast</t>
  </si>
  <si>
    <t>Deserto da palma</t>
  </si>
  <si>
    <t>Palm Desert</t>
  </si>
  <si>
    <t>Palm Harbor</t>
  </si>
  <si>
    <t>Palm River-Clair Mel</t>
  </si>
  <si>
    <t>Palm Springs</t>
  </si>
  <si>
    <t>Palm Valley</t>
  </si>
  <si>
    <t>Palmdale</t>
  </si>
  <si>
    <t>Palmer</t>
  </si>
  <si>
    <t>Baía de Palmetto</t>
  </si>
  <si>
    <t>Palmetto Bay</t>
  </si>
  <si>
    <t>Palo Alto</t>
  </si>
  <si>
    <t>Hills de Palos</t>
  </si>
  <si>
    <t>Palos Hills</t>
  </si>
  <si>
    <t>Pampa</t>
  </si>
  <si>
    <t>cidade do Panamá</t>
  </si>
  <si>
    <t>Panama City</t>
  </si>
  <si>
    <t>Papillion</t>
  </si>
  <si>
    <t>Paragould</t>
  </si>
  <si>
    <t>Paramount</t>
  </si>
  <si>
    <t>Paramus</t>
  </si>
  <si>
    <t>Floresta do Parque</t>
  </si>
  <si>
    <t>Park Forest</t>
  </si>
  <si>
    <t>Park Ridge</t>
  </si>
  <si>
    <t>Parker</t>
  </si>
  <si>
    <t>Parkland</t>
  </si>
  <si>
    <t>Parkville</t>
  </si>
  <si>
    <t>Parma Heights</t>
  </si>
  <si>
    <t>Liberdade condicional</t>
  </si>
  <si>
    <t>Parole</t>
  </si>
  <si>
    <t>Parsippany</t>
  </si>
  <si>
    <t>Pasadena</t>
  </si>
  <si>
    <t>Pascagoula</t>
  </si>
  <si>
    <t>Paso Robles</t>
  </si>
  <si>
    <t>Passaic</t>
  </si>
  <si>
    <t>Paterson</t>
  </si>
  <si>
    <t>Patterson</t>
  </si>
  <si>
    <t>Pawtucket</t>
  </si>
  <si>
    <t>Payson</t>
  </si>
  <si>
    <t>Peabody</t>
  </si>
  <si>
    <t>Cidade de Peachtree</t>
  </si>
  <si>
    <t>Peachtree City</t>
  </si>
  <si>
    <t>Pérola</t>
  </si>
  <si>
    <t>Pearl</t>
  </si>
  <si>
    <t>Pearl City</t>
  </si>
  <si>
    <t>Rio Pearl</t>
  </si>
  <si>
    <t>Pearl River</t>
  </si>
  <si>
    <t>Peekskill</t>
  </si>
  <si>
    <t>Pekin</t>
  </si>
  <si>
    <t>Pelham</t>
  </si>
  <si>
    <t>Pembroke Pines</t>
  </si>
  <si>
    <t>Pendleton</t>
  </si>
  <si>
    <t>Penn Hills</t>
  </si>
  <si>
    <t>Pennsauken</t>
  </si>
  <si>
    <t>Pensacola</t>
  </si>
  <si>
    <t>Peoria</t>
  </si>
  <si>
    <t>Perris</t>
  </si>
  <si>
    <t>Perry Hall</t>
  </si>
  <si>
    <t>Perrysburg</t>
  </si>
  <si>
    <t>Perth Amboy</t>
  </si>
  <si>
    <t>Petaluma</t>
  </si>
  <si>
    <t>Cidade de Phenix</t>
  </si>
  <si>
    <t>Phenix City</t>
  </si>
  <si>
    <t>Filadélfia</t>
  </si>
  <si>
    <t>Philadelphia</t>
  </si>
  <si>
    <t>Fénix</t>
  </si>
  <si>
    <t>Phoenix</t>
  </si>
  <si>
    <t>Phoenixville</t>
  </si>
  <si>
    <t>Pickerington</t>
  </si>
  <si>
    <t>Pico Rivera</t>
  </si>
  <si>
    <t>Pikesville</t>
  </si>
  <si>
    <t>Pinho bleff</t>
  </si>
  <si>
    <t>Pine Bluff</t>
  </si>
  <si>
    <t>Pine Hills</t>
  </si>
  <si>
    <t>Pinecrest</t>
  </si>
  <si>
    <t>Pinellas Park</t>
  </si>
  <si>
    <t>Pinhal</t>
  </si>
  <si>
    <t>Pinewood</t>
  </si>
  <si>
    <t>Pinole</t>
  </si>
  <si>
    <t>Piqua</t>
  </si>
  <si>
    <t>Piscataway</t>
  </si>
  <si>
    <t>Pittsburg</t>
  </si>
  <si>
    <t>Pittsburgh</t>
  </si>
  <si>
    <t>Pittsfield</t>
  </si>
  <si>
    <t>Placentia</t>
  </si>
  <si>
    <t>Plainfield</t>
  </si>
  <si>
    <t>Vista plana</t>
  </si>
  <si>
    <t>Plainview</t>
  </si>
  <si>
    <t>Plant City</t>
  </si>
  <si>
    <t>Plantação</t>
  </si>
  <si>
    <t>Plantation</t>
  </si>
  <si>
    <t>Plattsburgh</t>
  </si>
  <si>
    <t>Pleasant Grove</t>
  </si>
  <si>
    <t>Hill Pleasant</t>
  </si>
  <si>
    <t>Pleasant Hill</t>
  </si>
  <si>
    <t>Prairie agradável</t>
  </si>
  <si>
    <t>Pleasant Prairie</t>
  </si>
  <si>
    <t>Pleasanton</t>
  </si>
  <si>
    <t>Pleasantville</t>
  </si>
  <si>
    <t>Pleasure Ridge Park</t>
  </si>
  <si>
    <t>Ameixa</t>
  </si>
  <si>
    <t>Plum</t>
  </si>
  <si>
    <t>Pocatello</t>
  </si>
  <si>
    <t>Poinciana</t>
  </si>
  <si>
    <t>Point Pleasant</t>
  </si>
  <si>
    <t>Pomona</t>
  </si>
  <si>
    <t>Praia de Pompano</t>
  </si>
  <si>
    <t>Pompano Beach</t>
  </si>
  <si>
    <t>Cidade de Ponca</t>
  </si>
  <si>
    <t>Ponca City</t>
  </si>
  <si>
    <t>Praia de Ponte Vedra</t>
  </si>
  <si>
    <t>Ponte Vedra Beach</t>
  </si>
  <si>
    <t>Pontiac</t>
  </si>
  <si>
    <t>Pooler</t>
  </si>
  <si>
    <t>Bluff de álamo</t>
  </si>
  <si>
    <t>Poplar Bluff</t>
  </si>
  <si>
    <t>Port Angeles</t>
  </si>
  <si>
    <t>Port Charlotte</t>
  </si>
  <si>
    <t>Port Chester</t>
  </si>
  <si>
    <t>Port Hueneme</t>
  </si>
  <si>
    <t>Port Huron</t>
  </si>
  <si>
    <t>Port Orange</t>
  </si>
  <si>
    <t>Port Saint Lucie</t>
  </si>
  <si>
    <t>Port Washington</t>
  </si>
  <si>
    <t>Portage</t>
  </si>
  <si>
    <t>Porterville</t>
  </si>
  <si>
    <t>Portland</t>
  </si>
  <si>
    <t>Post Falls</t>
  </si>
  <si>
    <t>Potomac</t>
  </si>
  <si>
    <t>Pottstown</t>
  </si>
  <si>
    <t>Poughkeepsie</t>
  </si>
  <si>
    <t>Poway</t>
  </si>
  <si>
    <t>Vila da pradaria</t>
  </si>
  <si>
    <t>Prairie Village</t>
  </si>
  <si>
    <t>Prairieville</t>
  </si>
  <si>
    <t>Prattville</t>
  </si>
  <si>
    <t>Prescott</t>
  </si>
  <si>
    <t>Prescott Valley</t>
  </si>
  <si>
    <t>Prichard</t>
  </si>
  <si>
    <t>Princeton</t>
  </si>
  <si>
    <t>Lago anterior</t>
  </si>
  <si>
    <t>Prior Lake</t>
  </si>
  <si>
    <t>Prospect Heights</t>
  </si>
  <si>
    <t>Providência</t>
  </si>
  <si>
    <t>Providence</t>
  </si>
  <si>
    <t>Provo</t>
  </si>
  <si>
    <t>Prunedale</t>
  </si>
  <si>
    <t>Pueblo</t>
  </si>
  <si>
    <t>Pueblo West</t>
  </si>
  <si>
    <t>Pullman</t>
  </si>
  <si>
    <t>Punta Gorda</t>
  </si>
  <si>
    <t>Punta Gorda Isles</t>
  </si>
  <si>
    <t>Puyallup</t>
  </si>
  <si>
    <t>Queen Creek</t>
  </si>
  <si>
    <t>Quincy</t>
  </si>
  <si>
    <t>Racine</t>
  </si>
  <si>
    <t>Radcliff</t>
  </si>
  <si>
    <t>Radnor</t>
  </si>
  <si>
    <t>Rahway</t>
  </si>
  <si>
    <t>Raleigh</t>
  </si>
  <si>
    <t>Ramona</t>
  </si>
  <si>
    <t>Ramsey</t>
  </si>
  <si>
    <t>Rancho Cordova</t>
  </si>
  <si>
    <t>Rancho Cucamonga</t>
  </si>
  <si>
    <t>Rancho Mirage</t>
  </si>
  <si>
    <t>Rancho Palos Verdes</t>
  </si>
  <si>
    <t>Rancho San Diego</t>
  </si>
  <si>
    <t>Rancho Santa Margarita</t>
  </si>
  <si>
    <t>Randallstown</t>
  </si>
  <si>
    <t>Randolph</t>
  </si>
  <si>
    <t>Rapid City</t>
  </si>
  <si>
    <t>Raymore</t>
  </si>
  <si>
    <t>Raytown</t>
  </si>
  <si>
    <t>ASA vermelha</t>
  </si>
  <si>
    <t>Red Wing</t>
  </si>
  <si>
    <t>Redan</t>
  </si>
  <si>
    <t>Redding</t>
  </si>
  <si>
    <t>Redford</t>
  </si>
  <si>
    <t>Redland</t>
  </si>
  <si>
    <t>Redlands</t>
  </si>
  <si>
    <t>Redmond</t>
  </si>
  <si>
    <t>Redondo Beach</t>
  </si>
  <si>
    <t>Redwood City</t>
  </si>
  <si>
    <t>Reedley</t>
  </si>
  <si>
    <t>Reisterstown</t>
  </si>
  <si>
    <t>Reno</t>
  </si>
  <si>
    <t>Renton</t>
  </si>
  <si>
    <t>Rexburg</t>
  </si>
  <si>
    <t>Reynoldsburg</t>
  </si>
  <si>
    <t>Rialto</t>
  </si>
  <si>
    <t>Richfield</t>
  </si>
  <si>
    <t>Richland</t>
  </si>
  <si>
    <t>Richmond West</t>
  </si>
  <si>
    <t>Ridgecrest</t>
  </si>
  <si>
    <t>Ridgeland</t>
  </si>
  <si>
    <t>Ridgewood</t>
  </si>
  <si>
    <t>Rio Linda</t>
  </si>
  <si>
    <t>Rio Rancho</t>
  </si>
  <si>
    <t>Rio Rico</t>
  </si>
  <si>
    <t>Margem do rio</t>
  </si>
  <si>
    <t>Riverbank</t>
  </si>
  <si>
    <t>Riverdale</t>
  </si>
  <si>
    <t>Riverside</t>
  </si>
  <si>
    <t>Riverton</t>
  </si>
  <si>
    <t>Vista do rio</t>
  </si>
  <si>
    <t>Riverview</t>
  </si>
  <si>
    <t>Praia de Riviera</t>
  </si>
  <si>
    <t>Riviera Beach</t>
  </si>
  <si>
    <t>Roanoke Rapids</t>
  </si>
  <si>
    <t>Rochester Hills</t>
  </si>
  <si>
    <t>Rock Hill</t>
  </si>
  <si>
    <t>Ilha Rock</t>
  </si>
  <si>
    <t>Rock Island</t>
  </si>
  <si>
    <t>Rock Springs</t>
  </si>
  <si>
    <t>Rockford</t>
  </si>
  <si>
    <t>Rockland</t>
  </si>
  <si>
    <t>Rockledge</t>
  </si>
  <si>
    <t>Rocklin</t>
  </si>
  <si>
    <t>Rockville</t>
  </si>
  <si>
    <t>Rockville Center</t>
  </si>
  <si>
    <t>Rockville Centre</t>
  </si>
  <si>
    <t>Mount Rocky</t>
  </si>
  <si>
    <t>Rocky Mount</t>
  </si>
  <si>
    <t>Rio rochoso</t>
  </si>
  <si>
    <t>Rocky River</t>
  </si>
  <si>
    <t>Rogers</t>
  </si>
  <si>
    <t>Rohnert Park</t>
  </si>
  <si>
    <t>Rolla</t>
  </si>
  <si>
    <t>Prados rolantes</t>
  </si>
  <si>
    <t>Rolling Meadows</t>
  </si>
  <si>
    <t>Romeoville</t>
  </si>
  <si>
    <t>Romulus</t>
  </si>
  <si>
    <t>Ronkonkoma</t>
  </si>
  <si>
    <t>Roosevelt</t>
  </si>
  <si>
    <t>Rosamond</t>
  </si>
  <si>
    <t>Roseburgo</t>
  </si>
  <si>
    <t>Roseburg</t>
  </si>
  <si>
    <t>Rosedale</t>
  </si>
  <si>
    <t>Roselle</t>
  </si>
  <si>
    <t>Rosemead</t>
  </si>
  <si>
    <t>Rosemont</t>
  </si>
  <si>
    <t>Rosemount</t>
  </si>
  <si>
    <t>Roseville</t>
  </si>
  <si>
    <t>Rossville</t>
  </si>
  <si>
    <t>Roswell</t>
  </si>
  <si>
    <t>Lago redondo</t>
  </si>
  <si>
    <t>Round Lake</t>
  </si>
  <si>
    <t>Round Lake Beach</t>
  </si>
  <si>
    <t>Rowland Heights</t>
  </si>
  <si>
    <t>Roy</t>
  </si>
  <si>
    <t>Royal Oak</t>
  </si>
  <si>
    <t>Royal Palm Beach</t>
  </si>
  <si>
    <t>Rubidoux</t>
  </si>
  <si>
    <t>Ruskin</t>
  </si>
  <si>
    <t>Russellville</t>
  </si>
  <si>
    <t>Ruston</t>
  </si>
  <si>
    <t>Rutherford</t>
  </si>
  <si>
    <t>Rutland</t>
  </si>
  <si>
    <t>Centeio</t>
  </si>
  <si>
    <t>Rye</t>
  </si>
  <si>
    <t>Saco</t>
  </si>
  <si>
    <t>Porto de segurança</t>
  </si>
  <si>
    <t>Safety Harbor</t>
  </si>
  <si>
    <t>Saginaw</t>
  </si>
  <si>
    <t>Sahuarita</t>
  </si>
  <si>
    <t>São Charles</t>
  </si>
  <si>
    <t>Saint Charles</t>
  </si>
  <si>
    <t>Saint Clair Shores</t>
  </si>
  <si>
    <t>Saint Cloud</t>
  </si>
  <si>
    <t>São Jorge</t>
  </si>
  <si>
    <t>são José</t>
  </si>
  <si>
    <t>Saint Joseph</t>
  </si>
  <si>
    <t>Saint Louis Park</t>
  </si>
  <si>
    <t>Saint Matthews</t>
  </si>
  <si>
    <t>Santo Michael</t>
  </si>
  <si>
    <t>Saint Paul</t>
  </si>
  <si>
    <t>São Peters</t>
  </si>
  <si>
    <t>Saint Peters</t>
  </si>
  <si>
    <t>Salina</t>
  </si>
  <si>
    <t>Salmon Creek</t>
  </si>
  <si>
    <t>Salt Lake City</t>
  </si>
  <si>
    <t>Sammamish</t>
  </si>
  <si>
    <t>San Angelo</t>
  </si>
  <si>
    <t>San Bernardino</t>
  </si>
  <si>
    <t>San Bruno</t>
  </si>
  <si>
    <t>Parque San Carlos</t>
  </si>
  <si>
    <t>San Carlos Park</t>
  </si>
  <si>
    <t>San Dimas</t>
  </si>
  <si>
    <t>San Juan Capistrano</t>
  </si>
  <si>
    <t>San Leandro</t>
  </si>
  <si>
    <t>San Luis Obispo</t>
  </si>
  <si>
    <t>San Ramon</t>
  </si>
  <si>
    <t>Vale de San Tan</t>
  </si>
  <si>
    <t>San Tan Valley</t>
  </si>
  <si>
    <t>Molas de areia</t>
  </si>
  <si>
    <t>Sand Springs</t>
  </si>
  <si>
    <t>Sandusky</t>
  </si>
  <si>
    <t>Cidade arenosa</t>
  </si>
  <si>
    <t>Sandy City</t>
  </si>
  <si>
    <t>Sandy Hills</t>
  </si>
  <si>
    <t>Sandy Springs</t>
  </si>
  <si>
    <t>Sanford</t>
  </si>
  <si>
    <t>Sanger</t>
  </si>
  <si>
    <t>Santa Clarita</t>
  </si>
  <si>
    <t>Santa Fé</t>
  </si>
  <si>
    <t>Santa Fe Springs</t>
  </si>
  <si>
    <t>Santa Mônica</t>
  </si>
  <si>
    <t>Santa Monica</t>
  </si>
  <si>
    <t>Santa Paula</t>
  </si>
  <si>
    <t>Santee</t>
  </si>
  <si>
    <t>Sapulpa</t>
  </si>
  <si>
    <t>Sarasota</t>
  </si>
  <si>
    <t>Saratoga</t>
  </si>
  <si>
    <t>Saratoga Springs</t>
  </si>
  <si>
    <t>Sartell</t>
  </si>
  <si>
    <t>Saugus</t>
  </si>
  <si>
    <t>Selvagem</t>
  </si>
  <si>
    <t>Savage</t>
  </si>
  <si>
    <t>Savana</t>
  </si>
  <si>
    <t>Savannah</t>
  </si>
  <si>
    <t>Sayreville</t>
  </si>
  <si>
    <t>Junção de Sayreville</t>
  </si>
  <si>
    <t>Sayreville Junction</t>
  </si>
  <si>
    <t>Sayville</t>
  </si>
  <si>
    <t>Scarsdale</t>
  </si>
  <si>
    <t>Schaumburg</t>
  </si>
  <si>
    <t>Schenectady</t>
  </si>
  <si>
    <t>Schererville</t>
  </si>
  <si>
    <t>Quartéis de schofield</t>
  </si>
  <si>
    <t>Schofield Barracks</t>
  </si>
  <si>
    <t>Planície escocesa</t>
  </si>
  <si>
    <t>Scotch Plains</t>
  </si>
  <si>
    <t>Scottsbluff</t>
  </si>
  <si>
    <t>Scottsdale</t>
  </si>
  <si>
    <t>Scranton</t>
  </si>
  <si>
    <t>Seabrook</t>
  </si>
  <si>
    <t>Seal Beach</t>
  </si>
  <si>
    <t>Searcy</t>
  </si>
  <si>
    <t>Seaside</t>
  </si>
  <si>
    <t>Seatac</t>
  </si>
  <si>
    <t>SeaTac</t>
  </si>
  <si>
    <t>Seattle</t>
  </si>
  <si>
    <t>Sebastian</t>
  </si>
  <si>
    <t>Secaucus</t>
  </si>
  <si>
    <t>Em todo o campo</t>
  </si>
  <si>
    <t>Security-Widefield</t>
  </si>
  <si>
    <t>Sedalia</t>
  </si>
  <si>
    <t>Selden</t>
  </si>
  <si>
    <t>Selma</t>
  </si>
  <si>
    <t>Seminole</t>
  </si>
  <si>
    <t>Setauket-leste setauket</t>
  </si>
  <si>
    <t>Setauket-East Setauket</t>
  </si>
  <si>
    <t>Sete Oaks</t>
  </si>
  <si>
    <t>Seven Oaks</t>
  </si>
  <si>
    <t>Severn</t>
  </si>
  <si>
    <t>Severna Park</t>
  </si>
  <si>
    <t>Seymour</t>
  </si>
  <si>
    <t>Shafter</t>
  </si>
  <si>
    <t>Shaker Heights</t>
  </si>
  <si>
    <t>Shakopee</t>
  </si>
  <si>
    <t>Shawnee</t>
  </si>
  <si>
    <t>Sheboygan</t>
  </si>
  <si>
    <t>Shelby</t>
  </si>
  <si>
    <t>Shelbyville</t>
  </si>
  <si>
    <t>Shenandoah</t>
  </si>
  <si>
    <t>Sheridan</t>
  </si>
  <si>
    <t>Sherman Oaks</t>
  </si>
  <si>
    <t>Sherrelwood</t>
  </si>
  <si>
    <t>Sherwood</t>
  </si>
  <si>
    <t>Shively</t>
  </si>
  <si>
    <t>Costa</t>
  </si>
  <si>
    <t>Shoreline</t>
  </si>
  <si>
    <t>Shoreview</t>
  </si>
  <si>
    <t>Shorewood</t>
  </si>
  <si>
    <t>Shreveport</t>
  </si>
  <si>
    <t>Sicklerville</t>
  </si>
  <si>
    <t>Sidney</t>
  </si>
  <si>
    <t>Sierra Vista</t>
  </si>
  <si>
    <t>Sikeston</t>
  </si>
  <si>
    <t>Siloam Springs</t>
  </si>
  <si>
    <t>FIRS de prata</t>
  </si>
  <si>
    <t>Silver Firs</t>
  </si>
  <si>
    <t>Lago prateado</t>
  </si>
  <si>
    <t>Silver Lake</t>
  </si>
  <si>
    <t>Primavera de prata</t>
  </si>
  <si>
    <t>Silver Spring</t>
  </si>
  <si>
    <t>Silverdale</t>
  </si>
  <si>
    <t>Vale Simi</t>
  </si>
  <si>
    <t>Simi Valley</t>
  </si>
  <si>
    <t>Simpsonville</t>
  </si>
  <si>
    <t>Cidade de Sioux</t>
  </si>
  <si>
    <t>Sioux City</t>
  </si>
  <si>
    <t>Sioux cai</t>
  </si>
  <si>
    <t>Sioux Falls</t>
  </si>
  <si>
    <t>Skokie</t>
  </si>
  <si>
    <t>Slidell</t>
  </si>
  <si>
    <t>Smithfield</t>
  </si>
  <si>
    <t>Smithtown</t>
  </si>
  <si>
    <t>Smyrna</t>
  </si>
  <si>
    <t>Snellville</t>
  </si>
  <si>
    <t>SOCASTEE</t>
  </si>
  <si>
    <t>Socastee</t>
  </si>
  <si>
    <t>Missão Socorro número 1 Colonia</t>
  </si>
  <si>
    <t>Socorro Mission Number 1 Colonia</t>
  </si>
  <si>
    <t>Solon</t>
  </si>
  <si>
    <t>Somerset</t>
  </si>
  <si>
    <t>Somerville</t>
  </si>
  <si>
    <t>South Bel Air</t>
  </si>
  <si>
    <t>curva Sul</t>
  </si>
  <si>
    <t>South Bend</t>
  </si>
  <si>
    <t>South Boston</t>
  </si>
  <si>
    <t>South Bradenton</t>
  </si>
  <si>
    <t>South Burlington</t>
  </si>
  <si>
    <t>South El Monte</t>
  </si>
  <si>
    <t>South Elgin</t>
  </si>
  <si>
    <t>Euclides do Sul</t>
  </si>
  <si>
    <t>South Euclid</t>
  </si>
  <si>
    <t>portão sul</t>
  </si>
  <si>
    <t>South Gate</t>
  </si>
  <si>
    <t>South Hadley</t>
  </si>
  <si>
    <t>South Hill</t>
  </si>
  <si>
    <t>Holanda do Sul</t>
  </si>
  <si>
    <t>Jordânia do Sul</t>
  </si>
  <si>
    <t>South Jordan</t>
  </si>
  <si>
    <t>Alturas do Sul da Jordânia</t>
  </si>
  <si>
    <t>South Jordan Heights</t>
  </si>
  <si>
    <t>South Lake Tahoe</t>
  </si>
  <si>
    <t>Laurel do Sul</t>
  </si>
  <si>
    <t>South Laurel</t>
  </si>
  <si>
    <t>South Miami Heights</t>
  </si>
  <si>
    <t>South Milwaukee</t>
  </si>
  <si>
    <t>South Ogden</t>
  </si>
  <si>
    <t>South Old Bridge</t>
  </si>
  <si>
    <t>South Orange</t>
  </si>
  <si>
    <t>Pasadena do Sul</t>
  </si>
  <si>
    <t>South Pasadena</t>
  </si>
  <si>
    <t>South Peabody</t>
  </si>
  <si>
    <t>South Plainfield</t>
  </si>
  <si>
    <t>South Portland</t>
  </si>
  <si>
    <t>South Portland Gardens</t>
  </si>
  <si>
    <t>South River</t>
  </si>
  <si>
    <t>South Saint Paul</t>
  </si>
  <si>
    <t>South Salt Lake</t>
  </si>
  <si>
    <t>São Francisco do Sul</t>
  </si>
  <si>
    <t>South San Francisco</t>
  </si>
  <si>
    <t>South San Jose Hills</t>
  </si>
  <si>
    <t>Vale do Sul</t>
  </si>
  <si>
    <t>South Valley</t>
  </si>
  <si>
    <t>Sul Vineland</t>
  </si>
  <si>
    <t>South Vineland</t>
  </si>
  <si>
    <t>South Whittier</t>
  </si>
  <si>
    <t>Cidade do Sul de Yuba</t>
  </si>
  <si>
    <t>South Yuba City</t>
  </si>
  <si>
    <t>Southeven</t>
  </si>
  <si>
    <t>Southaven</t>
  </si>
  <si>
    <t>Southbridge</t>
  </si>
  <si>
    <t>Southchase</t>
  </si>
  <si>
    <t>Southfield</t>
  </si>
  <si>
    <t>Portão sul</t>
  </si>
  <si>
    <t>Southgate</t>
  </si>
  <si>
    <t>Southglenn</t>
  </si>
  <si>
    <t>Spanaway</t>
  </si>
  <si>
    <t>Garfo espanhol</t>
  </si>
  <si>
    <t>Spanish Fork</t>
  </si>
  <si>
    <t>Lago espanhol</t>
  </si>
  <si>
    <t>Spanish Lake</t>
  </si>
  <si>
    <t>Springs espanhóis</t>
  </si>
  <si>
    <t>Spanish Springs</t>
  </si>
  <si>
    <t>Faíscas</t>
  </si>
  <si>
    <t>Sparks</t>
  </si>
  <si>
    <t>Spartanburg</t>
  </si>
  <si>
    <t>Spokane</t>
  </si>
  <si>
    <t>Vale de Spokane</t>
  </si>
  <si>
    <t>Spokane Valley</t>
  </si>
  <si>
    <t>Spring Hill</t>
  </si>
  <si>
    <t>Vale da primavera</t>
  </si>
  <si>
    <t>Spring Valley</t>
  </si>
  <si>
    <t>Springboro</t>
  </si>
  <si>
    <t>Springdale</t>
  </si>
  <si>
    <t>Springfield</t>
  </si>
  <si>
    <t>Springville</t>
  </si>
  <si>
    <t>São Luís</t>
  </si>
  <si>
    <t>St. Louis</t>
  </si>
  <si>
    <t>St. Marys</t>
  </si>
  <si>
    <t>Stanton</t>
  </si>
  <si>
    <t>Starkville</t>
  </si>
  <si>
    <t>Colégio Estadual</t>
  </si>
  <si>
    <t>State College</t>
  </si>
  <si>
    <t>Staten Island</t>
  </si>
  <si>
    <t>Statesboro</t>
  </si>
  <si>
    <t>Statesville</t>
  </si>
  <si>
    <t>Sterling</t>
  </si>
  <si>
    <t>Alturas de Sterling</t>
  </si>
  <si>
    <t>Sterling Heights</t>
  </si>
  <si>
    <t>Steubenville</t>
  </si>
  <si>
    <t>Stevens Point</t>
  </si>
  <si>
    <t>Ainda água</t>
  </si>
  <si>
    <t>Stillwater</t>
  </si>
  <si>
    <t>Stockbridge</t>
  </si>
  <si>
    <t>Stockton</t>
  </si>
  <si>
    <t>Stoneham</t>
  </si>
  <si>
    <t>Stoughton</t>
  </si>
  <si>
    <t>Arrumar</t>
  </si>
  <si>
    <t>Stow</t>
  </si>
  <si>
    <t>Streamwood</t>
  </si>
  <si>
    <t>Streetsboro</t>
  </si>
  <si>
    <t>Strongsville</t>
  </si>
  <si>
    <t>Stuart</t>
  </si>
  <si>
    <t>Sudbury</t>
  </si>
  <si>
    <t>Sugar Hill</t>
  </si>
  <si>
    <t>Suisun</t>
  </si>
  <si>
    <t>Terras de traje</t>
  </si>
  <si>
    <t>Suitland</t>
  </si>
  <si>
    <t>Enxofre</t>
  </si>
  <si>
    <t>Sulphur</t>
  </si>
  <si>
    <t>Summerlin South</t>
  </si>
  <si>
    <t>Summerville</t>
  </si>
  <si>
    <t>Cume</t>
  </si>
  <si>
    <t>Summit</t>
  </si>
  <si>
    <t>Sumter</t>
  </si>
  <si>
    <t>cidade do Sol</t>
  </si>
  <si>
    <t>Sun City</t>
  </si>
  <si>
    <t>Sun City Center</t>
  </si>
  <si>
    <t>Sun City West</t>
  </si>
  <si>
    <t>Sun Prairie</t>
  </si>
  <si>
    <t>Sun Valley</t>
  </si>
  <si>
    <t>Sunny Isles Beach</t>
  </si>
  <si>
    <t>Lado ensolarado</t>
  </si>
  <si>
    <t>Sunnyside</t>
  </si>
  <si>
    <t>Sunnyvale</t>
  </si>
  <si>
    <t>Nascer do sol</t>
  </si>
  <si>
    <t>Sunrise</t>
  </si>
  <si>
    <t>Sunrise Manor</t>
  </si>
  <si>
    <t>Pôr do sol</t>
  </si>
  <si>
    <t>Sunset</t>
  </si>
  <si>
    <t>Superior</t>
  </si>
  <si>
    <t>Surpresa</t>
  </si>
  <si>
    <t>Surprise</t>
  </si>
  <si>
    <t>Susanville</t>
  </si>
  <si>
    <t>Suwanee</t>
  </si>
  <si>
    <t>Swansea</t>
  </si>
  <si>
    <t>Sicômoro</t>
  </si>
  <si>
    <t>Sycamore</t>
  </si>
  <si>
    <t>Sylvania</t>
  </si>
  <si>
    <t>Syosset</t>
  </si>
  <si>
    <t>Syracuse</t>
  </si>
  <si>
    <t>Tacoma</t>
  </si>
  <si>
    <t>Tahlequah</t>
  </si>
  <si>
    <t>Takoma Park</t>
  </si>
  <si>
    <t>Talladega</t>
  </si>
  <si>
    <t>Tallahassee</t>
  </si>
  <si>
    <t>Tallmadge</t>
  </si>
  <si>
    <t>Tamarac</t>
  </si>
  <si>
    <t>Tamiami</t>
  </si>
  <si>
    <t>Tampa</t>
  </si>
  <si>
    <t>Tanque Verde</t>
  </si>
  <si>
    <t>Tarpon Springs</t>
  </si>
  <si>
    <t>Taunton</t>
  </si>
  <si>
    <t>Taylor</t>
  </si>
  <si>
    <t>Taylors</t>
  </si>
  <si>
    <t>Taylorsville</t>
  </si>
  <si>
    <t>Teaneck</t>
  </si>
  <si>
    <t>Temecula</t>
  </si>
  <si>
    <t>Tempe</t>
  </si>
  <si>
    <t>Junção de Tempe</t>
  </si>
  <si>
    <t>Tempe Junction</t>
  </si>
  <si>
    <t>Cidade do Templo</t>
  </si>
  <si>
    <t>Temple City</t>
  </si>
  <si>
    <t>Terrace do templo</t>
  </si>
  <si>
    <t>Temple Terrace</t>
  </si>
  <si>
    <t>Terre Haute</t>
  </si>
  <si>
    <t>Terrytown</t>
  </si>
  <si>
    <t>Tewksbury</t>
  </si>
  <si>
    <t>Texarkana</t>
  </si>
  <si>
    <t>O Bronx</t>
  </si>
  <si>
    <t>The Bronx</t>
  </si>
  <si>
    <t>As travessias</t>
  </si>
  <si>
    <t>The Crossings</t>
  </si>
  <si>
    <t>As redes</t>
  </si>
  <si>
    <t>The Hammocks</t>
  </si>
  <si>
    <t>As aldeias</t>
  </si>
  <si>
    <t>The Villages</t>
  </si>
  <si>
    <t>Thomasville</t>
  </si>
  <si>
    <t>Thornton</t>
  </si>
  <si>
    <t>Mil carvalhos</t>
  </si>
  <si>
    <t>Thousand Oaks</t>
  </si>
  <si>
    <t>Três lagos</t>
  </si>
  <si>
    <t>Three Lakes</t>
  </si>
  <si>
    <t>Tiffin</t>
  </si>
  <si>
    <t>Tifton</t>
  </si>
  <si>
    <t>Tigard</t>
  </si>
  <si>
    <t>Tillmans Corner</t>
  </si>
  <si>
    <t>Tinley Park</t>
  </si>
  <si>
    <t>Tinton Falls</t>
  </si>
  <si>
    <t>Titusville</t>
  </si>
  <si>
    <t>Rio Toms</t>
  </si>
  <si>
    <t>Toms River</t>
  </si>
  <si>
    <t>Tonawanda</t>
  </si>
  <si>
    <t>Tooele</t>
  </si>
  <si>
    <t>Topeka</t>
  </si>
  <si>
    <t>Torrance</t>
  </si>
  <si>
    <t>País da cidade</t>
  </si>
  <si>
    <t>Town 'n' Country</t>
  </si>
  <si>
    <t>Towson</t>
  </si>
  <si>
    <t>Tracy</t>
  </si>
  <si>
    <t>Trenton</t>
  </si>
  <si>
    <t>Trotwood</t>
  </si>
  <si>
    <t>Troutdale</t>
  </si>
  <si>
    <t>Troy</t>
  </si>
  <si>
    <t>Truckee</t>
  </si>
  <si>
    <t>Trussville</t>
  </si>
  <si>
    <t>Tualatin</t>
  </si>
  <si>
    <t>Tucker</t>
  </si>
  <si>
    <t>Tucson</t>
  </si>
  <si>
    <t>Tukwila</t>
  </si>
  <si>
    <t>TULARE</t>
  </si>
  <si>
    <t>Tulare</t>
  </si>
  <si>
    <t>Tullahoma</t>
  </si>
  <si>
    <t>Tulsa</t>
  </si>
  <si>
    <t>Tumwater</t>
  </si>
  <si>
    <t>Tupelo</t>
  </si>
  <si>
    <t>Turlock</t>
  </si>
  <si>
    <t>Tuscaloosa</t>
  </si>
  <si>
    <t>Tustin</t>
  </si>
  <si>
    <t>Twentynine Palms</t>
  </si>
  <si>
    <t>Twin Falls</t>
  </si>
  <si>
    <t>Twinsburg</t>
  </si>
  <si>
    <t>UKIAH</t>
  </si>
  <si>
    <t>Ukiah</t>
  </si>
  <si>
    <t>União</t>
  </si>
  <si>
    <t>Union</t>
  </si>
  <si>
    <t>Union City</t>
  </si>
  <si>
    <t>Union Hill-Novelty Hill</t>
  </si>
  <si>
    <t>Uniondale</t>
  </si>
  <si>
    <t>Cidade Universal</t>
  </si>
  <si>
    <t>Universal City</t>
  </si>
  <si>
    <t>Universidade</t>
  </si>
  <si>
    <t>University</t>
  </si>
  <si>
    <t>Cidade da Universidade</t>
  </si>
  <si>
    <t>University City</t>
  </si>
  <si>
    <t>Parque universitário</t>
  </si>
  <si>
    <t>University Park</t>
  </si>
  <si>
    <t>University Place</t>
  </si>
  <si>
    <t>Terras altas</t>
  </si>
  <si>
    <t>Upland</t>
  </si>
  <si>
    <t>Alton superior</t>
  </si>
  <si>
    <t>Upper Alton</t>
  </si>
  <si>
    <t>Upper Arlington</t>
  </si>
  <si>
    <t>Clair do São Superior</t>
  </si>
  <si>
    <t>Upper Saint Clair</t>
  </si>
  <si>
    <t>Urbana</t>
  </si>
  <si>
    <t>Urbandale</t>
  </si>
  <si>
    <t>Utica</t>
  </si>
  <si>
    <t>Valdosta</t>
  </si>
  <si>
    <t>Estação do vale</t>
  </si>
  <si>
    <t>Valley Station</t>
  </si>
  <si>
    <t>Valley Stream</t>
  </si>
  <si>
    <t>Valparaíso</t>
  </si>
  <si>
    <t>Valparaiso</t>
  </si>
  <si>
    <t>Valrico</t>
  </si>
  <si>
    <t>Van Buren</t>
  </si>
  <si>
    <t>Vandalia</t>
  </si>
  <si>
    <t>Colinas de Vernon</t>
  </si>
  <si>
    <t>Vernon Hills</t>
  </si>
  <si>
    <t>Vero Beach</t>
  </si>
  <si>
    <t>Vero Beach South</t>
  </si>
  <si>
    <t>Vestilha Hills</t>
  </si>
  <si>
    <t>Vestavia Hills</t>
  </si>
  <si>
    <t>Vicksburg</t>
  </si>
  <si>
    <t>Villa Park</t>
  </si>
  <si>
    <t>Vineland</t>
  </si>
  <si>
    <t>Vineyard</t>
  </si>
  <si>
    <t>Wade Hampton</t>
  </si>
  <si>
    <t>Wadsworth</t>
  </si>
  <si>
    <t>Wahiawä</t>
  </si>
  <si>
    <t>WahiawÄ</t>
  </si>
  <si>
    <t>Wailuku</t>
  </si>
  <si>
    <t>Waipahu</t>
  </si>
  <si>
    <t>Wake Forest</t>
  </si>
  <si>
    <t>Waldorf</t>
  </si>
  <si>
    <t>andador</t>
  </si>
  <si>
    <t>Walker</t>
  </si>
  <si>
    <t>Walla Walla</t>
  </si>
  <si>
    <t>Wallingford Center</t>
  </si>
  <si>
    <t>Walnut Park</t>
  </si>
  <si>
    <t>Waltham</t>
  </si>
  <si>
    <t>Wantagh</t>
  </si>
  <si>
    <t>Warner Robins</t>
  </si>
  <si>
    <t>Warren</t>
  </si>
  <si>
    <t>Township de Warren</t>
  </si>
  <si>
    <t>Warren Township</t>
  </si>
  <si>
    <t>Warrensburg</t>
  </si>
  <si>
    <t>Wasco</t>
  </si>
  <si>
    <t>Washington DC.</t>
  </si>
  <si>
    <t>Washington, D.C.</t>
  </si>
  <si>
    <t>Watertown</t>
  </si>
  <si>
    <t>Waterville</t>
  </si>
  <si>
    <t>Watsonville</t>
  </si>
  <si>
    <t>Waukegan</t>
  </si>
  <si>
    <t>Waukesha</t>
  </si>
  <si>
    <t>Wausau</t>
  </si>
  <si>
    <t>Wauwatosa</t>
  </si>
  <si>
    <t>Waverly</t>
  </si>
  <si>
    <t>Wayne</t>
  </si>
  <si>
    <t>Webster Groves</t>
  </si>
  <si>
    <t>Weirton</t>
  </si>
  <si>
    <t>West Virginia</t>
  </si>
  <si>
    <t>Weirton Heights</t>
  </si>
  <si>
    <t>Wekiwa Springs</t>
  </si>
  <si>
    <t>Wellesley</t>
  </si>
  <si>
    <t>Wenatchee</t>
  </si>
  <si>
    <t>Wentzville</t>
  </si>
  <si>
    <t>Wesley Chapel</t>
  </si>
  <si>
    <t>West Albany</t>
  </si>
  <si>
    <t>West Allis</t>
  </si>
  <si>
    <t>Lealman oeste e leste</t>
  </si>
  <si>
    <t>West and East Lealman</t>
  </si>
  <si>
    <t>West Babilônia</t>
  </si>
  <si>
    <t>West Babylon</t>
  </si>
  <si>
    <t>West Bend</t>
  </si>
  <si>
    <t>West Bloomfield Township</t>
  </si>
  <si>
    <t>West Carson</t>
  </si>
  <si>
    <t>West Chester</t>
  </si>
  <si>
    <t>West Chicago</t>
  </si>
  <si>
    <t>West Coon Rapids</t>
  </si>
  <si>
    <t>West Covina</t>
  </si>
  <si>
    <t>West Des Moines</t>
  </si>
  <si>
    <t>West Elkridge</t>
  </si>
  <si>
    <t>West Fargo</t>
  </si>
  <si>
    <t>West Gulfport</t>
  </si>
  <si>
    <t>West Hartford</t>
  </si>
  <si>
    <t>West Haven</t>
  </si>
  <si>
    <t>West Hempstead</t>
  </si>
  <si>
    <t>West Hills</t>
  </si>
  <si>
    <t>West Hollywood</t>
  </si>
  <si>
    <t>West Islip</t>
  </si>
  <si>
    <t>Jordânia Ocidental</t>
  </si>
  <si>
    <t>West Jordan</t>
  </si>
  <si>
    <t>West Lafayette</t>
  </si>
  <si>
    <t>West Lake Sammamish</t>
  </si>
  <si>
    <t>West Lake Stevens</t>
  </si>
  <si>
    <t>West Linn</t>
  </si>
  <si>
    <t>West Little River</t>
  </si>
  <si>
    <t>West Melbourne</t>
  </si>
  <si>
    <t>West Memphis</t>
  </si>
  <si>
    <t>West Mifflin</t>
  </si>
  <si>
    <t>West Milford</t>
  </si>
  <si>
    <t>Oeste de Nova York</t>
  </si>
  <si>
    <t>West New York</t>
  </si>
  <si>
    <t>Odessa Ocidental</t>
  </si>
  <si>
    <t>West Odessa</t>
  </si>
  <si>
    <t>West Orange</t>
  </si>
  <si>
    <t>West Palm Beach</t>
  </si>
  <si>
    <t>West Pensacola</t>
  </si>
  <si>
    <t>West Puente Valley</t>
  </si>
  <si>
    <t>West Raleigh</t>
  </si>
  <si>
    <t>West Sacramento</t>
  </si>
  <si>
    <t>SAINT OCIDENTE PAUL</t>
  </si>
  <si>
    <t>West Saint Paul</t>
  </si>
  <si>
    <t>West Scarborough</t>
  </si>
  <si>
    <t>West Seneca</t>
  </si>
  <si>
    <t>West Springfield</t>
  </si>
  <si>
    <t>West Torrington</t>
  </si>
  <si>
    <t>West Valley City</t>
  </si>
  <si>
    <t>West Warwick</t>
  </si>
  <si>
    <t>West Whittier-Los Nietos</t>
  </si>
  <si>
    <t>Westbrook</t>
  </si>
  <si>
    <t>Westbury</t>
  </si>
  <si>
    <t>Westchase</t>
  </si>
  <si>
    <t>Westchester</t>
  </si>
  <si>
    <t>De oeste</t>
  </si>
  <si>
    <t>Westerly</t>
  </si>
  <si>
    <t>Westerville</t>
  </si>
  <si>
    <t>Westfield</t>
  </si>
  <si>
    <t>Westford</t>
  </si>
  <si>
    <t>Lago Oeste</t>
  </si>
  <si>
    <t>Westlake</t>
  </si>
  <si>
    <t>Westland</t>
  </si>
  <si>
    <t>Westminster</t>
  </si>
  <si>
    <t>Westmont</t>
  </si>
  <si>
    <t>Weston</t>
  </si>
  <si>
    <t>Westport</t>
  </si>
  <si>
    <t>Wethersfield</t>
  </si>
  <si>
    <t>Wheat Ridge</t>
  </si>
  <si>
    <t>Wheaton</t>
  </si>
  <si>
    <t>Rodar</t>
  </si>
  <si>
    <t>Wheeling</t>
  </si>
  <si>
    <t>Lago de urso branco</t>
  </si>
  <si>
    <t>White Bear Lake</t>
  </si>
  <si>
    <t>Carvalho branco</t>
  </si>
  <si>
    <t>White Oak</t>
  </si>
  <si>
    <t>planícies brancas</t>
  </si>
  <si>
    <t>White Plains</t>
  </si>
  <si>
    <t>Whitehall</t>
  </si>
  <si>
    <t>Township de Whitehall</t>
  </si>
  <si>
    <t>Whitehall Township</t>
  </si>
  <si>
    <t>Whitney</t>
  </si>
  <si>
    <t>Whittier</t>
  </si>
  <si>
    <t>Wichita</t>
  </si>
  <si>
    <t>Wildomar</t>
  </si>
  <si>
    <t>Madeira selvagem</t>
  </si>
  <si>
    <t>Wildwood</t>
  </si>
  <si>
    <t>Wilkes-Barre</t>
  </si>
  <si>
    <t>Wilkinsburg</t>
  </si>
  <si>
    <t>Williamsport</t>
  </si>
  <si>
    <t>Williamstown</t>
  </si>
  <si>
    <t>Willimantic</t>
  </si>
  <si>
    <t>Willingboro</t>
  </si>
  <si>
    <t>Willmar</t>
  </si>
  <si>
    <t>Willoughby</t>
  </si>
  <si>
    <t>Willow Grove</t>
  </si>
  <si>
    <t>Willowbrook</t>
  </si>
  <si>
    <t>Wilmette</t>
  </si>
  <si>
    <t>Wilmington</t>
  </si>
  <si>
    <t>Ilha de Wilmington</t>
  </si>
  <si>
    <t>Wilmington Island</t>
  </si>
  <si>
    <t>Wilson</t>
  </si>
  <si>
    <t>Wilsonville</t>
  </si>
  <si>
    <t>Wilton</t>
  </si>
  <si>
    <t>Windham</t>
  </si>
  <si>
    <t>Winona</t>
  </si>
  <si>
    <t>Winston-Salem</t>
  </si>
  <si>
    <t>Jardim de Inverno</t>
  </si>
  <si>
    <t>Winter Garden</t>
  </si>
  <si>
    <t>Jardins de inverno</t>
  </si>
  <si>
    <t>Winter Gardens</t>
  </si>
  <si>
    <t>Haven Winter</t>
  </si>
  <si>
    <t>Winter Haven</t>
  </si>
  <si>
    <t>Parque de inverno</t>
  </si>
  <si>
    <t>Winter Park</t>
  </si>
  <si>
    <t>Winter Springs</t>
  </si>
  <si>
    <t>Winthrop</t>
  </si>
  <si>
    <t>Wisconsin Rapids</t>
  </si>
  <si>
    <t>Woburn</t>
  </si>
  <si>
    <t>Wolcott</t>
  </si>
  <si>
    <t>Woodbridge</t>
  </si>
  <si>
    <t>Woodburn</t>
  </si>
  <si>
    <t>Woodbury</t>
  </si>
  <si>
    <t>Woodland</t>
  </si>
  <si>
    <t>Hills Woodland</t>
  </si>
  <si>
    <t>Woodland Hills</t>
  </si>
  <si>
    <t>Woodlawn</t>
  </si>
  <si>
    <t>Woodmere</t>
  </si>
  <si>
    <t>Woonsocket</t>
  </si>
  <si>
    <t>Wooster</t>
  </si>
  <si>
    <t>Wright</t>
  </si>
  <si>
    <t>Wyandotte</t>
  </si>
  <si>
    <t>Wyckoff</t>
  </si>
  <si>
    <t>Xenia</t>
  </si>
  <si>
    <t>Yakima</t>
  </si>
  <si>
    <t>Yarmouth</t>
  </si>
  <si>
    <t>Yonkers</t>
  </si>
  <si>
    <t>Yorba Linda</t>
  </si>
  <si>
    <t>Yorkville</t>
  </si>
  <si>
    <t>Youngstown</t>
  </si>
  <si>
    <t>Ypsilanti</t>
  </si>
  <si>
    <t>Cidade de Yuba</t>
  </si>
  <si>
    <t>Yuba City</t>
  </si>
  <si>
    <t>Yucaipa</t>
  </si>
  <si>
    <t>Vale Yucca</t>
  </si>
  <si>
    <t>Yucca Valley</t>
  </si>
  <si>
    <t>Yuma</t>
  </si>
  <si>
    <t>Zanesville</t>
  </si>
  <si>
    <t>Sião</t>
  </si>
  <si>
    <t>Zion</t>
  </si>
  <si>
    <t>Artigas</t>
  </si>
  <si>
    <t>Uruguay</t>
  </si>
  <si>
    <t>Canelones</t>
  </si>
  <si>
    <t>Carmelo</t>
  </si>
  <si>
    <t>Colonia del Sacramento</t>
  </si>
  <si>
    <t>Delta del Tigre</t>
  </si>
  <si>
    <t>Soriano</t>
  </si>
  <si>
    <t>Durazno</t>
  </si>
  <si>
    <t>Fray Bentos</t>
  </si>
  <si>
    <t>RÃ­o Negro</t>
  </si>
  <si>
    <t>Las Piedras</t>
  </si>
  <si>
    <t>Maldonado</t>
  </si>
  <si>
    <t>Melo</t>
  </si>
  <si>
    <t>Cerro Largo</t>
  </si>
  <si>
    <t>Lavalleja</t>
  </si>
  <si>
    <t>Montevidideo</t>
  </si>
  <si>
    <t>Montevideo</t>
  </si>
  <si>
    <t>Paso de Carrasco</t>
  </si>
  <si>
    <t>Paysandã</t>
  </si>
  <si>
    <t>PaysandÃº</t>
  </si>
  <si>
    <t>Progreso</t>
  </si>
  <si>
    <t>Rivera</t>
  </si>
  <si>
    <t>Rocha</t>
  </si>
  <si>
    <t>San José de Mayo</t>
  </si>
  <si>
    <t>San JosÃ© de Mayo</t>
  </si>
  <si>
    <t>Tacuarembã</t>
  </si>
  <si>
    <t>TacuarembÃ³</t>
  </si>
  <si>
    <t>Treinta y Tres</t>
  </si>
  <si>
    <t>Jovem</t>
  </si>
  <si>
    <t>Young</t>
  </si>
  <si>
    <t>Andijon</t>
  </si>
  <si>
    <t>Uzbekistan</t>
  </si>
  <si>
    <t>Angren</t>
  </si>
  <si>
    <t>Toshkent</t>
  </si>
  <si>
    <t>Båka</t>
  </si>
  <si>
    <t>BÅ­ka</t>
  </si>
  <si>
    <t>Bekobod</t>
  </si>
  <si>
    <t>Bektemir</t>
  </si>
  <si>
    <t>Toshkent Shahri</t>
  </si>
  <si>
    <t>Beruniy</t>
  </si>
  <si>
    <t>Karakalpakstan</t>
  </si>
  <si>
    <t>Beshariq</t>
  </si>
  <si>
    <t>Fergana</t>
  </si>
  <si>
    <t>Beshkent</t>
  </si>
  <si>
    <t>Qashqadaryo</t>
  </si>
  <si>
    <t>Meninosun</t>
  </si>
  <si>
    <t>Boysun</t>
  </si>
  <si>
    <t>Surxondaryo</t>
  </si>
  <si>
    <t>Bukhara</t>
  </si>
  <si>
    <t>Bulung de Ur</t>
  </si>
  <si>
    <t>Bulungâ€™ur</t>
  </si>
  <si>
    <t>Samarqand</t>
  </si>
  <si>
    <t>Chelak</t>
  </si>
  <si>
    <t>Chinoz</t>
  </si>
  <si>
    <t>Chirchiq</t>
  </si>
  <si>
    <t>Chiroqchi</t>
  </si>
  <si>
    <t>Chortoq</t>
  </si>
  <si>
    <t>Namangan</t>
  </si>
  <si>
    <t>Chust Shahri</t>
  </si>
  <si>
    <t>DashTobod</t>
  </si>
  <si>
    <t>Dashtobod</t>
  </si>
  <si>
    <t>Jizzax</t>
  </si>
  <si>
    <t>Dåstlik</t>
  </si>
  <si>
    <t>DÅ­stlik</t>
  </si>
  <si>
    <t>Denov</t>
  </si>
  <si>
    <t>€ 'Azalkent</t>
  </si>
  <si>
    <t>Gâ€˜azalkent</t>
  </si>
  <si>
    <t>Uzor</t>
  </si>
  <si>
    <t>Gâ€™uzor</t>
  </si>
  <si>
    <t>Galaosiyo</t>
  </si>
  <si>
    <t>Ghijduwon</t>
  </si>
  <si>
    <t>Guliston</t>
  </si>
  <si>
    <t>Sirdaryo</t>
  </si>
  <si>
    <t>Gurlan</t>
  </si>
  <si>
    <t>Xorazm</t>
  </si>
  <si>
    <t>Haqqulobod</t>
  </si>
  <si>
    <t>Hazorasp</t>
  </si>
  <si>
    <t>Iskandar</t>
  </si>
  <si>
    <t>Juma</t>
  </si>
  <si>
    <t>Karakulâ €</t>
  </si>
  <si>
    <t>Karakulâ€™</t>
  </si>
  <si>
    <t>Kattaqo € rg '</t>
  </si>
  <si>
    <t>Kattaqoâ€™rgâ€™on</t>
  </si>
  <si>
    <t>Khåjaobod</t>
  </si>
  <si>
    <t>KhÅ­jaobod</t>
  </si>
  <si>
    <t>Khåjayli</t>
  </si>
  <si>
    <t>KhÅ­jayli</t>
  </si>
  <si>
    <t>Khiwa</t>
  </si>
  <si>
    <t>Kirguli</t>
  </si>
  <si>
    <t>Kitob</t>
  </si>
  <si>
    <t>Kogon</t>
  </si>
  <si>
    <t>Koson</t>
  </si>
  <si>
    <t>Kosonsoy</t>
  </si>
  <si>
    <t>Manghit</t>
  </si>
  <si>
    <t>Marg'ilon</t>
  </si>
  <si>
    <t>Margâ€˜ilon</t>
  </si>
  <si>
    <t>Muborak</t>
  </si>
  <si>
    <t>Navoiy</t>
  </si>
  <si>
    <t>Novyy Turtkul -</t>
  </si>
  <si>
    <t>Novyy Turtkulâ€™</t>
  </si>
  <si>
    <t>Nukus</t>
  </si>
  <si>
    <t>Nurota</t>
  </si>
  <si>
    <t>Ohangaron</t>
  </si>
  <si>
    <t>Olmaliq</t>
  </si>
  <si>
    <t>Oltiariq</t>
  </si>
  <si>
    <t>OLTINKO 'L</t>
  </si>
  <si>
    <t>Oltinkoâ€™l</t>
  </si>
  <si>
    <t>Oqtosh</t>
  </si>
  <si>
    <t>Parkent</t>
  </si>
  <si>
    <t>Paxtakor</t>
  </si>
  <si>
    <t>Payshanba</t>
  </si>
  <si>
    <t>Piskent</t>
  </si>
  <si>
    <t>Pop</t>
  </si>
  <si>
    <t>Qårghontepa</t>
  </si>
  <si>
    <t>QÅ­rghontepa</t>
  </si>
  <si>
    <t>Qarshi</t>
  </si>
  <si>
    <t>Qåshkåpir</t>
  </si>
  <si>
    <t>QÅ­shkÅ­pir</t>
  </si>
  <si>
    <t>Qibray</t>
  </si>
  <si>
    <t>Qo 'Qon</t>
  </si>
  <si>
    <t>Qoâ€˜qon</t>
  </si>
  <si>
    <t>Quva</t>
  </si>
  <si>
    <t>Quvasoy</t>
  </si>
  <si>
    <t>Salor</t>
  </si>
  <si>
    <t>Shahrisabz</t>
  </si>
  <si>
    <t>Sho de rchi</t>
  </si>
  <si>
    <t>Shoâ€™rchi</t>
  </si>
  <si>
    <t>Shofirkon</t>
  </si>
  <si>
    <t>Showot</t>
  </si>
  <si>
    <t>Tåragårghon</t>
  </si>
  <si>
    <t>TÅ­ragÅ­rghon</t>
  </si>
  <si>
    <t>Tashkent</t>
  </si>
  <si>
    <t>Tåytepa</t>
  </si>
  <si>
    <t>TÅ­ytepa</t>
  </si>
  <si>
    <t>Tirmiz</t>
  </si>
  <si>
    <t>Toshbuloq</t>
  </si>
  <si>
    <t>Toshloq</t>
  </si>
  <si>
    <t>Uchqårghon Shahri</t>
  </si>
  <si>
    <t>UchqÅ­rghon Shahri</t>
  </si>
  <si>
    <t>Urgannch</t>
  </si>
  <si>
    <t>Urganch</t>
  </si>
  <si>
    <t>Urguut</t>
  </si>
  <si>
    <t>Urgut</t>
  </si>
  <si>
    <t>Uychi</t>
  </si>
  <si>
    <t>Wobkent</t>
  </si>
  <si>
    <t>Yangiobod</t>
  </si>
  <si>
    <t>Yangiqo '' rg ''</t>
  </si>
  <si>
    <t>Yangiqoâ€˜rgâ€˜on</t>
  </si>
  <si>
    <t>Yangirabot</t>
  </si>
  <si>
    <t>Yangiyål</t>
  </si>
  <si>
    <t>YangiyÅ­l</t>
  </si>
  <si>
    <t>Yangiyer</t>
  </si>
  <si>
    <t>Yaypan</t>
  </si>
  <si>
    <t>Zafar</t>
  </si>
  <si>
    <t>Zomin</t>
  </si>
  <si>
    <t>Port-Vila</t>
  </si>
  <si>
    <t>Vanuatu</t>
  </si>
  <si>
    <t>Shefa</t>
  </si>
  <si>
    <t>Cidade do Vaticano</t>
  </si>
  <si>
    <t>Vatican City</t>
  </si>
  <si>
    <t>Vatican</t>
  </si>
  <si>
    <t>ACARIGUA</t>
  </si>
  <si>
    <t>Acarigua</t>
  </si>
  <si>
    <t>Portuguesa</t>
  </si>
  <si>
    <t>Altagracia de orituco</t>
  </si>
  <si>
    <t>Altagracia de Orituco</t>
  </si>
  <si>
    <t>GuÃ¡rico</t>
  </si>
  <si>
    <t>Alto Barinas</t>
  </si>
  <si>
    <t>Barinas</t>
  </si>
  <si>
    <t>Anaco</t>
  </si>
  <si>
    <t>AnzoÃ¡tegui</t>
  </si>
  <si>
    <t>Araure</t>
  </si>
  <si>
    <t>Barinitas</t>
  </si>
  <si>
    <t>BarQuisimeto</t>
  </si>
  <si>
    <t>Barquisimeto</t>
  </si>
  <si>
    <t>Baruta</t>
  </si>
  <si>
    <t>Miranda</t>
  </si>
  <si>
    <t>Cabimas</t>
  </si>
  <si>
    <t>Zulia</t>
  </si>
  <si>
    <t>CAGUA</t>
  </si>
  <si>
    <t>Cagua</t>
  </si>
  <si>
    <t>Aragua</t>
  </si>
  <si>
    <t>Calabozo</t>
  </si>
  <si>
    <t>Cantura</t>
  </si>
  <si>
    <t>Cantaura</t>
  </si>
  <si>
    <t>Cã</t>
  </si>
  <si>
    <t>CÃºa</t>
  </si>
  <si>
    <t>CARABALLEDA</t>
  </si>
  <si>
    <t>Caraballeda</t>
  </si>
  <si>
    <t>Vargas</t>
  </si>
  <si>
    <t>Caracas</t>
  </si>
  <si>
    <t>Capital</t>
  </si>
  <si>
    <t>Carãopano</t>
  </si>
  <si>
    <t>CarÃºpano</t>
  </si>
  <si>
    <t>Carora</t>
  </si>
  <si>
    <t>Carrizal</t>
  </si>
  <si>
    <t>Catia la Mar</t>
  </si>
  <si>
    <t>Catia La Mar</t>
  </si>
  <si>
    <t>CAUCAGãITO</t>
  </si>
  <si>
    <t>CaucagÃ¼ito</t>
  </si>
  <si>
    <t>CAUCAGUITA</t>
  </si>
  <si>
    <t>Caucaguita</t>
  </si>
  <si>
    <t>Chacao</t>
  </si>
  <si>
    <t>Charallave</t>
  </si>
  <si>
    <t>Chivacoa</t>
  </si>
  <si>
    <t>Yaracuy</t>
  </si>
  <si>
    <t>Ciudad Guayana</t>
  </si>
  <si>
    <t>Coro</t>
  </si>
  <si>
    <t>FalcÃ³n</t>
  </si>
  <si>
    <t>Cumaná</t>
  </si>
  <si>
    <t>CumanÃ¡</t>
  </si>
  <si>
    <t>Ejido</t>
  </si>
  <si>
    <t>El Cafetal</t>
  </si>
  <si>
    <t>El Hatillo</t>
  </si>
  <si>
    <t>El Limãn</t>
  </si>
  <si>
    <t>El LimÃ³n</t>
  </si>
  <si>
    <t>El Tigre</t>
  </si>
  <si>
    <t>El Tocuyo</t>
  </si>
  <si>
    <t>El Vigãa</t>
  </si>
  <si>
    <t>El VigÃ­a</t>
  </si>
  <si>
    <t>Gãigãe</t>
  </si>
  <si>
    <t>GÃ¼igÃ¼e</t>
  </si>
  <si>
    <t>Carabobo</t>
  </si>
  <si>
    <t>Gãiria</t>
  </si>
  <si>
    <t>GÃ¼iria</t>
  </si>
  <si>
    <t>Guacara</t>
  </si>
  <si>
    <t>Guanare</t>
  </si>
  <si>
    <t>Guarenas</t>
  </si>
  <si>
    <t>Guasdualito</t>
  </si>
  <si>
    <t>Apure</t>
  </si>
  <si>
    <t>Guatire</t>
  </si>
  <si>
    <t>Ilha de Margarita</t>
  </si>
  <si>
    <t>I. de Margarita</t>
  </si>
  <si>
    <t>Nueva Esparta</t>
  </si>
  <si>
    <t>Juan Griego</t>
  </si>
  <si>
    <t>La Aseunãn</t>
  </si>
  <si>
    <t>La AsunciÃ³n</t>
  </si>
  <si>
    <t>La Dolorita</t>
  </si>
  <si>
    <t>La frãa</t>
  </si>
  <si>
    <t>La FrÃ­a</t>
  </si>
  <si>
    <t>TÃ¡chira</t>
  </si>
  <si>
    <t>La Guaira</t>
  </si>
  <si>
    <t>La Victoria</t>
  </si>
  <si>
    <t>La Villa del Rosario</t>
  </si>
  <si>
    <t>Lagunillas</t>
  </si>
  <si>
    <t>Las Tejerãas</t>
  </si>
  <si>
    <t>Las TejerÃ­as</t>
  </si>
  <si>
    <t>Los Dos Caminos</t>
  </si>
  <si>
    <t>Los Rastrojos</t>
  </si>
  <si>
    <t>Teques de Los</t>
  </si>
  <si>
    <t>Los Teques</t>
  </si>
  <si>
    <t>Máquinas</t>
  </si>
  <si>
    <t>Machiques</t>
  </si>
  <si>
    <t>Maiquetãa</t>
  </si>
  <si>
    <t>MaiquetÃ­a</t>
  </si>
  <si>
    <t>Maracaibo</t>
  </si>
  <si>
    <t>Maracay</t>
  </si>
  <si>
    <t>Mariara</t>
  </si>
  <si>
    <t>Maturãn</t>
  </si>
  <si>
    <t>MaturÃ­n</t>
  </si>
  <si>
    <t>Monagas</t>
  </si>
  <si>
    <t>Mucumpiz</t>
  </si>
  <si>
    <t>Nirgua</t>
  </si>
  <si>
    <t>Ocumare del Tuy</t>
  </si>
  <si>
    <t>Palo Negro</t>
  </si>
  <si>
    <t>Petee</t>
  </si>
  <si>
    <t>Petare</t>
  </si>
  <si>
    <t>Porlamar</t>
  </si>
  <si>
    <t>Puerto Ayacucho</t>
  </si>
  <si>
    <t>Puerto Cabello</t>
  </si>
  <si>
    <t>Puerto La Cruz</t>
  </si>
  <si>
    <t>Punta Cardãn</t>
  </si>
  <si>
    <t>Punta CardÃ³n</t>
  </si>
  <si>
    <t>Punto Fijo</t>
  </si>
  <si>
    <t>Quãbor</t>
  </si>
  <si>
    <t>QuÃ­bor</t>
  </si>
  <si>
    <t>Rubio</t>
  </si>
  <si>
    <t>San Antonio de Los Altos</t>
  </si>
  <si>
    <t>San Antonio Del Térla</t>
  </si>
  <si>
    <t>San Antonio del TÃ¡chira</t>
  </si>
  <si>
    <t>Cojedes</t>
  </si>
  <si>
    <t>San Carlos del Zulia</t>
  </si>
  <si>
    <t>San Fernando de apure</t>
  </si>
  <si>
    <t>San Fernando de Apure</t>
  </si>
  <si>
    <t>San Joaquãn</t>
  </si>
  <si>
    <t>San JoaquÃ­n</t>
  </si>
  <si>
    <t>San José de Guanipa</t>
  </si>
  <si>
    <t>San JosÃ© de Guanipa</t>
  </si>
  <si>
    <t>San Juan de Colãn</t>
  </si>
  <si>
    <t>San Juan de ColÃ³n</t>
  </si>
  <si>
    <t>San Juan de Los Morros</t>
  </si>
  <si>
    <t>San Juan de los Morros</t>
  </si>
  <si>
    <t>Santa Elena de Uairé n © n</t>
  </si>
  <si>
    <t>Santa Elena de UairÃ©n</t>
  </si>
  <si>
    <t>Santa Teresa</t>
  </si>
  <si>
    <t>T ãRiba</t>
  </si>
  <si>
    <t>TÃ¡riba</t>
  </si>
  <si>
    <t>TacariGua</t>
  </si>
  <si>
    <t>Tacarigua</t>
  </si>
  <si>
    <t>Tinaquillo</t>
  </si>
  <si>
    <t>Tucupita</t>
  </si>
  <si>
    <t>Delta Amacuro</t>
  </si>
  <si>
    <t>Turmero</t>
  </si>
  <si>
    <t>Upata</t>
  </si>
  <si>
    <t>Valera</t>
  </si>
  <si>
    <t>Valle de la Pascua</t>
  </si>
  <si>
    <t>Valle de La Pascua</t>
  </si>
  <si>
    <t>Villa Bruzual</t>
  </si>
  <si>
    <t>Villa de Cura</t>
  </si>
  <si>
    <t>Yaritagua</t>
  </si>
  <si>
    <t>Zaraza</t>
  </si>
  <si>
    <t>Ã ã lá ã</t>
  </si>
  <si>
    <t>ÃÃ  Láº¡t</t>
  </si>
  <si>
    <t>Vietnam</t>
  </si>
  <si>
    <t>LÃ¢m Äá»“ng</t>
  </si>
  <si>
    <t>Ãng hã</t>
  </si>
  <si>
    <t>ÃÃ´ng HÃ </t>
  </si>
  <si>
    <t>Quáº£ng Trá»‹</t>
  </si>
  <si>
    <t>Ä IN väƒn</t>
  </si>
  <si>
    <t>Äinh VÄƒn</t>
  </si>
  <si>
    <t>Bá »‰ m sæ¡n</t>
  </si>
  <si>
    <t>Bá»‰m SÆ¡n</t>
  </si>
  <si>
    <t>Thanh HÃ³a</t>
  </si>
  <si>
    <t>Báº¯c giang</t>
  </si>
  <si>
    <t>Báº¯c Giang</t>
  </si>
  <si>
    <t>Báº¯c káº ¡n</t>
  </si>
  <si>
    <t>Báº¯c Káº¡n</t>
  </si>
  <si>
    <t>Báº¯c ninh</t>
  </si>
  <si>
    <t>Báº¯c Ninh</t>
  </si>
  <si>
    <t>Báº- Tre</t>
  </si>
  <si>
    <t>Báº¿n Tre</t>
  </si>
  <si>
    <t>Bá £ £ o lá »™ c</t>
  </si>
  <si>
    <t>Báº£o Lá»™c</t>
  </si>
  <si>
    <t>Biãªn hã²a</t>
  </si>
  <si>
    <t>BiÃªn HÃ²a</t>
  </si>
  <si>
    <t>Äá»“ng Nai</t>
  </si>
  <si>
    <t>Buã n thuá »™ t</t>
  </si>
  <si>
    <t>BuÃ´n Ma Thuá»™t</t>
  </si>
  <si>
    <t>Ãáº¯c Láº¯k</t>
  </si>
  <si>
    <t>Cã Mau</t>
  </si>
  <si>
    <t>CÃ  Mau</t>
  </si>
  <si>
    <t>Cãt bã</t>
  </si>
  <si>
    <t>CÃ¡t BÃ </t>
  </si>
  <si>
    <t>Háº£i PhÃ²ng</t>
  </si>
  <si>
    <t>Cá »§ Chi</t>
  </si>
  <si>
    <t>Cá»§ Chi</t>
  </si>
  <si>
    <t>Ho Chi Minh City</t>
  </si>
  <si>
    <t>Cam RanH</t>
  </si>
  <si>
    <t>Cam Ranh</t>
  </si>
  <si>
    <t>KhÃ¡nh HÃ²a</t>
  </si>
  <si>
    <t>Cao Lã £ nh</t>
  </si>
  <si>
    <t>Cao LÃ£nh</t>
  </si>
  <si>
    <t>Äá»“ng ThÃ¡p</t>
  </si>
  <si>
    <t>Cáº§n giá »</t>
  </si>
  <si>
    <t>Cáº§n Giá»</t>
  </si>
  <si>
    <t>Cáº§n giuá »™ c</t>
  </si>
  <si>
    <t>Cáº§n Giuá»™c</t>
  </si>
  <si>
    <t>Long An</t>
  </si>
  <si>
    <t>Cáº§n thæ¡</t>
  </si>
  <si>
    <t>Cáº§n ThÆ¡</t>
  </si>
  <si>
    <t>Cáº © M Pháº £ minas</t>
  </si>
  <si>
    <t>Cáº©m Pháº£ Mines</t>
  </si>
  <si>
    <t>Quáº£ng Ninh</t>
  </si>
  <si>
    <t>Cho Dok</t>
  </si>
  <si>
    <t>An Giang</t>
  </si>
  <si>
    <t>Da Nang</t>
  </si>
  <si>
    <t>ÄÃ  Náºµng</t>
  </si>
  <si>
    <t>Dien Bien Phu</t>
  </si>
  <si>
    <t>Tá»‰nh Ãiá»‡n BiÃªn</t>
  </si>
  <si>
    <t>Don Luan</t>
  </si>
  <si>
    <t>BÃ¬nh PhÆ°á»›c</t>
  </si>
  <si>
    <t>H ä ã'ng</t>
  </si>
  <si>
    <t>HÃ  ÄÃ´ng</t>
  </si>
  <si>
    <t>Ha Ná»™i</t>
  </si>
  <si>
    <t>H © © NH</t>
  </si>
  <si>
    <t>HÃ  TÄ©nh</t>
  </si>
  <si>
    <t>Hã Tiãªn</t>
  </si>
  <si>
    <t>HÃ  TiÃªn</t>
  </si>
  <si>
    <t>Kiáº¿n Giang</t>
  </si>
  <si>
    <t>Há »™ eu um</t>
  </si>
  <si>
    <t>Há»™i An</t>
  </si>
  <si>
    <t>Quáº£ng Nam</t>
  </si>
  <si>
    <t>Hæ ° ng yãªn</t>
  </si>
  <si>
    <t>HÆ°ng YÃªn</t>
  </si>
  <si>
    <t>Haiphong</t>
  </si>
  <si>
    <t>Hanói</t>
  </si>
  <si>
    <t>Hanoi</t>
  </si>
  <si>
    <t>Cidade de Ho Chi Minh</t>
  </si>
  <si>
    <t>Huáºfia</t>
  </si>
  <si>
    <t>Huáº¿</t>
  </si>
  <si>
    <t>Thá»«a ThiÃªn-Huáº¿</t>
  </si>
  <si>
    <t>Kon Tum</t>
  </si>
  <si>
    <t>Kwang Binh</t>
  </si>
  <si>
    <t>Quáº£ng BÃ¬nh</t>
  </si>
  <si>
    <t>La gi</t>
  </si>
  <si>
    <t>La Gi</t>
  </si>
  <si>
    <t>BÃ¬nh Thuáº­n</t>
  </si>
  <si>
    <t>Lã o Cai</t>
  </si>
  <si>
    <t>LÃ o Cai</t>
  </si>
  <si>
    <t>Longo xuyãªn</t>
  </si>
  <si>
    <t>Long XuyÃªn</t>
  </si>
  <si>
    <t>Má »¹ Tho</t>
  </si>
  <si>
    <t>Má»¹ Tho</t>
  </si>
  <si>
    <t>Tiá»n Giang</t>
  </si>
  <si>
    <t>Mão cãi</t>
  </si>
  <si>
    <t>MÃ³ng CÃ¡i</t>
  </si>
  <si>
    <t>NHA TRANG</t>
  </si>
  <si>
    <t>Nha Trang</t>
  </si>
  <si>
    <t>Phan Rang-thá</t>
  </si>
  <si>
    <t>Phan Rang-ThÃ¡p ChÃ m</t>
  </si>
  <si>
    <t>Ninh Thuáº­n</t>
  </si>
  <si>
    <t>Phan Thiáº</t>
  </si>
  <si>
    <t>Phan Thiáº¿t</t>
  </si>
  <si>
    <t>Ph'</t>
  </si>
  <si>
    <t>PhÃº KhÆ°Æ¡ng</t>
  </si>
  <si>
    <t>TÃ¢y Ninh</t>
  </si>
  <si>
    <t>Pleiku</t>
  </si>
  <si>
    <t>Gia Lai</t>
  </si>
  <si>
    <t>Quáº £ ng ngã i i</t>
  </si>
  <si>
    <t>Quáº£ng NgÃ£i</t>
  </si>
  <si>
    <t>Qui nhon</t>
  </si>
  <si>
    <t>Qui Nhon</t>
  </si>
  <si>
    <t>BÃ¬nh Äá»‹nh</t>
  </si>
  <si>
    <t>Ráº ¡CH Giã</t>
  </si>
  <si>
    <t>Ráº¡ch GiÃ¡</t>
  </si>
  <si>
    <t>Sa p ã</t>
  </si>
  <si>
    <t>Sa PÃ¡</t>
  </si>
  <si>
    <t>Sãng cáº§u</t>
  </si>
  <si>
    <t>SÃ´ng Cáº§u</t>
  </si>
  <si>
    <t>PhÃº YÃªn</t>
  </si>
  <si>
    <t>São Träƒng</t>
  </si>
  <si>
    <t>SÃ³c TrÄƒng</t>
  </si>
  <si>
    <t>Sadek</t>
  </si>
  <si>
    <t>Sæ¡n la</t>
  </si>
  <si>
    <t>SÆ¡n La</t>
  </si>
  <si>
    <t>Sæ¡n t'¢ y</t>
  </si>
  <si>
    <t>SÆ¡n TÃ¢y</t>
  </si>
  <si>
    <t>T ¢ n e</t>
  </si>
  <si>
    <t>TÃ¢n An</t>
  </si>
  <si>
    <t>T ¢ y NINH</t>
  </si>
  <si>
    <t>Tam Ká »³</t>
  </si>
  <si>
    <t>Tam Ká»³</t>
  </si>
  <si>
    <t>O pHá »‘ Báº ¡c liãªu</t>
  </si>
  <si>
    <t>ThÃ nh phá»‘ Báº¡c LiÃªu</t>
  </si>
  <si>
    <t>Báº¡c LiÃªu</t>
  </si>
  <si>
    <t>O pHá »‘ Cao Báº ± ng</t>
  </si>
  <si>
    <t>ThÃ nh Phá»‘ Cao Báº±ng</t>
  </si>
  <si>
    <t>Cao Báº±ng</t>
  </si>
  <si>
    <t>Thã nh phá »‘ hã giang</t>
  </si>
  <si>
    <t>ThÃ nh Phá»‘ HÃ  Giang</t>
  </si>
  <si>
    <t>HÃ  Giang</t>
  </si>
  <si>
    <t>Thã nh phá »‘ hã²a bãnh</t>
  </si>
  <si>
    <t>ThÃ nh Phá»‘ HÃ²a BÃ¬nh</t>
  </si>
  <si>
    <t>HÃ²a BÃ¬nh</t>
  </si>
  <si>
    <t>O pHá »‘ háº ¡Long</t>
  </si>
  <si>
    <t>ThÃ nh Phá»‘ Háº¡ Long</t>
  </si>
  <si>
    <t>O pHá »‘ há £ £ i da ° Æ¡ng</t>
  </si>
  <si>
    <t>ThÃ nh Phá»‘ Háº£i DÆ°Æ¡ng</t>
  </si>
  <si>
    <t>Háº£i DÆ°Æ¡ng</t>
  </si>
  <si>
    <t>O pHá »‘ láº ¡ng sæ¡n</t>
  </si>
  <si>
    <t>ThÃ nh Phá»‘ Láº¡ng SÆ¡n</t>
  </si>
  <si>
    <t>Láº¡ng SÆ¡n</t>
  </si>
  <si>
    <t>O phá »‘ nam ä á »‹ nh</t>
  </si>
  <si>
    <t>ThÃ nh Phá»‘ Nam Äá»‹nh</t>
  </si>
  <si>
    <t>Nam Äá»‹nh</t>
  </si>
  <si>
    <t>Thi nh phá »‘ ninnh bãnh</t>
  </si>
  <si>
    <t>ThÃ nh Phá»‘ Ninh BÃ¬nh</t>
  </si>
  <si>
    <t>Ninh BÃ¬nh</t>
  </si>
  <si>
    <t>Thm phá »‘ phá »§ Lã ã</t>
  </si>
  <si>
    <t>ThÃ nh Phá»‘ Phá»§ LÃ½</t>
  </si>
  <si>
    <t>HÃ  Nam</t>
  </si>
  <si>
    <t>Thi nh phá »‘ thãi bãnh</t>
  </si>
  <si>
    <t>ThÃ nh Phá»‘ ThÃ¡i BÃ¬nh</t>
  </si>
  <si>
    <t>ThÃ¡i BÃ¬nh</t>
  </si>
  <si>
    <t>Thã nh phá »‘ thãi nguyãªn</t>
  </si>
  <si>
    <t>ThÃ nh Phá»‘ ThÃ¡i NguyÃªn</t>
  </si>
  <si>
    <t>ThÃ¡i NguyÃªn</t>
  </si>
  <si>
    <t>Thã nh phá »‘ tuyãªn quang</t>
  </si>
  <si>
    <t>ThÃ nh Phá»‘ TuyÃªn Quang</t>
  </si>
  <si>
    <t>TuyÃªn Quang</t>
  </si>
  <si>
    <t>Thi nh phá »‘ uãng bã</t>
  </si>
  <si>
    <t>ThÃ nh Phá»‘ UÃ´ng BÃ­</t>
  </si>
  <si>
    <t>Thá »§ Dáº§u má» ™ t</t>
  </si>
  <si>
    <t>Thá»§ Dáº§u Má»™t</t>
  </si>
  <si>
    <t>BÃ¬nh DÆ°Æ¡ng</t>
  </si>
  <si>
    <t>THANH H ÊNA</t>
  </si>
  <si>
    <t>Trã vinh</t>
  </si>
  <si>
    <t>TrÃ  Vinh</t>
  </si>
  <si>
    <t>Tuy Hã²a</t>
  </si>
  <si>
    <t>Tuy HÃ²a</t>
  </si>
  <si>
    <t>Vá »‹ Thanh</t>
  </si>
  <si>
    <t>Vá»‹ Thanh</t>
  </si>
  <si>
    <t>Hau Giang</t>
  </si>
  <si>
    <t>Vå © ng tã u</t>
  </si>
  <si>
    <t>VÅ©ng TÃ u</t>
  </si>
  <si>
    <t>BÃ  Rá»‹a-VÅ©ng TÃ u</t>
  </si>
  <si>
    <t>Vä © NH Long</t>
  </si>
  <si>
    <t>VÄ©nh Long</t>
  </si>
  <si>
    <t>Vä © nh yãªn</t>
  </si>
  <si>
    <t>VÄ©nh YÃªn</t>
  </si>
  <si>
    <t>VÄ©nh PhÃºc</t>
  </si>
  <si>
    <t>Viá »‡ T tréla</t>
  </si>
  <si>
    <t>Viá»‡t TrÃ¬</t>
  </si>
  <si>
    <t>PhÃº Thá»</t>
  </si>
  <si>
    <t>Vinh</t>
  </si>
  <si>
    <t>Nghá»‡ An</t>
  </si>
  <si>
    <t>Yãªn b ã</t>
  </si>
  <si>
    <t>YÃªn BÃ¡i</t>
  </si>
  <si>
    <t>Yãªn vinh</t>
  </si>
  <si>
    <t>YÃªn Vinh</t>
  </si>
  <si>
    <t>Mata-utu</t>
  </si>
  <si>
    <t>Mata-Utu</t>
  </si>
  <si>
    <t>Wallis and Futuna</t>
  </si>
  <si>
    <t>Circonscription d'UvÃ©a</t>
  </si>
  <si>
    <t>Western Sahara</t>
  </si>
  <si>
    <t>Oued Ed-Dahab-Lagouira</t>
  </si>
  <si>
    <t>La ¢ Youne / El Aaiãin</t>
  </si>
  <si>
    <t>LaÃ¢youne / El AaiÃºn</t>
  </si>
  <si>
    <t>SMARA</t>
  </si>
  <si>
    <t>Smara</t>
  </si>
  <si>
    <t>Á¸AJJAH</t>
  </si>
  <si>
    <t>á¸¨ajjah</t>
  </si>
  <si>
    <t>Yemen</t>
  </si>
  <si>
    <t>â € ˜amrä n</t>
  </si>
  <si>
    <t>â€˜AmrÄn</t>
  </si>
  <si>
    <t>Omran</t>
  </si>
  <si>
    <t>Aden</t>
  </si>
  <si>
    <t>Al á¸ëazm</t>
  </si>
  <si>
    <t>Al á¸¨azm</t>
  </si>
  <si>
    <t>Al á¸ëudaydah</t>
  </si>
  <si>
    <t>Al á¸¨udaydah</t>
  </si>
  <si>
    <t>Muá¸©ÄfazÌ§at al á¸¨udaydah</t>
  </si>
  <si>
    <t>Al Mukallä</t>
  </si>
  <si>
    <t>Al MukallÄ</t>
  </si>
  <si>
    <t>Muá¸©ÄfazÌ§at á¸¨aá¸‘ramawt</t>
  </si>
  <si>
    <t>Ataq</t>
  </si>
  <si>
    <t>Shabwah</t>
  </si>
  <si>
    <t>Bä Jil</t>
  </si>
  <si>
    <t>BÄjil</t>
  </si>
  <si>
    <t>Bayt Al Faqä «h</t>
  </si>
  <si>
    <t>Bayt al FaqÄ«h</t>
  </si>
  <si>
    <t>Dhä «como sufä l</t>
  </si>
  <si>
    <t>DhÄ« as SufÄl</t>
  </si>
  <si>
    <t>Ibb</t>
  </si>
  <si>
    <t>Dhamä r</t>
  </si>
  <si>
    <t>DhamÄr</t>
  </si>
  <si>
    <t>Laá¸ © ij</t>
  </si>
  <si>
    <t>Laá¸©ij</t>
  </si>
  <si>
    <t>Ma'rib</t>
  </si>
  <si>
    <t>Maâ€™rib</t>
  </si>
  <si>
    <t>Saá¸ © ar</t>
  </si>
  <si>
    <t>Saá¸©ar</t>
  </si>
  <si>
    <t>Sanaa</t>
  </si>
  <si>
    <t>Sa'dah</t>
  </si>
  <si>
    <t>Åžaâ€˜dah</t>
  </si>
  <si>
    <t>Sayyä n</t>
  </si>
  <si>
    <t>SayyÄn</t>
  </si>
  <si>
    <t>Ta € 'IZZ</t>
  </si>
  <si>
    <t>Taâ€˜izz</t>
  </si>
  <si>
    <t>Yarä «m</t>
  </si>
  <si>
    <t>YarÄ«m</t>
  </si>
  <si>
    <t>Zabä «d</t>
  </si>
  <si>
    <t>ZabÄ«d</t>
  </si>
  <si>
    <t>Zinjibä r</t>
  </si>
  <si>
    <t>ZinjibÄr</t>
  </si>
  <si>
    <t>Abyan</t>
  </si>
  <si>
    <t>Chililabombwe</t>
  </si>
  <si>
    <t>Zambia</t>
  </si>
  <si>
    <t>Copperbelt</t>
  </si>
  <si>
    <t>Chingola</t>
  </si>
  <si>
    <t>Chipata</t>
  </si>
  <si>
    <t>Choma</t>
  </si>
  <si>
    <t>Kabwe</t>
  </si>
  <si>
    <t>Kafue</t>
  </si>
  <si>
    <t>Lusaka</t>
  </si>
  <si>
    <t>Kalulushi</t>
  </si>
  <si>
    <t>Kansanshi</t>
  </si>
  <si>
    <t>North-Western</t>
  </si>
  <si>
    <t>KAPIRI MPOSHI</t>
  </si>
  <si>
    <t>Kapiri Mposhi</t>
  </si>
  <si>
    <t>Kawambwa</t>
  </si>
  <si>
    <t>Luapula</t>
  </si>
  <si>
    <t>Kitwe</t>
  </si>
  <si>
    <t>Livingstone</t>
  </si>
  <si>
    <t>Luanshya</t>
  </si>
  <si>
    <t>Mansa</t>
  </si>
  <si>
    <t>Mazabuka</t>
  </si>
  <si>
    <t>Mbala</t>
  </si>
  <si>
    <t>Mongu</t>
  </si>
  <si>
    <t>Monze</t>
  </si>
  <si>
    <t>Mpika</t>
  </si>
  <si>
    <t>Mufulira</t>
  </si>
  <si>
    <t>Mumbwa</t>
  </si>
  <si>
    <t>NCHELENGE</t>
  </si>
  <si>
    <t>Nchelenge</t>
  </si>
  <si>
    <t>Ndola</t>
  </si>
  <si>
    <t>Petauke</t>
  </si>
  <si>
    <t>Samfya</t>
  </si>
  <si>
    <t>Sesheke</t>
  </si>
  <si>
    <t>Siavonga</t>
  </si>
  <si>
    <t>Beitbridge</t>
  </si>
  <si>
    <t>Zimbabwe</t>
  </si>
  <si>
    <t>Matabeleland South</t>
  </si>
  <si>
    <t>Bindura</t>
  </si>
  <si>
    <t>Mashonaland Central</t>
  </si>
  <si>
    <t>Bulawayo</t>
  </si>
  <si>
    <t>Chegutu</t>
  </si>
  <si>
    <t>Mashonaland West</t>
  </si>
  <si>
    <t>Chinhoyi</t>
  </si>
  <si>
    <t>Chipinge</t>
  </si>
  <si>
    <t>Manicaland</t>
  </si>
  <si>
    <t>Chiredzi</t>
  </si>
  <si>
    <t>Masvingo</t>
  </si>
  <si>
    <t>Chitungwiza</t>
  </si>
  <si>
    <t>Harare</t>
  </si>
  <si>
    <t>Epworth</t>
  </si>
  <si>
    <t>Gokwe</t>
  </si>
  <si>
    <t>Midlands</t>
  </si>
  <si>
    <t>Gweru</t>
  </si>
  <si>
    <t>Hwange</t>
  </si>
  <si>
    <t>Matabeleland North</t>
  </si>
  <si>
    <t>Kariba</t>
  </si>
  <si>
    <t>Karoi</t>
  </si>
  <si>
    <t>Kwekwe</t>
  </si>
  <si>
    <t>Marondera</t>
  </si>
  <si>
    <t>Mashonaland East</t>
  </si>
  <si>
    <t>Mutare</t>
  </si>
  <si>
    <t>Redcliff</t>
  </si>
  <si>
    <t>Rusape</t>
  </si>
  <si>
    <t>Shurugwi</t>
  </si>
  <si>
    <t>Cataratas Vitória</t>
  </si>
  <si>
    <t>Victoria Falls</t>
  </si>
  <si>
    <t>Zvishavane</t>
  </si>
  <si>
    <t>Raʼs al Khaymah</t>
  </si>
  <si>
    <t>Khawr Fakkān</t>
  </si>
  <si>
    <t>Ash Shāriqah</t>
  </si>
  <si>
    <t>Nīmrūz</t>
  </si>
  <si>
    <t>Takhār</t>
  </si>
  <si>
    <t>Shīnḏanḏ</t>
  </si>
  <si>
    <t>Shibirghān</t>
  </si>
  <si>
    <t>Jowzjān</t>
  </si>
  <si>
    <t>Sang-e Chārak</t>
  </si>
  <si>
    <t>Aībak</t>
  </si>
  <si>
    <t>Samangān</t>
  </si>
  <si>
    <t>Rustāq</t>
  </si>
  <si>
    <t>Qarqīn</t>
  </si>
  <si>
    <t>Qarāwul</t>
  </si>
  <si>
    <t>Pul-e Khumrī</t>
  </si>
  <si>
    <t>Wilāyat-e Baghlān</t>
  </si>
  <si>
    <t>Paghmān</t>
  </si>
  <si>
    <t>Nahrīn</t>
  </si>
  <si>
    <t>Mehtar Lām</t>
  </si>
  <si>
    <t>Laghmān</t>
  </si>
  <si>
    <t>Mazār-e Sharīf</t>
  </si>
  <si>
    <t>Lashkar Gāh</t>
  </si>
  <si>
    <t>Khōst</t>
  </si>
  <si>
    <t>Khāsh</t>
  </si>
  <si>
    <t>Kandahār</t>
  </si>
  <si>
    <t>Jalālābād</t>
  </si>
  <si>
    <t>Nangarhār</t>
  </si>
  <si>
    <t>Herāt</t>
  </si>
  <si>
    <t>Gardēz</t>
  </si>
  <si>
    <t>Barakī Barak</t>
  </si>
  <si>
    <t>Bāmyān</t>
  </si>
  <si>
    <t>Bāmīān</t>
  </si>
  <si>
    <t>Baghlān</t>
  </si>
  <si>
    <t>Ārt Khwājah</t>
  </si>
  <si>
    <t>Āsmār</t>
  </si>
  <si>
    <t>Asadābād</t>
  </si>
  <si>
    <t>Andkhōy</t>
  </si>
  <si>
    <t>Bāzārak</t>
  </si>
  <si>
    <t>Markaz-e Woluswalī-ye Āchīn</t>
  </si>
  <si>
    <t>Saint John’s</t>
  </si>
  <si>
    <t>Sarandë</t>
  </si>
  <si>
    <t>Vlorë</t>
  </si>
  <si>
    <t>Kukës</t>
  </si>
  <si>
    <t>Korçë</t>
  </si>
  <si>
    <t>Gjirokastër</t>
  </si>
  <si>
    <t>Tiranë</t>
  </si>
  <si>
    <t>Shkodër</t>
  </si>
  <si>
    <t>Lushnjë</t>
  </si>
  <si>
    <t>Lezhë</t>
  </si>
  <si>
    <t>Laç</t>
  </si>
  <si>
    <t>Kuçovë</t>
  </si>
  <si>
    <t>Krujë</t>
  </si>
  <si>
    <t>Durrës</t>
  </si>
  <si>
    <t>Kavajë</t>
  </si>
  <si>
    <t>Fier-Çifçi</t>
  </si>
  <si>
    <t>Hats’avan</t>
  </si>
  <si>
    <t>Uíge</t>
  </si>
  <si>
    <t>N’dalatando</t>
  </si>
  <si>
    <t>Huíla</t>
  </si>
  <si>
    <t>Caála</t>
  </si>
  <si>
    <t>Zárate</t>
  </si>
  <si>
    <t>Puerto Iguazú</t>
  </si>
  <si>
    <t>Oberá</t>
  </si>
  <si>
    <t>Morón</t>
  </si>
  <si>
    <t>Luján</t>
  </si>
  <si>
    <t>Jardín América</t>
  </si>
  <si>
    <t>Gualeguaychú</t>
  </si>
  <si>
    <t>Gobernador Ingeniero Valentín Virasoro</t>
  </si>
  <si>
    <t>General José de San Martín</t>
  </si>
  <si>
    <t>Curuzú Cuatiá</t>
  </si>
  <si>
    <t>Concepción del Uruguay</t>
  </si>
  <si>
    <t>Chajarí</t>
  </si>
  <si>
    <t>Aristóbulo del Valle</t>
  </si>
  <si>
    <t>Tucumán</t>
  </si>
  <si>
    <t>Villa María</t>
  </si>
  <si>
    <t>Villa Constitución</t>
  </si>
  <si>
    <t>Villa Ángela</t>
  </si>
  <si>
    <t>Termas de Río Hondo</t>
  </si>
  <si>
    <t>Tafí Viejo</t>
  </si>
  <si>
    <t>Santa Lucía</t>
  </si>
  <si>
    <t>San Ramón de la Nueva Orán</t>
  </si>
  <si>
    <t>San Nicolás de los Arroyos</t>
  </si>
  <si>
    <t>San Miguel de Tucumán</t>
  </si>
  <si>
    <t>San Martín de los Andes</t>
  </si>
  <si>
    <t>San Martín</t>
  </si>
  <si>
    <t>San José de Jáchal</t>
  </si>
  <si>
    <t>Río Tercero</t>
  </si>
  <si>
    <t>Río Segundo</t>
  </si>
  <si>
    <t>Río Gallegos</t>
  </si>
  <si>
    <t>Río Cuarto</t>
  </si>
  <si>
    <t>Río Ceballos</t>
  </si>
  <si>
    <t>Presidencia Roque Sáenz Peña</t>
  </si>
  <si>
    <t>Pérez</t>
  </si>
  <si>
    <t>Palpalá</t>
  </si>
  <si>
    <t>Olavarría</t>
  </si>
  <si>
    <t>Neuquén</t>
  </si>
  <si>
    <t>Marcos Juárez</t>
  </si>
  <si>
    <t>Libertador General San Martín</t>
  </si>
  <si>
    <t>Las Breñas</t>
  </si>
  <si>
    <t>Junín</t>
  </si>
  <si>
    <t>Joaquín V. González</t>
  </si>
  <si>
    <t>Jesús María</t>
  </si>
  <si>
    <t>Gobernador Gálvez</t>
  </si>
  <si>
    <t>Gálvez</t>
  </si>
  <si>
    <t>Embarcación</t>
  </si>
  <si>
    <t>El Bolsón</t>
  </si>
  <si>
    <t>Deán Funes</t>
  </si>
  <si>
    <t>Cutral-Có</t>
  </si>
  <si>
    <t>Cosquín</t>
  </si>
  <si>
    <t>Coronel Suárez</t>
  </si>
  <si>
    <t>Córdoba</t>
  </si>
  <si>
    <t>Carcarañá</t>
  </si>
  <si>
    <t>Capitán Bermúdez</t>
  </si>
  <si>
    <t>Cañada de Gómez</t>
  </si>
  <si>
    <t>Bahía Blanca</t>
  </si>
  <si>
    <t>Añatuya</t>
  </si>
  <si>
    <t>Albardón</t>
  </si>
  <si>
    <t>Buenos Aires F.D</t>
  </si>
  <si>
    <t>Sankt Pölten</t>
  </si>
  <si>
    <t>Mödling</t>
  </si>
  <si>
    <t>Klagenfurt am Wörthersee</t>
  </si>
  <si>
    <t>Xankǝndi</t>
  </si>
  <si>
    <t>Əhmədbəyli</t>
  </si>
  <si>
    <t>Saatlı</t>
  </si>
  <si>
    <t>Şuşa</t>
  </si>
  <si>
    <t>Neftçala</t>
  </si>
  <si>
    <t>Bilǝsuvar</t>
  </si>
  <si>
    <t>Şirvan</t>
  </si>
  <si>
    <t>Ağdam</t>
  </si>
  <si>
    <t>Xaçmaz</t>
  </si>
  <si>
    <t>Tǝrtǝr</t>
  </si>
  <si>
    <t>Sumqayıt</t>
  </si>
  <si>
    <t>Qaraçuxur</t>
  </si>
  <si>
    <t>Şǝmkir</t>
  </si>
  <si>
    <t>Şamaxı</t>
  </si>
  <si>
    <t>Sabunçu</t>
  </si>
  <si>
    <t>Hacıqabul</t>
  </si>
  <si>
    <t>Hacı Zeynalabdin</t>
  </si>
  <si>
    <t>Mingǝcevir</t>
  </si>
  <si>
    <t>Maştağa</t>
  </si>
  <si>
    <t>Lökbatan</t>
  </si>
  <si>
    <t>Yeni Suraxanı</t>
  </si>
  <si>
    <t>Hövsan</t>
  </si>
  <si>
    <t>Ağdaş</t>
  </si>
  <si>
    <t>Bakıxanov</t>
  </si>
  <si>
    <t>Velika Kladuša</t>
  </si>
  <si>
    <t>Gradačac</t>
  </si>
  <si>
    <t>Gračanica</t>
  </si>
  <si>
    <t>Goražde</t>
  </si>
  <si>
    <t>Brčko</t>
  </si>
  <si>
    <t>Bihać</t>
  </si>
  <si>
    <t>Thākurgaon</t>
  </si>
  <si>
    <t>Teknāf</t>
  </si>
  <si>
    <t>Dohār</t>
  </si>
  <si>
    <t>Jamālpur</t>
  </si>
  <si>
    <t>Rājshāhi</t>
  </si>
  <si>
    <t>Sātkhira</t>
  </si>
  <si>
    <t>Sirājganj</t>
  </si>
  <si>
    <t>Sandwīp</t>
  </si>
  <si>
    <t>Shāhzādpur</t>
  </si>
  <si>
    <t>Rāmganj</t>
  </si>
  <si>
    <t>Barisāl</t>
  </si>
  <si>
    <t>Nārāyanganj</t>
  </si>
  <si>
    <t>Nālchiti</t>
  </si>
  <si>
    <t>Nāgarpur</t>
  </si>
  <si>
    <t>Muktāgācha</t>
  </si>
  <si>
    <t>Mirzāpur</t>
  </si>
  <si>
    <t>Maulavi Bāzār</t>
  </si>
  <si>
    <t>Lākshām</t>
  </si>
  <si>
    <t>Kālīganj</t>
  </si>
  <si>
    <t>Jhingergācha</t>
  </si>
  <si>
    <t>Joypur Hāt</t>
  </si>
  <si>
    <t>Rāipur</t>
  </si>
  <si>
    <t>Chilmāri</t>
  </si>
  <si>
    <t>Chhāgalnāiya</t>
  </si>
  <si>
    <t>Lālmohan</t>
  </si>
  <si>
    <t>Chhātak</t>
  </si>
  <si>
    <t>Bhātpāra Abhaynagar</t>
  </si>
  <si>
    <t>Bherāmāra</t>
  </si>
  <si>
    <t>Bhairab Bāzār</t>
  </si>
  <si>
    <t>Bāndarban</t>
  </si>
  <si>
    <t>Kālia</t>
  </si>
  <si>
    <t>Bājitpur</t>
  </si>
  <si>
    <t>Tungipāra</t>
  </si>
  <si>
    <t>Sarishābāri</t>
  </si>
  <si>
    <t>Raojān</t>
  </si>
  <si>
    <t>Pālang</t>
  </si>
  <si>
    <t>Pār Naogaon</t>
  </si>
  <si>
    <t>Nabīnagar</t>
  </si>
  <si>
    <t>Lakshmīpur</t>
  </si>
  <si>
    <t>Hājīganj</t>
  </si>
  <si>
    <t>Farīdpur</t>
  </si>
  <si>
    <t>Dinājpur</t>
  </si>
  <si>
    <t>Char Bhadrāsan</t>
  </si>
  <si>
    <t>Burhānuddin</t>
  </si>
  <si>
    <t>Sātkania</t>
  </si>
  <si>
    <t>Cox’s Bāzār</t>
  </si>
  <si>
    <t>Pābna</t>
  </si>
  <si>
    <t>Tāngāil</t>
  </si>
  <si>
    <t>Pīrgaaj</t>
  </si>
  <si>
    <t>Nawābganj</t>
  </si>
  <si>
    <t>Mādārīpur</t>
  </si>
  <si>
    <t>Bhāndāria</t>
  </si>
  <si>
    <t>Visé</t>
  </si>
  <si>
    <t>Pont-à-Celles</t>
  </si>
  <si>
    <t>Péruwelz</t>
  </si>
  <si>
    <t>Liège</t>
  </si>
  <si>
    <t>La Louvière</t>
  </si>
  <si>
    <t>Fléron</t>
  </si>
  <si>
    <t>Flémalle-Haute</t>
  </si>
  <si>
    <t>Châtelet</t>
  </si>
  <si>
    <t>Réo</t>
  </si>
  <si>
    <t>Pô</t>
  </si>
  <si>
    <t>Léo</t>
  </si>
  <si>
    <t>Koupéla</t>
  </si>
  <si>
    <t>Houndé</t>
  </si>
  <si>
    <t>Dédougou</t>
  </si>
  <si>
    <t>Veliko Tŭrnovo</t>
  </si>
  <si>
    <t>Tŭrgovishte</t>
  </si>
  <si>
    <t>Kazanlŭk</t>
  </si>
  <si>
    <t>Madīnat ‘Īsá</t>
  </si>
  <si>
    <t>Jidd Ḩafş</t>
  </si>
  <si>
    <t>Madīnat Ḩamad</t>
  </si>
  <si>
    <t>Dār Kulayb</t>
  </si>
  <si>
    <t>Ar Rifā‘</t>
  </si>
  <si>
    <t>Tanguiéta</t>
  </si>
  <si>
    <t>Savé</t>
  </si>
  <si>
    <t>Sakété</t>
  </si>
  <si>
    <t>Quémé</t>
  </si>
  <si>
    <t>Kétou</t>
  </si>
  <si>
    <t>Bembèrèkè</t>
  </si>
  <si>
    <t>Villazón</t>
  </si>
  <si>
    <t>Potosí</t>
  </si>
  <si>
    <t>Villa Yapacaní</t>
  </si>
  <si>
    <t>Guayaramerín</t>
  </si>
  <si>
    <t>Vitória do Mearim</t>
  </si>
  <si>
    <t>Maranhão</t>
  </si>
  <si>
    <t>Vitória de Santo Antão</t>
  </si>
  <si>
    <t>Pará</t>
  </si>
  <si>
    <t>Paraíba</t>
  </si>
  <si>
    <t>Viçosa do Ceará</t>
  </si>
  <si>
    <t>Ceará</t>
  </si>
  <si>
    <t>Viçosa</t>
  </si>
  <si>
    <t>Várzea Alegre</t>
  </si>
  <si>
    <t>Valença do Piauí</t>
  </si>
  <si>
    <t>Piauí</t>
  </si>
  <si>
    <t>União dos Palmares</t>
  </si>
  <si>
    <t>Tucuruí</t>
  </si>
  <si>
    <t>Tomé Açu</t>
  </si>
  <si>
    <t>Timbaúba</t>
  </si>
  <si>
    <t>Tianguá</t>
  </si>
  <si>
    <t>São João dos Inhamuns</t>
  </si>
  <si>
    <t>Solânea</t>
  </si>
  <si>
    <t>Sirinhaém</t>
  </si>
  <si>
    <t>Sertânia</t>
  </si>
  <si>
    <t>São Raimundo Nonato</t>
  </si>
  <si>
    <t>São Miguel dos Campos</t>
  </si>
  <si>
    <t>São Miguel do Guamá</t>
  </si>
  <si>
    <t>São Mateus do Maranhão</t>
  </si>
  <si>
    <t>São Luís do Quitunde</t>
  </si>
  <si>
    <t>São Lourenço da Mata</t>
  </si>
  <si>
    <t>São José do Egito</t>
  </si>
  <si>
    <t>São José de Ribamar</t>
  </si>
  <si>
    <t>São José de Mipibu</t>
  </si>
  <si>
    <t>São João dos Patos</t>
  </si>
  <si>
    <t>São Gonçalo do Amarante</t>
  </si>
  <si>
    <t>São Félix do Xingu</t>
  </si>
  <si>
    <t>São Domingos do Maranhão</t>
  </si>
  <si>
    <t>São Bento</t>
  </si>
  <si>
    <t>Santarém</t>
  </si>
  <si>
    <t>Santa Quitéria do Maranhão</t>
  </si>
  <si>
    <t>Santa Quitéria</t>
  </si>
  <si>
    <t>Santa Inês</t>
  </si>
  <si>
    <t>Salinópolis</t>
  </si>
  <si>
    <t>Ribeirão</t>
  </si>
  <si>
    <t>Amapá</t>
  </si>
  <si>
    <t>Jatobá</t>
  </si>
  <si>
    <t>Parnaíba</t>
  </si>
  <si>
    <t>Orós</t>
  </si>
  <si>
    <t>Ábidos</t>
  </si>
  <si>
    <t>Nazaré da Mata</t>
  </si>
  <si>
    <t>Mombaça</t>
  </si>
  <si>
    <t>Mossoró</t>
  </si>
  <si>
    <t>Maués</t>
  </si>
  <si>
    <t>Maracanaú</t>
  </si>
  <si>
    <t>Maceió</t>
  </si>
  <si>
    <t>Macaíba</t>
  </si>
  <si>
    <t>João Pessoa</t>
  </si>
  <si>
    <t>João Câmara</t>
  </si>
  <si>
    <t>Jaboatão</t>
  </si>
  <si>
    <t>Igarapé Miri</t>
  </si>
  <si>
    <t>Igarapé Açu</t>
  </si>
  <si>
    <t>Icó</t>
  </si>
  <si>
    <t>Guaiúba</t>
  </si>
  <si>
    <t>Gravatá</t>
  </si>
  <si>
    <t>Grajaú</t>
  </si>
  <si>
    <t>Glória do Goitá</t>
  </si>
  <si>
    <t>Eusébio</t>
  </si>
  <si>
    <t>Esperança</t>
  </si>
  <si>
    <t>Demerval Lobão</t>
  </si>
  <si>
    <t>Custódia</t>
  </si>
  <si>
    <t>Crateús</t>
  </si>
  <si>
    <t>Conceição do Araguaia</t>
  </si>
  <si>
    <t>Codó</t>
  </si>
  <si>
    <t>Ceará Mirim</t>
  </si>
  <si>
    <t>Catolé do Rocha</t>
  </si>
  <si>
    <t>Capitão Poço</t>
  </si>
  <si>
    <t>Canindé</t>
  </si>
  <si>
    <t>Cametá</t>
  </si>
  <si>
    <t>Caicó</t>
  </si>
  <si>
    <t>Cabrobó</t>
  </si>
  <si>
    <t>Buíque</t>
  </si>
  <si>
    <t>Bragança</t>
  </si>
  <si>
    <t>Augusto Corrêa</t>
  </si>
  <si>
    <t>Araguaína</t>
  </si>
  <si>
    <t>Águas Belas</t>
  </si>
  <si>
    <t>Água Preta</t>
  </si>
  <si>
    <t>Açu</t>
  </si>
  <si>
    <t>Acaraú</t>
  </si>
  <si>
    <t>Xanxerê</t>
  </si>
  <si>
    <t>Vitória da Conquista</t>
  </si>
  <si>
    <t>Vitória</t>
  </si>
  <si>
    <t>Espírito Santo</t>
  </si>
  <si>
    <t>Viamão</t>
  </si>
  <si>
    <t>Veranópolis</t>
  </si>
  <si>
    <t>Venâncio Aires</t>
  </si>
  <si>
    <t>Várzea Paulista</t>
  </si>
  <si>
    <t>Várzea Grande</t>
  </si>
  <si>
    <t>Várzea da Palma</t>
  </si>
  <si>
    <t>Valença</t>
  </si>
  <si>
    <t>Uruçuca</t>
  </si>
  <si>
    <t>Uruaçu</t>
  </si>
  <si>
    <t>Goiás</t>
  </si>
  <si>
    <t>União da Vitória</t>
  </si>
  <si>
    <t>Unaí</t>
  </si>
  <si>
    <t>Uberlândia</t>
  </si>
  <si>
    <t>Ubá</t>
  </si>
  <si>
    <t>Tubarão</t>
  </si>
  <si>
    <t>Três Rios</t>
  </si>
  <si>
    <t>Três Pontas</t>
  </si>
  <si>
    <t>Três Passos</t>
  </si>
  <si>
    <t>Três Lagoas</t>
  </si>
  <si>
    <t>Três de Maio</t>
  </si>
  <si>
    <t>Três Coroas</t>
  </si>
  <si>
    <t>Três Corações</t>
  </si>
  <si>
    <t>Tramandaí</t>
  </si>
  <si>
    <t>Timóteo</t>
  </si>
  <si>
    <t>Timbó</t>
  </si>
  <si>
    <t>Tietê</t>
  </si>
  <si>
    <t>Teutônia</t>
  </si>
  <si>
    <t>Teresópolis</t>
  </si>
  <si>
    <t>Teófilo Otoni</t>
  </si>
  <si>
    <t>Telêmaco Borba</t>
  </si>
  <si>
    <t>Tatuí</t>
  </si>
  <si>
    <t>Tapiramutá</t>
  </si>
  <si>
    <t>Tanguá</t>
  </si>
  <si>
    <t>Tambaú</t>
  </si>
  <si>
    <t>Taboão da Serra</t>
  </si>
  <si>
    <t>Sumaré</t>
  </si>
  <si>
    <t>Simão Dias</t>
  </si>
  <si>
    <t>Sidrolândia</t>
  </si>
  <si>
    <t>Sertãozinho</t>
  </si>
  <si>
    <t>Seropédica</t>
  </si>
  <si>
    <t>São Vicente</t>
  </si>
  <si>
    <t>São Sepé</t>
  </si>
  <si>
    <t>São Sebastião do Passé</t>
  </si>
  <si>
    <t>São Sebastião do Paraíso</t>
  </si>
  <si>
    <t>São Sebastião do Caí</t>
  </si>
  <si>
    <t>São Sebastião</t>
  </si>
  <si>
    <t>São Roque</t>
  </si>
  <si>
    <t>São Pedro da Aldeia</t>
  </si>
  <si>
    <t>São Pedro</t>
  </si>
  <si>
    <t>São Miguel do Iguaçu</t>
  </si>
  <si>
    <t>São Miguel do Araguaia</t>
  </si>
  <si>
    <t>São Mateus do Sul</t>
  </si>
  <si>
    <t>São Mateus</t>
  </si>
  <si>
    <t>São Marcos</t>
  </si>
  <si>
    <t>São Manuel</t>
  </si>
  <si>
    <t>São Luiz Gonzaga</t>
  </si>
  <si>
    <t>São Luís de Montes Belos</t>
  </si>
  <si>
    <t>São Lourenço do Sul</t>
  </si>
  <si>
    <t>São Leopoldo</t>
  </si>
  <si>
    <t>São José dos Pinhais</t>
  </si>
  <si>
    <t>São José dos Campos</t>
  </si>
  <si>
    <t>São José do Rio Preto</t>
  </si>
  <si>
    <t>São José do Rio Pardo</t>
  </si>
  <si>
    <t>São Joaquim da Barra</t>
  </si>
  <si>
    <t>São Joaquim</t>
  </si>
  <si>
    <t>São João Nepomuceno</t>
  </si>
  <si>
    <t>São João de Meriti</t>
  </si>
  <si>
    <t>São João del Rei</t>
  </si>
  <si>
    <t>São João da Boa Vista</t>
  </si>
  <si>
    <t>São João da Barra</t>
  </si>
  <si>
    <t>São Jerônimo</t>
  </si>
  <si>
    <t>São Gotardo</t>
  </si>
  <si>
    <t>São Gonçalo do Sapucaí</t>
  </si>
  <si>
    <t>São Gabriel</t>
  </si>
  <si>
    <t>São Francisco do Conde</t>
  </si>
  <si>
    <t>São Fidélis</t>
  </si>
  <si>
    <t>São Cristóvão</t>
  </si>
  <si>
    <t>São Carlos</t>
  </si>
  <si>
    <t>São Caetano do Sul</t>
  </si>
  <si>
    <t>São Borja</t>
  </si>
  <si>
    <t>São Bernardo do Campo</t>
  </si>
  <si>
    <t>São Bento do Sul</t>
  </si>
  <si>
    <t>Santo Estêvão</t>
  </si>
  <si>
    <t>Santo Antônio do Monte</t>
  </si>
  <si>
    <t>Santo Antônio do Amparo</t>
  </si>
  <si>
    <t>Santo Antônio de Posse</t>
  </si>
  <si>
    <t>Santo Antônio de Pádua</t>
  </si>
  <si>
    <t>Santo Antônio de Jesus</t>
  </si>
  <si>
    <t>Santo Antônio da Platina</t>
  </si>
  <si>
    <t>Santo Ângelo</t>
  </si>
  <si>
    <t>Santo Anastácio</t>
  </si>
  <si>
    <t>Santa Vitória do Palmar</t>
  </si>
  <si>
    <t>Santa Rita do Sapucaí</t>
  </si>
  <si>
    <t>Santana do Paraíso</t>
  </si>
  <si>
    <t>Santana de Parnaíba</t>
  </si>
  <si>
    <t>Santa Maria da Vitória</t>
  </si>
  <si>
    <t>Santa Helena de Goiás</t>
  </si>
  <si>
    <t>Santa Fé do Sul</t>
  </si>
  <si>
    <t>Santa Cruz Cabrália</t>
  </si>
  <si>
    <t>Santa Cecília</t>
  </si>
  <si>
    <t>Santa Bárbara d'Oeste</t>
  </si>
  <si>
    <t>Rosário do Sul</t>
  </si>
  <si>
    <t>Rondonópolis</t>
  </si>
  <si>
    <t>Rolândia</t>
  </si>
  <si>
    <t>Ribeirão Preto</t>
  </si>
  <si>
    <t>Ribeirão Pires</t>
  </si>
  <si>
    <t>Ribeirão das Neves</t>
  </si>
  <si>
    <t>Ribeirão da Ilha</t>
  </si>
  <si>
    <t>Riachão do Jacuípe</t>
  </si>
  <si>
    <t>Regente Feijó</t>
  </si>
  <si>
    <t>Quirinópolis</t>
  </si>
  <si>
    <t>Quaraí</t>
  </si>
  <si>
    <t>Prudentópolis</t>
  </si>
  <si>
    <t>Propriá</t>
  </si>
  <si>
    <t>Promissão</t>
  </si>
  <si>
    <t>Presidente Epitácio</t>
  </si>
  <si>
    <t>Porto União</t>
  </si>
  <si>
    <t>Portão</t>
  </si>
  <si>
    <t>Pompéu</t>
  </si>
  <si>
    <t>Poços de Caldas</t>
  </si>
  <si>
    <t>Poconé</t>
  </si>
  <si>
    <t>Poções</t>
  </si>
  <si>
    <t>Poá</t>
  </si>
  <si>
    <t>Piúma</t>
  </si>
  <si>
    <t>Piuí</t>
  </si>
  <si>
    <t>Pirajuí</t>
  </si>
  <si>
    <t>Piraí do Sul</t>
  </si>
  <si>
    <t>Piraí</t>
  </si>
  <si>
    <t>Pinhão</t>
  </si>
  <si>
    <t>Espírito Santo do Pinhal</t>
  </si>
  <si>
    <t>Pindobaçu</t>
  </si>
  <si>
    <t>Petrópolis</t>
  </si>
  <si>
    <t>Peruíbe</t>
  </si>
  <si>
    <t>Perdões</t>
  </si>
  <si>
    <t>Penápolis</t>
  </si>
  <si>
    <t>Paulínia</t>
  </si>
  <si>
    <t>Patrocínio</t>
  </si>
  <si>
    <t>Paranavaí</t>
  </si>
  <si>
    <t>Paranaíba</t>
  </si>
  <si>
    <t>Paranaguá</t>
  </si>
  <si>
    <t>Paraíba do Sul</t>
  </si>
  <si>
    <t>Paraguaçu Paulista</t>
  </si>
  <si>
    <t>Paraguaçu</t>
  </si>
  <si>
    <t>Pará de Minas</t>
  </si>
  <si>
    <t>Palmeira das Missões</t>
  </si>
  <si>
    <t>Palhoça</t>
  </si>
  <si>
    <t>Paiçandu</t>
  </si>
  <si>
    <t>Osório</t>
  </si>
  <si>
    <t>Orlândia</t>
  </si>
  <si>
    <t>Olímpia</t>
  </si>
  <si>
    <t>Nova Viçosa</t>
  </si>
  <si>
    <t>Nova Venécia</t>
  </si>
  <si>
    <t>Nova Petrópolis</t>
  </si>
  <si>
    <t>Nova Olímpia</t>
  </si>
  <si>
    <t>Nova Iguaçu</t>
  </si>
  <si>
    <t>Nossa Senhora da Glória</t>
  </si>
  <si>
    <t>Niterói</t>
  </si>
  <si>
    <t>Niquelândia</t>
  </si>
  <si>
    <t>Nilópolis</t>
  </si>
  <si>
    <t>Nerópolis</t>
  </si>
  <si>
    <t>Naviraí</t>
  </si>
  <si>
    <t>Morro do Chapéu</t>
  </si>
  <si>
    <t>Monte Aprazível</t>
  </si>
  <si>
    <t>Mongaguá</t>
  </si>
  <si>
    <t>Mirandopólis</t>
  </si>
  <si>
    <t>Miguelópolis</t>
  </si>
  <si>
    <t>Matão</t>
  </si>
  <si>
    <t>Mata de São João</t>
  </si>
  <si>
    <t>Martinópolis</t>
  </si>
  <si>
    <t>Maringá</t>
  </si>
  <si>
    <t>Marília</t>
  </si>
  <si>
    <t>Maricá</t>
  </si>
  <si>
    <t>Marechal Cândido Rondon</t>
  </si>
  <si>
    <t>Manhuaçu</t>
  </si>
  <si>
    <t>Mairiporã</t>
  </si>
  <si>
    <t>Macaé</t>
  </si>
  <si>
    <t>Luziânia</t>
  </si>
  <si>
    <t>Lençóis Paulista</t>
  </si>
  <si>
    <t>Ladário</t>
  </si>
  <si>
    <t>Jundiaí</t>
  </si>
  <si>
    <t>Júlio de Castilhos</t>
  </si>
  <si>
    <t>José Bonifácio</t>
  </si>
  <si>
    <t>João Pinheiro</t>
  </si>
  <si>
    <t>João Monlevade</t>
  </si>
  <si>
    <t>Joaçaba</t>
  </si>
  <si>
    <t>Jaú</t>
  </si>
  <si>
    <t>Jataí</t>
  </si>
  <si>
    <t>Jardinópolis</t>
  </si>
  <si>
    <t>Jaraguá do Sul</t>
  </si>
  <si>
    <t>Januária</t>
  </si>
  <si>
    <t>Janaúba</t>
  </si>
  <si>
    <t>Jaguariúna</t>
  </si>
  <si>
    <t>Jaguariaíva</t>
  </si>
  <si>
    <t>Jaguarão</t>
  </si>
  <si>
    <t>Jacareí</t>
  </si>
  <si>
    <t>Ituberá</t>
  </si>
  <si>
    <t>Itororó</t>
  </si>
  <si>
    <t>Itaúna</t>
  </si>
  <si>
    <t>Itápolis</t>
  </si>
  <si>
    <t>Itaperuçu</t>
  </si>
  <si>
    <t>Itanhaém</t>
  </si>
  <si>
    <t>Itajuípe</t>
  </si>
  <si>
    <t>Itajubá</t>
  </si>
  <si>
    <t>Itajaí</t>
  </si>
  <si>
    <t>Itaí</t>
  </si>
  <si>
    <t>Itaguaí</t>
  </si>
  <si>
    <t>Itaboraí</t>
  </si>
  <si>
    <t>Itaberaí</t>
  </si>
  <si>
    <t>Irecê</t>
  </si>
  <si>
    <t>Iracemápolis</t>
  </si>
  <si>
    <t>Ipiaú</t>
  </si>
  <si>
    <t>Iperó</t>
  </si>
  <si>
    <t>Ilhéus</t>
  </si>
  <si>
    <t>Ijuí</t>
  </si>
  <si>
    <t>Igaraçu do Tietê</t>
  </si>
  <si>
    <t>Içara</t>
  </si>
  <si>
    <t>Ibiúna</t>
  </si>
  <si>
    <t>Ibicaraí</t>
  </si>
  <si>
    <t>Ibiá</t>
  </si>
  <si>
    <t>Iaçu</t>
  </si>
  <si>
    <t>Hortolândia</t>
  </si>
  <si>
    <t>Guaxupé</t>
  </si>
  <si>
    <t>Guarujá</t>
  </si>
  <si>
    <t>Guaranésia</t>
  </si>
  <si>
    <t>Guaporé</t>
  </si>
  <si>
    <t>Guanhães</t>
  </si>
  <si>
    <t>Guaíra</t>
  </si>
  <si>
    <t>Guaçuí</t>
  </si>
  <si>
    <t>Gravataí</t>
  </si>
  <si>
    <t>Goiânia</t>
  </si>
  <si>
    <t>Goianésia</t>
  </si>
  <si>
    <t>Garça</t>
  </si>
  <si>
    <t>Francisco Beltrão</t>
  </si>
  <si>
    <t>Foz do Iguaçu</t>
  </si>
  <si>
    <t>Florianópolis</t>
  </si>
  <si>
    <t>Fernandópolis</t>
  </si>
  <si>
    <t>Estância Velha</t>
  </si>
  <si>
    <t>Estância</t>
  </si>
  <si>
    <t>Embu Guaçu</t>
  </si>
  <si>
    <t>Elói Mendes</t>
  </si>
  <si>
    <t>Dois Córregos</t>
  </si>
  <si>
    <t>Divinópolis</t>
  </si>
  <si>
    <t>Cuiabá</t>
  </si>
  <si>
    <t>Cubatão</t>
  </si>
  <si>
    <t>Criciúma</t>
  </si>
  <si>
    <t>Cosmópolis</t>
  </si>
  <si>
    <t>Cornélio Procópio</t>
  </si>
  <si>
    <t>Cordeirópolis</t>
  </si>
  <si>
    <t>Conceição do Coité</t>
  </si>
  <si>
    <t>Conceição do Jacuípe</t>
  </si>
  <si>
    <t>Conceição das Alagoas</t>
  </si>
  <si>
    <t>Conceição da Feira</t>
  </si>
  <si>
    <t>Conceição da Barra</t>
  </si>
  <si>
    <t>Cláudio</t>
  </si>
  <si>
    <t>Cícero Dantas</t>
  </si>
  <si>
    <t>Chapecó</t>
  </si>
  <si>
    <t>Catalão</t>
  </si>
  <si>
    <t>Cassilândia</t>
  </si>
  <si>
    <t>Carmo do Paranaíba</t>
  </si>
  <si>
    <t>Carapicuíba</t>
  </si>
  <si>
    <t>Carandaí</t>
  </si>
  <si>
    <t>Capão da Canoa</t>
  </si>
  <si>
    <t>Capâo Bonito</t>
  </si>
  <si>
    <t>Canguçu</t>
  </si>
  <si>
    <t>Cândido Mota</t>
  </si>
  <si>
    <t>Candelária</t>
  </si>
  <si>
    <t>Campos do Jordão</t>
  </si>
  <si>
    <t>Campo Mourão</t>
  </si>
  <si>
    <t>Cambuí</t>
  </si>
  <si>
    <t>Cambé</t>
  </si>
  <si>
    <t>Camaçari</t>
  </si>
  <si>
    <t>Caçapava do Sul</t>
  </si>
  <si>
    <t>Caçapava</t>
  </si>
  <si>
    <t>Caçador</t>
  </si>
  <si>
    <t>Cabreúva</t>
  </si>
  <si>
    <t>Butiá</t>
  </si>
  <si>
    <t>Brodósqui</t>
  </si>
  <si>
    <t>Brasília</t>
  </si>
  <si>
    <t>Bragança Paulista</t>
  </si>
  <si>
    <t>Braço do Norte</t>
  </si>
  <si>
    <t>Bocaiúva</t>
  </si>
  <si>
    <t>Boa Esperança</t>
  </si>
  <si>
    <t>Biguaçu</t>
  </si>
  <si>
    <t>Bento Gonçalves</t>
  </si>
  <si>
    <t>Barreiro do Jaíba</t>
  </si>
  <si>
    <t>Barra do Piraí</t>
  </si>
  <si>
    <t>Barra do Garças</t>
  </si>
  <si>
    <t>Barra de São Francisco</t>
  </si>
  <si>
    <t>Barão de Cocais</t>
  </si>
  <si>
    <t>Bambuí</t>
  </si>
  <si>
    <t>Balneário Camboriú</t>
  </si>
  <si>
    <t>Bagé</t>
  </si>
  <si>
    <t>Arujá</t>
  </si>
  <si>
    <t>Armação de Búzios</t>
  </si>
  <si>
    <t>Araxá</t>
  </si>
  <si>
    <t>Araranguá</t>
  </si>
  <si>
    <t>Aragarças</t>
  </si>
  <si>
    <t>Araçuaí</t>
  </si>
  <si>
    <t>Araçoiaba da Serra</t>
  </si>
  <si>
    <t>Araçatuba</t>
  </si>
  <si>
    <t>Apiaí</t>
  </si>
  <si>
    <t>Anastácio</t>
  </si>
  <si>
    <t>Anápolis</t>
  </si>
  <si>
    <t>Américo Brasiliense</t>
  </si>
  <si>
    <t>Álvares Machado</t>
  </si>
  <si>
    <t>Além Paraíba</t>
  </si>
  <si>
    <t>Aimorés</t>
  </si>
  <si>
    <t>Águas Vermelhas</t>
  </si>
  <si>
    <t>Águas de Lindóia</t>
  </si>
  <si>
    <t>Aguaí</t>
  </si>
  <si>
    <t>Abaeté</t>
  </si>
  <si>
    <t>Guaíba</t>
  </si>
  <si>
    <t>Tarauacá</t>
  </si>
  <si>
    <t>São Gabriel da Cachoeira</t>
  </si>
  <si>
    <t>Rondônia</t>
  </si>
  <si>
    <t>Humaitá</t>
  </si>
  <si>
    <t>Pôsto Fiscal Rolim de Moura</t>
  </si>
  <si>
    <t>Ji Paraná</t>
  </si>
  <si>
    <t>Aparecida de Goiânia</t>
  </si>
  <si>
    <t>Jaboatão dos Guararapes</t>
  </si>
  <si>
    <t>Simões Filho</t>
  </si>
  <si>
    <t>Punākha</t>
  </si>
  <si>
    <t>Smarhon’</t>
  </si>
  <si>
    <t>Mar’’ina Horka</t>
  </si>
  <si>
    <t>Lyepyel’</t>
  </si>
  <si>
    <t>Châteauguay</t>
  </si>
  <si>
    <t>Côte-Saint-Luc</t>
  </si>
  <si>
    <t>Montréal</t>
  </si>
  <si>
    <t>Sainte-Thérèse</t>
  </si>
  <si>
    <t>Saint-Jérôme</t>
  </si>
  <si>
    <t>Saint-Léonard</t>
  </si>
  <si>
    <t>Sept-Îles</t>
  </si>
  <si>
    <t>Trois-Rivières</t>
  </si>
  <si>
    <t>Québec</t>
  </si>
  <si>
    <t>Lévis</t>
  </si>
  <si>
    <t>Rivière-du-Loup</t>
  </si>
  <si>
    <t>Jonquière</t>
  </si>
  <si>
    <t>Kasaï-Occidental</t>
  </si>
  <si>
    <t>Kasaï-Oriental</t>
  </si>
  <si>
    <t>Équateur</t>
  </si>
  <si>
    <t>Kémo</t>
  </si>
  <si>
    <t>Ouham-Pendé</t>
  </si>
  <si>
    <t>Sangha-Mbaéré</t>
  </si>
  <si>
    <t>Mbaïki</t>
  </si>
  <si>
    <t>Mambéré-Kadéï</t>
  </si>
  <si>
    <t>Berbérati</t>
  </si>
  <si>
    <t>Lékoumou</t>
  </si>
  <si>
    <t>Ouésso</t>
  </si>
  <si>
    <t>Zürich (Kreis 11) / Oerlikon</t>
  </si>
  <si>
    <t>Neuchâtel</t>
  </si>
  <si>
    <t>Le Châtelard</t>
  </si>
  <si>
    <t>Köniz</t>
  </si>
  <si>
    <t>Zürich (Kreis 10) / Höngg</t>
  </si>
  <si>
    <t>Dübendorf</t>
  </si>
  <si>
    <t>Zuénoula</t>
  </si>
  <si>
    <t>Marahoué</t>
  </si>
  <si>
    <t>San-Pédro</t>
  </si>
  <si>
    <t>Vallée du Bandama</t>
  </si>
  <si>
    <t>Denguélé</t>
  </si>
  <si>
    <t>Sud-Comoé</t>
  </si>
  <si>
    <t>Ferkessédougou</t>
  </si>
  <si>
    <t>Béoumi</t>
  </si>
  <si>
    <t>Akoupé</t>
  </si>
  <si>
    <t>Agnibilékrou</t>
  </si>
  <si>
    <t>Moyen-Comoé</t>
  </si>
  <si>
    <t>Séguéla</t>
  </si>
  <si>
    <t>Viña del Mar</t>
  </si>
  <si>
    <t>Araucanía</t>
  </si>
  <si>
    <t>Los Ríos</t>
  </si>
  <si>
    <t>Biobío</t>
  </si>
  <si>
    <t>Río Bueno</t>
  </si>
  <si>
    <t>Puerto Quellón</t>
  </si>
  <si>
    <t>Puerto Aisén</t>
  </si>
  <si>
    <t>Aisén</t>
  </si>
  <si>
    <t>Pucón</t>
  </si>
  <si>
    <t>Peñaflor</t>
  </si>
  <si>
    <t>Mulchén</t>
  </si>
  <si>
    <t>Machalí</t>
  </si>
  <si>
    <t>Los Ángeles</t>
  </si>
  <si>
    <t>La Unión</t>
  </si>
  <si>
    <t>Curicó</t>
  </si>
  <si>
    <t>Copiapó</t>
  </si>
  <si>
    <t>Constitución</t>
  </si>
  <si>
    <t>Concepción</t>
  </si>
  <si>
    <t>Chillán</t>
  </si>
  <si>
    <t>Cañete</t>
  </si>
  <si>
    <t>Yaoundé</t>
  </si>
  <si>
    <t>Sangmélima</t>
  </si>
  <si>
    <t>Ngaoundéré</t>
  </si>
  <si>
    <t>Meïganga</t>
  </si>
  <si>
    <t>Kousséri</t>
  </si>
  <si>
    <t>Kaélé</t>
  </si>
  <si>
    <t>Garoua Boulaï</t>
  </si>
  <si>
    <t>Eséka</t>
  </si>
  <si>
    <t>Edéa</t>
  </si>
  <si>
    <t>Ébolowa</t>
  </si>
  <si>
    <t>Dizangué</t>
  </si>
  <si>
    <t>Bélabo</t>
  </si>
  <si>
    <t>Bangangté</t>
  </si>
  <si>
    <t>Dêqên</t>
  </si>
  <si>
    <t>Ürümqi</t>
  </si>
  <si>
    <t>Xiannü</t>
  </si>
  <si>
    <t>Xi’an</t>
  </si>
  <si>
    <t>Tai’an</t>
  </si>
  <si>
    <t>Lüshun</t>
  </si>
  <si>
    <t>Jian’ou</t>
  </si>
  <si>
    <t>Ji’an</t>
  </si>
  <si>
    <t>Bei’an</t>
  </si>
  <si>
    <t>Villamaría</t>
  </si>
  <si>
    <t>Bolívar</t>
  </si>
  <si>
    <t>Túquerres</t>
  </si>
  <si>
    <t>Nariño</t>
  </si>
  <si>
    <t>Boyacá</t>
  </si>
  <si>
    <t>Tuluá</t>
  </si>
  <si>
    <t>Tolú</t>
  </si>
  <si>
    <t>Sonsón</t>
  </si>
  <si>
    <t>Atlántico</t>
  </si>
  <si>
    <t>Santo Tomás</t>
  </si>
  <si>
    <t>San Andrés</t>
  </si>
  <si>
    <t>Archipiélago de San Andrés, Providencia y Santa Catalina</t>
  </si>
  <si>
    <t>Sampués</t>
  </si>
  <si>
    <t>Sahagún</t>
  </si>
  <si>
    <t>Ríohacha</t>
  </si>
  <si>
    <t>Repelón</t>
  </si>
  <si>
    <t>Quindío</t>
  </si>
  <si>
    <t>Quibdó</t>
  </si>
  <si>
    <t>Chocó</t>
  </si>
  <si>
    <t>Puerto López</t>
  </si>
  <si>
    <t>Puerto Boyacá</t>
  </si>
  <si>
    <t>Puerto Berrío</t>
  </si>
  <si>
    <t>Puerto Asís</t>
  </si>
  <si>
    <t>Popayán</t>
  </si>
  <si>
    <t>Patía</t>
  </si>
  <si>
    <t>Ocaña</t>
  </si>
  <si>
    <t>Montería</t>
  </si>
  <si>
    <t>Montelíbano</t>
  </si>
  <si>
    <t>Mompós</t>
  </si>
  <si>
    <t>Medellín</t>
  </si>
  <si>
    <t>María la Baja</t>
  </si>
  <si>
    <t>Magangué</t>
  </si>
  <si>
    <t>Lérida</t>
  </si>
  <si>
    <t>Jamundí</t>
  </si>
  <si>
    <t>Itagüí</t>
  </si>
  <si>
    <t>Guacarí</t>
  </si>
  <si>
    <t>Girón</t>
  </si>
  <si>
    <t>Garzón</t>
  </si>
  <si>
    <t>Fundación</t>
  </si>
  <si>
    <t>El Retén</t>
  </si>
  <si>
    <t>El Carmen de Bolívar</t>
  </si>
  <si>
    <t>Curumaní</t>
  </si>
  <si>
    <t>Cúcuta</t>
  </si>
  <si>
    <t>Ciénaga de Oro</t>
  </si>
  <si>
    <t>Ciénaga</t>
  </si>
  <si>
    <t>Chinú</t>
  </si>
  <si>
    <t>Chinchiná</t>
  </si>
  <si>
    <t>Chigorodó</t>
  </si>
  <si>
    <t>Chía</t>
  </si>
  <si>
    <t>Cereté</t>
  </si>
  <si>
    <t>Cajicá</t>
  </si>
  <si>
    <t>Bogotá</t>
  </si>
  <si>
    <t>Belén de Umbría</t>
  </si>
  <si>
    <t>Ariguaní</t>
  </si>
  <si>
    <t>Apartadó</t>
  </si>
  <si>
    <t>Andalucía</t>
  </si>
  <si>
    <t>Acacías</t>
  </si>
  <si>
    <t>Ciudad Bolívar</t>
  </si>
  <si>
    <t>Agustín Codazzi</t>
  </si>
  <si>
    <t>San José del Guaviare</t>
  </si>
  <si>
    <t>Limón</t>
  </si>
  <si>
    <t>Patarrá</t>
  </si>
  <si>
    <t>Ipís</t>
  </si>
  <si>
    <t>Guápiles</t>
  </si>
  <si>
    <t>Cañas</t>
  </si>
  <si>
    <t>Aserrí</t>
  </si>
  <si>
    <t>Sancti Spíritus</t>
  </si>
  <si>
    <t>Viñales</t>
  </si>
  <si>
    <t>Pinar del Río</t>
  </si>
  <si>
    <t>Camagüey</t>
  </si>
  <si>
    <t>Ciego de Ávila</t>
  </si>
  <si>
    <t>San Germán</t>
  </si>
  <si>
    <t>Holguín</t>
  </si>
  <si>
    <t>Unión de Reyes</t>
  </si>
  <si>
    <t>Sibanicú</t>
  </si>
  <si>
    <t>San Miguel del Padrón</t>
  </si>
  <si>
    <t>San José de las Lajas</t>
  </si>
  <si>
    <t>San Antonio de los Baños</t>
  </si>
  <si>
    <t>Sagua de Tánamo</t>
  </si>
  <si>
    <t>Río Guayabal de Yateras</t>
  </si>
  <si>
    <t>Río Cauto</t>
  </si>
  <si>
    <t>Maisí</t>
  </si>
  <si>
    <t>Jiguaní</t>
  </si>
  <si>
    <t>Jesús Menéndez</t>
  </si>
  <si>
    <t>Jagüey Grande</t>
  </si>
  <si>
    <t>Güira de Melena</t>
  </si>
  <si>
    <t>Güines</t>
  </si>
  <si>
    <t>Guáimaro</t>
  </si>
  <si>
    <t>Consolación del Sur</t>
  </si>
  <si>
    <t>Colón</t>
  </si>
  <si>
    <t>Cárdenas</t>
  </si>
  <si>
    <t>Camajuaní</t>
  </si>
  <si>
    <t>Caibarién</t>
  </si>
  <si>
    <t>Cabaiguán</t>
  </si>
  <si>
    <t>Bartolomé Masó</t>
  </si>
  <si>
    <t>Baraguá</t>
  </si>
  <si>
    <t>Bahía Honda</t>
  </si>
  <si>
    <t>Alquízar</t>
  </si>
  <si>
    <t>Báguanos</t>
  </si>
  <si>
    <t>Jimaguayú</t>
  </si>
  <si>
    <t>Dvůr Králové nad Labem</t>
  </si>
  <si>
    <t>Královéhradecký</t>
  </si>
  <si>
    <t>Zlín</t>
  </si>
  <si>
    <t>Žďár nad Sázavou Druhy</t>
  </si>
  <si>
    <t>Vysočina</t>
  </si>
  <si>
    <t>Žďár nad Sázavou</t>
  </si>
  <si>
    <t>Žatec</t>
  </si>
  <si>
    <t>Ústecký</t>
  </si>
  <si>
    <t>Vyškov</t>
  </si>
  <si>
    <t>Vsetín</t>
  </si>
  <si>
    <t>Valašské Meziříčí</t>
  </si>
  <si>
    <t>Ústí nad Orlicí</t>
  </si>
  <si>
    <t>Pardubický</t>
  </si>
  <si>
    <t>Ústí nad Labem</t>
  </si>
  <si>
    <t>Uherský Brod</t>
  </si>
  <si>
    <t>Uherské Hradiště</t>
  </si>
  <si>
    <t>Třinec</t>
  </si>
  <si>
    <t>Moravskoslezský</t>
  </si>
  <si>
    <t>Třebíč</t>
  </si>
  <si>
    <t>Tábor</t>
  </si>
  <si>
    <t>Jihočeský</t>
  </si>
  <si>
    <t>Šumperk</t>
  </si>
  <si>
    <t>Olomoucký</t>
  </si>
  <si>
    <t>Starý Bohumín</t>
  </si>
  <si>
    <t>Karlovarský</t>
  </si>
  <si>
    <t>Slaný</t>
  </si>
  <si>
    <t>Rožnov pod Radhoštěm</t>
  </si>
  <si>
    <t>Rakovník</t>
  </si>
  <si>
    <t>Prostějov</t>
  </si>
  <si>
    <t>Příbram</t>
  </si>
  <si>
    <t>Přerov</t>
  </si>
  <si>
    <t>Plzeňský</t>
  </si>
  <si>
    <t>Písek</t>
  </si>
  <si>
    <t>Pelhřimov</t>
  </si>
  <si>
    <t>Orlová</t>
  </si>
  <si>
    <t>Nový Jičín</t>
  </si>
  <si>
    <t>Náchod</t>
  </si>
  <si>
    <t>Modřany</t>
  </si>
  <si>
    <t>Mělník</t>
  </si>
  <si>
    <t>Litvínov</t>
  </si>
  <si>
    <t>Litoměřice</t>
  </si>
  <si>
    <t>Liberecký</t>
  </si>
  <si>
    <t>Libeň</t>
  </si>
  <si>
    <t>Letňany</t>
  </si>
  <si>
    <t>Kutná Hora</t>
  </si>
  <si>
    <t>Kroměříž</t>
  </si>
  <si>
    <t>Kopřivnice</t>
  </si>
  <si>
    <t>Kolín</t>
  </si>
  <si>
    <t>Klášterec nad Ohří</t>
  </si>
  <si>
    <t>Karviná</t>
  </si>
  <si>
    <t>Kadaň</t>
  </si>
  <si>
    <t>Jindřichův Hradec</t>
  </si>
  <si>
    <t>Jičín</t>
  </si>
  <si>
    <t>Hradec Králové</t>
  </si>
  <si>
    <t>Hodonín</t>
  </si>
  <si>
    <t>Havlíčkův Brod</t>
  </si>
  <si>
    <t>Havířov</t>
  </si>
  <si>
    <t>Frýdek-Místek</t>
  </si>
  <si>
    <t>Děčín</t>
  </si>
  <si>
    <t>Český Těšín</t>
  </si>
  <si>
    <t>České Budějovice</t>
  </si>
  <si>
    <t>Česká Třebová</t>
  </si>
  <si>
    <t>Česká Lípa</t>
  </si>
  <si>
    <t>Bruntál</t>
  </si>
  <si>
    <t>Břeclav</t>
  </si>
  <si>
    <t>Braník</t>
  </si>
  <si>
    <t>Brandýs nad Labem-Stará Boleslav</t>
  </si>
  <si>
    <t>Bohumín</t>
  </si>
  <si>
    <t>Bílina Kyselka</t>
  </si>
  <si>
    <t>Bílina</t>
  </si>
  <si>
    <t>Benešov</t>
  </si>
  <si>
    <t>Černý Most</t>
  </si>
  <si>
    <t>Zweibrücken</t>
  </si>
  <si>
    <t>Würzburg</t>
  </si>
  <si>
    <t>Würselen</t>
  </si>
  <si>
    <t>Wülfrath</t>
  </si>
  <si>
    <t>Wörth am Rhein</t>
  </si>
  <si>
    <t>Wipperfürth</t>
  </si>
  <si>
    <t>Baden-Württemberg</t>
  </si>
  <si>
    <t>Weißwasser</t>
  </si>
  <si>
    <t>Weißenfels</t>
  </si>
  <si>
    <t>Weißenburg in Bayern</t>
  </si>
  <si>
    <t>Weißensee</t>
  </si>
  <si>
    <t>Wangen im Allgäu</t>
  </si>
  <si>
    <t>Waldbröl</t>
  </si>
  <si>
    <t>Waghäusel</t>
  </si>
  <si>
    <t>Völklingen</t>
  </si>
  <si>
    <t>Unterschleißheim</t>
  </si>
  <si>
    <t>Überlingen</t>
  </si>
  <si>
    <t>Übach-Palenberg</t>
  </si>
  <si>
    <t>Tübingen</t>
  </si>
  <si>
    <t>Tönisvorst</t>
  </si>
  <si>
    <t>Staßfurt</t>
  </si>
  <si>
    <t>Sprockhövel</t>
  </si>
  <si>
    <t>Sömmerda</t>
  </si>
  <si>
    <t>Schwäbisch Hall</t>
  </si>
  <si>
    <t>Schwäbisch Gmünd</t>
  </si>
  <si>
    <t>Schöneberg</t>
  </si>
  <si>
    <t>Schönebeck</t>
  </si>
  <si>
    <t>Schlüchtern</t>
  </si>
  <si>
    <t>Saarbrücken</t>
  </si>
  <si>
    <t>Rüsselsheim</t>
  </si>
  <si>
    <t>Rösrath</t>
  </si>
  <si>
    <t>Rheda-Wiedenbrück</t>
  </si>
  <si>
    <t>Püttlingen</t>
  </si>
  <si>
    <t>Osnabrück</t>
  </si>
  <si>
    <t>Öhringen</t>
  </si>
  <si>
    <t>Oberschöneweide</t>
  </si>
  <si>
    <t>Nümbrecht</t>
  </si>
  <si>
    <t>Nördlingen</t>
  </si>
  <si>
    <t>Niederschönhausen</t>
  </si>
  <si>
    <t>Niederkrüchten</t>
  </si>
  <si>
    <t>Neustadt am Rübenberge</t>
  </si>
  <si>
    <t>Neumünster</t>
  </si>
  <si>
    <t>Neubrück</t>
  </si>
  <si>
    <t>Hannoversch Münden</t>
  </si>
  <si>
    <t>Müllheim</t>
  </si>
  <si>
    <t>Mülheim (Ruhr)</t>
  </si>
  <si>
    <t>Mühlheim am Main</t>
  </si>
  <si>
    <t>Stuttgart Mühlhausen</t>
  </si>
  <si>
    <t>Mühlhausen</t>
  </si>
  <si>
    <t>Mühldorf</t>
  </si>
  <si>
    <t>Mühlacker</t>
  </si>
  <si>
    <t>Mössingen</t>
  </si>
  <si>
    <t>Mönchengladbach</t>
  </si>
  <si>
    <t>Mölln</t>
  </si>
  <si>
    <t>Märkisches Viertel</t>
  </si>
  <si>
    <t>Lünen</t>
  </si>
  <si>
    <t>Lüneburg</t>
  </si>
  <si>
    <t>Lüdinghausen</t>
  </si>
  <si>
    <t>Lüdenscheid</t>
  </si>
  <si>
    <t>Lübeck</t>
  </si>
  <si>
    <t>Lübbenau</t>
  </si>
  <si>
    <t>Lübbecke</t>
  </si>
  <si>
    <t>Lörrach</t>
  </si>
  <si>
    <t>Löhne</t>
  </si>
  <si>
    <t>Löbau</t>
  </si>
  <si>
    <t>Leopoldshöhe</t>
  </si>
  <si>
    <t>Kürten</t>
  </si>
  <si>
    <t>Köthen</t>
  </si>
  <si>
    <t>Köpenick</t>
  </si>
  <si>
    <t>Berlin Köpenick</t>
  </si>
  <si>
    <t>Königs Wusterhausen</t>
  </si>
  <si>
    <t>Königswinter</t>
  </si>
  <si>
    <t>Königstein im Taunus</t>
  </si>
  <si>
    <t>Königslutter am Elm</t>
  </si>
  <si>
    <t>Königsbrunn</t>
  </si>
  <si>
    <t>Kempten (Allgäu)</t>
  </si>
  <si>
    <t>Jülich</t>
  </si>
  <si>
    <t>Jüchen</t>
  </si>
  <si>
    <t>Ibbenbüren</t>
  </si>
  <si>
    <t>Hürth</t>
  </si>
  <si>
    <t>Hünfeld</t>
  </si>
  <si>
    <t>Hückeswagen</t>
  </si>
  <si>
    <t>Hückelhoven</t>
  </si>
  <si>
    <t>Höxter</t>
  </si>
  <si>
    <t>Hövelhof</t>
  </si>
  <si>
    <t>Hörstel</t>
  </si>
  <si>
    <t>Haßloch</t>
  </si>
  <si>
    <t>Eimsbüttel</t>
  </si>
  <si>
    <t>Gütersloh</t>
  </si>
  <si>
    <t>Güstrow</t>
  </si>
  <si>
    <t>Groß-Umstadt</t>
  </si>
  <si>
    <t>Großostheim</t>
  </si>
  <si>
    <t>Groß-Gerau</t>
  </si>
  <si>
    <t>Großenhain</t>
  </si>
  <si>
    <t>Gröbenzell</t>
  </si>
  <si>
    <t>Göttingen</t>
  </si>
  <si>
    <t>Görlitz</t>
  </si>
  <si>
    <t>Göppingen</t>
  </si>
  <si>
    <t>Gießen</t>
  </si>
  <si>
    <t>Georgsmarienhütte</t>
  </si>
  <si>
    <t>Garching bei München</t>
  </si>
  <si>
    <t>Fürth</t>
  </si>
  <si>
    <t>Fürstenfeldbruck</t>
  </si>
  <si>
    <t>Fröndenberg</t>
  </si>
  <si>
    <t>Flörsheim</t>
  </si>
  <si>
    <t>Eckernförde</t>
  </si>
  <si>
    <t>Düsseldorf</t>
  </si>
  <si>
    <t>Düren</t>
  </si>
  <si>
    <t>Dülmen</t>
  </si>
  <si>
    <t>Donauwörth</t>
  </si>
  <si>
    <t>Döbeln</t>
  </si>
  <si>
    <t>Delbrück</t>
  </si>
  <si>
    <t>Bürstadt</t>
  </si>
  <si>
    <t>Büren</t>
  </si>
  <si>
    <t>Bünde</t>
  </si>
  <si>
    <t>Bühl</t>
  </si>
  <si>
    <t>Bückeburg</t>
  </si>
  <si>
    <t>Französisch Buchholz</t>
  </si>
  <si>
    <t>Brühl</t>
  </si>
  <si>
    <t>Brüggen</t>
  </si>
  <si>
    <t>Bruckmühl</t>
  </si>
  <si>
    <t>Bruchköbel</t>
  </si>
  <si>
    <t>Bremervörde</t>
  </si>
  <si>
    <t>Brandenburg an der Havel</t>
  </si>
  <si>
    <t>Bönen</t>
  </si>
  <si>
    <t>Böblingen</t>
  </si>
  <si>
    <t>Biberach an der Riß</t>
  </si>
  <si>
    <t>Bad Tölz</t>
  </si>
  <si>
    <t>Bad Säckingen</t>
  </si>
  <si>
    <t>Bad Münstereifel</t>
  </si>
  <si>
    <t>Bad Münder am Deister</t>
  </si>
  <si>
    <t>Bad Homburg vor der Höhe</t>
  </si>
  <si>
    <t>Bad Dürkheim</t>
  </si>
  <si>
    <t>Angermünde</t>
  </si>
  <si>
    <t>Mörfelden-Walldorf</t>
  </si>
  <si>
    <t>Lauda-Königshofen</t>
  </si>
  <si>
    <t>Berlin Schöneberg</t>
  </si>
  <si>
    <t>Neu-Hohenschönhausen</t>
  </si>
  <si>
    <t>Alt-Hohenschönhausen</t>
  </si>
  <si>
    <t>Neustadt/Süd</t>
  </si>
  <si>
    <t>Mülheim</t>
  </si>
  <si>
    <t>Ḏânan</t>
  </si>
  <si>
    <t>Vanløse</t>
  </si>
  <si>
    <t>Stenløse</t>
  </si>
  <si>
    <t>Sønderborg</t>
  </si>
  <si>
    <t>Rødovre</t>
  </si>
  <si>
    <t>Nykøbing Falster</t>
  </si>
  <si>
    <t>Næstved</t>
  </si>
  <si>
    <t>Nørresundby</t>
  </si>
  <si>
    <t>Lillerød</t>
  </si>
  <si>
    <t>Korsør</t>
  </si>
  <si>
    <t>Køge</t>
  </si>
  <si>
    <t>Ishøj</t>
  </si>
  <si>
    <t>Hørsholm</t>
  </si>
  <si>
    <t>Holbæk</t>
  </si>
  <si>
    <t>Hjørring</t>
  </si>
  <si>
    <t>Hillerød</t>
  </si>
  <si>
    <t>Helsingør</t>
  </si>
  <si>
    <t>Birkerød</t>
  </si>
  <si>
    <t>Villa Bisonó</t>
  </si>
  <si>
    <t>San Cristóbal</t>
  </si>
  <si>
    <t>El Seíbo</t>
  </si>
  <si>
    <t>San Pedro de Macorís</t>
  </si>
  <si>
    <t>San Francisco de Macorís</t>
  </si>
  <si>
    <t>Salvaleón de Higüey</t>
  </si>
  <si>
    <t>Santiago Rodríguez</t>
  </si>
  <si>
    <t>Sabana Grande de Boyá</t>
  </si>
  <si>
    <t>Río Grande</t>
  </si>
  <si>
    <t>María Trinidad Sánchez</t>
  </si>
  <si>
    <t>Las Matas de Farfán</t>
  </si>
  <si>
    <t>Dajabón</t>
  </si>
  <si>
    <t>Cotuí</t>
  </si>
  <si>
    <t>Sánchez Ramírez</t>
  </si>
  <si>
    <t>Concepción de La Vega</t>
  </si>
  <si>
    <t>Baní</t>
  </si>
  <si>
    <t>Bejaïa</t>
  </si>
  <si>
    <t>Aïn Defla</t>
  </si>
  <si>
    <t>Tébessa</t>
  </si>
  <si>
    <t>Tadmaït</t>
  </si>
  <si>
    <t>Sidi Mérouane</t>
  </si>
  <si>
    <t>Sidi Bel Abbès</t>
  </si>
  <si>
    <t>Sidi Aïssa</t>
  </si>
  <si>
    <t>Mʼsila</t>
  </si>
  <si>
    <t>Sétif</t>
  </si>
  <si>
    <t>Saïda</t>
  </si>
  <si>
    <t>Reghaïa</t>
  </si>
  <si>
    <t>Râs el Oued</t>
  </si>
  <si>
    <t>Bordj Bou Arréridj</t>
  </si>
  <si>
    <t>Râs el Aïoun</t>
  </si>
  <si>
    <t>M’Sila</t>
  </si>
  <si>
    <t>Mouzaïa</t>
  </si>
  <si>
    <t>Ghardaïa</t>
  </si>
  <si>
    <t>Médéa</t>
  </si>
  <si>
    <t>Mansoûra</t>
  </si>
  <si>
    <t>L’Arbaa Naït Irathen</t>
  </si>
  <si>
    <t>Larbaâ</t>
  </si>
  <si>
    <t>Héliopolis</t>
  </si>
  <si>
    <t>Aïn Temouchent</t>
  </si>
  <si>
    <t>Dar el Beïda</t>
  </si>
  <si>
    <t>Chelghoum el Aïd</t>
  </si>
  <si>
    <t>Bou Ismaïl</t>
  </si>
  <si>
    <t>Bouïra</t>
  </si>
  <si>
    <t>Boû Arfa</t>
  </si>
  <si>
    <t>Béchar</t>
  </si>
  <si>
    <t>Aïn Touta</t>
  </si>
  <si>
    <t>Aïn Taya</t>
  </si>
  <si>
    <t>Aïn Smara</t>
  </si>
  <si>
    <t>Aïn Sefra</t>
  </si>
  <si>
    <t>Naama النعامة</t>
  </si>
  <si>
    <t>Aïn Oussera</t>
  </si>
  <si>
    <t>’Aïn Merane</t>
  </si>
  <si>
    <t>Aïn Kercha</t>
  </si>
  <si>
    <t>Aïn Fakroun</t>
  </si>
  <si>
    <t>’Aïn el Turk</t>
  </si>
  <si>
    <t>’Aïn el Melh</t>
  </si>
  <si>
    <t>’Aïn el Hammam</t>
  </si>
  <si>
    <t>‘Aïn el Hadjel</t>
  </si>
  <si>
    <t>Aïn el Bya</t>
  </si>
  <si>
    <t>’Aïn el Berd</t>
  </si>
  <si>
    <t>’Aïn el Bell</t>
  </si>
  <si>
    <t>’Aïn Deheb</t>
  </si>
  <si>
    <t>Aïn Bessem</t>
  </si>
  <si>
    <t>’Aïn Benian</t>
  </si>
  <si>
    <t>Aïn Beïda</t>
  </si>
  <si>
    <t>Aïn Arnat</t>
  </si>
  <si>
    <t>’Aïn Abid</t>
  </si>
  <si>
    <t>Tulcán</t>
  </si>
  <si>
    <t>Manabí</t>
  </si>
  <si>
    <t>Santo Domingo de los Tsáchilas</t>
  </si>
  <si>
    <t>Samborondón</t>
  </si>
  <si>
    <t>Pujilí</t>
  </si>
  <si>
    <t>Piñas</t>
  </si>
  <si>
    <t>La Maná</t>
  </si>
  <si>
    <t>Bahía de Caráquez</t>
  </si>
  <si>
    <t>Sillamäe</t>
  </si>
  <si>
    <t>Lääne-Virumaa</t>
  </si>
  <si>
    <t>Pärnumaa</t>
  </si>
  <si>
    <t>Ziftá</t>
  </si>
  <si>
    <t>Muḩāfaz̧at al Gharbīyah</t>
  </si>
  <si>
    <t>Muḩāfaz̧at al Qalyūbīyah</t>
  </si>
  <si>
    <t>Ţāmiyah</t>
  </si>
  <si>
    <t>Muḩāfaz̧at al Fayyūm</t>
  </si>
  <si>
    <t>Ţalkhā</t>
  </si>
  <si>
    <t>Muḩāfaz̧at ad Daqahlīyah</t>
  </si>
  <si>
    <t>Talā</t>
  </si>
  <si>
    <t>Muḩāfaz̧at al Minūfīyah</t>
  </si>
  <si>
    <t>Ţahţā</t>
  </si>
  <si>
    <t>Sūhāj</t>
  </si>
  <si>
    <t>Sumusţā as Sulţānī</t>
  </si>
  <si>
    <t>Muḩāfaz̧at Banī Suwayf</t>
  </si>
  <si>
    <t>Sīdī Sālim</t>
  </si>
  <si>
    <t>Shirbīn</t>
  </si>
  <si>
    <t>Shibīn al Qanāţir</t>
  </si>
  <si>
    <t>Shibīn al Kawm</t>
  </si>
  <si>
    <t>Samannūd</t>
  </si>
  <si>
    <t>Samālūţ</t>
  </si>
  <si>
    <t>Al Minyā</t>
  </si>
  <si>
    <t>Al Buḩayrah</t>
  </si>
  <si>
    <t>Quwaysinā</t>
  </si>
  <si>
    <t>Quţūr</t>
  </si>
  <si>
    <t>Qinā</t>
  </si>
  <si>
    <t>Qalyūb</t>
  </si>
  <si>
    <t>Naj‘ Ḩammādī</t>
  </si>
  <si>
    <t>Minyat an Naşr</t>
  </si>
  <si>
    <t>Minūf</t>
  </si>
  <si>
    <t>Maţāy</t>
  </si>
  <si>
    <t>Mashtūl as Sūq</t>
  </si>
  <si>
    <t>Muḩāfaz̧at Maţrūḩ</t>
  </si>
  <si>
    <t>Manfalūţ</t>
  </si>
  <si>
    <t>Asyūţ</t>
  </si>
  <si>
    <t>Mallawī</t>
  </si>
  <si>
    <t>Madīnat Sittah Uktūbar</t>
  </si>
  <si>
    <t>Al Jīzah</t>
  </si>
  <si>
    <t>Kawm Umbū</t>
  </si>
  <si>
    <t>Aswān</t>
  </si>
  <si>
    <t>Kawm Ḩamādah</t>
  </si>
  <si>
    <t>Kafr Şaqr</t>
  </si>
  <si>
    <t>Kafr az Zayyāt</t>
  </si>
  <si>
    <t>Kafr ad Dawwār</t>
  </si>
  <si>
    <t>Jirjā</t>
  </si>
  <si>
    <t>‘Izbat al Burj</t>
  </si>
  <si>
    <t>Iţsā</t>
  </si>
  <si>
    <t>Isnā</t>
  </si>
  <si>
    <t>Idkū</t>
  </si>
  <si>
    <t>Idfū</t>
  </si>
  <si>
    <t>Ibshawāy</t>
  </si>
  <si>
    <t>Ḩalwān</t>
  </si>
  <si>
    <t>Hihyā</t>
  </si>
  <si>
    <t>Ḩawsh ‘Īsá</t>
  </si>
  <si>
    <t>Farshūţ</t>
  </si>
  <si>
    <t>Fāraskūr</t>
  </si>
  <si>
    <t>Dumyāţ</t>
  </si>
  <si>
    <t>Fāqūs</t>
  </si>
  <si>
    <t>Disūq</t>
  </si>
  <si>
    <t>Dishnā</t>
  </si>
  <si>
    <t>Dayrūţ</t>
  </si>
  <si>
    <t>Dayr Mawās</t>
  </si>
  <si>
    <t>Damanhūr</t>
  </si>
  <si>
    <t>Būsh</t>
  </si>
  <si>
    <t>Muḩāfaz̧at Būr Sa‘īd</t>
  </si>
  <si>
    <t>Būr Safājah</t>
  </si>
  <si>
    <t>Bilqās</t>
  </si>
  <si>
    <t>Basyūn</t>
  </si>
  <si>
    <t>Banī Suwayf</t>
  </si>
  <si>
    <t>Banī Mazār</t>
  </si>
  <si>
    <t>Banhā</t>
  </si>
  <si>
    <t>Awsīm</t>
  </si>
  <si>
    <t>At Tall al Kabīr</t>
  </si>
  <si>
    <t>Al Ismā‘īlīyah</t>
  </si>
  <si>
    <t>Aş Şaff</t>
  </si>
  <si>
    <t>Ash Shuhadā’</t>
  </si>
  <si>
    <t>Ashmūn</t>
  </si>
  <si>
    <t>Al Wāsiţah</t>
  </si>
  <si>
    <t>Al Qūşīyah</t>
  </si>
  <si>
    <t>Al Quşayr</t>
  </si>
  <si>
    <t>Al Qanāyāt</t>
  </si>
  <si>
    <t>Al Qanāţir al Khayrīyah</t>
  </si>
  <si>
    <t>Al Maţarīyah</t>
  </si>
  <si>
    <t>Al Manşūrah</t>
  </si>
  <si>
    <t>Al Manshāh</t>
  </si>
  <si>
    <t>Al Maḩallah al Kubrá</t>
  </si>
  <si>
    <t>Al Khārijah</t>
  </si>
  <si>
    <t>Muḩāfaz̧at al Wādī al Jadīd</t>
  </si>
  <si>
    <t>Al Khānkah</t>
  </si>
  <si>
    <t>Al Jamālīyah</t>
  </si>
  <si>
    <t>Al Ibrāhīmīyah</t>
  </si>
  <si>
    <t>Al Ḩawāmidīyah</t>
  </si>
  <si>
    <t>Al Ḩāmūl</t>
  </si>
  <si>
    <t>Al Fayyūm</t>
  </si>
  <si>
    <t>Al Bawīţī</t>
  </si>
  <si>
    <t>Al Balyanā</t>
  </si>
  <si>
    <t>Al Bājūr</t>
  </si>
  <si>
    <t>Al Badārī</t>
  </si>
  <si>
    <t>Al ‘Ayyāţ</t>
  </si>
  <si>
    <t>Akhmīm</t>
  </si>
  <si>
    <t>Ajā</t>
  </si>
  <si>
    <t>Ad Dilinjāt</t>
  </si>
  <si>
    <t>Abū Tīj</t>
  </si>
  <si>
    <t>Abū Qurqāş</t>
  </si>
  <si>
    <t>Abū Kabīr</t>
  </si>
  <si>
    <t>Abū al Maţāmīr</t>
  </si>
  <si>
    <t>Abnūb</t>
  </si>
  <si>
    <t>Az Zarqā</t>
  </si>
  <si>
    <t>Laâyoune / El Aaiún</t>
  </si>
  <si>
    <t>Vícar</t>
  </si>
  <si>
    <t>Vélez-Málaga</t>
  </si>
  <si>
    <t>Valdepeñas</t>
  </si>
  <si>
    <t>Úbeda</t>
  </si>
  <si>
    <t>Tías</t>
  </si>
  <si>
    <t>Santa Eulària des Riu</t>
  </si>
  <si>
    <t>Santa Brígida</t>
  </si>
  <si>
    <t>San Pedro de Alcántara</t>
  </si>
  <si>
    <t>Sanlúcar de Barrameda</t>
  </si>
  <si>
    <t>Rincón de la Victoria</t>
  </si>
  <si>
    <t>Puçol</t>
  </si>
  <si>
    <t>Priego de Córdoba</t>
  </si>
  <si>
    <t>Pollença</t>
  </si>
  <si>
    <t>Palma del Río</t>
  </si>
  <si>
    <t>Pájara</t>
  </si>
  <si>
    <t>Níjar</t>
  </si>
  <si>
    <t>Morón de la Frontera</t>
  </si>
  <si>
    <t>Mogán</t>
  </si>
  <si>
    <t>Mérida</t>
  </si>
  <si>
    <t>Mazarrón</t>
  </si>
  <si>
    <t>Marratxí</t>
  </si>
  <si>
    <t>Maó</t>
  </si>
  <si>
    <t>Los Alcázares</t>
  </si>
  <si>
    <t>Lora del Río</t>
  </si>
  <si>
    <t>Llíria</t>
  </si>
  <si>
    <t>La Línea de la Concepción</t>
  </si>
  <si>
    <t>Xàtiva</t>
  </si>
  <si>
    <t>Jaén</t>
  </si>
  <si>
    <t>Huércal-Overa</t>
  </si>
  <si>
    <t>Hellín</t>
  </si>
  <si>
    <t>Güimar</t>
  </si>
  <si>
    <t>Guía de Isora</t>
  </si>
  <si>
    <t>Gáldar</t>
  </si>
  <si>
    <t>El Puerto de Santa María</t>
  </si>
  <si>
    <t>Écija</t>
  </si>
  <si>
    <t>Coria del Río</t>
  </si>
  <si>
    <t>Coín</t>
  </si>
  <si>
    <t>Cehegín</t>
  </si>
  <si>
    <t>Castelló de la Plana</t>
  </si>
  <si>
    <t>Cártama</t>
  </si>
  <si>
    <t>Campiña</t>
  </si>
  <si>
    <t>Calvià</t>
  </si>
  <si>
    <t>Cáceres</t>
  </si>
  <si>
    <t>Bétera</t>
  </si>
  <si>
    <t>Benetússer</t>
  </si>
  <si>
    <t>Benalmádena</t>
  </si>
  <si>
    <t>Bailén</t>
  </si>
  <si>
    <t>Atamaría</t>
  </si>
  <si>
    <t>Andújar</t>
  </si>
  <si>
    <t>Almuñécar</t>
  </si>
  <si>
    <t>Almoradí</t>
  </si>
  <si>
    <t>Almería</t>
  </si>
  <si>
    <t>Alhaurín el Grande</t>
  </si>
  <si>
    <t>Alhaurín de la Torre</t>
  </si>
  <si>
    <t>Algemesí</t>
  </si>
  <si>
    <t>Alcúdia</t>
  </si>
  <si>
    <t>Alcázar de San Juan</t>
  </si>
  <si>
    <t>Alcalá la Real</t>
  </si>
  <si>
    <t>Alaquàs</t>
  </si>
  <si>
    <t>Agüimes</t>
  </si>
  <si>
    <t>Águilas</t>
  </si>
  <si>
    <t>Castille and León</t>
  </si>
  <si>
    <t>Vinaròs</t>
  </si>
  <si>
    <t>Villaviciosa de Odón</t>
  </si>
  <si>
    <t>Vilanova i la Geltrú</t>
  </si>
  <si>
    <t>Villanueva de la Cañada</t>
  </si>
  <si>
    <t>Vilagarcía de Arousa</t>
  </si>
  <si>
    <t>Vilafranca del Penedès</t>
  </si>
  <si>
    <t>Vicálvaro</t>
  </si>
  <si>
    <t>Torrejón de Ardoz</t>
  </si>
  <si>
    <t>Tetuán de las Victorias</t>
  </si>
  <si>
    <t>Tàrrega</t>
  </si>
  <si>
    <t>Tarancón</t>
  </si>
  <si>
    <t>Seseña</t>
  </si>
  <si>
    <t>Cerdanyola del Vallès</t>
  </si>
  <si>
    <t>Sant Vicenç dels Horts</t>
  </si>
  <si>
    <t>Santa Perpètua de Mogoda</t>
  </si>
  <si>
    <t>Barberà del Vallès</t>
  </si>
  <si>
    <t>San Sebastián de los Reyes</t>
  </si>
  <si>
    <t>Donostia / San Sebastián</t>
  </si>
  <si>
    <t>Sant Quirze del Vallès</t>
  </si>
  <si>
    <t>San Martín de la Vega</t>
  </si>
  <si>
    <t>Sant Joan Despí</t>
  </si>
  <si>
    <t>Sant Feliu de Guíxols</t>
  </si>
  <si>
    <t>Sant Cugat del Vallès</t>
  </si>
  <si>
    <t>Sant Carles de la Ràpita</t>
  </si>
  <si>
    <t>San Andrés del Rabanedo</t>
  </si>
  <si>
    <t>Sant Adrià de Besòs</t>
  </si>
  <si>
    <t>Rubí</t>
  </si>
  <si>
    <t>Premià de Mar</t>
  </si>
  <si>
    <t>Pozuelo de Alarcón</t>
  </si>
  <si>
    <t>Porriño</t>
  </si>
  <si>
    <t>Parets del Vallès</t>
  </si>
  <si>
    <t>Palamós</t>
  </si>
  <si>
    <t>Nigrán</t>
  </si>
  <si>
    <t>Narón</t>
  </si>
  <si>
    <t>Móstoles</t>
  </si>
  <si>
    <t>Monzón</t>
  </si>
  <si>
    <t>Montornès del Vallès</t>
  </si>
  <si>
    <t>Arrasate / Mondragón</t>
  </si>
  <si>
    <t>Mollet del Vallès</t>
  </si>
  <si>
    <t>Moaña</t>
  </si>
  <si>
    <t>Mataró</t>
  </si>
  <si>
    <t>Marín</t>
  </si>
  <si>
    <t>Logroño</t>
  </si>
  <si>
    <t>León</t>
  </si>
  <si>
    <t>Leganés</t>
  </si>
  <si>
    <t>Lalín</t>
  </si>
  <si>
    <t>A Coruña</t>
  </si>
  <si>
    <t>Gràcia</t>
  </si>
  <si>
    <t>Gijón</t>
  </si>
  <si>
    <t>Gavà</t>
  </si>
  <si>
    <t>Cornellà de Llobregat</t>
  </si>
  <si>
    <t>Chamartín</t>
  </si>
  <si>
    <t>Castellar del Vallès</t>
  </si>
  <si>
    <t>Benicàssim</t>
  </si>
  <si>
    <t>Benicarló</t>
  </si>
  <si>
    <t>Béjar</t>
  </si>
  <si>
    <t>Barañáin</t>
  </si>
  <si>
    <t>Avilés</t>
  </si>
  <si>
    <t>Ávila</t>
  </si>
  <si>
    <t>Amés</t>
  </si>
  <si>
    <t>Alcorcón</t>
  </si>
  <si>
    <t>Alcañiz</t>
  </si>
  <si>
    <t>Pinar de Chamartín</t>
  </si>
  <si>
    <t>Sarrià-Sant Gervasi</t>
  </si>
  <si>
    <t>Horta-Guinardó</t>
  </si>
  <si>
    <t>Sants-Montjuïc</t>
  </si>
  <si>
    <t>Sant Martí</t>
  </si>
  <si>
    <t>Chamberí</t>
  </si>
  <si>
    <t>l'Alfàs del Pi</t>
  </si>
  <si>
    <t>Llefià</t>
  </si>
  <si>
    <t>Ermitagaña</t>
  </si>
  <si>
    <t>Yirga ‘Alem</t>
  </si>
  <si>
    <t>Yabēlo</t>
  </si>
  <si>
    <t>Wenjī</t>
  </si>
  <si>
    <t>Shashemenē</t>
  </si>
  <si>
    <t>Shakīso</t>
  </si>
  <si>
    <t>Robīt</t>
  </si>
  <si>
    <t>Nazrēt</t>
  </si>
  <si>
    <t>Metahāra</t>
  </si>
  <si>
    <t>Mendī</t>
  </si>
  <si>
    <t>Maych’ew</t>
  </si>
  <si>
    <t>K’olīto</t>
  </si>
  <si>
    <t>Kemisē</t>
  </si>
  <si>
    <t>Jīma</t>
  </si>
  <si>
    <t>Inda Silasē</t>
  </si>
  <si>
    <t>Hāgere Hiywet</t>
  </si>
  <si>
    <t>Gambēla</t>
  </si>
  <si>
    <t>Fichē</t>
  </si>
  <si>
    <t>Dīla</t>
  </si>
  <si>
    <t>Desē</t>
  </si>
  <si>
    <t>Dembī Dolo</t>
  </si>
  <si>
    <t>Debre Mark’os</t>
  </si>
  <si>
    <t>Debark’</t>
  </si>
  <si>
    <t>Butajīra</t>
  </si>
  <si>
    <t>Burē</t>
  </si>
  <si>
    <t>Bodītī</t>
  </si>
  <si>
    <t>Bedēsa</t>
  </si>
  <si>
    <t>Bedelē</t>
  </si>
  <si>
    <t>Batī</t>
  </si>
  <si>
    <t>Āsosa</t>
  </si>
  <si>
    <t>Bīnshangul Gumuz</t>
  </si>
  <si>
    <t>Āsbe Teferī</t>
  </si>
  <si>
    <t>Āsasa</t>
  </si>
  <si>
    <t>Āreka</t>
  </si>
  <si>
    <t>Ārba Minch’</t>
  </si>
  <si>
    <t>Āgaro</t>
  </si>
  <si>
    <t>Ādīs Zemen</t>
  </si>
  <si>
    <t>Ādīgrat</t>
  </si>
  <si>
    <t>Ylöjärvi</t>
  </si>
  <si>
    <t>Häme</t>
  </si>
  <si>
    <t>Mäntsälä</t>
  </si>
  <si>
    <t>Lempäälä</t>
  </si>
  <si>
    <t>Jyväskylä</t>
  </si>
  <si>
    <t>Järvenpää</t>
  </si>
  <si>
    <t>Jämsä</t>
  </si>
  <si>
    <t>Hämeenlinna</t>
  </si>
  <si>
    <t>Länsi-Turunmaa</t>
  </si>
  <si>
    <t>Tórshavn</t>
  </si>
  <si>
    <t>Île-de-France</t>
  </si>
  <si>
    <t>Auvergne-Rhône-Alpes</t>
  </si>
  <si>
    <t>Vitry-le-François</t>
  </si>
  <si>
    <t>Provence-Alpes-Côte d'Azur</t>
  </si>
  <si>
    <t>Vitré</t>
  </si>
  <si>
    <t>Viry-Châtillon</t>
  </si>
  <si>
    <t>Villers-lès-Nancy</t>
  </si>
  <si>
    <t>Villenave-d’Ornon</t>
  </si>
  <si>
    <t>Villefranche-sur-Saône</t>
  </si>
  <si>
    <t>Bourgogne-Franche-Comté</t>
  </si>
  <si>
    <t>Verrières-le-Buisson</t>
  </si>
  <si>
    <t>Vénissieux</t>
  </si>
  <si>
    <t>Vendôme</t>
  </si>
  <si>
    <t>Vélizy-Villacoublay</t>
  </si>
  <si>
    <t>Vauréal</t>
  </si>
  <si>
    <t>Vandœuvre-lès-Nancy</t>
  </si>
  <si>
    <t>Languedoc-Roussillon-Midi-Pyrénées</t>
  </si>
  <si>
    <t>Sotteville-lès-Rouen</t>
  </si>
  <si>
    <t>Sèvres</t>
  </si>
  <si>
    <t>Sète</t>
  </si>
  <si>
    <t>Sélestat</t>
  </si>
  <si>
    <t>Saint-Sébastien-sur-Loire</t>
  </si>
  <si>
    <t>Saint-Raphaël</t>
  </si>
  <si>
    <t>Saint-Ouen-l’Aumône</t>
  </si>
  <si>
    <t>Saint-Médard-en-Jalles</t>
  </si>
  <si>
    <t>Saint-Maur-des-Fossés</t>
  </si>
  <si>
    <t>Saint-Martin-d’Hères</t>
  </si>
  <si>
    <t>Saint-Lô</t>
  </si>
  <si>
    <t>Saint-Leu-la-Forêt</t>
  </si>
  <si>
    <t>Saint-Étienne-du-Rouvray</t>
  </si>
  <si>
    <t>Saint-Étienne</t>
  </si>
  <si>
    <t>Sainte-Geneviève-des-Bois</t>
  </si>
  <si>
    <t>Sainte-Foy-lès-Lyon</t>
  </si>
  <si>
    <t>Saint-Égrève</t>
  </si>
  <si>
    <t>Saint-Dié-des-Vosges</t>
  </si>
  <si>
    <t>Saint-Cyr-l’École</t>
  </si>
  <si>
    <t>Romans-sur-Isère</t>
  </si>
  <si>
    <t>Pont-à-Mousson</t>
  </si>
  <si>
    <t>Périgueux</t>
  </si>
  <si>
    <t>Ozoir-la-Ferrière</t>
  </si>
  <si>
    <t>Orléans</t>
  </si>
  <si>
    <t>Nîmes</t>
  </si>
  <si>
    <t>Montluçon</t>
  </si>
  <si>
    <t>Montigny-lès-Metz</t>
  </si>
  <si>
    <t>Montigny-lès-Cormeilles</t>
  </si>
  <si>
    <t>Montélimar</t>
  </si>
  <si>
    <t>Montbéliard</t>
  </si>
  <si>
    <t>Mons-en-Barœul</t>
  </si>
  <si>
    <t>Mérignac</t>
  </si>
  <si>
    <t>Marcq-en-Barœul</t>
  </si>
  <si>
    <t>Mâcon</t>
  </si>
  <si>
    <t>Lunéville</t>
  </si>
  <si>
    <t>Lucé</t>
  </si>
  <si>
    <t>L’Isle-sur-la-Sorgue</t>
  </si>
  <si>
    <t>Limeil-Brévannes</t>
  </si>
  <si>
    <t>Liévin</t>
  </si>
  <si>
    <t>L'Haÿ-les-Roses</t>
  </si>
  <si>
    <t>Le Vésinet</t>
  </si>
  <si>
    <t>Le Pré-Saint-Gervais</t>
  </si>
  <si>
    <t>Le Plessis-Trévise</t>
  </si>
  <si>
    <t>Le Mée-sur-Seine</t>
  </si>
  <si>
    <t>Le Kremlin-Bicêtre</t>
  </si>
  <si>
    <t>La Flèche</t>
  </si>
  <si>
    <t>Joué-lés-Tours</t>
  </si>
  <si>
    <t>Hyères</t>
  </si>
  <si>
    <t>Hérouville-Saint-Clair</t>
  </si>
  <si>
    <t>Hénin-Beaumont</t>
  </si>
  <si>
    <t>Guéret</t>
  </si>
  <si>
    <t>Guérande</t>
  </si>
  <si>
    <t>Garges-lès-Gonesse</t>
  </si>
  <si>
    <t>Fréjus</t>
  </si>
  <si>
    <t>Fougères</t>
  </si>
  <si>
    <t>Fécamp</t>
  </si>
  <si>
    <t>Évry</t>
  </si>
  <si>
    <t>Évreux</t>
  </si>
  <si>
    <t>Étampes</t>
  </si>
  <si>
    <t>Éragny</t>
  </si>
  <si>
    <t>Équeurdreville-Hainneville</t>
  </si>
  <si>
    <t>Épinay-sur-Seine</t>
  </si>
  <si>
    <t>Épinal</t>
  </si>
  <si>
    <t>Épernay</t>
  </si>
  <si>
    <t>Élancourt</t>
  </si>
  <si>
    <t>Écully</t>
  </si>
  <si>
    <t>Échirolles</t>
  </si>
  <si>
    <t>Décines-Charpieu</t>
  </si>
  <si>
    <t>Créteil</t>
  </si>
  <si>
    <t>Crépy-en-Valois</t>
  </si>
  <si>
    <t>Cournon-d’Auvergne</t>
  </si>
  <si>
    <t>Couëron</t>
  </si>
  <si>
    <t>Compiègne</t>
  </si>
  <si>
    <t>Chenôve</t>
  </si>
  <si>
    <t>Chennevières-sur-Marne</t>
  </si>
  <si>
    <t>Châtillon</t>
  </si>
  <si>
    <t>Châtenay-Malabry</t>
  </si>
  <si>
    <t>Châtellerault</t>
  </si>
  <si>
    <t>Château-Thierry</t>
  </si>
  <si>
    <t>Châteauroux</t>
  </si>
  <si>
    <t>Châteaudun</t>
  </si>
  <si>
    <t>Charleville-Mézières</t>
  </si>
  <si>
    <t>Chambéry</t>
  </si>
  <si>
    <t>Chamalières</t>
  </si>
  <si>
    <t>Chalon-sur-Saône</t>
  </si>
  <si>
    <t>Châlons-en-Champagne</t>
  </si>
  <si>
    <t>Cesson-Sévigné</t>
  </si>
  <si>
    <t>Carrières-sous-Poissy</t>
  </si>
  <si>
    <t>Bruay-la-Buissière</t>
  </si>
  <si>
    <t>Brétigny-sur-Orge</t>
  </si>
  <si>
    <t>Bourg-lès-Valence</t>
  </si>
  <si>
    <t>Boissy-Saint-Léger</t>
  </si>
  <si>
    <t>Béziers</t>
  </si>
  <si>
    <t>Béthune</t>
  </si>
  <si>
    <t>Besançon</t>
  </si>
  <si>
    <t>Bègles</t>
  </si>
  <si>
    <t>Bagnols-sur-Cèze</t>
  </si>
  <si>
    <t>Asnières-sur-Seine</t>
  </si>
  <si>
    <t>Armentières</t>
  </si>
  <si>
    <t>Angoulême</t>
  </si>
  <si>
    <t>Alès</t>
  </si>
  <si>
    <t>Alençon</t>
  </si>
  <si>
    <t>Achères</t>
  </si>
  <si>
    <t>Ogooué-Maritime</t>
  </si>
  <si>
    <t>Ngounié</t>
  </si>
  <si>
    <t>Haut-Ogooué</t>
  </si>
  <si>
    <t>Lambaréné</t>
  </si>
  <si>
    <t>Moyen-Ogooué</t>
  </si>
  <si>
    <t>Zestap’oni</t>
  </si>
  <si>
    <t>Ts’khinvali</t>
  </si>
  <si>
    <t>Senak’i</t>
  </si>
  <si>
    <t>Rust’avi</t>
  </si>
  <si>
    <t>P’ot’i</t>
  </si>
  <si>
    <t>Och’amch’ire</t>
  </si>
  <si>
    <t>Rémire-Montjoly</t>
  </si>
  <si>
    <t>Télimélé</t>
  </si>
  <si>
    <t>Nzérékoré</t>
  </si>
  <si>
    <t>Labé</t>
  </si>
  <si>
    <t>Pointe-à-Pitre</t>
  </si>
  <si>
    <t>Voúla</t>
  </si>
  <si>
    <t>Vólos</t>
  </si>
  <si>
    <t>Výronas</t>
  </si>
  <si>
    <t>Vári</t>
  </si>
  <si>
    <t>Tríkala</t>
  </si>
  <si>
    <t>Thívai</t>
  </si>
  <si>
    <t>Spárti</t>
  </si>
  <si>
    <t>Salamína</t>
  </si>
  <si>
    <t>Préveza</t>
  </si>
  <si>
    <t>Pýrgos</t>
  </si>
  <si>
    <t>Petroúpolis</t>
  </si>
  <si>
    <t>Peristéri</t>
  </si>
  <si>
    <t>Pérama</t>
  </si>
  <si>
    <t>Pátra</t>
  </si>
  <si>
    <t>Palaió Fáliro</t>
  </si>
  <si>
    <t>Níkaia</t>
  </si>
  <si>
    <t>Néa Smýrni</t>
  </si>
  <si>
    <t>Néa Mákri</t>
  </si>
  <si>
    <t>Ílion</t>
  </si>
  <si>
    <t>Néa Ionía</t>
  </si>
  <si>
    <t>Néa Filadélfeia</t>
  </si>
  <si>
    <t>Néa Erythraía</t>
  </si>
  <si>
    <t>Moskháton</t>
  </si>
  <si>
    <t>Mytilíni</t>
  </si>
  <si>
    <t>Melíssia</t>
  </si>
  <si>
    <t>Mégara</t>
  </si>
  <si>
    <t>Artémida</t>
  </si>
  <si>
    <t>Livadeiá</t>
  </si>
  <si>
    <t>Lárisa</t>
  </si>
  <si>
    <t>Lamía</t>
  </si>
  <si>
    <t>Metamórfosi</t>
  </si>
  <si>
    <t>Koropí</t>
  </si>
  <si>
    <t>Kórinthos</t>
  </si>
  <si>
    <t>Kifisiá</t>
  </si>
  <si>
    <t>Cholargós</t>
  </si>
  <si>
    <t>Chaniá</t>
  </si>
  <si>
    <t>Chalkída</t>
  </si>
  <si>
    <t>Chaïdári</t>
  </si>
  <si>
    <t>Keratsíni</t>
  </si>
  <si>
    <t>Kardítsa</t>
  </si>
  <si>
    <t>Kamaterón</t>
  </si>
  <si>
    <t>Kallithéa</t>
  </si>
  <si>
    <t>Kalamáta</t>
  </si>
  <si>
    <t>Álimos</t>
  </si>
  <si>
    <t>Kaisarianí</t>
  </si>
  <si>
    <t>Irákleio</t>
  </si>
  <si>
    <t>Irákleion</t>
  </si>
  <si>
    <t>Ioánnina</t>
  </si>
  <si>
    <t>Glyfáda</t>
  </si>
  <si>
    <t>Galátsi</t>
  </si>
  <si>
    <t>Ellinikó</t>
  </si>
  <si>
    <t>Elefsína</t>
  </si>
  <si>
    <t>Dhafní</t>
  </si>
  <si>
    <t>Agía Varvára</t>
  </si>
  <si>
    <t>Agía Paraskeví</t>
  </si>
  <si>
    <t>Asprópyrgos</t>
  </si>
  <si>
    <t>Argyroúpoli</t>
  </si>
  <si>
    <t>Árta</t>
  </si>
  <si>
    <t>Árgos</t>
  </si>
  <si>
    <t>Áno Liósia</t>
  </si>
  <si>
    <t>Maroúsi</t>
  </si>
  <si>
    <t>Amaliáda</t>
  </si>
  <si>
    <t>Acharnés</t>
  </si>
  <si>
    <t>Aígio</t>
  </si>
  <si>
    <t>Aigáleo</t>
  </si>
  <si>
    <t>Agrínio</t>
  </si>
  <si>
    <t>Ródos</t>
  </si>
  <si>
    <t>Giannitsá</t>
  </si>
  <si>
    <t>Xánthi</t>
  </si>
  <si>
    <t>Véroia</t>
  </si>
  <si>
    <t>Thessaloníki</t>
  </si>
  <si>
    <t>Sykiés</t>
  </si>
  <si>
    <t>Sérres</t>
  </si>
  <si>
    <t>Ptolemaḯda</t>
  </si>
  <si>
    <t>Políchni</t>
  </si>
  <si>
    <t>Pylaía</t>
  </si>
  <si>
    <t>Peraía</t>
  </si>
  <si>
    <t>Panórama</t>
  </si>
  <si>
    <t>Orestiáda</t>
  </si>
  <si>
    <t>Oraiókastro</t>
  </si>
  <si>
    <t>Náousa</t>
  </si>
  <si>
    <t>Meneméni</t>
  </si>
  <si>
    <t>Kozáni</t>
  </si>
  <si>
    <t>Komotiní</t>
  </si>
  <si>
    <t>Kilkís</t>
  </si>
  <si>
    <t>Kavála</t>
  </si>
  <si>
    <t>Kateríni</t>
  </si>
  <si>
    <t>Kalamariá</t>
  </si>
  <si>
    <t>Flórina</t>
  </si>
  <si>
    <t>Édessa</t>
  </si>
  <si>
    <t>Dráma</t>
  </si>
  <si>
    <t>Alexandroúpoli</t>
  </si>
  <si>
    <t>Gérakas</t>
  </si>
  <si>
    <t>Ilioúpoli</t>
  </si>
  <si>
    <t>Korydallós</t>
  </si>
  <si>
    <t>Zográfos</t>
  </si>
  <si>
    <t>Péfki</t>
  </si>
  <si>
    <t>Ágioi Anárgyroi</t>
  </si>
  <si>
    <t>Totonicapán</t>
  </si>
  <si>
    <t>Tecpán Guatemala</t>
  </si>
  <si>
    <t>Sacatepéquez</t>
  </si>
  <si>
    <t>Sololá</t>
  </si>
  <si>
    <t>Santiago Sacatepéquez</t>
  </si>
  <si>
    <t>Santiago Atitlán</t>
  </si>
  <si>
    <t>Santa María de Jesús</t>
  </si>
  <si>
    <t>Santa Lucía Cotzumalguapa</t>
  </si>
  <si>
    <t>Quiché</t>
  </si>
  <si>
    <t>San Pedro Sacatepéquez</t>
  </si>
  <si>
    <t>San Lucas Sacatepéquez</t>
  </si>
  <si>
    <t>San Juan Sacatepéquez</t>
  </si>
  <si>
    <t>San Cristóbal Verapaz</t>
  </si>
  <si>
    <t>Petén</t>
  </si>
  <si>
    <t>San Andrés Itzapa</t>
  </si>
  <si>
    <t>Salamá</t>
  </si>
  <si>
    <t>Poptún</t>
  </si>
  <si>
    <t>Patzún</t>
  </si>
  <si>
    <t>Patzicía</t>
  </si>
  <si>
    <t>Panzós</t>
  </si>
  <si>
    <t>Palín</t>
  </si>
  <si>
    <t>Nahualá</t>
  </si>
  <si>
    <t>Gualán</t>
  </si>
  <si>
    <t>Cobán</t>
  </si>
  <si>
    <t>Asunción Mita</t>
  </si>
  <si>
    <t>Amatitlán</t>
  </si>
  <si>
    <t>Hagåtña</t>
  </si>
  <si>
    <t>Bafatá</t>
  </si>
  <si>
    <t>Cortés</t>
  </si>
  <si>
    <t>Atlántida</t>
  </si>
  <si>
    <t>Francisco Morazán</t>
  </si>
  <si>
    <t>Santa Rosa de Copán</t>
  </si>
  <si>
    <t>Copán</t>
  </si>
  <si>
    <t>Santa Bárbara</t>
  </si>
  <si>
    <t>El Paraíso</t>
  </si>
  <si>
    <t>Danlí</t>
  </si>
  <si>
    <t>Cofradía</t>
  </si>
  <si>
    <t>Zaprešić</t>
  </si>
  <si>
    <t>Zagrebačka</t>
  </si>
  <si>
    <t>Virovitičk-Podravska</t>
  </si>
  <si>
    <t>Varaždin</t>
  </si>
  <si>
    <t>Varaždinska</t>
  </si>
  <si>
    <t>Požega</t>
  </si>
  <si>
    <t>Požeško-Slavonska</t>
  </si>
  <si>
    <t>Sisačko-Moslavačka</t>
  </si>
  <si>
    <t>Šibenik</t>
  </si>
  <si>
    <t>Šibensko-Kniniska</t>
  </si>
  <si>
    <t>Osječko-Baranjska</t>
  </si>
  <si>
    <t>Čakovec</t>
  </si>
  <si>
    <t>Međimurska</t>
  </si>
  <si>
    <t>Pétionville</t>
  </si>
  <si>
    <t>Miragoâne</t>
  </si>
  <si>
    <t>Léogâne</t>
  </si>
  <si>
    <t>Jérémie</t>
  </si>
  <si>
    <t>GrandʼAnse</t>
  </si>
  <si>
    <t>Désarmes</t>
  </si>
  <si>
    <t>Törökszentmiklós</t>
  </si>
  <si>
    <t>Jász-Nagykun-Szolnok</t>
  </si>
  <si>
    <t>Tiszaújváros</t>
  </si>
  <si>
    <t>Borsod-Abaúj-Zemplén</t>
  </si>
  <si>
    <t>Csongrád</t>
  </si>
  <si>
    <t>Sátoraljaújhely</t>
  </si>
  <si>
    <t>Püspökladány</t>
  </si>
  <si>
    <t>Hajdú-Bihar</t>
  </si>
  <si>
    <t>Ózd</t>
  </si>
  <si>
    <t>Orosháza</t>
  </si>
  <si>
    <t>Nyíregyháza</t>
  </si>
  <si>
    <t>Szabolcs-Szatmár-Bereg</t>
  </si>
  <si>
    <t>Mezőtúr</t>
  </si>
  <si>
    <t>Mezőkövesd</t>
  </si>
  <si>
    <t>Mátészalka</t>
  </si>
  <si>
    <t>Makó</t>
  </si>
  <si>
    <t>Kisvárda</t>
  </si>
  <si>
    <t>Hódmezővásárhely</t>
  </si>
  <si>
    <t>Hajdúszoboszló</t>
  </si>
  <si>
    <t>Hajdúnánás</t>
  </si>
  <si>
    <t>Hajdúböszörmény</t>
  </si>
  <si>
    <t>Gyomaendrőd</t>
  </si>
  <si>
    <t>Berettyóújfalu</t>
  </si>
  <si>
    <t>Békéscsaba</t>
  </si>
  <si>
    <t>Békés</t>
  </si>
  <si>
    <t>Balmazújváros</t>
  </si>
  <si>
    <t>Veszprém</t>
  </si>
  <si>
    <t>Vecsés</t>
  </si>
  <si>
    <t>Várpalota</t>
  </si>
  <si>
    <t>Vác</t>
  </si>
  <si>
    <t>Tatabánya</t>
  </si>
  <si>
    <t>Komárom-Esztergom</t>
  </si>
  <si>
    <t>Szigetszentmiklós</t>
  </si>
  <si>
    <t>Szekszárd</t>
  </si>
  <si>
    <t>Székesfehérvár</t>
  </si>
  <si>
    <t>Fejér</t>
  </si>
  <si>
    <t>Százhalombatta</t>
  </si>
  <si>
    <t>Győr-Moson-Sopron</t>
  </si>
  <si>
    <t>Siófok</t>
  </si>
  <si>
    <t>Sárvár</t>
  </si>
  <si>
    <t>Salgótarján</t>
  </si>
  <si>
    <t>Nógrád</t>
  </si>
  <si>
    <t>Pécs</t>
  </si>
  <si>
    <t>Parádsasvár</t>
  </si>
  <si>
    <t>Pápa</t>
  </si>
  <si>
    <t>Oroszlány</t>
  </si>
  <si>
    <t>Nagykőrös</t>
  </si>
  <si>
    <t>Mosonmagyaróvár</t>
  </si>
  <si>
    <t>Mohács</t>
  </si>
  <si>
    <t>Komló</t>
  </si>
  <si>
    <t>Komárom</t>
  </si>
  <si>
    <t>Bács-Kiskun</t>
  </si>
  <si>
    <t>Kiskunfélegyháza</t>
  </si>
  <si>
    <t>Kiskőrös</t>
  </si>
  <si>
    <t>Kecskemét</t>
  </si>
  <si>
    <t>Kaposvár</t>
  </si>
  <si>
    <t>Jászberény</t>
  </si>
  <si>
    <t>Győr</t>
  </si>
  <si>
    <t>Gyöngyös</t>
  </si>
  <si>
    <t>Gyál</t>
  </si>
  <si>
    <t>Gödöllő</t>
  </si>
  <si>
    <t>Göd</t>
  </si>
  <si>
    <t>Fót</t>
  </si>
  <si>
    <t>Érd</t>
  </si>
  <si>
    <t>Dunaújváros</t>
  </si>
  <si>
    <t>Dombóvár</t>
  </si>
  <si>
    <t>Cegléd</t>
  </si>
  <si>
    <t>Budaörs</t>
  </si>
  <si>
    <t>Budapest XII. kerület</t>
  </si>
  <si>
    <t>Budapest XI. kerület</t>
  </si>
  <si>
    <t>Budapest IX. kerület</t>
  </si>
  <si>
    <t>Budapest VIII. kerület</t>
  </si>
  <si>
    <t>Budapest VII. kerület</t>
  </si>
  <si>
    <t>Budapest VI. kerület</t>
  </si>
  <si>
    <t>Budapest XIV. kerület</t>
  </si>
  <si>
    <t>Budapest XIII. kerület</t>
  </si>
  <si>
    <t>Budapest IV. kerület</t>
  </si>
  <si>
    <t>Budapest XV. kerület</t>
  </si>
  <si>
    <t>Budapest XVI. kerület</t>
  </si>
  <si>
    <t>Budapest X. kerület</t>
  </si>
  <si>
    <t>Budapest XIX. kerület</t>
  </si>
  <si>
    <t>Budapest XVIII. kerület</t>
  </si>
  <si>
    <t>Budapest XXIII. kerület</t>
  </si>
  <si>
    <t>Budapest XXII. kerület</t>
  </si>
  <si>
    <t>Budapest XXI. kerület</t>
  </si>
  <si>
    <t>Budapest XX. kerület</t>
  </si>
  <si>
    <t>Budapest XVII. kerület</t>
  </si>
  <si>
    <t>Budapest III. kerület</t>
  </si>
  <si>
    <t>Budapest II. kerület</t>
  </si>
  <si>
    <t>Budapest I. kerület</t>
  </si>
  <si>
    <t>Bangka–Belitung Islands</t>
  </si>
  <si>
    <t>Dún Laoghaire</t>
  </si>
  <si>
    <t>Umm el Faḥm</t>
  </si>
  <si>
    <t>maalot Tarshīhā</t>
  </si>
  <si>
    <t>Sakhnīn</t>
  </si>
  <si>
    <t>Rosh Ha‘Ayin</t>
  </si>
  <si>
    <t>Rishon LeẔiyyon</t>
  </si>
  <si>
    <t>Qiryat Moẕqin</t>
  </si>
  <si>
    <t>Petaẖ Tiqwa</t>
  </si>
  <si>
    <t>Migdal Ha‘Emeq</t>
  </si>
  <si>
    <t>Maghār</t>
  </si>
  <si>
    <t>Karmi’el</t>
  </si>
  <si>
    <t>Kafr Qāsim</t>
  </si>
  <si>
    <t>Kafr Mandā</t>
  </si>
  <si>
    <t>Kafr Kannā</t>
  </si>
  <si>
    <t>H̱olon</t>
  </si>
  <si>
    <t>H̱adera</t>
  </si>
  <si>
    <t>Giv‘at Shemu’él</t>
  </si>
  <si>
    <t>Giv‘atayim</t>
  </si>
  <si>
    <t>Eṭ Ṭaiyiba</t>
  </si>
  <si>
    <t>Dāliyat el Karmil</t>
  </si>
  <si>
    <t>Bet She’an</t>
  </si>
  <si>
    <t>Bené Beraq</t>
  </si>
  <si>
    <t>‘Arad</t>
  </si>
  <si>
    <t>‘Akko</t>
  </si>
  <si>
    <t>‘Afula ‘Illit</t>
  </si>
  <si>
    <t>Pūnch</t>
  </si>
  <si>
    <t>Zamānia</t>
  </si>
  <si>
    <t>Zahirābād</t>
  </si>
  <si>
    <t>Yellāpur</t>
  </si>
  <si>
    <t>Yavatmāl</t>
  </si>
  <si>
    <t>Yāval</t>
  </si>
  <si>
    <t>Yamunānagar</t>
  </si>
  <si>
    <t>Yādgīr</t>
  </si>
  <si>
    <t>Wazīrganj</t>
  </si>
  <si>
    <t>Wāshīm</t>
  </si>
  <si>
    <t>Wāris Alīganj</t>
  </si>
  <si>
    <t>Wārāseonī</t>
  </si>
  <si>
    <t>Wānkāner</t>
  </si>
  <si>
    <t>Wādi</t>
  </si>
  <si>
    <t>Vyāra</t>
  </si>
  <si>
    <t>Vuyyūru</t>
  </si>
  <si>
    <t>Vrindāvan</t>
  </si>
  <si>
    <t>Vriddhāchalam</t>
  </si>
  <si>
    <t>Vīsāvadar</t>
  </si>
  <si>
    <t>Viravanallūr</t>
  </si>
  <si>
    <t>Vīrarājendrapet</t>
  </si>
  <si>
    <t>Virār</t>
  </si>
  <si>
    <t>Vikārābād</t>
  </si>
  <si>
    <t>Vijāpur</t>
  </si>
  <si>
    <t>Vettūr</t>
  </si>
  <si>
    <t>Vetapālem</t>
  </si>
  <si>
    <t>Verāval</t>
  </si>
  <si>
    <t>Vemalwāda</t>
  </si>
  <si>
    <t>Vayalār</t>
  </si>
  <si>
    <t>Vāsudevanallūr</t>
  </si>
  <si>
    <t>Vāsco Da Gāma</t>
  </si>
  <si>
    <t>Vandavāsi</t>
  </si>
  <si>
    <t>Valsād</t>
  </si>
  <si>
    <t>Valabhīpur</t>
  </si>
  <si>
    <t>Vaijāpur</t>
  </si>
  <si>
    <t>Vadlapūdi</t>
  </si>
  <si>
    <t>Vādippatti</t>
  </si>
  <si>
    <t>Vadakku Valliyūr</t>
  </si>
  <si>
    <t>Vāda</t>
  </si>
  <si>
    <t>Uttiramerūr</t>
  </si>
  <si>
    <t>Uttarkāshi</t>
  </si>
  <si>
    <t>Uttamapālaiyam</t>
  </si>
  <si>
    <t>Unnāo</t>
  </si>
  <si>
    <t>Ūn</t>
  </si>
  <si>
    <t>Ujhāni</t>
  </si>
  <si>
    <t>Udgīr</t>
  </si>
  <si>
    <t>Bara Uchāna</t>
  </si>
  <si>
    <t>Turaiyūr</t>
  </si>
  <si>
    <t>Tūndla</t>
  </si>
  <si>
    <t>Tumkūr</t>
  </si>
  <si>
    <t>Tulsīpur</t>
  </si>
  <si>
    <t>Tuljāpur</t>
  </si>
  <si>
    <t>Tufānganj</t>
  </si>
  <si>
    <t>Trichūr</t>
  </si>
  <si>
    <t>Tohāna</t>
  </si>
  <si>
    <t>Titlāgarh</t>
  </si>
  <si>
    <t>Titāgarh</t>
  </si>
  <si>
    <t>Tiruvottiyūr</t>
  </si>
  <si>
    <t>Tiruvannāmalai</t>
  </si>
  <si>
    <t>Tīrthahalli</t>
  </si>
  <si>
    <t>Tiptūr</t>
  </si>
  <si>
    <t>Tinnanūr</t>
  </si>
  <si>
    <t>Tīkamgarh</t>
  </si>
  <si>
    <t>Tijāra</t>
  </si>
  <si>
    <t>Thoubāl</t>
  </si>
  <si>
    <t>Thāsra</t>
  </si>
  <si>
    <t>Tharād</t>
  </si>
  <si>
    <t>Thanjāvūr</t>
  </si>
  <si>
    <t>Thānesar</t>
  </si>
  <si>
    <t>Thāne</t>
  </si>
  <si>
    <t>Thāna Bhawan</t>
  </si>
  <si>
    <t>Thān</t>
  </si>
  <si>
    <t>Thākurganj</t>
  </si>
  <si>
    <t>Terdāl</t>
  </si>
  <si>
    <t>Telhāra</t>
  </si>
  <si>
    <t>Tekāri</t>
  </si>
  <si>
    <t>Tāsgaon</t>
  </si>
  <si>
    <t>Tarn Tāran</t>
  </si>
  <si>
    <t>Tārānagar</t>
  </si>
  <si>
    <t>Tarāna</t>
  </si>
  <si>
    <t>Tāramangalam</t>
  </si>
  <si>
    <t>Tāoru</t>
  </si>
  <si>
    <t>Tāndūr</t>
  </si>
  <si>
    <t>Tānda</t>
  </si>
  <si>
    <t>Tāndā</t>
  </si>
  <si>
    <t>Tamlūk</t>
  </si>
  <si>
    <t>Talwāra</t>
  </si>
  <si>
    <t>Tālīkota</t>
  </si>
  <si>
    <t>Talegaon Dābhāde</t>
  </si>
  <si>
    <t>Tālcher</t>
  </si>
  <si>
    <t>Talāja</t>
  </si>
  <si>
    <t>Tāki</t>
  </si>
  <si>
    <t>Tājpur</t>
  </si>
  <si>
    <t>Tādpatri</t>
  </si>
  <si>
    <t>Tādepallegūdem</t>
  </si>
  <si>
    <t>Tādepalle</t>
  </si>
  <si>
    <t>Suriāpet</t>
  </si>
  <si>
    <t>Suriānwān</t>
  </si>
  <si>
    <t>Sūratgarh</t>
  </si>
  <si>
    <t>Sūrat</t>
  </si>
  <si>
    <t>Sūrandai</t>
  </si>
  <si>
    <t>Sūrajgarh</t>
  </si>
  <si>
    <t>Sunām</t>
  </si>
  <si>
    <t>Sūlūru</t>
  </si>
  <si>
    <t>Sultānpur</t>
  </si>
  <si>
    <t>Sūjāngarh</t>
  </si>
  <si>
    <t>Suār</t>
  </si>
  <si>
    <t>Srīvardhan</t>
  </si>
  <si>
    <t>Srīsailain</t>
  </si>
  <si>
    <t>Srīrāmnagar</t>
  </si>
  <si>
    <t>Srīperumbūdūr</t>
  </si>
  <si>
    <t>Srīnivāspur</t>
  </si>
  <si>
    <t>Srīnagar</t>
  </si>
  <si>
    <t>Sri Mādhopur</t>
  </si>
  <si>
    <t>Sri Dūngargarh</t>
  </si>
  <si>
    <t>Sonīpat</t>
  </si>
  <si>
    <t>Sonāri</t>
  </si>
  <si>
    <t>Sonāmukhi</t>
  </si>
  <si>
    <t>Sojītra</t>
  </si>
  <si>
    <t>Sohāgpur</t>
  </si>
  <si>
    <t>Siwāna</t>
  </si>
  <si>
    <t>Siwān</t>
  </si>
  <si>
    <t>Sitārganj</t>
  </si>
  <si>
    <t>Sītāpur</t>
  </si>
  <si>
    <t>Sītāmarhi</t>
  </si>
  <si>
    <t>Siswā Bāzār</t>
  </si>
  <si>
    <t>Sirūr</t>
  </si>
  <si>
    <t>Sirsāganj</t>
  </si>
  <si>
    <t>Sīrkāzhi</t>
  </si>
  <si>
    <t>Sīra</t>
  </si>
  <si>
    <t>Singarāyakonda</t>
  </si>
  <si>
    <t>Singānallūr</t>
  </si>
  <si>
    <t>Sindhnūr</t>
  </si>
  <si>
    <t>Sīkar</t>
  </si>
  <si>
    <t>Sikandarābād</t>
  </si>
  <si>
    <t>Sihorā</t>
  </si>
  <si>
    <t>Sidhaulī</t>
  </si>
  <si>
    <t>Sibsāgar</t>
  </si>
  <si>
    <t>Shujālpur</t>
  </si>
  <si>
    <t>Shrīrangapattana</t>
  </si>
  <si>
    <t>Shrīrāmpur</t>
  </si>
  <si>
    <t>Shrīgonda</t>
  </si>
  <si>
    <t>Shorāpur</t>
  </si>
  <si>
    <t>Shoranūr</t>
  </si>
  <si>
    <t>Solāpur</t>
  </si>
  <si>
    <t>Shīshgarh</t>
  </si>
  <si>
    <t>Shikohābād</t>
  </si>
  <si>
    <t>Shikārpūr</t>
  </si>
  <si>
    <t>Shikārpur</t>
  </si>
  <si>
    <t>Sherghāti</t>
  </si>
  <si>
    <t>Shāntipur</t>
  </si>
  <si>
    <t>Shamsābād</t>
  </si>
  <si>
    <t>Shāmli</t>
  </si>
  <si>
    <t>Shāmgarh</t>
  </si>
  <si>
    <t>Shājāpur</t>
  </si>
  <si>
    <t>Shāhpura</t>
  </si>
  <si>
    <t>Shāhpur</t>
  </si>
  <si>
    <t>Shāhjānpur</t>
  </si>
  <si>
    <t>Shāhi</t>
  </si>
  <si>
    <t>Shāhganj</t>
  </si>
  <si>
    <t>Shāhāda</t>
  </si>
  <si>
    <t>Shāhābād</t>
  </si>
  <si>
    <t>Serchhīp</t>
  </si>
  <si>
    <t>Seoni Mālwa</t>
  </si>
  <si>
    <t>Seohāra</t>
  </si>
  <si>
    <t>Sāyla</t>
  </si>
  <si>
    <t>Sawāi Mādhopur</t>
  </si>
  <si>
    <t>Sāvda</t>
  </si>
  <si>
    <t>Savanūr</t>
  </si>
  <si>
    <t>Sāvantvādi</t>
  </si>
  <si>
    <t>Sātāra</t>
  </si>
  <si>
    <t>Satānā</t>
  </si>
  <si>
    <t>Sāsvad</t>
  </si>
  <si>
    <t>Sarwār</t>
  </si>
  <si>
    <t>Sardārshahr</t>
  </si>
  <si>
    <t>Sārangpur</t>
  </si>
  <si>
    <t>Sarāi Mīr</t>
  </si>
  <si>
    <t>Sarāi Ākil</t>
  </si>
  <si>
    <t>Sānkrāil</t>
  </si>
  <si>
    <t>Sangrūr</t>
  </si>
  <si>
    <t>Sāngola</t>
  </si>
  <si>
    <t>Sāngli</t>
  </si>
  <si>
    <t>Sangariā</t>
  </si>
  <si>
    <t>Sangāreddi</t>
  </si>
  <si>
    <t>Sandūr</t>
  </si>
  <si>
    <t>Sandīla</t>
  </si>
  <si>
    <t>Sāndi</t>
  </si>
  <si>
    <t>Sānchor</t>
  </si>
  <si>
    <t>Sanāwad</t>
  </si>
  <si>
    <t>Sānand</t>
  </si>
  <si>
    <t>Samrāla</t>
  </si>
  <si>
    <t>Sāmbhar</t>
  </si>
  <si>
    <t>Sāmba</t>
  </si>
  <si>
    <t>Samāstipur</t>
  </si>
  <si>
    <t>Sāmalkot</t>
  </si>
  <si>
    <t>Samālkha</t>
  </si>
  <si>
    <t>Sālūr</t>
  </si>
  <si>
    <t>Sālūmbar</t>
  </si>
  <si>
    <t>Salāya</t>
  </si>
  <si>
    <t>Saktī</t>
  </si>
  <si>
    <t>Sāhibganj</t>
  </si>
  <si>
    <t>Sahāwar</t>
  </si>
  <si>
    <t>Sahaswān</t>
  </si>
  <si>
    <t>Sahāranpur</t>
  </si>
  <si>
    <t>Sāgar</t>
  </si>
  <si>
    <t>Safīpur</t>
  </si>
  <si>
    <t>Sādri</t>
  </si>
  <si>
    <t>Sadāseopet</t>
  </si>
  <si>
    <t>Sadābād</t>
  </si>
  <si>
    <t>Rūdarpur</t>
  </si>
  <si>
    <t>Rishīkesh</t>
  </si>
  <si>
    <t>Rīngas</t>
  </si>
  <si>
    <t>Rewāri</t>
  </si>
  <si>
    <t>Renukūt</t>
  </si>
  <si>
    <t>Rāzām</t>
  </si>
  <si>
    <t>Rāybāg</t>
  </si>
  <si>
    <t>Rāyadrug</t>
  </si>
  <si>
    <t>Rāyachoti</t>
  </si>
  <si>
    <t>Rāya</t>
  </si>
  <si>
    <t>Rāwatsār</t>
  </si>
  <si>
    <t>Rāwatbhāta</t>
  </si>
  <si>
    <t>Rāver</t>
  </si>
  <si>
    <t>Ratlām</t>
  </si>
  <si>
    <t>Rāth</t>
  </si>
  <si>
    <t>Rasrā</t>
  </si>
  <si>
    <t>Rāpar</t>
  </si>
  <si>
    <t>Rānīpur</t>
  </si>
  <si>
    <t>Rānikhet</t>
  </si>
  <si>
    <t>Rānīganj</t>
  </si>
  <si>
    <t>Rānībennur</t>
  </si>
  <si>
    <t>Rānia</t>
  </si>
  <si>
    <t>Rangāpāra</t>
  </si>
  <si>
    <t>Rānāvāv</t>
  </si>
  <si>
    <t>Rānāghāt</t>
  </si>
  <si>
    <t>Rāmtek</t>
  </si>
  <si>
    <t>Rāmpura</t>
  </si>
  <si>
    <t>Rāmpur</t>
  </si>
  <si>
    <t>Rāmnagar</t>
  </si>
  <si>
    <t>Rāmjībanpur</t>
  </si>
  <si>
    <t>Rāmgundam</t>
  </si>
  <si>
    <t>Rāmgarh</t>
  </si>
  <si>
    <t>Rāmganj Mandi</t>
  </si>
  <si>
    <t>Rāmāpuram</t>
  </si>
  <si>
    <t>Rāmanagaram</t>
  </si>
  <si>
    <t>Rāmachandrapuram</t>
  </si>
  <si>
    <t>Rājūra</t>
  </si>
  <si>
    <t>Rājula</t>
  </si>
  <si>
    <t>Rājsamand</t>
  </si>
  <si>
    <t>Rājpura</t>
  </si>
  <si>
    <t>Rājpīpla</t>
  </si>
  <si>
    <t>Rāj-Nāndgaon</t>
  </si>
  <si>
    <t>Rājmahal</t>
  </si>
  <si>
    <t>Rājkot</t>
  </si>
  <si>
    <t>Rājgurunagar</t>
  </si>
  <si>
    <t>Rājgīr</t>
  </si>
  <si>
    <t>Rājgarh</t>
  </si>
  <si>
    <t>Rājampet</t>
  </si>
  <si>
    <t>Rājaldesar</t>
  </si>
  <si>
    <t>Rājākhera</t>
  </si>
  <si>
    <t>Rājahmundry</t>
  </si>
  <si>
    <t>Rāisinghnagar</t>
  </si>
  <si>
    <t>Rāikot</t>
  </si>
  <si>
    <t>Rāiganj</t>
  </si>
  <si>
    <t>Rāichūr</t>
  </si>
  <si>
    <t>Rāhuri</t>
  </si>
  <si>
    <t>Rāhatgarh</t>
  </si>
  <si>
    <t>Rāghogarh</t>
  </si>
  <si>
    <t>Rādhanpur</t>
  </si>
  <si>
    <t>Qādiān</t>
  </si>
  <si>
    <t>Puttūr</t>
  </si>
  <si>
    <t>Purwā</t>
  </si>
  <si>
    <t>Pūrna</t>
  </si>
  <si>
    <t>Pūranpur</t>
  </si>
  <si>
    <t>Punganūru</t>
  </si>
  <si>
    <t>Pūndri</t>
  </si>
  <si>
    <t>Punāsa</t>
  </si>
  <si>
    <t>Punalūr</t>
  </si>
  <si>
    <t>Pūnāhāna</t>
  </si>
  <si>
    <t>Pukhrāyān</t>
  </si>
  <si>
    <t>Proddatūr</t>
  </si>
  <si>
    <t>Pratāpgarh</t>
  </si>
  <si>
    <t>Ponnūru</t>
  </si>
  <si>
    <t>Ponnāni</t>
  </si>
  <si>
    <t>Polūr</t>
  </si>
  <si>
    <t>Pithorāgarh</t>
  </si>
  <si>
    <t>Pithāpuram</t>
  </si>
  <si>
    <t>Piriyāpatna</t>
  </si>
  <si>
    <t>Pīpri</t>
  </si>
  <si>
    <t>Pīpār</t>
  </si>
  <si>
    <t>Pindwāra</t>
  </si>
  <si>
    <t>Pināhat</t>
  </si>
  <si>
    <t>Pīlibhīt</t>
  </si>
  <si>
    <t>Pilāni</t>
  </si>
  <si>
    <t>Pihānī</t>
  </si>
  <si>
    <t>Phulabāni</t>
  </si>
  <si>
    <t>Phaphūnd</t>
  </si>
  <si>
    <t>Phagwāra</t>
  </si>
  <si>
    <t>Petlād</t>
  </si>
  <si>
    <t>Perumpāvūr</t>
  </si>
  <si>
    <t>Peranāmpattu</t>
  </si>
  <si>
    <t>Pennāgaram</t>
  </si>
  <si>
    <t>Pennādam</t>
  </si>
  <si>
    <t>Peddāpuram</t>
  </si>
  <si>
    <t>Payyannūr</t>
  </si>
  <si>
    <t>Pawāyan</t>
  </si>
  <si>
    <t>Pāvugada</t>
  </si>
  <si>
    <t>Pātūr</t>
  </si>
  <si>
    <t>Patnāgarh</t>
  </si>
  <si>
    <t>Patiāla</t>
  </si>
  <si>
    <t>Pāthri</t>
  </si>
  <si>
    <t>Pāthardih</t>
  </si>
  <si>
    <t>Pāthardi</t>
  </si>
  <si>
    <t>Pathānkot</t>
  </si>
  <si>
    <t>Pathanāmthitta</t>
  </si>
  <si>
    <t>Pātan</t>
  </si>
  <si>
    <t>Patāmundai</t>
  </si>
  <si>
    <t>Pāsighāt</t>
  </si>
  <si>
    <t>Pasān</t>
  </si>
  <si>
    <t>Pārvatipuram</t>
  </si>
  <si>
    <t>Partūr</t>
  </si>
  <si>
    <t>Parli Vaijnāth</t>
  </si>
  <si>
    <t>Parlākimidi</t>
  </si>
  <si>
    <t>Pariyāpuram</t>
  </si>
  <si>
    <t>Parīchhatgarh</t>
  </si>
  <si>
    <t>Pārdi</t>
  </si>
  <si>
    <t>Paravūr</t>
  </si>
  <si>
    <t>Parāsia</t>
  </si>
  <si>
    <t>Parādīp Garh</t>
  </si>
  <si>
    <t>Pāppinisshēri</t>
  </si>
  <si>
    <t>Pāonta Sāhib</t>
  </si>
  <si>
    <t>Pānīpat</t>
  </si>
  <si>
    <t>Pānihāti</t>
  </si>
  <si>
    <t>Pāndhurnā</t>
  </si>
  <si>
    <t>Panāgar</t>
  </si>
  <si>
    <t>Pāloncha</t>
  </si>
  <si>
    <t>Pallāvaram</t>
  </si>
  <si>
    <t>Pālkonda</t>
  </si>
  <si>
    <t>Pālitāna</t>
  </si>
  <si>
    <t>Paliā Kalān</t>
  </si>
  <si>
    <t>Pāli</t>
  </si>
  <si>
    <t>Pālghar</t>
  </si>
  <si>
    <t>Palāsa</t>
  </si>
  <si>
    <t>Pālanpur</t>
  </si>
  <si>
    <t>Pālakollu</t>
  </si>
  <si>
    <t>Pālakkodu</t>
  </si>
  <si>
    <t>Pākaur</t>
  </si>
  <si>
    <t>Pākāla</t>
  </si>
  <si>
    <t>Pahāsu</t>
  </si>
  <si>
    <t>Padmanābhapuram</t>
  </si>
  <si>
    <t>Pāchora</t>
  </si>
  <si>
    <t>Ottappālam</t>
  </si>
  <si>
    <t>Nūzvīd</t>
  </si>
  <si>
    <t>Nūrpur</t>
  </si>
  <si>
    <t>North Guwāhāti</t>
  </si>
  <si>
    <t>Noāmundi</t>
  </si>
  <si>
    <t>Nizāmābād</t>
  </si>
  <si>
    <t>Nirmāli</t>
  </si>
  <si>
    <t>Nipāni</t>
  </si>
  <si>
    <t>Nīmbāhera</t>
  </si>
  <si>
    <t>Nimāparha</t>
  </si>
  <si>
    <t>Nīmāj</t>
  </si>
  <si>
    <t>Nīlokheri</t>
  </si>
  <si>
    <t>Nīlēshwar</t>
  </si>
  <si>
    <t>Nīlgiri</t>
  </si>
  <si>
    <t>Neyyāttinkara</t>
  </si>
  <si>
    <t>Nepānagar</t>
  </si>
  <si>
    <t>Nedumangād</t>
  </si>
  <si>
    <t>Nāyudupeta</t>
  </si>
  <si>
    <t>Nayāgarh</t>
  </si>
  <si>
    <t>Nawāshahr</t>
  </si>
  <si>
    <t>Nawāda</t>
  </si>
  <si>
    <t>Nāwa</t>
  </si>
  <si>
    <t>Navadwīp</t>
  </si>
  <si>
    <t>Nāthdwāra</t>
  </si>
  <si>
    <t>Nasrullāhganj</t>
  </si>
  <si>
    <t>Nāsriganj</t>
  </si>
  <si>
    <t>Nāspur</t>
  </si>
  <si>
    <t>Nasīrābād</t>
  </si>
  <si>
    <t>Narwāna</t>
  </si>
  <si>
    <t>Narsīpatnam</t>
  </si>
  <si>
    <t>Nārnaund</t>
  </si>
  <si>
    <t>Nārnaul</t>
  </si>
  <si>
    <t>Nārāyanpet</t>
  </si>
  <si>
    <t>Narāyangarh</t>
  </si>
  <si>
    <t>Nāravārikuppam</t>
  </si>
  <si>
    <t>Napāsar</t>
  </si>
  <si>
    <t>Nānpāra</t>
  </si>
  <si>
    <t>Nanjangūd</t>
  </si>
  <si>
    <t>Nāngloi Jāt</t>
  </si>
  <si>
    <t>Nāngal Township</t>
  </si>
  <si>
    <t>Nandyāl</t>
  </si>
  <si>
    <t>Nāndūra Buzurg</t>
  </si>
  <si>
    <t>Nandikotkūr</t>
  </si>
  <si>
    <t>Nandigāma</t>
  </si>
  <si>
    <t>Nāndgaon</t>
  </si>
  <si>
    <t>Nāmrup</t>
  </si>
  <si>
    <t>Nambiyūr</t>
  </si>
  <si>
    <t>Nāmakkal</t>
  </si>
  <si>
    <t>Nāmagiripettai</t>
  </si>
  <si>
    <t>Nalhāti</t>
  </si>
  <si>
    <t>Nakūr</t>
  </si>
  <si>
    <t>Naksalbāri</t>
  </si>
  <si>
    <t>Najībābād</t>
  </si>
  <si>
    <t>Naini Tāl</t>
  </si>
  <si>
    <t>Naihāti</t>
  </si>
  <si>
    <t>Nāhan</t>
  </si>
  <si>
    <t>Nāgod</t>
  </si>
  <si>
    <t>Nagīna</t>
  </si>
  <si>
    <t>Nāgercoil</t>
  </si>
  <si>
    <t>Nāgaur</t>
  </si>
  <si>
    <t>Nāgar Karnūl</t>
  </si>
  <si>
    <t>Nāgappattinam</t>
  </si>
  <si>
    <t>Nāgamangala</t>
  </si>
  <si>
    <t>Naduvannūr</t>
  </si>
  <si>
    <t>Nadiād</t>
  </si>
  <si>
    <t>Nādbai</t>
  </si>
  <si>
    <t>Nādāpuram</t>
  </si>
  <si>
    <t>Nābha</t>
  </si>
  <si>
    <t>Mūvattupula</t>
  </si>
  <si>
    <t>Mushābani</t>
  </si>
  <si>
    <t>Murwāra</t>
  </si>
  <si>
    <t>Murtajāpur</t>
  </si>
  <si>
    <t>Murshidābād</t>
  </si>
  <si>
    <t>Murlīganj</t>
  </si>
  <si>
    <t>Murbād</t>
  </si>
  <si>
    <t>Murādnagar</t>
  </si>
  <si>
    <t>Mūndwa</t>
  </si>
  <si>
    <t>Mūlki</t>
  </si>
  <si>
    <t>Mulbāgal</t>
  </si>
  <si>
    <t>Mūl</t>
  </si>
  <si>
    <t>Mukeriān</t>
  </si>
  <si>
    <t>Muhammadābād</t>
  </si>
  <si>
    <t>Mughal Sarāi</t>
  </si>
  <si>
    <t>Muddebihāl</t>
  </si>
  <si>
    <t>Mūdbidri</t>
  </si>
  <si>
    <t>Mubārakpur</t>
  </si>
  <si>
    <t>Mothīhāri</t>
  </si>
  <si>
    <t>Morār</t>
  </si>
  <si>
    <t>Morādābād</t>
  </si>
  <si>
    <t>Mokokchūng</t>
  </si>
  <si>
    <t>Moirāng</t>
  </si>
  <si>
    <t>Modāsa</t>
  </si>
  <si>
    <t>Miriālgūda</t>
  </si>
  <si>
    <t>Mīrganj</t>
  </si>
  <si>
    <t>Mīrānpur Katra</t>
  </si>
  <si>
    <t>Mīrānpur</t>
  </si>
  <si>
    <t>Mīnjūr</t>
  </si>
  <si>
    <t>Mhāsvād</t>
  </si>
  <si>
    <t>Memāri</t>
  </si>
  <si>
    <t>Mehndāwal</t>
  </si>
  <si>
    <t>Medinīpur</t>
  </si>
  <si>
    <t>Mayāng Imphāl</t>
  </si>
  <si>
    <t>Mawāna</t>
  </si>
  <si>
    <t>Māvelikara</t>
  </si>
  <si>
    <t>Mattanūr</t>
  </si>
  <si>
    <t>Mātābhānga</t>
  </si>
  <si>
    <t>Mārkāpur</t>
  </si>
  <si>
    <t>Mariāni</t>
  </si>
  <si>
    <t>Mariāhu</t>
  </si>
  <si>
    <t>Mārahra</t>
  </si>
  <si>
    <t>Māpuca</t>
  </si>
  <si>
    <t>Mānwat</t>
  </si>
  <si>
    <t>Mānvi</t>
  </si>
  <si>
    <t>Mānsa</t>
  </si>
  <si>
    <t>Mannārakkāt</t>
  </si>
  <si>
    <t>Manmād</t>
  </si>
  <si>
    <t>Mankāchar</t>
  </si>
  <si>
    <t>Mājalgaon</t>
  </si>
  <si>
    <t>Manihāri</t>
  </si>
  <si>
    <t>Mangrūl Pīr</t>
  </si>
  <si>
    <t>Māngrol</t>
  </si>
  <si>
    <t>Māndvi</t>
  </si>
  <si>
    <t>Māndu</t>
  </si>
  <si>
    <t>Mandlā</t>
  </si>
  <si>
    <t>Mandāwar</t>
  </si>
  <si>
    <t>Māndalgarh</t>
  </si>
  <si>
    <t>Māndal</t>
  </si>
  <si>
    <t>Mancherāl</t>
  </si>
  <si>
    <t>Manāwar</t>
  </si>
  <si>
    <t>Mānāvadar</t>
  </si>
  <si>
    <t>Manāsa</t>
  </si>
  <si>
    <t>Mālvan</t>
  </si>
  <si>
    <t>Mālūr</t>
  </si>
  <si>
    <t>Mālpura</t>
  </si>
  <si>
    <t>Malkāpur</t>
  </si>
  <si>
    <t>Malīhābād</t>
  </si>
  <si>
    <t>Māler Kotla</t>
  </si>
  <si>
    <t>Mālegaon</t>
  </si>
  <si>
    <t>Mākum</t>
  </si>
  <si>
    <t>Makrāna</t>
  </si>
  <si>
    <t>Maināguri</t>
  </si>
  <si>
    <t>Mahobā</t>
  </si>
  <si>
    <t>Mahmudābād</t>
  </si>
  <si>
    <t>Mahīshādal</t>
  </si>
  <si>
    <t>Mahgawān</t>
  </si>
  <si>
    <t>Mahemdāvād</t>
  </si>
  <si>
    <t>Mahē</t>
  </si>
  <si>
    <t>Mahbūbnagar</t>
  </si>
  <si>
    <t>Mahbūbābād</t>
  </si>
  <si>
    <t>Mahāsamund</t>
  </si>
  <si>
    <t>Mahārāganj</t>
  </si>
  <si>
    <t>Mahārājgani</t>
  </si>
  <si>
    <t>Mahālingpur</t>
  </si>
  <si>
    <t>Mahād</t>
  </si>
  <si>
    <t>Māgadi</t>
  </si>
  <si>
    <t>Madurāntakam</t>
  </si>
  <si>
    <t>Madukkūr</t>
  </si>
  <si>
    <t>Maddūr</t>
  </si>
  <si>
    <t>Machilīpatnam</t>
  </si>
  <si>
    <t>Machhlīshahr</t>
  </si>
  <si>
    <t>Māchhīwāra</t>
  </si>
  <si>
    <t>Mācherla</t>
  </si>
  <si>
    <t>Lūnāvāda</t>
  </si>
  <si>
    <t>Ludhiāna</t>
  </si>
  <si>
    <t>Lonār</t>
  </si>
  <si>
    <t>Lohārdaga</t>
  </si>
  <si>
    <t>Lingsugūr</t>
  </si>
  <si>
    <t>Lāwar Khās</t>
  </si>
  <si>
    <t>Laungowāl</t>
  </si>
  <si>
    <t>Lāthi</t>
  </si>
  <si>
    <t>Lātehār</t>
  </si>
  <si>
    <t>Lālsot</t>
  </si>
  <si>
    <t>Lālpur</t>
  </si>
  <si>
    <t>Lālgola</t>
  </si>
  <si>
    <t>Lālganj</t>
  </si>
  <si>
    <t>Lakhnādon</t>
  </si>
  <si>
    <t>Lakhīmpur</t>
  </si>
  <si>
    <t>Lākheri</t>
  </si>
  <si>
    <t>Lāharpur</t>
  </si>
  <si>
    <t>Lahār</t>
  </si>
  <si>
    <t>Lādwa</t>
  </si>
  <si>
    <t>Lādnūn</t>
  </si>
  <si>
    <t>Lachhmangarh Sīkar</t>
  </si>
  <si>
    <t>Kutiyāna</t>
  </si>
  <si>
    <t>Kurinjippādi</t>
  </si>
  <si>
    <t>Kurduvādi</t>
  </si>
  <si>
    <t>Kurandvād</t>
  </si>
  <si>
    <t>Kūmher</t>
  </si>
  <si>
    <t>Kumhāri</t>
  </si>
  <si>
    <t>Kumbhrāj</t>
  </si>
  <si>
    <t>Kulpahār</t>
  </si>
  <si>
    <t>Kūkatpalli</t>
  </si>
  <si>
    <t>Kūdligi</t>
  </si>
  <si>
    <t>Kuchāman</t>
  </si>
  <si>
    <t>Krishnarājpet</t>
  </si>
  <si>
    <t>Kovvūr</t>
  </si>
  <si>
    <t>Kovūr</t>
  </si>
  <si>
    <t>Kottūru</t>
  </si>
  <si>
    <t>Kottagūdem</t>
  </si>
  <si>
    <t>Kotdwāra</t>
  </si>
  <si>
    <t>Kotapārh</t>
  </si>
  <si>
    <t>Kotā</t>
  </si>
  <si>
    <t>Korāput</t>
  </si>
  <si>
    <t>Kopāganj</t>
  </si>
  <si>
    <t>Konnūr</t>
  </si>
  <si>
    <t>Konārka</t>
  </si>
  <si>
    <t>Kollegāl</t>
  </si>
  <si>
    <t>Kolhāpur</t>
  </si>
  <si>
    <t>Kolāras</t>
  </si>
  <si>
    <t>Kolār</t>
  </si>
  <si>
    <t>Koelwār</t>
  </si>
  <si>
    <t>Kodungallūr</t>
  </si>
  <si>
    <t>Kodīnar</t>
  </si>
  <si>
    <t>Kodarmā</t>
  </si>
  <si>
    <t>Kodār</t>
  </si>
  <si>
    <t>Kodaikānāl</t>
  </si>
  <si>
    <t>Koch Bihār</t>
  </si>
  <si>
    <t>Koāth</t>
  </si>
  <si>
    <t>Kizhake Chālakudi</t>
  </si>
  <si>
    <t>Kishtwār</t>
  </si>
  <si>
    <t>Kīratpur</t>
  </si>
  <si>
    <t>Khūtār</t>
  </si>
  <si>
    <t>Khuldābād</t>
  </si>
  <si>
    <t>Khirkiyān</t>
  </si>
  <si>
    <t>Kherālu</t>
  </si>
  <si>
    <t>Khātra</t>
  </si>
  <si>
    <t>Khatīma</t>
  </si>
  <si>
    <t>Khātegaon</t>
  </si>
  <si>
    <t>Khārupatia</t>
  </si>
  <si>
    <t>Khāpa</t>
  </si>
  <si>
    <t>Khānāpur</t>
  </si>
  <si>
    <t>Khāmgaon</t>
  </si>
  <si>
    <t>Khambhāt</t>
  </si>
  <si>
    <t>Khambhāliya</t>
  </si>
  <si>
    <t>Khalīlābād</t>
  </si>
  <si>
    <t>Khajurāho</t>
  </si>
  <si>
    <t>Khairāgarh</t>
  </si>
  <si>
    <t>Khairābād</t>
  </si>
  <si>
    <t>Khāchrod</t>
  </si>
  <si>
    <t>Keshorai Pātan</t>
  </si>
  <si>
    <t>Kerūr</t>
  </si>
  <si>
    <t>Kendrāparha</t>
  </si>
  <si>
    <t>Kemrī</t>
  </si>
  <si>
    <t>Kāyankulam</t>
  </si>
  <si>
    <t>Kāvali</t>
  </si>
  <si>
    <t>Kattivākkam</t>
  </si>
  <si>
    <t>Kātrās</t>
  </si>
  <si>
    <t>Kātpādi</t>
  </si>
  <si>
    <t>Kātoya</t>
  </si>
  <si>
    <t>Kātol</t>
  </si>
  <si>
    <t>Kāthor</t>
  </si>
  <si>
    <t>Kasrāwad</t>
  </si>
  <si>
    <t>Kāsganj</t>
  </si>
  <si>
    <t>Kāsaragod</t>
  </si>
  <si>
    <t>Kartārpur</t>
  </si>
  <si>
    <t>Kārsiyāng</t>
  </si>
  <si>
    <t>Karol Bāgh</t>
  </si>
  <si>
    <t>Karnāl</t>
  </si>
  <si>
    <t>Karmāla</t>
  </si>
  <si>
    <t>Kārkala</t>
  </si>
  <si>
    <t>Karīmnagar</t>
  </si>
  <si>
    <t>Karīmganj</t>
  </si>
  <si>
    <t>Kāranja</t>
  </si>
  <si>
    <t>Kāramadai</t>
  </si>
  <si>
    <t>Kāraikkudi</t>
  </si>
  <si>
    <t>Kāraikāl</t>
  </si>
  <si>
    <t>Karād</t>
  </si>
  <si>
    <t>Kapūrthala</t>
  </si>
  <si>
    <t>Kāpren</t>
  </si>
  <si>
    <t>Kānth</t>
  </si>
  <si>
    <t>Kantābānji</t>
  </si>
  <si>
    <t>Kānt</t>
  </si>
  <si>
    <t>Kanniyākumāri</t>
  </si>
  <si>
    <t>Kānnangād</t>
  </si>
  <si>
    <t>Kānker</t>
  </si>
  <si>
    <t>Kānke</t>
  </si>
  <si>
    <t>Kandukūr</t>
  </si>
  <si>
    <t>Kāndla</t>
  </si>
  <si>
    <t>Kāndi</t>
  </si>
  <si>
    <t>Kāndhla</t>
  </si>
  <si>
    <t>Kānchipuram</t>
  </si>
  <si>
    <t>Kāmthi</t>
  </si>
  <si>
    <t>Kāmārhāti</t>
  </si>
  <si>
    <t>Kāmāreddi</t>
  </si>
  <si>
    <t>Kāman</t>
  </si>
  <si>
    <t>Kāmākhyānagar</t>
  </si>
  <si>
    <t>Kalyān</t>
  </si>
  <si>
    <t>Kālpi</t>
  </si>
  <si>
    <t>Kālol</t>
  </si>
  <si>
    <t>Kālna</t>
  </si>
  <si>
    <t>Kālka</t>
  </si>
  <si>
    <t>Kāliyāganj</t>
  </si>
  <si>
    <t>Kālimpong</t>
  </si>
  <si>
    <t>Kālāvad</t>
  </si>
  <si>
    <t>Kālānwāli</t>
  </si>
  <si>
    <t>Kalānaur</t>
  </si>
  <si>
    <t>Kalamnūri</t>
  </si>
  <si>
    <t>Kalakkādu</t>
  </si>
  <si>
    <t>Kakrāla</t>
  </si>
  <si>
    <t>Kākori</t>
  </si>
  <si>
    <t>Kākināda</t>
  </si>
  <si>
    <t>Kairāna</t>
  </si>
  <si>
    <t>Kailāshahar</t>
  </si>
  <si>
    <t>Kailāras</t>
  </si>
  <si>
    <t>Kaikalūr</t>
  </si>
  <si>
    <t>Kāgal</t>
  </si>
  <si>
    <t>Kadūr</t>
  </si>
  <si>
    <t>Kānchrāpāra</t>
  </si>
  <si>
    <t>Kabrāi</t>
  </si>
  <si>
    <t>Jūnāgarh</t>
  </si>
  <si>
    <t>Jūnāgadh</t>
  </si>
  <si>
    <t>Jumri Tilaiyā</t>
  </si>
  <si>
    <t>Jugsālai</t>
  </si>
  <si>
    <t>Jorhāt</t>
  </si>
  <si>
    <t>Jolārpettai</t>
  </si>
  <si>
    <t>Jintūr</t>
  </si>
  <si>
    <t>Jīnd</t>
  </si>
  <si>
    <t>Jhūsi</t>
  </si>
  <si>
    <t>Jhunjhunūn</t>
  </si>
  <si>
    <t>Jhinjhāna</t>
  </si>
  <si>
    <t>Jhīnjhak</t>
  </si>
  <si>
    <t>Jhārsuguda</t>
  </si>
  <si>
    <t>Jhārgrām</t>
  </si>
  <si>
    <t>Jhānsi</t>
  </si>
  <si>
    <t>Jhanjhārpur</t>
  </si>
  <si>
    <t>Jhālu</t>
  </si>
  <si>
    <t>Jhālrapātan</t>
  </si>
  <si>
    <t>Jhālāwār</t>
  </si>
  <si>
    <t>Jhā Jhā</t>
  </si>
  <si>
    <t>Jhābua</t>
  </si>
  <si>
    <t>Jāwad</t>
  </si>
  <si>
    <t>Jatāra</t>
  </si>
  <si>
    <t>Jaorā</t>
  </si>
  <si>
    <t>Jānsath</t>
  </si>
  <si>
    <t>Jānjgīr</t>
  </si>
  <si>
    <t>Jandiāla</t>
  </si>
  <si>
    <t>Jāmuria</t>
  </si>
  <si>
    <t>Jamūī</t>
  </si>
  <si>
    <t>Jāmtāra</t>
  </si>
  <si>
    <t>Jāmnagar</t>
  </si>
  <si>
    <t>Jāmai</t>
  </si>
  <si>
    <t>Jāmadoba</t>
  </si>
  <si>
    <t>Jalpāiguri</t>
  </si>
  <si>
    <t>Jālna</t>
  </si>
  <si>
    <t>Jālaun</t>
  </si>
  <si>
    <t>Jalālpur</t>
  </si>
  <si>
    <t>Jalālī</t>
  </si>
  <si>
    <t>Jalālābad</t>
  </si>
  <si>
    <t>Jājpur</t>
  </si>
  <si>
    <t>Jaitāran</t>
  </si>
  <si>
    <t>Jahāzpur</t>
  </si>
  <si>
    <t>Jahāngīrābād</t>
  </si>
  <si>
    <t>Jahānābād</t>
  </si>
  <si>
    <t>Jagtiāl</t>
  </si>
  <si>
    <t>Jagdīspur</t>
  </si>
  <si>
    <t>Jagdīshpur</t>
  </si>
  <si>
    <t>Jagalūr</t>
  </si>
  <si>
    <t>Jagādhri</t>
  </si>
  <si>
    <t>Itimādpur</t>
  </si>
  <si>
    <t>Itārsi</t>
  </si>
  <si>
    <t>Itānagar</t>
  </si>
  <si>
    <t>Islāmpur</t>
  </si>
  <si>
    <t>Islāmnagar</t>
  </si>
  <si>
    <t>Irugūr</t>
  </si>
  <si>
    <t>Irinjālakuda</t>
  </si>
  <si>
    <t>Ingrāj Bāzār</t>
  </si>
  <si>
    <t>Indāpur</t>
  </si>
  <si>
    <t>Ichchāpuram</t>
  </si>
  <si>
    <t>Husainābād</t>
  </si>
  <si>
    <t>Hunsūr</t>
  </si>
  <si>
    <t>Hosūr</t>
  </si>
  <si>
    <t>Hoshangābād</t>
  </si>
  <si>
    <t>Honnāli</t>
  </si>
  <si>
    <t>Honāvar</t>
  </si>
  <si>
    <t>Homnābād</t>
  </si>
  <si>
    <t>Hojāi</t>
  </si>
  <si>
    <t>Hisuā</t>
  </si>
  <si>
    <t>Hiriyūr</t>
  </si>
  <si>
    <t>Hirekerūr</t>
  </si>
  <si>
    <t>Hīrākud</t>
  </si>
  <si>
    <t>Hinganghāt</t>
  </si>
  <si>
    <t>Hazārībāg</t>
  </si>
  <si>
    <t>Hāveri</t>
  </si>
  <si>
    <t>Hāthras</t>
  </si>
  <si>
    <t>Hastināpur</t>
  </si>
  <si>
    <t>Hāsimāra</t>
  </si>
  <si>
    <t>Harūr</t>
  </si>
  <si>
    <t>Harsūd</t>
  </si>
  <si>
    <t>Harpālpur</t>
  </si>
  <si>
    <t>Hārij</t>
  </si>
  <si>
    <t>Hardoī</t>
  </si>
  <si>
    <t>Harda Khās</t>
  </si>
  <si>
    <t>Hāpur</t>
  </si>
  <si>
    <t>Hāora</t>
  </si>
  <si>
    <t>Hanumāngarh</t>
  </si>
  <si>
    <t>Hānsi</t>
  </si>
  <si>
    <t>Hāngal</t>
  </si>
  <si>
    <t>Handiā</t>
  </si>
  <si>
    <t>Hamīrpur</t>
  </si>
  <si>
    <t>Hālol</t>
  </si>
  <si>
    <t>Hālīsahar</t>
  </si>
  <si>
    <t>Hājo</t>
  </si>
  <si>
    <t>Hājīpur</t>
  </si>
  <si>
    <t>Hailākāndi</t>
  </si>
  <si>
    <t>Hāflong</t>
  </si>
  <si>
    <t>Hadgāon</t>
  </si>
  <si>
    <t>Hābra</t>
  </si>
  <si>
    <t>Guruvāyūr</t>
  </si>
  <si>
    <t>Guru Har Sahāi</t>
  </si>
  <si>
    <t>Gursarāi</t>
  </si>
  <si>
    <t>Gursahāiganj</t>
  </si>
  <si>
    <t>Gurmatkāl</t>
  </si>
  <si>
    <t>Guntūr</t>
  </si>
  <si>
    <t>Gulāothi</t>
  </si>
  <si>
    <t>Gulābpura</t>
  </si>
  <si>
    <t>Gūduvāncheri</t>
  </si>
  <si>
    <t>Gūdūr</t>
  </si>
  <si>
    <t>Gudivāda</t>
  </si>
  <si>
    <t>Goyerkāta</t>
  </si>
  <si>
    <t>Gosāba</t>
  </si>
  <si>
    <t>Gopālganj</t>
  </si>
  <si>
    <t>Gondiā</t>
  </si>
  <si>
    <t>Gondā City</t>
  </si>
  <si>
    <t>Gola Gokarannāth</t>
  </si>
  <si>
    <t>Golāghāt</t>
  </si>
  <si>
    <t>Gohāna</t>
  </si>
  <si>
    <t>Gobārdānga</t>
  </si>
  <si>
    <t>Goālpāra</t>
  </si>
  <si>
    <t>Girīdīh</t>
  </si>
  <si>
    <t>Giddarbāha</t>
  </si>
  <si>
    <t>Giddalūr</t>
  </si>
  <si>
    <t>Ghosī</t>
  </si>
  <si>
    <t>Ghazīpur</t>
  </si>
  <si>
    <t>Ghāziābād</t>
  </si>
  <si>
    <t>Ghātsīla</t>
  </si>
  <si>
    <t>Ghātanji</t>
  </si>
  <si>
    <t>Ghātampur</t>
  </si>
  <si>
    <t>Ghātāl</t>
  </si>
  <si>
    <t>Goribidnūr</t>
  </si>
  <si>
    <t>Garhākota</t>
  </si>
  <si>
    <t>Gangāwati</t>
  </si>
  <si>
    <t>Gangārāmpur</t>
  </si>
  <si>
    <t>Gangāpur</t>
  </si>
  <si>
    <t>Gangānagar</t>
  </si>
  <si>
    <t>Gangākher</t>
  </si>
  <si>
    <t>Gāndhīdhām</t>
  </si>
  <si>
    <t>Gāndarbal</t>
  </si>
  <si>
    <t>Gadwāl</t>
  </si>
  <si>
    <t>Gādarwāra</t>
  </si>
  <si>
    <t>Fīrozpur Jhirka</t>
  </si>
  <si>
    <t>Fīrozābād</t>
  </si>
  <si>
    <t>Fāzilka</t>
  </si>
  <si>
    <t>Fatehpur Sīkri</t>
  </si>
  <si>
    <t>Fatehgarh Chūriān</t>
  </si>
  <si>
    <t>Fatehābād</t>
  </si>
  <si>
    <t>Farrukhābād</t>
  </si>
  <si>
    <t>Farīdkot</t>
  </si>
  <si>
    <t>Farīdābād</t>
  </si>
  <si>
    <t>Fālākāta</t>
  </si>
  <si>
    <t>Fyzābād</t>
  </si>
  <si>
    <t>Etāwah</t>
  </si>
  <si>
    <t>Erāttupetta</t>
  </si>
  <si>
    <t>Emmiganūr</t>
  </si>
  <si>
    <t>Elūr</t>
  </si>
  <si>
    <t>Dwārka</t>
  </si>
  <si>
    <t>Durgāpur</t>
  </si>
  <si>
    <t>Dūngarpur</t>
  </si>
  <si>
    <t>Ganj Dundwāra</t>
  </si>
  <si>
    <t>Duliāgaon</t>
  </si>
  <si>
    <t>Dubrājpur</t>
  </si>
  <si>
    <t>Dorāha</t>
  </si>
  <si>
    <t>Dod Ballāpur</t>
  </si>
  <si>
    <t>Dīsa</t>
  </si>
  <si>
    <t>Dīnhāta</t>
  </si>
  <si>
    <t>Dīnānagar</t>
  </si>
  <si>
    <t>Dimāpur</t>
  </si>
  <si>
    <t>Dīglūr</t>
  </si>
  <si>
    <t>Dighwāra</t>
  </si>
  <si>
    <t>Dīg</t>
  </si>
  <si>
    <t>Dīdwāna</t>
  </si>
  <si>
    <t>Dhūri</t>
  </si>
  <si>
    <t>Dhupgāri</t>
  </si>
  <si>
    <t>Dhuliān</t>
  </si>
  <si>
    <t>Dhūlia</t>
  </si>
  <si>
    <t>Dhrāngadhra</t>
  </si>
  <si>
    <t>Dhorāji</t>
  </si>
  <si>
    <t>Dhenkānāl</t>
  </si>
  <si>
    <t>Dhārūr</t>
  </si>
  <si>
    <t>Dhāruhera</t>
  </si>
  <si>
    <t>Dharmsāla</t>
  </si>
  <si>
    <t>Dharmābād</t>
  </si>
  <si>
    <t>Dhāriwāl</t>
  </si>
  <si>
    <t>Dhāri</t>
  </si>
  <si>
    <t>Dhār</t>
  </si>
  <si>
    <t>Dhanbād</t>
  </si>
  <si>
    <t>Dhāmpur</t>
  </si>
  <si>
    <t>Dhāmnod</t>
  </si>
  <si>
    <t>Dhāka</t>
  </si>
  <si>
    <t>Devgadh Bāriya</t>
  </si>
  <si>
    <t>Deūlgaon Rāja</t>
  </si>
  <si>
    <t>Depālpur</t>
  </si>
  <si>
    <t>Deori Khās</t>
  </si>
  <si>
    <t>Deoraniān</t>
  </si>
  <si>
    <t>Deolāli</t>
  </si>
  <si>
    <t>Dehra Dūn</t>
  </si>
  <si>
    <t>Dattāpur</t>
  </si>
  <si>
    <t>Dātāganj</t>
  </si>
  <si>
    <t>Dasūya</t>
  </si>
  <si>
    <t>Dāsna</t>
  </si>
  <si>
    <t>Daryāpur</t>
  </si>
  <si>
    <t>Dārwha</t>
  </si>
  <si>
    <t>Dārjiling</t>
  </si>
  <si>
    <t>Dāmnagar</t>
  </si>
  <si>
    <t>Dākor</t>
  </si>
  <si>
    <t>Dahegām</t>
  </si>
  <si>
    <t>Dāhānu</t>
  </si>
  <si>
    <t>Dādri</t>
  </si>
  <si>
    <t>Dabwāli</t>
  </si>
  <si>
    <t>Chūru</t>
  </si>
  <si>
    <t>Churāchāndpur</t>
  </si>
  <si>
    <t>Chunār</t>
  </si>
  <si>
    <t>Chittūr</t>
  </si>
  <si>
    <t>Chītāpur</t>
  </si>
  <si>
    <t>Chīrāla</t>
  </si>
  <si>
    <t>Chīpurupalle</t>
  </si>
  <si>
    <t>Chiplūn</t>
  </si>
  <si>
    <t>Chintāmani</t>
  </si>
  <si>
    <t>Chinnamanūr</t>
  </si>
  <si>
    <t>Chillupār</t>
  </si>
  <si>
    <t>Chilakalūrupet</t>
  </si>
  <si>
    <t>Chiknāyakanhalli</t>
  </si>
  <si>
    <t>Chikmagalūr</t>
  </si>
  <si>
    <t>Chik Ballāpur</t>
  </si>
  <si>
    <t>Chhoti Sādri</t>
  </si>
  <si>
    <t>Chhindwāra</t>
  </si>
  <si>
    <t>Chhibrāmau</t>
  </si>
  <si>
    <t>Chhātāpur</t>
  </si>
  <si>
    <t>Chhāta</t>
  </si>
  <si>
    <t>Chāpra</t>
  </si>
  <si>
    <t>Chhāpar</t>
  </si>
  <si>
    <t>Chettipālaiyam</t>
  </si>
  <si>
    <t>Chengannūr</t>
  </si>
  <si>
    <t>Chāvakkād</t>
  </si>
  <si>
    <t>Chās</t>
  </si>
  <si>
    <t>Charthāwal</t>
  </si>
  <si>
    <t>Charkhi Dādri</t>
  </si>
  <si>
    <t>Charkhāri</t>
  </si>
  <si>
    <t>Chāpar</t>
  </si>
  <si>
    <t>Channarāyapatna</t>
  </si>
  <si>
    <t>Changanācheri</t>
  </si>
  <si>
    <t>Chāndor</t>
  </si>
  <si>
    <t>Chāndūr Bāzār</t>
  </si>
  <si>
    <t>Chāndūr</t>
  </si>
  <si>
    <t>Chāndur</t>
  </si>
  <si>
    <t>Chānda</t>
  </si>
  <si>
    <t>Chāndpur</t>
  </si>
  <si>
    <t>Chānasma</t>
  </si>
  <si>
    <t>Chāmpa</t>
  </si>
  <si>
    <t>Chālisgaon</t>
  </si>
  <si>
    <t>Chalāla</t>
  </si>
  <si>
    <t>Chaklāsi</t>
  </si>
  <si>
    <t>Chākia</t>
  </si>
  <si>
    <t>Chākan</t>
  </si>
  <si>
    <t>Chāībāsa</t>
  </si>
  <si>
    <t>Byādgi</t>
  </si>
  <si>
    <t>Burhānpur</t>
  </si>
  <si>
    <t>Būndu</t>
  </si>
  <si>
    <t>Būndi</t>
  </si>
  <si>
    <t>Buldāna</t>
  </si>
  <si>
    <t>Budhlāda</t>
  </si>
  <si>
    <t>Budhāna</t>
  </si>
  <si>
    <t>Brājarājnagar</t>
  </si>
  <si>
    <t>Botād</t>
  </si>
  <si>
    <t>Bokāro</t>
  </si>
  <si>
    <t>Bokajān</t>
  </si>
  <si>
    <t>Bodināyakkanūr</t>
  </si>
  <si>
    <t>Biswān</t>
  </si>
  <si>
    <t>Bissāu</t>
  </si>
  <si>
    <t>Bīsalpur</t>
  </si>
  <si>
    <t>Birūr</t>
  </si>
  <si>
    <t>Bīrpur</t>
  </si>
  <si>
    <t>Etāwa</t>
  </si>
  <si>
    <t>Bilgrām</t>
  </si>
  <si>
    <t>Bīlāspur</t>
  </si>
  <si>
    <t>Bilāspur</t>
  </si>
  <si>
    <t>Bilāsipāra</t>
  </si>
  <si>
    <t>Bilāri</t>
  </si>
  <si>
    <t>Bilāra</t>
  </si>
  <si>
    <t>Bīkaner</t>
  </si>
  <si>
    <t>Bijbiāra</t>
  </si>
  <si>
    <t>Bijāwar</t>
  </si>
  <si>
    <t>Bihār</t>
  </si>
  <si>
    <t>Bihārīganj</t>
  </si>
  <si>
    <t>Bidhūna</t>
  </si>
  <si>
    <t>Bīdar</t>
  </si>
  <si>
    <t>Bhusāval</t>
  </si>
  <si>
    <t>Bhūm</t>
  </si>
  <si>
    <t>Bhongīr</t>
  </si>
  <si>
    <t>Bhiwāni</t>
  </si>
  <si>
    <t>Bhitarwār</t>
  </si>
  <si>
    <t>Bhīnmāl</t>
  </si>
  <si>
    <t>Bhindār</t>
  </si>
  <si>
    <t>Bhīmunipatnam</t>
  </si>
  <si>
    <t>Bhīmavaram</t>
  </si>
  <si>
    <t>Bhīlwāra</t>
  </si>
  <si>
    <t>Bhīkhi</t>
  </si>
  <si>
    <t>Bhāyāvadar</t>
  </si>
  <si>
    <t>Bhawānipatna</t>
  </si>
  <si>
    <t>Bhawānīgarh</t>
  </si>
  <si>
    <t>Bhawāniganj</t>
  </si>
  <si>
    <t>Bhāvnagar</t>
  </si>
  <si>
    <t>Bhavāni</t>
  </si>
  <si>
    <t>Bhātpāra</t>
  </si>
  <si>
    <t>Bhātāpāra</t>
  </si>
  <si>
    <t>Bhasāwar</t>
  </si>
  <si>
    <t>Bharwāri</t>
  </si>
  <si>
    <t>Bharūch</t>
  </si>
  <si>
    <t>Bhānvad</t>
  </si>
  <si>
    <t>Bhānpurī</t>
  </si>
  <si>
    <t>Bhānpura</t>
  </si>
  <si>
    <t>Bhānder</t>
  </si>
  <si>
    <t>Bhandāra</t>
  </si>
  <si>
    <t>Bhālki</t>
  </si>
  <si>
    <t>Bhāgalpur</t>
  </si>
  <si>
    <t>Bhadrāvati</t>
  </si>
  <si>
    <t>Bhadrāchalam</t>
  </si>
  <si>
    <t>Bhādra</t>
  </si>
  <si>
    <t>Bhādāsar</t>
  </si>
  <si>
    <t>Bhachāu</t>
  </si>
  <si>
    <t>Betūl</t>
  </si>
  <si>
    <t>Beri Khās</t>
  </si>
  <si>
    <t>Beohāri</t>
  </si>
  <si>
    <t>Bemetāra</t>
  </si>
  <si>
    <t>Belūr</t>
  </si>
  <si>
    <t>Beldānga</t>
  </si>
  <si>
    <t>Begūn</t>
  </si>
  <si>
    <t>Beāwar</t>
  </si>
  <si>
    <t>Bāzpur</t>
  </si>
  <si>
    <t>Bayāna</t>
  </si>
  <si>
    <t>Bawāna</t>
  </si>
  <si>
    <t>Batāla</t>
  </si>
  <si>
    <t>Bāsudebpur</t>
  </si>
  <si>
    <t>Bastī</t>
  </si>
  <si>
    <t>Bāsoda</t>
  </si>
  <si>
    <t>Basavana Bāgevādi</t>
  </si>
  <si>
    <t>Basavakalyān</t>
  </si>
  <si>
    <t>Barwāni</t>
  </si>
  <si>
    <t>Barwāla</t>
  </si>
  <si>
    <t>Bāruni</t>
  </si>
  <si>
    <t>Bāruipur</t>
  </si>
  <si>
    <t>Bārsi</t>
  </si>
  <si>
    <t>Barpāli</t>
  </si>
  <si>
    <t>Barnāla</t>
  </si>
  <si>
    <t>Bārmer</t>
  </si>
  <si>
    <t>Barka Kāna</t>
  </si>
  <si>
    <t>Bari Sādri</t>
  </si>
  <si>
    <t>Bāri</t>
  </si>
  <si>
    <t>Bārh</t>
  </si>
  <si>
    <t>Bārdoli</t>
  </si>
  <si>
    <t>Barddhamān</t>
  </si>
  <si>
    <t>Bārāsat</t>
  </si>
  <si>
    <t>Bārān</t>
  </si>
  <si>
    <t>Bāramūla</t>
  </si>
  <si>
    <t>Bārāmati</t>
  </si>
  <si>
    <t>Bārākpur</t>
  </si>
  <si>
    <t>Bāpatla</t>
  </si>
  <si>
    <t>Banūr</t>
  </si>
  <si>
    <t>Bantvāl</t>
  </si>
  <si>
    <t>Bāntva</t>
  </si>
  <si>
    <t>Bānswāra</t>
  </si>
  <si>
    <t>Bānswāda</t>
  </si>
  <si>
    <t>Bānsi</t>
  </si>
  <si>
    <t>Bānsdīh</t>
  </si>
  <si>
    <t>Bānsbāria</t>
  </si>
  <si>
    <t>Bannūr</t>
  </si>
  <si>
    <t>Bānkura</t>
  </si>
  <si>
    <t>Bānki</t>
  </si>
  <si>
    <t>Bānka</t>
  </si>
  <si>
    <t>Bāngarmau</t>
  </si>
  <si>
    <t>Bangārapet</t>
  </si>
  <si>
    <t>Bāndīkūi</t>
  </si>
  <si>
    <t>Bānda</t>
  </si>
  <si>
    <t>Bānapur</t>
  </si>
  <si>
    <t>Bāmor Kalān</t>
  </si>
  <si>
    <t>Bālurghāt</t>
  </si>
  <si>
    <t>Bālugaon</t>
  </si>
  <si>
    <t>Balrāmpur</t>
  </si>
  <si>
    <t>Bālotra</t>
  </si>
  <si>
    <t>Baloda Bāzār</t>
  </si>
  <si>
    <t>Bāli</t>
  </si>
  <si>
    <t>Ballālpur</t>
  </si>
  <si>
    <t>Balarāmpur</t>
  </si>
  <si>
    <t>Bālāpur</t>
  </si>
  <si>
    <t>Balāngīr</t>
  </si>
  <si>
    <t>Bālāghāt</t>
  </si>
  <si>
    <t>Bālāchor</t>
  </si>
  <si>
    <t>Bakhtiyārpur</t>
  </si>
  <si>
    <t>Bairāgnia</t>
  </si>
  <si>
    <t>Baidyabāti</t>
  </si>
  <si>
    <t>Bahādurgarh</t>
  </si>
  <si>
    <t>Bahādurganj</t>
  </si>
  <si>
    <t>Bāh</t>
  </si>
  <si>
    <t>Bagulā</t>
  </si>
  <si>
    <t>Bāghpat</t>
  </si>
  <si>
    <t>Bāghdogra</t>
  </si>
  <si>
    <t>Bāgha Purāna</t>
  </si>
  <si>
    <t>Bāgepalli</t>
  </si>
  <si>
    <t>Badūria</t>
  </si>
  <si>
    <t>Badnāwar</t>
  </si>
  <si>
    <t>Bādāmi</t>
  </si>
  <si>
    <t>Bada Barabīl</t>
  </si>
  <si>
    <t>Babrāla</t>
  </si>
  <si>
    <t>Bābra</t>
  </si>
  <si>
    <t>Babīna</t>
  </si>
  <si>
    <t>Bābai</t>
  </si>
  <si>
    <t>Āvadi</t>
  </si>
  <si>
    <t>Aurangābād</t>
  </si>
  <si>
    <t>Aurād</t>
  </si>
  <si>
    <t>Atraulī</t>
  </si>
  <si>
    <t>Atmakūr</t>
  </si>
  <si>
    <t>Āthagarh</t>
  </si>
  <si>
    <t>Āsind</t>
  </si>
  <si>
    <t>Āsika</t>
  </si>
  <si>
    <t>Asifābād</t>
  </si>
  <si>
    <t>Āsansol</t>
  </si>
  <si>
    <t>Āsandh</t>
  </si>
  <si>
    <t>Ārvi</t>
  </si>
  <si>
    <t>Āron</t>
  </si>
  <si>
    <t>Arkalgūd</t>
  </si>
  <si>
    <t>Ariyalūr</t>
  </si>
  <si>
    <t>Arāria</t>
  </si>
  <si>
    <t>Arantāngi</t>
  </si>
  <si>
    <t>Ārani</t>
  </si>
  <si>
    <t>Ārangaon</t>
  </si>
  <si>
    <t>Arāmbāgh</t>
  </si>
  <si>
    <t>Anūpshahr</t>
  </si>
  <si>
    <t>Anūppur</t>
  </si>
  <si>
    <t>Anūpgarh</t>
  </si>
  <si>
    <t>Anjār</t>
  </si>
  <si>
    <t>Angamāli</t>
  </si>
  <si>
    <t>Āndippatti</t>
  </si>
  <si>
    <t>Ānand</t>
  </si>
  <si>
    <t>Anakāpalle</t>
  </si>
  <si>
    <t>Amudālavalasa</t>
  </si>
  <si>
    <t>Āmta</t>
  </si>
  <si>
    <t>Amrāvati</t>
  </si>
  <si>
    <t>Āmli</t>
  </si>
  <si>
    <t>Āmlāgora</t>
  </si>
  <si>
    <t>Ambikāpur</t>
  </si>
  <si>
    <t>Ambattūr</t>
  </si>
  <si>
    <t>Ambāla</t>
  </si>
  <si>
    <t>Ambājogāi</t>
  </si>
  <si>
    <t>Ambāh</t>
  </si>
  <si>
    <t>Amarpātan</t>
  </si>
  <si>
    <t>Amarnāth</t>
  </si>
  <si>
    <t>Amalāpuram</t>
  </si>
  <si>
    <t>Alnāvar</t>
  </si>
  <si>
    <t>Allahābād</t>
  </si>
  <si>
    <t>Alīpur</t>
  </si>
  <si>
    <t>Alīgarh</t>
  </si>
  <si>
    <t>Alīganj</t>
  </si>
  <si>
    <t>Alībāg</t>
  </si>
  <si>
    <t>Ālangulam</t>
  </si>
  <si>
    <t>Ālangāyam</t>
  </si>
  <si>
    <t>Akivīdu</t>
  </si>
  <si>
    <t>Ajnāla</t>
  </si>
  <si>
    <t>Āgra</t>
  </si>
  <si>
    <t>Adūr</t>
  </si>
  <si>
    <t>Ādoni</t>
  </si>
  <si>
    <t>Ādilābād</t>
  </si>
  <si>
    <t>Ābu Road</t>
  </si>
  <si>
    <t>Ābu</t>
  </si>
  <si>
    <t>Abhayāpuri</t>
  </si>
  <si>
    <t>Srirāmpur</t>
  </si>
  <si>
    <t>Pānchla</t>
  </si>
  <si>
    <t>Nabagrām</t>
  </si>
  <si>
    <t>Soyībug</t>
  </si>
  <si>
    <t>Singāpur</t>
  </si>
  <si>
    <t>Ādampur</t>
  </si>
  <si>
    <t>Dahūk</t>
  </si>
  <si>
    <t>Umm Qaşr</t>
  </si>
  <si>
    <t>Tikrīt</t>
  </si>
  <si>
    <t>Nīnawá</t>
  </si>
  <si>
    <t>Sīnah</t>
  </si>
  <si>
    <t>Sāmarrā’</t>
  </si>
  <si>
    <t>Nāḩīyat Saddat al Hindīyah</t>
  </si>
  <si>
    <t>Bābil</t>
  </si>
  <si>
    <t>Ruwāndiz</t>
  </si>
  <si>
    <t>Arbīl</t>
  </si>
  <si>
    <t>Rāwah</t>
  </si>
  <si>
    <t>Mandalī</t>
  </si>
  <si>
    <t>Diyālá</t>
  </si>
  <si>
    <t>Kifrī</t>
  </si>
  <si>
    <t>Karbalāʼ</t>
  </si>
  <si>
    <t>Hīt</t>
  </si>
  <si>
    <t>Ḩalabjah</t>
  </si>
  <si>
    <t>As Sulaymānīyah</t>
  </si>
  <si>
    <t>Ḩadīthah</t>
  </si>
  <si>
    <t>Jamjamāl</t>
  </si>
  <si>
    <t>Bayjī</t>
  </si>
  <si>
    <t>Aş Şuwayrah</t>
  </si>
  <si>
    <t>Wāsiţ</t>
  </si>
  <si>
    <t>Nāḩiyat ash Shināfīyah</t>
  </si>
  <si>
    <t>Al Qādisīyah</t>
  </si>
  <si>
    <t>Ash Shaţrah</t>
  </si>
  <si>
    <t>Ash Shāmīyah</t>
  </si>
  <si>
    <t>Ar Ruţbah</t>
  </si>
  <si>
    <t>‘Aqrah</t>
  </si>
  <si>
    <t>An Nāşirīyah</t>
  </si>
  <si>
    <t>‘Anat al Qadīmah</t>
  </si>
  <si>
    <t>Al Mishkhāb</t>
  </si>
  <si>
    <t>Al Miqdādīyah</t>
  </si>
  <si>
    <t>Al Mawşil al Jadīdah</t>
  </si>
  <si>
    <t>Al Kūt</t>
  </si>
  <si>
    <t>Khāliş</t>
  </si>
  <si>
    <t>‘Alī al Gharbī</t>
  </si>
  <si>
    <t>Al Hindīyah</t>
  </si>
  <si>
    <t>Al Ḩillah</t>
  </si>
  <si>
    <t>Al Ḩayy</t>
  </si>
  <si>
    <t>Al Hārithah</t>
  </si>
  <si>
    <t>Nāḩiyat al Fuhūd</t>
  </si>
  <si>
    <t>Al Fāw</t>
  </si>
  <si>
    <t>Al Fallūjah</t>
  </si>
  <si>
    <t>Al ‘Azīzīyah</t>
  </si>
  <si>
    <t>Al ‘Amārah</t>
  </si>
  <si>
    <t>‘Afak</t>
  </si>
  <si>
    <t>Ad Dīwānīyah</t>
  </si>
  <si>
    <t>Abū Ghurayb</t>
  </si>
  <si>
    <t>Al Başrah al Qadīmah</t>
  </si>
  <si>
    <t>Sinjār</t>
  </si>
  <si>
    <t>Āzādshahr</t>
  </si>
  <si>
    <t>Hamadān</t>
  </si>
  <si>
    <t>Kahrīz</t>
  </si>
  <si>
    <t>Kermānshāh</t>
  </si>
  <si>
    <t>Nūrābād</t>
  </si>
  <si>
    <t>Lorestān</t>
  </si>
  <si>
    <t>Īstgāh-e Rāh Āhan-e Garmsār</t>
  </si>
  <si>
    <t>Semnān</t>
  </si>
  <si>
    <t>Tehrān</t>
  </si>
  <si>
    <t>Kohgīlūyeh va Būyer Aḩmad</t>
  </si>
  <si>
    <t>Golestān</t>
  </si>
  <si>
    <t>Zanjān</t>
  </si>
  <si>
    <t>Varāmīn</t>
  </si>
  <si>
    <t>Torbat-e Ḩeydarīyeh</t>
  </si>
  <si>
    <t>Tonekābon</t>
  </si>
  <si>
    <t>Māzandarān</t>
  </si>
  <si>
    <t>Gīlān</t>
  </si>
  <si>
    <t>Tākestān</t>
  </si>
  <si>
    <t>Qazvīn</t>
  </si>
  <si>
    <t>Takāb</t>
  </si>
  <si>
    <t>Āz̄ārbāyjān-e Gharbī</t>
  </si>
  <si>
    <t>Shūshtar</t>
  </si>
  <si>
    <t>Shūsh</t>
  </si>
  <si>
    <t>Shīrvān</t>
  </si>
  <si>
    <t>Khorāsān-e Shomālī</t>
  </si>
  <si>
    <t>Chahār Maḩāll va Bakhtīārī</t>
  </si>
  <si>
    <t>Shahr-e Bābak</t>
  </si>
  <si>
    <t>Shādegān</t>
  </si>
  <si>
    <t>Semīrom</t>
  </si>
  <si>
    <t>Sāveh</t>
  </si>
  <si>
    <t>Kordestān</t>
  </si>
  <si>
    <t>Salmās</t>
  </si>
  <si>
    <t>Shāhīn Dezh</t>
  </si>
  <si>
    <t>Rūdsar</t>
  </si>
  <si>
    <t>Robāţ Karīm</t>
  </si>
  <si>
    <t>Rāvar</t>
  </si>
  <si>
    <t>Rāmshīr</t>
  </si>
  <si>
    <t>Rāmhormoz</t>
  </si>
  <si>
    <t>Rafsanjān</t>
  </si>
  <si>
    <t>Qūchān</t>
  </si>
  <si>
    <t>Qarah Ẕīā’ od Dīn</t>
  </si>
  <si>
    <t>Qā’en</t>
  </si>
  <si>
    <t>Khorāsān-e Jonūbī</t>
  </si>
  <si>
    <t>Sarpol-e Z̄ahāb</t>
  </si>
  <si>
    <t>Pīshvā</t>
  </si>
  <si>
    <t>Pāveh</t>
  </si>
  <si>
    <t>Pārsābād</t>
  </si>
  <si>
    <t>Ardabīl</t>
  </si>
  <si>
    <t>Oshnavīyeh</t>
  </si>
  <si>
    <t>Orūmīyeh</t>
  </si>
  <si>
    <t>Omīdīyeh</t>
  </si>
  <si>
    <t>Nīshābūr</t>
  </si>
  <si>
    <t>Neyrīz</t>
  </si>
  <si>
    <t>Nekā</t>
  </si>
  <si>
    <t>Naz̧arābād</t>
  </si>
  <si>
    <t>Nahāvand</t>
  </si>
  <si>
    <t>Mīnāb</t>
  </si>
  <si>
    <t>Mīāndoāb</t>
  </si>
  <si>
    <t>Mahrīz</t>
  </si>
  <si>
    <t>Masjed Soleymān</t>
  </si>
  <si>
    <t>Bardsīr</t>
  </si>
  <si>
    <t>Malāyer</t>
  </si>
  <si>
    <t>Malārd</t>
  </si>
  <si>
    <t>Mahābād</t>
  </si>
  <si>
    <t>Langarūd</t>
  </si>
  <si>
    <t>Kūhdasht</t>
  </si>
  <si>
    <t>Kīsh</t>
  </si>
  <si>
    <t>Khvānsār</t>
  </si>
  <si>
    <t>Khalkhāl</t>
  </si>
  <si>
    <t>Kāzerūn</t>
  </si>
  <si>
    <t>Kāshmar</t>
  </si>
  <si>
    <t>Kāshān</t>
  </si>
  <si>
    <t>Kangāvar</t>
  </si>
  <si>
    <t>Kāmyārān</t>
  </si>
  <si>
    <t>Kalāleh</t>
  </si>
  <si>
    <t>Jūybār</t>
  </si>
  <si>
    <t>Javānrūd</t>
  </si>
  <si>
    <t>Īlām</t>
  </si>
  <si>
    <t>Harsīn</t>
  </si>
  <si>
    <t>Gorgān</t>
  </si>
  <si>
    <t>Gonbad-e Kāvūs</t>
  </si>
  <si>
    <t>Gonābād</t>
  </si>
  <si>
    <t>Golpāyegān</t>
  </si>
  <si>
    <t>Gerāsh</t>
  </si>
  <si>
    <t>Bandar-e Ganāveh</t>
  </si>
  <si>
    <t>Fūman</t>
  </si>
  <si>
    <t>Fīrūzābād</t>
  </si>
  <si>
    <t>Fereydūnkenār</t>
  </si>
  <si>
    <t>Fasā</t>
  </si>
  <si>
    <t>Fārsān</t>
  </si>
  <si>
    <t>Esfarāyen</t>
  </si>
  <si>
    <t>Delījān</t>
  </si>
  <si>
    <t>Dehlorān</t>
  </si>
  <si>
    <t>Sūsangerd</t>
  </si>
  <si>
    <t>Dārāb</t>
  </si>
  <si>
    <t>Dāmghān</t>
  </si>
  <si>
    <t>Damāvand</t>
  </si>
  <si>
    <t>Chenārān</t>
  </si>
  <si>
    <t>Chālūs</t>
  </si>
  <si>
    <t>Bandar-e Būshehr</t>
  </si>
  <si>
    <t>Būkān</t>
  </si>
  <si>
    <t>Borūjerd</t>
  </si>
  <si>
    <t>Borūjen</t>
  </si>
  <si>
    <t>Borāzjān</t>
  </si>
  <si>
    <t>Bojnūrd</t>
  </si>
  <si>
    <t>Bīrjand</t>
  </si>
  <si>
    <t>Bījār</t>
  </si>
  <si>
    <t>Bonāb</t>
  </si>
  <si>
    <t>Behbahān</t>
  </si>
  <si>
    <t>Bāneh</t>
  </si>
  <si>
    <t>Bandar-e Anzalī</t>
  </si>
  <si>
    <t>Bandar ‘Abbās</t>
  </si>
  <si>
    <t>Bahār</t>
  </si>
  <si>
    <t>Bāfq</t>
  </si>
  <si>
    <t>Bābolsar</t>
  </si>
  <si>
    <t>Bābol</t>
  </si>
  <si>
    <t>Aznā</t>
  </si>
  <si>
    <t>Hashtrūd</t>
  </si>
  <si>
    <t>Āstārā</t>
  </si>
  <si>
    <t>Āstāneh-ye Ashrafīyeh</t>
  </si>
  <si>
    <t>Ardestān</t>
  </si>
  <si>
    <t>Ardakān</t>
  </si>
  <si>
    <t>Arāk</t>
  </si>
  <si>
    <t>Āmol</t>
  </si>
  <si>
    <t>Shahrīār</t>
  </si>
  <si>
    <t>Alīgūdarz</t>
  </si>
  <si>
    <t>Akbarābād</t>
  </si>
  <si>
    <t>‘Ajab Shīr</t>
  </si>
  <si>
    <t>Ābyek</t>
  </si>
  <si>
    <t>Ābdānān</t>
  </si>
  <si>
    <t>Ābādeh</t>
  </si>
  <si>
    <t>Eqbālīyeh</t>
  </si>
  <si>
    <t>Shāhreẕā</t>
  </si>
  <si>
    <t>Rehnān</t>
  </si>
  <si>
    <t>Qahderījān</t>
  </si>
  <si>
    <t>Najafābād</t>
  </si>
  <si>
    <t>Khomeynī Shahr</t>
  </si>
  <si>
    <t>Kelīshād va Sūdarjān</t>
  </si>
  <si>
    <t>Falāvarjān</t>
  </si>
  <si>
    <t>Dowlatābād</t>
  </si>
  <si>
    <t>Dorcheh Pīāz</t>
  </si>
  <si>
    <t>Zābol</t>
  </si>
  <si>
    <t>Torbat-e Jām</t>
  </si>
  <si>
    <t>Tāybād</t>
  </si>
  <si>
    <t>Qaşr-e Qand</t>
  </si>
  <si>
    <t>Īrānshahr</t>
  </si>
  <si>
    <t>Reykjavík</t>
  </si>
  <si>
    <t>Kópavogur</t>
  </si>
  <si>
    <t>Hafnarfjörður</t>
  </si>
  <si>
    <t>Paternò</t>
  </si>
  <si>
    <t>Canicattì</t>
  </si>
  <si>
    <t>San Donà di Piave</t>
  </si>
  <si>
    <t>Nardò</t>
  </si>
  <si>
    <t>Muggiò</t>
  </si>
  <si>
    <t>Mondovì</t>
  </si>
  <si>
    <t>Forlì</t>
  </si>
  <si>
    <t>Città di Castello</t>
  </si>
  <si>
    <t>Ciriè</t>
  </si>
  <si>
    <t>Cava Dè Tirreni</t>
  </si>
  <si>
    <t>Cantù</t>
  </si>
  <si>
    <t>Wādī as Sīr</t>
  </si>
  <si>
    <t>Umm as Summāq</t>
  </si>
  <si>
    <t>Saḩāb</t>
  </si>
  <si>
    <t>Mādabā</t>
  </si>
  <si>
    <t>Ma’an</t>
  </si>
  <si>
    <t>‘Izrā</t>
  </si>
  <si>
    <t>Aydūn</t>
  </si>
  <si>
    <t>Aţ Ţafīlah</t>
  </si>
  <si>
    <t>As Salţ</t>
  </si>
  <si>
    <t>Ar Ramthā</t>
  </si>
  <si>
    <t>‘Anjarah</t>
  </si>
  <si>
    <t>Qīr Moāv</t>
  </si>
  <si>
    <t>‘Ajlūn</t>
  </si>
  <si>
    <t>Shingū</t>
  </si>
  <si>
    <t>Hyōgo</t>
  </si>
  <si>
    <t>Yūki</t>
  </si>
  <si>
    <t>Yoshida-kasugachō</t>
  </si>
  <si>
    <t>Yasugichō</t>
  </si>
  <si>
    <t>Ōsaka</t>
  </si>
  <si>
    <t>Yamazakichō-nakabirose</t>
  </si>
  <si>
    <t>Tonoshō</t>
  </si>
  <si>
    <t>Tondabayashichō</t>
  </si>
  <si>
    <t>Tōkamachi</t>
  </si>
  <si>
    <t>Tochio-honchō</t>
  </si>
  <si>
    <t>Tennō</t>
  </si>
  <si>
    <t>Tatsunochō-tominaga</t>
  </si>
  <si>
    <t>Tanashichō</t>
  </si>
  <si>
    <t>Takeochō-takeo</t>
  </si>
  <si>
    <t>Sueyoshichō-ninokata</t>
  </si>
  <si>
    <t>Sōka</t>
  </si>
  <si>
    <t>Sōja</t>
  </si>
  <si>
    <t>Shōbu</t>
  </si>
  <si>
    <t>Shōbara</t>
  </si>
  <si>
    <t>Shirahamachō-usazakiminami</t>
  </si>
  <si>
    <t>Shin’ichi</t>
  </si>
  <si>
    <t>Sanjō</t>
  </si>
  <si>
    <t>Sandachō</t>
  </si>
  <si>
    <t>Sakaidechō</t>
  </si>
  <si>
    <t>Ryūō</t>
  </si>
  <si>
    <t>Ryōtsu-minato</t>
  </si>
  <si>
    <t>Ōzu</t>
  </si>
  <si>
    <t>Ōyama</t>
  </si>
  <si>
    <t>Ōtsuki</t>
  </si>
  <si>
    <t>Ōtsu</t>
  </si>
  <si>
    <t>Ōtake</t>
  </si>
  <si>
    <t>Ōta</t>
  </si>
  <si>
    <t>Ōno-hara</t>
  </si>
  <si>
    <t>Ōmuta</t>
  </si>
  <si>
    <t>Ōmura</t>
  </si>
  <si>
    <t>Ōme</t>
  </si>
  <si>
    <t>Ōmamachō-ōmama</t>
  </si>
  <si>
    <t>Ōmachi</t>
  </si>
  <si>
    <t>Ōkuchi-shinohara</t>
  </si>
  <si>
    <t>Ōkawa</t>
  </si>
  <si>
    <t>Ōita</t>
  </si>
  <si>
    <t>Ōiso</t>
  </si>
  <si>
    <t>Ōi</t>
  </si>
  <si>
    <t>Ogōri-shimogō</t>
  </si>
  <si>
    <t>Ōgaki</t>
  </si>
  <si>
    <t>Ōdachō-ōda</t>
  </si>
  <si>
    <t>Ōbu</t>
  </si>
  <si>
    <t>Nyūzen</t>
  </si>
  <si>
    <t>Nōgata</t>
  </si>
  <si>
    <t>Nikkō</t>
  </si>
  <si>
    <t>Niitsu-honchō</t>
  </si>
  <si>
    <t>Narutochō-mitsuishi</t>
  </si>
  <si>
    <t>Nakanojōmachi</t>
  </si>
  <si>
    <t>Mukō</t>
  </si>
  <si>
    <t>Morohongō</t>
  </si>
  <si>
    <t>Miyakonojō</t>
  </si>
  <si>
    <t>Mitsukaidō</t>
  </si>
  <si>
    <t>Minakuchichō-matoba</t>
  </si>
  <si>
    <t>Matsutō</t>
  </si>
  <si>
    <t>Maebaru-chūō</t>
  </si>
  <si>
    <t>Kukichūō</t>
  </si>
  <si>
    <t>Kozakai-chō</t>
  </si>
  <si>
    <t>Kōnosu</t>
  </si>
  <si>
    <t>Kōnan</t>
  </si>
  <si>
    <t>Komatsushimachō</t>
  </si>
  <si>
    <t>Kōfu</t>
  </si>
  <si>
    <t>Kodamachō-kodamaminami</t>
  </si>
  <si>
    <t>Kiryū</t>
  </si>
  <si>
    <t>Kasamatsuchō</t>
  </si>
  <si>
    <t>Kan’onjichō</t>
  </si>
  <si>
    <t>Kannabechō-yahiro</t>
  </si>
  <si>
    <t>Kamojimachō-jōgejima</t>
  </si>
  <si>
    <t>Kamogatachō-kamogata</t>
  </si>
  <si>
    <t>Kameda-honchō</t>
  </si>
  <si>
    <t>Kakogawachō-honmachi</t>
  </si>
  <si>
    <t>Izumiōtsu</t>
  </si>
  <si>
    <t>Itō</t>
  </si>
  <si>
    <t>Imarichō-kō</t>
  </si>
  <si>
    <t>Ikedachō</t>
  </si>
  <si>
    <t>Ijūin</t>
  </si>
  <si>
    <t>Honjō</t>
  </si>
  <si>
    <t>Hōfu</t>
  </si>
  <si>
    <t>Hiratachō</t>
  </si>
  <si>
    <t>Hatogaya-honchō</t>
  </si>
  <si>
    <t>Hanyū</t>
  </si>
  <si>
    <t>Hannō</t>
  </si>
  <si>
    <t>Hachiōji</t>
  </si>
  <si>
    <t>Ōmihachiman</t>
  </si>
  <si>
    <t>Gyōda</t>
  </si>
  <si>
    <t>Gōtsuchō</t>
  </si>
  <si>
    <t>Gojō</t>
  </si>
  <si>
    <t>Gōdo</t>
  </si>
  <si>
    <t>Gobō</t>
  </si>
  <si>
    <t>Gamagōri</t>
  </si>
  <si>
    <t>Honchō</t>
  </si>
  <si>
    <t>Fukuechō</t>
  </si>
  <si>
    <t>Fukayachō</t>
  </si>
  <si>
    <t>Fuchūchō</t>
  </si>
  <si>
    <t>Daitōchō</t>
  </si>
  <si>
    <t>Chōfugaoka</t>
  </si>
  <si>
    <t>Chiryū</t>
  </si>
  <si>
    <t>Anjō</t>
  </si>
  <si>
    <t>Saijō</t>
  </si>
  <si>
    <t>Masaki-chō</t>
  </si>
  <si>
    <t>Kawanoechō</t>
  </si>
  <si>
    <t>Hōjō</t>
  </si>
  <si>
    <t>Yotsukaidō</t>
  </si>
  <si>
    <t>Yōkaichiba</t>
  </si>
  <si>
    <t>Yanagawamachi-saiwaichō</t>
  </si>
  <si>
    <t>Tōno</t>
  </si>
  <si>
    <t>Tōgane</t>
  </si>
  <si>
    <t>Tendō</t>
  </si>
  <si>
    <t>Shinjō</t>
  </si>
  <si>
    <t>Ryūgasaki</t>
  </si>
  <si>
    <t>Ōtsuchi</t>
  </si>
  <si>
    <t>Ōtawara</t>
  </si>
  <si>
    <t>Ōmiya</t>
  </si>
  <si>
    <t>Ōmagari</t>
  </si>
  <si>
    <t>Ōkawara</t>
  </si>
  <si>
    <t>Ōhara</t>
  </si>
  <si>
    <t>Ōfunato</t>
  </si>
  <si>
    <t>Ōarai</t>
  </si>
  <si>
    <t>Ōami</t>
  </si>
  <si>
    <t>Narutō</t>
  </si>
  <si>
    <t>Kōriyama</t>
  </si>
  <si>
    <t>Tōbetsu</t>
  </si>
  <si>
    <t>Shizunai-furukawachō</t>
  </si>
  <si>
    <t>Ōdate</t>
  </si>
  <si>
    <t>Ōnojō</t>
  </si>
  <si>
    <t>Gujō</t>
  </si>
  <si>
    <t>Jōetsu</t>
  </si>
  <si>
    <t>Kamigyō-ku</t>
  </si>
  <si>
    <t>Chüy</t>
  </si>
  <si>
    <t>Sisŏphŏn</t>
  </si>
  <si>
    <t>Phumĭ Véal Srê</t>
  </si>
  <si>
    <t>Sâmraông</t>
  </si>
  <si>
    <t>Ŏtâr Méanchey</t>
  </si>
  <si>
    <t>Tbêng Méanchey</t>
  </si>
  <si>
    <t>Paôy Pêt</t>
  </si>
  <si>
    <t>Lumphăt</t>
  </si>
  <si>
    <t>Ban Lŭng</t>
  </si>
  <si>
    <t>Yŏnan-ŭp</t>
  </si>
  <si>
    <t>Wŏnsan</t>
  </si>
  <si>
    <t>Kangwŏn-do</t>
  </si>
  <si>
    <t>T’ongch’ŏn-ŭp</t>
  </si>
  <si>
    <t>Sŭngho 1-tong</t>
  </si>
  <si>
    <t>P'yŏngan-namdo</t>
  </si>
  <si>
    <t>Sariwŏn</t>
  </si>
  <si>
    <t>Hamgyŏng-namdo</t>
  </si>
  <si>
    <t>P’yŏngsŏng</t>
  </si>
  <si>
    <t>Namp’o</t>
  </si>
  <si>
    <t>Kusŏng</t>
  </si>
  <si>
    <t>P'yŏngan-bukto</t>
  </si>
  <si>
    <t>Kujang-ŭp</t>
  </si>
  <si>
    <t>Kowŏn-ŭp</t>
  </si>
  <si>
    <t>Kangdong-ŭp</t>
  </si>
  <si>
    <t>Kaesŏng</t>
  </si>
  <si>
    <t>Hwangju-ŭp</t>
  </si>
  <si>
    <t>Hŭngnam</t>
  </si>
  <si>
    <t>Hŭkkyo-ri</t>
  </si>
  <si>
    <t>Hamhŭng</t>
  </si>
  <si>
    <t>Chŏngju</t>
  </si>
  <si>
    <t>Changyŏn</t>
  </si>
  <si>
    <t>Chaeryŏng-ŭp</t>
  </si>
  <si>
    <t>Anbyŏn-ŭp</t>
  </si>
  <si>
    <t>Ŭiju</t>
  </si>
  <si>
    <t>Sŏnbong</t>
  </si>
  <si>
    <t>Sinŭiju</t>
  </si>
  <si>
    <t>Sakchu-ŭp</t>
  </si>
  <si>
    <t>Yŏnggwang-ŭp</t>
  </si>
  <si>
    <t>Onsŏng</t>
  </si>
  <si>
    <t>Hamgyŏng-bukto</t>
  </si>
  <si>
    <t>Musan-ŭp</t>
  </si>
  <si>
    <t>Kyŏngsŏng</t>
  </si>
  <si>
    <t>Kapsan-ŭp</t>
  </si>
  <si>
    <t>Iwŏn-ŭp</t>
  </si>
  <si>
    <t>Hongwŏn</t>
  </si>
  <si>
    <t>Hoeryŏng</t>
  </si>
  <si>
    <t>Yŏng-dong</t>
  </si>
  <si>
    <t>Yangp'yŏng</t>
  </si>
  <si>
    <t>Wŏnju</t>
  </si>
  <si>
    <t>T’aebaek</t>
  </si>
  <si>
    <t>Hongch’ŏn</t>
  </si>
  <si>
    <t>Chinch'ŏn</t>
  </si>
  <si>
    <t>Yŏnmu</t>
  </si>
  <si>
    <t>Naesŏ</t>
  </si>
  <si>
    <t>Hwawŏn</t>
  </si>
  <si>
    <t>Kwangmyŏng</t>
  </si>
  <si>
    <t>Janūb as Surrah</t>
  </si>
  <si>
    <t>Ḩawallī</t>
  </si>
  <si>
    <t>Muḩāfaz̧at Ḩawallī</t>
  </si>
  <si>
    <t>Bayān</t>
  </si>
  <si>
    <t>As Sālimīyah</t>
  </si>
  <si>
    <t>Ar Rumaythīyah</t>
  </si>
  <si>
    <t>Al Aḩmadī</t>
  </si>
  <si>
    <t>Al Mahbūlah</t>
  </si>
  <si>
    <t>Al Jahrā’</t>
  </si>
  <si>
    <t>Al Jahrāʼ</t>
  </si>
  <si>
    <t>Al Faḩāḩīl</t>
  </si>
  <si>
    <t>Al Finţās</t>
  </si>
  <si>
    <t>Al Farwānīyah</t>
  </si>
  <si>
    <t>Salwá</t>
  </si>
  <si>
    <t>Ar Rābiyah</t>
  </si>
  <si>
    <t>Şabāḩ as Sālim</t>
  </si>
  <si>
    <t>Mubārak al Kabīr</t>
  </si>
  <si>
    <t>Mangghystaū</t>
  </si>
  <si>
    <t>Aqtöbe</t>
  </si>
  <si>
    <t>Atyraū</t>
  </si>
  <si>
    <t>Ongtüstik Qazaqstan</t>
  </si>
  <si>
    <t>Tasböget</t>
  </si>
  <si>
    <t>Shemonaīkha</t>
  </si>
  <si>
    <t>Shchūchīnsk</t>
  </si>
  <si>
    <t>Soltüstik Qazaqstan</t>
  </si>
  <si>
    <t>Makīnsk</t>
  </si>
  <si>
    <t>Georgīevka</t>
  </si>
  <si>
    <t>Shīeli</t>
  </si>
  <si>
    <t>Akkol’</t>
  </si>
  <si>
    <t>Savannakhét</t>
  </si>
  <si>
    <t>Savannahkhét</t>
  </si>
  <si>
    <t>Pakxé</t>
  </si>
  <si>
    <t>Oudômxai</t>
  </si>
  <si>
    <t>Muang Phônsavan</t>
  </si>
  <si>
    <t>Thakhèk</t>
  </si>
  <si>
    <t>Béqaa</t>
  </si>
  <si>
    <t>Ra’s Bayrūt</t>
  </si>
  <si>
    <t>Jbaïl</t>
  </si>
  <si>
    <t>Habboûch</t>
  </si>
  <si>
    <t>Nabatîyé</t>
  </si>
  <si>
    <t>En Nâqoûra</t>
  </si>
  <si>
    <t>Nabatîyé et Tahta</t>
  </si>
  <si>
    <t>Qacha’s Nek</t>
  </si>
  <si>
    <t>Qachaʼs Nek</t>
  </si>
  <si>
    <t>Mohale’s Hoek</t>
  </si>
  <si>
    <t>Mohaleʼs Hoek</t>
  </si>
  <si>
    <t>Telšių apskritis</t>
  </si>
  <si>
    <t>Tauragės apskritis</t>
  </si>
  <si>
    <t>Klaipėdos apskritis</t>
  </si>
  <si>
    <t>Šiauliai</t>
  </si>
  <si>
    <t>Šiaulių apskritis</t>
  </si>
  <si>
    <t>Rokiškis</t>
  </si>
  <si>
    <t>Panevėžys</t>
  </si>
  <si>
    <t>Fabijoniškės</t>
  </si>
  <si>
    <t>Marijampolė</t>
  </si>
  <si>
    <t>Marijampolės apskritis</t>
  </si>
  <si>
    <t>Klaipėda</t>
  </si>
  <si>
    <t>Kėdainiai</t>
  </si>
  <si>
    <t>Gargždai</t>
  </si>
  <si>
    <t>Šilainiai</t>
  </si>
  <si>
    <t>Pašilaičiai</t>
  </si>
  <si>
    <t>Pilaitė</t>
  </si>
  <si>
    <t>Justiniškės</t>
  </si>
  <si>
    <t>Šeškinė</t>
  </si>
  <si>
    <t>Vilkpėdė</t>
  </si>
  <si>
    <t>Vec-Liepāja</t>
  </si>
  <si>
    <t>Liepāja</t>
  </si>
  <si>
    <t>Rēzekne</t>
  </si>
  <si>
    <t>Jūrmala</t>
  </si>
  <si>
    <t>Jēkabpils</t>
  </si>
  <si>
    <t>Jēkabpils Municipality</t>
  </si>
  <si>
    <t>Cēsis</t>
  </si>
  <si>
    <t>Cēsu Rajons</t>
  </si>
  <si>
    <t>Sha‘bīyat al Buţnān</t>
  </si>
  <si>
    <t>Sulūq</t>
  </si>
  <si>
    <t>Banghāzī</t>
  </si>
  <si>
    <t>Az Zuwaytīnah</t>
  </si>
  <si>
    <t>Sha‘bīyat al Wāḩāt</t>
  </si>
  <si>
    <t>At Tāj</t>
  </si>
  <si>
    <t>Tūkrah</t>
  </si>
  <si>
    <t>Al Bayḑā’</t>
  </si>
  <si>
    <t>Al Jabal al Akhḑar</t>
  </si>
  <si>
    <t>Al Abyār</t>
  </si>
  <si>
    <t>Zuwārah</t>
  </si>
  <si>
    <t>An Nuqāţ al Khams</t>
  </si>
  <si>
    <t>Mişrātah</t>
  </si>
  <si>
    <t>Zalţan</t>
  </si>
  <si>
    <t>Sha‘bīyat al Jabal al Gharbī</t>
  </si>
  <si>
    <t>Waddān</t>
  </si>
  <si>
    <t>Şurmān</t>
  </si>
  <si>
    <t>Az Zāwiyah</t>
  </si>
  <si>
    <t>Şabrātah</t>
  </si>
  <si>
    <t>Sabhā</t>
  </si>
  <si>
    <t>Nālūt</t>
  </si>
  <si>
    <t>Sha‘bīyat Nālūt</t>
  </si>
  <si>
    <t>Masallātah</t>
  </si>
  <si>
    <t>Hūn</t>
  </si>
  <si>
    <t>Banī Walīd</t>
  </si>
  <si>
    <t>Az Zintān</t>
  </si>
  <si>
    <t>Az Zāwīyah</t>
  </si>
  <si>
    <t>Awbārī</t>
  </si>
  <si>
    <t>Sha‘bīyat Wādī al Ḩayāt</t>
  </si>
  <si>
    <t>Al Jadīd</t>
  </si>
  <si>
    <t>Zaïo</t>
  </si>
  <si>
    <t>Souss-Massa-Drâa</t>
  </si>
  <si>
    <t>Tirhanimîne</t>
  </si>
  <si>
    <t>Rabat-Salé-Zemmour-Zaër</t>
  </si>
  <si>
    <t>Tétouan</t>
  </si>
  <si>
    <t>Tanger-Tétouan</t>
  </si>
  <si>
    <t>Souq Larb’a al Gharb</t>
  </si>
  <si>
    <t>Fès-Boulemane</t>
  </si>
  <si>
    <t>Oulad Teïma</t>
  </si>
  <si>
    <t>Meknès-Tafilalet</t>
  </si>
  <si>
    <t>Meknès</t>
  </si>
  <si>
    <t>Imzoûrene</t>
  </si>
  <si>
    <t>Fès al Bali</t>
  </si>
  <si>
    <t>El Aïoun</t>
  </si>
  <si>
    <t>Al Hoceïma</t>
  </si>
  <si>
    <t>Edineţ</t>
  </si>
  <si>
    <t>Raionul Edineţ</t>
  </si>
  <si>
    <t>Stînga Nistrului</t>
  </si>
  <si>
    <t>Straşeni</t>
  </si>
  <si>
    <t>Strășeni</t>
  </si>
  <si>
    <t>Rîbniţa</t>
  </si>
  <si>
    <t>Hînceşti</t>
  </si>
  <si>
    <t>Căuşeni</t>
  </si>
  <si>
    <t>Floreşti</t>
  </si>
  <si>
    <t>Dubăsari</t>
  </si>
  <si>
    <t>Teleneşti</t>
  </si>
  <si>
    <t>Găgăuzia</t>
  </si>
  <si>
    <t>Chişinău</t>
  </si>
  <si>
    <t>Ceadîr-Lunga</t>
  </si>
  <si>
    <t>Bălţi</t>
  </si>
  <si>
    <t>Nikšić</t>
  </si>
  <si>
    <t>Opština Nikšić</t>
  </si>
  <si>
    <t>Желино</t>
  </si>
  <si>
    <t>Želino</t>
  </si>
  <si>
    <t>Теарце</t>
  </si>
  <si>
    <t>Студеничани</t>
  </si>
  <si>
    <t>Studeničani</t>
  </si>
  <si>
    <t>Štip</t>
  </si>
  <si>
    <t>Karpoš</t>
  </si>
  <si>
    <t>Сарај</t>
  </si>
  <si>
    <t>Ресен</t>
  </si>
  <si>
    <t>Радовиш</t>
  </si>
  <si>
    <t>Radoviš</t>
  </si>
  <si>
    <t>Неготино</t>
  </si>
  <si>
    <t>Vrapčište</t>
  </si>
  <si>
    <t>Липково</t>
  </si>
  <si>
    <t>Крива Паланка</t>
  </si>
  <si>
    <t>Kičevo</t>
  </si>
  <si>
    <t>Šuto Orizare</t>
  </si>
  <si>
    <t>Šuto Orizari</t>
  </si>
  <si>
    <t>Čair</t>
  </si>
  <si>
    <t>Centar Župa</t>
  </si>
  <si>
    <t>Ségou</t>
  </si>
  <si>
    <t>Djénné</t>
  </si>
  <si>
    <t>Ölgiy</t>
  </si>
  <si>
    <t>Bayan-Ölgiy</t>
  </si>
  <si>
    <t>Hövsgöl</t>
  </si>
  <si>
    <t>Middle Govĭ</t>
  </si>
  <si>
    <t>Dzüünharaa</t>
  </si>
  <si>
    <t>Зуунмод</t>
  </si>
  <si>
    <t>Petite Rivière Salée</t>
  </si>
  <si>
    <t>Le François</t>
  </si>
  <si>
    <t>La Trinité</t>
  </si>
  <si>
    <t>Tékane</t>
  </si>
  <si>
    <t>Sélibaby</t>
  </si>
  <si>
    <t>Nouâdhibou</t>
  </si>
  <si>
    <t>Néma</t>
  </si>
  <si>
    <t>Kaédi</t>
  </si>
  <si>
    <t>Żabbar</t>
  </si>
  <si>
    <t>Ħaż-Żabbar</t>
  </si>
  <si>
    <t>Mahébourg</t>
  </si>
  <si>
    <t>Bel Air Rivière Sèche</t>
  </si>
  <si>
    <t>Zumpango del Río</t>
  </si>
  <si>
    <t>Zacualtipán</t>
  </si>
  <si>
    <t>Zacatlán</t>
  </si>
  <si>
    <t>Xonacatlán</t>
  </si>
  <si>
    <t>Xicotepec de Juárez</t>
  </si>
  <si>
    <t>Álvaro Obregón</t>
  </si>
  <si>
    <t>Villa Cuauhtémoc Otzolotepec</t>
  </si>
  <si>
    <t>Yucatán</t>
  </si>
  <si>
    <t>Tuxtla Gutiérrez</t>
  </si>
  <si>
    <t>Tuxpan de Rodríguez Cano</t>
  </si>
  <si>
    <t>Tultitlán</t>
  </si>
  <si>
    <t>Tizimín</t>
  </si>
  <si>
    <t>Santiago Tíanguistenco</t>
  </si>
  <si>
    <t>Querétaro</t>
  </si>
  <si>
    <t>Cuautitlán Izcalli</t>
  </si>
  <si>
    <t>Tepoztlán</t>
  </si>
  <si>
    <t>Tepotzotlán</t>
  </si>
  <si>
    <t>Tenosique de Pino Suárez</t>
  </si>
  <si>
    <t>Tehuacán</t>
  </si>
  <si>
    <t>Taxco de Alarcón</t>
  </si>
  <si>
    <t>San Luis Potosí</t>
  </si>
  <si>
    <t>Santa María Chimalhuacán</t>
  </si>
  <si>
    <t>Santa Cruz Xoxocotlán</t>
  </si>
  <si>
    <t>Coatlinchán</t>
  </si>
  <si>
    <t>Teotihuacán de Arista</t>
  </si>
  <si>
    <t>San Juan del Río</t>
  </si>
  <si>
    <t>San Cristóbal de las Casas</t>
  </si>
  <si>
    <t>Río Verde</t>
  </si>
  <si>
    <t>Río Bravo</t>
  </si>
  <si>
    <t>Río Blanco</t>
  </si>
  <si>
    <t>Pánuco</t>
  </si>
  <si>
    <t>Palmarito Tochapán</t>
  </si>
  <si>
    <t>Oaxaca de Juárez</t>
  </si>
  <si>
    <t>Nicolás Romero</t>
  </si>
  <si>
    <t>Naucalpan de Juárez</t>
  </si>
  <si>
    <t>Nuevo León</t>
  </si>
  <si>
    <t>Miahuatlán de Porfirio Díaz</t>
  </si>
  <si>
    <t>Matías Romero</t>
  </si>
  <si>
    <t>Martínez de la Torre</t>
  </si>
  <si>
    <t>Kanasín</t>
  </si>
  <si>
    <t>Juchitán de Zaragoza</t>
  </si>
  <si>
    <t>Jalpa de Méndez</t>
  </si>
  <si>
    <t>Xalapa de Enríquez</t>
  </si>
  <si>
    <t>Izúcar de Matamoros</t>
  </si>
  <si>
    <t>San Jerónimo Ixtepec</t>
  </si>
  <si>
    <t>Ixtac Zoquitlán</t>
  </si>
  <si>
    <t>Hunucmá</t>
  </si>
  <si>
    <t>Ciudad de Huajuapan de León</t>
  </si>
  <si>
    <t>Fortín de las Flores</t>
  </si>
  <si>
    <t>Escárcega</t>
  </si>
  <si>
    <t>Cunduacán</t>
  </si>
  <si>
    <t>Cuautitlán</t>
  </si>
  <si>
    <t>Coyoacán</t>
  </si>
  <si>
    <t>Comitán</t>
  </si>
  <si>
    <t>Ciudad Serdán</t>
  </si>
  <si>
    <t>Ciudad Miguel Alemán</t>
  </si>
  <si>
    <t>Ciudad Fernández</t>
  </si>
  <si>
    <t>Chichén-Itzá</t>
  </si>
  <si>
    <t>Champotón</t>
  </si>
  <si>
    <t>Chalco de Díaz Covarrubias</t>
  </si>
  <si>
    <t>Cancún</t>
  </si>
  <si>
    <t>Berriozábal</t>
  </si>
  <si>
    <t>Ciudad López Mateos</t>
  </si>
  <si>
    <t>Álamo</t>
  </si>
  <si>
    <t>Acatlán de Osorio</t>
  </si>
  <si>
    <t>Acapulco de Juárez</t>
  </si>
  <si>
    <t>Río de Teapa</t>
  </si>
  <si>
    <t>Tonalá</t>
  </si>
  <si>
    <t>San Andrés Cholula</t>
  </si>
  <si>
    <t>Santa María Totoltepec</t>
  </si>
  <si>
    <t>Cuauhtémoc</t>
  </si>
  <si>
    <t>Miguel Alemán (La Doce)</t>
  </si>
  <si>
    <t>Cihuatlán</t>
  </si>
  <si>
    <t>Michoacán</t>
  </si>
  <si>
    <t>Zacapú</t>
  </si>
  <si>
    <t>Yurécuaro</t>
  </si>
  <si>
    <t>Villagrán</t>
  </si>
  <si>
    <t>García</t>
  </si>
  <si>
    <t>Ciudad de Villa de Álvarez</t>
  </si>
  <si>
    <t>Tlajomulco de Zúñiga</t>
  </si>
  <si>
    <t>Tesistán</t>
  </si>
  <si>
    <t>Tepatitlán de Morelos</t>
  </si>
  <si>
    <t>Tangancícuaro de Arista</t>
  </si>
  <si>
    <t>Tacámbaro de Codallos</t>
  </si>
  <si>
    <t>Soledad Díez Gutiérrez</t>
  </si>
  <si>
    <t>San Sebastián el Grande</t>
  </si>
  <si>
    <t>San Nicolás de los Garza</t>
  </si>
  <si>
    <t>San Luis Río Colorado</t>
  </si>
  <si>
    <t>San José del Cabo</t>
  </si>
  <si>
    <t>San Francisco del Rincón</t>
  </si>
  <si>
    <t>Nicolás R Casillas</t>
  </si>
  <si>
    <t>Rincón de Romos</t>
  </si>
  <si>
    <t>Santiago de Querétaro</t>
  </si>
  <si>
    <t>Puruándiro</t>
  </si>
  <si>
    <t>Puerto Peñasco</t>
  </si>
  <si>
    <t>Petatlán</t>
  </si>
  <si>
    <t>Pénjamo</t>
  </si>
  <si>
    <t>Pátzcuaro</t>
  </si>
  <si>
    <t>Ocotlán</t>
  </si>
  <si>
    <t>Nuevo México</t>
  </si>
  <si>
    <t>Nochistlán</t>
  </si>
  <si>
    <t>Moroleón</t>
  </si>
  <si>
    <t>Melchor Múzquiz</t>
  </si>
  <si>
    <t>Mazatlán</t>
  </si>
  <si>
    <t>Maravatío</t>
  </si>
  <si>
    <t>Rodolfo Sánchez Taboada</t>
  </si>
  <si>
    <t>Jiquílpan de Juárez</t>
  </si>
  <si>
    <t>Jiménez</t>
  </si>
  <si>
    <t>Jerez de García Salinas</t>
  </si>
  <si>
    <t>Jalostotitlán</t>
  </si>
  <si>
    <t>Ixtlán del Río</t>
  </si>
  <si>
    <t>Huetamo de Núñez</t>
  </si>
  <si>
    <t>Heróica Zitácuaro</t>
  </si>
  <si>
    <t>Guamúchil</t>
  </si>
  <si>
    <t>Garza García</t>
  </si>
  <si>
    <t>Encarnación de Díaz</t>
  </si>
  <si>
    <t>Culiacán</t>
  </si>
  <si>
    <t>Ciudad Obregón</t>
  </si>
  <si>
    <t>Ciudad Juárez</t>
  </si>
  <si>
    <t>Ciudad Guzmán</t>
  </si>
  <si>
    <t>Ciudad Constitución</t>
  </si>
  <si>
    <t>Ciudad Anáhuac</t>
  </si>
  <si>
    <t>Ciudad Acuña</t>
  </si>
  <si>
    <t>Castaños</t>
  </si>
  <si>
    <t>Villa Juárez</t>
  </si>
  <si>
    <t>Víctor Rosales</t>
  </si>
  <si>
    <t>Autlán de Navarro</t>
  </si>
  <si>
    <t>Atoyac de Álvarez</t>
  </si>
  <si>
    <t>Apatzingán</t>
  </si>
  <si>
    <t>Acámbaro</t>
  </si>
  <si>
    <t>Anáhuac</t>
  </si>
  <si>
    <t>Ciudad Lázaro Cárdenas</t>
  </si>
  <si>
    <t>Soledad de Graciano Sánchez</t>
  </si>
  <si>
    <t>San Jerónimo Cuatro Vientos</t>
  </si>
  <si>
    <t>San Martín Azcatepec</t>
  </si>
  <si>
    <t>Pórticos de San Antonio</t>
  </si>
  <si>
    <t>San Antonio Tecómitl</t>
  </si>
  <si>
    <t>Licenciado Benito Juárez (Campo Gobierno)</t>
  </si>
  <si>
    <t>Jesús del Monte</t>
  </si>
  <si>
    <t>Villa del Prado 2da Sección</t>
  </si>
  <si>
    <t>Ampliación San Mateo (Colonia Solidaridad)</t>
  </si>
  <si>
    <t>Tecámac de Felipe Villanueva</t>
  </si>
  <si>
    <t>Zambézia</t>
  </si>
  <si>
    <t>Mocímboa</t>
  </si>
  <si>
    <t>Ilha de Moçambique</t>
  </si>
  <si>
    <t>António Enes</t>
  </si>
  <si>
    <t>Mutuáli</t>
  </si>
  <si>
    <t>Lüderitz</t>
  </si>
  <si>
    <t>Nouméa</t>
  </si>
  <si>
    <t>Dumbéa</t>
  </si>
  <si>
    <t>Tillabéri</t>
  </si>
  <si>
    <t>Téra</t>
  </si>
  <si>
    <t>Illéla</t>
  </si>
  <si>
    <t>Atlántico Norte (RAAN)</t>
  </si>
  <si>
    <t>Atlántico Sur</t>
  </si>
  <si>
    <t>Estelí</t>
  </si>
  <si>
    <t>s-Hertogenbosch</t>
  </si>
  <si>
    <t>s-Gravenzande</t>
  </si>
  <si>
    <t>Sør-Trøndelag</t>
  </si>
  <si>
    <t>Tromsø</t>
  </si>
  <si>
    <t>Tønsberg</t>
  </si>
  <si>
    <t>Nord-Trøndelag</t>
  </si>
  <si>
    <t>Østfold</t>
  </si>
  <si>
    <t>Møre og Romsdal</t>
  </si>
  <si>
    <t>Gjøvik</t>
  </si>
  <si>
    <t>Bodø</t>
  </si>
  <si>
    <t>Ålesund</t>
  </si>
  <si>
    <t>Askøy</t>
  </si>
  <si>
    <t>Wāling</t>
  </si>
  <si>
    <t>Tīkāpur</t>
  </si>
  <si>
    <t>Tānsen</t>
  </si>
  <si>
    <t>Sirāhā</t>
  </si>
  <si>
    <t>Rājbirāj</t>
  </si>
  <si>
    <t>Panauti̇̄</t>
  </si>
  <si>
    <t>Lahān</t>
  </si>
  <si>
    <t>Khāndbāri</t>
  </si>
  <si>
    <t>Ilām</t>
  </si>
  <si>
    <t>Gulariyā</t>
  </si>
  <si>
    <t>Dharān Bāzār</t>
  </si>
  <si>
    <t>Dhankutā</t>
  </si>
  <si>
    <t>Dārchulā</t>
  </si>
  <si>
    <t>Dadeldhurā</t>
  </si>
  <si>
    <t>Butwāl</t>
  </si>
  <si>
    <t>Bīrganj</t>
  </si>
  <si>
    <t>Birātnagar</t>
  </si>
  <si>
    <t>Bhairāhawā</t>
  </si>
  <si>
    <t>Banepā</t>
  </si>
  <si>
    <t>Bāglung</t>
  </si>
  <si>
    <t>Sufālat Samā’il</t>
  </si>
  <si>
    <t>Muḩāfaz̧at ad Dākhilīyah</t>
  </si>
  <si>
    <t>Shināş</t>
  </si>
  <si>
    <t>Şalālah</t>
  </si>
  <si>
    <t>Z̧ufār</t>
  </si>
  <si>
    <t>Şaḩam</t>
  </si>
  <si>
    <t>Nizwá</t>
  </si>
  <si>
    <t>Muḩāfaz̧at Masqaţ</t>
  </si>
  <si>
    <t>Izkī</t>
  </si>
  <si>
    <t>‘Ibrī</t>
  </si>
  <si>
    <t>Az̧ Z̧āhirah</t>
  </si>
  <si>
    <t>Ibrā’</t>
  </si>
  <si>
    <t>Barkā’</t>
  </si>
  <si>
    <t>Bahlā’</t>
  </si>
  <si>
    <t>Badīyah</t>
  </si>
  <si>
    <t>Al Liwā’</t>
  </si>
  <si>
    <t>Al Khābūrah</t>
  </si>
  <si>
    <t>Al Buraymī</t>
  </si>
  <si>
    <t>Ādam</t>
  </si>
  <si>
    <t>Chiriquí</t>
  </si>
  <si>
    <t>Nuevo Arraiján</t>
  </si>
  <si>
    <t>La Concepción</t>
  </si>
  <si>
    <t>Chitré</t>
  </si>
  <si>
    <t>Cativá</t>
  </si>
  <si>
    <t>Arraiján</t>
  </si>
  <si>
    <t>Alcalde Díaz</t>
  </si>
  <si>
    <t>Virú</t>
  </si>
  <si>
    <t>Tingo María</t>
  </si>
  <si>
    <t>Saña</t>
  </si>
  <si>
    <t>Paiján</t>
  </si>
  <si>
    <t>Monsefú</t>
  </si>
  <si>
    <t>Juanjuí</t>
  </si>
  <si>
    <t>Huánuco</t>
  </si>
  <si>
    <t>Ferreñafe</t>
  </si>
  <si>
    <t>Chepén</t>
  </si>
  <si>
    <t>San Vicente de Cañete</t>
  </si>
  <si>
    <t>Îles du Vent</t>
  </si>
  <si>
    <t>Peñaranda</t>
  </si>
  <si>
    <t>Pagaluñgan</t>
  </si>
  <si>
    <t>Muñoz</t>
  </si>
  <si>
    <t>Mendez-Nuñez</t>
  </si>
  <si>
    <t>Maluñgun</t>
  </si>
  <si>
    <t>Los Baños</t>
  </si>
  <si>
    <t>Jose Pañganiban</t>
  </si>
  <si>
    <t>Guihulñgan</t>
  </si>
  <si>
    <t>Dasmariñas</t>
  </si>
  <si>
    <t>Bañga</t>
  </si>
  <si>
    <t>Chuhar Jamāli</t>
  </si>
  <si>
    <t>Rāwala Kot</t>
  </si>
  <si>
    <t>Pīr jo Goth</t>
  </si>
  <si>
    <t>Balochistān</t>
  </si>
  <si>
    <t>Zāhir Pīr</t>
  </si>
  <si>
    <t>Zafarwāl</t>
  </si>
  <si>
    <t>Wazīrābād</t>
  </si>
  <si>
    <t>Wārāh</t>
  </si>
  <si>
    <t>Vihāri</t>
  </si>
  <si>
    <t>Utmānzai</t>
  </si>
  <si>
    <t>Thāru Shāh</t>
  </si>
  <si>
    <t>Tānk</t>
  </si>
  <si>
    <t>Tando Muhammad Khān</t>
  </si>
  <si>
    <t>Tando Jām</t>
  </si>
  <si>
    <t>Tando Allāhyār</t>
  </si>
  <si>
    <t>Tando Ādam</t>
  </si>
  <si>
    <t>Tāndliānwāla</t>
  </si>
  <si>
    <t>Talhār</t>
  </si>
  <si>
    <t>Tāl</t>
  </si>
  <si>
    <t>Swābi</t>
  </si>
  <si>
    <t>Sīta Road</t>
  </si>
  <si>
    <t>Sillānwāli</t>
  </si>
  <si>
    <t>Shujāābād</t>
  </si>
  <si>
    <t>Shahr Sultān</t>
  </si>
  <si>
    <t>Shāhpur Chākar</t>
  </si>
  <si>
    <t>Shāhdādpur</t>
  </si>
  <si>
    <t>Shāhdādkot</t>
  </si>
  <si>
    <t>Sehwān</t>
  </si>
  <si>
    <t>Sarāi Sidhu</t>
  </si>
  <si>
    <t>Sarāi Naurang</t>
  </si>
  <si>
    <t>Sarāi Ālamgīr</t>
  </si>
  <si>
    <t>Sānghar</t>
  </si>
  <si>
    <t>Sambriāl</t>
  </si>
  <si>
    <t>Sāhīwāl</t>
  </si>
  <si>
    <t>Sādiqābād</t>
  </si>
  <si>
    <t>Renāla Khurd</t>
  </si>
  <si>
    <t>Rājanpur</t>
  </si>
  <si>
    <t>Rāja Jang</t>
  </si>
  <si>
    <t>Rāiwind</t>
  </si>
  <si>
    <t>Rādhan</t>
  </si>
  <si>
    <t>Rabwāh</t>
  </si>
  <si>
    <t>Qādirpur Rān</t>
  </si>
  <si>
    <t>Pīr Mahal</t>
  </si>
  <si>
    <t>Pindi Bhattiān</t>
  </si>
  <si>
    <t>Pind Dādan Khān</t>
  </si>
  <si>
    <t>Phālia</t>
  </si>
  <si>
    <t>Pasrūr</t>
  </si>
  <si>
    <t>Pāno Āqil</t>
  </si>
  <si>
    <t>Pākpattan</t>
  </si>
  <si>
    <t>Pahārpur</t>
  </si>
  <si>
    <t>Pad Īdan</t>
  </si>
  <si>
    <t>Okāra</t>
  </si>
  <si>
    <t>Nawābshāh</t>
  </si>
  <si>
    <t>Naushahro Fīroz</t>
  </si>
  <si>
    <t>Naushahra Virkān</t>
  </si>
  <si>
    <t>Nārowāl</t>
  </si>
  <si>
    <t>Nārang</t>
  </si>
  <si>
    <t>Nankāna Sāhib</t>
  </si>
  <si>
    <t>Muzaffarābād</t>
  </si>
  <si>
    <t>Mustafābād</t>
  </si>
  <si>
    <t>Murīdke</t>
  </si>
  <si>
    <t>Multān</t>
  </si>
  <si>
    <t>Mitha Tiwāna</t>
  </si>
  <si>
    <t>Mīrpur Māthelo</t>
  </si>
  <si>
    <t>Minchinābād</t>
  </si>
  <si>
    <t>Miānwāli</t>
  </si>
  <si>
    <t>Miān Channūn</t>
  </si>
  <si>
    <t>Mehrābpur</t>
  </si>
  <si>
    <t>Mātli</t>
  </si>
  <si>
    <t>Matiāri</t>
  </si>
  <si>
    <t>Mānsehra</t>
  </si>
  <si>
    <t>Mandi Bahāuddīn</t>
  </si>
  <si>
    <t>Mānānwāla</t>
  </si>
  <si>
    <t>Māmu Kānjan</t>
  </si>
  <si>
    <t>Malakwāl</t>
  </si>
  <si>
    <t>Lodhrān</t>
  </si>
  <si>
    <t>Lārkāna</t>
  </si>
  <si>
    <t>Lāliān</t>
  </si>
  <si>
    <t>Lāla Mūsa</t>
  </si>
  <si>
    <t>Ladhewāla Warāich</t>
  </si>
  <si>
    <t>Lāchi</t>
  </si>
  <si>
    <t>Kunjāh</t>
  </si>
  <si>
    <t>Kundiān</t>
  </si>
  <si>
    <t>Kulāchi</t>
  </si>
  <si>
    <t>Kot Samāba</t>
  </si>
  <si>
    <t>Kot Rādha Kishan</t>
  </si>
  <si>
    <t>Kot Mūmin</t>
  </si>
  <si>
    <t>Kotli Lohārān</t>
  </si>
  <si>
    <t>Kot Ghulām Muhammad</t>
  </si>
  <si>
    <t>Kohāt</t>
  </si>
  <si>
    <t>Khushāb</t>
  </si>
  <si>
    <t>Khurriānwāla</t>
  </si>
  <si>
    <t>Khāriān</t>
  </si>
  <si>
    <t>Khārān</t>
  </si>
  <si>
    <t>Khānpur</t>
  </si>
  <si>
    <t>Khāngarh</t>
  </si>
  <si>
    <t>Khāngāh Dogrān</t>
  </si>
  <si>
    <t>Khalābat</t>
  </si>
  <si>
    <t>Khairpur Nathan Shāh</t>
  </si>
  <si>
    <t>Kasūr</t>
  </si>
  <si>
    <t>Kandiāro</t>
  </si>
  <si>
    <t>Kāmra</t>
  </si>
  <si>
    <t>Kamīr</t>
  </si>
  <si>
    <t>Kamar Mushāni</t>
  </si>
  <si>
    <t>Kamālia</t>
  </si>
  <si>
    <t>Kalūr Kot</t>
  </si>
  <si>
    <t>Kallar Kahār</t>
  </si>
  <si>
    <t>Kāleke Mandi</t>
  </si>
  <si>
    <t>Kalāt</t>
  </si>
  <si>
    <t>Kālābāgh</t>
  </si>
  <si>
    <t>Kahūta</t>
  </si>
  <si>
    <t>Kāhna</t>
  </si>
  <si>
    <t>Kabīrwāla</t>
  </si>
  <si>
    <t>Jīwani</t>
  </si>
  <si>
    <t>Jhawāriān</t>
  </si>
  <si>
    <t>Jauharābād</t>
  </si>
  <si>
    <t>Jatoi Shimāli</t>
  </si>
  <si>
    <t>Jarānwāla</t>
  </si>
  <si>
    <t>Jāmpur</t>
  </si>
  <si>
    <t>Jalālpur Pīrwāla</t>
  </si>
  <si>
    <t>Jahāniān Shāh</t>
  </si>
  <si>
    <t>Jacobābād</t>
  </si>
  <si>
    <t>Haveliān</t>
  </si>
  <si>
    <t>Hāsilpur</t>
  </si>
  <si>
    <t>Hasan Abdāl</t>
  </si>
  <si>
    <t>Harīpur</t>
  </si>
  <si>
    <t>Hāla</t>
  </si>
  <si>
    <t>Hāfizābād</t>
  </si>
  <si>
    <t>Hadāli</t>
  </si>
  <si>
    <t>Gujrāt</t>
  </si>
  <si>
    <t>Gujrānwāla</t>
  </si>
  <si>
    <t>Gūjar Khān</t>
  </si>
  <si>
    <t>Ghāro</t>
  </si>
  <si>
    <t>Garh Mahārāja</t>
  </si>
  <si>
    <t>Fort Abbās</t>
  </si>
  <si>
    <t>Faqīrwāli</t>
  </si>
  <si>
    <t>Faisalābād</t>
  </si>
  <si>
    <t>Eminābād</t>
  </si>
  <si>
    <t>Dunyāpur</t>
  </si>
  <si>
    <t>Dullewāla</t>
  </si>
  <si>
    <t>Dīr</t>
  </si>
  <si>
    <t>Dīpālpur</t>
  </si>
  <si>
    <t>Dera Ismāīl Khān</t>
  </si>
  <si>
    <t>Dāūd Khel</t>
  </si>
  <si>
    <t>Darya Khān</t>
  </si>
  <si>
    <t>Dājal</t>
  </si>
  <si>
    <t>Dādhar</t>
  </si>
  <si>
    <t>Chūniān</t>
  </si>
  <si>
    <t>Chūhar Kāna</t>
  </si>
  <si>
    <t>Choa Saidān Shāh</t>
  </si>
  <si>
    <t>Chishtiān Mandi</t>
  </si>
  <si>
    <t>Chīchāwatni</t>
  </si>
  <si>
    <t>Chakwāl</t>
  </si>
  <si>
    <t>Chak Āzam Saffo</t>
  </si>
  <si>
    <t>Būrewāla</t>
  </si>
  <si>
    <t>Bhopālwāla</t>
  </si>
  <si>
    <t>Bhit Shāh</t>
  </si>
  <si>
    <t>Bhawāna</t>
  </si>
  <si>
    <t>Bhān</t>
  </si>
  <si>
    <t>Bhalwāl</t>
  </si>
  <si>
    <t>Bhāi Pheru</t>
  </si>
  <si>
    <t>Basīrpur</t>
  </si>
  <si>
    <t>Bahāwalpur</t>
  </si>
  <si>
    <t>Bahāwalnagar</t>
  </si>
  <si>
    <t>Badīn</t>
  </si>
  <si>
    <t>Ārifwāla</t>
  </si>
  <si>
    <t>Abbottābād</t>
  </si>
  <si>
    <t>Ahmadpur Siāl</t>
  </si>
  <si>
    <t>New Bādāh</t>
  </si>
  <si>
    <t>Tando Ghulām Ali</t>
  </si>
  <si>
    <t>Sethārja Old</t>
  </si>
  <si>
    <t>Risālpur</t>
  </si>
  <si>
    <t>Żyrardów</t>
  </si>
  <si>
    <t>Żoliborz</t>
  </si>
  <si>
    <t>Zamość</t>
  </si>
  <si>
    <t>Zambrów</t>
  </si>
  <si>
    <t>Ząbki</t>
  </si>
  <si>
    <t>Wyszków</t>
  </si>
  <si>
    <t>Wołomin</t>
  </si>
  <si>
    <t>Włochy</t>
  </si>
  <si>
    <t>Wesoła</t>
  </si>
  <si>
    <t>Tomaszów Mazowiecki</t>
  </si>
  <si>
    <t>Łódź Voivodeship</t>
  </si>
  <si>
    <t>Tomaszów Lubelski</t>
  </si>
  <si>
    <t>Tarnów</t>
  </si>
  <si>
    <t>Targówek</t>
  </si>
  <si>
    <t>Świdnik</t>
  </si>
  <si>
    <t>Suwałki</t>
  </si>
  <si>
    <t>Sulejówek</t>
  </si>
  <si>
    <t>Staszów</t>
  </si>
  <si>
    <t>Świętokrzyskie</t>
  </si>
  <si>
    <t>Śródmieście</t>
  </si>
  <si>
    <t>Sokołów Podlaski</t>
  </si>
  <si>
    <t>Sokółka</t>
  </si>
  <si>
    <t>Skarżysko-Kamienna</t>
  </si>
  <si>
    <t>Rzeszów</t>
  </si>
  <si>
    <t>Rembertów</t>
  </si>
  <si>
    <t>Radzyń Podlaski</t>
  </si>
  <si>
    <t>Pułtusk</t>
  </si>
  <si>
    <t>Puławy</t>
  </si>
  <si>
    <t>Przemyśl</t>
  </si>
  <si>
    <t>Pruszków</t>
  </si>
  <si>
    <t>Płońsk</t>
  </si>
  <si>
    <t>Piastów</t>
  </si>
  <si>
    <t>Ostrów Mazowiecka</t>
  </si>
  <si>
    <t>Ostrowiec Świętokrzyski</t>
  </si>
  <si>
    <t>Ostrołęka</t>
  </si>
  <si>
    <t>Nowy Sącz</t>
  </si>
  <si>
    <t>Nowy Dwór Mazowiecki</t>
  </si>
  <si>
    <t>Mrągowo</t>
  </si>
  <si>
    <t>Mokotów</t>
  </si>
  <si>
    <t>Mława</t>
  </si>
  <si>
    <t>Mińsk Mazowiecki</t>
  </si>
  <si>
    <t>Milanówek</t>
  </si>
  <si>
    <t>Międzyrzec Podlaski</t>
  </si>
  <si>
    <t>Łuków</t>
  </si>
  <si>
    <t>Lubartów</t>
  </si>
  <si>
    <t>Łomża</t>
  </si>
  <si>
    <t>Łomianki</t>
  </si>
  <si>
    <t>Lidzbark Warmiński</t>
  </si>
  <si>
    <t>Łęczna</t>
  </si>
  <si>
    <t>Łapy</t>
  </si>
  <si>
    <t>Łańcut</t>
  </si>
  <si>
    <t>Kraśnik</t>
  </si>
  <si>
    <t>Końskie</t>
  </si>
  <si>
    <t>Kobyłka</t>
  </si>
  <si>
    <t>Kętrzyn</t>
  </si>
  <si>
    <t>Józefów</t>
  </si>
  <si>
    <t>Jędrzejów</t>
  </si>
  <si>
    <t>Jasło</t>
  </si>
  <si>
    <t>Jarosław</t>
  </si>
  <si>
    <t>Hrubieszów</t>
  </si>
  <si>
    <t>Hajnówka</t>
  </si>
  <si>
    <t>Giżycko</t>
  </si>
  <si>
    <t>Gierłoż</t>
  </si>
  <si>
    <t>Ełk</t>
  </si>
  <si>
    <t>Działdowo</t>
  </si>
  <si>
    <t>Dęblin</t>
  </si>
  <si>
    <t>Dębica</t>
  </si>
  <si>
    <t>Ciechanów</t>
  </si>
  <si>
    <t>Chełm</t>
  </si>
  <si>
    <t>Busko-Zdrój</t>
  </si>
  <si>
    <t>Biłgoraj</t>
  </si>
  <si>
    <t>Białystok</t>
  </si>
  <si>
    <t>Białołeka</t>
  </si>
  <si>
    <t>Biała Podlaska</t>
  </si>
  <si>
    <t>Augustów</t>
  </si>
  <si>
    <t>Żywiec</t>
  </si>
  <si>
    <t>Żory</t>
  </si>
  <si>
    <t>Złotów</t>
  </si>
  <si>
    <t>Złotoryja</t>
  </si>
  <si>
    <t>Zielona Góra</t>
  </si>
  <si>
    <t>Zduńska Wola</t>
  </si>
  <si>
    <t>Żary</t>
  </si>
  <si>
    <t>Żagań</t>
  </si>
  <si>
    <t>Ząbkowice Śląskie</t>
  </si>
  <si>
    <t>Września</t>
  </si>
  <si>
    <t>Wrocław</t>
  </si>
  <si>
    <t>Wodzisław Śląski</t>
  </si>
  <si>
    <t>Włocławek</t>
  </si>
  <si>
    <t>Wieluń</t>
  </si>
  <si>
    <t>Wałcz</t>
  </si>
  <si>
    <t>Wałbrzych</t>
  </si>
  <si>
    <t>Wągrowiec</t>
  </si>
  <si>
    <t>Ustroń</t>
  </si>
  <si>
    <t>Toruń</t>
  </si>
  <si>
    <t>Tarnowskie Góry</t>
  </si>
  <si>
    <t>Szamotuły</t>
  </si>
  <si>
    <t>Świnoujście</t>
  </si>
  <si>
    <t>Świętochłowice</t>
  </si>
  <si>
    <t>Świebodzin</t>
  </si>
  <si>
    <t>Świecie</t>
  </si>
  <si>
    <t>Świebodzice</t>
  </si>
  <si>
    <t>Świdwin</t>
  </si>
  <si>
    <t>Świdnica</t>
  </si>
  <si>
    <t>Swarzędz</t>
  </si>
  <si>
    <t>Sulechów</t>
  </si>
  <si>
    <t>Starogard Gdański</t>
  </si>
  <si>
    <t>Stargard Szczeciński</t>
  </si>
  <si>
    <t>Środa Wielkopolska</t>
  </si>
  <si>
    <t>Śrem</t>
  </si>
  <si>
    <t>Słupsk</t>
  </si>
  <si>
    <t>Słubice</t>
  </si>
  <si>
    <t>Siemianowice Śląskie</t>
  </si>
  <si>
    <t>Rydułtowy</t>
  </si>
  <si>
    <t>Ruda Śląska</t>
  </si>
  <si>
    <t>Radzionków</t>
  </si>
  <si>
    <t>Racibórz</t>
  </si>
  <si>
    <t>Pruszcz Gdański</t>
  </si>
  <si>
    <t>Poznań</t>
  </si>
  <si>
    <t>Płock</t>
  </si>
  <si>
    <t>Piotrków Trybunalski</t>
  </si>
  <si>
    <t>Piła</t>
  </si>
  <si>
    <t>Piekary Śląskie</t>
  </si>
  <si>
    <t>Ozorków</t>
  </si>
  <si>
    <t>Oświęcim</t>
  </si>
  <si>
    <t>Ostrów Wielkopolski</t>
  </si>
  <si>
    <t>Ostróda</t>
  </si>
  <si>
    <t>Oleśnica</t>
  </si>
  <si>
    <t>Oława</t>
  </si>
  <si>
    <t>Nowy Tomyśl</t>
  </si>
  <si>
    <t>Nowa Sól</t>
  </si>
  <si>
    <t>Namysłów</t>
  </si>
  <si>
    <t>Nakło nad Notecią</t>
  </si>
  <si>
    <t>Myszków</t>
  </si>
  <si>
    <t>Mysłowice</t>
  </si>
  <si>
    <t>Myślenice</t>
  </si>
  <si>
    <t>Mikołów</t>
  </si>
  <si>
    <t>Międzyrzecz</t>
  </si>
  <si>
    <t>Luboń</t>
  </si>
  <si>
    <t>Lubań</t>
  </si>
  <si>
    <t>Łowicz</t>
  </si>
  <si>
    <t>Łódź</t>
  </si>
  <si>
    <t>Libiąż</t>
  </si>
  <si>
    <t>Lędziny</t>
  </si>
  <si>
    <t>Łęczyca</t>
  </si>
  <si>
    <t>Lębork</t>
  </si>
  <si>
    <t>Łaziska Górne</t>
  </si>
  <si>
    <t>Łask</t>
  </si>
  <si>
    <t>Kraków</t>
  </si>
  <si>
    <t>Kostrzyn nad Odrą</t>
  </si>
  <si>
    <t>Kościerzyna</t>
  </si>
  <si>
    <t>Kościan</t>
  </si>
  <si>
    <t>Konstantynów Łódzki</t>
  </si>
  <si>
    <t>Kołobrzeg</t>
  </si>
  <si>
    <t>Koło</t>
  </si>
  <si>
    <t>Knurów</t>
  </si>
  <si>
    <t>Kłodzko</t>
  </si>
  <si>
    <t>Kęty</t>
  </si>
  <si>
    <t>Kędzierzyn-Koźle</t>
  </si>
  <si>
    <t>Kamienna Góra</t>
  </si>
  <si>
    <t>Jelenia Góra</t>
  </si>
  <si>
    <t>Jastrzębie Zdrój</t>
  </si>
  <si>
    <t>Inowrocław</t>
  </si>
  <si>
    <t>Iława</t>
  </si>
  <si>
    <t>Grudziądz</t>
  </si>
  <si>
    <t>Gostyń</t>
  </si>
  <si>
    <t>Gorzów Wielkopolski</t>
  </si>
  <si>
    <t>Goleniów</t>
  </si>
  <si>
    <t>Głuchołazy</t>
  </si>
  <si>
    <t>Głowno</t>
  </si>
  <si>
    <t>Głogów</t>
  </si>
  <si>
    <t>Gdańsk</t>
  </si>
  <si>
    <t>Elbląg</t>
  </si>
  <si>
    <t>Dzierżoniów</t>
  </si>
  <si>
    <t>Dąbrowa Górnicza</t>
  </si>
  <si>
    <t>Częstochowa</t>
  </si>
  <si>
    <t>Czeladź</t>
  </si>
  <si>
    <t>Chrzanów</t>
  </si>
  <si>
    <t>Chorzów</t>
  </si>
  <si>
    <t>Chodzież</t>
  </si>
  <si>
    <t>Chełmża</t>
  </si>
  <si>
    <t>Chełmno</t>
  </si>
  <si>
    <t>Bytów</t>
  </si>
  <si>
    <t>Bolesławiec</t>
  </si>
  <si>
    <t>Boguszów-Gorce</t>
  </si>
  <si>
    <t>Bieruń</t>
  </si>
  <si>
    <t>Białogard</t>
  </si>
  <si>
    <t>Bełchatów</t>
  </si>
  <si>
    <t>Będzin</t>
  </si>
  <si>
    <t>Andrychów</t>
  </si>
  <si>
    <t>Aleksandrów Łódzki</t>
  </si>
  <si>
    <t>Ursynów</t>
  </si>
  <si>
    <t>Praga Północ</t>
  </si>
  <si>
    <t>Praga Południe</t>
  </si>
  <si>
    <t>Bayamón</t>
  </si>
  <si>
    <t>Cataño</t>
  </si>
  <si>
    <t>Manatí</t>
  </si>
  <si>
    <t>Mayagüez</t>
  </si>
  <si>
    <t>Rafaḩ</t>
  </si>
  <si>
    <t>An Nuşayrāt</t>
  </si>
  <si>
    <t>Khān Yūnis</t>
  </si>
  <si>
    <t>Jabālyā</t>
  </si>
  <si>
    <t>Dayr al Balaḩ</t>
  </si>
  <si>
    <t>Bayt Lāhyā</t>
  </si>
  <si>
    <t>Bayt Ḩānūn</t>
  </si>
  <si>
    <t>Banī Suhaylā</t>
  </si>
  <si>
    <t>‘Abasān al Kabīrah</t>
  </si>
  <si>
    <t>Ţūlkarm</t>
  </si>
  <si>
    <t>Ţūbās</t>
  </si>
  <si>
    <t>Sa‘īr</t>
  </si>
  <si>
    <t>Qalqīlyah</t>
  </si>
  <si>
    <t>Qabāţīyah</t>
  </si>
  <si>
    <t>Janīn</t>
  </si>
  <si>
    <t>Idhnā</t>
  </si>
  <si>
    <t>Ḩalḩūl</t>
  </si>
  <si>
    <t>Dūrā</t>
  </si>
  <si>
    <t>Bayt Jālā</t>
  </si>
  <si>
    <t>Banī Na‘īm</t>
  </si>
  <si>
    <t>Balāţah</t>
  </si>
  <si>
    <t>Az̧ Z̧āhirīyah</t>
  </si>
  <si>
    <t>As Samū‘</t>
  </si>
  <si>
    <t>Ar Rām wa Ḑāḩiyat al Barīd</t>
  </si>
  <si>
    <t>Al Yāmūn</t>
  </si>
  <si>
    <t>Al Bīrah</t>
  </si>
  <si>
    <t>Al ‘Ayzarīyah</t>
  </si>
  <si>
    <t>Al Qarārah</t>
  </si>
  <si>
    <t>Az Zuwāydah</t>
  </si>
  <si>
    <t>Setúbal</t>
  </si>
  <si>
    <t>São João da Talha</t>
  </si>
  <si>
    <t>São Domingos de Rana</t>
  </si>
  <si>
    <t>Santa Iria da Azóia</t>
  </si>
  <si>
    <t>Sacavém</t>
  </si>
  <si>
    <t>Póvoa de Santa Iria</t>
  </si>
  <si>
    <t>Portimão</t>
  </si>
  <si>
    <t>Paço de Arcos</t>
  </si>
  <si>
    <t>Olhão</t>
  </si>
  <si>
    <t>Loulé</t>
  </si>
  <si>
    <t>Évora</t>
  </si>
  <si>
    <t>Câmara de Lobos</t>
  </si>
  <si>
    <t>Cacém</t>
  </si>
  <si>
    <t>Algés</t>
  </si>
  <si>
    <t>São Pedro da Cova</t>
  </si>
  <si>
    <t>São Mamede de Infesta</t>
  </si>
  <si>
    <t>São João da Madeira</t>
  </si>
  <si>
    <t>Póvoa de Varzim</t>
  </si>
  <si>
    <t>Monção</t>
  </si>
  <si>
    <t>Leça do Bailio</t>
  </si>
  <si>
    <t>Leça da Palmeira</t>
  </si>
  <si>
    <t>Ílhavo</t>
  </si>
  <si>
    <t>Guimarães</t>
  </si>
  <si>
    <t>Fânzeres</t>
  </si>
  <si>
    <t>Águas Santas</t>
  </si>
  <si>
    <t>Guairá</t>
  </si>
  <si>
    <t>Alto Paraná</t>
  </si>
  <si>
    <t>Ñeembucú</t>
  </si>
  <si>
    <t>Itauguá</t>
  </si>
  <si>
    <t>Itá</t>
  </si>
  <si>
    <t>Encarnación</t>
  </si>
  <si>
    <t>Itapúa</t>
  </si>
  <si>
    <t>Caaguazú</t>
  </si>
  <si>
    <t>Capiatá</t>
  </si>
  <si>
    <t>Caacupé</t>
  </si>
  <si>
    <t>Asunción</t>
  </si>
  <si>
    <t>Umm Şalāl Muḩammad</t>
  </si>
  <si>
    <t>Baladīyat Umm Şalāl</t>
  </si>
  <si>
    <t>Ar Rayyān</t>
  </si>
  <si>
    <t>Baladīyat ar Rayyān</t>
  </si>
  <si>
    <t>Réunion</t>
  </si>
  <si>
    <t>Saint-Benoît</t>
  </si>
  <si>
    <t>Zărnești</t>
  </si>
  <si>
    <t>Braşov</t>
  </si>
  <si>
    <t>Zalău</t>
  </si>
  <si>
    <t>Sălaj</t>
  </si>
  <si>
    <t>Vişeu de Sus</t>
  </si>
  <si>
    <t>Maramureş</t>
  </si>
  <si>
    <t>Ialomiţa</t>
  </si>
  <si>
    <t>Turnu Măgurele</t>
  </si>
  <si>
    <t>Târnăveni</t>
  </si>
  <si>
    <t>Mureş</t>
  </si>
  <si>
    <t>Târgu Secuiesc</t>
  </si>
  <si>
    <t>Târgu Neamţ</t>
  </si>
  <si>
    <t>Neamţ</t>
  </si>
  <si>
    <t>Târgu-Mureş</t>
  </si>
  <si>
    <t>Târgu Jiu</t>
  </si>
  <si>
    <t>Târgovişte</t>
  </si>
  <si>
    <t>Dâmboviţa</t>
  </si>
  <si>
    <t>Timişoara</t>
  </si>
  <si>
    <t>Timiş</t>
  </si>
  <si>
    <t>Galaţi</t>
  </si>
  <si>
    <t>Şimleu Silvaniei</t>
  </si>
  <si>
    <t>Sighetu Marmaţiei</t>
  </si>
  <si>
    <t>Sfântu-Gheorghe</t>
  </si>
  <si>
    <t>Sebeş</t>
  </si>
  <si>
    <t>Săcele</t>
  </si>
  <si>
    <t>Roșiorii de Vede</t>
  </si>
  <si>
    <t>Râşnov</t>
  </si>
  <si>
    <t>Râmnicu Vâlcea</t>
  </si>
  <si>
    <t>Vâlcea</t>
  </si>
  <si>
    <t>Râmnicu Sărat</t>
  </si>
  <si>
    <t>Buzău</t>
  </si>
  <si>
    <t>Reşiţa</t>
  </si>
  <si>
    <t>Caraş-Severin</t>
  </si>
  <si>
    <t>Rădăuți</t>
  </si>
  <si>
    <t>Popeşti-Leordeni</t>
  </si>
  <si>
    <t>Ploieşti</t>
  </si>
  <si>
    <t>Piteşti</t>
  </si>
  <si>
    <t>Argeş</t>
  </si>
  <si>
    <t>Piatra Neamţ</t>
  </si>
  <si>
    <t>Petroşani</t>
  </si>
  <si>
    <t>Orăştie</t>
  </si>
  <si>
    <t>Olteniţa</t>
  </si>
  <si>
    <t>Călăraşi</t>
  </si>
  <si>
    <t>Ocna Mureş</t>
  </si>
  <si>
    <t>Năvodari</t>
  </si>
  <si>
    <t>Constanța</t>
  </si>
  <si>
    <t>Moineşti</t>
  </si>
  <si>
    <t>Bacău</t>
  </si>
  <si>
    <t>Mediaş</t>
  </si>
  <si>
    <t>Luduş</t>
  </si>
  <si>
    <t>Iaşi</t>
  </si>
  <si>
    <t>Huşi</t>
  </si>
  <si>
    <t>Găeşti</t>
  </si>
  <si>
    <t>Focșani</t>
  </si>
  <si>
    <t>Filiaşi</t>
  </si>
  <si>
    <t>Fetești-Gară</t>
  </si>
  <si>
    <t>Feteşti</t>
  </si>
  <si>
    <t>Fălticeni</t>
  </si>
  <si>
    <t>Făgăraș</t>
  </si>
  <si>
    <t>Drăgăşani</t>
  </si>
  <si>
    <t>Botoşani</t>
  </si>
  <si>
    <t>Curtea de Argeş</t>
  </si>
  <si>
    <t>Constanţa</t>
  </si>
  <si>
    <t>Comăneşti</t>
  </si>
  <si>
    <t>Cisnădie</t>
  </si>
  <si>
    <t>Câmpulung Moldovenesc</t>
  </si>
  <si>
    <t>Câmpina</t>
  </si>
  <si>
    <t>Câmpia Turzii</t>
  </si>
  <si>
    <t>Cernavodă</t>
  </si>
  <si>
    <t>Caransebeş</t>
  </si>
  <si>
    <t>Buhuşi</t>
  </si>
  <si>
    <t>Bucureşti</t>
  </si>
  <si>
    <t>Brăila</t>
  </si>
  <si>
    <t>Borşa</t>
  </si>
  <si>
    <t>Bocşa</t>
  </si>
  <si>
    <t>Bistriţa</t>
  </si>
  <si>
    <t>Bistriţa-Năsăud</t>
  </si>
  <si>
    <t>Bârlad</t>
  </si>
  <si>
    <t>Balş</t>
  </si>
  <si>
    <t>Băileşti</t>
  </si>
  <si>
    <t>Băicoi</t>
  </si>
  <si>
    <t>Paşcani</t>
  </si>
  <si>
    <t>Sighișoara</t>
  </si>
  <si>
    <t>Zaječar</t>
  </si>
  <si>
    <t>Vršac</t>
  </si>
  <si>
    <t>Sremčica</t>
  </si>
  <si>
    <t>Požarevac</t>
  </si>
  <si>
    <t>Pančevo</t>
  </si>
  <si>
    <t>Niš</t>
  </si>
  <si>
    <t>Kruševac</t>
  </si>
  <si>
    <t>Inđija</t>
  </si>
  <si>
    <t>Ćuprija</t>
  </si>
  <si>
    <t>Čačak</t>
  </si>
  <si>
    <t>Bečej</t>
  </si>
  <si>
    <t>Aranđelovac</t>
  </si>
  <si>
    <t>Užice</t>
  </si>
  <si>
    <t>Šabac</t>
  </si>
  <si>
    <t>Bačka Topola</t>
  </si>
  <si>
    <t>Bačka Palanka</t>
  </si>
  <si>
    <t>Zavolzh’ye</t>
  </si>
  <si>
    <t>Zamoskvorech’ye</t>
  </si>
  <si>
    <t>Yur’yev-Pol’skiy</t>
  </si>
  <si>
    <t>Yelan’</t>
  </si>
  <si>
    <t>Yegor’yevsk</t>
  </si>
  <si>
    <t>Vyshniy Volochëk</t>
  </si>
  <si>
    <t>Vyaz’ma</t>
  </si>
  <si>
    <t>Altuf’yevskiy</t>
  </si>
  <si>
    <t>Vorob’yovo</t>
  </si>
  <si>
    <t>Vol’sk</t>
  </si>
  <si>
    <t>Venëv</t>
  </si>
  <si>
    <t>Vel’sk</t>
  </si>
  <si>
    <t>Ust’-Labinsk</t>
  </si>
  <si>
    <t>Ust’-Katav</t>
  </si>
  <si>
    <t>Ust’-Dzheguta</t>
  </si>
  <si>
    <t>Usman’</t>
  </si>
  <si>
    <t>Troparëvo</t>
  </si>
  <si>
    <t>Tol’yatti</t>
  </si>
  <si>
    <t>Timashëvsk</t>
  </si>
  <si>
    <t>Tekstil’shchiki</t>
  </si>
  <si>
    <t>Agidel’</t>
  </si>
  <si>
    <t>Syzran’</t>
  </si>
  <si>
    <t>Stroitel’</t>
  </si>
  <si>
    <t>Stavropol’</t>
  </si>
  <si>
    <t>Sol’-Iletsk</t>
  </si>
  <si>
    <t>Sokol’niki</t>
  </si>
  <si>
    <t>Shchëkino</t>
  </si>
  <si>
    <t>Shar’ya</t>
  </si>
  <si>
    <t>Shakhun’ya</t>
  </si>
  <si>
    <t>Severoural’sk</t>
  </si>
  <si>
    <t>Setun’</t>
  </si>
  <si>
    <t>Semënovskoye</t>
  </si>
  <si>
    <t>Semënov</t>
  </si>
  <si>
    <t>Sel’tso</t>
  </si>
  <si>
    <t>Sal’sk</t>
  </si>
  <si>
    <t>Ryazan’</t>
  </si>
  <si>
    <t>Rublëvo</t>
  </si>
  <si>
    <t>Rossosh’</t>
  </si>
  <si>
    <t>Roslavl’</t>
  </si>
  <si>
    <t>Roshal’</t>
  </si>
  <si>
    <t>Priozërsk</t>
  </si>
  <si>
    <t>Pokrovskoye-Streshnëvo</t>
  </si>
  <si>
    <t>Podporozh’ye</t>
  </si>
  <si>
    <t>Podol’sk</t>
  </si>
  <si>
    <t>Pikalëvo</t>
  </si>
  <si>
    <t>Pervoural’sk</t>
  </si>
  <si>
    <t>Pereslavl’-Zalesskiy</t>
  </si>
  <si>
    <t>Ozëry</t>
  </si>
  <si>
    <t>Orël</t>
  </si>
  <si>
    <t>Oktyabr’skiy</t>
  </si>
  <si>
    <t>Ochër</t>
  </si>
  <si>
    <t>Novyye Kuz’minki</t>
  </si>
  <si>
    <t>Novyye Cherëmushki</t>
  </si>
  <si>
    <t>Novoul’yanovsk</t>
  </si>
  <si>
    <t>Novokuz’minki</t>
  </si>
  <si>
    <t>Novaya Usman’</t>
  </si>
  <si>
    <t>Nikol’skoye</t>
  </si>
  <si>
    <t>Nikol’sk</t>
  </si>
  <si>
    <t>Nikel’</t>
  </si>
  <si>
    <t>Nevel’</t>
  </si>
  <si>
    <t>Nazran’</t>
  </si>
  <si>
    <t>Nal’chik</t>
  </si>
  <si>
    <t>Medvezh’yegorsk</t>
  </si>
  <si>
    <t>Mar’ino</t>
  </si>
  <si>
    <t>Mar’ina Roshcha</t>
  </si>
  <si>
    <t>Lys’va</t>
  </si>
  <si>
    <t>L’govskiy</t>
  </si>
  <si>
    <t>Lebedyan’</t>
  </si>
  <si>
    <t>Kuz’minki</t>
  </si>
  <si>
    <t>Kushchëvskaya</t>
  </si>
  <si>
    <t>Kur’yanovo</t>
  </si>
  <si>
    <t>Biryulëvo Zapadnoye</t>
  </si>
  <si>
    <t>Koz’modem’yansk</t>
  </si>
  <si>
    <t>Kozel’sk</t>
  </si>
  <si>
    <t>Kotel’nikovo</t>
  </si>
  <si>
    <t>Kotel’niki</t>
  </si>
  <si>
    <t>Kotel’nich</t>
  </si>
  <si>
    <t>Kol’chugino</t>
  </si>
  <si>
    <t>Kinel’-Cherkassy</t>
  </si>
  <si>
    <t>Kinel’</t>
  </si>
  <si>
    <t>Khoroshëvo-Mnevniki</t>
  </si>
  <si>
    <t>Izobil’nyy</t>
  </si>
  <si>
    <t>Il’skiy</t>
  </si>
  <si>
    <t>Gus’-Khrustal’nyy</t>
  </si>
  <si>
    <t>Gul’kevichi</t>
  </si>
  <si>
    <t>Gol’yanovo</t>
  </si>
  <si>
    <t>Engel’s</t>
  </si>
  <si>
    <t>Elektrostal’</t>
  </si>
  <si>
    <t>Dyat’kovo</t>
  </si>
  <si>
    <t>Chistopol’</t>
  </si>
  <si>
    <t>Cherëmushki</t>
  </si>
  <si>
    <t>Bugul’ma</t>
  </si>
  <si>
    <t>Budënnovsk</t>
  </si>
  <si>
    <t>Bol’shaya Setun’</t>
  </si>
  <si>
    <t>Biryulëvo</t>
  </si>
  <si>
    <t>Beloozërskiy</t>
  </si>
  <si>
    <t>Belëv</t>
  </si>
  <si>
    <t>Arkhangel’sk</t>
  </si>
  <si>
    <t>Amin’yevo</t>
  </si>
  <si>
    <t>Al’met’yevsk</t>
  </si>
  <si>
    <t>Alatyr’</t>
  </si>
  <si>
    <t>Vasil’yevo</t>
  </si>
  <si>
    <t>Ryl’sk</t>
  </si>
  <si>
    <t>Trëkhgornyy</t>
  </si>
  <si>
    <t>Yuzhnoural’sk</t>
  </si>
  <si>
    <t>Tobol’sk</t>
  </si>
  <si>
    <t>Tal’menka</t>
  </si>
  <si>
    <t>Sysert’</t>
  </si>
  <si>
    <t>Prokop’yevsk</t>
  </si>
  <si>
    <t>Ob’</t>
  </si>
  <si>
    <t>Nev’yansk</t>
  </si>
  <si>
    <t>Linëvo</t>
  </si>
  <si>
    <t>Krasnoural’sk</t>
  </si>
  <si>
    <t>Krasnotur’insk</t>
  </si>
  <si>
    <t>Kochenëvo</t>
  </si>
  <si>
    <t>Kiselëvsk</t>
  </si>
  <si>
    <t>Kamensk-Ural’skiy</t>
  </si>
  <si>
    <t>Kamen’-na-Obi</t>
  </si>
  <si>
    <t>Ivdel’</t>
  </si>
  <si>
    <t>Gur’yevsk</t>
  </si>
  <si>
    <t>Chebarkul’</t>
  </si>
  <si>
    <t>Berëzovskiy</t>
  </si>
  <si>
    <t>Berëzovka</t>
  </si>
  <si>
    <t>Artëmovskiy</t>
  </si>
  <si>
    <t>Novoural’sk</t>
  </si>
  <si>
    <t>Vrangel’</t>
  </si>
  <si>
    <t>Ust’-Kut</t>
  </si>
  <si>
    <t>Ust’-Ilimsk</t>
  </si>
  <si>
    <t>Usol’ye-Sibirskoye</t>
  </si>
  <si>
    <t>Spassk-Dal’niy</t>
  </si>
  <si>
    <t>Severobaykal’sk</t>
  </si>
  <si>
    <t>Petrovsk-Zabaykal’skiy</t>
  </si>
  <si>
    <t>Dal’nerechensk</t>
  </si>
  <si>
    <t>Bol’shoy Kamen’</t>
  </si>
  <si>
    <t>Baykal’sk</t>
  </si>
  <si>
    <t>Artëm</t>
  </si>
  <si>
    <t>Arsen’yev</t>
  </si>
  <si>
    <t>Sovetskaya Gavan’</t>
  </si>
  <si>
    <t>Nevel’sk</t>
  </si>
  <si>
    <t>Zagor’ye</t>
  </si>
  <si>
    <t>Al Madīnah al Munawwarah</t>
  </si>
  <si>
    <t>Minţaqat Tabūk</t>
  </si>
  <si>
    <t>Ţurayf</t>
  </si>
  <si>
    <t>Tārūt</t>
  </si>
  <si>
    <t>Ţubarjal</t>
  </si>
  <si>
    <t>Sulţānah</t>
  </si>
  <si>
    <t>Sayhāt</t>
  </si>
  <si>
    <t>Şāmitah</t>
  </si>
  <si>
    <t>Şafwá</t>
  </si>
  <si>
    <t>Şabyā</t>
  </si>
  <si>
    <t>Raḩīmah</t>
  </si>
  <si>
    <t>Rābigh</t>
  </si>
  <si>
    <t>Qal‘at Bīshah</t>
  </si>
  <si>
    <t>Minţaqat ‘Asīr</t>
  </si>
  <si>
    <t>Najrān</t>
  </si>
  <si>
    <t>Badr Ḩunayn</t>
  </si>
  <si>
    <t>Ar Riyāḑ</t>
  </si>
  <si>
    <t>Aţ Ţaraf</t>
  </si>
  <si>
    <t>Ta’if</t>
  </si>
  <si>
    <t>‘Ar‘ar</t>
  </si>
  <si>
    <t>An Nimāş</t>
  </si>
  <si>
    <t>Al ‘Ulá</t>
  </si>
  <si>
    <t>Al Qayşūmah</t>
  </si>
  <si>
    <t>Al Qaţīf</t>
  </si>
  <si>
    <t>Al Khafjī</t>
  </si>
  <si>
    <t>Al Jumūm</t>
  </si>
  <si>
    <t>Al Hufūf</t>
  </si>
  <si>
    <t>Al Bukayrīyah</t>
  </si>
  <si>
    <t>Al Baţţālīyah</t>
  </si>
  <si>
    <t>Al Bāḩah</t>
  </si>
  <si>
    <t>Minţaqat al Bāḩah</t>
  </si>
  <si>
    <t>‘Afīf</t>
  </si>
  <si>
    <t>Ad Dawādimī</t>
  </si>
  <si>
    <t>Abū ‘Arīsh</t>
  </si>
  <si>
    <t>Ash Shafā</t>
  </si>
  <si>
    <t>Al Jazīrah</t>
  </si>
  <si>
    <t>Shamāl Kurdufān</t>
  </si>
  <si>
    <t>Tokār</t>
  </si>
  <si>
    <t>Tandaltī</t>
  </si>
  <si>
    <t>Sinnār</t>
  </si>
  <si>
    <t>Sawākin</t>
  </si>
  <si>
    <t>Kināna</t>
  </si>
  <si>
    <t>Al Qaḑārif</t>
  </si>
  <si>
    <t>Bārah</t>
  </si>
  <si>
    <t>As Sūkī</t>
  </si>
  <si>
    <t>An Nuhūd</t>
  </si>
  <si>
    <t>Al Qiţena</t>
  </si>
  <si>
    <t>Al Manāqil</t>
  </si>
  <si>
    <t>Al Hilāliyya</t>
  </si>
  <si>
    <t>Al Ḩawātah</t>
  </si>
  <si>
    <t>Abū Zabad</t>
  </si>
  <si>
    <t>Umeå</t>
  </si>
  <si>
    <t>Västerbotten</t>
  </si>
  <si>
    <t>Skellefteå</t>
  </si>
  <si>
    <t>Piteå</t>
  </si>
  <si>
    <t>Skåne</t>
  </si>
  <si>
    <t>Växjö</t>
  </si>
  <si>
    <t>Västerås</t>
  </si>
  <si>
    <t>Västmanland</t>
  </si>
  <si>
    <t>Jönköping</t>
  </si>
  <si>
    <t>Västra Götaland</t>
  </si>
  <si>
    <t>Trollhättan</t>
  </si>
  <si>
    <t>Täby</t>
  </si>
  <si>
    <t>Västernorrland</t>
  </si>
  <si>
    <t>Södertälje</t>
  </si>
  <si>
    <t>Skövde</t>
  </si>
  <si>
    <t>Gävleborg</t>
  </si>
  <si>
    <t>Råsunda</t>
  </si>
  <si>
    <t>Östersund</t>
  </si>
  <si>
    <t>Jämtland</t>
  </si>
  <si>
    <t>Östermalm</t>
  </si>
  <si>
    <t>Örnsköldsvik</t>
  </si>
  <si>
    <t>Örebro</t>
  </si>
  <si>
    <t>Nyköping</t>
  </si>
  <si>
    <t>Södermanland</t>
  </si>
  <si>
    <t>Norrköping</t>
  </si>
  <si>
    <t>Östergötland</t>
  </si>
  <si>
    <t>Nässjö</t>
  </si>
  <si>
    <t>Mölndal</t>
  </si>
  <si>
    <t>Malmö</t>
  </si>
  <si>
    <t>Linköping</t>
  </si>
  <si>
    <t>Lidköping</t>
  </si>
  <si>
    <t>Lidingö</t>
  </si>
  <si>
    <t>Kungälv</t>
  </si>
  <si>
    <t>Köping</t>
  </si>
  <si>
    <t>Hässleholm</t>
  </si>
  <si>
    <t>Härnösand</t>
  </si>
  <si>
    <t>Göteborg</t>
  </si>
  <si>
    <t>Gävle</t>
  </si>
  <si>
    <t>Falköping</t>
  </si>
  <si>
    <t>Eslöv</t>
  </si>
  <si>
    <t>Enköping</t>
  </si>
  <si>
    <t>Borås</t>
  </si>
  <si>
    <t>Årsta</t>
  </si>
  <si>
    <t>Ängelholm</t>
  </si>
  <si>
    <t>Alingsås</t>
  </si>
  <si>
    <t>Åkersberga</t>
  </si>
  <si>
    <t>Vranov nad Topľou</t>
  </si>
  <si>
    <t>Prešovský</t>
  </si>
  <si>
    <t>Trebišov</t>
  </si>
  <si>
    <t>Košický</t>
  </si>
  <si>
    <t>Stará Ľubovňa</t>
  </si>
  <si>
    <t>Spišská Nová Ves</t>
  </si>
  <si>
    <t>Rožňava</t>
  </si>
  <si>
    <t>Rimavská Sobota</t>
  </si>
  <si>
    <t>Banskobystrický</t>
  </si>
  <si>
    <t>Prešov</t>
  </si>
  <si>
    <t>Košice</t>
  </si>
  <si>
    <t>Kežmarok</t>
  </si>
  <si>
    <t>Žilina</t>
  </si>
  <si>
    <t>Žilinský</t>
  </si>
  <si>
    <t>Žiar nad Hronom</t>
  </si>
  <si>
    <t>Trnavský</t>
  </si>
  <si>
    <t>Trenčín</t>
  </si>
  <si>
    <t>Trenčiansky</t>
  </si>
  <si>
    <t>Ružomberok</t>
  </si>
  <si>
    <t>Púchov</t>
  </si>
  <si>
    <t>Považská Bystrica</t>
  </si>
  <si>
    <t>Piešťany</t>
  </si>
  <si>
    <t>Bratislavský</t>
  </si>
  <si>
    <t>Partizánske</t>
  </si>
  <si>
    <t>Nové Zámky</t>
  </si>
  <si>
    <t>Nové Mesto nad Váhom</t>
  </si>
  <si>
    <t>Lučenec</t>
  </si>
  <si>
    <t>Liptovský Mikuláš</t>
  </si>
  <si>
    <t>Kysucké Nové Mesto</t>
  </si>
  <si>
    <t>Komárno</t>
  </si>
  <si>
    <t>Handlová</t>
  </si>
  <si>
    <t>Dunajská Streda</t>
  </si>
  <si>
    <t>Dubnica nad Váhom</t>
  </si>
  <si>
    <t>Dolný Kubín</t>
  </si>
  <si>
    <t>Čadca</t>
  </si>
  <si>
    <t>Banská Bystrica</t>
  </si>
  <si>
    <t>Bánovce nad Bebravou</t>
  </si>
  <si>
    <t>Vélingara</t>
  </si>
  <si>
    <t>Tiébo</t>
  </si>
  <si>
    <t>Thiès Nones</t>
  </si>
  <si>
    <t>Thiès</t>
  </si>
  <si>
    <t>Sédhiou</t>
  </si>
  <si>
    <t>Nguékhokh</t>
  </si>
  <si>
    <t>Ndibène Dahra</t>
  </si>
  <si>
    <t>Mékhé</t>
  </si>
  <si>
    <t>Kédougou</t>
  </si>
  <si>
    <t>Guinguinéo</t>
  </si>
  <si>
    <t>São Tomé</t>
  </si>
  <si>
    <t>São Tomé Island</t>
  </si>
  <si>
    <t>Usulután</t>
  </si>
  <si>
    <t>Cabañas</t>
  </si>
  <si>
    <t>Santiago de María</t>
  </si>
  <si>
    <t>Cuscatlán</t>
  </si>
  <si>
    <t>Morazán</t>
  </si>
  <si>
    <t>Metapán</t>
  </si>
  <si>
    <t>Antiguo Cuscatlán</t>
  </si>
  <si>
    <t>Ahuachapán</t>
  </si>
  <si>
    <t>Yabrūd</t>
  </si>
  <si>
    <t>Ţayyibat al Imām</t>
  </si>
  <si>
    <t>Tall Rif‘at</t>
  </si>
  <si>
    <t>Tallbīsah</t>
  </si>
  <si>
    <t>Ţafas</t>
  </si>
  <si>
    <t>Tādif</t>
  </si>
  <si>
    <t>Subaykhān</t>
  </si>
  <si>
    <t>Ash Shaykh Miskīn</t>
  </si>
  <si>
    <t>Sarāqib</t>
  </si>
  <si>
    <t>Salqīn</t>
  </si>
  <si>
    <t>As Salamīyah</t>
  </si>
  <si>
    <t>Qaţanā</t>
  </si>
  <si>
    <t>Jāsim</t>
  </si>
  <si>
    <t>Qārah</t>
  </si>
  <si>
    <t>Maşyāf</t>
  </si>
  <si>
    <t>Ma‘arratmişrīn</t>
  </si>
  <si>
    <t>Khān Shaykhūn</t>
  </si>
  <si>
    <t>Kafr Zaytā</t>
  </si>
  <si>
    <t>Kafr Takhārīm</t>
  </si>
  <si>
    <t>Kafr Lāhā</t>
  </si>
  <si>
    <t>Jisr ash Shughūr</t>
  </si>
  <si>
    <t>Jayrūd</t>
  </si>
  <si>
    <t>Jarābulus</t>
  </si>
  <si>
    <t>‘Irbīn</t>
  </si>
  <si>
    <t>Ḩarastā</t>
  </si>
  <si>
    <t>Ḩamāh</t>
  </si>
  <si>
    <t>Ḩalfāyā</t>
  </si>
  <si>
    <t>Dayr Ḩāfir</t>
  </si>
  <si>
    <t>Ad Darbāsīyah</t>
  </si>
  <si>
    <t>Dārayyā</t>
  </si>
  <si>
    <t>Dar‘ā</t>
  </si>
  <si>
    <t>Bāniyās</t>
  </si>
  <si>
    <t>Az Zabadānī</t>
  </si>
  <si>
    <t>I‘zāz</t>
  </si>
  <si>
    <t>‘Ayn al ‘Arab</t>
  </si>
  <si>
    <t>As Suwaydā’</t>
  </si>
  <si>
    <t>Aş Şanamayn</t>
  </si>
  <si>
    <t>As Safīrah</t>
  </si>
  <si>
    <t>Al Quţayfah</t>
  </si>
  <si>
    <t>Al Qunayţirah</t>
  </si>
  <si>
    <t>Al Mayādīn</t>
  </si>
  <si>
    <t>Al Ḩasakah</t>
  </si>
  <si>
    <t>Al Ḩarāk</t>
  </si>
  <si>
    <t>Al Bāb</t>
  </si>
  <si>
    <t>‘Afrīn</t>
  </si>
  <si>
    <t>Ad Dānā</t>
  </si>
  <si>
    <t>Ālbū Kamāl</t>
  </si>
  <si>
    <t>Hajīn</t>
  </si>
  <si>
    <t>Abéché</t>
  </si>
  <si>
    <t>Ouaddaï</t>
  </si>
  <si>
    <t>Guéra</t>
  </si>
  <si>
    <t>Mboursou Léré</t>
  </si>
  <si>
    <t>Laï</t>
  </si>
  <si>
    <t>Tandjilé</t>
  </si>
  <si>
    <t>Port-aux-Français</t>
  </si>
  <si>
    <t>Tsévié</t>
  </si>
  <si>
    <t>Notsé</t>
  </si>
  <si>
    <t>Sansanné-Mango</t>
  </si>
  <si>
    <t>Aného</t>
  </si>
  <si>
    <t>Vose’</t>
  </si>
  <si>
    <t>Qŭrghonteppa</t>
  </si>
  <si>
    <t>Kŭlob</t>
  </si>
  <si>
    <t>Khŭjand</t>
  </si>
  <si>
    <t>Liquiçá</t>
  </si>
  <si>
    <t>Lautém</t>
  </si>
  <si>
    <t>Daşoguz</t>
  </si>
  <si>
    <t>Türkmenbaşy</t>
  </si>
  <si>
    <t>Köneürgench</t>
  </si>
  <si>
    <t>Yolöten</t>
  </si>
  <si>
    <t>Saýat</t>
  </si>
  <si>
    <t>Türkmenabat</t>
  </si>
  <si>
    <t>Zaghwān</t>
  </si>
  <si>
    <t>Tūnis</t>
  </si>
  <si>
    <t>Al Qaşrayn</t>
  </si>
  <si>
    <t>Nābul</t>
  </si>
  <si>
    <t>Sūsah</t>
  </si>
  <si>
    <t>Silyānah</t>
  </si>
  <si>
    <t>Sīdī Bū Zayd</t>
  </si>
  <si>
    <t>Al Munastīr</t>
  </si>
  <si>
    <t>Şafāqis</t>
  </si>
  <si>
    <t>Radès</t>
  </si>
  <si>
    <t>Al Mahdīyah</t>
  </si>
  <si>
    <t>Kélibia</t>
  </si>
  <si>
    <t>Gabès</t>
  </si>
  <si>
    <t>Qābis</t>
  </si>
  <si>
    <t>Madanīn</t>
  </si>
  <si>
    <t>Bājah</t>
  </si>
  <si>
    <t>Béja</t>
  </si>
  <si>
    <t>Al Marsá</t>
  </si>
  <si>
    <t>Nuku‘alofa</t>
  </si>
  <si>
    <t>Yüksekova</t>
  </si>
  <si>
    <t>Hakkâri</t>
  </si>
  <si>
    <t>Yeşilli</t>
  </si>
  <si>
    <t>Yerköy</t>
  </si>
  <si>
    <t>Aydın</t>
  </si>
  <si>
    <t>Yatağan</t>
  </si>
  <si>
    <t>Muğla</t>
  </si>
  <si>
    <t>Yalvaç</t>
  </si>
  <si>
    <t>Yahyalı</t>
  </si>
  <si>
    <t>Viranşehir</t>
  </si>
  <si>
    <t>Şanlıurfa</t>
  </si>
  <si>
    <t>Muş</t>
  </si>
  <si>
    <t>Uşak</t>
  </si>
  <si>
    <t>İzmir</t>
  </si>
  <si>
    <t>Ürgüp</t>
  </si>
  <si>
    <t>Nevşehir</t>
  </si>
  <si>
    <t>Torbalı</t>
  </si>
  <si>
    <t>Tavşanlı</t>
  </si>
  <si>
    <t>Balıkesir</t>
  </si>
  <si>
    <t>Suruç</t>
  </si>
  <si>
    <t>Bingöl</t>
  </si>
  <si>
    <t>Söke</t>
  </si>
  <si>
    <t>Şırnak</t>
  </si>
  <si>
    <t>Diyarbakır</t>
  </si>
  <si>
    <t>Seydişehir</t>
  </si>
  <si>
    <t>Şereflikoçhisar</t>
  </si>
  <si>
    <t>Şemdinli</t>
  </si>
  <si>
    <t>Selçuk</t>
  </si>
  <si>
    <t>Şarkışla</t>
  </si>
  <si>
    <t>Şarkîkaraağaç</t>
  </si>
  <si>
    <t>Sarayköy</t>
  </si>
  <si>
    <t>Sandıklı</t>
  </si>
  <si>
    <t>Reyhanlı</t>
  </si>
  <si>
    <t>Polatlı</t>
  </si>
  <si>
    <t>Pazarcık</t>
  </si>
  <si>
    <t>Kahramanmaraş</t>
  </si>
  <si>
    <t>Ağrı</t>
  </si>
  <si>
    <t>Ortaköy</t>
  </si>
  <si>
    <t>Ödemiş</t>
  </si>
  <si>
    <t>Niğde</t>
  </si>
  <si>
    <t>Kırşehir</t>
  </si>
  <si>
    <t>Kuşadası</t>
  </si>
  <si>
    <t>Kovancılar</t>
  </si>
  <si>
    <t>Elazığ</t>
  </si>
  <si>
    <t>Kızıltepe</t>
  </si>
  <si>
    <t>Kırkağaç</t>
  </si>
  <si>
    <t>Kırıkkale</t>
  </si>
  <si>
    <t>Kırıkhan</t>
  </si>
  <si>
    <t>Kemalpaşa</t>
  </si>
  <si>
    <t>Karapınar</t>
  </si>
  <si>
    <t>Karakoçan</t>
  </si>
  <si>
    <t>Karaçoban</t>
  </si>
  <si>
    <t>Kâhta</t>
  </si>
  <si>
    <t>Adıyaman</t>
  </si>
  <si>
    <t>Kadınhanı</t>
  </si>
  <si>
    <t>İdil</t>
  </si>
  <si>
    <t>Hınıs</t>
  </si>
  <si>
    <t>Hacılar</t>
  </si>
  <si>
    <t>Güroymak</t>
  </si>
  <si>
    <t>Gölbaşı</t>
  </si>
  <si>
    <t>Göksun</t>
  </si>
  <si>
    <t>Genç</t>
  </si>
  <si>
    <t>Gazipaşa</t>
  </si>
  <si>
    <t>Foça</t>
  </si>
  <si>
    <t>Çanakkale Province</t>
  </si>
  <si>
    <t>Eskişehir</t>
  </si>
  <si>
    <t>Ereğli</t>
  </si>
  <si>
    <t>Erciş</t>
  </si>
  <si>
    <t>Emirdağ</t>
  </si>
  <si>
    <t>Elmalı</t>
  </si>
  <si>
    <t>Elmadağ</t>
  </si>
  <si>
    <t>Eleşkirt</t>
  </si>
  <si>
    <t>Eğirdir</t>
  </si>
  <si>
    <t>Dörtyol</t>
  </si>
  <si>
    <t>Doğubayazıt</t>
  </si>
  <si>
    <t>Dargeçit</t>
  </si>
  <si>
    <t>Çumra</t>
  </si>
  <si>
    <t>Çine</t>
  </si>
  <si>
    <t>Ceylanpınar</t>
  </si>
  <si>
    <t>Çeşme</t>
  </si>
  <si>
    <t>Çermik</t>
  </si>
  <si>
    <t>Çay</t>
  </si>
  <si>
    <t>Çağlayancerit</t>
  </si>
  <si>
    <t>Bulanık</t>
  </si>
  <si>
    <t>Bozyazı</t>
  </si>
  <si>
    <t>Bozüyük</t>
  </si>
  <si>
    <t>Bigadiç</t>
  </si>
  <si>
    <t>Beyşehir</t>
  </si>
  <si>
    <t>Bayındır</t>
  </si>
  <si>
    <t>Bahçe</t>
  </si>
  <si>
    <t>Ayvalık</t>
  </si>
  <si>
    <t>Aşkale</t>
  </si>
  <si>
    <t>Aliağa</t>
  </si>
  <si>
    <t>Alaşehir</t>
  </si>
  <si>
    <t>Akşehir</t>
  </si>
  <si>
    <t>Akdağmadeni</t>
  </si>
  <si>
    <t>Akçakale</t>
  </si>
  <si>
    <t>Afşin</t>
  </si>
  <si>
    <t>Yenişehir</t>
  </si>
  <si>
    <t>Körfez</t>
  </si>
  <si>
    <t>Vezirköprü</t>
  </si>
  <si>
    <t>Vakfıkebir</t>
  </si>
  <si>
    <t>Uzunköprü</t>
  </si>
  <si>
    <t>Üsküdar</t>
  </si>
  <si>
    <t>Ünye</t>
  </si>
  <si>
    <t>Tekkeköy</t>
  </si>
  <si>
    <t>Tekirdağ</t>
  </si>
  <si>
    <t>Taşova</t>
  </si>
  <si>
    <t>Taşköprü</t>
  </si>
  <si>
    <t>Suşehri</t>
  </si>
  <si>
    <t>Çorum</t>
  </si>
  <si>
    <t>Şişli</t>
  </si>
  <si>
    <t>Şebin Karahisar</t>
  </si>
  <si>
    <t>Sarıkamış</t>
  </si>
  <si>
    <t>Karabük</t>
  </si>
  <si>
    <t>Osmancık</t>
  </si>
  <si>
    <t>Nallıhan</t>
  </si>
  <si>
    <t>Mustafakemalpaşa</t>
  </si>
  <si>
    <t>Lüleburgaz</t>
  </si>
  <si>
    <t>Kırklareli</t>
  </si>
  <si>
    <t>Kızılcahamam</t>
  </si>
  <si>
    <t>Keşan</t>
  </si>
  <si>
    <t>Kavaklı</t>
  </si>
  <si>
    <t>Karamürsel</t>
  </si>
  <si>
    <t>Kağızman</t>
  </si>
  <si>
    <t>İznik</t>
  </si>
  <si>
    <t>İzmit</t>
  </si>
  <si>
    <t>İstanbul</t>
  </si>
  <si>
    <t>İskilip</t>
  </si>
  <si>
    <t>İnegol</t>
  </si>
  <si>
    <t>Gürsu</t>
  </si>
  <si>
    <t>Gürpınar</t>
  </si>
  <si>
    <t>Gürgentepe</t>
  </si>
  <si>
    <t>Görele</t>
  </si>
  <si>
    <t>Gönen</t>
  </si>
  <si>
    <t>Gölcük</t>
  </si>
  <si>
    <t>Eminönü</t>
  </si>
  <si>
    <t>Düzce</t>
  </si>
  <si>
    <t>Çubuk</t>
  </si>
  <si>
    <t>Çorlu</t>
  </si>
  <si>
    <t>Çerkezköy</t>
  </si>
  <si>
    <t>Çerkeş</t>
  </si>
  <si>
    <t>Çankırı</t>
  </si>
  <si>
    <t>Çayeli</t>
  </si>
  <si>
    <t>Çaycuma</t>
  </si>
  <si>
    <t>Çatalca</t>
  </si>
  <si>
    <t>Çarşamba</t>
  </si>
  <si>
    <t>Çanakkale</t>
  </si>
  <si>
    <t>Çan</t>
  </si>
  <si>
    <t>Beypazarı</t>
  </si>
  <si>
    <t>Beşikdüzü</t>
  </si>
  <si>
    <t>Bartın</t>
  </si>
  <si>
    <t>Bandırma</t>
  </si>
  <si>
    <t>Bağcılar</t>
  </si>
  <si>
    <t>Ardeşen</t>
  </si>
  <si>
    <t>Araklı</t>
  </si>
  <si>
    <t>Alaplı</t>
  </si>
  <si>
    <t>Akyazı</t>
  </si>
  <si>
    <t>Akçakoca</t>
  </si>
  <si>
    <t>Akçaabat</t>
  </si>
  <si>
    <t>Adapazarı</t>
  </si>
  <si>
    <t>güngören merter</t>
  </si>
  <si>
    <t>Ataşehir</t>
  </si>
  <si>
    <t>Başakşehir</t>
  </si>
  <si>
    <t>Beylikdüzü</t>
  </si>
  <si>
    <t>Büyükçekmece</t>
  </si>
  <si>
    <t>Çankaya</t>
  </si>
  <si>
    <t>Bahçelievler</t>
  </si>
  <si>
    <t>Karabağlar</t>
  </si>
  <si>
    <t>Muratpaşa</t>
  </si>
  <si>
    <t>Vovchans’k</t>
  </si>
  <si>
    <t>Volodymyr-Volyns’kyy</t>
  </si>
  <si>
    <t>Uman’</t>
  </si>
  <si>
    <t>Tul’chyn</t>
  </si>
  <si>
    <t>Tsyurupyns’k</t>
  </si>
  <si>
    <t>Ternopil’</t>
  </si>
  <si>
    <t>Tal’ne</t>
  </si>
  <si>
    <t>Syevyerodonets’k</t>
  </si>
  <si>
    <t>Svitlovods’k</t>
  </si>
  <si>
    <t>Sverdlovs’k</t>
  </si>
  <si>
    <t>Starobil’s’k</t>
  </si>
  <si>
    <t>Sokal’</t>
  </si>
  <si>
    <t>Skadovs’k</t>
  </si>
  <si>
    <t>Synel’nykove</t>
  </si>
  <si>
    <t>Shakhtars’k</t>
  </si>
  <si>
    <t>Misto Sevastopol’</t>
  </si>
  <si>
    <t>Rozdil’na</t>
  </si>
  <si>
    <t>Roven’ky</t>
  </si>
  <si>
    <t>Radomyshl’</t>
  </si>
  <si>
    <t>Putyvl’</t>
  </si>
  <si>
    <t>Pervomays’k</t>
  </si>
  <si>
    <t>Pereyaslav-Khmel’nyts’kyy</t>
  </si>
  <si>
    <t>Pereval’s’k</t>
  </si>
  <si>
    <t>Novovolyns’k</t>
  </si>
  <si>
    <t>Novomoskovs’k</t>
  </si>
  <si>
    <t>Novohrad-Volyns’kyy</t>
  </si>
  <si>
    <t>Nyzhn’ohirs’kyy</t>
  </si>
  <si>
    <t>Nikopol’</t>
  </si>
  <si>
    <t>Molodohvardiys’k</t>
  </si>
  <si>
    <t>Mohyliv-Podil’s’kyy</t>
  </si>
  <si>
    <t>Melitopol’</t>
  </si>
  <si>
    <t>Marhanets’</t>
  </si>
  <si>
    <t>Luts’k</t>
  </si>
  <si>
    <t>Lysychans’k</t>
  </si>
  <si>
    <t>Kuznetsovs’k</t>
  </si>
  <si>
    <t>Krolevets’</t>
  </si>
  <si>
    <t>Kremenets’</t>
  </si>
  <si>
    <t>Krasnoperekops’k</t>
  </si>
  <si>
    <t>Krasnoarmiys’k</t>
  </si>
  <si>
    <t>Kramators’k</t>
  </si>
  <si>
    <t>Kovel’</t>
  </si>
  <si>
    <t>Kotovs’k</t>
  </si>
  <si>
    <t>Kostopil’</t>
  </si>
  <si>
    <t>Korsun’-Shevchenkivs’kyy</t>
  </si>
  <si>
    <t>Korosten’</t>
  </si>
  <si>
    <t>Komsomol’s’ke</t>
  </si>
  <si>
    <t>Kirovs’k</t>
  </si>
  <si>
    <t>Khmel’nyts’kyy</t>
  </si>
  <si>
    <t>Khmil’nyk</t>
  </si>
  <si>
    <t>Khartsyz’k</t>
  </si>
  <si>
    <t>Ivano-Frankivs’k</t>
  </si>
  <si>
    <t>Ilovays’k</t>
  </si>
  <si>
    <t>Illichivs’k</t>
  </si>
  <si>
    <t>Hola Prystan’</t>
  </si>
  <si>
    <t>Heniches’k</t>
  </si>
  <si>
    <t>Dzerzhyns’k</t>
  </si>
  <si>
    <t>Dokuchayevs’k</t>
  </si>
  <si>
    <t>Dniprodzerzhyns’k</t>
  </si>
  <si>
    <t>Debal’tseve</t>
  </si>
  <si>
    <t>Chervonopartyzans’k</t>
  </si>
  <si>
    <t>Boryspil’</t>
  </si>
  <si>
    <t>Bilhorod-Dnistrovs’kyy</t>
  </si>
  <si>
    <t>Бережани</t>
  </si>
  <si>
    <t>Berdyans’k</t>
  </si>
  <si>
    <t>Bilohirs’k</t>
  </si>
  <si>
    <t>Artemivs’k</t>
  </si>
  <si>
    <t>Armyans’k</t>
  </si>
  <si>
    <t>Alchevs’k</t>
  </si>
  <si>
    <t>Славутич</t>
  </si>
  <si>
    <t>Cañon City</t>
  </si>
  <si>
    <t>Kāne‘ohe</t>
  </si>
  <si>
    <t>Kīhei</t>
  </si>
  <si>
    <t>Wahiawā</t>
  </si>
  <si>
    <t>‘Ewa Gentry</t>
  </si>
  <si>
    <t>Río Negro</t>
  </si>
  <si>
    <t>Tacuarembó</t>
  </si>
  <si>
    <t>Paysandú</t>
  </si>
  <si>
    <t>Khŭjayli</t>
  </si>
  <si>
    <t>Oltinko’l</t>
  </si>
  <si>
    <t>Sho’rchi</t>
  </si>
  <si>
    <t>Kattaqo’rg’on</t>
  </si>
  <si>
    <t>Karakul’</t>
  </si>
  <si>
    <t>G’uzor</t>
  </si>
  <si>
    <t>Bulung’ur</t>
  </si>
  <si>
    <t>Yangiyŭl</t>
  </si>
  <si>
    <t>Yangiqo‘rg‘on</t>
  </si>
  <si>
    <t>Uchqŭrghon Shahri</t>
  </si>
  <si>
    <t>Tŭytepa</t>
  </si>
  <si>
    <t>Tŭragŭrghon</t>
  </si>
  <si>
    <t>Qŭshkŭpir</t>
  </si>
  <si>
    <t>Qo‘qon</t>
  </si>
  <si>
    <t>Novyy Turtkul’</t>
  </si>
  <si>
    <t>Marg‘ilon</t>
  </si>
  <si>
    <t>Qŭrghontepa</t>
  </si>
  <si>
    <t>Khŭjaobod</t>
  </si>
  <si>
    <t>G‘azalkent</t>
  </si>
  <si>
    <t>Dŭstlik</t>
  </si>
  <si>
    <t>Bŭka</t>
  </si>
  <si>
    <t>La Asunción</t>
  </si>
  <si>
    <t>Anzoátegui</t>
  </si>
  <si>
    <t>Guárico</t>
  </si>
  <si>
    <t>Táriba</t>
  </si>
  <si>
    <t>Táchira</t>
  </si>
  <si>
    <t>Santa Elena de Uairén</t>
  </si>
  <si>
    <t>San Juan de Colón</t>
  </si>
  <si>
    <t>San Joaquín</t>
  </si>
  <si>
    <t>San Antonio del Táchira</t>
  </si>
  <si>
    <t>Quíbor</t>
  </si>
  <si>
    <t>Falcón</t>
  </si>
  <si>
    <t>Punta Cardón</t>
  </si>
  <si>
    <t>Maiquetía</t>
  </si>
  <si>
    <t>Las Tejerías</t>
  </si>
  <si>
    <t>Güiria</t>
  </si>
  <si>
    <t>Güigüe</t>
  </si>
  <si>
    <t>El Vigía</t>
  </si>
  <si>
    <t>El Limón</t>
  </si>
  <si>
    <t>Cúa</t>
  </si>
  <si>
    <t>Caucagüito</t>
  </si>
  <si>
    <t>Carúpano</t>
  </si>
  <si>
    <t>Maturín</t>
  </si>
  <si>
    <t>La Fría</t>
  </si>
  <si>
    <t>Yên Vinh</t>
  </si>
  <si>
    <t>Nghệ An</t>
  </si>
  <si>
    <t>Yên Bái</t>
  </si>
  <si>
    <t>Vũng Tàu</t>
  </si>
  <si>
    <t>Bà Rịa-Vũng Tàu</t>
  </si>
  <si>
    <t>Vị Thanh</t>
  </si>
  <si>
    <t>Vĩnh Yên</t>
  </si>
  <si>
    <t>Vĩnh Phúc</t>
  </si>
  <si>
    <t>Vĩnh Long</t>
  </si>
  <si>
    <t>Việt Trì</t>
  </si>
  <si>
    <t>Phú Thọ</t>
  </si>
  <si>
    <t>Thành Phố Uông Bí</t>
  </si>
  <si>
    <t>Quảng Ninh</t>
  </si>
  <si>
    <t>Tuy Hòa</t>
  </si>
  <si>
    <t>Phú Yên</t>
  </si>
  <si>
    <t>Thành Phố Tuyên Quang</t>
  </si>
  <si>
    <t>Tuyên Quang</t>
  </si>
  <si>
    <t>Trà Vinh</t>
  </si>
  <si>
    <t>Thủ Dầu Một</t>
  </si>
  <si>
    <t>Bình Dương</t>
  </si>
  <si>
    <t>Thanh Hóa</t>
  </si>
  <si>
    <t>Thành Phố Thái Nguyên</t>
  </si>
  <si>
    <t>Thái Nguyên</t>
  </si>
  <si>
    <t>Thành Phố Thái Bình</t>
  </si>
  <si>
    <t>Thái Bình</t>
  </si>
  <si>
    <t>Tây Ninh</t>
  </si>
  <si>
    <t>Tân An</t>
  </si>
  <si>
    <t>Tam Kỳ</t>
  </si>
  <si>
    <t>Quảng Nam</t>
  </si>
  <si>
    <t>Sơn Tây</t>
  </si>
  <si>
    <t>Ha Nội</t>
  </si>
  <si>
    <t>Sơn La</t>
  </si>
  <si>
    <t>Sông Cầu</t>
  </si>
  <si>
    <t>Sóc Trăng</t>
  </si>
  <si>
    <t>Sa Pá</t>
  </si>
  <si>
    <t>Lào Cai</t>
  </si>
  <si>
    <t>Đồng Tháp</t>
  </si>
  <si>
    <t>Rạch Giá</t>
  </si>
  <si>
    <t>Kiến Giang</t>
  </si>
  <si>
    <t>Bình Định</t>
  </si>
  <si>
    <t>Quảng Ngãi</t>
  </si>
  <si>
    <t>Thành Phố Phủ Lý</t>
  </si>
  <si>
    <t>Hà Nam</t>
  </si>
  <si>
    <t>Phú Khương</t>
  </si>
  <si>
    <t>Phan Thiết</t>
  </si>
  <si>
    <t>Bình Thuận</t>
  </si>
  <si>
    <t>Phan Rang-Tháp Chàm</t>
  </si>
  <si>
    <t>Ninh Thuận</t>
  </si>
  <si>
    <t>Thành Phố Ninh Bình</t>
  </si>
  <si>
    <t>Ninh Bình</t>
  </si>
  <si>
    <t>Khánh Hòa</t>
  </si>
  <si>
    <t>Thành Phố Nam Định</t>
  </si>
  <si>
    <t>Nam Định</t>
  </si>
  <si>
    <t>Mỹ Tho</t>
  </si>
  <si>
    <t>Tiền Giang</t>
  </si>
  <si>
    <t>Móng Cái</t>
  </si>
  <si>
    <t>Long Xuyên</t>
  </si>
  <si>
    <t>Thành Phố Lạng Sơn</t>
  </si>
  <si>
    <t>Lạng Sơn</t>
  </si>
  <si>
    <t>Hưng Yên</t>
  </si>
  <si>
    <t>Huế</t>
  </si>
  <si>
    <t>Thừa Thiên-Huế</t>
  </si>
  <si>
    <t>Thành Phố Hạ Long</t>
  </si>
  <si>
    <t>Hội An</t>
  </si>
  <si>
    <t>Thành Phố Hòa Bình</t>
  </si>
  <si>
    <t>Hòa Bình</t>
  </si>
  <si>
    <t>Hà Tĩnh</t>
  </si>
  <si>
    <t>Hà Tiên</t>
  </si>
  <si>
    <t>Hải Phòng</t>
  </si>
  <si>
    <t>Thành Phố Hải Dương</t>
  </si>
  <si>
    <t>Hải Dương</t>
  </si>
  <si>
    <t>Thành Phố Hà Giang</t>
  </si>
  <si>
    <t>Hà Giang</t>
  </si>
  <si>
    <t>Hà Đông</t>
  </si>
  <si>
    <t>Ðông Hà</t>
  </si>
  <si>
    <t>Quảng Trị</t>
  </si>
  <si>
    <t>Ðà Lạt</t>
  </si>
  <si>
    <t>Lâm Đồng</t>
  </si>
  <si>
    <t>Củ Chi</t>
  </si>
  <si>
    <t>Cát Bà</t>
  </si>
  <si>
    <t>Cao Lãnh</t>
  </si>
  <si>
    <t>Thành Phố Cao Bằng</t>
  </si>
  <si>
    <t>Cao Bằng</t>
  </si>
  <si>
    <t>Cần Thơ</t>
  </si>
  <si>
    <t>Cần Giờ</t>
  </si>
  <si>
    <t>Cần Giuộc</t>
  </si>
  <si>
    <t>Cẩm Phả Mines</t>
  </si>
  <si>
    <t>Cà Mau</t>
  </si>
  <si>
    <t>Buôn Ma Thuột</t>
  </si>
  <si>
    <t>Ðắc Lắk</t>
  </si>
  <si>
    <t>Bỉm Sơn</t>
  </si>
  <si>
    <t>Biên Hòa</t>
  </si>
  <si>
    <t>Đồng Nai</t>
  </si>
  <si>
    <t>Bến Tre</t>
  </si>
  <si>
    <t>Bảo Lộc</t>
  </si>
  <si>
    <t>Bắc Ninh</t>
  </si>
  <si>
    <t>Thành phố Bạc Liêu</t>
  </si>
  <si>
    <t>Bạc Liêu</t>
  </si>
  <si>
    <t>Bắc Giang</t>
  </si>
  <si>
    <t>Bắc Kạn</t>
  </si>
  <si>
    <t>Đinh Văn</t>
  </si>
  <si>
    <t>Circonscription d'Uvéa</t>
  </si>
  <si>
    <t>Zvečan</t>
  </si>
  <si>
    <t>Pejë</t>
  </si>
  <si>
    <t>Llazicë</t>
  </si>
  <si>
    <t>Mitrovicë</t>
  </si>
  <si>
    <t>Deçan</t>
  </si>
  <si>
    <t>Gjakovë</t>
  </si>
  <si>
    <t>Zinjibār</t>
  </si>
  <si>
    <t>Zabīd</t>
  </si>
  <si>
    <t>Muḩāfaz̧at al Ḩudaydah</t>
  </si>
  <si>
    <t>Yarīm</t>
  </si>
  <si>
    <t>Ta‘izz</t>
  </si>
  <si>
    <t>Sayyān</t>
  </si>
  <si>
    <t>Saḩar</t>
  </si>
  <si>
    <t>Şa‘dah</t>
  </si>
  <si>
    <t>Ma’rib</t>
  </si>
  <si>
    <t>Laḩij</t>
  </si>
  <si>
    <t>Ḩajjah</t>
  </si>
  <si>
    <t>Dhī as Sufāl</t>
  </si>
  <si>
    <t>Dhamār</t>
  </si>
  <si>
    <t>Bayt al Faqīh</t>
  </si>
  <si>
    <t>Bājil</t>
  </si>
  <si>
    <t>‘Amrān</t>
  </si>
  <si>
    <t>Al Mukallā</t>
  </si>
  <si>
    <t>Muḩāfaz̧at Ḩaḑramawt</t>
  </si>
  <si>
    <t>Al Ḩudaydah</t>
  </si>
  <si>
    <t>Al Ḩazm</t>
  </si>
  <si>
    <t>Port</t>
  </si>
  <si>
    <t>Orig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</si>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</sst>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9"/>
      <color rgb="FF000000"/>
      <name val="&quot;Google Sans Mono&quot;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0" borderId="1" xfId="0" applyFont="1" applyBorder="1" applyAlignment="1">
      <alignment wrapText="1"/>
    </xf>
    <xf numFmtId="0" fontId="2" fillId="0" borderId="0" xfId="0" applyFont="1"/>
    <xf numFmtId="0" fontId="2" fillId="0" borderId="0" xfId="0" applyFont="1" applyAlignment="1"/>
    <xf numFmtId="0" fontId="3" fillId="2" borderId="0" xfId="0" applyFont="1" applyFill="1"/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0" xfId="0" applyFont="1" applyAlignment="1">
      <alignment vertical="center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1" fillId="0" borderId="0" xfId="0" applyFont="1" applyAlignment="1">
      <alignment wrapText="1"/>
    </xf>
    <xf numFmtId="0" fontId="1" fillId="3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center"/>
    </xf>
    <xf numFmtId="0" fontId="4" fillId="0" borderId="1" xfId="0" applyFont="1" applyBorder="1" applyAlignment="1"/>
    <xf numFmtId="0" fontId="4" fillId="0" borderId="2" xfId="0" applyFont="1" applyBorder="1" applyAlignment="1"/>
    <xf numFmtId="0" fontId="4" fillId="0" borderId="1" xfId="0" quotePrefix="1" applyFont="1" applyBorder="1" applyAlignment="1"/>
    <xf numFmtId="0" fontId="4" fillId="0" borderId="0" xfId="0" applyFont="1" applyBorder="1" applyAlignment="1"/>
    <xf numFmtId="0" fontId="4" fillId="0" borderId="0" xfId="0" quotePrefix="1" applyFont="1" applyBorder="1" applyAlignment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648"/>
  <sheetViews>
    <sheetView tabSelected="1" workbookViewId="0">
      <pane ySplit="1" topLeftCell="A2" activePane="bottomLeft" state="frozen"/>
      <selection pane="bottomLeft" activeCell="F36666" sqref="F36666"/>
    </sheetView>
  </sheetViews>
  <sheetFormatPr defaultColWidth="14.42578125" defaultRowHeight="15" customHeight="1"/>
  <cols>
    <col min="1" max="3" width="47.7109375" customWidth="1"/>
    <col min="4" max="4" width="56.42578125" customWidth="1"/>
    <col min="5" max="5" width="11" customWidth="1"/>
    <col min="6" max="6" width="8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</row>
    <row r="2" spans="1:6">
      <c r="A2" s="5" t="str">
        <f ca="1">IFERROR(__xludf.DUMMYFUNCTION("GOOGLETRANSLATE(B36645,""en"",""pt"")"),"Perde")</f>
        <v>Perde</v>
      </c>
      <c r="B2" s="17" t="s">
        <v>34616</v>
      </c>
      <c r="C2" s="17" t="s">
        <v>17221</v>
      </c>
      <c r="D2" s="17" t="s">
        <v>17249</v>
      </c>
      <c r="E2" s="10">
        <v>785113</v>
      </c>
      <c r="F2" s="4" t="str">
        <f>IF(B2=B1,"",B2)</f>
        <v>Теарце</v>
      </c>
    </row>
    <row r="3" spans="1:6">
      <c r="A3" s="5" t="str">
        <f ca="1">IFERROR(__xludf.DUMMYFUNCTION("GOOGLETRANSLATE(B36646,""en"",""pt"")"),"Т тtens")</f>
        <v>Т тtens</v>
      </c>
      <c r="B3" s="17" t="s">
        <v>34617</v>
      </c>
      <c r="C3" s="17" t="s">
        <v>17221</v>
      </c>
      <c r="D3" s="17" t="s">
        <v>34618</v>
      </c>
      <c r="E3" s="10">
        <v>785345</v>
      </c>
      <c r="F3" s="4" t="str">
        <f>IF(B3=B2,"",B3)</f>
        <v>Студеничани</v>
      </c>
    </row>
    <row r="4" spans="1:6">
      <c r="A4" s="5" t="str">
        <f ca="1">IFERROR(__xludf.DUMMYFUNCTION("GOOGLETRANSLATE(B42720,""en"",""pt"")"),"Слтич")</f>
        <v>Слтич</v>
      </c>
      <c r="B4" s="17" t="s">
        <v>36050</v>
      </c>
      <c r="C4" s="17" t="s">
        <v>26870</v>
      </c>
      <c r="D4" s="17" t="s">
        <v>26905</v>
      </c>
      <c r="E4" s="10">
        <v>6930327</v>
      </c>
      <c r="F4" s="4" t="str">
        <f>IF(B4=B3,"",B4)</f>
        <v>Славутич</v>
      </c>
    </row>
    <row r="5" spans="1:6">
      <c r="A5" s="5" t="str">
        <f ca="1">IFERROR(__xludf.DUMMYFUNCTION("GOOGLETRANSLATE(B36651,""en"",""pt"")"),"Сарај")</f>
        <v>Сарај</v>
      </c>
      <c r="B5" s="17" t="s">
        <v>34621</v>
      </c>
      <c r="C5" s="17" t="s">
        <v>17221</v>
      </c>
      <c r="D5" s="17" t="s">
        <v>17240</v>
      </c>
      <c r="E5" s="10">
        <v>786093</v>
      </c>
      <c r="F5" s="4" t="str">
        <f>IF(B5=B4,"",B5)</f>
        <v>Сарај</v>
      </c>
    </row>
    <row r="6" spans="1:6">
      <c r="A6" s="5" t="str">
        <f ca="1">IFERROR(__xludf.DUMMYFUNCTION("GOOGLETRANSLATE(B36652,""en"",""pt"")"),"Н 12")</f>
        <v>Н 12</v>
      </c>
      <c r="B6" s="17" t="s">
        <v>34622</v>
      </c>
      <c r="C6" s="17" t="s">
        <v>17221</v>
      </c>
      <c r="D6" s="17" t="s">
        <v>17237</v>
      </c>
      <c r="E6" s="10">
        <v>786341</v>
      </c>
      <c r="F6" s="4" t="str">
        <f>IF(B6=B5,"",B6)</f>
        <v>Ресен</v>
      </c>
    </row>
    <row r="7" spans="1:6">
      <c r="A7" s="5" t="str">
        <f ca="1">IFERROR(__xludf.DUMMYFUNCTION("GOOGLETRANSLATE(B36653,""en"",""pt"")"),"Радовfiaш")</f>
        <v>Радовfiaш</v>
      </c>
      <c r="B7" s="17" t="s">
        <v>34623</v>
      </c>
      <c r="C7" s="17" t="s">
        <v>17221</v>
      </c>
      <c r="D7" s="17" t="s">
        <v>34624</v>
      </c>
      <c r="E7" s="10">
        <v>786565</v>
      </c>
      <c r="F7" s="4" t="str">
        <f>IF(B7=B6,"",B7)</f>
        <v>Радовиш</v>
      </c>
    </row>
    <row r="8" spans="1:6">
      <c r="A8" s="5" t="str">
        <f ca="1">IFERROR(__xludf.DUMMYFUNCTION("GOOGLETRANSLATE(B36656,""en"",""pt"")"),"Неготино")</f>
        <v>Неготино</v>
      </c>
      <c r="B8" s="17" t="s">
        <v>34625</v>
      </c>
      <c r="C8" s="17" t="s">
        <v>17221</v>
      </c>
      <c r="D8" s="17" t="s">
        <v>34626</v>
      </c>
      <c r="E8" s="10">
        <v>787715</v>
      </c>
      <c r="F8" s="4" t="str">
        <f>IF(B8=B7,"",B8)</f>
        <v>Неготино</v>
      </c>
    </row>
    <row r="9" spans="1:6">
      <c r="A9" s="5" t="str">
        <f ca="1">IFERROR(__xludf.DUMMYFUNCTION("GOOGLETRANSLATE(B36658,""en"",""pt"")"),"Липкоéri")</f>
        <v>Липкоéri</v>
      </c>
      <c r="B9" s="17" t="s">
        <v>34627</v>
      </c>
      <c r="C9" s="17" t="s">
        <v>17221</v>
      </c>
      <c r="D9" s="17" t="s">
        <v>17246</v>
      </c>
      <c r="E9" s="10">
        <v>788654</v>
      </c>
      <c r="F9" s="4" t="str">
        <f>IF(B9=B8,"",B9)</f>
        <v>Липково</v>
      </c>
    </row>
    <row r="10" spans="1:6">
      <c r="A10" s="5" t="str">
        <f ca="1">IFERROR(__xludf.DUMMYFUNCTION("GOOGLETRANSLATE(B36660,""en"",""pt"")"),"Криа паvio")</f>
        <v>Криа паvio</v>
      </c>
      <c r="B10" s="17" t="s">
        <v>34628</v>
      </c>
      <c r="C10" s="17" t="s">
        <v>17221</v>
      </c>
      <c r="D10" s="17" t="s">
        <v>17263</v>
      </c>
      <c r="E10" s="10">
        <v>789045</v>
      </c>
      <c r="F10" s="4" t="str">
        <f>IF(B10=B9,"",B10)</f>
        <v>Крива Паланка</v>
      </c>
    </row>
    <row r="11" spans="1:6">
      <c r="A11" s="5" t="str">
        <f ca="1">IFERROR(__xludf.DUMMYFUNCTION("GOOGLETRANSLATE(B36782,""en"",""pt"")"),"З нод")</f>
        <v>З нод</v>
      </c>
      <c r="B11" s="17" t="s">
        <v>34641</v>
      </c>
      <c r="C11" s="17" t="s">
        <v>18496</v>
      </c>
      <c r="D11" s="17" t="s">
        <v>18512</v>
      </c>
      <c r="E11" s="10">
        <v>7648817</v>
      </c>
      <c r="F11" s="4" t="str">
        <f>IF(B11=B10,"",B11)</f>
        <v>Зуунмод</v>
      </c>
    </row>
    <row r="12" spans="1:6">
      <c r="A12" s="5" t="str">
        <f ca="1">IFERROR(__xludf.DUMMYFUNCTION("GOOGLETRANSLATE(B36641,""en"",""pt"")"),"Жero")</f>
        <v>Жero</v>
      </c>
      <c r="B12" s="17" t="s">
        <v>34614</v>
      </c>
      <c r="C12" s="17" t="s">
        <v>17221</v>
      </c>
      <c r="D12" s="17" t="s">
        <v>34615</v>
      </c>
      <c r="E12" s="10">
        <v>783926</v>
      </c>
      <c r="F12" s="4" t="str">
        <f>IF(B12=B11,"",B12)</f>
        <v>Желино</v>
      </c>
    </row>
    <row r="13" spans="1:6">
      <c r="A13" s="5" t="str">
        <f ca="1">IFERROR(__xludf.DUMMYFUNCTION("GOOGLETRANSLATE(B42697,""en"",""pt"")"),"Бi")</f>
        <v>Бi</v>
      </c>
      <c r="B13" s="17" t="s">
        <v>36044</v>
      </c>
      <c r="C13" s="17" t="s">
        <v>26870</v>
      </c>
      <c r="D13" s="17" t="s">
        <v>26931</v>
      </c>
      <c r="E13" s="10">
        <v>712374</v>
      </c>
      <c r="F13" s="4" t="str">
        <f>IF(B13=B12,"",B13)</f>
        <v>Бережани</v>
      </c>
    </row>
    <row r="14" spans="1:6">
      <c r="A14" s="5" t="str">
        <f ca="1">IFERROR(__xludf.DUMMYFUNCTION("GOOGLETRANSLATE(B39299,""en"",""pt"")"),"Żywiec")</f>
        <v>Żywiec</v>
      </c>
      <c r="B14" s="17" t="s">
        <v>35136</v>
      </c>
      <c r="C14" s="17" t="s">
        <v>21064</v>
      </c>
      <c r="D14" s="17" t="s">
        <v>21073</v>
      </c>
      <c r="E14" s="10">
        <v>3079855</v>
      </c>
      <c r="F14" s="4" t="str">
        <f>IF(B14=B13,"",B14)</f>
        <v>Żywiec</v>
      </c>
    </row>
    <row r="15" spans="1:6">
      <c r="A15" s="6" t="s">
        <v>23410</v>
      </c>
      <c r="B15" s="6" t="s">
        <v>23410</v>
      </c>
      <c r="C15" s="6" t="s">
        <v>22070</v>
      </c>
      <c r="D15" s="6" t="s">
        <v>22127</v>
      </c>
      <c r="E15" s="2">
        <v>461740</v>
      </c>
      <c r="F15" s="4" t="str">
        <f>IF(B15=B14,"",B15)</f>
        <v>Zyuzino</v>
      </c>
    </row>
    <row r="16" spans="1:6">
      <c r="A16" s="5" t="str">
        <f ca="1">IFERROR(__xludf.DUMMYFUNCTION("GOOGLETRANSLATE(B39908,""en"",""pt"")"),"Zyuzino")</f>
        <v>Zyuzino</v>
      </c>
      <c r="B16" s="17" t="s">
        <v>23410</v>
      </c>
      <c r="C16" s="17" t="s">
        <v>22070</v>
      </c>
      <c r="D16" s="17" t="s">
        <v>22127</v>
      </c>
      <c r="E16" s="10">
        <v>461740</v>
      </c>
      <c r="F16" s="4" t="str">
        <f>IF(B16=B15,"",B16)</f>
        <v/>
      </c>
    </row>
    <row r="17" spans="1:6">
      <c r="A17" s="5" t="s">
        <v>16778</v>
      </c>
      <c r="B17" s="6" t="s">
        <v>16778</v>
      </c>
      <c r="C17" s="5" t="s">
        <v>16671</v>
      </c>
      <c r="D17" s="5" t="s">
        <v>16697</v>
      </c>
      <c r="E17" s="2">
        <v>1516438</v>
      </c>
      <c r="F17" s="4" t="str">
        <f>IF(B17=B16,"",B17)</f>
        <v>Zyryanovsk</v>
      </c>
    </row>
    <row r="18" spans="1:6">
      <c r="A18" s="5" t="str">
        <f ca="1">IFERROR(__xludf.DUMMYFUNCTION("GOOGLETRANSLATE(B36198,""en"",""pt"")"),"Zyryanovsk")</f>
        <v>Zyryanovsk</v>
      </c>
      <c r="B18" s="17" t="s">
        <v>16778</v>
      </c>
      <c r="C18" s="17" t="s">
        <v>16671</v>
      </c>
      <c r="D18" s="17" t="s">
        <v>16697</v>
      </c>
      <c r="E18" s="10">
        <v>1516438</v>
      </c>
      <c r="F18" s="4" t="str">
        <f>IF(B18=B17,"",B18)</f>
        <v/>
      </c>
    </row>
    <row r="19" spans="1:6">
      <c r="A19" s="5" t="str">
        <f ca="1">IFERROR(__xludf.DUMMYFUNCTION("GOOGLETRANSLATE(B39175,""en"",""pt"")"),"Żyrardów")</f>
        <v>Żyrardów</v>
      </c>
      <c r="B19" s="17" t="s">
        <v>35061</v>
      </c>
      <c r="C19" s="17" t="s">
        <v>21064</v>
      </c>
      <c r="D19" s="17" t="s">
        <v>21070</v>
      </c>
      <c r="E19" s="10">
        <v>752967</v>
      </c>
      <c r="F19" s="4" t="str">
        <f>IF(B19=B18,"",B19)</f>
        <v>Żyrardów</v>
      </c>
    </row>
    <row r="20" spans="1:6">
      <c r="A20" s="5" t="s">
        <v>23409</v>
      </c>
      <c r="B20" s="6" t="s">
        <v>23409</v>
      </c>
      <c r="C20" s="5" t="s">
        <v>22070</v>
      </c>
      <c r="D20" s="5" t="s">
        <v>22127</v>
      </c>
      <c r="E20" s="2">
        <v>461835</v>
      </c>
      <c r="F20" s="4" t="str">
        <f>IF(B20=B19,"",B20)</f>
        <v>Zyablikovo</v>
      </c>
    </row>
    <row r="21" spans="1:6" ht="15.75" customHeight="1">
      <c r="A21" s="5" t="str">
        <f ca="1">IFERROR(__xludf.DUMMYFUNCTION("GOOGLETRANSLATE(B39909,""en"",""pt"")"),"Zyablikovo")</f>
        <v>Zyablikovo</v>
      </c>
      <c r="B21" s="17" t="s">
        <v>23409</v>
      </c>
      <c r="C21" s="17" t="s">
        <v>22070</v>
      </c>
      <c r="D21" s="17" t="s">
        <v>22127</v>
      </c>
      <c r="E21" s="10">
        <v>461835</v>
      </c>
      <c r="F21" s="4" t="str">
        <f>IF(B21=B20,"",B21)</f>
        <v/>
      </c>
    </row>
    <row r="22" spans="1:6" ht="15.75" customHeight="1">
      <c r="A22" s="6" t="s">
        <v>19161</v>
      </c>
      <c r="B22" s="6" t="s">
        <v>19161</v>
      </c>
      <c r="C22" s="6" t="s">
        <v>18862</v>
      </c>
      <c r="D22" s="6" t="s">
        <v>18871</v>
      </c>
      <c r="E22" s="2">
        <v>2743477</v>
      </c>
      <c r="F22" s="4" t="str">
        <f>IF(B22=B21,"",B22)</f>
        <v>Zwolle</v>
      </c>
    </row>
    <row r="23" spans="1:6" ht="15.75" customHeight="1">
      <c r="A23" s="5" t="str">
        <f ca="1">IFERROR(__xludf.DUMMYFUNCTION("GOOGLETRANSLATE(B37885,""en"",""pt"")"),"Zwolle")</f>
        <v>Zwolle</v>
      </c>
      <c r="B23" s="17" t="s">
        <v>19161</v>
      </c>
      <c r="C23" s="17" t="s">
        <v>18862</v>
      </c>
      <c r="D23" s="17" t="s">
        <v>18871</v>
      </c>
      <c r="E23" s="10">
        <v>2743477</v>
      </c>
      <c r="F23" s="4" t="str">
        <f>IF(B23=B22,"",B23)</f>
        <v/>
      </c>
    </row>
    <row r="24" spans="1:6" ht="15.75" customHeight="1">
      <c r="A24" s="5" t="s">
        <v>1731</v>
      </c>
      <c r="B24" s="6" t="s">
        <v>1731</v>
      </c>
      <c r="C24" s="5" t="s">
        <v>1512</v>
      </c>
      <c r="D24" s="5" t="s">
        <v>1513</v>
      </c>
      <c r="E24" s="2">
        <v>2783081</v>
      </c>
      <c r="F24" s="4" t="str">
        <f>IF(B24=B23,"",B24)</f>
        <v>Zwijndrecht</v>
      </c>
    </row>
    <row r="25" spans="1:6" ht="15.75" customHeight="1">
      <c r="A25" s="5" t="s">
        <v>1731</v>
      </c>
      <c r="B25" s="6" t="s">
        <v>1731</v>
      </c>
      <c r="C25" s="5" t="s">
        <v>18862</v>
      </c>
      <c r="D25" s="5" t="s">
        <v>18868</v>
      </c>
      <c r="E25" s="2">
        <v>2743493</v>
      </c>
      <c r="F25" s="4" t="str">
        <f>IF(B25=B24,"",B25)</f>
        <v/>
      </c>
    </row>
    <row r="26" spans="1:6" ht="15.75" customHeight="1">
      <c r="A26" s="5" t="str">
        <f ca="1">IFERROR(__xludf.DUMMYFUNCTION("GOOGLETRANSLATE(B23791,""en"",""pt"")"),"Zwijndrecht")</f>
        <v>Zwijndrecht</v>
      </c>
      <c r="B26" s="17" t="s">
        <v>1731</v>
      </c>
      <c r="C26" s="17" t="s">
        <v>1512</v>
      </c>
      <c r="D26" s="17" t="s">
        <v>1513</v>
      </c>
      <c r="E26" s="10">
        <v>2783081</v>
      </c>
      <c r="F26" s="4" t="str">
        <f>IF(B26=B25,"",B26)</f>
        <v/>
      </c>
    </row>
    <row r="27" spans="1:6" ht="15.75" customHeight="1">
      <c r="A27" s="5" t="str">
        <f ca="1">IFERROR(__xludf.DUMMYFUNCTION("GOOGLETRANSLATE(B37886,""en"",""pt"")"),"Zwijndrecht")</f>
        <v>Zwijndrecht</v>
      </c>
      <c r="B27" s="17" t="s">
        <v>1731</v>
      </c>
      <c r="C27" s="17" t="s">
        <v>18862</v>
      </c>
      <c r="D27" s="17" t="s">
        <v>18868</v>
      </c>
      <c r="E27" s="10">
        <v>2743493</v>
      </c>
      <c r="F27" s="4" t="str">
        <f>IF(B27=B26,"",B27)</f>
        <v/>
      </c>
    </row>
    <row r="28" spans="1:6" ht="15.75" customHeight="1">
      <c r="A28" s="6" t="s">
        <v>9363</v>
      </c>
      <c r="B28" s="6" t="s">
        <v>9363</v>
      </c>
      <c r="C28" s="6" t="s">
        <v>8028</v>
      </c>
      <c r="D28" s="6" t="s">
        <v>8072</v>
      </c>
      <c r="E28" s="2">
        <v>2803560</v>
      </c>
      <c r="F28" s="4" t="str">
        <f>IF(B28=B27,"",B28)</f>
        <v>Zwickau</v>
      </c>
    </row>
    <row r="29" spans="1:6" ht="15.75" customHeight="1">
      <c r="A29" s="5" t="str">
        <f ca="1">IFERROR(__xludf.DUMMYFUNCTION("GOOGLETRANSLATE(B27342,""en"",""pt"")"),"Zwickau")</f>
        <v>Zwickau</v>
      </c>
      <c r="B29" s="17" t="s">
        <v>9363</v>
      </c>
      <c r="C29" s="17" t="s">
        <v>8028</v>
      </c>
      <c r="D29" s="17" t="s">
        <v>8072</v>
      </c>
      <c r="E29" s="10">
        <v>2803560</v>
      </c>
      <c r="F29" s="4" t="str">
        <f>IF(B29=B28,"",B29)</f>
        <v/>
      </c>
    </row>
    <row r="30" spans="1:6" ht="15.75" customHeight="1">
      <c r="A30" s="5" t="s">
        <v>1730</v>
      </c>
      <c r="B30" s="6" t="s">
        <v>1730</v>
      </c>
      <c r="C30" s="5" t="s">
        <v>1512</v>
      </c>
      <c r="D30" s="5" t="s">
        <v>1513</v>
      </c>
      <c r="E30" s="2">
        <v>2783089</v>
      </c>
      <c r="F30" s="4" t="str">
        <f>IF(B30=B29,"",B30)</f>
        <v>Zwevegem</v>
      </c>
    </row>
    <row r="31" spans="1:6" ht="15.75" customHeight="1">
      <c r="A31" s="5" t="str">
        <f ca="1">IFERROR(__xludf.DUMMYFUNCTION("GOOGLETRANSLATE(B23792,""en"",""pt"")"),"Zwevegem")</f>
        <v>Zwevegem</v>
      </c>
      <c r="B31" s="17" t="s">
        <v>1730</v>
      </c>
      <c r="C31" s="17" t="s">
        <v>1512</v>
      </c>
      <c r="D31" s="17" t="s">
        <v>1513</v>
      </c>
      <c r="E31" s="10">
        <v>2783089</v>
      </c>
      <c r="F31" s="4" t="str">
        <f>IF(B31=B30,"",B31)</f>
        <v/>
      </c>
    </row>
    <row r="32" spans="1:6" ht="15.75" customHeight="1">
      <c r="A32" s="5" t="str">
        <f ca="1">IFERROR(__xludf.DUMMYFUNCTION("GOOGLETRANSLATE(B27343,""en"",""pt"")"),"Zweibrücken")</f>
        <v>Zweibrücken</v>
      </c>
      <c r="B32" s="17" t="s">
        <v>32007</v>
      </c>
      <c r="C32" s="17" t="s">
        <v>8028</v>
      </c>
      <c r="D32" s="17" t="s">
        <v>8065</v>
      </c>
      <c r="E32" s="10">
        <v>2803620</v>
      </c>
      <c r="F32" s="4" t="str">
        <f>IF(B32=B31,"",B32)</f>
        <v>Zweibrücken</v>
      </c>
    </row>
    <row r="33" spans="1:6" ht="15.75" customHeight="1">
      <c r="A33" s="5" t="s">
        <v>9361</v>
      </c>
      <c r="B33" s="6" t="s">
        <v>9362</v>
      </c>
      <c r="C33" s="5" t="s">
        <v>8028</v>
      </c>
      <c r="D33" s="5" t="s">
        <v>8065</v>
      </c>
      <c r="E33" s="2">
        <v>2803620</v>
      </c>
      <c r="F33" s="4" t="str">
        <f>IF(B33=B32,"",B33)</f>
        <v>ZweibrÃ¼cken</v>
      </c>
    </row>
    <row r="34" spans="1:6" ht="15.75" customHeight="1">
      <c r="A34" s="6" t="s">
        <v>17071</v>
      </c>
      <c r="B34" s="6" t="s">
        <v>17071</v>
      </c>
      <c r="C34" s="6" t="s">
        <v>5687</v>
      </c>
      <c r="D34" s="6" t="s">
        <v>17072</v>
      </c>
      <c r="E34" s="2">
        <v>2272491</v>
      </c>
      <c r="F34" s="4" t="str">
        <f>IF(B34=B33,"",B34)</f>
        <v>Zwedru</v>
      </c>
    </row>
    <row r="35" spans="1:6" ht="15.75" customHeight="1">
      <c r="A35" s="5" t="str">
        <f ca="1">IFERROR(__xludf.DUMMYFUNCTION("GOOGLETRANSLATE(B36342,""en"",""pt"")"),"Zwedru")</f>
        <v>Zwedru</v>
      </c>
      <c r="B35" s="17" t="s">
        <v>17071</v>
      </c>
      <c r="C35" s="17" t="s">
        <v>5687</v>
      </c>
      <c r="D35" s="17" t="s">
        <v>17072</v>
      </c>
      <c r="E35" s="10">
        <v>2272491</v>
      </c>
      <c r="F35" s="4" t="str">
        <f>IF(B35=B34,"",B35)</f>
        <v/>
      </c>
    </row>
    <row r="36" spans="1:6" ht="15.75" customHeight="1">
      <c r="A36" s="6" t="s">
        <v>23783</v>
      </c>
      <c r="B36" s="6" t="s">
        <v>23784</v>
      </c>
      <c r="C36" s="6" t="s">
        <v>23694</v>
      </c>
      <c r="D36" s="6" t="s">
        <v>23695</v>
      </c>
      <c r="E36" s="2">
        <v>3056459</v>
      </c>
      <c r="F36" s="4" t="str">
        <f>IF(B36=B35,"",B36)</f>
        <v>Zvolen</v>
      </c>
    </row>
    <row r="37" spans="1:6" ht="15.75" customHeight="1">
      <c r="A37" s="5" t="str">
        <f ca="1">IFERROR(__xludf.DUMMYFUNCTION("GOOGLETRANSLATE(B41235,""en"",""pt"")"),"ZVOLEN")</f>
        <v>ZVOLEN</v>
      </c>
      <c r="B37" s="17" t="s">
        <v>23784</v>
      </c>
      <c r="C37" s="17" t="s">
        <v>23694</v>
      </c>
      <c r="D37" s="17" t="s">
        <v>35673</v>
      </c>
      <c r="E37" s="10">
        <v>3056459</v>
      </c>
      <c r="F37" s="4" t="str">
        <f>IF(B37=B36,"",B37)</f>
        <v/>
      </c>
    </row>
    <row r="38" spans="1:6" ht="15.75" customHeight="1">
      <c r="A38" s="5" t="s">
        <v>31103</v>
      </c>
      <c r="B38" s="6" t="s">
        <v>31103</v>
      </c>
      <c r="C38" s="5" t="s">
        <v>31072</v>
      </c>
      <c r="D38" s="5" t="s">
        <v>31083</v>
      </c>
      <c r="E38" s="2">
        <v>878549</v>
      </c>
      <c r="F38" s="4" t="str">
        <f>IF(B38=B37,"",B38)</f>
        <v>Zvishavane</v>
      </c>
    </row>
    <row r="39" spans="1:6" ht="15.75" customHeight="1">
      <c r="A39" s="5" t="str">
        <f ca="1">IFERROR(__xludf.DUMMYFUNCTION("GOOGLETRANSLATE(B46031,""en"",""pt"")"),"Zvishavane")</f>
        <v>Zvishavane</v>
      </c>
      <c r="B39" s="17" t="s">
        <v>31103</v>
      </c>
      <c r="C39" s="17" t="s">
        <v>31072</v>
      </c>
      <c r="D39" s="17" t="s">
        <v>31083</v>
      </c>
      <c r="E39" s="10">
        <v>878549</v>
      </c>
      <c r="F39" s="4" t="str">
        <f>IF(B39=B38,"",B39)</f>
        <v/>
      </c>
    </row>
    <row r="40" spans="1:6" ht="15.75" customHeight="1">
      <c r="A40" s="6" t="s">
        <v>23407</v>
      </c>
      <c r="B40" s="6" t="s">
        <v>23408</v>
      </c>
      <c r="C40" s="6" t="s">
        <v>22070</v>
      </c>
      <c r="D40" s="6" t="s">
        <v>22099</v>
      </c>
      <c r="E40" s="2">
        <v>461910</v>
      </c>
      <c r="F40" s="4" t="str">
        <f>IF(B40=B39,"",B40)</f>
        <v>Zverevo</v>
      </c>
    </row>
    <row r="41" spans="1:6" ht="15.75" customHeight="1">
      <c r="A41" s="5" t="str">
        <f ca="1">IFERROR(__xludf.DUMMYFUNCTION("GOOGLETRANSLATE(B39910,""en"",""pt"")"),"Zvero")</f>
        <v>Zvero</v>
      </c>
      <c r="B41" s="17" t="s">
        <v>23408</v>
      </c>
      <c r="C41" s="17" t="s">
        <v>22070</v>
      </c>
      <c r="D41" s="17" t="s">
        <v>22099</v>
      </c>
      <c r="E41" s="10">
        <v>461910</v>
      </c>
      <c r="F41" s="4" t="str">
        <f>IF(B41=B40,"",B41)</f>
        <v/>
      </c>
    </row>
    <row r="42" spans="1:6" ht="15.75" customHeight="1">
      <c r="A42" s="5" t="s">
        <v>27211</v>
      </c>
      <c r="B42" s="6" t="s">
        <v>27211</v>
      </c>
      <c r="C42" s="5" t="s">
        <v>26870</v>
      </c>
      <c r="D42" s="5" t="s">
        <v>26925</v>
      </c>
      <c r="E42" s="2">
        <v>686803</v>
      </c>
      <c r="F42" s="4" t="str">
        <f>IF(B42=B41,"",B42)</f>
        <v>Zvenyhorodka</v>
      </c>
    </row>
    <row r="43" spans="1:6" ht="15.75" customHeight="1">
      <c r="A43" s="5" t="str">
        <f ca="1">IFERROR(__xludf.DUMMYFUNCTION("GOOGLETRANSLATE(B42469,""en"",""pt"")"),"Zvenyhorodka")</f>
        <v>Zvenyhorodka</v>
      </c>
      <c r="B43" s="17" t="s">
        <v>27211</v>
      </c>
      <c r="C43" s="17" t="s">
        <v>26870</v>
      </c>
      <c r="D43" s="17" t="s">
        <v>26925</v>
      </c>
      <c r="E43" s="10">
        <v>686803</v>
      </c>
      <c r="F43" s="4" t="str">
        <f>IF(B43=B42,"",B43)</f>
        <v/>
      </c>
    </row>
    <row r="44" spans="1:6" ht="15.75" customHeight="1">
      <c r="A44" s="5" t="s">
        <v>23406</v>
      </c>
      <c r="B44" s="6" t="s">
        <v>23406</v>
      </c>
      <c r="C44" s="5" t="s">
        <v>22070</v>
      </c>
      <c r="D44" s="5" t="s">
        <v>22119</v>
      </c>
      <c r="E44" s="2">
        <v>461920</v>
      </c>
      <c r="F44" s="4" t="str">
        <f>IF(B44=B43,"",B44)</f>
        <v>Zvenigorod</v>
      </c>
    </row>
    <row r="45" spans="1:6" ht="15.75" customHeight="1">
      <c r="A45" s="5" t="str">
        <f ca="1">IFERROR(__xludf.DUMMYFUNCTION("GOOGLETRANSLATE(B39911,""en"",""pt"")"),"Zvenigorod")</f>
        <v>Zvenigorod</v>
      </c>
      <c r="B45" s="17" t="s">
        <v>23406</v>
      </c>
      <c r="C45" s="17" t="s">
        <v>22070</v>
      </c>
      <c r="D45" s="17" t="s">
        <v>22119</v>
      </c>
      <c r="E45" s="10">
        <v>461920</v>
      </c>
      <c r="F45" s="4" t="str">
        <f>IF(B45=B44,"",B45)</f>
        <v/>
      </c>
    </row>
    <row r="46" spans="1:6" ht="15.75" customHeight="1">
      <c r="A46" s="5" t="str">
        <f ca="1">IFERROR(__xludf.DUMMYFUNCTION("GOOGLETRANSLATE(B45795,""en"",""pt"")"),"Zvečan")</f>
        <v>Zvečan</v>
      </c>
      <c r="B46" s="17" t="s">
        <v>36205</v>
      </c>
      <c r="C46" s="17" t="s">
        <v>16852</v>
      </c>
      <c r="D46" s="17" t="s">
        <v>16866</v>
      </c>
      <c r="E46" s="10">
        <v>783770</v>
      </c>
      <c r="F46" s="4" t="str">
        <f>IF(B46=B45,"",B46)</f>
        <v>Zvečan</v>
      </c>
    </row>
    <row r="47" spans="1:6" ht="15.75" customHeight="1">
      <c r="A47" s="6" t="s">
        <v>16880</v>
      </c>
      <c r="B47" s="6" t="s">
        <v>16881</v>
      </c>
      <c r="C47" s="6" t="s">
        <v>16852</v>
      </c>
      <c r="D47" s="6" t="s">
        <v>16866</v>
      </c>
      <c r="E47" s="2">
        <v>783770</v>
      </c>
      <c r="F47" s="4" t="str">
        <f>IF(B47=B46,"",B47)</f>
        <v>ZveÄan</v>
      </c>
    </row>
    <row r="48" spans="1:6" ht="15.75" customHeight="1">
      <c r="A48" s="5" t="str">
        <f ca="1">IFERROR(__xludf.DUMMYFUNCTION("GOOGLETRANSLATE(B36425,""en"",""pt"")"),"Zuwārah")</f>
        <v>Zuwārah</v>
      </c>
      <c r="B48" s="17" t="s">
        <v>34562</v>
      </c>
      <c r="C48" s="17" t="s">
        <v>17074</v>
      </c>
      <c r="D48" s="17" t="s">
        <v>34563</v>
      </c>
      <c r="E48" s="10">
        <v>2208425</v>
      </c>
      <c r="F48" s="4" t="str">
        <f>IF(B48=B47,"",B48)</f>
        <v>Zuwārah</v>
      </c>
    </row>
    <row r="49" spans="1:6" ht="15.75" customHeight="1">
      <c r="A49" s="6" t="s">
        <v>17148</v>
      </c>
      <c r="B49" s="6" t="s">
        <v>17149</v>
      </c>
      <c r="C49" s="6" t="s">
        <v>17074</v>
      </c>
      <c r="D49" s="6" t="s">
        <v>17145</v>
      </c>
      <c r="E49" s="2">
        <v>2208425</v>
      </c>
      <c r="F49" s="4" t="str">
        <f>IF(B49=B48,"",B49)</f>
        <v>ZuwÄrah</v>
      </c>
    </row>
    <row r="50" spans="1:6" ht="15.75" customHeight="1">
      <c r="A50" s="6" t="s">
        <v>19160</v>
      </c>
      <c r="B50" s="6" t="s">
        <v>19160</v>
      </c>
      <c r="C50" s="6" t="s">
        <v>18862</v>
      </c>
      <c r="D50" s="6" t="s">
        <v>18865</v>
      </c>
      <c r="E50" s="2">
        <v>2743608</v>
      </c>
      <c r="F50" s="4" t="str">
        <f>IF(B50=B49,"",B50)</f>
        <v>Zutphen</v>
      </c>
    </row>
    <row r="51" spans="1:6" ht="15.75" customHeight="1">
      <c r="A51" s="5" t="str">
        <f ca="1">IFERROR(__xludf.DUMMYFUNCTION("GOOGLETRANSLATE(B37887,""en"",""pt"")"),"Zutphen")</f>
        <v>Zutphen</v>
      </c>
      <c r="B51" s="17" t="s">
        <v>19160</v>
      </c>
      <c r="C51" s="17" t="s">
        <v>18862</v>
      </c>
      <c r="D51" s="17" t="s">
        <v>18865</v>
      </c>
      <c r="E51" s="10">
        <v>2743608</v>
      </c>
      <c r="F51" s="4" t="str">
        <f>IF(B51=B50,"",B51)</f>
        <v/>
      </c>
    </row>
    <row r="52" spans="1:6" ht="15.75" customHeight="1">
      <c r="A52" s="6" t="s">
        <v>16618</v>
      </c>
      <c r="B52" s="6" t="s">
        <v>16618</v>
      </c>
      <c r="C52" s="6" t="s">
        <v>15704</v>
      </c>
      <c r="D52" s="6" t="s">
        <v>15755</v>
      </c>
      <c r="E52" s="2">
        <v>1847968</v>
      </c>
      <c r="F52" s="4" t="str">
        <f>IF(B52=B51,"",B52)</f>
        <v>Zushi</v>
      </c>
    </row>
    <row r="53" spans="1:6" ht="15.75" customHeight="1">
      <c r="A53" s="5" t="str">
        <f ca="1">IFERROR(__xludf.DUMMYFUNCTION("GOOGLETRANSLATE(B35151,""en"",""pt"")"),"Zushi")</f>
        <v>Zushi</v>
      </c>
      <c r="B53" s="17" t="s">
        <v>16618</v>
      </c>
      <c r="C53" s="17" t="s">
        <v>15704</v>
      </c>
      <c r="D53" s="17" t="s">
        <v>15755</v>
      </c>
      <c r="E53" s="10">
        <v>1847968</v>
      </c>
      <c r="F53" s="4" t="str">
        <f>IF(B53=B52,"",B53)</f>
        <v/>
      </c>
    </row>
    <row r="54" spans="1:6" ht="15.75" customHeight="1">
      <c r="A54" s="6" t="s">
        <v>19585</v>
      </c>
      <c r="B54" s="6" t="s">
        <v>19585</v>
      </c>
      <c r="C54" s="6" t="s">
        <v>19294</v>
      </c>
      <c r="D54" s="6" t="s">
        <v>19325</v>
      </c>
      <c r="E54" s="2">
        <v>2317548</v>
      </c>
      <c r="F54" s="4" t="str">
        <f>IF(B54=B53,"",B54)</f>
        <v>Zuru</v>
      </c>
    </row>
    <row r="55" spans="1:6" ht="15.75" customHeight="1">
      <c r="A55" s="5" t="str">
        <f ca="1">IFERROR(__xludf.DUMMYFUNCTION("GOOGLETRANSLATE(B37607,""en"",""pt"")"),"Zuru")</f>
        <v>Zuru</v>
      </c>
      <c r="B55" s="17" t="s">
        <v>19585</v>
      </c>
      <c r="C55" s="17" t="s">
        <v>19294</v>
      </c>
      <c r="D55" s="17" t="s">
        <v>19325</v>
      </c>
      <c r="E55" s="10">
        <v>2317548</v>
      </c>
      <c r="F55" s="4" t="str">
        <f>IF(B55=B54,"",B55)</f>
        <v/>
      </c>
    </row>
    <row r="56" spans="1:6" ht="15.75" customHeight="1">
      <c r="A56" s="5" t="str">
        <f ca="1">IFERROR(__xludf.DUMMYFUNCTION("GOOGLETRANSLATE(B25811,""en"",""pt"")"),"Zurique (Kreis 9) / Altstetten")</f>
        <v>Zurique (Kreis 9) / Altstetten</v>
      </c>
      <c r="B56" s="17" t="s">
        <v>25362</v>
      </c>
      <c r="C56" s="17" t="s">
        <v>25237</v>
      </c>
      <c r="D56" s="17" t="s">
        <v>25240</v>
      </c>
      <c r="E56" s="10">
        <v>6295513</v>
      </c>
      <c r="F56" s="4" t="str">
        <f>IF(B56=B55,"",B56)</f>
        <v>Zürich (Kreis 9) / Altstetten</v>
      </c>
    </row>
    <row r="57" spans="1:6" ht="15.75" customHeight="1">
      <c r="A57" s="5" t="str">
        <f ca="1">IFERROR(__xludf.DUMMYFUNCTION("GOOGLETRANSLATE(B25810,""en"",""pt"")"),"Zurique (Kreis 9) / Albisrieden")</f>
        <v>Zurique (Kreis 9) / Albisrieden</v>
      </c>
      <c r="B57" s="17" t="s">
        <v>25360</v>
      </c>
      <c r="C57" s="17" t="s">
        <v>25237</v>
      </c>
      <c r="D57" s="17" t="s">
        <v>25240</v>
      </c>
      <c r="E57" s="10">
        <v>6295512</v>
      </c>
      <c r="F57" s="4" t="str">
        <f>IF(B57=B56,"",B57)</f>
        <v>Zürich (Kreis 9) / Albisrieden</v>
      </c>
    </row>
    <row r="58" spans="1:6" ht="15.75" customHeight="1">
      <c r="A58" s="5" t="str">
        <f ca="1">IFERROR(__xludf.DUMMYFUNCTION("GOOGLETRANSLATE(B25817,""en"",""pt"")"),"Zurique (Kreis 9)")</f>
        <v>Zurique (Kreis 9)</v>
      </c>
      <c r="B58" s="17" t="s">
        <v>25358</v>
      </c>
      <c r="C58" s="17" t="s">
        <v>25237</v>
      </c>
      <c r="D58" s="17" t="s">
        <v>25240</v>
      </c>
      <c r="E58" s="10">
        <v>6295534</v>
      </c>
      <c r="F58" s="4" t="str">
        <f>IF(B58=B57,"",B58)</f>
        <v>Zürich (Kreis 9)</v>
      </c>
    </row>
    <row r="59" spans="1:6" ht="15.75" customHeight="1">
      <c r="A59" s="5" t="str">
        <f ca="1">IFERROR(__xludf.DUMMYFUNCTION("GOOGLETRANSLATE(B25821,""en"",""pt"")"),"Zurique (Kreis 8)")</f>
        <v>Zurique (Kreis 8)</v>
      </c>
      <c r="B59" s="17" t="s">
        <v>25356</v>
      </c>
      <c r="C59" s="17" t="s">
        <v>25237</v>
      </c>
      <c r="D59" s="17" t="s">
        <v>25240</v>
      </c>
      <c r="E59" s="10">
        <v>6295542</v>
      </c>
      <c r="F59" s="4" t="str">
        <f>IF(B59=B58,"",B59)</f>
        <v>Zürich (Kreis 8)</v>
      </c>
    </row>
    <row r="60" spans="1:6" ht="15.75" customHeight="1">
      <c r="A60" s="5" t="str">
        <f ca="1">IFERROR(__xludf.DUMMYFUNCTION("GOOGLETRANSLATE(B25822,""en"",""pt"")"),"Zürich (Kreis 7)")</f>
        <v>Zürich (Kreis 7)</v>
      </c>
      <c r="B60" s="17" t="s">
        <v>25354</v>
      </c>
      <c r="C60" s="17" t="s">
        <v>25237</v>
      </c>
      <c r="D60" s="17" t="s">
        <v>25240</v>
      </c>
      <c r="E60" s="10">
        <v>6295548</v>
      </c>
      <c r="F60" s="4" t="str">
        <f>IF(B60=B59,"",B60)</f>
        <v>Zürich (Kreis 7)</v>
      </c>
    </row>
    <row r="61" spans="1:6" ht="15.75" customHeight="1">
      <c r="A61" s="5" t="str">
        <f ca="1">IFERROR(__xludf.DUMMYFUNCTION("GOOGLETRANSLATE(B25809,""en"",""pt"")"),"Zürich (Kreis 6) / Unterstrass")</f>
        <v>Zürich (Kreis 6) / Unterstrass</v>
      </c>
      <c r="B61" s="17" t="s">
        <v>25352</v>
      </c>
      <c r="C61" s="17" t="s">
        <v>25237</v>
      </c>
      <c r="D61" s="17" t="s">
        <v>25240</v>
      </c>
      <c r="E61" s="10">
        <v>6295504</v>
      </c>
      <c r="F61" s="4" t="str">
        <f>IF(B61=B60,"",B61)</f>
        <v>Zürich (Kreis 6) / Unterstrass</v>
      </c>
    </row>
    <row r="62" spans="1:6" ht="15.75" customHeight="1">
      <c r="A62" s="5" t="str">
        <f ca="1">IFERROR(__xludf.DUMMYFUNCTION("GOOGLETRANSLATE(B25823,""en"",""pt"")"),"Zürich (Kreis 6)")</f>
        <v>Zürich (Kreis 6)</v>
      </c>
      <c r="B62" s="17" t="s">
        <v>25350</v>
      </c>
      <c r="C62" s="17" t="s">
        <v>25237</v>
      </c>
      <c r="D62" s="17" t="s">
        <v>25240</v>
      </c>
      <c r="E62" s="10">
        <v>6295550</v>
      </c>
      <c r="F62" s="4" t="str">
        <f>IF(B62=B61,"",B62)</f>
        <v>Zürich (Kreis 6)</v>
      </c>
    </row>
    <row r="63" spans="1:6" ht="15.75" customHeight="1">
      <c r="A63" s="5" t="str">
        <f ca="1">IFERROR(__xludf.DUMMYFUNCTION("GOOGLETRANSLATE(B25800,""en"",""pt"")"),"Zurique (Kreis 4)")</f>
        <v>Zurique (Kreis 4)</v>
      </c>
      <c r="B63" s="17" t="s">
        <v>25348</v>
      </c>
      <c r="C63" s="17" t="s">
        <v>25237</v>
      </c>
      <c r="D63" s="17" t="s">
        <v>25240</v>
      </c>
      <c r="E63" s="10">
        <v>2661666</v>
      </c>
      <c r="F63" s="4" t="str">
        <f>IF(B63=B62,"",B63)</f>
        <v>Zürich (Kreis 4)</v>
      </c>
    </row>
    <row r="64" spans="1:6" ht="15.75" customHeight="1">
      <c r="A64" s="5" t="str">
        <f ca="1">IFERROR(__xludf.DUMMYFUNCTION("GOOGLETRANSLATE(B25808,""en"",""pt"")"),"Zürich (Kreis 3) / Sihlfeld")</f>
        <v>Zürich (Kreis 3) / Sihlfeld</v>
      </c>
      <c r="B64" s="17" t="s">
        <v>25346</v>
      </c>
      <c r="C64" s="17" t="s">
        <v>25237</v>
      </c>
      <c r="D64" s="17" t="s">
        <v>25240</v>
      </c>
      <c r="E64" s="10">
        <v>6295498</v>
      </c>
      <c r="F64" s="4" t="str">
        <f>IF(B64=B63,"",B64)</f>
        <v>Zürich (Kreis 3) / Sihlfeld</v>
      </c>
    </row>
    <row r="65" spans="1:6" ht="15.75" customHeight="1">
      <c r="A65" s="5" t="str">
        <f ca="1">IFERROR(__xludf.DUMMYFUNCTION("GOOGLETRANSLATE(B25815,""en"",""pt"")"),"Zurique (Kreis 3)")</f>
        <v>Zurique (Kreis 3)</v>
      </c>
      <c r="B65" s="17" t="s">
        <v>25344</v>
      </c>
      <c r="C65" s="17" t="s">
        <v>25237</v>
      </c>
      <c r="D65" s="17" t="s">
        <v>25240</v>
      </c>
      <c r="E65" s="10">
        <v>6295532</v>
      </c>
      <c r="F65" s="4" t="str">
        <f>IF(B65=B64,"",B65)</f>
        <v>Zürich (Kreis 3)</v>
      </c>
    </row>
    <row r="66" spans="1:6" ht="15.75" customHeight="1">
      <c r="A66" s="5" t="str">
        <f ca="1">IFERROR(__xludf.DUMMYFUNCTION("GOOGLETRANSLATE(B25807,""en"",""pt"")"),"Zürich (Kreis 2) / Wollishofen")</f>
        <v>Zürich (Kreis 2) / Wollishofen</v>
      </c>
      <c r="B66" s="17" t="s">
        <v>25342</v>
      </c>
      <c r="C66" s="17" t="s">
        <v>25237</v>
      </c>
      <c r="D66" s="17" t="s">
        <v>25240</v>
      </c>
      <c r="E66" s="10">
        <v>6295495</v>
      </c>
      <c r="F66" s="4" t="str">
        <f>IF(B66=B65,"",B66)</f>
        <v>Zürich (Kreis 2) / Wollishofen</v>
      </c>
    </row>
    <row r="67" spans="1:6" ht="15.75" customHeight="1">
      <c r="A67" s="5" t="str">
        <f ca="1">IFERROR(__xludf.DUMMYFUNCTION("GOOGLETRANSLATE(B25820,""en"",""pt"")"),"Zurique (Kreis 2)")</f>
        <v>Zurique (Kreis 2)</v>
      </c>
      <c r="B67" s="17" t="s">
        <v>25340</v>
      </c>
      <c r="C67" s="17" t="s">
        <v>25237</v>
      </c>
      <c r="D67" s="17" t="s">
        <v>25240</v>
      </c>
      <c r="E67" s="10">
        <v>6295540</v>
      </c>
      <c r="F67" s="4" t="str">
        <f>IF(B67=B66,"",B67)</f>
        <v>Zürich (Kreis 2)</v>
      </c>
    </row>
    <row r="68" spans="1:6" ht="15.75" customHeight="1">
      <c r="A68" s="5" t="str">
        <f ca="1">IFERROR(__xludf.DUMMYFUNCTION("GOOGLETRANSLATE(B25813,""en"",""pt"")"),"Zurique (Kreis 12)")</f>
        <v>Zurique (Kreis 12)</v>
      </c>
      <c r="B68" s="17" t="s">
        <v>25338</v>
      </c>
      <c r="C68" s="17" t="s">
        <v>25237</v>
      </c>
      <c r="D68" s="17" t="s">
        <v>25240</v>
      </c>
      <c r="E68" s="10">
        <v>6295523</v>
      </c>
      <c r="F68" s="4" t="str">
        <f>IF(B68=B67,"",B68)</f>
        <v>Zürich (Kreis 12)</v>
      </c>
    </row>
    <row r="69" spans="1:6" ht="15.75" customHeight="1">
      <c r="A69" s="5" t="str">
        <f ca="1">IFERROR(__xludf.DUMMYFUNCTION("GOOGLETRANSLATE(B25755,""en"",""pt"")"),"Zurique (Kreis 11) / Seebach")</f>
        <v>Zurique (Kreis 11) / Seebach</v>
      </c>
      <c r="B69" s="17" t="s">
        <v>25336</v>
      </c>
      <c r="C69" s="17" t="s">
        <v>25237</v>
      </c>
      <c r="D69" s="17" t="s">
        <v>25240</v>
      </c>
      <c r="E69" s="10">
        <v>2658656</v>
      </c>
      <c r="F69" s="4" t="str">
        <f>IF(B69=B68,"",B69)</f>
        <v>Zürich (Kreis 11) / Seebach</v>
      </c>
    </row>
    <row r="70" spans="1:6" ht="15.75" customHeight="1">
      <c r="A70" s="5" t="str">
        <f ca="1">IFERROR(__xludf.DUMMYFUNCTION("GOOGLETRANSLATE(B25763,""en"",""pt"")"),"Zurique (Kreis 11) / oerlikon")</f>
        <v>Zurique (Kreis 11) / oerlikon</v>
      </c>
      <c r="B70" s="17" t="s">
        <v>31775</v>
      </c>
      <c r="C70" s="17" t="s">
        <v>25237</v>
      </c>
      <c r="D70" s="17" t="s">
        <v>25240</v>
      </c>
      <c r="E70" s="10">
        <v>2659310</v>
      </c>
      <c r="F70" s="4" t="str">
        <f>IF(B70=B69,"",B70)</f>
        <v>Zürich (Kreis 11) / Oerlikon</v>
      </c>
    </row>
    <row r="71" spans="1:6" ht="15.75" customHeight="1">
      <c r="A71" s="5" t="str">
        <f ca="1">IFERROR(__xludf.DUMMYFUNCTION("GOOGLETRANSLATE(B25806,""en"",""pt"")"),"Zürich (Kreis 11) / Affoltern")</f>
        <v>Zürich (Kreis 11) / Affoltern</v>
      </c>
      <c r="B71" s="17" t="s">
        <v>25332</v>
      </c>
      <c r="C71" s="17" t="s">
        <v>25237</v>
      </c>
      <c r="D71" s="17" t="s">
        <v>25240</v>
      </c>
      <c r="E71" s="10">
        <v>6295484</v>
      </c>
      <c r="F71" s="4" t="str">
        <f>IF(B71=B70,"",B71)</f>
        <v>Zürich (Kreis 11) / Affoltern</v>
      </c>
    </row>
    <row r="72" spans="1:6" ht="15.75" customHeight="1">
      <c r="A72" s="5" t="str">
        <f ca="1">IFERROR(__xludf.DUMMYFUNCTION("GOOGLETRANSLATE(B25816,""en"",""pt"")"),"Zurique (Kreis 11)")</f>
        <v>Zurique (Kreis 11)</v>
      </c>
      <c r="B72" s="17" t="s">
        <v>25330</v>
      </c>
      <c r="C72" s="17" t="s">
        <v>25237</v>
      </c>
      <c r="D72" s="17" t="s">
        <v>25240</v>
      </c>
      <c r="E72" s="10">
        <v>6295533</v>
      </c>
      <c r="F72" s="4" t="str">
        <f>IF(B72=B71,"",B72)</f>
        <v>Zürich (Kreis 11)</v>
      </c>
    </row>
    <row r="73" spans="1:6" ht="15.75" customHeight="1">
      <c r="A73" s="5" t="str">
        <f ca="1">IFERROR(__xludf.DUMMYFUNCTION("GOOGLETRANSLATE(B25805,""en"",""pt"")"),"Zurique (Kreis 10) / Wipkingen")</f>
        <v>Zurique (Kreis 10) / Wipkingen</v>
      </c>
      <c r="B73" s="17" t="s">
        <v>25328</v>
      </c>
      <c r="C73" s="17" t="s">
        <v>25237</v>
      </c>
      <c r="D73" s="17" t="s">
        <v>25240</v>
      </c>
      <c r="E73" s="10">
        <v>6295475</v>
      </c>
      <c r="F73" s="4" t="str">
        <f>IF(B73=B72,"",B73)</f>
        <v>Zürich (Kreis 10) / Wipkingen</v>
      </c>
    </row>
    <row r="74" spans="1:6" ht="15.75" customHeight="1">
      <c r="A74" s="5" t="str">
        <f ca="1">IFERROR(__xludf.DUMMYFUNCTION("GOOGLETRANSLATE(B25782,""en"",""pt"")"),"Zurique (Kreis 10) / Höngg")</f>
        <v>Zurique (Kreis 10) / Höngg</v>
      </c>
      <c r="B74" s="17" t="s">
        <v>31779</v>
      </c>
      <c r="C74" s="17" t="s">
        <v>25237</v>
      </c>
      <c r="D74" s="17" t="s">
        <v>25240</v>
      </c>
      <c r="E74" s="10">
        <v>2660306</v>
      </c>
      <c r="F74" s="4" t="str">
        <f>IF(B74=B73,"",B74)</f>
        <v>Zürich (Kreis 10) / Höngg</v>
      </c>
    </row>
    <row r="75" spans="1:6" ht="15.75" customHeight="1">
      <c r="A75" s="5" t="str">
        <f ca="1">IFERROR(__xludf.DUMMYFUNCTION("GOOGLETRANSLATE(B25819,""en"",""pt"")"),"Zürich (Kreis 10)")</f>
        <v>Zürich (Kreis 10)</v>
      </c>
      <c r="B75" s="17" t="s">
        <v>25324</v>
      </c>
      <c r="C75" s="17" t="s">
        <v>25237</v>
      </c>
      <c r="D75" s="17" t="s">
        <v>25240</v>
      </c>
      <c r="E75" s="10">
        <v>6295539</v>
      </c>
      <c r="F75" s="4" t="str">
        <f>IF(B75=B74,"",B75)</f>
        <v>Zürich (Kreis 10)</v>
      </c>
    </row>
    <row r="76" spans="1:6" ht="15.75" customHeight="1">
      <c r="A76" s="5" t="str">
        <f ca="1">IFERROR(__xludf.DUMMYFUNCTION("GOOGLETRANSLATE(B25742,""en"",""pt"")"),"Zurique")</f>
        <v>Zurique</v>
      </c>
      <c r="B76" s="17" t="s">
        <v>25322</v>
      </c>
      <c r="C76" s="17" t="s">
        <v>25237</v>
      </c>
      <c r="D76" s="17" t="s">
        <v>25240</v>
      </c>
      <c r="E76" s="10">
        <v>2657896</v>
      </c>
      <c r="F76" s="4" t="str">
        <f>IF(B76=B75,"",B76)</f>
        <v>Zürich</v>
      </c>
    </row>
    <row r="77" spans="1:6" ht="15.75" customHeight="1">
      <c r="A77" s="6" t="s">
        <v>5339</v>
      </c>
      <c r="B77" s="6" t="s">
        <v>5339</v>
      </c>
      <c r="C77" s="6" t="s">
        <v>4487</v>
      </c>
      <c r="D77" s="6" t="s">
        <v>4507</v>
      </c>
      <c r="E77" s="2">
        <v>1783621</v>
      </c>
      <c r="F77" s="4" t="str">
        <f>IF(B77=B76,"",B77)</f>
        <v>Zunyi</v>
      </c>
    </row>
    <row r="78" spans="1:6" ht="15.75" customHeight="1">
      <c r="A78" s="5" t="str">
        <f ca="1">IFERROR(__xludf.DUMMYFUNCTION("GOOGLETRANSLATE(B26067,""en"",""pt"")"),"Zunyi")</f>
        <v>Zunyi</v>
      </c>
      <c r="B78" s="17" t="s">
        <v>5339</v>
      </c>
      <c r="C78" s="17" t="s">
        <v>4487</v>
      </c>
      <c r="D78" s="17" t="s">
        <v>4507</v>
      </c>
      <c r="E78" s="10">
        <v>1783621</v>
      </c>
      <c r="F78" s="4" t="str">
        <f>IF(B78=B77,"",B78)</f>
        <v/>
      </c>
    </row>
    <row r="79" spans="1:6" ht="15.75" customHeight="1">
      <c r="A79" s="5" t="s">
        <v>13798</v>
      </c>
      <c r="B79" s="6" t="s">
        <v>13798</v>
      </c>
      <c r="C79" s="5" t="s">
        <v>10178</v>
      </c>
      <c r="D79" s="5" t="s">
        <v>11179</v>
      </c>
      <c r="E79" s="2">
        <v>1252653</v>
      </c>
      <c r="F79" s="4" t="str">
        <f>IF(B79=B78,"",B79)</f>
        <v>Zunheboto</v>
      </c>
    </row>
    <row r="80" spans="1:6" ht="15.75" customHeight="1">
      <c r="A80" s="5" t="str">
        <f ca="1">IFERROR(__xludf.DUMMYFUNCTION("GOOGLETRANSLATE(B31831,""en"",""pt"")"),"Zunheboto")</f>
        <v>Zunheboto</v>
      </c>
      <c r="B80" s="17" t="s">
        <v>13798</v>
      </c>
      <c r="C80" s="17" t="s">
        <v>10178</v>
      </c>
      <c r="D80" s="17" t="s">
        <v>11179</v>
      </c>
      <c r="E80" s="10">
        <v>1252653</v>
      </c>
      <c r="F80" s="4" t="str">
        <f>IF(B80=B79,"",B80)</f>
        <v/>
      </c>
    </row>
    <row r="81" spans="1:6" ht="15.75" customHeight="1">
      <c r="A81" s="6" t="s">
        <v>19584</v>
      </c>
      <c r="B81" s="6" t="s">
        <v>19584</v>
      </c>
      <c r="C81" s="6" t="s">
        <v>19294</v>
      </c>
      <c r="D81" s="6" t="s">
        <v>19259</v>
      </c>
      <c r="E81" s="2">
        <v>2317569</v>
      </c>
      <c r="F81" s="4" t="str">
        <f>IF(B81=B80,"",B81)</f>
        <v>Zungeru</v>
      </c>
    </row>
    <row r="82" spans="1:6" ht="15.75" customHeight="1">
      <c r="A82" s="5" t="str">
        <f ca="1">IFERROR(__xludf.DUMMYFUNCTION("GOOGLETRANSLATE(B37608,""en"",""pt"")"),"Zungeru")</f>
        <v>Zungeru</v>
      </c>
      <c r="B82" s="17" t="s">
        <v>19584</v>
      </c>
      <c r="C82" s="17" t="s">
        <v>19294</v>
      </c>
      <c r="D82" s="17" t="s">
        <v>19259</v>
      </c>
      <c r="E82" s="10">
        <v>2317569</v>
      </c>
      <c r="F82" s="4" t="str">
        <f>IF(B82=B81,"",B82)</f>
        <v/>
      </c>
    </row>
    <row r="83" spans="1:6" ht="15.75" customHeight="1">
      <c r="A83" s="6" t="s">
        <v>19159</v>
      </c>
      <c r="B83" s="6" t="s">
        <v>19159</v>
      </c>
      <c r="C83" s="6" t="s">
        <v>18862</v>
      </c>
      <c r="D83" s="6" t="s">
        <v>18888</v>
      </c>
      <c r="E83" s="2">
        <v>2743619</v>
      </c>
      <c r="F83" s="4" t="str">
        <f>IF(B83=B82,"",B83)</f>
        <v>Zundert</v>
      </c>
    </row>
    <row r="84" spans="1:6" ht="15.75" customHeight="1">
      <c r="A84" s="5" t="str">
        <f ca="1">IFERROR(__xludf.DUMMYFUNCTION("GOOGLETRANSLATE(B37888,""en"",""pt"")"),"Zundert")</f>
        <v>Zundert</v>
      </c>
      <c r="B84" s="17" t="s">
        <v>19159</v>
      </c>
      <c r="C84" s="17" t="s">
        <v>18862</v>
      </c>
      <c r="D84" s="17" t="s">
        <v>18888</v>
      </c>
      <c r="E84" s="10">
        <v>2743619</v>
      </c>
      <c r="F84" s="4" t="str">
        <f>IF(B84=B83,"",B84)</f>
        <v/>
      </c>
    </row>
    <row r="85" spans="1:6" ht="15.75" customHeight="1">
      <c r="A85" s="5" t="str">
        <f ca="1">IFERROR(__xludf.DUMMYFUNCTION("GOOGLETRANSLATE(B36844,""en"",""pt"")"),"Zumpango del Río")</f>
        <v>Zumpango del Río</v>
      </c>
      <c r="B85" s="17" t="s">
        <v>34654</v>
      </c>
      <c r="C85" s="17" t="s">
        <v>17707</v>
      </c>
      <c r="D85" s="17" t="s">
        <v>17723</v>
      </c>
      <c r="E85" s="10">
        <v>3513967</v>
      </c>
      <c r="F85" s="4" t="str">
        <f>IF(B85=B84,"",B85)</f>
        <v>Zumpango del Río</v>
      </c>
    </row>
    <row r="86" spans="1:6" ht="15.75" customHeight="1">
      <c r="A86" s="5" t="s">
        <v>18447</v>
      </c>
      <c r="B86" s="6" t="s">
        <v>18448</v>
      </c>
      <c r="C86" s="5" t="s">
        <v>17707</v>
      </c>
      <c r="D86" s="5" t="s">
        <v>17723</v>
      </c>
      <c r="E86" s="2">
        <v>3513967</v>
      </c>
      <c r="F86" s="4" t="str">
        <f>IF(B86=B85,"",B86)</f>
        <v>Zumpango del RÃ­o</v>
      </c>
    </row>
    <row r="87" spans="1:6" ht="15.75" customHeight="1">
      <c r="A87" s="5" t="s">
        <v>18446</v>
      </c>
      <c r="B87" s="6" t="s">
        <v>18446</v>
      </c>
      <c r="C87" s="5" t="s">
        <v>17707</v>
      </c>
      <c r="D87" s="5" t="s">
        <v>17736</v>
      </c>
      <c r="E87" s="2">
        <v>3513966</v>
      </c>
      <c r="F87" s="4" t="str">
        <f>IF(B87=B86,"",B87)</f>
        <v>Zumpango</v>
      </c>
    </row>
    <row r="88" spans="1:6" ht="15.75" customHeight="1">
      <c r="A88" s="5" t="str">
        <f ca="1">IFERROR(__xludf.DUMMYFUNCTION("GOOGLETRANSLATE(B36843,""en"",""pt"")"),"Zumpango")</f>
        <v>Zumpango</v>
      </c>
      <c r="B88" s="17" t="s">
        <v>18446</v>
      </c>
      <c r="C88" s="17" t="s">
        <v>17707</v>
      </c>
      <c r="D88" s="17" t="s">
        <v>20902</v>
      </c>
      <c r="E88" s="10">
        <v>3513966</v>
      </c>
      <c r="F88" s="4" t="str">
        <f>IF(B88=B87,"",B88)</f>
        <v/>
      </c>
    </row>
    <row r="89" spans="1:6" ht="15.75" customHeight="1">
      <c r="A89" s="6" t="s">
        <v>9360</v>
      </c>
      <c r="B89" s="6" t="s">
        <v>9360</v>
      </c>
      <c r="C89" s="6" t="s">
        <v>8028</v>
      </c>
      <c r="D89" s="6" t="s">
        <v>8029</v>
      </c>
      <c r="E89" s="2">
        <v>2803723</v>
      </c>
      <c r="F89" s="4" t="str">
        <f>IF(B89=B88,"",B89)</f>
        <v>Zulpich</v>
      </c>
    </row>
    <row r="90" spans="1:6" ht="15.75" customHeight="1">
      <c r="A90" s="5" t="str">
        <f ca="1">IFERROR(__xludf.DUMMYFUNCTION("GOOGLETRANSLATE(B27344,""en"",""pt"")"),"Zulpich")</f>
        <v>Zulpich</v>
      </c>
      <c r="B90" s="17" t="s">
        <v>9360</v>
      </c>
      <c r="C90" s="17" t="s">
        <v>8028</v>
      </c>
      <c r="D90" s="17" t="s">
        <v>8029</v>
      </c>
      <c r="E90" s="10">
        <v>2803723</v>
      </c>
      <c r="F90" s="4" t="str">
        <f>IF(B90=B89,"",B90)</f>
        <v/>
      </c>
    </row>
    <row r="91" spans="1:6" ht="15.75" customHeight="1">
      <c r="A91" s="6" t="s">
        <v>27210</v>
      </c>
      <c r="B91" s="6" t="s">
        <v>27210</v>
      </c>
      <c r="C91" s="6" t="s">
        <v>26870</v>
      </c>
      <c r="D91" s="6" t="s">
        <v>22345</v>
      </c>
      <c r="E91" s="2">
        <v>686818</v>
      </c>
      <c r="F91" s="4" t="str">
        <f>IF(B91=B90,"",B91)</f>
        <v>Zuhres</v>
      </c>
    </row>
    <row r="92" spans="1:6" ht="15.75" customHeight="1">
      <c r="A92" s="5" t="str">
        <f ca="1">IFERROR(__xludf.DUMMYFUNCTION("GOOGLETRANSLATE(B42470,""en"",""pt"")"),"Zuhres")</f>
        <v>Zuhres</v>
      </c>
      <c r="B92" s="17" t="s">
        <v>27210</v>
      </c>
      <c r="C92" s="17" t="s">
        <v>26870</v>
      </c>
      <c r="D92" s="17" t="s">
        <v>22345</v>
      </c>
      <c r="E92" s="10">
        <v>686818</v>
      </c>
      <c r="F92" s="4" t="str">
        <f>IF(B92=B91,"",B92)</f>
        <v/>
      </c>
    </row>
    <row r="93" spans="1:6" ht="15.75" customHeight="1">
      <c r="A93" s="6" t="s">
        <v>8026</v>
      </c>
      <c r="B93" s="6" t="s">
        <v>8026</v>
      </c>
      <c r="C93" s="6" t="s">
        <v>7988</v>
      </c>
      <c r="D93" s="6" t="s">
        <v>8007</v>
      </c>
      <c r="E93" s="2">
        <v>610824</v>
      </c>
      <c r="F93" s="4" t="str">
        <f>IF(B93=B92,"",B93)</f>
        <v>Zugdidi</v>
      </c>
    </row>
    <row r="94" spans="1:6" ht="15.75" customHeight="1">
      <c r="A94" s="5" t="str">
        <f ca="1">IFERROR(__xludf.DUMMYFUNCTION("GOOGLETRANSLATE(B30828,""en"",""pt"")"),"Zugdidi")</f>
        <v>Zugdidi</v>
      </c>
      <c r="B94" s="17" t="s">
        <v>8026</v>
      </c>
      <c r="C94" s="17" t="s">
        <v>7988</v>
      </c>
      <c r="D94" s="17" t="s">
        <v>8007</v>
      </c>
      <c r="E94" s="10">
        <v>610824</v>
      </c>
      <c r="F94" s="4" t="str">
        <f>IF(B94=B93,"",B94)</f>
        <v/>
      </c>
    </row>
    <row r="95" spans="1:6" ht="15.75" customHeight="1">
      <c r="A95" s="6" t="s">
        <v>25244</v>
      </c>
      <c r="B95" s="6" t="s">
        <v>25244</v>
      </c>
      <c r="C95" s="6" t="s">
        <v>25237</v>
      </c>
      <c r="D95" s="6" t="s">
        <v>25244</v>
      </c>
      <c r="E95" s="2">
        <v>2657908</v>
      </c>
      <c r="F95" s="4" t="str">
        <f>IF(B95=B94,"",B95)</f>
        <v>Zug</v>
      </c>
    </row>
    <row r="96" spans="1:6" ht="15.75" customHeight="1">
      <c r="A96" s="5" t="str">
        <f ca="1">IFERROR(__xludf.DUMMYFUNCTION("GOOGLETRANSLATE(B25743,""en"",""pt"")"),"Zug")</f>
        <v>Zug</v>
      </c>
      <c r="B96" s="17" t="s">
        <v>25244</v>
      </c>
      <c r="C96" s="17" t="s">
        <v>25237</v>
      </c>
      <c r="D96" s="17" t="s">
        <v>25244</v>
      </c>
      <c r="E96" s="10">
        <v>2657908</v>
      </c>
      <c r="F96" s="4" t="str">
        <f>IF(B96=B95,"",B96)</f>
        <v/>
      </c>
    </row>
    <row r="97" spans="1:6" ht="15.75" customHeight="1">
      <c r="A97" s="5" t="str">
        <f ca="1">IFERROR(__xludf.DUMMYFUNCTION("GOOGLETRANSLATE(B25825,""en"",""pt"")"),"Zuénoula")</f>
        <v>Zuénoula</v>
      </c>
      <c r="B97" s="17" t="s">
        <v>31781</v>
      </c>
      <c r="C97" s="17" t="s">
        <v>15586</v>
      </c>
      <c r="D97" s="17" t="s">
        <v>31782</v>
      </c>
      <c r="E97" s="10">
        <v>2279172</v>
      </c>
      <c r="F97" s="4" t="str">
        <f>IF(B97=B96,"",B97)</f>
        <v>Zuénoula</v>
      </c>
    </row>
    <row r="98" spans="1:6" ht="15.75" customHeight="1">
      <c r="A98" s="6" t="s">
        <v>24922</v>
      </c>
      <c r="B98" s="6" t="s">
        <v>24922</v>
      </c>
      <c r="C98" s="6" t="s">
        <v>24200</v>
      </c>
      <c r="D98" s="6" t="s">
        <v>24205</v>
      </c>
      <c r="E98" s="2">
        <v>2509305</v>
      </c>
      <c r="F98" s="4" t="str">
        <f>IF(B98=B97,"",B98)</f>
        <v>Zubia</v>
      </c>
    </row>
    <row r="99" spans="1:6" ht="15.75" customHeight="1">
      <c r="A99" s="5" t="str">
        <f ca="1">IFERROR(__xludf.DUMMYFUNCTION("GOOGLETRANSLATE(B28950,""en"",""pt"")"),"Zubia")</f>
        <v>Zubia</v>
      </c>
      <c r="B99" s="17" t="s">
        <v>24922</v>
      </c>
      <c r="C99" s="17" t="s">
        <v>24200</v>
      </c>
      <c r="D99" s="17" t="s">
        <v>24205</v>
      </c>
      <c r="E99" s="10">
        <v>2509305</v>
      </c>
      <c r="F99" s="4" t="str">
        <f>IF(B99=B98,"",B99)</f>
        <v/>
      </c>
    </row>
    <row r="100" spans="1:6" ht="15.75" customHeight="1">
      <c r="A100" s="5" t="s">
        <v>15678</v>
      </c>
      <c r="B100" s="6" t="s">
        <v>15679</v>
      </c>
      <c r="C100" s="5" t="s">
        <v>15586</v>
      </c>
      <c r="D100" s="5" t="s">
        <v>15622</v>
      </c>
      <c r="E100" s="2">
        <v>2279172</v>
      </c>
      <c r="F100" s="4" t="str">
        <f>IF(B100=B99,"",B100)</f>
        <v>ZuÃ©noula</v>
      </c>
    </row>
    <row r="101" spans="1:6" ht="15.75" customHeight="1">
      <c r="A101" s="6" t="s">
        <v>23672</v>
      </c>
      <c r="B101" s="6" t="s">
        <v>23672</v>
      </c>
      <c r="C101" s="6" t="s">
        <v>23602</v>
      </c>
      <c r="D101" s="6" t="s">
        <v>23610</v>
      </c>
      <c r="E101" s="2">
        <v>783814</v>
      </c>
      <c r="F101" s="4" t="str">
        <f>IF(B101=B100,"",B101)</f>
        <v>Zrenjanin</v>
      </c>
    </row>
    <row r="102" spans="1:6" ht="15.75" customHeight="1">
      <c r="A102" s="5" t="str">
        <f ca="1">IFERROR(__xludf.DUMMYFUNCTION("GOOGLETRANSLATE(B39857,""en"",""pt"")"),"Zrenjanin")</f>
        <v>Zrenjanin</v>
      </c>
      <c r="B102" s="17" t="s">
        <v>23672</v>
      </c>
      <c r="C102" s="17" t="s">
        <v>23602</v>
      </c>
      <c r="D102" s="17" t="s">
        <v>23610</v>
      </c>
      <c r="E102" s="10">
        <v>783814</v>
      </c>
      <c r="F102" s="4" t="str">
        <f>IF(B102=B101,"",B102)</f>
        <v/>
      </c>
    </row>
    <row r="103" spans="1:6" ht="15.75" customHeight="1">
      <c r="A103" s="6" t="s">
        <v>26198</v>
      </c>
      <c r="B103" s="6" t="s">
        <v>26198</v>
      </c>
      <c r="C103" s="6" t="s">
        <v>26090</v>
      </c>
      <c r="D103" s="6" t="s">
        <v>26113</v>
      </c>
      <c r="E103" s="2">
        <v>2472833</v>
      </c>
      <c r="F103" s="4" t="str">
        <f>IF(B103=B102,"",B103)</f>
        <v>Zouila</v>
      </c>
    </row>
    <row r="104" spans="1:6" ht="15.75" customHeight="1">
      <c r="A104" s="5" t="str">
        <f ca="1">IFERROR(__xludf.DUMMYFUNCTION("GOOGLETRANSLATE(B41841,""en"",""pt"")"),"Zouila")</f>
        <v>Zouila</v>
      </c>
      <c r="B104" s="17" t="s">
        <v>26198</v>
      </c>
      <c r="C104" s="17" t="s">
        <v>26090</v>
      </c>
      <c r="D104" s="17" t="s">
        <v>35803</v>
      </c>
      <c r="E104" s="10">
        <v>2472833</v>
      </c>
      <c r="F104" s="4" t="str">
        <f>IF(B104=B103,"",B104)</f>
        <v/>
      </c>
    </row>
    <row r="105" spans="1:6" ht="15.75" customHeight="1">
      <c r="A105" s="6" t="s">
        <v>17673</v>
      </c>
      <c r="B105" s="6" t="s">
        <v>17674</v>
      </c>
      <c r="C105" s="6" t="s">
        <v>17650</v>
      </c>
      <c r="D105" s="6" t="s">
        <v>17675</v>
      </c>
      <c r="E105" s="2">
        <v>2375558</v>
      </c>
      <c r="F105" s="4" t="str">
        <f>IF(B105=B104,"",B105)</f>
        <v>Zouerate</v>
      </c>
    </row>
    <row r="106" spans="1:6" ht="15.75" customHeight="1">
      <c r="A106" s="5" t="str">
        <f ca="1">IFERROR(__xludf.DUMMYFUNCTION("GOOGLETRANSLATE(B36794,""en"",""pt"")"),"Zoueate")</f>
        <v>Zoueate</v>
      </c>
      <c r="B106" s="17" t="s">
        <v>17674</v>
      </c>
      <c r="C106" s="17" t="s">
        <v>17650</v>
      </c>
      <c r="D106" s="17" t="s">
        <v>17675</v>
      </c>
      <c r="E106" s="10">
        <v>2375558</v>
      </c>
      <c r="F106" s="4" t="str">
        <f>IF(B106=B105,"",B106)</f>
        <v/>
      </c>
    </row>
    <row r="107" spans="1:6" ht="15.75" customHeight="1">
      <c r="A107" s="6" t="s">
        <v>5338</v>
      </c>
      <c r="B107" s="6" t="s">
        <v>5338</v>
      </c>
      <c r="C107" s="6" t="s">
        <v>4487</v>
      </c>
      <c r="D107" s="6" t="s">
        <v>4503</v>
      </c>
      <c r="E107" s="2">
        <v>1783633</v>
      </c>
      <c r="F107" s="4" t="str">
        <f>IF(B107=B106,"",B107)</f>
        <v>Zoucheng</v>
      </c>
    </row>
    <row r="108" spans="1:6" ht="15.75" customHeight="1">
      <c r="A108" s="5" t="str">
        <f ca="1">IFERROR(__xludf.DUMMYFUNCTION("GOOGLETRANSLATE(B26068,""en"",""pt"")"),"Zoucheng")</f>
        <v>Zoucheng</v>
      </c>
      <c r="B108" s="17" t="s">
        <v>5338</v>
      </c>
      <c r="C108" s="17" t="s">
        <v>4487</v>
      </c>
      <c r="D108" s="17" t="s">
        <v>4503</v>
      </c>
      <c r="E108" s="10">
        <v>1783633</v>
      </c>
      <c r="F108" s="4" t="str">
        <f>IF(B108=B107,"",B108)</f>
        <v/>
      </c>
    </row>
    <row r="109" spans="1:6" ht="15.75" customHeight="1">
      <c r="A109" s="6" t="s">
        <v>1729</v>
      </c>
      <c r="B109" s="6" t="s">
        <v>1729</v>
      </c>
      <c r="C109" s="6" t="s">
        <v>1512</v>
      </c>
      <c r="D109" s="6" t="s">
        <v>1513</v>
      </c>
      <c r="E109" s="2">
        <v>2783175</v>
      </c>
      <c r="F109" s="4" t="str">
        <f>IF(B109=B108,"",B109)</f>
        <v>Zottegem</v>
      </c>
    </row>
    <row r="110" spans="1:6" ht="15.75" customHeight="1">
      <c r="A110" s="5" t="str">
        <f ca="1">IFERROR(__xludf.DUMMYFUNCTION("GOOGLETRANSLATE(B23793,""en"",""pt"")"),"Zottegem")</f>
        <v>Zottegem</v>
      </c>
      <c r="B110" s="17" t="s">
        <v>1729</v>
      </c>
      <c r="C110" s="17" t="s">
        <v>1512</v>
      </c>
      <c r="D110" s="17" t="s">
        <v>1513</v>
      </c>
      <c r="E110" s="10">
        <v>2783175</v>
      </c>
      <c r="F110" s="4" t="str">
        <f>IF(B110=B109,"",B110)</f>
        <v/>
      </c>
    </row>
    <row r="111" spans="1:6" ht="15.75" customHeight="1">
      <c r="A111" s="6" t="s">
        <v>9359</v>
      </c>
      <c r="B111" s="6" t="s">
        <v>9359</v>
      </c>
      <c r="C111" s="6" t="s">
        <v>8028</v>
      </c>
      <c r="D111" s="6" t="s">
        <v>8070</v>
      </c>
      <c r="E111" s="2">
        <v>2803870</v>
      </c>
      <c r="F111" s="4" t="str">
        <f>IF(B111=B110,"",B111)</f>
        <v>Zossen</v>
      </c>
    </row>
    <row r="112" spans="1:6" ht="15.75" customHeight="1">
      <c r="A112" s="5" t="str">
        <f ca="1">IFERROR(__xludf.DUMMYFUNCTION("GOOGLETRANSLATE(B27345,""en"",""pt"")"),"Zossen")</f>
        <v>Zossen</v>
      </c>
      <c r="B112" s="17" t="s">
        <v>9359</v>
      </c>
      <c r="C112" s="17" t="s">
        <v>8028</v>
      </c>
      <c r="D112" s="17" t="s">
        <v>8070</v>
      </c>
      <c r="E112" s="10">
        <v>2803870</v>
      </c>
      <c r="F112" s="4" t="str">
        <f>IF(B112=B111,"",B112)</f>
        <v/>
      </c>
    </row>
    <row r="113" spans="1:6" ht="15.75" customHeight="1">
      <c r="A113" s="5" t="str">
        <f ca="1">IFERROR(__xludf.DUMMYFUNCTION("GOOGLETRANSLATE(B39300,""en"",""pt"")"),"Żory")</f>
        <v>Żory</v>
      </c>
      <c r="B113" s="17" t="s">
        <v>35137</v>
      </c>
      <c r="C113" s="17" t="s">
        <v>21064</v>
      </c>
      <c r="D113" s="17" t="s">
        <v>21073</v>
      </c>
      <c r="E113" s="10">
        <v>3080004</v>
      </c>
      <c r="F113" s="4" t="str">
        <f>IF(B113=B112,"",B113)</f>
        <v>Żory</v>
      </c>
    </row>
    <row r="114" spans="1:6" ht="15.75" customHeight="1">
      <c r="A114" s="6" t="s">
        <v>3823</v>
      </c>
      <c r="B114" s="6" t="s">
        <v>3823</v>
      </c>
      <c r="C114" s="6" t="s">
        <v>3768</v>
      </c>
      <c r="D114" s="6" t="s">
        <v>3777</v>
      </c>
      <c r="E114" s="2">
        <v>2353197</v>
      </c>
      <c r="F114" s="4" t="str">
        <f>IF(B114=B113,"",B114)</f>
        <v>Zorgo</v>
      </c>
    </row>
    <row r="115" spans="1:6" ht="15.75" customHeight="1">
      <c r="A115" s="5" t="str">
        <f ca="1">IFERROR(__xludf.DUMMYFUNCTION("GOOGLETRANSLATE(B23975,""en"",""pt"")"),"Zorgo")</f>
        <v>Zorgo</v>
      </c>
      <c r="B115" s="17" t="s">
        <v>3823</v>
      </c>
      <c r="C115" s="17" t="s">
        <v>3768</v>
      </c>
      <c r="D115" s="17" t="s">
        <v>3777</v>
      </c>
      <c r="E115" s="10">
        <v>2353197</v>
      </c>
      <c r="F115" s="4" t="str">
        <f>IF(B115=B114,"",B115)</f>
        <v/>
      </c>
    </row>
    <row r="116" spans="1:6" ht="15.75" customHeight="1">
      <c r="A116" s="5" t="s">
        <v>1728</v>
      </c>
      <c r="B116" s="6" t="s">
        <v>1728</v>
      </c>
      <c r="C116" s="5" t="s">
        <v>1512</v>
      </c>
      <c r="D116" s="5" t="s">
        <v>1513</v>
      </c>
      <c r="E116" s="2">
        <v>2783188</v>
      </c>
      <c r="F116" s="4" t="str">
        <f>IF(B116=B115,"",B116)</f>
        <v>Zonhoven</v>
      </c>
    </row>
    <row r="117" spans="1:6" ht="15.75" customHeight="1">
      <c r="A117" s="5" t="str">
        <f ca="1">IFERROR(__xludf.DUMMYFUNCTION("GOOGLETRANSLATE(B23794,""en"",""pt"")"),"Zonhoven")</f>
        <v>Zonhoven</v>
      </c>
      <c r="B117" s="17" t="s">
        <v>1728</v>
      </c>
      <c r="C117" s="17" t="s">
        <v>1512</v>
      </c>
      <c r="D117" s="17" t="s">
        <v>1513</v>
      </c>
      <c r="E117" s="10">
        <v>2783188</v>
      </c>
      <c r="F117" s="4" t="str">
        <f>IF(B117=B116,"",B117)</f>
        <v/>
      </c>
    </row>
    <row r="118" spans="1:6" ht="15.75" customHeight="1">
      <c r="A118" s="5" t="s">
        <v>26773</v>
      </c>
      <c r="B118" s="6" t="s">
        <v>26240</v>
      </c>
      <c r="C118" s="5" t="s">
        <v>26201</v>
      </c>
      <c r="D118" s="5" t="s">
        <v>26240</v>
      </c>
      <c r="E118" s="2">
        <v>737022</v>
      </c>
      <c r="F118" s="4" t="str">
        <f>IF(B118=B117,"",B118)</f>
        <v>Zonguldak</v>
      </c>
    </row>
    <row r="119" spans="1:6" ht="15.75" customHeight="1">
      <c r="A119" s="5" t="str">
        <f ca="1">IFERROR(__xludf.DUMMYFUNCTION("GOOGLETRANSLATE(B42087,""en"",""pt"")"),"Zonglúldak")</f>
        <v>Zonglúldak</v>
      </c>
      <c r="B119" s="17" t="s">
        <v>26240</v>
      </c>
      <c r="C119" s="17" t="s">
        <v>26201</v>
      </c>
      <c r="D119" s="17" t="s">
        <v>26240</v>
      </c>
      <c r="E119" s="10">
        <v>737022</v>
      </c>
      <c r="F119" s="4" t="str">
        <f>IF(B119=B118,"",B119)</f>
        <v/>
      </c>
    </row>
    <row r="120" spans="1:6" ht="15.75" customHeight="1">
      <c r="A120" s="6" t="s">
        <v>30625</v>
      </c>
      <c r="B120" s="6" t="s">
        <v>30625</v>
      </c>
      <c r="C120" s="6" t="s">
        <v>30502</v>
      </c>
      <c r="D120" s="6" t="s">
        <v>30532</v>
      </c>
      <c r="E120" s="2">
        <v>1215694</v>
      </c>
      <c r="F120" s="4" t="str">
        <f>IF(B120=B119,"",B120)</f>
        <v>Zomin</v>
      </c>
    </row>
    <row r="121" spans="1:6" ht="15.75" customHeight="1">
      <c r="A121" s="5" t="str">
        <f ca="1">IFERROR(__xludf.DUMMYFUNCTION("GOOGLETRANSLATE(B45503,""en"",""pt"")"),"Zomin")</f>
        <v>Zomin</v>
      </c>
      <c r="B121" s="17" t="s">
        <v>30625</v>
      </c>
      <c r="C121" s="17" t="s">
        <v>30502</v>
      </c>
      <c r="D121" s="17" t="s">
        <v>30532</v>
      </c>
      <c r="E121" s="10">
        <v>1215694</v>
      </c>
      <c r="F121" s="4" t="str">
        <f>IF(B121=B120,"",B121)</f>
        <v/>
      </c>
    </row>
    <row r="122" spans="1:6" ht="15.75" customHeight="1">
      <c r="A122" s="6" t="s">
        <v>17430</v>
      </c>
      <c r="B122" s="6" t="s">
        <v>17430</v>
      </c>
      <c r="C122" s="6" t="s">
        <v>17410</v>
      </c>
      <c r="D122" s="6" t="s">
        <v>17411</v>
      </c>
      <c r="E122" s="2">
        <v>923295</v>
      </c>
      <c r="F122" s="4" t="str">
        <f>IF(B122=B121,"",B122)</f>
        <v>Zomba</v>
      </c>
    </row>
    <row r="123" spans="1:6" ht="15.75" customHeight="1">
      <c r="A123" s="5" t="str">
        <f ca="1">IFERROR(__xludf.DUMMYFUNCTION("GOOGLETRANSLATE(B36825,""en"",""pt"")"),"Zomba")</f>
        <v>Zomba</v>
      </c>
      <c r="B123" s="17" t="s">
        <v>17430</v>
      </c>
      <c r="C123" s="17" t="s">
        <v>17410</v>
      </c>
      <c r="D123" s="17" t="s">
        <v>17411</v>
      </c>
      <c r="E123" s="10">
        <v>923295</v>
      </c>
      <c r="F123" s="4" t="str">
        <f>IF(B123=B122,"",B123)</f>
        <v/>
      </c>
    </row>
    <row r="124" spans="1:6" ht="15.75" customHeight="1">
      <c r="A124" s="5" t="s">
        <v>27209</v>
      </c>
      <c r="B124" s="6" t="s">
        <v>27209</v>
      </c>
      <c r="C124" s="5" t="s">
        <v>26870</v>
      </c>
      <c r="D124" s="5" t="s">
        <v>26925</v>
      </c>
      <c r="E124" s="2">
        <v>686875</v>
      </c>
      <c r="F124" s="4" t="str">
        <f>IF(B124=B123,"",B124)</f>
        <v>Zolotonosha</v>
      </c>
    </row>
    <row r="125" spans="1:6" ht="15.75" customHeight="1">
      <c r="A125" s="5" t="str">
        <f ca="1">IFERROR(__xludf.DUMMYFUNCTION("GOOGLETRANSLATE(B42471,""en"",""pt"")"),"Zolotonosha")</f>
        <v>Zolotonosha</v>
      </c>
      <c r="B125" s="17" t="s">
        <v>27209</v>
      </c>
      <c r="C125" s="17" t="s">
        <v>26870</v>
      </c>
      <c r="D125" s="17" t="s">
        <v>26925</v>
      </c>
      <c r="E125" s="10">
        <v>686875</v>
      </c>
      <c r="F125" s="4" t="str">
        <f>IF(B125=B124,"",B125)</f>
        <v/>
      </c>
    </row>
    <row r="126" spans="1:6" ht="15.75" customHeight="1">
      <c r="A126" s="6" t="s">
        <v>27208</v>
      </c>
      <c r="B126" s="6" t="s">
        <v>27208</v>
      </c>
      <c r="C126" s="6" t="s">
        <v>26870</v>
      </c>
      <c r="D126" s="6" t="s">
        <v>26916</v>
      </c>
      <c r="E126" s="2">
        <v>686896</v>
      </c>
      <c r="F126" s="4" t="str">
        <f>IF(B126=B125,"",B126)</f>
        <v>Zolochiv</v>
      </c>
    </row>
    <row r="127" spans="1:6" ht="15.75" customHeight="1">
      <c r="A127" s="5" t="str">
        <f ca="1">IFERROR(__xludf.DUMMYFUNCTION("GOOGLETRANSLATE(B42472,""en"",""pt"")"),"Zolochiv")</f>
        <v>Zolochiv</v>
      </c>
      <c r="B127" s="17" t="s">
        <v>27208</v>
      </c>
      <c r="C127" s="17" t="s">
        <v>26870</v>
      </c>
      <c r="D127" s="17" t="s">
        <v>26916</v>
      </c>
      <c r="E127" s="10">
        <v>686896</v>
      </c>
      <c r="F127" s="4" t="str">
        <f>IF(B127=B126,"",B127)</f>
        <v/>
      </c>
    </row>
    <row r="128" spans="1:6" ht="15.75" customHeight="1">
      <c r="A128" s="5" t="str">
        <f ca="1">IFERROR(__xludf.DUMMYFUNCTION("GOOGLETRANSLATE(B39176,""en"",""pt"")"),"Żoliborz")</f>
        <v>Żoliborz</v>
      </c>
      <c r="B128" s="17" t="s">
        <v>35062</v>
      </c>
      <c r="C128" s="17" t="s">
        <v>21064</v>
      </c>
      <c r="D128" s="17" t="s">
        <v>21070</v>
      </c>
      <c r="E128" s="10">
        <v>753142</v>
      </c>
      <c r="F128" s="4" t="str">
        <f>IF(B128=B127,"",B128)</f>
        <v>Żoliborz</v>
      </c>
    </row>
    <row r="129" spans="1:6" ht="15.75" customHeight="1">
      <c r="A129" s="5" t="s">
        <v>15583</v>
      </c>
      <c r="B129" s="6" t="s">
        <v>15584</v>
      </c>
      <c r="C129" s="5" t="s">
        <v>14891</v>
      </c>
      <c r="D129" s="5" t="s">
        <v>14973</v>
      </c>
      <c r="E129" s="2">
        <v>3163853</v>
      </c>
      <c r="F129" s="4" t="str">
        <f>IF(B129=B128,"",B129)</f>
        <v>Zola Predosa</v>
      </c>
    </row>
    <row r="130" spans="1:6" ht="15.75" customHeight="1">
      <c r="A130" s="5" t="str">
        <f ca="1">IFERROR(__xludf.DUMMYFUNCTION("GOOGLETRANSLATE(B34624,""en"",""pt"")"),"Zola Preveosa")</f>
        <v>Zola Preveosa</v>
      </c>
      <c r="B130" s="17" t="s">
        <v>15584</v>
      </c>
      <c r="C130" s="17" t="s">
        <v>14891</v>
      </c>
      <c r="D130" s="17" t="s">
        <v>14973</v>
      </c>
      <c r="E130" s="10">
        <v>3163853</v>
      </c>
      <c r="F130" s="4" t="str">
        <f>IF(B130=B129,"",B130)</f>
        <v/>
      </c>
    </row>
    <row r="131" spans="1:6" ht="15.75" customHeight="1">
      <c r="A131" s="5" t="str">
        <f ca="1">IFERROR(__xludf.DUMMYFUNCTION("GOOGLETRANSLATE(B31058,""en"",""pt"")"),"Zográfos")</f>
        <v>Zográfos</v>
      </c>
      <c r="B131" s="17" t="s">
        <v>32762</v>
      </c>
      <c r="C131" s="17" t="s">
        <v>9441</v>
      </c>
      <c r="D131" s="17" t="s">
        <v>9445</v>
      </c>
      <c r="E131" s="10">
        <v>8358544</v>
      </c>
      <c r="F131" s="4" t="str">
        <f>IF(B131=B130,"",B131)</f>
        <v>Zográfos</v>
      </c>
    </row>
    <row r="132" spans="1:6" ht="15.75" customHeight="1">
      <c r="A132" s="6" t="s">
        <v>9662</v>
      </c>
      <c r="B132" s="6" t="s">
        <v>9663</v>
      </c>
      <c r="C132" s="6" t="s">
        <v>9441</v>
      </c>
      <c r="D132" s="6" t="s">
        <v>9445</v>
      </c>
      <c r="E132" s="2">
        <v>8358544</v>
      </c>
      <c r="F132" s="4" t="str">
        <f>IF(B132=B131,"",B132)</f>
        <v>ZogrÃ¡fos</v>
      </c>
    </row>
    <row r="133" spans="1:6" ht="15.75" customHeight="1">
      <c r="A133" s="5" t="s">
        <v>19158</v>
      </c>
      <c r="B133" s="6" t="s">
        <v>19158</v>
      </c>
      <c r="C133" s="5" t="s">
        <v>18862</v>
      </c>
      <c r="D133" s="5" t="s">
        <v>18868</v>
      </c>
      <c r="E133" s="2">
        <v>2743856</v>
      </c>
      <c r="F133" s="4" t="str">
        <f>IF(B133=B132,"",B133)</f>
        <v>Zoetermeer</v>
      </c>
    </row>
    <row r="134" spans="1:6" ht="15.75" customHeight="1">
      <c r="A134" s="5" t="str">
        <f ca="1">IFERROR(__xludf.DUMMYFUNCTION("GOOGLETRANSLATE(B37889,""en"",""pt"")"),"Zoetermeer")</f>
        <v>Zoetermeer</v>
      </c>
      <c r="B134" s="17" t="s">
        <v>19158</v>
      </c>
      <c r="C134" s="17" t="s">
        <v>18862</v>
      </c>
      <c r="D134" s="17" t="s">
        <v>18868</v>
      </c>
      <c r="E134" s="10">
        <v>2743856</v>
      </c>
      <c r="F134" s="4" t="str">
        <f>IF(B134=B133,"",B134)</f>
        <v/>
      </c>
    </row>
    <row r="135" spans="1:6" ht="15.75" customHeight="1">
      <c r="A135" s="6" t="s">
        <v>1727</v>
      </c>
      <c r="B135" s="6" t="s">
        <v>1727</v>
      </c>
      <c r="C135" s="6" t="s">
        <v>1512</v>
      </c>
      <c r="D135" s="6" t="s">
        <v>1513</v>
      </c>
      <c r="E135" s="2">
        <v>2783204</v>
      </c>
      <c r="F135" s="4" t="str">
        <f>IF(B135=B134,"",B135)</f>
        <v>Zoersel</v>
      </c>
    </row>
    <row r="136" spans="1:6" ht="15.75" customHeight="1">
      <c r="A136" s="5" t="str">
        <f ca="1">IFERROR(__xludf.DUMMYFUNCTION("GOOGLETRANSLATE(B23795,""en"",""pt"")"),"Zoersel")</f>
        <v>Zoersel</v>
      </c>
      <c r="B136" s="17" t="s">
        <v>1727</v>
      </c>
      <c r="C136" s="17" t="s">
        <v>1512</v>
      </c>
      <c r="D136" s="17" t="s">
        <v>1513</v>
      </c>
      <c r="E136" s="10">
        <v>2783204</v>
      </c>
      <c r="F136" s="4" t="str">
        <f>IF(B136=B135,"",B136)</f>
        <v/>
      </c>
    </row>
    <row r="137" spans="1:6" ht="15.75" customHeight="1">
      <c r="A137" s="5" t="s">
        <v>27207</v>
      </c>
      <c r="B137" s="6" t="s">
        <v>27207</v>
      </c>
      <c r="C137" s="5" t="s">
        <v>26870</v>
      </c>
      <c r="D137" s="5" t="s">
        <v>26949</v>
      </c>
      <c r="E137" s="2">
        <v>686919</v>
      </c>
      <c r="F137" s="4" t="str">
        <f>IF(B137=B136,"",B137)</f>
        <v>Znomenka</v>
      </c>
    </row>
    <row r="138" spans="1:6" ht="15.75" customHeight="1">
      <c r="A138" s="5" t="str">
        <f ca="1">IFERROR(__xludf.DUMMYFUNCTION("GOOGLETRANSLATE(B42473,""en"",""pt"")"),"Znomenka")</f>
        <v>Znomenka</v>
      </c>
      <c r="B138" s="17" t="s">
        <v>27207</v>
      </c>
      <c r="C138" s="17" t="s">
        <v>26870</v>
      </c>
      <c r="D138" s="17" t="s">
        <v>26949</v>
      </c>
      <c r="E138" s="10">
        <v>686919</v>
      </c>
      <c r="F138" s="4" t="str">
        <f>IF(B138=B137,"",B138)</f>
        <v/>
      </c>
    </row>
    <row r="139" spans="1:6" ht="15.75" customHeight="1">
      <c r="A139" s="6" t="s">
        <v>6125</v>
      </c>
      <c r="B139" s="6" t="s">
        <v>6125</v>
      </c>
      <c r="C139" s="6" t="s">
        <v>5947</v>
      </c>
      <c r="D139" s="6" t="s">
        <v>5982</v>
      </c>
      <c r="E139" s="2">
        <v>3061344</v>
      </c>
      <c r="F139" s="4" t="str">
        <f>IF(B139=B138,"",B139)</f>
        <v>Znojmo</v>
      </c>
    </row>
    <row r="140" spans="1:6" ht="15.75" customHeight="1">
      <c r="A140" s="5" t="str">
        <f ca="1">IFERROR(__xludf.DUMMYFUNCTION("GOOGLETRANSLATE(B27243,""en"",""pt"")"),"Znojmo")</f>
        <v>Znojmo</v>
      </c>
      <c r="B140" s="17" t="s">
        <v>6125</v>
      </c>
      <c r="C140" s="17" t="s">
        <v>5947</v>
      </c>
      <c r="D140" s="17" t="s">
        <v>5982</v>
      </c>
      <c r="E140" s="10">
        <v>3061344</v>
      </c>
      <c r="F140" s="4" t="str">
        <f>IF(B140=B139,"",B140)</f>
        <v/>
      </c>
    </row>
    <row r="141" spans="1:6" ht="15.75" customHeight="1">
      <c r="A141" s="5" t="s">
        <v>23405</v>
      </c>
      <c r="B141" s="6" t="s">
        <v>23405</v>
      </c>
      <c r="C141" s="5" t="s">
        <v>22070</v>
      </c>
      <c r="D141" s="5" t="s">
        <v>22096</v>
      </c>
      <c r="E141" s="2">
        <v>831130</v>
      </c>
      <c r="F141" s="4" t="str">
        <f>IF(B141=B140,"",B141)</f>
        <v>Znamensk</v>
      </c>
    </row>
    <row r="142" spans="1:6" ht="15.75" customHeight="1">
      <c r="A142" s="5" t="str">
        <f ca="1">IFERROR(__xludf.DUMMYFUNCTION("GOOGLETRANSLATE(B40705,""en"",""pt"")"),"Znamensk")</f>
        <v>Znamensk</v>
      </c>
      <c r="B142" s="17" t="s">
        <v>23405</v>
      </c>
      <c r="C142" s="17" t="s">
        <v>22070</v>
      </c>
      <c r="D142" s="17" t="s">
        <v>22096</v>
      </c>
      <c r="E142" s="10">
        <v>831130</v>
      </c>
      <c r="F142" s="4" t="str">
        <f>IF(B142=B141,"",B142)</f>
        <v/>
      </c>
    </row>
    <row r="143" spans="1:6" ht="15.75" customHeight="1">
      <c r="A143" s="6" t="s">
        <v>27206</v>
      </c>
      <c r="B143" s="6" t="s">
        <v>27206</v>
      </c>
      <c r="C143" s="6" t="s">
        <v>26870</v>
      </c>
      <c r="D143" s="6" t="s">
        <v>26893</v>
      </c>
      <c r="E143" s="2">
        <v>686928</v>
      </c>
      <c r="F143" s="4" t="str">
        <f>IF(B143=B142,"",B143)</f>
        <v>Zmiyiv</v>
      </c>
    </row>
    <row r="144" spans="1:6" ht="15.75" customHeight="1">
      <c r="A144" s="5" t="str">
        <f ca="1">IFERROR(__xludf.DUMMYFUNCTION("GOOGLETRANSLATE(B42474,""en"",""pt"")"),"Zmiyiv")</f>
        <v>Zmiyiv</v>
      </c>
      <c r="B144" s="17" t="s">
        <v>27206</v>
      </c>
      <c r="C144" s="17" t="s">
        <v>26870</v>
      </c>
      <c r="D144" s="17" t="s">
        <v>26893</v>
      </c>
      <c r="E144" s="10">
        <v>686928</v>
      </c>
      <c r="F144" s="4" t="str">
        <f>IF(B144=B143,"",B144)</f>
        <v/>
      </c>
    </row>
    <row r="145" spans="1:6" ht="15.75" customHeight="1">
      <c r="A145" s="5" t="str">
        <f ca="1">IFERROR(__xludf.DUMMYFUNCTION("GOOGLETRANSLATE(B39301,""en"",""pt"")"),"Złotów")</f>
        <v>Złotów</v>
      </c>
      <c r="B145" s="17" t="s">
        <v>35138</v>
      </c>
      <c r="C145" s="17" t="s">
        <v>21064</v>
      </c>
      <c r="D145" s="17" t="s">
        <v>21112</v>
      </c>
      <c r="E145" s="10">
        <v>3080071</v>
      </c>
      <c r="F145" s="4" t="str">
        <f>IF(B145=B144,"",B145)</f>
        <v>Złotów</v>
      </c>
    </row>
    <row r="146" spans="1:6" ht="15.75" customHeight="1">
      <c r="A146" s="5" t="str">
        <f ca="1">IFERROR(__xludf.DUMMYFUNCTION("GOOGLETRANSLATE(B39302,""en"",""pt"")"),"Złotoryja")</f>
        <v>Złotoryja</v>
      </c>
      <c r="B146" s="17" t="s">
        <v>35139</v>
      </c>
      <c r="C146" s="17" t="s">
        <v>21064</v>
      </c>
      <c r="D146" s="17" t="s">
        <v>21118</v>
      </c>
      <c r="E146" s="10">
        <v>3080074</v>
      </c>
      <c r="F146" s="4" t="str">
        <f>IF(B146=B145,"",B146)</f>
        <v>Złotoryja</v>
      </c>
    </row>
    <row r="147" spans="1:6" ht="15.75" customHeight="1">
      <c r="A147" s="6" t="s">
        <v>17147</v>
      </c>
      <c r="B147" s="6" t="s">
        <v>17147</v>
      </c>
      <c r="C147" s="6" t="s">
        <v>17074</v>
      </c>
      <c r="D147" s="6" t="s">
        <v>17110</v>
      </c>
      <c r="E147" s="2">
        <v>2208485</v>
      </c>
      <c r="F147" s="4" t="str">
        <f>IF(B147=B146,"",B147)</f>
        <v>Zliten</v>
      </c>
    </row>
    <row r="148" spans="1:6" ht="15.75" customHeight="1">
      <c r="A148" s="5" t="str">
        <f ca="1">IFERROR(__xludf.DUMMYFUNCTION("GOOGLETRANSLATE(B36426,""en"",""pt"")"),"Zliten")</f>
        <v>Zliten</v>
      </c>
      <c r="B148" s="17" t="s">
        <v>17147</v>
      </c>
      <c r="C148" s="17" t="s">
        <v>17074</v>
      </c>
      <c r="D148" s="17" t="s">
        <v>34564</v>
      </c>
      <c r="E148" s="10">
        <v>2208485</v>
      </c>
      <c r="F148" s="4" t="str">
        <f>IF(B148=B147,"",B148)</f>
        <v/>
      </c>
    </row>
    <row r="149" spans="1:6" ht="15.75" customHeight="1">
      <c r="A149" s="5" t="str">
        <f ca="1">IFERROR(__xludf.DUMMYFUNCTION("GOOGLETRANSLATE(B27244,""en"",""pt"")"),"Zlín")</f>
        <v>Zlín</v>
      </c>
      <c r="B149" s="17" t="s">
        <v>31937</v>
      </c>
      <c r="C149" s="17" t="s">
        <v>5947</v>
      </c>
      <c r="D149" s="17" t="s">
        <v>31937</v>
      </c>
      <c r="E149" s="10">
        <v>3061370</v>
      </c>
      <c r="F149" s="4" t="str">
        <f>IF(B149=B148,"",B149)</f>
        <v>Zlín</v>
      </c>
    </row>
    <row r="150" spans="1:6" ht="15.75" customHeight="1">
      <c r="A150" s="6" t="s">
        <v>23404</v>
      </c>
      <c r="B150" s="6" t="s">
        <v>23404</v>
      </c>
      <c r="C150" s="6" t="s">
        <v>22070</v>
      </c>
      <c r="D150" s="6" t="s">
        <v>22166</v>
      </c>
      <c r="E150" s="2">
        <v>462444</v>
      </c>
      <c r="F150" s="4" t="str">
        <f>IF(B150=B149,"",B150)</f>
        <v>Zlatoust</v>
      </c>
    </row>
    <row r="151" spans="1:6" ht="15.75" customHeight="1">
      <c r="A151" s="5" t="str">
        <f ca="1">IFERROR(__xludf.DUMMYFUNCTION("GOOGLETRANSLATE(B39912,""en"",""pt"")"),"Zlatoust")</f>
        <v>Zlatoust</v>
      </c>
      <c r="B151" s="17" t="s">
        <v>23404</v>
      </c>
      <c r="C151" s="17" t="s">
        <v>22070</v>
      </c>
      <c r="D151" s="17" t="s">
        <v>22166</v>
      </c>
      <c r="E151" s="10">
        <v>462444</v>
      </c>
      <c r="F151" s="4" t="str">
        <f>IF(B151=B150,"",B151)</f>
        <v/>
      </c>
    </row>
    <row r="152" spans="1:6" ht="15.75" customHeight="1">
      <c r="A152" s="5" t="str">
        <f ca="1">IFERROR(__xludf.DUMMYFUNCTION("GOOGLETRANSLATE(B41236,""en"",""pt"")"),"Zlaté Moravce")</f>
        <v>Zlaté Moravce</v>
      </c>
      <c r="B152" s="17" t="s">
        <v>23781</v>
      </c>
      <c r="C152" s="17" t="s">
        <v>23694</v>
      </c>
      <c r="D152" s="17" t="s">
        <v>23715</v>
      </c>
      <c r="E152" s="10">
        <v>3056495</v>
      </c>
      <c r="F152" s="4" t="str">
        <f>IF(B152=B151,"",B152)</f>
        <v>Zlaté Moravce</v>
      </c>
    </row>
    <row r="153" spans="1:6" ht="15.75" customHeight="1">
      <c r="A153" s="5" t="s">
        <v>23781</v>
      </c>
      <c r="B153" s="6" t="s">
        <v>23782</v>
      </c>
      <c r="C153" s="5" t="s">
        <v>23694</v>
      </c>
      <c r="D153" s="5" t="s">
        <v>23715</v>
      </c>
      <c r="E153" s="2">
        <v>3056495</v>
      </c>
      <c r="F153" s="4" t="str">
        <f>IF(B153=B152,"",B153)</f>
        <v>ZlatÃ© Moravce</v>
      </c>
    </row>
    <row r="154" spans="1:6" ht="15.75" customHeight="1">
      <c r="A154" s="6" t="s">
        <v>6124</v>
      </c>
      <c r="B154" s="6" t="s">
        <v>6045</v>
      </c>
      <c r="C154" s="6" t="s">
        <v>5947</v>
      </c>
      <c r="D154" s="6" t="s">
        <v>6045</v>
      </c>
      <c r="E154" s="2">
        <v>3061370</v>
      </c>
      <c r="F154" s="4" t="str">
        <f>IF(B154=B153,"",B154)</f>
        <v>ZlÃ­n</v>
      </c>
    </row>
    <row r="155" spans="1:6" ht="15.75" customHeight="1">
      <c r="A155" s="6" t="s">
        <v>6933</v>
      </c>
      <c r="B155" s="6" t="s">
        <v>6933</v>
      </c>
      <c r="C155" s="6" t="s">
        <v>6807</v>
      </c>
      <c r="D155" s="6" t="s">
        <v>6814</v>
      </c>
      <c r="E155" s="2">
        <v>325579</v>
      </c>
      <c r="F155" s="4" t="str">
        <f>IF(B155=B154,"",B155)</f>
        <v>Ziway</v>
      </c>
    </row>
    <row r="156" spans="1:6" ht="15.75" customHeight="1">
      <c r="A156" s="5" t="str">
        <f ca="1">IFERROR(__xludf.DUMMYFUNCTION("GOOGLETRANSLATE(B29519,""en"",""pt"")"),"Ziway")</f>
        <v>Ziway</v>
      </c>
      <c r="B156" s="17" t="s">
        <v>6933</v>
      </c>
      <c r="C156" s="17" t="s">
        <v>6807</v>
      </c>
      <c r="D156" s="17" t="s">
        <v>6814</v>
      </c>
      <c r="E156" s="10">
        <v>325579</v>
      </c>
      <c r="F156" s="4" t="str">
        <f>IF(B156=B155,"",B156)</f>
        <v/>
      </c>
    </row>
    <row r="157" spans="1:6" ht="15.75" customHeight="1">
      <c r="A157" s="6" t="s">
        <v>9358</v>
      </c>
      <c r="B157" s="6" t="s">
        <v>9358</v>
      </c>
      <c r="C157" s="6" t="s">
        <v>8028</v>
      </c>
      <c r="D157" s="6" t="s">
        <v>8072</v>
      </c>
      <c r="E157" s="2">
        <v>2804008</v>
      </c>
      <c r="F157" s="4" t="str">
        <f>IF(B157=B156,"",B157)</f>
        <v>Zittau</v>
      </c>
    </row>
    <row r="158" spans="1:6" ht="15.75" customHeight="1">
      <c r="A158" s="5" t="str">
        <f ca="1">IFERROR(__xludf.DUMMYFUNCTION("GOOGLETRANSLATE(B27346,""en"",""pt"")"),"Zittau")</f>
        <v>Zittau</v>
      </c>
      <c r="B158" s="17" t="s">
        <v>9358</v>
      </c>
      <c r="C158" s="17" t="s">
        <v>8028</v>
      </c>
      <c r="D158" s="17" t="s">
        <v>8072</v>
      </c>
      <c r="E158" s="10">
        <v>2804008</v>
      </c>
      <c r="F158" s="4" t="str">
        <f>IF(B158=B157,"",B158)</f>
        <v/>
      </c>
    </row>
    <row r="159" spans="1:6" ht="15.75" customHeight="1">
      <c r="A159" s="6" t="s">
        <v>9357</v>
      </c>
      <c r="B159" s="6" t="s">
        <v>9357</v>
      </c>
      <c r="C159" s="6" t="s">
        <v>8028</v>
      </c>
      <c r="D159" s="6" t="s">
        <v>8044</v>
      </c>
      <c r="E159" s="2">
        <v>2804034</v>
      </c>
      <c r="F159" s="4" t="str">
        <f>IF(B159=B158,"",B159)</f>
        <v>Zirndorf</v>
      </c>
    </row>
    <row r="160" spans="1:6" ht="15.75" customHeight="1">
      <c r="A160" s="5" t="str">
        <f ca="1">IFERROR(__xludf.DUMMYFUNCTION("GOOGLETRANSLATE(B27347,""en"",""pt"")"),"Zirndorf")</f>
        <v>Zirndorf</v>
      </c>
      <c r="B160" s="17" t="s">
        <v>9357</v>
      </c>
      <c r="C160" s="17" t="s">
        <v>8028</v>
      </c>
      <c r="D160" s="17" t="s">
        <v>8044</v>
      </c>
      <c r="E160" s="10">
        <v>2804034</v>
      </c>
      <c r="F160" s="4" t="str">
        <f>IF(B160=B159,"",B160)</f>
        <v/>
      </c>
    </row>
    <row r="161" spans="1:6" ht="15.75" customHeight="1">
      <c r="A161" s="6" t="s">
        <v>13797</v>
      </c>
      <c r="B161" s="6" t="s">
        <v>13797</v>
      </c>
      <c r="C161" s="6" t="s">
        <v>10178</v>
      </c>
      <c r="D161" s="6" t="s">
        <v>10184</v>
      </c>
      <c r="E161" s="2">
        <v>7645176</v>
      </c>
      <c r="F161" s="4" t="str">
        <f>IF(B161=B160,"",B161)</f>
        <v>Zira</v>
      </c>
    </row>
    <row r="162" spans="1:6" ht="15.75" customHeight="1">
      <c r="A162" s="5" t="str">
        <f ca="1">IFERROR(__xludf.DUMMYFUNCTION("GOOGLETRANSLATE(B34256,""en"",""pt"")"),"Zira")</f>
        <v>Zira</v>
      </c>
      <c r="B162" s="17" t="s">
        <v>13797</v>
      </c>
      <c r="C162" s="17" t="s">
        <v>10178</v>
      </c>
      <c r="D162" s="17" t="s">
        <v>10184</v>
      </c>
      <c r="E162" s="10">
        <v>7645176</v>
      </c>
      <c r="F162" s="4" t="str">
        <f>IF(B162=B161,"",B162)</f>
        <v/>
      </c>
    </row>
    <row r="163" spans="1:6" ht="15.75" customHeight="1">
      <c r="A163" s="6" t="s">
        <v>5654</v>
      </c>
      <c r="B163" s="6" t="s">
        <v>5655</v>
      </c>
      <c r="C163" s="6" t="s">
        <v>5348</v>
      </c>
      <c r="D163" s="6" t="s">
        <v>5400</v>
      </c>
      <c r="E163" s="2">
        <v>3665542</v>
      </c>
      <c r="F163" s="4" t="str">
        <f>IF(B163=B162,"",B163)</f>
        <v>ZipaquirÃ¡</v>
      </c>
    </row>
    <row r="164" spans="1:6" ht="15.75" customHeight="1">
      <c r="A164" s="5" t="str">
        <f ca="1">IFERROR(__xludf.DUMMYFUNCTION("GOOGLETRANSLATE(B26843,""en"",""pt"")"),"Zipaquirá")</f>
        <v>Zipaquirá</v>
      </c>
      <c r="B164" s="17" t="s">
        <v>5654</v>
      </c>
      <c r="C164" s="17" t="s">
        <v>5348</v>
      </c>
      <c r="D164" s="17" t="s">
        <v>5400</v>
      </c>
      <c r="E164" s="10">
        <v>3665542</v>
      </c>
      <c r="F164" s="4" t="str">
        <f>IF(B164=B163,"",B164)</f>
        <v>Zipaquirá</v>
      </c>
    </row>
    <row r="165" spans="1:6" ht="15.75" customHeight="1">
      <c r="A165" s="6" t="s">
        <v>30469</v>
      </c>
      <c r="B165" s="6" t="s">
        <v>30470</v>
      </c>
      <c r="C165" s="6" t="s">
        <v>27788</v>
      </c>
      <c r="D165" s="6" t="s">
        <v>27799</v>
      </c>
      <c r="E165" s="2">
        <v>4917358</v>
      </c>
      <c r="F165" s="4" t="str">
        <f>IF(B165=B164,"",B165)</f>
        <v>Zion</v>
      </c>
    </row>
    <row r="166" spans="1:6" ht="15.75" customHeight="1">
      <c r="A166" s="5" t="str">
        <f ca="1">IFERROR(__xludf.DUMMYFUNCTION("GOOGLETRANSLATE(B43906,""en"",""pt"")"),"Sião")</f>
        <v>Sião</v>
      </c>
      <c r="B166" s="17" t="s">
        <v>30470</v>
      </c>
      <c r="C166" s="17" t="s">
        <v>27788</v>
      </c>
      <c r="D166" s="17" t="s">
        <v>27799</v>
      </c>
      <c r="E166" s="10">
        <v>4917358</v>
      </c>
      <c r="F166" s="4" t="str">
        <f>IF(B166=B165,"",B166)</f>
        <v/>
      </c>
    </row>
    <row r="167" spans="1:6" ht="15.75" customHeight="1">
      <c r="A167" s="5" t="str">
        <f ca="1">IFERROR(__xludf.DUMMYFUNCTION("GOOGLETRANSLATE(B45816,""en"",""pt"")"),"Zinjibār")</f>
        <v>Zinjibār</v>
      </c>
      <c r="B167" s="17" t="s">
        <v>36211</v>
      </c>
      <c r="C167" s="17" t="s">
        <v>30993</v>
      </c>
      <c r="D167" s="17" t="s">
        <v>31036</v>
      </c>
      <c r="E167" s="10">
        <v>69426</v>
      </c>
      <c r="F167" s="4" t="str">
        <f>IF(B167=B166,"",B167)</f>
        <v>Zinjibār</v>
      </c>
    </row>
    <row r="168" spans="1:6" ht="15.75" customHeight="1">
      <c r="A168" s="6" t="s">
        <v>31034</v>
      </c>
      <c r="B168" s="6" t="s">
        <v>31035</v>
      </c>
      <c r="C168" s="6" t="s">
        <v>30993</v>
      </c>
      <c r="D168" s="6" t="s">
        <v>31036</v>
      </c>
      <c r="E168" s="2">
        <v>69426</v>
      </c>
      <c r="F168" s="4" t="str">
        <f>IF(B168=B167,"",B168)</f>
        <v>ZinjibÄr</v>
      </c>
    </row>
    <row r="169" spans="1:6" ht="15.75" customHeight="1">
      <c r="A169" s="6" t="s">
        <v>19278</v>
      </c>
      <c r="B169" s="6" t="s">
        <v>19278</v>
      </c>
      <c r="C169" s="6" t="s">
        <v>19259</v>
      </c>
      <c r="D169" s="6" t="s">
        <v>19278</v>
      </c>
      <c r="E169" s="2">
        <v>2437798</v>
      </c>
      <c r="F169" s="4" t="str">
        <f>IF(B169=B168,"",B169)</f>
        <v>Zinder</v>
      </c>
    </row>
    <row r="170" spans="1:6" ht="15.75" customHeight="1">
      <c r="A170" s="5" t="str">
        <f ca="1">IFERROR(__xludf.DUMMYFUNCTION("GOOGLETRANSLATE(B37582,""en"",""pt"")"),"Zinder")</f>
        <v>Zinder</v>
      </c>
      <c r="B170" s="17" t="s">
        <v>19278</v>
      </c>
      <c r="C170" s="17" t="s">
        <v>19259</v>
      </c>
      <c r="D170" s="17" t="s">
        <v>19278</v>
      </c>
      <c r="E170" s="10">
        <v>2437798</v>
      </c>
      <c r="F170" s="4" t="str">
        <f>IF(B170=B169,"",B170)</f>
        <v/>
      </c>
    </row>
    <row r="171" spans="1:6" ht="15.75" customHeight="1">
      <c r="A171" s="6" t="s">
        <v>23403</v>
      </c>
      <c r="B171" s="6" t="s">
        <v>23403</v>
      </c>
      <c r="C171" s="6" t="s">
        <v>22070</v>
      </c>
      <c r="D171" s="6" t="s">
        <v>22099</v>
      </c>
      <c r="E171" s="2">
        <v>462522</v>
      </c>
      <c r="F171" s="4" t="str">
        <f>IF(B171=B170,"",B171)</f>
        <v>Zimovniki</v>
      </c>
    </row>
    <row r="172" spans="1:6" ht="15.75" customHeight="1">
      <c r="A172" s="5" t="str">
        <f ca="1">IFERROR(__xludf.DUMMYFUNCTION("GOOGLETRANSLATE(B39913,""en"",""pt"")"),"Zimovniki")</f>
        <v>Zimovniki</v>
      </c>
      <c r="B172" s="17" t="s">
        <v>23403</v>
      </c>
      <c r="C172" s="17" t="s">
        <v>22070</v>
      </c>
      <c r="D172" s="17" t="s">
        <v>22099</v>
      </c>
      <c r="E172" s="10">
        <v>462522</v>
      </c>
      <c r="F172" s="4" t="str">
        <f>IF(B172=B171,"",B172)</f>
        <v/>
      </c>
    </row>
    <row r="173" spans="1:6" ht="15.75" customHeight="1">
      <c r="A173" s="5" t="s">
        <v>22067</v>
      </c>
      <c r="B173" s="6" t="s">
        <v>22068</v>
      </c>
      <c r="C173" s="5" t="s">
        <v>21824</v>
      </c>
      <c r="D173" s="5" t="s">
        <v>21828</v>
      </c>
      <c r="E173" s="2">
        <v>662187</v>
      </c>
      <c r="F173" s="4" t="str">
        <f>IF(B173=B172,"",B173)</f>
        <v>Zimnicea</v>
      </c>
    </row>
    <row r="174" spans="1:6" ht="15.75" customHeight="1">
      <c r="A174" s="5" t="str">
        <f ca="1">IFERROR(__xludf.DUMMYFUNCTION("GOOGLETRANSLATE(B39722,""en"",""pt"")"),"Zimniquea")</f>
        <v>Zimniquea</v>
      </c>
      <c r="B174" s="17" t="s">
        <v>22068</v>
      </c>
      <c r="C174" s="17" t="s">
        <v>21824</v>
      </c>
      <c r="D174" s="17" t="s">
        <v>21828</v>
      </c>
      <c r="E174" s="10">
        <v>662187</v>
      </c>
      <c r="F174" s="4" t="str">
        <f>IF(B174=B173,"",B174)</f>
        <v/>
      </c>
    </row>
    <row r="175" spans="1:6" ht="15.75" customHeight="1">
      <c r="A175" s="6" t="s">
        <v>23402</v>
      </c>
      <c r="B175" s="6" t="s">
        <v>23402</v>
      </c>
      <c r="C175" s="6" t="s">
        <v>22070</v>
      </c>
      <c r="D175" s="6" t="s">
        <v>22135</v>
      </c>
      <c r="E175" s="2">
        <v>2012484</v>
      </c>
      <c r="F175" s="4" t="str">
        <f>IF(B175=B174,"",B175)</f>
        <v>Zima</v>
      </c>
    </row>
    <row r="176" spans="1:6" ht="15.75" customHeight="1">
      <c r="A176" s="5" t="str">
        <f ca="1">IFERROR(__xludf.DUMMYFUNCTION("GOOGLETRANSLATE(B40890,""en"",""pt"")"),"Zima")</f>
        <v>Zima</v>
      </c>
      <c r="B176" s="17" t="s">
        <v>23402</v>
      </c>
      <c r="C176" s="17" t="s">
        <v>22070</v>
      </c>
      <c r="D176" s="17" t="s">
        <v>22135</v>
      </c>
      <c r="E176" s="10">
        <v>2012484</v>
      </c>
      <c r="F176" s="4" t="str">
        <f>IF(B176=B175,"",B176)</f>
        <v/>
      </c>
    </row>
    <row r="177" spans="1:6" ht="15.75" customHeight="1">
      <c r="A177" s="5" t="str">
        <f ca="1">IFERROR(__xludf.DUMMYFUNCTION("GOOGLETRANSLATE(B41237,""en"",""pt"")"),"Žilina")</f>
        <v>Žilina</v>
      </c>
      <c r="B177" s="17" t="s">
        <v>35677</v>
      </c>
      <c r="C177" s="17" t="s">
        <v>23694</v>
      </c>
      <c r="D177" s="17" t="s">
        <v>35678</v>
      </c>
      <c r="E177" s="10">
        <v>3056508</v>
      </c>
      <c r="F177" s="4" t="str">
        <f>IF(B177=B176,"",B177)</f>
        <v>Žilina</v>
      </c>
    </row>
    <row r="178" spans="1:6" ht="15.75" customHeight="1">
      <c r="A178" s="6" t="s">
        <v>26772</v>
      </c>
      <c r="B178" s="6" t="s">
        <v>26772</v>
      </c>
      <c r="C178" s="6" t="s">
        <v>26201</v>
      </c>
      <c r="D178" s="6" t="s">
        <v>26474</v>
      </c>
      <c r="E178" s="2">
        <v>737054</v>
      </c>
      <c r="F178" s="4" t="str">
        <f>IF(B178=B177,"",B178)</f>
        <v>Zile</v>
      </c>
    </row>
    <row r="179" spans="1:6" ht="15.75" customHeight="1">
      <c r="A179" s="5" t="str">
        <f ca="1">IFERROR(__xludf.DUMMYFUNCTION("GOOGLETRANSLATE(B42088,""en"",""pt"")"),"Zile")</f>
        <v>Zile</v>
      </c>
      <c r="B179" s="17" t="s">
        <v>26772</v>
      </c>
      <c r="C179" s="17" t="s">
        <v>26201</v>
      </c>
      <c r="D179" s="17" t="s">
        <v>26474</v>
      </c>
      <c r="E179" s="10">
        <v>737054</v>
      </c>
      <c r="F179" s="4" t="str">
        <f>IF(B179=B178,"",B179)</f>
        <v/>
      </c>
    </row>
    <row r="180" spans="1:6" ht="15.75" customHeight="1">
      <c r="A180" s="6" t="s">
        <v>5337</v>
      </c>
      <c r="B180" s="6" t="s">
        <v>5337</v>
      </c>
      <c r="C180" s="6" t="s">
        <v>4487</v>
      </c>
      <c r="D180" s="6" t="s">
        <v>4511</v>
      </c>
      <c r="E180" s="2">
        <v>1789897</v>
      </c>
      <c r="F180" s="4" t="str">
        <f>IF(B180=B179,"",B180)</f>
        <v>Zijinglu</v>
      </c>
    </row>
    <row r="181" spans="1:6" ht="15.75" customHeight="1">
      <c r="A181" s="5" t="str">
        <f ca="1">IFERROR(__xludf.DUMMYFUNCTION("GOOGLETRANSLATE(B26185,""en"",""pt"")"),"Zijinglu")</f>
        <v>Zijinglu</v>
      </c>
      <c r="B181" s="17" t="s">
        <v>5337</v>
      </c>
      <c r="C181" s="17" t="s">
        <v>4487</v>
      </c>
      <c r="D181" s="17" t="s">
        <v>4511</v>
      </c>
      <c r="E181" s="10">
        <v>1789897</v>
      </c>
      <c r="F181" s="4" t="str">
        <f>IF(B181=B180,"",B181)</f>
        <v/>
      </c>
    </row>
    <row r="182" spans="1:6" ht="15.75" customHeight="1">
      <c r="A182" s="5" t="s">
        <v>23560</v>
      </c>
      <c r="B182" s="6" t="s">
        <v>23560</v>
      </c>
      <c r="C182" s="5" t="s">
        <v>23559</v>
      </c>
      <c r="D182" s="5" t="s">
        <v>23560</v>
      </c>
      <c r="E182" s="2">
        <v>2243940</v>
      </c>
      <c r="F182" s="4" t="str">
        <f>IF(B182=B181,"",B182)</f>
        <v>Ziguinchor</v>
      </c>
    </row>
    <row r="183" spans="1:6" ht="15.75" customHeight="1">
      <c r="A183" s="5" t="str">
        <f ca="1">IFERROR(__xludf.DUMMYFUNCTION("GOOGLETRANSLATE(B41284,""en"",""pt"")"),"Ziguinchor")</f>
        <v>Ziguinchor</v>
      </c>
      <c r="B183" s="17" t="s">
        <v>23560</v>
      </c>
      <c r="C183" s="17" t="s">
        <v>23559</v>
      </c>
      <c r="D183" s="17" t="s">
        <v>23560</v>
      </c>
      <c r="E183" s="10">
        <v>2243940</v>
      </c>
      <c r="F183" s="4" t="str">
        <f>IF(B183=B182,"",B183)</f>
        <v/>
      </c>
    </row>
    <row r="184" spans="1:6" ht="15.75" customHeight="1">
      <c r="A184" s="6" t="s">
        <v>5336</v>
      </c>
      <c r="B184" s="6" t="s">
        <v>5336</v>
      </c>
      <c r="C184" s="6" t="s">
        <v>4487</v>
      </c>
      <c r="D184" s="6" t="s">
        <v>4588</v>
      </c>
      <c r="E184" s="2">
        <v>1783745</v>
      </c>
      <c r="F184" s="4" t="str">
        <f>IF(B184=B183,"",B184)</f>
        <v>Zigong</v>
      </c>
    </row>
    <row r="185" spans="1:6" ht="15.75" customHeight="1">
      <c r="A185" s="5" t="str">
        <f ca="1">IFERROR(__xludf.DUMMYFUNCTION("GOOGLETRANSLATE(B26070,""en"",""pt"")"),"Zigong")</f>
        <v>Zigong</v>
      </c>
      <c r="B185" s="17" t="s">
        <v>5336</v>
      </c>
      <c r="C185" s="17" t="s">
        <v>4487</v>
      </c>
      <c r="D185" s="17" t="s">
        <v>4588</v>
      </c>
      <c r="E185" s="10">
        <v>1783745</v>
      </c>
      <c r="F185" s="4" t="str">
        <f>IF(B185=B184,"",B185)</f>
        <v/>
      </c>
    </row>
    <row r="186" spans="1:6" ht="15.75" customHeight="1">
      <c r="A186" s="6" t="s">
        <v>6724</v>
      </c>
      <c r="B186" s="6" t="s">
        <v>6725</v>
      </c>
      <c r="C186" s="6" t="s">
        <v>6495</v>
      </c>
      <c r="D186" s="6" t="s">
        <v>6567</v>
      </c>
      <c r="E186" s="2">
        <v>346030</v>
      </c>
      <c r="F186" s="4" t="str">
        <f>IF(B186=B185,"",B186)</f>
        <v>ZiftÃ¡</v>
      </c>
    </row>
    <row r="187" spans="1:6" ht="15.75" customHeight="1">
      <c r="A187" s="5" t="str">
        <f ca="1">IFERROR(__xludf.DUMMYFUNCTION("GOOGLETRANSLATE(B28821,""en"",""pt"")"),"Ziftá")</f>
        <v>Ziftá</v>
      </c>
      <c r="B187" s="17" t="s">
        <v>32244</v>
      </c>
      <c r="C187" s="17" t="s">
        <v>6495</v>
      </c>
      <c r="D187" s="17" t="s">
        <v>32245</v>
      </c>
      <c r="E187" s="10">
        <v>346030</v>
      </c>
      <c r="F187" s="4" t="str">
        <f>IF(B187=B186,"",B187)</f>
        <v>Ziftá</v>
      </c>
    </row>
    <row r="188" spans="1:6" ht="15.75" customHeight="1">
      <c r="A188" s="6" t="s">
        <v>21603</v>
      </c>
      <c r="B188" s="6" t="s">
        <v>21603</v>
      </c>
      <c r="C188" s="6" t="s">
        <v>21064</v>
      </c>
      <c r="D188" s="6" t="s">
        <v>21070</v>
      </c>
      <c r="E188" s="2">
        <v>753276</v>
      </c>
      <c r="F188" s="4" t="str">
        <f>IF(B188=B187,"",B188)</f>
        <v>Zielonka</v>
      </c>
    </row>
    <row r="189" spans="1:6" ht="15.75" customHeight="1">
      <c r="A189" s="5" t="str">
        <f ca="1">IFERROR(__xludf.DUMMYFUNCTION("GOOGLETRANSLATE(B39177,""en"",""pt"")"),"Zielonka")</f>
        <v>Zielonka</v>
      </c>
      <c r="B189" s="17" t="s">
        <v>21603</v>
      </c>
      <c r="C189" s="17" t="s">
        <v>21064</v>
      </c>
      <c r="D189" s="17" t="s">
        <v>21070</v>
      </c>
      <c r="E189" s="10">
        <v>753276</v>
      </c>
      <c r="F189" s="4" t="str">
        <f>IF(B189=B188,"",B189)</f>
        <v/>
      </c>
    </row>
    <row r="190" spans="1:6" ht="15.75" customHeight="1">
      <c r="A190" s="5" t="str">
        <f ca="1">IFERROR(__xludf.DUMMYFUNCTION("GOOGLETRANSLATE(B39303,""en"",""pt"")"),"Zielona Góra")</f>
        <v>Zielona Góra</v>
      </c>
      <c r="B190" s="17" t="s">
        <v>35140</v>
      </c>
      <c r="C190" s="17" t="s">
        <v>21064</v>
      </c>
      <c r="D190" s="17" t="s">
        <v>21065</v>
      </c>
      <c r="E190" s="10">
        <v>3080165</v>
      </c>
      <c r="F190" s="4" t="str">
        <f>IF(B190=B189,"",B190)</f>
        <v>Zielona Góra</v>
      </c>
    </row>
    <row r="191" spans="1:6" ht="15.75" customHeight="1">
      <c r="A191" s="5" t="s">
        <v>21601</v>
      </c>
      <c r="B191" s="6" t="s">
        <v>21602</v>
      </c>
      <c r="C191" s="5" t="s">
        <v>21064</v>
      </c>
      <c r="D191" s="5" t="s">
        <v>21065</v>
      </c>
      <c r="E191" s="2">
        <v>3080165</v>
      </c>
      <c r="F191" s="4" t="str">
        <f>IF(B191=B190,"",B191)</f>
        <v>Zielona GÃ³ra</v>
      </c>
    </row>
    <row r="192" spans="1:6" ht="15.75" customHeight="1">
      <c r="A192" s="6" t="s">
        <v>5335</v>
      </c>
      <c r="B192" s="6" t="s">
        <v>5335</v>
      </c>
      <c r="C192" s="6" t="s">
        <v>4487</v>
      </c>
      <c r="D192" s="6" t="s">
        <v>4503</v>
      </c>
      <c r="E192" s="2">
        <v>1785286</v>
      </c>
      <c r="F192" s="4" t="str">
        <f>IF(B192=B191,"",B192)</f>
        <v>Zibo</v>
      </c>
    </row>
    <row r="193" spans="1:6" ht="15.75" customHeight="1">
      <c r="A193" s="5" t="str">
        <f ca="1">IFERROR(__xludf.DUMMYFUNCTION("GOOGLETRANSLATE(B26098,""en"",""pt"")"),"Zibo")</f>
        <v>Zibo</v>
      </c>
      <c r="B193" s="17" t="s">
        <v>5335</v>
      </c>
      <c r="C193" s="17" t="s">
        <v>4487</v>
      </c>
      <c r="D193" s="17" t="s">
        <v>4503</v>
      </c>
      <c r="E193" s="10">
        <v>1785286</v>
      </c>
      <c r="F193" s="4" t="str">
        <f>IF(B193=B192,"",B193)</f>
        <v/>
      </c>
    </row>
    <row r="194" spans="1:6" ht="15.75" customHeight="1">
      <c r="A194" s="5" t="str">
        <f ca="1">IFERROR(__xludf.DUMMYFUNCTION("GOOGLETRANSLATE(B41238,""en"",""pt"")"),"Žiar Nad Hronom")</f>
        <v>Žiar Nad Hronom</v>
      </c>
      <c r="B194" s="17" t="s">
        <v>35679</v>
      </c>
      <c r="C194" s="17" t="s">
        <v>23694</v>
      </c>
      <c r="D194" s="17" t="s">
        <v>35673</v>
      </c>
      <c r="E194" s="10">
        <v>3056523</v>
      </c>
      <c r="F194" s="4" t="str">
        <f>IF(B194=B193,"",B194)</f>
        <v>Žiar nad Hronom</v>
      </c>
    </row>
    <row r="195" spans="1:6" ht="15.75" customHeight="1">
      <c r="A195" s="6" t="s">
        <v>26900</v>
      </c>
      <c r="B195" s="6" t="s">
        <v>26900</v>
      </c>
      <c r="C195" s="6" t="s">
        <v>26870</v>
      </c>
      <c r="D195" s="6" t="s">
        <v>26900</v>
      </c>
      <c r="E195" s="2">
        <v>686967</v>
      </c>
      <c r="F195" s="4" t="str">
        <f>IF(B195=B194,"",B195)</f>
        <v>Zhytomyr</v>
      </c>
    </row>
    <row r="196" spans="1:6" ht="15.75" customHeight="1">
      <c r="A196" s="5" t="str">
        <f ca="1">IFERROR(__xludf.DUMMYFUNCTION("GOOGLETRANSLATE(B42475,""en"",""pt"")"),"Zhytomyr")</f>
        <v>Zhytomyr</v>
      </c>
      <c r="B196" s="17" t="s">
        <v>26900</v>
      </c>
      <c r="C196" s="17" t="s">
        <v>26870</v>
      </c>
      <c r="D196" s="17" t="s">
        <v>26900</v>
      </c>
      <c r="E196" s="10">
        <v>686967</v>
      </c>
      <c r="F196" s="4" t="str">
        <f>IF(B196=B195,"",B196)</f>
        <v/>
      </c>
    </row>
    <row r="197" spans="1:6" ht="15.75" customHeight="1">
      <c r="A197" s="6" t="s">
        <v>5334</v>
      </c>
      <c r="B197" s="6" t="s">
        <v>5334</v>
      </c>
      <c r="C197" s="6" t="s">
        <v>4487</v>
      </c>
      <c r="D197" s="6" t="s">
        <v>4495</v>
      </c>
      <c r="E197" s="2">
        <v>1783763</v>
      </c>
      <c r="F197" s="4" t="str">
        <f>IF(B197=B196,"",B197)</f>
        <v>Zhuzhou</v>
      </c>
    </row>
    <row r="198" spans="1:6" ht="15.75" customHeight="1">
      <c r="A198" s="5" t="str">
        <f ca="1">IFERROR(__xludf.DUMMYFUNCTION("GOOGLETRANSLATE(B26071,""en"",""pt"")"),"Zhuzhou")</f>
        <v>Zhuzhou</v>
      </c>
      <c r="B198" s="17" t="s">
        <v>5334</v>
      </c>
      <c r="C198" s="17" t="s">
        <v>4487</v>
      </c>
      <c r="D198" s="17" t="s">
        <v>4495</v>
      </c>
      <c r="E198" s="10">
        <v>1783763</v>
      </c>
      <c r="F198" s="4" t="str">
        <f>IF(B198=B197,"",B198)</f>
        <v/>
      </c>
    </row>
    <row r="199" spans="1:6" ht="15.75" customHeight="1">
      <c r="A199" s="5" t="s">
        <v>5333</v>
      </c>
      <c r="B199" s="6" t="s">
        <v>5333</v>
      </c>
      <c r="C199" s="5" t="s">
        <v>4487</v>
      </c>
      <c r="D199" s="5" t="s">
        <v>4511</v>
      </c>
      <c r="E199" s="2">
        <v>1783873</v>
      </c>
      <c r="F199" s="4" t="str">
        <f>IF(B199=B198,"",B199)</f>
        <v>Zhumadian</v>
      </c>
    </row>
    <row r="200" spans="1:6" ht="15.75" customHeight="1">
      <c r="A200" s="5" t="str">
        <f ca="1">IFERROR(__xludf.DUMMYFUNCTION("GOOGLETRANSLATE(B26072,""en"",""pt"")"),"Zhumadian")</f>
        <v>Zhumadian</v>
      </c>
      <c r="B200" s="17" t="s">
        <v>5333</v>
      </c>
      <c r="C200" s="17" t="s">
        <v>4487</v>
      </c>
      <c r="D200" s="17" t="s">
        <v>4511</v>
      </c>
      <c r="E200" s="10">
        <v>1783873</v>
      </c>
      <c r="F200" s="4" t="str">
        <f>IF(B200=B199,"",B200)</f>
        <v/>
      </c>
    </row>
    <row r="201" spans="1:6" ht="15.75" customHeight="1">
      <c r="A201" s="5" t="s">
        <v>23401</v>
      </c>
      <c r="B201" s="6" t="s">
        <v>23401</v>
      </c>
      <c r="C201" s="5" t="s">
        <v>22070</v>
      </c>
      <c r="D201" s="5" t="s">
        <v>22127</v>
      </c>
      <c r="E201" s="2">
        <v>462745</v>
      </c>
      <c r="F201" s="4" t="str">
        <f>IF(B201=B200,"",B201)</f>
        <v>Zhulebino</v>
      </c>
    </row>
    <row r="202" spans="1:6" ht="15.75" customHeight="1">
      <c r="A202" s="5" t="str">
        <f ca="1">IFERROR(__xludf.DUMMYFUNCTION("GOOGLETRANSLATE(B39914,""en"",""pt"")"),"Zhulebino")</f>
        <v>Zhulebino</v>
      </c>
      <c r="B202" s="17" t="s">
        <v>23401</v>
      </c>
      <c r="C202" s="17" t="s">
        <v>22070</v>
      </c>
      <c r="D202" s="17" t="s">
        <v>22127</v>
      </c>
      <c r="E202" s="10">
        <v>462745</v>
      </c>
      <c r="F202" s="4" t="str">
        <f>IF(B202=B201,"",B202)</f>
        <v/>
      </c>
    </row>
    <row r="203" spans="1:6" ht="15.75" customHeight="1">
      <c r="A203" s="5" t="s">
        <v>23400</v>
      </c>
      <c r="B203" s="6" t="s">
        <v>23400</v>
      </c>
      <c r="C203" s="5" t="s">
        <v>22070</v>
      </c>
      <c r="D203" s="5" t="s">
        <v>22119</v>
      </c>
      <c r="E203" s="2">
        <v>462755</v>
      </c>
      <c r="F203" s="4" t="str">
        <f>IF(B203=B202,"",B203)</f>
        <v>Zhukovskiy</v>
      </c>
    </row>
    <row r="204" spans="1:6" ht="15.75" customHeight="1">
      <c r="A204" s="5" t="str">
        <f ca="1">IFERROR(__xludf.DUMMYFUNCTION("GOOGLETRANSLATE(B39915,""en"",""pt"")"),"Zhukovskiy")</f>
        <v>Zhukovskiy</v>
      </c>
      <c r="B204" s="17" t="s">
        <v>23400</v>
      </c>
      <c r="C204" s="17" t="s">
        <v>22070</v>
      </c>
      <c r="D204" s="17" t="s">
        <v>22119</v>
      </c>
      <c r="E204" s="10">
        <v>462755</v>
      </c>
      <c r="F204" s="4" t="str">
        <f>IF(B204=B203,"",B204)</f>
        <v/>
      </c>
    </row>
    <row r="205" spans="1:6" ht="15.75" customHeight="1">
      <c r="A205" s="6" t="s">
        <v>23399</v>
      </c>
      <c r="B205" s="6" t="s">
        <v>23399</v>
      </c>
      <c r="C205" s="6" t="s">
        <v>22070</v>
      </c>
      <c r="D205" s="6" t="s">
        <v>22272</v>
      </c>
      <c r="E205" s="2">
        <v>462822</v>
      </c>
      <c r="F205" s="4" t="str">
        <f>IF(B205=B204,"",B205)</f>
        <v>Zhukovka</v>
      </c>
    </row>
    <row r="206" spans="1:6" ht="15.75" customHeight="1">
      <c r="A206" s="5" t="str">
        <f ca="1">IFERROR(__xludf.DUMMYFUNCTION("GOOGLETRANSLATE(B39916,""en"",""pt"")"),"Zhukovka")</f>
        <v>Zhukovka</v>
      </c>
      <c r="B206" s="17" t="s">
        <v>23399</v>
      </c>
      <c r="C206" s="17" t="s">
        <v>22070</v>
      </c>
      <c r="D206" s="17" t="s">
        <v>22272</v>
      </c>
      <c r="E206" s="10">
        <v>462822</v>
      </c>
      <c r="F206" s="4" t="str">
        <f>IF(B206=B205,"",B206)</f>
        <v/>
      </c>
    </row>
    <row r="207" spans="1:6" ht="15.75" customHeight="1">
      <c r="A207" s="6" t="s">
        <v>5332</v>
      </c>
      <c r="B207" s="6" t="s">
        <v>5332</v>
      </c>
      <c r="C207" s="6" t="s">
        <v>4487</v>
      </c>
      <c r="D207" s="6" t="s">
        <v>5049</v>
      </c>
      <c r="E207" s="2">
        <v>1783920</v>
      </c>
      <c r="F207" s="4" t="str">
        <f>IF(B207=B206,"",B207)</f>
        <v>Zhujiajiao</v>
      </c>
    </row>
    <row r="208" spans="1:6" ht="15.75" customHeight="1">
      <c r="A208" s="5" t="str">
        <f ca="1">IFERROR(__xludf.DUMMYFUNCTION("GOOGLETRANSLATE(B26073,""en"",""pt"")"),"Zhujiajiao")</f>
        <v>Zhujiajiao</v>
      </c>
      <c r="B208" s="17" t="s">
        <v>5332</v>
      </c>
      <c r="C208" s="17" t="s">
        <v>4487</v>
      </c>
      <c r="D208" s="17" t="s">
        <v>5049</v>
      </c>
      <c r="E208" s="10">
        <v>1783920</v>
      </c>
      <c r="F208" s="4" t="str">
        <f>IF(B208=B207,"",B208)</f>
        <v/>
      </c>
    </row>
    <row r="209" spans="1:6" ht="15.75" customHeight="1">
      <c r="A209" s="6" t="s">
        <v>5331</v>
      </c>
      <c r="B209" s="6" t="s">
        <v>5331</v>
      </c>
      <c r="C209" s="6" t="s">
        <v>4487</v>
      </c>
      <c r="D209" s="6" t="s">
        <v>4631</v>
      </c>
      <c r="E209" s="2">
        <v>1783940</v>
      </c>
      <c r="F209" s="4" t="str">
        <f>IF(B209=B208,"",B209)</f>
        <v>Zhuji</v>
      </c>
    </row>
    <row r="210" spans="1:6" ht="15.75" customHeight="1">
      <c r="A210" s="5" t="str">
        <f ca="1">IFERROR(__xludf.DUMMYFUNCTION("GOOGLETRANSLATE(B26075,""en"",""pt"")"),"Zhuji")</f>
        <v>Zhuji</v>
      </c>
      <c r="B210" s="17" t="s">
        <v>5331</v>
      </c>
      <c r="C210" s="17" t="s">
        <v>4487</v>
      </c>
      <c r="D210" s="17" t="s">
        <v>4631</v>
      </c>
      <c r="E210" s="10">
        <v>1783940</v>
      </c>
      <c r="F210" s="4" t="str">
        <f>IF(B210=B209,"",B210)</f>
        <v/>
      </c>
    </row>
    <row r="211" spans="1:6" ht="15.75" customHeight="1">
      <c r="A211" s="6" t="s">
        <v>5330</v>
      </c>
      <c r="B211" s="6" t="s">
        <v>5330</v>
      </c>
      <c r="C211" s="6" t="s">
        <v>4487</v>
      </c>
      <c r="D211" s="6" t="s">
        <v>4492</v>
      </c>
      <c r="E211" s="2">
        <v>1790437</v>
      </c>
      <c r="F211" s="4" t="str">
        <f>IF(B211=B210,"",B211)</f>
        <v>Zhuhai</v>
      </c>
    </row>
    <row r="212" spans="1:6" ht="15.75" customHeight="1">
      <c r="A212" s="5" t="str">
        <f ca="1">IFERROR(__xludf.DUMMYFUNCTION("GOOGLETRANSLATE(B26196,""en"",""pt"")"),"Zhuhai")</f>
        <v>Zhuhai</v>
      </c>
      <c r="B212" s="17" t="s">
        <v>5330</v>
      </c>
      <c r="C212" s="17" t="s">
        <v>4487</v>
      </c>
      <c r="D212" s="17" t="s">
        <v>4492</v>
      </c>
      <c r="E212" s="10">
        <v>1790437</v>
      </c>
      <c r="F212" s="4" t="str">
        <f>IF(B212=B211,"",B212)</f>
        <v/>
      </c>
    </row>
    <row r="213" spans="1:6" ht="15.75" customHeight="1">
      <c r="A213" s="5" t="s">
        <v>5329</v>
      </c>
      <c r="B213" s="6" t="s">
        <v>5329</v>
      </c>
      <c r="C213" s="5" t="s">
        <v>4487</v>
      </c>
      <c r="D213" s="5" t="s">
        <v>4503</v>
      </c>
      <c r="E213" s="2">
        <v>1797438</v>
      </c>
      <c r="F213" s="4" t="str">
        <f>IF(B213=B212,"",B213)</f>
        <v>Zhuangyuan</v>
      </c>
    </row>
    <row r="214" spans="1:6" ht="15.75" customHeight="1">
      <c r="A214" s="5" t="str">
        <f ca="1">IFERROR(__xludf.DUMMYFUNCTION("GOOGLETRANSLATE(B26298,""en"",""pt"")"),"Zhuangyuan")</f>
        <v>Zhuangyuan</v>
      </c>
      <c r="B214" s="17" t="s">
        <v>5329</v>
      </c>
      <c r="C214" s="17" t="s">
        <v>4487</v>
      </c>
      <c r="D214" s="17" t="s">
        <v>4503</v>
      </c>
      <c r="E214" s="10">
        <v>1797438</v>
      </c>
      <c r="F214" s="4" t="str">
        <f>IF(B214=B213,"",B214)</f>
        <v/>
      </c>
    </row>
    <row r="215" spans="1:6" ht="15.75" customHeight="1">
      <c r="A215" s="5" t="s">
        <v>5328</v>
      </c>
      <c r="B215" s="6" t="s">
        <v>5328</v>
      </c>
      <c r="C215" s="5" t="s">
        <v>4487</v>
      </c>
      <c r="D215" s="5" t="s">
        <v>4505</v>
      </c>
      <c r="E215" s="2">
        <v>1784055</v>
      </c>
      <c r="F215" s="4" t="str">
        <f>IF(B215=B214,"",B215)</f>
        <v>Zhuanghe</v>
      </c>
    </row>
    <row r="216" spans="1:6" ht="15.75" customHeight="1">
      <c r="A216" s="5" t="str">
        <f ca="1">IFERROR(__xludf.DUMMYFUNCTION("GOOGLETRANSLATE(B26077,""en"",""pt"")"),"Zhuanghe")</f>
        <v>Zhuanghe</v>
      </c>
      <c r="B216" s="17" t="s">
        <v>5328</v>
      </c>
      <c r="C216" s="17" t="s">
        <v>4487</v>
      </c>
      <c r="D216" s="17" t="s">
        <v>4505</v>
      </c>
      <c r="E216" s="10">
        <v>1784055</v>
      </c>
      <c r="F216" s="4" t="str">
        <f>IF(B216=B215,"",B216)</f>
        <v/>
      </c>
    </row>
    <row r="217" spans="1:6" ht="15.75" customHeight="1">
      <c r="A217" s="5" t="s">
        <v>5327</v>
      </c>
      <c r="B217" s="6" t="s">
        <v>5327</v>
      </c>
      <c r="C217" s="5" t="s">
        <v>4487</v>
      </c>
      <c r="D217" s="5" t="s">
        <v>4503</v>
      </c>
      <c r="E217" s="2">
        <v>7602670</v>
      </c>
      <c r="F217" s="4" t="str">
        <f>IF(B217=B216,"",B217)</f>
        <v>Zhu Cheng City</v>
      </c>
    </row>
    <row r="218" spans="1:6" ht="15.75" customHeight="1">
      <c r="A218" s="5" t="str">
        <f ca="1">IFERROR(__xludf.DUMMYFUNCTION("GOOGLETRANSLATE(B26838,""en"",""pt"")"),"Zhu Cheng City")</f>
        <v>Zhu Cheng City</v>
      </c>
      <c r="B218" s="17" t="s">
        <v>5327</v>
      </c>
      <c r="C218" s="17" t="s">
        <v>4487</v>
      </c>
      <c r="D218" s="17" t="s">
        <v>4503</v>
      </c>
      <c r="E218" s="10">
        <v>7602670</v>
      </c>
      <c r="F218" s="4" t="str">
        <f>IF(B218=B217,"",B218)</f>
        <v/>
      </c>
    </row>
    <row r="219" spans="1:6" ht="15.75" customHeight="1">
      <c r="A219" s="5" t="s">
        <v>27205</v>
      </c>
      <c r="B219" s="6" t="s">
        <v>27205</v>
      </c>
      <c r="C219" s="5" t="s">
        <v>26870</v>
      </c>
      <c r="D219" s="5" t="s">
        <v>26878</v>
      </c>
      <c r="E219" s="2">
        <v>687196</v>
      </c>
      <c r="F219" s="4" t="str">
        <f>IF(B219=B218,"",B219)</f>
        <v>Zhovti Vody</v>
      </c>
    </row>
    <row r="220" spans="1:6" ht="15.75" customHeight="1">
      <c r="A220" s="5" t="str">
        <f ca="1">IFERROR(__xludf.DUMMYFUNCTION("GOOGLETRANSLATE(B42477,""en"",""pt"")"),"Zhovti Vody")</f>
        <v>Zhovti Vody</v>
      </c>
      <c r="B220" s="17" t="s">
        <v>27205</v>
      </c>
      <c r="C220" s="17" t="s">
        <v>26870</v>
      </c>
      <c r="D220" s="17" t="s">
        <v>26878</v>
      </c>
      <c r="E220" s="10">
        <v>687196</v>
      </c>
      <c r="F220" s="4" t="str">
        <f>IF(B220=B219,"",B220)</f>
        <v/>
      </c>
    </row>
    <row r="221" spans="1:6" ht="15.75" customHeight="1">
      <c r="A221" s="5" t="s">
        <v>5326</v>
      </c>
      <c r="B221" s="6" t="s">
        <v>5326</v>
      </c>
      <c r="C221" s="5" t="s">
        <v>4487</v>
      </c>
      <c r="D221" s="5" t="s">
        <v>4535</v>
      </c>
      <c r="E221" s="2">
        <v>1784074</v>
      </c>
      <c r="F221" s="4" t="str">
        <f>IF(B221=B220,"",B221)</f>
        <v>Zhouzhuang</v>
      </c>
    </row>
    <row r="222" spans="1:6" ht="15.75" customHeight="1">
      <c r="A222" s="5" t="str">
        <f ca="1">IFERROR(__xludf.DUMMYFUNCTION("GOOGLETRANSLATE(B26078,""en"",""pt"")"),"Zhouzhuang")</f>
        <v>Zhouzhuang</v>
      </c>
      <c r="B222" s="17" t="s">
        <v>5326</v>
      </c>
      <c r="C222" s="17" t="s">
        <v>4487</v>
      </c>
      <c r="D222" s="17" t="s">
        <v>4535</v>
      </c>
      <c r="E222" s="10">
        <v>1784074</v>
      </c>
      <c r="F222" s="4" t="str">
        <f>IF(B222=B221,"",B222)</f>
        <v/>
      </c>
    </row>
    <row r="223" spans="1:6" ht="15.75" customHeight="1">
      <c r="A223" s="6" t="s">
        <v>5325</v>
      </c>
      <c r="B223" s="6" t="s">
        <v>5325</v>
      </c>
      <c r="C223" s="6" t="s">
        <v>4487</v>
      </c>
      <c r="D223" s="6" t="s">
        <v>4631</v>
      </c>
      <c r="E223" s="2">
        <v>1886762</v>
      </c>
      <c r="F223" s="4" t="str">
        <f>IF(B223=B222,"",B223)</f>
        <v>Zhoushan</v>
      </c>
    </row>
    <row r="224" spans="1:6" ht="15.75" customHeight="1">
      <c r="A224" s="5" t="str">
        <f ca="1">IFERROR(__xludf.DUMMYFUNCTION("GOOGLETRANSLATE(B26636,""en"",""pt"")"),"Zhoushan")</f>
        <v>Zhoushan</v>
      </c>
      <c r="B224" s="17" t="s">
        <v>5325</v>
      </c>
      <c r="C224" s="17" t="s">
        <v>4487</v>
      </c>
      <c r="D224" s="17" t="s">
        <v>4631</v>
      </c>
      <c r="E224" s="10">
        <v>1886762</v>
      </c>
      <c r="F224" s="4" t="str">
        <f>IF(B224=B223,"",B224)</f>
        <v/>
      </c>
    </row>
    <row r="225" spans="1:6" ht="15.75" customHeight="1">
      <c r="A225" s="6" t="s">
        <v>5324</v>
      </c>
      <c r="B225" s="6" t="s">
        <v>5324</v>
      </c>
      <c r="C225" s="6" t="s">
        <v>4487</v>
      </c>
      <c r="D225" s="6" t="s">
        <v>4511</v>
      </c>
      <c r="E225" s="2">
        <v>1784130</v>
      </c>
      <c r="F225" s="4" t="str">
        <f>IF(B225=B224,"",B225)</f>
        <v>Zhoukou</v>
      </c>
    </row>
    <row r="226" spans="1:6" ht="15.75" customHeight="1">
      <c r="A226" s="5" t="str">
        <f ca="1">IFERROR(__xludf.DUMMYFUNCTION("GOOGLETRANSLATE(B26079,""en"",""pt"")"),"Zhoukou")</f>
        <v>Zhoukou</v>
      </c>
      <c r="B226" s="17" t="s">
        <v>5324</v>
      </c>
      <c r="C226" s="17" t="s">
        <v>4487</v>
      </c>
      <c r="D226" s="17" t="s">
        <v>4511</v>
      </c>
      <c r="E226" s="10">
        <v>1784130</v>
      </c>
      <c r="F226" s="4" t="str">
        <f>IF(B226=B225,"",B226)</f>
        <v/>
      </c>
    </row>
    <row r="227" spans="1:6" ht="15.75" customHeight="1">
      <c r="A227" s="6" t="s">
        <v>5323</v>
      </c>
      <c r="B227" s="6" t="s">
        <v>5323</v>
      </c>
      <c r="C227" s="6" t="s">
        <v>4487</v>
      </c>
      <c r="D227" s="6" t="s">
        <v>4503</v>
      </c>
      <c r="E227" s="2">
        <v>1784178</v>
      </c>
      <c r="F227" s="4" t="str">
        <f>IF(B227=B226,"",B227)</f>
        <v>Zhoucun</v>
      </c>
    </row>
    <row r="228" spans="1:6" ht="15.75" customHeight="1">
      <c r="A228" s="5" t="str">
        <f ca="1">IFERROR(__xludf.DUMMYFUNCTION("GOOGLETRANSLATE(B26080,""en"",""pt"")"),"Zhoucun")</f>
        <v>Zhoucun</v>
      </c>
      <c r="B228" s="17" t="s">
        <v>5323</v>
      </c>
      <c r="C228" s="17" t="s">
        <v>4487</v>
      </c>
      <c r="D228" s="17" t="s">
        <v>4503</v>
      </c>
      <c r="E228" s="10">
        <v>1784178</v>
      </c>
      <c r="F228" s="4" t="str">
        <f>IF(B228=B227,"",B228)</f>
        <v/>
      </c>
    </row>
    <row r="229" spans="1:6" ht="15.75" customHeight="1">
      <c r="A229" s="5" t="s">
        <v>5322</v>
      </c>
      <c r="B229" s="6" t="s">
        <v>5322</v>
      </c>
      <c r="C229" s="5" t="s">
        <v>4487</v>
      </c>
      <c r="D229" s="5" t="s">
        <v>4503</v>
      </c>
      <c r="E229" s="2">
        <v>1920772</v>
      </c>
      <c r="F229" s="4" t="str">
        <f>IF(B229=B228,"",B229)</f>
        <v>Zhoucheng</v>
      </c>
    </row>
    <row r="230" spans="1:6" ht="15.75" customHeight="1">
      <c r="A230" s="5" t="str">
        <f ca="1">IFERROR(__xludf.DUMMYFUNCTION("GOOGLETRANSLATE(B26641,""en"",""pt"")"),"Zhoucheng")</f>
        <v>Zhoucheng</v>
      </c>
      <c r="B230" s="17" t="s">
        <v>5322</v>
      </c>
      <c r="C230" s="17" t="s">
        <v>4487</v>
      </c>
      <c r="D230" s="17" t="s">
        <v>4503</v>
      </c>
      <c r="E230" s="10">
        <v>1920772</v>
      </c>
      <c r="F230" s="4" t="str">
        <f>IF(B230=B229,"",B230)</f>
        <v/>
      </c>
    </row>
    <row r="231" spans="1:6" ht="15.75" customHeight="1">
      <c r="A231" s="6" t="s">
        <v>16777</v>
      </c>
      <c r="B231" s="6" t="s">
        <v>16777</v>
      </c>
      <c r="C231" s="6" t="s">
        <v>16671</v>
      </c>
      <c r="D231" s="6" t="s">
        <v>16687</v>
      </c>
      <c r="E231" s="2">
        <v>1516519</v>
      </c>
      <c r="F231" s="4" t="str">
        <f>IF(B231=B230,"",B231)</f>
        <v>Zhosaly</v>
      </c>
    </row>
    <row r="232" spans="1:6" ht="15.75" customHeight="1">
      <c r="A232" s="5" t="str">
        <f ca="1">IFERROR(__xludf.DUMMYFUNCTION("GOOGLETRANSLATE(B36199,""en"",""pt"")"),"Zhosaly")</f>
        <v>Zhosaly</v>
      </c>
      <c r="B232" s="17" t="s">
        <v>16777</v>
      </c>
      <c r="C232" s="17" t="s">
        <v>16671</v>
      </c>
      <c r="D232" s="17" t="s">
        <v>16687</v>
      </c>
      <c r="E232" s="10">
        <v>1516519</v>
      </c>
      <c r="F232" s="4" t="str">
        <f>IF(B232=B231,"",B232)</f>
        <v/>
      </c>
    </row>
    <row r="233" spans="1:6" ht="15.75" customHeight="1">
      <c r="A233" s="5" t="s">
        <v>25523</v>
      </c>
      <c r="B233" s="6" t="s">
        <v>25524</v>
      </c>
      <c r="C233" s="5" t="s">
        <v>25502</v>
      </c>
      <c r="D233" s="5" t="s">
        <v>25502</v>
      </c>
      <c r="E233" s="2">
        <v>7601921</v>
      </c>
      <c r="F233" s="4" t="str">
        <f>IF(B233=B232,"",B233)</f>
        <v>Zhongxing New Village</v>
      </c>
    </row>
    <row r="234" spans="1:6" ht="15.75" customHeight="1">
      <c r="A234" s="5" t="str">
        <f ca="1">IFERROR(__xludf.DUMMYFUNCTION("GOOGLETRANSLATE(B42280,""en"",""pt"")"),"Zhongxing nova vila")</f>
        <v>Zhongxing nova vila</v>
      </c>
      <c r="B234" s="17" t="s">
        <v>25524</v>
      </c>
      <c r="C234" s="17" t="s">
        <v>25502</v>
      </c>
      <c r="D234" s="17" t="s">
        <v>25502</v>
      </c>
      <c r="E234" s="10">
        <v>7601921</v>
      </c>
      <c r="F234" s="4" t="str">
        <f>IF(B234=B233,"",B234)</f>
        <v/>
      </c>
    </row>
    <row r="235" spans="1:6" ht="15.75" customHeight="1">
      <c r="A235" s="5" t="s">
        <v>5321</v>
      </c>
      <c r="B235" s="6" t="s">
        <v>5321</v>
      </c>
      <c r="C235" s="5" t="s">
        <v>4487</v>
      </c>
      <c r="D235" s="5" t="s">
        <v>4535</v>
      </c>
      <c r="E235" s="2">
        <v>1784253</v>
      </c>
      <c r="F235" s="4" t="str">
        <f>IF(B235=B234,"",B235)</f>
        <v>Zhongxing</v>
      </c>
    </row>
    <row r="236" spans="1:6" ht="15.75" customHeight="1">
      <c r="A236" s="5" t="str">
        <f ca="1">IFERROR(__xludf.DUMMYFUNCTION("GOOGLETRANSLATE(B26082,""en"",""pt"")"),"Zhongxing")</f>
        <v>Zhongxing</v>
      </c>
      <c r="B236" s="17" t="s">
        <v>5321</v>
      </c>
      <c r="C236" s="17" t="s">
        <v>4487</v>
      </c>
      <c r="D236" s="17" t="s">
        <v>4535</v>
      </c>
      <c r="E236" s="10">
        <v>1784253</v>
      </c>
      <c r="F236" s="4" t="str">
        <f>IF(B236=B235,"",B236)</f>
        <v/>
      </c>
    </row>
    <row r="237" spans="1:6" ht="15.75" customHeight="1">
      <c r="A237" s="5" t="s">
        <v>5320</v>
      </c>
      <c r="B237" s="6" t="s">
        <v>5320</v>
      </c>
      <c r="C237" s="5" t="s">
        <v>4487</v>
      </c>
      <c r="D237" s="5" t="s">
        <v>4499</v>
      </c>
      <c r="E237" s="2">
        <v>1786546</v>
      </c>
      <c r="F237" s="4" t="str">
        <f>IF(B237=B236,"",B237)</f>
        <v>Zhongxiang</v>
      </c>
    </row>
    <row r="238" spans="1:6" ht="15.75" customHeight="1">
      <c r="A238" s="5" t="str">
        <f ca="1">IFERROR(__xludf.DUMMYFUNCTION("GOOGLETRANSLATE(B26123,""en"",""pt"")"),"Zhongxiang")</f>
        <v>Zhongxiang</v>
      </c>
      <c r="B238" s="17" t="s">
        <v>5320</v>
      </c>
      <c r="C238" s="17" t="s">
        <v>4487</v>
      </c>
      <c r="D238" s="17" t="s">
        <v>4499</v>
      </c>
      <c r="E238" s="10">
        <v>1786546</v>
      </c>
      <c r="F238" s="4" t="str">
        <f>IF(B238=B237,"",B238)</f>
        <v/>
      </c>
    </row>
    <row r="239" spans="1:6" ht="15.75" customHeight="1">
      <c r="A239" s="6" t="s">
        <v>5319</v>
      </c>
      <c r="B239" s="6" t="s">
        <v>5319</v>
      </c>
      <c r="C239" s="6" t="s">
        <v>4487</v>
      </c>
      <c r="D239" s="6" t="s">
        <v>4607</v>
      </c>
      <c r="E239" s="2">
        <v>1784310</v>
      </c>
      <c r="F239" s="4" t="str">
        <f>IF(B239=B238,"",B239)</f>
        <v>Zhongshu</v>
      </c>
    </row>
    <row r="240" spans="1:6" ht="15.75" customHeight="1">
      <c r="A240" s="5" t="str">
        <f ca="1">IFERROR(__xludf.DUMMYFUNCTION("GOOGLETRANSLATE(B26083,""en"",""pt"")"),"Zhongshu")</f>
        <v>Zhongshu</v>
      </c>
      <c r="B240" s="17" t="s">
        <v>5319</v>
      </c>
      <c r="C240" s="17" t="s">
        <v>4487</v>
      </c>
      <c r="D240" s="17" t="s">
        <v>4607</v>
      </c>
      <c r="E240" s="10">
        <v>1784310</v>
      </c>
      <c r="F240" s="4" t="str">
        <f>IF(B240=B239,"",B240)</f>
        <v/>
      </c>
    </row>
    <row r="241" spans="1:6" ht="15.75" customHeight="1">
      <c r="A241" s="5" t="s">
        <v>5318</v>
      </c>
      <c r="B241" s="6" t="s">
        <v>5318</v>
      </c>
      <c r="C241" s="5" t="s">
        <v>4487</v>
      </c>
      <c r="D241" s="5" t="s">
        <v>4492</v>
      </c>
      <c r="E241" s="2">
        <v>1915223</v>
      </c>
      <c r="F241" s="4" t="str">
        <f>IF(B241=B240,"",B241)</f>
        <v>Zhongshan</v>
      </c>
    </row>
    <row r="242" spans="1:6" ht="15.75" customHeight="1">
      <c r="A242" s="5" t="str">
        <f ca="1">IFERROR(__xludf.DUMMYFUNCTION("GOOGLETRANSLATE(B26639,""en"",""pt"")"),"Zhongshan")</f>
        <v>Zhongshan</v>
      </c>
      <c r="B242" s="17" t="s">
        <v>5318</v>
      </c>
      <c r="C242" s="17" t="s">
        <v>4487</v>
      </c>
      <c r="D242" s="17" t="s">
        <v>4492</v>
      </c>
      <c r="E242" s="10">
        <v>1915223</v>
      </c>
      <c r="F242" s="4" t="str">
        <f>IF(B242=B241,"",B242)</f>
        <v/>
      </c>
    </row>
    <row r="243" spans="1:6" ht="15.75" customHeight="1">
      <c r="A243" s="6" t="s">
        <v>20292</v>
      </c>
      <c r="B243" s="6" t="s">
        <v>20292</v>
      </c>
      <c r="C243" s="6" t="s">
        <v>19808</v>
      </c>
      <c r="D243" s="6" t="s">
        <v>19833</v>
      </c>
      <c r="E243" s="2">
        <v>1162105</v>
      </c>
      <c r="F243" s="4" t="str">
        <f>IF(B243=B242,"",B243)</f>
        <v>Zhob</v>
      </c>
    </row>
    <row r="244" spans="1:6" ht="15.75" customHeight="1">
      <c r="A244" s="5" t="str">
        <f ca="1">IFERROR(__xludf.DUMMYFUNCTION("GOOGLETRANSLATE(B38867,""en"",""pt"")"),"Zhob")</f>
        <v>Zhob</v>
      </c>
      <c r="B244" s="17" t="s">
        <v>20292</v>
      </c>
      <c r="C244" s="17" t="s">
        <v>19808</v>
      </c>
      <c r="D244" s="17" t="s">
        <v>34892</v>
      </c>
      <c r="E244" s="10">
        <v>1162105</v>
      </c>
      <c r="F244" s="4" t="str">
        <f>IF(B244=B243,"",B244)</f>
        <v/>
      </c>
    </row>
    <row r="245" spans="1:6" ht="15.75" customHeight="1">
      <c r="A245" s="5" t="s">
        <v>27204</v>
      </c>
      <c r="B245" s="6" t="s">
        <v>27204</v>
      </c>
      <c r="C245" s="5" t="s">
        <v>26870</v>
      </c>
      <c r="D245" s="5" t="s">
        <v>26895</v>
      </c>
      <c r="E245" s="2">
        <v>687116</v>
      </c>
      <c r="F245" s="4" t="str">
        <f>IF(B245=B244,"",B245)</f>
        <v>Zhmerynka</v>
      </c>
    </row>
    <row r="246" spans="1:6" ht="15.75" customHeight="1">
      <c r="A246" s="5" t="str">
        <f ca="1">IFERROR(__xludf.DUMMYFUNCTION("GOOGLETRANSLATE(B42476,""en"",""pt"")"),"Zhmerynka")</f>
        <v>Zhmerynka</v>
      </c>
      <c r="B246" s="17" t="s">
        <v>27204</v>
      </c>
      <c r="C246" s="17" t="s">
        <v>26870</v>
      </c>
      <c r="D246" s="17" t="s">
        <v>26895</v>
      </c>
      <c r="E246" s="10">
        <v>687116</v>
      </c>
      <c r="F246" s="4" t="str">
        <f>IF(B246=B245,"",B246)</f>
        <v/>
      </c>
    </row>
    <row r="247" spans="1:6" ht="15.75" customHeight="1">
      <c r="A247" s="6" t="s">
        <v>1510</v>
      </c>
      <c r="B247" s="6" t="s">
        <v>1510</v>
      </c>
      <c r="C247" s="6" t="s">
        <v>1453</v>
      </c>
      <c r="D247" s="6" t="s">
        <v>1461</v>
      </c>
      <c r="E247" s="2">
        <v>618806</v>
      </c>
      <c r="F247" s="4" t="str">
        <f>IF(B247=B246,"",B247)</f>
        <v>Zhlobin</v>
      </c>
    </row>
    <row r="248" spans="1:6" ht="15.75" customHeight="1">
      <c r="A248" s="5" t="str">
        <f ca="1">IFERROR(__xludf.DUMMYFUNCTION("GOOGLETRANSLATE(B25369,""en"",""pt"")"),"Zhlobin")</f>
        <v>Zhlobin</v>
      </c>
      <c r="B248" s="17" t="s">
        <v>1510</v>
      </c>
      <c r="C248" s="17" t="s">
        <v>1453</v>
      </c>
      <c r="D248" s="17" t="s">
        <v>1461</v>
      </c>
      <c r="E248" s="10">
        <v>618806</v>
      </c>
      <c r="F248" s="4" t="str">
        <f>IF(B248=B247,"",B248)</f>
        <v/>
      </c>
    </row>
    <row r="249" spans="1:6" ht="15.75" customHeight="1">
      <c r="A249" s="6" t="s">
        <v>23398</v>
      </c>
      <c r="B249" s="6" t="s">
        <v>23398</v>
      </c>
      <c r="C249" s="6" t="s">
        <v>22070</v>
      </c>
      <c r="D249" s="6" t="s">
        <v>22351</v>
      </c>
      <c r="E249" s="2">
        <v>462984</v>
      </c>
      <c r="F249" s="4" t="str">
        <f>IF(B249=B248,"",B249)</f>
        <v>Zhirnovsk</v>
      </c>
    </row>
    <row r="250" spans="1:6" ht="15.75" customHeight="1">
      <c r="A250" s="5" t="str">
        <f ca="1">IFERROR(__xludf.DUMMYFUNCTION("GOOGLETRANSLATE(B39917,""en"",""pt"")"),"Zhirnovsk")</f>
        <v>Zhirnovsk</v>
      </c>
      <c r="B250" s="17" t="s">
        <v>23398</v>
      </c>
      <c r="C250" s="17" t="s">
        <v>22070</v>
      </c>
      <c r="D250" s="17" t="s">
        <v>22351</v>
      </c>
      <c r="E250" s="10">
        <v>462984</v>
      </c>
      <c r="F250" s="4" t="str">
        <f>IF(B250=B249,"",B250)</f>
        <v/>
      </c>
    </row>
    <row r="251" spans="1:6" ht="15.75" customHeight="1">
      <c r="A251" s="6" t="s">
        <v>5317</v>
      </c>
      <c r="B251" s="6" t="s">
        <v>5317</v>
      </c>
      <c r="C251" s="6" t="s">
        <v>4487</v>
      </c>
      <c r="D251" s="6" t="s">
        <v>4499</v>
      </c>
      <c r="E251" s="2">
        <v>1801455</v>
      </c>
      <c r="F251" s="4" t="str">
        <f>IF(B251=B250,"",B251)</f>
        <v>Zhijiang</v>
      </c>
    </row>
    <row r="252" spans="1:6" ht="15.75" customHeight="1">
      <c r="A252" s="5" t="str">
        <f ca="1">IFERROR(__xludf.DUMMYFUNCTION("GOOGLETRANSLATE(B26361,""en"",""pt"")"),"Zhijiang")</f>
        <v>Zhijiang</v>
      </c>
      <c r="B252" s="17" t="s">
        <v>5317</v>
      </c>
      <c r="C252" s="17" t="s">
        <v>4487</v>
      </c>
      <c r="D252" s="17" t="s">
        <v>4499</v>
      </c>
      <c r="E252" s="10">
        <v>1801455</v>
      </c>
      <c r="F252" s="4" t="str">
        <f>IF(B252=B251,"",B252)</f>
        <v/>
      </c>
    </row>
    <row r="253" spans="1:6" ht="15.75" customHeight="1">
      <c r="A253" s="5" t="s">
        <v>23397</v>
      </c>
      <c r="B253" s="6" t="s">
        <v>23397</v>
      </c>
      <c r="C253" s="5" t="s">
        <v>22070</v>
      </c>
      <c r="D253" s="5" t="s">
        <v>22227</v>
      </c>
      <c r="E253" s="2">
        <v>463082</v>
      </c>
      <c r="F253" s="4" t="str">
        <f>IF(B253=B252,"",B253)</f>
        <v>Zhigulevsk</v>
      </c>
    </row>
    <row r="254" spans="1:6" ht="15.75" customHeight="1">
      <c r="A254" s="5" t="str">
        <f ca="1">IFERROR(__xludf.DUMMYFUNCTION("GOOGLETRANSLATE(B39918,""en"",""pt"")"),"Zhigulevsk")</f>
        <v>Zhigulevsk</v>
      </c>
      <c r="B254" s="17" t="s">
        <v>23397</v>
      </c>
      <c r="C254" s="17" t="s">
        <v>22070</v>
      </c>
      <c r="D254" s="17" t="s">
        <v>22227</v>
      </c>
      <c r="E254" s="10">
        <v>463082</v>
      </c>
      <c r="F254" s="4" t="str">
        <f>IF(B254=B253,"",B254)</f>
        <v/>
      </c>
    </row>
    <row r="255" spans="1:6" ht="15.75" customHeight="1">
      <c r="A255" s="6" t="s">
        <v>5316</v>
      </c>
      <c r="B255" s="6" t="s">
        <v>5316</v>
      </c>
      <c r="C255" s="6" t="s">
        <v>4487</v>
      </c>
      <c r="D255" s="6" t="s">
        <v>4631</v>
      </c>
      <c r="E255" s="2">
        <v>1784553</v>
      </c>
      <c r="F255" s="4" t="str">
        <f>IF(B255=B254,"",B255)</f>
        <v>Zhicheng</v>
      </c>
    </row>
    <row r="256" spans="1:6" ht="15.75" customHeight="1">
      <c r="A256" s="6" t="s">
        <v>5316</v>
      </c>
      <c r="B256" s="6" t="s">
        <v>5316</v>
      </c>
      <c r="C256" s="6" t="s">
        <v>4487</v>
      </c>
      <c r="D256" s="6" t="s">
        <v>4499</v>
      </c>
      <c r="E256" s="2">
        <v>1784554</v>
      </c>
      <c r="F256" s="4" t="str">
        <f>IF(B256=B255,"",B256)</f>
        <v/>
      </c>
    </row>
    <row r="257" spans="1:6" ht="15.75" customHeight="1">
      <c r="A257" s="5" t="str">
        <f ca="1">IFERROR(__xludf.DUMMYFUNCTION("GOOGLETRANSLATE(B26084,""en"",""pt"")"),"Zhicheng")</f>
        <v>Zhicheng</v>
      </c>
      <c r="B257" s="17" t="s">
        <v>5316</v>
      </c>
      <c r="C257" s="17" t="s">
        <v>4487</v>
      </c>
      <c r="D257" s="17" t="s">
        <v>4631</v>
      </c>
      <c r="E257" s="10">
        <v>1784553</v>
      </c>
      <c r="F257" s="4" t="str">
        <f>IF(B257=B256,"",B257)</f>
        <v/>
      </c>
    </row>
    <row r="258" spans="1:6" ht="15.75" customHeight="1">
      <c r="A258" s="5" t="str">
        <f ca="1">IFERROR(__xludf.DUMMYFUNCTION("GOOGLETRANSLATE(B26085,""en"",""pt"")"),"Zhicheng")</f>
        <v>Zhicheng</v>
      </c>
      <c r="B258" s="17" t="s">
        <v>5316</v>
      </c>
      <c r="C258" s="17" t="s">
        <v>4487</v>
      </c>
      <c r="D258" s="17" t="s">
        <v>4499</v>
      </c>
      <c r="E258" s="10">
        <v>1784554</v>
      </c>
      <c r="F258" s="4" t="str">
        <f>IF(B258=B257,"",B258)</f>
        <v/>
      </c>
    </row>
    <row r="259" spans="1:6" ht="15.75" customHeight="1">
      <c r="A259" s="5" t="s">
        <v>16776</v>
      </c>
      <c r="B259" s="6" t="s">
        <v>16776</v>
      </c>
      <c r="C259" s="5" t="s">
        <v>16671</v>
      </c>
      <c r="D259" s="5" t="s">
        <v>16672</v>
      </c>
      <c r="E259" s="2">
        <v>1516589</v>
      </c>
      <c r="F259" s="4" t="str">
        <f>IF(B259=B258,"",B259)</f>
        <v>Zhezqazghan</v>
      </c>
    </row>
    <row r="260" spans="1:6" ht="15.75" customHeight="1">
      <c r="A260" s="5" t="str">
        <f ca="1">IFERROR(__xludf.DUMMYFUNCTION("GOOGLETRANSLATE(B36200,""en"",""pt"")"),"Zhezqazghan")</f>
        <v>Zhezqazghan</v>
      </c>
      <c r="B260" s="17" t="s">
        <v>16776</v>
      </c>
      <c r="C260" s="17" t="s">
        <v>16671</v>
      </c>
      <c r="D260" s="17" t="s">
        <v>16672</v>
      </c>
      <c r="E260" s="10">
        <v>1516589</v>
      </c>
      <c r="F260" s="4" t="str">
        <f>IF(B260=B259,"",B260)</f>
        <v/>
      </c>
    </row>
    <row r="261" spans="1:6" ht="15.75" customHeight="1">
      <c r="A261" s="5" t="s">
        <v>23396</v>
      </c>
      <c r="B261" s="6" t="s">
        <v>23396</v>
      </c>
      <c r="C261" s="5" t="s">
        <v>22070</v>
      </c>
      <c r="D261" s="5" t="s">
        <v>22529</v>
      </c>
      <c r="E261" s="2">
        <v>463217</v>
      </c>
      <c r="F261" s="4" t="str">
        <f>IF(B261=B260,"",B261)</f>
        <v>Zherdevka</v>
      </c>
    </row>
    <row r="262" spans="1:6" ht="15.75" customHeight="1">
      <c r="A262" s="5" t="str">
        <f ca="1">IFERROR(__xludf.DUMMYFUNCTION("GOOGLETRANSLATE(B39919,""en"",""pt"")"),"Zherdevka")</f>
        <v>Zherdevka</v>
      </c>
      <c r="B262" s="17" t="s">
        <v>23396</v>
      </c>
      <c r="C262" s="17" t="s">
        <v>22070</v>
      </c>
      <c r="D262" s="17" t="s">
        <v>22529</v>
      </c>
      <c r="E262" s="10">
        <v>463217</v>
      </c>
      <c r="F262" s="4" t="str">
        <f>IF(B262=B261,"",B262)</f>
        <v/>
      </c>
    </row>
    <row r="263" spans="1:6" ht="15.75" customHeight="1">
      <c r="A263" s="6" t="s">
        <v>5315</v>
      </c>
      <c r="B263" s="6" t="s">
        <v>5315</v>
      </c>
      <c r="C263" s="6" t="s">
        <v>4487</v>
      </c>
      <c r="D263" s="6" t="s">
        <v>4535</v>
      </c>
      <c r="E263" s="2">
        <v>1784580</v>
      </c>
      <c r="F263" s="4" t="str">
        <f>IF(B263=B262,"",B263)</f>
        <v>Zhenzhou</v>
      </c>
    </row>
    <row r="264" spans="1:6" ht="15.75" customHeight="1">
      <c r="A264" s="5" t="str">
        <f ca="1">IFERROR(__xludf.DUMMYFUNCTION("GOOGLETRANSLATE(B26086,""en"",""pt"")"),"Zhenzhou")</f>
        <v>Zhenzhou</v>
      </c>
      <c r="B264" s="17" t="s">
        <v>5315</v>
      </c>
      <c r="C264" s="17" t="s">
        <v>4487</v>
      </c>
      <c r="D264" s="17" t="s">
        <v>4535</v>
      </c>
      <c r="E264" s="10">
        <v>1784580</v>
      </c>
      <c r="F264" s="4" t="str">
        <f>IF(B264=B263,"",B264)</f>
        <v/>
      </c>
    </row>
    <row r="265" spans="1:6" ht="15.75" customHeight="1">
      <c r="A265" s="6" t="s">
        <v>5314</v>
      </c>
      <c r="B265" s="6" t="s">
        <v>5314</v>
      </c>
      <c r="C265" s="6" t="s">
        <v>4487</v>
      </c>
      <c r="D265" s="6" t="s">
        <v>4518</v>
      </c>
      <c r="E265" s="2">
        <v>2033128</v>
      </c>
      <c r="F265" s="4" t="str">
        <f>IF(B265=B264,"",B265)</f>
        <v>Zhenlai</v>
      </c>
    </row>
    <row r="266" spans="1:6" ht="15.75" customHeight="1">
      <c r="A266" s="5" t="str">
        <f ca="1">IFERROR(__xludf.DUMMYFUNCTION("GOOGLETRANSLATE(B26645,""en"",""pt"")"),"Zhenlai")</f>
        <v>Zhenlai</v>
      </c>
      <c r="B266" s="17" t="s">
        <v>5314</v>
      </c>
      <c r="C266" s="17" t="s">
        <v>4487</v>
      </c>
      <c r="D266" s="17" t="s">
        <v>4518</v>
      </c>
      <c r="E266" s="10">
        <v>2033128</v>
      </c>
      <c r="F266" s="4" t="str">
        <f>IF(B266=B265,"",B266)</f>
        <v/>
      </c>
    </row>
    <row r="267" spans="1:6" ht="15.75" customHeight="1">
      <c r="A267" s="6" t="s">
        <v>5313</v>
      </c>
      <c r="B267" s="6" t="s">
        <v>5313</v>
      </c>
      <c r="C267" s="6" t="s">
        <v>4487</v>
      </c>
      <c r="D267" s="6" t="s">
        <v>4535</v>
      </c>
      <c r="E267" s="2">
        <v>1784642</v>
      </c>
      <c r="F267" s="4" t="str">
        <f>IF(B267=B266,"",B267)</f>
        <v>Zhenjiang</v>
      </c>
    </row>
    <row r="268" spans="1:6" ht="15.75" customHeight="1">
      <c r="A268" s="5" t="str">
        <f ca="1">IFERROR(__xludf.DUMMYFUNCTION("GOOGLETRANSLATE(B26087,""en"",""pt"")"),"Zhenjiang")</f>
        <v>Zhenjiang</v>
      </c>
      <c r="B268" s="17" t="s">
        <v>5313</v>
      </c>
      <c r="C268" s="17" t="s">
        <v>4487</v>
      </c>
      <c r="D268" s="17" t="s">
        <v>4535</v>
      </c>
      <c r="E268" s="10">
        <v>1784642</v>
      </c>
      <c r="F268" s="4" t="str">
        <f>IF(B268=B267,"",B268)</f>
        <v/>
      </c>
    </row>
    <row r="269" spans="1:6" ht="15.75" customHeight="1">
      <c r="A269" s="5" t="s">
        <v>5312</v>
      </c>
      <c r="B269" s="6" t="s">
        <v>5312</v>
      </c>
      <c r="C269" s="5" t="s">
        <v>4487</v>
      </c>
      <c r="D269" s="5" t="s">
        <v>4511</v>
      </c>
      <c r="E269" s="2">
        <v>1784658</v>
      </c>
      <c r="F269" s="4" t="str">
        <f>IF(B269=B268,"",B269)</f>
        <v>Zhengzhou</v>
      </c>
    </row>
    <row r="270" spans="1:6" ht="15.75" customHeight="1">
      <c r="A270" s="5" t="str">
        <f ca="1">IFERROR(__xludf.DUMMYFUNCTION("GOOGLETRANSLATE(B26089,""en"",""pt"")"),"Zhengzhou")</f>
        <v>Zhengzhou</v>
      </c>
      <c r="B270" s="17" t="s">
        <v>5312</v>
      </c>
      <c r="C270" s="17" t="s">
        <v>4487</v>
      </c>
      <c r="D270" s="17" t="s">
        <v>4511</v>
      </c>
      <c r="E270" s="10">
        <v>1784658</v>
      </c>
      <c r="F270" s="4" t="str">
        <f>IF(B270=B269,"",B270)</f>
        <v/>
      </c>
    </row>
    <row r="271" spans="1:6" ht="15.75" customHeight="1">
      <c r="A271" s="5" t="s">
        <v>5311</v>
      </c>
      <c r="B271" s="6" t="s">
        <v>5311</v>
      </c>
      <c r="C271" s="5" t="s">
        <v>4487</v>
      </c>
      <c r="D271" s="5" t="s">
        <v>4518</v>
      </c>
      <c r="E271" s="2">
        <v>2033135</v>
      </c>
      <c r="F271" s="4" t="str">
        <f>IF(B271=B270,"",B271)</f>
        <v>Zhengjiatun</v>
      </c>
    </row>
    <row r="272" spans="1:6" ht="15.75" customHeight="1">
      <c r="A272" s="5" t="str">
        <f ca="1">IFERROR(__xludf.DUMMYFUNCTION("GOOGLETRANSLATE(B26646,""en"",""pt"")"),"Zhengjiatun")</f>
        <v>Zhengjiatun</v>
      </c>
      <c r="B272" s="17" t="s">
        <v>5311</v>
      </c>
      <c r="C272" s="17" t="s">
        <v>4487</v>
      </c>
      <c r="D272" s="17" t="s">
        <v>4518</v>
      </c>
      <c r="E272" s="10">
        <v>2033135</v>
      </c>
      <c r="F272" s="4" t="str">
        <f>IF(B272=B271,"",B272)</f>
        <v/>
      </c>
    </row>
    <row r="273" spans="1:6" ht="15.75" customHeight="1">
      <c r="A273" s="5" t="s">
        <v>23395</v>
      </c>
      <c r="B273" s="6" t="s">
        <v>23395</v>
      </c>
      <c r="C273" s="5" t="s">
        <v>22070</v>
      </c>
      <c r="D273" s="5" t="s">
        <v>22117</v>
      </c>
      <c r="E273" s="2">
        <v>463340</v>
      </c>
      <c r="F273" s="4" t="str">
        <f>IF(B273=B272,"",B273)</f>
        <v>Zheleznovodsk</v>
      </c>
    </row>
    <row r="274" spans="1:6" ht="15.75" customHeight="1">
      <c r="A274" s="5" t="str">
        <f ca="1">IFERROR(__xludf.DUMMYFUNCTION("GOOGLETRANSLATE(B39920,""en"",""pt"")"),"Zheleznovodsk")</f>
        <v>Zheleznovodsk</v>
      </c>
      <c r="B274" s="17" t="s">
        <v>23395</v>
      </c>
      <c r="C274" s="17" t="s">
        <v>22070</v>
      </c>
      <c r="D274" s="17" t="s">
        <v>22117</v>
      </c>
      <c r="E274" s="10">
        <v>463340</v>
      </c>
      <c r="F274" s="4" t="str">
        <f>IF(B274=B273,"",B274)</f>
        <v/>
      </c>
    </row>
    <row r="275" spans="1:6" ht="15.75" customHeight="1">
      <c r="A275" s="5" t="s">
        <v>23393</v>
      </c>
      <c r="B275" s="6" t="s">
        <v>23394</v>
      </c>
      <c r="C275" s="5" t="s">
        <v>22070</v>
      </c>
      <c r="D275" s="5" t="s">
        <v>22135</v>
      </c>
      <c r="E275" s="2">
        <v>2012557</v>
      </c>
      <c r="F275" s="4" t="str">
        <f>IF(B275=B274,"",B275)</f>
        <v>Zheleznogorsk-Ilimskiy</v>
      </c>
    </row>
    <row r="276" spans="1:6" ht="15.75" customHeight="1">
      <c r="A276" s="5" t="str">
        <f ca="1">IFERROR(__xludf.DUMMYFUNCTION("GOOGLETRANSLATE(B40891,""en"",""pt"")"),"Zheleznogorsk-ilimskiy")</f>
        <v>Zheleznogorsk-ilimskiy</v>
      </c>
      <c r="B276" s="17" t="s">
        <v>23394</v>
      </c>
      <c r="C276" s="17" t="s">
        <v>22070</v>
      </c>
      <c r="D276" s="17" t="s">
        <v>22135</v>
      </c>
      <c r="E276" s="10">
        <v>2012557</v>
      </c>
      <c r="F276" s="4" t="str">
        <f>IF(B276=B275,"",B276)</f>
        <v/>
      </c>
    </row>
    <row r="277" spans="1:6" ht="15.75" customHeight="1">
      <c r="A277" s="5" t="s">
        <v>23392</v>
      </c>
      <c r="B277" s="6" t="s">
        <v>23392</v>
      </c>
      <c r="C277" s="5" t="s">
        <v>22070</v>
      </c>
      <c r="D277" s="5" t="s">
        <v>22634</v>
      </c>
      <c r="E277" s="2">
        <v>463343</v>
      </c>
      <c r="F277" s="4" t="str">
        <f>IF(B277=B276,"",B277)</f>
        <v>Zheleznogorsk</v>
      </c>
    </row>
    <row r="278" spans="1:6" ht="15.75" customHeight="1">
      <c r="A278" s="5" t="s">
        <v>23392</v>
      </c>
      <c r="B278" s="6" t="s">
        <v>23392</v>
      </c>
      <c r="C278" s="5" t="s">
        <v>22070</v>
      </c>
      <c r="D278" s="5" t="s">
        <v>22079</v>
      </c>
      <c r="E278" s="2">
        <v>1538635</v>
      </c>
      <c r="F278" s="4" t="str">
        <f>IF(B278=B277,"",B278)</f>
        <v/>
      </c>
    </row>
    <row r="279" spans="1:6" ht="15.75" customHeight="1">
      <c r="A279" s="5" t="str">
        <f ca="1">IFERROR(__xludf.DUMMYFUNCTION("GOOGLETRANSLATE(B39921,""en"",""pt"")"),"Zheleznogorsk")</f>
        <v>Zheleznogorsk</v>
      </c>
      <c r="B279" s="17" t="s">
        <v>23392</v>
      </c>
      <c r="C279" s="17" t="s">
        <v>22070</v>
      </c>
      <c r="D279" s="17" t="s">
        <v>22634</v>
      </c>
      <c r="E279" s="10">
        <v>463343</v>
      </c>
      <c r="F279" s="4" t="str">
        <f>IF(B279=B278,"",B279)</f>
        <v/>
      </c>
    </row>
    <row r="280" spans="1:6" ht="15.75" customHeight="1">
      <c r="A280" s="5" t="str">
        <f ca="1">IFERROR(__xludf.DUMMYFUNCTION("GOOGLETRANSLATE(B40883,""en"",""pt"")"),"Zheleznogorsk")</f>
        <v>Zheleznogorsk</v>
      </c>
      <c r="B280" s="17" t="s">
        <v>23392</v>
      </c>
      <c r="C280" s="17" t="s">
        <v>22070</v>
      </c>
      <c r="D280" s="17" t="s">
        <v>22079</v>
      </c>
      <c r="E280" s="10">
        <v>1538635</v>
      </c>
      <c r="F280" s="4" t="str">
        <f>IF(B280=B279,"",B280)</f>
        <v/>
      </c>
    </row>
    <row r="281" spans="1:6" ht="15.75" customHeight="1">
      <c r="A281" s="5" t="s">
        <v>23391</v>
      </c>
      <c r="B281" s="6" t="s">
        <v>23391</v>
      </c>
      <c r="C281" s="5" t="s">
        <v>22070</v>
      </c>
      <c r="D281" s="5" t="s">
        <v>22119</v>
      </c>
      <c r="E281" s="2">
        <v>463355</v>
      </c>
      <c r="F281" s="4" t="str">
        <f>IF(B281=B280,"",B281)</f>
        <v>Zheleznodorozhnyy</v>
      </c>
    </row>
    <row r="282" spans="1:6" ht="15.75" customHeight="1">
      <c r="A282" s="5" t="str">
        <f ca="1">IFERROR(__xludf.DUMMYFUNCTION("GOOGLETRANSLATE(B39922,""en"",""pt"")"),"Zheleznodorozhnyy")</f>
        <v>Zheleznodorozhnyy</v>
      </c>
      <c r="B282" s="17" t="s">
        <v>23391</v>
      </c>
      <c r="C282" s="17" t="s">
        <v>22070</v>
      </c>
      <c r="D282" s="17" t="s">
        <v>22119</v>
      </c>
      <c r="E282" s="10">
        <v>463355</v>
      </c>
      <c r="F282" s="4" t="str">
        <f>IF(B282=B281,"",B282)</f>
        <v/>
      </c>
    </row>
    <row r="283" spans="1:6" ht="15.75" customHeight="1">
      <c r="A283" s="6" t="s">
        <v>27203</v>
      </c>
      <c r="B283" s="6" t="s">
        <v>27203</v>
      </c>
      <c r="C283" s="6" t="s">
        <v>26870</v>
      </c>
      <c r="D283" s="6" t="s">
        <v>26925</v>
      </c>
      <c r="E283" s="2">
        <v>687245</v>
      </c>
      <c r="F283" s="4" t="str">
        <f>IF(B283=B282,"",B283)</f>
        <v>Zhashkiv</v>
      </c>
    </row>
    <row r="284" spans="1:6" ht="15.75" customHeight="1">
      <c r="A284" s="5" t="str">
        <f ca="1">IFERROR(__xludf.DUMMYFUNCTION("GOOGLETRANSLATE(B42478,""en"",""pt"")"),"Zhashkiv")</f>
        <v>Zhashkiv</v>
      </c>
      <c r="B284" s="17" t="s">
        <v>27203</v>
      </c>
      <c r="C284" s="17" t="s">
        <v>26870</v>
      </c>
      <c r="D284" s="17" t="s">
        <v>26925</v>
      </c>
      <c r="E284" s="10">
        <v>687245</v>
      </c>
      <c r="F284" s="4" t="str">
        <f>IF(B284=B283,"",B284)</f>
        <v/>
      </c>
    </row>
    <row r="285" spans="1:6" ht="15.75" customHeight="1">
      <c r="A285" s="6" t="s">
        <v>16775</v>
      </c>
      <c r="B285" s="6" t="s">
        <v>16775</v>
      </c>
      <c r="C285" s="6" t="s">
        <v>16671</v>
      </c>
      <c r="D285" s="6" t="s">
        <v>16705</v>
      </c>
      <c r="E285" s="2">
        <v>1520253</v>
      </c>
      <c r="F285" s="4" t="str">
        <f>IF(B285=B284,"",B285)</f>
        <v>Zharkent</v>
      </c>
    </row>
    <row r="286" spans="1:6" ht="15.75" customHeight="1">
      <c r="A286" s="5" t="str">
        <f ca="1">IFERROR(__xludf.DUMMYFUNCTION("GOOGLETRANSLATE(B36231,""en"",""pt"")"),"Zharkent")</f>
        <v>Zharkent</v>
      </c>
      <c r="B286" s="17" t="s">
        <v>16775</v>
      </c>
      <c r="C286" s="17" t="s">
        <v>16671</v>
      </c>
      <c r="D286" s="17" t="s">
        <v>16705</v>
      </c>
      <c r="E286" s="10">
        <v>1520253</v>
      </c>
      <c r="F286" s="4" t="str">
        <f>IF(B286=B285,"",B286)</f>
        <v/>
      </c>
    </row>
    <row r="287" spans="1:6" ht="15.75" customHeight="1">
      <c r="A287" s="6" t="s">
        <v>5310</v>
      </c>
      <c r="B287" s="6" t="s">
        <v>5310</v>
      </c>
      <c r="C287" s="6" t="s">
        <v>4487</v>
      </c>
      <c r="D287" s="6" t="s">
        <v>4488</v>
      </c>
      <c r="E287" s="2">
        <v>2033147</v>
      </c>
      <c r="F287" s="4" t="str">
        <f>IF(B287=B286,"",B287)</f>
        <v>Zhaozhou</v>
      </c>
    </row>
    <row r="288" spans="1:6" ht="15.75" customHeight="1">
      <c r="A288" s="5" t="str">
        <f ca="1">IFERROR(__xludf.DUMMYFUNCTION("GOOGLETRANSLATE(B26647,""en"",""pt"")"),"Zhaozhou")</f>
        <v>Zhaozhou</v>
      </c>
      <c r="B288" s="17" t="s">
        <v>5310</v>
      </c>
      <c r="C288" s="17" t="s">
        <v>4487</v>
      </c>
      <c r="D288" s="17" t="s">
        <v>4488</v>
      </c>
      <c r="E288" s="10">
        <v>2033147</v>
      </c>
      <c r="F288" s="4" t="str">
        <f>IF(B288=B287,"",B288)</f>
        <v/>
      </c>
    </row>
    <row r="289" spans="1:6" ht="15.75" customHeight="1">
      <c r="A289" s="6" t="s">
        <v>5309</v>
      </c>
      <c r="B289" s="6" t="s">
        <v>5309</v>
      </c>
      <c r="C289" s="6" t="s">
        <v>4487</v>
      </c>
      <c r="D289" s="6" t="s">
        <v>4488</v>
      </c>
      <c r="E289" s="2">
        <v>2033149</v>
      </c>
      <c r="F289" s="4" t="str">
        <f>IF(B289=B288,"",B289)</f>
        <v>Zhaoyuan</v>
      </c>
    </row>
    <row r="290" spans="1:6" ht="15.75" customHeight="1">
      <c r="A290" s="5" t="str">
        <f ca="1">IFERROR(__xludf.DUMMYFUNCTION("GOOGLETRANSLATE(B26648,""en"",""pt"")"),"Zhaoyuan")</f>
        <v>Zhaoyuan</v>
      </c>
      <c r="B290" s="17" t="s">
        <v>5309</v>
      </c>
      <c r="C290" s="17" t="s">
        <v>4487</v>
      </c>
      <c r="D290" s="17" t="s">
        <v>4488</v>
      </c>
      <c r="E290" s="10">
        <v>2033149</v>
      </c>
      <c r="F290" s="4" t="str">
        <f>IF(B290=B289,"",B290)</f>
        <v/>
      </c>
    </row>
    <row r="291" spans="1:6" ht="15.75" customHeight="1">
      <c r="A291" s="6" t="s">
        <v>5308</v>
      </c>
      <c r="B291" s="6" t="s">
        <v>5308</v>
      </c>
      <c r="C291" s="6" t="s">
        <v>4487</v>
      </c>
      <c r="D291" s="6" t="s">
        <v>4607</v>
      </c>
      <c r="E291" s="2">
        <v>1784841</v>
      </c>
      <c r="F291" s="4" t="str">
        <f>IF(B291=B290,"",B291)</f>
        <v>Zhaotong</v>
      </c>
    </row>
    <row r="292" spans="1:6" ht="15.75" customHeight="1">
      <c r="A292" s="5" t="str">
        <f ca="1">IFERROR(__xludf.DUMMYFUNCTION("GOOGLETRANSLATE(B26091,""en"",""pt"")"),"Zhaotong")</f>
        <v>Zhaotong</v>
      </c>
      <c r="B292" s="17" t="s">
        <v>5308</v>
      </c>
      <c r="C292" s="17" t="s">
        <v>4487</v>
      </c>
      <c r="D292" s="17" t="s">
        <v>4607</v>
      </c>
      <c r="E292" s="10">
        <v>1784841</v>
      </c>
      <c r="F292" s="4" t="str">
        <f>IF(B292=B291,"",B292)</f>
        <v/>
      </c>
    </row>
    <row r="293" spans="1:6" ht="15.75" customHeight="1">
      <c r="A293" s="6" t="s">
        <v>5307</v>
      </c>
      <c r="B293" s="6" t="s">
        <v>5307</v>
      </c>
      <c r="C293" s="6" t="s">
        <v>4487</v>
      </c>
      <c r="D293" s="6" t="s">
        <v>4492</v>
      </c>
      <c r="E293" s="2">
        <v>1784853</v>
      </c>
      <c r="F293" s="4" t="str">
        <f>IF(B293=B292,"",B293)</f>
        <v>Zhaoqing</v>
      </c>
    </row>
    <row r="294" spans="1:6" ht="15.75" customHeight="1">
      <c r="A294" s="5" t="str">
        <f ca="1">IFERROR(__xludf.DUMMYFUNCTION("GOOGLETRANSLATE(B26092,""en"",""pt"")"),"Zhaoqing")</f>
        <v>Zhaoqing</v>
      </c>
      <c r="B294" s="17" t="s">
        <v>5307</v>
      </c>
      <c r="C294" s="17" t="s">
        <v>4487</v>
      </c>
      <c r="D294" s="17" t="s">
        <v>4492</v>
      </c>
      <c r="E294" s="10">
        <v>1784853</v>
      </c>
      <c r="F294" s="4" t="str">
        <f>IF(B294=B293,"",B294)</f>
        <v/>
      </c>
    </row>
    <row r="295" spans="1:6" ht="15.75" customHeight="1">
      <c r="A295" s="5" t="s">
        <v>5306</v>
      </c>
      <c r="B295" s="6" t="s">
        <v>5306</v>
      </c>
      <c r="C295" s="5" t="s">
        <v>4487</v>
      </c>
      <c r="D295" s="5" t="s">
        <v>4529</v>
      </c>
      <c r="E295" s="2">
        <v>1784929</v>
      </c>
      <c r="F295" s="4" t="str">
        <f>IF(B295=B294,"",B295)</f>
        <v>Zhaogezhuang</v>
      </c>
    </row>
    <row r="296" spans="1:6" ht="15.75" customHeight="1">
      <c r="A296" s="5" t="str">
        <f ca="1">IFERROR(__xludf.DUMMYFUNCTION("GOOGLETRANSLATE(B26093,""en"",""pt"")"),"Zhaogezhuang")</f>
        <v>Zhaogezhuang</v>
      </c>
      <c r="B296" s="17" t="s">
        <v>5306</v>
      </c>
      <c r="C296" s="17" t="s">
        <v>4487</v>
      </c>
      <c r="D296" s="17" t="s">
        <v>4529</v>
      </c>
      <c r="E296" s="10">
        <v>1784929</v>
      </c>
      <c r="F296" s="4" t="str">
        <f>IF(B296=B295,"",B296)</f>
        <v/>
      </c>
    </row>
    <row r="297" spans="1:6" ht="15.75" customHeight="1">
      <c r="A297" s="5" t="s">
        <v>5305</v>
      </c>
      <c r="B297" s="6" t="s">
        <v>5305</v>
      </c>
      <c r="C297" s="5" t="s">
        <v>4487</v>
      </c>
      <c r="D297" s="5" t="s">
        <v>4488</v>
      </c>
      <c r="E297" s="2">
        <v>2033168</v>
      </c>
      <c r="F297" s="4" t="str">
        <f>IF(B297=B296,"",B297)</f>
        <v>Zhaodong</v>
      </c>
    </row>
    <row r="298" spans="1:6" ht="15.75" customHeight="1">
      <c r="A298" s="5" t="str">
        <f ca="1">IFERROR(__xludf.DUMMYFUNCTION("GOOGLETRANSLATE(B26649,""en"",""pt"")"),"Zhaodong")</f>
        <v>Zhaodong</v>
      </c>
      <c r="B298" s="17" t="s">
        <v>5305</v>
      </c>
      <c r="C298" s="17" t="s">
        <v>4487</v>
      </c>
      <c r="D298" s="17" t="s">
        <v>4488</v>
      </c>
      <c r="E298" s="10">
        <v>2033168</v>
      </c>
      <c r="F298" s="4" t="str">
        <f>IF(B298=B297,"",B298)</f>
        <v/>
      </c>
    </row>
    <row r="299" spans="1:6" ht="15.75" customHeight="1">
      <c r="A299" s="5" t="s">
        <v>5304</v>
      </c>
      <c r="B299" s="6" t="s">
        <v>5304</v>
      </c>
      <c r="C299" s="5" t="s">
        <v>4487</v>
      </c>
      <c r="D299" s="5" t="s">
        <v>4631</v>
      </c>
      <c r="E299" s="2">
        <v>1784647</v>
      </c>
      <c r="F299" s="4" t="str">
        <f>IF(B299=B298,"",B299)</f>
        <v>Zhaobaoshan</v>
      </c>
    </row>
    <row r="300" spans="1:6" ht="15.75" customHeight="1">
      <c r="A300" s="5" t="str">
        <f ca="1">IFERROR(__xludf.DUMMYFUNCTION("GOOGLETRANSLATE(B26088,""en"",""pt"")"),"Zhaobaoshan")</f>
        <v>Zhaobaoshan</v>
      </c>
      <c r="B300" s="17" t="s">
        <v>5304</v>
      </c>
      <c r="C300" s="17" t="s">
        <v>4487</v>
      </c>
      <c r="D300" s="17" t="s">
        <v>4631</v>
      </c>
      <c r="E300" s="10">
        <v>1784647</v>
      </c>
      <c r="F300" s="4" t="str">
        <f>IF(B300=B299,"",B300)</f>
        <v/>
      </c>
    </row>
    <row r="301" spans="1:6" ht="15.75" customHeight="1">
      <c r="A301" s="6" t="s">
        <v>5303</v>
      </c>
      <c r="B301" s="6" t="s">
        <v>5303</v>
      </c>
      <c r="C301" s="6" t="s">
        <v>4487</v>
      </c>
      <c r="D301" s="6" t="s">
        <v>4492</v>
      </c>
      <c r="E301" s="2">
        <v>1784990</v>
      </c>
      <c r="F301" s="4" t="str">
        <f>IF(B301=B300,"",B301)</f>
        <v>Zhanjiang</v>
      </c>
    </row>
    <row r="302" spans="1:6" ht="15.75" customHeight="1">
      <c r="A302" s="5" t="str">
        <f ca="1">IFERROR(__xludf.DUMMYFUNCTION("GOOGLETRANSLATE(B26095,""en"",""pt"")"),"Zhanjiang")</f>
        <v>Zhanjiang</v>
      </c>
      <c r="B302" s="17" t="s">
        <v>5303</v>
      </c>
      <c r="C302" s="17" t="s">
        <v>4487</v>
      </c>
      <c r="D302" s="17" t="s">
        <v>4492</v>
      </c>
      <c r="E302" s="10">
        <v>1784990</v>
      </c>
      <c r="F302" s="4" t="str">
        <f>IF(B302=B301,"",B302)</f>
        <v/>
      </c>
    </row>
    <row r="303" spans="1:6" ht="15.75" customHeight="1">
      <c r="A303" s="5" t="s">
        <v>5302</v>
      </c>
      <c r="B303" s="6" t="s">
        <v>5302</v>
      </c>
      <c r="C303" s="5" t="s">
        <v>4487</v>
      </c>
      <c r="D303" s="5" t="s">
        <v>4591</v>
      </c>
      <c r="E303" s="2">
        <v>1785018</v>
      </c>
      <c r="F303" s="4" t="str">
        <f>IF(B303=B302,"",B303)</f>
        <v>Zhangzhou</v>
      </c>
    </row>
    <row r="304" spans="1:6" ht="15.75" customHeight="1">
      <c r="A304" s="5" t="str">
        <f ca="1">IFERROR(__xludf.DUMMYFUNCTION("GOOGLETRANSLATE(B26096,""en"",""pt"")"),"Zhangzhou")</f>
        <v>Zhangzhou</v>
      </c>
      <c r="B304" s="17" t="s">
        <v>5302</v>
      </c>
      <c r="C304" s="17" t="s">
        <v>4487</v>
      </c>
      <c r="D304" s="17" t="s">
        <v>4591</v>
      </c>
      <c r="E304" s="10">
        <v>1785018</v>
      </c>
      <c r="F304" s="4" t="str">
        <f>IF(B304=B303,"",B304)</f>
        <v/>
      </c>
    </row>
    <row r="305" spans="1:6" ht="15.75" customHeight="1">
      <c r="A305" s="6" t="s">
        <v>5301</v>
      </c>
      <c r="B305" s="6" t="s">
        <v>5301</v>
      </c>
      <c r="C305" s="6" t="s">
        <v>4487</v>
      </c>
      <c r="D305" s="6" t="s">
        <v>4526</v>
      </c>
      <c r="E305" s="2">
        <v>1785036</v>
      </c>
      <c r="F305" s="4" t="str">
        <f>IF(B305=B304,"",B305)</f>
        <v>Zhangye</v>
      </c>
    </row>
    <row r="306" spans="1:6" ht="15.75" customHeight="1">
      <c r="A306" s="5" t="str">
        <f ca="1">IFERROR(__xludf.DUMMYFUNCTION("GOOGLETRANSLATE(B26097,""en"",""pt"")"),"Zhangye")</f>
        <v>Zhangye</v>
      </c>
      <c r="B306" s="17" t="s">
        <v>5301</v>
      </c>
      <c r="C306" s="17" t="s">
        <v>4487</v>
      </c>
      <c r="D306" s="17" t="s">
        <v>4526</v>
      </c>
      <c r="E306" s="10">
        <v>1785036</v>
      </c>
      <c r="F306" s="4" t="str">
        <f>IF(B306=B305,"",B306)</f>
        <v/>
      </c>
    </row>
    <row r="307" spans="1:6" ht="15.75" customHeight="1">
      <c r="A307" s="5" t="s">
        <v>5300</v>
      </c>
      <c r="B307" s="6" t="s">
        <v>5300</v>
      </c>
      <c r="C307" s="5" t="s">
        <v>4487</v>
      </c>
      <c r="D307" s="5" t="s">
        <v>4529</v>
      </c>
      <c r="E307" s="2">
        <v>2033574</v>
      </c>
      <c r="F307" s="4" t="str">
        <f>IF(B307=B306,"",B307)</f>
        <v>Zhangjiakou Shi Xuanhua Qu</v>
      </c>
    </row>
    <row r="308" spans="1:6" ht="15.75" customHeight="1">
      <c r="A308" s="5" t="str">
        <f ca="1">IFERROR(__xludf.DUMMYFUNCTION("GOOGLETRANSLATE(B26661,""en"",""pt"")"),"Zhangjiakou Shi Xuanhua Qu")</f>
        <v>Zhangjiakou Shi Xuanhua Qu</v>
      </c>
      <c r="B308" s="17" t="s">
        <v>5300</v>
      </c>
      <c r="C308" s="17" t="s">
        <v>4487</v>
      </c>
      <c r="D308" s="17" t="s">
        <v>4529</v>
      </c>
      <c r="E308" s="10">
        <v>2033574</v>
      </c>
      <c r="F308" s="4" t="str">
        <f>IF(B308=B307,"",B308)</f>
        <v/>
      </c>
    </row>
    <row r="309" spans="1:6" ht="15.75" customHeight="1">
      <c r="A309" s="5" t="s">
        <v>5299</v>
      </c>
      <c r="B309" s="6" t="s">
        <v>5299</v>
      </c>
      <c r="C309" s="5" t="s">
        <v>4487</v>
      </c>
      <c r="D309" s="5" t="s">
        <v>4529</v>
      </c>
      <c r="E309" s="2">
        <v>2033196</v>
      </c>
      <c r="F309" s="4" t="str">
        <f>IF(B309=B308,"",B309)</f>
        <v>Zhangjiakou</v>
      </c>
    </row>
    <row r="310" spans="1:6" ht="15.75" customHeight="1">
      <c r="A310" s="5" t="str">
        <f ca="1">IFERROR(__xludf.DUMMYFUNCTION("GOOGLETRANSLATE(B26650,""en"",""pt"")"),"Zhangjiakou")</f>
        <v>Zhangjiakou</v>
      </c>
      <c r="B310" s="17" t="s">
        <v>5299</v>
      </c>
      <c r="C310" s="17" t="s">
        <v>4487</v>
      </c>
      <c r="D310" s="17" t="s">
        <v>4529</v>
      </c>
      <c r="E310" s="10">
        <v>2033196</v>
      </c>
      <c r="F310" s="4" t="str">
        <f>IF(B310=B309,"",B310)</f>
        <v/>
      </c>
    </row>
    <row r="311" spans="1:6" ht="15.75" customHeight="1">
      <c r="A311" s="5" t="s">
        <v>5298</v>
      </c>
      <c r="B311" s="6" t="s">
        <v>5298</v>
      </c>
      <c r="C311" s="5" t="s">
        <v>4487</v>
      </c>
      <c r="D311" s="5" t="s">
        <v>4495</v>
      </c>
      <c r="E311" s="2">
        <v>1813171</v>
      </c>
      <c r="F311" s="4" t="str">
        <f>IF(B311=B310,"",B311)</f>
        <v>Zhangjiajie</v>
      </c>
    </row>
    <row r="312" spans="1:6" ht="15.75" customHeight="1">
      <c r="A312" s="5" t="str">
        <f ca="1">IFERROR(__xludf.DUMMYFUNCTION("GOOGLETRANSLATE(B26566,""en"",""pt"")"),"Zhangjiajie")</f>
        <v>Zhangjiajie</v>
      </c>
      <c r="B312" s="17" t="s">
        <v>5298</v>
      </c>
      <c r="C312" s="17" t="s">
        <v>4487</v>
      </c>
      <c r="D312" s="17" t="s">
        <v>4495</v>
      </c>
      <c r="E312" s="10">
        <v>1813171</v>
      </c>
      <c r="F312" s="4" t="str">
        <f>IF(B312=B311,"",B312)</f>
        <v/>
      </c>
    </row>
    <row r="313" spans="1:6" ht="15.75" customHeight="1">
      <c r="A313" s="5" t="s">
        <v>5297</v>
      </c>
      <c r="B313" s="6" t="s">
        <v>5297</v>
      </c>
      <c r="C313" s="5" t="s">
        <v>4487</v>
      </c>
      <c r="D313" s="5" t="s">
        <v>4535</v>
      </c>
      <c r="E313" s="2">
        <v>1787331</v>
      </c>
      <c r="F313" s="4" t="str">
        <f>IF(B313=B312,"",B313)</f>
        <v>Zhangjiagang</v>
      </c>
    </row>
    <row r="314" spans="1:6" ht="15.75" customHeight="1">
      <c r="A314" s="5" t="str">
        <f ca="1">IFERROR(__xludf.DUMMYFUNCTION("GOOGLETRANSLATE(B26142,""en"",""pt"")"),"Zhangjiagang")</f>
        <v>Zhangjiagang</v>
      </c>
      <c r="B314" s="17" t="s">
        <v>5297</v>
      </c>
      <c r="C314" s="17" t="s">
        <v>4487</v>
      </c>
      <c r="D314" s="17" t="s">
        <v>4535</v>
      </c>
      <c r="E314" s="10">
        <v>1787331</v>
      </c>
      <c r="F314" s="4" t="str">
        <f>IF(B314=B313,"",B314)</f>
        <v/>
      </c>
    </row>
    <row r="315" spans="1:6" ht="15.75" customHeight="1">
      <c r="A315" s="5" t="s">
        <v>16774</v>
      </c>
      <c r="B315" s="6" t="s">
        <v>16774</v>
      </c>
      <c r="C315" s="5" t="s">
        <v>16671</v>
      </c>
      <c r="D315" s="5" t="s">
        <v>16707</v>
      </c>
      <c r="E315" s="2">
        <v>1516788</v>
      </c>
      <c r="F315" s="4" t="str">
        <f>IF(B315=B314,"",B315)</f>
        <v>Zhangatas</v>
      </c>
    </row>
    <row r="316" spans="1:6" ht="15.75" customHeight="1">
      <c r="A316" s="5" t="str">
        <f ca="1">IFERROR(__xludf.DUMMYFUNCTION("GOOGLETRANSLATE(B36202,""en"",""pt"")"),"Zhangatas")</f>
        <v>Zhangatas</v>
      </c>
      <c r="B316" s="17" t="s">
        <v>16774</v>
      </c>
      <c r="C316" s="17" t="s">
        <v>16671</v>
      </c>
      <c r="D316" s="17" t="s">
        <v>16707</v>
      </c>
      <c r="E316" s="10">
        <v>1516788</v>
      </c>
      <c r="F316" s="4" t="str">
        <f>IF(B316=B315,"",B316)</f>
        <v/>
      </c>
    </row>
    <row r="317" spans="1:6" ht="15.75" customHeight="1">
      <c r="A317" s="5" t="s">
        <v>16773</v>
      </c>
      <c r="B317" s="6" t="s">
        <v>16773</v>
      </c>
      <c r="C317" s="5" t="s">
        <v>16671</v>
      </c>
      <c r="D317" s="5" t="s">
        <v>16680</v>
      </c>
      <c r="E317" s="2">
        <v>607610</v>
      </c>
      <c r="F317" s="4" t="str">
        <f>IF(B317=B316,"",B317)</f>
        <v>Zhanaozen</v>
      </c>
    </row>
    <row r="318" spans="1:6" ht="15.75" customHeight="1">
      <c r="A318" s="5" t="str">
        <f ca="1">IFERROR(__xludf.DUMMYFUNCTION("GOOGLETRANSLATE(B36184,""en"",""pt"")"),"Zhanaozen")</f>
        <v>Zhanaozen</v>
      </c>
      <c r="B318" s="17" t="s">
        <v>16773</v>
      </c>
      <c r="C318" s="17" t="s">
        <v>16671</v>
      </c>
      <c r="D318" s="17" t="s">
        <v>34496</v>
      </c>
      <c r="E318" s="10">
        <v>607610</v>
      </c>
      <c r="F318" s="4" t="str">
        <f>IF(B318=B317,"",B318)</f>
        <v/>
      </c>
    </row>
    <row r="319" spans="1:6" ht="15.75" customHeight="1">
      <c r="A319" s="6" t="s">
        <v>21600</v>
      </c>
      <c r="B319" s="6" t="s">
        <v>21600</v>
      </c>
      <c r="C319" s="6" t="s">
        <v>21064</v>
      </c>
      <c r="D319" s="6" t="s">
        <v>21118</v>
      </c>
      <c r="E319" s="2">
        <v>3080231</v>
      </c>
      <c r="F319" s="4" t="str">
        <f>IF(B319=B318,"",B319)</f>
        <v>Zgorzelec</v>
      </c>
    </row>
    <row r="320" spans="1:6" ht="15.75" customHeight="1">
      <c r="A320" s="5" t="str">
        <f ca="1">IFERROR(__xludf.DUMMYFUNCTION("GOOGLETRANSLATE(B39304,""en"",""pt"")"),"Zgorzelec")</f>
        <v>Zgorzelec</v>
      </c>
      <c r="B320" s="17" t="s">
        <v>21600</v>
      </c>
      <c r="C320" s="17" t="s">
        <v>21064</v>
      </c>
      <c r="D320" s="17" t="s">
        <v>21118</v>
      </c>
      <c r="E320" s="10">
        <v>3080231</v>
      </c>
      <c r="F320" s="4" t="str">
        <f>IF(B320=B319,"",B320)</f>
        <v/>
      </c>
    </row>
    <row r="321" spans="1:6" ht="15.75" customHeight="1">
      <c r="A321" s="6" t="s">
        <v>21599</v>
      </c>
      <c r="B321" s="6" t="s">
        <v>21599</v>
      </c>
      <c r="C321" s="6" t="s">
        <v>21064</v>
      </c>
      <c r="D321" s="6" t="s">
        <v>21080</v>
      </c>
      <c r="E321" s="2">
        <v>3080251</v>
      </c>
      <c r="F321" s="4" t="str">
        <f>IF(B321=B320,"",B321)</f>
        <v>Zgierz</v>
      </c>
    </row>
    <row r="322" spans="1:6" ht="15.75" customHeight="1">
      <c r="A322" s="5" t="str">
        <f ca="1">IFERROR(__xludf.DUMMYFUNCTION("GOOGLETRANSLATE(B39305,""en"",""pt"")"),"Zgierz")</f>
        <v>Zgierz</v>
      </c>
      <c r="B322" s="17" t="s">
        <v>21599</v>
      </c>
      <c r="C322" s="17" t="s">
        <v>21064</v>
      </c>
      <c r="D322" s="17" t="s">
        <v>35071</v>
      </c>
      <c r="E322" s="10">
        <v>3080251</v>
      </c>
      <c r="F322" s="4" t="str">
        <f>IF(B322=B321,"",B322)</f>
        <v/>
      </c>
    </row>
    <row r="323" spans="1:6" ht="15.75" customHeight="1">
      <c r="A323" s="5" t="s">
        <v>26771</v>
      </c>
      <c r="B323" s="6" t="s">
        <v>26771</v>
      </c>
      <c r="C323" s="5" t="s">
        <v>26201</v>
      </c>
      <c r="D323" s="5" t="s">
        <v>26211</v>
      </c>
      <c r="E323" s="2">
        <v>737071</v>
      </c>
      <c r="F323" s="4" t="str">
        <f>IF(B323=B322,"",B323)</f>
        <v>Zeytinburnu</v>
      </c>
    </row>
    <row r="324" spans="1:6" ht="15.75" customHeight="1">
      <c r="A324" s="5" t="str">
        <f ca="1">IFERROR(__xludf.DUMMYFUNCTION("GOOGLETRANSLATE(B42089,""en"",""pt"")"),"Zeytinburnu")</f>
        <v>Zeytinburnu</v>
      </c>
      <c r="B324" s="17" t="s">
        <v>26771</v>
      </c>
      <c r="C324" s="17" t="s">
        <v>26201</v>
      </c>
      <c r="D324" s="17" t="s">
        <v>26211</v>
      </c>
      <c r="E324" s="10">
        <v>737071</v>
      </c>
      <c r="F324" s="4" t="str">
        <f>IF(B324=B323,"",B324)</f>
        <v/>
      </c>
    </row>
    <row r="325" spans="1:6" ht="15.75" customHeight="1">
      <c r="A325" s="6" t="s">
        <v>23390</v>
      </c>
      <c r="B325" s="6" t="s">
        <v>23390</v>
      </c>
      <c r="C325" s="6" t="s">
        <v>22070</v>
      </c>
      <c r="D325" s="6" t="s">
        <v>22210</v>
      </c>
      <c r="E325" s="2">
        <v>2012593</v>
      </c>
      <c r="F325" s="4" t="str">
        <f>IF(B325=B324,"",B325)</f>
        <v>Zeya</v>
      </c>
    </row>
    <row r="326" spans="1:6" ht="15.75" customHeight="1">
      <c r="A326" s="5" t="str">
        <f ca="1">IFERROR(__xludf.DUMMYFUNCTION("GOOGLETRANSLATE(B40892,""en"",""pt"")"),"Zeya")</f>
        <v>Zeya</v>
      </c>
      <c r="B326" s="17" t="s">
        <v>23390</v>
      </c>
      <c r="C326" s="17" t="s">
        <v>22070</v>
      </c>
      <c r="D326" s="17" t="s">
        <v>22210</v>
      </c>
      <c r="E326" s="10">
        <v>2012593</v>
      </c>
      <c r="F326" s="4" t="str">
        <f>IF(B326=B325,"",B326)</f>
        <v/>
      </c>
    </row>
    <row r="327" spans="1:6" ht="15.75" customHeight="1">
      <c r="A327" s="6" t="s">
        <v>19157</v>
      </c>
      <c r="B327" s="6" t="s">
        <v>19157</v>
      </c>
      <c r="C327" s="6" t="s">
        <v>18862</v>
      </c>
      <c r="D327" s="6" t="s">
        <v>18865</v>
      </c>
      <c r="E327" s="2">
        <v>2743949</v>
      </c>
      <c r="F327" s="4" t="str">
        <f>IF(B327=B326,"",B327)</f>
        <v>Zevenaar</v>
      </c>
    </row>
    <row r="328" spans="1:6" ht="15.75" customHeight="1">
      <c r="A328" s="5" t="str">
        <f ca="1">IFERROR(__xludf.DUMMYFUNCTION("GOOGLETRANSLATE(B37890,""en"",""pt"")"),"Zevenaar")</f>
        <v>Zevenaar</v>
      </c>
      <c r="B328" s="17" t="s">
        <v>19157</v>
      </c>
      <c r="C328" s="17" t="s">
        <v>18862</v>
      </c>
      <c r="D328" s="17" t="s">
        <v>18865</v>
      </c>
      <c r="E328" s="10">
        <v>2743949</v>
      </c>
      <c r="F328" s="4" t="str">
        <f>IF(B328=B327,"",B328)</f>
        <v/>
      </c>
    </row>
    <row r="329" spans="1:6" ht="15.75" customHeight="1">
      <c r="A329" s="5" t="s">
        <v>8024</v>
      </c>
      <c r="B329" s="6" t="s">
        <v>8025</v>
      </c>
      <c r="C329" s="5" t="s">
        <v>7988</v>
      </c>
      <c r="D329" s="5" t="s">
        <v>7997</v>
      </c>
      <c r="E329" s="2">
        <v>610864</v>
      </c>
      <c r="F329" s="4" t="str">
        <f>IF(B329=B328,"",B329)</f>
        <v>Zestapâ€™oni</v>
      </c>
    </row>
    <row r="330" spans="1:6" ht="15.75" customHeight="1">
      <c r="A330" s="5" t="str">
        <f ca="1">IFERROR(__xludf.DUMMYFUNCTION("GOOGLETRANSLATE(B30829,""en"",""pt"")"),"Zestap'oni")</f>
        <v>Zestap'oni</v>
      </c>
      <c r="B330" s="17" t="s">
        <v>32656</v>
      </c>
      <c r="C330" s="17" t="s">
        <v>7988</v>
      </c>
      <c r="D330" s="17" t="s">
        <v>7997</v>
      </c>
      <c r="E330" s="10">
        <v>610864</v>
      </c>
      <c r="F330" s="4" t="str">
        <f>IF(B330=B329,"",B330)</f>
        <v>Zestap’oni</v>
      </c>
    </row>
    <row r="331" spans="1:6" ht="15.75" customHeight="1">
      <c r="A331" s="5" t="s">
        <v>23389</v>
      </c>
      <c r="B331" s="6" t="s">
        <v>23389</v>
      </c>
      <c r="C331" s="5" t="s">
        <v>22070</v>
      </c>
      <c r="D331" s="5" t="s">
        <v>22099</v>
      </c>
      <c r="E331" s="2">
        <v>463637</v>
      </c>
      <c r="F331" s="4" t="str">
        <f>IF(B331=B330,"",B331)</f>
        <v>Zernograd</v>
      </c>
    </row>
    <row r="332" spans="1:6" ht="15.75" customHeight="1">
      <c r="A332" s="5" t="str">
        <f ca="1">IFERROR(__xludf.DUMMYFUNCTION("GOOGLETRANSLATE(B39923,""en"",""pt"")"),"Zernograd")</f>
        <v>Zernograd</v>
      </c>
      <c r="B332" s="17" t="s">
        <v>23389</v>
      </c>
      <c r="C332" s="17" t="s">
        <v>22070</v>
      </c>
      <c r="D332" s="17" t="s">
        <v>22099</v>
      </c>
      <c r="E332" s="10">
        <v>463637</v>
      </c>
      <c r="F332" s="4" t="str">
        <f>IF(B332=B331,"",B332)</f>
        <v/>
      </c>
    </row>
    <row r="333" spans="1:6" ht="15.75" customHeight="1">
      <c r="A333" s="5" t="s">
        <v>496</v>
      </c>
      <c r="B333" s="6" t="s">
        <v>497</v>
      </c>
      <c r="C333" s="5" t="s">
        <v>153</v>
      </c>
      <c r="D333" s="5" t="s">
        <v>269</v>
      </c>
      <c r="E333" s="2">
        <v>2474506</v>
      </c>
      <c r="F333" s="4" t="str">
        <f>IF(B333=B332,"",B333)</f>
        <v>Zeribet el Oued</v>
      </c>
    </row>
    <row r="334" spans="1:6" ht="15.75" customHeight="1">
      <c r="A334" s="5" t="str">
        <f ca="1">IFERROR(__xludf.DUMMYFUNCTION("GOOGLETRANSLATE(B28500,""en"",""pt"")"),"Zeribet el oued")</f>
        <v>Zeribet el oued</v>
      </c>
      <c r="B334" s="17" t="s">
        <v>497</v>
      </c>
      <c r="C334" s="17" t="s">
        <v>153</v>
      </c>
      <c r="D334" s="17" t="s">
        <v>269</v>
      </c>
      <c r="E334" s="10">
        <v>2474506</v>
      </c>
      <c r="F334" s="4" t="str">
        <f>IF(B334=B333,"",B334)</f>
        <v/>
      </c>
    </row>
    <row r="335" spans="1:6" ht="15.75" customHeight="1">
      <c r="A335" s="6" t="s">
        <v>9356</v>
      </c>
      <c r="B335" s="6" t="s">
        <v>9356</v>
      </c>
      <c r="C335" s="6" t="s">
        <v>8028</v>
      </c>
      <c r="D335" s="6" t="s">
        <v>8085</v>
      </c>
      <c r="E335" s="2">
        <v>2804748</v>
      </c>
      <c r="F335" s="4" t="str">
        <f>IF(B335=B334,"",B335)</f>
        <v>Zerbst</v>
      </c>
    </row>
    <row r="336" spans="1:6" ht="15.75" customHeight="1">
      <c r="A336" s="5" t="str">
        <f ca="1">IFERROR(__xludf.DUMMYFUNCTION("GOOGLETRANSLATE(B27348,""en"",""pt"")"),"Zerbst")</f>
        <v>Zerbst</v>
      </c>
      <c r="B336" s="17" t="s">
        <v>9356</v>
      </c>
      <c r="C336" s="17" t="s">
        <v>8028</v>
      </c>
      <c r="D336" s="17" t="s">
        <v>8085</v>
      </c>
      <c r="E336" s="10">
        <v>2804748</v>
      </c>
      <c r="F336" s="4" t="str">
        <f>IF(B336=B335,"",B336)</f>
        <v/>
      </c>
    </row>
    <row r="337" spans="1:6" ht="15.75" customHeight="1">
      <c r="A337" s="6" t="s">
        <v>495</v>
      </c>
      <c r="B337" s="6" t="s">
        <v>495</v>
      </c>
      <c r="C337" s="6" t="s">
        <v>153</v>
      </c>
      <c r="D337" s="6" t="s">
        <v>160</v>
      </c>
      <c r="E337" s="2">
        <v>2474583</v>
      </c>
      <c r="F337" s="4" t="str">
        <f>IF(B337=B336,"",B337)</f>
        <v>Zeralda</v>
      </c>
    </row>
    <row r="338" spans="1:6" ht="15.75" customHeight="1">
      <c r="A338" s="5" t="str">
        <f ca="1">IFERROR(__xludf.DUMMYFUNCTION("GOOGLETRANSLATE(B28501,""en"",""pt"")"),"Zeralda")</f>
        <v>Zeralda</v>
      </c>
      <c r="B338" s="17" t="s">
        <v>495</v>
      </c>
      <c r="C338" s="17" t="s">
        <v>153</v>
      </c>
      <c r="D338" s="17" t="s">
        <v>160</v>
      </c>
      <c r="E338" s="10">
        <v>2474583</v>
      </c>
      <c r="F338" s="4" t="str">
        <f>IF(B338=B337,"",B338)</f>
        <v/>
      </c>
    </row>
    <row r="339" spans="1:6" ht="15.75" customHeight="1">
      <c r="A339" s="6" t="s">
        <v>1876</v>
      </c>
      <c r="B339" s="6" t="s">
        <v>1876</v>
      </c>
      <c r="C339" s="6" t="s">
        <v>1845</v>
      </c>
      <c r="D339" s="6" t="s">
        <v>1849</v>
      </c>
      <c r="E339" s="2">
        <v>3186573</v>
      </c>
      <c r="F339" s="4" t="str">
        <f>IF(B339=B338,"",B339)</f>
        <v>Zenica</v>
      </c>
    </row>
    <row r="340" spans="1:6" ht="15.75" customHeight="1">
      <c r="A340" s="5" t="str">
        <f ca="1">IFERROR(__xludf.DUMMYFUNCTION("GOOGLETRANSLATE(B23671,""en"",""pt"")"),"Zenica")</f>
        <v>Zenica</v>
      </c>
      <c r="B340" s="17" t="s">
        <v>1876</v>
      </c>
      <c r="C340" s="17" t="s">
        <v>1845</v>
      </c>
      <c r="D340" s="17" t="s">
        <v>1849</v>
      </c>
      <c r="E340" s="10">
        <v>3186573</v>
      </c>
      <c r="F340" s="4" t="str">
        <f>IF(B340=B339,"",B340)</f>
        <v/>
      </c>
    </row>
    <row r="341" spans="1:6" ht="15.75" customHeight="1">
      <c r="A341" s="6" t="s">
        <v>23671</v>
      </c>
      <c r="B341" s="6" t="s">
        <v>23671</v>
      </c>
      <c r="C341" s="6" t="s">
        <v>23602</v>
      </c>
      <c r="D341" s="6" t="s">
        <v>23603</v>
      </c>
      <c r="E341" s="2">
        <v>783920</v>
      </c>
      <c r="F341" s="4" t="str">
        <f>IF(B341=B340,"",B341)</f>
        <v>Zemun</v>
      </c>
    </row>
    <row r="342" spans="1:6" ht="15.75" customHeight="1">
      <c r="A342" s="5" t="str">
        <f ca="1">IFERROR(__xludf.DUMMYFUNCTION("GOOGLETRANSLATE(B39858,""en"",""pt"")"),"Zemun")</f>
        <v>Zemun</v>
      </c>
      <c r="B342" s="17" t="s">
        <v>23671</v>
      </c>
      <c r="C342" s="17" t="s">
        <v>23602</v>
      </c>
      <c r="D342" s="17" t="s">
        <v>23603</v>
      </c>
      <c r="E342" s="10">
        <v>783920</v>
      </c>
      <c r="F342" s="4" t="str">
        <f>IF(B342=B341,"",B342)</f>
        <v/>
      </c>
    </row>
    <row r="343" spans="1:6" ht="15.75" customHeight="1">
      <c r="A343" s="6" t="s">
        <v>1726</v>
      </c>
      <c r="B343" s="6" t="s">
        <v>1726</v>
      </c>
      <c r="C343" s="6" t="s">
        <v>1512</v>
      </c>
      <c r="D343" s="6" t="s">
        <v>1513</v>
      </c>
      <c r="E343" s="2">
        <v>2783274</v>
      </c>
      <c r="F343" s="4" t="str">
        <f>IF(B343=B342,"",B343)</f>
        <v>Zemst</v>
      </c>
    </row>
    <row r="344" spans="1:6" ht="15.75" customHeight="1">
      <c r="A344" s="5" t="str">
        <f ca="1">IFERROR(__xludf.DUMMYFUNCTION("GOOGLETRANSLATE(B23796,""en"",""pt"")"),"Zemst")</f>
        <v>Zemst</v>
      </c>
      <c r="B344" s="17" t="s">
        <v>1726</v>
      </c>
      <c r="C344" s="17" t="s">
        <v>1512</v>
      </c>
      <c r="D344" s="17" t="s">
        <v>1513</v>
      </c>
      <c r="E344" s="10">
        <v>2783274</v>
      </c>
      <c r="F344" s="4" t="str">
        <f>IF(B344=B343,"",B344)</f>
        <v/>
      </c>
    </row>
    <row r="345" spans="1:6" ht="15.75" customHeight="1">
      <c r="A345" s="6" t="s">
        <v>494</v>
      </c>
      <c r="B345" s="6" t="s">
        <v>494</v>
      </c>
      <c r="C345" s="6" t="s">
        <v>153</v>
      </c>
      <c r="D345" s="6" t="s">
        <v>180</v>
      </c>
      <c r="E345" s="2">
        <v>2474638</v>
      </c>
      <c r="F345" s="4" t="str">
        <f>IF(B345=B344,"",B345)</f>
        <v>Zemoura</v>
      </c>
    </row>
    <row r="346" spans="1:6" ht="15.75" customHeight="1">
      <c r="A346" s="5" t="str">
        <f ca="1">IFERROR(__xludf.DUMMYFUNCTION("GOOGLETRANSLATE(B28502,""en"",""pt"")"),"Zemoura")</f>
        <v>Zemoura</v>
      </c>
      <c r="B346" s="17" t="s">
        <v>494</v>
      </c>
      <c r="C346" s="17" t="s">
        <v>153</v>
      </c>
      <c r="D346" s="17" t="s">
        <v>180</v>
      </c>
      <c r="E346" s="10">
        <v>2474638</v>
      </c>
      <c r="F346" s="4" t="str">
        <f>IF(B346=B345,"",B346)</f>
        <v/>
      </c>
    </row>
    <row r="347" spans="1:6" ht="15.75" customHeight="1">
      <c r="A347" s="5" t="s">
        <v>23388</v>
      </c>
      <c r="B347" s="6" t="s">
        <v>23388</v>
      </c>
      <c r="C347" s="5" t="s">
        <v>22070</v>
      </c>
      <c r="D347" s="5" t="s">
        <v>22117</v>
      </c>
      <c r="E347" s="2">
        <v>463824</v>
      </c>
      <c r="F347" s="4" t="str">
        <f>IF(B347=B346,"",B347)</f>
        <v>Zelenokumsk</v>
      </c>
    </row>
    <row r="348" spans="1:6" ht="15.75" customHeight="1">
      <c r="A348" s="5" t="str">
        <f ca="1">IFERROR(__xludf.DUMMYFUNCTION("GOOGLETRANSLATE(B39924,""en"",""pt"")"),"Zelenokumsk")</f>
        <v>Zelenokumsk</v>
      </c>
      <c r="B348" s="17" t="s">
        <v>23388</v>
      </c>
      <c r="C348" s="17" t="s">
        <v>22070</v>
      </c>
      <c r="D348" s="17" t="s">
        <v>22117</v>
      </c>
      <c r="E348" s="10">
        <v>463824</v>
      </c>
      <c r="F348" s="4" t="str">
        <f>IF(B348=B347,"",B348)</f>
        <v/>
      </c>
    </row>
    <row r="349" spans="1:6" ht="15.75" customHeight="1">
      <c r="A349" s="5" t="s">
        <v>23386</v>
      </c>
      <c r="B349" s="6" t="s">
        <v>23387</v>
      </c>
      <c r="C349" s="5" t="s">
        <v>22070</v>
      </c>
      <c r="D349" s="5" t="s">
        <v>22127</v>
      </c>
      <c r="E349" s="2">
        <v>463829</v>
      </c>
      <c r="F349" s="4" t="str">
        <f>IF(B349=B348,"",B349)</f>
        <v>Zelenograd</v>
      </c>
    </row>
    <row r="350" spans="1:6" ht="15.75" customHeight="1">
      <c r="A350" s="5" t="str">
        <f ca="1">IFERROR(__xludf.DUMMYFUNCTION("GOOGLETRANSLATE(B39925,""en"",""pt"")"),"ZELENOGRAD")</f>
        <v>ZELENOGRAD</v>
      </c>
      <c r="B350" s="17" t="s">
        <v>23387</v>
      </c>
      <c r="C350" s="17" t="s">
        <v>22070</v>
      </c>
      <c r="D350" s="17" t="s">
        <v>22127</v>
      </c>
      <c r="E350" s="10">
        <v>463829</v>
      </c>
      <c r="F350" s="4" t="str">
        <f>IF(B350=B349,"",B350)</f>
        <v/>
      </c>
    </row>
    <row r="351" spans="1:6" ht="15.75" customHeight="1">
      <c r="A351" s="5" t="s">
        <v>23384</v>
      </c>
      <c r="B351" s="6" t="s">
        <v>23385</v>
      </c>
      <c r="C351" s="5" t="s">
        <v>22070</v>
      </c>
      <c r="D351" s="5" t="s">
        <v>22079</v>
      </c>
      <c r="E351" s="2">
        <v>1488253</v>
      </c>
      <c r="F351" s="4" t="str">
        <f>IF(B351=B350,"",B351)</f>
        <v>Zelenogorsk</v>
      </c>
    </row>
    <row r="352" spans="1:6" ht="15.75" customHeight="1">
      <c r="A352" s="5" t="str">
        <f ca="1">IFERROR(__xludf.DUMMYFUNCTION("GOOGLETRANSLATE(B40731,""en"",""pt"")"),"ZeleNogorsk")</f>
        <v>ZeleNogorsk</v>
      </c>
      <c r="B352" s="17" t="s">
        <v>23385</v>
      </c>
      <c r="C352" s="17" t="s">
        <v>22070</v>
      </c>
      <c r="D352" s="17" t="s">
        <v>22079</v>
      </c>
      <c r="E352" s="10">
        <v>1488253</v>
      </c>
      <c r="F352" s="4" t="str">
        <f>IF(B352=B351,"",B352)</f>
        <v/>
      </c>
    </row>
    <row r="353" spans="1:6" ht="15.75" customHeight="1">
      <c r="A353" s="5" t="s">
        <v>23383</v>
      </c>
      <c r="B353" s="6" t="s">
        <v>23383</v>
      </c>
      <c r="C353" s="5" t="s">
        <v>22070</v>
      </c>
      <c r="D353" s="5" t="s">
        <v>22090</v>
      </c>
      <c r="E353" s="2">
        <v>463835</v>
      </c>
      <c r="F353" s="4" t="str">
        <f>IF(B353=B352,"",B353)</f>
        <v>Zelenodolsk</v>
      </c>
    </row>
    <row r="354" spans="1:6" ht="15.75" customHeight="1">
      <c r="A354" s="5" t="str">
        <f ca="1">IFERROR(__xludf.DUMMYFUNCTION("GOOGLETRANSLATE(B39926,""en"",""pt"")"),"Zelenodolsk")</f>
        <v>Zelenodolsk</v>
      </c>
      <c r="B354" s="17" t="s">
        <v>23383</v>
      </c>
      <c r="C354" s="17" t="s">
        <v>22070</v>
      </c>
      <c r="D354" s="17" t="s">
        <v>22090</v>
      </c>
      <c r="E354" s="10">
        <v>463835</v>
      </c>
      <c r="F354" s="4" t="str">
        <f>IF(B354=B353,"",B354)</f>
        <v/>
      </c>
    </row>
    <row r="355" spans="1:6" ht="15.75" customHeight="1">
      <c r="A355" s="5" t="s">
        <v>23381</v>
      </c>
      <c r="B355" s="6" t="s">
        <v>23382</v>
      </c>
      <c r="C355" s="5" t="s">
        <v>22070</v>
      </c>
      <c r="D355" s="5" t="s">
        <v>22302</v>
      </c>
      <c r="E355" s="2">
        <v>463885</v>
      </c>
      <c r="F355" s="4" t="str">
        <f>IF(B355=B354,"",B355)</f>
        <v>Zelenchukskaya</v>
      </c>
    </row>
    <row r="356" spans="1:6" ht="15.75" customHeight="1">
      <c r="A356" s="5" t="str">
        <f ca="1">IFERROR(__xludf.DUMMYFUNCTION("GOOGLETRANSLATE(B39927,""en"",""pt"")"),"ZELEANCHUKSKAYA")</f>
        <v>ZELEANCHUKSKAYA</v>
      </c>
      <c r="B356" s="17" t="s">
        <v>23382</v>
      </c>
      <c r="C356" s="17" t="s">
        <v>22070</v>
      </c>
      <c r="D356" s="17" t="s">
        <v>22302</v>
      </c>
      <c r="E356" s="10">
        <v>463885</v>
      </c>
      <c r="F356" s="4" t="str">
        <f>IF(B356=B355,"",B356)</f>
        <v/>
      </c>
    </row>
    <row r="357" spans="1:6" ht="15.75" customHeight="1">
      <c r="A357" s="6" t="s">
        <v>1725</v>
      </c>
      <c r="B357" s="6" t="s">
        <v>1725</v>
      </c>
      <c r="C357" s="6" t="s">
        <v>1512</v>
      </c>
      <c r="D357" s="6" t="s">
        <v>1513</v>
      </c>
      <c r="E357" s="2">
        <v>2783293</v>
      </c>
      <c r="F357" s="4" t="str">
        <f>IF(B357=B356,"",B357)</f>
        <v>Zele</v>
      </c>
    </row>
    <row r="358" spans="1:6" ht="15.75" customHeight="1">
      <c r="A358" s="5" t="str">
        <f ca="1">IFERROR(__xludf.DUMMYFUNCTION("GOOGLETRANSLATE(B23797,""en"",""pt"")"),"Zele")</f>
        <v>Zele</v>
      </c>
      <c r="B358" s="17" t="s">
        <v>1725</v>
      </c>
      <c r="C358" s="17" t="s">
        <v>1512</v>
      </c>
      <c r="D358" s="17" t="s">
        <v>1513</v>
      </c>
      <c r="E358" s="10">
        <v>2783293</v>
      </c>
      <c r="F358" s="4" t="str">
        <f>IF(B358=B357,"",B358)</f>
        <v/>
      </c>
    </row>
    <row r="359" spans="1:6" ht="15.75" customHeight="1">
      <c r="A359" s="6" t="s">
        <v>9355</v>
      </c>
      <c r="B359" s="6" t="s">
        <v>9355</v>
      </c>
      <c r="C359" s="6" t="s">
        <v>8028</v>
      </c>
      <c r="D359" s="6" t="s">
        <v>8085</v>
      </c>
      <c r="E359" s="2">
        <v>2804922</v>
      </c>
      <c r="F359" s="4" t="str">
        <f>IF(B359=B358,"",B359)</f>
        <v>Zeitz</v>
      </c>
    </row>
    <row r="360" spans="1:6" ht="15.75" customHeight="1">
      <c r="A360" s="5" t="str">
        <f ca="1">IFERROR(__xludf.DUMMYFUNCTION("GOOGLETRANSLATE(B27349,""en"",""pt"")"),"Zeitz")</f>
        <v>Zeitz</v>
      </c>
      <c r="B360" s="17" t="s">
        <v>9355</v>
      </c>
      <c r="C360" s="17" t="s">
        <v>8028</v>
      </c>
      <c r="D360" s="17" t="s">
        <v>8085</v>
      </c>
      <c r="E360" s="10">
        <v>2804922</v>
      </c>
      <c r="F360" s="4" t="str">
        <f>IF(B360=B359,"",B360)</f>
        <v/>
      </c>
    </row>
    <row r="361" spans="1:6" ht="15.75" customHeight="1">
      <c r="A361" s="6" t="s">
        <v>19155</v>
      </c>
      <c r="B361" s="6" t="s">
        <v>19156</v>
      </c>
      <c r="C361" s="6" t="s">
        <v>18862</v>
      </c>
      <c r="D361" s="6" t="s">
        <v>18877</v>
      </c>
      <c r="E361" s="2">
        <v>2743977</v>
      </c>
      <c r="F361" s="4" t="str">
        <f>IF(B361=B360,"",B361)</f>
        <v>Zeist</v>
      </c>
    </row>
    <row r="362" spans="1:6" ht="15.75" customHeight="1">
      <c r="A362" s="5" t="str">
        <f ca="1">IFERROR(__xludf.DUMMYFUNCTION("GOOGLETRANSLATE(B37891,""en"",""pt"")"),"Zeísta")</f>
        <v>Zeísta</v>
      </c>
      <c r="B362" s="17" t="s">
        <v>19156</v>
      </c>
      <c r="C362" s="17" t="s">
        <v>18862</v>
      </c>
      <c r="D362" s="17" t="s">
        <v>18877</v>
      </c>
      <c r="E362" s="10">
        <v>2743977</v>
      </c>
      <c r="F362" s="4" t="str">
        <f>IF(B362=B361,"",B362)</f>
        <v/>
      </c>
    </row>
    <row r="363" spans="1:6" ht="15.75" customHeight="1">
      <c r="A363" s="5" t="s">
        <v>9354</v>
      </c>
      <c r="B363" s="6" t="s">
        <v>9354</v>
      </c>
      <c r="C363" s="5" t="s">
        <v>8028</v>
      </c>
      <c r="D363" s="5" t="s">
        <v>8036</v>
      </c>
      <c r="E363" s="2">
        <v>2805059</v>
      </c>
      <c r="F363" s="4" t="str">
        <f>IF(B363=B362,"",B363)</f>
        <v>Zehlendorf</v>
      </c>
    </row>
    <row r="364" spans="1:6" ht="15.75" customHeight="1">
      <c r="A364" s="5" t="str">
        <f ca="1">IFERROR(__xludf.DUMMYFUNCTION("GOOGLETRANSLATE(B27350,""en"",""pt"")"),"Zehlendorf")</f>
        <v>Zehlendorf</v>
      </c>
      <c r="B364" s="17" t="s">
        <v>9354</v>
      </c>
      <c r="C364" s="17" t="s">
        <v>8028</v>
      </c>
      <c r="D364" s="17" t="s">
        <v>8036</v>
      </c>
      <c r="E364" s="10">
        <v>2805059</v>
      </c>
      <c r="F364" s="4" t="str">
        <f>IF(B364=B363,"",B364)</f>
        <v/>
      </c>
    </row>
    <row r="365" spans="1:6" ht="15.75" customHeight="1">
      <c r="A365" s="6" t="s">
        <v>19154</v>
      </c>
      <c r="B365" s="6" t="s">
        <v>19154</v>
      </c>
      <c r="C365" s="6" t="s">
        <v>18862</v>
      </c>
      <c r="D365" s="6" t="s">
        <v>18873</v>
      </c>
      <c r="E365" s="2">
        <v>2743997</v>
      </c>
      <c r="F365" s="4" t="str">
        <f>IF(B365=B364,"",B365)</f>
        <v>Zeewolde</v>
      </c>
    </row>
    <row r="366" spans="1:6" ht="15.75" customHeight="1">
      <c r="A366" s="5" t="str">
        <f ca="1">IFERROR(__xludf.DUMMYFUNCTION("GOOGLETRANSLATE(B37892,""en"",""pt"")"),"Zeewolde")</f>
        <v>Zeewolde</v>
      </c>
      <c r="B366" s="17" t="s">
        <v>19154</v>
      </c>
      <c r="C366" s="17" t="s">
        <v>18862</v>
      </c>
      <c r="D366" s="17" t="s">
        <v>18873</v>
      </c>
      <c r="E366" s="10">
        <v>2743997</v>
      </c>
      <c r="F366" s="4" t="str">
        <f>IF(B366=B365,"",B366)</f>
        <v/>
      </c>
    </row>
    <row r="367" spans="1:6" ht="15.75" customHeight="1">
      <c r="A367" s="6" t="s">
        <v>24020</v>
      </c>
      <c r="B367" s="6" t="s">
        <v>24020</v>
      </c>
      <c r="C367" s="6" t="s">
        <v>23842</v>
      </c>
      <c r="D367" s="6" t="s">
        <v>23860</v>
      </c>
      <c r="E367" s="2">
        <v>937136</v>
      </c>
      <c r="F367" s="4" t="str">
        <f>IF(B367=B366,"",B367)</f>
        <v>Zeerust</v>
      </c>
    </row>
    <row r="368" spans="1:6" ht="15.75" customHeight="1">
      <c r="A368" s="5" t="str">
        <f ca="1">IFERROR(__xludf.DUMMYFUNCTION("GOOGLETRANSLATE(B45843,""en"",""pt"")"),"Zeerust")</f>
        <v>Zeerust</v>
      </c>
      <c r="B368" s="17" t="s">
        <v>24020</v>
      </c>
      <c r="C368" s="17" t="s">
        <v>23842</v>
      </c>
      <c r="D368" s="17" t="s">
        <v>23860</v>
      </c>
      <c r="E368" s="10">
        <v>937136</v>
      </c>
      <c r="F368" s="4" t="str">
        <f>IF(B368=B367,"",B368)</f>
        <v/>
      </c>
    </row>
    <row r="369" spans="1:6" ht="15.75" customHeight="1">
      <c r="A369" s="6" t="s">
        <v>1724</v>
      </c>
      <c r="B369" s="6" t="s">
        <v>1724</v>
      </c>
      <c r="C369" s="6" t="s">
        <v>1512</v>
      </c>
      <c r="D369" s="6" t="s">
        <v>1513</v>
      </c>
      <c r="E369" s="2">
        <v>2783308</v>
      </c>
      <c r="F369" s="4" t="str">
        <f>IF(B369=B368,"",B369)</f>
        <v>Zedelgem</v>
      </c>
    </row>
    <row r="370" spans="1:6" ht="15.75" customHeight="1">
      <c r="A370" s="5" t="str">
        <f ca="1">IFERROR(__xludf.DUMMYFUNCTION("GOOGLETRANSLATE(B23798,""en"",""pt"")"),"Zedelgem")</f>
        <v>Zedelgem</v>
      </c>
      <c r="B370" s="17" t="s">
        <v>1724</v>
      </c>
      <c r="C370" s="17" t="s">
        <v>1512</v>
      </c>
      <c r="D370" s="17" t="s">
        <v>1513</v>
      </c>
      <c r="E370" s="10">
        <v>2783308</v>
      </c>
      <c r="F370" s="4" t="str">
        <f>IF(B370=B369,"",B370)</f>
        <v/>
      </c>
    </row>
    <row r="371" spans="1:6" ht="15.75" customHeight="1">
      <c r="A371" s="5" t="str">
        <f ca="1">IFERROR(__xludf.DUMMYFUNCTION("GOOGLETRANSLATE(B39306,""en"",""pt"")"),"Zduńska Wola")</f>
        <v>Zduńska Wola</v>
      </c>
      <c r="B371" s="17" t="s">
        <v>35141</v>
      </c>
      <c r="C371" s="17" t="s">
        <v>21064</v>
      </c>
      <c r="D371" s="17" t="s">
        <v>35071</v>
      </c>
      <c r="E371" s="10">
        <v>3080414</v>
      </c>
      <c r="F371" s="4" t="str">
        <f>IF(B371=B370,"",B371)</f>
        <v>Zduńska Wola</v>
      </c>
    </row>
    <row r="372" spans="1:6" ht="15.75" customHeight="1">
      <c r="A372" s="5" t="s">
        <v>21597</v>
      </c>
      <c r="B372" s="6" t="s">
        <v>21598</v>
      </c>
      <c r="C372" s="5" t="s">
        <v>21064</v>
      </c>
      <c r="D372" s="5" t="s">
        <v>21080</v>
      </c>
      <c r="E372" s="2">
        <v>3080414</v>
      </c>
      <c r="F372" s="4" t="str">
        <f>IF(B372=B371,"",B372)</f>
        <v>ZduÅ„ska Wola</v>
      </c>
    </row>
    <row r="373" spans="1:6" ht="15.75" customHeight="1">
      <c r="A373" s="5" t="s">
        <v>27202</v>
      </c>
      <c r="B373" s="6" t="s">
        <v>27202</v>
      </c>
      <c r="C373" s="5" t="s">
        <v>26870</v>
      </c>
      <c r="D373" s="5" t="s">
        <v>26953</v>
      </c>
      <c r="E373" s="2">
        <v>687432</v>
      </c>
      <c r="F373" s="4" t="str">
        <f>IF(B373=B372,"",B373)</f>
        <v>Zdolbuniv</v>
      </c>
    </row>
    <row r="374" spans="1:6" ht="15.75" customHeight="1">
      <c r="A374" s="5" t="str">
        <f ca="1">IFERROR(__xludf.DUMMYFUNCTION("GOOGLETRANSLATE(B42479,""en"",""pt"")"),"Zdolbuniv")</f>
        <v>Zdolbuniv</v>
      </c>
      <c r="B374" s="17" t="s">
        <v>27202</v>
      </c>
      <c r="C374" s="17" t="s">
        <v>26870</v>
      </c>
      <c r="D374" s="17" t="s">
        <v>26953</v>
      </c>
      <c r="E374" s="10">
        <v>687432</v>
      </c>
      <c r="F374" s="4" t="str">
        <f>IF(B374=B373,"",B374)</f>
        <v/>
      </c>
    </row>
    <row r="375" spans="1:6" ht="15.75" customHeight="1">
      <c r="A375" s="5" t="str">
        <f ca="1">IFERROR(__xludf.DUMMYFUNCTION("GOOGLETRANSLATE(B27245,""en"",""pt"")"),"Žďár Nad Sázavou Druhy")</f>
        <v>Žďár Nad Sázavou Druhy</v>
      </c>
      <c r="B375" s="17" t="s">
        <v>31938</v>
      </c>
      <c r="C375" s="17" t="s">
        <v>5947</v>
      </c>
      <c r="D375" s="17" t="s">
        <v>31939</v>
      </c>
      <c r="E375" s="10">
        <v>3061692</v>
      </c>
      <c r="F375" s="4" t="str">
        <f>IF(B375=B374,"",B375)</f>
        <v>Žďár nad Sázavou Druhy</v>
      </c>
    </row>
    <row r="376" spans="1:6" ht="15.75" customHeight="1">
      <c r="A376" s="5" t="str">
        <f ca="1">IFERROR(__xludf.DUMMYFUNCTION("GOOGLETRANSLATE(B27246,""en"",""pt"")"),"Žďár Nad Sázavou")</f>
        <v>Žďár Nad Sázavou</v>
      </c>
      <c r="B376" s="17" t="s">
        <v>31940</v>
      </c>
      <c r="C376" s="17" t="s">
        <v>5947</v>
      </c>
      <c r="D376" s="17" t="s">
        <v>31939</v>
      </c>
      <c r="E376" s="10">
        <v>3061695</v>
      </c>
      <c r="F376" s="4" t="str">
        <f>IF(B376=B375,"",B376)</f>
        <v>Žďár nad Sázavou</v>
      </c>
    </row>
    <row r="377" spans="1:6" ht="15.75" customHeight="1">
      <c r="A377" s="6" t="s">
        <v>16772</v>
      </c>
      <c r="B377" s="6" t="s">
        <v>16772</v>
      </c>
      <c r="C377" s="6" t="s">
        <v>16671</v>
      </c>
      <c r="D377" s="6" t="s">
        <v>16697</v>
      </c>
      <c r="E377" s="2">
        <v>1517060</v>
      </c>
      <c r="F377" s="4" t="str">
        <f>IF(B377=B376,"",B377)</f>
        <v>Zaysan</v>
      </c>
    </row>
    <row r="378" spans="1:6" ht="15.75" customHeight="1">
      <c r="A378" s="5" t="str">
        <f ca="1">IFERROR(__xludf.DUMMYFUNCTION("GOOGLETRANSLATE(B36205,""en"",""pt"")"),"Zaysan")</f>
        <v>Zaysan</v>
      </c>
      <c r="B378" s="17" t="s">
        <v>16772</v>
      </c>
      <c r="C378" s="17" t="s">
        <v>16671</v>
      </c>
      <c r="D378" s="17" t="s">
        <v>16697</v>
      </c>
      <c r="E378" s="10">
        <v>1517060</v>
      </c>
      <c r="F378" s="4" t="str">
        <f>IF(B378=B377,"",B378)</f>
        <v/>
      </c>
    </row>
    <row r="379" spans="1:6" ht="15.75" customHeight="1">
      <c r="A379" s="6" t="s">
        <v>14725</v>
      </c>
      <c r="B379" s="6" t="s">
        <v>14725</v>
      </c>
      <c r="C379" s="6" t="s">
        <v>14594</v>
      </c>
      <c r="D379" s="6" t="s">
        <v>14680</v>
      </c>
      <c r="E379" s="2">
        <v>89570</v>
      </c>
      <c r="F379" s="4" t="str">
        <f>IF(B379=B378,"",B379)</f>
        <v>Zaxo</v>
      </c>
    </row>
    <row r="380" spans="1:6" ht="15.75" customHeight="1">
      <c r="A380" s="5" t="str">
        <f ca="1">IFERROR(__xludf.DUMMYFUNCTION("GOOGLETRANSLATE(B34272,""en"",""pt"")"),"Zaxo")</f>
        <v>Zaxo</v>
      </c>
      <c r="B380" s="17" t="s">
        <v>14725</v>
      </c>
      <c r="C380" s="17" t="s">
        <v>14594</v>
      </c>
      <c r="D380" s="17" t="s">
        <v>34066</v>
      </c>
      <c r="E380" s="10">
        <v>89570</v>
      </c>
      <c r="F380" s="4" t="str">
        <f>IF(B380=B379,"",B380)</f>
        <v/>
      </c>
    </row>
    <row r="381" spans="1:6" ht="15.75" customHeight="1">
      <c r="A381" s="6" t="s">
        <v>17146</v>
      </c>
      <c r="B381" s="6" t="s">
        <v>17146</v>
      </c>
      <c r="C381" s="6" t="s">
        <v>17074</v>
      </c>
      <c r="D381" s="6" t="s">
        <v>17098</v>
      </c>
      <c r="E381" s="2">
        <v>2216885</v>
      </c>
      <c r="F381" s="4" t="str">
        <f>IF(B381=B380,"",B381)</f>
        <v>Zawiya</v>
      </c>
    </row>
    <row r="382" spans="1:6" ht="15.75" customHeight="1">
      <c r="A382" s="5" t="str">
        <f ca="1">IFERROR(__xludf.DUMMYFUNCTION("GOOGLETRANSLATE(B36443,""en"",""pt"")"),"Zawiya")</f>
        <v>Zawiya</v>
      </c>
      <c r="B382" s="17" t="s">
        <v>17146</v>
      </c>
      <c r="C382" s="17" t="s">
        <v>17074</v>
      </c>
      <c r="D382" s="17" t="s">
        <v>34569</v>
      </c>
      <c r="E382" s="10">
        <v>2216885</v>
      </c>
      <c r="F382" s="4" t="str">
        <f>IF(B382=B381,"",B382)</f>
        <v/>
      </c>
    </row>
    <row r="383" spans="1:6" ht="15.75" customHeight="1">
      <c r="A383" s="6" t="s">
        <v>21596</v>
      </c>
      <c r="B383" s="6" t="s">
        <v>21596</v>
      </c>
      <c r="C383" s="6" t="s">
        <v>21064</v>
      </c>
      <c r="D383" s="6" t="s">
        <v>21073</v>
      </c>
      <c r="E383" s="2">
        <v>3080526</v>
      </c>
      <c r="F383" s="4" t="str">
        <f>IF(B383=B382,"",B383)</f>
        <v>Zawiercie</v>
      </c>
    </row>
    <row r="384" spans="1:6" ht="15.75" customHeight="1">
      <c r="A384" s="5" t="str">
        <f ca="1">IFERROR(__xludf.DUMMYFUNCTION("GOOGLETRANSLATE(B39307,""en"",""pt"")"),"Zawiercie")</f>
        <v>Zawiercie</v>
      </c>
      <c r="B384" s="17" t="s">
        <v>21596</v>
      </c>
      <c r="C384" s="17" t="s">
        <v>21064</v>
      </c>
      <c r="D384" s="17" t="s">
        <v>21073</v>
      </c>
      <c r="E384" s="10">
        <v>3080526</v>
      </c>
      <c r="F384" s="4" t="str">
        <f>IF(B384=B383,"",B384)</f>
        <v/>
      </c>
    </row>
    <row r="385" spans="1:6" ht="15.75" customHeight="1">
      <c r="A385" s="5" t="s">
        <v>23379</v>
      </c>
      <c r="B385" s="6" t="s">
        <v>23380</v>
      </c>
      <c r="C385" s="5" t="s">
        <v>22070</v>
      </c>
      <c r="D385" s="5" t="s">
        <v>22161</v>
      </c>
      <c r="E385" s="2">
        <v>464101</v>
      </c>
      <c r="F385" s="4" t="str">
        <f>IF(B385=B384,"",B385)</f>
        <v>Zavolzhâ€™ye</v>
      </c>
    </row>
    <row r="386" spans="1:6" ht="15.75" customHeight="1">
      <c r="A386" s="5" t="str">
        <f ca="1">IFERROR(__xludf.DUMMYFUNCTION("GOOGLETRANSLATE(B39928,""en"",""pt"")"),"Zavolzh'ye")</f>
        <v>Zavolzh'ye</v>
      </c>
      <c r="B386" s="17" t="s">
        <v>35428</v>
      </c>
      <c r="C386" s="17" t="s">
        <v>22070</v>
      </c>
      <c r="D386" s="17" t="s">
        <v>22161</v>
      </c>
      <c r="E386" s="10">
        <v>464101</v>
      </c>
      <c r="F386" s="4" t="str">
        <f>IF(B386=B385,"",B386)</f>
        <v>Zavolzh’ye</v>
      </c>
    </row>
    <row r="387" spans="1:6" ht="15.75" customHeight="1">
      <c r="A387" s="5" t="s">
        <v>23378</v>
      </c>
      <c r="B387" s="6" t="s">
        <v>23378</v>
      </c>
      <c r="C387" s="5" t="s">
        <v>22070</v>
      </c>
      <c r="D387" s="5" t="s">
        <v>22265</v>
      </c>
      <c r="E387" s="2">
        <v>1485357</v>
      </c>
      <c r="F387" s="4" t="str">
        <f>IF(B387=B386,"",B387)</f>
        <v>Zavodoukovsk</v>
      </c>
    </row>
    <row r="388" spans="1:6" ht="15.75" customHeight="1">
      <c r="A388" s="5" t="str">
        <f ca="1">IFERROR(__xludf.DUMMYFUNCTION("GOOGLETRANSLATE(B40713,""en"",""pt"")"),"Zavodoukovsk")</f>
        <v>Zavodoukovsk</v>
      </c>
      <c r="B388" s="17" t="s">
        <v>23378</v>
      </c>
      <c r="C388" s="17" t="s">
        <v>22070</v>
      </c>
      <c r="D388" s="17" t="s">
        <v>22265</v>
      </c>
      <c r="E388" s="10">
        <v>1485357</v>
      </c>
      <c r="F388" s="4" t="str">
        <f>IF(B388=B387,"",B388)</f>
        <v/>
      </c>
    </row>
    <row r="389" spans="1:6" ht="15.75" customHeight="1">
      <c r="A389" s="5" t="s">
        <v>1723</v>
      </c>
      <c r="B389" s="6" t="s">
        <v>1723</v>
      </c>
      <c r="C389" s="5" t="s">
        <v>1512</v>
      </c>
      <c r="D389" s="5" t="s">
        <v>1513</v>
      </c>
      <c r="E389" s="2">
        <v>2783310</v>
      </c>
      <c r="F389" s="4" t="str">
        <f>IF(B389=B388,"",B389)</f>
        <v>Zaventem</v>
      </c>
    </row>
    <row r="390" spans="1:6" ht="15.75" customHeight="1">
      <c r="A390" s="5" t="str">
        <f ca="1">IFERROR(__xludf.DUMMYFUNCTION("GOOGLETRANSLATE(B23799,""en"",""pt"")"),"Zaventem")</f>
        <v>Zaventem</v>
      </c>
      <c r="B390" s="17" t="s">
        <v>1723</v>
      </c>
      <c r="C390" s="17" t="s">
        <v>1512</v>
      </c>
      <c r="D390" s="17" t="s">
        <v>1513</v>
      </c>
      <c r="E390" s="10">
        <v>2783310</v>
      </c>
      <c r="F390" s="4" t="str">
        <f>IF(B390=B389,"",B390)</f>
        <v/>
      </c>
    </row>
    <row r="391" spans="1:6" ht="15.75" customHeight="1">
      <c r="A391" s="5" t="str">
        <f ca="1">IFERROR(__xludf.DUMMYFUNCTION("GOOGLETRANSLATE(B27247,""en"",""pt"")"),"Žatec")</f>
        <v>Žatec</v>
      </c>
      <c r="B391" s="17" t="s">
        <v>31941</v>
      </c>
      <c r="C391" s="17" t="s">
        <v>5947</v>
      </c>
      <c r="D391" s="17" t="s">
        <v>31942</v>
      </c>
      <c r="E391" s="10">
        <v>3061822</v>
      </c>
      <c r="F391" s="4" t="str">
        <f>IF(B391=B390,"",B391)</f>
        <v>Žatec</v>
      </c>
    </row>
    <row r="392" spans="1:6" ht="15.75" customHeight="1">
      <c r="A392" s="6" t="s">
        <v>26197</v>
      </c>
      <c r="B392" s="6" t="s">
        <v>26197</v>
      </c>
      <c r="C392" s="6" t="s">
        <v>26090</v>
      </c>
      <c r="D392" s="6" t="s">
        <v>26140</v>
      </c>
      <c r="E392" s="2">
        <v>2470173</v>
      </c>
      <c r="F392" s="4" t="str">
        <f>IF(B392=B391,"",B392)</f>
        <v>Zarzis</v>
      </c>
    </row>
    <row r="393" spans="1:6" ht="15.75" customHeight="1">
      <c r="A393" s="5" t="str">
        <f ca="1">IFERROR(__xludf.DUMMYFUNCTION("GOOGLETRANSLATE(B41828,""en"",""pt"")"),"Zarzis")</f>
        <v>Zarzis</v>
      </c>
      <c r="B393" s="17" t="s">
        <v>26197</v>
      </c>
      <c r="C393" s="17" t="s">
        <v>26090</v>
      </c>
      <c r="D393" s="17" t="s">
        <v>35807</v>
      </c>
      <c r="E393" s="10">
        <v>2470173</v>
      </c>
      <c r="F393" s="4" t="str">
        <f>IF(B393=B392,"",B393)</f>
        <v/>
      </c>
    </row>
    <row r="394" spans="1:6" ht="15.75" customHeight="1">
      <c r="A394" s="6" t="s">
        <v>5653</v>
      </c>
      <c r="B394" s="6" t="s">
        <v>5653</v>
      </c>
      <c r="C394" s="6" t="s">
        <v>5348</v>
      </c>
      <c r="D394" s="6" t="s">
        <v>5360</v>
      </c>
      <c r="E394" s="2">
        <v>3665559</v>
      </c>
      <c r="F394" s="4" t="str">
        <f>IF(B394=B393,"",B394)</f>
        <v>Zarzal</v>
      </c>
    </row>
    <row r="395" spans="1:6" ht="15.75" customHeight="1">
      <c r="A395" s="5" t="str">
        <f ca="1">IFERROR(__xludf.DUMMYFUNCTION("GOOGLETRANSLATE(B26844,""en"",""pt"")"),"Zarzal")</f>
        <v>Zarzal</v>
      </c>
      <c r="B395" s="17" t="s">
        <v>5653</v>
      </c>
      <c r="C395" s="17" t="s">
        <v>5348</v>
      </c>
      <c r="D395" s="17" t="s">
        <v>5360</v>
      </c>
      <c r="E395" s="10">
        <v>3665559</v>
      </c>
      <c r="F395" s="4" t="str">
        <f>IF(B395=B394,"",B395)</f>
        <v/>
      </c>
    </row>
    <row r="396" spans="1:6" ht="15.75" customHeight="1">
      <c r="A396" s="6" t="s">
        <v>23377</v>
      </c>
      <c r="B396" s="6" t="s">
        <v>23377</v>
      </c>
      <c r="C396" s="6" t="s">
        <v>22070</v>
      </c>
      <c r="D396" s="6" t="s">
        <v>22119</v>
      </c>
      <c r="E396" s="2">
        <v>7117880</v>
      </c>
      <c r="F396" s="4" t="str">
        <f>IF(B396=B395,"",B396)</f>
        <v>Zarya</v>
      </c>
    </row>
    <row r="397" spans="1:6" ht="15.75" customHeight="1">
      <c r="A397" s="5" t="str">
        <f ca="1">IFERROR(__xludf.DUMMYFUNCTION("GOOGLETRANSLATE(B40977,""en"",""pt"")"),"Zarya")</f>
        <v>Zarya</v>
      </c>
      <c r="B397" s="17" t="s">
        <v>23377</v>
      </c>
      <c r="C397" s="17" t="s">
        <v>22070</v>
      </c>
      <c r="D397" s="17" t="s">
        <v>22119</v>
      </c>
      <c r="E397" s="10">
        <v>7117880</v>
      </c>
      <c r="F397" s="4" t="str">
        <f>IF(B397=B396,"",B397)</f>
        <v/>
      </c>
    </row>
    <row r="398" spans="1:6" ht="15.75" customHeight="1">
      <c r="A398" s="5" t="str">
        <f ca="1">IFERROR(__xludf.DUMMYFUNCTION("GOOGLETRANSLATE(B39308,""en"",""pt"")"),"Żary")</f>
        <v>Żary</v>
      </c>
      <c r="B398" s="17" t="s">
        <v>35142</v>
      </c>
      <c r="C398" s="17" t="s">
        <v>21064</v>
      </c>
      <c r="D398" s="17" t="s">
        <v>21065</v>
      </c>
      <c r="E398" s="10">
        <v>3080644</v>
      </c>
      <c r="F398" s="4" t="str">
        <f>IF(B398=B397,"",B398)</f>
        <v>Żary</v>
      </c>
    </row>
    <row r="399" spans="1:6" ht="15.75" customHeight="1">
      <c r="A399" s="6" t="s">
        <v>20596</v>
      </c>
      <c r="B399" s="6" t="s">
        <v>20596</v>
      </c>
      <c r="C399" s="6" t="s">
        <v>20470</v>
      </c>
      <c r="D399" s="6" t="s">
        <v>20589</v>
      </c>
      <c r="E399" s="2">
        <v>3818398</v>
      </c>
      <c r="F399" s="4" t="str">
        <f>IF(B399=B398,"",B399)</f>
        <v>Zarumilla</v>
      </c>
    </row>
    <row r="400" spans="1:6" ht="15.75" customHeight="1">
      <c r="A400" s="5" t="str">
        <f ca="1">IFERROR(__xludf.DUMMYFUNCTION("GOOGLETRANSLATE(B38353,""en"",""pt"")"),"Zarumilla")</f>
        <v>Zarumilla</v>
      </c>
      <c r="B400" s="17" t="s">
        <v>20596</v>
      </c>
      <c r="C400" s="17" t="s">
        <v>20470</v>
      </c>
      <c r="D400" s="17" t="s">
        <v>20589</v>
      </c>
      <c r="E400" s="10">
        <v>3818398</v>
      </c>
      <c r="F400" s="4" t="str">
        <f>IF(B400=B399,"",B400)</f>
        <v/>
      </c>
    </row>
    <row r="401" spans="1:6" ht="15.75" customHeight="1">
      <c r="A401" s="6" t="s">
        <v>16662</v>
      </c>
      <c r="B401" s="6" t="s">
        <v>16662</v>
      </c>
      <c r="C401" s="6" t="s">
        <v>16624</v>
      </c>
      <c r="D401" s="6" t="s">
        <v>16662</v>
      </c>
      <c r="E401" s="2">
        <v>250090</v>
      </c>
      <c r="F401" s="4" t="str">
        <f>IF(B401=B400,"",B401)</f>
        <v>Zarqa</v>
      </c>
    </row>
    <row r="402" spans="1:6" ht="15.75" customHeight="1">
      <c r="A402" s="5" t="str">
        <f ca="1">IFERROR(__xludf.DUMMYFUNCTION("GOOGLETRANSLATE(B35132,""en"",""pt"")"),"Zarqa")</f>
        <v>Zarqa</v>
      </c>
      <c r="B402" s="17" t="s">
        <v>16662</v>
      </c>
      <c r="C402" s="17" t="s">
        <v>16624</v>
      </c>
      <c r="D402" s="17" t="s">
        <v>16662</v>
      </c>
      <c r="E402" s="10">
        <v>250090</v>
      </c>
      <c r="F402" s="4" t="str">
        <f>IF(B402=B401,"",B402)</f>
        <v/>
      </c>
    </row>
    <row r="403" spans="1:6" ht="15.75" customHeight="1">
      <c r="A403" s="5" t="str">
        <f ca="1">IFERROR(__xludf.DUMMYFUNCTION("GOOGLETRANSLATE(B39723,""en"",""pt"")"),"Zărnești")</f>
        <v>Zărnești</v>
      </c>
      <c r="B403" s="17" t="s">
        <v>35329</v>
      </c>
      <c r="C403" s="17" t="s">
        <v>21824</v>
      </c>
      <c r="D403" s="17" t="s">
        <v>35330</v>
      </c>
      <c r="E403" s="10">
        <v>662284</v>
      </c>
      <c r="F403" s="4" t="str">
        <f>IF(B403=B402,"",B403)</f>
        <v>Zărnești</v>
      </c>
    </row>
    <row r="404" spans="1:6" ht="15.75" customHeight="1">
      <c r="A404" s="6" t="s">
        <v>23376</v>
      </c>
      <c r="B404" s="6" t="s">
        <v>23376</v>
      </c>
      <c r="C404" s="6" t="s">
        <v>22070</v>
      </c>
      <c r="D404" s="6" t="s">
        <v>22124</v>
      </c>
      <c r="E404" s="2">
        <v>1485439</v>
      </c>
      <c r="F404" s="4" t="str">
        <f>IF(B404=B403,"",B404)</f>
        <v>Zarinsk</v>
      </c>
    </row>
    <row r="405" spans="1:6" ht="15.75" customHeight="1">
      <c r="A405" s="5" t="str">
        <f ca="1">IFERROR(__xludf.DUMMYFUNCTION("GOOGLETRANSLATE(B40714,""en"",""pt"")"),"Zarinsk")</f>
        <v>Zarinsk</v>
      </c>
      <c r="B405" s="17" t="s">
        <v>23376</v>
      </c>
      <c r="C405" s="17" t="s">
        <v>22070</v>
      </c>
      <c r="D405" s="17" t="s">
        <v>22124</v>
      </c>
      <c r="E405" s="10">
        <v>1485439</v>
      </c>
      <c r="F405" s="4" t="str">
        <f>IF(B405=B404,"",B405)</f>
        <v/>
      </c>
    </row>
    <row r="406" spans="1:6" ht="15.75" customHeight="1">
      <c r="A406" s="6" t="s">
        <v>19583</v>
      </c>
      <c r="B406" s="6" t="s">
        <v>19583</v>
      </c>
      <c r="C406" s="6" t="s">
        <v>19294</v>
      </c>
      <c r="D406" s="6" t="s">
        <v>19320</v>
      </c>
      <c r="E406" s="2">
        <v>2317765</v>
      </c>
      <c r="F406" s="4" t="str">
        <f>IF(B406=B405,"",B406)</f>
        <v>Zaria</v>
      </c>
    </row>
    <row r="407" spans="1:6" ht="15.75" customHeight="1">
      <c r="A407" s="5" t="str">
        <f ca="1">IFERROR(__xludf.DUMMYFUNCTION("GOOGLETRANSLATE(B37609,""en"",""pt"")"),"Zaria")</f>
        <v>Zaria</v>
      </c>
      <c r="B407" s="17" t="s">
        <v>19583</v>
      </c>
      <c r="C407" s="17" t="s">
        <v>19294</v>
      </c>
      <c r="D407" s="17" t="s">
        <v>19320</v>
      </c>
      <c r="E407" s="10">
        <v>2317765</v>
      </c>
      <c r="F407" s="4" t="str">
        <f>IF(B407=B406,"",B407)</f>
        <v/>
      </c>
    </row>
    <row r="408" spans="1:6" ht="15.75" customHeight="1">
      <c r="A408" s="5" t="s">
        <v>23375</v>
      </c>
      <c r="B408" s="6" t="s">
        <v>23375</v>
      </c>
      <c r="C408" s="5" t="s">
        <v>22070</v>
      </c>
      <c r="D408" s="5" t="s">
        <v>22649</v>
      </c>
      <c r="E408" s="2">
        <v>464625</v>
      </c>
      <c r="F408" s="4" t="str">
        <f>IF(B408=B407,"",B408)</f>
        <v>Zarechnyy</v>
      </c>
    </row>
    <row r="409" spans="1:6" ht="15.75" customHeight="1">
      <c r="A409" s="5" t="s">
        <v>23375</v>
      </c>
      <c r="B409" s="6" t="s">
        <v>23375</v>
      </c>
      <c r="C409" s="5" t="s">
        <v>22070</v>
      </c>
      <c r="D409" s="5" t="s">
        <v>22649</v>
      </c>
      <c r="E409" s="2">
        <v>831165</v>
      </c>
      <c r="F409" s="4" t="str">
        <f>IF(B409=B408,"",B409)</f>
        <v/>
      </c>
    </row>
    <row r="410" spans="1:6" ht="15.75" customHeight="1">
      <c r="A410" s="5" t="s">
        <v>23375</v>
      </c>
      <c r="B410" s="6" t="s">
        <v>23375</v>
      </c>
      <c r="C410" s="5" t="s">
        <v>22070</v>
      </c>
      <c r="D410" s="5" t="s">
        <v>22106</v>
      </c>
      <c r="E410" s="2">
        <v>1485445</v>
      </c>
      <c r="F410" s="4" t="str">
        <f>IF(B410=B409,"",B410)</f>
        <v/>
      </c>
    </row>
    <row r="411" spans="1:6" ht="15.75" customHeight="1">
      <c r="A411" s="5" t="str">
        <f ca="1">IFERROR(__xludf.DUMMYFUNCTION("GOOGLETRANSLATE(B39929,""en"",""pt"")"),"Zarechnyy")</f>
        <v>Zarechnyy</v>
      </c>
      <c r="B411" s="17" t="s">
        <v>23375</v>
      </c>
      <c r="C411" s="17" t="s">
        <v>22070</v>
      </c>
      <c r="D411" s="17" t="s">
        <v>22649</v>
      </c>
      <c r="E411" s="10">
        <v>464625</v>
      </c>
      <c r="F411" s="4" t="str">
        <f>IF(B411=B410,"",B411)</f>
        <v/>
      </c>
    </row>
    <row r="412" spans="1:6" ht="15.75" customHeight="1">
      <c r="A412" s="5" t="str">
        <f ca="1">IFERROR(__xludf.DUMMYFUNCTION("GOOGLETRANSLATE(B40706,""en"",""pt"")"),"Zarechnyy")</f>
        <v>Zarechnyy</v>
      </c>
      <c r="B412" s="17" t="s">
        <v>23375</v>
      </c>
      <c r="C412" s="17" t="s">
        <v>22070</v>
      </c>
      <c r="D412" s="17" t="s">
        <v>22649</v>
      </c>
      <c r="E412" s="10">
        <v>831165</v>
      </c>
      <c r="F412" s="4" t="str">
        <f>IF(B412=B411,"",B412)</f>
        <v/>
      </c>
    </row>
    <row r="413" spans="1:6" ht="15.75" customHeight="1">
      <c r="A413" s="5" t="str">
        <f ca="1">IFERROR(__xludf.DUMMYFUNCTION("GOOGLETRANSLATE(B40715,""en"",""pt"")"),"Zarechnyy")</f>
        <v>Zarechnyy</v>
      </c>
      <c r="B413" s="17" t="s">
        <v>23375</v>
      </c>
      <c r="C413" s="17" t="s">
        <v>22070</v>
      </c>
      <c r="D413" s="17" t="s">
        <v>22106</v>
      </c>
      <c r="E413" s="10">
        <v>1485445</v>
      </c>
      <c r="F413" s="4" t="str">
        <f>IF(B413=B412,"",B413)</f>
        <v/>
      </c>
    </row>
    <row r="414" spans="1:6" ht="15.75" customHeight="1">
      <c r="A414" s="6" t="s">
        <v>30781</v>
      </c>
      <c r="B414" s="6" t="s">
        <v>30781</v>
      </c>
      <c r="C414" s="6" t="s">
        <v>5923</v>
      </c>
      <c r="D414" s="6" t="s">
        <v>30637</v>
      </c>
      <c r="E414" s="2">
        <v>3625066</v>
      </c>
      <c r="F414" s="4" t="str">
        <f>IF(B414=B413,"",B414)</f>
        <v>Zaraza</v>
      </c>
    </row>
    <row r="415" spans="1:6" ht="15.75" customHeight="1">
      <c r="A415" s="5" t="str">
        <f ca="1">IFERROR(__xludf.DUMMYFUNCTION("GOOGLETRANSLATE(B45602,""en"",""pt"")"),"Zaraza")</f>
        <v>Zaraza</v>
      </c>
      <c r="B415" s="17" t="s">
        <v>30781</v>
      </c>
      <c r="C415" s="17" t="s">
        <v>5923</v>
      </c>
      <c r="D415" s="17" t="s">
        <v>36082</v>
      </c>
      <c r="E415" s="10">
        <v>3625066</v>
      </c>
      <c r="F415" s="4" t="str">
        <f>IF(B415=B414,"",B415)</f>
        <v/>
      </c>
    </row>
    <row r="416" spans="1:6" ht="15.75" customHeight="1">
      <c r="A416" s="6" t="s">
        <v>23374</v>
      </c>
      <c r="B416" s="6" t="s">
        <v>23374</v>
      </c>
      <c r="C416" s="6" t="s">
        <v>22070</v>
      </c>
      <c r="D416" s="6" t="s">
        <v>22119</v>
      </c>
      <c r="E416" s="2">
        <v>464687</v>
      </c>
      <c r="F416" s="4" t="str">
        <f>IF(B416=B415,"",B416)</f>
        <v>Zaraysk</v>
      </c>
    </row>
    <row r="417" spans="1:6" ht="15.75" customHeight="1">
      <c r="A417" s="5" t="str">
        <f ca="1">IFERROR(__xludf.DUMMYFUNCTION("GOOGLETRANSLATE(B39930,""en"",""pt"")"),"Zaraysk")</f>
        <v>Zaraysk</v>
      </c>
      <c r="B417" s="17" t="s">
        <v>23374</v>
      </c>
      <c r="C417" s="17" t="s">
        <v>22070</v>
      </c>
      <c r="D417" s="17" t="s">
        <v>22119</v>
      </c>
      <c r="E417" s="10">
        <v>464687</v>
      </c>
      <c r="F417" s="4" t="str">
        <f>IF(B417=B416,"",B417)</f>
        <v/>
      </c>
    </row>
    <row r="418" spans="1:6" ht="15.75" customHeight="1">
      <c r="A418" s="6" t="s">
        <v>24921</v>
      </c>
      <c r="B418" s="6" t="s">
        <v>24921</v>
      </c>
      <c r="C418" s="6" t="s">
        <v>24200</v>
      </c>
      <c r="D418" s="6" t="s">
        <v>24249</v>
      </c>
      <c r="E418" s="2">
        <v>3104316</v>
      </c>
      <c r="F418" s="4" t="str">
        <f>IF(B418=B417,"",B418)</f>
        <v>Zarautz</v>
      </c>
    </row>
    <row r="419" spans="1:6" ht="15.75" customHeight="1">
      <c r="A419" s="5" t="str">
        <f ca="1">IFERROR(__xludf.DUMMYFUNCTION("GOOGLETRANSLATE(B29228,""en"",""pt"")"),"Zarautz")</f>
        <v>Zarautz</v>
      </c>
      <c r="B419" s="17" t="s">
        <v>24921</v>
      </c>
      <c r="C419" s="17" t="s">
        <v>24200</v>
      </c>
      <c r="D419" s="17" t="s">
        <v>24249</v>
      </c>
      <c r="E419" s="10">
        <v>3104316</v>
      </c>
      <c r="F419" s="4" t="str">
        <f>IF(B419=B418,"",B419)</f>
        <v/>
      </c>
    </row>
    <row r="420" spans="1:6" ht="15.75" customHeight="1">
      <c r="A420" s="5" t="str">
        <f ca="1">IFERROR(__xludf.DUMMYFUNCTION("GOOGLETRANSLATE(B23168,""en"",""pt"")"),"Zárate")</f>
        <v>Zárate</v>
      </c>
      <c r="B420" s="17" t="s">
        <v>31164</v>
      </c>
      <c r="C420" s="17" t="s">
        <v>558</v>
      </c>
      <c r="D420" s="17" t="s">
        <v>562</v>
      </c>
      <c r="E420" s="10">
        <v>3427213</v>
      </c>
      <c r="F420" s="4" t="str">
        <f>IF(B420=B419,"",B420)</f>
        <v>Zárate</v>
      </c>
    </row>
    <row r="421" spans="1:6" ht="15.75" customHeight="1">
      <c r="A421" s="6" t="s">
        <v>108</v>
      </c>
      <c r="B421" s="6" t="s">
        <v>108</v>
      </c>
      <c r="C421" s="6" t="s">
        <v>8</v>
      </c>
      <c r="D421" s="6" t="s">
        <v>65</v>
      </c>
      <c r="E421" s="2">
        <v>1120985</v>
      </c>
      <c r="F421" s="4" t="str">
        <f>IF(B421=B420,"",B421)</f>
        <v>Zaranj</v>
      </c>
    </row>
    <row r="422" spans="1:6" ht="15.75" customHeight="1">
      <c r="A422" s="5" t="str">
        <f ca="1">IFERROR(__xludf.DUMMYFUNCTION("GOOGLETRANSLATE(B23054,""en"",""pt"")"),"Zaranj")</f>
        <v>Zaranj</v>
      </c>
      <c r="B422" s="17" t="s">
        <v>108</v>
      </c>
      <c r="C422" s="17" t="s">
        <v>8</v>
      </c>
      <c r="D422" s="17" t="s">
        <v>31107</v>
      </c>
      <c r="E422" s="10">
        <v>1120985</v>
      </c>
      <c r="F422" s="4" t="str">
        <f>IF(B422=B421,"",B422)</f>
        <v/>
      </c>
    </row>
    <row r="423" spans="1:6" ht="15.75" customHeight="1">
      <c r="A423" s="6" t="s">
        <v>14591</v>
      </c>
      <c r="B423" s="6" t="s">
        <v>14591</v>
      </c>
      <c r="C423" s="6" t="s">
        <v>14240</v>
      </c>
      <c r="D423" s="6" t="s">
        <v>14317</v>
      </c>
      <c r="E423" s="2">
        <v>111421</v>
      </c>
      <c r="F423" s="4" t="str">
        <f>IF(B423=B422,"",B423)</f>
        <v>Zarand</v>
      </c>
    </row>
    <row r="424" spans="1:6" ht="15.75" customHeight="1">
      <c r="A424" s="5" t="str">
        <f ca="1">IFERROR(__xludf.DUMMYFUNCTION("GOOGLETRANSLATE(B34349,""en"",""pt"")"),"Zarand")</f>
        <v>Zarand</v>
      </c>
      <c r="B424" s="17" t="s">
        <v>14591</v>
      </c>
      <c r="C424" s="17" t="s">
        <v>14240</v>
      </c>
      <c r="D424" s="17" t="s">
        <v>14317</v>
      </c>
      <c r="E424" s="10">
        <v>111421</v>
      </c>
      <c r="F424" s="4" t="str">
        <f>IF(B424=B423,"",B424)</f>
        <v/>
      </c>
    </row>
    <row r="425" spans="1:6" ht="15.75" customHeight="1">
      <c r="A425" s="6" t="s">
        <v>5652</v>
      </c>
      <c r="B425" s="6" t="s">
        <v>5652</v>
      </c>
      <c r="C425" s="6" t="s">
        <v>5348</v>
      </c>
      <c r="D425" s="6" t="s">
        <v>5362</v>
      </c>
      <c r="E425" s="2">
        <v>3665566</v>
      </c>
      <c r="F425" s="4" t="str">
        <f>IF(B425=B424,"",B425)</f>
        <v>Zaragoza</v>
      </c>
    </row>
    <row r="426" spans="1:6" ht="15.75" customHeight="1">
      <c r="A426" s="6" t="s">
        <v>5652</v>
      </c>
      <c r="B426" s="6" t="s">
        <v>5652</v>
      </c>
      <c r="C426" s="6" t="s">
        <v>24200</v>
      </c>
      <c r="D426" s="6" t="s">
        <v>24226</v>
      </c>
      <c r="E426" s="2">
        <v>3104324</v>
      </c>
      <c r="F426" s="4" t="str">
        <f>IF(B426=B425,"",B426)</f>
        <v/>
      </c>
    </row>
    <row r="427" spans="1:6" ht="15.75" customHeight="1">
      <c r="A427" s="5" t="str">
        <f ca="1">IFERROR(__xludf.DUMMYFUNCTION("GOOGLETRANSLATE(B26845,""en"",""pt"")"),"Zaragoza")</f>
        <v>Zaragoza</v>
      </c>
      <c r="B427" s="17" t="s">
        <v>5652</v>
      </c>
      <c r="C427" s="17" t="s">
        <v>5348</v>
      </c>
      <c r="D427" s="17" t="s">
        <v>5362</v>
      </c>
      <c r="E427" s="10">
        <v>3665566</v>
      </c>
      <c r="F427" s="4" t="str">
        <f>IF(B427=B426,"",B427)</f>
        <v/>
      </c>
    </row>
    <row r="428" spans="1:6" ht="15.75" customHeight="1">
      <c r="A428" s="5" t="str">
        <f ca="1">IFERROR(__xludf.DUMMYFUNCTION("GOOGLETRANSLATE(B29229,""en"",""pt"")"),"Zaragoza")</f>
        <v>Zaragoza</v>
      </c>
      <c r="B428" s="17" t="s">
        <v>5652</v>
      </c>
      <c r="C428" s="17" t="s">
        <v>24200</v>
      </c>
      <c r="D428" s="17" t="s">
        <v>24226</v>
      </c>
      <c r="E428" s="10">
        <v>3104324</v>
      </c>
      <c r="F428" s="4" t="str">
        <f>IF(B428=B427,"",B428)</f>
        <v/>
      </c>
    </row>
    <row r="429" spans="1:6" ht="15.75" customHeight="1">
      <c r="A429" s="6" t="s">
        <v>1271</v>
      </c>
      <c r="B429" s="6" t="s">
        <v>1271</v>
      </c>
      <c r="C429" s="6" t="s">
        <v>1170</v>
      </c>
      <c r="D429" s="6" t="s">
        <v>1271</v>
      </c>
      <c r="E429" s="2">
        <v>584596</v>
      </c>
      <c r="F429" s="4" t="str">
        <f>IF(B429=B428,"",B429)</f>
        <v>Zaqatala</v>
      </c>
    </row>
    <row r="430" spans="1:6" ht="15.75" customHeight="1">
      <c r="A430" s="5" t="str">
        <f ca="1">IFERROR(__xludf.DUMMYFUNCTION("GOOGLETRANSLATE(B23631,""en"",""pt"")"),"Zaqatala")</f>
        <v>Zaqatala</v>
      </c>
      <c r="B430" s="17" t="s">
        <v>1271</v>
      </c>
      <c r="C430" s="17" t="s">
        <v>1170</v>
      </c>
      <c r="D430" s="17" t="s">
        <v>1271</v>
      </c>
      <c r="E430" s="10">
        <v>584596</v>
      </c>
      <c r="F430" s="4" t="str">
        <f>IF(B430=B429,"",B430)</f>
        <v/>
      </c>
    </row>
    <row r="431" spans="1:6" ht="15.75" customHeight="1">
      <c r="A431" s="5" t="str">
        <f ca="1">IFERROR(__xludf.DUMMYFUNCTION("GOOGLETRANSLATE(B31187,""en"",""pt"")"),"Zaprešić")</f>
        <v>Zaprešić</v>
      </c>
      <c r="B431" s="17" t="s">
        <v>32802</v>
      </c>
      <c r="C431" s="17" t="s">
        <v>5711</v>
      </c>
      <c r="D431" s="17" t="s">
        <v>32803</v>
      </c>
      <c r="E431" s="10">
        <v>3186781</v>
      </c>
      <c r="F431" s="4" t="str">
        <f>IF(B431=B430,"",B431)</f>
        <v>Zaprešić</v>
      </c>
    </row>
    <row r="432" spans="1:6" ht="15.75" customHeight="1">
      <c r="A432" s="5" t="s">
        <v>5761</v>
      </c>
      <c r="B432" s="6" t="s">
        <v>5762</v>
      </c>
      <c r="C432" s="5" t="s">
        <v>5711</v>
      </c>
      <c r="D432" s="5" t="s">
        <v>5734</v>
      </c>
      <c r="E432" s="2">
        <v>3186781</v>
      </c>
      <c r="F432" s="4" t="str">
        <f>IF(B432=B431,"",B432)</f>
        <v>ZapreÅ¡iÄ‡</v>
      </c>
    </row>
    <row r="433" spans="1:6" ht="15.75" customHeight="1">
      <c r="A433" s="5" t="s">
        <v>18445</v>
      </c>
      <c r="B433" s="6" t="s">
        <v>18445</v>
      </c>
      <c r="C433" s="5" t="s">
        <v>17707</v>
      </c>
      <c r="D433" s="5" t="s">
        <v>17746</v>
      </c>
      <c r="E433" s="2">
        <v>3979717</v>
      </c>
      <c r="F433" s="4" t="str">
        <f>IF(B433=B432,"",B433)</f>
        <v>Zapotlanejo</v>
      </c>
    </row>
    <row r="434" spans="1:6" ht="15.75" customHeight="1">
      <c r="A434" s="5" t="str">
        <f ca="1">IFERROR(__xludf.DUMMYFUNCTION("GOOGLETRANSLATE(B37142,""en"",""pt"")"),"Zapotlanejo")</f>
        <v>Zapotlanejo</v>
      </c>
      <c r="B434" s="17" t="s">
        <v>18445</v>
      </c>
      <c r="C434" s="17" t="s">
        <v>17707</v>
      </c>
      <c r="D434" s="17" t="s">
        <v>17746</v>
      </c>
      <c r="E434" s="10">
        <v>3979717</v>
      </c>
      <c r="F434" s="4" t="str">
        <f>IF(B434=B433,"",B434)</f>
        <v/>
      </c>
    </row>
    <row r="435" spans="1:6" ht="15.75" customHeight="1">
      <c r="A435" s="6" t="s">
        <v>18444</v>
      </c>
      <c r="B435" s="6" t="s">
        <v>18444</v>
      </c>
      <c r="C435" s="6" t="s">
        <v>17707</v>
      </c>
      <c r="D435" s="6" t="s">
        <v>17746</v>
      </c>
      <c r="E435" s="2">
        <v>3979727</v>
      </c>
      <c r="F435" s="4" t="str">
        <f>IF(B435=B434,"",B435)</f>
        <v>Zapotiltic</v>
      </c>
    </row>
    <row r="436" spans="1:6" ht="15.75" customHeight="1">
      <c r="A436" s="5" t="str">
        <f ca="1">IFERROR(__xludf.DUMMYFUNCTION("GOOGLETRANSLATE(B37143,""en"",""pt"")"),"Zapotiltic")</f>
        <v>Zapotiltic</v>
      </c>
      <c r="B436" s="17" t="s">
        <v>18444</v>
      </c>
      <c r="C436" s="17" t="s">
        <v>17707</v>
      </c>
      <c r="D436" s="17" t="s">
        <v>17746</v>
      </c>
      <c r="E436" s="10">
        <v>3979727</v>
      </c>
      <c r="F436" s="4" t="str">
        <f>IF(B436=B435,"",B436)</f>
        <v/>
      </c>
    </row>
    <row r="437" spans="1:6" ht="15.75" customHeight="1">
      <c r="A437" s="5" t="s">
        <v>27201</v>
      </c>
      <c r="B437" s="6" t="s">
        <v>27201</v>
      </c>
      <c r="C437" s="5" t="s">
        <v>26870</v>
      </c>
      <c r="D437" s="5" t="s">
        <v>26898</v>
      </c>
      <c r="E437" s="2">
        <v>687700</v>
      </c>
      <c r="F437" s="4" t="str">
        <f>IF(B437=B436,"",B437)</f>
        <v>Zaporizhzhya</v>
      </c>
    </row>
    <row r="438" spans="1:6" ht="15.75" customHeight="1">
      <c r="A438" s="5" t="str">
        <f ca="1">IFERROR(__xludf.DUMMYFUNCTION("GOOGLETRANSLATE(B42480,""en"",""pt"")"),"Zaporizhzhya")</f>
        <v>Zaporizhzhya</v>
      </c>
      <c r="B438" s="17" t="s">
        <v>27201</v>
      </c>
      <c r="C438" s="17" t="s">
        <v>26870</v>
      </c>
      <c r="D438" s="17" t="s">
        <v>26898</v>
      </c>
      <c r="E438" s="10">
        <v>687700</v>
      </c>
      <c r="F438" s="4" t="str">
        <f>IF(B438=B437,"",B438)</f>
        <v/>
      </c>
    </row>
    <row r="439" spans="1:6" ht="15.75" customHeight="1">
      <c r="A439" s="6" t="s">
        <v>18443</v>
      </c>
      <c r="B439" s="6" t="s">
        <v>18443</v>
      </c>
      <c r="C439" s="6" t="s">
        <v>17707</v>
      </c>
      <c r="D439" s="6" t="s">
        <v>17746</v>
      </c>
      <c r="E439" s="2">
        <v>3979770</v>
      </c>
      <c r="F439" s="4" t="str">
        <f>IF(B439=B438,"",B439)</f>
        <v>Zapopan</v>
      </c>
    </row>
    <row r="440" spans="1:6" ht="15.75" customHeight="1">
      <c r="A440" s="5" t="str">
        <f ca="1">IFERROR(__xludf.DUMMYFUNCTION("GOOGLETRANSLATE(B37144,""en"",""pt"")"),"Zapopan")</f>
        <v>Zapopan</v>
      </c>
      <c r="B440" s="17" t="s">
        <v>18443</v>
      </c>
      <c r="C440" s="17" t="s">
        <v>17707</v>
      </c>
      <c r="D440" s="17" t="s">
        <v>17746</v>
      </c>
      <c r="E440" s="10">
        <v>3979770</v>
      </c>
      <c r="F440" s="4" t="str">
        <f>IF(B440=B439,"",B440)</f>
        <v/>
      </c>
    </row>
    <row r="441" spans="1:6" ht="15.75" customHeight="1">
      <c r="A441" s="5" t="s">
        <v>23373</v>
      </c>
      <c r="B441" s="6" t="s">
        <v>23373</v>
      </c>
      <c r="C441" s="5" t="s">
        <v>22070</v>
      </c>
      <c r="D441" s="5" t="s">
        <v>22143</v>
      </c>
      <c r="E441" s="2">
        <v>464790</v>
      </c>
      <c r="F441" s="4" t="str">
        <f>IF(B441=B440,"",B441)</f>
        <v>Zapolyarnyy</v>
      </c>
    </row>
    <row r="442" spans="1:6" ht="15.75" customHeight="1">
      <c r="A442" s="5" t="str">
        <f ca="1">IFERROR(__xludf.DUMMYFUNCTION("GOOGLETRANSLATE(B39931,""en"",""pt"")"),"Zapolyarnyy")</f>
        <v>Zapolyarnyy</v>
      </c>
      <c r="B442" s="17" t="s">
        <v>23373</v>
      </c>
      <c r="C442" s="17" t="s">
        <v>22070</v>
      </c>
      <c r="D442" s="17" t="s">
        <v>22143</v>
      </c>
      <c r="E442" s="10">
        <v>464790</v>
      </c>
      <c r="F442" s="4" t="str">
        <f>IF(B442=B441,"",B442)</f>
        <v/>
      </c>
    </row>
    <row r="443" spans="1:6" ht="15.75" customHeight="1">
      <c r="A443" s="6" t="s">
        <v>850</v>
      </c>
      <c r="B443" s="6" t="s">
        <v>850</v>
      </c>
      <c r="C443" s="6" t="s">
        <v>558</v>
      </c>
      <c r="D443" s="6" t="s">
        <v>607</v>
      </c>
      <c r="E443" s="2">
        <v>3832132</v>
      </c>
      <c r="F443" s="4" t="str">
        <f>IF(B443=B442,"",B443)</f>
        <v>Zapala</v>
      </c>
    </row>
    <row r="444" spans="1:6" ht="15.75" customHeight="1">
      <c r="A444" s="5" t="str">
        <f ca="1">IFERROR(__xludf.DUMMYFUNCTION("GOOGLETRANSLATE(B23232,""en"",""pt"")"),"Zapala")</f>
        <v>Zapala</v>
      </c>
      <c r="B444" s="17" t="s">
        <v>850</v>
      </c>
      <c r="C444" s="17" t="s">
        <v>558</v>
      </c>
      <c r="D444" s="17" t="s">
        <v>607</v>
      </c>
      <c r="E444" s="10">
        <v>3832132</v>
      </c>
      <c r="F444" s="4" t="str">
        <f>IF(B444=B443,"",B444)</f>
        <v/>
      </c>
    </row>
    <row r="445" spans="1:6" ht="15.75" customHeight="1">
      <c r="A445" s="5" t="s">
        <v>23372</v>
      </c>
      <c r="B445" s="6" t="s">
        <v>23372</v>
      </c>
      <c r="C445" s="5" t="s">
        <v>22070</v>
      </c>
      <c r="D445" s="5" t="s">
        <v>22127</v>
      </c>
      <c r="E445" s="2">
        <v>566809</v>
      </c>
      <c r="F445" s="4" t="str">
        <f>IF(B445=B444,"",B445)</f>
        <v>Zapadnoye Degunino</v>
      </c>
    </row>
    <row r="446" spans="1:6" ht="15.75" customHeight="1">
      <c r="A446" s="5" t="str">
        <f ca="1">IFERROR(__xludf.DUMMYFUNCTION("GOOGLETRANSLATE(B40576,""en"",""pt"")"),"Zapadnoye Degunino")</f>
        <v>Zapadnoye Degunino</v>
      </c>
      <c r="B446" s="17" t="s">
        <v>23372</v>
      </c>
      <c r="C446" s="17" t="s">
        <v>22070</v>
      </c>
      <c r="D446" s="17" t="s">
        <v>22127</v>
      </c>
      <c r="E446" s="10">
        <v>566809</v>
      </c>
      <c r="F446" s="4" t="str">
        <f>IF(B446=B445,"",B446)</f>
        <v/>
      </c>
    </row>
    <row r="447" spans="1:6" ht="15.75" customHeight="1">
      <c r="A447" s="5" t="s">
        <v>5296</v>
      </c>
      <c r="B447" s="6" t="s">
        <v>5296</v>
      </c>
      <c r="C447" s="5" t="s">
        <v>4487</v>
      </c>
      <c r="D447" s="5" t="s">
        <v>4503</v>
      </c>
      <c r="E447" s="2">
        <v>1785453</v>
      </c>
      <c r="F447" s="4" t="str">
        <f>IF(B447=B446,"",B447)</f>
        <v>Zaozhuang</v>
      </c>
    </row>
    <row r="448" spans="1:6" ht="15.75" customHeight="1">
      <c r="A448" s="5" t="str">
        <f ca="1">IFERROR(__xludf.DUMMYFUNCTION("GOOGLETRANSLATE(B26100,""en"",""pt"")"),"Zaozhuang")</f>
        <v>Zaozhuang</v>
      </c>
      <c r="B448" s="17" t="s">
        <v>5296</v>
      </c>
      <c r="C448" s="17" t="s">
        <v>4487</v>
      </c>
      <c r="D448" s="17" t="s">
        <v>4503</v>
      </c>
      <c r="E448" s="10">
        <v>1785453</v>
      </c>
      <c r="F448" s="4" t="str">
        <f>IF(B448=B447,"",B448)</f>
        <v/>
      </c>
    </row>
    <row r="449" spans="1:6" ht="15.75" customHeight="1">
      <c r="A449" s="6" t="s">
        <v>5295</v>
      </c>
      <c r="B449" s="6" t="s">
        <v>5295</v>
      </c>
      <c r="C449" s="6" t="s">
        <v>4487</v>
      </c>
      <c r="D449" s="6" t="s">
        <v>4499</v>
      </c>
      <c r="E449" s="2">
        <v>1785462</v>
      </c>
      <c r="F449" s="4" t="str">
        <f>IF(B449=B448,"",B449)</f>
        <v>Zaoyang</v>
      </c>
    </row>
    <row r="450" spans="1:6" ht="15.75" customHeight="1">
      <c r="A450" s="5" t="str">
        <f ca="1">IFERROR(__xludf.DUMMYFUNCTION("GOOGLETRANSLATE(B26101,""en"",""pt"")"),"Zaoyang")</f>
        <v>Zaoyang</v>
      </c>
      <c r="B450" s="17" t="s">
        <v>5295</v>
      </c>
      <c r="C450" s="17" t="s">
        <v>4487</v>
      </c>
      <c r="D450" s="17" t="s">
        <v>4499</v>
      </c>
      <c r="E450" s="10">
        <v>1785462</v>
      </c>
      <c r="F450" s="4" t="str">
        <f>IF(B450=B449,"",B450)</f>
        <v/>
      </c>
    </row>
    <row r="451" spans="1:6" ht="15.75" customHeight="1">
      <c r="A451" s="6" t="s">
        <v>25768</v>
      </c>
      <c r="B451" s="6" t="s">
        <v>25768</v>
      </c>
      <c r="C451" s="6" t="s">
        <v>25560</v>
      </c>
      <c r="D451" s="6" t="s">
        <v>25769</v>
      </c>
      <c r="E451" s="2">
        <v>148730</v>
      </c>
      <c r="F451" s="4" t="str">
        <f>IF(B451=B450,"",B451)</f>
        <v>Zanzibar</v>
      </c>
    </row>
    <row r="452" spans="1:6" ht="15.75" customHeight="1">
      <c r="A452" s="5" t="str">
        <f ca="1">IFERROR(__xludf.DUMMYFUNCTION("GOOGLETRANSLATE(B42281,""en"",""pt"")"),"Zanzibar")</f>
        <v>Zanzibar</v>
      </c>
      <c r="B452" s="17" t="s">
        <v>25768</v>
      </c>
      <c r="C452" s="17" t="s">
        <v>25560</v>
      </c>
      <c r="D452" s="17" t="s">
        <v>25769</v>
      </c>
      <c r="E452" s="10">
        <v>148730</v>
      </c>
      <c r="F452" s="4" t="str">
        <f>IF(B452=B451,"",B452)</f>
        <v/>
      </c>
    </row>
    <row r="453" spans="1:6" ht="15.75" customHeight="1">
      <c r="A453" s="5" t="str">
        <f ca="1">IFERROR(__xludf.DUMMYFUNCTION("GOOGLETRANSLATE(B34350,""en"",""pt"")"),"Zanjān")</f>
        <v>Zanjān</v>
      </c>
      <c r="B453" s="17" t="s">
        <v>34128</v>
      </c>
      <c r="C453" s="17" t="s">
        <v>14240</v>
      </c>
      <c r="D453" s="17" t="s">
        <v>14273</v>
      </c>
      <c r="E453" s="10">
        <v>111453</v>
      </c>
      <c r="F453" s="4" t="str">
        <f>IF(B453=B452,"",B453)</f>
        <v>Zanjān</v>
      </c>
    </row>
    <row r="454" spans="1:6" ht="15.75" customHeight="1">
      <c r="A454" s="6" t="s">
        <v>14589</v>
      </c>
      <c r="B454" s="6" t="s">
        <v>14590</v>
      </c>
      <c r="C454" s="6" t="s">
        <v>14240</v>
      </c>
      <c r="D454" s="6" t="s">
        <v>14273</v>
      </c>
      <c r="E454" s="2">
        <v>111453</v>
      </c>
      <c r="F454" s="4" t="str">
        <f>IF(B454=B453,"",B454)</f>
        <v>ZanjÄn</v>
      </c>
    </row>
    <row r="455" spans="1:6" ht="15.75" customHeight="1">
      <c r="A455" s="6" t="s">
        <v>30468</v>
      </c>
      <c r="B455" s="6" t="s">
        <v>30468</v>
      </c>
      <c r="C455" s="6" t="s">
        <v>27788</v>
      </c>
      <c r="D455" s="6" t="s">
        <v>27813</v>
      </c>
      <c r="E455" s="2">
        <v>4528923</v>
      </c>
      <c r="F455" s="4" t="str">
        <f>IF(B455=B454,"",B455)</f>
        <v>Zanesville</v>
      </c>
    </row>
    <row r="456" spans="1:6" ht="15.75" customHeight="1">
      <c r="A456" s="5" t="str">
        <f ca="1">IFERROR(__xludf.DUMMYFUNCTION("GOOGLETRANSLATE(B43536,""en"",""pt"")"),"Zanesville")</f>
        <v>Zanesville</v>
      </c>
      <c r="B456" s="17" t="s">
        <v>30468</v>
      </c>
      <c r="C456" s="17" t="s">
        <v>27788</v>
      </c>
      <c r="D456" s="17" t="s">
        <v>27813</v>
      </c>
      <c r="E456" s="10">
        <v>4528923</v>
      </c>
      <c r="F456" s="4" t="str">
        <f>IF(B456=B455,"",B456)</f>
        <v/>
      </c>
    </row>
    <row r="457" spans="1:6" ht="15.75" customHeight="1">
      <c r="A457" s="5" t="s">
        <v>19153</v>
      </c>
      <c r="B457" s="6" t="s">
        <v>19153</v>
      </c>
      <c r="C457" s="5" t="s">
        <v>18862</v>
      </c>
      <c r="D457" s="5" t="s">
        <v>18863</v>
      </c>
      <c r="E457" s="2">
        <v>2744042</v>
      </c>
      <c r="F457" s="4" t="str">
        <f>IF(B457=B456,"",B457)</f>
        <v>Zandvoort</v>
      </c>
    </row>
    <row r="458" spans="1:6" ht="15.75" customHeight="1">
      <c r="A458" s="5" t="str">
        <f ca="1">IFERROR(__xludf.DUMMYFUNCTION("GOOGLETRANSLATE(B37893,""en"",""pt"")"),"Zandvoort")</f>
        <v>Zandvoort</v>
      </c>
      <c r="B458" s="17" t="s">
        <v>19153</v>
      </c>
      <c r="C458" s="17" t="s">
        <v>18862</v>
      </c>
      <c r="D458" s="17" t="s">
        <v>18863</v>
      </c>
      <c r="E458" s="10">
        <v>2744042</v>
      </c>
      <c r="F458" s="4" t="str">
        <f>IF(B458=B457,"",B458)</f>
        <v/>
      </c>
    </row>
    <row r="459" spans="1:6" ht="15.75" customHeight="1">
      <c r="A459" s="5" t="s">
        <v>23370</v>
      </c>
      <c r="B459" s="6" t="s">
        <v>23371</v>
      </c>
      <c r="C459" s="5" t="s">
        <v>22070</v>
      </c>
      <c r="D459" s="5" t="s">
        <v>22127</v>
      </c>
      <c r="E459" s="2">
        <v>465057</v>
      </c>
      <c r="F459" s="4" t="str">
        <f>IF(B459=B458,"",B459)</f>
        <v>Zamoskvorechâ€™ye</v>
      </c>
    </row>
    <row r="460" spans="1:6" ht="15.75" customHeight="1">
      <c r="A460" s="5" t="str">
        <f ca="1">IFERROR(__xludf.DUMMYFUNCTION("GOOGLETRANSLATE(B39932,""en"",""pt"")"),"Zamoskvorech'ye")</f>
        <v>Zamoskvorech'ye</v>
      </c>
      <c r="B460" s="17" t="s">
        <v>35429</v>
      </c>
      <c r="C460" s="17" t="s">
        <v>22070</v>
      </c>
      <c r="D460" s="17" t="s">
        <v>22127</v>
      </c>
      <c r="E460" s="10">
        <v>465057</v>
      </c>
      <c r="F460" s="4" t="str">
        <f>IF(B460=B459,"",B460)</f>
        <v>Zamoskvorech’ye</v>
      </c>
    </row>
    <row r="461" spans="1:6" ht="15.75" customHeight="1">
      <c r="A461" s="5" t="str">
        <f ca="1">IFERROR(__xludf.DUMMYFUNCTION("GOOGLETRANSLATE(B39178,""en"",""pt"")"),"Zamość")</f>
        <v>Zamość</v>
      </c>
      <c r="B461" s="17" t="s">
        <v>35063</v>
      </c>
      <c r="C461" s="17" t="s">
        <v>21064</v>
      </c>
      <c r="D461" s="17" t="s">
        <v>21091</v>
      </c>
      <c r="E461" s="10">
        <v>753866</v>
      </c>
      <c r="F461" s="4" t="str">
        <f>IF(B461=B460,"",B461)</f>
        <v>Zamość</v>
      </c>
    </row>
    <row r="462" spans="1:6" ht="15.75" customHeight="1">
      <c r="A462" s="6" t="s">
        <v>6491</v>
      </c>
      <c r="B462" s="6" t="s">
        <v>6491</v>
      </c>
      <c r="C462" s="6" t="s">
        <v>6398</v>
      </c>
      <c r="D462" s="6" t="s">
        <v>6492</v>
      </c>
      <c r="E462" s="2">
        <v>3649959</v>
      </c>
      <c r="F462" s="4" t="str">
        <f>IF(B462=B461,"",B462)</f>
        <v>Zamora</v>
      </c>
    </row>
    <row r="463" spans="1:6" ht="15.75" customHeight="1">
      <c r="A463" s="6" t="s">
        <v>6491</v>
      </c>
      <c r="B463" s="6" t="s">
        <v>6491</v>
      </c>
      <c r="C463" s="6" t="s">
        <v>17707</v>
      </c>
      <c r="D463" s="6" t="s">
        <v>17761</v>
      </c>
      <c r="E463" s="2">
        <v>3979802</v>
      </c>
      <c r="F463" s="4" t="str">
        <f>IF(B463=B462,"",B463)</f>
        <v/>
      </c>
    </row>
    <row r="464" spans="1:6" ht="15.75" customHeight="1">
      <c r="A464" s="6" t="s">
        <v>6491</v>
      </c>
      <c r="B464" s="6" t="s">
        <v>6491</v>
      </c>
      <c r="C464" s="6" t="s">
        <v>24200</v>
      </c>
      <c r="D464" s="6" t="s">
        <v>24210</v>
      </c>
      <c r="E464" s="2">
        <v>3104342</v>
      </c>
      <c r="F464" s="4" t="str">
        <f>IF(B464=B463,"",B464)</f>
        <v/>
      </c>
    </row>
    <row r="465" spans="1:6" ht="15.75" customHeight="1">
      <c r="A465" s="5" t="str">
        <f ca="1">IFERROR(__xludf.DUMMYFUNCTION("GOOGLETRANSLATE(B28746,""en"",""pt"")"),"Zamora")</f>
        <v>Zamora</v>
      </c>
      <c r="B465" s="17" t="s">
        <v>6491</v>
      </c>
      <c r="C465" s="17" t="s">
        <v>6398</v>
      </c>
      <c r="D465" s="17" t="s">
        <v>6492</v>
      </c>
      <c r="E465" s="10">
        <v>3649959</v>
      </c>
      <c r="F465" s="4" t="str">
        <f>IF(B465=B464,"",B465)</f>
        <v/>
      </c>
    </row>
    <row r="466" spans="1:6" ht="15.75" customHeight="1">
      <c r="A466" s="5" t="str">
        <f ca="1">IFERROR(__xludf.DUMMYFUNCTION("GOOGLETRANSLATE(B29230,""en"",""pt"")"),"Zamora")</f>
        <v>Zamora</v>
      </c>
      <c r="B466" s="17" t="s">
        <v>6491</v>
      </c>
      <c r="C466" s="17" t="s">
        <v>24200</v>
      </c>
      <c r="D466" s="17" t="s">
        <v>32412</v>
      </c>
      <c r="E466" s="10">
        <v>3104342</v>
      </c>
      <c r="F466" s="4" t="str">
        <f>IF(B466=B465,"",B466)</f>
        <v/>
      </c>
    </row>
    <row r="467" spans="1:6" ht="15.75" customHeight="1">
      <c r="A467" s="5" t="str">
        <f ca="1">IFERROR(__xludf.DUMMYFUNCTION("GOOGLETRANSLATE(B37145,""en"",""pt"")"),"Zamora")</f>
        <v>Zamora</v>
      </c>
      <c r="B467" s="17" t="s">
        <v>6491</v>
      </c>
      <c r="C467" s="17" t="s">
        <v>17707</v>
      </c>
      <c r="D467" s="17" t="s">
        <v>34727</v>
      </c>
      <c r="E467" s="10">
        <v>3979802</v>
      </c>
      <c r="F467" s="4" t="str">
        <f>IF(B467=B466,"",B467)</f>
        <v/>
      </c>
    </row>
    <row r="468" spans="1:6" ht="15.75" customHeight="1">
      <c r="A468" s="5" t="s">
        <v>21594</v>
      </c>
      <c r="B468" s="6" t="s">
        <v>21595</v>
      </c>
      <c r="C468" s="5" t="s">
        <v>21064</v>
      </c>
      <c r="D468" s="5" t="s">
        <v>21091</v>
      </c>
      <c r="E468" s="2">
        <v>753866</v>
      </c>
      <c r="F468" s="4" t="str">
        <f>IF(B468=B467,"",B468)</f>
        <v>ZamoÅ›Ä‡</v>
      </c>
    </row>
    <row r="469" spans="1:6" ht="15.75" customHeight="1">
      <c r="A469" s="5" t="str">
        <f ca="1">IFERROR(__xludf.DUMMYFUNCTION("GOOGLETRANSLATE(B39179,""en"",""pt"")"),"Zambrów")</f>
        <v>Zambrów</v>
      </c>
      <c r="B469" s="17" t="s">
        <v>35064</v>
      </c>
      <c r="C469" s="17" t="s">
        <v>21064</v>
      </c>
      <c r="D469" s="17" t="s">
        <v>21086</v>
      </c>
      <c r="E469" s="10">
        <v>753895</v>
      </c>
      <c r="F469" s="4" t="str">
        <f>IF(B469=B468,"",B469)</f>
        <v>Zambrów</v>
      </c>
    </row>
    <row r="470" spans="1:6" ht="15.75" customHeight="1">
      <c r="A470" s="5" t="s">
        <v>21592</v>
      </c>
      <c r="B470" s="6" t="s">
        <v>21593</v>
      </c>
      <c r="C470" s="5" t="s">
        <v>21064</v>
      </c>
      <c r="D470" s="5" t="s">
        <v>21086</v>
      </c>
      <c r="E470" s="2">
        <v>753895</v>
      </c>
      <c r="F470" s="4" t="str">
        <f>IF(B470=B469,"",B470)</f>
        <v>ZambrÃ³w</v>
      </c>
    </row>
    <row r="471" spans="1:6" ht="15.75" customHeight="1">
      <c r="A471" s="5" t="s">
        <v>21059</v>
      </c>
      <c r="B471" s="6" t="s">
        <v>21059</v>
      </c>
      <c r="C471" s="5" t="s">
        <v>20598</v>
      </c>
      <c r="D471" s="5" t="s">
        <v>20752</v>
      </c>
      <c r="E471" s="2">
        <v>1679432</v>
      </c>
      <c r="F471" s="4" t="str">
        <f>IF(B471=B470,"",B471)</f>
        <v>Zamboanga</v>
      </c>
    </row>
    <row r="472" spans="1:6" ht="15.75" customHeight="1">
      <c r="A472" s="5" t="str">
        <f ca="1">IFERROR(__xludf.DUMMYFUNCTION("GOOGLETRANSLATE(B38424,""en"",""pt"")"),"Zamboanga")</f>
        <v>Zamboanga</v>
      </c>
      <c r="B472" s="17" t="s">
        <v>21059</v>
      </c>
      <c r="C472" s="17" t="s">
        <v>20598</v>
      </c>
      <c r="D472" s="17" t="s">
        <v>20752</v>
      </c>
      <c r="E472" s="10">
        <v>1679432</v>
      </c>
      <c r="F472" s="4" t="str">
        <f>IF(B472=B471,"",B472)</f>
        <v/>
      </c>
    </row>
    <row r="473" spans="1:6" ht="15.75" customHeight="1">
      <c r="A473" s="5" t="str">
        <f ca="1">IFERROR(__xludf.DUMMYFUNCTION("GOOGLETRANSLATE(B31832,""en"",""pt"")"),"Zamānia")</f>
        <v>Zamānia</v>
      </c>
      <c r="B473" s="17" t="s">
        <v>32938</v>
      </c>
      <c r="C473" s="17" t="s">
        <v>10178</v>
      </c>
      <c r="D473" s="17" t="s">
        <v>10193</v>
      </c>
      <c r="E473" s="10">
        <v>1252692</v>
      </c>
      <c r="F473" s="4" t="str">
        <f>IF(B473=B472,"",B473)</f>
        <v>Zamānia</v>
      </c>
    </row>
    <row r="474" spans="1:6" ht="15.75" customHeight="1">
      <c r="A474" s="6" t="s">
        <v>13795</v>
      </c>
      <c r="B474" s="6" t="s">
        <v>13796</v>
      </c>
      <c r="C474" s="6" t="s">
        <v>10178</v>
      </c>
      <c r="D474" s="6" t="s">
        <v>10193</v>
      </c>
      <c r="E474" s="2">
        <v>1252692</v>
      </c>
      <c r="F474" s="4" t="str">
        <f>IF(B474=B473,"",B474)</f>
        <v>ZamÄnia</v>
      </c>
    </row>
    <row r="475" spans="1:6" ht="15.75" customHeight="1">
      <c r="A475" s="6" t="s">
        <v>16617</v>
      </c>
      <c r="B475" s="6" t="s">
        <v>16617</v>
      </c>
      <c r="C475" s="6" t="s">
        <v>15704</v>
      </c>
      <c r="D475" s="6" t="s">
        <v>15755</v>
      </c>
      <c r="E475" s="2">
        <v>1848004</v>
      </c>
      <c r="F475" s="4" t="str">
        <f>IF(B475=B474,"",B475)</f>
        <v>Zama</v>
      </c>
    </row>
    <row r="476" spans="1:6" ht="15.75" customHeight="1">
      <c r="A476" s="5" t="str">
        <f ca="1">IFERROR(__xludf.DUMMYFUNCTION("GOOGLETRANSLATE(B35152,""en"",""pt"")"),"Zama")</f>
        <v>Zama</v>
      </c>
      <c r="B476" s="17" t="s">
        <v>16617</v>
      </c>
      <c r="C476" s="17" t="s">
        <v>15704</v>
      </c>
      <c r="D476" s="17" t="s">
        <v>15755</v>
      </c>
      <c r="E476" s="10">
        <v>1848004</v>
      </c>
      <c r="F476" s="4" t="str">
        <f>IF(B476=B475,"",B476)</f>
        <v/>
      </c>
    </row>
    <row r="477" spans="1:6" ht="15.75" customHeight="1">
      <c r="A477" s="5" t="s">
        <v>19152</v>
      </c>
      <c r="B477" s="6" t="s">
        <v>19152</v>
      </c>
      <c r="C477" s="5" t="s">
        <v>18862</v>
      </c>
      <c r="D477" s="5" t="s">
        <v>18865</v>
      </c>
      <c r="E477" s="2">
        <v>2744102</v>
      </c>
      <c r="F477" s="4" t="str">
        <f>IF(B477=B476,"",B477)</f>
        <v>Zaltbommel</v>
      </c>
    </row>
    <row r="478" spans="1:6" ht="15.75" customHeight="1">
      <c r="A478" s="5" t="str">
        <f ca="1">IFERROR(__xludf.DUMMYFUNCTION("GOOGLETRANSLATE(B37894,""en"",""pt"")"),"Zaltbommel")</f>
        <v>Zaltbommel</v>
      </c>
      <c r="B478" s="17" t="s">
        <v>19152</v>
      </c>
      <c r="C478" s="17" t="s">
        <v>18862</v>
      </c>
      <c r="D478" s="17" t="s">
        <v>18865</v>
      </c>
      <c r="E478" s="10">
        <v>2744102</v>
      </c>
      <c r="F478" s="4" t="str">
        <f>IF(B478=B477,"",B478)</f>
        <v/>
      </c>
    </row>
    <row r="479" spans="1:6" ht="15.75" customHeight="1">
      <c r="A479" s="5" t="str">
        <f ca="1">IFERROR(__xludf.DUMMYFUNCTION("GOOGLETRANSLATE(B36427,""en"",""pt"")"),"Zalţan")</f>
        <v>Zalţan</v>
      </c>
      <c r="B479" s="17" t="s">
        <v>34565</v>
      </c>
      <c r="C479" s="17" t="s">
        <v>17074</v>
      </c>
      <c r="D479" s="17" t="s">
        <v>34563</v>
      </c>
      <c r="E479" s="10">
        <v>2208655</v>
      </c>
      <c r="F479" s="4" t="str">
        <f>IF(B479=B478,"",B479)</f>
        <v>Zalţan</v>
      </c>
    </row>
    <row r="480" spans="1:6" ht="15.75" customHeight="1">
      <c r="A480" s="6" t="s">
        <v>25060</v>
      </c>
      <c r="B480" s="6" t="s">
        <v>25060</v>
      </c>
      <c r="C480" s="6" t="s">
        <v>24987</v>
      </c>
      <c r="D480" s="6" t="s">
        <v>25061</v>
      </c>
      <c r="E480" s="2">
        <v>363533</v>
      </c>
      <c r="F480" s="4" t="str">
        <f>IF(B480=B479,"",B480)</f>
        <v>Zalingei</v>
      </c>
    </row>
    <row r="481" spans="1:6" ht="15.75" customHeight="1">
      <c r="A481" s="5" t="str">
        <f ca="1">IFERROR(__xludf.DUMMYFUNCTION("GOOGLETRANSLATE(B41071,""en"",""pt"")"),"Zalingei")</f>
        <v>Zalingei</v>
      </c>
      <c r="B481" s="17" t="s">
        <v>25060</v>
      </c>
      <c r="C481" s="17" t="s">
        <v>24987</v>
      </c>
      <c r="D481" s="17" t="s">
        <v>25061</v>
      </c>
      <c r="E481" s="10">
        <v>363533</v>
      </c>
      <c r="F481" s="4" t="str">
        <f>IF(B481=B480,"",B481)</f>
        <v/>
      </c>
    </row>
    <row r="482" spans="1:6" ht="15.75" customHeight="1">
      <c r="A482" s="5" t="str">
        <f ca="1">IFERROR(__xludf.DUMMYFUNCTION("GOOGLETRANSLATE(B39724,""en"",""pt"")"),"Zalău")</f>
        <v>Zalău</v>
      </c>
      <c r="B482" s="17" t="s">
        <v>35331</v>
      </c>
      <c r="C482" s="17" t="s">
        <v>21824</v>
      </c>
      <c r="D482" s="17" t="s">
        <v>35332</v>
      </c>
      <c r="E482" s="10">
        <v>662334</v>
      </c>
      <c r="F482" s="4" t="str">
        <f>IF(B482=B481,"",B482)</f>
        <v>Zalău</v>
      </c>
    </row>
    <row r="483" spans="1:6" ht="15.75" customHeight="1">
      <c r="A483" s="6" t="s">
        <v>5294</v>
      </c>
      <c r="B483" s="6" t="s">
        <v>5294</v>
      </c>
      <c r="C483" s="6" t="s">
        <v>4487</v>
      </c>
      <c r="D483" s="6" t="s">
        <v>4533</v>
      </c>
      <c r="E483" s="2">
        <v>2033225</v>
      </c>
      <c r="F483" s="4" t="str">
        <f>IF(B483=B482,"",B483)</f>
        <v>Zalantun</v>
      </c>
    </row>
    <row r="484" spans="1:6" ht="15.75" customHeight="1">
      <c r="A484" s="5" t="str">
        <f ca="1">IFERROR(__xludf.DUMMYFUNCTION("GOOGLETRANSLATE(B26651,""en"",""pt"")"),"Zalantun")</f>
        <v>Zalantun</v>
      </c>
      <c r="B484" s="17" t="s">
        <v>5294</v>
      </c>
      <c r="C484" s="17" t="s">
        <v>4487</v>
      </c>
      <c r="D484" s="17" t="s">
        <v>4533</v>
      </c>
      <c r="E484" s="10">
        <v>2033225</v>
      </c>
      <c r="F484" s="4" t="str">
        <f>IF(B484=B483,"",B484)</f>
        <v/>
      </c>
    </row>
    <row r="485" spans="1:6" ht="15.75" customHeight="1">
      <c r="A485" s="6" t="s">
        <v>22065</v>
      </c>
      <c r="B485" s="6" t="s">
        <v>22066</v>
      </c>
      <c r="C485" s="6" t="s">
        <v>21824</v>
      </c>
      <c r="D485" s="6" t="s">
        <v>21832</v>
      </c>
      <c r="E485" s="2">
        <v>662334</v>
      </c>
      <c r="F485" s="4" t="str">
        <f>IF(B485=B484,"",B485)</f>
        <v>ZalÄƒu</v>
      </c>
    </row>
    <row r="486" spans="1:6" ht="15.75" customHeight="1">
      <c r="A486" s="5" t="s">
        <v>10166</v>
      </c>
      <c r="B486" s="6" t="s">
        <v>10166</v>
      </c>
      <c r="C486" s="5" t="s">
        <v>9955</v>
      </c>
      <c r="D486" s="5" t="s">
        <v>10081</v>
      </c>
      <c r="E486" s="2">
        <v>3042638</v>
      </c>
      <c r="F486" s="4" t="str">
        <f>IF(B486=B485,"",B486)</f>
        <v>Zalaegerszeg</v>
      </c>
    </row>
    <row r="487" spans="1:6" ht="15.75" customHeight="1">
      <c r="A487" s="5" t="str">
        <f ca="1">IFERROR(__xludf.DUMMYFUNCTION("GOOGLETRANSLATE(B31272,""en"",""pt"")"),"Zalaegerszeg")</f>
        <v>Zalaegerszeg</v>
      </c>
      <c r="B487" s="17" t="s">
        <v>10166</v>
      </c>
      <c r="C487" s="17" t="s">
        <v>9955</v>
      </c>
      <c r="D487" s="17" t="s">
        <v>10081</v>
      </c>
      <c r="E487" s="10">
        <v>3042638</v>
      </c>
      <c r="F487" s="4" t="str">
        <f>IF(B487=B486,"",B487)</f>
        <v/>
      </c>
    </row>
    <row r="488" spans="1:6" ht="15.75" customHeight="1">
      <c r="A488" s="6" t="s">
        <v>17143</v>
      </c>
      <c r="B488" s="6" t="s">
        <v>17144</v>
      </c>
      <c r="C488" s="6" t="s">
        <v>17074</v>
      </c>
      <c r="D488" s="6" t="s">
        <v>17145</v>
      </c>
      <c r="E488" s="2">
        <v>2208655</v>
      </c>
      <c r="F488" s="4" t="str">
        <f>IF(B488=B487,"",B488)</f>
        <v>ZalÅ£an</v>
      </c>
    </row>
    <row r="489" spans="1:6" ht="15.75" customHeight="1">
      <c r="A489" s="6" t="s">
        <v>21591</v>
      </c>
      <c r="B489" s="6" t="s">
        <v>21591</v>
      </c>
      <c r="C489" s="6" t="s">
        <v>21064</v>
      </c>
      <c r="D489" s="6" t="s">
        <v>21108</v>
      </c>
      <c r="E489" s="2">
        <v>3080866</v>
      </c>
      <c r="F489" s="4" t="str">
        <f>IF(B489=B488,"",B489)</f>
        <v>Zakopane</v>
      </c>
    </row>
    <row r="490" spans="1:6" ht="15.75" customHeight="1">
      <c r="A490" s="5" t="str">
        <f ca="1">IFERROR(__xludf.DUMMYFUNCTION("GOOGLETRANSLATE(B39309,""en"",""pt"")"),"Zakopane")</f>
        <v>Zakopane</v>
      </c>
      <c r="B490" s="17" t="s">
        <v>21591</v>
      </c>
      <c r="C490" s="17" t="s">
        <v>21064</v>
      </c>
      <c r="D490" s="17" t="s">
        <v>21108</v>
      </c>
      <c r="E490" s="10">
        <v>3080866</v>
      </c>
      <c r="F490" s="4" t="str">
        <f>IF(B490=B489,"",B490)</f>
        <v/>
      </c>
    </row>
    <row r="491" spans="1:6" ht="15.75" customHeight="1">
      <c r="A491" s="5" t="str">
        <f ca="1">IFERROR(__xludf.DUMMYFUNCTION("GOOGLETRANSLATE(B39859,""en"",""pt"")"),"Zaječar")</f>
        <v>Zaječar</v>
      </c>
      <c r="B491" s="17" t="s">
        <v>35412</v>
      </c>
      <c r="C491" s="17" t="s">
        <v>23602</v>
      </c>
      <c r="D491" s="17" t="s">
        <v>23603</v>
      </c>
      <c r="E491" s="10">
        <v>784024</v>
      </c>
      <c r="F491" s="4" t="str">
        <f>IF(B491=B490,"",B491)</f>
        <v>Zaječar</v>
      </c>
    </row>
    <row r="492" spans="1:6" ht="15.75" customHeight="1">
      <c r="A492" s="6" t="s">
        <v>23669</v>
      </c>
      <c r="B492" s="6" t="s">
        <v>23670</v>
      </c>
      <c r="C492" s="6" t="s">
        <v>23602</v>
      </c>
      <c r="D492" s="6" t="s">
        <v>23603</v>
      </c>
      <c r="E492" s="2">
        <v>784024</v>
      </c>
      <c r="F492" s="4" t="str">
        <f>IF(B492=B491,"",B492)</f>
        <v>ZajeÄar</v>
      </c>
    </row>
    <row r="493" spans="1:6" ht="15.75" customHeight="1">
      <c r="A493" s="5" t="str">
        <f ca="1">IFERROR(__xludf.DUMMYFUNCTION("GOOGLETRANSLATE(B36453,""en"",""pt"")"),"Zaïo")</f>
        <v>Zaïo</v>
      </c>
      <c r="B493" s="17" t="s">
        <v>34582</v>
      </c>
      <c r="C493" s="17" t="s">
        <v>18551</v>
      </c>
      <c r="D493" s="17" t="s">
        <v>18554</v>
      </c>
      <c r="E493" s="10">
        <v>2526435</v>
      </c>
      <c r="F493" s="4" t="str">
        <f>IF(B493=B492,"",B493)</f>
        <v>Zaïo</v>
      </c>
    </row>
    <row r="494" spans="1:6" ht="15.75" customHeight="1">
      <c r="A494" s="6" t="s">
        <v>23369</v>
      </c>
      <c r="B494" s="6" t="s">
        <v>23369</v>
      </c>
      <c r="C494" s="6" t="s">
        <v>22070</v>
      </c>
      <c r="D494" s="6" t="s">
        <v>22090</v>
      </c>
      <c r="E494" s="2">
        <v>465543</v>
      </c>
      <c r="F494" s="4" t="str">
        <f>IF(B494=B493,"",B494)</f>
        <v>Zainsk</v>
      </c>
    </row>
    <row r="495" spans="1:6" ht="15.75" customHeight="1">
      <c r="A495" s="5" t="str">
        <f ca="1">IFERROR(__xludf.DUMMYFUNCTION("GOOGLETRANSLATE(B39933,""en"",""pt"")"),"Zainsk")</f>
        <v>Zainsk</v>
      </c>
      <c r="B495" s="17" t="s">
        <v>23369</v>
      </c>
      <c r="C495" s="17" t="s">
        <v>22070</v>
      </c>
      <c r="D495" s="17" t="s">
        <v>22090</v>
      </c>
      <c r="E495" s="10">
        <v>465543</v>
      </c>
      <c r="F495" s="4" t="str">
        <f>IF(B495=B494,"",B495)</f>
        <v/>
      </c>
    </row>
    <row r="496" spans="1:6" ht="15.75" customHeight="1">
      <c r="A496" s="6" t="s">
        <v>13794</v>
      </c>
      <c r="B496" s="6" t="s">
        <v>13794</v>
      </c>
      <c r="C496" s="6" t="s">
        <v>10178</v>
      </c>
      <c r="D496" s="6" t="s">
        <v>10193</v>
      </c>
      <c r="E496" s="2">
        <v>1252698</v>
      </c>
      <c r="F496" s="4" t="str">
        <f>IF(B496=B495,"",B496)</f>
        <v>Zaidpur</v>
      </c>
    </row>
    <row r="497" spans="1:6" ht="15.75" customHeight="1">
      <c r="A497" s="5" t="str">
        <f ca="1">IFERROR(__xludf.DUMMYFUNCTION("GOOGLETRANSLATE(B31833,""en"",""pt"")"),"Zaidpur")</f>
        <v>Zaidpur</v>
      </c>
      <c r="B497" s="17" t="s">
        <v>13794</v>
      </c>
      <c r="C497" s="17" t="s">
        <v>10178</v>
      </c>
      <c r="D497" s="17" t="s">
        <v>10193</v>
      </c>
      <c r="E497" s="10">
        <v>1252698</v>
      </c>
      <c r="F497" s="4" t="str">
        <f>IF(B497=B496,"",B497)</f>
        <v/>
      </c>
    </row>
    <row r="498" spans="1:6" ht="15.75" customHeight="1">
      <c r="A498" s="6" t="s">
        <v>20291</v>
      </c>
      <c r="B498" s="6" t="s">
        <v>20291</v>
      </c>
      <c r="C498" s="6" t="s">
        <v>19808</v>
      </c>
      <c r="D498" s="6" t="s">
        <v>19811</v>
      </c>
      <c r="E498" s="2">
        <v>1162261</v>
      </c>
      <c r="F498" s="4" t="str">
        <f>IF(B498=B497,"",B498)</f>
        <v>Zaida</v>
      </c>
    </row>
    <row r="499" spans="1:6" ht="15.75" customHeight="1">
      <c r="A499" s="5" t="str">
        <f ca="1">IFERROR(__xludf.DUMMYFUNCTION("GOOGLETRANSLATE(B38868,""en"",""pt"")"),"Zaida")</f>
        <v>Zaida</v>
      </c>
      <c r="B499" s="17" t="s">
        <v>20291</v>
      </c>
      <c r="C499" s="17" t="s">
        <v>19808</v>
      </c>
      <c r="D499" s="17" t="s">
        <v>19811</v>
      </c>
      <c r="E499" s="10">
        <v>1162261</v>
      </c>
      <c r="F499" s="4" t="str">
        <f>IF(B499=B498,"",B499)</f>
        <v/>
      </c>
    </row>
    <row r="500" spans="1:6" ht="15.75" customHeight="1">
      <c r="A500" s="5" t="str">
        <f ca="1">IFERROR(__xludf.DUMMYFUNCTION("GOOGLETRANSLATE(B36275,""en"",""pt"")"),"Zahlé")</f>
        <v>Zahlé</v>
      </c>
      <c r="B500" s="17" t="s">
        <v>17035</v>
      </c>
      <c r="C500" s="17" t="s">
        <v>17008</v>
      </c>
      <c r="D500" s="17" t="s">
        <v>34514</v>
      </c>
      <c r="E500" s="10">
        <v>266045</v>
      </c>
      <c r="F500" s="4" t="str">
        <f>IF(B500=B499,"",B500)</f>
        <v>Zahlé</v>
      </c>
    </row>
    <row r="501" spans="1:6" ht="15.75" customHeight="1">
      <c r="A501" s="6" t="s">
        <v>17035</v>
      </c>
      <c r="B501" s="6" t="s">
        <v>17036</v>
      </c>
      <c r="C501" s="6" t="s">
        <v>17008</v>
      </c>
      <c r="D501" s="6" t="s">
        <v>17037</v>
      </c>
      <c r="E501" s="2">
        <v>266045</v>
      </c>
      <c r="F501" s="4" t="str">
        <f>IF(B501=B500,"",B501)</f>
        <v>ZahlÃ©</v>
      </c>
    </row>
    <row r="502" spans="1:6" ht="15.75" customHeight="1">
      <c r="A502" s="5" t="str">
        <f ca="1">IFERROR(__xludf.DUMMYFUNCTION("GOOGLETRANSLATE(B31834,""en"",""pt"")"),"Zahirābād")</f>
        <v>Zahirābād</v>
      </c>
      <c r="B502" s="17" t="s">
        <v>32939</v>
      </c>
      <c r="C502" s="17" t="s">
        <v>10178</v>
      </c>
      <c r="D502" s="17" t="s">
        <v>10187</v>
      </c>
      <c r="E502" s="10">
        <v>1252699</v>
      </c>
      <c r="F502" s="4" t="str">
        <f>IF(B502=B501,"",B502)</f>
        <v>Zahirābād</v>
      </c>
    </row>
    <row r="503" spans="1:6" ht="15.75" customHeight="1">
      <c r="A503" s="5" t="s">
        <v>13792</v>
      </c>
      <c r="B503" s="6" t="s">
        <v>13793</v>
      </c>
      <c r="C503" s="5" t="s">
        <v>10178</v>
      </c>
      <c r="D503" s="5" t="s">
        <v>10187</v>
      </c>
      <c r="E503" s="2">
        <v>1252699</v>
      </c>
      <c r="F503" s="4" t="str">
        <f>IF(B503=B502,"",B503)</f>
        <v>ZahirÄbÄd</v>
      </c>
    </row>
    <row r="504" spans="1:6" ht="15.75" customHeight="1">
      <c r="A504" s="5" t="str">
        <f ca="1">IFERROR(__xludf.DUMMYFUNCTION("GOOGLETRANSLATE(B38869,""en"",""pt"")"),"Zāhir pīr")</f>
        <v>Zāhir pīr</v>
      </c>
      <c r="B504" s="17" t="s">
        <v>34893</v>
      </c>
      <c r="C504" s="17" t="s">
        <v>19808</v>
      </c>
      <c r="D504" s="17" t="s">
        <v>10184</v>
      </c>
      <c r="E504" s="10">
        <v>1162275</v>
      </c>
      <c r="F504" s="4" t="str">
        <f>IF(B504=B503,"",B504)</f>
        <v>Zāhir Pīr</v>
      </c>
    </row>
    <row r="505" spans="1:6" ht="15.75" customHeight="1">
      <c r="A505" s="6" t="s">
        <v>14588</v>
      </c>
      <c r="B505" s="6" t="s">
        <v>14588</v>
      </c>
      <c r="C505" s="6" t="s">
        <v>14240</v>
      </c>
      <c r="D505" s="6" t="s">
        <v>14266</v>
      </c>
      <c r="E505" s="2">
        <v>1159301</v>
      </c>
      <c r="F505" s="4" t="str">
        <f>IF(B505=B504,"",B505)</f>
        <v>Zahedan</v>
      </c>
    </row>
    <row r="506" spans="1:6" ht="15.75" customHeight="1">
      <c r="A506" s="5" t="str">
        <f ca="1">IFERROR(__xludf.DUMMYFUNCTION("GOOGLETRANSLATE(B34525,""en"",""pt"")"),"Zahedan")</f>
        <v>Zahedan</v>
      </c>
      <c r="B506" s="17" t="s">
        <v>14588</v>
      </c>
      <c r="C506" s="17" t="s">
        <v>14240</v>
      </c>
      <c r="D506" s="17" t="s">
        <v>14266</v>
      </c>
      <c r="E506" s="10">
        <v>1159301</v>
      </c>
      <c r="F506" s="4" t="str">
        <f>IF(B506=B505,"",B506)</f>
        <v/>
      </c>
    </row>
    <row r="507" spans="1:6" ht="15.75" customHeight="1">
      <c r="A507" s="5" t="s">
        <v>5759</v>
      </c>
      <c r="B507" s="6" t="s">
        <v>5760</v>
      </c>
      <c r="C507" s="5" t="s">
        <v>5711</v>
      </c>
      <c r="D507" s="5" t="s">
        <v>5736</v>
      </c>
      <c r="E507" s="2">
        <v>3209380</v>
      </c>
      <c r="F507" s="4" t="str">
        <f>IF(B507=B506,"",B507)</f>
        <v>Zagreb- Stenjevec</v>
      </c>
    </row>
    <row r="508" spans="1:6" ht="15.75" customHeight="1">
      <c r="A508" s="5" t="str">
        <f ca="1">IFERROR(__xludf.DUMMYFUNCTION("GOOGLETRANSLATE(B31211,""en"",""pt"")"),"Zagreb-Stenjevec")</f>
        <v>Zagreb-Stenjevec</v>
      </c>
      <c r="B508" s="17" t="s">
        <v>5760</v>
      </c>
      <c r="C508" s="17" t="s">
        <v>5711</v>
      </c>
      <c r="D508" s="17" t="s">
        <v>5736</v>
      </c>
      <c r="E508" s="10">
        <v>3209380</v>
      </c>
      <c r="F508" s="4" t="str">
        <f>IF(B508=B507,"",B508)</f>
        <v/>
      </c>
    </row>
    <row r="509" spans="1:6" ht="15.75" customHeight="1">
      <c r="A509" s="5" t="s">
        <v>5757</v>
      </c>
      <c r="B509" s="6" t="s">
        <v>5758</v>
      </c>
      <c r="C509" s="5" t="s">
        <v>5711</v>
      </c>
      <c r="D509" s="5" t="s">
        <v>5736</v>
      </c>
      <c r="E509" s="2">
        <v>6618983</v>
      </c>
      <c r="F509" s="4" t="str">
        <f>IF(B509=B508,"",B509)</f>
        <v>Zagreb - Centar</v>
      </c>
    </row>
    <row r="510" spans="1:6" ht="15.75" customHeight="1">
      <c r="A510" s="5" t="str">
        <f ca="1">IFERROR(__xludf.DUMMYFUNCTION("GOOGLETRANSLATE(B31212,""en"",""pt"")"),"Zagreb - Centar")</f>
        <v>Zagreb - Centar</v>
      </c>
      <c r="B510" s="17" t="s">
        <v>5758</v>
      </c>
      <c r="C510" s="17" t="s">
        <v>5711</v>
      </c>
      <c r="D510" s="17" t="s">
        <v>5736</v>
      </c>
      <c r="E510" s="10">
        <v>6618983</v>
      </c>
      <c r="F510" s="4" t="str">
        <f>IF(B510=B509,"",B510)</f>
        <v/>
      </c>
    </row>
    <row r="511" spans="1:6" ht="15.75" customHeight="1">
      <c r="A511" s="6" t="s">
        <v>5756</v>
      </c>
      <c r="B511" s="6" t="s">
        <v>5756</v>
      </c>
      <c r="C511" s="6" t="s">
        <v>5711</v>
      </c>
      <c r="D511" s="6" t="s">
        <v>5736</v>
      </c>
      <c r="E511" s="2">
        <v>3186886</v>
      </c>
      <c r="F511" s="4" t="str">
        <f>IF(B511=B510,"",B511)</f>
        <v>Zagreb</v>
      </c>
    </row>
    <row r="512" spans="1:6" ht="15.75" customHeight="1">
      <c r="A512" s="5" t="str">
        <f ca="1">IFERROR(__xludf.DUMMYFUNCTION("GOOGLETRANSLATE(B31188,""en"",""pt"")"),"Zagreb")</f>
        <v>Zagreb</v>
      </c>
      <c r="B512" s="17" t="s">
        <v>5756</v>
      </c>
      <c r="C512" s="17" t="s">
        <v>5711</v>
      </c>
      <c r="D512" s="17" t="s">
        <v>5736</v>
      </c>
      <c r="E512" s="10">
        <v>3186886</v>
      </c>
      <c r="F512" s="4" t="str">
        <f>IF(B512=B511,"",B512)</f>
        <v/>
      </c>
    </row>
    <row r="513" spans="1:6" ht="15.75" customHeight="1">
      <c r="A513" s="6" t="s">
        <v>23367</v>
      </c>
      <c r="B513" s="6" t="s">
        <v>23368</v>
      </c>
      <c r="C513" s="6" t="s">
        <v>22070</v>
      </c>
      <c r="D513" s="6" t="s">
        <v>22127</v>
      </c>
      <c r="E513" s="2">
        <v>6418201</v>
      </c>
      <c r="F513" s="4" t="str">
        <f>IF(B513=B512,"",B513)</f>
        <v>Zagorâ€™ye</v>
      </c>
    </row>
    <row r="514" spans="1:6" ht="15.75" customHeight="1">
      <c r="A514" s="6" t="s">
        <v>18652</v>
      </c>
      <c r="B514" s="6" t="s">
        <v>18652</v>
      </c>
      <c r="C514" s="6" t="s">
        <v>18551</v>
      </c>
      <c r="D514" s="6" t="s">
        <v>18552</v>
      </c>
      <c r="E514" s="2">
        <v>2526452</v>
      </c>
      <c r="F514" s="4" t="str">
        <f>IF(B514=B513,"",B514)</f>
        <v>Zagora</v>
      </c>
    </row>
    <row r="515" spans="1:6" ht="15.75" customHeight="1">
      <c r="A515" s="5" t="str">
        <f ca="1">IFERROR(__xludf.DUMMYFUNCTION("GOOGLETRANSLATE(B36454,""en"",""pt"")"),"Zagora")</f>
        <v>Zagora</v>
      </c>
      <c r="B515" s="17" t="s">
        <v>18652</v>
      </c>
      <c r="C515" s="17" t="s">
        <v>18551</v>
      </c>
      <c r="D515" s="17" t="s">
        <v>34583</v>
      </c>
      <c r="E515" s="10">
        <v>2526452</v>
      </c>
      <c r="F515" s="4" t="str">
        <f>IF(B515=B514,"",B515)</f>
        <v/>
      </c>
    </row>
    <row r="516" spans="1:6" ht="15.75" customHeight="1">
      <c r="A516" s="5" t="str">
        <f ca="1">IFERROR(__xludf.DUMMYFUNCTION("GOOGLETRANSLATE(B40970,""en"",""pt"")"),"Zagor'ye")</f>
        <v>Zagor'ye</v>
      </c>
      <c r="B516" s="17" t="s">
        <v>35567</v>
      </c>
      <c r="C516" s="17" t="s">
        <v>22070</v>
      </c>
      <c r="D516" s="17" t="s">
        <v>22127</v>
      </c>
      <c r="E516" s="10">
        <v>6418201</v>
      </c>
      <c r="F516" s="4" t="str">
        <f>IF(B516=B515,"",B516)</f>
        <v>Zagor’ye</v>
      </c>
    </row>
    <row r="517" spans="1:6" ht="15.75" customHeight="1">
      <c r="A517" s="5" t="s">
        <v>26196</v>
      </c>
      <c r="B517" s="6" t="s">
        <v>26196</v>
      </c>
      <c r="C517" s="5" t="s">
        <v>26090</v>
      </c>
      <c r="D517" s="5" t="s">
        <v>26123</v>
      </c>
      <c r="E517" s="2">
        <v>2464041</v>
      </c>
      <c r="F517" s="4" t="str">
        <f>IF(B517=B516,"",B517)</f>
        <v>Zaghouan</v>
      </c>
    </row>
    <row r="518" spans="1:6" ht="15.75" customHeight="1">
      <c r="A518" s="5" t="str">
        <f ca="1">IFERROR(__xludf.DUMMYFUNCTION("GOOGLETRANSLATE(B41790,""en"",""pt"")"),"Zaghouan")</f>
        <v>Zaghouan</v>
      </c>
      <c r="B518" s="17" t="s">
        <v>26196</v>
      </c>
      <c r="C518" s="17" t="s">
        <v>26090</v>
      </c>
      <c r="D518" s="17" t="s">
        <v>35793</v>
      </c>
      <c r="E518" s="10">
        <v>2464041</v>
      </c>
      <c r="F518" s="4" t="str">
        <f>IF(B518=B517,"",B518)</f>
        <v/>
      </c>
    </row>
    <row r="519" spans="1:6" ht="15.75" customHeight="1">
      <c r="A519" s="6" t="s">
        <v>6723</v>
      </c>
      <c r="B519" s="6" t="s">
        <v>6723</v>
      </c>
      <c r="C519" s="6" t="s">
        <v>6495</v>
      </c>
      <c r="D519" s="6" t="s">
        <v>6128</v>
      </c>
      <c r="E519" s="2">
        <v>359493</v>
      </c>
      <c r="F519" s="4" t="str">
        <f>IF(B519=B518,"",B519)</f>
        <v>Zagazig</v>
      </c>
    </row>
    <row r="520" spans="1:6" ht="15.75" customHeight="1">
      <c r="A520" s="5" t="str">
        <f ca="1">IFERROR(__xludf.DUMMYFUNCTION("GOOGLETRANSLATE(B28890,""en"",""pt"")"),"Zagazig")</f>
        <v>Zagazig</v>
      </c>
      <c r="B520" s="17" t="s">
        <v>6723</v>
      </c>
      <c r="C520" s="17" t="s">
        <v>6495</v>
      </c>
      <c r="D520" s="17" t="s">
        <v>6128</v>
      </c>
      <c r="E520" s="10">
        <v>359493</v>
      </c>
      <c r="F520" s="4" t="str">
        <f>IF(B520=B519,"",B520)</f>
        <v/>
      </c>
    </row>
    <row r="521" spans="1:6" ht="15.75" customHeight="1">
      <c r="A521" s="5" t="str">
        <f ca="1">IFERROR(__xludf.DUMMYFUNCTION("GOOGLETRANSLATE(B39310,""en"",""pt"")"),"Żagań")</f>
        <v>Żagań</v>
      </c>
      <c r="B521" s="17" t="s">
        <v>35143</v>
      </c>
      <c r="C521" s="17" t="s">
        <v>21064</v>
      </c>
      <c r="D521" s="17" t="s">
        <v>21065</v>
      </c>
      <c r="E521" s="10">
        <v>3080944</v>
      </c>
      <c r="F521" s="4" t="str">
        <f>IF(B521=B520,"",B521)</f>
        <v>Żagań</v>
      </c>
    </row>
    <row r="522" spans="1:6" ht="15.75" customHeight="1">
      <c r="A522" s="5" t="s">
        <v>22063</v>
      </c>
      <c r="B522" s="6" t="s">
        <v>22064</v>
      </c>
      <c r="C522" s="5" t="s">
        <v>21824</v>
      </c>
      <c r="D522" s="5" t="s">
        <v>21863</v>
      </c>
      <c r="E522" s="2">
        <v>662284</v>
      </c>
      <c r="F522" s="4" t="str">
        <f>IF(B522=B521,"",B522)</f>
        <v>ZÄƒrneÈ™ti</v>
      </c>
    </row>
    <row r="523" spans="1:6" ht="15.75" customHeight="1">
      <c r="A523" s="6" t="s">
        <v>24920</v>
      </c>
      <c r="B523" s="6" t="s">
        <v>24920</v>
      </c>
      <c r="C523" s="6" t="s">
        <v>24200</v>
      </c>
      <c r="D523" s="6" t="s">
        <v>24262</v>
      </c>
      <c r="E523" s="2">
        <v>2509377</v>
      </c>
      <c r="F523" s="4" t="str">
        <f>IF(B523=B522,"",B523)</f>
        <v>Zafra</v>
      </c>
    </row>
    <row r="524" spans="1:6" ht="15.75" customHeight="1">
      <c r="A524" s="5" t="str">
        <f ca="1">IFERROR(__xludf.DUMMYFUNCTION("GOOGLETRANSLATE(B28951,""en"",""pt"")"),"Zafra")</f>
        <v>Zafra</v>
      </c>
      <c r="B524" s="17" t="s">
        <v>24920</v>
      </c>
      <c r="C524" s="17" t="s">
        <v>24200</v>
      </c>
      <c r="D524" s="17" t="s">
        <v>24262</v>
      </c>
      <c r="E524" s="10">
        <v>2509377</v>
      </c>
      <c r="F524" s="4" t="str">
        <f>IF(B524=B523,"",B524)</f>
        <v/>
      </c>
    </row>
    <row r="525" spans="1:6" ht="15.75" customHeight="1">
      <c r="A525" s="5" t="str">
        <f ca="1">IFERROR(__xludf.DUMMYFUNCTION("GOOGLETRANSLATE(B38870,""en"",""pt"")"),"Zafarwāl")</f>
        <v>Zafarwāl</v>
      </c>
      <c r="B525" s="17" t="s">
        <v>34894</v>
      </c>
      <c r="C525" s="17" t="s">
        <v>19808</v>
      </c>
      <c r="D525" s="17" t="s">
        <v>10184</v>
      </c>
      <c r="E525" s="10">
        <v>1162285</v>
      </c>
      <c r="F525" s="4" t="str">
        <f>IF(B525=B524,"",B525)</f>
        <v>Zafarwāl</v>
      </c>
    </row>
    <row r="526" spans="1:6" ht="15.75" customHeight="1">
      <c r="A526" s="6" t="s">
        <v>20289</v>
      </c>
      <c r="B526" s="6" t="s">
        <v>20290</v>
      </c>
      <c r="C526" s="6" t="s">
        <v>19808</v>
      </c>
      <c r="D526" s="6" t="s">
        <v>10184</v>
      </c>
      <c r="E526" s="2">
        <v>1162285</v>
      </c>
      <c r="F526" s="4" t="str">
        <f>IF(B526=B525,"",B526)</f>
        <v>ZafarwÄl</v>
      </c>
    </row>
    <row r="527" spans="1:6" ht="15.75" customHeight="1">
      <c r="A527" s="6" t="s">
        <v>30624</v>
      </c>
      <c r="B527" s="6" t="s">
        <v>30624</v>
      </c>
      <c r="C527" s="6" t="s">
        <v>30502</v>
      </c>
      <c r="D527" s="6" t="s">
        <v>30504</v>
      </c>
      <c r="E527" s="2">
        <v>1512287</v>
      </c>
      <c r="F527" s="4" t="str">
        <f>IF(B527=B526,"",B527)</f>
        <v>Zafar</v>
      </c>
    </row>
    <row r="528" spans="1:6" ht="15.75" customHeight="1">
      <c r="A528" s="5" t="str">
        <f ca="1">IFERROR(__xludf.DUMMYFUNCTION("GOOGLETRANSLATE(B45527,""en"",""pt"")"),"Zafar")</f>
        <v>Zafar</v>
      </c>
      <c r="B528" s="17" t="s">
        <v>30624</v>
      </c>
      <c r="C528" s="17" t="s">
        <v>30502</v>
      </c>
      <c r="D528" s="17" t="s">
        <v>30504</v>
      </c>
      <c r="E528" s="10">
        <v>1512287</v>
      </c>
      <c r="F528" s="4" t="str">
        <f>IF(B528=B527,"",B528)</f>
        <v/>
      </c>
    </row>
    <row r="529" spans="1:6" ht="15.75" customHeight="1">
      <c r="A529" s="6" t="s">
        <v>5754</v>
      </c>
      <c r="B529" s="6" t="s">
        <v>5754</v>
      </c>
      <c r="C529" s="6" t="s">
        <v>5711</v>
      </c>
      <c r="D529" s="6" t="s">
        <v>5755</v>
      </c>
      <c r="E529" s="2">
        <v>3186952</v>
      </c>
      <c r="F529" s="4" t="str">
        <f>IF(B529=B528,"",B529)</f>
        <v>Zadar</v>
      </c>
    </row>
    <row r="530" spans="1:6" ht="15.75" customHeight="1">
      <c r="A530" s="5" t="str">
        <f ca="1">IFERROR(__xludf.DUMMYFUNCTION("GOOGLETRANSLATE(B31189,""en"",""pt"")"),"Zadar")</f>
        <v>Zadar</v>
      </c>
      <c r="B530" s="17" t="s">
        <v>5754</v>
      </c>
      <c r="C530" s="17" t="s">
        <v>5711</v>
      </c>
      <c r="D530" s="17" t="s">
        <v>5755</v>
      </c>
      <c r="E530" s="10">
        <v>3186952</v>
      </c>
      <c r="F530" s="4" t="str">
        <f>IF(B530=B529,"",B530)</f>
        <v/>
      </c>
    </row>
    <row r="531" spans="1:6" ht="15.75" customHeight="1">
      <c r="A531" s="5" t="str">
        <f ca="1">IFERROR(__xludf.DUMMYFUNCTION("GOOGLETRANSLATE(B36845,""en"",""pt"")"),"Zacualtipán")</f>
        <v>Zacualtipán</v>
      </c>
      <c r="B531" s="17" t="s">
        <v>34655</v>
      </c>
      <c r="C531" s="17" t="s">
        <v>17707</v>
      </c>
      <c r="D531" s="17" t="s">
        <v>17729</v>
      </c>
      <c r="E531" s="10">
        <v>3514134</v>
      </c>
      <c r="F531" s="4" t="str">
        <f>IF(B531=B530,"",B531)</f>
        <v>Zacualtipán</v>
      </c>
    </row>
    <row r="532" spans="1:6" ht="15.75" customHeight="1">
      <c r="A532" s="5" t="s">
        <v>18441</v>
      </c>
      <c r="B532" s="6" t="s">
        <v>18442</v>
      </c>
      <c r="C532" s="5" t="s">
        <v>17707</v>
      </c>
      <c r="D532" s="5" t="s">
        <v>17729</v>
      </c>
      <c r="E532" s="2">
        <v>3514134</v>
      </c>
      <c r="F532" s="4" t="str">
        <f>IF(B532=B531,"",B532)</f>
        <v>ZacualtipÃ¡n</v>
      </c>
    </row>
    <row r="533" spans="1:6" ht="15.75" customHeight="1">
      <c r="A533" s="5" t="s">
        <v>18440</v>
      </c>
      <c r="B533" s="6" t="s">
        <v>18440</v>
      </c>
      <c r="C533" s="5" t="s">
        <v>17707</v>
      </c>
      <c r="D533" s="5" t="s">
        <v>17746</v>
      </c>
      <c r="E533" s="2">
        <v>3979822</v>
      </c>
      <c r="F533" s="4" t="str">
        <f>IF(B533=B532,"",B533)</f>
        <v>Zacoalco de Torres</v>
      </c>
    </row>
    <row r="534" spans="1:6" ht="15.75" customHeight="1">
      <c r="A534" s="5" t="str">
        <f ca="1">IFERROR(__xludf.DUMMYFUNCTION("GOOGLETRANSLATE(B37146,""en"",""pt"")"),"Zacoalco de Torres")</f>
        <v>Zacoalco de Torres</v>
      </c>
      <c r="B534" s="17" t="s">
        <v>18440</v>
      </c>
      <c r="C534" s="17" t="s">
        <v>17707</v>
      </c>
      <c r="D534" s="17" t="s">
        <v>17746</v>
      </c>
      <c r="E534" s="10">
        <v>3979822</v>
      </c>
      <c r="F534" s="4" t="str">
        <f>IF(B534=B533,"",B534)</f>
        <v/>
      </c>
    </row>
    <row r="535" spans="1:6" ht="15.75" customHeight="1">
      <c r="A535" s="5" t="str">
        <f ca="1">IFERROR(__xludf.DUMMYFUNCTION("GOOGLETRANSLATE(B36846,""en"",""pt"")"),"Zacatlán")</f>
        <v>Zacatlán</v>
      </c>
      <c r="B535" s="17" t="s">
        <v>34656</v>
      </c>
      <c r="C535" s="17" t="s">
        <v>17707</v>
      </c>
      <c r="D535" s="17" t="s">
        <v>17717</v>
      </c>
      <c r="E535" s="10">
        <v>3514148</v>
      </c>
      <c r="F535" s="4" t="str">
        <f>IF(B535=B534,"",B535)</f>
        <v>Zacatlán</v>
      </c>
    </row>
    <row r="536" spans="1:6" ht="15.75" customHeight="1">
      <c r="A536" s="6" t="s">
        <v>18438</v>
      </c>
      <c r="B536" s="6" t="s">
        <v>18439</v>
      </c>
      <c r="C536" s="6" t="s">
        <v>17707</v>
      </c>
      <c r="D536" s="6" t="s">
        <v>17717</v>
      </c>
      <c r="E536" s="2">
        <v>3514148</v>
      </c>
      <c r="F536" s="4" t="str">
        <f>IF(B536=B535,"",B536)</f>
        <v>ZacatlÃ¡n</v>
      </c>
    </row>
    <row r="537" spans="1:6" ht="15.75" customHeight="1">
      <c r="A537" s="5" t="s">
        <v>18436</v>
      </c>
      <c r="B537" s="6" t="s">
        <v>18437</v>
      </c>
      <c r="C537" s="5" t="s">
        <v>17707</v>
      </c>
      <c r="D537" s="5" t="s">
        <v>17780</v>
      </c>
      <c r="E537" s="2">
        <v>3514163</v>
      </c>
      <c r="F537" s="4" t="str">
        <f>IF(B537=B536,"",B537)</f>
        <v>Zacatepec</v>
      </c>
    </row>
    <row r="538" spans="1:6" ht="15.75" customHeight="1">
      <c r="A538" s="5" t="str">
        <f ca="1">IFERROR(__xludf.DUMMYFUNCTION("GOOGLETRANSLATE(B36847,""en"",""pt"")"),"ZACATEPEC")</f>
        <v>ZACATEPEC</v>
      </c>
      <c r="B538" s="17" t="s">
        <v>18437</v>
      </c>
      <c r="C538" s="17" t="s">
        <v>17707</v>
      </c>
      <c r="D538" s="17" t="s">
        <v>17780</v>
      </c>
      <c r="E538" s="10">
        <v>3514163</v>
      </c>
      <c r="F538" s="4" t="str">
        <f>IF(B538=B537,"",B538)</f>
        <v/>
      </c>
    </row>
    <row r="539" spans="1:6" ht="15.75" customHeight="1">
      <c r="A539" s="6" t="s">
        <v>18435</v>
      </c>
      <c r="B539" s="6" t="s">
        <v>18435</v>
      </c>
      <c r="C539" s="6" t="s">
        <v>17707</v>
      </c>
      <c r="D539" s="6" t="s">
        <v>17763</v>
      </c>
      <c r="E539" s="2">
        <v>3815392</v>
      </c>
      <c r="F539" s="4" t="str">
        <f>IF(B539=B538,"",B539)</f>
        <v>Zacatelco</v>
      </c>
    </row>
    <row r="540" spans="1:6" ht="15.75" customHeight="1">
      <c r="A540" s="5" t="str">
        <f ca="1">IFERROR(__xludf.DUMMYFUNCTION("GOOGLETRANSLATE(B37115,""en"",""pt"")"),"Zacatelco")</f>
        <v>Zacatelco</v>
      </c>
      <c r="B540" s="17" t="s">
        <v>18435</v>
      </c>
      <c r="C540" s="17" t="s">
        <v>17707</v>
      </c>
      <c r="D540" s="17" t="s">
        <v>17763</v>
      </c>
      <c r="E540" s="10">
        <v>3815392</v>
      </c>
      <c r="F540" s="4" t="str">
        <f>IF(B540=B539,"",B540)</f>
        <v/>
      </c>
    </row>
    <row r="541" spans="1:6" ht="15.75" customHeight="1">
      <c r="A541" s="5" t="s">
        <v>6765</v>
      </c>
      <c r="B541" s="6" t="s">
        <v>6765</v>
      </c>
      <c r="C541" s="5" t="s">
        <v>6727</v>
      </c>
      <c r="D541" s="5" t="s">
        <v>692</v>
      </c>
      <c r="E541" s="2">
        <v>3582805</v>
      </c>
      <c r="F541" s="4" t="str">
        <f>IF(B541=B540,"",B541)</f>
        <v>Zacatecoluca</v>
      </c>
    </row>
    <row r="542" spans="1:6" ht="15.75" customHeight="1">
      <c r="A542" s="5" t="str">
        <f ca="1">IFERROR(__xludf.DUMMYFUNCTION("GOOGLETRANSLATE(B41355,""en"",""pt"")"),"Zacatecoluca")</f>
        <v>Zacatecoluca</v>
      </c>
      <c r="B542" s="17" t="s">
        <v>6765</v>
      </c>
      <c r="C542" s="17" t="s">
        <v>6727</v>
      </c>
      <c r="D542" s="17" t="s">
        <v>692</v>
      </c>
      <c r="E542" s="10">
        <v>3582805</v>
      </c>
      <c r="F542" s="4" t="str">
        <f>IF(B542=B541,"",B542)</f>
        <v/>
      </c>
    </row>
    <row r="543" spans="1:6" ht="15.75" customHeight="1">
      <c r="A543" s="6" t="s">
        <v>17943</v>
      </c>
      <c r="B543" s="6" t="s">
        <v>17943</v>
      </c>
      <c r="C543" s="6" t="s">
        <v>17707</v>
      </c>
      <c r="D543" s="6" t="s">
        <v>17943</v>
      </c>
      <c r="E543" s="2">
        <v>3979844</v>
      </c>
      <c r="F543" s="4" t="str">
        <f>IF(B543=B542,"",B543)</f>
        <v>Zacatecas</v>
      </c>
    </row>
    <row r="544" spans="1:6" ht="15.75" customHeight="1">
      <c r="A544" s="5" t="str">
        <f ca="1">IFERROR(__xludf.DUMMYFUNCTION("GOOGLETRANSLATE(B37147,""en"",""pt"")"),"Zacatecas")</f>
        <v>Zacatecas</v>
      </c>
      <c r="B544" s="17" t="s">
        <v>17943</v>
      </c>
      <c r="C544" s="17" t="s">
        <v>17707</v>
      </c>
      <c r="D544" s="17" t="s">
        <v>17943</v>
      </c>
      <c r="E544" s="10">
        <v>3979844</v>
      </c>
      <c r="F544" s="4" t="str">
        <f>IF(B544=B543,"",B544)</f>
        <v/>
      </c>
    </row>
    <row r="545" spans="1:6" ht="15.75" customHeight="1">
      <c r="A545" s="5" t="str">
        <f ca="1">IFERROR(__xludf.DUMMYFUNCTION("GOOGLETRANSLATE(B37148,""en"",""pt"")"),"Zacapú")</f>
        <v>Zacapú</v>
      </c>
      <c r="B545" s="17" t="s">
        <v>34728</v>
      </c>
      <c r="C545" s="17" t="s">
        <v>17707</v>
      </c>
      <c r="D545" s="17" t="s">
        <v>34727</v>
      </c>
      <c r="E545" s="10">
        <v>3979846</v>
      </c>
      <c r="F545" s="4" t="str">
        <f>IF(B545=B544,"",B545)</f>
        <v>Zacapú</v>
      </c>
    </row>
    <row r="546" spans="1:6" ht="15.75" customHeight="1">
      <c r="A546" s="6" t="s">
        <v>18433</v>
      </c>
      <c r="B546" s="6" t="s">
        <v>18434</v>
      </c>
      <c r="C546" s="6" t="s">
        <v>17707</v>
      </c>
      <c r="D546" s="6" t="s">
        <v>17761</v>
      </c>
      <c r="E546" s="2">
        <v>3979846</v>
      </c>
      <c r="F546" s="4" t="str">
        <f>IF(B546=B545,"",B546)</f>
        <v>ZacapÃº</v>
      </c>
    </row>
    <row r="547" spans="1:6" ht="15.75" customHeight="1">
      <c r="A547" s="6" t="s">
        <v>9743</v>
      </c>
      <c r="B547" s="6" t="s">
        <v>9743</v>
      </c>
      <c r="C547" s="6" t="s">
        <v>9700</v>
      </c>
      <c r="D547" s="6" t="s">
        <v>9743</v>
      </c>
      <c r="E547" s="2">
        <v>3587587</v>
      </c>
      <c r="F547" s="4" t="str">
        <f>IF(B547=B546,"",B547)</f>
        <v>Zacapa</v>
      </c>
    </row>
    <row r="548" spans="1:6" ht="15.75" customHeight="1">
      <c r="A548" s="5" t="str">
        <f ca="1">IFERROR(__xludf.DUMMYFUNCTION("GOOGLETRANSLATE(B31064,""en"",""pt"")"),"Zacapa")</f>
        <v>Zacapa</v>
      </c>
      <c r="B548" s="17" t="s">
        <v>9743</v>
      </c>
      <c r="C548" s="17" t="s">
        <v>9700</v>
      </c>
      <c r="D548" s="17" t="s">
        <v>9743</v>
      </c>
      <c r="E548" s="10">
        <v>3587587</v>
      </c>
      <c r="F548" s="4" t="str">
        <f>IF(B548=B547,"",B548)</f>
        <v/>
      </c>
    </row>
    <row r="549" spans="1:6" ht="15.75" customHeight="1">
      <c r="A549" s="6" t="s">
        <v>21590</v>
      </c>
      <c r="B549" s="6" t="s">
        <v>21590</v>
      </c>
      <c r="C549" s="6" t="s">
        <v>21064</v>
      </c>
      <c r="D549" s="6" t="s">
        <v>21073</v>
      </c>
      <c r="E549" s="2">
        <v>3080985</v>
      </c>
      <c r="F549" s="4" t="str">
        <f>IF(B549=B548,"",B549)</f>
        <v>Zabrze</v>
      </c>
    </row>
    <row r="550" spans="1:6" ht="15.75" customHeight="1">
      <c r="A550" s="5" t="str">
        <f ca="1">IFERROR(__xludf.DUMMYFUNCTION("GOOGLETRANSLATE(B39311,""en"",""pt"")"),"Zabrze")</f>
        <v>Zabrze</v>
      </c>
      <c r="B550" s="17" t="s">
        <v>21590</v>
      </c>
      <c r="C550" s="17" t="s">
        <v>21064</v>
      </c>
      <c r="D550" s="17" t="s">
        <v>21073</v>
      </c>
      <c r="E550" s="10">
        <v>3080985</v>
      </c>
      <c r="F550" s="4" t="str">
        <f>IF(B550=B549,"",B550)</f>
        <v/>
      </c>
    </row>
    <row r="551" spans="1:6" ht="15.75" customHeight="1">
      <c r="A551" s="6" t="s">
        <v>1270</v>
      </c>
      <c r="B551" s="6" t="s">
        <v>1270</v>
      </c>
      <c r="C551" s="6" t="s">
        <v>1170</v>
      </c>
      <c r="D551" s="6" t="s">
        <v>1181</v>
      </c>
      <c r="E551" s="2">
        <v>584614</v>
      </c>
      <c r="F551" s="4" t="str">
        <f>IF(B551=B550,"",B551)</f>
        <v>Zabrat</v>
      </c>
    </row>
    <row r="552" spans="1:6" ht="15.75" customHeight="1">
      <c r="A552" s="5" t="str">
        <f ca="1">IFERROR(__xludf.DUMMYFUNCTION("GOOGLETRANSLATE(B23632,""en"",""pt"")"),"Zabrat")</f>
        <v>Zabrat</v>
      </c>
      <c r="B552" s="17" t="s">
        <v>1270</v>
      </c>
      <c r="C552" s="17" t="s">
        <v>1170</v>
      </c>
      <c r="D552" s="17" t="s">
        <v>1181</v>
      </c>
      <c r="E552" s="10">
        <v>584614</v>
      </c>
      <c r="F552" s="4" t="str">
        <f>IF(B552=B551,"",B552)</f>
        <v/>
      </c>
    </row>
    <row r="553" spans="1:6" ht="15.75" customHeight="1">
      <c r="A553" s="5" t="str">
        <f ca="1">IFERROR(__xludf.DUMMYFUNCTION("GOOGLETRANSLATE(B34524,""en"",""pt"")"),"Zābol")</f>
        <v>Zābol</v>
      </c>
      <c r="B553" s="17" t="s">
        <v>34258</v>
      </c>
      <c r="C553" s="17" t="s">
        <v>14240</v>
      </c>
      <c r="D553" s="17" t="s">
        <v>14266</v>
      </c>
      <c r="E553" s="10">
        <v>1113217</v>
      </c>
      <c r="F553" s="4" t="str">
        <f>IF(B553=B552,"",B553)</f>
        <v>Zābol</v>
      </c>
    </row>
    <row r="554" spans="1:6" ht="15.75" customHeight="1">
      <c r="A554" s="5" t="str">
        <f ca="1">IFERROR(__xludf.DUMMYFUNCTION("GOOGLETRANSLATE(B39312,""en"",""pt"")"),"Ząbkowice śląskie")</f>
        <v>Ząbkowice śląskie</v>
      </c>
      <c r="B554" s="17" t="s">
        <v>35144</v>
      </c>
      <c r="C554" s="17" t="s">
        <v>21064</v>
      </c>
      <c r="D554" s="17" t="s">
        <v>21118</v>
      </c>
      <c r="E554" s="10">
        <v>3081046</v>
      </c>
      <c r="F554" s="4" t="str">
        <f>IF(B554=B553,"",B554)</f>
        <v>Ząbkowice Śląskie</v>
      </c>
    </row>
    <row r="555" spans="1:6" ht="15.75" customHeight="1">
      <c r="A555" s="5" t="str">
        <f ca="1">IFERROR(__xludf.DUMMYFUNCTION("GOOGLETRANSLATE(B39180,""en"",""pt"")"),"Ząbki")</f>
        <v>Ząbki</v>
      </c>
      <c r="B555" s="17" t="s">
        <v>35065</v>
      </c>
      <c r="C555" s="17" t="s">
        <v>21064</v>
      </c>
      <c r="D555" s="17" t="s">
        <v>21070</v>
      </c>
      <c r="E555" s="10">
        <v>754351</v>
      </c>
      <c r="F555" s="4" t="str">
        <f>IF(B555=B554,"",B555)</f>
        <v>Ząbki</v>
      </c>
    </row>
    <row r="556" spans="1:6" ht="15.75" customHeight="1">
      <c r="A556" s="5" t="str">
        <f ca="1">IFERROR(__xludf.DUMMYFUNCTION("GOOGLETRANSLATE(B45817,""en"",""pt"")"),"Zabīd")</f>
        <v>Zabīd</v>
      </c>
      <c r="B556" s="17" t="s">
        <v>36212</v>
      </c>
      <c r="C556" s="17" t="s">
        <v>30993</v>
      </c>
      <c r="D556" s="17" t="s">
        <v>36213</v>
      </c>
      <c r="E556" s="10">
        <v>69500</v>
      </c>
      <c r="F556" s="4" t="str">
        <f>IF(B556=B555,"",B556)</f>
        <v>Zabīd</v>
      </c>
    </row>
    <row r="557" spans="1:6" ht="15.75" customHeight="1">
      <c r="A557" s="5" t="str">
        <f ca="1">IFERROR(__xludf.DUMMYFUNCTION("GOOGLETRANSLATE(B36807,""en"",""pt"")"),"Żabbar")</f>
        <v>Żabbar</v>
      </c>
      <c r="B557" s="17" t="s">
        <v>34650</v>
      </c>
      <c r="C557" s="17" t="s">
        <v>17621</v>
      </c>
      <c r="D557" s="17" t="s">
        <v>34651</v>
      </c>
      <c r="E557" s="10">
        <v>2562266</v>
      </c>
      <c r="F557" s="4" t="str">
        <f>IF(B557=B556,"",B557)</f>
        <v>Żabbar</v>
      </c>
    </row>
    <row r="558" spans="1:6" ht="15.75" customHeight="1">
      <c r="A558" s="6" t="s">
        <v>31032</v>
      </c>
      <c r="B558" s="6" t="s">
        <v>31033</v>
      </c>
      <c r="C558" s="6" t="s">
        <v>30993</v>
      </c>
      <c r="D558" s="6" t="s">
        <v>31002</v>
      </c>
      <c r="E558" s="2">
        <v>69500</v>
      </c>
      <c r="F558" s="4" t="str">
        <f>IF(B558=B557,"",B558)</f>
        <v>ZabÄ«d</v>
      </c>
    </row>
    <row r="559" spans="1:6" ht="15.75" customHeight="1">
      <c r="A559" s="6" t="s">
        <v>19151</v>
      </c>
      <c r="B559" s="6" t="s">
        <v>19151</v>
      </c>
      <c r="C559" s="6" t="s">
        <v>18862</v>
      </c>
      <c r="D559" s="6" t="s">
        <v>18863</v>
      </c>
      <c r="E559" s="2">
        <v>2744114</v>
      </c>
      <c r="F559" s="4" t="str">
        <f>IF(B559=B558,"",B559)</f>
        <v>Zaanstad</v>
      </c>
    </row>
    <row r="560" spans="1:6" ht="15.75" customHeight="1">
      <c r="A560" s="5" t="str">
        <f ca="1">IFERROR(__xludf.DUMMYFUNCTION("GOOGLETRANSLATE(B37895,""en"",""pt"")"),"Zaanstad")</f>
        <v>Zaanstad</v>
      </c>
      <c r="B560" s="17" t="s">
        <v>19151</v>
      </c>
      <c r="C560" s="17" t="s">
        <v>18862</v>
      </c>
      <c r="D560" s="17" t="s">
        <v>18863</v>
      </c>
      <c r="E560" s="10">
        <v>2744114</v>
      </c>
      <c r="F560" s="4" t="str">
        <f>IF(B560=B559,"",B560)</f>
        <v/>
      </c>
    </row>
    <row r="561" spans="1:6" ht="15.75" customHeight="1">
      <c r="A561" s="6" t="s">
        <v>19150</v>
      </c>
      <c r="B561" s="6" t="s">
        <v>19150</v>
      </c>
      <c r="C561" s="6" t="s">
        <v>18862</v>
      </c>
      <c r="D561" s="6" t="s">
        <v>18863</v>
      </c>
      <c r="E561" s="2">
        <v>2744118</v>
      </c>
      <c r="F561" s="4" t="str">
        <f>IF(B561=B560,"",B561)</f>
        <v>Zaandam</v>
      </c>
    </row>
    <row r="562" spans="1:6" ht="15.75" customHeight="1">
      <c r="A562" s="5" t="str">
        <f ca="1">IFERROR(__xludf.DUMMYFUNCTION("GOOGLETRANSLATE(B37896,""en"",""pt"")"),"Zaandam")</f>
        <v>Zaandam</v>
      </c>
      <c r="B562" s="17" t="s">
        <v>19150</v>
      </c>
      <c r="C562" s="17" t="s">
        <v>18862</v>
      </c>
      <c r="D562" s="17" t="s">
        <v>18863</v>
      </c>
      <c r="E562" s="10">
        <v>2744118</v>
      </c>
      <c r="F562" s="4" t="str">
        <f>IF(B562=B561,"",B562)</f>
        <v/>
      </c>
    </row>
    <row r="563" spans="1:6" ht="15.75" customHeight="1">
      <c r="A563" s="6" t="s">
        <v>18650</v>
      </c>
      <c r="B563" s="6" t="s">
        <v>18651</v>
      </c>
      <c r="C563" s="6" t="s">
        <v>18551</v>
      </c>
      <c r="D563" s="6" t="s">
        <v>18554</v>
      </c>
      <c r="E563" s="2">
        <v>2526435</v>
      </c>
      <c r="F563" s="4" t="str">
        <f>IF(B563=B562,"",B563)</f>
        <v>ZaÃ¯o</v>
      </c>
    </row>
    <row r="564" spans="1:6" ht="15.75" customHeight="1">
      <c r="A564" s="5" t="s">
        <v>25362</v>
      </c>
      <c r="B564" s="6" t="s">
        <v>25363</v>
      </c>
      <c r="C564" s="5" t="s">
        <v>25237</v>
      </c>
      <c r="D564" s="5" t="s">
        <v>25240</v>
      </c>
      <c r="E564" s="2">
        <v>6295513</v>
      </c>
      <c r="F564" s="4" t="str">
        <f>IF(B564=B563,"",B564)</f>
        <v>ZÃ¼rich (Kreis 9) / Altstetten</v>
      </c>
    </row>
    <row r="565" spans="1:6" ht="15.75" customHeight="1">
      <c r="A565" s="5" t="s">
        <v>25360</v>
      </c>
      <c r="B565" s="6" t="s">
        <v>25361</v>
      </c>
      <c r="C565" s="5" t="s">
        <v>25237</v>
      </c>
      <c r="D565" s="5" t="s">
        <v>25240</v>
      </c>
      <c r="E565" s="2">
        <v>6295512</v>
      </c>
      <c r="F565" s="4" t="str">
        <f>IF(B565=B564,"",B565)</f>
        <v>ZÃ¼rich (Kreis 9) / Albisrieden</v>
      </c>
    </row>
    <row r="566" spans="1:6" ht="15.75" customHeight="1">
      <c r="A566" s="5" t="s">
        <v>25358</v>
      </c>
      <c r="B566" s="6" t="s">
        <v>25359</v>
      </c>
      <c r="C566" s="5" t="s">
        <v>25237</v>
      </c>
      <c r="D566" s="5" t="s">
        <v>25240</v>
      </c>
      <c r="E566" s="2">
        <v>6295534</v>
      </c>
      <c r="F566" s="4" t="str">
        <f>IF(B566=B565,"",B566)</f>
        <v>ZÃ¼rich (Kreis 9)</v>
      </c>
    </row>
    <row r="567" spans="1:6" ht="15.75" customHeight="1">
      <c r="A567" s="5" t="s">
        <v>25356</v>
      </c>
      <c r="B567" s="6" t="s">
        <v>25357</v>
      </c>
      <c r="C567" s="5" t="s">
        <v>25237</v>
      </c>
      <c r="D567" s="5" t="s">
        <v>25240</v>
      </c>
      <c r="E567" s="2">
        <v>6295542</v>
      </c>
      <c r="F567" s="4" t="str">
        <f>IF(B567=B566,"",B567)</f>
        <v>ZÃ¼rich (Kreis 8)</v>
      </c>
    </row>
    <row r="568" spans="1:6" ht="15.75" customHeight="1">
      <c r="A568" s="5" t="s">
        <v>25354</v>
      </c>
      <c r="B568" s="6" t="s">
        <v>25355</v>
      </c>
      <c r="C568" s="5" t="s">
        <v>25237</v>
      </c>
      <c r="D568" s="5" t="s">
        <v>25240</v>
      </c>
      <c r="E568" s="2">
        <v>6295548</v>
      </c>
      <c r="F568" s="4" t="str">
        <f>IF(B568=B567,"",B568)</f>
        <v>ZÃ¼rich (Kreis 7)</v>
      </c>
    </row>
    <row r="569" spans="1:6" ht="15.75" customHeight="1">
      <c r="A569" s="5" t="s">
        <v>25352</v>
      </c>
      <c r="B569" s="6" t="s">
        <v>25353</v>
      </c>
      <c r="C569" s="5" t="s">
        <v>25237</v>
      </c>
      <c r="D569" s="5" t="s">
        <v>25240</v>
      </c>
      <c r="E569" s="2">
        <v>6295504</v>
      </c>
      <c r="F569" s="4" t="str">
        <f>IF(B569=B568,"",B569)</f>
        <v>ZÃ¼rich (Kreis 6) / Unterstrass</v>
      </c>
    </row>
    <row r="570" spans="1:6" ht="15.75" customHeight="1">
      <c r="A570" s="5" t="s">
        <v>25350</v>
      </c>
      <c r="B570" s="6" t="s">
        <v>25351</v>
      </c>
      <c r="C570" s="5" t="s">
        <v>25237</v>
      </c>
      <c r="D570" s="5" t="s">
        <v>25240</v>
      </c>
      <c r="E570" s="2">
        <v>6295550</v>
      </c>
      <c r="F570" s="4" t="str">
        <f>IF(B570=B569,"",B570)</f>
        <v>ZÃ¼rich (Kreis 6)</v>
      </c>
    </row>
    <row r="571" spans="1:6" ht="15.75" customHeight="1">
      <c r="A571" s="5" t="s">
        <v>25348</v>
      </c>
      <c r="B571" s="6" t="s">
        <v>25349</v>
      </c>
      <c r="C571" s="5" t="s">
        <v>25237</v>
      </c>
      <c r="D571" s="5" t="s">
        <v>25240</v>
      </c>
      <c r="E571" s="2">
        <v>2661666</v>
      </c>
      <c r="F571" s="4" t="str">
        <f>IF(B571=B570,"",B571)</f>
        <v>ZÃ¼rich (Kreis 4)</v>
      </c>
    </row>
    <row r="572" spans="1:6" ht="15.75" customHeight="1">
      <c r="A572" s="5" t="s">
        <v>25346</v>
      </c>
      <c r="B572" s="6" t="s">
        <v>25347</v>
      </c>
      <c r="C572" s="5" t="s">
        <v>25237</v>
      </c>
      <c r="D572" s="5" t="s">
        <v>25240</v>
      </c>
      <c r="E572" s="2">
        <v>6295498</v>
      </c>
      <c r="F572" s="4" t="str">
        <f>IF(B572=B571,"",B572)</f>
        <v>ZÃ¼rich (Kreis 3) / Sihlfeld</v>
      </c>
    </row>
    <row r="573" spans="1:6" ht="15.75" customHeight="1">
      <c r="A573" s="5" t="s">
        <v>25344</v>
      </c>
      <c r="B573" s="6" t="s">
        <v>25345</v>
      </c>
      <c r="C573" s="5" t="s">
        <v>25237</v>
      </c>
      <c r="D573" s="5" t="s">
        <v>25240</v>
      </c>
      <c r="E573" s="2">
        <v>6295532</v>
      </c>
      <c r="F573" s="4" t="str">
        <f>IF(B573=B572,"",B573)</f>
        <v>ZÃ¼rich (Kreis 3)</v>
      </c>
    </row>
    <row r="574" spans="1:6" ht="15.75" customHeight="1">
      <c r="A574" s="5" t="s">
        <v>25342</v>
      </c>
      <c r="B574" s="6" t="s">
        <v>25343</v>
      </c>
      <c r="C574" s="5" t="s">
        <v>25237</v>
      </c>
      <c r="D574" s="5" t="s">
        <v>25240</v>
      </c>
      <c r="E574" s="2">
        <v>6295495</v>
      </c>
      <c r="F574" s="4" t="str">
        <f>IF(B574=B573,"",B574)</f>
        <v>ZÃ¼rich (Kreis 2) / Wollishofen</v>
      </c>
    </row>
    <row r="575" spans="1:6" ht="15.75" customHeight="1">
      <c r="A575" s="5" t="s">
        <v>25340</v>
      </c>
      <c r="B575" s="6" t="s">
        <v>25341</v>
      </c>
      <c r="C575" s="5" t="s">
        <v>25237</v>
      </c>
      <c r="D575" s="5" t="s">
        <v>25240</v>
      </c>
      <c r="E575" s="2">
        <v>6295540</v>
      </c>
      <c r="F575" s="4" t="str">
        <f>IF(B575=B574,"",B575)</f>
        <v>ZÃ¼rich (Kreis 2)</v>
      </c>
    </row>
    <row r="576" spans="1:6" ht="15.75" customHeight="1">
      <c r="A576" s="5" t="s">
        <v>25338</v>
      </c>
      <c r="B576" s="6" t="s">
        <v>25339</v>
      </c>
      <c r="C576" s="5" t="s">
        <v>25237</v>
      </c>
      <c r="D576" s="5" t="s">
        <v>25240</v>
      </c>
      <c r="E576" s="2">
        <v>6295523</v>
      </c>
      <c r="F576" s="4" t="str">
        <f>IF(B576=B575,"",B576)</f>
        <v>ZÃ¼rich (Kreis 12)</v>
      </c>
    </row>
    <row r="577" spans="1:6" ht="15.75" customHeight="1">
      <c r="A577" s="5" t="s">
        <v>25336</v>
      </c>
      <c r="B577" s="6" t="s">
        <v>25337</v>
      </c>
      <c r="C577" s="5" t="s">
        <v>25237</v>
      </c>
      <c r="D577" s="5" t="s">
        <v>25240</v>
      </c>
      <c r="E577" s="2">
        <v>2658656</v>
      </c>
      <c r="F577" s="4" t="str">
        <f>IF(B577=B576,"",B577)</f>
        <v>ZÃ¼rich (Kreis 11) / Seebach</v>
      </c>
    </row>
    <row r="578" spans="1:6" ht="15.75" customHeight="1">
      <c r="A578" s="5" t="s">
        <v>25334</v>
      </c>
      <c r="B578" s="6" t="s">
        <v>25335</v>
      </c>
      <c r="C578" s="5" t="s">
        <v>25237</v>
      </c>
      <c r="D578" s="5" t="s">
        <v>25240</v>
      </c>
      <c r="E578" s="2">
        <v>2659310</v>
      </c>
      <c r="F578" s="4" t="str">
        <f>IF(B578=B577,"",B578)</f>
        <v>ZÃ¼rich (Kreis 11) / Oerlikon</v>
      </c>
    </row>
    <row r="579" spans="1:6" ht="15.75" customHeight="1">
      <c r="A579" s="5" t="s">
        <v>25332</v>
      </c>
      <c r="B579" s="6" t="s">
        <v>25333</v>
      </c>
      <c r="C579" s="5" t="s">
        <v>25237</v>
      </c>
      <c r="D579" s="5" t="s">
        <v>25240</v>
      </c>
      <c r="E579" s="2">
        <v>6295484</v>
      </c>
      <c r="F579" s="4" t="str">
        <f>IF(B579=B578,"",B579)</f>
        <v>ZÃ¼rich (Kreis 11) / Affoltern</v>
      </c>
    </row>
    <row r="580" spans="1:6" ht="15.75" customHeight="1">
      <c r="A580" s="5" t="s">
        <v>25330</v>
      </c>
      <c r="B580" s="6" t="s">
        <v>25331</v>
      </c>
      <c r="C580" s="5" t="s">
        <v>25237</v>
      </c>
      <c r="D580" s="5" t="s">
        <v>25240</v>
      </c>
      <c r="E580" s="2">
        <v>6295533</v>
      </c>
      <c r="F580" s="4" t="str">
        <f>IF(B580=B579,"",B580)</f>
        <v>ZÃ¼rich (Kreis 11)</v>
      </c>
    </row>
    <row r="581" spans="1:6" ht="15.75" customHeight="1">
      <c r="A581" s="5" t="s">
        <v>25328</v>
      </c>
      <c r="B581" s="6" t="s">
        <v>25329</v>
      </c>
      <c r="C581" s="5" t="s">
        <v>25237</v>
      </c>
      <c r="D581" s="5" t="s">
        <v>25240</v>
      </c>
      <c r="E581" s="2">
        <v>6295475</v>
      </c>
      <c r="F581" s="4" t="str">
        <f>IF(B581=B580,"",B581)</f>
        <v>ZÃ¼rich (Kreis 10) / Wipkingen</v>
      </c>
    </row>
    <row r="582" spans="1:6" ht="15.75" customHeight="1">
      <c r="A582" s="5" t="s">
        <v>25326</v>
      </c>
      <c r="B582" s="6" t="s">
        <v>25327</v>
      </c>
      <c r="C582" s="5" t="s">
        <v>25237</v>
      </c>
      <c r="D582" s="5" t="s">
        <v>25240</v>
      </c>
      <c r="E582" s="2">
        <v>2660306</v>
      </c>
      <c r="F582" s="4" t="str">
        <f>IF(B582=B581,"",B582)</f>
        <v>ZÃ¼rich (Kreis 10) / HÃ¶ngg</v>
      </c>
    </row>
    <row r="583" spans="1:6" ht="15.75" customHeight="1">
      <c r="A583" s="5" t="s">
        <v>25324</v>
      </c>
      <c r="B583" s="6" t="s">
        <v>25325</v>
      </c>
      <c r="C583" s="5" t="s">
        <v>25237</v>
      </c>
      <c r="D583" s="5" t="s">
        <v>25240</v>
      </c>
      <c r="E583" s="2">
        <v>6295539</v>
      </c>
      <c r="F583" s="4" t="str">
        <f>IF(B583=B582,"",B583)</f>
        <v>ZÃ¼rich (Kreis 10)</v>
      </c>
    </row>
    <row r="584" spans="1:6" ht="15.75" customHeight="1">
      <c r="A584" s="6" t="s">
        <v>25322</v>
      </c>
      <c r="B584" s="6" t="s">
        <v>25323</v>
      </c>
      <c r="C584" s="6" t="s">
        <v>25237</v>
      </c>
      <c r="D584" s="6" t="s">
        <v>25240</v>
      </c>
      <c r="E584" s="2">
        <v>2657896</v>
      </c>
      <c r="F584" s="4" t="str">
        <f>IF(B584=B583,"",B584)</f>
        <v>ZÃ¼rich</v>
      </c>
    </row>
    <row r="585" spans="1:6" ht="15.75" customHeight="1">
      <c r="A585" s="5" t="s">
        <v>20287</v>
      </c>
      <c r="B585" s="6" t="s">
        <v>20288</v>
      </c>
      <c r="C585" s="5" t="s">
        <v>19808</v>
      </c>
      <c r="D585" s="5" t="s">
        <v>10184</v>
      </c>
      <c r="E585" s="2">
        <v>1162275</v>
      </c>
      <c r="F585" s="4" t="str">
        <f>IF(B585=B584,"",B585)</f>
        <v>ZÄhir PÄ«r</v>
      </c>
    </row>
    <row r="586" spans="1:6" ht="15.75" customHeight="1">
      <c r="A586" s="6" t="s">
        <v>14586</v>
      </c>
      <c r="B586" s="6" t="s">
        <v>14587</v>
      </c>
      <c r="C586" s="6" t="s">
        <v>14240</v>
      </c>
      <c r="D586" s="6" t="s">
        <v>14266</v>
      </c>
      <c r="E586" s="2">
        <v>1113217</v>
      </c>
      <c r="F586" s="4" t="str">
        <f>IF(B586=B585,"",B586)</f>
        <v>ZÄbol</v>
      </c>
    </row>
    <row r="587" spans="1:6" ht="15.75" customHeight="1">
      <c r="A587" s="5" t="s">
        <v>21588</v>
      </c>
      <c r="B587" s="6" t="s">
        <v>21589</v>
      </c>
      <c r="C587" s="5" t="s">
        <v>21064</v>
      </c>
      <c r="D587" s="5" t="s">
        <v>21118</v>
      </c>
      <c r="E587" s="2">
        <v>3081046</v>
      </c>
      <c r="F587" s="4" t="str">
        <f>IF(B587=B586,"",B587)</f>
        <v>ZÄ…bkowice ÅšlÄ…skie</v>
      </c>
    </row>
    <row r="588" spans="1:6" ht="15.75" customHeight="1">
      <c r="A588" s="6" t="s">
        <v>21586</v>
      </c>
      <c r="B588" s="6" t="s">
        <v>21587</v>
      </c>
      <c r="C588" s="6" t="s">
        <v>21064</v>
      </c>
      <c r="D588" s="6" t="s">
        <v>21070</v>
      </c>
      <c r="E588" s="2">
        <v>754351</v>
      </c>
      <c r="F588" s="4" t="str">
        <f>IF(B588=B587,"",B588)</f>
        <v>ZÄ…bki</v>
      </c>
    </row>
    <row r="589" spans="1:6" ht="15.75" customHeight="1">
      <c r="A589" s="5" t="s">
        <v>21584</v>
      </c>
      <c r="B589" s="6" t="s">
        <v>21585</v>
      </c>
      <c r="C589" s="5" t="s">
        <v>21064</v>
      </c>
      <c r="D589" s="5" t="s">
        <v>21118</v>
      </c>
      <c r="E589" s="2">
        <v>3080074</v>
      </c>
      <c r="F589" s="4" t="str">
        <f>IF(B589=B588,"",B589)</f>
        <v>ZÅ‚otoryja</v>
      </c>
    </row>
    <row r="590" spans="1:6" ht="15.75" customHeight="1">
      <c r="A590" s="6" t="s">
        <v>21582</v>
      </c>
      <c r="B590" s="6" t="s">
        <v>21583</v>
      </c>
      <c r="C590" s="6" t="s">
        <v>21064</v>
      </c>
      <c r="D590" s="6" t="s">
        <v>21112</v>
      </c>
      <c r="E590" s="2">
        <v>3080071</v>
      </c>
      <c r="F590" s="4" t="str">
        <f>IF(B590=B589,"",B590)</f>
        <v>ZÅ‚otÃ³w</v>
      </c>
    </row>
    <row r="591" spans="1:6" ht="15.75" customHeight="1">
      <c r="A591" s="6" t="s">
        <v>848</v>
      </c>
      <c r="B591" s="6" t="s">
        <v>849</v>
      </c>
      <c r="C591" s="6" t="s">
        <v>558</v>
      </c>
      <c r="D591" s="6" t="s">
        <v>562</v>
      </c>
      <c r="E591" s="2">
        <v>3427213</v>
      </c>
      <c r="F591" s="4" t="str">
        <f>IF(B591=B590,"",B591)</f>
        <v>ZÃ¡rate</v>
      </c>
    </row>
    <row r="592" spans="1:6" ht="15.75" customHeight="1">
      <c r="A592" s="6" t="s">
        <v>26807</v>
      </c>
      <c r="B592" s="6" t="s">
        <v>26807</v>
      </c>
      <c r="C592" s="6" t="s">
        <v>26774</v>
      </c>
      <c r="D592" s="6" t="s">
        <v>26787</v>
      </c>
      <c r="E592" s="2">
        <v>601432</v>
      </c>
      <c r="F592" s="4" t="str">
        <f>IF(B592=B591,"",B592)</f>
        <v>Yylanly</v>
      </c>
    </row>
    <row r="593" spans="1:6" ht="15.75" customHeight="1">
      <c r="A593" s="5" t="str">
        <f ca="1">IFERROR(__xludf.DUMMYFUNCTION("GOOGLETRANSLATE(B41774,""en"",""pt"")"),"Yylanly")</f>
        <v>Yylanly</v>
      </c>
      <c r="B593" s="17" t="s">
        <v>26807</v>
      </c>
      <c r="C593" s="17" t="s">
        <v>26774</v>
      </c>
      <c r="D593" s="17" t="s">
        <v>35787</v>
      </c>
      <c r="E593" s="10">
        <v>601432</v>
      </c>
      <c r="F593" s="4" t="str">
        <f>IF(B593=B592,"",B593)</f>
        <v/>
      </c>
    </row>
    <row r="594" spans="1:6" ht="15.75" customHeight="1">
      <c r="A594" s="5" t="s">
        <v>25321</v>
      </c>
      <c r="B594" s="6" t="s">
        <v>25321</v>
      </c>
      <c r="C594" s="5" t="s">
        <v>25237</v>
      </c>
      <c r="D594" s="5" t="s">
        <v>25284</v>
      </c>
      <c r="E594" s="2">
        <v>2657941</v>
      </c>
      <c r="F594" s="4" t="str">
        <f>IF(B594=B593,"",B594)</f>
        <v>Yverdon-les-Bains</v>
      </c>
    </row>
    <row r="595" spans="1:6" ht="15.75" customHeight="1">
      <c r="A595" s="5" t="str">
        <f ca="1">IFERROR(__xludf.DUMMYFUNCTION("GOOGLETRANSLATE(B25744,""en"",""pt"")"),"Yverdon-les-Bains")</f>
        <v>Yverdon-les-Bains</v>
      </c>
      <c r="B595" s="17" t="s">
        <v>25321</v>
      </c>
      <c r="C595" s="17" t="s">
        <v>25237</v>
      </c>
      <c r="D595" s="17" t="s">
        <v>25284</v>
      </c>
      <c r="E595" s="10">
        <v>2657941</v>
      </c>
      <c r="F595" s="4" t="str">
        <f>IF(B595=B594,"",B595)</f>
        <v/>
      </c>
    </row>
    <row r="596" spans="1:6" ht="15.75" customHeight="1">
      <c r="A596" s="6" t="s">
        <v>23366</v>
      </c>
      <c r="B596" s="6" t="s">
        <v>23366</v>
      </c>
      <c r="C596" s="6" t="s">
        <v>22070</v>
      </c>
      <c r="D596" s="6" t="s">
        <v>22124</v>
      </c>
      <c r="E596" s="2">
        <v>1485627</v>
      </c>
      <c r="F596" s="4" t="str">
        <f>IF(B596=B595,"",B596)</f>
        <v>Yuzhnyy</v>
      </c>
    </row>
    <row r="597" spans="1:6" ht="15.75" customHeight="1">
      <c r="A597" s="5" t="str">
        <f ca="1">IFERROR(__xludf.DUMMYFUNCTION("GOOGLETRANSLATE(B40716,""en"",""pt"")"),"Yuzhnyy")</f>
        <v>Yuzhnyy</v>
      </c>
      <c r="B597" s="17" t="s">
        <v>23366</v>
      </c>
      <c r="C597" s="17" t="s">
        <v>22070</v>
      </c>
      <c r="D597" s="17" t="s">
        <v>22124</v>
      </c>
      <c r="E597" s="10">
        <v>1485627</v>
      </c>
      <c r="F597" s="4" t="str">
        <f>IF(B597=B596,"",B597)</f>
        <v/>
      </c>
    </row>
    <row r="598" spans="1:6" ht="15.75" customHeight="1">
      <c r="A598" s="5" t="s">
        <v>23364</v>
      </c>
      <c r="B598" s="6" t="s">
        <v>23365</v>
      </c>
      <c r="C598" s="5" t="s">
        <v>22070</v>
      </c>
      <c r="D598" s="5" t="s">
        <v>22166</v>
      </c>
      <c r="E598" s="2">
        <v>1485634</v>
      </c>
      <c r="F598" s="4" t="str">
        <f>IF(B598=B597,"",B598)</f>
        <v>Yuzhnouralâ€™sk</v>
      </c>
    </row>
    <row r="599" spans="1:6" ht="15.75" customHeight="1">
      <c r="A599" s="5" t="str">
        <f ca="1">IFERROR(__xludf.DUMMYFUNCTION("GOOGLETRANSLATE(B40717,""en"",""pt"")"),"Yuzhnoural'sk")</f>
        <v>Yuzhnoural'sk</v>
      </c>
      <c r="B599" s="17" t="s">
        <v>35532</v>
      </c>
      <c r="C599" s="17" t="s">
        <v>22070</v>
      </c>
      <c r="D599" s="17" t="s">
        <v>22166</v>
      </c>
      <c r="E599" s="10">
        <v>1485634</v>
      </c>
      <c r="F599" s="4" t="str">
        <f>IF(B599=B598,"",B599)</f>
        <v>Yuzhnoural’sk</v>
      </c>
    </row>
    <row r="600" spans="1:6" ht="15.75" customHeight="1">
      <c r="A600" s="5" t="s">
        <v>27200</v>
      </c>
      <c r="B600" s="6" t="s">
        <v>27200</v>
      </c>
      <c r="C600" s="5" t="s">
        <v>26870</v>
      </c>
      <c r="D600" s="5" t="s">
        <v>27075</v>
      </c>
      <c r="E600" s="2">
        <v>7525990</v>
      </c>
      <c r="F600" s="4" t="str">
        <f>IF(B600=B599,"",B600)</f>
        <v>Yuzhnoukrains'k</v>
      </c>
    </row>
    <row r="601" spans="1:6" ht="15.75" customHeight="1">
      <c r="A601" s="5" t="str">
        <f ca="1">IFERROR(__xludf.DUMMYFUNCTION("GOOGLETRANSLATE(B42721,""en"",""pt"")"),"Yuzhnoukrains'k")</f>
        <v>Yuzhnoukrains'k</v>
      </c>
      <c r="B601" s="17" t="s">
        <v>27200</v>
      </c>
      <c r="C601" s="17" t="s">
        <v>26870</v>
      </c>
      <c r="D601" s="17" t="s">
        <v>27075</v>
      </c>
      <c r="E601" s="10">
        <v>7525990</v>
      </c>
      <c r="F601" s="4" t="str">
        <f>IF(B601=B600,"",B601)</f>
        <v/>
      </c>
    </row>
    <row r="602" spans="1:6" ht="15.75" customHeight="1">
      <c r="A602" s="5" t="s">
        <v>23363</v>
      </c>
      <c r="B602" s="6" t="s">
        <v>23363</v>
      </c>
      <c r="C602" s="5" t="s">
        <v>22070</v>
      </c>
      <c r="D602" s="5" t="s">
        <v>22508</v>
      </c>
      <c r="E602" s="2">
        <v>2119441</v>
      </c>
      <c r="F602" s="4" t="str">
        <f>IF(B602=B601,"",B602)</f>
        <v>Yuzhno-Sakhalinsk</v>
      </c>
    </row>
    <row r="603" spans="1:6" ht="15.75" customHeight="1">
      <c r="A603" s="5" t="str">
        <f ca="1">IFERROR(__xludf.DUMMYFUNCTION("GOOGLETRANSLATE(B40954,""en"",""pt"")"),"Yuzhno-Sakhalinsk")</f>
        <v>Yuzhno-Sakhalinsk</v>
      </c>
      <c r="B603" s="17" t="s">
        <v>23363</v>
      </c>
      <c r="C603" s="17" t="s">
        <v>22070</v>
      </c>
      <c r="D603" s="17" t="s">
        <v>22508</v>
      </c>
      <c r="E603" s="10">
        <v>2119441</v>
      </c>
      <c r="F603" s="4" t="str">
        <f>IF(B603=B602,"",B603)</f>
        <v/>
      </c>
    </row>
    <row r="604" spans="1:6" ht="15.75" customHeight="1">
      <c r="A604" s="6" t="s">
        <v>27199</v>
      </c>
      <c r="B604" s="6" t="s">
        <v>27199</v>
      </c>
      <c r="C604" s="6" t="s">
        <v>26870</v>
      </c>
      <c r="D604" s="6" t="s">
        <v>26884</v>
      </c>
      <c r="E604" s="2">
        <v>687997</v>
      </c>
      <c r="F604" s="4" t="str">
        <f>IF(B604=B603,"",B604)</f>
        <v>Yuzhne</v>
      </c>
    </row>
    <row r="605" spans="1:6" ht="15.75" customHeight="1">
      <c r="A605" s="5" t="str">
        <f ca="1">IFERROR(__xludf.DUMMYFUNCTION("GOOGLETRANSLATE(B42481,""en"",""pt"")"),"Yuzhne")</f>
        <v>Yuzhne</v>
      </c>
      <c r="B605" s="17" t="s">
        <v>27199</v>
      </c>
      <c r="C605" s="17" t="s">
        <v>26870</v>
      </c>
      <c r="D605" s="17" t="s">
        <v>26884</v>
      </c>
      <c r="E605" s="10">
        <v>687997</v>
      </c>
      <c r="F605" s="4" t="str">
        <f>IF(B605=B604,"",B605)</f>
        <v/>
      </c>
    </row>
    <row r="606" spans="1:6" ht="15.75" customHeight="1">
      <c r="A606" s="6" t="s">
        <v>16616</v>
      </c>
      <c r="B606" s="6" t="s">
        <v>16616</v>
      </c>
      <c r="C606" s="6" t="s">
        <v>15704</v>
      </c>
      <c r="D606" s="6" t="s">
        <v>15716</v>
      </c>
      <c r="E606" s="2">
        <v>2110460</v>
      </c>
      <c r="F606" s="4" t="str">
        <f>IF(B606=B605,"",B606)</f>
        <v>Yuzawa</v>
      </c>
    </row>
    <row r="607" spans="1:6" ht="15.75" customHeight="1">
      <c r="A607" s="5" t="str">
        <f ca="1">IFERROR(__xludf.DUMMYFUNCTION("GOOGLETRANSLATE(B35706,""en"",""pt"")"),"Yuzawa")</f>
        <v>Yuzawa</v>
      </c>
      <c r="B607" s="17" t="s">
        <v>16616</v>
      </c>
      <c r="C607" s="17" t="s">
        <v>15704</v>
      </c>
      <c r="D607" s="17" t="s">
        <v>15716</v>
      </c>
      <c r="E607" s="10">
        <v>2110460</v>
      </c>
      <c r="F607" s="4" t="str">
        <f>IF(B607=B606,"",B607)</f>
        <v/>
      </c>
    </row>
    <row r="608" spans="1:6" ht="15.75" customHeight="1">
      <c r="A608" s="6" t="s">
        <v>16615</v>
      </c>
      <c r="B608" s="6" t="s">
        <v>16615</v>
      </c>
      <c r="C608" s="6" t="s">
        <v>15704</v>
      </c>
      <c r="D608" s="6" t="s">
        <v>15951</v>
      </c>
      <c r="E608" s="2">
        <v>1848016</v>
      </c>
      <c r="F608" s="4" t="str">
        <f>IF(B608=B607,"",B608)</f>
        <v>Yuza</v>
      </c>
    </row>
    <row r="609" spans="1:6" ht="15.75" customHeight="1">
      <c r="A609" s="5" t="str">
        <f ca="1">IFERROR(__xludf.DUMMYFUNCTION("GOOGLETRANSLATE(B35153,""en"",""pt"")"),"Yuza")</f>
        <v>Yuza</v>
      </c>
      <c r="B609" s="17" t="s">
        <v>16615</v>
      </c>
      <c r="C609" s="17" t="s">
        <v>15704</v>
      </c>
      <c r="D609" s="17" t="s">
        <v>15951</v>
      </c>
      <c r="E609" s="10">
        <v>1848016</v>
      </c>
      <c r="F609" s="4" t="str">
        <f>IF(B609=B608,"",B609)</f>
        <v/>
      </c>
    </row>
    <row r="610" spans="1:6" ht="15.75" customHeight="1">
      <c r="A610" s="6" t="s">
        <v>5293</v>
      </c>
      <c r="B610" s="6" t="s">
        <v>5293</v>
      </c>
      <c r="C610" s="6" t="s">
        <v>4487</v>
      </c>
      <c r="D610" s="6" t="s">
        <v>4631</v>
      </c>
      <c r="E610" s="2">
        <v>1785545</v>
      </c>
      <c r="F610" s="4" t="str">
        <f>IF(B610=B609,"",B610)</f>
        <v>Yuyao</v>
      </c>
    </row>
    <row r="611" spans="1:6" ht="15.75" customHeight="1">
      <c r="A611" s="5" t="str">
        <f ca="1">IFERROR(__xludf.DUMMYFUNCTION("GOOGLETRANSLATE(B26102,""en"",""pt"")"),"Yuyao")</f>
        <v>Yuyao</v>
      </c>
      <c r="B611" s="17" t="s">
        <v>5293</v>
      </c>
      <c r="C611" s="17" t="s">
        <v>4487</v>
      </c>
      <c r="D611" s="17" t="s">
        <v>4631</v>
      </c>
      <c r="E611" s="10">
        <v>1785545</v>
      </c>
      <c r="F611" s="4" t="str">
        <f>IF(B611=B610,"",B611)</f>
        <v/>
      </c>
    </row>
    <row r="612" spans="1:6" ht="15.75" customHeight="1">
      <c r="A612" s="6" t="s">
        <v>5292</v>
      </c>
      <c r="B612" s="6" t="s">
        <v>5292</v>
      </c>
      <c r="C612" s="6" t="s">
        <v>4487</v>
      </c>
      <c r="D612" s="6" t="s">
        <v>4497</v>
      </c>
      <c r="E612" s="2">
        <v>1785572</v>
      </c>
      <c r="F612" s="4" t="str">
        <f>IF(B612=B611,"",B612)</f>
        <v>Yuxia</v>
      </c>
    </row>
    <row r="613" spans="1:6" ht="15.75" customHeight="1">
      <c r="A613" s="5" t="str">
        <f ca="1">IFERROR(__xludf.DUMMYFUNCTION("GOOGLETRANSLATE(B26104,""en"",""pt"")"),"Yuxia")</f>
        <v>Yuxia</v>
      </c>
      <c r="B613" s="17" t="s">
        <v>5292</v>
      </c>
      <c r="C613" s="17" t="s">
        <v>4487</v>
      </c>
      <c r="D613" s="17" t="s">
        <v>4497</v>
      </c>
      <c r="E613" s="10">
        <v>1785572</v>
      </c>
      <c r="F613" s="4" t="str">
        <f>IF(B613=B612,"",B613)</f>
        <v/>
      </c>
    </row>
    <row r="614" spans="1:6" ht="15.75" customHeight="1">
      <c r="A614" s="6" t="s">
        <v>5291</v>
      </c>
      <c r="B614" s="6" t="s">
        <v>5291</v>
      </c>
      <c r="C614" s="6" t="s">
        <v>4487</v>
      </c>
      <c r="D614" s="6" t="s">
        <v>4607</v>
      </c>
      <c r="E614" s="2">
        <v>1784185</v>
      </c>
      <c r="F614" s="4" t="str">
        <f>IF(B614=B613,"",B614)</f>
        <v>Yuxi</v>
      </c>
    </row>
    <row r="615" spans="1:6" ht="15.75" customHeight="1">
      <c r="A615" s="5" t="str">
        <f ca="1">IFERROR(__xludf.DUMMYFUNCTION("GOOGLETRANSLATE(B26081,""en"",""pt"")"),"Yuxi")</f>
        <v>Yuxi</v>
      </c>
      <c r="B615" s="17" t="s">
        <v>5291</v>
      </c>
      <c r="C615" s="17" t="s">
        <v>4487</v>
      </c>
      <c r="D615" s="17" t="s">
        <v>4607</v>
      </c>
      <c r="E615" s="10">
        <v>1784185</v>
      </c>
      <c r="F615" s="4" t="str">
        <f>IF(B615=B614,"",B615)</f>
        <v/>
      </c>
    </row>
    <row r="616" spans="1:6" ht="15.75" customHeight="1">
      <c r="A616" s="6" t="s">
        <v>7939</v>
      </c>
      <c r="B616" s="6" t="s">
        <v>7939</v>
      </c>
      <c r="C616" s="6" t="s">
        <v>7052</v>
      </c>
      <c r="D616" s="6" t="s">
        <v>7061</v>
      </c>
      <c r="E616" s="2">
        <v>3013701</v>
      </c>
      <c r="F616" s="4" t="str">
        <f>IF(B616=B615,"",B616)</f>
        <v>Yutz</v>
      </c>
    </row>
    <row r="617" spans="1:6" ht="15.75" customHeight="1">
      <c r="A617" s="5" t="str">
        <f ca="1">IFERROR(__xludf.DUMMYFUNCTION("GOOGLETRANSLATE(B30042,""en"",""pt"")"),"Yutz")</f>
        <v>Yutz</v>
      </c>
      <c r="B617" s="17" t="s">
        <v>7939</v>
      </c>
      <c r="C617" s="17" t="s">
        <v>7052</v>
      </c>
      <c r="D617" s="17" t="s">
        <v>7061</v>
      </c>
      <c r="E617" s="10">
        <v>3013701</v>
      </c>
      <c r="F617" s="4" t="str">
        <f>IF(B617=B616,"",B617)</f>
        <v/>
      </c>
    </row>
    <row r="618" spans="1:6" ht="15.75" customHeight="1">
      <c r="A618" s="6" t="s">
        <v>5290</v>
      </c>
      <c r="B618" s="6" t="s">
        <v>5290</v>
      </c>
      <c r="C618" s="6" t="s">
        <v>4487</v>
      </c>
      <c r="D618" s="6" t="s">
        <v>4495</v>
      </c>
      <c r="E618" s="2">
        <v>1799352</v>
      </c>
      <c r="F618" s="4" t="str">
        <f>IF(B618=B617,"",B618)</f>
        <v>Yutan</v>
      </c>
    </row>
    <row r="619" spans="1:6" ht="15.75" customHeight="1">
      <c r="A619" s="5" t="str">
        <f ca="1">IFERROR(__xludf.DUMMYFUNCTION("GOOGLETRANSLATE(B26329,""en"",""pt"")"),"Yutan")</f>
        <v>Yutan</v>
      </c>
      <c r="B619" s="17" t="s">
        <v>5290</v>
      </c>
      <c r="C619" s="17" t="s">
        <v>4487</v>
      </c>
      <c r="D619" s="17" t="s">
        <v>4495</v>
      </c>
      <c r="E619" s="10">
        <v>1799352</v>
      </c>
      <c r="F619" s="4" t="str">
        <f>IF(B619=B618,"",B619)</f>
        <v/>
      </c>
    </row>
    <row r="620" spans="1:6" ht="15.75" customHeight="1">
      <c r="A620" s="6" t="s">
        <v>20368</v>
      </c>
      <c r="B620" s="6" t="s">
        <v>20368</v>
      </c>
      <c r="C620" s="6" t="s">
        <v>20297</v>
      </c>
      <c r="D620" s="6" t="s">
        <v>20298</v>
      </c>
      <c r="E620" s="2">
        <v>281292</v>
      </c>
      <c r="F620" s="4" t="str">
        <f>IF(B620=B619,"",B620)</f>
        <v>Yuta</v>
      </c>
    </row>
    <row r="621" spans="1:6" ht="15.75" customHeight="1">
      <c r="A621" s="5" t="str">
        <f ca="1">IFERROR(__xludf.DUMMYFUNCTION("GOOGLETRANSLATE(B39536,""en"",""pt"")"),"Yuta")</f>
        <v>Yuta</v>
      </c>
      <c r="B621" s="17" t="s">
        <v>20368</v>
      </c>
      <c r="C621" s="17" t="s">
        <v>20297</v>
      </c>
      <c r="D621" s="17" t="s">
        <v>20298</v>
      </c>
      <c r="E621" s="10">
        <v>281292</v>
      </c>
      <c r="F621" s="4" t="str">
        <f>IF(B621=B620,"",B621)</f>
        <v/>
      </c>
    </row>
    <row r="622" spans="1:6" ht="15.75" customHeight="1">
      <c r="A622" s="6" t="s">
        <v>5289</v>
      </c>
      <c r="B622" s="6" t="s">
        <v>5289</v>
      </c>
      <c r="C622" s="6" t="s">
        <v>4487</v>
      </c>
      <c r="D622" s="6" t="s">
        <v>4518</v>
      </c>
      <c r="E622" s="2">
        <v>2033242</v>
      </c>
      <c r="F622" s="4" t="str">
        <f>IF(B622=B621,"",B622)</f>
        <v>Yushu</v>
      </c>
    </row>
    <row r="623" spans="1:6" ht="15.75" customHeight="1">
      <c r="A623" s="5" t="str">
        <f ca="1">IFERROR(__xludf.DUMMYFUNCTION("GOOGLETRANSLATE(B26652,""en"",""pt"")"),"Yushu")</f>
        <v>Yushu</v>
      </c>
      <c r="B623" s="17" t="s">
        <v>5289</v>
      </c>
      <c r="C623" s="17" t="s">
        <v>4487</v>
      </c>
      <c r="D623" s="17" t="s">
        <v>4518</v>
      </c>
      <c r="E623" s="10">
        <v>2033242</v>
      </c>
      <c r="F623" s="4" t="str">
        <f>IF(B623=B622,"",B623)</f>
        <v/>
      </c>
    </row>
    <row r="624" spans="1:6" ht="15.75" customHeight="1">
      <c r="A624" s="6" t="s">
        <v>18432</v>
      </c>
      <c r="B624" s="6" t="s">
        <v>18432</v>
      </c>
      <c r="C624" s="6" t="s">
        <v>17707</v>
      </c>
      <c r="D624" s="6" t="s">
        <v>17713</v>
      </c>
      <c r="E624" s="2">
        <v>3979855</v>
      </c>
      <c r="F624" s="4" t="str">
        <f>IF(B624=B623,"",B624)</f>
        <v>Yuriria</v>
      </c>
    </row>
    <row r="625" spans="1:6" ht="15.75" customHeight="1">
      <c r="A625" s="5" t="str">
        <f ca="1">IFERROR(__xludf.DUMMYFUNCTION("GOOGLETRANSLATE(B37149,""en"",""pt"")"),"Yuriria")</f>
        <v>Yuriria</v>
      </c>
      <c r="B625" s="17" t="s">
        <v>18432</v>
      </c>
      <c r="C625" s="17" t="s">
        <v>17707</v>
      </c>
      <c r="D625" s="17" t="s">
        <v>17713</v>
      </c>
      <c r="E625" s="10">
        <v>3979855</v>
      </c>
      <c r="F625" s="4" t="str">
        <f>IF(B625=B624,"",B625)</f>
        <v/>
      </c>
    </row>
    <row r="626" spans="1:6" ht="15.75" customHeight="1">
      <c r="A626" s="5" t="s">
        <v>20595</v>
      </c>
      <c r="B626" s="6" t="s">
        <v>20595</v>
      </c>
      <c r="C626" s="5" t="s">
        <v>20470</v>
      </c>
      <c r="D626" s="5" t="s">
        <v>18055</v>
      </c>
      <c r="E626" s="2">
        <v>3690654</v>
      </c>
      <c r="F626" s="4" t="str">
        <f>IF(B626=B625,"",B626)</f>
        <v>Yurimaguas</v>
      </c>
    </row>
    <row r="627" spans="1:6" ht="15.75" customHeight="1">
      <c r="A627" s="5" t="str">
        <f ca="1">IFERROR(__xludf.DUMMYFUNCTION("GOOGLETRANSLATE(B38301,""en"",""pt"")"),"Yurimaguas")</f>
        <v>Yurimaguas</v>
      </c>
      <c r="B627" s="17" t="s">
        <v>20595</v>
      </c>
      <c r="C627" s="17" t="s">
        <v>20470</v>
      </c>
      <c r="D627" s="17" t="s">
        <v>18055</v>
      </c>
      <c r="E627" s="10">
        <v>3690654</v>
      </c>
      <c r="F627" s="4" t="str">
        <f>IF(B627=B626,"",B627)</f>
        <v/>
      </c>
    </row>
    <row r="628" spans="1:6" ht="15.75" customHeight="1">
      <c r="A628" s="6" t="s">
        <v>23362</v>
      </c>
      <c r="B628" s="6" t="s">
        <v>23362</v>
      </c>
      <c r="C628" s="6" t="s">
        <v>22070</v>
      </c>
      <c r="D628" s="6" t="s">
        <v>22140</v>
      </c>
      <c r="E628" s="2">
        <v>1485724</v>
      </c>
      <c r="F628" s="4" t="str">
        <f>IF(B628=B627,"",B628)</f>
        <v>Yurga</v>
      </c>
    </row>
    <row r="629" spans="1:6" ht="15.75" customHeight="1">
      <c r="A629" s="5" t="str">
        <f ca="1">IFERROR(__xludf.DUMMYFUNCTION("GOOGLETRANSLATE(B40718,""en"",""pt"")"),"Yurga")</f>
        <v>Yurga</v>
      </c>
      <c r="B629" s="17" t="s">
        <v>23362</v>
      </c>
      <c r="C629" s="17" t="s">
        <v>22070</v>
      </c>
      <c r="D629" s="17" t="s">
        <v>22140</v>
      </c>
      <c r="E629" s="10">
        <v>1485724</v>
      </c>
      <c r="F629" s="4" t="str">
        <f>IF(B629=B628,"",B629)</f>
        <v/>
      </c>
    </row>
    <row r="630" spans="1:6" ht="15.75" customHeight="1">
      <c r="A630" s="5" t="str">
        <f ca="1">IFERROR(__xludf.DUMMYFUNCTION("GOOGLETRANSLATE(B37150,""en"",""pt"")"),"Yurécuaro")</f>
        <v>Yurécuaro</v>
      </c>
      <c r="B630" s="17" t="s">
        <v>34729</v>
      </c>
      <c r="C630" s="17" t="s">
        <v>17707</v>
      </c>
      <c r="D630" s="17" t="s">
        <v>34727</v>
      </c>
      <c r="E630" s="10">
        <v>3979856</v>
      </c>
      <c r="F630" s="4" t="str">
        <f>IF(B630=B629,"",B630)</f>
        <v>Yurécuaro</v>
      </c>
    </row>
    <row r="631" spans="1:6" ht="15.75" customHeight="1">
      <c r="A631" s="5" t="s">
        <v>18430</v>
      </c>
      <c r="B631" s="6" t="s">
        <v>18431</v>
      </c>
      <c r="C631" s="5" t="s">
        <v>17707</v>
      </c>
      <c r="D631" s="5" t="s">
        <v>17761</v>
      </c>
      <c r="E631" s="2">
        <v>3979856</v>
      </c>
      <c r="F631" s="4" t="str">
        <f>IF(B631=B630,"",B631)</f>
        <v>YurÃ©cuaro</v>
      </c>
    </row>
    <row r="632" spans="1:6" ht="15.75" customHeight="1">
      <c r="A632" s="5" t="s">
        <v>23360</v>
      </c>
      <c r="B632" s="6" t="s">
        <v>23361</v>
      </c>
      <c r="C632" s="5" t="s">
        <v>22070</v>
      </c>
      <c r="D632" s="5" t="s">
        <v>22113</v>
      </c>
      <c r="E632" s="2">
        <v>466215</v>
      </c>
      <c r="F632" s="4" t="str">
        <f>IF(B632=B631,"",B632)</f>
        <v>Yurâ€™yev-Polâ€™skiy</v>
      </c>
    </row>
    <row r="633" spans="1:6" ht="15.75" customHeight="1">
      <c r="A633" s="5" t="str">
        <f ca="1">IFERROR(__xludf.DUMMYFUNCTION("GOOGLETRANSLATE(B39934,""en"",""pt"")"),"Yur'yev-pol")</f>
        <v>Yur'yev-pol</v>
      </c>
      <c r="B633" s="17" t="s">
        <v>35430</v>
      </c>
      <c r="C633" s="17" t="s">
        <v>22070</v>
      </c>
      <c r="D633" s="17" t="s">
        <v>22113</v>
      </c>
      <c r="E633" s="10">
        <v>466215</v>
      </c>
      <c r="F633" s="4" t="str">
        <f>IF(B633=B632,"",B633)</f>
        <v>Yur’yev-Pol’skiy</v>
      </c>
    </row>
    <row r="634" spans="1:6" ht="15.75" customHeight="1">
      <c r="A634" s="6" t="s">
        <v>5288</v>
      </c>
      <c r="B634" s="6" t="s">
        <v>5288</v>
      </c>
      <c r="C634" s="6" t="s">
        <v>4487</v>
      </c>
      <c r="D634" s="6" t="s">
        <v>4511</v>
      </c>
      <c r="E634" s="2">
        <v>1785655</v>
      </c>
      <c r="F634" s="4" t="str">
        <f>IF(B634=B633,"",B634)</f>
        <v>Yunyang</v>
      </c>
    </row>
    <row r="635" spans="1:6" ht="15.75" customHeight="1">
      <c r="A635" s="5" t="str">
        <f ca="1">IFERROR(__xludf.DUMMYFUNCTION("GOOGLETRANSLATE(B26106,""en"",""pt"")"),"Yunyang")</f>
        <v>Yunyang</v>
      </c>
      <c r="B635" s="17" t="s">
        <v>5288</v>
      </c>
      <c r="C635" s="17" t="s">
        <v>4487</v>
      </c>
      <c r="D635" s="17" t="s">
        <v>4511</v>
      </c>
      <c r="E635" s="10">
        <v>1785655</v>
      </c>
      <c r="F635" s="4" t="str">
        <f>IF(B635=B634,"",B635)</f>
        <v/>
      </c>
    </row>
    <row r="636" spans="1:6" ht="15.75" customHeight="1">
      <c r="A636" s="5" t="s">
        <v>5287</v>
      </c>
      <c r="B636" s="6" t="s">
        <v>5287</v>
      </c>
      <c r="C636" s="5" t="s">
        <v>4487</v>
      </c>
      <c r="D636" s="5" t="s">
        <v>4499</v>
      </c>
      <c r="E636" s="2">
        <v>1785698</v>
      </c>
      <c r="F636" s="4" t="str">
        <f>IF(B636=B635,"",B636)</f>
        <v>Yunmeng Chengguanzhen</v>
      </c>
    </row>
    <row r="637" spans="1:6" ht="15.75" customHeight="1">
      <c r="A637" s="5" t="str">
        <f ca="1">IFERROR(__xludf.DUMMYFUNCTION("GOOGLETRANSLATE(B26107,""en"",""pt"")"),"Yunmeng Chengguanzhen")</f>
        <v>Yunmeng Chengguanzhen</v>
      </c>
      <c r="B637" s="17" t="s">
        <v>5287</v>
      </c>
      <c r="C637" s="17" t="s">
        <v>4487</v>
      </c>
      <c r="D637" s="17" t="s">
        <v>4499</v>
      </c>
      <c r="E637" s="10">
        <v>1785698</v>
      </c>
      <c r="F637" s="4" t="str">
        <f>IF(B637=B636,"",B637)</f>
        <v/>
      </c>
    </row>
    <row r="638" spans="1:6" ht="15.75" customHeight="1">
      <c r="A638" s="6" t="s">
        <v>20594</v>
      </c>
      <c r="B638" s="6" t="s">
        <v>20594</v>
      </c>
      <c r="C638" s="6" t="s">
        <v>20470</v>
      </c>
      <c r="D638" s="6" t="s">
        <v>20476</v>
      </c>
      <c r="E638" s="2">
        <v>3925476</v>
      </c>
      <c r="F638" s="4" t="str">
        <f>IF(B638=B637,"",B638)</f>
        <v>Yunguyo</v>
      </c>
    </row>
    <row r="639" spans="1:6" ht="15.75" customHeight="1">
      <c r="A639" s="5" t="str">
        <f ca="1">IFERROR(__xludf.DUMMYFUNCTION("GOOGLETRANSLATE(B38354,""en"",""pt"")"),"Yunguyo")</f>
        <v>Yunguyo</v>
      </c>
      <c r="B639" s="17" t="s">
        <v>20594</v>
      </c>
      <c r="C639" s="17" t="s">
        <v>20470</v>
      </c>
      <c r="D639" s="17" t="s">
        <v>20476</v>
      </c>
      <c r="E639" s="10">
        <v>3925476</v>
      </c>
      <c r="F639" s="4" t="str">
        <f>IF(B639=B638,"",B639)</f>
        <v/>
      </c>
    </row>
    <row r="640" spans="1:6" ht="15.75" customHeight="1">
      <c r="A640" s="6" t="s">
        <v>5286</v>
      </c>
      <c r="B640" s="6" t="s">
        <v>5286</v>
      </c>
      <c r="C640" s="6" t="s">
        <v>4487</v>
      </c>
      <c r="D640" s="6" t="s">
        <v>4492</v>
      </c>
      <c r="E640" s="2">
        <v>1785725</v>
      </c>
      <c r="F640" s="4" t="str">
        <f>IF(B640=B639,"",B640)</f>
        <v>Yunfu</v>
      </c>
    </row>
    <row r="641" spans="1:6" ht="15.75" customHeight="1">
      <c r="A641" s="5" t="str">
        <f ca="1">IFERROR(__xludf.DUMMYFUNCTION("GOOGLETRANSLATE(B26110,""en"",""pt"")"),"Yunfu")</f>
        <v>Yunfu</v>
      </c>
      <c r="B641" s="17" t="s">
        <v>5286</v>
      </c>
      <c r="C641" s="17" t="s">
        <v>4487</v>
      </c>
      <c r="D641" s="17" t="s">
        <v>4492</v>
      </c>
      <c r="E641" s="10">
        <v>1785725</v>
      </c>
      <c r="F641" s="4" t="str">
        <f>IF(B641=B640,"",B641)</f>
        <v/>
      </c>
    </row>
    <row r="642" spans="1:6" ht="15.75" customHeight="1">
      <c r="A642" s="6" t="s">
        <v>5285</v>
      </c>
      <c r="B642" s="6" t="s">
        <v>5285</v>
      </c>
      <c r="C642" s="6" t="s">
        <v>4487</v>
      </c>
      <c r="D642" s="6" t="s">
        <v>4581</v>
      </c>
      <c r="E642" s="2">
        <v>1785738</v>
      </c>
      <c r="F642" s="4" t="str">
        <f>IF(B642=B641,"",B642)</f>
        <v>Yuncheng</v>
      </c>
    </row>
    <row r="643" spans="1:6" ht="15.75" customHeight="1">
      <c r="A643" s="5" t="str">
        <f ca="1">IFERROR(__xludf.DUMMYFUNCTION("GOOGLETRANSLATE(B26111,""en"",""pt"")"),"Yuncheng")</f>
        <v>Yuncheng</v>
      </c>
      <c r="B643" s="17" t="s">
        <v>5285</v>
      </c>
      <c r="C643" s="17" t="s">
        <v>4487</v>
      </c>
      <c r="D643" s="17" t="s">
        <v>4581</v>
      </c>
      <c r="E643" s="10">
        <v>1785738</v>
      </c>
      <c r="F643" s="4" t="str">
        <f>IF(B643=B642,"",B643)</f>
        <v/>
      </c>
    </row>
    <row r="644" spans="1:6" ht="15.75" customHeight="1">
      <c r="A644" s="6" t="s">
        <v>5651</v>
      </c>
      <c r="B644" s="6" t="s">
        <v>5651</v>
      </c>
      <c r="C644" s="6" t="s">
        <v>5348</v>
      </c>
      <c r="D644" s="6" t="s">
        <v>5360</v>
      </c>
      <c r="E644" s="2">
        <v>3665657</v>
      </c>
      <c r="F644" s="4" t="str">
        <f>IF(B644=B643,"",B644)</f>
        <v>Yumbo</v>
      </c>
    </row>
    <row r="645" spans="1:6" ht="15.75" customHeight="1">
      <c r="A645" s="5" t="str">
        <f ca="1">IFERROR(__xludf.DUMMYFUNCTION("GOOGLETRANSLATE(B26846,""en"",""pt"")"),"Yumbo")</f>
        <v>Yumbo</v>
      </c>
      <c r="B645" s="17" t="s">
        <v>5651</v>
      </c>
      <c r="C645" s="17" t="s">
        <v>5348</v>
      </c>
      <c r="D645" s="17" t="s">
        <v>5360</v>
      </c>
      <c r="E645" s="10">
        <v>3665657</v>
      </c>
      <c r="F645" s="4" t="str">
        <f>IF(B645=B644,"",B645)</f>
        <v/>
      </c>
    </row>
    <row r="646" spans="1:6" ht="15.75" customHeight="1">
      <c r="A646" s="6" t="s">
        <v>26867</v>
      </c>
      <c r="B646" s="6" t="s">
        <v>26867</v>
      </c>
      <c r="C646" s="6" t="s">
        <v>26820</v>
      </c>
      <c r="D646" s="6" t="s">
        <v>17416</v>
      </c>
      <c r="E646" s="2">
        <v>225835</v>
      </c>
      <c r="F646" s="4" t="str">
        <f>IF(B646=B645,"",B646)</f>
        <v>Yumbe</v>
      </c>
    </row>
    <row r="647" spans="1:6" ht="15.75" customHeight="1">
      <c r="A647" s="5" t="str">
        <f ca="1">IFERROR(__xludf.DUMMYFUNCTION("GOOGLETRANSLATE(B42723,""en"",""pt"")"),"Yumbe")</f>
        <v>Yumbe</v>
      </c>
      <c r="B647" s="17" t="s">
        <v>26867</v>
      </c>
      <c r="C647" s="17" t="s">
        <v>26820</v>
      </c>
      <c r="D647" s="17" t="s">
        <v>17416</v>
      </c>
      <c r="E647" s="10">
        <v>225835</v>
      </c>
      <c r="F647" s="4" t="str">
        <f>IF(B647=B646,"",B647)</f>
        <v/>
      </c>
    </row>
    <row r="648" spans="1:6" ht="15.75" customHeight="1">
      <c r="A648" s="6" t="s">
        <v>30467</v>
      </c>
      <c r="B648" s="6" t="s">
        <v>30467</v>
      </c>
      <c r="C648" s="6" t="s">
        <v>27788</v>
      </c>
      <c r="D648" s="6" t="s">
        <v>27880</v>
      </c>
      <c r="E648" s="2">
        <v>5322053</v>
      </c>
      <c r="F648" s="4" t="str">
        <f>IF(B648=B647,"",B648)</f>
        <v>Yuma</v>
      </c>
    </row>
    <row r="649" spans="1:6" ht="15.75" customHeight="1">
      <c r="A649" s="5" t="str">
        <f ca="1">IFERROR(__xludf.DUMMYFUNCTION("GOOGLETRANSLATE(B44736,""en"",""pt"")"),"Yuma")</f>
        <v>Yuma</v>
      </c>
      <c r="B649" s="17" t="s">
        <v>30467</v>
      </c>
      <c r="C649" s="17" t="s">
        <v>27788</v>
      </c>
      <c r="D649" s="17" t="s">
        <v>27880</v>
      </c>
      <c r="E649" s="10">
        <v>5322053</v>
      </c>
      <c r="F649" s="4" t="str">
        <f>IF(B649=B648,"",B649)</f>
        <v/>
      </c>
    </row>
    <row r="650" spans="1:6" ht="15.75" customHeight="1">
      <c r="A650" s="6" t="s">
        <v>5284</v>
      </c>
      <c r="B650" s="6" t="s">
        <v>5284</v>
      </c>
      <c r="C650" s="6" t="s">
        <v>4487</v>
      </c>
      <c r="D650" s="6" t="s">
        <v>4497</v>
      </c>
      <c r="E650" s="2">
        <v>1785777</v>
      </c>
      <c r="F650" s="4" t="str">
        <f>IF(B650=B649,"",B650)</f>
        <v>Yulin</v>
      </c>
    </row>
    <row r="651" spans="1:6" ht="15.75" customHeight="1">
      <c r="A651" s="6" t="s">
        <v>5284</v>
      </c>
      <c r="B651" s="6" t="s">
        <v>5284</v>
      </c>
      <c r="C651" s="6" t="s">
        <v>4487</v>
      </c>
      <c r="D651" s="6" t="s">
        <v>4516</v>
      </c>
      <c r="E651" s="2">
        <v>1785781</v>
      </c>
      <c r="F651" s="4" t="str">
        <f>IF(B651=B650,"",B651)</f>
        <v/>
      </c>
    </row>
    <row r="652" spans="1:6" ht="15.75" customHeight="1">
      <c r="A652" s="5" t="str">
        <f ca="1">IFERROR(__xludf.DUMMYFUNCTION("GOOGLETRANSLATE(B26112,""en"",""pt"")"),"Yulin")</f>
        <v>Yulin</v>
      </c>
      <c r="B652" s="17" t="s">
        <v>5284</v>
      </c>
      <c r="C652" s="17" t="s">
        <v>4487</v>
      </c>
      <c r="D652" s="17" t="s">
        <v>4497</v>
      </c>
      <c r="E652" s="10">
        <v>1785777</v>
      </c>
      <c r="F652" s="4" t="str">
        <f>IF(B652=B651,"",B652)</f>
        <v/>
      </c>
    </row>
    <row r="653" spans="1:6" ht="15.75" customHeight="1">
      <c r="A653" s="5" t="str">
        <f ca="1">IFERROR(__xludf.DUMMYFUNCTION("GOOGLETRANSLATE(B26113,""en"",""pt"")"),"Yulin")</f>
        <v>Yulin</v>
      </c>
      <c r="B653" s="17" t="s">
        <v>5284</v>
      </c>
      <c r="C653" s="17" t="s">
        <v>4487</v>
      </c>
      <c r="D653" s="17" t="s">
        <v>4516</v>
      </c>
      <c r="E653" s="10">
        <v>1785781</v>
      </c>
      <c r="F653" s="4" t="str">
        <f>IF(B653=B652,"",B653)</f>
        <v/>
      </c>
    </row>
    <row r="654" spans="1:6" ht="15.75" customHeight="1">
      <c r="A654" s="5" t="s">
        <v>16614</v>
      </c>
      <c r="B654" s="6" t="s">
        <v>16614</v>
      </c>
      <c r="C654" s="5" t="s">
        <v>15704</v>
      </c>
      <c r="D654" s="5" t="s">
        <v>15722</v>
      </c>
      <c r="E654" s="2">
        <v>1848087</v>
      </c>
      <c r="F654" s="4" t="str">
        <f>IF(B654=B653,"",B654)</f>
        <v>Yukuhashi</v>
      </c>
    </row>
    <row r="655" spans="1:6" ht="15.75" customHeight="1">
      <c r="A655" s="5" t="str">
        <f ca="1">IFERROR(__xludf.DUMMYFUNCTION("GOOGLETRANSLATE(B35155,""en"",""pt"")"),"Yukuhashi")</f>
        <v>Yukuhashi</v>
      </c>
      <c r="B655" s="17" t="s">
        <v>16614</v>
      </c>
      <c r="C655" s="17" t="s">
        <v>15704</v>
      </c>
      <c r="D655" s="17" t="s">
        <v>15722</v>
      </c>
      <c r="E655" s="10">
        <v>1848087</v>
      </c>
      <c r="F655" s="4" t="str">
        <f>IF(B655=B654,"",B655)</f>
        <v/>
      </c>
    </row>
    <row r="656" spans="1:6" ht="15.75" customHeight="1">
      <c r="A656" s="5" t="s">
        <v>19690</v>
      </c>
      <c r="B656" s="6" t="s">
        <v>19690</v>
      </c>
      <c r="C656" s="5" t="s">
        <v>19589</v>
      </c>
      <c r="D656" s="5" t="s">
        <v>19616</v>
      </c>
      <c r="E656" s="2">
        <v>2038854</v>
      </c>
      <c r="F656" s="4" t="str">
        <f>IF(B656=B655,"",B656)</f>
        <v>Yuktae-dong</v>
      </c>
    </row>
    <row r="657" spans="1:6" ht="15.75" customHeight="1">
      <c r="A657" s="5" t="str">
        <f ca="1">IFERROR(__xludf.DUMMYFUNCTION("GOOGLETRANSLATE(B36024,""en"",""pt"")"),"Yuktae-dong")</f>
        <v>Yuktae-dong</v>
      </c>
      <c r="B657" s="17" t="s">
        <v>19690</v>
      </c>
      <c r="C657" s="17" t="s">
        <v>19589</v>
      </c>
      <c r="D657" s="17" t="s">
        <v>34439</v>
      </c>
      <c r="E657" s="10">
        <v>2038854</v>
      </c>
      <c r="F657" s="4" t="str">
        <f>IF(B657=B656,"",B657)</f>
        <v/>
      </c>
    </row>
    <row r="658" spans="1:6" ht="15.75" customHeight="1">
      <c r="A658" s="5" t="str">
        <f ca="1">IFERROR(__xludf.DUMMYFUNCTION("GOOGLETRANSLATE(B41863,""en"",""pt"")"),"Yüksekova")</f>
        <v>Yüksekova</v>
      </c>
      <c r="B658" s="17" t="s">
        <v>35812</v>
      </c>
      <c r="C658" s="17" t="s">
        <v>26201</v>
      </c>
      <c r="D658" s="17" t="s">
        <v>35813</v>
      </c>
      <c r="E658" s="10">
        <v>296173</v>
      </c>
      <c r="F658" s="4" t="str">
        <f>IF(B658=B657,"",B658)</f>
        <v>Yüksekova</v>
      </c>
    </row>
    <row r="659" spans="1:6" ht="15.75" customHeight="1">
      <c r="A659" s="6" t="s">
        <v>4247</v>
      </c>
      <c r="B659" s="6" t="s">
        <v>4247</v>
      </c>
      <c r="C659" s="6" t="s">
        <v>27788</v>
      </c>
      <c r="D659" s="6" t="s">
        <v>27797</v>
      </c>
      <c r="E659" s="2">
        <v>4556165</v>
      </c>
      <c r="F659" s="4" t="str">
        <f>IF(B659=B658,"",B659)</f>
        <v>Yukon</v>
      </c>
    </row>
    <row r="660" spans="1:6" ht="15.75" customHeight="1">
      <c r="A660" s="5" t="str">
        <f ca="1">IFERROR(__xludf.DUMMYFUNCTION("GOOGLETRANSLATE(B43569,""en"",""pt"")"),"Yukon")</f>
        <v>Yukon</v>
      </c>
      <c r="B660" s="17" t="s">
        <v>4247</v>
      </c>
      <c r="C660" s="17" t="s">
        <v>27788</v>
      </c>
      <c r="D660" s="17" t="s">
        <v>27797</v>
      </c>
      <c r="E660" s="10">
        <v>4556165</v>
      </c>
      <c r="F660" s="4" t="str">
        <f>IF(B660=B659,"",B660)</f>
        <v/>
      </c>
    </row>
    <row r="661" spans="1:6" ht="15.75" customHeight="1">
      <c r="A661" s="5" t="str">
        <f ca="1">IFERROR(__xludf.DUMMYFUNCTION("GOOGLETRANSLATE(B35156,""en"",""pt"")"),"Yūki")</f>
        <v>Yūki</v>
      </c>
      <c r="B661" s="17" t="s">
        <v>34292</v>
      </c>
      <c r="C661" s="17" t="s">
        <v>15704</v>
      </c>
      <c r="D661" s="17" t="s">
        <v>15724</v>
      </c>
      <c r="E661" s="10">
        <v>1848096</v>
      </c>
      <c r="F661" s="4" t="str">
        <f>IF(B661=B660,"",B661)</f>
        <v>Yūki</v>
      </c>
    </row>
    <row r="662" spans="1:6" ht="15.75" customHeight="1">
      <c r="A662" s="6" t="s">
        <v>25522</v>
      </c>
      <c r="B662" s="6" t="s">
        <v>25522</v>
      </c>
      <c r="C662" s="6" t="s">
        <v>25502</v>
      </c>
      <c r="D662" s="6" t="s">
        <v>25502</v>
      </c>
      <c r="E662" s="2">
        <v>1665357</v>
      </c>
      <c r="F662" s="4" t="str">
        <f>IF(B662=B661,"",B662)</f>
        <v>Yujing</v>
      </c>
    </row>
    <row r="663" spans="1:6" ht="15.75" customHeight="1">
      <c r="A663" s="5" t="str">
        <f ca="1">IFERROR(__xludf.DUMMYFUNCTION("GOOGLETRANSLATE(B42261,""en"",""pt"")"),"Yujing")</f>
        <v>Yujing</v>
      </c>
      <c r="B663" s="17" t="s">
        <v>25522</v>
      </c>
      <c r="C663" s="17" t="s">
        <v>25502</v>
      </c>
      <c r="D663" s="17" t="s">
        <v>25502</v>
      </c>
      <c r="E663" s="10">
        <v>1665357</v>
      </c>
      <c r="F663" s="4" t="str">
        <f>IF(B663=B662,"",B663)</f>
        <v/>
      </c>
    </row>
    <row r="664" spans="1:6" ht="15.75" customHeight="1">
      <c r="A664" s="6" t="s">
        <v>23359</v>
      </c>
      <c r="B664" s="6" t="s">
        <v>23359</v>
      </c>
      <c r="C664" s="6" t="s">
        <v>22070</v>
      </c>
      <c r="D664" s="6" t="s">
        <v>22217</v>
      </c>
      <c r="E664" s="2">
        <v>1502725</v>
      </c>
      <c r="F664" s="4" t="str">
        <f>IF(B664=B663,"",B664)</f>
        <v>Yugorsk</v>
      </c>
    </row>
    <row r="665" spans="1:6" ht="15.75" customHeight="1">
      <c r="A665" s="5" t="str">
        <f ca="1">IFERROR(__xludf.DUMMYFUNCTION("GOOGLETRANSLATE(B40818,""en"",""pt"")"),"Yugorsk")</f>
        <v>Yugorsk</v>
      </c>
      <c r="B665" s="17" t="s">
        <v>23359</v>
      </c>
      <c r="C665" s="17" t="s">
        <v>22070</v>
      </c>
      <c r="D665" s="17" t="s">
        <v>22217</v>
      </c>
      <c r="E665" s="10">
        <v>1502725</v>
      </c>
      <c r="F665" s="4" t="str">
        <f>IF(B665=B664,"",B665)</f>
        <v/>
      </c>
    </row>
    <row r="666" spans="1:6" ht="15.75" customHeight="1">
      <c r="A666" s="6" t="s">
        <v>16613</v>
      </c>
      <c r="B666" s="6" t="s">
        <v>16613</v>
      </c>
      <c r="C666" s="6" t="s">
        <v>15704</v>
      </c>
      <c r="D666" s="6" t="s">
        <v>15755</v>
      </c>
      <c r="E666" s="2">
        <v>1848113</v>
      </c>
      <c r="F666" s="4" t="str">
        <f>IF(B666=B665,"",B666)</f>
        <v>Yugawara</v>
      </c>
    </row>
    <row r="667" spans="1:6" ht="15.75" customHeight="1">
      <c r="A667" s="5" t="str">
        <f ca="1">IFERROR(__xludf.DUMMYFUNCTION("GOOGLETRANSLATE(B35157,""en"",""pt"")"),"Yugawara")</f>
        <v>Yugawara</v>
      </c>
      <c r="B667" s="17" t="s">
        <v>16613</v>
      </c>
      <c r="C667" s="17" t="s">
        <v>15704</v>
      </c>
      <c r="D667" s="17" t="s">
        <v>15755</v>
      </c>
      <c r="E667" s="10">
        <v>1848113</v>
      </c>
      <c r="F667" s="4" t="str">
        <f>IF(B667=B666,"",B667)</f>
        <v/>
      </c>
    </row>
    <row r="668" spans="1:6" ht="15.75" customHeight="1">
      <c r="A668" s="6" t="s">
        <v>5283</v>
      </c>
      <c r="B668" s="6" t="s">
        <v>5283</v>
      </c>
      <c r="C668" s="6" t="s">
        <v>4487</v>
      </c>
      <c r="D668" s="6" t="s">
        <v>4495</v>
      </c>
      <c r="E668" s="2">
        <v>1927639</v>
      </c>
      <c r="F668" s="4" t="str">
        <f>IF(B668=B667,"",B668)</f>
        <v>Yueyang</v>
      </c>
    </row>
    <row r="669" spans="1:6" ht="15.75" customHeight="1">
      <c r="A669" s="5" t="str">
        <f ca="1">IFERROR(__xludf.DUMMYFUNCTION("GOOGLETRANSLATE(B26643,""en"",""pt"")"),"Yueyang")</f>
        <v>Yueyang</v>
      </c>
      <c r="B669" s="17" t="s">
        <v>5283</v>
      </c>
      <c r="C669" s="17" t="s">
        <v>4487</v>
      </c>
      <c r="D669" s="17" t="s">
        <v>4495</v>
      </c>
      <c r="E669" s="10">
        <v>1927639</v>
      </c>
      <c r="F669" s="4" t="str">
        <f>IF(B669=B668,"",B669)</f>
        <v/>
      </c>
    </row>
    <row r="670" spans="1:6" ht="15.75" customHeight="1">
      <c r="A670" s="5" t="s">
        <v>9950</v>
      </c>
      <c r="B670" s="6" t="s">
        <v>9951</v>
      </c>
      <c r="C670" s="5" t="s">
        <v>9941</v>
      </c>
      <c r="D670" s="5" t="s">
        <v>9952</v>
      </c>
      <c r="E670" s="2">
        <v>1818223</v>
      </c>
      <c r="F670" s="4" t="str">
        <f>IF(B670=B669,"",B670)</f>
        <v>Yuen Long Kau Hui</v>
      </c>
    </row>
    <row r="671" spans="1:6" ht="15.75" customHeight="1">
      <c r="A671" s="5" t="str">
        <f ca="1">IFERROR(__xludf.DUMMYFUNCTION("GOOGLETRANSLATE(B31157,""en"",""pt"")"),"Yuen long kau hui")</f>
        <v>Yuen long kau hui</v>
      </c>
      <c r="B671" s="17" t="s">
        <v>9951</v>
      </c>
      <c r="C671" s="17" t="s">
        <v>9941</v>
      </c>
      <c r="D671" s="17" t="s">
        <v>9952</v>
      </c>
      <c r="E671" s="10">
        <v>1818223</v>
      </c>
      <c r="F671" s="4" t="str">
        <f>IF(B671=B670,"",B671)</f>
        <v/>
      </c>
    </row>
    <row r="672" spans="1:6" ht="15.75" customHeight="1">
      <c r="A672" s="6" t="s">
        <v>5282</v>
      </c>
      <c r="B672" s="6" t="s">
        <v>5282</v>
      </c>
      <c r="C672" s="6" t="s">
        <v>4487</v>
      </c>
      <c r="D672" s="6" t="s">
        <v>4540</v>
      </c>
      <c r="E672" s="2">
        <v>1785964</v>
      </c>
      <c r="F672" s="4" t="str">
        <f>IF(B672=B671,"",B672)</f>
        <v>Yudong</v>
      </c>
    </row>
    <row r="673" spans="1:6" ht="15.75" customHeight="1">
      <c r="A673" s="5" t="str">
        <f ca="1">IFERROR(__xludf.DUMMYFUNCTION("GOOGLETRANSLATE(B26114,""en"",""pt"")"),"Yudong")</f>
        <v>Yudong</v>
      </c>
      <c r="B673" s="17" t="s">
        <v>5282</v>
      </c>
      <c r="C673" s="17" t="s">
        <v>4487</v>
      </c>
      <c r="D673" s="17" t="s">
        <v>4540</v>
      </c>
      <c r="E673" s="10">
        <v>1785964</v>
      </c>
      <c r="F673" s="4" t="str">
        <f>IF(B673=B672,"",B673)</f>
        <v/>
      </c>
    </row>
    <row r="674" spans="1:6" ht="15.75" customHeight="1">
      <c r="A674" s="6" t="s">
        <v>5280</v>
      </c>
      <c r="B674" s="6" t="s">
        <v>5281</v>
      </c>
      <c r="C674" s="6" t="s">
        <v>4487</v>
      </c>
      <c r="D674" s="6" t="s">
        <v>4581</v>
      </c>
      <c r="E674" s="2">
        <v>1785974</v>
      </c>
      <c r="F674" s="4" t="str">
        <f>IF(B674=B673,"",B674)</f>
        <v>Yuci</v>
      </c>
    </row>
    <row r="675" spans="1:6" ht="15.75" customHeight="1">
      <c r="A675" s="5" t="str">
        <f ca="1">IFERROR(__xludf.DUMMYFUNCTION("GOOGLETRANSLATE(B26115,""en"",""pt"")"),"YUCI")</f>
        <v>YUCI</v>
      </c>
      <c r="B675" s="17" t="s">
        <v>5281</v>
      </c>
      <c r="C675" s="17" t="s">
        <v>4487</v>
      </c>
      <c r="D675" s="17" t="s">
        <v>4581</v>
      </c>
      <c r="E675" s="10">
        <v>1785974</v>
      </c>
      <c r="F675" s="4" t="str">
        <f>IF(B675=B674,"",B675)</f>
        <v/>
      </c>
    </row>
    <row r="676" spans="1:6" ht="15.75" customHeight="1">
      <c r="A676" s="6" t="s">
        <v>5279</v>
      </c>
      <c r="B676" s="6" t="s">
        <v>5279</v>
      </c>
      <c r="C676" s="6" t="s">
        <v>4487</v>
      </c>
      <c r="D676" s="6" t="s">
        <v>4503</v>
      </c>
      <c r="E676" s="2">
        <v>1785980</v>
      </c>
      <c r="F676" s="4" t="str">
        <f>IF(B676=B675,"",B676)</f>
        <v>Yucheng</v>
      </c>
    </row>
    <row r="677" spans="1:6" ht="15.75" customHeight="1">
      <c r="A677" s="5" t="str">
        <f ca="1">IFERROR(__xludf.DUMMYFUNCTION("GOOGLETRANSLATE(B26116,""en"",""pt"")"),"Yucheng")</f>
        <v>Yucheng</v>
      </c>
      <c r="B677" s="17" t="s">
        <v>5279</v>
      </c>
      <c r="C677" s="17" t="s">
        <v>4487</v>
      </c>
      <c r="D677" s="17" t="s">
        <v>4503</v>
      </c>
      <c r="E677" s="10">
        <v>1785980</v>
      </c>
      <c r="F677" s="4" t="str">
        <f>IF(B677=B676,"",B677)</f>
        <v/>
      </c>
    </row>
    <row r="678" spans="1:6" ht="15.75" customHeight="1">
      <c r="A678" s="5" t="s">
        <v>30465</v>
      </c>
      <c r="B678" s="6" t="s">
        <v>30466</v>
      </c>
      <c r="C678" s="5" t="s">
        <v>27788</v>
      </c>
      <c r="D678" s="5" t="s">
        <v>27801</v>
      </c>
      <c r="E678" s="2">
        <v>5411079</v>
      </c>
      <c r="F678" s="4" t="str">
        <f>IF(B678=B677,"",B678)</f>
        <v>Yucca Valley</v>
      </c>
    </row>
    <row r="679" spans="1:6" ht="15.75" customHeight="1">
      <c r="A679" s="5" t="str">
        <f ca="1">IFERROR(__xludf.DUMMYFUNCTION("GOOGLETRANSLATE(B45087,""en"",""pt"")"),"Vale Yucca")</f>
        <v>Vale Yucca</v>
      </c>
      <c r="B679" s="17" t="s">
        <v>30466</v>
      </c>
      <c r="C679" s="17" t="s">
        <v>27788</v>
      </c>
      <c r="D679" s="17" t="s">
        <v>27801</v>
      </c>
      <c r="E679" s="10">
        <v>5411079</v>
      </c>
      <c r="F679" s="4" t="str">
        <f>IF(B679=B678,"",B679)</f>
        <v/>
      </c>
    </row>
    <row r="680" spans="1:6" ht="15.75" customHeight="1">
      <c r="A680" s="6" t="s">
        <v>30464</v>
      </c>
      <c r="B680" s="6" t="s">
        <v>30464</v>
      </c>
      <c r="C680" s="6" t="s">
        <v>27788</v>
      </c>
      <c r="D680" s="6" t="s">
        <v>27801</v>
      </c>
      <c r="E680" s="2">
        <v>5411046</v>
      </c>
      <c r="F680" s="4" t="str">
        <f>IF(B680=B679,"",B680)</f>
        <v>Yucaipa</v>
      </c>
    </row>
    <row r="681" spans="1:6" ht="15.75" customHeight="1">
      <c r="A681" s="5" t="str">
        <f ca="1">IFERROR(__xludf.DUMMYFUNCTION("GOOGLETRANSLATE(B45086,""en"",""pt"")"),"Yucaipa")</f>
        <v>Yucaipa</v>
      </c>
      <c r="B681" s="17" t="s">
        <v>30464</v>
      </c>
      <c r="C681" s="17" t="s">
        <v>27788</v>
      </c>
      <c r="D681" s="17" t="s">
        <v>27801</v>
      </c>
      <c r="E681" s="10">
        <v>5411046</v>
      </c>
      <c r="F681" s="4" t="str">
        <f>IF(B681=B680,"",B681)</f>
        <v/>
      </c>
    </row>
    <row r="682" spans="1:6" ht="15.75" customHeight="1">
      <c r="A682" s="6" t="s">
        <v>23358</v>
      </c>
      <c r="B682" s="6" t="s">
        <v>23358</v>
      </c>
      <c r="C682" s="6" t="s">
        <v>22070</v>
      </c>
      <c r="D682" s="6" t="s">
        <v>22119</v>
      </c>
      <c r="E682" s="2">
        <v>536206</v>
      </c>
      <c r="F682" s="4" t="str">
        <f>IF(B682=B681,"",B682)</f>
        <v>Yubileyny</v>
      </c>
    </row>
    <row r="683" spans="1:6" ht="15.75" customHeight="1">
      <c r="A683" s="5" t="str">
        <f ca="1">IFERROR(__xludf.DUMMYFUNCTION("GOOGLETRANSLATE(B40371,""en"",""pt"")"),"Yubileyny")</f>
        <v>Yubileyny</v>
      </c>
      <c r="B683" s="17" t="s">
        <v>23358</v>
      </c>
      <c r="C683" s="17" t="s">
        <v>22070</v>
      </c>
      <c r="D683" s="17" t="s">
        <v>22119</v>
      </c>
      <c r="E683" s="10">
        <v>536206</v>
      </c>
      <c r="F683" s="4" t="str">
        <f>IF(B683=B682,"",B683)</f>
        <v/>
      </c>
    </row>
    <row r="684" spans="1:6" ht="15.75" customHeight="1">
      <c r="A684" s="5" t="s">
        <v>30462</v>
      </c>
      <c r="B684" s="6" t="s">
        <v>30463</v>
      </c>
      <c r="C684" s="5" t="s">
        <v>27788</v>
      </c>
      <c r="D684" s="5" t="s">
        <v>27801</v>
      </c>
      <c r="E684" s="2">
        <v>5411015</v>
      </c>
      <c r="F684" s="4" t="str">
        <f>IF(B684=B683,"",B684)</f>
        <v>Yuba City</v>
      </c>
    </row>
    <row r="685" spans="1:6" ht="15.75" customHeight="1">
      <c r="A685" s="5" t="str">
        <f ca="1">IFERROR(__xludf.DUMMYFUNCTION("GOOGLETRANSLATE(B45085,""en"",""pt"")"),"Cidade de Yuba")</f>
        <v>Cidade de Yuba</v>
      </c>
      <c r="B685" s="17" t="s">
        <v>30463</v>
      </c>
      <c r="C685" s="17" t="s">
        <v>27788</v>
      </c>
      <c r="D685" s="17" t="s">
        <v>27801</v>
      </c>
      <c r="E685" s="10">
        <v>5411015</v>
      </c>
      <c r="F685" s="4" t="str">
        <f>IF(B685=B684,"",B685)</f>
        <v/>
      </c>
    </row>
    <row r="686" spans="1:6" ht="15.75" customHeight="1">
      <c r="A686" s="6" t="s">
        <v>5278</v>
      </c>
      <c r="B686" s="6" t="s">
        <v>5278</v>
      </c>
      <c r="C686" s="6" t="s">
        <v>4487</v>
      </c>
      <c r="D686" s="6" t="s">
        <v>4581</v>
      </c>
      <c r="E686" s="2">
        <v>1786060</v>
      </c>
      <c r="F686" s="4" t="str">
        <f>IF(B686=B685,"",B686)</f>
        <v>Yuanping</v>
      </c>
    </row>
    <row r="687" spans="1:6" ht="15.75" customHeight="1">
      <c r="A687" s="5" t="str">
        <f ca="1">IFERROR(__xludf.DUMMYFUNCTION("GOOGLETRANSLATE(B26117,""en"",""pt"")"),"Yuanping")</f>
        <v>Yuanping</v>
      </c>
      <c r="B687" s="17" t="s">
        <v>5278</v>
      </c>
      <c r="C687" s="17" t="s">
        <v>4487</v>
      </c>
      <c r="D687" s="17" t="s">
        <v>4581</v>
      </c>
      <c r="E687" s="10">
        <v>1786060</v>
      </c>
      <c r="F687" s="4" t="str">
        <f>IF(B687=B686,"",B687)</f>
        <v/>
      </c>
    </row>
    <row r="688" spans="1:6" ht="15.75" customHeight="1">
      <c r="A688" s="5" t="s">
        <v>19752</v>
      </c>
      <c r="B688" s="6" t="s">
        <v>19752</v>
      </c>
      <c r="C688" s="5" t="s">
        <v>19695</v>
      </c>
      <c r="D688" s="5" t="s">
        <v>19701</v>
      </c>
      <c r="E688" s="2">
        <v>6697344</v>
      </c>
      <c r="F688" s="4" t="str">
        <f>IF(B688=B687,"",B688)</f>
        <v>Ytrebygda</v>
      </c>
    </row>
    <row r="689" spans="1:6" ht="15.75" customHeight="1">
      <c r="A689" s="5" t="str">
        <f ca="1">IFERROR(__xludf.DUMMYFUNCTION("GOOGLETRANSLATE(B38175,""en"",""pt"")"),"Ytrebygda")</f>
        <v>Ytrebygda</v>
      </c>
      <c r="B689" s="17" t="s">
        <v>19752</v>
      </c>
      <c r="C689" s="17" t="s">
        <v>19695</v>
      </c>
      <c r="D689" s="17" t="s">
        <v>19701</v>
      </c>
      <c r="E689" s="10">
        <v>6697344</v>
      </c>
      <c r="F689" s="4" t="str">
        <f>IF(B689=B688,"",B689)</f>
        <v/>
      </c>
    </row>
    <row r="690" spans="1:6" ht="15.75" customHeight="1">
      <c r="A690" s="6" t="s">
        <v>25235</v>
      </c>
      <c r="B690" s="6" t="s">
        <v>25235</v>
      </c>
      <c r="C690" s="6" t="s">
        <v>25077</v>
      </c>
      <c r="D690" s="6" t="s">
        <v>25078</v>
      </c>
      <c r="E690" s="2">
        <v>2662149</v>
      </c>
      <c r="F690" s="4" t="str">
        <f>IF(B690=B689,"",B690)</f>
        <v>Ystad</v>
      </c>
    </row>
    <row r="691" spans="1:6" ht="15.75" customHeight="1">
      <c r="A691" s="5" t="str">
        <f ca="1">IFERROR(__xludf.DUMMYFUNCTION("GOOGLETRANSLATE(B41123,""en"",""pt"")"),"Ystad")</f>
        <v>Ystad</v>
      </c>
      <c r="B691" s="17" t="s">
        <v>25235</v>
      </c>
      <c r="C691" s="17" t="s">
        <v>25077</v>
      </c>
      <c r="D691" s="17" t="s">
        <v>35623</v>
      </c>
      <c r="E691" s="10">
        <v>2662149</v>
      </c>
      <c r="F691" s="4" t="str">
        <f>IF(B691=B690,"",B691)</f>
        <v/>
      </c>
    </row>
    <row r="692" spans="1:6" ht="15.75" customHeight="1">
      <c r="A692" s="6" t="s">
        <v>30461</v>
      </c>
      <c r="B692" s="6" t="s">
        <v>30461</v>
      </c>
      <c r="C692" s="6" t="s">
        <v>27788</v>
      </c>
      <c r="D692" s="6" t="s">
        <v>27804</v>
      </c>
      <c r="E692" s="2">
        <v>5015688</v>
      </c>
      <c r="F692" s="4" t="str">
        <f>IF(B692=B691,"",B692)</f>
        <v>Ypsilanti</v>
      </c>
    </row>
    <row r="693" spans="1:6" ht="15.75" customHeight="1">
      <c r="A693" s="5" t="str">
        <f ca="1">IFERROR(__xludf.DUMMYFUNCTION("GOOGLETRANSLATE(B44137,""en"",""pt"")"),"Ypsilanti")</f>
        <v>Ypsilanti</v>
      </c>
      <c r="B693" s="17" t="s">
        <v>30461</v>
      </c>
      <c r="C693" s="17" t="s">
        <v>27788</v>
      </c>
      <c r="D693" s="17" t="s">
        <v>27804</v>
      </c>
      <c r="E693" s="10">
        <v>5015688</v>
      </c>
      <c r="F693" s="4" t="str">
        <f>IF(B693=B692,"",B693)</f>
        <v/>
      </c>
    </row>
    <row r="694" spans="1:6" ht="15.75" customHeight="1">
      <c r="A694" s="6" t="s">
        <v>19149</v>
      </c>
      <c r="B694" s="6" t="s">
        <v>19149</v>
      </c>
      <c r="C694" s="6" t="s">
        <v>18862</v>
      </c>
      <c r="D694" s="6" t="s">
        <v>18868</v>
      </c>
      <c r="E694" s="2">
        <v>6941548</v>
      </c>
      <c r="F694" s="4" t="str">
        <f>IF(B694=B693,"",B694)</f>
        <v>Ypenburg</v>
      </c>
    </row>
    <row r="695" spans="1:6" ht="15.75" customHeight="1">
      <c r="A695" s="5" t="str">
        <f ca="1">IFERROR(__xludf.DUMMYFUNCTION("GOOGLETRANSLATE(B38142,""en"",""pt"")"),"Ypenburg")</f>
        <v>Ypenburg</v>
      </c>
      <c r="B695" s="17" t="s">
        <v>19149</v>
      </c>
      <c r="C695" s="17" t="s">
        <v>18862</v>
      </c>
      <c r="D695" s="17" t="s">
        <v>18868</v>
      </c>
      <c r="E695" s="10">
        <v>6941548</v>
      </c>
      <c r="F695" s="4" t="str">
        <f>IF(B695=B694,"",B695)</f>
        <v/>
      </c>
    </row>
    <row r="696" spans="1:6" ht="15.75" customHeight="1">
      <c r="A696" s="6" t="s">
        <v>26297</v>
      </c>
      <c r="B696" s="6" t="s">
        <v>26297</v>
      </c>
      <c r="C696" s="6" t="s">
        <v>26201</v>
      </c>
      <c r="D696" s="6" t="s">
        <v>26297</v>
      </c>
      <c r="E696" s="2">
        <v>296562</v>
      </c>
      <c r="F696" s="4" t="str">
        <f>IF(B696=B695,"",B696)</f>
        <v>Yozgat</v>
      </c>
    </row>
    <row r="697" spans="1:6" ht="15.75" customHeight="1">
      <c r="A697" s="5" t="str">
        <f ca="1">IFERROR(__xludf.DUMMYFUNCTION("GOOGLETRANSLATE(B41864,""en"",""pt"")"),"Yozgat")</f>
        <v>Yozgat</v>
      </c>
      <c r="B697" s="17" t="s">
        <v>26297</v>
      </c>
      <c r="C697" s="17" t="s">
        <v>26201</v>
      </c>
      <c r="D697" s="17" t="s">
        <v>26297</v>
      </c>
      <c r="E697" s="10">
        <v>296562</v>
      </c>
      <c r="F697" s="4" t="str">
        <f>IF(B697=B696,"",B697)</f>
        <v/>
      </c>
    </row>
    <row r="698" spans="1:6" ht="15.75" customHeight="1">
      <c r="A698" s="6" t="s">
        <v>25558</v>
      </c>
      <c r="B698" s="6" t="s">
        <v>25558</v>
      </c>
      <c r="C698" s="6" t="s">
        <v>25527</v>
      </c>
      <c r="D698" s="6" t="s">
        <v>25532</v>
      </c>
      <c r="E698" s="2">
        <v>1220112</v>
      </c>
      <c r="F698" s="4" t="str">
        <f>IF(B698=B697,"",B698)</f>
        <v>Yovon</v>
      </c>
    </row>
    <row r="699" spans="1:6" ht="15.75" customHeight="1">
      <c r="A699" s="5" t="str">
        <f ca="1">IFERROR(__xludf.DUMMYFUNCTION("GOOGLETRANSLATE(B41731,""en"",""pt"")"),"Yovon")</f>
        <v>Yovon</v>
      </c>
      <c r="B699" s="17" t="s">
        <v>25558</v>
      </c>
      <c r="C699" s="17" t="s">
        <v>25527</v>
      </c>
      <c r="D699" s="17" t="s">
        <v>25532</v>
      </c>
      <c r="E699" s="10">
        <v>1220112</v>
      </c>
      <c r="F699" s="4" t="str">
        <f>IF(B699=B698,"",B699)</f>
        <v/>
      </c>
    </row>
    <row r="700" spans="1:6" ht="15.75" customHeight="1">
      <c r="A700" s="6" t="s">
        <v>18648</v>
      </c>
      <c r="B700" s="6" t="s">
        <v>18649</v>
      </c>
      <c r="C700" s="6" t="s">
        <v>18551</v>
      </c>
      <c r="D700" s="6" t="s">
        <v>18561</v>
      </c>
      <c r="E700" s="2">
        <v>2526488</v>
      </c>
      <c r="F700" s="4" t="str">
        <f>IF(B700=B699,"",B700)</f>
        <v>Youssoufia</v>
      </c>
    </row>
    <row r="701" spans="1:6" ht="15.75" customHeight="1">
      <c r="A701" s="5" t="str">
        <f ca="1">IFERROR(__xludf.DUMMYFUNCTION("GOOGLETRANSLATE(B36455,""en"",""pt"")"),"Yssoufia")</f>
        <v>Yssoufia</v>
      </c>
      <c r="B701" s="17" t="s">
        <v>18649</v>
      </c>
      <c r="C701" s="17" t="s">
        <v>18551</v>
      </c>
      <c r="D701" s="17" t="s">
        <v>18561</v>
      </c>
      <c r="E701" s="10">
        <v>2526488</v>
      </c>
      <c r="F701" s="4" t="str">
        <f>IF(B701=B700,"",B701)</f>
        <v/>
      </c>
    </row>
    <row r="702" spans="1:6" ht="15.75" customHeight="1">
      <c r="A702" s="5" t="s">
        <v>30460</v>
      </c>
      <c r="B702" s="6" t="s">
        <v>30460</v>
      </c>
      <c r="C702" s="5" t="s">
        <v>27788</v>
      </c>
      <c r="D702" s="5" t="s">
        <v>27813</v>
      </c>
      <c r="E702" s="2">
        <v>5177568</v>
      </c>
      <c r="F702" s="4" t="str">
        <f>IF(B702=B701,"",B702)</f>
        <v>Youngstown</v>
      </c>
    </row>
    <row r="703" spans="1:6" ht="15.75" customHeight="1">
      <c r="A703" s="5" t="str">
        <f ca="1">IFERROR(__xludf.DUMMYFUNCTION("GOOGLETRANSLATE(B44559,""en"",""pt"")"),"Youngstown")</f>
        <v>Youngstown</v>
      </c>
      <c r="B703" s="17" t="s">
        <v>30460</v>
      </c>
      <c r="C703" s="17" t="s">
        <v>27788</v>
      </c>
      <c r="D703" s="17" t="s">
        <v>27813</v>
      </c>
      <c r="E703" s="10">
        <v>5177568</v>
      </c>
      <c r="F703" s="4" t="str">
        <f>IF(B703=B702,"",B703)</f>
        <v/>
      </c>
    </row>
    <row r="704" spans="1:6" ht="15.75" customHeight="1">
      <c r="A704" s="6" t="s">
        <v>30499</v>
      </c>
      <c r="B704" s="6" t="s">
        <v>30500</v>
      </c>
      <c r="C704" s="6" t="s">
        <v>30472</v>
      </c>
      <c r="D704" s="6" t="s">
        <v>30480</v>
      </c>
      <c r="E704" s="2">
        <v>3439525</v>
      </c>
      <c r="F704" s="4" t="str">
        <f>IF(B704=B703,"",B704)</f>
        <v>Young</v>
      </c>
    </row>
    <row r="705" spans="1:6" ht="15.75" customHeight="1">
      <c r="A705" s="5" t="str">
        <f ca="1">IFERROR(__xludf.DUMMYFUNCTION("GOOGLETRANSLATE(B45469,""en"",""pt"")"),"Jovem")</f>
        <v>Jovem</v>
      </c>
      <c r="B705" s="17" t="s">
        <v>30500</v>
      </c>
      <c r="C705" s="17" t="s">
        <v>30472</v>
      </c>
      <c r="D705" s="17" t="s">
        <v>36056</v>
      </c>
      <c r="E705" s="10">
        <v>3439525</v>
      </c>
      <c r="F705" s="4" t="str">
        <f>IF(B705=B704,"",B705)</f>
        <v/>
      </c>
    </row>
    <row r="706" spans="1:6" ht="15.75" customHeight="1">
      <c r="A706" s="6" t="s">
        <v>16612</v>
      </c>
      <c r="B706" s="6" t="s">
        <v>16612</v>
      </c>
      <c r="C706" s="6" t="s">
        <v>15704</v>
      </c>
      <c r="D706" s="6" t="s">
        <v>15779</v>
      </c>
      <c r="E706" s="2">
        <v>1848382</v>
      </c>
      <c r="F706" s="4" t="str">
        <f>IF(B706=B705,"",B706)</f>
        <v>Youkaichi</v>
      </c>
    </row>
    <row r="707" spans="1:6" ht="15.75" customHeight="1">
      <c r="A707" s="5" t="str">
        <f ca="1">IFERROR(__xludf.DUMMYFUNCTION("GOOGLETRANSLATE(B35167,""en"",""pt"")"),"Youkaichi")</f>
        <v>Youkaichi</v>
      </c>
      <c r="B707" s="17" t="s">
        <v>16612</v>
      </c>
      <c r="C707" s="17" t="s">
        <v>15704</v>
      </c>
      <c r="D707" s="17" t="s">
        <v>15779</v>
      </c>
      <c r="E707" s="10">
        <v>1848382</v>
      </c>
      <c r="F707" s="4" t="str">
        <f>IF(B707=B706,"",B707)</f>
        <v/>
      </c>
    </row>
    <row r="708" spans="1:6" ht="15.75" customHeight="1">
      <c r="A708" s="6" t="s">
        <v>5277</v>
      </c>
      <c r="B708" s="6" t="s">
        <v>5277</v>
      </c>
      <c r="C708" s="6" t="s">
        <v>4487</v>
      </c>
      <c r="D708" s="6" t="s">
        <v>4488</v>
      </c>
      <c r="E708" s="2">
        <v>2033301</v>
      </c>
      <c r="F708" s="4" t="str">
        <f>IF(B708=B707,"",B708)</f>
        <v>Youhao</v>
      </c>
    </row>
    <row r="709" spans="1:6" ht="15.75" customHeight="1">
      <c r="A709" s="5" t="str">
        <f ca="1">IFERROR(__xludf.DUMMYFUNCTION("GOOGLETRANSLATE(B26653,""en"",""pt"")"),"Youhao")</f>
        <v>Youhao</v>
      </c>
      <c r="B709" s="17" t="s">
        <v>5277</v>
      </c>
      <c r="C709" s="17" t="s">
        <v>4487</v>
      </c>
      <c r="D709" s="17" t="s">
        <v>4488</v>
      </c>
      <c r="E709" s="10">
        <v>2033301</v>
      </c>
      <c r="F709" s="4" t="str">
        <f>IF(B709=B708,"",B709)</f>
        <v/>
      </c>
    </row>
    <row r="710" spans="1:6" ht="15.75" customHeight="1">
      <c r="A710" s="5" t="str">
        <f ca="1">IFERROR(__xludf.DUMMYFUNCTION("GOOGLETRANSLATE(B35707,""en"",""pt"")"),"Yotsukaidō")</f>
        <v>Yotsukaidō</v>
      </c>
      <c r="B710" s="17" t="s">
        <v>34397</v>
      </c>
      <c r="C710" s="17" t="s">
        <v>15704</v>
      </c>
      <c r="D710" s="17" t="s">
        <v>15707</v>
      </c>
      <c r="E710" s="10">
        <v>2110480</v>
      </c>
      <c r="F710" s="4" t="str">
        <f>IF(B710=B709,"",B710)</f>
        <v>Yotsukaidō</v>
      </c>
    </row>
    <row r="711" spans="1:6" ht="15.75" customHeight="1">
      <c r="A711" s="5" t="s">
        <v>16610</v>
      </c>
      <c r="B711" s="6" t="s">
        <v>16611</v>
      </c>
      <c r="C711" s="5" t="s">
        <v>15704</v>
      </c>
      <c r="D711" s="5" t="s">
        <v>15707</v>
      </c>
      <c r="E711" s="2">
        <v>2110480</v>
      </c>
      <c r="F711" s="4" t="str">
        <f>IF(B711=B710,"",B711)</f>
        <v>YotsukaidÅ</v>
      </c>
    </row>
    <row r="712" spans="1:6" ht="15.75" customHeight="1">
      <c r="A712" s="5" t="s">
        <v>23357</v>
      </c>
      <c r="B712" s="6" t="s">
        <v>23357</v>
      </c>
      <c r="C712" s="5" t="s">
        <v>22070</v>
      </c>
      <c r="D712" s="5" t="s">
        <v>22588</v>
      </c>
      <c r="E712" s="2">
        <v>466806</v>
      </c>
      <c r="F712" s="4" t="str">
        <f>IF(B712=B711,"",B712)</f>
        <v>Yoshkar-Ola</v>
      </c>
    </row>
    <row r="713" spans="1:6" ht="15.75" customHeight="1">
      <c r="A713" s="5" t="str">
        <f ca="1">IFERROR(__xludf.DUMMYFUNCTION("GOOGLETRANSLATE(B39935,""en"",""pt"")"),"Yoshkar-Ola")</f>
        <v>Yoshkar-Ola</v>
      </c>
      <c r="B713" s="17" t="s">
        <v>23357</v>
      </c>
      <c r="C713" s="17" t="s">
        <v>22070</v>
      </c>
      <c r="D713" s="17" t="s">
        <v>22588</v>
      </c>
      <c r="E713" s="10">
        <v>466806</v>
      </c>
      <c r="F713" s="4" t="str">
        <f>IF(B713=B712,"",B713)</f>
        <v/>
      </c>
    </row>
    <row r="714" spans="1:6" ht="15.75" customHeight="1">
      <c r="A714" s="5" t="s">
        <v>16609</v>
      </c>
      <c r="B714" s="6" t="s">
        <v>16609</v>
      </c>
      <c r="C714" s="5" t="s">
        <v>15704</v>
      </c>
      <c r="D714" s="5" t="s">
        <v>15710</v>
      </c>
      <c r="E714" s="2">
        <v>1848188</v>
      </c>
      <c r="F714" s="4" t="str">
        <f>IF(B714=B713,"",B714)</f>
        <v>Yoshikawa</v>
      </c>
    </row>
    <row r="715" spans="1:6" ht="15.75" customHeight="1">
      <c r="A715" s="5" t="str">
        <f ca="1">IFERROR(__xludf.DUMMYFUNCTION("GOOGLETRANSLATE(B35158,""en"",""pt"")"),"Yoshikawa")</f>
        <v>Yoshikawa</v>
      </c>
      <c r="B715" s="17" t="s">
        <v>16609</v>
      </c>
      <c r="C715" s="17" t="s">
        <v>15704</v>
      </c>
      <c r="D715" s="17" t="s">
        <v>15710</v>
      </c>
      <c r="E715" s="10">
        <v>1848188</v>
      </c>
      <c r="F715" s="4" t="str">
        <f>IF(B715=B714,"",B715)</f>
        <v/>
      </c>
    </row>
    <row r="716" spans="1:6" ht="15.75" customHeight="1">
      <c r="A716" s="6" t="s">
        <v>16608</v>
      </c>
      <c r="B716" s="6" t="s">
        <v>16608</v>
      </c>
      <c r="C716" s="6" t="s">
        <v>15704</v>
      </c>
      <c r="D716" s="6" t="s">
        <v>15731</v>
      </c>
      <c r="E716" s="2">
        <v>1848194</v>
      </c>
      <c r="F716" s="4" t="str">
        <f>IF(B716=B715,"",B716)</f>
        <v>Yoshii</v>
      </c>
    </row>
    <row r="717" spans="1:6" ht="15.75" customHeight="1">
      <c r="A717" s="5" t="str">
        <f ca="1">IFERROR(__xludf.DUMMYFUNCTION("GOOGLETRANSLATE(B35159,""en"",""pt"")"),"Yoshii")</f>
        <v>Yoshii</v>
      </c>
      <c r="B717" s="17" t="s">
        <v>16608</v>
      </c>
      <c r="C717" s="17" t="s">
        <v>15704</v>
      </c>
      <c r="D717" s="17" t="s">
        <v>15731</v>
      </c>
      <c r="E717" s="10">
        <v>1848194</v>
      </c>
      <c r="F717" s="4" t="str">
        <f>IF(B717=B716,"",B717)</f>
        <v/>
      </c>
    </row>
    <row r="718" spans="1:6" ht="15.75" customHeight="1">
      <c r="A718" s="5" t="str">
        <f ca="1">IFERROR(__xludf.DUMMYFUNCTION("GOOGLETRANSLATE(B35160,""en"",""pt"")"),"Yoshida-kasugachō")</f>
        <v>Yoshida-kasugachō</v>
      </c>
      <c r="B718" s="17" t="s">
        <v>34293</v>
      </c>
      <c r="C718" s="17" t="s">
        <v>15704</v>
      </c>
      <c r="D718" s="17" t="s">
        <v>15818</v>
      </c>
      <c r="E718" s="10">
        <v>1848210</v>
      </c>
      <c r="F718" s="4" t="str">
        <f>IF(B718=B717,"",B718)</f>
        <v>Yoshida-kasugachō</v>
      </c>
    </row>
    <row r="719" spans="1:6" ht="15.75" customHeight="1">
      <c r="A719" s="5" t="s">
        <v>16606</v>
      </c>
      <c r="B719" s="6" t="s">
        <v>16607</v>
      </c>
      <c r="C719" s="5" t="s">
        <v>15704</v>
      </c>
      <c r="D719" s="5" t="s">
        <v>15818</v>
      </c>
      <c r="E719" s="2">
        <v>1848210</v>
      </c>
      <c r="F719" s="4" t="str">
        <f>IF(B719=B718,"",B719)</f>
        <v>Yoshida-kasugachÅ</v>
      </c>
    </row>
    <row r="720" spans="1:6" ht="15.75" customHeight="1">
      <c r="A720" s="6" t="s">
        <v>17618</v>
      </c>
      <c r="B720" s="6" t="s">
        <v>17618</v>
      </c>
      <c r="C720" s="6" t="s">
        <v>17596</v>
      </c>
      <c r="D720" s="6" t="s">
        <v>17602</v>
      </c>
      <c r="E720" s="2">
        <v>2448442</v>
      </c>
      <c r="F720" s="4" t="str">
        <f>IF(B720=B719,"",B720)</f>
        <v>Yorosso</v>
      </c>
    </row>
    <row r="721" spans="1:6" ht="15.75" customHeight="1">
      <c r="A721" s="5" t="str">
        <f ca="1">IFERROR(__xludf.DUMMYFUNCTION("GOOGLETRANSLATE(B36678,""en"",""pt"")"),"Yorosso")</f>
        <v>Yorosso</v>
      </c>
      <c r="B721" s="17" t="s">
        <v>17618</v>
      </c>
      <c r="C721" s="17" t="s">
        <v>17596</v>
      </c>
      <c r="D721" s="17" t="s">
        <v>17602</v>
      </c>
      <c r="E721" s="10">
        <v>2448442</v>
      </c>
      <c r="F721" s="4" t="str">
        <f>IF(B721=B720,"",B721)</f>
        <v/>
      </c>
    </row>
    <row r="722" spans="1:6" ht="15.75" customHeight="1">
      <c r="A722" s="6" t="s">
        <v>9918</v>
      </c>
      <c r="B722" s="6" t="s">
        <v>9918</v>
      </c>
      <c r="C722" s="6" t="s">
        <v>9907</v>
      </c>
      <c r="D722" s="6" t="s">
        <v>9918</v>
      </c>
      <c r="E722" s="2">
        <v>3600195</v>
      </c>
      <c r="F722" s="4" t="str">
        <f>IF(B722=B721,"",B722)</f>
        <v>Yoro</v>
      </c>
    </row>
    <row r="723" spans="1:6" ht="15.75" customHeight="1">
      <c r="A723" s="5" t="str">
        <f ca="1">IFERROR(__xludf.DUMMYFUNCTION("GOOGLETRANSLATE(B31164,""en"",""pt"")"),"Yoro")</f>
        <v>Yoro</v>
      </c>
      <c r="B723" s="17" t="s">
        <v>9918</v>
      </c>
      <c r="C723" s="17" t="s">
        <v>9907</v>
      </c>
      <c r="D723" s="17" t="s">
        <v>9918</v>
      </c>
      <c r="E723" s="10">
        <v>3600195</v>
      </c>
      <c r="F723" s="4" t="str">
        <f>IF(B723=B722,"",B723)</f>
        <v/>
      </c>
    </row>
    <row r="724" spans="1:6" ht="15.75" customHeight="1">
      <c r="A724" s="6" t="s">
        <v>30459</v>
      </c>
      <c r="B724" s="6" t="s">
        <v>30459</v>
      </c>
      <c r="C724" s="6" t="s">
        <v>27788</v>
      </c>
      <c r="D724" s="6" t="s">
        <v>27799</v>
      </c>
      <c r="E724" s="2">
        <v>4917298</v>
      </c>
      <c r="F724" s="4" t="str">
        <f>IF(B724=B723,"",B724)</f>
        <v>Yorkville</v>
      </c>
    </row>
    <row r="725" spans="1:6" ht="15.75" customHeight="1">
      <c r="A725" s="5" t="str">
        <f ca="1">IFERROR(__xludf.DUMMYFUNCTION("GOOGLETRANSLATE(B43905,""en"",""pt"")"),"Yorkville")</f>
        <v>Yorkville</v>
      </c>
      <c r="B725" s="17" t="s">
        <v>30459</v>
      </c>
      <c r="C725" s="17" t="s">
        <v>27788</v>
      </c>
      <c r="D725" s="17" t="s">
        <v>27799</v>
      </c>
      <c r="E725" s="10">
        <v>4917298</v>
      </c>
      <c r="F725" s="4" t="str">
        <f>IF(B725=B724,"",B725)</f>
        <v/>
      </c>
    </row>
    <row r="726" spans="1:6" ht="15.75" customHeight="1">
      <c r="A726" s="6" t="s">
        <v>4254</v>
      </c>
      <c r="B726" s="6" t="s">
        <v>4254</v>
      </c>
      <c r="C726" s="6" t="s">
        <v>3975</v>
      </c>
      <c r="D726" s="6" t="s">
        <v>4087</v>
      </c>
      <c r="E726" s="2">
        <v>6185607</v>
      </c>
      <c r="F726" s="4" t="str">
        <f>IF(B726=B725,"",B726)</f>
        <v>Yorkton</v>
      </c>
    </row>
    <row r="727" spans="1:6" ht="15.75" customHeight="1">
      <c r="A727" s="5" t="str">
        <f ca="1">IFERROR(__xludf.DUMMYFUNCTION("GOOGLETRANSLATE(B25619,""en"",""pt"")"),"Yorkton")</f>
        <v>Yorkton</v>
      </c>
      <c r="B727" s="17" t="s">
        <v>4254</v>
      </c>
      <c r="C727" s="17" t="s">
        <v>3975</v>
      </c>
      <c r="D727" s="17" t="s">
        <v>4087</v>
      </c>
      <c r="E727" s="10">
        <v>6185607</v>
      </c>
      <c r="F727" s="4" t="str">
        <f>IF(B727=B726,"",B727)</f>
        <v/>
      </c>
    </row>
    <row r="728" spans="1:6" ht="15.75" customHeight="1">
      <c r="A728" s="6" t="s">
        <v>27784</v>
      </c>
      <c r="B728" s="6" t="s">
        <v>27785</v>
      </c>
      <c r="C728" s="6" t="s">
        <v>27234</v>
      </c>
      <c r="D728" s="6" t="s">
        <v>27241</v>
      </c>
      <c r="E728" s="2">
        <v>2633352</v>
      </c>
      <c r="F728" s="4" t="str">
        <f>IF(B728=B727,"",B728)</f>
        <v>York</v>
      </c>
    </row>
    <row r="729" spans="1:6" ht="15.75" customHeight="1">
      <c r="A729" s="6" t="s">
        <v>27784</v>
      </c>
      <c r="B729" s="6" t="s">
        <v>27785</v>
      </c>
      <c r="C729" s="6" t="s">
        <v>27788</v>
      </c>
      <c r="D729" s="6" t="s">
        <v>27836</v>
      </c>
      <c r="E729" s="2">
        <v>4562407</v>
      </c>
      <c r="F729" s="4" t="str">
        <f>IF(B729=B728,"",B729)</f>
        <v/>
      </c>
    </row>
    <row r="730" spans="1:6" ht="15.75" customHeight="1">
      <c r="A730" s="5" t="str">
        <f ca="1">IFERROR(__xludf.DUMMYFUNCTION("GOOGLETRANSLATE(B30314,""en"",""pt"")"),"Iorque")</f>
        <v>Iorque</v>
      </c>
      <c r="B730" s="17" t="s">
        <v>27785</v>
      </c>
      <c r="C730" s="17" t="s">
        <v>27234</v>
      </c>
      <c r="D730" s="17" t="s">
        <v>27241</v>
      </c>
      <c r="E730" s="10">
        <v>2633352</v>
      </c>
      <c r="F730" s="4" t="str">
        <f>IF(B730=B729,"",B730)</f>
        <v/>
      </c>
    </row>
    <row r="731" spans="1:6" ht="15.75" customHeight="1">
      <c r="A731" s="5" t="str">
        <f ca="1">IFERROR(__xludf.DUMMYFUNCTION("GOOGLETRANSLATE(B43577,""en"",""pt"")"),"Iorque")</f>
        <v>Iorque</v>
      </c>
      <c r="B731" s="17" t="s">
        <v>27785</v>
      </c>
      <c r="C731" s="17" t="s">
        <v>27788</v>
      </c>
      <c r="D731" s="17" t="s">
        <v>27836</v>
      </c>
      <c r="E731" s="10">
        <v>4562407</v>
      </c>
      <c r="F731" s="4" t="str">
        <f>IF(B731=B730,"",B731)</f>
        <v/>
      </c>
    </row>
    <row r="732" spans="1:6" ht="15.75" customHeight="1">
      <c r="A732" s="6" t="s">
        <v>16605</v>
      </c>
      <c r="B732" s="6" t="s">
        <v>16605</v>
      </c>
      <c r="C732" s="6" t="s">
        <v>15704</v>
      </c>
      <c r="D732" s="6" t="s">
        <v>15710</v>
      </c>
      <c r="E732" s="2">
        <v>1848243</v>
      </c>
      <c r="F732" s="4" t="str">
        <f>IF(B732=B731,"",B732)</f>
        <v>Yorii</v>
      </c>
    </row>
    <row r="733" spans="1:6" ht="15.75" customHeight="1">
      <c r="A733" s="5" t="str">
        <f ca="1">IFERROR(__xludf.DUMMYFUNCTION("GOOGLETRANSLATE(B35161,""en"",""pt"")"),"Yorii")</f>
        <v>Yorii</v>
      </c>
      <c r="B733" s="17" t="s">
        <v>16605</v>
      </c>
      <c r="C733" s="17" t="s">
        <v>15704</v>
      </c>
      <c r="D733" s="17" t="s">
        <v>15710</v>
      </c>
      <c r="E733" s="10">
        <v>1848243</v>
      </c>
      <c r="F733" s="4" t="str">
        <f>IF(B733=B732,"",B733)</f>
        <v/>
      </c>
    </row>
    <row r="734" spans="1:6" ht="15.75" customHeight="1">
      <c r="A734" s="5" t="s">
        <v>30458</v>
      </c>
      <c r="B734" s="6" t="s">
        <v>30458</v>
      </c>
      <c r="C734" s="5" t="s">
        <v>27788</v>
      </c>
      <c r="D734" s="5" t="s">
        <v>27801</v>
      </c>
      <c r="E734" s="2">
        <v>5410902</v>
      </c>
      <c r="F734" s="4" t="str">
        <f>IF(B734=B733,"",B734)</f>
        <v>Yorba Linda</v>
      </c>
    </row>
    <row r="735" spans="1:6" ht="15.75" customHeight="1">
      <c r="A735" s="5" t="str">
        <f ca="1">IFERROR(__xludf.DUMMYFUNCTION("GOOGLETRANSLATE(B45084,""en"",""pt"")"),"Yorba Linda")</f>
        <v>Yorba Linda</v>
      </c>
      <c r="B735" s="17" t="s">
        <v>30458</v>
      </c>
      <c r="C735" s="17" t="s">
        <v>27788</v>
      </c>
      <c r="D735" s="17" t="s">
        <v>27801</v>
      </c>
      <c r="E735" s="10">
        <v>5410902</v>
      </c>
      <c r="F735" s="4" t="str">
        <f>IF(B735=B734,"",B735)</f>
        <v/>
      </c>
    </row>
    <row r="736" spans="1:6" ht="15.75" customHeight="1">
      <c r="A736" s="6" t="s">
        <v>5650</v>
      </c>
      <c r="B736" s="6" t="s">
        <v>5650</v>
      </c>
      <c r="C736" s="6" t="s">
        <v>5348</v>
      </c>
      <c r="D736" s="6" t="s">
        <v>5355</v>
      </c>
      <c r="E736" s="2">
        <v>3665688</v>
      </c>
      <c r="F736" s="4" t="str">
        <f>IF(B736=B735,"",B736)</f>
        <v>Yopal</v>
      </c>
    </row>
    <row r="737" spans="1:6" ht="15.75" customHeight="1">
      <c r="A737" s="5" t="str">
        <f ca="1">IFERROR(__xludf.DUMMYFUNCTION("GOOGLETRANSLATE(B26847,""en"",""pt"")"),"Yopal")</f>
        <v>Yopal</v>
      </c>
      <c r="B737" s="17" t="s">
        <v>5650</v>
      </c>
      <c r="C737" s="17" t="s">
        <v>5348</v>
      </c>
      <c r="D737" s="17" t="s">
        <v>5355</v>
      </c>
      <c r="E737" s="10">
        <v>3665688</v>
      </c>
      <c r="F737" s="4" t="str">
        <f>IF(B737=B736,"",B737)</f>
        <v/>
      </c>
    </row>
    <row r="738" spans="1:6" ht="15.75" customHeight="1">
      <c r="A738" s="6" t="s">
        <v>16604</v>
      </c>
      <c r="B738" s="6" t="s">
        <v>16604</v>
      </c>
      <c r="C738" s="6" t="s">
        <v>15704</v>
      </c>
      <c r="D738" s="6" t="s">
        <v>15710</v>
      </c>
      <c r="E738" s="2">
        <v>1848254</v>
      </c>
      <c r="F738" s="4" t="str">
        <f>IF(B738=B737,"",B738)</f>
        <v>Yono</v>
      </c>
    </row>
    <row r="739" spans="1:6" ht="15.75" customHeight="1">
      <c r="A739" s="5" t="str">
        <f ca="1">IFERROR(__xludf.DUMMYFUNCTION("GOOGLETRANSLATE(B35162,""en"",""pt"")"),"Yono")</f>
        <v>Yono</v>
      </c>
      <c r="B739" s="17" t="s">
        <v>16604</v>
      </c>
      <c r="C739" s="17" t="s">
        <v>15704</v>
      </c>
      <c r="D739" s="17" t="s">
        <v>15710</v>
      </c>
      <c r="E739" s="10">
        <v>1848254</v>
      </c>
      <c r="F739" s="4" t="str">
        <f>IF(B739=B738,"",B739)</f>
        <v/>
      </c>
    </row>
    <row r="740" spans="1:6" ht="15.75" customHeight="1">
      <c r="A740" s="5" t="str">
        <f ca="1">IFERROR(__xludf.DUMMYFUNCTION("GOOGLETRANSLATE(B36150,""en"",""pt"")"),"Yŏnmu")</f>
        <v>Yŏnmu</v>
      </c>
      <c r="B740" s="17" t="s">
        <v>34475</v>
      </c>
      <c r="C740" s="17" t="s">
        <v>24024</v>
      </c>
      <c r="D740" s="17" t="s">
        <v>24033</v>
      </c>
      <c r="E740" s="10">
        <v>1886598</v>
      </c>
      <c r="F740" s="4" t="str">
        <f>IF(B740=B739,"",B740)</f>
        <v>Yŏnmu</v>
      </c>
    </row>
    <row r="741" spans="1:6" ht="15.75" customHeight="1">
      <c r="A741" s="6" t="s">
        <v>30457</v>
      </c>
      <c r="B741" s="6" t="s">
        <v>30457</v>
      </c>
      <c r="C741" s="6" t="s">
        <v>27788</v>
      </c>
      <c r="D741" s="6" t="s">
        <v>27819</v>
      </c>
      <c r="E741" s="2">
        <v>5145215</v>
      </c>
      <c r="F741" s="4" t="str">
        <f>IF(B741=B740,"",B741)</f>
        <v>Yonkers</v>
      </c>
    </row>
    <row r="742" spans="1:6" ht="15.75" customHeight="1">
      <c r="A742" s="5" t="str">
        <f ca="1">IFERROR(__xludf.DUMMYFUNCTION("GOOGLETRANSLATE(B44473,""en"",""pt"")"),"Yonkers")</f>
        <v>Yonkers</v>
      </c>
      <c r="B742" s="17" t="s">
        <v>30457</v>
      </c>
      <c r="C742" s="17" t="s">
        <v>27788</v>
      </c>
      <c r="D742" s="17" t="s">
        <v>27819</v>
      </c>
      <c r="E742" s="10">
        <v>5145215</v>
      </c>
      <c r="F742" s="4" t="str">
        <f>IF(B742=B741,"",B742)</f>
        <v/>
      </c>
    </row>
    <row r="743" spans="1:6" ht="15.75" customHeight="1">
      <c r="A743" s="5" t="str">
        <f ca="1">IFERROR(__xludf.DUMMYFUNCTION("GOOGLETRANSLATE(B36029,""en"",""pt"")"),"Yŏnggwang-ŭp")</f>
        <v>Yŏnggwang-ŭp</v>
      </c>
      <c r="B743" s="17" t="s">
        <v>34460</v>
      </c>
      <c r="C743" s="17" t="s">
        <v>19589</v>
      </c>
      <c r="D743" s="17" t="s">
        <v>34439</v>
      </c>
      <c r="E743" s="10">
        <v>2042249</v>
      </c>
      <c r="F743" s="4" t="str">
        <f>IF(B743=B742,"",B743)</f>
        <v>Yŏnggwang-ŭp</v>
      </c>
    </row>
    <row r="744" spans="1:6" ht="15.75" customHeight="1">
      <c r="A744" s="6" t="s">
        <v>5276</v>
      </c>
      <c r="B744" s="6" t="s">
        <v>5276</v>
      </c>
      <c r="C744" s="6" t="s">
        <v>4487</v>
      </c>
      <c r="D744" s="6" t="s">
        <v>4495</v>
      </c>
      <c r="E744" s="2">
        <v>1786357</v>
      </c>
      <c r="F744" s="4" t="str">
        <f>IF(B744=B743,"",B744)</f>
        <v>Yongfeng</v>
      </c>
    </row>
    <row r="745" spans="1:6" ht="15.75" customHeight="1">
      <c r="A745" s="5" t="str">
        <f ca="1">IFERROR(__xludf.DUMMYFUNCTION("GOOGLETRANSLATE(B26120,""en"",""pt"")"),"Yongfeng")</f>
        <v>Yongfeng</v>
      </c>
      <c r="B745" s="17" t="s">
        <v>5276</v>
      </c>
      <c r="C745" s="17" t="s">
        <v>4487</v>
      </c>
      <c r="D745" s="17" t="s">
        <v>4495</v>
      </c>
      <c r="E745" s="10">
        <v>1786357</v>
      </c>
      <c r="F745" s="4" t="str">
        <f>IF(B745=B744,"",B745)</f>
        <v/>
      </c>
    </row>
    <row r="746" spans="1:6" ht="15.75" customHeight="1">
      <c r="A746" s="5" t="str">
        <f ca="1">IFERROR(__xludf.DUMMYFUNCTION("GOOGLETRANSLATE(B36051,""en"",""pt"")"),"Yŏng-dong")</f>
        <v>Yŏng-dong</v>
      </c>
      <c r="B746" s="17" t="s">
        <v>34469</v>
      </c>
      <c r="C746" s="17" t="s">
        <v>24024</v>
      </c>
      <c r="D746" s="17" t="s">
        <v>24047</v>
      </c>
      <c r="E746" s="10">
        <v>1832566</v>
      </c>
      <c r="F746" s="4" t="str">
        <f>IF(B746=B745,"",B746)</f>
        <v>Yŏng-dong</v>
      </c>
    </row>
    <row r="747" spans="1:6" ht="15.75" customHeight="1">
      <c r="A747" s="5" t="s">
        <v>5275</v>
      </c>
      <c r="B747" s="6" t="s">
        <v>5275</v>
      </c>
      <c r="C747" s="5" t="s">
        <v>4487</v>
      </c>
      <c r="D747" s="5" t="s">
        <v>4540</v>
      </c>
      <c r="E747" s="2">
        <v>1786378</v>
      </c>
      <c r="F747" s="4" t="str">
        <f>IF(B747=B746,"",B747)</f>
        <v>Yongchuan</v>
      </c>
    </row>
    <row r="748" spans="1:6" ht="15.75" customHeight="1">
      <c r="A748" s="5" t="str">
        <f ca="1">IFERROR(__xludf.DUMMYFUNCTION("GOOGLETRANSLATE(B26121,""en"",""pt"")"),"Yongchuan")</f>
        <v>Yongchuan</v>
      </c>
      <c r="B748" s="17" t="s">
        <v>5275</v>
      </c>
      <c r="C748" s="17" t="s">
        <v>4487</v>
      </c>
      <c r="D748" s="17" t="s">
        <v>4540</v>
      </c>
      <c r="E748" s="10">
        <v>1786378</v>
      </c>
      <c r="F748" s="4" t="str">
        <f>IF(B748=B747,"",B748)</f>
        <v/>
      </c>
    </row>
    <row r="749" spans="1:6" ht="15.75" customHeight="1">
      <c r="A749" s="5" t="s">
        <v>17589</v>
      </c>
      <c r="B749" s="6" t="s">
        <v>17589</v>
      </c>
      <c r="C749" s="5" t="s">
        <v>17432</v>
      </c>
      <c r="D749" s="5" t="s">
        <v>17442</v>
      </c>
      <c r="E749" s="2">
        <v>1732814</v>
      </c>
      <c r="F749" s="4" t="str">
        <f>IF(B749=B748,"",B749)</f>
        <v>Yong Peng</v>
      </c>
    </row>
    <row r="750" spans="1:6" ht="15.75" customHeight="1">
      <c r="A750" s="5" t="str">
        <f ca="1">IFERROR(__xludf.DUMMYFUNCTION("GOOGLETRANSLATE(B37417,""en"",""pt"")"),"Yong Peng")</f>
        <v>Yong Peng</v>
      </c>
      <c r="B750" s="17" t="s">
        <v>17589</v>
      </c>
      <c r="C750" s="17" t="s">
        <v>17432</v>
      </c>
      <c r="D750" s="17" t="s">
        <v>17442</v>
      </c>
      <c r="E750" s="10">
        <v>1732814</v>
      </c>
      <c r="F750" s="4" t="str">
        <f>IF(B750=B749,"",B750)</f>
        <v/>
      </c>
    </row>
    <row r="751" spans="1:6" ht="15.75" customHeight="1">
      <c r="A751" s="6" t="s">
        <v>16603</v>
      </c>
      <c r="B751" s="6" t="s">
        <v>16603</v>
      </c>
      <c r="C751" s="6" t="s">
        <v>15704</v>
      </c>
      <c r="D751" s="6" t="s">
        <v>15951</v>
      </c>
      <c r="E751" s="2">
        <v>2110498</v>
      </c>
      <c r="F751" s="4" t="str">
        <f>IF(B751=B750,"",B751)</f>
        <v>Yonezawa</v>
      </c>
    </row>
    <row r="752" spans="1:6" ht="15.75" customHeight="1">
      <c r="A752" s="5" t="str">
        <f ca="1">IFERROR(__xludf.DUMMYFUNCTION("GOOGLETRANSLATE(B35708,""en"",""pt"")"),"Yonezawa")</f>
        <v>Yonezawa</v>
      </c>
      <c r="B752" s="17" t="s">
        <v>16603</v>
      </c>
      <c r="C752" s="17" t="s">
        <v>15704</v>
      </c>
      <c r="D752" s="17" t="s">
        <v>15951</v>
      </c>
      <c r="E752" s="10">
        <v>2110498</v>
      </c>
      <c r="F752" s="4" t="str">
        <f>IF(B752=B751,"",B752)</f>
        <v/>
      </c>
    </row>
    <row r="753" spans="1:6" ht="15.75" customHeight="1">
      <c r="A753" s="5" t="str">
        <f ca="1">IFERROR(__xludf.DUMMYFUNCTION("GOOGLETRANSLATE(B35989,""en"",""pt"")"),"Yŏnan-ŭp")</f>
        <v>Yŏnan-ŭp</v>
      </c>
      <c r="B753" s="17" t="s">
        <v>34432</v>
      </c>
      <c r="C753" s="17" t="s">
        <v>19589</v>
      </c>
      <c r="D753" s="17" t="s">
        <v>19601</v>
      </c>
      <c r="E753" s="10">
        <v>1866569</v>
      </c>
      <c r="F753" s="4" t="str">
        <f>IF(B753=B752,"",B753)</f>
        <v>Yŏnan-ŭp</v>
      </c>
    </row>
    <row r="754" spans="1:6" ht="15.75" customHeight="1">
      <c r="A754" s="6" t="s">
        <v>16602</v>
      </c>
      <c r="B754" s="6" t="s">
        <v>16602</v>
      </c>
      <c r="C754" s="6" t="s">
        <v>15704</v>
      </c>
      <c r="D754" s="6" t="s">
        <v>16174</v>
      </c>
      <c r="E754" s="2">
        <v>1848277</v>
      </c>
      <c r="F754" s="4" t="str">
        <f>IF(B754=B753,"",B754)</f>
        <v>Yonago</v>
      </c>
    </row>
    <row r="755" spans="1:6" ht="15.75" customHeight="1">
      <c r="A755" s="5" t="str">
        <f ca="1">IFERROR(__xludf.DUMMYFUNCTION("GOOGLETRANSLATE(B35163,""en"",""pt"")"),"Yonago")</f>
        <v>Yonago</v>
      </c>
      <c r="B755" s="17" t="s">
        <v>16602</v>
      </c>
      <c r="C755" s="17" t="s">
        <v>15704</v>
      </c>
      <c r="D755" s="17" t="s">
        <v>16174</v>
      </c>
      <c r="E755" s="10">
        <v>1848277</v>
      </c>
      <c r="F755" s="4" t="str">
        <f>IF(B755=B754,"",B755)</f>
        <v/>
      </c>
    </row>
    <row r="756" spans="1:6" ht="15.75" customHeight="1">
      <c r="A756" s="6" t="s">
        <v>26770</v>
      </c>
      <c r="B756" s="6" t="s">
        <v>26770</v>
      </c>
      <c r="C756" s="6" t="s">
        <v>26201</v>
      </c>
      <c r="D756" s="6" t="s">
        <v>26286</v>
      </c>
      <c r="E756" s="2">
        <v>737421</v>
      </c>
      <c r="F756" s="4" t="str">
        <f>IF(B756=B755,"",B756)</f>
        <v>Yomra</v>
      </c>
    </row>
    <row r="757" spans="1:6" ht="15.75" customHeight="1">
      <c r="A757" s="5" t="str">
        <f ca="1">IFERROR(__xludf.DUMMYFUNCTION("GOOGLETRANSLATE(B42090,""en"",""pt"")"),"Yomra")</f>
        <v>Yomra</v>
      </c>
      <c r="B757" s="17" t="s">
        <v>26770</v>
      </c>
      <c r="C757" s="17" t="s">
        <v>26201</v>
      </c>
      <c r="D757" s="17" t="s">
        <v>26286</v>
      </c>
      <c r="E757" s="10">
        <v>737421</v>
      </c>
      <c r="F757" s="4" t="str">
        <f>IF(B757=B756,"",B757)</f>
        <v/>
      </c>
    </row>
    <row r="758" spans="1:6" ht="15.75" customHeight="1">
      <c r="A758" s="5" t="str">
        <f ca="1">IFERROR(__xludf.DUMMYFUNCTION("GOOGLETRANSLATE(B41780,""en"",""pt"")"),"Yolöten")</f>
        <v>Yolöten</v>
      </c>
      <c r="B758" s="17" t="s">
        <v>35790</v>
      </c>
      <c r="C758" s="17" t="s">
        <v>26774</v>
      </c>
      <c r="D758" s="17" t="s">
        <v>26785</v>
      </c>
      <c r="E758" s="10">
        <v>1218021</v>
      </c>
      <c r="F758" s="4" t="str">
        <f>IF(B758=B757,"",B758)</f>
        <v>Yolöten</v>
      </c>
    </row>
    <row r="759" spans="1:6" ht="15.75" customHeight="1">
      <c r="A759" s="6" t="s">
        <v>26805</v>
      </c>
      <c r="B759" s="6" t="s">
        <v>26806</v>
      </c>
      <c r="C759" s="6" t="s">
        <v>26774</v>
      </c>
      <c r="D759" s="6" t="s">
        <v>26785</v>
      </c>
      <c r="E759" s="2">
        <v>1218021</v>
      </c>
      <c r="F759" s="4" t="str">
        <f>IF(B759=B758,"",B759)</f>
        <v>YolÃ¶ten</v>
      </c>
    </row>
    <row r="760" spans="1:6" ht="15.75" customHeight="1">
      <c r="A760" s="6" t="s">
        <v>19582</v>
      </c>
      <c r="B760" s="6" t="s">
        <v>19582</v>
      </c>
      <c r="C760" s="6" t="s">
        <v>19294</v>
      </c>
      <c r="D760" s="6" t="s">
        <v>19403</v>
      </c>
      <c r="E760" s="2">
        <v>2318044</v>
      </c>
      <c r="F760" s="4" t="str">
        <f>IF(B760=B759,"",B760)</f>
        <v>Yola</v>
      </c>
    </row>
    <row r="761" spans="1:6" ht="15.75" customHeight="1">
      <c r="A761" s="5" t="str">
        <f ca="1">IFERROR(__xludf.DUMMYFUNCTION("GOOGLETRANSLATE(B37610,""en"",""pt"")"),"Yola")</f>
        <v>Yola</v>
      </c>
      <c r="B761" s="17" t="s">
        <v>19582</v>
      </c>
      <c r="C761" s="17" t="s">
        <v>19294</v>
      </c>
      <c r="D761" s="17" t="s">
        <v>19403</v>
      </c>
      <c r="E761" s="10">
        <v>2318044</v>
      </c>
      <c r="F761" s="4" t="str">
        <f>IF(B761=B760,"",B761)</f>
        <v/>
      </c>
    </row>
    <row r="762" spans="1:6" ht="15.75" customHeight="1">
      <c r="A762" s="5" t="s">
        <v>16601</v>
      </c>
      <c r="B762" s="6" t="s">
        <v>16601</v>
      </c>
      <c r="C762" s="5" t="s">
        <v>15704</v>
      </c>
      <c r="D762" s="5" t="s">
        <v>15716</v>
      </c>
      <c r="E762" s="2">
        <v>2110506</v>
      </c>
      <c r="F762" s="4" t="str">
        <f>IF(B762=B761,"",B762)</f>
        <v>Yokotemachi</v>
      </c>
    </row>
    <row r="763" spans="1:6" ht="15.75" customHeight="1">
      <c r="A763" s="5" t="str">
        <f ca="1">IFERROR(__xludf.DUMMYFUNCTION("GOOGLETRANSLATE(B35709,""en"",""pt"")"),"Yokotemachi")</f>
        <v>Yokotemachi</v>
      </c>
      <c r="B763" s="17" t="s">
        <v>16601</v>
      </c>
      <c r="C763" s="17" t="s">
        <v>15704</v>
      </c>
      <c r="D763" s="17" t="s">
        <v>15716</v>
      </c>
      <c r="E763" s="10">
        <v>2110506</v>
      </c>
      <c r="F763" s="4" t="str">
        <f>IF(B763=B762,"",B763)</f>
        <v/>
      </c>
    </row>
    <row r="764" spans="1:6" ht="15.75" customHeight="1">
      <c r="A764" s="6" t="s">
        <v>16600</v>
      </c>
      <c r="B764" s="6" t="s">
        <v>16600</v>
      </c>
      <c r="C764" s="6" t="s">
        <v>15704</v>
      </c>
      <c r="D764" s="6" t="s">
        <v>15755</v>
      </c>
      <c r="E764" s="2">
        <v>1848313</v>
      </c>
      <c r="F764" s="4" t="str">
        <f>IF(B764=B763,"",B764)</f>
        <v>Yokosuka</v>
      </c>
    </row>
    <row r="765" spans="1:6" ht="15.75" customHeight="1">
      <c r="A765" s="5" t="str">
        <f ca="1">IFERROR(__xludf.DUMMYFUNCTION("GOOGLETRANSLATE(B35164,""en"",""pt"")"),"Yokosuka")</f>
        <v>Yokosuka</v>
      </c>
      <c r="B765" s="17" t="s">
        <v>16600</v>
      </c>
      <c r="C765" s="17" t="s">
        <v>15704</v>
      </c>
      <c r="D765" s="17" t="s">
        <v>15755</v>
      </c>
      <c r="E765" s="10">
        <v>1848313</v>
      </c>
      <c r="F765" s="4" t="str">
        <f>IF(B765=B764,"",B765)</f>
        <v/>
      </c>
    </row>
    <row r="766" spans="1:6" ht="15.75" customHeight="1">
      <c r="A766" s="5" t="s">
        <v>16599</v>
      </c>
      <c r="B766" s="6" t="s">
        <v>16599</v>
      </c>
      <c r="C766" s="5" t="s">
        <v>15704</v>
      </c>
      <c r="D766" s="5" t="s">
        <v>15755</v>
      </c>
      <c r="E766" s="2">
        <v>1848354</v>
      </c>
      <c r="F766" s="4" t="str">
        <f>IF(B766=B765,"",B766)</f>
        <v>Yokohama</v>
      </c>
    </row>
    <row r="767" spans="1:6" ht="15.75" customHeight="1">
      <c r="A767" s="5" t="str">
        <f ca="1">IFERROR(__xludf.DUMMYFUNCTION("GOOGLETRANSLATE(B35165,""en"",""pt"")"),"Yokohama")</f>
        <v>Yokohama</v>
      </c>
      <c r="B767" s="17" t="s">
        <v>16599</v>
      </c>
      <c r="C767" s="17" t="s">
        <v>15704</v>
      </c>
      <c r="D767" s="17" t="s">
        <v>15755</v>
      </c>
      <c r="E767" s="10">
        <v>1848354</v>
      </c>
      <c r="F767" s="4" t="str">
        <f>IF(B767=B766,"",B767)</f>
        <v/>
      </c>
    </row>
    <row r="768" spans="1:6" ht="15.75" customHeight="1">
      <c r="A768" s="6" t="s">
        <v>16598</v>
      </c>
      <c r="B768" s="6" t="s">
        <v>16598</v>
      </c>
      <c r="C768" s="6" t="s">
        <v>15704</v>
      </c>
      <c r="D768" s="6" t="s">
        <v>15967</v>
      </c>
      <c r="E768" s="2">
        <v>1848373</v>
      </c>
      <c r="F768" s="4" t="str">
        <f>IF(B768=B767,"",B768)</f>
        <v>Yokkaichi</v>
      </c>
    </row>
    <row r="769" spans="1:6" ht="15.75" customHeight="1">
      <c r="A769" s="5" t="str">
        <f ca="1">IFERROR(__xludf.DUMMYFUNCTION("GOOGLETRANSLATE(B35166,""en"",""pt"")"),"Yokkaichi")</f>
        <v>Yokkaichi</v>
      </c>
      <c r="B769" s="17" t="s">
        <v>16598</v>
      </c>
      <c r="C769" s="17" t="s">
        <v>15704</v>
      </c>
      <c r="D769" s="17" t="s">
        <v>15967</v>
      </c>
      <c r="E769" s="10">
        <v>1848373</v>
      </c>
      <c r="F769" s="4" t="str">
        <f>IF(B769=B768,"",B769)</f>
        <v/>
      </c>
    </row>
    <row r="770" spans="1:6" ht="15.75" customHeight="1">
      <c r="A770" s="5" t="str">
        <f ca="1">IFERROR(__xludf.DUMMYFUNCTION("GOOGLETRANSLATE(B35710,""en"",""pt"")"),"Yōkaichiba")</f>
        <v>Yōkaichiba</v>
      </c>
      <c r="B770" s="17" t="s">
        <v>34398</v>
      </c>
      <c r="C770" s="17" t="s">
        <v>15704</v>
      </c>
      <c r="D770" s="17" t="s">
        <v>15707</v>
      </c>
      <c r="E770" s="10">
        <v>2110518</v>
      </c>
      <c r="F770" s="4" t="str">
        <f>IF(B770=B769,"",B770)</f>
        <v>Yōkaichiba</v>
      </c>
    </row>
    <row r="771" spans="1:6" ht="15.75" customHeight="1">
      <c r="A771" s="6" t="s">
        <v>16597</v>
      </c>
      <c r="B771" s="6" t="s">
        <v>16597</v>
      </c>
      <c r="C771" s="6" t="s">
        <v>15704</v>
      </c>
      <c r="D771" s="6" t="s">
        <v>15705</v>
      </c>
      <c r="E771" s="2">
        <v>2129218</v>
      </c>
      <c r="F771" s="4" t="str">
        <f>IF(B771=B770,"",B771)</f>
        <v>Yoichi</v>
      </c>
    </row>
    <row r="772" spans="1:6" ht="15.75" customHeight="1">
      <c r="A772" s="5" t="str">
        <f ca="1">IFERROR(__xludf.DUMMYFUNCTION("GOOGLETRANSLATE(B35841,""en"",""pt"")"),"Yoichi")</f>
        <v>Yoichi</v>
      </c>
      <c r="B772" s="17" t="s">
        <v>16597</v>
      </c>
      <c r="C772" s="17" t="s">
        <v>15704</v>
      </c>
      <c r="D772" s="17" t="s">
        <v>15705</v>
      </c>
      <c r="E772" s="10">
        <v>2129218</v>
      </c>
      <c r="F772" s="4" t="str">
        <f>IF(B772=B771,"",B772)</f>
        <v/>
      </c>
    </row>
    <row r="773" spans="1:6" ht="15.75" customHeight="1">
      <c r="A773" s="5" t="s">
        <v>14237</v>
      </c>
      <c r="B773" s="6" t="s">
        <v>14237</v>
      </c>
      <c r="C773" s="5" t="s">
        <v>13800</v>
      </c>
      <c r="D773" s="5" t="s">
        <v>13826</v>
      </c>
      <c r="E773" s="2">
        <v>1621177</v>
      </c>
      <c r="F773" s="4" t="str">
        <f>IF(B773=B772,"",B773)</f>
        <v>Yogyakarta</v>
      </c>
    </row>
    <row r="774" spans="1:6" ht="15.75" customHeight="1">
      <c r="A774" s="5" t="str">
        <f ca="1">IFERROR(__xludf.DUMMYFUNCTION("GOOGLETRANSLATE(B31384,""en"",""pt"")"),"Yogyakarta")</f>
        <v>Yogyakarta</v>
      </c>
      <c r="B774" s="17" t="s">
        <v>14237</v>
      </c>
      <c r="C774" s="17" t="s">
        <v>13800</v>
      </c>
      <c r="D774" s="17" t="s">
        <v>13826</v>
      </c>
      <c r="E774" s="10">
        <v>1621177</v>
      </c>
      <c r="F774" s="4" t="str">
        <f>IF(B774=B773,"",B774)</f>
        <v/>
      </c>
    </row>
    <row r="775" spans="1:6" ht="15.75" customHeight="1">
      <c r="A775" s="5" t="str">
        <f ca="1">IFERROR(__xludf.DUMMYFUNCTION("GOOGLETRANSLATE(B29597,""en"",""pt"")"),"Ylöjärvi")</f>
        <v>Ylöjärvi</v>
      </c>
      <c r="B775" s="17" t="s">
        <v>32521</v>
      </c>
      <c r="C775" s="17" t="s">
        <v>6948</v>
      </c>
      <c r="D775" s="17" t="s">
        <v>6987</v>
      </c>
      <c r="E775" s="10">
        <v>630752</v>
      </c>
      <c r="F775" s="4" t="str">
        <f>IF(B775=B774,"",B775)</f>
        <v>Ylöjärvi</v>
      </c>
    </row>
    <row r="776" spans="1:6" ht="15.75" customHeight="1">
      <c r="A776" s="6" t="s">
        <v>7048</v>
      </c>
      <c r="B776" s="6" t="s">
        <v>7049</v>
      </c>
      <c r="C776" s="6" t="s">
        <v>6948</v>
      </c>
      <c r="D776" s="6" t="s">
        <v>6987</v>
      </c>
      <c r="E776" s="2">
        <v>630752</v>
      </c>
      <c r="F776" s="4" t="str">
        <f>IF(B776=B775,"",B776)</f>
        <v>YlÃ¶jÃ¤rvi</v>
      </c>
    </row>
    <row r="777" spans="1:6" ht="15.75" customHeight="1">
      <c r="A777" s="6" t="s">
        <v>5274</v>
      </c>
      <c r="B777" s="6" t="s">
        <v>5274</v>
      </c>
      <c r="C777" s="6" t="s">
        <v>4487</v>
      </c>
      <c r="D777" s="6" t="s">
        <v>4495</v>
      </c>
      <c r="E777" s="2">
        <v>1808316</v>
      </c>
      <c r="F777" s="4" t="str">
        <f>IF(B777=B776,"",B777)</f>
        <v>Yiyang</v>
      </c>
    </row>
    <row r="778" spans="1:6" ht="15.75" customHeight="1">
      <c r="A778" s="5" t="str">
        <f ca="1">IFERROR(__xludf.DUMMYFUNCTION("GOOGLETRANSLATE(B26492,""en"",""pt"")"),"Yiyang")</f>
        <v>Yiyang</v>
      </c>
      <c r="B778" s="17" t="s">
        <v>5274</v>
      </c>
      <c r="C778" s="17" t="s">
        <v>4487</v>
      </c>
      <c r="D778" s="17" t="s">
        <v>4495</v>
      </c>
      <c r="E778" s="10">
        <v>1808316</v>
      </c>
      <c r="F778" s="4" t="str">
        <f>IF(B778=B777,"",B778)</f>
        <v/>
      </c>
    </row>
    <row r="779" spans="1:6" ht="15.75" customHeight="1">
      <c r="A779" s="6" t="s">
        <v>5273</v>
      </c>
      <c r="B779" s="6" t="s">
        <v>5273</v>
      </c>
      <c r="C779" s="6" t="s">
        <v>4487</v>
      </c>
      <c r="D779" s="6" t="s">
        <v>4631</v>
      </c>
      <c r="E779" s="2">
        <v>1814870</v>
      </c>
      <c r="F779" s="4" t="str">
        <f>IF(B779=B778,"",B779)</f>
        <v>Yiwu</v>
      </c>
    </row>
    <row r="780" spans="1:6" ht="15.75" customHeight="1">
      <c r="A780" s="5" t="str">
        <f ca="1">IFERROR(__xludf.DUMMYFUNCTION("GOOGLETRANSLATE(B26583,""en"",""pt"")"),"Yiwu")</f>
        <v>Yiwu</v>
      </c>
      <c r="B780" s="17" t="s">
        <v>5273</v>
      </c>
      <c r="C780" s="17" t="s">
        <v>4487</v>
      </c>
      <c r="D780" s="17" t="s">
        <v>4631</v>
      </c>
      <c r="E780" s="10">
        <v>1814870</v>
      </c>
      <c r="F780" s="4" t="str">
        <f>IF(B780=B779,"",B780)</f>
        <v/>
      </c>
    </row>
    <row r="781" spans="1:6" ht="15.75" customHeight="1">
      <c r="A781" s="6" t="s">
        <v>5272</v>
      </c>
      <c r="B781" s="6" t="s">
        <v>5272</v>
      </c>
      <c r="C781" s="6" t="s">
        <v>4487</v>
      </c>
      <c r="D781" s="6" t="s">
        <v>4503</v>
      </c>
      <c r="E781" s="2">
        <v>1786455</v>
      </c>
      <c r="F781" s="4" t="str">
        <f>IF(B781=B780,"",B781)</f>
        <v>Yishui</v>
      </c>
    </row>
    <row r="782" spans="1:6" ht="15.75" customHeight="1">
      <c r="A782" s="5" t="str">
        <f ca="1">IFERROR(__xludf.DUMMYFUNCTION("GOOGLETRANSLATE(B26122,""en"",""pt"")"),"Yishui")</f>
        <v>Yishui</v>
      </c>
      <c r="B782" s="17" t="s">
        <v>5272</v>
      </c>
      <c r="C782" s="17" t="s">
        <v>4487</v>
      </c>
      <c r="D782" s="17" t="s">
        <v>4503</v>
      </c>
      <c r="E782" s="10">
        <v>1786455</v>
      </c>
      <c r="F782" s="4" t="str">
        <f>IF(B782=B781,"",B782)</f>
        <v/>
      </c>
    </row>
    <row r="783" spans="1:6" ht="15.75" customHeight="1">
      <c r="A783" s="5" t="s">
        <v>6931</v>
      </c>
      <c r="B783" s="15" t="s">
        <v>6932</v>
      </c>
      <c r="C783" s="5" t="s">
        <v>6807</v>
      </c>
      <c r="D783" s="5" t="s">
        <v>6817</v>
      </c>
      <c r="E783" s="2">
        <v>325780</v>
      </c>
      <c r="F783" s="4" t="str">
        <f>IF(B783=B782,"",B783)</f>
        <v>Yirga â€˜Alem</v>
      </c>
    </row>
    <row r="784" spans="1:6" ht="15.75" customHeight="1">
      <c r="A784" s="5" t="str">
        <f ca="1">IFERROR(__xludf.DUMMYFUNCTION("GOOGLETRANSLATE(B29520,""en"",""pt"")"),"Yirga ‘Alem")</f>
        <v>Yirga ‘Alem</v>
      </c>
      <c r="B784" s="17" t="s">
        <v>32484</v>
      </c>
      <c r="C784" s="17" t="s">
        <v>6807</v>
      </c>
      <c r="D784" s="17" t="s">
        <v>6817</v>
      </c>
      <c r="E784" s="10">
        <v>325780</v>
      </c>
      <c r="F784" s="4" t="str">
        <f>IF(B784=B783,"",B784)</f>
        <v>Yirga ‘Alem</v>
      </c>
    </row>
    <row r="785" spans="1:6" ht="15.75" customHeight="1">
      <c r="A785" s="6" t="s">
        <v>5271</v>
      </c>
      <c r="B785" s="6" t="s">
        <v>5271</v>
      </c>
      <c r="C785" s="6" t="s">
        <v>4487</v>
      </c>
      <c r="D785" s="6" t="s">
        <v>4503</v>
      </c>
      <c r="E785" s="2">
        <v>1792087</v>
      </c>
      <c r="F785" s="4" t="str">
        <f>IF(B785=B784,"",B785)</f>
        <v>Yinzhu</v>
      </c>
    </row>
    <row r="786" spans="1:6" ht="15.75" customHeight="1">
      <c r="A786" s="5" t="str">
        <f ca="1">IFERROR(__xludf.DUMMYFUNCTION("GOOGLETRANSLATE(B26224,""en"",""pt"")"),"Yinzhu")</f>
        <v>Yinzhu</v>
      </c>
      <c r="B786" s="17" t="s">
        <v>5271</v>
      </c>
      <c r="C786" s="17" t="s">
        <v>4487</v>
      </c>
      <c r="D786" s="17" t="s">
        <v>4503</v>
      </c>
      <c r="E786" s="10">
        <v>1792087</v>
      </c>
      <c r="F786" s="4" t="str">
        <f>IF(B786=B785,"",B786)</f>
        <v/>
      </c>
    </row>
    <row r="787" spans="1:6" ht="15.75" customHeight="1">
      <c r="A787" s="5" t="s">
        <v>5270</v>
      </c>
      <c r="B787" s="6" t="s">
        <v>5270</v>
      </c>
      <c r="C787" s="5" t="s">
        <v>4487</v>
      </c>
      <c r="D787" s="5" t="s">
        <v>4501</v>
      </c>
      <c r="E787" s="2">
        <v>1786587</v>
      </c>
      <c r="F787" s="4" t="str">
        <f>IF(B787=B786,"",B787)</f>
        <v>Yingshang Chengguanzhen</v>
      </c>
    </row>
    <row r="788" spans="1:6" ht="15.75" customHeight="1">
      <c r="A788" s="5" t="str">
        <f ca="1">IFERROR(__xludf.DUMMYFUNCTION("GOOGLETRANSLATE(B26124,""en"",""pt"")"),"Yingshang Chengguanzhen")</f>
        <v>Yingshang Chengguanzhen</v>
      </c>
      <c r="B788" s="17" t="s">
        <v>5270</v>
      </c>
      <c r="C788" s="17" t="s">
        <v>4487</v>
      </c>
      <c r="D788" s="17" t="s">
        <v>4501</v>
      </c>
      <c r="E788" s="10">
        <v>1786587</v>
      </c>
      <c r="F788" s="4" t="str">
        <f>IF(B788=B787,"",B788)</f>
        <v/>
      </c>
    </row>
    <row r="789" spans="1:6" ht="15.75" customHeight="1">
      <c r="A789" s="6" t="s">
        <v>5269</v>
      </c>
      <c r="B789" s="6" t="s">
        <v>5269</v>
      </c>
      <c r="C789" s="6" t="s">
        <v>4487</v>
      </c>
      <c r="D789" s="6" t="s">
        <v>4505</v>
      </c>
      <c r="E789" s="2">
        <v>2033370</v>
      </c>
      <c r="F789" s="4" t="str">
        <f>IF(B789=B788,"",B789)</f>
        <v>Yingkou</v>
      </c>
    </row>
    <row r="790" spans="1:6" ht="15.75" customHeight="1">
      <c r="A790" s="5" t="str">
        <f ca="1">IFERROR(__xludf.DUMMYFUNCTION("GOOGLETRANSLATE(B26654,""en"",""pt"")"),"Yingkou")</f>
        <v>Yingkou</v>
      </c>
      <c r="B790" s="17" t="s">
        <v>5269</v>
      </c>
      <c r="C790" s="17" t="s">
        <v>4487</v>
      </c>
      <c r="D790" s="17" t="s">
        <v>4505</v>
      </c>
      <c r="E790" s="10">
        <v>2033370</v>
      </c>
      <c r="F790" s="4" t="str">
        <f>IF(B790=B789,"",B790)</f>
        <v/>
      </c>
    </row>
    <row r="791" spans="1:6" ht="15.75" customHeight="1">
      <c r="A791" s="5" t="s">
        <v>5268</v>
      </c>
      <c r="B791" s="6" t="s">
        <v>5268</v>
      </c>
      <c r="C791" s="5" t="s">
        <v>4487</v>
      </c>
      <c r="D791" s="5" t="s">
        <v>4511</v>
      </c>
      <c r="E791" s="2">
        <v>1785566</v>
      </c>
      <c r="F791" s="4" t="str">
        <f>IF(B791=B790,"",B791)</f>
        <v>Yingchuan</v>
      </c>
    </row>
    <row r="792" spans="1:6" ht="15.75" customHeight="1">
      <c r="A792" s="5" t="str">
        <f ca="1">IFERROR(__xludf.DUMMYFUNCTION("GOOGLETRANSLATE(B26103,""en"",""pt"")"),"Yingchuan")</f>
        <v>Yingchuan</v>
      </c>
      <c r="B792" s="17" t="s">
        <v>5268</v>
      </c>
      <c r="C792" s="17" t="s">
        <v>4487</v>
      </c>
      <c r="D792" s="17" t="s">
        <v>4511</v>
      </c>
      <c r="E792" s="10">
        <v>1785566</v>
      </c>
      <c r="F792" s="4" t="str">
        <f>IF(B792=B791,"",B792)</f>
        <v/>
      </c>
    </row>
    <row r="793" spans="1:6" ht="15.75" customHeight="1">
      <c r="A793" s="5" t="s">
        <v>5267</v>
      </c>
      <c r="B793" s="6" t="s">
        <v>5267</v>
      </c>
      <c r="C793" s="5" t="s">
        <v>4487</v>
      </c>
      <c r="D793" s="5" t="s">
        <v>4490</v>
      </c>
      <c r="E793" s="2">
        <v>1529660</v>
      </c>
      <c r="F793" s="4" t="str">
        <f>IF(B793=B792,"",B793)</f>
        <v>Yingbazha</v>
      </c>
    </row>
    <row r="794" spans="1:6" ht="15.75" customHeight="1">
      <c r="A794" s="5" t="str">
        <f ca="1">IFERROR(__xludf.DUMMYFUNCTION("GOOGLETRANSLATE(B26066,""en"",""pt"")"),"Yingbazha")</f>
        <v>Yingbazha</v>
      </c>
      <c r="B794" s="17" t="s">
        <v>5267</v>
      </c>
      <c r="C794" s="17" t="s">
        <v>4487</v>
      </c>
      <c r="D794" s="17" t="s">
        <v>4490</v>
      </c>
      <c r="E794" s="10">
        <v>1529660</v>
      </c>
      <c r="F794" s="4" t="str">
        <f>IF(B794=B793,"",B794)</f>
        <v/>
      </c>
    </row>
    <row r="795" spans="1:6" ht="15.75" customHeight="1">
      <c r="A795" s="6" t="s">
        <v>5266</v>
      </c>
      <c r="B795" s="6" t="s">
        <v>5266</v>
      </c>
      <c r="C795" s="6" t="s">
        <v>4487</v>
      </c>
      <c r="D795" s="6" t="s">
        <v>4622</v>
      </c>
      <c r="E795" s="2">
        <v>1786657</v>
      </c>
      <c r="F795" s="4" t="str">
        <f>IF(B795=B794,"",B795)</f>
        <v>Yinchuan</v>
      </c>
    </row>
    <row r="796" spans="1:6" ht="15.75" customHeight="1">
      <c r="A796" s="5" t="str">
        <f ca="1">IFERROR(__xludf.DUMMYFUNCTION("GOOGLETRANSLATE(B26126,""en"",""pt"")"),"Yinchuan")</f>
        <v>Yinchuan</v>
      </c>
      <c r="B796" s="17" t="s">
        <v>5266</v>
      </c>
      <c r="C796" s="17" t="s">
        <v>4487</v>
      </c>
      <c r="D796" s="17" t="s">
        <v>4622</v>
      </c>
      <c r="E796" s="10">
        <v>1786657</v>
      </c>
      <c r="F796" s="4" t="str">
        <f>IF(B796=B795,"",B796)</f>
        <v/>
      </c>
    </row>
    <row r="797" spans="1:6" ht="15.75" customHeight="1">
      <c r="A797" s="6" t="s">
        <v>5265</v>
      </c>
      <c r="B797" s="6" t="s">
        <v>5265</v>
      </c>
      <c r="C797" s="6" t="s">
        <v>4487</v>
      </c>
      <c r="D797" s="6" t="s">
        <v>4511</v>
      </c>
      <c r="E797" s="2">
        <v>1786676</v>
      </c>
      <c r="F797" s="4" t="str">
        <f>IF(B797=B796,"",B797)</f>
        <v>Yima</v>
      </c>
    </row>
    <row r="798" spans="1:6" ht="15.75" customHeight="1">
      <c r="A798" s="5" t="str">
        <f ca="1">IFERROR(__xludf.DUMMYFUNCTION("GOOGLETRANSLATE(B26127,""en"",""pt"")"),"Yima")</f>
        <v>Yima</v>
      </c>
      <c r="B798" s="17" t="s">
        <v>5265</v>
      </c>
      <c r="C798" s="17" t="s">
        <v>4487</v>
      </c>
      <c r="D798" s="17" t="s">
        <v>4511</v>
      </c>
      <c r="E798" s="10">
        <v>1786676</v>
      </c>
      <c r="F798" s="4" t="str">
        <f>IF(B798=B797,"",B798)</f>
        <v/>
      </c>
    </row>
    <row r="799" spans="1:6" ht="15.75" customHeight="1">
      <c r="A799" s="6" t="s">
        <v>5264</v>
      </c>
      <c r="B799" s="6" t="s">
        <v>5264</v>
      </c>
      <c r="C799" s="6" t="s">
        <v>4487</v>
      </c>
      <c r="D799" s="6" t="s">
        <v>4488</v>
      </c>
      <c r="E799" s="2">
        <v>2033403</v>
      </c>
      <c r="F799" s="4" t="str">
        <f>IF(B799=B798,"",B799)</f>
        <v>Yilan</v>
      </c>
    </row>
    <row r="800" spans="1:6" ht="15.75" customHeight="1">
      <c r="A800" s="6" t="s">
        <v>5264</v>
      </c>
      <c r="B800" s="6" t="s">
        <v>5264</v>
      </c>
      <c r="C800" s="6" t="s">
        <v>25502</v>
      </c>
      <c r="D800" s="6" t="s">
        <v>25502</v>
      </c>
      <c r="E800" s="2">
        <v>1674199</v>
      </c>
      <c r="F800" s="4" t="str">
        <f>IF(B800=B799,"",B800)</f>
        <v/>
      </c>
    </row>
    <row r="801" spans="1:6" ht="15.75" customHeight="1">
      <c r="A801" s="5" t="str">
        <f ca="1">IFERROR(__xludf.DUMMYFUNCTION("GOOGLETRANSLATE(B26655,""en"",""pt"")"),"Yilan")</f>
        <v>Yilan</v>
      </c>
      <c r="B801" s="17" t="s">
        <v>5264</v>
      </c>
      <c r="C801" s="17" t="s">
        <v>4487</v>
      </c>
      <c r="D801" s="17" t="s">
        <v>4488</v>
      </c>
      <c r="E801" s="10">
        <v>2033403</v>
      </c>
      <c r="F801" s="4" t="str">
        <f>IF(B801=B800,"",B801)</f>
        <v/>
      </c>
    </row>
    <row r="802" spans="1:6" ht="15.75" customHeight="1">
      <c r="A802" s="5" t="str">
        <f ca="1">IFERROR(__xludf.DUMMYFUNCTION("GOOGLETRANSLATE(B42272,""en"",""pt"")"),"Yilan")</f>
        <v>Yilan</v>
      </c>
      <c r="B802" s="17" t="s">
        <v>5264</v>
      </c>
      <c r="C802" s="17" t="s">
        <v>25502</v>
      </c>
      <c r="D802" s="17" t="s">
        <v>25502</v>
      </c>
      <c r="E802" s="10">
        <v>1674199</v>
      </c>
      <c r="F802" s="4" t="str">
        <f>IF(B802=B801,"",B802)</f>
        <v/>
      </c>
    </row>
    <row r="803" spans="1:6" ht="15.75" customHeight="1">
      <c r="A803" s="6" t="s">
        <v>5263</v>
      </c>
      <c r="B803" s="6" t="s">
        <v>5263</v>
      </c>
      <c r="C803" s="6" t="s">
        <v>4487</v>
      </c>
      <c r="D803" s="6" t="s">
        <v>4511</v>
      </c>
      <c r="E803" s="2">
        <v>1786720</v>
      </c>
      <c r="F803" s="4" t="str">
        <f>IF(B803=B802,"",B803)</f>
        <v>Yigou</v>
      </c>
    </row>
    <row r="804" spans="1:6" ht="15.75" customHeight="1">
      <c r="A804" s="5" t="str">
        <f ca="1">IFERROR(__xludf.DUMMYFUNCTION("GOOGLETRANSLATE(B26128,""en"",""pt"")"),"Yigou")</f>
        <v>Yigou</v>
      </c>
      <c r="B804" s="17" t="s">
        <v>5263</v>
      </c>
      <c r="C804" s="17" t="s">
        <v>4487</v>
      </c>
      <c r="D804" s="17" t="s">
        <v>4511</v>
      </c>
      <c r="E804" s="10">
        <v>1786720</v>
      </c>
      <c r="F804" s="4" t="str">
        <f>IF(B804=B803,"",B804)</f>
        <v/>
      </c>
    </row>
    <row r="805" spans="1:6" ht="15.75" customHeight="1">
      <c r="A805" s="5" t="s">
        <v>9696</v>
      </c>
      <c r="B805" s="6" t="s">
        <v>9697</v>
      </c>
      <c r="C805" s="5" t="s">
        <v>9683</v>
      </c>
      <c r="D805" s="5" t="s">
        <v>9698</v>
      </c>
      <c r="E805" s="2">
        <v>4038794</v>
      </c>
      <c r="F805" s="4" t="str">
        <f>IF(B805=B804,"",B805)</f>
        <v>Yigo Village</v>
      </c>
    </row>
    <row r="806" spans="1:6" ht="15.75" customHeight="1">
      <c r="A806" s="5" t="str">
        <f ca="1">IFERROR(__xludf.DUMMYFUNCTION("GOOGLETRANSLATE(B31146,""en"",""pt"")"),"Vila de Yigo")</f>
        <v>Vila de Yigo</v>
      </c>
      <c r="B806" s="17" t="s">
        <v>9697</v>
      </c>
      <c r="C806" s="17" t="s">
        <v>9683</v>
      </c>
      <c r="D806" s="17" t="s">
        <v>9698</v>
      </c>
      <c r="E806" s="10">
        <v>4038794</v>
      </c>
      <c r="F806" s="4" t="str">
        <f>IF(B806=B805,"",B806)</f>
        <v/>
      </c>
    </row>
    <row r="807" spans="1:6" ht="15.75" customHeight="1">
      <c r="A807" s="6" t="s">
        <v>5262</v>
      </c>
      <c r="B807" s="6" t="s">
        <v>5262</v>
      </c>
      <c r="C807" s="6" t="s">
        <v>4487</v>
      </c>
      <c r="D807" s="6" t="s">
        <v>4569</v>
      </c>
      <c r="E807" s="2">
        <v>1786746</v>
      </c>
      <c r="F807" s="4" t="str">
        <f>IF(B807=B806,"",B807)</f>
        <v>Yichun</v>
      </c>
    </row>
    <row r="808" spans="1:6" ht="15.75" customHeight="1">
      <c r="A808" s="6" t="s">
        <v>5262</v>
      </c>
      <c r="B808" s="6" t="s">
        <v>5262</v>
      </c>
      <c r="C808" s="6" t="s">
        <v>4487</v>
      </c>
      <c r="D808" s="6" t="s">
        <v>4488</v>
      </c>
      <c r="E808" s="2">
        <v>2033413</v>
      </c>
      <c r="F808" s="4" t="str">
        <f>IF(B808=B807,"",B808)</f>
        <v/>
      </c>
    </row>
    <row r="809" spans="1:6" ht="15.75" customHeight="1">
      <c r="A809" s="5" t="str">
        <f ca="1">IFERROR(__xludf.DUMMYFUNCTION("GOOGLETRANSLATE(B26130,""en"",""pt"")"),"Yichun")</f>
        <v>Yichun</v>
      </c>
      <c r="B809" s="17" t="s">
        <v>5262</v>
      </c>
      <c r="C809" s="17" t="s">
        <v>4487</v>
      </c>
      <c r="D809" s="17" t="s">
        <v>4569</v>
      </c>
      <c r="E809" s="10">
        <v>1786746</v>
      </c>
      <c r="F809" s="4" t="str">
        <f>IF(B809=B808,"",B809)</f>
        <v/>
      </c>
    </row>
    <row r="810" spans="1:6" ht="15.75" customHeight="1">
      <c r="A810" s="5" t="str">
        <f ca="1">IFERROR(__xludf.DUMMYFUNCTION("GOOGLETRANSLATE(B26656,""en"",""pt"")"),"Yichun")</f>
        <v>Yichun</v>
      </c>
      <c r="B810" s="17" t="s">
        <v>5262</v>
      </c>
      <c r="C810" s="17" t="s">
        <v>4487</v>
      </c>
      <c r="D810" s="17" t="s">
        <v>4488</v>
      </c>
      <c r="E810" s="10">
        <v>2033413</v>
      </c>
      <c r="F810" s="4" t="str">
        <f>IF(B810=B809,"",B810)</f>
        <v/>
      </c>
    </row>
    <row r="811" spans="1:6" ht="15.75" customHeight="1">
      <c r="A811" s="6" t="s">
        <v>5261</v>
      </c>
      <c r="B811" s="6" t="s">
        <v>5261</v>
      </c>
      <c r="C811" s="6" t="s">
        <v>4487</v>
      </c>
      <c r="D811" s="6" t="s">
        <v>4499</v>
      </c>
      <c r="E811" s="2">
        <v>1786759</v>
      </c>
      <c r="F811" s="4" t="str">
        <f>IF(B811=B810,"",B811)</f>
        <v>Yicheng</v>
      </c>
    </row>
    <row r="812" spans="1:6" ht="15.75" customHeight="1">
      <c r="A812" s="6" t="s">
        <v>5261</v>
      </c>
      <c r="B812" s="6" t="s">
        <v>5261</v>
      </c>
      <c r="C812" s="6" t="s">
        <v>4487</v>
      </c>
      <c r="D812" s="6" t="s">
        <v>4535</v>
      </c>
      <c r="E812" s="2">
        <v>1786760</v>
      </c>
      <c r="F812" s="4" t="str">
        <f>IF(B812=B811,"",B812)</f>
        <v/>
      </c>
    </row>
    <row r="813" spans="1:6" ht="15.75" customHeight="1">
      <c r="A813" s="5" t="str">
        <f ca="1">IFERROR(__xludf.DUMMYFUNCTION("GOOGLETRANSLATE(B26131,""en"",""pt"")"),"Yicheng")</f>
        <v>Yicheng</v>
      </c>
      <c r="B813" s="17" t="s">
        <v>5261</v>
      </c>
      <c r="C813" s="17" t="s">
        <v>4487</v>
      </c>
      <c r="D813" s="17" t="s">
        <v>4499</v>
      </c>
      <c r="E813" s="10">
        <v>1786759</v>
      </c>
      <c r="F813" s="4" t="str">
        <f>IF(B813=B812,"",B813)</f>
        <v/>
      </c>
    </row>
    <row r="814" spans="1:6" ht="15.75" customHeight="1">
      <c r="A814" s="5" t="str">
        <f ca="1">IFERROR(__xludf.DUMMYFUNCTION("GOOGLETRANSLATE(B26132,""en"",""pt"")"),"Yicheng")</f>
        <v>Yicheng</v>
      </c>
      <c r="B814" s="17" t="s">
        <v>5261</v>
      </c>
      <c r="C814" s="17" t="s">
        <v>4487</v>
      </c>
      <c r="D814" s="17" t="s">
        <v>4535</v>
      </c>
      <c r="E814" s="10">
        <v>1786760</v>
      </c>
      <c r="F814" s="4" t="str">
        <f>IF(B814=B813,"",B814)</f>
        <v/>
      </c>
    </row>
    <row r="815" spans="1:6" ht="15.75" customHeight="1">
      <c r="A815" s="6" t="s">
        <v>5260</v>
      </c>
      <c r="B815" s="6" t="s">
        <v>5260</v>
      </c>
      <c r="C815" s="6" t="s">
        <v>4487</v>
      </c>
      <c r="D815" s="6" t="s">
        <v>4499</v>
      </c>
      <c r="E815" s="2">
        <v>1786764</v>
      </c>
      <c r="F815" s="4" t="str">
        <f>IF(B815=B814,"",B815)</f>
        <v>Yichang</v>
      </c>
    </row>
    <row r="816" spans="1:6" ht="15.75" customHeight="1">
      <c r="A816" s="5" t="str">
        <f ca="1">IFERROR(__xludf.DUMMYFUNCTION("GOOGLETRANSLATE(B26133,""en"",""pt"")"),"Yichang")</f>
        <v>Yichang</v>
      </c>
      <c r="B816" s="17" t="s">
        <v>5260</v>
      </c>
      <c r="C816" s="17" t="s">
        <v>4487</v>
      </c>
      <c r="D816" s="17" t="s">
        <v>4499</v>
      </c>
      <c r="E816" s="10">
        <v>1786764</v>
      </c>
      <c r="F816" s="4" t="str">
        <f>IF(B816=B815,"",B816)</f>
        <v/>
      </c>
    </row>
    <row r="817" spans="1:6" ht="15.75" customHeight="1">
      <c r="A817" s="6" t="s">
        <v>5259</v>
      </c>
      <c r="B817" s="6" t="s">
        <v>5259</v>
      </c>
      <c r="C817" s="6" t="s">
        <v>4487</v>
      </c>
      <c r="D817" s="6" t="s">
        <v>4588</v>
      </c>
      <c r="E817" s="2">
        <v>1786770</v>
      </c>
      <c r="F817" s="4" t="str">
        <f>IF(B817=B816,"",B817)</f>
        <v>Yibin</v>
      </c>
    </row>
    <row r="818" spans="1:6" ht="15.75" customHeight="1">
      <c r="A818" s="5" t="str">
        <f ca="1">IFERROR(__xludf.DUMMYFUNCTION("GOOGLETRANSLATE(B26134,""en"",""pt"")"),"Yibin")</f>
        <v>Yibin</v>
      </c>
      <c r="B818" s="17" t="s">
        <v>5259</v>
      </c>
      <c r="C818" s="17" t="s">
        <v>4487</v>
      </c>
      <c r="D818" s="17" t="s">
        <v>4588</v>
      </c>
      <c r="E818" s="10">
        <v>1786770</v>
      </c>
      <c r="F818" s="4" t="str">
        <f>IF(B818=B817,"",B818)</f>
        <v/>
      </c>
    </row>
    <row r="819" spans="1:6" ht="15.75" customHeight="1">
      <c r="A819" s="6" t="s">
        <v>23356</v>
      </c>
      <c r="B819" s="6" t="s">
        <v>23356</v>
      </c>
      <c r="C819" s="6" t="s">
        <v>22070</v>
      </c>
      <c r="D819" s="6" t="s">
        <v>22077</v>
      </c>
      <c r="E819" s="2">
        <v>466885</v>
      </c>
      <c r="F819" s="4" t="str">
        <f>IF(B819=B818,"",B819)</f>
        <v>Yeysk</v>
      </c>
    </row>
    <row r="820" spans="1:6" ht="15.75" customHeight="1">
      <c r="A820" s="5" t="str">
        <f ca="1">IFERROR(__xludf.DUMMYFUNCTION("GOOGLETRANSLATE(B39936,""en"",""pt"")"),"Yeysk")</f>
        <v>Yeysk</v>
      </c>
      <c r="B820" s="17" t="s">
        <v>23356</v>
      </c>
      <c r="C820" s="17" t="s">
        <v>22070</v>
      </c>
      <c r="D820" s="17" t="s">
        <v>22077</v>
      </c>
      <c r="E820" s="10">
        <v>466885</v>
      </c>
      <c r="F820" s="4" t="str">
        <f>IF(B820=B819,"",B820)</f>
        <v/>
      </c>
    </row>
    <row r="821" spans="1:6" ht="15.75" customHeight="1">
      <c r="A821" s="5" t="s">
        <v>27198</v>
      </c>
      <c r="B821" s="6" t="s">
        <v>27198</v>
      </c>
      <c r="C821" s="5" t="s">
        <v>26870</v>
      </c>
      <c r="D821" s="5" t="s">
        <v>26873</v>
      </c>
      <c r="E821" s="2">
        <v>688105</v>
      </c>
      <c r="F821" s="4" t="str">
        <f>IF(B821=B820,"",B821)</f>
        <v>Yevpatoriya</v>
      </c>
    </row>
    <row r="822" spans="1:6" ht="15.75" customHeight="1">
      <c r="A822" s="5" t="str">
        <f ca="1">IFERROR(__xludf.DUMMYFUNCTION("GOOGLETRANSLATE(B42482,""en"",""pt"")"),"Yevpatoriya")</f>
        <v>Yevpatoriya</v>
      </c>
      <c r="B822" s="17" t="s">
        <v>27198</v>
      </c>
      <c r="C822" s="17" t="s">
        <v>26870</v>
      </c>
      <c r="D822" s="17" t="s">
        <v>26873</v>
      </c>
      <c r="E822" s="10">
        <v>688105</v>
      </c>
      <c r="F822" s="4" t="str">
        <f>IF(B822=B821,"",B822)</f>
        <v/>
      </c>
    </row>
    <row r="823" spans="1:6" ht="15.75" customHeight="1">
      <c r="A823" s="6" t="s">
        <v>1268</v>
      </c>
      <c r="B823" s="6" t="s">
        <v>1268</v>
      </c>
      <c r="C823" s="6" t="s">
        <v>1170</v>
      </c>
      <c r="D823" s="6" t="s">
        <v>1269</v>
      </c>
      <c r="E823" s="2">
        <v>584649</v>
      </c>
      <c r="F823" s="4" t="str">
        <f>IF(B823=B822,"",B823)</f>
        <v>Yevlakh</v>
      </c>
    </row>
    <row r="824" spans="1:6" ht="15.75" customHeight="1">
      <c r="A824" s="5" t="str">
        <f ca="1">IFERROR(__xludf.DUMMYFUNCTION("GOOGLETRANSLATE(B23633,""en"",""pt"")"),"Yevlakh")</f>
        <v>Yevlakh</v>
      </c>
      <c r="B824" s="17" t="s">
        <v>1268</v>
      </c>
      <c r="C824" s="17" t="s">
        <v>1170</v>
      </c>
      <c r="D824" s="17" t="s">
        <v>1269</v>
      </c>
      <c r="E824" s="10">
        <v>584649</v>
      </c>
      <c r="F824" s="4" t="str">
        <f>IF(B824=B823,"",B824)</f>
        <v/>
      </c>
    </row>
    <row r="825" spans="1:6" ht="15.75" customHeight="1">
      <c r="A825" s="5" t="s">
        <v>23354</v>
      </c>
      <c r="B825" s="6" t="s">
        <v>23355</v>
      </c>
      <c r="C825" s="5" t="s">
        <v>22070</v>
      </c>
      <c r="D825" s="5" t="s">
        <v>22117</v>
      </c>
      <c r="E825" s="2">
        <v>466989</v>
      </c>
      <c r="F825" s="4" t="str">
        <f>IF(B825=B824,"",B825)</f>
        <v>Yessentukskaya</v>
      </c>
    </row>
    <row r="826" spans="1:6" ht="15.75" customHeight="1">
      <c r="A826" s="5" t="str">
        <f ca="1">IFERROR(__xludf.DUMMYFUNCTION("GOOGLETRANSLATE(B39937,""en"",""pt"")"),"YESSENTUKSKAYA")</f>
        <v>YESSENTUKSKAYA</v>
      </c>
      <c r="B826" s="17" t="s">
        <v>23355</v>
      </c>
      <c r="C826" s="17" t="s">
        <v>22070</v>
      </c>
      <c r="D826" s="17" t="s">
        <v>22117</v>
      </c>
      <c r="E826" s="10">
        <v>466989</v>
      </c>
      <c r="F826" s="4" t="str">
        <f>IF(B826=B825,"",B826)</f>
        <v/>
      </c>
    </row>
    <row r="827" spans="1:6" ht="15.75" customHeight="1">
      <c r="A827" s="5" t="s">
        <v>23353</v>
      </c>
      <c r="B827" s="6" t="s">
        <v>23353</v>
      </c>
      <c r="C827" s="5" t="s">
        <v>22070</v>
      </c>
      <c r="D827" s="5" t="s">
        <v>22117</v>
      </c>
      <c r="E827" s="2">
        <v>466990</v>
      </c>
      <c r="F827" s="4" t="str">
        <f>IF(B827=B826,"",B827)</f>
        <v>Yessentuki</v>
      </c>
    </row>
    <row r="828" spans="1:6" ht="15.75" customHeight="1">
      <c r="A828" s="5" t="str">
        <f ca="1">IFERROR(__xludf.DUMMYFUNCTION("GOOGLETRANSLATE(B39938,""en"",""pt"")"),"Yessentuki")</f>
        <v>Yessentuki</v>
      </c>
      <c r="B828" s="17" t="s">
        <v>23353</v>
      </c>
      <c r="C828" s="17" t="s">
        <v>22070</v>
      </c>
      <c r="D828" s="17" t="s">
        <v>22117</v>
      </c>
      <c r="E828" s="10">
        <v>466990</v>
      </c>
      <c r="F828" s="4" t="str">
        <f>IF(B828=B827,"",B828)</f>
        <v/>
      </c>
    </row>
    <row r="829" spans="1:6" ht="15.75" customHeight="1">
      <c r="A829" s="5" t="str">
        <f ca="1">IFERROR(__xludf.DUMMYFUNCTION("GOOGLETRANSLATE(B41865,""en"",""pt"")"),"Yeşilli")</f>
        <v>Yeşilli</v>
      </c>
      <c r="B829" s="17" t="s">
        <v>35814</v>
      </c>
      <c r="C829" s="17" t="s">
        <v>26201</v>
      </c>
      <c r="D829" s="17" t="s">
        <v>26440</v>
      </c>
      <c r="E829" s="10">
        <v>296832</v>
      </c>
      <c r="F829" s="4" t="str">
        <f>IF(B829=B828,"",B829)</f>
        <v>Yeşilli</v>
      </c>
    </row>
    <row r="830" spans="1:6" ht="15.75" customHeight="1">
      <c r="A830" s="6" t="s">
        <v>24174</v>
      </c>
      <c r="B830" s="6" t="s">
        <v>24174</v>
      </c>
      <c r="C830" s="6" t="s">
        <v>24024</v>
      </c>
      <c r="D830" s="6" t="s">
        <v>24033</v>
      </c>
      <c r="E830" s="2">
        <v>1832771</v>
      </c>
      <c r="F830" s="4" t="str">
        <f>IF(B830=B829,"",B830)</f>
        <v>Yesan</v>
      </c>
    </row>
    <row r="831" spans="1:6" ht="15.75" customHeight="1">
      <c r="A831" s="5" t="str">
        <f ca="1">IFERROR(__xludf.DUMMYFUNCTION("GOOGLETRANSLATE(B36054,""en"",""pt"")"),"Yesan")</f>
        <v>Yesan</v>
      </c>
      <c r="B831" s="17" t="s">
        <v>24174</v>
      </c>
      <c r="C831" s="17" t="s">
        <v>24024</v>
      </c>
      <c r="D831" s="17" t="s">
        <v>24033</v>
      </c>
      <c r="E831" s="10">
        <v>1832771</v>
      </c>
      <c r="F831" s="4" t="str">
        <f>IF(B831=B830,"",B831)</f>
        <v/>
      </c>
    </row>
    <row r="832" spans="1:6" ht="15.75" customHeight="1">
      <c r="A832" s="6" t="s">
        <v>23352</v>
      </c>
      <c r="B832" s="6" t="s">
        <v>23352</v>
      </c>
      <c r="C832" s="6" t="s">
        <v>22070</v>
      </c>
      <c r="D832" s="6" t="s">
        <v>22171</v>
      </c>
      <c r="E832" s="2">
        <v>467120</v>
      </c>
      <c r="F832" s="4" t="str">
        <f>IF(B832=B831,"",B832)</f>
        <v>Yershov</v>
      </c>
    </row>
    <row r="833" spans="1:6" ht="15.75" customHeight="1">
      <c r="A833" s="5" t="str">
        <f ca="1">IFERROR(__xludf.DUMMYFUNCTION("GOOGLETRANSLATE(B39939,""en"",""pt"")"),"Yershov")</f>
        <v>Yershov</v>
      </c>
      <c r="B833" s="17" t="s">
        <v>23352</v>
      </c>
      <c r="C833" s="17" t="s">
        <v>22070</v>
      </c>
      <c r="D833" s="17" t="s">
        <v>22171</v>
      </c>
      <c r="E833" s="10">
        <v>467120</v>
      </c>
      <c r="F833" s="4" t="str">
        <f>IF(B833=B832,"",B833)</f>
        <v/>
      </c>
    </row>
    <row r="834" spans="1:6" ht="15.75" customHeight="1">
      <c r="A834" s="6" t="s">
        <v>7938</v>
      </c>
      <c r="B834" s="6" t="s">
        <v>7938</v>
      </c>
      <c r="C834" s="6" t="s">
        <v>7052</v>
      </c>
      <c r="D834" s="6" t="s">
        <v>7058</v>
      </c>
      <c r="E834" s="2">
        <v>2967245</v>
      </c>
      <c r="F834" s="4" t="str">
        <f>IF(B834=B833,"",B834)</f>
        <v>Yerres</v>
      </c>
    </row>
    <row r="835" spans="1:6" ht="15.75" customHeight="1">
      <c r="A835" s="5" t="str">
        <f ca="1">IFERROR(__xludf.DUMMYFUNCTION("GOOGLETRANSLATE(B29672,""en"",""pt"")"),"Yerres")</f>
        <v>Yerres</v>
      </c>
      <c r="B835" s="17" t="s">
        <v>7938</v>
      </c>
      <c r="C835" s="17" t="s">
        <v>7052</v>
      </c>
      <c r="D835" s="17" t="s">
        <v>32531</v>
      </c>
      <c r="E835" s="10">
        <v>2967245</v>
      </c>
      <c r="F835" s="4" t="str">
        <f>IF(B835=B834,"",B835)</f>
        <v/>
      </c>
    </row>
    <row r="836" spans="1:6" ht="15.75" customHeight="1">
      <c r="A836" s="5" t="str">
        <f ca="1">IFERROR(__xludf.DUMMYFUNCTION("GOOGLETRANSLATE(B41867,""en"",""pt"")"),"Yerköy")</f>
        <v>Yerköy</v>
      </c>
      <c r="B836" s="17" t="s">
        <v>35815</v>
      </c>
      <c r="C836" s="17" t="s">
        <v>26201</v>
      </c>
      <c r="D836" s="17" t="s">
        <v>26297</v>
      </c>
      <c r="E836" s="10">
        <v>296895</v>
      </c>
      <c r="F836" s="4" t="str">
        <f>IF(B836=B835,"",B836)</f>
        <v>Yerköy</v>
      </c>
    </row>
    <row r="837" spans="1:6" ht="15.75" customHeight="1">
      <c r="A837" s="6" t="s">
        <v>26768</v>
      </c>
      <c r="B837" s="6" t="s">
        <v>26769</v>
      </c>
      <c r="C837" s="6" t="s">
        <v>26201</v>
      </c>
      <c r="D837" s="6" t="s">
        <v>26297</v>
      </c>
      <c r="E837" s="2">
        <v>296895</v>
      </c>
      <c r="F837" s="4" t="str">
        <f>IF(B837=B836,"",B837)</f>
        <v>YerkÃ¶y</v>
      </c>
    </row>
    <row r="838" spans="1:6" ht="15.75" customHeight="1">
      <c r="A838" s="6" t="s">
        <v>879</v>
      </c>
      <c r="B838" s="6" t="s">
        <v>879</v>
      </c>
      <c r="C838" s="6" t="s">
        <v>853</v>
      </c>
      <c r="D838" s="6" t="s">
        <v>879</v>
      </c>
      <c r="E838" s="2">
        <v>616052</v>
      </c>
      <c r="F838" s="4" t="str">
        <f>IF(B838=B837,"",B838)</f>
        <v>Yerevan</v>
      </c>
    </row>
    <row r="839" spans="1:6" ht="15.75" customHeight="1">
      <c r="A839" s="5" t="str">
        <f ca="1">IFERROR(__xludf.DUMMYFUNCTION("GOOGLETRANSLATE(B23129,""en"",""pt"")"),"Yerevan")</f>
        <v>Yerevan</v>
      </c>
      <c r="B839" s="17" t="s">
        <v>879</v>
      </c>
      <c r="C839" s="17" t="s">
        <v>853</v>
      </c>
      <c r="D839" s="17" t="s">
        <v>879</v>
      </c>
      <c r="E839" s="10">
        <v>616052</v>
      </c>
      <c r="F839" s="4" t="str">
        <f>IF(B839=B838,"",B839)</f>
        <v/>
      </c>
    </row>
    <row r="840" spans="1:6" ht="15.75" customHeight="1">
      <c r="A840" s="5" t="s">
        <v>847</v>
      </c>
      <c r="B840" s="6" t="s">
        <v>847</v>
      </c>
      <c r="C840" s="5" t="s">
        <v>558</v>
      </c>
      <c r="D840" s="5" t="s">
        <v>565</v>
      </c>
      <c r="E840" s="2">
        <v>3832260</v>
      </c>
      <c r="F840" s="4" t="str">
        <f>IF(B840=B839,"",B840)</f>
        <v>Yerba Buena</v>
      </c>
    </row>
    <row r="841" spans="1:6" ht="15.75" customHeight="1">
      <c r="A841" s="5" t="str">
        <f ca="1">IFERROR(__xludf.DUMMYFUNCTION("GOOGLETRANSLATE(B23233,""en"",""pt"")"),"Yerba Buena")</f>
        <v>Yerba Buena</v>
      </c>
      <c r="B841" s="17" t="s">
        <v>847</v>
      </c>
      <c r="C841" s="17" t="s">
        <v>558</v>
      </c>
      <c r="D841" s="17" t="s">
        <v>31177</v>
      </c>
      <c r="E841" s="10">
        <v>3832260</v>
      </c>
      <c r="F841" s="4" t="str">
        <f>IF(B841=B840,"",B841)</f>
        <v/>
      </c>
    </row>
    <row r="842" spans="1:6" ht="15.75" customHeight="1">
      <c r="A842" s="6" t="s">
        <v>27783</v>
      </c>
      <c r="B842" s="6" t="s">
        <v>27783</v>
      </c>
      <c r="C842" s="6" t="s">
        <v>27234</v>
      </c>
      <c r="D842" s="6" t="s">
        <v>27241</v>
      </c>
      <c r="E842" s="2">
        <v>2633373</v>
      </c>
      <c r="F842" s="4" t="str">
        <f>IF(B842=B841,"",B842)</f>
        <v>Yeovil</v>
      </c>
    </row>
    <row r="843" spans="1:6" ht="15.75" customHeight="1">
      <c r="A843" s="5" t="str">
        <f ca="1">IFERROR(__xludf.DUMMYFUNCTION("GOOGLETRANSLATE(B30315,""en"",""pt"")"),"Yeovil")</f>
        <v>Yeovil</v>
      </c>
      <c r="B843" s="17" t="s">
        <v>27783</v>
      </c>
      <c r="C843" s="17" t="s">
        <v>27234</v>
      </c>
      <c r="D843" s="17" t="s">
        <v>27241</v>
      </c>
      <c r="E843" s="10">
        <v>2633373</v>
      </c>
      <c r="F843" s="4" t="str">
        <f>IF(B843=B842,"",B843)</f>
        <v/>
      </c>
    </row>
    <row r="844" spans="1:6" ht="15.75" customHeight="1">
      <c r="A844" s="6" t="s">
        <v>24173</v>
      </c>
      <c r="B844" s="6" t="s">
        <v>24173</v>
      </c>
      <c r="C844" s="6" t="s">
        <v>24024</v>
      </c>
      <c r="D844" s="6" t="s">
        <v>24035</v>
      </c>
      <c r="E844" s="2">
        <v>1884138</v>
      </c>
      <c r="F844" s="4" t="str">
        <f>IF(B844=B843,"",B844)</f>
        <v>Yeosu</v>
      </c>
    </row>
    <row r="845" spans="1:6" ht="15.75" customHeight="1">
      <c r="A845" s="5" t="str">
        <f ca="1">IFERROR(__xludf.DUMMYFUNCTION("GOOGLETRANSLATE(B36149,""en"",""pt"")"),"Yeosu")</f>
        <v>Yeosu</v>
      </c>
      <c r="B845" s="17" t="s">
        <v>24173</v>
      </c>
      <c r="C845" s="17" t="s">
        <v>24024</v>
      </c>
      <c r="D845" s="17" t="s">
        <v>24035</v>
      </c>
      <c r="E845" s="10">
        <v>1884138</v>
      </c>
      <c r="F845" s="4" t="str">
        <f>IF(B845=B844,"",B845)</f>
        <v/>
      </c>
    </row>
    <row r="846" spans="1:6" ht="15.75" customHeight="1">
      <c r="A846" s="6" t="s">
        <v>13791</v>
      </c>
      <c r="B846" s="6" t="s">
        <v>13791</v>
      </c>
      <c r="C846" s="6" t="s">
        <v>10178</v>
      </c>
      <c r="D846" s="6" t="s">
        <v>10214</v>
      </c>
      <c r="E846" s="2">
        <v>1252738</v>
      </c>
      <c r="F846" s="4" t="str">
        <f>IF(B846=B845,"",B846)</f>
        <v>Yeola</v>
      </c>
    </row>
    <row r="847" spans="1:6" ht="15.75" customHeight="1">
      <c r="A847" s="5" t="str">
        <f ca="1">IFERROR(__xludf.DUMMYFUNCTION("GOOGLETRANSLATE(B31835,""en"",""pt"")"),"Yeola")</f>
        <v>Yeola</v>
      </c>
      <c r="B847" s="17" t="s">
        <v>13791</v>
      </c>
      <c r="C847" s="17" t="s">
        <v>10178</v>
      </c>
      <c r="D847" s="17" t="s">
        <v>10214</v>
      </c>
      <c r="E847" s="10">
        <v>1252738</v>
      </c>
      <c r="F847" s="4" t="str">
        <f>IF(B847=B846,"",B847)</f>
        <v/>
      </c>
    </row>
    <row r="848" spans="1:6" ht="15.75" customHeight="1">
      <c r="A848" s="6" t="s">
        <v>24172</v>
      </c>
      <c r="B848" s="6" t="s">
        <v>24172</v>
      </c>
      <c r="C848" s="6" t="s">
        <v>24024</v>
      </c>
      <c r="D848" s="6" t="s">
        <v>24028</v>
      </c>
      <c r="E848" s="2">
        <v>1832743</v>
      </c>
      <c r="F848" s="4" t="str">
        <f>IF(B848=B847,"",B848)</f>
        <v>Yeoju</v>
      </c>
    </row>
    <row r="849" spans="1:6" ht="15.75" customHeight="1">
      <c r="A849" s="5" t="str">
        <f ca="1">IFERROR(__xludf.DUMMYFUNCTION("GOOGLETRANSLATE(B36053,""en"",""pt"")"),"Yeoju")</f>
        <v>Yeoju</v>
      </c>
      <c r="B849" s="17" t="s">
        <v>24172</v>
      </c>
      <c r="C849" s="17" t="s">
        <v>24024</v>
      </c>
      <c r="D849" s="17" t="s">
        <v>24028</v>
      </c>
      <c r="E849" s="10">
        <v>1832743</v>
      </c>
      <c r="F849" s="4" t="str">
        <f>IF(B849=B848,"",B849)</f>
        <v/>
      </c>
    </row>
    <row r="850" spans="1:6" ht="15.75" customHeight="1">
      <c r="A850" s="6" t="s">
        <v>23351</v>
      </c>
      <c r="B850" s="6" t="s">
        <v>23351</v>
      </c>
      <c r="C850" s="6" t="s">
        <v>22070</v>
      </c>
      <c r="D850" s="6" t="s">
        <v>22079</v>
      </c>
      <c r="E850" s="2">
        <v>1485997</v>
      </c>
      <c r="F850" s="4" t="str">
        <f>IF(B850=B849,"",B850)</f>
        <v>Yeniseysk</v>
      </c>
    </row>
    <row r="851" spans="1:6" ht="15.75" customHeight="1">
      <c r="A851" s="5" t="str">
        <f ca="1">IFERROR(__xludf.DUMMYFUNCTION("GOOGLETRANSLATE(B40719,""en"",""pt"")"),"Yeniseysk")</f>
        <v>Yeniseysk</v>
      </c>
      <c r="B851" s="17" t="s">
        <v>23351</v>
      </c>
      <c r="C851" s="17" t="s">
        <v>22070</v>
      </c>
      <c r="D851" s="17" t="s">
        <v>22079</v>
      </c>
      <c r="E851" s="10">
        <v>1485997</v>
      </c>
      <c r="F851" s="4" t="str">
        <f>IF(B851=B850,"",B851)</f>
        <v/>
      </c>
    </row>
    <row r="852" spans="1:6" ht="15.75" customHeight="1">
      <c r="A852" s="5" t="str">
        <f ca="1">IFERROR(__xludf.DUMMYFUNCTION("GOOGLETRANSLATE(B42091,""en"",""pt"")"),"Yenişehir")</f>
        <v>Yenişehir</v>
      </c>
      <c r="B852" s="17" t="s">
        <v>35910</v>
      </c>
      <c r="C852" s="17" t="s">
        <v>26201</v>
      </c>
      <c r="D852" s="17" t="s">
        <v>26205</v>
      </c>
      <c r="E852" s="10">
        <v>737611</v>
      </c>
      <c r="F852" s="4" t="str">
        <f>IF(B852=B851,"",B852)</f>
        <v>Yenişehir</v>
      </c>
    </row>
    <row r="853" spans="1:6" ht="15.75" customHeight="1">
      <c r="A853" s="5" t="s">
        <v>26766</v>
      </c>
      <c r="B853" s="6" t="s">
        <v>26767</v>
      </c>
      <c r="C853" s="5" t="s">
        <v>26201</v>
      </c>
      <c r="D853" s="5" t="s">
        <v>26205</v>
      </c>
      <c r="E853" s="2">
        <v>737611</v>
      </c>
      <c r="F853" s="4" t="str">
        <f>IF(B853=B852,"",B853)</f>
        <v>YeniÅŸehir</v>
      </c>
    </row>
    <row r="854" spans="1:6" ht="15.75" customHeight="1">
      <c r="A854" s="5" t="str">
        <f ca="1">IFERROR(__xludf.DUMMYFUNCTION("GOOGLETRANSLATE(B23656,""en"",""pt"")"),"Suraxanı Yeni")</f>
        <v>Suraxanı Yeni</v>
      </c>
      <c r="B854" s="17" t="s">
        <v>31245</v>
      </c>
      <c r="C854" s="17" t="s">
        <v>1170</v>
      </c>
      <c r="D854" s="17" t="s">
        <v>1181</v>
      </c>
      <c r="E854" s="10">
        <v>586340</v>
      </c>
      <c r="F854" s="4" t="str">
        <f>IF(B854=B853,"",B854)</f>
        <v>Yeni Suraxanı</v>
      </c>
    </row>
    <row r="855" spans="1:6" ht="15.75" customHeight="1">
      <c r="A855" s="5" t="s">
        <v>1266</v>
      </c>
      <c r="B855" s="6" t="s">
        <v>1267</v>
      </c>
      <c r="C855" s="5" t="s">
        <v>1170</v>
      </c>
      <c r="D855" s="5" t="s">
        <v>1181</v>
      </c>
      <c r="E855" s="2">
        <v>586340</v>
      </c>
      <c r="F855" s="4" t="str">
        <f>IF(B855=B854,"",B855)</f>
        <v>Yeni SuraxanÄ±</v>
      </c>
    </row>
    <row r="856" spans="1:6" ht="15.75" customHeight="1">
      <c r="A856" s="6" t="s">
        <v>9437</v>
      </c>
      <c r="B856" s="6" t="s">
        <v>9437</v>
      </c>
      <c r="C856" s="6" t="s">
        <v>9365</v>
      </c>
      <c r="D856" s="6" t="s">
        <v>6942</v>
      </c>
      <c r="E856" s="2">
        <v>2293801</v>
      </c>
      <c r="F856" s="4" t="str">
        <f>IF(B856=B855,"",B856)</f>
        <v>Yendi</v>
      </c>
    </row>
    <row r="857" spans="1:6" ht="15.75" customHeight="1">
      <c r="A857" s="5" t="str">
        <f ca="1">IFERROR(__xludf.DUMMYFUNCTION("GOOGLETRANSLATE(B30856,""en"",""pt"")"),"Yendi")</f>
        <v>Yendi</v>
      </c>
      <c r="B857" s="17" t="s">
        <v>9437</v>
      </c>
      <c r="C857" s="17" t="s">
        <v>9365</v>
      </c>
      <c r="D857" s="17" t="s">
        <v>6942</v>
      </c>
      <c r="E857" s="10">
        <v>2293801</v>
      </c>
      <c r="F857" s="4" t="str">
        <f>IF(B857=B856,"",B857)</f>
        <v/>
      </c>
    </row>
    <row r="858" spans="1:6" ht="15.75" customHeight="1">
      <c r="A858" s="5" t="s">
        <v>18771</v>
      </c>
      <c r="B858" s="6" t="s">
        <v>18771</v>
      </c>
      <c r="C858" s="5" t="s">
        <v>18696</v>
      </c>
      <c r="D858" s="5" t="s">
        <v>18702</v>
      </c>
      <c r="E858" s="2">
        <v>1285173</v>
      </c>
      <c r="F858" s="4" t="str">
        <f>IF(B858=B857,"",B858)</f>
        <v>Yenangyaung</v>
      </c>
    </row>
    <row r="859" spans="1:6" ht="15.75" customHeight="1">
      <c r="A859" s="5" t="str">
        <f ca="1">IFERROR(__xludf.DUMMYFUNCTION("GOOGLETRANSLATE(B36698,""en"",""pt"")"),"Yenangyaung")</f>
        <v>Yenangyaung</v>
      </c>
      <c r="B859" s="17" t="s">
        <v>18771</v>
      </c>
      <c r="C859" s="17" t="s">
        <v>18696</v>
      </c>
      <c r="D859" s="17" t="s">
        <v>18702</v>
      </c>
      <c r="E859" s="10">
        <v>1285173</v>
      </c>
      <c r="F859" s="4" t="str">
        <f>IF(B859=B858,"",B859)</f>
        <v/>
      </c>
    </row>
    <row r="860" spans="1:6" ht="15.75" customHeight="1">
      <c r="A860" s="5" t="s">
        <v>27197</v>
      </c>
      <c r="B860" s="6" t="s">
        <v>27197</v>
      </c>
      <c r="C860" s="5" t="s">
        <v>26870</v>
      </c>
      <c r="D860" s="5" t="s">
        <v>22345</v>
      </c>
      <c r="E860" s="2">
        <v>688148</v>
      </c>
      <c r="F860" s="4" t="str">
        <f>IF(B860=B859,"",B860)</f>
        <v>Yenakiyeve</v>
      </c>
    </row>
    <row r="861" spans="1:6" ht="15.75" customHeight="1">
      <c r="A861" s="5" t="str">
        <f ca="1">IFERROR(__xludf.DUMMYFUNCTION("GOOGLETRANSLATE(B42483,""en"",""pt"")"),"Yenakiyeve")</f>
        <v>Yenakiyeve</v>
      </c>
      <c r="B861" s="17" t="s">
        <v>27197</v>
      </c>
      <c r="C861" s="17" t="s">
        <v>26870</v>
      </c>
      <c r="D861" s="17" t="s">
        <v>22345</v>
      </c>
      <c r="E861" s="10">
        <v>688148</v>
      </c>
      <c r="F861" s="4" t="str">
        <f>IF(B861=B860,"",B861)</f>
        <v/>
      </c>
    </row>
    <row r="862" spans="1:6" ht="15.75" customHeight="1">
      <c r="A862" s="6" t="s">
        <v>19580</v>
      </c>
      <c r="B862" s="6" t="s">
        <v>19580</v>
      </c>
      <c r="C862" s="6" t="s">
        <v>19294</v>
      </c>
      <c r="D862" s="6" t="s">
        <v>19581</v>
      </c>
      <c r="E862" s="2">
        <v>2318123</v>
      </c>
      <c r="F862" s="4" t="str">
        <f>IF(B862=B861,"",B862)</f>
        <v>Yenagoa</v>
      </c>
    </row>
    <row r="863" spans="1:6" ht="15.75" customHeight="1">
      <c r="A863" s="5" t="str">
        <f ca="1">IFERROR(__xludf.DUMMYFUNCTION("GOOGLETRANSLATE(B37611,""en"",""pt"")"),"Yenagoa")</f>
        <v>Yenagoa</v>
      </c>
      <c r="B863" s="17" t="s">
        <v>19580</v>
      </c>
      <c r="C863" s="17" t="s">
        <v>19294</v>
      </c>
      <c r="D863" s="17" t="s">
        <v>19581</v>
      </c>
      <c r="E863" s="10">
        <v>2318123</v>
      </c>
      <c r="F863" s="4" t="str">
        <f>IF(B863=B862,"",B863)</f>
        <v/>
      </c>
    </row>
    <row r="864" spans="1:6" ht="15.75" customHeight="1">
      <c r="A864" s="5" t="str">
        <f ca="1">IFERROR(__xludf.DUMMYFUNCTION("GOOGLETRANSLATE(B45709,""en"",""pt"")"),"Yên vinh")</f>
        <v>Yên vinh</v>
      </c>
      <c r="B864" s="17" t="s">
        <v>36103</v>
      </c>
      <c r="C864" s="17" t="s">
        <v>30784</v>
      </c>
      <c r="D864" s="17" t="s">
        <v>36104</v>
      </c>
      <c r="E864" s="10">
        <v>1560037</v>
      </c>
      <c r="F864" s="4" t="str">
        <f>IF(B864=B863,"",B864)</f>
        <v>Yên Vinh</v>
      </c>
    </row>
    <row r="865" spans="1:6" ht="15.75" customHeight="1">
      <c r="A865" s="5" t="str">
        <f ca="1">IFERROR(__xludf.DUMMYFUNCTION("GOOGLETRANSLATE(B45710,""en"",""pt"")"),"Yin bái")</f>
        <v>Yin bái</v>
      </c>
      <c r="B865" s="17" t="s">
        <v>36105</v>
      </c>
      <c r="C865" s="17" t="s">
        <v>30784</v>
      </c>
      <c r="D865" s="17" t="s">
        <v>36105</v>
      </c>
      <c r="E865" s="10">
        <v>1560349</v>
      </c>
      <c r="F865" s="4" t="str">
        <f>IF(B865=B864,"",B865)</f>
        <v>Yên Bái</v>
      </c>
    </row>
    <row r="866" spans="1:6" ht="15.75" customHeight="1">
      <c r="A866" s="6" t="s">
        <v>23350</v>
      </c>
      <c r="B866" s="6" t="s">
        <v>23350</v>
      </c>
      <c r="C866" s="6" t="s">
        <v>22070</v>
      </c>
      <c r="D866" s="6" t="s">
        <v>22373</v>
      </c>
      <c r="E866" s="2">
        <v>467525</v>
      </c>
      <c r="F866" s="4" t="str">
        <f>IF(B866=B865,"",B866)</f>
        <v>Yemva</v>
      </c>
    </row>
    <row r="867" spans="1:6" ht="15.75" customHeight="1">
      <c r="A867" s="5" t="str">
        <f ca="1">IFERROR(__xludf.DUMMYFUNCTION("GOOGLETRANSLATE(B39940,""en"",""pt"")"),"Yemva")</f>
        <v>Yemva</v>
      </c>
      <c r="B867" s="17" t="s">
        <v>23350</v>
      </c>
      <c r="C867" s="17" t="s">
        <v>22070</v>
      </c>
      <c r="D867" s="17" t="s">
        <v>22373</v>
      </c>
      <c r="E867" s="10">
        <v>467525</v>
      </c>
      <c r="F867" s="4" t="str">
        <f>IF(B867=B866,"",B867)</f>
        <v/>
      </c>
    </row>
    <row r="868" spans="1:6" ht="15.75" customHeight="1">
      <c r="A868" s="5" t="s">
        <v>23349</v>
      </c>
      <c r="B868" s="6" t="s">
        <v>23349</v>
      </c>
      <c r="C868" s="5" t="s">
        <v>22070</v>
      </c>
      <c r="D868" s="5" t="s">
        <v>22166</v>
      </c>
      <c r="E868" s="2">
        <v>1486039</v>
      </c>
      <c r="F868" s="4" t="str">
        <f>IF(B868=B867,"",B868)</f>
        <v>Yemanzhelinsk</v>
      </c>
    </row>
    <row r="869" spans="1:6" ht="15.75" customHeight="1">
      <c r="A869" s="5" t="str">
        <f ca="1">IFERROR(__xludf.DUMMYFUNCTION("GOOGLETRANSLATE(B40720,""en"",""pt"")"),"Yemanzhelinsk")</f>
        <v>Yemanzhelinsk</v>
      </c>
      <c r="B869" s="17" t="s">
        <v>23349</v>
      </c>
      <c r="C869" s="17" t="s">
        <v>22070</v>
      </c>
      <c r="D869" s="17" t="s">
        <v>22166</v>
      </c>
      <c r="E869" s="10">
        <v>1486039</v>
      </c>
      <c r="F869" s="4" t="str">
        <f>IF(B869=B868,"",B869)</f>
        <v/>
      </c>
    </row>
    <row r="870" spans="1:6" ht="15.75" customHeight="1">
      <c r="A870" s="5" t="s">
        <v>4252</v>
      </c>
      <c r="B870" s="6" t="s">
        <v>4252</v>
      </c>
      <c r="C870" s="5" t="s">
        <v>3975</v>
      </c>
      <c r="D870" s="5" t="s">
        <v>4253</v>
      </c>
      <c r="E870" s="2">
        <v>6185377</v>
      </c>
      <c r="F870" s="4" t="str">
        <f>IF(B870=B869,"",B870)</f>
        <v>Yellowknife</v>
      </c>
    </row>
    <row r="871" spans="1:6" ht="15.75" customHeight="1">
      <c r="A871" s="5" t="str">
        <f ca="1">IFERROR(__xludf.DUMMYFUNCTION("GOOGLETRANSLATE(B25618,""en"",""pt"")"),"Yellowknife")</f>
        <v>Yellowknife</v>
      </c>
      <c r="B871" s="17" t="s">
        <v>4252</v>
      </c>
      <c r="C871" s="17" t="s">
        <v>3975</v>
      </c>
      <c r="D871" s="17" t="s">
        <v>4253</v>
      </c>
      <c r="E871" s="10">
        <v>6185377</v>
      </c>
      <c r="F871" s="4" t="str">
        <f>IF(B871=B870,"",B871)</f>
        <v/>
      </c>
    </row>
    <row r="872" spans="1:6" ht="15.75" customHeight="1">
      <c r="A872" s="5" t="str">
        <f ca="1">IFERROR(__xludf.DUMMYFUNCTION("GOOGLETRANSLATE(B31836,""en"",""pt"")"),"Yellāpur")</f>
        <v>Yellāpur</v>
      </c>
      <c r="B872" s="17" t="s">
        <v>32940</v>
      </c>
      <c r="C872" s="17" t="s">
        <v>10178</v>
      </c>
      <c r="D872" s="17" t="s">
        <v>10252</v>
      </c>
      <c r="E872" s="10">
        <v>1252744</v>
      </c>
      <c r="F872" s="4" t="str">
        <f>IF(B872=B871,"",B872)</f>
        <v>Yellāpur</v>
      </c>
    </row>
    <row r="873" spans="1:6" ht="15.75" customHeight="1">
      <c r="A873" s="6" t="s">
        <v>13790</v>
      </c>
      <c r="B873" s="6" t="s">
        <v>13790</v>
      </c>
      <c r="C873" s="6" t="s">
        <v>10178</v>
      </c>
      <c r="D873" s="6" t="s">
        <v>10187</v>
      </c>
      <c r="E873" s="2">
        <v>1252745</v>
      </c>
      <c r="F873" s="4" t="str">
        <f>IF(B873=B872,"",B873)</f>
        <v>Yellandu</v>
      </c>
    </row>
    <row r="874" spans="1:6" ht="15.75" customHeight="1">
      <c r="A874" s="5" t="str">
        <f ca="1">IFERROR(__xludf.DUMMYFUNCTION("GOOGLETRANSLATE(B31837,""en"",""pt"")"),"Yellandu")</f>
        <v>Yellandu</v>
      </c>
      <c r="B874" s="17" t="s">
        <v>13790</v>
      </c>
      <c r="C874" s="17" t="s">
        <v>10178</v>
      </c>
      <c r="D874" s="17" t="s">
        <v>10187</v>
      </c>
      <c r="E874" s="10">
        <v>1252745</v>
      </c>
      <c r="F874" s="4" t="str">
        <f>IF(B874=B873,"",B874)</f>
        <v/>
      </c>
    </row>
    <row r="875" spans="1:6" ht="15.75" customHeight="1">
      <c r="A875" s="6" t="s">
        <v>13788</v>
      </c>
      <c r="B875" s="6" t="s">
        <v>13789</v>
      </c>
      <c r="C875" s="6" t="s">
        <v>10178</v>
      </c>
      <c r="D875" s="6" t="s">
        <v>10252</v>
      </c>
      <c r="E875" s="2">
        <v>1252744</v>
      </c>
      <c r="F875" s="4" t="str">
        <f>IF(B875=B874,"",B875)</f>
        <v>YellÄpur</v>
      </c>
    </row>
    <row r="876" spans="1:6" ht="15.75" customHeight="1">
      <c r="A876" s="6" t="s">
        <v>23348</v>
      </c>
      <c r="B876" s="6" t="s">
        <v>23348</v>
      </c>
      <c r="C876" s="6" t="s">
        <v>22070</v>
      </c>
      <c r="D876" s="6" t="s">
        <v>22934</v>
      </c>
      <c r="E876" s="2">
        <v>2119538</v>
      </c>
      <c r="F876" s="4" t="str">
        <f>IF(B876=B875,"",B876)</f>
        <v>Yelizovo</v>
      </c>
    </row>
    <row r="877" spans="1:6" ht="15.75" customHeight="1">
      <c r="A877" s="5" t="str">
        <f ca="1">IFERROR(__xludf.DUMMYFUNCTION("GOOGLETRANSLATE(B40955,""en"",""pt"")"),"Yelizovo")</f>
        <v>Yelizovo</v>
      </c>
      <c r="B877" s="17" t="s">
        <v>23348</v>
      </c>
      <c r="C877" s="17" t="s">
        <v>22070</v>
      </c>
      <c r="D877" s="17" t="s">
        <v>22934</v>
      </c>
      <c r="E877" s="10">
        <v>2119538</v>
      </c>
      <c r="F877" s="4" t="str">
        <f>IF(B877=B876,"",B877)</f>
        <v/>
      </c>
    </row>
    <row r="878" spans="1:6" ht="15.75" customHeight="1">
      <c r="A878" s="5" t="s">
        <v>23347</v>
      </c>
      <c r="B878" s="6" t="s">
        <v>23347</v>
      </c>
      <c r="C878" s="5" t="s">
        <v>22070</v>
      </c>
      <c r="D878" s="5" t="s">
        <v>22077</v>
      </c>
      <c r="E878" s="2">
        <v>467854</v>
      </c>
      <c r="F878" s="4" t="str">
        <f>IF(B878=B877,"",B878)</f>
        <v>Yelizavetinskaya</v>
      </c>
    </row>
    <row r="879" spans="1:6" ht="15.75" customHeight="1">
      <c r="A879" s="5" t="str">
        <f ca="1">IFERROR(__xludf.DUMMYFUNCTION("GOOGLETRANSLATE(B39941,""en"",""pt"")"),"Yelizavetinskaya")</f>
        <v>Yelizavetinskaya</v>
      </c>
      <c r="B879" s="17" t="s">
        <v>23347</v>
      </c>
      <c r="C879" s="17" t="s">
        <v>22070</v>
      </c>
      <c r="D879" s="17" t="s">
        <v>22077</v>
      </c>
      <c r="E879" s="10">
        <v>467854</v>
      </c>
      <c r="F879" s="4" t="str">
        <f>IF(B879=B878,"",B879)</f>
        <v/>
      </c>
    </row>
    <row r="880" spans="1:6" ht="15.75" customHeight="1">
      <c r="A880" s="6" t="s">
        <v>23345</v>
      </c>
      <c r="B880" s="6" t="s">
        <v>23346</v>
      </c>
      <c r="C880" s="6" t="s">
        <v>22070</v>
      </c>
      <c r="D880" s="6" t="s">
        <v>22328</v>
      </c>
      <c r="E880" s="2">
        <v>467978</v>
      </c>
      <c r="F880" s="4" t="str">
        <f>IF(B880=B879,"",B880)</f>
        <v>Yelets</v>
      </c>
    </row>
    <row r="881" spans="1:6" ht="15.75" customHeight="1">
      <c r="A881" s="5" t="str">
        <f ca="1">IFERROR(__xludf.DUMMYFUNCTION("GOOGLETRANSLATE(B39942,""en"",""pt"")"),"YELETS")</f>
        <v>YELETS</v>
      </c>
      <c r="B881" s="17" t="s">
        <v>23346</v>
      </c>
      <c r="C881" s="17" t="s">
        <v>22070</v>
      </c>
      <c r="D881" s="17" t="s">
        <v>22328</v>
      </c>
      <c r="E881" s="10">
        <v>467978</v>
      </c>
      <c r="F881" s="4" t="str">
        <f>IF(B881=B880,"",B881)</f>
        <v/>
      </c>
    </row>
    <row r="882" spans="1:6" ht="15.75" customHeight="1">
      <c r="A882" s="5" t="s">
        <v>1264</v>
      </c>
      <c r="B882" s="6" t="s">
        <v>1264</v>
      </c>
      <c r="C882" s="5" t="s">
        <v>1170</v>
      </c>
      <c r="D882" s="5" t="s">
        <v>1265</v>
      </c>
      <c r="E882" s="2">
        <v>584716</v>
      </c>
      <c r="F882" s="4" t="str">
        <f>IF(B882=B881,"",B882)</f>
        <v>Yelenendorf</v>
      </c>
    </row>
    <row r="883" spans="1:6" ht="15.75" customHeight="1">
      <c r="A883" s="5" t="str">
        <f ca="1">IFERROR(__xludf.DUMMYFUNCTION("GOOGLETRANSLATE(B23634,""en"",""pt"")"),"Yelenendorf")</f>
        <v>Yelenendorf</v>
      </c>
      <c r="B883" s="17" t="s">
        <v>1264</v>
      </c>
      <c r="C883" s="17" t="s">
        <v>1170</v>
      </c>
      <c r="D883" s="17" t="s">
        <v>1265</v>
      </c>
      <c r="E883" s="10">
        <v>584716</v>
      </c>
      <c r="F883" s="4" t="str">
        <f>IF(B883=B882,"",B883)</f>
        <v/>
      </c>
    </row>
    <row r="884" spans="1:6" ht="15.75" customHeight="1">
      <c r="A884" s="6" t="s">
        <v>23343</v>
      </c>
      <c r="B884" s="6" t="s">
        <v>23344</v>
      </c>
      <c r="C884" s="6" t="s">
        <v>22070</v>
      </c>
      <c r="D884" s="6" t="s">
        <v>22351</v>
      </c>
      <c r="E884" s="2">
        <v>468063</v>
      </c>
      <c r="F884" s="4" t="str">
        <f>IF(B884=B883,"",B884)</f>
        <v>Yelanâ€™</v>
      </c>
    </row>
    <row r="885" spans="1:6" ht="15.75" customHeight="1">
      <c r="A885" s="5" t="str">
        <f ca="1">IFERROR(__xludf.DUMMYFUNCTION("GOOGLETRANSLATE(B39943,""en"",""pt"")"),"Yelan '")</f>
        <v>Yelan '</v>
      </c>
      <c r="B885" s="17" t="s">
        <v>35431</v>
      </c>
      <c r="C885" s="17" t="s">
        <v>22070</v>
      </c>
      <c r="D885" s="17" t="s">
        <v>22351</v>
      </c>
      <c r="E885" s="10">
        <v>468063</v>
      </c>
      <c r="F885" s="4" t="str">
        <f>IF(B885=B884,"",B885)</f>
        <v>Yelan’</v>
      </c>
    </row>
    <row r="886" spans="1:6" ht="15.75" customHeight="1">
      <c r="A886" s="5" t="s">
        <v>13787</v>
      </c>
      <c r="B886" s="6" t="s">
        <v>13787</v>
      </c>
      <c r="C886" s="5" t="s">
        <v>10178</v>
      </c>
      <c r="D886" s="5" t="s">
        <v>10252</v>
      </c>
      <c r="E886" s="2">
        <v>1252758</v>
      </c>
      <c r="F886" s="4" t="str">
        <f>IF(B886=B885,"",B886)</f>
        <v>Yelahanka</v>
      </c>
    </row>
    <row r="887" spans="1:6" ht="15.75" customHeight="1">
      <c r="A887" s="5" t="str">
        <f ca="1">IFERROR(__xludf.DUMMYFUNCTION("GOOGLETRANSLATE(B31838,""en"",""pt"")"),"Yelahanka")</f>
        <v>Yelahanka</v>
      </c>
      <c r="B887" s="17" t="s">
        <v>13787</v>
      </c>
      <c r="C887" s="17" t="s">
        <v>10178</v>
      </c>
      <c r="D887" s="17" t="s">
        <v>10252</v>
      </c>
      <c r="E887" s="10">
        <v>1252758</v>
      </c>
      <c r="F887" s="4" t="str">
        <f>IF(B887=B886,"",B887)</f>
        <v/>
      </c>
    </row>
    <row r="888" spans="1:6" ht="15.75" customHeight="1">
      <c r="A888" s="6" t="s">
        <v>23342</v>
      </c>
      <c r="B888" s="6" t="s">
        <v>23342</v>
      </c>
      <c r="C888" s="6" t="s">
        <v>22070</v>
      </c>
      <c r="D888" s="6" t="s">
        <v>22090</v>
      </c>
      <c r="E888" s="2">
        <v>468082</v>
      </c>
      <c r="F888" s="4" t="str">
        <f>IF(B888=B887,"",B888)</f>
        <v>Yelabuga</v>
      </c>
    </row>
    <row r="889" spans="1:6" ht="15.75" customHeight="1">
      <c r="A889" s="5" t="str">
        <f ca="1">IFERROR(__xludf.DUMMYFUNCTION("GOOGLETRANSLATE(B39944,""en"",""pt"")"),"Yelabuga")</f>
        <v>Yelabuga</v>
      </c>
      <c r="B889" s="17" t="s">
        <v>23342</v>
      </c>
      <c r="C889" s="17" t="s">
        <v>22070</v>
      </c>
      <c r="D889" s="17" t="s">
        <v>22090</v>
      </c>
      <c r="E889" s="10">
        <v>468082</v>
      </c>
      <c r="F889" s="4" t="str">
        <f>IF(B889=B888,"",B889)</f>
        <v/>
      </c>
    </row>
    <row r="890" spans="1:6" ht="15.75" customHeight="1">
      <c r="A890" s="5" t="s">
        <v>23341</v>
      </c>
      <c r="B890" s="6" t="s">
        <v>23341</v>
      </c>
      <c r="C890" s="5" t="s">
        <v>22070</v>
      </c>
      <c r="D890" s="5" t="s">
        <v>22106</v>
      </c>
      <c r="E890" s="2">
        <v>1486209</v>
      </c>
      <c r="F890" s="4" t="str">
        <f>IF(B890=B889,"",B890)</f>
        <v>Yekaterinburg</v>
      </c>
    </row>
    <row r="891" spans="1:6" ht="15.75" customHeight="1">
      <c r="A891" s="5" t="str">
        <f ca="1">IFERROR(__xludf.DUMMYFUNCTION("GOOGLETRANSLATE(B40721,""en"",""pt"")"),"Yekaterinburg")</f>
        <v>Yekaterinburg</v>
      </c>
      <c r="B891" s="17" t="s">
        <v>23341</v>
      </c>
      <c r="C891" s="17" t="s">
        <v>22070</v>
      </c>
      <c r="D891" s="17" t="s">
        <v>22106</v>
      </c>
      <c r="E891" s="10">
        <v>1486209</v>
      </c>
      <c r="F891" s="4" t="str">
        <f>IF(B891=B890,"",B891)</f>
        <v/>
      </c>
    </row>
    <row r="892" spans="1:6" ht="15.75" customHeight="1">
      <c r="A892" s="6" t="s">
        <v>24197</v>
      </c>
      <c r="B892" s="6" t="s">
        <v>24197</v>
      </c>
      <c r="C892" s="6" t="s">
        <v>24176</v>
      </c>
      <c r="D892" s="6" t="s">
        <v>24181</v>
      </c>
      <c r="E892" s="2">
        <v>363619</v>
      </c>
      <c r="F892" s="4" t="str">
        <f>IF(B892=B891,"",B892)</f>
        <v>Yei</v>
      </c>
    </row>
    <row r="893" spans="1:6" ht="15.75" customHeight="1">
      <c r="A893" s="5" t="str">
        <f ca="1">IFERROR(__xludf.DUMMYFUNCTION("GOOGLETRANSLATE(B41342,""en"",""pt"")"),"Yei")</f>
        <v>Yei</v>
      </c>
      <c r="B893" s="17" t="s">
        <v>24197</v>
      </c>
      <c r="C893" s="17" t="s">
        <v>24176</v>
      </c>
      <c r="D893" s="17" t="s">
        <v>24181</v>
      </c>
      <c r="E893" s="10">
        <v>363619</v>
      </c>
      <c r="F893" s="4" t="str">
        <f>IF(B893=B892,"",B893)</f>
        <v/>
      </c>
    </row>
    <row r="894" spans="1:6" ht="15.75" customHeight="1">
      <c r="A894" s="6" t="s">
        <v>14888</v>
      </c>
      <c r="B894" s="6" t="s">
        <v>14888</v>
      </c>
      <c r="C894" s="6" t="s">
        <v>14773</v>
      </c>
      <c r="D894" s="6" t="s">
        <v>14800</v>
      </c>
      <c r="E894" s="2">
        <v>293207</v>
      </c>
      <c r="F894" s="4" t="str">
        <f>IF(B894=B893,"",B894)</f>
        <v>Yehud</v>
      </c>
    </row>
    <row r="895" spans="1:6" ht="15.75" customHeight="1">
      <c r="A895" s="5" t="str">
        <f ca="1">IFERROR(__xludf.DUMMYFUNCTION("GOOGLETRANSLATE(B31758,""en"",""pt"")"),"Yehud")</f>
        <v>Yehud</v>
      </c>
      <c r="B895" s="17" t="s">
        <v>14888</v>
      </c>
      <c r="C895" s="17" t="s">
        <v>14773</v>
      </c>
      <c r="D895" s="17" t="s">
        <v>14800</v>
      </c>
      <c r="E895" s="10">
        <v>293207</v>
      </c>
      <c r="F895" s="4" t="str">
        <f>IF(B895=B894,"",B895)</f>
        <v/>
      </c>
    </row>
    <row r="896" spans="1:6" ht="15.75" customHeight="1">
      <c r="A896" s="5" t="s">
        <v>23340</v>
      </c>
      <c r="B896" s="6" t="s">
        <v>23340</v>
      </c>
      <c r="C896" s="5" t="s">
        <v>22070</v>
      </c>
      <c r="D896" s="5" t="s">
        <v>22099</v>
      </c>
      <c r="E896" s="2">
        <v>468307</v>
      </c>
      <c r="F896" s="4" t="str">
        <f>IF(B896=B895,"",B896)</f>
        <v>Yegorlykskaya</v>
      </c>
    </row>
    <row r="897" spans="1:6" ht="15.75" customHeight="1">
      <c r="A897" s="5" t="str">
        <f ca="1">IFERROR(__xludf.DUMMYFUNCTION("GOOGLETRANSLATE(B39946,""en"",""pt"")"),"Yegorlykskaya")</f>
        <v>Yegorlykskaya</v>
      </c>
      <c r="B897" s="17" t="s">
        <v>23340</v>
      </c>
      <c r="C897" s="17" t="s">
        <v>22070</v>
      </c>
      <c r="D897" s="17" t="s">
        <v>22099</v>
      </c>
      <c r="E897" s="10">
        <v>468307</v>
      </c>
      <c r="F897" s="4" t="str">
        <f>IF(B897=B896,"",B897)</f>
        <v/>
      </c>
    </row>
    <row r="898" spans="1:6" ht="15.75" customHeight="1">
      <c r="A898" s="5" t="s">
        <v>23338</v>
      </c>
      <c r="B898" s="6" t="s">
        <v>23339</v>
      </c>
      <c r="C898" s="5" t="s">
        <v>22070</v>
      </c>
      <c r="D898" s="5" t="s">
        <v>22119</v>
      </c>
      <c r="E898" s="2">
        <v>468250</v>
      </c>
      <c r="F898" s="4" t="str">
        <f>IF(B898=B897,"",B898)</f>
        <v>Yegorâ€™yevsk</v>
      </c>
    </row>
    <row r="899" spans="1:6" ht="15.75" customHeight="1">
      <c r="A899" s="5" t="str">
        <f ca="1">IFERROR(__xludf.DUMMYFUNCTION("GOOGLETRANSLATE(B39945,""en"",""pt"")"),"Yegor'yevsk")</f>
        <v>Yegor'yevsk</v>
      </c>
      <c r="B899" s="17" t="s">
        <v>35432</v>
      </c>
      <c r="C899" s="17" t="s">
        <v>22070</v>
      </c>
      <c r="D899" s="17" t="s">
        <v>22119</v>
      </c>
      <c r="E899" s="10">
        <v>468250</v>
      </c>
      <c r="F899" s="4" t="str">
        <f>IF(B899=B898,"",B899)</f>
        <v>Yegor’yevsk</v>
      </c>
    </row>
    <row r="900" spans="1:6" ht="15.75" customHeight="1">
      <c r="A900" s="6" t="s">
        <v>23337</v>
      </c>
      <c r="B900" s="6" t="s">
        <v>23337</v>
      </c>
      <c r="C900" s="6" t="s">
        <v>22070</v>
      </c>
      <c r="D900" s="6" t="s">
        <v>22122</v>
      </c>
      <c r="E900" s="2">
        <v>468390</v>
      </c>
      <c r="F900" s="4" t="str">
        <f>IF(B900=B899,"",B900)</f>
        <v>Yefremov</v>
      </c>
    </row>
    <row r="901" spans="1:6" ht="15.75" customHeight="1">
      <c r="A901" s="5" t="str">
        <f ca="1">IFERROR(__xludf.DUMMYFUNCTION("GOOGLETRANSLATE(B39947,""en"",""pt"")"),"Yefremov")</f>
        <v>Yefremov</v>
      </c>
      <c r="B901" s="17" t="s">
        <v>23337</v>
      </c>
      <c r="C901" s="17" t="s">
        <v>22070</v>
      </c>
      <c r="D901" s="17" t="s">
        <v>22122</v>
      </c>
      <c r="E901" s="10">
        <v>468390</v>
      </c>
      <c r="F901" s="4" t="str">
        <f>IF(B901=B900,"",B901)</f>
        <v/>
      </c>
    </row>
    <row r="902" spans="1:6" ht="15.75" customHeight="1">
      <c r="A902" s="6" t="s">
        <v>24919</v>
      </c>
      <c r="B902" s="6" t="s">
        <v>24919</v>
      </c>
      <c r="C902" s="6" t="s">
        <v>24200</v>
      </c>
      <c r="D902" s="6" t="s">
        <v>20912</v>
      </c>
      <c r="E902" s="2">
        <v>2509402</v>
      </c>
      <c r="F902" s="4" t="str">
        <f>IF(B902=B901,"",B902)</f>
        <v>Yecla</v>
      </c>
    </row>
    <row r="903" spans="1:6" ht="15.75" customHeight="1">
      <c r="A903" s="5" t="str">
        <f ca="1">IFERROR(__xludf.DUMMYFUNCTION("GOOGLETRANSLATE(B28952,""en"",""pt"")"),"Yecla")</f>
        <v>Yecla</v>
      </c>
      <c r="B903" s="17" t="s">
        <v>24919</v>
      </c>
      <c r="C903" s="17" t="s">
        <v>24200</v>
      </c>
      <c r="D903" s="17" t="s">
        <v>20912</v>
      </c>
      <c r="E903" s="10">
        <v>2509402</v>
      </c>
      <c r="F903" s="4" t="str">
        <f>IF(B903=B902,"",B903)</f>
        <v/>
      </c>
    </row>
    <row r="904" spans="1:6" ht="15.75" customHeight="1">
      <c r="A904" s="5" t="s">
        <v>18428</v>
      </c>
      <c r="B904" s="6" t="s">
        <v>18429</v>
      </c>
      <c r="C904" s="5" t="s">
        <v>17707</v>
      </c>
      <c r="D904" s="5" t="s">
        <v>17780</v>
      </c>
      <c r="E904" s="2">
        <v>3514278</v>
      </c>
      <c r="F904" s="4" t="str">
        <f>IF(B904=B903,"",B904)</f>
        <v>Yecapixtla</v>
      </c>
    </row>
    <row r="905" spans="1:6" ht="15.75" customHeight="1">
      <c r="A905" s="5" t="str">
        <f ca="1">IFERROR(__xludf.DUMMYFUNCTION("GOOGLETRANSLATE(B36848,""en"",""pt"")"),"YECAPIXTLA")</f>
        <v>YECAPIXTLA</v>
      </c>
      <c r="B905" s="17" t="s">
        <v>18429</v>
      </c>
      <c r="C905" s="17" t="s">
        <v>17707</v>
      </c>
      <c r="D905" s="17" t="s">
        <v>17780</v>
      </c>
      <c r="E905" s="10">
        <v>3514278</v>
      </c>
      <c r="F905" s="4" t="str">
        <f>IF(B905=B904,"",B905)</f>
        <v/>
      </c>
    </row>
    <row r="906" spans="1:6" ht="15.75" customHeight="1">
      <c r="A906" s="5" t="s">
        <v>5258</v>
      </c>
      <c r="B906" s="6" t="s">
        <v>5258</v>
      </c>
      <c r="C906" s="5" t="s">
        <v>4487</v>
      </c>
      <c r="D906" s="5" t="s">
        <v>4505</v>
      </c>
      <c r="E906" s="2">
        <v>2033423</v>
      </c>
      <c r="F906" s="4" t="str">
        <f>IF(B906=B905,"",B906)</f>
        <v>Yebaishou</v>
      </c>
    </row>
    <row r="907" spans="1:6" ht="15.75" customHeight="1">
      <c r="A907" s="5" t="str">
        <f ca="1">IFERROR(__xludf.DUMMYFUNCTION("GOOGLETRANSLATE(B26657,""en"",""pt"")"),"Yebaishou")</f>
        <v>Yebaishou</v>
      </c>
      <c r="B907" s="17" t="s">
        <v>5258</v>
      </c>
      <c r="C907" s="17" t="s">
        <v>4487</v>
      </c>
      <c r="D907" s="17" t="s">
        <v>4505</v>
      </c>
      <c r="E907" s="10">
        <v>2033423</v>
      </c>
      <c r="F907" s="4" t="str">
        <f>IF(B907=B906,"",B907)</f>
        <v/>
      </c>
    </row>
    <row r="908" spans="1:6" ht="15.75" customHeight="1">
      <c r="A908" s="6" t="s">
        <v>26764</v>
      </c>
      <c r="B908" s="6" t="s">
        <v>26765</v>
      </c>
      <c r="C908" s="6" t="s">
        <v>26201</v>
      </c>
      <c r="D908" s="6" t="s">
        <v>26440</v>
      </c>
      <c r="E908" s="2">
        <v>296832</v>
      </c>
      <c r="F908" s="4" t="str">
        <f>IF(B908=B907,"",B908)</f>
        <v>YeÅŸilli</v>
      </c>
    </row>
    <row r="909" spans="1:6" ht="15.75" customHeight="1">
      <c r="A909" s="6" t="s">
        <v>27782</v>
      </c>
      <c r="B909" s="6" t="s">
        <v>27782</v>
      </c>
      <c r="C909" s="6" t="s">
        <v>27234</v>
      </c>
      <c r="D909" s="6" t="s">
        <v>27241</v>
      </c>
      <c r="E909" s="2">
        <v>2633397</v>
      </c>
      <c r="F909" s="4" t="str">
        <f>IF(B909=B908,"",B909)</f>
        <v>Yeadon</v>
      </c>
    </row>
    <row r="910" spans="1:6" ht="15.75" customHeight="1">
      <c r="A910" s="5" t="str">
        <f ca="1">IFERROR(__xludf.DUMMYFUNCTION("GOOGLETRANSLATE(B30316,""en"",""pt"")"),"Yeadon")</f>
        <v>Yeadon</v>
      </c>
      <c r="B910" s="17" t="s">
        <v>27782</v>
      </c>
      <c r="C910" s="17" t="s">
        <v>27234</v>
      </c>
      <c r="D910" s="17" t="s">
        <v>27241</v>
      </c>
      <c r="E910" s="10">
        <v>2633397</v>
      </c>
      <c r="F910" s="4" t="str">
        <f>IF(B910=B909,"",B910)</f>
        <v/>
      </c>
    </row>
    <row r="911" spans="1:6" ht="15.75" customHeight="1">
      <c r="A911" s="6" t="s">
        <v>20286</v>
      </c>
      <c r="B911" s="6" t="s">
        <v>20286</v>
      </c>
      <c r="C911" s="6" t="s">
        <v>19808</v>
      </c>
      <c r="D911" s="6" t="s">
        <v>10184</v>
      </c>
      <c r="E911" s="2">
        <v>1162316</v>
      </c>
      <c r="F911" s="4" t="str">
        <f>IF(B911=B910,"",B911)</f>
        <v>Yazman</v>
      </c>
    </row>
    <row r="912" spans="1:6" ht="15.75" customHeight="1">
      <c r="A912" s="5" t="str">
        <f ca="1">IFERROR(__xludf.DUMMYFUNCTION("GOOGLETRANSLATE(B38871,""en"",""pt"")"),"Yazman")</f>
        <v>Yazman</v>
      </c>
      <c r="B912" s="17" t="s">
        <v>20286</v>
      </c>
      <c r="C912" s="17" t="s">
        <v>19808</v>
      </c>
      <c r="D912" s="17" t="s">
        <v>10184</v>
      </c>
      <c r="E912" s="10">
        <v>1162316</v>
      </c>
      <c r="F912" s="4" t="str">
        <f>IF(B912=B911,"",B912)</f>
        <v/>
      </c>
    </row>
    <row r="913" spans="1:6" ht="15.75" customHeight="1">
      <c r="A913" s="6" t="s">
        <v>14291</v>
      </c>
      <c r="B913" s="6" t="s">
        <v>14291</v>
      </c>
      <c r="C913" s="6" t="s">
        <v>14240</v>
      </c>
      <c r="D913" s="6" t="s">
        <v>14291</v>
      </c>
      <c r="E913" s="2">
        <v>111822</v>
      </c>
      <c r="F913" s="4" t="str">
        <f>IF(B913=B912,"",B913)</f>
        <v>Yazd</v>
      </c>
    </row>
    <row r="914" spans="1:6" ht="15.75" customHeight="1">
      <c r="A914" s="5" t="str">
        <f ca="1">IFERROR(__xludf.DUMMYFUNCTION("GOOGLETRANSLATE(B34351,""en"",""pt"")"),"Yazd")</f>
        <v>Yazd</v>
      </c>
      <c r="B914" s="17" t="s">
        <v>14291</v>
      </c>
      <c r="C914" s="17" t="s">
        <v>14240</v>
      </c>
      <c r="D914" s="17" t="s">
        <v>14291</v>
      </c>
      <c r="E914" s="10">
        <v>111822</v>
      </c>
      <c r="F914" s="4" t="str">
        <f>IF(B914=B913,"",B914)</f>
        <v/>
      </c>
    </row>
    <row r="915" spans="1:6" ht="15.75" customHeight="1">
      <c r="A915" s="6" t="s">
        <v>30623</v>
      </c>
      <c r="B915" s="6" t="s">
        <v>30623</v>
      </c>
      <c r="C915" s="6" t="s">
        <v>30502</v>
      </c>
      <c r="D915" s="6" t="s">
        <v>30513</v>
      </c>
      <c r="E915" s="2">
        <v>1512320</v>
      </c>
      <c r="F915" s="4" t="str">
        <f>IF(B915=B914,"",B915)</f>
        <v>Yaypan</v>
      </c>
    </row>
    <row r="916" spans="1:6" ht="15.75" customHeight="1">
      <c r="A916" s="5" t="str">
        <f ca="1">IFERROR(__xludf.DUMMYFUNCTION("GOOGLETRANSLATE(B45528,""en"",""pt"")"),"Yaypan")</f>
        <v>Yaypan</v>
      </c>
      <c r="B916" s="17" t="s">
        <v>30623</v>
      </c>
      <c r="C916" s="17" t="s">
        <v>30502</v>
      </c>
      <c r="D916" s="17" t="s">
        <v>30513</v>
      </c>
      <c r="E916" s="10">
        <v>1512320</v>
      </c>
      <c r="F916" s="4" t="str">
        <f>IF(B916=B915,"",B916)</f>
        <v/>
      </c>
    </row>
    <row r="917" spans="1:6" ht="15.75" customHeight="1">
      <c r="A917" s="6" t="s">
        <v>16596</v>
      </c>
      <c r="B917" s="6" t="s">
        <v>16596</v>
      </c>
      <c r="C917" s="6" t="s">
        <v>15704</v>
      </c>
      <c r="D917" s="6" t="s">
        <v>15831</v>
      </c>
      <c r="E917" s="2">
        <v>1848439</v>
      </c>
      <c r="F917" s="4" t="str">
        <f>IF(B917=B916,"",B917)</f>
        <v>Yawata</v>
      </c>
    </row>
    <row r="918" spans="1:6" ht="15.75" customHeight="1">
      <c r="A918" s="5" t="str">
        <f ca="1">IFERROR(__xludf.DUMMYFUNCTION("GOOGLETRANSLATE(B35168,""en"",""pt"")"),"Yawata")</f>
        <v>Yawata</v>
      </c>
      <c r="B918" s="17" t="s">
        <v>16596</v>
      </c>
      <c r="C918" s="17" t="s">
        <v>15704</v>
      </c>
      <c r="D918" s="17" t="s">
        <v>15831</v>
      </c>
      <c r="E918" s="10">
        <v>1848439</v>
      </c>
      <c r="F918" s="4" t="str">
        <f>IF(B918=B917,"",B918)</f>
        <v/>
      </c>
    </row>
    <row r="919" spans="1:6" ht="15.75" customHeight="1">
      <c r="A919" s="5" t="str">
        <f ca="1">IFERROR(__xludf.DUMMYFUNCTION("GOOGLETRANSLATE(B31759,""en"",""pt"")"),"Yavné")</f>
        <v>Yavné</v>
      </c>
      <c r="B919" s="17" t="s">
        <v>14886</v>
      </c>
      <c r="C919" s="17" t="s">
        <v>14773</v>
      </c>
      <c r="D919" s="17" t="s">
        <v>14800</v>
      </c>
      <c r="E919" s="10">
        <v>293222</v>
      </c>
      <c r="F919" s="4" t="str">
        <f>IF(B919=B918,"",B919)</f>
        <v>Yavné</v>
      </c>
    </row>
    <row r="920" spans="1:6" ht="15.75" customHeight="1">
      <c r="A920" s="6" t="s">
        <v>14886</v>
      </c>
      <c r="B920" s="6" t="s">
        <v>14887</v>
      </c>
      <c r="C920" s="6" t="s">
        <v>14773</v>
      </c>
      <c r="D920" s="6" t="s">
        <v>14800</v>
      </c>
      <c r="E920" s="2">
        <v>293222</v>
      </c>
      <c r="F920" s="4" t="str">
        <f>IF(B920=B919,"",B920)</f>
        <v>YavnÃ©</v>
      </c>
    </row>
    <row r="921" spans="1:6" ht="15.75" customHeight="1">
      <c r="A921" s="5" t="str">
        <f ca="1">IFERROR(__xludf.DUMMYFUNCTION("GOOGLETRANSLATE(B31839,""en"",""pt"")"),"Yavatmāl")</f>
        <v>Yavatmāl</v>
      </c>
      <c r="B921" s="17" t="s">
        <v>32941</v>
      </c>
      <c r="C921" s="17" t="s">
        <v>10178</v>
      </c>
      <c r="D921" s="17" t="s">
        <v>10214</v>
      </c>
      <c r="E921" s="10">
        <v>1252770</v>
      </c>
      <c r="F921" s="4" t="str">
        <f>IF(B921=B920,"",B921)</f>
        <v>Yavatmāl</v>
      </c>
    </row>
    <row r="922" spans="1:6" ht="15.75" customHeight="1">
      <c r="A922" s="6" t="s">
        <v>13785</v>
      </c>
      <c r="B922" s="6" t="s">
        <v>13786</v>
      </c>
      <c r="C922" s="6" t="s">
        <v>10178</v>
      </c>
      <c r="D922" s="6" t="s">
        <v>10214</v>
      </c>
      <c r="E922" s="2">
        <v>1252770</v>
      </c>
      <c r="F922" s="4" t="str">
        <f>IF(B922=B921,"",B922)</f>
        <v>YavatmÄl</v>
      </c>
    </row>
    <row r="923" spans="1:6" ht="15.75" customHeight="1">
      <c r="A923" s="5" t="str">
        <f ca="1">IFERROR(__xludf.DUMMYFUNCTION("GOOGLETRANSLATE(B31840,""en"",""pt"")"),"Yāval")</f>
        <v>Yāval</v>
      </c>
      <c r="B923" s="17" t="s">
        <v>32942</v>
      </c>
      <c r="C923" s="17" t="s">
        <v>10178</v>
      </c>
      <c r="D923" s="17" t="s">
        <v>10214</v>
      </c>
      <c r="E923" s="10">
        <v>1252773</v>
      </c>
      <c r="F923" s="4" t="str">
        <f>IF(B923=B922,"",B923)</f>
        <v>Yāval</v>
      </c>
    </row>
    <row r="924" spans="1:6" ht="15.75" customHeight="1">
      <c r="A924" s="6" t="s">
        <v>18427</v>
      </c>
      <c r="B924" s="6" t="s">
        <v>18427</v>
      </c>
      <c r="C924" s="6" t="s">
        <v>17707</v>
      </c>
      <c r="D924" s="6" t="s">
        <v>17780</v>
      </c>
      <c r="E924" s="2">
        <v>3514321</v>
      </c>
      <c r="F924" s="4" t="str">
        <f>IF(B924=B923,"",B924)</f>
        <v>Yautepec</v>
      </c>
    </row>
    <row r="925" spans="1:6" ht="15.75" customHeight="1">
      <c r="A925" s="5" t="str">
        <f ca="1">IFERROR(__xludf.DUMMYFUNCTION("GOOGLETRANSLATE(B36849,""en"",""pt"")"),"Yautepec")</f>
        <v>Yautepec</v>
      </c>
      <c r="B925" s="17" t="s">
        <v>18427</v>
      </c>
      <c r="C925" s="17" t="s">
        <v>17707</v>
      </c>
      <c r="D925" s="17" t="s">
        <v>17780</v>
      </c>
      <c r="E925" s="10">
        <v>3514321</v>
      </c>
      <c r="F925" s="4" t="str">
        <f>IF(B925=B924,"",B925)</f>
        <v/>
      </c>
    </row>
    <row r="926" spans="1:6" ht="15.75" customHeight="1">
      <c r="A926" s="6" t="s">
        <v>21775</v>
      </c>
      <c r="B926" s="6" t="s">
        <v>21775</v>
      </c>
      <c r="C926" s="6" t="s">
        <v>747</v>
      </c>
      <c r="D926" s="6" t="s">
        <v>21775</v>
      </c>
      <c r="E926" s="2">
        <v>4568917</v>
      </c>
      <c r="F926" s="4" t="str">
        <f>IF(B926=B925,"",B926)</f>
        <v>Yauco</v>
      </c>
    </row>
    <row r="927" spans="1:6" ht="15.75" customHeight="1">
      <c r="A927" s="5" t="str">
        <f ca="1">IFERROR(__xludf.DUMMYFUNCTION("GOOGLETRANSLATE(B39524,""en"",""pt"")"),"Yauco")</f>
        <v>Yauco</v>
      </c>
      <c r="B927" s="17" t="s">
        <v>21775</v>
      </c>
      <c r="C927" s="17" t="s">
        <v>747</v>
      </c>
      <c r="D927" s="17" t="s">
        <v>21775</v>
      </c>
      <c r="E927" s="10">
        <v>4568917</v>
      </c>
      <c r="F927" s="4" t="str">
        <f>IF(B927=B926,"",B927)</f>
        <v/>
      </c>
    </row>
    <row r="928" spans="1:6" ht="15.75" customHeight="1">
      <c r="A928" s="5" t="s">
        <v>16595</v>
      </c>
      <c r="B928" s="6" t="s">
        <v>16595</v>
      </c>
      <c r="C928" s="5" t="s">
        <v>15704</v>
      </c>
      <c r="D928" s="5" t="s">
        <v>15812</v>
      </c>
      <c r="E928" s="2">
        <v>1848445</v>
      </c>
      <c r="F928" s="4" t="str">
        <f>IF(B928=B927,"",B928)</f>
        <v>Yatsushiro</v>
      </c>
    </row>
    <row r="929" spans="1:6" ht="15.75" customHeight="1">
      <c r="A929" s="5" t="str">
        <f ca="1">IFERROR(__xludf.DUMMYFUNCTION("GOOGLETRANSLATE(B35169,""en"",""pt"")"),"Yatsushiro")</f>
        <v>Yatsushiro</v>
      </c>
      <c r="B929" s="17" t="s">
        <v>16595</v>
      </c>
      <c r="C929" s="17" t="s">
        <v>15704</v>
      </c>
      <c r="D929" s="17" t="s">
        <v>15812</v>
      </c>
      <c r="E929" s="10">
        <v>1848445</v>
      </c>
      <c r="F929" s="4" t="str">
        <f>IF(B929=B928,"",B929)</f>
        <v/>
      </c>
    </row>
    <row r="930" spans="1:6" ht="15.75" customHeight="1">
      <c r="A930" s="5" t="s">
        <v>16594</v>
      </c>
      <c r="B930" s="6" t="s">
        <v>16594</v>
      </c>
      <c r="C930" s="5" t="s">
        <v>15704</v>
      </c>
      <c r="D930" s="5" t="s">
        <v>15881</v>
      </c>
      <c r="E930" s="2">
        <v>1848447</v>
      </c>
      <c r="F930" s="4" t="str">
        <f>IF(B930=B929,"",B930)</f>
        <v>Yatsuomachi-higashikumisaka</v>
      </c>
    </row>
    <row r="931" spans="1:6" ht="15.75" customHeight="1">
      <c r="A931" s="5" t="str">
        <f ca="1">IFERROR(__xludf.DUMMYFUNCTION("GOOGLETRANSLATE(B35170,""en"",""pt"")"),"Yatsuomachi-higashikumisaka")</f>
        <v>Yatsuomachi-higashikumisaka</v>
      </c>
      <c r="B931" s="17" t="s">
        <v>16594</v>
      </c>
      <c r="C931" s="17" t="s">
        <v>15704</v>
      </c>
      <c r="D931" s="17" t="s">
        <v>15881</v>
      </c>
      <c r="E931" s="10">
        <v>1848447</v>
      </c>
      <c r="F931" s="4" t="str">
        <f>IF(B931=B930,"",B931)</f>
        <v/>
      </c>
    </row>
    <row r="932" spans="1:6" ht="15.75" customHeight="1">
      <c r="A932" s="6" t="s">
        <v>5257</v>
      </c>
      <c r="B932" s="6" t="s">
        <v>5257</v>
      </c>
      <c r="C932" s="6" t="s">
        <v>4487</v>
      </c>
      <c r="D932" s="6" t="s">
        <v>4503</v>
      </c>
      <c r="E932" s="2">
        <v>1786855</v>
      </c>
      <c r="F932" s="4" t="str">
        <f>IF(B932=B931,"",B932)</f>
        <v>Yatou</v>
      </c>
    </row>
    <row r="933" spans="1:6" ht="15.75" customHeight="1">
      <c r="A933" s="5" t="str">
        <f ca="1">IFERROR(__xludf.DUMMYFUNCTION("GOOGLETRANSLATE(B26135,""en"",""pt"")"),"Yatou")</f>
        <v>Yatou</v>
      </c>
      <c r="B933" s="17" t="s">
        <v>5257</v>
      </c>
      <c r="C933" s="17" t="s">
        <v>4487</v>
      </c>
      <c r="D933" s="17" t="s">
        <v>4503</v>
      </c>
      <c r="E933" s="10">
        <v>1786855</v>
      </c>
      <c r="F933" s="4" t="str">
        <f>IF(B933=B932,"",B933)</f>
        <v/>
      </c>
    </row>
    <row r="934" spans="1:6" ht="15.75" customHeight="1">
      <c r="A934" s="6" t="s">
        <v>27781</v>
      </c>
      <c r="B934" s="6" t="s">
        <v>27781</v>
      </c>
      <c r="C934" s="6" t="s">
        <v>27234</v>
      </c>
      <c r="D934" s="6" t="s">
        <v>27241</v>
      </c>
      <c r="E934" s="2">
        <v>6620293</v>
      </c>
      <c r="F934" s="4" t="str">
        <f>IF(B934=B933,"",B934)</f>
        <v>Yateley</v>
      </c>
    </row>
    <row r="935" spans="1:6" ht="15.75" customHeight="1">
      <c r="A935" s="5" t="str">
        <f ca="1">IFERROR(__xludf.DUMMYFUNCTION("GOOGLETRANSLATE(B30784,""en"",""pt"")"),"Yateley")</f>
        <v>Yateley</v>
      </c>
      <c r="B935" s="17" t="s">
        <v>27781</v>
      </c>
      <c r="C935" s="17" t="s">
        <v>27234</v>
      </c>
      <c r="D935" s="17" t="s">
        <v>27241</v>
      </c>
      <c r="E935" s="10">
        <v>6620293</v>
      </c>
      <c r="F935" s="4" t="str">
        <f>IF(B935=B934,"",B935)</f>
        <v/>
      </c>
    </row>
    <row r="936" spans="1:6" ht="15.75" customHeight="1">
      <c r="A936" s="6" t="s">
        <v>27780</v>
      </c>
      <c r="B936" s="6" t="s">
        <v>27780</v>
      </c>
      <c r="C936" s="6" t="s">
        <v>27234</v>
      </c>
      <c r="D936" s="6" t="s">
        <v>27241</v>
      </c>
      <c r="E936" s="2">
        <v>2633406</v>
      </c>
      <c r="F936" s="4" t="str">
        <f>IF(B936=B935,"",B936)</f>
        <v>Yate</v>
      </c>
    </row>
    <row r="937" spans="1:6" ht="15.75" customHeight="1">
      <c r="A937" s="5" t="str">
        <f ca="1">IFERROR(__xludf.DUMMYFUNCTION("GOOGLETRANSLATE(B30317,""en"",""pt"")"),"Yate")</f>
        <v>Yate</v>
      </c>
      <c r="B937" s="17" t="s">
        <v>27780</v>
      </c>
      <c r="C937" s="17" t="s">
        <v>27234</v>
      </c>
      <c r="D937" s="17" t="s">
        <v>27241</v>
      </c>
      <c r="E937" s="10">
        <v>2633406</v>
      </c>
      <c r="F937" s="4" t="str">
        <f>IF(B937=B936,"",B937)</f>
        <v/>
      </c>
    </row>
    <row r="938" spans="1:6" ht="15.75" customHeight="1">
      <c r="A938" s="5" t="str">
        <f ca="1">IFERROR(__xludf.DUMMYFUNCTION("GOOGLETRANSLATE(B41869,""en"",""pt"")"),"Yatağan")</f>
        <v>Yatağan</v>
      </c>
      <c r="B938" s="17" t="s">
        <v>35817</v>
      </c>
      <c r="C938" s="17" t="s">
        <v>26201</v>
      </c>
      <c r="D938" s="17" t="s">
        <v>35818</v>
      </c>
      <c r="E938" s="10">
        <v>297564</v>
      </c>
      <c r="F938" s="4" t="str">
        <f>IF(B938=B937,"",B938)</f>
        <v>Yatağan</v>
      </c>
    </row>
    <row r="939" spans="1:6" ht="15.75" customHeight="1">
      <c r="A939" s="6" t="s">
        <v>26762</v>
      </c>
      <c r="B939" s="6" t="s">
        <v>26763</v>
      </c>
      <c r="C939" s="6" t="s">
        <v>26201</v>
      </c>
      <c r="D939" s="6" t="s">
        <v>26409</v>
      </c>
      <c r="E939" s="2">
        <v>297564</v>
      </c>
      <c r="F939" s="4" t="str">
        <f>IF(B939=B938,"",B939)</f>
        <v>YataÄŸan</v>
      </c>
    </row>
    <row r="940" spans="1:6" ht="15.75" customHeight="1">
      <c r="A940" s="5" t="s">
        <v>27196</v>
      </c>
      <c r="B940" s="6" t="s">
        <v>27196</v>
      </c>
      <c r="C940" s="5" t="s">
        <v>26870</v>
      </c>
      <c r="D940" s="5" t="s">
        <v>22345</v>
      </c>
      <c r="E940" s="2">
        <v>688373</v>
      </c>
      <c r="F940" s="4" t="str">
        <f>IF(B940=B939,"",B940)</f>
        <v>Yasynuvata</v>
      </c>
    </row>
    <row r="941" spans="1:6" ht="15.75" customHeight="1">
      <c r="A941" s="5" t="str">
        <f ca="1">IFERROR(__xludf.DUMMYFUNCTION("GOOGLETRANSLATE(B42484,""en"",""pt"")"),"Yasynuvata")</f>
        <v>Yasynuvata</v>
      </c>
      <c r="B941" s="17" t="s">
        <v>27196</v>
      </c>
      <c r="C941" s="17" t="s">
        <v>26870</v>
      </c>
      <c r="D941" s="17" t="s">
        <v>22345</v>
      </c>
      <c r="E941" s="10">
        <v>688373</v>
      </c>
      <c r="F941" s="4" t="str">
        <f>IF(B941=B940,"",B941)</f>
        <v/>
      </c>
    </row>
    <row r="942" spans="1:6" ht="15.75" customHeight="1">
      <c r="A942" s="6" t="s">
        <v>14585</v>
      </c>
      <c r="B942" s="6" t="s">
        <v>14585</v>
      </c>
      <c r="C942" s="6" t="s">
        <v>14240</v>
      </c>
      <c r="D942" s="6" t="s">
        <v>14361</v>
      </c>
      <c r="E942" s="2">
        <v>66093</v>
      </c>
      <c r="F942" s="4" t="str">
        <f>IF(B942=B941,"",B942)</f>
        <v>Yasuj</v>
      </c>
    </row>
    <row r="943" spans="1:6" ht="15.75" customHeight="1">
      <c r="A943" s="5" t="str">
        <f ca="1">IFERROR(__xludf.DUMMYFUNCTION("GOOGLETRANSLATE(B34347,""en"",""pt"")"),"Yasuj")</f>
        <v>Yasuj</v>
      </c>
      <c r="B943" s="17" t="s">
        <v>14585</v>
      </c>
      <c r="C943" s="17" t="s">
        <v>14240</v>
      </c>
      <c r="D943" s="17" t="s">
        <v>34126</v>
      </c>
      <c r="E943" s="10">
        <v>66093</v>
      </c>
      <c r="F943" s="4" t="str">
        <f>IF(B943=B942,"",B943)</f>
        <v/>
      </c>
    </row>
    <row r="944" spans="1:6" ht="15.75" customHeight="1">
      <c r="A944" s="5" t="str">
        <f ca="1">IFERROR(__xludf.DUMMYFUNCTION("GOOGLETRANSLATE(B35171,""en"",""pt"")"),"Yasugichō")</f>
        <v>Yasugichō</v>
      </c>
      <c r="B944" s="17" t="s">
        <v>34294</v>
      </c>
      <c r="C944" s="17" t="s">
        <v>15704</v>
      </c>
      <c r="D944" s="17" t="s">
        <v>15740</v>
      </c>
      <c r="E944" s="10">
        <v>1848482</v>
      </c>
      <c r="F944" s="4" t="str">
        <f>IF(B944=B943,"",B944)</f>
        <v>Yasugichō</v>
      </c>
    </row>
    <row r="945" spans="1:6" ht="15.75" customHeight="1">
      <c r="A945" s="6" t="s">
        <v>16592</v>
      </c>
      <c r="B945" s="6" t="s">
        <v>16593</v>
      </c>
      <c r="C945" s="6" t="s">
        <v>15704</v>
      </c>
      <c r="D945" s="6" t="s">
        <v>15740</v>
      </c>
      <c r="E945" s="2">
        <v>1848482</v>
      </c>
      <c r="F945" s="4" t="str">
        <f>IF(B945=B944,"",B945)</f>
        <v>YasugichÅ</v>
      </c>
    </row>
    <row r="946" spans="1:6" ht="15.75" customHeight="1">
      <c r="A946" s="6" t="s">
        <v>26035</v>
      </c>
      <c r="B946" s="6" t="s">
        <v>26035</v>
      </c>
      <c r="C946" s="6" t="s">
        <v>25771</v>
      </c>
      <c r="D946" s="6" t="s">
        <v>26035</v>
      </c>
      <c r="E946" s="2">
        <v>1604769</v>
      </c>
      <c r="F946" s="4" t="str">
        <f>IF(B946=B945,"",B946)</f>
        <v>Yasothon</v>
      </c>
    </row>
    <row r="947" spans="1:6" ht="15.75" customHeight="1">
      <c r="A947" s="5" t="str">
        <f ca="1">IFERROR(__xludf.DUMMYFUNCTION("GOOGLETRANSLATE(B41578,""en"",""pt"")"),"Yasothon")</f>
        <v>Yasothon</v>
      </c>
      <c r="B947" s="17" t="s">
        <v>26035</v>
      </c>
      <c r="C947" s="17" t="s">
        <v>25771</v>
      </c>
      <c r="D947" s="17" t="s">
        <v>26035</v>
      </c>
      <c r="E947" s="10">
        <v>1604769</v>
      </c>
      <c r="F947" s="4" t="str">
        <f>IF(B947=B946,"",B947)</f>
        <v/>
      </c>
    </row>
    <row r="948" spans="1:6" ht="15.75" customHeight="1">
      <c r="A948" s="6" t="s">
        <v>23336</v>
      </c>
      <c r="B948" s="6" t="s">
        <v>23336</v>
      </c>
      <c r="C948" s="6" t="s">
        <v>22070</v>
      </c>
      <c r="D948" s="6" t="s">
        <v>22075</v>
      </c>
      <c r="E948" s="2">
        <v>468657</v>
      </c>
      <c r="F948" s="4" t="str">
        <f>IF(B948=B947,"",B948)</f>
        <v>Yasnyy</v>
      </c>
    </row>
    <row r="949" spans="1:6" ht="15.75" customHeight="1">
      <c r="A949" s="5" t="str">
        <f ca="1">IFERROR(__xludf.DUMMYFUNCTION("GOOGLETRANSLATE(B39948,""en"",""pt"")"),"Yasnyy")</f>
        <v>Yasnyy</v>
      </c>
      <c r="B949" s="17" t="s">
        <v>23336</v>
      </c>
      <c r="C949" s="17" t="s">
        <v>22070</v>
      </c>
      <c r="D949" s="17" t="s">
        <v>22075</v>
      </c>
      <c r="E949" s="10">
        <v>468657</v>
      </c>
      <c r="F949" s="4" t="str">
        <f>IF(B949=B948,"",B949)</f>
        <v/>
      </c>
    </row>
    <row r="950" spans="1:6" ht="15.75" customHeight="1">
      <c r="A950" s="5" t="s">
        <v>23335</v>
      </c>
      <c r="B950" s="6" t="s">
        <v>23335</v>
      </c>
      <c r="C950" s="5" t="s">
        <v>22070</v>
      </c>
      <c r="D950" s="5" t="s">
        <v>22122</v>
      </c>
      <c r="E950" s="2">
        <v>468671</v>
      </c>
      <c r="F950" s="4" t="str">
        <f>IF(B950=B949,"",B950)</f>
        <v>Yasnogorsk</v>
      </c>
    </row>
    <row r="951" spans="1:6" ht="15.75" customHeight="1">
      <c r="A951" s="5" t="str">
        <f ca="1">IFERROR(__xludf.DUMMYFUNCTION("GOOGLETRANSLATE(B39949,""en"",""pt"")"),"Yasnogorsk")</f>
        <v>Yasnogorsk</v>
      </c>
      <c r="B951" s="17" t="s">
        <v>23335</v>
      </c>
      <c r="C951" s="17" t="s">
        <v>22070</v>
      </c>
      <c r="D951" s="17" t="s">
        <v>22122</v>
      </c>
      <c r="E951" s="10">
        <v>468671</v>
      </c>
      <c r="F951" s="4" t="str">
        <f>IF(B951=B950,"",B951)</f>
        <v/>
      </c>
    </row>
    <row r="952" spans="1:6" ht="15.75" customHeight="1">
      <c r="A952" s="6" t="s">
        <v>23334</v>
      </c>
      <c r="B952" s="6" t="s">
        <v>23334</v>
      </c>
      <c r="C952" s="6" t="s">
        <v>22070</v>
      </c>
      <c r="D952" s="6" t="s">
        <v>22140</v>
      </c>
      <c r="E952" s="2">
        <v>1486298</v>
      </c>
      <c r="F952" s="4" t="str">
        <f>IF(B952=B951,"",B952)</f>
        <v>Yashkino</v>
      </c>
    </row>
    <row r="953" spans="1:6" ht="15.75" customHeight="1">
      <c r="A953" s="5" t="str">
        <f ca="1">IFERROR(__xludf.DUMMYFUNCTION("GOOGLETRANSLATE(B40722,""en"",""pt"")"),"Yashkino")</f>
        <v>Yashkino</v>
      </c>
      <c r="B953" s="17" t="s">
        <v>23334</v>
      </c>
      <c r="C953" s="17" t="s">
        <v>22070</v>
      </c>
      <c r="D953" s="17" t="s">
        <v>22140</v>
      </c>
      <c r="E953" s="10">
        <v>1486298</v>
      </c>
      <c r="F953" s="4" t="str">
        <f>IF(B953=B952,"",B953)</f>
        <v/>
      </c>
    </row>
    <row r="954" spans="1:6" ht="15.75" customHeight="1">
      <c r="A954" s="6" t="s">
        <v>16591</v>
      </c>
      <c r="B954" s="6" t="s">
        <v>16591</v>
      </c>
      <c r="C954" s="6" t="s">
        <v>15704</v>
      </c>
      <c r="D954" s="6" t="s">
        <v>15712</v>
      </c>
      <c r="E954" s="2">
        <v>1848498</v>
      </c>
      <c r="F954" s="4" t="str">
        <f>IF(B954=B953,"",B954)</f>
        <v>Yashiro</v>
      </c>
    </row>
    <row r="955" spans="1:6" ht="15.75" customHeight="1">
      <c r="A955" s="5" t="str">
        <f ca="1">IFERROR(__xludf.DUMMYFUNCTION("GOOGLETRANSLATE(B35172,""en"",""pt"")"),"Yashiro")</f>
        <v>Yashiro</v>
      </c>
      <c r="B955" s="17" t="s">
        <v>16591</v>
      </c>
      <c r="C955" s="17" t="s">
        <v>15704</v>
      </c>
      <c r="D955" s="17" t="s">
        <v>34291</v>
      </c>
      <c r="E955" s="10">
        <v>1848498</v>
      </c>
      <c r="F955" s="4" t="str">
        <f>IF(B955=B954,"",B955)</f>
        <v/>
      </c>
    </row>
    <row r="956" spans="1:6" ht="15.75" customHeight="1">
      <c r="A956" s="5" t="s">
        <v>16590</v>
      </c>
      <c r="B956" s="6" t="s">
        <v>16590</v>
      </c>
      <c r="C956" s="5" t="s">
        <v>15704</v>
      </c>
      <c r="D956" s="5" t="s">
        <v>15710</v>
      </c>
      <c r="E956" s="2">
        <v>1848499</v>
      </c>
      <c r="F956" s="4" t="str">
        <f>IF(B956=B955,"",B956)</f>
        <v>Yashio-shi</v>
      </c>
    </row>
    <row r="957" spans="1:6" ht="15.75" customHeight="1">
      <c r="A957" s="5" t="str">
        <f ca="1">IFERROR(__xludf.DUMMYFUNCTION("GOOGLETRANSLATE(B35173,""en"",""pt"")"),"Yashio-shi")</f>
        <v>Yashio-shi</v>
      </c>
      <c r="B957" s="17" t="s">
        <v>16590</v>
      </c>
      <c r="C957" s="17" t="s">
        <v>15704</v>
      </c>
      <c r="D957" s="17" t="s">
        <v>15710</v>
      </c>
      <c r="E957" s="10">
        <v>1848499</v>
      </c>
      <c r="F957" s="4" t="str">
        <f>IF(B957=B956,"",B957)</f>
        <v/>
      </c>
    </row>
    <row r="958" spans="1:6" ht="15.75" customHeight="1">
      <c r="A958" s="6" t="s">
        <v>5256</v>
      </c>
      <c r="B958" s="6" t="s">
        <v>5256</v>
      </c>
      <c r="C958" s="6" t="s">
        <v>4487</v>
      </c>
      <c r="D958" s="6" t="s">
        <v>4516</v>
      </c>
      <c r="E958" s="2">
        <v>1786867</v>
      </c>
      <c r="F958" s="4" t="str">
        <f>IF(B958=B957,"",B958)</f>
        <v>Yashan</v>
      </c>
    </row>
    <row r="959" spans="1:6" ht="15.75" customHeight="1">
      <c r="A959" s="5" t="str">
        <f ca="1">IFERROR(__xludf.DUMMYFUNCTION("GOOGLETRANSLATE(B26136,""en"",""pt"")"),"Yashan")</f>
        <v>Yashan</v>
      </c>
      <c r="B959" s="17" t="s">
        <v>5256</v>
      </c>
      <c r="C959" s="17" t="s">
        <v>4487</v>
      </c>
      <c r="D959" s="17" t="s">
        <v>4516</v>
      </c>
      <c r="E959" s="10">
        <v>1786867</v>
      </c>
      <c r="F959" s="4" t="str">
        <f>IF(B959=B958,"",B959)</f>
        <v/>
      </c>
    </row>
    <row r="960" spans="1:6" ht="15.75" customHeight="1">
      <c r="A960" s="6" t="s">
        <v>23333</v>
      </c>
      <c r="B960" s="6" t="s">
        <v>23333</v>
      </c>
      <c r="C960" s="6" t="s">
        <v>22070</v>
      </c>
      <c r="D960" s="6" t="s">
        <v>22127</v>
      </c>
      <c r="E960" s="2">
        <v>468809</v>
      </c>
      <c r="F960" s="4" t="str">
        <f>IF(B960=B959,"",B960)</f>
        <v>Yasenevo</v>
      </c>
    </row>
    <row r="961" spans="1:6" ht="15.75" customHeight="1">
      <c r="A961" s="5" t="str">
        <f ca="1">IFERROR(__xludf.DUMMYFUNCTION("GOOGLETRANSLATE(B39950,""en"",""pt"")"),"Yasenevo")</f>
        <v>Yasenevo</v>
      </c>
      <c r="B961" s="17" t="s">
        <v>23333</v>
      </c>
      <c r="C961" s="17" t="s">
        <v>22070</v>
      </c>
      <c r="D961" s="17" t="s">
        <v>22127</v>
      </c>
      <c r="E961" s="10">
        <v>468809</v>
      </c>
      <c r="F961" s="4" t="str">
        <f>IF(B961=B960,"",B961)</f>
        <v/>
      </c>
    </row>
    <row r="962" spans="1:6" ht="15.75" customHeight="1">
      <c r="A962" s="6" t="s">
        <v>5649</v>
      </c>
      <c r="B962" s="6" t="s">
        <v>5649</v>
      </c>
      <c r="C962" s="6" t="s">
        <v>5348</v>
      </c>
      <c r="D962" s="6" t="s">
        <v>5362</v>
      </c>
      <c r="E962" s="2">
        <v>3665741</v>
      </c>
      <c r="F962" s="4" t="str">
        <f>IF(B962=B961,"",B962)</f>
        <v>Yarumal</v>
      </c>
    </row>
    <row r="963" spans="1:6" ht="15.75" customHeight="1">
      <c r="A963" s="5" t="str">
        <f ca="1">IFERROR(__xludf.DUMMYFUNCTION("GOOGLETRANSLATE(B26848,""en"",""pt"")"),"Yarumal")</f>
        <v>Yarumal</v>
      </c>
      <c r="B963" s="17" t="s">
        <v>5649</v>
      </c>
      <c r="C963" s="17" t="s">
        <v>5348</v>
      </c>
      <c r="D963" s="17" t="s">
        <v>5362</v>
      </c>
      <c r="E963" s="10">
        <v>3665741</v>
      </c>
      <c r="F963" s="4" t="str">
        <f>IF(B963=B962,"",B963)</f>
        <v/>
      </c>
    </row>
    <row r="964" spans="1:6" ht="15.75" customHeight="1">
      <c r="A964" s="6" t="s">
        <v>23332</v>
      </c>
      <c r="B964" s="6" t="s">
        <v>23332</v>
      </c>
      <c r="C964" s="6" t="s">
        <v>22070</v>
      </c>
      <c r="D964" s="6" t="s">
        <v>22336</v>
      </c>
      <c r="E964" s="2">
        <v>468866</v>
      </c>
      <c r="F964" s="4" t="str">
        <f>IF(B964=B963,"",B964)</f>
        <v>Yartsevo</v>
      </c>
    </row>
    <row r="965" spans="1:6" ht="15.75" customHeight="1">
      <c r="A965" s="5" t="str">
        <f ca="1">IFERROR(__xludf.DUMMYFUNCTION("GOOGLETRANSLATE(B39951,""en"",""pt"")"),"Yartsevo")</f>
        <v>Yartsevo</v>
      </c>
      <c r="B965" s="17" t="s">
        <v>23332</v>
      </c>
      <c r="C965" s="17" t="s">
        <v>22070</v>
      </c>
      <c r="D965" s="17" t="s">
        <v>22336</v>
      </c>
      <c r="E965" s="10">
        <v>468866</v>
      </c>
      <c r="F965" s="4" t="str">
        <f>IF(B965=B964,"",B965)</f>
        <v/>
      </c>
    </row>
    <row r="966" spans="1:6" ht="15.75" customHeight="1">
      <c r="A966" s="6" t="s">
        <v>23331</v>
      </c>
      <c r="B966" s="6" t="s">
        <v>23331</v>
      </c>
      <c r="C966" s="6" t="s">
        <v>22070</v>
      </c>
      <c r="D966" s="6" t="s">
        <v>22124</v>
      </c>
      <c r="E966" s="2">
        <v>1486340</v>
      </c>
      <c r="F966" s="4" t="str">
        <f>IF(B966=B965,"",B966)</f>
        <v>Yarovoye</v>
      </c>
    </row>
    <row r="967" spans="1:6" ht="15.75" customHeight="1">
      <c r="A967" s="5" t="str">
        <f ca="1">IFERROR(__xludf.DUMMYFUNCTION("GOOGLETRANSLATE(B40723,""en"",""pt"")"),"Yarovoye")</f>
        <v>Yarovoye</v>
      </c>
      <c r="B967" s="17" t="s">
        <v>23331</v>
      </c>
      <c r="C967" s="17" t="s">
        <v>22070</v>
      </c>
      <c r="D967" s="17" t="s">
        <v>22124</v>
      </c>
      <c r="E967" s="10">
        <v>1486340</v>
      </c>
      <c r="F967" s="4" t="str">
        <f>IF(B967=B966,"",B967)</f>
        <v/>
      </c>
    </row>
    <row r="968" spans="1:6" ht="15.75" customHeight="1">
      <c r="A968" s="5" t="s">
        <v>23330</v>
      </c>
      <c r="B968" s="6" t="s">
        <v>23330</v>
      </c>
      <c r="C968" s="5" t="s">
        <v>22070</v>
      </c>
      <c r="D968" s="5" t="s">
        <v>22127</v>
      </c>
      <c r="E968" s="2">
        <v>530088</v>
      </c>
      <c r="F968" s="4" t="str">
        <f>IF(B968=B967,"",B968)</f>
        <v>Yaroslavskiy</v>
      </c>
    </row>
    <row r="969" spans="1:6" ht="15.75" customHeight="1">
      <c r="A969" s="5" t="str">
        <f ca="1">IFERROR(__xludf.DUMMYFUNCTION("GOOGLETRANSLATE(B40336,""en"",""pt"")"),"Yaroslavskiy")</f>
        <v>Yaroslavskiy</v>
      </c>
      <c r="B969" s="17" t="s">
        <v>23330</v>
      </c>
      <c r="C969" s="17" t="s">
        <v>22070</v>
      </c>
      <c r="D969" s="17" t="s">
        <v>22127</v>
      </c>
      <c r="E969" s="10">
        <v>530088</v>
      </c>
      <c r="F969" s="4" t="str">
        <f>IF(B969=B968,"",B969)</f>
        <v/>
      </c>
    </row>
    <row r="970" spans="1:6" ht="15.75" customHeight="1">
      <c r="A970" s="6" t="s">
        <v>23329</v>
      </c>
      <c r="B970" s="6" t="s">
        <v>23329</v>
      </c>
      <c r="C970" s="6" t="s">
        <v>22070</v>
      </c>
      <c r="D970" s="6" t="s">
        <v>22326</v>
      </c>
      <c r="E970" s="2">
        <v>468902</v>
      </c>
      <c r="F970" s="4" t="str">
        <f>IF(B970=B969,"",B970)</f>
        <v>Yaroslavl</v>
      </c>
    </row>
    <row r="971" spans="1:6" ht="15.75" customHeight="1">
      <c r="A971" s="5" t="str">
        <f ca="1">IFERROR(__xludf.DUMMYFUNCTION("GOOGLETRANSLATE(B39952,""en"",""pt"")"),"Yaroslavl")</f>
        <v>Yaroslavl</v>
      </c>
      <c r="B971" s="17" t="s">
        <v>23329</v>
      </c>
      <c r="C971" s="17" t="s">
        <v>22070</v>
      </c>
      <c r="D971" s="17" t="s">
        <v>22326</v>
      </c>
      <c r="E971" s="10">
        <v>468902</v>
      </c>
      <c r="F971" s="4" t="str">
        <f>IF(B971=B970,"",B971)</f>
        <v/>
      </c>
    </row>
    <row r="972" spans="1:6" ht="15.75" customHeight="1">
      <c r="A972" s="6" t="s">
        <v>30456</v>
      </c>
      <c r="B972" s="6" t="s">
        <v>30456</v>
      </c>
      <c r="C972" s="6" t="s">
        <v>27788</v>
      </c>
      <c r="D972" s="6" t="s">
        <v>27794</v>
      </c>
      <c r="E972" s="2">
        <v>4956335</v>
      </c>
      <c r="F972" s="4" t="str">
        <f>IF(B972=B971,"",B972)</f>
        <v>Yarmouth</v>
      </c>
    </row>
    <row r="973" spans="1:6" ht="15.75" customHeight="1">
      <c r="A973" s="5" t="str">
        <f ca="1">IFERROR(__xludf.DUMMYFUNCTION("GOOGLETRANSLATE(B44049,""en"",""pt"")"),"Yarmouth")</f>
        <v>Yarmouth</v>
      </c>
      <c r="B973" s="17" t="s">
        <v>30456</v>
      </c>
      <c r="C973" s="17" t="s">
        <v>27788</v>
      </c>
      <c r="D973" s="17" t="s">
        <v>27794</v>
      </c>
      <c r="E973" s="10">
        <v>4956335</v>
      </c>
      <c r="F973" s="4" t="str">
        <f>IF(B973=B972,"",B973)</f>
        <v/>
      </c>
    </row>
    <row r="974" spans="1:6" ht="15.75" customHeight="1">
      <c r="A974" s="6" t="s">
        <v>30780</v>
      </c>
      <c r="B974" s="6" t="s">
        <v>30780</v>
      </c>
      <c r="C974" s="6" t="s">
        <v>5923</v>
      </c>
      <c r="D974" s="6" t="s">
        <v>30676</v>
      </c>
      <c r="E974" s="2">
        <v>3625207</v>
      </c>
      <c r="F974" s="4" t="str">
        <f>IF(B974=B973,"",B974)</f>
        <v>Yaritagua</v>
      </c>
    </row>
    <row r="975" spans="1:6" ht="15.75" customHeight="1">
      <c r="A975" s="5" t="str">
        <f ca="1">IFERROR(__xludf.DUMMYFUNCTION("GOOGLETRANSLATE(B45603,""en"",""pt"")"),"Yaritagua")</f>
        <v>Yaritagua</v>
      </c>
      <c r="B975" s="17" t="s">
        <v>30780</v>
      </c>
      <c r="C975" s="17" t="s">
        <v>5923</v>
      </c>
      <c r="D975" s="17" t="s">
        <v>30676</v>
      </c>
      <c r="E975" s="10">
        <v>3625207</v>
      </c>
      <c r="F975" s="4" t="str">
        <f>IF(B975=B974,"",B975)</f>
        <v/>
      </c>
    </row>
    <row r="976" spans="1:6" ht="15.75" customHeight="1">
      <c r="A976" s="6" t="s">
        <v>26034</v>
      </c>
      <c r="B976" s="6" t="s">
        <v>26034</v>
      </c>
      <c r="C976" s="6" t="s">
        <v>25771</v>
      </c>
      <c r="D976" s="6" t="s">
        <v>25956</v>
      </c>
      <c r="E976" s="2">
        <v>1604771</v>
      </c>
      <c r="F976" s="4" t="str">
        <f>IF(B976=B975,"",B976)</f>
        <v>Yaring</v>
      </c>
    </row>
    <row r="977" spans="1:6" ht="15.75" customHeight="1">
      <c r="A977" s="5" t="str">
        <f ca="1">IFERROR(__xludf.DUMMYFUNCTION("GOOGLETRANSLATE(B41579,""en"",""pt"")"),"Yaring")</f>
        <v>Yaring</v>
      </c>
      <c r="B977" s="17" t="s">
        <v>26034</v>
      </c>
      <c r="C977" s="17" t="s">
        <v>25771</v>
      </c>
      <c r="D977" s="17" t="s">
        <v>25956</v>
      </c>
      <c r="E977" s="10">
        <v>1604771</v>
      </c>
      <c r="F977" s="4" t="str">
        <f>IF(B977=B976,"",B977)</f>
        <v/>
      </c>
    </row>
    <row r="978" spans="1:6" ht="15.75" customHeight="1">
      <c r="A978" s="5" t="str">
        <f ca="1">IFERROR(__xludf.DUMMYFUNCTION("GOOGLETRANSLATE(B45818,""en"",""pt"")"),"Yarīm")</f>
        <v>Yarīm</v>
      </c>
      <c r="B978" s="17" t="s">
        <v>36214</v>
      </c>
      <c r="C978" s="17" t="s">
        <v>30993</v>
      </c>
      <c r="D978" s="17" t="s">
        <v>31014</v>
      </c>
      <c r="E978" s="10">
        <v>69559</v>
      </c>
      <c r="F978" s="4" t="str">
        <f>IF(B978=B977,"",B978)</f>
        <v>Yarīm</v>
      </c>
    </row>
    <row r="979" spans="1:6" ht="15.75" customHeight="1">
      <c r="A979" s="6" t="s">
        <v>18796</v>
      </c>
      <c r="B979" s="6" t="s">
        <v>18796</v>
      </c>
      <c r="C979" s="6" t="s">
        <v>18797</v>
      </c>
      <c r="D979" s="6" t="s">
        <v>18796</v>
      </c>
      <c r="E979" s="2">
        <v>7626461</v>
      </c>
      <c r="F979" s="4" t="str">
        <f>IF(B979=B978,"",B979)</f>
        <v>Yaren</v>
      </c>
    </row>
    <row r="980" spans="1:6" ht="15.75" customHeight="1">
      <c r="A980" s="5" t="str">
        <f ca="1">IFERROR(__xludf.DUMMYFUNCTION("GOOGLETRANSLATE(B38215,""en"",""pt"")"),"Yaren")</f>
        <v>Yaren</v>
      </c>
      <c r="B980" s="17" t="s">
        <v>18796</v>
      </c>
      <c r="C980" s="17" t="s">
        <v>18797</v>
      </c>
      <c r="D980" s="17" t="s">
        <v>18796</v>
      </c>
      <c r="E980" s="10">
        <v>7626461</v>
      </c>
      <c r="F980" s="4" t="str">
        <f>IF(B980=B979,"",B980)</f>
        <v/>
      </c>
    </row>
    <row r="981" spans="1:6" ht="15.75" customHeight="1">
      <c r="A981" s="6" t="s">
        <v>23328</v>
      </c>
      <c r="B981" s="6" t="s">
        <v>23328</v>
      </c>
      <c r="C981" s="6" t="s">
        <v>22070</v>
      </c>
      <c r="D981" s="6" t="s">
        <v>22524</v>
      </c>
      <c r="E981" s="2">
        <v>469005</v>
      </c>
      <c r="F981" s="4" t="str">
        <f>IF(B981=B980,"",B981)</f>
        <v>Yaransk</v>
      </c>
    </row>
    <row r="982" spans="1:6" ht="15.75" customHeight="1">
      <c r="A982" s="5" t="str">
        <f ca="1">IFERROR(__xludf.DUMMYFUNCTION("GOOGLETRANSLATE(B39953,""en"",""pt"")"),"Yaransk")</f>
        <v>Yaransk</v>
      </c>
      <c r="B982" s="17" t="s">
        <v>23328</v>
      </c>
      <c r="C982" s="17" t="s">
        <v>22070</v>
      </c>
      <c r="D982" s="17" t="s">
        <v>22524</v>
      </c>
      <c r="E982" s="10">
        <v>469005</v>
      </c>
      <c r="F982" s="4" t="str">
        <f>IF(B982=B981,"",B982)</f>
        <v/>
      </c>
    </row>
    <row r="983" spans="1:6" ht="15.75" customHeight="1">
      <c r="A983" s="6" t="s">
        <v>31030</v>
      </c>
      <c r="B983" s="6" t="s">
        <v>31031</v>
      </c>
      <c r="C983" s="6" t="s">
        <v>30993</v>
      </c>
      <c r="D983" s="6" t="s">
        <v>31014</v>
      </c>
      <c r="E983" s="2">
        <v>69559</v>
      </c>
      <c r="F983" s="4" t="str">
        <f>IF(B983=B982,"",B983)</f>
        <v>YarÄ«m</v>
      </c>
    </row>
    <row r="984" spans="1:6" ht="15.75" customHeight="1">
      <c r="A984" s="6" t="s">
        <v>5928</v>
      </c>
      <c r="B984" s="6" t="s">
        <v>5928</v>
      </c>
      <c r="C984" s="6" t="s">
        <v>5764</v>
      </c>
      <c r="D984" s="6" t="s">
        <v>5788</v>
      </c>
      <c r="E984" s="2">
        <v>3533753</v>
      </c>
      <c r="F984" s="4" t="str">
        <f>IF(B984=B983,"",B984)</f>
        <v>Yara</v>
      </c>
    </row>
    <row r="985" spans="1:6" ht="15.75" customHeight="1">
      <c r="A985" s="5" t="str">
        <f ca="1">IFERROR(__xludf.DUMMYFUNCTION("GOOGLETRANSLATE(B27102,""en"",""pt"")"),"Yara")</f>
        <v>Yara</v>
      </c>
      <c r="B985" s="17" t="s">
        <v>5928</v>
      </c>
      <c r="C985" s="17" t="s">
        <v>5764</v>
      </c>
      <c r="D985" s="17" t="s">
        <v>5788</v>
      </c>
      <c r="E985" s="10">
        <v>3533753</v>
      </c>
      <c r="F985" s="4" t="str">
        <f>IF(B985=B984,"",B985)</f>
        <v/>
      </c>
    </row>
    <row r="986" spans="1:6" ht="15.75" customHeight="1">
      <c r="A986" s="5" t="str">
        <f ca="1">IFERROR(__xludf.DUMMYFUNCTION("GOOGLETRANSLATE(B25980,""en"",""pt"")"),"Yaoundé")</f>
        <v>Yaoundé</v>
      </c>
      <c r="B986" s="17" t="s">
        <v>31813</v>
      </c>
      <c r="C986" s="17" t="s">
        <v>3884</v>
      </c>
      <c r="D986" s="17" t="s">
        <v>3813</v>
      </c>
      <c r="E986" s="10">
        <v>2220957</v>
      </c>
      <c r="F986" s="4" t="str">
        <f>IF(B986=B985,"",B986)</f>
        <v>Yaoundé</v>
      </c>
    </row>
    <row r="987" spans="1:6" ht="15.75" customHeight="1">
      <c r="A987" s="5" t="s">
        <v>3972</v>
      </c>
      <c r="B987" s="6" t="s">
        <v>3973</v>
      </c>
      <c r="C987" s="5" t="s">
        <v>3884</v>
      </c>
      <c r="D987" s="5" t="s">
        <v>3813</v>
      </c>
      <c r="E987" s="2">
        <v>2220957</v>
      </c>
      <c r="F987" s="4" t="str">
        <f>IF(B987=B986,"",B987)</f>
        <v>YaoundÃ©</v>
      </c>
    </row>
    <row r="988" spans="1:6" ht="15.75" customHeight="1">
      <c r="A988" s="6" t="s">
        <v>16589</v>
      </c>
      <c r="B988" s="6" t="s">
        <v>16589</v>
      </c>
      <c r="C988" s="6" t="s">
        <v>15704</v>
      </c>
      <c r="D988" s="6" t="s">
        <v>15853</v>
      </c>
      <c r="E988" s="2">
        <v>1848522</v>
      </c>
      <c r="F988" s="4" t="str">
        <f>IF(B988=B987,"",B988)</f>
        <v>Yao</v>
      </c>
    </row>
    <row r="989" spans="1:6" ht="15.75" customHeight="1">
      <c r="A989" s="5" t="str">
        <f ca="1">IFERROR(__xludf.DUMMYFUNCTION("GOOGLETRANSLATE(B35174,""en"",""pt"")"),"Yao")</f>
        <v>Yao</v>
      </c>
      <c r="B989" s="17" t="s">
        <v>16589</v>
      </c>
      <c r="C989" s="17" t="s">
        <v>15704</v>
      </c>
      <c r="D989" s="17" t="s">
        <v>34295</v>
      </c>
      <c r="E989" s="10">
        <v>1848522</v>
      </c>
      <c r="F989" s="4" t="str">
        <f>IF(B989=B988,"",B989)</f>
        <v/>
      </c>
    </row>
    <row r="990" spans="1:6" ht="15.75" customHeight="1">
      <c r="A990" s="6" t="s">
        <v>5255</v>
      </c>
      <c r="B990" s="6" t="s">
        <v>5255</v>
      </c>
      <c r="C990" s="6" t="s">
        <v>4487</v>
      </c>
      <c r="D990" s="6" t="s">
        <v>4503</v>
      </c>
      <c r="E990" s="2">
        <v>1787031</v>
      </c>
      <c r="F990" s="4" t="str">
        <f>IF(B990=B989,"",B990)</f>
        <v>Yanzhou</v>
      </c>
    </row>
    <row r="991" spans="1:6" ht="15.75" customHeight="1">
      <c r="A991" s="5" t="str">
        <f ca="1">IFERROR(__xludf.DUMMYFUNCTION("GOOGLETRANSLATE(B26137,""en"",""pt"")"),"Yanzhou")</f>
        <v>Yanzhou</v>
      </c>
      <c r="B991" s="17" t="s">
        <v>5255</v>
      </c>
      <c r="C991" s="17" t="s">
        <v>4487</v>
      </c>
      <c r="D991" s="17" t="s">
        <v>4503</v>
      </c>
      <c r="E991" s="10">
        <v>1787031</v>
      </c>
      <c r="F991" s="4" t="str">
        <f>IF(B991=B990,"",B991)</f>
        <v/>
      </c>
    </row>
    <row r="992" spans="1:6" ht="15.75" customHeight="1">
      <c r="A992" s="5" t="s">
        <v>16771</v>
      </c>
      <c r="B992" s="6" t="s">
        <v>16771</v>
      </c>
      <c r="C992" s="5" t="s">
        <v>16671</v>
      </c>
      <c r="D992" s="5" t="s">
        <v>16687</v>
      </c>
      <c r="E992" s="2">
        <v>1517323</v>
      </c>
      <c r="F992" s="4" t="str">
        <f>IF(B992=B991,"",B992)</f>
        <v>Yanykurgan</v>
      </c>
    </row>
    <row r="993" spans="1:6" ht="15.75" customHeight="1">
      <c r="A993" s="5" t="str">
        <f ca="1">IFERROR(__xludf.DUMMYFUNCTION("GOOGLETRANSLATE(B36206,""en"",""pt"")"),"Yanykurgan")</f>
        <v>Yanykurgan</v>
      </c>
      <c r="B993" s="17" t="s">
        <v>16771</v>
      </c>
      <c r="C993" s="17" t="s">
        <v>16671</v>
      </c>
      <c r="D993" s="17" t="s">
        <v>16687</v>
      </c>
      <c r="E993" s="10">
        <v>1517323</v>
      </c>
      <c r="F993" s="4" t="str">
        <f>IF(B993=B992,"",B993)</f>
        <v/>
      </c>
    </row>
    <row r="994" spans="1:6" ht="15.75" customHeight="1">
      <c r="A994" s="5" t="s">
        <v>5254</v>
      </c>
      <c r="B994" s="6" t="s">
        <v>5254</v>
      </c>
      <c r="C994" s="5" t="s">
        <v>4487</v>
      </c>
      <c r="D994" s="5" t="s">
        <v>4518</v>
      </c>
      <c r="E994" s="2">
        <v>2033449</v>
      </c>
      <c r="F994" s="4" t="str">
        <f>IF(B994=B993,"",B994)</f>
        <v>Yantongshan</v>
      </c>
    </row>
    <row r="995" spans="1:6" ht="15.75" customHeight="1">
      <c r="A995" s="5" t="str">
        <f ca="1">IFERROR(__xludf.DUMMYFUNCTION("GOOGLETRANSLATE(B26658,""en"",""pt"")"),"Yantongshan")</f>
        <v>Yantongshan</v>
      </c>
      <c r="B995" s="17" t="s">
        <v>5254</v>
      </c>
      <c r="C995" s="17" t="s">
        <v>4487</v>
      </c>
      <c r="D995" s="17" t="s">
        <v>4518</v>
      </c>
      <c r="E995" s="10">
        <v>2033449</v>
      </c>
      <c r="F995" s="4" t="str">
        <f>IF(B995=B994,"",B995)</f>
        <v/>
      </c>
    </row>
    <row r="996" spans="1:6" ht="15.75" customHeight="1">
      <c r="A996" s="6" t="s">
        <v>5253</v>
      </c>
      <c r="B996" s="6" t="s">
        <v>5253</v>
      </c>
      <c r="C996" s="6" t="s">
        <v>4487</v>
      </c>
      <c r="D996" s="6" t="s">
        <v>4503</v>
      </c>
      <c r="E996" s="2">
        <v>1787093</v>
      </c>
      <c r="F996" s="4" t="str">
        <f>IF(B996=B995,"",B996)</f>
        <v>Yantai</v>
      </c>
    </row>
    <row r="997" spans="1:6" ht="15.75" customHeight="1">
      <c r="A997" s="5" t="str">
        <f ca="1">IFERROR(__xludf.DUMMYFUNCTION("GOOGLETRANSLATE(B26138,""en"",""pt"")"),"Yantai")</f>
        <v>Yantai</v>
      </c>
      <c r="B997" s="17" t="s">
        <v>5253</v>
      </c>
      <c r="C997" s="17" t="s">
        <v>4487</v>
      </c>
      <c r="D997" s="17" t="s">
        <v>4503</v>
      </c>
      <c r="E997" s="10">
        <v>1787093</v>
      </c>
      <c r="F997" s="4" t="str">
        <f>IF(B997=B996,"",B997)</f>
        <v/>
      </c>
    </row>
    <row r="998" spans="1:6" ht="15.75" customHeight="1">
      <c r="A998" s="6" t="s">
        <v>5252</v>
      </c>
      <c r="B998" s="6" t="s">
        <v>5252</v>
      </c>
      <c r="C998" s="6" t="s">
        <v>4487</v>
      </c>
      <c r="D998" s="6" t="s">
        <v>4503</v>
      </c>
      <c r="E998" s="2">
        <v>1795579</v>
      </c>
      <c r="F998" s="4" t="str">
        <f>IF(B998=B997,"",B998)</f>
        <v>Yanta</v>
      </c>
    </row>
    <row r="999" spans="1:6" ht="15.75" customHeight="1">
      <c r="A999" s="5" t="str">
        <f ca="1">IFERROR(__xludf.DUMMYFUNCTION("GOOGLETRANSLATE(B26273,""en"",""pt"")"),"Yanta")</f>
        <v>Yanta</v>
      </c>
      <c r="B999" s="17" t="s">
        <v>5252</v>
      </c>
      <c r="C999" s="17" t="s">
        <v>4487</v>
      </c>
      <c r="D999" s="17" t="s">
        <v>4503</v>
      </c>
      <c r="E999" s="10">
        <v>1795579</v>
      </c>
      <c r="F999" s="4" t="str">
        <f>IF(B999=B998,"",B999)</f>
        <v/>
      </c>
    </row>
    <row r="1000" spans="1:6" ht="15.75" customHeight="1">
      <c r="A1000" s="6" t="s">
        <v>19805</v>
      </c>
      <c r="B1000" s="6" t="s">
        <v>19805</v>
      </c>
      <c r="C1000" s="6" t="s">
        <v>19755</v>
      </c>
      <c r="D1000" s="6" t="s">
        <v>19756</v>
      </c>
      <c r="E1000" s="2">
        <v>411849</v>
      </c>
      <c r="F1000" s="4" t="str">
        <f>IF(B1000=B999,"",B1000)</f>
        <v>Yanqul</v>
      </c>
    </row>
    <row r="1001" spans="1:6" ht="15.75" customHeight="1">
      <c r="A1001" s="5" t="str">
        <f ca="1">IFERROR(__xludf.DUMMYFUNCTION("GOOGLETRANSLATE(B38276,""en"",""pt"")"),"Yanqul")</f>
        <v>Yanqul</v>
      </c>
      <c r="B1001" s="17" t="s">
        <v>19805</v>
      </c>
      <c r="C1001" s="17" t="s">
        <v>19755</v>
      </c>
      <c r="D1001" s="17" t="s">
        <v>34852</v>
      </c>
      <c r="E1001" s="10">
        <v>411849</v>
      </c>
      <c r="F1001" s="4" t="str">
        <f>IF(B1001=B1000,"",B1001)</f>
        <v/>
      </c>
    </row>
    <row r="1002" spans="1:6" ht="15.75" customHeight="1">
      <c r="A1002" s="6" t="s">
        <v>5251</v>
      </c>
      <c r="B1002" s="6" t="s">
        <v>5251</v>
      </c>
      <c r="C1002" s="6" t="s">
        <v>4487</v>
      </c>
      <c r="D1002" s="6" t="s">
        <v>4497</v>
      </c>
      <c r="E1002" s="2">
        <v>1787144</v>
      </c>
      <c r="F1002" s="4" t="str">
        <f>IF(B1002=B1001,"",B1002)</f>
        <v>Yanliang</v>
      </c>
    </row>
    <row r="1003" spans="1:6" ht="15.75" customHeight="1">
      <c r="A1003" s="5" t="str">
        <f ca="1">IFERROR(__xludf.DUMMYFUNCTION("GOOGLETRANSLATE(B26139,""en"",""pt"")"),"Yanliang")</f>
        <v>Yanliang</v>
      </c>
      <c r="B1003" s="17" t="s">
        <v>5251</v>
      </c>
      <c r="C1003" s="17" t="s">
        <v>4487</v>
      </c>
      <c r="D1003" s="17" t="s">
        <v>4497</v>
      </c>
      <c r="E1003" s="10">
        <v>1787144</v>
      </c>
      <c r="F1003" s="4" t="str">
        <f>IF(B1003=B1002,"",B1003)</f>
        <v/>
      </c>
    </row>
    <row r="1004" spans="1:6" ht="15.75" customHeight="1">
      <c r="A1004" s="6" t="s">
        <v>5250</v>
      </c>
      <c r="B1004" s="6" t="s">
        <v>5250</v>
      </c>
      <c r="C1004" s="6" t="s">
        <v>4487</v>
      </c>
      <c r="D1004" s="6" t="s">
        <v>4588</v>
      </c>
      <c r="E1004" s="2">
        <v>1783683</v>
      </c>
      <c r="F1004" s="4" t="str">
        <f>IF(B1004=B1003,"",B1004)</f>
        <v>Yanjiang</v>
      </c>
    </row>
    <row r="1005" spans="1:6" ht="15.75" customHeight="1">
      <c r="A1005" s="5" t="str">
        <f ca="1">IFERROR(__xludf.DUMMYFUNCTION("GOOGLETRANSLATE(B26069,""en"",""pt"")"),"Yanjiang")</f>
        <v>Yanjiang</v>
      </c>
      <c r="B1005" s="17" t="s">
        <v>5250</v>
      </c>
      <c r="C1005" s="17" t="s">
        <v>4487</v>
      </c>
      <c r="D1005" s="17" t="s">
        <v>4588</v>
      </c>
      <c r="E1005" s="10">
        <v>1783683</v>
      </c>
      <c r="F1005" s="4" t="str">
        <f>IF(B1005=B1004,"",B1005)</f>
        <v/>
      </c>
    </row>
    <row r="1006" spans="1:6" ht="15.75" customHeight="1">
      <c r="A1006" s="6" t="s">
        <v>5249</v>
      </c>
      <c r="B1006" s="6" t="s">
        <v>5249</v>
      </c>
      <c r="C1006" s="6" t="s">
        <v>4487</v>
      </c>
      <c r="D1006" s="6" t="s">
        <v>4518</v>
      </c>
      <c r="E1006" s="2">
        <v>2033467</v>
      </c>
      <c r="F1006" s="4" t="str">
        <f>IF(B1006=B1005,"",B1006)</f>
        <v>Yanji</v>
      </c>
    </row>
    <row r="1007" spans="1:6" ht="15.75" customHeight="1">
      <c r="A1007" s="5" t="str">
        <f ca="1">IFERROR(__xludf.DUMMYFUNCTION("GOOGLETRANSLATE(B26659,""en"",""pt"")"),"Yanji")</f>
        <v>Yanji</v>
      </c>
      <c r="B1007" s="17" t="s">
        <v>5249</v>
      </c>
      <c r="C1007" s="17" t="s">
        <v>4487</v>
      </c>
      <c r="D1007" s="17" t="s">
        <v>4518</v>
      </c>
      <c r="E1007" s="10">
        <v>2033467</v>
      </c>
      <c r="F1007" s="4" t="str">
        <f>IF(B1007=B1006,"",B1007)</f>
        <v/>
      </c>
    </row>
    <row r="1008" spans="1:6" ht="15.75" customHeight="1">
      <c r="A1008" s="6" t="s">
        <v>5248</v>
      </c>
      <c r="B1008" s="6" t="s">
        <v>5248</v>
      </c>
      <c r="C1008" s="6" t="s">
        <v>4487</v>
      </c>
      <c r="D1008" s="6" t="s">
        <v>4535</v>
      </c>
      <c r="E1008" s="2">
        <v>1787227</v>
      </c>
      <c r="F1008" s="4" t="str">
        <f>IF(B1008=B1007,"",B1008)</f>
        <v>Yangzhou</v>
      </c>
    </row>
    <row r="1009" spans="1:6" ht="15.75" customHeight="1">
      <c r="A1009" s="5" t="str">
        <f ca="1">IFERROR(__xludf.DUMMYFUNCTION("GOOGLETRANSLATE(B26140,""en"",""pt"")"),"Yangzhou")</f>
        <v>Yangzhou</v>
      </c>
      <c r="B1009" s="17" t="s">
        <v>5248</v>
      </c>
      <c r="C1009" s="17" t="s">
        <v>4487</v>
      </c>
      <c r="D1009" s="17" t="s">
        <v>4535</v>
      </c>
      <c r="E1009" s="10">
        <v>1787227</v>
      </c>
      <c r="F1009" s="4" t="str">
        <f>IF(B1009=B1008,"",B1009)</f>
        <v/>
      </c>
    </row>
    <row r="1010" spans="1:6" ht="15.75" customHeight="1">
      <c r="A1010" s="6" t="s">
        <v>5247</v>
      </c>
      <c r="B1010" s="6" t="s">
        <v>5247</v>
      </c>
      <c r="C1010" s="6" t="s">
        <v>4487</v>
      </c>
      <c r="D1010" s="6" t="s">
        <v>4516</v>
      </c>
      <c r="E1010" s="2">
        <v>1787323</v>
      </c>
      <c r="F1010" s="4" t="str">
        <f>IF(B1010=B1009,"",B1010)</f>
        <v>Yangshuo</v>
      </c>
    </row>
    <row r="1011" spans="1:6" ht="15.75" customHeight="1">
      <c r="A1011" s="5" t="str">
        <f ca="1">IFERROR(__xludf.DUMMYFUNCTION("GOOGLETRANSLATE(B26141,""en"",""pt"")"),"Yangshuo")</f>
        <v>Yangshuo</v>
      </c>
      <c r="B1011" s="17" t="s">
        <v>5247</v>
      </c>
      <c r="C1011" s="17" t="s">
        <v>4487</v>
      </c>
      <c r="D1011" s="17" t="s">
        <v>4516</v>
      </c>
      <c r="E1011" s="10">
        <v>1787323</v>
      </c>
      <c r="F1011" s="4" t="str">
        <f>IF(B1011=B1010,"",B1011)</f>
        <v/>
      </c>
    </row>
    <row r="1012" spans="1:6" ht="15.75" customHeight="1">
      <c r="A1012" s="6" t="s">
        <v>24171</v>
      </c>
      <c r="B1012" s="6" t="s">
        <v>24171</v>
      </c>
      <c r="C1012" s="6" t="s">
        <v>24024</v>
      </c>
      <c r="D1012" s="6" t="s">
        <v>24040</v>
      </c>
      <c r="E1012" s="2">
        <v>1832828</v>
      </c>
      <c r="F1012" s="4" t="str">
        <f>IF(B1012=B1011,"",B1012)</f>
        <v>Yangsan</v>
      </c>
    </row>
    <row r="1013" spans="1:6" ht="15.75" customHeight="1">
      <c r="A1013" s="5" t="str">
        <f ca="1">IFERROR(__xludf.DUMMYFUNCTION("GOOGLETRANSLATE(B36055,""en"",""pt"")"),"Yangsan")</f>
        <v>Yangsan</v>
      </c>
      <c r="B1013" s="17" t="s">
        <v>24171</v>
      </c>
      <c r="C1013" s="17" t="s">
        <v>24024</v>
      </c>
      <c r="D1013" s="17" t="s">
        <v>24040</v>
      </c>
      <c r="E1013" s="10">
        <v>1832828</v>
      </c>
      <c r="F1013" s="4" t="str">
        <f>IF(B1013=B1012,"",B1013)</f>
        <v/>
      </c>
    </row>
    <row r="1014" spans="1:6" ht="15.75" customHeight="1">
      <c r="A1014" s="6" t="s">
        <v>5246</v>
      </c>
      <c r="B1014" s="6" t="s">
        <v>5246</v>
      </c>
      <c r="C1014" s="6" t="s">
        <v>4487</v>
      </c>
      <c r="D1014" s="6" t="s">
        <v>4581</v>
      </c>
      <c r="E1014" s="2">
        <v>1787351</v>
      </c>
      <c r="F1014" s="4" t="str">
        <f>IF(B1014=B1013,"",B1014)</f>
        <v>Yangquan</v>
      </c>
    </row>
    <row r="1015" spans="1:6" ht="15.75" customHeight="1">
      <c r="A1015" s="5" t="str">
        <f ca="1">IFERROR(__xludf.DUMMYFUNCTION("GOOGLETRANSLATE(B26143,""en"",""pt"")"),"Yangquan")</f>
        <v>Yangquan</v>
      </c>
      <c r="B1015" s="17" t="s">
        <v>5246</v>
      </c>
      <c r="C1015" s="17" t="s">
        <v>4487</v>
      </c>
      <c r="D1015" s="17" t="s">
        <v>4581</v>
      </c>
      <c r="E1015" s="10">
        <v>1787351</v>
      </c>
      <c r="F1015" s="4" t="str">
        <f>IF(B1015=B1014,"",B1015)</f>
        <v/>
      </c>
    </row>
    <row r="1016" spans="1:6" ht="15.75" customHeight="1">
      <c r="A1016" s="5" t="str">
        <f ca="1">IFERROR(__xludf.DUMMYFUNCTION("GOOGLETRANSLATE(B36056,""en"",""pt"")"),"Yangp'yŏng")</f>
        <v>Yangp'yŏng</v>
      </c>
      <c r="B1016" s="17" t="s">
        <v>34470</v>
      </c>
      <c r="C1016" s="17" t="s">
        <v>24024</v>
      </c>
      <c r="D1016" s="17" t="s">
        <v>24028</v>
      </c>
      <c r="E1016" s="10">
        <v>1832830</v>
      </c>
      <c r="F1016" s="4" t="str">
        <f>IF(B1016=B1015,"",B1016)</f>
        <v>Yangp'yŏng</v>
      </c>
    </row>
    <row r="1017" spans="1:6" ht="15.75" customHeight="1">
      <c r="A1017" s="5" t="s">
        <v>24169</v>
      </c>
      <c r="B1017" s="6" t="s">
        <v>24170</v>
      </c>
      <c r="C1017" s="5" t="s">
        <v>24024</v>
      </c>
      <c r="D1017" s="5" t="s">
        <v>24028</v>
      </c>
      <c r="E1017" s="2">
        <v>1832830</v>
      </c>
      <c r="F1017" s="4" t="str">
        <f>IF(B1017=B1016,"",B1017)</f>
        <v>Yangp'yÅng</v>
      </c>
    </row>
    <row r="1018" spans="1:6" ht="15.75" customHeight="1">
      <c r="A1018" s="6" t="s">
        <v>18712</v>
      </c>
      <c r="B1018" s="6" t="s">
        <v>18712</v>
      </c>
      <c r="C1018" s="6" t="s">
        <v>18696</v>
      </c>
      <c r="D1018" s="6" t="s">
        <v>18712</v>
      </c>
      <c r="E1018" s="2">
        <v>1298824</v>
      </c>
      <c r="F1018" s="4" t="str">
        <f>IF(B1018=B1017,"",B1018)</f>
        <v>Yangon</v>
      </c>
    </row>
    <row r="1019" spans="1:6" ht="15.75" customHeight="1">
      <c r="A1019" s="5" t="str">
        <f ca="1">IFERROR(__xludf.DUMMYFUNCTION("GOOGLETRANSLATE(B36717,""en"",""pt"")"),"Yangon")</f>
        <v>Yangon</v>
      </c>
      <c r="B1019" s="17" t="s">
        <v>18712</v>
      </c>
      <c r="C1019" s="17" t="s">
        <v>18696</v>
      </c>
      <c r="D1019" s="17" t="s">
        <v>18712</v>
      </c>
      <c r="E1019" s="10">
        <v>1298824</v>
      </c>
      <c r="F1019" s="4" t="str">
        <f>IF(B1019=B1018,"",B1019)</f>
        <v/>
      </c>
    </row>
    <row r="1020" spans="1:6" ht="15.75" customHeight="1">
      <c r="A1020" s="5" t="s">
        <v>5245</v>
      </c>
      <c r="B1020" s="6" t="s">
        <v>5245</v>
      </c>
      <c r="C1020" s="5" t="s">
        <v>4487</v>
      </c>
      <c r="D1020" s="5" t="s">
        <v>4726</v>
      </c>
      <c r="E1020" s="2">
        <v>1787437</v>
      </c>
      <c r="F1020" s="4" t="str">
        <f>IF(B1020=B1019,"",B1020)</f>
        <v>Yangliuqing</v>
      </c>
    </row>
    <row r="1021" spans="1:6" ht="15.75" customHeight="1">
      <c r="A1021" s="5" t="str">
        <f ca="1">IFERROR(__xludf.DUMMYFUNCTION("GOOGLETRANSLATE(B26144,""en"",""pt"")"),"Yangliuqing")</f>
        <v>Yangliuqing</v>
      </c>
      <c r="B1021" s="17" t="s">
        <v>5245</v>
      </c>
      <c r="C1021" s="17" t="s">
        <v>4487</v>
      </c>
      <c r="D1021" s="17" t="s">
        <v>4726</v>
      </c>
      <c r="E1021" s="10">
        <v>1787437</v>
      </c>
      <c r="F1021" s="4" t="str">
        <f>IF(B1021=B1020,"",B1021)</f>
        <v/>
      </c>
    </row>
    <row r="1022" spans="1:6" ht="15.75" customHeight="1">
      <c r="A1022" s="6" t="s">
        <v>24168</v>
      </c>
      <c r="B1022" s="6" t="s">
        <v>24168</v>
      </c>
      <c r="C1022" s="6" t="s">
        <v>24024</v>
      </c>
      <c r="D1022" s="6" t="s">
        <v>24028</v>
      </c>
      <c r="E1022" s="2">
        <v>1832847</v>
      </c>
      <c r="F1022" s="4" t="str">
        <f>IF(B1022=B1021,"",B1022)</f>
        <v>Yangju</v>
      </c>
    </row>
    <row r="1023" spans="1:6" ht="15.75" customHeight="1">
      <c r="A1023" s="5" t="str">
        <f ca="1">IFERROR(__xludf.DUMMYFUNCTION("GOOGLETRANSLATE(B36057,""en"",""pt"")"),"Yangju")</f>
        <v>Yangju</v>
      </c>
      <c r="B1023" s="17" t="s">
        <v>24168</v>
      </c>
      <c r="C1023" s="17" t="s">
        <v>24024</v>
      </c>
      <c r="D1023" s="17" t="s">
        <v>24028</v>
      </c>
      <c r="E1023" s="10">
        <v>1832847</v>
      </c>
      <c r="F1023" s="4" t="str">
        <f>IF(B1023=B1022,"",B1023)</f>
        <v/>
      </c>
    </row>
    <row r="1024" spans="1:6" ht="15.75" customHeight="1">
      <c r="A1024" s="6" t="s">
        <v>5244</v>
      </c>
      <c r="B1024" s="6" t="s">
        <v>5244</v>
      </c>
      <c r="C1024" s="6" t="s">
        <v>4487</v>
      </c>
      <c r="D1024" s="6" t="s">
        <v>4492</v>
      </c>
      <c r="E1024" s="2">
        <v>1806408</v>
      </c>
      <c r="F1024" s="4" t="str">
        <f>IF(B1024=B1023,"",B1024)</f>
        <v>Yangjiang</v>
      </c>
    </row>
    <row r="1025" spans="1:6" ht="15.75" customHeight="1">
      <c r="A1025" s="5" t="str">
        <f ca="1">IFERROR(__xludf.DUMMYFUNCTION("GOOGLETRANSLATE(B26462,""en"",""pt"")"),"Yangjiang")</f>
        <v>Yangjiang</v>
      </c>
      <c r="B1025" s="17" t="s">
        <v>5244</v>
      </c>
      <c r="C1025" s="17" t="s">
        <v>4487</v>
      </c>
      <c r="D1025" s="17" t="s">
        <v>4492</v>
      </c>
      <c r="E1025" s="10">
        <v>1806408</v>
      </c>
      <c r="F1025" s="4" t="str">
        <f>IF(B1025=B1024,"",B1025)</f>
        <v/>
      </c>
    </row>
    <row r="1026" spans="1:6" ht="15.75" customHeight="1">
      <c r="A1026" s="5" t="str">
        <f ca="1">IFERROR(__xludf.DUMMYFUNCTION("GOOGLETRANSLATE(B45529,""en"",""pt"")"),"Yangiyŭl")</f>
        <v>Yangiyŭl</v>
      </c>
      <c r="B1026" s="17" t="s">
        <v>36066</v>
      </c>
      <c r="C1026" s="17" t="s">
        <v>30502</v>
      </c>
      <c r="D1026" s="17" t="s">
        <v>30504</v>
      </c>
      <c r="E1026" s="10">
        <v>1512339</v>
      </c>
      <c r="F1026" s="4" t="str">
        <f>IF(B1026=B1025,"",B1026)</f>
        <v>Yangiyŭl</v>
      </c>
    </row>
    <row r="1027" spans="1:6" ht="15.75" customHeight="1">
      <c r="A1027" s="6" t="s">
        <v>30622</v>
      </c>
      <c r="B1027" s="6" t="s">
        <v>30622</v>
      </c>
      <c r="C1027" s="6" t="s">
        <v>30502</v>
      </c>
      <c r="D1027" s="6" t="s">
        <v>30543</v>
      </c>
      <c r="E1027" s="2">
        <v>1512342</v>
      </c>
      <c r="F1027" s="4" t="str">
        <f>IF(B1027=B1026,"",B1027)</f>
        <v>Yangiyer</v>
      </c>
    </row>
    <row r="1028" spans="1:6" ht="15.75" customHeight="1">
      <c r="A1028" s="5" t="str">
        <f ca="1">IFERROR(__xludf.DUMMYFUNCTION("GOOGLETRANSLATE(B45530,""en"",""pt"")"),"Yangiyer")</f>
        <v>Yangiyer</v>
      </c>
      <c r="B1028" s="17" t="s">
        <v>30622</v>
      </c>
      <c r="C1028" s="17" t="s">
        <v>30502</v>
      </c>
      <c r="D1028" s="17" t="s">
        <v>30543</v>
      </c>
      <c r="E1028" s="10">
        <v>1512342</v>
      </c>
      <c r="F1028" s="4" t="str">
        <f>IF(B1028=B1027,"",B1028)</f>
        <v/>
      </c>
    </row>
    <row r="1029" spans="1:6" ht="15.75" customHeight="1">
      <c r="A1029" s="6" t="s">
        <v>30620</v>
      </c>
      <c r="B1029" s="6" t="s">
        <v>30621</v>
      </c>
      <c r="C1029" s="6" t="s">
        <v>30502</v>
      </c>
      <c r="D1029" s="6" t="s">
        <v>30504</v>
      </c>
      <c r="E1029" s="2">
        <v>1512339</v>
      </c>
      <c r="F1029" s="4" t="str">
        <f>IF(B1029=B1028,"",B1029)</f>
        <v>YangiyÅ­l</v>
      </c>
    </row>
    <row r="1030" spans="1:6" ht="15.75" customHeight="1">
      <c r="A1030" s="5" t="s">
        <v>30619</v>
      </c>
      <c r="B1030" s="6" t="s">
        <v>30619</v>
      </c>
      <c r="C1030" s="5" t="s">
        <v>30502</v>
      </c>
      <c r="D1030" s="5" t="s">
        <v>30568</v>
      </c>
      <c r="E1030" s="2">
        <v>1512348</v>
      </c>
      <c r="F1030" s="4" t="str">
        <f>IF(B1030=B1029,"",B1030)</f>
        <v>Yangirabot</v>
      </c>
    </row>
    <row r="1031" spans="1:6" ht="15.75" customHeight="1">
      <c r="A1031" s="5" t="str">
        <f ca="1">IFERROR(__xludf.DUMMYFUNCTION("GOOGLETRANSLATE(B45531,""en"",""pt"")"),"Yangirabot")</f>
        <v>Yangirabot</v>
      </c>
      <c r="B1031" s="17" t="s">
        <v>30619</v>
      </c>
      <c r="C1031" s="17" t="s">
        <v>30502</v>
      </c>
      <c r="D1031" s="17" t="s">
        <v>30568</v>
      </c>
      <c r="E1031" s="10">
        <v>1512348</v>
      </c>
      <c r="F1031" s="4" t="str">
        <f>IF(B1031=B1030,"",B1031)</f>
        <v/>
      </c>
    </row>
    <row r="1032" spans="1:6" ht="15.75" customHeight="1">
      <c r="A1032" s="5" t="s">
        <v>30617</v>
      </c>
      <c r="B1032" s="6" t="s">
        <v>30618</v>
      </c>
      <c r="C1032" s="5" t="s">
        <v>30502</v>
      </c>
      <c r="D1032" s="5" t="s">
        <v>30528</v>
      </c>
      <c r="E1032" s="2">
        <v>1512350</v>
      </c>
      <c r="F1032" s="4" t="str">
        <f>IF(B1032=B1031,"",B1032)</f>
        <v>Yangiqoâ€˜rgâ€˜on</v>
      </c>
    </row>
    <row r="1033" spans="1:6" ht="15.75" customHeight="1">
      <c r="A1033" s="5" t="str">
        <f ca="1">IFERROR(__xludf.DUMMYFUNCTION("GOOGLETRANSLATE(B45532,""en"",""pt"")"),"Yangiqo‘rg‘on")</f>
        <v>Yangiqo‘rg‘on</v>
      </c>
      <c r="B1033" s="17" t="s">
        <v>36067</v>
      </c>
      <c r="C1033" s="17" t="s">
        <v>30502</v>
      </c>
      <c r="D1033" s="17" t="s">
        <v>30528</v>
      </c>
      <c r="E1033" s="10">
        <v>1512350</v>
      </c>
      <c r="F1033" s="4" t="str">
        <f>IF(B1033=B1032,"",B1033)</f>
        <v>Yangiqo‘rg‘on</v>
      </c>
    </row>
    <row r="1034" spans="1:6" ht="15.75" customHeight="1">
      <c r="A1034" s="5" t="s">
        <v>30616</v>
      </c>
      <c r="B1034" s="6" t="s">
        <v>30616</v>
      </c>
      <c r="C1034" s="5" t="s">
        <v>30502</v>
      </c>
      <c r="D1034" s="5" t="s">
        <v>30504</v>
      </c>
      <c r="E1034" s="2">
        <v>1512372</v>
      </c>
      <c r="F1034" s="4" t="str">
        <f>IF(B1034=B1033,"",B1034)</f>
        <v>Yangiobod</v>
      </c>
    </row>
    <row r="1035" spans="1:6" ht="15.75" customHeight="1">
      <c r="A1035" s="5" t="str">
        <f ca="1">IFERROR(__xludf.DUMMYFUNCTION("GOOGLETRANSLATE(B45533,""en"",""pt"")"),"Yangiobod")</f>
        <v>Yangiobod</v>
      </c>
      <c r="B1035" s="17" t="s">
        <v>30616</v>
      </c>
      <c r="C1035" s="17" t="s">
        <v>30502</v>
      </c>
      <c r="D1035" s="17" t="s">
        <v>30504</v>
      </c>
      <c r="E1035" s="10">
        <v>1512372</v>
      </c>
      <c r="F1035" s="4" t="str">
        <f>IF(B1035=B1034,"",B1035)</f>
        <v/>
      </c>
    </row>
    <row r="1036" spans="1:6" ht="15.75" customHeight="1">
      <c r="A1036" s="6" t="s">
        <v>5243</v>
      </c>
      <c r="B1036" s="6" t="s">
        <v>5243</v>
      </c>
      <c r="C1036" s="6" t="s">
        <v>4487</v>
      </c>
      <c r="D1036" s="6" t="s">
        <v>4503</v>
      </c>
      <c r="E1036" s="2">
        <v>1787601</v>
      </c>
      <c r="F1036" s="4" t="str">
        <f>IF(B1036=B1035,"",B1036)</f>
        <v>Yanggu</v>
      </c>
    </row>
    <row r="1037" spans="1:6" ht="15.75" customHeight="1">
      <c r="A1037" s="6" t="s">
        <v>5243</v>
      </c>
      <c r="B1037" s="6" t="s">
        <v>5243</v>
      </c>
      <c r="C1037" s="6" t="s">
        <v>24024</v>
      </c>
      <c r="D1037" s="6" t="s">
        <v>24054</v>
      </c>
      <c r="E1037" s="2">
        <v>1832909</v>
      </c>
      <c r="F1037" s="4" t="str">
        <f>IF(B1037=B1036,"",B1037)</f>
        <v/>
      </c>
    </row>
    <row r="1038" spans="1:6" ht="15.75" customHeight="1">
      <c r="A1038" s="5" t="str">
        <f ca="1">IFERROR(__xludf.DUMMYFUNCTION("GOOGLETRANSLATE(B26145,""en"",""pt"")"),"Yanggu")</f>
        <v>Yanggu</v>
      </c>
      <c r="B1038" s="17" t="s">
        <v>5243</v>
      </c>
      <c r="C1038" s="17" t="s">
        <v>4487</v>
      </c>
      <c r="D1038" s="17" t="s">
        <v>4503</v>
      </c>
      <c r="E1038" s="10">
        <v>1787601</v>
      </c>
      <c r="F1038" s="4" t="str">
        <f>IF(B1038=B1037,"",B1038)</f>
        <v/>
      </c>
    </row>
    <row r="1039" spans="1:6" ht="15.75" customHeight="1">
      <c r="A1039" s="5" t="str">
        <f ca="1">IFERROR(__xludf.DUMMYFUNCTION("GOOGLETRANSLATE(B36058,""en"",""pt"")"),"Yanggu")</f>
        <v>Yanggu</v>
      </c>
      <c r="B1039" s="17" t="s">
        <v>5243</v>
      </c>
      <c r="C1039" s="17" t="s">
        <v>24024</v>
      </c>
      <c r="D1039" s="17" t="s">
        <v>24054</v>
      </c>
      <c r="E1039" s="10">
        <v>1832909</v>
      </c>
      <c r="F1039" s="4" t="str">
        <f>IF(B1039=B1038,"",B1039)</f>
        <v/>
      </c>
    </row>
    <row r="1040" spans="1:6" ht="15.75" customHeight="1">
      <c r="A1040" s="6" t="s">
        <v>5242</v>
      </c>
      <c r="B1040" s="6" t="s">
        <v>5242</v>
      </c>
      <c r="C1040" s="6" t="s">
        <v>4487</v>
      </c>
      <c r="D1040" s="6" t="s">
        <v>4726</v>
      </c>
      <c r="E1040" s="2">
        <v>1787646</v>
      </c>
      <c r="F1040" s="4" t="str">
        <f>IF(B1040=B1039,"",B1040)</f>
        <v>Yangcun</v>
      </c>
    </row>
    <row r="1041" spans="1:6" ht="15.75" customHeight="1">
      <c r="A1041" s="5" t="str">
        <f ca="1">IFERROR(__xludf.DUMMYFUNCTION("GOOGLETRANSLATE(B26146,""en"",""pt"")"),"Yangcun")</f>
        <v>Yangcun</v>
      </c>
      <c r="B1041" s="17" t="s">
        <v>5242</v>
      </c>
      <c r="C1041" s="17" t="s">
        <v>4487</v>
      </c>
      <c r="D1041" s="17" t="s">
        <v>4726</v>
      </c>
      <c r="E1041" s="10">
        <v>1787646</v>
      </c>
      <c r="F1041" s="4" t="str">
        <f>IF(B1041=B1040,"",B1041)</f>
        <v/>
      </c>
    </row>
    <row r="1042" spans="1:6" ht="15.75" customHeight="1">
      <c r="A1042" s="6" t="s">
        <v>5241</v>
      </c>
      <c r="B1042" s="6" t="s">
        <v>5241</v>
      </c>
      <c r="C1042" s="6" t="s">
        <v>4487</v>
      </c>
      <c r="D1042" s="6" t="s">
        <v>4492</v>
      </c>
      <c r="E1042" s="2">
        <v>1814786</v>
      </c>
      <c r="F1042" s="4" t="str">
        <f>IF(B1042=B1041,"",B1042)</f>
        <v>Yangchun</v>
      </c>
    </row>
    <row r="1043" spans="1:6" ht="15.75" customHeight="1">
      <c r="A1043" s="5" t="str">
        <f ca="1">IFERROR(__xludf.DUMMYFUNCTION("GOOGLETRANSLATE(B26582,""en"",""pt"")"),"Yangchun")</f>
        <v>Yangchun</v>
      </c>
      <c r="B1043" s="17" t="s">
        <v>5241</v>
      </c>
      <c r="C1043" s="17" t="s">
        <v>4487</v>
      </c>
      <c r="D1043" s="17" t="s">
        <v>4492</v>
      </c>
      <c r="E1043" s="10">
        <v>1814786</v>
      </c>
      <c r="F1043" s="4" t="str">
        <f>IF(B1043=B1042,"",B1043)</f>
        <v/>
      </c>
    </row>
    <row r="1044" spans="1:6" ht="15.75" customHeight="1">
      <c r="A1044" s="6" t="s">
        <v>6206</v>
      </c>
      <c r="B1044" s="6" t="s">
        <v>6206</v>
      </c>
      <c r="C1044" s="6" t="s">
        <v>6127</v>
      </c>
      <c r="D1044" s="6" t="s">
        <v>6128</v>
      </c>
      <c r="E1044" s="2">
        <v>203717</v>
      </c>
      <c r="F1044" s="4" t="str">
        <f>IF(B1044=B1043,"",B1044)</f>
        <v>Yangambi</v>
      </c>
    </row>
    <row r="1045" spans="1:6" ht="15.75" customHeight="1">
      <c r="A1045" s="5" t="str">
        <f ca="1">IFERROR(__xludf.DUMMYFUNCTION("GOOGLETRANSLATE(B25644,""en"",""pt"")"),"Yangambi")</f>
        <v>Yangambi</v>
      </c>
      <c r="B1045" s="17" t="s">
        <v>6206</v>
      </c>
      <c r="C1045" s="17" t="s">
        <v>6127</v>
      </c>
      <c r="D1045" s="17" t="s">
        <v>6128</v>
      </c>
      <c r="E1045" s="10">
        <v>203717</v>
      </c>
      <c r="F1045" s="4" t="str">
        <f>IF(B1045=B1044,"",B1045)</f>
        <v/>
      </c>
    </row>
    <row r="1046" spans="1:6" ht="15.75" customHeight="1">
      <c r="A1046" s="6" t="s">
        <v>5240</v>
      </c>
      <c r="B1046" s="6" t="s">
        <v>5240</v>
      </c>
      <c r="C1046" s="6" t="s">
        <v>4487</v>
      </c>
      <c r="D1046" s="6" t="s">
        <v>4535</v>
      </c>
      <c r="E1046" s="2">
        <v>1787746</v>
      </c>
      <c r="F1046" s="4" t="str">
        <f>IF(B1046=B1045,"",B1046)</f>
        <v>Yancheng</v>
      </c>
    </row>
    <row r="1047" spans="1:6" ht="15.75" customHeight="1">
      <c r="A1047" s="5" t="str">
        <f ca="1">IFERROR(__xludf.DUMMYFUNCTION("GOOGLETRANSLATE(B26147,""en"",""pt"")"),"Yancheng")</f>
        <v>Yancheng</v>
      </c>
      <c r="B1047" s="17" t="s">
        <v>5240</v>
      </c>
      <c r="C1047" s="17" t="s">
        <v>4487</v>
      </c>
      <c r="D1047" s="17" t="s">
        <v>4535</v>
      </c>
      <c r="E1047" s="10">
        <v>1787746</v>
      </c>
      <c r="F1047" s="4" t="str">
        <f>IF(B1047=B1046,"",B1047)</f>
        <v/>
      </c>
    </row>
    <row r="1048" spans="1:6" ht="15.75" customHeight="1">
      <c r="A1048" s="6" t="s">
        <v>23557</v>
      </c>
      <c r="B1048" s="6" t="s">
        <v>23557</v>
      </c>
      <c r="C1048" s="6" t="s">
        <v>23454</v>
      </c>
      <c r="D1048" s="6" t="s">
        <v>23477</v>
      </c>
      <c r="E1048" s="2">
        <v>100425</v>
      </c>
      <c r="F1048" s="4" t="str">
        <f>IF(B1048=B1047,"",B1048)</f>
        <v>Yanbu</v>
      </c>
    </row>
    <row r="1049" spans="1:6" ht="15.75" customHeight="1">
      <c r="A1049" s="5" t="str">
        <f ca="1">IFERROR(__xludf.DUMMYFUNCTION("GOOGLETRANSLATE(B41009,""en"",""pt"")"),"Yanbu")</f>
        <v>Yanbu</v>
      </c>
      <c r="B1049" s="17" t="s">
        <v>23557</v>
      </c>
      <c r="C1049" s="17" t="s">
        <v>23454</v>
      </c>
      <c r="D1049" s="17" t="s">
        <v>35568</v>
      </c>
      <c r="E1049" s="10">
        <v>100425</v>
      </c>
      <c r="F1049" s="4" t="str">
        <f>IF(B1049=B1048,"",B1049)</f>
        <v/>
      </c>
    </row>
    <row r="1050" spans="1:6" ht="15.75" customHeight="1">
      <c r="A1050" s="6" t="s">
        <v>23327</v>
      </c>
      <c r="B1050" s="6" t="s">
        <v>23327</v>
      </c>
      <c r="C1050" s="6" t="s">
        <v>22070</v>
      </c>
      <c r="D1050" s="6" t="s">
        <v>22088</v>
      </c>
      <c r="E1050" s="2">
        <v>469178</v>
      </c>
      <c r="F1050" s="4" t="str">
        <f>IF(B1050=B1049,"",B1050)</f>
        <v>Yanaul</v>
      </c>
    </row>
    <row r="1051" spans="1:6" ht="15.75" customHeight="1">
      <c r="A1051" s="5" t="str">
        <f ca="1">IFERROR(__xludf.DUMMYFUNCTION("GOOGLETRANSLATE(B39954,""en"",""pt"")"),"Yanaul")</f>
        <v>Yanaul</v>
      </c>
      <c r="B1051" s="17" t="s">
        <v>23327</v>
      </c>
      <c r="C1051" s="17" t="s">
        <v>22070</v>
      </c>
      <c r="D1051" s="17" t="s">
        <v>22088</v>
      </c>
      <c r="E1051" s="10">
        <v>469178</v>
      </c>
      <c r="F1051" s="4" t="str">
        <f>IF(B1051=B1050,"",B1051)</f>
        <v/>
      </c>
    </row>
    <row r="1052" spans="1:6" ht="15.75" customHeight="1">
      <c r="A1052" s="5" t="s">
        <v>13784</v>
      </c>
      <c r="B1052" s="6" t="s">
        <v>13784</v>
      </c>
      <c r="C1052" s="5" t="s">
        <v>10178</v>
      </c>
      <c r="D1052" s="5" t="s">
        <v>10190</v>
      </c>
      <c r="E1052" s="2">
        <v>7302853</v>
      </c>
      <c r="F1052" s="4" t="str">
        <f>IF(B1052=B1051,"",B1052)</f>
        <v>Yanamalakuduru</v>
      </c>
    </row>
    <row r="1053" spans="1:6" ht="15.75" customHeight="1">
      <c r="A1053" s="5" t="str">
        <f ca="1">IFERROR(__xludf.DUMMYFUNCTION("GOOGLETRANSLATE(B34246,""en"",""pt"")"),"Yanamalakuduru")</f>
        <v>Yanamalakuduru</v>
      </c>
      <c r="B1053" s="17" t="s">
        <v>13784</v>
      </c>
      <c r="C1053" s="17" t="s">
        <v>10178</v>
      </c>
      <c r="D1053" s="17" t="s">
        <v>10190</v>
      </c>
      <c r="E1053" s="10">
        <v>7302853</v>
      </c>
      <c r="F1053" s="4" t="str">
        <f>IF(B1053=B1052,"",B1053)</f>
        <v/>
      </c>
    </row>
    <row r="1054" spans="1:6" ht="15.75" customHeight="1">
      <c r="A1054" s="6" t="s">
        <v>13783</v>
      </c>
      <c r="B1054" s="6" t="s">
        <v>13783</v>
      </c>
      <c r="C1054" s="6" t="s">
        <v>10178</v>
      </c>
      <c r="D1054" s="6" t="s">
        <v>10190</v>
      </c>
      <c r="E1054" s="2">
        <v>1252795</v>
      </c>
      <c r="F1054" s="4" t="str">
        <f>IF(B1054=B1053,"",B1054)</f>
        <v>Yanam</v>
      </c>
    </row>
    <row r="1055" spans="1:6" ht="15.75" customHeight="1">
      <c r="A1055" s="5" t="str">
        <f ca="1">IFERROR(__xludf.DUMMYFUNCTION("GOOGLETRANSLATE(B31841,""en"",""pt"")"),"Yanam")</f>
        <v>Yanam</v>
      </c>
      <c r="B1055" s="17" t="s">
        <v>13783</v>
      </c>
      <c r="C1055" s="17" t="s">
        <v>10178</v>
      </c>
      <c r="D1055" s="17" t="s">
        <v>10190</v>
      </c>
      <c r="E1055" s="10">
        <v>1252795</v>
      </c>
      <c r="F1055" s="4" t="str">
        <f>IF(B1055=B1054,"",B1055)</f>
        <v/>
      </c>
    </row>
    <row r="1056" spans="1:6" ht="15.75" customHeight="1">
      <c r="A1056" s="6" t="s">
        <v>16588</v>
      </c>
      <c r="B1056" s="6" t="s">
        <v>16588</v>
      </c>
      <c r="C1056" s="6" t="s">
        <v>15704</v>
      </c>
      <c r="D1056" s="6" t="s">
        <v>15796</v>
      </c>
      <c r="E1056" s="2">
        <v>1848550</v>
      </c>
      <c r="F1056" s="4" t="str">
        <f>IF(B1056=B1055,"",B1056)</f>
        <v>Yanai</v>
      </c>
    </row>
    <row r="1057" spans="1:6" ht="15.75" customHeight="1">
      <c r="A1057" s="5" t="str">
        <f ca="1">IFERROR(__xludf.DUMMYFUNCTION("GOOGLETRANSLATE(B35175,""en"",""pt"")"),"Yanai")</f>
        <v>Yanai</v>
      </c>
      <c r="B1057" s="17" t="s">
        <v>16588</v>
      </c>
      <c r="C1057" s="17" t="s">
        <v>15704</v>
      </c>
      <c r="D1057" s="17" t="s">
        <v>15796</v>
      </c>
      <c r="E1057" s="10">
        <v>1848550</v>
      </c>
      <c r="F1057" s="4" t="str">
        <f>IF(B1057=B1056,"",B1057)</f>
        <v/>
      </c>
    </row>
    <row r="1058" spans="1:6" ht="15.75" customHeight="1">
      <c r="A1058" s="5" t="str">
        <f ca="1">IFERROR(__xludf.DUMMYFUNCTION("GOOGLETRANSLATE(B35711,""en"",""pt"")"),"Yanagawamachi-Saiwaichō")</f>
        <v>Yanagawamachi-Saiwaichō</v>
      </c>
      <c r="B1058" s="17" t="s">
        <v>34399</v>
      </c>
      <c r="C1058" s="17" t="s">
        <v>15704</v>
      </c>
      <c r="D1058" s="17" t="s">
        <v>15884</v>
      </c>
      <c r="E1058" s="10">
        <v>2110538</v>
      </c>
      <c r="F1058" s="4" t="str">
        <f>IF(B1058=B1057,"",B1058)</f>
        <v>Yanagawamachi-saiwaichō</v>
      </c>
    </row>
    <row r="1059" spans="1:6" ht="15.75" customHeight="1">
      <c r="A1059" s="5" t="s">
        <v>16586</v>
      </c>
      <c r="B1059" s="6" t="s">
        <v>16587</v>
      </c>
      <c r="C1059" s="5" t="s">
        <v>15704</v>
      </c>
      <c r="D1059" s="5" t="s">
        <v>15884</v>
      </c>
      <c r="E1059" s="2">
        <v>2110538</v>
      </c>
      <c r="F1059" s="4" t="str">
        <f>IF(B1059=B1058,"",B1059)</f>
        <v>Yanagawamachi-saiwaichÅ</v>
      </c>
    </row>
    <row r="1060" spans="1:6" ht="15.75" customHeight="1">
      <c r="A1060" s="5" t="s">
        <v>16585</v>
      </c>
      <c r="B1060" s="6" t="s">
        <v>16585</v>
      </c>
      <c r="C1060" s="5" t="s">
        <v>15704</v>
      </c>
      <c r="D1060" s="5" t="s">
        <v>15722</v>
      </c>
      <c r="E1060" s="2">
        <v>1848573</v>
      </c>
      <c r="F1060" s="4" t="str">
        <f>IF(B1060=B1059,"",B1060)</f>
        <v>Yanagawa</v>
      </c>
    </row>
    <row r="1061" spans="1:6" ht="15.75" customHeight="1">
      <c r="A1061" s="5" t="str">
        <f ca="1">IFERROR(__xludf.DUMMYFUNCTION("GOOGLETRANSLATE(B35176,""en"",""pt"")"),"Yanagawa")</f>
        <v>Yanagawa</v>
      </c>
      <c r="B1061" s="17" t="s">
        <v>16585</v>
      </c>
      <c r="C1061" s="17" t="s">
        <v>15704</v>
      </c>
      <c r="D1061" s="17" t="s">
        <v>15722</v>
      </c>
      <c r="E1061" s="10">
        <v>1848573</v>
      </c>
      <c r="F1061" s="4" t="str">
        <f>IF(B1061=B1060,"",B1061)</f>
        <v/>
      </c>
    </row>
    <row r="1062" spans="1:6" ht="15.75" customHeight="1">
      <c r="A1062" s="5" t="s">
        <v>20593</v>
      </c>
      <c r="B1062" s="6" t="s">
        <v>20593</v>
      </c>
      <c r="C1062" s="5" t="s">
        <v>20470</v>
      </c>
      <c r="D1062" s="5" t="s">
        <v>20510</v>
      </c>
      <c r="E1062" s="2">
        <v>3925863</v>
      </c>
      <c r="F1062" s="4" t="str">
        <f>IF(B1062=B1061,"",B1062)</f>
        <v>Yanacancha</v>
      </c>
    </row>
    <row r="1063" spans="1:6" ht="15.75" customHeight="1">
      <c r="A1063" s="5" t="str">
        <f ca="1">IFERROR(__xludf.DUMMYFUNCTION("GOOGLETRANSLATE(B38355,""en"",""pt"")"),"Yanacancha")</f>
        <v>Yanacancha</v>
      </c>
      <c r="B1063" s="17" t="s">
        <v>20593</v>
      </c>
      <c r="C1063" s="17" t="s">
        <v>20470</v>
      </c>
      <c r="D1063" s="17" t="s">
        <v>20510</v>
      </c>
      <c r="E1063" s="10">
        <v>3925863</v>
      </c>
      <c r="F1063" s="4" t="str">
        <f>IF(B1063=B1062,"",B1063)</f>
        <v/>
      </c>
    </row>
    <row r="1064" spans="1:6" ht="15.75" customHeight="1">
      <c r="A1064" s="5" t="str">
        <f ca="1">IFERROR(__xludf.DUMMYFUNCTION("GOOGLETRANSLATE(B31842,""en"",""pt"")"),"Yamunānagar")</f>
        <v>Yamunānagar</v>
      </c>
      <c r="B1064" s="17" t="s">
        <v>32943</v>
      </c>
      <c r="C1064" s="17" t="s">
        <v>10178</v>
      </c>
      <c r="D1064" s="17" t="s">
        <v>10224</v>
      </c>
      <c r="E1064" s="10">
        <v>1252797</v>
      </c>
      <c r="F1064" s="4" t="str">
        <f>IF(B1064=B1063,"",B1064)</f>
        <v>Yamunānagar</v>
      </c>
    </row>
    <row r="1065" spans="1:6" ht="15.75" customHeight="1">
      <c r="A1065" s="5" t="s">
        <v>13781</v>
      </c>
      <c r="B1065" s="6" t="s">
        <v>13782</v>
      </c>
      <c r="C1065" s="5" t="s">
        <v>10178</v>
      </c>
      <c r="D1065" s="5" t="s">
        <v>10224</v>
      </c>
      <c r="E1065" s="2">
        <v>1252797</v>
      </c>
      <c r="F1065" s="4" t="str">
        <f>IF(B1065=B1064,"",B1065)</f>
        <v>YamunÄnagar</v>
      </c>
    </row>
    <row r="1066" spans="1:6" ht="15.75" customHeight="1">
      <c r="A1066" s="5" t="s">
        <v>15677</v>
      </c>
      <c r="B1066" s="6" t="s">
        <v>15677</v>
      </c>
      <c r="C1066" s="5" t="s">
        <v>15586</v>
      </c>
      <c r="D1066" s="5" t="s">
        <v>15607</v>
      </c>
      <c r="E1066" s="2">
        <v>2279755</v>
      </c>
      <c r="F1066" s="4" t="str">
        <f>IF(B1066=B1065,"",B1066)</f>
        <v>Yamoussoukro</v>
      </c>
    </row>
    <row r="1067" spans="1:6" ht="15.75" customHeight="1">
      <c r="A1067" s="5" t="str">
        <f ca="1">IFERROR(__xludf.DUMMYFUNCTION("GOOGLETRANSLATE(B25826,""en"",""pt"")"),"Yamoussoukro")</f>
        <v>Yamoussoukro</v>
      </c>
      <c r="B1067" s="17" t="s">
        <v>15677</v>
      </c>
      <c r="C1067" s="17" t="s">
        <v>15586</v>
      </c>
      <c r="D1067" s="17" t="s">
        <v>15607</v>
      </c>
      <c r="E1067" s="10">
        <v>2279755</v>
      </c>
      <c r="F1067" s="4" t="str">
        <f>IF(B1067=B1066,"",B1067)</f>
        <v/>
      </c>
    </row>
    <row r="1068" spans="1:6" ht="15.75" customHeight="1">
      <c r="A1068" s="6" t="s">
        <v>16584</v>
      </c>
      <c r="B1068" s="6" t="s">
        <v>16584</v>
      </c>
      <c r="C1068" s="6" t="s">
        <v>15704</v>
      </c>
      <c r="D1068" s="6" t="s">
        <v>15764</v>
      </c>
      <c r="E1068" s="2">
        <v>2110541</v>
      </c>
      <c r="F1068" s="4" t="str">
        <f>IF(B1068=B1067,"",B1068)</f>
        <v>Yamoto</v>
      </c>
    </row>
    <row r="1069" spans="1:6" ht="15.75" customHeight="1">
      <c r="A1069" s="5" t="str">
        <f ca="1">IFERROR(__xludf.DUMMYFUNCTION("GOOGLETRANSLATE(B35712,""en"",""pt"")"),"Yamoto")</f>
        <v>Yamoto</v>
      </c>
      <c r="B1069" s="17" t="s">
        <v>16584</v>
      </c>
      <c r="C1069" s="17" t="s">
        <v>15704</v>
      </c>
      <c r="D1069" s="17" t="s">
        <v>15764</v>
      </c>
      <c r="E1069" s="10">
        <v>2110541</v>
      </c>
      <c r="F1069" s="4" t="str">
        <f>IF(B1069=B1068,"",B1069)</f>
        <v/>
      </c>
    </row>
    <row r="1070" spans="1:6" ht="15.75" customHeight="1">
      <c r="A1070" s="6" t="s">
        <v>18769</v>
      </c>
      <c r="B1070" s="6" t="s">
        <v>18770</v>
      </c>
      <c r="C1070" s="6" t="s">
        <v>18696</v>
      </c>
      <c r="D1070" s="6" t="s">
        <v>18718</v>
      </c>
      <c r="E1070" s="2">
        <v>1285899</v>
      </c>
      <c r="F1070" s="4" t="str">
        <f>IF(B1070=B1069,"",B1070)</f>
        <v>Yamethin</v>
      </c>
    </row>
    <row r="1071" spans="1:6" ht="15.75" customHeight="1">
      <c r="A1071" s="5" t="str">
        <f ca="1">IFERROR(__xludf.DUMMYFUNCTION("GOOGLETRANSLATE(B36700,""en"",""pt"")"),"Yametina")</f>
        <v>Yametina</v>
      </c>
      <c r="B1071" s="17" t="s">
        <v>18770</v>
      </c>
      <c r="C1071" s="17" t="s">
        <v>18696</v>
      </c>
      <c r="D1071" s="17" t="s">
        <v>18718</v>
      </c>
      <c r="E1071" s="10">
        <v>1285899</v>
      </c>
      <c r="F1071" s="4" t="str">
        <f>IF(B1071=B1070,"",B1071)</f>
        <v/>
      </c>
    </row>
    <row r="1072" spans="1:6" ht="15.75" customHeight="1">
      <c r="A1072" s="6" t="s">
        <v>3765</v>
      </c>
      <c r="B1072" s="6" t="s">
        <v>3765</v>
      </c>
      <c r="C1072" s="6" t="s">
        <v>3701</v>
      </c>
      <c r="D1072" s="6" t="s">
        <v>3765</v>
      </c>
      <c r="E1072" s="2">
        <v>725578</v>
      </c>
      <c r="F1072" s="4" t="str">
        <f>IF(B1072=B1071,"",B1072)</f>
        <v>Yambol</v>
      </c>
    </row>
    <row r="1073" spans="1:6" ht="15.75" customHeight="1">
      <c r="A1073" s="5" t="str">
        <f ca="1">IFERROR(__xludf.DUMMYFUNCTION("GOOGLETRANSLATE(B24007,""en"",""pt"")"),"Yambol")</f>
        <v>Yambol</v>
      </c>
      <c r="B1073" s="17" t="s">
        <v>3765</v>
      </c>
      <c r="C1073" s="17" t="s">
        <v>3701</v>
      </c>
      <c r="D1073" s="17" t="s">
        <v>3765</v>
      </c>
      <c r="E1073" s="10">
        <v>725578</v>
      </c>
      <c r="F1073" s="4" t="str">
        <f>IF(B1073=B1072,"",B1073)</f>
        <v/>
      </c>
    </row>
    <row r="1074" spans="1:6" ht="15.75" customHeight="1">
      <c r="A1074" s="6" t="s">
        <v>24194</v>
      </c>
      <c r="B1074" s="6" t="s">
        <v>24195</v>
      </c>
      <c r="C1074" s="6" t="s">
        <v>24176</v>
      </c>
      <c r="D1074" s="6" t="s">
        <v>24196</v>
      </c>
      <c r="E1074" s="2">
        <v>363656</v>
      </c>
      <c r="F1074" s="4" t="str">
        <f>IF(B1074=B1073,"",B1074)</f>
        <v>Yambio</v>
      </c>
    </row>
    <row r="1075" spans="1:6" ht="15.75" customHeight="1">
      <c r="A1075" s="5" t="str">
        <f ca="1">IFERROR(__xludf.DUMMYFUNCTION("GOOGLETRANSLATE(B41343,""en"",""pt"")"),"YAMBIO")</f>
        <v>YAMBIO</v>
      </c>
      <c r="B1075" s="17" t="s">
        <v>24195</v>
      </c>
      <c r="C1075" s="17" t="s">
        <v>24176</v>
      </c>
      <c r="D1075" s="17" t="s">
        <v>24196</v>
      </c>
      <c r="E1075" s="10">
        <v>363656</v>
      </c>
      <c r="F1075" s="4" t="str">
        <f>IF(B1075=B1074,"",B1075)</f>
        <v/>
      </c>
    </row>
    <row r="1076" spans="1:6" ht="15.75" customHeight="1">
      <c r="A1076" s="5" t="str">
        <f ca="1">IFERROR(__xludf.DUMMYFUNCTION("GOOGLETRANSLATE(B35177,""en"",""pt"")"),"Yamazakichō-nakabirose")</f>
        <v>Yamazakichō-nakabirose</v>
      </c>
      <c r="B1076" s="17" t="s">
        <v>34296</v>
      </c>
      <c r="C1076" s="17" t="s">
        <v>15704</v>
      </c>
      <c r="D1076" s="17" t="s">
        <v>34291</v>
      </c>
      <c r="E1076" s="10">
        <v>1848633</v>
      </c>
      <c r="F1076" s="4" t="str">
        <f>IF(B1076=B1075,"",B1076)</f>
        <v>Yamazakichō-nakabirose</v>
      </c>
    </row>
    <row r="1077" spans="1:6" ht="15.75" customHeight="1">
      <c r="A1077" s="5" t="s">
        <v>16582</v>
      </c>
      <c r="B1077" s="6" t="s">
        <v>16583</v>
      </c>
      <c r="C1077" s="5" t="s">
        <v>15704</v>
      </c>
      <c r="D1077" s="5" t="s">
        <v>15712</v>
      </c>
      <c r="E1077" s="2">
        <v>1848633</v>
      </c>
      <c r="F1077" s="4" t="str">
        <f>IF(B1077=B1076,"",B1077)</f>
        <v>YamazakichÅ-nakabirose</v>
      </c>
    </row>
    <row r="1078" spans="1:6" ht="15.75" customHeight="1">
      <c r="A1078" s="5" t="s">
        <v>15796</v>
      </c>
      <c r="B1078" s="6" t="s">
        <v>15796</v>
      </c>
      <c r="C1078" s="5" t="s">
        <v>15704</v>
      </c>
      <c r="D1078" s="5" t="s">
        <v>15796</v>
      </c>
      <c r="E1078" s="2">
        <v>1848689</v>
      </c>
      <c r="F1078" s="4" t="str">
        <f>IF(B1078=B1077,"",B1078)</f>
        <v>Yamaguchi</v>
      </c>
    </row>
    <row r="1079" spans="1:6" ht="15.75" customHeight="1">
      <c r="A1079" s="5" t="str">
        <f ca="1">IFERROR(__xludf.DUMMYFUNCTION("GOOGLETRANSLATE(B35178,""en"",""pt"")"),"Yamaguchi")</f>
        <v>Yamaguchi</v>
      </c>
      <c r="B1079" s="17" t="s">
        <v>15796</v>
      </c>
      <c r="C1079" s="17" t="s">
        <v>15704</v>
      </c>
      <c r="D1079" s="17" t="s">
        <v>15796</v>
      </c>
      <c r="E1079" s="10">
        <v>1848689</v>
      </c>
      <c r="F1079" s="4" t="str">
        <f>IF(B1079=B1078,"",B1079)</f>
        <v/>
      </c>
    </row>
    <row r="1080" spans="1:6" ht="15.75" customHeight="1">
      <c r="A1080" s="6" t="s">
        <v>15951</v>
      </c>
      <c r="B1080" s="6" t="s">
        <v>15951</v>
      </c>
      <c r="C1080" s="6" t="s">
        <v>15704</v>
      </c>
      <c r="D1080" s="6" t="s">
        <v>15951</v>
      </c>
      <c r="E1080" s="2">
        <v>2110556</v>
      </c>
      <c r="F1080" s="4" t="str">
        <f>IF(B1080=B1079,"",B1080)</f>
        <v>Yamagata</v>
      </c>
    </row>
    <row r="1081" spans="1:6" ht="15.75" customHeight="1">
      <c r="A1081" s="5" t="str">
        <f ca="1">IFERROR(__xludf.DUMMYFUNCTION("GOOGLETRANSLATE(B35713,""en"",""pt"")"),"Yamagata")</f>
        <v>Yamagata</v>
      </c>
      <c r="B1081" s="17" t="s">
        <v>15951</v>
      </c>
      <c r="C1081" s="17" t="s">
        <v>15704</v>
      </c>
      <c r="D1081" s="17" t="s">
        <v>15951</v>
      </c>
      <c r="E1081" s="10">
        <v>2110556</v>
      </c>
      <c r="F1081" s="4" t="str">
        <f>IF(B1081=B1080,"",B1081)</f>
        <v/>
      </c>
    </row>
    <row r="1082" spans="1:6" ht="15.75" customHeight="1">
      <c r="A1082" s="6" t="s">
        <v>16581</v>
      </c>
      <c r="B1082" s="6" t="s">
        <v>16581</v>
      </c>
      <c r="C1082" s="6" t="s">
        <v>15704</v>
      </c>
      <c r="D1082" s="6" t="s">
        <v>15812</v>
      </c>
      <c r="E1082" s="2">
        <v>1848705</v>
      </c>
      <c r="F1082" s="4" t="str">
        <f>IF(B1082=B1081,"",B1082)</f>
        <v>Yamaga</v>
      </c>
    </row>
    <row r="1083" spans="1:6" ht="15.75" customHeight="1">
      <c r="A1083" s="5" t="str">
        <f ca="1">IFERROR(__xludf.DUMMYFUNCTION("GOOGLETRANSLATE(B35179,""en"",""pt"")"),"Yamaga")</f>
        <v>Yamaga</v>
      </c>
      <c r="B1083" s="17" t="s">
        <v>16581</v>
      </c>
      <c r="C1083" s="17" t="s">
        <v>15704</v>
      </c>
      <c r="D1083" s="17" t="s">
        <v>15812</v>
      </c>
      <c r="E1083" s="10">
        <v>1848705</v>
      </c>
      <c r="F1083" s="4" t="str">
        <f>IF(B1083=B1082,"",B1083)</f>
        <v/>
      </c>
    </row>
    <row r="1084" spans="1:6" ht="15.75" customHeight="1">
      <c r="A1084" s="6" t="s">
        <v>16580</v>
      </c>
      <c r="B1084" s="6" t="s">
        <v>16580</v>
      </c>
      <c r="C1084" s="6" t="s">
        <v>15704</v>
      </c>
      <c r="D1084" s="6" t="s">
        <v>15745</v>
      </c>
      <c r="E1084" s="2">
        <v>2110560</v>
      </c>
      <c r="F1084" s="4" t="str">
        <f>IF(B1084=B1083,"",B1084)</f>
        <v>Yamada</v>
      </c>
    </row>
    <row r="1085" spans="1:6" ht="15.75" customHeight="1">
      <c r="A1085" s="5" t="str">
        <f ca="1">IFERROR(__xludf.DUMMYFUNCTION("GOOGLETRANSLATE(B35714,""en"",""pt"")"),"Yamada")</f>
        <v>Yamada</v>
      </c>
      <c r="B1085" s="17" t="s">
        <v>16580</v>
      </c>
      <c r="C1085" s="17" t="s">
        <v>15704</v>
      </c>
      <c r="D1085" s="17" t="s">
        <v>15745</v>
      </c>
      <c r="E1085" s="10">
        <v>2110560</v>
      </c>
      <c r="F1085" s="4" t="str">
        <f>IF(B1085=B1084,"",B1085)</f>
        <v/>
      </c>
    </row>
    <row r="1086" spans="1:6" ht="15.75" customHeight="1">
      <c r="A1086" s="5" t="str">
        <f ca="1">IFERROR(__xludf.DUMMYFUNCTION("GOOGLETRANSLATE(B41870,""en"",""pt"")"),"Yalvaç")</f>
        <v>Yalvaç</v>
      </c>
      <c r="B1086" s="17" t="s">
        <v>35819</v>
      </c>
      <c r="C1086" s="17" t="s">
        <v>26201</v>
      </c>
      <c r="D1086" s="17" t="s">
        <v>26348</v>
      </c>
      <c r="E1086" s="10">
        <v>297789</v>
      </c>
      <c r="F1086" s="4" t="str">
        <f>IF(B1086=B1085,"",B1086)</f>
        <v>Yalvaç</v>
      </c>
    </row>
    <row r="1087" spans="1:6" ht="15.75" customHeight="1">
      <c r="A1087" s="6" t="s">
        <v>26760</v>
      </c>
      <c r="B1087" s="6" t="s">
        <v>26761</v>
      </c>
      <c r="C1087" s="6" t="s">
        <v>26201</v>
      </c>
      <c r="D1087" s="6" t="s">
        <v>26348</v>
      </c>
      <c r="E1087" s="2">
        <v>297789</v>
      </c>
      <c r="F1087" s="4" t="str">
        <f>IF(B1087=B1086,"",B1087)</f>
        <v>YalvaÃ§</v>
      </c>
    </row>
    <row r="1088" spans="1:6" ht="15.75" customHeight="1">
      <c r="A1088" s="6" t="s">
        <v>23325</v>
      </c>
      <c r="B1088" s="6" t="s">
        <v>23326</v>
      </c>
      <c r="C1088" s="6" t="s">
        <v>22070</v>
      </c>
      <c r="D1088" s="6" t="s">
        <v>22265</v>
      </c>
      <c r="E1088" s="2">
        <v>1486468</v>
      </c>
      <c r="F1088" s="4" t="str">
        <f>IF(B1088=B1087,"",B1088)</f>
        <v>Yalutorovsk</v>
      </c>
    </row>
    <row r="1089" spans="1:6" ht="15.75" customHeight="1">
      <c r="A1089" s="5" t="str">
        <f ca="1">IFERROR(__xludf.DUMMYFUNCTION("GOOGLETRANSLATE(B40724,""en"",""pt"")"),"Yalutovsk")</f>
        <v>Yalutovsk</v>
      </c>
      <c r="B1089" s="17" t="s">
        <v>23326</v>
      </c>
      <c r="C1089" s="17" t="s">
        <v>22070</v>
      </c>
      <c r="D1089" s="17" t="s">
        <v>22265</v>
      </c>
      <c r="E1089" s="10">
        <v>1486468</v>
      </c>
      <c r="F1089" s="4" t="str">
        <f>IF(B1089=B1088,"",B1089)</f>
        <v/>
      </c>
    </row>
    <row r="1090" spans="1:6" ht="15.75" customHeight="1">
      <c r="A1090" s="6" t="s">
        <v>27195</v>
      </c>
      <c r="B1090" s="6" t="s">
        <v>27195</v>
      </c>
      <c r="C1090" s="6" t="s">
        <v>26870</v>
      </c>
      <c r="D1090" s="6" t="s">
        <v>26873</v>
      </c>
      <c r="E1090" s="2">
        <v>688533</v>
      </c>
      <c r="F1090" s="4" t="str">
        <f>IF(B1090=B1089,"",B1090)</f>
        <v>Yalta</v>
      </c>
    </row>
    <row r="1091" spans="1:6" ht="15.75" customHeight="1">
      <c r="A1091" s="5" t="str">
        <f ca="1">IFERROR(__xludf.DUMMYFUNCTION("GOOGLETRANSLATE(B42485,""en"",""pt"")"),"Yalta")</f>
        <v>Yalta</v>
      </c>
      <c r="B1091" s="17" t="s">
        <v>27195</v>
      </c>
      <c r="C1091" s="17" t="s">
        <v>26870</v>
      </c>
      <c r="D1091" s="17" t="s">
        <v>26873</v>
      </c>
      <c r="E1091" s="10">
        <v>688533</v>
      </c>
      <c r="F1091" s="4" t="str">
        <f>IF(B1091=B1090,"",B1091)</f>
        <v/>
      </c>
    </row>
    <row r="1092" spans="1:6" ht="15.75" customHeight="1">
      <c r="A1092" s="6" t="s">
        <v>26759</v>
      </c>
      <c r="B1092" s="6" t="s">
        <v>26759</v>
      </c>
      <c r="C1092" s="6" t="s">
        <v>26201</v>
      </c>
      <c r="D1092" s="6" t="s">
        <v>26759</v>
      </c>
      <c r="E1092" s="2">
        <v>738025</v>
      </c>
      <c r="F1092" s="4" t="str">
        <f>IF(B1092=B1091,"",B1092)</f>
        <v>Yalova</v>
      </c>
    </row>
    <row r="1093" spans="1:6" ht="15.75" customHeight="1">
      <c r="A1093" s="5" t="str">
        <f ca="1">IFERROR(__xludf.DUMMYFUNCTION("GOOGLETRANSLATE(B42093,""en"",""pt"")"),"Yalova")</f>
        <v>Yalova</v>
      </c>
      <c r="B1093" s="17" t="s">
        <v>26759</v>
      </c>
      <c r="C1093" s="17" t="s">
        <v>26201</v>
      </c>
      <c r="D1093" s="17" t="s">
        <v>26759</v>
      </c>
      <c r="E1093" s="10">
        <v>738025</v>
      </c>
      <c r="F1093" s="4" t="str">
        <f>IF(B1093=B1092,"",B1093)</f>
        <v/>
      </c>
    </row>
    <row r="1094" spans="1:6" ht="15.75" customHeight="1">
      <c r="A1094" s="6" t="s">
        <v>25849</v>
      </c>
      <c r="B1094" s="6" t="s">
        <v>25849</v>
      </c>
      <c r="C1094" s="6" t="s">
        <v>25771</v>
      </c>
      <c r="D1094" s="6" t="s">
        <v>25849</v>
      </c>
      <c r="E1094" s="2">
        <v>1604870</v>
      </c>
      <c r="F1094" s="4" t="str">
        <f>IF(B1094=B1093,"",B1094)</f>
        <v>Yala</v>
      </c>
    </row>
    <row r="1095" spans="1:6" ht="15.75" customHeight="1">
      <c r="A1095" s="5" t="str">
        <f ca="1">IFERROR(__xludf.DUMMYFUNCTION("GOOGLETRANSLATE(B41580,""en"",""pt"")"),"Yala")</f>
        <v>Yala</v>
      </c>
      <c r="B1095" s="17" t="s">
        <v>25849</v>
      </c>
      <c r="C1095" s="17" t="s">
        <v>25771</v>
      </c>
      <c r="D1095" s="17" t="s">
        <v>25849</v>
      </c>
      <c r="E1095" s="10">
        <v>1604870</v>
      </c>
      <c r="F1095" s="4" t="str">
        <f>IF(B1095=B1094,"",B1095)</f>
        <v/>
      </c>
    </row>
    <row r="1096" spans="1:6" ht="15.75" customHeight="1">
      <c r="A1096" s="6" t="s">
        <v>23324</v>
      </c>
      <c r="B1096" s="6" t="s">
        <v>23324</v>
      </c>
      <c r="C1096" s="6" t="s">
        <v>22070</v>
      </c>
      <c r="D1096" s="6" t="s">
        <v>22111</v>
      </c>
      <c r="E1096" s="2">
        <v>2013159</v>
      </c>
      <c r="F1096" s="4" t="str">
        <f>IF(B1096=B1095,"",B1096)</f>
        <v>Yakutsk</v>
      </c>
    </row>
    <row r="1097" spans="1:6" ht="15.75" customHeight="1">
      <c r="A1097" s="5" t="str">
        <f ca="1">IFERROR(__xludf.DUMMYFUNCTION("GOOGLETRANSLATE(B40893,""en"",""pt"")"),"Yakutsk")</f>
        <v>Yakutsk</v>
      </c>
      <c r="B1097" s="17" t="s">
        <v>23324</v>
      </c>
      <c r="C1097" s="17" t="s">
        <v>22070</v>
      </c>
      <c r="D1097" s="17" t="s">
        <v>22111</v>
      </c>
      <c r="E1097" s="10">
        <v>2013159</v>
      </c>
      <c r="F1097" s="4" t="str">
        <f>IF(B1097=B1096,"",B1097)</f>
        <v/>
      </c>
    </row>
    <row r="1098" spans="1:6" ht="15.75" customHeight="1">
      <c r="A1098" s="6" t="s">
        <v>26757</v>
      </c>
      <c r="B1098" s="6" t="s">
        <v>26758</v>
      </c>
      <c r="C1098" s="6" t="s">
        <v>26201</v>
      </c>
      <c r="D1098" s="6" t="s">
        <v>26211</v>
      </c>
      <c r="E1098" s="2">
        <v>738064</v>
      </c>
      <c r="F1098" s="4" t="str">
        <f>IF(B1098=B1097,"",B1098)</f>
        <v>Yakuplu</v>
      </c>
    </row>
    <row r="1099" spans="1:6" ht="15.75" customHeight="1">
      <c r="A1099" s="5" t="str">
        <f ca="1">IFERROR(__xludf.DUMMYFUNCTION("GOOGLETRANSLATE(B42094,""en"",""pt"")"),"YakUplu")</f>
        <v>YakUplu</v>
      </c>
      <c r="B1099" s="17" t="s">
        <v>26758</v>
      </c>
      <c r="C1099" s="17" t="s">
        <v>26201</v>
      </c>
      <c r="D1099" s="17" t="s">
        <v>26211</v>
      </c>
      <c r="E1099" s="10">
        <v>738064</v>
      </c>
      <c r="F1099" s="4" t="str">
        <f>IF(B1099=B1098,"",B1099)</f>
        <v/>
      </c>
    </row>
    <row r="1100" spans="1:6" ht="15.75" customHeight="1">
      <c r="A1100" s="6" t="s">
        <v>3822</v>
      </c>
      <c r="B1100" s="6" t="s">
        <v>3822</v>
      </c>
      <c r="C1100" s="6" t="s">
        <v>3768</v>
      </c>
      <c r="D1100" s="6" t="s">
        <v>3793</v>
      </c>
      <c r="E1100" s="2">
        <v>2353688</v>
      </c>
      <c r="F1100" s="4" t="str">
        <f>IF(B1100=B1099,"",B1100)</f>
        <v>Yako</v>
      </c>
    </row>
    <row r="1101" spans="1:6" ht="15.75" customHeight="1">
      <c r="A1101" s="5" t="str">
        <f ca="1">IFERROR(__xludf.DUMMYFUNCTION("GOOGLETRANSLATE(B23976,""en"",""pt"")"),"Yako")</f>
        <v>Yako</v>
      </c>
      <c r="B1101" s="17" t="s">
        <v>3822</v>
      </c>
      <c r="C1101" s="17" t="s">
        <v>3768</v>
      </c>
      <c r="D1101" s="17" t="s">
        <v>3793</v>
      </c>
      <c r="E1101" s="10">
        <v>2353688</v>
      </c>
      <c r="F1101" s="4" t="str">
        <f>IF(B1101=B1100,"",B1101)</f>
        <v/>
      </c>
    </row>
    <row r="1102" spans="1:6" ht="15.75" customHeight="1">
      <c r="A1102" s="6" t="s">
        <v>30455</v>
      </c>
      <c r="B1102" s="6" t="s">
        <v>30455</v>
      </c>
      <c r="C1102" s="6" t="s">
        <v>27788</v>
      </c>
      <c r="D1102" s="6" t="s">
        <v>27733</v>
      </c>
      <c r="E1102" s="2">
        <v>5816605</v>
      </c>
      <c r="F1102" s="4" t="str">
        <f>IF(B1102=B1101,"",B1102)</f>
        <v>Yakima</v>
      </c>
    </row>
    <row r="1103" spans="1:6" ht="15.75" customHeight="1">
      <c r="A1103" s="5" t="str">
        <f ca="1">IFERROR(__xludf.DUMMYFUNCTION("GOOGLETRANSLATE(B45392,""en"",""pt"")"),"Yakima")</f>
        <v>Yakima</v>
      </c>
      <c r="B1103" s="17" t="s">
        <v>30455</v>
      </c>
      <c r="C1103" s="17" t="s">
        <v>27788</v>
      </c>
      <c r="D1103" s="17" t="s">
        <v>27733</v>
      </c>
      <c r="E1103" s="10">
        <v>5816605</v>
      </c>
      <c r="F1103" s="4" t="str">
        <f>IF(B1103=B1102,"",B1103)</f>
        <v/>
      </c>
    </row>
    <row r="1104" spans="1:6" ht="15.75" customHeight="1">
      <c r="A1104" s="6" t="s">
        <v>5239</v>
      </c>
      <c r="B1104" s="6" t="s">
        <v>5239</v>
      </c>
      <c r="C1104" s="6" t="s">
        <v>4487</v>
      </c>
      <c r="D1104" s="6" t="s">
        <v>4533</v>
      </c>
      <c r="E1104" s="2">
        <v>2033536</v>
      </c>
      <c r="F1104" s="4" t="str">
        <f>IF(B1104=B1103,"",B1104)</f>
        <v>Yakeshi</v>
      </c>
    </row>
    <row r="1105" spans="1:6" ht="15.75" customHeight="1">
      <c r="A1105" s="5" t="str">
        <f ca="1">IFERROR(__xludf.DUMMYFUNCTION("GOOGLETRANSLATE(B26660,""en"",""pt"")"),"Yakeshi")</f>
        <v>Yakeshi</v>
      </c>
      <c r="B1105" s="17" t="s">
        <v>5239</v>
      </c>
      <c r="C1105" s="17" t="s">
        <v>4487</v>
      </c>
      <c r="D1105" s="17" t="s">
        <v>4533</v>
      </c>
      <c r="E1105" s="10">
        <v>2033536</v>
      </c>
      <c r="F1105" s="4" t="str">
        <f>IF(B1105=B1104,"",B1105)</f>
        <v/>
      </c>
    </row>
    <row r="1106" spans="1:6" ht="15.75" customHeight="1">
      <c r="A1106" s="6" t="s">
        <v>16579</v>
      </c>
      <c r="B1106" s="6" t="s">
        <v>16579</v>
      </c>
      <c r="C1106" s="6" t="s">
        <v>15704</v>
      </c>
      <c r="D1106" s="6" t="s">
        <v>15809</v>
      </c>
      <c r="E1106" s="2">
        <v>1848774</v>
      </c>
      <c r="F1106" s="4" t="str">
        <f>IF(B1106=B1105,"",B1106)</f>
        <v>Yaizu</v>
      </c>
    </row>
    <row r="1107" spans="1:6" ht="15.75" customHeight="1">
      <c r="A1107" s="5" t="str">
        <f ca="1">IFERROR(__xludf.DUMMYFUNCTION("GOOGLETRANSLATE(B35180,""en"",""pt"")"),"Yaizu")</f>
        <v>Yaizu</v>
      </c>
      <c r="B1107" s="17" t="s">
        <v>16579</v>
      </c>
      <c r="C1107" s="17" t="s">
        <v>15704</v>
      </c>
      <c r="D1107" s="17" t="s">
        <v>15809</v>
      </c>
      <c r="E1107" s="10">
        <v>1848774</v>
      </c>
      <c r="F1107" s="4" t="str">
        <f>IF(B1107=B1106,"",B1107)</f>
        <v/>
      </c>
    </row>
    <row r="1108" spans="1:6" ht="15.75" customHeight="1">
      <c r="A1108" s="6" t="s">
        <v>16578</v>
      </c>
      <c r="B1108" s="6" t="s">
        <v>16578</v>
      </c>
      <c r="C1108" s="6" t="s">
        <v>15704</v>
      </c>
      <c r="D1108" s="6" t="s">
        <v>15799</v>
      </c>
      <c r="E1108" s="2">
        <v>1848776</v>
      </c>
      <c r="F1108" s="4" t="str">
        <f>IF(B1108=B1107,"",B1108)</f>
        <v>Yaita</v>
      </c>
    </row>
    <row r="1109" spans="1:6" ht="15.75" customHeight="1">
      <c r="A1109" s="5" t="str">
        <f ca="1">IFERROR(__xludf.DUMMYFUNCTION("GOOGLETRANSLATE(B35181,""en"",""pt"")"),"Yaita")</f>
        <v>Yaita</v>
      </c>
      <c r="B1109" s="17" t="s">
        <v>16578</v>
      </c>
      <c r="C1109" s="17" t="s">
        <v>15704</v>
      </c>
      <c r="D1109" s="17" t="s">
        <v>15799</v>
      </c>
      <c r="E1109" s="10">
        <v>1848776</v>
      </c>
      <c r="F1109" s="4" t="str">
        <f>IF(B1109=B1108,"",B1109)</f>
        <v/>
      </c>
    </row>
    <row r="1110" spans="1:6" ht="15.75" customHeight="1">
      <c r="A1110" s="5" t="str">
        <f ca="1">IFERROR(__xludf.DUMMYFUNCTION("GOOGLETRANSLATE(B41871,""en"",""pt"")"),"Yahyalı")</f>
        <v>Yahyalı</v>
      </c>
      <c r="B1110" s="17" t="s">
        <v>35820</v>
      </c>
      <c r="C1110" s="17" t="s">
        <v>26201</v>
      </c>
      <c r="D1110" s="17" t="s">
        <v>26445</v>
      </c>
      <c r="E1110" s="10">
        <v>297917</v>
      </c>
      <c r="F1110" s="4" t="str">
        <f>IF(B1110=B1109,"",B1110)</f>
        <v>Yahyalı</v>
      </c>
    </row>
    <row r="1111" spans="1:6" ht="15.75" customHeight="1">
      <c r="A1111" s="6" t="s">
        <v>26755</v>
      </c>
      <c r="B1111" s="6" t="s">
        <v>26756</v>
      </c>
      <c r="C1111" s="6" t="s">
        <v>26201</v>
      </c>
      <c r="D1111" s="6" t="s">
        <v>26445</v>
      </c>
      <c r="E1111" s="2">
        <v>297917</v>
      </c>
      <c r="F1111" s="4" t="str">
        <f>IF(B1111=B1110,"",B1111)</f>
        <v>YahyalÄ±</v>
      </c>
    </row>
    <row r="1112" spans="1:6" ht="15.75" customHeight="1">
      <c r="A1112" s="6" t="s">
        <v>27194</v>
      </c>
      <c r="B1112" s="6" t="s">
        <v>27194</v>
      </c>
      <c r="C1112" s="6" t="s">
        <v>26870</v>
      </c>
      <c r="D1112" s="6" t="s">
        <v>26905</v>
      </c>
      <c r="E1112" s="2">
        <v>688587</v>
      </c>
      <c r="F1112" s="4" t="str">
        <f>IF(B1112=B1111,"",B1112)</f>
        <v>Yahotyn</v>
      </c>
    </row>
    <row r="1113" spans="1:6" ht="15.75" customHeight="1">
      <c r="A1113" s="5" t="str">
        <f ca="1">IFERROR(__xludf.DUMMYFUNCTION("GOOGLETRANSLATE(B42486,""en"",""pt"")"),"Yahotyn")</f>
        <v>Yahotyn</v>
      </c>
      <c r="B1113" s="17" t="s">
        <v>27194</v>
      </c>
      <c r="C1113" s="17" t="s">
        <v>26870</v>
      </c>
      <c r="D1113" s="17" t="s">
        <v>26905</v>
      </c>
      <c r="E1113" s="10">
        <v>688587</v>
      </c>
      <c r="F1113" s="4" t="str">
        <f>IF(B1113=B1112,"",B1113)</f>
        <v/>
      </c>
    </row>
    <row r="1114" spans="1:6" ht="15.75" customHeight="1">
      <c r="A1114" s="6" t="s">
        <v>5927</v>
      </c>
      <c r="B1114" s="6" t="s">
        <v>5927</v>
      </c>
      <c r="C1114" s="6" t="s">
        <v>5764</v>
      </c>
      <c r="D1114" s="6" t="s">
        <v>5799</v>
      </c>
      <c r="E1114" s="2">
        <v>3533826</v>
      </c>
      <c r="F1114" s="4" t="str">
        <f>IF(B1114=B1113,"",B1114)</f>
        <v>Yaguajay</v>
      </c>
    </row>
    <row r="1115" spans="1:6" ht="15.75" customHeight="1">
      <c r="A1115" s="5" t="str">
        <f ca="1">IFERROR(__xludf.DUMMYFUNCTION("GOOGLETRANSLATE(B27103,""en"",""pt"")"),"Yaguajay")</f>
        <v>Yaguajay</v>
      </c>
      <c r="B1115" s="17" t="s">
        <v>5927</v>
      </c>
      <c r="C1115" s="17" t="s">
        <v>5764</v>
      </c>
      <c r="D1115" s="17" t="s">
        <v>31901</v>
      </c>
      <c r="E1115" s="10">
        <v>3533826</v>
      </c>
      <c r="F1115" s="4" t="str">
        <f>IF(B1115=B1114,"",B1115)</f>
        <v/>
      </c>
    </row>
    <row r="1116" spans="1:6" ht="15.75" customHeight="1">
      <c r="A1116" s="5" t="s">
        <v>6490</v>
      </c>
      <c r="B1116" s="6" t="s">
        <v>6490</v>
      </c>
      <c r="C1116" s="5" t="s">
        <v>6398</v>
      </c>
      <c r="D1116" s="5" t="s">
        <v>6410</v>
      </c>
      <c r="E1116" s="2">
        <v>3650121</v>
      </c>
      <c r="F1116" s="4" t="str">
        <f>IF(B1116=B1115,"",B1116)</f>
        <v>Yaguachi Nuevo</v>
      </c>
    </row>
    <row r="1117" spans="1:6" ht="15.75" customHeight="1">
      <c r="A1117" s="5" t="str">
        <f ca="1">IFERROR(__xludf.DUMMYFUNCTION("GOOGLETRANSLATE(B28747,""en"",""pt"")"),"Yaguachi Nuevo")</f>
        <v>Yaguachi Nuevo</v>
      </c>
      <c r="B1117" s="17" t="s">
        <v>6490</v>
      </c>
      <c r="C1117" s="17" t="s">
        <v>6398</v>
      </c>
      <c r="D1117" s="17" t="s">
        <v>6410</v>
      </c>
      <c r="E1117" s="10">
        <v>3650121</v>
      </c>
      <c r="F1117" s="4" t="str">
        <f>IF(B1117=B1116,"",B1117)</f>
        <v/>
      </c>
    </row>
    <row r="1118" spans="1:6" ht="15.75" customHeight="1">
      <c r="A1118" s="6" t="s">
        <v>23323</v>
      </c>
      <c r="B1118" s="6" t="s">
        <v>23323</v>
      </c>
      <c r="C1118" s="6" t="s">
        <v>22070</v>
      </c>
      <c r="D1118" s="6" t="s">
        <v>22151</v>
      </c>
      <c r="E1118" s="2">
        <v>469707</v>
      </c>
      <c r="F1118" s="4" t="str">
        <f>IF(B1118=B1117,"",B1118)</f>
        <v>Yagry</v>
      </c>
    </row>
    <row r="1119" spans="1:6" ht="15.75" customHeight="1">
      <c r="A1119" s="5" t="str">
        <f ca="1">IFERROR(__xludf.DUMMYFUNCTION("GOOGLETRANSLATE(B39955,""en"",""pt"")"),"Yagry")</f>
        <v>Yagry</v>
      </c>
      <c r="B1119" s="17" t="s">
        <v>23323</v>
      </c>
      <c r="C1119" s="17" t="s">
        <v>22070</v>
      </c>
      <c r="D1119" s="17" t="s">
        <v>22151</v>
      </c>
      <c r="E1119" s="10">
        <v>469707</v>
      </c>
      <c r="F1119" s="4" t="str">
        <f>IF(B1119=B1118,"",B1119)</f>
        <v/>
      </c>
    </row>
    <row r="1120" spans="1:6" ht="15.75" customHeight="1">
      <c r="A1120" s="6" t="s">
        <v>3971</v>
      </c>
      <c r="B1120" s="6" t="s">
        <v>3971</v>
      </c>
      <c r="C1120" s="6" t="s">
        <v>3884</v>
      </c>
      <c r="D1120" s="6" t="s">
        <v>3906</v>
      </c>
      <c r="E1120" s="2">
        <v>2221030</v>
      </c>
      <c r="F1120" s="4" t="str">
        <f>IF(B1120=B1119,"",B1120)</f>
        <v>Yagoua</v>
      </c>
    </row>
    <row r="1121" spans="1:6" ht="15.75" customHeight="1">
      <c r="A1121" s="5" t="str">
        <f ca="1">IFERROR(__xludf.DUMMYFUNCTION("GOOGLETRANSLATE(B25981,""en"",""pt"")"),"Yagoua")</f>
        <v>Yagoua</v>
      </c>
      <c r="B1121" s="17" t="s">
        <v>3971</v>
      </c>
      <c r="C1121" s="17" t="s">
        <v>3884</v>
      </c>
      <c r="D1121" s="17" t="s">
        <v>3906</v>
      </c>
      <c r="E1121" s="10">
        <v>2221030</v>
      </c>
      <c r="F1121" s="4" t="str">
        <f>IF(B1121=B1120,"",B1121)</f>
        <v/>
      </c>
    </row>
    <row r="1122" spans="1:6" ht="15.75" customHeight="1">
      <c r="A1122" s="6" t="s">
        <v>17142</v>
      </c>
      <c r="B1122" s="6" t="s">
        <v>17142</v>
      </c>
      <c r="C1122" s="6" t="s">
        <v>17074</v>
      </c>
      <c r="D1122" s="6" t="s">
        <v>17101</v>
      </c>
      <c r="E1122" s="2">
        <v>2208791</v>
      </c>
      <c r="F1122" s="4" t="str">
        <f>IF(B1122=B1121,"",B1122)</f>
        <v>Yafran</v>
      </c>
    </row>
    <row r="1123" spans="1:6" ht="15.75" customHeight="1">
      <c r="A1123" s="5" t="str">
        <f ca="1">IFERROR(__xludf.DUMMYFUNCTION("GOOGLETRANSLATE(B36428,""en"",""pt"")"),"Yafran")</f>
        <v>Yafran</v>
      </c>
      <c r="B1123" s="17" t="s">
        <v>17142</v>
      </c>
      <c r="C1123" s="17" t="s">
        <v>17074</v>
      </c>
      <c r="D1123" s="17" t="s">
        <v>34566</v>
      </c>
      <c r="E1123" s="10">
        <v>2208791</v>
      </c>
      <c r="F1123" s="4" t="str">
        <f>IF(B1123=B1122,"",B1123)</f>
        <v/>
      </c>
    </row>
    <row r="1124" spans="1:6" ht="15.75" customHeight="1">
      <c r="A1124" s="6" t="s">
        <v>14884</v>
      </c>
      <c r="B1124" s="6" t="s">
        <v>14885</v>
      </c>
      <c r="C1124" s="6" t="s">
        <v>14773</v>
      </c>
      <c r="D1124" s="6" t="s">
        <v>14786</v>
      </c>
      <c r="E1124" s="2">
        <v>293253</v>
      </c>
      <c r="F1124" s="4" t="str">
        <f>IF(B1124=B1123,"",B1124)</f>
        <v>Yafo</v>
      </c>
    </row>
    <row r="1125" spans="1:6" ht="15.75" customHeight="1">
      <c r="A1125" s="5" t="str">
        <f ca="1">IFERROR(__xludf.DUMMYFUNCTION("GOOGLETRANSLATE(B31760,""en"",""pt"")"),"YAFO")</f>
        <v>YAFO</v>
      </c>
      <c r="B1125" s="17" t="s">
        <v>14885</v>
      </c>
      <c r="C1125" s="17" t="s">
        <v>14773</v>
      </c>
      <c r="D1125" s="17" t="s">
        <v>14786</v>
      </c>
      <c r="E1125" s="10">
        <v>293253</v>
      </c>
      <c r="F1125" s="4" t="str">
        <f>IF(B1125=B1124,"",B1125)</f>
        <v/>
      </c>
    </row>
    <row r="1126" spans="1:6" ht="15.75" customHeight="1">
      <c r="A1126" s="5" t="str">
        <f ca="1">IFERROR(__xludf.DUMMYFUNCTION("GOOGLETRANSLATE(B31843,""en"",""pt"")"),"Yādgīr")</f>
        <v>Yādgīr</v>
      </c>
      <c r="B1126" s="17" t="s">
        <v>32944</v>
      </c>
      <c r="C1126" s="17" t="s">
        <v>10178</v>
      </c>
      <c r="D1126" s="17" t="s">
        <v>10252</v>
      </c>
      <c r="E1126" s="10">
        <v>1252822</v>
      </c>
      <c r="F1126" s="4" t="str">
        <f>IF(B1126=B1125,"",B1126)</f>
        <v>Yādgīr</v>
      </c>
    </row>
    <row r="1127" spans="1:6" ht="15.75" customHeight="1">
      <c r="A1127" s="6" t="s">
        <v>1840</v>
      </c>
      <c r="B1127" s="6" t="s">
        <v>1840</v>
      </c>
      <c r="C1127" s="6" t="s">
        <v>1806</v>
      </c>
      <c r="D1127" s="6" t="s">
        <v>1831</v>
      </c>
      <c r="E1127" s="2">
        <v>3901178</v>
      </c>
      <c r="F1127" s="4" t="str">
        <f>IF(B1127=B1126,"",B1127)</f>
        <v>Yacuiba</v>
      </c>
    </row>
    <row r="1128" spans="1:6" ht="15.75" customHeight="1">
      <c r="A1128" s="5" t="str">
        <f ca="1">IFERROR(__xludf.DUMMYFUNCTION("GOOGLETRANSLATE(B24115,""en"",""pt"")"),"Yacuiba")</f>
        <v>Yacuiba</v>
      </c>
      <c r="B1128" s="17" t="s">
        <v>1840</v>
      </c>
      <c r="C1128" s="17" t="s">
        <v>1806</v>
      </c>
      <c r="D1128" s="17" t="s">
        <v>1831</v>
      </c>
      <c r="E1128" s="10">
        <v>3901178</v>
      </c>
      <c r="F1128" s="4" t="str">
        <f>IF(B1128=B1127,"",B1128)</f>
        <v/>
      </c>
    </row>
    <row r="1129" spans="1:6" ht="15.75" customHeight="1">
      <c r="A1129" s="5" t="s">
        <v>16577</v>
      </c>
      <c r="B1129" s="6" t="s">
        <v>16577</v>
      </c>
      <c r="C1129" s="5" t="s">
        <v>15704</v>
      </c>
      <c r="D1129" s="5" t="s">
        <v>15707</v>
      </c>
      <c r="E1129" s="2">
        <v>2110579</v>
      </c>
      <c r="F1129" s="4" t="str">
        <f>IF(B1129=B1128,"",B1129)</f>
        <v>Yachimata</v>
      </c>
    </row>
    <row r="1130" spans="1:6" ht="15.75" customHeight="1">
      <c r="A1130" s="5" t="str">
        <f ca="1">IFERROR(__xludf.DUMMYFUNCTION("GOOGLETRANSLATE(B35715,""en"",""pt"")"),"Yachimata")</f>
        <v>Yachimata</v>
      </c>
      <c r="B1130" s="17" t="s">
        <v>16577</v>
      </c>
      <c r="C1130" s="17" t="s">
        <v>15704</v>
      </c>
      <c r="D1130" s="17" t="s">
        <v>15707</v>
      </c>
      <c r="E1130" s="10">
        <v>2110579</v>
      </c>
      <c r="F1130" s="4" t="str">
        <f>IF(B1130=B1129,"",B1130)</f>
        <v/>
      </c>
    </row>
    <row r="1131" spans="1:6" ht="15.75" customHeight="1">
      <c r="A1131" s="5" t="str">
        <f ca="1">IFERROR(__xludf.DUMMYFUNCTION("GOOGLETRANSLATE(B41391,""en"",""pt"")"),"Yabrūd")</f>
        <v>Yabrūd</v>
      </c>
      <c r="B1131" s="17" t="s">
        <v>35722</v>
      </c>
      <c r="C1131" s="17" t="s">
        <v>25366</v>
      </c>
      <c r="D1131" s="17" t="s">
        <v>25372</v>
      </c>
      <c r="E1131" s="10">
        <v>162627</v>
      </c>
      <c r="F1131" s="4" t="str">
        <f>IF(B1131=B1130,"",B1131)</f>
        <v>Yabrūd</v>
      </c>
    </row>
    <row r="1132" spans="1:6" ht="15.75" customHeight="1">
      <c r="A1132" s="6" t="s">
        <v>25499</v>
      </c>
      <c r="B1132" s="6" t="s">
        <v>25500</v>
      </c>
      <c r="C1132" s="6" t="s">
        <v>25366</v>
      </c>
      <c r="D1132" s="6" t="s">
        <v>25372</v>
      </c>
      <c r="E1132" s="2">
        <v>162627</v>
      </c>
      <c r="F1132" s="4" t="str">
        <f>IF(B1132=B1131,"",B1132)</f>
        <v>YabrÅ«d</v>
      </c>
    </row>
    <row r="1133" spans="1:6" ht="15.75" customHeight="1">
      <c r="A1133" s="5" t="s">
        <v>23322</v>
      </c>
      <c r="B1133" s="6" t="s">
        <v>23322</v>
      </c>
      <c r="C1133" s="5" t="s">
        <v>22070</v>
      </c>
      <c r="D1133" s="5" t="s">
        <v>22369</v>
      </c>
      <c r="E1133" s="2">
        <v>469844</v>
      </c>
      <c r="F1133" s="4" t="str">
        <f>IF(B1133=B1132,"",B1133)</f>
        <v>Yablonovskiy</v>
      </c>
    </row>
    <row r="1134" spans="1:6" ht="15.75" customHeight="1">
      <c r="A1134" s="5" t="str">
        <f ca="1">IFERROR(__xludf.DUMMYFUNCTION("GOOGLETRANSLATE(B39956,""en"",""pt"")"),"Yablonovskiy")</f>
        <v>Yablonovskiy</v>
      </c>
      <c r="B1134" s="17" t="s">
        <v>23322</v>
      </c>
      <c r="C1134" s="17" t="s">
        <v>22070</v>
      </c>
      <c r="D1134" s="17" t="s">
        <v>22369</v>
      </c>
      <c r="E1134" s="10">
        <v>469844</v>
      </c>
      <c r="F1134" s="4" t="str">
        <f>IF(B1134=B1133,"",B1134)</f>
        <v/>
      </c>
    </row>
    <row r="1135" spans="1:6" ht="15.75" customHeight="1">
      <c r="A1135" s="5" t="str">
        <f ca="1">IFERROR(__xludf.DUMMYFUNCTION("GOOGLETRANSLATE(B29521,""en"",""pt"")"),"Yabēlo")</f>
        <v>Yabēlo</v>
      </c>
      <c r="B1135" s="17" t="s">
        <v>32485</v>
      </c>
      <c r="C1135" s="17" t="s">
        <v>6807</v>
      </c>
      <c r="D1135" s="17" t="s">
        <v>6814</v>
      </c>
      <c r="E1135" s="10">
        <v>326036</v>
      </c>
      <c r="F1135" s="4" t="str">
        <f>IF(B1135=B1134,"",B1135)</f>
        <v>Yabēlo</v>
      </c>
    </row>
    <row r="1136" spans="1:6" ht="15.75" customHeight="1">
      <c r="A1136" s="6" t="s">
        <v>6929</v>
      </c>
      <c r="B1136" s="6" t="s">
        <v>6930</v>
      </c>
      <c r="C1136" s="6" t="s">
        <v>6807</v>
      </c>
      <c r="D1136" s="6" t="s">
        <v>6814</v>
      </c>
      <c r="E1136" s="2">
        <v>326036</v>
      </c>
      <c r="F1136" s="4" t="str">
        <f>IF(B1136=B1135,"",B1136)</f>
        <v>YabÄ“lo</v>
      </c>
    </row>
    <row r="1137" spans="1:6" ht="15.75" customHeight="1">
      <c r="A1137" s="6" t="s">
        <v>30979</v>
      </c>
      <c r="B1137" s="6" t="s">
        <v>30980</v>
      </c>
      <c r="C1137" s="6" t="s">
        <v>30784</v>
      </c>
      <c r="D1137" s="6" t="s">
        <v>30976</v>
      </c>
      <c r="E1137" s="2">
        <v>1560037</v>
      </c>
      <c r="F1137" s="4" t="str">
        <f>IF(B1137=B1136,"",B1137)</f>
        <v>YÃªn Vinh</v>
      </c>
    </row>
    <row r="1138" spans="1:6" ht="15.75" customHeight="1">
      <c r="A1138" s="6" t="s">
        <v>30977</v>
      </c>
      <c r="B1138" s="6" t="s">
        <v>30978</v>
      </c>
      <c r="C1138" s="6" t="s">
        <v>30784</v>
      </c>
      <c r="D1138" s="6" t="s">
        <v>30978</v>
      </c>
      <c r="E1138" s="2">
        <v>1560349</v>
      </c>
      <c r="F1138" s="4" t="str">
        <f>IF(B1138=B1137,"",B1138)</f>
        <v>YÃªn BÃ¡i</v>
      </c>
    </row>
    <row r="1139" spans="1:6" ht="15.75" customHeight="1">
      <c r="A1139" s="5" t="s">
        <v>26753</v>
      </c>
      <c r="B1139" s="6" t="s">
        <v>26754</v>
      </c>
      <c r="C1139" s="5" t="s">
        <v>26201</v>
      </c>
      <c r="D1139" s="5" t="s">
        <v>26352</v>
      </c>
      <c r="E1139" s="2">
        <v>296173</v>
      </c>
      <c r="F1139" s="4" t="str">
        <f>IF(B1139=B1138,"",B1139)</f>
        <v>YÃ¼ksekova</v>
      </c>
    </row>
    <row r="1140" spans="1:6" ht="15.75" customHeight="1">
      <c r="A1140" s="6" t="s">
        <v>13779</v>
      </c>
      <c r="B1140" s="6" t="s">
        <v>13780</v>
      </c>
      <c r="C1140" s="6" t="s">
        <v>10178</v>
      </c>
      <c r="D1140" s="6" t="s">
        <v>10214</v>
      </c>
      <c r="E1140" s="2">
        <v>1252773</v>
      </c>
      <c r="F1140" s="4" t="str">
        <f>IF(B1140=B1139,"",B1140)</f>
        <v>YÄval</v>
      </c>
    </row>
    <row r="1141" spans="1:6" ht="15.75" customHeight="1">
      <c r="A1141" s="6" t="s">
        <v>24166</v>
      </c>
      <c r="B1141" s="6" t="s">
        <v>24167</v>
      </c>
      <c r="C1141" s="6" t="s">
        <v>24024</v>
      </c>
      <c r="D1141" s="6" t="s">
        <v>24033</v>
      </c>
      <c r="E1141" s="2">
        <v>1886598</v>
      </c>
      <c r="F1141" s="4" t="str">
        <f>IF(B1141=B1140,"",B1141)</f>
        <v>YÅnmu</v>
      </c>
    </row>
    <row r="1142" spans="1:6" ht="15.75" customHeight="1">
      <c r="A1142" s="5" t="s">
        <v>19688</v>
      </c>
      <c r="B1142" s="6" t="s">
        <v>19689</v>
      </c>
      <c r="C1142" s="5" t="s">
        <v>19589</v>
      </c>
      <c r="D1142" s="5" t="s">
        <v>19616</v>
      </c>
      <c r="E1142" s="2">
        <v>2042249</v>
      </c>
      <c r="F1142" s="4" t="str">
        <f>IF(B1142=B1141,"",B1142)</f>
        <v>YÅnggwang-Å­p</v>
      </c>
    </row>
    <row r="1143" spans="1:6" ht="15.75" customHeight="1">
      <c r="A1143" s="5" t="s">
        <v>24164</v>
      </c>
      <c r="B1143" s="6" t="s">
        <v>24165</v>
      </c>
      <c r="C1143" s="5" t="s">
        <v>24024</v>
      </c>
      <c r="D1143" s="5" t="s">
        <v>24047</v>
      </c>
      <c r="E1143" s="2">
        <v>1832566</v>
      </c>
      <c r="F1143" s="4" t="str">
        <f>IF(B1143=B1142,"",B1143)</f>
        <v>YÅng-dong</v>
      </c>
    </row>
    <row r="1144" spans="1:6" ht="15.75" customHeight="1">
      <c r="A1144" s="5" t="s">
        <v>19686</v>
      </c>
      <c r="B1144" s="6" t="s">
        <v>19687</v>
      </c>
      <c r="C1144" s="5" t="s">
        <v>19589</v>
      </c>
      <c r="D1144" s="5" t="s">
        <v>19601</v>
      </c>
      <c r="E1144" s="2">
        <v>1866569</v>
      </c>
      <c r="F1144" s="4" t="str">
        <f>IF(B1144=B1143,"",B1144)</f>
        <v>YÅnan-Å­p</v>
      </c>
    </row>
    <row r="1145" spans="1:6" ht="15.75" customHeight="1">
      <c r="A1145" s="5" t="s">
        <v>16575</v>
      </c>
      <c r="B1145" s="6" t="s">
        <v>16576</v>
      </c>
      <c r="C1145" s="5" t="s">
        <v>15704</v>
      </c>
      <c r="D1145" s="5" t="s">
        <v>15707</v>
      </c>
      <c r="E1145" s="2">
        <v>2110518</v>
      </c>
      <c r="F1145" s="4" t="str">
        <f>IF(B1145=B1144,"",B1145)</f>
        <v>YÅkaichiba</v>
      </c>
    </row>
    <row r="1146" spans="1:6" ht="15.75" customHeight="1">
      <c r="A1146" s="6" t="s">
        <v>13777</v>
      </c>
      <c r="B1146" s="6" t="s">
        <v>13778</v>
      </c>
      <c r="C1146" s="6" t="s">
        <v>10178</v>
      </c>
      <c r="D1146" s="6" t="s">
        <v>10252</v>
      </c>
      <c r="E1146" s="2">
        <v>1252822</v>
      </c>
      <c r="F1146" s="4" t="str">
        <f>IF(B1146=B1145,"",B1146)</f>
        <v>YÄdgÄ«r</v>
      </c>
    </row>
    <row r="1147" spans="1:6" ht="15.75" customHeight="1">
      <c r="A1147" s="6" t="s">
        <v>16573</v>
      </c>
      <c r="B1147" s="6" t="s">
        <v>16574</v>
      </c>
      <c r="C1147" s="6" t="s">
        <v>15704</v>
      </c>
      <c r="D1147" s="6" t="s">
        <v>15724</v>
      </c>
      <c r="E1147" s="2">
        <v>1848096</v>
      </c>
      <c r="F1147" s="4" t="str">
        <f>IF(B1147=B1146,"",B1147)</f>
        <v>YÅ«ki</v>
      </c>
    </row>
    <row r="1148" spans="1:6" ht="15.75" customHeight="1">
      <c r="A1148" s="6" t="s">
        <v>5238</v>
      </c>
      <c r="B1148" s="6" t="s">
        <v>5238</v>
      </c>
      <c r="C1148" s="6" t="s">
        <v>4487</v>
      </c>
      <c r="D1148" s="6" t="s">
        <v>4588</v>
      </c>
      <c r="E1148" s="2">
        <v>1787901</v>
      </c>
      <c r="F1148" s="4" t="str">
        <f>IF(B1148=B1147,"",B1148)</f>
        <v>Xunchang</v>
      </c>
    </row>
    <row r="1149" spans="1:6" ht="15.75" customHeight="1">
      <c r="A1149" s="5" t="str">
        <f ca="1">IFERROR(__xludf.DUMMYFUNCTION("GOOGLETRANSLATE(B26151,""en"",""pt"")"),"Xunchang")</f>
        <v>Xunchang</v>
      </c>
      <c r="B1149" s="17" t="s">
        <v>5238</v>
      </c>
      <c r="C1149" s="17" t="s">
        <v>4487</v>
      </c>
      <c r="D1149" s="17" t="s">
        <v>4588</v>
      </c>
      <c r="E1149" s="10">
        <v>1787901</v>
      </c>
      <c r="F1149" s="4" t="str">
        <f>IF(B1149=B1148,"",B1149)</f>
        <v/>
      </c>
    </row>
    <row r="1150" spans="1:6" ht="15.75" customHeight="1">
      <c r="A1150" s="6" t="s">
        <v>5237</v>
      </c>
      <c r="B1150" s="6" t="s">
        <v>5237</v>
      </c>
      <c r="C1150" s="6" t="s">
        <v>4487</v>
      </c>
      <c r="D1150" s="6" t="s">
        <v>4492</v>
      </c>
      <c r="E1150" s="2">
        <v>1787837</v>
      </c>
      <c r="F1150" s="4" t="str">
        <f>IF(B1150=B1149,"",B1150)</f>
        <v>Xucheng</v>
      </c>
    </row>
    <row r="1151" spans="1:6" ht="15.75" customHeight="1">
      <c r="A1151" s="5" t="str">
        <f ca="1">IFERROR(__xludf.DUMMYFUNCTION("GOOGLETRANSLATE(B26149,""en"",""pt"")"),"Xucheng")</f>
        <v>Xucheng</v>
      </c>
      <c r="B1151" s="17" t="s">
        <v>5237</v>
      </c>
      <c r="C1151" s="17" t="s">
        <v>4487</v>
      </c>
      <c r="D1151" s="17" t="s">
        <v>4492</v>
      </c>
      <c r="E1151" s="10">
        <v>1787837</v>
      </c>
      <c r="F1151" s="4" t="str">
        <f>IF(B1151=B1150,"",B1151)</f>
        <v/>
      </c>
    </row>
    <row r="1152" spans="1:6" ht="15.75" customHeight="1">
      <c r="A1152" s="5" t="s">
        <v>5236</v>
      </c>
      <c r="B1152" s="6" t="s">
        <v>5236</v>
      </c>
      <c r="C1152" s="5" t="s">
        <v>4487</v>
      </c>
      <c r="D1152" s="5" t="s">
        <v>4501</v>
      </c>
      <c r="E1152" s="2">
        <v>1788081</v>
      </c>
      <c r="F1152" s="4" t="str">
        <f>IF(B1152=B1151,"",B1152)</f>
        <v>Xuanzhou</v>
      </c>
    </row>
    <row r="1153" spans="1:6" ht="15.75" customHeight="1">
      <c r="A1153" s="5" t="str">
        <f ca="1">IFERROR(__xludf.DUMMYFUNCTION("GOOGLETRANSLATE(B26153,""en"",""pt"")"),"Xuanzhou")</f>
        <v>Xuanzhou</v>
      </c>
      <c r="B1153" s="17" t="s">
        <v>5236</v>
      </c>
      <c r="C1153" s="17" t="s">
        <v>4487</v>
      </c>
      <c r="D1153" s="17" t="s">
        <v>4501</v>
      </c>
      <c r="E1153" s="10">
        <v>1788081</v>
      </c>
      <c r="F1153" s="4" t="str">
        <f>IF(B1153=B1152,"",B1153)</f>
        <v/>
      </c>
    </row>
    <row r="1154" spans="1:6" ht="15.75" customHeight="1">
      <c r="A1154" s="6" t="s">
        <v>18426</v>
      </c>
      <c r="B1154" s="6" t="s">
        <v>18426</v>
      </c>
      <c r="C1154" s="6" t="s">
        <v>17707</v>
      </c>
      <c r="D1154" s="6" t="s">
        <v>17780</v>
      </c>
      <c r="E1154" s="2">
        <v>3514398</v>
      </c>
      <c r="F1154" s="4" t="str">
        <f>IF(B1154=B1153,"",B1154)</f>
        <v>Xoxocotla</v>
      </c>
    </row>
    <row r="1155" spans="1:6" ht="15.75" customHeight="1">
      <c r="A1155" s="5" t="str">
        <f ca="1">IFERROR(__xludf.DUMMYFUNCTION("GOOGLETRANSLATE(B36850,""en"",""pt"")"),"Xoxocotla")</f>
        <v>Xoxocotla</v>
      </c>
      <c r="B1155" s="17" t="s">
        <v>18426</v>
      </c>
      <c r="C1155" s="17" t="s">
        <v>17707</v>
      </c>
      <c r="D1155" s="17" t="s">
        <v>17780</v>
      </c>
      <c r="E1155" s="10">
        <v>3514398</v>
      </c>
      <c r="F1155" s="4" t="str">
        <f>IF(B1155=B1154,"",B1155)</f>
        <v/>
      </c>
    </row>
    <row r="1156" spans="1:6" ht="15.75" customHeight="1">
      <c r="A1156" s="5" t="str">
        <f ca="1">IFERROR(__xludf.DUMMYFUNCTION("GOOGLETRANSLATE(B36851,""en"",""pt"")"),"Xonacatlán")</f>
        <v>Xonacatlán</v>
      </c>
      <c r="B1156" s="17" t="s">
        <v>34657</v>
      </c>
      <c r="C1156" s="17" t="s">
        <v>17707</v>
      </c>
      <c r="D1156" s="17" t="s">
        <v>17780</v>
      </c>
      <c r="E1156" s="10">
        <v>3514409</v>
      </c>
      <c r="F1156" s="4" t="str">
        <f>IF(B1156=B1155,"",B1156)</f>
        <v>Xonacatlán</v>
      </c>
    </row>
    <row r="1157" spans="1:6" ht="15.75" customHeight="1">
      <c r="A1157" s="5" t="s">
        <v>18424</v>
      </c>
      <c r="B1157" s="6" t="s">
        <v>18425</v>
      </c>
      <c r="C1157" s="5" t="s">
        <v>17707</v>
      </c>
      <c r="D1157" s="5" t="s">
        <v>17780</v>
      </c>
      <c r="E1157" s="2">
        <v>3514409</v>
      </c>
      <c r="F1157" s="4" t="str">
        <f>IF(B1157=B1156,"",B1157)</f>
        <v>XonacatlÃ¡n</v>
      </c>
    </row>
    <row r="1158" spans="1:6" ht="15.75" customHeight="1">
      <c r="A1158" s="5" t="s">
        <v>18422</v>
      </c>
      <c r="B1158" s="6" t="s">
        <v>18423</v>
      </c>
      <c r="C1158" s="5" t="s">
        <v>17707</v>
      </c>
      <c r="D1158" s="5" t="s">
        <v>17780</v>
      </c>
      <c r="E1158" s="2">
        <v>3514437</v>
      </c>
      <c r="F1158" s="4" t="str">
        <f>IF(B1158=B1157,"",B1158)</f>
        <v>Xochitepec</v>
      </c>
    </row>
    <row r="1159" spans="1:6" ht="15.75" customHeight="1">
      <c r="A1159" s="5" t="str">
        <f ca="1">IFERROR(__xludf.DUMMYFUNCTION("GOOGLETRANSLATE(B36852,""en"",""pt"")"),"XochitePec")</f>
        <v>XochitePec</v>
      </c>
      <c r="B1159" s="17" t="s">
        <v>18423</v>
      </c>
      <c r="C1159" s="17" t="s">
        <v>17707</v>
      </c>
      <c r="D1159" s="17" t="s">
        <v>17780</v>
      </c>
      <c r="E1159" s="10">
        <v>3514437</v>
      </c>
      <c r="F1159" s="4" t="str">
        <f>IF(B1159=B1158,"",B1159)</f>
        <v/>
      </c>
    </row>
    <row r="1160" spans="1:6" ht="15.75" customHeight="1">
      <c r="A1160" s="5" t="s">
        <v>18421</v>
      </c>
      <c r="B1160" s="6" t="s">
        <v>18421</v>
      </c>
      <c r="C1160" s="5" t="s">
        <v>17707</v>
      </c>
      <c r="D1160" s="5" t="s">
        <v>17711</v>
      </c>
      <c r="E1160" s="2">
        <v>3514450</v>
      </c>
      <c r="F1160" s="4" t="str">
        <f>IF(B1160=B1159,"",B1160)</f>
        <v>Xochimilco</v>
      </c>
    </row>
    <row r="1161" spans="1:6" ht="15.75" customHeight="1">
      <c r="A1161" s="5" t="str">
        <f ca="1">IFERROR(__xludf.DUMMYFUNCTION("GOOGLETRANSLATE(B36853,""en"",""pt"")"),"Xochimilco")</f>
        <v>Xochimilco</v>
      </c>
      <c r="B1161" s="17" t="s">
        <v>18421</v>
      </c>
      <c r="C1161" s="17" t="s">
        <v>17707</v>
      </c>
      <c r="D1161" s="17" t="s">
        <v>17711</v>
      </c>
      <c r="E1161" s="10">
        <v>3514450</v>
      </c>
      <c r="F1161" s="4" t="str">
        <f>IF(B1161=B1160,"",B1161)</f>
        <v/>
      </c>
    </row>
    <row r="1162" spans="1:6" ht="15.75" customHeight="1">
      <c r="A1162" s="6" t="s">
        <v>5234</v>
      </c>
      <c r="B1162" s="6" t="s">
        <v>5235</v>
      </c>
      <c r="C1162" s="6" t="s">
        <v>4487</v>
      </c>
      <c r="D1162" s="6" t="s">
        <v>4511</v>
      </c>
      <c r="E1162" s="2">
        <v>1788206</v>
      </c>
      <c r="F1162" s="4" t="str">
        <f>IF(B1162=B1161,"",B1162)</f>
        <v>Xixiang</v>
      </c>
    </row>
    <row r="1163" spans="1:6" ht="15.75" customHeight="1">
      <c r="A1163" s="5" t="str">
        <f ca="1">IFERROR(__xludf.DUMMYFUNCTION("GOOGLETRANSLATE(B26154,""en"",""pt"")"),"Xixiang")</f>
        <v>Xixiang</v>
      </c>
      <c r="B1163" s="17" t="s">
        <v>5235</v>
      </c>
      <c r="C1163" s="17" t="s">
        <v>4487</v>
      </c>
      <c r="D1163" s="17" t="s">
        <v>4511</v>
      </c>
      <c r="E1163" s="10">
        <v>1788206</v>
      </c>
      <c r="F1163" s="4" t="str">
        <f>IF(B1163=B1162,"",B1163)</f>
        <v/>
      </c>
    </row>
    <row r="1164" spans="1:6" ht="15.75" customHeight="1">
      <c r="A1164" s="6" t="s">
        <v>5232</v>
      </c>
      <c r="B1164" s="6" t="s">
        <v>5233</v>
      </c>
      <c r="C1164" s="6" t="s">
        <v>4487</v>
      </c>
      <c r="D1164" s="6" t="s">
        <v>4715</v>
      </c>
      <c r="E1164" s="2">
        <v>1788245</v>
      </c>
      <c r="F1164" s="4" t="str">
        <f>IF(B1164=B1163,"",B1164)</f>
        <v>Xiuying</v>
      </c>
    </row>
    <row r="1165" spans="1:6" ht="15.75" customHeight="1">
      <c r="A1165" s="5" t="str">
        <f ca="1">IFERROR(__xludf.DUMMYFUNCTION("GOOGLETRANSLATE(B26155,""en"",""pt"")"),"XiUyying")</f>
        <v>XiUyying</v>
      </c>
      <c r="B1165" s="17" t="s">
        <v>5233</v>
      </c>
      <c r="C1165" s="17" t="s">
        <v>4487</v>
      </c>
      <c r="D1165" s="17" t="s">
        <v>4715</v>
      </c>
      <c r="E1165" s="10">
        <v>1788245</v>
      </c>
      <c r="F1165" s="4" t="str">
        <f>IF(B1165=B1164,"",B1165)</f>
        <v/>
      </c>
    </row>
    <row r="1166" spans="1:6" ht="15.75" customHeight="1">
      <c r="A1166" s="6" t="s">
        <v>5231</v>
      </c>
      <c r="B1166" s="6" t="s">
        <v>5231</v>
      </c>
      <c r="C1166" s="6" t="s">
        <v>4487</v>
      </c>
      <c r="D1166" s="6" t="s">
        <v>4505</v>
      </c>
      <c r="E1166" s="2">
        <v>2033602</v>
      </c>
      <c r="F1166" s="4" t="str">
        <f>IF(B1166=B1165,"",B1166)</f>
        <v>Xiuyan</v>
      </c>
    </row>
    <row r="1167" spans="1:6" ht="15.75" customHeight="1">
      <c r="A1167" s="5" t="str">
        <f ca="1">IFERROR(__xludf.DUMMYFUNCTION("GOOGLETRANSLATE(B26662,""en"",""pt"")"),"Xiuyan")</f>
        <v>Xiuyan</v>
      </c>
      <c r="B1167" s="17" t="s">
        <v>5231</v>
      </c>
      <c r="C1167" s="17" t="s">
        <v>4487</v>
      </c>
      <c r="D1167" s="17" t="s">
        <v>4505</v>
      </c>
      <c r="E1167" s="10">
        <v>2033602</v>
      </c>
      <c r="F1167" s="4" t="str">
        <f>IF(B1167=B1166,"",B1167)</f>
        <v/>
      </c>
    </row>
    <row r="1168" spans="1:6" ht="15.75" customHeight="1">
      <c r="A1168" s="6" t="s">
        <v>5229</v>
      </c>
      <c r="B1168" s="6" t="s">
        <v>5230</v>
      </c>
      <c r="C1168" s="6" t="s">
        <v>4487</v>
      </c>
      <c r="D1168" s="6" t="s">
        <v>4499</v>
      </c>
      <c r="E1168" s="2">
        <v>1788268</v>
      </c>
      <c r="F1168" s="4" t="str">
        <f>IF(B1168=B1167,"",B1168)</f>
        <v>Xiulin</v>
      </c>
    </row>
    <row r="1169" spans="1:6" ht="15.75" customHeight="1">
      <c r="A1169" s="5" t="str">
        <f ca="1">IFERROR(__xludf.DUMMYFUNCTION("GOOGLETRANSLATE(B26156,""en"",""pt"")"),"Xiulina")</f>
        <v>Xiulina</v>
      </c>
      <c r="B1169" s="17" t="s">
        <v>5230</v>
      </c>
      <c r="C1169" s="17" t="s">
        <v>4487</v>
      </c>
      <c r="D1169" s="17" t="s">
        <v>4499</v>
      </c>
      <c r="E1169" s="10">
        <v>1788268</v>
      </c>
      <c r="F1169" s="4" t="str">
        <f>IF(B1169=B1168,"",B1169)</f>
        <v/>
      </c>
    </row>
    <row r="1170" spans="1:6" ht="15.75" customHeight="1">
      <c r="A1170" s="6" t="s">
        <v>5228</v>
      </c>
      <c r="B1170" s="6" t="s">
        <v>5228</v>
      </c>
      <c r="C1170" s="6" t="s">
        <v>4487</v>
      </c>
      <c r="D1170" s="6" t="s">
        <v>4495</v>
      </c>
      <c r="E1170" s="2">
        <v>1803616</v>
      </c>
      <c r="F1170" s="4" t="str">
        <f>IF(B1170=B1169,"",B1170)</f>
        <v>Xishan</v>
      </c>
    </row>
    <row r="1171" spans="1:6" ht="15.75" customHeight="1">
      <c r="A1171" s="5" t="str">
        <f ca="1">IFERROR(__xludf.DUMMYFUNCTION("GOOGLETRANSLATE(B26396,""en"",""pt"")"),"Xishan")</f>
        <v>Xishan</v>
      </c>
      <c r="B1171" s="17" t="s">
        <v>5228</v>
      </c>
      <c r="C1171" s="17" t="s">
        <v>4487</v>
      </c>
      <c r="D1171" s="17" t="s">
        <v>4495</v>
      </c>
      <c r="E1171" s="10">
        <v>1803616</v>
      </c>
      <c r="F1171" s="4" t="str">
        <f>IF(B1171=B1170,"",B1171)</f>
        <v/>
      </c>
    </row>
    <row r="1172" spans="1:6" ht="15.75" customHeight="1">
      <c r="A1172" s="6" t="s">
        <v>24917</v>
      </c>
      <c r="B1172" s="6" t="s">
        <v>24918</v>
      </c>
      <c r="C1172" s="6" t="s">
        <v>24200</v>
      </c>
      <c r="D1172" s="6" t="s">
        <v>21053</v>
      </c>
      <c r="E1172" s="2">
        <v>2519466</v>
      </c>
      <c r="F1172" s="4" t="str">
        <f>IF(B1172=B1171,"",B1172)</f>
        <v>Xirivella</v>
      </c>
    </row>
    <row r="1173" spans="1:6" ht="15.75" customHeight="1">
      <c r="A1173" s="5" t="str">
        <f ca="1">IFERROR(__xludf.DUMMYFUNCTION("GOOGLETRANSLATE(B29143,""en"",""pt"")"),"Xirivela")</f>
        <v>Xirivela</v>
      </c>
      <c r="B1173" s="17" t="s">
        <v>24918</v>
      </c>
      <c r="C1173" s="17" t="s">
        <v>24200</v>
      </c>
      <c r="D1173" s="17" t="s">
        <v>21053</v>
      </c>
      <c r="E1173" s="10">
        <v>2519466</v>
      </c>
      <c r="F1173" s="4" t="str">
        <f>IF(B1173=B1172,"",B1173)</f>
        <v/>
      </c>
    </row>
    <row r="1174" spans="1:6" ht="15.75" customHeight="1">
      <c r="A1174" s="5" t="s">
        <v>3686</v>
      </c>
      <c r="B1174" s="6" t="s">
        <v>3687</v>
      </c>
      <c r="C1174" s="5" t="s">
        <v>1905</v>
      </c>
      <c r="D1174" s="5" t="s">
        <v>1947</v>
      </c>
      <c r="E1174" s="2">
        <v>3444823</v>
      </c>
      <c r="F1174" s="4" t="str">
        <f>IF(B1174=B1173,"",B1174)</f>
        <v>Xique Xique</v>
      </c>
    </row>
    <row r="1175" spans="1:6" ht="15.75" customHeight="1">
      <c r="A1175" s="5" t="str">
        <f ca="1">IFERROR(__xludf.DUMMYFUNCTION("GOOGLETRANSLATE(B24426,""en"",""pt"")"),"Xique xique")</f>
        <v>Xique xique</v>
      </c>
      <c r="B1175" s="17" t="s">
        <v>3687</v>
      </c>
      <c r="C1175" s="17" t="s">
        <v>1905</v>
      </c>
      <c r="D1175" s="17" t="s">
        <v>1947</v>
      </c>
      <c r="E1175" s="10">
        <v>3444823</v>
      </c>
      <c r="F1175" s="4" t="str">
        <f>IF(B1175=B1174,"",B1175)</f>
        <v/>
      </c>
    </row>
    <row r="1176" spans="1:6" ht="15.75" customHeight="1">
      <c r="A1176" s="5" t="s">
        <v>5227</v>
      </c>
      <c r="B1176" s="6" t="s">
        <v>5227</v>
      </c>
      <c r="C1176" s="5" t="s">
        <v>4487</v>
      </c>
      <c r="D1176" s="5" t="s">
        <v>4492</v>
      </c>
      <c r="E1176" s="2">
        <v>1788402</v>
      </c>
      <c r="F1176" s="4" t="str">
        <f>IF(B1176=B1175,"",B1176)</f>
        <v>Xiongzhou</v>
      </c>
    </row>
    <row r="1177" spans="1:6" ht="15.75" customHeight="1">
      <c r="A1177" s="5" t="str">
        <f ca="1">IFERROR(__xludf.DUMMYFUNCTION("GOOGLETRANSLATE(B26157,""en"",""pt"")"),"Xiongzhou")</f>
        <v>Xiongzhou</v>
      </c>
      <c r="B1177" s="17" t="s">
        <v>5227</v>
      </c>
      <c r="C1177" s="17" t="s">
        <v>4487</v>
      </c>
      <c r="D1177" s="17" t="s">
        <v>4492</v>
      </c>
      <c r="E1177" s="10">
        <v>1788402</v>
      </c>
      <c r="F1177" s="4" t="str">
        <f>IF(B1177=B1176,"",B1177)</f>
        <v/>
      </c>
    </row>
    <row r="1178" spans="1:6" ht="15.75" customHeight="1">
      <c r="A1178" s="6" t="s">
        <v>5226</v>
      </c>
      <c r="B1178" s="6" t="s">
        <v>5226</v>
      </c>
      <c r="C1178" s="6" t="s">
        <v>4487</v>
      </c>
      <c r="D1178" s="6" t="s">
        <v>4581</v>
      </c>
      <c r="E1178" s="2">
        <v>1788450</v>
      </c>
      <c r="F1178" s="4" t="str">
        <f>IF(B1178=B1177,"",B1178)</f>
        <v>Xinzhou</v>
      </c>
    </row>
    <row r="1179" spans="1:6" ht="15.75" customHeight="1">
      <c r="A1179" s="6" t="s">
        <v>5226</v>
      </c>
      <c r="B1179" s="6" t="s">
        <v>5226</v>
      </c>
      <c r="C1179" s="6" t="s">
        <v>4487</v>
      </c>
      <c r="D1179" s="6" t="s">
        <v>4499</v>
      </c>
      <c r="E1179" s="2">
        <v>1788452</v>
      </c>
      <c r="F1179" s="4" t="str">
        <f>IF(B1179=B1178,"",B1179)</f>
        <v/>
      </c>
    </row>
    <row r="1180" spans="1:6" ht="15.75" customHeight="1">
      <c r="A1180" s="5" t="str">
        <f ca="1">IFERROR(__xludf.DUMMYFUNCTION("GOOGLETRANSLATE(B26159,""en"",""pt"")"),"Xinzhou")</f>
        <v>Xinzhou</v>
      </c>
      <c r="B1180" s="17" t="s">
        <v>5226</v>
      </c>
      <c r="C1180" s="17" t="s">
        <v>4487</v>
      </c>
      <c r="D1180" s="17" t="s">
        <v>4581</v>
      </c>
      <c r="E1180" s="10">
        <v>1788450</v>
      </c>
      <c r="F1180" s="4" t="str">
        <f>IF(B1180=B1179,"",B1180)</f>
        <v/>
      </c>
    </row>
    <row r="1181" spans="1:6" ht="15.75" customHeight="1">
      <c r="A1181" s="5" t="str">
        <f ca="1">IFERROR(__xludf.DUMMYFUNCTION("GOOGLETRANSLATE(B26160,""en"",""pt"")"),"Xinzhou")</f>
        <v>Xinzhou</v>
      </c>
      <c r="B1181" s="17" t="s">
        <v>5226</v>
      </c>
      <c r="C1181" s="17" t="s">
        <v>4487</v>
      </c>
      <c r="D1181" s="17" t="s">
        <v>4499</v>
      </c>
      <c r="E1181" s="10">
        <v>1788452</v>
      </c>
      <c r="F1181" s="4" t="str">
        <f>IF(B1181=B1180,"",B1181)</f>
        <v/>
      </c>
    </row>
    <row r="1182" spans="1:6" ht="15.75" customHeight="1">
      <c r="A1182" s="6" t="s">
        <v>5225</v>
      </c>
      <c r="B1182" s="6" t="s">
        <v>5225</v>
      </c>
      <c r="C1182" s="6" t="s">
        <v>4487</v>
      </c>
      <c r="D1182" s="6" t="s">
        <v>4581</v>
      </c>
      <c r="E1182" s="2">
        <v>1788462</v>
      </c>
      <c r="F1182" s="4" t="str">
        <f>IF(B1182=B1181,"",B1182)</f>
        <v>Xinzhi</v>
      </c>
    </row>
    <row r="1183" spans="1:6" ht="15.75" customHeight="1">
      <c r="A1183" s="5" t="str">
        <f ca="1">IFERROR(__xludf.DUMMYFUNCTION("GOOGLETRANSLATE(B26161,""en"",""pt"")"),"Xinzhi")</f>
        <v>Xinzhi</v>
      </c>
      <c r="B1183" s="17" t="s">
        <v>5225</v>
      </c>
      <c r="C1183" s="17" t="s">
        <v>4487</v>
      </c>
      <c r="D1183" s="17" t="s">
        <v>4581</v>
      </c>
      <c r="E1183" s="10">
        <v>1788462</v>
      </c>
      <c r="F1183" s="4" t="str">
        <f>IF(B1183=B1182,"",B1183)</f>
        <v/>
      </c>
    </row>
    <row r="1184" spans="1:6" ht="15.75" customHeight="1">
      <c r="A1184" s="6" t="s">
        <v>5224</v>
      </c>
      <c r="B1184" s="6" t="s">
        <v>5224</v>
      </c>
      <c r="C1184" s="6" t="s">
        <v>4487</v>
      </c>
      <c r="D1184" s="6" t="s">
        <v>4569</v>
      </c>
      <c r="E1184" s="2">
        <v>1788508</v>
      </c>
      <c r="F1184" s="4" t="str">
        <f>IF(B1184=B1183,"",B1184)</f>
        <v>Xinyu</v>
      </c>
    </row>
    <row r="1185" spans="1:6" ht="15.75" customHeight="1">
      <c r="A1185" s="5" t="str">
        <f ca="1">IFERROR(__xludf.DUMMYFUNCTION("GOOGLETRANSLATE(B26162,""en"",""pt"")"),"Xinyu")</f>
        <v>Xinyu</v>
      </c>
      <c r="B1185" s="17" t="s">
        <v>5224</v>
      </c>
      <c r="C1185" s="17" t="s">
        <v>4487</v>
      </c>
      <c r="D1185" s="17" t="s">
        <v>4569</v>
      </c>
      <c r="E1185" s="10">
        <v>1788508</v>
      </c>
      <c r="F1185" s="4" t="str">
        <f>IF(B1185=B1184,"",B1185)</f>
        <v/>
      </c>
    </row>
    <row r="1186" spans="1:6" ht="15.75" customHeight="1">
      <c r="A1186" s="6" t="s">
        <v>5223</v>
      </c>
      <c r="B1186" s="6" t="s">
        <v>5223</v>
      </c>
      <c r="C1186" s="6" t="s">
        <v>4487</v>
      </c>
      <c r="D1186" s="6" t="s">
        <v>4492</v>
      </c>
      <c r="E1186" s="2">
        <v>1812057</v>
      </c>
      <c r="F1186" s="4" t="str">
        <f>IF(B1186=B1185,"",B1186)</f>
        <v>Xinyi</v>
      </c>
    </row>
    <row r="1187" spans="1:6" ht="15.75" customHeight="1">
      <c r="A1187" s="5" t="str">
        <f ca="1">IFERROR(__xludf.DUMMYFUNCTION("GOOGLETRANSLATE(B26548,""en"",""pt"")"),"Xinyi")</f>
        <v>Xinyi</v>
      </c>
      <c r="B1187" s="17" t="s">
        <v>5223</v>
      </c>
      <c r="C1187" s="17" t="s">
        <v>4487</v>
      </c>
      <c r="D1187" s="17" t="s">
        <v>4492</v>
      </c>
      <c r="E1187" s="10">
        <v>1812057</v>
      </c>
      <c r="F1187" s="4" t="str">
        <f>IF(B1187=B1186,"",B1187)</f>
        <v/>
      </c>
    </row>
    <row r="1188" spans="1:6" ht="15.75" customHeight="1">
      <c r="A1188" s="6" t="s">
        <v>5222</v>
      </c>
      <c r="B1188" s="6" t="s">
        <v>5222</v>
      </c>
      <c r="C1188" s="6" t="s">
        <v>4487</v>
      </c>
      <c r="D1188" s="6" t="s">
        <v>4511</v>
      </c>
      <c r="E1188" s="2">
        <v>1788534</v>
      </c>
      <c r="F1188" s="4" t="str">
        <f>IF(B1188=B1187,"",B1188)</f>
        <v>Xinyang</v>
      </c>
    </row>
    <row r="1189" spans="1:6" ht="15.75" customHeight="1">
      <c r="A1189" s="5" t="str">
        <f ca="1">IFERROR(__xludf.DUMMYFUNCTION("GOOGLETRANSLATE(B26164,""en"",""pt"")"),"Xinyang")</f>
        <v>Xinyang</v>
      </c>
      <c r="B1189" s="17" t="s">
        <v>5222</v>
      </c>
      <c r="C1189" s="17" t="s">
        <v>4487</v>
      </c>
      <c r="D1189" s="17" t="s">
        <v>4511</v>
      </c>
      <c r="E1189" s="10">
        <v>1788534</v>
      </c>
      <c r="F1189" s="4" t="str">
        <f>IF(B1189=B1188,"",B1189)</f>
        <v/>
      </c>
    </row>
    <row r="1190" spans="1:6" ht="15.75" customHeight="1">
      <c r="A1190" s="6" t="s">
        <v>5220</v>
      </c>
      <c r="B1190" s="6" t="s">
        <v>5221</v>
      </c>
      <c r="C1190" s="6" t="s">
        <v>4487</v>
      </c>
      <c r="D1190" s="6" t="s">
        <v>4503</v>
      </c>
      <c r="E1190" s="2">
        <v>1788618</v>
      </c>
      <c r="F1190" s="4" t="str">
        <f>IF(B1190=B1189,"",B1190)</f>
        <v>Xintai</v>
      </c>
    </row>
    <row r="1191" spans="1:6" ht="15.75" customHeight="1">
      <c r="A1191" s="5" t="str">
        <f ca="1">IFERROR(__xludf.DUMMYFUNCTION("GOOGLETRANSLATE(B26166,""en"",""pt"")"),"XINTAI")</f>
        <v>XINTAI</v>
      </c>
      <c r="B1191" s="17" t="s">
        <v>5221</v>
      </c>
      <c r="C1191" s="17" t="s">
        <v>4487</v>
      </c>
      <c r="D1191" s="17" t="s">
        <v>4503</v>
      </c>
      <c r="E1191" s="10">
        <v>1788618</v>
      </c>
      <c r="F1191" s="4" t="str">
        <f>IF(B1191=B1190,"",B1191)</f>
        <v/>
      </c>
    </row>
    <row r="1192" spans="1:6" ht="15.75" customHeight="1">
      <c r="A1192" s="6" t="s">
        <v>5219</v>
      </c>
      <c r="B1192" s="6" t="s">
        <v>5219</v>
      </c>
      <c r="C1192" s="6" t="s">
        <v>4487</v>
      </c>
      <c r="D1192" s="6" t="s">
        <v>4499</v>
      </c>
      <c r="E1192" s="2">
        <v>1788638</v>
      </c>
      <c r="F1192" s="4" t="str">
        <f>IF(B1192=B1191,"",B1192)</f>
        <v>Xinshi</v>
      </c>
    </row>
    <row r="1193" spans="1:6" ht="15.75" customHeight="1">
      <c r="A1193" s="5" t="str">
        <f ca="1">IFERROR(__xludf.DUMMYFUNCTION("GOOGLETRANSLATE(B26167,""en"",""pt"")"),"Xinshi")</f>
        <v>Xinshi</v>
      </c>
      <c r="B1193" s="17" t="s">
        <v>5219</v>
      </c>
      <c r="C1193" s="17" t="s">
        <v>4487</v>
      </c>
      <c r="D1193" s="17" t="s">
        <v>4499</v>
      </c>
      <c r="E1193" s="10">
        <v>1788638</v>
      </c>
      <c r="F1193" s="4" t="str">
        <f>IF(B1193=B1192,"",B1193)</f>
        <v/>
      </c>
    </row>
    <row r="1194" spans="1:6" ht="15.75" customHeight="1">
      <c r="A1194" s="6" t="s">
        <v>5218</v>
      </c>
      <c r="B1194" s="6" t="s">
        <v>5218</v>
      </c>
      <c r="C1194" s="6" t="s">
        <v>4487</v>
      </c>
      <c r="D1194" s="6" t="s">
        <v>4488</v>
      </c>
      <c r="E1194" s="2">
        <v>2033667</v>
      </c>
      <c r="F1194" s="4" t="str">
        <f>IF(B1194=B1193,"",B1194)</f>
        <v>Xinqing</v>
      </c>
    </row>
    <row r="1195" spans="1:6" ht="15.75" customHeight="1">
      <c r="A1195" s="5" t="str">
        <f ca="1">IFERROR(__xludf.DUMMYFUNCTION("GOOGLETRANSLATE(B26663,""en"",""pt"")"),"Xinqing")</f>
        <v>Xinqing</v>
      </c>
      <c r="B1195" s="17" t="s">
        <v>5218</v>
      </c>
      <c r="C1195" s="17" t="s">
        <v>4487</v>
      </c>
      <c r="D1195" s="17" t="s">
        <v>4488</v>
      </c>
      <c r="E1195" s="10">
        <v>2033667</v>
      </c>
      <c r="F1195" s="4" t="str">
        <f>IF(B1195=B1194,"",B1195)</f>
        <v/>
      </c>
    </row>
    <row r="1196" spans="1:6" ht="15.75" customHeight="1">
      <c r="A1196" s="6" t="s">
        <v>5217</v>
      </c>
      <c r="B1196" s="6" t="s">
        <v>5217</v>
      </c>
      <c r="C1196" s="6" t="s">
        <v>4487</v>
      </c>
      <c r="D1196" s="6" t="s">
        <v>4535</v>
      </c>
      <c r="E1196" s="2">
        <v>1788694</v>
      </c>
      <c r="F1196" s="4" t="str">
        <f>IF(B1196=B1195,"",B1196)</f>
        <v>Xinpu</v>
      </c>
    </row>
    <row r="1197" spans="1:6" ht="15.75" customHeight="1">
      <c r="A1197" s="5" t="str">
        <f ca="1">IFERROR(__xludf.DUMMYFUNCTION("GOOGLETRANSLATE(B26168,""en"",""pt"")"),"Xinpu")</f>
        <v>Xinpu</v>
      </c>
      <c r="B1197" s="17" t="s">
        <v>5217</v>
      </c>
      <c r="C1197" s="17" t="s">
        <v>4487</v>
      </c>
      <c r="D1197" s="17" t="s">
        <v>4535</v>
      </c>
      <c r="E1197" s="10">
        <v>1788694</v>
      </c>
      <c r="F1197" s="4" t="str">
        <f>IF(B1197=B1196,"",B1197)</f>
        <v/>
      </c>
    </row>
    <row r="1198" spans="1:6" ht="15.75" customHeight="1">
      <c r="A1198" s="6" t="s">
        <v>5216</v>
      </c>
      <c r="B1198" s="6" t="s">
        <v>5216</v>
      </c>
      <c r="C1198" s="6" t="s">
        <v>4487</v>
      </c>
      <c r="D1198" s="6" t="s">
        <v>4505</v>
      </c>
      <c r="E1198" s="2">
        <v>2033675</v>
      </c>
      <c r="F1198" s="4" t="str">
        <f>IF(B1198=B1197,"",B1198)</f>
        <v>Xinmin</v>
      </c>
    </row>
    <row r="1199" spans="1:6" ht="15.75" customHeight="1">
      <c r="A1199" s="5" t="str">
        <f ca="1">IFERROR(__xludf.DUMMYFUNCTION("GOOGLETRANSLATE(B26664,""en"",""pt"")"),"Xinmin")</f>
        <v>Xinmin</v>
      </c>
      <c r="B1199" s="17" t="s">
        <v>5216</v>
      </c>
      <c r="C1199" s="17" t="s">
        <v>4487</v>
      </c>
      <c r="D1199" s="17" t="s">
        <v>4505</v>
      </c>
      <c r="E1199" s="10">
        <v>2033675</v>
      </c>
      <c r="F1199" s="4" t="str">
        <f>IF(B1199=B1198,"",B1199)</f>
        <v/>
      </c>
    </row>
    <row r="1200" spans="1:6" ht="15.75" customHeight="1">
      <c r="A1200" s="6" t="s">
        <v>5215</v>
      </c>
      <c r="B1200" s="6" t="s">
        <v>5215</v>
      </c>
      <c r="C1200" s="6" t="s">
        <v>4487</v>
      </c>
      <c r="D1200" s="6" t="s">
        <v>4529</v>
      </c>
      <c r="E1200" s="2">
        <v>1788816</v>
      </c>
      <c r="F1200" s="4" t="str">
        <f>IF(B1200=B1199,"",B1200)</f>
        <v>Xinji</v>
      </c>
    </row>
    <row r="1201" spans="1:6" ht="15.75" customHeight="1">
      <c r="A1201" s="5" t="str">
        <f ca="1">IFERROR(__xludf.DUMMYFUNCTION("GOOGLETRANSLATE(B26169,""en"",""pt"")"),"Xinji")</f>
        <v>Xinji</v>
      </c>
      <c r="B1201" s="17" t="s">
        <v>5215</v>
      </c>
      <c r="C1201" s="17" t="s">
        <v>4487</v>
      </c>
      <c r="D1201" s="17" t="s">
        <v>4529</v>
      </c>
      <c r="E1201" s="10">
        <v>1788816</v>
      </c>
      <c r="F1201" s="4" t="str">
        <f>IF(B1201=B1200,"",B1201)</f>
        <v/>
      </c>
    </row>
    <row r="1202" spans="1:6" ht="15.75" customHeight="1">
      <c r="A1202" s="6" t="s">
        <v>5213</v>
      </c>
      <c r="B1202" s="6" t="s">
        <v>5213</v>
      </c>
      <c r="C1202" s="6" t="s">
        <v>4487</v>
      </c>
      <c r="D1202" s="6" t="s">
        <v>5214</v>
      </c>
      <c r="E1202" s="2">
        <v>1788852</v>
      </c>
      <c r="F1202" s="4" t="str">
        <f>IF(B1202=B1201,"",B1202)</f>
        <v>Xining</v>
      </c>
    </row>
    <row r="1203" spans="1:6" ht="15.75" customHeight="1">
      <c r="A1203" s="5" t="str">
        <f ca="1">IFERROR(__xludf.DUMMYFUNCTION("GOOGLETRANSLATE(B26170,""en"",""pt"")"),"Xining")</f>
        <v>Xining</v>
      </c>
      <c r="B1203" s="17" t="s">
        <v>5213</v>
      </c>
      <c r="C1203" s="17" t="s">
        <v>4487</v>
      </c>
      <c r="D1203" s="17" t="s">
        <v>5214</v>
      </c>
      <c r="E1203" s="10">
        <v>1788852</v>
      </c>
      <c r="F1203" s="4" t="str">
        <f>IF(B1203=B1202,"",B1203)</f>
        <v/>
      </c>
    </row>
    <row r="1204" spans="1:6" ht="15.75" customHeight="1">
      <c r="A1204" s="6" t="s">
        <v>5212</v>
      </c>
      <c r="B1204" s="6" t="s">
        <v>5212</v>
      </c>
      <c r="C1204" s="6" t="s">
        <v>4487</v>
      </c>
      <c r="D1204" s="6" t="s">
        <v>4492</v>
      </c>
      <c r="E1204" s="2">
        <v>1806882</v>
      </c>
      <c r="F1204" s="4" t="str">
        <f>IF(B1204=B1203,"",B1204)</f>
        <v>Xinhui</v>
      </c>
    </row>
    <row r="1205" spans="1:6" ht="15.75" customHeight="1">
      <c r="A1205" s="5" t="str">
        <f ca="1">IFERROR(__xludf.DUMMYFUNCTION("GOOGLETRANSLATE(B26472,""en"",""pt"")"),"Xinhui")</f>
        <v>Xinhui</v>
      </c>
      <c r="B1205" s="17" t="s">
        <v>5212</v>
      </c>
      <c r="C1205" s="17" t="s">
        <v>4487</v>
      </c>
      <c r="D1205" s="17" t="s">
        <v>4492</v>
      </c>
      <c r="E1205" s="10">
        <v>1806882</v>
      </c>
      <c r="F1205" s="4" t="str">
        <f>IF(B1205=B1204,"",B1205)</f>
        <v/>
      </c>
    </row>
    <row r="1206" spans="1:6" ht="15.75" customHeight="1">
      <c r="A1206" s="6" t="s">
        <v>5211</v>
      </c>
      <c r="B1206" s="6" t="s">
        <v>5211</v>
      </c>
      <c r="C1206" s="6" t="s">
        <v>4487</v>
      </c>
      <c r="D1206" s="6" t="s">
        <v>4529</v>
      </c>
      <c r="E1206" s="2">
        <v>1788927</v>
      </c>
      <c r="F1206" s="4" t="str">
        <f>IF(B1206=B1205,"",B1206)</f>
        <v>Xingtai</v>
      </c>
    </row>
    <row r="1207" spans="1:6" ht="15.75" customHeight="1">
      <c r="A1207" s="5" t="str">
        <f ca="1">IFERROR(__xludf.DUMMYFUNCTION("GOOGLETRANSLATE(B26172,""en"",""pt"")"),"Xingtai")</f>
        <v>Xingtai</v>
      </c>
      <c r="B1207" s="17" t="s">
        <v>5211</v>
      </c>
      <c r="C1207" s="17" t="s">
        <v>4487</v>
      </c>
      <c r="D1207" s="17" t="s">
        <v>4529</v>
      </c>
      <c r="E1207" s="10">
        <v>1788927</v>
      </c>
      <c r="F1207" s="4" t="str">
        <f>IF(B1207=B1206,"",B1207)</f>
        <v/>
      </c>
    </row>
    <row r="1208" spans="1:6" ht="15.75" customHeight="1">
      <c r="A1208" s="5" t="s">
        <v>5210</v>
      </c>
      <c r="B1208" s="6" t="s">
        <v>5210</v>
      </c>
      <c r="C1208" s="5" t="s">
        <v>4487</v>
      </c>
      <c r="D1208" s="5" t="s">
        <v>4518</v>
      </c>
      <c r="E1208" s="2">
        <v>2033739</v>
      </c>
      <c r="F1208" s="4" t="str">
        <f>IF(B1208=B1207,"",B1208)</f>
        <v>Xinglongshan</v>
      </c>
    </row>
    <row r="1209" spans="1:6" ht="15.75" customHeight="1">
      <c r="A1209" s="5" t="str">
        <f ca="1">IFERROR(__xludf.DUMMYFUNCTION("GOOGLETRANSLATE(B26665,""en"",""pt"")"),"Xinglongshan")</f>
        <v>Xinglongshan</v>
      </c>
      <c r="B1209" s="17" t="s">
        <v>5210</v>
      </c>
      <c r="C1209" s="17" t="s">
        <v>4487</v>
      </c>
      <c r="D1209" s="17" t="s">
        <v>4518</v>
      </c>
      <c r="E1209" s="10">
        <v>2033739</v>
      </c>
      <c r="F1209" s="4" t="str">
        <f>IF(B1209=B1208,"",B1209)</f>
        <v/>
      </c>
    </row>
    <row r="1210" spans="1:6" ht="15.75" customHeight="1">
      <c r="A1210" s="6" t="s">
        <v>5209</v>
      </c>
      <c r="B1210" s="6" t="s">
        <v>5209</v>
      </c>
      <c r="C1210" s="6" t="s">
        <v>4487</v>
      </c>
      <c r="D1210" s="6" t="s">
        <v>4535</v>
      </c>
      <c r="E1210" s="2">
        <v>1784820</v>
      </c>
      <c r="F1210" s="4" t="str">
        <f>IF(B1210=B1209,"",B1210)</f>
        <v>Xinghua</v>
      </c>
    </row>
    <row r="1211" spans="1:6" ht="15.75" customHeight="1">
      <c r="A1211" s="5" t="str">
        <f ca="1">IFERROR(__xludf.DUMMYFUNCTION("GOOGLETRANSLATE(B26090,""en"",""pt"")"),"Xinghua")</f>
        <v>Xinghua</v>
      </c>
      <c r="B1211" s="17" t="s">
        <v>5209</v>
      </c>
      <c r="C1211" s="17" t="s">
        <v>4487</v>
      </c>
      <c r="D1211" s="17" t="s">
        <v>4535</v>
      </c>
      <c r="E1211" s="10">
        <v>1784820</v>
      </c>
      <c r="F1211" s="4" t="str">
        <f>IF(B1211=B1210,"",B1211)</f>
        <v/>
      </c>
    </row>
    <row r="1212" spans="1:6" ht="15.75" customHeight="1">
      <c r="A1212" s="5" t="s">
        <v>5208</v>
      </c>
      <c r="B1212" s="6" t="s">
        <v>5208</v>
      </c>
      <c r="C1212" s="5" t="s">
        <v>4487</v>
      </c>
      <c r="D1212" s="5" t="s">
        <v>4505</v>
      </c>
      <c r="E1212" s="2">
        <v>2033766</v>
      </c>
      <c r="F1212" s="4" t="str">
        <f>IF(B1212=B1211,"",B1212)</f>
        <v>Xingcheng</v>
      </c>
    </row>
    <row r="1213" spans="1:6" ht="15.75" customHeight="1">
      <c r="A1213" s="5" t="str">
        <f ca="1">IFERROR(__xludf.DUMMYFUNCTION("GOOGLETRANSLATE(B26666,""en"",""pt"")"),"Xingcheng")</f>
        <v>Xingcheng</v>
      </c>
      <c r="B1213" s="17" t="s">
        <v>5208</v>
      </c>
      <c r="C1213" s="17" t="s">
        <v>4487</v>
      </c>
      <c r="D1213" s="17" t="s">
        <v>4505</v>
      </c>
      <c r="E1213" s="10">
        <v>2033766</v>
      </c>
      <c r="F1213" s="4" t="str">
        <f>IF(B1213=B1212,"",B1213)</f>
        <v/>
      </c>
    </row>
    <row r="1214" spans="1:6" ht="15.75" customHeight="1">
      <c r="A1214" s="6" t="s">
        <v>5206</v>
      </c>
      <c r="B1214" s="6" t="s">
        <v>5207</v>
      </c>
      <c r="C1214" s="6" t="s">
        <v>4487</v>
      </c>
      <c r="D1214" s="6" t="s">
        <v>4503</v>
      </c>
      <c r="E1214" s="2">
        <v>1789118</v>
      </c>
      <c r="F1214" s="4" t="str">
        <f>IF(B1214=B1213,"",B1214)</f>
        <v>Xindian</v>
      </c>
    </row>
    <row r="1215" spans="1:6" ht="15.75" customHeight="1">
      <c r="A1215" s="5" t="str">
        <f ca="1">IFERROR(__xludf.DUMMYFUNCTION("GOOGLETRANSLATE(B26174,""en"",""pt"")"),"Xindiano")</f>
        <v>Xindiano</v>
      </c>
      <c r="B1215" s="17" t="s">
        <v>5207</v>
      </c>
      <c r="C1215" s="17" t="s">
        <v>4487</v>
      </c>
      <c r="D1215" s="17" t="s">
        <v>4503</v>
      </c>
      <c r="E1215" s="10">
        <v>1789118</v>
      </c>
      <c r="F1215" s="4" t="str">
        <f>IF(B1215=B1214,"",B1215)</f>
        <v/>
      </c>
    </row>
    <row r="1216" spans="1:6" ht="15.75" customHeight="1">
      <c r="A1216" s="6" t="s">
        <v>5205</v>
      </c>
      <c r="B1216" s="6" t="s">
        <v>5205</v>
      </c>
      <c r="C1216" s="6" t="s">
        <v>4487</v>
      </c>
      <c r="D1216" s="6" t="s">
        <v>4499</v>
      </c>
      <c r="E1216" s="2">
        <v>1789137</v>
      </c>
      <c r="F1216" s="4" t="str">
        <f>IF(B1216=B1215,"",B1216)</f>
        <v>Xindi</v>
      </c>
    </row>
    <row r="1217" spans="1:6" ht="15.75" customHeight="1">
      <c r="A1217" s="5" t="str">
        <f ca="1">IFERROR(__xludf.DUMMYFUNCTION("GOOGLETRANSLATE(B26175,""en"",""pt"")"),"Xindi")</f>
        <v>Xindi</v>
      </c>
      <c r="B1217" s="17" t="s">
        <v>5205</v>
      </c>
      <c r="C1217" s="17" t="s">
        <v>4487</v>
      </c>
      <c r="D1217" s="17" t="s">
        <v>4499</v>
      </c>
      <c r="E1217" s="10">
        <v>1789137</v>
      </c>
      <c r="F1217" s="4" t="str">
        <f>IF(B1217=B1216,"",B1217)</f>
        <v/>
      </c>
    </row>
    <row r="1218" spans="1:6" ht="15.75" customHeight="1">
      <c r="A1218" s="6" t="s">
        <v>5204</v>
      </c>
      <c r="B1218" s="6" t="s">
        <v>5204</v>
      </c>
      <c r="C1218" s="6" t="s">
        <v>4487</v>
      </c>
      <c r="D1218" s="6" t="s">
        <v>4511</v>
      </c>
      <c r="E1218" s="2">
        <v>1813892</v>
      </c>
      <c r="F1218" s="4" t="str">
        <f>IF(B1218=B1217,"",B1218)</f>
        <v>Xincheng</v>
      </c>
    </row>
    <row r="1219" spans="1:6" ht="15.75" customHeight="1">
      <c r="A1219" s="5" t="str">
        <f ca="1">IFERROR(__xludf.DUMMYFUNCTION("GOOGLETRANSLATE(B26577,""en"",""pt"")"),"Xincheng")</f>
        <v>Xincheng</v>
      </c>
      <c r="B1219" s="17" t="s">
        <v>5204</v>
      </c>
      <c r="C1219" s="17" t="s">
        <v>4487</v>
      </c>
      <c r="D1219" s="17" t="s">
        <v>4511</v>
      </c>
      <c r="E1219" s="10">
        <v>1813892</v>
      </c>
      <c r="F1219" s="4" t="str">
        <f>IF(B1219=B1218,"",B1219)</f>
        <v/>
      </c>
    </row>
    <row r="1220" spans="1:6" ht="15.75" customHeight="1">
      <c r="A1220" s="6" t="s">
        <v>5202</v>
      </c>
      <c r="B1220" s="6" t="s">
        <v>5203</v>
      </c>
      <c r="C1220" s="6" t="s">
        <v>4487</v>
      </c>
      <c r="D1220" s="6" t="s">
        <v>4591</v>
      </c>
      <c r="E1220" s="2">
        <v>1789289</v>
      </c>
      <c r="F1220" s="4" t="str">
        <f>IF(B1220=B1219,"",B1220)</f>
        <v>Ximei</v>
      </c>
    </row>
    <row r="1221" spans="1:6" ht="15.75" customHeight="1">
      <c r="A1221" s="5" t="str">
        <f ca="1">IFERROR(__xludf.DUMMYFUNCTION("GOOGLETRANSLATE(B26178,""en"",""pt"")"),"XIMEI")</f>
        <v>XIMEI</v>
      </c>
      <c r="B1221" s="17" t="s">
        <v>5203</v>
      </c>
      <c r="C1221" s="17" t="s">
        <v>4487</v>
      </c>
      <c r="D1221" s="17" t="s">
        <v>4591</v>
      </c>
      <c r="E1221" s="10">
        <v>1789289</v>
      </c>
      <c r="F1221" s="4" t="str">
        <f>IF(B1221=B1220,"",B1221)</f>
        <v/>
      </c>
    </row>
    <row r="1222" spans="1:6" ht="15.75" customHeight="1">
      <c r="A1222" s="5" t="s">
        <v>5200</v>
      </c>
      <c r="B1222" s="6" t="s">
        <v>5201</v>
      </c>
      <c r="C1222" s="5" t="s">
        <v>4487</v>
      </c>
      <c r="D1222" s="5" t="s">
        <v>4533</v>
      </c>
      <c r="E1222" s="2">
        <v>2033824</v>
      </c>
      <c r="F1222" s="4" t="str">
        <f>IF(B1222=B1221,"",B1222)</f>
        <v>Xilin Hot</v>
      </c>
    </row>
    <row r="1223" spans="1:6" ht="15.75" customHeight="1">
      <c r="A1223" s="5" t="str">
        <f ca="1">IFERROR(__xludf.DUMMYFUNCTION("GOOGLETRANSLATE(B26667,""en"",""pt"")"),"Xilin quente")</f>
        <v>Xilin quente</v>
      </c>
      <c r="B1223" s="17" t="s">
        <v>5201</v>
      </c>
      <c r="C1223" s="17" t="s">
        <v>4487</v>
      </c>
      <c r="D1223" s="17" t="s">
        <v>4533</v>
      </c>
      <c r="E1223" s="10">
        <v>2033824</v>
      </c>
      <c r="F1223" s="4" t="str">
        <f>IF(B1223=B1222,"",B1223)</f>
        <v/>
      </c>
    </row>
    <row r="1224" spans="1:6" ht="15.75" customHeight="1">
      <c r="A1224" s="6" t="s">
        <v>5199</v>
      </c>
      <c r="B1224" s="6" t="s">
        <v>5199</v>
      </c>
      <c r="C1224" s="6" t="s">
        <v>4487</v>
      </c>
      <c r="D1224" s="6" t="s">
        <v>4499</v>
      </c>
      <c r="E1224" s="2">
        <v>1789462</v>
      </c>
      <c r="F1224" s="4" t="str">
        <f>IF(B1224=B1223,"",B1224)</f>
        <v>Xihe</v>
      </c>
    </row>
    <row r="1225" spans="1:6" ht="15.75" customHeight="1">
      <c r="A1225" s="5" t="str">
        <f ca="1">IFERROR(__xludf.DUMMYFUNCTION("GOOGLETRANSLATE(B26180,""en"",""pt"")"),"Xihe")</f>
        <v>Xihe</v>
      </c>
      <c r="B1225" s="17" t="s">
        <v>5199</v>
      </c>
      <c r="C1225" s="17" t="s">
        <v>4487</v>
      </c>
      <c r="D1225" s="17" t="s">
        <v>4499</v>
      </c>
      <c r="E1225" s="10">
        <v>1789462</v>
      </c>
      <c r="F1225" s="4" t="str">
        <f>IF(B1225=B1224,"",B1225)</f>
        <v/>
      </c>
    </row>
    <row r="1226" spans="1:6" ht="15.75" customHeight="1">
      <c r="A1226" s="6" t="s">
        <v>5198</v>
      </c>
      <c r="B1226" s="6" t="s">
        <v>5198</v>
      </c>
      <c r="C1226" s="6" t="s">
        <v>4487</v>
      </c>
      <c r="D1226" s="6" t="s">
        <v>4505</v>
      </c>
      <c r="E1226" s="2">
        <v>2033866</v>
      </c>
      <c r="F1226" s="4" t="str">
        <f>IF(B1226=B1225,"",B1226)</f>
        <v>Xifeng</v>
      </c>
    </row>
    <row r="1227" spans="1:6" ht="15.75" customHeight="1">
      <c r="A1227" s="5" t="str">
        <f ca="1">IFERROR(__xludf.DUMMYFUNCTION("GOOGLETRANSLATE(B26668,""en"",""pt"")"),"Xifeng")</f>
        <v>Xifeng</v>
      </c>
      <c r="B1227" s="17" t="s">
        <v>5198</v>
      </c>
      <c r="C1227" s="17" t="s">
        <v>4487</v>
      </c>
      <c r="D1227" s="17" t="s">
        <v>4505</v>
      </c>
      <c r="E1227" s="10">
        <v>2033866</v>
      </c>
      <c r="F1227" s="4" t="str">
        <f>IF(B1227=B1226,"",B1227)</f>
        <v/>
      </c>
    </row>
    <row r="1228" spans="1:6" ht="15.75" customHeight="1">
      <c r="A1228" s="5" t="str">
        <f ca="1">IFERROR(__xludf.DUMMYFUNCTION("GOOGLETRANSLATE(B36854,""en"",""pt"")"),"Xicotepec de Juárez")</f>
        <v>Xicotepec de Juárez</v>
      </c>
      <c r="B1228" s="17" t="s">
        <v>34658</v>
      </c>
      <c r="C1228" s="17" t="s">
        <v>17707</v>
      </c>
      <c r="D1228" s="17" t="s">
        <v>17717</v>
      </c>
      <c r="E1228" s="10">
        <v>3514510</v>
      </c>
      <c r="F1228" s="4" t="str">
        <f>IF(B1228=B1227,"",B1228)</f>
        <v>Xicotepec de Juárez</v>
      </c>
    </row>
    <row r="1229" spans="1:6" ht="15.75" customHeight="1">
      <c r="A1229" s="5" t="s">
        <v>18419</v>
      </c>
      <c r="B1229" s="6" t="s">
        <v>18420</v>
      </c>
      <c r="C1229" s="5" t="s">
        <v>17707</v>
      </c>
      <c r="D1229" s="5" t="s">
        <v>17717</v>
      </c>
      <c r="E1229" s="2">
        <v>3514510</v>
      </c>
      <c r="F1229" s="4" t="str">
        <f>IF(B1229=B1228,"",B1229)</f>
        <v>Xicotepec de JuÃ¡rez</v>
      </c>
    </row>
    <row r="1230" spans="1:6" ht="15.75" customHeight="1">
      <c r="A1230" s="6" t="s">
        <v>18418</v>
      </c>
      <c r="B1230" s="6" t="s">
        <v>18418</v>
      </c>
      <c r="C1230" s="6" t="s">
        <v>17707</v>
      </c>
      <c r="D1230" s="6" t="s">
        <v>17708</v>
      </c>
      <c r="E1230" s="2">
        <v>3514518</v>
      </c>
      <c r="F1230" s="4" t="str">
        <f>IF(B1230=B1229,"",B1230)</f>
        <v>Xico</v>
      </c>
    </row>
    <row r="1231" spans="1:6" ht="15.75" customHeight="1">
      <c r="A1231" s="5" t="str">
        <f ca="1">IFERROR(__xludf.DUMMYFUNCTION("GOOGLETRANSLATE(B36855,""en"",""pt"")"),"Xico")</f>
        <v>Xico</v>
      </c>
      <c r="B1231" s="17" t="s">
        <v>18418</v>
      </c>
      <c r="C1231" s="17" t="s">
        <v>17707</v>
      </c>
      <c r="D1231" s="17" t="s">
        <v>17708</v>
      </c>
      <c r="E1231" s="10">
        <v>3514518</v>
      </c>
      <c r="F1231" s="4" t="str">
        <f>IF(B1231=B1230,"",B1231)</f>
        <v/>
      </c>
    </row>
    <row r="1232" spans="1:6" ht="15.75" customHeight="1">
      <c r="A1232" s="6" t="s">
        <v>5197</v>
      </c>
      <c r="B1232" s="6" t="s">
        <v>5197</v>
      </c>
      <c r="C1232" s="6" t="s">
        <v>4487</v>
      </c>
      <c r="D1232" s="6" t="s">
        <v>4588</v>
      </c>
      <c r="E1232" s="2">
        <v>1789647</v>
      </c>
      <c r="F1232" s="4" t="str">
        <f>IF(B1232=B1231,"",B1232)</f>
        <v>Xichang</v>
      </c>
    </row>
    <row r="1233" spans="1:6" ht="15.75" customHeight="1">
      <c r="A1233" s="5" t="str">
        <f ca="1">IFERROR(__xludf.DUMMYFUNCTION("GOOGLETRANSLATE(B26181,""en"",""pt"")"),"Xichang")</f>
        <v>Xichang</v>
      </c>
      <c r="B1233" s="17" t="s">
        <v>5197</v>
      </c>
      <c r="C1233" s="17" t="s">
        <v>4487</v>
      </c>
      <c r="D1233" s="17" t="s">
        <v>4588</v>
      </c>
      <c r="E1233" s="10">
        <v>1789647</v>
      </c>
      <c r="F1233" s="4" t="str">
        <f>IF(B1233=B1232,"",B1233)</f>
        <v/>
      </c>
    </row>
    <row r="1234" spans="1:6" ht="15.75" customHeight="1">
      <c r="A1234" s="5" t="s">
        <v>5196</v>
      </c>
      <c r="B1234" s="6" t="s">
        <v>5196</v>
      </c>
      <c r="C1234" s="5" t="s">
        <v>4487</v>
      </c>
      <c r="D1234" s="5" t="s">
        <v>4503</v>
      </c>
      <c r="E1234" s="2">
        <v>1789693</v>
      </c>
      <c r="F1234" s="4" t="str">
        <f>IF(B1234=B1233,"",B1234)</f>
        <v>Xiazhuang</v>
      </c>
    </row>
    <row r="1235" spans="1:6" ht="15.75" customHeight="1">
      <c r="A1235" s="5" t="str">
        <f ca="1">IFERROR(__xludf.DUMMYFUNCTION("GOOGLETRANSLATE(B26182,""en"",""pt"")"),"Xiazhuang")</f>
        <v>Xiazhuang</v>
      </c>
      <c r="B1235" s="17" t="s">
        <v>5196</v>
      </c>
      <c r="C1235" s="17" t="s">
        <v>4487</v>
      </c>
      <c r="D1235" s="17" t="s">
        <v>4503</v>
      </c>
      <c r="E1235" s="10">
        <v>1789693</v>
      </c>
      <c r="F1235" s="4" t="str">
        <f>IF(B1235=B1234,"",B1235)</f>
        <v/>
      </c>
    </row>
    <row r="1236" spans="1:6" ht="15.75" customHeight="1">
      <c r="A1236" s="6" t="s">
        <v>5195</v>
      </c>
      <c r="B1236" s="6" t="s">
        <v>5195</v>
      </c>
      <c r="C1236" s="6" t="s">
        <v>4487</v>
      </c>
      <c r="D1236" s="6" t="s">
        <v>4503</v>
      </c>
      <c r="E1236" s="2">
        <v>1789703</v>
      </c>
      <c r="F1236" s="4" t="str">
        <f>IF(B1236=B1235,"",B1236)</f>
        <v>Xiazhen</v>
      </c>
    </row>
    <row r="1237" spans="1:6" ht="15.75" customHeight="1">
      <c r="A1237" s="5" t="str">
        <f ca="1">IFERROR(__xludf.DUMMYFUNCTION("GOOGLETRANSLATE(B26183,""en"",""pt"")"),"Xiazhen")</f>
        <v>Xiazhen</v>
      </c>
      <c r="B1237" s="17" t="s">
        <v>5195</v>
      </c>
      <c r="C1237" s="17" t="s">
        <v>4487</v>
      </c>
      <c r="D1237" s="17" t="s">
        <v>4503</v>
      </c>
      <c r="E1237" s="10">
        <v>1789703</v>
      </c>
      <c r="F1237" s="4" t="str">
        <f>IF(B1237=B1236,"",B1237)</f>
        <v/>
      </c>
    </row>
    <row r="1238" spans="1:6" ht="15.75" customHeight="1">
      <c r="A1238" s="6" t="s">
        <v>5193</v>
      </c>
      <c r="B1238" s="6" t="s">
        <v>5194</v>
      </c>
      <c r="C1238" s="6" t="s">
        <v>4487</v>
      </c>
      <c r="D1238" s="6" t="s">
        <v>4631</v>
      </c>
      <c r="E1238" s="2">
        <v>1789799</v>
      </c>
      <c r="F1238" s="4" t="str">
        <f>IF(B1238=B1237,"",B1238)</f>
        <v>Xiashi</v>
      </c>
    </row>
    <row r="1239" spans="1:6" ht="15.75" customHeight="1">
      <c r="A1239" s="5" t="str">
        <f ca="1">IFERROR(__xludf.DUMMYFUNCTION("GOOGLETRANSLATE(B26184,""en"",""pt"")"),"XIASHI")</f>
        <v>XIASHI</v>
      </c>
      <c r="B1239" s="17" t="s">
        <v>5194</v>
      </c>
      <c r="C1239" s="17" t="s">
        <v>4487</v>
      </c>
      <c r="D1239" s="17" t="s">
        <v>4631</v>
      </c>
      <c r="E1239" s="10">
        <v>1789799</v>
      </c>
      <c r="F1239" s="4" t="str">
        <f>IF(B1239=B1238,"",B1239)</f>
        <v/>
      </c>
    </row>
    <row r="1240" spans="1:6" ht="15.75" customHeight="1">
      <c r="A1240" s="5" t="s">
        <v>5192</v>
      </c>
      <c r="B1240" s="6" t="s">
        <v>5192</v>
      </c>
      <c r="C1240" s="5" t="s">
        <v>4487</v>
      </c>
      <c r="D1240" s="5" t="s">
        <v>4507</v>
      </c>
      <c r="E1240" s="2">
        <v>1789945</v>
      </c>
      <c r="F1240" s="4" t="str">
        <f>IF(B1240=B1239,"",B1240)</f>
        <v>Xiaoweizhai</v>
      </c>
    </row>
    <row r="1241" spans="1:6" ht="15.75" customHeight="1">
      <c r="A1241" s="5" t="str">
        <f ca="1">IFERROR(__xludf.DUMMYFUNCTION("GOOGLETRANSLATE(B26186,""en"",""pt"")"),"Xiaoweizhai")</f>
        <v>Xiaoweizhai</v>
      </c>
      <c r="B1241" s="17" t="s">
        <v>5192</v>
      </c>
      <c r="C1241" s="17" t="s">
        <v>4487</v>
      </c>
      <c r="D1241" s="17" t="s">
        <v>4507</v>
      </c>
      <c r="E1241" s="10">
        <v>1789945</v>
      </c>
      <c r="F1241" s="4" t="str">
        <f>IF(B1241=B1240,"",B1241)</f>
        <v/>
      </c>
    </row>
    <row r="1242" spans="1:6" ht="15.75" customHeight="1">
      <c r="A1242" s="6" t="s">
        <v>5191</v>
      </c>
      <c r="B1242" s="6" t="s">
        <v>5191</v>
      </c>
      <c r="C1242" s="6" t="s">
        <v>4487</v>
      </c>
      <c r="D1242" s="6" t="s">
        <v>4505</v>
      </c>
      <c r="E1242" s="2">
        <v>2033934</v>
      </c>
      <c r="F1242" s="4" t="str">
        <f>IF(B1242=B1241,"",B1242)</f>
        <v>Xiaoshi</v>
      </c>
    </row>
    <row r="1243" spans="1:6" ht="15.75" customHeight="1">
      <c r="A1243" s="5" t="str">
        <f ca="1">IFERROR(__xludf.DUMMYFUNCTION("GOOGLETRANSLATE(B26669,""en"",""pt"")"),"Xiaoshi")</f>
        <v>Xiaoshi</v>
      </c>
      <c r="B1243" s="17" t="s">
        <v>5191</v>
      </c>
      <c r="C1243" s="17" t="s">
        <v>4487</v>
      </c>
      <c r="D1243" s="17" t="s">
        <v>4505</v>
      </c>
      <c r="E1243" s="10">
        <v>2033934</v>
      </c>
      <c r="F1243" s="4" t="str">
        <f>IF(B1243=B1242,"",B1243)</f>
        <v/>
      </c>
    </row>
    <row r="1244" spans="1:6" ht="15.75" customHeight="1">
      <c r="A1244" s="6" t="s">
        <v>5190</v>
      </c>
      <c r="B1244" s="6" t="s">
        <v>5190</v>
      </c>
      <c r="C1244" s="6" t="s">
        <v>4487</v>
      </c>
      <c r="D1244" s="6" t="s">
        <v>4631</v>
      </c>
      <c r="E1244" s="2">
        <v>1789998</v>
      </c>
      <c r="F1244" s="4" t="str">
        <f>IF(B1244=B1243,"",B1244)</f>
        <v>Xiaoshan</v>
      </c>
    </row>
    <row r="1245" spans="1:6" ht="15.75" customHeight="1">
      <c r="A1245" s="5" t="str">
        <f ca="1">IFERROR(__xludf.DUMMYFUNCTION("GOOGLETRANSLATE(B26187,""en"",""pt"")"),"Xiaoshan")</f>
        <v>Xiaoshan</v>
      </c>
      <c r="B1245" s="17" t="s">
        <v>5190</v>
      </c>
      <c r="C1245" s="17" t="s">
        <v>4487</v>
      </c>
      <c r="D1245" s="17" t="s">
        <v>4631</v>
      </c>
      <c r="E1245" s="10">
        <v>1789998</v>
      </c>
      <c r="F1245" s="4" t="str">
        <f>IF(B1245=B1244,"",B1245)</f>
        <v/>
      </c>
    </row>
    <row r="1246" spans="1:6" ht="15.75" customHeight="1">
      <c r="A1246" s="5" t="s">
        <v>5189</v>
      </c>
      <c r="B1246" s="6" t="s">
        <v>5189</v>
      </c>
      <c r="C1246" s="5" t="s">
        <v>4487</v>
      </c>
      <c r="D1246" s="5" t="s">
        <v>4535</v>
      </c>
      <c r="E1246" s="2">
        <v>1790100</v>
      </c>
      <c r="F1246" s="4" t="str">
        <f>IF(B1246=B1245,"",B1246)</f>
        <v>Xiaolingwei</v>
      </c>
    </row>
    <row r="1247" spans="1:6" ht="15.75" customHeight="1">
      <c r="A1247" s="5" t="str">
        <f ca="1">IFERROR(__xludf.DUMMYFUNCTION("GOOGLETRANSLATE(B26188,""en"",""pt"")"),"Xiaolingwei")</f>
        <v>Xiaolingwei</v>
      </c>
      <c r="B1247" s="17" t="s">
        <v>5189</v>
      </c>
      <c r="C1247" s="17" t="s">
        <v>4487</v>
      </c>
      <c r="D1247" s="17" t="s">
        <v>4535</v>
      </c>
      <c r="E1247" s="10">
        <v>1790100</v>
      </c>
      <c r="F1247" s="4" t="str">
        <f>IF(B1247=B1246,"",B1247)</f>
        <v/>
      </c>
    </row>
    <row r="1248" spans="1:6" ht="15.75" customHeight="1">
      <c r="A1248" s="6" t="s">
        <v>5188</v>
      </c>
      <c r="B1248" s="6" t="s">
        <v>5188</v>
      </c>
      <c r="C1248" s="6" t="s">
        <v>4487</v>
      </c>
      <c r="D1248" s="6" t="s">
        <v>4499</v>
      </c>
      <c r="E1248" s="2">
        <v>1790254</v>
      </c>
      <c r="F1248" s="4" t="str">
        <f>IF(B1248=B1247,"",B1248)</f>
        <v>Xiaogan</v>
      </c>
    </row>
    <row r="1249" spans="1:6" ht="15.75" customHeight="1">
      <c r="A1249" s="5" t="str">
        <f ca="1">IFERROR(__xludf.DUMMYFUNCTION("GOOGLETRANSLATE(B26189,""en"",""pt"")"),"Xiaogan")</f>
        <v>Xiaogan</v>
      </c>
      <c r="B1249" s="17" t="s">
        <v>5188</v>
      </c>
      <c r="C1249" s="17" t="s">
        <v>4487</v>
      </c>
      <c r="D1249" s="17" t="s">
        <v>4499</v>
      </c>
      <c r="E1249" s="10">
        <v>1790254</v>
      </c>
      <c r="F1249" s="4" t="str">
        <f>IF(B1249=B1248,"",B1249)</f>
        <v/>
      </c>
    </row>
    <row r="1250" spans="1:6" ht="15.75" customHeight="1">
      <c r="A1250" s="6" t="s">
        <v>5187</v>
      </c>
      <c r="B1250" s="6" t="s">
        <v>5187</v>
      </c>
      <c r="C1250" s="6" t="s">
        <v>4487</v>
      </c>
      <c r="D1250" s="6" t="s">
        <v>4497</v>
      </c>
      <c r="E1250" s="2">
        <v>1790353</v>
      </c>
      <c r="F1250" s="4" t="str">
        <f>IF(B1250=B1249,"",B1250)</f>
        <v>Xianyang</v>
      </c>
    </row>
    <row r="1251" spans="1:6" ht="15.75" customHeight="1">
      <c r="A1251" s="5" t="str">
        <f ca="1">IFERROR(__xludf.DUMMYFUNCTION("GOOGLETRANSLATE(B26190,""en"",""pt"")"),"Xianyang")</f>
        <v>Xianyang</v>
      </c>
      <c r="B1251" s="17" t="s">
        <v>5187</v>
      </c>
      <c r="C1251" s="17" t="s">
        <v>4487</v>
      </c>
      <c r="D1251" s="17" t="s">
        <v>4497</v>
      </c>
      <c r="E1251" s="10">
        <v>1790353</v>
      </c>
      <c r="F1251" s="4" t="str">
        <f>IF(B1251=B1250,"",B1251)</f>
        <v/>
      </c>
    </row>
    <row r="1252" spans="1:6" ht="15.75" customHeight="1">
      <c r="A1252" s="6" t="s">
        <v>5186</v>
      </c>
      <c r="B1252" s="6" t="s">
        <v>5186</v>
      </c>
      <c r="C1252" s="6" t="s">
        <v>4487</v>
      </c>
      <c r="D1252" s="6" t="s">
        <v>4499</v>
      </c>
      <c r="E1252" s="2">
        <v>1790371</v>
      </c>
      <c r="F1252" s="4" t="str">
        <f>IF(B1252=B1251,"",B1252)</f>
        <v>Xiantao</v>
      </c>
    </row>
    <row r="1253" spans="1:6" ht="15.75" customHeight="1">
      <c r="A1253" s="5" t="str">
        <f ca="1">IFERROR(__xludf.DUMMYFUNCTION("GOOGLETRANSLATE(B26191,""en"",""pt"")"),"Xiantao")</f>
        <v>Xiantao</v>
      </c>
      <c r="B1253" s="17" t="s">
        <v>5186</v>
      </c>
      <c r="C1253" s="17" t="s">
        <v>4487</v>
      </c>
      <c r="D1253" s="17" t="s">
        <v>4499</v>
      </c>
      <c r="E1253" s="10">
        <v>1790371</v>
      </c>
      <c r="F1253" s="4" t="str">
        <f>IF(B1253=B1252,"",B1253)</f>
        <v/>
      </c>
    </row>
    <row r="1254" spans="1:6" ht="15.75" customHeight="1">
      <c r="A1254" s="5" t="s">
        <v>5185</v>
      </c>
      <c r="B1254" s="6" t="s">
        <v>5185</v>
      </c>
      <c r="C1254" s="5" t="s">
        <v>4487</v>
      </c>
      <c r="D1254" s="5" t="s">
        <v>4726</v>
      </c>
      <c r="E1254" s="2">
        <v>1790379</v>
      </c>
      <c r="F1254" s="4" t="str">
        <f>IF(B1254=B1253,"",B1254)</f>
        <v>Xianshuigu</v>
      </c>
    </row>
    <row r="1255" spans="1:6" ht="15.75" customHeight="1">
      <c r="A1255" s="5" t="str">
        <f ca="1">IFERROR(__xludf.DUMMYFUNCTION("GOOGLETRANSLATE(B26192,""en"",""pt"")"),"Xianshuigu")</f>
        <v>Xianshuigu</v>
      </c>
      <c r="B1255" s="17" t="s">
        <v>5185</v>
      </c>
      <c r="C1255" s="17" t="s">
        <v>4487</v>
      </c>
      <c r="D1255" s="17" t="s">
        <v>4726</v>
      </c>
      <c r="E1255" s="10">
        <v>1790379</v>
      </c>
      <c r="F1255" s="4" t="str">
        <f>IF(B1255=B1254,"",B1255)</f>
        <v/>
      </c>
    </row>
    <row r="1256" spans="1:6" ht="15.75" customHeight="1">
      <c r="A1256" s="5" t="str">
        <f ca="1">IFERROR(__xludf.DUMMYFUNCTION("GOOGLETRANSLATE(B26193,""en"",""pt"")"),"Xiannü")</f>
        <v>Xiannü</v>
      </c>
      <c r="B1256" s="17" t="s">
        <v>31828</v>
      </c>
      <c r="C1256" s="17" t="s">
        <v>4487</v>
      </c>
      <c r="D1256" s="17" t="s">
        <v>4535</v>
      </c>
      <c r="E1256" s="10">
        <v>1790392</v>
      </c>
      <c r="F1256" s="4" t="str">
        <f>IF(B1256=B1255,"",B1256)</f>
        <v>Xiannü</v>
      </c>
    </row>
    <row r="1257" spans="1:6" ht="15.75" customHeight="1">
      <c r="A1257" s="6" t="s">
        <v>5184</v>
      </c>
      <c r="B1257" s="6" t="s">
        <v>5184</v>
      </c>
      <c r="C1257" s="6" t="s">
        <v>4487</v>
      </c>
      <c r="D1257" s="6" t="s">
        <v>4499</v>
      </c>
      <c r="E1257" s="2">
        <v>1790396</v>
      </c>
      <c r="F1257" s="4" t="str">
        <f>IF(B1257=B1256,"",B1257)</f>
        <v>Xianning</v>
      </c>
    </row>
    <row r="1258" spans="1:6" ht="15.75" customHeight="1">
      <c r="A1258" s="5" t="str">
        <f ca="1">IFERROR(__xludf.DUMMYFUNCTION("GOOGLETRANSLATE(B26194,""en"",""pt"")"),"Xianning")</f>
        <v>Xianning</v>
      </c>
      <c r="B1258" s="17" t="s">
        <v>5184</v>
      </c>
      <c r="C1258" s="17" t="s">
        <v>4487</v>
      </c>
      <c r="D1258" s="17" t="s">
        <v>4499</v>
      </c>
      <c r="E1258" s="10">
        <v>1790396</v>
      </c>
      <c r="F1258" s="4" t="str">
        <f>IF(B1258=B1257,"",B1258)</f>
        <v/>
      </c>
    </row>
    <row r="1259" spans="1:6" ht="15.75" customHeight="1">
      <c r="A1259" s="6" t="s">
        <v>5182</v>
      </c>
      <c r="B1259" s="6" t="s">
        <v>5183</v>
      </c>
      <c r="C1259" s="6" t="s">
        <v>4487</v>
      </c>
      <c r="D1259" s="6" t="s">
        <v>4535</v>
      </c>
      <c r="E1259" s="2">
        <v>1790392</v>
      </c>
      <c r="F1259" s="4" t="str">
        <f>IF(B1259=B1258,"",B1259)</f>
        <v>XiannÃ¼</v>
      </c>
    </row>
    <row r="1260" spans="1:6" ht="15.75" customHeight="1">
      <c r="A1260" s="6" t="s">
        <v>5181</v>
      </c>
      <c r="B1260" s="6" t="s">
        <v>5181</v>
      </c>
      <c r="C1260" s="6" t="s">
        <v>4487</v>
      </c>
      <c r="D1260" s="6" t="s">
        <v>4631</v>
      </c>
      <c r="E1260" s="2">
        <v>1790413</v>
      </c>
      <c r="F1260" s="4" t="str">
        <f>IF(B1260=B1259,"",B1260)</f>
        <v>Xianju</v>
      </c>
    </row>
    <row r="1261" spans="1:6" ht="15.75" customHeight="1">
      <c r="A1261" s="5" t="str">
        <f ca="1">IFERROR(__xludf.DUMMYFUNCTION("GOOGLETRANSLATE(B26195,""en"",""pt"")"),"Xianju")</f>
        <v>Xianju</v>
      </c>
      <c r="B1261" s="17" t="s">
        <v>5181</v>
      </c>
      <c r="C1261" s="17" t="s">
        <v>4487</v>
      </c>
      <c r="D1261" s="17" t="s">
        <v>4631</v>
      </c>
      <c r="E1261" s="10">
        <v>1790413</v>
      </c>
      <c r="F1261" s="4" t="str">
        <f>IF(B1261=B1260,"",B1261)</f>
        <v/>
      </c>
    </row>
    <row r="1262" spans="1:6" ht="15.75" customHeight="1">
      <c r="A1262" s="5" t="s">
        <v>5180</v>
      </c>
      <c r="B1262" s="6" t="s">
        <v>5180</v>
      </c>
      <c r="C1262" s="5" t="s">
        <v>4487</v>
      </c>
      <c r="D1262" s="5" t="s">
        <v>4499</v>
      </c>
      <c r="E1262" s="2">
        <v>1790587</v>
      </c>
      <c r="F1262" s="4" t="str">
        <f>IF(B1262=B1261,"",B1262)</f>
        <v>Xiangyang</v>
      </c>
    </row>
    <row r="1263" spans="1:6" ht="15.75" customHeight="1">
      <c r="A1263" s="5" t="str">
        <f ca="1">IFERROR(__xludf.DUMMYFUNCTION("GOOGLETRANSLATE(B26200,""en"",""pt"")"),"Xiangyang")</f>
        <v>Xiangyang</v>
      </c>
      <c r="B1263" s="17" t="s">
        <v>5180</v>
      </c>
      <c r="C1263" s="17" t="s">
        <v>4487</v>
      </c>
      <c r="D1263" s="17" t="s">
        <v>4499</v>
      </c>
      <c r="E1263" s="10">
        <v>1790587</v>
      </c>
      <c r="F1263" s="4" t="str">
        <f>IF(B1263=B1262,"",B1263)</f>
        <v/>
      </c>
    </row>
    <row r="1264" spans="1:6" ht="15.75" customHeight="1">
      <c r="A1264" s="5" t="s">
        <v>5179</v>
      </c>
      <c r="B1264" s="6" t="s">
        <v>5179</v>
      </c>
      <c r="C1264" s="5" t="s">
        <v>4487</v>
      </c>
      <c r="D1264" s="5" t="s">
        <v>4495</v>
      </c>
      <c r="E1264" s="2">
        <v>1790471</v>
      </c>
      <c r="F1264" s="4" t="str">
        <f>IF(B1264=B1263,"",B1264)</f>
        <v>Xiangxiang</v>
      </c>
    </row>
    <row r="1265" spans="1:6" ht="15.75" customHeight="1">
      <c r="A1265" s="5" t="str">
        <f ca="1">IFERROR(__xludf.DUMMYFUNCTION("GOOGLETRANSLATE(B26198,""en"",""pt"")"),"Xiangxiang")</f>
        <v>Xiangxiang</v>
      </c>
      <c r="B1265" s="17" t="s">
        <v>5179</v>
      </c>
      <c r="C1265" s="17" t="s">
        <v>4487</v>
      </c>
      <c r="D1265" s="17" t="s">
        <v>4495</v>
      </c>
      <c r="E1265" s="10">
        <v>1790471</v>
      </c>
      <c r="F1265" s="4" t="str">
        <f>IF(B1265=B1264,"",B1265)</f>
        <v/>
      </c>
    </row>
    <row r="1266" spans="1:6" ht="15.75" customHeight="1">
      <c r="A1266" s="6" t="s">
        <v>5178</v>
      </c>
      <c r="B1266" s="6" t="s">
        <v>5178</v>
      </c>
      <c r="C1266" s="6" t="s">
        <v>4487</v>
      </c>
      <c r="D1266" s="6" t="s">
        <v>4495</v>
      </c>
      <c r="E1266" s="2">
        <v>1790492</v>
      </c>
      <c r="F1266" s="4" t="str">
        <f>IF(B1266=B1265,"",B1266)</f>
        <v>Xiangtan</v>
      </c>
    </row>
    <row r="1267" spans="1:6" ht="15.75" customHeight="1">
      <c r="A1267" s="5" t="str">
        <f ca="1">IFERROR(__xludf.DUMMYFUNCTION("GOOGLETRANSLATE(B26199,""en"",""pt"")"),"Xiangtan")</f>
        <v>Xiangtan</v>
      </c>
      <c r="B1267" s="17" t="s">
        <v>5178</v>
      </c>
      <c r="C1267" s="17" t="s">
        <v>4487</v>
      </c>
      <c r="D1267" s="17" t="s">
        <v>4495</v>
      </c>
      <c r="E1267" s="10">
        <v>1790492</v>
      </c>
      <c r="F1267" s="4" t="str">
        <f>IF(B1267=B1266,"",B1267)</f>
        <v/>
      </c>
    </row>
    <row r="1268" spans="1:6" ht="15.75" customHeight="1">
      <c r="A1268" s="5" t="s">
        <v>5177</v>
      </c>
      <c r="B1268" s="6" t="s">
        <v>5177</v>
      </c>
      <c r="C1268" s="5" t="s">
        <v>4487</v>
      </c>
      <c r="D1268" s="5" t="s">
        <v>4511</v>
      </c>
      <c r="E1268" s="2">
        <v>1790601</v>
      </c>
      <c r="F1268" s="4" t="str">
        <f>IF(B1268=B1267,"",B1268)</f>
        <v>Xiangcheng Chengguanzhen</v>
      </c>
    </row>
    <row r="1269" spans="1:6" ht="15.75" customHeight="1">
      <c r="A1269" s="5" t="str">
        <f ca="1">IFERROR(__xludf.DUMMYFUNCTION("GOOGLETRANSLATE(B26201,""en"",""pt"")"),"Xiangcheng Chengguanzhen")</f>
        <v>Xiangcheng Chengguanzhen</v>
      </c>
      <c r="B1269" s="17" t="s">
        <v>5177</v>
      </c>
      <c r="C1269" s="17" t="s">
        <v>4487</v>
      </c>
      <c r="D1269" s="17" t="s">
        <v>4511</v>
      </c>
      <c r="E1269" s="10">
        <v>1790601</v>
      </c>
      <c r="F1269" s="4" t="str">
        <f>IF(B1269=B1268,"",B1269)</f>
        <v/>
      </c>
    </row>
    <row r="1270" spans="1:6" ht="15.75" customHeight="1">
      <c r="A1270" s="6" t="s">
        <v>5175</v>
      </c>
      <c r="B1270" s="6" t="s">
        <v>5176</v>
      </c>
      <c r="C1270" s="6" t="s">
        <v>4487</v>
      </c>
      <c r="D1270" s="6" t="s">
        <v>4591</v>
      </c>
      <c r="E1270" s="2">
        <v>1790645</v>
      </c>
      <c r="F1270" s="4" t="str">
        <f>IF(B1270=B1269,"",B1270)</f>
        <v>Xiamen</v>
      </c>
    </row>
    <row r="1271" spans="1:6" ht="15.75" customHeight="1">
      <c r="A1271" s="5" t="str">
        <f ca="1">IFERROR(__xludf.DUMMYFUNCTION("GOOGLETRANSLATE(B26203,""en"",""pt"")"),"XIAMEN")</f>
        <v>XIAMEN</v>
      </c>
      <c r="B1271" s="17" t="s">
        <v>5176</v>
      </c>
      <c r="C1271" s="17" t="s">
        <v>4487</v>
      </c>
      <c r="D1271" s="17" t="s">
        <v>4591</v>
      </c>
      <c r="E1271" s="10">
        <v>1790645</v>
      </c>
      <c r="F1271" s="4" t="str">
        <f>IF(B1271=B1270,"",B1271)</f>
        <v/>
      </c>
    </row>
    <row r="1272" spans="1:6" ht="15.75" customHeight="1">
      <c r="A1272" s="6" t="s">
        <v>5173</v>
      </c>
      <c r="B1272" s="6" t="s">
        <v>5174</v>
      </c>
      <c r="C1272" s="6" t="s">
        <v>4487</v>
      </c>
      <c r="D1272" s="6" t="s">
        <v>4497</v>
      </c>
      <c r="E1272" s="2">
        <v>1790630</v>
      </c>
      <c r="F1272" s="4" t="str">
        <f>IF(B1272=B1271,"",B1272)</f>
        <v>Xiâ€™an</v>
      </c>
    </row>
    <row r="1273" spans="1:6" ht="15.75" customHeight="1">
      <c r="A1273" s="5" t="str">
        <f ca="1">IFERROR(__xludf.DUMMYFUNCTION("GOOGLETRANSLATE(B26202,""en"",""pt"")"),"Xi'an")</f>
        <v>Xi'an</v>
      </c>
      <c r="B1273" s="17" t="s">
        <v>31829</v>
      </c>
      <c r="C1273" s="17" t="s">
        <v>4487</v>
      </c>
      <c r="D1273" s="17" t="s">
        <v>4497</v>
      </c>
      <c r="E1273" s="10">
        <v>1790630</v>
      </c>
      <c r="F1273" s="4" t="str">
        <f>IF(B1273=B1272,"",B1273)</f>
        <v>Xi’an</v>
      </c>
    </row>
    <row r="1274" spans="1:6" ht="15.75" customHeight="1">
      <c r="A1274" s="6" t="s">
        <v>30454</v>
      </c>
      <c r="B1274" s="6" t="s">
        <v>30454</v>
      </c>
      <c r="C1274" s="6" t="s">
        <v>27788</v>
      </c>
      <c r="D1274" s="6" t="s">
        <v>27813</v>
      </c>
      <c r="E1274" s="2">
        <v>4528810</v>
      </c>
      <c r="F1274" s="4" t="str">
        <f>IF(B1274=B1273,"",B1274)</f>
        <v>Xenia</v>
      </c>
    </row>
    <row r="1275" spans="1:6" ht="15.75" customHeight="1">
      <c r="A1275" s="5" t="str">
        <f ca="1">IFERROR(__xludf.DUMMYFUNCTION("GOOGLETRANSLATE(B43535,""en"",""pt"")"),"Xenia")</f>
        <v>Xenia</v>
      </c>
      <c r="B1275" s="17" t="s">
        <v>30454</v>
      </c>
      <c r="C1275" s="17" t="s">
        <v>27788</v>
      </c>
      <c r="D1275" s="17" t="s">
        <v>27813</v>
      </c>
      <c r="E1275" s="10">
        <v>4528810</v>
      </c>
      <c r="F1275" s="4" t="str">
        <f>IF(B1275=B1274,"",B1275)</f>
        <v/>
      </c>
    </row>
    <row r="1276" spans="1:6" ht="15.75" customHeight="1">
      <c r="A1276" s="5" t="str">
        <f ca="1">IFERROR(__xludf.DUMMYFUNCTION("GOOGLETRANSLATE(B29101,""en"",""pt"")"),"Xàtiva")</f>
        <v>Xàtiva</v>
      </c>
      <c r="B1276" s="17" t="s">
        <v>32377</v>
      </c>
      <c r="C1276" s="17" t="s">
        <v>24200</v>
      </c>
      <c r="D1276" s="17" t="s">
        <v>21053</v>
      </c>
      <c r="E1276" s="10">
        <v>2516345</v>
      </c>
      <c r="F1276" s="4" t="str">
        <f>IF(B1276=B1275,"",B1276)</f>
        <v>Xàtiva</v>
      </c>
    </row>
    <row r="1277" spans="1:6" ht="15.75" customHeight="1">
      <c r="A1277" s="5" t="str">
        <f ca="1">IFERROR(__xludf.DUMMYFUNCTION("GOOGLETRANSLATE(B24427,""en"",""pt"")"),"Xanxerê")</f>
        <v>Xanxerê</v>
      </c>
      <c r="B1277" s="17" t="s">
        <v>31423</v>
      </c>
      <c r="C1277" s="17" t="s">
        <v>1905</v>
      </c>
      <c r="D1277" s="17" t="s">
        <v>2020</v>
      </c>
      <c r="E1277" s="10">
        <v>3444848</v>
      </c>
      <c r="F1277" s="4" t="str">
        <f>IF(B1277=B1276,"",B1277)</f>
        <v>Xanxerê</v>
      </c>
    </row>
    <row r="1278" spans="1:6" ht="15.75" customHeight="1">
      <c r="A1278" s="6" t="s">
        <v>3684</v>
      </c>
      <c r="B1278" s="6" t="s">
        <v>3685</v>
      </c>
      <c r="C1278" s="6" t="s">
        <v>1905</v>
      </c>
      <c r="D1278" s="6" t="s">
        <v>2020</v>
      </c>
      <c r="E1278" s="2">
        <v>3444848</v>
      </c>
      <c r="F1278" s="4" t="str">
        <f>IF(B1278=B1277,"",B1278)</f>
        <v>XanxerÃª</v>
      </c>
    </row>
    <row r="1279" spans="1:6" ht="15.75" customHeight="1">
      <c r="A1279" s="5" t="str">
        <f ca="1">IFERROR(__xludf.DUMMYFUNCTION("GOOGLETRANSLATE(B31029,""en"",""pt"")"),"Xánthi")</f>
        <v>Xánthi</v>
      </c>
      <c r="B1279" s="17" t="s">
        <v>32735</v>
      </c>
      <c r="C1279" s="17" t="s">
        <v>9441</v>
      </c>
      <c r="D1279" s="17" t="s">
        <v>9475</v>
      </c>
      <c r="E1279" s="10">
        <v>733840</v>
      </c>
      <c r="F1279" s="4" t="str">
        <f>IF(B1279=B1278,"",B1279)</f>
        <v>Xánthi</v>
      </c>
    </row>
    <row r="1280" spans="1:6" ht="15.75" customHeight="1">
      <c r="A1280" s="6" t="s">
        <v>9353</v>
      </c>
      <c r="B1280" s="6" t="s">
        <v>9353</v>
      </c>
      <c r="C1280" s="6" t="s">
        <v>8028</v>
      </c>
      <c r="D1280" s="6" t="s">
        <v>8029</v>
      </c>
      <c r="E1280" s="2">
        <v>2805385</v>
      </c>
      <c r="F1280" s="4" t="str">
        <f>IF(B1280=B1279,"",B1280)</f>
        <v>Xanten</v>
      </c>
    </row>
    <row r="1281" spans="1:6" ht="15.75" customHeight="1">
      <c r="A1281" s="5" t="str">
        <f ca="1">IFERROR(__xludf.DUMMYFUNCTION("GOOGLETRANSLATE(B27351,""en"",""pt"")"),"Xanten")</f>
        <v>Xanten</v>
      </c>
      <c r="B1281" s="17" t="s">
        <v>9353</v>
      </c>
      <c r="C1281" s="17" t="s">
        <v>8028</v>
      </c>
      <c r="D1281" s="17" t="s">
        <v>8029</v>
      </c>
      <c r="E1281" s="10">
        <v>2805385</v>
      </c>
      <c r="F1281" s="4" t="str">
        <f>IF(B1281=B1280,"",B1281)</f>
        <v/>
      </c>
    </row>
    <row r="1282" spans="1:6" ht="15.75" customHeight="1">
      <c r="A1282" s="6" t="s">
        <v>1262</v>
      </c>
      <c r="B1282" s="6" t="s">
        <v>1262</v>
      </c>
      <c r="C1282" s="6" t="s">
        <v>1170</v>
      </c>
      <c r="D1282" s="6" t="s">
        <v>1263</v>
      </c>
      <c r="E1282" s="2">
        <v>146970</v>
      </c>
      <c r="F1282" s="4" t="str">
        <f>IF(B1282=B1281,"",B1282)</f>
        <v>Xankandi</v>
      </c>
    </row>
    <row r="1283" spans="1:6" ht="15.75" customHeight="1">
      <c r="A1283" s="5" t="str">
        <f ca="1">IFERROR(__xludf.DUMMYFUNCTION("GOOGLETRANSLATE(B23615,""en"",""pt"")"),"Xankandi")</f>
        <v>Xankandi</v>
      </c>
      <c r="B1283" s="17" t="s">
        <v>1262</v>
      </c>
      <c r="C1283" s="17" t="s">
        <v>1170</v>
      </c>
      <c r="D1283" s="17" t="s">
        <v>31225</v>
      </c>
      <c r="E1283" s="10">
        <v>146970</v>
      </c>
      <c r="F1283" s="4" t="str">
        <f>IF(B1283=B1282,"",B1283)</f>
        <v/>
      </c>
    </row>
    <row r="1284" spans="1:6" ht="15.75" customHeight="1">
      <c r="A1284" s="6" t="s">
        <v>16978</v>
      </c>
      <c r="B1284" s="6" t="s">
        <v>16978</v>
      </c>
      <c r="C1284" s="6" t="s">
        <v>16954</v>
      </c>
      <c r="D1284" s="6" t="s">
        <v>16979</v>
      </c>
      <c r="E1284" s="2">
        <v>1652203</v>
      </c>
      <c r="F1284" s="4" t="str">
        <f>IF(B1284=B1283,"",B1284)</f>
        <v>Xam Nua</v>
      </c>
    </row>
    <row r="1285" spans="1:6" ht="15.75" customHeight="1">
      <c r="A1285" s="5" t="str">
        <f ca="1">IFERROR(__xludf.DUMMYFUNCTION("GOOGLETRANSLATE(B36264,""en"",""pt"")"),"Xam Nua")</f>
        <v>Xam Nua</v>
      </c>
      <c r="B1285" s="17" t="s">
        <v>16978</v>
      </c>
      <c r="C1285" s="17" t="s">
        <v>16954</v>
      </c>
      <c r="D1285" s="17" t="s">
        <v>16979</v>
      </c>
      <c r="E1285" s="10">
        <v>1652203</v>
      </c>
      <c r="F1285" s="4" t="str">
        <f>IF(B1285=B1284,"",B1285)</f>
        <v/>
      </c>
    </row>
    <row r="1286" spans="1:6" ht="15.75" customHeight="1">
      <c r="A1286" s="5" t="str">
        <f ca="1">IFERROR(__xludf.DUMMYFUNCTION("GOOGLETRANSLATE(B37004,""en"",""pt"")"),"XALAPA DE ENRÍQUEZ")</f>
        <v>XALAPA DE ENRÍQUEZ</v>
      </c>
      <c r="B1286" s="17" t="s">
        <v>34696</v>
      </c>
      <c r="C1286" s="17" t="s">
        <v>17707</v>
      </c>
      <c r="D1286" s="17" t="s">
        <v>17708</v>
      </c>
      <c r="E1286" s="10">
        <v>3526617</v>
      </c>
      <c r="F1286" s="4" t="str">
        <f>IF(B1286=B1285,"",B1286)</f>
        <v>Xalapa de Enríquez</v>
      </c>
    </row>
    <row r="1287" spans="1:6" ht="15.75" customHeight="1">
      <c r="A1287" s="5" t="s">
        <v>18416</v>
      </c>
      <c r="B1287" s="6" t="s">
        <v>18417</v>
      </c>
      <c r="C1287" s="5" t="s">
        <v>17707</v>
      </c>
      <c r="D1287" s="5" t="s">
        <v>17708</v>
      </c>
      <c r="E1287" s="2">
        <v>3526617</v>
      </c>
      <c r="F1287" s="4" t="str">
        <f>IF(B1287=B1286,"",B1287)</f>
        <v>Xalapa de EnrÃ­quez</v>
      </c>
    </row>
    <row r="1288" spans="1:6" ht="15.75" customHeight="1">
      <c r="A1288" s="6" t="s">
        <v>18693</v>
      </c>
      <c r="B1288" s="6" t="s">
        <v>18694</v>
      </c>
      <c r="C1288" s="6" t="s">
        <v>18655</v>
      </c>
      <c r="D1288" s="6" t="s">
        <v>18661</v>
      </c>
      <c r="E1288" s="2">
        <v>1024552</v>
      </c>
      <c r="F1288" s="4" t="str">
        <f>IF(B1288=B1287,"",B1288)</f>
        <v>Xai-Xai</v>
      </c>
    </row>
    <row r="1289" spans="1:6" ht="15.75" customHeight="1">
      <c r="A1289" s="5" t="str">
        <f ca="1">IFERROR(__xludf.DUMMYFUNCTION("GOOGLETRANSLATE(B37540,""en"",""pt"")"),"Xai-xai")</f>
        <v>Xai-xai</v>
      </c>
      <c r="B1289" s="17" t="s">
        <v>18694</v>
      </c>
      <c r="C1289" s="17" t="s">
        <v>18655</v>
      </c>
      <c r="D1289" s="17" t="s">
        <v>18661</v>
      </c>
      <c r="E1289" s="10">
        <v>1024552</v>
      </c>
      <c r="F1289" s="4" t="str">
        <f>IF(B1289=B1288,"",B1289)</f>
        <v/>
      </c>
    </row>
    <row r="1290" spans="1:6" ht="15.75" customHeight="1">
      <c r="A1290" s="5" t="str">
        <f ca="1">IFERROR(__xludf.DUMMYFUNCTION("GOOGLETRANSLATE(B23635,""en"",""pt"")"),"Xaçmaz")</f>
        <v>Xaçmaz</v>
      </c>
      <c r="B1290" s="17" t="s">
        <v>31233</v>
      </c>
      <c r="C1290" s="17" t="s">
        <v>1170</v>
      </c>
      <c r="D1290" s="17" t="s">
        <v>31233</v>
      </c>
      <c r="E1290" s="10">
        <v>584717</v>
      </c>
      <c r="F1290" s="4" t="str">
        <f>IF(B1290=B1289,"",B1290)</f>
        <v>Xaçmaz</v>
      </c>
    </row>
    <row r="1291" spans="1:6" ht="15.75" customHeight="1">
      <c r="A1291" s="6" t="s">
        <v>1260</v>
      </c>
      <c r="B1291" s="6" t="s">
        <v>1261</v>
      </c>
      <c r="C1291" s="6" t="s">
        <v>1170</v>
      </c>
      <c r="D1291" s="6" t="s">
        <v>1261</v>
      </c>
      <c r="E1291" s="2">
        <v>584717</v>
      </c>
      <c r="F1291" s="4" t="str">
        <f>IF(B1291=B1290,"",B1291)</f>
        <v>XaÃ§maz</v>
      </c>
    </row>
    <row r="1292" spans="1:6" ht="15.75" customHeight="1">
      <c r="A1292" s="6" t="s">
        <v>9660</v>
      </c>
      <c r="B1292" s="6" t="s">
        <v>9661</v>
      </c>
      <c r="C1292" s="6" t="s">
        <v>9441</v>
      </c>
      <c r="D1292" s="6" t="s">
        <v>9475</v>
      </c>
      <c r="E1292" s="2">
        <v>733840</v>
      </c>
      <c r="F1292" s="4" t="str">
        <f>IF(B1292=B1291,"",B1292)</f>
        <v>XÃ¡nthi</v>
      </c>
    </row>
    <row r="1293" spans="1:6" ht="15.75" customHeight="1">
      <c r="A1293" s="6" t="s">
        <v>24915</v>
      </c>
      <c r="B1293" s="6" t="s">
        <v>24916</v>
      </c>
      <c r="C1293" s="6" t="s">
        <v>24200</v>
      </c>
      <c r="D1293" s="6" t="s">
        <v>21053</v>
      </c>
      <c r="E1293" s="2">
        <v>2516345</v>
      </c>
      <c r="F1293" s="4" t="str">
        <f>IF(B1293=B1292,"",B1293)</f>
        <v>XÃ tiva</v>
      </c>
    </row>
    <row r="1294" spans="1:6" ht="15.75" customHeight="1">
      <c r="A1294" s="5" t="str">
        <f ca="1">IFERROR(__xludf.DUMMYFUNCTION("GOOGLETRANSLATE(B39181,""en"",""pt"")"),"Wyszków")</f>
        <v>Wyszków</v>
      </c>
      <c r="B1294" s="17" t="s">
        <v>35066</v>
      </c>
      <c r="C1294" s="17" t="s">
        <v>21064</v>
      </c>
      <c r="D1294" s="17" t="s">
        <v>21070</v>
      </c>
      <c r="E1294" s="10">
        <v>754454</v>
      </c>
      <c r="F1294" s="4" t="str">
        <f>IF(B1294=B1293,"",B1294)</f>
        <v>Wyszków</v>
      </c>
    </row>
    <row r="1295" spans="1:6" ht="15.75" customHeight="1">
      <c r="A1295" s="6" t="s">
        <v>21580</v>
      </c>
      <c r="B1295" s="6" t="s">
        <v>21581</v>
      </c>
      <c r="C1295" s="6" t="s">
        <v>21064</v>
      </c>
      <c r="D1295" s="6" t="s">
        <v>21070</v>
      </c>
      <c r="E1295" s="2">
        <v>754454</v>
      </c>
      <c r="F1295" s="4" t="str">
        <f>IF(B1295=B1294,"",B1295)</f>
        <v>WyszkÃ³w</v>
      </c>
    </row>
    <row r="1296" spans="1:6" ht="15.75" customHeight="1">
      <c r="A1296" s="6" t="s">
        <v>28189</v>
      </c>
      <c r="B1296" s="6" t="s">
        <v>28189</v>
      </c>
      <c r="C1296" s="6" t="s">
        <v>27788</v>
      </c>
      <c r="D1296" s="6" t="s">
        <v>27804</v>
      </c>
      <c r="E1296" s="2">
        <v>5015618</v>
      </c>
      <c r="F1296" s="4" t="str">
        <f>IF(B1296=B1295,"",B1296)</f>
        <v>Wyoming</v>
      </c>
    </row>
    <row r="1297" spans="1:6" ht="15.75" customHeight="1">
      <c r="A1297" s="5" t="str">
        <f ca="1">IFERROR(__xludf.DUMMYFUNCTION("GOOGLETRANSLATE(B44136,""en"",""pt"")"),"Wyoming")</f>
        <v>Wyoming</v>
      </c>
      <c r="B1297" s="17" t="s">
        <v>28189</v>
      </c>
      <c r="C1297" s="17" t="s">
        <v>27788</v>
      </c>
      <c r="D1297" s="17" t="s">
        <v>27804</v>
      </c>
      <c r="E1297" s="10">
        <v>5015618</v>
      </c>
      <c r="F1297" s="4" t="str">
        <f>IF(B1297=B1296,"",B1297)</f>
        <v/>
      </c>
    </row>
    <row r="1298" spans="1:6" ht="15.75" customHeight="1">
      <c r="A1298" s="5" t="s">
        <v>1115</v>
      </c>
      <c r="B1298" s="6" t="s">
        <v>1115</v>
      </c>
      <c r="C1298" s="5" t="s">
        <v>885</v>
      </c>
      <c r="D1298" s="5" t="s">
        <v>827</v>
      </c>
      <c r="E1298" s="2">
        <v>8348078</v>
      </c>
      <c r="F1298" s="4" t="str">
        <f>IF(B1298=B1297,"",B1298)</f>
        <v>Wyndham Vale</v>
      </c>
    </row>
    <row r="1299" spans="1:6" ht="15.75" customHeight="1">
      <c r="A1299" s="5" t="str">
        <f ca="1">IFERROR(__xludf.DUMMYFUNCTION("GOOGLETRANSLATE(B23597,""en"",""pt"")"),"Wyndham Vale")</f>
        <v>Wyndham Vale</v>
      </c>
      <c r="B1299" s="17" t="s">
        <v>1115</v>
      </c>
      <c r="C1299" s="17" t="s">
        <v>885</v>
      </c>
      <c r="D1299" s="17" t="s">
        <v>827</v>
      </c>
      <c r="E1299" s="10">
        <v>8348078</v>
      </c>
      <c r="F1299" s="4" t="str">
        <f>IF(B1299=B1298,"",B1299)</f>
        <v/>
      </c>
    </row>
    <row r="1300" spans="1:6" ht="15.75" customHeight="1">
      <c r="A1300" s="6" t="s">
        <v>30453</v>
      </c>
      <c r="B1300" s="6" t="s">
        <v>30453</v>
      </c>
      <c r="C1300" s="6" t="s">
        <v>27788</v>
      </c>
      <c r="D1300" s="6" t="s">
        <v>27905</v>
      </c>
      <c r="E1300" s="2">
        <v>5106615</v>
      </c>
      <c r="F1300" s="4" t="str">
        <f>IF(B1300=B1299,"",B1300)</f>
        <v>Wyckoff</v>
      </c>
    </row>
    <row r="1301" spans="1:6" ht="15.75" customHeight="1">
      <c r="A1301" s="5" t="str">
        <f ca="1">IFERROR(__xludf.DUMMYFUNCTION("GOOGLETRANSLATE(B44329,""en"",""pt"")"),"Wyckoff")</f>
        <v>Wyckoff</v>
      </c>
      <c r="B1301" s="17" t="s">
        <v>30453</v>
      </c>
      <c r="C1301" s="17" t="s">
        <v>27788</v>
      </c>
      <c r="D1301" s="17" t="s">
        <v>27905</v>
      </c>
      <c r="E1301" s="10">
        <v>5106615</v>
      </c>
      <c r="F1301" s="4" t="str">
        <f>IF(B1301=B1300,"",B1301)</f>
        <v/>
      </c>
    </row>
    <row r="1302" spans="1:6" ht="15.75" customHeight="1">
      <c r="A1302" s="5" t="s">
        <v>30452</v>
      </c>
      <c r="B1302" s="6" t="s">
        <v>30452</v>
      </c>
      <c r="C1302" s="5" t="s">
        <v>27788</v>
      </c>
      <c r="D1302" s="5" t="s">
        <v>27804</v>
      </c>
      <c r="E1302" s="2">
        <v>5015599</v>
      </c>
      <c r="F1302" s="4" t="str">
        <f>IF(B1302=B1301,"",B1302)</f>
        <v>Wyandotte</v>
      </c>
    </row>
    <row r="1303" spans="1:6" ht="15.75" customHeight="1">
      <c r="A1303" s="5" t="str">
        <f ca="1">IFERROR(__xludf.DUMMYFUNCTION("GOOGLETRANSLATE(B44135,""en"",""pt"")"),"Wyandotte")</f>
        <v>Wyandotte</v>
      </c>
      <c r="B1303" s="17" t="s">
        <v>30452</v>
      </c>
      <c r="C1303" s="17" t="s">
        <v>27788</v>
      </c>
      <c r="D1303" s="17" t="s">
        <v>27804</v>
      </c>
      <c r="E1303" s="10">
        <v>5015599</v>
      </c>
      <c r="F1303" s="4" t="str">
        <f>IF(B1303=B1302,"",B1303)</f>
        <v/>
      </c>
    </row>
    <row r="1304" spans="1:6" ht="15.75" customHeight="1">
      <c r="A1304" s="6" t="s">
        <v>5172</v>
      </c>
      <c r="B1304" s="6" t="s">
        <v>5172</v>
      </c>
      <c r="C1304" s="6" t="s">
        <v>4487</v>
      </c>
      <c r="D1304" s="6" t="s">
        <v>4516</v>
      </c>
      <c r="E1304" s="2">
        <v>1790840</v>
      </c>
      <c r="F1304" s="4" t="str">
        <f>IF(B1304=B1303,"",B1304)</f>
        <v>Wuzhou</v>
      </c>
    </row>
    <row r="1305" spans="1:6" ht="15.75" customHeight="1">
      <c r="A1305" s="5" t="str">
        <f ca="1">IFERROR(__xludf.DUMMYFUNCTION("GOOGLETRANSLATE(B26204,""en"",""pt"")"),"Wuzhou")</f>
        <v>Wuzhou</v>
      </c>
      <c r="B1305" s="17" t="s">
        <v>5172</v>
      </c>
      <c r="C1305" s="17" t="s">
        <v>4487</v>
      </c>
      <c r="D1305" s="17" t="s">
        <v>4516</v>
      </c>
      <c r="E1305" s="10">
        <v>1790840</v>
      </c>
      <c r="F1305" s="4" t="str">
        <f>IF(B1305=B1304,"",B1305)</f>
        <v/>
      </c>
    </row>
    <row r="1306" spans="1:6" ht="15.75" customHeight="1">
      <c r="A1306" s="6" t="s">
        <v>5171</v>
      </c>
      <c r="B1306" s="6" t="s">
        <v>5171</v>
      </c>
      <c r="C1306" s="6" t="s">
        <v>4487</v>
      </c>
      <c r="D1306" s="6" t="s">
        <v>4501</v>
      </c>
      <c r="E1306" s="2">
        <v>1790885</v>
      </c>
      <c r="F1306" s="4" t="str">
        <f>IF(B1306=B1305,"",B1306)</f>
        <v>Wuyang</v>
      </c>
    </row>
    <row r="1307" spans="1:6" ht="15.75" customHeight="1">
      <c r="A1307" s="5" t="str">
        <f ca="1">IFERROR(__xludf.DUMMYFUNCTION("GOOGLETRANSLATE(B26205,""en"",""pt"")"),"Wuyang")</f>
        <v>Wuyang</v>
      </c>
      <c r="B1307" s="17" t="s">
        <v>5171</v>
      </c>
      <c r="C1307" s="17" t="s">
        <v>4487</v>
      </c>
      <c r="D1307" s="17" t="s">
        <v>4501</v>
      </c>
      <c r="E1307" s="10">
        <v>1790885</v>
      </c>
      <c r="F1307" s="4" t="str">
        <f>IF(B1307=B1306,"",B1307)</f>
        <v/>
      </c>
    </row>
    <row r="1308" spans="1:6" ht="15.75" customHeight="1">
      <c r="A1308" s="6" t="s">
        <v>5170</v>
      </c>
      <c r="B1308" s="6" t="s">
        <v>5170</v>
      </c>
      <c r="C1308" s="6" t="s">
        <v>4487</v>
      </c>
      <c r="D1308" s="6" t="s">
        <v>4499</v>
      </c>
      <c r="E1308" s="2">
        <v>1790894</v>
      </c>
      <c r="F1308" s="4" t="str">
        <f>IF(B1308=B1307,"",B1308)</f>
        <v>Wuxue</v>
      </c>
    </row>
    <row r="1309" spans="1:6" ht="15.75" customHeight="1">
      <c r="A1309" s="5" t="str">
        <f ca="1">IFERROR(__xludf.DUMMYFUNCTION("GOOGLETRANSLATE(B26206,""en"",""pt"")"),"Wuxue")</f>
        <v>Wuxue</v>
      </c>
      <c r="B1309" s="17" t="s">
        <v>5170</v>
      </c>
      <c r="C1309" s="17" t="s">
        <v>4487</v>
      </c>
      <c r="D1309" s="17" t="s">
        <v>4499</v>
      </c>
      <c r="E1309" s="10">
        <v>1790894</v>
      </c>
      <c r="F1309" s="4" t="str">
        <f>IF(B1309=B1308,"",B1309)</f>
        <v/>
      </c>
    </row>
    <row r="1310" spans="1:6" ht="15.75" customHeight="1">
      <c r="A1310" s="6" t="s">
        <v>5169</v>
      </c>
      <c r="B1310" s="6" t="s">
        <v>5169</v>
      </c>
      <c r="C1310" s="6" t="s">
        <v>4487</v>
      </c>
      <c r="D1310" s="6" t="s">
        <v>4535</v>
      </c>
      <c r="E1310" s="2">
        <v>1790923</v>
      </c>
      <c r="F1310" s="4" t="str">
        <f>IF(B1310=B1309,"",B1310)</f>
        <v>Wuxi</v>
      </c>
    </row>
    <row r="1311" spans="1:6" ht="15.75" customHeight="1">
      <c r="A1311" s="6" t="s">
        <v>5169</v>
      </c>
      <c r="B1311" s="6" t="s">
        <v>5169</v>
      </c>
      <c r="C1311" s="6" t="s">
        <v>4487</v>
      </c>
      <c r="D1311" s="6" t="s">
        <v>4495</v>
      </c>
      <c r="E1311" s="2">
        <v>1797417</v>
      </c>
      <c r="F1311" s="4" t="str">
        <f>IF(B1311=B1310,"",B1311)</f>
        <v/>
      </c>
    </row>
    <row r="1312" spans="1:6" ht="15.75" customHeight="1">
      <c r="A1312" s="5" t="str">
        <f ca="1">IFERROR(__xludf.DUMMYFUNCTION("GOOGLETRANSLATE(B26207,""en"",""pt"")"),"Wuxi")</f>
        <v>Wuxi</v>
      </c>
      <c r="B1312" s="17" t="s">
        <v>5169</v>
      </c>
      <c r="C1312" s="17" t="s">
        <v>4487</v>
      </c>
      <c r="D1312" s="17" t="s">
        <v>4535</v>
      </c>
      <c r="E1312" s="10">
        <v>1790923</v>
      </c>
      <c r="F1312" s="4" t="str">
        <f>IF(B1312=B1311,"",B1312)</f>
        <v/>
      </c>
    </row>
    <row r="1313" spans="1:6" ht="15.75" customHeight="1">
      <c r="A1313" s="5" t="str">
        <f ca="1">IFERROR(__xludf.DUMMYFUNCTION("GOOGLETRANSLATE(B26297,""en"",""pt"")"),"Wuxi")</f>
        <v>Wuxi</v>
      </c>
      <c r="B1313" s="17" t="s">
        <v>5169</v>
      </c>
      <c r="C1313" s="17" t="s">
        <v>4487</v>
      </c>
      <c r="D1313" s="17" t="s">
        <v>4495</v>
      </c>
      <c r="E1313" s="10">
        <v>1797417</v>
      </c>
      <c r="F1313" s="4" t="str">
        <f>IF(B1313=B1312,"",B1313)</f>
        <v/>
      </c>
    </row>
    <row r="1314" spans="1:6" ht="15.75" customHeight="1">
      <c r="A1314" s="6" t="s">
        <v>5168</v>
      </c>
      <c r="B1314" s="6" t="s">
        <v>5168</v>
      </c>
      <c r="C1314" s="6" t="s">
        <v>4487</v>
      </c>
      <c r="D1314" s="6" t="s">
        <v>4526</v>
      </c>
      <c r="E1314" s="2">
        <v>1803936</v>
      </c>
      <c r="F1314" s="4" t="str">
        <f>IF(B1314=B1313,"",B1314)</f>
        <v>Wuwei</v>
      </c>
    </row>
    <row r="1315" spans="1:6" ht="15.75" customHeight="1">
      <c r="A1315" s="5" t="str">
        <f ca="1">IFERROR(__xludf.DUMMYFUNCTION("GOOGLETRANSLATE(B26403,""en"",""pt"")"),"Wuwei")</f>
        <v>Wuwei</v>
      </c>
      <c r="B1315" s="17" t="s">
        <v>5168</v>
      </c>
      <c r="C1315" s="17" t="s">
        <v>4487</v>
      </c>
      <c r="D1315" s="17" t="s">
        <v>4526</v>
      </c>
      <c r="E1315" s="10">
        <v>1803936</v>
      </c>
      <c r="F1315" s="4" t="str">
        <f>IF(B1315=B1314,"",B1315)</f>
        <v/>
      </c>
    </row>
    <row r="1316" spans="1:6" ht="15.75" customHeight="1">
      <c r="A1316" s="5" t="s">
        <v>1722</v>
      </c>
      <c r="B1316" s="6" t="s">
        <v>1722</v>
      </c>
      <c r="C1316" s="5" t="s">
        <v>1512</v>
      </c>
      <c r="D1316" s="5" t="s">
        <v>1513</v>
      </c>
      <c r="E1316" s="2">
        <v>2783416</v>
      </c>
      <c r="F1316" s="4" t="str">
        <f>IF(B1316=B1315,"",B1316)</f>
        <v>Wuustwezel</v>
      </c>
    </row>
    <row r="1317" spans="1:6" ht="15.75" customHeight="1">
      <c r="A1317" s="5" t="str">
        <f ca="1">IFERROR(__xludf.DUMMYFUNCTION("GOOGLETRANSLATE(B23800,""en"",""pt"")"),"Wuustwezel")</f>
        <v>Wuustwezel</v>
      </c>
      <c r="B1317" s="17" t="s">
        <v>1722</v>
      </c>
      <c r="C1317" s="17" t="s">
        <v>1512</v>
      </c>
      <c r="D1317" s="17" t="s">
        <v>1513</v>
      </c>
      <c r="E1317" s="10">
        <v>2783416</v>
      </c>
      <c r="F1317" s="4" t="str">
        <f>IF(B1317=B1316,"",B1317)</f>
        <v/>
      </c>
    </row>
    <row r="1318" spans="1:6" ht="15.75" customHeight="1">
      <c r="A1318" s="6" t="s">
        <v>5166</v>
      </c>
      <c r="B1318" s="6" t="s">
        <v>5167</v>
      </c>
      <c r="C1318" s="6" t="s">
        <v>4487</v>
      </c>
      <c r="D1318" s="6" t="s">
        <v>4501</v>
      </c>
      <c r="E1318" s="2">
        <v>1792621</v>
      </c>
      <c r="F1318" s="4" t="str">
        <f>IF(B1318=B1317,"",B1318)</f>
        <v>Wusong</v>
      </c>
    </row>
    <row r="1319" spans="1:6" ht="15.75" customHeight="1">
      <c r="A1319" s="5" t="str">
        <f ca="1">IFERROR(__xludf.DUMMYFUNCTION("GOOGLETRANSLATE(B26231,""en"",""pt"")"),"WUSONG")</f>
        <v>WUSONG</v>
      </c>
      <c r="B1319" s="17" t="s">
        <v>5167</v>
      </c>
      <c r="C1319" s="17" t="s">
        <v>4487</v>
      </c>
      <c r="D1319" s="17" t="s">
        <v>4501</v>
      </c>
      <c r="E1319" s="10">
        <v>1792621</v>
      </c>
      <c r="F1319" s="4" t="str">
        <f>IF(B1319=B1318,"",B1319)</f>
        <v/>
      </c>
    </row>
    <row r="1320" spans="1:6" ht="15.75" customHeight="1">
      <c r="A1320" s="6" t="s">
        <v>9352</v>
      </c>
      <c r="B1320" s="6" t="s">
        <v>9352</v>
      </c>
      <c r="C1320" s="6" t="s">
        <v>8028</v>
      </c>
      <c r="D1320" s="6" t="s">
        <v>8072</v>
      </c>
      <c r="E1320" s="2">
        <v>2805597</v>
      </c>
      <c r="F1320" s="4" t="str">
        <f>IF(B1320=B1319,"",B1320)</f>
        <v>Wurzen</v>
      </c>
    </row>
    <row r="1321" spans="1:6" ht="15.75" customHeight="1">
      <c r="A1321" s="5" t="str">
        <f ca="1">IFERROR(__xludf.DUMMYFUNCTION("GOOGLETRANSLATE(B27352,""en"",""pt"")"),"Wurzen")</f>
        <v>Wurzen</v>
      </c>
      <c r="B1321" s="17" t="s">
        <v>9352</v>
      </c>
      <c r="C1321" s="17" t="s">
        <v>8028</v>
      </c>
      <c r="D1321" s="17" t="s">
        <v>8072</v>
      </c>
      <c r="E1321" s="10">
        <v>2805597</v>
      </c>
      <c r="F1321" s="4" t="str">
        <f>IF(B1321=B1320,"",B1321)</f>
        <v/>
      </c>
    </row>
    <row r="1322" spans="1:6" ht="15.75" customHeight="1">
      <c r="A1322" s="5" t="str">
        <f ca="1">IFERROR(__xludf.DUMMYFUNCTION("GOOGLETRANSLATE(B27353,""en"",""pt"")"),"Würzburg")</f>
        <v>Würzburg</v>
      </c>
      <c r="B1322" s="17" t="s">
        <v>32008</v>
      </c>
      <c r="C1322" s="17" t="s">
        <v>8028</v>
      </c>
      <c r="D1322" s="17" t="s">
        <v>8044</v>
      </c>
      <c r="E1322" s="10">
        <v>2805615</v>
      </c>
      <c r="F1322" s="4" t="str">
        <f>IF(B1322=B1321,"",B1322)</f>
        <v>Würzburg</v>
      </c>
    </row>
    <row r="1323" spans="1:6" ht="15.75" customHeight="1">
      <c r="A1323" s="5" t="str">
        <f ca="1">IFERROR(__xludf.DUMMYFUNCTION("GOOGLETRANSLATE(B27354,""en"",""pt"")"),"Würselen")</f>
        <v>Würselen</v>
      </c>
      <c r="B1323" s="17" t="s">
        <v>32009</v>
      </c>
      <c r="C1323" s="17" t="s">
        <v>8028</v>
      </c>
      <c r="D1323" s="17" t="s">
        <v>8029</v>
      </c>
      <c r="E1323" s="10">
        <v>2805644</v>
      </c>
      <c r="F1323" s="4" t="str">
        <f>IF(B1323=B1322,"",B1323)</f>
        <v>Würselen</v>
      </c>
    </row>
    <row r="1324" spans="1:6" ht="15.75" customHeight="1">
      <c r="A1324" s="5" t="s">
        <v>9351</v>
      </c>
      <c r="B1324" s="6" t="s">
        <v>9351</v>
      </c>
      <c r="C1324" s="5" t="s">
        <v>8028</v>
      </c>
      <c r="D1324" s="5" t="s">
        <v>8029</v>
      </c>
      <c r="E1324" s="2">
        <v>2805753</v>
      </c>
      <c r="F1324" s="4" t="str">
        <f>IF(B1324=B1323,"",B1324)</f>
        <v>Wuppertal</v>
      </c>
    </row>
    <row r="1325" spans="1:6" ht="15.75" customHeight="1">
      <c r="A1325" s="5" t="str">
        <f ca="1">IFERROR(__xludf.DUMMYFUNCTION("GOOGLETRANSLATE(B27355,""en"",""pt"")"),"Wuppertal")</f>
        <v>Wuppertal</v>
      </c>
      <c r="B1325" s="17" t="s">
        <v>9351</v>
      </c>
      <c r="C1325" s="17" t="s">
        <v>8028</v>
      </c>
      <c r="D1325" s="17" t="s">
        <v>8029</v>
      </c>
      <c r="E1325" s="10">
        <v>2805753</v>
      </c>
      <c r="F1325" s="4" t="str">
        <f>IF(B1325=B1324,"",B1325)</f>
        <v/>
      </c>
    </row>
    <row r="1326" spans="1:6" ht="15.75" customHeight="1">
      <c r="A1326" s="6" t="s">
        <v>9350</v>
      </c>
      <c r="B1326" s="6" t="s">
        <v>9350</v>
      </c>
      <c r="C1326" s="6" t="s">
        <v>8028</v>
      </c>
      <c r="D1326" s="6" t="s">
        <v>8034</v>
      </c>
      <c r="E1326" s="2">
        <v>2805761</v>
      </c>
      <c r="F1326" s="4" t="str">
        <f>IF(B1326=B1325,"",B1326)</f>
        <v>Wunstorf</v>
      </c>
    </row>
    <row r="1327" spans="1:6" ht="15.75" customHeight="1">
      <c r="A1327" s="5" t="str">
        <f ca="1">IFERROR(__xludf.DUMMYFUNCTION("GOOGLETRANSLATE(B27356,""en"",""pt"")"),"Wunstorf")</f>
        <v>Wunstorf</v>
      </c>
      <c r="B1327" s="17" t="s">
        <v>9350</v>
      </c>
      <c r="C1327" s="17" t="s">
        <v>8028</v>
      </c>
      <c r="D1327" s="17" t="s">
        <v>8034</v>
      </c>
      <c r="E1327" s="10">
        <v>2805761</v>
      </c>
      <c r="F1327" s="4" t="str">
        <f>IF(B1327=B1326,"",B1327)</f>
        <v/>
      </c>
    </row>
    <row r="1328" spans="1:6" ht="15.75" customHeight="1">
      <c r="A1328" s="6" t="s">
        <v>3969</v>
      </c>
      <c r="B1328" s="6" t="s">
        <v>3970</v>
      </c>
      <c r="C1328" s="6" t="s">
        <v>3884</v>
      </c>
      <c r="D1328" s="6" t="s">
        <v>3895</v>
      </c>
      <c r="E1328" s="2">
        <v>2221053</v>
      </c>
      <c r="F1328" s="4" t="str">
        <f>IF(B1328=B1327,"",B1328)</f>
        <v>Wum</v>
      </c>
    </row>
    <row r="1329" spans="1:6" ht="15.75" customHeight="1">
      <c r="A1329" s="5" t="str">
        <f ca="1">IFERROR(__xludf.DUMMYFUNCTION("GOOGLETRANSLATE(B25982,""en"",""pt"")"),"Wum")</f>
        <v>Wum</v>
      </c>
      <c r="B1329" s="17" t="s">
        <v>3970</v>
      </c>
      <c r="C1329" s="17" t="s">
        <v>3884</v>
      </c>
      <c r="D1329" s="17" t="s">
        <v>3895</v>
      </c>
      <c r="E1329" s="10">
        <v>2221053</v>
      </c>
      <c r="F1329" s="4" t="str">
        <f>IF(B1329=B1328,"",B1329)</f>
        <v/>
      </c>
    </row>
    <row r="1330" spans="1:6" ht="15.75" customHeight="1">
      <c r="A1330" s="5" t="str">
        <f ca="1">IFERROR(__xludf.DUMMYFUNCTION("GOOGLETRANSLATE(B27357,""en"",""pt"")"),"Wülfrath")</f>
        <v>Wülfrath</v>
      </c>
      <c r="B1330" s="17" t="s">
        <v>32010</v>
      </c>
      <c r="C1330" s="17" t="s">
        <v>8028</v>
      </c>
      <c r="D1330" s="17" t="s">
        <v>8029</v>
      </c>
      <c r="E1330" s="10">
        <v>2805910</v>
      </c>
      <c r="F1330" s="4" t="str">
        <f>IF(B1330=B1329,"",B1330)</f>
        <v>Wülfrath</v>
      </c>
    </row>
    <row r="1331" spans="1:6" ht="15.75" customHeight="1">
      <c r="A1331" s="6" t="s">
        <v>19579</v>
      </c>
      <c r="B1331" s="6" t="s">
        <v>19579</v>
      </c>
      <c r="C1331" s="6" t="s">
        <v>19294</v>
      </c>
      <c r="D1331" s="6" t="s">
        <v>19341</v>
      </c>
      <c r="E1331" s="2">
        <v>2318921</v>
      </c>
      <c r="F1331" s="4" t="str">
        <f>IF(B1331=B1330,"",B1331)</f>
        <v>Wukari</v>
      </c>
    </row>
    <row r="1332" spans="1:6" ht="15.75" customHeight="1">
      <c r="A1332" s="5" t="str">
        <f ca="1">IFERROR(__xludf.DUMMYFUNCTION("GOOGLETRANSLATE(B37612,""en"",""pt"")"),"Wukari")</f>
        <v>Wukari</v>
      </c>
      <c r="B1332" s="17" t="s">
        <v>19579</v>
      </c>
      <c r="C1332" s="17" t="s">
        <v>19294</v>
      </c>
      <c r="D1332" s="17" t="s">
        <v>19341</v>
      </c>
      <c r="E1332" s="10">
        <v>2318921</v>
      </c>
      <c r="F1332" s="4" t="str">
        <f>IF(B1332=B1331,"",B1332)</f>
        <v/>
      </c>
    </row>
    <row r="1333" spans="1:6" ht="15.75" customHeight="1">
      <c r="A1333" s="6" t="s">
        <v>5165</v>
      </c>
      <c r="B1333" s="6" t="s">
        <v>5165</v>
      </c>
      <c r="C1333" s="6" t="s">
        <v>4487</v>
      </c>
      <c r="D1333" s="6" t="s">
        <v>4501</v>
      </c>
      <c r="E1333" s="2">
        <v>1791236</v>
      </c>
      <c r="F1333" s="4" t="str">
        <f>IF(B1333=B1332,"",B1333)</f>
        <v>Wuhu</v>
      </c>
    </row>
    <row r="1334" spans="1:6" ht="15.75" customHeight="1">
      <c r="A1334" s="5" t="str">
        <f ca="1">IFERROR(__xludf.DUMMYFUNCTION("GOOGLETRANSLATE(B26210,""en"",""pt"")"),"Wuhu")</f>
        <v>Wuhu</v>
      </c>
      <c r="B1334" s="17" t="s">
        <v>5165</v>
      </c>
      <c r="C1334" s="17" t="s">
        <v>4487</v>
      </c>
      <c r="D1334" s="17" t="s">
        <v>4501</v>
      </c>
      <c r="E1334" s="10">
        <v>1791236</v>
      </c>
      <c r="F1334" s="4" t="str">
        <f>IF(B1334=B1333,"",B1334)</f>
        <v/>
      </c>
    </row>
    <row r="1335" spans="1:6" ht="15.75" customHeight="1">
      <c r="A1335" s="6" t="s">
        <v>5164</v>
      </c>
      <c r="B1335" s="6" t="s">
        <v>5164</v>
      </c>
      <c r="C1335" s="6" t="s">
        <v>4487</v>
      </c>
      <c r="D1335" s="6" t="s">
        <v>4499</v>
      </c>
      <c r="E1335" s="2">
        <v>1791247</v>
      </c>
      <c r="F1335" s="4" t="str">
        <f>IF(B1335=B1334,"",B1335)</f>
        <v>Wuhan</v>
      </c>
    </row>
    <row r="1336" spans="1:6" ht="15.75" customHeight="1">
      <c r="A1336" s="5" t="str">
        <f ca="1">IFERROR(__xludf.DUMMYFUNCTION("GOOGLETRANSLATE(B26211,""en"",""pt"")"),"Wuhan")</f>
        <v>Wuhan</v>
      </c>
      <c r="B1336" s="17" t="s">
        <v>5164</v>
      </c>
      <c r="C1336" s="17" t="s">
        <v>4487</v>
      </c>
      <c r="D1336" s="17" t="s">
        <v>4499</v>
      </c>
      <c r="E1336" s="10">
        <v>1791247</v>
      </c>
      <c r="F1336" s="4" t="str">
        <f>IF(B1336=B1335,"",B1336)</f>
        <v/>
      </c>
    </row>
    <row r="1337" spans="1:6" ht="15.75" customHeight="1">
      <c r="A1337" s="6" t="s">
        <v>5163</v>
      </c>
      <c r="B1337" s="6" t="s">
        <v>5163</v>
      </c>
      <c r="C1337" s="6" t="s">
        <v>4487</v>
      </c>
      <c r="D1337" s="6" t="s">
        <v>4533</v>
      </c>
      <c r="E1337" s="2">
        <v>1791249</v>
      </c>
      <c r="F1337" s="4" t="str">
        <f>IF(B1337=B1336,"",B1337)</f>
        <v>Wuhai</v>
      </c>
    </row>
    <row r="1338" spans="1:6" ht="15.75" customHeight="1">
      <c r="A1338" s="5" t="str">
        <f ca="1">IFERROR(__xludf.DUMMYFUNCTION("GOOGLETRANSLATE(B26212,""en"",""pt"")"),"Wuhai")</f>
        <v>Wuhai</v>
      </c>
      <c r="B1338" s="17" t="s">
        <v>5163</v>
      </c>
      <c r="C1338" s="17" t="s">
        <v>4487</v>
      </c>
      <c r="D1338" s="17" t="s">
        <v>4533</v>
      </c>
      <c r="E1338" s="10">
        <v>1791249</v>
      </c>
      <c r="F1338" s="4" t="str">
        <f>IF(B1338=B1337,"",B1338)</f>
        <v/>
      </c>
    </row>
    <row r="1339" spans="1:6" ht="15.75" customHeight="1">
      <c r="A1339" s="6" t="s">
        <v>19578</v>
      </c>
      <c r="B1339" s="6" t="s">
        <v>19578</v>
      </c>
      <c r="C1339" s="6" t="s">
        <v>19294</v>
      </c>
      <c r="D1339" s="6" t="s">
        <v>19406</v>
      </c>
      <c r="E1339" s="2">
        <v>2318933</v>
      </c>
      <c r="F1339" s="4" t="str">
        <f>IF(B1339=B1338,"",B1339)</f>
        <v>Wudil</v>
      </c>
    </row>
    <row r="1340" spans="1:6" ht="15.75" customHeight="1">
      <c r="A1340" s="5" t="str">
        <f ca="1">IFERROR(__xludf.DUMMYFUNCTION("GOOGLETRANSLATE(B37613,""en"",""pt"")"),"Wudil")</f>
        <v>Wudil</v>
      </c>
      <c r="B1340" s="17" t="s">
        <v>19578</v>
      </c>
      <c r="C1340" s="17" t="s">
        <v>19294</v>
      </c>
      <c r="D1340" s="17" t="s">
        <v>19406</v>
      </c>
      <c r="E1340" s="10">
        <v>2318933</v>
      </c>
      <c r="F1340" s="4" t="str">
        <f>IF(B1340=B1339,"",B1340)</f>
        <v/>
      </c>
    </row>
    <row r="1341" spans="1:6" ht="15.75" customHeight="1">
      <c r="A1341" s="6" t="s">
        <v>5162</v>
      </c>
      <c r="B1341" s="6" t="s">
        <v>5162</v>
      </c>
      <c r="C1341" s="6" t="s">
        <v>4487</v>
      </c>
      <c r="D1341" s="6" t="s">
        <v>4533</v>
      </c>
      <c r="E1341" s="2">
        <v>1791325</v>
      </c>
      <c r="F1341" s="4" t="str">
        <f>IF(B1341=B1340,"",B1341)</f>
        <v>Wuda</v>
      </c>
    </row>
    <row r="1342" spans="1:6" ht="15.75" customHeight="1">
      <c r="A1342" s="5" t="str">
        <f ca="1">IFERROR(__xludf.DUMMYFUNCTION("GOOGLETRANSLATE(B26213,""en"",""pt"")"),"Wuda")</f>
        <v>Wuda</v>
      </c>
      <c r="B1342" s="17" t="s">
        <v>5162</v>
      </c>
      <c r="C1342" s="17" t="s">
        <v>4487</v>
      </c>
      <c r="D1342" s="17" t="s">
        <v>4533</v>
      </c>
      <c r="E1342" s="10">
        <v>1791325</v>
      </c>
      <c r="F1342" s="4" t="str">
        <f>IF(B1342=B1341,"",B1342)</f>
        <v/>
      </c>
    </row>
    <row r="1343" spans="1:6" ht="15.75" customHeight="1">
      <c r="A1343" s="6" t="s">
        <v>5161</v>
      </c>
      <c r="B1343" s="6" t="s">
        <v>5161</v>
      </c>
      <c r="C1343" s="6" t="s">
        <v>4487</v>
      </c>
      <c r="D1343" s="6" t="s">
        <v>4492</v>
      </c>
      <c r="E1343" s="2">
        <v>1800829</v>
      </c>
      <c r="F1343" s="4" t="str">
        <f>IF(B1343=B1342,"",B1343)</f>
        <v>Wuchuan</v>
      </c>
    </row>
    <row r="1344" spans="1:6" ht="15.75" customHeight="1">
      <c r="A1344" s="5" t="str">
        <f ca="1">IFERROR(__xludf.DUMMYFUNCTION("GOOGLETRANSLATE(B26359,""en"",""pt"")"),"Wuchuan")</f>
        <v>Wuchuan</v>
      </c>
      <c r="B1344" s="17" t="s">
        <v>5161</v>
      </c>
      <c r="C1344" s="17" t="s">
        <v>4487</v>
      </c>
      <c r="D1344" s="17" t="s">
        <v>4492</v>
      </c>
      <c r="E1344" s="10">
        <v>1800829</v>
      </c>
      <c r="F1344" s="4" t="str">
        <f>IF(B1344=B1343,"",B1344)</f>
        <v/>
      </c>
    </row>
    <row r="1345" spans="1:6" ht="15.75" customHeight="1">
      <c r="A1345" s="6" t="s">
        <v>5160</v>
      </c>
      <c r="B1345" s="6" t="s">
        <v>5160</v>
      </c>
      <c r="C1345" s="6" t="s">
        <v>4487</v>
      </c>
      <c r="D1345" s="6" t="s">
        <v>4501</v>
      </c>
      <c r="E1345" s="2">
        <v>1791347</v>
      </c>
      <c r="F1345" s="4" t="str">
        <f>IF(B1345=B1344,"",B1345)</f>
        <v>Wucheng</v>
      </c>
    </row>
    <row r="1346" spans="1:6" ht="15.75" customHeight="1">
      <c r="A1346" s="5" t="str">
        <f ca="1">IFERROR(__xludf.DUMMYFUNCTION("GOOGLETRANSLATE(B26214,""en"",""pt"")"),"Wucheng")</f>
        <v>Wucheng</v>
      </c>
      <c r="B1346" s="17" t="s">
        <v>5160</v>
      </c>
      <c r="C1346" s="17" t="s">
        <v>4487</v>
      </c>
      <c r="D1346" s="17" t="s">
        <v>4501</v>
      </c>
      <c r="E1346" s="10">
        <v>1791347</v>
      </c>
      <c r="F1346" s="4" t="str">
        <f>IF(B1346=B1345,"",B1346)</f>
        <v/>
      </c>
    </row>
    <row r="1347" spans="1:6" ht="15.75" customHeight="1">
      <c r="A1347" s="6" t="s">
        <v>5159</v>
      </c>
      <c r="B1347" s="6" t="s">
        <v>5159</v>
      </c>
      <c r="C1347" s="6" t="s">
        <v>4487</v>
      </c>
      <c r="D1347" s="6" t="s">
        <v>4488</v>
      </c>
      <c r="E1347" s="2">
        <v>2034141</v>
      </c>
      <c r="F1347" s="4" t="str">
        <f>IF(B1347=B1346,"",B1347)</f>
        <v>Wuchang</v>
      </c>
    </row>
    <row r="1348" spans="1:6" ht="15.75" customHeight="1">
      <c r="A1348" s="5" t="str">
        <f ca="1">IFERROR(__xludf.DUMMYFUNCTION("GOOGLETRANSLATE(B26670,""en"",""pt"")"),"Wuchang")</f>
        <v>Wuchang</v>
      </c>
      <c r="B1348" s="17" t="s">
        <v>5159</v>
      </c>
      <c r="C1348" s="17" t="s">
        <v>4487</v>
      </c>
      <c r="D1348" s="17" t="s">
        <v>4488</v>
      </c>
      <c r="E1348" s="10">
        <v>2034141</v>
      </c>
      <c r="F1348" s="4" t="str">
        <f>IF(B1348=B1347,"",B1348)</f>
        <v/>
      </c>
    </row>
    <row r="1349" spans="1:6" ht="15.75" customHeight="1">
      <c r="A1349" s="5" t="str">
        <f ca="1">IFERROR(__xludf.DUMMYFUNCTION("GOOGLETRANSLATE(B39313,""en"",""pt"")"),"Września")</f>
        <v>Września</v>
      </c>
      <c r="B1349" s="17" t="s">
        <v>35145</v>
      </c>
      <c r="C1349" s="17" t="s">
        <v>21064</v>
      </c>
      <c r="D1349" s="17" t="s">
        <v>21112</v>
      </c>
      <c r="E1349" s="10">
        <v>3081324</v>
      </c>
      <c r="F1349" s="4" t="str">
        <f>IF(B1349=B1348,"",B1349)</f>
        <v>Września</v>
      </c>
    </row>
    <row r="1350" spans="1:6" ht="15.75" customHeight="1">
      <c r="A1350" s="5" t="s">
        <v>21578</v>
      </c>
      <c r="B1350" s="6" t="s">
        <v>21579</v>
      </c>
      <c r="C1350" s="5" t="s">
        <v>21064</v>
      </c>
      <c r="D1350" s="5" t="s">
        <v>21112</v>
      </c>
      <c r="E1350" s="2">
        <v>3081324</v>
      </c>
      <c r="F1350" s="4" t="str">
        <f>IF(B1350=B1349,"",B1350)</f>
        <v>WrzeÅ›nia</v>
      </c>
    </row>
    <row r="1351" spans="1:6" ht="15.75" customHeight="1">
      <c r="A1351" s="5" t="str">
        <f ca="1">IFERROR(__xludf.DUMMYFUNCTION("GOOGLETRANSLATE(B39314,""en"",""pt"")"),"Wrocław")</f>
        <v>Wrocław</v>
      </c>
      <c r="B1351" s="17" t="s">
        <v>35146</v>
      </c>
      <c r="C1351" s="17" t="s">
        <v>21064</v>
      </c>
      <c r="D1351" s="17" t="s">
        <v>21118</v>
      </c>
      <c r="E1351" s="10">
        <v>3081368</v>
      </c>
      <c r="F1351" s="4" t="str">
        <f>IF(B1351=B1350,"",B1351)</f>
        <v>Wrocław</v>
      </c>
    </row>
    <row r="1352" spans="1:6" ht="15.75" customHeight="1">
      <c r="A1352" s="5" t="s">
        <v>21576</v>
      </c>
      <c r="B1352" s="6" t="s">
        <v>21577</v>
      </c>
      <c r="C1352" s="5" t="s">
        <v>21064</v>
      </c>
      <c r="D1352" s="5" t="s">
        <v>21118</v>
      </c>
      <c r="E1352" s="2">
        <v>3081368</v>
      </c>
      <c r="F1352" s="4" t="str">
        <f>IF(B1352=B1351,"",B1352)</f>
        <v>WrocÅ‚aw</v>
      </c>
    </row>
    <row r="1353" spans="1:6" ht="15.75" customHeight="1">
      <c r="A1353" s="6" t="s">
        <v>30451</v>
      </c>
      <c r="B1353" s="6" t="s">
        <v>30451</v>
      </c>
      <c r="C1353" s="6" t="s">
        <v>27788</v>
      </c>
      <c r="D1353" s="6" t="s">
        <v>5468</v>
      </c>
      <c r="E1353" s="2">
        <v>4178775</v>
      </c>
      <c r="F1353" s="4" t="str">
        <f>IF(B1353=B1352,"",B1353)</f>
        <v>Wright</v>
      </c>
    </row>
    <row r="1354" spans="1:6" ht="15.75" customHeight="1">
      <c r="A1354" s="5" t="str">
        <f ca="1">IFERROR(__xludf.DUMMYFUNCTION("GOOGLETRANSLATE(B43056,""en"",""pt"")"),"Wright")</f>
        <v>Wright</v>
      </c>
      <c r="B1354" s="17" t="s">
        <v>30451</v>
      </c>
      <c r="C1354" s="17" t="s">
        <v>27788</v>
      </c>
      <c r="D1354" s="17" t="s">
        <v>5468</v>
      </c>
      <c r="E1354" s="10">
        <v>4178775</v>
      </c>
      <c r="F1354" s="4" t="str">
        <f>IF(B1354=B1353,"",B1354)</f>
        <v/>
      </c>
    </row>
    <row r="1355" spans="1:6" ht="15.75" customHeight="1">
      <c r="A1355" s="6" t="s">
        <v>27779</v>
      </c>
      <c r="B1355" s="6" t="s">
        <v>27779</v>
      </c>
      <c r="C1355" s="6" t="s">
        <v>27234</v>
      </c>
      <c r="D1355" s="6" t="s">
        <v>27235</v>
      </c>
      <c r="E1355" s="2">
        <v>2633485</v>
      </c>
      <c r="F1355" s="4" t="str">
        <f>IF(B1355=B1354,"",B1355)</f>
        <v>Wrexham</v>
      </c>
    </row>
    <row r="1356" spans="1:6" ht="15.75" customHeight="1">
      <c r="A1356" s="5" t="str">
        <f ca="1">IFERROR(__xludf.DUMMYFUNCTION("GOOGLETRANSLATE(B30318,""en"",""pt"")"),"Wrexham")</f>
        <v>Wrexham</v>
      </c>
      <c r="B1356" s="17" t="s">
        <v>27779</v>
      </c>
      <c r="C1356" s="17" t="s">
        <v>27234</v>
      </c>
      <c r="D1356" s="17" t="s">
        <v>27235</v>
      </c>
      <c r="E1356" s="10">
        <v>2633485</v>
      </c>
      <c r="F1356" s="4" t="str">
        <f>IF(B1356=B1355,"",B1356)</f>
        <v/>
      </c>
    </row>
    <row r="1357" spans="1:6" ht="15.75" customHeight="1">
      <c r="A1357" s="6" t="s">
        <v>27778</v>
      </c>
      <c r="B1357" s="6" t="s">
        <v>27778</v>
      </c>
      <c r="C1357" s="6" t="s">
        <v>27234</v>
      </c>
      <c r="D1357" s="6" t="s">
        <v>27241</v>
      </c>
      <c r="E1357" s="2">
        <v>2633521</v>
      </c>
      <c r="F1357" s="4" t="str">
        <f>IF(B1357=B1356,"",B1357)</f>
        <v>Worthing</v>
      </c>
    </row>
    <row r="1358" spans="1:6" ht="15.75" customHeight="1">
      <c r="A1358" s="5" t="str">
        <f ca="1">IFERROR(__xludf.DUMMYFUNCTION("GOOGLETRANSLATE(B30319,""en"",""pt"")"),"Worthing")</f>
        <v>Worthing</v>
      </c>
      <c r="B1358" s="17" t="s">
        <v>27778</v>
      </c>
      <c r="C1358" s="17" t="s">
        <v>27234</v>
      </c>
      <c r="D1358" s="17" t="s">
        <v>27241</v>
      </c>
      <c r="E1358" s="10">
        <v>2633521</v>
      </c>
      <c r="F1358" s="4" t="str">
        <f>IF(B1358=B1357,"",B1358)</f>
        <v/>
      </c>
    </row>
    <row r="1359" spans="1:6" ht="15.75" customHeight="1">
      <c r="A1359" s="5" t="str">
        <f ca="1">IFERROR(__xludf.DUMMYFUNCTION("GOOGLETRANSLATE(B27358,""en"",""pt"")"),"Wörth Am Rhein")</f>
        <v>Wörth Am Rhein</v>
      </c>
      <c r="B1359" s="17" t="s">
        <v>32011</v>
      </c>
      <c r="C1359" s="17" t="s">
        <v>8028</v>
      </c>
      <c r="D1359" s="17" t="s">
        <v>8065</v>
      </c>
      <c r="E1359" s="10">
        <v>2806081</v>
      </c>
      <c r="F1359" s="4" t="str">
        <f>IF(B1359=B1358,"",B1359)</f>
        <v>Wörth am Rhein</v>
      </c>
    </row>
    <row r="1360" spans="1:6" ht="15.75" customHeight="1">
      <c r="A1360" s="6" t="s">
        <v>9348</v>
      </c>
      <c r="B1360" s="6" t="s">
        <v>9349</v>
      </c>
      <c r="C1360" s="6" t="s">
        <v>8028</v>
      </c>
      <c r="D1360" s="6" t="s">
        <v>8065</v>
      </c>
      <c r="E1360" s="2">
        <v>2806142</v>
      </c>
      <c r="F1360" s="4" t="str">
        <f>IF(B1360=B1359,"",B1360)</f>
        <v>Worms</v>
      </c>
    </row>
    <row r="1361" spans="1:6" ht="15.75" customHeight="1">
      <c r="A1361" s="5" t="str">
        <f ca="1">IFERROR(__xludf.DUMMYFUNCTION("GOOGLETRANSLATE(B27359,""en"",""pt"")"),"Vermes")</f>
        <v>Vermes</v>
      </c>
      <c r="B1361" s="17" t="s">
        <v>9349</v>
      </c>
      <c r="C1361" s="17" t="s">
        <v>8028</v>
      </c>
      <c r="D1361" s="17" t="s">
        <v>8065</v>
      </c>
      <c r="E1361" s="10">
        <v>2806142</v>
      </c>
      <c r="F1361" s="4" t="str">
        <f>IF(B1361=B1360,"",B1361)</f>
        <v/>
      </c>
    </row>
    <row r="1362" spans="1:6" ht="15.75" customHeight="1">
      <c r="A1362" s="6" t="s">
        <v>27776</v>
      </c>
      <c r="B1362" s="6" t="s">
        <v>27777</v>
      </c>
      <c r="C1362" s="6" t="s">
        <v>27234</v>
      </c>
      <c r="D1362" s="6" t="s">
        <v>27241</v>
      </c>
      <c r="E1362" s="2">
        <v>2633551</v>
      </c>
      <c r="F1362" s="4" t="str">
        <f>IF(B1362=B1361,"",B1362)</f>
        <v>Worksop</v>
      </c>
    </row>
    <row r="1363" spans="1:6" ht="15.75" customHeight="1">
      <c r="A1363" s="5" t="str">
        <f ca="1">IFERROR(__xludf.DUMMYFUNCTION("GOOGLETRANSLATE(B30320,""en"",""pt"")"),"WorksOP")</f>
        <v>WorksOP</v>
      </c>
      <c r="B1363" s="17" t="s">
        <v>27777</v>
      </c>
      <c r="C1363" s="17" t="s">
        <v>27234</v>
      </c>
      <c r="D1363" s="17" t="s">
        <v>27241</v>
      </c>
      <c r="E1363" s="10">
        <v>2633551</v>
      </c>
      <c r="F1363" s="4" t="str">
        <f>IF(B1363=B1362,"",B1363)</f>
        <v/>
      </c>
    </row>
    <row r="1364" spans="1:6" ht="15.75" customHeight="1">
      <c r="A1364" s="5" t="s">
        <v>27775</v>
      </c>
      <c r="B1364" s="6" t="s">
        <v>27775</v>
      </c>
      <c r="C1364" s="5" t="s">
        <v>27234</v>
      </c>
      <c r="D1364" s="5" t="s">
        <v>27241</v>
      </c>
      <c r="E1364" s="2">
        <v>2633553</v>
      </c>
      <c r="F1364" s="4" t="str">
        <f>IF(B1364=B1363,"",B1364)</f>
        <v>Workington</v>
      </c>
    </row>
    <row r="1365" spans="1:6" ht="15.75" customHeight="1">
      <c r="A1365" s="5" t="str">
        <f ca="1">IFERROR(__xludf.DUMMYFUNCTION("GOOGLETRANSLATE(B30321,""en"",""pt"")"),"Workington")</f>
        <v>Workington</v>
      </c>
      <c r="B1365" s="17" t="s">
        <v>27775</v>
      </c>
      <c r="C1365" s="17" t="s">
        <v>27234</v>
      </c>
      <c r="D1365" s="17" t="s">
        <v>27241</v>
      </c>
      <c r="E1365" s="10">
        <v>2633553</v>
      </c>
      <c r="F1365" s="4" t="str">
        <f>IF(B1365=B1364,"",B1365)</f>
        <v/>
      </c>
    </row>
    <row r="1366" spans="1:6" ht="15.75" customHeight="1">
      <c r="A1366" s="5" t="s">
        <v>24019</v>
      </c>
      <c r="B1366" s="6" t="s">
        <v>24019</v>
      </c>
      <c r="C1366" s="5" t="s">
        <v>23842</v>
      </c>
      <c r="D1366" s="5" t="s">
        <v>23847</v>
      </c>
      <c r="E1366" s="2">
        <v>3359041</v>
      </c>
      <c r="F1366" s="4" t="str">
        <f>IF(B1366=B1365,"",B1366)</f>
        <v>Worcester</v>
      </c>
    </row>
    <row r="1367" spans="1:6" ht="15.75" customHeight="1">
      <c r="A1367" s="5" t="s">
        <v>24019</v>
      </c>
      <c r="B1367" s="6" t="s">
        <v>24019</v>
      </c>
      <c r="C1367" s="5" t="s">
        <v>27234</v>
      </c>
      <c r="D1367" s="5" t="s">
        <v>27241</v>
      </c>
      <c r="E1367" s="2">
        <v>2633563</v>
      </c>
      <c r="F1367" s="4" t="str">
        <f>IF(B1367=B1366,"",B1367)</f>
        <v/>
      </c>
    </row>
    <row r="1368" spans="1:6" ht="15.75" customHeight="1">
      <c r="A1368" s="5" t="s">
        <v>24019</v>
      </c>
      <c r="B1368" s="6" t="s">
        <v>24019</v>
      </c>
      <c r="C1368" s="5" t="s">
        <v>27788</v>
      </c>
      <c r="D1368" s="5" t="s">
        <v>27794</v>
      </c>
      <c r="E1368" s="2">
        <v>4956184</v>
      </c>
      <c r="F1368" s="4" t="str">
        <f>IF(B1368=B1367,"",B1368)</f>
        <v/>
      </c>
    </row>
    <row r="1369" spans="1:6" ht="15.75" customHeight="1">
      <c r="A1369" s="5" t="str">
        <f ca="1">IFERROR(__xludf.DUMMYFUNCTION("GOOGLETRANSLATE(B30322,""en"",""pt"")"),"Worcester")</f>
        <v>Worcester</v>
      </c>
      <c r="B1369" s="17" t="s">
        <v>24019</v>
      </c>
      <c r="C1369" s="17" t="s">
        <v>27234</v>
      </c>
      <c r="D1369" s="17" t="s">
        <v>27241</v>
      </c>
      <c r="E1369" s="10">
        <v>2633563</v>
      </c>
      <c r="F1369" s="4" t="str">
        <f>IF(B1369=B1368,"",B1369)</f>
        <v/>
      </c>
    </row>
    <row r="1370" spans="1:6" ht="15.75" customHeight="1">
      <c r="A1370" s="5" t="str">
        <f ca="1">IFERROR(__xludf.DUMMYFUNCTION("GOOGLETRANSLATE(B44048,""en"",""pt"")"),"Worcester")</f>
        <v>Worcester</v>
      </c>
      <c r="B1370" s="17" t="s">
        <v>24019</v>
      </c>
      <c r="C1370" s="17" t="s">
        <v>27788</v>
      </c>
      <c r="D1370" s="17" t="s">
        <v>27794</v>
      </c>
      <c r="E1370" s="10">
        <v>4956184</v>
      </c>
      <c r="F1370" s="4" t="str">
        <f>IF(B1370=B1369,"",B1370)</f>
        <v/>
      </c>
    </row>
    <row r="1371" spans="1:6" ht="15.75" customHeight="1">
      <c r="A1371" s="5" t="str">
        <f ca="1">IFERROR(__xludf.DUMMYFUNCTION("GOOGLETRANSLATE(B45987,""en"",""pt"")"),"Worcester")</f>
        <v>Worcester</v>
      </c>
      <c r="B1371" s="17" t="s">
        <v>24019</v>
      </c>
      <c r="C1371" s="17" t="s">
        <v>23842</v>
      </c>
      <c r="D1371" s="17" t="s">
        <v>23847</v>
      </c>
      <c r="E1371" s="10">
        <v>3359041</v>
      </c>
      <c r="F1371" s="4" t="str">
        <f>IF(B1371=B1370,"",B1371)</f>
        <v/>
      </c>
    </row>
    <row r="1372" spans="1:6" ht="15.75" customHeight="1">
      <c r="A1372" s="6" t="s">
        <v>30450</v>
      </c>
      <c r="B1372" s="6" t="s">
        <v>30450</v>
      </c>
      <c r="C1372" s="6" t="s">
        <v>27788</v>
      </c>
      <c r="D1372" s="6" t="s">
        <v>27813</v>
      </c>
      <c r="E1372" s="2">
        <v>5177358</v>
      </c>
      <c r="F1372" s="4" t="str">
        <f>IF(B1372=B1371,"",B1372)</f>
        <v>Wooster</v>
      </c>
    </row>
    <row r="1373" spans="1:6" ht="15.75" customHeight="1">
      <c r="A1373" s="5" t="str">
        <f ca="1">IFERROR(__xludf.DUMMYFUNCTION("GOOGLETRANSLATE(B44558,""en"",""pt"")"),"Wooster")</f>
        <v>Wooster</v>
      </c>
      <c r="B1373" s="17" t="s">
        <v>30450</v>
      </c>
      <c r="C1373" s="17" t="s">
        <v>27788</v>
      </c>
      <c r="D1373" s="17" t="s">
        <v>27813</v>
      </c>
      <c r="E1373" s="10">
        <v>5177358</v>
      </c>
      <c r="F1373" s="4" t="str">
        <f>IF(B1373=B1372,"",B1373)</f>
        <v/>
      </c>
    </row>
    <row r="1374" spans="1:6" ht="15.75" customHeight="1">
      <c r="A1374" s="5" t="s">
        <v>30449</v>
      </c>
      <c r="B1374" s="6" t="s">
        <v>30449</v>
      </c>
      <c r="C1374" s="5" t="s">
        <v>27788</v>
      </c>
      <c r="D1374" s="5" t="s">
        <v>27951</v>
      </c>
      <c r="E1374" s="2">
        <v>5225809</v>
      </c>
      <c r="F1374" s="4" t="str">
        <f>IF(B1374=B1373,"",B1374)</f>
        <v>Woonsocket</v>
      </c>
    </row>
    <row r="1375" spans="1:6" ht="15.75" customHeight="1">
      <c r="A1375" s="5" t="str">
        <f ca="1">IFERROR(__xludf.DUMMYFUNCTION("GOOGLETRANSLATE(B44622,""en"",""pt"")"),"Woonsocket")</f>
        <v>Woonsocket</v>
      </c>
      <c r="B1375" s="17" t="s">
        <v>30449</v>
      </c>
      <c r="C1375" s="17" t="s">
        <v>27788</v>
      </c>
      <c r="D1375" s="17" t="s">
        <v>27951</v>
      </c>
      <c r="E1375" s="10">
        <v>5225809</v>
      </c>
      <c r="F1375" s="4" t="str">
        <f>IF(B1375=B1374,"",B1375)</f>
        <v/>
      </c>
    </row>
    <row r="1376" spans="1:6" ht="15.75" customHeight="1">
      <c r="A1376" s="5" t="s">
        <v>4251</v>
      </c>
      <c r="B1376" s="6" t="s">
        <v>4251</v>
      </c>
      <c r="C1376" s="5" t="s">
        <v>3975</v>
      </c>
      <c r="D1376" s="5" t="s">
        <v>3980</v>
      </c>
      <c r="E1376" s="2">
        <v>6184365</v>
      </c>
      <c r="F1376" s="4" t="str">
        <f>IF(B1376=B1375,"",B1376)</f>
        <v>Woodstock</v>
      </c>
    </row>
    <row r="1377" spans="1:6" ht="15.75" customHeight="1">
      <c r="A1377" s="5" t="s">
        <v>4251</v>
      </c>
      <c r="B1377" s="6" t="s">
        <v>4251</v>
      </c>
      <c r="C1377" s="5" t="s">
        <v>27788</v>
      </c>
      <c r="D1377" s="5" t="s">
        <v>7988</v>
      </c>
      <c r="E1377" s="2">
        <v>4231874</v>
      </c>
      <c r="F1377" s="4" t="str">
        <f>IF(B1377=B1376,"",B1377)</f>
        <v/>
      </c>
    </row>
    <row r="1378" spans="1:6" ht="15.75" customHeight="1">
      <c r="A1378" s="5" t="s">
        <v>4251</v>
      </c>
      <c r="B1378" s="6" t="s">
        <v>4251</v>
      </c>
      <c r="C1378" s="5" t="s">
        <v>27788</v>
      </c>
      <c r="D1378" s="5" t="s">
        <v>27799</v>
      </c>
      <c r="E1378" s="2">
        <v>4917123</v>
      </c>
      <c r="F1378" s="4" t="str">
        <f>IF(B1378=B1377,"",B1378)</f>
        <v/>
      </c>
    </row>
    <row r="1379" spans="1:6" ht="15.75" customHeight="1">
      <c r="A1379" s="5" t="str">
        <f ca="1">IFERROR(__xludf.DUMMYFUNCTION("GOOGLETRANSLATE(B25617,""en"",""pt"")"),"Woodstock")</f>
        <v>Woodstock</v>
      </c>
      <c r="B1379" s="17" t="s">
        <v>4251</v>
      </c>
      <c r="C1379" s="17" t="s">
        <v>3975</v>
      </c>
      <c r="D1379" s="17" t="s">
        <v>3980</v>
      </c>
      <c r="E1379" s="10">
        <v>6184365</v>
      </c>
      <c r="F1379" s="4" t="str">
        <f>IF(B1379=B1378,"",B1379)</f>
        <v/>
      </c>
    </row>
    <row r="1380" spans="1:6" ht="15.75" customHeight="1">
      <c r="A1380" s="5" t="str">
        <f ca="1">IFERROR(__xludf.DUMMYFUNCTION("GOOGLETRANSLATE(B43122,""en"",""pt"")"),"Woodstock")</f>
        <v>Woodstock</v>
      </c>
      <c r="B1380" s="17" t="s">
        <v>4251</v>
      </c>
      <c r="C1380" s="17" t="s">
        <v>27788</v>
      </c>
      <c r="D1380" s="17" t="s">
        <v>7988</v>
      </c>
      <c r="E1380" s="10">
        <v>4231874</v>
      </c>
      <c r="F1380" s="4" t="str">
        <f>IF(B1380=B1379,"",B1380)</f>
        <v/>
      </c>
    </row>
    <row r="1381" spans="1:6" ht="15.75" customHeight="1">
      <c r="A1381" s="5" t="str">
        <f ca="1">IFERROR(__xludf.DUMMYFUNCTION("GOOGLETRANSLATE(B43904,""en"",""pt"")"),"Woodstock")</f>
        <v>Woodstock</v>
      </c>
      <c r="B1381" s="17" t="s">
        <v>4251</v>
      </c>
      <c r="C1381" s="17" t="s">
        <v>27788</v>
      </c>
      <c r="D1381" s="17" t="s">
        <v>27799</v>
      </c>
      <c r="E1381" s="10">
        <v>4917123</v>
      </c>
      <c r="F1381" s="4" t="str">
        <f>IF(B1381=B1380,"",B1381)</f>
        <v/>
      </c>
    </row>
    <row r="1382" spans="1:6" ht="15.75" customHeight="1">
      <c r="A1382" s="5" t="s">
        <v>1114</v>
      </c>
      <c r="B1382" s="6" t="s">
        <v>1114</v>
      </c>
      <c r="C1382" s="5" t="s">
        <v>885</v>
      </c>
      <c r="D1382" s="5" t="s">
        <v>910</v>
      </c>
      <c r="E1382" s="2">
        <v>2143069</v>
      </c>
      <c r="F1382" s="4" t="str">
        <f>IF(B1382=B1381,"",B1382)</f>
        <v>Woodridge</v>
      </c>
    </row>
    <row r="1383" spans="1:6" ht="15.75" customHeight="1">
      <c r="A1383" s="5" t="s">
        <v>1114</v>
      </c>
      <c r="B1383" s="6" t="s">
        <v>1114</v>
      </c>
      <c r="C1383" s="5" t="s">
        <v>27788</v>
      </c>
      <c r="D1383" s="5" t="s">
        <v>27799</v>
      </c>
      <c r="E1383" s="2">
        <v>4917089</v>
      </c>
      <c r="F1383" s="4" t="str">
        <f>IF(B1383=B1382,"",B1383)</f>
        <v/>
      </c>
    </row>
    <row r="1384" spans="1:6" ht="15.75" customHeight="1">
      <c r="A1384" s="5" t="str">
        <f ca="1">IFERROR(__xludf.DUMMYFUNCTION("GOOGLETRANSLATE(B23429,""en"",""pt"")"),"Woodridge")</f>
        <v>Woodridge</v>
      </c>
      <c r="B1384" s="17" t="s">
        <v>1114</v>
      </c>
      <c r="C1384" s="17" t="s">
        <v>885</v>
      </c>
      <c r="D1384" s="17" t="s">
        <v>910</v>
      </c>
      <c r="E1384" s="10">
        <v>2143069</v>
      </c>
      <c r="F1384" s="4" t="str">
        <f>IF(B1384=B1383,"",B1384)</f>
        <v/>
      </c>
    </row>
    <row r="1385" spans="1:6" ht="15.75" customHeight="1">
      <c r="A1385" s="5" t="str">
        <f ca="1">IFERROR(__xludf.DUMMYFUNCTION("GOOGLETRANSLATE(B43903,""en"",""pt"")"),"Woodridge")</f>
        <v>Woodridge</v>
      </c>
      <c r="B1385" s="17" t="s">
        <v>1114</v>
      </c>
      <c r="C1385" s="17" t="s">
        <v>27788</v>
      </c>
      <c r="D1385" s="17" t="s">
        <v>27799</v>
      </c>
      <c r="E1385" s="10">
        <v>4917089</v>
      </c>
      <c r="F1385" s="4" t="str">
        <f>IF(B1385=B1384,"",B1385)</f>
        <v/>
      </c>
    </row>
    <row r="1386" spans="1:6" ht="15.75" customHeight="1">
      <c r="A1386" s="5" t="s">
        <v>30448</v>
      </c>
      <c r="B1386" s="6" t="s">
        <v>30448</v>
      </c>
      <c r="C1386" s="5" t="s">
        <v>27788</v>
      </c>
      <c r="D1386" s="5" t="s">
        <v>27819</v>
      </c>
      <c r="E1386" s="2">
        <v>5145028</v>
      </c>
      <c r="F1386" s="4" t="str">
        <f>IF(B1386=B1385,"",B1386)</f>
        <v>Woodmere</v>
      </c>
    </row>
    <row r="1387" spans="1:6" ht="15.75" customHeight="1">
      <c r="A1387" s="5" t="str">
        <f ca="1">IFERROR(__xludf.DUMMYFUNCTION("GOOGLETRANSLATE(B44472,""en"",""pt"")"),"Woodmere")</f>
        <v>Woodmere</v>
      </c>
      <c r="B1387" s="17" t="s">
        <v>30448</v>
      </c>
      <c r="C1387" s="17" t="s">
        <v>27788</v>
      </c>
      <c r="D1387" s="17" t="s">
        <v>27819</v>
      </c>
      <c r="E1387" s="10">
        <v>5145028</v>
      </c>
      <c r="F1387" s="4" t="str">
        <f>IF(B1387=B1386,"",B1387)</f>
        <v/>
      </c>
    </row>
    <row r="1388" spans="1:6" ht="15.75" customHeight="1">
      <c r="A1388" s="5" t="s">
        <v>30447</v>
      </c>
      <c r="B1388" s="6" t="s">
        <v>30447</v>
      </c>
      <c r="C1388" s="5" t="s">
        <v>27788</v>
      </c>
      <c r="D1388" s="5" t="s">
        <v>17061</v>
      </c>
      <c r="E1388" s="2">
        <v>4374054</v>
      </c>
      <c r="F1388" s="4" t="str">
        <f>IF(B1388=B1387,"",B1388)</f>
        <v>Woodlawn</v>
      </c>
    </row>
    <row r="1389" spans="1:6" ht="15.75" customHeight="1">
      <c r="A1389" s="5" t="str">
        <f ca="1">IFERROR(__xludf.DUMMYFUNCTION("GOOGLETRANSLATE(B43346,""en"",""pt"")"),"Woodlawn")</f>
        <v>Woodlawn</v>
      </c>
      <c r="B1389" s="17" t="s">
        <v>30447</v>
      </c>
      <c r="C1389" s="17" t="s">
        <v>27788</v>
      </c>
      <c r="D1389" s="17" t="s">
        <v>17061</v>
      </c>
      <c r="E1389" s="10">
        <v>4374054</v>
      </c>
      <c r="F1389" s="4" t="str">
        <f>IF(B1389=B1388,"",B1389)</f>
        <v/>
      </c>
    </row>
    <row r="1390" spans="1:6" ht="15.75" customHeight="1">
      <c r="A1390" s="5" t="s">
        <v>30445</v>
      </c>
      <c r="B1390" s="6" t="s">
        <v>30446</v>
      </c>
      <c r="C1390" s="5" t="s">
        <v>27788</v>
      </c>
      <c r="D1390" s="5" t="s">
        <v>27801</v>
      </c>
      <c r="E1390" s="2">
        <v>5410438</v>
      </c>
      <c r="F1390" s="4" t="str">
        <f>IF(B1390=B1389,"",B1390)</f>
        <v>Woodland Hills</v>
      </c>
    </row>
    <row r="1391" spans="1:6" ht="15.75" customHeight="1">
      <c r="A1391" s="5" t="str">
        <f ca="1">IFERROR(__xludf.DUMMYFUNCTION("GOOGLETRANSLATE(B45083,""en"",""pt"")"),"Hills Woodland")</f>
        <v>Hills Woodland</v>
      </c>
      <c r="B1391" s="17" t="s">
        <v>30446</v>
      </c>
      <c r="C1391" s="17" t="s">
        <v>27788</v>
      </c>
      <c r="D1391" s="17" t="s">
        <v>27801</v>
      </c>
      <c r="E1391" s="10">
        <v>5410438</v>
      </c>
      <c r="F1391" s="4" t="str">
        <f>IF(B1391=B1390,"",B1391)</f>
        <v/>
      </c>
    </row>
    <row r="1392" spans="1:6" ht="15.75" customHeight="1">
      <c r="A1392" s="6" t="s">
        <v>2464</v>
      </c>
      <c r="B1392" s="6" t="s">
        <v>30444</v>
      </c>
      <c r="C1392" s="6" t="s">
        <v>27788</v>
      </c>
      <c r="D1392" s="6" t="s">
        <v>27801</v>
      </c>
      <c r="E1392" s="2">
        <v>5410430</v>
      </c>
      <c r="F1392" s="4" t="str">
        <f>IF(B1392=B1391,"",B1392)</f>
        <v>Woodland</v>
      </c>
    </row>
    <row r="1393" spans="1:6" ht="15.75" customHeight="1">
      <c r="A1393" s="5" t="str">
        <f ca="1">IFERROR(__xludf.DUMMYFUNCTION("GOOGLETRANSLATE(B45082,""en"",""pt"")"),"Floresta")</f>
        <v>Floresta</v>
      </c>
      <c r="B1393" s="17" t="s">
        <v>30444</v>
      </c>
      <c r="C1393" s="17" t="s">
        <v>27788</v>
      </c>
      <c r="D1393" s="17" t="s">
        <v>27801</v>
      </c>
      <c r="E1393" s="10">
        <v>5410430</v>
      </c>
      <c r="F1393" s="4" t="str">
        <f>IF(B1393=B1392,"",B1393)</f>
        <v/>
      </c>
    </row>
    <row r="1394" spans="1:6" ht="15.75" customHeight="1">
      <c r="A1394" s="5" t="s">
        <v>27774</v>
      </c>
      <c r="B1394" s="6" t="s">
        <v>27774</v>
      </c>
      <c r="C1394" s="5" t="s">
        <v>27234</v>
      </c>
      <c r="D1394" s="5" t="s">
        <v>27241</v>
      </c>
      <c r="E1394" s="2">
        <v>2633655</v>
      </c>
      <c r="F1394" s="4" t="str">
        <f>IF(B1394=B1393,"",B1394)</f>
        <v>Woodford Green</v>
      </c>
    </row>
    <row r="1395" spans="1:6" ht="15.75" customHeight="1">
      <c r="A1395" s="5" t="str">
        <f ca="1">IFERROR(__xludf.DUMMYFUNCTION("GOOGLETRANSLATE(B30323,""en"",""pt"")"),"Woodford Green")</f>
        <v>Woodford Green</v>
      </c>
      <c r="B1395" s="17" t="s">
        <v>27774</v>
      </c>
      <c r="C1395" s="17" t="s">
        <v>27234</v>
      </c>
      <c r="D1395" s="17" t="s">
        <v>27241</v>
      </c>
      <c r="E1395" s="10">
        <v>2633655</v>
      </c>
      <c r="F1395" s="4" t="str">
        <f>IF(B1395=B1394,"",B1395)</f>
        <v/>
      </c>
    </row>
    <row r="1396" spans="1:6" ht="15.75" customHeight="1">
      <c r="A1396" s="5" t="s">
        <v>30443</v>
      </c>
      <c r="B1396" s="6" t="s">
        <v>30443</v>
      </c>
      <c r="C1396" s="5" t="s">
        <v>27788</v>
      </c>
      <c r="D1396" s="5" t="s">
        <v>27824</v>
      </c>
      <c r="E1396" s="2">
        <v>5053358</v>
      </c>
      <c r="F1396" s="4" t="str">
        <f>IF(B1396=B1395,"",B1396)</f>
        <v>Woodbury</v>
      </c>
    </row>
    <row r="1397" spans="1:6" ht="15.75" customHeight="1">
      <c r="A1397" s="5" t="str">
        <f ca="1">IFERROR(__xludf.DUMMYFUNCTION("GOOGLETRANSLATE(B44208,""en"",""pt"")"),"Woodbury")</f>
        <v>Woodbury</v>
      </c>
      <c r="B1397" s="17" t="s">
        <v>30443</v>
      </c>
      <c r="C1397" s="17" t="s">
        <v>27788</v>
      </c>
      <c r="D1397" s="17" t="s">
        <v>27824</v>
      </c>
      <c r="E1397" s="10">
        <v>5053358</v>
      </c>
      <c r="F1397" s="4" t="str">
        <f>IF(B1397=B1396,"",B1397)</f>
        <v/>
      </c>
    </row>
    <row r="1398" spans="1:6" ht="15.75" customHeight="1">
      <c r="A1398" s="5" t="s">
        <v>30442</v>
      </c>
      <c r="B1398" s="6" t="s">
        <v>30442</v>
      </c>
      <c r="C1398" s="5" t="s">
        <v>27788</v>
      </c>
      <c r="D1398" s="5" t="s">
        <v>27820</v>
      </c>
      <c r="E1398" s="2">
        <v>5761708</v>
      </c>
      <c r="F1398" s="4" t="str">
        <f>IF(B1398=B1397,"",B1398)</f>
        <v>Woodburn</v>
      </c>
    </row>
    <row r="1399" spans="1:6" ht="15.75" customHeight="1">
      <c r="A1399" s="5" t="str">
        <f ca="1">IFERROR(__xludf.DUMMYFUNCTION("GOOGLETRANSLATE(B45265,""en"",""pt"")"),"Woodburn")</f>
        <v>Woodburn</v>
      </c>
      <c r="B1399" s="17" t="s">
        <v>30442</v>
      </c>
      <c r="C1399" s="17" t="s">
        <v>27788</v>
      </c>
      <c r="D1399" s="17" t="s">
        <v>27820</v>
      </c>
      <c r="E1399" s="10">
        <v>5761708</v>
      </c>
      <c r="F1399" s="4" t="str">
        <f>IF(B1399=B1398,"",B1399)</f>
        <v/>
      </c>
    </row>
    <row r="1400" spans="1:6" ht="15.75" customHeight="1">
      <c r="A1400" s="5" t="s">
        <v>30441</v>
      </c>
      <c r="B1400" s="6" t="s">
        <v>30441</v>
      </c>
      <c r="C1400" s="5" t="s">
        <v>27788</v>
      </c>
      <c r="D1400" s="5" t="s">
        <v>27905</v>
      </c>
      <c r="E1400" s="2">
        <v>5106529</v>
      </c>
      <c r="F1400" s="4" t="str">
        <f>IF(B1400=B1399,"",B1400)</f>
        <v>Woodbridge</v>
      </c>
    </row>
    <row r="1401" spans="1:6" ht="15.75" customHeight="1">
      <c r="A1401" s="5" t="str">
        <f ca="1">IFERROR(__xludf.DUMMYFUNCTION("GOOGLETRANSLATE(B44328,""en"",""pt"")"),"Woodbridge")</f>
        <v>Woodbridge</v>
      </c>
      <c r="B1401" s="17" t="s">
        <v>30441</v>
      </c>
      <c r="C1401" s="17" t="s">
        <v>27788</v>
      </c>
      <c r="D1401" s="17" t="s">
        <v>27905</v>
      </c>
      <c r="E1401" s="10">
        <v>5106529</v>
      </c>
      <c r="F1401" s="4" t="str">
        <f>IF(B1401=B1400,"",B1401)</f>
        <v/>
      </c>
    </row>
    <row r="1402" spans="1:6" ht="15.75" customHeight="1">
      <c r="A1402" s="5" t="str">
        <f ca="1">IFERROR(__xludf.DUMMYFUNCTION("GOOGLETRANSLATE(B35990,""en"",""pt"")"),"Wŏnsan")</f>
        <v>Wŏnsan</v>
      </c>
      <c r="B1402" s="17" t="s">
        <v>34433</v>
      </c>
      <c r="C1402" s="17" t="s">
        <v>19589</v>
      </c>
      <c r="D1402" s="17" t="s">
        <v>34434</v>
      </c>
      <c r="E1402" s="10">
        <v>1866923</v>
      </c>
      <c r="F1402" s="4" t="str">
        <f>IF(B1402=B1401,"",B1402)</f>
        <v>Wŏnsan</v>
      </c>
    </row>
    <row r="1403" spans="1:6" ht="15.75" customHeight="1">
      <c r="A1403" s="5" t="s">
        <v>14236</v>
      </c>
      <c r="B1403" s="6" t="s">
        <v>14236</v>
      </c>
      <c r="C1403" s="5" t="s">
        <v>13800</v>
      </c>
      <c r="D1403" s="5" t="s">
        <v>13803</v>
      </c>
      <c r="E1403" s="2">
        <v>1621395</v>
      </c>
      <c r="F1403" s="4" t="str">
        <f>IF(B1403=B1402,"",B1403)</f>
        <v>Wonosobo</v>
      </c>
    </row>
    <row r="1404" spans="1:6" ht="15.75" customHeight="1">
      <c r="A1404" s="5" t="str">
        <f ca="1">IFERROR(__xludf.DUMMYFUNCTION("GOOGLETRANSLATE(B31385,""en"",""pt"")"),"Wonosobo")</f>
        <v>Wonosobo</v>
      </c>
      <c r="B1404" s="17" t="s">
        <v>14236</v>
      </c>
      <c r="C1404" s="17" t="s">
        <v>13800</v>
      </c>
      <c r="D1404" s="17" t="s">
        <v>13803</v>
      </c>
      <c r="E1404" s="10">
        <v>1621395</v>
      </c>
      <c r="F1404" s="4" t="str">
        <f>IF(B1404=B1403,"",B1404)</f>
        <v/>
      </c>
    </row>
    <row r="1405" spans="1:6" ht="15.75" customHeight="1">
      <c r="A1405" s="6" t="s">
        <v>14235</v>
      </c>
      <c r="B1405" s="6" t="s">
        <v>14235</v>
      </c>
      <c r="C1405" s="6" t="s">
        <v>13800</v>
      </c>
      <c r="D1405" s="6" t="s">
        <v>13826</v>
      </c>
      <c r="E1405" s="2">
        <v>2002872</v>
      </c>
      <c r="F1405" s="4" t="str">
        <f>IF(B1405=B1404,"",B1405)</f>
        <v>Wonosari</v>
      </c>
    </row>
    <row r="1406" spans="1:6" ht="15.75" customHeight="1">
      <c r="A1406" s="5" t="str">
        <f ca="1">IFERROR(__xludf.DUMMYFUNCTION("GOOGLETRANSLATE(B31711,""en"",""pt"")"),"Wonosari")</f>
        <v>Wonosari</v>
      </c>
      <c r="B1406" s="17" t="s">
        <v>14235</v>
      </c>
      <c r="C1406" s="17" t="s">
        <v>13800</v>
      </c>
      <c r="D1406" s="17" t="s">
        <v>13826</v>
      </c>
      <c r="E1406" s="10">
        <v>2002872</v>
      </c>
      <c r="F1406" s="4" t="str">
        <f>IF(B1406=B1405,"",B1406)</f>
        <v/>
      </c>
    </row>
    <row r="1407" spans="1:6" ht="15.75" customHeight="1">
      <c r="A1407" s="5" t="s">
        <v>14233</v>
      </c>
      <c r="B1407" s="6" t="s">
        <v>14234</v>
      </c>
      <c r="C1407" s="5" t="s">
        <v>13800</v>
      </c>
      <c r="D1407" s="5" t="s">
        <v>13803</v>
      </c>
      <c r="E1407" s="2">
        <v>1621416</v>
      </c>
      <c r="F1407" s="4" t="str">
        <f>IF(B1407=B1406,"",B1407)</f>
        <v>Wonopringgo</v>
      </c>
    </row>
    <row r="1408" spans="1:6" ht="15.75" customHeight="1">
      <c r="A1408" s="5" t="str">
        <f ca="1">IFERROR(__xludf.DUMMYFUNCTION("GOOGLETRANSLATE(B31386,""en"",""pt"")"),"Wonpringgo")</f>
        <v>Wonpringgo</v>
      </c>
      <c r="B1408" s="17" t="s">
        <v>14234</v>
      </c>
      <c r="C1408" s="17" t="s">
        <v>13800</v>
      </c>
      <c r="D1408" s="17" t="s">
        <v>13803</v>
      </c>
      <c r="E1408" s="10">
        <v>1621416</v>
      </c>
      <c r="F1408" s="4" t="str">
        <f>IF(B1408=B1407,"",B1408)</f>
        <v/>
      </c>
    </row>
    <row r="1409" spans="1:6" ht="15.75" customHeight="1">
      <c r="A1409" s="5" t="str">
        <f ca="1">IFERROR(__xludf.DUMMYFUNCTION("GOOGLETRANSLATE(B36059,""en"",""pt"")"),"Wŏnju")</f>
        <v>Wŏnju</v>
      </c>
      <c r="B1409" s="17" t="s">
        <v>34471</v>
      </c>
      <c r="C1409" s="17" t="s">
        <v>24024</v>
      </c>
      <c r="D1409" s="17" t="s">
        <v>24054</v>
      </c>
      <c r="E1409" s="10">
        <v>1833105</v>
      </c>
      <c r="F1409" s="4" t="str">
        <f>IF(B1409=B1408,"",B1409)</f>
        <v>Wŏnju</v>
      </c>
    </row>
    <row r="1410" spans="1:6" ht="15.75" customHeight="1">
      <c r="A1410" s="5" t="s">
        <v>14232</v>
      </c>
      <c r="B1410" s="6" t="s">
        <v>14232</v>
      </c>
      <c r="C1410" s="5" t="s">
        <v>13800</v>
      </c>
      <c r="D1410" s="5" t="s">
        <v>13816</v>
      </c>
      <c r="E1410" s="2">
        <v>1621439</v>
      </c>
      <c r="F1410" s="4" t="str">
        <f>IF(B1410=B1409,"",B1410)</f>
        <v>Wongsorejo</v>
      </c>
    </row>
    <row r="1411" spans="1:6" ht="15.75" customHeight="1">
      <c r="A1411" s="5" t="str">
        <f ca="1">IFERROR(__xludf.DUMMYFUNCTION("GOOGLETRANSLATE(B31387,""en"",""pt"")"),"Wongsorejo")</f>
        <v>Wongsorejo</v>
      </c>
      <c r="B1411" s="17" t="s">
        <v>14232</v>
      </c>
      <c r="C1411" s="17" t="s">
        <v>13800</v>
      </c>
      <c r="D1411" s="17" t="s">
        <v>13816</v>
      </c>
      <c r="E1411" s="10">
        <v>1621439</v>
      </c>
      <c r="F1411" s="4" t="str">
        <f>IF(B1411=B1410,"",B1411)</f>
        <v/>
      </c>
    </row>
    <row r="1412" spans="1:6" ht="15.75" customHeight="1">
      <c r="A1412" s="5" t="s">
        <v>27773</v>
      </c>
      <c r="B1412" s="6" t="s">
        <v>27773</v>
      </c>
      <c r="C1412" s="5" t="s">
        <v>27234</v>
      </c>
      <c r="D1412" s="5" t="s">
        <v>27241</v>
      </c>
      <c r="E1412" s="2">
        <v>2633681</v>
      </c>
      <c r="F1412" s="4" t="str">
        <f>IF(B1412=B1411,"",B1412)</f>
        <v>Wombwell</v>
      </c>
    </row>
    <row r="1413" spans="1:6" ht="15.75" customHeight="1">
      <c r="A1413" s="5" t="str">
        <f ca="1">IFERROR(__xludf.DUMMYFUNCTION("GOOGLETRANSLATE(B30324,""en"",""pt"")"),"Wombwell")</f>
        <v>Wombwell</v>
      </c>
      <c r="B1413" s="17" t="s">
        <v>27773</v>
      </c>
      <c r="C1413" s="17" t="s">
        <v>27234</v>
      </c>
      <c r="D1413" s="17" t="s">
        <v>27241</v>
      </c>
      <c r="E1413" s="10">
        <v>2633681</v>
      </c>
      <c r="F1413" s="4" t="str">
        <f>IF(B1413=B1412,"",B1413)</f>
        <v/>
      </c>
    </row>
    <row r="1414" spans="1:6" ht="15.75" customHeight="1">
      <c r="A1414" s="5" t="s">
        <v>27772</v>
      </c>
      <c r="B1414" s="6" t="s">
        <v>27772</v>
      </c>
      <c r="C1414" s="5" t="s">
        <v>27234</v>
      </c>
      <c r="D1414" s="5" t="s">
        <v>27241</v>
      </c>
      <c r="E1414" s="2">
        <v>2633691</v>
      </c>
      <c r="F1414" s="4" t="str">
        <f>IF(B1414=B1413,"",B1414)</f>
        <v>Wolverhampton</v>
      </c>
    </row>
    <row r="1415" spans="1:6" ht="15.75" customHeight="1">
      <c r="A1415" s="5" t="str">
        <f ca="1">IFERROR(__xludf.DUMMYFUNCTION("GOOGLETRANSLATE(B30325,""en"",""pt"")"),"Wolverhampton")</f>
        <v>Wolverhampton</v>
      </c>
      <c r="B1415" s="17" t="s">
        <v>27772</v>
      </c>
      <c r="C1415" s="17" t="s">
        <v>27234</v>
      </c>
      <c r="D1415" s="17" t="s">
        <v>27241</v>
      </c>
      <c r="E1415" s="10">
        <v>2633691</v>
      </c>
      <c r="F1415" s="4" t="str">
        <f>IF(B1415=B1414,"",B1415)</f>
        <v/>
      </c>
    </row>
    <row r="1416" spans="1:6" ht="15.75" customHeight="1">
      <c r="A1416" s="6" t="s">
        <v>19148</v>
      </c>
      <c r="B1416" s="6" t="s">
        <v>19148</v>
      </c>
      <c r="C1416" s="6" t="s">
        <v>18862</v>
      </c>
      <c r="D1416" s="6" t="s">
        <v>18943</v>
      </c>
      <c r="E1416" s="2">
        <v>2744194</v>
      </c>
      <c r="F1416" s="4" t="str">
        <f>IF(B1416=B1415,"",B1416)</f>
        <v>Wolvega</v>
      </c>
    </row>
    <row r="1417" spans="1:6" ht="15.75" customHeight="1">
      <c r="A1417" s="5" t="str">
        <f ca="1">IFERROR(__xludf.DUMMYFUNCTION("GOOGLETRANSLATE(B37897,""en"",""pt"")"),"Wolvega")</f>
        <v>Wolvega</v>
      </c>
      <c r="B1417" s="17" t="s">
        <v>19148</v>
      </c>
      <c r="C1417" s="17" t="s">
        <v>18862</v>
      </c>
      <c r="D1417" s="17" t="s">
        <v>18943</v>
      </c>
      <c r="E1417" s="10">
        <v>2744194</v>
      </c>
      <c r="F1417" s="4" t="str">
        <f>IF(B1417=B1416,"",B1417)</f>
        <v/>
      </c>
    </row>
    <row r="1418" spans="1:6" ht="15.75" customHeight="1">
      <c r="A1418" s="5" t="str">
        <f ca="1">IFERROR(__xludf.DUMMYFUNCTION("GOOGLETRANSLATE(B39182,""en"",""pt"")"),"Wołomin")</f>
        <v>Wołomin</v>
      </c>
      <c r="B1418" s="17" t="s">
        <v>35067</v>
      </c>
      <c r="C1418" s="17" t="s">
        <v>21064</v>
      </c>
      <c r="D1418" s="17" t="s">
        <v>21070</v>
      </c>
      <c r="E1418" s="10">
        <v>754800</v>
      </c>
      <c r="F1418" s="4" t="str">
        <f>IF(B1418=B1417,"",B1418)</f>
        <v>Wołomin</v>
      </c>
    </row>
    <row r="1419" spans="1:6" ht="15.75" customHeight="1">
      <c r="A1419" s="5" t="s">
        <v>24018</v>
      </c>
      <c r="B1419" s="6" t="s">
        <v>24018</v>
      </c>
      <c r="C1419" s="5" t="s">
        <v>23842</v>
      </c>
      <c r="D1419" s="5" t="s">
        <v>23860</v>
      </c>
      <c r="E1419" s="2">
        <v>938457</v>
      </c>
      <c r="F1419" s="4" t="str">
        <f>IF(B1419=B1418,"",B1419)</f>
        <v>Wolmaransstad</v>
      </c>
    </row>
    <row r="1420" spans="1:6" ht="15.75" customHeight="1">
      <c r="A1420" s="5" t="str">
        <f ca="1">IFERROR(__xludf.DUMMYFUNCTION("GOOGLETRANSLATE(B45844,""en"",""pt"")"),"Wolmaransstad")</f>
        <v>Wolmaransstad</v>
      </c>
      <c r="B1420" s="17" t="s">
        <v>24018</v>
      </c>
      <c r="C1420" s="17" t="s">
        <v>23842</v>
      </c>
      <c r="D1420" s="17" t="s">
        <v>23860</v>
      </c>
      <c r="E1420" s="10">
        <v>938457</v>
      </c>
      <c r="F1420" s="4" t="str">
        <f>IF(B1420=B1419,"",B1420)</f>
        <v/>
      </c>
    </row>
    <row r="1421" spans="1:6" ht="15.75" customHeight="1">
      <c r="A1421" s="5" t="s">
        <v>1113</v>
      </c>
      <c r="B1421" s="6" t="s">
        <v>1113</v>
      </c>
      <c r="C1421" s="5" t="s">
        <v>885</v>
      </c>
      <c r="D1421" s="5" t="s">
        <v>891</v>
      </c>
      <c r="E1421" s="2">
        <v>2171507</v>
      </c>
      <c r="F1421" s="4" t="str">
        <f>IF(B1421=B1420,"",B1421)</f>
        <v>Wollongong</v>
      </c>
    </row>
    <row r="1422" spans="1:6" ht="15.75" customHeight="1">
      <c r="A1422" s="5" t="str">
        <f ca="1">IFERROR(__xludf.DUMMYFUNCTION("GOOGLETRANSLATE(B23538,""en"",""pt"")"),"Wollongong")</f>
        <v>Wollongong</v>
      </c>
      <c r="B1422" s="17" t="s">
        <v>1113</v>
      </c>
      <c r="C1422" s="17" t="s">
        <v>885</v>
      </c>
      <c r="D1422" s="17" t="s">
        <v>891</v>
      </c>
      <c r="E1422" s="10">
        <v>2171507</v>
      </c>
      <c r="F1422" s="4" t="str">
        <f>IF(B1422=B1421,"",B1422)</f>
        <v/>
      </c>
    </row>
    <row r="1423" spans="1:6" ht="15.75" customHeight="1">
      <c r="A1423" s="5" t="s">
        <v>9347</v>
      </c>
      <c r="B1423" s="6" t="s">
        <v>9347</v>
      </c>
      <c r="C1423" s="5" t="s">
        <v>8028</v>
      </c>
      <c r="D1423" s="5" t="s">
        <v>8034</v>
      </c>
      <c r="E1423" s="2">
        <v>2806654</v>
      </c>
      <c r="F1423" s="4" t="str">
        <f>IF(B1423=B1422,"",B1423)</f>
        <v>Wolfsburg</v>
      </c>
    </row>
    <row r="1424" spans="1:6" ht="15.75" customHeight="1">
      <c r="A1424" s="5" t="str">
        <f ca="1">IFERROR(__xludf.DUMMYFUNCTION("GOOGLETRANSLATE(B27360,""en"",""pt"")"),"Wolfsburg")</f>
        <v>Wolfsburg</v>
      </c>
      <c r="B1424" s="17" t="s">
        <v>9347</v>
      </c>
      <c r="C1424" s="17" t="s">
        <v>8028</v>
      </c>
      <c r="D1424" s="17" t="s">
        <v>8034</v>
      </c>
      <c r="E1424" s="10">
        <v>2806654</v>
      </c>
      <c r="F1424" s="4" t="str">
        <f>IF(B1424=B1423,"",B1424)</f>
        <v/>
      </c>
    </row>
    <row r="1425" spans="1:6" ht="15.75" customHeight="1">
      <c r="A1425" s="5" t="s">
        <v>1167</v>
      </c>
      <c r="B1425" s="6" t="s">
        <v>1167</v>
      </c>
      <c r="C1425" s="5" t="s">
        <v>1117</v>
      </c>
      <c r="D1425" s="5" t="s">
        <v>1137</v>
      </c>
      <c r="E1425" s="2">
        <v>2760910</v>
      </c>
      <c r="F1425" s="4" t="str">
        <f>IF(B1425=B1424,"",B1425)</f>
        <v>Wolfsberg</v>
      </c>
    </row>
    <row r="1426" spans="1:6" ht="15.75" customHeight="1">
      <c r="A1426" s="5" t="str">
        <f ca="1">IFERROR(__xludf.DUMMYFUNCTION("GOOGLETRANSLATE(B23372,""en"",""pt"")"),"Wolfsberg")</f>
        <v>Wolfsberg</v>
      </c>
      <c r="B1426" s="17" t="s">
        <v>1167</v>
      </c>
      <c r="C1426" s="17" t="s">
        <v>1117</v>
      </c>
      <c r="D1426" s="17" t="s">
        <v>1137</v>
      </c>
      <c r="E1426" s="10">
        <v>2760910</v>
      </c>
      <c r="F1426" s="4" t="str">
        <f>IF(B1426=B1425,"",B1426)</f>
        <v/>
      </c>
    </row>
    <row r="1427" spans="1:6" ht="15.75" customHeight="1">
      <c r="A1427" s="5" t="s">
        <v>9346</v>
      </c>
      <c r="B1427" s="6" t="s">
        <v>9346</v>
      </c>
      <c r="C1427" s="5" t="s">
        <v>8028</v>
      </c>
      <c r="D1427" s="5" t="s">
        <v>8044</v>
      </c>
      <c r="E1427" s="2">
        <v>2806768</v>
      </c>
      <c r="F1427" s="4" t="str">
        <f>IF(B1427=B1426,"",B1427)</f>
        <v>Wolfratshausen</v>
      </c>
    </row>
    <row r="1428" spans="1:6" ht="15.75" customHeight="1">
      <c r="A1428" s="5" t="str">
        <f ca="1">IFERROR(__xludf.DUMMYFUNCTION("GOOGLETRANSLATE(B27361,""en"",""pt"")"),"Wolfratshausen")</f>
        <v>Wolfratshausen</v>
      </c>
      <c r="B1428" s="17" t="s">
        <v>9346</v>
      </c>
      <c r="C1428" s="17" t="s">
        <v>8028</v>
      </c>
      <c r="D1428" s="17" t="s">
        <v>8044</v>
      </c>
      <c r="E1428" s="10">
        <v>2806768</v>
      </c>
      <c r="F1428" s="4" t="str">
        <f>IF(B1428=B1427,"",B1428)</f>
        <v/>
      </c>
    </row>
    <row r="1429" spans="1:6" ht="15.75" customHeight="1">
      <c r="A1429" s="5" t="str">
        <f ca="1">IFERROR(__xludf.DUMMYFUNCTION("GOOGLETRANSLATE(B27362,""en"",""pt"")"),"Wolfenbüttel")</f>
        <v>Wolfenbüttel</v>
      </c>
      <c r="B1429" s="17" t="s">
        <v>9344</v>
      </c>
      <c r="C1429" s="17" t="s">
        <v>8028</v>
      </c>
      <c r="D1429" s="17" t="s">
        <v>8034</v>
      </c>
      <c r="E1429" s="10">
        <v>2806914</v>
      </c>
      <c r="F1429" s="4" t="str">
        <f>IF(B1429=B1428,"",B1429)</f>
        <v>Wolfenbüttel</v>
      </c>
    </row>
    <row r="1430" spans="1:6" ht="15.75" customHeight="1">
      <c r="A1430" s="5" t="s">
        <v>9344</v>
      </c>
      <c r="B1430" s="6" t="s">
        <v>9345</v>
      </c>
      <c r="C1430" s="5" t="s">
        <v>8028</v>
      </c>
      <c r="D1430" s="5" t="s">
        <v>8034</v>
      </c>
      <c r="E1430" s="2">
        <v>2806914</v>
      </c>
      <c r="F1430" s="4" t="str">
        <f>IF(B1430=B1429,"",B1430)</f>
        <v>WolfenbÃ¼ttel</v>
      </c>
    </row>
    <row r="1431" spans="1:6" ht="15.75" customHeight="1">
      <c r="A1431" s="6" t="s">
        <v>9343</v>
      </c>
      <c r="B1431" s="6" t="s">
        <v>9343</v>
      </c>
      <c r="C1431" s="6" t="s">
        <v>8028</v>
      </c>
      <c r="D1431" s="6" t="s">
        <v>8085</v>
      </c>
      <c r="E1431" s="2">
        <v>2806919</v>
      </c>
      <c r="F1431" s="4" t="str">
        <f>IF(B1431=B1430,"",B1431)</f>
        <v>Wolfen</v>
      </c>
    </row>
    <row r="1432" spans="1:6" ht="15.75" customHeight="1">
      <c r="A1432" s="5" t="str">
        <f ca="1">IFERROR(__xludf.DUMMYFUNCTION("GOOGLETRANSLATE(B27363,""en"",""pt"")"),"Wolfen")</f>
        <v>Wolfen</v>
      </c>
      <c r="B1432" s="17" t="s">
        <v>9343</v>
      </c>
      <c r="C1432" s="17" t="s">
        <v>8028</v>
      </c>
      <c r="D1432" s="17" t="s">
        <v>8085</v>
      </c>
      <c r="E1432" s="10">
        <v>2806919</v>
      </c>
      <c r="F1432" s="4" t="str">
        <f>IF(B1432=B1431,"",B1432)</f>
        <v/>
      </c>
    </row>
    <row r="1433" spans="1:6" ht="15.75" customHeight="1">
      <c r="A1433" s="6" t="s">
        <v>30440</v>
      </c>
      <c r="B1433" s="6" t="s">
        <v>30440</v>
      </c>
      <c r="C1433" s="6" t="s">
        <v>27788</v>
      </c>
      <c r="D1433" s="6" t="s">
        <v>27876</v>
      </c>
      <c r="E1433" s="2">
        <v>4845984</v>
      </c>
      <c r="F1433" s="4" t="str">
        <f>IF(B1433=B1432,"",B1433)</f>
        <v>Wolcott</v>
      </c>
    </row>
    <row r="1434" spans="1:6" ht="15.75" customHeight="1">
      <c r="A1434" s="5" t="str">
        <f ca="1">IFERROR(__xludf.DUMMYFUNCTION("GOOGLETRANSLATE(B43733,""en"",""pt"")"),"Wolcott")</f>
        <v>Wolcott</v>
      </c>
      <c r="B1434" s="17" t="s">
        <v>30440</v>
      </c>
      <c r="C1434" s="17" t="s">
        <v>27788</v>
      </c>
      <c r="D1434" s="17" t="s">
        <v>27876</v>
      </c>
      <c r="E1434" s="10">
        <v>4845984</v>
      </c>
      <c r="F1434" s="4" t="str">
        <f>IF(B1434=B1433,"",B1434)</f>
        <v/>
      </c>
    </row>
    <row r="1435" spans="1:6" ht="15.75" customHeight="1">
      <c r="A1435" s="6" t="s">
        <v>21575</v>
      </c>
      <c r="B1435" s="6" t="s">
        <v>21575</v>
      </c>
      <c r="C1435" s="6" t="s">
        <v>21064</v>
      </c>
      <c r="D1435" s="6" t="s">
        <v>21070</v>
      </c>
      <c r="E1435" s="2">
        <v>755330</v>
      </c>
      <c r="F1435" s="4" t="str">
        <f>IF(B1435=B1434,"",B1435)</f>
        <v>Wola</v>
      </c>
    </row>
    <row r="1436" spans="1:6" ht="15.75" customHeight="1">
      <c r="A1436" s="5" t="str">
        <f ca="1">IFERROR(__xludf.DUMMYFUNCTION("GOOGLETRANSLATE(B39183,""en"",""pt"")"),"Wola")</f>
        <v>Wola</v>
      </c>
      <c r="B1436" s="17" t="s">
        <v>21575</v>
      </c>
      <c r="C1436" s="17" t="s">
        <v>21064</v>
      </c>
      <c r="D1436" s="17" t="s">
        <v>21070</v>
      </c>
      <c r="E1436" s="10">
        <v>755330</v>
      </c>
      <c r="F1436" s="4" t="str">
        <f>IF(B1436=B1435,"",B1436)</f>
        <v/>
      </c>
    </row>
    <row r="1437" spans="1:6" ht="15.75" customHeight="1">
      <c r="A1437" s="5" t="s">
        <v>27771</v>
      </c>
      <c r="B1437" s="6" t="s">
        <v>27771</v>
      </c>
      <c r="C1437" s="5" t="s">
        <v>27234</v>
      </c>
      <c r="D1437" s="5" t="s">
        <v>27241</v>
      </c>
      <c r="E1437" s="2">
        <v>2633708</v>
      </c>
      <c r="F1437" s="4" t="str">
        <f>IF(B1437=B1436,"",B1437)</f>
        <v>Wokingham</v>
      </c>
    </row>
    <row r="1438" spans="1:6" ht="15.75" customHeight="1">
      <c r="A1438" s="5" t="str">
        <f ca="1">IFERROR(__xludf.DUMMYFUNCTION("GOOGLETRANSLATE(B30326,""en"",""pt"")"),"Wokingham")</f>
        <v>Wokingham</v>
      </c>
      <c r="B1438" s="17" t="s">
        <v>27771</v>
      </c>
      <c r="C1438" s="17" t="s">
        <v>27234</v>
      </c>
      <c r="D1438" s="17" t="s">
        <v>27241</v>
      </c>
      <c r="E1438" s="10">
        <v>2633708</v>
      </c>
      <c r="F1438" s="4" t="str">
        <f>IF(B1438=B1437,"",B1438)</f>
        <v/>
      </c>
    </row>
    <row r="1439" spans="1:6" ht="15.75" customHeight="1">
      <c r="A1439" s="6" t="s">
        <v>27770</v>
      </c>
      <c r="B1439" s="6" t="s">
        <v>27770</v>
      </c>
      <c r="C1439" s="6" t="s">
        <v>27234</v>
      </c>
      <c r="D1439" s="6" t="s">
        <v>27241</v>
      </c>
      <c r="E1439" s="2">
        <v>2633709</v>
      </c>
      <c r="F1439" s="4" t="str">
        <f>IF(B1439=B1438,"",B1439)</f>
        <v>Woking</v>
      </c>
    </row>
    <row r="1440" spans="1:6" ht="15.75" customHeight="1">
      <c r="A1440" s="5" t="str">
        <f ca="1">IFERROR(__xludf.DUMMYFUNCTION("GOOGLETRANSLATE(B30327,""en"",""pt"")"),"Woking")</f>
        <v>Woking</v>
      </c>
      <c r="B1440" s="17" t="s">
        <v>27770</v>
      </c>
      <c r="C1440" s="17" t="s">
        <v>27234</v>
      </c>
      <c r="D1440" s="17" t="s">
        <v>27241</v>
      </c>
      <c r="E1440" s="10">
        <v>2633709</v>
      </c>
      <c r="F1440" s="4" t="str">
        <f>IF(B1440=B1439,"",B1440)</f>
        <v/>
      </c>
    </row>
    <row r="1441" spans="1:6" ht="15.75" customHeight="1">
      <c r="A1441" s="6" t="s">
        <v>13776</v>
      </c>
      <c r="B1441" s="6" t="s">
        <v>13776</v>
      </c>
      <c r="C1441" s="6" t="s">
        <v>10178</v>
      </c>
      <c r="D1441" s="6" t="s">
        <v>11179</v>
      </c>
      <c r="E1441" s="2">
        <v>1252840</v>
      </c>
      <c r="F1441" s="4" t="str">
        <f>IF(B1441=B1440,"",B1441)</f>
        <v>Wokha</v>
      </c>
    </row>
    <row r="1442" spans="1:6" ht="15.75" customHeight="1">
      <c r="A1442" s="5" t="str">
        <f ca="1">IFERROR(__xludf.DUMMYFUNCTION("GOOGLETRANSLATE(B31844,""en"",""pt"")"),"Wokha")</f>
        <v>Wokha</v>
      </c>
      <c r="B1442" s="17" t="s">
        <v>13776</v>
      </c>
      <c r="C1442" s="17" t="s">
        <v>10178</v>
      </c>
      <c r="D1442" s="17" t="s">
        <v>11179</v>
      </c>
      <c r="E1442" s="10">
        <v>1252840</v>
      </c>
      <c r="F1442" s="4" t="str">
        <f>IF(B1442=B1441,"",B1442)</f>
        <v/>
      </c>
    </row>
    <row r="1443" spans="1:6" ht="15.75" customHeight="1">
      <c r="A1443" s="6" t="s">
        <v>19147</v>
      </c>
      <c r="B1443" s="6" t="s">
        <v>19147</v>
      </c>
      <c r="C1443" s="6" t="s">
        <v>18862</v>
      </c>
      <c r="D1443" s="6" t="s">
        <v>18877</v>
      </c>
      <c r="E1443" s="2">
        <v>2744248</v>
      </c>
      <c r="F1443" s="4" t="str">
        <f>IF(B1443=B1442,"",B1443)</f>
        <v>Woerden</v>
      </c>
    </row>
    <row r="1444" spans="1:6" ht="15.75" customHeight="1">
      <c r="A1444" s="5" t="str">
        <f ca="1">IFERROR(__xludf.DUMMYFUNCTION("GOOGLETRANSLATE(B37898,""en"",""pt"")"),"Woerden")</f>
        <v>Woerden</v>
      </c>
      <c r="B1444" s="17" t="s">
        <v>19147</v>
      </c>
      <c r="C1444" s="17" t="s">
        <v>18862</v>
      </c>
      <c r="D1444" s="17" t="s">
        <v>18877</v>
      </c>
      <c r="E1444" s="10">
        <v>2744248</v>
      </c>
      <c r="F1444" s="4" t="str">
        <f>IF(B1444=B1443,"",B1444)</f>
        <v/>
      </c>
    </row>
    <row r="1445" spans="1:6" ht="15.75" customHeight="1">
      <c r="A1445" s="5" t="s">
        <v>19146</v>
      </c>
      <c r="B1445" s="6" t="s">
        <v>19146</v>
      </c>
      <c r="C1445" s="5" t="s">
        <v>18862</v>
      </c>
      <c r="D1445" s="5" t="s">
        <v>18888</v>
      </c>
      <c r="E1445" s="2">
        <v>2744257</v>
      </c>
      <c r="F1445" s="4" t="str">
        <f>IF(B1445=B1444,"",B1445)</f>
        <v>Woensdrecht</v>
      </c>
    </row>
    <row r="1446" spans="1:6" ht="15.75" customHeight="1">
      <c r="A1446" s="5" t="str">
        <f ca="1">IFERROR(__xludf.DUMMYFUNCTION("GOOGLETRANSLATE(B37899,""en"",""pt"")"),"Woensdrecht")</f>
        <v>Woensdrecht</v>
      </c>
      <c r="B1446" s="17" t="s">
        <v>19146</v>
      </c>
      <c r="C1446" s="17" t="s">
        <v>18862</v>
      </c>
      <c r="D1446" s="17" t="s">
        <v>18888</v>
      </c>
      <c r="E1446" s="10">
        <v>2744257</v>
      </c>
      <c r="F1446" s="4" t="str">
        <f>IF(B1446=B1445,"",B1446)</f>
        <v/>
      </c>
    </row>
    <row r="1447" spans="1:6" ht="15.75" customHeight="1">
      <c r="A1447" s="5" t="str">
        <f ca="1">IFERROR(__xludf.DUMMYFUNCTION("GOOGLETRANSLATE(B39315,""en"",""pt"")"),"Wodzisław śląski")</f>
        <v>Wodzisław śląski</v>
      </c>
      <c r="B1447" s="17" t="s">
        <v>35147</v>
      </c>
      <c r="C1447" s="17" t="s">
        <v>21064</v>
      </c>
      <c r="D1447" s="17" t="s">
        <v>21073</v>
      </c>
      <c r="E1447" s="10">
        <v>3081677</v>
      </c>
      <c r="F1447" s="4" t="str">
        <f>IF(B1447=B1446,"",B1447)</f>
        <v>Wodzisław Śląski</v>
      </c>
    </row>
    <row r="1448" spans="1:6" ht="15.75" customHeight="1">
      <c r="A1448" s="5" t="s">
        <v>21573</v>
      </c>
      <c r="B1448" s="6" t="s">
        <v>21574</v>
      </c>
      <c r="C1448" s="5" t="s">
        <v>21064</v>
      </c>
      <c r="D1448" s="5" t="s">
        <v>21073</v>
      </c>
      <c r="E1448" s="2">
        <v>3081677</v>
      </c>
      <c r="F1448" s="4" t="str">
        <f>IF(B1448=B1447,"",B1448)</f>
        <v>WodzisÅ‚aw ÅšlÄ…ski</v>
      </c>
    </row>
    <row r="1449" spans="1:6" ht="15.75" customHeight="1">
      <c r="A1449" s="6" t="s">
        <v>1112</v>
      </c>
      <c r="B1449" s="6" t="s">
        <v>1112</v>
      </c>
      <c r="C1449" s="6" t="s">
        <v>885</v>
      </c>
      <c r="D1449" s="6" t="s">
        <v>827</v>
      </c>
      <c r="E1449" s="2">
        <v>2143285</v>
      </c>
      <c r="F1449" s="4" t="str">
        <f>IF(B1449=B1448,"",B1449)</f>
        <v>Wodonga</v>
      </c>
    </row>
    <row r="1450" spans="1:6" ht="15.75" customHeight="1">
      <c r="A1450" s="5" t="str">
        <f ca="1">IFERROR(__xludf.DUMMYFUNCTION("GOOGLETRANSLATE(B23430,""en"",""pt"")"),"Wodonga")</f>
        <v>Wodonga</v>
      </c>
      <c r="B1450" s="17" t="s">
        <v>1112</v>
      </c>
      <c r="C1450" s="17" t="s">
        <v>885</v>
      </c>
      <c r="D1450" s="17" t="s">
        <v>827</v>
      </c>
      <c r="E1450" s="10">
        <v>2143285</v>
      </c>
      <c r="F1450" s="4" t="str">
        <f>IF(B1450=B1449,"",B1450)</f>
        <v/>
      </c>
    </row>
    <row r="1451" spans="1:6" ht="15.75" customHeight="1">
      <c r="A1451" s="6" t="s">
        <v>30439</v>
      </c>
      <c r="B1451" s="6" t="s">
        <v>30439</v>
      </c>
      <c r="C1451" s="6" t="s">
        <v>27788</v>
      </c>
      <c r="D1451" s="6" t="s">
        <v>27794</v>
      </c>
      <c r="E1451" s="2">
        <v>4956032</v>
      </c>
      <c r="F1451" s="4" t="str">
        <f>IF(B1451=B1450,"",B1451)</f>
        <v>Woburn</v>
      </c>
    </row>
    <row r="1452" spans="1:6" ht="15.75" customHeight="1">
      <c r="A1452" s="5" t="str">
        <f ca="1">IFERROR(__xludf.DUMMYFUNCTION("GOOGLETRANSLATE(B44047,""en"",""pt"")"),"Woburn")</f>
        <v>Woburn</v>
      </c>
      <c r="B1452" s="17" t="s">
        <v>30439</v>
      </c>
      <c r="C1452" s="17" t="s">
        <v>27788</v>
      </c>
      <c r="D1452" s="17" t="s">
        <v>27794</v>
      </c>
      <c r="E1452" s="10">
        <v>4956032</v>
      </c>
      <c r="F1452" s="4" t="str">
        <f>IF(B1452=B1451,"",B1452)</f>
        <v/>
      </c>
    </row>
    <row r="1453" spans="1:6" ht="15.75" customHeight="1">
      <c r="A1453" s="5" t="s">
        <v>26866</v>
      </c>
      <c r="B1453" s="6" t="s">
        <v>26866</v>
      </c>
      <c r="C1453" s="5" t="s">
        <v>26820</v>
      </c>
      <c r="D1453" s="5" t="s">
        <v>17414</v>
      </c>
      <c r="E1453" s="2">
        <v>225858</v>
      </c>
      <c r="F1453" s="4" t="str">
        <f>IF(B1453=B1452,"",B1453)</f>
        <v>Wobulenzi</v>
      </c>
    </row>
    <row r="1454" spans="1:6" ht="15.75" customHeight="1">
      <c r="A1454" s="5" t="str">
        <f ca="1">IFERROR(__xludf.DUMMYFUNCTION("GOOGLETRANSLATE(B42724,""en"",""pt"")"),"Wobulenzi")</f>
        <v>Wobulenzi</v>
      </c>
      <c r="B1454" s="17" t="s">
        <v>26866</v>
      </c>
      <c r="C1454" s="17" t="s">
        <v>26820</v>
      </c>
      <c r="D1454" s="17" t="s">
        <v>17414</v>
      </c>
      <c r="E1454" s="10">
        <v>225858</v>
      </c>
      <c r="F1454" s="4" t="str">
        <f>IF(B1454=B1453,"",B1454)</f>
        <v/>
      </c>
    </row>
    <row r="1455" spans="1:6" ht="15.75" customHeight="1">
      <c r="A1455" s="6" t="s">
        <v>30615</v>
      </c>
      <c r="B1455" s="6" t="s">
        <v>30615</v>
      </c>
      <c r="C1455" s="6" t="s">
        <v>30502</v>
      </c>
      <c r="D1455" s="6" t="s">
        <v>30519</v>
      </c>
      <c r="E1455" s="2">
        <v>1512423</v>
      </c>
      <c r="F1455" s="4" t="str">
        <f>IF(B1455=B1454,"",B1455)</f>
        <v>Wobkent</v>
      </c>
    </row>
    <row r="1456" spans="1:6" ht="15.75" customHeight="1">
      <c r="A1456" s="5" t="str">
        <f ca="1">IFERROR(__xludf.DUMMYFUNCTION("GOOGLETRANSLATE(B45534,""en"",""pt"")"),"Wobkent")</f>
        <v>Wobkent</v>
      </c>
      <c r="B1456" s="17" t="s">
        <v>30615</v>
      </c>
      <c r="C1456" s="17" t="s">
        <v>30502</v>
      </c>
      <c r="D1456" s="17" t="s">
        <v>30519</v>
      </c>
      <c r="E1456" s="10">
        <v>1512423</v>
      </c>
      <c r="F1456" s="4" t="str">
        <f>IF(B1456=B1455,"",B1456)</f>
        <v/>
      </c>
    </row>
    <row r="1457" spans="1:6" ht="15.75" customHeight="1">
      <c r="A1457" s="5" t="s">
        <v>21571</v>
      </c>
      <c r="B1457" s="6" t="s">
        <v>21572</v>
      </c>
      <c r="C1457" s="5" t="s">
        <v>21064</v>
      </c>
      <c r="D1457" s="5" t="s">
        <v>21070</v>
      </c>
      <c r="E1457" s="2">
        <v>754800</v>
      </c>
      <c r="F1457" s="4" t="str">
        <f>IF(B1457=B1456,"",B1457)</f>
        <v>WoÅ‚omin</v>
      </c>
    </row>
    <row r="1458" spans="1:6" ht="15.75" customHeight="1">
      <c r="A1458" s="5" t="str">
        <f ca="1">IFERROR(__xludf.DUMMYFUNCTION("GOOGLETRANSLATE(B39316,""en"",""pt"")"),"Włocławek")</f>
        <v>Włocławek</v>
      </c>
      <c r="B1458" s="17" t="s">
        <v>35148</v>
      </c>
      <c r="C1458" s="17" t="s">
        <v>21064</v>
      </c>
      <c r="D1458" s="17" t="s">
        <v>21125</v>
      </c>
      <c r="E1458" s="10">
        <v>3081741</v>
      </c>
      <c r="F1458" s="4" t="str">
        <f>IF(B1458=B1457,"",B1458)</f>
        <v>Włocławek</v>
      </c>
    </row>
    <row r="1459" spans="1:6" ht="15.75" customHeight="1">
      <c r="A1459" s="5" t="str">
        <f ca="1">IFERROR(__xludf.DUMMYFUNCTION("GOOGLETRANSLATE(B39184,""en"",""pt"")"),"Włochy")</f>
        <v>Włochy</v>
      </c>
      <c r="B1459" s="17" t="s">
        <v>35068</v>
      </c>
      <c r="C1459" s="17" t="s">
        <v>21064</v>
      </c>
      <c r="D1459" s="17" t="s">
        <v>21070</v>
      </c>
      <c r="E1459" s="10">
        <v>755475</v>
      </c>
      <c r="F1459" s="4" t="str">
        <f>IF(B1459=B1458,"",B1459)</f>
        <v>Włochy</v>
      </c>
    </row>
    <row r="1460" spans="1:6" ht="15.75" customHeight="1">
      <c r="A1460" s="5" t="s">
        <v>9342</v>
      </c>
      <c r="B1460" s="6" t="s">
        <v>9342</v>
      </c>
      <c r="C1460" s="5" t="s">
        <v>8028</v>
      </c>
      <c r="D1460" s="5" t="s">
        <v>8050</v>
      </c>
      <c r="E1460" s="2">
        <v>2807184</v>
      </c>
      <c r="F1460" s="4" t="str">
        <f>IF(B1460=B1459,"",B1460)</f>
        <v>Witzenhausen</v>
      </c>
    </row>
    <row r="1461" spans="1:6" ht="15.75" customHeight="1">
      <c r="A1461" s="5" t="str">
        <f ca="1">IFERROR(__xludf.DUMMYFUNCTION("GOOGLETRANSLATE(B27364,""en"",""pt"")"),"Witzenhausen")</f>
        <v>Witzenhausen</v>
      </c>
      <c r="B1461" s="17" t="s">
        <v>9342</v>
      </c>
      <c r="C1461" s="17" t="s">
        <v>8028</v>
      </c>
      <c r="D1461" s="17" t="s">
        <v>8050</v>
      </c>
      <c r="E1461" s="10">
        <v>2807184</v>
      </c>
      <c r="F1461" s="4" t="str">
        <f>IF(B1461=B1460,"",B1461)</f>
        <v/>
      </c>
    </row>
    <row r="1462" spans="1:6" ht="15.75" customHeight="1">
      <c r="A1462" s="6" t="s">
        <v>9341</v>
      </c>
      <c r="B1462" s="6" t="s">
        <v>9341</v>
      </c>
      <c r="C1462" s="6" t="s">
        <v>8028</v>
      </c>
      <c r="D1462" s="6" t="s">
        <v>8070</v>
      </c>
      <c r="E1462" s="2">
        <v>2807201</v>
      </c>
      <c r="F1462" s="4" t="str">
        <f>IF(B1462=B1461,"",B1462)</f>
        <v>Wittstock</v>
      </c>
    </row>
    <row r="1463" spans="1:6" ht="15.75" customHeight="1">
      <c r="A1463" s="5" t="str">
        <f ca="1">IFERROR(__xludf.DUMMYFUNCTION("GOOGLETRANSLATE(B27365,""en"",""pt"")"),"Wittstock")</f>
        <v>Wittstock</v>
      </c>
      <c r="B1463" s="17" t="s">
        <v>9341</v>
      </c>
      <c r="C1463" s="17" t="s">
        <v>8028</v>
      </c>
      <c r="D1463" s="17" t="s">
        <v>8070</v>
      </c>
      <c r="E1463" s="10">
        <v>2807201</v>
      </c>
      <c r="F1463" s="4" t="str">
        <f>IF(B1463=B1462,"",B1463)</f>
        <v/>
      </c>
    </row>
    <row r="1464" spans="1:6" ht="15.75" customHeight="1">
      <c r="A1464" s="5" t="s">
        <v>9340</v>
      </c>
      <c r="B1464" s="6" t="s">
        <v>9340</v>
      </c>
      <c r="C1464" s="5" t="s">
        <v>8028</v>
      </c>
      <c r="D1464" s="5" t="s">
        <v>8034</v>
      </c>
      <c r="E1464" s="2">
        <v>2807218</v>
      </c>
      <c r="F1464" s="4" t="str">
        <f>IF(B1464=B1463,"",B1464)</f>
        <v>Wittmund</v>
      </c>
    </row>
    <row r="1465" spans="1:6" ht="15.75" customHeight="1">
      <c r="A1465" s="5" t="str">
        <f ca="1">IFERROR(__xludf.DUMMYFUNCTION("GOOGLETRANSLATE(B27366,""en"",""pt"")"),"Wittmund")</f>
        <v>Wittmund</v>
      </c>
      <c r="B1465" s="17" t="s">
        <v>9340</v>
      </c>
      <c r="C1465" s="17" t="s">
        <v>8028</v>
      </c>
      <c r="D1465" s="17" t="s">
        <v>8034</v>
      </c>
      <c r="E1465" s="10">
        <v>2807218</v>
      </c>
      <c r="F1465" s="4" t="str">
        <f>IF(B1465=B1464,"",B1465)</f>
        <v/>
      </c>
    </row>
    <row r="1466" spans="1:6" ht="15.75" customHeight="1">
      <c r="A1466" s="6" t="s">
        <v>9339</v>
      </c>
      <c r="B1466" s="6" t="s">
        <v>9339</v>
      </c>
      <c r="C1466" s="6" t="s">
        <v>8028</v>
      </c>
      <c r="D1466" s="6" t="s">
        <v>8065</v>
      </c>
      <c r="E1466" s="2">
        <v>2807240</v>
      </c>
      <c r="F1466" s="4" t="str">
        <f>IF(B1466=B1465,"",B1466)</f>
        <v>Wittlich</v>
      </c>
    </row>
    <row r="1467" spans="1:6" ht="15.75" customHeight="1">
      <c r="A1467" s="5" t="str">
        <f ca="1">IFERROR(__xludf.DUMMYFUNCTION("GOOGLETRANSLATE(B27367,""en"",""pt"")"),"Wittlich")</f>
        <v>Wittlich</v>
      </c>
      <c r="B1467" s="17" t="s">
        <v>9339</v>
      </c>
      <c r="C1467" s="17" t="s">
        <v>8028</v>
      </c>
      <c r="D1467" s="17" t="s">
        <v>8065</v>
      </c>
      <c r="E1467" s="10">
        <v>2807240</v>
      </c>
      <c r="F1467" s="4" t="str">
        <f>IF(B1467=B1466,"",B1467)</f>
        <v/>
      </c>
    </row>
    <row r="1468" spans="1:6" ht="15.75" customHeight="1">
      <c r="A1468" s="5" t="s">
        <v>7937</v>
      </c>
      <c r="B1468" s="6" t="s">
        <v>7937</v>
      </c>
      <c r="C1468" s="5" t="s">
        <v>7052</v>
      </c>
      <c r="D1468" s="5" t="s">
        <v>7061</v>
      </c>
      <c r="E1468" s="2">
        <v>2967318</v>
      </c>
      <c r="F1468" s="4" t="str">
        <f>IF(B1468=B1467,"",B1468)</f>
        <v>Wittenheim</v>
      </c>
    </row>
    <row r="1469" spans="1:6" ht="15.75" customHeight="1">
      <c r="A1469" s="5" t="str">
        <f ca="1">IFERROR(__xludf.DUMMYFUNCTION("GOOGLETRANSLATE(B29673,""en"",""pt"")"),"Wittenheim")</f>
        <v>Wittenheim</v>
      </c>
      <c r="B1469" s="17" t="s">
        <v>7937</v>
      </c>
      <c r="C1469" s="17" t="s">
        <v>7052</v>
      </c>
      <c r="D1469" s="17" t="s">
        <v>7061</v>
      </c>
      <c r="E1469" s="10">
        <v>2967318</v>
      </c>
      <c r="F1469" s="4" t="str">
        <f>IF(B1469=B1468,"",B1469)</f>
        <v/>
      </c>
    </row>
    <row r="1470" spans="1:6" ht="15.75" customHeight="1">
      <c r="A1470" s="5" t="s">
        <v>9338</v>
      </c>
      <c r="B1470" s="6" t="s">
        <v>9338</v>
      </c>
      <c r="C1470" s="5" t="s">
        <v>8028</v>
      </c>
      <c r="D1470" s="5" t="s">
        <v>8070</v>
      </c>
      <c r="E1470" s="2">
        <v>2807344</v>
      </c>
      <c r="F1470" s="4" t="str">
        <f>IF(B1470=B1469,"",B1470)</f>
        <v>Wittenberge</v>
      </c>
    </row>
    <row r="1471" spans="1:6" ht="15.75" customHeight="1">
      <c r="A1471" s="5" t="str">
        <f ca="1">IFERROR(__xludf.DUMMYFUNCTION("GOOGLETRANSLATE(B27368,""en"",""pt"")"),"Wittenberge")</f>
        <v>Wittenberge</v>
      </c>
      <c r="B1471" s="17" t="s">
        <v>9338</v>
      </c>
      <c r="C1471" s="17" t="s">
        <v>8028</v>
      </c>
      <c r="D1471" s="17" t="s">
        <v>8070</v>
      </c>
      <c r="E1471" s="10">
        <v>2807344</v>
      </c>
      <c r="F1471" s="4" t="str">
        <f>IF(B1471=B1470,"",B1471)</f>
        <v/>
      </c>
    </row>
    <row r="1472" spans="1:6" ht="15.75" customHeight="1">
      <c r="A1472" s="6" t="s">
        <v>9337</v>
      </c>
      <c r="B1472" s="6" t="s">
        <v>9337</v>
      </c>
      <c r="C1472" s="6" t="s">
        <v>8028</v>
      </c>
      <c r="D1472" s="6" t="s">
        <v>8036</v>
      </c>
      <c r="E1472" s="2">
        <v>2807360</v>
      </c>
      <c r="F1472" s="4" t="str">
        <f>IF(B1472=B1471,"",B1472)</f>
        <v>Wittenau</v>
      </c>
    </row>
    <row r="1473" spans="1:6" ht="15.75" customHeight="1">
      <c r="A1473" s="5" t="str">
        <f ca="1">IFERROR(__xludf.DUMMYFUNCTION("GOOGLETRANSLATE(B27369,""en"",""pt"")"),"Wittenau")</f>
        <v>Wittenau</v>
      </c>
      <c r="B1473" s="17" t="s">
        <v>9337</v>
      </c>
      <c r="C1473" s="17" t="s">
        <v>8028</v>
      </c>
      <c r="D1473" s="17" t="s">
        <v>8036</v>
      </c>
      <c r="E1473" s="10">
        <v>2807360</v>
      </c>
      <c r="F1473" s="4" t="str">
        <f>IF(B1473=B1472,"",B1473)</f>
        <v/>
      </c>
    </row>
    <row r="1474" spans="1:6" ht="15.75" customHeight="1">
      <c r="A1474" s="6" t="s">
        <v>9336</v>
      </c>
      <c r="B1474" s="6" t="s">
        <v>9336</v>
      </c>
      <c r="C1474" s="6" t="s">
        <v>8028</v>
      </c>
      <c r="D1474" s="6" t="s">
        <v>8029</v>
      </c>
      <c r="E1474" s="2">
        <v>2807363</v>
      </c>
      <c r="F1474" s="4" t="str">
        <f>IF(B1474=B1473,"",B1474)</f>
        <v>Witten</v>
      </c>
    </row>
    <row r="1475" spans="1:6" ht="15.75" customHeight="1">
      <c r="A1475" s="5" t="str">
        <f ca="1">IFERROR(__xludf.DUMMYFUNCTION("GOOGLETRANSLATE(B27370,""en"",""pt"")"),"Witten")</f>
        <v>Witten</v>
      </c>
      <c r="B1475" s="17" t="s">
        <v>9336</v>
      </c>
      <c r="C1475" s="17" t="s">
        <v>8028</v>
      </c>
      <c r="D1475" s="17" t="s">
        <v>8029</v>
      </c>
      <c r="E1475" s="10">
        <v>2807363</v>
      </c>
      <c r="F1475" s="4" t="str">
        <f>IF(B1475=B1474,"",B1475)</f>
        <v/>
      </c>
    </row>
    <row r="1476" spans="1:6" ht="15.75" customHeight="1">
      <c r="A1476" s="6" t="s">
        <v>27769</v>
      </c>
      <c r="B1476" s="6" t="s">
        <v>27769</v>
      </c>
      <c r="C1476" s="6" t="s">
        <v>27234</v>
      </c>
      <c r="D1476" s="6" t="s">
        <v>27241</v>
      </c>
      <c r="E1476" s="2">
        <v>2633729</v>
      </c>
      <c r="F1476" s="4" t="str">
        <f>IF(B1476=B1475,"",B1476)</f>
        <v>Witney</v>
      </c>
    </row>
    <row r="1477" spans="1:6" ht="15.75" customHeight="1">
      <c r="A1477" s="5" t="str">
        <f ca="1">IFERROR(__xludf.DUMMYFUNCTION("GOOGLETRANSLATE(B30328,""en"",""pt"")"),"Witney")</f>
        <v>Witney</v>
      </c>
      <c r="B1477" s="17" t="s">
        <v>27769</v>
      </c>
      <c r="C1477" s="17" t="s">
        <v>27234</v>
      </c>
      <c r="D1477" s="17" t="s">
        <v>27241</v>
      </c>
      <c r="E1477" s="10">
        <v>2633729</v>
      </c>
      <c r="F1477" s="4" t="str">
        <f>IF(B1477=B1476,"",B1477)</f>
        <v/>
      </c>
    </row>
    <row r="1478" spans="1:6" ht="15.75" customHeight="1">
      <c r="A1478" s="6" t="s">
        <v>27768</v>
      </c>
      <c r="B1478" s="6" t="s">
        <v>27768</v>
      </c>
      <c r="C1478" s="6" t="s">
        <v>27234</v>
      </c>
      <c r="D1478" s="6" t="s">
        <v>27241</v>
      </c>
      <c r="E1478" s="2">
        <v>2633749</v>
      </c>
      <c r="F1478" s="4" t="str">
        <f>IF(B1478=B1477,"",B1478)</f>
        <v>Witham</v>
      </c>
    </row>
    <row r="1479" spans="1:6" ht="15.75" customHeight="1">
      <c r="A1479" s="5" t="str">
        <f ca="1">IFERROR(__xludf.DUMMYFUNCTION("GOOGLETRANSLATE(B30329,""en"",""pt"")"),"Witham")</f>
        <v>Witham</v>
      </c>
      <c r="B1479" s="17" t="s">
        <v>27768</v>
      </c>
      <c r="C1479" s="17" t="s">
        <v>27234</v>
      </c>
      <c r="D1479" s="17" t="s">
        <v>27241</v>
      </c>
      <c r="E1479" s="10">
        <v>2633749</v>
      </c>
      <c r="F1479" s="4" t="str">
        <f>IF(B1479=B1478,"",B1479)</f>
        <v/>
      </c>
    </row>
    <row r="1480" spans="1:6" ht="15.75" customHeight="1">
      <c r="A1480" s="6" t="s">
        <v>24017</v>
      </c>
      <c r="B1480" s="6" t="s">
        <v>24017</v>
      </c>
      <c r="C1480" s="6" t="s">
        <v>23842</v>
      </c>
      <c r="D1480" s="6" t="s">
        <v>23849</v>
      </c>
      <c r="E1480" s="2">
        <v>939270</v>
      </c>
      <c r="F1480" s="4" t="str">
        <f>IF(B1480=B1479,"",B1480)</f>
        <v>Witbank</v>
      </c>
    </row>
    <row r="1481" spans="1:6" ht="15.75" customHeight="1">
      <c r="A1481" s="5" t="str">
        <f ca="1">IFERROR(__xludf.DUMMYFUNCTION("GOOGLETRANSLATE(B45846,""en"",""pt"")"),"Witbank")</f>
        <v>Witbank</v>
      </c>
      <c r="B1481" s="17" t="s">
        <v>24017</v>
      </c>
      <c r="C1481" s="17" t="s">
        <v>23842</v>
      </c>
      <c r="D1481" s="17" t="s">
        <v>23849</v>
      </c>
      <c r="E1481" s="10">
        <v>939270</v>
      </c>
      <c r="F1481" s="4" t="str">
        <f>IF(B1481=B1480,"",B1481)</f>
        <v/>
      </c>
    </row>
    <row r="1482" spans="1:6" ht="15.75" customHeight="1">
      <c r="A1482" s="6" t="s">
        <v>9335</v>
      </c>
      <c r="B1482" s="6" t="s">
        <v>9335</v>
      </c>
      <c r="C1482" s="6" t="s">
        <v>8028</v>
      </c>
      <c r="D1482" s="6" t="s">
        <v>8436</v>
      </c>
      <c r="E1482" s="2">
        <v>2807465</v>
      </c>
      <c r="F1482" s="4" t="str">
        <f>IF(B1482=B1481,"",B1482)</f>
        <v>Wismar</v>
      </c>
    </row>
    <row r="1483" spans="1:6" ht="15.75" customHeight="1">
      <c r="A1483" s="5" t="str">
        <f ca="1">IFERROR(__xludf.DUMMYFUNCTION("GOOGLETRANSLATE(B27371,""en"",""pt"")"),"Wismar")</f>
        <v>Wismar</v>
      </c>
      <c r="B1483" s="17" t="s">
        <v>9335</v>
      </c>
      <c r="C1483" s="17" t="s">
        <v>8028</v>
      </c>
      <c r="D1483" s="17" t="s">
        <v>8436</v>
      </c>
      <c r="E1483" s="10">
        <v>2807465</v>
      </c>
      <c r="F1483" s="4" t="str">
        <f>IF(B1483=B1482,"",B1483)</f>
        <v/>
      </c>
    </row>
    <row r="1484" spans="1:6" ht="15.75" customHeight="1">
      <c r="A1484" s="6" t="s">
        <v>27767</v>
      </c>
      <c r="B1484" s="6" t="s">
        <v>27767</v>
      </c>
      <c r="C1484" s="6" t="s">
        <v>27234</v>
      </c>
      <c r="D1484" s="6" t="s">
        <v>27237</v>
      </c>
      <c r="E1484" s="2">
        <v>2633765</v>
      </c>
      <c r="F1484" s="4" t="str">
        <f>IF(B1484=B1483,"",B1484)</f>
        <v>Wishaw</v>
      </c>
    </row>
    <row r="1485" spans="1:6" ht="15.75" customHeight="1">
      <c r="A1485" s="5" t="str">
        <f ca="1">IFERROR(__xludf.DUMMYFUNCTION("GOOGLETRANSLATE(B30330,""en"",""pt"")"),"Wishaw")</f>
        <v>Wishaw</v>
      </c>
      <c r="B1485" s="17" t="s">
        <v>27767</v>
      </c>
      <c r="C1485" s="17" t="s">
        <v>27234</v>
      </c>
      <c r="D1485" s="17" t="s">
        <v>27237</v>
      </c>
      <c r="E1485" s="10">
        <v>2633765</v>
      </c>
      <c r="F1485" s="4" t="str">
        <f>IF(B1485=B1484,"",B1485)</f>
        <v/>
      </c>
    </row>
    <row r="1486" spans="1:6" ht="15.75" customHeight="1">
      <c r="A1486" s="5" t="s">
        <v>26032</v>
      </c>
      <c r="B1486" s="6" t="s">
        <v>26032</v>
      </c>
      <c r="C1486" s="5" t="s">
        <v>25771</v>
      </c>
      <c r="D1486" s="5" t="s">
        <v>26033</v>
      </c>
      <c r="E1486" s="2">
        <v>1605018</v>
      </c>
      <c r="F1486" s="4" t="str">
        <f>IF(B1486=B1485,"",B1486)</f>
        <v>Wiset Chaichan</v>
      </c>
    </row>
    <row r="1487" spans="1:6" ht="15.75" customHeight="1">
      <c r="A1487" s="5" t="str">
        <f ca="1">IFERROR(__xludf.DUMMYFUNCTION("GOOGLETRANSLATE(B41581,""en"",""pt"")"),"Wiset Chaichan")</f>
        <v>Wiset Chaichan</v>
      </c>
      <c r="B1487" s="17" t="s">
        <v>26032</v>
      </c>
      <c r="C1487" s="17" t="s">
        <v>25771</v>
      </c>
      <c r="D1487" s="17" t="s">
        <v>26033</v>
      </c>
      <c r="E1487" s="10">
        <v>1605018</v>
      </c>
      <c r="F1487" s="4" t="str">
        <f>IF(B1487=B1486,"",B1487)</f>
        <v/>
      </c>
    </row>
    <row r="1488" spans="1:6" ht="15.75" customHeight="1">
      <c r="A1488" s="5" t="s">
        <v>30438</v>
      </c>
      <c r="B1488" s="6" t="s">
        <v>30438</v>
      </c>
      <c r="C1488" s="5" t="s">
        <v>27788</v>
      </c>
      <c r="D1488" s="5" t="s">
        <v>27890</v>
      </c>
      <c r="E1488" s="2">
        <v>5279436</v>
      </c>
      <c r="F1488" s="4" t="str">
        <f>IF(B1488=B1487,"",B1488)</f>
        <v>Wisconsin Rapids</v>
      </c>
    </row>
    <row r="1489" spans="1:6" ht="15.75" customHeight="1">
      <c r="A1489" s="5" t="str">
        <f ca="1">IFERROR(__xludf.DUMMYFUNCTION("GOOGLETRANSLATE(B44682,""en"",""pt"")"),"Wisconsin Rapids")</f>
        <v>Wisconsin Rapids</v>
      </c>
      <c r="B1489" s="17" t="s">
        <v>30438</v>
      </c>
      <c r="C1489" s="17" t="s">
        <v>27788</v>
      </c>
      <c r="D1489" s="17" t="s">
        <v>27890</v>
      </c>
      <c r="E1489" s="10">
        <v>5279436</v>
      </c>
      <c r="F1489" s="4" t="str">
        <f>IF(B1489=B1488,"",B1489)</f>
        <v/>
      </c>
    </row>
    <row r="1490" spans="1:6" ht="15.75" customHeight="1">
      <c r="A1490" s="6" t="s">
        <v>19145</v>
      </c>
      <c r="B1490" s="6" t="s">
        <v>19145</v>
      </c>
      <c r="C1490" s="6" t="s">
        <v>18862</v>
      </c>
      <c r="D1490" s="6" t="s">
        <v>18865</v>
      </c>
      <c r="E1490" s="2">
        <v>2744324</v>
      </c>
      <c r="F1490" s="4" t="str">
        <f>IF(B1490=B1489,"",B1490)</f>
        <v>Wisch</v>
      </c>
    </row>
    <row r="1491" spans="1:6" ht="15.75" customHeight="1">
      <c r="A1491" s="5" t="str">
        <f ca="1">IFERROR(__xludf.DUMMYFUNCTION("GOOGLETRANSLATE(B37900,""en"",""pt"")"),"Wisch")</f>
        <v>Wisch</v>
      </c>
      <c r="B1491" s="17" t="s">
        <v>19145</v>
      </c>
      <c r="C1491" s="17" t="s">
        <v>18862</v>
      </c>
      <c r="D1491" s="17" t="s">
        <v>18865</v>
      </c>
      <c r="E1491" s="10">
        <v>2744324</v>
      </c>
      <c r="F1491" s="4" t="str">
        <f>IF(B1491=B1490,"",B1491)</f>
        <v/>
      </c>
    </row>
    <row r="1492" spans="1:6" ht="15.75" customHeight="1">
      <c r="A1492" s="6" t="s">
        <v>27766</v>
      </c>
      <c r="B1492" s="6" t="s">
        <v>27766</v>
      </c>
      <c r="C1492" s="6" t="s">
        <v>27234</v>
      </c>
      <c r="D1492" s="6" t="s">
        <v>27241</v>
      </c>
      <c r="E1492" s="2">
        <v>2633771</v>
      </c>
      <c r="F1492" s="4" t="str">
        <f>IF(B1492=B1491,"",B1492)</f>
        <v>Wisbech</v>
      </c>
    </row>
    <row r="1493" spans="1:6" ht="15.75" customHeight="1">
      <c r="A1493" s="5" t="str">
        <f ca="1">IFERROR(__xludf.DUMMYFUNCTION("GOOGLETRANSLATE(B30331,""en"",""pt"")"),"Wisbech")</f>
        <v>Wisbech</v>
      </c>
      <c r="B1493" s="17" t="s">
        <v>27766</v>
      </c>
      <c r="C1493" s="17" t="s">
        <v>27234</v>
      </c>
      <c r="D1493" s="17" t="s">
        <v>27241</v>
      </c>
      <c r="E1493" s="10">
        <v>2633771</v>
      </c>
      <c r="F1493" s="4" t="str">
        <f>IF(B1493=B1492,"",B1493)</f>
        <v/>
      </c>
    </row>
    <row r="1494" spans="1:6" ht="15.75" customHeight="1">
      <c r="A1494" s="6" t="s">
        <v>14231</v>
      </c>
      <c r="B1494" s="6" t="s">
        <v>14231</v>
      </c>
      <c r="C1494" s="6" t="s">
        <v>13800</v>
      </c>
      <c r="D1494" s="6" t="s">
        <v>13803</v>
      </c>
      <c r="E1494" s="2">
        <v>1621520</v>
      </c>
      <c r="F1494" s="4" t="str">
        <f>IF(B1494=B1493,"",B1494)</f>
        <v>Wiradesa</v>
      </c>
    </row>
    <row r="1495" spans="1:6" ht="15.75" customHeight="1">
      <c r="A1495" s="5" t="str">
        <f ca="1">IFERROR(__xludf.DUMMYFUNCTION("GOOGLETRANSLATE(B31388,""en"",""pt"")"),"Wiradesa")</f>
        <v>Wiradesa</v>
      </c>
      <c r="B1495" s="17" t="s">
        <v>14231</v>
      </c>
      <c r="C1495" s="17" t="s">
        <v>13800</v>
      </c>
      <c r="D1495" s="17" t="s">
        <v>13803</v>
      </c>
      <c r="E1495" s="10">
        <v>1621520</v>
      </c>
      <c r="F1495" s="4" t="str">
        <f>IF(B1495=B1494,"",B1495)</f>
        <v/>
      </c>
    </row>
    <row r="1496" spans="1:6" ht="15.75" customHeight="1">
      <c r="A1496" s="5" t="str">
        <f ca="1">IFERROR(__xludf.DUMMYFUNCTION("GOOGLETRANSLATE(B27372,""en"",""pt"")"),"Wipperfürth")</f>
        <v>Wipperfürth</v>
      </c>
      <c r="B1496" s="17" t="s">
        <v>32012</v>
      </c>
      <c r="C1496" s="17" t="s">
        <v>8028</v>
      </c>
      <c r="D1496" s="17" t="s">
        <v>8029</v>
      </c>
      <c r="E1496" s="10">
        <v>2807594</v>
      </c>
      <c r="F1496" s="4" t="str">
        <f>IF(B1496=B1495,"",B1496)</f>
        <v>Wipperfürth</v>
      </c>
    </row>
    <row r="1497" spans="1:6" ht="15.75" customHeight="1">
      <c r="A1497" s="5" t="s">
        <v>9333</v>
      </c>
      <c r="B1497" s="6" t="s">
        <v>9334</v>
      </c>
      <c r="C1497" s="5" t="s">
        <v>8028</v>
      </c>
      <c r="D1497" s="5" t="s">
        <v>8029</v>
      </c>
      <c r="E1497" s="2">
        <v>2807594</v>
      </c>
      <c r="F1497" s="4" t="str">
        <f>IF(B1497=B1496,"",B1497)</f>
        <v>WipperfÃ¼rth</v>
      </c>
    </row>
    <row r="1498" spans="1:6" ht="15.75" customHeight="1">
      <c r="A1498" s="6" t="s">
        <v>30437</v>
      </c>
      <c r="B1498" s="6" t="s">
        <v>30437</v>
      </c>
      <c r="C1498" s="6" t="s">
        <v>27788</v>
      </c>
      <c r="D1498" s="6" t="s">
        <v>27794</v>
      </c>
      <c r="E1498" s="2">
        <v>4955993</v>
      </c>
      <c r="F1498" s="4" t="str">
        <f>IF(B1498=B1497,"",B1498)</f>
        <v>Winthrop</v>
      </c>
    </row>
    <row r="1499" spans="1:6" ht="15.75" customHeight="1">
      <c r="A1499" s="5" t="str">
        <f ca="1">IFERROR(__xludf.DUMMYFUNCTION("GOOGLETRANSLATE(B44046,""en"",""pt"")"),"Winthrop")</f>
        <v>Winthrop</v>
      </c>
      <c r="B1499" s="17" t="s">
        <v>30437</v>
      </c>
      <c r="C1499" s="17" t="s">
        <v>27788</v>
      </c>
      <c r="D1499" s="17" t="s">
        <v>27794</v>
      </c>
      <c r="E1499" s="10">
        <v>4955993</v>
      </c>
      <c r="F1499" s="4" t="str">
        <f>IF(B1499=B1498,"",B1499)</f>
        <v/>
      </c>
    </row>
    <row r="1500" spans="1:6" ht="15.75" customHeight="1">
      <c r="A1500" s="5" t="s">
        <v>25320</v>
      </c>
      <c r="B1500" s="6" t="s">
        <v>25320</v>
      </c>
      <c r="C1500" s="5" t="s">
        <v>25237</v>
      </c>
      <c r="D1500" s="5" t="s">
        <v>25240</v>
      </c>
      <c r="E1500" s="2">
        <v>2657970</v>
      </c>
      <c r="F1500" s="4" t="str">
        <f>IF(B1500=B1499,"",B1500)</f>
        <v>Winterthur</v>
      </c>
    </row>
    <row r="1501" spans="1:6" ht="15.75" customHeight="1">
      <c r="A1501" s="5" t="str">
        <f ca="1">IFERROR(__xludf.DUMMYFUNCTION("GOOGLETRANSLATE(B25745,""en"",""pt"")"),"Winterthur")</f>
        <v>Winterthur</v>
      </c>
      <c r="B1501" s="17" t="s">
        <v>25320</v>
      </c>
      <c r="C1501" s="17" t="s">
        <v>25237</v>
      </c>
      <c r="D1501" s="17" t="s">
        <v>25240</v>
      </c>
      <c r="E1501" s="10">
        <v>2657970</v>
      </c>
      <c r="F1501" s="4" t="str">
        <f>IF(B1501=B1500,"",B1501)</f>
        <v/>
      </c>
    </row>
    <row r="1502" spans="1:6" ht="15.75" customHeight="1">
      <c r="A1502" s="5" t="s">
        <v>19144</v>
      </c>
      <c r="B1502" s="6" t="s">
        <v>19144</v>
      </c>
      <c r="C1502" s="5" t="s">
        <v>18862</v>
      </c>
      <c r="D1502" s="5" t="s">
        <v>18865</v>
      </c>
      <c r="E1502" s="2">
        <v>2744332</v>
      </c>
      <c r="F1502" s="4" t="str">
        <f>IF(B1502=B1501,"",B1502)</f>
        <v>Winterswijk</v>
      </c>
    </row>
    <row r="1503" spans="1:6" ht="15.75" customHeight="1">
      <c r="A1503" s="5" t="str">
        <f ca="1">IFERROR(__xludf.DUMMYFUNCTION("GOOGLETRANSLATE(B37901,""en"",""pt"")"),"Winterswijk")</f>
        <v>Winterswijk</v>
      </c>
      <c r="B1503" s="17" t="s">
        <v>19144</v>
      </c>
      <c r="C1503" s="17" t="s">
        <v>18862</v>
      </c>
      <c r="D1503" s="17" t="s">
        <v>18865</v>
      </c>
      <c r="E1503" s="10">
        <v>2744332</v>
      </c>
      <c r="F1503" s="4" t="str">
        <f>IF(B1503=B1502,"",B1503)</f>
        <v/>
      </c>
    </row>
    <row r="1504" spans="1:6" ht="15.75" customHeight="1">
      <c r="A1504" s="5" t="s">
        <v>9331</v>
      </c>
      <c r="B1504" s="6" t="s">
        <v>9332</v>
      </c>
      <c r="C1504" s="5" t="s">
        <v>8028</v>
      </c>
      <c r="D1504" s="5" t="s">
        <v>8059</v>
      </c>
      <c r="E1504" s="2">
        <v>2807748</v>
      </c>
      <c r="F1504" s="4" t="str">
        <f>IF(B1504=B1503,"",B1504)</f>
        <v>Winterhude</v>
      </c>
    </row>
    <row r="1505" spans="1:6" ht="15.75" customHeight="1">
      <c r="A1505" s="5" t="str">
        <f ca="1">IFERROR(__xludf.DUMMYFUNCTION("GOOGLETRANSLATE(B27373,""en"",""pt"")"),"Hude de inverno")</f>
        <v>Hude de inverno</v>
      </c>
      <c r="B1505" s="17" t="s">
        <v>9332</v>
      </c>
      <c r="C1505" s="17" t="s">
        <v>8028</v>
      </c>
      <c r="D1505" s="17" t="s">
        <v>8059</v>
      </c>
      <c r="E1505" s="10">
        <v>2807748</v>
      </c>
      <c r="F1505" s="4" t="str">
        <f>IF(B1505=B1504,"",B1505)</f>
        <v/>
      </c>
    </row>
    <row r="1506" spans="1:6" ht="15.75" customHeight="1">
      <c r="A1506" s="5" t="s">
        <v>30436</v>
      </c>
      <c r="B1506" s="6" t="s">
        <v>30436</v>
      </c>
      <c r="C1506" s="5" t="s">
        <v>27788</v>
      </c>
      <c r="D1506" s="5" t="s">
        <v>5468</v>
      </c>
      <c r="E1506" s="2">
        <v>4178573</v>
      </c>
      <c r="F1506" s="4" t="str">
        <f>IF(B1506=B1505,"",B1506)</f>
        <v>Winter Springs</v>
      </c>
    </row>
    <row r="1507" spans="1:6" ht="15.75" customHeight="1">
      <c r="A1507" s="5" t="str">
        <f ca="1">IFERROR(__xludf.DUMMYFUNCTION("GOOGLETRANSLATE(B43055,""en"",""pt"")"),"Winter Springs")</f>
        <v>Winter Springs</v>
      </c>
      <c r="B1507" s="17" t="s">
        <v>30436</v>
      </c>
      <c r="C1507" s="17" t="s">
        <v>27788</v>
      </c>
      <c r="D1507" s="17" t="s">
        <v>5468</v>
      </c>
      <c r="E1507" s="10">
        <v>4178573</v>
      </c>
      <c r="F1507" s="4" t="str">
        <f>IF(B1507=B1506,"",B1507)</f>
        <v/>
      </c>
    </row>
    <row r="1508" spans="1:6" ht="15.75" customHeight="1">
      <c r="A1508" s="5" t="s">
        <v>30434</v>
      </c>
      <c r="B1508" s="6" t="s">
        <v>30435</v>
      </c>
      <c r="C1508" s="5" t="s">
        <v>27788</v>
      </c>
      <c r="D1508" s="5" t="s">
        <v>5468</v>
      </c>
      <c r="E1508" s="2">
        <v>4178560</v>
      </c>
      <c r="F1508" s="4" t="str">
        <f>IF(B1508=B1507,"",B1508)</f>
        <v>Winter Park</v>
      </c>
    </row>
    <row r="1509" spans="1:6" ht="15.75" customHeight="1">
      <c r="A1509" s="5" t="str">
        <f ca="1">IFERROR(__xludf.DUMMYFUNCTION("GOOGLETRANSLATE(B43054,""en"",""pt"")"),"Parque de inverno")</f>
        <v>Parque de inverno</v>
      </c>
      <c r="B1509" s="17" t="s">
        <v>30435</v>
      </c>
      <c r="C1509" s="17" t="s">
        <v>27788</v>
      </c>
      <c r="D1509" s="17" t="s">
        <v>5468</v>
      </c>
      <c r="E1509" s="10">
        <v>4178560</v>
      </c>
      <c r="F1509" s="4" t="str">
        <f>IF(B1509=B1508,"",B1509)</f>
        <v/>
      </c>
    </row>
    <row r="1510" spans="1:6" ht="15.75" customHeight="1">
      <c r="A1510" s="5" t="s">
        <v>30432</v>
      </c>
      <c r="B1510" s="6" t="s">
        <v>30433</v>
      </c>
      <c r="C1510" s="5" t="s">
        <v>27788</v>
      </c>
      <c r="D1510" s="5" t="s">
        <v>5468</v>
      </c>
      <c r="E1510" s="2">
        <v>4178552</v>
      </c>
      <c r="F1510" s="4" t="str">
        <f>IF(B1510=B1509,"",B1510)</f>
        <v>Winter Haven</v>
      </c>
    </row>
    <row r="1511" spans="1:6" ht="15.75" customHeight="1">
      <c r="A1511" s="5" t="str">
        <f ca="1">IFERROR(__xludf.DUMMYFUNCTION("GOOGLETRANSLATE(B43053,""en"",""pt"")"),"Haven Winter")</f>
        <v>Haven Winter</v>
      </c>
      <c r="B1511" s="17" t="s">
        <v>30433</v>
      </c>
      <c r="C1511" s="17" t="s">
        <v>27788</v>
      </c>
      <c r="D1511" s="17" t="s">
        <v>5468</v>
      </c>
      <c r="E1511" s="10">
        <v>4178552</v>
      </c>
      <c r="F1511" s="4" t="str">
        <f>IF(B1511=B1510,"",B1511)</f>
        <v/>
      </c>
    </row>
    <row r="1512" spans="1:6" ht="15.75" customHeight="1">
      <c r="A1512" s="5" t="s">
        <v>30430</v>
      </c>
      <c r="B1512" s="6" t="s">
        <v>30431</v>
      </c>
      <c r="C1512" s="5" t="s">
        <v>27788</v>
      </c>
      <c r="D1512" s="5" t="s">
        <v>27801</v>
      </c>
      <c r="E1512" s="2">
        <v>5410129</v>
      </c>
      <c r="F1512" s="4" t="str">
        <f>IF(B1512=B1511,"",B1512)</f>
        <v>Winter Gardens</v>
      </c>
    </row>
    <row r="1513" spans="1:6" ht="15.75" customHeight="1">
      <c r="A1513" s="5" t="str">
        <f ca="1">IFERROR(__xludf.DUMMYFUNCTION("GOOGLETRANSLATE(B45081,""en"",""pt"")"),"Jardins de inverno")</f>
        <v>Jardins de inverno</v>
      </c>
      <c r="B1513" s="17" t="s">
        <v>30431</v>
      </c>
      <c r="C1513" s="17" t="s">
        <v>27788</v>
      </c>
      <c r="D1513" s="17" t="s">
        <v>27801</v>
      </c>
      <c r="E1513" s="10">
        <v>5410129</v>
      </c>
      <c r="F1513" s="4" t="str">
        <f>IF(B1513=B1512,"",B1513)</f>
        <v/>
      </c>
    </row>
    <row r="1514" spans="1:6" ht="15.75" customHeight="1">
      <c r="A1514" s="5" t="s">
        <v>30428</v>
      </c>
      <c r="B1514" s="6" t="s">
        <v>30429</v>
      </c>
      <c r="C1514" s="5" t="s">
        <v>27788</v>
      </c>
      <c r="D1514" s="5" t="s">
        <v>5468</v>
      </c>
      <c r="E1514" s="2">
        <v>4178550</v>
      </c>
      <c r="F1514" s="4" t="str">
        <f>IF(B1514=B1513,"",B1514)</f>
        <v>Winter Garden</v>
      </c>
    </row>
    <row r="1515" spans="1:6" ht="15.75" customHeight="1">
      <c r="A1515" s="5" t="str">
        <f ca="1">IFERROR(__xludf.DUMMYFUNCTION("GOOGLETRANSLATE(B43052,""en"",""pt"")"),"Jardim de Inverno")</f>
        <v>Jardim de Inverno</v>
      </c>
      <c r="B1515" s="17" t="s">
        <v>30429</v>
      </c>
      <c r="C1515" s="17" t="s">
        <v>27788</v>
      </c>
      <c r="D1515" s="17" t="s">
        <v>5468</v>
      </c>
      <c r="E1515" s="10">
        <v>4178550</v>
      </c>
      <c r="F1515" s="4" t="str">
        <f>IF(B1515=B1514,"",B1515)</f>
        <v/>
      </c>
    </row>
    <row r="1516" spans="1:6" ht="15.75" customHeight="1">
      <c r="A1516" s="5" t="s">
        <v>30427</v>
      </c>
      <c r="B1516" s="6" t="s">
        <v>30427</v>
      </c>
      <c r="C1516" s="5" t="s">
        <v>27788</v>
      </c>
      <c r="D1516" s="5" t="s">
        <v>27822</v>
      </c>
      <c r="E1516" s="2">
        <v>4499612</v>
      </c>
      <c r="F1516" s="4" t="str">
        <f>IF(B1516=B1515,"",B1516)</f>
        <v>Winston-Salem</v>
      </c>
    </row>
    <row r="1517" spans="1:6" ht="15.75" customHeight="1">
      <c r="A1517" s="5" t="str">
        <f ca="1">IFERROR(__xludf.DUMMYFUNCTION("GOOGLETRANSLATE(B43485,""en"",""pt"")"),"Winston-Salem")</f>
        <v>Winston-Salem</v>
      </c>
      <c r="B1517" s="17" t="s">
        <v>30427</v>
      </c>
      <c r="C1517" s="17" t="s">
        <v>27788</v>
      </c>
      <c r="D1517" s="17" t="s">
        <v>27822</v>
      </c>
      <c r="E1517" s="10">
        <v>4499612</v>
      </c>
      <c r="F1517" s="4" t="str">
        <f>IF(B1517=B1516,"",B1517)</f>
        <v/>
      </c>
    </row>
    <row r="1518" spans="1:6" ht="15.75" customHeight="1">
      <c r="A1518" s="6" t="s">
        <v>27765</v>
      </c>
      <c r="B1518" s="6" t="s">
        <v>27765</v>
      </c>
      <c r="C1518" s="6" t="s">
        <v>27234</v>
      </c>
      <c r="D1518" s="6" t="s">
        <v>27241</v>
      </c>
      <c r="E1518" s="2">
        <v>2633810</v>
      </c>
      <c r="F1518" s="4" t="str">
        <f>IF(B1518=B1517,"",B1518)</f>
        <v>Winsford</v>
      </c>
    </row>
    <row r="1519" spans="1:6" ht="15.75" customHeight="1">
      <c r="A1519" s="5" t="str">
        <f ca="1">IFERROR(__xludf.DUMMYFUNCTION("GOOGLETRANSLATE(B30332,""en"",""pt"")"),"Winsford")</f>
        <v>Winsford</v>
      </c>
      <c r="B1519" s="17" t="s">
        <v>27765</v>
      </c>
      <c r="C1519" s="17" t="s">
        <v>27234</v>
      </c>
      <c r="D1519" s="17" t="s">
        <v>27241</v>
      </c>
      <c r="E1519" s="10">
        <v>2633810</v>
      </c>
      <c r="F1519" s="4" t="str">
        <f>IF(B1519=B1518,"",B1519)</f>
        <v/>
      </c>
    </row>
    <row r="1520" spans="1:6" ht="15.75" customHeight="1">
      <c r="A1520" s="6" t="s">
        <v>9330</v>
      </c>
      <c r="B1520" s="6" t="s">
        <v>9330</v>
      </c>
      <c r="C1520" s="6" t="s">
        <v>8028</v>
      </c>
      <c r="D1520" s="6" t="s">
        <v>8034</v>
      </c>
      <c r="E1520" s="2">
        <v>2807845</v>
      </c>
      <c r="F1520" s="4" t="str">
        <f>IF(B1520=B1519,"",B1520)</f>
        <v>Winsen</v>
      </c>
    </row>
    <row r="1521" spans="1:6" ht="15.75" customHeight="1">
      <c r="A1521" s="5" t="str">
        <f ca="1">IFERROR(__xludf.DUMMYFUNCTION("GOOGLETRANSLATE(B27374,""en"",""pt"")"),"Winsen")</f>
        <v>Winsen</v>
      </c>
      <c r="B1521" s="17" t="s">
        <v>9330</v>
      </c>
      <c r="C1521" s="17" t="s">
        <v>8028</v>
      </c>
      <c r="D1521" s="17" t="s">
        <v>8034</v>
      </c>
      <c r="E1521" s="10">
        <v>2807845</v>
      </c>
      <c r="F1521" s="4" t="str">
        <f>IF(B1521=B1520,"",B1521)</f>
        <v/>
      </c>
    </row>
    <row r="1522" spans="1:6" ht="15.75" customHeight="1">
      <c r="A1522" s="5" t="s">
        <v>19143</v>
      </c>
      <c r="B1522" s="6" t="s">
        <v>19143</v>
      </c>
      <c r="C1522" s="5" t="s">
        <v>18862</v>
      </c>
      <c r="D1522" s="5" t="s">
        <v>18935</v>
      </c>
      <c r="E1522" s="2">
        <v>2744344</v>
      </c>
      <c r="F1522" s="4" t="str">
        <f>IF(B1522=B1521,"",B1522)</f>
        <v>Winschoten</v>
      </c>
    </row>
    <row r="1523" spans="1:6" ht="15.75" customHeight="1">
      <c r="A1523" s="5" t="str">
        <f ca="1">IFERROR(__xludf.DUMMYFUNCTION("GOOGLETRANSLATE(B37902,""en"",""pt"")"),"Winschoten")</f>
        <v>Winschoten</v>
      </c>
      <c r="B1523" s="17" t="s">
        <v>19143</v>
      </c>
      <c r="C1523" s="17" t="s">
        <v>18862</v>
      </c>
      <c r="D1523" s="17" t="s">
        <v>18935</v>
      </c>
      <c r="E1523" s="10">
        <v>2744344</v>
      </c>
      <c r="F1523" s="4" t="str">
        <f>IF(B1523=B1522,"",B1523)</f>
        <v/>
      </c>
    </row>
    <row r="1524" spans="1:6" ht="15.75" customHeight="1">
      <c r="A1524" s="6" t="s">
        <v>30426</v>
      </c>
      <c r="B1524" s="6" t="s">
        <v>30426</v>
      </c>
      <c r="C1524" s="6" t="s">
        <v>27788</v>
      </c>
      <c r="D1524" s="6" t="s">
        <v>27824</v>
      </c>
      <c r="E1524" s="2">
        <v>5053156</v>
      </c>
      <c r="F1524" s="4" t="str">
        <f>IF(B1524=B1523,"",B1524)</f>
        <v>Winona</v>
      </c>
    </row>
    <row r="1525" spans="1:6" ht="15.75" customHeight="1">
      <c r="A1525" s="5" t="str">
        <f ca="1">IFERROR(__xludf.DUMMYFUNCTION("GOOGLETRANSLATE(B44207,""en"",""pt"")"),"Winona")</f>
        <v>Winona</v>
      </c>
      <c r="B1525" s="17" t="s">
        <v>30426</v>
      </c>
      <c r="C1525" s="17" t="s">
        <v>27788</v>
      </c>
      <c r="D1525" s="17" t="s">
        <v>27824</v>
      </c>
      <c r="E1525" s="10">
        <v>5053156</v>
      </c>
      <c r="F1525" s="4" t="str">
        <f>IF(B1525=B1524,"",B1525)</f>
        <v/>
      </c>
    </row>
    <row r="1526" spans="1:6" ht="15.75" customHeight="1">
      <c r="A1526" s="6" t="s">
        <v>4250</v>
      </c>
      <c r="B1526" s="6" t="s">
        <v>4250</v>
      </c>
      <c r="C1526" s="6" t="s">
        <v>3975</v>
      </c>
      <c r="D1526" s="6" t="s">
        <v>4000</v>
      </c>
      <c r="E1526" s="2">
        <v>6183235</v>
      </c>
      <c r="F1526" s="4" t="str">
        <f>IF(B1526=B1525,"",B1526)</f>
        <v>Winnipeg</v>
      </c>
    </row>
    <row r="1527" spans="1:6" ht="15.75" customHeight="1">
      <c r="A1527" s="5" t="str">
        <f ca="1">IFERROR(__xludf.DUMMYFUNCTION("GOOGLETRANSLATE(B25616,""en"",""pt"")"),"Winnipeg")</f>
        <v>Winnipeg</v>
      </c>
      <c r="B1527" s="17" t="s">
        <v>4250</v>
      </c>
      <c r="C1527" s="17" t="s">
        <v>3975</v>
      </c>
      <c r="D1527" s="17" t="s">
        <v>4000</v>
      </c>
      <c r="E1527" s="10">
        <v>6183235</v>
      </c>
      <c r="F1527" s="4" t="str">
        <f>IF(B1527=B1526,"",B1527)</f>
        <v/>
      </c>
    </row>
    <row r="1528" spans="1:6" ht="15.75" customHeight="1">
      <c r="A1528" s="5" t="s">
        <v>9329</v>
      </c>
      <c r="B1528" s="6" t="s">
        <v>9329</v>
      </c>
      <c r="C1528" s="5" t="s">
        <v>8028</v>
      </c>
      <c r="D1528" s="5" t="s">
        <v>8031</v>
      </c>
      <c r="E1528" s="2">
        <v>2807872</v>
      </c>
      <c r="F1528" s="4" t="str">
        <f>IF(B1528=B1527,"",B1528)</f>
        <v>Winnenden</v>
      </c>
    </row>
    <row r="1529" spans="1:6" ht="15.75" customHeight="1">
      <c r="A1529" s="5" t="str">
        <f ca="1">IFERROR(__xludf.DUMMYFUNCTION("GOOGLETRANSLATE(B27375,""en"",""pt"")"),"Winnenden")</f>
        <v>Winnenden</v>
      </c>
      <c r="B1529" s="17" t="s">
        <v>9329</v>
      </c>
      <c r="C1529" s="17" t="s">
        <v>8028</v>
      </c>
      <c r="D1529" s="17" t="s">
        <v>32013</v>
      </c>
      <c r="E1529" s="10">
        <v>2807872</v>
      </c>
      <c r="F1529" s="4" t="str">
        <f>IF(B1529=B1528,"",B1529)</f>
        <v/>
      </c>
    </row>
    <row r="1530" spans="1:6" ht="15.75" customHeight="1">
      <c r="A1530" s="6" t="s">
        <v>9436</v>
      </c>
      <c r="B1530" s="6" t="s">
        <v>9436</v>
      </c>
      <c r="C1530" s="6" t="s">
        <v>9365</v>
      </c>
      <c r="D1530" s="6" t="s">
        <v>1886</v>
      </c>
      <c r="E1530" s="2">
        <v>2294034</v>
      </c>
      <c r="F1530" s="4" t="str">
        <f>IF(B1530=B1529,"",B1530)</f>
        <v>Winneba</v>
      </c>
    </row>
    <row r="1531" spans="1:6" ht="15.75" customHeight="1">
      <c r="A1531" s="5" t="str">
        <f ca="1">IFERROR(__xludf.DUMMYFUNCTION("GOOGLETRANSLATE(B30857,""en"",""pt"")"),"Winneba")</f>
        <v>Winneba</v>
      </c>
      <c r="B1531" s="17" t="s">
        <v>9436</v>
      </c>
      <c r="C1531" s="17" t="s">
        <v>9365</v>
      </c>
      <c r="D1531" s="17" t="s">
        <v>1886</v>
      </c>
      <c r="E1531" s="10">
        <v>2294034</v>
      </c>
      <c r="F1531" s="4" t="str">
        <f>IF(B1531=B1530,"",B1531)</f>
        <v/>
      </c>
    </row>
    <row r="1532" spans="1:6" ht="15.75" customHeight="1">
      <c r="A1532" s="6" t="s">
        <v>4249</v>
      </c>
      <c r="B1532" s="6" t="s">
        <v>4249</v>
      </c>
      <c r="C1532" s="6" t="s">
        <v>3975</v>
      </c>
      <c r="D1532" s="6" t="s">
        <v>3980</v>
      </c>
      <c r="E1532" s="2">
        <v>6182962</v>
      </c>
      <c r="F1532" s="4" t="str">
        <f>IF(B1532=B1531,"",B1532)</f>
        <v>Windsor</v>
      </c>
    </row>
    <row r="1533" spans="1:6" ht="15.75" customHeight="1">
      <c r="A1533" s="6" t="s">
        <v>4249</v>
      </c>
      <c r="B1533" s="6" t="s">
        <v>4249</v>
      </c>
      <c r="C1533" s="6" t="s">
        <v>27234</v>
      </c>
      <c r="D1533" s="6" t="s">
        <v>27241</v>
      </c>
      <c r="E1533" s="2">
        <v>2633842</v>
      </c>
      <c r="F1533" s="4" t="str">
        <f>IF(B1533=B1532,"",B1533)</f>
        <v/>
      </c>
    </row>
    <row r="1534" spans="1:6" ht="15.75" customHeight="1">
      <c r="A1534" s="6" t="s">
        <v>4249</v>
      </c>
      <c r="B1534" s="6" t="s">
        <v>4249</v>
      </c>
      <c r="C1534" s="6" t="s">
        <v>27788</v>
      </c>
      <c r="D1534" s="6" t="s">
        <v>27876</v>
      </c>
      <c r="E1534" s="2">
        <v>4845920</v>
      </c>
      <c r="F1534" s="4" t="str">
        <f>IF(B1534=B1533,"",B1534)</f>
        <v/>
      </c>
    </row>
    <row r="1535" spans="1:6" ht="15.75" customHeight="1">
      <c r="A1535" s="6" t="s">
        <v>4249</v>
      </c>
      <c r="B1535" s="6" t="s">
        <v>4249</v>
      </c>
      <c r="C1535" s="6" t="s">
        <v>27788</v>
      </c>
      <c r="D1535" s="6" t="s">
        <v>27801</v>
      </c>
      <c r="E1535" s="2">
        <v>5410004</v>
      </c>
      <c r="F1535" s="4" t="str">
        <f>IF(B1535=B1534,"",B1535)</f>
        <v/>
      </c>
    </row>
    <row r="1536" spans="1:6" ht="15.75" customHeight="1">
      <c r="A1536" s="6" t="s">
        <v>4249</v>
      </c>
      <c r="B1536" s="6" t="s">
        <v>4249</v>
      </c>
      <c r="C1536" s="6" t="s">
        <v>27788</v>
      </c>
      <c r="D1536" s="6" t="s">
        <v>2341</v>
      </c>
      <c r="E1536" s="2">
        <v>5583509</v>
      </c>
      <c r="F1536" s="4" t="str">
        <f>IF(B1536=B1535,"",B1536)</f>
        <v/>
      </c>
    </row>
    <row r="1537" spans="1:6" ht="15.75" customHeight="1">
      <c r="A1537" s="5" t="str">
        <f ca="1">IFERROR(__xludf.DUMMYFUNCTION("GOOGLETRANSLATE(B25615,""en"",""pt"")"),"Windsor")</f>
        <v>Windsor</v>
      </c>
      <c r="B1537" s="17" t="s">
        <v>4249</v>
      </c>
      <c r="C1537" s="17" t="s">
        <v>3975</v>
      </c>
      <c r="D1537" s="17" t="s">
        <v>3980</v>
      </c>
      <c r="E1537" s="10">
        <v>6182962</v>
      </c>
      <c r="F1537" s="4" t="str">
        <f>IF(B1537=B1536,"",B1537)</f>
        <v/>
      </c>
    </row>
    <row r="1538" spans="1:6" ht="15.75" customHeight="1">
      <c r="A1538" s="5" t="str">
        <f ca="1">IFERROR(__xludf.DUMMYFUNCTION("GOOGLETRANSLATE(B30333,""en"",""pt"")"),"Windsor")</f>
        <v>Windsor</v>
      </c>
      <c r="B1538" s="17" t="s">
        <v>4249</v>
      </c>
      <c r="C1538" s="17" t="s">
        <v>27234</v>
      </c>
      <c r="D1538" s="17" t="s">
        <v>27241</v>
      </c>
      <c r="E1538" s="10">
        <v>2633842</v>
      </c>
      <c r="F1538" s="4" t="str">
        <f>IF(B1538=B1537,"",B1538)</f>
        <v/>
      </c>
    </row>
    <row r="1539" spans="1:6" ht="15.75" customHeight="1">
      <c r="A1539" s="5" t="str">
        <f ca="1">IFERROR(__xludf.DUMMYFUNCTION("GOOGLETRANSLATE(B43732,""en"",""pt"")"),"Windsor")</f>
        <v>Windsor</v>
      </c>
      <c r="B1539" s="17" t="s">
        <v>4249</v>
      </c>
      <c r="C1539" s="17" t="s">
        <v>27788</v>
      </c>
      <c r="D1539" s="17" t="s">
        <v>27876</v>
      </c>
      <c r="E1539" s="10">
        <v>4845920</v>
      </c>
      <c r="F1539" s="4" t="str">
        <f>IF(B1539=B1538,"",B1539)</f>
        <v/>
      </c>
    </row>
    <row r="1540" spans="1:6" ht="15.75" customHeight="1">
      <c r="A1540" s="5" t="str">
        <f ca="1">IFERROR(__xludf.DUMMYFUNCTION("GOOGLETRANSLATE(B45080,""en"",""pt"")"),"Windsor")</f>
        <v>Windsor</v>
      </c>
      <c r="B1540" s="17" t="s">
        <v>4249</v>
      </c>
      <c r="C1540" s="17" t="s">
        <v>27788</v>
      </c>
      <c r="D1540" s="17" t="s">
        <v>27801</v>
      </c>
      <c r="E1540" s="10">
        <v>5410004</v>
      </c>
      <c r="F1540" s="4" t="str">
        <f>IF(B1540=B1539,"",B1540)</f>
        <v/>
      </c>
    </row>
    <row r="1541" spans="1:6" ht="15.75" customHeight="1">
      <c r="A1541" s="5" t="str">
        <f ca="1">IFERROR(__xludf.DUMMYFUNCTION("GOOGLETRANSLATE(B45193,""en"",""pt"")"),"Windsor")</f>
        <v>Windsor</v>
      </c>
      <c r="B1541" s="17" t="s">
        <v>4249</v>
      </c>
      <c r="C1541" s="17" t="s">
        <v>27788</v>
      </c>
      <c r="D1541" s="17" t="s">
        <v>2341</v>
      </c>
      <c r="E1541" s="10">
        <v>5583509</v>
      </c>
      <c r="F1541" s="4" t="str">
        <f>IF(B1541=B1540,"",B1541)</f>
        <v/>
      </c>
    </row>
    <row r="1542" spans="1:6" ht="15.75" customHeight="1">
      <c r="A1542" s="5" t="s">
        <v>18794</v>
      </c>
      <c r="B1542" s="6" t="s">
        <v>18794</v>
      </c>
      <c r="C1542" s="5" t="s">
        <v>18773</v>
      </c>
      <c r="D1542" s="5" t="s">
        <v>18795</v>
      </c>
      <c r="E1542" s="2">
        <v>3352136</v>
      </c>
      <c r="F1542" s="4" t="str">
        <f>IF(B1542=B1541,"",B1542)</f>
        <v>Windhoek</v>
      </c>
    </row>
    <row r="1543" spans="1:6" ht="15.75" customHeight="1">
      <c r="A1543" s="5" t="str">
        <f ca="1">IFERROR(__xludf.DUMMYFUNCTION("GOOGLETRANSLATE(B37566,""en"",""pt"")"),"Windhoek")</f>
        <v>Windhoek</v>
      </c>
      <c r="B1543" s="17" t="s">
        <v>18794</v>
      </c>
      <c r="C1543" s="17" t="s">
        <v>18773</v>
      </c>
      <c r="D1543" s="17" t="s">
        <v>18795</v>
      </c>
      <c r="E1543" s="10">
        <v>3352136</v>
      </c>
      <c r="F1543" s="4" t="str">
        <f>IF(B1543=B1542,"",B1543)</f>
        <v/>
      </c>
    </row>
    <row r="1544" spans="1:6" ht="15.75" customHeight="1">
      <c r="A1544" s="6" t="s">
        <v>30425</v>
      </c>
      <c r="B1544" s="6" t="s">
        <v>30425</v>
      </c>
      <c r="C1544" s="6" t="s">
        <v>27788</v>
      </c>
      <c r="D1544" s="6" t="s">
        <v>27876</v>
      </c>
      <c r="E1544" s="2">
        <v>4845898</v>
      </c>
      <c r="F1544" s="4" t="str">
        <f>IF(B1544=B1543,"",B1544)</f>
        <v>Windham</v>
      </c>
    </row>
    <row r="1545" spans="1:6" ht="15.75" customHeight="1">
      <c r="A1545" s="5" t="str">
        <f ca="1">IFERROR(__xludf.DUMMYFUNCTION("GOOGLETRANSLATE(B43731,""en"",""pt"")"),"Windham")</f>
        <v>Windham</v>
      </c>
      <c r="B1545" s="17" t="s">
        <v>30425</v>
      </c>
      <c r="C1545" s="17" t="s">
        <v>27788</v>
      </c>
      <c r="D1545" s="17" t="s">
        <v>27876</v>
      </c>
      <c r="E1545" s="10">
        <v>4845898</v>
      </c>
      <c r="F1545" s="4" t="str">
        <f>IF(B1545=B1544,"",B1545)</f>
        <v/>
      </c>
    </row>
    <row r="1546" spans="1:6" ht="15.75" customHeight="1">
      <c r="A1546" s="5" t="s">
        <v>27764</v>
      </c>
      <c r="B1546" s="6" t="s">
        <v>27764</v>
      </c>
      <c r="C1546" s="5" t="s">
        <v>27234</v>
      </c>
      <c r="D1546" s="5" t="s">
        <v>27241</v>
      </c>
      <c r="E1546" s="2">
        <v>2633858</v>
      </c>
      <c r="F1546" s="4" t="str">
        <f>IF(B1546=B1545,"",B1546)</f>
        <v>Winchester</v>
      </c>
    </row>
    <row r="1547" spans="1:6" ht="15.75" customHeight="1">
      <c r="A1547" s="5" t="s">
        <v>27764</v>
      </c>
      <c r="B1547" s="6" t="s">
        <v>27764</v>
      </c>
      <c r="C1547" s="5" t="s">
        <v>27788</v>
      </c>
      <c r="D1547" s="5" t="s">
        <v>27909</v>
      </c>
      <c r="E1547" s="2">
        <v>4313697</v>
      </c>
      <c r="F1547" s="4" t="str">
        <f>IF(B1547=B1546,"",B1547)</f>
        <v/>
      </c>
    </row>
    <row r="1548" spans="1:6" ht="15.75" customHeight="1">
      <c r="A1548" s="5" t="s">
        <v>27764</v>
      </c>
      <c r="B1548" s="6" t="s">
        <v>27764</v>
      </c>
      <c r="C1548" s="5" t="s">
        <v>27788</v>
      </c>
      <c r="D1548" s="5" t="s">
        <v>27794</v>
      </c>
      <c r="E1548" s="2">
        <v>4955884</v>
      </c>
      <c r="F1548" s="4" t="str">
        <f>IF(B1548=B1547,"",B1548)</f>
        <v/>
      </c>
    </row>
    <row r="1549" spans="1:6" ht="15.75" customHeight="1">
      <c r="A1549" s="5" t="s">
        <v>27764</v>
      </c>
      <c r="B1549" s="6" t="s">
        <v>27764</v>
      </c>
      <c r="C1549" s="5" t="s">
        <v>27788</v>
      </c>
      <c r="D1549" s="5" t="s">
        <v>28073</v>
      </c>
      <c r="E1549" s="2">
        <v>5515345</v>
      </c>
      <c r="F1549" s="4" t="str">
        <f>IF(B1549=B1548,"",B1549)</f>
        <v/>
      </c>
    </row>
    <row r="1550" spans="1:6" ht="15.75" customHeight="1">
      <c r="A1550" s="5" t="str">
        <f ca="1">IFERROR(__xludf.DUMMYFUNCTION("GOOGLETRANSLATE(B30334,""en"",""pt"")"),"Winchester")</f>
        <v>Winchester</v>
      </c>
      <c r="B1550" s="17" t="s">
        <v>27764</v>
      </c>
      <c r="C1550" s="17" t="s">
        <v>27234</v>
      </c>
      <c r="D1550" s="17" t="s">
        <v>27241</v>
      </c>
      <c r="E1550" s="10">
        <v>2633858</v>
      </c>
      <c r="F1550" s="4" t="str">
        <f>IF(B1550=B1549,"",B1550)</f>
        <v/>
      </c>
    </row>
    <row r="1551" spans="1:6" ht="15.75" customHeight="1">
      <c r="A1551" s="5" t="str">
        <f ca="1">IFERROR(__xludf.DUMMYFUNCTION("GOOGLETRANSLATE(B43222,""en"",""pt"")"),"Winchester")</f>
        <v>Winchester</v>
      </c>
      <c r="B1551" s="17" t="s">
        <v>27764</v>
      </c>
      <c r="C1551" s="17" t="s">
        <v>27788</v>
      </c>
      <c r="D1551" s="17" t="s">
        <v>27909</v>
      </c>
      <c r="E1551" s="10">
        <v>4313697</v>
      </c>
      <c r="F1551" s="4" t="str">
        <f>IF(B1551=B1550,"",B1551)</f>
        <v/>
      </c>
    </row>
    <row r="1552" spans="1:6" ht="15.75" customHeight="1">
      <c r="A1552" s="5" t="str">
        <f ca="1">IFERROR(__xludf.DUMMYFUNCTION("GOOGLETRANSLATE(B44045,""en"",""pt"")"),"Winchester")</f>
        <v>Winchester</v>
      </c>
      <c r="B1552" s="17" t="s">
        <v>27764</v>
      </c>
      <c r="C1552" s="17" t="s">
        <v>27788</v>
      </c>
      <c r="D1552" s="17" t="s">
        <v>27794</v>
      </c>
      <c r="E1552" s="10">
        <v>4955884</v>
      </c>
      <c r="F1552" s="4" t="str">
        <f>IF(B1552=B1551,"",B1552)</f>
        <v/>
      </c>
    </row>
    <row r="1553" spans="1:6" ht="15.75" customHeight="1">
      <c r="A1553" s="5" t="str">
        <f ca="1">IFERROR(__xludf.DUMMYFUNCTION("GOOGLETRANSLATE(B45155,""en"",""pt"")"),"Winchester")</f>
        <v>Winchester</v>
      </c>
      <c r="B1553" s="17" t="s">
        <v>27764</v>
      </c>
      <c r="C1553" s="17" t="s">
        <v>27788</v>
      </c>
      <c r="D1553" s="17" t="s">
        <v>28073</v>
      </c>
      <c r="E1553" s="10">
        <v>5515345</v>
      </c>
      <c r="F1553" s="4" t="str">
        <f>IF(B1553=B1552,"",B1553)</f>
        <v/>
      </c>
    </row>
    <row r="1554" spans="1:6" ht="15.75" customHeight="1">
      <c r="A1554" s="6" t="s">
        <v>30424</v>
      </c>
      <c r="B1554" s="6" t="s">
        <v>30424</v>
      </c>
      <c r="C1554" s="6" t="s">
        <v>27788</v>
      </c>
      <c r="D1554" s="6" t="s">
        <v>27876</v>
      </c>
      <c r="E1554" s="2">
        <v>4845871</v>
      </c>
      <c r="F1554" s="4" t="str">
        <f>IF(B1554=B1553,"",B1554)</f>
        <v>Wilton</v>
      </c>
    </row>
    <row r="1555" spans="1:6" ht="15.75" customHeight="1">
      <c r="A1555" s="5" t="str">
        <f ca="1">IFERROR(__xludf.DUMMYFUNCTION("GOOGLETRANSLATE(B43730,""en"",""pt"")"),"Wilton")</f>
        <v>Wilton</v>
      </c>
      <c r="B1555" s="17" t="s">
        <v>30424</v>
      </c>
      <c r="C1555" s="17" t="s">
        <v>27788</v>
      </c>
      <c r="D1555" s="17" t="s">
        <v>27876</v>
      </c>
      <c r="E1555" s="10">
        <v>4845871</v>
      </c>
      <c r="F1555" s="4" t="str">
        <f>IF(B1555=B1554,"",B1555)</f>
        <v/>
      </c>
    </row>
    <row r="1556" spans="1:6" ht="15.75" customHeight="1">
      <c r="A1556" s="5" t="s">
        <v>30423</v>
      </c>
      <c r="B1556" s="6" t="s">
        <v>30423</v>
      </c>
      <c r="C1556" s="5" t="s">
        <v>27788</v>
      </c>
      <c r="D1556" s="5" t="s">
        <v>27820</v>
      </c>
      <c r="E1556" s="2">
        <v>5761287</v>
      </c>
      <c r="F1556" s="4" t="str">
        <f>IF(B1556=B1555,"",B1556)</f>
        <v>Wilsonville</v>
      </c>
    </row>
    <row r="1557" spans="1:6" ht="15.75" customHeight="1">
      <c r="A1557" s="5" t="str">
        <f ca="1">IFERROR(__xludf.DUMMYFUNCTION("GOOGLETRANSLATE(B45264,""en"",""pt"")"),"Wilsonville")</f>
        <v>Wilsonville</v>
      </c>
      <c r="B1557" s="17" t="s">
        <v>30423</v>
      </c>
      <c r="C1557" s="17" t="s">
        <v>27788</v>
      </c>
      <c r="D1557" s="17" t="s">
        <v>27820</v>
      </c>
      <c r="E1557" s="10">
        <v>5761287</v>
      </c>
      <c r="F1557" s="4" t="str">
        <f>IF(B1557=B1556,"",B1557)</f>
        <v/>
      </c>
    </row>
    <row r="1558" spans="1:6" ht="15.75" customHeight="1">
      <c r="A1558" s="6" t="s">
        <v>30422</v>
      </c>
      <c r="B1558" s="6" t="s">
        <v>30422</v>
      </c>
      <c r="C1558" s="6" t="s">
        <v>27788</v>
      </c>
      <c r="D1558" s="6" t="s">
        <v>27822</v>
      </c>
      <c r="E1558" s="2">
        <v>4499389</v>
      </c>
      <c r="F1558" s="4" t="str">
        <f>IF(B1558=B1557,"",B1558)</f>
        <v>Wilson</v>
      </c>
    </row>
    <row r="1559" spans="1:6" ht="15.75" customHeight="1">
      <c r="A1559" s="5" t="str">
        <f ca="1">IFERROR(__xludf.DUMMYFUNCTION("GOOGLETRANSLATE(B43484,""en"",""pt"")"),"Wilson")</f>
        <v>Wilson</v>
      </c>
      <c r="B1559" s="17" t="s">
        <v>30422</v>
      </c>
      <c r="C1559" s="17" t="s">
        <v>27788</v>
      </c>
      <c r="D1559" s="17" t="s">
        <v>27822</v>
      </c>
      <c r="E1559" s="10">
        <v>4499389</v>
      </c>
      <c r="F1559" s="4" t="str">
        <f>IF(B1559=B1558,"",B1559)</f>
        <v/>
      </c>
    </row>
    <row r="1560" spans="1:6" ht="15.75" customHeight="1">
      <c r="A1560" s="6" t="s">
        <v>9328</v>
      </c>
      <c r="B1560" s="6" t="s">
        <v>9328</v>
      </c>
      <c r="C1560" s="6" t="s">
        <v>8028</v>
      </c>
      <c r="D1560" s="6" t="s">
        <v>8029</v>
      </c>
      <c r="E1560" s="2">
        <v>2808461</v>
      </c>
      <c r="F1560" s="4" t="str">
        <f>IF(B1560=B1559,"",B1560)</f>
        <v>Wilnsdorf</v>
      </c>
    </row>
    <row r="1561" spans="1:6" ht="15.75" customHeight="1">
      <c r="A1561" s="5" t="str">
        <f ca="1">IFERROR(__xludf.DUMMYFUNCTION("GOOGLETRANSLATE(B27376,""en"",""pt"")"),"Wilnsdorf")</f>
        <v>Wilnsdorf</v>
      </c>
      <c r="B1561" s="17" t="s">
        <v>9328</v>
      </c>
      <c r="C1561" s="17" t="s">
        <v>8028</v>
      </c>
      <c r="D1561" s="17" t="s">
        <v>8029</v>
      </c>
      <c r="E1561" s="10">
        <v>2808461</v>
      </c>
      <c r="F1561" s="4" t="str">
        <f>IF(B1561=B1560,"",B1561)</f>
        <v/>
      </c>
    </row>
    <row r="1562" spans="1:6" ht="15.75" customHeight="1">
      <c r="A1562" s="5" t="s">
        <v>27763</v>
      </c>
      <c r="B1562" s="6" t="s">
        <v>27763</v>
      </c>
      <c r="C1562" s="5" t="s">
        <v>27234</v>
      </c>
      <c r="D1562" s="5" t="s">
        <v>27241</v>
      </c>
      <c r="E1562" s="2">
        <v>2633883</v>
      </c>
      <c r="F1562" s="4" t="str">
        <f>IF(B1562=B1561,"",B1562)</f>
        <v>Wilmslow</v>
      </c>
    </row>
    <row r="1563" spans="1:6" ht="15.75" customHeight="1">
      <c r="A1563" s="5" t="str">
        <f ca="1">IFERROR(__xludf.DUMMYFUNCTION("GOOGLETRANSLATE(B30335,""en"",""pt"")"),"Wilmslow")</f>
        <v>Wilmslow</v>
      </c>
      <c r="B1563" s="17" t="s">
        <v>27763</v>
      </c>
      <c r="C1563" s="17" t="s">
        <v>27234</v>
      </c>
      <c r="D1563" s="17" t="s">
        <v>27241</v>
      </c>
      <c r="E1563" s="10">
        <v>2633883</v>
      </c>
      <c r="F1563" s="4" t="str">
        <f>IF(B1563=B1562,"",B1563)</f>
        <v/>
      </c>
    </row>
    <row r="1564" spans="1:6" ht="15.75" customHeight="1">
      <c r="A1564" s="5" t="s">
        <v>30420</v>
      </c>
      <c r="B1564" s="6" t="s">
        <v>30421</v>
      </c>
      <c r="C1564" s="5" t="s">
        <v>27788</v>
      </c>
      <c r="D1564" s="5" t="s">
        <v>7988</v>
      </c>
      <c r="E1564" s="2">
        <v>4231354</v>
      </c>
      <c r="F1564" s="4" t="str">
        <f>IF(B1564=B1563,"",B1564)</f>
        <v>Wilmington Island</v>
      </c>
    </row>
    <row r="1565" spans="1:6" ht="15.75" customHeight="1">
      <c r="A1565" s="5" t="str">
        <f ca="1">IFERROR(__xludf.DUMMYFUNCTION("GOOGLETRANSLATE(B43121,""en"",""pt"")"),"Ilha de Wilmington")</f>
        <v>Ilha de Wilmington</v>
      </c>
      <c r="B1565" s="17" t="s">
        <v>30421</v>
      </c>
      <c r="C1565" s="17" t="s">
        <v>27788</v>
      </c>
      <c r="D1565" s="17" t="s">
        <v>7988</v>
      </c>
      <c r="E1565" s="10">
        <v>4231354</v>
      </c>
      <c r="F1565" s="4" t="str">
        <f>IF(B1565=B1564,"",B1565)</f>
        <v/>
      </c>
    </row>
    <row r="1566" spans="1:6" ht="15.75" customHeight="1">
      <c r="A1566" s="5" t="s">
        <v>30419</v>
      </c>
      <c r="B1566" s="6" t="s">
        <v>30419</v>
      </c>
      <c r="C1566" s="5" t="s">
        <v>27788</v>
      </c>
      <c r="D1566" s="5" t="s">
        <v>27978</v>
      </c>
      <c r="E1566" s="2">
        <v>4145381</v>
      </c>
      <c r="F1566" s="4" t="str">
        <f>IF(B1566=B1565,"",B1566)</f>
        <v>Wilmington</v>
      </c>
    </row>
    <row r="1567" spans="1:6" ht="15.75" customHeight="1">
      <c r="A1567" s="5" t="s">
        <v>30419</v>
      </c>
      <c r="B1567" s="6" t="s">
        <v>30419</v>
      </c>
      <c r="C1567" s="5" t="s">
        <v>27788</v>
      </c>
      <c r="D1567" s="5" t="s">
        <v>27822</v>
      </c>
      <c r="E1567" s="2">
        <v>4499379</v>
      </c>
      <c r="F1567" s="4" t="str">
        <f>IF(B1567=B1566,"",B1567)</f>
        <v/>
      </c>
    </row>
    <row r="1568" spans="1:6" ht="15.75" customHeight="1">
      <c r="A1568" s="5" t="s">
        <v>30419</v>
      </c>
      <c r="B1568" s="6" t="s">
        <v>30419</v>
      </c>
      <c r="C1568" s="5" t="s">
        <v>27788</v>
      </c>
      <c r="D1568" s="5" t="s">
        <v>27794</v>
      </c>
      <c r="E1568" s="2">
        <v>4955840</v>
      </c>
      <c r="F1568" s="4" t="str">
        <f>IF(B1568=B1567,"",B1568)</f>
        <v/>
      </c>
    </row>
    <row r="1569" spans="1:6" ht="15.75" customHeight="1">
      <c r="A1569" s="5" t="str">
        <f ca="1">IFERROR(__xludf.DUMMYFUNCTION("GOOGLETRANSLATE(B42838,""en"",""pt"")"),"Wilmington")</f>
        <v>Wilmington</v>
      </c>
      <c r="B1569" s="17" t="s">
        <v>30419</v>
      </c>
      <c r="C1569" s="17" t="s">
        <v>27788</v>
      </c>
      <c r="D1569" s="17" t="s">
        <v>27978</v>
      </c>
      <c r="E1569" s="10">
        <v>4145381</v>
      </c>
      <c r="F1569" s="4" t="str">
        <f>IF(B1569=B1568,"",B1569)</f>
        <v/>
      </c>
    </row>
    <row r="1570" spans="1:6" ht="15.75" customHeight="1">
      <c r="A1570" s="5" t="str">
        <f ca="1">IFERROR(__xludf.DUMMYFUNCTION("GOOGLETRANSLATE(B43483,""en"",""pt"")"),"Wilmington")</f>
        <v>Wilmington</v>
      </c>
      <c r="B1570" s="17" t="s">
        <v>30419</v>
      </c>
      <c r="C1570" s="17" t="s">
        <v>27788</v>
      </c>
      <c r="D1570" s="17" t="s">
        <v>27822</v>
      </c>
      <c r="E1570" s="10">
        <v>4499379</v>
      </c>
      <c r="F1570" s="4" t="str">
        <f>IF(B1570=B1569,"",B1570)</f>
        <v/>
      </c>
    </row>
    <row r="1571" spans="1:6" ht="15.75" customHeight="1">
      <c r="A1571" s="5" t="str">
        <f ca="1">IFERROR(__xludf.DUMMYFUNCTION("GOOGLETRANSLATE(B44044,""en"",""pt"")"),"Wilmington")</f>
        <v>Wilmington</v>
      </c>
      <c r="B1571" s="17" t="s">
        <v>30419</v>
      </c>
      <c r="C1571" s="17" t="s">
        <v>27788</v>
      </c>
      <c r="D1571" s="17" t="s">
        <v>27794</v>
      </c>
      <c r="E1571" s="10">
        <v>4955840</v>
      </c>
      <c r="F1571" s="4" t="str">
        <f>IF(B1571=B1570,"",B1571)</f>
        <v/>
      </c>
    </row>
    <row r="1572" spans="1:6" ht="15.75" customHeight="1">
      <c r="A1572" s="6" t="s">
        <v>30418</v>
      </c>
      <c r="B1572" s="6" t="s">
        <v>30418</v>
      </c>
      <c r="C1572" s="6" t="s">
        <v>27788</v>
      </c>
      <c r="D1572" s="6" t="s">
        <v>27799</v>
      </c>
      <c r="E1572" s="2">
        <v>4916732</v>
      </c>
      <c r="F1572" s="4" t="str">
        <f>IF(B1572=B1571,"",B1572)</f>
        <v>Wilmette</v>
      </c>
    </row>
    <row r="1573" spans="1:6" ht="15.75" customHeight="1">
      <c r="A1573" s="5" t="str">
        <f ca="1">IFERROR(__xludf.DUMMYFUNCTION("GOOGLETRANSLATE(B43902,""en"",""pt"")"),"Wilmette")</f>
        <v>Wilmette</v>
      </c>
      <c r="B1573" s="17" t="s">
        <v>30418</v>
      </c>
      <c r="C1573" s="17" t="s">
        <v>27788</v>
      </c>
      <c r="D1573" s="17" t="s">
        <v>27799</v>
      </c>
      <c r="E1573" s="10">
        <v>4916732</v>
      </c>
      <c r="F1573" s="4" t="str">
        <f>IF(B1573=B1572,"",B1573)</f>
        <v/>
      </c>
    </row>
    <row r="1574" spans="1:6" ht="15.75" customHeight="1">
      <c r="A1574" s="5" t="s">
        <v>9327</v>
      </c>
      <c r="B1574" s="6" t="s">
        <v>9327</v>
      </c>
      <c r="C1574" s="5" t="s">
        <v>8028</v>
      </c>
      <c r="D1574" s="5" t="s">
        <v>8036</v>
      </c>
      <c r="E1574" s="2">
        <v>2808473</v>
      </c>
      <c r="F1574" s="4" t="str">
        <f>IF(B1574=B1573,"",B1574)</f>
        <v>Wilmersdorf</v>
      </c>
    </row>
    <row r="1575" spans="1:6" ht="15.75" customHeight="1">
      <c r="A1575" s="5" t="str">
        <f ca="1">IFERROR(__xludf.DUMMYFUNCTION("GOOGLETRANSLATE(B27377,""en"",""pt"")"),"Wilmersdorf")</f>
        <v>Wilmersdorf</v>
      </c>
      <c r="B1575" s="17" t="s">
        <v>9327</v>
      </c>
      <c r="C1575" s="17" t="s">
        <v>8028</v>
      </c>
      <c r="D1575" s="17" t="s">
        <v>8036</v>
      </c>
      <c r="E1575" s="10">
        <v>2808473</v>
      </c>
      <c r="F1575" s="4" t="str">
        <f>IF(B1575=B1574,"",B1575)</f>
        <v/>
      </c>
    </row>
    <row r="1576" spans="1:6" ht="15.75" customHeight="1">
      <c r="A1576" s="5" t="s">
        <v>4248</v>
      </c>
      <c r="B1576" s="6" t="s">
        <v>4248</v>
      </c>
      <c r="C1576" s="5" t="s">
        <v>3975</v>
      </c>
      <c r="D1576" s="5" t="s">
        <v>3980</v>
      </c>
      <c r="E1576" s="2">
        <v>8558534</v>
      </c>
      <c r="F1576" s="4" t="str">
        <f>IF(B1576=B1575,"",B1576)</f>
        <v>Willowdale</v>
      </c>
    </row>
    <row r="1577" spans="1:6" ht="15.75" customHeight="1">
      <c r="A1577" s="5" t="str">
        <f ca="1">IFERROR(__xludf.DUMMYFUNCTION("GOOGLETRANSLATE(B25641,""en"",""pt"")"),"Willowdale")</f>
        <v>Willowdale</v>
      </c>
      <c r="B1577" s="17" t="s">
        <v>4248</v>
      </c>
      <c r="C1577" s="17" t="s">
        <v>3975</v>
      </c>
      <c r="D1577" s="17" t="s">
        <v>3980</v>
      </c>
      <c r="E1577" s="10">
        <v>8558534</v>
      </c>
      <c r="F1577" s="4" t="str">
        <f>IF(B1577=B1576,"",B1577)</f>
        <v/>
      </c>
    </row>
    <row r="1578" spans="1:6" ht="15.75" customHeight="1">
      <c r="A1578" s="5" t="s">
        <v>30417</v>
      </c>
      <c r="B1578" s="6" t="s">
        <v>30417</v>
      </c>
      <c r="C1578" s="5" t="s">
        <v>27788</v>
      </c>
      <c r="D1578" s="5" t="s">
        <v>27801</v>
      </c>
      <c r="E1578" s="2">
        <v>5409768</v>
      </c>
      <c r="F1578" s="4" t="str">
        <f>IF(B1578=B1577,"",B1578)</f>
        <v>Willowbrook</v>
      </c>
    </row>
    <row r="1579" spans="1:6" ht="15.75" customHeight="1">
      <c r="A1579" s="5" t="str">
        <f ca="1">IFERROR(__xludf.DUMMYFUNCTION("GOOGLETRANSLATE(B45079,""en"",""pt"")"),"Willowbrook")</f>
        <v>Willowbrook</v>
      </c>
      <c r="B1579" s="17" t="s">
        <v>30417</v>
      </c>
      <c r="C1579" s="17" t="s">
        <v>27788</v>
      </c>
      <c r="D1579" s="17" t="s">
        <v>27801</v>
      </c>
      <c r="E1579" s="10">
        <v>5409768</v>
      </c>
      <c r="F1579" s="4" t="str">
        <f>IF(B1579=B1578,"",B1579)</f>
        <v/>
      </c>
    </row>
    <row r="1580" spans="1:6" ht="15.75" customHeight="1">
      <c r="A1580" s="5" t="s">
        <v>30416</v>
      </c>
      <c r="B1580" s="6" t="s">
        <v>30416</v>
      </c>
      <c r="C1580" s="5" t="s">
        <v>27788</v>
      </c>
      <c r="D1580" s="5" t="s">
        <v>27836</v>
      </c>
      <c r="E1580" s="2">
        <v>5219619</v>
      </c>
      <c r="F1580" s="4" t="str">
        <f>IF(B1580=B1579,"",B1580)</f>
        <v>Willow Grove</v>
      </c>
    </row>
    <row r="1581" spans="1:6" ht="15.75" customHeight="1">
      <c r="A1581" s="5" t="str">
        <f ca="1">IFERROR(__xludf.DUMMYFUNCTION("GOOGLETRANSLATE(B44603,""en"",""pt"")"),"Willow Grove")</f>
        <v>Willow Grove</v>
      </c>
      <c r="B1581" s="17" t="s">
        <v>30416</v>
      </c>
      <c r="C1581" s="17" t="s">
        <v>27788</v>
      </c>
      <c r="D1581" s="17" t="s">
        <v>27836</v>
      </c>
      <c r="E1581" s="10">
        <v>5219619</v>
      </c>
      <c r="F1581" s="4" t="str">
        <f>IF(B1581=B1580,"",B1581)</f>
        <v/>
      </c>
    </row>
    <row r="1582" spans="1:6" ht="15.75" customHeight="1">
      <c r="A1582" s="5" t="s">
        <v>30415</v>
      </c>
      <c r="B1582" s="6" t="s">
        <v>30415</v>
      </c>
      <c r="C1582" s="5" t="s">
        <v>27788</v>
      </c>
      <c r="D1582" s="5" t="s">
        <v>27813</v>
      </c>
      <c r="E1582" s="2">
        <v>5176937</v>
      </c>
      <c r="F1582" s="4" t="str">
        <f>IF(B1582=B1581,"",B1582)</f>
        <v>Willoughby</v>
      </c>
    </row>
    <row r="1583" spans="1:6" ht="15.75" customHeight="1">
      <c r="A1583" s="5" t="str">
        <f ca="1">IFERROR(__xludf.DUMMYFUNCTION("GOOGLETRANSLATE(B44557,""en"",""pt"")"),"Willoughby")</f>
        <v>Willoughby</v>
      </c>
      <c r="B1583" s="17" t="s">
        <v>30415</v>
      </c>
      <c r="C1583" s="17" t="s">
        <v>27788</v>
      </c>
      <c r="D1583" s="17" t="s">
        <v>27813</v>
      </c>
      <c r="E1583" s="10">
        <v>5176937</v>
      </c>
      <c r="F1583" s="4" t="str">
        <f>IF(B1583=B1582,"",B1583)</f>
        <v/>
      </c>
    </row>
    <row r="1584" spans="1:6" ht="15.75" customHeight="1">
      <c r="A1584" s="6" t="s">
        <v>30414</v>
      </c>
      <c r="B1584" s="6" t="s">
        <v>30414</v>
      </c>
      <c r="C1584" s="6" t="s">
        <v>27788</v>
      </c>
      <c r="D1584" s="6" t="s">
        <v>27824</v>
      </c>
      <c r="E1584" s="2">
        <v>5052916</v>
      </c>
      <c r="F1584" s="4" t="str">
        <f>IF(B1584=B1583,"",B1584)</f>
        <v>Willmar</v>
      </c>
    </row>
    <row r="1585" spans="1:6" ht="15.75" customHeight="1">
      <c r="A1585" s="5" t="str">
        <f ca="1">IFERROR(__xludf.DUMMYFUNCTION("GOOGLETRANSLATE(B44206,""en"",""pt"")"),"Willmar")</f>
        <v>Willmar</v>
      </c>
      <c r="B1585" s="17" t="s">
        <v>30414</v>
      </c>
      <c r="C1585" s="17" t="s">
        <v>27788</v>
      </c>
      <c r="D1585" s="17" t="s">
        <v>27824</v>
      </c>
      <c r="E1585" s="10">
        <v>5052916</v>
      </c>
      <c r="F1585" s="4" t="str">
        <f>IF(B1585=B1584,"",B1585)</f>
        <v/>
      </c>
    </row>
    <row r="1586" spans="1:6" ht="15.75" customHeight="1">
      <c r="A1586" s="5" t="s">
        <v>30413</v>
      </c>
      <c r="B1586" s="6" t="s">
        <v>30413</v>
      </c>
      <c r="C1586" s="5" t="s">
        <v>27788</v>
      </c>
      <c r="D1586" s="5" t="s">
        <v>27905</v>
      </c>
      <c r="E1586" s="2">
        <v>5106453</v>
      </c>
      <c r="F1586" s="4" t="str">
        <f>IF(B1586=B1585,"",B1586)</f>
        <v>Willingboro</v>
      </c>
    </row>
    <row r="1587" spans="1:6" ht="15.75" customHeight="1">
      <c r="A1587" s="5" t="str">
        <f ca="1">IFERROR(__xludf.DUMMYFUNCTION("GOOGLETRANSLATE(B44327,""en"",""pt"")"),"Willingboro")</f>
        <v>Willingboro</v>
      </c>
      <c r="B1587" s="17" t="s">
        <v>30413</v>
      </c>
      <c r="C1587" s="17" t="s">
        <v>27788</v>
      </c>
      <c r="D1587" s="17" t="s">
        <v>27905</v>
      </c>
      <c r="E1587" s="10">
        <v>5106453</v>
      </c>
      <c r="F1587" s="4" t="str">
        <f>IF(B1587=B1586,"",B1587)</f>
        <v/>
      </c>
    </row>
    <row r="1588" spans="1:6" ht="15.75" customHeight="1">
      <c r="A1588" s="5" t="s">
        <v>30412</v>
      </c>
      <c r="B1588" s="6" t="s">
        <v>30412</v>
      </c>
      <c r="C1588" s="5" t="s">
        <v>27788</v>
      </c>
      <c r="D1588" s="5" t="s">
        <v>27876</v>
      </c>
      <c r="E1588" s="2">
        <v>4845823</v>
      </c>
      <c r="F1588" s="4" t="str">
        <f>IF(B1588=B1587,"",B1588)</f>
        <v>Willimantic</v>
      </c>
    </row>
    <row r="1589" spans="1:6" ht="15.75" customHeight="1">
      <c r="A1589" s="5" t="str">
        <f ca="1">IFERROR(__xludf.DUMMYFUNCTION("GOOGLETRANSLATE(B43729,""en"",""pt"")"),"Willimantic")</f>
        <v>Willimantic</v>
      </c>
      <c r="B1589" s="17" t="s">
        <v>30412</v>
      </c>
      <c r="C1589" s="17" t="s">
        <v>27788</v>
      </c>
      <c r="D1589" s="17" t="s">
        <v>27876</v>
      </c>
      <c r="E1589" s="10">
        <v>4845823</v>
      </c>
      <c r="F1589" s="4" t="str">
        <f>IF(B1589=B1588,"",B1589)</f>
        <v/>
      </c>
    </row>
    <row r="1590" spans="1:6" ht="15.75" customHeight="1">
      <c r="A1590" s="6" t="s">
        <v>9326</v>
      </c>
      <c r="B1590" s="6" t="s">
        <v>9326</v>
      </c>
      <c r="C1590" s="6" t="s">
        <v>8028</v>
      </c>
      <c r="D1590" s="6" t="s">
        <v>8029</v>
      </c>
      <c r="E1590" s="2">
        <v>2808559</v>
      </c>
      <c r="F1590" s="4" t="str">
        <f>IF(B1590=B1589,"",B1590)</f>
        <v>Willich</v>
      </c>
    </row>
    <row r="1591" spans="1:6" ht="15.75" customHeight="1">
      <c r="A1591" s="5" t="str">
        <f ca="1">IFERROR(__xludf.DUMMYFUNCTION("GOOGLETRANSLATE(B27378,""en"",""pt"")"),"Willich")</f>
        <v>Willich</v>
      </c>
      <c r="B1591" s="17" t="s">
        <v>9326</v>
      </c>
      <c r="C1591" s="17" t="s">
        <v>8028</v>
      </c>
      <c r="D1591" s="17" t="s">
        <v>8029</v>
      </c>
      <c r="E1591" s="10">
        <v>2808559</v>
      </c>
      <c r="F1591" s="4" t="str">
        <f>IF(B1591=B1590,"",B1591)</f>
        <v/>
      </c>
    </row>
    <row r="1592" spans="1:6" ht="15.75" customHeight="1">
      <c r="A1592" s="5" t="s">
        <v>30411</v>
      </c>
      <c r="B1592" s="6" t="s">
        <v>30411</v>
      </c>
      <c r="C1592" s="5" t="s">
        <v>27788</v>
      </c>
      <c r="D1592" s="5" t="s">
        <v>27905</v>
      </c>
      <c r="E1592" s="2">
        <v>4504871</v>
      </c>
      <c r="F1592" s="4" t="str">
        <f>IF(B1592=B1591,"",B1592)</f>
        <v>Williamstown</v>
      </c>
    </row>
    <row r="1593" spans="1:6" ht="15.75" customHeight="1">
      <c r="A1593" s="5" t="str">
        <f ca="1">IFERROR(__xludf.DUMMYFUNCTION("GOOGLETRANSLATE(B43503,""en"",""pt"")"),"Williamstown")</f>
        <v>Williamstown</v>
      </c>
      <c r="B1593" s="17" t="s">
        <v>30411</v>
      </c>
      <c r="C1593" s="17" t="s">
        <v>27788</v>
      </c>
      <c r="D1593" s="17" t="s">
        <v>27905</v>
      </c>
      <c r="E1593" s="10">
        <v>4504871</v>
      </c>
      <c r="F1593" s="4" t="str">
        <f>IF(B1593=B1592,"",B1593)</f>
        <v/>
      </c>
    </row>
    <row r="1594" spans="1:6" ht="15.75" customHeight="1">
      <c r="A1594" s="5" t="s">
        <v>30410</v>
      </c>
      <c r="B1594" s="6" t="s">
        <v>30410</v>
      </c>
      <c r="C1594" s="5" t="s">
        <v>27788</v>
      </c>
      <c r="D1594" s="5" t="s">
        <v>27836</v>
      </c>
      <c r="E1594" s="2">
        <v>5219585</v>
      </c>
      <c r="F1594" s="4" t="str">
        <f>IF(B1594=B1593,"",B1594)</f>
        <v>Williamsport</v>
      </c>
    </row>
    <row r="1595" spans="1:6" ht="15.75" customHeight="1">
      <c r="A1595" s="5" t="str">
        <f ca="1">IFERROR(__xludf.DUMMYFUNCTION("GOOGLETRANSLATE(B44602,""en"",""pt"")"),"Williamsport")</f>
        <v>Williamsport</v>
      </c>
      <c r="B1595" s="17" t="s">
        <v>30410</v>
      </c>
      <c r="C1595" s="17" t="s">
        <v>27788</v>
      </c>
      <c r="D1595" s="17" t="s">
        <v>27836</v>
      </c>
      <c r="E1595" s="10">
        <v>5219585</v>
      </c>
      <c r="F1595" s="4" t="str">
        <f>IF(B1595=B1594,"",B1595)</f>
        <v/>
      </c>
    </row>
    <row r="1596" spans="1:6" ht="15.75" customHeight="1">
      <c r="A1596" s="6" t="s">
        <v>1111</v>
      </c>
      <c r="B1596" s="6" t="s">
        <v>1111</v>
      </c>
      <c r="C1596" s="6" t="s">
        <v>885</v>
      </c>
      <c r="D1596" s="6" t="s">
        <v>889</v>
      </c>
      <c r="E1596" s="2">
        <v>8348101</v>
      </c>
      <c r="F1596" s="4" t="str">
        <f>IF(B1596=B1595,"",B1596)</f>
        <v>Willetton</v>
      </c>
    </row>
    <row r="1597" spans="1:6" ht="15.75" customHeight="1">
      <c r="A1597" s="5" t="str">
        <f ca="1">IFERROR(__xludf.DUMMYFUNCTION("GOOGLETRANSLATE(B23598,""en"",""pt"")"),"Willetton")</f>
        <v>Willetton</v>
      </c>
      <c r="B1597" s="17" t="s">
        <v>1111</v>
      </c>
      <c r="C1597" s="17" t="s">
        <v>885</v>
      </c>
      <c r="D1597" s="17" t="s">
        <v>889</v>
      </c>
      <c r="E1597" s="10">
        <v>8348101</v>
      </c>
      <c r="F1597" s="4" t="str">
        <f>IF(B1597=B1596,"",B1597)</f>
        <v/>
      </c>
    </row>
    <row r="1598" spans="1:6" ht="15.75" customHeight="1">
      <c r="A1598" s="5" t="s">
        <v>27762</v>
      </c>
      <c r="B1598" s="6" t="s">
        <v>27762</v>
      </c>
      <c r="C1598" s="5" t="s">
        <v>27234</v>
      </c>
      <c r="D1598" s="5" t="s">
        <v>27241</v>
      </c>
      <c r="E1598" s="2">
        <v>2633912</v>
      </c>
      <c r="F1598" s="4" t="str">
        <f>IF(B1598=B1597,"",B1598)</f>
        <v>Willenhall</v>
      </c>
    </row>
    <row r="1599" spans="1:6" ht="15.75" customHeight="1">
      <c r="A1599" s="5" t="str">
        <f ca="1">IFERROR(__xludf.DUMMYFUNCTION("GOOGLETRANSLATE(B30336,""en"",""pt"")"),"Willenhall")</f>
        <v>Willenhall</v>
      </c>
      <c r="B1599" s="17" t="s">
        <v>27762</v>
      </c>
      <c r="C1599" s="17" t="s">
        <v>27234</v>
      </c>
      <c r="D1599" s="17" t="s">
        <v>27241</v>
      </c>
      <c r="E1599" s="10">
        <v>2633912</v>
      </c>
      <c r="F1599" s="4" t="str">
        <f>IF(B1599=B1598,"",B1599)</f>
        <v/>
      </c>
    </row>
    <row r="1600" spans="1:6" ht="15.75" customHeight="1">
      <c r="A1600" s="5" t="s">
        <v>5929</v>
      </c>
      <c r="B1600" s="6" t="s">
        <v>5929</v>
      </c>
      <c r="C1600" s="5" t="s">
        <v>5930</v>
      </c>
      <c r="D1600" s="5" t="s">
        <v>551</v>
      </c>
      <c r="E1600" s="2">
        <v>3513090</v>
      </c>
      <c r="F1600" s="4" t="str">
        <f>IF(B1600=B1599,"",B1600)</f>
        <v>Willemstad</v>
      </c>
    </row>
    <row r="1601" spans="1:6" ht="15.75" customHeight="1">
      <c r="A1601" s="5" t="str">
        <f ca="1">IFERROR(__xludf.DUMMYFUNCTION("GOOGLETRANSLATE(B27233,""en"",""pt"")"),"Willemstad")</f>
        <v>Willemstad</v>
      </c>
      <c r="B1601" s="17" t="s">
        <v>5929</v>
      </c>
      <c r="C1601" s="17" t="s">
        <v>5930</v>
      </c>
      <c r="D1601" s="17" t="s">
        <v>551</v>
      </c>
      <c r="E1601" s="10">
        <v>3513090</v>
      </c>
      <c r="F1601" s="4" t="str">
        <f>IF(B1601=B1600,"",B1601)</f>
        <v/>
      </c>
    </row>
    <row r="1602" spans="1:6" ht="15.75" customHeight="1">
      <c r="A1602" s="5" t="s">
        <v>1720</v>
      </c>
      <c r="B1602" s="6" t="s">
        <v>1721</v>
      </c>
      <c r="C1602" s="5" t="s">
        <v>1512</v>
      </c>
      <c r="D1602" s="5" t="s">
        <v>1513</v>
      </c>
      <c r="E1602" s="2">
        <v>2783632</v>
      </c>
      <c r="F1602" s="4" t="str">
        <f>IF(B1602=B1601,"",B1602)</f>
        <v>Willebroek</v>
      </c>
    </row>
    <row r="1603" spans="1:6" ht="15.75" customHeight="1">
      <c r="A1603" s="5" t="str">
        <f ca="1">IFERROR(__xludf.DUMMYFUNCTION("GOOGLETRANSLATE(B23801,""en"",""pt"")"),"Wilebroek")</f>
        <v>Wilebroek</v>
      </c>
      <c r="B1603" s="17" t="s">
        <v>1721</v>
      </c>
      <c r="C1603" s="17" t="s">
        <v>1512</v>
      </c>
      <c r="D1603" s="17" t="s">
        <v>1513</v>
      </c>
      <c r="E1603" s="10">
        <v>2783632</v>
      </c>
      <c r="F1603" s="4" t="str">
        <f>IF(B1603=B1602,"",B1603)</f>
        <v/>
      </c>
    </row>
    <row r="1604" spans="1:6" ht="15.75" customHeight="1">
      <c r="A1604" s="5" t="s">
        <v>30409</v>
      </c>
      <c r="B1604" s="6" t="s">
        <v>30409</v>
      </c>
      <c r="C1604" s="5" t="s">
        <v>27788</v>
      </c>
      <c r="D1604" s="5" t="s">
        <v>27836</v>
      </c>
      <c r="E1604" s="2">
        <v>5219501</v>
      </c>
      <c r="F1604" s="4" t="str">
        <f>IF(B1604=B1603,"",B1604)</f>
        <v>Wilkinsburg</v>
      </c>
    </row>
    <row r="1605" spans="1:6" ht="15.75" customHeight="1">
      <c r="A1605" s="5" t="str">
        <f ca="1">IFERROR(__xludf.DUMMYFUNCTION("GOOGLETRANSLATE(B44601,""en"",""pt"")"),"Wilkinsburg")</f>
        <v>Wilkinsburg</v>
      </c>
      <c r="B1605" s="17" t="s">
        <v>30409</v>
      </c>
      <c r="C1605" s="17" t="s">
        <v>27788</v>
      </c>
      <c r="D1605" s="17" t="s">
        <v>27836</v>
      </c>
      <c r="E1605" s="10">
        <v>5219501</v>
      </c>
      <c r="F1605" s="4" t="str">
        <f>IF(B1605=B1604,"",B1605)</f>
        <v/>
      </c>
    </row>
    <row r="1606" spans="1:6" ht="15.75" customHeight="1">
      <c r="A1606" s="5" t="s">
        <v>30408</v>
      </c>
      <c r="B1606" s="6" t="s">
        <v>30408</v>
      </c>
      <c r="C1606" s="5" t="s">
        <v>27788</v>
      </c>
      <c r="D1606" s="5" t="s">
        <v>27836</v>
      </c>
      <c r="E1606" s="2">
        <v>5219488</v>
      </c>
      <c r="F1606" s="4" t="str">
        <f>IF(B1606=B1605,"",B1606)</f>
        <v>Wilkes-Barre</v>
      </c>
    </row>
    <row r="1607" spans="1:6" ht="15.75" customHeight="1">
      <c r="A1607" s="5" t="str">
        <f ca="1">IFERROR(__xludf.DUMMYFUNCTION("GOOGLETRANSLATE(B44600,""en"",""pt"")"),"Wilkes-Barre")</f>
        <v>Wilkes-Barre</v>
      </c>
      <c r="B1607" s="17" t="s">
        <v>30408</v>
      </c>
      <c r="C1607" s="17" t="s">
        <v>27788</v>
      </c>
      <c r="D1607" s="17" t="s">
        <v>27836</v>
      </c>
      <c r="E1607" s="10">
        <v>5219488</v>
      </c>
      <c r="F1607" s="4" t="str">
        <f>IF(B1607=B1606,"",B1607)</f>
        <v/>
      </c>
    </row>
    <row r="1608" spans="1:6" ht="15.75" customHeight="1">
      <c r="A1608" s="5" t="s">
        <v>9325</v>
      </c>
      <c r="B1608" s="6" t="s">
        <v>9325</v>
      </c>
      <c r="C1608" s="5" t="s">
        <v>8028</v>
      </c>
      <c r="D1608" s="5" t="s">
        <v>8036</v>
      </c>
      <c r="E1608" s="2">
        <v>2808662</v>
      </c>
      <c r="F1608" s="4" t="str">
        <f>IF(B1608=B1607,"",B1608)</f>
        <v>Wilhelmstadt</v>
      </c>
    </row>
    <row r="1609" spans="1:6" ht="15.75" customHeight="1">
      <c r="A1609" s="5" t="str">
        <f ca="1">IFERROR(__xludf.DUMMYFUNCTION("GOOGLETRANSLATE(B27379,""en"",""pt"")"),"Wilhelmstadt")</f>
        <v>Wilhelmstadt</v>
      </c>
      <c r="B1609" s="17" t="s">
        <v>9325</v>
      </c>
      <c r="C1609" s="17" t="s">
        <v>8028</v>
      </c>
      <c r="D1609" s="17" t="s">
        <v>8036</v>
      </c>
      <c r="E1609" s="10">
        <v>2808662</v>
      </c>
      <c r="F1609" s="4" t="str">
        <f>IF(B1609=B1608,"",B1609)</f>
        <v/>
      </c>
    </row>
    <row r="1610" spans="1:6" ht="15.75" customHeight="1">
      <c r="A1610" s="5" t="s">
        <v>9324</v>
      </c>
      <c r="B1610" s="6" t="s">
        <v>9324</v>
      </c>
      <c r="C1610" s="5" t="s">
        <v>8028</v>
      </c>
      <c r="D1610" s="5" t="s">
        <v>8034</v>
      </c>
      <c r="E1610" s="2">
        <v>2808720</v>
      </c>
      <c r="F1610" s="4" t="str">
        <f>IF(B1610=B1609,"",B1610)</f>
        <v>Wilhelmshaven</v>
      </c>
    </row>
    <row r="1611" spans="1:6" ht="15.75" customHeight="1">
      <c r="A1611" s="5" t="str">
        <f ca="1">IFERROR(__xludf.DUMMYFUNCTION("GOOGLETRANSLATE(B27380,""en"",""pt"")"),"Wilhelmshaven")</f>
        <v>Wilhelmshaven</v>
      </c>
      <c r="B1611" s="17" t="s">
        <v>9324</v>
      </c>
      <c r="C1611" s="17" t="s">
        <v>8028</v>
      </c>
      <c r="D1611" s="17" t="s">
        <v>8034</v>
      </c>
      <c r="E1611" s="10">
        <v>2808720</v>
      </c>
      <c r="F1611" s="4" t="str">
        <f>IF(B1611=B1610,"",B1611)</f>
        <v/>
      </c>
    </row>
    <row r="1612" spans="1:6" ht="15.75" customHeight="1">
      <c r="A1612" s="5" t="s">
        <v>30406</v>
      </c>
      <c r="B1612" s="6" t="s">
        <v>30407</v>
      </c>
      <c r="C1612" s="5" t="s">
        <v>27788</v>
      </c>
      <c r="D1612" s="5" t="s">
        <v>27806</v>
      </c>
      <c r="E1612" s="2">
        <v>4414749</v>
      </c>
      <c r="F1612" s="4" t="str">
        <f>IF(B1612=B1611,"",B1612)</f>
        <v>Wildwood</v>
      </c>
    </row>
    <row r="1613" spans="1:6" ht="15.75" customHeight="1">
      <c r="A1613" s="5" t="str">
        <f ca="1">IFERROR(__xludf.DUMMYFUNCTION("GOOGLETRANSLATE(B43398,""en"",""pt"")"),"Madeira selvagem")</f>
        <v>Madeira selvagem</v>
      </c>
      <c r="B1613" s="17" t="s">
        <v>30407</v>
      </c>
      <c r="C1613" s="17" t="s">
        <v>27788</v>
      </c>
      <c r="D1613" s="17" t="s">
        <v>27806</v>
      </c>
      <c r="E1613" s="10">
        <v>4414749</v>
      </c>
      <c r="F1613" s="4" t="str">
        <f>IF(B1613=B1612,"",B1613)</f>
        <v/>
      </c>
    </row>
    <row r="1614" spans="1:6" ht="15.75" customHeight="1">
      <c r="A1614" s="5" t="s">
        <v>30405</v>
      </c>
      <c r="B1614" s="6" t="s">
        <v>30405</v>
      </c>
      <c r="C1614" s="5" t="s">
        <v>27788</v>
      </c>
      <c r="D1614" s="5" t="s">
        <v>27801</v>
      </c>
      <c r="E1614" s="2">
        <v>5409260</v>
      </c>
      <c r="F1614" s="4" t="str">
        <f>IF(B1614=B1613,"",B1614)</f>
        <v>Wildomar</v>
      </c>
    </row>
    <row r="1615" spans="1:6" ht="15.75" customHeight="1">
      <c r="A1615" s="5" t="str">
        <f ca="1">IFERROR(__xludf.DUMMYFUNCTION("GOOGLETRANSLATE(B45078,""en"",""pt"")"),"Wildomar")</f>
        <v>Wildomar</v>
      </c>
      <c r="B1615" s="17" t="s">
        <v>30405</v>
      </c>
      <c r="C1615" s="17" t="s">
        <v>27788</v>
      </c>
      <c r="D1615" s="17" t="s">
        <v>27801</v>
      </c>
      <c r="E1615" s="10">
        <v>5409260</v>
      </c>
      <c r="F1615" s="4" t="str">
        <f>IF(B1615=B1614,"",B1615)</f>
        <v/>
      </c>
    </row>
    <row r="1616" spans="1:6" ht="15.75" customHeight="1">
      <c r="A1616" s="5" t="s">
        <v>9323</v>
      </c>
      <c r="B1616" s="6" t="s">
        <v>9323</v>
      </c>
      <c r="C1616" s="5" t="s">
        <v>8028</v>
      </c>
      <c r="D1616" s="5" t="s">
        <v>8034</v>
      </c>
      <c r="E1616" s="2">
        <v>2808893</v>
      </c>
      <c r="F1616" s="4" t="str">
        <f>IF(B1616=B1615,"",B1616)</f>
        <v>Wildeshausen</v>
      </c>
    </row>
    <row r="1617" spans="1:6" ht="15.75" customHeight="1">
      <c r="A1617" s="5" t="str">
        <f ca="1">IFERROR(__xludf.DUMMYFUNCTION("GOOGLETRANSLATE(B27381,""en"",""pt"")"),"Wildeshausen")</f>
        <v>Wildeshausen</v>
      </c>
      <c r="B1617" s="17" t="s">
        <v>9323</v>
      </c>
      <c r="C1617" s="17" t="s">
        <v>8028</v>
      </c>
      <c r="D1617" s="17" t="s">
        <v>8034</v>
      </c>
      <c r="E1617" s="10">
        <v>2808893</v>
      </c>
      <c r="F1617" s="4" t="str">
        <f>IF(B1617=B1616,"",B1617)</f>
        <v/>
      </c>
    </row>
    <row r="1618" spans="1:6" ht="15.75" customHeight="1">
      <c r="A1618" s="6" t="s">
        <v>25319</v>
      </c>
      <c r="B1618" s="6" t="s">
        <v>25319</v>
      </c>
      <c r="C1618" s="6" t="s">
        <v>25237</v>
      </c>
      <c r="D1618" s="6" t="s">
        <v>25268</v>
      </c>
      <c r="E1618" s="2">
        <v>2657996</v>
      </c>
      <c r="F1618" s="4" t="str">
        <f>IF(B1618=B1617,"",B1618)</f>
        <v>Wil</v>
      </c>
    </row>
    <row r="1619" spans="1:6" ht="15.75" customHeight="1">
      <c r="A1619" s="5" t="str">
        <f ca="1">IFERROR(__xludf.DUMMYFUNCTION("GOOGLETRANSLATE(B25746,""en"",""pt"")"),"Wil")</f>
        <v>Wil</v>
      </c>
      <c r="B1619" s="17" t="s">
        <v>25319</v>
      </c>
      <c r="C1619" s="17" t="s">
        <v>25237</v>
      </c>
      <c r="D1619" s="17" t="s">
        <v>25268</v>
      </c>
      <c r="E1619" s="10">
        <v>2657996</v>
      </c>
      <c r="F1619" s="4" t="str">
        <f>IF(B1619=B1618,"",B1619)</f>
        <v/>
      </c>
    </row>
    <row r="1620" spans="1:6" ht="15.75" customHeight="1">
      <c r="A1620" s="5" t="s">
        <v>19141</v>
      </c>
      <c r="B1620" s="6" t="s">
        <v>19142</v>
      </c>
      <c r="C1620" s="5" t="s">
        <v>18862</v>
      </c>
      <c r="D1620" s="5" t="s">
        <v>18877</v>
      </c>
      <c r="E1620" s="2">
        <v>2744483</v>
      </c>
      <c r="F1620" s="4" t="str">
        <f>IF(B1620=B1619,"",B1620)</f>
        <v>Wijk bij Duurstede</v>
      </c>
    </row>
    <row r="1621" spans="1:6" ht="15.75" customHeight="1">
      <c r="A1621" s="5" t="str">
        <f ca="1">IFERROR(__xludf.DUMMYFUNCTION("GOOGLETRANSLATE(B37903,""en"",""pt"")"),"Wijk Bij Duurstede")</f>
        <v>Wijk Bij Duurstede</v>
      </c>
      <c r="B1621" s="17" t="s">
        <v>19142</v>
      </c>
      <c r="C1621" s="17" t="s">
        <v>18862</v>
      </c>
      <c r="D1621" s="17" t="s">
        <v>18877</v>
      </c>
      <c r="E1621" s="10">
        <v>2744483</v>
      </c>
      <c r="F1621" s="4" t="str">
        <f>IF(B1621=B1620,"",B1621)</f>
        <v/>
      </c>
    </row>
    <row r="1622" spans="1:6" ht="15.75" customHeight="1">
      <c r="A1622" s="6" t="s">
        <v>19140</v>
      </c>
      <c r="B1622" s="6" t="s">
        <v>19140</v>
      </c>
      <c r="C1622" s="6" t="s">
        <v>18862</v>
      </c>
      <c r="D1622" s="6" t="s">
        <v>18865</v>
      </c>
      <c r="E1622" s="2">
        <v>2744514</v>
      </c>
      <c r="F1622" s="4" t="str">
        <f>IF(B1622=B1621,"",B1622)</f>
        <v>Wijchen</v>
      </c>
    </row>
    <row r="1623" spans="1:6" ht="15.75" customHeight="1">
      <c r="A1623" s="5" t="str">
        <f ca="1">IFERROR(__xludf.DUMMYFUNCTION("GOOGLETRANSLATE(B37904,""en"",""pt"")"),"Wijchen")</f>
        <v>Wijchen</v>
      </c>
      <c r="B1623" s="17" t="s">
        <v>19140</v>
      </c>
      <c r="C1623" s="17" t="s">
        <v>18862</v>
      </c>
      <c r="D1623" s="17" t="s">
        <v>18865</v>
      </c>
      <c r="E1623" s="10">
        <v>2744514</v>
      </c>
      <c r="F1623" s="4" t="str">
        <f>IF(B1623=B1622,"",B1623)</f>
        <v/>
      </c>
    </row>
    <row r="1624" spans="1:6" ht="15.75" customHeight="1">
      <c r="A1624" s="5" t="s">
        <v>27761</v>
      </c>
      <c r="B1624" s="6" t="s">
        <v>27761</v>
      </c>
      <c r="C1624" s="5" t="s">
        <v>27234</v>
      </c>
      <c r="D1624" s="5" t="s">
        <v>27241</v>
      </c>
      <c r="E1624" s="2">
        <v>2633936</v>
      </c>
      <c r="F1624" s="4" t="str">
        <f>IF(B1624=B1623,"",B1624)</f>
        <v>Wigston Magna</v>
      </c>
    </row>
    <row r="1625" spans="1:6" ht="15.75" customHeight="1">
      <c r="A1625" s="5" t="str">
        <f ca="1">IFERROR(__xludf.DUMMYFUNCTION("GOOGLETRANSLATE(B30337,""en"",""pt"")"),"Wigston Magna")</f>
        <v>Wigston Magna</v>
      </c>
      <c r="B1625" s="17" t="s">
        <v>27761</v>
      </c>
      <c r="C1625" s="17" t="s">
        <v>27234</v>
      </c>
      <c r="D1625" s="17" t="s">
        <v>27241</v>
      </c>
      <c r="E1625" s="10">
        <v>2633936</v>
      </c>
      <c r="F1625" s="4" t="str">
        <f>IF(B1625=B1624,"",B1625)</f>
        <v/>
      </c>
    </row>
    <row r="1626" spans="1:6" ht="15.75" customHeight="1">
      <c r="A1626" s="6" t="s">
        <v>27760</v>
      </c>
      <c r="B1626" s="6" t="s">
        <v>27760</v>
      </c>
      <c r="C1626" s="6" t="s">
        <v>27234</v>
      </c>
      <c r="D1626" s="6" t="s">
        <v>27241</v>
      </c>
      <c r="E1626" s="2">
        <v>2633948</v>
      </c>
      <c r="F1626" s="4" t="str">
        <f>IF(B1626=B1625,"",B1626)</f>
        <v>Wigan</v>
      </c>
    </row>
    <row r="1627" spans="1:6" ht="15.75" customHeight="1">
      <c r="A1627" s="5" t="str">
        <f ca="1">IFERROR(__xludf.DUMMYFUNCTION("GOOGLETRANSLATE(B30338,""en"",""pt"")"),"Wigan")</f>
        <v>Wigan</v>
      </c>
      <c r="B1627" s="17" t="s">
        <v>27760</v>
      </c>
      <c r="C1627" s="17" t="s">
        <v>27234</v>
      </c>
      <c r="D1627" s="17" t="s">
        <v>27241</v>
      </c>
      <c r="E1627" s="10">
        <v>2633948</v>
      </c>
      <c r="F1627" s="4" t="str">
        <f>IF(B1627=B1626,"",B1627)</f>
        <v/>
      </c>
    </row>
    <row r="1628" spans="1:6" ht="15.75" customHeight="1">
      <c r="A1628" s="6" t="s">
        <v>9322</v>
      </c>
      <c r="B1628" s="6" t="s">
        <v>9322</v>
      </c>
      <c r="C1628" s="6" t="s">
        <v>8028</v>
      </c>
      <c r="D1628" s="6" t="s">
        <v>8031</v>
      </c>
      <c r="E1628" s="2">
        <v>2809138</v>
      </c>
      <c r="F1628" s="4" t="str">
        <f>IF(B1628=B1627,"",B1628)</f>
        <v>Wiesloch</v>
      </c>
    </row>
    <row r="1629" spans="1:6" ht="15.75" customHeight="1">
      <c r="A1629" s="5" t="str">
        <f ca="1">IFERROR(__xludf.DUMMYFUNCTION("GOOGLETRANSLATE(B27382,""en"",""pt"")"),"Wiesloch")</f>
        <v>Wiesloch</v>
      </c>
      <c r="B1629" s="17" t="s">
        <v>9322</v>
      </c>
      <c r="C1629" s="17" t="s">
        <v>8028</v>
      </c>
      <c r="D1629" s="17" t="s">
        <v>32013</v>
      </c>
      <c r="E1629" s="10">
        <v>2809138</v>
      </c>
      <c r="F1629" s="4" t="str">
        <f>IF(B1629=B1628,"",B1629)</f>
        <v/>
      </c>
    </row>
    <row r="1630" spans="1:6" ht="15.75" customHeight="1">
      <c r="A1630" s="5" t="s">
        <v>9321</v>
      </c>
      <c r="B1630" s="6" t="s">
        <v>9321</v>
      </c>
      <c r="C1630" s="5" t="s">
        <v>8028</v>
      </c>
      <c r="D1630" s="5" t="s">
        <v>8050</v>
      </c>
      <c r="E1630" s="2">
        <v>2809346</v>
      </c>
      <c r="F1630" s="4" t="str">
        <f>IF(B1630=B1629,"",B1630)</f>
        <v>Wiesbaden</v>
      </c>
    </row>
    <row r="1631" spans="1:6" ht="15.75" customHeight="1">
      <c r="A1631" s="5" t="str">
        <f ca="1">IFERROR(__xludf.DUMMYFUNCTION("GOOGLETRANSLATE(B27383,""en"",""pt"")"),"Wiesbaden")</f>
        <v>Wiesbaden</v>
      </c>
      <c r="B1631" s="17" t="s">
        <v>9321</v>
      </c>
      <c r="C1631" s="17" t="s">
        <v>8028</v>
      </c>
      <c r="D1631" s="17" t="s">
        <v>8050</v>
      </c>
      <c r="E1631" s="10">
        <v>2809346</v>
      </c>
      <c r="F1631" s="4" t="str">
        <f>IF(B1631=B1630,"",B1631)</f>
        <v/>
      </c>
    </row>
    <row r="1632" spans="1:6" ht="15.75" customHeight="1">
      <c r="A1632" s="6" t="s">
        <v>19139</v>
      </c>
      <c r="B1632" s="6" t="s">
        <v>19139</v>
      </c>
      <c r="C1632" s="6" t="s">
        <v>18862</v>
      </c>
      <c r="D1632" s="6" t="s">
        <v>18871</v>
      </c>
      <c r="E1632" s="2">
        <v>2744549</v>
      </c>
      <c r="F1632" s="4" t="str">
        <f>IF(B1632=B1631,"",B1632)</f>
        <v>Wierden</v>
      </c>
    </row>
    <row r="1633" spans="1:6" ht="15.75" customHeight="1">
      <c r="A1633" s="5" t="str">
        <f ca="1">IFERROR(__xludf.DUMMYFUNCTION("GOOGLETRANSLATE(B37905,""en"",""pt"")"),"Wierden")</f>
        <v>Wierden</v>
      </c>
      <c r="B1633" s="17" t="s">
        <v>19139</v>
      </c>
      <c r="C1633" s="17" t="s">
        <v>18862</v>
      </c>
      <c r="D1633" s="17" t="s">
        <v>18871</v>
      </c>
      <c r="E1633" s="10">
        <v>2744549</v>
      </c>
      <c r="F1633" s="4" t="str">
        <f>IF(B1633=B1632,"",B1633)</f>
        <v/>
      </c>
    </row>
    <row r="1634" spans="1:6" ht="15.75" customHeight="1">
      <c r="A1634" s="5" t="s">
        <v>1166</v>
      </c>
      <c r="B1634" s="6" t="s">
        <v>1166</v>
      </c>
      <c r="C1634" s="5" t="s">
        <v>1117</v>
      </c>
      <c r="D1634" s="5" t="s">
        <v>1118</v>
      </c>
      <c r="E1634" s="2">
        <v>2761353</v>
      </c>
      <c r="F1634" s="4" t="str">
        <f>IF(B1634=B1633,"",B1634)</f>
        <v>Wiener Neustadt</v>
      </c>
    </row>
    <row r="1635" spans="1:6" ht="15.75" customHeight="1">
      <c r="A1635" s="5" t="str">
        <f ca="1">IFERROR(__xludf.DUMMYFUNCTION("GOOGLETRANSLATE(B23373,""en"",""pt"")"),"Wiener Neustadt")</f>
        <v>Wiener Neustadt</v>
      </c>
      <c r="B1635" s="17" t="s">
        <v>1166</v>
      </c>
      <c r="C1635" s="17" t="s">
        <v>1117</v>
      </c>
      <c r="D1635" s="17" t="s">
        <v>1118</v>
      </c>
      <c r="E1635" s="10">
        <v>2761353</v>
      </c>
      <c r="F1635" s="4" t="str">
        <f>IF(B1635=B1634,"",B1635)</f>
        <v/>
      </c>
    </row>
    <row r="1636" spans="1:6" ht="15.75" customHeight="1">
      <c r="A1636" s="5" t="str">
        <f ca="1">IFERROR(__xludf.DUMMYFUNCTION("GOOGLETRANSLATE(B39317,""en"",""pt"")"),"Wieluń")</f>
        <v>Wieluń</v>
      </c>
      <c r="B1636" s="17" t="s">
        <v>35149</v>
      </c>
      <c r="C1636" s="17" t="s">
        <v>21064</v>
      </c>
      <c r="D1636" s="17" t="s">
        <v>35071</v>
      </c>
      <c r="E1636" s="10">
        <v>3082197</v>
      </c>
      <c r="F1636" s="4" t="str">
        <f>IF(B1636=B1635,"",B1636)</f>
        <v>Wieluń</v>
      </c>
    </row>
    <row r="1637" spans="1:6" ht="15.75" customHeight="1">
      <c r="A1637" s="6" t="s">
        <v>21569</v>
      </c>
      <c r="B1637" s="6" t="s">
        <v>21570</v>
      </c>
      <c r="C1637" s="6" t="s">
        <v>21064</v>
      </c>
      <c r="D1637" s="6" t="s">
        <v>21080</v>
      </c>
      <c r="E1637" s="2">
        <v>3082197</v>
      </c>
      <c r="F1637" s="4" t="str">
        <f>IF(B1637=B1636,"",B1637)</f>
        <v>WieluÅ„</v>
      </c>
    </row>
    <row r="1638" spans="1:6" ht="15.75" customHeight="1">
      <c r="A1638" s="6" t="s">
        <v>21568</v>
      </c>
      <c r="B1638" s="6" t="s">
        <v>21568</v>
      </c>
      <c r="C1638" s="6" t="s">
        <v>21064</v>
      </c>
      <c r="D1638" s="6" t="s">
        <v>21108</v>
      </c>
      <c r="E1638" s="2">
        <v>755889</v>
      </c>
      <c r="F1638" s="4" t="str">
        <f>IF(B1638=B1637,"",B1638)</f>
        <v>Wieliczka</v>
      </c>
    </row>
    <row r="1639" spans="1:6" ht="15.75" customHeight="1">
      <c r="A1639" s="5" t="str">
        <f ca="1">IFERROR(__xludf.DUMMYFUNCTION("GOOGLETRANSLATE(B39185,""en"",""pt"")"),"Wieliczka")</f>
        <v>Wieliczka</v>
      </c>
      <c r="B1639" s="17" t="s">
        <v>21568</v>
      </c>
      <c r="C1639" s="17" t="s">
        <v>21064</v>
      </c>
      <c r="D1639" s="17" t="s">
        <v>21108</v>
      </c>
      <c r="E1639" s="10">
        <v>755889</v>
      </c>
      <c r="F1639" s="4" t="str">
        <f>IF(B1639=B1638,"",B1639)</f>
        <v/>
      </c>
    </row>
    <row r="1640" spans="1:6" ht="15.75" customHeight="1">
      <c r="A1640" s="6" t="s">
        <v>9320</v>
      </c>
      <c r="B1640" s="6" t="s">
        <v>9320</v>
      </c>
      <c r="C1640" s="6" t="s">
        <v>8028</v>
      </c>
      <c r="D1640" s="6" t="s">
        <v>8029</v>
      </c>
      <c r="E1640" s="2">
        <v>2809517</v>
      </c>
      <c r="F1640" s="4" t="str">
        <f>IF(B1640=B1639,"",B1640)</f>
        <v>Wiehl</v>
      </c>
    </row>
    <row r="1641" spans="1:6" ht="15.75" customHeight="1">
      <c r="A1641" s="5" t="str">
        <f ca="1">IFERROR(__xludf.DUMMYFUNCTION("GOOGLETRANSLATE(B27384,""en"",""pt"")"),"Wiehl")</f>
        <v>Wiehl</v>
      </c>
      <c r="B1641" s="17" t="s">
        <v>9320</v>
      </c>
      <c r="C1641" s="17" t="s">
        <v>8028</v>
      </c>
      <c r="D1641" s="17" t="s">
        <v>8029</v>
      </c>
      <c r="E1641" s="10">
        <v>2809517</v>
      </c>
      <c r="F1641" s="4" t="str">
        <f>IF(B1641=B1640,"",B1641)</f>
        <v/>
      </c>
    </row>
    <row r="1642" spans="1:6" ht="15.75" customHeight="1">
      <c r="A1642" s="6" t="s">
        <v>27759</v>
      </c>
      <c r="B1642" s="6" t="s">
        <v>27759</v>
      </c>
      <c r="C1642" s="6" t="s">
        <v>27234</v>
      </c>
      <c r="D1642" s="6" t="s">
        <v>27241</v>
      </c>
      <c r="E1642" s="2">
        <v>2633954</v>
      </c>
      <c r="F1642" s="4" t="str">
        <f>IF(B1642=B1641,"",B1642)</f>
        <v>Widnes</v>
      </c>
    </row>
    <row r="1643" spans="1:6" ht="15.75" customHeight="1">
      <c r="A1643" s="5" t="str">
        <f ca="1">IFERROR(__xludf.DUMMYFUNCTION("GOOGLETRANSLATE(B30339,""en"",""pt"")"),"Widnes")</f>
        <v>Widnes</v>
      </c>
      <c r="B1643" s="17" t="s">
        <v>27759</v>
      </c>
      <c r="C1643" s="17" t="s">
        <v>27234</v>
      </c>
      <c r="D1643" s="17" t="s">
        <v>27241</v>
      </c>
      <c r="E1643" s="10">
        <v>2633954</v>
      </c>
      <c r="F1643" s="4" t="str">
        <f>IF(B1643=B1642,"",B1643)</f>
        <v/>
      </c>
    </row>
    <row r="1644" spans="1:6" ht="15.75" customHeight="1">
      <c r="A1644" s="6" t="s">
        <v>27758</v>
      </c>
      <c r="B1644" s="6" t="s">
        <v>27758</v>
      </c>
      <c r="C1644" s="6" t="s">
        <v>27234</v>
      </c>
      <c r="D1644" s="6" t="s">
        <v>27241</v>
      </c>
      <c r="E1644" s="2">
        <v>2633976</v>
      </c>
      <c r="F1644" s="4" t="str">
        <f>IF(B1644=B1643,"",B1644)</f>
        <v>Wickford</v>
      </c>
    </row>
    <row r="1645" spans="1:6" ht="15.75" customHeight="1">
      <c r="A1645" s="5" t="str">
        <f ca="1">IFERROR(__xludf.DUMMYFUNCTION("GOOGLETRANSLATE(B30340,""en"",""pt"")"),"Wickford")</f>
        <v>Wickford</v>
      </c>
      <c r="B1645" s="17" t="s">
        <v>27758</v>
      </c>
      <c r="C1645" s="17" t="s">
        <v>27234</v>
      </c>
      <c r="D1645" s="17" t="s">
        <v>27241</v>
      </c>
      <c r="E1645" s="10">
        <v>2633976</v>
      </c>
      <c r="F1645" s="4" t="str">
        <f>IF(B1645=B1644,"",B1645)</f>
        <v/>
      </c>
    </row>
    <row r="1646" spans="1:6" ht="15.75" customHeight="1">
      <c r="A1646" s="6" t="s">
        <v>30404</v>
      </c>
      <c r="B1646" s="6" t="s">
        <v>30404</v>
      </c>
      <c r="C1646" s="6" t="s">
        <v>27788</v>
      </c>
      <c r="D1646" s="6" t="s">
        <v>28419</v>
      </c>
      <c r="E1646" s="2">
        <v>4281730</v>
      </c>
      <c r="F1646" s="4" t="str">
        <f>IF(B1646=B1645,"",B1646)</f>
        <v>Wichita</v>
      </c>
    </row>
    <row r="1647" spans="1:6" ht="15.75" customHeight="1">
      <c r="A1647" s="5" t="str">
        <f ca="1">IFERROR(__xludf.DUMMYFUNCTION("GOOGLETRANSLATE(B43186,""en"",""pt"")"),"Wichita")</f>
        <v>Wichita</v>
      </c>
      <c r="B1647" s="17" t="s">
        <v>30404</v>
      </c>
      <c r="C1647" s="17" t="s">
        <v>27788</v>
      </c>
      <c r="D1647" s="17" t="s">
        <v>28419</v>
      </c>
      <c r="E1647" s="10">
        <v>4281730</v>
      </c>
      <c r="F1647" s="4" t="str">
        <f>IF(B1647=B1646,"",B1647)</f>
        <v/>
      </c>
    </row>
    <row r="1648" spans="1:6" ht="15.75" customHeight="1">
      <c r="A1648" s="6" t="s">
        <v>26031</v>
      </c>
      <c r="B1648" s="6" t="s">
        <v>26031</v>
      </c>
      <c r="C1648" s="6" t="s">
        <v>25771</v>
      </c>
      <c r="D1648" s="6" t="s">
        <v>25782</v>
      </c>
      <c r="E1648" s="2">
        <v>6696291</v>
      </c>
      <c r="F1648" s="4" t="str">
        <f>IF(B1648=B1647,"",B1648)</f>
        <v>Wichit</v>
      </c>
    </row>
    <row r="1649" spans="1:6" ht="15.75" customHeight="1">
      <c r="A1649" s="5" t="str">
        <f ca="1">IFERROR(__xludf.DUMMYFUNCTION("GOOGLETRANSLATE(B41728,""en"",""pt"")"),"Wichit")</f>
        <v>Wichit</v>
      </c>
      <c r="B1649" s="17" t="s">
        <v>26031</v>
      </c>
      <c r="C1649" s="17" t="s">
        <v>25771</v>
      </c>
      <c r="D1649" s="17" t="s">
        <v>25782</v>
      </c>
      <c r="E1649" s="10">
        <v>6696291</v>
      </c>
      <c r="F1649" s="4" t="str">
        <f>IF(B1649=B1648,"",B1649)</f>
        <v/>
      </c>
    </row>
    <row r="1650" spans="1:6" ht="15.75" customHeight="1">
      <c r="A1650" s="5" t="s">
        <v>26030</v>
      </c>
      <c r="B1650" s="6" t="s">
        <v>26030</v>
      </c>
      <c r="C1650" s="5" t="s">
        <v>25771</v>
      </c>
      <c r="D1650" s="5" t="s">
        <v>25866</v>
      </c>
      <c r="E1650" s="2">
        <v>1605024</v>
      </c>
      <c r="F1650" s="4" t="str">
        <f>IF(B1650=B1649,"",B1650)</f>
        <v>Wichian Buri</v>
      </c>
    </row>
    <row r="1651" spans="1:6" ht="15.75" customHeight="1">
      <c r="A1651" s="5" t="str">
        <f ca="1">IFERROR(__xludf.DUMMYFUNCTION("GOOGLETRANSLATE(B41582,""en"",""pt"")"),"Wichian Buri")</f>
        <v>Wichian Buri</v>
      </c>
      <c r="B1651" s="17" t="s">
        <v>26030</v>
      </c>
      <c r="C1651" s="17" t="s">
        <v>25771</v>
      </c>
      <c r="D1651" s="17" t="s">
        <v>25866</v>
      </c>
      <c r="E1651" s="10">
        <v>1605024</v>
      </c>
      <c r="F1651" s="4" t="str">
        <f>IF(B1651=B1650,"",B1651)</f>
        <v/>
      </c>
    </row>
    <row r="1652" spans="1:6" ht="15.75" customHeight="1">
      <c r="A1652" s="6" t="s">
        <v>1110</v>
      </c>
      <c r="B1652" s="6" t="s">
        <v>1110</v>
      </c>
      <c r="C1652" s="6" t="s">
        <v>885</v>
      </c>
      <c r="D1652" s="6" t="s">
        <v>886</v>
      </c>
      <c r="E1652" s="2">
        <v>2058430</v>
      </c>
      <c r="F1652" s="4" t="str">
        <f>IF(B1652=B1651,"",B1652)</f>
        <v>Whyalla</v>
      </c>
    </row>
    <row r="1653" spans="1:6" ht="15.75" customHeight="1">
      <c r="A1653" s="5" t="str">
        <f ca="1">IFERROR(__xludf.DUMMYFUNCTION("GOOGLETRANSLATE(B23407,""en"",""pt"")"),"Whyalla")</f>
        <v>Whyalla</v>
      </c>
      <c r="B1653" s="17" t="s">
        <v>1110</v>
      </c>
      <c r="C1653" s="17" t="s">
        <v>885</v>
      </c>
      <c r="D1653" s="17" t="s">
        <v>886</v>
      </c>
      <c r="E1653" s="10">
        <v>2058430</v>
      </c>
      <c r="F1653" s="4" t="str">
        <f>IF(B1653=B1652,"",B1653)</f>
        <v/>
      </c>
    </row>
    <row r="1654" spans="1:6" ht="15.75" customHeight="1">
      <c r="A1654" s="6" t="s">
        <v>30403</v>
      </c>
      <c r="B1654" s="6" t="s">
        <v>30403</v>
      </c>
      <c r="C1654" s="6" t="s">
        <v>27788</v>
      </c>
      <c r="D1654" s="6" t="s">
        <v>27801</v>
      </c>
      <c r="E1654" s="2">
        <v>5409059</v>
      </c>
      <c r="F1654" s="4" t="str">
        <f>IF(B1654=B1653,"",B1654)</f>
        <v>Whittier</v>
      </c>
    </row>
    <row r="1655" spans="1:6" ht="15.75" customHeight="1">
      <c r="A1655" s="5" t="str">
        <f ca="1">IFERROR(__xludf.DUMMYFUNCTION("GOOGLETRANSLATE(B45077,""en"",""pt"")"),"Whittier")</f>
        <v>Whittier</v>
      </c>
      <c r="B1655" s="17" t="s">
        <v>30403</v>
      </c>
      <c r="C1655" s="17" t="s">
        <v>27788</v>
      </c>
      <c r="D1655" s="17" t="s">
        <v>27801</v>
      </c>
      <c r="E1655" s="10">
        <v>5409059</v>
      </c>
      <c r="F1655" s="4" t="str">
        <f>IF(B1655=B1654,"",B1655)</f>
        <v/>
      </c>
    </row>
    <row r="1656" spans="1:6" ht="15.75" customHeight="1">
      <c r="A1656" s="5" t="s">
        <v>27757</v>
      </c>
      <c r="B1656" s="6" t="s">
        <v>27757</v>
      </c>
      <c r="C1656" s="5" t="s">
        <v>27234</v>
      </c>
      <c r="D1656" s="5" t="s">
        <v>27241</v>
      </c>
      <c r="E1656" s="2">
        <v>2634021</v>
      </c>
      <c r="F1656" s="4" t="str">
        <f>IF(B1656=B1655,"",B1656)</f>
        <v>Whitstable</v>
      </c>
    </row>
    <row r="1657" spans="1:6" ht="15.75" customHeight="1">
      <c r="A1657" s="5" t="str">
        <f ca="1">IFERROR(__xludf.DUMMYFUNCTION("GOOGLETRANSLATE(B30341,""en"",""pt"")"),"Whitstable")</f>
        <v>Whitstable</v>
      </c>
      <c r="B1657" s="17" t="s">
        <v>27757</v>
      </c>
      <c r="C1657" s="17" t="s">
        <v>27234</v>
      </c>
      <c r="D1657" s="17" t="s">
        <v>27241</v>
      </c>
      <c r="E1657" s="10">
        <v>2634021</v>
      </c>
      <c r="F1657" s="4" t="str">
        <f>IF(B1657=B1656,"",B1657)</f>
        <v/>
      </c>
    </row>
    <row r="1658" spans="1:6" ht="15.75" customHeight="1">
      <c r="A1658" s="6" t="s">
        <v>30402</v>
      </c>
      <c r="B1658" s="6" t="s">
        <v>30402</v>
      </c>
      <c r="C1658" s="6" t="s">
        <v>27788</v>
      </c>
      <c r="D1658" s="6" t="s">
        <v>28073</v>
      </c>
      <c r="E1658" s="2">
        <v>5515110</v>
      </c>
      <c r="F1658" s="4" t="str">
        <f>IF(B1658=B1657,"",B1658)</f>
        <v>Whitney</v>
      </c>
    </row>
    <row r="1659" spans="1:6" ht="15.75" customHeight="1">
      <c r="A1659" s="5" t="str">
        <f ca="1">IFERROR(__xludf.DUMMYFUNCTION("GOOGLETRANSLATE(B45154,""en"",""pt"")"),"Whitney")</f>
        <v>Whitney</v>
      </c>
      <c r="B1659" s="17" t="s">
        <v>30402</v>
      </c>
      <c r="C1659" s="17" t="s">
        <v>27788</v>
      </c>
      <c r="D1659" s="17" t="s">
        <v>28073</v>
      </c>
      <c r="E1659" s="10">
        <v>5515110</v>
      </c>
      <c r="F1659" s="4" t="str">
        <f>IF(B1659=B1658,"",B1659)</f>
        <v/>
      </c>
    </row>
    <row r="1660" spans="1:6" ht="15.75" customHeight="1">
      <c r="A1660" s="5" t="s">
        <v>27756</v>
      </c>
      <c r="B1660" s="6" t="s">
        <v>27756</v>
      </c>
      <c r="C1660" s="5" t="s">
        <v>27234</v>
      </c>
      <c r="D1660" s="5" t="s">
        <v>27241</v>
      </c>
      <c r="E1660" s="2">
        <v>2634032</v>
      </c>
      <c r="F1660" s="4" t="str">
        <f>IF(B1660=B1659,"",B1660)</f>
        <v>Whitley Bay</v>
      </c>
    </row>
    <row r="1661" spans="1:6" ht="15.75" customHeight="1">
      <c r="A1661" s="5" t="str">
        <f ca="1">IFERROR(__xludf.DUMMYFUNCTION("GOOGLETRANSLATE(B30342,""en"",""pt"")"),"Whitley Bay")</f>
        <v>Whitley Bay</v>
      </c>
      <c r="B1661" s="17" t="s">
        <v>27756</v>
      </c>
      <c r="C1661" s="17" t="s">
        <v>27234</v>
      </c>
      <c r="D1661" s="17" t="s">
        <v>27241</v>
      </c>
      <c r="E1661" s="10">
        <v>2634032</v>
      </c>
      <c r="F1661" s="4" t="str">
        <f>IF(B1661=B1660,"",B1661)</f>
        <v/>
      </c>
    </row>
    <row r="1662" spans="1:6" ht="15.75" customHeight="1">
      <c r="A1662" s="5" t="s">
        <v>4245</v>
      </c>
      <c r="B1662" s="6" t="s">
        <v>4246</v>
      </c>
      <c r="C1662" s="5" t="s">
        <v>3975</v>
      </c>
      <c r="D1662" s="5" t="s">
        <v>4247</v>
      </c>
      <c r="E1662" s="2">
        <v>6180550</v>
      </c>
      <c r="F1662" s="4" t="str">
        <f>IF(B1662=B1661,"",B1662)</f>
        <v>Whitehorse</v>
      </c>
    </row>
    <row r="1663" spans="1:6" ht="15.75" customHeight="1">
      <c r="A1663" s="5" t="str">
        <f ca="1">IFERROR(__xludf.DUMMYFUNCTION("GOOGLETRANSLATE(B25613,""en"",""pt"")"),"Cavalo branco")</f>
        <v>Cavalo branco</v>
      </c>
      <c r="B1663" s="17" t="s">
        <v>4246</v>
      </c>
      <c r="C1663" s="17" t="s">
        <v>3975</v>
      </c>
      <c r="D1663" s="17" t="s">
        <v>4247</v>
      </c>
      <c r="E1663" s="10">
        <v>6180550</v>
      </c>
      <c r="F1663" s="4" t="str">
        <f>IF(B1663=B1662,"",B1663)</f>
        <v/>
      </c>
    </row>
    <row r="1664" spans="1:6" ht="15.75" customHeight="1">
      <c r="A1664" s="5" t="s">
        <v>27755</v>
      </c>
      <c r="B1664" s="6" t="s">
        <v>27755</v>
      </c>
      <c r="C1664" s="5" t="s">
        <v>27234</v>
      </c>
      <c r="D1664" s="5" t="s">
        <v>27241</v>
      </c>
      <c r="E1664" s="2">
        <v>2634096</v>
      </c>
      <c r="F1664" s="4" t="str">
        <f>IF(B1664=B1663,"",B1664)</f>
        <v>Whitehaven</v>
      </c>
    </row>
    <row r="1665" spans="1:6" ht="15.75" customHeight="1">
      <c r="A1665" s="5" t="str">
        <f ca="1">IFERROR(__xludf.DUMMYFUNCTION("GOOGLETRANSLATE(B30343,""en"",""pt"")"),"Whitehaven")</f>
        <v>Whitehaven</v>
      </c>
      <c r="B1665" s="17" t="s">
        <v>27755</v>
      </c>
      <c r="C1665" s="17" t="s">
        <v>27234</v>
      </c>
      <c r="D1665" s="17" t="s">
        <v>27241</v>
      </c>
      <c r="E1665" s="10">
        <v>2634096</v>
      </c>
      <c r="F1665" s="4" t="str">
        <f>IF(B1665=B1664,"",B1665)</f>
        <v/>
      </c>
    </row>
    <row r="1666" spans="1:6" ht="15.75" customHeight="1">
      <c r="A1666" s="5" t="s">
        <v>30400</v>
      </c>
      <c r="B1666" s="6" t="s">
        <v>30401</v>
      </c>
      <c r="C1666" s="5" t="s">
        <v>27788</v>
      </c>
      <c r="D1666" s="5" t="s">
        <v>27836</v>
      </c>
      <c r="E1666" s="2">
        <v>5219287</v>
      </c>
      <c r="F1666" s="4" t="str">
        <f>IF(B1666=B1665,"",B1666)</f>
        <v>Whitehall Township</v>
      </c>
    </row>
    <row r="1667" spans="1:6" ht="15.75" customHeight="1">
      <c r="A1667" s="5" t="str">
        <f ca="1">IFERROR(__xludf.DUMMYFUNCTION("GOOGLETRANSLATE(B44599,""en"",""pt"")"),"Township de Whitehall")</f>
        <v>Township de Whitehall</v>
      </c>
      <c r="B1667" s="17" t="s">
        <v>30401</v>
      </c>
      <c r="C1667" s="17" t="s">
        <v>27788</v>
      </c>
      <c r="D1667" s="17" t="s">
        <v>27836</v>
      </c>
      <c r="E1667" s="10">
        <v>5219287</v>
      </c>
      <c r="F1667" s="4" t="str">
        <f>IF(B1667=B1666,"",B1667)</f>
        <v/>
      </c>
    </row>
    <row r="1668" spans="1:6" ht="15.75" customHeight="1">
      <c r="A1668" s="6" t="s">
        <v>30399</v>
      </c>
      <c r="B1668" s="6" t="s">
        <v>30399</v>
      </c>
      <c r="C1668" s="6" t="s">
        <v>27788</v>
      </c>
      <c r="D1668" s="6" t="s">
        <v>27813</v>
      </c>
      <c r="E1668" s="2">
        <v>4528291</v>
      </c>
      <c r="F1668" s="4" t="str">
        <f>IF(B1668=B1667,"",B1668)</f>
        <v>Whitehall</v>
      </c>
    </row>
    <row r="1669" spans="1:6" ht="15.75" customHeight="1">
      <c r="A1669" s="5" t="str">
        <f ca="1">IFERROR(__xludf.DUMMYFUNCTION("GOOGLETRANSLATE(B43534,""en"",""pt"")"),"Whitehall")</f>
        <v>Whitehall</v>
      </c>
      <c r="B1669" s="17" t="s">
        <v>30399</v>
      </c>
      <c r="C1669" s="17" t="s">
        <v>27788</v>
      </c>
      <c r="D1669" s="17" t="s">
        <v>27813</v>
      </c>
      <c r="E1669" s="10">
        <v>4528291</v>
      </c>
      <c r="F1669" s="4" t="str">
        <f>IF(B1669=B1668,"",B1669)</f>
        <v/>
      </c>
    </row>
    <row r="1670" spans="1:6" ht="15.75" customHeight="1">
      <c r="A1670" s="5" t="s">
        <v>27754</v>
      </c>
      <c r="B1670" s="6" t="s">
        <v>27754</v>
      </c>
      <c r="C1670" s="5" t="s">
        <v>27234</v>
      </c>
      <c r="D1670" s="5" t="s">
        <v>27241</v>
      </c>
      <c r="E1670" s="2">
        <v>2634103</v>
      </c>
      <c r="F1670" s="4" t="str">
        <f>IF(B1670=B1669,"",B1670)</f>
        <v>Whitefield</v>
      </c>
    </row>
    <row r="1671" spans="1:6" ht="15.75" customHeight="1">
      <c r="A1671" s="5" t="str">
        <f ca="1">IFERROR(__xludf.DUMMYFUNCTION("GOOGLETRANSLATE(B30344,""en"",""pt"")"),"Whitefield")</f>
        <v>Whitefield</v>
      </c>
      <c r="B1671" s="17" t="s">
        <v>27754</v>
      </c>
      <c r="C1671" s="17" t="s">
        <v>27234</v>
      </c>
      <c r="D1671" s="17" t="s">
        <v>27241</v>
      </c>
      <c r="E1671" s="10">
        <v>2634103</v>
      </c>
      <c r="F1671" s="4" t="str">
        <f>IF(B1671=B1670,"",B1671)</f>
        <v/>
      </c>
    </row>
    <row r="1672" spans="1:6" ht="15.75" customHeight="1">
      <c r="A1672" s="5" t="s">
        <v>4243</v>
      </c>
      <c r="B1672" s="6" t="s">
        <v>4244</v>
      </c>
      <c r="C1672" s="5" t="s">
        <v>3975</v>
      </c>
      <c r="D1672" s="5" t="s">
        <v>3976</v>
      </c>
      <c r="E1672" s="2">
        <v>6180961</v>
      </c>
      <c r="F1672" s="4" t="str">
        <f>IF(B1672=B1671,"",B1672)</f>
        <v>White Rock</v>
      </c>
    </row>
    <row r="1673" spans="1:6" ht="15.75" customHeight="1">
      <c r="A1673" s="5" t="str">
        <f ca="1">IFERROR(__xludf.DUMMYFUNCTION("GOOGLETRANSLATE(B25614,""en"",""pt"")"),"Rocha Branca")</f>
        <v>Rocha Branca</v>
      </c>
      <c r="B1673" s="17" t="s">
        <v>4244</v>
      </c>
      <c r="C1673" s="17" t="s">
        <v>3975</v>
      </c>
      <c r="D1673" s="17" t="s">
        <v>3976</v>
      </c>
      <c r="E1673" s="10">
        <v>6180961</v>
      </c>
      <c r="F1673" s="4" t="str">
        <f>IF(B1673=B1672,"",B1673)</f>
        <v/>
      </c>
    </row>
    <row r="1674" spans="1:6" ht="15.75" customHeight="1">
      <c r="A1674" s="5" t="s">
        <v>24015</v>
      </c>
      <c r="B1674" s="6" t="s">
        <v>24016</v>
      </c>
      <c r="C1674" s="5" t="s">
        <v>23842</v>
      </c>
      <c r="D1674" s="5" t="s">
        <v>23849</v>
      </c>
      <c r="E1674" s="2">
        <v>938694</v>
      </c>
      <c r="F1674" s="4" t="str">
        <f>IF(B1674=B1673,"",B1674)</f>
        <v>White River</v>
      </c>
    </row>
    <row r="1675" spans="1:6" ht="15.75" customHeight="1">
      <c r="A1675" s="5" t="str">
        <f ca="1">IFERROR(__xludf.DUMMYFUNCTION("GOOGLETRANSLATE(B45845,""en"",""pt"")"),"Rio branco")</f>
        <v>Rio branco</v>
      </c>
      <c r="B1675" s="17" t="s">
        <v>24016</v>
      </c>
      <c r="C1675" s="17" t="s">
        <v>23842</v>
      </c>
      <c r="D1675" s="17" t="s">
        <v>23849</v>
      </c>
      <c r="E1675" s="10">
        <v>938694</v>
      </c>
      <c r="F1675" s="4" t="str">
        <f>IF(B1675=B1674,"",B1675)</f>
        <v/>
      </c>
    </row>
    <row r="1676" spans="1:6" ht="15.75" customHeight="1">
      <c r="A1676" s="5" t="s">
        <v>30397</v>
      </c>
      <c r="B1676" s="6" t="s">
        <v>30398</v>
      </c>
      <c r="C1676" s="5" t="s">
        <v>27788</v>
      </c>
      <c r="D1676" s="5" t="s">
        <v>27819</v>
      </c>
      <c r="E1676" s="2">
        <v>5144336</v>
      </c>
      <c r="F1676" s="4" t="str">
        <f>IF(B1676=B1675,"",B1676)</f>
        <v>White Plains</v>
      </c>
    </row>
    <row r="1677" spans="1:6" ht="15.75" customHeight="1">
      <c r="A1677" s="5" t="str">
        <f ca="1">IFERROR(__xludf.DUMMYFUNCTION("GOOGLETRANSLATE(B44471,""en"",""pt"")"),"planícies brancas")</f>
        <v>planícies brancas</v>
      </c>
      <c r="B1677" s="17" t="s">
        <v>30398</v>
      </c>
      <c r="C1677" s="17" t="s">
        <v>27788</v>
      </c>
      <c r="D1677" s="17" t="s">
        <v>27819</v>
      </c>
      <c r="E1677" s="10">
        <v>5144336</v>
      </c>
      <c r="F1677" s="4" t="str">
        <f>IF(B1677=B1676,"",B1677)</f>
        <v/>
      </c>
    </row>
    <row r="1678" spans="1:6" ht="15.75" customHeight="1">
      <c r="A1678" s="5" t="s">
        <v>30395</v>
      </c>
      <c r="B1678" s="6" t="s">
        <v>30396</v>
      </c>
      <c r="C1678" s="5" t="s">
        <v>27788</v>
      </c>
      <c r="D1678" s="5" t="s">
        <v>17061</v>
      </c>
      <c r="E1678" s="2">
        <v>4373449</v>
      </c>
      <c r="F1678" s="4" t="str">
        <f>IF(B1678=B1677,"",B1678)</f>
        <v>White Oak</v>
      </c>
    </row>
    <row r="1679" spans="1:6" ht="15.75" customHeight="1">
      <c r="A1679" s="5" t="s">
        <v>30395</v>
      </c>
      <c r="B1679" s="6" t="s">
        <v>30396</v>
      </c>
      <c r="C1679" s="5" t="s">
        <v>27788</v>
      </c>
      <c r="D1679" s="5" t="s">
        <v>27813</v>
      </c>
      <c r="E1679" s="2">
        <v>4528259</v>
      </c>
      <c r="F1679" s="4" t="str">
        <f>IF(B1679=B1678,"",B1679)</f>
        <v/>
      </c>
    </row>
    <row r="1680" spans="1:6" ht="15.75" customHeight="1">
      <c r="A1680" s="5" t="str">
        <f ca="1">IFERROR(__xludf.DUMMYFUNCTION("GOOGLETRANSLATE(B43345,""en"",""pt"")"),"Carvalho branco")</f>
        <v>Carvalho branco</v>
      </c>
      <c r="B1680" s="17" t="s">
        <v>30396</v>
      </c>
      <c r="C1680" s="17" t="s">
        <v>27788</v>
      </c>
      <c r="D1680" s="17" t="s">
        <v>17061</v>
      </c>
      <c r="E1680" s="10">
        <v>4373449</v>
      </c>
      <c r="F1680" s="4" t="str">
        <f>IF(B1680=B1679,"",B1680)</f>
        <v/>
      </c>
    </row>
    <row r="1681" spans="1:6" ht="15.75" customHeight="1">
      <c r="A1681" s="5" t="str">
        <f ca="1">IFERROR(__xludf.DUMMYFUNCTION("GOOGLETRANSLATE(B43533,""en"",""pt"")"),"Carvalho branco")</f>
        <v>Carvalho branco</v>
      </c>
      <c r="B1681" s="17" t="s">
        <v>30396</v>
      </c>
      <c r="C1681" s="17" t="s">
        <v>27788</v>
      </c>
      <c r="D1681" s="17" t="s">
        <v>27813</v>
      </c>
      <c r="E1681" s="10">
        <v>4528259</v>
      </c>
      <c r="F1681" s="4" t="str">
        <f>IF(B1681=B1680,"",B1681)</f>
        <v/>
      </c>
    </row>
    <row r="1682" spans="1:6" ht="15.75" customHeight="1">
      <c r="A1682" s="5" t="s">
        <v>30393</v>
      </c>
      <c r="B1682" s="6" t="s">
        <v>30394</v>
      </c>
      <c r="C1682" s="5" t="s">
        <v>27788</v>
      </c>
      <c r="D1682" s="5" t="s">
        <v>27824</v>
      </c>
      <c r="E1682" s="2">
        <v>5052658</v>
      </c>
      <c r="F1682" s="4" t="str">
        <f>IF(B1682=B1681,"",B1682)</f>
        <v>White Bear Lake</v>
      </c>
    </row>
    <row r="1683" spans="1:6" ht="15.75" customHeight="1">
      <c r="A1683" s="5" t="str">
        <f ca="1">IFERROR(__xludf.DUMMYFUNCTION("GOOGLETRANSLATE(B44205,""en"",""pt"")"),"Lago de urso branco")</f>
        <v>Lago de urso branco</v>
      </c>
      <c r="B1683" s="17" t="s">
        <v>30394</v>
      </c>
      <c r="C1683" s="17" t="s">
        <v>27788</v>
      </c>
      <c r="D1683" s="17" t="s">
        <v>27824</v>
      </c>
      <c r="E1683" s="10">
        <v>5052658</v>
      </c>
      <c r="F1683" s="4" t="str">
        <f>IF(B1683=B1682,"",B1683)</f>
        <v/>
      </c>
    </row>
    <row r="1684" spans="1:6" ht="15.75" customHeight="1">
      <c r="A1684" s="5" t="s">
        <v>27753</v>
      </c>
      <c r="B1684" s="6" t="s">
        <v>27753</v>
      </c>
      <c r="C1684" s="5" t="s">
        <v>27234</v>
      </c>
      <c r="D1684" s="5" t="s">
        <v>27241</v>
      </c>
      <c r="E1684" s="2">
        <v>2634155</v>
      </c>
      <c r="F1684" s="4" t="str">
        <f>IF(B1684=B1683,"",B1684)</f>
        <v>Whickham</v>
      </c>
    </row>
    <row r="1685" spans="1:6" ht="15.75" customHeight="1">
      <c r="A1685" s="5" t="str">
        <f ca="1">IFERROR(__xludf.DUMMYFUNCTION("GOOGLETRANSLATE(B30345,""en"",""pt"")"),"Whickham")</f>
        <v>Whickham</v>
      </c>
      <c r="B1685" s="17" t="s">
        <v>27753</v>
      </c>
      <c r="C1685" s="17" t="s">
        <v>27234</v>
      </c>
      <c r="D1685" s="17" t="s">
        <v>27241</v>
      </c>
      <c r="E1685" s="10">
        <v>2634155</v>
      </c>
      <c r="F1685" s="4" t="str">
        <f>IF(B1685=B1684,"",B1685)</f>
        <v/>
      </c>
    </row>
    <row r="1686" spans="1:6" ht="15.75" customHeight="1">
      <c r="A1686" s="6" t="s">
        <v>30391</v>
      </c>
      <c r="B1686" s="6" t="s">
        <v>30392</v>
      </c>
      <c r="C1686" s="6" t="s">
        <v>27788</v>
      </c>
      <c r="D1686" s="6" t="s">
        <v>27799</v>
      </c>
      <c r="E1686" s="2">
        <v>4916311</v>
      </c>
      <c r="F1686" s="4" t="str">
        <f>IF(B1686=B1685,"",B1686)</f>
        <v>Wheeling</v>
      </c>
    </row>
    <row r="1687" spans="1:6" ht="15.75" customHeight="1">
      <c r="A1687" s="6" t="s">
        <v>30391</v>
      </c>
      <c r="B1687" s="6" t="s">
        <v>30392</v>
      </c>
      <c r="C1687" s="6" t="s">
        <v>27788</v>
      </c>
      <c r="D1687" s="6" t="s">
        <v>30312</v>
      </c>
      <c r="E1687" s="2">
        <v>5280854</v>
      </c>
      <c r="F1687" s="4" t="str">
        <f>IF(B1687=B1686,"",B1687)</f>
        <v/>
      </c>
    </row>
    <row r="1688" spans="1:6" ht="15.75" customHeight="1">
      <c r="A1688" s="5" t="str">
        <f ca="1">IFERROR(__xludf.DUMMYFUNCTION("GOOGLETRANSLATE(B43901,""en"",""pt"")"),"Rodar")</f>
        <v>Rodar</v>
      </c>
      <c r="B1688" s="17" t="s">
        <v>30392</v>
      </c>
      <c r="C1688" s="17" t="s">
        <v>27788</v>
      </c>
      <c r="D1688" s="17" t="s">
        <v>27799</v>
      </c>
      <c r="E1688" s="10">
        <v>4916311</v>
      </c>
      <c r="F1688" s="4" t="str">
        <f>IF(B1688=B1687,"",B1688)</f>
        <v/>
      </c>
    </row>
    <row r="1689" spans="1:6" ht="15.75" customHeight="1">
      <c r="A1689" s="5" t="str">
        <f ca="1">IFERROR(__xludf.DUMMYFUNCTION("GOOGLETRANSLATE(B44685,""en"",""pt"")"),"Rodar")</f>
        <v>Rodar</v>
      </c>
      <c r="B1689" s="17" t="s">
        <v>30392</v>
      </c>
      <c r="C1689" s="17" t="s">
        <v>27788</v>
      </c>
      <c r="D1689" s="17" t="s">
        <v>30312</v>
      </c>
      <c r="E1689" s="10">
        <v>5280854</v>
      </c>
      <c r="F1689" s="4" t="str">
        <f>IF(B1689=B1688,"",B1689)</f>
        <v/>
      </c>
    </row>
    <row r="1690" spans="1:6" ht="15.75" customHeight="1">
      <c r="A1690" s="6" t="s">
        <v>30390</v>
      </c>
      <c r="B1690" s="6" t="s">
        <v>30390</v>
      </c>
      <c r="C1690" s="6" t="s">
        <v>27788</v>
      </c>
      <c r="D1690" s="6" t="s">
        <v>17061</v>
      </c>
      <c r="E1690" s="2">
        <v>4373349</v>
      </c>
      <c r="F1690" s="4" t="str">
        <f>IF(B1690=B1689,"",B1690)</f>
        <v>Wheaton</v>
      </c>
    </row>
    <row r="1691" spans="1:6" ht="15.75" customHeight="1">
      <c r="A1691" s="6" t="s">
        <v>30390</v>
      </c>
      <c r="B1691" s="6" t="s">
        <v>30390</v>
      </c>
      <c r="C1691" s="6" t="s">
        <v>27788</v>
      </c>
      <c r="D1691" s="6" t="s">
        <v>27799</v>
      </c>
      <c r="E1691" s="2">
        <v>4916288</v>
      </c>
      <c r="F1691" s="4" t="str">
        <f>IF(B1691=B1690,"",B1691)</f>
        <v/>
      </c>
    </row>
    <row r="1692" spans="1:6" ht="15.75" customHeight="1">
      <c r="A1692" s="5" t="str">
        <f ca="1">IFERROR(__xludf.DUMMYFUNCTION("GOOGLETRANSLATE(B43344,""en"",""pt"")"),"Wheaton")</f>
        <v>Wheaton</v>
      </c>
      <c r="B1692" s="17" t="s">
        <v>30390</v>
      </c>
      <c r="C1692" s="17" t="s">
        <v>27788</v>
      </c>
      <c r="D1692" s="17" t="s">
        <v>17061</v>
      </c>
      <c r="E1692" s="10">
        <v>4373349</v>
      </c>
      <c r="F1692" s="4" t="str">
        <f>IF(B1692=B1691,"",B1692)</f>
        <v/>
      </c>
    </row>
    <row r="1693" spans="1:6" ht="15.75" customHeight="1">
      <c r="A1693" s="5" t="str">
        <f ca="1">IFERROR(__xludf.DUMMYFUNCTION("GOOGLETRANSLATE(B43900,""en"",""pt"")"),"Wheaton")</f>
        <v>Wheaton</v>
      </c>
      <c r="B1693" s="17" t="s">
        <v>30390</v>
      </c>
      <c r="C1693" s="17" t="s">
        <v>27788</v>
      </c>
      <c r="D1693" s="17" t="s">
        <v>27799</v>
      </c>
      <c r="E1693" s="10">
        <v>4916288</v>
      </c>
      <c r="F1693" s="4" t="str">
        <f>IF(B1693=B1692,"",B1693)</f>
        <v/>
      </c>
    </row>
    <row r="1694" spans="1:6" ht="15.75" customHeight="1">
      <c r="A1694" s="5" t="s">
        <v>30389</v>
      </c>
      <c r="B1694" s="6" t="s">
        <v>30389</v>
      </c>
      <c r="C1694" s="5" t="s">
        <v>27788</v>
      </c>
      <c r="D1694" s="5" t="s">
        <v>2341</v>
      </c>
      <c r="E1694" s="2">
        <v>5443948</v>
      </c>
      <c r="F1694" s="4" t="str">
        <f>IF(B1694=B1693,"",B1694)</f>
        <v>Wheat Ridge</v>
      </c>
    </row>
    <row r="1695" spans="1:6" ht="15.75" customHeight="1">
      <c r="A1695" s="5" t="str">
        <f ca="1">IFERROR(__xludf.DUMMYFUNCTION("GOOGLETRANSLATE(B45122,""en"",""pt"")"),"Wheat Ridge")</f>
        <v>Wheat Ridge</v>
      </c>
      <c r="B1695" s="17" t="s">
        <v>30389</v>
      </c>
      <c r="C1695" s="17" t="s">
        <v>27788</v>
      </c>
      <c r="D1695" s="17" t="s">
        <v>2341</v>
      </c>
      <c r="E1695" s="10">
        <v>5443948</v>
      </c>
      <c r="F1695" s="4" t="str">
        <f>IF(B1695=B1694,"",B1695)</f>
        <v/>
      </c>
    </row>
    <row r="1696" spans="1:6" ht="15.75" customHeight="1">
      <c r="A1696" s="5" t="s">
        <v>19214</v>
      </c>
      <c r="B1696" s="6" t="s">
        <v>19214</v>
      </c>
      <c r="C1696" s="5" t="s">
        <v>19169</v>
      </c>
      <c r="D1696" s="5" t="s">
        <v>19215</v>
      </c>
      <c r="E1696" s="2">
        <v>6230919</v>
      </c>
      <c r="F1696" s="4" t="str">
        <f>IF(B1696=B1695,"",B1696)</f>
        <v>Whangarei</v>
      </c>
    </row>
    <row r="1697" spans="1:6" ht="15.75" customHeight="1">
      <c r="A1697" s="5" t="str">
        <f ca="1">IFERROR(__xludf.DUMMYFUNCTION("GOOGLETRANSLATE(B38245,""en"",""pt"")"),"Whangarei")</f>
        <v>Whangarei</v>
      </c>
      <c r="B1697" s="17" t="s">
        <v>19214</v>
      </c>
      <c r="C1697" s="17" t="s">
        <v>19169</v>
      </c>
      <c r="D1697" s="17" t="s">
        <v>19215</v>
      </c>
      <c r="E1697" s="10">
        <v>6230919</v>
      </c>
      <c r="F1697" s="4" t="str">
        <f>IF(B1697=B1696,"",B1697)</f>
        <v/>
      </c>
    </row>
    <row r="1698" spans="1:6" ht="15.75" customHeight="1">
      <c r="A1698" s="5" t="s">
        <v>19213</v>
      </c>
      <c r="B1698" s="6" t="s">
        <v>19213</v>
      </c>
      <c r="C1698" s="5" t="s">
        <v>19169</v>
      </c>
      <c r="D1698" s="5" t="s">
        <v>19204</v>
      </c>
      <c r="E1698" s="2">
        <v>2208330</v>
      </c>
      <c r="F1698" s="4" t="str">
        <f>IF(B1698=B1697,"",B1698)</f>
        <v>Whakatane</v>
      </c>
    </row>
    <row r="1699" spans="1:6" ht="15.75" customHeight="1">
      <c r="A1699" s="5" t="str">
        <f ca="1">IFERROR(__xludf.DUMMYFUNCTION("GOOGLETRANSLATE(B38243,""en"",""pt"")"),"Whakatane")</f>
        <v>Whakatane</v>
      </c>
      <c r="B1699" s="17" t="s">
        <v>19213</v>
      </c>
      <c r="C1699" s="17" t="s">
        <v>19169</v>
      </c>
      <c r="D1699" s="17" t="s">
        <v>19204</v>
      </c>
      <c r="E1699" s="10">
        <v>2208330</v>
      </c>
      <c r="F1699" s="4" t="str">
        <f>IF(B1699=B1698,"",B1699)</f>
        <v/>
      </c>
    </row>
    <row r="1700" spans="1:6" ht="15.75" customHeight="1">
      <c r="A1700" s="5" t="s">
        <v>27752</v>
      </c>
      <c r="B1700" s="6" t="s">
        <v>27752</v>
      </c>
      <c r="C1700" s="5" t="s">
        <v>27234</v>
      </c>
      <c r="D1700" s="5" t="s">
        <v>27241</v>
      </c>
      <c r="E1700" s="2">
        <v>2634202</v>
      </c>
      <c r="F1700" s="4" t="str">
        <f>IF(B1700=B1699,"",B1700)</f>
        <v>Weymouth</v>
      </c>
    </row>
    <row r="1701" spans="1:6" ht="15.75" customHeight="1">
      <c r="A1701" s="5" t="s">
        <v>27752</v>
      </c>
      <c r="B1701" s="6" t="s">
        <v>27752</v>
      </c>
      <c r="C1701" s="5" t="s">
        <v>27788</v>
      </c>
      <c r="D1701" s="5" t="s">
        <v>27794</v>
      </c>
      <c r="E1701" s="2">
        <v>4955336</v>
      </c>
      <c r="F1701" s="4" t="str">
        <f>IF(B1701=B1700,"",B1701)</f>
        <v/>
      </c>
    </row>
    <row r="1702" spans="1:6" ht="15.75" customHeight="1">
      <c r="A1702" s="5" t="str">
        <f ca="1">IFERROR(__xludf.DUMMYFUNCTION("GOOGLETRANSLATE(B30346,""en"",""pt"")"),"Weymouth")</f>
        <v>Weymouth</v>
      </c>
      <c r="B1702" s="17" t="s">
        <v>27752</v>
      </c>
      <c r="C1702" s="17" t="s">
        <v>27234</v>
      </c>
      <c r="D1702" s="17" t="s">
        <v>27241</v>
      </c>
      <c r="E1702" s="10">
        <v>2634202</v>
      </c>
      <c r="F1702" s="4" t="str">
        <f>IF(B1702=B1701,"",B1702)</f>
        <v/>
      </c>
    </row>
    <row r="1703" spans="1:6" ht="15.75" customHeight="1">
      <c r="A1703" s="5" t="str">
        <f ca="1">IFERROR(__xludf.DUMMYFUNCTION("GOOGLETRANSLATE(B44043,""en"",""pt"")"),"Weymouth")</f>
        <v>Weymouth</v>
      </c>
      <c r="B1703" s="17" t="s">
        <v>27752</v>
      </c>
      <c r="C1703" s="17" t="s">
        <v>27788</v>
      </c>
      <c r="D1703" s="17" t="s">
        <v>27794</v>
      </c>
      <c r="E1703" s="10">
        <v>4955336</v>
      </c>
      <c r="F1703" s="4" t="str">
        <f>IF(B1703=B1702,"",B1703)</f>
        <v/>
      </c>
    </row>
    <row r="1704" spans="1:6" ht="15.75" customHeight="1">
      <c r="A1704" s="5" t="s">
        <v>27751</v>
      </c>
      <c r="B1704" s="6" t="s">
        <v>27751</v>
      </c>
      <c r="C1704" s="5" t="s">
        <v>27234</v>
      </c>
      <c r="D1704" s="5" t="s">
        <v>27241</v>
      </c>
      <c r="E1704" s="2">
        <v>2634204</v>
      </c>
      <c r="F1704" s="4" t="str">
        <f>IF(B1704=B1703,"",B1704)</f>
        <v>Weybridge</v>
      </c>
    </row>
    <row r="1705" spans="1:6" ht="15.75" customHeight="1">
      <c r="A1705" s="5" t="str">
        <f ca="1">IFERROR(__xludf.DUMMYFUNCTION("GOOGLETRANSLATE(B30347,""en"",""pt"")"),"Weybridge")</f>
        <v>Weybridge</v>
      </c>
      <c r="B1705" s="17" t="s">
        <v>27751</v>
      </c>
      <c r="C1705" s="17" t="s">
        <v>27234</v>
      </c>
      <c r="D1705" s="17" t="s">
        <v>27241</v>
      </c>
      <c r="E1705" s="10">
        <v>2634204</v>
      </c>
      <c r="F1705" s="4" t="str">
        <f>IF(B1705=B1704,"",B1705)</f>
        <v/>
      </c>
    </row>
    <row r="1706" spans="1:6" ht="15.75" customHeight="1">
      <c r="A1706" s="6" t="s">
        <v>20429</v>
      </c>
      <c r="B1706" s="6" t="s">
        <v>20429</v>
      </c>
      <c r="C1706" s="6" t="s">
        <v>20406</v>
      </c>
      <c r="D1706" s="6" t="s">
        <v>20430</v>
      </c>
      <c r="E1706" s="2">
        <v>2083537</v>
      </c>
      <c r="F1706" s="4" t="str">
        <f>IF(B1706=B1705,"",B1706)</f>
        <v>Wewak</v>
      </c>
    </row>
    <row r="1707" spans="1:6" ht="15.75" customHeight="1">
      <c r="A1707" s="5" t="str">
        <f ca="1">IFERROR(__xludf.DUMMYFUNCTION("GOOGLETRANSLATE(B38411,""en"",""pt"")"),"Wewak")</f>
        <v>Wewak</v>
      </c>
      <c r="B1707" s="17" t="s">
        <v>20429</v>
      </c>
      <c r="C1707" s="17" t="s">
        <v>20406</v>
      </c>
      <c r="D1707" s="17" t="s">
        <v>20430</v>
      </c>
      <c r="E1707" s="10">
        <v>2083537</v>
      </c>
      <c r="F1707" s="4" t="str">
        <f>IF(B1707=B1706,"",B1707)</f>
        <v/>
      </c>
    </row>
    <row r="1708" spans="1:6" ht="15.75" customHeight="1">
      <c r="A1708" s="5" t="s">
        <v>1719</v>
      </c>
      <c r="B1708" s="6" t="s">
        <v>1719</v>
      </c>
      <c r="C1708" s="5" t="s">
        <v>1512</v>
      </c>
      <c r="D1708" s="5" t="s">
        <v>1513</v>
      </c>
      <c r="E1708" s="2">
        <v>2783759</v>
      </c>
      <c r="F1708" s="4" t="str">
        <f>IF(B1708=B1707,"",B1708)</f>
        <v>Wevelgem</v>
      </c>
    </row>
    <row r="1709" spans="1:6" ht="15.75" customHeight="1">
      <c r="A1709" s="5" t="str">
        <f ca="1">IFERROR(__xludf.DUMMYFUNCTION("GOOGLETRANSLATE(B23802,""en"",""pt"")"),"Wevelgem")</f>
        <v>Wevelgem</v>
      </c>
      <c r="B1709" s="17" t="s">
        <v>1719</v>
      </c>
      <c r="C1709" s="17" t="s">
        <v>1512</v>
      </c>
      <c r="D1709" s="17" t="s">
        <v>1513</v>
      </c>
      <c r="E1709" s="10">
        <v>2783759</v>
      </c>
      <c r="F1709" s="4" t="str">
        <f>IF(B1709=B1708,"",B1709)</f>
        <v/>
      </c>
    </row>
    <row r="1710" spans="1:6" ht="15.75" customHeight="1">
      <c r="A1710" s="6" t="s">
        <v>9319</v>
      </c>
      <c r="B1710" s="6" t="s">
        <v>9319</v>
      </c>
      <c r="C1710" s="6" t="s">
        <v>8028</v>
      </c>
      <c r="D1710" s="6" t="s">
        <v>8050</v>
      </c>
      <c r="E1710" s="2">
        <v>2809889</v>
      </c>
      <c r="F1710" s="4" t="str">
        <f>IF(B1710=B1709,"",B1710)</f>
        <v>Wetzlar</v>
      </c>
    </row>
    <row r="1711" spans="1:6" ht="15.75" customHeight="1">
      <c r="A1711" s="5" t="str">
        <f ca="1">IFERROR(__xludf.DUMMYFUNCTION("GOOGLETRANSLATE(B27385,""en"",""pt"")"),"Wetzlar")</f>
        <v>Wetzlar</v>
      </c>
      <c r="B1711" s="17" t="s">
        <v>9319</v>
      </c>
      <c r="C1711" s="17" t="s">
        <v>8028</v>
      </c>
      <c r="D1711" s="17" t="s">
        <v>8050</v>
      </c>
      <c r="E1711" s="10">
        <v>2809889</v>
      </c>
      <c r="F1711" s="4" t="str">
        <f>IF(B1711=B1710,"",B1711)</f>
        <v/>
      </c>
    </row>
    <row r="1712" spans="1:6" ht="15.75" customHeight="1">
      <c r="A1712" s="5" t="s">
        <v>25318</v>
      </c>
      <c r="B1712" s="6" t="s">
        <v>25318</v>
      </c>
      <c r="C1712" s="5" t="s">
        <v>25237</v>
      </c>
      <c r="D1712" s="5" t="s">
        <v>25238</v>
      </c>
      <c r="E1712" s="2">
        <v>2658011</v>
      </c>
      <c r="F1712" s="4" t="str">
        <f>IF(B1712=B1711,"",B1712)</f>
        <v>Wettingen</v>
      </c>
    </row>
    <row r="1713" spans="1:6" ht="15.75" customHeight="1">
      <c r="A1713" s="5" t="str">
        <f ca="1">IFERROR(__xludf.DUMMYFUNCTION("GOOGLETRANSLATE(B25747,""en"",""pt"")"),"Wettingen")</f>
        <v>Wettingen</v>
      </c>
      <c r="B1713" s="17" t="s">
        <v>25318</v>
      </c>
      <c r="C1713" s="17" t="s">
        <v>25237</v>
      </c>
      <c r="D1713" s="17" t="s">
        <v>25238</v>
      </c>
      <c r="E1713" s="10">
        <v>2658011</v>
      </c>
      <c r="F1713" s="4" t="str">
        <f>IF(B1713=B1712,"",B1713)</f>
        <v/>
      </c>
    </row>
    <row r="1714" spans="1:6" ht="15.75" customHeight="1">
      <c r="A1714" s="6" t="s">
        <v>1717</v>
      </c>
      <c r="B1714" s="6" t="s">
        <v>1718</v>
      </c>
      <c r="C1714" s="6" t="s">
        <v>1512</v>
      </c>
      <c r="D1714" s="6" t="s">
        <v>1513</v>
      </c>
      <c r="E1714" s="2">
        <v>2783763</v>
      </c>
      <c r="F1714" s="4" t="str">
        <f>IF(B1714=B1713,"",B1714)</f>
        <v>Wetteren</v>
      </c>
    </row>
    <row r="1715" spans="1:6" ht="15.75" customHeight="1">
      <c r="A1715" s="5" t="str">
        <f ca="1">IFERROR(__xludf.DUMMYFUNCTION("GOOGLETRANSLATE(B23803,""en"",""pt"")"),"Úmido")</f>
        <v>Úmido</v>
      </c>
      <c r="B1715" s="17" t="s">
        <v>1718</v>
      </c>
      <c r="C1715" s="17" t="s">
        <v>1512</v>
      </c>
      <c r="D1715" s="17" t="s">
        <v>1513</v>
      </c>
      <c r="E1715" s="10">
        <v>2783763</v>
      </c>
      <c r="F1715" s="4" t="str">
        <f>IF(B1715=B1714,"",B1715)</f>
        <v/>
      </c>
    </row>
    <row r="1716" spans="1:6" ht="15.75" customHeight="1">
      <c r="A1716" s="5" t="s">
        <v>9317</v>
      </c>
      <c r="B1716" s="6" t="s">
        <v>9318</v>
      </c>
      <c r="C1716" s="5" t="s">
        <v>8028</v>
      </c>
      <c r="D1716" s="5" t="s">
        <v>8029</v>
      </c>
      <c r="E1716" s="2">
        <v>2809984</v>
      </c>
      <c r="F1716" s="4" t="str">
        <f>IF(B1716=B1715,"",B1716)</f>
        <v>Wetter (Ruhr)</v>
      </c>
    </row>
    <row r="1717" spans="1:6" ht="15.75" customHeight="1">
      <c r="A1717" s="5" t="str">
        <f ca="1">IFERROR(__xludf.DUMMYFUNCTION("GOOGLETRANSLATE(B27386,""en"",""pt"")"),"Mais úmido (Ruhr)")</f>
        <v>Mais úmido (Ruhr)</v>
      </c>
      <c r="B1717" s="17" t="s">
        <v>9318</v>
      </c>
      <c r="C1717" s="17" t="s">
        <v>8028</v>
      </c>
      <c r="D1717" s="17" t="s">
        <v>8029</v>
      </c>
      <c r="E1717" s="10">
        <v>2809984</v>
      </c>
      <c r="F1717" s="4" t="str">
        <f>IF(B1717=B1716,"",B1717)</f>
        <v/>
      </c>
    </row>
    <row r="1718" spans="1:6" ht="15.75" customHeight="1">
      <c r="A1718" s="5" t="s">
        <v>30388</v>
      </c>
      <c r="B1718" s="6" t="s">
        <v>30388</v>
      </c>
      <c r="C1718" s="5" t="s">
        <v>27788</v>
      </c>
      <c r="D1718" s="5" t="s">
        <v>27876</v>
      </c>
      <c r="E1718" s="2">
        <v>4845612</v>
      </c>
      <c r="F1718" s="4" t="str">
        <f>IF(B1718=B1717,"",B1718)</f>
        <v>Wethersfield</v>
      </c>
    </row>
    <row r="1719" spans="1:6" ht="15.75" customHeight="1">
      <c r="A1719" s="5" t="str">
        <f ca="1">IFERROR(__xludf.DUMMYFUNCTION("GOOGLETRANSLATE(B43728,""en"",""pt"")"),"Wethersfield")</f>
        <v>Wethersfield</v>
      </c>
      <c r="B1719" s="17" t="s">
        <v>30388</v>
      </c>
      <c r="C1719" s="17" t="s">
        <v>27788</v>
      </c>
      <c r="D1719" s="17" t="s">
        <v>27876</v>
      </c>
      <c r="E1719" s="10">
        <v>4845612</v>
      </c>
      <c r="F1719" s="4" t="str">
        <f>IF(B1719=B1718,"",B1719)</f>
        <v/>
      </c>
    </row>
    <row r="1720" spans="1:6" ht="15.75" customHeight="1">
      <c r="A1720" s="6" t="s">
        <v>25766</v>
      </c>
      <c r="B1720" s="6" t="s">
        <v>25766</v>
      </c>
      <c r="C1720" s="6" t="s">
        <v>25560</v>
      </c>
      <c r="D1720" s="6" t="s">
        <v>25767</v>
      </c>
      <c r="E1720" s="2">
        <v>148842</v>
      </c>
      <c r="F1720" s="4" t="str">
        <f>IF(B1720=B1719,"",B1720)</f>
        <v>Wete</v>
      </c>
    </row>
    <row r="1721" spans="1:6" ht="15.75" customHeight="1">
      <c r="A1721" s="5" t="str">
        <f ca="1">IFERROR(__xludf.DUMMYFUNCTION("GOOGLETRANSLATE(B42282,""en"",""pt"")"),"Wete")</f>
        <v>Wete</v>
      </c>
      <c r="B1721" s="17" t="s">
        <v>25766</v>
      </c>
      <c r="C1721" s="17" t="s">
        <v>25560</v>
      </c>
      <c r="D1721" s="17" t="s">
        <v>25767</v>
      </c>
      <c r="E1721" s="10">
        <v>148842</v>
      </c>
      <c r="F1721" s="4" t="str">
        <f>IF(B1721=B1720,"",B1721)</f>
        <v/>
      </c>
    </row>
    <row r="1722" spans="1:6" ht="15.75" customHeight="1">
      <c r="A1722" s="6" t="s">
        <v>30387</v>
      </c>
      <c r="B1722" s="6" t="s">
        <v>30387</v>
      </c>
      <c r="C1722" s="6" t="s">
        <v>27788</v>
      </c>
      <c r="D1722" s="6" t="s">
        <v>27876</v>
      </c>
      <c r="E1722" s="2">
        <v>4845585</v>
      </c>
      <c r="F1722" s="4" t="str">
        <f>IF(B1722=B1721,"",B1722)</f>
        <v>Westport</v>
      </c>
    </row>
    <row r="1723" spans="1:6" ht="15.75" customHeight="1">
      <c r="A1723" s="5" t="str">
        <f ca="1">IFERROR(__xludf.DUMMYFUNCTION("GOOGLETRANSLATE(B43727,""en"",""pt"")"),"Westport")</f>
        <v>Westport</v>
      </c>
      <c r="B1723" s="17" t="s">
        <v>30387</v>
      </c>
      <c r="C1723" s="17" t="s">
        <v>27788</v>
      </c>
      <c r="D1723" s="17" t="s">
        <v>27876</v>
      </c>
      <c r="E1723" s="10">
        <v>4845585</v>
      </c>
      <c r="F1723" s="4" t="str">
        <f>IF(B1723=B1722,"",B1723)</f>
        <v/>
      </c>
    </row>
    <row r="1724" spans="1:6" ht="15.75" customHeight="1">
      <c r="A1724" s="5" t="s">
        <v>27749</v>
      </c>
      <c r="B1724" s="6" t="s">
        <v>27750</v>
      </c>
      <c r="C1724" s="5" t="s">
        <v>27234</v>
      </c>
      <c r="D1724" s="5" t="s">
        <v>27241</v>
      </c>
      <c r="E1724" s="2">
        <v>2634308</v>
      </c>
      <c r="F1724" s="4" t="str">
        <f>IF(B1724=B1723,"",B1724)</f>
        <v>Weston-super-Mare</v>
      </c>
    </row>
    <row r="1725" spans="1:6" ht="15.75" customHeight="1">
      <c r="A1725" s="5" t="str">
        <f ca="1">IFERROR(__xludf.DUMMYFUNCTION("GOOGLETRANSLATE(B30348,""en"",""pt"")"),"Weston-Super-Mare")</f>
        <v>Weston-Super-Mare</v>
      </c>
      <c r="B1725" s="17" t="s">
        <v>27750</v>
      </c>
      <c r="C1725" s="17" t="s">
        <v>27234</v>
      </c>
      <c r="D1725" s="17" t="s">
        <v>27241</v>
      </c>
      <c r="E1725" s="10">
        <v>2634308</v>
      </c>
      <c r="F1725" s="4" t="str">
        <f>IF(B1725=B1724,"",B1725)</f>
        <v/>
      </c>
    </row>
    <row r="1726" spans="1:6" ht="15.75" customHeight="1">
      <c r="A1726" s="5" t="s">
        <v>24014</v>
      </c>
      <c r="B1726" s="6" t="s">
        <v>24014</v>
      </c>
      <c r="C1726" s="5" t="s">
        <v>23842</v>
      </c>
      <c r="D1726" s="5" t="s">
        <v>23855</v>
      </c>
      <c r="E1726" s="2">
        <v>940316</v>
      </c>
      <c r="F1726" s="4" t="str">
        <f>IF(B1726=B1725,"",B1726)</f>
        <v>Westonaria</v>
      </c>
    </row>
    <row r="1727" spans="1:6" ht="15.75" customHeight="1">
      <c r="A1727" s="5" t="str">
        <f ca="1">IFERROR(__xludf.DUMMYFUNCTION("GOOGLETRANSLATE(B45847,""en"",""pt"")"),"Westonaria")</f>
        <v>Westonaria</v>
      </c>
      <c r="B1727" s="17" t="s">
        <v>24014</v>
      </c>
      <c r="C1727" s="17" t="s">
        <v>23842</v>
      </c>
      <c r="D1727" s="17" t="s">
        <v>23855</v>
      </c>
      <c r="E1727" s="10">
        <v>940316</v>
      </c>
      <c r="F1727" s="4" t="str">
        <f>IF(B1727=B1726,"",B1727)</f>
        <v/>
      </c>
    </row>
    <row r="1728" spans="1:6" ht="15.75" customHeight="1">
      <c r="A1728" s="6" t="s">
        <v>30386</v>
      </c>
      <c r="B1728" s="6" t="s">
        <v>30386</v>
      </c>
      <c r="C1728" s="6" t="s">
        <v>27788</v>
      </c>
      <c r="D1728" s="6" t="s">
        <v>5468</v>
      </c>
      <c r="E1728" s="2">
        <v>4178003</v>
      </c>
      <c r="F1728" s="4" t="str">
        <f>IF(B1728=B1727,"",B1728)</f>
        <v>Weston</v>
      </c>
    </row>
    <row r="1729" spans="1:6" ht="15.75" customHeight="1">
      <c r="A1729" s="5" t="str">
        <f ca="1">IFERROR(__xludf.DUMMYFUNCTION("GOOGLETRANSLATE(B43051,""en"",""pt"")"),"Weston")</f>
        <v>Weston</v>
      </c>
      <c r="B1729" s="17" t="s">
        <v>30386</v>
      </c>
      <c r="C1729" s="17" t="s">
        <v>27788</v>
      </c>
      <c r="D1729" s="17" t="s">
        <v>5468</v>
      </c>
      <c r="E1729" s="10">
        <v>4178003</v>
      </c>
      <c r="F1729" s="4" t="str">
        <f>IF(B1729=B1728,"",B1729)</f>
        <v/>
      </c>
    </row>
    <row r="1730" spans="1:6" ht="15.75" customHeight="1">
      <c r="A1730" s="5" t="s">
        <v>4242</v>
      </c>
      <c r="B1730" s="6" t="s">
        <v>4242</v>
      </c>
      <c r="C1730" s="5" t="s">
        <v>3975</v>
      </c>
      <c r="D1730" s="5" t="s">
        <v>3982</v>
      </c>
      <c r="E1730" s="2">
        <v>6179226</v>
      </c>
      <c r="F1730" s="4" t="str">
        <f>IF(B1730=B1729,"",B1730)</f>
        <v>Westmount</v>
      </c>
    </row>
    <row r="1731" spans="1:6" ht="15.75" customHeight="1">
      <c r="A1731" s="5" t="str">
        <f ca="1">IFERROR(__xludf.DUMMYFUNCTION("GOOGLETRANSLATE(B25612,""en"",""pt"")"),"Westmount")</f>
        <v>Westmount</v>
      </c>
      <c r="B1731" s="17" t="s">
        <v>4242</v>
      </c>
      <c r="C1731" s="17" t="s">
        <v>3975</v>
      </c>
      <c r="D1731" s="17" t="s">
        <v>3982</v>
      </c>
      <c r="E1731" s="10">
        <v>6179226</v>
      </c>
      <c r="F1731" s="4" t="str">
        <f>IF(B1731=B1730,"",B1731)</f>
        <v/>
      </c>
    </row>
    <row r="1732" spans="1:6" ht="15.75" customHeight="1">
      <c r="A1732" s="5" t="s">
        <v>30385</v>
      </c>
      <c r="B1732" s="6" t="s">
        <v>30385</v>
      </c>
      <c r="C1732" s="5" t="s">
        <v>27788</v>
      </c>
      <c r="D1732" s="5" t="s">
        <v>27799</v>
      </c>
      <c r="E1732" s="2">
        <v>4916207</v>
      </c>
      <c r="F1732" s="4" t="str">
        <f>IF(B1732=B1731,"",B1732)</f>
        <v>Westmont</v>
      </c>
    </row>
    <row r="1733" spans="1:6" ht="15.75" customHeight="1">
      <c r="A1733" s="5" t="s">
        <v>30385</v>
      </c>
      <c r="B1733" s="6" t="s">
        <v>30385</v>
      </c>
      <c r="C1733" s="5" t="s">
        <v>27788</v>
      </c>
      <c r="D1733" s="5" t="s">
        <v>27801</v>
      </c>
      <c r="E1733" s="2">
        <v>5408431</v>
      </c>
      <c r="F1733" s="4" t="str">
        <f>IF(B1733=B1732,"",B1733)</f>
        <v/>
      </c>
    </row>
    <row r="1734" spans="1:6" ht="15.75" customHeight="1">
      <c r="A1734" s="5" t="str">
        <f ca="1">IFERROR(__xludf.DUMMYFUNCTION("GOOGLETRANSLATE(B43899,""en"",""pt"")"),"Westmont")</f>
        <v>Westmont</v>
      </c>
      <c r="B1734" s="17" t="s">
        <v>30385</v>
      </c>
      <c r="C1734" s="17" t="s">
        <v>27788</v>
      </c>
      <c r="D1734" s="17" t="s">
        <v>27799</v>
      </c>
      <c r="E1734" s="10">
        <v>4916207</v>
      </c>
      <c r="F1734" s="4" t="str">
        <f>IF(B1734=B1733,"",B1734)</f>
        <v/>
      </c>
    </row>
    <row r="1735" spans="1:6" ht="15.75" customHeight="1">
      <c r="A1735" s="5" t="str">
        <f ca="1">IFERROR(__xludf.DUMMYFUNCTION("GOOGLETRANSLATE(B45076,""en"",""pt"")"),"Westmont")</f>
        <v>Westmont</v>
      </c>
      <c r="B1735" s="17" t="s">
        <v>30385</v>
      </c>
      <c r="C1735" s="17" t="s">
        <v>27788</v>
      </c>
      <c r="D1735" s="17" t="s">
        <v>27801</v>
      </c>
      <c r="E1735" s="10">
        <v>5408431</v>
      </c>
      <c r="F1735" s="4" t="str">
        <f>IF(B1735=B1734,"",B1735)</f>
        <v/>
      </c>
    </row>
    <row r="1736" spans="1:6" ht="15.75" customHeight="1">
      <c r="A1736" s="5" t="s">
        <v>30384</v>
      </c>
      <c r="B1736" s="6" t="s">
        <v>30384</v>
      </c>
      <c r="C1736" s="5" t="s">
        <v>27788</v>
      </c>
      <c r="D1736" s="5" t="s">
        <v>17061</v>
      </c>
      <c r="E1736" s="2">
        <v>4373238</v>
      </c>
      <c r="F1736" s="4" t="str">
        <f>IF(B1736=B1735,"",B1736)</f>
        <v>Westminster</v>
      </c>
    </row>
    <row r="1737" spans="1:6" ht="15.75" customHeight="1">
      <c r="A1737" s="5" t="s">
        <v>30384</v>
      </c>
      <c r="B1737" s="6" t="s">
        <v>30384</v>
      </c>
      <c r="C1737" s="5" t="s">
        <v>27788</v>
      </c>
      <c r="D1737" s="5" t="s">
        <v>27801</v>
      </c>
      <c r="E1737" s="2">
        <v>5408406</v>
      </c>
      <c r="F1737" s="4" t="str">
        <f>IF(B1737=B1736,"",B1737)</f>
        <v/>
      </c>
    </row>
    <row r="1738" spans="1:6" ht="15.75" customHeight="1">
      <c r="A1738" s="5" t="s">
        <v>30384</v>
      </c>
      <c r="B1738" s="6" t="s">
        <v>30384</v>
      </c>
      <c r="C1738" s="5" t="s">
        <v>27788</v>
      </c>
      <c r="D1738" s="5" t="s">
        <v>2341</v>
      </c>
      <c r="E1738" s="2">
        <v>5443910</v>
      </c>
      <c r="F1738" s="4" t="str">
        <f>IF(B1738=B1737,"",B1738)</f>
        <v/>
      </c>
    </row>
    <row r="1739" spans="1:6" ht="15.75" customHeight="1">
      <c r="A1739" s="5" t="str">
        <f ca="1">IFERROR(__xludf.DUMMYFUNCTION("GOOGLETRANSLATE(B43343,""en"",""pt"")"),"Westminster")</f>
        <v>Westminster</v>
      </c>
      <c r="B1739" s="17" t="s">
        <v>30384</v>
      </c>
      <c r="C1739" s="17" t="s">
        <v>27788</v>
      </c>
      <c r="D1739" s="17" t="s">
        <v>17061</v>
      </c>
      <c r="E1739" s="10">
        <v>4373238</v>
      </c>
      <c r="F1739" s="4" t="str">
        <f>IF(B1739=B1738,"",B1739)</f>
        <v/>
      </c>
    </row>
    <row r="1740" spans="1:6" ht="15.75" customHeight="1">
      <c r="A1740" s="5" t="str">
        <f ca="1">IFERROR(__xludf.DUMMYFUNCTION("GOOGLETRANSLATE(B45075,""en"",""pt"")"),"Westminster")</f>
        <v>Westminster</v>
      </c>
      <c r="B1740" s="17" t="s">
        <v>30384</v>
      </c>
      <c r="C1740" s="17" t="s">
        <v>27788</v>
      </c>
      <c r="D1740" s="17" t="s">
        <v>27801</v>
      </c>
      <c r="E1740" s="10">
        <v>5408406</v>
      </c>
      <c r="F1740" s="4" t="str">
        <f>IF(B1740=B1739,"",B1740)</f>
        <v/>
      </c>
    </row>
    <row r="1741" spans="1:6" ht="15.75" customHeight="1">
      <c r="A1741" s="5" t="str">
        <f ca="1">IFERROR(__xludf.DUMMYFUNCTION("GOOGLETRANSLATE(B45121,""en"",""pt"")"),"Westminster")</f>
        <v>Westminster</v>
      </c>
      <c r="B1741" s="17" t="s">
        <v>30384</v>
      </c>
      <c r="C1741" s="17" t="s">
        <v>27788</v>
      </c>
      <c r="D1741" s="17" t="s">
        <v>2341</v>
      </c>
      <c r="E1741" s="10">
        <v>5443910</v>
      </c>
      <c r="F1741" s="4" t="str">
        <f>IF(B1741=B1740,"",B1741)</f>
        <v/>
      </c>
    </row>
    <row r="1742" spans="1:6" ht="15.75" customHeight="1">
      <c r="A1742" s="6" t="s">
        <v>30383</v>
      </c>
      <c r="B1742" s="6" t="s">
        <v>30383</v>
      </c>
      <c r="C1742" s="6" t="s">
        <v>27788</v>
      </c>
      <c r="D1742" s="6" t="s">
        <v>27804</v>
      </c>
      <c r="E1742" s="2">
        <v>5014681</v>
      </c>
      <c r="F1742" s="4" t="str">
        <f>IF(B1742=B1741,"",B1742)</f>
        <v>Westland</v>
      </c>
    </row>
    <row r="1743" spans="1:6" ht="15.75" customHeight="1">
      <c r="A1743" s="5" t="str">
        <f ca="1">IFERROR(__xludf.DUMMYFUNCTION("GOOGLETRANSLATE(B44134,""en"",""pt"")"),"Westland")</f>
        <v>Westland</v>
      </c>
      <c r="B1743" s="17" t="s">
        <v>30383</v>
      </c>
      <c r="C1743" s="17" t="s">
        <v>27788</v>
      </c>
      <c r="D1743" s="17" t="s">
        <v>27804</v>
      </c>
      <c r="E1743" s="10">
        <v>5014681</v>
      </c>
      <c r="F1743" s="4" t="str">
        <f>IF(B1743=B1742,"",B1743)</f>
        <v/>
      </c>
    </row>
    <row r="1744" spans="1:6" ht="15.75" customHeight="1">
      <c r="A1744" s="5" t="s">
        <v>30381</v>
      </c>
      <c r="B1744" s="6" t="s">
        <v>30382</v>
      </c>
      <c r="C1744" s="5" t="s">
        <v>27788</v>
      </c>
      <c r="D1744" s="5" t="s">
        <v>27813</v>
      </c>
      <c r="E1744" s="2">
        <v>5176517</v>
      </c>
      <c r="F1744" s="4" t="str">
        <f>IF(B1744=B1743,"",B1744)</f>
        <v>Westlake</v>
      </c>
    </row>
    <row r="1745" spans="1:6" ht="15.75" customHeight="1">
      <c r="A1745" s="5" t="str">
        <f ca="1">IFERROR(__xludf.DUMMYFUNCTION("GOOGLETRANSLATE(B44556,""en"",""pt"")"),"Lago Oeste")</f>
        <v>Lago Oeste</v>
      </c>
      <c r="B1745" s="17" t="s">
        <v>30382</v>
      </c>
      <c r="C1745" s="17" t="s">
        <v>27788</v>
      </c>
      <c r="D1745" s="17" t="s">
        <v>27813</v>
      </c>
      <c r="E1745" s="10">
        <v>5176517</v>
      </c>
      <c r="F1745" s="4" t="str">
        <f>IF(B1745=B1744,"",B1745)</f>
        <v/>
      </c>
    </row>
    <row r="1746" spans="1:6" ht="15.75" customHeight="1">
      <c r="A1746" s="5" t="s">
        <v>27748</v>
      </c>
      <c r="B1746" s="6" t="s">
        <v>27748</v>
      </c>
      <c r="C1746" s="5" t="s">
        <v>27234</v>
      </c>
      <c r="D1746" s="5" t="s">
        <v>27241</v>
      </c>
      <c r="E1746" s="2">
        <v>2634387</v>
      </c>
      <c r="F1746" s="4" t="str">
        <f>IF(B1746=B1745,"",B1746)</f>
        <v>Westhoughton</v>
      </c>
    </row>
    <row r="1747" spans="1:6" ht="15.75" customHeight="1">
      <c r="A1747" s="5" t="str">
        <f ca="1">IFERROR(__xludf.DUMMYFUNCTION("GOOGLETRANSLATE(B30350,""en"",""pt"")"),"Westhoughton")</f>
        <v>Westhoughton</v>
      </c>
      <c r="B1747" s="17" t="s">
        <v>27748</v>
      </c>
      <c r="C1747" s="17" t="s">
        <v>27234</v>
      </c>
      <c r="D1747" s="17" t="s">
        <v>27241</v>
      </c>
      <c r="E1747" s="10">
        <v>2634387</v>
      </c>
      <c r="F1747" s="4" t="str">
        <f>IF(B1747=B1746,"",B1747)</f>
        <v/>
      </c>
    </row>
    <row r="1748" spans="1:6" ht="15.75" customHeight="1">
      <c r="A1748" s="6" t="s">
        <v>30380</v>
      </c>
      <c r="B1748" s="6" t="s">
        <v>30380</v>
      </c>
      <c r="C1748" s="6" t="s">
        <v>27788</v>
      </c>
      <c r="D1748" s="6" t="s">
        <v>27794</v>
      </c>
      <c r="E1748" s="2">
        <v>4955219</v>
      </c>
      <c r="F1748" s="4" t="str">
        <f>IF(B1748=B1747,"",B1748)</f>
        <v>Westford</v>
      </c>
    </row>
    <row r="1749" spans="1:6" ht="15.75" customHeight="1">
      <c r="A1749" s="5" t="str">
        <f ca="1">IFERROR(__xludf.DUMMYFUNCTION("GOOGLETRANSLATE(B44042,""en"",""pt"")"),"Westford")</f>
        <v>Westford</v>
      </c>
      <c r="B1749" s="17" t="s">
        <v>30380</v>
      </c>
      <c r="C1749" s="17" t="s">
        <v>27788</v>
      </c>
      <c r="D1749" s="17" t="s">
        <v>27794</v>
      </c>
      <c r="E1749" s="10">
        <v>4955219</v>
      </c>
      <c r="F1749" s="4" t="str">
        <f>IF(B1749=B1748,"",B1749)</f>
        <v/>
      </c>
    </row>
    <row r="1750" spans="1:6" ht="15.75" customHeight="1">
      <c r="A1750" s="6" t="s">
        <v>30379</v>
      </c>
      <c r="B1750" s="6" t="s">
        <v>30379</v>
      </c>
      <c r="C1750" s="6" t="s">
        <v>27788</v>
      </c>
      <c r="D1750" s="6" t="s">
        <v>27869</v>
      </c>
      <c r="E1750" s="2">
        <v>4928118</v>
      </c>
      <c r="F1750" s="4" t="str">
        <f>IF(B1750=B1749,"",B1750)</f>
        <v>Westfield</v>
      </c>
    </row>
    <row r="1751" spans="1:6" ht="15.75" customHeight="1">
      <c r="A1751" s="6" t="s">
        <v>30379</v>
      </c>
      <c r="B1751" s="6" t="s">
        <v>30379</v>
      </c>
      <c r="C1751" s="6" t="s">
        <v>27788</v>
      </c>
      <c r="D1751" s="6" t="s">
        <v>27794</v>
      </c>
      <c r="E1751" s="2">
        <v>4955190</v>
      </c>
      <c r="F1751" s="4" t="str">
        <f>IF(B1751=B1750,"",B1751)</f>
        <v/>
      </c>
    </row>
    <row r="1752" spans="1:6" ht="15.75" customHeight="1">
      <c r="A1752" s="6" t="s">
        <v>30379</v>
      </c>
      <c r="B1752" s="6" t="s">
        <v>30379</v>
      </c>
      <c r="C1752" s="6" t="s">
        <v>27788</v>
      </c>
      <c r="D1752" s="6" t="s">
        <v>27905</v>
      </c>
      <c r="E1752" s="2">
        <v>5106331</v>
      </c>
      <c r="F1752" s="4" t="str">
        <f>IF(B1752=B1751,"",B1752)</f>
        <v/>
      </c>
    </row>
    <row r="1753" spans="1:6" ht="15.75" customHeight="1">
      <c r="A1753" s="5" t="str">
        <f ca="1">IFERROR(__xludf.DUMMYFUNCTION("GOOGLETRANSLATE(B43940,""en"",""pt"")"),"Westfield")</f>
        <v>Westfield</v>
      </c>
      <c r="B1753" s="17" t="s">
        <v>30379</v>
      </c>
      <c r="C1753" s="17" t="s">
        <v>27788</v>
      </c>
      <c r="D1753" s="17" t="s">
        <v>27869</v>
      </c>
      <c r="E1753" s="10">
        <v>4928118</v>
      </c>
      <c r="F1753" s="4" t="str">
        <f>IF(B1753=B1752,"",B1753)</f>
        <v/>
      </c>
    </row>
    <row r="1754" spans="1:6" ht="15.75" customHeight="1">
      <c r="A1754" s="5" t="str">
        <f ca="1">IFERROR(__xludf.DUMMYFUNCTION("GOOGLETRANSLATE(B44041,""en"",""pt"")"),"Westfield")</f>
        <v>Westfield</v>
      </c>
      <c r="B1754" s="17" t="s">
        <v>30379</v>
      </c>
      <c r="C1754" s="17" t="s">
        <v>27788</v>
      </c>
      <c r="D1754" s="17" t="s">
        <v>27794</v>
      </c>
      <c r="E1754" s="10">
        <v>4955190</v>
      </c>
      <c r="F1754" s="4" t="str">
        <f>IF(B1754=B1753,"",B1754)</f>
        <v/>
      </c>
    </row>
    <row r="1755" spans="1:6" ht="15.75" customHeight="1">
      <c r="A1755" s="5" t="str">
        <f ca="1">IFERROR(__xludf.DUMMYFUNCTION("GOOGLETRANSLATE(B44326,""en"",""pt"")"),"Westfield")</f>
        <v>Westfield</v>
      </c>
      <c r="B1755" s="17" t="s">
        <v>30379</v>
      </c>
      <c r="C1755" s="17" t="s">
        <v>27788</v>
      </c>
      <c r="D1755" s="17" t="s">
        <v>27905</v>
      </c>
      <c r="E1755" s="10">
        <v>5106331</v>
      </c>
      <c r="F1755" s="4" t="str">
        <f>IF(B1755=B1754,"",B1755)</f>
        <v/>
      </c>
    </row>
    <row r="1756" spans="1:6" ht="15.75" customHeight="1">
      <c r="A1756" s="5" t="s">
        <v>19138</v>
      </c>
      <c r="B1756" s="6" t="s">
        <v>19138</v>
      </c>
      <c r="C1756" s="5" t="s">
        <v>18862</v>
      </c>
      <c r="D1756" s="5" t="s">
        <v>18865</v>
      </c>
      <c r="E1756" s="2">
        <v>2744675</v>
      </c>
      <c r="F1756" s="4" t="str">
        <f>IF(B1756=B1755,"",B1756)</f>
        <v>Westervoort</v>
      </c>
    </row>
    <row r="1757" spans="1:6" ht="15.75" customHeight="1">
      <c r="A1757" s="5" t="str">
        <f ca="1">IFERROR(__xludf.DUMMYFUNCTION("GOOGLETRANSLATE(B37906,""en"",""pt"")"),"Westervoort")</f>
        <v>Westervoort</v>
      </c>
      <c r="B1757" s="17" t="s">
        <v>19138</v>
      </c>
      <c r="C1757" s="17" t="s">
        <v>18862</v>
      </c>
      <c r="D1757" s="17" t="s">
        <v>18865</v>
      </c>
      <c r="E1757" s="10">
        <v>2744675</v>
      </c>
      <c r="F1757" s="4" t="str">
        <f>IF(B1757=B1756,"",B1757)</f>
        <v/>
      </c>
    </row>
    <row r="1758" spans="1:6" ht="15.75" customHeight="1">
      <c r="A1758" s="5" t="s">
        <v>30378</v>
      </c>
      <c r="B1758" s="6" t="s">
        <v>30378</v>
      </c>
      <c r="C1758" s="5" t="s">
        <v>27788</v>
      </c>
      <c r="D1758" s="5" t="s">
        <v>27813</v>
      </c>
      <c r="E1758" s="2">
        <v>5176472</v>
      </c>
      <c r="F1758" s="4" t="str">
        <f>IF(B1758=B1757,"",B1758)</f>
        <v>Westerville</v>
      </c>
    </row>
    <row r="1759" spans="1:6" ht="15.75" customHeight="1">
      <c r="A1759" s="5" t="str">
        <f ca="1">IFERROR(__xludf.DUMMYFUNCTION("GOOGLETRANSLATE(B44555,""en"",""pt"")"),"Westerville")</f>
        <v>Westerville</v>
      </c>
      <c r="B1759" s="17" t="s">
        <v>30378</v>
      </c>
      <c r="C1759" s="17" t="s">
        <v>27788</v>
      </c>
      <c r="D1759" s="17" t="s">
        <v>27813</v>
      </c>
      <c r="E1759" s="10">
        <v>5176472</v>
      </c>
      <c r="F1759" s="4" t="str">
        <f>IF(B1759=B1758,"",B1759)</f>
        <v/>
      </c>
    </row>
    <row r="1760" spans="1:6" ht="15.75" customHeight="1">
      <c r="A1760" s="5" t="s">
        <v>9316</v>
      </c>
      <c r="B1760" s="6" t="s">
        <v>9316</v>
      </c>
      <c r="C1760" s="5" t="s">
        <v>8028</v>
      </c>
      <c r="D1760" s="5" t="s">
        <v>8034</v>
      </c>
      <c r="E1760" s="2">
        <v>2810188</v>
      </c>
      <c r="F1760" s="4" t="str">
        <f>IF(B1760=B1759,"",B1760)</f>
        <v>Westerstede</v>
      </c>
    </row>
    <row r="1761" spans="1:6" ht="15.75" customHeight="1">
      <c r="A1761" s="5" t="str">
        <f ca="1">IFERROR(__xludf.DUMMYFUNCTION("GOOGLETRANSLATE(B27387,""en"",""pt"")"),"Westerstede")</f>
        <v>Westerstede</v>
      </c>
      <c r="B1761" s="17" t="s">
        <v>9316</v>
      </c>
      <c r="C1761" s="17" t="s">
        <v>8028</v>
      </c>
      <c r="D1761" s="17" t="s">
        <v>8034</v>
      </c>
      <c r="E1761" s="10">
        <v>2810188</v>
      </c>
      <c r="F1761" s="4" t="str">
        <f>IF(B1761=B1760,"",B1761)</f>
        <v/>
      </c>
    </row>
    <row r="1762" spans="1:6" ht="15.75" customHeight="1">
      <c r="A1762" s="6" t="s">
        <v>30376</v>
      </c>
      <c r="B1762" s="6" t="s">
        <v>30377</v>
      </c>
      <c r="C1762" s="6" t="s">
        <v>27788</v>
      </c>
      <c r="D1762" s="6" t="s">
        <v>27951</v>
      </c>
      <c r="E1762" s="2">
        <v>5225631</v>
      </c>
      <c r="F1762" s="4" t="str">
        <f>IF(B1762=B1761,"",B1762)</f>
        <v>Westerly</v>
      </c>
    </row>
    <row r="1763" spans="1:6" ht="15.75" customHeight="1">
      <c r="A1763" s="5" t="str">
        <f ca="1">IFERROR(__xludf.DUMMYFUNCTION("GOOGLETRANSLATE(B44621,""en"",""pt"")"),"De oeste")</f>
        <v>De oeste</v>
      </c>
      <c r="B1763" s="17" t="s">
        <v>30377</v>
      </c>
      <c r="C1763" s="17" t="s">
        <v>27788</v>
      </c>
      <c r="D1763" s="17" t="s">
        <v>27951</v>
      </c>
      <c r="E1763" s="10">
        <v>5225631</v>
      </c>
      <c r="F1763" s="4" t="str">
        <f>IF(B1763=B1762,"",B1763)</f>
        <v/>
      </c>
    </row>
    <row r="1764" spans="1:6" ht="15.75" customHeight="1">
      <c r="A1764" s="6" t="s">
        <v>1716</v>
      </c>
      <c r="B1764" s="6" t="s">
        <v>1716</v>
      </c>
      <c r="C1764" s="6" t="s">
        <v>1512</v>
      </c>
      <c r="D1764" s="6" t="s">
        <v>1513</v>
      </c>
      <c r="E1764" s="2">
        <v>2783801</v>
      </c>
      <c r="F1764" s="4" t="str">
        <f>IF(B1764=B1763,"",B1764)</f>
        <v>Westerlo</v>
      </c>
    </row>
    <row r="1765" spans="1:6" ht="15.75" customHeight="1">
      <c r="A1765" s="5" t="str">
        <f ca="1">IFERROR(__xludf.DUMMYFUNCTION("GOOGLETRANSLATE(B23804,""en"",""pt"")"),"Westerlo")</f>
        <v>Westerlo</v>
      </c>
      <c r="B1765" s="17" t="s">
        <v>1716</v>
      </c>
      <c r="C1765" s="17" t="s">
        <v>1512</v>
      </c>
      <c r="D1765" s="17" t="s">
        <v>1513</v>
      </c>
      <c r="E1765" s="10">
        <v>2783801</v>
      </c>
      <c r="F1765" s="4" t="str">
        <f>IF(B1765=B1764,"",B1765)</f>
        <v/>
      </c>
    </row>
    <row r="1766" spans="1:6" ht="15.75" customHeight="1">
      <c r="A1766" s="5" t="s">
        <v>9314</v>
      </c>
      <c r="B1766" s="6" t="s">
        <v>9315</v>
      </c>
      <c r="C1766" s="5" t="s">
        <v>8028</v>
      </c>
      <c r="D1766" s="5" t="s">
        <v>8036</v>
      </c>
      <c r="E1766" s="2">
        <v>2810538</v>
      </c>
      <c r="F1766" s="4" t="str">
        <f>IF(B1766=B1765,"",B1766)</f>
        <v>Westend</v>
      </c>
    </row>
    <row r="1767" spans="1:6" ht="15.75" customHeight="1">
      <c r="A1767" s="5" t="str">
        <f ca="1">IFERROR(__xludf.DUMMYFUNCTION("GOOGLETRANSLATE(B27388,""en"",""pt"")"),"Extremo oeste")</f>
        <v>Extremo oeste</v>
      </c>
      <c r="B1767" s="17" t="s">
        <v>9315</v>
      </c>
      <c r="C1767" s="17" t="s">
        <v>8028</v>
      </c>
      <c r="D1767" s="17" t="s">
        <v>8036</v>
      </c>
      <c r="E1767" s="10">
        <v>2810538</v>
      </c>
      <c r="F1767" s="4" t="str">
        <f>IF(B1767=B1766,"",B1767)</f>
        <v/>
      </c>
    </row>
    <row r="1768" spans="1:6" ht="15.75" customHeight="1">
      <c r="A1768" s="5" t="s">
        <v>30375</v>
      </c>
      <c r="B1768" s="6" t="s">
        <v>30375</v>
      </c>
      <c r="C1768" s="5" t="s">
        <v>27788</v>
      </c>
      <c r="D1768" s="5" t="s">
        <v>5468</v>
      </c>
      <c r="E1768" s="2">
        <v>4177965</v>
      </c>
      <c r="F1768" s="4" t="str">
        <f>IF(B1768=B1767,"",B1768)</f>
        <v>Westchester</v>
      </c>
    </row>
    <row r="1769" spans="1:6" ht="15.75" customHeight="1">
      <c r="A1769" s="5" t="s">
        <v>30375</v>
      </c>
      <c r="B1769" s="6" t="s">
        <v>30375</v>
      </c>
      <c r="C1769" s="5" t="s">
        <v>27788</v>
      </c>
      <c r="D1769" s="5" t="s">
        <v>27799</v>
      </c>
      <c r="E1769" s="2">
        <v>4916140</v>
      </c>
      <c r="F1769" s="4" t="str">
        <f>IF(B1769=B1768,"",B1769)</f>
        <v/>
      </c>
    </row>
    <row r="1770" spans="1:6" ht="15.75" customHeight="1">
      <c r="A1770" s="5" t="str">
        <f ca="1">IFERROR(__xludf.DUMMYFUNCTION("GOOGLETRANSLATE(B43050,""en"",""pt"")"),"Westchester")</f>
        <v>Westchester</v>
      </c>
      <c r="B1770" s="17" t="s">
        <v>30375</v>
      </c>
      <c r="C1770" s="17" t="s">
        <v>27788</v>
      </c>
      <c r="D1770" s="17" t="s">
        <v>5468</v>
      </c>
      <c r="E1770" s="10">
        <v>4177965</v>
      </c>
      <c r="F1770" s="4" t="str">
        <f>IF(B1770=B1769,"",B1770)</f>
        <v/>
      </c>
    </row>
    <row r="1771" spans="1:6" ht="15.75" customHeight="1">
      <c r="A1771" s="5" t="str">
        <f ca="1">IFERROR(__xludf.DUMMYFUNCTION("GOOGLETRANSLATE(B43898,""en"",""pt"")"),"Westchester")</f>
        <v>Westchester</v>
      </c>
      <c r="B1771" s="17" t="s">
        <v>30375</v>
      </c>
      <c r="C1771" s="17" t="s">
        <v>27788</v>
      </c>
      <c r="D1771" s="17" t="s">
        <v>27799</v>
      </c>
      <c r="E1771" s="10">
        <v>4916140</v>
      </c>
      <c r="F1771" s="4" t="str">
        <f>IF(B1771=B1770,"",B1771)</f>
        <v/>
      </c>
    </row>
    <row r="1772" spans="1:6" ht="15.75" customHeight="1">
      <c r="A1772" s="5" t="s">
        <v>30374</v>
      </c>
      <c r="B1772" s="6" t="s">
        <v>30374</v>
      </c>
      <c r="C1772" s="5" t="s">
        <v>27788</v>
      </c>
      <c r="D1772" s="5" t="s">
        <v>5468</v>
      </c>
      <c r="E1772" s="2">
        <v>4177779</v>
      </c>
      <c r="F1772" s="4" t="str">
        <f>IF(B1772=B1771,"",B1772)</f>
        <v>Westchase</v>
      </c>
    </row>
    <row r="1773" spans="1:6" ht="15.75" customHeight="1">
      <c r="A1773" s="5" t="str">
        <f ca="1">IFERROR(__xludf.DUMMYFUNCTION("GOOGLETRANSLATE(B43044,""en"",""pt"")"),"Westchase")</f>
        <v>Westchase</v>
      </c>
      <c r="B1773" s="17" t="s">
        <v>30374</v>
      </c>
      <c r="C1773" s="17" t="s">
        <v>27788</v>
      </c>
      <c r="D1773" s="17" t="s">
        <v>5468</v>
      </c>
      <c r="E1773" s="10">
        <v>4177779</v>
      </c>
      <c r="F1773" s="4" t="str">
        <f>IF(B1773=B1772,"",B1773)</f>
        <v/>
      </c>
    </row>
    <row r="1774" spans="1:6" ht="15.75" customHeight="1">
      <c r="A1774" s="6" t="s">
        <v>30373</v>
      </c>
      <c r="B1774" s="6" t="s">
        <v>30373</v>
      </c>
      <c r="C1774" s="6" t="s">
        <v>27788</v>
      </c>
      <c r="D1774" s="6" t="s">
        <v>27819</v>
      </c>
      <c r="E1774" s="2">
        <v>5144040</v>
      </c>
      <c r="F1774" s="4" t="str">
        <f>IF(B1774=B1773,"",B1774)</f>
        <v>Westbury</v>
      </c>
    </row>
    <row r="1775" spans="1:6" ht="15.75" customHeight="1">
      <c r="A1775" s="5" t="str">
        <f ca="1">IFERROR(__xludf.DUMMYFUNCTION("GOOGLETRANSLATE(B44470,""en"",""pt"")"),"Westbury")</f>
        <v>Westbury</v>
      </c>
      <c r="B1775" s="17" t="s">
        <v>30373</v>
      </c>
      <c r="C1775" s="17" t="s">
        <v>27788</v>
      </c>
      <c r="D1775" s="17" t="s">
        <v>27819</v>
      </c>
      <c r="E1775" s="10">
        <v>5144040</v>
      </c>
      <c r="F1775" s="4" t="str">
        <f>IF(B1775=B1774,"",B1775)</f>
        <v/>
      </c>
    </row>
    <row r="1776" spans="1:6" ht="15.75" customHeight="1">
      <c r="A1776" s="5" t="s">
        <v>30372</v>
      </c>
      <c r="B1776" s="6" t="s">
        <v>30372</v>
      </c>
      <c r="C1776" s="5" t="s">
        <v>27788</v>
      </c>
      <c r="D1776" s="5" t="s">
        <v>27920</v>
      </c>
      <c r="E1776" s="2">
        <v>4982753</v>
      </c>
      <c r="F1776" s="4" t="str">
        <f>IF(B1776=B1775,"",B1776)</f>
        <v>Westbrook</v>
      </c>
    </row>
    <row r="1777" spans="1:6" ht="15.75" customHeight="1">
      <c r="A1777" s="5" t="str">
        <f ca="1">IFERROR(__xludf.DUMMYFUNCTION("GOOGLETRANSLATE(B44062,""en"",""pt"")"),"Westbrook")</f>
        <v>Westbrook</v>
      </c>
      <c r="B1777" s="17" t="s">
        <v>30372</v>
      </c>
      <c r="C1777" s="17" t="s">
        <v>27788</v>
      </c>
      <c r="D1777" s="17" t="s">
        <v>27920</v>
      </c>
      <c r="E1777" s="10">
        <v>4982753</v>
      </c>
      <c r="F1777" s="4" t="str">
        <f>IF(B1777=B1776,"",B1777)</f>
        <v/>
      </c>
    </row>
    <row r="1778" spans="1:6" ht="15.75" customHeight="1">
      <c r="A1778" s="5" t="s">
        <v>30371</v>
      </c>
      <c r="B1778" s="6" t="s">
        <v>30371</v>
      </c>
      <c r="C1778" s="5" t="s">
        <v>27788</v>
      </c>
      <c r="D1778" s="5" t="s">
        <v>27801</v>
      </c>
      <c r="E1778" s="2">
        <v>7262518</v>
      </c>
      <c r="F1778" s="4" t="str">
        <f>IF(B1778=B1777,"",B1778)</f>
        <v>West Whittier-Los Nietos</v>
      </c>
    </row>
    <row r="1779" spans="1:6" ht="15.75" customHeight="1">
      <c r="A1779" s="5" t="str">
        <f ca="1">IFERROR(__xludf.DUMMYFUNCTION("GOOGLETRANSLATE(B45452,""en"",""pt"")"),"West Whittier-Los Nietos")</f>
        <v>West Whittier-Los Nietos</v>
      </c>
      <c r="B1779" s="17" t="s">
        <v>30371</v>
      </c>
      <c r="C1779" s="17" t="s">
        <v>27788</v>
      </c>
      <c r="D1779" s="17" t="s">
        <v>27801</v>
      </c>
      <c r="E1779" s="10">
        <v>7262518</v>
      </c>
      <c r="F1779" s="4" t="str">
        <f>IF(B1779=B1778,"",B1779)</f>
        <v/>
      </c>
    </row>
    <row r="1780" spans="1:6" ht="15.75" customHeight="1">
      <c r="A1780" s="5" t="s">
        <v>30370</v>
      </c>
      <c r="B1780" s="6" t="s">
        <v>30370</v>
      </c>
      <c r="C1780" s="5" t="s">
        <v>27788</v>
      </c>
      <c r="D1780" s="5" t="s">
        <v>27951</v>
      </c>
      <c r="E1780" s="2">
        <v>5225627</v>
      </c>
      <c r="F1780" s="4" t="str">
        <f>IF(B1780=B1779,"",B1780)</f>
        <v>West Warwick</v>
      </c>
    </row>
    <row r="1781" spans="1:6" ht="15.75" customHeight="1">
      <c r="A1781" s="5" t="str">
        <f ca="1">IFERROR(__xludf.DUMMYFUNCTION("GOOGLETRANSLATE(B44620,""en"",""pt"")"),"West Warwick")</f>
        <v>West Warwick</v>
      </c>
      <c r="B1781" s="17" t="s">
        <v>30370</v>
      </c>
      <c r="C1781" s="17" t="s">
        <v>27788</v>
      </c>
      <c r="D1781" s="17" t="s">
        <v>27951</v>
      </c>
      <c r="E1781" s="10">
        <v>5225627</v>
      </c>
      <c r="F1781" s="4" t="str">
        <f>IF(B1781=B1780,"",B1781)</f>
        <v/>
      </c>
    </row>
    <row r="1782" spans="1:6" ht="15.75" customHeight="1">
      <c r="A1782" s="5" t="s">
        <v>4241</v>
      </c>
      <c r="B1782" s="6" t="s">
        <v>4241</v>
      </c>
      <c r="C1782" s="5" t="s">
        <v>3975</v>
      </c>
      <c r="D1782" s="5" t="s">
        <v>3976</v>
      </c>
      <c r="E1782" s="2">
        <v>8533869</v>
      </c>
      <c r="F1782" s="4" t="str">
        <f>IF(B1782=B1781,"",B1782)</f>
        <v>West Vancouver</v>
      </c>
    </row>
    <row r="1783" spans="1:6" ht="15.75" customHeight="1">
      <c r="A1783" s="5" t="str">
        <f ca="1">IFERROR(__xludf.DUMMYFUNCTION("GOOGLETRANSLATE(B25640,""en"",""pt"")"),"West Vancouver")</f>
        <v>West Vancouver</v>
      </c>
      <c r="B1783" s="17" t="s">
        <v>4241</v>
      </c>
      <c r="C1783" s="17" t="s">
        <v>3975</v>
      </c>
      <c r="D1783" s="17" t="s">
        <v>3976</v>
      </c>
      <c r="E1783" s="10">
        <v>8533869</v>
      </c>
      <c r="F1783" s="4" t="str">
        <f>IF(B1783=B1782,"",B1783)</f>
        <v/>
      </c>
    </row>
    <row r="1784" spans="1:6" ht="15.75" customHeight="1">
      <c r="A1784" s="5" t="s">
        <v>30369</v>
      </c>
      <c r="B1784" s="6" t="s">
        <v>30369</v>
      </c>
      <c r="C1784" s="5" t="s">
        <v>27788</v>
      </c>
      <c r="D1784" s="5" t="s">
        <v>27856</v>
      </c>
      <c r="E1784" s="2">
        <v>5784607</v>
      </c>
      <c r="F1784" s="4" t="str">
        <f>IF(B1784=B1783,"",B1784)</f>
        <v>West Valley City</v>
      </c>
    </row>
    <row r="1785" spans="1:6" ht="15.75" customHeight="1">
      <c r="A1785" s="5" t="str">
        <f ca="1">IFERROR(__xludf.DUMMYFUNCTION("GOOGLETRANSLATE(B45312,""en"",""pt"")"),"West Valley City")</f>
        <v>West Valley City</v>
      </c>
      <c r="B1785" s="17" t="s">
        <v>30369</v>
      </c>
      <c r="C1785" s="17" t="s">
        <v>27788</v>
      </c>
      <c r="D1785" s="17" t="s">
        <v>27856</v>
      </c>
      <c r="E1785" s="10">
        <v>5784607</v>
      </c>
      <c r="F1785" s="4" t="str">
        <f>IF(B1785=B1784,"",B1785)</f>
        <v/>
      </c>
    </row>
    <row r="1786" spans="1:6" ht="15.75" customHeight="1">
      <c r="A1786" s="5" t="s">
        <v>30368</v>
      </c>
      <c r="B1786" s="6" t="s">
        <v>30368</v>
      </c>
      <c r="C1786" s="5" t="s">
        <v>27788</v>
      </c>
      <c r="D1786" s="5" t="s">
        <v>27876</v>
      </c>
      <c r="E1786" s="2">
        <v>4845519</v>
      </c>
      <c r="F1786" s="4" t="str">
        <f>IF(B1786=B1785,"",B1786)</f>
        <v>West Torrington</v>
      </c>
    </row>
    <row r="1787" spans="1:6" ht="15.75" customHeight="1">
      <c r="A1787" s="5" t="str">
        <f ca="1">IFERROR(__xludf.DUMMYFUNCTION("GOOGLETRANSLATE(B43726,""en"",""pt"")"),"West Torrington")</f>
        <v>West Torrington</v>
      </c>
      <c r="B1787" s="17" t="s">
        <v>30368</v>
      </c>
      <c r="C1787" s="17" t="s">
        <v>27788</v>
      </c>
      <c r="D1787" s="17" t="s">
        <v>27876</v>
      </c>
      <c r="E1787" s="10">
        <v>4845519</v>
      </c>
      <c r="F1787" s="4" t="str">
        <f>IF(B1787=B1786,"",B1787)</f>
        <v/>
      </c>
    </row>
    <row r="1788" spans="1:6" ht="15.75" customHeight="1">
      <c r="A1788" s="5" t="s">
        <v>30367</v>
      </c>
      <c r="B1788" s="6" t="s">
        <v>30367</v>
      </c>
      <c r="C1788" s="5" t="s">
        <v>27788</v>
      </c>
      <c r="D1788" s="5" t="s">
        <v>27794</v>
      </c>
      <c r="E1788" s="2">
        <v>4955089</v>
      </c>
      <c r="F1788" s="4" t="str">
        <f>IF(B1788=B1787,"",B1788)</f>
        <v>West Springfield</v>
      </c>
    </row>
    <row r="1789" spans="1:6" ht="15.75" customHeight="1">
      <c r="A1789" s="5" t="str">
        <f ca="1">IFERROR(__xludf.DUMMYFUNCTION("GOOGLETRANSLATE(B44040,""en"",""pt"")"),"West Springfield")</f>
        <v>West Springfield</v>
      </c>
      <c r="B1789" s="17" t="s">
        <v>30367</v>
      </c>
      <c r="C1789" s="17" t="s">
        <v>27788</v>
      </c>
      <c r="D1789" s="17" t="s">
        <v>27794</v>
      </c>
      <c r="E1789" s="10">
        <v>4955089</v>
      </c>
      <c r="F1789" s="4" t="str">
        <f>IF(B1789=B1788,"",B1789)</f>
        <v/>
      </c>
    </row>
    <row r="1790" spans="1:6" ht="15.75" customHeight="1">
      <c r="A1790" s="5" t="s">
        <v>30366</v>
      </c>
      <c r="B1790" s="6" t="s">
        <v>30366</v>
      </c>
      <c r="C1790" s="5" t="s">
        <v>27788</v>
      </c>
      <c r="D1790" s="5" t="s">
        <v>27819</v>
      </c>
      <c r="E1790" s="2">
        <v>5143992</v>
      </c>
      <c r="F1790" s="4" t="str">
        <f>IF(B1790=B1789,"",B1790)</f>
        <v>West Seneca</v>
      </c>
    </row>
    <row r="1791" spans="1:6" ht="15.75" customHeight="1">
      <c r="A1791" s="5" t="str">
        <f ca="1">IFERROR(__xludf.DUMMYFUNCTION("GOOGLETRANSLATE(B44469,""en"",""pt"")"),"West Seneca")</f>
        <v>West Seneca</v>
      </c>
      <c r="B1791" s="17" t="s">
        <v>30366</v>
      </c>
      <c r="C1791" s="17" t="s">
        <v>27788</v>
      </c>
      <c r="D1791" s="17" t="s">
        <v>27819</v>
      </c>
      <c r="E1791" s="10">
        <v>5143992</v>
      </c>
      <c r="F1791" s="4" t="str">
        <f>IF(B1791=B1790,"",B1791)</f>
        <v/>
      </c>
    </row>
    <row r="1792" spans="1:6" ht="15.75" customHeight="1">
      <c r="A1792" s="5" t="s">
        <v>30365</v>
      </c>
      <c r="B1792" s="6" t="s">
        <v>30365</v>
      </c>
      <c r="C1792" s="5" t="s">
        <v>27788</v>
      </c>
      <c r="D1792" s="5" t="s">
        <v>27920</v>
      </c>
      <c r="E1792" s="2">
        <v>4982720</v>
      </c>
      <c r="F1792" s="4" t="str">
        <f>IF(B1792=B1791,"",B1792)</f>
        <v>West Scarborough</v>
      </c>
    </row>
    <row r="1793" spans="1:6" ht="15.75" customHeight="1">
      <c r="A1793" s="5" t="str">
        <f ca="1">IFERROR(__xludf.DUMMYFUNCTION("GOOGLETRANSLATE(B44061,""en"",""pt"")"),"West Scarborough")</f>
        <v>West Scarborough</v>
      </c>
      <c r="B1793" s="17" t="s">
        <v>30365</v>
      </c>
      <c r="C1793" s="17" t="s">
        <v>27788</v>
      </c>
      <c r="D1793" s="17" t="s">
        <v>27920</v>
      </c>
      <c r="E1793" s="10">
        <v>4982720</v>
      </c>
      <c r="F1793" s="4" t="str">
        <f>IF(B1793=B1792,"",B1793)</f>
        <v/>
      </c>
    </row>
    <row r="1794" spans="1:6" ht="15.75" customHeight="1">
      <c r="A1794" s="5" t="s">
        <v>30363</v>
      </c>
      <c r="B1794" s="6" t="s">
        <v>30364</v>
      </c>
      <c r="C1794" s="5" t="s">
        <v>27788</v>
      </c>
      <c r="D1794" s="5" t="s">
        <v>27824</v>
      </c>
      <c r="E1794" s="2">
        <v>5052467</v>
      </c>
      <c r="F1794" s="4" t="str">
        <f>IF(B1794=B1793,"",B1794)</f>
        <v>West Saint Paul</v>
      </c>
    </row>
    <row r="1795" spans="1:6" ht="15.75" customHeight="1">
      <c r="A1795" s="5" t="str">
        <f ca="1">IFERROR(__xludf.DUMMYFUNCTION("GOOGLETRANSLATE(B44204,""en"",""pt"")"),"SAINT OCIDENTE PAUL")</f>
        <v>SAINT OCIDENTE PAUL</v>
      </c>
      <c r="B1795" s="17" t="s">
        <v>30364</v>
      </c>
      <c r="C1795" s="17" t="s">
        <v>27788</v>
      </c>
      <c r="D1795" s="17" t="s">
        <v>27824</v>
      </c>
      <c r="E1795" s="10">
        <v>5052467</v>
      </c>
      <c r="F1795" s="4" t="str">
        <f>IF(B1795=B1794,"",B1795)</f>
        <v/>
      </c>
    </row>
    <row r="1796" spans="1:6" ht="15.75" customHeight="1">
      <c r="A1796" s="5" t="s">
        <v>30362</v>
      </c>
      <c r="B1796" s="6" t="s">
        <v>30362</v>
      </c>
      <c r="C1796" s="5" t="s">
        <v>27788</v>
      </c>
      <c r="D1796" s="5" t="s">
        <v>27801</v>
      </c>
      <c r="E1796" s="2">
        <v>5408211</v>
      </c>
      <c r="F1796" s="4" t="str">
        <f>IF(B1796=B1795,"",B1796)</f>
        <v>West Sacramento</v>
      </c>
    </row>
    <row r="1797" spans="1:6" ht="15.75" customHeight="1">
      <c r="A1797" s="5" t="str">
        <f ca="1">IFERROR(__xludf.DUMMYFUNCTION("GOOGLETRANSLATE(B45074,""en"",""pt"")"),"West Sacramento")</f>
        <v>West Sacramento</v>
      </c>
      <c r="B1797" s="17" t="s">
        <v>30362</v>
      </c>
      <c r="C1797" s="17" t="s">
        <v>27788</v>
      </c>
      <c r="D1797" s="17" t="s">
        <v>27801</v>
      </c>
      <c r="E1797" s="10">
        <v>5408211</v>
      </c>
      <c r="F1797" s="4" t="str">
        <f>IF(B1797=B1796,"",B1797)</f>
        <v/>
      </c>
    </row>
    <row r="1798" spans="1:6" ht="15.75" customHeight="1">
      <c r="A1798" s="5" t="s">
        <v>30361</v>
      </c>
      <c r="B1798" s="6" t="s">
        <v>30361</v>
      </c>
      <c r="C1798" s="5" t="s">
        <v>27788</v>
      </c>
      <c r="D1798" s="5" t="s">
        <v>27822</v>
      </c>
      <c r="E1798" s="2">
        <v>4498303</v>
      </c>
      <c r="F1798" s="4" t="str">
        <f>IF(B1798=B1797,"",B1798)</f>
        <v>West Raleigh</v>
      </c>
    </row>
    <row r="1799" spans="1:6" ht="15.75" customHeight="1">
      <c r="A1799" s="5" t="str">
        <f ca="1">IFERROR(__xludf.DUMMYFUNCTION("GOOGLETRANSLATE(B43482,""en"",""pt"")"),"West Raleigh")</f>
        <v>West Raleigh</v>
      </c>
      <c r="B1799" s="17" t="s">
        <v>30361</v>
      </c>
      <c r="C1799" s="17" t="s">
        <v>27788</v>
      </c>
      <c r="D1799" s="17" t="s">
        <v>27822</v>
      </c>
      <c r="E1799" s="10">
        <v>4498303</v>
      </c>
      <c r="F1799" s="4" t="str">
        <f>IF(B1799=B1798,"",B1799)</f>
        <v/>
      </c>
    </row>
    <row r="1800" spans="1:6" ht="15.75" customHeight="1">
      <c r="A1800" s="5" t="s">
        <v>30360</v>
      </c>
      <c r="B1800" s="6" t="s">
        <v>30360</v>
      </c>
      <c r="C1800" s="5" t="s">
        <v>27788</v>
      </c>
      <c r="D1800" s="5" t="s">
        <v>27801</v>
      </c>
      <c r="E1800" s="2">
        <v>5408191</v>
      </c>
      <c r="F1800" s="4" t="str">
        <f>IF(B1800=B1799,"",B1800)</f>
        <v>West Puente Valley</v>
      </c>
    </row>
    <row r="1801" spans="1:6" ht="15.75" customHeight="1">
      <c r="A1801" s="5" t="str">
        <f ca="1">IFERROR(__xludf.DUMMYFUNCTION("GOOGLETRANSLATE(B45073,""en"",""pt"")"),"West Puente Valley")</f>
        <v>West Puente Valley</v>
      </c>
      <c r="B1801" s="17" t="s">
        <v>30360</v>
      </c>
      <c r="C1801" s="17" t="s">
        <v>27788</v>
      </c>
      <c r="D1801" s="17" t="s">
        <v>27801</v>
      </c>
      <c r="E1801" s="10">
        <v>5408191</v>
      </c>
      <c r="F1801" s="4" t="str">
        <f>IF(B1801=B1800,"",B1801)</f>
        <v/>
      </c>
    </row>
    <row r="1802" spans="1:6" ht="15.75" customHeight="1">
      <c r="A1802" s="5" t="s">
        <v>30359</v>
      </c>
      <c r="B1802" s="6" t="s">
        <v>30359</v>
      </c>
      <c r="C1802" s="5" t="s">
        <v>27788</v>
      </c>
      <c r="D1802" s="5" t="s">
        <v>5468</v>
      </c>
      <c r="E1802" s="2">
        <v>4177908</v>
      </c>
      <c r="F1802" s="4" t="str">
        <f>IF(B1802=B1801,"",B1802)</f>
        <v>West Pensacola</v>
      </c>
    </row>
    <row r="1803" spans="1:6" ht="15.75" customHeight="1">
      <c r="A1803" s="5" t="str">
        <f ca="1">IFERROR(__xludf.DUMMYFUNCTION("GOOGLETRANSLATE(B43048,""en"",""pt"")"),"West Pensacola")</f>
        <v>West Pensacola</v>
      </c>
      <c r="B1803" s="17" t="s">
        <v>30359</v>
      </c>
      <c r="C1803" s="17" t="s">
        <v>27788</v>
      </c>
      <c r="D1803" s="17" t="s">
        <v>5468</v>
      </c>
      <c r="E1803" s="10">
        <v>4177908</v>
      </c>
      <c r="F1803" s="4" t="str">
        <f>IF(B1803=B1802,"",B1803)</f>
        <v/>
      </c>
    </row>
    <row r="1804" spans="1:6" ht="15.75" customHeight="1">
      <c r="A1804" s="5" t="s">
        <v>1108</v>
      </c>
      <c r="B1804" s="6" t="s">
        <v>1109</v>
      </c>
      <c r="C1804" s="5" t="s">
        <v>885</v>
      </c>
      <c r="D1804" s="5" t="s">
        <v>891</v>
      </c>
      <c r="E1804" s="2">
        <v>9972964</v>
      </c>
      <c r="F1804" s="4" t="str">
        <f>IF(B1804=B1803,"",B1804)</f>
        <v>West Pennant</v>
      </c>
    </row>
    <row r="1805" spans="1:6" ht="15.75" customHeight="1">
      <c r="A1805" s="5" t="str">
        <f ca="1">IFERROR(__xludf.DUMMYFUNCTION("GOOGLETRANSLATE(B23610,""en"",""pt"")"),"West Senannt")</f>
        <v>West Senannt</v>
      </c>
      <c r="B1805" s="17" t="s">
        <v>1109</v>
      </c>
      <c r="C1805" s="17" t="s">
        <v>885</v>
      </c>
      <c r="D1805" s="17" t="s">
        <v>891</v>
      </c>
      <c r="E1805" s="10">
        <v>9972964</v>
      </c>
      <c r="F1805" s="4" t="str">
        <f>IF(B1805=B1804,"",B1805)</f>
        <v/>
      </c>
    </row>
    <row r="1806" spans="1:6" ht="15.75" customHeight="1">
      <c r="A1806" s="5" t="s">
        <v>30358</v>
      </c>
      <c r="B1806" s="6" t="s">
        <v>30358</v>
      </c>
      <c r="C1806" s="5" t="s">
        <v>27788</v>
      </c>
      <c r="D1806" s="5" t="s">
        <v>5468</v>
      </c>
      <c r="E1806" s="2">
        <v>4177887</v>
      </c>
      <c r="F1806" s="4" t="str">
        <f>IF(B1806=B1805,"",B1806)</f>
        <v>West Palm Beach</v>
      </c>
    </row>
    <row r="1807" spans="1:6" ht="15.75" customHeight="1">
      <c r="A1807" s="5" t="str">
        <f ca="1">IFERROR(__xludf.DUMMYFUNCTION("GOOGLETRANSLATE(B43047,""en"",""pt"")"),"West Palm Beach")</f>
        <v>West Palm Beach</v>
      </c>
      <c r="B1807" s="17" t="s">
        <v>30358</v>
      </c>
      <c r="C1807" s="17" t="s">
        <v>27788</v>
      </c>
      <c r="D1807" s="17" t="s">
        <v>5468</v>
      </c>
      <c r="E1807" s="10">
        <v>4177887</v>
      </c>
      <c r="F1807" s="4" t="str">
        <f>IF(B1807=B1806,"",B1807)</f>
        <v/>
      </c>
    </row>
    <row r="1808" spans="1:6" ht="15.75" customHeight="1">
      <c r="A1808" s="5" t="s">
        <v>30357</v>
      </c>
      <c r="B1808" s="6" t="s">
        <v>30357</v>
      </c>
      <c r="C1808" s="5" t="s">
        <v>27788</v>
      </c>
      <c r="D1808" s="5" t="s">
        <v>27905</v>
      </c>
      <c r="E1808" s="2">
        <v>5106298</v>
      </c>
      <c r="F1808" s="4" t="str">
        <f>IF(B1808=B1807,"",B1808)</f>
        <v>West Orange</v>
      </c>
    </row>
    <row r="1809" spans="1:6" ht="15.75" customHeight="1">
      <c r="A1809" s="5" t="str">
        <f ca="1">IFERROR(__xludf.DUMMYFUNCTION("GOOGLETRANSLATE(B44325,""en"",""pt"")"),"West Orange")</f>
        <v>West Orange</v>
      </c>
      <c r="B1809" s="17" t="s">
        <v>30357</v>
      </c>
      <c r="C1809" s="17" t="s">
        <v>27788</v>
      </c>
      <c r="D1809" s="17" t="s">
        <v>27905</v>
      </c>
      <c r="E1809" s="10">
        <v>5106298</v>
      </c>
      <c r="F1809" s="4" t="str">
        <f>IF(B1809=B1808,"",B1809)</f>
        <v/>
      </c>
    </row>
    <row r="1810" spans="1:6" ht="15.75" customHeight="1">
      <c r="A1810" s="5" t="s">
        <v>30355</v>
      </c>
      <c r="B1810" s="6" t="s">
        <v>30356</v>
      </c>
      <c r="C1810" s="5" t="s">
        <v>27788</v>
      </c>
      <c r="D1810" s="5" t="s">
        <v>27792</v>
      </c>
      <c r="E1810" s="2">
        <v>5533366</v>
      </c>
      <c r="F1810" s="4" t="str">
        <f>IF(B1810=B1809,"",B1810)</f>
        <v>West Odessa</v>
      </c>
    </row>
    <row r="1811" spans="1:6" ht="15.75" customHeight="1">
      <c r="A1811" s="5" t="str">
        <f ca="1">IFERROR(__xludf.DUMMYFUNCTION("GOOGLETRANSLATE(B45171,""en"",""pt"")"),"Odessa Ocidental")</f>
        <v>Odessa Ocidental</v>
      </c>
      <c r="B1811" s="17" t="s">
        <v>30356</v>
      </c>
      <c r="C1811" s="17" t="s">
        <v>27788</v>
      </c>
      <c r="D1811" s="17" t="s">
        <v>27792</v>
      </c>
      <c r="E1811" s="10">
        <v>5533366</v>
      </c>
      <c r="F1811" s="4" t="str">
        <f>IF(B1811=B1810,"",B1811)</f>
        <v/>
      </c>
    </row>
    <row r="1812" spans="1:6" ht="15.75" customHeight="1">
      <c r="A1812" s="5" t="s">
        <v>30353</v>
      </c>
      <c r="B1812" s="6" t="s">
        <v>30354</v>
      </c>
      <c r="C1812" s="5" t="s">
        <v>27788</v>
      </c>
      <c r="D1812" s="5" t="s">
        <v>27905</v>
      </c>
      <c r="E1812" s="2">
        <v>5106292</v>
      </c>
      <c r="F1812" s="4" t="str">
        <f>IF(B1812=B1811,"",B1812)</f>
        <v>West New York</v>
      </c>
    </row>
    <row r="1813" spans="1:6" ht="15.75" customHeight="1">
      <c r="A1813" s="5" t="str">
        <f ca="1">IFERROR(__xludf.DUMMYFUNCTION("GOOGLETRANSLATE(B44324,""en"",""pt"")"),"Oeste de Nova York")</f>
        <v>Oeste de Nova York</v>
      </c>
      <c r="B1813" s="17" t="s">
        <v>30354</v>
      </c>
      <c r="C1813" s="17" t="s">
        <v>27788</v>
      </c>
      <c r="D1813" s="17" t="s">
        <v>27905</v>
      </c>
      <c r="E1813" s="10">
        <v>5106292</v>
      </c>
      <c r="F1813" s="4" t="str">
        <f>IF(B1813=B1812,"",B1813)</f>
        <v/>
      </c>
    </row>
    <row r="1814" spans="1:6" ht="15.75" customHeight="1">
      <c r="A1814" s="5" t="s">
        <v>27747</v>
      </c>
      <c r="B1814" s="6" t="s">
        <v>27747</v>
      </c>
      <c r="C1814" s="5" t="s">
        <v>27234</v>
      </c>
      <c r="D1814" s="5" t="s">
        <v>27241</v>
      </c>
      <c r="E1814" s="2">
        <v>2634340</v>
      </c>
      <c r="F1814" s="4" t="str">
        <f>IF(B1814=B1813,"",B1814)</f>
        <v>West Molesey</v>
      </c>
    </row>
    <row r="1815" spans="1:6" ht="15.75" customHeight="1">
      <c r="A1815" s="5" t="str">
        <f ca="1">IFERROR(__xludf.DUMMYFUNCTION("GOOGLETRANSLATE(B30349,""en"",""pt"")"),"West Molesey")</f>
        <v>West Molesey</v>
      </c>
      <c r="B1815" s="17" t="s">
        <v>27747</v>
      </c>
      <c r="C1815" s="17" t="s">
        <v>27234</v>
      </c>
      <c r="D1815" s="17" t="s">
        <v>27241</v>
      </c>
      <c r="E1815" s="10">
        <v>2634340</v>
      </c>
      <c r="F1815" s="4" t="str">
        <f>IF(B1815=B1814,"",B1815)</f>
        <v/>
      </c>
    </row>
    <row r="1816" spans="1:6" ht="15.75" customHeight="1">
      <c r="A1816" s="5" t="s">
        <v>30352</v>
      </c>
      <c r="B1816" s="6" t="s">
        <v>30352</v>
      </c>
      <c r="C1816" s="5" t="s">
        <v>27788</v>
      </c>
      <c r="D1816" s="5" t="s">
        <v>27905</v>
      </c>
      <c r="E1816" s="2">
        <v>5106279</v>
      </c>
      <c r="F1816" s="4" t="str">
        <f>IF(B1816=B1815,"",B1816)</f>
        <v>West Milford</v>
      </c>
    </row>
    <row r="1817" spans="1:6" ht="15.75" customHeight="1">
      <c r="A1817" s="5" t="str">
        <f ca="1">IFERROR(__xludf.DUMMYFUNCTION("GOOGLETRANSLATE(B44323,""en"",""pt"")"),"West Milford")</f>
        <v>West Milford</v>
      </c>
      <c r="B1817" s="17" t="s">
        <v>30352</v>
      </c>
      <c r="C1817" s="17" t="s">
        <v>27788</v>
      </c>
      <c r="D1817" s="17" t="s">
        <v>27905</v>
      </c>
      <c r="E1817" s="10">
        <v>5106279</v>
      </c>
      <c r="F1817" s="4" t="str">
        <f>IF(B1817=B1816,"",B1817)</f>
        <v/>
      </c>
    </row>
    <row r="1818" spans="1:6" ht="15.75" customHeight="1">
      <c r="A1818" s="5" t="s">
        <v>30351</v>
      </c>
      <c r="B1818" s="6" t="s">
        <v>30351</v>
      </c>
      <c r="C1818" s="5" t="s">
        <v>27788</v>
      </c>
      <c r="D1818" s="5" t="s">
        <v>27836</v>
      </c>
      <c r="E1818" s="2">
        <v>5218802</v>
      </c>
      <c r="F1818" s="4" t="str">
        <f>IF(B1818=B1817,"",B1818)</f>
        <v>West Mifflin</v>
      </c>
    </row>
    <row r="1819" spans="1:6" ht="15.75" customHeight="1">
      <c r="A1819" s="5" t="str">
        <f ca="1">IFERROR(__xludf.DUMMYFUNCTION("GOOGLETRANSLATE(B44598,""en"",""pt"")"),"West Mifflin")</f>
        <v>West Mifflin</v>
      </c>
      <c r="B1819" s="17" t="s">
        <v>30351</v>
      </c>
      <c r="C1819" s="17" t="s">
        <v>27788</v>
      </c>
      <c r="D1819" s="17" t="s">
        <v>27836</v>
      </c>
      <c r="E1819" s="10">
        <v>5218802</v>
      </c>
      <c r="F1819" s="4" t="str">
        <f>IF(B1819=B1818,"",B1819)</f>
        <v/>
      </c>
    </row>
    <row r="1820" spans="1:6" ht="15.75" customHeight="1">
      <c r="A1820" s="5" t="s">
        <v>30350</v>
      </c>
      <c r="B1820" s="6" t="s">
        <v>30350</v>
      </c>
      <c r="C1820" s="5" t="s">
        <v>27788</v>
      </c>
      <c r="D1820" s="5" t="s">
        <v>27991</v>
      </c>
      <c r="E1820" s="2">
        <v>4135865</v>
      </c>
      <c r="F1820" s="4" t="str">
        <f>IF(B1820=B1819,"",B1820)</f>
        <v>West Memphis</v>
      </c>
    </row>
    <row r="1821" spans="1:6" ht="15.75" customHeight="1">
      <c r="A1821" s="5" t="str">
        <f ca="1">IFERROR(__xludf.DUMMYFUNCTION("GOOGLETRANSLATE(B42832,""en"",""pt"")"),"West Memphis")</f>
        <v>West Memphis</v>
      </c>
      <c r="B1821" s="17" t="s">
        <v>30350</v>
      </c>
      <c r="C1821" s="17" t="s">
        <v>27788</v>
      </c>
      <c r="D1821" s="17" t="s">
        <v>27991</v>
      </c>
      <c r="E1821" s="10">
        <v>4135865</v>
      </c>
      <c r="F1821" s="4" t="str">
        <f>IF(B1821=B1820,"",B1821)</f>
        <v/>
      </c>
    </row>
    <row r="1822" spans="1:6" ht="15.75" customHeight="1">
      <c r="A1822" s="5" t="s">
        <v>30349</v>
      </c>
      <c r="B1822" s="6" t="s">
        <v>30349</v>
      </c>
      <c r="C1822" s="5" t="s">
        <v>27788</v>
      </c>
      <c r="D1822" s="5" t="s">
        <v>5468</v>
      </c>
      <c r="E1822" s="2">
        <v>4177872</v>
      </c>
      <c r="F1822" s="4" t="str">
        <f>IF(B1822=B1821,"",B1822)</f>
        <v>West Melbourne</v>
      </c>
    </row>
    <row r="1823" spans="1:6" ht="15.75" customHeight="1">
      <c r="A1823" s="5" t="str">
        <f ca="1">IFERROR(__xludf.DUMMYFUNCTION("GOOGLETRANSLATE(B43046,""en"",""pt"")"),"West Melbourne")</f>
        <v>West Melbourne</v>
      </c>
      <c r="B1823" s="17" t="s">
        <v>30349</v>
      </c>
      <c r="C1823" s="17" t="s">
        <v>27788</v>
      </c>
      <c r="D1823" s="17" t="s">
        <v>5468</v>
      </c>
      <c r="E1823" s="10">
        <v>4177872</v>
      </c>
      <c r="F1823" s="4" t="str">
        <f>IF(B1823=B1822,"",B1823)</f>
        <v/>
      </c>
    </row>
    <row r="1824" spans="1:6" ht="15.75" customHeight="1">
      <c r="A1824" s="5" t="s">
        <v>30348</v>
      </c>
      <c r="B1824" s="6" t="s">
        <v>30348</v>
      </c>
      <c r="C1824" s="5" t="s">
        <v>27788</v>
      </c>
      <c r="D1824" s="5" t="s">
        <v>5468</v>
      </c>
      <c r="E1824" s="2">
        <v>4177865</v>
      </c>
      <c r="F1824" s="4" t="str">
        <f>IF(B1824=B1823,"",B1824)</f>
        <v>West Little River</v>
      </c>
    </row>
    <row r="1825" spans="1:6" ht="15.75" customHeight="1">
      <c r="A1825" s="5" t="str">
        <f ca="1">IFERROR(__xludf.DUMMYFUNCTION("GOOGLETRANSLATE(B43045,""en"",""pt"")"),"West Little River")</f>
        <v>West Little River</v>
      </c>
      <c r="B1825" s="17" t="s">
        <v>30348</v>
      </c>
      <c r="C1825" s="17" t="s">
        <v>27788</v>
      </c>
      <c r="D1825" s="17" t="s">
        <v>5468</v>
      </c>
      <c r="E1825" s="10">
        <v>4177865</v>
      </c>
      <c r="F1825" s="4" t="str">
        <f>IF(B1825=B1824,"",B1825)</f>
        <v/>
      </c>
    </row>
    <row r="1826" spans="1:6" ht="15.75" customHeight="1">
      <c r="A1826" s="5" t="s">
        <v>30347</v>
      </c>
      <c r="B1826" s="6" t="s">
        <v>30347</v>
      </c>
      <c r="C1826" s="5" t="s">
        <v>27788</v>
      </c>
      <c r="D1826" s="5" t="s">
        <v>27820</v>
      </c>
      <c r="E1826" s="2">
        <v>5760009</v>
      </c>
      <c r="F1826" s="4" t="str">
        <f>IF(B1826=B1825,"",B1826)</f>
        <v>West Linn</v>
      </c>
    </row>
    <row r="1827" spans="1:6" ht="15.75" customHeight="1">
      <c r="A1827" s="5" t="str">
        <f ca="1">IFERROR(__xludf.DUMMYFUNCTION("GOOGLETRANSLATE(B45263,""en"",""pt"")"),"West Linn")</f>
        <v>West Linn</v>
      </c>
      <c r="B1827" s="17" t="s">
        <v>30347</v>
      </c>
      <c r="C1827" s="17" t="s">
        <v>27788</v>
      </c>
      <c r="D1827" s="17" t="s">
        <v>27820</v>
      </c>
      <c r="E1827" s="10">
        <v>5760009</v>
      </c>
      <c r="F1827" s="4" t="str">
        <f>IF(B1827=B1826,"",B1827)</f>
        <v/>
      </c>
    </row>
    <row r="1828" spans="1:6" ht="15.75" customHeight="1">
      <c r="A1828" s="5" t="s">
        <v>30346</v>
      </c>
      <c r="B1828" s="6" t="s">
        <v>30346</v>
      </c>
      <c r="C1828" s="5" t="s">
        <v>27788</v>
      </c>
      <c r="D1828" s="5" t="s">
        <v>27733</v>
      </c>
      <c r="E1828" s="2">
        <v>5815539</v>
      </c>
      <c r="F1828" s="4" t="str">
        <f>IF(B1828=B1827,"",B1828)</f>
        <v>West Lake Stevens</v>
      </c>
    </row>
    <row r="1829" spans="1:6" ht="15.75" customHeight="1">
      <c r="A1829" s="5" t="str">
        <f ca="1">IFERROR(__xludf.DUMMYFUNCTION("GOOGLETRANSLATE(B45390,""en"",""pt"")"),"West Lake Stevens")</f>
        <v>West Lake Stevens</v>
      </c>
      <c r="B1829" s="17" t="s">
        <v>30346</v>
      </c>
      <c r="C1829" s="17" t="s">
        <v>27788</v>
      </c>
      <c r="D1829" s="17" t="s">
        <v>27733</v>
      </c>
      <c r="E1829" s="10">
        <v>5815539</v>
      </c>
      <c r="F1829" s="4" t="str">
        <f>IF(B1829=B1828,"",B1829)</f>
        <v/>
      </c>
    </row>
    <row r="1830" spans="1:6" ht="15.75" customHeight="1">
      <c r="A1830" s="5" t="s">
        <v>30345</v>
      </c>
      <c r="B1830" s="6" t="s">
        <v>30345</v>
      </c>
      <c r="C1830" s="5" t="s">
        <v>27788</v>
      </c>
      <c r="D1830" s="5" t="s">
        <v>27733</v>
      </c>
      <c r="E1830" s="2">
        <v>5815538</v>
      </c>
      <c r="F1830" s="4" t="str">
        <f>IF(B1830=B1829,"",B1830)</f>
        <v>West Lake Sammamish</v>
      </c>
    </row>
    <row r="1831" spans="1:6" ht="15.75" customHeight="1">
      <c r="A1831" s="5" t="str">
        <f ca="1">IFERROR(__xludf.DUMMYFUNCTION("GOOGLETRANSLATE(B45389,""en"",""pt"")"),"West Lake Sammamish")</f>
        <v>West Lake Sammamish</v>
      </c>
      <c r="B1831" s="17" t="s">
        <v>30345</v>
      </c>
      <c r="C1831" s="17" t="s">
        <v>27788</v>
      </c>
      <c r="D1831" s="17" t="s">
        <v>27733</v>
      </c>
      <c r="E1831" s="10">
        <v>5815538</v>
      </c>
      <c r="F1831" s="4" t="str">
        <f>IF(B1831=B1830,"",B1831)</f>
        <v/>
      </c>
    </row>
    <row r="1832" spans="1:6" ht="15.75" customHeight="1">
      <c r="A1832" s="5" t="s">
        <v>30344</v>
      </c>
      <c r="B1832" s="6" t="s">
        <v>30344</v>
      </c>
      <c r="C1832" s="5" t="s">
        <v>27788</v>
      </c>
      <c r="D1832" s="5" t="s">
        <v>27869</v>
      </c>
      <c r="E1832" s="2">
        <v>4928096</v>
      </c>
      <c r="F1832" s="4" t="str">
        <f>IF(B1832=B1831,"",B1832)</f>
        <v>West Lafayette</v>
      </c>
    </row>
    <row r="1833" spans="1:6" ht="15.75" customHeight="1">
      <c r="A1833" s="5" t="str">
        <f ca="1">IFERROR(__xludf.DUMMYFUNCTION("GOOGLETRANSLATE(B43939,""en"",""pt"")"),"West Lafayette")</f>
        <v>West Lafayette</v>
      </c>
      <c r="B1833" s="17" t="s">
        <v>30344</v>
      </c>
      <c r="C1833" s="17" t="s">
        <v>27788</v>
      </c>
      <c r="D1833" s="17" t="s">
        <v>27869</v>
      </c>
      <c r="E1833" s="10">
        <v>4928096</v>
      </c>
      <c r="F1833" s="4" t="str">
        <f>IF(B1833=B1832,"",B1833)</f>
        <v/>
      </c>
    </row>
    <row r="1834" spans="1:6" ht="15.75" customHeight="1">
      <c r="A1834" s="5" t="s">
        <v>4240</v>
      </c>
      <c r="B1834" s="6" t="s">
        <v>4240</v>
      </c>
      <c r="C1834" s="5" t="s">
        <v>3975</v>
      </c>
      <c r="D1834" s="5" t="s">
        <v>3976</v>
      </c>
      <c r="E1834" s="2">
        <v>7281936</v>
      </c>
      <c r="F1834" s="4" t="str">
        <f>IF(B1834=B1833,"",B1834)</f>
        <v>West Kelowna</v>
      </c>
    </row>
    <row r="1835" spans="1:6" ht="15.75" customHeight="1">
      <c r="A1835" s="5" t="str">
        <f ca="1">IFERROR(__xludf.DUMMYFUNCTION("GOOGLETRANSLATE(B25633,""en"",""pt"")"),"West Kelowna")</f>
        <v>West Kelowna</v>
      </c>
      <c r="B1835" s="17" t="s">
        <v>4240</v>
      </c>
      <c r="C1835" s="17" t="s">
        <v>3975</v>
      </c>
      <c r="D1835" s="17" t="s">
        <v>3976</v>
      </c>
      <c r="E1835" s="10">
        <v>7281936</v>
      </c>
      <c r="F1835" s="4" t="str">
        <f>IF(B1835=B1834,"",B1835)</f>
        <v/>
      </c>
    </row>
    <row r="1836" spans="1:6" ht="15.75" customHeight="1">
      <c r="A1836" s="5" t="s">
        <v>30342</v>
      </c>
      <c r="B1836" s="6" t="s">
        <v>30343</v>
      </c>
      <c r="C1836" s="5" t="s">
        <v>27788</v>
      </c>
      <c r="D1836" s="5" t="s">
        <v>27856</v>
      </c>
      <c r="E1836" s="2">
        <v>5784549</v>
      </c>
      <c r="F1836" s="4" t="str">
        <f>IF(B1836=B1835,"",B1836)</f>
        <v>West Jordan</v>
      </c>
    </row>
    <row r="1837" spans="1:6" ht="15.75" customHeight="1">
      <c r="A1837" s="5" t="str">
        <f ca="1">IFERROR(__xludf.DUMMYFUNCTION("GOOGLETRANSLATE(B45311,""en"",""pt"")"),"Jordânia Ocidental")</f>
        <v>Jordânia Ocidental</v>
      </c>
      <c r="B1837" s="17" t="s">
        <v>30343</v>
      </c>
      <c r="C1837" s="17" t="s">
        <v>27788</v>
      </c>
      <c r="D1837" s="17" t="s">
        <v>27856</v>
      </c>
      <c r="E1837" s="10">
        <v>5784549</v>
      </c>
      <c r="F1837" s="4" t="str">
        <f>IF(B1837=B1836,"",B1837)</f>
        <v/>
      </c>
    </row>
    <row r="1838" spans="1:6" ht="15.75" customHeight="1">
      <c r="A1838" s="5" t="s">
        <v>14882</v>
      </c>
      <c r="B1838" s="6" t="s">
        <v>14883</v>
      </c>
      <c r="C1838" s="5" t="s">
        <v>14773</v>
      </c>
      <c r="D1838" s="5" t="s">
        <v>14781</v>
      </c>
      <c r="E1838" s="2">
        <v>7498240</v>
      </c>
      <c r="F1838" s="4" t="str">
        <f>IF(B1838=B1837,"",B1838)</f>
        <v>West Jerusalem</v>
      </c>
    </row>
    <row r="1839" spans="1:6" ht="15.75" customHeight="1">
      <c r="A1839" s="5" t="str">
        <f ca="1">IFERROR(__xludf.DUMMYFUNCTION("GOOGLETRANSLATE(B31825,""en"",""pt"")"),"Jerusalém Ocidental")</f>
        <v>Jerusalém Ocidental</v>
      </c>
      <c r="B1839" s="17" t="s">
        <v>14883</v>
      </c>
      <c r="C1839" s="17" t="s">
        <v>14773</v>
      </c>
      <c r="D1839" s="17" t="s">
        <v>14781</v>
      </c>
      <c r="E1839" s="10">
        <v>7498240</v>
      </c>
      <c r="F1839" s="4" t="str">
        <f>IF(B1839=B1838,"",B1839)</f>
        <v/>
      </c>
    </row>
    <row r="1840" spans="1:6" ht="15.75" customHeight="1">
      <c r="A1840" s="6" t="s">
        <v>30341</v>
      </c>
      <c r="B1840" s="6" t="s">
        <v>30341</v>
      </c>
      <c r="C1840" s="6" t="s">
        <v>27788</v>
      </c>
      <c r="D1840" s="6" t="s">
        <v>27819</v>
      </c>
      <c r="E1840" s="2">
        <v>5143866</v>
      </c>
      <c r="F1840" s="4" t="str">
        <f>IF(B1840=B1839,"",B1840)</f>
        <v>West Islip</v>
      </c>
    </row>
    <row r="1841" spans="1:6" ht="15.75" customHeight="1">
      <c r="A1841" s="5" t="str">
        <f ca="1">IFERROR(__xludf.DUMMYFUNCTION("GOOGLETRANSLATE(B44468,""en"",""pt"")"),"West Islip")</f>
        <v>West Islip</v>
      </c>
      <c r="B1841" s="17" t="s">
        <v>30341</v>
      </c>
      <c r="C1841" s="17" t="s">
        <v>27788</v>
      </c>
      <c r="D1841" s="17" t="s">
        <v>27819</v>
      </c>
      <c r="E1841" s="10">
        <v>5143866</v>
      </c>
      <c r="F1841" s="4" t="str">
        <f>IF(B1841=B1840,"",B1841)</f>
        <v/>
      </c>
    </row>
    <row r="1842" spans="1:6" ht="15.75" customHeight="1">
      <c r="A1842" s="5" t="s">
        <v>5343</v>
      </c>
      <c r="B1842" s="6" t="s">
        <v>5344</v>
      </c>
      <c r="C1842" s="5" t="s">
        <v>5345</v>
      </c>
      <c r="D1842" s="5" t="s">
        <v>551</v>
      </c>
      <c r="E1842" s="2">
        <v>7304591</v>
      </c>
      <c r="F1842" s="4" t="str">
        <f>IF(B1842=B1841,"",B1842)</f>
        <v>West Island</v>
      </c>
    </row>
    <row r="1843" spans="1:6" ht="15.75" customHeight="1">
      <c r="A1843" s="5" t="str">
        <f ca="1">IFERROR(__xludf.DUMMYFUNCTION("GOOGLETRANSLATE(B25643,""en"",""pt"")"),"Ilha Oeste")</f>
        <v>Ilha Oeste</v>
      </c>
      <c r="B1843" s="17" t="s">
        <v>5344</v>
      </c>
      <c r="C1843" s="17" t="s">
        <v>5345</v>
      </c>
      <c r="D1843" s="17" t="s">
        <v>551</v>
      </c>
      <c r="E1843" s="10">
        <v>7304591</v>
      </c>
      <c r="F1843" s="4" t="str">
        <f>IF(B1843=B1842,"",B1843)</f>
        <v/>
      </c>
    </row>
    <row r="1844" spans="1:6" ht="15.75" customHeight="1">
      <c r="A1844" s="5" t="s">
        <v>30340</v>
      </c>
      <c r="B1844" s="6" t="s">
        <v>30340</v>
      </c>
      <c r="C1844" s="5" t="s">
        <v>27788</v>
      </c>
      <c r="D1844" s="5" t="s">
        <v>27801</v>
      </c>
      <c r="E1844" s="2">
        <v>5408076</v>
      </c>
      <c r="F1844" s="4" t="str">
        <f>IF(B1844=B1843,"",B1844)</f>
        <v>West Hollywood</v>
      </c>
    </row>
    <row r="1845" spans="1:6" ht="15.75" customHeight="1">
      <c r="A1845" s="5" t="str">
        <f ca="1">IFERROR(__xludf.DUMMYFUNCTION("GOOGLETRANSLATE(B45072,""en"",""pt"")"),"West Hollywood")</f>
        <v>West Hollywood</v>
      </c>
      <c r="B1845" s="17" t="s">
        <v>30340</v>
      </c>
      <c r="C1845" s="17" t="s">
        <v>27788</v>
      </c>
      <c r="D1845" s="17" t="s">
        <v>27801</v>
      </c>
      <c r="E1845" s="10">
        <v>5408076</v>
      </c>
      <c r="F1845" s="4" t="str">
        <f>IF(B1845=B1844,"",B1845)</f>
        <v/>
      </c>
    </row>
    <row r="1846" spans="1:6" ht="15.75" customHeight="1">
      <c r="A1846" s="5" t="s">
        <v>30339</v>
      </c>
      <c r="B1846" s="6" t="s">
        <v>30339</v>
      </c>
      <c r="C1846" s="5" t="s">
        <v>27788</v>
      </c>
      <c r="D1846" s="5" t="s">
        <v>27801</v>
      </c>
      <c r="E1846" s="2">
        <v>8030162</v>
      </c>
      <c r="F1846" s="4" t="str">
        <f>IF(B1846=B1845,"",B1846)</f>
        <v>West Hills</v>
      </c>
    </row>
    <row r="1847" spans="1:6" ht="15.75" customHeight="1">
      <c r="A1847" s="5" t="str">
        <f ca="1">IFERROR(__xludf.DUMMYFUNCTION("GOOGLETRANSLATE(B45458,""en"",""pt"")"),"West Hills")</f>
        <v>West Hills</v>
      </c>
      <c r="B1847" s="17" t="s">
        <v>30339</v>
      </c>
      <c r="C1847" s="17" t="s">
        <v>27788</v>
      </c>
      <c r="D1847" s="17" t="s">
        <v>27801</v>
      </c>
      <c r="E1847" s="10">
        <v>8030162</v>
      </c>
      <c r="F1847" s="4" t="str">
        <f>IF(B1847=B1846,"",B1847)</f>
        <v/>
      </c>
    </row>
    <row r="1848" spans="1:6" ht="15.75" customHeight="1">
      <c r="A1848" s="5" t="s">
        <v>30338</v>
      </c>
      <c r="B1848" s="6" t="s">
        <v>30338</v>
      </c>
      <c r="C1848" s="5" t="s">
        <v>27788</v>
      </c>
      <c r="D1848" s="5" t="s">
        <v>27819</v>
      </c>
      <c r="E1848" s="2">
        <v>5143832</v>
      </c>
      <c r="F1848" s="4" t="str">
        <f>IF(B1848=B1847,"",B1848)</f>
        <v>West Hempstead</v>
      </c>
    </row>
    <row r="1849" spans="1:6" ht="15.75" customHeight="1">
      <c r="A1849" s="5" t="str">
        <f ca="1">IFERROR(__xludf.DUMMYFUNCTION("GOOGLETRANSLATE(B44467,""en"",""pt"")"),"West Hempstead")</f>
        <v>West Hempstead</v>
      </c>
      <c r="B1849" s="17" t="s">
        <v>30338</v>
      </c>
      <c r="C1849" s="17" t="s">
        <v>27788</v>
      </c>
      <c r="D1849" s="17" t="s">
        <v>27819</v>
      </c>
      <c r="E1849" s="10">
        <v>5143832</v>
      </c>
      <c r="F1849" s="4" t="str">
        <f>IF(B1849=B1848,"",B1849)</f>
        <v/>
      </c>
    </row>
    <row r="1850" spans="1:6" ht="15.75" customHeight="1">
      <c r="A1850" s="5" t="s">
        <v>30337</v>
      </c>
      <c r="B1850" s="6" t="s">
        <v>30337</v>
      </c>
      <c r="C1850" s="5" t="s">
        <v>27788</v>
      </c>
      <c r="D1850" s="5" t="s">
        <v>27876</v>
      </c>
      <c r="E1850" s="2">
        <v>4845419</v>
      </c>
      <c r="F1850" s="4" t="str">
        <f>IF(B1850=B1849,"",B1850)</f>
        <v>West Haven</v>
      </c>
    </row>
    <row r="1851" spans="1:6" ht="15.75" customHeight="1">
      <c r="A1851" s="5" t="str">
        <f ca="1">IFERROR(__xludf.DUMMYFUNCTION("GOOGLETRANSLATE(B43725,""en"",""pt"")"),"West Haven")</f>
        <v>West Haven</v>
      </c>
      <c r="B1851" s="17" t="s">
        <v>30337</v>
      </c>
      <c r="C1851" s="17" t="s">
        <v>27788</v>
      </c>
      <c r="D1851" s="17" t="s">
        <v>27876</v>
      </c>
      <c r="E1851" s="10">
        <v>4845419</v>
      </c>
      <c r="F1851" s="4" t="str">
        <f>IF(B1851=B1850,"",B1851)</f>
        <v/>
      </c>
    </row>
    <row r="1852" spans="1:6" ht="15.75" customHeight="1">
      <c r="A1852" s="5" t="s">
        <v>30336</v>
      </c>
      <c r="B1852" s="6" t="s">
        <v>30336</v>
      </c>
      <c r="C1852" s="5" t="s">
        <v>27788</v>
      </c>
      <c r="D1852" s="5" t="s">
        <v>27876</v>
      </c>
      <c r="E1852" s="2">
        <v>4845411</v>
      </c>
      <c r="F1852" s="4" t="str">
        <f>IF(B1852=B1851,"",B1852)</f>
        <v>West Hartford</v>
      </c>
    </row>
    <row r="1853" spans="1:6" ht="15.75" customHeight="1">
      <c r="A1853" s="5" t="str">
        <f ca="1">IFERROR(__xludf.DUMMYFUNCTION("GOOGLETRANSLATE(B43724,""en"",""pt"")"),"West Hartford")</f>
        <v>West Hartford</v>
      </c>
      <c r="B1853" s="17" t="s">
        <v>30336</v>
      </c>
      <c r="C1853" s="17" t="s">
        <v>27788</v>
      </c>
      <c r="D1853" s="17" t="s">
        <v>27876</v>
      </c>
      <c r="E1853" s="10">
        <v>4845411</v>
      </c>
      <c r="F1853" s="4" t="str">
        <f>IF(B1853=B1852,"",B1853)</f>
        <v/>
      </c>
    </row>
    <row r="1854" spans="1:6" ht="15.75" customHeight="1">
      <c r="A1854" s="5" t="s">
        <v>30335</v>
      </c>
      <c r="B1854" s="6" t="s">
        <v>30335</v>
      </c>
      <c r="C1854" s="5" t="s">
        <v>27788</v>
      </c>
      <c r="D1854" s="5" t="s">
        <v>28040</v>
      </c>
      <c r="E1854" s="2">
        <v>4450687</v>
      </c>
      <c r="F1854" s="4" t="str">
        <f>IF(B1854=B1853,"",B1854)</f>
        <v>West Gulfport</v>
      </c>
    </row>
    <row r="1855" spans="1:6" ht="15.75" customHeight="1">
      <c r="A1855" s="5" t="str">
        <f ca="1">IFERROR(__xludf.DUMMYFUNCTION("GOOGLETRANSLATE(B43425,""en"",""pt"")"),"West Gulfport")</f>
        <v>West Gulfport</v>
      </c>
      <c r="B1855" s="17" t="s">
        <v>30335</v>
      </c>
      <c r="C1855" s="17" t="s">
        <v>27788</v>
      </c>
      <c r="D1855" s="17" t="s">
        <v>28040</v>
      </c>
      <c r="E1855" s="10">
        <v>4450687</v>
      </c>
      <c r="F1855" s="4" t="str">
        <f>IF(B1855=B1854,"",B1855)</f>
        <v/>
      </c>
    </row>
    <row r="1856" spans="1:6" ht="15.75" customHeight="1">
      <c r="A1856" s="5" t="s">
        <v>30334</v>
      </c>
      <c r="B1856" s="6" t="s">
        <v>30334</v>
      </c>
      <c r="C1856" s="5" t="s">
        <v>27788</v>
      </c>
      <c r="D1856" s="5" t="s">
        <v>28043</v>
      </c>
      <c r="E1856" s="2">
        <v>5062458</v>
      </c>
      <c r="F1856" s="4" t="str">
        <f>IF(B1856=B1855,"",B1856)</f>
        <v>West Fargo</v>
      </c>
    </row>
    <row r="1857" spans="1:6" ht="15.75" customHeight="1">
      <c r="A1857" s="5" t="str">
        <f ca="1">IFERROR(__xludf.DUMMYFUNCTION("GOOGLETRANSLATE(B44213,""en"",""pt"")"),"West Fargo")</f>
        <v>West Fargo</v>
      </c>
      <c r="B1857" s="17" t="s">
        <v>30334</v>
      </c>
      <c r="C1857" s="17" t="s">
        <v>27788</v>
      </c>
      <c r="D1857" s="17" t="s">
        <v>28043</v>
      </c>
      <c r="E1857" s="10">
        <v>5062458</v>
      </c>
      <c r="F1857" s="4" t="str">
        <f>IF(B1857=B1856,"",B1857)</f>
        <v/>
      </c>
    </row>
    <row r="1858" spans="1:6" ht="15.75" customHeight="1">
      <c r="A1858" s="5" t="s">
        <v>4238</v>
      </c>
      <c r="B1858" s="6" t="s">
        <v>4239</v>
      </c>
      <c r="C1858" s="5" t="s">
        <v>3975</v>
      </c>
      <c r="D1858" s="5" t="s">
        <v>3976</v>
      </c>
      <c r="E1858" s="2">
        <v>6178582</v>
      </c>
      <c r="F1858" s="4" t="str">
        <f>IF(B1858=B1857,"",B1858)</f>
        <v>West End</v>
      </c>
    </row>
    <row r="1859" spans="1:6" ht="15.75" customHeight="1">
      <c r="A1859" s="5" t="str">
        <f ca="1">IFERROR(__xludf.DUMMYFUNCTION("GOOGLETRANSLATE(B25611,""en"",""pt"")"),"extremo oeste")</f>
        <v>extremo oeste</v>
      </c>
      <c r="B1859" s="17" t="s">
        <v>4239</v>
      </c>
      <c r="C1859" s="17" t="s">
        <v>3975</v>
      </c>
      <c r="D1859" s="17" t="s">
        <v>3976</v>
      </c>
      <c r="E1859" s="10">
        <v>6178582</v>
      </c>
      <c r="F1859" s="4" t="str">
        <f>IF(B1859=B1858,"",B1859)</f>
        <v/>
      </c>
    </row>
    <row r="1860" spans="1:6" ht="15.75" customHeight="1">
      <c r="A1860" s="5" t="s">
        <v>30333</v>
      </c>
      <c r="B1860" s="6" t="s">
        <v>30333</v>
      </c>
      <c r="C1860" s="5" t="s">
        <v>27788</v>
      </c>
      <c r="D1860" s="5" t="s">
        <v>17061</v>
      </c>
      <c r="E1860" s="2">
        <v>4373104</v>
      </c>
      <c r="F1860" s="4" t="str">
        <f>IF(B1860=B1859,"",B1860)</f>
        <v>West Elkridge</v>
      </c>
    </row>
    <row r="1861" spans="1:6" ht="15.75" customHeight="1">
      <c r="A1861" s="5" t="str">
        <f ca="1">IFERROR(__xludf.DUMMYFUNCTION("GOOGLETRANSLATE(B43342,""en"",""pt"")"),"West Elkridge")</f>
        <v>West Elkridge</v>
      </c>
      <c r="B1861" s="17" t="s">
        <v>30333</v>
      </c>
      <c r="C1861" s="17" t="s">
        <v>27788</v>
      </c>
      <c r="D1861" s="17" t="s">
        <v>17061</v>
      </c>
      <c r="E1861" s="10">
        <v>4373104</v>
      </c>
      <c r="F1861" s="4" t="str">
        <f>IF(B1861=B1860,"",B1861)</f>
        <v/>
      </c>
    </row>
    <row r="1862" spans="1:6" ht="15.75" customHeight="1">
      <c r="A1862" s="5" t="s">
        <v>30332</v>
      </c>
      <c r="B1862" s="6" t="s">
        <v>30332</v>
      </c>
      <c r="C1862" s="5" t="s">
        <v>27788</v>
      </c>
      <c r="D1862" s="5" t="s">
        <v>27859</v>
      </c>
      <c r="E1862" s="2">
        <v>4881346</v>
      </c>
      <c r="F1862" s="4" t="str">
        <f>IF(B1862=B1861,"",B1862)</f>
        <v>West Des Moines</v>
      </c>
    </row>
    <row r="1863" spans="1:6" ht="15.75" customHeight="1">
      <c r="A1863" s="5" t="str">
        <f ca="1">IFERROR(__xludf.DUMMYFUNCTION("GOOGLETRANSLATE(B43759,""en"",""pt"")"),"West Des Moines")</f>
        <v>West Des Moines</v>
      </c>
      <c r="B1863" s="17" t="s">
        <v>30332</v>
      </c>
      <c r="C1863" s="17" t="s">
        <v>27788</v>
      </c>
      <c r="D1863" s="17" t="s">
        <v>27859</v>
      </c>
      <c r="E1863" s="10">
        <v>4881346</v>
      </c>
      <c r="F1863" s="4" t="str">
        <f>IF(B1863=B1862,"",B1863)</f>
        <v/>
      </c>
    </row>
    <row r="1864" spans="1:6" ht="15.75" customHeight="1">
      <c r="A1864" s="5" t="s">
        <v>30331</v>
      </c>
      <c r="B1864" s="6" t="s">
        <v>30331</v>
      </c>
      <c r="C1864" s="5" t="s">
        <v>27788</v>
      </c>
      <c r="D1864" s="5" t="s">
        <v>27801</v>
      </c>
      <c r="E1864" s="2">
        <v>5407933</v>
      </c>
      <c r="F1864" s="4" t="str">
        <f>IF(B1864=B1863,"",B1864)</f>
        <v>West Covina</v>
      </c>
    </row>
    <row r="1865" spans="1:6" ht="15.75" customHeight="1">
      <c r="A1865" s="5" t="str">
        <f ca="1">IFERROR(__xludf.DUMMYFUNCTION("GOOGLETRANSLATE(B45071,""en"",""pt"")"),"West Covina")</f>
        <v>West Covina</v>
      </c>
      <c r="B1865" s="17" t="s">
        <v>30331</v>
      </c>
      <c r="C1865" s="17" t="s">
        <v>27788</v>
      </c>
      <c r="D1865" s="17" t="s">
        <v>27801</v>
      </c>
      <c r="E1865" s="10">
        <v>5407933</v>
      </c>
      <c r="F1865" s="4" t="str">
        <f>IF(B1865=B1864,"",B1865)</f>
        <v/>
      </c>
    </row>
    <row r="1866" spans="1:6" ht="15.75" customHeight="1">
      <c r="A1866" s="5" t="s">
        <v>30330</v>
      </c>
      <c r="B1866" s="6" t="s">
        <v>30330</v>
      </c>
      <c r="C1866" s="5" t="s">
        <v>27788</v>
      </c>
      <c r="D1866" s="5" t="s">
        <v>27824</v>
      </c>
      <c r="E1866" s="2">
        <v>5052361</v>
      </c>
      <c r="F1866" s="4" t="str">
        <f>IF(B1866=B1865,"",B1866)</f>
        <v>West Coon Rapids</v>
      </c>
    </row>
    <row r="1867" spans="1:6" ht="15.75" customHeight="1">
      <c r="A1867" s="5" t="str">
        <f ca="1">IFERROR(__xludf.DUMMYFUNCTION("GOOGLETRANSLATE(B44203,""en"",""pt"")"),"West Coon Rapids")</f>
        <v>West Coon Rapids</v>
      </c>
      <c r="B1867" s="17" t="s">
        <v>30330</v>
      </c>
      <c r="C1867" s="17" t="s">
        <v>27788</v>
      </c>
      <c r="D1867" s="17" t="s">
        <v>27824</v>
      </c>
      <c r="E1867" s="10">
        <v>5052361</v>
      </c>
      <c r="F1867" s="4" t="str">
        <f>IF(B1867=B1866,"",B1867)</f>
        <v/>
      </c>
    </row>
    <row r="1868" spans="1:6" ht="15.75" customHeight="1">
      <c r="A1868" s="5" t="s">
        <v>30329</v>
      </c>
      <c r="B1868" s="6" t="s">
        <v>30329</v>
      </c>
      <c r="C1868" s="5" t="s">
        <v>27788</v>
      </c>
      <c r="D1868" s="5" t="s">
        <v>27799</v>
      </c>
      <c r="E1868" s="2">
        <v>4915963</v>
      </c>
      <c r="F1868" s="4" t="str">
        <f>IF(B1868=B1867,"",B1868)</f>
        <v>West Chicago</v>
      </c>
    </row>
    <row r="1869" spans="1:6" ht="15.75" customHeight="1">
      <c r="A1869" s="5" t="str">
        <f ca="1">IFERROR(__xludf.DUMMYFUNCTION("GOOGLETRANSLATE(B43897,""en"",""pt"")"),"West Chicago")</f>
        <v>West Chicago</v>
      </c>
      <c r="B1869" s="17" t="s">
        <v>30329</v>
      </c>
      <c r="C1869" s="17" t="s">
        <v>27788</v>
      </c>
      <c r="D1869" s="17" t="s">
        <v>27799</v>
      </c>
      <c r="E1869" s="10">
        <v>4915963</v>
      </c>
      <c r="F1869" s="4" t="str">
        <f>IF(B1869=B1868,"",B1869)</f>
        <v/>
      </c>
    </row>
    <row r="1870" spans="1:6" ht="15.75" customHeight="1">
      <c r="A1870" s="5" t="s">
        <v>30328</v>
      </c>
      <c r="B1870" s="6" t="s">
        <v>30328</v>
      </c>
      <c r="C1870" s="5" t="s">
        <v>27788</v>
      </c>
      <c r="D1870" s="5" t="s">
        <v>27836</v>
      </c>
      <c r="E1870" s="2">
        <v>4562144</v>
      </c>
      <c r="F1870" s="4" t="str">
        <f>IF(B1870=B1869,"",B1870)</f>
        <v>West Chester</v>
      </c>
    </row>
    <row r="1871" spans="1:6" ht="15.75" customHeight="1">
      <c r="A1871" s="5" t="str">
        <f ca="1">IFERROR(__xludf.DUMMYFUNCTION("GOOGLETRANSLATE(B43576,""en"",""pt"")"),"West Chester")</f>
        <v>West Chester</v>
      </c>
      <c r="B1871" s="17" t="s">
        <v>30328</v>
      </c>
      <c r="C1871" s="17" t="s">
        <v>27788</v>
      </c>
      <c r="D1871" s="17" t="s">
        <v>27836</v>
      </c>
      <c r="E1871" s="10">
        <v>4562144</v>
      </c>
      <c r="F1871" s="4" t="str">
        <f>IF(B1871=B1870,"",B1871)</f>
        <v/>
      </c>
    </row>
    <row r="1872" spans="1:6" ht="15.75" customHeight="1">
      <c r="A1872" s="5" t="s">
        <v>30327</v>
      </c>
      <c r="B1872" s="6" t="s">
        <v>30327</v>
      </c>
      <c r="C1872" s="5" t="s">
        <v>27788</v>
      </c>
      <c r="D1872" s="5" t="s">
        <v>27801</v>
      </c>
      <c r="E1872" s="2">
        <v>5407908</v>
      </c>
      <c r="F1872" s="4" t="str">
        <f>IF(B1872=B1871,"",B1872)</f>
        <v>West Carson</v>
      </c>
    </row>
    <row r="1873" spans="1:6" ht="15.75" customHeight="1">
      <c r="A1873" s="5" t="str">
        <f ca="1">IFERROR(__xludf.DUMMYFUNCTION("GOOGLETRANSLATE(B45070,""en"",""pt"")"),"West Carson")</f>
        <v>West Carson</v>
      </c>
      <c r="B1873" s="17" t="s">
        <v>30327</v>
      </c>
      <c r="C1873" s="17" t="s">
        <v>27788</v>
      </c>
      <c r="D1873" s="17" t="s">
        <v>27801</v>
      </c>
      <c r="E1873" s="10">
        <v>5407908</v>
      </c>
      <c r="F1873" s="4" t="str">
        <f>IF(B1873=B1872,"",B1873)</f>
        <v/>
      </c>
    </row>
    <row r="1874" spans="1:6" ht="15.75" customHeight="1">
      <c r="A1874" s="5" t="s">
        <v>27746</v>
      </c>
      <c r="B1874" s="6" t="s">
        <v>27746</v>
      </c>
      <c r="C1874" s="5" t="s">
        <v>27234</v>
      </c>
      <c r="D1874" s="5" t="s">
        <v>27241</v>
      </c>
      <c r="E1874" s="2">
        <v>2634491</v>
      </c>
      <c r="F1874" s="4" t="str">
        <f>IF(B1874=B1873,"",B1874)</f>
        <v>West Bromwich</v>
      </c>
    </row>
    <row r="1875" spans="1:6" ht="15.75" customHeight="1">
      <c r="A1875" s="5" t="str">
        <f ca="1">IFERROR(__xludf.DUMMYFUNCTION("GOOGLETRANSLATE(B30351,""en"",""pt"")"),"West Bromwich")</f>
        <v>West Bromwich</v>
      </c>
      <c r="B1875" s="17" t="s">
        <v>27746</v>
      </c>
      <c r="C1875" s="17" t="s">
        <v>27234</v>
      </c>
      <c r="D1875" s="17" t="s">
        <v>27241</v>
      </c>
      <c r="E1875" s="10">
        <v>2634491</v>
      </c>
      <c r="F1875" s="4" t="str">
        <f>IF(B1875=B1874,"",B1875)</f>
        <v/>
      </c>
    </row>
    <row r="1876" spans="1:6" ht="15.75" customHeight="1">
      <c r="A1876" s="5" t="s">
        <v>27745</v>
      </c>
      <c r="B1876" s="6" t="s">
        <v>27745</v>
      </c>
      <c r="C1876" s="5" t="s">
        <v>27234</v>
      </c>
      <c r="D1876" s="5" t="s">
        <v>27241</v>
      </c>
      <c r="E1876" s="2">
        <v>2634493</v>
      </c>
      <c r="F1876" s="4" t="str">
        <f>IF(B1876=B1875,"",B1876)</f>
        <v>West Bridgford</v>
      </c>
    </row>
    <row r="1877" spans="1:6" ht="15.75" customHeight="1">
      <c r="A1877" s="5" t="str">
        <f ca="1">IFERROR(__xludf.DUMMYFUNCTION("GOOGLETRANSLATE(B30352,""en"",""pt"")"),"West Bridgford")</f>
        <v>West Bridgford</v>
      </c>
      <c r="B1877" s="17" t="s">
        <v>27745</v>
      </c>
      <c r="C1877" s="17" t="s">
        <v>27234</v>
      </c>
      <c r="D1877" s="17" t="s">
        <v>27241</v>
      </c>
      <c r="E1877" s="10">
        <v>2634493</v>
      </c>
      <c r="F1877" s="4" t="str">
        <f>IF(B1877=B1876,"",B1877)</f>
        <v/>
      </c>
    </row>
    <row r="1878" spans="1:6" ht="15.75" customHeight="1">
      <c r="A1878" s="5" t="s">
        <v>30326</v>
      </c>
      <c r="B1878" s="6" t="s">
        <v>30326</v>
      </c>
      <c r="C1878" s="5" t="s">
        <v>27788</v>
      </c>
      <c r="D1878" s="5" t="s">
        <v>27804</v>
      </c>
      <c r="E1878" s="2">
        <v>7259621</v>
      </c>
      <c r="F1878" s="4" t="str">
        <f>IF(B1878=B1877,"",B1878)</f>
        <v>West Bloomfield Township</v>
      </c>
    </row>
    <row r="1879" spans="1:6" ht="15.75" customHeight="1">
      <c r="A1879" s="5" t="str">
        <f ca="1">IFERROR(__xludf.DUMMYFUNCTION("GOOGLETRANSLATE(B45433,""en"",""pt"")"),"West Bloomfield Township")</f>
        <v>West Bloomfield Township</v>
      </c>
      <c r="B1879" s="17" t="s">
        <v>30326</v>
      </c>
      <c r="C1879" s="17" t="s">
        <v>27788</v>
      </c>
      <c r="D1879" s="17" t="s">
        <v>27804</v>
      </c>
      <c r="E1879" s="10">
        <v>7259621</v>
      </c>
      <c r="F1879" s="4" t="str">
        <f>IF(B1879=B1878,"",B1879)</f>
        <v/>
      </c>
    </row>
    <row r="1880" spans="1:6" ht="15.75" customHeight="1">
      <c r="A1880" s="5" t="s">
        <v>30325</v>
      </c>
      <c r="B1880" s="6" t="s">
        <v>30325</v>
      </c>
      <c r="C1880" s="5" t="s">
        <v>27788</v>
      </c>
      <c r="D1880" s="5" t="s">
        <v>27890</v>
      </c>
      <c r="E1880" s="2">
        <v>5278422</v>
      </c>
      <c r="F1880" s="4" t="str">
        <f>IF(B1880=B1879,"",B1880)</f>
        <v>West Bend</v>
      </c>
    </row>
    <row r="1881" spans="1:6" ht="15.75" customHeight="1">
      <c r="A1881" s="5" t="str">
        <f ca="1">IFERROR(__xludf.DUMMYFUNCTION("GOOGLETRANSLATE(B44681,""en"",""pt"")"),"West Bend")</f>
        <v>West Bend</v>
      </c>
      <c r="B1881" s="17" t="s">
        <v>30325</v>
      </c>
      <c r="C1881" s="17" t="s">
        <v>27788</v>
      </c>
      <c r="D1881" s="17" t="s">
        <v>27890</v>
      </c>
      <c r="E1881" s="10">
        <v>5278422</v>
      </c>
      <c r="F1881" s="4" t="str">
        <f>IF(B1881=B1880,"",B1881)</f>
        <v/>
      </c>
    </row>
    <row r="1882" spans="1:6" ht="15.75" customHeight="1">
      <c r="A1882" s="5" t="s">
        <v>30323</v>
      </c>
      <c r="B1882" s="6" t="s">
        <v>30324</v>
      </c>
      <c r="C1882" s="5" t="s">
        <v>27788</v>
      </c>
      <c r="D1882" s="5" t="s">
        <v>27819</v>
      </c>
      <c r="E1882" s="2">
        <v>5143630</v>
      </c>
      <c r="F1882" s="4" t="str">
        <f>IF(B1882=B1881,"",B1882)</f>
        <v>West Babylon</v>
      </c>
    </row>
    <row r="1883" spans="1:6" ht="15.75" customHeight="1">
      <c r="A1883" s="5" t="str">
        <f ca="1">IFERROR(__xludf.DUMMYFUNCTION("GOOGLETRANSLATE(B44466,""en"",""pt"")"),"West Babilônia")</f>
        <v>West Babilônia</v>
      </c>
      <c r="B1883" s="17" t="s">
        <v>30324</v>
      </c>
      <c r="C1883" s="17" t="s">
        <v>27788</v>
      </c>
      <c r="D1883" s="17" t="s">
        <v>27819</v>
      </c>
      <c r="E1883" s="10">
        <v>5143630</v>
      </c>
      <c r="F1883" s="4" t="str">
        <f>IF(B1883=B1882,"",B1883)</f>
        <v/>
      </c>
    </row>
    <row r="1884" spans="1:6" ht="15.75" customHeight="1">
      <c r="A1884" s="5" t="s">
        <v>30321</v>
      </c>
      <c r="B1884" s="6" t="s">
        <v>30322</v>
      </c>
      <c r="C1884" s="5" t="s">
        <v>27788</v>
      </c>
      <c r="D1884" s="5" t="s">
        <v>5468</v>
      </c>
      <c r="E1884" s="2">
        <v>4177960</v>
      </c>
      <c r="F1884" s="4" t="str">
        <f>IF(B1884=B1883,"",B1884)</f>
        <v>West and East Lealman</v>
      </c>
    </row>
    <row r="1885" spans="1:6" ht="15.75" customHeight="1">
      <c r="A1885" s="5" t="str">
        <f ca="1">IFERROR(__xludf.DUMMYFUNCTION("GOOGLETRANSLATE(B43049,""en"",""pt"")"),"Lealman oeste e leste")</f>
        <v>Lealman oeste e leste</v>
      </c>
      <c r="B1885" s="17" t="s">
        <v>30322</v>
      </c>
      <c r="C1885" s="17" t="s">
        <v>27788</v>
      </c>
      <c r="D1885" s="17" t="s">
        <v>5468</v>
      </c>
      <c r="E1885" s="10">
        <v>4177960</v>
      </c>
      <c r="F1885" s="4" t="str">
        <f>IF(B1885=B1884,"",B1885)</f>
        <v/>
      </c>
    </row>
    <row r="1886" spans="1:6" ht="15.75" customHeight="1">
      <c r="A1886" s="6" t="s">
        <v>30320</v>
      </c>
      <c r="B1886" s="6" t="s">
        <v>30320</v>
      </c>
      <c r="C1886" s="6" t="s">
        <v>27788</v>
      </c>
      <c r="D1886" s="6" t="s">
        <v>27890</v>
      </c>
      <c r="E1886" s="2">
        <v>5278420</v>
      </c>
      <c r="F1886" s="4" t="str">
        <f>IF(B1886=B1885,"",B1886)</f>
        <v>West Allis</v>
      </c>
    </row>
    <row r="1887" spans="1:6" ht="15.75" customHeight="1">
      <c r="A1887" s="5" t="str">
        <f ca="1">IFERROR(__xludf.DUMMYFUNCTION("GOOGLETRANSLATE(B44680,""en"",""pt"")"),"West Allis")</f>
        <v>West Allis</v>
      </c>
      <c r="B1887" s="17" t="s">
        <v>30320</v>
      </c>
      <c r="C1887" s="17" t="s">
        <v>27788</v>
      </c>
      <c r="D1887" s="17" t="s">
        <v>27890</v>
      </c>
      <c r="E1887" s="10">
        <v>5278420</v>
      </c>
      <c r="F1887" s="4" t="str">
        <f>IF(B1887=B1886,"",B1887)</f>
        <v/>
      </c>
    </row>
    <row r="1888" spans="1:6" ht="15.75" customHeight="1">
      <c r="A1888" s="5" t="s">
        <v>30319</v>
      </c>
      <c r="B1888" s="6" t="s">
        <v>30319</v>
      </c>
      <c r="C1888" s="5" t="s">
        <v>27788</v>
      </c>
      <c r="D1888" s="5" t="s">
        <v>27819</v>
      </c>
      <c r="E1888" s="2">
        <v>5143620</v>
      </c>
      <c r="F1888" s="4" t="str">
        <f>IF(B1888=B1887,"",B1888)</f>
        <v>West Albany</v>
      </c>
    </row>
    <row r="1889" spans="1:6" ht="15.75" customHeight="1">
      <c r="A1889" s="5" t="str">
        <f ca="1">IFERROR(__xludf.DUMMYFUNCTION("GOOGLETRANSLATE(B44465,""en"",""pt"")"),"West Albany")</f>
        <v>West Albany</v>
      </c>
      <c r="B1889" s="17" t="s">
        <v>30319</v>
      </c>
      <c r="C1889" s="17" t="s">
        <v>27788</v>
      </c>
      <c r="D1889" s="17" t="s">
        <v>27819</v>
      </c>
      <c r="E1889" s="10">
        <v>5143620</v>
      </c>
      <c r="F1889" s="4" t="str">
        <f>IF(B1889=B1888,"",B1889)</f>
        <v/>
      </c>
    </row>
    <row r="1890" spans="1:6" ht="15.75" customHeight="1">
      <c r="A1890" s="5" t="s">
        <v>24012</v>
      </c>
      <c r="B1890" s="6" t="s">
        <v>24013</v>
      </c>
      <c r="C1890" s="5" t="s">
        <v>23842</v>
      </c>
      <c r="D1890" s="5" t="s">
        <v>23845</v>
      </c>
      <c r="E1890" s="2">
        <v>940424</v>
      </c>
      <c r="F1890" s="4" t="str">
        <f>IF(B1890=B1889,"",B1890)</f>
        <v>Wesselsbron</v>
      </c>
    </row>
    <row r="1891" spans="1:6" ht="15.75" customHeight="1">
      <c r="A1891" s="5" t="str">
        <f ca="1">IFERROR(__xludf.DUMMYFUNCTION("GOOGLETRANSLATE(B45848,""en"",""pt"")"),"WESSELSBRON")</f>
        <v>WESSELSBRON</v>
      </c>
      <c r="B1891" s="17" t="s">
        <v>24013</v>
      </c>
      <c r="C1891" s="17" t="s">
        <v>23842</v>
      </c>
      <c r="D1891" s="17" t="s">
        <v>23845</v>
      </c>
      <c r="E1891" s="10">
        <v>940424</v>
      </c>
      <c r="F1891" s="4" t="str">
        <f>IF(B1891=B1890,"",B1891)</f>
        <v/>
      </c>
    </row>
    <row r="1892" spans="1:6" ht="15.75" customHeight="1">
      <c r="A1892" s="5" t="s">
        <v>9313</v>
      </c>
      <c r="B1892" s="6" t="s">
        <v>9313</v>
      </c>
      <c r="C1892" s="5" t="s">
        <v>8028</v>
      </c>
      <c r="D1892" s="5" t="s">
        <v>8029</v>
      </c>
      <c r="E1892" s="2">
        <v>2810612</v>
      </c>
      <c r="F1892" s="4" t="str">
        <f>IF(B1892=B1891,"",B1892)</f>
        <v>Wesseling</v>
      </c>
    </row>
    <row r="1893" spans="1:6" ht="15.75" customHeight="1">
      <c r="A1893" s="5" t="str">
        <f ca="1">IFERROR(__xludf.DUMMYFUNCTION("GOOGLETRANSLATE(B27389,""en"",""pt"")"),"Wesseling")</f>
        <v>Wesseling</v>
      </c>
      <c r="B1893" s="17" t="s">
        <v>9313</v>
      </c>
      <c r="C1893" s="17" t="s">
        <v>8028</v>
      </c>
      <c r="D1893" s="17" t="s">
        <v>8029</v>
      </c>
      <c r="E1893" s="10">
        <v>2810612</v>
      </c>
      <c r="F1893" s="4" t="str">
        <f>IF(B1893=B1892,"",B1893)</f>
        <v/>
      </c>
    </row>
    <row r="1894" spans="1:6" ht="15.75" customHeight="1">
      <c r="A1894" s="5" t="str">
        <f ca="1">IFERROR(__xludf.DUMMYFUNCTION("GOOGLETRANSLATE(B39186,""en"",""pt"")"),"Wesoła")</f>
        <v>Wesoła</v>
      </c>
      <c r="B1894" s="17" t="s">
        <v>35069</v>
      </c>
      <c r="C1894" s="17" t="s">
        <v>21064</v>
      </c>
      <c r="D1894" s="17" t="s">
        <v>21070</v>
      </c>
      <c r="E1894" s="10">
        <v>756004</v>
      </c>
      <c r="F1894" s="4" t="str">
        <f>IF(B1894=B1893,"",B1894)</f>
        <v>Wesoła</v>
      </c>
    </row>
    <row r="1895" spans="1:6" ht="15.75" customHeight="1">
      <c r="A1895" s="6" t="s">
        <v>21566</v>
      </c>
      <c r="B1895" s="6" t="s">
        <v>21567</v>
      </c>
      <c r="C1895" s="6" t="s">
        <v>21064</v>
      </c>
      <c r="D1895" s="6" t="s">
        <v>21070</v>
      </c>
      <c r="E1895" s="2">
        <v>756004</v>
      </c>
      <c r="F1895" s="4" t="str">
        <f>IF(B1895=B1894,"",B1895)</f>
        <v>WesoÅ‚a</v>
      </c>
    </row>
    <row r="1896" spans="1:6" ht="15.75" customHeight="1">
      <c r="A1896" s="5" t="s">
        <v>30318</v>
      </c>
      <c r="B1896" s="6" t="s">
        <v>30318</v>
      </c>
      <c r="C1896" s="5" t="s">
        <v>27788</v>
      </c>
      <c r="D1896" s="5" t="s">
        <v>5468</v>
      </c>
      <c r="E1896" s="2">
        <v>4177727</v>
      </c>
      <c r="F1896" s="4" t="str">
        <f>IF(B1896=B1895,"",B1896)</f>
        <v>Wesley Chapel</v>
      </c>
    </row>
    <row r="1897" spans="1:6" ht="15.75" customHeight="1">
      <c r="A1897" s="5" t="str">
        <f ca="1">IFERROR(__xludf.DUMMYFUNCTION("GOOGLETRANSLATE(B43043,""en"",""pt"")"),"Wesley Chapel")</f>
        <v>Wesley Chapel</v>
      </c>
      <c r="B1897" s="17" t="s">
        <v>30318</v>
      </c>
      <c r="C1897" s="17" t="s">
        <v>27788</v>
      </c>
      <c r="D1897" s="17" t="s">
        <v>5468</v>
      </c>
      <c r="E1897" s="10">
        <v>4177727</v>
      </c>
      <c r="F1897" s="4" t="str">
        <f>IF(B1897=B1896,"",B1897)</f>
        <v/>
      </c>
    </row>
    <row r="1898" spans="1:6" ht="15.75" customHeight="1">
      <c r="A1898" s="6" t="s">
        <v>9312</v>
      </c>
      <c r="B1898" s="6" t="s">
        <v>9312</v>
      </c>
      <c r="C1898" s="6" t="s">
        <v>8028</v>
      </c>
      <c r="D1898" s="6" t="s">
        <v>8029</v>
      </c>
      <c r="E1898" s="2">
        <v>2810678</v>
      </c>
      <c r="F1898" s="4" t="str">
        <f>IF(B1898=B1897,"",B1898)</f>
        <v>Wesel</v>
      </c>
    </row>
    <row r="1899" spans="1:6" ht="15.75" customHeight="1">
      <c r="A1899" s="5" t="str">
        <f ca="1">IFERROR(__xludf.DUMMYFUNCTION("GOOGLETRANSLATE(B27390,""en"",""pt"")"),"Wesel")</f>
        <v>Wesel</v>
      </c>
      <c r="B1899" s="17" t="s">
        <v>9312</v>
      </c>
      <c r="C1899" s="17" t="s">
        <v>8028</v>
      </c>
      <c r="D1899" s="17" t="s">
        <v>8029</v>
      </c>
      <c r="E1899" s="10">
        <v>2810678</v>
      </c>
      <c r="F1899" s="4" t="str">
        <f>IF(B1899=B1898,"",B1899)</f>
        <v/>
      </c>
    </row>
    <row r="1900" spans="1:6" ht="15.75" customHeight="1">
      <c r="A1900" s="6" t="s">
        <v>1715</v>
      </c>
      <c r="B1900" s="6" t="s">
        <v>1715</v>
      </c>
      <c r="C1900" s="6" t="s">
        <v>1512</v>
      </c>
      <c r="D1900" s="6" t="s">
        <v>1513</v>
      </c>
      <c r="E1900" s="2">
        <v>2783820</v>
      </c>
      <c r="F1900" s="4" t="str">
        <f>IF(B1900=B1899,"",B1900)</f>
        <v>Wervik</v>
      </c>
    </row>
    <row r="1901" spans="1:6" ht="15.75" customHeight="1">
      <c r="A1901" s="5" t="str">
        <f ca="1">IFERROR(__xludf.DUMMYFUNCTION("GOOGLETRANSLATE(B23805,""en"",""pt"")"),"Wervik")</f>
        <v>Wervik</v>
      </c>
      <c r="B1901" s="17" t="s">
        <v>1715</v>
      </c>
      <c r="C1901" s="17" t="s">
        <v>1512</v>
      </c>
      <c r="D1901" s="17" t="s">
        <v>1513</v>
      </c>
      <c r="E1901" s="10">
        <v>2783820</v>
      </c>
      <c r="F1901" s="4" t="str">
        <f>IF(B1901=B1900,"",B1901)</f>
        <v/>
      </c>
    </row>
    <row r="1902" spans="1:6" ht="15.75" customHeight="1">
      <c r="A1902" s="6" t="s">
        <v>14230</v>
      </c>
      <c r="B1902" s="6" t="s">
        <v>14230</v>
      </c>
      <c r="C1902" s="6" t="s">
        <v>13800</v>
      </c>
      <c r="D1902" s="6" t="s">
        <v>13811</v>
      </c>
      <c r="E1902" s="2">
        <v>1621613</v>
      </c>
      <c r="F1902" s="4" t="str">
        <f>IF(B1902=B1901,"",B1902)</f>
        <v>Weru</v>
      </c>
    </row>
    <row r="1903" spans="1:6" ht="15.75" customHeight="1">
      <c r="A1903" s="5" t="str">
        <f ca="1">IFERROR(__xludf.DUMMYFUNCTION("GOOGLETRANSLATE(B31389,""en"",""pt"")"),"Weru")</f>
        <v>Weru</v>
      </c>
      <c r="B1903" s="17" t="s">
        <v>14230</v>
      </c>
      <c r="C1903" s="17" t="s">
        <v>13800</v>
      </c>
      <c r="D1903" s="17" t="s">
        <v>13811</v>
      </c>
      <c r="E1903" s="10">
        <v>1621613</v>
      </c>
      <c r="F1903" s="4" t="str">
        <f>IF(B1903=B1902,"",B1903)</f>
        <v/>
      </c>
    </row>
    <row r="1904" spans="1:6" ht="15.75" customHeight="1">
      <c r="A1904" s="5" t="s">
        <v>9311</v>
      </c>
      <c r="B1904" s="6" t="s">
        <v>9311</v>
      </c>
      <c r="C1904" s="5" t="s">
        <v>8028</v>
      </c>
      <c r="D1904" s="5" t="s">
        <v>8031</v>
      </c>
      <c r="E1904" s="2">
        <v>2810716</v>
      </c>
      <c r="F1904" s="4" t="str">
        <f>IF(B1904=B1903,"",B1904)</f>
        <v>Wertheim</v>
      </c>
    </row>
    <row r="1905" spans="1:6" ht="15.75" customHeight="1">
      <c r="A1905" s="5" t="str">
        <f ca="1">IFERROR(__xludf.DUMMYFUNCTION("GOOGLETRANSLATE(B27391,""en"",""pt"")"),"Wertheim")</f>
        <v>Wertheim</v>
      </c>
      <c r="B1905" s="17" t="s">
        <v>9311</v>
      </c>
      <c r="C1905" s="17" t="s">
        <v>8028</v>
      </c>
      <c r="D1905" s="17" t="s">
        <v>32013</v>
      </c>
      <c r="E1905" s="10">
        <v>2810716</v>
      </c>
      <c r="F1905" s="4" t="str">
        <f>IF(B1905=B1904,"",B1905)</f>
        <v/>
      </c>
    </row>
    <row r="1906" spans="1:6" ht="15.75" customHeight="1">
      <c r="A1906" s="6" t="s">
        <v>1107</v>
      </c>
      <c r="B1906" s="6" t="s">
        <v>1107</v>
      </c>
      <c r="C1906" s="6" t="s">
        <v>885</v>
      </c>
      <c r="D1906" s="6" t="s">
        <v>827</v>
      </c>
      <c r="E1906" s="2">
        <v>2144095</v>
      </c>
      <c r="F1906" s="4" t="str">
        <f>IF(B1906=B1905,"",B1906)</f>
        <v>Werribee</v>
      </c>
    </row>
    <row r="1907" spans="1:6" ht="15.75" customHeight="1">
      <c r="A1907" s="5" t="str">
        <f ca="1">IFERROR(__xludf.DUMMYFUNCTION("GOOGLETRANSLATE(B23431,""en"",""pt"")"),"Werribee")</f>
        <v>Werribee</v>
      </c>
      <c r="B1907" s="17" t="s">
        <v>1107</v>
      </c>
      <c r="C1907" s="17" t="s">
        <v>885</v>
      </c>
      <c r="D1907" s="17" t="s">
        <v>827</v>
      </c>
      <c r="E1907" s="10">
        <v>2144095</v>
      </c>
      <c r="F1907" s="4" t="str">
        <f>IF(B1907=B1906,"",B1907)</f>
        <v/>
      </c>
    </row>
    <row r="1908" spans="1:6" ht="15.75" customHeight="1">
      <c r="A1908" s="6" t="s">
        <v>6928</v>
      </c>
      <c r="B1908" s="6" t="s">
        <v>6928</v>
      </c>
      <c r="C1908" s="6" t="s">
        <v>6807</v>
      </c>
      <c r="D1908" s="6" t="s">
        <v>6811</v>
      </c>
      <c r="E1908" s="2">
        <v>326206</v>
      </c>
      <c r="F1908" s="4" t="str">
        <f>IF(B1908=B1907,"",B1908)</f>
        <v>Werota</v>
      </c>
    </row>
    <row r="1909" spans="1:6" ht="15.75" customHeight="1">
      <c r="A1909" s="5" t="str">
        <f ca="1">IFERROR(__xludf.DUMMYFUNCTION("GOOGLETRANSLATE(B29522,""en"",""pt"")"),"Werota")</f>
        <v>Werota</v>
      </c>
      <c r="B1909" s="17" t="s">
        <v>6928</v>
      </c>
      <c r="C1909" s="17" t="s">
        <v>6807</v>
      </c>
      <c r="D1909" s="17" t="s">
        <v>6811</v>
      </c>
      <c r="E1909" s="10">
        <v>326206</v>
      </c>
      <c r="F1909" s="4" t="str">
        <f>IF(B1909=B1908,"",B1909)</f>
        <v/>
      </c>
    </row>
    <row r="1910" spans="1:6" ht="15.75" customHeight="1">
      <c r="A1910" s="5" t="s">
        <v>9310</v>
      </c>
      <c r="B1910" s="6" t="s">
        <v>9310</v>
      </c>
      <c r="C1910" s="5" t="s">
        <v>8028</v>
      </c>
      <c r="D1910" s="5" t="s">
        <v>8085</v>
      </c>
      <c r="E1910" s="2">
        <v>2810808</v>
      </c>
      <c r="F1910" s="4" t="str">
        <f>IF(B1910=B1909,"",B1910)</f>
        <v>Wernigerode</v>
      </c>
    </row>
    <row r="1911" spans="1:6" ht="15.75" customHeight="1">
      <c r="A1911" s="5" t="str">
        <f ca="1">IFERROR(__xludf.DUMMYFUNCTION("GOOGLETRANSLATE(B27392,""en"",""pt"")"),"Wernigerode")</f>
        <v>Wernigerode</v>
      </c>
      <c r="B1911" s="17" t="s">
        <v>9310</v>
      </c>
      <c r="C1911" s="17" t="s">
        <v>8028</v>
      </c>
      <c r="D1911" s="17" t="s">
        <v>8085</v>
      </c>
      <c r="E1911" s="10">
        <v>2810808</v>
      </c>
      <c r="F1911" s="4" t="str">
        <f>IF(B1911=B1910,"",B1911)</f>
        <v/>
      </c>
    </row>
    <row r="1912" spans="1:6" ht="15.75" customHeight="1">
      <c r="A1912" s="6" t="s">
        <v>9309</v>
      </c>
      <c r="B1912" s="6" t="s">
        <v>9309</v>
      </c>
      <c r="C1912" s="6" t="s">
        <v>8028</v>
      </c>
      <c r="D1912" s="6" t="s">
        <v>8029</v>
      </c>
      <c r="E1912" s="2">
        <v>2810833</v>
      </c>
      <c r="F1912" s="4" t="str">
        <f>IF(B1912=B1911,"",B1912)</f>
        <v>Werne</v>
      </c>
    </row>
    <row r="1913" spans="1:6" ht="15.75" customHeight="1">
      <c r="A1913" s="5" t="str">
        <f ca="1">IFERROR(__xludf.DUMMYFUNCTION("GOOGLETRANSLATE(B27393,""en"",""pt"")"),"Werne")</f>
        <v>Werne</v>
      </c>
      <c r="B1913" s="17" t="s">
        <v>9309</v>
      </c>
      <c r="C1913" s="17" t="s">
        <v>8028</v>
      </c>
      <c r="D1913" s="17" t="s">
        <v>8029</v>
      </c>
      <c r="E1913" s="10">
        <v>2810833</v>
      </c>
      <c r="F1913" s="4" t="str">
        <f>IF(B1913=B1912,"",B1913)</f>
        <v/>
      </c>
    </row>
    <row r="1914" spans="1:6" ht="15.75" customHeight="1">
      <c r="A1914" s="5" t="s">
        <v>9308</v>
      </c>
      <c r="B1914" s="6" t="s">
        <v>9308</v>
      </c>
      <c r="C1914" s="5" t="s">
        <v>8028</v>
      </c>
      <c r="D1914" s="5" t="s">
        <v>8029</v>
      </c>
      <c r="E1914" s="2">
        <v>2810855</v>
      </c>
      <c r="F1914" s="4" t="str">
        <f>IF(B1914=B1913,"",B1914)</f>
        <v>Wermelskirchen</v>
      </c>
    </row>
    <row r="1915" spans="1:6" ht="15.75" customHeight="1">
      <c r="A1915" s="5" t="str">
        <f ca="1">IFERROR(__xludf.DUMMYFUNCTION("GOOGLETRANSLATE(B27394,""en"",""pt"")"),"Wermelskirchen")</f>
        <v>Wermelskirchen</v>
      </c>
      <c r="B1915" s="17" t="s">
        <v>9308</v>
      </c>
      <c r="C1915" s="17" t="s">
        <v>8028</v>
      </c>
      <c r="D1915" s="17" t="s">
        <v>8029</v>
      </c>
      <c r="E1915" s="10">
        <v>2810855</v>
      </c>
      <c r="F1915" s="4" t="str">
        <f>IF(B1915=B1914,"",B1915)</f>
        <v/>
      </c>
    </row>
    <row r="1916" spans="1:6" ht="15.75" customHeight="1">
      <c r="A1916" s="6" t="s">
        <v>9307</v>
      </c>
      <c r="B1916" s="6" t="s">
        <v>9307</v>
      </c>
      <c r="C1916" s="6" t="s">
        <v>8028</v>
      </c>
      <c r="D1916" s="6" t="s">
        <v>8029</v>
      </c>
      <c r="E1916" s="2">
        <v>2810878</v>
      </c>
      <c r="F1916" s="4" t="str">
        <f>IF(B1916=B1915,"",B1916)</f>
        <v>Werl</v>
      </c>
    </row>
    <row r="1917" spans="1:6" ht="15.75" customHeight="1">
      <c r="A1917" s="5" t="str">
        <f ca="1">IFERROR(__xludf.DUMMYFUNCTION("GOOGLETRANSLATE(B27395,""en"",""pt"")"),"Werl")</f>
        <v>Werl</v>
      </c>
      <c r="B1917" s="17" t="s">
        <v>9307</v>
      </c>
      <c r="C1917" s="17" t="s">
        <v>8028</v>
      </c>
      <c r="D1917" s="17" t="s">
        <v>8029</v>
      </c>
      <c r="E1917" s="10">
        <v>2810878</v>
      </c>
      <c r="F1917" s="4" t="str">
        <f>IF(B1917=B1916,"",B1917)</f>
        <v/>
      </c>
    </row>
    <row r="1918" spans="1:6" ht="15.75" customHeight="1">
      <c r="A1918" s="5" t="s">
        <v>19137</v>
      </c>
      <c r="B1918" s="6" t="s">
        <v>19137</v>
      </c>
      <c r="C1918" s="5" t="s">
        <v>18862</v>
      </c>
      <c r="D1918" s="5" t="s">
        <v>18888</v>
      </c>
      <c r="E1918" s="2">
        <v>2744827</v>
      </c>
      <c r="F1918" s="4" t="str">
        <f>IF(B1918=B1917,"",B1918)</f>
        <v>Werkendam</v>
      </c>
    </row>
    <row r="1919" spans="1:6" ht="15.75" customHeight="1">
      <c r="A1919" s="5" t="str">
        <f ca="1">IFERROR(__xludf.DUMMYFUNCTION("GOOGLETRANSLATE(B37907,""en"",""pt"")"),"Werkendam")</f>
        <v>Werkendam</v>
      </c>
      <c r="B1919" s="17" t="s">
        <v>19137</v>
      </c>
      <c r="C1919" s="17" t="s">
        <v>18862</v>
      </c>
      <c r="D1919" s="17" t="s">
        <v>18888</v>
      </c>
      <c r="E1919" s="10">
        <v>2744827</v>
      </c>
      <c r="F1919" s="4" t="str">
        <f>IF(B1919=B1918,"",B1919)</f>
        <v/>
      </c>
    </row>
    <row r="1920" spans="1:6" ht="15.75" customHeight="1">
      <c r="A1920" s="6" t="s">
        <v>9306</v>
      </c>
      <c r="B1920" s="6" t="s">
        <v>9306</v>
      </c>
      <c r="C1920" s="6" t="s">
        <v>8028</v>
      </c>
      <c r="D1920" s="6" t="s">
        <v>8029</v>
      </c>
      <c r="E1920" s="2">
        <v>2810919</v>
      </c>
      <c r="F1920" s="4" t="str">
        <f>IF(B1920=B1919,"",B1920)</f>
        <v>Werdohl</v>
      </c>
    </row>
    <row r="1921" spans="1:6" ht="15.75" customHeight="1">
      <c r="A1921" s="5" t="str">
        <f ca="1">IFERROR(__xludf.DUMMYFUNCTION("GOOGLETRANSLATE(B27396,""en"",""pt"")"),"Werdohl")</f>
        <v>Werdohl</v>
      </c>
      <c r="B1921" s="17" t="s">
        <v>9306</v>
      </c>
      <c r="C1921" s="17" t="s">
        <v>8028</v>
      </c>
      <c r="D1921" s="17" t="s">
        <v>8029</v>
      </c>
      <c r="E1921" s="10">
        <v>2810919</v>
      </c>
      <c r="F1921" s="4" t="str">
        <f>IF(B1921=B1920,"",B1921)</f>
        <v/>
      </c>
    </row>
    <row r="1922" spans="1:6" ht="15.75" customHeight="1">
      <c r="A1922" s="6" t="s">
        <v>9305</v>
      </c>
      <c r="B1922" s="6" t="s">
        <v>9305</v>
      </c>
      <c r="C1922" s="6" t="s">
        <v>8028</v>
      </c>
      <c r="D1922" s="6" t="s">
        <v>8070</v>
      </c>
      <c r="E1922" s="2">
        <v>2810945</v>
      </c>
      <c r="F1922" s="4" t="str">
        <f>IF(B1922=B1921,"",B1922)</f>
        <v>Werder</v>
      </c>
    </row>
    <row r="1923" spans="1:6" ht="15.75" customHeight="1">
      <c r="A1923" s="5" t="str">
        <f ca="1">IFERROR(__xludf.DUMMYFUNCTION("GOOGLETRANSLATE(B27397,""en"",""pt"")"),"Werder")</f>
        <v>Werder</v>
      </c>
      <c r="B1923" s="17" t="s">
        <v>9305</v>
      </c>
      <c r="C1923" s="17" t="s">
        <v>8028</v>
      </c>
      <c r="D1923" s="17" t="s">
        <v>8070</v>
      </c>
      <c r="E1923" s="10">
        <v>2810945</v>
      </c>
      <c r="F1923" s="4" t="str">
        <f>IF(B1923=B1922,"",B1923)</f>
        <v/>
      </c>
    </row>
    <row r="1924" spans="1:6" ht="15.75" customHeight="1">
      <c r="A1924" s="6" t="s">
        <v>9304</v>
      </c>
      <c r="B1924" s="6" t="s">
        <v>9304</v>
      </c>
      <c r="C1924" s="6" t="s">
        <v>8028</v>
      </c>
      <c r="D1924" s="6" t="s">
        <v>8072</v>
      </c>
      <c r="E1924" s="2">
        <v>2810969</v>
      </c>
      <c r="F1924" s="4" t="str">
        <f>IF(B1924=B1923,"",B1924)</f>
        <v>Werdau</v>
      </c>
    </row>
    <row r="1925" spans="1:6" ht="15.75" customHeight="1">
      <c r="A1925" s="5" t="str">
        <f ca="1">IFERROR(__xludf.DUMMYFUNCTION("GOOGLETRANSLATE(B27398,""en"",""pt"")"),"Werdau")</f>
        <v>Werdau</v>
      </c>
      <c r="B1925" s="17" t="s">
        <v>9304</v>
      </c>
      <c r="C1925" s="17" t="s">
        <v>8028</v>
      </c>
      <c r="D1925" s="17" t="s">
        <v>8072</v>
      </c>
      <c r="E1925" s="10">
        <v>2810969</v>
      </c>
      <c r="F1925" s="4" t="str">
        <f>IF(B1925=B1924,"",B1925)</f>
        <v/>
      </c>
    </row>
    <row r="1926" spans="1:6" ht="15.75" customHeight="1">
      <c r="A1926" s="5" t="s">
        <v>13774</v>
      </c>
      <c r="B1926" s="6" t="s">
        <v>13775</v>
      </c>
      <c r="C1926" s="5" t="s">
        <v>10178</v>
      </c>
      <c r="D1926" s="5" t="s">
        <v>10179</v>
      </c>
      <c r="E1926" s="2">
        <v>1252885</v>
      </c>
      <c r="F1926" s="4" t="str">
        <f>IF(B1926=B1925,"",B1926)</f>
        <v>Wer</v>
      </c>
    </row>
    <row r="1927" spans="1:6" ht="15.75" customHeight="1">
      <c r="A1927" s="5" t="str">
        <f ca="1">IFERROR(__xludf.DUMMYFUNCTION("GOOGLETRANSLATE(B31845,""en"",""pt"")"),"Nós somos")</f>
        <v>Nós somos</v>
      </c>
      <c r="B1927" s="17" t="s">
        <v>13775</v>
      </c>
      <c r="C1927" s="17" t="s">
        <v>10178</v>
      </c>
      <c r="D1927" s="17" t="s">
        <v>10179</v>
      </c>
      <c r="E1927" s="10">
        <v>1252885</v>
      </c>
      <c r="F1927" s="4" t="str">
        <f>IF(B1927=B1926,"",B1927)</f>
        <v/>
      </c>
    </row>
    <row r="1928" spans="1:6" ht="15.75" customHeight="1">
      <c r="A1928" s="6" t="s">
        <v>5158</v>
      </c>
      <c r="B1928" s="6" t="s">
        <v>5158</v>
      </c>
      <c r="C1928" s="6" t="s">
        <v>4487</v>
      </c>
      <c r="D1928" s="6" t="s">
        <v>4631</v>
      </c>
      <c r="E1928" s="2">
        <v>1791388</v>
      </c>
      <c r="F1928" s="4" t="str">
        <f>IF(B1928=B1927,"",B1928)</f>
        <v>Wenzhou</v>
      </c>
    </row>
    <row r="1929" spans="1:6" ht="15.75" customHeight="1">
      <c r="A1929" s="5" t="str">
        <f ca="1">IFERROR(__xludf.DUMMYFUNCTION("GOOGLETRANSLATE(B26215,""en"",""pt"")"),"Wenzhou")</f>
        <v>Wenzhou</v>
      </c>
      <c r="B1929" s="17" t="s">
        <v>5158</v>
      </c>
      <c r="C1929" s="17" t="s">
        <v>4487</v>
      </c>
      <c r="D1929" s="17" t="s">
        <v>4631</v>
      </c>
      <c r="E1929" s="10">
        <v>1791388</v>
      </c>
      <c r="F1929" s="4" t="str">
        <f>IF(B1929=B1928,"",B1929)</f>
        <v/>
      </c>
    </row>
    <row r="1930" spans="1:6" ht="15.75" customHeight="1">
      <c r="A1930" s="6" t="s">
        <v>5157</v>
      </c>
      <c r="B1930" s="6" t="s">
        <v>5157</v>
      </c>
      <c r="C1930" s="6" t="s">
        <v>4487</v>
      </c>
      <c r="D1930" s="6" t="s">
        <v>4495</v>
      </c>
      <c r="E1930" s="2">
        <v>1790451</v>
      </c>
      <c r="F1930" s="4" t="str">
        <f>IF(B1930=B1929,"",B1930)</f>
        <v>Wenxing</v>
      </c>
    </row>
    <row r="1931" spans="1:6" ht="15.75" customHeight="1">
      <c r="A1931" s="5" t="str">
        <f ca="1">IFERROR(__xludf.DUMMYFUNCTION("GOOGLETRANSLATE(B26197,""en"",""pt"")"),"Wenxing")</f>
        <v>Wenxing</v>
      </c>
      <c r="B1931" s="17" t="s">
        <v>5157</v>
      </c>
      <c r="C1931" s="17" t="s">
        <v>4487</v>
      </c>
      <c r="D1931" s="17" t="s">
        <v>4495</v>
      </c>
      <c r="E1931" s="10">
        <v>1790451</v>
      </c>
      <c r="F1931" s="4" t="str">
        <f>IF(B1931=B1930,"",B1931)</f>
        <v/>
      </c>
    </row>
    <row r="1932" spans="1:6" ht="15.75" customHeight="1">
      <c r="A1932" s="5" t="s">
        <v>30317</v>
      </c>
      <c r="B1932" s="6" t="s">
        <v>30317</v>
      </c>
      <c r="C1932" s="5" t="s">
        <v>27788</v>
      </c>
      <c r="D1932" s="5" t="s">
        <v>27806</v>
      </c>
      <c r="E1932" s="2">
        <v>4414001</v>
      </c>
      <c r="F1932" s="4" t="str">
        <f>IF(B1932=B1931,"",B1932)</f>
        <v>Wentzville</v>
      </c>
    </row>
    <row r="1933" spans="1:6" ht="15.75" customHeight="1">
      <c r="A1933" s="5" t="str">
        <f ca="1">IFERROR(__xludf.DUMMYFUNCTION("GOOGLETRANSLATE(B43397,""en"",""pt"")"),"Wentzville")</f>
        <v>Wentzville</v>
      </c>
      <c r="B1933" s="17" t="s">
        <v>30317</v>
      </c>
      <c r="C1933" s="17" t="s">
        <v>27788</v>
      </c>
      <c r="D1933" s="17" t="s">
        <v>27806</v>
      </c>
      <c r="E1933" s="10">
        <v>4414001</v>
      </c>
      <c r="F1933" s="4" t="str">
        <f>IF(B1933=B1932,"",B1933)</f>
        <v/>
      </c>
    </row>
    <row r="1934" spans="1:6" ht="15.75" customHeight="1">
      <c r="A1934" s="5" t="s">
        <v>5156</v>
      </c>
      <c r="B1934" s="6" t="s">
        <v>5156</v>
      </c>
      <c r="C1934" s="5" t="s">
        <v>4487</v>
      </c>
      <c r="D1934" s="5" t="s">
        <v>4503</v>
      </c>
      <c r="E1934" s="2">
        <v>1791428</v>
      </c>
      <c r="F1934" s="4" t="str">
        <f>IF(B1934=B1933,"",B1934)</f>
        <v>Wenshang</v>
      </c>
    </row>
    <row r="1935" spans="1:6" ht="15.75" customHeight="1">
      <c r="A1935" s="5" t="str">
        <f ca="1">IFERROR(__xludf.DUMMYFUNCTION("GOOGLETRANSLATE(B26216,""en"",""pt"")"),"Wenshang")</f>
        <v>Wenshang</v>
      </c>
      <c r="B1935" s="17" t="s">
        <v>5156</v>
      </c>
      <c r="C1935" s="17" t="s">
        <v>4487</v>
      </c>
      <c r="D1935" s="17" t="s">
        <v>4503</v>
      </c>
      <c r="E1935" s="10">
        <v>1791428</v>
      </c>
      <c r="F1935" s="4" t="str">
        <f>IF(B1935=B1934,"",B1935)</f>
        <v/>
      </c>
    </row>
    <row r="1936" spans="1:6" ht="15.75" customHeight="1">
      <c r="A1936" s="5" t="s">
        <v>5154</v>
      </c>
      <c r="B1936" s="6" t="s">
        <v>5155</v>
      </c>
      <c r="C1936" s="5" t="s">
        <v>4487</v>
      </c>
      <c r="D1936" s="5" t="s">
        <v>4607</v>
      </c>
      <c r="E1936" s="2">
        <v>8505006</v>
      </c>
      <c r="F1936" s="4" t="str">
        <f>IF(B1936=B1935,"",B1936)</f>
        <v>Wenshan City</v>
      </c>
    </row>
    <row r="1937" spans="1:6" ht="15.75" customHeight="1">
      <c r="A1937" s="5" t="str">
        <f ca="1">IFERROR(__xludf.DUMMYFUNCTION("GOOGLETRANSLATE(B26841,""en"",""pt"")"),"Cidade de Wenshan")</f>
        <v>Cidade de Wenshan</v>
      </c>
      <c r="B1937" s="17" t="s">
        <v>5155</v>
      </c>
      <c r="C1937" s="17" t="s">
        <v>4487</v>
      </c>
      <c r="D1937" s="17" t="s">
        <v>4607</v>
      </c>
      <c r="E1937" s="10">
        <v>8505006</v>
      </c>
      <c r="F1937" s="4" t="str">
        <f>IF(B1937=B1936,"",B1937)</f>
        <v/>
      </c>
    </row>
    <row r="1938" spans="1:6" ht="15.75" customHeight="1">
      <c r="A1938" s="6" t="s">
        <v>5153</v>
      </c>
      <c r="B1938" s="6" t="s">
        <v>5153</v>
      </c>
      <c r="C1938" s="6" t="s">
        <v>4487</v>
      </c>
      <c r="D1938" s="6" t="s">
        <v>4631</v>
      </c>
      <c r="E1938" s="2">
        <v>1791464</v>
      </c>
      <c r="F1938" s="4" t="str">
        <f>IF(B1938=B1937,"",B1938)</f>
        <v>Wenling</v>
      </c>
    </row>
    <row r="1939" spans="1:6" ht="15.75" customHeight="1">
      <c r="A1939" s="5" t="str">
        <f ca="1">IFERROR(__xludf.DUMMYFUNCTION("GOOGLETRANSLATE(B26217,""en"",""pt"")"),"Wenling")</f>
        <v>Wenling</v>
      </c>
      <c r="B1939" s="17" t="s">
        <v>5153</v>
      </c>
      <c r="C1939" s="17" t="s">
        <v>4487</v>
      </c>
      <c r="D1939" s="17" t="s">
        <v>4631</v>
      </c>
      <c r="E1939" s="10">
        <v>1791464</v>
      </c>
      <c r="F1939" s="4" t="str">
        <f>IF(B1939=B1938,"",B1939)</f>
        <v/>
      </c>
    </row>
    <row r="1940" spans="1:6" ht="15.75" customHeight="1">
      <c r="A1940" s="5" t="str">
        <f ca="1">IFERROR(__xludf.DUMMYFUNCTION("GOOGLETRANSLATE(B29523,""en"",""pt"")"),"Wenjī")</f>
        <v>Wenjī</v>
      </c>
      <c r="B1940" s="17" t="s">
        <v>32486</v>
      </c>
      <c r="C1940" s="17" t="s">
        <v>6807</v>
      </c>
      <c r="D1940" s="17" t="s">
        <v>6814</v>
      </c>
      <c r="E1940" s="10">
        <v>326308</v>
      </c>
      <c r="F1940" s="4" t="str">
        <f>IF(B1940=B1939,"",B1940)</f>
        <v>Wenjī</v>
      </c>
    </row>
    <row r="1941" spans="1:6" ht="15.75" customHeight="1">
      <c r="A1941" s="6" t="s">
        <v>6926</v>
      </c>
      <c r="B1941" s="6" t="s">
        <v>6927</v>
      </c>
      <c r="C1941" s="6" t="s">
        <v>6807</v>
      </c>
      <c r="D1941" s="6" t="s">
        <v>6814</v>
      </c>
      <c r="E1941" s="2">
        <v>326308</v>
      </c>
      <c r="F1941" s="4" t="str">
        <f>IF(B1941=B1940,"",B1941)</f>
        <v>WenjÄ«</v>
      </c>
    </row>
    <row r="1942" spans="1:6" ht="15.75" customHeight="1">
      <c r="A1942" s="5" t="s">
        <v>9303</v>
      </c>
      <c r="B1942" s="6" t="s">
        <v>9303</v>
      </c>
      <c r="C1942" s="5" t="s">
        <v>8028</v>
      </c>
      <c r="D1942" s="5" t="s">
        <v>8031</v>
      </c>
      <c r="E1942" s="2">
        <v>2811204</v>
      </c>
      <c r="F1942" s="4" t="str">
        <f>IF(B1942=B1941,"",B1942)</f>
        <v>Wendlingen am Neckar</v>
      </c>
    </row>
    <row r="1943" spans="1:6" ht="15.75" customHeight="1">
      <c r="A1943" s="5" t="str">
        <f ca="1">IFERROR(__xludf.DUMMYFUNCTION("GOOGLETRANSLATE(B27399,""en"",""pt"")"),"Wendlingen am Neckar")</f>
        <v>Wendlingen am Neckar</v>
      </c>
      <c r="B1943" s="17" t="s">
        <v>9303</v>
      </c>
      <c r="C1943" s="17" t="s">
        <v>8028</v>
      </c>
      <c r="D1943" s="17" t="s">
        <v>32013</v>
      </c>
      <c r="E1943" s="10">
        <v>2811204</v>
      </c>
      <c r="F1943" s="4" t="str">
        <f>IF(B1943=B1942,"",B1943)</f>
        <v/>
      </c>
    </row>
    <row r="1944" spans="1:6" ht="15.75" customHeight="1">
      <c r="A1944" s="6" t="s">
        <v>9301</v>
      </c>
      <c r="B1944" s="6" t="s">
        <v>9302</v>
      </c>
      <c r="C1944" s="6" t="s">
        <v>8028</v>
      </c>
      <c r="D1944" s="6" t="s">
        <v>8029</v>
      </c>
      <c r="E1944" s="2">
        <v>2811278</v>
      </c>
      <c r="F1944" s="4" t="str">
        <f>IF(B1944=B1943,"",B1944)</f>
        <v>Wenden</v>
      </c>
    </row>
    <row r="1945" spans="1:6" ht="15.75" customHeight="1">
      <c r="A1945" s="5" t="str">
        <f ca="1">IFERROR(__xludf.DUMMYFUNCTION("GOOGLETRANSLATE(B27400,""en"",""pt"")"),"WENDEN")</f>
        <v>WENDEN</v>
      </c>
      <c r="B1945" s="17" t="s">
        <v>9302</v>
      </c>
      <c r="C1945" s="17" t="s">
        <v>8028</v>
      </c>
      <c r="D1945" s="17" t="s">
        <v>8029</v>
      </c>
      <c r="E1945" s="10">
        <v>2811278</v>
      </c>
      <c r="F1945" s="4" t="str">
        <f>IF(B1945=B1944,"",B1945)</f>
        <v/>
      </c>
    </row>
    <row r="1946" spans="1:6" ht="15.75" customHeight="1">
      <c r="A1946" s="5" t="s">
        <v>9300</v>
      </c>
      <c r="B1946" s="6" t="s">
        <v>9300</v>
      </c>
      <c r="C1946" s="5" t="s">
        <v>8028</v>
      </c>
      <c r="D1946" s="5" t="s">
        <v>8044</v>
      </c>
      <c r="E1946" s="2">
        <v>2811292</v>
      </c>
      <c r="F1946" s="4" t="str">
        <f>IF(B1946=B1945,"",B1946)</f>
        <v>Wendelstein</v>
      </c>
    </row>
    <row r="1947" spans="1:6" ht="15.75" customHeight="1">
      <c r="A1947" s="5" t="str">
        <f ca="1">IFERROR(__xludf.DUMMYFUNCTION("GOOGLETRANSLATE(B27401,""en"",""pt"")"),"Wendelstein")</f>
        <v>Wendelstein</v>
      </c>
      <c r="B1947" s="17" t="s">
        <v>9300</v>
      </c>
      <c r="C1947" s="17" t="s">
        <v>8028</v>
      </c>
      <c r="D1947" s="17" t="s">
        <v>8044</v>
      </c>
      <c r="E1947" s="10">
        <v>2811292</v>
      </c>
      <c r="F1947" s="4" t="str">
        <f>IF(B1947=B1946,"",B1947)</f>
        <v/>
      </c>
    </row>
    <row r="1948" spans="1:6" ht="15.75" customHeight="1">
      <c r="A1948" s="6" t="s">
        <v>9435</v>
      </c>
      <c r="B1948" s="6" t="s">
        <v>9435</v>
      </c>
      <c r="C1948" s="6" t="s">
        <v>9365</v>
      </c>
      <c r="D1948" s="6" t="s">
        <v>9383</v>
      </c>
      <c r="E1948" s="2">
        <v>2294086</v>
      </c>
      <c r="F1948" s="4" t="str">
        <f>IF(B1948=B1947,"",B1948)</f>
        <v>Wenchi</v>
      </c>
    </row>
    <row r="1949" spans="1:6" ht="15.75" customHeight="1">
      <c r="A1949" s="5" t="str">
        <f ca="1">IFERROR(__xludf.DUMMYFUNCTION("GOOGLETRANSLATE(B30858,""en"",""pt"")"),"Wenchi")</f>
        <v>Wenchi</v>
      </c>
      <c r="B1949" s="17" t="s">
        <v>9435</v>
      </c>
      <c r="C1949" s="17" t="s">
        <v>9365</v>
      </c>
      <c r="D1949" s="17" t="s">
        <v>9383</v>
      </c>
      <c r="E1949" s="10">
        <v>2294086</v>
      </c>
      <c r="F1949" s="4" t="str">
        <f>IF(B1949=B1948,"",B1949)</f>
        <v/>
      </c>
    </row>
    <row r="1950" spans="1:6" ht="15.75" customHeight="1">
      <c r="A1950" s="5" t="s">
        <v>3683</v>
      </c>
      <c r="B1950" s="6" t="s">
        <v>3683</v>
      </c>
      <c r="C1950" s="5" t="s">
        <v>1905</v>
      </c>
      <c r="D1950" s="5" t="s">
        <v>728</v>
      </c>
      <c r="E1950" s="2">
        <v>3445348</v>
      </c>
      <c r="F1950" s="4" t="str">
        <f>IF(B1950=B1949,"",B1950)</f>
        <v>Wenceslau Braz</v>
      </c>
    </row>
    <row r="1951" spans="1:6" ht="15.75" customHeight="1">
      <c r="A1951" s="5" t="str">
        <f ca="1">IFERROR(__xludf.DUMMYFUNCTION("GOOGLETRANSLATE(B24444,""en"",""pt"")"),"Wenceslau Braz")</f>
        <v>Wenceslau Braz</v>
      </c>
      <c r="B1951" s="17" t="s">
        <v>3683</v>
      </c>
      <c r="C1951" s="17" t="s">
        <v>1905</v>
      </c>
      <c r="D1951" s="17" t="s">
        <v>727</v>
      </c>
      <c r="E1951" s="10">
        <v>3445348</v>
      </c>
      <c r="F1951" s="4" t="str">
        <f>IF(B1951=B1950,"",B1951)</f>
        <v/>
      </c>
    </row>
    <row r="1952" spans="1:6" ht="15.75" customHeight="1">
      <c r="A1952" s="5" t="s">
        <v>30316</v>
      </c>
      <c r="B1952" s="6" t="s">
        <v>30316</v>
      </c>
      <c r="C1952" s="5" t="s">
        <v>27788</v>
      </c>
      <c r="D1952" s="5" t="s">
        <v>27733</v>
      </c>
      <c r="E1952" s="2">
        <v>5815342</v>
      </c>
      <c r="F1952" s="4" t="str">
        <f>IF(B1952=B1951,"",B1952)</f>
        <v>Wenatchee</v>
      </c>
    </row>
    <row r="1953" spans="1:6" ht="15.75" customHeight="1">
      <c r="A1953" s="5" t="str">
        <f ca="1">IFERROR(__xludf.DUMMYFUNCTION("GOOGLETRANSLATE(B45388,""en"",""pt"")"),"Wenatchee")</f>
        <v>Wenatchee</v>
      </c>
      <c r="B1953" s="17" t="s">
        <v>30316</v>
      </c>
      <c r="C1953" s="17" t="s">
        <v>27788</v>
      </c>
      <c r="D1953" s="17" t="s">
        <v>27733</v>
      </c>
      <c r="E1953" s="10">
        <v>5815342</v>
      </c>
      <c r="F1953" s="4" t="str">
        <f>IF(B1953=B1952,"",B1953)</f>
        <v/>
      </c>
    </row>
    <row r="1954" spans="1:6" ht="15.75" customHeight="1">
      <c r="A1954" s="5" t="s">
        <v>27744</v>
      </c>
      <c r="B1954" s="6" t="s">
        <v>27744</v>
      </c>
      <c r="C1954" s="5" t="s">
        <v>27234</v>
      </c>
      <c r="D1954" s="5" t="s">
        <v>27241</v>
      </c>
      <c r="E1954" s="2">
        <v>2634552</v>
      </c>
      <c r="F1954" s="4" t="str">
        <f>IF(B1954=B1953,"",B1954)</f>
        <v>Welwyn Garden City</v>
      </c>
    </row>
    <row r="1955" spans="1:6" ht="15.75" customHeight="1">
      <c r="A1955" s="5" t="str">
        <f ca="1">IFERROR(__xludf.DUMMYFUNCTION("GOOGLETRANSLATE(B30353,""en"",""pt"")"),"Welwyn Garden City")</f>
        <v>Welwyn Garden City</v>
      </c>
      <c r="B1955" s="17" t="s">
        <v>27744</v>
      </c>
      <c r="C1955" s="17" t="s">
        <v>27234</v>
      </c>
      <c r="D1955" s="17" t="s">
        <v>27241</v>
      </c>
      <c r="E1955" s="10">
        <v>2634552</v>
      </c>
      <c r="F1955" s="4" t="str">
        <f>IF(B1955=B1954,"",B1955)</f>
        <v/>
      </c>
    </row>
    <row r="1956" spans="1:6" ht="15.75" customHeight="1">
      <c r="A1956" s="6" t="s">
        <v>1165</v>
      </c>
      <c r="B1956" s="6" t="s">
        <v>1165</v>
      </c>
      <c r="C1956" s="6" t="s">
        <v>1117</v>
      </c>
      <c r="D1956" s="6" t="s">
        <v>1124</v>
      </c>
      <c r="E1956" s="2">
        <v>2761524</v>
      </c>
      <c r="F1956" s="4" t="str">
        <f>IF(B1956=B1955,"",B1956)</f>
        <v>Wels</v>
      </c>
    </row>
    <row r="1957" spans="1:6" ht="15.75" customHeight="1">
      <c r="A1957" s="5" t="str">
        <f ca="1">IFERROR(__xludf.DUMMYFUNCTION("GOOGLETRANSLATE(B23375,""en"",""pt"")"),"Wels")</f>
        <v>Wels</v>
      </c>
      <c r="B1957" s="17" t="s">
        <v>1165</v>
      </c>
      <c r="C1957" s="17" t="s">
        <v>1117</v>
      </c>
      <c r="D1957" s="17" t="s">
        <v>1124</v>
      </c>
      <c r="E1957" s="10">
        <v>2761524</v>
      </c>
      <c r="F1957" s="4" t="str">
        <f>IF(B1957=B1956,"",B1957)</f>
        <v/>
      </c>
    </row>
    <row r="1958" spans="1:6" ht="15.75" customHeight="1">
      <c r="A1958" s="5" t="s">
        <v>13773</v>
      </c>
      <c r="B1958" s="6" t="s">
        <v>13773</v>
      </c>
      <c r="C1958" s="5" t="s">
        <v>10178</v>
      </c>
      <c r="D1958" s="5" t="s">
        <v>10196</v>
      </c>
      <c r="E1958" s="2">
        <v>1252887</v>
      </c>
      <c r="F1958" s="4" t="str">
        <f>IF(B1958=B1957,"",B1958)</f>
        <v>Wellington</v>
      </c>
    </row>
    <row r="1959" spans="1:6" ht="15.75" customHeight="1">
      <c r="A1959" s="5" t="s">
        <v>13773</v>
      </c>
      <c r="B1959" s="6" t="s">
        <v>13773</v>
      </c>
      <c r="C1959" s="5" t="s">
        <v>19169</v>
      </c>
      <c r="D1959" s="5" t="s">
        <v>13773</v>
      </c>
      <c r="E1959" s="2">
        <v>2179537</v>
      </c>
      <c r="F1959" s="4" t="str">
        <f>IF(B1959=B1958,"",B1959)</f>
        <v/>
      </c>
    </row>
    <row r="1960" spans="1:6" ht="15.75" customHeight="1">
      <c r="A1960" s="5" t="s">
        <v>13773</v>
      </c>
      <c r="B1960" s="6" t="s">
        <v>13773</v>
      </c>
      <c r="C1960" s="5" t="s">
        <v>27234</v>
      </c>
      <c r="D1960" s="5" t="s">
        <v>27241</v>
      </c>
      <c r="E1960" s="2">
        <v>2634573</v>
      </c>
      <c r="F1960" s="4" t="str">
        <f>IF(B1960=B1959,"",B1960)</f>
        <v/>
      </c>
    </row>
    <row r="1961" spans="1:6" ht="15.75" customHeight="1">
      <c r="A1961" s="5" t="s">
        <v>13773</v>
      </c>
      <c r="B1961" s="6" t="s">
        <v>13773</v>
      </c>
      <c r="C1961" s="5" t="s">
        <v>27788</v>
      </c>
      <c r="D1961" s="5" t="s">
        <v>5468</v>
      </c>
      <c r="E1961" s="2">
        <v>4177703</v>
      </c>
      <c r="F1961" s="4" t="str">
        <f>IF(B1961=B1960,"",B1961)</f>
        <v/>
      </c>
    </row>
    <row r="1962" spans="1:6" ht="15.75" customHeight="1">
      <c r="A1962" s="5" t="str">
        <f ca="1">IFERROR(__xludf.DUMMYFUNCTION("GOOGLETRANSLATE(B30354,""en"",""pt"")"),"Wellington")</f>
        <v>Wellington</v>
      </c>
      <c r="B1962" s="17" t="s">
        <v>13773</v>
      </c>
      <c r="C1962" s="17" t="s">
        <v>27234</v>
      </c>
      <c r="D1962" s="17" t="s">
        <v>27241</v>
      </c>
      <c r="E1962" s="10">
        <v>2634573</v>
      </c>
      <c r="F1962" s="4" t="str">
        <f>IF(B1962=B1961,"",B1962)</f>
        <v/>
      </c>
    </row>
    <row r="1963" spans="1:6" ht="15.75" customHeight="1">
      <c r="A1963" s="5" t="str">
        <f ca="1">IFERROR(__xludf.DUMMYFUNCTION("GOOGLETRANSLATE(B31846,""en"",""pt"")"),"Wellington")</f>
        <v>Wellington</v>
      </c>
      <c r="B1963" s="17" t="s">
        <v>13773</v>
      </c>
      <c r="C1963" s="17" t="s">
        <v>10178</v>
      </c>
      <c r="D1963" s="17" t="s">
        <v>10196</v>
      </c>
      <c r="E1963" s="10">
        <v>1252887</v>
      </c>
      <c r="F1963" s="4" t="str">
        <f>IF(B1963=B1962,"",B1963)</f>
        <v/>
      </c>
    </row>
    <row r="1964" spans="1:6" ht="15.75" customHeight="1">
      <c r="A1964" s="5" t="str">
        <f ca="1">IFERROR(__xludf.DUMMYFUNCTION("GOOGLETRANSLATE(B38217,""en"",""pt"")"),"Wellington")</f>
        <v>Wellington</v>
      </c>
      <c r="B1964" s="17" t="s">
        <v>13773</v>
      </c>
      <c r="C1964" s="17" t="s">
        <v>19169</v>
      </c>
      <c r="D1964" s="17" t="s">
        <v>13773</v>
      </c>
      <c r="E1964" s="10">
        <v>2179537</v>
      </c>
      <c r="F1964" s="4" t="str">
        <f>IF(B1964=B1963,"",B1964)</f>
        <v/>
      </c>
    </row>
    <row r="1965" spans="1:6" ht="15.75" customHeight="1">
      <c r="A1965" s="5" t="str">
        <f ca="1">IFERROR(__xludf.DUMMYFUNCTION("GOOGLETRANSLATE(B43042,""en"",""pt"")"),"Wellington")</f>
        <v>Wellington</v>
      </c>
      <c r="B1965" s="17" t="s">
        <v>13773</v>
      </c>
      <c r="C1965" s="17" t="s">
        <v>27788</v>
      </c>
      <c r="D1965" s="17" t="s">
        <v>5468</v>
      </c>
      <c r="E1965" s="10">
        <v>4177703</v>
      </c>
      <c r="F1965" s="4" t="str">
        <f>IF(B1965=B1964,"",B1965)</f>
        <v/>
      </c>
    </row>
    <row r="1966" spans="1:6" ht="15.75" customHeight="1">
      <c r="A1966" s="5" t="s">
        <v>27743</v>
      </c>
      <c r="B1966" s="6" t="s">
        <v>27743</v>
      </c>
      <c r="C1966" s="5" t="s">
        <v>27234</v>
      </c>
      <c r="D1966" s="5" t="s">
        <v>27241</v>
      </c>
      <c r="E1966" s="2">
        <v>2634578</v>
      </c>
      <c r="F1966" s="4" t="str">
        <f>IF(B1966=B1965,"",B1966)</f>
        <v>Wellingborough</v>
      </c>
    </row>
    <row r="1967" spans="1:6" ht="15.75" customHeight="1">
      <c r="A1967" s="5" t="str">
        <f ca="1">IFERROR(__xludf.DUMMYFUNCTION("GOOGLETRANSLATE(B30355,""en"",""pt"")"),"Wellingborough")</f>
        <v>Wellingborough</v>
      </c>
      <c r="B1967" s="17" t="s">
        <v>27743</v>
      </c>
      <c r="C1967" s="17" t="s">
        <v>27234</v>
      </c>
      <c r="D1967" s="17" t="s">
        <v>27241</v>
      </c>
      <c r="E1967" s="10">
        <v>2634578</v>
      </c>
      <c r="F1967" s="4" t="str">
        <f>IF(B1967=B1966,"",B1967)</f>
        <v/>
      </c>
    </row>
    <row r="1968" spans="1:6" ht="15.75" customHeight="1">
      <c r="A1968" s="6" t="s">
        <v>27742</v>
      </c>
      <c r="B1968" s="6" t="s">
        <v>27742</v>
      </c>
      <c r="C1968" s="6" t="s">
        <v>27234</v>
      </c>
      <c r="D1968" s="6" t="s">
        <v>27241</v>
      </c>
      <c r="E1968" s="2">
        <v>2634579</v>
      </c>
      <c r="F1968" s="4" t="str">
        <f>IF(B1968=B1967,"",B1968)</f>
        <v>Welling</v>
      </c>
    </row>
    <row r="1969" spans="1:6" ht="15.75" customHeight="1">
      <c r="A1969" s="5" t="str">
        <f ca="1">IFERROR(__xludf.DUMMYFUNCTION("GOOGLETRANSLATE(B30356,""en"",""pt"")"),"Welling")</f>
        <v>Welling</v>
      </c>
      <c r="B1969" s="17" t="s">
        <v>27742</v>
      </c>
      <c r="C1969" s="17" t="s">
        <v>27234</v>
      </c>
      <c r="D1969" s="17" t="s">
        <v>27241</v>
      </c>
      <c r="E1969" s="10">
        <v>2634579</v>
      </c>
      <c r="F1969" s="4" t="str">
        <f>IF(B1969=B1968,"",B1969)</f>
        <v/>
      </c>
    </row>
    <row r="1970" spans="1:6" ht="15.75" customHeight="1">
      <c r="A1970" s="6" t="s">
        <v>30315</v>
      </c>
      <c r="B1970" s="6" t="s">
        <v>30315</v>
      </c>
      <c r="C1970" s="6" t="s">
        <v>27788</v>
      </c>
      <c r="D1970" s="6" t="s">
        <v>27794</v>
      </c>
      <c r="E1970" s="2">
        <v>4954738</v>
      </c>
      <c r="F1970" s="4" t="str">
        <f>IF(B1970=B1969,"",B1970)</f>
        <v>Wellesley</v>
      </c>
    </row>
    <row r="1971" spans="1:6" ht="15.75" customHeight="1">
      <c r="A1971" s="5" t="str">
        <f ca="1">IFERROR(__xludf.DUMMYFUNCTION("GOOGLETRANSLATE(B44039,""en"",""pt"")"),"Wellesley")</f>
        <v>Wellesley</v>
      </c>
      <c r="B1971" s="17" t="s">
        <v>30315</v>
      </c>
      <c r="C1971" s="17" t="s">
        <v>27788</v>
      </c>
      <c r="D1971" s="17" t="s">
        <v>27794</v>
      </c>
      <c r="E1971" s="10">
        <v>4954738</v>
      </c>
      <c r="F1971" s="4" t="str">
        <f>IF(B1971=B1970,"",B1971)</f>
        <v/>
      </c>
    </row>
    <row r="1972" spans="1:6" ht="15.75" customHeight="1">
      <c r="A1972" s="6" t="s">
        <v>4236</v>
      </c>
      <c r="B1972" s="6" t="s">
        <v>4237</v>
      </c>
      <c r="C1972" s="6" t="s">
        <v>3975</v>
      </c>
      <c r="D1972" s="6" t="s">
        <v>3980</v>
      </c>
      <c r="E1972" s="2">
        <v>6177869</v>
      </c>
      <c r="F1972" s="4" t="str">
        <f>IF(B1972=B1971,"",B1972)</f>
        <v>Welland</v>
      </c>
    </row>
    <row r="1973" spans="1:6" ht="15.75" customHeight="1">
      <c r="A1973" s="5" t="str">
        <f ca="1">IFERROR(__xludf.DUMMYFUNCTION("GOOGLETRANSLATE(B25610,""en"",""pt"")"),"Bem e")</f>
        <v>Bem e</v>
      </c>
      <c r="B1973" s="17" t="s">
        <v>4237</v>
      </c>
      <c r="C1973" s="17" t="s">
        <v>3975</v>
      </c>
      <c r="D1973" s="17" t="s">
        <v>3980</v>
      </c>
      <c r="E1973" s="10">
        <v>6177869</v>
      </c>
      <c r="F1973" s="4" t="str">
        <f>IF(B1973=B1972,"",B1973)</f>
        <v/>
      </c>
    </row>
    <row r="1974" spans="1:6" ht="15.75" customHeight="1">
      <c r="A1974" s="6" t="s">
        <v>24011</v>
      </c>
      <c r="B1974" s="6" t="s">
        <v>24011</v>
      </c>
      <c r="C1974" s="6" t="s">
        <v>23842</v>
      </c>
      <c r="D1974" s="6" t="s">
        <v>23845</v>
      </c>
      <c r="E1974" s="2">
        <v>940909</v>
      </c>
      <c r="F1974" s="4" t="str">
        <f>IF(B1974=B1973,"",B1974)</f>
        <v>Welkom</v>
      </c>
    </row>
    <row r="1975" spans="1:6" ht="15.75" customHeight="1">
      <c r="A1975" s="5" t="str">
        <f ca="1">IFERROR(__xludf.DUMMYFUNCTION("GOOGLETRANSLATE(B45849,""en"",""pt"")"),"Welkom")</f>
        <v>Welkom</v>
      </c>
      <c r="B1975" s="17" t="s">
        <v>24011</v>
      </c>
      <c r="C1975" s="17" t="s">
        <v>23842</v>
      </c>
      <c r="D1975" s="17" t="s">
        <v>23845</v>
      </c>
      <c r="E1975" s="10">
        <v>940909</v>
      </c>
      <c r="F1975" s="4" t="str">
        <f>IF(B1975=B1974,"",B1975)</f>
        <v/>
      </c>
    </row>
    <row r="1976" spans="1:6" ht="15.75" customHeight="1">
      <c r="A1976" s="6" t="s">
        <v>24984</v>
      </c>
      <c r="B1976" s="6" t="s">
        <v>24984</v>
      </c>
      <c r="C1976" s="6" t="s">
        <v>24924</v>
      </c>
      <c r="D1976" s="6" t="s">
        <v>6944</v>
      </c>
      <c r="E1976" s="2">
        <v>1223648</v>
      </c>
      <c r="F1976" s="4" t="str">
        <f>IF(B1976=B1975,"",B1976)</f>
        <v>Welisara</v>
      </c>
    </row>
    <row r="1977" spans="1:6" ht="15.75" customHeight="1">
      <c r="A1977" s="5" t="str">
        <f ca="1">IFERROR(__xludf.DUMMYFUNCTION("GOOGLETRANSLATE(B36290,""en"",""pt"")"),"Welisara")</f>
        <v>Welisara</v>
      </c>
      <c r="B1977" s="17" t="s">
        <v>24984</v>
      </c>
      <c r="C1977" s="17" t="s">
        <v>24924</v>
      </c>
      <c r="D1977" s="17" t="s">
        <v>6944</v>
      </c>
      <c r="E1977" s="10">
        <v>1223648</v>
      </c>
      <c r="F1977" s="4" t="str">
        <f>IF(B1977=B1976,"",B1977)</f>
        <v/>
      </c>
    </row>
    <row r="1978" spans="1:6" ht="15.75" customHeight="1">
      <c r="A1978" s="5" t="s">
        <v>24983</v>
      </c>
      <c r="B1978" s="6" t="s">
        <v>24983</v>
      </c>
      <c r="C1978" s="5" t="s">
        <v>24924</v>
      </c>
      <c r="D1978" s="5" t="s">
        <v>1884</v>
      </c>
      <c r="E1978" s="2">
        <v>1223738</v>
      </c>
      <c r="F1978" s="4" t="str">
        <f>IF(B1978=B1977,"",B1978)</f>
        <v>Weligama</v>
      </c>
    </row>
    <row r="1979" spans="1:6" ht="15.75" customHeight="1">
      <c r="A1979" s="5" t="str">
        <f ca="1">IFERROR(__xludf.DUMMYFUNCTION("GOOGLETRANSLATE(B36291,""en"",""pt"")"),"Weligama")</f>
        <v>Weligama</v>
      </c>
      <c r="B1979" s="17" t="s">
        <v>24983</v>
      </c>
      <c r="C1979" s="17" t="s">
        <v>24924</v>
      </c>
      <c r="D1979" s="17" t="s">
        <v>1884</v>
      </c>
      <c r="E1979" s="10">
        <v>1223738</v>
      </c>
      <c r="F1979" s="4" t="str">
        <f>IF(B1979=B1978,"",B1979)</f>
        <v/>
      </c>
    </row>
    <row r="1980" spans="1:6" ht="15.75" customHeight="1">
      <c r="A1980" s="6" t="s">
        <v>14229</v>
      </c>
      <c r="B1980" s="6" t="s">
        <v>14229</v>
      </c>
      <c r="C1980" s="6" t="s">
        <v>13800</v>
      </c>
      <c r="D1980" s="6" t="s">
        <v>13803</v>
      </c>
      <c r="E1980" s="2">
        <v>1621655</v>
      </c>
      <c r="F1980" s="4" t="str">
        <f>IF(B1980=B1979,"",B1980)</f>
        <v>Weleri</v>
      </c>
    </row>
    <row r="1981" spans="1:6" ht="15.75" customHeight="1">
      <c r="A1981" s="5" t="str">
        <f ca="1">IFERROR(__xludf.DUMMYFUNCTION("GOOGLETRANSLATE(B31390,""en"",""pt"")"),"Weleri")</f>
        <v>Weleri</v>
      </c>
      <c r="B1981" s="17" t="s">
        <v>14229</v>
      </c>
      <c r="C1981" s="17" t="s">
        <v>13800</v>
      </c>
      <c r="D1981" s="17" t="s">
        <v>13803</v>
      </c>
      <c r="E1981" s="10">
        <v>1621655</v>
      </c>
      <c r="F1981" s="4" t="str">
        <f>IF(B1981=B1980,"",B1981)</f>
        <v/>
      </c>
    </row>
    <row r="1982" spans="1:6" ht="15.75" customHeight="1">
      <c r="A1982" s="6" t="s">
        <v>14228</v>
      </c>
      <c r="B1982" s="6" t="s">
        <v>14228</v>
      </c>
      <c r="C1982" s="6" t="s">
        <v>13800</v>
      </c>
      <c r="D1982" s="6" t="s">
        <v>13803</v>
      </c>
      <c r="E1982" s="2">
        <v>1621659</v>
      </c>
      <c r="F1982" s="4" t="str">
        <f>IF(B1982=B1981,"",B1982)</f>
        <v>Welahan</v>
      </c>
    </row>
    <row r="1983" spans="1:6" ht="15.75" customHeight="1">
      <c r="A1983" s="5" t="str">
        <f ca="1">IFERROR(__xludf.DUMMYFUNCTION("GOOGLETRANSLATE(B31391,""en"",""pt"")"),"Welahan")</f>
        <v>Welahan</v>
      </c>
      <c r="B1983" s="17" t="s">
        <v>14228</v>
      </c>
      <c r="C1983" s="17" t="s">
        <v>13800</v>
      </c>
      <c r="D1983" s="17" t="s">
        <v>13803</v>
      </c>
      <c r="E1983" s="10">
        <v>1621659</v>
      </c>
      <c r="F1983" s="4" t="str">
        <f>IF(B1983=B1982,"",B1983)</f>
        <v/>
      </c>
    </row>
    <row r="1984" spans="1:6" ht="15.75" customHeight="1">
      <c r="A1984" s="5" t="s">
        <v>30314</v>
      </c>
      <c r="B1984" s="6" t="s">
        <v>30314</v>
      </c>
      <c r="C1984" s="5" t="s">
        <v>27788</v>
      </c>
      <c r="D1984" s="5" t="s">
        <v>5468</v>
      </c>
      <c r="E1984" s="2">
        <v>4177671</v>
      </c>
      <c r="F1984" s="4" t="str">
        <f>IF(B1984=B1983,"",B1984)</f>
        <v>Wekiwa Springs</v>
      </c>
    </row>
    <row r="1985" spans="1:6" ht="15.75" customHeight="1">
      <c r="A1985" s="5" t="str">
        <f ca="1">IFERROR(__xludf.DUMMYFUNCTION("GOOGLETRANSLATE(B43041,""en"",""pt"")"),"Wekiwa Springs")</f>
        <v>Wekiwa Springs</v>
      </c>
      <c r="B1985" s="17" t="s">
        <v>30314</v>
      </c>
      <c r="C1985" s="17" t="s">
        <v>27788</v>
      </c>
      <c r="D1985" s="17" t="s">
        <v>5468</v>
      </c>
      <c r="E1985" s="10">
        <v>4177671</v>
      </c>
      <c r="F1985" s="4" t="str">
        <f>IF(B1985=B1984,"",B1985)</f>
        <v/>
      </c>
    </row>
    <row r="1986" spans="1:6" ht="15.75" customHeight="1">
      <c r="A1986" s="5" t="s">
        <v>21565</v>
      </c>
      <c r="B1986" s="6" t="s">
        <v>21565</v>
      </c>
      <c r="C1986" s="5" t="s">
        <v>21064</v>
      </c>
      <c r="D1986" s="5" t="s">
        <v>21173</v>
      </c>
      <c r="E1986" s="2">
        <v>3082473</v>
      </c>
      <c r="F1986" s="4" t="str">
        <f>IF(B1986=B1985,"",B1986)</f>
        <v>Wejherowo</v>
      </c>
    </row>
    <row r="1987" spans="1:6" ht="15.75" customHeight="1">
      <c r="A1987" s="5" t="str">
        <f ca="1">IFERROR(__xludf.DUMMYFUNCTION("GOOGLETRANSLATE(B39318,""en"",""pt"")"),"Wejherowo")</f>
        <v>Wejherowo</v>
      </c>
      <c r="B1987" s="17" t="s">
        <v>21565</v>
      </c>
      <c r="C1987" s="17" t="s">
        <v>21064</v>
      </c>
      <c r="D1987" s="17" t="s">
        <v>21173</v>
      </c>
      <c r="E1987" s="10">
        <v>3082473</v>
      </c>
      <c r="F1987" s="4" t="str">
        <f>IF(B1987=B1986,"",B1987)</f>
        <v/>
      </c>
    </row>
    <row r="1988" spans="1:6" ht="15.75" customHeight="1">
      <c r="A1988" s="5" t="s">
        <v>9299</v>
      </c>
      <c r="B1988" s="6" t="s">
        <v>9299</v>
      </c>
      <c r="C1988" s="5" t="s">
        <v>8028</v>
      </c>
      <c r="D1988" s="5" t="s">
        <v>8050</v>
      </c>
      <c r="E1988" s="2">
        <v>2811644</v>
      </c>
      <c r="F1988" s="4" t="str">
        <f>IF(B1988=B1987,"",B1988)</f>
        <v>Weiterstadt</v>
      </c>
    </row>
    <row r="1989" spans="1:6" ht="15.75" customHeight="1">
      <c r="A1989" s="5" t="str">
        <f ca="1">IFERROR(__xludf.DUMMYFUNCTION("GOOGLETRANSLATE(B27402,""en"",""pt"")"),"Weiterstadt")</f>
        <v>Weiterstadt</v>
      </c>
      <c r="B1989" s="17" t="s">
        <v>9299</v>
      </c>
      <c r="C1989" s="17" t="s">
        <v>8028</v>
      </c>
      <c r="D1989" s="17" t="s">
        <v>8050</v>
      </c>
      <c r="E1989" s="10">
        <v>2811644</v>
      </c>
      <c r="F1989" s="4" t="str">
        <f>IF(B1989=B1988,"",B1989)</f>
        <v/>
      </c>
    </row>
    <row r="1990" spans="1:6" ht="15.75" customHeight="1">
      <c r="A1990" s="5" t="str">
        <f ca="1">IFERROR(__xludf.DUMMYFUNCTION("GOOGLETRANSLATE(B27403,""en"",""pt"")"),"Weißwasser")</f>
        <v>Weißwasser</v>
      </c>
      <c r="B1990" s="17" t="s">
        <v>32014</v>
      </c>
      <c r="C1990" s="17" t="s">
        <v>8028</v>
      </c>
      <c r="D1990" s="17" t="s">
        <v>8072</v>
      </c>
      <c r="E1990" s="10">
        <v>2811698</v>
      </c>
      <c r="F1990" s="4" t="str">
        <f>IF(B1990=B1989,"",B1990)</f>
        <v>Weißwasser</v>
      </c>
    </row>
    <row r="1991" spans="1:6" ht="15.75" customHeight="1">
      <c r="A1991" s="5" t="str">
        <f ca="1">IFERROR(__xludf.DUMMYFUNCTION("GOOGLETRANSLATE(B27415,""en"",""pt"")"),"Weißensee")</f>
        <v>Weißensee</v>
      </c>
      <c r="B1991" s="17" t="s">
        <v>32017</v>
      </c>
      <c r="C1991" s="17" t="s">
        <v>8028</v>
      </c>
      <c r="D1991" s="17" t="s">
        <v>8036</v>
      </c>
      <c r="E1991" s="10">
        <v>2813187</v>
      </c>
      <c r="F1991" s="4" t="str">
        <f>IF(B1991=B1990,"",B1991)</f>
        <v>Weißensee</v>
      </c>
    </row>
    <row r="1992" spans="1:6" ht="15.75" customHeight="1">
      <c r="A1992" s="5" t="str">
        <f ca="1">IFERROR(__xludf.DUMMYFUNCTION("GOOGLETRANSLATE(B27404,""en"",""pt"")"),"Weißenfels")</f>
        <v>Weißenfels</v>
      </c>
      <c r="B1992" s="17" t="s">
        <v>32015</v>
      </c>
      <c r="C1992" s="17" t="s">
        <v>8028</v>
      </c>
      <c r="D1992" s="17" t="s">
        <v>8085</v>
      </c>
      <c r="E1992" s="10">
        <v>2811899</v>
      </c>
      <c r="F1992" s="4" t="str">
        <f>IF(B1992=B1991,"",B1992)</f>
        <v>Weißenfels</v>
      </c>
    </row>
    <row r="1993" spans="1:6" ht="15.75" customHeight="1">
      <c r="A1993" s="5" t="str">
        <f ca="1">IFERROR(__xludf.DUMMYFUNCTION("GOOGLETRANSLATE(B27405,""en"",""pt"")"),"Weißenburg em Bayern")</f>
        <v>Weißenburg em Bayern</v>
      </c>
      <c r="B1993" s="17" t="s">
        <v>32016</v>
      </c>
      <c r="C1993" s="17" t="s">
        <v>8028</v>
      </c>
      <c r="D1993" s="17" t="s">
        <v>8044</v>
      </c>
      <c r="E1993" s="10">
        <v>2811909</v>
      </c>
      <c r="F1993" s="4" t="str">
        <f>IF(B1993=B1992,"",B1993)</f>
        <v>Weißenburg in Bayern</v>
      </c>
    </row>
    <row r="1994" spans="1:6" ht="15.75" customHeight="1">
      <c r="A1994" s="5" t="s">
        <v>30313</v>
      </c>
      <c r="B1994" s="6" t="s">
        <v>30313</v>
      </c>
      <c r="C1994" s="5" t="s">
        <v>27788</v>
      </c>
      <c r="D1994" s="5" t="s">
        <v>30312</v>
      </c>
      <c r="E1994" s="2">
        <v>5280822</v>
      </c>
      <c r="F1994" s="4" t="str">
        <f>IF(B1994=B1993,"",B1994)</f>
        <v>Weirton Heights</v>
      </c>
    </row>
    <row r="1995" spans="1:6" ht="15.75" customHeight="1">
      <c r="A1995" s="5" t="str">
        <f ca="1">IFERROR(__xludf.DUMMYFUNCTION("GOOGLETRANSLATE(B44684,""en"",""pt"")"),"Weirton Heights")</f>
        <v>Weirton Heights</v>
      </c>
      <c r="B1995" s="17" t="s">
        <v>30313</v>
      </c>
      <c r="C1995" s="17" t="s">
        <v>27788</v>
      </c>
      <c r="D1995" s="17" t="s">
        <v>30312</v>
      </c>
      <c r="E1995" s="10">
        <v>5280822</v>
      </c>
      <c r="F1995" s="4" t="str">
        <f>IF(B1995=B1994,"",B1995)</f>
        <v/>
      </c>
    </row>
    <row r="1996" spans="1:6" ht="15.75" customHeight="1">
      <c r="A1996" s="6" t="s">
        <v>30311</v>
      </c>
      <c r="B1996" s="6" t="s">
        <v>30311</v>
      </c>
      <c r="C1996" s="6" t="s">
        <v>27788</v>
      </c>
      <c r="D1996" s="6" t="s">
        <v>30312</v>
      </c>
      <c r="E1996" s="2">
        <v>5280814</v>
      </c>
      <c r="F1996" s="4" t="str">
        <f>IF(B1996=B1995,"",B1996)</f>
        <v>Weirton</v>
      </c>
    </row>
    <row r="1997" spans="1:6" ht="15.75" customHeight="1">
      <c r="A1997" s="5" t="str">
        <f ca="1">IFERROR(__xludf.DUMMYFUNCTION("GOOGLETRANSLATE(B44683,""en"",""pt"")"),"Weirton")</f>
        <v>Weirton</v>
      </c>
      <c r="B1997" s="17" t="s">
        <v>30311</v>
      </c>
      <c r="C1997" s="17" t="s">
        <v>27788</v>
      </c>
      <c r="D1997" s="17" t="s">
        <v>30312</v>
      </c>
      <c r="E1997" s="10">
        <v>5280814</v>
      </c>
      <c r="F1997" s="4" t="str">
        <f>IF(B1997=B1996,"",B1997)</f>
        <v/>
      </c>
    </row>
    <row r="1998" spans="1:6" ht="15.75" customHeight="1">
      <c r="A1998" s="5" t="s">
        <v>1163</v>
      </c>
      <c r="B1998" s="6" t="s">
        <v>1164</v>
      </c>
      <c r="C1998" s="5" t="s">
        <v>1117</v>
      </c>
      <c r="D1998" s="5" t="s">
        <v>1118</v>
      </c>
      <c r="E1998" s="2">
        <v>2761669</v>
      </c>
      <c r="F1998" s="4" t="str">
        <f>IF(B1998=B1997,"",B1998)</f>
        <v>Weinzierl bei Krems</v>
      </c>
    </row>
    <row r="1999" spans="1:6" ht="15.75" customHeight="1">
      <c r="A1999" s="5" t="str">
        <f ca="1">IFERROR(__xludf.DUMMYFUNCTION("GOOGLETRANSLATE(B23376,""en"",""pt"")"),"Weinzierl Bei Krems")</f>
        <v>Weinzierl Bei Krems</v>
      </c>
      <c r="B1999" s="17" t="s">
        <v>1164</v>
      </c>
      <c r="C1999" s="17" t="s">
        <v>1117</v>
      </c>
      <c r="D1999" s="17" t="s">
        <v>1118</v>
      </c>
      <c r="E1999" s="10">
        <v>2761669</v>
      </c>
      <c r="F1999" s="4" t="str">
        <f>IF(B1999=B1998,"",B1999)</f>
        <v/>
      </c>
    </row>
    <row r="2000" spans="1:6" ht="15.75" customHeight="1">
      <c r="A2000" s="5" t="s">
        <v>9297</v>
      </c>
      <c r="B2000" s="6" t="s">
        <v>9298</v>
      </c>
      <c r="C2000" s="5" t="s">
        <v>8028</v>
      </c>
      <c r="D2000" s="5" t="s">
        <v>8031</v>
      </c>
      <c r="E2000" s="2">
        <v>2812145</v>
      </c>
      <c r="F2000" s="4" t="str">
        <f>IF(B2000=B1999,"",B2000)</f>
        <v>Weinstadt-Endersbach</v>
      </c>
    </row>
    <row r="2001" spans="1:6" ht="15.75" customHeight="1">
      <c r="A2001" s="5" t="str">
        <f ca="1">IFERROR(__xludf.DUMMYFUNCTION("GOOGLETRANSLATE(B27406,""en"",""pt"")"),"WeInstadt-Endersbach")</f>
        <v>WeInstadt-Endersbach</v>
      </c>
      <c r="B2001" s="17" t="s">
        <v>9298</v>
      </c>
      <c r="C2001" s="17" t="s">
        <v>8028</v>
      </c>
      <c r="D2001" s="17" t="s">
        <v>32013</v>
      </c>
      <c r="E2001" s="10">
        <v>2812145</v>
      </c>
      <c r="F2001" s="4" t="str">
        <f>IF(B2001=B2000,"",B2001)</f>
        <v/>
      </c>
    </row>
    <row r="2002" spans="1:6" ht="15.75" customHeight="1">
      <c r="A2002" s="6" t="s">
        <v>5152</v>
      </c>
      <c r="B2002" s="6" t="s">
        <v>5152</v>
      </c>
      <c r="C2002" s="6" t="s">
        <v>4487</v>
      </c>
      <c r="D2002" s="6" t="s">
        <v>4507</v>
      </c>
      <c r="E2002" s="2">
        <v>1816028</v>
      </c>
      <c r="F2002" s="4" t="str">
        <f>IF(B2002=B2001,"",B2002)</f>
        <v>Weining</v>
      </c>
    </row>
    <row r="2003" spans="1:6" ht="15.75" customHeight="1">
      <c r="A2003" s="5" t="str">
        <f ca="1">IFERROR(__xludf.DUMMYFUNCTION("GOOGLETRANSLATE(B26601,""en"",""pt"")"),"Weining")</f>
        <v>Weining</v>
      </c>
      <c r="B2003" s="17" t="s">
        <v>5152</v>
      </c>
      <c r="C2003" s="17" t="s">
        <v>4487</v>
      </c>
      <c r="D2003" s="17" t="s">
        <v>4507</v>
      </c>
      <c r="E2003" s="10">
        <v>1816028</v>
      </c>
      <c r="F2003" s="4" t="str">
        <f>IF(B2003=B2002,"",B2003)</f>
        <v/>
      </c>
    </row>
    <row r="2004" spans="1:6" ht="15.75" customHeight="1">
      <c r="A2004" s="5" t="s">
        <v>9296</v>
      </c>
      <c r="B2004" s="6" t="s">
        <v>9296</v>
      </c>
      <c r="C2004" s="5" t="s">
        <v>8028</v>
      </c>
      <c r="D2004" s="5" t="s">
        <v>8031</v>
      </c>
      <c r="E2004" s="2">
        <v>2812174</v>
      </c>
      <c r="F2004" s="4" t="str">
        <f>IF(B2004=B2003,"",B2004)</f>
        <v>Weinheim</v>
      </c>
    </row>
    <row r="2005" spans="1:6" ht="15.75" customHeight="1">
      <c r="A2005" s="5" t="str">
        <f ca="1">IFERROR(__xludf.DUMMYFUNCTION("GOOGLETRANSLATE(B27407,""en"",""pt"")"),"Weinheim")</f>
        <v>Weinheim</v>
      </c>
      <c r="B2005" s="17" t="s">
        <v>9296</v>
      </c>
      <c r="C2005" s="17" t="s">
        <v>8028</v>
      </c>
      <c r="D2005" s="17" t="s">
        <v>32013</v>
      </c>
      <c r="E2005" s="10">
        <v>2812174</v>
      </c>
      <c r="F2005" s="4" t="str">
        <f>IF(B2005=B2004,"",B2005)</f>
        <v/>
      </c>
    </row>
    <row r="2006" spans="1:6" ht="15.75" customHeight="1">
      <c r="A2006" s="5" t="s">
        <v>9295</v>
      </c>
      <c r="B2006" s="6" t="s">
        <v>9295</v>
      </c>
      <c r="C2006" s="5" t="s">
        <v>8028</v>
      </c>
      <c r="D2006" s="5" t="s">
        <v>8031</v>
      </c>
      <c r="E2006" s="2">
        <v>2812204</v>
      </c>
      <c r="F2006" s="4" t="str">
        <f>IF(B2006=B2005,"",B2006)</f>
        <v>Weingarten</v>
      </c>
    </row>
    <row r="2007" spans="1:6" ht="15.75" customHeight="1">
      <c r="A2007" s="5" t="str">
        <f ca="1">IFERROR(__xludf.DUMMYFUNCTION("GOOGLETRANSLATE(B27408,""en"",""pt"")"),"Weingarten")</f>
        <v>Weingarten</v>
      </c>
      <c r="B2007" s="17" t="s">
        <v>9295</v>
      </c>
      <c r="C2007" s="17" t="s">
        <v>8028</v>
      </c>
      <c r="D2007" s="17" t="s">
        <v>32013</v>
      </c>
      <c r="E2007" s="10">
        <v>2812204</v>
      </c>
      <c r="F2007" s="4" t="str">
        <f>IF(B2007=B2006,"",B2007)</f>
        <v/>
      </c>
    </row>
    <row r="2008" spans="1:6" ht="15.75" customHeight="1">
      <c r="A2008" s="6" t="s">
        <v>5151</v>
      </c>
      <c r="B2008" s="6" t="s">
        <v>5151</v>
      </c>
      <c r="C2008" s="6" t="s">
        <v>4487</v>
      </c>
      <c r="D2008" s="6" t="s">
        <v>4497</v>
      </c>
      <c r="E2008" s="2">
        <v>1791636</v>
      </c>
      <c r="F2008" s="4" t="str">
        <f>IF(B2008=B2007,"",B2008)</f>
        <v>Weinan</v>
      </c>
    </row>
    <row r="2009" spans="1:6" ht="15.75" customHeight="1">
      <c r="A2009" s="5" t="str">
        <f ca="1">IFERROR(__xludf.DUMMYFUNCTION("GOOGLETRANSLATE(B26219,""en"",""pt"")"),"Weinan")</f>
        <v>Weinan</v>
      </c>
      <c r="B2009" s="17" t="s">
        <v>5151</v>
      </c>
      <c r="C2009" s="17" t="s">
        <v>4487</v>
      </c>
      <c r="D2009" s="17" t="s">
        <v>4497</v>
      </c>
      <c r="E2009" s="10">
        <v>1791636</v>
      </c>
      <c r="F2009" s="4" t="str">
        <f>IF(B2009=B2008,"",B2009)</f>
        <v/>
      </c>
    </row>
    <row r="2010" spans="1:6" ht="15.75" customHeight="1">
      <c r="A2010" s="6" t="s">
        <v>9294</v>
      </c>
      <c r="B2010" s="6" t="s">
        <v>9294</v>
      </c>
      <c r="C2010" s="6" t="s">
        <v>8028</v>
      </c>
      <c r="D2010" s="6" t="s">
        <v>8054</v>
      </c>
      <c r="E2010" s="2">
        <v>2812482</v>
      </c>
      <c r="F2010" s="4" t="str">
        <f>IF(B2010=B2009,"",B2010)</f>
        <v>Weimar</v>
      </c>
    </row>
    <row r="2011" spans="1:6" ht="15.75" customHeight="1">
      <c r="A2011" s="5" t="str">
        <f ca="1">IFERROR(__xludf.DUMMYFUNCTION("GOOGLETRANSLATE(B27409,""en"",""pt"")"),"Weimar")</f>
        <v>Weimar</v>
      </c>
      <c r="B2011" s="17" t="s">
        <v>9294</v>
      </c>
      <c r="C2011" s="17" t="s">
        <v>8028</v>
      </c>
      <c r="D2011" s="17" t="s">
        <v>8054</v>
      </c>
      <c r="E2011" s="10">
        <v>2812482</v>
      </c>
      <c r="F2011" s="4" t="str">
        <f>IF(B2011=B2010,"",B2011)</f>
        <v/>
      </c>
    </row>
    <row r="2012" spans="1:6" ht="15.75" customHeight="1">
      <c r="A2012" s="6" t="s">
        <v>9293</v>
      </c>
      <c r="B2012" s="6" t="s">
        <v>9293</v>
      </c>
      <c r="C2012" s="6" t="s">
        <v>8028</v>
      </c>
      <c r="D2012" s="6" t="s">
        <v>8044</v>
      </c>
      <c r="E2012" s="2">
        <v>2812515</v>
      </c>
      <c r="F2012" s="4" t="str">
        <f>IF(B2012=B2011,"",B2012)</f>
        <v>Weilheim</v>
      </c>
    </row>
    <row r="2013" spans="1:6" ht="15.75" customHeight="1">
      <c r="A2013" s="5" t="str">
        <f ca="1">IFERROR(__xludf.DUMMYFUNCTION("GOOGLETRANSLATE(B27410,""en"",""pt"")"),"Weilheim")</f>
        <v>Weilheim</v>
      </c>
      <c r="B2013" s="17" t="s">
        <v>9293</v>
      </c>
      <c r="C2013" s="17" t="s">
        <v>8028</v>
      </c>
      <c r="D2013" s="17" t="s">
        <v>8044</v>
      </c>
      <c r="E2013" s="10">
        <v>2812515</v>
      </c>
      <c r="F2013" s="4" t="str">
        <f>IF(B2013=B2012,"",B2013)</f>
        <v/>
      </c>
    </row>
    <row r="2014" spans="1:6" ht="15.75" customHeight="1">
      <c r="A2014" s="5" t="s">
        <v>9292</v>
      </c>
      <c r="B2014" s="6" t="s">
        <v>9292</v>
      </c>
      <c r="C2014" s="5" t="s">
        <v>8028</v>
      </c>
      <c r="D2014" s="5" t="s">
        <v>8029</v>
      </c>
      <c r="E2014" s="2">
        <v>2812522</v>
      </c>
      <c r="F2014" s="4" t="str">
        <f>IF(B2014=B2013,"",B2014)</f>
        <v>Weilerswist</v>
      </c>
    </row>
    <row r="2015" spans="1:6" ht="15.75" customHeight="1">
      <c r="A2015" s="5" t="str">
        <f ca="1">IFERROR(__xludf.DUMMYFUNCTION("GOOGLETRANSLATE(B27411,""en"",""pt"")"),"Weilerswist")</f>
        <v>Weilerswist</v>
      </c>
      <c r="B2015" s="17" t="s">
        <v>9292</v>
      </c>
      <c r="C2015" s="17" t="s">
        <v>8028</v>
      </c>
      <c r="D2015" s="17" t="s">
        <v>8029</v>
      </c>
      <c r="E2015" s="10">
        <v>2812522</v>
      </c>
      <c r="F2015" s="4" t="str">
        <f>IF(B2015=B2014,"",B2015)</f>
        <v/>
      </c>
    </row>
    <row r="2016" spans="1:6" ht="15.75" customHeight="1">
      <c r="A2016" s="5" t="s">
        <v>9290</v>
      </c>
      <c r="B2016" s="6" t="s">
        <v>9291</v>
      </c>
      <c r="C2016" s="5" t="s">
        <v>8028</v>
      </c>
      <c r="D2016" s="5" t="s">
        <v>8031</v>
      </c>
      <c r="E2016" s="2">
        <v>2812625</v>
      </c>
      <c r="F2016" s="4" t="str">
        <f>IF(B2016=B2015,"",B2016)</f>
        <v>Weil der Stadt</v>
      </c>
    </row>
    <row r="2017" spans="1:6" ht="15.75" customHeight="1">
      <c r="A2017" s="5" t="str">
        <f ca="1">IFERROR(__xludf.DUMMYFUNCTION("GOOGLETRANSLATE(B27412,""en"",""pt"")"),"Weil Der Stadt")</f>
        <v>Weil Der Stadt</v>
      </c>
      <c r="B2017" s="17" t="s">
        <v>9291</v>
      </c>
      <c r="C2017" s="17" t="s">
        <v>8028</v>
      </c>
      <c r="D2017" s="17" t="s">
        <v>32013</v>
      </c>
      <c r="E2017" s="10">
        <v>2812625</v>
      </c>
      <c r="F2017" s="4" t="str">
        <f>IF(B2017=B2016,"",B2017)</f>
        <v/>
      </c>
    </row>
    <row r="2018" spans="1:6" ht="15.75" customHeight="1">
      <c r="A2018" s="5" t="s">
        <v>9288</v>
      </c>
      <c r="B2018" s="6" t="s">
        <v>9289</v>
      </c>
      <c r="C2018" s="5" t="s">
        <v>8028</v>
      </c>
      <c r="D2018" s="5" t="s">
        <v>8031</v>
      </c>
      <c r="E2018" s="2">
        <v>2812636</v>
      </c>
      <c r="F2018" s="4" t="str">
        <f>IF(B2018=B2017,"",B2018)</f>
        <v>Weil am Rhein</v>
      </c>
    </row>
    <row r="2019" spans="1:6" ht="15.75" customHeight="1">
      <c r="A2019" s="5" t="str">
        <f ca="1">IFERROR(__xludf.DUMMYFUNCTION("GOOGLETRANSLATE(B27413,""en"",""pt"")"),"Weil Am Rhein")</f>
        <v>Weil Am Rhein</v>
      </c>
      <c r="B2019" s="17" t="s">
        <v>9289</v>
      </c>
      <c r="C2019" s="17" t="s">
        <v>8028</v>
      </c>
      <c r="D2019" s="17" t="s">
        <v>32013</v>
      </c>
      <c r="E2019" s="10">
        <v>2812636</v>
      </c>
      <c r="F2019" s="4" t="str">
        <f>IF(B2019=B2018,"",B2019)</f>
        <v/>
      </c>
    </row>
    <row r="2020" spans="1:6" ht="15.75" customHeight="1">
      <c r="A2020" s="6" t="s">
        <v>5150</v>
      </c>
      <c r="B2020" s="6" t="s">
        <v>5150</v>
      </c>
      <c r="C2020" s="6" t="s">
        <v>4487</v>
      </c>
      <c r="D2020" s="6" t="s">
        <v>4503</v>
      </c>
      <c r="E2020" s="2">
        <v>1791673</v>
      </c>
      <c r="F2020" s="4" t="str">
        <f>IF(B2020=B2019,"",B2020)</f>
        <v>Weihai</v>
      </c>
    </row>
    <row r="2021" spans="1:6" ht="15.75" customHeight="1">
      <c r="A2021" s="5" t="str">
        <f ca="1">IFERROR(__xludf.DUMMYFUNCTION("GOOGLETRANSLATE(B26220,""en"",""pt"")"),"Weihai")</f>
        <v>Weihai</v>
      </c>
      <c r="B2021" s="17" t="s">
        <v>5150</v>
      </c>
      <c r="C2021" s="17" t="s">
        <v>4487</v>
      </c>
      <c r="D2021" s="17" t="s">
        <v>4503</v>
      </c>
      <c r="E2021" s="10">
        <v>1791673</v>
      </c>
      <c r="F2021" s="4" t="str">
        <f>IF(B2021=B2020,"",B2021)</f>
        <v/>
      </c>
    </row>
    <row r="2022" spans="1:6" ht="15.75" customHeight="1">
      <c r="A2022" s="6" t="s">
        <v>5149</v>
      </c>
      <c r="B2022" s="6" t="s">
        <v>5149</v>
      </c>
      <c r="C2022" s="6" t="s">
        <v>4487</v>
      </c>
      <c r="D2022" s="6" t="s">
        <v>4503</v>
      </c>
      <c r="E2022" s="2">
        <v>1791681</v>
      </c>
      <c r="F2022" s="4" t="str">
        <f>IF(B2022=B2021,"",B2022)</f>
        <v>Weifang</v>
      </c>
    </row>
    <row r="2023" spans="1:6" ht="15.75" customHeight="1">
      <c r="A2023" s="5" t="str">
        <f ca="1">IFERROR(__xludf.DUMMYFUNCTION("GOOGLETRANSLATE(B26221,""en"",""pt"")"),"Weifang")</f>
        <v>Weifang</v>
      </c>
      <c r="B2023" s="17" t="s">
        <v>5149</v>
      </c>
      <c r="C2023" s="17" t="s">
        <v>4487</v>
      </c>
      <c r="D2023" s="17" t="s">
        <v>4503</v>
      </c>
      <c r="E2023" s="10">
        <v>1791681</v>
      </c>
      <c r="F2023" s="4" t="str">
        <f>IF(B2023=B2022,"",B2023)</f>
        <v/>
      </c>
    </row>
    <row r="2024" spans="1:6" ht="15.75" customHeight="1">
      <c r="A2024" s="6" t="s">
        <v>9287</v>
      </c>
      <c r="B2024" s="6" t="s">
        <v>9287</v>
      </c>
      <c r="C2024" s="6" t="s">
        <v>8028</v>
      </c>
      <c r="D2024" s="6" t="s">
        <v>8044</v>
      </c>
      <c r="E2024" s="2">
        <v>2813040</v>
      </c>
      <c r="F2024" s="4" t="str">
        <f>IF(B2024=B2023,"",B2024)</f>
        <v>Weiden</v>
      </c>
    </row>
    <row r="2025" spans="1:6" ht="15.75" customHeight="1">
      <c r="A2025" s="5" t="str">
        <f ca="1">IFERROR(__xludf.DUMMYFUNCTION("GOOGLETRANSLATE(B27414,""en"",""pt"")"),"Weiden")</f>
        <v>Weiden</v>
      </c>
      <c r="B2025" s="17" t="s">
        <v>9287</v>
      </c>
      <c r="C2025" s="17" t="s">
        <v>8028</v>
      </c>
      <c r="D2025" s="17" t="s">
        <v>8044</v>
      </c>
      <c r="E2025" s="10">
        <v>2813040</v>
      </c>
      <c r="F2025" s="4" t="str">
        <f>IF(B2025=B2024,"",B2025)</f>
        <v/>
      </c>
    </row>
    <row r="2026" spans="1:6" ht="15.75" customHeight="1">
      <c r="A2026" s="5" t="s">
        <v>5148</v>
      </c>
      <c r="B2026" s="6" t="s">
        <v>5148</v>
      </c>
      <c r="C2026" s="5" t="s">
        <v>4487</v>
      </c>
      <c r="D2026" s="5" t="s">
        <v>4503</v>
      </c>
      <c r="E2026" s="2">
        <v>1804578</v>
      </c>
      <c r="F2026" s="4" t="str">
        <f>IF(B2026=B2025,"",B2026)</f>
        <v>Weichanglu</v>
      </c>
    </row>
    <row r="2027" spans="1:6" ht="15.75" customHeight="1">
      <c r="A2027" s="5" t="str">
        <f ca="1">IFERROR(__xludf.DUMMYFUNCTION("GOOGLETRANSLATE(B26416,""en"",""pt"")"),"Weichanglu")</f>
        <v>Weichanglu</v>
      </c>
      <c r="B2027" s="17" t="s">
        <v>5148</v>
      </c>
      <c r="C2027" s="17" t="s">
        <v>4487</v>
      </c>
      <c r="D2027" s="17" t="s">
        <v>4503</v>
      </c>
      <c r="E2027" s="10">
        <v>1804578</v>
      </c>
      <c r="F2027" s="4" t="str">
        <f>IF(B2027=B2026,"",B2027)</f>
        <v/>
      </c>
    </row>
    <row r="2028" spans="1:6" ht="15.75" customHeight="1">
      <c r="A2028" s="5" t="s">
        <v>9285</v>
      </c>
      <c r="B2028" s="6" t="s">
        <v>9286</v>
      </c>
      <c r="C2028" s="5" t="s">
        <v>8028</v>
      </c>
      <c r="D2028" s="5" t="s">
        <v>8072</v>
      </c>
      <c r="E2028" s="2">
        <v>2811698</v>
      </c>
      <c r="F2028" s="4" t="str">
        <f>IF(B2028=B2027,"",B2028)</f>
        <v>WeiÃŸwasser</v>
      </c>
    </row>
    <row r="2029" spans="1:6" ht="15.75" customHeight="1">
      <c r="A2029" s="5" t="s">
        <v>9283</v>
      </c>
      <c r="B2029" s="6" t="s">
        <v>9284</v>
      </c>
      <c r="C2029" s="5" t="s">
        <v>8028</v>
      </c>
      <c r="D2029" s="5" t="s">
        <v>8036</v>
      </c>
      <c r="E2029" s="2">
        <v>2813187</v>
      </c>
      <c r="F2029" s="4" t="str">
        <f>IF(B2029=B2028,"",B2029)</f>
        <v>WeiÃŸensee</v>
      </c>
    </row>
    <row r="2030" spans="1:6" ht="15.75" customHeight="1">
      <c r="A2030" s="5" t="s">
        <v>9281</v>
      </c>
      <c r="B2030" s="6" t="s">
        <v>9282</v>
      </c>
      <c r="C2030" s="5" t="s">
        <v>8028</v>
      </c>
      <c r="D2030" s="5" t="s">
        <v>8085</v>
      </c>
      <c r="E2030" s="2">
        <v>2811899</v>
      </c>
      <c r="F2030" s="4" t="str">
        <f>IF(B2030=B2029,"",B2030)</f>
        <v>WeiÃŸenfels</v>
      </c>
    </row>
    <row r="2031" spans="1:6" ht="15.75" customHeight="1">
      <c r="A2031" s="5" t="s">
        <v>9279</v>
      </c>
      <c r="B2031" s="6" t="s">
        <v>9280</v>
      </c>
      <c r="C2031" s="5" t="s">
        <v>8028</v>
      </c>
      <c r="D2031" s="5" t="s">
        <v>8044</v>
      </c>
      <c r="E2031" s="2">
        <v>2811909</v>
      </c>
      <c r="F2031" s="4" t="str">
        <f>IF(B2031=B2030,"",B2031)</f>
        <v>WeiÃŸenburg in Bayern</v>
      </c>
    </row>
    <row r="2032" spans="1:6" ht="15.75" customHeight="1">
      <c r="A2032" s="6" t="s">
        <v>9278</v>
      </c>
      <c r="B2032" s="6" t="s">
        <v>9278</v>
      </c>
      <c r="C2032" s="6" t="s">
        <v>8028</v>
      </c>
      <c r="D2032" s="6" t="s">
        <v>8029</v>
      </c>
      <c r="E2032" s="2">
        <v>2813390</v>
      </c>
      <c r="F2032" s="4" t="str">
        <f>IF(B2032=B2031,"",B2032)</f>
        <v>Wegberg</v>
      </c>
    </row>
    <row r="2033" spans="1:6" ht="15.75" customHeight="1">
      <c r="A2033" s="5" t="str">
        <f ca="1">IFERROR(__xludf.DUMMYFUNCTION("GOOGLETRANSLATE(B27416,""en"",""pt"")"),"Wegberg")</f>
        <v>Wegberg</v>
      </c>
      <c r="B2033" s="17" t="s">
        <v>9278</v>
      </c>
      <c r="C2033" s="17" t="s">
        <v>8028</v>
      </c>
      <c r="D2033" s="17" t="s">
        <v>8029</v>
      </c>
      <c r="E2033" s="10">
        <v>2813390</v>
      </c>
      <c r="F2033" s="4" t="str">
        <f>IF(B2033=B2032,"",B2033)</f>
        <v/>
      </c>
    </row>
    <row r="2034" spans="1:6" ht="15.75" customHeight="1">
      <c r="A2034" s="6" t="s">
        <v>19136</v>
      </c>
      <c r="B2034" s="6" t="s">
        <v>19136</v>
      </c>
      <c r="C2034" s="6" t="s">
        <v>18862</v>
      </c>
      <c r="D2034" s="6" t="s">
        <v>18863</v>
      </c>
      <c r="E2034" s="2">
        <v>2744904</v>
      </c>
      <c r="F2034" s="4" t="str">
        <f>IF(B2034=B2033,"",B2034)</f>
        <v>Weesp</v>
      </c>
    </row>
    <row r="2035" spans="1:6" ht="15.75" customHeight="1">
      <c r="A2035" s="5" t="str">
        <f ca="1">IFERROR(__xludf.DUMMYFUNCTION("GOOGLETRANSLATE(B37908,""en"",""pt"")"),"Weesp")</f>
        <v>Weesp</v>
      </c>
      <c r="B2035" s="17" t="s">
        <v>19136</v>
      </c>
      <c r="C2035" s="17" t="s">
        <v>18862</v>
      </c>
      <c r="D2035" s="17" t="s">
        <v>18863</v>
      </c>
      <c r="E2035" s="10">
        <v>2744904</v>
      </c>
      <c r="F2035" s="4" t="str">
        <f>IF(B2035=B2034,"",B2035)</f>
        <v/>
      </c>
    </row>
    <row r="2036" spans="1:6" ht="15.75" customHeight="1">
      <c r="A2036" s="6" t="s">
        <v>19135</v>
      </c>
      <c r="B2036" s="6" t="s">
        <v>19135</v>
      </c>
      <c r="C2036" s="6" t="s">
        <v>18862</v>
      </c>
      <c r="D2036" s="6" t="s">
        <v>18893</v>
      </c>
      <c r="E2036" s="2">
        <v>2744911</v>
      </c>
      <c r="F2036" s="4" t="str">
        <f>IF(B2036=B2035,"",B2036)</f>
        <v>Weert</v>
      </c>
    </row>
    <row r="2037" spans="1:6" ht="15.75" customHeight="1">
      <c r="A2037" s="5" t="str">
        <f ca="1">IFERROR(__xludf.DUMMYFUNCTION("GOOGLETRANSLATE(B37909,""en"",""pt"")"),"Weert")</f>
        <v>Weert</v>
      </c>
      <c r="B2037" s="17" t="s">
        <v>19135</v>
      </c>
      <c r="C2037" s="17" t="s">
        <v>18862</v>
      </c>
      <c r="D2037" s="17" t="s">
        <v>18893</v>
      </c>
      <c r="E2037" s="10">
        <v>2744911</v>
      </c>
      <c r="F2037" s="4" t="str">
        <f>IF(B2037=B2036,"",B2037)</f>
        <v/>
      </c>
    </row>
    <row r="2038" spans="1:6" ht="15.75" customHeight="1">
      <c r="A2038" s="6" t="s">
        <v>9277</v>
      </c>
      <c r="B2038" s="6" t="s">
        <v>9277</v>
      </c>
      <c r="C2038" s="6" t="s">
        <v>8028</v>
      </c>
      <c r="D2038" s="6" t="s">
        <v>8034</v>
      </c>
      <c r="E2038" s="2">
        <v>2813433</v>
      </c>
      <c r="F2038" s="4" t="str">
        <f>IF(B2038=B2037,"",B2038)</f>
        <v>Weener</v>
      </c>
    </row>
    <row r="2039" spans="1:6" ht="15.75" customHeight="1">
      <c r="A2039" s="5" t="str">
        <f ca="1">IFERROR(__xludf.DUMMYFUNCTION("GOOGLETRANSLATE(B27417,""en"",""pt"")"),"Weener")</f>
        <v>Weener</v>
      </c>
      <c r="B2039" s="17" t="s">
        <v>9277</v>
      </c>
      <c r="C2039" s="17" t="s">
        <v>8028</v>
      </c>
      <c r="D2039" s="17" t="s">
        <v>8034</v>
      </c>
      <c r="E2039" s="10">
        <v>2813433</v>
      </c>
      <c r="F2039" s="4" t="str">
        <f>IF(B2039=B2038,"",B2039)</f>
        <v/>
      </c>
    </row>
    <row r="2040" spans="1:6" ht="15.75" customHeight="1">
      <c r="A2040" s="5" t="s">
        <v>27740</v>
      </c>
      <c r="B2040" s="6" t="s">
        <v>27741</v>
      </c>
      <c r="C2040" s="5" t="s">
        <v>27234</v>
      </c>
      <c r="D2040" s="5" t="s">
        <v>27241</v>
      </c>
      <c r="E2040" s="2">
        <v>2634616</v>
      </c>
      <c r="F2040" s="4" t="str">
        <f>IF(B2040=B2039,"",B2040)</f>
        <v>Wednesfield</v>
      </c>
    </row>
    <row r="2041" spans="1:6" ht="15.75" customHeight="1">
      <c r="A2041" s="5" t="str">
        <f ca="1">IFERROR(__xludf.DUMMYFUNCTION("GOOGLETRANSLATE(B30357,""en"",""pt"")"),"Wednesdayfield")</f>
        <v>Wednesdayfield</v>
      </c>
      <c r="B2041" s="17" t="s">
        <v>27741</v>
      </c>
      <c r="C2041" s="17" t="s">
        <v>27234</v>
      </c>
      <c r="D2041" s="17" t="s">
        <v>27241</v>
      </c>
      <c r="E2041" s="10">
        <v>2634616</v>
      </c>
      <c r="F2041" s="4" t="str">
        <f>IF(B2041=B2040,"",B2041)</f>
        <v/>
      </c>
    </row>
    <row r="2042" spans="1:6" ht="15.75" customHeight="1">
      <c r="A2042" s="5" t="s">
        <v>27738</v>
      </c>
      <c r="B2042" s="6" t="s">
        <v>27739</v>
      </c>
      <c r="C2042" s="5" t="s">
        <v>27234</v>
      </c>
      <c r="D2042" s="5" t="s">
        <v>27241</v>
      </c>
      <c r="E2042" s="2">
        <v>2634617</v>
      </c>
      <c r="F2042" s="4" t="str">
        <f>IF(B2042=B2041,"",B2042)</f>
        <v>Wednesbury</v>
      </c>
    </row>
    <row r="2043" spans="1:6" ht="15.75" customHeight="1">
      <c r="A2043" s="5" t="str">
        <f ca="1">IFERROR(__xludf.DUMMYFUNCTION("GOOGLETRANSLATE(B30358,""en"",""pt"")"),"Wednesdaybury")</f>
        <v>Wednesdaybury</v>
      </c>
      <c r="B2043" s="17" t="s">
        <v>27739</v>
      </c>
      <c r="C2043" s="17" t="s">
        <v>27234</v>
      </c>
      <c r="D2043" s="17" t="s">
        <v>27241</v>
      </c>
      <c r="E2043" s="10">
        <v>2634617</v>
      </c>
      <c r="F2043" s="4" t="str">
        <f>IF(B2043=B2042,"",B2043)</f>
        <v/>
      </c>
    </row>
    <row r="2044" spans="1:6" ht="15.75" customHeight="1">
      <c r="A2044" s="6" t="s">
        <v>14227</v>
      </c>
      <c r="B2044" s="6" t="s">
        <v>14227</v>
      </c>
      <c r="C2044" s="6" t="s">
        <v>13800</v>
      </c>
      <c r="D2044" s="6" t="s">
        <v>13803</v>
      </c>
      <c r="E2044" s="2">
        <v>1621678</v>
      </c>
      <c r="F2044" s="4" t="str">
        <f>IF(B2044=B2043,"",B2044)</f>
        <v>Wedi</v>
      </c>
    </row>
    <row r="2045" spans="1:6" ht="15.75" customHeight="1">
      <c r="A2045" s="5" t="str">
        <f ca="1">IFERROR(__xludf.DUMMYFUNCTION("GOOGLETRANSLATE(B31392,""en"",""pt"")"),"Wedi")</f>
        <v>Wedi</v>
      </c>
      <c r="B2045" s="17" t="s">
        <v>14227</v>
      </c>
      <c r="C2045" s="17" t="s">
        <v>13800</v>
      </c>
      <c r="D2045" s="17" t="s">
        <v>13803</v>
      </c>
      <c r="E2045" s="10">
        <v>1621678</v>
      </c>
      <c r="F2045" s="4" t="str">
        <f>IF(B2045=B2044,"",B2045)</f>
        <v/>
      </c>
    </row>
    <row r="2046" spans="1:6" ht="15.75" customHeight="1">
      <c r="A2046" s="6" t="s">
        <v>9276</v>
      </c>
      <c r="B2046" s="6" t="s">
        <v>9276</v>
      </c>
      <c r="C2046" s="6" t="s">
        <v>8028</v>
      </c>
      <c r="D2046" s="6" t="s">
        <v>8040</v>
      </c>
      <c r="E2046" s="2">
        <v>2813464</v>
      </c>
      <c r="F2046" s="4" t="str">
        <f>IF(B2046=B2045,"",B2046)</f>
        <v>Wedel</v>
      </c>
    </row>
    <row r="2047" spans="1:6" ht="15.75" customHeight="1">
      <c r="A2047" s="5" t="str">
        <f ca="1">IFERROR(__xludf.DUMMYFUNCTION("GOOGLETRANSLATE(B27418,""en"",""pt"")"),"Wedel")</f>
        <v>Wedel</v>
      </c>
      <c r="B2047" s="17" t="s">
        <v>9276</v>
      </c>
      <c r="C2047" s="17" t="s">
        <v>8028</v>
      </c>
      <c r="D2047" s="17" t="s">
        <v>8040</v>
      </c>
      <c r="E2047" s="10">
        <v>2813464</v>
      </c>
      <c r="F2047" s="4" t="str">
        <f>IF(B2047=B2046,"",B2047)</f>
        <v/>
      </c>
    </row>
    <row r="2048" spans="1:6" ht="15.75" customHeight="1">
      <c r="A2048" s="5" t="s">
        <v>9274</v>
      </c>
      <c r="B2048" s="6" t="s">
        <v>9275</v>
      </c>
      <c r="C2048" s="5" t="s">
        <v>8028</v>
      </c>
      <c r="D2048" s="5" t="s">
        <v>8036</v>
      </c>
      <c r="E2048" s="2">
        <v>2813472</v>
      </c>
      <c r="F2048" s="4" t="str">
        <f>IF(B2048=B2047,"",B2048)</f>
        <v>Wedding</v>
      </c>
    </row>
    <row r="2049" spans="1:6" ht="15.75" customHeight="1">
      <c r="A2049" s="5" t="str">
        <f ca="1">IFERROR(__xludf.DUMMYFUNCTION("GOOGLETRANSLATE(B27419,""en"",""pt"")"),"Casamento")</f>
        <v>Casamento</v>
      </c>
      <c r="B2049" s="17" t="s">
        <v>9275</v>
      </c>
      <c r="C2049" s="17" t="s">
        <v>8028</v>
      </c>
      <c r="D2049" s="17" t="s">
        <v>8036</v>
      </c>
      <c r="E2049" s="10">
        <v>2813472</v>
      </c>
      <c r="F2049" s="4" t="str">
        <f>IF(B2049=B2048,"",B2049)</f>
        <v/>
      </c>
    </row>
    <row r="2050" spans="1:6" ht="15.75" customHeight="1">
      <c r="A2050" s="6" t="s">
        <v>16846</v>
      </c>
      <c r="B2050" s="6" t="s">
        <v>16846</v>
      </c>
      <c r="C2050" s="6" t="s">
        <v>16781</v>
      </c>
      <c r="D2050" s="6" t="s">
        <v>16783</v>
      </c>
      <c r="E2050" s="2">
        <v>178202</v>
      </c>
      <c r="F2050" s="4" t="str">
        <f>IF(B2050=B2049,"",B2050)</f>
        <v>Webuye</v>
      </c>
    </row>
    <row r="2051" spans="1:6" ht="15.75" customHeight="1">
      <c r="A2051" s="5" t="str">
        <f ca="1">IFERROR(__xludf.DUMMYFUNCTION("GOOGLETRANSLATE(B35884,""en"",""pt"")"),"Webuye")</f>
        <v>Webuye</v>
      </c>
      <c r="B2051" s="17" t="s">
        <v>16846</v>
      </c>
      <c r="C2051" s="17" t="s">
        <v>16781</v>
      </c>
      <c r="D2051" s="17" t="s">
        <v>16783</v>
      </c>
      <c r="E2051" s="10">
        <v>178202</v>
      </c>
      <c r="F2051" s="4" t="str">
        <f>IF(B2051=B2050,"",B2051)</f>
        <v/>
      </c>
    </row>
    <row r="2052" spans="1:6" ht="15.75" customHeight="1">
      <c r="A2052" s="5" t="s">
        <v>30310</v>
      </c>
      <c r="B2052" s="6" t="s">
        <v>30310</v>
      </c>
      <c r="C2052" s="5" t="s">
        <v>27788</v>
      </c>
      <c r="D2052" s="5" t="s">
        <v>27806</v>
      </c>
      <c r="E2052" s="2">
        <v>4413872</v>
      </c>
      <c r="F2052" s="4" t="str">
        <f>IF(B2052=B2051,"",B2052)</f>
        <v>Webster Groves</v>
      </c>
    </row>
    <row r="2053" spans="1:6" ht="15.75" customHeight="1">
      <c r="A2053" s="5" t="str">
        <f ca="1">IFERROR(__xludf.DUMMYFUNCTION("GOOGLETRANSLATE(B43396,""en"",""pt"")"),"Webster Groves")</f>
        <v>Webster Groves</v>
      </c>
      <c r="B2053" s="17" t="s">
        <v>30310</v>
      </c>
      <c r="C2053" s="17" t="s">
        <v>27788</v>
      </c>
      <c r="D2053" s="17" t="s">
        <v>27806</v>
      </c>
      <c r="E2053" s="10">
        <v>4413872</v>
      </c>
      <c r="F2053" s="4" t="str">
        <f>IF(B2053=B2052,"",B2053)</f>
        <v/>
      </c>
    </row>
    <row r="2054" spans="1:6" ht="15.75" customHeight="1">
      <c r="A2054" s="5" t="str">
        <f ca="1">IFERROR(__xludf.DUMMYFUNCTION("GOOGLETRANSLATE(B31847,""en"",""pt"")"),"Wazīrganj")</f>
        <v>Wazīrganj</v>
      </c>
      <c r="B2054" s="17" t="s">
        <v>32945</v>
      </c>
      <c r="C2054" s="17" t="s">
        <v>10178</v>
      </c>
      <c r="D2054" s="17" t="s">
        <v>10193</v>
      </c>
      <c r="E2054" s="10">
        <v>1252892</v>
      </c>
      <c r="F2054" s="4" t="str">
        <f>IF(B2054=B2053,"",B2054)</f>
        <v>Wazīrganj</v>
      </c>
    </row>
    <row r="2055" spans="1:6" ht="15.75" customHeight="1">
      <c r="A2055" s="5" t="str">
        <f ca="1">IFERROR(__xludf.DUMMYFUNCTION("GOOGLETRANSLATE(B38872,""en"",""pt"")"),"Wazīrābād")</f>
        <v>Wazīrābād</v>
      </c>
      <c r="B2055" s="17" t="s">
        <v>34895</v>
      </c>
      <c r="C2055" s="17" t="s">
        <v>19808</v>
      </c>
      <c r="D2055" s="17" t="s">
        <v>10184</v>
      </c>
      <c r="E2055" s="10">
        <v>1162456</v>
      </c>
      <c r="F2055" s="4" t="str">
        <f>IF(B2055=B2054,"",B2055)</f>
        <v>Wazīrābād</v>
      </c>
    </row>
    <row r="2056" spans="1:6" ht="15.75" customHeight="1">
      <c r="A2056" s="5" t="s">
        <v>13771</v>
      </c>
      <c r="B2056" s="6" t="s">
        <v>13772</v>
      </c>
      <c r="C2056" s="5" t="s">
        <v>10178</v>
      </c>
      <c r="D2056" s="5" t="s">
        <v>10193</v>
      </c>
      <c r="E2056" s="2">
        <v>1252892</v>
      </c>
      <c r="F2056" s="4" t="str">
        <f>IF(B2056=B2055,"",B2056)</f>
        <v>WazÄ«rganj</v>
      </c>
    </row>
    <row r="2057" spans="1:6" ht="15.75" customHeight="1">
      <c r="A2057" s="5" t="s">
        <v>20284</v>
      </c>
      <c r="B2057" s="6" t="s">
        <v>20285</v>
      </c>
      <c r="C2057" s="5" t="s">
        <v>19808</v>
      </c>
      <c r="D2057" s="5" t="s">
        <v>10184</v>
      </c>
      <c r="E2057" s="2">
        <v>1162456</v>
      </c>
      <c r="F2057" s="4" t="str">
        <f>IF(B2057=B2056,"",B2057)</f>
        <v>WazÄ«rÄbÄd</v>
      </c>
    </row>
    <row r="2058" spans="1:6" ht="15.75" customHeight="1">
      <c r="A2058" s="6" t="s">
        <v>30309</v>
      </c>
      <c r="B2058" s="6" t="s">
        <v>30309</v>
      </c>
      <c r="C2058" s="6" t="s">
        <v>27788</v>
      </c>
      <c r="D2058" s="6" t="s">
        <v>27804</v>
      </c>
      <c r="E2058" s="2">
        <v>5014224</v>
      </c>
      <c r="F2058" s="4" t="str">
        <f>IF(B2058=B2057,"",B2058)</f>
        <v>Wayne</v>
      </c>
    </row>
    <row r="2059" spans="1:6" ht="15.75" customHeight="1">
      <c r="A2059" s="6" t="s">
        <v>30309</v>
      </c>
      <c r="B2059" s="6" t="s">
        <v>30309</v>
      </c>
      <c r="C2059" s="6" t="s">
        <v>27788</v>
      </c>
      <c r="D2059" s="6" t="s">
        <v>27905</v>
      </c>
      <c r="E2059" s="2">
        <v>5106160</v>
      </c>
      <c r="F2059" s="4" t="str">
        <f>IF(B2059=B2058,"",B2059)</f>
        <v/>
      </c>
    </row>
    <row r="2060" spans="1:6" ht="15.75" customHeight="1">
      <c r="A2060" s="6" t="s">
        <v>30309</v>
      </c>
      <c r="B2060" s="6" t="s">
        <v>30309</v>
      </c>
      <c r="C2060" s="6" t="s">
        <v>27788</v>
      </c>
      <c r="D2060" s="6" t="s">
        <v>27836</v>
      </c>
      <c r="E2060" s="2">
        <v>5218270</v>
      </c>
      <c r="F2060" s="4" t="str">
        <f>IF(B2060=B2059,"",B2060)</f>
        <v/>
      </c>
    </row>
    <row r="2061" spans="1:6" ht="15.75" customHeight="1">
      <c r="A2061" s="5" t="str">
        <f ca="1">IFERROR(__xludf.DUMMYFUNCTION("GOOGLETRANSLATE(B44133,""en"",""pt"")"),"Wayne")</f>
        <v>Wayne</v>
      </c>
      <c r="B2061" s="17" t="s">
        <v>30309</v>
      </c>
      <c r="C2061" s="17" t="s">
        <v>27788</v>
      </c>
      <c r="D2061" s="17" t="s">
        <v>27804</v>
      </c>
      <c r="E2061" s="10">
        <v>5014224</v>
      </c>
      <c r="F2061" s="4" t="str">
        <f>IF(B2061=B2060,"",B2061)</f>
        <v/>
      </c>
    </row>
    <row r="2062" spans="1:6" ht="15.75" customHeight="1">
      <c r="A2062" s="5" t="str">
        <f ca="1">IFERROR(__xludf.DUMMYFUNCTION("GOOGLETRANSLATE(B44322,""en"",""pt"")"),"Wayne")</f>
        <v>Wayne</v>
      </c>
      <c r="B2062" s="17" t="s">
        <v>30309</v>
      </c>
      <c r="C2062" s="17" t="s">
        <v>27788</v>
      </c>
      <c r="D2062" s="17" t="s">
        <v>27905</v>
      </c>
      <c r="E2062" s="10">
        <v>5106160</v>
      </c>
      <c r="F2062" s="4" t="str">
        <f>IF(B2062=B2061,"",B2062)</f>
        <v/>
      </c>
    </row>
    <row r="2063" spans="1:6" ht="15.75" customHeight="1">
      <c r="A2063" s="5" t="str">
        <f ca="1">IFERROR(__xludf.DUMMYFUNCTION("GOOGLETRANSLATE(B44597,""en"",""pt"")"),"Wayne")</f>
        <v>Wayne</v>
      </c>
      <c r="B2063" s="17" t="s">
        <v>30309</v>
      </c>
      <c r="C2063" s="17" t="s">
        <v>27788</v>
      </c>
      <c r="D2063" s="17" t="s">
        <v>27836</v>
      </c>
      <c r="E2063" s="10">
        <v>5218270</v>
      </c>
      <c r="F2063" s="4" t="str">
        <f>IF(B2063=B2062,"",B2063)</f>
        <v/>
      </c>
    </row>
    <row r="2064" spans="1:6" ht="15.75" customHeight="1">
      <c r="A2064" s="6" t="s">
        <v>21564</v>
      </c>
      <c r="B2064" s="6" t="s">
        <v>21564</v>
      </c>
      <c r="C2064" s="6" t="s">
        <v>21064</v>
      </c>
      <c r="D2064" s="6" t="s">
        <v>21070</v>
      </c>
      <c r="E2064" s="2">
        <v>756092</v>
      </c>
      <c r="F2064" s="4" t="str">
        <f>IF(B2064=B2063,"",B2064)</f>
        <v>Wawer</v>
      </c>
    </row>
    <row r="2065" spans="1:6" ht="15.75" customHeight="1">
      <c r="A2065" s="5" t="str">
        <f ca="1">IFERROR(__xludf.DUMMYFUNCTION("GOOGLETRANSLATE(B39187,""en"",""pt"")"),"Wawer")</f>
        <v>Wawer</v>
      </c>
      <c r="B2065" s="17" t="s">
        <v>21564</v>
      </c>
      <c r="C2065" s="17" t="s">
        <v>21064</v>
      </c>
      <c r="D2065" s="17" t="s">
        <v>21070</v>
      </c>
      <c r="E2065" s="10">
        <v>756092</v>
      </c>
      <c r="F2065" s="4" t="str">
        <f>IF(B2065=B2064,"",B2065)</f>
        <v/>
      </c>
    </row>
    <row r="2066" spans="1:6" ht="15.75" customHeight="1">
      <c r="A2066" s="6" t="s">
        <v>1714</v>
      </c>
      <c r="B2066" s="6" t="s">
        <v>1714</v>
      </c>
      <c r="C2066" s="6" t="s">
        <v>1512</v>
      </c>
      <c r="D2066" s="6" t="s">
        <v>1518</v>
      </c>
      <c r="E2066" s="2">
        <v>2783941</v>
      </c>
      <c r="F2066" s="4" t="str">
        <f>IF(B2066=B2065,"",B2066)</f>
        <v>Wavre</v>
      </c>
    </row>
    <row r="2067" spans="1:6" ht="15.75" customHeight="1">
      <c r="A2067" s="5" t="str">
        <f ca="1">IFERROR(__xludf.DUMMYFUNCTION("GOOGLETRANSLATE(B23806,""en"",""pt"")"),"Wavre")</f>
        <v>Wavre</v>
      </c>
      <c r="B2067" s="17" t="s">
        <v>1714</v>
      </c>
      <c r="C2067" s="17" t="s">
        <v>1512</v>
      </c>
      <c r="D2067" s="17" t="s">
        <v>1518</v>
      </c>
      <c r="E2067" s="10">
        <v>2783941</v>
      </c>
      <c r="F2067" s="4" t="str">
        <f>IF(B2067=B2066,"",B2067)</f>
        <v/>
      </c>
    </row>
    <row r="2068" spans="1:6" ht="15.75" customHeight="1">
      <c r="A2068" s="6" t="s">
        <v>30308</v>
      </c>
      <c r="B2068" s="6" t="s">
        <v>30308</v>
      </c>
      <c r="C2068" s="6" t="s">
        <v>27788</v>
      </c>
      <c r="D2068" s="6" t="s">
        <v>27804</v>
      </c>
      <c r="E2068" s="2">
        <v>5014208</v>
      </c>
      <c r="F2068" s="4" t="str">
        <f>IF(B2068=B2067,"",B2068)</f>
        <v>Waverly</v>
      </c>
    </row>
    <row r="2069" spans="1:6" ht="15.75" customHeight="1">
      <c r="A2069" s="5" t="str">
        <f ca="1">IFERROR(__xludf.DUMMYFUNCTION("GOOGLETRANSLATE(B44132,""en"",""pt"")"),"Waverly")</f>
        <v>Waverly</v>
      </c>
      <c r="B2069" s="17" t="s">
        <v>30308</v>
      </c>
      <c r="C2069" s="17" t="s">
        <v>27788</v>
      </c>
      <c r="D2069" s="17" t="s">
        <v>27804</v>
      </c>
      <c r="E2069" s="10">
        <v>5014208</v>
      </c>
      <c r="F2069" s="4" t="str">
        <f>IF(B2069=B2068,"",B2069)</f>
        <v/>
      </c>
    </row>
    <row r="2070" spans="1:6" ht="15.75" customHeight="1">
      <c r="A2070" s="5" t="s">
        <v>30307</v>
      </c>
      <c r="B2070" s="6" t="s">
        <v>30307</v>
      </c>
      <c r="C2070" s="5" t="s">
        <v>27788</v>
      </c>
      <c r="D2070" s="5" t="s">
        <v>27890</v>
      </c>
      <c r="E2070" s="2">
        <v>5278159</v>
      </c>
      <c r="F2070" s="4" t="str">
        <f>IF(B2070=B2069,"",B2070)</f>
        <v>Wauwatosa</v>
      </c>
    </row>
    <row r="2071" spans="1:6" ht="15.75" customHeight="1">
      <c r="A2071" s="5" t="str">
        <f ca="1">IFERROR(__xludf.DUMMYFUNCTION("GOOGLETRANSLATE(B44679,""en"",""pt"")"),"Wauwatosa")</f>
        <v>Wauwatosa</v>
      </c>
      <c r="B2071" s="17" t="s">
        <v>30307</v>
      </c>
      <c r="C2071" s="17" t="s">
        <v>27788</v>
      </c>
      <c r="D2071" s="17" t="s">
        <v>27890</v>
      </c>
      <c r="E2071" s="10">
        <v>5278159</v>
      </c>
      <c r="F2071" s="4" t="str">
        <f>IF(B2071=B2070,"",B2071)</f>
        <v/>
      </c>
    </row>
    <row r="2072" spans="1:6" ht="15.75" customHeight="1">
      <c r="A2072" s="6" t="s">
        <v>30306</v>
      </c>
      <c r="B2072" s="6" t="s">
        <v>30306</v>
      </c>
      <c r="C2072" s="6" t="s">
        <v>27788</v>
      </c>
      <c r="D2072" s="6" t="s">
        <v>27890</v>
      </c>
      <c r="E2072" s="2">
        <v>5278120</v>
      </c>
      <c r="F2072" s="4" t="str">
        <f>IF(B2072=B2071,"",B2072)</f>
        <v>Wausau</v>
      </c>
    </row>
    <row r="2073" spans="1:6" ht="15.75" customHeight="1">
      <c r="A2073" s="5" t="str">
        <f ca="1">IFERROR(__xludf.DUMMYFUNCTION("GOOGLETRANSLATE(B44678,""en"",""pt"")"),"Wausau")</f>
        <v>Wausau</v>
      </c>
      <c r="B2073" s="17" t="s">
        <v>30306</v>
      </c>
      <c r="C2073" s="17" t="s">
        <v>27788</v>
      </c>
      <c r="D2073" s="17" t="s">
        <v>27890</v>
      </c>
      <c r="E2073" s="10">
        <v>5278120</v>
      </c>
      <c r="F2073" s="4" t="str">
        <f>IF(B2073=B2072,"",B2073)</f>
        <v/>
      </c>
    </row>
    <row r="2074" spans="1:6" ht="15.75" customHeight="1">
      <c r="A2074" s="5" t="s">
        <v>30305</v>
      </c>
      <c r="B2074" s="6" t="s">
        <v>30305</v>
      </c>
      <c r="C2074" s="5" t="s">
        <v>27788</v>
      </c>
      <c r="D2074" s="5" t="s">
        <v>27890</v>
      </c>
      <c r="E2074" s="2">
        <v>5278052</v>
      </c>
      <c r="F2074" s="4" t="str">
        <f>IF(B2074=B2073,"",B2074)</f>
        <v>Waukesha</v>
      </c>
    </row>
    <row r="2075" spans="1:6" ht="15.75" customHeight="1">
      <c r="A2075" s="5" t="str">
        <f ca="1">IFERROR(__xludf.DUMMYFUNCTION("GOOGLETRANSLATE(B44677,""en"",""pt"")"),"Waukesha")</f>
        <v>Waukesha</v>
      </c>
      <c r="B2075" s="17" t="s">
        <v>30305</v>
      </c>
      <c r="C2075" s="17" t="s">
        <v>27788</v>
      </c>
      <c r="D2075" s="17" t="s">
        <v>27890</v>
      </c>
      <c r="E2075" s="10">
        <v>5278052</v>
      </c>
      <c r="F2075" s="4" t="str">
        <f>IF(B2075=B2074,"",B2075)</f>
        <v/>
      </c>
    </row>
    <row r="2076" spans="1:6" ht="15.75" customHeight="1">
      <c r="A2076" s="5" t="s">
        <v>30304</v>
      </c>
      <c r="B2076" s="6" t="s">
        <v>30304</v>
      </c>
      <c r="C2076" s="5" t="s">
        <v>27788</v>
      </c>
      <c r="D2076" s="5" t="s">
        <v>27799</v>
      </c>
      <c r="E2076" s="2">
        <v>4915734</v>
      </c>
      <c r="F2076" s="4" t="str">
        <f>IF(B2076=B2075,"",B2076)</f>
        <v>Waukegan</v>
      </c>
    </row>
    <row r="2077" spans="1:6" ht="15.75" customHeight="1">
      <c r="A2077" s="5" t="str">
        <f ca="1">IFERROR(__xludf.DUMMYFUNCTION("GOOGLETRANSLATE(B43896,""en"",""pt"")"),"Waukegan")</f>
        <v>Waukegan</v>
      </c>
      <c r="B2077" s="17" t="s">
        <v>30304</v>
      </c>
      <c r="C2077" s="17" t="s">
        <v>27788</v>
      </c>
      <c r="D2077" s="17" t="s">
        <v>27799</v>
      </c>
      <c r="E2077" s="10">
        <v>4915734</v>
      </c>
      <c r="F2077" s="4" t="str">
        <f>IF(B2077=B2076,"",B2077)</f>
        <v/>
      </c>
    </row>
    <row r="2078" spans="1:6" ht="15.75" customHeight="1">
      <c r="A2078" s="6" t="s">
        <v>24192</v>
      </c>
      <c r="B2078" s="6" t="s">
        <v>24192</v>
      </c>
      <c r="C2078" s="6" t="s">
        <v>24176</v>
      </c>
      <c r="D2078" s="6" t="s">
        <v>24193</v>
      </c>
      <c r="E2078" s="2">
        <v>363885</v>
      </c>
      <c r="F2078" s="4" t="str">
        <f>IF(B2078=B2077,"",B2078)</f>
        <v>Wau</v>
      </c>
    </row>
    <row r="2079" spans="1:6" ht="15.75" customHeight="1">
      <c r="A2079" s="5" t="str">
        <f ca="1">IFERROR(__xludf.DUMMYFUNCTION("GOOGLETRANSLATE(B41344,""en"",""pt"")"),"Wau")</f>
        <v>Wau</v>
      </c>
      <c r="B2079" s="17" t="s">
        <v>24192</v>
      </c>
      <c r="C2079" s="17" t="s">
        <v>24176</v>
      </c>
      <c r="D2079" s="17" t="s">
        <v>24193</v>
      </c>
      <c r="E2079" s="10">
        <v>363885</v>
      </c>
      <c r="F2079" s="4" t="str">
        <f>IF(B2079=B2078,"",B2079)</f>
        <v/>
      </c>
    </row>
    <row r="2080" spans="1:6" ht="15.75" customHeight="1">
      <c r="A2080" s="6" t="s">
        <v>7936</v>
      </c>
      <c r="B2080" s="6" t="s">
        <v>7936</v>
      </c>
      <c r="C2080" s="6" t="s">
        <v>7052</v>
      </c>
      <c r="D2080" s="6" t="s">
        <v>7078</v>
      </c>
      <c r="E2080" s="2">
        <v>2967421</v>
      </c>
      <c r="F2080" s="4" t="str">
        <f>IF(B2080=B2079,"",B2080)</f>
        <v>Wattrelos</v>
      </c>
    </row>
    <row r="2081" spans="1:6" ht="15.75" customHeight="1">
      <c r="A2081" s="5" t="str">
        <f ca="1">IFERROR(__xludf.DUMMYFUNCTION("GOOGLETRANSLATE(B29674,""en"",""pt"")"),"Wattrelos")</f>
        <v>Wattrelos</v>
      </c>
      <c r="B2081" s="17" t="s">
        <v>7936</v>
      </c>
      <c r="C2081" s="17" t="s">
        <v>7052</v>
      </c>
      <c r="D2081" s="17" t="s">
        <v>7078</v>
      </c>
      <c r="E2081" s="10">
        <v>2967421</v>
      </c>
      <c r="F2081" s="4" t="str">
        <f>IF(B2081=B2080,"",B2081)</f>
        <v/>
      </c>
    </row>
    <row r="2082" spans="1:6" ht="15.75" customHeight="1">
      <c r="A2082" s="6" t="s">
        <v>24982</v>
      </c>
      <c r="B2082" s="6" t="s">
        <v>24982</v>
      </c>
      <c r="C2082" s="6" t="s">
        <v>24924</v>
      </c>
      <c r="D2082" s="6" t="s">
        <v>6944</v>
      </c>
      <c r="E2082" s="2">
        <v>1224085</v>
      </c>
      <c r="F2082" s="4" t="str">
        <f>IF(B2082=B2081,"",B2082)</f>
        <v>Wattala</v>
      </c>
    </row>
    <row r="2083" spans="1:6" ht="15.75" customHeight="1">
      <c r="A2083" s="5" t="str">
        <f ca="1">IFERROR(__xludf.DUMMYFUNCTION("GOOGLETRANSLATE(B36292,""en"",""pt"")"),"Wattala")</f>
        <v>Wattala</v>
      </c>
      <c r="B2083" s="17" t="s">
        <v>24982</v>
      </c>
      <c r="C2083" s="17" t="s">
        <v>24924</v>
      </c>
      <c r="D2083" s="17" t="s">
        <v>6944</v>
      </c>
      <c r="E2083" s="10">
        <v>1224085</v>
      </c>
      <c r="F2083" s="4" t="str">
        <f>IF(B2083=B2082,"",B2083)</f>
        <v/>
      </c>
    </row>
    <row r="2084" spans="1:6" ht="15.75" customHeight="1">
      <c r="A2084" s="5" t="s">
        <v>30303</v>
      </c>
      <c r="B2084" s="6" t="s">
        <v>30303</v>
      </c>
      <c r="C2084" s="5" t="s">
        <v>27788</v>
      </c>
      <c r="D2084" s="5" t="s">
        <v>27801</v>
      </c>
      <c r="E2084" s="2">
        <v>5407529</v>
      </c>
      <c r="F2084" s="4" t="str">
        <f>IF(B2084=B2083,"",B2084)</f>
        <v>Watsonville</v>
      </c>
    </row>
    <row r="2085" spans="1:6" ht="15.75" customHeight="1">
      <c r="A2085" s="5" t="str">
        <f ca="1">IFERROR(__xludf.DUMMYFUNCTION("GOOGLETRANSLATE(B45069,""en"",""pt"")"),"Watsonville")</f>
        <v>Watsonville</v>
      </c>
      <c r="B2085" s="17" t="s">
        <v>30303</v>
      </c>
      <c r="C2085" s="17" t="s">
        <v>27788</v>
      </c>
      <c r="D2085" s="17" t="s">
        <v>27801</v>
      </c>
      <c r="E2085" s="10">
        <v>5407529</v>
      </c>
      <c r="F2085" s="4" t="str">
        <f>IF(B2085=B2084,"",B2085)</f>
        <v/>
      </c>
    </row>
    <row r="2086" spans="1:6" ht="15.75" customHeight="1">
      <c r="A2086" s="6" t="s">
        <v>6205</v>
      </c>
      <c r="B2086" s="6" t="s">
        <v>6205</v>
      </c>
      <c r="C2086" s="6" t="s">
        <v>6127</v>
      </c>
      <c r="D2086" s="6" t="s">
        <v>6128</v>
      </c>
      <c r="E2086" s="2">
        <v>204283</v>
      </c>
      <c r="F2086" s="4" t="str">
        <f>IF(B2086=B2085,"",B2086)</f>
        <v>Watsa</v>
      </c>
    </row>
    <row r="2087" spans="1:6" ht="15.75" customHeight="1">
      <c r="A2087" s="5" t="str">
        <f ca="1">IFERROR(__xludf.DUMMYFUNCTION("GOOGLETRANSLATE(B25645,""en"",""pt"")"),"Watsa")</f>
        <v>Watsa</v>
      </c>
      <c r="B2087" s="17" t="s">
        <v>6205</v>
      </c>
      <c r="C2087" s="17" t="s">
        <v>6127</v>
      </c>
      <c r="D2087" s="17" t="s">
        <v>6128</v>
      </c>
      <c r="E2087" s="10">
        <v>204283</v>
      </c>
      <c r="F2087" s="4" t="str">
        <f>IF(B2087=B2086,"",B2087)</f>
        <v/>
      </c>
    </row>
    <row r="2088" spans="1:6" ht="15.75" customHeight="1">
      <c r="A2088" s="5" t="s">
        <v>27736</v>
      </c>
      <c r="B2088" s="6" t="s">
        <v>27737</v>
      </c>
      <c r="C2088" s="5" t="s">
        <v>27234</v>
      </c>
      <c r="D2088" s="5" t="s">
        <v>27241</v>
      </c>
      <c r="E2088" s="2">
        <v>2634672</v>
      </c>
      <c r="F2088" s="4" t="str">
        <f>IF(B2088=B2087,"",B2088)</f>
        <v>Wath upon Dearne</v>
      </c>
    </row>
    <row r="2089" spans="1:6" ht="15.75" customHeight="1">
      <c r="A2089" s="5" t="str">
        <f ca="1">IFERROR(__xludf.DUMMYFUNCTION("GOOGLETRANSLATE(B30359,""en"",""pt"")"),"Wath sobre Dearne")</f>
        <v>Wath sobre Dearne</v>
      </c>
      <c r="B2089" s="17" t="s">
        <v>27737</v>
      </c>
      <c r="C2089" s="17" t="s">
        <v>27234</v>
      </c>
      <c r="D2089" s="17" t="s">
        <v>27241</v>
      </c>
      <c r="E2089" s="10">
        <v>2634672</v>
      </c>
      <c r="F2089" s="4" t="str">
        <f>IF(B2089=B2088,"",B2089)</f>
        <v/>
      </c>
    </row>
    <row r="2090" spans="1:6" ht="15.75" customHeight="1">
      <c r="A2090" s="6" t="s">
        <v>27735</v>
      </c>
      <c r="B2090" s="6" t="s">
        <v>27735</v>
      </c>
      <c r="C2090" s="6" t="s">
        <v>27234</v>
      </c>
      <c r="D2090" s="6" t="s">
        <v>27241</v>
      </c>
      <c r="E2090" s="2">
        <v>2634677</v>
      </c>
      <c r="F2090" s="4" t="str">
        <f>IF(B2090=B2089,"",B2090)</f>
        <v>Watford</v>
      </c>
    </row>
    <row r="2091" spans="1:6" ht="15.75" customHeight="1">
      <c r="A2091" s="5" t="str">
        <f ca="1">IFERROR(__xludf.DUMMYFUNCTION("GOOGLETRANSLATE(B30360,""en"",""pt"")"),"Watford")</f>
        <v>Watford</v>
      </c>
      <c r="B2091" s="17" t="s">
        <v>27735</v>
      </c>
      <c r="C2091" s="17" t="s">
        <v>27234</v>
      </c>
      <c r="D2091" s="17" t="s">
        <v>27241</v>
      </c>
      <c r="E2091" s="10">
        <v>2634677</v>
      </c>
      <c r="F2091" s="4" t="str">
        <f>IF(B2091=B2090,"",B2091)</f>
        <v/>
      </c>
    </row>
    <row r="2092" spans="1:6" ht="15.75" customHeight="1">
      <c r="A2092" s="5" t="s">
        <v>30302</v>
      </c>
      <c r="B2092" s="6" t="s">
        <v>30302</v>
      </c>
      <c r="C2092" s="5" t="s">
        <v>27788</v>
      </c>
      <c r="D2092" s="5" t="s">
        <v>27920</v>
      </c>
      <c r="E2092" s="2">
        <v>4982236</v>
      </c>
      <c r="F2092" s="4" t="str">
        <f>IF(B2092=B2091,"",B2092)</f>
        <v>Waterville</v>
      </c>
    </row>
    <row r="2093" spans="1:6" ht="15.75" customHeight="1">
      <c r="A2093" s="5" t="str">
        <f ca="1">IFERROR(__xludf.DUMMYFUNCTION("GOOGLETRANSLATE(B44060,""en"",""pt"")"),"Waterville")</f>
        <v>Waterville</v>
      </c>
      <c r="B2093" s="17" t="s">
        <v>30302</v>
      </c>
      <c r="C2093" s="17" t="s">
        <v>27788</v>
      </c>
      <c r="D2093" s="17" t="s">
        <v>27920</v>
      </c>
      <c r="E2093" s="10">
        <v>4982236</v>
      </c>
      <c r="F2093" s="4" t="str">
        <f>IF(B2093=B2092,"",B2093)</f>
        <v/>
      </c>
    </row>
    <row r="2094" spans="1:6" ht="15.75" customHeight="1">
      <c r="A2094" s="5" t="s">
        <v>30301</v>
      </c>
      <c r="B2094" s="6" t="s">
        <v>30301</v>
      </c>
      <c r="C2094" s="5" t="s">
        <v>27788</v>
      </c>
      <c r="D2094" s="5" t="s">
        <v>27794</v>
      </c>
      <c r="E2094" s="2">
        <v>4954611</v>
      </c>
      <c r="F2094" s="4" t="str">
        <f>IF(B2094=B2093,"",B2094)</f>
        <v>Watertown</v>
      </c>
    </row>
    <row r="2095" spans="1:6" ht="15.75" customHeight="1">
      <c r="A2095" s="5" t="s">
        <v>30301</v>
      </c>
      <c r="B2095" s="6" t="s">
        <v>30301</v>
      </c>
      <c r="C2095" s="5" t="s">
        <v>27788</v>
      </c>
      <c r="D2095" s="5" t="s">
        <v>27819</v>
      </c>
      <c r="E2095" s="2">
        <v>5143396</v>
      </c>
      <c r="F2095" s="4" t="str">
        <f>IF(B2095=B2094,"",B2095)</f>
        <v/>
      </c>
    </row>
    <row r="2096" spans="1:6" ht="15.75" customHeight="1">
      <c r="A2096" s="5" t="s">
        <v>30301</v>
      </c>
      <c r="B2096" s="6" t="s">
        <v>30301</v>
      </c>
      <c r="C2096" s="5" t="s">
        <v>27788</v>
      </c>
      <c r="D2096" s="5" t="s">
        <v>27790</v>
      </c>
      <c r="E2096" s="2">
        <v>5232741</v>
      </c>
      <c r="F2096" s="4" t="str">
        <f>IF(B2096=B2095,"",B2096)</f>
        <v/>
      </c>
    </row>
    <row r="2097" spans="1:6" ht="15.75" customHeight="1">
      <c r="A2097" s="5" t="s">
        <v>30301</v>
      </c>
      <c r="B2097" s="6" t="s">
        <v>30301</v>
      </c>
      <c r="C2097" s="5" t="s">
        <v>27788</v>
      </c>
      <c r="D2097" s="5" t="s">
        <v>27890</v>
      </c>
      <c r="E2097" s="2">
        <v>5278005</v>
      </c>
      <c r="F2097" s="4" t="str">
        <f>IF(B2097=B2096,"",B2097)</f>
        <v/>
      </c>
    </row>
    <row r="2098" spans="1:6" ht="15.75" customHeight="1">
      <c r="A2098" s="5" t="str">
        <f ca="1">IFERROR(__xludf.DUMMYFUNCTION("GOOGLETRANSLATE(B44038,""en"",""pt"")"),"Watertown")</f>
        <v>Watertown</v>
      </c>
      <c r="B2098" s="17" t="s">
        <v>30301</v>
      </c>
      <c r="C2098" s="17" t="s">
        <v>27788</v>
      </c>
      <c r="D2098" s="17" t="s">
        <v>27794</v>
      </c>
      <c r="E2098" s="10">
        <v>4954611</v>
      </c>
      <c r="F2098" s="4" t="str">
        <f>IF(B2098=B2097,"",B2098)</f>
        <v/>
      </c>
    </row>
    <row r="2099" spans="1:6" ht="15.75" customHeight="1">
      <c r="A2099" s="5" t="str">
        <f ca="1">IFERROR(__xludf.DUMMYFUNCTION("GOOGLETRANSLATE(B44464,""en"",""pt"")"),"Watertown")</f>
        <v>Watertown</v>
      </c>
      <c r="B2099" s="17" t="s">
        <v>30301</v>
      </c>
      <c r="C2099" s="17" t="s">
        <v>27788</v>
      </c>
      <c r="D2099" s="17" t="s">
        <v>27819</v>
      </c>
      <c r="E2099" s="10">
        <v>5143396</v>
      </c>
      <c r="F2099" s="4" t="str">
        <f>IF(B2099=B2098,"",B2099)</f>
        <v/>
      </c>
    </row>
    <row r="2100" spans="1:6" ht="15.75" customHeight="1">
      <c r="A2100" s="5" t="str">
        <f ca="1">IFERROR(__xludf.DUMMYFUNCTION("GOOGLETRANSLATE(B44627,""en"",""pt"")"),"Watertown")</f>
        <v>Watertown</v>
      </c>
      <c r="B2100" s="17" t="s">
        <v>30301</v>
      </c>
      <c r="C2100" s="17" t="s">
        <v>27788</v>
      </c>
      <c r="D2100" s="17" t="s">
        <v>27790</v>
      </c>
      <c r="E2100" s="10">
        <v>5232741</v>
      </c>
      <c r="F2100" s="4" t="str">
        <f>IF(B2100=B2099,"",B2100)</f>
        <v/>
      </c>
    </row>
    <row r="2101" spans="1:6" ht="15.75" customHeight="1">
      <c r="A2101" s="5" t="str">
        <f ca="1">IFERROR(__xludf.DUMMYFUNCTION("GOOGLETRANSLATE(B44676,""en"",""pt"")"),"Watertown")</f>
        <v>Watertown</v>
      </c>
      <c r="B2101" s="17" t="s">
        <v>30301</v>
      </c>
      <c r="C2101" s="17" t="s">
        <v>27788</v>
      </c>
      <c r="D2101" s="17" t="s">
        <v>27890</v>
      </c>
      <c r="E2101" s="10">
        <v>5278005</v>
      </c>
      <c r="F2101" s="4" t="str">
        <f>IF(B2101=B2100,"",B2101)</f>
        <v/>
      </c>
    </row>
    <row r="2102" spans="1:6" ht="15.75" customHeight="1">
      <c r="A2102" s="5" t="s">
        <v>27734</v>
      </c>
      <c r="B2102" s="6" t="s">
        <v>27734</v>
      </c>
      <c r="C2102" s="5" t="s">
        <v>27234</v>
      </c>
      <c r="D2102" s="5" t="s">
        <v>27241</v>
      </c>
      <c r="E2102" s="2">
        <v>2634686</v>
      </c>
      <c r="F2102" s="4" t="str">
        <f>IF(B2102=B2101,"",B2102)</f>
        <v>Waterlooville</v>
      </c>
    </row>
    <row r="2103" spans="1:6" ht="15.75" customHeight="1">
      <c r="A2103" s="5" t="str">
        <f ca="1">IFERROR(__xludf.DUMMYFUNCTION("GOOGLETRANSLATE(B30361,""en"",""pt"")"),"Waterlooville")</f>
        <v>Waterlooville</v>
      </c>
      <c r="B2103" s="17" t="s">
        <v>27734</v>
      </c>
      <c r="C2103" s="17" t="s">
        <v>27234</v>
      </c>
      <c r="D2103" s="17" t="s">
        <v>27241</v>
      </c>
      <c r="E2103" s="10">
        <v>2634686</v>
      </c>
      <c r="F2103" s="4" t="str">
        <f>IF(B2103=B2102,"",B2103)</f>
        <v/>
      </c>
    </row>
    <row r="2104" spans="1:6" ht="15.75" customHeight="1">
      <c r="A2104" s="6" t="s">
        <v>1713</v>
      </c>
      <c r="B2104" s="6" t="s">
        <v>1713</v>
      </c>
      <c r="C2104" s="6" t="s">
        <v>1512</v>
      </c>
      <c r="D2104" s="6" t="s">
        <v>1518</v>
      </c>
      <c r="E2104" s="2">
        <v>2783985</v>
      </c>
      <c r="F2104" s="4" t="str">
        <f>IF(B2104=B2103,"",B2104)</f>
        <v>Waterloo</v>
      </c>
    </row>
    <row r="2105" spans="1:6" ht="15.75" customHeight="1">
      <c r="A2105" s="6" t="s">
        <v>1713</v>
      </c>
      <c r="B2105" s="6" t="s">
        <v>1713</v>
      </c>
      <c r="C2105" s="6" t="s">
        <v>3975</v>
      </c>
      <c r="D2105" s="6" t="s">
        <v>3980</v>
      </c>
      <c r="E2105" s="2">
        <v>6176823</v>
      </c>
      <c r="F2105" s="4" t="str">
        <f>IF(B2105=B2104,"",B2105)</f>
        <v/>
      </c>
    </row>
    <row r="2106" spans="1:6" ht="15.75" customHeight="1">
      <c r="A2106" s="6" t="s">
        <v>1713</v>
      </c>
      <c r="B2106" s="6" t="s">
        <v>1713</v>
      </c>
      <c r="C2106" s="6" t="s">
        <v>23676</v>
      </c>
      <c r="D2106" s="6" t="s">
        <v>23678</v>
      </c>
      <c r="E2106" s="2">
        <v>2403094</v>
      </c>
      <c r="F2106" s="4" t="str">
        <f>IF(B2106=B2105,"",B2106)</f>
        <v/>
      </c>
    </row>
    <row r="2107" spans="1:6" ht="15.75" customHeight="1">
      <c r="A2107" s="6" t="s">
        <v>1713</v>
      </c>
      <c r="B2107" s="6" t="s">
        <v>1713</v>
      </c>
      <c r="C2107" s="6" t="s">
        <v>27788</v>
      </c>
      <c r="D2107" s="6" t="s">
        <v>27859</v>
      </c>
      <c r="E2107" s="2">
        <v>4880889</v>
      </c>
      <c r="F2107" s="4" t="str">
        <f>IF(B2107=B2106,"",B2107)</f>
        <v/>
      </c>
    </row>
    <row r="2108" spans="1:6" ht="15.75" customHeight="1">
      <c r="A2108" s="5" t="str">
        <f ca="1">IFERROR(__xludf.DUMMYFUNCTION("GOOGLETRANSLATE(B23807,""en"",""pt"")"),"Waterloo")</f>
        <v>Waterloo</v>
      </c>
      <c r="B2108" s="17" t="s">
        <v>1713</v>
      </c>
      <c r="C2108" s="17" t="s">
        <v>1512</v>
      </c>
      <c r="D2108" s="17" t="s">
        <v>1518</v>
      </c>
      <c r="E2108" s="10">
        <v>2783985</v>
      </c>
      <c r="F2108" s="4" t="str">
        <f>IF(B2108=B2107,"",B2108)</f>
        <v/>
      </c>
    </row>
    <row r="2109" spans="1:6" ht="15.75" customHeight="1">
      <c r="A2109" s="5" t="str">
        <f ca="1">IFERROR(__xludf.DUMMYFUNCTION("GOOGLETRANSLATE(B25609,""en"",""pt"")"),"Waterloo")</f>
        <v>Waterloo</v>
      </c>
      <c r="B2109" s="17" t="s">
        <v>1713</v>
      </c>
      <c r="C2109" s="17" t="s">
        <v>3975</v>
      </c>
      <c r="D2109" s="17" t="s">
        <v>3980</v>
      </c>
      <c r="E2109" s="10">
        <v>6176823</v>
      </c>
      <c r="F2109" s="4" t="str">
        <f>IF(B2109=B2108,"",B2109)</f>
        <v/>
      </c>
    </row>
    <row r="2110" spans="1:6" ht="15.75" customHeight="1">
      <c r="A2110" s="5" t="str">
        <f ca="1">IFERROR(__xludf.DUMMYFUNCTION("GOOGLETRANSLATE(B41273,""en"",""pt"")"),"Waterloo")</f>
        <v>Waterloo</v>
      </c>
      <c r="B2110" s="17" t="s">
        <v>1713</v>
      </c>
      <c r="C2110" s="17" t="s">
        <v>23676</v>
      </c>
      <c r="D2110" s="17" t="s">
        <v>23678</v>
      </c>
      <c r="E2110" s="10">
        <v>2403094</v>
      </c>
      <c r="F2110" s="4" t="str">
        <f>IF(B2110=B2109,"",B2110)</f>
        <v/>
      </c>
    </row>
    <row r="2111" spans="1:6" ht="15.75" customHeight="1">
      <c r="A2111" s="5" t="str">
        <f ca="1">IFERROR(__xludf.DUMMYFUNCTION("GOOGLETRANSLATE(B43758,""en"",""pt"")"),"Waterloo")</f>
        <v>Waterloo</v>
      </c>
      <c r="B2111" s="17" t="s">
        <v>1713</v>
      </c>
      <c r="C2111" s="17" t="s">
        <v>27788</v>
      </c>
      <c r="D2111" s="17" t="s">
        <v>27859</v>
      </c>
      <c r="E2111" s="10">
        <v>4880889</v>
      </c>
      <c r="F2111" s="4" t="str">
        <f>IF(B2111=B2110,"",B2111)</f>
        <v/>
      </c>
    </row>
    <row r="2112" spans="1:6" ht="15.75" customHeight="1">
      <c r="A2112" s="5" t="s">
        <v>14768</v>
      </c>
      <c r="B2112" s="6" t="s">
        <v>14768</v>
      </c>
      <c r="C2112" s="5" t="s">
        <v>14728</v>
      </c>
      <c r="D2112" s="5" t="s">
        <v>8868</v>
      </c>
      <c r="E2112" s="2">
        <v>2960992</v>
      </c>
      <c r="F2112" s="4" t="str">
        <f>IF(B2112=B2111,"",B2112)</f>
        <v>Waterford</v>
      </c>
    </row>
    <row r="2113" spans="1:6" ht="15.75" customHeight="1">
      <c r="A2113" s="5" t="s">
        <v>14768</v>
      </c>
      <c r="B2113" s="6" t="s">
        <v>14768</v>
      </c>
      <c r="C2113" s="5" t="s">
        <v>27788</v>
      </c>
      <c r="D2113" s="5" t="s">
        <v>27804</v>
      </c>
      <c r="E2113" s="2">
        <v>5014130</v>
      </c>
      <c r="F2113" s="4" t="str">
        <f>IF(B2113=B2112,"",B2113)</f>
        <v/>
      </c>
    </row>
    <row r="2114" spans="1:6" ht="15.75" customHeight="1">
      <c r="A2114" s="5" t="str">
        <f ca="1">IFERROR(__xludf.DUMMYFUNCTION("GOOGLETRANSLATE(B31725,""en"",""pt"")"),"Waterford")</f>
        <v>Waterford</v>
      </c>
      <c r="B2114" s="17" t="s">
        <v>14768</v>
      </c>
      <c r="C2114" s="17" t="s">
        <v>14728</v>
      </c>
      <c r="D2114" s="17" t="s">
        <v>8868</v>
      </c>
      <c r="E2114" s="10">
        <v>2960992</v>
      </c>
      <c r="F2114" s="4" t="str">
        <f>IF(B2114=B2113,"",B2114)</f>
        <v/>
      </c>
    </row>
    <row r="2115" spans="1:6" ht="15.75" customHeight="1">
      <c r="A2115" s="5" t="str">
        <f ca="1">IFERROR(__xludf.DUMMYFUNCTION("GOOGLETRANSLATE(B44131,""en"",""pt"")"),"Waterford")</f>
        <v>Waterford</v>
      </c>
      <c r="B2115" s="17" t="s">
        <v>14768</v>
      </c>
      <c r="C2115" s="17" t="s">
        <v>27788</v>
      </c>
      <c r="D2115" s="17" t="s">
        <v>27804</v>
      </c>
      <c r="E2115" s="10">
        <v>5014130</v>
      </c>
      <c r="F2115" s="4" t="str">
        <f>IF(B2115=B2114,"",B2115)</f>
        <v/>
      </c>
    </row>
    <row r="2116" spans="1:6" ht="15.75" customHeight="1">
      <c r="A2116" s="6" t="s">
        <v>16572</v>
      </c>
      <c r="B2116" s="6" t="s">
        <v>16572</v>
      </c>
      <c r="C2116" s="6" t="s">
        <v>15704</v>
      </c>
      <c r="D2116" s="6" t="s">
        <v>15764</v>
      </c>
      <c r="E2116" s="2">
        <v>2110586</v>
      </c>
      <c r="F2116" s="4" t="str">
        <f>IF(B2116=B2115,"",B2116)</f>
        <v>Watari</v>
      </c>
    </row>
    <row r="2117" spans="1:6" ht="15.75" customHeight="1">
      <c r="A2117" s="5" t="str">
        <f ca="1">IFERROR(__xludf.DUMMYFUNCTION("GOOGLETRANSLATE(B35716,""en"",""pt"")"),"Watari")</f>
        <v>Watari</v>
      </c>
      <c r="B2117" s="17" t="s">
        <v>16572</v>
      </c>
      <c r="C2117" s="17" t="s">
        <v>15704</v>
      </c>
      <c r="D2117" s="17" t="s">
        <v>15764</v>
      </c>
      <c r="E2117" s="10">
        <v>2110586</v>
      </c>
      <c r="F2117" s="4" t="str">
        <f>IF(B2117=B2116,"",B2117)</f>
        <v/>
      </c>
    </row>
    <row r="2118" spans="1:6" ht="15.75" customHeight="1">
      <c r="A2118" s="5" t="s">
        <v>14226</v>
      </c>
      <c r="B2118" s="6" t="s">
        <v>14226</v>
      </c>
      <c r="C2118" s="5" t="s">
        <v>13800</v>
      </c>
      <c r="D2118" s="5" t="s">
        <v>13918</v>
      </c>
      <c r="E2118" s="2">
        <v>1621884</v>
      </c>
      <c r="F2118" s="4" t="str">
        <f>IF(B2118=B2117,"",B2118)</f>
        <v>Watampone</v>
      </c>
    </row>
    <row r="2119" spans="1:6" ht="15.75" customHeight="1">
      <c r="A2119" s="5" t="str">
        <f ca="1">IFERROR(__xludf.DUMMYFUNCTION("GOOGLETRANSLATE(B31393,""en"",""pt"")"),"Watampone")</f>
        <v>Watampone</v>
      </c>
      <c r="B2119" s="17" t="s">
        <v>14226</v>
      </c>
      <c r="C2119" s="17" t="s">
        <v>13800</v>
      </c>
      <c r="D2119" s="17" t="s">
        <v>13918</v>
      </c>
      <c r="E2119" s="10">
        <v>1621884</v>
      </c>
      <c r="F2119" s="4" t="str">
        <f>IF(B2119=B2118,"",B2119)</f>
        <v/>
      </c>
    </row>
    <row r="2120" spans="1:6" ht="15.75" customHeight="1">
      <c r="A2120" s="5" t="s">
        <v>9273</v>
      </c>
      <c r="B2120" s="6" t="s">
        <v>9273</v>
      </c>
      <c r="C2120" s="5" t="s">
        <v>8028</v>
      </c>
      <c r="D2120" s="5" t="s">
        <v>8029</v>
      </c>
      <c r="E2120" s="2">
        <v>2813786</v>
      </c>
      <c r="F2120" s="4" t="str">
        <f>IF(B2120=B2119,"",B2120)</f>
        <v>Wassenberg</v>
      </c>
    </row>
    <row r="2121" spans="1:6" ht="15.75" customHeight="1">
      <c r="A2121" s="5" t="str">
        <f ca="1">IFERROR(__xludf.DUMMYFUNCTION("GOOGLETRANSLATE(B27420,""en"",""pt"")"),"Wassenberg")</f>
        <v>Wassenberg</v>
      </c>
      <c r="B2121" s="17" t="s">
        <v>9273</v>
      </c>
      <c r="C2121" s="17" t="s">
        <v>8028</v>
      </c>
      <c r="D2121" s="17" t="s">
        <v>8029</v>
      </c>
      <c r="E2121" s="10">
        <v>2813786</v>
      </c>
      <c r="F2121" s="4" t="str">
        <f>IF(B2121=B2120,"",B2121)</f>
        <v/>
      </c>
    </row>
    <row r="2122" spans="1:6" ht="15.75" customHeight="1">
      <c r="A2122" s="5" t="s">
        <v>19134</v>
      </c>
      <c r="B2122" s="6" t="s">
        <v>19134</v>
      </c>
      <c r="C2122" s="5" t="s">
        <v>18862</v>
      </c>
      <c r="D2122" s="5" t="s">
        <v>18868</v>
      </c>
      <c r="E2122" s="2">
        <v>2744991</v>
      </c>
      <c r="F2122" s="4" t="str">
        <f>IF(B2122=B2121,"",B2122)</f>
        <v>Wassenaar</v>
      </c>
    </row>
    <row r="2123" spans="1:6" ht="15.75" customHeight="1">
      <c r="A2123" s="5" t="str">
        <f ca="1">IFERROR(__xludf.DUMMYFUNCTION("GOOGLETRANSLATE(B37910,""en"",""pt"")"),"Wassenaar")</f>
        <v>Wassenaar</v>
      </c>
      <c r="B2123" s="17" t="s">
        <v>19134</v>
      </c>
      <c r="C2123" s="17" t="s">
        <v>18862</v>
      </c>
      <c r="D2123" s="17" t="s">
        <v>18868</v>
      </c>
      <c r="E2123" s="10">
        <v>2744991</v>
      </c>
      <c r="F2123" s="4" t="str">
        <f>IF(B2123=B2122,"",B2123)</f>
        <v/>
      </c>
    </row>
    <row r="2124" spans="1:6" ht="15.75" customHeight="1">
      <c r="A2124" s="5" t="s">
        <v>7935</v>
      </c>
      <c r="B2124" s="6" t="s">
        <v>7935</v>
      </c>
      <c r="C2124" s="5" t="s">
        <v>7052</v>
      </c>
      <c r="D2124" s="5" t="s">
        <v>7078</v>
      </c>
      <c r="E2124" s="2">
        <v>2967438</v>
      </c>
      <c r="F2124" s="4" t="str">
        <f>IF(B2124=B2123,"",B2124)</f>
        <v>Wasquehal</v>
      </c>
    </row>
    <row r="2125" spans="1:6" ht="15.75" customHeight="1">
      <c r="A2125" s="5" t="str">
        <f ca="1">IFERROR(__xludf.DUMMYFUNCTION("GOOGLETRANSLATE(B29675,""en"",""pt"")"),"Wasquehal")</f>
        <v>Wasquehal</v>
      </c>
      <c r="B2125" s="17" t="s">
        <v>7935</v>
      </c>
      <c r="C2125" s="17" t="s">
        <v>7052</v>
      </c>
      <c r="D2125" s="17" t="s">
        <v>7078</v>
      </c>
      <c r="E2125" s="10">
        <v>2967438</v>
      </c>
      <c r="F2125" s="4" t="str">
        <f>IF(B2125=B2124,"",B2125)</f>
        <v/>
      </c>
    </row>
    <row r="2126" spans="1:6" ht="15.75" customHeight="1">
      <c r="A2126" s="5" t="s">
        <v>30299</v>
      </c>
      <c r="B2126" s="6" t="s">
        <v>30300</v>
      </c>
      <c r="C2126" s="5" t="s">
        <v>27788</v>
      </c>
      <c r="D2126" s="5" t="s">
        <v>30300</v>
      </c>
      <c r="E2126" s="2">
        <v>4140963</v>
      </c>
      <c r="F2126" s="4" t="str">
        <f>IF(B2126=B2125,"",B2126)</f>
        <v>Washington, D.C.</v>
      </c>
    </row>
    <row r="2127" spans="1:6" ht="15.75" customHeight="1">
      <c r="A2127" s="5" t="str">
        <f ca="1">IFERROR(__xludf.DUMMYFUNCTION("GOOGLETRANSLATE(B42833,""en"",""pt"")"),"Washington DC.")</f>
        <v>Washington DC.</v>
      </c>
      <c r="B2127" s="17" t="s">
        <v>30300</v>
      </c>
      <c r="C2127" s="17" t="s">
        <v>27788</v>
      </c>
      <c r="D2127" s="17" t="s">
        <v>30300</v>
      </c>
      <c r="E2127" s="10">
        <v>4140963</v>
      </c>
      <c r="F2127" s="4" t="str">
        <f>IF(B2127=B2126,"",B2127)</f>
        <v/>
      </c>
    </row>
    <row r="2128" spans="1:6" ht="15.75" customHeight="1">
      <c r="A2128" s="5" t="s">
        <v>27733</v>
      </c>
      <c r="B2128" s="6" t="s">
        <v>27733</v>
      </c>
      <c r="C2128" s="5" t="s">
        <v>27234</v>
      </c>
      <c r="D2128" s="5" t="s">
        <v>27241</v>
      </c>
      <c r="E2128" s="2">
        <v>2634715</v>
      </c>
      <c r="F2128" s="4" t="str">
        <f>IF(B2128=B2127,"",B2128)</f>
        <v>Washington</v>
      </c>
    </row>
    <row r="2129" spans="1:6" ht="15.75" customHeight="1">
      <c r="A2129" s="5" t="s">
        <v>27733</v>
      </c>
      <c r="B2129" s="6" t="s">
        <v>27733</v>
      </c>
      <c r="C2129" s="5" t="s">
        <v>27788</v>
      </c>
      <c r="D2129" s="5" t="s">
        <v>27799</v>
      </c>
      <c r="E2129" s="2">
        <v>4915545</v>
      </c>
      <c r="F2129" s="4" t="str">
        <f>IF(B2129=B2128,"",B2129)</f>
        <v/>
      </c>
    </row>
    <row r="2130" spans="1:6" ht="15.75" customHeight="1">
      <c r="A2130" s="5" t="s">
        <v>27733</v>
      </c>
      <c r="B2130" s="6" t="s">
        <v>27733</v>
      </c>
      <c r="C2130" s="5" t="s">
        <v>27788</v>
      </c>
      <c r="D2130" s="5" t="s">
        <v>27856</v>
      </c>
      <c r="E2130" s="2">
        <v>5549222</v>
      </c>
      <c r="F2130" s="4" t="str">
        <f>IF(B2130=B2129,"",B2130)</f>
        <v/>
      </c>
    </row>
    <row r="2131" spans="1:6" ht="15.75" customHeight="1">
      <c r="A2131" s="5" t="str">
        <f ca="1">IFERROR(__xludf.DUMMYFUNCTION("GOOGLETRANSLATE(B30362,""en"",""pt"")"),"Washington")</f>
        <v>Washington</v>
      </c>
      <c r="B2131" s="17" t="s">
        <v>27733</v>
      </c>
      <c r="C2131" s="17" t="s">
        <v>27234</v>
      </c>
      <c r="D2131" s="17" t="s">
        <v>27241</v>
      </c>
      <c r="E2131" s="10">
        <v>2634715</v>
      </c>
      <c r="F2131" s="4" t="str">
        <f>IF(B2131=B2130,"",B2131)</f>
        <v/>
      </c>
    </row>
    <row r="2132" spans="1:6" ht="15.75" customHeight="1">
      <c r="A2132" s="5" t="str">
        <f ca="1">IFERROR(__xludf.DUMMYFUNCTION("GOOGLETRANSLATE(B43895,""en"",""pt"")"),"Washington")</f>
        <v>Washington</v>
      </c>
      <c r="B2132" s="17" t="s">
        <v>27733</v>
      </c>
      <c r="C2132" s="17" t="s">
        <v>27788</v>
      </c>
      <c r="D2132" s="17" t="s">
        <v>27799</v>
      </c>
      <c r="E2132" s="10">
        <v>4915545</v>
      </c>
      <c r="F2132" s="4" t="str">
        <f>IF(B2132=B2131,"",B2132)</f>
        <v/>
      </c>
    </row>
    <row r="2133" spans="1:6" ht="15.75" customHeight="1">
      <c r="A2133" s="5" t="str">
        <f ca="1">IFERROR(__xludf.DUMMYFUNCTION("GOOGLETRANSLATE(B45174,""en"",""pt"")"),"Washington")</f>
        <v>Washington</v>
      </c>
      <c r="B2133" s="17" t="s">
        <v>27733</v>
      </c>
      <c r="C2133" s="17" t="s">
        <v>27788</v>
      </c>
      <c r="D2133" s="17" t="s">
        <v>27856</v>
      </c>
      <c r="E2133" s="10">
        <v>5549222</v>
      </c>
      <c r="F2133" s="4" t="str">
        <f>IF(B2133=B2132,"",B2133)</f>
        <v/>
      </c>
    </row>
    <row r="2134" spans="1:6" ht="15.75" customHeight="1">
      <c r="A2134" s="5" t="str">
        <f ca="1">IFERROR(__xludf.DUMMYFUNCTION("GOOGLETRANSLATE(B31848,""en"",""pt"")"),"Wāshīm")</f>
        <v>Wāshīm</v>
      </c>
      <c r="B2134" s="17" t="s">
        <v>32946</v>
      </c>
      <c r="C2134" s="17" t="s">
        <v>10178</v>
      </c>
      <c r="D2134" s="17" t="s">
        <v>10214</v>
      </c>
      <c r="E2134" s="10">
        <v>1252908</v>
      </c>
      <c r="F2134" s="4" t="str">
        <f>IF(B2134=B2133,"",B2134)</f>
        <v>Wāshīm</v>
      </c>
    </row>
    <row r="2135" spans="1:6" ht="15.75" customHeight="1">
      <c r="A2135" s="6" t="s">
        <v>30298</v>
      </c>
      <c r="B2135" s="6" t="s">
        <v>30298</v>
      </c>
      <c r="C2135" s="6" t="s">
        <v>27788</v>
      </c>
      <c r="D2135" s="6" t="s">
        <v>27799</v>
      </c>
      <c r="E2135" s="2">
        <v>4915539</v>
      </c>
      <c r="F2135" s="4" t="str">
        <f>IF(B2135=B2134,"",B2135)</f>
        <v>Wasco</v>
      </c>
    </row>
    <row r="2136" spans="1:6" ht="15.75" customHeight="1">
      <c r="A2136" s="6" t="s">
        <v>30298</v>
      </c>
      <c r="B2136" s="6" t="s">
        <v>30298</v>
      </c>
      <c r="C2136" s="6" t="s">
        <v>27788</v>
      </c>
      <c r="D2136" s="6" t="s">
        <v>27801</v>
      </c>
      <c r="E2136" s="2">
        <v>5550368</v>
      </c>
      <c r="F2136" s="4" t="str">
        <f>IF(B2136=B2135,"",B2136)</f>
        <v/>
      </c>
    </row>
    <row r="2137" spans="1:6" ht="15.75" customHeight="1">
      <c r="A2137" s="5" t="str">
        <f ca="1">IFERROR(__xludf.DUMMYFUNCTION("GOOGLETRANSLATE(B43894,""en"",""pt"")"),"Wasco")</f>
        <v>Wasco</v>
      </c>
      <c r="B2137" s="17" t="s">
        <v>30298</v>
      </c>
      <c r="C2137" s="17" t="s">
        <v>27788</v>
      </c>
      <c r="D2137" s="17" t="s">
        <v>27799</v>
      </c>
      <c r="E2137" s="10">
        <v>4915539</v>
      </c>
      <c r="F2137" s="4" t="str">
        <f>IF(B2137=B2136,"",B2137)</f>
        <v/>
      </c>
    </row>
    <row r="2138" spans="1:6" ht="15.75" customHeight="1">
      <c r="A2138" s="5" t="str">
        <f ca="1">IFERROR(__xludf.DUMMYFUNCTION("GOOGLETRANSLATE(B45175,""en"",""pt"")"),"Wasco")</f>
        <v>Wasco</v>
      </c>
      <c r="B2138" s="17" t="s">
        <v>30298</v>
      </c>
      <c r="C2138" s="17" t="s">
        <v>27788</v>
      </c>
      <c r="D2138" s="17" t="s">
        <v>27801</v>
      </c>
      <c r="E2138" s="10">
        <v>5550368</v>
      </c>
      <c r="F2138" s="4" t="str">
        <f>IF(B2138=B2137,"",B2138)</f>
        <v/>
      </c>
    </row>
    <row r="2139" spans="1:6" ht="15.75" customHeight="1">
      <c r="A2139" s="6" t="s">
        <v>27732</v>
      </c>
      <c r="B2139" s="6" t="s">
        <v>27732</v>
      </c>
      <c r="C2139" s="6" t="s">
        <v>27234</v>
      </c>
      <c r="D2139" s="6" t="s">
        <v>27241</v>
      </c>
      <c r="E2139" s="2">
        <v>2634725</v>
      </c>
      <c r="F2139" s="4" t="str">
        <f>IF(B2139=B2138,"",B2139)</f>
        <v>Warwick</v>
      </c>
    </row>
    <row r="2140" spans="1:6" ht="15.75" customHeight="1">
      <c r="A2140" s="6" t="s">
        <v>27732</v>
      </c>
      <c r="B2140" s="6" t="s">
        <v>27732</v>
      </c>
      <c r="C2140" s="6" t="s">
        <v>27788</v>
      </c>
      <c r="D2140" s="6" t="s">
        <v>27951</v>
      </c>
      <c r="E2140" s="2">
        <v>5225507</v>
      </c>
      <c r="F2140" s="4" t="str">
        <f>IF(B2140=B2139,"",B2140)</f>
        <v/>
      </c>
    </row>
    <row r="2141" spans="1:6" ht="15.75" customHeight="1">
      <c r="A2141" s="5" t="str">
        <f ca="1">IFERROR(__xludf.DUMMYFUNCTION("GOOGLETRANSLATE(B30363,""en"",""pt"")"),"Warwick")</f>
        <v>Warwick</v>
      </c>
      <c r="B2141" s="17" t="s">
        <v>27732</v>
      </c>
      <c r="C2141" s="17" t="s">
        <v>27234</v>
      </c>
      <c r="D2141" s="17" t="s">
        <v>27241</v>
      </c>
      <c r="E2141" s="10">
        <v>2634725</v>
      </c>
      <c r="F2141" s="4" t="str">
        <f>IF(B2141=B2140,"",B2141)</f>
        <v/>
      </c>
    </row>
    <row r="2142" spans="1:6" ht="15.75" customHeight="1">
      <c r="A2142" s="5" t="str">
        <f ca="1">IFERROR(__xludf.DUMMYFUNCTION("GOOGLETRANSLATE(B44619,""en"",""pt"")"),"Warwick")</f>
        <v>Warwick</v>
      </c>
      <c r="B2142" s="17" t="s">
        <v>27732</v>
      </c>
      <c r="C2142" s="17" t="s">
        <v>27788</v>
      </c>
      <c r="D2142" s="17" t="s">
        <v>27951</v>
      </c>
      <c r="E2142" s="10">
        <v>5225507</v>
      </c>
      <c r="F2142" s="4" t="str">
        <f>IF(B2142=B2141,"",B2142)</f>
        <v/>
      </c>
    </row>
    <row r="2143" spans="1:6" ht="15.75" customHeight="1">
      <c r="A2143" s="6" t="s">
        <v>13770</v>
      </c>
      <c r="B2143" s="6" t="s">
        <v>13770</v>
      </c>
      <c r="C2143" s="6" t="s">
        <v>10178</v>
      </c>
      <c r="D2143" s="6" t="s">
        <v>10214</v>
      </c>
      <c r="E2143" s="2">
        <v>1252919</v>
      </c>
      <c r="F2143" s="4" t="str">
        <f>IF(B2143=B2142,"",B2143)</f>
        <v>Warud</v>
      </c>
    </row>
    <row r="2144" spans="1:6" ht="15.75" customHeight="1">
      <c r="A2144" s="5" t="str">
        <f ca="1">IFERROR(__xludf.DUMMYFUNCTION("GOOGLETRANSLATE(B31849,""en"",""pt"")"),"Warud")</f>
        <v>Warud</v>
      </c>
      <c r="B2144" s="17" t="s">
        <v>13770</v>
      </c>
      <c r="C2144" s="17" t="s">
        <v>10178</v>
      </c>
      <c r="D2144" s="17" t="s">
        <v>10214</v>
      </c>
      <c r="E2144" s="10">
        <v>1252919</v>
      </c>
      <c r="F2144" s="4" t="str">
        <f>IF(B2144=B2143,"",B2144)</f>
        <v/>
      </c>
    </row>
    <row r="2145" spans="1:6" ht="15.75" customHeight="1">
      <c r="A2145" s="6" t="s">
        <v>21561</v>
      </c>
      <c r="B2145" s="6" t="s">
        <v>21563</v>
      </c>
      <c r="C2145" s="6" t="s">
        <v>21064</v>
      </c>
      <c r="D2145" s="6" t="s">
        <v>21070</v>
      </c>
      <c r="E2145" s="2">
        <v>756135</v>
      </c>
      <c r="F2145" s="4" t="str">
        <f>IF(B2145=B2144,"",B2145)</f>
        <v>Warszawa</v>
      </c>
    </row>
    <row r="2146" spans="1:6" ht="15.75" customHeight="1">
      <c r="A2146" s="6" t="s">
        <v>9272</v>
      </c>
      <c r="B2146" s="6" t="s">
        <v>9272</v>
      </c>
      <c r="C2146" s="6" t="s">
        <v>8028</v>
      </c>
      <c r="D2146" s="6" t="s">
        <v>8029</v>
      </c>
      <c r="E2146" s="2">
        <v>2814005</v>
      </c>
      <c r="F2146" s="4" t="str">
        <f>IF(B2146=B2145,"",B2146)</f>
        <v>Warstein</v>
      </c>
    </row>
    <row r="2147" spans="1:6" ht="15.75" customHeight="1">
      <c r="A2147" s="5" t="str">
        <f ca="1">IFERROR(__xludf.DUMMYFUNCTION("GOOGLETRANSLATE(B27421,""en"",""pt"")"),"Warstein")</f>
        <v>Warstein</v>
      </c>
      <c r="B2147" s="17" t="s">
        <v>9272</v>
      </c>
      <c r="C2147" s="17" t="s">
        <v>8028</v>
      </c>
      <c r="D2147" s="17" t="s">
        <v>8029</v>
      </c>
      <c r="E2147" s="10">
        <v>2814005</v>
      </c>
      <c r="F2147" s="4" t="str">
        <f>IF(B2147=B2146,"",B2147)</f>
        <v/>
      </c>
    </row>
    <row r="2148" spans="1:6" ht="15.75" customHeight="1">
      <c r="A2148" s="6" t="s">
        <v>21561</v>
      </c>
      <c r="B2148" s="6" t="s">
        <v>21562</v>
      </c>
      <c r="C2148" s="6" t="s">
        <v>21064</v>
      </c>
      <c r="D2148" s="6" t="s">
        <v>21070</v>
      </c>
      <c r="E2148" s="2">
        <v>756135</v>
      </c>
      <c r="F2148" s="4" t="str">
        <f>IF(B2148=B2147,"",B2148)</f>
        <v>Warsaw</v>
      </c>
    </row>
    <row r="2149" spans="1:6" ht="15.75" customHeight="1">
      <c r="A2149" s="5" t="str">
        <f ca="1">IFERROR(__xludf.DUMMYFUNCTION("GOOGLETRANSLATE(B39188,""en"",""pt"")"),"Varsóvia")</f>
        <v>Varsóvia</v>
      </c>
      <c r="B2149" s="17" t="s">
        <v>21562</v>
      </c>
      <c r="C2149" s="17" t="s">
        <v>21064</v>
      </c>
      <c r="D2149" s="17" t="s">
        <v>21070</v>
      </c>
      <c r="E2149" s="10">
        <v>756135</v>
      </c>
      <c r="F2149" s="4" t="str">
        <f>IF(B2149=B2148,"",B2149)</f>
        <v/>
      </c>
    </row>
    <row r="2150" spans="1:6" ht="15.75" customHeight="1">
      <c r="A2150" s="5" t="s">
        <v>1106</v>
      </c>
      <c r="B2150" s="6" t="s">
        <v>1106</v>
      </c>
      <c r="C2150" s="5" t="s">
        <v>885</v>
      </c>
      <c r="D2150" s="5" t="s">
        <v>827</v>
      </c>
      <c r="E2150" s="2">
        <v>2144528</v>
      </c>
      <c r="F2150" s="4" t="str">
        <f>IF(B2150=B2149,"",B2150)</f>
        <v>Warrnambool</v>
      </c>
    </row>
    <row r="2151" spans="1:6" ht="15.75" customHeight="1">
      <c r="A2151" s="5" t="str">
        <f ca="1">IFERROR(__xludf.DUMMYFUNCTION("GOOGLETRANSLATE(B23432,""en"",""pt"")"),"Warrnambool")</f>
        <v>Warrnambool</v>
      </c>
      <c r="B2151" s="17" t="s">
        <v>1106</v>
      </c>
      <c r="C2151" s="17" t="s">
        <v>885</v>
      </c>
      <c r="D2151" s="17" t="s">
        <v>827</v>
      </c>
      <c r="E2151" s="10">
        <v>2144528</v>
      </c>
      <c r="F2151" s="4" t="str">
        <f>IF(B2151=B2150,"",B2151)</f>
        <v/>
      </c>
    </row>
    <row r="2152" spans="1:6" ht="15.75" customHeight="1">
      <c r="A2152" s="5" t="s">
        <v>27731</v>
      </c>
      <c r="B2152" s="6" t="s">
        <v>27731</v>
      </c>
      <c r="C2152" s="5" t="s">
        <v>27234</v>
      </c>
      <c r="D2152" s="5" t="s">
        <v>27241</v>
      </c>
      <c r="E2152" s="2">
        <v>2634739</v>
      </c>
      <c r="F2152" s="4" t="str">
        <f>IF(B2152=B2151,"",B2152)</f>
        <v>Warrington</v>
      </c>
    </row>
    <row r="2153" spans="1:6" ht="15.75" customHeight="1">
      <c r="A2153" s="5" t="str">
        <f ca="1">IFERROR(__xludf.DUMMYFUNCTION("GOOGLETRANSLATE(B30364,""en"",""pt"")"),"Warrington")</f>
        <v>Warrington</v>
      </c>
      <c r="B2153" s="17" t="s">
        <v>27731</v>
      </c>
      <c r="C2153" s="17" t="s">
        <v>27234</v>
      </c>
      <c r="D2153" s="17" t="s">
        <v>27241</v>
      </c>
      <c r="E2153" s="10">
        <v>2634739</v>
      </c>
      <c r="F2153" s="4" t="str">
        <f>IF(B2153=B2152,"",B2153)</f>
        <v/>
      </c>
    </row>
    <row r="2154" spans="1:6" ht="15.75" customHeight="1">
      <c r="A2154" s="6" t="s">
        <v>19577</v>
      </c>
      <c r="B2154" s="6" t="s">
        <v>19577</v>
      </c>
      <c r="C2154" s="6" t="s">
        <v>19294</v>
      </c>
      <c r="D2154" s="6" t="s">
        <v>4039</v>
      </c>
      <c r="E2154" s="2">
        <v>2319133</v>
      </c>
      <c r="F2154" s="4" t="str">
        <f>IF(B2154=B2153,"",B2154)</f>
        <v>Warri</v>
      </c>
    </row>
    <row r="2155" spans="1:6" ht="15.75" customHeight="1">
      <c r="A2155" s="5" t="str">
        <f ca="1">IFERROR(__xludf.DUMMYFUNCTION("GOOGLETRANSLATE(B37614,""en"",""pt"")"),"Warri")</f>
        <v>Warri</v>
      </c>
      <c r="B2155" s="17" t="s">
        <v>19577</v>
      </c>
      <c r="C2155" s="17" t="s">
        <v>19294</v>
      </c>
      <c r="D2155" s="17" t="s">
        <v>4039</v>
      </c>
      <c r="E2155" s="10">
        <v>2319133</v>
      </c>
      <c r="F2155" s="4" t="str">
        <f>IF(B2155=B2154,"",B2155)</f>
        <v/>
      </c>
    </row>
    <row r="2156" spans="1:6" ht="15.75" customHeight="1">
      <c r="A2156" s="5" t="s">
        <v>24010</v>
      </c>
      <c r="B2156" s="6" t="s">
        <v>24010</v>
      </c>
      <c r="C2156" s="5" t="s">
        <v>23842</v>
      </c>
      <c r="D2156" s="5" t="s">
        <v>23879</v>
      </c>
      <c r="E2156" s="2">
        <v>941931</v>
      </c>
      <c r="F2156" s="4" t="str">
        <f>IF(B2156=B2155,"",B2156)</f>
        <v>Warrenton</v>
      </c>
    </row>
    <row r="2157" spans="1:6" ht="15.75" customHeight="1">
      <c r="A2157" s="5" t="str">
        <f ca="1">IFERROR(__xludf.DUMMYFUNCTION("GOOGLETRANSLATE(B45850,""en"",""pt"")"),"Warrenton")</f>
        <v>Warrenton</v>
      </c>
      <c r="B2157" s="17" t="s">
        <v>24010</v>
      </c>
      <c r="C2157" s="17" t="s">
        <v>23842</v>
      </c>
      <c r="D2157" s="17" t="s">
        <v>23879</v>
      </c>
      <c r="E2157" s="10">
        <v>941931</v>
      </c>
      <c r="F2157" s="4" t="str">
        <f>IF(B2157=B2156,"",B2157)</f>
        <v/>
      </c>
    </row>
    <row r="2158" spans="1:6" ht="15.75" customHeight="1">
      <c r="A2158" s="5" t="s">
        <v>30297</v>
      </c>
      <c r="B2158" s="6" t="s">
        <v>30297</v>
      </c>
      <c r="C2158" s="5" t="s">
        <v>27788</v>
      </c>
      <c r="D2158" s="5" t="s">
        <v>27806</v>
      </c>
      <c r="E2158" s="2">
        <v>4413595</v>
      </c>
      <c r="F2158" s="4" t="str">
        <f>IF(B2158=B2157,"",B2158)</f>
        <v>Warrensburg</v>
      </c>
    </row>
    <row r="2159" spans="1:6" ht="15.75" customHeight="1">
      <c r="A2159" s="5" t="str">
        <f ca="1">IFERROR(__xludf.DUMMYFUNCTION("GOOGLETRANSLATE(B43395,""en"",""pt"")"),"Warrensburg")</f>
        <v>Warrensburg</v>
      </c>
      <c r="B2159" s="17" t="s">
        <v>30297</v>
      </c>
      <c r="C2159" s="17" t="s">
        <v>27788</v>
      </c>
      <c r="D2159" s="17" t="s">
        <v>27806</v>
      </c>
      <c r="E2159" s="10">
        <v>4413595</v>
      </c>
      <c r="F2159" s="4" t="str">
        <f>IF(B2159=B2158,"",B2159)</f>
        <v/>
      </c>
    </row>
    <row r="2160" spans="1:6" ht="15.75" customHeight="1">
      <c r="A2160" s="5" t="s">
        <v>30295</v>
      </c>
      <c r="B2160" s="6" t="s">
        <v>30296</v>
      </c>
      <c r="C2160" s="5" t="s">
        <v>27788</v>
      </c>
      <c r="D2160" s="5" t="s">
        <v>27905</v>
      </c>
      <c r="E2160" s="2">
        <v>8299577</v>
      </c>
      <c r="F2160" s="4" t="str">
        <f>IF(B2160=B2159,"",B2160)</f>
        <v>Warren Township</v>
      </c>
    </row>
    <row r="2161" spans="1:6" ht="15.75" customHeight="1">
      <c r="A2161" s="5" t="str">
        <f ca="1">IFERROR(__xludf.DUMMYFUNCTION("GOOGLETRANSLATE(B45461,""en"",""pt"")"),"Township de Warren")</f>
        <v>Township de Warren</v>
      </c>
      <c r="B2161" s="17" t="s">
        <v>30296</v>
      </c>
      <c r="C2161" s="17" t="s">
        <v>27788</v>
      </c>
      <c r="D2161" s="17" t="s">
        <v>27905</v>
      </c>
      <c r="E2161" s="10">
        <v>8299577</v>
      </c>
      <c r="F2161" s="4" t="str">
        <f>IF(B2161=B2160,"",B2161)</f>
        <v/>
      </c>
    </row>
    <row r="2162" spans="1:6" ht="15.75" customHeight="1">
      <c r="A2162" s="6" t="s">
        <v>30294</v>
      </c>
      <c r="B2162" s="6" t="s">
        <v>30294</v>
      </c>
      <c r="C2162" s="6" t="s">
        <v>27788</v>
      </c>
      <c r="D2162" s="6" t="s">
        <v>27804</v>
      </c>
      <c r="E2162" s="2">
        <v>5014051</v>
      </c>
      <c r="F2162" s="4" t="str">
        <f>IF(B2162=B2161,"",B2162)</f>
        <v>Warren</v>
      </c>
    </row>
    <row r="2163" spans="1:6" ht="15.75" customHeight="1">
      <c r="A2163" s="6" t="s">
        <v>30294</v>
      </c>
      <c r="B2163" s="6" t="s">
        <v>30294</v>
      </c>
      <c r="C2163" s="6" t="s">
        <v>27788</v>
      </c>
      <c r="D2163" s="6" t="s">
        <v>27813</v>
      </c>
      <c r="E2163" s="2">
        <v>5175865</v>
      </c>
      <c r="F2163" s="4" t="str">
        <f>IF(B2163=B2162,"",B2163)</f>
        <v/>
      </c>
    </row>
    <row r="2164" spans="1:6" ht="15.75" customHeight="1">
      <c r="A2164" s="5" t="str">
        <f ca="1">IFERROR(__xludf.DUMMYFUNCTION("GOOGLETRANSLATE(B44130,""en"",""pt"")"),"Warren")</f>
        <v>Warren</v>
      </c>
      <c r="B2164" s="17" t="s">
        <v>30294</v>
      </c>
      <c r="C2164" s="17" t="s">
        <v>27788</v>
      </c>
      <c r="D2164" s="17" t="s">
        <v>27804</v>
      </c>
      <c r="E2164" s="10">
        <v>5014051</v>
      </c>
      <c r="F2164" s="4" t="str">
        <f>IF(B2164=B2163,"",B2164)</f>
        <v/>
      </c>
    </row>
    <row r="2165" spans="1:6" ht="15.75" customHeight="1">
      <c r="A2165" s="5" t="str">
        <f ca="1">IFERROR(__xludf.DUMMYFUNCTION("GOOGLETRANSLATE(B44554,""en"",""pt"")"),"Warren")</f>
        <v>Warren</v>
      </c>
      <c r="B2165" s="17" t="s">
        <v>30294</v>
      </c>
      <c r="C2165" s="17" t="s">
        <v>27788</v>
      </c>
      <c r="D2165" s="17" t="s">
        <v>27813</v>
      </c>
      <c r="E2165" s="10">
        <v>5175865</v>
      </c>
      <c r="F2165" s="4" t="str">
        <f>IF(B2165=B2164,"",B2165)</f>
        <v/>
      </c>
    </row>
    <row r="2166" spans="1:6" ht="15.75" customHeight="1">
      <c r="A2166" s="6" t="s">
        <v>13769</v>
      </c>
      <c r="B2166" s="6" t="s">
        <v>13769</v>
      </c>
      <c r="C2166" s="6" t="s">
        <v>10178</v>
      </c>
      <c r="D2166" s="6" t="s">
        <v>10214</v>
      </c>
      <c r="E2166" s="2">
        <v>1252925</v>
      </c>
      <c r="F2166" s="4" t="str">
        <f>IF(B2166=B2165,"",B2166)</f>
        <v>Warora</v>
      </c>
    </row>
    <row r="2167" spans="1:6" ht="15.75" customHeight="1">
      <c r="A2167" s="5" t="str">
        <f ca="1">IFERROR(__xludf.DUMMYFUNCTION("GOOGLETRANSLATE(B31850,""en"",""pt"")"),"Warora")</f>
        <v>Warora</v>
      </c>
      <c r="B2167" s="17" t="s">
        <v>13769</v>
      </c>
      <c r="C2167" s="17" t="s">
        <v>10178</v>
      </c>
      <c r="D2167" s="17" t="s">
        <v>10214</v>
      </c>
      <c r="E2167" s="10">
        <v>1252925</v>
      </c>
      <c r="F2167" s="4" t="str">
        <f>IF(B2167=B2166,"",B2167)</f>
        <v/>
      </c>
    </row>
    <row r="2168" spans="1:6" ht="15.75" customHeight="1">
      <c r="A2168" s="6" t="s">
        <v>1839</v>
      </c>
      <c r="B2168" s="6" t="s">
        <v>1839</v>
      </c>
      <c r="C2168" s="6" t="s">
        <v>1806</v>
      </c>
      <c r="D2168" s="6" t="s">
        <v>595</v>
      </c>
      <c r="E2168" s="2">
        <v>3901301</v>
      </c>
      <c r="F2168" s="4" t="str">
        <f>IF(B2168=B2167,"",B2168)</f>
        <v>Warnes</v>
      </c>
    </row>
    <row r="2169" spans="1:6" ht="15.75" customHeight="1">
      <c r="A2169" s="5" t="str">
        <f ca="1">IFERROR(__xludf.DUMMYFUNCTION("GOOGLETRANSLATE(B24116,""en"",""pt"")"),"Warnes")</f>
        <v>Warnes</v>
      </c>
      <c r="B2169" s="17" t="s">
        <v>1839</v>
      </c>
      <c r="C2169" s="17" t="s">
        <v>1806</v>
      </c>
      <c r="D2169" s="17" t="s">
        <v>595</v>
      </c>
      <c r="E2169" s="10">
        <v>3901301</v>
      </c>
      <c r="F2169" s="4" t="str">
        <f>IF(B2169=B2168,"",B2169)</f>
        <v/>
      </c>
    </row>
    <row r="2170" spans="1:6" ht="15.75" customHeight="1">
      <c r="A2170" s="5" t="s">
        <v>30293</v>
      </c>
      <c r="B2170" s="6" t="s">
        <v>30293</v>
      </c>
      <c r="C2170" s="5" t="s">
        <v>27788</v>
      </c>
      <c r="D2170" s="5" t="s">
        <v>7988</v>
      </c>
      <c r="E2170" s="2">
        <v>4229476</v>
      </c>
      <c r="F2170" s="4" t="str">
        <f>IF(B2170=B2169,"",B2170)</f>
        <v>Warner Robins</v>
      </c>
    </row>
    <row r="2171" spans="1:6" ht="15.75" customHeight="1">
      <c r="A2171" s="5" t="str">
        <f ca="1">IFERROR(__xludf.DUMMYFUNCTION("GOOGLETRANSLATE(B43120,""en"",""pt"")"),"Warner Robins")</f>
        <v>Warner Robins</v>
      </c>
      <c r="B2171" s="17" t="s">
        <v>30293</v>
      </c>
      <c r="C2171" s="17" t="s">
        <v>27788</v>
      </c>
      <c r="D2171" s="17" t="s">
        <v>7988</v>
      </c>
      <c r="E2171" s="10">
        <v>4229476</v>
      </c>
      <c r="F2171" s="4" t="str">
        <f>IF(B2171=B2170,"",B2171)</f>
        <v/>
      </c>
    </row>
    <row r="2172" spans="1:6" ht="15.75" customHeight="1">
      <c r="A2172" s="5" t="s">
        <v>27729</v>
      </c>
      <c r="B2172" s="6" t="s">
        <v>27730</v>
      </c>
      <c r="C2172" s="5" t="s">
        <v>27234</v>
      </c>
      <c r="D2172" s="5" t="s">
        <v>27241</v>
      </c>
      <c r="E2172" s="2">
        <v>2634755</v>
      </c>
      <c r="F2172" s="4" t="str">
        <f>IF(B2172=B2171,"",B2172)</f>
        <v>Warminster</v>
      </c>
    </row>
    <row r="2173" spans="1:6" ht="15.75" customHeight="1">
      <c r="A2173" s="5" t="str">
        <f ca="1">IFERROR(__xludf.DUMMYFUNCTION("GOOGLETRANSLATE(B30365,""en"",""pt"")"),"WarmInster")</f>
        <v>WarmInster</v>
      </c>
      <c r="B2173" s="17" t="s">
        <v>27730</v>
      </c>
      <c r="C2173" s="17" t="s">
        <v>27234</v>
      </c>
      <c r="D2173" s="17" t="s">
        <v>27241</v>
      </c>
      <c r="E2173" s="10">
        <v>2634755</v>
      </c>
      <c r="F2173" s="4" t="str">
        <f>IF(B2173=B2172,"",B2173)</f>
        <v/>
      </c>
    </row>
    <row r="2174" spans="1:6" ht="15.75" customHeight="1">
      <c r="A2174" s="5" t="s">
        <v>24008</v>
      </c>
      <c r="B2174" s="6" t="s">
        <v>24009</v>
      </c>
      <c r="C2174" s="5" t="s">
        <v>23842</v>
      </c>
      <c r="D2174" s="5" t="s">
        <v>23885</v>
      </c>
      <c r="E2174" s="2">
        <v>941966</v>
      </c>
      <c r="F2174" s="4" t="str">
        <f>IF(B2174=B2173,"",B2174)</f>
        <v>Warmbaths</v>
      </c>
    </row>
    <row r="2175" spans="1:6" ht="15.75" customHeight="1">
      <c r="A2175" s="5" t="str">
        <f ca="1">IFERROR(__xludf.DUMMYFUNCTION("GOOGLETRANSLATE(B45851,""en"",""pt"")"),"Baths Warm")</f>
        <v>Baths Warm</v>
      </c>
      <c r="B2175" s="17" t="s">
        <v>24009</v>
      </c>
      <c r="C2175" s="17" t="s">
        <v>23842</v>
      </c>
      <c r="D2175" s="17" t="s">
        <v>23885</v>
      </c>
      <c r="E2175" s="10">
        <v>941966</v>
      </c>
      <c r="F2175" s="4" t="str">
        <f>IF(B2175=B2174,"",B2175)</f>
        <v/>
      </c>
    </row>
    <row r="2176" spans="1:6" ht="15.75" customHeight="1">
      <c r="A2176" s="5" t="str">
        <f ca="1">IFERROR(__xludf.DUMMYFUNCTION("GOOGLETRANSLATE(B31851,""en"",""pt"")"),"Wāris Alīganj")</f>
        <v>Wāris Alīganj</v>
      </c>
      <c r="B2176" s="17" t="s">
        <v>32947</v>
      </c>
      <c r="C2176" s="17" t="s">
        <v>10178</v>
      </c>
      <c r="D2176" s="17" t="s">
        <v>10317</v>
      </c>
      <c r="E2176" s="10">
        <v>1252930</v>
      </c>
      <c r="F2176" s="4" t="str">
        <f>IF(B2176=B2175,"",B2176)</f>
        <v>Wāris Alīganj</v>
      </c>
    </row>
    <row r="2177" spans="1:6" ht="15.75" customHeight="1">
      <c r="A2177" s="5" t="s">
        <v>26029</v>
      </c>
      <c r="B2177" s="6" t="s">
        <v>26029</v>
      </c>
      <c r="C2177" s="5" t="s">
        <v>25771</v>
      </c>
      <c r="D2177" s="5" t="s">
        <v>25878</v>
      </c>
      <c r="E2177" s="2">
        <v>1605069</v>
      </c>
      <c r="F2177" s="4" t="str">
        <f>IF(B2177=B2176,"",B2177)</f>
        <v>Warin Chamrap</v>
      </c>
    </row>
    <row r="2178" spans="1:6" ht="15.75" customHeight="1">
      <c r="A2178" s="5" t="str">
        <f ca="1">IFERROR(__xludf.DUMMYFUNCTION("GOOGLETRANSLATE(B41583,""en"",""pt"")"),"Warin Chamrap")</f>
        <v>Warin Chamrap</v>
      </c>
      <c r="B2178" s="17" t="s">
        <v>26029</v>
      </c>
      <c r="C2178" s="17" t="s">
        <v>25771</v>
      </c>
      <c r="D2178" s="17" t="s">
        <v>25878</v>
      </c>
      <c r="E2178" s="10">
        <v>1605069</v>
      </c>
      <c r="F2178" s="4" t="str">
        <f>IF(B2178=B2177,"",B2178)</f>
        <v/>
      </c>
    </row>
    <row r="2179" spans="1:6" ht="15.75" customHeight="1">
      <c r="A2179" s="5" t="s">
        <v>9271</v>
      </c>
      <c r="B2179" s="6" t="s">
        <v>9271</v>
      </c>
      <c r="C2179" s="5" t="s">
        <v>8028</v>
      </c>
      <c r="D2179" s="5" t="s">
        <v>8029</v>
      </c>
      <c r="E2179" s="2">
        <v>2814127</v>
      </c>
      <c r="F2179" s="4" t="str">
        <f>IF(B2179=B2178,"",B2179)</f>
        <v>Warendorf</v>
      </c>
    </row>
    <row r="2180" spans="1:6" ht="15.75" customHeight="1">
      <c r="A2180" s="5" t="str">
        <f ca="1">IFERROR(__xludf.DUMMYFUNCTION("GOOGLETRANSLATE(B27422,""en"",""pt"")"),"Warendorf")</f>
        <v>Warendorf</v>
      </c>
      <c r="B2180" s="17" t="s">
        <v>9271</v>
      </c>
      <c r="C2180" s="17" t="s">
        <v>8028</v>
      </c>
      <c r="D2180" s="17" t="s">
        <v>8029</v>
      </c>
      <c r="E2180" s="10">
        <v>2814127</v>
      </c>
      <c r="F2180" s="4" t="str">
        <f>IF(B2180=B2179,"",B2180)</f>
        <v/>
      </c>
    </row>
    <row r="2181" spans="1:6" ht="15.75" customHeight="1">
      <c r="A2181" s="6" t="s">
        <v>9270</v>
      </c>
      <c r="B2181" s="6" t="s">
        <v>9270</v>
      </c>
      <c r="C2181" s="6" t="s">
        <v>8028</v>
      </c>
      <c r="D2181" s="6" t="s">
        <v>8436</v>
      </c>
      <c r="E2181" s="2">
        <v>2814131</v>
      </c>
      <c r="F2181" s="4" t="str">
        <f>IF(B2181=B2180,"",B2181)</f>
        <v>Waren</v>
      </c>
    </row>
    <row r="2182" spans="1:6" ht="15.75" customHeight="1">
      <c r="A2182" s="5" t="str">
        <f ca="1">IFERROR(__xludf.DUMMYFUNCTION("GOOGLETRANSLATE(B27423,""en"",""pt"")"),"Waren")</f>
        <v>Waren</v>
      </c>
      <c r="B2182" s="17" t="s">
        <v>9270</v>
      </c>
      <c r="C2182" s="17" t="s">
        <v>8028</v>
      </c>
      <c r="D2182" s="17" t="s">
        <v>8436</v>
      </c>
      <c r="E2182" s="10">
        <v>2814131</v>
      </c>
      <c r="F2182" s="4" t="str">
        <f>IF(B2182=B2181,"",B2182)</f>
        <v/>
      </c>
    </row>
    <row r="2183" spans="1:6" ht="15.75" customHeight="1">
      <c r="A2183" s="6" t="s">
        <v>1712</v>
      </c>
      <c r="B2183" s="6" t="s">
        <v>1712</v>
      </c>
      <c r="C2183" s="6" t="s">
        <v>1512</v>
      </c>
      <c r="D2183" s="6" t="s">
        <v>1513</v>
      </c>
      <c r="E2183" s="2">
        <v>2784068</v>
      </c>
      <c r="F2183" s="4" t="str">
        <f>IF(B2183=B2182,"",B2183)</f>
        <v>Waregem</v>
      </c>
    </row>
    <row r="2184" spans="1:6" ht="15.75" customHeight="1">
      <c r="A2184" s="5" t="str">
        <f ca="1">IFERROR(__xludf.DUMMYFUNCTION("GOOGLETRANSLATE(B23808,""en"",""pt"")"),"Waregem")</f>
        <v>Waregem</v>
      </c>
      <c r="B2184" s="17" t="s">
        <v>1712</v>
      </c>
      <c r="C2184" s="17" t="s">
        <v>1512</v>
      </c>
      <c r="D2184" s="17" t="s">
        <v>1513</v>
      </c>
      <c r="E2184" s="10">
        <v>2784068</v>
      </c>
      <c r="F2184" s="4" t="str">
        <f>IF(B2184=B2183,"",B2184)</f>
        <v/>
      </c>
    </row>
    <row r="2185" spans="1:6" ht="15.75" customHeight="1">
      <c r="A2185" s="6" t="s">
        <v>27727</v>
      </c>
      <c r="B2185" s="6" t="s">
        <v>27728</v>
      </c>
      <c r="C2185" s="6" t="s">
        <v>27234</v>
      </c>
      <c r="D2185" s="6" t="s">
        <v>27241</v>
      </c>
      <c r="E2185" s="2">
        <v>2634777</v>
      </c>
      <c r="F2185" s="4" t="str">
        <f>IF(B2185=B2184,"",B2185)</f>
        <v>Ware</v>
      </c>
    </row>
    <row r="2186" spans="1:6" ht="15.75" customHeight="1">
      <c r="A2186" s="5" t="str">
        <f ca="1">IFERROR(__xludf.DUMMYFUNCTION("GOOGLETRANSLATE(B30366,""en"",""pt"")"),"louça")</f>
        <v>louça</v>
      </c>
      <c r="B2186" s="17" t="s">
        <v>27728</v>
      </c>
      <c r="C2186" s="17" t="s">
        <v>27234</v>
      </c>
      <c r="D2186" s="17" t="s">
        <v>27241</v>
      </c>
      <c r="E2186" s="10">
        <v>2634777</v>
      </c>
      <c r="F2186" s="4" t="str">
        <f>IF(B2186=B2185,"",B2186)</f>
        <v/>
      </c>
    </row>
    <row r="2187" spans="1:6" ht="15.75" customHeight="1">
      <c r="A2187" s="6" t="s">
        <v>13768</v>
      </c>
      <c r="B2187" s="6" t="s">
        <v>13768</v>
      </c>
      <c r="C2187" s="6" t="s">
        <v>10178</v>
      </c>
      <c r="D2187" s="6" t="s">
        <v>10214</v>
      </c>
      <c r="E2187" s="2">
        <v>1252942</v>
      </c>
      <c r="F2187" s="4" t="str">
        <f>IF(B2187=B2186,"",B2187)</f>
        <v>Wardha</v>
      </c>
    </row>
    <row r="2188" spans="1:6" ht="15.75" customHeight="1">
      <c r="A2188" s="5" t="str">
        <f ca="1">IFERROR(__xludf.DUMMYFUNCTION("GOOGLETRANSLATE(B31852,""en"",""pt"")"),"Wardha")</f>
        <v>Wardha</v>
      </c>
      <c r="B2188" s="17" t="s">
        <v>13768</v>
      </c>
      <c r="C2188" s="17" t="s">
        <v>10178</v>
      </c>
      <c r="D2188" s="17" t="s">
        <v>10214</v>
      </c>
      <c r="E2188" s="10">
        <v>1252942</v>
      </c>
      <c r="F2188" s="4" t="str">
        <f>IF(B2188=B2187,"",B2188)</f>
        <v/>
      </c>
    </row>
    <row r="2189" spans="1:6" ht="15.75" customHeight="1">
      <c r="A2189" s="5" t="s">
        <v>9269</v>
      </c>
      <c r="B2189" s="6" t="s">
        <v>9269</v>
      </c>
      <c r="C2189" s="5" t="s">
        <v>8028</v>
      </c>
      <c r="D2189" s="5" t="s">
        <v>8034</v>
      </c>
      <c r="E2189" s="2">
        <v>2814146</v>
      </c>
      <c r="F2189" s="4" t="str">
        <f>IF(B2189=B2188,"",B2189)</f>
        <v>Wardenburg</v>
      </c>
    </row>
    <row r="2190" spans="1:6" ht="15.75" customHeight="1">
      <c r="A2190" s="5" t="str">
        <f ca="1">IFERROR(__xludf.DUMMYFUNCTION("GOOGLETRANSLATE(B27424,""en"",""pt"")"),"Wardenburg")</f>
        <v>Wardenburg</v>
      </c>
      <c r="B2190" s="17" t="s">
        <v>9269</v>
      </c>
      <c r="C2190" s="17" t="s">
        <v>8028</v>
      </c>
      <c r="D2190" s="17" t="s">
        <v>8034</v>
      </c>
      <c r="E2190" s="10">
        <v>2814146</v>
      </c>
      <c r="F2190" s="4" t="str">
        <f>IF(B2190=B2189,"",B2190)</f>
        <v/>
      </c>
    </row>
    <row r="2191" spans="1:6" ht="15.75" customHeight="1">
      <c r="A2191" s="5" t="s">
        <v>20283</v>
      </c>
      <c r="B2191" s="6" t="s">
        <v>20283</v>
      </c>
      <c r="C2191" s="5" t="s">
        <v>19808</v>
      </c>
      <c r="D2191" s="5" t="s">
        <v>10184</v>
      </c>
      <c r="E2191" s="2">
        <v>1162572</v>
      </c>
      <c r="F2191" s="4" t="str">
        <f>IF(B2191=B2190,"",B2191)</f>
        <v>Warburton</v>
      </c>
    </row>
    <row r="2192" spans="1:6" ht="15.75" customHeight="1">
      <c r="A2192" s="5" t="str">
        <f ca="1">IFERROR(__xludf.DUMMYFUNCTION("GOOGLETRANSLATE(B38873,""en"",""pt"")"),"Warburton")</f>
        <v>Warburton</v>
      </c>
      <c r="B2192" s="17" t="s">
        <v>20283</v>
      </c>
      <c r="C2192" s="17" t="s">
        <v>19808</v>
      </c>
      <c r="D2192" s="17" t="s">
        <v>10184</v>
      </c>
      <c r="E2192" s="10">
        <v>1162572</v>
      </c>
      <c r="F2192" s="4" t="str">
        <f>IF(B2192=B2191,"",B2192)</f>
        <v/>
      </c>
    </row>
    <row r="2193" spans="1:6" ht="15.75" customHeight="1">
      <c r="A2193" s="6" t="s">
        <v>9268</v>
      </c>
      <c r="B2193" s="6" t="s">
        <v>9268</v>
      </c>
      <c r="C2193" s="6" t="s">
        <v>8028</v>
      </c>
      <c r="D2193" s="6" t="s">
        <v>8029</v>
      </c>
      <c r="E2193" s="2">
        <v>2814153</v>
      </c>
      <c r="F2193" s="4" t="str">
        <f>IF(B2193=B2192,"",B2193)</f>
        <v>Warburg</v>
      </c>
    </row>
    <row r="2194" spans="1:6" ht="15.75" customHeight="1">
      <c r="A2194" s="5" t="str">
        <f ca="1">IFERROR(__xludf.DUMMYFUNCTION("GOOGLETRANSLATE(B27425,""en"",""pt"")"),"Warburg")</f>
        <v>Warburg</v>
      </c>
      <c r="B2194" s="17" t="s">
        <v>9268</v>
      </c>
      <c r="C2194" s="17" t="s">
        <v>8028</v>
      </c>
      <c r="D2194" s="17" t="s">
        <v>8029</v>
      </c>
      <c r="E2194" s="10">
        <v>2814153</v>
      </c>
      <c r="F2194" s="4" t="str">
        <f>IF(B2194=B2193,"",B2194)</f>
        <v/>
      </c>
    </row>
    <row r="2195" spans="1:6" ht="15.75" customHeight="1">
      <c r="A2195" s="5" t="str">
        <f ca="1">IFERROR(__xludf.DUMMYFUNCTION("GOOGLETRANSLATE(B31853,""en"",""pt"")"),"Wārāseonī")</f>
        <v>Wārāseonī</v>
      </c>
      <c r="B2195" s="17" t="s">
        <v>32948</v>
      </c>
      <c r="C2195" s="17" t="s">
        <v>10178</v>
      </c>
      <c r="D2195" s="17" t="s">
        <v>10219</v>
      </c>
      <c r="E2195" s="10">
        <v>1252946</v>
      </c>
      <c r="F2195" s="4" t="str">
        <f>IF(B2195=B2194,"",B2195)</f>
        <v>Wārāseonī</v>
      </c>
    </row>
    <row r="2196" spans="1:6" ht="15.75" customHeight="1">
      <c r="A2196" s="6" t="s">
        <v>13767</v>
      </c>
      <c r="B2196" s="6" t="s">
        <v>13767</v>
      </c>
      <c r="C2196" s="6" t="s">
        <v>10178</v>
      </c>
      <c r="D2196" s="6" t="s">
        <v>10187</v>
      </c>
      <c r="E2196" s="2">
        <v>1252948</v>
      </c>
      <c r="F2196" s="4" t="str">
        <f>IF(B2196=B2195,"",B2196)</f>
        <v>Warangal</v>
      </c>
    </row>
    <row r="2197" spans="1:6" ht="15.75" customHeight="1">
      <c r="A2197" s="5" t="str">
        <f ca="1">IFERROR(__xludf.DUMMYFUNCTION("GOOGLETRANSLATE(B31854,""en"",""pt"")"),"Warangal")</f>
        <v>Warangal</v>
      </c>
      <c r="B2197" s="17" t="s">
        <v>13767</v>
      </c>
      <c r="C2197" s="17" t="s">
        <v>10178</v>
      </c>
      <c r="D2197" s="17" t="s">
        <v>10187</v>
      </c>
      <c r="E2197" s="10">
        <v>1252948</v>
      </c>
      <c r="F2197" s="4" t="str">
        <f>IF(B2197=B2196,"",B2197)</f>
        <v/>
      </c>
    </row>
    <row r="2198" spans="1:6" ht="15.75" customHeight="1">
      <c r="A2198" s="5" t="str">
        <f ca="1">IFERROR(__xludf.DUMMYFUNCTION("GOOGLETRANSLATE(B38874,""en"",""pt"")"),"Wārāh")</f>
        <v>Wārāh</v>
      </c>
      <c r="B2198" s="17" t="s">
        <v>34896</v>
      </c>
      <c r="C2198" s="17" t="s">
        <v>19808</v>
      </c>
      <c r="D2198" s="17" t="s">
        <v>19823</v>
      </c>
      <c r="E2198" s="10">
        <v>1162589</v>
      </c>
      <c r="F2198" s="4" t="str">
        <f>IF(B2198=B2197,"",B2198)</f>
        <v>Wārāh</v>
      </c>
    </row>
    <row r="2199" spans="1:6" ht="15.75" customHeight="1">
      <c r="A2199" s="6" t="s">
        <v>21058</v>
      </c>
      <c r="B2199" s="6" t="s">
        <v>21058</v>
      </c>
      <c r="C2199" s="6" t="s">
        <v>20598</v>
      </c>
      <c r="D2199" s="6" t="s">
        <v>20683</v>
      </c>
      <c r="E2199" s="2">
        <v>1679678</v>
      </c>
      <c r="F2199" s="4" t="str">
        <f>IF(B2199=B2198,"",B2199)</f>
        <v>Wao</v>
      </c>
    </row>
    <row r="2200" spans="1:6" ht="15.75" customHeight="1">
      <c r="A2200" s="5" t="str">
        <f ca="1">IFERROR(__xludf.DUMMYFUNCTION("GOOGLETRANSLATE(B38425,""en"",""pt"")"),"Wao")</f>
        <v>Wao</v>
      </c>
      <c r="B2200" s="17" t="s">
        <v>21058</v>
      </c>
      <c r="C2200" s="17" t="s">
        <v>20598</v>
      </c>
      <c r="D2200" s="17" t="s">
        <v>20683</v>
      </c>
      <c r="E2200" s="10">
        <v>1679678</v>
      </c>
      <c r="F2200" s="4" t="str">
        <f>IF(B2200=B2199,"",B2200)</f>
        <v/>
      </c>
    </row>
    <row r="2201" spans="1:6" ht="15.75" customHeight="1">
      <c r="A2201" s="6" t="s">
        <v>5147</v>
      </c>
      <c r="B2201" s="6" t="s">
        <v>5147</v>
      </c>
      <c r="C2201" s="6" t="s">
        <v>4487</v>
      </c>
      <c r="D2201" s="6" t="s">
        <v>4540</v>
      </c>
      <c r="E2201" s="2">
        <v>1791748</v>
      </c>
      <c r="F2201" s="4" t="str">
        <f>IF(B2201=B2200,"",B2201)</f>
        <v>Wanxian</v>
      </c>
    </row>
    <row r="2202" spans="1:6" ht="15.75" customHeight="1">
      <c r="A2202" s="5" t="str">
        <f ca="1">IFERROR(__xludf.DUMMYFUNCTION("GOOGLETRANSLATE(B26222,""en"",""pt"")"),"Wanxian")</f>
        <v>Wanxian</v>
      </c>
      <c r="B2202" s="17" t="s">
        <v>5147</v>
      </c>
      <c r="C2202" s="17" t="s">
        <v>4487</v>
      </c>
      <c r="D2202" s="17" t="s">
        <v>4540</v>
      </c>
      <c r="E2202" s="10">
        <v>1791748</v>
      </c>
      <c r="F2202" s="4" t="str">
        <f>IF(B2202=B2201,"",B2202)</f>
        <v/>
      </c>
    </row>
    <row r="2203" spans="1:6" ht="15.75" customHeight="1">
      <c r="A2203" s="5" t="s">
        <v>1105</v>
      </c>
      <c r="B2203" s="6" t="s">
        <v>1105</v>
      </c>
      <c r="C2203" s="5" t="s">
        <v>885</v>
      </c>
      <c r="D2203" s="5" t="s">
        <v>827</v>
      </c>
      <c r="E2203" s="2">
        <v>2144728</v>
      </c>
      <c r="F2203" s="4" t="str">
        <f>IF(B2203=B2202,"",B2203)</f>
        <v>Wantirna South</v>
      </c>
    </row>
    <row r="2204" spans="1:6" ht="15.75" customHeight="1">
      <c r="A2204" s="5" t="str">
        <f ca="1">IFERROR(__xludf.DUMMYFUNCTION("GOOGLETRANSLATE(B23433,""en"",""pt"")"),"Wantirna South")</f>
        <v>Wantirna South</v>
      </c>
      <c r="B2204" s="17" t="s">
        <v>1105</v>
      </c>
      <c r="C2204" s="17" t="s">
        <v>885</v>
      </c>
      <c r="D2204" s="17" t="s">
        <v>827</v>
      </c>
      <c r="E2204" s="10">
        <v>2144728</v>
      </c>
      <c r="F2204" s="4" t="str">
        <f>IF(B2204=B2203,"",B2204)</f>
        <v/>
      </c>
    </row>
    <row r="2205" spans="1:6" ht="15.75" customHeight="1">
      <c r="A2205" s="6" t="s">
        <v>30292</v>
      </c>
      <c r="B2205" s="6" t="s">
        <v>30292</v>
      </c>
      <c r="C2205" s="6" t="s">
        <v>27788</v>
      </c>
      <c r="D2205" s="6" t="s">
        <v>27819</v>
      </c>
      <c r="E2205" s="2">
        <v>5143198</v>
      </c>
      <c r="F2205" s="4" t="str">
        <f>IF(B2205=B2204,"",B2205)</f>
        <v>Wantagh</v>
      </c>
    </row>
    <row r="2206" spans="1:6" ht="15.75" customHeight="1">
      <c r="A2206" s="5" t="str">
        <f ca="1">IFERROR(__xludf.DUMMYFUNCTION("GOOGLETRANSLATE(B44463,""en"",""pt"")"),"Wantagh")</f>
        <v>Wantagh</v>
      </c>
      <c r="B2206" s="17" t="s">
        <v>30292</v>
      </c>
      <c r="C2206" s="17" t="s">
        <v>27788</v>
      </c>
      <c r="D2206" s="17" t="s">
        <v>27819</v>
      </c>
      <c r="E2206" s="10">
        <v>5143198</v>
      </c>
      <c r="F2206" s="4" t="str">
        <f>IF(B2206=B2205,"",B2206)</f>
        <v/>
      </c>
    </row>
    <row r="2207" spans="1:6" ht="15.75" customHeight="1">
      <c r="A2207" s="6" t="s">
        <v>13765</v>
      </c>
      <c r="B2207" s="6" t="s">
        <v>13766</v>
      </c>
      <c r="C2207" s="6" t="s">
        <v>10178</v>
      </c>
      <c r="D2207" s="6" t="s">
        <v>10187</v>
      </c>
      <c r="E2207" s="2">
        <v>1252956</v>
      </c>
      <c r="F2207" s="4" t="str">
        <f>IF(B2207=B2206,"",B2207)</f>
        <v>Wanparti</v>
      </c>
    </row>
    <row r="2208" spans="1:6" ht="15.75" customHeight="1">
      <c r="A2208" s="5" t="str">
        <f ca="1">IFERROR(__xludf.DUMMYFUNCTION("GOOGLETRANSLATE(B31855,""en"",""pt"")"),"WanParti")</f>
        <v>WanParti</v>
      </c>
      <c r="B2208" s="17" t="s">
        <v>13766</v>
      </c>
      <c r="C2208" s="17" t="s">
        <v>10178</v>
      </c>
      <c r="D2208" s="17" t="s">
        <v>10187</v>
      </c>
      <c r="E2208" s="10">
        <v>1252956</v>
      </c>
      <c r="F2208" s="4" t="str">
        <f>IF(B2208=B2207,"",B2208)</f>
        <v/>
      </c>
    </row>
    <row r="2209" spans="1:6" ht="15.75" customHeight="1">
      <c r="A2209" s="6" t="s">
        <v>5146</v>
      </c>
      <c r="B2209" s="6" t="s">
        <v>5146</v>
      </c>
      <c r="C2209" s="6" t="s">
        <v>4487</v>
      </c>
      <c r="D2209" s="6" t="s">
        <v>4715</v>
      </c>
      <c r="E2209" s="2">
        <v>1791779</v>
      </c>
      <c r="F2209" s="4" t="str">
        <f>IF(B2209=B2208,"",B2209)</f>
        <v>Wanning</v>
      </c>
    </row>
    <row r="2210" spans="1:6" ht="15.75" customHeight="1">
      <c r="A2210" s="5" t="str">
        <f ca="1">IFERROR(__xludf.DUMMYFUNCTION("GOOGLETRANSLATE(B26223,""en"",""pt"")"),"Wanning")</f>
        <v>Wanning</v>
      </c>
      <c r="B2210" s="17" t="s">
        <v>5146</v>
      </c>
      <c r="C2210" s="17" t="s">
        <v>4487</v>
      </c>
      <c r="D2210" s="17" t="s">
        <v>4715</v>
      </c>
      <c r="E2210" s="10">
        <v>1791779</v>
      </c>
      <c r="F2210" s="4" t="str">
        <f>IF(B2210=B2209,"",B2210)</f>
        <v/>
      </c>
    </row>
    <row r="2211" spans="1:6" ht="15.75" customHeight="1">
      <c r="A2211" s="5" t="s">
        <v>23840</v>
      </c>
      <c r="B2211" s="6" t="s">
        <v>23840</v>
      </c>
      <c r="C2211" s="5" t="s">
        <v>23800</v>
      </c>
      <c r="D2211" s="5" t="s">
        <v>23801</v>
      </c>
      <c r="E2211" s="2">
        <v>50672</v>
      </c>
      <c r="F2211" s="4" t="str">
        <f>IF(B2211=B2210,"",B2211)</f>
        <v>Wanlaweyn</v>
      </c>
    </row>
    <row r="2212" spans="1:6" ht="15.75" customHeight="1">
      <c r="A2212" s="5" t="str">
        <f ca="1">IFERROR(__xludf.DUMMYFUNCTION("GOOGLETRANSLATE(B41313,""en"",""pt"")"),"Wanlaweyn")</f>
        <v>Wanlaweyn</v>
      </c>
      <c r="B2212" s="17" t="s">
        <v>23840</v>
      </c>
      <c r="C2212" s="17" t="s">
        <v>23800</v>
      </c>
      <c r="D2212" s="17" t="s">
        <v>23801</v>
      </c>
      <c r="E2212" s="10">
        <v>50672</v>
      </c>
      <c r="F2212" s="4" t="str">
        <f>IF(B2212=B2211,"",B2212)</f>
        <v/>
      </c>
    </row>
    <row r="2213" spans="1:6" ht="15.75" customHeight="1">
      <c r="A2213" s="5" t="str">
        <f ca="1">IFERROR(__xludf.DUMMYFUNCTION("GOOGLETRANSLATE(B31856,""en"",""pt"")"),"Wānkāner")</f>
        <v>Wānkāner</v>
      </c>
      <c r="B2213" s="17" t="s">
        <v>32949</v>
      </c>
      <c r="C2213" s="17" t="s">
        <v>10178</v>
      </c>
      <c r="D2213" s="17" t="s">
        <v>10209</v>
      </c>
      <c r="E2213" s="10">
        <v>1252958</v>
      </c>
      <c r="F2213" s="4" t="str">
        <f>IF(B2213=B2212,"",B2213)</f>
        <v>Wānkāner</v>
      </c>
    </row>
    <row r="2214" spans="1:6" ht="15.75" customHeight="1">
      <c r="A2214" s="6" t="s">
        <v>24163</v>
      </c>
      <c r="B2214" s="6" t="s">
        <v>24163</v>
      </c>
      <c r="C2214" s="6" t="s">
        <v>24024</v>
      </c>
      <c r="D2214" s="6" t="s">
        <v>24042</v>
      </c>
      <c r="E2214" s="2">
        <v>1833466</v>
      </c>
      <c r="F2214" s="4" t="str">
        <f>IF(B2214=B2213,"",B2214)</f>
        <v>Wanju</v>
      </c>
    </row>
    <row r="2215" spans="1:6" ht="15.75" customHeight="1">
      <c r="A2215" s="5" t="str">
        <f ca="1">IFERROR(__xludf.DUMMYFUNCTION("GOOGLETRANSLATE(B36060,""en"",""pt"")"),"Wanju")</f>
        <v>Wanju</v>
      </c>
      <c r="B2215" s="17" t="s">
        <v>24163</v>
      </c>
      <c r="C2215" s="17" t="s">
        <v>24024</v>
      </c>
      <c r="D2215" s="17" t="s">
        <v>24042</v>
      </c>
      <c r="E2215" s="10">
        <v>1833466</v>
      </c>
      <c r="F2215" s="4" t="str">
        <f>IF(B2215=B2214,"",B2215)</f>
        <v/>
      </c>
    </row>
    <row r="2216" spans="1:6" ht="15.75" customHeight="1">
      <c r="A2216" s="6" t="s">
        <v>13764</v>
      </c>
      <c r="B2216" s="6" t="s">
        <v>13764</v>
      </c>
      <c r="C2216" s="6" t="s">
        <v>10178</v>
      </c>
      <c r="D2216" s="6" t="s">
        <v>10214</v>
      </c>
      <c r="E2216" s="2">
        <v>1252960</v>
      </c>
      <c r="F2216" s="4" t="str">
        <f>IF(B2216=B2215,"",B2216)</f>
        <v>Wani</v>
      </c>
    </row>
    <row r="2217" spans="1:6" ht="15.75" customHeight="1">
      <c r="A2217" s="5" t="str">
        <f ca="1">IFERROR(__xludf.DUMMYFUNCTION("GOOGLETRANSLATE(B31857,""en"",""pt"")"),"Wani")</f>
        <v>Wani</v>
      </c>
      <c r="B2217" s="17" t="s">
        <v>13764</v>
      </c>
      <c r="C2217" s="17" t="s">
        <v>10178</v>
      </c>
      <c r="D2217" s="17" t="s">
        <v>10214</v>
      </c>
      <c r="E2217" s="10">
        <v>1252960</v>
      </c>
      <c r="F2217" s="4" t="str">
        <f>IF(B2217=B2216,"",B2217)</f>
        <v/>
      </c>
    </row>
    <row r="2218" spans="1:6" ht="15.75" customHeight="1">
      <c r="A2218" s="5" t="s">
        <v>5145</v>
      </c>
      <c r="B2218" s="6" t="s">
        <v>5145</v>
      </c>
      <c r="C2218" s="5" t="s">
        <v>4487</v>
      </c>
      <c r="D2218" s="5" t="s">
        <v>4518</v>
      </c>
      <c r="E2218" s="2">
        <v>2034221</v>
      </c>
      <c r="F2218" s="4" t="str">
        <f>IF(B2218=B2217,"",B2218)</f>
        <v>Wangqing</v>
      </c>
    </row>
    <row r="2219" spans="1:6" ht="15.75" customHeight="1">
      <c r="A2219" s="5" t="str">
        <f ca="1">IFERROR(__xludf.DUMMYFUNCTION("GOOGLETRANSLATE(B26671,""en"",""pt"")"),"Wangqing")</f>
        <v>Wangqing</v>
      </c>
      <c r="B2219" s="17" t="s">
        <v>5145</v>
      </c>
      <c r="C2219" s="17" t="s">
        <v>4487</v>
      </c>
      <c r="D2219" s="17" t="s">
        <v>4518</v>
      </c>
      <c r="E2219" s="10">
        <v>2034221</v>
      </c>
      <c r="F2219" s="4" t="str">
        <f>IF(B2219=B2218,"",B2219)</f>
        <v/>
      </c>
    </row>
    <row r="2220" spans="1:6" ht="15.75" customHeight="1">
      <c r="A2220" s="6" t="s">
        <v>14225</v>
      </c>
      <c r="B2220" s="6" t="s">
        <v>14225</v>
      </c>
      <c r="C2220" s="6" t="s">
        <v>13800</v>
      </c>
      <c r="D2220" s="6" t="s">
        <v>13803</v>
      </c>
      <c r="E2220" s="2">
        <v>1622090</v>
      </c>
      <c r="F2220" s="4" t="str">
        <f>IF(B2220=B2219,"",B2220)</f>
        <v>Wangon</v>
      </c>
    </row>
    <row r="2221" spans="1:6" ht="15.75" customHeight="1">
      <c r="A2221" s="5" t="str">
        <f ca="1">IFERROR(__xludf.DUMMYFUNCTION("GOOGLETRANSLATE(B31394,""en"",""pt"")"),"Wangon")</f>
        <v>Wangon</v>
      </c>
      <c r="B2221" s="17" t="s">
        <v>14225</v>
      </c>
      <c r="C2221" s="17" t="s">
        <v>13800</v>
      </c>
      <c r="D2221" s="17" t="s">
        <v>13803</v>
      </c>
      <c r="E2221" s="10">
        <v>1622090</v>
      </c>
      <c r="F2221" s="4" t="str">
        <f>IF(B2221=B2220,"",B2221)</f>
        <v/>
      </c>
    </row>
    <row r="2222" spans="1:6" ht="15.75" customHeight="1">
      <c r="A2222" s="6" t="s">
        <v>5144</v>
      </c>
      <c r="B2222" s="6" t="s">
        <v>5144</v>
      </c>
      <c r="C2222" s="6" t="s">
        <v>4487</v>
      </c>
      <c r="D2222" s="6" t="s">
        <v>4488</v>
      </c>
      <c r="E2222" s="2">
        <v>2034228</v>
      </c>
      <c r="F2222" s="4" t="str">
        <f>IF(B2222=B2221,"",B2222)</f>
        <v>Wangkui</v>
      </c>
    </row>
    <row r="2223" spans="1:6" ht="15.75" customHeight="1">
      <c r="A2223" s="5" t="str">
        <f ca="1">IFERROR(__xludf.DUMMYFUNCTION("GOOGLETRANSLATE(B26673,""en"",""pt"")"),"Wangkui")</f>
        <v>Wangkui</v>
      </c>
      <c r="B2223" s="17" t="s">
        <v>5144</v>
      </c>
      <c r="C2223" s="17" t="s">
        <v>4487</v>
      </c>
      <c r="D2223" s="17" t="s">
        <v>4488</v>
      </c>
      <c r="E2223" s="10">
        <v>2034228</v>
      </c>
      <c r="F2223" s="4" t="str">
        <f>IF(B2223=B2222,"",B2223)</f>
        <v/>
      </c>
    </row>
    <row r="2224" spans="1:6" ht="15.75" customHeight="1">
      <c r="A2224" s="5" t="str">
        <f ca="1">IFERROR(__xludf.DUMMYFUNCTION("GOOGLETRANSLATE(B27426,""en"",""pt"")"),"Wangen im Allgäu")</f>
        <v>Wangen im Allgäu</v>
      </c>
      <c r="B2224" s="17" t="s">
        <v>32018</v>
      </c>
      <c r="C2224" s="17" t="s">
        <v>8028</v>
      </c>
      <c r="D2224" s="17" t="s">
        <v>32013</v>
      </c>
      <c r="E2224" s="10">
        <v>2814270</v>
      </c>
      <c r="F2224" s="4" t="str">
        <f>IF(B2224=B2223,"",B2224)</f>
        <v>Wangen im Allgäu</v>
      </c>
    </row>
    <row r="2225" spans="1:6" ht="15.75" customHeight="1">
      <c r="A2225" s="5" t="s">
        <v>9266</v>
      </c>
      <c r="B2225" s="6" t="s">
        <v>9267</v>
      </c>
      <c r="C2225" s="5" t="s">
        <v>8028</v>
      </c>
      <c r="D2225" s="5" t="s">
        <v>8031</v>
      </c>
      <c r="E2225" s="2">
        <v>2814270</v>
      </c>
      <c r="F2225" s="4" t="str">
        <f>IF(B2225=B2224,"",B2225)</f>
        <v>Wangen im AllgÃ¤u</v>
      </c>
    </row>
    <row r="2226" spans="1:6" ht="15.75" customHeight="1">
      <c r="A2226" s="5" t="s">
        <v>1104</v>
      </c>
      <c r="B2226" s="6" t="s">
        <v>1104</v>
      </c>
      <c r="C2226" s="5" t="s">
        <v>885</v>
      </c>
      <c r="D2226" s="5" t="s">
        <v>827</v>
      </c>
      <c r="E2226" s="2">
        <v>2144764</v>
      </c>
      <c r="F2226" s="4" t="str">
        <f>IF(B2226=B2225,"",B2226)</f>
        <v>Wangaratta</v>
      </c>
    </row>
    <row r="2227" spans="1:6" ht="15.75" customHeight="1">
      <c r="A2227" s="5" t="str">
        <f ca="1">IFERROR(__xludf.DUMMYFUNCTION("GOOGLETRANSLATE(B23434,""en"",""pt"")"),"Wangaratta")</f>
        <v>Wangaratta</v>
      </c>
      <c r="B2227" s="17" t="s">
        <v>1104</v>
      </c>
      <c r="C2227" s="17" t="s">
        <v>885</v>
      </c>
      <c r="D2227" s="17" t="s">
        <v>827</v>
      </c>
      <c r="E2227" s="10">
        <v>2144764</v>
      </c>
      <c r="F2227" s="4" t="str">
        <f>IF(B2227=B2226,"",B2227)</f>
        <v/>
      </c>
    </row>
    <row r="2228" spans="1:6" ht="15.75" customHeight="1">
      <c r="A2228" s="5" t="s">
        <v>19212</v>
      </c>
      <c r="B2228" s="6" t="s">
        <v>19212</v>
      </c>
      <c r="C2228" s="5" t="s">
        <v>19169</v>
      </c>
      <c r="D2228" s="5" t="s">
        <v>19185</v>
      </c>
      <c r="E2228" s="2">
        <v>2179670</v>
      </c>
      <c r="F2228" s="4" t="str">
        <f>IF(B2228=B2227,"",B2228)</f>
        <v>Wanganui</v>
      </c>
    </row>
    <row r="2229" spans="1:6" ht="15.75" customHeight="1">
      <c r="A2229" s="5" t="str">
        <f ca="1">IFERROR(__xludf.DUMMYFUNCTION("GOOGLETRANSLATE(B38218,""en"",""pt"")"),"Wanganui")</f>
        <v>Wanganui</v>
      </c>
      <c r="B2229" s="17" t="s">
        <v>19212</v>
      </c>
      <c r="C2229" s="17" t="s">
        <v>19169</v>
      </c>
      <c r="D2229" s="17" t="s">
        <v>19185</v>
      </c>
      <c r="E2229" s="10">
        <v>2179670</v>
      </c>
      <c r="F2229" s="4" t="str">
        <f>IF(B2229=B2228,"",B2229)</f>
        <v/>
      </c>
    </row>
    <row r="2230" spans="1:6" ht="15.75" customHeight="1">
      <c r="A2230" s="5" t="s">
        <v>26028</v>
      </c>
      <c r="B2230" s="6" t="s">
        <v>26028</v>
      </c>
      <c r="C2230" s="5" t="s">
        <v>25771</v>
      </c>
      <c r="D2230" s="5" t="s">
        <v>25922</v>
      </c>
      <c r="E2230" s="2">
        <v>1605102</v>
      </c>
      <c r="F2230" s="4" t="str">
        <f>IF(B2230=B2229,"",B2230)</f>
        <v>Wang Saphung</v>
      </c>
    </row>
    <row r="2231" spans="1:6" ht="15.75" customHeight="1">
      <c r="A2231" s="5" t="str">
        <f ca="1">IFERROR(__xludf.DUMMYFUNCTION("GOOGLETRANSLATE(B41584,""en"",""pt"")"),"Wang Saphung")</f>
        <v>Wang Saphung</v>
      </c>
      <c r="B2231" s="17" t="s">
        <v>26028</v>
      </c>
      <c r="C2231" s="17" t="s">
        <v>25771</v>
      </c>
      <c r="D2231" s="17" t="s">
        <v>25922</v>
      </c>
      <c r="E2231" s="10">
        <v>1605102</v>
      </c>
      <c r="F2231" s="4" t="str">
        <f>IF(B2231=B2230,"",B2231)</f>
        <v/>
      </c>
    </row>
    <row r="2232" spans="1:6" ht="15.75" customHeight="1">
      <c r="A2232" s="6" t="s">
        <v>26027</v>
      </c>
      <c r="B2232" s="6" t="s">
        <v>26027</v>
      </c>
      <c r="C2232" s="6" t="s">
        <v>25771</v>
      </c>
      <c r="D2232" s="6" t="s">
        <v>25778</v>
      </c>
      <c r="E2232" s="2">
        <v>1605118</v>
      </c>
      <c r="F2232" s="4" t="str">
        <f>IF(B2232=B2231,"",B2232)</f>
        <v>Wang Noi</v>
      </c>
    </row>
    <row r="2233" spans="1:6" ht="15.75" customHeight="1">
      <c r="A2233" s="5" t="str">
        <f ca="1">IFERROR(__xludf.DUMMYFUNCTION("GOOGLETRANSLATE(B41585,""en"",""pt"")"),"Wang Noi")</f>
        <v>Wang Noi</v>
      </c>
      <c r="B2233" s="17" t="s">
        <v>26027</v>
      </c>
      <c r="C2233" s="17" t="s">
        <v>25771</v>
      </c>
      <c r="D2233" s="17" t="s">
        <v>25778</v>
      </c>
      <c r="E2233" s="10">
        <v>1605118</v>
      </c>
      <c r="F2233" s="4" t="str">
        <f>IF(B2233=B2232,"",B2233)</f>
        <v/>
      </c>
    </row>
    <row r="2234" spans="1:6" ht="15.75" customHeight="1">
      <c r="A2234" s="5" t="s">
        <v>26026</v>
      </c>
      <c r="B2234" s="6" t="s">
        <v>26026</v>
      </c>
      <c r="C2234" s="5" t="s">
        <v>25771</v>
      </c>
      <c r="D2234" s="5" t="s">
        <v>25776</v>
      </c>
      <c r="E2234" s="2">
        <v>1605119</v>
      </c>
      <c r="F2234" s="4" t="str">
        <f>IF(B2234=B2233,"",B2234)</f>
        <v>Wang Nam Yen</v>
      </c>
    </row>
    <row r="2235" spans="1:6" ht="15.75" customHeight="1">
      <c r="A2235" s="5" t="str">
        <f ca="1">IFERROR(__xludf.DUMMYFUNCTION("GOOGLETRANSLATE(B41586,""en"",""pt"")"),"Wang Nam Yen")</f>
        <v>Wang Nam Yen</v>
      </c>
      <c r="B2235" s="17" t="s">
        <v>26026</v>
      </c>
      <c r="C2235" s="17" t="s">
        <v>25771</v>
      </c>
      <c r="D2235" s="17" t="s">
        <v>25776</v>
      </c>
      <c r="E2235" s="10">
        <v>1605119</v>
      </c>
      <c r="F2235" s="4" t="str">
        <f>IF(B2235=B2234,"",B2235)</f>
        <v/>
      </c>
    </row>
    <row r="2236" spans="1:6" ht="15.75" customHeight="1">
      <c r="A2236" s="5" t="s">
        <v>9265</v>
      </c>
      <c r="B2236" s="6" t="s">
        <v>9265</v>
      </c>
      <c r="C2236" s="5" t="s">
        <v>8028</v>
      </c>
      <c r="D2236" s="5" t="s">
        <v>8059</v>
      </c>
      <c r="E2236" s="2">
        <v>2911285</v>
      </c>
      <c r="F2236" s="4" t="str">
        <f>IF(B2236=B2235,"",B2236)</f>
        <v>Wandsbek</v>
      </c>
    </row>
    <row r="2237" spans="1:6" ht="15.75" customHeight="1">
      <c r="A2237" s="5" t="str">
        <f ca="1">IFERROR(__xludf.DUMMYFUNCTION("GOOGLETRANSLATE(B27997,""en"",""pt"")"),"Wandsbek")</f>
        <v>Wandsbek</v>
      </c>
      <c r="B2237" s="17" t="s">
        <v>9265</v>
      </c>
      <c r="C2237" s="17" t="s">
        <v>8028</v>
      </c>
      <c r="D2237" s="17" t="s">
        <v>8059</v>
      </c>
      <c r="E2237" s="10">
        <v>2911285</v>
      </c>
      <c r="F2237" s="4" t="str">
        <f>IF(B2237=B2236,"",B2237)</f>
        <v/>
      </c>
    </row>
    <row r="2238" spans="1:6" ht="15.75" customHeight="1">
      <c r="A2238" s="6" t="s">
        <v>9264</v>
      </c>
      <c r="B2238" s="6" t="s">
        <v>9264</v>
      </c>
      <c r="C2238" s="6" t="s">
        <v>8028</v>
      </c>
      <c r="D2238" s="6" t="s">
        <v>8070</v>
      </c>
      <c r="E2238" s="2">
        <v>2814305</v>
      </c>
      <c r="F2238" s="4" t="str">
        <f>IF(B2238=B2237,"",B2238)</f>
        <v>Wandlitz</v>
      </c>
    </row>
    <row r="2239" spans="1:6" ht="15.75" customHeight="1">
      <c r="A2239" s="5" t="str">
        <f ca="1">IFERROR(__xludf.DUMMYFUNCTION("GOOGLETRANSLATE(B27427,""en"",""pt"")"),"Wandlitz")</f>
        <v>Wandlitz</v>
      </c>
      <c r="B2239" s="17" t="s">
        <v>9264</v>
      </c>
      <c r="C2239" s="17" t="s">
        <v>8028</v>
      </c>
      <c r="D2239" s="17" t="s">
        <v>8070</v>
      </c>
      <c r="E2239" s="10">
        <v>2814305</v>
      </c>
      <c r="F2239" s="4" t="str">
        <f>IF(B2239=B2238,"",B2239)</f>
        <v/>
      </c>
    </row>
    <row r="2240" spans="1:6" ht="15.75" customHeight="1">
      <c r="A2240" s="6" t="s">
        <v>14224</v>
      </c>
      <c r="B2240" s="6" t="s">
        <v>14224</v>
      </c>
      <c r="C2240" s="6" t="s">
        <v>13800</v>
      </c>
      <c r="D2240" s="6" t="s">
        <v>13811</v>
      </c>
      <c r="E2240" s="2">
        <v>1622138</v>
      </c>
      <c r="F2240" s="4" t="str">
        <f>IF(B2240=B2239,"",B2240)</f>
        <v>Wanaraja</v>
      </c>
    </row>
    <row r="2241" spans="1:6" ht="15.75" customHeight="1">
      <c r="A2241" s="5" t="str">
        <f ca="1">IFERROR(__xludf.DUMMYFUNCTION("GOOGLETRANSLATE(B31395,""en"",""pt"")"),"Wanaraja")</f>
        <v>Wanaraja</v>
      </c>
      <c r="B2241" s="17" t="s">
        <v>14224</v>
      </c>
      <c r="C2241" s="17" t="s">
        <v>13800</v>
      </c>
      <c r="D2241" s="17" t="s">
        <v>13811</v>
      </c>
      <c r="E2241" s="10">
        <v>1622138</v>
      </c>
      <c r="F2241" s="4" t="str">
        <f>IF(B2241=B2240,"",B2241)</f>
        <v/>
      </c>
    </row>
    <row r="2242" spans="1:6" ht="15.75" customHeight="1">
      <c r="A2242" s="6" t="s">
        <v>6204</v>
      </c>
      <c r="B2242" s="6" t="s">
        <v>6204</v>
      </c>
      <c r="C2242" s="6" t="s">
        <v>6127</v>
      </c>
      <c r="D2242" s="6" t="s">
        <v>6128</v>
      </c>
      <c r="E2242" s="2">
        <v>204318</v>
      </c>
      <c r="F2242" s="4" t="str">
        <f>IF(B2242=B2241,"",B2242)</f>
        <v>Wamba</v>
      </c>
    </row>
    <row r="2243" spans="1:6" ht="15.75" customHeight="1">
      <c r="A2243" s="6" t="s">
        <v>6204</v>
      </c>
      <c r="B2243" s="6" t="s">
        <v>6204</v>
      </c>
      <c r="C2243" s="6" t="s">
        <v>19294</v>
      </c>
      <c r="D2243" s="6" t="s">
        <v>19316</v>
      </c>
      <c r="E2243" s="2">
        <v>2319257</v>
      </c>
      <c r="F2243" s="4" t="str">
        <f>IF(B2243=B2242,"",B2243)</f>
        <v/>
      </c>
    </row>
    <row r="2244" spans="1:6" ht="15.75" customHeight="1">
      <c r="A2244" s="5" t="str">
        <f ca="1">IFERROR(__xludf.DUMMYFUNCTION("GOOGLETRANSLATE(B25646,""en"",""pt"")"),"Wamba")</f>
        <v>Wamba</v>
      </c>
      <c r="B2244" s="17" t="s">
        <v>6204</v>
      </c>
      <c r="C2244" s="17" t="s">
        <v>6127</v>
      </c>
      <c r="D2244" s="17" t="s">
        <v>6128</v>
      </c>
      <c r="E2244" s="10">
        <v>204318</v>
      </c>
      <c r="F2244" s="4" t="str">
        <f>IF(B2244=B2243,"",B2244)</f>
        <v/>
      </c>
    </row>
    <row r="2245" spans="1:6" ht="15.75" customHeight="1">
      <c r="A2245" s="5" t="str">
        <f ca="1">IFERROR(__xludf.DUMMYFUNCTION("GOOGLETRANSLATE(B37615,""en"",""pt"")"),"Wamba")</f>
        <v>Wamba</v>
      </c>
      <c r="B2245" s="17" t="s">
        <v>6204</v>
      </c>
      <c r="C2245" s="17" t="s">
        <v>19294</v>
      </c>
      <c r="D2245" s="17" t="s">
        <v>19316</v>
      </c>
      <c r="E2245" s="10">
        <v>2319257</v>
      </c>
      <c r="F2245" s="4" t="str">
        <f>IF(B2245=B2244,"",B2245)</f>
        <v/>
      </c>
    </row>
    <row r="2246" spans="1:6" ht="15.75" customHeight="1">
      <c r="A2246" s="5" t="s">
        <v>18793</v>
      </c>
      <c r="B2246" s="6" t="s">
        <v>18793</v>
      </c>
      <c r="C2246" s="5" t="s">
        <v>18773</v>
      </c>
      <c r="D2246" s="5" t="s">
        <v>18792</v>
      </c>
      <c r="E2246" s="2">
        <v>3359638</v>
      </c>
      <c r="F2246" s="4" t="str">
        <f>IF(B2246=B2245,"",B2246)</f>
        <v>Walvis Bay</v>
      </c>
    </row>
    <row r="2247" spans="1:6" ht="15.75" customHeight="1">
      <c r="A2247" s="5" t="str">
        <f ca="1">IFERROR(__xludf.DUMMYFUNCTION("GOOGLETRANSLATE(B37577,""en"",""pt"")"),"Walvis Bay")</f>
        <v>Walvis Bay</v>
      </c>
      <c r="B2247" s="17" t="s">
        <v>18793</v>
      </c>
      <c r="C2247" s="17" t="s">
        <v>18773</v>
      </c>
      <c r="D2247" s="17" t="s">
        <v>18792</v>
      </c>
      <c r="E2247" s="10">
        <v>3359638</v>
      </c>
      <c r="F2247" s="4" t="str">
        <f>IF(B2247=B2246,"",B2247)</f>
        <v/>
      </c>
    </row>
    <row r="2248" spans="1:6" ht="15.75" customHeight="1">
      <c r="A2248" s="6" t="s">
        <v>9263</v>
      </c>
      <c r="B2248" s="6" t="s">
        <v>9263</v>
      </c>
      <c r="C2248" s="6" t="s">
        <v>8028</v>
      </c>
      <c r="D2248" s="6" t="s">
        <v>8029</v>
      </c>
      <c r="E2248" s="2">
        <v>2814362</v>
      </c>
      <c r="F2248" s="4" t="str">
        <f>IF(B2248=B2247,"",B2248)</f>
        <v>Waltrop</v>
      </c>
    </row>
    <row r="2249" spans="1:6" ht="15.75" customHeight="1">
      <c r="A2249" s="5" t="str">
        <f ca="1">IFERROR(__xludf.DUMMYFUNCTION("GOOGLETRANSLATE(B27428,""en"",""pt"")"),"Waltrop")</f>
        <v>Waltrop</v>
      </c>
      <c r="B2249" s="17" t="s">
        <v>9263</v>
      </c>
      <c r="C2249" s="17" t="s">
        <v>8028</v>
      </c>
      <c r="D2249" s="17" t="s">
        <v>8029</v>
      </c>
      <c r="E2249" s="10">
        <v>2814362</v>
      </c>
      <c r="F2249" s="4" t="str">
        <f>IF(B2249=B2248,"",B2249)</f>
        <v/>
      </c>
    </row>
    <row r="2250" spans="1:6" ht="15.75" customHeight="1">
      <c r="A2250" s="5" t="s">
        <v>27726</v>
      </c>
      <c r="B2250" s="6" t="s">
        <v>27726</v>
      </c>
      <c r="C2250" s="5" t="s">
        <v>27234</v>
      </c>
      <c r="D2250" s="5" t="s">
        <v>27241</v>
      </c>
      <c r="E2250" s="2">
        <v>2634825</v>
      </c>
      <c r="F2250" s="4" t="str">
        <f>IF(B2250=B2249,"",B2250)</f>
        <v>Walton-on-Thames</v>
      </c>
    </row>
    <row r="2251" spans="1:6" ht="15.75" customHeight="1">
      <c r="A2251" s="5" t="str">
        <f ca="1">IFERROR(__xludf.DUMMYFUNCTION("GOOGLETRANSLATE(B30367,""en"",""pt"")"),"Walton-on-Thames")</f>
        <v>Walton-on-Thames</v>
      </c>
      <c r="B2251" s="17" t="s">
        <v>27726</v>
      </c>
      <c r="C2251" s="17" t="s">
        <v>27234</v>
      </c>
      <c r="D2251" s="17" t="s">
        <v>27241</v>
      </c>
      <c r="E2251" s="10">
        <v>2634825</v>
      </c>
      <c r="F2251" s="4" t="str">
        <f>IF(B2251=B2250,"",B2251)</f>
        <v/>
      </c>
    </row>
    <row r="2252" spans="1:6" ht="15.75" customHeight="1">
      <c r="A2252" s="5" t="s">
        <v>27725</v>
      </c>
      <c r="B2252" s="6" t="s">
        <v>27725</v>
      </c>
      <c r="C2252" s="5" t="s">
        <v>27234</v>
      </c>
      <c r="D2252" s="5" t="s">
        <v>27241</v>
      </c>
      <c r="E2252" s="2">
        <v>2634843</v>
      </c>
      <c r="F2252" s="4" t="str">
        <f>IF(B2252=B2251,"",B2252)</f>
        <v>Waltham Abbey</v>
      </c>
    </row>
    <row r="2253" spans="1:6" ht="15.75" customHeight="1">
      <c r="A2253" s="5" t="str">
        <f ca="1">IFERROR(__xludf.DUMMYFUNCTION("GOOGLETRANSLATE(B30368,""en"",""pt"")"),"Waltham Abbey")</f>
        <v>Waltham Abbey</v>
      </c>
      <c r="B2253" s="17" t="s">
        <v>27725</v>
      </c>
      <c r="C2253" s="17" t="s">
        <v>27234</v>
      </c>
      <c r="D2253" s="17" t="s">
        <v>27241</v>
      </c>
      <c r="E2253" s="10">
        <v>2634843</v>
      </c>
      <c r="F2253" s="4" t="str">
        <f>IF(B2253=B2252,"",B2253)</f>
        <v/>
      </c>
    </row>
    <row r="2254" spans="1:6" ht="15.75" customHeight="1">
      <c r="A2254" s="6" t="s">
        <v>30291</v>
      </c>
      <c r="B2254" s="6" t="s">
        <v>30291</v>
      </c>
      <c r="C2254" s="6" t="s">
        <v>27788</v>
      </c>
      <c r="D2254" s="6" t="s">
        <v>27794</v>
      </c>
      <c r="E2254" s="2">
        <v>4954380</v>
      </c>
      <c r="F2254" s="4" t="str">
        <f>IF(B2254=B2253,"",B2254)</f>
        <v>Waltham</v>
      </c>
    </row>
    <row r="2255" spans="1:6" ht="15.75" customHeight="1">
      <c r="A2255" s="5" t="str">
        <f ca="1">IFERROR(__xludf.DUMMYFUNCTION("GOOGLETRANSLATE(B44037,""en"",""pt"")"),"Waltham")</f>
        <v>Waltham</v>
      </c>
      <c r="B2255" s="17" t="s">
        <v>30291</v>
      </c>
      <c r="C2255" s="17" t="s">
        <v>27788</v>
      </c>
      <c r="D2255" s="17" t="s">
        <v>27794</v>
      </c>
      <c r="E2255" s="10">
        <v>4954380</v>
      </c>
      <c r="F2255" s="4" t="str">
        <f>IF(B2255=B2254,"",B2255)</f>
        <v/>
      </c>
    </row>
    <row r="2256" spans="1:6" ht="15.75" customHeight="1">
      <c r="A2256" s="5" t="s">
        <v>9261</v>
      </c>
      <c r="B2256" s="6" t="s">
        <v>9262</v>
      </c>
      <c r="C2256" s="5" t="s">
        <v>8028</v>
      </c>
      <c r="D2256" s="5" t="s">
        <v>8034</v>
      </c>
      <c r="E2256" s="2">
        <v>2814462</v>
      </c>
      <c r="F2256" s="4" t="str">
        <f>IF(B2256=B2255,"",B2256)</f>
        <v>Walsrode</v>
      </c>
    </row>
    <row r="2257" spans="1:6" ht="15.75" customHeight="1">
      <c r="A2257" s="5" t="str">
        <f ca="1">IFERROR(__xludf.DUMMYFUNCTION("GOOGLETRANSLATE(B27429,""en"",""pt"")"),"WalsRode")</f>
        <v>WalsRode</v>
      </c>
      <c r="B2257" s="17" t="s">
        <v>9262</v>
      </c>
      <c r="C2257" s="17" t="s">
        <v>8028</v>
      </c>
      <c r="D2257" s="17" t="s">
        <v>8034</v>
      </c>
      <c r="E2257" s="10">
        <v>2814462</v>
      </c>
      <c r="F2257" s="4" t="str">
        <f>IF(B2257=B2256,"",B2257)</f>
        <v/>
      </c>
    </row>
    <row r="2258" spans="1:6" ht="15.75" customHeight="1">
      <c r="A2258" s="6" t="s">
        <v>27724</v>
      </c>
      <c r="B2258" s="6" t="s">
        <v>27724</v>
      </c>
      <c r="C2258" s="6" t="s">
        <v>27234</v>
      </c>
      <c r="D2258" s="6" t="s">
        <v>27241</v>
      </c>
      <c r="E2258" s="2">
        <v>2634853</v>
      </c>
      <c r="F2258" s="4" t="str">
        <f>IF(B2258=B2257,"",B2258)</f>
        <v>Walsall</v>
      </c>
    </row>
    <row r="2259" spans="1:6" ht="15.75" customHeight="1">
      <c r="A2259" s="5" t="str">
        <f ca="1">IFERROR(__xludf.DUMMYFUNCTION("GOOGLETRANSLATE(B30369,""en"",""pt"")"),"Walsall")</f>
        <v>Walsall</v>
      </c>
      <c r="B2259" s="17" t="s">
        <v>27724</v>
      </c>
      <c r="C2259" s="17" t="s">
        <v>27234</v>
      </c>
      <c r="D2259" s="17" t="s">
        <v>27241</v>
      </c>
      <c r="E2259" s="10">
        <v>2634853</v>
      </c>
      <c r="F2259" s="4" t="str">
        <f>IF(B2259=B2258,"",B2259)</f>
        <v/>
      </c>
    </row>
    <row r="2260" spans="1:6" ht="15.75" customHeight="1">
      <c r="A2260" s="5" t="s">
        <v>30290</v>
      </c>
      <c r="B2260" s="6" t="s">
        <v>30290</v>
      </c>
      <c r="C2260" s="5" t="s">
        <v>27788</v>
      </c>
      <c r="D2260" s="5" t="s">
        <v>27801</v>
      </c>
      <c r="E2260" s="2">
        <v>5407030</v>
      </c>
      <c r="F2260" s="4" t="str">
        <f>IF(B2260=B2259,"",B2260)</f>
        <v>Walnut Park</v>
      </c>
    </row>
    <row r="2261" spans="1:6" ht="15.75" customHeight="1">
      <c r="A2261" s="5" t="str">
        <f ca="1">IFERROR(__xludf.DUMMYFUNCTION("GOOGLETRANSLATE(B45068,""en"",""pt"")"),"Walnut Park")</f>
        <v>Walnut Park</v>
      </c>
      <c r="B2261" s="17" t="s">
        <v>30290</v>
      </c>
      <c r="C2261" s="17" t="s">
        <v>27788</v>
      </c>
      <c r="D2261" s="17" t="s">
        <v>27801</v>
      </c>
      <c r="E2261" s="10">
        <v>5407030</v>
      </c>
      <c r="F2261" s="4" t="str">
        <f>IF(B2261=B2260,"",B2261)</f>
        <v/>
      </c>
    </row>
    <row r="2262" spans="1:6" ht="15.75" customHeight="1">
      <c r="A2262" s="5" t="s">
        <v>4234</v>
      </c>
      <c r="B2262" s="6" t="s">
        <v>4235</v>
      </c>
      <c r="C2262" s="5" t="s">
        <v>3975</v>
      </c>
      <c r="D2262" s="5" t="s">
        <v>3976</v>
      </c>
      <c r="E2262" s="2">
        <v>7669012</v>
      </c>
      <c r="F2262" s="4" t="str">
        <f>IF(B2262=B2261,"",B2262)</f>
        <v>Walnut Grove</v>
      </c>
    </row>
    <row r="2263" spans="1:6" ht="15.75" customHeight="1">
      <c r="A2263" s="5" t="str">
        <f ca="1">IFERROR(__xludf.DUMMYFUNCTION("GOOGLETRANSLATE(B25638,""en"",""pt"")"),"Bosque de nogueira")</f>
        <v>Bosque de nogueira</v>
      </c>
      <c r="B2263" s="17" t="s">
        <v>4235</v>
      </c>
      <c r="C2263" s="17" t="s">
        <v>3975</v>
      </c>
      <c r="D2263" s="17" t="s">
        <v>3976</v>
      </c>
      <c r="E2263" s="10">
        <v>7669012</v>
      </c>
      <c r="F2263" s="4" t="str">
        <f>IF(B2263=B2262,"",B2263)</f>
        <v/>
      </c>
    </row>
    <row r="2264" spans="1:6" ht="15.75" customHeight="1">
      <c r="A2264" s="6" t="s">
        <v>27722</v>
      </c>
      <c r="B2264" s="6" t="s">
        <v>27723</v>
      </c>
      <c r="C2264" s="6" t="s">
        <v>27234</v>
      </c>
      <c r="D2264" s="6" t="s">
        <v>27241</v>
      </c>
      <c r="E2264" s="2">
        <v>2634864</v>
      </c>
      <c r="F2264" s="4" t="str">
        <f>IF(B2264=B2263,"",B2264)</f>
        <v>Wallsend</v>
      </c>
    </row>
    <row r="2265" spans="1:6" ht="15.75" customHeight="1">
      <c r="A2265" s="5" t="str">
        <f ca="1">IFERROR(__xludf.DUMMYFUNCTION("GOOGLETRANSLATE(B30370,""en"",""pt"")"),"WallSend")</f>
        <v>WallSend</v>
      </c>
      <c r="B2265" s="17" t="s">
        <v>27723</v>
      </c>
      <c r="C2265" s="17" t="s">
        <v>27234</v>
      </c>
      <c r="D2265" s="17" t="s">
        <v>27241</v>
      </c>
      <c r="E2265" s="10">
        <v>2634864</v>
      </c>
      <c r="F2265" s="4" t="str">
        <f>IF(B2265=B2264,"",B2265)</f>
        <v/>
      </c>
    </row>
    <row r="2266" spans="1:6" ht="15.75" customHeight="1">
      <c r="A2266" s="5" t="s">
        <v>30289</v>
      </c>
      <c r="B2266" s="6" t="s">
        <v>30289</v>
      </c>
      <c r="C2266" s="5" t="s">
        <v>27788</v>
      </c>
      <c r="D2266" s="5" t="s">
        <v>27876</v>
      </c>
      <c r="E2266" s="2">
        <v>7257422</v>
      </c>
      <c r="F2266" s="4" t="str">
        <f>IF(B2266=B2265,"",B2266)</f>
        <v>Wallingford Center</v>
      </c>
    </row>
    <row r="2267" spans="1:6" ht="15.75" customHeight="1">
      <c r="A2267" s="5" t="str">
        <f ca="1">IFERROR(__xludf.DUMMYFUNCTION("GOOGLETRANSLATE(B45427,""en"",""pt"")"),"Wallingford Center")</f>
        <v>Wallingford Center</v>
      </c>
      <c r="B2267" s="17" t="s">
        <v>30289</v>
      </c>
      <c r="C2267" s="17" t="s">
        <v>27788</v>
      </c>
      <c r="D2267" s="17" t="s">
        <v>27876</v>
      </c>
      <c r="E2267" s="10">
        <v>7257422</v>
      </c>
      <c r="F2267" s="4" t="str">
        <f>IF(B2267=B2266,"",B2267)</f>
        <v/>
      </c>
    </row>
    <row r="2268" spans="1:6" ht="15.75" customHeight="1">
      <c r="A2268" s="5" t="s">
        <v>9260</v>
      </c>
      <c r="B2268" s="6" t="s">
        <v>9260</v>
      </c>
      <c r="C2268" s="5" t="s">
        <v>8028</v>
      </c>
      <c r="D2268" s="5" t="s">
        <v>8034</v>
      </c>
      <c r="E2268" s="2">
        <v>2814632</v>
      </c>
      <c r="F2268" s="4" t="str">
        <f>IF(B2268=B2267,"",B2268)</f>
        <v>Wallenhorst</v>
      </c>
    </row>
    <row r="2269" spans="1:6" ht="15.75" customHeight="1">
      <c r="A2269" s="5" t="str">
        <f ca="1">IFERROR(__xludf.DUMMYFUNCTION("GOOGLETRANSLATE(B27430,""en"",""pt"")"),"Wallenhorst")</f>
        <v>Wallenhorst</v>
      </c>
      <c r="B2269" s="17" t="s">
        <v>9260</v>
      </c>
      <c r="C2269" s="17" t="s">
        <v>8028</v>
      </c>
      <c r="D2269" s="17" t="s">
        <v>8034</v>
      </c>
      <c r="E2269" s="10">
        <v>2814632</v>
      </c>
      <c r="F2269" s="4" t="str">
        <f>IF(B2269=B2268,"",B2269)</f>
        <v/>
      </c>
    </row>
    <row r="2270" spans="1:6" ht="15.75" customHeight="1">
      <c r="A2270" s="6" t="s">
        <v>27721</v>
      </c>
      <c r="B2270" s="6" t="s">
        <v>27721</v>
      </c>
      <c r="C2270" s="6" t="s">
        <v>27234</v>
      </c>
      <c r="D2270" s="6" t="s">
        <v>27241</v>
      </c>
      <c r="E2270" s="2">
        <v>2634873</v>
      </c>
      <c r="F2270" s="4" t="str">
        <f>IF(B2270=B2269,"",B2270)</f>
        <v>Wallasey</v>
      </c>
    </row>
    <row r="2271" spans="1:6" ht="15.75" customHeight="1">
      <c r="A2271" s="5" t="str">
        <f ca="1">IFERROR(__xludf.DUMMYFUNCTION("GOOGLETRANSLATE(B30371,""en"",""pt"")"),"Wallasey")</f>
        <v>Wallasey</v>
      </c>
      <c r="B2271" s="17" t="s">
        <v>27721</v>
      </c>
      <c r="C2271" s="17" t="s">
        <v>27234</v>
      </c>
      <c r="D2271" s="17" t="s">
        <v>27241</v>
      </c>
      <c r="E2271" s="10">
        <v>2634873</v>
      </c>
      <c r="F2271" s="4" t="str">
        <f>IF(B2271=B2270,"",B2271)</f>
        <v/>
      </c>
    </row>
    <row r="2272" spans="1:6" ht="15.75" customHeight="1">
      <c r="A2272" s="5" t="s">
        <v>30288</v>
      </c>
      <c r="B2272" s="6" t="s">
        <v>30288</v>
      </c>
      <c r="C2272" s="5" t="s">
        <v>27788</v>
      </c>
      <c r="D2272" s="5" t="s">
        <v>27733</v>
      </c>
      <c r="E2272" s="2">
        <v>5814916</v>
      </c>
      <c r="F2272" s="4" t="str">
        <f>IF(B2272=B2271,"",B2272)</f>
        <v>Walla Walla</v>
      </c>
    </row>
    <row r="2273" spans="1:6" ht="15.75" customHeight="1">
      <c r="A2273" s="5" t="str">
        <f ca="1">IFERROR(__xludf.DUMMYFUNCTION("GOOGLETRANSLATE(B45387,""en"",""pt"")"),"Walla Walla")</f>
        <v>Walla Walla</v>
      </c>
      <c r="B2273" s="17" t="s">
        <v>30288</v>
      </c>
      <c r="C2273" s="17" t="s">
        <v>27788</v>
      </c>
      <c r="D2273" s="17" t="s">
        <v>27733</v>
      </c>
      <c r="E2273" s="10">
        <v>5814916</v>
      </c>
      <c r="F2273" s="4" t="str">
        <f>IF(B2273=B2272,"",B2273)</f>
        <v/>
      </c>
    </row>
    <row r="2274" spans="1:6" ht="15.75" customHeight="1">
      <c r="A2274" s="6" t="s">
        <v>30286</v>
      </c>
      <c r="B2274" s="6" t="s">
        <v>30287</v>
      </c>
      <c r="C2274" s="6" t="s">
        <v>27788</v>
      </c>
      <c r="D2274" s="6" t="s">
        <v>27804</v>
      </c>
      <c r="E2274" s="2">
        <v>5013924</v>
      </c>
      <c r="F2274" s="4" t="str">
        <f>IF(B2274=B2273,"",B2274)</f>
        <v>Walker</v>
      </c>
    </row>
    <row r="2275" spans="1:6" ht="15.75" customHeight="1">
      <c r="A2275" s="5" t="str">
        <f ca="1">IFERROR(__xludf.DUMMYFUNCTION("GOOGLETRANSLATE(B44129,""en"",""pt"")"),"andador")</f>
        <v>andador</v>
      </c>
      <c r="B2275" s="17" t="s">
        <v>30287</v>
      </c>
      <c r="C2275" s="17" t="s">
        <v>27788</v>
      </c>
      <c r="D2275" s="17" t="s">
        <v>27804</v>
      </c>
      <c r="E2275" s="10">
        <v>5013924</v>
      </c>
      <c r="F2275" s="4" t="str">
        <f>IF(B2275=B2274,"",B2275)</f>
        <v/>
      </c>
    </row>
    <row r="2276" spans="1:6" ht="15.75" customHeight="1">
      <c r="A2276" s="6" t="s">
        <v>27719</v>
      </c>
      <c r="B2276" s="6" t="s">
        <v>27720</v>
      </c>
      <c r="C2276" s="6" t="s">
        <v>27234</v>
      </c>
      <c r="D2276" s="6" t="s">
        <v>27241</v>
      </c>
      <c r="E2276" s="2">
        <v>2634887</v>
      </c>
      <c r="F2276" s="4" t="str">
        <f>IF(B2276=B2275,"",B2276)</f>
        <v>Walkden</v>
      </c>
    </row>
    <row r="2277" spans="1:6" ht="15.75" customHeight="1">
      <c r="A2277" s="5" t="str">
        <f ca="1">IFERROR(__xludf.DUMMYFUNCTION("GOOGLETRANSLATE(B30372,""en"",""pt"")"),"Andando")</f>
        <v>Andando</v>
      </c>
      <c r="B2277" s="17" t="s">
        <v>27720</v>
      </c>
      <c r="C2277" s="17" t="s">
        <v>27234</v>
      </c>
      <c r="D2277" s="17" t="s">
        <v>27241</v>
      </c>
      <c r="E2277" s="10">
        <v>2634887</v>
      </c>
      <c r="F2277" s="4" t="str">
        <f>IF(B2277=B2276,"",B2277)</f>
        <v/>
      </c>
    </row>
    <row r="2278" spans="1:6" ht="15.75" customHeight="1">
      <c r="A2278" s="6" t="s">
        <v>6925</v>
      </c>
      <c r="B2278" s="6" t="s">
        <v>6925</v>
      </c>
      <c r="C2278" s="6" t="s">
        <v>6807</v>
      </c>
      <c r="D2278" s="6" t="s">
        <v>6814</v>
      </c>
      <c r="E2278" s="2">
        <v>336372</v>
      </c>
      <c r="F2278" s="4" t="str">
        <f>IF(B2278=B2277,"",B2278)</f>
        <v>Waliso</v>
      </c>
    </row>
    <row r="2279" spans="1:6" ht="15.75" customHeight="1">
      <c r="A2279" s="5" t="str">
        <f ca="1">IFERROR(__xludf.DUMMYFUNCTION("GOOGLETRANSLATE(B29551,""en"",""pt"")"),"Waliso")</f>
        <v>Waliso</v>
      </c>
      <c r="B2279" s="17" t="s">
        <v>6925</v>
      </c>
      <c r="C2279" s="17" t="s">
        <v>6807</v>
      </c>
      <c r="D2279" s="17" t="s">
        <v>6814</v>
      </c>
      <c r="E2279" s="10">
        <v>336372</v>
      </c>
      <c r="F2279" s="4" t="str">
        <f>IF(B2279=B2278,"",B2279)</f>
        <v/>
      </c>
    </row>
    <row r="2280" spans="1:6" ht="15.75" customHeight="1">
      <c r="A2280" s="5" t="str">
        <f ca="1">IFERROR(__xludf.DUMMYFUNCTION("GOOGLETRANSLATE(B38176,""en"",""pt"")"),"Wāling")</f>
        <v>Wāling</v>
      </c>
      <c r="B2280" s="17" t="s">
        <v>34822</v>
      </c>
      <c r="C2280" s="17" t="s">
        <v>18800</v>
      </c>
      <c r="D2280" s="17" t="s">
        <v>18803</v>
      </c>
      <c r="E2280" s="10">
        <v>1282616</v>
      </c>
      <c r="F2280" s="4" t="str">
        <f>IF(B2280=B2279,"",B2280)</f>
        <v>Wāling</v>
      </c>
    </row>
    <row r="2281" spans="1:6" ht="15.75" customHeight="1">
      <c r="A2281" s="5" t="s">
        <v>9259</v>
      </c>
      <c r="B2281" s="6" t="s">
        <v>9259</v>
      </c>
      <c r="C2281" s="5" t="s">
        <v>8028</v>
      </c>
      <c r="D2281" s="5" t="s">
        <v>8031</v>
      </c>
      <c r="E2281" s="2">
        <v>2814791</v>
      </c>
      <c r="F2281" s="4" t="str">
        <f>IF(B2281=B2280,"",B2281)</f>
        <v>Waldshut-Tiengen</v>
      </c>
    </row>
    <row r="2282" spans="1:6" ht="15.75" customHeight="1">
      <c r="A2282" s="5" t="str">
        <f ca="1">IFERROR(__xludf.DUMMYFUNCTION("GOOGLETRANSLATE(B27431,""en"",""pt"")"),"Waldshut-Tiengen")</f>
        <v>Waldshut-Tiengen</v>
      </c>
      <c r="B2282" s="17" t="s">
        <v>9259</v>
      </c>
      <c r="C2282" s="17" t="s">
        <v>8028</v>
      </c>
      <c r="D2282" s="17" t="s">
        <v>32013</v>
      </c>
      <c r="E2282" s="10">
        <v>2814791</v>
      </c>
      <c r="F2282" s="4" t="str">
        <f>IF(B2282=B2281,"",B2282)</f>
        <v/>
      </c>
    </row>
    <row r="2283" spans="1:6" ht="15.75" customHeight="1">
      <c r="A2283" s="6" t="s">
        <v>30285</v>
      </c>
      <c r="B2283" s="6" t="s">
        <v>30285</v>
      </c>
      <c r="C2283" s="6" t="s">
        <v>27788</v>
      </c>
      <c r="D2283" s="6" t="s">
        <v>17061</v>
      </c>
      <c r="E2283" s="2">
        <v>4372599</v>
      </c>
      <c r="F2283" s="4" t="str">
        <f>IF(B2283=B2282,"",B2283)</f>
        <v>Waldorf</v>
      </c>
    </row>
    <row r="2284" spans="1:6" ht="15.75" customHeight="1">
      <c r="A2284" s="5" t="str">
        <f ca="1">IFERROR(__xludf.DUMMYFUNCTION("GOOGLETRANSLATE(B43341,""en"",""pt"")"),"Waldorf")</f>
        <v>Waldorf</v>
      </c>
      <c r="B2284" s="17" t="s">
        <v>30285</v>
      </c>
      <c r="C2284" s="17" t="s">
        <v>27788</v>
      </c>
      <c r="D2284" s="17" t="s">
        <v>17061</v>
      </c>
      <c r="E2284" s="10">
        <v>4372599</v>
      </c>
      <c r="F2284" s="4" t="str">
        <f>IF(B2284=B2283,"",B2284)</f>
        <v/>
      </c>
    </row>
    <row r="2285" spans="1:6" ht="15.75" customHeight="1">
      <c r="A2285" s="5" t="s">
        <v>9258</v>
      </c>
      <c r="B2285" s="6" t="s">
        <v>9258</v>
      </c>
      <c r="C2285" s="5" t="s">
        <v>8028</v>
      </c>
      <c r="D2285" s="5" t="s">
        <v>8044</v>
      </c>
      <c r="E2285" s="2">
        <v>2814874</v>
      </c>
      <c r="F2285" s="4" t="str">
        <f>IF(B2285=B2284,"",B2285)</f>
        <v>Waldkraiburg</v>
      </c>
    </row>
    <row r="2286" spans="1:6" ht="15.75" customHeight="1">
      <c r="A2286" s="5" t="str">
        <f ca="1">IFERROR(__xludf.DUMMYFUNCTION("GOOGLETRANSLATE(B27432,""en"",""pt"")"),"Waldkraiburg")</f>
        <v>Waldkraiburg</v>
      </c>
      <c r="B2286" s="17" t="s">
        <v>9258</v>
      </c>
      <c r="C2286" s="17" t="s">
        <v>8028</v>
      </c>
      <c r="D2286" s="17" t="s">
        <v>8044</v>
      </c>
      <c r="E2286" s="10">
        <v>2814874</v>
      </c>
      <c r="F2286" s="4" t="str">
        <f>IF(B2286=B2285,"",B2286)</f>
        <v/>
      </c>
    </row>
    <row r="2287" spans="1:6" ht="15.75" customHeight="1">
      <c r="A2287" s="5" t="s">
        <v>9257</v>
      </c>
      <c r="B2287" s="6" t="s">
        <v>9257</v>
      </c>
      <c r="C2287" s="5" t="s">
        <v>8028</v>
      </c>
      <c r="D2287" s="5" t="s">
        <v>8031</v>
      </c>
      <c r="E2287" s="2">
        <v>2814883</v>
      </c>
      <c r="F2287" s="4" t="str">
        <f>IF(B2287=B2286,"",B2287)</f>
        <v>Waldkirch</v>
      </c>
    </row>
    <row r="2288" spans="1:6" ht="15.75" customHeight="1">
      <c r="A2288" s="5" t="str">
        <f ca="1">IFERROR(__xludf.DUMMYFUNCTION("GOOGLETRANSLATE(B27433,""en"",""pt"")"),"Waldkirch")</f>
        <v>Waldkirch</v>
      </c>
      <c r="B2288" s="17" t="s">
        <v>9257</v>
      </c>
      <c r="C2288" s="17" t="s">
        <v>8028</v>
      </c>
      <c r="D2288" s="17" t="s">
        <v>32013</v>
      </c>
      <c r="E2288" s="10">
        <v>2814883</v>
      </c>
      <c r="F2288" s="4" t="str">
        <f>IF(B2288=B2287,"",B2288)</f>
        <v/>
      </c>
    </row>
    <row r="2289" spans="1:6" ht="15.75" customHeight="1">
      <c r="A2289" s="5" t="str">
        <f ca="1">IFERROR(__xludf.DUMMYFUNCTION("GOOGLETRANSLATE(B27434,""en"",""pt"")"),"Waldbröl")</f>
        <v>Waldbröl</v>
      </c>
      <c r="B2289" s="17" t="s">
        <v>32019</v>
      </c>
      <c r="C2289" s="17" t="s">
        <v>8028</v>
      </c>
      <c r="D2289" s="17" t="s">
        <v>8029</v>
      </c>
      <c r="E2289" s="10">
        <v>2815137</v>
      </c>
      <c r="F2289" s="4" t="str">
        <f>IF(B2289=B2288,"",B2289)</f>
        <v>Waldbröl</v>
      </c>
    </row>
    <row r="2290" spans="1:6" ht="15.75" customHeight="1">
      <c r="A2290" s="6" t="s">
        <v>9255</v>
      </c>
      <c r="B2290" s="6" t="s">
        <v>9256</v>
      </c>
      <c r="C2290" s="6" t="s">
        <v>8028</v>
      </c>
      <c r="D2290" s="6" t="s">
        <v>8029</v>
      </c>
      <c r="E2290" s="2">
        <v>2815137</v>
      </c>
      <c r="F2290" s="4" t="str">
        <f>IF(B2290=B2289,"",B2290)</f>
        <v>WaldbrÃ¶l</v>
      </c>
    </row>
    <row r="2291" spans="1:6" ht="15.75" customHeight="1">
      <c r="A2291" s="5" t="str">
        <f ca="1">IFERROR(__xludf.DUMMYFUNCTION("GOOGLETRANSLATE(B39319,""en"",""pt"")"),"Wałcz")</f>
        <v>Wałcz</v>
      </c>
      <c r="B2291" s="17" t="s">
        <v>35150</v>
      </c>
      <c r="C2291" s="17" t="s">
        <v>21064</v>
      </c>
      <c r="D2291" s="17" t="s">
        <v>21121</v>
      </c>
      <c r="E2291" s="10">
        <v>3082704</v>
      </c>
      <c r="F2291" s="4" t="str">
        <f>IF(B2291=B2290,"",B2291)</f>
        <v>Wałcz</v>
      </c>
    </row>
    <row r="2292" spans="1:6" ht="15.75" customHeight="1">
      <c r="A2292" s="6" t="s">
        <v>1711</v>
      </c>
      <c r="B2292" s="6" t="s">
        <v>1711</v>
      </c>
      <c r="C2292" s="6" t="s">
        <v>1512</v>
      </c>
      <c r="D2292" s="6" t="s">
        <v>1518</v>
      </c>
      <c r="E2292" s="2">
        <v>2784189</v>
      </c>
      <c r="F2292" s="4" t="str">
        <f>IF(B2292=B2291,"",B2292)</f>
        <v>Walcourt</v>
      </c>
    </row>
    <row r="2293" spans="1:6" ht="15.75" customHeight="1">
      <c r="A2293" s="5" t="str">
        <f ca="1">IFERROR(__xludf.DUMMYFUNCTION("GOOGLETRANSLATE(B23809,""en"",""pt"")"),"Walcourt")</f>
        <v>Walcourt</v>
      </c>
      <c r="B2293" s="17" t="s">
        <v>1711</v>
      </c>
      <c r="C2293" s="17" t="s">
        <v>1512</v>
      </c>
      <c r="D2293" s="17" t="s">
        <v>1518</v>
      </c>
      <c r="E2293" s="10">
        <v>2784189</v>
      </c>
      <c r="F2293" s="4" t="str">
        <f>IF(B2293=B2292,"",B2293)</f>
        <v/>
      </c>
    </row>
    <row r="2294" spans="1:6" ht="15.75" customHeight="1">
      <c r="A2294" s="5" t="str">
        <f ca="1">IFERROR(__xludf.DUMMYFUNCTION("GOOGLETRANSLATE(B39320,""en"",""pt"")"),"Wałbrzych")</f>
        <v>Wałbrzych</v>
      </c>
      <c r="B2294" s="17" t="s">
        <v>35151</v>
      </c>
      <c r="C2294" s="17" t="s">
        <v>21064</v>
      </c>
      <c r="D2294" s="17" t="s">
        <v>21118</v>
      </c>
      <c r="E2294" s="10">
        <v>3082707</v>
      </c>
      <c r="F2294" s="4" t="str">
        <f>IF(B2294=B2293,"",B2294)</f>
        <v>Wałbrzych</v>
      </c>
    </row>
    <row r="2295" spans="1:6" ht="15.75" customHeight="1">
      <c r="A2295" s="5" t="s">
        <v>13763</v>
      </c>
      <c r="B2295" s="6" t="s">
        <v>13763</v>
      </c>
      <c r="C2295" s="5" t="s">
        <v>10178</v>
      </c>
      <c r="D2295" s="5" t="s">
        <v>10196</v>
      </c>
      <c r="E2295" s="2">
        <v>1252997</v>
      </c>
      <c r="F2295" s="4" t="str">
        <f>IF(B2295=B2294,"",B2295)</f>
        <v>Walajapet</v>
      </c>
    </row>
    <row r="2296" spans="1:6" ht="15.75" customHeight="1">
      <c r="A2296" s="5" t="str">
        <f ca="1">IFERROR(__xludf.DUMMYFUNCTION("GOOGLETRANSLATE(B31858,""en"",""pt"")"),"Walajapet")</f>
        <v>Walajapet</v>
      </c>
      <c r="B2296" s="17" t="s">
        <v>13763</v>
      </c>
      <c r="C2296" s="17" t="s">
        <v>10178</v>
      </c>
      <c r="D2296" s="17" t="s">
        <v>10196</v>
      </c>
      <c r="E2296" s="10">
        <v>1252997</v>
      </c>
      <c r="F2296" s="4" t="str">
        <f>IF(B2296=B2295,"",B2296)</f>
        <v/>
      </c>
    </row>
    <row r="2297" spans="1:6" ht="15.75" customHeight="1">
      <c r="A2297" s="6" t="s">
        <v>16571</v>
      </c>
      <c r="B2297" s="6" t="s">
        <v>16571</v>
      </c>
      <c r="C2297" s="6" t="s">
        <v>15704</v>
      </c>
      <c r="D2297" s="6" t="s">
        <v>15764</v>
      </c>
      <c r="E2297" s="2">
        <v>2110596</v>
      </c>
      <c r="F2297" s="4" t="str">
        <f>IF(B2297=B2296,"",B2297)</f>
        <v>Wakuya</v>
      </c>
    </row>
    <row r="2298" spans="1:6" ht="15.75" customHeight="1">
      <c r="A2298" s="5" t="str">
        <f ca="1">IFERROR(__xludf.DUMMYFUNCTION("GOOGLETRANSLATE(B35717,""en"",""pt"")"),"Wakuya")</f>
        <v>Wakuya</v>
      </c>
      <c r="B2298" s="17" t="s">
        <v>16571</v>
      </c>
      <c r="C2298" s="17" t="s">
        <v>15704</v>
      </c>
      <c r="D2298" s="17" t="s">
        <v>15764</v>
      </c>
      <c r="E2298" s="10">
        <v>2110596</v>
      </c>
      <c r="F2298" s="4" t="str">
        <f>IF(B2298=B2297,"",B2298)</f>
        <v/>
      </c>
    </row>
    <row r="2299" spans="1:6" ht="15.75" customHeight="1">
      <c r="A2299" s="6" t="s">
        <v>16570</v>
      </c>
      <c r="B2299" s="6" t="s">
        <v>16570</v>
      </c>
      <c r="C2299" s="6" t="s">
        <v>15704</v>
      </c>
      <c r="D2299" s="6" t="s">
        <v>15710</v>
      </c>
      <c r="E2299" s="2">
        <v>1907300</v>
      </c>
      <c r="F2299" s="4" t="str">
        <f>IF(B2299=B2298,"",B2299)</f>
        <v>Wako</v>
      </c>
    </row>
    <row r="2300" spans="1:6" ht="15.75" customHeight="1">
      <c r="A2300" s="5" t="str">
        <f ca="1">IFERROR(__xludf.DUMMYFUNCTION("GOOGLETRANSLATE(B35693,""en"",""pt"")"),"Wako")</f>
        <v>Wako</v>
      </c>
      <c r="B2300" s="17" t="s">
        <v>16570</v>
      </c>
      <c r="C2300" s="17" t="s">
        <v>15704</v>
      </c>
      <c r="D2300" s="17" t="s">
        <v>15710</v>
      </c>
      <c r="E2300" s="10">
        <v>1907300</v>
      </c>
      <c r="F2300" s="4" t="str">
        <f>IF(B2300=B2299,"",B2300)</f>
        <v/>
      </c>
    </row>
    <row r="2301" spans="1:6" ht="15.75" customHeight="1">
      <c r="A2301" s="6" t="s">
        <v>16569</v>
      </c>
      <c r="B2301" s="6" t="s">
        <v>16569</v>
      </c>
      <c r="C2301" s="6" t="s">
        <v>15704</v>
      </c>
      <c r="D2301" s="6" t="s">
        <v>15705</v>
      </c>
      <c r="E2301" s="2">
        <v>2127515</v>
      </c>
      <c r="F2301" s="4" t="str">
        <f>IF(B2301=B2300,"",B2301)</f>
        <v>Wakkanai</v>
      </c>
    </row>
    <row r="2302" spans="1:6" ht="15.75" customHeight="1">
      <c r="A2302" s="5" t="str">
        <f ca="1">IFERROR(__xludf.DUMMYFUNCTION("GOOGLETRANSLATE(B35816,""en"",""pt"")"),"Wakkanai")</f>
        <v>Wakkanai</v>
      </c>
      <c r="B2302" s="17" t="s">
        <v>16569</v>
      </c>
      <c r="C2302" s="17" t="s">
        <v>15704</v>
      </c>
      <c r="D2302" s="17" t="s">
        <v>15705</v>
      </c>
      <c r="E2302" s="10">
        <v>2127515</v>
      </c>
      <c r="F2302" s="4" t="str">
        <f>IF(B2302=B2301,"",B2302)</f>
        <v/>
      </c>
    </row>
    <row r="2303" spans="1:6" ht="15.75" customHeight="1">
      <c r="A2303" s="6" t="s">
        <v>26865</v>
      </c>
      <c r="B2303" s="6" t="s">
        <v>26865</v>
      </c>
      <c r="C2303" s="6" t="s">
        <v>26820</v>
      </c>
      <c r="D2303" s="6" t="s">
        <v>17414</v>
      </c>
      <c r="E2303" s="2">
        <v>225964</v>
      </c>
      <c r="F2303" s="4" t="str">
        <f>IF(B2303=B2302,"",B2303)</f>
        <v>Wakiso</v>
      </c>
    </row>
    <row r="2304" spans="1:6" ht="15.75" customHeight="1">
      <c r="A2304" s="5" t="str">
        <f ca="1">IFERROR(__xludf.DUMMYFUNCTION("GOOGLETRANSLATE(B42725,""en"",""pt"")"),"Wakiso")</f>
        <v>Wakiso</v>
      </c>
      <c r="B2304" s="17" t="s">
        <v>26865</v>
      </c>
      <c r="C2304" s="17" t="s">
        <v>26820</v>
      </c>
      <c r="D2304" s="17" t="s">
        <v>17414</v>
      </c>
      <c r="E2304" s="10">
        <v>225964</v>
      </c>
      <c r="F2304" s="4" t="str">
        <f>IF(B2304=B2303,"",B2304)</f>
        <v/>
      </c>
    </row>
    <row r="2305" spans="1:6" ht="15.75" customHeight="1">
      <c r="A2305" s="5" t="s">
        <v>16568</v>
      </c>
      <c r="B2305" s="6" t="s">
        <v>16568</v>
      </c>
      <c r="C2305" s="5" t="s">
        <v>15704</v>
      </c>
      <c r="D2305" s="5" t="s">
        <v>15726</v>
      </c>
      <c r="E2305" s="2">
        <v>1848933</v>
      </c>
      <c r="F2305" s="4" t="str">
        <f>IF(B2305=B2304,"",B2305)</f>
        <v>Wakimachi</v>
      </c>
    </row>
    <row r="2306" spans="1:6" ht="15.75" customHeight="1">
      <c r="A2306" s="5" t="str">
        <f ca="1">IFERROR(__xludf.DUMMYFUNCTION("GOOGLETRANSLATE(B35182,""en"",""pt"")"),"Wakimachi")</f>
        <v>Wakimachi</v>
      </c>
      <c r="B2306" s="17" t="s">
        <v>16568</v>
      </c>
      <c r="C2306" s="17" t="s">
        <v>15704</v>
      </c>
      <c r="D2306" s="17" t="s">
        <v>15726</v>
      </c>
      <c r="E2306" s="10">
        <v>1848933</v>
      </c>
      <c r="F2306" s="4" t="str">
        <f>IF(B2306=B2305,"",B2306)</f>
        <v/>
      </c>
    </row>
    <row r="2307" spans="1:6" ht="15.75" customHeight="1">
      <c r="A2307" s="6" t="s">
        <v>18768</v>
      </c>
      <c r="B2307" s="6" t="s">
        <v>18768</v>
      </c>
      <c r="C2307" s="6" t="s">
        <v>18696</v>
      </c>
      <c r="D2307" s="6" t="s">
        <v>18700</v>
      </c>
      <c r="E2307" s="2">
        <v>1289828</v>
      </c>
      <c r="F2307" s="4" t="str">
        <f>IF(B2307=B2306,"",B2307)</f>
        <v>Wakema</v>
      </c>
    </row>
    <row r="2308" spans="1:6" ht="15.75" customHeight="1">
      <c r="A2308" s="5" t="str">
        <f ca="1">IFERROR(__xludf.DUMMYFUNCTION("GOOGLETRANSLATE(B36701,""en"",""pt"")"),"Wakema")</f>
        <v>Wakema</v>
      </c>
      <c r="B2308" s="17" t="s">
        <v>18768</v>
      </c>
      <c r="C2308" s="17" t="s">
        <v>18696</v>
      </c>
      <c r="D2308" s="17" t="s">
        <v>18700</v>
      </c>
      <c r="E2308" s="10">
        <v>1289828</v>
      </c>
      <c r="F2308" s="4" t="str">
        <f>IF(B2308=B2307,"",B2308)</f>
        <v/>
      </c>
    </row>
    <row r="2309" spans="1:6" ht="15.75" customHeight="1">
      <c r="A2309" s="5" t="s">
        <v>27718</v>
      </c>
      <c r="B2309" s="6" t="s">
        <v>27718</v>
      </c>
      <c r="C2309" s="5" t="s">
        <v>27234</v>
      </c>
      <c r="D2309" s="5" t="s">
        <v>27241</v>
      </c>
      <c r="E2309" s="2">
        <v>2634910</v>
      </c>
      <c r="F2309" s="4" t="str">
        <f>IF(B2309=B2308,"",B2309)</f>
        <v>Wakefield</v>
      </c>
    </row>
    <row r="2310" spans="1:6" ht="15.75" customHeight="1">
      <c r="A2310" s="5" t="s">
        <v>27718</v>
      </c>
      <c r="B2310" s="6" t="s">
        <v>27718</v>
      </c>
      <c r="C2310" s="5" t="s">
        <v>27788</v>
      </c>
      <c r="D2310" s="5" t="s">
        <v>27794</v>
      </c>
      <c r="E2310" s="2">
        <v>4954265</v>
      </c>
      <c r="F2310" s="4" t="str">
        <f>IF(B2310=B2309,"",B2310)</f>
        <v/>
      </c>
    </row>
    <row r="2311" spans="1:6" ht="15.75" customHeight="1">
      <c r="A2311" s="5" t="str">
        <f ca="1">IFERROR(__xludf.DUMMYFUNCTION("GOOGLETRANSLATE(B30373,""en"",""pt"")"),"Wakefield")</f>
        <v>Wakefield</v>
      </c>
      <c r="B2311" s="17" t="s">
        <v>27718</v>
      </c>
      <c r="C2311" s="17" t="s">
        <v>27234</v>
      </c>
      <c r="D2311" s="17" t="s">
        <v>27241</v>
      </c>
      <c r="E2311" s="10">
        <v>2634910</v>
      </c>
      <c r="F2311" s="4" t="str">
        <f>IF(B2311=B2310,"",B2311)</f>
        <v/>
      </c>
    </row>
    <row r="2312" spans="1:6" ht="15.75" customHeight="1">
      <c r="A2312" s="5" t="str">
        <f ca="1">IFERROR(__xludf.DUMMYFUNCTION("GOOGLETRANSLATE(B44036,""en"",""pt"")"),"Wakefield")</f>
        <v>Wakefield</v>
      </c>
      <c r="B2312" s="17" t="s">
        <v>27718</v>
      </c>
      <c r="C2312" s="17" t="s">
        <v>27788</v>
      </c>
      <c r="D2312" s="17" t="s">
        <v>27794</v>
      </c>
      <c r="E2312" s="10">
        <v>4954265</v>
      </c>
      <c r="F2312" s="4" t="str">
        <f>IF(B2312=B2311,"",B2312)</f>
        <v/>
      </c>
    </row>
    <row r="2313" spans="1:6" ht="15.75" customHeight="1">
      <c r="A2313" s="5" t="s">
        <v>30284</v>
      </c>
      <c r="B2313" s="6" t="s">
        <v>30284</v>
      </c>
      <c r="C2313" s="5" t="s">
        <v>27788</v>
      </c>
      <c r="D2313" s="5" t="s">
        <v>27822</v>
      </c>
      <c r="E2313" s="2">
        <v>4497290</v>
      </c>
      <c r="F2313" s="4" t="str">
        <f>IF(B2313=B2312,"",B2313)</f>
        <v>Wake Forest</v>
      </c>
    </row>
    <row r="2314" spans="1:6" ht="15.75" customHeight="1">
      <c r="A2314" s="5" t="str">
        <f ca="1">IFERROR(__xludf.DUMMYFUNCTION("GOOGLETRANSLATE(B43481,""en"",""pt"")"),"Wake Forest")</f>
        <v>Wake Forest</v>
      </c>
      <c r="B2314" s="17" t="s">
        <v>30284</v>
      </c>
      <c r="C2314" s="17" t="s">
        <v>27788</v>
      </c>
      <c r="D2314" s="17" t="s">
        <v>27822</v>
      </c>
      <c r="E2314" s="10">
        <v>4497290</v>
      </c>
      <c r="F2314" s="4" t="str">
        <f>IF(B2314=B2313,"",B2314)</f>
        <v/>
      </c>
    </row>
    <row r="2315" spans="1:6" ht="15.75" customHeight="1">
      <c r="A2315" s="5" t="s">
        <v>15902</v>
      </c>
      <c r="B2315" s="6" t="s">
        <v>15902</v>
      </c>
      <c r="C2315" s="5" t="s">
        <v>15704</v>
      </c>
      <c r="D2315" s="5" t="s">
        <v>15902</v>
      </c>
      <c r="E2315" s="2">
        <v>1926004</v>
      </c>
      <c r="F2315" s="4" t="str">
        <f>IF(B2315=B2314,"",B2315)</f>
        <v>Wakayama</v>
      </c>
    </row>
    <row r="2316" spans="1:6" ht="15.75" customHeight="1">
      <c r="A2316" s="5" t="str">
        <f ca="1">IFERROR(__xludf.DUMMYFUNCTION("GOOGLETRANSLATE(B35697,""en"",""pt"")"),"Wakayama")</f>
        <v>Wakayama</v>
      </c>
      <c r="B2316" s="17" t="s">
        <v>15902</v>
      </c>
      <c r="C2316" s="17" t="s">
        <v>15704</v>
      </c>
      <c r="D2316" s="17" t="s">
        <v>15902</v>
      </c>
      <c r="E2316" s="10">
        <v>1926004</v>
      </c>
      <c r="F2316" s="4" t="str">
        <f>IF(B2316=B2315,"",B2316)</f>
        <v/>
      </c>
    </row>
    <row r="2317" spans="1:6" ht="15.75" customHeight="1">
      <c r="A2317" s="6" t="s">
        <v>16845</v>
      </c>
      <c r="B2317" s="6" t="s">
        <v>16845</v>
      </c>
      <c r="C2317" s="6" t="s">
        <v>16781</v>
      </c>
      <c r="D2317" s="6" t="s">
        <v>16845</v>
      </c>
      <c r="E2317" s="2">
        <v>178443</v>
      </c>
      <c r="F2317" s="4" t="str">
        <f>IF(B2317=B2316,"",B2317)</f>
        <v>Wajir</v>
      </c>
    </row>
    <row r="2318" spans="1:6" ht="15.75" customHeight="1">
      <c r="A2318" s="5" t="str">
        <f ca="1">IFERROR(__xludf.DUMMYFUNCTION("GOOGLETRANSLATE(B35885,""en"",""pt"")"),"Wajir")</f>
        <v>Wajir</v>
      </c>
      <c r="B2318" s="17" t="s">
        <v>16845</v>
      </c>
      <c r="C2318" s="17" t="s">
        <v>16781</v>
      </c>
      <c r="D2318" s="17" t="s">
        <v>16845</v>
      </c>
      <c r="E2318" s="10">
        <v>178443</v>
      </c>
      <c r="F2318" s="4" t="str">
        <f>IF(B2318=B2317,"",B2318)</f>
        <v/>
      </c>
    </row>
    <row r="2319" spans="1:6" ht="15.75" customHeight="1">
      <c r="A2319" s="5" t="s">
        <v>19211</v>
      </c>
      <c r="B2319" s="6" t="s">
        <v>19211</v>
      </c>
      <c r="C2319" s="5" t="s">
        <v>19169</v>
      </c>
      <c r="D2319" s="5" t="s">
        <v>19171</v>
      </c>
      <c r="E2319" s="2">
        <v>7302484</v>
      </c>
      <c r="F2319" s="4" t="str">
        <f>IF(B2319=B2318,"",B2319)</f>
        <v>Waitakere</v>
      </c>
    </row>
    <row r="2320" spans="1:6" ht="15.75" customHeight="1">
      <c r="A2320" s="5" t="str">
        <f ca="1">IFERROR(__xludf.DUMMYFUNCTION("GOOGLETRANSLATE(B38251,""en"",""pt"")"),"Waitakere")</f>
        <v>Waitakere</v>
      </c>
      <c r="B2320" s="17" t="s">
        <v>19211</v>
      </c>
      <c r="C2320" s="17" t="s">
        <v>19169</v>
      </c>
      <c r="D2320" s="17" t="s">
        <v>19171</v>
      </c>
      <c r="E2320" s="10">
        <v>7302484</v>
      </c>
      <c r="F2320" s="4" t="str">
        <f>IF(B2320=B2319,"",B2320)</f>
        <v/>
      </c>
    </row>
    <row r="2321" spans="1:6" ht="15.75" customHeight="1">
      <c r="A2321" s="6" t="s">
        <v>30283</v>
      </c>
      <c r="B2321" s="6" t="s">
        <v>30283</v>
      </c>
      <c r="C2321" s="6" t="s">
        <v>27788</v>
      </c>
      <c r="D2321" s="6" t="s">
        <v>27789</v>
      </c>
      <c r="E2321" s="2">
        <v>5854686</v>
      </c>
      <c r="F2321" s="4" t="str">
        <f>IF(B2321=B2320,"",B2321)</f>
        <v>Waipahu</v>
      </c>
    </row>
    <row r="2322" spans="1:6" ht="15.75" customHeight="1">
      <c r="A2322" s="5" t="str">
        <f ca="1">IFERROR(__xludf.DUMMYFUNCTION("GOOGLETRANSLATE(B45409,""en"",""pt"")"),"Waipahu")</f>
        <v>Waipahu</v>
      </c>
      <c r="B2322" s="17" t="s">
        <v>30283</v>
      </c>
      <c r="C2322" s="17" t="s">
        <v>27788</v>
      </c>
      <c r="D2322" s="17" t="s">
        <v>27789</v>
      </c>
      <c r="E2322" s="10">
        <v>5854686</v>
      </c>
      <c r="F2322" s="4" t="str">
        <f>IF(B2322=B2321,"",B2322)</f>
        <v/>
      </c>
    </row>
    <row r="2323" spans="1:6" ht="15.75" customHeight="1">
      <c r="A2323" s="5" t="s">
        <v>14223</v>
      </c>
      <c r="B2323" s="6" t="s">
        <v>14223</v>
      </c>
      <c r="C2323" s="5" t="s">
        <v>13800</v>
      </c>
      <c r="D2323" s="5" t="s">
        <v>13814</v>
      </c>
      <c r="E2323" s="2">
        <v>1622318</v>
      </c>
      <c r="F2323" s="4" t="str">
        <f>IF(B2323=B2322,"",B2323)</f>
        <v>Waingapu</v>
      </c>
    </row>
    <row r="2324" spans="1:6" ht="15.75" customHeight="1">
      <c r="A2324" s="5" t="str">
        <f ca="1">IFERROR(__xludf.DUMMYFUNCTION("GOOGLETRANSLATE(B31396,""en"",""pt"")"),"Waingapu")</f>
        <v>Waingapu</v>
      </c>
      <c r="B2324" s="17" t="s">
        <v>14223</v>
      </c>
      <c r="C2324" s="17" t="s">
        <v>13800</v>
      </c>
      <c r="D2324" s="17" t="s">
        <v>13814</v>
      </c>
      <c r="E2324" s="10">
        <v>1622318</v>
      </c>
      <c r="F2324" s="4" t="str">
        <f>IF(B2324=B2323,"",B2324)</f>
        <v/>
      </c>
    </row>
    <row r="2325" spans="1:6" ht="15.75" customHeight="1">
      <c r="A2325" s="6" t="s">
        <v>30282</v>
      </c>
      <c r="B2325" s="6" t="s">
        <v>30282</v>
      </c>
      <c r="C2325" s="6" t="s">
        <v>27788</v>
      </c>
      <c r="D2325" s="6" t="s">
        <v>27789</v>
      </c>
      <c r="E2325" s="2">
        <v>5854496</v>
      </c>
      <c r="F2325" s="4" t="str">
        <f>IF(B2325=B2324,"",B2325)</f>
        <v>Wailuku</v>
      </c>
    </row>
    <row r="2326" spans="1:6" ht="15.75" customHeight="1">
      <c r="A2326" s="5" t="str">
        <f ca="1">IFERROR(__xludf.DUMMYFUNCTION("GOOGLETRANSLATE(B45408,""en"",""pt"")"),"Wailuku")</f>
        <v>Wailuku</v>
      </c>
      <c r="B2326" s="17" t="s">
        <v>30282</v>
      </c>
      <c r="C2326" s="17" t="s">
        <v>27788</v>
      </c>
      <c r="D2326" s="17" t="s">
        <v>27789</v>
      </c>
      <c r="E2326" s="10">
        <v>5854496</v>
      </c>
      <c r="F2326" s="4" t="str">
        <f>IF(B2326=B2325,"",B2326)</f>
        <v/>
      </c>
    </row>
    <row r="2327" spans="1:6" ht="15.75" customHeight="1">
      <c r="A2327" s="5" t="s">
        <v>9254</v>
      </c>
      <c r="B2327" s="6" t="s">
        <v>9254</v>
      </c>
      <c r="C2327" s="5" t="s">
        <v>8028</v>
      </c>
      <c r="D2327" s="5" t="s">
        <v>8031</v>
      </c>
      <c r="E2327" s="2">
        <v>2815330</v>
      </c>
      <c r="F2327" s="4" t="str">
        <f>IF(B2327=B2326,"",B2327)</f>
        <v>Waiblingen</v>
      </c>
    </row>
    <row r="2328" spans="1:6" ht="15.75" customHeight="1">
      <c r="A2328" s="5" t="str">
        <f ca="1">IFERROR(__xludf.DUMMYFUNCTION("GOOGLETRANSLATE(B27435,""en"",""pt"")"),"Waiblingen")</f>
        <v>Waiblingen</v>
      </c>
      <c r="B2328" s="17" t="s">
        <v>9254</v>
      </c>
      <c r="C2328" s="17" t="s">
        <v>8028</v>
      </c>
      <c r="D2328" s="17" t="s">
        <v>32013</v>
      </c>
      <c r="E2328" s="10">
        <v>2815330</v>
      </c>
      <c r="F2328" s="4" t="str">
        <f>IF(B2328=B2327,"",B2328)</f>
        <v/>
      </c>
    </row>
    <row r="2329" spans="1:6" ht="15.75" customHeight="1">
      <c r="A2329" s="6" t="s">
        <v>13762</v>
      </c>
      <c r="B2329" s="6" t="s">
        <v>13762</v>
      </c>
      <c r="C2329" s="6" t="s">
        <v>10178</v>
      </c>
      <c r="D2329" s="6" t="s">
        <v>10214</v>
      </c>
      <c r="E2329" s="2">
        <v>1253013</v>
      </c>
      <c r="F2329" s="4" t="str">
        <f>IF(B2329=B2328,"",B2329)</f>
        <v>Wai</v>
      </c>
    </row>
    <row r="2330" spans="1:6" ht="15.75" customHeight="1">
      <c r="A2330" s="5" t="str">
        <f ca="1">IFERROR(__xludf.DUMMYFUNCTION("GOOGLETRANSLATE(B31859,""en"",""pt"")"),"Wai")</f>
        <v>Wai</v>
      </c>
      <c r="B2330" s="17" t="s">
        <v>13762</v>
      </c>
      <c r="C2330" s="17" t="s">
        <v>10178</v>
      </c>
      <c r="D2330" s="17" t="s">
        <v>10214</v>
      </c>
      <c r="E2330" s="10">
        <v>1253013</v>
      </c>
      <c r="F2330" s="4" t="str">
        <f>IF(B2330=B2329,"",B2330)</f>
        <v/>
      </c>
    </row>
    <row r="2331" spans="1:6" ht="15.75" customHeight="1">
      <c r="A2331" s="6" t="s">
        <v>30280</v>
      </c>
      <c r="B2331" s="6" t="s">
        <v>30281</v>
      </c>
      <c r="C2331" s="6" t="s">
        <v>27788</v>
      </c>
      <c r="D2331" s="6" t="s">
        <v>27789</v>
      </c>
      <c r="E2331" s="2">
        <v>5853992</v>
      </c>
      <c r="F2331" s="4" t="str">
        <f>IF(B2331=B2330,"",B2331)</f>
        <v>WahiawÄ</v>
      </c>
    </row>
    <row r="2332" spans="1:6" ht="15.75" customHeight="1">
      <c r="A2332" s="5" t="str">
        <f ca="1">IFERROR(__xludf.DUMMYFUNCTION("GOOGLETRANSLATE(B45407,""en"",""pt"")"),"Wahiawā")</f>
        <v>Wahiawā</v>
      </c>
      <c r="B2332" s="17" t="s">
        <v>36054</v>
      </c>
      <c r="C2332" s="17" t="s">
        <v>27788</v>
      </c>
      <c r="D2332" s="17" t="s">
        <v>27789</v>
      </c>
      <c r="E2332" s="10">
        <v>5853992</v>
      </c>
      <c r="F2332" s="4" t="str">
        <f>IF(B2332=B2331,"",B2332)</f>
        <v>Wahiawā</v>
      </c>
    </row>
    <row r="2333" spans="1:6" ht="15.75" customHeight="1">
      <c r="A2333" s="5" t="str">
        <f ca="1">IFERROR(__xludf.DUMMYFUNCTION("GOOGLETRANSLATE(B39321,""en"",""pt"")"),"Wągrowiec")</f>
        <v>Wągrowiec</v>
      </c>
      <c r="B2333" s="17" t="s">
        <v>35152</v>
      </c>
      <c r="C2333" s="17" t="s">
        <v>21064</v>
      </c>
      <c r="D2333" s="17" t="s">
        <v>21112</v>
      </c>
      <c r="E2333" s="10">
        <v>3082712</v>
      </c>
      <c r="F2333" s="4" t="str">
        <f>IF(B2333=B2332,"",B2333)</f>
        <v>Wągrowiec</v>
      </c>
    </row>
    <row r="2334" spans="1:6" ht="15.75" customHeight="1">
      <c r="A2334" s="5" t="str">
        <f ca="1">IFERROR(__xludf.DUMMYFUNCTION("GOOGLETRANSLATE(B27436,""en"",""pt"")"),"Waghäusel")</f>
        <v>Waghäusel</v>
      </c>
      <c r="B2334" s="17" t="s">
        <v>32020</v>
      </c>
      <c r="C2334" s="17" t="s">
        <v>8028</v>
      </c>
      <c r="D2334" s="17" t="s">
        <v>32013</v>
      </c>
      <c r="E2334" s="10">
        <v>2815487</v>
      </c>
      <c r="F2334" s="4" t="str">
        <f>IF(B2334=B2333,"",B2334)</f>
        <v>Waghäusel</v>
      </c>
    </row>
    <row r="2335" spans="1:6" ht="15.75" customHeight="1">
      <c r="A2335" s="5" t="s">
        <v>9252</v>
      </c>
      <c r="B2335" s="6" t="s">
        <v>9253</v>
      </c>
      <c r="C2335" s="5" t="s">
        <v>8028</v>
      </c>
      <c r="D2335" s="5" t="s">
        <v>8031</v>
      </c>
      <c r="E2335" s="2">
        <v>2815487</v>
      </c>
      <c r="F2335" s="4" t="str">
        <f>IF(B2335=B2334,"",B2335)</f>
        <v>WaghÃ¤usel</v>
      </c>
    </row>
    <row r="2336" spans="1:6" ht="15.75" customHeight="1">
      <c r="A2336" s="5" t="s">
        <v>1103</v>
      </c>
      <c r="B2336" s="6" t="s">
        <v>1103</v>
      </c>
      <c r="C2336" s="5" t="s">
        <v>885</v>
      </c>
      <c r="D2336" s="5" t="s">
        <v>891</v>
      </c>
      <c r="E2336" s="2">
        <v>2145110</v>
      </c>
      <c r="F2336" s="4" t="str">
        <f>IF(B2336=B2335,"",B2336)</f>
        <v>Wagga Wagga</v>
      </c>
    </row>
    <row r="2337" spans="1:6" ht="15.75" customHeight="1">
      <c r="A2337" s="5" t="str">
        <f ca="1">IFERROR(__xludf.DUMMYFUNCTION("GOOGLETRANSLATE(B23435,""en"",""pt"")"),"Wagga Wagga")</f>
        <v>Wagga Wagga</v>
      </c>
      <c r="B2337" s="17" t="s">
        <v>1103</v>
      </c>
      <c r="C2337" s="17" t="s">
        <v>885</v>
      </c>
      <c r="D2337" s="17" t="s">
        <v>891</v>
      </c>
      <c r="E2337" s="10">
        <v>2145110</v>
      </c>
      <c r="F2337" s="4" t="str">
        <f>IF(B2337=B2336,"",B2337)</f>
        <v/>
      </c>
    </row>
    <row r="2338" spans="1:6" ht="15.75" customHeight="1">
      <c r="A2338" s="5" t="s">
        <v>19133</v>
      </c>
      <c r="B2338" s="6" t="s">
        <v>19133</v>
      </c>
      <c r="C2338" s="5" t="s">
        <v>18862</v>
      </c>
      <c r="D2338" s="5" t="s">
        <v>18865</v>
      </c>
      <c r="E2338" s="2">
        <v>2745088</v>
      </c>
      <c r="F2338" s="4" t="str">
        <f>IF(B2338=B2337,"",B2338)</f>
        <v>Wageningen</v>
      </c>
    </row>
    <row r="2339" spans="1:6" ht="15.75" customHeight="1">
      <c r="A2339" s="5" t="str">
        <f ca="1">IFERROR(__xludf.DUMMYFUNCTION("GOOGLETRANSLATE(B37911,""en"",""pt"")"),"Wageningen")</f>
        <v>Wageningen</v>
      </c>
      <c r="B2339" s="17" t="s">
        <v>19133</v>
      </c>
      <c r="C2339" s="17" t="s">
        <v>18862</v>
      </c>
      <c r="D2339" s="17" t="s">
        <v>18865</v>
      </c>
      <c r="E2339" s="10">
        <v>2745088</v>
      </c>
      <c r="F2339" s="4" t="str">
        <f>IF(B2339=B2338,"",B2339)</f>
        <v/>
      </c>
    </row>
    <row r="2340" spans="1:6" ht="15.75" customHeight="1">
      <c r="A2340" s="5" t="s">
        <v>5143</v>
      </c>
      <c r="B2340" s="6" t="s">
        <v>5143</v>
      </c>
      <c r="C2340" s="5" t="s">
        <v>4487</v>
      </c>
      <c r="D2340" s="5" t="s">
        <v>4505</v>
      </c>
      <c r="E2340" s="2">
        <v>1792260</v>
      </c>
      <c r="F2340" s="4" t="str">
        <f>IF(B2340=B2339,"",B2340)</f>
        <v>Wafangdian</v>
      </c>
    </row>
    <row r="2341" spans="1:6" ht="15.75" customHeight="1">
      <c r="A2341" s="5" t="str">
        <f ca="1">IFERROR(__xludf.DUMMYFUNCTION("GOOGLETRANSLATE(B26225,""en"",""pt"")"),"Wafangdian")</f>
        <v>Wafangdian</v>
      </c>
      <c r="B2341" s="17" t="s">
        <v>5143</v>
      </c>
      <c r="C2341" s="17" t="s">
        <v>4487</v>
      </c>
      <c r="D2341" s="17" t="s">
        <v>4505</v>
      </c>
      <c r="E2341" s="10">
        <v>1792260</v>
      </c>
      <c r="F2341" s="4" t="str">
        <f>IF(B2341=B2340,"",B2341)</f>
        <v/>
      </c>
    </row>
    <row r="2342" spans="1:6" ht="15.75" customHeight="1">
      <c r="A2342" s="5" t="s">
        <v>24162</v>
      </c>
      <c r="B2342" s="6" t="s">
        <v>24162</v>
      </c>
      <c r="C2342" s="5" t="s">
        <v>24024</v>
      </c>
      <c r="D2342" s="5" t="s">
        <v>24025</v>
      </c>
      <c r="E2342" s="2">
        <v>1833514</v>
      </c>
      <c r="F2342" s="4" t="str">
        <f>IF(B2342=B2341,"",B2342)</f>
        <v>Waegwan</v>
      </c>
    </row>
    <row r="2343" spans="1:6" ht="15.75" customHeight="1">
      <c r="A2343" s="5" t="str">
        <f ca="1">IFERROR(__xludf.DUMMYFUNCTION("GOOGLETRANSLATE(B36061,""en"",""pt"")"),"Waegwan")</f>
        <v>Waegwan</v>
      </c>
      <c r="B2343" s="17" t="s">
        <v>24162</v>
      </c>
      <c r="C2343" s="17" t="s">
        <v>24024</v>
      </c>
      <c r="D2343" s="17" t="s">
        <v>24025</v>
      </c>
      <c r="E2343" s="10">
        <v>1833514</v>
      </c>
      <c r="F2343" s="4" t="str">
        <f>IF(B2343=B2342,"",B2343)</f>
        <v/>
      </c>
    </row>
    <row r="2344" spans="1:6" ht="15.75" customHeight="1">
      <c r="A2344" s="5" t="s">
        <v>30279</v>
      </c>
      <c r="B2344" s="6" t="s">
        <v>30279</v>
      </c>
      <c r="C2344" s="5" t="s">
        <v>27788</v>
      </c>
      <c r="D2344" s="5" t="s">
        <v>27813</v>
      </c>
      <c r="E2344" s="2">
        <v>5175496</v>
      </c>
      <c r="F2344" s="4" t="str">
        <f>IF(B2344=B2343,"",B2344)</f>
        <v>Wadsworth</v>
      </c>
    </row>
    <row r="2345" spans="1:6" ht="15.75" customHeight="1">
      <c r="A2345" s="5" t="str">
        <f ca="1">IFERROR(__xludf.DUMMYFUNCTION("GOOGLETRANSLATE(B44553,""en"",""pt"")"),"Wadsworth")</f>
        <v>Wadsworth</v>
      </c>
      <c r="B2345" s="17" t="s">
        <v>30279</v>
      </c>
      <c r="C2345" s="17" t="s">
        <v>27788</v>
      </c>
      <c r="D2345" s="17" t="s">
        <v>27813</v>
      </c>
      <c r="E2345" s="10">
        <v>5175496</v>
      </c>
      <c r="F2345" s="4" t="str">
        <f>IF(B2345=B2344,"",B2345)</f>
        <v/>
      </c>
    </row>
    <row r="2346" spans="1:6" ht="15.75" customHeight="1">
      <c r="A2346" s="5" t="s">
        <v>21560</v>
      </c>
      <c r="B2346" s="6" t="s">
        <v>21560</v>
      </c>
      <c r="C2346" s="5" t="s">
        <v>21064</v>
      </c>
      <c r="D2346" s="5" t="s">
        <v>21108</v>
      </c>
      <c r="E2346" s="2">
        <v>3082722</v>
      </c>
      <c r="F2346" s="4" t="str">
        <f>IF(B2346=B2345,"",B2346)</f>
        <v>Wadowice</v>
      </c>
    </row>
    <row r="2347" spans="1:6" ht="15.75" customHeight="1">
      <c r="A2347" s="5" t="str">
        <f ca="1">IFERROR(__xludf.DUMMYFUNCTION("GOOGLETRANSLATE(B39322,""en"",""pt"")"),"Wadowice")</f>
        <v>Wadowice</v>
      </c>
      <c r="B2347" s="17" t="s">
        <v>21560</v>
      </c>
      <c r="C2347" s="17" t="s">
        <v>21064</v>
      </c>
      <c r="D2347" s="17" t="s">
        <v>21108</v>
      </c>
      <c r="E2347" s="10">
        <v>3082722</v>
      </c>
      <c r="F2347" s="4" t="str">
        <f>IF(B2347=B2346,"",B2347)</f>
        <v/>
      </c>
    </row>
    <row r="2348" spans="1:6" ht="15.75" customHeight="1">
      <c r="A2348" s="5" t="str">
        <f ca="1">IFERROR(__xludf.DUMMYFUNCTION("GOOGLETRANSLATE(B35122,""en"",""pt"")"),"Wādī como sīr")</f>
        <v>Wādī como sīr</v>
      </c>
      <c r="B2348" s="17" t="s">
        <v>34277</v>
      </c>
      <c r="C2348" s="17" t="s">
        <v>16624</v>
      </c>
      <c r="D2348" s="17" t="s">
        <v>16635</v>
      </c>
      <c r="E2348" s="10">
        <v>246013</v>
      </c>
      <c r="F2348" s="4" t="str">
        <f>IF(B2348=B2347,"",B2348)</f>
        <v>Wādī as Sīr</v>
      </c>
    </row>
    <row r="2349" spans="1:6" ht="15.75" customHeight="1">
      <c r="A2349" s="5" t="str">
        <f ca="1">IFERROR(__xludf.DUMMYFUNCTION("GOOGLETRANSLATE(B31860,""en"",""pt"")"),"Wādi")</f>
        <v>Wādi</v>
      </c>
      <c r="B2349" s="17" t="s">
        <v>32950</v>
      </c>
      <c r="C2349" s="17" t="s">
        <v>10178</v>
      </c>
      <c r="D2349" s="17" t="s">
        <v>10252</v>
      </c>
      <c r="E2349" s="10">
        <v>1253041</v>
      </c>
      <c r="F2349" s="4" t="str">
        <f>IF(B2349=B2348,"",B2349)</f>
        <v>Wādi</v>
      </c>
    </row>
    <row r="2350" spans="1:6" ht="15.75" customHeight="1">
      <c r="A2350" s="5" t="s">
        <v>9251</v>
      </c>
      <c r="B2350" s="6" t="s">
        <v>9251</v>
      </c>
      <c r="C2350" s="5" t="s">
        <v>8028</v>
      </c>
      <c r="D2350" s="5" t="s">
        <v>8177</v>
      </c>
      <c r="E2350" s="2">
        <v>2815559</v>
      </c>
      <c r="F2350" s="4" t="str">
        <f>IF(B2350=B2349,"",B2350)</f>
        <v>Wadgassen</v>
      </c>
    </row>
    <row r="2351" spans="1:6" ht="15.75" customHeight="1">
      <c r="A2351" s="5" t="str">
        <f ca="1">IFERROR(__xludf.DUMMYFUNCTION("GOOGLETRANSLATE(B27437,""en"",""pt"")"),"Wadgassen")</f>
        <v>Wadgassen</v>
      </c>
      <c r="B2351" s="17" t="s">
        <v>9251</v>
      </c>
      <c r="C2351" s="17" t="s">
        <v>8028</v>
      </c>
      <c r="D2351" s="17" t="s">
        <v>8177</v>
      </c>
      <c r="E2351" s="10">
        <v>2815559</v>
      </c>
      <c r="F2351" s="4" t="str">
        <f>IF(B2351=B2350,"",B2351)</f>
        <v/>
      </c>
    </row>
    <row r="2352" spans="1:6" ht="15.75" customHeight="1">
      <c r="A2352" s="6" t="s">
        <v>9250</v>
      </c>
      <c r="B2352" s="6" t="s">
        <v>9250</v>
      </c>
      <c r="C2352" s="6" t="s">
        <v>8028</v>
      </c>
      <c r="D2352" s="6" t="s">
        <v>8177</v>
      </c>
      <c r="E2352" s="2">
        <v>2815565</v>
      </c>
      <c r="F2352" s="4" t="str">
        <f>IF(B2352=B2351,"",B2352)</f>
        <v>Wadern</v>
      </c>
    </row>
    <row r="2353" spans="1:6" ht="15.75" customHeight="1">
      <c r="A2353" s="5" t="str">
        <f ca="1">IFERROR(__xludf.DUMMYFUNCTION("GOOGLETRANSLATE(B27438,""en"",""pt"")"),"Wadern")</f>
        <v>Wadern</v>
      </c>
      <c r="B2353" s="17" t="s">
        <v>9250</v>
      </c>
      <c r="C2353" s="17" t="s">
        <v>8028</v>
      </c>
      <c r="D2353" s="17" t="s">
        <v>8177</v>
      </c>
      <c r="E2353" s="10">
        <v>2815565</v>
      </c>
      <c r="F2353" s="4" t="str">
        <f>IF(B2353=B2352,"",B2353)</f>
        <v/>
      </c>
    </row>
    <row r="2354" spans="1:6" ht="15.75" customHeight="1">
      <c r="A2354" s="5" t="s">
        <v>30278</v>
      </c>
      <c r="B2354" s="6" t="s">
        <v>30278</v>
      </c>
      <c r="C2354" s="5" t="s">
        <v>27788</v>
      </c>
      <c r="D2354" s="5" t="s">
        <v>27811</v>
      </c>
      <c r="E2354" s="2">
        <v>4599937</v>
      </c>
      <c r="F2354" s="4" t="str">
        <f>IF(B2354=B2353,"",B2354)</f>
        <v>Wade Hampton</v>
      </c>
    </row>
    <row r="2355" spans="1:6" ht="15.75" customHeight="1">
      <c r="A2355" s="5" t="str">
        <f ca="1">IFERROR(__xludf.DUMMYFUNCTION("GOOGLETRANSLATE(B43606,""en"",""pt"")"),"Wade Hampton")</f>
        <v>Wade Hampton</v>
      </c>
      <c r="B2355" s="17" t="s">
        <v>30278</v>
      </c>
      <c r="C2355" s="17" t="s">
        <v>27788</v>
      </c>
      <c r="D2355" s="17" t="s">
        <v>27811</v>
      </c>
      <c r="E2355" s="10">
        <v>4599937</v>
      </c>
      <c r="F2355" s="4" t="str">
        <f>IF(B2355=B2354,"",B2355)</f>
        <v/>
      </c>
    </row>
    <row r="2356" spans="1:6" ht="15.75" customHeight="1">
      <c r="A2356" s="5" t="s">
        <v>19132</v>
      </c>
      <c r="B2356" s="6" t="s">
        <v>19132</v>
      </c>
      <c r="C2356" s="5" t="s">
        <v>18862</v>
      </c>
      <c r="D2356" s="5" t="s">
        <v>18868</v>
      </c>
      <c r="E2356" s="2">
        <v>2745096</v>
      </c>
      <c r="F2356" s="4" t="str">
        <f>IF(B2356=B2355,"",B2356)</f>
        <v>Waddinxveen</v>
      </c>
    </row>
    <row r="2357" spans="1:6" ht="15.75" customHeight="1">
      <c r="A2357" s="5" t="str">
        <f ca="1">IFERROR(__xludf.DUMMYFUNCTION("GOOGLETRANSLATE(B37912,""en"",""pt"")"),"Waddinxveen")</f>
        <v>Waddinxveen</v>
      </c>
      <c r="B2357" s="17" t="s">
        <v>19132</v>
      </c>
      <c r="C2357" s="17" t="s">
        <v>18862</v>
      </c>
      <c r="D2357" s="17" t="s">
        <v>18868</v>
      </c>
      <c r="E2357" s="10">
        <v>2745096</v>
      </c>
      <c r="F2357" s="4" t="str">
        <f>IF(B2357=B2356,"",B2357)</f>
        <v/>
      </c>
    </row>
    <row r="2358" spans="1:6" ht="15.75" customHeight="1">
      <c r="A2358" s="5" t="str">
        <f ca="1">IFERROR(__xludf.DUMMYFUNCTION("GOOGLETRANSLATE(B36429,""en"",""pt"")"),"Waddān")</f>
        <v>Waddān</v>
      </c>
      <c r="B2358" s="17" t="s">
        <v>34567</v>
      </c>
      <c r="C2358" s="17" t="s">
        <v>17074</v>
      </c>
      <c r="D2358" s="17" t="s">
        <v>17120</v>
      </c>
      <c r="E2358" s="10">
        <v>2209055</v>
      </c>
      <c r="F2358" s="4" t="str">
        <f>IF(B2358=B2357,"",B2358)</f>
        <v>Waddān</v>
      </c>
    </row>
    <row r="2359" spans="1:6" ht="15.75" customHeight="1">
      <c r="A2359" s="6" t="s">
        <v>17140</v>
      </c>
      <c r="B2359" s="6" t="s">
        <v>17141</v>
      </c>
      <c r="C2359" s="6" t="s">
        <v>17074</v>
      </c>
      <c r="D2359" s="6" t="s">
        <v>17120</v>
      </c>
      <c r="E2359" s="2">
        <v>2209055</v>
      </c>
      <c r="F2359" s="4" t="str">
        <f>IF(B2359=B2358,"",B2359)</f>
        <v>WaddÄn</v>
      </c>
    </row>
    <row r="2360" spans="1:6" ht="15.75" customHeight="1">
      <c r="A2360" s="5" t="s">
        <v>25059</v>
      </c>
      <c r="B2360" s="6" t="s">
        <v>25059</v>
      </c>
      <c r="C2360" s="5" t="s">
        <v>24987</v>
      </c>
      <c r="D2360" s="5" t="s">
        <v>25002</v>
      </c>
      <c r="E2360" s="2">
        <v>364103</v>
      </c>
      <c r="F2360" s="4" t="str">
        <f>IF(B2360=B2359,"",B2360)</f>
        <v>Wad Medani</v>
      </c>
    </row>
    <row r="2361" spans="1:6" ht="15.75" customHeight="1">
      <c r="A2361" s="5" t="str">
        <f ca="1">IFERROR(__xludf.DUMMYFUNCTION("GOOGLETRANSLATE(B41072,""en"",""pt"")"),"Wad Medani")</f>
        <v>Wad Medani</v>
      </c>
      <c r="B2361" s="17" t="s">
        <v>25059</v>
      </c>
      <c r="C2361" s="17" t="s">
        <v>24987</v>
      </c>
      <c r="D2361" s="17" t="s">
        <v>35603</v>
      </c>
      <c r="E2361" s="10">
        <v>364103</v>
      </c>
      <c r="F2361" s="4" t="str">
        <f>IF(B2361=B2360,"",B2361)</f>
        <v/>
      </c>
    </row>
    <row r="2362" spans="1:6" ht="15.75" customHeight="1">
      <c r="A2362" s="5" t="s">
        <v>9249</v>
      </c>
      <c r="B2362" s="6" t="s">
        <v>9249</v>
      </c>
      <c r="C2362" s="5" t="s">
        <v>8028</v>
      </c>
      <c r="D2362" s="5" t="s">
        <v>8029</v>
      </c>
      <c r="E2362" s="2">
        <v>2815678</v>
      </c>
      <c r="F2362" s="4" t="str">
        <f>IF(B2362=B2361,"",B2362)</f>
        <v>Wachtberg</v>
      </c>
    </row>
    <row r="2363" spans="1:6" ht="15.75" customHeight="1">
      <c r="A2363" s="5" t="str">
        <f ca="1">IFERROR(__xludf.DUMMYFUNCTION("GOOGLETRANSLATE(B27439,""en"",""pt"")"),"Wachtberg")</f>
        <v>Wachtberg</v>
      </c>
      <c r="B2363" s="17" t="s">
        <v>9249</v>
      </c>
      <c r="C2363" s="17" t="s">
        <v>8028</v>
      </c>
      <c r="D2363" s="17" t="s">
        <v>8029</v>
      </c>
      <c r="E2363" s="10">
        <v>2815678</v>
      </c>
      <c r="F2363" s="4" t="str">
        <f>IF(B2363=B2362,"",B2363)</f>
        <v/>
      </c>
    </row>
    <row r="2364" spans="1:6" ht="15.75" customHeight="1">
      <c r="A2364" s="6" t="s">
        <v>5142</v>
      </c>
      <c r="B2364" s="6" t="s">
        <v>5142</v>
      </c>
      <c r="C2364" s="6" t="s">
        <v>4487</v>
      </c>
      <c r="D2364" s="6" t="s">
        <v>4511</v>
      </c>
      <c r="E2364" s="2">
        <v>1789427</v>
      </c>
      <c r="F2364" s="4" t="str">
        <f>IF(B2364=B2363,"",B2364)</f>
        <v>Wacheng</v>
      </c>
    </row>
    <row r="2365" spans="1:6" ht="15.75" customHeight="1">
      <c r="A2365" s="5" t="str">
        <f ca="1">IFERROR(__xludf.DUMMYFUNCTION("GOOGLETRANSLATE(B26179,""en"",""pt"")"),"Wacheng")</f>
        <v>Wacheng</v>
      </c>
      <c r="B2365" s="17" t="s">
        <v>5142</v>
      </c>
      <c r="C2365" s="17" t="s">
        <v>4487</v>
      </c>
      <c r="D2365" s="17" t="s">
        <v>4511</v>
      </c>
      <c r="E2365" s="10">
        <v>1789427</v>
      </c>
      <c r="F2365" s="4" t="str">
        <f>IF(B2365=B2364,"",B2365)</f>
        <v/>
      </c>
    </row>
    <row r="2366" spans="1:6" ht="15.75" customHeight="1">
      <c r="A2366" s="6" t="s">
        <v>24161</v>
      </c>
      <c r="B2366" s="6" t="s">
        <v>24161</v>
      </c>
      <c r="C2366" s="6" t="s">
        <v>24024</v>
      </c>
      <c r="D2366" s="6" t="s">
        <v>24028</v>
      </c>
      <c r="E2366" s="2">
        <v>1912209</v>
      </c>
      <c r="F2366" s="4" t="str">
        <f>IF(B2366=B2365,"",B2366)</f>
        <v>Wabu</v>
      </c>
    </row>
    <row r="2367" spans="1:6" ht="15.75" customHeight="1">
      <c r="A2367" s="5" t="str">
        <f ca="1">IFERROR(__xludf.DUMMYFUNCTION("GOOGLETRANSLATE(B36158,""en"",""pt"")"),"Wabu")</f>
        <v>Wabu</v>
      </c>
      <c r="B2367" s="17" t="s">
        <v>24161</v>
      </c>
      <c r="C2367" s="17" t="s">
        <v>24024</v>
      </c>
      <c r="D2367" s="17" t="s">
        <v>24028</v>
      </c>
      <c r="E2367" s="10">
        <v>1912209</v>
      </c>
      <c r="F2367" s="4" t="str">
        <f>IF(B2367=B2366,"",B2367)</f>
        <v/>
      </c>
    </row>
    <row r="2368" spans="1:6" ht="15.75" customHeight="1">
      <c r="A2368" s="6" t="s">
        <v>19131</v>
      </c>
      <c r="B2368" s="6" t="s">
        <v>19131</v>
      </c>
      <c r="C2368" s="6" t="s">
        <v>18862</v>
      </c>
      <c r="D2368" s="6" t="s">
        <v>18888</v>
      </c>
      <c r="E2368" s="2">
        <v>2745123</v>
      </c>
      <c r="F2368" s="4" t="str">
        <f>IF(B2368=B2367,"",B2368)</f>
        <v>Waalwijk</v>
      </c>
    </row>
    <row r="2369" spans="1:6" ht="15.75" customHeight="1">
      <c r="A2369" s="5" t="str">
        <f ca="1">IFERROR(__xludf.DUMMYFUNCTION("GOOGLETRANSLATE(B37913,""en"",""pt"")"),"Waalwijk")</f>
        <v>Waalwijk</v>
      </c>
      <c r="B2369" s="17" t="s">
        <v>19131</v>
      </c>
      <c r="C2369" s="17" t="s">
        <v>18862</v>
      </c>
      <c r="D2369" s="17" t="s">
        <v>18888</v>
      </c>
      <c r="E2369" s="10">
        <v>2745123</v>
      </c>
      <c r="F2369" s="4" t="str">
        <f>IF(B2369=B2368,"",B2369)</f>
        <v/>
      </c>
    </row>
    <row r="2370" spans="1:6" ht="15.75" customHeight="1">
      <c r="A2370" s="6" t="s">
        <v>19130</v>
      </c>
      <c r="B2370" s="6" t="s">
        <v>19130</v>
      </c>
      <c r="C2370" s="6" t="s">
        <v>18862</v>
      </c>
      <c r="D2370" s="6" t="s">
        <v>18888</v>
      </c>
      <c r="E2370" s="2">
        <v>2745127</v>
      </c>
      <c r="F2370" s="4" t="str">
        <f>IF(B2370=B2369,"",B2370)</f>
        <v>Waalre</v>
      </c>
    </row>
    <row r="2371" spans="1:6" ht="15.75" customHeight="1">
      <c r="A2371" s="5" t="str">
        <f ca="1">IFERROR(__xludf.DUMMYFUNCTION("GOOGLETRANSLATE(B37914,""en"",""pt"")"),"Waalre")</f>
        <v>Waalre</v>
      </c>
      <c r="B2371" s="17" t="s">
        <v>19130</v>
      </c>
      <c r="C2371" s="17" t="s">
        <v>18862</v>
      </c>
      <c r="D2371" s="17" t="s">
        <v>18888</v>
      </c>
      <c r="E2371" s="10">
        <v>2745127</v>
      </c>
      <c r="F2371" s="4" t="str">
        <f>IF(B2371=B2370,"",B2371)</f>
        <v/>
      </c>
    </row>
    <row r="2372" spans="1:6" ht="15.75" customHeight="1">
      <c r="A2372" s="6" t="s">
        <v>21558</v>
      </c>
      <c r="B2372" s="6" t="s">
        <v>21559</v>
      </c>
      <c r="C2372" s="6" t="s">
        <v>21064</v>
      </c>
      <c r="D2372" s="6" t="s">
        <v>21121</v>
      </c>
      <c r="E2372" s="2">
        <v>3082704</v>
      </c>
      <c r="F2372" s="4" t="str">
        <f>IF(B2372=B2371,"",B2372)</f>
        <v>WaÅ‚cz</v>
      </c>
    </row>
    <row r="2373" spans="1:6" ht="15.75" customHeight="1">
      <c r="A2373" s="5" t="s">
        <v>21556</v>
      </c>
      <c r="B2373" s="6" t="s">
        <v>21557</v>
      </c>
      <c r="C2373" s="5" t="s">
        <v>21064</v>
      </c>
      <c r="D2373" s="5" t="s">
        <v>21118</v>
      </c>
      <c r="E2373" s="2">
        <v>3082707</v>
      </c>
      <c r="F2373" s="4" t="str">
        <f>IF(B2373=B2372,"",B2373)</f>
        <v>WaÅ‚brzych</v>
      </c>
    </row>
    <row r="2374" spans="1:6" ht="15.75" customHeight="1">
      <c r="A2374" s="6" t="s">
        <v>9247</v>
      </c>
      <c r="B2374" s="6" t="s">
        <v>9248</v>
      </c>
      <c r="C2374" s="6" t="s">
        <v>8028</v>
      </c>
      <c r="D2374" s="6" t="s">
        <v>8044</v>
      </c>
      <c r="E2374" s="2">
        <v>2805615</v>
      </c>
      <c r="F2374" s="4" t="str">
        <f>IF(B2374=B2373,"",B2374)</f>
        <v>WÃ¼rzburg</v>
      </c>
    </row>
    <row r="2375" spans="1:6" ht="15.75" customHeight="1">
      <c r="A2375" s="6" t="s">
        <v>9245</v>
      </c>
      <c r="B2375" s="6" t="s">
        <v>9246</v>
      </c>
      <c r="C2375" s="6" t="s">
        <v>8028</v>
      </c>
      <c r="D2375" s="6" t="s">
        <v>8029</v>
      </c>
      <c r="E2375" s="2">
        <v>2805644</v>
      </c>
      <c r="F2375" s="4" t="str">
        <f>IF(B2375=B2374,"",B2375)</f>
        <v>WÃ¼rselen</v>
      </c>
    </row>
    <row r="2376" spans="1:6" ht="15.75" customHeight="1">
      <c r="A2376" s="6" t="s">
        <v>9243</v>
      </c>
      <c r="B2376" s="6" t="s">
        <v>9244</v>
      </c>
      <c r="C2376" s="6" t="s">
        <v>8028</v>
      </c>
      <c r="D2376" s="6" t="s">
        <v>8029</v>
      </c>
      <c r="E2376" s="2">
        <v>2805910</v>
      </c>
      <c r="F2376" s="4" t="str">
        <f>IF(B2376=B2375,"",B2376)</f>
        <v>WÃ¼lfrath</v>
      </c>
    </row>
    <row r="2377" spans="1:6" ht="15.75" customHeight="1">
      <c r="A2377" s="5" t="s">
        <v>13760</v>
      </c>
      <c r="B2377" s="6" t="s">
        <v>13761</v>
      </c>
      <c r="C2377" s="5" t="s">
        <v>10178</v>
      </c>
      <c r="D2377" s="5" t="s">
        <v>10214</v>
      </c>
      <c r="E2377" s="2">
        <v>1252908</v>
      </c>
      <c r="F2377" s="4" t="str">
        <f>IF(B2377=B2376,"",B2377)</f>
        <v>WÄshÄ«m</v>
      </c>
    </row>
    <row r="2378" spans="1:6" ht="15.75" customHeight="1">
      <c r="A2378" s="5" t="s">
        <v>13758</v>
      </c>
      <c r="B2378" s="6" t="s">
        <v>13759</v>
      </c>
      <c r="C2378" s="5" t="s">
        <v>10178</v>
      </c>
      <c r="D2378" s="5" t="s">
        <v>10317</v>
      </c>
      <c r="E2378" s="2">
        <v>1252930</v>
      </c>
      <c r="F2378" s="4" t="str">
        <f>IF(B2378=B2377,"",B2378)</f>
        <v>WÄris AlÄ«ganj</v>
      </c>
    </row>
    <row r="2379" spans="1:6" ht="15.75" customHeight="1">
      <c r="A2379" s="5" t="s">
        <v>13756</v>
      </c>
      <c r="B2379" s="6" t="s">
        <v>13757</v>
      </c>
      <c r="C2379" s="5" t="s">
        <v>10178</v>
      </c>
      <c r="D2379" s="5" t="s">
        <v>10219</v>
      </c>
      <c r="E2379" s="2">
        <v>1252946</v>
      </c>
      <c r="F2379" s="4" t="str">
        <f>IF(B2379=B2378,"",B2379)</f>
        <v>WÄrÄseonÄ«</v>
      </c>
    </row>
    <row r="2380" spans="1:6" ht="15.75" customHeight="1">
      <c r="A2380" s="6" t="s">
        <v>20281</v>
      </c>
      <c r="B2380" s="6" t="s">
        <v>20282</v>
      </c>
      <c r="C2380" s="6" t="s">
        <v>19808</v>
      </c>
      <c r="D2380" s="6" t="s">
        <v>19823</v>
      </c>
      <c r="E2380" s="2">
        <v>1162589</v>
      </c>
      <c r="F2380" s="4" t="str">
        <f>IF(B2380=B2379,"",B2380)</f>
        <v>WÄrÄh</v>
      </c>
    </row>
    <row r="2381" spans="1:6" ht="15.75" customHeight="1">
      <c r="A2381" s="6" t="s">
        <v>19684</v>
      </c>
      <c r="B2381" s="6" t="s">
        <v>19685</v>
      </c>
      <c r="C2381" s="6" t="s">
        <v>19589</v>
      </c>
      <c r="D2381" s="6" t="s">
        <v>19595</v>
      </c>
      <c r="E2381" s="2">
        <v>1866923</v>
      </c>
      <c r="F2381" s="4" t="str">
        <f>IF(B2381=B2380,"",B2381)</f>
        <v>WÅnsan</v>
      </c>
    </row>
    <row r="2382" spans="1:6" ht="15.75" customHeight="1">
      <c r="A2382" s="5" t="s">
        <v>13754</v>
      </c>
      <c r="B2382" s="6" t="s">
        <v>13755</v>
      </c>
      <c r="C2382" s="5" t="s">
        <v>10178</v>
      </c>
      <c r="D2382" s="5" t="s">
        <v>10209</v>
      </c>
      <c r="E2382" s="2">
        <v>1252958</v>
      </c>
      <c r="F2382" s="4" t="str">
        <f>IF(B2382=B2381,"",B2382)</f>
        <v>WÄnkÄner</v>
      </c>
    </row>
    <row r="2383" spans="1:6" ht="15.75" customHeight="1">
      <c r="A2383" s="6" t="s">
        <v>24159</v>
      </c>
      <c r="B2383" s="6" t="s">
        <v>24160</v>
      </c>
      <c r="C2383" s="6" t="s">
        <v>24024</v>
      </c>
      <c r="D2383" s="6" t="s">
        <v>24054</v>
      </c>
      <c r="E2383" s="2">
        <v>1833105</v>
      </c>
      <c r="F2383" s="4" t="str">
        <f>IF(B2383=B2382,"",B2383)</f>
        <v>WÅnju</v>
      </c>
    </row>
    <row r="2384" spans="1:6" ht="15.75" customHeight="1">
      <c r="A2384" s="6" t="s">
        <v>18859</v>
      </c>
      <c r="B2384" s="6" t="s">
        <v>18860</v>
      </c>
      <c r="C2384" s="6" t="s">
        <v>18800</v>
      </c>
      <c r="D2384" s="6" t="s">
        <v>18803</v>
      </c>
      <c r="E2384" s="2">
        <v>1282616</v>
      </c>
      <c r="F2384" s="4" t="str">
        <f>IF(B2384=B2383,"",B2384)</f>
        <v>WÄling</v>
      </c>
    </row>
    <row r="2385" spans="1:6" ht="15.75" customHeight="1">
      <c r="A2385" s="6" t="s">
        <v>13752</v>
      </c>
      <c r="B2385" s="6" t="s">
        <v>13753</v>
      </c>
      <c r="C2385" s="6" t="s">
        <v>10178</v>
      </c>
      <c r="D2385" s="6" t="s">
        <v>10252</v>
      </c>
      <c r="E2385" s="2">
        <v>1253041</v>
      </c>
      <c r="F2385" s="4" t="str">
        <f>IF(B2385=B2384,"",B2385)</f>
        <v>WÄdi</v>
      </c>
    </row>
    <row r="2386" spans="1:6" ht="15.75" customHeight="1">
      <c r="A2386" s="5" t="s">
        <v>16668</v>
      </c>
      <c r="B2386" s="6" t="s">
        <v>16669</v>
      </c>
      <c r="C2386" s="5" t="s">
        <v>16624</v>
      </c>
      <c r="D2386" s="5" t="s">
        <v>16635</v>
      </c>
      <c r="E2386" s="2">
        <v>246013</v>
      </c>
      <c r="F2386" s="4" t="str">
        <f>IF(B2386=B2385,"",B2386)</f>
        <v>WÄdÄ« as SÄ«r</v>
      </c>
    </row>
    <row r="2387" spans="1:6" ht="15.75" customHeight="1">
      <c r="A2387" s="5" t="s">
        <v>21554</v>
      </c>
      <c r="B2387" s="6" t="s">
        <v>21555</v>
      </c>
      <c r="C2387" s="5" t="s">
        <v>21064</v>
      </c>
      <c r="D2387" s="5" t="s">
        <v>21112</v>
      </c>
      <c r="E2387" s="2">
        <v>3082712</v>
      </c>
      <c r="F2387" s="4" t="str">
        <f>IF(B2387=B2386,"",B2387)</f>
        <v>WÄ…growiec</v>
      </c>
    </row>
    <row r="2388" spans="1:6" ht="15.75" customHeight="1">
      <c r="A2388" s="5" t="s">
        <v>9241</v>
      </c>
      <c r="B2388" s="6" t="s">
        <v>9242</v>
      </c>
      <c r="C2388" s="5" t="s">
        <v>8028</v>
      </c>
      <c r="D2388" s="5" t="s">
        <v>8065</v>
      </c>
      <c r="E2388" s="2">
        <v>2806081</v>
      </c>
      <c r="F2388" s="4" t="str">
        <f>IF(B2388=B2387,"",B2388)</f>
        <v>WÃ¶rth am Rhein</v>
      </c>
    </row>
    <row r="2389" spans="1:6" ht="15.75" customHeight="1">
      <c r="A2389" s="6" t="s">
        <v>21552</v>
      </c>
      <c r="B2389" s="6" t="s">
        <v>21553</v>
      </c>
      <c r="C2389" s="6" t="s">
        <v>21064</v>
      </c>
      <c r="D2389" s="6" t="s">
        <v>21070</v>
      </c>
      <c r="E2389" s="2">
        <v>755475</v>
      </c>
      <c r="F2389" s="4" t="str">
        <f>IF(B2389=B2388,"",B2389)</f>
        <v>WÅ‚ochy</v>
      </c>
    </row>
    <row r="2390" spans="1:6" ht="15.75" customHeight="1">
      <c r="A2390" s="5" t="s">
        <v>21550</v>
      </c>
      <c r="B2390" s="6" t="s">
        <v>21551</v>
      </c>
      <c r="C2390" s="5" t="s">
        <v>21064</v>
      </c>
      <c r="D2390" s="5" t="s">
        <v>21125</v>
      </c>
      <c r="E2390" s="2">
        <v>3081741</v>
      </c>
      <c r="F2390" s="4" t="str">
        <f>IF(B2390=B2389,"",B2390)</f>
        <v>WÅ‚ocÅ‚awek</v>
      </c>
    </row>
    <row r="2391" spans="1:6" ht="15.75" customHeight="1">
      <c r="A2391" s="6" t="s">
        <v>9433</v>
      </c>
      <c r="B2391" s="6" t="s">
        <v>9433</v>
      </c>
      <c r="C2391" s="6" t="s">
        <v>9365</v>
      </c>
      <c r="D2391" s="6" t="s">
        <v>9434</v>
      </c>
      <c r="E2391" s="2">
        <v>2294206</v>
      </c>
      <c r="F2391" s="4" t="str">
        <f>IF(B2391=B2390,"",B2391)</f>
        <v>Wa</v>
      </c>
    </row>
    <row r="2392" spans="1:6" ht="15.75" customHeight="1">
      <c r="A2392" s="5" t="str">
        <f ca="1">IFERROR(__xludf.DUMMYFUNCTION("GOOGLETRANSLATE(B30859,""en"",""pt"")"),"Wa")</f>
        <v>Wa</v>
      </c>
      <c r="B2392" s="17" t="s">
        <v>9433</v>
      </c>
      <c r="C2392" s="17" t="s">
        <v>9365</v>
      </c>
      <c r="D2392" s="17" t="s">
        <v>9434</v>
      </c>
      <c r="E2392" s="10">
        <v>2294206</v>
      </c>
      <c r="F2392" s="4" t="str">
        <f>IF(B2392=B2391,"",B2392)</f>
        <v/>
      </c>
    </row>
    <row r="2393" spans="1:6" ht="15.75" customHeight="1">
      <c r="A2393" s="5" t="str">
        <f ca="1">IFERROR(__xludf.DUMMYFUNCTION("GOOGLETRANSLATE(B27248,""en"",""pt"")"),"Vyškov")</f>
        <v>Vyškov</v>
      </c>
      <c r="B2393" s="17" t="s">
        <v>31943</v>
      </c>
      <c r="C2393" s="17" t="s">
        <v>5947</v>
      </c>
      <c r="D2393" s="17" t="s">
        <v>5982</v>
      </c>
      <c r="E2393" s="10">
        <v>3062283</v>
      </c>
      <c r="F2393" s="4" t="str">
        <f>IF(B2393=B2392,"",B2393)</f>
        <v>Vyškov</v>
      </c>
    </row>
    <row r="2394" spans="1:6" ht="15.75" customHeight="1">
      <c r="A2394" s="5" t="str">
        <f ca="1">IFERROR(__xludf.DUMMYFUNCTION("GOOGLETRANSLATE(B39957,""en"",""pt"")"),"Vyshniy Volochëk")</f>
        <v>Vyshniy Volochëk</v>
      </c>
      <c r="B2394" s="17" t="s">
        <v>35433</v>
      </c>
      <c r="C2394" s="17" t="s">
        <v>22070</v>
      </c>
      <c r="D2394" s="17" t="s">
        <v>22229</v>
      </c>
      <c r="E2394" s="10">
        <v>470252</v>
      </c>
      <c r="F2394" s="4" t="str">
        <f>IF(B2394=B2393,"",B2394)</f>
        <v>Vyshniy Volochëk</v>
      </c>
    </row>
    <row r="2395" spans="1:6" ht="15.75" customHeight="1">
      <c r="A2395" s="5" t="s">
        <v>23320</v>
      </c>
      <c r="B2395" s="6" t="s">
        <v>23321</v>
      </c>
      <c r="C2395" s="5" t="s">
        <v>22070</v>
      </c>
      <c r="D2395" s="5" t="s">
        <v>22229</v>
      </c>
      <c r="E2395" s="2">
        <v>470252</v>
      </c>
      <c r="F2395" s="4" t="str">
        <f>IF(B2395=B2394,"",B2395)</f>
        <v>Vyshniy VolochÃ«k</v>
      </c>
    </row>
    <row r="2396" spans="1:6" ht="15.75" customHeight="1">
      <c r="A2396" s="6" t="s">
        <v>27193</v>
      </c>
      <c r="B2396" s="6" t="s">
        <v>27193</v>
      </c>
      <c r="C2396" s="6" t="s">
        <v>26870</v>
      </c>
      <c r="D2396" s="6" t="s">
        <v>26905</v>
      </c>
      <c r="E2396" s="2">
        <v>689487</v>
      </c>
      <c r="F2396" s="4" t="str">
        <f>IF(B2396=B2395,"",B2396)</f>
        <v>Vyshneve</v>
      </c>
    </row>
    <row r="2397" spans="1:6" ht="15.75" customHeight="1">
      <c r="A2397" s="5" t="str">
        <f ca="1">IFERROR(__xludf.DUMMYFUNCTION("GOOGLETRANSLATE(B42493,""en"",""pt"")"),"Vyshneve")</f>
        <v>Vyshneve</v>
      </c>
      <c r="B2397" s="17" t="s">
        <v>27193</v>
      </c>
      <c r="C2397" s="17" t="s">
        <v>26870</v>
      </c>
      <c r="D2397" s="17" t="s">
        <v>26905</v>
      </c>
      <c r="E2397" s="10">
        <v>689487</v>
      </c>
      <c r="F2397" s="4" t="str">
        <f>IF(B2397=B2396,"",B2397)</f>
        <v/>
      </c>
    </row>
    <row r="2398" spans="1:6" ht="15.75" customHeight="1">
      <c r="A2398" s="5" t="s">
        <v>27192</v>
      </c>
      <c r="B2398" s="6" t="s">
        <v>27192</v>
      </c>
      <c r="C2398" s="5" t="s">
        <v>26870</v>
      </c>
      <c r="D2398" s="5" t="s">
        <v>26905</v>
      </c>
      <c r="E2398" s="2">
        <v>688723</v>
      </c>
      <c r="F2398" s="4" t="str">
        <f>IF(B2398=B2397,"",B2398)</f>
        <v>Vyshhorod</v>
      </c>
    </row>
    <row r="2399" spans="1:6" ht="15.75" customHeight="1">
      <c r="A2399" s="5" t="str">
        <f ca="1">IFERROR(__xludf.DUMMYFUNCTION("GOOGLETRANSLATE(B42487,""en"",""pt"")"),"Vyshhorod")</f>
        <v>Vyshhorod</v>
      </c>
      <c r="B2399" s="17" t="s">
        <v>27192</v>
      </c>
      <c r="C2399" s="17" t="s">
        <v>26870</v>
      </c>
      <c r="D2399" s="17" t="s">
        <v>26905</v>
      </c>
      <c r="E2399" s="10">
        <v>688723</v>
      </c>
      <c r="F2399" s="4" t="str">
        <f>IF(B2399=B2398,"",B2399)</f>
        <v/>
      </c>
    </row>
    <row r="2400" spans="1:6" ht="15.75" customHeight="1">
      <c r="A2400" s="6" t="s">
        <v>23319</v>
      </c>
      <c r="B2400" s="6" t="s">
        <v>23319</v>
      </c>
      <c r="C2400" s="6" t="s">
        <v>22070</v>
      </c>
      <c r="D2400" s="6" t="s">
        <v>22077</v>
      </c>
      <c r="E2400" s="2">
        <v>470338</v>
      </c>
      <c r="F2400" s="4" t="str">
        <f>IF(B2400=B2399,"",B2400)</f>
        <v>Vyselki</v>
      </c>
    </row>
    <row r="2401" spans="1:6" ht="15.75" customHeight="1">
      <c r="A2401" s="5" t="str">
        <f ca="1">IFERROR(__xludf.DUMMYFUNCTION("GOOGLETRANSLATE(B39958,""en"",""pt"")"),"Vyselki")</f>
        <v>Vyselki</v>
      </c>
      <c r="B2401" s="17" t="s">
        <v>23319</v>
      </c>
      <c r="C2401" s="17" t="s">
        <v>22070</v>
      </c>
      <c r="D2401" s="17" t="s">
        <v>22077</v>
      </c>
      <c r="E2401" s="10">
        <v>470338</v>
      </c>
      <c r="F2401" s="4" t="str">
        <f>IF(B2401=B2400,"",B2401)</f>
        <v/>
      </c>
    </row>
    <row r="2402" spans="1:6" ht="15.75" customHeight="1">
      <c r="A2402" s="5" t="str">
        <f ca="1">IFERROR(__xludf.DUMMYFUNCTION("GOOGLETRANSLATE(B30955,""en"",""pt"")"),"Výronas")</f>
        <v>Výronas</v>
      </c>
      <c r="B2402" s="17" t="s">
        <v>32669</v>
      </c>
      <c r="C2402" s="17" t="s">
        <v>9441</v>
      </c>
      <c r="D2402" s="17" t="s">
        <v>9445</v>
      </c>
      <c r="E2402" s="10">
        <v>251948</v>
      </c>
      <c r="F2402" s="4" t="str">
        <f>IF(B2402=B2401,"",B2402)</f>
        <v>Výronas</v>
      </c>
    </row>
    <row r="2403" spans="1:6" ht="15.75" customHeight="1">
      <c r="A2403" s="5" t="s">
        <v>27191</v>
      </c>
      <c r="B2403" s="6" t="s">
        <v>27191</v>
      </c>
      <c r="C2403" s="5" t="s">
        <v>26870</v>
      </c>
      <c r="D2403" s="5" t="s">
        <v>26902</v>
      </c>
      <c r="E2403" s="2">
        <v>688746</v>
      </c>
      <c r="F2403" s="4" t="str">
        <f>IF(B2403=B2402,"",B2403)</f>
        <v>Vynohradiv</v>
      </c>
    </row>
    <row r="2404" spans="1:6" ht="15.75" customHeight="1">
      <c r="A2404" s="5" t="str">
        <f ca="1">IFERROR(__xludf.DUMMYFUNCTION("GOOGLETRANSLATE(B42488,""en"",""pt"")"),"Vynohradiv")</f>
        <v>Vynohradiv</v>
      </c>
      <c r="B2404" s="17" t="s">
        <v>27191</v>
      </c>
      <c r="C2404" s="17" t="s">
        <v>26870</v>
      </c>
      <c r="D2404" s="17" t="s">
        <v>26902</v>
      </c>
      <c r="E2404" s="10">
        <v>688746</v>
      </c>
      <c r="F2404" s="4" t="str">
        <f>IF(B2404=B2403,"",B2404)</f>
        <v/>
      </c>
    </row>
    <row r="2405" spans="1:6" ht="15.75" customHeight="1">
      <c r="A2405" s="6" t="s">
        <v>23318</v>
      </c>
      <c r="B2405" s="6" t="s">
        <v>23318</v>
      </c>
      <c r="C2405" s="6" t="s">
        <v>22070</v>
      </c>
      <c r="D2405" s="6" t="s">
        <v>22161</v>
      </c>
      <c r="E2405" s="2">
        <v>470444</v>
      </c>
      <c r="F2405" s="4" t="str">
        <f>IF(B2405=B2404,"",B2405)</f>
        <v>Vyksa</v>
      </c>
    </row>
    <row r="2406" spans="1:6" ht="15.75" customHeight="1">
      <c r="A2406" s="5" t="str">
        <f ca="1">IFERROR(__xludf.DUMMYFUNCTION("GOOGLETRANSLATE(B39959,""en"",""pt"")"),"Vyksa")</f>
        <v>Vyksa</v>
      </c>
      <c r="B2406" s="17" t="s">
        <v>23318</v>
      </c>
      <c r="C2406" s="17" t="s">
        <v>22070</v>
      </c>
      <c r="D2406" s="17" t="s">
        <v>22161</v>
      </c>
      <c r="E2406" s="10">
        <v>470444</v>
      </c>
      <c r="F2406" s="4" t="str">
        <f>IF(B2406=B2405,"",B2406)</f>
        <v/>
      </c>
    </row>
    <row r="2407" spans="1:6" ht="15.75" customHeight="1">
      <c r="A2407" s="5" t="s">
        <v>23317</v>
      </c>
      <c r="B2407" s="6" t="s">
        <v>23317</v>
      </c>
      <c r="C2407" s="5" t="s">
        <v>22070</v>
      </c>
      <c r="D2407" s="5" t="s">
        <v>22127</v>
      </c>
      <c r="E2407" s="2">
        <v>470451</v>
      </c>
      <c r="F2407" s="4" t="str">
        <f>IF(B2407=B2406,"",B2407)</f>
        <v>Vykhino-Zhulebino</v>
      </c>
    </row>
    <row r="2408" spans="1:6" ht="15.75" customHeight="1">
      <c r="A2408" s="5" t="str">
        <f ca="1">IFERROR(__xludf.DUMMYFUNCTION("GOOGLETRANSLATE(B39960,""en"",""pt"")"),"Vykhino-Zhulebino")</f>
        <v>Vykhino-Zhulebino</v>
      </c>
      <c r="B2408" s="17" t="s">
        <v>23317</v>
      </c>
      <c r="C2408" s="17" t="s">
        <v>22070</v>
      </c>
      <c r="D2408" s="17" t="s">
        <v>22127</v>
      </c>
      <c r="E2408" s="10">
        <v>470451</v>
      </c>
      <c r="F2408" s="4" t="str">
        <f>IF(B2408=B2407,"",B2408)</f>
        <v/>
      </c>
    </row>
    <row r="2409" spans="1:6" ht="15.75" customHeight="1">
      <c r="A2409" s="6" t="s">
        <v>23316</v>
      </c>
      <c r="B2409" s="6" t="s">
        <v>23316</v>
      </c>
      <c r="C2409" s="6" t="s">
        <v>22070</v>
      </c>
      <c r="D2409" s="6" t="s">
        <v>22094</v>
      </c>
      <c r="E2409" s="2">
        <v>470546</v>
      </c>
      <c r="F2409" s="4" t="str">
        <f>IF(B2409=B2408,"",B2409)</f>
        <v>Vyborg</v>
      </c>
    </row>
    <row r="2410" spans="1:6" ht="15.75" customHeight="1">
      <c r="A2410" s="5" t="str">
        <f ca="1">IFERROR(__xludf.DUMMYFUNCTION("GOOGLETRANSLATE(B39961,""en"",""pt"")"),"Vyborg")</f>
        <v>Vyborg</v>
      </c>
      <c r="B2410" s="17" t="s">
        <v>23316</v>
      </c>
      <c r="C2410" s="17" t="s">
        <v>22070</v>
      </c>
      <c r="D2410" s="17" t="s">
        <v>22094</v>
      </c>
      <c r="E2410" s="10">
        <v>470546</v>
      </c>
      <c r="F2410" s="4" t="str">
        <f>IF(B2410=B2409,"",B2410)</f>
        <v/>
      </c>
    </row>
    <row r="2411" spans="1:6" ht="15.75" customHeight="1">
      <c r="A2411" s="6" t="s">
        <v>23315</v>
      </c>
      <c r="B2411" s="6" t="s">
        <v>23315</v>
      </c>
      <c r="C2411" s="6" t="s">
        <v>22070</v>
      </c>
      <c r="D2411" s="6" t="s">
        <v>22113</v>
      </c>
      <c r="E2411" s="2">
        <v>470666</v>
      </c>
      <c r="F2411" s="4" t="str">
        <f>IF(B2411=B2410,"",B2411)</f>
        <v>Vyazniki</v>
      </c>
    </row>
    <row r="2412" spans="1:6" ht="15.75" customHeight="1">
      <c r="A2412" s="5" t="str">
        <f ca="1">IFERROR(__xludf.DUMMYFUNCTION("GOOGLETRANSLATE(B39962,""en"",""pt"")"),"Vyazniki")</f>
        <v>Vyazniki</v>
      </c>
      <c r="B2412" s="17" t="s">
        <v>23315</v>
      </c>
      <c r="C2412" s="17" t="s">
        <v>22070</v>
      </c>
      <c r="D2412" s="17" t="s">
        <v>22113</v>
      </c>
      <c r="E2412" s="10">
        <v>470666</v>
      </c>
      <c r="F2412" s="4" t="str">
        <f>IF(B2412=B2411,"",B2412)</f>
        <v/>
      </c>
    </row>
    <row r="2413" spans="1:6" ht="15.75" customHeight="1">
      <c r="A2413" s="5" t="s">
        <v>23314</v>
      </c>
      <c r="B2413" s="6" t="s">
        <v>23314</v>
      </c>
      <c r="C2413" s="5" t="s">
        <v>22070</v>
      </c>
      <c r="D2413" s="5" t="s">
        <v>22131</v>
      </c>
      <c r="E2413" s="2">
        <v>2013229</v>
      </c>
      <c r="F2413" s="4" t="str">
        <f>IF(B2413=B2412,"",B2413)</f>
        <v>Vyazemskiy</v>
      </c>
    </row>
    <row r="2414" spans="1:6" ht="15.75" customHeight="1">
      <c r="A2414" s="5" t="str">
        <f ca="1">IFERROR(__xludf.DUMMYFUNCTION("GOOGLETRANSLATE(B40894,""en"",""pt"")"),"Vyazemskiy")</f>
        <v>Vyazemskiy</v>
      </c>
      <c r="B2414" s="17" t="s">
        <v>23314</v>
      </c>
      <c r="C2414" s="17" t="s">
        <v>22070</v>
      </c>
      <c r="D2414" s="17" t="s">
        <v>22131</v>
      </c>
      <c r="E2414" s="10">
        <v>2013229</v>
      </c>
      <c r="F2414" s="4" t="str">
        <f>IF(B2414=B2413,"",B2414)</f>
        <v/>
      </c>
    </row>
    <row r="2415" spans="1:6" ht="15.75" customHeight="1">
      <c r="A2415" s="5" t="s">
        <v>23312</v>
      </c>
      <c r="B2415" s="6" t="s">
        <v>23313</v>
      </c>
      <c r="C2415" s="5" t="s">
        <v>22070</v>
      </c>
      <c r="D2415" s="5" t="s">
        <v>22336</v>
      </c>
      <c r="E2415" s="2">
        <v>470676</v>
      </c>
      <c r="F2415" s="4" t="str">
        <f>IF(B2415=B2414,"",B2415)</f>
        <v>Vyazâ€™ma</v>
      </c>
    </row>
    <row r="2416" spans="1:6" ht="15.75" customHeight="1">
      <c r="A2416" s="5" t="str">
        <f ca="1">IFERROR(__xludf.DUMMYFUNCTION("GOOGLETRANSLATE(B39963,""en"",""pt"")"),"Vyaz'ma")</f>
        <v>Vyaz'ma</v>
      </c>
      <c r="B2416" s="17" t="s">
        <v>35434</v>
      </c>
      <c r="C2416" s="17" t="s">
        <v>22070</v>
      </c>
      <c r="D2416" s="17" t="s">
        <v>22336</v>
      </c>
      <c r="E2416" s="10">
        <v>470676</v>
      </c>
      <c r="F2416" s="4" t="str">
        <f>IF(B2416=B2415,"",B2416)</f>
        <v>Vyaz’ma</v>
      </c>
    </row>
    <row r="2417" spans="1:6" ht="15.75" customHeight="1">
      <c r="A2417" s="5" t="s">
        <v>23311</v>
      </c>
      <c r="B2417" s="6" t="s">
        <v>23311</v>
      </c>
      <c r="C2417" s="5" t="s">
        <v>22070</v>
      </c>
      <c r="D2417" s="5" t="s">
        <v>22524</v>
      </c>
      <c r="E2417" s="2">
        <v>470734</v>
      </c>
      <c r="F2417" s="4" t="str">
        <f>IF(B2417=B2416,"",B2417)</f>
        <v>Vyatskiye Polyany</v>
      </c>
    </row>
    <row r="2418" spans="1:6" ht="15.75" customHeight="1">
      <c r="A2418" s="5" t="str">
        <f ca="1">IFERROR(__xludf.DUMMYFUNCTION("GOOGLETRANSLATE(B39964,""en"",""pt"")"),"Vyatskiye Polyany")</f>
        <v>Vyatskiye Polyany</v>
      </c>
      <c r="B2418" s="17" t="s">
        <v>23311</v>
      </c>
      <c r="C2418" s="17" t="s">
        <v>22070</v>
      </c>
      <c r="D2418" s="17" t="s">
        <v>22524</v>
      </c>
      <c r="E2418" s="10">
        <v>470734</v>
      </c>
      <c r="F2418" s="4" t="str">
        <f>IF(B2418=B2417,"",B2418)</f>
        <v/>
      </c>
    </row>
    <row r="2419" spans="1:6" ht="15.75" customHeight="1">
      <c r="A2419" s="5" t="str">
        <f ca="1">IFERROR(__xludf.DUMMYFUNCTION("GOOGLETRANSLATE(B31861,""en"",""pt"")"),"Vyāra")</f>
        <v>Vyāra</v>
      </c>
      <c r="B2419" s="17" t="s">
        <v>32951</v>
      </c>
      <c r="C2419" s="17" t="s">
        <v>10178</v>
      </c>
      <c r="D2419" s="17" t="s">
        <v>10209</v>
      </c>
      <c r="E2419" s="10">
        <v>1253074</v>
      </c>
      <c r="F2419" s="4" t="str">
        <f>IF(B2419=B2418,"",B2419)</f>
        <v>Vyāra</v>
      </c>
    </row>
    <row r="2420" spans="1:6" ht="15.75" customHeight="1">
      <c r="A2420" s="6" t="s">
        <v>13750</v>
      </c>
      <c r="B2420" s="6" t="s">
        <v>13751</v>
      </c>
      <c r="C2420" s="6" t="s">
        <v>10178</v>
      </c>
      <c r="D2420" s="6" t="s">
        <v>10209</v>
      </c>
      <c r="E2420" s="2">
        <v>1253074</v>
      </c>
      <c r="F2420" s="4" t="str">
        <f>IF(B2420=B2419,"",B2420)</f>
        <v>VyÄra</v>
      </c>
    </row>
    <row r="2421" spans="1:6" ht="15.75" customHeight="1">
      <c r="A2421" s="6" t="s">
        <v>6122</v>
      </c>
      <c r="B2421" s="6" t="s">
        <v>6123</v>
      </c>
      <c r="C2421" s="6" t="s">
        <v>5947</v>
      </c>
      <c r="D2421" s="6" t="s">
        <v>5982</v>
      </c>
      <c r="E2421" s="2">
        <v>3062283</v>
      </c>
      <c r="F2421" s="4" t="str">
        <f>IF(B2421=B2420,"",B2421)</f>
        <v>VyÅ¡kov</v>
      </c>
    </row>
    <row r="2422" spans="1:6" ht="15.75" customHeight="1">
      <c r="A2422" s="6" t="s">
        <v>25765</v>
      </c>
      <c r="B2422" s="6" t="s">
        <v>25765</v>
      </c>
      <c r="C2422" s="6" t="s">
        <v>25560</v>
      </c>
      <c r="D2422" s="6" t="s">
        <v>25589</v>
      </c>
      <c r="E2422" s="2">
        <v>148942</v>
      </c>
      <c r="F2422" s="4" t="str">
        <f>IF(B2422=B2421,"",B2422)</f>
        <v>Vwawa</v>
      </c>
    </row>
    <row r="2423" spans="1:6" ht="15.75" customHeight="1">
      <c r="A2423" s="5" t="str">
        <f ca="1">IFERROR(__xludf.DUMMYFUNCTION("GOOGLETRANSLATE(B42283,""en"",""pt"")"),"Vwawa")</f>
        <v>Vwawa</v>
      </c>
      <c r="B2423" s="17" t="s">
        <v>25765</v>
      </c>
      <c r="C2423" s="17" t="s">
        <v>25560</v>
      </c>
      <c r="D2423" s="17" t="s">
        <v>25589</v>
      </c>
      <c r="E2423" s="10">
        <v>148942</v>
      </c>
      <c r="F2423" s="4" t="str">
        <f>IF(B2423=B2422,"",B2423)</f>
        <v/>
      </c>
    </row>
    <row r="2424" spans="1:6" ht="15.75" customHeight="1">
      <c r="A2424" s="5" t="str">
        <f ca="1">IFERROR(__xludf.DUMMYFUNCTION("GOOGLETRANSLATE(B31862,""en"",""pt"")"),"Vuyyyūru")</f>
        <v>Vuyyyūru</v>
      </c>
      <c r="B2424" s="17" t="s">
        <v>32952</v>
      </c>
      <c r="C2424" s="17" t="s">
        <v>10178</v>
      </c>
      <c r="D2424" s="17" t="s">
        <v>10190</v>
      </c>
      <c r="E2424" s="10">
        <v>1253077</v>
      </c>
      <c r="F2424" s="4" t="str">
        <f>IF(B2424=B2423,"",B2424)</f>
        <v>Vuyyūru</v>
      </c>
    </row>
    <row r="2425" spans="1:6" ht="15.75" customHeight="1">
      <c r="A2425" s="5" t="s">
        <v>13748</v>
      </c>
      <c r="B2425" s="6" t="s">
        <v>13749</v>
      </c>
      <c r="C2425" s="5" t="s">
        <v>10178</v>
      </c>
      <c r="D2425" s="5" t="s">
        <v>10190</v>
      </c>
      <c r="E2425" s="2">
        <v>1253077</v>
      </c>
      <c r="F2425" s="4" t="str">
        <f>IF(B2425=B2424,"",B2425)</f>
        <v>VuyyÅ«ru</v>
      </c>
    </row>
    <row r="2426" spans="1:6" ht="15.75" customHeight="1">
      <c r="A2426" s="6" t="s">
        <v>16879</v>
      </c>
      <c r="B2426" s="6" t="s">
        <v>16879</v>
      </c>
      <c r="C2426" s="6" t="s">
        <v>16852</v>
      </c>
      <c r="D2426" s="6" t="s">
        <v>16866</v>
      </c>
      <c r="E2426" s="2">
        <v>784097</v>
      </c>
      <c r="F2426" s="4" t="str">
        <f>IF(B2426=B2425,"",B2426)</f>
        <v>Vushtrri</v>
      </c>
    </row>
    <row r="2427" spans="1:6" ht="15.75" customHeight="1">
      <c r="A2427" s="5" t="str">
        <f ca="1">IFERROR(__xludf.DUMMYFUNCTION("GOOGLETRANSLATE(B45796,""en"",""pt"")"),"Vushtrri")</f>
        <v>Vushtrri</v>
      </c>
      <c r="B2427" s="17" t="s">
        <v>16879</v>
      </c>
      <c r="C2427" s="17" t="s">
        <v>16852</v>
      </c>
      <c r="D2427" s="17" t="s">
        <v>16866</v>
      </c>
      <c r="E2427" s="10">
        <v>784097</v>
      </c>
      <c r="F2427" s="4" t="str">
        <f>IF(B2427=B2426,"",B2427)</f>
        <v/>
      </c>
    </row>
    <row r="2428" spans="1:6" ht="15.75" customHeight="1">
      <c r="A2428" s="5" t="str">
        <f ca="1">IFERROR(__xludf.DUMMYFUNCTION("GOOGLETRANSLATE(B45711,""en"",""pt"")"),"Vũng tàu")</f>
        <v>Vũng tàu</v>
      </c>
      <c r="B2428" s="17" t="s">
        <v>36106</v>
      </c>
      <c r="C2428" s="17" t="s">
        <v>30784</v>
      </c>
      <c r="D2428" s="17" t="s">
        <v>36107</v>
      </c>
      <c r="E2428" s="10">
        <v>1562414</v>
      </c>
      <c r="F2428" s="4" t="str">
        <f>IF(B2428=B2427,"",B2428)</f>
        <v>Vũng Tàu</v>
      </c>
    </row>
    <row r="2429" spans="1:6" ht="15.75" customHeight="1">
      <c r="A2429" s="6" t="s">
        <v>22062</v>
      </c>
      <c r="B2429" s="6" t="s">
        <v>22062</v>
      </c>
      <c r="C2429" s="6" t="s">
        <v>21824</v>
      </c>
      <c r="D2429" s="6" t="s">
        <v>21865</v>
      </c>
      <c r="E2429" s="2">
        <v>662432</v>
      </c>
      <c r="F2429" s="4" t="str">
        <f>IF(B2429=B2428,"",B2429)</f>
        <v>Vulcan</v>
      </c>
    </row>
    <row r="2430" spans="1:6" ht="15.75" customHeight="1">
      <c r="A2430" s="5" t="str">
        <f ca="1">IFERROR(__xludf.DUMMYFUNCTION("GOOGLETRANSLATE(B39725,""en"",""pt"")"),"Vulcan")</f>
        <v>Vulcan</v>
      </c>
      <c r="B2430" s="17" t="s">
        <v>22062</v>
      </c>
      <c r="C2430" s="17" t="s">
        <v>21824</v>
      </c>
      <c r="D2430" s="17" t="s">
        <v>21865</v>
      </c>
      <c r="E2430" s="10">
        <v>662432</v>
      </c>
      <c r="F2430" s="4" t="str">
        <f>IF(B2430=B2429,"",B2430)</f>
        <v/>
      </c>
    </row>
    <row r="2431" spans="1:6" ht="15.75" customHeight="1">
      <c r="A2431" s="6" t="s">
        <v>5753</v>
      </c>
      <c r="B2431" s="6" t="s">
        <v>5753</v>
      </c>
      <c r="C2431" s="6" t="s">
        <v>5711</v>
      </c>
      <c r="D2431" s="6" t="s">
        <v>5750</v>
      </c>
      <c r="E2431" s="2">
        <v>3187047</v>
      </c>
      <c r="F2431" s="4" t="str">
        <f>IF(B2431=B2430,"",B2431)</f>
        <v>Vukovar</v>
      </c>
    </row>
    <row r="2432" spans="1:6" ht="15.75" customHeight="1">
      <c r="A2432" s="5" t="str">
        <f ca="1">IFERROR(__xludf.DUMMYFUNCTION("GOOGLETRANSLATE(B31190,""en"",""pt"")"),"Vukovar")</f>
        <v>Vukovar</v>
      </c>
      <c r="B2432" s="17" t="s">
        <v>5753</v>
      </c>
      <c r="C2432" s="17" t="s">
        <v>5711</v>
      </c>
      <c r="D2432" s="17" t="s">
        <v>5750</v>
      </c>
      <c r="E2432" s="10">
        <v>3187047</v>
      </c>
      <c r="F2432" s="4" t="str">
        <f>IF(B2432=B2431,"",B2432)</f>
        <v/>
      </c>
    </row>
    <row r="2433" spans="1:6" ht="15.75" customHeight="1">
      <c r="A2433" s="6" t="s">
        <v>19129</v>
      </c>
      <c r="B2433" s="6" t="s">
        <v>19129</v>
      </c>
      <c r="C2433" s="6" t="s">
        <v>18862</v>
      </c>
      <c r="D2433" s="6" t="s">
        <v>18888</v>
      </c>
      <c r="E2433" s="2">
        <v>2745154</v>
      </c>
      <c r="F2433" s="4" t="str">
        <f>IF(B2433=B2432,"",B2433)</f>
        <v>Vught</v>
      </c>
    </row>
    <row r="2434" spans="1:6" ht="15.75" customHeight="1">
      <c r="A2434" s="5" t="str">
        <f ca="1">IFERROR(__xludf.DUMMYFUNCTION("GOOGLETRANSLATE(B37915,""en"",""pt"")"),"Vught")</f>
        <v>Vught</v>
      </c>
      <c r="B2434" s="17" t="s">
        <v>19129</v>
      </c>
      <c r="C2434" s="17" t="s">
        <v>18862</v>
      </c>
      <c r="D2434" s="17" t="s">
        <v>18888</v>
      </c>
      <c r="E2434" s="10">
        <v>2745154</v>
      </c>
      <c r="F2434" s="4" t="str">
        <f>IF(B2434=B2433,"",B2434)</f>
        <v/>
      </c>
    </row>
    <row r="2435" spans="1:6" ht="15.75" customHeight="1">
      <c r="A2435" s="5" t="s">
        <v>23310</v>
      </c>
      <c r="B2435" s="6" t="s">
        <v>23310</v>
      </c>
      <c r="C2435" s="5" t="s">
        <v>22070</v>
      </c>
      <c r="D2435" s="5" t="s">
        <v>22094</v>
      </c>
      <c r="E2435" s="2">
        <v>471101</v>
      </c>
      <c r="F2435" s="4" t="str">
        <f>IF(B2435=B2434,"",B2435)</f>
        <v>Vsevolozhsk</v>
      </c>
    </row>
    <row r="2436" spans="1:6" ht="15.75" customHeight="1">
      <c r="A2436" s="5" t="str">
        <f ca="1">IFERROR(__xludf.DUMMYFUNCTION("GOOGLETRANSLATE(B39965,""en"",""pt"")"),"Vsevolozhsk")</f>
        <v>Vsevolozhsk</v>
      </c>
      <c r="B2436" s="17" t="s">
        <v>23310</v>
      </c>
      <c r="C2436" s="17" t="s">
        <v>22070</v>
      </c>
      <c r="D2436" s="17" t="s">
        <v>22094</v>
      </c>
      <c r="E2436" s="10">
        <v>471101</v>
      </c>
      <c r="F2436" s="4" t="str">
        <f>IF(B2436=B2435,"",B2436)</f>
        <v/>
      </c>
    </row>
    <row r="2437" spans="1:6" ht="15.75" customHeight="1">
      <c r="A2437" s="5" t="str">
        <f ca="1">IFERROR(__xludf.DUMMYFUNCTION("GOOGLETRANSLATE(B27249,""en"",""pt"")"),"Vsetín")</f>
        <v>Vsetín</v>
      </c>
      <c r="B2437" s="17" t="s">
        <v>31944</v>
      </c>
      <c r="C2437" s="17" t="s">
        <v>5947</v>
      </c>
      <c r="D2437" s="17" t="s">
        <v>31937</v>
      </c>
      <c r="E2437" s="10">
        <v>3062339</v>
      </c>
      <c r="F2437" s="4" t="str">
        <f>IF(B2437=B2436,"",B2437)</f>
        <v>Vsetín</v>
      </c>
    </row>
    <row r="2438" spans="1:6" ht="15.75" customHeight="1">
      <c r="A2438" s="6" t="s">
        <v>6120</v>
      </c>
      <c r="B2438" s="6" t="s">
        <v>6121</v>
      </c>
      <c r="C2438" s="6" t="s">
        <v>5947</v>
      </c>
      <c r="D2438" s="6" t="s">
        <v>6045</v>
      </c>
      <c r="E2438" s="2">
        <v>3062339</v>
      </c>
      <c r="F2438" s="4" t="str">
        <f>IF(B2438=B2437,"",B2438)</f>
        <v>VsetÃ­n</v>
      </c>
    </row>
    <row r="2439" spans="1:6" ht="15.75" customHeight="1">
      <c r="A2439" s="6" t="s">
        <v>24007</v>
      </c>
      <c r="B2439" s="6" t="s">
        <v>24007</v>
      </c>
      <c r="C2439" s="6" t="s">
        <v>23842</v>
      </c>
      <c r="D2439" s="6" t="s">
        <v>23851</v>
      </c>
      <c r="E2439" s="2">
        <v>942470</v>
      </c>
      <c r="F2439" s="4" t="str">
        <f>IF(B2439=B2438,"",B2439)</f>
        <v>Vryheid</v>
      </c>
    </row>
    <row r="2440" spans="1:6" ht="15.75" customHeight="1">
      <c r="A2440" s="5" t="str">
        <f ca="1">IFERROR(__xludf.DUMMYFUNCTION("GOOGLETRANSLATE(B45852,""en"",""pt"")"),"Vryheid")</f>
        <v>Vryheid</v>
      </c>
      <c r="B2440" s="17" t="s">
        <v>24007</v>
      </c>
      <c r="C2440" s="17" t="s">
        <v>23842</v>
      </c>
      <c r="D2440" s="17" t="s">
        <v>23851</v>
      </c>
      <c r="E2440" s="10">
        <v>942470</v>
      </c>
      <c r="F2440" s="4" t="str">
        <f>IF(B2440=B2439,"",B2440)</f>
        <v/>
      </c>
    </row>
    <row r="2441" spans="1:6" ht="15.75" customHeight="1">
      <c r="A2441" s="6" t="s">
        <v>24006</v>
      </c>
      <c r="B2441" s="6" t="s">
        <v>24006</v>
      </c>
      <c r="C2441" s="6" t="s">
        <v>23842</v>
      </c>
      <c r="D2441" s="6" t="s">
        <v>23860</v>
      </c>
      <c r="E2441" s="2">
        <v>942511</v>
      </c>
      <c r="F2441" s="4" t="str">
        <f>IF(B2441=B2440,"",B2441)</f>
        <v>Vryburg</v>
      </c>
    </row>
    <row r="2442" spans="1:6" ht="15.75" customHeight="1">
      <c r="A2442" s="5" t="str">
        <f ca="1">IFERROR(__xludf.DUMMYFUNCTION("GOOGLETRANSLATE(B45853,""en"",""pt"")"),"Vryburg")</f>
        <v>Vryburg</v>
      </c>
      <c r="B2442" s="17" t="s">
        <v>24006</v>
      </c>
      <c r="C2442" s="17" t="s">
        <v>23842</v>
      </c>
      <c r="D2442" s="17" t="s">
        <v>23860</v>
      </c>
      <c r="E2442" s="10">
        <v>942511</v>
      </c>
      <c r="F2442" s="4" t="str">
        <f>IF(B2442=B2441,"",B2442)</f>
        <v/>
      </c>
    </row>
    <row r="2443" spans="1:6" ht="15.75" customHeight="1">
      <c r="A2443" s="5" t="str">
        <f ca="1">IFERROR(__xludf.DUMMYFUNCTION("GOOGLETRANSLATE(B39860,""en"",""pt"")"),"Vršac")</f>
        <v>Vršac</v>
      </c>
      <c r="B2443" s="17" t="s">
        <v>35413</v>
      </c>
      <c r="C2443" s="17" t="s">
        <v>23602</v>
      </c>
      <c r="D2443" s="17" t="s">
        <v>23610</v>
      </c>
      <c r="E2443" s="10">
        <v>784136</v>
      </c>
      <c r="F2443" s="4" t="str">
        <f>IF(B2443=B2442,"",B2443)</f>
        <v>Vršac</v>
      </c>
    </row>
    <row r="2444" spans="1:6" ht="15.75" customHeight="1">
      <c r="A2444" s="5" t="str">
        <f ca="1">IFERROR(__xludf.DUMMYFUNCTION("GOOGLETRANSLATE(B31863,""en"",""pt"")"),"Vrindāvan")</f>
        <v>Vrindāvan</v>
      </c>
      <c r="B2444" s="17" t="s">
        <v>32953</v>
      </c>
      <c r="C2444" s="17" t="s">
        <v>10178</v>
      </c>
      <c r="D2444" s="17" t="s">
        <v>10193</v>
      </c>
      <c r="E2444" s="10">
        <v>1253079</v>
      </c>
      <c r="F2444" s="4" t="str">
        <f>IF(B2444=B2443,"",B2444)</f>
        <v>Vrindāvan</v>
      </c>
    </row>
    <row r="2445" spans="1:6" ht="15.75" customHeight="1">
      <c r="A2445" s="5" t="s">
        <v>13746</v>
      </c>
      <c r="B2445" s="6" t="s">
        <v>13747</v>
      </c>
      <c r="C2445" s="5" t="s">
        <v>10178</v>
      </c>
      <c r="D2445" s="5" t="s">
        <v>10193</v>
      </c>
      <c r="E2445" s="2">
        <v>1253079</v>
      </c>
      <c r="F2445" s="4" t="str">
        <f>IF(B2445=B2444,"",B2445)</f>
        <v>VrindÄvan</v>
      </c>
    </row>
    <row r="2446" spans="1:6" ht="15.75" customHeight="1">
      <c r="A2446" s="6" t="s">
        <v>9659</v>
      </c>
      <c r="B2446" s="6" t="s">
        <v>9659</v>
      </c>
      <c r="C2446" s="6" t="s">
        <v>9441</v>
      </c>
      <c r="D2446" s="6" t="s">
        <v>9445</v>
      </c>
      <c r="E2446" s="2">
        <v>6324534</v>
      </c>
      <c r="F2446" s="4" t="str">
        <f>IF(B2446=B2445,"",B2446)</f>
        <v>Vrilissia</v>
      </c>
    </row>
    <row r="2447" spans="1:6" ht="15.75" customHeight="1">
      <c r="A2447" s="5" t="str">
        <f ca="1">IFERROR(__xludf.DUMMYFUNCTION("GOOGLETRANSLATE(B31054,""en"",""pt"")"),"Vrilissia")</f>
        <v>Vrilissia</v>
      </c>
      <c r="B2447" s="17" t="s">
        <v>9659</v>
      </c>
      <c r="C2447" s="17" t="s">
        <v>9441</v>
      </c>
      <c r="D2447" s="17" t="s">
        <v>9445</v>
      </c>
      <c r="E2447" s="10">
        <v>6324534</v>
      </c>
      <c r="F2447" s="4" t="str">
        <f>IF(B2447=B2446,"",B2447)</f>
        <v/>
      </c>
    </row>
    <row r="2448" spans="1:6" ht="15.75" customHeight="1">
      <c r="A2448" s="5" t="str">
        <f ca="1">IFERROR(__xludf.DUMMYFUNCTION("GOOGLETRANSLATE(B31864,""en"",""pt"")"),"Vriddhāchalam")</f>
        <v>Vriddhāchalam</v>
      </c>
      <c r="B2448" s="17" t="s">
        <v>32954</v>
      </c>
      <c r="C2448" s="17" t="s">
        <v>10178</v>
      </c>
      <c r="D2448" s="17" t="s">
        <v>10196</v>
      </c>
      <c r="E2448" s="10">
        <v>1253080</v>
      </c>
      <c r="F2448" s="4" t="str">
        <f>IF(B2448=B2447,"",B2448)</f>
        <v>Vriddhāchalam</v>
      </c>
    </row>
    <row r="2449" spans="1:6" ht="15.75" customHeight="1">
      <c r="A2449" s="5" t="s">
        <v>13744</v>
      </c>
      <c r="B2449" s="6" t="s">
        <v>13745</v>
      </c>
      <c r="C2449" s="5" t="s">
        <v>10178</v>
      </c>
      <c r="D2449" s="5" t="s">
        <v>10196</v>
      </c>
      <c r="E2449" s="2">
        <v>1253080</v>
      </c>
      <c r="F2449" s="4" t="str">
        <f>IF(B2449=B2448,"",B2449)</f>
        <v>VriddhÄchalam</v>
      </c>
    </row>
    <row r="2450" spans="1:6" ht="15.75" customHeight="1">
      <c r="A2450" s="6" t="s">
        <v>9240</v>
      </c>
      <c r="B2450" s="6" t="s">
        <v>9240</v>
      </c>
      <c r="C2450" s="6" t="s">
        <v>8028</v>
      </c>
      <c r="D2450" s="6" t="s">
        <v>8029</v>
      </c>
      <c r="E2450" s="2">
        <v>2815824</v>
      </c>
      <c r="F2450" s="4" t="str">
        <f>IF(B2450=B2449,"",B2450)</f>
        <v>Vreden</v>
      </c>
    </row>
    <row r="2451" spans="1:6" ht="15.75" customHeight="1">
      <c r="A2451" s="5" t="str">
        <f ca="1">IFERROR(__xludf.DUMMYFUNCTION("GOOGLETRANSLATE(B27440,""en"",""pt"")"),"Vreden")</f>
        <v>Vreden</v>
      </c>
      <c r="B2451" s="17" t="s">
        <v>9240</v>
      </c>
      <c r="C2451" s="17" t="s">
        <v>8028</v>
      </c>
      <c r="D2451" s="17" t="s">
        <v>8029</v>
      </c>
      <c r="E2451" s="10">
        <v>2815824</v>
      </c>
      <c r="F2451" s="4" t="str">
        <f>IF(B2451=B2450,"",B2451)</f>
        <v/>
      </c>
    </row>
    <row r="2452" spans="1:6" ht="15.75" customHeight="1">
      <c r="A2452" s="6" t="s">
        <v>23668</v>
      </c>
      <c r="B2452" s="6" t="s">
        <v>23668</v>
      </c>
      <c r="C2452" s="6" t="s">
        <v>23602</v>
      </c>
      <c r="D2452" s="6" t="s">
        <v>23610</v>
      </c>
      <c r="E2452" s="2">
        <v>3187297</v>
      </c>
      <c r="F2452" s="4" t="str">
        <f>IF(B2452=B2451,"",B2452)</f>
        <v>Vrbas</v>
      </c>
    </row>
    <row r="2453" spans="1:6" ht="15.75" customHeight="1">
      <c r="A2453" s="5" t="str">
        <f ca="1">IFERROR(__xludf.DUMMYFUNCTION("GOOGLETRANSLATE(B39892,""en"",""pt"")"),"Vrbas")</f>
        <v>Vrbas</v>
      </c>
      <c r="B2453" s="17" t="s">
        <v>23668</v>
      </c>
      <c r="C2453" s="17" t="s">
        <v>23602</v>
      </c>
      <c r="D2453" s="17" t="s">
        <v>23610</v>
      </c>
      <c r="E2453" s="10">
        <v>3187297</v>
      </c>
      <c r="F2453" s="4" t="str">
        <f>IF(B2453=B2452,"",B2453)</f>
        <v/>
      </c>
    </row>
    <row r="2454" spans="1:6" ht="15.75" customHeight="1">
      <c r="A2454" s="6" t="s">
        <v>3764</v>
      </c>
      <c r="B2454" s="6" t="s">
        <v>3764</v>
      </c>
      <c r="C2454" s="6" t="s">
        <v>3701</v>
      </c>
      <c r="D2454" s="6" t="s">
        <v>3764</v>
      </c>
      <c r="E2454" s="2">
        <v>725712</v>
      </c>
      <c r="F2454" s="4" t="str">
        <f>IF(B2454=B2453,"",B2454)</f>
        <v>Vratsa</v>
      </c>
    </row>
    <row r="2455" spans="1:6" ht="15.75" customHeight="1">
      <c r="A2455" s="5" t="str">
        <f ca="1">IFERROR(__xludf.DUMMYFUNCTION("GOOGLETRANSLATE(B24008,""en"",""pt"")"),"Vratsa")</f>
        <v>Vratsa</v>
      </c>
      <c r="B2455" s="17" t="s">
        <v>3764</v>
      </c>
      <c r="C2455" s="17" t="s">
        <v>3701</v>
      </c>
      <c r="D2455" s="17" t="s">
        <v>3764</v>
      </c>
      <c r="E2455" s="10">
        <v>725712</v>
      </c>
      <c r="F2455" s="4" t="str">
        <f>IF(B2455=B2454,"",B2455)</f>
        <v/>
      </c>
    </row>
    <row r="2456" spans="1:6" ht="15.75" customHeight="1">
      <c r="A2456" s="5" t="str">
        <f ca="1">IFERROR(__xludf.DUMMYFUNCTION("GOOGLETRANSLATE(B41221,""en"",""pt"")"),"Vranov Nad Topľou")</f>
        <v>Vranov Nad Topľou</v>
      </c>
      <c r="B2456" s="17" t="s">
        <v>35665</v>
      </c>
      <c r="C2456" s="17" t="s">
        <v>23694</v>
      </c>
      <c r="D2456" s="17" t="s">
        <v>35666</v>
      </c>
      <c r="E2456" s="10">
        <v>723195</v>
      </c>
      <c r="F2456" s="4" t="str">
        <f>IF(B2456=B2455,"",B2456)</f>
        <v>Vranov nad Topľou</v>
      </c>
    </row>
    <row r="2457" spans="1:6" ht="15.75" customHeight="1">
      <c r="A2457" s="5" t="s">
        <v>23779</v>
      </c>
      <c r="B2457" s="6" t="s">
        <v>23780</v>
      </c>
      <c r="C2457" s="5" t="s">
        <v>23694</v>
      </c>
      <c r="D2457" s="5" t="s">
        <v>23706</v>
      </c>
      <c r="E2457" s="2">
        <v>723195</v>
      </c>
      <c r="F2457" s="4" t="str">
        <f>IF(B2457=B2456,"",B2457)</f>
        <v>Vranov nad TopÄ¾ou</v>
      </c>
    </row>
    <row r="2458" spans="1:6" ht="15.75" customHeight="1">
      <c r="A2458" s="6" t="s">
        <v>23666</v>
      </c>
      <c r="B2458" s="6" t="s">
        <v>23667</v>
      </c>
      <c r="C2458" s="6" t="s">
        <v>23602</v>
      </c>
      <c r="D2458" s="6" t="s">
        <v>23603</v>
      </c>
      <c r="E2458" s="2">
        <v>784227</v>
      </c>
      <c r="F2458" s="4" t="str">
        <f>IF(B2458=B2457,"",B2458)</f>
        <v>Vranje</v>
      </c>
    </row>
    <row r="2459" spans="1:6" ht="15.75" customHeight="1">
      <c r="A2459" s="5" t="str">
        <f ca="1">IFERROR(__xludf.DUMMYFUNCTION("GOOGLETRANSLATE(B39861,""en"",""pt"")"),"VRANJE")</f>
        <v>VRANJE</v>
      </c>
      <c r="B2459" s="17" t="s">
        <v>23667</v>
      </c>
      <c r="C2459" s="17" t="s">
        <v>23602</v>
      </c>
      <c r="D2459" s="17" t="s">
        <v>23603</v>
      </c>
      <c r="E2459" s="10">
        <v>784227</v>
      </c>
      <c r="F2459" s="4" t="str">
        <f>IF(B2459=B2458,"",B2459)</f>
        <v/>
      </c>
    </row>
    <row r="2460" spans="1:6" ht="15.75" customHeight="1">
      <c r="A2460" s="5" t="s">
        <v>23308</v>
      </c>
      <c r="B2460" s="6" t="s">
        <v>23309</v>
      </c>
      <c r="C2460" s="5" t="s">
        <v>22070</v>
      </c>
      <c r="D2460" s="5" t="s">
        <v>22154</v>
      </c>
      <c r="E2460" s="2">
        <v>2013258</v>
      </c>
      <c r="F2460" s="4" t="str">
        <f>IF(B2460=B2459,"",B2460)</f>
        <v>Vrangelâ€™</v>
      </c>
    </row>
    <row r="2461" spans="1:6" ht="15.75" customHeight="1">
      <c r="A2461" s="5" t="str">
        <f ca="1">IFERROR(__xludf.DUMMYFUNCTION("GOOGLETRANSLATE(B40895,""en"",""pt"")"),"Vrangel '")</f>
        <v>Vrangel '</v>
      </c>
      <c r="B2461" s="17" t="s">
        <v>35553</v>
      </c>
      <c r="C2461" s="17" t="s">
        <v>22070</v>
      </c>
      <c r="D2461" s="17" t="s">
        <v>22154</v>
      </c>
      <c r="E2461" s="10">
        <v>2013258</v>
      </c>
      <c r="F2461" s="4" t="str">
        <f>IF(B2461=B2460,"",B2461)</f>
        <v>Vrangel’</v>
      </c>
    </row>
    <row r="2462" spans="1:6" ht="15.75" customHeight="1">
      <c r="A2462" s="6" t="s">
        <v>23664</v>
      </c>
      <c r="B2462" s="6" t="s">
        <v>23665</v>
      </c>
      <c r="C2462" s="6" t="s">
        <v>23602</v>
      </c>
      <c r="D2462" s="6" t="s">
        <v>23610</v>
      </c>
      <c r="E2462" s="2">
        <v>784136</v>
      </c>
      <c r="F2462" s="4" t="str">
        <f>IF(B2462=B2461,"",B2462)</f>
        <v>VrÅ¡ac</v>
      </c>
    </row>
    <row r="2463" spans="1:6" ht="15.75" customHeight="1">
      <c r="A2463" s="5" t="s">
        <v>27190</v>
      </c>
      <c r="B2463" s="6" t="s">
        <v>27190</v>
      </c>
      <c r="C2463" s="5" t="s">
        <v>26870</v>
      </c>
      <c r="D2463" s="5" t="s">
        <v>27075</v>
      </c>
      <c r="E2463" s="2">
        <v>688860</v>
      </c>
      <c r="F2463" s="4" t="str">
        <f>IF(B2463=B2462,"",B2463)</f>
        <v>Voznesensk</v>
      </c>
    </row>
    <row r="2464" spans="1:6" ht="15.75" customHeight="1">
      <c r="A2464" s="5" t="str">
        <f ca="1">IFERROR(__xludf.DUMMYFUNCTION("GOOGLETRANSLATE(B42489,""en"",""pt"")"),"Voznesensk")</f>
        <v>Voznesensk</v>
      </c>
      <c r="B2464" s="17" t="s">
        <v>27190</v>
      </c>
      <c r="C2464" s="17" t="s">
        <v>26870</v>
      </c>
      <c r="D2464" s="17" t="s">
        <v>27075</v>
      </c>
      <c r="E2464" s="10">
        <v>688860</v>
      </c>
      <c r="F2464" s="4" t="str">
        <f>IF(B2464=B2463,"",B2464)</f>
        <v/>
      </c>
    </row>
    <row r="2465" spans="1:6" ht="15.75" customHeight="1">
      <c r="A2465" s="5" t="s">
        <v>27188</v>
      </c>
      <c r="B2465" s="6" t="s">
        <v>27189</v>
      </c>
      <c r="C2465" s="5" t="s">
        <v>26870</v>
      </c>
      <c r="D2465" s="5" t="s">
        <v>26893</v>
      </c>
      <c r="E2465" s="2">
        <v>689304</v>
      </c>
      <c r="F2465" s="4" t="str">
        <f>IF(B2465=B2464,"",B2465)</f>
        <v>Vovchansâ€™k</v>
      </c>
    </row>
    <row r="2466" spans="1:6" ht="15.75" customHeight="1">
      <c r="A2466" s="5" t="str">
        <f ca="1">IFERROR(__xludf.DUMMYFUNCTION("GOOGLETRANSLATE(B42491,""en"",""pt"")"),"Vovchans'k")</f>
        <v>Vovchans'k</v>
      </c>
      <c r="B2466" s="17" t="s">
        <v>35982</v>
      </c>
      <c r="C2466" s="17" t="s">
        <v>26870</v>
      </c>
      <c r="D2466" s="17" t="s">
        <v>26893</v>
      </c>
      <c r="E2466" s="10">
        <v>689304</v>
      </c>
      <c r="F2466" s="4" t="str">
        <f>IF(B2466=B2465,"",B2466)</f>
        <v>Vovchans’k</v>
      </c>
    </row>
    <row r="2467" spans="1:6" ht="15.75" customHeight="1">
      <c r="A2467" s="5" t="str">
        <f ca="1">IFERROR(__xludf.DUMMYFUNCTION("GOOGLETRANSLATE(B30953,""en"",""pt"")"),"Voúla")</f>
        <v>Voúla</v>
      </c>
      <c r="B2467" s="17" t="s">
        <v>32667</v>
      </c>
      <c r="C2467" s="17" t="s">
        <v>9441</v>
      </c>
      <c r="D2467" s="17" t="s">
        <v>9445</v>
      </c>
      <c r="E2467" s="10">
        <v>251780</v>
      </c>
      <c r="F2467" s="4" t="str">
        <f>IF(B2467=B2466,"",B2467)</f>
        <v>Voúla</v>
      </c>
    </row>
    <row r="2468" spans="1:6" ht="15.75" customHeight="1">
      <c r="A2468" s="5" t="s">
        <v>3682</v>
      </c>
      <c r="B2468" s="6" t="s">
        <v>3682</v>
      </c>
      <c r="C2468" s="5" t="s">
        <v>1905</v>
      </c>
      <c r="D2468" s="5" t="s">
        <v>1914</v>
      </c>
      <c r="E2468" s="2">
        <v>3444864</v>
      </c>
      <c r="F2468" s="4" t="str">
        <f>IF(B2468=B2467,"",B2468)</f>
        <v>Votuporanga</v>
      </c>
    </row>
    <row r="2469" spans="1:6" ht="15.75" customHeight="1">
      <c r="A2469" s="5" t="str">
        <f ca="1">IFERROR(__xludf.DUMMYFUNCTION("GOOGLETRANSLATE(B24428,""en"",""pt"")"),"Votuporanga")</f>
        <v>Votuporanga</v>
      </c>
      <c r="B2469" s="17" t="s">
        <v>3682</v>
      </c>
      <c r="C2469" s="17" t="s">
        <v>1905</v>
      </c>
      <c r="D2469" s="17" t="s">
        <v>3354</v>
      </c>
      <c r="E2469" s="10">
        <v>3444864</v>
      </c>
      <c r="F2469" s="4" t="str">
        <f>IF(B2469=B2468,"",B2469)</f>
        <v/>
      </c>
    </row>
    <row r="2470" spans="1:6" ht="15.75" customHeight="1">
      <c r="A2470" s="5" t="s">
        <v>3681</v>
      </c>
      <c r="B2470" s="6" t="s">
        <v>3681</v>
      </c>
      <c r="C2470" s="5" t="s">
        <v>1905</v>
      </c>
      <c r="D2470" s="5" t="s">
        <v>1914</v>
      </c>
      <c r="E2470" s="2">
        <v>3444866</v>
      </c>
      <c r="F2470" s="4" t="str">
        <f>IF(B2470=B2469,"",B2470)</f>
        <v>Votorantim</v>
      </c>
    </row>
    <row r="2471" spans="1:6" ht="15.75" customHeight="1">
      <c r="A2471" s="5" t="str">
        <f ca="1">IFERROR(__xludf.DUMMYFUNCTION("GOOGLETRANSLATE(B24429,""en"",""pt"")"),"Votorantim")</f>
        <v>Votorantim</v>
      </c>
      <c r="B2471" s="17" t="s">
        <v>3681</v>
      </c>
      <c r="C2471" s="17" t="s">
        <v>1905</v>
      </c>
      <c r="D2471" s="17" t="s">
        <v>3354</v>
      </c>
      <c r="E2471" s="10">
        <v>3444866</v>
      </c>
      <c r="F2471" s="4" t="str">
        <f>IF(B2471=B2470,"",B2471)</f>
        <v/>
      </c>
    </row>
    <row r="2472" spans="1:6" ht="15.75" customHeight="1">
      <c r="A2472" s="6" t="s">
        <v>23307</v>
      </c>
      <c r="B2472" s="6" t="s">
        <v>23307</v>
      </c>
      <c r="C2472" s="6" t="s">
        <v>22070</v>
      </c>
      <c r="D2472" s="6" t="s">
        <v>22189</v>
      </c>
      <c r="E2472" s="2">
        <v>471430</v>
      </c>
      <c r="F2472" s="4" t="str">
        <f>IF(B2472=B2471,"",B2472)</f>
        <v>Votkinsk</v>
      </c>
    </row>
    <row r="2473" spans="1:6" ht="15.75" customHeight="1">
      <c r="A2473" s="5" t="str">
        <f ca="1">IFERROR(__xludf.DUMMYFUNCTION("GOOGLETRANSLATE(B39966,""en"",""pt"")"),"Votkinsk")</f>
        <v>Votkinsk</v>
      </c>
      <c r="B2473" s="17" t="s">
        <v>23307</v>
      </c>
      <c r="C2473" s="17" t="s">
        <v>22070</v>
      </c>
      <c r="D2473" s="17" t="s">
        <v>22189</v>
      </c>
      <c r="E2473" s="10">
        <v>471430</v>
      </c>
      <c r="F2473" s="4" t="str">
        <f>IF(B2473=B2472,"",B2473)</f>
        <v/>
      </c>
    </row>
    <row r="2474" spans="1:6" ht="15.75" customHeight="1">
      <c r="A2474" s="5" t="s">
        <v>23306</v>
      </c>
      <c r="B2474" s="6" t="s">
        <v>23306</v>
      </c>
      <c r="C2474" s="5" t="s">
        <v>22070</v>
      </c>
      <c r="D2474" s="5" t="s">
        <v>22119</v>
      </c>
      <c r="E2474" s="2">
        <v>471456</v>
      </c>
      <c r="F2474" s="4" t="str">
        <f>IF(B2474=B2473,"",B2474)</f>
        <v>Vostryakovo</v>
      </c>
    </row>
    <row r="2475" spans="1:6" ht="15.75" customHeight="1">
      <c r="A2475" s="5" t="s">
        <v>23306</v>
      </c>
      <c r="B2475" s="6" t="s">
        <v>23306</v>
      </c>
      <c r="C2475" s="5" t="s">
        <v>22070</v>
      </c>
      <c r="D2475" s="5" t="s">
        <v>22119</v>
      </c>
      <c r="E2475" s="2">
        <v>471457</v>
      </c>
      <c r="F2475" s="4" t="str">
        <f>IF(B2475=B2474,"",B2475)</f>
        <v/>
      </c>
    </row>
    <row r="2476" spans="1:6" ht="15.75" customHeight="1">
      <c r="A2476" s="5" t="str">
        <f ca="1">IFERROR(__xludf.DUMMYFUNCTION("GOOGLETRANSLATE(B39967,""en"",""pt"")"),"Vostryakovo")</f>
        <v>Vostryakovo</v>
      </c>
      <c r="B2476" s="17" t="s">
        <v>23306</v>
      </c>
      <c r="C2476" s="17" t="s">
        <v>22070</v>
      </c>
      <c r="D2476" s="17" t="s">
        <v>22119</v>
      </c>
      <c r="E2476" s="10">
        <v>471456</v>
      </c>
      <c r="F2476" s="4" t="str">
        <f>IF(B2476=B2475,"",B2476)</f>
        <v/>
      </c>
    </row>
    <row r="2477" spans="1:6" ht="15.75" customHeight="1">
      <c r="A2477" s="5" t="str">
        <f ca="1">IFERROR(__xludf.DUMMYFUNCTION("GOOGLETRANSLATE(B39968,""en"",""pt"")"),"Vostryakovo")</f>
        <v>Vostryakovo</v>
      </c>
      <c r="B2477" s="17" t="s">
        <v>23306</v>
      </c>
      <c r="C2477" s="17" t="s">
        <v>22070</v>
      </c>
      <c r="D2477" s="17" t="s">
        <v>22119</v>
      </c>
      <c r="E2477" s="10">
        <v>471457</v>
      </c>
      <c r="F2477" s="4" t="str">
        <f>IF(B2477=B2476,"",B2477)</f>
        <v/>
      </c>
    </row>
    <row r="2478" spans="1:6" ht="15.75" customHeight="1">
      <c r="A2478" s="5" t="s">
        <v>23305</v>
      </c>
      <c r="B2478" s="6" t="s">
        <v>23305</v>
      </c>
      <c r="C2478" s="5" t="s">
        <v>22070</v>
      </c>
      <c r="D2478" s="5" t="s">
        <v>22119</v>
      </c>
      <c r="E2478" s="2">
        <v>8505053</v>
      </c>
      <c r="F2478" s="4" t="str">
        <f>IF(B2478=B2477,"",B2478)</f>
        <v>Vostochnoe Degunino</v>
      </c>
    </row>
    <row r="2479" spans="1:6" ht="15.75" customHeight="1">
      <c r="A2479" s="5" t="str">
        <f ca="1">IFERROR(__xludf.DUMMYFUNCTION("GOOGLETRANSLATE(B40997,""en"",""pt"")"),"Vostochnoe Degunino")</f>
        <v>Vostochnoe Degunino</v>
      </c>
      <c r="B2479" s="17" t="s">
        <v>23305</v>
      </c>
      <c r="C2479" s="17" t="s">
        <v>22070</v>
      </c>
      <c r="D2479" s="17" t="s">
        <v>22119</v>
      </c>
      <c r="E2479" s="10">
        <v>8505053</v>
      </c>
      <c r="F2479" s="4" t="str">
        <f>IF(B2479=B2478,"",B2479)</f>
        <v/>
      </c>
    </row>
    <row r="2480" spans="1:6" ht="15.75" customHeight="1">
      <c r="A2480" s="5" t="s">
        <v>23304</v>
      </c>
      <c r="B2480" s="6" t="s">
        <v>23304</v>
      </c>
      <c r="C2480" s="5" t="s">
        <v>22070</v>
      </c>
      <c r="D2480" s="5" t="s">
        <v>22119</v>
      </c>
      <c r="E2480" s="2">
        <v>471656</v>
      </c>
      <c r="F2480" s="4" t="str">
        <f>IF(B2480=B2479,"",B2480)</f>
        <v>Voskresensk</v>
      </c>
    </row>
    <row r="2481" spans="1:6" ht="15.75" customHeight="1">
      <c r="A2481" s="5" t="str">
        <f ca="1">IFERROR(__xludf.DUMMYFUNCTION("GOOGLETRANSLATE(B39969,""en"",""pt"")"),"Voskresensk")</f>
        <v>Voskresensk</v>
      </c>
      <c r="B2481" s="17" t="s">
        <v>23304</v>
      </c>
      <c r="C2481" s="17" t="s">
        <v>22070</v>
      </c>
      <c r="D2481" s="17" t="s">
        <v>22119</v>
      </c>
      <c r="E2481" s="10">
        <v>471656</v>
      </c>
      <c r="F2481" s="4" t="str">
        <f>IF(B2481=B2480,"",B2481)</f>
        <v/>
      </c>
    </row>
    <row r="2482" spans="1:6" ht="15.75" customHeight="1">
      <c r="A2482" s="6" t="s">
        <v>25556</v>
      </c>
      <c r="B2482" s="6" t="s">
        <v>25557</v>
      </c>
      <c r="C2482" s="6" t="s">
        <v>25527</v>
      </c>
      <c r="D2482" s="6" t="s">
        <v>25532</v>
      </c>
      <c r="E2482" s="2">
        <v>1220163</v>
      </c>
      <c r="F2482" s="4" t="str">
        <f>IF(B2482=B2481,"",B2482)</f>
        <v>Voseâ€™</v>
      </c>
    </row>
    <row r="2483" spans="1:6" ht="15.75" customHeight="1">
      <c r="A2483" s="5" t="str">
        <f ca="1">IFERROR(__xludf.DUMMYFUNCTION("GOOGLETRANSLATE(B41732,""en"",""pt"")"),"Vose '")</f>
        <v>Vose '</v>
      </c>
      <c r="B2483" s="17" t="s">
        <v>35781</v>
      </c>
      <c r="C2483" s="17" t="s">
        <v>25527</v>
      </c>
      <c r="D2483" s="17" t="s">
        <v>25532</v>
      </c>
      <c r="E2483" s="10">
        <v>1220163</v>
      </c>
      <c r="F2483" s="4" t="str">
        <f>IF(B2483=B2482,"",B2483)</f>
        <v>Vose’</v>
      </c>
    </row>
    <row r="2484" spans="1:6" ht="15.75" customHeight="1">
      <c r="A2484" s="6" t="s">
        <v>23303</v>
      </c>
      <c r="B2484" s="6" t="s">
        <v>23303</v>
      </c>
      <c r="C2484" s="6" t="s">
        <v>22070</v>
      </c>
      <c r="D2484" s="6" t="s">
        <v>22137</v>
      </c>
      <c r="E2484" s="2">
        <v>472045</v>
      </c>
      <c r="F2484" s="4" t="str">
        <f>IF(B2484=B2483,"",B2484)</f>
        <v>Voronezh</v>
      </c>
    </row>
    <row r="2485" spans="1:6" ht="15.75" customHeight="1">
      <c r="A2485" s="5" t="str">
        <f ca="1">IFERROR(__xludf.DUMMYFUNCTION("GOOGLETRANSLATE(B39970,""en"",""pt"")"),"Voronezh")</f>
        <v>Voronezh</v>
      </c>
      <c r="B2485" s="17" t="s">
        <v>23303</v>
      </c>
      <c r="C2485" s="17" t="s">
        <v>22070</v>
      </c>
      <c r="D2485" s="17" t="s">
        <v>22137</v>
      </c>
      <c r="E2485" s="10">
        <v>472045</v>
      </c>
      <c r="F2485" s="4" t="str">
        <f>IF(B2485=B2484,"",B2485)</f>
        <v/>
      </c>
    </row>
    <row r="2486" spans="1:6" ht="15.75" customHeight="1">
      <c r="A2486" s="5" t="s">
        <v>23301</v>
      </c>
      <c r="B2486" s="6" t="s">
        <v>23302</v>
      </c>
      <c r="C2486" s="5" t="s">
        <v>22070</v>
      </c>
      <c r="D2486" s="5" t="s">
        <v>22127</v>
      </c>
      <c r="E2486" s="2">
        <v>472079</v>
      </c>
      <c r="F2486" s="4" t="str">
        <f>IF(B2486=B2485,"",B2486)</f>
        <v>Vorobâ€™yovo</v>
      </c>
    </row>
    <row r="2487" spans="1:6" ht="15.75" customHeight="1">
      <c r="A2487" s="5" t="str">
        <f ca="1">IFERROR(__xludf.DUMMYFUNCTION("GOOGLETRANSLATE(B39972,""en"",""pt"")"),"Vorob'yovo")</f>
        <v>Vorob'yovo</v>
      </c>
      <c r="B2487" s="17" t="s">
        <v>35436</v>
      </c>
      <c r="C2487" s="17" t="s">
        <v>22070</v>
      </c>
      <c r="D2487" s="17" t="s">
        <v>22127</v>
      </c>
      <c r="E2487" s="10">
        <v>472079</v>
      </c>
      <c r="F2487" s="4" t="str">
        <f>IF(B2487=B2486,"",B2487)</f>
        <v>Vorob’yovo</v>
      </c>
    </row>
    <row r="2488" spans="1:6" ht="15.75" customHeight="1">
      <c r="A2488" s="6" t="s">
        <v>23300</v>
      </c>
      <c r="B2488" s="6" t="s">
        <v>23300</v>
      </c>
      <c r="C2488" s="6" t="s">
        <v>22070</v>
      </c>
      <c r="D2488" s="6" t="s">
        <v>22373</v>
      </c>
      <c r="E2488" s="2">
        <v>1486910</v>
      </c>
      <c r="F2488" s="4" t="str">
        <f>IF(B2488=B2487,"",B2488)</f>
        <v>Vorkuta</v>
      </c>
    </row>
    <row r="2489" spans="1:6" ht="15.75" customHeight="1">
      <c r="A2489" s="5" t="str">
        <f ca="1">IFERROR(__xludf.DUMMYFUNCTION("GOOGLETRANSLATE(B40725,""en"",""pt"")"),"Vorkuta")</f>
        <v>Vorkuta</v>
      </c>
      <c r="B2489" s="17" t="s">
        <v>23300</v>
      </c>
      <c r="C2489" s="17" t="s">
        <v>22070</v>
      </c>
      <c r="D2489" s="17" t="s">
        <v>22373</v>
      </c>
      <c r="E2489" s="10">
        <v>1486910</v>
      </c>
      <c r="F2489" s="4" t="str">
        <f>IF(B2489=B2488,"",B2489)</f>
        <v/>
      </c>
    </row>
    <row r="2490" spans="1:6" ht="15.75" customHeight="1">
      <c r="A2490" s="5" t="s">
        <v>23299</v>
      </c>
      <c r="B2490" s="6" t="s">
        <v>23299</v>
      </c>
      <c r="C2490" s="5" t="s">
        <v>22070</v>
      </c>
      <c r="D2490" s="5" t="s">
        <v>22373</v>
      </c>
      <c r="E2490" s="2">
        <v>1486913</v>
      </c>
      <c r="F2490" s="4" t="str">
        <f>IF(B2490=B2489,"",B2490)</f>
        <v>Vorgashor</v>
      </c>
    </row>
    <row r="2491" spans="1:6" ht="15.75" customHeight="1">
      <c r="A2491" s="5" t="str">
        <f ca="1">IFERROR(__xludf.DUMMYFUNCTION("GOOGLETRANSLATE(B40726,""en"",""pt"")"),"Vorgashor")</f>
        <v>Vorgashor</v>
      </c>
      <c r="B2491" s="17" t="s">
        <v>23299</v>
      </c>
      <c r="C2491" s="17" t="s">
        <v>22070</v>
      </c>
      <c r="D2491" s="17" t="s">
        <v>22373</v>
      </c>
      <c r="E2491" s="10">
        <v>1486913</v>
      </c>
      <c r="F2491" s="4" t="str">
        <f>IF(B2491=B2490,"",B2491)</f>
        <v/>
      </c>
    </row>
    <row r="2492" spans="1:6" ht="15.75" customHeight="1">
      <c r="A2492" s="6" t="s">
        <v>19128</v>
      </c>
      <c r="B2492" s="6" t="s">
        <v>19128</v>
      </c>
      <c r="C2492" s="6" t="s">
        <v>18862</v>
      </c>
      <c r="D2492" s="6" t="s">
        <v>18865</v>
      </c>
      <c r="E2492" s="2">
        <v>2745297</v>
      </c>
      <c r="F2492" s="4" t="str">
        <f>IF(B2492=B2491,"",B2492)</f>
        <v>Voorst</v>
      </c>
    </row>
    <row r="2493" spans="1:6" ht="15.75" customHeight="1">
      <c r="A2493" s="5" t="str">
        <f ca="1">IFERROR(__xludf.DUMMYFUNCTION("GOOGLETRANSLATE(B37916,""en"",""pt"")"),"Voorst")</f>
        <v>Voorst</v>
      </c>
      <c r="B2493" s="17" t="s">
        <v>19128</v>
      </c>
      <c r="C2493" s="17" t="s">
        <v>18862</v>
      </c>
      <c r="D2493" s="17" t="s">
        <v>18865</v>
      </c>
      <c r="E2493" s="10">
        <v>2745297</v>
      </c>
      <c r="F2493" s="4" t="str">
        <f>IF(B2493=B2492,"",B2493)</f>
        <v/>
      </c>
    </row>
    <row r="2494" spans="1:6" ht="15.75" customHeight="1">
      <c r="A2494" s="5" t="s">
        <v>19127</v>
      </c>
      <c r="B2494" s="6" t="s">
        <v>19127</v>
      </c>
      <c r="C2494" s="5" t="s">
        <v>18862</v>
      </c>
      <c r="D2494" s="5" t="s">
        <v>18868</v>
      </c>
      <c r="E2494" s="2">
        <v>2745301</v>
      </c>
      <c r="F2494" s="4" t="str">
        <f>IF(B2494=B2493,"",B2494)</f>
        <v>Voorschoten</v>
      </c>
    </row>
    <row r="2495" spans="1:6" ht="15.75" customHeight="1">
      <c r="A2495" s="5" t="str">
        <f ca="1">IFERROR(__xludf.DUMMYFUNCTION("GOOGLETRANSLATE(B37917,""en"",""pt"")"),"Voorschoten")</f>
        <v>Voorschoten</v>
      </c>
      <c r="B2495" s="17" t="s">
        <v>19127</v>
      </c>
      <c r="C2495" s="17" t="s">
        <v>18862</v>
      </c>
      <c r="D2495" s="17" t="s">
        <v>18868</v>
      </c>
      <c r="E2495" s="10">
        <v>2745301</v>
      </c>
      <c r="F2495" s="4" t="str">
        <f>IF(B2495=B2494,"",B2495)</f>
        <v/>
      </c>
    </row>
    <row r="2496" spans="1:6" ht="15.75" customHeight="1">
      <c r="A2496" s="6" t="s">
        <v>19126</v>
      </c>
      <c r="B2496" s="6" t="s">
        <v>19126</v>
      </c>
      <c r="C2496" s="6" t="s">
        <v>18862</v>
      </c>
      <c r="D2496" s="6" t="s">
        <v>18868</v>
      </c>
      <c r="E2496" s="2">
        <v>2745311</v>
      </c>
      <c r="F2496" s="4" t="str">
        <f>IF(B2496=B2495,"",B2496)</f>
        <v>Voorhout</v>
      </c>
    </row>
    <row r="2497" spans="1:6" ht="15.75" customHeight="1">
      <c r="A2497" s="5" t="str">
        <f ca="1">IFERROR(__xludf.DUMMYFUNCTION("GOOGLETRANSLATE(B37918,""en"",""pt"")"),"Voorhout")</f>
        <v>Voorhout</v>
      </c>
      <c r="B2497" s="17" t="s">
        <v>19126</v>
      </c>
      <c r="C2497" s="17" t="s">
        <v>18862</v>
      </c>
      <c r="D2497" s="17" t="s">
        <v>18868</v>
      </c>
      <c r="E2497" s="10">
        <v>2745311</v>
      </c>
      <c r="F2497" s="4" t="str">
        <f>IF(B2497=B2496,"",B2497)</f>
        <v/>
      </c>
    </row>
    <row r="2498" spans="1:6" ht="15.75" customHeight="1">
      <c r="A2498" s="6" t="s">
        <v>19125</v>
      </c>
      <c r="B2498" s="6" t="s">
        <v>19125</v>
      </c>
      <c r="C2498" s="6" t="s">
        <v>18862</v>
      </c>
      <c r="D2498" s="6" t="s">
        <v>18868</v>
      </c>
      <c r="E2498" s="2">
        <v>2745321</v>
      </c>
      <c r="F2498" s="4" t="str">
        <f>IF(B2498=B2497,"",B2498)</f>
        <v>Voorburg</v>
      </c>
    </row>
    <row r="2499" spans="1:6" ht="15.75" customHeight="1">
      <c r="A2499" s="5" t="str">
        <f ca="1">IFERROR(__xludf.DUMMYFUNCTION("GOOGLETRANSLATE(B37919,""en"",""pt"")"),"Voorburg")</f>
        <v>Voorburg</v>
      </c>
      <c r="B2499" s="17" t="s">
        <v>19125</v>
      </c>
      <c r="C2499" s="17" t="s">
        <v>18862</v>
      </c>
      <c r="D2499" s="17" t="s">
        <v>18868</v>
      </c>
      <c r="E2499" s="10">
        <v>2745321</v>
      </c>
      <c r="F2499" s="4" t="str">
        <f>IF(B2499=B2498,"",B2499)</f>
        <v/>
      </c>
    </row>
    <row r="2500" spans="1:6" ht="15.75" customHeight="1">
      <c r="A2500" s="6" t="s">
        <v>17408</v>
      </c>
      <c r="B2500" s="6" t="s">
        <v>17408</v>
      </c>
      <c r="C2500" s="6" t="s">
        <v>17292</v>
      </c>
      <c r="D2500" s="6" t="s">
        <v>17352</v>
      </c>
      <c r="E2500" s="2">
        <v>1053507</v>
      </c>
      <c r="F2500" s="4" t="str">
        <f>IF(B2500=B2499,"",B2500)</f>
        <v>Vondrozo</v>
      </c>
    </row>
    <row r="2501" spans="1:6" ht="15.75" customHeight="1">
      <c r="A2501" s="5" t="str">
        <f ca="1">IFERROR(__xludf.DUMMYFUNCTION("GOOGLETRANSLATE(B36556,""en"",""pt"")"),"Vondrozo")</f>
        <v>Vondrozo</v>
      </c>
      <c r="B2501" s="17" t="s">
        <v>17408</v>
      </c>
      <c r="C2501" s="17" t="s">
        <v>17292</v>
      </c>
      <c r="D2501" s="17" t="s">
        <v>17352</v>
      </c>
      <c r="E2501" s="10">
        <v>1053507</v>
      </c>
      <c r="F2501" s="4" t="str">
        <f>IF(B2501=B2500,"",B2501)</f>
        <v/>
      </c>
    </row>
    <row r="2502" spans="1:6" ht="15.75" customHeight="1">
      <c r="A2502" s="6" t="s">
        <v>23298</v>
      </c>
      <c r="B2502" s="6" t="s">
        <v>23298</v>
      </c>
      <c r="C2502" s="6" t="s">
        <v>22070</v>
      </c>
      <c r="D2502" s="6" t="s">
        <v>22351</v>
      </c>
      <c r="E2502" s="2">
        <v>472231</v>
      </c>
      <c r="F2502" s="4" t="str">
        <f>IF(B2502=B2501,"",B2502)</f>
        <v>Volzhskiy</v>
      </c>
    </row>
    <row r="2503" spans="1:6" ht="15.75" customHeight="1">
      <c r="A2503" s="5" t="str">
        <f ca="1">IFERROR(__xludf.DUMMYFUNCTION("GOOGLETRANSLATE(B39973,""en"",""pt"")"),"Volzhskiy")</f>
        <v>Volzhskiy</v>
      </c>
      <c r="B2503" s="17" t="s">
        <v>23298</v>
      </c>
      <c r="C2503" s="17" t="s">
        <v>22070</v>
      </c>
      <c r="D2503" s="17" t="s">
        <v>22351</v>
      </c>
      <c r="E2503" s="10">
        <v>472231</v>
      </c>
      <c r="F2503" s="4" t="str">
        <f>IF(B2503=B2502,"",B2503)</f>
        <v/>
      </c>
    </row>
    <row r="2504" spans="1:6" ht="15.75" customHeight="1">
      <c r="A2504" s="6" t="s">
        <v>23297</v>
      </c>
      <c r="B2504" s="6" t="s">
        <v>23297</v>
      </c>
      <c r="C2504" s="6" t="s">
        <v>22070</v>
      </c>
      <c r="D2504" s="6" t="s">
        <v>22588</v>
      </c>
      <c r="E2504" s="2">
        <v>472234</v>
      </c>
      <c r="F2504" s="4" t="str">
        <f>IF(B2504=B2503,"",B2504)</f>
        <v>Volzhsk</v>
      </c>
    </row>
    <row r="2505" spans="1:6" ht="15.75" customHeight="1">
      <c r="A2505" s="5" t="str">
        <f ca="1">IFERROR(__xludf.DUMMYFUNCTION("GOOGLETRANSLATE(B39974,""en"",""pt"")"),"Volzhsk")</f>
        <v>Volzhsk</v>
      </c>
      <c r="B2505" s="17" t="s">
        <v>23297</v>
      </c>
      <c r="C2505" s="17" t="s">
        <v>22070</v>
      </c>
      <c r="D2505" s="17" t="s">
        <v>22588</v>
      </c>
      <c r="E2505" s="10">
        <v>472234</v>
      </c>
      <c r="F2505" s="4" t="str">
        <f>IF(B2505=B2504,"",B2505)</f>
        <v/>
      </c>
    </row>
    <row r="2506" spans="1:6" ht="15.75" customHeight="1">
      <c r="A2506" s="6" t="s">
        <v>22061</v>
      </c>
      <c r="B2506" s="6" t="s">
        <v>22061</v>
      </c>
      <c r="C2506" s="6" t="s">
        <v>21824</v>
      </c>
      <c r="D2506" s="6" t="s">
        <v>21873</v>
      </c>
      <c r="E2506" s="2">
        <v>662476</v>
      </c>
      <c r="F2506" s="4" t="str">
        <f>IF(B2506=B2505,"",B2506)</f>
        <v>Voluntari</v>
      </c>
    </row>
    <row r="2507" spans="1:6" ht="15.75" customHeight="1">
      <c r="A2507" s="5" t="str">
        <f ca="1">IFERROR(__xludf.DUMMYFUNCTION("GOOGLETRANSLATE(B39726,""en"",""pt"")"),"Voluntari")</f>
        <v>Voluntari</v>
      </c>
      <c r="B2507" s="17" t="s">
        <v>22061</v>
      </c>
      <c r="C2507" s="17" t="s">
        <v>21824</v>
      </c>
      <c r="D2507" s="17" t="s">
        <v>21873</v>
      </c>
      <c r="E2507" s="10">
        <v>662476</v>
      </c>
      <c r="F2507" s="4" t="str">
        <f>IF(B2507=B2506,"",B2507)</f>
        <v/>
      </c>
    </row>
    <row r="2508" spans="1:6" ht="15.75" customHeight="1">
      <c r="A2508" s="5" t="s">
        <v>3680</v>
      </c>
      <c r="B2508" s="6" t="s">
        <v>3680</v>
      </c>
      <c r="C2508" s="5" t="s">
        <v>1905</v>
      </c>
      <c r="D2508" s="5" t="s">
        <v>1978</v>
      </c>
      <c r="E2508" s="2">
        <v>3444876</v>
      </c>
      <c r="F2508" s="4" t="str">
        <f>IF(B2508=B2507,"",B2508)</f>
        <v>Volta Redonda</v>
      </c>
    </row>
    <row r="2509" spans="1:6" ht="15.75" customHeight="1">
      <c r="A2509" s="5" t="str">
        <f ca="1">IFERROR(__xludf.DUMMYFUNCTION("GOOGLETRANSLATE(B24430,""en"",""pt"")"),"Volta Redonda")</f>
        <v>Volta Redonda</v>
      </c>
      <c r="B2509" s="17" t="s">
        <v>3680</v>
      </c>
      <c r="C2509" s="17" t="s">
        <v>1905</v>
      </c>
      <c r="D2509" s="17" t="s">
        <v>1978</v>
      </c>
      <c r="E2509" s="10">
        <v>3444876</v>
      </c>
      <c r="F2509" s="4" t="str">
        <f>IF(B2509=B2508,"",B2509)</f>
        <v/>
      </c>
    </row>
    <row r="2510" spans="1:6" ht="15.75" customHeight="1">
      <c r="A2510" s="5" t="str">
        <f ca="1">IFERROR(__xludf.DUMMYFUNCTION("GOOGLETRANSLATE(B30954,""en"",""pt"")"),"Vólos")</f>
        <v>Vólos</v>
      </c>
      <c r="B2510" s="17" t="s">
        <v>32668</v>
      </c>
      <c r="C2510" s="17" t="s">
        <v>9441</v>
      </c>
      <c r="D2510" s="17" t="s">
        <v>9542</v>
      </c>
      <c r="E2510" s="10">
        <v>251833</v>
      </c>
      <c r="F2510" s="4" t="str">
        <f>IF(B2510=B2509,"",B2510)</f>
        <v>Vólos</v>
      </c>
    </row>
    <row r="2511" spans="1:6" ht="15.75" customHeight="1">
      <c r="A2511" s="5" t="s">
        <v>23296</v>
      </c>
      <c r="B2511" s="6" t="s">
        <v>23296</v>
      </c>
      <c r="C2511" s="5" t="s">
        <v>22070</v>
      </c>
      <c r="D2511" s="5" t="s">
        <v>22119</v>
      </c>
      <c r="E2511" s="2">
        <v>472433</v>
      </c>
      <c r="F2511" s="4" t="str">
        <f>IF(B2511=B2510,"",B2511)</f>
        <v>Volokolamsk</v>
      </c>
    </row>
    <row r="2512" spans="1:6" ht="15.75" customHeight="1">
      <c r="A2512" s="5" t="str">
        <f ca="1">IFERROR(__xludf.DUMMYFUNCTION("GOOGLETRANSLATE(B39976,""en"",""pt"")"),"Volokolamsk")</f>
        <v>Volokolamsk</v>
      </c>
      <c r="B2512" s="17" t="s">
        <v>23296</v>
      </c>
      <c r="C2512" s="17" t="s">
        <v>22070</v>
      </c>
      <c r="D2512" s="17" t="s">
        <v>22119</v>
      </c>
      <c r="E2512" s="10">
        <v>472433</v>
      </c>
      <c r="F2512" s="4" t="str">
        <f>IF(B2512=B2511,"",B2512)</f>
        <v/>
      </c>
    </row>
    <row r="2513" spans="1:6" ht="15.75" customHeight="1">
      <c r="A2513" s="6" t="s">
        <v>22300</v>
      </c>
      <c r="B2513" s="6" t="s">
        <v>22300</v>
      </c>
      <c r="C2513" s="6" t="s">
        <v>22070</v>
      </c>
      <c r="D2513" s="6" t="s">
        <v>22300</v>
      </c>
      <c r="E2513" s="2">
        <v>472459</v>
      </c>
      <c r="F2513" s="4" t="str">
        <f>IF(B2513=B2512,"",B2513)</f>
        <v>Vologda</v>
      </c>
    </row>
    <row r="2514" spans="1:6" ht="15.75" customHeight="1">
      <c r="A2514" s="5" t="str">
        <f ca="1">IFERROR(__xludf.DUMMYFUNCTION("GOOGLETRANSLATE(B39977,""en"",""pt"")"),"Vologda")</f>
        <v>Vologda</v>
      </c>
      <c r="B2514" s="17" t="s">
        <v>22300</v>
      </c>
      <c r="C2514" s="17" t="s">
        <v>22070</v>
      </c>
      <c r="D2514" s="17" t="s">
        <v>22300</v>
      </c>
      <c r="E2514" s="10">
        <v>472459</v>
      </c>
      <c r="F2514" s="4" t="str">
        <f>IF(B2514=B2513,"",B2514)</f>
        <v/>
      </c>
    </row>
    <row r="2515" spans="1:6" ht="15.75" customHeight="1">
      <c r="A2515" s="5" t="s">
        <v>27186</v>
      </c>
      <c r="B2515" s="6" t="s">
        <v>27187</v>
      </c>
      <c r="C2515" s="5" t="s">
        <v>26870</v>
      </c>
      <c r="D2515" s="5" t="s">
        <v>27007</v>
      </c>
      <c r="E2515" s="2">
        <v>689378</v>
      </c>
      <c r="F2515" s="4" t="str">
        <f>IF(B2515=B2514,"",B2515)</f>
        <v>Volodymyr-Volynsâ€™kyy</v>
      </c>
    </row>
    <row r="2516" spans="1:6" ht="15.75" customHeight="1">
      <c r="A2516" s="5" t="str">
        <f ca="1">IFERROR(__xludf.DUMMYFUNCTION("GOOGLETRANSLATE(B42492,""en"",""pt"")"),"Volodymyr-volyns'kyy")</f>
        <v>Volodymyr-volyns'kyy</v>
      </c>
      <c r="B2516" s="17" t="s">
        <v>35983</v>
      </c>
      <c r="C2516" s="17" t="s">
        <v>26870</v>
      </c>
      <c r="D2516" s="17" t="s">
        <v>27007</v>
      </c>
      <c r="E2516" s="10">
        <v>689378</v>
      </c>
      <c r="F2516" s="4" t="str">
        <f>IF(B2516=B2515,"",B2516)</f>
        <v>Volodymyr-Volyns’kyy</v>
      </c>
    </row>
    <row r="2517" spans="1:6" ht="15.75" customHeight="1">
      <c r="A2517" s="5" t="s">
        <v>27185</v>
      </c>
      <c r="B2517" s="6" t="s">
        <v>27185</v>
      </c>
      <c r="C2517" s="5" t="s">
        <v>26870</v>
      </c>
      <c r="D2517" s="5" t="s">
        <v>22345</v>
      </c>
      <c r="E2517" s="2">
        <v>689198</v>
      </c>
      <c r="F2517" s="4" t="str">
        <f>IF(B2517=B2516,"",B2517)</f>
        <v>Volnovakha</v>
      </c>
    </row>
    <row r="2518" spans="1:6" ht="15.75" customHeight="1">
      <c r="A2518" s="5" t="str">
        <f ca="1">IFERROR(__xludf.DUMMYFUNCTION("GOOGLETRANSLATE(B42490,""en"",""pt"")"),"Volnovakha")</f>
        <v>Volnovakha</v>
      </c>
      <c r="B2518" s="17" t="s">
        <v>27185</v>
      </c>
      <c r="C2518" s="17" t="s">
        <v>26870</v>
      </c>
      <c r="D2518" s="17" t="s">
        <v>22345</v>
      </c>
      <c r="E2518" s="10">
        <v>689198</v>
      </c>
      <c r="F2518" s="4" t="str">
        <f>IF(B2518=B2517,"",B2518)</f>
        <v/>
      </c>
    </row>
    <row r="2519" spans="1:6" ht="15.75" customHeight="1">
      <c r="A2519" s="6" t="s">
        <v>15582</v>
      </c>
      <c r="B2519" s="6" t="s">
        <v>15582</v>
      </c>
      <c r="C2519" s="6" t="s">
        <v>14891</v>
      </c>
      <c r="D2519" s="6" t="s">
        <v>14896</v>
      </c>
      <c r="E2519" s="2">
        <v>6534268</v>
      </c>
      <c r="F2519" s="4" t="str">
        <f>IF(B2519=B2518,"",B2519)</f>
        <v>Volla</v>
      </c>
    </row>
    <row r="2520" spans="1:6" ht="15.75" customHeight="1">
      <c r="A2520" s="5" t="str">
        <f ca="1">IFERROR(__xludf.DUMMYFUNCTION("GOOGLETRANSLATE(B35095,""en"",""pt"")"),"Volla")</f>
        <v>Volla</v>
      </c>
      <c r="B2520" s="17" t="s">
        <v>15582</v>
      </c>
      <c r="C2520" s="17" t="s">
        <v>14891</v>
      </c>
      <c r="D2520" s="17" t="s">
        <v>14896</v>
      </c>
      <c r="E2520" s="10">
        <v>6534268</v>
      </c>
      <c r="F2520" s="4" t="str">
        <f>IF(B2520=B2519,"",B2520)</f>
        <v/>
      </c>
    </row>
    <row r="2521" spans="1:6" ht="15.75" customHeight="1">
      <c r="A2521" s="6" t="s">
        <v>24005</v>
      </c>
      <c r="B2521" s="6" t="s">
        <v>24005</v>
      </c>
      <c r="C2521" s="6" t="s">
        <v>23842</v>
      </c>
      <c r="D2521" s="6" t="s">
        <v>23849</v>
      </c>
      <c r="E2521" s="2">
        <v>943032</v>
      </c>
      <c r="F2521" s="4" t="str">
        <f>IF(B2521=B2520,"",B2521)</f>
        <v>Volksrust</v>
      </c>
    </row>
    <row r="2522" spans="1:6" ht="15.75" customHeight="1">
      <c r="A2522" s="5" t="str">
        <f ca="1">IFERROR(__xludf.DUMMYFUNCTION("GOOGLETRANSLATE(B45854,""en"",""pt"")"),"Volksrust")</f>
        <v>Volksrust</v>
      </c>
      <c r="B2522" s="17" t="s">
        <v>24005</v>
      </c>
      <c r="C2522" s="17" t="s">
        <v>23842</v>
      </c>
      <c r="D2522" s="17" t="s">
        <v>23849</v>
      </c>
      <c r="E2522" s="10">
        <v>943032</v>
      </c>
      <c r="F2522" s="4" t="str">
        <f>IF(B2522=B2521,"",B2522)</f>
        <v/>
      </c>
    </row>
    <row r="2523" spans="1:6" ht="15.75" customHeight="1">
      <c r="A2523" s="5" t="str">
        <f ca="1">IFERROR(__xludf.DUMMYFUNCTION("GOOGLETRANSLATE(B27441,""en"",""pt"")"),"Völklingen")</f>
        <v>Völklingen</v>
      </c>
      <c r="B2523" s="17" t="s">
        <v>32021</v>
      </c>
      <c r="C2523" s="17" t="s">
        <v>8028</v>
      </c>
      <c r="D2523" s="17" t="s">
        <v>8177</v>
      </c>
      <c r="E2523" s="10">
        <v>2816630</v>
      </c>
      <c r="F2523" s="4" t="str">
        <f>IF(B2523=B2522,"",B2523)</f>
        <v>Völklingen</v>
      </c>
    </row>
    <row r="2524" spans="1:6" ht="15.75" customHeight="1">
      <c r="A2524" s="6" t="s">
        <v>23295</v>
      </c>
      <c r="B2524" s="6" t="s">
        <v>23295</v>
      </c>
      <c r="C2524" s="6" t="s">
        <v>22070</v>
      </c>
      <c r="D2524" s="6" t="s">
        <v>22094</v>
      </c>
      <c r="E2524" s="2">
        <v>472722</v>
      </c>
      <c r="F2524" s="4" t="str">
        <f>IF(B2524=B2523,"",B2524)</f>
        <v>Volkhov</v>
      </c>
    </row>
    <row r="2525" spans="1:6" ht="15.75" customHeight="1">
      <c r="A2525" s="5" t="str">
        <f ca="1">IFERROR(__xludf.DUMMYFUNCTION("GOOGLETRANSLATE(B39978,""en"",""pt"")"),"Volkhov")</f>
        <v>Volkhov</v>
      </c>
      <c r="B2525" s="17" t="s">
        <v>23295</v>
      </c>
      <c r="C2525" s="17" t="s">
        <v>22070</v>
      </c>
      <c r="D2525" s="17" t="s">
        <v>22094</v>
      </c>
      <c r="E2525" s="10">
        <v>472722</v>
      </c>
      <c r="F2525" s="4" t="str">
        <f>IF(B2525=B2524,"",B2525)</f>
        <v/>
      </c>
    </row>
    <row r="2526" spans="1:6" ht="15.75" customHeight="1">
      <c r="A2526" s="5" t="s">
        <v>23294</v>
      </c>
      <c r="B2526" s="6" t="s">
        <v>23294</v>
      </c>
      <c r="C2526" s="5" t="s">
        <v>22070</v>
      </c>
      <c r="D2526" s="5" t="s">
        <v>22284</v>
      </c>
      <c r="E2526" s="2">
        <v>472750</v>
      </c>
      <c r="F2526" s="4" t="str">
        <f>IF(B2526=B2525,"",B2526)</f>
        <v>Volgorechensk</v>
      </c>
    </row>
    <row r="2527" spans="1:6" ht="15.75" customHeight="1">
      <c r="A2527" s="5" t="str">
        <f ca="1">IFERROR(__xludf.DUMMYFUNCTION("GOOGLETRANSLATE(B39980,""en"",""pt"")"),"Volgorechensk")</f>
        <v>Volgorechensk</v>
      </c>
      <c r="B2527" s="17" t="s">
        <v>23294</v>
      </c>
      <c r="C2527" s="17" t="s">
        <v>22070</v>
      </c>
      <c r="D2527" s="17" t="s">
        <v>22284</v>
      </c>
      <c r="E2527" s="10">
        <v>472750</v>
      </c>
      <c r="F2527" s="4" t="str">
        <f>IF(B2527=B2526,"",B2527)</f>
        <v/>
      </c>
    </row>
    <row r="2528" spans="1:6" ht="15.75" customHeight="1">
      <c r="A2528" s="5" t="s">
        <v>23293</v>
      </c>
      <c r="B2528" s="6" t="s">
        <v>22351</v>
      </c>
      <c r="C2528" s="5" t="s">
        <v>22070</v>
      </c>
      <c r="D2528" s="5" t="s">
        <v>22351</v>
      </c>
      <c r="E2528" s="2">
        <v>472757</v>
      </c>
      <c r="F2528" s="4" t="str">
        <f>IF(B2528=B2527,"",B2528)</f>
        <v>Volgograd</v>
      </c>
    </row>
    <row r="2529" spans="1:6" ht="15.75" customHeight="1">
      <c r="A2529" s="5" t="str">
        <f ca="1">IFERROR(__xludf.DUMMYFUNCTION("GOOGLETRANSLATE(B39981,""en"",""pt"")"),"Volgogrado")</f>
        <v>Volgogrado</v>
      </c>
      <c r="B2529" s="17" t="s">
        <v>22351</v>
      </c>
      <c r="C2529" s="17" t="s">
        <v>22070</v>
      </c>
      <c r="D2529" s="17" t="s">
        <v>22351</v>
      </c>
      <c r="E2529" s="10">
        <v>472757</v>
      </c>
      <c r="F2529" s="4" t="str">
        <f>IF(B2529=B2528,"",B2529)</f>
        <v/>
      </c>
    </row>
    <row r="2530" spans="1:6" ht="15.75" customHeight="1">
      <c r="A2530" s="5" t="s">
        <v>23292</v>
      </c>
      <c r="B2530" s="6" t="s">
        <v>23292</v>
      </c>
      <c r="C2530" s="5" t="s">
        <v>22070</v>
      </c>
      <c r="D2530" s="5" t="s">
        <v>22099</v>
      </c>
      <c r="E2530" s="2">
        <v>472761</v>
      </c>
      <c r="F2530" s="4" t="str">
        <f>IF(B2530=B2529,"",B2530)</f>
        <v>Volgodonsk</v>
      </c>
    </row>
    <row r="2531" spans="1:6" ht="15.75" customHeight="1">
      <c r="A2531" s="5" t="str">
        <f ca="1">IFERROR(__xludf.DUMMYFUNCTION("GOOGLETRANSLATE(B39982,""en"",""pt"")"),"Volgodonsk")</f>
        <v>Volgodonsk</v>
      </c>
      <c r="B2531" s="17" t="s">
        <v>23292</v>
      </c>
      <c r="C2531" s="17" t="s">
        <v>22070</v>
      </c>
      <c r="D2531" s="17" t="s">
        <v>22099</v>
      </c>
      <c r="E2531" s="10">
        <v>472761</v>
      </c>
      <c r="F2531" s="4" t="str">
        <f>IF(B2531=B2530,"",B2531)</f>
        <v/>
      </c>
    </row>
    <row r="2532" spans="1:6" ht="15.75" customHeight="1">
      <c r="A2532" s="5" t="s">
        <v>19124</v>
      </c>
      <c r="B2532" s="6" t="s">
        <v>19124</v>
      </c>
      <c r="C2532" s="5" t="s">
        <v>18862</v>
      </c>
      <c r="D2532" s="5" t="s">
        <v>18863</v>
      </c>
      <c r="E2532" s="2">
        <v>2745340</v>
      </c>
      <c r="F2532" s="4" t="str">
        <f>IF(B2532=B2531,"",B2532)</f>
        <v>Volendam</v>
      </c>
    </row>
    <row r="2533" spans="1:6" ht="15.75" customHeight="1">
      <c r="A2533" s="5" t="str">
        <f ca="1">IFERROR(__xludf.DUMMYFUNCTION("GOOGLETRANSLATE(B37920,""en"",""pt"")"),"Volendam")</f>
        <v>Volendam</v>
      </c>
      <c r="B2533" s="17" t="s">
        <v>19124</v>
      </c>
      <c r="C2533" s="17" t="s">
        <v>18862</v>
      </c>
      <c r="D2533" s="17" t="s">
        <v>18863</v>
      </c>
      <c r="E2533" s="10">
        <v>2745340</v>
      </c>
      <c r="F2533" s="4" t="str">
        <f>IF(B2533=B2532,"",B2533)</f>
        <v/>
      </c>
    </row>
    <row r="2534" spans="1:6" ht="15.75" customHeight="1">
      <c r="A2534" s="6" t="s">
        <v>23290</v>
      </c>
      <c r="B2534" s="6" t="s">
        <v>23291</v>
      </c>
      <c r="C2534" s="6" t="s">
        <v>22070</v>
      </c>
      <c r="D2534" s="6" t="s">
        <v>22171</v>
      </c>
      <c r="E2534" s="2">
        <v>472278</v>
      </c>
      <c r="F2534" s="4" t="str">
        <f>IF(B2534=B2533,"",B2534)</f>
        <v>Volâ€™sk</v>
      </c>
    </row>
    <row r="2535" spans="1:6" ht="15.75" customHeight="1">
      <c r="A2535" s="5" t="str">
        <f ca="1">IFERROR(__xludf.DUMMYFUNCTION("GOOGLETRANSLATE(B39975,""en"",""pt"")"),"Vol'Sk")</f>
        <v>Vol'Sk</v>
      </c>
      <c r="B2535" s="17" t="s">
        <v>35437</v>
      </c>
      <c r="C2535" s="17" t="s">
        <v>22070</v>
      </c>
      <c r="D2535" s="17" t="s">
        <v>22171</v>
      </c>
      <c r="E2535" s="10">
        <v>472278</v>
      </c>
      <c r="F2535" s="4" t="str">
        <f>IF(B2535=B2534,"",B2535)</f>
        <v>Vol’sk</v>
      </c>
    </row>
    <row r="2536" spans="1:6" ht="15.75" customHeight="1">
      <c r="A2536" s="6" t="s">
        <v>7934</v>
      </c>
      <c r="B2536" s="6" t="s">
        <v>7934</v>
      </c>
      <c r="C2536" s="6" t="s">
        <v>7052</v>
      </c>
      <c r="D2536" s="6" t="s">
        <v>7053</v>
      </c>
      <c r="E2536" s="2">
        <v>2967758</v>
      </c>
      <c r="F2536" s="4" t="str">
        <f>IF(B2536=B2535,"",B2536)</f>
        <v>Voiron</v>
      </c>
    </row>
    <row r="2537" spans="1:6" ht="15.75" customHeight="1">
      <c r="A2537" s="5" t="str">
        <f ca="1">IFERROR(__xludf.DUMMYFUNCTION("GOOGLETRANSLATE(B29676,""en"",""pt"")"),"Voiron")</f>
        <v>Voiron</v>
      </c>
      <c r="B2537" s="17" t="s">
        <v>7934</v>
      </c>
      <c r="C2537" s="17" t="s">
        <v>7052</v>
      </c>
      <c r="D2537" s="17" t="s">
        <v>32532</v>
      </c>
      <c r="E2537" s="10">
        <v>2967758</v>
      </c>
      <c r="F2537" s="4" t="str">
        <f>IF(B2537=B2536,"",B2537)</f>
        <v/>
      </c>
    </row>
    <row r="2538" spans="1:6" ht="15.75" customHeight="1">
      <c r="A2538" s="6" t="s">
        <v>17069</v>
      </c>
      <c r="B2538" s="6" t="s">
        <v>17069</v>
      </c>
      <c r="C2538" s="6" t="s">
        <v>5687</v>
      </c>
      <c r="D2538" s="6" t="s">
        <v>17070</v>
      </c>
      <c r="E2538" s="2">
        <v>2273312</v>
      </c>
      <c r="F2538" s="4" t="str">
        <f>IF(B2538=B2537,"",B2538)</f>
        <v>Voinjama</v>
      </c>
    </row>
    <row r="2539" spans="1:6" ht="15.75" customHeight="1">
      <c r="A2539" s="5" t="str">
        <f ca="1">IFERROR(__xludf.DUMMYFUNCTION("GOOGLETRANSLATE(B36344,""en"",""pt"")"),"Voinjama")</f>
        <v>Voinjama</v>
      </c>
      <c r="B2539" s="17" t="s">
        <v>17069</v>
      </c>
      <c r="C2539" s="17" t="s">
        <v>5687</v>
      </c>
      <c r="D2539" s="17" t="s">
        <v>17070</v>
      </c>
      <c r="E2539" s="10">
        <v>2273312</v>
      </c>
      <c r="F2539" s="4" t="str">
        <f>IF(B2539=B2538,"",B2539)</f>
        <v/>
      </c>
    </row>
    <row r="2540" spans="1:6" ht="15.75" customHeight="1">
      <c r="A2540" s="6" t="s">
        <v>16843</v>
      </c>
      <c r="B2540" s="6" t="s">
        <v>16843</v>
      </c>
      <c r="C2540" s="6" t="s">
        <v>16781</v>
      </c>
      <c r="D2540" s="6" t="s">
        <v>16844</v>
      </c>
      <c r="E2540" s="2">
        <v>178522</v>
      </c>
      <c r="F2540" s="4" t="str">
        <f>IF(B2540=B2539,"",B2540)</f>
        <v>Voi</v>
      </c>
    </row>
    <row r="2541" spans="1:6" ht="15.75" customHeight="1">
      <c r="A2541" s="5" t="str">
        <f ca="1">IFERROR(__xludf.DUMMYFUNCTION("GOOGLETRANSLATE(B35886,""en"",""pt"")"),"Voi")</f>
        <v>Voi</v>
      </c>
      <c r="B2541" s="17" t="s">
        <v>16843</v>
      </c>
      <c r="C2541" s="17" t="s">
        <v>16781</v>
      </c>
      <c r="D2541" s="17" t="s">
        <v>16844</v>
      </c>
      <c r="E2541" s="10">
        <v>178522</v>
      </c>
      <c r="F2541" s="4" t="str">
        <f>IF(B2541=B2540,"",B2541)</f>
        <v/>
      </c>
    </row>
    <row r="2542" spans="1:6" ht="15.75" customHeight="1">
      <c r="A2542" s="6" t="s">
        <v>17406</v>
      </c>
      <c r="B2542" s="6" t="s">
        <v>17407</v>
      </c>
      <c r="C2542" s="6" t="s">
        <v>17292</v>
      </c>
      <c r="D2542" s="6" t="s">
        <v>17352</v>
      </c>
      <c r="E2542" s="2">
        <v>1053778</v>
      </c>
      <c r="F2542" s="4" t="str">
        <f>IF(B2542=B2541,"",B2542)</f>
        <v>Vohipaho</v>
      </c>
    </row>
    <row r="2543" spans="1:6" ht="15.75" customHeight="1">
      <c r="A2543" s="5" t="str">
        <f ca="1">IFERROR(__xludf.DUMMYFUNCTION("GOOGLETRANSLATE(B36557,""en"",""pt"")"),"VoiPhaho")</f>
        <v>VoiPhaho</v>
      </c>
      <c r="B2543" s="17" t="s">
        <v>17407</v>
      </c>
      <c r="C2543" s="17" t="s">
        <v>17292</v>
      </c>
      <c r="D2543" s="17" t="s">
        <v>17352</v>
      </c>
      <c r="E2543" s="10">
        <v>1053778</v>
      </c>
      <c r="F2543" s="4" t="str">
        <f>IF(B2543=B2542,"",B2543)</f>
        <v/>
      </c>
    </row>
    <row r="2544" spans="1:6" ht="15.75" customHeight="1">
      <c r="A2544" s="5" t="s">
        <v>17404</v>
      </c>
      <c r="B2544" s="6" t="s">
        <v>17405</v>
      </c>
      <c r="C2544" s="5" t="s">
        <v>17292</v>
      </c>
      <c r="D2544" s="5" t="s">
        <v>17323</v>
      </c>
      <c r="E2544" s="2">
        <v>1054035</v>
      </c>
      <c r="F2544" s="4" t="str">
        <f>IF(B2544=B2543,"",B2544)</f>
        <v>Vohibinany</v>
      </c>
    </row>
    <row r="2545" spans="1:6" ht="15.75" customHeight="1">
      <c r="A2545" s="5" t="str">
        <f ca="1">IFERROR(__xludf.DUMMYFUNCTION("GOOGLETRANSLATE(B36558,""en"",""pt"")"),"Voibinany")</f>
        <v>Voibinany</v>
      </c>
      <c r="B2545" s="17" t="s">
        <v>17405</v>
      </c>
      <c r="C2545" s="17" t="s">
        <v>17292</v>
      </c>
      <c r="D2545" s="17" t="s">
        <v>17323</v>
      </c>
      <c r="E2545" s="10">
        <v>1054035</v>
      </c>
      <c r="F2545" s="4" t="str">
        <f>IF(B2545=B2544,"",B2545)</f>
        <v/>
      </c>
    </row>
    <row r="2546" spans="1:6" ht="15.75" customHeight="1">
      <c r="A2546" s="6" t="s">
        <v>15581</v>
      </c>
      <c r="B2546" s="6" t="s">
        <v>15581</v>
      </c>
      <c r="C2546" s="6" t="s">
        <v>14891</v>
      </c>
      <c r="D2546" s="6" t="s">
        <v>14894</v>
      </c>
      <c r="E2546" s="2">
        <v>3163995</v>
      </c>
      <c r="F2546" s="4" t="str">
        <f>IF(B2546=B2545,"",B2546)</f>
        <v>Voghera</v>
      </c>
    </row>
    <row r="2547" spans="1:6" ht="15.75" customHeight="1">
      <c r="A2547" s="5" t="str">
        <f ca="1">IFERROR(__xludf.DUMMYFUNCTION("GOOGLETRANSLATE(B34625,""en"",""pt"")"),"Voghera")</f>
        <v>Voghera</v>
      </c>
      <c r="B2547" s="17" t="s">
        <v>15581</v>
      </c>
      <c r="C2547" s="17" t="s">
        <v>14891</v>
      </c>
      <c r="D2547" s="17" t="s">
        <v>14894</v>
      </c>
      <c r="E2547" s="10">
        <v>3163995</v>
      </c>
      <c r="F2547" s="4" t="str">
        <f>IF(B2547=B2546,"",B2547)</f>
        <v/>
      </c>
    </row>
    <row r="2548" spans="1:6" ht="15.75" customHeight="1">
      <c r="A2548" s="6" t="s">
        <v>26064</v>
      </c>
      <c r="B2548" s="6" t="s">
        <v>26064</v>
      </c>
      <c r="C2548" s="6" t="s">
        <v>26038</v>
      </c>
      <c r="D2548" s="6" t="s">
        <v>26039</v>
      </c>
      <c r="E2548" s="2">
        <v>2363490</v>
      </c>
      <c r="F2548" s="4" t="str">
        <f>IF(B2548=B2547,"",B2548)</f>
        <v>Vogan</v>
      </c>
    </row>
    <row r="2549" spans="1:6" ht="15.75" customHeight="1">
      <c r="A2549" s="5" t="str">
        <f ca="1">IFERROR(__xludf.DUMMYFUNCTION("GOOGLETRANSLATE(B41494,""en"",""pt"")"),"Vogan")</f>
        <v>Vogan</v>
      </c>
      <c r="B2549" s="17" t="s">
        <v>26064</v>
      </c>
      <c r="C2549" s="17" t="s">
        <v>26038</v>
      </c>
      <c r="D2549" s="17" t="s">
        <v>26039</v>
      </c>
      <c r="E2549" s="10">
        <v>2363490</v>
      </c>
      <c r="F2549" s="4" t="str">
        <f>IF(B2549=B2548,"",B2549)</f>
        <v/>
      </c>
    </row>
    <row r="2550" spans="1:6" ht="15.75" customHeight="1">
      <c r="A2550" s="6" t="s">
        <v>9239</v>
      </c>
      <c r="B2550" s="6" t="s">
        <v>9239</v>
      </c>
      <c r="C2550" s="6" t="s">
        <v>8028</v>
      </c>
      <c r="D2550" s="6" t="s">
        <v>8029</v>
      </c>
      <c r="E2550" s="2">
        <v>2817065</v>
      </c>
      <c r="F2550" s="4" t="str">
        <f>IF(B2550=B2549,"",B2550)</f>
        <v>Voerde</v>
      </c>
    </row>
    <row r="2551" spans="1:6" ht="15.75" customHeight="1">
      <c r="A2551" s="5" t="str">
        <f ca="1">IFERROR(__xludf.DUMMYFUNCTION("GOOGLETRANSLATE(B27442,""en"",""pt"")"),"Voerde")</f>
        <v>Voerde</v>
      </c>
      <c r="B2551" s="17" t="s">
        <v>9239</v>
      </c>
      <c r="C2551" s="17" t="s">
        <v>8028</v>
      </c>
      <c r="D2551" s="17" t="s">
        <v>8029</v>
      </c>
      <c r="E2551" s="10">
        <v>2817065</v>
      </c>
      <c r="F2551" s="4" t="str">
        <f>IF(B2551=B2550,"",B2551)</f>
        <v/>
      </c>
    </row>
    <row r="2552" spans="1:6" ht="15.75" customHeight="1">
      <c r="A2552" s="6" t="s">
        <v>9657</v>
      </c>
      <c r="B2552" s="6" t="s">
        <v>9658</v>
      </c>
      <c r="C2552" s="6" t="s">
        <v>9441</v>
      </c>
      <c r="D2552" s="6" t="s">
        <v>9445</v>
      </c>
      <c r="E2552" s="2">
        <v>251780</v>
      </c>
      <c r="F2552" s="4" t="str">
        <f>IF(B2552=B2551,"",B2552)</f>
        <v>VoÃºla</v>
      </c>
    </row>
    <row r="2553" spans="1:6" ht="15.75" customHeight="1">
      <c r="A2553" s="6" t="s">
        <v>23289</v>
      </c>
      <c r="B2553" s="6" t="s">
        <v>23289</v>
      </c>
      <c r="C2553" s="6" t="s">
        <v>22070</v>
      </c>
      <c r="D2553" s="6" t="s">
        <v>22127</v>
      </c>
      <c r="E2553" s="2">
        <v>473021</v>
      </c>
      <c r="F2553" s="4" t="str">
        <f>IF(B2553=B2552,"",B2553)</f>
        <v>Vnukovo</v>
      </c>
    </row>
    <row r="2554" spans="1:6" ht="15.75" customHeight="1">
      <c r="A2554" s="6" t="s">
        <v>23289</v>
      </c>
      <c r="B2554" s="6" t="s">
        <v>23289</v>
      </c>
      <c r="C2554" s="6" t="s">
        <v>22070</v>
      </c>
      <c r="D2554" s="6" t="s">
        <v>22119</v>
      </c>
      <c r="E2554" s="2">
        <v>857689</v>
      </c>
      <c r="F2554" s="4" t="str">
        <f>IF(B2554=B2553,"",B2554)</f>
        <v/>
      </c>
    </row>
    <row r="2555" spans="1:6" ht="15.75" customHeight="1">
      <c r="A2555" s="5" t="str">
        <f ca="1">IFERROR(__xludf.DUMMYFUNCTION("GOOGLETRANSLATE(B39983,""en"",""pt"")"),"Vnukovo")</f>
        <v>Vnukovo</v>
      </c>
      <c r="B2555" s="17" t="s">
        <v>23289</v>
      </c>
      <c r="C2555" s="17" t="s">
        <v>22070</v>
      </c>
      <c r="D2555" s="17" t="s">
        <v>22127</v>
      </c>
      <c r="E2555" s="10">
        <v>473021</v>
      </c>
      <c r="F2555" s="4" t="str">
        <f>IF(B2555=B2554,"",B2555)</f>
        <v/>
      </c>
    </row>
    <row r="2556" spans="1:6" ht="15.75" customHeight="1">
      <c r="A2556" s="5" t="str">
        <f ca="1">IFERROR(__xludf.DUMMYFUNCTION("GOOGLETRANSLATE(B40708,""en"",""pt"")"),"Vnukovo")</f>
        <v>Vnukovo</v>
      </c>
      <c r="B2556" s="17" t="s">
        <v>23289</v>
      </c>
      <c r="C2556" s="17" t="s">
        <v>22070</v>
      </c>
      <c r="D2556" s="17" t="s">
        <v>22119</v>
      </c>
      <c r="E2556" s="10">
        <v>857689</v>
      </c>
      <c r="F2556" s="4" t="str">
        <f>IF(B2556=B2555,"",B2556)</f>
        <v/>
      </c>
    </row>
    <row r="2557" spans="1:6" ht="15.75" customHeight="1">
      <c r="A2557" s="6" t="s">
        <v>9238</v>
      </c>
      <c r="B2557" s="6" t="s">
        <v>9238</v>
      </c>
      <c r="C2557" s="6" t="s">
        <v>8028</v>
      </c>
      <c r="D2557" s="6" t="s">
        <v>8029</v>
      </c>
      <c r="E2557" s="2">
        <v>2817105</v>
      </c>
      <c r="F2557" s="4" t="str">
        <f>IF(B2557=B2556,"",B2557)</f>
        <v>Vlotho</v>
      </c>
    </row>
    <row r="2558" spans="1:6" ht="15.75" customHeight="1">
      <c r="A2558" s="5" t="str">
        <f ca="1">IFERROR(__xludf.DUMMYFUNCTION("GOOGLETRANSLATE(B27443,""en"",""pt"")"),"Vlotho")</f>
        <v>Vlotho</v>
      </c>
      <c r="B2558" s="17" t="s">
        <v>9238</v>
      </c>
      <c r="C2558" s="17" t="s">
        <v>8028</v>
      </c>
      <c r="D2558" s="17" t="s">
        <v>8029</v>
      </c>
      <c r="E2558" s="10">
        <v>2817105</v>
      </c>
      <c r="F2558" s="4" t="str">
        <f>IF(B2558=B2557,"",B2558)</f>
        <v/>
      </c>
    </row>
    <row r="2559" spans="1:6" ht="15.75" customHeight="1">
      <c r="A2559" s="5" t="str">
        <f ca="1">IFERROR(__xludf.DUMMYFUNCTION("GOOGLETRANSLATE(B23110,""en"",""pt"")"),"Vlorë")</f>
        <v>Vlorë</v>
      </c>
      <c r="B2559" s="17" t="s">
        <v>31145</v>
      </c>
      <c r="C2559" s="17" t="s">
        <v>113</v>
      </c>
      <c r="D2559" s="17" t="s">
        <v>31145</v>
      </c>
      <c r="E2559" s="10">
        <v>3183719</v>
      </c>
      <c r="F2559" s="4" t="str">
        <f>IF(B2559=B2558,"",B2559)</f>
        <v>Vlorë</v>
      </c>
    </row>
    <row r="2560" spans="1:6" ht="15.75" customHeight="1">
      <c r="A2560" s="6" t="s">
        <v>150</v>
      </c>
      <c r="B2560" s="6" t="s">
        <v>146</v>
      </c>
      <c r="C2560" s="6" t="s">
        <v>113</v>
      </c>
      <c r="D2560" s="6" t="s">
        <v>146</v>
      </c>
      <c r="E2560" s="2">
        <v>3183719</v>
      </c>
      <c r="F2560" s="4" t="str">
        <f>IF(B2560=B2559,"",B2560)</f>
        <v>VlorÃ«</v>
      </c>
    </row>
    <row r="2561" spans="1:6" ht="15.75" customHeight="1">
      <c r="A2561" s="5" t="s">
        <v>19123</v>
      </c>
      <c r="B2561" s="6" t="s">
        <v>19123</v>
      </c>
      <c r="C2561" s="5" t="s">
        <v>18862</v>
      </c>
      <c r="D2561" s="5" t="s">
        <v>18913</v>
      </c>
      <c r="E2561" s="2">
        <v>2745392</v>
      </c>
      <c r="F2561" s="4" t="str">
        <f>IF(B2561=B2560,"",B2561)</f>
        <v>Vlissingen</v>
      </c>
    </row>
    <row r="2562" spans="1:6" ht="15.75" customHeight="1">
      <c r="A2562" s="5" t="str">
        <f ca="1">IFERROR(__xludf.DUMMYFUNCTION("GOOGLETRANSLATE(B37921,""en"",""pt"")"),"Vlissingen")</f>
        <v>Vlissingen</v>
      </c>
      <c r="B2562" s="17" t="s">
        <v>19123</v>
      </c>
      <c r="C2562" s="17" t="s">
        <v>18862</v>
      </c>
      <c r="D2562" s="17" t="s">
        <v>18913</v>
      </c>
      <c r="E2562" s="10">
        <v>2745392</v>
      </c>
      <c r="F2562" s="4" t="str">
        <f>IF(B2562=B2561,"",B2562)</f>
        <v/>
      </c>
    </row>
    <row r="2563" spans="1:6" ht="15.75" customHeight="1">
      <c r="A2563" s="5" t="s">
        <v>19122</v>
      </c>
      <c r="B2563" s="6" t="s">
        <v>19122</v>
      </c>
      <c r="C2563" s="5" t="s">
        <v>18862</v>
      </c>
      <c r="D2563" s="5" t="s">
        <v>18935</v>
      </c>
      <c r="E2563" s="2">
        <v>2745461</v>
      </c>
      <c r="F2563" s="4" t="str">
        <f>IF(B2563=B2562,"",B2563)</f>
        <v>Vlagtwedde</v>
      </c>
    </row>
    <row r="2564" spans="1:6" ht="15.75" customHeight="1">
      <c r="A2564" s="5" t="str">
        <f ca="1">IFERROR(__xludf.DUMMYFUNCTION("GOOGLETRANSLATE(B37922,""en"",""pt"")"),"Vlagtwedde")</f>
        <v>Vlagtwedde</v>
      </c>
      <c r="B2564" s="17" t="s">
        <v>19122</v>
      </c>
      <c r="C2564" s="17" t="s">
        <v>18862</v>
      </c>
      <c r="D2564" s="17" t="s">
        <v>18935</v>
      </c>
      <c r="E2564" s="10">
        <v>2745461</v>
      </c>
      <c r="F2564" s="4" t="str">
        <f>IF(B2564=B2563,"",B2564)</f>
        <v/>
      </c>
    </row>
    <row r="2565" spans="1:6" ht="15.75" customHeight="1">
      <c r="A2565" s="5" t="s">
        <v>23288</v>
      </c>
      <c r="B2565" s="6" t="s">
        <v>23288</v>
      </c>
      <c r="C2565" s="5" t="s">
        <v>22070</v>
      </c>
      <c r="D2565" s="5" t="s">
        <v>22154</v>
      </c>
      <c r="E2565" s="2">
        <v>2013348</v>
      </c>
      <c r="F2565" s="4" t="str">
        <f>IF(B2565=B2564,"",B2565)</f>
        <v>Vladivostok</v>
      </c>
    </row>
    <row r="2566" spans="1:6" ht="15.75" customHeight="1">
      <c r="A2566" s="5" t="str">
        <f ca="1">IFERROR(__xludf.DUMMYFUNCTION("GOOGLETRANSLATE(B40896,""en"",""pt"")"),"Vladivostok")</f>
        <v>Vladivostok</v>
      </c>
      <c r="B2566" s="17" t="s">
        <v>23288</v>
      </c>
      <c r="C2566" s="17" t="s">
        <v>22070</v>
      </c>
      <c r="D2566" s="17" t="s">
        <v>22154</v>
      </c>
      <c r="E2566" s="10">
        <v>2013348</v>
      </c>
      <c r="F2566" s="4" t="str">
        <f>IF(B2566=B2565,"",B2566)</f>
        <v/>
      </c>
    </row>
    <row r="2567" spans="1:6" ht="15.75" customHeight="1">
      <c r="A2567" s="6" t="s">
        <v>22113</v>
      </c>
      <c r="B2567" s="6" t="s">
        <v>22113</v>
      </c>
      <c r="C2567" s="6" t="s">
        <v>22070</v>
      </c>
      <c r="D2567" s="6" t="s">
        <v>22113</v>
      </c>
      <c r="E2567" s="2">
        <v>473247</v>
      </c>
      <c r="F2567" s="4" t="str">
        <f>IF(B2567=B2566,"",B2567)</f>
        <v>Vladimir</v>
      </c>
    </row>
    <row r="2568" spans="1:6" ht="15.75" customHeight="1">
      <c r="A2568" s="5" t="str">
        <f ca="1">IFERROR(__xludf.DUMMYFUNCTION("GOOGLETRANSLATE(B39985,""en"",""pt"")"),"Vladimir")</f>
        <v>Vladimir</v>
      </c>
      <c r="B2568" s="17" t="s">
        <v>22113</v>
      </c>
      <c r="C2568" s="17" t="s">
        <v>22070</v>
      </c>
      <c r="D2568" s="17" t="s">
        <v>22113</v>
      </c>
      <c r="E2568" s="10">
        <v>473247</v>
      </c>
      <c r="F2568" s="4" t="str">
        <f>IF(B2568=B2567,"",B2568)</f>
        <v/>
      </c>
    </row>
    <row r="2569" spans="1:6" ht="15.75" customHeight="1">
      <c r="A2569" s="5" t="s">
        <v>23287</v>
      </c>
      <c r="B2569" s="6" t="s">
        <v>23287</v>
      </c>
      <c r="C2569" s="5" t="s">
        <v>22070</v>
      </c>
      <c r="D2569" s="5" t="s">
        <v>22104</v>
      </c>
      <c r="E2569" s="2">
        <v>473249</v>
      </c>
      <c r="F2569" s="4" t="str">
        <f>IF(B2569=B2568,"",B2569)</f>
        <v>Vladikavkaz</v>
      </c>
    </row>
    <row r="2570" spans="1:6" ht="15.75" customHeight="1">
      <c r="A2570" s="5" t="str">
        <f ca="1">IFERROR(__xludf.DUMMYFUNCTION("GOOGLETRANSLATE(B39986,""en"",""pt"")"),"Vladikavkaz")</f>
        <v>Vladikavkaz</v>
      </c>
      <c r="B2570" s="17" t="s">
        <v>23287</v>
      </c>
      <c r="C2570" s="17" t="s">
        <v>22070</v>
      </c>
      <c r="D2570" s="17" t="s">
        <v>22104</v>
      </c>
      <c r="E2570" s="10">
        <v>473249</v>
      </c>
      <c r="F2570" s="4" t="str">
        <f>IF(B2570=B2569,"",B2570)</f>
        <v/>
      </c>
    </row>
    <row r="2571" spans="1:6" ht="15.75" customHeight="1">
      <c r="A2571" s="5" t="s">
        <v>19121</v>
      </c>
      <c r="B2571" s="6" t="s">
        <v>19121</v>
      </c>
      <c r="C2571" s="5" t="s">
        <v>18862</v>
      </c>
      <c r="D2571" s="5" t="s">
        <v>18868</v>
      </c>
      <c r="E2571" s="2">
        <v>2745467</v>
      </c>
      <c r="F2571" s="4" t="str">
        <f>IF(B2571=B2570,"",B2571)</f>
        <v>Vlaardingen</v>
      </c>
    </row>
    <row r="2572" spans="1:6" ht="15.75" customHeight="1">
      <c r="A2572" s="5" t="str">
        <f ca="1">IFERROR(__xludf.DUMMYFUNCTION("GOOGLETRANSLATE(B37923,""en"",""pt"")"),"Vlaardingen")</f>
        <v>Vlaardingen</v>
      </c>
      <c r="B2572" s="17" t="s">
        <v>19121</v>
      </c>
      <c r="C2572" s="17" t="s">
        <v>18862</v>
      </c>
      <c r="D2572" s="17" t="s">
        <v>18868</v>
      </c>
      <c r="E2572" s="10">
        <v>2745467</v>
      </c>
      <c r="F2572" s="4" t="str">
        <f>IF(B2572=B2571,"",B2572)</f>
        <v/>
      </c>
    </row>
    <row r="2573" spans="1:6" ht="15.75" customHeight="1">
      <c r="A2573" s="5" t="s">
        <v>13743</v>
      </c>
      <c r="B2573" s="6" t="s">
        <v>13743</v>
      </c>
      <c r="C2573" s="5" t="s">
        <v>10178</v>
      </c>
      <c r="D2573" s="5" t="s">
        <v>10190</v>
      </c>
      <c r="E2573" s="2">
        <v>1253084</v>
      </c>
      <c r="F2573" s="4" t="str">
        <f>IF(B2573=B2572,"",B2573)</f>
        <v>Vizianagaram</v>
      </c>
    </row>
    <row r="2574" spans="1:6" ht="15.75" customHeight="1">
      <c r="A2574" s="5" t="str">
        <f ca="1">IFERROR(__xludf.DUMMYFUNCTION("GOOGLETRANSLATE(B31865,""en"",""pt"")"),"Vizianagaram")</f>
        <v>Vizianagaram</v>
      </c>
      <c r="B2574" s="17" t="s">
        <v>13743</v>
      </c>
      <c r="C2574" s="17" t="s">
        <v>10178</v>
      </c>
      <c r="D2574" s="17" t="s">
        <v>10190</v>
      </c>
      <c r="E2574" s="10">
        <v>1253084</v>
      </c>
      <c r="F2574" s="4" t="str">
        <f>IF(B2574=B2573,"",B2574)</f>
        <v/>
      </c>
    </row>
    <row r="2575" spans="1:6" ht="15.75" customHeight="1">
      <c r="A2575" s="6" t="s">
        <v>24914</v>
      </c>
      <c r="B2575" s="6" t="s">
        <v>24914</v>
      </c>
      <c r="C2575" s="6" t="s">
        <v>24200</v>
      </c>
      <c r="D2575" s="6" t="s">
        <v>24201</v>
      </c>
      <c r="E2575" s="2">
        <v>3104475</v>
      </c>
      <c r="F2575" s="4" t="str">
        <f>IF(B2575=B2574,"",B2575)</f>
        <v>Viveiro</v>
      </c>
    </row>
    <row r="2576" spans="1:6" ht="15.75" customHeight="1">
      <c r="A2576" s="5" t="str">
        <f ca="1">IFERROR(__xludf.DUMMYFUNCTION("GOOGLETRANSLATE(B29231,""en"",""pt"")"),"Viveiro")</f>
        <v>Viveiro</v>
      </c>
      <c r="B2576" s="17" t="s">
        <v>24914</v>
      </c>
      <c r="C2576" s="17" t="s">
        <v>24200</v>
      </c>
      <c r="D2576" s="17" t="s">
        <v>24201</v>
      </c>
      <c r="E2576" s="10">
        <v>3104475</v>
      </c>
      <c r="F2576" s="4" t="str">
        <f>IF(B2576=B2575,"",B2576)</f>
        <v/>
      </c>
    </row>
    <row r="2577" spans="1:6" ht="15.75" customHeight="1">
      <c r="A2577" s="5" t="s">
        <v>15580</v>
      </c>
      <c r="B2577" s="6" t="s">
        <v>15580</v>
      </c>
      <c r="C2577" s="5" t="s">
        <v>14891</v>
      </c>
      <c r="D2577" s="5" t="s">
        <v>14892</v>
      </c>
      <c r="E2577" s="2">
        <v>3164028</v>
      </c>
      <c r="F2577" s="4" t="str">
        <f>IF(B2577=B2576,"",B2577)</f>
        <v>Vittorio Veneto</v>
      </c>
    </row>
    <row r="2578" spans="1:6" ht="15.75" customHeight="1">
      <c r="A2578" s="5" t="str">
        <f ca="1">IFERROR(__xludf.DUMMYFUNCTION("GOOGLETRANSLATE(B34626,""en"",""pt"")"),"Vittorio Veneto")</f>
        <v>Vittorio Veneto</v>
      </c>
      <c r="B2578" s="17" t="s">
        <v>15580</v>
      </c>
      <c r="C2578" s="17" t="s">
        <v>14891</v>
      </c>
      <c r="D2578" s="17" t="s">
        <v>14892</v>
      </c>
      <c r="E2578" s="10">
        <v>3164028</v>
      </c>
      <c r="F2578" s="4" t="str">
        <f>IF(B2578=B2577,"",B2578)</f>
        <v/>
      </c>
    </row>
    <row r="2579" spans="1:6" ht="15.75" customHeight="1">
      <c r="A2579" s="6" t="s">
        <v>15579</v>
      </c>
      <c r="B2579" s="6" t="s">
        <v>15579</v>
      </c>
      <c r="C2579" s="6" t="s">
        <v>14891</v>
      </c>
      <c r="D2579" s="6" t="s">
        <v>14899</v>
      </c>
      <c r="E2579" s="2">
        <v>2522713</v>
      </c>
      <c r="F2579" s="4" t="str">
        <f>IF(B2579=B2578,"",B2579)</f>
        <v>Vittoria</v>
      </c>
    </row>
    <row r="2580" spans="1:6" ht="15.75" customHeight="1">
      <c r="A2580" s="5" t="str">
        <f ca="1">IFERROR(__xludf.DUMMYFUNCTION("GOOGLETRANSLATE(B34539,""en"",""pt"")"),"Vittoria")</f>
        <v>Vittoria</v>
      </c>
      <c r="B2580" s="17" t="s">
        <v>15579</v>
      </c>
      <c r="C2580" s="17" t="s">
        <v>14891</v>
      </c>
      <c r="D2580" s="17" t="s">
        <v>14899</v>
      </c>
      <c r="E2580" s="10">
        <v>2522713</v>
      </c>
      <c r="F2580" s="4" t="str">
        <f>IF(B2580=B2579,"",B2580)</f>
        <v/>
      </c>
    </row>
    <row r="2581" spans="1:6" ht="15.75" customHeight="1">
      <c r="A2581" s="5" t="s">
        <v>7933</v>
      </c>
      <c r="B2581" s="6" t="s">
        <v>7933</v>
      </c>
      <c r="C2581" s="5" t="s">
        <v>7052</v>
      </c>
      <c r="D2581" s="5" t="s">
        <v>7058</v>
      </c>
      <c r="E2581" s="2">
        <v>2967849</v>
      </c>
      <c r="F2581" s="4" t="str">
        <f>IF(B2581=B2580,"",B2581)</f>
        <v>Vitry-sur-Seine</v>
      </c>
    </row>
    <row r="2582" spans="1:6" ht="15.75" customHeight="1">
      <c r="A2582" s="5" t="str">
        <f ca="1">IFERROR(__xludf.DUMMYFUNCTION("GOOGLETRANSLATE(B29677,""en"",""pt"")"),"Vitry-sur-Seine")</f>
        <v>Vitry-sur-Seine</v>
      </c>
      <c r="B2582" s="17" t="s">
        <v>7933</v>
      </c>
      <c r="C2582" s="17" t="s">
        <v>7052</v>
      </c>
      <c r="D2582" s="17" t="s">
        <v>32531</v>
      </c>
      <c r="E2582" s="10">
        <v>2967849</v>
      </c>
      <c r="F2582" s="4" t="str">
        <f>IF(B2582=B2581,"",B2582)</f>
        <v/>
      </c>
    </row>
    <row r="2583" spans="1:6" ht="15.75" customHeight="1">
      <c r="A2583" s="5" t="str">
        <f ca="1">IFERROR(__xludf.DUMMYFUNCTION("GOOGLETRANSLATE(B29678,""en"",""pt"")"),"Vitry-le-François")</f>
        <v>Vitry-le-François</v>
      </c>
      <c r="B2583" s="17" t="s">
        <v>32533</v>
      </c>
      <c r="C2583" s="17" t="s">
        <v>7052</v>
      </c>
      <c r="D2583" s="17" t="s">
        <v>7061</v>
      </c>
      <c r="E2583" s="10">
        <v>2967856</v>
      </c>
      <c r="F2583" s="4" t="str">
        <f>IF(B2583=B2582,"",B2583)</f>
        <v>Vitry-le-François</v>
      </c>
    </row>
    <row r="2584" spans="1:6" ht="15.75" customHeight="1">
      <c r="A2584" s="5" t="s">
        <v>7931</v>
      </c>
      <c r="B2584" s="6" t="s">
        <v>7932</v>
      </c>
      <c r="C2584" s="5" t="s">
        <v>7052</v>
      </c>
      <c r="D2584" s="5" t="s">
        <v>7061</v>
      </c>
      <c r="E2584" s="2">
        <v>2967856</v>
      </c>
      <c r="F2584" s="4" t="str">
        <f>IF(B2584=B2583,"",B2584)</f>
        <v>Vitry-le-FranÃ§ois</v>
      </c>
    </row>
    <row r="2585" spans="1:6" ht="15.75" customHeight="1">
      <c r="A2585" s="6" t="s">
        <v>7930</v>
      </c>
      <c r="B2585" s="6" t="s">
        <v>7930</v>
      </c>
      <c r="C2585" s="6" t="s">
        <v>7052</v>
      </c>
      <c r="D2585" s="6" t="s">
        <v>7087</v>
      </c>
      <c r="E2585" s="2">
        <v>2967870</v>
      </c>
      <c r="F2585" s="4" t="str">
        <f>IF(B2585=B2584,"",B2585)</f>
        <v>Vitrolles</v>
      </c>
    </row>
    <row r="2586" spans="1:6" ht="15.75" customHeight="1">
      <c r="A2586" s="5" t="str">
        <f ca="1">IFERROR(__xludf.DUMMYFUNCTION("GOOGLETRANSLATE(B29679,""en"",""pt"")"),"Vitrolles")</f>
        <v>Vitrolles</v>
      </c>
      <c r="B2586" s="17" t="s">
        <v>7930</v>
      </c>
      <c r="C2586" s="17" t="s">
        <v>7052</v>
      </c>
      <c r="D2586" s="17" t="s">
        <v>32534</v>
      </c>
      <c r="E2586" s="10">
        <v>2967870</v>
      </c>
      <c r="F2586" s="4" t="str">
        <f>IF(B2586=B2585,"",B2586)</f>
        <v/>
      </c>
    </row>
    <row r="2587" spans="1:6" ht="15.75" customHeight="1">
      <c r="A2587" s="5" t="str">
        <f ca="1">IFERROR(__xludf.DUMMYFUNCTION("GOOGLETRANSLATE(B29680,""en"",""pt"")"),"Vitré")</f>
        <v>Vitré</v>
      </c>
      <c r="B2587" s="17" t="s">
        <v>32535</v>
      </c>
      <c r="C2587" s="17" t="s">
        <v>7052</v>
      </c>
      <c r="D2587" s="17" t="s">
        <v>7190</v>
      </c>
      <c r="E2587" s="10">
        <v>2967879</v>
      </c>
      <c r="F2587" s="4" t="str">
        <f>IF(B2587=B2586,"",B2587)</f>
        <v>Vitré</v>
      </c>
    </row>
    <row r="2588" spans="1:6" ht="15.75" customHeight="1">
      <c r="A2588" s="6" t="s">
        <v>7928</v>
      </c>
      <c r="B2588" s="6" t="s">
        <v>7929</v>
      </c>
      <c r="C2588" s="6" t="s">
        <v>7052</v>
      </c>
      <c r="D2588" s="6" t="s">
        <v>7190</v>
      </c>
      <c r="E2588" s="2">
        <v>2967879</v>
      </c>
      <c r="F2588" s="4" t="str">
        <f>IF(B2588=B2587,"",B2588)</f>
        <v>VitrÃ©</v>
      </c>
    </row>
    <row r="2589" spans="1:6" ht="15.75" customHeight="1">
      <c r="A2589" s="5" t="str">
        <f ca="1">IFERROR(__xludf.DUMMYFUNCTION("GOOGLETRANSLATE(B24143,""en"",""pt"")"),"Vitória do Mearim")</f>
        <v>Vitória do Mearim</v>
      </c>
      <c r="B2589" s="17" t="s">
        <v>31339</v>
      </c>
      <c r="C2589" s="17" t="s">
        <v>1905</v>
      </c>
      <c r="D2589" s="17" t="s">
        <v>31340</v>
      </c>
      <c r="E2589" s="10">
        <v>3384986</v>
      </c>
      <c r="F2589" s="4" t="str">
        <f>IF(B2589=B2588,"",B2589)</f>
        <v>Vitória do Mearim</v>
      </c>
    </row>
    <row r="2590" spans="1:6" ht="15.75" customHeight="1">
      <c r="A2590" s="5" t="str">
        <f ca="1">IFERROR(__xludf.DUMMYFUNCTION("GOOGLETRANSLATE(B24144,""en"",""pt"")"),"Vitória de Santo Antão")</f>
        <v>Vitória de Santo Antão</v>
      </c>
      <c r="B2590" s="17" t="s">
        <v>31341</v>
      </c>
      <c r="C2590" s="17" t="s">
        <v>1905</v>
      </c>
      <c r="D2590" s="17" t="s">
        <v>1909</v>
      </c>
      <c r="E2590" s="10">
        <v>3384987</v>
      </c>
      <c r="F2590" s="4" t="str">
        <f>IF(B2590=B2589,"",B2590)</f>
        <v>Vitória de Santo Antão</v>
      </c>
    </row>
    <row r="2591" spans="1:6" ht="15.75" customHeight="1">
      <c r="A2591" s="5" t="str">
        <f ca="1">IFERROR(__xludf.DUMMYFUNCTION("GOOGLETRANSLATE(B24431,""en"",""pt"")"),"Vitória da conquista")</f>
        <v>Vitória da conquista</v>
      </c>
      <c r="B2591" s="17" t="s">
        <v>31424</v>
      </c>
      <c r="C2591" s="17" t="s">
        <v>1905</v>
      </c>
      <c r="D2591" s="17" t="s">
        <v>1947</v>
      </c>
      <c r="E2591" s="10">
        <v>3444914</v>
      </c>
      <c r="F2591" s="4" t="str">
        <f>IF(B2591=B2590,"",B2591)</f>
        <v>Vitória da Conquista</v>
      </c>
    </row>
    <row r="2592" spans="1:6" ht="15.75" customHeight="1">
      <c r="A2592" s="5" t="str">
        <f ca="1">IFERROR(__xludf.DUMMYFUNCTION("GOOGLETRANSLATE(B24432,""en"",""pt"")"),"VITÓRIA")</f>
        <v>VITÓRIA</v>
      </c>
      <c r="B2592" s="17" t="s">
        <v>31425</v>
      </c>
      <c r="C2592" s="17" t="s">
        <v>1905</v>
      </c>
      <c r="D2592" s="17" t="s">
        <v>31426</v>
      </c>
      <c r="E2592" s="10">
        <v>3444924</v>
      </c>
      <c r="F2592" s="4" t="str">
        <f>IF(B2592=B2591,"",B2592)</f>
        <v>Vitória</v>
      </c>
    </row>
    <row r="2593" spans="1:6" ht="15.75" customHeight="1">
      <c r="A2593" s="6" t="s">
        <v>16878</v>
      </c>
      <c r="B2593" s="6" t="s">
        <v>16878</v>
      </c>
      <c r="C2593" s="6" t="s">
        <v>16852</v>
      </c>
      <c r="D2593" s="6" t="s">
        <v>16859</v>
      </c>
      <c r="E2593" s="2">
        <v>784372</v>
      </c>
      <c r="F2593" s="4" t="str">
        <f>IF(B2593=B2592,"",B2593)</f>
        <v>Vitina</v>
      </c>
    </row>
    <row r="2594" spans="1:6" ht="15.75" customHeight="1">
      <c r="A2594" s="5" t="str">
        <f ca="1">IFERROR(__xludf.DUMMYFUNCTION("GOOGLETRANSLATE(B45797,""en"",""pt"")"),"Vitina")</f>
        <v>Vitina</v>
      </c>
      <c r="B2594" s="17" t="s">
        <v>16878</v>
      </c>
      <c r="C2594" s="17" t="s">
        <v>16852</v>
      </c>
      <c r="D2594" s="17" t="s">
        <v>16859</v>
      </c>
      <c r="E2594" s="10">
        <v>784372</v>
      </c>
      <c r="F2594" s="4" t="str">
        <f>IF(B2594=B2593,"",B2594)</f>
        <v/>
      </c>
    </row>
    <row r="2595" spans="1:6" ht="15.75" customHeight="1">
      <c r="A2595" s="6" t="s">
        <v>5648</v>
      </c>
      <c r="B2595" s="6" t="s">
        <v>5648</v>
      </c>
      <c r="C2595" s="6" t="s">
        <v>5348</v>
      </c>
      <c r="D2595" s="6" t="s">
        <v>5353</v>
      </c>
      <c r="E2595" s="2">
        <v>3665851</v>
      </c>
      <c r="F2595" s="4" t="str">
        <f>IF(B2595=B2594,"",B2595)</f>
        <v>Viterbo</v>
      </c>
    </row>
    <row r="2596" spans="1:6" ht="15.75" customHeight="1">
      <c r="A2596" s="6" t="s">
        <v>5648</v>
      </c>
      <c r="B2596" s="6" t="s">
        <v>5648</v>
      </c>
      <c r="C2596" s="6" t="s">
        <v>14891</v>
      </c>
      <c r="D2596" s="6" t="s">
        <v>14904</v>
      </c>
      <c r="E2596" s="2">
        <v>3164039</v>
      </c>
      <c r="F2596" s="4" t="str">
        <f>IF(B2596=B2595,"",B2596)</f>
        <v/>
      </c>
    </row>
    <row r="2597" spans="1:6" ht="15.75" customHeight="1">
      <c r="A2597" s="5" t="str">
        <f ca="1">IFERROR(__xludf.DUMMYFUNCTION("GOOGLETRANSLATE(B26849,""en"",""pt"")"),"Viterbo")</f>
        <v>Viterbo</v>
      </c>
      <c r="B2597" s="17" t="s">
        <v>5648</v>
      </c>
      <c r="C2597" s="17" t="s">
        <v>5348</v>
      </c>
      <c r="D2597" s="17" t="s">
        <v>5353</v>
      </c>
      <c r="E2597" s="10">
        <v>3665851</v>
      </c>
      <c r="F2597" s="4" t="str">
        <f>IF(B2597=B2596,"",B2597)</f>
        <v/>
      </c>
    </row>
    <row r="2598" spans="1:6" ht="15.75" customHeight="1">
      <c r="A2598" s="5" t="str">
        <f ca="1">IFERROR(__xludf.DUMMYFUNCTION("GOOGLETRANSLATE(B34627,""en"",""pt"")"),"Viterbo")</f>
        <v>Viterbo</v>
      </c>
      <c r="B2598" s="17" t="s">
        <v>5648</v>
      </c>
      <c r="C2598" s="17" t="s">
        <v>14891</v>
      </c>
      <c r="D2598" s="17" t="s">
        <v>14904</v>
      </c>
      <c r="E2598" s="10">
        <v>3164039</v>
      </c>
      <c r="F2598" s="4" t="str">
        <f>IF(B2598=B2597,"",B2598)</f>
        <v/>
      </c>
    </row>
    <row r="2599" spans="1:6" ht="15.75" customHeight="1">
      <c r="A2599" s="6" t="s">
        <v>1465</v>
      </c>
      <c r="B2599" s="6" t="s">
        <v>1465</v>
      </c>
      <c r="C2599" s="6" t="s">
        <v>1453</v>
      </c>
      <c r="D2599" s="6" t="s">
        <v>1465</v>
      </c>
      <c r="E2599" s="2">
        <v>620127</v>
      </c>
      <c r="F2599" s="4" t="str">
        <f>IF(B2599=B2598,"",B2599)</f>
        <v>Vitebsk</v>
      </c>
    </row>
    <row r="2600" spans="1:6" ht="15.75" customHeight="1">
      <c r="A2600" s="5" t="str">
        <f ca="1">IFERROR(__xludf.DUMMYFUNCTION("GOOGLETRANSLATE(B25370,""en"",""pt"")"),"Vitebsk")</f>
        <v>Vitebsk</v>
      </c>
      <c r="B2600" s="17" t="s">
        <v>1465</v>
      </c>
      <c r="C2600" s="17" t="s">
        <v>1453</v>
      </c>
      <c r="D2600" s="17" t="s">
        <v>1465</v>
      </c>
      <c r="E2600" s="10">
        <v>620127</v>
      </c>
      <c r="F2600" s="4" t="str">
        <f>IF(B2600=B2599,"",B2600)</f>
        <v/>
      </c>
    </row>
    <row r="2601" spans="1:6" ht="15.75" customHeight="1">
      <c r="A2601" s="6" t="s">
        <v>13742</v>
      </c>
      <c r="B2601" s="6" t="s">
        <v>13742</v>
      </c>
      <c r="C2601" s="6" t="s">
        <v>10178</v>
      </c>
      <c r="D2601" s="6" t="s">
        <v>10214</v>
      </c>
      <c r="E2601" s="2">
        <v>1253091</v>
      </c>
      <c r="F2601" s="4" t="str">
        <f>IF(B2601=B2600,"",B2601)</f>
        <v>Vite</v>
      </c>
    </row>
    <row r="2602" spans="1:6" ht="15.75" customHeight="1">
      <c r="A2602" s="5" t="str">
        <f ca="1">IFERROR(__xludf.DUMMYFUNCTION("GOOGLETRANSLATE(B31866,""en"",""pt"")"),"Vite")</f>
        <v>Vite</v>
      </c>
      <c r="B2602" s="17" t="s">
        <v>13742</v>
      </c>
      <c r="C2602" s="17" t="s">
        <v>10178</v>
      </c>
      <c r="D2602" s="17" t="s">
        <v>10214</v>
      </c>
      <c r="E2602" s="10">
        <v>1253091</v>
      </c>
      <c r="F2602" s="4" t="str">
        <f>IF(B2602=B2601,"",B2602)</f>
        <v/>
      </c>
    </row>
    <row r="2603" spans="1:6" ht="15.75" customHeight="1">
      <c r="A2603" s="5" t="s">
        <v>3678</v>
      </c>
      <c r="B2603" s="6" t="s">
        <v>3679</v>
      </c>
      <c r="C2603" s="5" t="s">
        <v>1905</v>
      </c>
      <c r="D2603" s="5" t="s">
        <v>2024</v>
      </c>
      <c r="E2603" s="2">
        <v>3384986</v>
      </c>
      <c r="F2603" s="4" t="str">
        <f>IF(B2603=B2602,"",B2603)</f>
        <v>VitÃ³ria do Mearim</v>
      </c>
    </row>
    <row r="2604" spans="1:6" ht="15.75" customHeight="1">
      <c r="A2604" s="5" t="s">
        <v>3676</v>
      </c>
      <c r="B2604" s="6" t="s">
        <v>3677</v>
      </c>
      <c r="C2604" s="5" t="s">
        <v>1905</v>
      </c>
      <c r="D2604" s="5" t="s">
        <v>1909</v>
      </c>
      <c r="E2604" s="2">
        <v>3384987</v>
      </c>
      <c r="F2604" s="4" t="str">
        <f>IF(B2604=B2603,"",B2604)</f>
        <v>VitÃ³ria de Santo AntÃ£o</v>
      </c>
    </row>
    <row r="2605" spans="1:6" ht="15.75" customHeight="1">
      <c r="A2605" s="5" t="s">
        <v>3674</v>
      </c>
      <c r="B2605" s="6" t="s">
        <v>3675</v>
      </c>
      <c r="C2605" s="5" t="s">
        <v>1905</v>
      </c>
      <c r="D2605" s="5" t="s">
        <v>1947</v>
      </c>
      <c r="E2605" s="2">
        <v>3444914</v>
      </c>
      <c r="F2605" s="4" t="str">
        <f>IF(B2605=B2604,"",B2605)</f>
        <v>VitÃ³ria da Conquista</v>
      </c>
    </row>
    <row r="2606" spans="1:6" ht="15.75" customHeight="1">
      <c r="A2606" s="6" t="s">
        <v>3672</v>
      </c>
      <c r="B2606" s="6" t="s">
        <v>3673</v>
      </c>
      <c r="C2606" s="6" t="s">
        <v>1905</v>
      </c>
      <c r="D2606" s="6" t="s">
        <v>1949</v>
      </c>
      <c r="E2606" s="2">
        <v>3444924</v>
      </c>
      <c r="F2606" s="4" t="str">
        <f>IF(B2606=B2605,"",B2606)</f>
        <v>VitÃ³ria</v>
      </c>
    </row>
    <row r="2607" spans="1:6" ht="15.75" customHeight="1">
      <c r="A2607" s="5" t="s">
        <v>20404</v>
      </c>
      <c r="B2607" s="6" t="s">
        <v>20404</v>
      </c>
      <c r="C2607" s="5" t="s">
        <v>20370</v>
      </c>
      <c r="D2607" s="5" t="s">
        <v>20374</v>
      </c>
      <c r="E2607" s="2">
        <v>3700038</v>
      </c>
      <c r="F2607" s="4" t="str">
        <f>IF(B2607=B2606,"",B2607)</f>
        <v>Vista Alegre</v>
      </c>
    </row>
    <row r="2608" spans="1:6" ht="15.75" customHeight="1">
      <c r="A2608" s="5" t="str">
        <f ca="1">IFERROR(__xludf.DUMMYFUNCTION("GOOGLETRANSLATE(B38277,""en"",""pt"")"),"Vista Alegre")</f>
        <v>Vista Alegre</v>
      </c>
      <c r="B2608" s="17" t="s">
        <v>20404</v>
      </c>
      <c r="C2608" s="17" t="s">
        <v>20370</v>
      </c>
      <c r="D2608" s="17" t="s">
        <v>20397</v>
      </c>
      <c r="E2608" s="10">
        <v>3700038</v>
      </c>
      <c r="F2608" s="4" t="str">
        <f>IF(B2608=B2607,"",B2608)</f>
        <v/>
      </c>
    </row>
    <row r="2609" spans="1:6" ht="15.75" customHeight="1">
      <c r="A2609" s="6" t="s">
        <v>1874</v>
      </c>
      <c r="B2609" s="6" t="s">
        <v>1875</v>
      </c>
      <c r="C2609" s="6" t="s">
        <v>1845</v>
      </c>
      <c r="D2609" s="6" t="s">
        <v>1849</v>
      </c>
      <c r="E2609" s="2">
        <v>3187609</v>
      </c>
      <c r="F2609" s="4" t="str">
        <f>IF(B2609=B2608,"",B2609)</f>
        <v>Visoko</v>
      </c>
    </row>
    <row r="2610" spans="1:6" ht="15.75" customHeight="1">
      <c r="A2610" s="5" t="str">
        <f ca="1">IFERROR(__xludf.DUMMYFUNCTION("GOOGLETRANSLATE(B23672,""en"",""pt"")"),"VISOKO")</f>
        <v>VISOKO</v>
      </c>
      <c r="B2610" s="17" t="s">
        <v>1875</v>
      </c>
      <c r="C2610" s="17" t="s">
        <v>1845</v>
      </c>
      <c r="D2610" s="17" t="s">
        <v>1849</v>
      </c>
      <c r="E2610" s="10">
        <v>3187609</v>
      </c>
      <c r="F2610" s="4" t="str">
        <f>IF(B2610=B2609,"",B2610)</f>
        <v/>
      </c>
    </row>
    <row r="2611" spans="1:6" ht="15.75" customHeight="1">
      <c r="A2611" s="6" t="s">
        <v>13741</v>
      </c>
      <c r="B2611" s="6" t="s">
        <v>13741</v>
      </c>
      <c r="C2611" s="6" t="s">
        <v>10178</v>
      </c>
      <c r="D2611" s="6" t="s">
        <v>10209</v>
      </c>
      <c r="E2611" s="2">
        <v>1253095</v>
      </c>
      <c r="F2611" s="4" t="str">
        <f>IF(B2611=B2610,"",B2611)</f>
        <v>Visnagar</v>
      </c>
    </row>
    <row r="2612" spans="1:6" ht="15.75" customHeight="1">
      <c r="A2612" s="5" t="str">
        <f ca="1">IFERROR(__xludf.DUMMYFUNCTION("GOOGLETRANSLATE(B31867,""en"",""pt"")"),"Visnagar")</f>
        <v>Visnagar</v>
      </c>
      <c r="B2612" s="17" t="s">
        <v>13741</v>
      </c>
      <c r="C2612" s="17" t="s">
        <v>10178</v>
      </c>
      <c r="D2612" s="17" t="s">
        <v>10209</v>
      </c>
      <c r="E2612" s="10">
        <v>1253095</v>
      </c>
      <c r="F2612" s="4" t="str">
        <f>IF(B2612=B2611,"",B2612)</f>
        <v/>
      </c>
    </row>
    <row r="2613" spans="1:6" ht="15.75" customHeight="1">
      <c r="A2613" s="5" t="str">
        <f ca="1">IFERROR(__xludf.DUMMYFUNCTION("GOOGLETRANSLATE(B39727,""en"",""pt"")"),"Vişeu de Sus")</f>
        <v>Vişeu de Sus</v>
      </c>
      <c r="B2613" s="17" t="s">
        <v>35333</v>
      </c>
      <c r="C2613" s="17" t="s">
        <v>21824</v>
      </c>
      <c r="D2613" s="17" t="s">
        <v>35334</v>
      </c>
      <c r="E2613" s="10">
        <v>662699</v>
      </c>
      <c r="F2613" s="4" t="str">
        <f>IF(B2613=B2612,"",B2613)</f>
        <v>Vişeu de Sus</v>
      </c>
    </row>
    <row r="2614" spans="1:6" ht="15.75" customHeight="1">
      <c r="A2614" s="6" t="s">
        <v>3671</v>
      </c>
      <c r="B2614" s="6" t="s">
        <v>3671</v>
      </c>
      <c r="C2614" s="6" t="s">
        <v>1905</v>
      </c>
      <c r="D2614" s="6" t="s">
        <v>1906</v>
      </c>
      <c r="E2614" s="2">
        <v>3385022</v>
      </c>
      <c r="F2614" s="4" t="str">
        <f>IF(B2614=B2613,"",B2614)</f>
        <v>Viseu</v>
      </c>
    </row>
    <row r="2615" spans="1:6" ht="15.75" customHeight="1">
      <c r="A2615" s="6" t="s">
        <v>3671</v>
      </c>
      <c r="B2615" s="6" t="s">
        <v>3671</v>
      </c>
      <c r="C2615" s="6" t="s">
        <v>21606</v>
      </c>
      <c r="D2615" s="6" t="s">
        <v>3671</v>
      </c>
      <c r="E2615" s="2">
        <v>2732265</v>
      </c>
      <c r="F2615" s="4" t="str">
        <f>IF(B2615=B2614,"",B2615)</f>
        <v/>
      </c>
    </row>
    <row r="2616" spans="1:6" ht="15.75" customHeight="1">
      <c r="A2616" s="5" t="str">
        <f ca="1">IFERROR(__xludf.DUMMYFUNCTION("GOOGLETRANSLATE(B24145,""en"",""pt"")"),"Viseu")</f>
        <v>Viseu</v>
      </c>
      <c r="B2616" s="17" t="s">
        <v>3671</v>
      </c>
      <c r="C2616" s="17" t="s">
        <v>1905</v>
      </c>
      <c r="D2616" s="17" t="s">
        <v>31342</v>
      </c>
      <c r="E2616" s="10">
        <v>3385022</v>
      </c>
      <c r="F2616" s="4" t="str">
        <f>IF(B2616=B2615,"",B2616)</f>
        <v/>
      </c>
    </row>
    <row r="2617" spans="1:6" ht="15.75" customHeight="1">
      <c r="A2617" s="5" t="str">
        <f ca="1">IFERROR(__xludf.DUMMYFUNCTION("GOOGLETRANSLATE(B39631,""en"",""pt"")"),"Viseu")</f>
        <v>Viseu</v>
      </c>
      <c r="B2617" s="17" t="s">
        <v>3671</v>
      </c>
      <c r="C2617" s="17" t="s">
        <v>21606</v>
      </c>
      <c r="D2617" s="17" t="s">
        <v>3671</v>
      </c>
      <c r="E2617" s="10">
        <v>2732265</v>
      </c>
      <c r="F2617" s="4" t="str">
        <f>IF(B2617=B2616,"",B2617)</f>
        <v/>
      </c>
    </row>
    <row r="2618" spans="1:6" ht="15.75" customHeight="1">
      <c r="A2618" s="5" t="str">
        <f ca="1">IFERROR(__xludf.DUMMYFUNCTION("GOOGLETRANSLATE(B23810,""en"",""pt"")"),"Torno")</f>
        <v>Torno</v>
      </c>
      <c r="B2618" s="17" t="s">
        <v>31307</v>
      </c>
      <c r="C2618" s="17" t="s">
        <v>1512</v>
      </c>
      <c r="D2618" s="17" t="s">
        <v>1518</v>
      </c>
      <c r="E2618" s="10">
        <v>2784548</v>
      </c>
      <c r="F2618" s="4" t="str">
        <f>IF(B2618=B2617,"",B2618)</f>
        <v>Visé</v>
      </c>
    </row>
    <row r="2619" spans="1:6" ht="15.75" customHeight="1">
      <c r="A2619" s="5" t="s">
        <v>3670</v>
      </c>
      <c r="B2619" s="6" t="s">
        <v>3670</v>
      </c>
      <c r="C2619" s="5" t="s">
        <v>1905</v>
      </c>
      <c r="D2619" s="5" t="s">
        <v>1917</v>
      </c>
      <c r="E2619" s="2">
        <v>3444969</v>
      </c>
      <c r="F2619" s="4" t="str">
        <f>IF(B2619=B2618,"",B2619)</f>
        <v>Visconde do Rio Branco</v>
      </c>
    </row>
    <row r="2620" spans="1:6" ht="15.75" customHeight="1">
      <c r="A2620" s="5" t="str">
        <f ca="1">IFERROR(__xludf.DUMMYFUNCTION("GOOGLETRANSLATE(B24433,""en"",""pt"")"),"Visconde do Rio Branco")</f>
        <v>Visconde do Rio Branco</v>
      </c>
      <c r="B2620" s="17" t="s">
        <v>3670</v>
      </c>
      <c r="C2620" s="17" t="s">
        <v>1905</v>
      </c>
      <c r="D2620" s="17" t="s">
        <v>1917</v>
      </c>
      <c r="E2620" s="10">
        <v>3444969</v>
      </c>
      <c r="F2620" s="4" t="str">
        <f>IF(B2620=B2619,"",B2620)</f>
        <v/>
      </c>
    </row>
    <row r="2621" spans="1:6" ht="15.75" customHeight="1">
      <c r="A2621" s="6" t="s">
        <v>25233</v>
      </c>
      <c r="B2621" s="6" t="s">
        <v>25233</v>
      </c>
      <c r="C2621" s="6" t="s">
        <v>25077</v>
      </c>
      <c r="D2621" s="6" t="s">
        <v>25234</v>
      </c>
      <c r="E2621" s="2">
        <v>2662689</v>
      </c>
      <c r="F2621" s="4" t="str">
        <f>IF(B2621=B2620,"",B2621)</f>
        <v>Visby</v>
      </c>
    </row>
    <row r="2622" spans="1:6" ht="15.75" customHeight="1">
      <c r="A2622" s="5" t="str">
        <f ca="1">IFERROR(__xludf.DUMMYFUNCTION("GOOGLETRANSLATE(B41124,""en"",""pt"")"),"Visby")</f>
        <v>Visby</v>
      </c>
      <c r="B2622" s="17" t="s">
        <v>25233</v>
      </c>
      <c r="C2622" s="17" t="s">
        <v>25077</v>
      </c>
      <c r="D2622" s="17" t="s">
        <v>25234</v>
      </c>
      <c r="E2622" s="10">
        <v>2662689</v>
      </c>
      <c r="F2622" s="4" t="str">
        <f>IF(B2622=B2621,"",B2622)</f>
        <v/>
      </c>
    </row>
    <row r="2623" spans="1:6" ht="15.75" customHeight="1">
      <c r="A2623" s="5" t="str">
        <f ca="1">IFERROR(__xludf.DUMMYFUNCTION("GOOGLETRANSLATE(B31869,""en"",""pt"")"),"Vīsāvadar")</f>
        <v>Vīsāvadar</v>
      </c>
      <c r="B2623" s="17" t="s">
        <v>32955</v>
      </c>
      <c r="C2623" s="17" t="s">
        <v>10178</v>
      </c>
      <c r="D2623" s="17" t="s">
        <v>10209</v>
      </c>
      <c r="E2623" s="10">
        <v>1253105</v>
      </c>
      <c r="F2623" s="4" t="str">
        <f>IF(B2623=B2622,"",B2623)</f>
        <v>Vīsāvadar</v>
      </c>
    </row>
    <row r="2624" spans="1:6" ht="15.75" customHeight="1">
      <c r="A2624" s="5" t="s">
        <v>13740</v>
      </c>
      <c r="B2624" s="6" t="s">
        <v>13740</v>
      </c>
      <c r="C2624" s="5" t="s">
        <v>10178</v>
      </c>
      <c r="D2624" s="5" t="s">
        <v>10190</v>
      </c>
      <c r="E2624" s="2">
        <v>1253102</v>
      </c>
      <c r="F2624" s="4" t="str">
        <f>IF(B2624=B2623,"",B2624)</f>
        <v>Visakhapatnam</v>
      </c>
    </row>
    <row r="2625" spans="1:6" ht="15.75" customHeight="1">
      <c r="A2625" s="5" t="str">
        <f ca="1">IFERROR(__xludf.DUMMYFUNCTION("GOOGLETRANSLATE(B31868,""en"",""pt"")"),"Visakhapatnam")</f>
        <v>Visakhapatnam</v>
      </c>
      <c r="B2625" s="17" t="s">
        <v>13740</v>
      </c>
      <c r="C2625" s="17" t="s">
        <v>10178</v>
      </c>
      <c r="D2625" s="17" t="s">
        <v>10190</v>
      </c>
      <c r="E2625" s="10">
        <v>1253102</v>
      </c>
      <c r="F2625" s="4" t="str">
        <f>IF(B2625=B2624,"",B2625)</f>
        <v/>
      </c>
    </row>
    <row r="2626" spans="1:6" ht="15.75" customHeight="1">
      <c r="A2626" s="6" t="s">
        <v>17213</v>
      </c>
      <c r="B2626" s="6" t="s">
        <v>17213</v>
      </c>
      <c r="C2626" s="6" t="s">
        <v>17154</v>
      </c>
      <c r="D2626" s="6" t="s">
        <v>17209</v>
      </c>
      <c r="E2626" s="2">
        <v>593063</v>
      </c>
      <c r="F2626" s="4" t="str">
        <f>IF(B2626=B2625,"",B2626)</f>
        <v>Visaginas</v>
      </c>
    </row>
    <row r="2627" spans="1:6" ht="15.75" customHeight="1">
      <c r="A2627" s="5" t="str">
        <f ca="1">IFERROR(__xludf.DUMMYFUNCTION("GOOGLETRANSLATE(B36360,""en"",""pt"")"),"Visaginas")</f>
        <v>Visaginas</v>
      </c>
      <c r="B2627" s="17" t="s">
        <v>17213</v>
      </c>
      <c r="C2627" s="17" t="s">
        <v>17154</v>
      </c>
      <c r="D2627" s="17" t="s">
        <v>17209</v>
      </c>
      <c r="E2627" s="10">
        <v>593063</v>
      </c>
      <c r="F2627" s="4" t="str">
        <f>IF(B2627=B2626,"",B2627)</f>
        <v/>
      </c>
    </row>
    <row r="2628" spans="1:6" ht="15.75" customHeight="1">
      <c r="A2628" s="6" t="s">
        <v>1709</v>
      </c>
      <c r="B2628" s="6" t="s">
        <v>1710</v>
      </c>
      <c r="C2628" s="6" t="s">
        <v>1512</v>
      </c>
      <c r="D2628" s="6" t="s">
        <v>1518</v>
      </c>
      <c r="E2628" s="2">
        <v>2784548</v>
      </c>
      <c r="F2628" s="4" t="str">
        <f>IF(B2628=B2627,"",B2628)</f>
        <v>VisÃ©</v>
      </c>
    </row>
    <row r="2629" spans="1:6" ht="15.75" customHeight="1">
      <c r="A2629" s="5" t="str">
        <f ca="1">IFERROR(__xludf.DUMMYFUNCTION("GOOGLETRANSLATE(B29681,""en"",""pt"")"),"Viry-Châtillon")</f>
        <v>Viry-Châtillon</v>
      </c>
      <c r="B2629" s="17" t="s">
        <v>32536</v>
      </c>
      <c r="C2629" s="17" t="s">
        <v>7052</v>
      </c>
      <c r="D2629" s="17" t="s">
        <v>32531</v>
      </c>
      <c r="E2629" s="10">
        <v>2967917</v>
      </c>
      <c r="F2629" s="4" t="str">
        <f>IF(B2629=B2628,"",B2629)</f>
        <v>Viry-Châtillon</v>
      </c>
    </row>
    <row r="2630" spans="1:6" ht="15.75" customHeight="1">
      <c r="A2630" s="5" t="s">
        <v>7926</v>
      </c>
      <c r="B2630" s="6" t="s">
        <v>7927</v>
      </c>
      <c r="C2630" s="5" t="s">
        <v>7052</v>
      </c>
      <c r="D2630" s="5" t="s">
        <v>7058</v>
      </c>
      <c r="E2630" s="2">
        <v>2967917</v>
      </c>
      <c r="F2630" s="4" t="str">
        <f>IF(B2630=B2629,"",B2630)</f>
        <v>Viry-ChÃ¢tillon</v>
      </c>
    </row>
    <row r="2631" spans="1:6" ht="15.75" customHeight="1">
      <c r="A2631" s="5" t="s">
        <v>13739</v>
      </c>
      <c r="B2631" s="6" t="s">
        <v>13739</v>
      </c>
      <c r="C2631" s="5" t="s">
        <v>10178</v>
      </c>
      <c r="D2631" s="5" t="s">
        <v>10196</v>
      </c>
      <c r="E2631" s="2">
        <v>1253113</v>
      </c>
      <c r="F2631" s="4" t="str">
        <f>IF(B2631=B2630,"",B2631)</f>
        <v>Virudunagar</v>
      </c>
    </row>
    <row r="2632" spans="1:6" ht="15.75" customHeight="1">
      <c r="A2632" s="5" t="str">
        <f ca="1">IFERROR(__xludf.DUMMYFUNCTION("GOOGLETRANSLATE(B31870,""en"",""pt"")"),"Virudunagar")</f>
        <v>Virudunagar</v>
      </c>
      <c r="B2632" s="17" t="s">
        <v>13739</v>
      </c>
      <c r="C2632" s="17" t="s">
        <v>10178</v>
      </c>
      <c r="D2632" s="17" t="s">
        <v>10196</v>
      </c>
      <c r="E2632" s="10">
        <v>1253113</v>
      </c>
      <c r="F2632" s="4" t="str">
        <f>IF(B2632=B2631,"",B2632)</f>
        <v/>
      </c>
    </row>
    <row r="2633" spans="1:6" ht="15.75" customHeight="1">
      <c r="A2633" s="5" t="str">
        <f ca="1">IFERROR(__xludf.DUMMYFUNCTION("GOOGLETRANSLATE(B38302,""en"",""pt"")"),"Virú")</f>
        <v>Virú</v>
      </c>
      <c r="B2633" s="17" t="s">
        <v>34868</v>
      </c>
      <c r="C2633" s="17" t="s">
        <v>20470</v>
      </c>
      <c r="D2633" s="17" t="s">
        <v>6435</v>
      </c>
      <c r="E2633" s="10">
        <v>3690875</v>
      </c>
      <c r="F2633" s="4" t="str">
        <f>IF(B2633=B2632,"",B2633)</f>
        <v>Virú</v>
      </c>
    </row>
    <row r="2634" spans="1:6" ht="15.75" customHeight="1">
      <c r="A2634" s="6" t="s">
        <v>5751</v>
      </c>
      <c r="B2634" s="6" t="s">
        <v>5751</v>
      </c>
      <c r="C2634" s="6" t="s">
        <v>5711</v>
      </c>
      <c r="D2634" s="6" t="s">
        <v>5752</v>
      </c>
      <c r="E2634" s="2">
        <v>3187694</v>
      </c>
      <c r="F2634" s="4" t="str">
        <f>IF(B2634=B2633,"",B2634)</f>
        <v>Virovitica</v>
      </c>
    </row>
    <row r="2635" spans="1:6" ht="15.75" customHeight="1">
      <c r="A2635" s="5" t="str">
        <f ca="1">IFERROR(__xludf.DUMMYFUNCTION("GOOGLETRANSLATE(B31191,""en"",""pt"")"),"Virovitica")</f>
        <v>Virovitica</v>
      </c>
      <c r="B2635" s="17" t="s">
        <v>5751</v>
      </c>
      <c r="C2635" s="17" t="s">
        <v>5711</v>
      </c>
      <c r="D2635" s="17" t="s">
        <v>32804</v>
      </c>
      <c r="E2635" s="10">
        <v>3187694</v>
      </c>
      <c r="F2635" s="4" t="str">
        <f>IF(B2635=B2634,"",B2635)</f>
        <v/>
      </c>
    </row>
    <row r="2636" spans="1:6" ht="15.75" customHeight="1">
      <c r="A2636" s="6" t="s">
        <v>7925</v>
      </c>
      <c r="B2636" s="6" t="s">
        <v>7925</v>
      </c>
      <c r="C2636" s="6" t="s">
        <v>7052</v>
      </c>
      <c r="D2636" s="6" t="s">
        <v>7058</v>
      </c>
      <c r="E2636" s="2">
        <v>2967934</v>
      </c>
      <c r="F2636" s="4" t="str">
        <f>IF(B2636=B2635,"",B2636)</f>
        <v>Viroflay</v>
      </c>
    </row>
    <row r="2637" spans="1:6" ht="15.75" customHeight="1">
      <c r="A2637" s="5" t="str">
        <f ca="1">IFERROR(__xludf.DUMMYFUNCTION("GOOGLETRANSLATE(B29682,""en"",""pt"")"),"Viroflay")</f>
        <v>Viroflay</v>
      </c>
      <c r="B2637" s="17" t="s">
        <v>7925</v>
      </c>
      <c r="C2637" s="17" t="s">
        <v>7052</v>
      </c>
      <c r="D2637" s="17" t="s">
        <v>32531</v>
      </c>
      <c r="E2637" s="10">
        <v>2967934</v>
      </c>
      <c r="F2637" s="4" t="str">
        <f>IF(B2637=B2636,"",B2637)</f>
        <v/>
      </c>
    </row>
    <row r="2638" spans="1:6" ht="15.75" customHeight="1">
      <c r="A2638" s="6" t="s">
        <v>24003</v>
      </c>
      <c r="B2638" s="6" t="s">
        <v>24004</v>
      </c>
      <c r="C2638" s="6" t="s">
        <v>23842</v>
      </c>
      <c r="D2638" s="6" t="s">
        <v>23845</v>
      </c>
      <c r="E2638" s="2">
        <v>943882</v>
      </c>
      <c r="F2638" s="4" t="str">
        <f>IF(B2638=B2637,"",B2638)</f>
        <v>Virginia</v>
      </c>
    </row>
    <row r="2639" spans="1:6" ht="15.75" customHeight="1">
      <c r="A2639" s="5" t="str">
        <f ca="1">IFERROR(__xludf.DUMMYFUNCTION("GOOGLETRANSLATE(B45855,""en"",""pt"")"),"Virgínia")</f>
        <v>Virgínia</v>
      </c>
      <c r="B2639" s="17" t="s">
        <v>24004</v>
      </c>
      <c r="C2639" s="17" t="s">
        <v>23842</v>
      </c>
      <c r="D2639" s="17" t="s">
        <v>23845</v>
      </c>
      <c r="E2639" s="10">
        <v>943882</v>
      </c>
      <c r="F2639" s="4" t="str">
        <f>IF(B2639=B2638,"",B2639)</f>
        <v/>
      </c>
    </row>
    <row r="2640" spans="1:6" ht="15.75" customHeight="1">
      <c r="A2640" s="5" t="str">
        <f ca="1">IFERROR(__xludf.DUMMYFUNCTION("GOOGLETRANSLATE(B31871,""en"",""pt"")"),"Viravanallūr")</f>
        <v>Viravanallūr</v>
      </c>
      <c r="B2640" s="17" t="s">
        <v>32956</v>
      </c>
      <c r="C2640" s="17" t="s">
        <v>10178</v>
      </c>
      <c r="D2640" s="17" t="s">
        <v>10196</v>
      </c>
      <c r="E2640" s="10">
        <v>1253127</v>
      </c>
      <c r="F2640" s="4" t="str">
        <f>IF(B2640=B2639,"",B2640)</f>
        <v>Viravanallūr</v>
      </c>
    </row>
    <row r="2641" spans="1:6" ht="15.75" customHeight="1">
      <c r="A2641" s="5" t="s">
        <v>13737</v>
      </c>
      <c r="B2641" s="6" t="s">
        <v>13738</v>
      </c>
      <c r="C2641" s="5" t="s">
        <v>10178</v>
      </c>
      <c r="D2641" s="5" t="s">
        <v>10196</v>
      </c>
      <c r="E2641" s="2">
        <v>1253127</v>
      </c>
      <c r="F2641" s="4" t="str">
        <f>IF(B2641=B2640,"",B2641)</f>
        <v>ViravanallÅ«r</v>
      </c>
    </row>
    <row r="2642" spans="1:6" ht="15.75" customHeight="1">
      <c r="A2642" s="5" t="str">
        <f ca="1">IFERROR(__xludf.DUMMYFUNCTION("GOOGLETRANSLATE(B31872,""en"",""pt"")"),"Vīrarājendrapelet")</f>
        <v>Vīrarājendrapelet</v>
      </c>
      <c r="B2642" s="17" t="s">
        <v>32957</v>
      </c>
      <c r="C2642" s="17" t="s">
        <v>10178</v>
      </c>
      <c r="D2642" s="17" t="s">
        <v>10252</v>
      </c>
      <c r="E2642" s="10">
        <v>1253132</v>
      </c>
      <c r="F2642" s="4" t="str">
        <f>IF(B2642=B2641,"",B2642)</f>
        <v>Vīrarājendrapet</v>
      </c>
    </row>
    <row r="2643" spans="1:6" ht="15.75" customHeight="1">
      <c r="A2643" s="5" t="str">
        <f ca="1">IFERROR(__xludf.DUMMYFUNCTION("GOOGLETRANSLATE(B31873,""en"",""pt"")"),"Virār")</f>
        <v>Virār</v>
      </c>
      <c r="B2643" s="17" t="s">
        <v>32958</v>
      </c>
      <c r="C2643" s="17" t="s">
        <v>10178</v>
      </c>
      <c r="D2643" s="17" t="s">
        <v>10214</v>
      </c>
      <c r="E2643" s="10">
        <v>1253133</v>
      </c>
      <c r="F2643" s="4" t="str">
        <f>IF(B2643=B2642,"",B2643)</f>
        <v>Virār</v>
      </c>
    </row>
    <row r="2644" spans="1:6" ht="15.75" customHeight="1">
      <c r="A2644" s="6" t="s">
        <v>20591</v>
      </c>
      <c r="B2644" s="6" t="s">
        <v>20592</v>
      </c>
      <c r="C2644" s="6" t="s">
        <v>20470</v>
      </c>
      <c r="D2644" s="6" t="s">
        <v>6435</v>
      </c>
      <c r="E2644" s="2">
        <v>3690875</v>
      </c>
      <c r="F2644" s="4" t="str">
        <f>IF(B2644=B2643,"",B2644)</f>
        <v>VirÃº</v>
      </c>
    </row>
    <row r="2645" spans="1:6" ht="15.75" customHeight="1">
      <c r="A2645" s="5" t="str">
        <f ca="1">IFERROR(__xludf.DUMMYFUNCTION("GOOGLETRANSLATE(B41872,""en"",""pt"")"),"Viranşehir")</f>
        <v>Viranşehir</v>
      </c>
      <c r="B2645" s="17" t="s">
        <v>35821</v>
      </c>
      <c r="C2645" s="17" t="s">
        <v>26201</v>
      </c>
      <c r="D2645" s="17" t="s">
        <v>35822</v>
      </c>
      <c r="E2645" s="10">
        <v>298033</v>
      </c>
      <c r="F2645" s="4" t="str">
        <f>IF(B2645=B2644,"",B2645)</f>
        <v>Viranşehir</v>
      </c>
    </row>
    <row r="2646" spans="1:6" ht="15.75" customHeight="1">
      <c r="A2646" s="5" t="s">
        <v>26751</v>
      </c>
      <c r="B2646" s="6" t="s">
        <v>26752</v>
      </c>
      <c r="C2646" s="5" t="s">
        <v>26201</v>
      </c>
      <c r="D2646" s="5" t="s">
        <v>26289</v>
      </c>
      <c r="E2646" s="2">
        <v>298033</v>
      </c>
      <c r="F2646" s="4" t="str">
        <f>IF(B2646=B2645,"",B2646)</f>
        <v>ViranÅŸehir</v>
      </c>
    </row>
    <row r="2647" spans="1:6" ht="15.75" customHeight="1">
      <c r="A2647" s="5" t="s">
        <v>3669</v>
      </c>
      <c r="B2647" s="6" t="s">
        <v>3669</v>
      </c>
      <c r="C2647" s="5" t="s">
        <v>1905</v>
      </c>
      <c r="D2647" s="5" t="s">
        <v>1914</v>
      </c>
      <c r="E2647" s="2">
        <v>3444997</v>
      </c>
      <c r="F2647" s="4" t="str">
        <f>IF(B2647=B2646,"",B2647)</f>
        <v>Viradouro</v>
      </c>
    </row>
    <row r="2648" spans="1:6" ht="15.75" customHeight="1">
      <c r="A2648" s="5" t="str">
        <f ca="1">IFERROR(__xludf.DUMMYFUNCTION("GOOGLETRANSLATE(B24434,""en"",""pt"")"),"Viradouro")</f>
        <v>Viradouro</v>
      </c>
      <c r="B2648" s="17" t="s">
        <v>3669</v>
      </c>
      <c r="C2648" s="17" t="s">
        <v>1905</v>
      </c>
      <c r="D2648" s="17" t="s">
        <v>3354</v>
      </c>
      <c r="E2648" s="10">
        <v>3444997</v>
      </c>
      <c r="F2648" s="4" t="str">
        <f>IF(B2648=B2647,"",B2648)</f>
        <v/>
      </c>
    </row>
    <row r="2649" spans="1:6" ht="15.75" customHeight="1">
      <c r="A2649" s="6" t="s">
        <v>21057</v>
      </c>
      <c r="B2649" s="6" t="s">
        <v>21057</v>
      </c>
      <c r="C2649" s="6" t="s">
        <v>20598</v>
      </c>
      <c r="D2649" s="6" t="s">
        <v>20634</v>
      </c>
      <c r="E2649" s="2">
        <v>1679802</v>
      </c>
      <c r="F2649" s="4" t="str">
        <f>IF(B2649=B2648,"",B2649)</f>
        <v>Virac</v>
      </c>
    </row>
    <row r="2650" spans="1:6" ht="15.75" customHeight="1">
      <c r="A2650" s="5" t="str">
        <f ca="1">IFERROR(__xludf.DUMMYFUNCTION("GOOGLETRANSLATE(B38426,""en"",""pt"")"),"Virac")</f>
        <v>Virac</v>
      </c>
      <c r="B2650" s="17" t="s">
        <v>21057</v>
      </c>
      <c r="C2650" s="17" t="s">
        <v>20598</v>
      </c>
      <c r="D2650" s="17" t="s">
        <v>20634</v>
      </c>
      <c r="E2650" s="10">
        <v>1679802</v>
      </c>
      <c r="F2650" s="4" t="str">
        <f>IF(B2650=B2649,"",B2650)</f>
        <v/>
      </c>
    </row>
    <row r="2651" spans="1:6" ht="15.75" customHeight="1">
      <c r="A2651" s="6" t="s">
        <v>13735</v>
      </c>
      <c r="B2651" s="6" t="s">
        <v>13736</v>
      </c>
      <c r="C2651" s="6" t="s">
        <v>10178</v>
      </c>
      <c r="D2651" s="6" t="s">
        <v>10214</v>
      </c>
      <c r="E2651" s="2">
        <v>1253133</v>
      </c>
      <c r="F2651" s="4" t="str">
        <f>IF(B2651=B2650,"",B2651)</f>
        <v>VirÄr</v>
      </c>
    </row>
    <row r="2652" spans="1:6" ht="15.75" customHeight="1">
      <c r="A2652" s="5" t="s">
        <v>13734</v>
      </c>
      <c r="B2652" s="6" t="s">
        <v>13734</v>
      </c>
      <c r="C2652" s="5" t="s">
        <v>10178</v>
      </c>
      <c r="D2652" s="5" t="s">
        <v>10190</v>
      </c>
      <c r="E2652" s="2">
        <v>1253150</v>
      </c>
      <c r="F2652" s="4" t="str">
        <f>IF(B2652=B2651,"",B2652)</f>
        <v>Vinukonda</v>
      </c>
    </row>
    <row r="2653" spans="1:6" ht="15.75" customHeight="1">
      <c r="A2653" s="5" t="str">
        <f ca="1">IFERROR(__xludf.DUMMYFUNCTION("GOOGLETRANSLATE(B31874,""en"",""pt"")"),"Vinukonda")</f>
        <v>Vinukonda</v>
      </c>
      <c r="B2653" s="17" t="s">
        <v>13734</v>
      </c>
      <c r="C2653" s="17" t="s">
        <v>10178</v>
      </c>
      <c r="D2653" s="17" t="s">
        <v>10190</v>
      </c>
      <c r="E2653" s="10">
        <v>1253150</v>
      </c>
      <c r="F2653" s="4" t="str">
        <f>IF(B2653=B2652,"",B2653)</f>
        <v/>
      </c>
    </row>
    <row r="2654" spans="1:6" ht="15.75" customHeight="1">
      <c r="A2654" s="6" t="s">
        <v>27184</v>
      </c>
      <c r="B2654" s="6" t="s">
        <v>27184</v>
      </c>
      <c r="C2654" s="6" t="s">
        <v>26870</v>
      </c>
      <c r="D2654" s="6" t="s">
        <v>26895</v>
      </c>
      <c r="E2654" s="2">
        <v>689558</v>
      </c>
      <c r="F2654" s="4" t="str">
        <f>IF(B2654=B2653,"",B2654)</f>
        <v>Vinnytsya</v>
      </c>
    </row>
    <row r="2655" spans="1:6" ht="15.75" customHeight="1">
      <c r="A2655" s="5" t="str">
        <f ca="1">IFERROR(__xludf.DUMMYFUNCTION("GOOGLETRANSLATE(B42494,""en"",""pt"")"),"Vinnytsya")</f>
        <v>Vinnytsya</v>
      </c>
      <c r="B2655" s="17" t="s">
        <v>27184</v>
      </c>
      <c r="C2655" s="17" t="s">
        <v>26870</v>
      </c>
      <c r="D2655" s="17" t="s">
        <v>26895</v>
      </c>
      <c r="E2655" s="10">
        <v>689558</v>
      </c>
      <c r="F2655" s="4" t="str">
        <f>IF(B2655=B2654,"",B2655)</f>
        <v/>
      </c>
    </row>
    <row r="2656" spans="1:6" ht="15.75" customHeight="1">
      <c r="A2656" s="6" t="s">
        <v>5749</v>
      </c>
      <c r="B2656" s="6" t="s">
        <v>5749</v>
      </c>
      <c r="C2656" s="6" t="s">
        <v>5711</v>
      </c>
      <c r="D2656" s="6" t="s">
        <v>5750</v>
      </c>
      <c r="E2656" s="2">
        <v>3187719</v>
      </c>
      <c r="F2656" s="4" t="str">
        <f>IF(B2656=B2655,"",B2656)</f>
        <v>Vinkovci</v>
      </c>
    </row>
    <row r="2657" spans="1:6" ht="15.75" customHeight="1">
      <c r="A2657" s="5" t="str">
        <f ca="1">IFERROR(__xludf.DUMMYFUNCTION("GOOGLETRANSLATE(B31192,""en"",""pt"")"),"Vinkovci")</f>
        <v>Vinkovci</v>
      </c>
      <c r="B2657" s="17" t="s">
        <v>5749</v>
      </c>
      <c r="C2657" s="17" t="s">
        <v>5711</v>
      </c>
      <c r="D2657" s="17" t="s">
        <v>5750</v>
      </c>
      <c r="E2657" s="10">
        <v>3187719</v>
      </c>
      <c r="F2657" s="4" t="str">
        <f>IF(B2657=B2656,"",B2657)</f>
        <v/>
      </c>
    </row>
    <row r="2658" spans="1:6" ht="15.75" customHeight="1">
      <c r="A2658" s="6" t="s">
        <v>17290</v>
      </c>
      <c r="B2658" s="6" t="s">
        <v>17290</v>
      </c>
      <c r="C2658" s="6" t="s">
        <v>17221</v>
      </c>
      <c r="D2658" s="6" t="s">
        <v>17290</v>
      </c>
      <c r="E2658" s="2">
        <v>784424</v>
      </c>
      <c r="F2658" s="4" t="str">
        <f>IF(B2658=B2657,"",B2658)</f>
        <v>Vinica</v>
      </c>
    </row>
    <row r="2659" spans="1:6" ht="15.75" customHeight="1">
      <c r="A2659" s="5" t="str">
        <f ca="1">IFERROR(__xludf.DUMMYFUNCTION("GOOGLETRANSLATE(B36642,""en"",""pt"")"),"Vinica")</f>
        <v>Vinica</v>
      </c>
      <c r="B2659" s="17" t="s">
        <v>17290</v>
      </c>
      <c r="C2659" s="17" t="s">
        <v>17221</v>
      </c>
      <c r="D2659" s="17" t="s">
        <v>17290</v>
      </c>
      <c r="E2659" s="10">
        <v>784424</v>
      </c>
      <c r="F2659" s="4" t="str">
        <f>IF(B2659=B2658,"",B2659)</f>
        <v/>
      </c>
    </row>
    <row r="2660" spans="1:6" ht="15.75" customHeight="1">
      <c r="A2660" s="6" t="s">
        <v>3668</v>
      </c>
      <c r="B2660" s="6" t="s">
        <v>3668</v>
      </c>
      <c r="C2660" s="6" t="s">
        <v>1905</v>
      </c>
      <c r="D2660" s="6" t="s">
        <v>1914</v>
      </c>
      <c r="E2660" s="2">
        <v>3445014</v>
      </c>
      <c r="F2660" s="4" t="str">
        <f>IF(B2660=B2659,"",B2660)</f>
        <v>Vinhedo</v>
      </c>
    </row>
    <row r="2661" spans="1:6" ht="15.75" customHeight="1">
      <c r="A2661" s="5" t="str">
        <f ca="1">IFERROR(__xludf.DUMMYFUNCTION("GOOGLETRANSLATE(B24435,""en"",""pt"")"),"Vinhedo")</f>
        <v>Vinhedo</v>
      </c>
      <c r="B2661" s="17" t="s">
        <v>3668</v>
      </c>
      <c r="C2661" s="17" t="s">
        <v>1905</v>
      </c>
      <c r="D2661" s="17" t="s">
        <v>3354</v>
      </c>
      <c r="E2661" s="10">
        <v>3445014</v>
      </c>
      <c r="F2661" s="4" t="str">
        <f>IF(B2661=B2660,"",B2661)</f>
        <v/>
      </c>
    </row>
    <row r="2662" spans="1:6" ht="15.75" customHeight="1">
      <c r="A2662" s="5" t="str">
        <f ca="1">IFERROR(__xludf.DUMMYFUNCTION("GOOGLETRANSLATE(B45713,""en"",""pt"")"),"Vĩnh yên")</f>
        <v>Vĩnh yên</v>
      </c>
      <c r="B2662" s="17" t="s">
        <v>36109</v>
      </c>
      <c r="C2662" s="17" t="s">
        <v>30784</v>
      </c>
      <c r="D2662" s="17" t="s">
        <v>36110</v>
      </c>
      <c r="E2662" s="10">
        <v>1562548</v>
      </c>
      <c r="F2662" s="4" t="str">
        <f>IF(B2662=B2661,"",B2662)</f>
        <v>Vĩnh Yên</v>
      </c>
    </row>
    <row r="2663" spans="1:6" ht="15.75" customHeight="1">
      <c r="A2663" s="5" t="str">
        <f ca="1">IFERROR(__xludf.DUMMYFUNCTION("GOOGLETRANSLATE(B45714,""en"",""pt"")"),"Vĩnh por muito tempo")</f>
        <v>Vĩnh por muito tempo</v>
      </c>
      <c r="B2663" s="17" t="s">
        <v>36111</v>
      </c>
      <c r="C2663" s="17" t="s">
        <v>30784</v>
      </c>
      <c r="D2663" s="17" t="s">
        <v>36111</v>
      </c>
      <c r="E2663" s="10">
        <v>1562693</v>
      </c>
      <c r="F2663" s="4" t="str">
        <f>IF(B2663=B2662,"",B2663)</f>
        <v>Vĩnh Long</v>
      </c>
    </row>
    <row r="2664" spans="1:6" ht="15.75" customHeight="1">
      <c r="A2664" s="6" t="s">
        <v>30975</v>
      </c>
      <c r="B2664" s="6" t="s">
        <v>30975</v>
      </c>
      <c r="C2664" s="6" t="s">
        <v>30784</v>
      </c>
      <c r="D2664" s="6" t="s">
        <v>30976</v>
      </c>
      <c r="E2664" s="2">
        <v>1562798</v>
      </c>
      <c r="F2664" s="4" t="str">
        <f>IF(B2664=B2663,"",B2664)</f>
        <v>Vinh</v>
      </c>
    </row>
    <row r="2665" spans="1:6" ht="15.75" customHeight="1">
      <c r="A2665" s="5" t="str">
        <f ca="1">IFERROR(__xludf.DUMMYFUNCTION("GOOGLETRANSLATE(B45715,""en"",""pt"")"),"Vinh")</f>
        <v>Vinh</v>
      </c>
      <c r="B2665" s="17" t="s">
        <v>30975</v>
      </c>
      <c r="C2665" s="17" t="s">
        <v>30784</v>
      </c>
      <c r="D2665" s="17" t="s">
        <v>36104</v>
      </c>
      <c r="E2665" s="10">
        <v>1562798</v>
      </c>
      <c r="F2665" s="4" t="str">
        <f>IF(B2665=B2664,"",B2665)</f>
        <v/>
      </c>
    </row>
    <row r="2666" spans="1:6" ht="15.75" customHeight="1">
      <c r="A2666" s="6" t="s">
        <v>3668</v>
      </c>
      <c r="B2666" s="6" t="s">
        <v>30277</v>
      </c>
      <c r="C2666" s="6" t="s">
        <v>27788</v>
      </c>
      <c r="D2666" s="6" t="s">
        <v>27801</v>
      </c>
      <c r="E2666" s="2">
        <v>7176039</v>
      </c>
      <c r="F2666" s="4" t="str">
        <f>IF(B2666=B2665,"",B2666)</f>
        <v>Vineyard</v>
      </c>
    </row>
    <row r="2667" spans="1:6" ht="15.75" customHeight="1">
      <c r="A2667" s="5" t="str">
        <f ca="1">IFERROR(__xludf.DUMMYFUNCTION("GOOGLETRANSLATE(B45426,""en"",""pt"")"),"Vinhedo")</f>
        <v>Vinhedo</v>
      </c>
      <c r="B2667" s="17" t="s">
        <v>30277</v>
      </c>
      <c r="C2667" s="17" t="s">
        <v>27788</v>
      </c>
      <c r="D2667" s="17" t="s">
        <v>27801</v>
      </c>
      <c r="E2667" s="10">
        <v>7176039</v>
      </c>
      <c r="F2667" s="4" t="str">
        <f>IF(B2667=B2666,"",B2667)</f>
        <v/>
      </c>
    </row>
    <row r="2668" spans="1:6" ht="15.75" customHeight="1">
      <c r="A2668" s="6" t="s">
        <v>30276</v>
      </c>
      <c r="B2668" s="6" t="s">
        <v>30276</v>
      </c>
      <c r="C2668" s="6" t="s">
        <v>27788</v>
      </c>
      <c r="D2668" s="6" t="s">
        <v>27905</v>
      </c>
      <c r="E2668" s="2">
        <v>4504621</v>
      </c>
      <c r="F2668" s="4" t="str">
        <f>IF(B2668=B2667,"",B2668)</f>
        <v>Vineland</v>
      </c>
    </row>
    <row r="2669" spans="1:6" ht="15.75" customHeight="1">
      <c r="A2669" s="5" t="str">
        <f ca="1">IFERROR(__xludf.DUMMYFUNCTION("GOOGLETRANSLATE(B43502,""en"",""pt"")"),"Vineland")</f>
        <v>Vineland</v>
      </c>
      <c r="B2669" s="17" t="s">
        <v>30276</v>
      </c>
      <c r="C2669" s="17" t="s">
        <v>27788</v>
      </c>
      <c r="D2669" s="17" t="s">
        <v>27905</v>
      </c>
      <c r="E2669" s="10">
        <v>4504621</v>
      </c>
      <c r="F2669" s="4" t="str">
        <f>IF(B2669=B2668,"",B2669)</f>
        <v/>
      </c>
    </row>
    <row r="2670" spans="1:6" ht="15.75" customHeight="1">
      <c r="A2670" s="6" t="s">
        <v>6489</v>
      </c>
      <c r="B2670" s="6" t="s">
        <v>6489</v>
      </c>
      <c r="C2670" s="6" t="s">
        <v>6398</v>
      </c>
      <c r="D2670" s="6" t="s">
        <v>4411</v>
      </c>
      <c r="E2670" s="2">
        <v>3650186</v>
      </c>
      <c r="F2670" s="4" t="str">
        <f>IF(B2670=B2669,"",B2670)</f>
        <v>Vinces</v>
      </c>
    </row>
    <row r="2671" spans="1:6" ht="15.75" customHeight="1">
      <c r="A2671" s="5" t="str">
        <f ca="1">IFERROR(__xludf.DUMMYFUNCTION("GOOGLETRANSLATE(B28748,""en"",""pt"")"),"Vinces")</f>
        <v>Vinces</v>
      </c>
      <c r="B2671" s="17" t="s">
        <v>6489</v>
      </c>
      <c r="C2671" s="17" t="s">
        <v>6398</v>
      </c>
      <c r="D2671" s="17" t="s">
        <v>31795</v>
      </c>
      <c r="E2671" s="10">
        <v>3650186</v>
      </c>
      <c r="F2671" s="4" t="str">
        <f>IF(B2671=B2670,"",B2671)</f>
        <v/>
      </c>
    </row>
    <row r="2672" spans="1:6" ht="15.75" customHeight="1">
      <c r="A2672" s="5" t="s">
        <v>7924</v>
      </c>
      <c r="B2672" s="6" t="s">
        <v>7924</v>
      </c>
      <c r="C2672" s="5" t="s">
        <v>7052</v>
      </c>
      <c r="D2672" s="5" t="s">
        <v>7058</v>
      </c>
      <c r="E2672" s="2">
        <v>2968054</v>
      </c>
      <c r="F2672" s="4" t="str">
        <f>IF(B2672=B2671,"",B2672)</f>
        <v>Vincennes</v>
      </c>
    </row>
    <row r="2673" spans="1:6" ht="15.75" customHeight="1">
      <c r="A2673" s="5" t="s">
        <v>7924</v>
      </c>
      <c r="B2673" s="6" t="s">
        <v>7924</v>
      </c>
      <c r="C2673" s="5" t="s">
        <v>27788</v>
      </c>
      <c r="D2673" s="5" t="s">
        <v>27869</v>
      </c>
      <c r="E2673" s="2">
        <v>4266307</v>
      </c>
      <c r="F2673" s="4" t="str">
        <f>IF(B2673=B2672,"",B2673)</f>
        <v/>
      </c>
    </row>
    <row r="2674" spans="1:6" ht="15.75" customHeight="1">
      <c r="A2674" s="5" t="str">
        <f ca="1">IFERROR(__xludf.DUMMYFUNCTION("GOOGLETRANSLATE(B29683,""en"",""pt"")"),"Vincennes")</f>
        <v>Vincennes</v>
      </c>
      <c r="B2674" s="17" t="s">
        <v>7924</v>
      </c>
      <c r="C2674" s="17" t="s">
        <v>7052</v>
      </c>
      <c r="D2674" s="17" t="s">
        <v>32531</v>
      </c>
      <c r="E2674" s="10">
        <v>2968054</v>
      </c>
      <c r="F2674" s="4" t="str">
        <f>IF(B2674=B2673,"",B2674)</f>
        <v/>
      </c>
    </row>
    <row r="2675" spans="1:6" ht="15.75" customHeight="1">
      <c r="A2675" s="5" t="str">
        <f ca="1">IFERROR(__xludf.DUMMYFUNCTION("GOOGLETRANSLATE(B43164,""en"",""pt"")"),"Vincennes")</f>
        <v>Vincennes</v>
      </c>
      <c r="B2675" s="17" t="s">
        <v>7924</v>
      </c>
      <c r="C2675" s="17" t="s">
        <v>27788</v>
      </c>
      <c r="D2675" s="17" t="s">
        <v>27869</v>
      </c>
      <c r="E2675" s="10">
        <v>4266307</v>
      </c>
      <c r="F2675" s="4" t="str">
        <f>IF(B2675=B2674,"",B2675)</f>
        <v/>
      </c>
    </row>
    <row r="2676" spans="1:6" ht="15.75" customHeight="1">
      <c r="A2676" s="5" t="str">
        <f ca="1">IFERROR(__xludf.DUMMYFUNCTION("GOOGLETRANSLATE(B29233,""en"",""pt"")"),"Vinars")</f>
        <v>Vinars</v>
      </c>
      <c r="B2676" s="17" t="s">
        <v>32413</v>
      </c>
      <c r="C2676" s="17" t="s">
        <v>24200</v>
      </c>
      <c r="D2676" s="17" t="s">
        <v>21053</v>
      </c>
      <c r="E2676" s="10">
        <v>3104584</v>
      </c>
      <c r="F2676" s="4" t="str">
        <f>IF(B2676=B2675,"",B2676)</f>
        <v>Vinaròs</v>
      </c>
    </row>
    <row r="2677" spans="1:6" ht="15.75" customHeight="1">
      <c r="A2677" s="6" t="s">
        <v>24912</v>
      </c>
      <c r="B2677" s="6" t="s">
        <v>24913</v>
      </c>
      <c r="C2677" s="6" t="s">
        <v>24200</v>
      </c>
      <c r="D2677" s="6" t="s">
        <v>21053</v>
      </c>
      <c r="E2677" s="2">
        <v>3104584</v>
      </c>
      <c r="F2677" s="4" t="str">
        <f>IF(B2677=B2676,"",B2677)</f>
        <v>VinarÃ²s</v>
      </c>
    </row>
    <row r="2678" spans="1:6" ht="15.75" customHeight="1">
      <c r="A2678" s="5" t="str">
        <f ca="1">IFERROR(__xludf.DUMMYFUNCTION("GOOGLETRANSLATE(B27104,""en"",""pt"")"),"Viñales")</f>
        <v>Viñales</v>
      </c>
      <c r="B2678" s="17" t="s">
        <v>31902</v>
      </c>
      <c r="C2678" s="17" t="s">
        <v>5764</v>
      </c>
      <c r="D2678" s="17" t="s">
        <v>31903</v>
      </c>
      <c r="E2678" s="10">
        <v>3534094</v>
      </c>
      <c r="F2678" s="4" t="str">
        <f>IF(B2678=B2677,"",B2678)</f>
        <v>Viñales</v>
      </c>
    </row>
    <row r="2679" spans="1:6" ht="15.75" customHeight="1">
      <c r="A2679" s="5" t="str">
        <f ca="1">IFERROR(__xludf.DUMMYFUNCTION("GOOGLETRANSLATE(B25883,""en"",""pt"")"),"Viña del mar")</f>
        <v>Viña del mar</v>
      </c>
      <c r="B2679" s="17" t="s">
        <v>31793</v>
      </c>
      <c r="C2679" s="17" t="s">
        <v>4355</v>
      </c>
      <c r="D2679" s="17" t="s">
        <v>30263</v>
      </c>
      <c r="E2679" s="10">
        <v>3868121</v>
      </c>
      <c r="F2679" s="4" t="str">
        <f>IF(B2679=B2678,"",B2679)</f>
        <v>Viña del Mar</v>
      </c>
    </row>
    <row r="2680" spans="1:6" ht="15.75" customHeight="1">
      <c r="A2680" s="5" t="s">
        <v>15578</v>
      </c>
      <c r="B2680" s="6" t="s">
        <v>15578</v>
      </c>
      <c r="C2680" s="5" t="s">
        <v>14891</v>
      </c>
      <c r="D2680" s="5" t="s">
        <v>14894</v>
      </c>
      <c r="E2680" s="2">
        <v>3164080</v>
      </c>
      <c r="F2680" s="4" t="str">
        <f>IF(B2680=B2679,"",B2680)</f>
        <v>Vimodrone</v>
      </c>
    </row>
    <row r="2681" spans="1:6" ht="15.75" customHeight="1">
      <c r="A2681" s="5" t="str">
        <f ca="1">IFERROR(__xludf.DUMMYFUNCTION("GOOGLETRANSLATE(B34628,""en"",""pt"")"),"Vimodrone")</f>
        <v>Vimodrone</v>
      </c>
      <c r="B2681" s="17" t="s">
        <v>15578</v>
      </c>
      <c r="C2681" s="17" t="s">
        <v>14891</v>
      </c>
      <c r="D2681" s="17" t="s">
        <v>14894</v>
      </c>
      <c r="E2681" s="10">
        <v>3164080</v>
      </c>
      <c r="F2681" s="4" t="str">
        <f>IF(B2681=B2680,"",B2681)</f>
        <v/>
      </c>
    </row>
    <row r="2682" spans="1:6" ht="15.75" customHeight="1">
      <c r="A2682" s="5" t="s">
        <v>15577</v>
      </c>
      <c r="B2682" s="6" t="s">
        <v>15577</v>
      </c>
      <c r="C2682" s="5" t="s">
        <v>14891</v>
      </c>
      <c r="D2682" s="5" t="s">
        <v>14894</v>
      </c>
      <c r="E2682" s="2">
        <v>3164083</v>
      </c>
      <c r="F2682" s="4" t="str">
        <f>IF(B2682=B2681,"",B2682)</f>
        <v>Vimercate</v>
      </c>
    </row>
    <row r="2683" spans="1:6" ht="15.75" customHeight="1">
      <c r="A2683" s="5" t="str">
        <f ca="1">IFERROR(__xludf.DUMMYFUNCTION("GOOGLETRANSLATE(B34629,""en"",""pt"")"),"Vimercate")</f>
        <v>Vimercate</v>
      </c>
      <c r="B2683" s="17" t="s">
        <v>15577</v>
      </c>
      <c r="C2683" s="17" t="s">
        <v>14891</v>
      </c>
      <c r="D2683" s="17" t="s">
        <v>14894</v>
      </c>
      <c r="E2683" s="10">
        <v>3164083</v>
      </c>
      <c r="F2683" s="4" t="str">
        <f>IF(B2683=B2682,"",B2683)</f>
        <v/>
      </c>
    </row>
    <row r="2684" spans="1:6" ht="15.75" customHeight="1">
      <c r="A2684" s="5" t="s">
        <v>23286</v>
      </c>
      <c r="B2684" s="6" t="s">
        <v>23286</v>
      </c>
      <c r="C2684" s="5" t="s">
        <v>22070</v>
      </c>
      <c r="D2684" s="5" t="s">
        <v>22934</v>
      </c>
      <c r="E2684" s="2">
        <v>2118647</v>
      </c>
      <c r="F2684" s="4" t="str">
        <f>IF(B2684=B2683,"",B2684)</f>
        <v>Vilyuchinsk</v>
      </c>
    </row>
    <row r="2685" spans="1:6" ht="15.75" customHeight="1">
      <c r="A2685" s="5" t="str">
        <f ca="1">IFERROR(__xludf.DUMMYFUNCTION("GOOGLETRANSLATE(B40953,""en"",""pt"")"),"Vilyuchinsk")</f>
        <v>Vilyuchinsk</v>
      </c>
      <c r="B2685" s="17" t="s">
        <v>23286</v>
      </c>
      <c r="C2685" s="17" t="s">
        <v>22070</v>
      </c>
      <c r="D2685" s="17" t="s">
        <v>22934</v>
      </c>
      <c r="E2685" s="10">
        <v>2118647</v>
      </c>
      <c r="F2685" s="4" t="str">
        <f>IF(B2685=B2684,"",B2685)</f>
        <v/>
      </c>
    </row>
    <row r="2686" spans="1:6" ht="15.75" customHeight="1">
      <c r="A2686" s="6" t="s">
        <v>1509</v>
      </c>
      <c r="B2686" s="6" t="s">
        <v>1509</v>
      </c>
      <c r="C2686" s="6" t="s">
        <v>1453</v>
      </c>
      <c r="D2686" s="6" t="s">
        <v>1463</v>
      </c>
      <c r="E2686" s="2">
        <v>620181</v>
      </c>
      <c r="F2686" s="4" t="str">
        <f>IF(B2686=B2685,"",B2686)</f>
        <v>Vilyeyka</v>
      </c>
    </row>
    <row r="2687" spans="1:6" ht="15.75" customHeight="1">
      <c r="A2687" s="5" t="str">
        <f ca="1">IFERROR(__xludf.DUMMYFUNCTION("GOOGLETRANSLATE(B25371,""en"",""pt"")"),"Vilyeyka")</f>
        <v>Vilyeyka</v>
      </c>
      <c r="B2687" s="17" t="s">
        <v>1509</v>
      </c>
      <c r="C2687" s="17" t="s">
        <v>1453</v>
      </c>
      <c r="D2687" s="17" t="s">
        <v>1463</v>
      </c>
      <c r="E2687" s="10">
        <v>620181</v>
      </c>
      <c r="F2687" s="4" t="str">
        <f>IF(B2687=B2686,"",B2687)</f>
        <v/>
      </c>
    </row>
    <row r="2688" spans="1:6" ht="15.75" customHeight="1">
      <c r="A2688" s="6" t="s">
        <v>1708</v>
      </c>
      <c r="B2688" s="6" t="s">
        <v>1708</v>
      </c>
      <c r="C2688" s="6" t="s">
        <v>1512</v>
      </c>
      <c r="D2688" s="6" t="s">
        <v>1513</v>
      </c>
      <c r="E2688" s="2">
        <v>2784604</v>
      </c>
      <c r="F2688" s="4" t="str">
        <f>IF(B2688=B2687,"",B2688)</f>
        <v>Vilvoorde</v>
      </c>
    </row>
    <row r="2689" spans="1:6" ht="15.75" customHeight="1">
      <c r="A2689" s="5" t="str">
        <f ca="1">IFERROR(__xludf.DUMMYFUNCTION("GOOGLETRANSLATE(B23811,""en"",""pt"")"),"Vilvoorde")</f>
        <v>Vilvoorde</v>
      </c>
      <c r="B2689" s="17" t="s">
        <v>1708</v>
      </c>
      <c r="C2689" s="17" t="s">
        <v>1512</v>
      </c>
      <c r="D2689" s="17" t="s">
        <v>1513</v>
      </c>
      <c r="E2689" s="10">
        <v>2784604</v>
      </c>
      <c r="F2689" s="4" t="str">
        <f>IF(B2689=B2688,"",B2689)</f>
        <v/>
      </c>
    </row>
    <row r="2690" spans="1:6" ht="15.75" customHeight="1">
      <c r="A2690" s="6" t="s">
        <v>9237</v>
      </c>
      <c r="B2690" s="6" t="s">
        <v>9237</v>
      </c>
      <c r="C2690" s="6" t="s">
        <v>8028</v>
      </c>
      <c r="D2690" s="6" t="s">
        <v>8044</v>
      </c>
      <c r="E2690" s="2">
        <v>2817202</v>
      </c>
      <c r="F2690" s="4" t="str">
        <f>IF(B2690=B2689,"",B2690)</f>
        <v>Vilshofen</v>
      </c>
    </row>
    <row r="2691" spans="1:6" ht="15.75" customHeight="1">
      <c r="A2691" s="5" t="str">
        <f ca="1">IFERROR(__xludf.DUMMYFUNCTION("GOOGLETRANSLATE(B27444,""en"",""pt"")"),"Vilshofen")</f>
        <v>Vilshofen</v>
      </c>
      <c r="B2691" s="17" t="s">
        <v>9237</v>
      </c>
      <c r="C2691" s="17" t="s">
        <v>8028</v>
      </c>
      <c r="D2691" s="17" t="s">
        <v>8044</v>
      </c>
      <c r="E2691" s="10">
        <v>2817202</v>
      </c>
      <c r="F2691" s="4" t="str">
        <f>IF(B2691=B2690,"",B2691)</f>
        <v/>
      </c>
    </row>
    <row r="2692" spans="1:6" ht="15.75" customHeight="1">
      <c r="A2692" s="6" t="s">
        <v>17212</v>
      </c>
      <c r="B2692" s="6" t="s">
        <v>17212</v>
      </c>
      <c r="C2692" s="6" t="s">
        <v>17154</v>
      </c>
      <c r="D2692" s="6" t="s">
        <v>17155</v>
      </c>
      <c r="E2692" s="2">
        <v>593116</v>
      </c>
      <c r="F2692" s="4" t="str">
        <f>IF(B2692=B2691,"",B2692)</f>
        <v>Vilnius</v>
      </c>
    </row>
    <row r="2693" spans="1:6" ht="15.75" customHeight="1">
      <c r="A2693" s="5" t="str">
        <f ca="1">IFERROR(__xludf.DUMMYFUNCTION("GOOGLETRANSLATE(B36361,""en"",""pt"")"),"Vilnius")</f>
        <v>Vilnius</v>
      </c>
      <c r="B2693" s="17" t="s">
        <v>17212</v>
      </c>
      <c r="C2693" s="17" t="s">
        <v>17154</v>
      </c>
      <c r="D2693" s="17" t="s">
        <v>17155</v>
      </c>
      <c r="E2693" s="10">
        <v>593116</v>
      </c>
      <c r="F2693" s="4" t="str">
        <f>IF(B2693=B2692,"",B2693)</f>
        <v/>
      </c>
    </row>
    <row r="2694" spans="1:6" ht="15.75" customHeight="1">
      <c r="A2694" s="5" t="s">
        <v>13733</v>
      </c>
      <c r="B2694" s="6" t="s">
        <v>13733</v>
      </c>
      <c r="C2694" s="5" t="s">
        <v>10178</v>
      </c>
      <c r="D2694" s="5" t="s">
        <v>10196</v>
      </c>
      <c r="E2694" s="2">
        <v>1253166</v>
      </c>
      <c r="F2694" s="4" t="str">
        <f>IF(B2694=B2693,"",B2694)</f>
        <v>Villupuram</v>
      </c>
    </row>
    <row r="2695" spans="1:6" ht="15.75" customHeight="1">
      <c r="A2695" s="5" t="str">
        <f ca="1">IFERROR(__xludf.DUMMYFUNCTION("GOOGLETRANSLATE(B31875,""en"",""pt"")"),"Villupuram")</f>
        <v>Villupuram</v>
      </c>
      <c r="B2695" s="17" t="s">
        <v>13733</v>
      </c>
      <c r="C2695" s="17" t="s">
        <v>10178</v>
      </c>
      <c r="D2695" s="17" t="s">
        <v>10196</v>
      </c>
      <c r="E2695" s="10">
        <v>1253166</v>
      </c>
      <c r="F2695" s="4" t="str">
        <f>IF(B2695=B2694,"",B2695)</f>
        <v/>
      </c>
    </row>
    <row r="2696" spans="1:6" ht="15.75" customHeight="1">
      <c r="A2696" s="5" t="s">
        <v>9236</v>
      </c>
      <c r="B2696" s="6" t="s">
        <v>9236</v>
      </c>
      <c r="C2696" s="5" t="s">
        <v>8028</v>
      </c>
      <c r="D2696" s="5" t="s">
        <v>8031</v>
      </c>
      <c r="E2696" s="2">
        <v>2817220</v>
      </c>
      <c r="F2696" s="4" t="str">
        <f>IF(B2696=B2695,"",B2696)</f>
        <v>Villingen-Schwenningen</v>
      </c>
    </row>
    <row r="2697" spans="1:6" ht="15.75" customHeight="1">
      <c r="A2697" s="5" t="str">
        <f ca="1">IFERROR(__xludf.DUMMYFUNCTION("GOOGLETRANSLATE(B27445,""en"",""pt"")"),"Villingen-Schwenningen")</f>
        <v>Villingen-Schwenningen</v>
      </c>
      <c r="B2697" s="17" t="s">
        <v>9236</v>
      </c>
      <c r="C2697" s="17" t="s">
        <v>8028</v>
      </c>
      <c r="D2697" s="17" t="s">
        <v>32013</v>
      </c>
      <c r="E2697" s="10">
        <v>2817220</v>
      </c>
      <c r="F2697" s="4" t="str">
        <f>IF(B2697=B2696,"",B2697)</f>
        <v/>
      </c>
    </row>
    <row r="2698" spans="1:6" ht="15.75" customHeight="1">
      <c r="A2698" s="5" t="s">
        <v>7923</v>
      </c>
      <c r="B2698" s="6" t="s">
        <v>7923</v>
      </c>
      <c r="C2698" s="5" t="s">
        <v>7052</v>
      </c>
      <c r="D2698" s="5" t="s">
        <v>7058</v>
      </c>
      <c r="E2698" s="2">
        <v>2968142</v>
      </c>
      <c r="F2698" s="4" t="str">
        <f>IF(B2698=B2697,"",B2698)</f>
        <v>Villiers-sur-Marne</v>
      </c>
    </row>
    <row r="2699" spans="1:6" ht="15.75" customHeight="1">
      <c r="A2699" s="5" t="str">
        <f ca="1">IFERROR(__xludf.DUMMYFUNCTION("GOOGLETRANSLATE(B29684,""en"",""pt"")"),"Villiers-sur-Marne")</f>
        <v>Villiers-sur-Marne</v>
      </c>
      <c r="B2699" s="17" t="s">
        <v>7923</v>
      </c>
      <c r="C2699" s="17" t="s">
        <v>7052</v>
      </c>
      <c r="D2699" s="17" t="s">
        <v>32531</v>
      </c>
      <c r="E2699" s="10">
        <v>2968142</v>
      </c>
      <c r="F2699" s="4" t="str">
        <f>IF(B2699=B2698,"",B2699)</f>
        <v/>
      </c>
    </row>
    <row r="2700" spans="1:6" ht="15.75" customHeight="1">
      <c r="A2700" s="5" t="s">
        <v>7922</v>
      </c>
      <c r="B2700" s="6" t="s">
        <v>7922</v>
      </c>
      <c r="C2700" s="5" t="s">
        <v>7052</v>
      </c>
      <c r="D2700" s="5" t="s">
        <v>7058</v>
      </c>
      <c r="E2700" s="2">
        <v>2968176</v>
      </c>
      <c r="F2700" s="4" t="str">
        <f>IF(B2700=B2699,"",B2700)</f>
        <v>Villiers-le-Bel</v>
      </c>
    </row>
    <row r="2701" spans="1:6" ht="15.75" customHeight="1">
      <c r="A2701" s="5" t="str">
        <f ca="1">IFERROR(__xludf.DUMMYFUNCTION("GOOGLETRANSLATE(B29685,""en"",""pt"")"),"Villiers-le-Bel")</f>
        <v>Villiers-le-Bel</v>
      </c>
      <c r="B2701" s="17" t="s">
        <v>7922</v>
      </c>
      <c r="C2701" s="17" t="s">
        <v>7052</v>
      </c>
      <c r="D2701" s="17" t="s">
        <v>32531</v>
      </c>
      <c r="E2701" s="10">
        <v>2968176</v>
      </c>
      <c r="F2701" s="4" t="str">
        <f>IF(B2701=B2700,"",B2701)</f>
        <v/>
      </c>
    </row>
    <row r="2702" spans="1:6" ht="15.75" customHeight="1">
      <c r="A2702" s="5" t="s">
        <v>7921</v>
      </c>
      <c r="B2702" s="6" t="s">
        <v>7921</v>
      </c>
      <c r="C2702" s="5" t="s">
        <v>7052</v>
      </c>
      <c r="D2702" s="5" t="s">
        <v>7053</v>
      </c>
      <c r="E2702" s="2">
        <v>2968254</v>
      </c>
      <c r="F2702" s="4" t="str">
        <f>IF(B2702=B2701,"",B2702)</f>
        <v>Villeurbanne</v>
      </c>
    </row>
    <row r="2703" spans="1:6" ht="15.75" customHeight="1">
      <c r="A2703" s="5" t="str">
        <f ca="1">IFERROR(__xludf.DUMMYFUNCTION("GOOGLETRANSLATE(B29686,""en"",""pt"")"),"Villeurbanne")</f>
        <v>Villeurbanne</v>
      </c>
      <c r="B2703" s="17" t="s">
        <v>7921</v>
      </c>
      <c r="C2703" s="17" t="s">
        <v>7052</v>
      </c>
      <c r="D2703" s="17" t="s">
        <v>32532</v>
      </c>
      <c r="E2703" s="10">
        <v>2968254</v>
      </c>
      <c r="F2703" s="4" t="str">
        <f>IF(B2703=B2702,"",B2703)</f>
        <v/>
      </c>
    </row>
    <row r="2704" spans="1:6" ht="15.75" customHeight="1">
      <c r="A2704" s="6" t="s">
        <v>5647</v>
      </c>
      <c r="B2704" s="6" t="s">
        <v>5647</v>
      </c>
      <c r="C2704" s="6" t="s">
        <v>5348</v>
      </c>
      <c r="D2704" s="6" t="s">
        <v>5400</v>
      </c>
      <c r="E2704" s="2">
        <v>3665895</v>
      </c>
      <c r="F2704" s="4" t="str">
        <f>IF(B2704=B2703,"",B2704)</f>
        <v>Villeta</v>
      </c>
    </row>
    <row r="2705" spans="1:6" ht="15.75" customHeight="1">
      <c r="A2705" s="5" t="str">
        <f ca="1">IFERROR(__xludf.DUMMYFUNCTION("GOOGLETRANSLATE(B26850,""en"",""pt"")"),"Villeta")</f>
        <v>Villeta</v>
      </c>
      <c r="B2705" s="17" t="s">
        <v>5647</v>
      </c>
      <c r="C2705" s="17" t="s">
        <v>5348</v>
      </c>
      <c r="D2705" s="17" t="s">
        <v>5400</v>
      </c>
      <c r="E2705" s="10">
        <v>3665895</v>
      </c>
      <c r="F2705" s="4" t="str">
        <f>IF(B2705=B2704,"",B2705)</f>
        <v/>
      </c>
    </row>
    <row r="2706" spans="1:6" ht="15.75" customHeight="1">
      <c r="A2706" s="5" t="str">
        <f ca="1">IFERROR(__xludf.DUMMYFUNCTION("GOOGLETRANSLATE(B29687,""en"",""pt"")"),"Villers-Lès-Nancy")</f>
        <v>Villers-Lès-Nancy</v>
      </c>
      <c r="B2706" s="17" t="s">
        <v>32537</v>
      </c>
      <c r="C2706" s="17" t="s">
        <v>7052</v>
      </c>
      <c r="D2706" s="17" t="s">
        <v>7061</v>
      </c>
      <c r="E2706" s="10">
        <v>2968368</v>
      </c>
      <c r="F2706" s="4" t="str">
        <f>IF(B2706=B2705,"",B2706)</f>
        <v>Villers-lès-Nancy</v>
      </c>
    </row>
    <row r="2707" spans="1:6" ht="15.75" customHeight="1">
      <c r="A2707" s="5" t="s">
        <v>7919</v>
      </c>
      <c r="B2707" s="6" t="s">
        <v>7920</v>
      </c>
      <c r="C2707" s="5" t="s">
        <v>7052</v>
      </c>
      <c r="D2707" s="5" t="s">
        <v>7061</v>
      </c>
      <c r="E2707" s="2">
        <v>2968368</v>
      </c>
      <c r="F2707" s="4" t="str">
        <f>IF(B2707=B2706,"",B2707)</f>
        <v>Villers-lÃ¨s-Nancy</v>
      </c>
    </row>
    <row r="2708" spans="1:6" ht="15.75" customHeight="1">
      <c r="A2708" s="6" t="s">
        <v>7917</v>
      </c>
      <c r="B2708" s="6" t="s">
        <v>7918</v>
      </c>
      <c r="C2708" s="6" t="s">
        <v>7052</v>
      </c>
      <c r="D2708" s="6" t="s">
        <v>7058</v>
      </c>
      <c r="E2708" s="2">
        <v>2968482</v>
      </c>
      <c r="F2708" s="4" t="str">
        <f>IF(B2708=B2707,"",B2708)</f>
        <v>Villepinte</v>
      </c>
    </row>
    <row r="2709" spans="1:6" ht="15.75" customHeight="1">
      <c r="A2709" s="5" t="str">
        <f ca="1">IFERROR(__xludf.DUMMYFUNCTION("GOOGLETRANSLATE(B29688,""en"",""pt"")"),"VillePinte")</f>
        <v>VillePinte</v>
      </c>
      <c r="B2709" s="17" t="s">
        <v>7918</v>
      </c>
      <c r="C2709" s="17" t="s">
        <v>7052</v>
      </c>
      <c r="D2709" s="17" t="s">
        <v>32531</v>
      </c>
      <c r="E2709" s="10">
        <v>2968482</v>
      </c>
      <c r="F2709" s="4" t="str">
        <f>IF(B2709=B2708,"",B2709)</f>
        <v/>
      </c>
    </row>
    <row r="2710" spans="1:6" ht="15.75" customHeight="1">
      <c r="A2710" s="5" t="s">
        <v>7916</v>
      </c>
      <c r="B2710" s="6" t="s">
        <v>7916</v>
      </c>
      <c r="C2710" s="5" t="s">
        <v>7052</v>
      </c>
      <c r="D2710" s="5" t="s">
        <v>7058</v>
      </c>
      <c r="E2710" s="2">
        <v>2968496</v>
      </c>
      <c r="F2710" s="4" t="str">
        <f>IF(B2710=B2709,"",B2710)</f>
        <v>Villeparisis</v>
      </c>
    </row>
    <row r="2711" spans="1:6" ht="15.75" customHeight="1">
      <c r="A2711" s="5" t="str">
        <f ca="1">IFERROR(__xludf.DUMMYFUNCTION("GOOGLETRANSLATE(B29689,""en"",""pt"")"),"Villeparisis")</f>
        <v>Villeparisis</v>
      </c>
      <c r="B2711" s="17" t="s">
        <v>7916</v>
      </c>
      <c r="C2711" s="17" t="s">
        <v>7052</v>
      </c>
      <c r="D2711" s="17" t="s">
        <v>32531</v>
      </c>
      <c r="E2711" s="10">
        <v>2968496</v>
      </c>
      <c r="F2711" s="4" t="str">
        <f>IF(B2711=B2710,"",B2711)</f>
        <v/>
      </c>
    </row>
    <row r="2712" spans="1:6" ht="15.75" customHeight="1">
      <c r="A2712" s="5" t="s">
        <v>7914</v>
      </c>
      <c r="B2712" s="6" t="s">
        <v>7915</v>
      </c>
      <c r="C2712" s="5" t="s">
        <v>7052</v>
      </c>
      <c r="D2712" s="5" t="s">
        <v>7084</v>
      </c>
      <c r="E2712" s="2">
        <v>2968515</v>
      </c>
      <c r="F2712" s="4" t="str">
        <f>IF(B2712=B2711,"",B2712)</f>
        <v>Villeneuve-sur-Lot</v>
      </c>
    </row>
    <row r="2713" spans="1:6" ht="15.75" customHeight="1">
      <c r="A2713" s="5" t="str">
        <f ca="1">IFERROR(__xludf.DUMMYFUNCTION("GOOGLETRANSLATE(B29690,""en"",""pt"")"),"Villeneuve-sur-lot")</f>
        <v>Villeneuve-sur-lot</v>
      </c>
      <c r="B2713" s="17" t="s">
        <v>7915</v>
      </c>
      <c r="C2713" s="17" t="s">
        <v>7052</v>
      </c>
      <c r="D2713" s="17" t="s">
        <v>7084</v>
      </c>
      <c r="E2713" s="10">
        <v>2968515</v>
      </c>
      <c r="F2713" s="4" t="str">
        <f>IF(B2713=B2712,"",B2713)</f>
        <v/>
      </c>
    </row>
    <row r="2714" spans="1:6" ht="15.75" customHeight="1">
      <c r="A2714" s="5" t="s">
        <v>7913</v>
      </c>
      <c r="B2714" s="6" t="s">
        <v>7913</v>
      </c>
      <c r="C2714" s="5" t="s">
        <v>7052</v>
      </c>
      <c r="D2714" s="5" t="s">
        <v>7058</v>
      </c>
      <c r="E2714" s="2">
        <v>2968529</v>
      </c>
      <c r="F2714" s="4" t="str">
        <f>IF(B2714=B2713,"",B2714)</f>
        <v>Villeneuve-Saint-Georges</v>
      </c>
    </row>
    <row r="2715" spans="1:6" ht="15.75" customHeight="1">
      <c r="A2715" s="5" t="str">
        <f ca="1">IFERROR(__xludf.DUMMYFUNCTION("GOOGLETRANSLATE(B29691,""en"",""pt"")"),"Villeneuve-Saint-Georges")</f>
        <v>Villeneuve-Saint-Georges</v>
      </c>
      <c r="B2715" s="17" t="s">
        <v>7913</v>
      </c>
      <c r="C2715" s="17" t="s">
        <v>7052</v>
      </c>
      <c r="D2715" s="17" t="s">
        <v>32531</v>
      </c>
      <c r="E2715" s="10">
        <v>2968529</v>
      </c>
      <c r="F2715" s="4" t="str">
        <f>IF(B2715=B2714,"",B2715)</f>
        <v/>
      </c>
    </row>
    <row r="2716" spans="1:6" ht="15.75" customHeight="1">
      <c r="A2716" s="5" t="s">
        <v>7912</v>
      </c>
      <c r="B2716" s="6" t="s">
        <v>7912</v>
      </c>
      <c r="C2716" s="5" t="s">
        <v>7052</v>
      </c>
      <c r="D2716" s="5" t="s">
        <v>7058</v>
      </c>
      <c r="E2716" s="2">
        <v>2968546</v>
      </c>
      <c r="F2716" s="4" t="str">
        <f>IF(B2716=B2715,"",B2716)</f>
        <v>Villeneuve-le-Roi</v>
      </c>
    </row>
    <row r="2717" spans="1:6" ht="15.75" customHeight="1">
      <c r="A2717" s="5" t="str">
        <f ca="1">IFERROR(__xludf.DUMMYFUNCTION("GOOGLETRANSLATE(B29692,""en"",""pt"")"),"Villeneuve-le-Roi")</f>
        <v>Villeneuve-le-Roi</v>
      </c>
      <c r="B2717" s="17" t="s">
        <v>7912</v>
      </c>
      <c r="C2717" s="17" t="s">
        <v>7052</v>
      </c>
      <c r="D2717" s="17" t="s">
        <v>32531</v>
      </c>
      <c r="E2717" s="10">
        <v>2968546</v>
      </c>
      <c r="F2717" s="4" t="str">
        <f>IF(B2717=B2716,"",B2717)</f>
        <v/>
      </c>
    </row>
    <row r="2718" spans="1:6" ht="15.75" customHeight="1">
      <c r="A2718" s="5" t="s">
        <v>7910</v>
      </c>
      <c r="B2718" s="6" t="s">
        <v>7911</v>
      </c>
      <c r="C2718" s="5" t="s">
        <v>7052</v>
      </c>
      <c r="D2718" s="5" t="s">
        <v>7058</v>
      </c>
      <c r="E2718" s="2">
        <v>2968555</v>
      </c>
      <c r="F2718" s="4" t="str">
        <f>IF(B2718=B2717,"",B2718)</f>
        <v>Villeneuve-la-Garenne</v>
      </c>
    </row>
    <row r="2719" spans="1:6" ht="15.75" customHeight="1">
      <c r="A2719" s="5" t="str">
        <f ca="1">IFERROR(__xludf.DUMMYFUNCTION("GOOGLETRANSLATE(B29693,""en"",""pt"")"),"Villeneuve-La-Garenne")</f>
        <v>Villeneuve-La-Garenne</v>
      </c>
      <c r="B2719" s="17" t="s">
        <v>7911</v>
      </c>
      <c r="C2719" s="17" t="s">
        <v>7052</v>
      </c>
      <c r="D2719" s="17" t="s">
        <v>32531</v>
      </c>
      <c r="E2719" s="10">
        <v>2968555</v>
      </c>
      <c r="F2719" s="4" t="str">
        <f>IF(B2719=B2718,"",B2719)</f>
        <v/>
      </c>
    </row>
    <row r="2720" spans="1:6" ht="15.75" customHeight="1">
      <c r="A2720" s="5" t="s">
        <v>7908</v>
      </c>
      <c r="B2720" s="6" t="s">
        <v>7909</v>
      </c>
      <c r="C2720" s="5" t="s">
        <v>7052</v>
      </c>
      <c r="D2720" s="5" t="s">
        <v>7078</v>
      </c>
      <c r="E2720" s="2">
        <v>6543862</v>
      </c>
      <c r="F2720" s="4" t="str">
        <f>IF(B2720=B2719,"",B2720)</f>
        <v>Villeneuve-d'Ascq</v>
      </c>
    </row>
    <row r="2721" spans="1:6" ht="15.75" customHeight="1">
      <c r="A2721" s="5" t="str">
        <f ca="1">IFERROR(__xludf.DUMMYFUNCTION("GOOGLETRANSLATE(B30283,""en"",""pt"")"),"Villeneuve-d'ASCQ")</f>
        <v>Villeneuve-d'ASCQ</v>
      </c>
      <c r="B2721" s="17" t="s">
        <v>7909</v>
      </c>
      <c r="C2721" s="17" t="s">
        <v>7052</v>
      </c>
      <c r="D2721" s="17" t="s">
        <v>7078</v>
      </c>
      <c r="E2721" s="10">
        <v>6543862</v>
      </c>
      <c r="F2721" s="4" t="str">
        <f>IF(B2721=B2720,"",B2721)</f>
        <v/>
      </c>
    </row>
    <row r="2722" spans="1:6" ht="15.75" customHeight="1">
      <c r="A2722" s="5" t="s">
        <v>7906</v>
      </c>
      <c r="B2722" s="6" t="s">
        <v>7907</v>
      </c>
      <c r="C2722" s="5" t="s">
        <v>7052</v>
      </c>
      <c r="D2722" s="5" t="s">
        <v>7084</v>
      </c>
      <c r="E2722" s="2">
        <v>2968620</v>
      </c>
      <c r="F2722" s="4" t="str">
        <f>IF(B2722=B2721,"",B2722)</f>
        <v>Villenave-dâ€™Ornon</v>
      </c>
    </row>
    <row r="2723" spans="1:6" ht="15.75" customHeight="1">
      <c r="A2723" s="5" t="str">
        <f ca="1">IFERROR(__xludf.DUMMYFUNCTION("GOOGLETRANSLATE(B29694,""en"",""pt"")"),"Villanave-d'ornon")</f>
        <v>Villanave-d'ornon</v>
      </c>
      <c r="B2723" s="17" t="s">
        <v>32538</v>
      </c>
      <c r="C2723" s="17" t="s">
        <v>7052</v>
      </c>
      <c r="D2723" s="17" t="s">
        <v>7084</v>
      </c>
      <c r="E2723" s="10">
        <v>2968620</v>
      </c>
      <c r="F2723" s="4" t="str">
        <f>IF(B2723=B2722,"",B2723)</f>
        <v>Villenave-d’Ornon</v>
      </c>
    </row>
    <row r="2724" spans="1:6" ht="15.75" customHeight="1">
      <c r="A2724" s="6" t="s">
        <v>24911</v>
      </c>
      <c r="B2724" s="6" t="s">
        <v>24911</v>
      </c>
      <c r="C2724" s="6" t="s">
        <v>24200</v>
      </c>
      <c r="D2724" s="6" t="s">
        <v>21053</v>
      </c>
      <c r="E2724" s="2">
        <v>2509463</v>
      </c>
      <c r="F2724" s="4" t="str">
        <f>IF(B2724=B2723,"",B2724)</f>
        <v>Villena</v>
      </c>
    </row>
    <row r="2725" spans="1:6" ht="15.75" customHeight="1">
      <c r="A2725" s="5" t="str">
        <f ca="1">IFERROR(__xludf.DUMMYFUNCTION("GOOGLETRANSLATE(B28953,""en"",""pt"")"),"Villena")</f>
        <v>Villena</v>
      </c>
      <c r="B2725" s="17" t="s">
        <v>24911</v>
      </c>
      <c r="C2725" s="17" t="s">
        <v>24200</v>
      </c>
      <c r="D2725" s="17" t="s">
        <v>21053</v>
      </c>
      <c r="E2725" s="10">
        <v>2509463</v>
      </c>
      <c r="F2725" s="4" t="str">
        <f>IF(B2725=B2724,"",B2725)</f>
        <v/>
      </c>
    </row>
    <row r="2726" spans="1:6" ht="15.75" customHeight="1">
      <c r="A2726" s="5" t="s">
        <v>7905</v>
      </c>
      <c r="B2726" s="6" t="s">
        <v>7905</v>
      </c>
      <c r="C2726" s="5" t="s">
        <v>7052</v>
      </c>
      <c r="D2726" s="5" t="s">
        <v>7058</v>
      </c>
      <c r="E2726" s="2">
        <v>2968653</v>
      </c>
      <c r="F2726" s="4" t="str">
        <f>IF(B2726=B2725,"",B2726)</f>
        <v>Villemomble</v>
      </c>
    </row>
    <row r="2727" spans="1:6" ht="15.75" customHeight="1">
      <c r="A2727" s="5" t="str">
        <f ca="1">IFERROR(__xludf.DUMMYFUNCTION("GOOGLETRANSLATE(B29695,""en"",""pt"")"),"Villemomble")</f>
        <v>Villemomble</v>
      </c>
      <c r="B2727" s="17" t="s">
        <v>7905</v>
      </c>
      <c r="C2727" s="17" t="s">
        <v>7052</v>
      </c>
      <c r="D2727" s="17" t="s">
        <v>32531</v>
      </c>
      <c r="E2727" s="10">
        <v>2968653</v>
      </c>
      <c r="F2727" s="4" t="str">
        <f>IF(B2727=B2726,"",B2727)</f>
        <v/>
      </c>
    </row>
    <row r="2728" spans="1:6" ht="15.75" customHeight="1">
      <c r="A2728" s="6" t="s">
        <v>7904</v>
      </c>
      <c r="B2728" s="6" t="s">
        <v>7904</v>
      </c>
      <c r="C2728" s="6" t="s">
        <v>7052</v>
      </c>
      <c r="D2728" s="6" t="s">
        <v>7058</v>
      </c>
      <c r="E2728" s="2">
        <v>2968705</v>
      </c>
      <c r="F2728" s="4" t="str">
        <f>IF(B2728=B2727,"",B2728)</f>
        <v>Villejuif</v>
      </c>
    </row>
    <row r="2729" spans="1:6" ht="15.75" customHeight="1">
      <c r="A2729" s="5" t="str">
        <f ca="1">IFERROR(__xludf.DUMMYFUNCTION("GOOGLETRANSLATE(B29696,""en"",""pt"")"),"Villejuif")</f>
        <v>Villejuif</v>
      </c>
      <c r="B2729" s="17" t="s">
        <v>7904</v>
      </c>
      <c r="C2729" s="17" t="s">
        <v>7052</v>
      </c>
      <c r="D2729" s="17" t="s">
        <v>32531</v>
      </c>
      <c r="E2729" s="10">
        <v>2968705</v>
      </c>
      <c r="F2729" s="4" t="str">
        <f>IF(B2729=B2728,"",B2729)</f>
        <v/>
      </c>
    </row>
    <row r="2730" spans="1:6" ht="15.75" customHeight="1">
      <c r="A2730" s="5" t="str">
        <f ca="1">IFERROR(__xludf.DUMMYFUNCTION("GOOGLETRANSLATE(B29697,""en"",""pt"")"),"Villefranche-sur-Saône")</f>
        <v>Villefranche-sur-Saône</v>
      </c>
      <c r="B2730" s="17" t="s">
        <v>32539</v>
      </c>
      <c r="C2730" s="17" t="s">
        <v>7052</v>
      </c>
      <c r="D2730" s="17" t="s">
        <v>32532</v>
      </c>
      <c r="E2730" s="10">
        <v>2968748</v>
      </c>
      <c r="F2730" s="4" t="str">
        <f>IF(B2730=B2729,"",B2730)</f>
        <v>Villefranche-sur-Saône</v>
      </c>
    </row>
    <row r="2731" spans="1:6" ht="15.75" customHeight="1">
      <c r="A2731" s="5" t="s">
        <v>7902</v>
      </c>
      <c r="B2731" s="6" t="s">
        <v>7903</v>
      </c>
      <c r="C2731" s="5" t="s">
        <v>7052</v>
      </c>
      <c r="D2731" s="5" t="s">
        <v>7053</v>
      </c>
      <c r="E2731" s="2">
        <v>2968748</v>
      </c>
      <c r="F2731" s="4" t="str">
        <f>IF(B2731=B2730,"",B2731)</f>
        <v>Villefranche-sur-SaÃ´ne</v>
      </c>
    </row>
    <row r="2732" spans="1:6" ht="15.75" customHeight="1">
      <c r="A2732" s="5" t="s">
        <v>7901</v>
      </c>
      <c r="B2732" s="6" t="s">
        <v>7901</v>
      </c>
      <c r="C2732" s="5" t="s">
        <v>7052</v>
      </c>
      <c r="D2732" s="5" t="s">
        <v>7053</v>
      </c>
      <c r="E2732" s="2">
        <v>2968771</v>
      </c>
      <c r="F2732" s="4" t="str">
        <f>IF(B2732=B2731,"",B2732)</f>
        <v>Villefontaine</v>
      </c>
    </row>
    <row r="2733" spans="1:6" ht="15.75" customHeight="1">
      <c r="A2733" s="5" t="str">
        <f ca="1">IFERROR(__xludf.DUMMYFUNCTION("GOOGLETRANSLATE(B29698,""en"",""pt"")"),"Villefontaine")</f>
        <v>Villefontaine</v>
      </c>
      <c r="B2733" s="17" t="s">
        <v>7901</v>
      </c>
      <c r="C2733" s="17" t="s">
        <v>7052</v>
      </c>
      <c r="D2733" s="17" t="s">
        <v>32532</v>
      </c>
      <c r="E2733" s="10">
        <v>2968771</v>
      </c>
      <c r="F2733" s="4" t="str">
        <f>IF(B2733=B2732,"",B2733)</f>
        <v/>
      </c>
    </row>
    <row r="2734" spans="1:6" ht="15.75" customHeight="1">
      <c r="A2734" s="5" t="str">
        <f ca="1">IFERROR(__xludf.DUMMYFUNCTION("GOOGLETRANSLATE(B24117,""en"",""pt"")"),"Villazón")</f>
        <v>Villazón</v>
      </c>
      <c r="B2734" s="17" t="s">
        <v>31335</v>
      </c>
      <c r="C2734" s="17" t="s">
        <v>1806</v>
      </c>
      <c r="D2734" s="17" t="s">
        <v>31336</v>
      </c>
      <c r="E2734" s="10">
        <v>3901501</v>
      </c>
      <c r="F2734" s="4" t="str">
        <f>IF(B2734=B2733,"",B2734)</f>
        <v>Villazón</v>
      </c>
    </row>
    <row r="2735" spans="1:6" ht="15.75" customHeight="1">
      <c r="A2735" s="6" t="s">
        <v>1837</v>
      </c>
      <c r="B2735" s="6" t="s">
        <v>1838</v>
      </c>
      <c r="C2735" s="6" t="s">
        <v>1806</v>
      </c>
      <c r="D2735" s="6" t="s">
        <v>1818</v>
      </c>
      <c r="E2735" s="2">
        <v>3901501</v>
      </c>
      <c r="F2735" s="4" t="str">
        <f>IF(B2735=B2734,"",B2735)</f>
        <v>VillazÃ³n</v>
      </c>
    </row>
    <row r="2736" spans="1:6" ht="15.75" customHeight="1">
      <c r="A2736" s="5" t="str">
        <f ca="1">IFERROR(__xludf.DUMMYFUNCTION("GOOGLETRANSLATE(B29234,""en"",""pt"")"),"Villaviciosa de Odón")</f>
        <v>Villaviciosa de Odón</v>
      </c>
      <c r="B2736" s="17" t="s">
        <v>32414</v>
      </c>
      <c r="C2736" s="17" t="s">
        <v>24200</v>
      </c>
      <c r="D2736" s="17" t="s">
        <v>5513</v>
      </c>
      <c r="E2736" s="10">
        <v>3104703</v>
      </c>
      <c r="F2736" s="4" t="str">
        <f>IF(B2736=B2735,"",B2736)</f>
        <v>Villaviciosa de Odón</v>
      </c>
    </row>
    <row r="2737" spans="1:6" ht="15.75" customHeight="1">
      <c r="A2737" s="5" t="s">
        <v>24909</v>
      </c>
      <c r="B2737" s="6" t="s">
        <v>24910</v>
      </c>
      <c r="C2737" s="5" t="s">
        <v>24200</v>
      </c>
      <c r="D2737" s="5" t="s">
        <v>5513</v>
      </c>
      <c r="E2737" s="2">
        <v>3104703</v>
      </c>
      <c r="F2737" s="4" t="str">
        <f>IF(B2737=B2736,"",B2737)</f>
        <v>Villaviciosa de OdÃ³n</v>
      </c>
    </row>
    <row r="2738" spans="1:6" ht="15.75" customHeight="1">
      <c r="A2738" s="5" t="s">
        <v>5646</v>
      </c>
      <c r="B2738" s="6" t="s">
        <v>5646</v>
      </c>
      <c r="C2738" s="5" t="s">
        <v>5348</v>
      </c>
      <c r="D2738" s="5" t="s">
        <v>5349</v>
      </c>
      <c r="E2738" s="2">
        <v>3665900</v>
      </c>
      <c r="F2738" s="4" t="str">
        <f>IF(B2738=B2737,"",B2738)</f>
        <v>Villavicencio</v>
      </c>
    </row>
    <row r="2739" spans="1:6" ht="15.75" customHeight="1">
      <c r="A2739" s="5" t="str">
        <f ca="1">IFERROR(__xludf.DUMMYFUNCTION("GOOGLETRANSLATE(B26851,""en"",""pt"")"),"Villavicencio")</f>
        <v>Villavicencio</v>
      </c>
      <c r="B2739" s="17" t="s">
        <v>5646</v>
      </c>
      <c r="C2739" s="17" t="s">
        <v>5348</v>
      </c>
      <c r="D2739" s="17" t="s">
        <v>5349</v>
      </c>
      <c r="E2739" s="10">
        <v>3665900</v>
      </c>
      <c r="F2739" s="4" t="str">
        <f>IF(B2739=B2738,"",B2739)</f>
        <v/>
      </c>
    </row>
    <row r="2740" spans="1:6" ht="15.75" customHeight="1">
      <c r="A2740" s="5" t="s">
        <v>24908</v>
      </c>
      <c r="B2740" s="6" t="s">
        <v>24908</v>
      </c>
      <c r="C2740" s="5" t="s">
        <v>24200</v>
      </c>
      <c r="D2740" s="5" t="s">
        <v>5513</v>
      </c>
      <c r="E2740" s="2">
        <v>3104748</v>
      </c>
      <c r="F2740" s="4" t="str">
        <f>IF(B2740=B2739,"",B2740)</f>
        <v>Villaverde</v>
      </c>
    </row>
    <row r="2741" spans="1:6" ht="15.75" customHeight="1">
      <c r="A2741" s="5" t="str">
        <f ca="1">IFERROR(__xludf.DUMMYFUNCTION("GOOGLETRANSLATE(B29235,""en"",""pt"")"),"Villaverde")</f>
        <v>Villaverde</v>
      </c>
      <c r="B2741" s="17" t="s">
        <v>24908</v>
      </c>
      <c r="C2741" s="17" t="s">
        <v>24200</v>
      </c>
      <c r="D2741" s="17" t="s">
        <v>5513</v>
      </c>
      <c r="E2741" s="10">
        <v>3104748</v>
      </c>
      <c r="F2741" s="4" t="str">
        <f>IF(B2741=B2740,"",B2741)</f>
        <v/>
      </c>
    </row>
    <row r="2742" spans="1:6" ht="15.75" customHeight="1">
      <c r="A2742" s="5" t="s">
        <v>24907</v>
      </c>
      <c r="B2742" s="6" t="s">
        <v>24907</v>
      </c>
      <c r="C2742" s="5" t="s">
        <v>24200</v>
      </c>
      <c r="D2742" s="5" t="s">
        <v>24218</v>
      </c>
      <c r="E2742" s="2">
        <v>2509491</v>
      </c>
      <c r="F2742" s="4" t="str">
        <f>IF(B2742=B2741,"",B2742)</f>
        <v>Villarrobledo</v>
      </c>
    </row>
    <row r="2743" spans="1:6" ht="15.75" customHeight="1">
      <c r="A2743" s="5" t="str">
        <f ca="1">IFERROR(__xludf.DUMMYFUNCTION("GOOGLETRANSLATE(B28954,""en"",""pt"")"),"Villarrobledo")</f>
        <v>Villarrobledo</v>
      </c>
      <c r="B2743" s="17" t="s">
        <v>24907</v>
      </c>
      <c r="C2743" s="17" t="s">
        <v>24200</v>
      </c>
      <c r="D2743" s="17" t="s">
        <v>24218</v>
      </c>
      <c r="E2743" s="10">
        <v>2509491</v>
      </c>
      <c r="F2743" s="4" t="str">
        <f>IF(B2743=B2742,"",B2743)</f>
        <v/>
      </c>
    </row>
    <row r="2744" spans="1:6" ht="15.75" customHeight="1">
      <c r="A2744" s="6" t="s">
        <v>4484</v>
      </c>
      <c r="B2744" s="6" t="s">
        <v>4485</v>
      </c>
      <c r="C2744" s="6" t="s">
        <v>4355</v>
      </c>
      <c r="D2744" s="6" t="s">
        <v>4358</v>
      </c>
      <c r="E2744" s="2">
        <v>3868158</v>
      </c>
      <c r="F2744" s="4" t="str">
        <f>IF(B2744=B2743,"",B2744)</f>
        <v>Villarrica</v>
      </c>
    </row>
    <row r="2745" spans="1:6" ht="15.75" customHeight="1">
      <c r="A2745" s="6" t="s">
        <v>4484</v>
      </c>
      <c r="B2745" s="6" t="s">
        <v>4485</v>
      </c>
      <c r="C2745" s="6" t="s">
        <v>20433</v>
      </c>
      <c r="D2745" s="6" t="s">
        <v>20467</v>
      </c>
      <c r="E2745" s="2">
        <v>3436714</v>
      </c>
      <c r="F2745" s="4" t="str">
        <f>IF(B2745=B2744,"",B2745)</f>
        <v/>
      </c>
    </row>
    <row r="2746" spans="1:6" ht="15.75" customHeight="1">
      <c r="A2746" s="5" t="str">
        <f ca="1">IFERROR(__xludf.DUMMYFUNCTION("GOOGLETRANSLATE(B25884,""en"",""pt"")"),"Villarca")</f>
        <v>Villarca</v>
      </c>
      <c r="B2746" s="17" t="s">
        <v>4485</v>
      </c>
      <c r="C2746" s="17" t="s">
        <v>4355</v>
      </c>
      <c r="D2746" s="17" t="s">
        <v>31794</v>
      </c>
      <c r="E2746" s="10">
        <v>3868158</v>
      </c>
      <c r="F2746" s="4" t="str">
        <f>IF(B2746=B2745,"",B2746)</f>
        <v/>
      </c>
    </row>
    <row r="2747" spans="1:6" ht="15.75" customHeight="1">
      <c r="A2747" s="5" t="str">
        <f ca="1">IFERROR(__xludf.DUMMYFUNCTION("GOOGLETRANSLATE(B39678,""en"",""pt"")"),"Villarca")</f>
        <v>Villarca</v>
      </c>
      <c r="B2747" s="17" t="s">
        <v>4485</v>
      </c>
      <c r="C2747" s="17" t="s">
        <v>20433</v>
      </c>
      <c r="D2747" s="17" t="s">
        <v>35312</v>
      </c>
      <c r="E2747" s="10">
        <v>3436714</v>
      </c>
      <c r="F2747" s="4" t="str">
        <f>IF(B2747=B2746,"",B2747)</f>
        <v/>
      </c>
    </row>
    <row r="2748" spans="1:6" ht="15.75" customHeight="1">
      <c r="A2748" s="6" t="s">
        <v>15576</v>
      </c>
      <c r="B2748" s="6" t="s">
        <v>15576</v>
      </c>
      <c r="C2748" s="6" t="s">
        <v>14891</v>
      </c>
      <c r="D2748" s="6" t="s">
        <v>14896</v>
      </c>
      <c r="E2748" s="2">
        <v>3164153</v>
      </c>
      <c r="F2748" s="4" t="str">
        <f>IF(B2748=B2747,"",B2748)</f>
        <v>Villaricca</v>
      </c>
    </row>
    <row r="2749" spans="1:6" ht="15.75" customHeight="1">
      <c r="A2749" s="5" t="str">
        <f ca="1">IFERROR(__xludf.DUMMYFUNCTION("GOOGLETRANSLATE(B34631,""en"",""pt"")"),"Villaricca")</f>
        <v>Villaricca</v>
      </c>
      <c r="B2749" s="17" t="s">
        <v>15576</v>
      </c>
      <c r="C2749" s="17" t="s">
        <v>14891</v>
      </c>
      <c r="D2749" s="17" t="s">
        <v>14896</v>
      </c>
      <c r="E2749" s="10">
        <v>3164153</v>
      </c>
      <c r="F2749" s="4" t="str">
        <f>IF(B2749=B2748,"",B2749)</f>
        <v/>
      </c>
    </row>
    <row r="2750" spans="1:6" ht="15.75" customHeight="1">
      <c r="A2750" s="5" t="s">
        <v>24906</v>
      </c>
      <c r="B2750" s="6" t="s">
        <v>24906</v>
      </c>
      <c r="C2750" s="5" t="s">
        <v>24200</v>
      </c>
      <c r="D2750" s="5" t="s">
        <v>24210</v>
      </c>
      <c r="E2750" s="2">
        <v>3105148</v>
      </c>
      <c r="F2750" s="4" t="str">
        <f>IF(B2750=B2749,"",B2750)</f>
        <v>Villaquilambre</v>
      </c>
    </row>
    <row r="2751" spans="1:6" ht="15.75" customHeight="1">
      <c r="A2751" s="5" t="str">
        <f ca="1">IFERROR(__xludf.DUMMYFUNCTION("GOOGLETRANSLATE(B29236,""en"",""pt"")"),"Villaquilambre")</f>
        <v>Villaquilambre</v>
      </c>
      <c r="B2751" s="17" t="s">
        <v>24906</v>
      </c>
      <c r="C2751" s="17" t="s">
        <v>24200</v>
      </c>
      <c r="D2751" s="17" t="s">
        <v>32412</v>
      </c>
      <c r="E2751" s="10">
        <v>3105148</v>
      </c>
      <c r="F2751" s="4" t="str">
        <f>IF(B2751=B2750,"",B2751)</f>
        <v/>
      </c>
    </row>
    <row r="2752" spans="1:6" ht="15.75" customHeight="1">
      <c r="A2752" s="5" t="s">
        <v>24905</v>
      </c>
      <c r="B2752" s="6" t="s">
        <v>24905</v>
      </c>
      <c r="C2752" s="5" t="s">
        <v>24200</v>
      </c>
      <c r="D2752" s="5" t="s">
        <v>5513</v>
      </c>
      <c r="E2752" s="2">
        <v>3105214</v>
      </c>
      <c r="F2752" s="4" t="str">
        <f>IF(B2752=B2751,"",B2752)</f>
        <v>Villanueva del Pardillo</v>
      </c>
    </row>
    <row r="2753" spans="1:6" ht="15.75" customHeight="1">
      <c r="A2753" s="5" t="str">
        <f ca="1">IFERROR(__xludf.DUMMYFUNCTION("GOOGLETRANSLATE(B29238,""en"",""pt"")"),"Villanueva del Pardillo")</f>
        <v>Villanueva del Pardillo</v>
      </c>
      <c r="B2753" s="17" t="s">
        <v>24905</v>
      </c>
      <c r="C2753" s="17" t="s">
        <v>24200</v>
      </c>
      <c r="D2753" s="17" t="s">
        <v>5513</v>
      </c>
      <c r="E2753" s="10">
        <v>3105214</v>
      </c>
      <c r="F2753" s="4" t="str">
        <f>IF(B2753=B2752,"",B2753)</f>
        <v/>
      </c>
    </row>
    <row r="2754" spans="1:6" ht="15.75" customHeight="1">
      <c r="A2754" s="5" t="s">
        <v>24904</v>
      </c>
      <c r="B2754" s="6" t="s">
        <v>24904</v>
      </c>
      <c r="C2754" s="5" t="s">
        <v>24200</v>
      </c>
      <c r="D2754" s="5" t="s">
        <v>24262</v>
      </c>
      <c r="E2754" s="2">
        <v>2509553</v>
      </c>
      <c r="F2754" s="4" t="str">
        <f>IF(B2754=B2753,"",B2754)</f>
        <v>Villanueva de la Serena</v>
      </c>
    </row>
    <row r="2755" spans="1:6" ht="15.75" customHeight="1">
      <c r="A2755" s="5" t="str">
        <f ca="1">IFERROR(__xludf.DUMMYFUNCTION("GOOGLETRANSLATE(B28956,""en"",""pt"")"),"Villanueva de la Serena")</f>
        <v>Villanueva de la Serena</v>
      </c>
      <c r="B2755" s="17" t="s">
        <v>24904</v>
      </c>
      <c r="C2755" s="17" t="s">
        <v>24200</v>
      </c>
      <c r="D2755" s="17" t="s">
        <v>24262</v>
      </c>
      <c r="E2755" s="10">
        <v>2509553</v>
      </c>
      <c r="F2755" s="4" t="str">
        <f>IF(B2755=B2754,"",B2755)</f>
        <v/>
      </c>
    </row>
    <row r="2756" spans="1:6" ht="15.75" customHeight="1">
      <c r="A2756" s="5" t="str">
        <f ca="1">IFERROR(__xludf.DUMMYFUNCTION("GOOGLETRANSLATE(B29239,""en"",""pt"")"),"Villanueva de la Cañada")</f>
        <v>Villanueva de la Cañada</v>
      </c>
      <c r="B2756" s="17" t="s">
        <v>32416</v>
      </c>
      <c r="C2756" s="17" t="s">
        <v>24200</v>
      </c>
      <c r="D2756" s="17" t="s">
        <v>5513</v>
      </c>
      <c r="E2756" s="10">
        <v>3105247</v>
      </c>
      <c r="F2756" s="4" t="str">
        <f>IF(B2756=B2755,"",B2756)</f>
        <v>Villanueva de la Cañada</v>
      </c>
    </row>
    <row r="2757" spans="1:6" ht="15.75" customHeight="1">
      <c r="A2757" s="5" t="s">
        <v>24902</v>
      </c>
      <c r="B2757" s="6" t="s">
        <v>24903</v>
      </c>
      <c r="C2757" s="5" t="s">
        <v>24200</v>
      </c>
      <c r="D2757" s="5" t="s">
        <v>5513</v>
      </c>
      <c r="E2757" s="2">
        <v>3105247</v>
      </c>
      <c r="F2757" s="4" t="str">
        <f>IF(B2757=B2756,"",B2757)</f>
        <v>Villanueva de la CaÃ±ada</v>
      </c>
    </row>
    <row r="2758" spans="1:6" ht="15.75" customHeight="1">
      <c r="A2758" s="5" t="s">
        <v>5645</v>
      </c>
      <c r="B2758" s="6" t="s">
        <v>5645</v>
      </c>
      <c r="C2758" s="5" t="s">
        <v>5348</v>
      </c>
      <c r="D2758" s="5" t="s">
        <v>5383</v>
      </c>
      <c r="E2758" s="2">
        <v>3665934</v>
      </c>
      <c r="F2758" s="4" t="str">
        <f>IF(B2758=B2757,"",B2758)</f>
        <v>Villanueva</v>
      </c>
    </row>
    <row r="2759" spans="1:6" ht="15.75" customHeight="1">
      <c r="A2759" s="5" t="s">
        <v>5645</v>
      </c>
      <c r="B2759" s="6" t="s">
        <v>5645</v>
      </c>
      <c r="C2759" s="5" t="s">
        <v>5348</v>
      </c>
      <c r="D2759" s="5" t="s">
        <v>5355</v>
      </c>
      <c r="E2759" s="2">
        <v>3665951</v>
      </c>
      <c r="F2759" s="4" t="str">
        <f>IF(B2759=B2758,"",B2759)</f>
        <v/>
      </c>
    </row>
    <row r="2760" spans="1:6" ht="15.75" customHeight="1">
      <c r="A2760" s="5" t="s">
        <v>5645</v>
      </c>
      <c r="B2760" s="6" t="s">
        <v>5645</v>
      </c>
      <c r="C2760" s="5" t="s">
        <v>9907</v>
      </c>
      <c r="D2760" s="5" t="s">
        <v>9908</v>
      </c>
      <c r="E2760" s="2">
        <v>3600327</v>
      </c>
      <c r="F2760" s="4" t="str">
        <f>IF(B2760=B2759,"",B2760)</f>
        <v/>
      </c>
    </row>
    <row r="2761" spans="1:6" ht="15.75" customHeight="1">
      <c r="A2761" s="5" t="str">
        <f ca="1">IFERROR(__xludf.DUMMYFUNCTION("GOOGLETRANSLATE(B26853,""en"",""pt"")"),"Villanueva")</f>
        <v>Villanueva</v>
      </c>
      <c r="B2761" s="17" t="s">
        <v>5645</v>
      </c>
      <c r="C2761" s="17" t="s">
        <v>5348</v>
      </c>
      <c r="D2761" s="17" t="s">
        <v>5383</v>
      </c>
      <c r="E2761" s="10">
        <v>3665934</v>
      </c>
      <c r="F2761" s="4" t="str">
        <f>IF(B2761=B2760,"",B2761)</f>
        <v/>
      </c>
    </row>
    <row r="2762" spans="1:6" ht="15.75" customHeight="1">
      <c r="A2762" s="5" t="str">
        <f ca="1">IFERROR(__xludf.DUMMYFUNCTION("GOOGLETRANSLATE(B26854,""en"",""pt"")"),"Villanueva")</f>
        <v>Villanueva</v>
      </c>
      <c r="B2762" s="17" t="s">
        <v>5645</v>
      </c>
      <c r="C2762" s="17" t="s">
        <v>5348</v>
      </c>
      <c r="D2762" s="17" t="s">
        <v>5355</v>
      </c>
      <c r="E2762" s="10">
        <v>3665951</v>
      </c>
      <c r="F2762" s="4" t="str">
        <f>IF(B2762=B2761,"",B2762)</f>
        <v/>
      </c>
    </row>
    <row r="2763" spans="1:6" ht="15.75" customHeight="1">
      <c r="A2763" s="5" t="str">
        <f ca="1">IFERROR(__xludf.DUMMYFUNCTION("GOOGLETRANSLATE(B31165,""en"",""pt"")"),"Villanueva")</f>
        <v>Villanueva</v>
      </c>
      <c r="B2763" s="17" t="s">
        <v>5645</v>
      </c>
      <c r="C2763" s="17" t="s">
        <v>9907</v>
      </c>
      <c r="D2763" s="17" t="s">
        <v>32793</v>
      </c>
      <c r="E2763" s="10">
        <v>3600327</v>
      </c>
      <c r="F2763" s="4" t="str">
        <f>IF(B2763=B2762,"",B2763)</f>
        <v/>
      </c>
    </row>
    <row r="2764" spans="1:6" ht="15.75" customHeight="1">
      <c r="A2764" s="6" t="s">
        <v>15575</v>
      </c>
      <c r="B2764" s="6" t="s">
        <v>15575</v>
      </c>
      <c r="C2764" s="6" t="s">
        <v>14891</v>
      </c>
      <c r="D2764" s="6" t="s">
        <v>14904</v>
      </c>
      <c r="E2764" s="2">
        <v>8378910</v>
      </c>
      <c r="F2764" s="4" t="str">
        <f>IF(B2764=B2763,"",B2764)</f>
        <v>Villanova</v>
      </c>
    </row>
    <row r="2765" spans="1:6" ht="15.75" customHeight="1">
      <c r="A2765" s="5" t="str">
        <f ca="1">IFERROR(__xludf.DUMMYFUNCTION("GOOGLETRANSLATE(B35101,""en"",""pt"")"),"Villanova")</f>
        <v>Villanova</v>
      </c>
      <c r="B2765" s="17" t="s">
        <v>15575</v>
      </c>
      <c r="C2765" s="17" t="s">
        <v>14891</v>
      </c>
      <c r="D2765" s="17" t="s">
        <v>14904</v>
      </c>
      <c r="E2765" s="10">
        <v>8378910</v>
      </c>
      <c r="F2765" s="4" t="str">
        <f>IF(B2765=B2764,"",B2765)</f>
        <v/>
      </c>
    </row>
    <row r="2766" spans="1:6" ht="15.75" customHeight="1">
      <c r="A2766" s="5" t="s">
        <v>1836</v>
      </c>
      <c r="B2766" s="6" t="s">
        <v>1836</v>
      </c>
      <c r="C2766" s="5" t="s">
        <v>1806</v>
      </c>
      <c r="D2766" s="5" t="s">
        <v>1831</v>
      </c>
      <c r="E2766" s="2">
        <v>3901547</v>
      </c>
      <c r="F2766" s="4" t="str">
        <f>IF(B2766=B2765,"",B2766)</f>
        <v>Villamontes</v>
      </c>
    </row>
    <row r="2767" spans="1:6" ht="15.75" customHeight="1">
      <c r="A2767" s="5" t="str">
        <f ca="1">IFERROR(__xludf.DUMMYFUNCTION("GOOGLETRANSLATE(B24119,""en"",""pt"")"),"Villamontes")</f>
        <v>Villamontes</v>
      </c>
      <c r="B2767" s="17" t="s">
        <v>1836</v>
      </c>
      <c r="C2767" s="17" t="s">
        <v>1806</v>
      </c>
      <c r="D2767" s="17" t="s">
        <v>1831</v>
      </c>
      <c r="E2767" s="10">
        <v>3901547</v>
      </c>
      <c r="F2767" s="4" t="str">
        <f>IF(B2767=B2766,"",B2767)</f>
        <v/>
      </c>
    </row>
    <row r="2768" spans="1:6" ht="15.75" customHeight="1">
      <c r="A2768" s="5" t="str">
        <f ca="1">IFERROR(__xludf.DUMMYFUNCTION("GOOGLETRANSLATE(B26855,""en"",""pt"")"),"Villamaría")</f>
        <v>Villamaría</v>
      </c>
      <c r="B2768" s="17" t="s">
        <v>31835</v>
      </c>
      <c r="C2768" s="17" t="s">
        <v>5348</v>
      </c>
      <c r="D2768" s="17" t="s">
        <v>5353</v>
      </c>
      <c r="E2768" s="10">
        <v>3665973</v>
      </c>
      <c r="F2768" s="4" t="str">
        <f>IF(B2768=B2767,"",B2768)</f>
        <v>Villamaría</v>
      </c>
    </row>
    <row r="2769" spans="1:6" ht="15.75" customHeight="1">
      <c r="A2769" s="5" t="s">
        <v>5643</v>
      </c>
      <c r="B2769" s="6" t="s">
        <v>5644</v>
      </c>
      <c r="C2769" s="5" t="s">
        <v>5348</v>
      </c>
      <c r="D2769" s="5" t="s">
        <v>5353</v>
      </c>
      <c r="E2769" s="2">
        <v>3665973</v>
      </c>
      <c r="F2769" s="4" t="str">
        <f>IF(B2769=B2768,"",B2769)</f>
        <v>VillamarÃ­a</v>
      </c>
    </row>
    <row r="2770" spans="1:6" ht="15.75" customHeight="1">
      <c r="A2770" s="5" t="s">
        <v>24901</v>
      </c>
      <c r="B2770" s="6" t="s">
        <v>24901</v>
      </c>
      <c r="C2770" s="5" t="s">
        <v>24200</v>
      </c>
      <c r="D2770" s="5" t="s">
        <v>21053</v>
      </c>
      <c r="E2770" s="2">
        <v>2509588</v>
      </c>
      <c r="F2770" s="4" t="str">
        <f>IF(B2770=B2769,"",B2770)</f>
        <v>Villajoyosa</v>
      </c>
    </row>
    <row r="2771" spans="1:6" ht="15.75" customHeight="1">
      <c r="A2771" s="5" t="str">
        <f ca="1">IFERROR(__xludf.DUMMYFUNCTION("GOOGLETRANSLATE(B28957,""en"",""pt"")"),"Villajoyosa")</f>
        <v>Villajoyosa</v>
      </c>
      <c r="B2771" s="17" t="s">
        <v>24901</v>
      </c>
      <c r="C2771" s="17" t="s">
        <v>24200</v>
      </c>
      <c r="D2771" s="17" t="s">
        <v>21053</v>
      </c>
      <c r="E2771" s="10">
        <v>2509588</v>
      </c>
      <c r="F2771" s="4" t="str">
        <f>IF(B2771=B2770,"",B2771)</f>
        <v/>
      </c>
    </row>
    <row r="2772" spans="1:6" ht="15.75" customHeight="1">
      <c r="A2772" s="5" t="s">
        <v>18415</v>
      </c>
      <c r="B2772" s="6" t="s">
        <v>18415</v>
      </c>
      <c r="C2772" s="5" t="s">
        <v>17707</v>
      </c>
      <c r="D2772" s="5" t="s">
        <v>17788</v>
      </c>
      <c r="E2772" s="2">
        <v>3514670</v>
      </c>
      <c r="F2772" s="4" t="str">
        <f>IF(B2772=B2771,"",B2772)</f>
        <v>Villahermosa</v>
      </c>
    </row>
    <row r="2773" spans="1:6" ht="15.75" customHeight="1">
      <c r="A2773" s="5" t="str">
        <f ca="1">IFERROR(__xludf.DUMMYFUNCTION("GOOGLETRANSLATE(B36858,""en"",""pt"")"),"Villahermosa")</f>
        <v>Villahermosa</v>
      </c>
      <c r="B2773" s="17" t="s">
        <v>18415</v>
      </c>
      <c r="C2773" s="17" t="s">
        <v>17707</v>
      </c>
      <c r="D2773" s="17" t="s">
        <v>17788</v>
      </c>
      <c r="E2773" s="10">
        <v>3514670</v>
      </c>
      <c r="F2773" s="4" t="str">
        <f>IF(B2773=B2772,"",B2773)</f>
        <v/>
      </c>
    </row>
    <row r="2774" spans="1:6" ht="15.75" customHeight="1">
      <c r="A2774" s="6" t="s">
        <v>846</v>
      </c>
      <c r="B2774" s="6" t="s">
        <v>846</v>
      </c>
      <c r="C2774" s="6" t="s">
        <v>558</v>
      </c>
      <c r="D2774" s="6" t="s">
        <v>611</v>
      </c>
      <c r="E2774" s="2">
        <v>3427428</v>
      </c>
      <c r="F2774" s="4" t="str">
        <f>IF(B2774=B2773,"",B2774)</f>
        <v>Villaguay</v>
      </c>
    </row>
    <row r="2775" spans="1:6" ht="15.75" customHeight="1">
      <c r="A2775" s="5" t="str">
        <f ca="1">IFERROR(__xludf.DUMMYFUNCTION("GOOGLETRANSLATE(B23171,""en"",""pt"")"),"Villaguay")</f>
        <v>Villaguay</v>
      </c>
      <c r="B2775" s="17" t="s">
        <v>846</v>
      </c>
      <c r="C2775" s="17" t="s">
        <v>558</v>
      </c>
      <c r="D2775" s="17" t="s">
        <v>611</v>
      </c>
      <c r="E2775" s="10">
        <v>3427428</v>
      </c>
      <c r="F2775" s="4" t="str">
        <f>IF(B2775=B2774,"",B2775)</f>
        <v/>
      </c>
    </row>
    <row r="2776" spans="1:6" ht="15.75" customHeight="1">
      <c r="A2776" s="5" t="str">
        <f ca="1">IFERROR(__xludf.DUMMYFUNCTION("GOOGLETRANSLATE(B37151,""en"",""pt"")"),"Villagran")</f>
        <v>Villagran</v>
      </c>
      <c r="B2776" s="17" t="s">
        <v>34730</v>
      </c>
      <c r="C2776" s="17" t="s">
        <v>17707</v>
      </c>
      <c r="D2776" s="17" t="s">
        <v>17713</v>
      </c>
      <c r="E2776" s="10">
        <v>3980174</v>
      </c>
      <c r="F2776" s="4" t="str">
        <f>IF(B2776=B2775,"",B2776)</f>
        <v>Villagrán</v>
      </c>
    </row>
    <row r="2777" spans="1:6" ht="15.75" customHeight="1">
      <c r="A2777" s="6" t="s">
        <v>18413</v>
      </c>
      <c r="B2777" s="6" t="s">
        <v>18414</v>
      </c>
      <c r="C2777" s="6" t="s">
        <v>17707</v>
      </c>
      <c r="D2777" s="6" t="s">
        <v>17713</v>
      </c>
      <c r="E2777" s="2">
        <v>3980174</v>
      </c>
      <c r="F2777" s="4" t="str">
        <f>IF(B2777=B2776,"",B2777)</f>
        <v>VillagrÃ¡n</v>
      </c>
    </row>
    <row r="2778" spans="1:6" ht="15.75" customHeight="1">
      <c r="A2778" s="5" t="s">
        <v>15574</v>
      </c>
      <c r="B2778" s="6" t="s">
        <v>15574</v>
      </c>
      <c r="C2778" s="5" t="s">
        <v>14891</v>
      </c>
      <c r="D2778" s="5" t="s">
        <v>14892</v>
      </c>
      <c r="E2778" s="2">
        <v>3164241</v>
      </c>
      <c r="F2778" s="4" t="str">
        <f>IF(B2778=B2777,"",B2778)</f>
        <v>Villafranca di Verona</v>
      </c>
    </row>
    <row r="2779" spans="1:6" ht="15.75" customHeight="1">
      <c r="A2779" s="5" t="str">
        <f ca="1">IFERROR(__xludf.DUMMYFUNCTION("GOOGLETRANSLATE(B34632,""en"",""pt"")"),"Villafranca di Verona")</f>
        <v>Villafranca di Verona</v>
      </c>
      <c r="B2779" s="17" t="s">
        <v>15574</v>
      </c>
      <c r="C2779" s="17" t="s">
        <v>14891</v>
      </c>
      <c r="D2779" s="17" t="s">
        <v>14892</v>
      </c>
      <c r="E2779" s="10">
        <v>3164241</v>
      </c>
      <c r="F2779" s="4" t="str">
        <f>IF(B2779=B2778,"",B2779)</f>
        <v/>
      </c>
    </row>
    <row r="2780" spans="1:6" ht="15.75" customHeight="1">
      <c r="A2780" s="6" t="s">
        <v>1162</v>
      </c>
      <c r="B2780" s="6" t="s">
        <v>1162</v>
      </c>
      <c r="C2780" s="6" t="s">
        <v>1117</v>
      </c>
      <c r="D2780" s="6" t="s">
        <v>1137</v>
      </c>
      <c r="E2780" s="2">
        <v>2762372</v>
      </c>
      <c r="F2780" s="4" t="str">
        <f>IF(B2780=B2779,"",B2780)</f>
        <v>Villach</v>
      </c>
    </row>
    <row r="2781" spans="1:6" ht="15.75" customHeight="1">
      <c r="A2781" s="5" t="str">
        <f ca="1">IFERROR(__xludf.DUMMYFUNCTION("GOOGLETRANSLATE(B23377,""en"",""pt"")"),"Villach")</f>
        <v>Villach</v>
      </c>
      <c r="B2781" s="17" t="s">
        <v>1162</v>
      </c>
      <c r="C2781" s="17" t="s">
        <v>1117</v>
      </c>
      <c r="D2781" s="17" t="s">
        <v>1137</v>
      </c>
      <c r="E2781" s="10">
        <v>2762372</v>
      </c>
      <c r="F2781" s="4" t="str">
        <f>IF(B2781=B2780,"",B2781)</f>
        <v/>
      </c>
    </row>
    <row r="2782" spans="1:6" ht="15.75" customHeight="1">
      <c r="A2782" s="6" t="s">
        <v>15572</v>
      </c>
      <c r="B2782" s="6" t="s">
        <v>15573</v>
      </c>
      <c r="C2782" s="6" t="s">
        <v>14891</v>
      </c>
      <c r="D2782" s="6" t="s">
        <v>14899</v>
      </c>
      <c r="E2782" s="2">
        <v>2522767</v>
      </c>
      <c r="F2782" s="4" t="str">
        <f>IF(B2782=B2781,"",B2782)</f>
        <v>Villabate</v>
      </c>
    </row>
    <row r="2783" spans="1:6" ht="15.75" customHeight="1">
      <c r="A2783" s="5" t="str">
        <f ca="1">IFERROR(__xludf.DUMMYFUNCTION("GOOGLETRANSLATE(B34540,""en"",""pt"")"),"Vilabate")</f>
        <v>Vilabate</v>
      </c>
      <c r="B2783" s="17" t="s">
        <v>15573</v>
      </c>
      <c r="C2783" s="17" t="s">
        <v>14891</v>
      </c>
      <c r="D2783" s="17" t="s">
        <v>14899</v>
      </c>
      <c r="E2783" s="10">
        <v>2522767</v>
      </c>
      <c r="F2783" s="4" t="str">
        <f>IF(B2783=B2782,"",B2783)</f>
        <v/>
      </c>
    </row>
    <row r="2784" spans="1:6" ht="15.75" customHeight="1">
      <c r="A2784" s="5" t="str">
        <f ca="1">IFERROR(__xludf.DUMMYFUNCTION("GOOGLETRANSLATE(B24118,""en"",""pt"")"),"Villa Yapacaní")</f>
        <v>Villa Yapacaní</v>
      </c>
      <c r="B2784" s="17" t="s">
        <v>31337</v>
      </c>
      <c r="C2784" s="17" t="s">
        <v>1806</v>
      </c>
      <c r="D2784" s="17" t="s">
        <v>595</v>
      </c>
      <c r="E2784" s="10">
        <v>3901504</v>
      </c>
      <c r="F2784" s="4" t="str">
        <f>IF(B2784=B2783,"",B2784)</f>
        <v>Villa Yapacaní</v>
      </c>
    </row>
    <row r="2785" spans="1:6" ht="15.75" customHeight="1">
      <c r="A2785" s="5" t="s">
        <v>1834</v>
      </c>
      <c r="B2785" s="6" t="s">
        <v>1835</v>
      </c>
      <c r="C2785" s="5" t="s">
        <v>1806</v>
      </c>
      <c r="D2785" s="5" t="s">
        <v>595</v>
      </c>
      <c r="E2785" s="2">
        <v>3901504</v>
      </c>
      <c r="F2785" s="4" t="str">
        <f>IF(B2785=B2784,"",B2785)</f>
        <v>Villa YapacanÃ­</v>
      </c>
    </row>
    <row r="2786" spans="1:6" ht="15.75" customHeight="1">
      <c r="A2786" s="5" t="s">
        <v>845</v>
      </c>
      <c r="B2786" s="6" t="s">
        <v>845</v>
      </c>
      <c r="C2786" s="5" t="s">
        <v>558</v>
      </c>
      <c r="D2786" s="5" t="s">
        <v>589</v>
      </c>
      <c r="E2786" s="2">
        <v>6693230</v>
      </c>
      <c r="F2786" s="4" t="str">
        <f>IF(B2786=B2785,"",B2786)</f>
        <v>Villa Santa Rita</v>
      </c>
    </row>
    <row r="2787" spans="1:6" ht="15.75" customHeight="1">
      <c r="A2787" s="5" t="str">
        <f ca="1">IFERROR(__xludf.DUMMYFUNCTION("GOOGLETRANSLATE(B23367,""en"",""pt"")"),"Villa Santa Rita")</f>
        <v>Villa Santa Rita</v>
      </c>
      <c r="B2787" s="17" t="s">
        <v>845</v>
      </c>
      <c r="C2787" s="17" t="s">
        <v>558</v>
      </c>
      <c r="D2787" s="17" t="s">
        <v>31221</v>
      </c>
      <c r="E2787" s="10">
        <v>6693230</v>
      </c>
      <c r="F2787" s="4" t="str">
        <f>IF(B2787=B2786,"",B2787)</f>
        <v/>
      </c>
    </row>
    <row r="2788" spans="1:6" ht="15.75" customHeight="1">
      <c r="A2788" s="5" t="s">
        <v>844</v>
      </c>
      <c r="B2788" s="6" t="s">
        <v>844</v>
      </c>
      <c r="C2788" s="5" t="s">
        <v>558</v>
      </c>
      <c r="D2788" s="5" t="s">
        <v>571</v>
      </c>
      <c r="E2788" s="2">
        <v>3832647</v>
      </c>
      <c r="F2788" s="4" t="str">
        <f>IF(B2788=B2787,"",B2788)</f>
        <v>Villa Regina</v>
      </c>
    </row>
    <row r="2789" spans="1:6" ht="15.75" customHeight="1">
      <c r="A2789" s="5" t="str">
        <f ca="1">IFERROR(__xludf.DUMMYFUNCTION("GOOGLETRANSLATE(B23234,""en"",""pt"")"),"Villa Regina")</f>
        <v>Villa Regina</v>
      </c>
      <c r="B2789" s="17" t="s">
        <v>844</v>
      </c>
      <c r="C2789" s="17" t="s">
        <v>558</v>
      </c>
      <c r="D2789" s="17" t="s">
        <v>571</v>
      </c>
      <c r="E2789" s="10">
        <v>3832647</v>
      </c>
      <c r="F2789" s="4" t="str">
        <f>IF(B2789=B2788,"",B2789)</f>
        <v/>
      </c>
    </row>
    <row r="2790" spans="1:6" ht="15.75" customHeight="1">
      <c r="A2790" s="5" t="s">
        <v>843</v>
      </c>
      <c r="B2790" s="6" t="s">
        <v>843</v>
      </c>
      <c r="C2790" s="5" t="s">
        <v>558</v>
      </c>
      <c r="D2790" s="5" t="s">
        <v>568</v>
      </c>
      <c r="E2790" s="2">
        <v>3832653</v>
      </c>
      <c r="F2790" s="4" t="str">
        <f>IF(B2790=B2789,"",B2790)</f>
        <v>Villa Paula de Sarmiento</v>
      </c>
    </row>
    <row r="2791" spans="1:6" ht="15.75" customHeight="1">
      <c r="A2791" s="5" t="str">
        <f ca="1">IFERROR(__xludf.DUMMYFUNCTION("GOOGLETRANSLATE(B23235,""en"",""pt"")"),"Villa Paula de Sarmiento")</f>
        <v>Villa Paula de Sarmiento</v>
      </c>
      <c r="B2791" s="17" t="s">
        <v>843</v>
      </c>
      <c r="C2791" s="17" t="s">
        <v>558</v>
      </c>
      <c r="D2791" s="17" t="s">
        <v>568</v>
      </c>
      <c r="E2791" s="10">
        <v>3832653</v>
      </c>
      <c r="F2791" s="4" t="str">
        <f>IF(B2791=B2790,"",B2791)</f>
        <v/>
      </c>
    </row>
    <row r="2792" spans="1:6" ht="15.75" customHeight="1">
      <c r="A2792" s="6" t="s">
        <v>30275</v>
      </c>
      <c r="B2792" s="6" t="s">
        <v>30275</v>
      </c>
      <c r="C2792" s="6" t="s">
        <v>27788</v>
      </c>
      <c r="D2792" s="6" t="s">
        <v>27799</v>
      </c>
      <c r="E2792" s="2">
        <v>4914830</v>
      </c>
      <c r="F2792" s="4" t="str">
        <f>IF(B2792=B2791,"",B2792)</f>
        <v>Villa Park</v>
      </c>
    </row>
    <row r="2793" spans="1:6" ht="15.75" customHeight="1">
      <c r="A2793" s="5" t="str">
        <f ca="1">IFERROR(__xludf.DUMMYFUNCTION("GOOGLETRANSLATE(B43893,""en"",""pt"")"),"Villa Park")</f>
        <v>Villa Park</v>
      </c>
      <c r="B2793" s="17" t="s">
        <v>30275</v>
      </c>
      <c r="C2793" s="17" t="s">
        <v>27788</v>
      </c>
      <c r="D2793" s="17" t="s">
        <v>27799</v>
      </c>
      <c r="E2793" s="10">
        <v>4914830</v>
      </c>
      <c r="F2793" s="4" t="str">
        <f>IF(B2793=B2792,"",B2793)</f>
        <v/>
      </c>
    </row>
    <row r="2794" spans="1:6" ht="15.75" customHeight="1">
      <c r="A2794" s="5" t="s">
        <v>842</v>
      </c>
      <c r="B2794" s="6" t="s">
        <v>842</v>
      </c>
      <c r="C2794" s="5" t="s">
        <v>558</v>
      </c>
      <c r="D2794" s="5" t="s">
        <v>579</v>
      </c>
      <c r="E2794" s="2">
        <v>3427388</v>
      </c>
      <c r="F2794" s="4" t="str">
        <f>IF(B2794=B2793,"",B2794)</f>
        <v>Villa Ocampo</v>
      </c>
    </row>
    <row r="2795" spans="1:6" ht="15.75" customHeight="1">
      <c r="A2795" s="5" t="str">
        <f ca="1">IFERROR(__xludf.DUMMYFUNCTION("GOOGLETRANSLATE(B23169,""en"",""pt"")"),"Villa Ocampo")</f>
        <v>Villa Ocampo</v>
      </c>
      <c r="B2795" s="17" t="s">
        <v>842</v>
      </c>
      <c r="C2795" s="17" t="s">
        <v>558</v>
      </c>
      <c r="D2795" s="17" t="s">
        <v>579</v>
      </c>
      <c r="E2795" s="10">
        <v>3427388</v>
      </c>
      <c r="F2795" s="4" t="str">
        <f>IF(B2795=B2794,"",B2795)</f>
        <v/>
      </c>
    </row>
    <row r="2796" spans="1:6" ht="15.75" customHeight="1">
      <c r="A2796" s="5" t="s">
        <v>841</v>
      </c>
      <c r="B2796" s="6" t="s">
        <v>841</v>
      </c>
      <c r="C2796" s="5" t="s">
        <v>558</v>
      </c>
      <c r="D2796" s="5" t="s">
        <v>573</v>
      </c>
      <c r="E2796" s="2">
        <v>3832662</v>
      </c>
      <c r="F2796" s="4" t="str">
        <f>IF(B2796=B2795,"",B2796)</f>
        <v>Villa Nueva</v>
      </c>
    </row>
    <row r="2797" spans="1:6" ht="15.75" customHeight="1">
      <c r="A2797" s="5" t="s">
        <v>841</v>
      </c>
      <c r="B2797" s="6" t="s">
        <v>841</v>
      </c>
      <c r="C2797" s="5" t="s">
        <v>9700</v>
      </c>
      <c r="D2797" s="5" t="s">
        <v>9700</v>
      </c>
      <c r="E2797" s="2">
        <v>3587902</v>
      </c>
      <c r="F2797" s="4" t="str">
        <f>IF(B2797=B2796,"",B2797)</f>
        <v/>
      </c>
    </row>
    <row r="2798" spans="1:6" ht="15.75" customHeight="1">
      <c r="A2798" s="5" t="str">
        <f ca="1">IFERROR(__xludf.DUMMYFUNCTION("GOOGLETRANSLATE(B23236,""en"",""pt"")"),"Villa Nueva")</f>
        <v>Villa Nueva</v>
      </c>
      <c r="B2798" s="17" t="s">
        <v>841</v>
      </c>
      <c r="C2798" s="17" t="s">
        <v>558</v>
      </c>
      <c r="D2798" s="17" t="s">
        <v>573</v>
      </c>
      <c r="E2798" s="10">
        <v>3832662</v>
      </c>
      <c r="F2798" s="4" t="str">
        <f>IF(B2798=B2797,"",B2798)</f>
        <v/>
      </c>
    </row>
    <row r="2799" spans="1:6" ht="15.75" customHeight="1">
      <c r="A2799" s="5" t="str">
        <f ca="1">IFERROR(__xludf.DUMMYFUNCTION("GOOGLETRANSLATE(B31065,""en"",""pt"")"),"Villa Nueva")</f>
        <v>Villa Nueva</v>
      </c>
      <c r="B2799" s="17" t="s">
        <v>841</v>
      </c>
      <c r="C2799" s="17" t="s">
        <v>9700</v>
      </c>
      <c r="D2799" s="17" t="s">
        <v>9700</v>
      </c>
      <c r="E2799" s="10">
        <v>3587902</v>
      </c>
      <c r="F2799" s="4" t="str">
        <f>IF(B2799=B2798,"",B2799)</f>
        <v/>
      </c>
    </row>
    <row r="2800" spans="1:6" ht="15.75" customHeight="1">
      <c r="A2800" s="5" t="s">
        <v>18412</v>
      </c>
      <c r="B2800" s="6" t="s">
        <v>18412</v>
      </c>
      <c r="C2800" s="5" t="s">
        <v>17707</v>
      </c>
      <c r="D2800" s="5" t="s">
        <v>17708</v>
      </c>
      <c r="E2800" s="2">
        <v>3522845</v>
      </c>
      <c r="F2800" s="4" t="str">
        <f>IF(B2800=B2799,"",B2800)</f>
        <v>Villa Nanchital</v>
      </c>
    </row>
    <row r="2801" spans="1:6" ht="15.75" customHeight="1">
      <c r="A2801" s="5" t="str">
        <f ca="1">IFERROR(__xludf.DUMMYFUNCTION("GOOGLETRANSLATE(B36971,""en"",""pt"")"),"Villa Nanchital")</f>
        <v>Villa Nanchital</v>
      </c>
      <c r="B2801" s="17" t="s">
        <v>18412</v>
      </c>
      <c r="C2801" s="17" t="s">
        <v>17707</v>
      </c>
      <c r="D2801" s="17" t="s">
        <v>17708</v>
      </c>
      <c r="E2801" s="10">
        <v>3522845</v>
      </c>
      <c r="F2801" s="4" t="str">
        <f>IF(B2801=B2800,"",B2801)</f>
        <v/>
      </c>
    </row>
    <row r="2802" spans="1:6" ht="15.75" customHeight="1">
      <c r="A2802" s="5" t="s">
        <v>840</v>
      </c>
      <c r="B2802" s="6" t="s">
        <v>840</v>
      </c>
      <c r="C2802" s="5" t="s">
        <v>558</v>
      </c>
      <c r="D2802" s="5" t="s">
        <v>784</v>
      </c>
      <c r="E2802" s="2">
        <v>7116866</v>
      </c>
      <c r="F2802" s="4" t="str">
        <f>IF(B2802=B2801,"",B2802)</f>
        <v>Villa Mercedes</v>
      </c>
    </row>
    <row r="2803" spans="1:6" ht="15.75" customHeight="1">
      <c r="A2803" s="5" t="str">
        <f ca="1">IFERROR(__xludf.DUMMYFUNCTION("GOOGLETRANSLATE(B23368,""en"",""pt"")"),"Villa Mercedes")</f>
        <v>Villa Mercedes</v>
      </c>
      <c r="B2803" s="17" t="s">
        <v>840</v>
      </c>
      <c r="C2803" s="17" t="s">
        <v>558</v>
      </c>
      <c r="D2803" s="17" t="s">
        <v>784</v>
      </c>
      <c r="E2803" s="10">
        <v>7116866</v>
      </c>
      <c r="F2803" s="4" t="str">
        <f>IF(B2803=B2802,"",B2803)</f>
        <v/>
      </c>
    </row>
    <row r="2804" spans="1:6" ht="15.75" customHeight="1">
      <c r="A2804" s="5" t="str">
        <f ca="1">IFERROR(__xludf.DUMMYFUNCTION("GOOGLETRANSLATE(B23237,""en"",""pt"")"),"Villa María")</f>
        <v>Villa María</v>
      </c>
      <c r="B2804" s="17" t="s">
        <v>31178</v>
      </c>
      <c r="C2804" s="17" t="s">
        <v>558</v>
      </c>
      <c r="D2804" s="17" t="s">
        <v>573</v>
      </c>
      <c r="E2804" s="10">
        <v>3832694</v>
      </c>
      <c r="F2804" s="4" t="str">
        <f>IF(B2804=B2803,"",B2804)</f>
        <v>Villa María</v>
      </c>
    </row>
    <row r="2805" spans="1:6" ht="15.75" customHeight="1">
      <c r="A2805" s="5" t="s">
        <v>838</v>
      </c>
      <c r="B2805" s="6" t="s">
        <v>839</v>
      </c>
      <c r="C2805" s="5" t="s">
        <v>558</v>
      </c>
      <c r="D2805" s="5" t="s">
        <v>573</v>
      </c>
      <c r="E2805" s="2">
        <v>3832694</v>
      </c>
      <c r="F2805" s="4" t="str">
        <f>IF(B2805=B2804,"",B2805)</f>
        <v>Villa MarÃ­a</v>
      </c>
    </row>
    <row r="2806" spans="1:6" ht="15.75" customHeight="1">
      <c r="A2806" s="5" t="s">
        <v>837</v>
      </c>
      <c r="B2806" s="6" t="s">
        <v>837</v>
      </c>
      <c r="C2806" s="5" t="s">
        <v>558</v>
      </c>
      <c r="D2806" s="5" t="s">
        <v>589</v>
      </c>
      <c r="E2806" s="2">
        <v>3427408</v>
      </c>
      <c r="F2806" s="4" t="str">
        <f>IF(B2806=B2805,"",B2806)</f>
        <v>Villa Lugano</v>
      </c>
    </row>
    <row r="2807" spans="1:6" ht="15.75" customHeight="1">
      <c r="A2807" s="5" t="str">
        <f ca="1">IFERROR(__xludf.DUMMYFUNCTION("GOOGLETRANSLATE(B23170,""en"",""pt"")"),"Villa Lugano")</f>
        <v>Villa Lugano</v>
      </c>
      <c r="B2807" s="17" t="s">
        <v>837</v>
      </c>
      <c r="C2807" s="17" t="s">
        <v>558</v>
      </c>
      <c r="D2807" s="17" t="s">
        <v>589</v>
      </c>
      <c r="E2807" s="10">
        <v>3427408</v>
      </c>
      <c r="F2807" s="4" t="str">
        <f>IF(B2807=B2806,"",B2807)</f>
        <v/>
      </c>
    </row>
    <row r="2808" spans="1:6" ht="15.75" customHeight="1">
      <c r="A2808" s="5" t="str">
        <f ca="1">IFERROR(__xludf.DUMMYFUNCTION("GOOGLETRANSLATE(B37329,""en"",""pt"")"),"Villa Juárez")</f>
        <v>Villa Juárez</v>
      </c>
      <c r="B2808" s="17" t="s">
        <v>34778</v>
      </c>
      <c r="C2808" s="17" t="s">
        <v>17707</v>
      </c>
      <c r="D2808" s="17" t="s">
        <v>17916</v>
      </c>
      <c r="E2808" s="10">
        <v>4015938</v>
      </c>
      <c r="F2808" s="4" t="str">
        <f>IF(B2808=B2807,"",B2808)</f>
        <v>Villa Juárez</v>
      </c>
    </row>
    <row r="2809" spans="1:6" ht="15.75" customHeight="1">
      <c r="A2809" s="6" t="s">
        <v>18410</v>
      </c>
      <c r="B2809" s="6" t="s">
        <v>18411</v>
      </c>
      <c r="C2809" s="6" t="s">
        <v>17707</v>
      </c>
      <c r="D2809" s="6" t="s">
        <v>17916</v>
      </c>
      <c r="E2809" s="2">
        <v>4015938</v>
      </c>
      <c r="F2809" s="4" t="str">
        <f>IF(B2809=B2808,"",B2809)</f>
        <v>Villa JuÃ¡rez</v>
      </c>
    </row>
    <row r="2810" spans="1:6" ht="15.75" customHeight="1">
      <c r="A2810" s="5" t="s">
        <v>20465</v>
      </c>
      <c r="B2810" s="6" t="s">
        <v>20465</v>
      </c>
      <c r="C2810" s="5" t="s">
        <v>20433</v>
      </c>
      <c r="D2810" s="5" t="s">
        <v>20466</v>
      </c>
      <c r="E2810" s="2">
        <v>3436725</v>
      </c>
      <c r="F2810" s="4" t="str">
        <f>IF(B2810=B2809,"",B2810)</f>
        <v>Villa Hayes</v>
      </c>
    </row>
    <row r="2811" spans="1:6" ht="15.75" customHeight="1">
      <c r="A2811" s="5" t="str">
        <f ca="1">IFERROR(__xludf.DUMMYFUNCTION("GOOGLETRANSLATE(B39679,""en"",""pt"")"),"Villa Hayes")</f>
        <v>Villa Hayes</v>
      </c>
      <c r="B2811" s="17" t="s">
        <v>20465</v>
      </c>
      <c r="C2811" s="17" t="s">
        <v>20433</v>
      </c>
      <c r="D2811" s="17" t="s">
        <v>20466</v>
      </c>
      <c r="E2811" s="10">
        <v>3436725</v>
      </c>
      <c r="F2811" s="4" t="str">
        <f>IF(B2811=B2810,"",B2811)</f>
        <v/>
      </c>
    </row>
    <row r="2812" spans="1:6" ht="15.75" customHeight="1">
      <c r="A2812" s="5" t="s">
        <v>836</v>
      </c>
      <c r="B2812" s="6" t="s">
        <v>836</v>
      </c>
      <c r="C2812" s="5" t="s">
        <v>558</v>
      </c>
      <c r="D2812" s="5" t="s">
        <v>562</v>
      </c>
      <c r="E2812" s="2">
        <v>3427431</v>
      </c>
      <c r="F2812" s="4" t="str">
        <f>IF(B2812=B2811,"",B2812)</f>
        <v>Villa Gesell</v>
      </c>
    </row>
    <row r="2813" spans="1:6" ht="15.75" customHeight="1">
      <c r="A2813" s="5" t="str">
        <f ca="1">IFERROR(__xludf.DUMMYFUNCTION("GOOGLETRANSLATE(B23172,""en"",""pt"")"),"Villa Gesell")</f>
        <v>Villa Gesell</v>
      </c>
      <c r="B2813" s="17" t="s">
        <v>836</v>
      </c>
      <c r="C2813" s="17" t="s">
        <v>558</v>
      </c>
      <c r="D2813" s="17" t="s">
        <v>562</v>
      </c>
      <c r="E2813" s="10">
        <v>3427431</v>
      </c>
      <c r="F2813" s="4" t="str">
        <f>IF(B2813=B2812,"",B2813)</f>
        <v/>
      </c>
    </row>
    <row r="2814" spans="1:6" ht="15.75" customHeight="1">
      <c r="A2814" s="5" t="s">
        <v>6378</v>
      </c>
      <c r="B2814" s="6" t="s">
        <v>6378</v>
      </c>
      <c r="C2814" s="5" t="s">
        <v>6303</v>
      </c>
      <c r="D2814" s="5" t="s">
        <v>6311</v>
      </c>
      <c r="E2814" s="2">
        <v>3491941</v>
      </c>
      <c r="F2814" s="4" t="str">
        <f>IF(B2814=B2813,"",B2814)</f>
        <v>Villa Francisca</v>
      </c>
    </row>
    <row r="2815" spans="1:6" ht="15.75" customHeight="1">
      <c r="A2815" s="5" t="str">
        <f ca="1">IFERROR(__xludf.DUMMYFUNCTION("GOOGLETRANSLATE(B28453,""en"",""pt"")"),"Villa Francisca")</f>
        <v>Villa Francisca</v>
      </c>
      <c r="B2815" s="17" t="s">
        <v>6378</v>
      </c>
      <c r="C2815" s="17" t="s">
        <v>6303</v>
      </c>
      <c r="D2815" s="17" t="s">
        <v>6311</v>
      </c>
      <c r="E2815" s="10">
        <v>3491941</v>
      </c>
      <c r="F2815" s="4" t="str">
        <f>IF(B2815=B2814,"",B2815)</f>
        <v/>
      </c>
    </row>
    <row r="2816" spans="1:6" ht="15.75" customHeight="1">
      <c r="A2816" s="6" t="s">
        <v>20464</v>
      </c>
      <c r="B2816" s="6" t="s">
        <v>20464</v>
      </c>
      <c r="C2816" s="6" t="s">
        <v>20433</v>
      </c>
      <c r="D2816" s="6" t="s">
        <v>1886</v>
      </c>
      <c r="E2816" s="2">
        <v>3436728</v>
      </c>
      <c r="F2816" s="4" t="str">
        <f>IF(B2816=B2815,"",B2816)</f>
        <v>Villa Elisa</v>
      </c>
    </row>
    <row r="2817" spans="1:6" ht="15.75" customHeight="1">
      <c r="A2817" s="5" t="str">
        <f ca="1">IFERROR(__xludf.DUMMYFUNCTION("GOOGLETRANSLATE(B39680,""en"",""pt"")"),"Villa Elisa")</f>
        <v>Villa Elisa</v>
      </c>
      <c r="B2817" s="17" t="s">
        <v>20464</v>
      </c>
      <c r="C2817" s="17" t="s">
        <v>20433</v>
      </c>
      <c r="D2817" s="17" t="s">
        <v>1886</v>
      </c>
      <c r="E2817" s="10">
        <v>3436728</v>
      </c>
      <c r="F2817" s="4" t="str">
        <f>IF(B2817=B2816,"",B2817)</f>
        <v/>
      </c>
    </row>
    <row r="2818" spans="1:6" ht="15.75" customHeight="1">
      <c r="A2818" s="5" t="s">
        <v>835</v>
      </c>
      <c r="B2818" s="6" t="s">
        <v>835</v>
      </c>
      <c r="C2818" s="5" t="s">
        <v>558</v>
      </c>
      <c r="D2818" s="5" t="s">
        <v>573</v>
      </c>
      <c r="E2818" s="2">
        <v>3832756</v>
      </c>
      <c r="F2818" s="4" t="str">
        <f>IF(B2818=B2817,"",B2818)</f>
        <v>Villa Dolores</v>
      </c>
    </row>
    <row r="2819" spans="1:6" ht="15.75" customHeight="1">
      <c r="A2819" s="5" t="str">
        <f ca="1">IFERROR(__xludf.DUMMYFUNCTION("GOOGLETRANSLATE(B23238,""en"",""pt"")"),"Villa Dolores")</f>
        <v>Villa Dolores</v>
      </c>
      <c r="B2819" s="17" t="s">
        <v>835</v>
      </c>
      <c r="C2819" s="17" t="s">
        <v>558</v>
      </c>
      <c r="D2819" s="17" t="s">
        <v>573</v>
      </c>
      <c r="E2819" s="10">
        <v>3832756</v>
      </c>
      <c r="F2819" s="4" t="str">
        <f>IF(B2819=B2818,"",B2819)</f>
        <v/>
      </c>
    </row>
    <row r="2820" spans="1:6" ht="15.75" customHeight="1">
      <c r="A2820" s="5" t="s">
        <v>5642</v>
      </c>
      <c r="B2820" s="6" t="s">
        <v>5642</v>
      </c>
      <c r="C2820" s="5" t="s">
        <v>5348</v>
      </c>
      <c r="D2820" s="5" t="s">
        <v>5410</v>
      </c>
      <c r="E2820" s="2">
        <v>3665913</v>
      </c>
      <c r="F2820" s="4" t="str">
        <f>IF(B2820=B2819,"",B2820)</f>
        <v>Villa del Rosario</v>
      </c>
    </row>
    <row r="2821" spans="1:6" ht="15.75" customHeight="1">
      <c r="A2821" s="5" t="str">
        <f ca="1">IFERROR(__xludf.DUMMYFUNCTION("GOOGLETRANSLATE(B26852,""en"",""pt"")"),"Villa del Rosario")</f>
        <v>Villa del Rosario</v>
      </c>
      <c r="B2821" s="17" t="s">
        <v>5642</v>
      </c>
      <c r="C2821" s="17" t="s">
        <v>5348</v>
      </c>
      <c r="D2821" s="17" t="s">
        <v>5410</v>
      </c>
      <c r="E2821" s="10">
        <v>3665913</v>
      </c>
      <c r="F2821" s="4" t="str">
        <f>IF(B2821=B2820,"",B2821)</f>
        <v/>
      </c>
    </row>
    <row r="2822" spans="1:6" ht="15.75" customHeight="1">
      <c r="A2822" s="5" t="str">
        <f ca="1">IFERROR(__xludf.DUMMYFUNCTION("GOOGLETRANSLATE(B37388,""en"",""pt"")"),"Villa del Prado 2da Sección")</f>
        <v>Villa del Prado 2da Sección</v>
      </c>
      <c r="B2822" s="17" t="s">
        <v>34793</v>
      </c>
      <c r="C2822" s="17" t="s">
        <v>17707</v>
      </c>
      <c r="D2822" s="17" t="s">
        <v>17932</v>
      </c>
      <c r="E2822" s="10">
        <v>8858111</v>
      </c>
      <c r="F2822" s="4" t="str">
        <f>IF(B2822=B2821,"",B2822)</f>
        <v>Villa del Prado 2da Sección</v>
      </c>
    </row>
    <row r="2823" spans="1:6" ht="15.75" customHeight="1">
      <c r="A2823" s="5" t="s">
        <v>18408</v>
      </c>
      <c r="B2823" s="6" t="s">
        <v>18409</v>
      </c>
      <c r="C2823" s="5" t="s">
        <v>17707</v>
      </c>
      <c r="D2823" s="5" t="s">
        <v>17932</v>
      </c>
      <c r="E2823" s="2">
        <v>8858111</v>
      </c>
      <c r="F2823" s="4" t="str">
        <f>IF(B2823=B2822,"",B2823)</f>
        <v>Villa del Prado 2da SecciÃ³n</v>
      </c>
    </row>
    <row r="2824" spans="1:6" ht="15.75" customHeight="1">
      <c r="A2824" s="5" t="s">
        <v>24900</v>
      </c>
      <c r="B2824" s="6" t="s">
        <v>24900</v>
      </c>
      <c r="C2824" s="5" t="s">
        <v>24200</v>
      </c>
      <c r="D2824" s="5" t="s">
        <v>5513</v>
      </c>
      <c r="E2824" s="2">
        <v>8285535</v>
      </c>
      <c r="F2824" s="4" t="str">
        <f>IF(B2824=B2823,"",B2824)</f>
        <v>Villa de Vallecas</v>
      </c>
    </row>
    <row r="2825" spans="1:6" ht="15.75" customHeight="1">
      <c r="A2825" s="5" t="str">
        <f ca="1">IFERROR(__xludf.DUMMYFUNCTION("GOOGLETRANSLATE(B29517,""en"",""pt"")"),"Villa de Vallecas")</f>
        <v>Villa de Vallecas</v>
      </c>
      <c r="B2825" s="17" t="s">
        <v>24900</v>
      </c>
      <c r="C2825" s="17" t="s">
        <v>24200</v>
      </c>
      <c r="D2825" s="17" t="s">
        <v>5513</v>
      </c>
      <c r="E2825" s="10">
        <v>8285535</v>
      </c>
      <c r="F2825" s="4" t="str">
        <f>IF(B2825=B2824,"",B2825)</f>
        <v/>
      </c>
    </row>
    <row r="2826" spans="1:6" ht="15.75" customHeight="1">
      <c r="A2826" s="5" t="s">
        <v>30779</v>
      </c>
      <c r="B2826" s="6" t="s">
        <v>30779</v>
      </c>
      <c r="C2826" s="5" t="s">
        <v>5923</v>
      </c>
      <c r="D2826" s="5" t="s">
        <v>30652</v>
      </c>
      <c r="E2826" s="2">
        <v>3625341</v>
      </c>
      <c r="F2826" s="4" t="str">
        <f>IF(B2826=B2825,"",B2826)</f>
        <v>Villa de Cura</v>
      </c>
    </row>
    <row r="2827" spans="1:6" ht="15.75" customHeight="1">
      <c r="A2827" s="5" t="str">
        <f ca="1">IFERROR(__xludf.DUMMYFUNCTION("GOOGLETRANSLATE(B45604,""en"",""pt"")"),"Villa de Cura")</f>
        <v>Villa de Cura</v>
      </c>
      <c r="B2827" s="17" t="s">
        <v>30779</v>
      </c>
      <c r="C2827" s="17" t="s">
        <v>5923</v>
      </c>
      <c r="D2827" s="17" t="s">
        <v>30652</v>
      </c>
      <c r="E2827" s="10">
        <v>3625341</v>
      </c>
      <c r="F2827" s="4" t="str">
        <f>IF(B2827=B2826,"",B2827)</f>
        <v/>
      </c>
    </row>
    <row r="2828" spans="1:6" ht="15.75" customHeight="1">
      <c r="A2828" s="5" t="s">
        <v>18407</v>
      </c>
      <c r="B2828" s="6" t="s">
        <v>18407</v>
      </c>
      <c r="C2828" s="5" t="s">
        <v>17707</v>
      </c>
      <c r="D2828" s="5" t="s">
        <v>17916</v>
      </c>
      <c r="E2828" s="2">
        <v>4012693</v>
      </c>
      <c r="F2828" s="4" t="str">
        <f>IF(B2828=B2827,"",B2828)</f>
        <v>Villa de Costa Rica</v>
      </c>
    </row>
    <row r="2829" spans="1:6" ht="15.75" customHeight="1">
      <c r="A2829" s="5" t="str">
        <f ca="1">IFERROR(__xludf.DUMMYFUNCTION("GOOGLETRANSLATE(B37308,""en"",""pt"")"),"Villa de Costa Rica")</f>
        <v>Villa de Costa Rica</v>
      </c>
      <c r="B2829" s="17" t="s">
        <v>18407</v>
      </c>
      <c r="C2829" s="17" t="s">
        <v>17707</v>
      </c>
      <c r="D2829" s="17" t="s">
        <v>17916</v>
      </c>
      <c r="E2829" s="10">
        <v>4012693</v>
      </c>
      <c r="F2829" s="4" t="str">
        <f>IF(B2829=B2828,"",B2829)</f>
        <v/>
      </c>
    </row>
    <row r="2830" spans="1:6" ht="15.75" customHeight="1">
      <c r="A2830" s="5" t="str">
        <f ca="1">IFERROR(__xludf.DUMMYFUNCTION("GOOGLETRANSLATE(B36860,""en"",""pt"")"),"Villa Cuauhtémoc otzolotepec")</f>
        <v>Villa Cuauhtémoc otzolotepec</v>
      </c>
      <c r="B2830" s="17" t="s">
        <v>34660</v>
      </c>
      <c r="C2830" s="17" t="s">
        <v>17707</v>
      </c>
      <c r="D2830" s="17" t="s">
        <v>20902</v>
      </c>
      <c r="E2830" s="10">
        <v>3514683</v>
      </c>
      <c r="F2830" s="4" t="str">
        <f>IF(B2830=B2829,"",B2830)</f>
        <v>Villa Cuauhtémoc Otzolotepec</v>
      </c>
    </row>
    <row r="2831" spans="1:6" ht="15.75" customHeight="1">
      <c r="A2831" s="5" t="s">
        <v>18405</v>
      </c>
      <c r="B2831" s="6" t="s">
        <v>18406</v>
      </c>
      <c r="C2831" s="5" t="s">
        <v>17707</v>
      </c>
      <c r="D2831" s="5" t="s">
        <v>17736</v>
      </c>
      <c r="E2831" s="2">
        <v>3514683</v>
      </c>
      <c r="F2831" s="4" t="str">
        <f>IF(B2831=B2830,"",B2831)</f>
        <v>Villa CuauhtÃ©moc Otzolotepec</v>
      </c>
    </row>
    <row r="2832" spans="1:6" ht="15.75" customHeight="1">
      <c r="A2832" s="5" t="s">
        <v>6377</v>
      </c>
      <c r="B2832" s="6" t="s">
        <v>6377</v>
      </c>
      <c r="C2832" s="5" t="s">
        <v>6303</v>
      </c>
      <c r="D2832" s="5" t="s">
        <v>6311</v>
      </c>
      <c r="E2832" s="2">
        <v>3491946</v>
      </c>
      <c r="F2832" s="4" t="str">
        <f>IF(B2832=B2831,"",B2832)</f>
        <v>Villa Consuelo</v>
      </c>
    </row>
    <row r="2833" spans="1:6" ht="15.75" customHeight="1">
      <c r="A2833" s="5" t="str">
        <f ca="1">IFERROR(__xludf.DUMMYFUNCTION("GOOGLETRANSLATE(B28454,""en"",""pt"")"),"Villa Consuelo")</f>
        <v>Villa Consuelo</v>
      </c>
      <c r="B2833" s="17" t="s">
        <v>6377</v>
      </c>
      <c r="C2833" s="17" t="s">
        <v>6303</v>
      </c>
      <c r="D2833" s="17" t="s">
        <v>6311</v>
      </c>
      <c r="E2833" s="10">
        <v>3491946</v>
      </c>
      <c r="F2833" s="4" t="str">
        <f>IF(B2833=B2832,"",B2833)</f>
        <v/>
      </c>
    </row>
    <row r="2834" spans="1:6" ht="15.75" customHeight="1">
      <c r="A2834" s="5" t="str">
        <f ca="1">IFERROR(__xludf.DUMMYFUNCTION("GOOGLETRANSLATE(B23239,""en"",""pt"")"),"Villa Constitución")</f>
        <v>Villa Constitución</v>
      </c>
      <c r="B2834" s="17" t="s">
        <v>31179</v>
      </c>
      <c r="C2834" s="17" t="s">
        <v>558</v>
      </c>
      <c r="D2834" s="17" t="s">
        <v>579</v>
      </c>
      <c r="E2834" s="10">
        <v>3832778</v>
      </c>
      <c r="F2834" s="4" t="str">
        <f>IF(B2834=B2833,"",B2834)</f>
        <v>Villa Constitución</v>
      </c>
    </row>
    <row r="2835" spans="1:6" ht="15.75" customHeight="1">
      <c r="A2835" s="5" t="s">
        <v>833</v>
      </c>
      <c r="B2835" s="6" t="s">
        <v>834</v>
      </c>
      <c r="C2835" s="5" t="s">
        <v>558</v>
      </c>
      <c r="D2835" s="5" t="s">
        <v>579</v>
      </c>
      <c r="E2835" s="2">
        <v>3832778</v>
      </c>
      <c r="F2835" s="4" t="str">
        <f>IF(B2835=B2834,"",B2835)</f>
        <v>Villa ConstituciÃ³n</v>
      </c>
    </row>
    <row r="2836" spans="1:6" ht="15.75" customHeight="1">
      <c r="A2836" s="5" t="s">
        <v>832</v>
      </c>
      <c r="B2836" s="6" t="s">
        <v>832</v>
      </c>
      <c r="C2836" s="5" t="s">
        <v>558</v>
      </c>
      <c r="D2836" s="5" t="s">
        <v>573</v>
      </c>
      <c r="E2836" s="2">
        <v>3832791</v>
      </c>
      <c r="F2836" s="4" t="str">
        <f>IF(B2836=B2835,"",B2836)</f>
        <v>Villa Carlos Paz</v>
      </c>
    </row>
    <row r="2837" spans="1:6" ht="15.75" customHeight="1">
      <c r="A2837" s="5" t="str">
        <f ca="1">IFERROR(__xludf.DUMMYFUNCTION("GOOGLETRANSLATE(B23240,""en"",""pt"")"),"Villa Carlos Paz")</f>
        <v>Villa Carlos Paz</v>
      </c>
      <c r="B2837" s="17" t="s">
        <v>832</v>
      </c>
      <c r="C2837" s="17" t="s">
        <v>558</v>
      </c>
      <c r="D2837" s="17" t="s">
        <v>573</v>
      </c>
      <c r="E2837" s="10">
        <v>3832791</v>
      </c>
      <c r="F2837" s="4" t="str">
        <f>IF(B2837=B2836,"",B2837)</f>
        <v/>
      </c>
    </row>
    <row r="2838" spans="1:6" ht="15.75" customHeight="1">
      <c r="A2838" s="5" t="s">
        <v>9819</v>
      </c>
      <c r="B2838" s="6" t="s">
        <v>9820</v>
      </c>
      <c r="C2838" s="5" t="s">
        <v>9700</v>
      </c>
      <c r="D2838" s="5" t="s">
        <v>9700</v>
      </c>
      <c r="E2838" s="2">
        <v>3587923</v>
      </c>
      <c r="F2838" s="4" t="str">
        <f>IF(B2838=B2837,"",B2838)</f>
        <v>Villa Canales</v>
      </c>
    </row>
    <row r="2839" spans="1:6" ht="15.75" customHeight="1">
      <c r="A2839" s="5" t="str">
        <f ca="1">IFERROR(__xludf.DUMMYFUNCTION("GOOGLETRANSLATE(B31066,""en"",""pt"")"),"Canales de Villa")</f>
        <v>Canales de Villa</v>
      </c>
      <c r="B2839" s="17" t="s">
        <v>9820</v>
      </c>
      <c r="C2839" s="17" t="s">
        <v>9700</v>
      </c>
      <c r="D2839" s="17" t="s">
        <v>9700</v>
      </c>
      <c r="E2839" s="10">
        <v>3587923</v>
      </c>
      <c r="F2839" s="4" t="str">
        <f>IF(B2839=B2838,"",B2839)</f>
        <v/>
      </c>
    </row>
    <row r="2840" spans="1:6" ht="15.75" customHeight="1">
      <c r="A2840" s="5" t="s">
        <v>30778</v>
      </c>
      <c r="B2840" s="6" t="s">
        <v>30778</v>
      </c>
      <c r="C2840" s="5" t="s">
        <v>5923</v>
      </c>
      <c r="D2840" s="5" t="s">
        <v>30634</v>
      </c>
      <c r="E2840" s="2">
        <v>3625346</v>
      </c>
      <c r="F2840" s="4" t="str">
        <f>IF(B2840=B2839,"",B2840)</f>
        <v>Villa Bruzual</v>
      </c>
    </row>
    <row r="2841" spans="1:6" ht="15.75" customHeight="1">
      <c r="A2841" s="5" t="str">
        <f ca="1">IFERROR(__xludf.DUMMYFUNCTION("GOOGLETRANSLATE(B45605,""en"",""pt"")"),"Villa Bruzual")</f>
        <v>Villa Bruzual</v>
      </c>
      <c r="B2841" s="17" t="s">
        <v>30778</v>
      </c>
      <c r="C2841" s="17" t="s">
        <v>5923</v>
      </c>
      <c r="D2841" s="17" t="s">
        <v>30634</v>
      </c>
      <c r="E2841" s="10">
        <v>3625346</v>
      </c>
      <c r="F2841" s="4" t="str">
        <f>IF(B2841=B2840,"",B2841)</f>
        <v/>
      </c>
    </row>
    <row r="2842" spans="1:6" ht="15.75" customHeight="1">
      <c r="A2842" s="5" t="str">
        <f ca="1">IFERROR(__xludf.DUMMYFUNCTION("GOOGLETRANSLATE(B28455,""en"",""pt"")"),"Villa Bisonó")</f>
        <v>Villa Bisonó</v>
      </c>
      <c r="B2842" s="17" t="s">
        <v>32166</v>
      </c>
      <c r="C2842" s="17" t="s">
        <v>6303</v>
      </c>
      <c r="D2842" s="17" t="s">
        <v>3429</v>
      </c>
      <c r="E2842" s="10">
        <v>3491948</v>
      </c>
      <c r="F2842" s="4" t="str">
        <f>IF(B2842=B2841,"",B2842)</f>
        <v>Villa Bisonó</v>
      </c>
    </row>
    <row r="2843" spans="1:6" ht="15.75" customHeight="1">
      <c r="A2843" s="5" t="s">
        <v>6375</v>
      </c>
      <c r="B2843" s="6" t="s">
        <v>6376</v>
      </c>
      <c r="C2843" s="5" t="s">
        <v>6303</v>
      </c>
      <c r="D2843" s="5" t="s">
        <v>3429</v>
      </c>
      <c r="E2843" s="2">
        <v>3491948</v>
      </c>
      <c r="F2843" s="4" t="str">
        <f>IF(B2843=B2842,"",B2843)</f>
        <v>Villa BisonÃ³</v>
      </c>
    </row>
    <row r="2844" spans="1:6" ht="15.75" customHeight="1">
      <c r="A2844" s="5" t="str">
        <f ca="1">IFERROR(__xludf.DUMMYFUNCTION("GOOGLETRANSLATE(B23241,""en"",""pt"")"),"Villa Ángela")</f>
        <v>Villa Ángela</v>
      </c>
      <c r="B2844" s="17" t="s">
        <v>31180</v>
      </c>
      <c r="C2844" s="17" t="s">
        <v>558</v>
      </c>
      <c r="D2844" s="17" t="s">
        <v>586</v>
      </c>
      <c r="E2844" s="10">
        <v>3832811</v>
      </c>
      <c r="F2844" s="4" t="str">
        <f>IF(B2844=B2843,"",B2844)</f>
        <v>Villa Ángela</v>
      </c>
    </row>
    <row r="2845" spans="1:6" ht="15.75" customHeight="1">
      <c r="A2845" s="5" t="s">
        <v>6374</v>
      </c>
      <c r="B2845" s="6" t="s">
        <v>6374</v>
      </c>
      <c r="C2845" s="5" t="s">
        <v>6303</v>
      </c>
      <c r="D2845" s="5" t="s">
        <v>6305</v>
      </c>
      <c r="E2845" s="2">
        <v>3491952</v>
      </c>
      <c r="F2845" s="4" t="str">
        <f>IF(B2845=B2844,"",B2845)</f>
        <v>Villa Altagracia</v>
      </c>
    </row>
    <row r="2846" spans="1:6" ht="15.75" customHeight="1">
      <c r="A2846" s="5" t="str">
        <f ca="1">IFERROR(__xludf.DUMMYFUNCTION("GOOGLETRANSLATE(B28456,""en"",""pt"")"),"Villa Altagracia")</f>
        <v>Villa Altagracia</v>
      </c>
      <c r="B2846" s="17" t="s">
        <v>6374</v>
      </c>
      <c r="C2846" s="17" t="s">
        <v>6303</v>
      </c>
      <c r="D2846" s="17" t="s">
        <v>32167</v>
      </c>
      <c r="E2846" s="10">
        <v>3491952</v>
      </c>
      <c r="F2846" s="4" t="str">
        <f>IF(B2846=B2845,"",B2846)</f>
        <v/>
      </c>
    </row>
    <row r="2847" spans="1:6" ht="15.75" customHeight="1">
      <c r="A2847" s="5" t="s">
        <v>831</v>
      </c>
      <c r="B2847" s="6" t="s">
        <v>831</v>
      </c>
      <c r="C2847" s="5" t="s">
        <v>558</v>
      </c>
      <c r="D2847" s="5" t="s">
        <v>573</v>
      </c>
      <c r="E2847" s="2">
        <v>3832815</v>
      </c>
      <c r="F2847" s="4" t="str">
        <f>IF(B2847=B2846,"",B2847)</f>
        <v>Villa Allende</v>
      </c>
    </row>
    <row r="2848" spans="1:6" ht="15.75" customHeight="1">
      <c r="A2848" s="5" t="str">
        <f ca="1">IFERROR(__xludf.DUMMYFUNCTION("GOOGLETRANSLATE(B23242,""en"",""pt"")"),"Villa Allende")</f>
        <v>Villa Allende</v>
      </c>
      <c r="B2848" s="17" t="s">
        <v>831</v>
      </c>
      <c r="C2848" s="17" t="s">
        <v>558</v>
      </c>
      <c r="D2848" s="17" t="s">
        <v>573</v>
      </c>
      <c r="E2848" s="10">
        <v>3832815</v>
      </c>
      <c r="F2848" s="4" t="str">
        <f>IF(B2848=B2847,"",B2848)</f>
        <v/>
      </c>
    </row>
    <row r="2849" spans="1:6" ht="15.75" customHeight="1">
      <c r="A2849" s="5" t="s">
        <v>4483</v>
      </c>
      <c r="B2849" s="6" t="s">
        <v>4483</v>
      </c>
      <c r="C2849" s="5" t="s">
        <v>4355</v>
      </c>
      <c r="D2849" s="5" t="s">
        <v>3642</v>
      </c>
      <c r="E2849" s="2">
        <v>3868192</v>
      </c>
      <c r="F2849" s="4" t="str">
        <f>IF(B2849=B2848,"",B2849)</f>
        <v>Villa Alemana</v>
      </c>
    </row>
    <row r="2850" spans="1:6" ht="15.75" customHeight="1">
      <c r="A2850" s="5" t="str">
        <f ca="1">IFERROR(__xludf.DUMMYFUNCTION("GOOGLETRANSLATE(B25885,""en"",""pt"")"),"Villa Alemana")</f>
        <v>Villa Alemana</v>
      </c>
      <c r="B2850" s="17" t="s">
        <v>4483</v>
      </c>
      <c r="C2850" s="17" t="s">
        <v>4355</v>
      </c>
      <c r="D2850" s="17" t="s">
        <v>30263</v>
      </c>
      <c r="E2850" s="10">
        <v>3868192</v>
      </c>
      <c r="F2850" s="4" t="str">
        <f>IF(B2850=B2849,"",B2850)</f>
        <v/>
      </c>
    </row>
    <row r="2851" spans="1:6" ht="15.75" customHeight="1">
      <c r="A2851" s="5" t="s">
        <v>829</v>
      </c>
      <c r="B2851" s="6" t="s">
        <v>830</v>
      </c>
      <c r="C2851" s="5" t="s">
        <v>558</v>
      </c>
      <c r="D2851" s="5" t="s">
        <v>586</v>
      </c>
      <c r="E2851" s="2">
        <v>3832811</v>
      </c>
      <c r="F2851" s="4" t="str">
        <f>IF(B2851=B2850,"",B2851)</f>
        <v>Villa Ãngela</v>
      </c>
    </row>
    <row r="2852" spans="1:6" ht="15.75" customHeight="1">
      <c r="A2852" s="5" t="str">
        <f ca="1">IFERROR(__xludf.DUMMYFUNCTION("GOOGLETRANSLATE(B36393,""en"",""pt"")"),"Vilkpėdė")</f>
        <v>Vilkpėdė</v>
      </c>
      <c r="B2852" s="17" t="s">
        <v>34543</v>
      </c>
      <c r="C2852" s="17" t="s">
        <v>17154</v>
      </c>
      <c r="D2852" s="17" t="s">
        <v>17155</v>
      </c>
      <c r="E2852" s="10">
        <v>10062606</v>
      </c>
      <c r="F2852" s="4" t="str">
        <f>IF(B2852=B2851,"",B2852)</f>
        <v>Vilkpėdė</v>
      </c>
    </row>
    <row r="2853" spans="1:6" ht="15.75" customHeight="1">
      <c r="A2853" s="5" t="s">
        <v>17210</v>
      </c>
      <c r="B2853" s="6" t="s">
        <v>17211</v>
      </c>
      <c r="C2853" s="5" t="s">
        <v>17154</v>
      </c>
      <c r="D2853" s="5" t="s">
        <v>17155</v>
      </c>
      <c r="E2853" s="2">
        <v>10062606</v>
      </c>
      <c r="F2853" s="4" t="str">
        <f>IF(B2853=B2852,"",B2853)</f>
        <v>VilkpÄ—dÄ—</v>
      </c>
    </row>
    <row r="2854" spans="1:6" ht="15.75" customHeight="1">
      <c r="A2854" s="5" t="s">
        <v>24002</v>
      </c>
      <c r="B2854" s="6" t="s">
        <v>24002</v>
      </c>
      <c r="C2854" s="5" t="s">
        <v>23842</v>
      </c>
      <c r="D2854" s="5" t="s">
        <v>23845</v>
      </c>
      <c r="E2854" s="2">
        <v>943960</v>
      </c>
      <c r="F2854" s="4" t="str">
        <f>IF(B2854=B2853,"",B2854)</f>
        <v>Viljoenskroon</v>
      </c>
    </row>
    <row r="2855" spans="1:6" ht="15.75" customHeight="1">
      <c r="A2855" s="5" t="str">
        <f ca="1">IFERROR(__xludf.DUMMYFUNCTION("GOOGLETRANSLATE(B45856,""en"",""pt"")"),"Viljoenskroon")</f>
        <v>Viljoenskroon</v>
      </c>
      <c r="B2855" s="17" t="s">
        <v>24002</v>
      </c>
      <c r="C2855" s="17" t="s">
        <v>23842</v>
      </c>
      <c r="D2855" s="17" t="s">
        <v>23845</v>
      </c>
      <c r="E2855" s="10">
        <v>943960</v>
      </c>
      <c r="F2855" s="4" t="str">
        <f>IF(B2855=B2854,"",B2855)</f>
        <v/>
      </c>
    </row>
    <row r="2856" spans="1:6" ht="15.75" customHeight="1">
      <c r="A2856" s="6" t="s">
        <v>6803</v>
      </c>
      <c r="B2856" s="6" t="s">
        <v>6803</v>
      </c>
      <c r="C2856" s="6" t="s">
        <v>6789</v>
      </c>
      <c r="D2856" s="6" t="s">
        <v>6804</v>
      </c>
      <c r="E2856" s="2">
        <v>587577</v>
      </c>
      <c r="F2856" s="4" t="str">
        <f>IF(B2856=B2855,"",B2856)</f>
        <v>Viljandi</v>
      </c>
    </row>
    <row r="2857" spans="1:6" ht="15.75" customHeight="1">
      <c r="A2857" s="5" t="str">
        <f ca="1">IFERROR(__xludf.DUMMYFUNCTION("GOOGLETRANSLATE(B28812,""en"",""pt"")"),"Viljandi")</f>
        <v>Viljandi</v>
      </c>
      <c r="B2857" s="17" t="s">
        <v>6803</v>
      </c>
      <c r="C2857" s="17" t="s">
        <v>6789</v>
      </c>
      <c r="D2857" s="17" t="s">
        <v>6804</v>
      </c>
      <c r="E2857" s="10">
        <v>587577</v>
      </c>
      <c r="F2857" s="4" t="str">
        <f>IF(B2857=B2856,"",B2857)</f>
        <v/>
      </c>
    </row>
    <row r="2858" spans="1:6" ht="15.75" customHeight="1">
      <c r="A2858" s="6" t="s">
        <v>3667</v>
      </c>
      <c r="B2858" s="6" t="s">
        <v>3667</v>
      </c>
      <c r="C2858" s="6" t="s">
        <v>1905</v>
      </c>
      <c r="D2858" s="6" t="s">
        <v>2038</v>
      </c>
      <c r="E2858" s="2">
        <v>3924679</v>
      </c>
      <c r="F2858" s="4" t="str">
        <f>IF(B2858=B2857,"",B2858)</f>
        <v>Vilhena</v>
      </c>
    </row>
    <row r="2859" spans="1:6" ht="15.75" customHeight="1">
      <c r="A2859" s="5" t="str">
        <f ca="1">IFERROR(__xludf.DUMMYFUNCTION("GOOGLETRANSLATE(B25324,""en"",""pt"")"),"Vilhena")</f>
        <v>Vilhena</v>
      </c>
      <c r="B2859" s="17" t="s">
        <v>3667</v>
      </c>
      <c r="C2859" s="17" t="s">
        <v>1905</v>
      </c>
      <c r="D2859" s="17" t="s">
        <v>31741</v>
      </c>
      <c r="E2859" s="10">
        <v>3924679</v>
      </c>
      <c r="F2859" s="4" t="str">
        <f>IF(B2859=B2858,"",B2859)</f>
        <v/>
      </c>
    </row>
    <row r="2860" spans="1:6" ht="15.75" customHeight="1">
      <c r="A2860" s="5" t="s">
        <v>24898</v>
      </c>
      <c r="B2860" s="6" t="s">
        <v>24899</v>
      </c>
      <c r="C2860" s="5" t="s">
        <v>24200</v>
      </c>
      <c r="D2860" s="5" t="s">
        <v>24277</v>
      </c>
      <c r="E2860" s="2">
        <v>3110516</v>
      </c>
      <c r="F2860" s="4" t="str">
        <f>IF(B2860=B2859,"",B2860)</f>
        <v>Vilassar de Mar</v>
      </c>
    </row>
    <row r="2861" spans="1:6" ht="15.75" customHeight="1">
      <c r="A2861" s="5" t="str">
        <f ca="1">IFERROR(__xludf.DUMMYFUNCTION("GOOGLETRANSLATE(B29292,""en"",""pt"")"),"ViLassar de Mar.")</f>
        <v>ViLassar de Mar.</v>
      </c>
      <c r="B2861" s="17" t="s">
        <v>24899</v>
      </c>
      <c r="C2861" s="17" t="s">
        <v>24200</v>
      </c>
      <c r="D2861" s="17" t="s">
        <v>24277</v>
      </c>
      <c r="E2861" s="10">
        <v>3110516</v>
      </c>
      <c r="F2861" s="4" t="str">
        <f>IF(B2861=B2860,"",B2861)</f>
        <v/>
      </c>
    </row>
    <row r="2862" spans="1:6" ht="15.75" customHeight="1">
      <c r="A2862" s="6" t="s">
        <v>24897</v>
      </c>
      <c r="B2862" s="6" t="s">
        <v>24897</v>
      </c>
      <c r="C2862" s="6" t="s">
        <v>24200</v>
      </c>
      <c r="D2862" s="6" t="s">
        <v>24277</v>
      </c>
      <c r="E2862" s="2">
        <v>3105803</v>
      </c>
      <c r="F2862" s="4" t="str">
        <f>IF(B2862=B2861,"",B2862)</f>
        <v>Vila-seca</v>
      </c>
    </row>
    <row r="2863" spans="1:6" ht="15.75" customHeight="1">
      <c r="A2863" s="5" t="str">
        <f ca="1">IFERROR(__xludf.DUMMYFUNCTION("GOOGLETRANSLATE(B29243,""en"",""pt"")"),"Vila-seca")</f>
        <v>Vila-seca</v>
      </c>
      <c r="B2863" s="17" t="s">
        <v>24897</v>
      </c>
      <c r="C2863" s="17" t="s">
        <v>24200</v>
      </c>
      <c r="D2863" s="17" t="s">
        <v>24277</v>
      </c>
      <c r="E2863" s="10">
        <v>3105803</v>
      </c>
      <c r="F2863" s="4" t="str">
        <f>IF(B2863=B2862,"",B2863)</f>
        <v/>
      </c>
    </row>
    <row r="2864" spans="1:6" ht="15.75" customHeight="1">
      <c r="A2864" s="6" t="s">
        <v>24896</v>
      </c>
      <c r="B2864" s="6" t="s">
        <v>24896</v>
      </c>
      <c r="C2864" s="6" t="s">
        <v>24200</v>
      </c>
      <c r="D2864" s="6" t="s">
        <v>24277</v>
      </c>
      <c r="E2864" s="2">
        <v>3105805</v>
      </c>
      <c r="F2864" s="4" t="str">
        <f>IF(B2864=B2863,"",B2864)</f>
        <v>Vilaseca</v>
      </c>
    </row>
    <row r="2865" spans="1:6" ht="15.75" customHeight="1">
      <c r="A2865" s="5" t="str">
        <f ca="1">IFERROR(__xludf.DUMMYFUNCTION("GOOGLETRANSLATE(B29244,""en"",""pt"")"),"Vilaseca")</f>
        <v>Vilaseca</v>
      </c>
      <c r="B2865" s="17" t="s">
        <v>24896</v>
      </c>
      <c r="C2865" s="17" t="s">
        <v>24200</v>
      </c>
      <c r="D2865" s="17" t="s">
        <v>24277</v>
      </c>
      <c r="E2865" s="10">
        <v>3105805</v>
      </c>
      <c r="F2865" s="4" t="str">
        <f>IF(B2865=B2864,"",B2865)</f>
        <v/>
      </c>
    </row>
    <row r="2866" spans="1:6" ht="15.75" customHeight="1">
      <c r="A2866" s="6" t="s">
        <v>24894</v>
      </c>
      <c r="B2866" s="6" t="s">
        <v>24895</v>
      </c>
      <c r="C2866" s="6" t="s">
        <v>24200</v>
      </c>
      <c r="D2866" s="6" t="s">
        <v>21053</v>
      </c>
      <c r="E2866" s="2">
        <v>2509509</v>
      </c>
      <c r="F2866" s="4" t="str">
        <f>IF(B2866=B2865,"",B2866)</f>
        <v>Vila-real</v>
      </c>
    </row>
    <row r="2867" spans="1:6" ht="15.75" customHeight="1">
      <c r="A2867" s="5" t="str">
        <f ca="1">IFERROR(__xludf.DUMMYFUNCTION("GOOGLETRANSLATE(B28955,""en"",""pt"")"),"Vila-Real")</f>
        <v>Vila-Real</v>
      </c>
      <c r="B2867" s="17" t="s">
        <v>24895</v>
      </c>
      <c r="C2867" s="17" t="s">
        <v>24200</v>
      </c>
      <c r="D2867" s="17" t="s">
        <v>21053</v>
      </c>
      <c r="E2867" s="10">
        <v>2509509</v>
      </c>
      <c r="F2867" s="4" t="str">
        <f>IF(B2867=B2866,"",B2867)</f>
        <v/>
      </c>
    </row>
    <row r="2868" spans="1:6" ht="15.75" customHeight="1">
      <c r="A2868" s="5" t="s">
        <v>21748</v>
      </c>
      <c r="B2868" s="6" t="s">
        <v>21748</v>
      </c>
      <c r="C2868" s="5" t="s">
        <v>21606</v>
      </c>
      <c r="D2868" s="5" t="s">
        <v>21609</v>
      </c>
      <c r="E2868" s="2">
        <v>2732475</v>
      </c>
      <c r="F2868" s="4" t="str">
        <f>IF(B2868=B2867,"",B2868)</f>
        <v>Vilar de Andorinho</v>
      </c>
    </row>
    <row r="2869" spans="1:6" ht="15.75" customHeight="1">
      <c r="A2869" s="5" t="str">
        <f ca="1">IFERROR(__xludf.DUMMYFUNCTION("GOOGLETRANSLATE(B39633,""en"",""pt"")"),"Vilar de Andorinho")</f>
        <v>Vilar de Andorinho</v>
      </c>
      <c r="B2869" s="17" t="s">
        <v>21748</v>
      </c>
      <c r="C2869" s="17" t="s">
        <v>21606</v>
      </c>
      <c r="D2869" s="17" t="s">
        <v>21609</v>
      </c>
      <c r="E2869" s="10">
        <v>2732475</v>
      </c>
      <c r="F2869" s="4" t="str">
        <f>IF(B2869=B2868,"",B2869)</f>
        <v/>
      </c>
    </row>
    <row r="2870" spans="1:6" ht="15.75" customHeight="1">
      <c r="A2870" s="5" t="str">
        <f ca="1">IFERROR(__xludf.DUMMYFUNCTION("GOOGLETRANSLATE(B29237,""en"",""pt"")"),"Vilanova I la Geltrú")</f>
        <v>Vilanova I la Geltrú</v>
      </c>
      <c r="B2870" s="17" t="s">
        <v>32415</v>
      </c>
      <c r="C2870" s="17" t="s">
        <v>24200</v>
      </c>
      <c r="D2870" s="17" t="s">
        <v>24277</v>
      </c>
      <c r="E2870" s="10">
        <v>3105184</v>
      </c>
      <c r="F2870" s="4" t="str">
        <f>IF(B2870=B2869,"",B2870)</f>
        <v>Vilanova i la Geltrú</v>
      </c>
    </row>
    <row r="2871" spans="1:6" ht="15.75" customHeight="1">
      <c r="A2871" s="5" t="s">
        <v>24892</v>
      </c>
      <c r="B2871" s="6" t="s">
        <v>24893</v>
      </c>
      <c r="C2871" s="5" t="s">
        <v>24200</v>
      </c>
      <c r="D2871" s="5" t="s">
        <v>24277</v>
      </c>
      <c r="E2871" s="2">
        <v>3105184</v>
      </c>
      <c r="F2871" s="4" t="str">
        <f>IF(B2871=B2870,"",B2871)</f>
        <v>Vilanova i la GeltrÃº</v>
      </c>
    </row>
    <row r="2872" spans="1:6" ht="15.75" customHeight="1">
      <c r="A2872" s="6" t="s">
        <v>24891</v>
      </c>
      <c r="B2872" s="6" t="s">
        <v>24891</v>
      </c>
      <c r="C2872" s="6" t="s">
        <v>24200</v>
      </c>
      <c r="D2872" s="6" t="s">
        <v>24201</v>
      </c>
      <c r="E2872" s="2">
        <v>3105522</v>
      </c>
      <c r="F2872" s="4" t="str">
        <f>IF(B2872=B2871,"",B2872)</f>
        <v>Vilalba</v>
      </c>
    </row>
    <row r="2873" spans="1:6" ht="15.75" customHeight="1">
      <c r="A2873" s="5" t="str">
        <f ca="1">IFERROR(__xludf.DUMMYFUNCTION("GOOGLETRANSLATE(B29240,""en"",""pt"")"),"Vilalba")</f>
        <v>Vilalba</v>
      </c>
      <c r="B2873" s="17" t="s">
        <v>24891</v>
      </c>
      <c r="C2873" s="17" t="s">
        <v>24200</v>
      </c>
      <c r="D2873" s="17" t="s">
        <v>24201</v>
      </c>
      <c r="E2873" s="10">
        <v>3105522</v>
      </c>
      <c r="F2873" s="4" t="str">
        <f>IF(B2873=B2872,"",B2873)</f>
        <v/>
      </c>
    </row>
    <row r="2874" spans="1:6" ht="15.75" customHeight="1">
      <c r="A2874" s="5" t="str">
        <f ca="1">IFERROR(__xludf.DUMMYFUNCTION("GOOGLETRANSLATE(B29241,""en"",""pt"")"),"Vilagarcía de Arousa")</f>
        <v>Vilagarcía de Arousa</v>
      </c>
      <c r="B2874" s="17" t="s">
        <v>32417</v>
      </c>
      <c r="C2874" s="17" t="s">
        <v>24200</v>
      </c>
      <c r="D2874" s="17" t="s">
        <v>24201</v>
      </c>
      <c r="E2874" s="10">
        <v>3105575</v>
      </c>
      <c r="F2874" s="4" t="str">
        <f>IF(B2874=B2873,"",B2874)</f>
        <v>Vilagarcía de Arousa</v>
      </c>
    </row>
    <row r="2875" spans="1:6" ht="15.75" customHeight="1">
      <c r="A2875" s="5" t="s">
        <v>24889</v>
      </c>
      <c r="B2875" s="6" t="s">
        <v>24890</v>
      </c>
      <c r="C2875" s="5" t="s">
        <v>24200</v>
      </c>
      <c r="D2875" s="5" t="s">
        <v>24201</v>
      </c>
      <c r="E2875" s="2">
        <v>3105575</v>
      </c>
      <c r="F2875" s="4" t="str">
        <f>IF(B2875=B2874,"",B2875)</f>
        <v>VilagarcÃ­a de Arousa</v>
      </c>
    </row>
    <row r="2876" spans="1:6" ht="15.75" customHeight="1">
      <c r="A2876" s="5" t="str">
        <f ca="1">IFERROR(__xludf.DUMMYFUNCTION("GOOGLETRANSLATE(B29242,""en"",""pt"")"),"Vilafranca del Penedès")</f>
        <v>Vilafranca del Penedès</v>
      </c>
      <c r="B2876" s="17" t="s">
        <v>32418</v>
      </c>
      <c r="C2876" s="17" t="s">
        <v>24200</v>
      </c>
      <c r="D2876" s="17" t="s">
        <v>24277</v>
      </c>
      <c r="E2876" s="10">
        <v>3105600</v>
      </c>
      <c r="F2876" s="4" t="str">
        <f>IF(B2876=B2875,"",B2876)</f>
        <v>Vilafranca del Penedès</v>
      </c>
    </row>
    <row r="2877" spans="1:6" ht="15.75" customHeight="1">
      <c r="A2877" s="5" t="s">
        <v>24887</v>
      </c>
      <c r="B2877" s="6" t="s">
        <v>24888</v>
      </c>
      <c r="C2877" s="5" t="s">
        <v>24200</v>
      </c>
      <c r="D2877" s="5" t="s">
        <v>24277</v>
      </c>
      <c r="E2877" s="2">
        <v>3105600</v>
      </c>
      <c r="F2877" s="4" t="str">
        <f>IF(B2877=B2876,"",B2877)</f>
        <v>Vilafranca del PenedÃ¨s</v>
      </c>
    </row>
    <row r="2878" spans="1:6" ht="15.75" customHeight="1">
      <c r="A2878" s="5" t="s">
        <v>24886</v>
      </c>
      <c r="B2878" s="6" t="s">
        <v>24886</v>
      </c>
      <c r="C2878" s="5" t="s">
        <v>24200</v>
      </c>
      <c r="D2878" s="5" t="s">
        <v>24277</v>
      </c>
      <c r="E2878" s="2">
        <v>3105935</v>
      </c>
      <c r="F2878" s="4" t="str">
        <f>IF(B2878=B2877,"",B2878)</f>
        <v>Viladecans</v>
      </c>
    </row>
    <row r="2879" spans="1:6" ht="15.75" customHeight="1">
      <c r="A2879" s="5" t="str">
        <f ca="1">IFERROR(__xludf.DUMMYFUNCTION("GOOGLETRANSLATE(B29245,""en"",""pt"")"),"Viladecans")</f>
        <v>Viladecans</v>
      </c>
      <c r="B2879" s="17" t="s">
        <v>24886</v>
      </c>
      <c r="C2879" s="17" t="s">
        <v>24200</v>
      </c>
      <c r="D2879" s="17" t="s">
        <v>24277</v>
      </c>
      <c r="E2879" s="10">
        <v>3105935</v>
      </c>
      <c r="F2879" s="4" t="str">
        <f>IF(B2879=B2878,"",B2879)</f>
        <v/>
      </c>
    </row>
    <row r="2880" spans="1:6" ht="15.75" customHeight="1">
      <c r="A2880" s="6" t="s">
        <v>3665</v>
      </c>
      <c r="B2880" s="6" t="s">
        <v>3666</v>
      </c>
      <c r="C2880" s="6" t="s">
        <v>1905</v>
      </c>
      <c r="D2880" s="6" t="s">
        <v>1949</v>
      </c>
      <c r="E2880" s="2">
        <v>3445026</v>
      </c>
      <c r="F2880" s="4" t="str">
        <f>IF(B2880=B2879,"",B2880)</f>
        <v>Vila Velha</v>
      </c>
    </row>
    <row r="2881" spans="1:6" ht="15.75" customHeight="1">
      <c r="A2881" s="5" t="str">
        <f ca="1">IFERROR(__xludf.DUMMYFUNCTION("GOOGLETRANSLATE(B24436,""en"",""pt"")"),"Vila velha")</f>
        <v>Vila velha</v>
      </c>
      <c r="B2881" s="17" t="s">
        <v>3666</v>
      </c>
      <c r="C2881" s="17" t="s">
        <v>1905</v>
      </c>
      <c r="D2881" s="17" t="s">
        <v>31426</v>
      </c>
      <c r="E2881" s="10">
        <v>3445026</v>
      </c>
      <c r="F2881" s="4" t="str">
        <f>IF(B2881=B2880,"",B2881)</f>
        <v/>
      </c>
    </row>
    <row r="2882" spans="1:6" ht="15.75" customHeight="1">
      <c r="A2882" s="6" t="s">
        <v>21746</v>
      </c>
      <c r="B2882" s="6" t="s">
        <v>21747</v>
      </c>
      <c r="C2882" s="6" t="s">
        <v>21606</v>
      </c>
      <c r="D2882" s="6" t="s">
        <v>21747</v>
      </c>
      <c r="E2882" s="2">
        <v>2732438</v>
      </c>
      <c r="F2882" s="4" t="str">
        <f>IF(B2882=B2881,"",B2882)</f>
        <v>Vila Real</v>
      </c>
    </row>
    <row r="2883" spans="1:6" ht="15.75" customHeight="1">
      <c r="A2883" s="5" t="str">
        <f ca="1">IFERROR(__xludf.DUMMYFUNCTION("GOOGLETRANSLATE(B39632,""en"",""pt"")"),"Vila real")</f>
        <v>Vila real</v>
      </c>
      <c r="B2883" s="17" t="s">
        <v>21747</v>
      </c>
      <c r="C2883" s="17" t="s">
        <v>21606</v>
      </c>
      <c r="D2883" s="17" t="s">
        <v>21747</v>
      </c>
      <c r="E2883" s="10">
        <v>2732438</v>
      </c>
      <c r="F2883" s="4" t="str">
        <f>IF(B2883=B2882,"",B2883)</f>
        <v/>
      </c>
    </row>
    <row r="2884" spans="1:6" ht="15.75" customHeight="1">
      <c r="A2884" s="5" t="s">
        <v>21745</v>
      </c>
      <c r="B2884" s="6" t="s">
        <v>21745</v>
      </c>
      <c r="C2884" s="5" t="s">
        <v>21606</v>
      </c>
      <c r="D2884" s="5" t="s">
        <v>21609</v>
      </c>
      <c r="E2884" s="2">
        <v>2732544</v>
      </c>
      <c r="F2884" s="4" t="str">
        <f>IF(B2884=B2883,"",B2884)</f>
        <v>Vila Nova de Gaia</v>
      </c>
    </row>
    <row r="2885" spans="1:6" ht="15.75" customHeight="1">
      <c r="A2885" s="5" t="str">
        <f ca="1">IFERROR(__xludf.DUMMYFUNCTION("GOOGLETRANSLATE(B39634,""en"",""pt"")"),"Vila Nova de Gaia")</f>
        <v>Vila Nova de Gaia</v>
      </c>
      <c r="B2885" s="17" t="s">
        <v>21745</v>
      </c>
      <c r="C2885" s="17" t="s">
        <v>21606</v>
      </c>
      <c r="D2885" s="17" t="s">
        <v>21609</v>
      </c>
      <c r="E2885" s="10">
        <v>2732544</v>
      </c>
      <c r="F2885" s="4" t="str">
        <f>IF(B2885=B2884,"",B2885)</f>
        <v/>
      </c>
    </row>
    <row r="2886" spans="1:6" ht="15.75" customHeight="1">
      <c r="A2886" s="5" t="s">
        <v>21744</v>
      </c>
      <c r="B2886" s="6" t="s">
        <v>21744</v>
      </c>
      <c r="C2886" s="5" t="s">
        <v>21606</v>
      </c>
      <c r="D2886" s="5" t="s">
        <v>21616</v>
      </c>
      <c r="E2886" s="2">
        <v>2261639</v>
      </c>
      <c r="F2886" s="4" t="str">
        <f>IF(B2886=B2885,"",B2886)</f>
        <v>Vila Franca de Xira</v>
      </c>
    </row>
    <row r="2887" spans="1:6" ht="15.75" customHeight="1">
      <c r="A2887" s="5" t="str">
        <f ca="1">IFERROR(__xludf.DUMMYFUNCTION("GOOGLETRANSLATE(B39564,""en"",""pt"")"),"Vila Franca de Xira")</f>
        <v>Vila Franca de Xira</v>
      </c>
      <c r="B2887" s="17" t="s">
        <v>21744</v>
      </c>
      <c r="C2887" s="17" t="s">
        <v>21606</v>
      </c>
      <c r="D2887" s="17" t="s">
        <v>21616</v>
      </c>
      <c r="E2887" s="10">
        <v>2261639</v>
      </c>
      <c r="F2887" s="4" t="str">
        <f>IF(B2887=B2886,"",B2887)</f>
        <v/>
      </c>
    </row>
    <row r="2888" spans="1:6" ht="15.75" customHeight="1">
      <c r="A2888" s="5" t="s">
        <v>21743</v>
      </c>
      <c r="B2888" s="6" t="s">
        <v>21743</v>
      </c>
      <c r="C2888" s="5" t="s">
        <v>21606</v>
      </c>
      <c r="D2888" s="5" t="s">
        <v>21609</v>
      </c>
      <c r="E2888" s="2">
        <v>2732649</v>
      </c>
      <c r="F2888" s="4" t="str">
        <f>IF(B2888=B2887,"",B2888)</f>
        <v>Vila do Conde</v>
      </c>
    </row>
    <row r="2889" spans="1:6" ht="15.75" customHeight="1">
      <c r="A2889" s="5" t="str">
        <f ca="1">IFERROR(__xludf.DUMMYFUNCTION("GOOGLETRANSLATE(B39635,""en"",""pt"")"),"Vila do Conde")</f>
        <v>Vila do Conde</v>
      </c>
      <c r="B2889" s="17" t="s">
        <v>21743</v>
      </c>
      <c r="C2889" s="17" t="s">
        <v>21606</v>
      </c>
      <c r="D2889" s="17" t="s">
        <v>21609</v>
      </c>
      <c r="E2889" s="10">
        <v>2732649</v>
      </c>
      <c r="F2889" s="4" t="str">
        <f>IF(B2889=B2888,"",B2889)</f>
        <v/>
      </c>
    </row>
    <row r="2890" spans="1:6" ht="15.75" customHeight="1">
      <c r="A2890" s="6" t="s">
        <v>25764</v>
      </c>
      <c r="B2890" s="6" t="s">
        <v>25764</v>
      </c>
      <c r="C2890" s="6" t="s">
        <v>25560</v>
      </c>
      <c r="D2890" s="6" t="s">
        <v>25564</v>
      </c>
      <c r="E2890" s="2">
        <v>148987</v>
      </c>
      <c r="F2890" s="4" t="str">
        <f>IF(B2890=B2889,"",B2890)</f>
        <v>Vikindu</v>
      </c>
    </row>
    <row r="2891" spans="1:6" ht="15.75" customHeight="1">
      <c r="A2891" s="5" t="str">
        <f ca="1">IFERROR(__xludf.DUMMYFUNCTION("GOOGLETRANSLATE(B42284,""en"",""pt"")"),"Vikindu")</f>
        <v>Vikindu</v>
      </c>
      <c r="B2891" s="17" t="s">
        <v>25764</v>
      </c>
      <c r="C2891" s="17" t="s">
        <v>25560</v>
      </c>
      <c r="D2891" s="17" t="s">
        <v>25564</v>
      </c>
      <c r="E2891" s="10">
        <v>148987</v>
      </c>
      <c r="F2891" s="4" t="str">
        <f>IF(B2891=B2890,"",B2891)</f>
        <v/>
      </c>
    </row>
    <row r="2892" spans="1:6" ht="15.75" customHeight="1">
      <c r="A2892" s="5" t="s">
        <v>23285</v>
      </c>
      <c r="B2892" s="6" t="s">
        <v>23285</v>
      </c>
      <c r="C2892" s="5" t="s">
        <v>22070</v>
      </c>
      <c r="D2892" s="5" t="s">
        <v>22135</v>
      </c>
      <c r="E2892" s="2">
        <v>2013399</v>
      </c>
      <c r="F2892" s="4" t="str">
        <f>IF(B2892=B2891,"",B2892)</f>
        <v>Vikhorevka</v>
      </c>
    </row>
    <row r="2893" spans="1:6" ht="15.75" customHeight="1">
      <c r="A2893" s="5" t="str">
        <f ca="1">IFERROR(__xludf.DUMMYFUNCTION("GOOGLETRANSLATE(B40897,""en"",""pt"")"),"Vikhorevka")</f>
        <v>Vikhorevka</v>
      </c>
      <c r="B2893" s="17" t="s">
        <v>23285</v>
      </c>
      <c r="C2893" s="17" t="s">
        <v>22070</v>
      </c>
      <c r="D2893" s="17" t="s">
        <v>22135</v>
      </c>
      <c r="E2893" s="10">
        <v>2013399</v>
      </c>
      <c r="F2893" s="4" t="str">
        <f>IF(B2893=B2892,"",B2893)</f>
        <v/>
      </c>
    </row>
    <row r="2894" spans="1:6" ht="15.75" customHeight="1">
      <c r="A2894" s="5" t="str">
        <f ca="1">IFERROR(__xludf.DUMMYFUNCTION("GOOGLETRANSLATE(B31876,""en"",""pt"")"),"Vikārābād")</f>
        <v>Vikārābād</v>
      </c>
      <c r="B2894" s="17" t="s">
        <v>32959</v>
      </c>
      <c r="C2894" s="17" t="s">
        <v>10178</v>
      </c>
      <c r="D2894" s="17" t="s">
        <v>10187</v>
      </c>
      <c r="E2894" s="10">
        <v>1253182</v>
      </c>
      <c r="F2894" s="4" t="str">
        <f>IF(B2894=B2893,"",B2894)</f>
        <v>Vikārābād</v>
      </c>
    </row>
    <row r="2895" spans="1:6" ht="15.75" customHeight="1">
      <c r="A2895" s="5" t="s">
        <v>13731</v>
      </c>
      <c r="B2895" s="6" t="s">
        <v>13732</v>
      </c>
      <c r="C2895" s="5" t="s">
        <v>10178</v>
      </c>
      <c r="D2895" s="5" t="s">
        <v>10187</v>
      </c>
      <c r="E2895" s="2">
        <v>1253182</v>
      </c>
      <c r="F2895" s="4" t="str">
        <f>IF(B2895=B2894,"",B2895)</f>
        <v>VikÄrÄbÄd</v>
      </c>
    </row>
    <row r="2896" spans="1:6" ht="15.75" customHeight="1">
      <c r="A2896" s="5" t="s">
        <v>13730</v>
      </c>
      <c r="B2896" s="6" t="s">
        <v>13730</v>
      </c>
      <c r="C2896" s="5" t="s">
        <v>10178</v>
      </c>
      <c r="D2896" s="5" t="s">
        <v>10190</v>
      </c>
      <c r="E2896" s="2">
        <v>1253184</v>
      </c>
      <c r="F2896" s="4" t="str">
        <f>IF(B2896=B2895,"",B2896)</f>
        <v>Vijayawada</v>
      </c>
    </row>
    <row r="2897" spans="1:6" ht="15.75" customHeight="1">
      <c r="A2897" s="5" t="str">
        <f ca="1">IFERROR(__xludf.DUMMYFUNCTION("GOOGLETRANSLATE(B31877,""en"",""pt"")"),"Vijayawada")</f>
        <v>Vijayawada</v>
      </c>
      <c r="B2897" s="17" t="s">
        <v>13730</v>
      </c>
      <c r="C2897" s="17" t="s">
        <v>10178</v>
      </c>
      <c r="D2897" s="17" t="s">
        <v>10190</v>
      </c>
      <c r="E2897" s="10">
        <v>1253184</v>
      </c>
      <c r="F2897" s="4" t="str">
        <f>IF(B2897=B2896,"",B2897)</f>
        <v/>
      </c>
    </row>
    <row r="2898" spans="1:6" ht="15.75" customHeight="1">
      <c r="A2898" s="5" t="s">
        <v>13729</v>
      </c>
      <c r="B2898" s="6" t="s">
        <v>13729</v>
      </c>
      <c r="C2898" s="5" t="s">
        <v>10178</v>
      </c>
      <c r="D2898" s="5" t="s">
        <v>10252</v>
      </c>
      <c r="E2898" s="2">
        <v>1462711</v>
      </c>
      <c r="F2898" s="4" t="str">
        <f>IF(B2898=B2897,"",B2898)</f>
        <v>Vijayapura</v>
      </c>
    </row>
    <row r="2899" spans="1:6" ht="15.75" customHeight="1">
      <c r="A2899" s="5" t="str">
        <f ca="1">IFERROR(__xludf.DUMMYFUNCTION("GOOGLETRANSLATE(B34199,""en"",""pt"")"),"Vijayapura")</f>
        <v>Vijayapura</v>
      </c>
      <c r="B2899" s="17" t="s">
        <v>13729</v>
      </c>
      <c r="C2899" s="17" t="s">
        <v>10178</v>
      </c>
      <c r="D2899" s="17" t="s">
        <v>10252</v>
      </c>
      <c r="E2899" s="10">
        <v>1462711</v>
      </c>
      <c r="F2899" s="4" t="str">
        <f>IF(B2899=B2898,"",B2899)</f>
        <v/>
      </c>
    </row>
    <row r="2900" spans="1:6" ht="15.75" customHeight="1">
      <c r="A2900" s="5" t="str">
        <f ca="1">IFERROR(__xludf.DUMMYFUNCTION("GOOGLETRANSLATE(B31878,""en"",""pt"")"),"Vijāpur")</f>
        <v>Vijāpur</v>
      </c>
      <c r="B2900" s="17" t="s">
        <v>32960</v>
      </c>
      <c r="C2900" s="17" t="s">
        <v>10178</v>
      </c>
      <c r="D2900" s="17" t="s">
        <v>10209</v>
      </c>
      <c r="E2900" s="10">
        <v>1253193</v>
      </c>
      <c r="F2900" s="4" t="str">
        <f>IF(B2900=B2899,"",B2900)</f>
        <v>Vijāpur</v>
      </c>
    </row>
    <row r="2901" spans="1:6" ht="15.75" customHeight="1">
      <c r="A2901" s="6" t="s">
        <v>13727</v>
      </c>
      <c r="B2901" s="6" t="s">
        <v>13728</v>
      </c>
      <c r="C2901" s="6" t="s">
        <v>10178</v>
      </c>
      <c r="D2901" s="6" t="s">
        <v>10209</v>
      </c>
      <c r="E2901" s="2">
        <v>1253193</v>
      </c>
      <c r="F2901" s="4" t="str">
        <f>IF(B2901=B2900,"",B2901)</f>
        <v>VijÄpur</v>
      </c>
    </row>
    <row r="2902" spans="1:6" ht="15.75" customHeight="1">
      <c r="A2902" s="6" t="s">
        <v>7047</v>
      </c>
      <c r="B2902" s="6" t="s">
        <v>7047</v>
      </c>
      <c r="C2902" s="6" t="s">
        <v>6948</v>
      </c>
      <c r="D2902" s="6" t="s">
        <v>6951</v>
      </c>
      <c r="E2902" s="2">
        <v>631707</v>
      </c>
      <c r="F2902" s="4" t="str">
        <f>IF(B2902=B2901,"",B2902)</f>
        <v>Vihti</v>
      </c>
    </row>
    <row r="2903" spans="1:6" ht="15.75" customHeight="1">
      <c r="A2903" s="5" t="str">
        <f ca="1">IFERROR(__xludf.DUMMYFUNCTION("GOOGLETRANSLATE(B29598,""en"",""pt"")"),"Vihti")</f>
        <v>Vihti</v>
      </c>
      <c r="B2903" s="17" t="s">
        <v>7047</v>
      </c>
      <c r="C2903" s="17" t="s">
        <v>6948</v>
      </c>
      <c r="D2903" s="17" t="s">
        <v>6951</v>
      </c>
      <c r="E2903" s="10">
        <v>631707</v>
      </c>
      <c r="F2903" s="4" t="str">
        <f>IF(B2903=B2902,"",B2903)</f>
        <v/>
      </c>
    </row>
    <row r="2904" spans="1:6" ht="15.75" customHeight="1">
      <c r="A2904" s="5" t="str">
        <f ca="1">IFERROR(__xludf.DUMMYFUNCTION("GOOGLETRANSLATE(B38875,""en"",""pt"")"),"Vihāri")</f>
        <v>Vihāri</v>
      </c>
      <c r="B2904" s="17" t="s">
        <v>34897</v>
      </c>
      <c r="C2904" s="17" t="s">
        <v>19808</v>
      </c>
      <c r="D2904" s="17" t="s">
        <v>10184</v>
      </c>
      <c r="E2904" s="10">
        <v>1162813</v>
      </c>
      <c r="F2904" s="4" t="str">
        <f>IF(B2904=B2903,"",B2904)</f>
        <v>Vihāri</v>
      </c>
    </row>
    <row r="2905" spans="1:6" ht="15.75" customHeight="1">
      <c r="A2905" s="6" t="s">
        <v>20279</v>
      </c>
      <c r="B2905" s="6" t="s">
        <v>20280</v>
      </c>
      <c r="C2905" s="6" t="s">
        <v>19808</v>
      </c>
      <c r="D2905" s="6" t="s">
        <v>10184</v>
      </c>
      <c r="E2905" s="2">
        <v>1162813</v>
      </c>
      <c r="F2905" s="4" t="str">
        <f>IF(B2905=B2904,"",B2905)</f>
        <v>VihÄri</v>
      </c>
    </row>
    <row r="2906" spans="1:6" ht="15.75" customHeight="1">
      <c r="A2906" s="6" t="s">
        <v>24885</v>
      </c>
      <c r="B2906" s="6" t="s">
        <v>24885</v>
      </c>
      <c r="C2906" s="6" t="s">
        <v>24200</v>
      </c>
      <c r="D2906" s="6" t="s">
        <v>24201</v>
      </c>
      <c r="E2906" s="2">
        <v>3105976</v>
      </c>
      <c r="F2906" s="4" t="str">
        <f>IF(B2906=B2905,"",B2906)</f>
        <v>Vigo</v>
      </c>
    </row>
    <row r="2907" spans="1:6" ht="15.75" customHeight="1">
      <c r="A2907" s="5" t="str">
        <f ca="1">IFERROR(__xludf.DUMMYFUNCTION("GOOGLETRANSLATE(B29246,""en"",""pt"")"),"Vigo")</f>
        <v>Vigo</v>
      </c>
      <c r="B2907" s="17" t="s">
        <v>24885</v>
      </c>
      <c r="C2907" s="17" t="s">
        <v>24200</v>
      </c>
      <c r="D2907" s="17" t="s">
        <v>24201</v>
      </c>
      <c r="E2907" s="10">
        <v>3105976</v>
      </c>
      <c r="F2907" s="4" t="str">
        <f>IF(B2907=B2906,"",B2907)</f>
        <v/>
      </c>
    </row>
    <row r="2908" spans="1:6" ht="15.75" customHeight="1">
      <c r="A2908" s="6" t="s">
        <v>15571</v>
      </c>
      <c r="B2908" s="6" t="s">
        <v>15571</v>
      </c>
      <c r="C2908" s="6" t="s">
        <v>14891</v>
      </c>
      <c r="D2908" s="6" t="s">
        <v>14973</v>
      </c>
      <c r="E2908" s="2">
        <v>3164342</v>
      </c>
      <c r="F2908" s="4" t="str">
        <f>IF(B2908=B2907,"",B2908)</f>
        <v>Vignola</v>
      </c>
    </row>
    <row r="2909" spans="1:6" ht="15.75" customHeight="1">
      <c r="A2909" s="5" t="str">
        <f ca="1">IFERROR(__xludf.DUMMYFUNCTION("GOOGLETRANSLATE(B34633,""en"",""pt"")"),"Vignola")</f>
        <v>Vignola</v>
      </c>
      <c r="B2909" s="17" t="s">
        <v>15571</v>
      </c>
      <c r="C2909" s="17" t="s">
        <v>14891</v>
      </c>
      <c r="D2909" s="17" t="s">
        <v>14973</v>
      </c>
      <c r="E2909" s="10">
        <v>3164342</v>
      </c>
      <c r="F2909" s="4" t="str">
        <f>IF(B2909=B2908,"",B2909)</f>
        <v/>
      </c>
    </row>
    <row r="2910" spans="1:6" ht="15.75" customHeight="1">
      <c r="A2910" s="5" t="s">
        <v>7899</v>
      </c>
      <c r="B2910" s="6" t="s">
        <v>7900</v>
      </c>
      <c r="C2910" s="5" t="s">
        <v>7052</v>
      </c>
      <c r="D2910" s="5" t="s">
        <v>7058</v>
      </c>
      <c r="E2910" s="2">
        <v>2969109</v>
      </c>
      <c r="F2910" s="4" t="str">
        <f>IF(B2910=B2909,"",B2910)</f>
        <v>Vigneux-sur-Seine</v>
      </c>
    </row>
    <row r="2911" spans="1:6" ht="15.75" customHeight="1">
      <c r="A2911" s="5" t="str">
        <f ca="1">IFERROR(__xludf.DUMMYFUNCTION("GOOGLETRANSLATE(B29699,""en"",""pt"")"),"Vigneux-sur-seine")</f>
        <v>Vigneux-sur-seine</v>
      </c>
      <c r="B2911" s="17" t="s">
        <v>7900</v>
      </c>
      <c r="C2911" s="17" t="s">
        <v>7052</v>
      </c>
      <c r="D2911" s="17" t="s">
        <v>32531</v>
      </c>
      <c r="E2911" s="10">
        <v>2969109</v>
      </c>
      <c r="F2911" s="4" t="str">
        <f>IF(B2911=B2910,"",B2911)</f>
        <v/>
      </c>
    </row>
    <row r="2912" spans="1:6" ht="15.75" customHeight="1">
      <c r="A2912" s="6" t="s">
        <v>3664</v>
      </c>
      <c r="B2912" s="6" t="s">
        <v>3664</v>
      </c>
      <c r="C2912" s="6" t="s">
        <v>1905</v>
      </c>
      <c r="D2912" s="6" t="s">
        <v>1906</v>
      </c>
      <c r="E2912" s="2">
        <v>3385088</v>
      </c>
      <c r="F2912" s="4" t="str">
        <f>IF(B2912=B2911,"",B2912)</f>
        <v>Vigia</v>
      </c>
    </row>
    <row r="2913" spans="1:6" ht="15.75" customHeight="1">
      <c r="A2913" s="5" t="str">
        <f ca="1">IFERROR(__xludf.DUMMYFUNCTION("GOOGLETRANSLATE(B24147,""en"",""pt"")"),"Vigia")</f>
        <v>Vigia</v>
      </c>
      <c r="B2913" s="17" t="s">
        <v>3664</v>
      </c>
      <c r="C2913" s="17" t="s">
        <v>1905</v>
      </c>
      <c r="D2913" s="17" t="s">
        <v>31342</v>
      </c>
      <c r="E2913" s="10">
        <v>3385088</v>
      </c>
      <c r="F2913" s="4" t="str">
        <f>IF(B2913=B2912,"",B2913)</f>
        <v/>
      </c>
    </row>
    <row r="2914" spans="1:6" ht="15.75" customHeight="1">
      <c r="A2914" s="6" t="s">
        <v>15570</v>
      </c>
      <c r="B2914" s="6" t="s">
        <v>15570</v>
      </c>
      <c r="C2914" s="6" t="s">
        <v>14891</v>
      </c>
      <c r="D2914" s="6" t="s">
        <v>14894</v>
      </c>
      <c r="E2914" s="2">
        <v>3164376</v>
      </c>
      <c r="F2914" s="4" t="str">
        <f>IF(B2914=B2913,"",B2914)</f>
        <v>Vigevano</v>
      </c>
    </row>
    <row r="2915" spans="1:6" ht="15.75" customHeight="1">
      <c r="A2915" s="5" t="str">
        <f ca="1">IFERROR(__xludf.DUMMYFUNCTION("GOOGLETRANSLATE(B34634,""en"",""pt"")"),"Vigevano")</f>
        <v>Vigevano</v>
      </c>
      <c r="B2915" s="17" t="s">
        <v>15570</v>
      </c>
      <c r="C2915" s="17" t="s">
        <v>14891</v>
      </c>
      <c r="D2915" s="17" t="s">
        <v>14894</v>
      </c>
      <c r="E2915" s="10">
        <v>3164376</v>
      </c>
      <c r="F2915" s="4" t="str">
        <f>IF(B2915=B2914,"",B2915)</f>
        <v/>
      </c>
    </row>
    <row r="2916" spans="1:6" ht="15.75" customHeight="1">
      <c r="A2916" s="6" t="s">
        <v>21056</v>
      </c>
      <c r="B2916" s="6" t="s">
        <v>21056</v>
      </c>
      <c r="C2916" s="6" t="s">
        <v>20598</v>
      </c>
      <c r="D2916" s="6" t="s">
        <v>20603</v>
      </c>
      <c r="E2916" s="2">
        <v>1679980</v>
      </c>
      <c r="F2916" s="4" t="str">
        <f>IF(B2916=B2915,"",B2916)</f>
        <v>Vigan</v>
      </c>
    </row>
    <row r="2917" spans="1:6" ht="15.75" customHeight="1">
      <c r="A2917" s="5" t="str">
        <f ca="1">IFERROR(__xludf.DUMMYFUNCTION("GOOGLETRANSLATE(B38427,""en"",""pt"")"),"Vigan")</f>
        <v>Vigan</v>
      </c>
      <c r="B2917" s="17" t="s">
        <v>21056</v>
      </c>
      <c r="C2917" s="17" t="s">
        <v>20598</v>
      </c>
      <c r="D2917" s="17" t="s">
        <v>20603</v>
      </c>
      <c r="E2917" s="10">
        <v>1679980</v>
      </c>
      <c r="F2917" s="4" t="str">
        <f>IF(B2917=B2916,"",B2917)</f>
        <v/>
      </c>
    </row>
    <row r="2918" spans="1:6" ht="15.75" customHeight="1">
      <c r="A2918" s="5" t="str">
        <f ca="1">IFERROR(__xludf.DUMMYFUNCTION("GOOGLETRANSLATE(B45716,""en"",""pt"")"),"Việt trì")</f>
        <v>Việt trì</v>
      </c>
      <c r="B2918" s="17" t="s">
        <v>36112</v>
      </c>
      <c r="C2918" s="17" t="s">
        <v>30784</v>
      </c>
      <c r="D2918" s="17" t="s">
        <v>36113</v>
      </c>
      <c r="E2918" s="10">
        <v>1562820</v>
      </c>
      <c r="F2918" s="4" t="str">
        <f>IF(B2918=B2917,"",B2918)</f>
        <v>Việt Trì</v>
      </c>
    </row>
    <row r="2919" spans="1:6" ht="15.75" customHeight="1">
      <c r="A2919" s="6" t="s">
        <v>7898</v>
      </c>
      <c r="B2919" s="6" t="s">
        <v>7898</v>
      </c>
      <c r="C2919" s="6" t="s">
        <v>7052</v>
      </c>
      <c r="D2919" s="6" t="s">
        <v>3813</v>
      </c>
      <c r="E2919" s="2">
        <v>2969257</v>
      </c>
      <c r="F2919" s="4" t="str">
        <f>IF(B2919=B2918,"",B2919)</f>
        <v>Vierzon</v>
      </c>
    </row>
    <row r="2920" spans="1:6" ht="15.75" customHeight="1">
      <c r="A2920" s="5" t="str">
        <f ca="1">IFERROR(__xludf.DUMMYFUNCTION("GOOGLETRANSLATE(B29700,""en"",""pt"")"),"Vierzon")</f>
        <v>Vierzon</v>
      </c>
      <c r="B2920" s="17" t="s">
        <v>7898</v>
      </c>
      <c r="C2920" s="17" t="s">
        <v>7052</v>
      </c>
      <c r="D2920" s="17" t="s">
        <v>3813</v>
      </c>
      <c r="E2920" s="10">
        <v>2969257</v>
      </c>
      <c r="F2920" s="4" t="str">
        <f>IF(B2920=B2919,"",B2920)</f>
        <v/>
      </c>
    </row>
    <row r="2921" spans="1:6" ht="15.75" customHeight="1">
      <c r="A2921" s="6" t="s">
        <v>9235</v>
      </c>
      <c r="B2921" s="6" t="s">
        <v>9235</v>
      </c>
      <c r="C2921" s="6" t="s">
        <v>8028</v>
      </c>
      <c r="D2921" s="6" t="s">
        <v>8029</v>
      </c>
      <c r="E2921" s="2">
        <v>2817311</v>
      </c>
      <c r="F2921" s="4" t="str">
        <f>IF(B2921=B2920,"",B2921)</f>
        <v>Viersen</v>
      </c>
    </row>
    <row r="2922" spans="1:6" ht="15.75" customHeight="1">
      <c r="A2922" s="5" t="str">
        <f ca="1">IFERROR(__xludf.DUMMYFUNCTION("GOOGLETRANSLATE(B27446,""en"",""pt"")"),"Viersen")</f>
        <v>Viersen</v>
      </c>
      <c r="B2922" s="17" t="s">
        <v>9235</v>
      </c>
      <c r="C2922" s="17" t="s">
        <v>8028</v>
      </c>
      <c r="D2922" s="17" t="s">
        <v>8029</v>
      </c>
      <c r="E2922" s="10">
        <v>2817311</v>
      </c>
      <c r="F2922" s="4" t="str">
        <f>IF(B2922=B2921,"",B2922)</f>
        <v/>
      </c>
    </row>
    <row r="2923" spans="1:6" ht="15.75" customHeight="1">
      <c r="A2923" s="5" t="s">
        <v>9234</v>
      </c>
      <c r="B2923" s="6" t="s">
        <v>9234</v>
      </c>
      <c r="C2923" s="5" t="s">
        <v>8028</v>
      </c>
      <c r="D2923" s="5" t="s">
        <v>8050</v>
      </c>
      <c r="E2923" s="2">
        <v>2817324</v>
      </c>
      <c r="F2923" s="4" t="str">
        <f>IF(B2923=B2922,"",B2923)</f>
        <v>Viernheim</v>
      </c>
    </row>
    <row r="2924" spans="1:6" ht="15.75" customHeight="1">
      <c r="A2924" s="5" t="str">
        <f ca="1">IFERROR(__xludf.DUMMYFUNCTION("GOOGLETRANSLATE(B27447,""en"",""pt"")"),"Viernheim")</f>
        <v>Viernheim</v>
      </c>
      <c r="B2924" s="17" t="s">
        <v>9234</v>
      </c>
      <c r="C2924" s="17" t="s">
        <v>8028</v>
      </c>
      <c r="D2924" s="17" t="s">
        <v>8050</v>
      </c>
      <c r="E2924" s="10">
        <v>2817324</v>
      </c>
      <c r="F2924" s="4" t="str">
        <f>IF(B2924=B2923,"",B2924)</f>
        <v/>
      </c>
    </row>
    <row r="2925" spans="1:6" ht="15.75" customHeight="1">
      <c r="A2925" s="6" t="s">
        <v>16977</v>
      </c>
      <c r="B2925" s="6" t="s">
        <v>16977</v>
      </c>
      <c r="C2925" s="6" t="s">
        <v>16954</v>
      </c>
      <c r="D2925" s="6" t="s">
        <v>16977</v>
      </c>
      <c r="E2925" s="2">
        <v>1651944</v>
      </c>
      <c r="F2925" s="4" t="str">
        <f>IF(B2925=B2924,"",B2925)</f>
        <v>Vientiane</v>
      </c>
    </row>
    <row r="2926" spans="1:6" ht="15.75" customHeight="1">
      <c r="A2926" s="5" t="str">
        <f ca="1">IFERROR(__xludf.DUMMYFUNCTION("GOOGLETRANSLATE(B36263,""en"",""pt"")"),"Vientiane")</f>
        <v>Vientiane</v>
      </c>
      <c r="B2926" s="17" t="s">
        <v>16977</v>
      </c>
      <c r="C2926" s="17" t="s">
        <v>16954</v>
      </c>
      <c r="D2926" s="17" t="s">
        <v>16977</v>
      </c>
      <c r="E2926" s="10">
        <v>1651944</v>
      </c>
      <c r="F2926" s="4" t="str">
        <f>IF(B2926=B2925,"",B2926)</f>
        <v/>
      </c>
    </row>
    <row r="2927" spans="1:6" ht="15.75" customHeight="1">
      <c r="A2927" s="6" t="s">
        <v>7897</v>
      </c>
      <c r="B2927" s="6" t="s">
        <v>7897</v>
      </c>
      <c r="C2927" s="6" t="s">
        <v>7052</v>
      </c>
      <c r="D2927" s="6" t="s">
        <v>7053</v>
      </c>
      <c r="E2927" s="2">
        <v>2969284</v>
      </c>
      <c r="F2927" s="4" t="str">
        <f>IF(B2927=B2926,"",B2927)</f>
        <v>Vienne</v>
      </c>
    </row>
    <row r="2928" spans="1:6" ht="15.75" customHeight="1">
      <c r="A2928" s="5" t="str">
        <f ca="1">IFERROR(__xludf.DUMMYFUNCTION("GOOGLETRANSLATE(B29701,""en"",""pt"")"),"Vienne")</f>
        <v>Vienne</v>
      </c>
      <c r="B2928" s="17" t="s">
        <v>7897</v>
      </c>
      <c r="C2928" s="17" t="s">
        <v>7052</v>
      </c>
      <c r="D2928" s="17" t="s">
        <v>32532</v>
      </c>
      <c r="E2928" s="10">
        <v>2969284</v>
      </c>
      <c r="F2928" s="4" t="str">
        <f>IF(B2928=B2927,"",B2928)</f>
        <v/>
      </c>
    </row>
    <row r="2929" spans="1:6" ht="15.75" customHeight="1">
      <c r="A2929" s="6" t="s">
        <v>1160</v>
      </c>
      <c r="B2929" s="6" t="s">
        <v>1161</v>
      </c>
      <c r="C2929" s="6" t="s">
        <v>1117</v>
      </c>
      <c r="D2929" s="6" t="s">
        <v>1161</v>
      </c>
      <c r="E2929" s="2">
        <v>2761369</v>
      </c>
      <c r="F2929" s="4" t="str">
        <f>IF(B2929=B2928,"",B2929)</f>
        <v>Vienna</v>
      </c>
    </row>
    <row r="2930" spans="1:6" ht="15.75" customHeight="1">
      <c r="A2930" s="5" t="str">
        <f ca="1">IFERROR(__xludf.DUMMYFUNCTION("GOOGLETRANSLATE(B23374,""en"",""pt"")"),"Viena")</f>
        <v>Viena</v>
      </c>
      <c r="B2930" s="17" t="s">
        <v>1161</v>
      </c>
      <c r="C2930" s="17" t="s">
        <v>1117</v>
      </c>
      <c r="D2930" s="17" t="s">
        <v>1161</v>
      </c>
      <c r="E2930" s="10">
        <v>2761369</v>
      </c>
      <c r="F2930" s="4" t="str">
        <f>IF(B2930=B2929,"",B2930)</f>
        <v/>
      </c>
    </row>
    <row r="2931" spans="1:6" ht="15.75" customHeight="1">
      <c r="A2931" s="6" t="s">
        <v>828</v>
      </c>
      <c r="B2931" s="6" t="s">
        <v>828</v>
      </c>
      <c r="C2931" s="6" t="s">
        <v>558</v>
      </c>
      <c r="D2931" s="6" t="s">
        <v>571</v>
      </c>
      <c r="E2931" s="2">
        <v>3832899</v>
      </c>
      <c r="F2931" s="4" t="str">
        <f>IF(B2931=B2930,"",B2931)</f>
        <v>Viedma</v>
      </c>
    </row>
    <row r="2932" spans="1:6" ht="15.75" customHeight="1">
      <c r="A2932" s="5" t="str">
        <f ca="1">IFERROR(__xludf.DUMMYFUNCTION("GOOGLETRANSLATE(B23243,""en"",""pt"")"),"Viedma")</f>
        <v>Viedma</v>
      </c>
      <c r="B2932" s="17" t="s">
        <v>828</v>
      </c>
      <c r="C2932" s="17" t="s">
        <v>558</v>
      </c>
      <c r="D2932" s="17" t="s">
        <v>571</v>
      </c>
      <c r="E2932" s="10">
        <v>3832899</v>
      </c>
      <c r="F2932" s="4" t="str">
        <f>IF(B2932=B2931,"",B2932)</f>
        <v/>
      </c>
    </row>
    <row r="2933" spans="1:6" ht="15.75" customHeight="1">
      <c r="A2933" s="6" t="s">
        <v>23284</v>
      </c>
      <c r="B2933" s="6" t="s">
        <v>23284</v>
      </c>
      <c r="C2933" s="6" t="s">
        <v>22070</v>
      </c>
      <c r="D2933" s="6" t="s">
        <v>22119</v>
      </c>
      <c r="E2933" s="2">
        <v>473778</v>
      </c>
      <c r="F2933" s="4" t="str">
        <f>IF(B2933=B2932,"",B2933)</f>
        <v>Vidnoye</v>
      </c>
    </row>
    <row r="2934" spans="1:6" ht="15.75" customHeight="1">
      <c r="A2934" s="5" t="str">
        <f ca="1">IFERROR(__xludf.DUMMYFUNCTION("GOOGLETRANSLATE(B39987,""en"",""pt"")"),"Vidnoye")</f>
        <v>Vidnoye</v>
      </c>
      <c r="B2934" s="17" t="s">
        <v>23284</v>
      </c>
      <c r="C2934" s="17" t="s">
        <v>22070</v>
      </c>
      <c r="D2934" s="17" t="s">
        <v>22119</v>
      </c>
      <c r="E2934" s="10">
        <v>473778</v>
      </c>
      <c r="F2934" s="4" t="str">
        <f>IF(B2934=B2933,"",B2934)</f>
        <v/>
      </c>
    </row>
    <row r="2935" spans="1:6" ht="15.75" customHeight="1">
      <c r="A2935" s="6" t="s">
        <v>13726</v>
      </c>
      <c r="B2935" s="6" t="s">
        <v>13726</v>
      </c>
      <c r="C2935" s="6" t="s">
        <v>10178</v>
      </c>
      <c r="D2935" s="6" t="s">
        <v>10219</v>
      </c>
      <c r="E2935" s="2">
        <v>1253200</v>
      </c>
      <c r="F2935" s="4" t="str">
        <f>IF(B2935=B2934,"",B2935)</f>
        <v>Vidisha</v>
      </c>
    </row>
    <row r="2936" spans="1:6" ht="15.75" customHeight="1">
      <c r="A2936" s="5" t="str">
        <f ca="1">IFERROR(__xludf.DUMMYFUNCTION("GOOGLETRANSLATE(B31879,""en"",""pt"")"),"Vidisha")</f>
        <v>Vidisha</v>
      </c>
      <c r="B2936" s="17" t="s">
        <v>13726</v>
      </c>
      <c r="C2936" s="17" t="s">
        <v>10178</v>
      </c>
      <c r="D2936" s="17" t="s">
        <v>10219</v>
      </c>
      <c r="E2936" s="10">
        <v>1253200</v>
      </c>
      <c r="F2936" s="4" t="str">
        <f>IF(B2936=B2935,"",B2936)</f>
        <v/>
      </c>
    </row>
    <row r="2937" spans="1:6" ht="15.75" customHeight="1">
      <c r="A2937" s="6" t="s">
        <v>3763</v>
      </c>
      <c r="B2937" s="6" t="s">
        <v>3763</v>
      </c>
      <c r="C2937" s="6" t="s">
        <v>3701</v>
      </c>
      <c r="D2937" s="6" t="s">
        <v>3763</v>
      </c>
      <c r="E2937" s="2">
        <v>725905</v>
      </c>
      <c r="F2937" s="4" t="str">
        <f>IF(B2937=B2936,"",B2937)</f>
        <v>Vidin</v>
      </c>
    </row>
    <row r="2938" spans="1:6" ht="15.75" customHeight="1">
      <c r="A2938" s="5" t="str">
        <f ca="1">IFERROR(__xludf.DUMMYFUNCTION("GOOGLETRANSLATE(B24009,""en"",""pt"")"),"Vidin")</f>
        <v>Vidin</v>
      </c>
      <c r="B2938" s="17" t="s">
        <v>3763</v>
      </c>
      <c r="C2938" s="17" t="s">
        <v>3701</v>
      </c>
      <c r="D2938" s="17" t="s">
        <v>3763</v>
      </c>
      <c r="E2938" s="10">
        <v>725905</v>
      </c>
      <c r="F2938" s="4" t="str">
        <f>IF(B2938=B2937,"",B2938)</f>
        <v/>
      </c>
    </row>
    <row r="2939" spans="1:6" ht="15.75" customHeight="1">
      <c r="A2939" s="6" t="s">
        <v>3663</v>
      </c>
      <c r="B2939" s="6" t="s">
        <v>3663</v>
      </c>
      <c r="C2939" s="6" t="s">
        <v>1905</v>
      </c>
      <c r="D2939" s="6" t="s">
        <v>2020</v>
      </c>
      <c r="E2939" s="2">
        <v>3445126</v>
      </c>
      <c r="F2939" s="4" t="str">
        <f>IF(B2939=B2938,"",B2939)</f>
        <v>Videira</v>
      </c>
    </row>
    <row r="2940" spans="1:6" ht="15.75" customHeight="1">
      <c r="A2940" s="5" t="str">
        <f ca="1">IFERROR(__xludf.DUMMYFUNCTION("GOOGLETRANSLATE(B24437,""en"",""pt"")"),"Videira")</f>
        <v>Videira</v>
      </c>
      <c r="B2940" s="17" t="s">
        <v>3663</v>
      </c>
      <c r="C2940" s="17" t="s">
        <v>1905</v>
      </c>
      <c r="D2940" s="17" t="s">
        <v>2020</v>
      </c>
      <c r="E2940" s="10">
        <v>3445126</v>
      </c>
      <c r="F2940" s="4" t="str">
        <f>IF(B2940=B2939,"",B2940)</f>
        <v/>
      </c>
    </row>
    <row r="2941" spans="1:6" ht="15.75" customHeight="1">
      <c r="A2941" s="5" t="s">
        <v>4233</v>
      </c>
      <c r="B2941" s="6" t="s">
        <v>4233</v>
      </c>
      <c r="C2941" s="5" t="s">
        <v>3975</v>
      </c>
      <c r="D2941" s="5" t="s">
        <v>3982</v>
      </c>
      <c r="E2941" s="2">
        <v>6174151</v>
      </c>
      <c r="F2941" s="4" t="str">
        <f>IF(B2941=B2940,"",B2941)</f>
        <v>Victoriaville</v>
      </c>
    </row>
    <row r="2942" spans="1:6" ht="15.75" customHeight="1">
      <c r="A2942" s="5" t="str">
        <f ca="1">IFERROR(__xludf.DUMMYFUNCTION("GOOGLETRANSLATE(B25608,""en"",""pt"")"),"Victoriaville")</f>
        <v>Victoriaville</v>
      </c>
      <c r="B2942" s="17" t="s">
        <v>4233</v>
      </c>
      <c r="C2942" s="17" t="s">
        <v>3975</v>
      </c>
      <c r="D2942" s="17" t="s">
        <v>3982</v>
      </c>
      <c r="E2942" s="10">
        <v>6174151</v>
      </c>
      <c r="F2942" s="4" t="str">
        <f>IF(B2942=B2941,"",B2942)</f>
        <v/>
      </c>
    </row>
    <row r="2943" spans="1:6" ht="15.75" customHeight="1">
      <c r="A2943" s="6" t="s">
        <v>21055</v>
      </c>
      <c r="B2943" s="6" t="s">
        <v>21055</v>
      </c>
      <c r="C2943" s="6" t="s">
        <v>20598</v>
      </c>
      <c r="D2943" s="6" t="s">
        <v>20627</v>
      </c>
      <c r="E2943" s="2">
        <v>1680007</v>
      </c>
      <c r="F2943" s="4" t="str">
        <f>IF(B2943=B2942,"",B2943)</f>
        <v>Victorias</v>
      </c>
    </row>
    <row r="2944" spans="1:6" ht="15.75" customHeight="1">
      <c r="A2944" s="5" t="str">
        <f ca="1">IFERROR(__xludf.DUMMYFUNCTION("GOOGLETRANSLATE(B38428,""en"",""pt"")"),"Victorias")</f>
        <v>Victorias</v>
      </c>
      <c r="B2944" s="17" t="s">
        <v>21055</v>
      </c>
      <c r="C2944" s="17" t="s">
        <v>20598</v>
      </c>
      <c r="D2944" s="17" t="s">
        <v>20627</v>
      </c>
      <c r="E2944" s="10">
        <v>1680007</v>
      </c>
      <c r="F2944" s="4" t="str">
        <f>IF(B2944=B2943,"",B2944)</f>
        <v/>
      </c>
    </row>
    <row r="2945" spans="1:6" ht="15.75" customHeight="1">
      <c r="A2945" s="5" t="s">
        <v>31101</v>
      </c>
      <c r="B2945" s="6" t="s">
        <v>31102</v>
      </c>
      <c r="C2945" s="5" t="s">
        <v>31072</v>
      </c>
      <c r="D2945" s="5" t="s">
        <v>31091</v>
      </c>
      <c r="E2945" s="2">
        <v>879431</v>
      </c>
      <c r="F2945" s="4" t="str">
        <f>IF(B2945=B2944,"",B2945)</f>
        <v>Victoria Falls</v>
      </c>
    </row>
    <row r="2946" spans="1:6" ht="15.75" customHeight="1">
      <c r="A2946" s="5" t="str">
        <f ca="1">IFERROR(__xludf.DUMMYFUNCTION("GOOGLETRANSLATE(B46032,""en"",""pt"")"),"Cataratas Vitória")</f>
        <v>Cataratas Vitória</v>
      </c>
      <c r="B2946" s="17" t="s">
        <v>31102</v>
      </c>
      <c r="C2946" s="17" t="s">
        <v>31072</v>
      </c>
      <c r="D2946" s="17" t="s">
        <v>31091</v>
      </c>
      <c r="E2946" s="10">
        <v>879431</v>
      </c>
      <c r="F2946" s="4" t="str">
        <f>IF(B2946=B2945,"",B2946)</f>
        <v/>
      </c>
    </row>
    <row r="2947" spans="1:6" ht="15.75" customHeight="1">
      <c r="A2947" s="5" t="s">
        <v>18404</v>
      </c>
      <c r="B2947" s="6" t="s">
        <v>18404</v>
      </c>
      <c r="C2947" s="5" t="s">
        <v>17707</v>
      </c>
      <c r="D2947" s="5" t="s">
        <v>17954</v>
      </c>
      <c r="E2947" s="2">
        <v>4011743</v>
      </c>
      <c r="F2947" s="4" t="str">
        <f>IF(B2947=B2946,"",B2947)</f>
        <v>Victoria de Durango</v>
      </c>
    </row>
    <row r="2948" spans="1:6" ht="15.75" customHeight="1">
      <c r="A2948" s="5" t="str">
        <f ca="1">IFERROR(__xludf.DUMMYFUNCTION("GOOGLETRANSLATE(B37305,""en"",""pt"")"),"Victoria de Durango")</f>
        <v>Victoria de Durango</v>
      </c>
      <c r="B2948" s="17" t="s">
        <v>18404</v>
      </c>
      <c r="C2948" s="17" t="s">
        <v>17707</v>
      </c>
      <c r="D2948" s="17" t="s">
        <v>17954</v>
      </c>
      <c r="E2948" s="10">
        <v>4011743</v>
      </c>
      <c r="F2948" s="4" t="str">
        <f>IF(B2948=B2947,"",B2948)</f>
        <v/>
      </c>
    </row>
    <row r="2949" spans="1:6" ht="15.75" customHeight="1">
      <c r="A2949" s="6" t="s">
        <v>827</v>
      </c>
      <c r="B2949" s="6" t="s">
        <v>827</v>
      </c>
      <c r="C2949" s="6" t="s">
        <v>558</v>
      </c>
      <c r="D2949" s="6" t="s">
        <v>611</v>
      </c>
      <c r="E2949" s="2">
        <v>3832934</v>
      </c>
      <c r="F2949" s="4" t="str">
        <f>IF(B2949=B2948,"",B2949)</f>
        <v>Victoria</v>
      </c>
    </row>
    <row r="2950" spans="1:6" ht="15.75" customHeight="1">
      <c r="A2950" s="6" t="s">
        <v>827</v>
      </c>
      <c r="B2950" s="6" t="s">
        <v>827</v>
      </c>
      <c r="C2950" s="6" t="s">
        <v>3975</v>
      </c>
      <c r="D2950" s="6" t="s">
        <v>3976</v>
      </c>
      <c r="E2950" s="2">
        <v>6174041</v>
      </c>
      <c r="F2950" s="4" t="str">
        <f>IF(B2950=B2949,"",B2950)</f>
        <v/>
      </c>
    </row>
    <row r="2951" spans="1:6" ht="15.75" customHeight="1">
      <c r="A2951" s="6" t="s">
        <v>827</v>
      </c>
      <c r="B2951" s="6" t="s">
        <v>827</v>
      </c>
      <c r="C2951" s="6" t="s">
        <v>4355</v>
      </c>
      <c r="D2951" s="6" t="s">
        <v>4358</v>
      </c>
      <c r="E2951" s="2">
        <v>3868326</v>
      </c>
      <c r="F2951" s="4" t="str">
        <f>IF(B2951=B2950,"",B2951)</f>
        <v/>
      </c>
    </row>
    <row r="2952" spans="1:6" ht="15.75" customHeight="1">
      <c r="A2952" s="6" t="s">
        <v>827</v>
      </c>
      <c r="B2952" s="6" t="s">
        <v>827</v>
      </c>
      <c r="C2952" s="6" t="s">
        <v>17432</v>
      </c>
      <c r="D2952" s="6" t="s">
        <v>13998</v>
      </c>
      <c r="E2952" s="2">
        <v>1733782</v>
      </c>
      <c r="F2952" s="4" t="str">
        <f>IF(B2952=B2951,"",B2952)</f>
        <v/>
      </c>
    </row>
    <row r="2953" spans="1:6" ht="15.75" customHeight="1">
      <c r="A2953" s="6" t="s">
        <v>827</v>
      </c>
      <c r="B2953" s="6" t="s">
        <v>827</v>
      </c>
      <c r="C2953" s="6" t="s">
        <v>20598</v>
      </c>
      <c r="D2953" s="6" t="s">
        <v>20608</v>
      </c>
      <c r="E2953" s="2">
        <v>1680018</v>
      </c>
      <c r="F2953" s="4" t="str">
        <f>IF(B2953=B2952,"",B2953)</f>
        <v/>
      </c>
    </row>
    <row r="2954" spans="1:6" ht="15.75" customHeight="1">
      <c r="A2954" s="6" t="s">
        <v>827</v>
      </c>
      <c r="B2954" s="6" t="s">
        <v>827</v>
      </c>
      <c r="C2954" s="6" t="s">
        <v>23673</v>
      </c>
      <c r="D2954" s="6" t="s">
        <v>23674</v>
      </c>
      <c r="E2954" s="2">
        <v>241131</v>
      </c>
      <c r="F2954" s="4" t="str">
        <f>IF(B2954=B2953,"",B2954)</f>
        <v/>
      </c>
    </row>
    <row r="2955" spans="1:6" ht="15.75" customHeight="1">
      <c r="A2955" s="5" t="str">
        <f ca="1">IFERROR(__xludf.DUMMYFUNCTION("GOOGLETRANSLATE(B23244,""en"",""pt"")"),"Victoria")</f>
        <v>Victoria</v>
      </c>
      <c r="B2955" s="17" t="s">
        <v>827</v>
      </c>
      <c r="C2955" s="17" t="s">
        <v>558</v>
      </c>
      <c r="D2955" s="17" t="s">
        <v>611</v>
      </c>
      <c r="E2955" s="10">
        <v>3832934</v>
      </c>
      <c r="F2955" s="4" t="str">
        <f>IF(B2955=B2954,"",B2955)</f>
        <v/>
      </c>
    </row>
    <row r="2956" spans="1:6" ht="15.75" customHeight="1">
      <c r="A2956" s="5" t="str">
        <f ca="1">IFERROR(__xludf.DUMMYFUNCTION("GOOGLETRANSLATE(B25607,""en"",""pt"")"),"Victoria")</f>
        <v>Victoria</v>
      </c>
      <c r="B2956" s="17" t="s">
        <v>827</v>
      </c>
      <c r="C2956" s="17" t="s">
        <v>3975</v>
      </c>
      <c r="D2956" s="17" t="s">
        <v>3976</v>
      </c>
      <c r="E2956" s="10">
        <v>6174041</v>
      </c>
      <c r="F2956" s="4" t="str">
        <f>IF(B2956=B2955,"",B2956)</f>
        <v/>
      </c>
    </row>
    <row r="2957" spans="1:6" ht="15.75" customHeight="1">
      <c r="A2957" s="5" t="str">
        <f ca="1">IFERROR(__xludf.DUMMYFUNCTION("GOOGLETRANSLATE(B25886,""en"",""pt"")"),"Victoria")</f>
        <v>Victoria</v>
      </c>
      <c r="B2957" s="17" t="s">
        <v>827</v>
      </c>
      <c r="C2957" s="17" t="s">
        <v>4355</v>
      </c>
      <c r="D2957" s="17" t="s">
        <v>31794</v>
      </c>
      <c r="E2957" s="10">
        <v>3868326</v>
      </c>
      <c r="F2957" s="4" t="str">
        <f>IF(B2957=B2956,"",B2957)</f>
        <v/>
      </c>
    </row>
    <row r="2958" spans="1:6" ht="15.75" customHeight="1">
      <c r="A2958" s="5" t="str">
        <f ca="1">IFERROR(__xludf.DUMMYFUNCTION("GOOGLETRANSLATE(B37438,""en"",""pt"")"),"Victoria")</f>
        <v>Victoria</v>
      </c>
      <c r="B2958" s="17" t="s">
        <v>827</v>
      </c>
      <c r="C2958" s="17" t="s">
        <v>17432</v>
      </c>
      <c r="D2958" s="17" t="s">
        <v>13998</v>
      </c>
      <c r="E2958" s="10">
        <v>1733782</v>
      </c>
      <c r="F2958" s="4" t="str">
        <f>IF(B2958=B2957,"",B2958)</f>
        <v/>
      </c>
    </row>
    <row r="2959" spans="1:6" ht="15.75" customHeight="1">
      <c r="A2959" s="5" t="str">
        <f ca="1">IFERROR(__xludf.DUMMYFUNCTION("GOOGLETRANSLATE(B38429,""en"",""pt"")"),"Victoria")</f>
        <v>Victoria</v>
      </c>
      <c r="B2959" s="17" t="s">
        <v>827</v>
      </c>
      <c r="C2959" s="17" t="s">
        <v>20598</v>
      </c>
      <c r="D2959" s="17" t="s">
        <v>20608</v>
      </c>
      <c r="E2959" s="10">
        <v>1680018</v>
      </c>
      <c r="F2959" s="4" t="str">
        <f>IF(B2959=B2958,"",B2959)</f>
        <v/>
      </c>
    </row>
    <row r="2960" spans="1:6" ht="15.75" customHeight="1">
      <c r="A2960" s="5" t="str">
        <f ca="1">IFERROR(__xludf.DUMMYFUNCTION("GOOGLETRANSLATE(B41070,""en"",""pt"")"),"Victoria")</f>
        <v>Victoria</v>
      </c>
      <c r="B2960" s="17" t="s">
        <v>827</v>
      </c>
      <c r="C2960" s="17" t="s">
        <v>23673</v>
      </c>
      <c r="D2960" s="17" t="s">
        <v>23674</v>
      </c>
      <c r="E2960" s="10">
        <v>241131</v>
      </c>
      <c r="F2960" s="4" t="str">
        <f>IF(B2960=B2959,"",B2960)</f>
        <v/>
      </c>
    </row>
    <row r="2961" spans="1:6" ht="15.75" customHeight="1">
      <c r="A2961" s="5" t="str">
        <f ca="1">IFERROR(__xludf.DUMMYFUNCTION("GOOGLETRANSLATE(B37331,""en"",""pt"")"),"Víctor Rosales")</f>
        <v>Víctor Rosales</v>
      </c>
      <c r="B2961" s="17" t="s">
        <v>34779</v>
      </c>
      <c r="C2961" s="17" t="s">
        <v>17707</v>
      </c>
      <c r="D2961" s="17" t="s">
        <v>17943</v>
      </c>
      <c r="E2961" s="10">
        <v>4016132</v>
      </c>
      <c r="F2961" s="4" t="str">
        <f>IF(B2961=B2960,"",B2961)</f>
        <v>Víctor Rosales</v>
      </c>
    </row>
    <row r="2962" spans="1:6" ht="15.75" customHeight="1">
      <c r="A2962" s="5" t="str">
        <f ca="1">IFERROR(__xludf.DUMMYFUNCTION("GOOGLETRANSLATE(B24148,""en"",""pt"")"),"Viçaosa do Ceará")</f>
        <v>Viçaosa do Ceará</v>
      </c>
      <c r="B2962" s="17" t="s">
        <v>31344</v>
      </c>
      <c r="C2962" s="17" t="s">
        <v>1905</v>
      </c>
      <c r="D2962" s="17" t="s">
        <v>31345</v>
      </c>
      <c r="E2962" s="10">
        <v>3385106</v>
      </c>
      <c r="F2962" s="4" t="str">
        <f>IF(B2962=B2961,"",B2962)</f>
        <v>Viçosa do Ceará</v>
      </c>
    </row>
    <row r="2963" spans="1:6" ht="15.75" customHeight="1">
      <c r="A2963" s="5" t="str">
        <f ca="1">IFERROR(__xludf.DUMMYFUNCTION("GOOGLETRANSLATE(B24149,""en"",""pt"")"),"Viçaosa")</f>
        <v>Viçaosa</v>
      </c>
      <c r="B2963" s="17" t="s">
        <v>31346</v>
      </c>
      <c r="C2963" s="17" t="s">
        <v>1905</v>
      </c>
      <c r="D2963" s="17" t="s">
        <v>2015</v>
      </c>
      <c r="E2963" s="10">
        <v>3385109</v>
      </c>
      <c r="F2963" s="4" t="str">
        <f>IF(B2963=B2962,"",B2963)</f>
        <v>Viçosa</v>
      </c>
    </row>
    <row r="2964" spans="1:6" ht="15.75" customHeight="1">
      <c r="A2964" s="5" t="str">
        <f ca="1">IFERROR(__xludf.DUMMYFUNCTION("GOOGLETRANSLATE(B24438,""en"",""pt"")"),"Viçaosa")</f>
        <v>Viçaosa</v>
      </c>
      <c r="B2964" s="17" t="s">
        <v>31346</v>
      </c>
      <c r="C2964" s="17" t="s">
        <v>1905</v>
      </c>
      <c r="D2964" s="17" t="s">
        <v>1917</v>
      </c>
      <c r="E2964" s="10">
        <v>3445133</v>
      </c>
      <c r="F2964" s="4" t="str">
        <f>IF(B2964=B2963,"",B2964)</f>
        <v/>
      </c>
    </row>
    <row r="2965" spans="1:6" ht="15.75" customHeight="1">
      <c r="A2965" s="6" t="s">
        <v>30274</v>
      </c>
      <c r="B2965" s="6" t="s">
        <v>30274</v>
      </c>
      <c r="C2965" s="6" t="s">
        <v>27788</v>
      </c>
      <c r="D2965" s="6" t="s">
        <v>28040</v>
      </c>
      <c r="E2965" s="2">
        <v>4449620</v>
      </c>
      <c r="F2965" s="4" t="str">
        <f>IF(B2965=B2964,"",B2965)</f>
        <v>Vicksburg</v>
      </c>
    </row>
    <row r="2966" spans="1:6" ht="15.75" customHeight="1">
      <c r="A2966" s="5" t="str">
        <f ca="1">IFERROR(__xludf.DUMMYFUNCTION("GOOGLETRANSLATE(B43424,""en"",""pt"")"),"Vicksburg")</f>
        <v>Vicksburg</v>
      </c>
      <c r="B2966" s="17" t="s">
        <v>30274</v>
      </c>
      <c r="C2966" s="17" t="s">
        <v>27788</v>
      </c>
      <c r="D2966" s="17" t="s">
        <v>28040</v>
      </c>
      <c r="E2966" s="10">
        <v>4449620</v>
      </c>
      <c r="F2966" s="4" t="str">
        <f>IF(B2966=B2965,"",B2966)</f>
        <v/>
      </c>
    </row>
    <row r="2967" spans="1:6" ht="15.75" customHeight="1">
      <c r="A2967" s="6" t="s">
        <v>7896</v>
      </c>
      <c r="B2967" s="6" t="s">
        <v>7896</v>
      </c>
      <c r="C2967" s="6" t="s">
        <v>7052</v>
      </c>
      <c r="D2967" s="6" t="s">
        <v>7053</v>
      </c>
      <c r="E2967" s="2">
        <v>2969392</v>
      </c>
      <c r="F2967" s="4" t="str">
        <f>IF(B2967=B2966,"",B2967)</f>
        <v>Vichy</v>
      </c>
    </row>
    <row r="2968" spans="1:6" ht="15.75" customHeight="1">
      <c r="A2968" s="5" t="str">
        <f ca="1">IFERROR(__xludf.DUMMYFUNCTION("GOOGLETRANSLATE(B29702,""en"",""pt"")"),"Vichy")</f>
        <v>Vichy</v>
      </c>
      <c r="B2968" s="17" t="s">
        <v>7896</v>
      </c>
      <c r="C2968" s="17" t="s">
        <v>7052</v>
      </c>
      <c r="D2968" s="17" t="s">
        <v>32532</v>
      </c>
      <c r="E2968" s="10">
        <v>2969392</v>
      </c>
      <c r="F2968" s="4" t="str">
        <f>IF(B2968=B2967,"",B2968)</f>
        <v/>
      </c>
    </row>
    <row r="2969" spans="1:6" ht="15.75" customHeight="1">
      <c r="A2969" s="6" t="s">
        <v>23283</v>
      </c>
      <c r="B2969" s="6" t="s">
        <v>23283</v>
      </c>
      <c r="C2969" s="6" t="s">
        <v>22070</v>
      </c>
      <c r="D2969" s="6" t="s">
        <v>22382</v>
      </c>
      <c r="E2969" s="2">
        <v>473788</v>
      </c>
      <c r="F2969" s="4" t="str">
        <f>IF(B2969=B2968,"",B2969)</f>
        <v>Vichuga</v>
      </c>
    </row>
    <row r="2970" spans="1:6" ht="15.75" customHeight="1">
      <c r="A2970" s="5" t="str">
        <f ca="1">IFERROR(__xludf.DUMMYFUNCTION("GOOGLETRANSLATE(B39988,""en"",""pt"")"),"Vichuga")</f>
        <v>Vichuga</v>
      </c>
      <c r="B2970" s="17" t="s">
        <v>23283</v>
      </c>
      <c r="C2970" s="17" t="s">
        <v>22070</v>
      </c>
      <c r="D2970" s="17" t="s">
        <v>22382</v>
      </c>
      <c r="E2970" s="10">
        <v>473788</v>
      </c>
      <c r="F2970" s="4" t="str">
        <f>IF(B2970=B2969,"",B2970)</f>
        <v/>
      </c>
    </row>
    <row r="2971" spans="1:6" ht="15.75" customHeight="1">
      <c r="A2971" s="6" t="s">
        <v>15569</v>
      </c>
      <c r="B2971" s="6" t="s">
        <v>15569</v>
      </c>
      <c r="C2971" s="6" t="s">
        <v>14891</v>
      </c>
      <c r="D2971" s="6" t="s">
        <v>14892</v>
      </c>
      <c r="E2971" s="2">
        <v>3164419</v>
      </c>
      <c r="F2971" s="4" t="str">
        <f>IF(B2971=B2970,"",B2971)</f>
        <v>Vicenza</v>
      </c>
    </row>
    <row r="2972" spans="1:6" ht="15.75" customHeight="1">
      <c r="A2972" s="5" t="str">
        <f ca="1">IFERROR(__xludf.DUMMYFUNCTION("GOOGLETRANSLATE(B34635,""en"",""pt"")"),"Vicenza")</f>
        <v>Vicenza</v>
      </c>
      <c r="B2972" s="17" t="s">
        <v>15569</v>
      </c>
      <c r="C2972" s="17" t="s">
        <v>14891</v>
      </c>
      <c r="D2972" s="17" t="s">
        <v>14892</v>
      </c>
      <c r="E2972" s="10">
        <v>3164419</v>
      </c>
      <c r="F2972" s="4" t="str">
        <f>IF(B2972=B2971,"",B2972)</f>
        <v/>
      </c>
    </row>
    <row r="2973" spans="1:6" ht="15.75" customHeight="1">
      <c r="A2973" s="5" t="s">
        <v>18403</v>
      </c>
      <c r="B2973" s="6" t="s">
        <v>18403</v>
      </c>
      <c r="C2973" s="5" t="s">
        <v>17707</v>
      </c>
      <c r="D2973" s="5" t="s">
        <v>17763</v>
      </c>
      <c r="E2973" s="2">
        <v>3815453</v>
      </c>
      <c r="F2973" s="4" t="str">
        <f>IF(B2973=B2972,"",B2973)</f>
        <v>Vicente Guerrero</v>
      </c>
    </row>
    <row r="2974" spans="1:6" ht="15.75" customHeight="1">
      <c r="A2974" s="5" t="str">
        <f ca="1">IFERROR(__xludf.DUMMYFUNCTION("GOOGLETRANSLATE(B37118,""en"",""pt"")"),"Vicente Guerrero")</f>
        <v>Vicente Guerrero</v>
      </c>
      <c r="B2974" s="17" t="s">
        <v>18403</v>
      </c>
      <c r="C2974" s="17" t="s">
        <v>17707</v>
      </c>
      <c r="D2974" s="17" t="s">
        <v>17763</v>
      </c>
      <c r="E2974" s="10">
        <v>3815453</v>
      </c>
      <c r="F2974" s="4" t="str">
        <f>IF(B2974=B2973,"",B2974)</f>
        <v/>
      </c>
    </row>
    <row r="2975" spans="1:6" ht="15.75" customHeight="1">
      <c r="A2975" s="5" t="str">
        <f ca="1">IFERROR(__xludf.DUMMYFUNCTION("GOOGLETRANSLATE(B28958,""en"",""pt"")"),"Vigário")</f>
        <v>Vigário</v>
      </c>
      <c r="B2975" s="17" t="s">
        <v>32351</v>
      </c>
      <c r="C2975" s="17" t="s">
        <v>24200</v>
      </c>
      <c r="D2975" s="17" t="s">
        <v>24205</v>
      </c>
      <c r="E2975" s="10">
        <v>2509650</v>
      </c>
      <c r="F2975" s="4" t="str">
        <f>IF(B2975=B2974,"",B2975)</f>
        <v>Vícar</v>
      </c>
    </row>
    <row r="2976" spans="1:6" ht="15.75" customHeight="1">
      <c r="A2976" s="5" t="str">
        <f ca="1">IFERROR(__xludf.DUMMYFUNCTION("GOOGLETRANSLATE(B29248,""en"",""pt"")"),"Vicálvaro")</f>
        <v>Vicálvaro</v>
      </c>
      <c r="B2976" s="17" t="s">
        <v>32419</v>
      </c>
      <c r="C2976" s="17" t="s">
        <v>24200</v>
      </c>
      <c r="D2976" s="17" t="s">
        <v>5513</v>
      </c>
      <c r="E2976" s="10">
        <v>3106054</v>
      </c>
      <c r="F2976" s="4" t="str">
        <f>IF(B2976=B2975,"",B2976)</f>
        <v>Vicálvaro</v>
      </c>
    </row>
    <row r="2977" spans="1:6" ht="15.75" customHeight="1">
      <c r="A2977" s="6" t="s">
        <v>24883</v>
      </c>
      <c r="B2977" s="6" t="s">
        <v>24884</v>
      </c>
      <c r="C2977" s="6" t="s">
        <v>24200</v>
      </c>
      <c r="D2977" s="6" t="s">
        <v>5513</v>
      </c>
      <c r="E2977" s="2">
        <v>3106054</v>
      </c>
      <c r="F2977" s="4" t="str">
        <f>IF(B2977=B2976,"",B2977)</f>
        <v>VicÃ¡lvaro</v>
      </c>
    </row>
    <row r="2978" spans="1:6" ht="15.75" customHeight="1">
      <c r="A2978" s="6" t="s">
        <v>24882</v>
      </c>
      <c r="B2978" s="6" t="s">
        <v>24882</v>
      </c>
      <c r="C2978" s="6" t="s">
        <v>24200</v>
      </c>
      <c r="D2978" s="6" t="s">
        <v>24277</v>
      </c>
      <c r="E2978" s="2">
        <v>3106050</v>
      </c>
      <c r="F2978" s="4" t="str">
        <f>IF(B2978=B2977,"",B2978)</f>
        <v>Vic</v>
      </c>
    </row>
    <row r="2979" spans="1:6" ht="15.75" customHeight="1">
      <c r="A2979" s="5" t="str">
        <f ca="1">IFERROR(__xludf.DUMMYFUNCTION("GOOGLETRANSLATE(B29247,""en"",""pt"")"),"Vic")</f>
        <v>Vic</v>
      </c>
      <c r="B2979" s="17" t="s">
        <v>24882</v>
      </c>
      <c r="C2979" s="17" t="s">
        <v>24200</v>
      </c>
      <c r="D2979" s="17" t="s">
        <v>24277</v>
      </c>
      <c r="E2979" s="10">
        <v>3106050</v>
      </c>
      <c r="F2979" s="4" t="str">
        <f>IF(B2979=B2978,"",B2979)</f>
        <v/>
      </c>
    </row>
    <row r="2980" spans="1:6" ht="15.75" customHeight="1">
      <c r="A2980" s="6" t="s">
        <v>6289</v>
      </c>
      <c r="B2980" s="6" t="s">
        <v>6289</v>
      </c>
      <c r="C2980" s="6" t="s">
        <v>6209</v>
      </c>
      <c r="D2980" s="6" t="s">
        <v>6210</v>
      </c>
      <c r="E2980" s="2">
        <v>2610319</v>
      </c>
      <c r="F2980" s="4" t="str">
        <f>IF(B2980=B2979,"",B2980)</f>
        <v>Viborg</v>
      </c>
    </row>
    <row r="2981" spans="1:6" ht="15.75" customHeight="1">
      <c r="A2981" s="5" t="str">
        <f ca="1">IFERROR(__xludf.DUMMYFUNCTION("GOOGLETRANSLATE(B28402,""en"",""pt"")"),"Viborg")</f>
        <v>Viborg</v>
      </c>
      <c r="B2981" s="17" t="s">
        <v>6289</v>
      </c>
      <c r="C2981" s="17" t="s">
        <v>6209</v>
      </c>
      <c r="D2981" s="17" t="s">
        <v>6210</v>
      </c>
      <c r="E2981" s="10">
        <v>2610319</v>
      </c>
      <c r="F2981" s="4" t="str">
        <f>IF(B2981=B2980,"",B2981)</f>
        <v/>
      </c>
    </row>
    <row r="2982" spans="1:6" ht="15.75" customHeight="1">
      <c r="A2982" s="5" t="s">
        <v>15568</v>
      </c>
      <c r="B2982" s="6" t="s">
        <v>15568</v>
      </c>
      <c r="C2982" s="5" t="s">
        <v>14891</v>
      </c>
      <c r="D2982" s="5" t="s">
        <v>14929</v>
      </c>
      <c r="E2982" s="2">
        <v>2522776</v>
      </c>
      <c r="F2982" s="4" t="str">
        <f>IF(B2982=B2981,"",B2982)</f>
        <v>Vibo Valentia</v>
      </c>
    </row>
    <row r="2983" spans="1:6" ht="15.75" customHeight="1">
      <c r="A2983" s="5" t="str">
        <f ca="1">IFERROR(__xludf.DUMMYFUNCTION("GOOGLETRANSLATE(B34541,""en"",""pt"")"),"Vibo Valentia")</f>
        <v>Vibo Valentia</v>
      </c>
      <c r="B2983" s="17" t="s">
        <v>15568</v>
      </c>
      <c r="C2983" s="17" t="s">
        <v>14891</v>
      </c>
      <c r="D2983" s="17" t="s">
        <v>14929</v>
      </c>
      <c r="E2983" s="10">
        <v>2522776</v>
      </c>
      <c r="F2983" s="4" t="str">
        <f>IF(B2983=B2982,"",B2983)</f>
        <v/>
      </c>
    </row>
    <row r="2984" spans="1:6" ht="15.75" customHeight="1">
      <c r="A2984" s="5" t="s">
        <v>22059</v>
      </c>
      <c r="B2984" s="6" t="s">
        <v>22060</v>
      </c>
      <c r="C2984" s="5" t="s">
        <v>21824</v>
      </c>
      <c r="D2984" s="5" t="s">
        <v>21845</v>
      </c>
      <c r="E2984" s="2">
        <v>662699</v>
      </c>
      <c r="F2984" s="4" t="str">
        <f>IF(B2984=B2983,"",B2984)</f>
        <v>ViÅŸeu de Sus</v>
      </c>
    </row>
    <row r="2985" spans="1:6" ht="15.75" customHeight="1">
      <c r="A2985" s="5" t="s">
        <v>15566</v>
      </c>
      <c r="B2985" s="6" t="s">
        <v>15567</v>
      </c>
      <c r="C2985" s="5" t="s">
        <v>14891</v>
      </c>
      <c r="D2985" s="5" t="s">
        <v>14943</v>
      </c>
      <c r="E2985" s="2">
        <v>3164433</v>
      </c>
      <c r="F2985" s="4" t="str">
        <f>IF(B2985=B2984,"",B2985)</f>
        <v>Viareggio</v>
      </c>
    </row>
    <row r="2986" spans="1:6" ht="15.75" customHeight="1">
      <c r="A2986" s="5" t="str">
        <f ca="1">IFERROR(__xludf.DUMMYFUNCTION("GOOGLETRANSLATE(B34636,""en"",""pt"")"),"ViaReggio")</f>
        <v>ViaReggio</v>
      </c>
      <c r="B2986" s="17" t="s">
        <v>15567</v>
      </c>
      <c r="C2986" s="17" t="s">
        <v>14891</v>
      </c>
      <c r="D2986" s="17" t="s">
        <v>14943</v>
      </c>
      <c r="E2986" s="10">
        <v>3164433</v>
      </c>
      <c r="F2986" s="4" t="str">
        <f>IF(B2986=B2985,"",B2986)</f>
        <v/>
      </c>
    </row>
    <row r="2987" spans="1:6" ht="15.75" customHeight="1">
      <c r="A2987" s="6" t="s">
        <v>19120</v>
      </c>
      <c r="B2987" s="6" t="s">
        <v>19120</v>
      </c>
      <c r="C2987" s="6" t="s">
        <v>18862</v>
      </c>
      <c r="D2987" s="6" t="s">
        <v>18877</v>
      </c>
      <c r="E2987" s="2">
        <v>2745580</v>
      </c>
      <c r="F2987" s="4" t="str">
        <f>IF(B2987=B2986,"",B2987)</f>
        <v>Vianen</v>
      </c>
    </row>
    <row r="2988" spans="1:6" ht="15.75" customHeight="1">
      <c r="A2988" s="5" t="str">
        <f ca="1">IFERROR(__xludf.DUMMYFUNCTION("GOOGLETRANSLATE(B37924,""en"",""pt"")"),"Vianen")</f>
        <v>Vianen</v>
      </c>
      <c r="B2988" s="17" t="s">
        <v>19120</v>
      </c>
      <c r="C2988" s="17" t="s">
        <v>18862</v>
      </c>
      <c r="D2988" s="17" t="s">
        <v>18877</v>
      </c>
      <c r="E2988" s="10">
        <v>2745580</v>
      </c>
      <c r="F2988" s="4" t="str">
        <f>IF(B2988=B2987,"",B2988)</f>
        <v/>
      </c>
    </row>
    <row r="2989" spans="1:6" ht="15.75" customHeight="1">
      <c r="A2989" s="5" t="s">
        <v>21688</v>
      </c>
      <c r="B2989" s="6" t="s">
        <v>21688</v>
      </c>
      <c r="C2989" s="5" t="s">
        <v>21606</v>
      </c>
      <c r="D2989" s="5" t="s">
        <v>21688</v>
      </c>
      <c r="E2989" s="2">
        <v>2732773</v>
      </c>
      <c r="F2989" s="4" t="str">
        <f>IF(B2989=B2988,"",B2989)</f>
        <v>Viana do Castelo</v>
      </c>
    </row>
    <row r="2990" spans="1:6" ht="15.75" customHeight="1">
      <c r="A2990" s="5" t="str">
        <f ca="1">IFERROR(__xludf.DUMMYFUNCTION("GOOGLETRANSLATE(B39636,""en"",""pt"")"),"Viana do Castelo")</f>
        <v>Viana do Castelo</v>
      </c>
      <c r="B2990" s="17" t="s">
        <v>21688</v>
      </c>
      <c r="C2990" s="17" t="s">
        <v>21606</v>
      </c>
      <c r="D2990" s="17" t="s">
        <v>21688</v>
      </c>
      <c r="E2990" s="10">
        <v>2732773</v>
      </c>
      <c r="F2990" s="4" t="str">
        <f>IF(B2990=B2989,"",B2990)</f>
        <v/>
      </c>
    </row>
    <row r="2991" spans="1:6" ht="15.75" customHeight="1">
      <c r="A2991" s="6" t="s">
        <v>3662</v>
      </c>
      <c r="B2991" s="6" t="s">
        <v>3662</v>
      </c>
      <c r="C2991" s="6" t="s">
        <v>1905</v>
      </c>
      <c r="D2991" s="6" t="s">
        <v>2024</v>
      </c>
      <c r="E2991" s="2">
        <v>3385122</v>
      </c>
      <c r="F2991" s="4" t="str">
        <f>IF(B2991=B2990,"",B2991)</f>
        <v>Viana</v>
      </c>
    </row>
    <row r="2992" spans="1:6" ht="15.75" customHeight="1">
      <c r="A2992" s="6" t="s">
        <v>3662</v>
      </c>
      <c r="B2992" s="6" t="s">
        <v>3662</v>
      </c>
      <c r="C2992" s="6" t="s">
        <v>1905</v>
      </c>
      <c r="D2992" s="6" t="s">
        <v>1949</v>
      </c>
      <c r="E2992" s="2">
        <v>3445153</v>
      </c>
      <c r="F2992" s="4" t="str">
        <f>IF(B2992=B2991,"",B2992)</f>
        <v/>
      </c>
    </row>
    <row r="2993" spans="1:6" ht="15.75" customHeight="1">
      <c r="A2993" s="5" t="str">
        <f ca="1">IFERROR(__xludf.DUMMYFUNCTION("GOOGLETRANSLATE(B24150,""en"",""pt"")"),"Viana")</f>
        <v>Viana</v>
      </c>
      <c r="B2993" s="17" t="s">
        <v>3662</v>
      </c>
      <c r="C2993" s="17" t="s">
        <v>1905</v>
      </c>
      <c r="D2993" s="17" t="s">
        <v>31340</v>
      </c>
      <c r="E2993" s="10">
        <v>3385122</v>
      </c>
      <c r="F2993" s="4" t="str">
        <f>IF(B2993=B2992,"",B2993)</f>
        <v/>
      </c>
    </row>
    <row r="2994" spans="1:6" ht="15.75" customHeight="1">
      <c r="A2994" s="5" t="str">
        <f ca="1">IFERROR(__xludf.DUMMYFUNCTION("GOOGLETRANSLATE(B24439,""en"",""pt"")"),"Viana")</f>
        <v>Viana</v>
      </c>
      <c r="B2994" s="17" t="s">
        <v>3662</v>
      </c>
      <c r="C2994" s="17" t="s">
        <v>1905</v>
      </c>
      <c r="D2994" s="17" t="s">
        <v>31426</v>
      </c>
      <c r="E2994" s="10">
        <v>3445153</v>
      </c>
      <c r="F2994" s="4" t="str">
        <f>IF(B2994=B2993,"",B2994)</f>
        <v/>
      </c>
    </row>
    <row r="2995" spans="1:6" ht="15.75" customHeight="1">
      <c r="A2995" s="5" t="str">
        <f ca="1">IFERROR(__xludf.DUMMYFUNCTION("GOOGLETRANSLATE(B24440,""en"",""pt"")"),"Viamão")</f>
        <v>Viamão</v>
      </c>
      <c r="B2995" s="17" t="s">
        <v>31427</v>
      </c>
      <c r="C2995" s="17" t="s">
        <v>1905</v>
      </c>
      <c r="D2995" s="17" t="s">
        <v>1951</v>
      </c>
      <c r="E2995" s="10">
        <v>3445156</v>
      </c>
      <c r="F2995" s="4" t="str">
        <f>IF(B2995=B2994,"",B2995)</f>
        <v>Viamão</v>
      </c>
    </row>
    <row r="2996" spans="1:6" ht="15.75" customHeight="1">
      <c r="A2996" s="6" t="s">
        <v>3660</v>
      </c>
      <c r="B2996" s="6" t="s">
        <v>3661</v>
      </c>
      <c r="C2996" s="6" t="s">
        <v>1905</v>
      </c>
      <c r="D2996" s="6" t="s">
        <v>1951</v>
      </c>
      <c r="E2996" s="2">
        <v>3445156</v>
      </c>
      <c r="F2996" s="4" t="str">
        <f>IF(B2996=B2995,"",B2996)</f>
        <v>ViamÃ£o</v>
      </c>
    </row>
    <row r="2997" spans="1:6" ht="15.75" customHeight="1">
      <c r="A2997" s="6" t="s">
        <v>21742</v>
      </c>
      <c r="B2997" s="6" t="s">
        <v>21742</v>
      </c>
      <c r="C2997" s="6" t="s">
        <v>21606</v>
      </c>
      <c r="D2997" s="6" t="s">
        <v>21616</v>
      </c>
      <c r="E2997" s="2">
        <v>2261697</v>
      </c>
      <c r="F2997" s="4" t="str">
        <f>IF(B2997=B2996,"",B2997)</f>
        <v>Vialonga</v>
      </c>
    </row>
    <row r="2998" spans="1:6" ht="15.75" customHeight="1">
      <c r="A2998" s="5" t="str">
        <f ca="1">IFERROR(__xludf.DUMMYFUNCTION("GOOGLETRANSLATE(B39565,""en"",""pt"")"),"Vialonga")</f>
        <v>Vialonga</v>
      </c>
      <c r="B2998" s="17" t="s">
        <v>21742</v>
      </c>
      <c r="C2998" s="17" t="s">
        <v>21606</v>
      </c>
      <c r="D2998" s="17" t="s">
        <v>21616</v>
      </c>
      <c r="E2998" s="10">
        <v>2261697</v>
      </c>
      <c r="F2998" s="4" t="str">
        <f>IF(B2998=B2997,"",B2998)</f>
        <v/>
      </c>
    </row>
    <row r="2999" spans="1:6" ht="15.75" customHeight="1">
      <c r="A2999" s="5" t="s">
        <v>3658</v>
      </c>
      <c r="B2999" s="6" t="s">
        <v>3659</v>
      </c>
      <c r="C2999" s="5" t="s">
        <v>1905</v>
      </c>
      <c r="D2999" s="5" t="s">
        <v>1930</v>
      </c>
      <c r="E2999" s="2">
        <v>3385106</v>
      </c>
      <c r="F2999" s="4" t="str">
        <f>IF(B2999=B2998,"",B2999)</f>
        <v>ViÃ§osa do CearÃ¡</v>
      </c>
    </row>
    <row r="3000" spans="1:6" ht="15.75" customHeight="1">
      <c r="A3000" s="6" t="s">
        <v>3656</v>
      </c>
      <c r="B3000" s="6" t="s">
        <v>3657</v>
      </c>
      <c r="C3000" s="6" t="s">
        <v>1905</v>
      </c>
      <c r="D3000" s="6" t="s">
        <v>2015</v>
      </c>
      <c r="E3000" s="2">
        <v>3385109</v>
      </c>
      <c r="F3000" s="4" t="str">
        <f>IF(B3000=B2999,"",B3000)</f>
        <v>ViÃ§osa</v>
      </c>
    </row>
    <row r="3001" spans="1:6" ht="15.75" customHeight="1">
      <c r="A3001" s="6" t="s">
        <v>3656</v>
      </c>
      <c r="B3001" s="6" t="s">
        <v>3657</v>
      </c>
      <c r="C3001" s="6" t="s">
        <v>1905</v>
      </c>
      <c r="D3001" s="6" t="s">
        <v>1917</v>
      </c>
      <c r="E3001" s="2">
        <v>3445133</v>
      </c>
      <c r="F3001" s="4" t="str">
        <f>IF(B3001=B3000,"",B3001)</f>
        <v/>
      </c>
    </row>
    <row r="3002" spans="1:6" ht="15.75" customHeight="1">
      <c r="A3002" s="5" t="s">
        <v>30972</v>
      </c>
      <c r="B3002" s="6" t="s">
        <v>30973</v>
      </c>
      <c r="C3002" s="5" t="s">
        <v>30784</v>
      </c>
      <c r="D3002" s="5" t="s">
        <v>30974</v>
      </c>
      <c r="E3002" s="2">
        <v>1562820</v>
      </c>
      <c r="F3002" s="4" t="str">
        <f>IF(B3002=B3001,"",B3002)</f>
        <v>Viá»‡t TrÃ¬</v>
      </c>
    </row>
    <row r="3003" spans="1:6" ht="15.75" customHeight="1">
      <c r="A3003" s="6" t="s">
        <v>5925</v>
      </c>
      <c r="B3003" s="6" t="s">
        <v>5926</v>
      </c>
      <c r="C3003" s="6" t="s">
        <v>5764</v>
      </c>
      <c r="D3003" s="6" t="s">
        <v>5824</v>
      </c>
      <c r="E3003" s="2">
        <v>3534094</v>
      </c>
      <c r="F3003" s="4" t="str">
        <f>IF(B3003=B3002,"",B3003)</f>
        <v>ViÃ±ales</v>
      </c>
    </row>
    <row r="3004" spans="1:6" ht="15.75" customHeight="1">
      <c r="A3004" s="5" t="s">
        <v>4481</v>
      </c>
      <c r="B3004" s="6" t="s">
        <v>4482</v>
      </c>
      <c r="C3004" s="5" t="s">
        <v>4355</v>
      </c>
      <c r="D3004" s="5" t="s">
        <v>3642</v>
      </c>
      <c r="E3004" s="2">
        <v>3868121</v>
      </c>
      <c r="F3004" s="4" t="str">
        <f>IF(B3004=B3003,"",B3004)</f>
        <v>ViÃ±a del Mar</v>
      </c>
    </row>
    <row r="3005" spans="1:6" ht="15.75" customHeight="1">
      <c r="A3005" s="5" t="str">
        <f ca="1">IFERROR(__xludf.DUMMYFUNCTION("GOOGLETRANSLATE(B45712,""en"",""pt"")"),"Vị Thanh")</f>
        <v>Vị Thanh</v>
      </c>
      <c r="B3005" s="17" t="s">
        <v>36108</v>
      </c>
      <c r="C3005" s="17" t="s">
        <v>30784</v>
      </c>
      <c r="D3005" s="17" t="s">
        <v>30963</v>
      </c>
      <c r="E3005" s="10">
        <v>1562538</v>
      </c>
      <c r="F3005" s="4" t="str">
        <f>IF(B3005=B3004,"",B3005)</f>
        <v>Vị Thanh</v>
      </c>
    </row>
    <row r="3006" spans="1:6" ht="15.75" customHeight="1">
      <c r="A3006" s="5" t="str">
        <f ca="1">IFERROR(__xludf.DUMMYFUNCTION("GOOGLETRANSLATE(B42095,""en"",""pt"")"),"Vezirköprü")</f>
        <v>Vezirköprü</v>
      </c>
      <c r="B3006" s="17" t="s">
        <v>35912</v>
      </c>
      <c r="C3006" s="17" t="s">
        <v>26201</v>
      </c>
      <c r="D3006" s="17" t="s">
        <v>26232</v>
      </c>
      <c r="E3006" s="10">
        <v>738167</v>
      </c>
      <c r="F3006" s="4" t="str">
        <f>IF(B3006=B3005,"",B3006)</f>
        <v>Vezirköprü</v>
      </c>
    </row>
    <row r="3007" spans="1:6" ht="15.75" customHeight="1">
      <c r="A3007" s="5" t="s">
        <v>26749</v>
      </c>
      <c r="B3007" s="6" t="s">
        <v>26750</v>
      </c>
      <c r="C3007" s="5" t="s">
        <v>26201</v>
      </c>
      <c r="D3007" s="5" t="s">
        <v>26232</v>
      </c>
      <c r="E3007" s="2">
        <v>738167</v>
      </c>
      <c r="F3007" s="4" t="str">
        <f>IF(B3007=B3006,"",B3007)</f>
        <v>VezirkÃ¶prÃ¼</v>
      </c>
    </row>
    <row r="3008" spans="1:6" ht="15.75" customHeight="1">
      <c r="A3008" s="6" t="s">
        <v>25317</v>
      </c>
      <c r="B3008" s="6" t="s">
        <v>25317</v>
      </c>
      <c r="C3008" s="6" t="s">
        <v>25237</v>
      </c>
      <c r="D3008" s="6" t="s">
        <v>25284</v>
      </c>
      <c r="E3008" s="2">
        <v>2658145</v>
      </c>
      <c r="F3008" s="4" t="str">
        <f>IF(B3008=B3007,"",B3008)</f>
        <v>Vevey</v>
      </c>
    </row>
    <row r="3009" spans="1:6" ht="15.75" customHeight="1">
      <c r="A3009" s="5" t="str">
        <f ca="1">IFERROR(__xludf.DUMMYFUNCTION("GOOGLETRANSLATE(B25748,""en"",""pt"")"),"Vevey")</f>
        <v>Vevey</v>
      </c>
      <c r="B3009" s="17" t="s">
        <v>25317</v>
      </c>
      <c r="C3009" s="17" t="s">
        <v>25237</v>
      </c>
      <c r="D3009" s="17" t="s">
        <v>25284</v>
      </c>
      <c r="E3009" s="10">
        <v>2658145</v>
      </c>
      <c r="F3009" s="4" t="str">
        <f>IF(B3009=B3008,"",B3009)</f>
        <v/>
      </c>
    </row>
    <row r="3010" spans="1:6" ht="15.75" customHeight="1">
      <c r="A3010" s="5" t="str">
        <f ca="1">IFERROR(__xludf.DUMMYFUNCTION("GOOGLETRANSLATE(B31880,""en"",""pt"")"),"Vettūr")</f>
        <v>Vettūr</v>
      </c>
      <c r="B3010" s="17" t="s">
        <v>32961</v>
      </c>
      <c r="C3010" s="17" t="s">
        <v>10178</v>
      </c>
      <c r="D3010" s="17" t="s">
        <v>10246</v>
      </c>
      <c r="E3010" s="10">
        <v>1253216</v>
      </c>
      <c r="F3010" s="4" t="str">
        <f>IF(B3010=B3009,"",B3010)</f>
        <v>Vettūr</v>
      </c>
    </row>
    <row r="3011" spans="1:6" ht="15.75" customHeight="1">
      <c r="A3011" s="5" t="s">
        <v>13725</v>
      </c>
      <c r="B3011" s="6" t="s">
        <v>13725</v>
      </c>
      <c r="C3011" s="5" t="s">
        <v>10178</v>
      </c>
      <c r="D3011" s="5" t="s">
        <v>10196</v>
      </c>
      <c r="E3011" s="2">
        <v>1253219</v>
      </c>
      <c r="F3011" s="4" t="str">
        <f>IF(B3011=B3010,"",B3011)</f>
        <v>Vettaikkaranpudur</v>
      </c>
    </row>
    <row r="3012" spans="1:6" ht="15.75" customHeight="1">
      <c r="A3012" s="5" t="str">
        <f ca="1">IFERROR(__xludf.DUMMYFUNCTION("GOOGLETRANSLATE(B31881,""en"",""pt"")"),"Vettaikkaranpudur")</f>
        <v>Vettaikkaranpudur</v>
      </c>
      <c r="B3012" s="17" t="s">
        <v>13725</v>
      </c>
      <c r="C3012" s="17" t="s">
        <v>10178</v>
      </c>
      <c r="D3012" s="17" t="s">
        <v>10196</v>
      </c>
      <c r="E3012" s="10">
        <v>1253219</v>
      </c>
      <c r="F3012" s="4" t="str">
        <f>IF(B3012=B3011,"",B3012)</f>
        <v/>
      </c>
    </row>
    <row r="3013" spans="1:6" ht="15.75" customHeight="1">
      <c r="A3013" s="6" t="s">
        <v>13723</v>
      </c>
      <c r="B3013" s="6" t="s">
        <v>13724</v>
      </c>
      <c r="C3013" s="6" t="s">
        <v>10178</v>
      </c>
      <c r="D3013" s="6" t="s">
        <v>10246</v>
      </c>
      <c r="E3013" s="2">
        <v>1253216</v>
      </c>
      <c r="F3013" s="4" t="str">
        <f>IF(B3013=B3012,"",B3013)</f>
        <v>VettÅ«r</v>
      </c>
    </row>
    <row r="3014" spans="1:6" ht="15.75" customHeight="1">
      <c r="A3014" s="5" t="str">
        <f ca="1">IFERROR(__xludf.DUMMYFUNCTION("GOOGLETRANSLATE(B31882,""en"",""pt"")"),"Vetapālem")</f>
        <v>Vetapālem</v>
      </c>
      <c r="B3014" s="17" t="s">
        <v>32962</v>
      </c>
      <c r="C3014" s="17" t="s">
        <v>10178</v>
      </c>
      <c r="D3014" s="17" t="s">
        <v>10190</v>
      </c>
      <c r="E3014" s="10">
        <v>1253220</v>
      </c>
      <c r="F3014" s="4" t="str">
        <f>IF(B3014=B3013,"",B3014)</f>
        <v>Vetapālem</v>
      </c>
    </row>
    <row r="3015" spans="1:6" ht="15.75" customHeight="1">
      <c r="A3015" s="5" t="s">
        <v>13721</v>
      </c>
      <c r="B3015" s="6" t="s">
        <v>13722</v>
      </c>
      <c r="C3015" s="5" t="s">
        <v>10178</v>
      </c>
      <c r="D3015" s="5" t="s">
        <v>10190</v>
      </c>
      <c r="E3015" s="2">
        <v>1253220</v>
      </c>
      <c r="F3015" s="4" t="str">
        <f>IF(B3015=B3014,"",B3015)</f>
        <v>VetapÄlem</v>
      </c>
    </row>
    <row r="3016" spans="1:6" ht="15.75" customHeight="1">
      <c r="A3016" s="5" t="str">
        <f ca="1">IFERROR(__xludf.DUMMYFUNCTION("GOOGLETRANSLATE(B31273,""en"",""pt"")"),"Veszprém")</f>
        <v>Veszprém</v>
      </c>
      <c r="B3016" s="17" t="s">
        <v>32847</v>
      </c>
      <c r="C3016" s="17" t="s">
        <v>9955</v>
      </c>
      <c r="D3016" s="17" t="s">
        <v>32847</v>
      </c>
      <c r="E3016" s="10">
        <v>3042929</v>
      </c>
      <c r="F3016" s="4" t="str">
        <f>IF(B3016=B3015,"",B3016)</f>
        <v>Veszprém</v>
      </c>
    </row>
    <row r="3017" spans="1:6" ht="15.75" customHeight="1">
      <c r="A3017" s="5" t="s">
        <v>10165</v>
      </c>
      <c r="B3017" s="6" t="s">
        <v>9963</v>
      </c>
      <c r="C3017" s="5" t="s">
        <v>9955</v>
      </c>
      <c r="D3017" s="5" t="s">
        <v>9963</v>
      </c>
      <c r="E3017" s="2">
        <v>3042929</v>
      </c>
      <c r="F3017" s="4" t="str">
        <f>IF(B3017=B3016,"",B3017)</f>
        <v>VeszprÃ©m</v>
      </c>
    </row>
    <row r="3018" spans="1:6" ht="15.75" customHeight="1">
      <c r="A3018" s="5" t="s">
        <v>30272</v>
      </c>
      <c r="B3018" s="6" t="s">
        <v>30273</v>
      </c>
      <c r="C3018" s="5" t="s">
        <v>27788</v>
      </c>
      <c r="D3018" s="5" t="s">
        <v>28023</v>
      </c>
      <c r="E3018" s="2">
        <v>4095415</v>
      </c>
      <c r="F3018" s="4" t="str">
        <f>IF(B3018=B3017,"",B3018)</f>
        <v>Vestavia Hills</v>
      </c>
    </row>
    <row r="3019" spans="1:6" ht="15.75" customHeight="1">
      <c r="A3019" s="5" t="str">
        <f ca="1">IFERROR(__xludf.DUMMYFUNCTION("GOOGLETRANSLATE(B42805,""en"",""pt"")"),"Vestilha Hills")</f>
        <v>Vestilha Hills</v>
      </c>
      <c r="B3019" s="17" t="s">
        <v>30273</v>
      </c>
      <c r="C3019" s="17" t="s">
        <v>27788</v>
      </c>
      <c r="D3019" s="17" t="s">
        <v>28023</v>
      </c>
      <c r="E3019" s="10">
        <v>4095415</v>
      </c>
      <c r="F3019" s="4" t="str">
        <f>IF(B3019=B3018,"",B3019)</f>
        <v/>
      </c>
    </row>
    <row r="3020" spans="1:6" ht="15.75" customHeight="1">
      <c r="A3020" s="5" t="s">
        <v>3655</v>
      </c>
      <c r="B3020" s="6" t="s">
        <v>3655</v>
      </c>
      <c r="C3020" s="5" t="s">
        <v>1905</v>
      </c>
      <c r="D3020" s="5" t="s">
        <v>1917</v>
      </c>
      <c r="E3020" s="2">
        <v>3445162</v>
      </c>
      <c r="F3020" s="4" t="str">
        <f>IF(B3020=B3019,"",B3020)</f>
        <v>Vespasiano</v>
      </c>
    </row>
    <row r="3021" spans="1:6" ht="15.75" customHeight="1">
      <c r="A3021" s="5" t="str">
        <f ca="1">IFERROR(__xludf.DUMMYFUNCTION("GOOGLETRANSLATE(B24441,""en"",""pt"")"),"Vespasiano")</f>
        <v>Vespasiano</v>
      </c>
      <c r="B3021" s="17" t="s">
        <v>3655</v>
      </c>
      <c r="C3021" s="17" t="s">
        <v>1905</v>
      </c>
      <c r="D3021" s="17" t="s">
        <v>1917</v>
      </c>
      <c r="E3021" s="10">
        <v>3445162</v>
      </c>
      <c r="F3021" s="4" t="str">
        <f>IF(B3021=B3020,"",B3021)</f>
        <v/>
      </c>
    </row>
    <row r="3022" spans="1:6" ht="15.75" customHeight="1">
      <c r="A3022" s="6" t="s">
        <v>7895</v>
      </c>
      <c r="B3022" s="6" t="s">
        <v>7895</v>
      </c>
      <c r="C3022" s="6" t="s">
        <v>7052</v>
      </c>
      <c r="D3022" s="6" t="s">
        <v>7128</v>
      </c>
      <c r="E3022" s="2">
        <v>2969562</v>
      </c>
      <c r="F3022" s="4" t="str">
        <f>IF(B3022=B3021,"",B3022)</f>
        <v>Vesoul</v>
      </c>
    </row>
    <row r="3023" spans="1:6" ht="15.75" customHeight="1">
      <c r="A3023" s="5" t="str">
        <f ca="1">IFERROR(__xludf.DUMMYFUNCTION("GOOGLETRANSLATE(B29703,""en"",""pt"")"),"Vesoul")</f>
        <v>Vesoul</v>
      </c>
      <c r="B3023" s="17" t="s">
        <v>7895</v>
      </c>
      <c r="C3023" s="17" t="s">
        <v>7052</v>
      </c>
      <c r="D3023" s="17" t="s">
        <v>32540</v>
      </c>
      <c r="E3023" s="10">
        <v>2969562</v>
      </c>
      <c r="F3023" s="4" t="str">
        <f>IF(B3023=B3022,"",B3023)</f>
        <v/>
      </c>
    </row>
    <row r="3024" spans="1:6" ht="15.75" customHeight="1">
      <c r="A3024" s="5" t="s">
        <v>23282</v>
      </c>
      <c r="B3024" s="6" t="s">
        <v>23282</v>
      </c>
      <c r="C3024" s="5" t="s">
        <v>22070</v>
      </c>
      <c r="D3024" s="5" t="s">
        <v>22127</v>
      </c>
      <c r="E3024" s="2">
        <v>473972</v>
      </c>
      <c r="F3024" s="4" t="str">
        <f>IF(B3024=B3023,"",B3024)</f>
        <v>Veshnyaki</v>
      </c>
    </row>
    <row r="3025" spans="1:6" ht="15.75" customHeight="1">
      <c r="A3025" s="5" t="str">
        <f ca="1">IFERROR(__xludf.DUMMYFUNCTION("GOOGLETRANSLATE(B39989,""en"",""pt"")"),"Veshnyaki")</f>
        <v>Veshnyaki</v>
      </c>
      <c r="B3025" s="17" t="s">
        <v>23282</v>
      </c>
      <c r="C3025" s="17" t="s">
        <v>22070</v>
      </c>
      <c r="D3025" s="17" t="s">
        <v>22127</v>
      </c>
      <c r="E3025" s="10">
        <v>473972</v>
      </c>
      <c r="F3025" s="4" t="str">
        <f>IF(B3025=B3024,"",B3025)</f>
        <v/>
      </c>
    </row>
    <row r="3026" spans="1:6" ht="15.75" customHeight="1">
      <c r="A3026" s="6" t="s">
        <v>1707</v>
      </c>
      <c r="B3026" s="6" t="s">
        <v>1707</v>
      </c>
      <c r="C3026" s="6" t="s">
        <v>1512</v>
      </c>
      <c r="D3026" s="6" t="s">
        <v>1518</v>
      </c>
      <c r="E3026" s="2">
        <v>2784821</v>
      </c>
      <c r="F3026" s="4" t="str">
        <f>IF(B3026=B3025,"",B3026)</f>
        <v>Verviers</v>
      </c>
    </row>
    <row r="3027" spans="1:6" ht="15.75" customHeight="1">
      <c r="A3027" s="5" t="str">
        <f ca="1">IFERROR(__xludf.DUMMYFUNCTION("GOOGLETRANSLATE(B23812,""en"",""pt"")"),"Verviers")</f>
        <v>Verviers</v>
      </c>
      <c r="B3027" s="17" t="s">
        <v>1707</v>
      </c>
      <c r="C3027" s="17" t="s">
        <v>1512</v>
      </c>
      <c r="D3027" s="17" t="s">
        <v>1518</v>
      </c>
      <c r="E3027" s="10">
        <v>2784821</v>
      </c>
      <c r="F3027" s="4" t="str">
        <f>IF(B3027=B3026,"",B3027)</f>
        <v/>
      </c>
    </row>
    <row r="3028" spans="1:6" ht="15.75" customHeight="1">
      <c r="A3028" s="6" t="s">
        <v>21054</v>
      </c>
      <c r="B3028" s="6" t="s">
        <v>21054</v>
      </c>
      <c r="C3028" s="6" t="s">
        <v>20598</v>
      </c>
      <c r="D3028" s="6" t="s">
        <v>20647</v>
      </c>
      <c r="E3028" s="2">
        <v>1680040</v>
      </c>
      <c r="F3028" s="4" t="str">
        <f>IF(B3028=B3027,"",B3028)</f>
        <v>Veruela</v>
      </c>
    </row>
    <row r="3029" spans="1:6" ht="15.75" customHeight="1">
      <c r="A3029" s="5" t="str">
        <f ca="1">IFERROR(__xludf.DUMMYFUNCTION("GOOGLETRANSLATE(B38430,""en"",""pt"")"),"Veruela")</f>
        <v>Veruela</v>
      </c>
      <c r="B3029" s="17" t="s">
        <v>21054</v>
      </c>
      <c r="C3029" s="17" t="s">
        <v>20598</v>
      </c>
      <c r="D3029" s="17" t="s">
        <v>20647</v>
      </c>
      <c r="E3029" s="10">
        <v>1680040</v>
      </c>
      <c r="F3029" s="4" t="str">
        <f>IF(B3029=B3028,"",B3029)</f>
        <v/>
      </c>
    </row>
    <row r="3030" spans="1:6" ht="15.75" customHeight="1">
      <c r="A3030" s="6" t="s">
        <v>7894</v>
      </c>
      <c r="B3030" s="6" t="s">
        <v>7894</v>
      </c>
      <c r="C3030" s="6" t="s">
        <v>7052</v>
      </c>
      <c r="D3030" s="6" t="s">
        <v>7102</v>
      </c>
      <c r="E3030" s="2">
        <v>2969612</v>
      </c>
      <c r="F3030" s="4" t="str">
        <f>IF(B3030=B3029,"",B3030)</f>
        <v>Vertou</v>
      </c>
    </row>
    <row r="3031" spans="1:6" ht="15.75" customHeight="1">
      <c r="A3031" s="5" t="str">
        <f ca="1">IFERROR(__xludf.DUMMYFUNCTION("GOOGLETRANSLATE(B29704,""en"",""pt"")"),"Vertou")</f>
        <v>Vertou</v>
      </c>
      <c r="B3031" s="17" t="s">
        <v>7894</v>
      </c>
      <c r="C3031" s="17" t="s">
        <v>7052</v>
      </c>
      <c r="D3031" s="17" t="s">
        <v>7102</v>
      </c>
      <c r="E3031" s="10">
        <v>2969612</v>
      </c>
      <c r="F3031" s="4" t="str">
        <f>IF(B3031=B3030,"",B3031)</f>
        <v/>
      </c>
    </row>
    <row r="3032" spans="1:6" ht="15.75" customHeight="1">
      <c r="A3032" s="5" t="s">
        <v>5924</v>
      </c>
      <c r="B3032" s="6" t="s">
        <v>5924</v>
      </c>
      <c r="C3032" s="5" t="s">
        <v>5764</v>
      </c>
      <c r="D3032" s="5" t="s">
        <v>5806</v>
      </c>
      <c r="E3032" s="2">
        <v>3534363</v>
      </c>
      <c r="F3032" s="4" t="str">
        <f>IF(B3032=B3031,"",B3032)</f>
        <v>Vertientes</v>
      </c>
    </row>
    <row r="3033" spans="1:6" ht="15.75" customHeight="1">
      <c r="A3033" s="5" t="str">
        <f ca="1">IFERROR(__xludf.DUMMYFUNCTION("GOOGLETRANSLATE(B27105,""en"",""pt"")"),"Vertientes")</f>
        <v>Vertientes</v>
      </c>
      <c r="B3033" s="17" t="s">
        <v>5924</v>
      </c>
      <c r="C3033" s="17" t="s">
        <v>5764</v>
      </c>
      <c r="D3033" s="17" t="s">
        <v>31904</v>
      </c>
      <c r="E3033" s="10">
        <v>3534363</v>
      </c>
      <c r="F3033" s="4" t="str">
        <f>IF(B3033=B3032,"",B3033)</f>
        <v/>
      </c>
    </row>
    <row r="3034" spans="1:6" ht="15.75" customHeight="1">
      <c r="A3034" s="6" t="s">
        <v>9233</v>
      </c>
      <c r="B3034" s="6" t="s">
        <v>9233</v>
      </c>
      <c r="C3034" s="6" t="s">
        <v>8028</v>
      </c>
      <c r="D3034" s="6" t="s">
        <v>8029</v>
      </c>
      <c r="E3034" s="2">
        <v>2817537</v>
      </c>
      <c r="F3034" s="4" t="str">
        <f>IF(B3034=B3033,"",B3034)</f>
        <v>Versmold</v>
      </c>
    </row>
    <row r="3035" spans="1:6" ht="15.75" customHeight="1">
      <c r="A3035" s="5" t="str">
        <f ca="1">IFERROR(__xludf.DUMMYFUNCTION("GOOGLETRANSLATE(B27448,""en"",""pt"")"),"Versmold")</f>
        <v>Versmold</v>
      </c>
      <c r="B3035" s="17" t="s">
        <v>9233</v>
      </c>
      <c r="C3035" s="17" t="s">
        <v>8028</v>
      </c>
      <c r="D3035" s="17" t="s">
        <v>8029</v>
      </c>
      <c r="E3035" s="10">
        <v>2817537</v>
      </c>
      <c r="F3035" s="4" t="str">
        <f>IF(B3035=B3034,"",B3035)</f>
        <v/>
      </c>
    </row>
    <row r="3036" spans="1:6" ht="15.75" customHeight="1">
      <c r="A3036" s="6" t="s">
        <v>7892</v>
      </c>
      <c r="B3036" s="6" t="s">
        <v>7893</v>
      </c>
      <c r="C3036" s="6" t="s">
        <v>7052</v>
      </c>
      <c r="D3036" s="6" t="s">
        <v>7058</v>
      </c>
      <c r="E3036" s="2">
        <v>2969679</v>
      </c>
      <c r="F3036" s="4" t="str">
        <f>IF(B3036=B3035,"",B3036)</f>
        <v>Versailles</v>
      </c>
    </row>
    <row r="3037" spans="1:6" ht="15.75" customHeight="1">
      <c r="A3037" s="5" t="str">
        <f ca="1">IFERROR(__xludf.DUMMYFUNCTION("GOOGLETRANSLATE(B29705,""en"",""pt"")"),"Versalhes")</f>
        <v>Versalhes</v>
      </c>
      <c r="B3037" s="17" t="s">
        <v>7893</v>
      </c>
      <c r="C3037" s="17" t="s">
        <v>7052</v>
      </c>
      <c r="D3037" s="17" t="s">
        <v>32531</v>
      </c>
      <c r="E3037" s="10">
        <v>2969679</v>
      </c>
      <c r="F3037" s="4" t="str">
        <f>IF(B3037=B3036,"",B3037)</f>
        <v/>
      </c>
    </row>
    <row r="3038" spans="1:6" ht="15.75" customHeight="1">
      <c r="A3038" s="5" t="str">
        <f ca="1">IFERROR(__xludf.DUMMYFUNCTION("GOOGLETRANSLATE(B29706,""en"",""pt"")"),"Verrières-le-Buisson")</f>
        <v>Verrières-le-Buisson</v>
      </c>
      <c r="B3038" s="17" t="s">
        <v>32541</v>
      </c>
      <c r="C3038" s="17" t="s">
        <v>7052</v>
      </c>
      <c r="D3038" s="17" t="s">
        <v>32531</v>
      </c>
      <c r="E3038" s="10">
        <v>2969692</v>
      </c>
      <c r="F3038" s="4" t="str">
        <f>IF(B3038=B3037,"",B3038)</f>
        <v>Verrières-le-Buisson</v>
      </c>
    </row>
    <row r="3039" spans="1:6" ht="15.75" customHeight="1">
      <c r="A3039" s="5" t="s">
        <v>7890</v>
      </c>
      <c r="B3039" s="6" t="s">
        <v>7891</v>
      </c>
      <c r="C3039" s="5" t="s">
        <v>7052</v>
      </c>
      <c r="D3039" s="5" t="s">
        <v>7058</v>
      </c>
      <c r="E3039" s="2">
        <v>2969692</v>
      </c>
      <c r="F3039" s="4" t="str">
        <f>IF(B3039=B3038,"",B3039)</f>
        <v>VerriÃ¨res-le-Buisson</v>
      </c>
    </row>
    <row r="3040" spans="1:6" ht="15.75" customHeight="1">
      <c r="A3040" s="6" t="s">
        <v>9905</v>
      </c>
      <c r="B3040" s="6" t="s">
        <v>9905</v>
      </c>
      <c r="C3040" s="6" t="s">
        <v>9866</v>
      </c>
      <c r="D3040" s="6" t="s">
        <v>9871</v>
      </c>
      <c r="E3040" s="2">
        <v>3716044</v>
      </c>
      <c r="F3040" s="4" t="str">
        <f>IF(B3040=B3039,"",B3040)</f>
        <v>Verrettes</v>
      </c>
    </row>
    <row r="3041" spans="1:6" ht="15.75" customHeight="1">
      <c r="A3041" s="5" t="str">
        <f ca="1">IFERROR(__xludf.DUMMYFUNCTION("GOOGLETRANSLATE(B31213,""en"",""pt"")"),"Verrettes")</f>
        <v>Verrettes</v>
      </c>
      <c r="B3041" s="17" t="s">
        <v>9905</v>
      </c>
      <c r="C3041" s="17" t="s">
        <v>9866</v>
      </c>
      <c r="D3041" s="17" t="s">
        <v>9871</v>
      </c>
      <c r="E3041" s="10">
        <v>3716044</v>
      </c>
      <c r="F3041" s="4" t="str">
        <f>IF(B3041=B3040,"",B3041)</f>
        <v/>
      </c>
    </row>
    <row r="3042" spans="1:6" ht="15.75" customHeight="1">
      <c r="A3042" s="6" t="s">
        <v>15565</v>
      </c>
      <c r="B3042" s="6" t="s">
        <v>15565</v>
      </c>
      <c r="C3042" s="6" t="s">
        <v>14891</v>
      </c>
      <c r="D3042" s="6" t="s">
        <v>14892</v>
      </c>
      <c r="E3042" s="2">
        <v>3164527</v>
      </c>
      <c r="F3042" s="4" t="str">
        <f>IF(B3042=B3041,"",B3042)</f>
        <v>Verona</v>
      </c>
    </row>
    <row r="3043" spans="1:6" ht="15.75" customHeight="1">
      <c r="A3043" s="5" t="str">
        <f ca="1">IFERROR(__xludf.DUMMYFUNCTION("GOOGLETRANSLATE(B34637,""en"",""pt"")"),"Verona")</f>
        <v>Verona</v>
      </c>
      <c r="B3043" s="17" t="s">
        <v>15565</v>
      </c>
      <c r="C3043" s="17" t="s">
        <v>14891</v>
      </c>
      <c r="D3043" s="17" t="s">
        <v>14892</v>
      </c>
      <c r="E3043" s="10">
        <v>3164527</v>
      </c>
      <c r="F3043" s="4" t="str">
        <f>IF(B3043=B3042,"",B3043)</f>
        <v/>
      </c>
    </row>
    <row r="3044" spans="1:6" ht="15.75" customHeight="1">
      <c r="A3044" s="5" t="str">
        <f ca="1">IFERROR(__xludf.DUMMYFUNCTION("GOOGLETRANSLATE(B31030,""en"",""pt"")"),"Véroia")</f>
        <v>Véroia</v>
      </c>
      <c r="B3044" s="17" t="s">
        <v>32736</v>
      </c>
      <c r="C3044" s="17" t="s">
        <v>9441</v>
      </c>
      <c r="D3044" s="17" t="s">
        <v>9442</v>
      </c>
      <c r="E3044" s="10">
        <v>733905</v>
      </c>
      <c r="F3044" s="4" t="str">
        <f>IF(B3044=B3043,"",B3044)</f>
        <v>Véroia</v>
      </c>
    </row>
    <row r="3045" spans="1:6" ht="15.75" customHeight="1">
      <c r="A3045" s="5" t="s">
        <v>30271</v>
      </c>
      <c r="B3045" s="6" t="s">
        <v>30271</v>
      </c>
      <c r="C3045" s="5" t="s">
        <v>27788</v>
      </c>
      <c r="D3045" s="5" t="s">
        <v>5468</v>
      </c>
      <c r="E3045" s="2">
        <v>7260233</v>
      </c>
      <c r="F3045" s="4" t="str">
        <f>IF(B3045=B3044,"",B3045)</f>
        <v>Vero Beach South</v>
      </c>
    </row>
    <row r="3046" spans="1:6" ht="15.75" customHeight="1">
      <c r="A3046" s="5" t="str">
        <f ca="1">IFERROR(__xludf.DUMMYFUNCTION("GOOGLETRANSLATE(B45439,""en"",""pt"")"),"Vero Beach South")</f>
        <v>Vero Beach South</v>
      </c>
      <c r="B3046" s="17" t="s">
        <v>30271</v>
      </c>
      <c r="C3046" s="17" t="s">
        <v>27788</v>
      </c>
      <c r="D3046" s="17" t="s">
        <v>5468</v>
      </c>
      <c r="E3046" s="10">
        <v>7260233</v>
      </c>
      <c r="F3046" s="4" t="str">
        <f>IF(B3046=B3045,"",B3046)</f>
        <v/>
      </c>
    </row>
    <row r="3047" spans="1:6" ht="15.75" customHeight="1">
      <c r="A3047" s="5" t="s">
        <v>30270</v>
      </c>
      <c r="B3047" s="6" t="s">
        <v>30270</v>
      </c>
      <c r="C3047" s="5" t="s">
        <v>27788</v>
      </c>
      <c r="D3047" s="5" t="s">
        <v>5468</v>
      </c>
      <c r="E3047" s="2">
        <v>4176409</v>
      </c>
      <c r="F3047" s="4" t="str">
        <f>IF(B3047=B3046,"",B3047)</f>
        <v>Vero Beach</v>
      </c>
    </row>
    <row r="3048" spans="1:6" ht="15.75" customHeight="1">
      <c r="A3048" s="5" t="str">
        <f ca="1">IFERROR(__xludf.DUMMYFUNCTION("GOOGLETRANSLATE(B43040,""en"",""pt"")"),"Vero Beach")</f>
        <v>Vero Beach</v>
      </c>
      <c r="B3048" s="17" t="s">
        <v>30270</v>
      </c>
      <c r="C3048" s="17" t="s">
        <v>27788</v>
      </c>
      <c r="D3048" s="17" t="s">
        <v>5468</v>
      </c>
      <c r="E3048" s="10">
        <v>4176409</v>
      </c>
      <c r="F3048" s="4" t="str">
        <f>IF(B3048=B3047,"",B3048)</f>
        <v/>
      </c>
    </row>
    <row r="3049" spans="1:6" ht="15.75" customHeight="1">
      <c r="A3049" s="5" t="s">
        <v>30268</v>
      </c>
      <c r="B3049" s="6" t="s">
        <v>30269</v>
      </c>
      <c r="C3049" s="5" t="s">
        <v>27788</v>
      </c>
      <c r="D3049" s="5" t="s">
        <v>27799</v>
      </c>
      <c r="E3049" s="2">
        <v>4914738</v>
      </c>
      <c r="F3049" s="4" t="str">
        <f>IF(B3049=B3048,"",B3049)</f>
        <v>Vernon Hills</v>
      </c>
    </row>
    <row r="3050" spans="1:6" ht="15.75" customHeight="1">
      <c r="A3050" s="5" t="str">
        <f ca="1">IFERROR(__xludf.DUMMYFUNCTION("GOOGLETRANSLATE(B43892,""en"",""pt"")"),"Colinas de Vernon")</f>
        <v>Colinas de Vernon</v>
      </c>
      <c r="B3050" s="17" t="s">
        <v>30269</v>
      </c>
      <c r="C3050" s="17" t="s">
        <v>27788</v>
      </c>
      <c r="D3050" s="17" t="s">
        <v>27799</v>
      </c>
      <c r="E3050" s="10">
        <v>4914738</v>
      </c>
      <c r="F3050" s="4" t="str">
        <f>IF(B3050=B3049,"",B3050)</f>
        <v/>
      </c>
    </row>
    <row r="3051" spans="1:6" ht="15.75" customHeight="1">
      <c r="A3051" s="6" t="s">
        <v>4232</v>
      </c>
      <c r="B3051" s="6" t="s">
        <v>4232</v>
      </c>
      <c r="C3051" s="6" t="s">
        <v>3975</v>
      </c>
      <c r="D3051" s="6" t="s">
        <v>3976</v>
      </c>
      <c r="E3051" s="2">
        <v>6173864</v>
      </c>
      <c r="F3051" s="4" t="str">
        <f>IF(B3051=B3050,"",B3051)</f>
        <v>Vernon</v>
      </c>
    </row>
    <row r="3052" spans="1:6" ht="15.75" customHeight="1">
      <c r="A3052" s="6" t="s">
        <v>4232</v>
      </c>
      <c r="B3052" s="6" t="s">
        <v>4232</v>
      </c>
      <c r="C3052" s="6" t="s">
        <v>7052</v>
      </c>
      <c r="D3052" s="6" t="s">
        <v>7068</v>
      </c>
      <c r="E3052" s="2">
        <v>2969766</v>
      </c>
      <c r="F3052" s="4" t="str">
        <f>IF(B3052=B3051,"",B3052)</f>
        <v/>
      </c>
    </row>
    <row r="3053" spans="1:6" ht="15.75" customHeight="1">
      <c r="A3053" s="5" t="str">
        <f ca="1">IFERROR(__xludf.DUMMYFUNCTION("GOOGLETRANSLATE(B25606,""en"",""pt"")"),"Vernon")</f>
        <v>Vernon</v>
      </c>
      <c r="B3053" s="17" t="s">
        <v>4232</v>
      </c>
      <c r="C3053" s="17" t="s">
        <v>3975</v>
      </c>
      <c r="D3053" s="17" t="s">
        <v>3976</v>
      </c>
      <c r="E3053" s="10">
        <v>6173864</v>
      </c>
      <c r="F3053" s="4" t="str">
        <f>IF(B3053=B3052,"",B3053)</f>
        <v/>
      </c>
    </row>
    <row r="3054" spans="1:6" ht="15.75" customHeight="1">
      <c r="A3054" s="5" t="str">
        <f ca="1">IFERROR(__xludf.DUMMYFUNCTION("GOOGLETRANSLATE(B29707,""en"",""pt"")"),"Vernon")</f>
        <v>Vernon</v>
      </c>
      <c r="B3054" s="17" t="s">
        <v>4232</v>
      </c>
      <c r="C3054" s="17" t="s">
        <v>7052</v>
      </c>
      <c r="D3054" s="17" t="s">
        <v>7068</v>
      </c>
      <c r="E3054" s="10">
        <v>2969766</v>
      </c>
      <c r="F3054" s="4" t="str">
        <f>IF(B3054=B3053,"",B3054)</f>
        <v/>
      </c>
    </row>
    <row r="3055" spans="1:6" ht="15.75" customHeight="1">
      <c r="A3055" s="6" t="s">
        <v>25316</v>
      </c>
      <c r="B3055" s="6" t="s">
        <v>25316</v>
      </c>
      <c r="C3055" s="6" t="s">
        <v>25237</v>
      </c>
      <c r="D3055" s="6" t="s">
        <v>25253</v>
      </c>
      <c r="E3055" s="2">
        <v>2658154</v>
      </c>
      <c r="F3055" s="4" t="str">
        <f>IF(B3055=B3054,"",B3055)</f>
        <v>Vernier</v>
      </c>
    </row>
    <row r="3056" spans="1:6" ht="15.75" customHeight="1">
      <c r="A3056" s="5" t="str">
        <f ca="1">IFERROR(__xludf.DUMMYFUNCTION("GOOGLETRANSLATE(B25749,""en"",""pt"")"),"Vernier")</f>
        <v>Vernier</v>
      </c>
      <c r="B3056" s="17" t="s">
        <v>25316</v>
      </c>
      <c r="C3056" s="17" t="s">
        <v>25237</v>
      </c>
      <c r="D3056" s="17" t="s">
        <v>25253</v>
      </c>
      <c r="E3056" s="10">
        <v>2658154</v>
      </c>
      <c r="F3056" s="4" t="str">
        <f>IF(B3056=B3055,"",B3056)</f>
        <v/>
      </c>
    </row>
    <row r="3057" spans="1:6" ht="15.75" customHeight="1">
      <c r="A3057" s="5" t="s">
        <v>7888</v>
      </c>
      <c r="B3057" s="6" t="s">
        <v>7889</v>
      </c>
      <c r="C3057" s="5" t="s">
        <v>7052</v>
      </c>
      <c r="D3057" s="5" t="s">
        <v>7058</v>
      </c>
      <c r="E3057" s="2">
        <v>2969796</v>
      </c>
      <c r="F3057" s="4" t="str">
        <f>IF(B3057=B3056,"",B3057)</f>
        <v>Verneuil-sur-Seine</v>
      </c>
    </row>
    <row r="3058" spans="1:6" ht="15.75" customHeight="1">
      <c r="A3058" s="5" t="str">
        <f ca="1">IFERROR(__xludf.DUMMYFUNCTION("GOOGLETRANSLATE(B29708,""en"",""pt"")"),"Verneuil-sur-seine")</f>
        <v>Verneuil-sur-seine</v>
      </c>
      <c r="B3058" s="17" t="s">
        <v>7889</v>
      </c>
      <c r="C3058" s="17" t="s">
        <v>7052</v>
      </c>
      <c r="D3058" s="17" t="s">
        <v>32531</v>
      </c>
      <c r="E3058" s="10">
        <v>2969796</v>
      </c>
      <c r="F3058" s="4" t="str">
        <f>IF(B3058=B3057,"",B3058)</f>
        <v/>
      </c>
    </row>
    <row r="3059" spans="1:6" ht="15.75" customHeight="1">
      <c r="A3059" s="6" t="s">
        <v>9232</v>
      </c>
      <c r="B3059" s="6" t="s">
        <v>9232</v>
      </c>
      <c r="C3059" s="6" t="s">
        <v>8028</v>
      </c>
      <c r="D3059" s="6" t="s">
        <v>8029</v>
      </c>
      <c r="E3059" s="2">
        <v>2817576</v>
      </c>
      <c r="F3059" s="4" t="str">
        <f>IF(B3059=B3058,"",B3059)</f>
        <v>Verl</v>
      </c>
    </row>
    <row r="3060" spans="1:6" ht="15.75" customHeight="1">
      <c r="A3060" s="5" t="str">
        <f ca="1">IFERROR(__xludf.DUMMYFUNCTION("GOOGLETRANSLATE(B27449,""en"",""pt"")"),"Verl")</f>
        <v>Verl</v>
      </c>
      <c r="B3060" s="17" t="s">
        <v>9232</v>
      </c>
      <c r="C3060" s="17" t="s">
        <v>8028</v>
      </c>
      <c r="D3060" s="17" t="s">
        <v>8029</v>
      </c>
      <c r="E3060" s="10">
        <v>2817576</v>
      </c>
      <c r="F3060" s="4" t="str">
        <f>IF(B3060=B3059,"",B3060)</f>
        <v/>
      </c>
    </row>
    <row r="3061" spans="1:6" ht="15.75" customHeight="1">
      <c r="A3061" s="5" t="s">
        <v>23281</v>
      </c>
      <c r="B3061" s="6" t="s">
        <v>23281</v>
      </c>
      <c r="C3061" s="5" t="s">
        <v>22070</v>
      </c>
      <c r="D3061" s="5" t="s">
        <v>22106</v>
      </c>
      <c r="E3061" s="2">
        <v>1487277</v>
      </c>
      <c r="F3061" s="4" t="str">
        <f>IF(B3061=B3060,"",B3061)</f>
        <v>Verkhnyaya Salda</v>
      </c>
    </row>
    <row r="3062" spans="1:6" ht="15.75" customHeight="1">
      <c r="A3062" s="5" t="str">
        <f ca="1">IFERROR(__xludf.DUMMYFUNCTION("GOOGLETRANSLATE(B40727,""en"",""pt"")"),"Verkhnyaya Salda")</f>
        <v>Verkhnyaya Salda</v>
      </c>
      <c r="B3062" s="17" t="s">
        <v>23281</v>
      </c>
      <c r="C3062" s="17" t="s">
        <v>22070</v>
      </c>
      <c r="D3062" s="17" t="s">
        <v>22106</v>
      </c>
      <c r="E3062" s="10">
        <v>1487277</v>
      </c>
      <c r="F3062" s="4" t="str">
        <f>IF(B3062=B3061,"",B3062)</f>
        <v/>
      </c>
    </row>
    <row r="3063" spans="1:6" ht="15.75" customHeight="1">
      <c r="A3063" s="5" t="s">
        <v>23279</v>
      </c>
      <c r="B3063" s="6" t="s">
        <v>23280</v>
      </c>
      <c r="C3063" s="5" t="s">
        <v>22070</v>
      </c>
      <c r="D3063" s="5" t="s">
        <v>22106</v>
      </c>
      <c r="E3063" s="2">
        <v>1487281</v>
      </c>
      <c r="F3063" s="4" t="str">
        <f>IF(B3063=B3062,"",B3063)</f>
        <v>Verkhnyaya Pyshma</v>
      </c>
    </row>
    <row r="3064" spans="1:6" ht="15.75" customHeight="1">
      <c r="A3064" s="5" t="str">
        <f ca="1">IFERROR(__xludf.DUMMYFUNCTION("GOOGLETRANSLATE(B40728,""en"",""pt"")"),"Verkhnyaya pyshma")</f>
        <v>Verkhnyaya pyshma</v>
      </c>
      <c r="B3064" s="17" t="s">
        <v>23280</v>
      </c>
      <c r="C3064" s="17" t="s">
        <v>22070</v>
      </c>
      <c r="D3064" s="17" t="s">
        <v>22106</v>
      </c>
      <c r="E3064" s="10">
        <v>1487281</v>
      </c>
      <c r="F3064" s="4" t="str">
        <f>IF(B3064=B3063,"",B3064)</f>
        <v/>
      </c>
    </row>
    <row r="3065" spans="1:6" ht="15.75" customHeight="1">
      <c r="A3065" s="5" t="s">
        <v>23278</v>
      </c>
      <c r="B3065" s="6" t="s">
        <v>23278</v>
      </c>
      <c r="C3065" s="5" t="s">
        <v>22070</v>
      </c>
      <c r="D3065" s="5" t="s">
        <v>22166</v>
      </c>
      <c r="E3065" s="2">
        <v>1487394</v>
      </c>
      <c r="F3065" s="4" t="str">
        <f>IF(B3065=B3064,"",B3065)</f>
        <v>Verkhniy Ufaley</v>
      </c>
    </row>
    <row r="3066" spans="1:6" ht="15.75" customHeight="1">
      <c r="A3066" s="5" t="str">
        <f ca="1">IFERROR(__xludf.DUMMYFUNCTION("GOOGLETRANSLATE(B40729,""en"",""pt"")"),"Verkhniy Ufaley")</f>
        <v>Verkhniy Ufaley</v>
      </c>
      <c r="B3066" s="17" t="s">
        <v>23278</v>
      </c>
      <c r="C3066" s="17" t="s">
        <v>22070</v>
      </c>
      <c r="D3066" s="17" t="s">
        <v>22166</v>
      </c>
      <c r="E3066" s="10">
        <v>1487394</v>
      </c>
      <c r="F3066" s="4" t="str">
        <f>IF(B3066=B3065,"",B3066)</f>
        <v/>
      </c>
    </row>
    <row r="3067" spans="1:6" ht="15.75" customHeight="1">
      <c r="A3067" s="5" t="s">
        <v>23277</v>
      </c>
      <c r="B3067" s="6" t="s">
        <v>23277</v>
      </c>
      <c r="C3067" s="5" t="s">
        <v>22070</v>
      </c>
      <c r="D3067" s="5" t="s">
        <v>22115</v>
      </c>
      <c r="E3067" s="2">
        <v>475777</v>
      </c>
      <c r="F3067" s="4" t="str">
        <f>IF(B3067=B3066,"",B3067)</f>
        <v>Vereshchagino</v>
      </c>
    </row>
    <row r="3068" spans="1:6" ht="15.75" customHeight="1">
      <c r="A3068" s="5" t="str">
        <f ca="1">IFERROR(__xludf.DUMMYFUNCTION("GOOGLETRANSLATE(B39990,""en"",""pt"")"),"Vereshchagino")</f>
        <v>Vereshchagino</v>
      </c>
      <c r="B3068" s="17" t="s">
        <v>23277</v>
      </c>
      <c r="C3068" s="17" t="s">
        <v>22070</v>
      </c>
      <c r="D3068" s="17" t="s">
        <v>22115</v>
      </c>
      <c r="E3068" s="10">
        <v>475777</v>
      </c>
      <c r="F3068" s="4" t="str">
        <f>IF(B3068=B3067,"",B3068)</f>
        <v/>
      </c>
    </row>
    <row r="3069" spans="1:6" ht="15.75" customHeight="1">
      <c r="A3069" s="5" t="s">
        <v>24001</v>
      </c>
      <c r="B3069" s="6" t="s">
        <v>24001</v>
      </c>
      <c r="C3069" s="5" t="s">
        <v>23842</v>
      </c>
      <c r="D3069" s="5" t="s">
        <v>23855</v>
      </c>
      <c r="E3069" s="2">
        <v>944385</v>
      </c>
      <c r="F3069" s="4" t="str">
        <f>IF(B3069=B3068,"",B3069)</f>
        <v>Vereeniging</v>
      </c>
    </row>
    <row r="3070" spans="1:6" ht="15.75" customHeight="1">
      <c r="A3070" s="5" t="str">
        <f ca="1">IFERROR(__xludf.DUMMYFUNCTION("GOOGLETRANSLATE(B45857,""en"",""pt"")"),"Vereeniging")</f>
        <v>Vereeniging</v>
      </c>
      <c r="B3070" s="17" t="s">
        <v>24001</v>
      </c>
      <c r="C3070" s="17" t="s">
        <v>23842</v>
      </c>
      <c r="D3070" s="17" t="s">
        <v>23855</v>
      </c>
      <c r="E3070" s="10">
        <v>944385</v>
      </c>
      <c r="F3070" s="4" t="str">
        <f>IF(B3070=B3069,"",B3070)</f>
        <v/>
      </c>
    </row>
    <row r="3071" spans="1:6" ht="15.75" customHeight="1">
      <c r="A3071" s="6" t="s">
        <v>7887</v>
      </c>
      <c r="B3071" s="6" t="s">
        <v>7887</v>
      </c>
      <c r="C3071" s="6" t="s">
        <v>7052</v>
      </c>
      <c r="D3071" s="6" t="s">
        <v>7061</v>
      </c>
      <c r="E3071" s="2">
        <v>2969958</v>
      </c>
      <c r="F3071" s="4" t="str">
        <f>IF(B3071=B3070,"",B3071)</f>
        <v>Verdun</v>
      </c>
    </row>
    <row r="3072" spans="1:6" ht="15.75" customHeight="1">
      <c r="A3072" s="5" t="str">
        <f ca="1">IFERROR(__xludf.DUMMYFUNCTION("GOOGLETRANSLATE(B29709,""en"",""pt"")"),"Verdun")</f>
        <v>Verdun</v>
      </c>
      <c r="B3072" s="17" t="s">
        <v>7887</v>
      </c>
      <c r="C3072" s="17" t="s">
        <v>7052</v>
      </c>
      <c r="D3072" s="17" t="s">
        <v>7061</v>
      </c>
      <c r="E3072" s="10">
        <v>2969958</v>
      </c>
      <c r="F3072" s="4" t="str">
        <f>IF(B3072=B3071,"",B3072)</f>
        <v/>
      </c>
    </row>
    <row r="3073" spans="1:6" ht="15.75" customHeight="1">
      <c r="A3073" s="6" t="s">
        <v>9231</v>
      </c>
      <c r="B3073" s="6" t="s">
        <v>9231</v>
      </c>
      <c r="C3073" s="6" t="s">
        <v>8028</v>
      </c>
      <c r="D3073" s="6" t="s">
        <v>8034</v>
      </c>
      <c r="E3073" s="2">
        <v>2817599</v>
      </c>
      <c r="F3073" s="4" t="str">
        <f>IF(B3073=B3072,"",B3073)</f>
        <v>Verden</v>
      </c>
    </row>
    <row r="3074" spans="1:6" ht="15.75" customHeight="1">
      <c r="A3074" s="5" t="str">
        <f ca="1">IFERROR(__xludf.DUMMYFUNCTION("GOOGLETRANSLATE(B27450,""en"",""pt"")"),"Verden")</f>
        <v>Verden</v>
      </c>
      <c r="B3074" s="17" t="s">
        <v>9231</v>
      </c>
      <c r="C3074" s="17" t="s">
        <v>8028</v>
      </c>
      <c r="D3074" s="17" t="s">
        <v>8034</v>
      </c>
      <c r="E3074" s="10">
        <v>2817599</v>
      </c>
      <c r="F3074" s="4" t="str">
        <f>IF(B3074=B3073,"",B3074)</f>
        <v/>
      </c>
    </row>
    <row r="3075" spans="1:6" ht="15.75" customHeight="1">
      <c r="A3075" s="6" t="s">
        <v>15564</v>
      </c>
      <c r="B3075" s="6" t="s">
        <v>15564</v>
      </c>
      <c r="C3075" s="6" t="s">
        <v>14891</v>
      </c>
      <c r="D3075" s="6" t="s">
        <v>14911</v>
      </c>
      <c r="E3075" s="2">
        <v>3164565</v>
      </c>
      <c r="F3075" s="4" t="str">
        <f>IF(B3075=B3074,"",B3075)</f>
        <v>Vercelli</v>
      </c>
    </row>
    <row r="3076" spans="1:6" ht="15.75" customHeight="1">
      <c r="A3076" s="5" t="str">
        <f ca="1">IFERROR(__xludf.DUMMYFUNCTION("GOOGLETRANSLATE(B34638,""en"",""pt"")"),"Vercelli")</f>
        <v>Vercelli</v>
      </c>
      <c r="B3076" s="17" t="s">
        <v>15564</v>
      </c>
      <c r="C3076" s="17" t="s">
        <v>14891</v>
      </c>
      <c r="D3076" s="17" t="s">
        <v>14911</v>
      </c>
      <c r="E3076" s="10">
        <v>3164565</v>
      </c>
      <c r="F3076" s="4" t="str">
        <f>IF(B3076=B3075,"",B3076)</f>
        <v/>
      </c>
    </row>
    <row r="3077" spans="1:6" ht="15.75" customHeight="1">
      <c r="A3077" s="6" t="s">
        <v>15563</v>
      </c>
      <c r="B3077" s="6" t="s">
        <v>15563</v>
      </c>
      <c r="C3077" s="6" t="s">
        <v>14891</v>
      </c>
      <c r="D3077" s="6" t="s">
        <v>14911</v>
      </c>
      <c r="E3077" s="2">
        <v>6457398</v>
      </c>
      <c r="F3077" s="4" t="str">
        <f>IF(B3077=B3076,"",B3077)</f>
        <v>Verbania</v>
      </c>
    </row>
    <row r="3078" spans="1:6" ht="15.75" customHeight="1">
      <c r="A3078" s="5" t="str">
        <f ca="1">IFERROR(__xludf.DUMMYFUNCTION("GOOGLETRANSLATE(B35084,""en"",""pt"")"),"Verbania")</f>
        <v>Verbania</v>
      </c>
      <c r="B3078" s="17" t="s">
        <v>15563</v>
      </c>
      <c r="C3078" s="17" t="s">
        <v>14891</v>
      </c>
      <c r="D3078" s="17" t="s">
        <v>14911</v>
      </c>
      <c r="E3078" s="10">
        <v>6457398</v>
      </c>
      <c r="F3078" s="4" t="str">
        <f>IF(B3078=B3077,"",B3078)</f>
        <v/>
      </c>
    </row>
    <row r="3079" spans="1:6" ht="15.75" customHeight="1">
      <c r="A3079" s="5" t="str">
        <f ca="1">IFERROR(__xludf.DUMMYFUNCTION("GOOGLETRANSLATE(B31883,""en"",""pt"")"),"Verāval")</f>
        <v>Verāval</v>
      </c>
      <c r="B3079" s="17" t="s">
        <v>32963</v>
      </c>
      <c r="C3079" s="17" t="s">
        <v>10178</v>
      </c>
      <c r="D3079" s="17" t="s">
        <v>10209</v>
      </c>
      <c r="E3079" s="10">
        <v>1253237</v>
      </c>
      <c r="F3079" s="4" t="str">
        <f>IF(B3079=B3078,"",B3079)</f>
        <v>Verāval</v>
      </c>
    </row>
    <row r="3080" spans="1:6" ht="15.75" customHeight="1">
      <c r="A3080" s="5" t="str">
        <f ca="1">IFERROR(__xludf.DUMMYFUNCTION("GOOGLETRANSLATE(B24442,""en"",""pt"")"),"Veranópolis")</f>
        <v>Veranópolis</v>
      </c>
      <c r="B3080" s="17" t="s">
        <v>31428</v>
      </c>
      <c r="C3080" s="17" t="s">
        <v>1905</v>
      </c>
      <c r="D3080" s="17" t="s">
        <v>1951</v>
      </c>
      <c r="E3080" s="10">
        <v>3445299</v>
      </c>
      <c r="F3080" s="4" t="str">
        <f>IF(B3080=B3079,"",B3080)</f>
        <v>Veranópolis</v>
      </c>
    </row>
    <row r="3081" spans="1:6" ht="15.75" customHeight="1">
      <c r="A3081" s="5" t="s">
        <v>3653</v>
      </c>
      <c r="B3081" s="6" t="s">
        <v>3654</v>
      </c>
      <c r="C3081" s="5" t="s">
        <v>1905</v>
      </c>
      <c r="D3081" s="5" t="s">
        <v>1951</v>
      </c>
      <c r="E3081" s="2">
        <v>3445299</v>
      </c>
      <c r="F3081" s="4" t="str">
        <f>IF(B3081=B3080,"",B3081)</f>
        <v>VeranÃ³polis</v>
      </c>
    </row>
    <row r="3082" spans="1:6" ht="15.75" customHeight="1">
      <c r="A3082" s="6" t="s">
        <v>17708</v>
      </c>
      <c r="B3082" s="6" t="s">
        <v>17708</v>
      </c>
      <c r="C3082" s="6" t="s">
        <v>17707</v>
      </c>
      <c r="D3082" s="6" t="s">
        <v>17708</v>
      </c>
      <c r="E3082" s="2">
        <v>3514783</v>
      </c>
      <c r="F3082" s="4" t="str">
        <f>IF(B3082=B3081,"",B3082)</f>
        <v>Veracruz</v>
      </c>
    </row>
    <row r="3083" spans="1:6" ht="15.75" customHeight="1">
      <c r="A3083" s="6" t="s">
        <v>17708</v>
      </c>
      <c r="B3083" s="6" t="s">
        <v>17708</v>
      </c>
      <c r="C3083" s="6" t="s">
        <v>20370</v>
      </c>
      <c r="D3083" s="6" t="s">
        <v>20374</v>
      </c>
      <c r="E3083" s="2">
        <v>3700164</v>
      </c>
      <c r="F3083" s="4" t="str">
        <f>IF(B3083=B3082,"",B3083)</f>
        <v/>
      </c>
    </row>
    <row r="3084" spans="1:6" ht="15.75" customHeight="1">
      <c r="A3084" s="5" t="str">
        <f ca="1">IFERROR(__xludf.DUMMYFUNCTION("GOOGLETRANSLATE(B36861,""en"",""pt"")"),"Veracruz")</f>
        <v>Veracruz</v>
      </c>
      <c r="B3084" s="17" t="s">
        <v>17708</v>
      </c>
      <c r="C3084" s="17" t="s">
        <v>17707</v>
      </c>
      <c r="D3084" s="17" t="s">
        <v>17708</v>
      </c>
      <c r="E3084" s="10">
        <v>3514783</v>
      </c>
      <c r="F3084" s="4" t="str">
        <f>IF(B3084=B3083,"",B3084)</f>
        <v/>
      </c>
    </row>
    <row r="3085" spans="1:6" ht="15.75" customHeight="1">
      <c r="A3085" s="5" t="str">
        <f ca="1">IFERROR(__xludf.DUMMYFUNCTION("GOOGLETRANSLATE(B38278,""en"",""pt"")"),"Veracruz")</f>
        <v>Veracruz</v>
      </c>
      <c r="B3085" s="17" t="s">
        <v>17708</v>
      </c>
      <c r="C3085" s="17" t="s">
        <v>20370</v>
      </c>
      <c r="D3085" s="17" t="s">
        <v>20397</v>
      </c>
      <c r="E3085" s="10">
        <v>3700164</v>
      </c>
      <c r="F3085" s="4" t="str">
        <f>IF(B3085=B3084,"",B3085)</f>
        <v/>
      </c>
    </row>
    <row r="3086" spans="1:6" ht="15.75" customHeight="1">
      <c r="A3086" s="6" t="s">
        <v>13719</v>
      </c>
      <c r="B3086" s="6" t="s">
        <v>13720</v>
      </c>
      <c r="C3086" s="6" t="s">
        <v>10178</v>
      </c>
      <c r="D3086" s="6" t="s">
        <v>10209</v>
      </c>
      <c r="E3086" s="2">
        <v>1253237</v>
      </c>
      <c r="F3086" s="4" t="str">
        <f>IF(B3086=B3085,"",B3086)</f>
        <v>VerÄval</v>
      </c>
    </row>
    <row r="3087" spans="1:6" ht="15.75" customHeight="1">
      <c r="A3087" s="6" t="s">
        <v>3652</v>
      </c>
      <c r="B3087" s="6" t="s">
        <v>3652</v>
      </c>
      <c r="C3087" s="6" t="s">
        <v>1905</v>
      </c>
      <c r="D3087" s="6" t="s">
        <v>1947</v>
      </c>
      <c r="E3087" s="2">
        <v>3445307</v>
      </c>
      <c r="F3087" s="4" t="str">
        <f>IF(B3087=B3086,"",B3087)</f>
        <v>Vera Cruz</v>
      </c>
    </row>
    <row r="3088" spans="1:6" ht="15.75" customHeight="1">
      <c r="A3088" s="5" t="str">
        <f ca="1">IFERROR(__xludf.DUMMYFUNCTION("GOOGLETRANSLATE(B24443,""en"",""pt"")"),"Vera Cruz")</f>
        <v>Vera Cruz</v>
      </c>
      <c r="B3088" s="17" t="s">
        <v>3652</v>
      </c>
      <c r="C3088" s="17" t="s">
        <v>1905</v>
      </c>
      <c r="D3088" s="17" t="s">
        <v>1947</v>
      </c>
      <c r="E3088" s="10">
        <v>3445307</v>
      </c>
      <c r="F3088" s="4" t="str">
        <f>IF(B3088=B3087,"",B3088)</f>
        <v/>
      </c>
    </row>
    <row r="3089" spans="1:6" ht="15.75" customHeight="1">
      <c r="A3089" s="6" t="s">
        <v>826</v>
      </c>
      <c r="B3089" s="6" t="s">
        <v>826</v>
      </c>
      <c r="C3089" s="6" t="s">
        <v>558</v>
      </c>
      <c r="D3089" s="6" t="s">
        <v>579</v>
      </c>
      <c r="E3089" s="2">
        <v>3833027</v>
      </c>
      <c r="F3089" s="4" t="str">
        <f>IF(B3089=B3088,"",B3089)</f>
        <v>Vera</v>
      </c>
    </row>
    <row r="3090" spans="1:6" ht="15.75" customHeight="1">
      <c r="A3090" s="5" t="str">
        <f ca="1">IFERROR(__xludf.DUMMYFUNCTION("GOOGLETRANSLATE(B23245,""en"",""pt"")"),"Vera")</f>
        <v>Vera</v>
      </c>
      <c r="B3090" s="17" t="s">
        <v>826</v>
      </c>
      <c r="C3090" s="17" t="s">
        <v>558</v>
      </c>
      <c r="D3090" s="17" t="s">
        <v>579</v>
      </c>
      <c r="E3090" s="10">
        <v>3833027</v>
      </c>
      <c r="F3090" s="4" t="str">
        <f>IF(B3090=B3089,"",B3090)</f>
        <v/>
      </c>
    </row>
    <row r="3091" spans="1:6" ht="15.75" customHeight="1">
      <c r="A3091" s="5" t="s">
        <v>13718</v>
      </c>
      <c r="B3091" s="6" t="s">
        <v>13718</v>
      </c>
      <c r="C3091" s="5" t="s">
        <v>10178</v>
      </c>
      <c r="D3091" s="5" t="s">
        <v>10190</v>
      </c>
      <c r="E3091" s="2">
        <v>1253242</v>
      </c>
      <c r="F3091" s="4" t="str">
        <f>IF(B3091=B3090,"",B3091)</f>
        <v>Vepagunta</v>
      </c>
    </row>
    <row r="3092" spans="1:6" ht="15.75" customHeight="1">
      <c r="A3092" s="5" t="str">
        <f ca="1">IFERROR(__xludf.DUMMYFUNCTION("GOOGLETRANSLATE(B31884,""en"",""pt"")"),"Vepagunta")</f>
        <v>Vepagunta</v>
      </c>
      <c r="B3092" s="17" t="s">
        <v>13718</v>
      </c>
      <c r="C3092" s="17" t="s">
        <v>10178</v>
      </c>
      <c r="D3092" s="17" t="s">
        <v>10190</v>
      </c>
      <c r="E3092" s="10">
        <v>1253242</v>
      </c>
      <c r="F3092" s="4" t="str">
        <f>IF(B3092=B3091,"",B3092)</f>
        <v/>
      </c>
    </row>
    <row r="3093" spans="1:6" ht="15.75" customHeight="1">
      <c r="A3093" s="5" t="s">
        <v>18402</v>
      </c>
      <c r="B3093" s="6" t="s">
        <v>18402</v>
      </c>
      <c r="C3093" s="5" t="s">
        <v>17707</v>
      </c>
      <c r="D3093" s="5" t="s">
        <v>17770</v>
      </c>
      <c r="E3093" s="2">
        <v>3514785</v>
      </c>
      <c r="F3093" s="4" t="str">
        <f>IF(B3093=B3092,"",B3093)</f>
        <v>Venustiano Carranza</v>
      </c>
    </row>
    <row r="3094" spans="1:6" ht="15.75" customHeight="1">
      <c r="A3094" s="5" t="s">
        <v>18402</v>
      </c>
      <c r="B3094" s="6" t="s">
        <v>18402</v>
      </c>
      <c r="C3094" s="5" t="s">
        <v>17707</v>
      </c>
      <c r="D3094" s="5" t="s">
        <v>17711</v>
      </c>
      <c r="E3094" s="2">
        <v>3827407</v>
      </c>
      <c r="F3094" s="4" t="str">
        <f>IF(B3094=B3093,"",B3094)</f>
        <v/>
      </c>
    </row>
    <row r="3095" spans="1:6" ht="15.75" customHeight="1">
      <c r="A3095" s="5" t="str">
        <f ca="1">IFERROR(__xludf.DUMMYFUNCTION("GOOGLETRANSLATE(B36862,""en"",""pt"")"),"Venustiano Carranza")</f>
        <v>Venustiano Carranza</v>
      </c>
      <c r="B3095" s="17" t="s">
        <v>18402</v>
      </c>
      <c r="C3095" s="17" t="s">
        <v>17707</v>
      </c>
      <c r="D3095" s="17" t="s">
        <v>17770</v>
      </c>
      <c r="E3095" s="10">
        <v>3514785</v>
      </c>
      <c r="F3095" s="4" t="str">
        <f>IF(B3095=B3094,"",B3095)</f>
        <v/>
      </c>
    </row>
    <row r="3096" spans="1:6" ht="15.75" customHeight="1">
      <c r="A3096" s="5" t="str">
        <f ca="1">IFERROR(__xludf.DUMMYFUNCTION("GOOGLETRANSLATE(B37128,""en"",""pt"")"),"Venustiano Carranza")</f>
        <v>Venustiano Carranza</v>
      </c>
      <c r="B3096" s="17" t="s">
        <v>18402</v>
      </c>
      <c r="C3096" s="17" t="s">
        <v>17707</v>
      </c>
      <c r="D3096" s="17" t="s">
        <v>17711</v>
      </c>
      <c r="E3096" s="10">
        <v>3827407</v>
      </c>
      <c r="F3096" s="4" t="str">
        <f>IF(B3096=B3095,"",B3096)</f>
        <v/>
      </c>
    </row>
    <row r="3097" spans="1:6" ht="15.75" customHeight="1">
      <c r="A3097" s="6" t="s">
        <v>17006</v>
      </c>
      <c r="B3097" s="6" t="s">
        <v>17006</v>
      </c>
      <c r="C3097" s="6" t="s">
        <v>16982</v>
      </c>
      <c r="D3097" s="6" t="s">
        <v>17006</v>
      </c>
      <c r="E3097" s="2">
        <v>454310</v>
      </c>
      <c r="F3097" s="4" t="str">
        <f>IF(B3097=B3096,"",B3097)</f>
        <v>Ventspils</v>
      </c>
    </row>
    <row r="3098" spans="1:6" ht="15.75" customHeight="1">
      <c r="A3098" s="5" t="str">
        <f ca="1">IFERROR(__xludf.DUMMYFUNCTION("GOOGLETRANSLATE(B36399,""en"",""pt"")"),"Ventspils")</f>
        <v>Ventspils</v>
      </c>
      <c r="B3098" s="17" t="s">
        <v>17006</v>
      </c>
      <c r="C3098" s="17" t="s">
        <v>16982</v>
      </c>
      <c r="D3098" s="17" t="s">
        <v>17006</v>
      </c>
      <c r="E3098" s="10">
        <v>454310</v>
      </c>
      <c r="F3098" s="4" t="str">
        <f>IF(B3098=B3097,"",B3098)</f>
        <v/>
      </c>
    </row>
    <row r="3099" spans="1:6" ht="15.75" customHeight="1">
      <c r="A3099" s="5" t="s">
        <v>15562</v>
      </c>
      <c r="B3099" s="6" t="s">
        <v>15562</v>
      </c>
      <c r="C3099" s="5" t="s">
        <v>14891</v>
      </c>
      <c r="D3099" s="5" t="s">
        <v>14920</v>
      </c>
      <c r="E3099" s="2">
        <v>3164582</v>
      </c>
      <c r="F3099" s="4" t="str">
        <f>IF(B3099=B3098,"",B3099)</f>
        <v>Ventimiglia</v>
      </c>
    </row>
    <row r="3100" spans="1:6" ht="15.75" customHeight="1">
      <c r="A3100" s="5" t="str">
        <f ca="1">IFERROR(__xludf.DUMMYFUNCTION("GOOGLETRANSLATE(B34639,""en"",""pt"")"),"Ventimiglia")</f>
        <v>Ventimiglia</v>
      </c>
      <c r="B3100" s="17" t="s">
        <v>15562</v>
      </c>
      <c r="C3100" s="17" t="s">
        <v>14891</v>
      </c>
      <c r="D3100" s="17" t="s">
        <v>14920</v>
      </c>
      <c r="E3100" s="10">
        <v>3164582</v>
      </c>
      <c r="F3100" s="4" t="str">
        <f>IF(B3100=B3099,"",B3100)</f>
        <v/>
      </c>
    </row>
    <row r="3101" spans="1:6" ht="15.75" customHeight="1">
      <c r="A3101" s="6" t="s">
        <v>6488</v>
      </c>
      <c r="B3101" s="6" t="s">
        <v>6488</v>
      </c>
      <c r="C3101" s="6" t="s">
        <v>6398</v>
      </c>
      <c r="D3101" s="6" t="s">
        <v>4411</v>
      </c>
      <c r="E3101" s="2">
        <v>3650267</v>
      </c>
      <c r="F3101" s="4" t="str">
        <f>IF(B3101=B3100,"",B3101)</f>
        <v>Ventanas</v>
      </c>
    </row>
    <row r="3102" spans="1:6" ht="15.75" customHeight="1">
      <c r="A3102" s="5" t="str">
        <f ca="1">IFERROR(__xludf.DUMMYFUNCTION("GOOGLETRANSLATE(B28749,""en"",""pt"")"),"Ventanas")</f>
        <v>Ventanas</v>
      </c>
      <c r="B3102" s="17" t="s">
        <v>6488</v>
      </c>
      <c r="C3102" s="17" t="s">
        <v>6398</v>
      </c>
      <c r="D3102" s="17" t="s">
        <v>31795</v>
      </c>
      <c r="E3102" s="10">
        <v>3650267</v>
      </c>
      <c r="F3102" s="4" t="str">
        <f>IF(B3102=B3101,"",B3102)</f>
        <v/>
      </c>
    </row>
    <row r="3103" spans="1:6" ht="15.75" customHeight="1">
      <c r="A3103" s="6" t="s">
        <v>19118</v>
      </c>
      <c r="B3103" s="6" t="s">
        <v>19119</v>
      </c>
      <c r="C3103" s="6" t="s">
        <v>18862</v>
      </c>
      <c r="D3103" s="6" t="s">
        <v>18893</v>
      </c>
      <c r="E3103" s="2">
        <v>2745634</v>
      </c>
      <c r="F3103" s="4" t="str">
        <f>IF(B3103=B3102,"",B3103)</f>
        <v>Venray</v>
      </c>
    </row>
    <row r="3104" spans="1:6" ht="15.75" customHeight="1">
      <c r="A3104" s="5" t="str">
        <f ca="1">IFERROR(__xludf.DUMMYFUNCTION("GOOGLETRANSLATE(B37925,""en"",""pt"")"),"VenRay")</f>
        <v>VenRay</v>
      </c>
      <c r="B3104" s="17" t="s">
        <v>19119</v>
      </c>
      <c r="C3104" s="17" t="s">
        <v>18862</v>
      </c>
      <c r="D3104" s="17" t="s">
        <v>18893</v>
      </c>
      <c r="E3104" s="10">
        <v>2745634</v>
      </c>
      <c r="F3104" s="4" t="str">
        <f>IF(B3104=B3103,"",B3104)</f>
        <v/>
      </c>
    </row>
    <row r="3105" spans="1:6" ht="15.75" customHeight="1">
      <c r="A3105" s="6" t="s">
        <v>19117</v>
      </c>
      <c r="B3105" s="6" t="s">
        <v>19117</v>
      </c>
      <c r="C3105" s="6" t="s">
        <v>18862</v>
      </c>
      <c r="D3105" s="6" t="s">
        <v>18893</v>
      </c>
      <c r="E3105" s="2">
        <v>2745641</v>
      </c>
      <c r="F3105" s="4" t="str">
        <f>IF(B3105=B3104,"",B3105)</f>
        <v>Venlo</v>
      </c>
    </row>
    <row r="3106" spans="1:6" ht="15.75" customHeight="1">
      <c r="A3106" s="5" t="str">
        <f ca="1">IFERROR(__xludf.DUMMYFUNCTION("GOOGLETRANSLATE(B37926,""en"",""pt"")"),"Venlo")</f>
        <v>Venlo</v>
      </c>
      <c r="B3106" s="17" t="s">
        <v>19117</v>
      </c>
      <c r="C3106" s="17" t="s">
        <v>18862</v>
      </c>
      <c r="D3106" s="17" t="s">
        <v>18893</v>
      </c>
      <c r="E3106" s="10">
        <v>2745641</v>
      </c>
      <c r="F3106" s="4" t="str">
        <f>IF(B3106=B3105,"",B3106)</f>
        <v/>
      </c>
    </row>
    <row r="3107" spans="1:6" ht="15.75" customHeight="1">
      <c r="A3107" s="5" t="s">
        <v>13717</v>
      </c>
      <c r="B3107" s="6" t="s">
        <v>13717</v>
      </c>
      <c r="C3107" s="5" t="s">
        <v>10178</v>
      </c>
      <c r="D3107" s="5" t="s">
        <v>10190</v>
      </c>
      <c r="E3107" s="2">
        <v>1253251</v>
      </c>
      <c r="F3107" s="4" t="str">
        <f>IF(B3107=B3106,"",B3107)</f>
        <v>Venkatagiri</v>
      </c>
    </row>
    <row r="3108" spans="1:6" ht="15.75" customHeight="1">
      <c r="A3108" s="5" t="str">
        <f ca="1">IFERROR(__xludf.DUMMYFUNCTION("GOOGLETRANSLATE(B31885,""en"",""pt"")"),"Venkatagiri")</f>
        <v>Venkatagiri</v>
      </c>
      <c r="B3108" s="17" t="s">
        <v>13717</v>
      </c>
      <c r="C3108" s="17" t="s">
        <v>10178</v>
      </c>
      <c r="D3108" s="17" t="s">
        <v>10190</v>
      </c>
      <c r="E3108" s="10">
        <v>1253251</v>
      </c>
      <c r="F3108" s="4" t="str">
        <f>IF(B3108=B3107,"",B3108)</f>
        <v/>
      </c>
    </row>
    <row r="3109" spans="1:6" ht="15.75" customHeight="1">
      <c r="A3109" s="5" t="str">
        <f ca="1">IFERROR(__xludf.DUMMYFUNCTION("GOOGLETRANSLATE(B29710,""en"",""pt"")"),"Vénissieux")</f>
        <v>Vénissieux</v>
      </c>
      <c r="B3109" s="17" t="s">
        <v>32542</v>
      </c>
      <c r="C3109" s="17" t="s">
        <v>7052</v>
      </c>
      <c r="D3109" s="17" t="s">
        <v>32532</v>
      </c>
      <c r="E3109" s="10">
        <v>2970072</v>
      </c>
      <c r="F3109" s="4" t="str">
        <f>IF(B3109=B3108,"",B3109)</f>
        <v>Vénissieux</v>
      </c>
    </row>
    <row r="3110" spans="1:6" ht="15.75" customHeight="1">
      <c r="A3110" s="6" t="s">
        <v>6396</v>
      </c>
      <c r="B3110" s="6" t="s">
        <v>6396</v>
      </c>
      <c r="C3110" s="6" t="s">
        <v>6380</v>
      </c>
      <c r="D3110" s="6" t="s">
        <v>6381</v>
      </c>
      <c r="E3110" s="2">
        <v>1943235</v>
      </c>
      <c r="F3110" s="4" t="str">
        <f>IF(B3110=B3109,"",B3110)</f>
        <v>Venilale</v>
      </c>
    </row>
    <row r="3111" spans="1:6" ht="15.75" customHeight="1">
      <c r="A3111" s="5" t="str">
        <f ca="1">IFERROR(__xludf.DUMMYFUNCTION("GOOGLETRANSLATE(B41765,""en"",""pt"")"),"Venilale")</f>
        <v>Venilale</v>
      </c>
      <c r="B3111" s="17" t="s">
        <v>6396</v>
      </c>
      <c r="C3111" s="17" t="s">
        <v>6380</v>
      </c>
      <c r="D3111" s="17" t="s">
        <v>6381</v>
      </c>
      <c r="E3111" s="10">
        <v>1943235</v>
      </c>
      <c r="F3111" s="4" t="str">
        <f>IF(B3111=B3110,"",B3111)</f>
        <v/>
      </c>
    </row>
    <row r="3112" spans="1:6" ht="15.75" customHeight="1">
      <c r="A3112" s="6" t="s">
        <v>15560</v>
      </c>
      <c r="B3112" s="6" t="s">
        <v>15561</v>
      </c>
      <c r="C3112" s="6" t="s">
        <v>14891</v>
      </c>
      <c r="D3112" s="6" t="s">
        <v>14892</v>
      </c>
      <c r="E3112" s="2">
        <v>3164603</v>
      </c>
      <c r="F3112" s="4" t="str">
        <f>IF(B3112=B3111,"",B3112)</f>
        <v>Venice</v>
      </c>
    </row>
    <row r="3113" spans="1:6" ht="15.75" customHeight="1">
      <c r="A3113" s="6" t="s">
        <v>15560</v>
      </c>
      <c r="B3113" s="6" t="s">
        <v>15561</v>
      </c>
      <c r="C3113" s="6" t="s">
        <v>27788</v>
      </c>
      <c r="D3113" s="6" t="s">
        <v>5468</v>
      </c>
      <c r="E3113" s="2">
        <v>4176380</v>
      </c>
      <c r="F3113" s="4" t="str">
        <f>IF(B3113=B3112,"",B3113)</f>
        <v/>
      </c>
    </row>
    <row r="3114" spans="1:6" ht="15.75" customHeight="1">
      <c r="A3114" s="5" t="str">
        <f ca="1">IFERROR(__xludf.DUMMYFUNCTION("GOOGLETRANSLATE(B34640,""en"",""pt"")"),"Veneza")</f>
        <v>Veneza</v>
      </c>
      <c r="B3114" s="17" t="s">
        <v>15561</v>
      </c>
      <c r="C3114" s="17" t="s">
        <v>14891</v>
      </c>
      <c r="D3114" s="17" t="s">
        <v>14892</v>
      </c>
      <c r="E3114" s="10">
        <v>3164603</v>
      </c>
      <c r="F3114" s="4" t="str">
        <f>IF(B3114=B3113,"",B3114)</f>
        <v/>
      </c>
    </row>
    <row r="3115" spans="1:6" ht="15.75" customHeight="1">
      <c r="A3115" s="5" t="str">
        <f ca="1">IFERROR(__xludf.DUMMYFUNCTION("GOOGLETRANSLATE(B43039,""en"",""pt"")"),"Veneza")</f>
        <v>Veneza</v>
      </c>
      <c r="B3115" s="17" t="s">
        <v>15561</v>
      </c>
      <c r="C3115" s="17" t="s">
        <v>27788</v>
      </c>
      <c r="D3115" s="17" t="s">
        <v>5468</v>
      </c>
      <c r="E3115" s="10">
        <v>4176380</v>
      </c>
      <c r="F3115" s="4" t="str">
        <f>IF(B3115=B3114,"",B3115)</f>
        <v/>
      </c>
    </row>
    <row r="3116" spans="1:6" ht="15.75" customHeight="1">
      <c r="A3116" s="5" t="s">
        <v>5923</v>
      </c>
      <c r="B3116" s="6" t="s">
        <v>5923</v>
      </c>
      <c r="C3116" s="5" t="s">
        <v>5764</v>
      </c>
      <c r="D3116" s="5" t="s">
        <v>5785</v>
      </c>
      <c r="E3116" s="2">
        <v>3534432</v>
      </c>
      <c r="F3116" s="4" t="str">
        <f>IF(B3116=B3115,"",B3116)</f>
        <v>Venezuela</v>
      </c>
    </row>
    <row r="3117" spans="1:6" ht="15.75" customHeight="1">
      <c r="A3117" s="5" t="str">
        <f ca="1">IFERROR(__xludf.DUMMYFUNCTION("GOOGLETRANSLATE(B27106,""en"",""pt"")"),"Venezuela")</f>
        <v>Venezuela</v>
      </c>
      <c r="B3117" s="17" t="s">
        <v>5923</v>
      </c>
      <c r="C3117" s="17" t="s">
        <v>5764</v>
      </c>
      <c r="D3117" s="17" t="s">
        <v>31905</v>
      </c>
      <c r="E3117" s="10">
        <v>3534432</v>
      </c>
      <c r="F3117" s="4" t="str">
        <f>IF(B3117=B3116,"",B3117)</f>
        <v/>
      </c>
    </row>
    <row r="3118" spans="1:6" ht="15.75" customHeight="1">
      <c r="A3118" s="5" t="str">
        <f ca="1">IFERROR(__xludf.DUMMYFUNCTION("GOOGLETRANSLATE(B39991,""en"",""pt"")"),"Venëv")</f>
        <v>Venëv</v>
      </c>
      <c r="B3118" s="17" t="s">
        <v>35438</v>
      </c>
      <c r="C3118" s="17" t="s">
        <v>22070</v>
      </c>
      <c r="D3118" s="17" t="s">
        <v>22122</v>
      </c>
      <c r="E3118" s="10">
        <v>475881</v>
      </c>
      <c r="F3118" s="4" t="str">
        <f>IF(B3118=B3117,"",B3118)</f>
        <v>Venëv</v>
      </c>
    </row>
    <row r="3119" spans="1:6" ht="15.75" customHeight="1">
      <c r="A3119" s="5" t="str">
        <f ca="1">IFERROR(__xludf.DUMMYFUNCTION("GOOGLETRANSLATE(B29711,""en"",""pt"")"),"Vendôme")</f>
        <v>Vendôme</v>
      </c>
      <c r="B3119" s="17" t="s">
        <v>32543</v>
      </c>
      <c r="C3119" s="17" t="s">
        <v>7052</v>
      </c>
      <c r="D3119" s="17" t="s">
        <v>3813</v>
      </c>
      <c r="E3119" s="10">
        <v>2970110</v>
      </c>
      <c r="F3119" s="4" t="str">
        <f>IF(B3119=B3118,"",B3119)</f>
        <v>Vendôme</v>
      </c>
    </row>
    <row r="3120" spans="1:6" ht="15.75" customHeight="1">
      <c r="A3120" s="6" t="s">
        <v>7885</v>
      </c>
      <c r="B3120" s="6" t="s">
        <v>7886</v>
      </c>
      <c r="C3120" s="6" t="s">
        <v>7052</v>
      </c>
      <c r="D3120" s="6" t="s">
        <v>3813</v>
      </c>
      <c r="E3120" s="2">
        <v>2970110</v>
      </c>
      <c r="F3120" s="4" t="str">
        <f>IF(B3120=B3119,"",B3120)</f>
        <v>VendÃ´me</v>
      </c>
    </row>
    <row r="3121" spans="1:6" ht="15.75" customHeight="1">
      <c r="A3121" s="5" t="s">
        <v>18401</v>
      </c>
      <c r="B3121" s="6" t="s">
        <v>18401</v>
      </c>
      <c r="C3121" s="5" t="s">
        <v>17707</v>
      </c>
      <c r="D3121" s="5" t="s">
        <v>17925</v>
      </c>
      <c r="E3121" s="2">
        <v>8858122</v>
      </c>
      <c r="F3121" s="4" t="str">
        <f>IF(B3121=B3120,"",B3121)</f>
        <v>Venceremos</v>
      </c>
    </row>
    <row r="3122" spans="1:6" ht="15.75" customHeight="1">
      <c r="A3122" s="5" t="str">
        <f ca="1">IFERROR(__xludf.DUMMYFUNCTION("GOOGLETRANSLATE(B37399,""en"",""pt"")"),"Venceremos")</f>
        <v>Venceremos</v>
      </c>
      <c r="B3122" s="17" t="s">
        <v>18401</v>
      </c>
      <c r="C3122" s="17" t="s">
        <v>17707</v>
      </c>
      <c r="D3122" s="17" t="s">
        <v>34667</v>
      </c>
      <c r="E3122" s="10">
        <v>8858122</v>
      </c>
      <c r="F3122" s="4" t="str">
        <f>IF(B3122=B3121,"",B3122)</f>
        <v/>
      </c>
    </row>
    <row r="3123" spans="1:6" ht="15.75" customHeight="1">
      <c r="A3123" s="6" t="s">
        <v>7884</v>
      </c>
      <c r="B3123" s="6" t="s">
        <v>7884</v>
      </c>
      <c r="C3123" s="6" t="s">
        <v>7052</v>
      </c>
      <c r="D3123" s="6" t="s">
        <v>7087</v>
      </c>
      <c r="E3123" s="2">
        <v>2970148</v>
      </c>
      <c r="F3123" s="4" t="str">
        <f>IF(B3123=B3122,"",B3123)</f>
        <v>Vence</v>
      </c>
    </row>
    <row r="3124" spans="1:6" ht="15.75" customHeight="1">
      <c r="A3124" s="5" t="str">
        <f ca="1">IFERROR(__xludf.DUMMYFUNCTION("GOOGLETRANSLATE(B29712,""en"",""pt"")"),"Vence")</f>
        <v>Vence</v>
      </c>
      <c r="B3124" s="17" t="s">
        <v>7884</v>
      </c>
      <c r="C3124" s="17" t="s">
        <v>7052</v>
      </c>
      <c r="D3124" s="17" t="s">
        <v>32534</v>
      </c>
      <c r="E3124" s="10">
        <v>2970148</v>
      </c>
      <c r="F3124" s="4" t="str">
        <f>IF(B3124=B3123,"",B3124)</f>
        <v/>
      </c>
    </row>
    <row r="3125" spans="1:6" ht="15.75" customHeight="1">
      <c r="A3125" s="5" t="s">
        <v>15559</v>
      </c>
      <c r="B3125" s="6" t="s">
        <v>15559</v>
      </c>
      <c r="C3125" s="5" t="s">
        <v>14891</v>
      </c>
      <c r="D3125" s="5" t="s">
        <v>14911</v>
      </c>
      <c r="E3125" s="2">
        <v>3164617</v>
      </c>
      <c r="F3125" s="4" t="str">
        <f>IF(B3125=B3124,"",B3125)</f>
        <v>Venaria Reale</v>
      </c>
    </row>
    <row r="3126" spans="1:6" ht="15.75" customHeight="1">
      <c r="A3126" s="5" t="str">
        <f ca="1">IFERROR(__xludf.DUMMYFUNCTION("GOOGLETRANSLATE(B34641,""en"",""pt"")"),"Venaria Reale")</f>
        <v>Venaria Reale</v>
      </c>
      <c r="B3126" s="17" t="s">
        <v>15559</v>
      </c>
      <c r="C3126" s="17" t="s">
        <v>14891</v>
      </c>
      <c r="D3126" s="17" t="s">
        <v>14911</v>
      </c>
      <c r="E3126" s="10">
        <v>3164617</v>
      </c>
      <c r="F3126" s="4" t="str">
        <f>IF(B3126=B3125,"",B3126)</f>
        <v/>
      </c>
    </row>
    <row r="3127" spans="1:6" ht="15.75" customHeight="1">
      <c r="A3127" s="5" t="str">
        <f ca="1">IFERROR(__xludf.DUMMYFUNCTION("GOOGLETRANSLATE(B24445,""en"",""pt"")"),"VENÂNCIO AIRES")</f>
        <v>VENÂNCIO AIRES</v>
      </c>
      <c r="B3127" s="17" t="s">
        <v>31429</v>
      </c>
      <c r="C3127" s="17" t="s">
        <v>1905</v>
      </c>
      <c r="D3127" s="17" t="s">
        <v>1951</v>
      </c>
      <c r="E3127" s="10">
        <v>3445350</v>
      </c>
      <c r="F3127" s="4" t="str">
        <f>IF(B3127=B3126,"",B3127)</f>
        <v>Venâncio Aires</v>
      </c>
    </row>
    <row r="3128" spans="1:6" ht="15.75" customHeight="1">
      <c r="A3128" s="5" t="s">
        <v>825</v>
      </c>
      <c r="B3128" s="6" t="s">
        <v>825</v>
      </c>
      <c r="C3128" s="5" t="s">
        <v>558</v>
      </c>
      <c r="D3128" s="5" t="s">
        <v>579</v>
      </c>
      <c r="E3128" s="2">
        <v>3833062</v>
      </c>
      <c r="F3128" s="4" t="str">
        <f>IF(B3128=B3127,"",B3128)</f>
        <v>Venado Tuerto</v>
      </c>
    </row>
    <row r="3129" spans="1:6" ht="15.75" customHeight="1">
      <c r="A3129" s="5" t="str">
        <f ca="1">IFERROR(__xludf.DUMMYFUNCTION("GOOGLETRANSLATE(B23246,""en"",""pt"")"),"Venado Tuerto")</f>
        <v>Venado Tuerto</v>
      </c>
      <c r="B3129" s="17" t="s">
        <v>825</v>
      </c>
      <c r="C3129" s="17" t="s">
        <v>558</v>
      </c>
      <c r="D3129" s="17" t="s">
        <v>579</v>
      </c>
      <c r="E3129" s="10">
        <v>3833062</v>
      </c>
      <c r="F3129" s="4" t="str">
        <f>IF(B3129=B3128,"",B3129)</f>
        <v/>
      </c>
    </row>
    <row r="3130" spans="1:6" ht="15.75" customHeight="1">
      <c r="A3130" s="6" t="s">
        <v>23275</v>
      </c>
      <c r="B3130" s="6" t="s">
        <v>23276</v>
      </c>
      <c r="C3130" s="6" t="s">
        <v>22070</v>
      </c>
      <c r="D3130" s="6" t="s">
        <v>22122</v>
      </c>
      <c r="E3130" s="2">
        <v>475881</v>
      </c>
      <c r="F3130" s="4" t="str">
        <f>IF(B3130=B3129,"",B3130)</f>
        <v>VenÃ«v</v>
      </c>
    </row>
    <row r="3131" spans="1:6" ht="15.75" customHeight="1">
      <c r="A3131" s="5" t="s">
        <v>3650</v>
      </c>
      <c r="B3131" s="6" t="s">
        <v>3651</v>
      </c>
      <c r="C3131" s="5" t="s">
        <v>1905</v>
      </c>
      <c r="D3131" s="5" t="s">
        <v>1951</v>
      </c>
      <c r="E3131" s="2">
        <v>3445350</v>
      </c>
      <c r="F3131" s="4" t="str">
        <f>IF(B3131=B3130,"",B3131)</f>
        <v>VenÃ¢ncio Aires</v>
      </c>
    </row>
    <row r="3132" spans="1:6" ht="15.75" customHeight="1">
      <c r="A3132" s="5" t="str">
        <f ca="1">IFERROR(__xludf.DUMMYFUNCTION("GOOGLETRANSLATE(B31886,""en"",""pt"")"),"Vemalwāda")</f>
        <v>Vemalwāda</v>
      </c>
      <c r="B3132" s="17" t="s">
        <v>32964</v>
      </c>
      <c r="C3132" s="17" t="s">
        <v>10178</v>
      </c>
      <c r="D3132" s="17" t="s">
        <v>10187</v>
      </c>
      <c r="E3132" s="10">
        <v>1253275</v>
      </c>
      <c r="F3132" s="4" t="str">
        <f>IF(B3132=B3131,"",B3132)</f>
        <v>Vemalwāda</v>
      </c>
    </row>
    <row r="3133" spans="1:6" ht="15.75" customHeight="1">
      <c r="A3133" s="5" t="s">
        <v>13715</v>
      </c>
      <c r="B3133" s="6" t="s">
        <v>13716</v>
      </c>
      <c r="C3133" s="5" t="s">
        <v>10178</v>
      </c>
      <c r="D3133" s="5" t="s">
        <v>10187</v>
      </c>
      <c r="E3133" s="2">
        <v>1253275</v>
      </c>
      <c r="F3133" s="4" t="str">
        <f>IF(B3133=B3132,"",B3133)</f>
        <v>VemalwÄda</v>
      </c>
    </row>
    <row r="3134" spans="1:6" ht="15.75" customHeight="1">
      <c r="A3134" s="6" t="s">
        <v>13714</v>
      </c>
      <c r="B3134" s="6" t="s">
        <v>13714</v>
      </c>
      <c r="C3134" s="6" t="s">
        <v>10178</v>
      </c>
      <c r="D3134" s="6" t="s">
        <v>10196</v>
      </c>
      <c r="E3134" s="2">
        <v>1253278</v>
      </c>
      <c r="F3134" s="4" t="str">
        <f>IF(B3134=B3133,"",B3134)</f>
        <v>Velur</v>
      </c>
    </row>
    <row r="3135" spans="1:6" ht="15.75" customHeight="1">
      <c r="A3135" s="5" t="str">
        <f ca="1">IFERROR(__xludf.DUMMYFUNCTION("GOOGLETRANSLATE(B31887,""en"",""pt"")"),"Velur")</f>
        <v>Velur</v>
      </c>
      <c r="B3135" s="17" t="s">
        <v>13714</v>
      </c>
      <c r="C3135" s="17" t="s">
        <v>10178</v>
      </c>
      <c r="D3135" s="17" t="s">
        <v>10196</v>
      </c>
      <c r="E3135" s="10">
        <v>1253278</v>
      </c>
      <c r="F3135" s="4" t="str">
        <f>IF(B3135=B3134,"",B3135)</f>
        <v/>
      </c>
    </row>
    <row r="3136" spans="1:6" ht="15.75" customHeight="1">
      <c r="A3136" s="5" t="s">
        <v>19116</v>
      </c>
      <c r="B3136" s="6" t="s">
        <v>19116</v>
      </c>
      <c r="C3136" s="5" t="s">
        <v>18862</v>
      </c>
      <c r="D3136" s="5" t="s">
        <v>18863</v>
      </c>
      <c r="E3136" s="2">
        <v>2745673</v>
      </c>
      <c r="F3136" s="4" t="str">
        <f>IF(B3136=B3135,"",B3136)</f>
        <v>Velsen-Zuid</v>
      </c>
    </row>
    <row r="3137" spans="1:6" ht="15.75" customHeight="1">
      <c r="A3137" s="5" t="str">
        <f ca="1">IFERROR(__xludf.DUMMYFUNCTION("GOOGLETRANSLATE(B37927,""en"",""pt"")"),"Velsen-Zuid")</f>
        <v>Velsen-Zuid</v>
      </c>
      <c r="B3137" s="17" t="s">
        <v>19116</v>
      </c>
      <c r="C3137" s="17" t="s">
        <v>18862</v>
      </c>
      <c r="D3137" s="17" t="s">
        <v>18863</v>
      </c>
      <c r="E3137" s="10">
        <v>2745673</v>
      </c>
      <c r="F3137" s="4" t="str">
        <f>IF(B3137=B3136,"",B3137)</f>
        <v/>
      </c>
    </row>
    <row r="3138" spans="1:6" ht="15.75" customHeight="1">
      <c r="A3138" s="6" t="s">
        <v>19115</v>
      </c>
      <c r="B3138" s="6" t="s">
        <v>19115</v>
      </c>
      <c r="C3138" s="6" t="s">
        <v>18862</v>
      </c>
      <c r="D3138" s="6" t="s">
        <v>18865</v>
      </c>
      <c r="E3138" s="2">
        <v>2745677</v>
      </c>
      <c r="F3138" s="4" t="str">
        <f>IF(B3138=B3137,"",B3138)</f>
        <v>Velp</v>
      </c>
    </row>
    <row r="3139" spans="1:6" ht="15.75" customHeight="1">
      <c r="A3139" s="5" t="str">
        <f ca="1">IFERROR(__xludf.DUMMYFUNCTION("GOOGLETRANSLATE(B37928,""en"",""pt"")"),"Velp")</f>
        <v>Velp</v>
      </c>
      <c r="B3139" s="17" t="s">
        <v>19115</v>
      </c>
      <c r="C3139" s="17" t="s">
        <v>18862</v>
      </c>
      <c r="D3139" s="17" t="s">
        <v>18865</v>
      </c>
      <c r="E3139" s="10">
        <v>2745677</v>
      </c>
      <c r="F3139" s="4" t="str">
        <f>IF(B3139=B3138,"",B3139)</f>
        <v/>
      </c>
    </row>
    <row r="3140" spans="1:6" ht="15.75" customHeight="1">
      <c r="A3140" s="6" t="s">
        <v>13713</v>
      </c>
      <c r="B3140" s="6" t="s">
        <v>13713</v>
      </c>
      <c r="C3140" s="6" t="s">
        <v>10178</v>
      </c>
      <c r="D3140" s="6" t="s">
        <v>10196</v>
      </c>
      <c r="E3140" s="2">
        <v>1253286</v>
      </c>
      <c r="F3140" s="4" t="str">
        <f>IF(B3140=B3139,"",B3140)</f>
        <v>Vellore</v>
      </c>
    </row>
    <row r="3141" spans="1:6" ht="15.75" customHeight="1">
      <c r="A3141" s="5" t="str">
        <f ca="1">IFERROR(__xludf.DUMMYFUNCTION("GOOGLETRANSLATE(B31888,""en"",""pt"")"),"Vellore")</f>
        <v>Vellore</v>
      </c>
      <c r="B3141" s="17" t="s">
        <v>13713</v>
      </c>
      <c r="C3141" s="17" t="s">
        <v>10178</v>
      </c>
      <c r="D3141" s="17" t="s">
        <v>10196</v>
      </c>
      <c r="E3141" s="10">
        <v>1253286</v>
      </c>
      <c r="F3141" s="4" t="str">
        <f>IF(B3141=B3140,"",B3141)</f>
        <v/>
      </c>
    </row>
    <row r="3142" spans="1:6" ht="15.75" customHeight="1">
      <c r="A3142" s="6" t="s">
        <v>9230</v>
      </c>
      <c r="B3142" s="6" t="s">
        <v>9230</v>
      </c>
      <c r="C3142" s="6" t="s">
        <v>8028</v>
      </c>
      <c r="D3142" s="6" t="s">
        <v>8050</v>
      </c>
      <c r="E3142" s="2">
        <v>3207197</v>
      </c>
      <c r="F3142" s="4" t="str">
        <f>IF(B3142=B3141,"",B3142)</f>
        <v>Vellmar</v>
      </c>
    </row>
    <row r="3143" spans="1:6" ht="15.75" customHeight="1">
      <c r="A3143" s="5" t="str">
        <f ca="1">IFERROR(__xludf.DUMMYFUNCTION("GOOGLETRANSLATE(B28354,""en"",""pt"")"),"Vellmar")</f>
        <v>Vellmar</v>
      </c>
      <c r="B3143" s="17" t="s">
        <v>9230</v>
      </c>
      <c r="C3143" s="17" t="s">
        <v>8028</v>
      </c>
      <c r="D3143" s="17" t="s">
        <v>8050</v>
      </c>
      <c r="E3143" s="10">
        <v>3207197</v>
      </c>
      <c r="F3143" s="4" t="str">
        <f>IF(B3143=B3142,"",B3143)</f>
        <v/>
      </c>
    </row>
    <row r="3144" spans="1:6" ht="15.75" customHeight="1">
      <c r="A3144" s="6" t="s">
        <v>15558</v>
      </c>
      <c r="B3144" s="6" t="s">
        <v>15558</v>
      </c>
      <c r="C3144" s="6" t="s">
        <v>14891</v>
      </c>
      <c r="D3144" s="6" t="s">
        <v>14904</v>
      </c>
      <c r="E3144" s="2">
        <v>3164630</v>
      </c>
      <c r="F3144" s="4" t="str">
        <f>IF(B3144=B3143,"",B3144)</f>
        <v>Velletri</v>
      </c>
    </row>
    <row r="3145" spans="1:6" ht="15.75" customHeight="1">
      <c r="A3145" s="5" t="str">
        <f ca="1">IFERROR(__xludf.DUMMYFUNCTION("GOOGLETRANSLATE(B34642,""en"",""pt"")"),"Velletri")</f>
        <v>Velletri</v>
      </c>
      <c r="B3145" s="17" t="s">
        <v>15558</v>
      </c>
      <c r="C3145" s="17" t="s">
        <v>14891</v>
      </c>
      <c r="D3145" s="17" t="s">
        <v>14904</v>
      </c>
      <c r="E3145" s="10">
        <v>3164630</v>
      </c>
      <c r="F3145" s="4" t="str">
        <f>IF(B3145=B3144,"",B3145)</f>
        <v/>
      </c>
    </row>
    <row r="3146" spans="1:6" ht="15.75" customHeight="1">
      <c r="A3146" s="5" t="str">
        <f ca="1">IFERROR(__xludf.DUMMYFUNCTION("GOOGLETRANSLATE(B29713,""en"",""pt"")"),"Vélizy-Villacoublay")</f>
        <v>Vélizy-Villacoublay</v>
      </c>
      <c r="B3146" s="17" t="s">
        <v>32544</v>
      </c>
      <c r="C3146" s="17" t="s">
        <v>7052</v>
      </c>
      <c r="D3146" s="17" t="s">
        <v>32531</v>
      </c>
      <c r="E3146" s="10">
        <v>2970203</v>
      </c>
      <c r="F3146" s="4" t="str">
        <f>IF(B3146=B3145,"",B3146)</f>
        <v>Vélizy-Villacoublay</v>
      </c>
    </row>
    <row r="3147" spans="1:6" ht="15.75" customHeight="1">
      <c r="A3147" s="6" t="s">
        <v>3762</v>
      </c>
      <c r="B3147" s="6" t="s">
        <v>3762</v>
      </c>
      <c r="C3147" s="6" t="s">
        <v>3701</v>
      </c>
      <c r="D3147" s="6" t="s">
        <v>3737</v>
      </c>
      <c r="E3147" s="2">
        <v>725988</v>
      </c>
      <c r="F3147" s="4" t="str">
        <f>IF(B3147=B3146,"",B3147)</f>
        <v>Velingrad</v>
      </c>
    </row>
    <row r="3148" spans="1:6" ht="15.75" customHeight="1">
      <c r="A3148" s="5" t="str">
        <f ca="1">IFERROR(__xludf.DUMMYFUNCTION("GOOGLETRANSLATE(B24010,""en"",""pt"")"),"Velingrad")</f>
        <v>Velingrad</v>
      </c>
      <c r="B3148" s="17" t="s">
        <v>3762</v>
      </c>
      <c r="C3148" s="17" t="s">
        <v>3701</v>
      </c>
      <c r="D3148" s="17" t="s">
        <v>3737</v>
      </c>
      <c r="E3148" s="10">
        <v>725988</v>
      </c>
      <c r="F3148" s="4" t="str">
        <f>IF(B3148=B3147,"",B3148)</f>
        <v/>
      </c>
    </row>
    <row r="3149" spans="1:6" ht="15.75" customHeight="1">
      <c r="A3149" s="5" t="str">
        <f ca="1">IFERROR(__xludf.DUMMYFUNCTION("GOOGLETRANSLATE(B41285,""en"",""pt"")"),"Vélingara")</f>
        <v>Vélingara</v>
      </c>
      <c r="B3149" s="17" t="s">
        <v>35702</v>
      </c>
      <c r="C3149" s="17" t="s">
        <v>23559</v>
      </c>
      <c r="D3149" s="17" t="s">
        <v>23574</v>
      </c>
      <c r="E3149" s="10">
        <v>2244177</v>
      </c>
      <c r="F3149" s="4" t="str">
        <f>IF(B3149=B3148,"",B3149)</f>
        <v>Vélingara</v>
      </c>
    </row>
    <row r="3150" spans="1:6" ht="15.75" customHeight="1">
      <c r="A3150" s="5" t="str">
        <f ca="1">IFERROR(__xludf.DUMMYFUNCTION("GOOGLETRANSLATE(B24011,""en"",""pt"")"),"Veliko Tŭrnovo")</f>
        <v>Veliko Tŭrnovo</v>
      </c>
      <c r="B3150" s="17" t="s">
        <v>31321</v>
      </c>
      <c r="C3150" s="17" t="s">
        <v>3701</v>
      </c>
      <c r="D3150" s="17" t="s">
        <v>31321</v>
      </c>
      <c r="E3150" s="10">
        <v>725993</v>
      </c>
      <c r="F3150" s="4" t="str">
        <f>IF(B3150=B3149,"",B3150)</f>
        <v>Veliko Tŭrnovo</v>
      </c>
    </row>
    <row r="3151" spans="1:6" ht="15.75" customHeight="1">
      <c r="A3151" s="5" t="s">
        <v>3761</v>
      </c>
      <c r="B3151" s="6" t="s">
        <v>3721</v>
      </c>
      <c r="C3151" s="5" t="s">
        <v>3701</v>
      </c>
      <c r="D3151" s="5" t="s">
        <v>3721</v>
      </c>
      <c r="E3151" s="2">
        <v>725993</v>
      </c>
      <c r="F3151" s="4" t="str">
        <f>IF(B3151=B3150,"",B3151)</f>
        <v>Veliko TÅ­rnovo</v>
      </c>
    </row>
    <row r="3152" spans="1:6" ht="15.75" customHeight="1">
      <c r="A3152" s="5" t="s">
        <v>23274</v>
      </c>
      <c r="B3152" s="6" t="s">
        <v>23274</v>
      </c>
      <c r="C3152" s="5" t="s">
        <v>22070</v>
      </c>
      <c r="D3152" s="5" t="s">
        <v>22800</v>
      </c>
      <c r="E3152" s="2">
        <v>476077</v>
      </c>
      <c r="F3152" s="4" t="str">
        <f>IF(B3152=B3151,"",B3152)</f>
        <v>Velikiye Luki</v>
      </c>
    </row>
    <row r="3153" spans="1:6" ht="15.75" customHeight="1">
      <c r="A3153" s="5" t="str">
        <f ca="1">IFERROR(__xludf.DUMMYFUNCTION("GOOGLETRANSLATE(B39994,""en"",""pt"")"),"Velikiye Luki")</f>
        <v>Velikiye Luki</v>
      </c>
      <c r="B3153" s="17" t="s">
        <v>23274</v>
      </c>
      <c r="C3153" s="17" t="s">
        <v>22070</v>
      </c>
      <c r="D3153" s="17" t="s">
        <v>22800</v>
      </c>
      <c r="E3153" s="10">
        <v>476077</v>
      </c>
      <c r="F3153" s="4" t="str">
        <f>IF(B3153=B3152,"",B3153)</f>
        <v/>
      </c>
    </row>
    <row r="3154" spans="1:6" ht="15.75" customHeight="1">
      <c r="A3154" s="5" t="s">
        <v>23273</v>
      </c>
      <c r="B3154" s="6" t="s">
        <v>23273</v>
      </c>
      <c r="C3154" s="5" t="s">
        <v>22070</v>
      </c>
      <c r="D3154" s="5" t="s">
        <v>22300</v>
      </c>
      <c r="E3154" s="2">
        <v>476062</v>
      </c>
      <c r="F3154" s="4" t="str">
        <f>IF(B3154=B3153,"",B3154)</f>
        <v>Velikiy Ustyug</v>
      </c>
    </row>
    <row r="3155" spans="1:6" ht="15.75" customHeight="1">
      <c r="A3155" s="5" t="str">
        <f ca="1">IFERROR(__xludf.DUMMYFUNCTION("GOOGLETRANSLATE(B39993,""en"",""pt"")"),"Velikiy Ustyug")</f>
        <v>Velikiy Ustyug</v>
      </c>
      <c r="B3155" s="17" t="s">
        <v>23273</v>
      </c>
      <c r="C3155" s="17" t="s">
        <v>22070</v>
      </c>
      <c r="D3155" s="17" t="s">
        <v>22300</v>
      </c>
      <c r="E3155" s="10">
        <v>476062</v>
      </c>
      <c r="F3155" s="4" t="str">
        <f>IF(B3155=B3154,"",B3155)</f>
        <v/>
      </c>
    </row>
    <row r="3156" spans="1:6" ht="15.75" customHeight="1">
      <c r="A3156" s="5" t="s">
        <v>23272</v>
      </c>
      <c r="B3156" s="6" t="s">
        <v>23272</v>
      </c>
      <c r="C3156" s="5" t="s">
        <v>22070</v>
      </c>
      <c r="D3156" s="5" t="s">
        <v>22263</v>
      </c>
      <c r="E3156" s="2">
        <v>519336</v>
      </c>
      <c r="F3156" s="4" t="str">
        <f>IF(B3156=B3155,"",B3156)</f>
        <v>Velikiy Novgorod</v>
      </c>
    </row>
    <row r="3157" spans="1:6" ht="15.75" customHeight="1">
      <c r="A3157" s="5" t="str">
        <f ca="1">IFERROR(__xludf.DUMMYFUNCTION("GOOGLETRANSLATE(B40271,""en"",""pt"")"),"Velikiy Novgorod")</f>
        <v>Velikiy Novgorod</v>
      </c>
      <c r="B3157" s="17" t="s">
        <v>23272</v>
      </c>
      <c r="C3157" s="17" t="s">
        <v>22070</v>
      </c>
      <c r="D3157" s="17" t="s">
        <v>22263</v>
      </c>
      <c r="E3157" s="10">
        <v>519336</v>
      </c>
      <c r="F3157" s="4" t="str">
        <f>IF(B3157=B3156,"",B3157)</f>
        <v/>
      </c>
    </row>
    <row r="3158" spans="1:6" ht="15.75" customHeight="1">
      <c r="A3158" s="5" t="str">
        <f ca="1">IFERROR(__xludf.DUMMYFUNCTION("GOOGLETRANSLATE(B23673,""en"",""pt"")"),"Velika Kladuša")</f>
        <v>Velika Kladuša</v>
      </c>
      <c r="B3158" s="17" t="s">
        <v>31249</v>
      </c>
      <c r="C3158" s="17" t="s">
        <v>1845</v>
      </c>
      <c r="D3158" s="17" t="s">
        <v>1849</v>
      </c>
      <c r="E3158" s="10">
        <v>3188225</v>
      </c>
      <c r="F3158" s="4" t="str">
        <f>IF(B3158=B3157,"",B3158)</f>
        <v>Velika Kladuša</v>
      </c>
    </row>
    <row r="3159" spans="1:6" ht="15.75" customHeight="1">
      <c r="A3159" s="5" t="s">
        <v>1872</v>
      </c>
      <c r="B3159" s="6" t="s">
        <v>1873</v>
      </c>
      <c r="C3159" s="5" t="s">
        <v>1845</v>
      </c>
      <c r="D3159" s="5" t="s">
        <v>1849</v>
      </c>
      <c r="E3159" s="2">
        <v>3188225</v>
      </c>
      <c r="F3159" s="4" t="str">
        <f>IF(B3159=B3158,"",B3159)</f>
        <v>Velika KladuÅ¡a</v>
      </c>
    </row>
    <row r="3160" spans="1:6" ht="15.75" customHeight="1">
      <c r="A3160" s="5" t="s">
        <v>5748</v>
      </c>
      <c r="B3160" s="6" t="s">
        <v>5748</v>
      </c>
      <c r="C3160" s="5" t="s">
        <v>5711</v>
      </c>
      <c r="D3160" s="5" t="s">
        <v>5734</v>
      </c>
      <c r="E3160" s="2">
        <v>3188244</v>
      </c>
      <c r="F3160" s="4" t="str">
        <f>IF(B3160=B3159,"",B3160)</f>
        <v>Velika Gorica</v>
      </c>
    </row>
    <row r="3161" spans="1:6" ht="15.75" customHeight="1">
      <c r="A3161" s="5" t="str">
        <f ca="1">IFERROR(__xludf.DUMMYFUNCTION("GOOGLETRANSLATE(B31193,""en"",""pt"")"),"Velika Gorica")</f>
        <v>Velika Gorica</v>
      </c>
      <c r="B3161" s="17" t="s">
        <v>5748</v>
      </c>
      <c r="C3161" s="17" t="s">
        <v>5711</v>
      </c>
      <c r="D3161" s="17" t="s">
        <v>32803</v>
      </c>
      <c r="E3161" s="10">
        <v>3188244</v>
      </c>
      <c r="F3161" s="4" t="str">
        <f>IF(B3161=B3160,"",B3161)</f>
        <v/>
      </c>
    </row>
    <row r="3162" spans="1:6" ht="15.75" customHeight="1">
      <c r="A3162" s="5" t="str">
        <f ca="1">IFERROR(__xludf.DUMMYFUNCTION("GOOGLETRANSLATE(B28959,""en"",""pt"")"),"Vélez-Málaga")</f>
        <v>Vélez-Málaga</v>
      </c>
      <c r="B3162" s="17" t="s">
        <v>32352</v>
      </c>
      <c r="C3162" s="17" t="s">
        <v>24200</v>
      </c>
      <c r="D3162" s="17" t="s">
        <v>24205</v>
      </c>
      <c r="E3162" s="10">
        <v>2509769</v>
      </c>
      <c r="F3162" s="4" t="str">
        <f>IF(B3162=B3161,"",B3162)</f>
        <v>Vélez-Málaga</v>
      </c>
    </row>
    <row r="3163" spans="1:6" ht="15.75" customHeight="1">
      <c r="A3163" s="6" t="s">
        <v>17288</v>
      </c>
      <c r="B3163" s="6" t="s">
        <v>17289</v>
      </c>
      <c r="C3163" s="6" t="s">
        <v>17221</v>
      </c>
      <c r="D3163" s="6" t="s">
        <v>17289</v>
      </c>
      <c r="E3163" s="2">
        <v>785058</v>
      </c>
      <c r="F3163" s="4" t="str">
        <f>IF(B3163=B3162,"",B3163)</f>
        <v>Veles</v>
      </c>
    </row>
    <row r="3164" spans="1:6" ht="15.75" customHeight="1">
      <c r="A3164" s="5" t="str">
        <f ca="1">IFERROR(__xludf.DUMMYFUNCTION("GOOGLETRANSLATE(B36643,""en"",""pt"")"),"Vels")</f>
        <v>Vels</v>
      </c>
      <c r="B3164" s="17" t="s">
        <v>17289</v>
      </c>
      <c r="C3164" s="17" t="s">
        <v>17221</v>
      </c>
      <c r="D3164" s="17" t="s">
        <v>17289</v>
      </c>
      <c r="E3164" s="10">
        <v>785058</v>
      </c>
      <c r="F3164" s="4" t="str">
        <f>IF(B3164=B3163,"",B3164)</f>
        <v/>
      </c>
    </row>
    <row r="3165" spans="1:6" ht="15.75" customHeight="1">
      <c r="A3165" s="6" t="s">
        <v>23795</v>
      </c>
      <c r="B3165" s="6" t="s">
        <v>23795</v>
      </c>
      <c r="C3165" s="6" t="s">
        <v>23786</v>
      </c>
      <c r="D3165" s="6" t="s">
        <v>23795</v>
      </c>
      <c r="E3165" s="2">
        <v>3189075</v>
      </c>
      <c r="F3165" s="4" t="str">
        <f>IF(B3165=B3164,"",B3165)</f>
        <v>Velenje</v>
      </c>
    </row>
    <row r="3166" spans="1:6" ht="15.75" customHeight="1">
      <c r="A3166" s="5" t="str">
        <f ca="1">IFERROR(__xludf.DUMMYFUNCTION("GOOGLETRANSLATE(B41212,""en"",""pt"")"),"Velenje")</f>
        <v>Velenje</v>
      </c>
      <c r="B3166" s="17" t="s">
        <v>23795</v>
      </c>
      <c r="C3166" s="17" t="s">
        <v>23786</v>
      </c>
      <c r="D3166" s="17" t="s">
        <v>23795</v>
      </c>
      <c r="E3166" s="10">
        <v>3189075</v>
      </c>
      <c r="F3166" s="4" t="str">
        <f>IF(B3166=B3165,"",B3166)</f>
        <v/>
      </c>
    </row>
    <row r="3167" spans="1:6" ht="15.75" customHeight="1">
      <c r="A3167" s="5" t="s">
        <v>19114</v>
      </c>
      <c r="B3167" s="6" t="s">
        <v>19114</v>
      </c>
      <c r="C3167" s="5" t="s">
        <v>18862</v>
      </c>
      <c r="D3167" s="5" t="s">
        <v>18888</v>
      </c>
      <c r="E3167" s="2">
        <v>2745706</v>
      </c>
      <c r="F3167" s="4" t="str">
        <f>IF(B3167=B3166,"",B3167)</f>
        <v>Veldhoven</v>
      </c>
    </row>
    <row r="3168" spans="1:6" ht="15.75" customHeight="1">
      <c r="A3168" s="5" t="str">
        <f ca="1">IFERROR(__xludf.DUMMYFUNCTION("GOOGLETRANSLATE(B37929,""en"",""pt"")"),"Veldhoven")</f>
        <v>Veldhoven</v>
      </c>
      <c r="B3168" s="17" t="s">
        <v>19114</v>
      </c>
      <c r="C3168" s="17" t="s">
        <v>18862</v>
      </c>
      <c r="D3168" s="17" t="s">
        <v>18888</v>
      </c>
      <c r="E3168" s="10">
        <v>2745706</v>
      </c>
      <c r="F3168" s="4" t="str">
        <f>IF(B3168=B3167,"",B3168)</f>
        <v/>
      </c>
    </row>
    <row r="3169" spans="1:6" ht="15.75" customHeight="1">
      <c r="A3169" s="6" t="s">
        <v>9229</v>
      </c>
      <c r="B3169" s="6" t="s">
        <v>9229</v>
      </c>
      <c r="C3169" s="6" t="s">
        <v>8028</v>
      </c>
      <c r="D3169" s="6" t="s">
        <v>8029</v>
      </c>
      <c r="E3169" s="2">
        <v>2817724</v>
      </c>
      <c r="F3169" s="4" t="str">
        <f>IF(B3169=B3168,"",B3169)</f>
        <v>Velbert</v>
      </c>
    </row>
    <row r="3170" spans="1:6" ht="15.75" customHeight="1">
      <c r="A3170" s="5" t="str">
        <f ca="1">IFERROR(__xludf.DUMMYFUNCTION("GOOGLETRANSLATE(B27451,""en"",""pt"")"),"Velbert")</f>
        <v>Velbert</v>
      </c>
      <c r="B3170" s="17" t="s">
        <v>9229</v>
      </c>
      <c r="C3170" s="17" t="s">
        <v>8028</v>
      </c>
      <c r="D3170" s="17" t="s">
        <v>8029</v>
      </c>
      <c r="E3170" s="10">
        <v>2817724</v>
      </c>
      <c r="F3170" s="4" t="str">
        <f>IF(B3170=B3169,"",B3170)</f>
        <v/>
      </c>
    </row>
    <row r="3171" spans="1:6" ht="15.75" customHeight="1">
      <c r="A3171" s="5" t="s">
        <v>6487</v>
      </c>
      <c r="B3171" s="6" t="s">
        <v>6487</v>
      </c>
      <c r="C3171" s="5" t="s">
        <v>6398</v>
      </c>
      <c r="D3171" s="5" t="s">
        <v>6410</v>
      </c>
      <c r="E3171" s="2">
        <v>3650273</v>
      </c>
      <c r="F3171" s="4" t="str">
        <f>IF(B3171=B3170,"",B3171)</f>
        <v>Velasco Ibarra</v>
      </c>
    </row>
    <row r="3172" spans="1:6" ht="15.75" customHeight="1">
      <c r="A3172" s="5" t="str">
        <f ca="1">IFERROR(__xludf.DUMMYFUNCTION("GOOGLETRANSLATE(B28750,""en"",""pt"")"),"Velasco Ibarra")</f>
        <v>Velasco Ibarra</v>
      </c>
      <c r="B3172" s="17" t="s">
        <v>6487</v>
      </c>
      <c r="C3172" s="17" t="s">
        <v>6398</v>
      </c>
      <c r="D3172" s="17" t="s">
        <v>6410</v>
      </c>
      <c r="E3172" s="10">
        <v>3650273</v>
      </c>
      <c r="F3172" s="4" t="str">
        <f>IF(B3172=B3171,"",B3172)</f>
        <v/>
      </c>
    </row>
    <row r="3173" spans="1:6" ht="15.75" customHeight="1">
      <c r="A3173" s="6" t="s">
        <v>23270</v>
      </c>
      <c r="B3173" s="6" t="s">
        <v>23271</v>
      </c>
      <c r="C3173" s="6" t="s">
        <v>22070</v>
      </c>
      <c r="D3173" s="6" t="s">
        <v>22151</v>
      </c>
      <c r="E3173" s="2">
        <v>475938</v>
      </c>
      <c r="F3173" s="4" t="str">
        <f>IF(B3173=B3172,"",B3173)</f>
        <v>Velâ€™sk</v>
      </c>
    </row>
    <row r="3174" spans="1:6" ht="15.75" customHeight="1">
      <c r="A3174" s="5" t="str">
        <f ca="1">IFERROR(__xludf.DUMMYFUNCTION("GOOGLETRANSLATE(B39992,""en"",""pt"")"),"Vel'Sk")</f>
        <v>Vel'Sk</v>
      </c>
      <c r="B3174" s="17" t="s">
        <v>35439</v>
      </c>
      <c r="C3174" s="17" t="s">
        <v>22070</v>
      </c>
      <c r="D3174" s="17" t="s">
        <v>22151</v>
      </c>
      <c r="E3174" s="10">
        <v>475938</v>
      </c>
      <c r="F3174" s="4" t="str">
        <f>IF(B3174=B3173,"",B3174)</f>
        <v>Vel’sk</v>
      </c>
    </row>
    <row r="3175" spans="1:6" ht="15.75" customHeight="1">
      <c r="A3175" s="6" t="s">
        <v>6288</v>
      </c>
      <c r="B3175" s="6" t="s">
        <v>6288</v>
      </c>
      <c r="C3175" s="6" t="s">
        <v>6209</v>
      </c>
      <c r="D3175" s="6" t="s">
        <v>6212</v>
      </c>
      <c r="E3175" s="2">
        <v>2610613</v>
      </c>
      <c r="F3175" s="4" t="str">
        <f>IF(B3175=B3174,"",B3175)</f>
        <v>Vejle</v>
      </c>
    </row>
    <row r="3176" spans="1:6" ht="15.75" customHeight="1">
      <c r="A3176" s="5" t="str">
        <f ca="1">IFERROR(__xludf.DUMMYFUNCTION("GOOGLETRANSLATE(B28403,""en"",""pt"")"),"Vejle")</f>
        <v>Vejle</v>
      </c>
      <c r="B3176" s="17" t="s">
        <v>6288</v>
      </c>
      <c r="C3176" s="17" t="s">
        <v>6209</v>
      </c>
      <c r="D3176" s="17" t="s">
        <v>6212</v>
      </c>
      <c r="E3176" s="10">
        <v>2610613</v>
      </c>
      <c r="F3176" s="4" t="str">
        <f>IF(B3176=B3175,"",B3176)</f>
        <v/>
      </c>
    </row>
    <row r="3177" spans="1:6" ht="15.75" customHeight="1">
      <c r="A3177" s="6" t="s">
        <v>13712</v>
      </c>
      <c r="B3177" s="6" t="s">
        <v>13712</v>
      </c>
      <c r="C3177" s="6" t="s">
        <v>10178</v>
      </c>
      <c r="D3177" s="6" t="s">
        <v>10209</v>
      </c>
      <c r="E3177" s="2">
        <v>1253315</v>
      </c>
      <c r="F3177" s="4" t="str">
        <f>IF(B3177=B3176,"",B3177)</f>
        <v>Vejalpur</v>
      </c>
    </row>
    <row r="3178" spans="1:6" ht="15.75" customHeight="1">
      <c r="A3178" s="5" t="str">
        <f ca="1">IFERROR(__xludf.DUMMYFUNCTION("GOOGLETRANSLATE(B31889,""en"",""pt"")"),"Vejalpur")</f>
        <v>Vejalpur</v>
      </c>
      <c r="B3178" s="17" t="s">
        <v>13712</v>
      </c>
      <c r="C3178" s="17" t="s">
        <v>10178</v>
      </c>
      <c r="D3178" s="17" t="s">
        <v>10209</v>
      </c>
      <c r="E3178" s="10">
        <v>1253315</v>
      </c>
      <c r="F3178" s="4" t="str">
        <f>IF(B3178=B3177,"",B3178)</f>
        <v/>
      </c>
    </row>
    <row r="3179" spans="1:6" ht="15.75" customHeight="1">
      <c r="A3179" s="5" t="s">
        <v>824</v>
      </c>
      <c r="B3179" s="6" t="s">
        <v>824</v>
      </c>
      <c r="C3179" s="5" t="s">
        <v>558</v>
      </c>
      <c r="D3179" s="5" t="s">
        <v>562</v>
      </c>
      <c r="E3179" s="2">
        <v>3833112</v>
      </c>
      <c r="F3179" s="4" t="str">
        <f>IF(B3179=B3178,"",B3179)</f>
        <v>Veinticinco de Mayo</v>
      </c>
    </row>
    <row r="3180" spans="1:6" ht="15.75" customHeight="1">
      <c r="A3180" s="5" t="str">
        <f ca="1">IFERROR(__xludf.DUMMYFUNCTION("GOOGLETRANSLATE(B23247,""en"",""pt"")"),"Veinticinco de Mayo")</f>
        <v>Veinticinco de Mayo</v>
      </c>
      <c r="B3180" s="17" t="s">
        <v>824</v>
      </c>
      <c r="C3180" s="17" t="s">
        <v>558</v>
      </c>
      <c r="D3180" s="17" t="s">
        <v>562</v>
      </c>
      <c r="E3180" s="10">
        <v>3833112</v>
      </c>
      <c r="F3180" s="4" t="str">
        <f>IF(B3180=B3179,"",B3180)</f>
        <v/>
      </c>
    </row>
    <row r="3181" spans="1:6" ht="15.75" customHeight="1">
      <c r="A3181" s="6" t="s">
        <v>19113</v>
      </c>
      <c r="B3181" s="6" t="s">
        <v>19113</v>
      </c>
      <c r="C3181" s="6" t="s">
        <v>18862</v>
      </c>
      <c r="D3181" s="6" t="s">
        <v>18888</v>
      </c>
      <c r="E3181" s="2">
        <v>2745726</v>
      </c>
      <c r="F3181" s="4" t="str">
        <f>IF(B3181=B3180,"",B3181)</f>
        <v>Veghel</v>
      </c>
    </row>
    <row r="3182" spans="1:6" ht="15.75" customHeight="1">
      <c r="A3182" s="5" t="str">
        <f ca="1">IFERROR(__xludf.DUMMYFUNCTION("GOOGLETRANSLATE(B37930,""en"",""pt"")"),"Veghel")</f>
        <v>Veghel</v>
      </c>
      <c r="B3182" s="17" t="s">
        <v>19113</v>
      </c>
      <c r="C3182" s="17" t="s">
        <v>18862</v>
      </c>
      <c r="D3182" s="17" t="s">
        <v>18888</v>
      </c>
      <c r="E3182" s="10">
        <v>2745726</v>
      </c>
      <c r="F3182" s="4" t="str">
        <f>IF(B3182=B3181,"",B3182)</f>
        <v/>
      </c>
    </row>
    <row r="3183" spans="1:6" ht="15.75" customHeight="1">
      <c r="A3183" s="6" t="s">
        <v>21774</v>
      </c>
      <c r="B3183" s="6" t="s">
        <v>21774</v>
      </c>
      <c r="C3183" s="6" t="s">
        <v>747</v>
      </c>
      <c r="D3183" s="6" t="s">
        <v>21774</v>
      </c>
      <c r="E3183" s="2">
        <v>4568533</v>
      </c>
      <c r="F3183" s="4" t="str">
        <f>IF(B3183=B3182,"",B3183)</f>
        <v>Vega Baja</v>
      </c>
    </row>
    <row r="3184" spans="1:6" ht="15.75" customHeight="1">
      <c r="A3184" s="5" t="str">
        <f ca="1">IFERROR(__xludf.DUMMYFUNCTION("GOOGLETRANSLATE(B39523,""en"",""pt"")"),"Vega Baja")</f>
        <v>Vega Baja</v>
      </c>
      <c r="B3184" s="17" t="s">
        <v>21774</v>
      </c>
      <c r="C3184" s="17" t="s">
        <v>747</v>
      </c>
      <c r="D3184" s="17" t="s">
        <v>21774</v>
      </c>
      <c r="E3184" s="10">
        <v>4568533</v>
      </c>
      <c r="F3184" s="4" t="str">
        <f>IF(B3184=B3183,"",B3184)</f>
        <v/>
      </c>
    </row>
    <row r="3185" spans="1:6" ht="15.75" customHeight="1">
      <c r="A3185" s="6" t="s">
        <v>19112</v>
      </c>
      <c r="B3185" s="6" t="s">
        <v>19112</v>
      </c>
      <c r="C3185" s="6" t="s">
        <v>18862</v>
      </c>
      <c r="D3185" s="6" t="s">
        <v>18913</v>
      </c>
      <c r="E3185" s="2">
        <v>2745739</v>
      </c>
      <c r="F3185" s="4" t="str">
        <f>IF(B3185=B3184,"",B3185)</f>
        <v>Veere</v>
      </c>
    </row>
    <row r="3186" spans="1:6" ht="15.75" customHeight="1">
      <c r="A3186" s="5" t="str">
        <f ca="1">IFERROR(__xludf.DUMMYFUNCTION("GOOGLETRANSLATE(B37931,""en"",""pt"")"),"Veere")</f>
        <v>Veere</v>
      </c>
      <c r="B3186" s="17" t="s">
        <v>19112</v>
      </c>
      <c r="C3186" s="17" t="s">
        <v>18862</v>
      </c>
      <c r="D3186" s="17" t="s">
        <v>18913</v>
      </c>
      <c r="E3186" s="10">
        <v>2745739</v>
      </c>
      <c r="F3186" s="4" t="str">
        <f>IF(B3186=B3185,"",B3186)</f>
        <v/>
      </c>
    </row>
    <row r="3187" spans="1:6" ht="15.75" customHeight="1">
      <c r="A3187" s="5" t="s">
        <v>19111</v>
      </c>
      <c r="B3187" s="6" t="s">
        <v>19111</v>
      </c>
      <c r="C3187" s="5" t="s">
        <v>18862</v>
      </c>
      <c r="D3187" s="5" t="s">
        <v>18877</v>
      </c>
      <c r="E3187" s="2">
        <v>2745774</v>
      </c>
      <c r="F3187" s="4" t="str">
        <f>IF(B3187=B3186,"",B3187)</f>
        <v>Veenendaal</v>
      </c>
    </row>
    <row r="3188" spans="1:6" ht="15.75" customHeight="1">
      <c r="A3188" s="5" t="str">
        <f ca="1">IFERROR(__xludf.DUMMYFUNCTION("GOOGLETRANSLATE(B37932,""en"",""pt"")"),"Veenendaal")</f>
        <v>Veenendaal</v>
      </c>
      <c r="B3188" s="17" t="s">
        <v>19111</v>
      </c>
      <c r="C3188" s="17" t="s">
        <v>18862</v>
      </c>
      <c r="D3188" s="17" t="s">
        <v>18877</v>
      </c>
      <c r="E3188" s="10">
        <v>2745774</v>
      </c>
      <c r="F3188" s="4" t="str">
        <f>IF(B3188=B3187,"",B3188)</f>
        <v/>
      </c>
    </row>
    <row r="3189" spans="1:6" ht="15.75" customHeight="1">
      <c r="A3189" s="6" t="s">
        <v>19110</v>
      </c>
      <c r="B3189" s="6" t="s">
        <v>19110</v>
      </c>
      <c r="C3189" s="6" t="s">
        <v>18862</v>
      </c>
      <c r="D3189" s="6" t="s">
        <v>18935</v>
      </c>
      <c r="E3189" s="2">
        <v>2745783</v>
      </c>
      <c r="F3189" s="4" t="str">
        <f>IF(B3189=B3188,"",B3189)</f>
        <v>Veendam</v>
      </c>
    </row>
    <row r="3190" spans="1:6" ht="15.75" customHeight="1">
      <c r="A3190" s="5" t="str">
        <f ca="1">IFERROR(__xludf.DUMMYFUNCTION("GOOGLETRANSLATE(B37933,""en"",""pt"")"),"Veendam")</f>
        <v>Veendam</v>
      </c>
      <c r="B3190" s="17" t="s">
        <v>19110</v>
      </c>
      <c r="C3190" s="17" t="s">
        <v>18862</v>
      </c>
      <c r="D3190" s="17" t="s">
        <v>18935</v>
      </c>
      <c r="E3190" s="10">
        <v>2745783</v>
      </c>
      <c r="F3190" s="4" t="str">
        <f>IF(B3190=B3189,"",B3190)</f>
        <v/>
      </c>
    </row>
    <row r="3191" spans="1:6" ht="15.75" customHeight="1">
      <c r="A3191" s="5" t="s">
        <v>13711</v>
      </c>
      <c r="B3191" s="6" t="s">
        <v>13711</v>
      </c>
      <c r="C3191" s="5" t="s">
        <v>10178</v>
      </c>
      <c r="D3191" s="5" t="s">
        <v>10196</v>
      </c>
      <c r="E3191" s="2">
        <v>1253330</v>
      </c>
      <c r="F3191" s="4" t="str">
        <f>IF(B3191=B3190,"",B3191)</f>
        <v>Vedaraniyam</v>
      </c>
    </row>
    <row r="3192" spans="1:6" ht="15.75" customHeight="1">
      <c r="A3192" s="5" t="str">
        <f ca="1">IFERROR(__xludf.DUMMYFUNCTION("GOOGLETRANSLATE(B31890,""en"",""pt"")"),"Vedaraniyam")</f>
        <v>Vedaraniyam</v>
      </c>
      <c r="B3192" s="17" t="s">
        <v>13711</v>
      </c>
      <c r="C3192" s="17" t="s">
        <v>10178</v>
      </c>
      <c r="D3192" s="17" t="s">
        <v>10196</v>
      </c>
      <c r="E3192" s="10">
        <v>1253330</v>
      </c>
      <c r="F3192" s="4" t="str">
        <f>IF(B3192=B3191,"",B3192)</f>
        <v/>
      </c>
    </row>
    <row r="3193" spans="1:6" ht="15.75" customHeight="1">
      <c r="A3193" s="5" t="str">
        <f ca="1">IFERROR(__xludf.DUMMYFUNCTION("GOOGLETRANSLATE(B31274,""en"",""pt"")"),"Vecsés")</f>
        <v>Vecsés</v>
      </c>
      <c r="B3193" s="17" t="s">
        <v>32848</v>
      </c>
      <c r="C3193" s="17" t="s">
        <v>9955</v>
      </c>
      <c r="D3193" s="17" t="s">
        <v>9959</v>
      </c>
      <c r="E3193" s="10">
        <v>3043019</v>
      </c>
      <c r="F3193" s="4" t="str">
        <f>IF(B3193=B3192,"",B3193)</f>
        <v>Vecsés</v>
      </c>
    </row>
    <row r="3194" spans="1:6" ht="15.75" customHeight="1">
      <c r="A3194" s="5" t="s">
        <v>10163</v>
      </c>
      <c r="B3194" s="6" t="s">
        <v>10164</v>
      </c>
      <c r="C3194" s="5" t="s">
        <v>9955</v>
      </c>
      <c r="D3194" s="5" t="s">
        <v>9959</v>
      </c>
      <c r="E3194" s="2">
        <v>3043019</v>
      </c>
      <c r="F3194" s="4" t="str">
        <f>IF(B3194=B3193,"",B3194)</f>
        <v>VecsÃ©s</v>
      </c>
    </row>
    <row r="3195" spans="1:6" ht="15.75" customHeight="1">
      <c r="A3195" s="5" t="str">
        <f ca="1">IFERROR(__xludf.DUMMYFUNCTION("GOOGLETRANSLATE(B36400,""en"",""pt"")"),"Vec-liepāja")</f>
        <v>Vec-liepāja</v>
      </c>
      <c r="B3195" s="17" t="s">
        <v>34544</v>
      </c>
      <c r="C3195" s="17" t="s">
        <v>16982</v>
      </c>
      <c r="D3195" s="17" t="s">
        <v>34545</v>
      </c>
      <c r="E3195" s="10">
        <v>454432</v>
      </c>
      <c r="F3195" s="4" t="str">
        <f>IF(B3195=B3194,"",B3195)</f>
        <v>Vec-Liepāja</v>
      </c>
    </row>
    <row r="3196" spans="1:6" ht="15.75" customHeight="1">
      <c r="A3196" s="5" t="s">
        <v>17004</v>
      </c>
      <c r="B3196" s="6" t="s">
        <v>17005</v>
      </c>
      <c r="C3196" s="5" t="s">
        <v>16982</v>
      </c>
      <c r="D3196" s="5" t="s">
        <v>16993</v>
      </c>
      <c r="E3196" s="2">
        <v>454432</v>
      </c>
      <c r="F3196" s="4" t="str">
        <f>IF(B3196=B3195,"",B3196)</f>
        <v>Vec-LiepÄja</v>
      </c>
    </row>
    <row r="3197" spans="1:6" ht="15.75" customHeight="1">
      <c r="A3197" s="6" t="s">
        <v>9228</v>
      </c>
      <c r="B3197" s="6" t="s">
        <v>9228</v>
      </c>
      <c r="C3197" s="6" t="s">
        <v>8028</v>
      </c>
      <c r="D3197" s="6" t="s">
        <v>8034</v>
      </c>
      <c r="E3197" s="2">
        <v>2817812</v>
      </c>
      <c r="F3197" s="4" t="str">
        <f>IF(B3197=B3196,"",B3197)</f>
        <v>Vechta</v>
      </c>
    </row>
    <row r="3198" spans="1:6" ht="15.75" customHeight="1">
      <c r="A3198" s="5" t="str">
        <f ca="1">IFERROR(__xludf.DUMMYFUNCTION("GOOGLETRANSLATE(B27452,""en"",""pt"")"),"Vechta")</f>
        <v>Vechta</v>
      </c>
      <c r="B3198" s="17" t="s">
        <v>9228</v>
      </c>
      <c r="C3198" s="17" t="s">
        <v>8028</v>
      </c>
      <c r="D3198" s="17" t="s">
        <v>8034</v>
      </c>
      <c r="E3198" s="10">
        <v>2817812</v>
      </c>
      <c r="F3198" s="4" t="str">
        <f>IF(B3198=B3197,"",B3198)</f>
        <v/>
      </c>
    </row>
    <row r="3199" spans="1:6" ht="15.75" customHeight="1">
      <c r="A3199" s="6" t="s">
        <v>9227</v>
      </c>
      <c r="B3199" s="6" t="s">
        <v>9227</v>
      </c>
      <c r="C3199" s="6" t="s">
        <v>8028</v>
      </c>
      <c r="D3199" s="6" t="s">
        <v>8034</v>
      </c>
      <c r="E3199" s="2">
        <v>2817813</v>
      </c>
      <c r="F3199" s="4" t="str">
        <f>IF(B3199=B3198,"",B3199)</f>
        <v>Vechelde</v>
      </c>
    </row>
    <row r="3200" spans="1:6" ht="15.75" customHeight="1">
      <c r="A3200" s="5" t="str">
        <f ca="1">IFERROR(__xludf.DUMMYFUNCTION("GOOGLETRANSLATE(B27453,""en"",""pt"")"),"Vechelde")</f>
        <v>Vechelde</v>
      </c>
      <c r="B3200" s="17" t="s">
        <v>9227</v>
      </c>
      <c r="C3200" s="17" t="s">
        <v>8028</v>
      </c>
      <c r="D3200" s="17" t="s">
        <v>8034</v>
      </c>
      <c r="E3200" s="10">
        <v>2817813</v>
      </c>
      <c r="F3200" s="4" t="str">
        <f>IF(B3200=B3199,"",B3200)</f>
        <v/>
      </c>
    </row>
    <row r="3201" spans="1:6" ht="15.75" customHeight="1">
      <c r="A3201" s="6" t="s">
        <v>3649</v>
      </c>
      <c r="B3201" s="6" t="s">
        <v>3649</v>
      </c>
      <c r="C3201" s="6" t="s">
        <v>1905</v>
      </c>
      <c r="D3201" s="6" t="s">
        <v>1917</v>
      </c>
      <c r="E3201" s="2">
        <v>3445418</v>
      </c>
      <c r="F3201" s="4" t="str">
        <f>IF(B3201=B3200,"",B3201)</f>
        <v>Vazante</v>
      </c>
    </row>
    <row r="3202" spans="1:6" ht="15.75" customHeight="1">
      <c r="A3202" s="5" t="str">
        <f ca="1">IFERROR(__xludf.DUMMYFUNCTION("GOOGLETRANSLATE(B24446,""en"",""pt"")"),"Vazante")</f>
        <v>Vazante</v>
      </c>
      <c r="B3202" s="17" t="s">
        <v>3649</v>
      </c>
      <c r="C3202" s="17" t="s">
        <v>1905</v>
      </c>
      <c r="D3202" s="17" t="s">
        <v>1917</v>
      </c>
      <c r="E3202" s="10">
        <v>3445418</v>
      </c>
      <c r="F3202" s="4" t="str">
        <f>IF(B3202=B3201,"",B3202)</f>
        <v/>
      </c>
    </row>
    <row r="3203" spans="1:6" ht="15.75" customHeight="1">
      <c r="A3203" s="5" t="str">
        <f ca="1">IFERROR(__xludf.DUMMYFUNCTION("GOOGLETRANSLATE(B31891,""en"",""pt"")"),"Vayalār")</f>
        <v>Vayalār</v>
      </c>
      <c r="B3203" s="17" t="s">
        <v>32965</v>
      </c>
      <c r="C3203" s="17" t="s">
        <v>10178</v>
      </c>
      <c r="D3203" s="17" t="s">
        <v>10246</v>
      </c>
      <c r="E3203" s="10">
        <v>1253340</v>
      </c>
      <c r="F3203" s="4" t="str">
        <f>IF(B3203=B3202,"",B3203)</f>
        <v>Vayalār</v>
      </c>
    </row>
    <row r="3204" spans="1:6" ht="15.75" customHeight="1">
      <c r="A3204" s="6" t="s">
        <v>13709</v>
      </c>
      <c r="B3204" s="6" t="s">
        <v>13710</v>
      </c>
      <c r="C3204" s="6" t="s">
        <v>10178</v>
      </c>
      <c r="D3204" s="6" t="s">
        <v>10246</v>
      </c>
      <c r="E3204" s="2">
        <v>1253340</v>
      </c>
      <c r="F3204" s="4" t="str">
        <f>IF(B3204=B3203,"",B3204)</f>
        <v>VayalÄr</v>
      </c>
    </row>
    <row r="3205" spans="1:6" ht="15.75" customHeight="1">
      <c r="A3205" s="5" t="str">
        <f ca="1">IFERROR(__xludf.DUMMYFUNCTION("GOOGLETRANSLATE(B41125,""en"",""pt"")"),"Växjö")</f>
        <v>Växjö</v>
      </c>
      <c r="B3205" s="17" t="s">
        <v>35624</v>
      </c>
      <c r="C3205" s="17" t="s">
        <v>25077</v>
      </c>
      <c r="D3205" s="17" t="s">
        <v>25230</v>
      </c>
      <c r="E3205" s="10">
        <v>2663536</v>
      </c>
      <c r="F3205" s="4" t="str">
        <f>IF(B3205=B3204,"",B3205)</f>
        <v>Växjö</v>
      </c>
    </row>
    <row r="3206" spans="1:6" ht="15.75" customHeight="1">
      <c r="A3206" s="5" t="s">
        <v>1508</v>
      </c>
      <c r="B3206" s="6" t="s">
        <v>1508</v>
      </c>
      <c r="C3206" s="5" t="s">
        <v>1453</v>
      </c>
      <c r="D3206" s="5" t="s">
        <v>1470</v>
      </c>
      <c r="E3206" s="2">
        <v>620391</v>
      </c>
      <c r="F3206" s="4" t="str">
        <f>IF(B3206=B3205,"",B3206)</f>
        <v>Vawkavysk</v>
      </c>
    </row>
    <row r="3207" spans="1:6" ht="15.75" customHeight="1">
      <c r="A3207" s="5" t="str">
        <f ca="1">IFERROR(__xludf.DUMMYFUNCTION("GOOGLETRANSLATE(B25372,""en"",""pt"")"),"Vawkavysk")</f>
        <v>Vawkavysk</v>
      </c>
      <c r="B3207" s="17" t="s">
        <v>1508</v>
      </c>
      <c r="C3207" s="17" t="s">
        <v>1453</v>
      </c>
      <c r="D3207" s="17" t="s">
        <v>1470</v>
      </c>
      <c r="E3207" s="10">
        <v>620391</v>
      </c>
      <c r="F3207" s="4" t="str">
        <f>IF(B3207=B3206,"",B3207)</f>
        <v/>
      </c>
    </row>
    <row r="3208" spans="1:6" ht="15.75" customHeight="1">
      <c r="A3208" s="6" t="s">
        <v>24981</v>
      </c>
      <c r="B3208" s="6" t="s">
        <v>24981</v>
      </c>
      <c r="C3208" s="6" t="s">
        <v>24924</v>
      </c>
      <c r="D3208" s="6" t="s">
        <v>20426</v>
      </c>
      <c r="E3208" s="2">
        <v>1225018</v>
      </c>
      <c r="F3208" s="4" t="str">
        <f>IF(B3208=B3207,"",B3208)</f>
        <v>Vavuniya</v>
      </c>
    </row>
    <row r="3209" spans="1:6" ht="15.75" customHeight="1">
      <c r="A3209" s="5" t="str">
        <f ca="1">IFERROR(__xludf.DUMMYFUNCTION("GOOGLETRANSLATE(B36293,""en"",""pt"")"),"Vavuniya")</f>
        <v>Vavuniya</v>
      </c>
      <c r="B3209" s="17" t="s">
        <v>24981</v>
      </c>
      <c r="C3209" s="17" t="s">
        <v>24924</v>
      </c>
      <c r="D3209" s="17" t="s">
        <v>20426</v>
      </c>
      <c r="E3209" s="10">
        <v>1225018</v>
      </c>
      <c r="F3209" s="4" t="str">
        <f>IF(B3209=B3208,"",B3209)</f>
        <v/>
      </c>
    </row>
    <row r="3210" spans="1:6" ht="15.75" customHeight="1">
      <c r="A3210" s="6" t="s">
        <v>15676</v>
      </c>
      <c r="B3210" s="6" t="s">
        <v>15676</v>
      </c>
      <c r="C3210" s="6" t="s">
        <v>15586</v>
      </c>
      <c r="D3210" s="6" t="s">
        <v>15630</v>
      </c>
      <c r="E3210" s="2">
        <v>2280045</v>
      </c>
      <c r="F3210" s="4" t="str">
        <f>IF(B3210=B3209,"",B3210)</f>
        <v>Vavoua</v>
      </c>
    </row>
    <row r="3211" spans="1:6" ht="15.75" customHeight="1">
      <c r="A3211" s="5" t="str">
        <f ca="1">IFERROR(__xludf.DUMMYFUNCTION("GOOGLETRANSLATE(B25827,""en"",""pt"")"),"Vavoua")</f>
        <v>Vavoua</v>
      </c>
      <c r="B3211" s="17" t="s">
        <v>15676</v>
      </c>
      <c r="C3211" s="17" t="s">
        <v>15586</v>
      </c>
      <c r="D3211" s="17" t="s">
        <v>15630</v>
      </c>
      <c r="E3211" s="10">
        <v>2280045</v>
      </c>
      <c r="F3211" s="4" t="str">
        <f>IF(B3211=B3210,"",B3211)</f>
        <v/>
      </c>
    </row>
    <row r="3212" spans="1:6" ht="15.75" customHeight="1">
      <c r="A3212" s="5" t="s">
        <v>17403</v>
      </c>
      <c r="B3212" s="6" t="s">
        <v>17403</v>
      </c>
      <c r="C3212" s="5" t="s">
        <v>17292</v>
      </c>
      <c r="D3212" s="5" t="s">
        <v>17356</v>
      </c>
      <c r="E3212" s="2">
        <v>1054192</v>
      </c>
      <c r="F3212" s="4" t="str">
        <f>IF(B3212=B3211,"",B3212)</f>
        <v>Vavatenina</v>
      </c>
    </row>
    <row r="3213" spans="1:6" ht="15.75" customHeight="1">
      <c r="A3213" s="5" t="str">
        <f ca="1">IFERROR(__xludf.DUMMYFUNCTION("GOOGLETRANSLATE(B36559,""en"",""pt"")"),"Vavatenina")</f>
        <v>Vavatenina</v>
      </c>
      <c r="B3213" s="17" t="s">
        <v>17403</v>
      </c>
      <c r="C3213" s="17" t="s">
        <v>17292</v>
      </c>
      <c r="D3213" s="17" t="s">
        <v>17356</v>
      </c>
      <c r="E3213" s="10">
        <v>1054192</v>
      </c>
      <c r="F3213" s="4" t="str">
        <f>IF(B3213=B3212,"",B3213)</f>
        <v/>
      </c>
    </row>
    <row r="3214" spans="1:6" ht="15.75" customHeight="1">
      <c r="A3214" s="5" t="str">
        <f ca="1">IFERROR(__xludf.DUMMYFUNCTION("GOOGLETRANSLATE(B29714,""en"",""pt"")"),"Vauréal")</f>
        <v>Vauréal</v>
      </c>
      <c r="B3214" s="17" t="s">
        <v>32545</v>
      </c>
      <c r="C3214" s="17" t="s">
        <v>7052</v>
      </c>
      <c r="D3214" s="17" t="s">
        <v>32531</v>
      </c>
      <c r="E3214" s="10">
        <v>2970432</v>
      </c>
      <c r="F3214" s="4" t="str">
        <f>IF(B3214=B3213,"",B3214)</f>
        <v>Vauréal</v>
      </c>
    </row>
    <row r="3215" spans="1:6" ht="15.75" customHeight="1">
      <c r="A3215" s="6" t="s">
        <v>7882</v>
      </c>
      <c r="B3215" s="6" t="s">
        <v>7883</v>
      </c>
      <c r="C3215" s="6" t="s">
        <v>7052</v>
      </c>
      <c r="D3215" s="6" t="s">
        <v>7058</v>
      </c>
      <c r="E3215" s="2">
        <v>2970432</v>
      </c>
      <c r="F3215" s="4" t="str">
        <f>IF(B3215=B3214,"",B3215)</f>
        <v>VaurÃ©al</v>
      </c>
    </row>
    <row r="3216" spans="1:6" ht="15.75" customHeight="1">
      <c r="A3216" s="5" t="s">
        <v>7880</v>
      </c>
      <c r="B3216" s="6" t="s">
        <v>7881</v>
      </c>
      <c r="C3216" s="5" t="s">
        <v>7052</v>
      </c>
      <c r="D3216" s="5" t="s">
        <v>7053</v>
      </c>
      <c r="E3216" s="2">
        <v>2970456</v>
      </c>
      <c r="F3216" s="4" t="str">
        <f>IF(B3216=B3215,"",B3216)</f>
        <v>Vaulx-en-Velin</v>
      </c>
    </row>
    <row r="3217" spans="1:6" ht="15.75" customHeight="1">
      <c r="A3217" s="5" t="str">
        <f ca="1">IFERROR(__xludf.DUMMYFUNCTION("GOOGLETRANSLATE(B29715,""en"",""pt"")"),"VAULX-en-vavin")</f>
        <v>VAULX-en-vavin</v>
      </c>
      <c r="B3217" s="17" t="s">
        <v>7881</v>
      </c>
      <c r="C3217" s="17" t="s">
        <v>7052</v>
      </c>
      <c r="D3217" s="17" t="s">
        <v>32532</v>
      </c>
      <c r="E3217" s="10">
        <v>2970456</v>
      </c>
      <c r="F3217" s="4" t="str">
        <f>IF(B3217=B3216,"",B3217)</f>
        <v/>
      </c>
    </row>
    <row r="3218" spans="1:6" ht="15.75" customHeight="1">
      <c r="A3218" s="6" t="s">
        <v>4231</v>
      </c>
      <c r="B3218" s="6" t="s">
        <v>4231</v>
      </c>
      <c r="C3218" s="6" t="s">
        <v>3975</v>
      </c>
      <c r="D3218" s="6" t="s">
        <v>3980</v>
      </c>
      <c r="E3218" s="2">
        <v>6173577</v>
      </c>
      <c r="F3218" s="4" t="str">
        <f>IF(B3218=B3217,"",B3218)</f>
        <v>Vaughan</v>
      </c>
    </row>
    <row r="3219" spans="1:6" ht="15.75" customHeight="1">
      <c r="A3219" s="5" t="str">
        <f ca="1">IFERROR(__xludf.DUMMYFUNCTION("GOOGLETRANSLATE(B25605,""en"",""pt"")"),"Vaughan")</f>
        <v>Vaughan</v>
      </c>
      <c r="B3219" s="17" t="s">
        <v>4231</v>
      </c>
      <c r="C3219" s="17" t="s">
        <v>3975</v>
      </c>
      <c r="D3219" s="17" t="s">
        <v>3980</v>
      </c>
      <c r="E3219" s="10">
        <v>6173577</v>
      </c>
      <c r="F3219" s="4" t="str">
        <f>IF(B3219=B3218,"",B3219)</f>
        <v/>
      </c>
    </row>
    <row r="3220" spans="1:6" ht="15.75" customHeight="1">
      <c r="A3220" s="5" t="s">
        <v>4230</v>
      </c>
      <c r="B3220" s="6" t="s">
        <v>4230</v>
      </c>
      <c r="C3220" s="5" t="s">
        <v>3975</v>
      </c>
      <c r="D3220" s="5" t="s">
        <v>3982</v>
      </c>
      <c r="E3220" s="2">
        <v>6173570</v>
      </c>
      <c r="F3220" s="4" t="str">
        <f>IF(B3220=B3219,"",B3220)</f>
        <v>Vaudreuil-Dorion</v>
      </c>
    </row>
    <row r="3221" spans="1:6" ht="15.75" customHeight="1">
      <c r="A3221" s="5" t="str">
        <f ca="1">IFERROR(__xludf.DUMMYFUNCTION("GOOGLETRANSLATE(B25604,""en"",""pt"")"),"Vaudreuil-Dorion")</f>
        <v>Vaudreuil-Dorion</v>
      </c>
      <c r="B3221" s="17" t="s">
        <v>4230</v>
      </c>
      <c r="C3221" s="17" t="s">
        <v>3975</v>
      </c>
      <c r="D3221" s="17" t="s">
        <v>3982</v>
      </c>
      <c r="E3221" s="10">
        <v>6173570</v>
      </c>
      <c r="F3221" s="4" t="str">
        <f>IF(B3221=B3220,"",B3221)</f>
        <v/>
      </c>
    </row>
    <row r="3222" spans="1:6" ht="15.75" customHeight="1">
      <c r="A3222" s="6" t="s">
        <v>23269</v>
      </c>
      <c r="B3222" s="6" t="s">
        <v>23269</v>
      </c>
      <c r="C3222" s="6" t="s">
        <v>22070</v>
      </c>
      <c r="D3222" s="6" t="s">
        <v>22127</v>
      </c>
      <c r="E3222" s="2">
        <v>476368</v>
      </c>
      <c r="F3222" s="4" t="str">
        <f>IF(B3222=B3221,"",B3222)</f>
        <v>Vatutino</v>
      </c>
    </row>
    <row r="3223" spans="1:6" ht="15.75" customHeight="1">
      <c r="A3223" s="5" t="str">
        <f ca="1">IFERROR(__xludf.DUMMYFUNCTION("GOOGLETRANSLATE(B39995,""en"",""pt"")"),"Vatutino")</f>
        <v>Vatutino</v>
      </c>
      <c r="B3223" s="17" t="s">
        <v>23269</v>
      </c>
      <c r="C3223" s="17" t="s">
        <v>22070</v>
      </c>
      <c r="D3223" s="17" t="s">
        <v>22127</v>
      </c>
      <c r="E3223" s="10">
        <v>476368</v>
      </c>
      <c r="F3223" s="4" t="str">
        <f>IF(B3223=B3222,"",B3223)</f>
        <v/>
      </c>
    </row>
    <row r="3224" spans="1:6" ht="15.75" customHeight="1">
      <c r="A3224" s="6" t="s">
        <v>27183</v>
      </c>
      <c r="B3224" s="6" t="s">
        <v>27183</v>
      </c>
      <c r="C3224" s="6" t="s">
        <v>26870</v>
      </c>
      <c r="D3224" s="6" t="s">
        <v>26925</v>
      </c>
      <c r="E3224" s="2">
        <v>690312</v>
      </c>
      <c r="F3224" s="4" t="str">
        <f>IF(B3224=B3223,"",B3224)</f>
        <v>Vatutine</v>
      </c>
    </row>
    <row r="3225" spans="1:6" ht="15.75" customHeight="1">
      <c r="A3225" s="5" t="str">
        <f ca="1">IFERROR(__xludf.DUMMYFUNCTION("GOOGLETRANSLATE(B42495,""en"",""pt"")"),"Vatutine")</f>
        <v>Vatutine</v>
      </c>
      <c r="B3225" s="17" t="s">
        <v>27183</v>
      </c>
      <c r="C3225" s="17" t="s">
        <v>26870</v>
      </c>
      <c r="D3225" s="17" t="s">
        <v>26925</v>
      </c>
      <c r="E3225" s="10">
        <v>690312</v>
      </c>
      <c r="F3225" s="4" t="str">
        <f>IF(B3225=B3224,"",B3225)</f>
        <v/>
      </c>
    </row>
    <row r="3226" spans="1:6" ht="15.75" customHeight="1">
      <c r="A3226" s="5" t="s">
        <v>13707</v>
      </c>
      <c r="B3226" s="6" t="s">
        <v>13708</v>
      </c>
      <c r="C3226" s="5" t="s">
        <v>10178</v>
      </c>
      <c r="D3226" s="5" t="s">
        <v>10196</v>
      </c>
      <c r="E3226" s="2">
        <v>1253352</v>
      </c>
      <c r="F3226" s="4" t="str">
        <f>IF(B3226=B3225,"",B3226)</f>
        <v>Vattalkundu</v>
      </c>
    </row>
    <row r="3227" spans="1:6" ht="15.75" customHeight="1">
      <c r="A3227" s="5" t="str">
        <f ca="1">IFERROR(__xludf.DUMMYFUNCTION("GOOGLETRANSLATE(B31892,""en"",""pt"")"),"VatTalkundu")</f>
        <v>VatTalkundu</v>
      </c>
      <c r="B3227" s="17" t="s">
        <v>13708</v>
      </c>
      <c r="C3227" s="17" t="s">
        <v>10178</v>
      </c>
      <c r="D3227" s="17" t="s">
        <v>10196</v>
      </c>
      <c r="E3227" s="10">
        <v>1253352</v>
      </c>
      <c r="F3227" s="4" t="str">
        <f>IF(B3227=B3226,"",B3227)</f>
        <v/>
      </c>
    </row>
    <row r="3228" spans="1:6" ht="15.75" customHeight="1">
      <c r="A3228" s="5" t="s">
        <v>22058</v>
      </c>
      <c r="B3228" s="6" t="s">
        <v>22058</v>
      </c>
      <c r="C3228" s="5" t="s">
        <v>21824</v>
      </c>
      <c r="D3228" s="5" t="s">
        <v>21885</v>
      </c>
      <c r="E3228" s="2">
        <v>663100</v>
      </c>
      <c r="F3228" s="4" t="str">
        <f>IF(B3228=B3227,"",B3228)</f>
        <v>Vatra Dornei</v>
      </c>
    </row>
    <row r="3229" spans="1:6" ht="15.75" customHeight="1">
      <c r="A3229" s="5" t="str">
        <f ca="1">IFERROR(__xludf.DUMMYFUNCTION("GOOGLETRANSLATE(B39728,""en"",""pt"")"),"Vatra Dornei")</f>
        <v>Vatra Dornei</v>
      </c>
      <c r="B3229" s="17" t="s">
        <v>22058</v>
      </c>
      <c r="C3229" s="17" t="s">
        <v>21824</v>
      </c>
      <c r="D3229" s="17" t="s">
        <v>21885</v>
      </c>
      <c r="E3229" s="10">
        <v>663100</v>
      </c>
      <c r="F3229" s="4" t="str">
        <f>IF(B3229=B3228,"",B3229)</f>
        <v/>
      </c>
    </row>
    <row r="3230" spans="1:6" ht="15.75" customHeight="1">
      <c r="A3230" s="5" t="s">
        <v>30629</v>
      </c>
      <c r="B3230" s="6" t="s">
        <v>30630</v>
      </c>
      <c r="C3230" s="5" t="s">
        <v>30631</v>
      </c>
      <c r="D3230" s="5" t="s">
        <v>551</v>
      </c>
      <c r="E3230" s="2">
        <v>6691831</v>
      </c>
      <c r="F3230" s="4" t="str">
        <f>IF(B3230=B3229,"",B3230)</f>
        <v>Vatican City</v>
      </c>
    </row>
    <row r="3231" spans="1:6" ht="15.75" customHeight="1">
      <c r="A3231" s="5" t="str">
        <f ca="1">IFERROR(__xludf.DUMMYFUNCTION("GOOGLETRANSLATE(B45596,""en"",""pt"")"),"Cidade do Vaticano")</f>
        <v>Cidade do Vaticano</v>
      </c>
      <c r="B3231" s="17" t="s">
        <v>30630</v>
      </c>
      <c r="C3231" s="17" t="s">
        <v>30631</v>
      </c>
      <c r="D3231" s="17" t="s">
        <v>551</v>
      </c>
      <c r="E3231" s="10">
        <v>6691831</v>
      </c>
      <c r="F3231" s="4" t="str">
        <f>IF(B3231=B3230,"",B3231)</f>
        <v/>
      </c>
    </row>
    <row r="3232" spans="1:6" ht="15.75" customHeight="1">
      <c r="A3232" s="5" t="s">
        <v>9226</v>
      </c>
      <c r="B3232" s="6" t="s">
        <v>9226</v>
      </c>
      <c r="C3232" s="5" t="s">
        <v>8028</v>
      </c>
      <c r="D3232" s="5" t="s">
        <v>8044</v>
      </c>
      <c r="E3232" s="2">
        <v>2817818</v>
      </c>
      <c r="F3232" s="4" t="str">
        <f>IF(B3232=B3231,"",B3232)</f>
        <v>Vaterstetten</v>
      </c>
    </row>
    <row r="3233" spans="1:6" ht="15.75" customHeight="1">
      <c r="A3233" s="5" t="str">
        <f ca="1">IFERROR(__xludf.DUMMYFUNCTION("GOOGLETRANSLATE(B27454,""en"",""pt"")"),"Vaterstetten")</f>
        <v>Vaterstetten</v>
      </c>
      <c r="B3233" s="17" t="s">
        <v>9226</v>
      </c>
      <c r="C3233" s="17" t="s">
        <v>8028</v>
      </c>
      <c r="D3233" s="17" t="s">
        <v>8044</v>
      </c>
      <c r="E3233" s="10">
        <v>2817818</v>
      </c>
      <c r="F3233" s="4" t="str">
        <f>IF(B3233=B3232,"",B3233)</f>
        <v/>
      </c>
    </row>
    <row r="3234" spans="1:6" ht="15.75" customHeight="1">
      <c r="A3234" s="6" t="s">
        <v>27181</v>
      </c>
      <c r="B3234" s="6" t="s">
        <v>27182</v>
      </c>
      <c r="C3234" s="6" t="s">
        <v>26870</v>
      </c>
      <c r="D3234" s="6" t="s">
        <v>26905</v>
      </c>
      <c r="E3234" s="2">
        <v>690412</v>
      </c>
      <c r="F3234" s="4" t="str">
        <f>IF(B3234=B3233,"",B3234)</f>
        <v>Vasylkiv</v>
      </c>
    </row>
    <row r="3235" spans="1:6" ht="15.75" customHeight="1">
      <c r="A3235" s="5" t="str">
        <f ca="1">IFERROR(__xludf.DUMMYFUNCTION("GOOGLETRANSLATE(B42496,""en"",""pt"")"),"Vasilkiv")</f>
        <v>Vasilkiv</v>
      </c>
      <c r="B3235" s="17" t="s">
        <v>27182</v>
      </c>
      <c r="C3235" s="17" t="s">
        <v>26870</v>
      </c>
      <c r="D3235" s="17" t="s">
        <v>26905</v>
      </c>
      <c r="E3235" s="10">
        <v>690412</v>
      </c>
      <c r="F3235" s="4" t="str">
        <f>IF(B3235=B3234,"",B3235)</f>
        <v/>
      </c>
    </row>
    <row r="3236" spans="1:6" ht="15.75" customHeight="1">
      <c r="A3236" s="6" t="s">
        <v>27180</v>
      </c>
      <c r="B3236" s="6" t="s">
        <v>27180</v>
      </c>
      <c r="C3236" s="6" t="s">
        <v>26870</v>
      </c>
      <c r="D3236" s="6" t="s">
        <v>26898</v>
      </c>
      <c r="E3236" s="2">
        <v>686729</v>
      </c>
      <c r="F3236" s="4" t="str">
        <f>IF(B3236=B3235,"",B3236)</f>
        <v>Vasylivka</v>
      </c>
    </row>
    <row r="3237" spans="1:6" ht="15.75" customHeight="1">
      <c r="A3237" s="5" t="str">
        <f ca="1">IFERROR(__xludf.DUMMYFUNCTION("GOOGLETRANSLATE(B42468,""en"",""pt"")"),"Vasylivka")</f>
        <v>Vasylivka</v>
      </c>
      <c r="B3237" s="17" t="s">
        <v>27180</v>
      </c>
      <c r="C3237" s="17" t="s">
        <v>26870</v>
      </c>
      <c r="D3237" s="17" t="s">
        <v>26898</v>
      </c>
      <c r="E3237" s="10">
        <v>686729</v>
      </c>
      <c r="F3237" s="4" t="str">
        <f>IF(B3237=B3236,"",B3237)</f>
        <v/>
      </c>
    </row>
    <row r="3238" spans="1:6" ht="15.75" customHeight="1">
      <c r="A3238" s="5" t="s">
        <v>23267</v>
      </c>
      <c r="B3238" s="6" t="s">
        <v>23268</v>
      </c>
      <c r="C3238" s="5" t="s">
        <v>22070</v>
      </c>
      <c r="D3238" s="5" t="s">
        <v>22084</v>
      </c>
      <c r="E3238" s="2">
        <v>8504949</v>
      </c>
      <c r="F3238" s="4" t="str">
        <f>IF(B3238=B3237,"",B3238)</f>
        <v>Vasyl'evsky Ostrov</v>
      </c>
    </row>
    <row r="3239" spans="1:6" ht="15.75" customHeight="1">
      <c r="A3239" s="5" t="str">
        <f ca="1">IFERROR(__xludf.DUMMYFUNCTION("GOOGLETRANSLATE(B40986,""en"",""pt"")"),"Vasyl'evsky ostrov")</f>
        <v>Vasyl'evsky ostrov</v>
      </c>
      <c r="B3239" s="17" t="s">
        <v>23268</v>
      </c>
      <c r="C3239" s="17" t="s">
        <v>22070</v>
      </c>
      <c r="D3239" s="17" t="s">
        <v>22084</v>
      </c>
      <c r="E3239" s="10">
        <v>8504949</v>
      </c>
      <c r="F3239" s="4" t="str">
        <f>IF(B3239=B3238,"",B3239)</f>
        <v/>
      </c>
    </row>
    <row r="3240" spans="1:6" ht="15.75" customHeight="1">
      <c r="A3240" s="5" t="str">
        <f ca="1">IFERROR(__xludf.DUMMYFUNCTION("GOOGLETRANSLATE(B31893,""en"",""pt"")"),"Vāsudevanallūr")</f>
        <v>Vāsudevanallūr</v>
      </c>
      <c r="B3240" s="17" t="s">
        <v>32966</v>
      </c>
      <c r="C3240" s="17" t="s">
        <v>10178</v>
      </c>
      <c r="D3240" s="17" t="s">
        <v>10196</v>
      </c>
      <c r="E3240" s="10">
        <v>1253357</v>
      </c>
      <c r="F3240" s="4" t="str">
        <f>IF(B3240=B3239,"",B3240)</f>
        <v>Vāsudevanallūr</v>
      </c>
    </row>
    <row r="3241" spans="1:6" ht="15.75" customHeight="1">
      <c r="A3241" s="6" t="s">
        <v>15557</v>
      </c>
      <c r="B3241" s="6" t="s">
        <v>15557</v>
      </c>
      <c r="C3241" s="6" t="s">
        <v>14891</v>
      </c>
      <c r="D3241" s="6" t="s">
        <v>14957</v>
      </c>
      <c r="E3241" s="2">
        <v>3164672</v>
      </c>
      <c r="F3241" s="4" t="str">
        <f>IF(B3241=B3240,"",B3241)</f>
        <v>Vasto</v>
      </c>
    </row>
    <row r="3242" spans="1:6" ht="15.75" customHeight="1">
      <c r="A3242" s="5" t="str">
        <f ca="1">IFERROR(__xludf.DUMMYFUNCTION("GOOGLETRANSLATE(B34643,""en"",""pt"")"),"Vasto")</f>
        <v>Vasto</v>
      </c>
      <c r="B3242" s="17" t="s">
        <v>15557</v>
      </c>
      <c r="C3242" s="17" t="s">
        <v>14891</v>
      </c>
      <c r="D3242" s="17" t="s">
        <v>14957</v>
      </c>
      <c r="E3242" s="10">
        <v>3164672</v>
      </c>
      <c r="F3242" s="4" t="str">
        <f>IF(B3242=B3241,"",B3242)</f>
        <v/>
      </c>
    </row>
    <row r="3243" spans="1:6" ht="15.75" customHeight="1">
      <c r="A3243" s="5" t="str">
        <f ca="1">IFERROR(__xludf.DUMMYFUNCTION("GOOGLETRANSLATE(B41126,""en"",""pt"")"),"Västervik")</f>
        <v>Västervik</v>
      </c>
      <c r="B3243" s="17" t="s">
        <v>25226</v>
      </c>
      <c r="C3243" s="17" t="s">
        <v>25077</v>
      </c>
      <c r="D3243" s="17" t="s">
        <v>25143</v>
      </c>
      <c r="E3243" s="10">
        <v>2664203</v>
      </c>
      <c r="F3243" s="4" t="str">
        <f>IF(B3243=B3242,"",B3243)</f>
        <v>Västervik</v>
      </c>
    </row>
    <row r="3244" spans="1:6" ht="15.75" customHeight="1">
      <c r="A3244" s="5" t="str">
        <f ca="1">IFERROR(__xludf.DUMMYFUNCTION("GOOGLETRANSLATE(B41127,""en"",""pt"")"),"Västerås")</f>
        <v>Västerås</v>
      </c>
      <c r="B3244" s="17" t="s">
        <v>35625</v>
      </c>
      <c r="C3244" s="17" t="s">
        <v>25077</v>
      </c>
      <c r="D3244" s="17" t="s">
        <v>35626</v>
      </c>
      <c r="E3244" s="10">
        <v>2664454</v>
      </c>
      <c r="F3244" s="4" t="str">
        <f>IF(B3244=B3243,"",B3244)</f>
        <v>Västerås</v>
      </c>
    </row>
    <row r="3245" spans="1:6" ht="15.75" customHeight="1">
      <c r="A3245" s="5" t="s">
        <v>3648</v>
      </c>
      <c r="B3245" s="6" t="s">
        <v>3648</v>
      </c>
      <c r="C3245" s="5" t="s">
        <v>1905</v>
      </c>
      <c r="D3245" s="5" t="s">
        <v>1978</v>
      </c>
      <c r="E3245" s="2">
        <v>3445433</v>
      </c>
      <c r="F3245" s="4" t="str">
        <f>IF(B3245=B3244,"",B3245)</f>
        <v>Vassouras</v>
      </c>
    </row>
    <row r="3246" spans="1:6" ht="15.75" customHeight="1">
      <c r="A3246" s="5" t="str">
        <f ca="1">IFERROR(__xludf.DUMMYFUNCTION("GOOGLETRANSLATE(B24447,""en"",""pt"")"),"Vassouras")</f>
        <v>Vassouras</v>
      </c>
      <c r="B3246" s="17" t="s">
        <v>3648</v>
      </c>
      <c r="C3246" s="17" t="s">
        <v>1905</v>
      </c>
      <c r="D3246" s="17" t="s">
        <v>1978</v>
      </c>
      <c r="E3246" s="10">
        <v>3445433</v>
      </c>
      <c r="F3246" s="4" t="str">
        <f>IF(B3246=B3245,"",B3246)</f>
        <v/>
      </c>
    </row>
    <row r="3247" spans="1:6" ht="15.75" customHeight="1">
      <c r="A3247" s="6" t="s">
        <v>21835</v>
      </c>
      <c r="B3247" s="6" t="s">
        <v>21835</v>
      </c>
      <c r="C3247" s="6" t="s">
        <v>21824</v>
      </c>
      <c r="D3247" s="6" t="s">
        <v>21835</v>
      </c>
      <c r="E3247" s="2">
        <v>663118</v>
      </c>
      <c r="F3247" s="4" t="str">
        <f>IF(B3247=B3246,"",B3247)</f>
        <v>Vaslui</v>
      </c>
    </row>
    <row r="3248" spans="1:6" ht="15.75" customHeight="1">
      <c r="A3248" s="5" t="str">
        <f ca="1">IFERROR(__xludf.DUMMYFUNCTION("GOOGLETRANSLATE(B39729,""en"",""pt"")"),"Vaslui")</f>
        <v>Vaslui</v>
      </c>
      <c r="B3248" s="17" t="s">
        <v>21835</v>
      </c>
      <c r="C3248" s="17" t="s">
        <v>21824</v>
      </c>
      <c r="D3248" s="17" t="s">
        <v>21835</v>
      </c>
      <c r="E3248" s="10">
        <v>663118</v>
      </c>
      <c r="F3248" s="4" t="str">
        <f>IF(B3248=B3247,"",B3248)</f>
        <v/>
      </c>
    </row>
    <row r="3249" spans="1:6" ht="15.75" customHeight="1">
      <c r="A3249" s="6" t="s">
        <v>13706</v>
      </c>
      <c r="B3249" s="6" t="s">
        <v>13706</v>
      </c>
      <c r="C3249" s="6" t="s">
        <v>10178</v>
      </c>
      <c r="D3249" s="6" t="s">
        <v>10214</v>
      </c>
      <c r="E3249" s="2">
        <v>1253363</v>
      </c>
      <c r="F3249" s="4" t="str">
        <f>IF(B3249=B3248,"",B3249)</f>
        <v>Vasind</v>
      </c>
    </row>
    <row r="3250" spans="1:6" ht="15.75" customHeight="1">
      <c r="A3250" s="5" t="str">
        <f ca="1">IFERROR(__xludf.DUMMYFUNCTION("GOOGLETRANSLATE(B31894,""en"",""pt"")"),"Vasind")</f>
        <v>Vasind</v>
      </c>
      <c r="B3250" s="17" t="s">
        <v>13706</v>
      </c>
      <c r="C3250" s="17" t="s">
        <v>10178</v>
      </c>
      <c r="D3250" s="17" t="s">
        <v>10214</v>
      </c>
      <c r="E3250" s="10">
        <v>1253363</v>
      </c>
      <c r="F3250" s="4" t="str">
        <f>IF(B3250=B3249,"",B3250)</f>
        <v/>
      </c>
    </row>
    <row r="3251" spans="1:6" ht="15.75" customHeight="1">
      <c r="A3251" s="5" t="s">
        <v>23265</v>
      </c>
      <c r="B3251" s="6" t="s">
        <v>23266</v>
      </c>
      <c r="C3251" s="5" t="s">
        <v>22070</v>
      </c>
      <c r="D3251" s="5" t="s">
        <v>22090</v>
      </c>
      <c r="E3251" s="2">
        <v>611182</v>
      </c>
      <c r="F3251" s="4" t="str">
        <f>IF(B3251=B3250,"",B3251)</f>
        <v>Vasilâ€™yevo</v>
      </c>
    </row>
    <row r="3252" spans="1:6" ht="15.75" customHeight="1">
      <c r="A3252" s="5" t="str">
        <f ca="1">IFERROR(__xludf.DUMMYFUNCTION("GOOGLETRANSLATE(B40693,""en"",""pt"")"),"Vasil'yevo")</f>
        <v>Vasil'yevo</v>
      </c>
      <c r="B3252" s="17" t="s">
        <v>35529</v>
      </c>
      <c r="C3252" s="17" t="s">
        <v>22070</v>
      </c>
      <c r="D3252" s="17" t="s">
        <v>22090</v>
      </c>
      <c r="E3252" s="10">
        <v>611182</v>
      </c>
      <c r="F3252" s="4" t="str">
        <f>IF(B3252=B3251,"",B3252)</f>
        <v>Vasil’yevo</v>
      </c>
    </row>
    <row r="3253" spans="1:6" ht="15.75" customHeight="1">
      <c r="A3253" s="5" t="str">
        <f ca="1">IFERROR(__xludf.DUMMYFUNCTION("GOOGLETRANSLATE(B31895,""en"",""pt"")"),"Vasco da Gama")</f>
        <v>Vasco da Gama</v>
      </c>
      <c r="B3253" s="17" t="s">
        <v>32967</v>
      </c>
      <c r="C3253" s="17" t="s">
        <v>10178</v>
      </c>
      <c r="D3253" s="17" t="s">
        <v>10856</v>
      </c>
      <c r="E3253" s="10">
        <v>1253367</v>
      </c>
      <c r="F3253" s="4" t="str">
        <f>IF(B3253=B3252,"",B3253)</f>
        <v>Vāsco Da Gāma</v>
      </c>
    </row>
    <row r="3254" spans="1:6" ht="15.75" customHeight="1">
      <c r="A3254" s="6" t="s">
        <v>13705</v>
      </c>
      <c r="B3254" s="6" t="s">
        <v>13705</v>
      </c>
      <c r="C3254" s="6" t="s">
        <v>10178</v>
      </c>
      <c r="D3254" s="6" t="s">
        <v>10209</v>
      </c>
      <c r="E3254" s="2">
        <v>1253374</v>
      </c>
      <c r="F3254" s="4" t="str">
        <f>IF(B3254=B3253,"",B3254)</f>
        <v>Vasa</v>
      </c>
    </row>
    <row r="3255" spans="1:6" ht="15.75" customHeight="1">
      <c r="A3255" s="5" t="str">
        <f ca="1">IFERROR(__xludf.DUMMYFUNCTION("GOOGLETRANSLATE(B31896,""en"",""pt"")"),"Vasa")</f>
        <v>Vasa</v>
      </c>
      <c r="B3255" s="17" t="s">
        <v>13705</v>
      </c>
      <c r="C3255" s="17" t="s">
        <v>10178</v>
      </c>
      <c r="D3255" s="17" t="s">
        <v>10209</v>
      </c>
      <c r="E3255" s="10">
        <v>1253374</v>
      </c>
      <c r="F3255" s="4" t="str">
        <f>IF(B3255=B3254,"",B3255)</f>
        <v/>
      </c>
    </row>
    <row r="3256" spans="1:6" ht="15.75" customHeight="1">
      <c r="A3256" s="5" t="str">
        <f ca="1">IFERROR(__xludf.DUMMYFUNCTION("GOOGLETRANSLATE(B24448,""en"",""pt"")"),"Várzea Paulista")</f>
        <v>Várzea Paulista</v>
      </c>
      <c r="B3256" s="17" t="s">
        <v>31430</v>
      </c>
      <c r="C3256" s="17" t="s">
        <v>1905</v>
      </c>
      <c r="D3256" s="17" t="s">
        <v>3354</v>
      </c>
      <c r="E3256" s="10">
        <v>3445446</v>
      </c>
      <c r="F3256" s="4" t="str">
        <f>IF(B3256=B3255,"",B3256)</f>
        <v>Várzea Paulista</v>
      </c>
    </row>
    <row r="3257" spans="1:6" ht="15.75" customHeight="1">
      <c r="A3257" s="5" t="str">
        <f ca="1">IFERROR(__xludf.DUMMYFUNCTION("GOOGLETRANSLATE(B24449,""en"",""pt"")"),"Várzea Grande")</f>
        <v>Várzea Grande</v>
      </c>
      <c r="B3257" s="17" t="s">
        <v>31431</v>
      </c>
      <c r="C3257" s="17" t="s">
        <v>1905</v>
      </c>
      <c r="D3257" s="17" t="s">
        <v>2036</v>
      </c>
      <c r="E3257" s="10">
        <v>3445451</v>
      </c>
      <c r="F3257" s="4" t="str">
        <f>IF(B3257=B3256,"",B3257)</f>
        <v>Várzea Grande</v>
      </c>
    </row>
    <row r="3258" spans="1:6" ht="15.75" customHeight="1">
      <c r="A3258" s="5" t="str">
        <f ca="1">IFERROR(__xludf.DUMMYFUNCTION("GOOGLETRANSLATE(B24450,""en"",""pt"")"),"Várzea da Palma")</f>
        <v>Várzea da Palma</v>
      </c>
      <c r="B3258" s="17" t="s">
        <v>31432</v>
      </c>
      <c r="C3258" s="17" t="s">
        <v>1905</v>
      </c>
      <c r="D3258" s="17" t="s">
        <v>1917</v>
      </c>
      <c r="E3258" s="10">
        <v>3445459</v>
      </c>
      <c r="F3258" s="4" t="str">
        <f>IF(B3258=B3257,"",B3258)</f>
        <v>Várzea da Palma</v>
      </c>
    </row>
    <row r="3259" spans="1:6" ht="15.75" customHeight="1">
      <c r="A3259" s="5" t="str">
        <f ca="1">IFERROR(__xludf.DUMMYFUNCTION("GOOGLETRANSLATE(B24151,""en"",""pt"")"),"Várzea Alegre")</f>
        <v>Várzea Alegre</v>
      </c>
      <c r="B3259" s="17" t="s">
        <v>31347</v>
      </c>
      <c r="C3259" s="17" t="s">
        <v>1905</v>
      </c>
      <c r="D3259" s="17" t="s">
        <v>31345</v>
      </c>
      <c r="E3259" s="10">
        <v>3385467</v>
      </c>
      <c r="F3259" s="4" t="str">
        <f>IF(B3259=B3258,"",B3259)</f>
        <v>Várzea Alegre</v>
      </c>
    </row>
    <row r="3260" spans="1:6" ht="15.75" customHeight="1">
      <c r="A3260" s="6" t="s">
        <v>26748</v>
      </c>
      <c r="B3260" s="6" t="s">
        <v>26748</v>
      </c>
      <c r="C3260" s="6" t="s">
        <v>26201</v>
      </c>
      <c r="D3260" s="6" t="s">
        <v>26423</v>
      </c>
      <c r="E3260" s="2">
        <v>298088</v>
      </c>
      <c r="F3260" s="4" t="str">
        <f>IF(B3260=B3259,"",B3260)</f>
        <v>Varto</v>
      </c>
    </row>
    <row r="3261" spans="1:6" ht="15.75" customHeight="1">
      <c r="A3261" s="5" t="str">
        <f ca="1">IFERROR(__xludf.DUMMYFUNCTION("GOOGLETRANSLATE(B41873,""en"",""pt"")"),"Varto")</f>
        <v>Varto</v>
      </c>
      <c r="B3261" s="17" t="s">
        <v>26748</v>
      </c>
      <c r="C3261" s="17" t="s">
        <v>26201</v>
      </c>
      <c r="D3261" s="17" t="s">
        <v>35823</v>
      </c>
      <c r="E3261" s="10">
        <v>298088</v>
      </c>
      <c r="F3261" s="4" t="str">
        <f>IF(B3261=B3260,"",B3261)</f>
        <v/>
      </c>
    </row>
    <row r="3262" spans="1:6" ht="15.75" customHeight="1">
      <c r="A3262" s="5" t="str">
        <f ca="1">IFERROR(__xludf.DUMMYFUNCTION("GOOGLETRANSLATE(B31275,""en"",""pt"")"),"Várpalota")</f>
        <v>Várpalota</v>
      </c>
      <c r="B3262" s="17" t="s">
        <v>32849</v>
      </c>
      <c r="C3262" s="17" t="s">
        <v>9955</v>
      </c>
      <c r="D3262" s="17" t="s">
        <v>32847</v>
      </c>
      <c r="E3262" s="10">
        <v>3043095</v>
      </c>
      <c r="F3262" s="4" t="str">
        <f>IF(B3262=B3261,"",B3262)</f>
        <v>Várpalota</v>
      </c>
    </row>
    <row r="3263" spans="1:6" ht="15.75" customHeight="1">
      <c r="A3263" s="6" t="s">
        <v>6119</v>
      </c>
      <c r="B3263" s="6" t="s">
        <v>6119</v>
      </c>
      <c r="C3263" s="6" t="s">
        <v>5947</v>
      </c>
      <c r="D3263" s="6" t="s">
        <v>5956</v>
      </c>
      <c r="E3263" s="2">
        <v>3063375</v>
      </c>
      <c r="F3263" s="4" t="str">
        <f>IF(B3263=B3262,"",B3263)</f>
        <v>Varnsdorf</v>
      </c>
    </row>
    <row r="3264" spans="1:6" ht="15.75" customHeight="1">
      <c r="A3264" s="5" t="str">
        <f ca="1">IFERROR(__xludf.DUMMYFUNCTION("GOOGLETRANSLATE(B27250,""en"",""pt"")"),"Varnsdorf")</f>
        <v>Varnsdorf</v>
      </c>
      <c r="B3264" s="17" t="s">
        <v>6119</v>
      </c>
      <c r="C3264" s="17" t="s">
        <v>5947</v>
      </c>
      <c r="D3264" s="17" t="s">
        <v>31942</v>
      </c>
      <c r="E3264" s="10">
        <v>3063375</v>
      </c>
      <c r="F3264" s="4" t="str">
        <f>IF(B3264=B3263,"",B3264)</f>
        <v/>
      </c>
    </row>
    <row r="3265" spans="1:6" ht="15.75" customHeight="1">
      <c r="A3265" s="5" t="str">
        <f ca="1">IFERROR(__xludf.DUMMYFUNCTION("GOOGLETRANSLATE(B41128,""en"",""pt"")"),"Värnamo")</f>
        <v>Värnamo</v>
      </c>
      <c r="B3265" s="17" t="s">
        <v>25222</v>
      </c>
      <c r="C3265" s="17" t="s">
        <v>25077</v>
      </c>
      <c r="D3265" s="17" t="s">
        <v>35627</v>
      </c>
      <c r="E3265" s="10">
        <v>2664855</v>
      </c>
      <c r="F3265" s="4" t="str">
        <f>IF(B3265=B3264,"",B3265)</f>
        <v>Värnamo</v>
      </c>
    </row>
    <row r="3266" spans="1:6" ht="15.75" customHeight="1">
      <c r="A3266" s="6" t="s">
        <v>3760</v>
      </c>
      <c r="B3266" s="6" t="s">
        <v>3760</v>
      </c>
      <c r="C3266" s="6" t="s">
        <v>3701</v>
      </c>
      <c r="D3266" s="6" t="s">
        <v>3760</v>
      </c>
      <c r="E3266" s="2">
        <v>726050</v>
      </c>
      <c r="F3266" s="4" t="str">
        <f>IF(B3266=B3265,"",B3266)</f>
        <v>Varna</v>
      </c>
    </row>
    <row r="3267" spans="1:6" ht="15.75" customHeight="1">
      <c r="A3267" s="5" t="str">
        <f ca="1">IFERROR(__xludf.DUMMYFUNCTION("GOOGLETRANSLATE(B24012,""en"",""pt"")"),"Varna")</f>
        <v>Varna</v>
      </c>
      <c r="B3267" s="17" t="s">
        <v>3760</v>
      </c>
      <c r="C3267" s="17" t="s">
        <v>3701</v>
      </c>
      <c r="D3267" s="17" t="s">
        <v>3760</v>
      </c>
      <c r="E3267" s="10">
        <v>726050</v>
      </c>
      <c r="F3267" s="4" t="str">
        <f>IF(B3267=B3266,"",B3267)</f>
        <v/>
      </c>
    </row>
    <row r="3268" spans="1:6" ht="15.75" customHeight="1">
      <c r="A3268" s="6" t="s">
        <v>7046</v>
      </c>
      <c r="B3268" s="6" t="s">
        <v>7046</v>
      </c>
      <c r="C3268" s="6" t="s">
        <v>6948</v>
      </c>
      <c r="D3268" s="6" t="s">
        <v>6967</v>
      </c>
      <c r="E3268" s="2">
        <v>632370</v>
      </c>
      <c r="F3268" s="4" t="str">
        <f>IF(B3268=B3267,"",B3268)</f>
        <v>Varkaus</v>
      </c>
    </row>
    <row r="3269" spans="1:6" ht="15.75" customHeight="1">
      <c r="A3269" s="5" t="str">
        <f ca="1">IFERROR(__xludf.DUMMYFUNCTION("GOOGLETRANSLATE(B29599,""en"",""pt"")"),"Varkaus")</f>
        <v>Varkaus</v>
      </c>
      <c r="B3269" s="17" t="s">
        <v>7046</v>
      </c>
      <c r="C3269" s="17" t="s">
        <v>6948</v>
      </c>
      <c r="D3269" s="17" t="s">
        <v>6967</v>
      </c>
      <c r="E3269" s="10">
        <v>632370</v>
      </c>
      <c r="F3269" s="4" t="str">
        <f>IF(B3269=B3268,"",B3269)</f>
        <v/>
      </c>
    </row>
    <row r="3270" spans="1:6" ht="15.75" customHeight="1">
      <c r="A3270" s="6" t="s">
        <v>13704</v>
      </c>
      <c r="B3270" s="6" t="s">
        <v>13704</v>
      </c>
      <c r="C3270" s="6" t="s">
        <v>10178</v>
      </c>
      <c r="D3270" s="6" t="s">
        <v>10246</v>
      </c>
      <c r="E3270" s="2">
        <v>1253392</v>
      </c>
      <c r="F3270" s="4" t="str">
        <f>IF(B3270=B3269,"",B3270)</f>
        <v>Varkala</v>
      </c>
    </row>
    <row r="3271" spans="1:6" ht="15.75" customHeight="1">
      <c r="A3271" s="5" t="str">
        <f ca="1">IFERROR(__xludf.DUMMYFUNCTION("GOOGLETRANSLATE(B31897,""en"",""pt"")"),"Varkala")</f>
        <v>Varkala</v>
      </c>
      <c r="B3271" s="17" t="s">
        <v>13704</v>
      </c>
      <c r="C3271" s="17" t="s">
        <v>10178</v>
      </c>
      <c r="D3271" s="17" t="s">
        <v>10246</v>
      </c>
      <c r="E3271" s="10">
        <v>1253392</v>
      </c>
      <c r="F3271" s="4" t="str">
        <f>IF(B3271=B3270,"",B3271)</f>
        <v/>
      </c>
    </row>
    <row r="3272" spans="1:6" ht="15.75" customHeight="1">
      <c r="A3272" s="6" t="s">
        <v>3647</v>
      </c>
      <c r="B3272" s="6" t="s">
        <v>3647</v>
      </c>
      <c r="C3272" s="6" t="s">
        <v>1905</v>
      </c>
      <c r="D3272" s="6" t="s">
        <v>1930</v>
      </c>
      <c r="E3272" s="2">
        <v>3385504</v>
      </c>
      <c r="F3272" s="4" t="str">
        <f>IF(B3272=B3271,"",B3272)</f>
        <v>Varjota</v>
      </c>
    </row>
    <row r="3273" spans="1:6" ht="15.75" customHeight="1">
      <c r="A3273" s="5" t="str">
        <f ca="1">IFERROR(__xludf.DUMMYFUNCTION("GOOGLETRANSLATE(B24152,""en"",""pt"")"),"Varjota")</f>
        <v>Varjota</v>
      </c>
      <c r="B3273" s="17" t="s">
        <v>3647</v>
      </c>
      <c r="C3273" s="17" t="s">
        <v>1905</v>
      </c>
      <c r="D3273" s="17" t="s">
        <v>31345</v>
      </c>
      <c r="E3273" s="10">
        <v>3385504</v>
      </c>
      <c r="F3273" s="4" t="str">
        <f>IF(B3273=B3272,"",B3273)</f>
        <v/>
      </c>
    </row>
    <row r="3274" spans="1:6" ht="15.75" customHeight="1">
      <c r="A3274" s="5" t="str">
        <f ca="1">IFERROR(__xludf.DUMMYFUNCTION("GOOGLETRANSLATE(B30956,""en"",""pt"")"),"Vári")</f>
        <v>Vári</v>
      </c>
      <c r="B3274" s="17" t="s">
        <v>32670</v>
      </c>
      <c r="C3274" s="17" t="s">
        <v>9441</v>
      </c>
      <c r="D3274" s="17" t="s">
        <v>9445</v>
      </c>
      <c r="E3274" s="10">
        <v>252270</v>
      </c>
      <c r="F3274" s="4" t="str">
        <f>IF(B3274=B3273,"",B3274)</f>
        <v>Vári</v>
      </c>
    </row>
    <row r="3275" spans="1:6" ht="15.75" customHeight="1">
      <c r="A3275" s="6" t="s">
        <v>3645</v>
      </c>
      <c r="B3275" s="6" t="s">
        <v>3646</v>
      </c>
      <c r="C3275" s="6" t="s">
        <v>1905</v>
      </c>
      <c r="D3275" s="6" t="s">
        <v>1917</v>
      </c>
      <c r="E3275" s="2">
        <v>3445487</v>
      </c>
      <c r="F3275" s="4" t="str">
        <f>IF(B3275=B3274,"",B3275)</f>
        <v>Varginha</v>
      </c>
    </row>
    <row r="3276" spans="1:6" ht="15.75" customHeight="1">
      <c r="A3276" s="5" t="str">
        <f ca="1">IFERROR(__xludf.DUMMYFUNCTION("GOOGLETRANSLATE(B24451,""en"",""pt"")"),"Varvenha")</f>
        <v>Varvenha</v>
      </c>
      <c r="B3276" s="17" t="s">
        <v>3646</v>
      </c>
      <c r="C3276" s="17" t="s">
        <v>1905</v>
      </c>
      <c r="D3276" s="17" t="s">
        <v>1917</v>
      </c>
      <c r="E3276" s="10">
        <v>3445487</v>
      </c>
      <c r="F3276" s="4" t="str">
        <f>IF(B3276=B3275,"",B3276)</f>
        <v/>
      </c>
    </row>
    <row r="3277" spans="1:6" ht="15.75" customHeight="1">
      <c r="A3277" s="5" t="s">
        <v>3644</v>
      </c>
      <c r="B3277" s="6" t="s">
        <v>3644</v>
      </c>
      <c r="C3277" s="5" t="s">
        <v>1905</v>
      </c>
      <c r="D3277" s="5" t="s">
        <v>1914</v>
      </c>
      <c r="E3277" s="2">
        <v>3445500</v>
      </c>
      <c r="F3277" s="4" t="str">
        <f>IF(B3277=B3276,"",B3277)</f>
        <v>Vargem Grande do Sul</v>
      </c>
    </row>
    <row r="3278" spans="1:6" ht="15.75" customHeight="1">
      <c r="A3278" s="5" t="str">
        <f ca="1">IFERROR(__xludf.DUMMYFUNCTION("GOOGLETRANSLATE(B24452,""en"",""pt"")"),"Vargem Grande do Sul")</f>
        <v>Vargem Grande do Sul</v>
      </c>
      <c r="B3278" s="17" t="s">
        <v>3644</v>
      </c>
      <c r="C3278" s="17" t="s">
        <v>1905</v>
      </c>
      <c r="D3278" s="17" t="s">
        <v>3354</v>
      </c>
      <c r="E3278" s="10">
        <v>3445500</v>
      </c>
      <c r="F3278" s="4" t="str">
        <f>IF(B3278=B3277,"",B3278)</f>
        <v/>
      </c>
    </row>
    <row r="3279" spans="1:6" ht="15.75" customHeight="1">
      <c r="A3279" s="5" t="s">
        <v>3643</v>
      </c>
      <c r="B3279" s="6" t="s">
        <v>3643</v>
      </c>
      <c r="C3279" s="5" t="s">
        <v>1905</v>
      </c>
      <c r="D3279" s="5" t="s">
        <v>2024</v>
      </c>
      <c r="E3279" s="2">
        <v>3385538</v>
      </c>
      <c r="F3279" s="4" t="str">
        <f>IF(B3279=B3278,"",B3279)</f>
        <v>Vargem Grande</v>
      </c>
    </row>
    <row r="3280" spans="1:6" ht="15.75" customHeight="1">
      <c r="A3280" s="5" t="str">
        <f ca="1">IFERROR(__xludf.DUMMYFUNCTION("GOOGLETRANSLATE(B24153,""en"",""pt"")"),"Vargem Grande")</f>
        <v>Vargem Grande</v>
      </c>
      <c r="B3280" s="17" t="s">
        <v>3643</v>
      </c>
      <c r="C3280" s="17" t="s">
        <v>1905</v>
      </c>
      <c r="D3280" s="17" t="s">
        <v>31340</v>
      </c>
      <c r="E3280" s="10">
        <v>3385538</v>
      </c>
      <c r="F3280" s="4" t="str">
        <f>IF(B3280=B3279,"",B3280)</f>
        <v/>
      </c>
    </row>
    <row r="3281" spans="1:6" ht="15.75" customHeight="1">
      <c r="A3281" s="6" t="s">
        <v>15556</v>
      </c>
      <c r="B3281" s="6" t="s">
        <v>15556</v>
      </c>
      <c r="C3281" s="6" t="s">
        <v>14891</v>
      </c>
      <c r="D3281" s="6" t="s">
        <v>14894</v>
      </c>
      <c r="E3281" s="2">
        <v>3164699</v>
      </c>
      <c r="F3281" s="4" t="str">
        <f>IF(B3281=B3280,"",B3281)</f>
        <v>Varese</v>
      </c>
    </row>
    <row r="3282" spans="1:6" ht="15.75" customHeight="1">
      <c r="A3282" s="5" t="str">
        <f ca="1">IFERROR(__xludf.DUMMYFUNCTION("GOOGLETRANSLATE(B34644,""en"",""pt"")"),"Varese")</f>
        <v>Varese</v>
      </c>
      <c r="B3282" s="17" t="s">
        <v>15556</v>
      </c>
      <c r="C3282" s="17" t="s">
        <v>14891</v>
      </c>
      <c r="D3282" s="17" t="s">
        <v>14894</v>
      </c>
      <c r="E3282" s="10">
        <v>3164699</v>
      </c>
      <c r="F3282" s="4" t="str">
        <f>IF(B3282=B3281,"",B3282)</f>
        <v/>
      </c>
    </row>
    <row r="3283" spans="1:6" ht="15.75" customHeight="1">
      <c r="A3283" s="6" t="s">
        <v>4229</v>
      </c>
      <c r="B3283" s="6" t="s">
        <v>4229</v>
      </c>
      <c r="C3283" s="6" t="s">
        <v>3975</v>
      </c>
      <c r="D3283" s="6" t="s">
        <v>3982</v>
      </c>
      <c r="E3283" s="2">
        <v>6173508</v>
      </c>
      <c r="F3283" s="4" t="str">
        <f>IF(B3283=B3282,"",B3283)</f>
        <v>Varennes</v>
      </c>
    </row>
    <row r="3284" spans="1:6" ht="15.75" customHeight="1">
      <c r="A3284" s="5" t="str">
        <f ca="1">IFERROR(__xludf.DUMMYFUNCTION("GOOGLETRANSLATE(B25603,""en"",""pt"")"),"Varennes")</f>
        <v>Varennes</v>
      </c>
      <c r="B3284" s="17" t="s">
        <v>4229</v>
      </c>
      <c r="C3284" s="17" t="s">
        <v>3975</v>
      </c>
      <c r="D3284" s="17" t="s">
        <v>3982</v>
      </c>
      <c r="E3284" s="10">
        <v>6173508</v>
      </c>
      <c r="F3284" s="4" t="str">
        <f>IF(B3284=B3283,"",B3284)</f>
        <v/>
      </c>
    </row>
    <row r="3285" spans="1:6" ht="15.75" customHeight="1">
      <c r="A3285" s="6" t="s">
        <v>9225</v>
      </c>
      <c r="B3285" s="6" t="s">
        <v>9225</v>
      </c>
      <c r="C3285" s="6" t="s">
        <v>8028</v>
      </c>
      <c r="D3285" s="6" t="s">
        <v>8034</v>
      </c>
      <c r="E3285" s="2">
        <v>2817873</v>
      </c>
      <c r="F3285" s="4" t="str">
        <f>IF(B3285=B3284,"",B3285)</f>
        <v>Varel</v>
      </c>
    </row>
    <row r="3286" spans="1:6" ht="15.75" customHeight="1">
      <c r="A3286" s="5" t="str">
        <f ca="1">IFERROR(__xludf.DUMMYFUNCTION("GOOGLETRANSLATE(B27455,""en"",""pt"")"),"Varel")</f>
        <v>Varel</v>
      </c>
      <c r="B3286" s="17" t="s">
        <v>9225</v>
      </c>
      <c r="C3286" s="17" t="s">
        <v>8028</v>
      </c>
      <c r="D3286" s="17" t="s">
        <v>8034</v>
      </c>
      <c r="E3286" s="10">
        <v>2817873</v>
      </c>
      <c r="F3286" s="4" t="str">
        <f>IF(B3286=B3285,"",B3286)</f>
        <v/>
      </c>
    </row>
    <row r="3287" spans="1:6" ht="15.75" customHeight="1">
      <c r="A3287" s="6" t="s">
        <v>25232</v>
      </c>
      <c r="B3287" s="6" t="s">
        <v>25232</v>
      </c>
      <c r="C3287" s="6" t="s">
        <v>25077</v>
      </c>
      <c r="D3287" s="6" t="s">
        <v>25119</v>
      </c>
      <c r="E3287" s="2">
        <v>2664996</v>
      </c>
      <c r="F3287" s="4" t="str">
        <f>IF(B3287=B3286,"",B3287)</f>
        <v>Varberg</v>
      </c>
    </row>
    <row r="3288" spans="1:6" ht="15.75" customHeight="1">
      <c r="A3288" s="5" t="str">
        <f ca="1">IFERROR(__xludf.DUMMYFUNCTION("GOOGLETRANSLATE(B41129,""en"",""pt"")"),"Varberg")</f>
        <v>Varberg</v>
      </c>
      <c r="B3288" s="17" t="s">
        <v>25232</v>
      </c>
      <c r="C3288" s="17" t="s">
        <v>25077</v>
      </c>
      <c r="D3288" s="17" t="s">
        <v>25119</v>
      </c>
      <c r="E3288" s="10">
        <v>2664996</v>
      </c>
      <c r="F3288" s="4" t="str">
        <f>IF(B3288=B3287,"",B3288)</f>
        <v/>
      </c>
    </row>
    <row r="3289" spans="1:6" ht="15.75" customHeight="1">
      <c r="A3289" s="5" t="str">
        <f ca="1">IFERROR(__xludf.DUMMYFUNCTION("GOOGLETRANSLATE(B31194,""en"",""pt"")"),"Varaždin")</f>
        <v>Varaždin</v>
      </c>
      <c r="B3289" s="17" t="s">
        <v>32805</v>
      </c>
      <c r="C3289" s="17" t="s">
        <v>5711</v>
      </c>
      <c r="D3289" s="17" t="s">
        <v>32806</v>
      </c>
      <c r="E3289" s="10">
        <v>3188383</v>
      </c>
      <c r="F3289" s="4" t="str">
        <f>IF(B3289=B3288,"",B3289)</f>
        <v>Varaždin</v>
      </c>
    </row>
    <row r="3290" spans="1:6" ht="15.75" customHeight="1">
      <c r="A3290" s="5" t="s">
        <v>13703</v>
      </c>
      <c r="B3290" s="6" t="s">
        <v>13703</v>
      </c>
      <c r="C3290" s="5" t="s">
        <v>10178</v>
      </c>
      <c r="D3290" s="5" t="s">
        <v>10214</v>
      </c>
      <c r="E3290" s="2">
        <v>1253403</v>
      </c>
      <c r="F3290" s="4" t="str">
        <f>IF(B3290=B3289,"",B3290)</f>
        <v>Varangaon</v>
      </c>
    </row>
    <row r="3291" spans="1:6" ht="15.75" customHeight="1">
      <c r="A3291" s="5" t="str">
        <f ca="1">IFERROR(__xludf.DUMMYFUNCTION("GOOGLETRANSLATE(B31898,""en"",""pt"")"),"Varangaon")</f>
        <v>Varangaon</v>
      </c>
      <c r="B3291" s="17" t="s">
        <v>13703</v>
      </c>
      <c r="C3291" s="17" t="s">
        <v>10178</v>
      </c>
      <c r="D3291" s="17" t="s">
        <v>10214</v>
      </c>
      <c r="E3291" s="10">
        <v>1253403</v>
      </c>
      <c r="F3291" s="4" t="str">
        <f>IF(B3291=B3290,"",B3291)</f>
        <v/>
      </c>
    </row>
    <row r="3292" spans="1:6" ht="15.75" customHeight="1">
      <c r="A3292" s="6" t="s">
        <v>13702</v>
      </c>
      <c r="B3292" s="6" t="s">
        <v>13702</v>
      </c>
      <c r="C3292" s="6" t="s">
        <v>10178</v>
      </c>
      <c r="D3292" s="6" t="s">
        <v>10193</v>
      </c>
      <c r="E3292" s="2">
        <v>1253405</v>
      </c>
      <c r="F3292" s="4" t="str">
        <f>IF(B3292=B3291,"",B3292)</f>
        <v>Varanasi</v>
      </c>
    </row>
    <row r="3293" spans="1:6" ht="15.75" customHeight="1">
      <c r="A3293" s="5" t="str">
        <f ca="1">IFERROR(__xludf.DUMMYFUNCTION("GOOGLETRANSLATE(B31899,""en"",""pt"")"),"Varanasi")</f>
        <v>Varanasi</v>
      </c>
      <c r="B3293" s="17" t="s">
        <v>13702</v>
      </c>
      <c r="C3293" s="17" t="s">
        <v>10178</v>
      </c>
      <c r="D3293" s="17" t="s">
        <v>10193</v>
      </c>
      <c r="E3293" s="10">
        <v>1253405</v>
      </c>
      <c r="F3293" s="4" t="str">
        <f>IF(B3293=B3292,"",B3293)</f>
        <v/>
      </c>
    </row>
    <row r="3294" spans="1:6" ht="15.75" customHeight="1">
      <c r="A3294" s="5" t="str">
        <f ca="1">IFERROR(__xludf.DUMMYFUNCTION("GOOGLETRANSLATE(B34352,""en"",""pt"")"),"Varāmīn")</f>
        <v>Varāmīn</v>
      </c>
      <c r="B3294" s="17" t="s">
        <v>34129</v>
      </c>
      <c r="C3294" s="17" t="s">
        <v>14240</v>
      </c>
      <c r="D3294" s="17" t="s">
        <v>34125</v>
      </c>
      <c r="E3294" s="10">
        <v>112214</v>
      </c>
      <c r="F3294" s="4" t="str">
        <f>IF(B3294=B3293,"",B3294)</f>
        <v>Varāmīn</v>
      </c>
    </row>
    <row r="3295" spans="1:6" ht="15.75" customHeight="1">
      <c r="A3295" s="6" t="s">
        <v>5922</v>
      </c>
      <c r="B3295" s="6" t="s">
        <v>5922</v>
      </c>
      <c r="C3295" s="6" t="s">
        <v>5764</v>
      </c>
      <c r="D3295" s="6" t="s">
        <v>5796</v>
      </c>
      <c r="E3295" s="2">
        <v>3534632</v>
      </c>
      <c r="F3295" s="4" t="str">
        <f>IF(B3295=B3294,"",B3295)</f>
        <v>Varadero</v>
      </c>
    </row>
    <row r="3296" spans="1:6" ht="15.75" customHeight="1">
      <c r="A3296" s="5" t="str">
        <f ca="1">IFERROR(__xludf.DUMMYFUNCTION("GOOGLETRANSLATE(B27107,""en"",""pt"")"),"Varadero")</f>
        <v>Varadero</v>
      </c>
      <c r="B3296" s="17" t="s">
        <v>5922</v>
      </c>
      <c r="C3296" s="17" t="s">
        <v>5764</v>
      </c>
      <c r="D3296" s="17" t="s">
        <v>5796</v>
      </c>
      <c r="E3296" s="10">
        <v>3534632</v>
      </c>
      <c r="F3296" s="4" t="str">
        <f>IF(B3296=B3295,"",B3296)</f>
        <v/>
      </c>
    </row>
    <row r="3297" spans="1:6" ht="15.75" customHeight="1">
      <c r="A3297" s="5" t="s">
        <v>5745</v>
      </c>
      <c r="B3297" s="6" t="s">
        <v>5746</v>
      </c>
      <c r="C3297" s="5" t="s">
        <v>5711</v>
      </c>
      <c r="D3297" s="5" t="s">
        <v>5747</v>
      </c>
      <c r="E3297" s="2">
        <v>3188383</v>
      </c>
      <c r="F3297" s="4" t="str">
        <f>IF(B3297=B3296,"",B3297)</f>
        <v>VaraÅ¾din</v>
      </c>
    </row>
    <row r="3298" spans="1:6" ht="15.75" customHeight="1">
      <c r="A3298" s="5" t="s">
        <v>14583</v>
      </c>
      <c r="B3298" s="6" t="s">
        <v>14584</v>
      </c>
      <c r="C3298" s="5" t="s">
        <v>14240</v>
      </c>
      <c r="D3298" s="5" t="s">
        <v>14358</v>
      </c>
      <c r="E3298" s="2">
        <v>112214</v>
      </c>
      <c r="F3298" s="4" t="str">
        <f>IF(B3298=B3297,"",B3298)</f>
        <v>VarÄmÄ«n</v>
      </c>
    </row>
    <row r="3299" spans="1:6" ht="15.75" customHeight="1">
      <c r="A3299" s="6" t="s">
        <v>13700</v>
      </c>
      <c r="B3299" s="6" t="s">
        <v>13701</v>
      </c>
      <c r="C3299" s="6" t="s">
        <v>10178</v>
      </c>
      <c r="D3299" s="6" t="s">
        <v>10209</v>
      </c>
      <c r="E3299" s="2">
        <v>7279741</v>
      </c>
      <c r="F3299" s="4" t="str">
        <f>IF(B3299=B3298,"",B3299)</f>
        <v>Vapi</v>
      </c>
    </row>
    <row r="3300" spans="1:6" ht="15.75" customHeight="1">
      <c r="A3300" s="5" t="str">
        <f ca="1">IFERROR(__xludf.DUMMYFUNCTION("GOOGLETRANSLATE(B34218,""en"",""pt"")"),"VAPI")</f>
        <v>VAPI</v>
      </c>
      <c r="B3300" s="17" t="s">
        <v>13701</v>
      </c>
      <c r="C3300" s="17" t="s">
        <v>10178</v>
      </c>
      <c r="D3300" s="17" t="s">
        <v>10209</v>
      </c>
      <c r="E3300" s="10">
        <v>7279741</v>
      </c>
      <c r="F3300" s="4" t="str">
        <f>IF(B3300=B3299,"",B3300)</f>
        <v/>
      </c>
    </row>
    <row r="3301" spans="1:6" ht="15.75" customHeight="1">
      <c r="A3301" s="6" t="s">
        <v>7879</v>
      </c>
      <c r="B3301" s="6" t="s">
        <v>7879</v>
      </c>
      <c r="C3301" s="6" t="s">
        <v>7052</v>
      </c>
      <c r="D3301" s="6" t="s">
        <v>7058</v>
      </c>
      <c r="E3301" s="2">
        <v>2970761</v>
      </c>
      <c r="F3301" s="4" t="str">
        <f>IF(B3301=B3300,"",B3301)</f>
        <v>Vanves</v>
      </c>
    </row>
    <row r="3302" spans="1:6" ht="15.75" customHeight="1">
      <c r="A3302" s="5" t="str">
        <f ca="1">IFERROR(__xludf.DUMMYFUNCTION("GOOGLETRANSLATE(B29716,""en"",""pt"")"),"Vanves")</f>
        <v>Vanves</v>
      </c>
      <c r="B3302" s="17" t="s">
        <v>7879</v>
      </c>
      <c r="C3302" s="17" t="s">
        <v>7052</v>
      </c>
      <c r="D3302" s="17" t="s">
        <v>32531</v>
      </c>
      <c r="E3302" s="10">
        <v>2970761</v>
      </c>
      <c r="F3302" s="4" t="str">
        <f>IF(B3302=B3301,"",B3302)</f>
        <v/>
      </c>
    </row>
    <row r="3303" spans="1:6" ht="15.75" customHeight="1">
      <c r="A3303" s="6" t="s">
        <v>7045</v>
      </c>
      <c r="B3303" s="6" t="s">
        <v>7045</v>
      </c>
      <c r="C3303" s="6" t="s">
        <v>6948</v>
      </c>
      <c r="D3303" s="6" t="s">
        <v>6951</v>
      </c>
      <c r="E3303" s="2">
        <v>632453</v>
      </c>
      <c r="F3303" s="4" t="str">
        <f>IF(B3303=B3302,"",B3303)</f>
        <v>Vantaa</v>
      </c>
    </row>
    <row r="3304" spans="1:6" ht="15.75" customHeight="1">
      <c r="A3304" s="5" t="str">
        <f ca="1">IFERROR(__xludf.DUMMYFUNCTION("GOOGLETRANSLATE(B29600,""en"",""pt"")"),"Vantaa")</f>
        <v>Vantaa</v>
      </c>
      <c r="B3304" s="17" t="s">
        <v>7045</v>
      </c>
      <c r="C3304" s="17" t="s">
        <v>6948</v>
      </c>
      <c r="D3304" s="17" t="s">
        <v>6951</v>
      </c>
      <c r="E3304" s="10">
        <v>632453</v>
      </c>
      <c r="F3304" s="4" t="str">
        <f>IF(B3304=B3303,"",B3304)</f>
        <v/>
      </c>
    </row>
    <row r="3305" spans="1:6" ht="15.75" customHeight="1">
      <c r="A3305" s="6" t="s">
        <v>16770</v>
      </c>
      <c r="B3305" s="6" t="s">
        <v>16770</v>
      </c>
      <c r="C3305" s="6" t="s">
        <v>16671</v>
      </c>
      <c r="D3305" s="6" t="s">
        <v>16678</v>
      </c>
      <c r="E3305" s="2">
        <v>1517501</v>
      </c>
      <c r="F3305" s="4" t="str">
        <f>IF(B3305=B3304,"",B3305)</f>
        <v>Vannovka</v>
      </c>
    </row>
    <row r="3306" spans="1:6" ht="15.75" customHeight="1">
      <c r="A3306" s="5" t="str">
        <f ca="1">IFERROR(__xludf.DUMMYFUNCTION("GOOGLETRANSLATE(B36207,""en"",""pt"")"),"Vannovka")</f>
        <v>Vannovka</v>
      </c>
      <c r="B3306" s="17" t="s">
        <v>16770</v>
      </c>
      <c r="C3306" s="17" t="s">
        <v>16671</v>
      </c>
      <c r="D3306" s="17" t="s">
        <v>34499</v>
      </c>
      <c r="E3306" s="10">
        <v>1517501</v>
      </c>
      <c r="F3306" s="4" t="str">
        <f>IF(B3306=B3305,"",B3306)</f>
        <v/>
      </c>
    </row>
    <row r="3307" spans="1:6" ht="15.75" customHeight="1">
      <c r="A3307" s="6" t="s">
        <v>7878</v>
      </c>
      <c r="B3307" s="6" t="s">
        <v>7878</v>
      </c>
      <c r="C3307" s="6" t="s">
        <v>7052</v>
      </c>
      <c r="D3307" s="6" t="s">
        <v>7190</v>
      </c>
      <c r="E3307" s="2">
        <v>2970777</v>
      </c>
      <c r="F3307" s="4" t="str">
        <f>IF(B3307=B3306,"",B3307)</f>
        <v>Vannes</v>
      </c>
    </row>
    <row r="3308" spans="1:6" ht="15.75" customHeight="1">
      <c r="A3308" s="5" t="str">
        <f ca="1">IFERROR(__xludf.DUMMYFUNCTION("GOOGLETRANSLATE(B29717,""en"",""pt"")"),"Vannes")</f>
        <v>Vannes</v>
      </c>
      <c r="B3308" s="17" t="s">
        <v>7878</v>
      </c>
      <c r="C3308" s="17" t="s">
        <v>7052</v>
      </c>
      <c r="D3308" s="17" t="s">
        <v>7190</v>
      </c>
      <c r="E3308" s="10">
        <v>2970777</v>
      </c>
      <c r="F3308" s="4" t="str">
        <f>IF(B3308=B3307,"",B3308)</f>
        <v/>
      </c>
    </row>
    <row r="3309" spans="1:6" ht="15.75" customHeight="1">
      <c r="A3309" s="5" t="str">
        <f ca="1">IFERROR(__xludf.DUMMYFUNCTION("GOOGLETRANSLATE(B28404,""en"",""pt"")"),"Vanløse")</f>
        <v>Vanløse</v>
      </c>
      <c r="B3309" s="17" t="s">
        <v>32149</v>
      </c>
      <c r="C3309" s="17" t="s">
        <v>6209</v>
      </c>
      <c r="D3309" s="17" t="s">
        <v>6216</v>
      </c>
      <c r="E3309" s="10">
        <v>2610734</v>
      </c>
      <c r="F3309" s="4" t="str">
        <f>IF(B3309=B3308,"",B3309)</f>
        <v>Vanløse</v>
      </c>
    </row>
    <row r="3310" spans="1:6" ht="15.75" customHeight="1">
      <c r="A3310" s="6" t="s">
        <v>6286</v>
      </c>
      <c r="B3310" s="6" t="s">
        <v>6287</v>
      </c>
      <c r="C3310" s="6" t="s">
        <v>6209</v>
      </c>
      <c r="D3310" s="6" t="s">
        <v>6216</v>
      </c>
      <c r="E3310" s="2">
        <v>2610734</v>
      </c>
      <c r="F3310" s="4" t="str">
        <f>IF(B3310=B3309,"",B3310)</f>
        <v>VanlÃ¸se</v>
      </c>
    </row>
    <row r="3311" spans="1:6" ht="15.75" customHeight="1">
      <c r="A3311" s="5" t="s">
        <v>13699</v>
      </c>
      <c r="B3311" s="6" t="s">
        <v>13699</v>
      </c>
      <c r="C3311" s="5" t="s">
        <v>10178</v>
      </c>
      <c r="D3311" s="5" t="s">
        <v>10196</v>
      </c>
      <c r="E3311" s="2">
        <v>1253437</v>
      </c>
      <c r="F3311" s="4" t="str">
        <f>IF(B3311=B3310,"",B3311)</f>
        <v>Vaniyambadi</v>
      </c>
    </row>
    <row r="3312" spans="1:6" ht="15.75" customHeight="1">
      <c r="A3312" s="5" t="str">
        <f ca="1">IFERROR(__xludf.DUMMYFUNCTION("GOOGLETRANSLATE(B31900,""en"",""pt"")"),"Vaniyambadi")</f>
        <v>Vaniyambadi</v>
      </c>
      <c r="B3312" s="17" t="s">
        <v>13699</v>
      </c>
      <c r="C3312" s="17" t="s">
        <v>10178</v>
      </c>
      <c r="D3312" s="17" t="s">
        <v>10196</v>
      </c>
      <c r="E3312" s="10">
        <v>1253437</v>
      </c>
      <c r="F3312" s="4" t="str">
        <f>IF(B3312=B3311,"",B3312)</f>
        <v/>
      </c>
    </row>
    <row r="3313" spans="1:6" ht="15.75" customHeight="1">
      <c r="A3313" s="6" t="s">
        <v>23264</v>
      </c>
      <c r="B3313" s="6" t="s">
        <v>23264</v>
      </c>
      <c r="C3313" s="6" t="s">
        <v>22070</v>
      </c>
      <c r="D3313" s="6" t="s">
        <v>22131</v>
      </c>
      <c r="E3313" s="2">
        <v>2119932</v>
      </c>
      <c r="F3313" s="4" t="str">
        <f>IF(B3313=B3312,"",B3313)</f>
        <v>Vanino</v>
      </c>
    </row>
    <row r="3314" spans="1:6" ht="15.75" customHeight="1">
      <c r="A3314" s="5" t="str">
        <f ca="1">IFERROR(__xludf.DUMMYFUNCTION("GOOGLETRANSLATE(B40956,""en"",""pt"")"),"Vanino")</f>
        <v>Vanino</v>
      </c>
      <c r="B3314" s="17" t="s">
        <v>23264</v>
      </c>
      <c r="C3314" s="17" t="s">
        <v>22070</v>
      </c>
      <c r="D3314" s="17" t="s">
        <v>22131</v>
      </c>
      <c r="E3314" s="10">
        <v>2119932</v>
      </c>
      <c r="F3314" s="4" t="str">
        <f>IF(B3314=B3313,"",B3314)</f>
        <v/>
      </c>
    </row>
    <row r="3315" spans="1:6" ht="15.75" customHeight="1">
      <c r="A3315" s="5" t="s">
        <v>16975</v>
      </c>
      <c r="B3315" s="6" t="s">
        <v>16975</v>
      </c>
      <c r="C3315" s="5" t="s">
        <v>16954</v>
      </c>
      <c r="D3315" s="5" t="s">
        <v>16976</v>
      </c>
      <c r="E3315" s="2">
        <v>1655087</v>
      </c>
      <c r="F3315" s="4" t="str">
        <f>IF(B3315=B3314,"",B3315)</f>
        <v>Vangviang</v>
      </c>
    </row>
    <row r="3316" spans="1:6" ht="15.75" customHeight="1">
      <c r="A3316" s="5" t="str">
        <f ca="1">IFERROR(__xludf.DUMMYFUNCTION("GOOGLETRANSLATE(B36268,""en"",""pt"")"),"Vangviang")</f>
        <v>Vangviang</v>
      </c>
      <c r="B3316" s="17" t="s">
        <v>16975</v>
      </c>
      <c r="C3316" s="17" t="s">
        <v>16954</v>
      </c>
      <c r="D3316" s="17" t="s">
        <v>16976</v>
      </c>
      <c r="E3316" s="10">
        <v>1655087</v>
      </c>
      <c r="F3316" s="4" t="str">
        <f>IF(B3316=B3315,"",B3316)</f>
        <v/>
      </c>
    </row>
    <row r="3317" spans="1:6" ht="15.75" customHeight="1">
      <c r="A3317" s="5" t="s">
        <v>17402</v>
      </c>
      <c r="B3317" s="6" t="s">
        <v>17402</v>
      </c>
      <c r="C3317" s="5" t="s">
        <v>17292</v>
      </c>
      <c r="D3317" s="5" t="s">
        <v>17352</v>
      </c>
      <c r="E3317" s="2">
        <v>1054329</v>
      </c>
      <c r="F3317" s="4" t="str">
        <f>IF(B3317=B3316,"",B3317)</f>
        <v>Vangaindrano</v>
      </c>
    </row>
    <row r="3318" spans="1:6" ht="15.75" customHeight="1">
      <c r="A3318" s="5" t="str">
        <f ca="1">IFERROR(__xludf.DUMMYFUNCTION("GOOGLETRANSLATE(B36560,""en"",""pt"")"),"Vangaindrano")</f>
        <v>Vangaindrano</v>
      </c>
      <c r="B3318" s="17" t="s">
        <v>17402</v>
      </c>
      <c r="C3318" s="17" t="s">
        <v>17292</v>
      </c>
      <c r="D3318" s="17" t="s">
        <v>17352</v>
      </c>
      <c r="E3318" s="10">
        <v>1054329</v>
      </c>
      <c r="F3318" s="4" t="str">
        <f>IF(B3318=B3317,"",B3318)</f>
        <v/>
      </c>
    </row>
    <row r="3319" spans="1:6" ht="15.75" customHeight="1">
      <c r="A3319" s="5" t="str">
        <f ca="1">IFERROR(__xludf.DUMMYFUNCTION("GOOGLETRANSLATE(B41130,""en"",""pt"")"),"Vänersborg")</f>
        <v>Vänersborg</v>
      </c>
      <c r="B3319" s="17" t="s">
        <v>25220</v>
      </c>
      <c r="C3319" s="17" t="s">
        <v>25077</v>
      </c>
      <c r="D3319" s="17" t="s">
        <v>35628</v>
      </c>
      <c r="E3319" s="10">
        <v>2665171</v>
      </c>
      <c r="F3319" s="4" t="str">
        <f>IF(B3319=B3318,"",B3319)</f>
        <v>Vänersborg</v>
      </c>
    </row>
    <row r="3320" spans="1:6" ht="15.75" customHeight="1">
      <c r="A3320" s="5" t="str">
        <f ca="1">IFERROR(__xludf.DUMMYFUNCTION("GOOGLETRANSLATE(B29718,""en"",""pt"")"),"Vandœuvre-lès-Nancy")</f>
        <v>Vandœuvre-lès-Nancy</v>
      </c>
      <c r="B3320" s="17" t="s">
        <v>32546</v>
      </c>
      <c r="C3320" s="17" t="s">
        <v>7052</v>
      </c>
      <c r="D3320" s="17" t="s">
        <v>7061</v>
      </c>
      <c r="E3320" s="10">
        <v>2970797</v>
      </c>
      <c r="F3320" s="4" t="str">
        <f>IF(B3320=B3319,"",B3320)</f>
        <v>Vandœuvre-lès-Nancy</v>
      </c>
    </row>
    <row r="3321" spans="1:6" ht="15.75" customHeight="1">
      <c r="A3321" s="5" t="s">
        <v>24000</v>
      </c>
      <c r="B3321" s="6" t="s">
        <v>24000</v>
      </c>
      <c r="C3321" s="5" t="s">
        <v>23842</v>
      </c>
      <c r="D3321" s="5" t="s">
        <v>23855</v>
      </c>
      <c r="E3321" s="2">
        <v>944986</v>
      </c>
      <c r="F3321" s="4" t="str">
        <f>IF(B3321=B3320,"",B3321)</f>
        <v>Vanderbijlpark</v>
      </c>
    </row>
    <row r="3322" spans="1:6" ht="15.75" customHeight="1">
      <c r="A3322" s="5" t="str">
        <f ca="1">IFERROR(__xludf.DUMMYFUNCTION("GOOGLETRANSLATE(B45858,""en"",""pt"")"),"Vanderbijlpark")</f>
        <v>Vanderbijlpark</v>
      </c>
      <c r="B3322" s="17" t="s">
        <v>24000</v>
      </c>
      <c r="C3322" s="17" t="s">
        <v>23842</v>
      </c>
      <c r="D3322" s="17" t="s">
        <v>23855</v>
      </c>
      <c r="E3322" s="10">
        <v>944986</v>
      </c>
      <c r="F3322" s="4" t="str">
        <f>IF(B3322=B3321,"",B3322)</f>
        <v/>
      </c>
    </row>
    <row r="3323" spans="1:6" ht="15.75" customHeight="1">
      <c r="A3323" s="5" t="str">
        <f ca="1">IFERROR(__xludf.DUMMYFUNCTION("GOOGLETRANSLATE(B31901,""en"",""pt"")"),"Vandavāsi")</f>
        <v>Vandavāsi</v>
      </c>
      <c r="B3323" s="17" t="s">
        <v>32968</v>
      </c>
      <c r="C3323" s="17" t="s">
        <v>10178</v>
      </c>
      <c r="D3323" s="17" t="s">
        <v>10196</v>
      </c>
      <c r="E3323" s="10">
        <v>1253452</v>
      </c>
      <c r="F3323" s="4" t="str">
        <f>IF(B3323=B3322,"",B3323)</f>
        <v>Vandavāsi</v>
      </c>
    </row>
    <row r="3324" spans="1:6" ht="15.75" customHeight="1">
      <c r="A3324" s="5" t="s">
        <v>13697</v>
      </c>
      <c r="B3324" s="6" t="s">
        <v>13698</v>
      </c>
      <c r="C3324" s="5" t="s">
        <v>10178</v>
      </c>
      <c r="D3324" s="5" t="s">
        <v>10196</v>
      </c>
      <c r="E3324" s="2">
        <v>1253452</v>
      </c>
      <c r="F3324" s="4" t="str">
        <f>IF(B3324=B3323,"",B3324)</f>
        <v>VandavÄsi</v>
      </c>
    </row>
    <row r="3325" spans="1:6" ht="15.75" customHeight="1">
      <c r="A3325" s="6" t="s">
        <v>30267</v>
      </c>
      <c r="B3325" s="6" t="s">
        <v>30267</v>
      </c>
      <c r="C3325" s="6" t="s">
        <v>27788</v>
      </c>
      <c r="D3325" s="6" t="s">
        <v>27813</v>
      </c>
      <c r="E3325" s="2">
        <v>4527124</v>
      </c>
      <c r="F3325" s="4" t="str">
        <f>IF(B3325=B3324,"",B3325)</f>
        <v>Vandalia</v>
      </c>
    </row>
    <row r="3326" spans="1:6" ht="15.75" customHeight="1">
      <c r="A3326" s="5" t="str">
        <f ca="1">IFERROR(__xludf.DUMMYFUNCTION("GOOGLETRANSLATE(B43532,""en"",""pt"")"),"Vandalia")</f>
        <v>Vandalia</v>
      </c>
      <c r="B3326" s="17" t="s">
        <v>30267</v>
      </c>
      <c r="C3326" s="17" t="s">
        <v>27788</v>
      </c>
      <c r="D3326" s="17" t="s">
        <v>27813</v>
      </c>
      <c r="E3326" s="10">
        <v>4527124</v>
      </c>
      <c r="F3326" s="4" t="str">
        <f>IF(B3326=B3325,"",B3326)</f>
        <v/>
      </c>
    </row>
    <row r="3327" spans="1:6" ht="15.75" customHeight="1">
      <c r="A3327" s="5" t="s">
        <v>7876</v>
      </c>
      <c r="B3327" s="6" t="s">
        <v>7877</v>
      </c>
      <c r="C3327" s="5" t="s">
        <v>7052</v>
      </c>
      <c r="D3327" s="5" t="s">
        <v>7061</v>
      </c>
      <c r="E3327" s="2">
        <v>2970797</v>
      </c>
      <c r="F3327" s="4" t="str">
        <f>IF(B3327=B3326,"",B3327)</f>
        <v>VandÅ“uvre-lÃ¨s-Nancy</v>
      </c>
    </row>
    <row r="3328" spans="1:6" ht="15.75" customHeight="1">
      <c r="A3328" s="5" t="s">
        <v>4228</v>
      </c>
      <c r="B3328" s="6" t="s">
        <v>4228</v>
      </c>
      <c r="C3328" s="5" t="s">
        <v>3975</v>
      </c>
      <c r="D3328" s="5" t="s">
        <v>3976</v>
      </c>
      <c r="E3328" s="2">
        <v>6173331</v>
      </c>
      <c r="F3328" s="4" t="str">
        <f>IF(B3328=B3327,"",B3328)</f>
        <v>Vancouver</v>
      </c>
    </row>
    <row r="3329" spans="1:6" ht="15.75" customHeight="1">
      <c r="A3329" s="5" t="s">
        <v>4228</v>
      </c>
      <c r="B3329" s="6" t="s">
        <v>4228</v>
      </c>
      <c r="C3329" s="5" t="s">
        <v>27788</v>
      </c>
      <c r="D3329" s="5" t="s">
        <v>27733</v>
      </c>
      <c r="E3329" s="2">
        <v>5814616</v>
      </c>
      <c r="F3329" s="4" t="str">
        <f>IF(B3329=B3328,"",B3329)</f>
        <v/>
      </c>
    </row>
    <row r="3330" spans="1:6" ht="15.75" customHeight="1">
      <c r="A3330" s="5" t="str">
        <f ca="1">IFERROR(__xludf.DUMMYFUNCTION("GOOGLETRANSLATE(B25602,""en"",""pt"")"),"Vancouver")</f>
        <v>Vancouver</v>
      </c>
      <c r="B3330" s="17" t="s">
        <v>4228</v>
      </c>
      <c r="C3330" s="17" t="s">
        <v>3975</v>
      </c>
      <c r="D3330" s="17" t="s">
        <v>3976</v>
      </c>
      <c r="E3330" s="10">
        <v>6173331</v>
      </c>
      <c r="F3330" s="4" t="str">
        <f>IF(B3330=B3329,"",B3330)</f>
        <v/>
      </c>
    </row>
    <row r="3331" spans="1:6" ht="15.75" customHeight="1">
      <c r="A3331" s="5" t="str">
        <f ca="1">IFERROR(__xludf.DUMMYFUNCTION("GOOGLETRANSLATE(B45386,""en"",""pt"")"),"Vancouver")</f>
        <v>Vancouver</v>
      </c>
      <c r="B3331" s="17" t="s">
        <v>4228</v>
      </c>
      <c r="C3331" s="17" t="s">
        <v>27788</v>
      </c>
      <c r="D3331" s="17" t="s">
        <v>27733</v>
      </c>
      <c r="E3331" s="10">
        <v>5814616</v>
      </c>
      <c r="F3331" s="4" t="str">
        <f>IF(B3331=B3330,"",B3331)</f>
        <v/>
      </c>
    </row>
    <row r="3332" spans="1:6" ht="15.75" customHeight="1">
      <c r="A3332" s="6" t="s">
        <v>878</v>
      </c>
      <c r="B3332" s="6" t="s">
        <v>878</v>
      </c>
      <c r="C3332" s="6" t="s">
        <v>853</v>
      </c>
      <c r="D3332" s="6" t="s">
        <v>877</v>
      </c>
      <c r="E3332" s="2">
        <v>616530</v>
      </c>
      <c r="F3332" s="4" t="str">
        <f>IF(B3332=B3331,"",B3332)</f>
        <v>Vanadzor</v>
      </c>
    </row>
    <row r="3333" spans="1:6" ht="15.75" customHeight="1">
      <c r="A3333" s="5" t="str">
        <f ca="1">IFERROR(__xludf.DUMMYFUNCTION("GOOGLETRANSLATE(B23134,""en"",""pt"")"),"Vanadzor")</f>
        <v>Vanadzor</v>
      </c>
      <c r="B3333" s="17" t="s">
        <v>878</v>
      </c>
      <c r="C3333" s="17" t="s">
        <v>853</v>
      </c>
      <c r="D3333" s="17" t="s">
        <v>877</v>
      </c>
      <c r="E3333" s="10">
        <v>616530</v>
      </c>
      <c r="F3333" s="4" t="str">
        <f>IF(B3333=B3332,"",B3333)</f>
        <v/>
      </c>
    </row>
    <row r="3334" spans="1:6" ht="15.75" customHeight="1">
      <c r="A3334" s="5" t="s">
        <v>30266</v>
      </c>
      <c r="B3334" s="6" t="s">
        <v>30266</v>
      </c>
      <c r="C3334" s="5" t="s">
        <v>27788</v>
      </c>
      <c r="D3334" s="5" t="s">
        <v>27991</v>
      </c>
      <c r="E3334" s="2">
        <v>4134716</v>
      </c>
      <c r="F3334" s="4" t="str">
        <f>IF(B3334=B3333,"",B3334)</f>
        <v>Van Buren</v>
      </c>
    </row>
    <row r="3335" spans="1:6" ht="15.75" customHeight="1">
      <c r="A3335" s="5" t="str">
        <f ca="1">IFERROR(__xludf.DUMMYFUNCTION("GOOGLETRANSLATE(B42831,""en"",""pt"")"),"Van Buren")</f>
        <v>Van Buren</v>
      </c>
      <c r="B3335" s="17" t="s">
        <v>30266</v>
      </c>
      <c r="C3335" s="17" t="s">
        <v>27788</v>
      </c>
      <c r="D3335" s="17" t="s">
        <v>27991</v>
      </c>
      <c r="E3335" s="10">
        <v>4134716</v>
      </c>
      <c r="F3335" s="4" t="str">
        <f>IF(B3335=B3334,"",B3335)</f>
        <v/>
      </c>
    </row>
    <row r="3336" spans="1:6" ht="15.75" customHeight="1">
      <c r="A3336" s="6" t="s">
        <v>26747</v>
      </c>
      <c r="B3336" s="6" t="s">
        <v>26477</v>
      </c>
      <c r="C3336" s="6" t="s">
        <v>26201</v>
      </c>
      <c r="D3336" s="6" t="s">
        <v>26477</v>
      </c>
      <c r="E3336" s="2">
        <v>298117</v>
      </c>
      <c r="F3336" s="4" t="str">
        <f>IF(B3336=B3335,"",B3336)</f>
        <v>Van</v>
      </c>
    </row>
    <row r="3337" spans="1:6" ht="15.75" customHeight="1">
      <c r="A3337" s="5" t="str">
        <f ca="1">IFERROR(__xludf.DUMMYFUNCTION("GOOGLETRANSLATE(B41874,""en"",""pt"")"),"furgão")</f>
        <v>furgão</v>
      </c>
      <c r="B3337" s="17" t="s">
        <v>26477</v>
      </c>
      <c r="C3337" s="17" t="s">
        <v>26201</v>
      </c>
      <c r="D3337" s="17" t="s">
        <v>26477</v>
      </c>
      <c r="E3337" s="10">
        <v>298117</v>
      </c>
      <c r="F3337" s="4" t="str">
        <f>IF(B3337=B3336,"",B3337)</f>
        <v/>
      </c>
    </row>
    <row r="3338" spans="1:6" ht="15.75" customHeight="1">
      <c r="A3338" s="5" t="s">
        <v>24979</v>
      </c>
      <c r="B3338" s="6" t="s">
        <v>24980</v>
      </c>
      <c r="C3338" s="5" t="s">
        <v>24924</v>
      </c>
      <c r="D3338" s="5" t="s">
        <v>20426</v>
      </c>
      <c r="E3338" s="2">
        <v>1225142</v>
      </c>
      <c r="F3338" s="4" t="str">
        <f>IF(B3338=B3337,"",B3338)</f>
        <v>Valvedditturai</v>
      </c>
    </row>
    <row r="3339" spans="1:6" ht="15.75" customHeight="1">
      <c r="A3339" s="5" t="str">
        <f ca="1">IFERROR(__xludf.DUMMYFUNCTION("GOOGLETRANSLATE(B36294,""en"",""pt"")"),"ValvedDitturai")</f>
        <v>ValvedDitturai</v>
      </c>
      <c r="B3339" s="17" t="s">
        <v>24980</v>
      </c>
      <c r="C3339" s="17" t="s">
        <v>24924</v>
      </c>
      <c r="D3339" s="17" t="s">
        <v>20426</v>
      </c>
      <c r="E3339" s="10">
        <v>1225142</v>
      </c>
      <c r="F3339" s="4" t="str">
        <f>IF(B3339=B3338,"",B3339)</f>
        <v/>
      </c>
    </row>
    <row r="3340" spans="1:6" ht="15.75" customHeight="1">
      <c r="A3340" s="6" t="s">
        <v>23263</v>
      </c>
      <c r="B3340" s="6" t="s">
        <v>23263</v>
      </c>
      <c r="C3340" s="6" t="s">
        <v>22070</v>
      </c>
      <c r="D3340" s="6" t="s">
        <v>22120</v>
      </c>
      <c r="E3340" s="2">
        <v>477192</v>
      </c>
      <c r="F3340" s="4" t="str">
        <f>IF(B3340=B3339,"",B3340)</f>
        <v>Valuyki</v>
      </c>
    </row>
    <row r="3341" spans="1:6" ht="15.75" customHeight="1">
      <c r="A3341" s="5" t="str">
        <f ca="1">IFERROR(__xludf.DUMMYFUNCTION("GOOGLETRANSLATE(B39996,""en"",""pt"")"),"Valuyki")</f>
        <v>Valuyki</v>
      </c>
      <c r="B3341" s="17" t="s">
        <v>23263</v>
      </c>
      <c r="C3341" s="17" t="s">
        <v>22070</v>
      </c>
      <c r="D3341" s="17" t="s">
        <v>22120</v>
      </c>
      <c r="E3341" s="10">
        <v>477192</v>
      </c>
      <c r="F3341" s="4" t="str">
        <f>IF(B3341=B3340,"",B3341)</f>
        <v/>
      </c>
    </row>
    <row r="3342" spans="1:6" ht="15.75" customHeight="1">
      <c r="A3342" s="5" t="str">
        <f ca="1">IFERROR(__xludf.DUMMYFUNCTION("GOOGLETRANSLATE(B31902,""en"",""pt"")"),"Valsād")</f>
        <v>Valsād</v>
      </c>
      <c r="B3342" s="17" t="s">
        <v>32969</v>
      </c>
      <c r="C3342" s="17" t="s">
        <v>10178</v>
      </c>
      <c r="D3342" s="17" t="s">
        <v>10209</v>
      </c>
      <c r="E3342" s="10">
        <v>1253468</v>
      </c>
      <c r="F3342" s="4" t="str">
        <f>IF(B3342=B3341,"",B3342)</f>
        <v>Valsād</v>
      </c>
    </row>
    <row r="3343" spans="1:6" ht="15.75" customHeight="1">
      <c r="A3343" s="6" t="s">
        <v>13695</v>
      </c>
      <c r="B3343" s="6" t="s">
        <v>13696</v>
      </c>
      <c r="C3343" s="6" t="s">
        <v>10178</v>
      </c>
      <c r="D3343" s="6" t="s">
        <v>10209</v>
      </c>
      <c r="E3343" s="2">
        <v>1253468</v>
      </c>
      <c r="F3343" s="4" t="str">
        <f>IF(B3343=B3342,"",B3343)</f>
        <v>ValsÄd</v>
      </c>
    </row>
    <row r="3344" spans="1:6" ht="15.75" customHeight="1">
      <c r="A3344" s="6" t="s">
        <v>30265</v>
      </c>
      <c r="B3344" s="6" t="s">
        <v>30265</v>
      </c>
      <c r="C3344" s="6" t="s">
        <v>27788</v>
      </c>
      <c r="D3344" s="6" t="s">
        <v>5468</v>
      </c>
      <c r="E3344" s="2">
        <v>4176318</v>
      </c>
      <c r="F3344" s="4" t="str">
        <f>IF(B3344=B3343,"",B3344)</f>
        <v>Valrico</v>
      </c>
    </row>
    <row r="3345" spans="1:6" ht="15.75" customHeight="1">
      <c r="A3345" s="5" t="str">
        <f ca="1">IFERROR(__xludf.DUMMYFUNCTION("GOOGLETRANSLATE(B43038,""en"",""pt"")"),"Valrico")</f>
        <v>Valrico</v>
      </c>
      <c r="B3345" s="17" t="s">
        <v>30265</v>
      </c>
      <c r="C3345" s="17" t="s">
        <v>27788</v>
      </c>
      <c r="D3345" s="17" t="s">
        <v>5468</v>
      </c>
      <c r="E3345" s="10">
        <v>4176318</v>
      </c>
      <c r="F3345" s="4" t="str">
        <f>IF(B3345=B3344,"",B3345)</f>
        <v/>
      </c>
    </row>
    <row r="3346" spans="1:6" ht="15.75" customHeight="1">
      <c r="A3346" s="5" t="str">
        <f ca="1">IFERROR(__xludf.DUMMYFUNCTION("GOOGLETRANSLATE(B24453,""en"",""pt"")"),"Valparaíso")</f>
        <v>Valparaíso</v>
      </c>
      <c r="B3346" s="17" t="s">
        <v>30263</v>
      </c>
      <c r="C3346" s="17" t="s">
        <v>1905</v>
      </c>
      <c r="D3346" s="17" t="s">
        <v>3354</v>
      </c>
      <c r="E3346" s="10">
        <v>3445575</v>
      </c>
      <c r="F3346" s="4" t="str">
        <f>IF(B3346=B3345,"",B3346)</f>
        <v>Valparaíso</v>
      </c>
    </row>
    <row r="3347" spans="1:6" ht="15.75" customHeight="1">
      <c r="A3347" s="5" t="str">
        <f ca="1">IFERROR(__xludf.DUMMYFUNCTION("GOOGLETRANSLATE(B25887,""en"",""pt"")"),"Valparaíso")</f>
        <v>Valparaíso</v>
      </c>
      <c r="B3347" s="17" t="s">
        <v>30263</v>
      </c>
      <c r="C3347" s="17" t="s">
        <v>4355</v>
      </c>
      <c r="D3347" s="17" t="s">
        <v>30263</v>
      </c>
      <c r="E3347" s="10">
        <v>3868626</v>
      </c>
      <c r="F3347" s="4" t="str">
        <f>IF(B3347=B3346,"",B3347)</f>
        <v/>
      </c>
    </row>
    <row r="3348" spans="1:6" ht="15.75" customHeight="1">
      <c r="A3348" s="5" t="s">
        <v>30263</v>
      </c>
      <c r="B3348" s="6" t="s">
        <v>30264</v>
      </c>
      <c r="C3348" s="5" t="s">
        <v>27788</v>
      </c>
      <c r="D3348" s="5" t="s">
        <v>27869</v>
      </c>
      <c r="E3348" s="2">
        <v>4927537</v>
      </c>
      <c r="F3348" s="4" t="str">
        <f>IF(B3348=B3347,"",B3348)</f>
        <v>Valparaiso</v>
      </c>
    </row>
    <row r="3349" spans="1:6" ht="15.75" customHeight="1">
      <c r="A3349" s="5" t="str">
        <f ca="1">IFERROR(__xludf.DUMMYFUNCTION("GOOGLETRANSLATE(B43938,""en"",""pt"")"),"Valparaíso")</f>
        <v>Valparaíso</v>
      </c>
      <c r="B3349" s="17" t="s">
        <v>30264</v>
      </c>
      <c r="C3349" s="17" t="s">
        <v>27788</v>
      </c>
      <c r="D3349" s="17" t="s">
        <v>27869</v>
      </c>
      <c r="E3349" s="10">
        <v>4927537</v>
      </c>
      <c r="F3349" s="4" t="str">
        <f>IF(B3349=B3348,"",B3349)</f>
        <v/>
      </c>
    </row>
    <row r="3350" spans="1:6" ht="15.75" customHeight="1">
      <c r="A3350" s="6" t="s">
        <v>13694</v>
      </c>
      <c r="B3350" s="6" t="s">
        <v>13694</v>
      </c>
      <c r="C3350" s="6" t="s">
        <v>10178</v>
      </c>
      <c r="D3350" s="6" t="s">
        <v>10196</v>
      </c>
      <c r="E3350" s="2">
        <v>1253472</v>
      </c>
      <c r="F3350" s="4" t="str">
        <f>IF(B3350=B3349,"",B3350)</f>
        <v>Valparai</v>
      </c>
    </row>
    <row r="3351" spans="1:6" ht="15.75" customHeight="1">
      <c r="A3351" s="5" t="str">
        <f ca="1">IFERROR(__xludf.DUMMYFUNCTION("GOOGLETRANSLATE(B31903,""en"",""pt"")"),"Valparai")</f>
        <v>Valparai</v>
      </c>
      <c r="B3351" s="17" t="s">
        <v>13694</v>
      </c>
      <c r="C3351" s="17" t="s">
        <v>10178</v>
      </c>
      <c r="D3351" s="17" t="s">
        <v>10196</v>
      </c>
      <c r="E3351" s="10">
        <v>1253472</v>
      </c>
      <c r="F3351" s="4" t="str">
        <f>IF(B3351=B3350,"",B3351)</f>
        <v/>
      </c>
    </row>
    <row r="3352" spans="1:6" ht="15.75" customHeight="1">
      <c r="A3352" s="5" t="s">
        <v>3641</v>
      </c>
      <c r="B3352" s="6" t="s">
        <v>3642</v>
      </c>
      <c r="C3352" s="5" t="s">
        <v>1905</v>
      </c>
      <c r="D3352" s="5" t="s">
        <v>1914</v>
      </c>
      <c r="E3352" s="2">
        <v>3445575</v>
      </c>
      <c r="F3352" s="4" t="str">
        <f>IF(B3352=B3351,"",B3352)</f>
        <v>ValparaÃ­so</v>
      </c>
    </row>
    <row r="3353" spans="1:6" ht="15.75" customHeight="1">
      <c r="A3353" s="5" t="s">
        <v>3641</v>
      </c>
      <c r="B3353" s="6" t="s">
        <v>3642</v>
      </c>
      <c r="C3353" s="5" t="s">
        <v>4355</v>
      </c>
      <c r="D3353" s="5" t="s">
        <v>3642</v>
      </c>
      <c r="E3353" s="2">
        <v>3868626</v>
      </c>
      <c r="F3353" s="4" t="str">
        <f>IF(B3353=B3352,"",B3353)</f>
        <v/>
      </c>
    </row>
    <row r="3354" spans="1:6" ht="15.75" customHeight="1">
      <c r="A3354" s="6" t="s">
        <v>21741</v>
      </c>
      <c r="B3354" s="6" t="s">
        <v>21741</v>
      </c>
      <c r="C3354" s="6" t="s">
        <v>21606</v>
      </c>
      <c r="D3354" s="6" t="s">
        <v>21609</v>
      </c>
      <c r="E3354" s="2">
        <v>2732978</v>
      </c>
      <c r="F3354" s="4" t="str">
        <f>IF(B3354=B3353,"",B3354)</f>
        <v>Valongo</v>
      </c>
    </row>
    <row r="3355" spans="1:6" ht="15.75" customHeight="1">
      <c r="A3355" s="5" t="str">
        <f ca="1">IFERROR(__xludf.DUMMYFUNCTION("GOOGLETRANSLATE(B39637,""en"",""pt"")"),"Valongo")</f>
        <v>Valongo</v>
      </c>
      <c r="B3355" s="17" t="s">
        <v>21741</v>
      </c>
      <c r="C3355" s="17" t="s">
        <v>21606</v>
      </c>
      <c r="D3355" s="17" t="s">
        <v>21609</v>
      </c>
      <c r="E3355" s="10">
        <v>2732978</v>
      </c>
      <c r="F3355" s="4" t="str">
        <f>IF(B3355=B3354,"",B3355)</f>
        <v/>
      </c>
    </row>
    <row r="3356" spans="1:6" ht="15.75" customHeight="1">
      <c r="A3356" s="6" t="s">
        <v>17002</v>
      </c>
      <c r="B3356" s="6" t="s">
        <v>17002</v>
      </c>
      <c r="C3356" s="6" t="s">
        <v>16982</v>
      </c>
      <c r="D3356" s="6" t="s">
        <v>17003</v>
      </c>
      <c r="E3356" s="2">
        <v>453754</v>
      </c>
      <c r="F3356" s="4" t="str">
        <f>IF(B3356=B3355,"",B3356)</f>
        <v>Valmiera</v>
      </c>
    </row>
    <row r="3357" spans="1:6" ht="15.75" customHeight="1">
      <c r="A3357" s="5" t="str">
        <f ca="1">IFERROR(__xludf.DUMMYFUNCTION("GOOGLETRANSLATE(B36398,""en"",""pt"")"),"Valmiera")</f>
        <v>Valmiera</v>
      </c>
      <c r="B3357" s="17" t="s">
        <v>17002</v>
      </c>
      <c r="C3357" s="17" t="s">
        <v>16982</v>
      </c>
      <c r="D3357" s="17" t="s">
        <v>17003</v>
      </c>
      <c r="E3357" s="10">
        <v>453754</v>
      </c>
      <c r="F3357" s="4" t="str">
        <f>IF(B3357=B3356,"",B3357)</f>
        <v/>
      </c>
    </row>
    <row r="3358" spans="1:6" ht="15.75" customHeight="1">
      <c r="A3358" s="6" t="s">
        <v>24881</v>
      </c>
      <c r="B3358" s="6" t="s">
        <v>24881</v>
      </c>
      <c r="C3358" s="6" t="s">
        <v>24200</v>
      </c>
      <c r="D3358" s="6" t="s">
        <v>24277</v>
      </c>
      <c r="E3358" s="2">
        <v>3106492</v>
      </c>
      <c r="F3358" s="4" t="str">
        <f>IF(B3358=B3357,"",B3358)</f>
        <v>Valls</v>
      </c>
    </row>
    <row r="3359" spans="1:6" ht="15.75" customHeight="1">
      <c r="A3359" s="5" t="str">
        <f ca="1">IFERROR(__xludf.DUMMYFUNCTION("GOOGLETRANSLATE(B29250,""en"",""pt"")"),"Valls")</f>
        <v>Valls</v>
      </c>
      <c r="B3359" s="17" t="s">
        <v>24881</v>
      </c>
      <c r="C3359" s="17" t="s">
        <v>24200</v>
      </c>
      <c r="D3359" s="17" t="s">
        <v>24277</v>
      </c>
      <c r="E3359" s="10">
        <v>3106492</v>
      </c>
      <c r="F3359" s="4" t="str">
        <f>IF(B3359=B3358,"",B3359)</f>
        <v/>
      </c>
    </row>
    <row r="3360" spans="1:6" ht="15.75" customHeight="1">
      <c r="A3360" s="5" t="s">
        <v>30262</v>
      </c>
      <c r="B3360" s="6" t="s">
        <v>30262</v>
      </c>
      <c r="C3360" s="5" t="s">
        <v>27788</v>
      </c>
      <c r="D3360" s="5" t="s">
        <v>27819</v>
      </c>
      <c r="E3360" s="2">
        <v>5142109</v>
      </c>
      <c r="F3360" s="4" t="str">
        <f>IF(B3360=B3359,"",B3360)</f>
        <v>Valley Stream</v>
      </c>
    </row>
    <row r="3361" spans="1:6" ht="15.75" customHeight="1">
      <c r="A3361" s="5" t="str">
        <f ca="1">IFERROR(__xludf.DUMMYFUNCTION("GOOGLETRANSLATE(B44462,""en"",""pt"")"),"Valley Stream")</f>
        <v>Valley Stream</v>
      </c>
      <c r="B3361" s="17" t="s">
        <v>30262</v>
      </c>
      <c r="C3361" s="17" t="s">
        <v>27788</v>
      </c>
      <c r="D3361" s="17" t="s">
        <v>27819</v>
      </c>
      <c r="E3361" s="10">
        <v>5142109</v>
      </c>
      <c r="F3361" s="4" t="str">
        <f>IF(B3361=B3360,"",B3361)</f>
        <v/>
      </c>
    </row>
    <row r="3362" spans="1:6" ht="15.75" customHeight="1">
      <c r="A3362" s="5" t="s">
        <v>30260</v>
      </c>
      <c r="B3362" s="6" t="s">
        <v>30261</v>
      </c>
      <c r="C3362" s="5" t="s">
        <v>27788</v>
      </c>
      <c r="D3362" s="5" t="s">
        <v>27909</v>
      </c>
      <c r="E3362" s="2">
        <v>4311963</v>
      </c>
      <c r="F3362" s="4" t="str">
        <f>IF(B3362=B3361,"",B3362)</f>
        <v>Valley Station</v>
      </c>
    </row>
    <row r="3363" spans="1:6" ht="15.75" customHeight="1">
      <c r="A3363" s="5" t="str">
        <f ca="1">IFERROR(__xludf.DUMMYFUNCTION("GOOGLETRANSLATE(B43221,""en"",""pt"")"),"Estação do vale")</f>
        <v>Estação do vale</v>
      </c>
      <c r="B3363" s="17" t="s">
        <v>30261</v>
      </c>
      <c r="C3363" s="17" t="s">
        <v>27788</v>
      </c>
      <c r="D3363" s="17" t="s">
        <v>27909</v>
      </c>
      <c r="E3363" s="10">
        <v>4311963</v>
      </c>
      <c r="F3363" s="4" t="str">
        <f>IF(B3363=B3362,"",B3363)</f>
        <v/>
      </c>
    </row>
    <row r="3364" spans="1:6" ht="15.75" customHeight="1">
      <c r="A3364" s="6" t="s">
        <v>17628</v>
      </c>
      <c r="B3364" s="6" t="s">
        <v>17628</v>
      </c>
      <c r="C3364" s="6" t="s">
        <v>17621</v>
      </c>
      <c r="D3364" s="6" t="s">
        <v>17629</v>
      </c>
      <c r="E3364" s="2">
        <v>2562305</v>
      </c>
      <c r="F3364" s="4" t="str">
        <f>IF(B3364=B3363,"",B3364)</f>
        <v>Valletta</v>
      </c>
    </row>
    <row r="3365" spans="1:6" ht="15.75" customHeight="1">
      <c r="A3365" s="5" t="str">
        <f ca="1">IFERROR(__xludf.DUMMYFUNCTION("GOOGLETRANSLATE(B36808,""en"",""pt"")"),"Valletta")</f>
        <v>Valletta</v>
      </c>
      <c r="B3365" s="17" t="s">
        <v>17628</v>
      </c>
      <c r="C3365" s="17" t="s">
        <v>17621</v>
      </c>
      <c r="D3365" s="17" t="s">
        <v>17629</v>
      </c>
      <c r="E3365" s="10">
        <v>2562305</v>
      </c>
      <c r="F3365" s="4" t="str">
        <f>IF(B3365=B3364,"",B3365)</f>
        <v/>
      </c>
    </row>
    <row r="3366" spans="1:6" ht="15.75" customHeight="1">
      <c r="A3366" s="5" t="s">
        <v>25231</v>
      </c>
      <c r="B3366" s="6" t="s">
        <v>25231</v>
      </c>
      <c r="C3366" s="5" t="s">
        <v>25077</v>
      </c>
      <c r="D3366" s="5" t="s">
        <v>25081</v>
      </c>
      <c r="E3366" s="2">
        <v>2665452</v>
      </c>
      <c r="F3366" s="4" t="str">
        <f>IF(B3366=B3365,"",B3366)</f>
        <v>Vallentuna</v>
      </c>
    </row>
    <row r="3367" spans="1:6" ht="15.75" customHeight="1">
      <c r="A3367" s="5" t="str">
        <f ca="1">IFERROR(__xludf.DUMMYFUNCTION("GOOGLETRANSLATE(B41131,""en"",""pt"")"),"Vallentuna")</f>
        <v>Vallentuna</v>
      </c>
      <c r="B3367" s="17" t="s">
        <v>25231</v>
      </c>
      <c r="C3367" s="17" t="s">
        <v>25077</v>
      </c>
      <c r="D3367" s="17" t="s">
        <v>25081</v>
      </c>
      <c r="E3367" s="10">
        <v>2665452</v>
      </c>
      <c r="F3367" s="4" t="str">
        <f>IF(B3367=B3366,"",B3367)</f>
        <v/>
      </c>
    </row>
    <row r="3368" spans="1:6" ht="15.75" customHeight="1">
      <c r="A3368" s="6" t="s">
        <v>4480</v>
      </c>
      <c r="B3368" s="6" t="s">
        <v>4480</v>
      </c>
      <c r="C3368" s="6" t="s">
        <v>4355</v>
      </c>
      <c r="D3368" s="6" t="s">
        <v>4389</v>
      </c>
      <c r="E3368" s="2">
        <v>3868633</v>
      </c>
      <c r="F3368" s="4" t="str">
        <f>IF(B3368=B3367,"",B3368)</f>
        <v>Vallenar</v>
      </c>
    </row>
    <row r="3369" spans="1:6" ht="15.75" customHeight="1">
      <c r="A3369" s="5" t="str">
        <f ca="1">IFERROR(__xludf.DUMMYFUNCTION("GOOGLETRANSLATE(B25888,""en"",""pt"")"),"Vallenar")</f>
        <v>Vallenar</v>
      </c>
      <c r="B3369" s="17" t="s">
        <v>4480</v>
      </c>
      <c r="C3369" s="17" t="s">
        <v>4355</v>
      </c>
      <c r="D3369" s="17" t="s">
        <v>4389</v>
      </c>
      <c r="E3369" s="10">
        <v>3868633</v>
      </c>
      <c r="F3369" s="4" t="str">
        <f>IF(B3369=B3368,"",B3369)</f>
        <v/>
      </c>
    </row>
    <row r="3370" spans="1:6" ht="15.75" customHeight="1">
      <c r="A3370" s="5" t="s">
        <v>5640</v>
      </c>
      <c r="B3370" s="6" t="s">
        <v>5641</v>
      </c>
      <c r="C3370" s="5" t="s">
        <v>5348</v>
      </c>
      <c r="D3370" s="5" t="s">
        <v>5351</v>
      </c>
      <c r="E3370" s="2">
        <v>3666304</v>
      </c>
      <c r="F3370" s="4" t="str">
        <f>IF(B3370=B3369,"",B3370)</f>
        <v>Valledupar</v>
      </c>
    </row>
    <row r="3371" spans="1:6" ht="15.75" customHeight="1">
      <c r="A3371" s="5" t="str">
        <f ca="1">IFERROR(__xludf.DUMMYFUNCTION("GOOGLETRANSLATE(B26856,""en"",""pt"")"),"ValleDupar")</f>
        <v>ValleDupar</v>
      </c>
      <c r="B3371" s="17" t="s">
        <v>5641</v>
      </c>
      <c r="C3371" s="17" t="s">
        <v>5348</v>
      </c>
      <c r="D3371" s="17" t="s">
        <v>5351</v>
      </c>
      <c r="E3371" s="10">
        <v>3666304</v>
      </c>
      <c r="F3371" s="4" t="str">
        <f>IF(B3371=B3370,"",B3371)</f>
        <v/>
      </c>
    </row>
    <row r="3372" spans="1:6" ht="15.75" customHeight="1">
      <c r="A3372" s="5" t="s">
        <v>18400</v>
      </c>
      <c r="B3372" s="6" t="s">
        <v>18400</v>
      </c>
      <c r="C3372" s="5" t="s">
        <v>17707</v>
      </c>
      <c r="D3372" s="5" t="s">
        <v>17740</v>
      </c>
      <c r="E3372" s="2">
        <v>3514868</v>
      </c>
      <c r="F3372" s="4" t="str">
        <f>IF(B3372=B3371,"",B3372)</f>
        <v>Valle Hermoso</v>
      </c>
    </row>
    <row r="3373" spans="1:6" ht="15.75" customHeight="1">
      <c r="A3373" s="5" t="str">
        <f ca="1">IFERROR(__xludf.DUMMYFUNCTION("GOOGLETRANSLATE(B36863,""en"",""pt"")"),"Valle Hermoso")</f>
        <v>Valle Hermoso</v>
      </c>
      <c r="B3373" s="17" t="s">
        <v>18400</v>
      </c>
      <c r="C3373" s="17" t="s">
        <v>17707</v>
      </c>
      <c r="D3373" s="17" t="s">
        <v>17740</v>
      </c>
      <c r="E3373" s="10">
        <v>3514868</v>
      </c>
      <c r="F3373" s="4" t="str">
        <f>IF(B3373=B3372,"",B3373)</f>
        <v/>
      </c>
    </row>
    <row r="3374" spans="1:6" ht="15.75" customHeight="1">
      <c r="A3374" s="5" t="s">
        <v>18399</v>
      </c>
      <c r="B3374" s="6" t="s">
        <v>18399</v>
      </c>
      <c r="C3374" s="5" t="s">
        <v>17707</v>
      </c>
      <c r="D3374" s="5" t="s">
        <v>17713</v>
      </c>
      <c r="E3374" s="2">
        <v>3980605</v>
      </c>
      <c r="F3374" s="4" t="str">
        <f>IF(B3374=B3373,"",B3374)</f>
        <v>Valle de Santiago</v>
      </c>
    </row>
    <row r="3375" spans="1:6" ht="15.75" customHeight="1">
      <c r="A3375" s="5" t="str">
        <f ca="1">IFERROR(__xludf.DUMMYFUNCTION("GOOGLETRANSLATE(B37155,""en"",""pt"")"),"Valle de Santiago")</f>
        <v>Valle de Santiago</v>
      </c>
      <c r="B3375" s="17" t="s">
        <v>18399</v>
      </c>
      <c r="C3375" s="17" t="s">
        <v>17707</v>
      </c>
      <c r="D3375" s="17" t="s">
        <v>17713</v>
      </c>
      <c r="E3375" s="10">
        <v>3980605</v>
      </c>
      <c r="F3375" s="4" t="str">
        <f>IF(B3375=B3374,"",B3375)</f>
        <v/>
      </c>
    </row>
    <row r="3376" spans="1:6" ht="15.75" customHeight="1">
      <c r="A3376" s="5" t="s">
        <v>30776</v>
      </c>
      <c r="B3376" s="6" t="s">
        <v>30777</v>
      </c>
      <c r="C3376" s="5" t="s">
        <v>5923</v>
      </c>
      <c r="D3376" s="5" t="s">
        <v>30637</v>
      </c>
      <c r="E3376" s="2">
        <v>3625515</v>
      </c>
      <c r="F3376" s="4" t="str">
        <f>IF(B3376=B3375,"",B3376)</f>
        <v>Valle de La Pascua</v>
      </c>
    </row>
    <row r="3377" spans="1:6" ht="15.75" customHeight="1">
      <c r="A3377" s="5" t="str">
        <f ca="1">IFERROR(__xludf.DUMMYFUNCTION("GOOGLETRANSLATE(B45606,""en"",""pt"")"),"Valle de la Pascua")</f>
        <v>Valle de la Pascua</v>
      </c>
      <c r="B3377" s="17" t="s">
        <v>30777</v>
      </c>
      <c r="C3377" s="17" t="s">
        <v>5923</v>
      </c>
      <c r="D3377" s="17" t="s">
        <v>36082</v>
      </c>
      <c r="E3377" s="10">
        <v>3625515</v>
      </c>
      <c r="F3377" s="4" t="str">
        <f>IF(B3377=B3376,"",B3377)</f>
        <v/>
      </c>
    </row>
    <row r="3378" spans="1:6" ht="15.75" customHeight="1">
      <c r="A3378" s="5" t="s">
        <v>18398</v>
      </c>
      <c r="B3378" s="6" t="s">
        <v>18398</v>
      </c>
      <c r="C3378" s="5" t="s">
        <v>17707</v>
      </c>
      <c r="D3378" s="5" t="s">
        <v>17736</v>
      </c>
      <c r="E3378" s="2">
        <v>3980621</v>
      </c>
      <c r="F3378" s="4" t="str">
        <f>IF(B3378=B3377,"",B3378)</f>
        <v>Valle de Bravo</v>
      </c>
    </row>
    <row r="3379" spans="1:6" ht="15.75" customHeight="1">
      <c r="A3379" s="5" t="str">
        <f ca="1">IFERROR(__xludf.DUMMYFUNCTION("GOOGLETRANSLATE(B37156,""en"",""pt"")"),"Valle de Bravo")</f>
        <v>Valle de Bravo</v>
      </c>
      <c r="B3379" s="17" t="s">
        <v>18398</v>
      </c>
      <c r="C3379" s="17" t="s">
        <v>17707</v>
      </c>
      <c r="D3379" s="17" t="s">
        <v>20902</v>
      </c>
      <c r="E3379" s="10">
        <v>3980621</v>
      </c>
      <c r="F3379" s="4" t="str">
        <f>IF(B3379=B3378,"",B3379)</f>
        <v/>
      </c>
    </row>
    <row r="3380" spans="1:6" ht="15.75" customHeight="1">
      <c r="A3380" s="6" t="s">
        <v>7875</v>
      </c>
      <c r="B3380" s="6" t="s">
        <v>7875</v>
      </c>
      <c r="C3380" s="6" t="s">
        <v>7052</v>
      </c>
      <c r="D3380" s="6" t="s">
        <v>7087</v>
      </c>
      <c r="E3380" s="2">
        <v>2970962</v>
      </c>
      <c r="F3380" s="4" t="str">
        <f>IF(B3380=B3379,"",B3380)</f>
        <v>Vallauris</v>
      </c>
    </row>
    <row r="3381" spans="1:6" ht="15.75" customHeight="1">
      <c r="A3381" s="5" t="str">
        <f ca="1">IFERROR(__xludf.DUMMYFUNCTION("GOOGLETRANSLATE(B29719,""en"",""pt"")"),"Vallauris")</f>
        <v>Vallauris</v>
      </c>
      <c r="B3381" s="17" t="s">
        <v>7875</v>
      </c>
      <c r="C3381" s="17" t="s">
        <v>7052</v>
      </c>
      <c r="D3381" s="17" t="s">
        <v>32534</v>
      </c>
      <c r="E3381" s="10">
        <v>2970962</v>
      </c>
      <c r="F3381" s="4" t="str">
        <f>IF(B3381=B3380,"",B3381)</f>
        <v/>
      </c>
    </row>
    <row r="3382" spans="1:6" ht="15.75" customHeight="1">
      <c r="A3382" s="6" t="s">
        <v>18397</v>
      </c>
      <c r="B3382" s="6" t="s">
        <v>18397</v>
      </c>
      <c r="C3382" s="6" t="s">
        <v>17707</v>
      </c>
      <c r="D3382" s="6" t="s">
        <v>17823</v>
      </c>
      <c r="E3382" s="2">
        <v>3514876</v>
      </c>
      <c r="F3382" s="4" t="str">
        <f>IF(B3382=B3381,"",B3382)</f>
        <v>Valladolid</v>
      </c>
    </row>
    <row r="3383" spans="1:6" ht="15.75" customHeight="1">
      <c r="A3383" s="6" t="s">
        <v>18397</v>
      </c>
      <c r="B3383" s="6" t="s">
        <v>18397</v>
      </c>
      <c r="C3383" s="6" t="s">
        <v>24200</v>
      </c>
      <c r="D3383" s="6" t="s">
        <v>24210</v>
      </c>
      <c r="E3383" s="2">
        <v>3106672</v>
      </c>
      <c r="F3383" s="4" t="str">
        <f>IF(B3383=B3382,"",B3383)</f>
        <v/>
      </c>
    </row>
    <row r="3384" spans="1:6" ht="15.75" customHeight="1">
      <c r="A3384" s="5" t="str">
        <f ca="1">IFERROR(__xludf.DUMMYFUNCTION("GOOGLETRANSLATE(B29251,""en"",""pt"")"),"Valladolid")</f>
        <v>Valladolid</v>
      </c>
      <c r="B3384" s="17" t="s">
        <v>18397</v>
      </c>
      <c r="C3384" s="17" t="s">
        <v>24200</v>
      </c>
      <c r="D3384" s="17" t="s">
        <v>32412</v>
      </c>
      <c r="E3384" s="10">
        <v>3106672</v>
      </c>
      <c r="F3384" s="4" t="str">
        <f>IF(B3384=B3383,"",B3384)</f>
        <v/>
      </c>
    </row>
    <row r="3385" spans="1:6" ht="15.75" customHeight="1">
      <c r="A3385" s="5" t="str">
        <f ca="1">IFERROR(__xludf.DUMMYFUNCTION("GOOGLETRANSLATE(B36864,""en"",""pt"")"),"Valladolid")</f>
        <v>Valladolid</v>
      </c>
      <c r="B3385" s="17" t="s">
        <v>18397</v>
      </c>
      <c r="C3385" s="17" t="s">
        <v>17707</v>
      </c>
      <c r="D3385" s="17" t="s">
        <v>34661</v>
      </c>
      <c r="E3385" s="10">
        <v>3514876</v>
      </c>
      <c r="F3385" s="4" t="str">
        <f>IF(B3385=B3384,"",B3385)</f>
        <v/>
      </c>
    </row>
    <row r="3386" spans="1:6" ht="15.75" customHeight="1">
      <c r="A3386" s="5" t="s">
        <v>13693</v>
      </c>
      <c r="B3386" s="6" t="s">
        <v>13693</v>
      </c>
      <c r="C3386" s="5" t="s">
        <v>10178</v>
      </c>
      <c r="D3386" s="5" t="s">
        <v>10209</v>
      </c>
      <c r="E3386" s="2">
        <v>1253482</v>
      </c>
      <c r="F3386" s="4" t="str">
        <f>IF(B3386=B3385,"",B3386)</f>
        <v>Vallabh Vidyanagar</v>
      </c>
    </row>
    <row r="3387" spans="1:6" ht="15.75" customHeight="1">
      <c r="A3387" s="5" t="str">
        <f ca="1">IFERROR(__xludf.DUMMYFUNCTION("GOOGLETRANSLATE(B31904,""en"",""pt"")"),"Vallabh Vidyanagar")</f>
        <v>Vallabh Vidyanagar</v>
      </c>
      <c r="B3387" s="17" t="s">
        <v>13693</v>
      </c>
      <c r="C3387" s="17" t="s">
        <v>10178</v>
      </c>
      <c r="D3387" s="17" t="s">
        <v>10209</v>
      </c>
      <c r="E3387" s="10">
        <v>1253482</v>
      </c>
      <c r="F3387" s="4" t="str">
        <f>IF(B3387=B3386,"",B3387)</f>
        <v/>
      </c>
    </row>
    <row r="3388" spans="1:6" ht="15.75" customHeight="1">
      <c r="A3388" s="5" t="s">
        <v>19109</v>
      </c>
      <c r="B3388" s="6" t="s">
        <v>19109</v>
      </c>
      <c r="C3388" s="5" t="s">
        <v>18862</v>
      </c>
      <c r="D3388" s="5" t="s">
        <v>18888</v>
      </c>
      <c r="E3388" s="2">
        <v>2745860</v>
      </c>
      <c r="F3388" s="4" t="str">
        <f>IF(B3388=B3387,"",B3388)</f>
        <v>Valkenswaard</v>
      </c>
    </row>
    <row r="3389" spans="1:6" ht="15.75" customHeight="1">
      <c r="A3389" s="5" t="str">
        <f ca="1">IFERROR(__xludf.DUMMYFUNCTION("GOOGLETRANSLATE(B37934,""en"",""pt"")"),"Valkenswaard")</f>
        <v>Valkenswaard</v>
      </c>
      <c r="B3389" s="17" t="s">
        <v>19109</v>
      </c>
      <c r="C3389" s="17" t="s">
        <v>18862</v>
      </c>
      <c r="D3389" s="17" t="s">
        <v>18888</v>
      </c>
      <c r="E3389" s="10">
        <v>2745860</v>
      </c>
      <c r="F3389" s="4" t="str">
        <f>IF(B3389=B3388,"",B3389)</f>
        <v/>
      </c>
    </row>
    <row r="3390" spans="1:6" ht="15.75" customHeight="1">
      <c r="A3390" s="5" t="s">
        <v>7044</v>
      </c>
      <c r="B3390" s="6" t="s">
        <v>7044</v>
      </c>
      <c r="C3390" s="5" t="s">
        <v>6948</v>
      </c>
      <c r="D3390" s="5" t="s">
        <v>6987</v>
      </c>
      <c r="E3390" s="2">
        <v>632672</v>
      </c>
      <c r="F3390" s="4" t="str">
        <f>IF(B3390=B3389,"",B3390)</f>
        <v>Valkeakoski</v>
      </c>
    </row>
    <row r="3391" spans="1:6" ht="15.75" customHeight="1">
      <c r="A3391" s="5" t="str">
        <f ca="1">IFERROR(__xludf.DUMMYFUNCTION("GOOGLETRANSLATE(B29601,""en"",""pt"")"),"Valkeakoski")</f>
        <v>Valkeakoski</v>
      </c>
      <c r="B3391" s="17" t="s">
        <v>7044</v>
      </c>
      <c r="C3391" s="17" t="s">
        <v>6948</v>
      </c>
      <c r="D3391" s="17" t="s">
        <v>6987</v>
      </c>
      <c r="E3391" s="10">
        <v>632672</v>
      </c>
      <c r="F3391" s="4" t="str">
        <f>IF(B3391=B3390,"",B3391)</f>
        <v/>
      </c>
    </row>
    <row r="3392" spans="1:6" ht="15.75" customHeight="1">
      <c r="A3392" s="6" t="s">
        <v>23663</v>
      </c>
      <c r="B3392" s="6" t="s">
        <v>23663</v>
      </c>
      <c r="C3392" s="6" t="s">
        <v>23602</v>
      </c>
      <c r="D3392" s="6" t="s">
        <v>23603</v>
      </c>
      <c r="E3392" s="2">
        <v>3188402</v>
      </c>
      <c r="F3392" s="4" t="str">
        <f>IF(B3392=B3391,"",B3392)</f>
        <v>Valjevo</v>
      </c>
    </row>
    <row r="3393" spans="1:6" ht="15.75" customHeight="1">
      <c r="A3393" s="5" t="str">
        <f ca="1">IFERROR(__xludf.DUMMYFUNCTION("GOOGLETRANSLATE(B39893,""en"",""pt"")"),"Valjevo")</f>
        <v>Valjevo</v>
      </c>
      <c r="B3393" s="17" t="s">
        <v>23663</v>
      </c>
      <c r="C3393" s="17" t="s">
        <v>23602</v>
      </c>
      <c r="D3393" s="17" t="s">
        <v>23603</v>
      </c>
      <c r="E3393" s="10">
        <v>3188402</v>
      </c>
      <c r="F3393" s="4" t="str">
        <f>IF(B3393=B3392,"",B3393)</f>
        <v/>
      </c>
    </row>
    <row r="3394" spans="1:6" ht="15.75" customHeight="1">
      <c r="A3394" s="6" t="s">
        <v>3640</v>
      </c>
      <c r="B3394" s="6" t="s">
        <v>3640</v>
      </c>
      <c r="C3394" s="6" t="s">
        <v>1905</v>
      </c>
      <c r="D3394" s="6" t="s">
        <v>1914</v>
      </c>
      <c r="E3394" s="2">
        <v>3445578</v>
      </c>
      <c r="F3394" s="4" t="str">
        <f>IF(B3394=B3393,"",B3394)</f>
        <v>Valinhos</v>
      </c>
    </row>
    <row r="3395" spans="1:6" ht="15.75" customHeight="1">
      <c r="A3395" s="5" t="str">
        <f ca="1">IFERROR(__xludf.DUMMYFUNCTION("GOOGLETRANSLATE(B24454,""en"",""pt"")"),"Valinhos")</f>
        <v>Valinhos</v>
      </c>
      <c r="B3395" s="17" t="s">
        <v>3640</v>
      </c>
      <c r="C3395" s="17" t="s">
        <v>1905</v>
      </c>
      <c r="D3395" s="17" t="s">
        <v>3354</v>
      </c>
      <c r="E3395" s="10">
        <v>3445578</v>
      </c>
      <c r="F3395" s="4" t="str">
        <f>IF(B3395=B3394,"",B3395)</f>
        <v/>
      </c>
    </row>
    <row r="3396" spans="1:6" ht="15.75" customHeight="1">
      <c r="A3396" s="6" t="s">
        <v>30775</v>
      </c>
      <c r="B3396" s="6" t="s">
        <v>30775</v>
      </c>
      <c r="C3396" s="6" t="s">
        <v>5923</v>
      </c>
      <c r="D3396" s="6" t="s">
        <v>20588</v>
      </c>
      <c r="E3396" s="2">
        <v>3625542</v>
      </c>
      <c r="F3396" s="4" t="str">
        <f>IF(B3396=B3395,"",B3396)</f>
        <v>Valera</v>
      </c>
    </row>
    <row r="3397" spans="1:6" ht="15.75" customHeight="1">
      <c r="A3397" s="5" t="str">
        <f ca="1">IFERROR(__xludf.DUMMYFUNCTION("GOOGLETRANSLATE(B45607,""en"",""pt"")"),"Valera")</f>
        <v>Valera</v>
      </c>
      <c r="B3397" s="17" t="s">
        <v>30775</v>
      </c>
      <c r="C3397" s="17" t="s">
        <v>5923</v>
      </c>
      <c r="D3397" s="17" t="s">
        <v>20588</v>
      </c>
      <c r="E3397" s="10">
        <v>3625542</v>
      </c>
      <c r="F3397" s="4" t="str">
        <f>IF(B3397=B3396,"",B3397)</f>
        <v/>
      </c>
    </row>
    <row r="3398" spans="1:6" ht="15.75" customHeight="1">
      <c r="A3398" s="5" t="s">
        <v>15555</v>
      </c>
      <c r="B3398" s="6" t="s">
        <v>15555</v>
      </c>
      <c r="C3398" s="5" t="s">
        <v>14891</v>
      </c>
      <c r="D3398" s="5" t="s">
        <v>14908</v>
      </c>
      <c r="E3398" s="2">
        <v>3164919</v>
      </c>
      <c r="F3398" s="4" t="str">
        <f>IF(B3398=B3397,"",B3398)</f>
        <v>Valenzano</v>
      </c>
    </row>
    <row r="3399" spans="1:6" ht="15.75" customHeight="1">
      <c r="A3399" s="5" t="str">
        <f ca="1">IFERROR(__xludf.DUMMYFUNCTION("GOOGLETRANSLATE(B34645,""en"",""pt"")"),"Valenzano")</f>
        <v>Valenzano</v>
      </c>
      <c r="B3399" s="17" t="s">
        <v>15555</v>
      </c>
      <c r="C3399" s="17" t="s">
        <v>14891</v>
      </c>
      <c r="D3399" s="17" t="s">
        <v>14908</v>
      </c>
      <c r="E3399" s="10">
        <v>3164919</v>
      </c>
      <c r="F3399" s="4" t="str">
        <f>IF(B3399=B3398,"",B3399)</f>
        <v/>
      </c>
    </row>
    <row r="3400" spans="1:6" ht="15.75" customHeight="1">
      <c r="A3400" s="6" t="s">
        <v>15554</v>
      </c>
      <c r="B3400" s="6" t="s">
        <v>15554</v>
      </c>
      <c r="C3400" s="6" t="s">
        <v>14891</v>
      </c>
      <c r="D3400" s="6" t="s">
        <v>14911</v>
      </c>
      <c r="E3400" s="2">
        <v>3164920</v>
      </c>
      <c r="F3400" s="4" t="str">
        <f>IF(B3400=B3399,"",B3400)</f>
        <v>Valenza</v>
      </c>
    </row>
    <row r="3401" spans="1:6" ht="15.75" customHeight="1">
      <c r="A3401" s="5" t="str">
        <f ca="1">IFERROR(__xludf.DUMMYFUNCTION("GOOGLETRANSLATE(B34646,""en"",""pt"")"),"Valenza")</f>
        <v>Valenza</v>
      </c>
      <c r="B3401" s="17" t="s">
        <v>15554</v>
      </c>
      <c r="C3401" s="17" t="s">
        <v>14891</v>
      </c>
      <c r="D3401" s="17" t="s">
        <v>14911</v>
      </c>
      <c r="E3401" s="10">
        <v>3164920</v>
      </c>
      <c r="F3401" s="4" t="str">
        <f>IF(B3401=B3400,"",B3401)</f>
        <v/>
      </c>
    </row>
    <row r="3402" spans="1:6" ht="15.75" customHeight="1">
      <c r="A3402" s="5" t="s">
        <v>7874</v>
      </c>
      <c r="B3402" s="6" t="s">
        <v>7874</v>
      </c>
      <c r="C3402" s="5" t="s">
        <v>7052</v>
      </c>
      <c r="D3402" s="5" t="s">
        <v>7078</v>
      </c>
      <c r="E3402" s="2">
        <v>2971041</v>
      </c>
      <c r="F3402" s="4" t="str">
        <f>IF(B3402=B3401,"",B3402)</f>
        <v>Valenciennes</v>
      </c>
    </row>
    <row r="3403" spans="1:6" ht="15.75" customHeight="1">
      <c r="A3403" s="5" t="str">
        <f ca="1">IFERROR(__xludf.DUMMYFUNCTION("GOOGLETRANSLATE(B29720,""en"",""pt"")"),"Valenciennes")</f>
        <v>Valenciennes</v>
      </c>
      <c r="B3403" s="17" t="s">
        <v>7874</v>
      </c>
      <c r="C3403" s="17" t="s">
        <v>7052</v>
      </c>
      <c r="D3403" s="17" t="s">
        <v>7078</v>
      </c>
      <c r="E3403" s="10">
        <v>2971041</v>
      </c>
      <c r="F3403" s="4" t="str">
        <f>IF(B3403=B3402,"",B3403)</f>
        <v/>
      </c>
    </row>
    <row r="3404" spans="1:6" ht="15.75" customHeight="1">
      <c r="A3404" s="6" t="s">
        <v>21053</v>
      </c>
      <c r="B3404" s="6" t="s">
        <v>21053</v>
      </c>
      <c r="C3404" s="6" t="s">
        <v>20598</v>
      </c>
      <c r="D3404" s="6" t="s">
        <v>20687</v>
      </c>
      <c r="E3404" s="2">
        <v>1680116</v>
      </c>
      <c r="F3404" s="4" t="str">
        <f>IF(B3404=B3403,"",B3404)</f>
        <v>Valencia</v>
      </c>
    </row>
    <row r="3405" spans="1:6" ht="15.75" customHeight="1">
      <c r="A3405" s="6" t="s">
        <v>21053</v>
      </c>
      <c r="B3405" s="6" t="s">
        <v>21053</v>
      </c>
      <c r="C3405" s="6" t="s">
        <v>24200</v>
      </c>
      <c r="D3405" s="6" t="s">
        <v>21053</v>
      </c>
      <c r="E3405" s="2">
        <v>2509954</v>
      </c>
      <c r="F3405" s="4" t="str">
        <f>IF(B3405=B3404,"",B3405)</f>
        <v/>
      </c>
    </row>
    <row r="3406" spans="1:6" ht="15.75" customHeight="1">
      <c r="A3406" s="6" t="s">
        <v>21053</v>
      </c>
      <c r="B3406" s="6" t="s">
        <v>21053</v>
      </c>
      <c r="C3406" s="6" t="s">
        <v>5923</v>
      </c>
      <c r="D3406" s="6" t="s">
        <v>30693</v>
      </c>
      <c r="E3406" s="2">
        <v>3625549</v>
      </c>
      <c r="F3406" s="4" t="str">
        <f>IF(B3406=B3405,"",B3406)</f>
        <v/>
      </c>
    </row>
    <row r="3407" spans="1:6" ht="15.75" customHeight="1">
      <c r="A3407" s="5" t="str">
        <f ca="1">IFERROR(__xludf.DUMMYFUNCTION("GOOGLETRANSLATE(B28960,""en"",""pt"")"),"Valencia")</f>
        <v>Valencia</v>
      </c>
      <c r="B3407" s="17" t="s">
        <v>21053</v>
      </c>
      <c r="C3407" s="17" t="s">
        <v>24200</v>
      </c>
      <c r="D3407" s="17" t="s">
        <v>21053</v>
      </c>
      <c r="E3407" s="10">
        <v>2509954</v>
      </c>
      <c r="F3407" s="4" t="str">
        <f>IF(B3407=B3406,"",B3407)</f>
        <v/>
      </c>
    </row>
    <row r="3408" spans="1:6" ht="15.75" customHeight="1">
      <c r="A3408" s="5" t="str">
        <f ca="1">IFERROR(__xludf.DUMMYFUNCTION("GOOGLETRANSLATE(B38431,""en"",""pt"")"),"Valencia")</f>
        <v>Valencia</v>
      </c>
      <c r="B3408" s="17" t="s">
        <v>21053</v>
      </c>
      <c r="C3408" s="17" t="s">
        <v>20598</v>
      </c>
      <c r="D3408" s="17" t="s">
        <v>20687</v>
      </c>
      <c r="E3408" s="10">
        <v>1680116</v>
      </c>
      <c r="F3408" s="4" t="str">
        <f>IF(B3408=B3407,"",B3408)</f>
        <v/>
      </c>
    </row>
    <row r="3409" spans="1:6" ht="15.75" customHeight="1">
      <c r="A3409" s="5" t="str">
        <f ca="1">IFERROR(__xludf.DUMMYFUNCTION("GOOGLETRANSLATE(B45608,""en"",""pt"")"),"Valencia")</f>
        <v>Valencia</v>
      </c>
      <c r="B3409" s="17" t="s">
        <v>21053</v>
      </c>
      <c r="C3409" s="17" t="s">
        <v>5923</v>
      </c>
      <c r="D3409" s="17" t="s">
        <v>30693</v>
      </c>
      <c r="E3409" s="10">
        <v>3625549</v>
      </c>
      <c r="F3409" s="4" t="str">
        <f>IF(B3409=B3408,"",B3409)</f>
        <v/>
      </c>
    </row>
    <row r="3410" spans="1:6" ht="15.75" customHeight="1">
      <c r="A3410" s="6" t="s">
        <v>7872</v>
      </c>
      <c r="B3410" s="6" t="s">
        <v>7873</v>
      </c>
      <c r="C3410" s="6" t="s">
        <v>7052</v>
      </c>
      <c r="D3410" s="6" t="s">
        <v>7053</v>
      </c>
      <c r="E3410" s="2">
        <v>2971053</v>
      </c>
      <c r="F3410" s="4" t="str">
        <f>IF(B3410=B3409,"",B3410)</f>
        <v>Valence</v>
      </c>
    </row>
    <row r="3411" spans="1:6" ht="15.75" customHeight="1">
      <c r="A3411" s="5" t="str">
        <f ca="1">IFERROR(__xludf.DUMMYFUNCTION("GOOGLETRANSLATE(B29721,""en"",""pt"")"),"Valência")</f>
        <v>Valência</v>
      </c>
      <c r="B3411" s="17" t="s">
        <v>7873</v>
      </c>
      <c r="C3411" s="17" t="s">
        <v>7052</v>
      </c>
      <c r="D3411" s="17" t="s">
        <v>32532</v>
      </c>
      <c r="E3411" s="10">
        <v>2971053</v>
      </c>
      <c r="F3411" s="4" t="str">
        <f>IF(B3411=B3410,"",B3411)</f>
        <v/>
      </c>
    </row>
    <row r="3412" spans="1:6" ht="15.75" customHeight="1">
      <c r="A3412" s="5" t="str">
        <f ca="1">IFERROR(__xludf.DUMMYFUNCTION("GOOGLETRANSLATE(B24154,""en"",""pt"")"),"Valença do Piauí")</f>
        <v>Valença do Piauí</v>
      </c>
      <c r="B3412" s="17" t="s">
        <v>31348</v>
      </c>
      <c r="C3412" s="17" t="s">
        <v>1905</v>
      </c>
      <c r="D3412" s="17" t="s">
        <v>31349</v>
      </c>
      <c r="E3412" s="10">
        <v>3385592</v>
      </c>
      <c r="F3412" s="4" t="str">
        <f>IF(B3412=B3411,"",B3412)</f>
        <v>Valença do Piauí</v>
      </c>
    </row>
    <row r="3413" spans="1:6" ht="15.75" customHeight="1">
      <c r="A3413" s="5" t="str">
        <f ca="1">IFERROR(__xludf.DUMMYFUNCTION("GOOGLETRANSLATE(B24455,""en"",""pt"")"),"Valença")</f>
        <v>Valença</v>
      </c>
      <c r="B3413" s="17" t="s">
        <v>31433</v>
      </c>
      <c r="C3413" s="17" t="s">
        <v>1905</v>
      </c>
      <c r="D3413" s="17" t="s">
        <v>1978</v>
      </c>
      <c r="E3413" s="10">
        <v>3445596</v>
      </c>
      <c r="F3413" s="4" t="str">
        <f>IF(B3413=B3412,"",B3413)</f>
        <v>Valença</v>
      </c>
    </row>
    <row r="3414" spans="1:6" ht="15.75" customHeight="1">
      <c r="A3414" s="5" t="str">
        <f ca="1">IFERROR(__xludf.DUMMYFUNCTION("GOOGLETRANSLATE(B24456,""en"",""pt"")"),"Valença")</f>
        <v>Valença</v>
      </c>
      <c r="B3414" s="17" t="s">
        <v>31433</v>
      </c>
      <c r="C3414" s="17" t="s">
        <v>1905</v>
      </c>
      <c r="D3414" s="17" t="s">
        <v>1947</v>
      </c>
      <c r="E3414" s="10">
        <v>3445597</v>
      </c>
      <c r="F3414" s="4" t="str">
        <f>IF(B3414=B3413,"",B3414)</f>
        <v/>
      </c>
    </row>
    <row r="3415" spans="1:6" ht="15.75" customHeight="1">
      <c r="A3415" s="5" t="s">
        <v>3638</v>
      </c>
      <c r="B3415" s="6" t="s">
        <v>3639</v>
      </c>
      <c r="C3415" s="5" t="s">
        <v>1905</v>
      </c>
      <c r="D3415" s="5" t="s">
        <v>1960</v>
      </c>
      <c r="E3415" s="2">
        <v>3385592</v>
      </c>
      <c r="F3415" s="4" t="str">
        <f>IF(B3415=B3414,"",B3415)</f>
        <v>ValenÃ§a do PiauÃ­</v>
      </c>
    </row>
    <row r="3416" spans="1:6" ht="15.75" customHeight="1">
      <c r="A3416" s="6" t="s">
        <v>3636</v>
      </c>
      <c r="B3416" s="6" t="s">
        <v>3637</v>
      </c>
      <c r="C3416" s="6" t="s">
        <v>1905</v>
      </c>
      <c r="D3416" s="6" t="s">
        <v>1978</v>
      </c>
      <c r="E3416" s="2">
        <v>3445596</v>
      </c>
      <c r="F3416" s="4" t="str">
        <f>IF(B3416=B3415,"",B3416)</f>
        <v>ValenÃ§a</v>
      </c>
    </row>
    <row r="3417" spans="1:6" ht="15.75" customHeight="1">
      <c r="A3417" s="6" t="s">
        <v>3636</v>
      </c>
      <c r="B3417" s="6" t="s">
        <v>3637</v>
      </c>
      <c r="C3417" s="6" t="s">
        <v>1905</v>
      </c>
      <c r="D3417" s="6" t="s">
        <v>1947</v>
      </c>
      <c r="E3417" s="2">
        <v>3445597</v>
      </c>
      <c r="F3417" s="4" t="str">
        <f>IF(B3417=B3416,"",B3417)</f>
        <v/>
      </c>
    </row>
    <row r="3418" spans="1:6" ht="15.75" customHeight="1">
      <c r="A3418" s="6" t="s">
        <v>30259</v>
      </c>
      <c r="B3418" s="6" t="s">
        <v>30259</v>
      </c>
      <c r="C3418" s="6" t="s">
        <v>27788</v>
      </c>
      <c r="D3418" s="6" t="s">
        <v>7988</v>
      </c>
      <c r="E3418" s="2">
        <v>4228147</v>
      </c>
      <c r="F3418" s="4" t="str">
        <f>IF(B3418=B3417,"",B3418)</f>
        <v>Valdosta</v>
      </c>
    </row>
    <row r="3419" spans="1:6" ht="15.75" customHeight="1">
      <c r="A3419" s="5" t="str">
        <f ca="1">IFERROR(__xludf.DUMMYFUNCTION("GOOGLETRANSLATE(B43119,""en"",""pt"")"),"Valdosta")</f>
        <v>Valdosta</v>
      </c>
      <c r="B3419" s="17" t="s">
        <v>30259</v>
      </c>
      <c r="C3419" s="17" t="s">
        <v>27788</v>
      </c>
      <c r="D3419" s="17" t="s">
        <v>7988</v>
      </c>
      <c r="E3419" s="10">
        <v>4228147</v>
      </c>
      <c r="F3419" s="4" t="str">
        <f>IF(B3419=B3418,"",B3419)</f>
        <v/>
      </c>
    </row>
    <row r="3420" spans="1:6" ht="15.75" customHeight="1">
      <c r="A3420" s="6" t="s">
        <v>4226</v>
      </c>
      <c r="B3420" s="6" t="s">
        <v>4227</v>
      </c>
      <c r="C3420" s="6" t="s">
        <v>3975</v>
      </c>
      <c r="D3420" s="6" t="s">
        <v>3982</v>
      </c>
      <c r="E3420" s="2">
        <v>6173017</v>
      </c>
      <c r="F3420" s="4" t="str">
        <f>IF(B3420=B3419,"",B3420)</f>
        <v>Val-d'Or</v>
      </c>
    </row>
    <row r="3421" spans="1:6" ht="15.75" customHeight="1">
      <c r="A3421" s="5" t="str">
        <f ca="1">IFERROR(__xludf.DUMMYFUNCTION("GOOGLETRANSLATE(B25601,""en"",""pt"")"),"Val-d'or")</f>
        <v>Val-d'or</v>
      </c>
      <c r="B3421" s="17" t="s">
        <v>4227</v>
      </c>
      <c r="C3421" s="17" t="s">
        <v>3975</v>
      </c>
      <c r="D3421" s="17" t="s">
        <v>3982</v>
      </c>
      <c r="E3421" s="10">
        <v>6173017</v>
      </c>
      <c r="F3421" s="4" t="str">
        <f>IF(B3421=B3420,"",B3421)</f>
        <v/>
      </c>
    </row>
    <row r="3422" spans="1:6" ht="15.75" customHeight="1">
      <c r="A3422" s="6" t="s">
        <v>4479</v>
      </c>
      <c r="B3422" s="6" t="s">
        <v>4479</v>
      </c>
      <c r="C3422" s="6" t="s">
        <v>4355</v>
      </c>
      <c r="D3422" s="6" t="s">
        <v>4411</v>
      </c>
      <c r="E3422" s="2">
        <v>3868707</v>
      </c>
      <c r="F3422" s="4" t="str">
        <f>IF(B3422=B3421,"",B3422)</f>
        <v>Valdivia</v>
      </c>
    </row>
    <row r="3423" spans="1:6" ht="15.75" customHeight="1">
      <c r="A3423" s="5" t="str">
        <f ca="1">IFERROR(__xludf.DUMMYFUNCTION("GOOGLETRANSLATE(B25889,""en"",""pt"")"),"Valdivia")</f>
        <v>Valdivia</v>
      </c>
      <c r="B3423" s="17" t="s">
        <v>4479</v>
      </c>
      <c r="C3423" s="17" t="s">
        <v>4355</v>
      </c>
      <c r="D3423" s="17" t="s">
        <v>31795</v>
      </c>
      <c r="E3423" s="10">
        <v>3868707</v>
      </c>
      <c r="F3423" s="4" t="str">
        <f>IF(B3423=B3422,"",B3423)</f>
        <v/>
      </c>
    </row>
    <row r="3424" spans="1:6" ht="15.75" customHeight="1">
      <c r="A3424" s="5" t="str">
        <f ca="1">IFERROR(__xludf.DUMMYFUNCTION("GOOGLETRANSLATE(B28961,""en"",""pt"")"),"Valdepeñas")</f>
        <v>Valdepeñas</v>
      </c>
      <c r="B3424" s="17" t="s">
        <v>32353</v>
      </c>
      <c r="C3424" s="17" t="s">
        <v>24200</v>
      </c>
      <c r="D3424" s="17" t="s">
        <v>24218</v>
      </c>
      <c r="E3424" s="10">
        <v>2509982</v>
      </c>
      <c r="F3424" s="4" t="str">
        <f>IF(B3424=B3423,"",B3424)</f>
        <v>Valdepeñas</v>
      </c>
    </row>
    <row r="3425" spans="1:6" ht="15.75" customHeight="1">
      <c r="A3425" s="5" t="s">
        <v>24879</v>
      </c>
      <c r="B3425" s="6" t="s">
        <v>24880</v>
      </c>
      <c r="C3425" s="5" t="s">
        <v>24200</v>
      </c>
      <c r="D3425" s="5" t="s">
        <v>24218</v>
      </c>
      <c r="E3425" s="2">
        <v>2509982</v>
      </c>
      <c r="F3425" s="4" t="str">
        <f>IF(B3425=B3424,"",B3425)</f>
        <v>ValdepeÃ±as</v>
      </c>
    </row>
    <row r="3426" spans="1:6" ht="15.75" customHeight="1">
      <c r="A3426" s="5" t="s">
        <v>24878</v>
      </c>
      <c r="B3426" s="6" t="s">
        <v>24878</v>
      </c>
      <c r="C3426" s="5" t="s">
        <v>24200</v>
      </c>
      <c r="D3426" s="5" t="s">
        <v>5513</v>
      </c>
      <c r="E3426" s="2">
        <v>3106868</v>
      </c>
      <c r="F3426" s="4" t="str">
        <f>IF(B3426=B3425,"",B3426)</f>
        <v>Valdemoro</v>
      </c>
    </row>
    <row r="3427" spans="1:6" ht="15.75" customHeight="1">
      <c r="A3427" s="5" t="str">
        <f ca="1">IFERROR(__xludf.DUMMYFUNCTION("GOOGLETRANSLATE(B29252,""en"",""pt"")"),"Valdemoro")</f>
        <v>Valdemoro</v>
      </c>
      <c r="B3427" s="17" t="s">
        <v>24878</v>
      </c>
      <c r="C3427" s="17" t="s">
        <v>24200</v>
      </c>
      <c r="D3427" s="17" t="s">
        <v>5513</v>
      </c>
      <c r="E3427" s="10">
        <v>3106868</v>
      </c>
      <c r="F3427" s="4" t="str">
        <f>IF(B3427=B3426,"",B3427)</f>
        <v/>
      </c>
    </row>
    <row r="3428" spans="1:6" ht="15.75" customHeight="1">
      <c r="A3428" s="6" t="s">
        <v>23262</v>
      </c>
      <c r="B3428" s="6" t="s">
        <v>23262</v>
      </c>
      <c r="C3428" s="6" t="s">
        <v>22070</v>
      </c>
      <c r="D3428" s="6" t="s">
        <v>22263</v>
      </c>
      <c r="E3428" s="2">
        <v>477301</v>
      </c>
      <c r="F3428" s="4" t="str">
        <f>IF(B3428=B3427,"",B3428)</f>
        <v>Valday</v>
      </c>
    </row>
    <row r="3429" spans="1:6" ht="15.75" customHeight="1">
      <c r="A3429" s="5" t="str">
        <f ca="1">IFERROR(__xludf.DUMMYFUNCTION("GOOGLETRANSLATE(B39997,""en"",""pt"")"),"Valday")</f>
        <v>Valday</v>
      </c>
      <c r="B3429" s="17" t="s">
        <v>23262</v>
      </c>
      <c r="C3429" s="17" t="s">
        <v>22070</v>
      </c>
      <c r="D3429" s="17" t="s">
        <v>22263</v>
      </c>
      <c r="E3429" s="10">
        <v>477301</v>
      </c>
      <c r="F3429" s="4" t="str">
        <f>IF(B3429=B3428,"",B3429)</f>
        <v/>
      </c>
    </row>
    <row r="3430" spans="1:6" ht="15.75" customHeight="1">
      <c r="A3430" s="6" t="s">
        <v>15553</v>
      </c>
      <c r="B3430" s="6" t="s">
        <v>15553</v>
      </c>
      <c r="C3430" s="6" t="s">
        <v>14891</v>
      </c>
      <c r="D3430" s="6" t="s">
        <v>14892</v>
      </c>
      <c r="E3430" s="2">
        <v>3164954</v>
      </c>
      <c r="F3430" s="4" t="str">
        <f>IF(B3430=B3429,"",B3430)</f>
        <v>Valdagno</v>
      </c>
    </row>
    <row r="3431" spans="1:6" ht="15.75" customHeight="1">
      <c r="A3431" s="5" t="str">
        <f ca="1">IFERROR(__xludf.DUMMYFUNCTION("GOOGLETRANSLATE(B34647,""en"",""pt"")"),"Valdagno")</f>
        <v>Valdagno</v>
      </c>
      <c r="B3431" s="17" t="s">
        <v>15553</v>
      </c>
      <c r="C3431" s="17" t="s">
        <v>14891</v>
      </c>
      <c r="D3431" s="17" t="s">
        <v>14892</v>
      </c>
      <c r="E3431" s="10">
        <v>3164954</v>
      </c>
      <c r="F3431" s="4" t="str">
        <f>IF(B3431=B3430,"",B3431)</f>
        <v/>
      </c>
    </row>
    <row r="3432" spans="1:6" ht="15.75" customHeight="1">
      <c r="A3432" s="5" t="str">
        <f ca="1">IFERROR(__xludf.DUMMYFUNCTION("GOOGLETRANSLATE(B27251,""en"",""pt"")"),"Valašské Meziříčí")</f>
        <v>Valašské Meziříčí</v>
      </c>
      <c r="B3432" s="17" t="s">
        <v>31945</v>
      </c>
      <c r="C3432" s="17" t="s">
        <v>5947</v>
      </c>
      <c r="D3432" s="17" t="s">
        <v>31937</v>
      </c>
      <c r="E3432" s="10">
        <v>3063447</v>
      </c>
      <c r="F3432" s="4" t="str">
        <f>IF(B3432=B3431,"",B3432)</f>
        <v>Valašské Meziříčí</v>
      </c>
    </row>
    <row r="3433" spans="1:6" ht="15.75" customHeight="1">
      <c r="A3433" s="5" t="str">
        <f ca="1">IFERROR(__xludf.DUMMYFUNCTION("GOOGLETRANSLATE(B31905,""en"",""pt"")"),"Valabhīpur")</f>
        <v>Valabhīpur</v>
      </c>
      <c r="B3433" s="18" t="s">
        <v>32970</v>
      </c>
      <c r="C3433" s="17" t="s">
        <v>10178</v>
      </c>
      <c r="D3433" s="17" t="s">
        <v>10209</v>
      </c>
      <c r="E3433" s="10">
        <v>1253512</v>
      </c>
      <c r="F3433" s="4" t="str">
        <f>IF(B3433=B3432,"",B3433)</f>
        <v>Valabhīpur</v>
      </c>
    </row>
    <row r="3434" spans="1:6" ht="15.75" customHeight="1">
      <c r="A3434" s="5" t="s">
        <v>13691</v>
      </c>
      <c r="B3434" s="6" t="s">
        <v>13692</v>
      </c>
      <c r="C3434" s="5" t="s">
        <v>10178</v>
      </c>
      <c r="D3434" s="5" t="s">
        <v>10209</v>
      </c>
      <c r="E3434" s="2">
        <v>1253512</v>
      </c>
      <c r="F3434" s="4" t="str">
        <f>IF(B3434=B3433,"",B3434)</f>
        <v>ValabhÄ«pur</v>
      </c>
    </row>
    <row r="3435" spans="1:6" ht="15.75" customHeight="1">
      <c r="A3435" s="5" t="s">
        <v>6117</v>
      </c>
      <c r="B3435" s="6" t="s">
        <v>6118</v>
      </c>
      <c r="C3435" s="5" t="s">
        <v>5947</v>
      </c>
      <c r="D3435" s="5" t="s">
        <v>6045</v>
      </c>
      <c r="E3435" s="2">
        <v>3063447</v>
      </c>
      <c r="F3435" s="4" t="str">
        <f>IF(B3435=B3434,"",B3435)</f>
        <v>ValaÅ¡skÃ© MeziÅ™Ã­ÄÃ­</v>
      </c>
    </row>
    <row r="3436" spans="1:6" ht="15.75" customHeight="1">
      <c r="A3436" s="6" t="s">
        <v>25555</v>
      </c>
      <c r="B3436" s="6" t="s">
        <v>25555</v>
      </c>
      <c r="C3436" s="6" t="s">
        <v>25527</v>
      </c>
      <c r="D3436" s="6" t="s">
        <v>25532</v>
      </c>
      <c r="E3436" s="2">
        <v>1220219</v>
      </c>
      <c r="F3436" s="4" t="str">
        <f>IF(B3436=B3435,"",B3436)</f>
        <v>Vakhsh</v>
      </c>
    </row>
    <row r="3437" spans="1:6" ht="15.75" customHeight="1">
      <c r="A3437" s="5" t="str">
        <f ca="1">IFERROR(__xludf.DUMMYFUNCTION("GOOGLETRANSLATE(B41733,""en"",""pt"")"),"Vakhsh")</f>
        <v>Vakhsh</v>
      </c>
      <c r="B3437" s="17" t="s">
        <v>25555</v>
      </c>
      <c r="C3437" s="17" t="s">
        <v>25527</v>
      </c>
      <c r="D3437" s="17" t="s">
        <v>25532</v>
      </c>
      <c r="E3437" s="10">
        <v>1220219</v>
      </c>
      <c r="F3437" s="4" t="str">
        <f>IF(B3437=B3436,"",B3437)</f>
        <v/>
      </c>
    </row>
    <row r="3438" spans="1:6" ht="15.75" customHeight="1">
      <c r="A3438" s="5" t="str">
        <f ca="1">IFERROR(__xludf.DUMMYFUNCTION("GOOGLETRANSLATE(B42096,""en"",""pt"")"),"Vakfıkebir")</f>
        <v>Vakfıkebir</v>
      </c>
      <c r="B3438" s="17" t="s">
        <v>35913</v>
      </c>
      <c r="C3438" s="17" t="s">
        <v>26201</v>
      </c>
      <c r="D3438" s="17" t="s">
        <v>26286</v>
      </c>
      <c r="E3438" s="10">
        <v>738228</v>
      </c>
      <c r="F3438" s="4" t="str">
        <f>IF(B3438=B3437,"",B3438)</f>
        <v>Vakfıkebir</v>
      </c>
    </row>
    <row r="3439" spans="1:6" ht="15.75" customHeight="1">
      <c r="A3439" s="5" t="s">
        <v>26745</v>
      </c>
      <c r="B3439" s="6" t="s">
        <v>26746</v>
      </c>
      <c r="C3439" s="5" t="s">
        <v>26201</v>
      </c>
      <c r="D3439" s="5" t="s">
        <v>26286</v>
      </c>
      <c r="E3439" s="2">
        <v>738228</v>
      </c>
      <c r="F3439" s="4" t="str">
        <f>IF(B3439=B3438,"",B3439)</f>
        <v>VakfÄ±kebir</v>
      </c>
    </row>
    <row r="3440" spans="1:6" ht="15.75" customHeight="1">
      <c r="A3440" s="6" t="s">
        <v>13690</v>
      </c>
      <c r="B3440" s="6" t="s">
        <v>13690</v>
      </c>
      <c r="C3440" s="6" t="s">
        <v>10178</v>
      </c>
      <c r="D3440" s="6" t="s">
        <v>10246</v>
      </c>
      <c r="E3440" s="2">
        <v>1253544</v>
      </c>
      <c r="F3440" s="4" t="str">
        <f>IF(B3440=B3439,"",B3440)</f>
        <v>Vaikam</v>
      </c>
    </row>
    <row r="3441" spans="1:6" ht="15.75" customHeight="1">
      <c r="A3441" s="5" t="str">
        <f ca="1">IFERROR(__xludf.DUMMYFUNCTION("GOOGLETRANSLATE(B31906,""en"",""pt"")"),"Vaikam")</f>
        <v>Vaikam</v>
      </c>
      <c r="B3441" s="17" t="s">
        <v>13690</v>
      </c>
      <c r="C3441" s="17" t="s">
        <v>10178</v>
      </c>
      <c r="D3441" s="17" t="s">
        <v>10246</v>
      </c>
      <c r="E3441" s="10">
        <v>1253544</v>
      </c>
      <c r="F3441" s="4" t="str">
        <f>IF(B3441=B3440,"",B3441)</f>
        <v/>
      </c>
    </row>
    <row r="3442" spans="1:6" ht="15.75" customHeight="1">
      <c r="A3442" s="5" t="str">
        <f ca="1">IFERROR(__xludf.DUMMYFUNCTION("GOOGLETRANSLATE(B31907,""en"",""pt"")"),"Vaijāpur")</f>
        <v>Vaijāpur</v>
      </c>
      <c r="B3442" s="17" t="s">
        <v>32971</v>
      </c>
      <c r="C3442" s="17" t="s">
        <v>10178</v>
      </c>
      <c r="D3442" s="17" t="s">
        <v>10214</v>
      </c>
      <c r="E3442" s="10">
        <v>1253545</v>
      </c>
      <c r="F3442" s="4" t="str">
        <f>IF(B3442=B3441,"",B3442)</f>
        <v>Vaijāpur</v>
      </c>
    </row>
    <row r="3443" spans="1:6" ht="15.75" customHeight="1">
      <c r="A3443" s="6" t="s">
        <v>13688</v>
      </c>
      <c r="B3443" s="6" t="s">
        <v>13689</v>
      </c>
      <c r="C3443" s="6" t="s">
        <v>10178</v>
      </c>
      <c r="D3443" s="6" t="s">
        <v>10214</v>
      </c>
      <c r="E3443" s="2">
        <v>1253545</v>
      </c>
      <c r="F3443" s="4" t="str">
        <f>IF(B3443=B3442,"",B3443)</f>
        <v>VaijÄpur</v>
      </c>
    </row>
    <row r="3444" spans="1:6" ht="15.75" customHeight="1">
      <c r="A3444" s="5" t="s">
        <v>9223</v>
      </c>
      <c r="B3444" s="6" t="s">
        <v>9224</v>
      </c>
      <c r="C3444" s="5" t="s">
        <v>8028</v>
      </c>
      <c r="D3444" s="5" t="s">
        <v>8031</v>
      </c>
      <c r="E3444" s="2">
        <v>2817927</v>
      </c>
      <c r="F3444" s="4" t="str">
        <f>IF(B3444=B3443,"",B3444)</f>
        <v>Vaihingen an der Enz</v>
      </c>
    </row>
    <row r="3445" spans="1:6" ht="15.75" customHeight="1">
      <c r="A3445" s="5" t="str">
        <f ca="1">IFERROR(__xludf.DUMMYFUNCTION("GOOGLETRANSLATE(B27456,""en"",""pt"")"),"Vaihingen An Der Enz")</f>
        <v>Vaihingen An Der Enz</v>
      </c>
      <c r="B3445" s="17" t="s">
        <v>9224</v>
      </c>
      <c r="C3445" s="17" t="s">
        <v>8028</v>
      </c>
      <c r="D3445" s="17" t="s">
        <v>32013</v>
      </c>
      <c r="E3445" s="10">
        <v>2817927</v>
      </c>
      <c r="F3445" s="4" t="str">
        <f>IF(B3445=B3444,"",B3445)</f>
        <v/>
      </c>
    </row>
    <row r="3446" spans="1:6" ht="15.75" customHeight="1">
      <c r="A3446" s="6" t="s">
        <v>25554</v>
      </c>
      <c r="B3446" s="6" t="s">
        <v>25554</v>
      </c>
      <c r="C3446" s="6" t="s">
        <v>25527</v>
      </c>
      <c r="D3446" s="6" t="s">
        <v>25536</v>
      </c>
      <c r="E3446" s="2">
        <v>1220855</v>
      </c>
      <c r="F3446" s="4" t="str">
        <f>IF(B3446=B3445,"",B3446)</f>
        <v>Vahdat</v>
      </c>
    </row>
    <row r="3447" spans="1:6" ht="15.75" customHeight="1">
      <c r="A3447" s="5" t="str">
        <f ca="1">IFERROR(__xludf.DUMMYFUNCTION("GOOGLETRANSLATE(B41739,""en"",""pt"")"),"Vahdat")</f>
        <v>Vahdat</v>
      </c>
      <c r="B3447" s="17" t="s">
        <v>25554</v>
      </c>
      <c r="C3447" s="17" t="s">
        <v>25527</v>
      </c>
      <c r="D3447" s="17" t="s">
        <v>25536</v>
      </c>
      <c r="E3447" s="10">
        <v>1220855</v>
      </c>
      <c r="F3447" s="4" t="str">
        <f>IF(B3447=B3446,"",B3447)</f>
        <v/>
      </c>
    </row>
    <row r="3448" spans="1:6" ht="15.75" customHeight="1">
      <c r="A3448" s="5" t="s">
        <v>23261</v>
      </c>
      <c r="B3448" s="6" t="s">
        <v>23261</v>
      </c>
      <c r="C3448" s="5" t="s">
        <v>22070</v>
      </c>
      <c r="D3448" s="5" t="s">
        <v>22127</v>
      </c>
      <c r="E3448" s="2">
        <v>477377</v>
      </c>
      <c r="F3448" s="4" t="str">
        <f>IF(B3448=B3447,"",B3448)</f>
        <v>Vagonoremont</v>
      </c>
    </row>
    <row r="3449" spans="1:6" ht="15.75" customHeight="1">
      <c r="A3449" s="5" t="str">
        <f ca="1">IFERROR(__xludf.DUMMYFUNCTION("GOOGLETRANSLATE(B39998,""en"",""pt"")"),"Vagonoremont")</f>
        <v>Vagonoremont</v>
      </c>
      <c r="B3449" s="17" t="s">
        <v>23261</v>
      </c>
      <c r="C3449" s="17" t="s">
        <v>22070</v>
      </c>
      <c r="D3449" s="17" t="s">
        <v>22127</v>
      </c>
      <c r="E3449" s="10">
        <v>477377</v>
      </c>
      <c r="F3449" s="4" t="str">
        <f>IF(B3449=B3448,"",B3449)</f>
        <v/>
      </c>
    </row>
    <row r="3450" spans="1:6" ht="15.75" customHeight="1">
      <c r="A3450" s="6" t="s">
        <v>17150</v>
      </c>
      <c r="B3450" s="6" t="s">
        <v>17150</v>
      </c>
      <c r="C3450" s="6" t="s">
        <v>17151</v>
      </c>
      <c r="D3450" s="6" t="s">
        <v>17150</v>
      </c>
      <c r="E3450" s="2">
        <v>3042030</v>
      </c>
      <c r="F3450" s="4" t="str">
        <f>IF(B3450=B3449,"",B3450)</f>
        <v>Vaduz</v>
      </c>
    </row>
    <row r="3451" spans="1:6" ht="15.75" customHeight="1">
      <c r="A3451" s="5" t="str">
        <f ca="1">IFERROR(__xludf.DUMMYFUNCTION("GOOGLETRANSLATE(B36289,""en"",""pt"")"),"Vaduz")</f>
        <v>Vaduz</v>
      </c>
      <c r="B3451" s="17" t="s">
        <v>17150</v>
      </c>
      <c r="C3451" s="17" t="s">
        <v>17151</v>
      </c>
      <c r="D3451" s="17" t="s">
        <v>17150</v>
      </c>
      <c r="E3451" s="10">
        <v>3042030</v>
      </c>
      <c r="F3451" s="4" t="str">
        <f>IF(B3451=B3450,"",B3451)</f>
        <v/>
      </c>
    </row>
    <row r="3452" spans="1:6" ht="15.75" customHeight="1">
      <c r="A3452" s="6" t="s">
        <v>13687</v>
      </c>
      <c r="B3452" s="6" t="s">
        <v>13687</v>
      </c>
      <c r="C3452" s="6" t="s">
        <v>10178</v>
      </c>
      <c r="D3452" s="6" t="s">
        <v>10209</v>
      </c>
      <c r="E3452" s="2">
        <v>1253573</v>
      </c>
      <c r="F3452" s="4" t="str">
        <f>IF(B3452=B3451,"",B3452)</f>
        <v>Vadodara</v>
      </c>
    </row>
    <row r="3453" spans="1:6" ht="15.75" customHeight="1">
      <c r="A3453" s="5" t="str">
        <f ca="1">IFERROR(__xludf.DUMMYFUNCTION("GOOGLETRANSLATE(B31908,""en"",""pt"")"),"Vadodara")</f>
        <v>Vadodara</v>
      </c>
      <c r="B3453" s="17" t="s">
        <v>13687</v>
      </c>
      <c r="C3453" s="17" t="s">
        <v>10178</v>
      </c>
      <c r="D3453" s="17" t="s">
        <v>10209</v>
      </c>
      <c r="E3453" s="10">
        <v>1253573</v>
      </c>
      <c r="F3453" s="4" t="str">
        <f>IF(B3453=B3452,"",B3453)</f>
        <v/>
      </c>
    </row>
    <row r="3454" spans="1:6" ht="15.75" customHeight="1">
      <c r="A3454" s="6" t="s">
        <v>13686</v>
      </c>
      <c r="B3454" s="6" t="s">
        <v>13686</v>
      </c>
      <c r="C3454" s="6" t="s">
        <v>10178</v>
      </c>
      <c r="D3454" s="6" t="s">
        <v>10209</v>
      </c>
      <c r="E3454" s="2">
        <v>1253577</v>
      </c>
      <c r="F3454" s="4" t="str">
        <f>IF(B3454=B3453,"",B3454)</f>
        <v>Vadnagar</v>
      </c>
    </row>
    <row r="3455" spans="1:6" ht="15.75" customHeight="1">
      <c r="A3455" s="5" t="str">
        <f ca="1">IFERROR(__xludf.DUMMYFUNCTION("GOOGLETRANSLATE(B31909,""en"",""pt"")"),"Vadnagar")</f>
        <v>Vadnagar</v>
      </c>
      <c r="B3455" s="17" t="s">
        <v>13686</v>
      </c>
      <c r="C3455" s="17" t="s">
        <v>10178</v>
      </c>
      <c r="D3455" s="17" t="s">
        <v>10209</v>
      </c>
      <c r="E3455" s="10">
        <v>1253577</v>
      </c>
      <c r="F3455" s="4" t="str">
        <f>IF(B3455=B3454,"",B3455)</f>
        <v/>
      </c>
    </row>
    <row r="3456" spans="1:6" ht="15.75" customHeight="1">
      <c r="A3456" s="5" t="str">
        <f ca="1">IFERROR(__xludf.DUMMYFUNCTION("GOOGLETRANSLATE(B31910,""en"",""pt"")"),"Vadlapūdi")</f>
        <v>Vadlapūdi</v>
      </c>
      <c r="B3456" s="17" t="s">
        <v>32972</v>
      </c>
      <c r="C3456" s="17" t="s">
        <v>10178</v>
      </c>
      <c r="D3456" s="17" t="s">
        <v>10190</v>
      </c>
      <c r="E3456" s="10">
        <v>1253578</v>
      </c>
      <c r="F3456" s="4" t="str">
        <f>IF(B3456=B3455,"",B3456)</f>
        <v>Vadlapūdi</v>
      </c>
    </row>
    <row r="3457" spans="1:6" ht="15.75" customHeight="1">
      <c r="A3457" s="5" t="s">
        <v>13684</v>
      </c>
      <c r="B3457" s="6" t="s">
        <v>13685</v>
      </c>
      <c r="C3457" s="5" t="s">
        <v>10178</v>
      </c>
      <c r="D3457" s="5" t="s">
        <v>10190</v>
      </c>
      <c r="E3457" s="2">
        <v>1253578</v>
      </c>
      <c r="F3457" s="4" t="str">
        <f>IF(B3457=B3456,"",B3457)</f>
        <v>VadlapÅ«di</v>
      </c>
    </row>
    <row r="3458" spans="1:6" ht="15.75" customHeight="1">
      <c r="A3458" s="5" t="str">
        <f ca="1">IFERROR(__xludf.DUMMYFUNCTION("GOOGLETRANSLATE(B31911,""en"",""pt"")"),"Vādippatti")</f>
        <v>Vādippatti</v>
      </c>
      <c r="B3458" s="17" t="s">
        <v>32973</v>
      </c>
      <c r="C3458" s="17" t="s">
        <v>10178</v>
      </c>
      <c r="D3458" s="17" t="s">
        <v>10196</v>
      </c>
      <c r="E3458" s="10">
        <v>1253579</v>
      </c>
      <c r="F3458" s="4" t="str">
        <f>IF(B3458=B3457,"",B3458)</f>
        <v>Vādippatti</v>
      </c>
    </row>
    <row r="3459" spans="1:6" ht="15.75" customHeight="1">
      <c r="A3459" s="5" t="s">
        <v>13683</v>
      </c>
      <c r="B3459" s="6" t="s">
        <v>13683</v>
      </c>
      <c r="C3459" s="5" t="s">
        <v>10178</v>
      </c>
      <c r="D3459" s="5" t="s">
        <v>10196</v>
      </c>
      <c r="E3459" s="2">
        <v>1253595</v>
      </c>
      <c r="F3459" s="4" t="str">
        <f>IF(B3459=B3458,"",B3459)</f>
        <v>Vadamadurai</v>
      </c>
    </row>
    <row r="3460" spans="1:6" ht="15.75" customHeight="1">
      <c r="A3460" s="5" t="str">
        <f ca="1">IFERROR(__xludf.DUMMYFUNCTION("GOOGLETRANSLATE(B31912,""en"",""pt"")"),"Vadamadurai")</f>
        <v>Vadamadurai</v>
      </c>
      <c r="B3460" s="17" t="s">
        <v>13683</v>
      </c>
      <c r="C3460" s="17" t="s">
        <v>10178</v>
      </c>
      <c r="D3460" s="17" t="s">
        <v>10196</v>
      </c>
      <c r="E3460" s="10">
        <v>1253595</v>
      </c>
      <c r="F3460" s="4" t="str">
        <f>IF(B3460=B3459,"",B3460)</f>
        <v/>
      </c>
    </row>
    <row r="3461" spans="1:6" ht="15.75" customHeight="1">
      <c r="A3461" s="5" t="str">
        <f ca="1">IFERROR(__xludf.DUMMYFUNCTION("GOOGLETRANSLATE(B31913,""en"",""pt"")"),"Vadakku Valliyūr")</f>
        <v>Vadakku Valliyūr</v>
      </c>
      <c r="B3461" s="17" t="s">
        <v>32974</v>
      </c>
      <c r="C3461" s="17" t="s">
        <v>10178</v>
      </c>
      <c r="D3461" s="17" t="s">
        <v>10196</v>
      </c>
      <c r="E3461" s="10">
        <v>1253605</v>
      </c>
      <c r="F3461" s="4" t="str">
        <f>IF(B3461=B3460,"",B3461)</f>
        <v>Vadakku Valliyūr</v>
      </c>
    </row>
    <row r="3462" spans="1:6" ht="15.75" customHeight="1">
      <c r="A3462" s="5" t="s">
        <v>13681</v>
      </c>
      <c r="B3462" s="6" t="s">
        <v>13682</v>
      </c>
      <c r="C3462" s="5" t="s">
        <v>10178</v>
      </c>
      <c r="D3462" s="5" t="s">
        <v>10196</v>
      </c>
      <c r="E3462" s="2">
        <v>1253605</v>
      </c>
      <c r="F3462" s="4" t="str">
        <f>IF(B3462=B3461,"",B3462)</f>
        <v>Vadakku ValliyÅ«r</v>
      </c>
    </row>
    <row r="3463" spans="1:6" ht="15.75" customHeight="1">
      <c r="A3463" s="5" t="str">
        <f ca="1">IFERROR(__xludf.DUMMYFUNCTION("GOOGLETRANSLATE(B31914,""en"",""pt"")"),"Vāda")</f>
        <v>Vāda</v>
      </c>
      <c r="B3463" s="17" t="s">
        <v>32975</v>
      </c>
      <c r="C3463" s="17" t="s">
        <v>10178</v>
      </c>
      <c r="D3463" s="17" t="s">
        <v>10214</v>
      </c>
      <c r="E3463" s="10">
        <v>1253610</v>
      </c>
      <c r="F3463" s="4" t="str">
        <f>IF(B3463=B3462,"",B3463)</f>
        <v>Vāda</v>
      </c>
    </row>
    <row r="3464" spans="1:6" ht="15.75" customHeight="1">
      <c r="A3464" s="5" t="s">
        <v>18395</v>
      </c>
      <c r="B3464" s="6" t="s">
        <v>18396</v>
      </c>
      <c r="C3464" s="5" t="s">
        <v>17707</v>
      </c>
      <c r="D3464" s="5" t="s">
        <v>17943</v>
      </c>
      <c r="E3464" s="2">
        <v>4016132</v>
      </c>
      <c r="F3464" s="4" t="str">
        <f>IF(B3464=B3463,"",B3464)</f>
        <v>VÃ­ctor Rosales</v>
      </c>
    </row>
    <row r="3465" spans="1:6" ht="15.75" customHeight="1">
      <c r="A3465" s="6" t="s">
        <v>17699</v>
      </c>
      <c r="B3465" s="6" t="s">
        <v>17700</v>
      </c>
      <c r="C3465" s="6" t="s">
        <v>17678</v>
      </c>
      <c r="D3465" s="6" t="s">
        <v>17684</v>
      </c>
      <c r="E3465" s="2">
        <v>933945</v>
      </c>
      <c r="F3465" s="4" t="str">
        <f>IF(B3465=B3464,"",B3465)</f>
        <v>Vacoas</v>
      </c>
    </row>
    <row r="3466" spans="1:6" ht="15.75" customHeight="1">
      <c r="A3466" s="5" t="str">
        <f ca="1">IFERROR(__xludf.DUMMYFUNCTION("GOOGLETRANSLATE(B36812,""en"",""pt"")"),"Vácuoas")</f>
        <v>Vácuoas</v>
      </c>
      <c r="B3466" s="17" t="s">
        <v>17700</v>
      </c>
      <c r="C3466" s="17" t="s">
        <v>17678</v>
      </c>
      <c r="D3466" s="17" t="s">
        <v>17684</v>
      </c>
      <c r="E3466" s="10">
        <v>933945</v>
      </c>
      <c r="F3466" s="4" t="str">
        <f>IF(B3466=B3465,"",B3466)</f>
        <v/>
      </c>
    </row>
    <row r="3467" spans="1:6" ht="15.75" customHeight="1">
      <c r="A3467" s="6" t="s">
        <v>3634</v>
      </c>
      <c r="B3467" s="6" t="s">
        <v>3635</v>
      </c>
      <c r="C3467" s="6" t="s">
        <v>1905</v>
      </c>
      <c r="D3467" s="6" t="s">
        <v>1951</v>
      </c>
      <c r="E3467" s="2">
        <v>3445630</v>
      </c>
      <c r="F3467" s="4" t="str">
        <f>IF(B3467=B3466,"",B3467)</f>
        <v>Vacaria</v>
      </c>
    </row>
    <row r="3468" spans="1:6" ht="15.75" customHeight="1">
      <c r="A3468" s="5" t="str">
        <f ca="1">IFERROR(__xludf.DUMMYFUNCTION("GOOGLETRANSLATE(B24457,""en"",""pt"")"),"Valas")</f>
        <v>Valas</v>
      </c>
      <c r="B3468" s="17" t="s">
        <v>3635</v>
      </c>
      <c r="C3468" s="17" t="s">
        <v>1905</v>
      </c>
      <c r="D3468" s="17" t="s">
        <v>1951</v>
      </c>
      <c r="E3468" s="10">
        <v>3445630</v>
      </c>
      <c r="F3468" s="4" t="str">
        <f>IF(B3468=B3467,"",B3468)</f>
        <v/>
      </c>
    </row>
    <row r="3469" spans="1:6" ht="15.75" customHeight="1">
      <c r="A3469" s="6" t="s">
        <v>24876</v>
      </c>
      <c r="B3469" s="6" t="s">
        <v>24877</v>
      </c>
      <c r="C3469" s="6" t="s">
        <v>24200</v>
      </c>
      <c r="D3469" s="6" t="s">
        <v>24205</v>
      </c>
      <c r="E3469" s="2">
        <v>2509650</v>
      </c>
      <c r="F3469" s="4" t="str">
        <f>IF(B3469=B3468,"",B3469)</f>
        <v>VÃ­car</v>
      </c>
    </row>
    <row r="3470" spans="1:6" ht="15.75" customHeight="1">
      <c r="A3470" s="5" t="str">
        <f ca="1">IFERROR(__xludf.DUMMYFUNCTION("GOOGLETRANSLATE(B31276,""en"",""pt"")"),"Vác")</f>
        <v>Vác</v>
      </c>
      <c r="B3470" s="17" t="s">
        <v>32850</v>
      </c>
      <c r="C3470" s="17" t="s">
        <v>9955</v>
      </c>
      <c r="D3470" s="17" t="s">
        <v>9959</v>
      </c>
      <c r="E3470" s="10">
        <v>3043293</v>
      </c>
      <c r="F3470" s="4" t="str">
        <f>IF(B3470=B3469,"",B3470)</f>
        <v>Vác</v>
      </c>
    </row>
    <row r="3471" spans="1:6" ht="15.75" customHeight="1">
      <c r="A3471" s="6" t="s">
        <v>7043</v>
      </c>
      <c r="B3471" s="6" t="s">
        <v>7043</v>
      </c>
      <c r="C3471" s="6" t="s">
        <v>6948</v>
      </c>
      <c r="D3471" s="6" t="s">
        <v>6976</v>
      </c>
      <c r="E3471" s="2">
        <v>632978</v>
      </c>
      <c r="F3471" s="4" t="str">
        <f>IF(B3471=B3470,"",B3471)</f>
        <v>Vaasa</v>
      </c>
    </row>
    <row r="3472" spans="1:6" ht="15.75" customHeight="1">
      <c r="A3472" s="5" t="str">
        <f ca="1">IFERROR(__xludf.DUMMYFUNCTION("GOOGLETRANSLATE(B29602,""en"",""pt"")"),"Vaasa")</f>
        <v>Vaasa</v>
      </c>
      <c r="B3472" s="17" t="s">
        <v>7043</v>
      </c>
      <c r="C3472" s="17" t="s">
        <v>6948</v>
      </c>
      <c r="D3472" s="17" t="s">
        <v>6976</v>
      </c>
      <c r="E3472" s="10">
        <v>632978</v>
      </c>
      <c r="F3472" s="4" t="str">
        <f>IF(B3472=B3471,"",B3472)</f>
        <v/>
      </c>
    </row>
    <row r="3473" spans="1:6" ht="15.75" customHeight="1">
      <c r="A3473" s="6" t="s">
        <v>9655</v>
      </c>
      <c r="B3473" s="6" t="s">
        <v>9656</v>
      </c>
      <c r="C3473" s="6" t="s">
        <v>9441</v>
      </c>
      <c r="D3473" s="6" t="s">
        <v>9542</v>
      </c>
      <c r="E3473" s="2">
        <v>251833</v>
      </c>
      <c r="F3473" s="4" t="str">
        <f>IF(B3473=B3472,"",B3473)</f>
        <v>VÃ³los</v>
      </c>
    </row>
    <row r="3474" spans="1:6" ht="15.75" customHeight="1">
      <c r="A3474" s="6" t="s">
        <v>9653</v>
      </c>
      <c r="B3474" s="6" t="s">
        <v>9654</v>
      </c>
      <c r="C3474" s="6" t="s">
        <v>9441</v>
      </c>
      <c r="D3474" s="6" t="s">
        <v>9445</v>
      </c>
      <c r="E3474" s="2">
        <v>251948</v>
      </c>
      <c r="F3474" s="4" t="str">
        <f>IF(B3474=B3473,"",B3474)</f>
        <v>VÃ½ronas</v>
      </c>
    </row>
    <row r="3475" spans="1:6" ht="15.75" customHeight="1">
      <c r="A3475" s="5" t="s">
        <v>13679</v>
      </c>
      <c r="B3475" s="6" t="s">
        <v>13680</v>
      </c>
      <c r="C3475" s="5" t="s">
        <v>10178</v>
      </c>
      <c r="D3475" s="5" t="s">
        <v>10196</v>
      </c>
      <c r="E3475" s="2">
        <v>1253357</v>
      </c>
      <c r="F3475" s="4" t="str">
        <f>IF(B3475=B3474,"",B3475)</f>
        <v>VÄsudevanallÅ«r</v>
      </c>
    </row>
    <row r="3476" spans="1:6" ht="15.75" customHeight="1">
      <c r="A3476" s="5" t="s">
        <v>13677</v>
      </c>
      <c r="B3476" s="6" t="s">
        <v>13678</v>
      </c>
      <c r="C3476" s="5" t="s">
        <v>10178</v>
      </c>
      <c r="D3476" s="5" t="s">
        <v>10856</v>
      </c>
      <c r="E3476" s="2">
        <v>1253367</v>
      </c>
      <c r="F3476" s="4" t="str">
        <f>IF(B3476=B3475,"",B3476)</f>
        <v>VÄsco Da GÄma</v>
      </c>
    </row>
    <row r="3477" spans="1:6" ht="15.75" customHeight="1">
      <c r="A3477" s="5" t="s">
        <v>13675</v>
      </c>
      <c r="B3477" s="6" t="s">
        <v>13676</v>
      </c>
      <c r="C3477" s="5" t="s">
        <v>10178</v>
      </c>
      <c r="D3477" s="5" t="s">
        <v>10196</v>
      </c>
      <c r="E3477" s="2">
        <v>1253579</v>
      </c>
      <c r="F3477" s="4" t="str">
        <f>IF(B3477=B3476,"",B3477)</f>
        <v>VÄdippatti</v>
      </c>
    </row>
    <row r="3478" spans="1:6" ht="15.75" customHeight="1">
      <c r="A3478" s="6" t="s">
        <v>13673</v>
      </c>
      <c r="B3478" s="6" t="s">
        <v>13674</v>
      </c>
      <c r="C3478" s="6" t="s">
        <v>10178</v>
      </c>
      <c r="D3478" s="6" t="s">
        <v>10214</v>
      </c>
      <c r="E3478" s="2">
        <v>1253610</v>
      </c>
      <c r="F3478" s="4" t="str">
        <f>IF(B3478=B3477,"",B3478)</f>
        <v>VÄda</v>
      </c>
    </row>
    <row r="3479" spans="1:6" ht="15.75" customHeight="1">
      <c r="A3479" s="5" t="s">
        <v>9221</v>
      </c>
      <c r="B3479" s="6" t="s">
        <v>9222</v>
      </c>
      <c r="C3479" s="5" t="s">
        <v>8028</v>
      </c>
      <c r="D3479" s="5" t="s">
        <v>8177</v>
      </c>
      <c r="E3479" s="2">
        <v>2816630</v>
      </c>
      <c r="F3479" s="4" t="str">
        <f>IF(B3479=B3478,"",B3479)</f>
        <v>VÃ¶lklingen</v>
      </c>
    </row>
    <row r="3480" spans="1:6" ht="15.75" customHeight="1">
      <c r="A3480" s="6" t="s">
        <v>9651</v>
      </c>
      <c r="B3480" s="6" t="s">
        <v>9652</v>
      </c>
      <c r="C3480" s="6" t="s">
        <v>9441</v>
      </c>
      <c r="D3480" s="6" t="s">
        <v>9442</v>
      </c>
      <c r="E3480" s="2">
        <v>733905</v>
      </c>
      <c r="F3480" s="4" t="str">
        <f>IF(B3480=B3479,"",B3480)</f>
        <v>VÃ©roia</v>
      </c>
    </row>
    <row r="3481" spans="1:6" ht="15.75" customHeight="1">
      <c r="A3481" s="5" t="s">
        <v>7870</v>
      </c>
      <c r="B3481" s="6" t="s">
        <v>7871</v>
      </c>
      <c r="C3481" s="5" t="s">
        <v>7052</v>
      </c>
      <c r="D3481" s="5" t="s">
        <v>7053</v>
      </c>
      <c r="E3481" s="2">
        <v>2970072</v>
      </c>
      <c r="F3481" s="4" t="str">
        <f>IF(B3481=B3480,"",B3481)</f>
        <v>VÃ©nissieux</v>
      </c>
    </row>
    <row r="3482" spans="1:6" ht="15.75" customHeight="1">
      <c r="A3482" s="5" t="s">
        <v>30969</v>
      </c>
      <c r="B3482" s="6" t="s">
        <v>30970</v>
      </c>
      <c r="C3482" s="5" t="s">
        <v>30784</v>
      </c>
      <c r="D3482" s="5" t="s">
        <v>30971</v>
      </c>
      <c r="E3482" s="2">
        <v>1562548</v>
      </c>
      <c r="F3482" s="4" t="str">
        <f>IF(B3482=B3481,"",B3482)</f>
        <v>VÄ©nh YÃªn</v>
      </c>
    </row>
    <row r="3483" spans="1:6" ht="15.75" customHeight="1">
      <c r="A3483" s="5" t="s">
        <v>30967</v>
      </c>
      <c r="B3483" s="6" t="s">
        <v>30968</v>
      </c>
      <c r="C3483" s="5" t="s">
        <v>30784</v>
      </c>
      <c r="D3483" s="5" t="s">
        <v>30968</v>
      </c>
      <c r="E3483" s="2">
        <v>1562693</v>
      </c>
      <c r="F3483" s="4" t="str">
        <f>IF(B3483=B3482,"",B3483)</f>
        <v>VÄ©nh Long</v>
      </c>
    </row>
    <row r="3484" spans="1:6" ht="15.75" customHeight="1">
      <c r="A3484" s="5" t="s">
        <v>30964</v>
      </c>
      <c r="B3484" s="6" t="s">
        <v>30965</v>
      </c>
      <c r="C3484" s="5" t="s">
        <v>30784</v>
      </c>
      <c r="D3484" s="5" t="s">
        <v>30966</v>
      </c>
      <c r="E3484" s="2">
        <v>1562414</v>
      </c>
      <c r="F3484" s="4" t="str">
        <f>IF(B3484=B3483,"",B3484)</f>
        <v>VÅ©ng TÃ u</v>
      </c>
    </row>
    <row r="3485" spans="1:6" ht="15.75" customHeight="1">
      <c r="A3485" s="5" t="s">
        <v>7868</v>
      </c>
      <c r="B3485" s="6" t="s">
        <v>7869</v>
      </c>
      <c r="C3485" s="5" t="s">
        <v>7052</v>
      </c>
      <c r="D3485" s="5" t="s">
        <v>7058</v>
      </c>
      <c r="E3485" s="2">
        <v>2970203</v>
      </c>
      <c r="F3485" s="4" t="str">
        <f>IF(B3485=B3484,"",B3485)</f>
        <v>VÃ©lizy-Villacoublay</v>
      </c>
    </row>
    <row r="3486" spans="1:6" ht="15.75" customHeight="1">
      <c r="A3486" s="5" t="s">
        <v>23598</v>
      </c>
      <c r="B3486" s="6" t="s">
        <v>23599</v>
      </c>
      <c r="C3486" s="5" t="s">
        <v>23559</v>
      </c>
      <c r="D3486" s="5" t="s">
        <v>23574</v>
      </c>
      <c r="E3486" s="2">
        <v>2244177</v>
      </c>
      <c r="F3486" s="4" t="str">
        <f>IF(B3486=B3485,"",B3486)</f>
        <v>VÃ©lingara</v>
      </c>
    </row>
    <row r="3487" spans="1:6" ht="15.75" customHeight="1">
      <c r="A3487" s="5" t="s">
        <v>24874</v>
      </c>
      <c r="B3487" s="6" t="s">
        <v>24875</v>
      </c>
      <c r="C3487" s="5" t="s">
        <v>24200</v>
      </c>
      <c r="D3487" s="5" t="s">
        <v>24205</v>
      </c>
      <c r="E3487" s="2">
        <v>2509769</v>
      </c>
      <c r="F3487" s="4" t="str">
        <f>IF(B3487=B3486,"",B3487)</f>
        <v>VÃ©lez-MÃ¡laga</v>
      </c>
    </row>
    <row r="3488" spans="1:6" ht="15.75" customHeight="1">
      <c r="A3488" s="5" t="s">
        <v>30961</v>
      </c>
      <c r="B3488" s="6" t="s">
        <v>30962</v>
      </c>
      <c r="C3488" s="5" t="s">
        <v>30784</v>
      </c>
      <c r="D3488" s="5" t="s">
        <v>30963</v>
      </c>
      <c r="E3488" s="2">
        <v>1562538</v>
      </c>
      <c r="F3488" s="4" t="str">
        <f>IF(B3488=B3487,"",B3488)</f>
        <v>Vá»‹ Thanh</v>
      </c>
    </row>
    <row r="3489" spans="1:6" ht="15.75" customHeight="1">
      <c r="A3489" s="5" t="s">
        <v>13671</v>
      </c>
      <c r="B3489" s="6" t="s">
        <v>13672</v>
      </c>
      <c r="C3489" s="5" t="s">
        <v>10178</v>
      </c>
      <c r="D3489" s="5" t="s">
        <v>10209</v>
      </c>
      <c r="E3489" s="2">
        <v>1253105</v>
      </c>
      <c r="F3489" s="4" t="str">
        <f>IF(B3489=B3488,"",B3489)</f>
        <v>VÄ«sÄvadar</v>
      </c>
    </row>
    <row r="3490" spans="1:6" ht="15.75" customHeight="1">
      <c r="A3490" s="5" t="s">
        <v>13669</v>
      </c>
      <c r="B3490" s="6" t="s">
        <v>13670</v>
      </c>
      <c r="C3490" s="5" t="s">
        <v>10178</v>
      </c>
      <c r="D3490" s="5" t="s">
        <v>10252</v>
      </c>
      <c r="E3490" s="2">
        <v>1253132</v>
      </c>
      <c r="F3490" s="4" t="str">
        <f>IF(B3490=B3489,"",B3490)</f>
        <v>VÄ«rarÄjendrapet</v>
      </c>
    </row>
    <row r="3491" spans="1:6" ht="15.75" customHeight="1">
      <c r="A3491" s="6" t="s">
        <v>25228</v>
      </c>
      <c r="B3491" s="6" t="s">
        <v>25229</v>
      </c>
      <c r="C3491" s="6" t="s">
        <v>25077</v>
      </c>
      <c r="D3491" s="6" t="s">
        <v>25230</v>
      </c>
      <c r="E3491" s="2">
        <v>2663536</v>
      </c>
      <c r="F3491" s="4" t="str">
        <f>IF(B3491=B3490,"",B3491)</f>
        <v>VÃ¤xjÃ¶</v>
      </c>
    </row>
    <row r="3492" spans="1:6" ht="15.75" customHeight="1">
      <c r="A3492" s="6" t="s">
        <v>25226</v>
      </c>
      <c r="B3492" s="6" t="s">
        <v>25227</v>
      </c>
      <c r="C3492" s="6" t="s">
        <v>25077</v>
      </c>
      <c r="D3492" s="6" t="s">
        <v>25143</v>
      </c>
      <c r="E3492" s="2">
        <v>2664203</v>
      </c>
      <c r="F3492" s="4" t="str">
        <f>IF(B3492=B3491,"",B3492)</f>
        <v>VÃ¤stervik</v>
      </c>
    </row>
    <row r="3493" spans="1:6" ht="15.75" customHeight="1">
      <c r="A3493" s="6" t="s">
        <v>25224</v>
      </c>
      <c r="B3493" s="6" t="s">
        <v>25225</v>
      </c>
      <c r="C3493" s="6" t="s">
        <v>25077</v>
      </c>
      <c r="D3493" s="6" t="s">
        <v>25142</v>
      </c>
      <c r="E3493" s="2">
        <v>2664454</v>
      </c>
      <c r="F3493" s="4" t="str">
        <f>IF(B3493=B3492,"",B3493)</f>
        <v>VÃ¤sterÃ¥s</v>
      </c>
    </row>
    <row r="3494" spans="1:6" ht="15.75" customHeight="1">
      <c r="A3494" s="6" t="s">
        <v>25222</v>
      </c>
      <c r="B3494" s="6" t="s">
        <v>25223</v>
      </c>
      <c r="C3494" s="6" t="s">
        <v>25077</v>
      </c>
      <c r="D3494" s="6" t="s">
        <v>25137</v>
      </c>
      <c r="E3494" s="2">
        <v>2664855</v>
      </c>
      <c r="F3494" s="4" t="str">
        <f>IF(B3494=B3493,"",B3494)</f>
        <v>VÃ¤rnamo</v>
      </c>
    </row>
    <row r="3495" spans="1:6" ht="15.75" customHeight="1">
      <c r="A3495" s="5" t="s">
        <v>25220</v>
      </c>
      <c r="B3495" s="6" t="s">
        <v>25221</v>
      </c>
      <c r="C3495" s="5" t="s">
        <v>25077</v>
      </c>
      <c r="D3495" s="5" t="s">
        <v>25086</v>
      </c>
      <c r="E3495" s="2">
        <v>2665171</v>
      </c>
      <c r="F3495" s="4" t="str">
        <f>IF(B3495=B3494,"",B3495)</f>
        <v>VÃ¤nersborg</v>
      </c>
    </row>
    <row r="3496" spans="1:6" ht="15.75" customHeight="1">
      <c r="A3496" s="5" t="s">
        <v>3632</v>
      </c>
      <c r="B3496" s="6" t="s">
        <v>3633</v>
      </c>
      <c r="C3496" s="5" t="s">
        <v>1905</v>
      </c>
      <c r="D3496" s="5" t="s">
        <v>1914</v>
      </c>
      <c r="E3496" s="2">
        <v>3445446</v>
      </c>
      <c r="F3496" s="4" t="str">
        <f>IF(B3496=B3495,"",B3496)</f>
        <v>VÃ¡rzea Paulista</v>
      </c>
    </row>
    <row r="3497" spans="1:6" ht="15.75" customHeight="1">
      <c r="A3497" s="5" t="s">
        <v>3630</v>
      </c>
      <c r="B3497" s="6" t="s">
        <v>3631</v>
      </c>
      <c r="C3497" s="5" t="s">
        <v>1905</v>
      </c>
      <c r="D3497" s="5" t="s">
        <v>2036</v>
      </c>
      <c r="E3497" s="2">
        <v>3445451</v>
      </c>
      <c r="F3497" s="4" t="str">
        <f>IF(B3497=B3496,"",B3497)</f>
        <v>VÃ¡rzea Grande</v>
      </c>
    </row>
    <row r="3498" spans="1:6" ht="15.75" customHeight="1">
      <c r="A3498" s="5" t="s">
        <v>3628</v>
      </c>
      <c r="B3498" s="6" t="s">
        <v>3629</v>
      </c>
      <c r="C3498" s="5" t="s">
        <v>1905</v>
      </c>
      <c r="D3498" s="5" t="s">
        <v>1917</v>
      </c>
      <c r="E3498" s="2">
        <v>3445459</v>
      </c>
      <c r="F3498" s="4" t="str">
        <f>IF(B3498=B3497,"",B3498)</f>
        <v>VÃ¡rzea da Palma</v>
      </c>
    </row>
    <row r="3499" spans="1:6" ht="15.75" customHeight="1">
      <c r="A3499" s="5" t="s">
        <v>3626</v>
      </c>
      <c r="B3499" s="6" t="s">
        <v>3627</v>
      </c>
      <c r="C3499" s="5" t="s">
        <v>1905</v>
      </c>
      <c r="D3499" s="5" t="s">
        <v>1930</v>
      </c>
      <c r="E3499" s="2">
        <v>3385467</v>
      </c>
      <c r="F3499" s="4" t="str">
        <f>IF(B3499=B3498,"",B3499)</f>
        <v>VÃ¡rzea Alegre</v>
      </c>
    </row>
    <row r="3500" spans="1:6" ht="15.75" customHeight="1">
      <c r="A3500" s="5" t="s">
        <v>10161</v>
      </c>
      <c r="B3500" s="6" t="s">
        <v>10162</v>
      </c>
      <c r="C3500" s="5" t="s">
        <v>9955</v>
      </c>
      <c r="D3500" s="5" t="s">
        <v>9963</v>
      </c>
      <c r="E3500" s="2">
        <v>3043095</v>
      </c>
      <c r="F3500" s="4" t="str">
        <f>IF(B3500=B3499,"",B3500)</f>
        <v>VÃ¡rpalota</v>
      </c>
    </row>
    <row r="3501" spans="1:6" ht="15.75" customHeight="1">
      <c r="A3501" s="6" t="s">
        <v>9649</v>
      </c>
      <c r="B3501" s="6" t="s">
        <v>9650</v>
      </c>
      <c r="C3501" s="6" t="s">
        <v>9441</v>
      </c>
      <c r="D3501" s="6" t="s">
        <v>9445</v>
      </c>
      <c r="E3501" s="2">
        <v>252270</v>
      </c>
      <c r="F3501" s="4" t="str">
        <f>IF(B3501=B3500,"",B3501)</f>
        <v>VÃ¡ri</v>
      </c>
    </row>
    <row r="3502" spans="1:6" ht="15.75" customHeight="1">
      <c r="A3502" s="6" t="s">
        <v>10159</v>
      </c>
      <c r="B3502" s="6" t="s">
        <v>10160</v>
      </c>
      <c r="C3502" s="6" t="s">
        <v>9955</v>
      </c>
      <c r="D3502" s="6" t="s">
        <v>9959</v>
      </c>
      <c r="E3502" s="2">
        <v>3043293</v>
      </c>
      <c r="F3502" s="4" t="str">
        <f>IF(B3502=B3501,"",B3502)</f>
        <v>VÃ¡c</v>
      </c>
    </row>
    <row r="3503" spans="1:6" ht="15.75" customHeight="1">
      <c r="A3503" s="5" t="s">
        <v>13668</v>
      </c>
      <c r="B3503" s="6" t="s">
        <v>13668</v>
      </c>
      <c r="C3503" s="5" t="s">
        <v>10178</v>
      </c>
      <c r="D3503" s="5" t="s">
        <v>10196</v>
      </c>
      <c r="E3503" s="2">
        <v>8948694</v>
      </c>
      <c r="F3503" s="4" t="str">
        <f>IF(B3503=B3502,"",B3503)</f>
        <v>V.S.K.Valasai (Dindigul-Dist.)</v>
      </c>
    </row>
    <row r="3504" spans="1:6" ht="15.75" customHeight="1">
      <c r="A3504" s="5" t="str">
        <f ca="1">IFERROR(__xludf.DUMMYFUNCTION("GOOGLETRANSLATE(B34261,""en"",""pt"")"),"V.S.K.Valasai (Dindigul-Dist.)")</f>
        <v>V.S.K.Valasai (Dindigul-Dist.)</v>
      </c>
      <c r="B3504" s="17" t="s">
        <v>13668</v>
      </c>
      <c r="C3504" s="17" t="s">
        <v>10178</v>
      </c>
      <c r="D3504" s="17" t="s">
        <v>10196</v>
      </c>
      <c r="E3504" s="10">
        <v>8948694</v>
      </c>
      <c r="F3504" s="4" t="str">
        <f>IF(B3504=B3503,"",B3504)</f>
        <v/>
      </c>
    </row>
    <row r="3505" spans="1:6" ht="15.75" customHeight="1">
      <c r="A3505" s="5" t="str">
        <f ca="1">IFERROR(__xludf.DUMMYFUNCTION("GOOGLETRANSLATE(B42097,""en"",""pt"")"),"Uzunköprü")</f>
        <v>Uzunköprü</v>
      </c>
      <c r="B3505" s="17" t="s">
        <v>35914</v>
      </c>
      <c r="C3505" s="17" t="s">
        <v>26201</v>
      </c>
      <c r="D3505" s="17" t="s">
        <v>26456</v>
      </c>
      <c r="E3505" s="10">
        <v>738251</v>
      </c>
      <c r="F3505" s="4" t="str">
        <f>IF(B3505=B3504,"",B3505)</f>
        <v>Uzunköprü</v>
      </c>
    </row>
    <row r="3506" spans="1:6" ht="15.75" customHeight="1">
      <c r="A3506" s="5" t="s">
        <v>26743</v>
      </c>
      <c r="B3506" s="6" t="s">
        <v>26744</v>
      </c>
      <c r="C3506" s="5" t="s">
        <v>26201</v>
      </c>
      <c r="D3506" s="5" t="s">
        <v>26456</v>
      </c>
      <c r="E3506" s="2">
        <v>738251</v>
      </c>
      <c r="F3506" s="4" t="str">
        <f>IF(B3506=B3505,"",B3506)</f>
        <v>UzunkÃ¶prÃ¼</v>
      </c>
    </row>
    <row r="3507" spans="1:6" ht="15.75" customHeight="1">
      <c r="A3507" s="6" t="s">
        <v>23260</v>
      </c>
      <c r="B3507" s="6" t="s">
        <v>23260</v>
      </c>
      <c r="C3507" s="6" t="s">
        <v>22070</v>
      </c>
      <c r="D3507" s="6" t="s">
        <v>22122</v>
      </c>
      <c r="E3507" s="2">
        <v>477494</v>
      </c>
      <c r="F3507" s="4" t="str">
        <f>IF(B3507=B3506,"",B3507)</f>
        <v>Uzlovaya</v>
      </c>
    </row>
    <row r="3508" spans="1:6" ht="15.75" customHeight="1">
      <c r="A3508" s="5" t="str">
        <f ca="1">IFERROR(__xludf.DUMMYFUNCTION("GOOGLETRANSLATE(B39999,""en"",""pt"")"),"Uzlovaya")</f>
        <v>Uzlovaya</v>
      </c>
      <c r="B3508" s="17" t="s">
        <v>23260</v>
      </c>
      <c r="C3508" s="17" t="s">
        <v>22070</v>
      </c>
      <c r="D3508" s="17" t="s">
        <v>22122</v>
      </c>
      <c r="E3508" s="10">
        <v>477494</v>
      </c>
      <c r="F3508" s="4" t="str">
        <f>IF(B3508=B3507,"",B3508)</f>
        <v/>
      </c>
    </row>
    <row r="3509" spans="1:6" ht="15.75" customHeight="1">
      <c r="A3509" s="5" t="str">
        <f ca="1">IFERROR(__xludf.DUMMYFUNCTION("GOOGLETRANSLATE(B39894,""en"",""pt"")"),"Užice")</f>
        <v>Užice</v>
      </c>
      <c r="B3509" s="17" t="s">
        <v>35424</v>
      </c>
      <c r="C3509" s="17" t="s">
        <v>23602</v>
      </c>
      <c r="D3509" s="17" t="s">
        <v>23603</v>
      </c>
      <c r="E3509" s="10">
        <v>3188434</v>
      </c>
      <c r="F3509" s="4" t="str">
        <f>IF(B3509=B3508,"",B3509)</f>
        <v>Užice</v>
      </c>
    </row>
    <row r="3510" spans="1:6" ht="15.75" customHeight="1">
      <c r="A3510" s="6" t="s">
        <v>23259</v>
      </c>
      <c r="B3510" s="6" t="s">
        <v>23259</v>
      </c>
      <c r="C3510" s="6" t="s">
        <v>22070</v>
      </c>
      <c r="D3510" s="6" t="s">
        <v>22079</v>
      </c>
      <c r="E3510" s="2">
        <v>1487882</v>
      </c>
      <c r="F3510" s="4" t="str">
        <f>IF(B3510=B3509,"",B3510)</f>
        <v>Uzhur</v>
      </c>
    </row>
    <row r="3511" spans="1:6" ht="15.75" customHeight="1">
      <c r="A3511" s="5" t="str">
        <f ca="1">IFERROR(__xludf.DUMMYFUNCTION("GOOGLETRANSLATE(B40730,""en"",""pt"")"),"Uzhur")</f>
        <v>Uzhur</v>
      </c>
      <c r="B3511" s="17" t="s">
        <v>23259</v>
      </c>
      <c r="C3511" s="17" t="s">
        <v>22070</v>
      </c>
      <c r="D3511" s="17" t="s">
        <v>22079</v>
      </c>
      <c r="E3511" s="10">
        <v>1487882</v>
      </c>
      <c r="F3511" s="4" t="str">
        <f>IF(B3511=B3510,"",B3511)</f>
        <v/>
      </c>
    </row>
    <row r="3512" spans="1:6" ht="15.75" customHeight="1">
      <c r="A3512" s="5" t="s">
        <v>27178</v>
      </c>
      <c r="B3512" s="6" t="s">
        <v>27179</v>
      </c>
      <c r="C3512" s="5" t="s">
        <v>26870</v>
      </c>
      <c r="D3512" s="5" t="s">
        <v>26902</v>
      </c>
      <c r="E3512" s="2">
        <v>690548</v>
      </c>
      <c r="F3512" s="4" t="str">
        <f>IF(B3512=B3511,"",B3512)</f>
        <v>Uzhhorod</v>
      </c>
    </row>
    <row r="3513" spans="1:6" ht="15.75" customHeight="1">
      <c r="A3513" s="5" t="str">
        <f ca="1">IFERROR(__xludf.DUMMYFUNCTION("GOOGLETRANSLATE(B42497,""en"",""pt"")"),"Uzhhhorod")</f>
        <v>Uzhhhorod</v>
      </c>
      <c r="B3513" s="17" t="s">
        <v>27179</v>
      </c>
      <c r="C3513" s="17" t="s">
        <v>26870</v>
      </c>
      <c r="D3513" s="17" t="s">
        <v>26902</v>
      </c>
      <c r="E3513" s="10">
        <v>690548</v>
      </c>
      <c r="F3513" s="4" t="str">
        <f>IF(B3513=B3512,"",B3513)</f>
        <v/>
      </c>
    </row>
    <row r="3514" spans="1:6" ht="15.75" customHeight="1">
      <c r="A3514" s="6" t="s">
        <v>16952</v>
      </c>
      <c r="B3514" s="6" t="s">
        <v>16952</v>
      </c>
      <c r="C3514" s="6" t="s">
        <v>16924</v>
      </c>
      <c r="D3514" s="6" t="s">
        <v>16940</v>
      </c>
      <c r="E3514" s="2">
        <v>1527513</v>
      </c>
      <c r="F3514" s="4" t="str">
        <f>IF(B3514=B3513,"",B3514)</f>
        <v>Uzgen</v>
      </c>
    </row>
    <row r="3515" spans="1:6" ht="15.75" customHeight="1">
      <c r="A3515" s="5" t="str">
        <f ca="1">IFERROR(__xludf.DUMMYFUNCTION("GOOGLETRANSLATE(B35943,""en"",""pt"")"),"Uzgen")</f>
        <v>Uzgen</v>
      </c>
      <c r="B3515" s="17" t="s">
        <v>16952</v>
      </c>
      <c r="C3515" s="17" t="s">
        <v>16924</v>
      </c>
      <c r="D3515" s="17" t="s">
        <v>16940</v>
      </c>
      <c r="E3515" s="10">
        <v>1527513</v>
      </c>
      <c r="F3515" s="4" t="str">
        <f>IF(B3515=B3514,"",B3515)</f>
        <v/>
      </c>
    </row>
    <row r="3516" spans="1:6" ht="15.75" customHeight="1">
      <c r="A3516" s="6" t="s">
        <v>25763</v>
      </c>
      <c r="B3516" s="6" t="s">
        <v>25763</v>
      </c>
      <c r="C3516" s="6" t="s">
        <v>25560</v>
      </c>
      <c r="D3516" s="6" t="s">
        <v>25578</v>
      </c>
      <c r="E3516" s="2">
        <v>149027</v>
      </c>
      <c r="F3516" s="4" t="str">
        <f>IF(B3516=B3515,"",B3516)</f>
        <v>Uyovu</v>
      </c>
    </row>
    <row r="3517" spans="1:6" ht="15.75" customHeight="1">
      <c r="A3517" s="5" t="str">
        <f ca="1">IFERROR(__xludf.DUMMYFUNCTION("GOOGLETRANSLATE(B42285,""en"",""pt"")"),"Uyovu")</f>
        <v>Uyovu</v>
      </c>
      <c r="B3517" s="17" t="s">
        <v>25763</v>
      </c>
      <c r="C3517" s="17" t="s">
        <v>25560</v>
      </c>
      <c r="D3517" s="17" t="s">
        <v>25578</v>
      </c>
      <c r="E3517" s="10">
        <v>149027</v>
      </c>
      <c r="F3517" s="4" t="str">
        <f>IF(B3517=B3516,"",B3517)</f>
        <v/>
      </c>
    </row>
    <row r="3518" spans="1:6" ht="15.75" customHeight="1">
      <c r="A3518" s="6" t="s">
        <v>19576</v>
      </c>
      <c r="B3518" s="6" t="s">
        <v>19576</v>
      </c>
      <c r="C3518" s="6" t="s">
        <v>19294</v>
      </c>
      <c r="D3518" s="6" t="s">
        <v>19385</v>
      </c>
      <c r="E3518" s="2">
        <v>2319480</v>
      </c>
      <c r="F3518" s="4" t="str">
        <f>IF(B3518=B3517,"",B3518)</f>
        <v>Uyo</v>
      </c>
    </row>
    <row r="3519" spans="1:6" ht="15.75" customHeight="1">
      <c r="A3519" s="5" t="str">
        <f ca="1">IFERROR(__xludf.DUMMYFUNCTION("GOOGLETRANSLATE(B37616,""en"",""pt"")"),"Uyo")</f>
        <v>Uyo</v>
      </c>
      <c r="B3519" s="17" t="s">
        <v>19576</v>
      </c>
      <c r="C3519" s="17" t="s">
        <v>19294</v>
      </c>
      <c r="D3519" s="17" t="s">
        <v>19385</v>
      </c>
      <c r="E3519" s="10">
        <v>2319480</v>
      </c>
      <c r="F3519" s="4" t="str">
        <f>IF(B3519=B3518,"",B3519)</f>
        <v/>
      </c>
    </row>
    <row r="3520" spans="1:6" ht="15.75" customHeight="1">
      <c r="A3520" s="6" t="s">
        <v>30614</v>
      </c>
      <c r="B3520" s="6" t="s">
        <v>30614</v>
      </c>
      <c r="C3520" s="6" t="s">
        <v>30502</v>
      </c>
      <c r="D3520" s="6" t="s">
        <v>30528</v>
      </c>
      <c r="E3520" s="2">
        <v>1512449</v>
      </c>
      <c r="F3520" s="4" t="str">
        <f>IF(B3520=B3519,"",B3520)</f>
        <v>Uychi</v>
      </c>
    </row>
    <row r="3521" spans="1:6" ht="15.75" customHeight="1">
      <c r="A3521" s="5" t="str">
        <f ca="1">IFERROR(__xludf.DUMMYFUNCTION("GOOGLETRANSLATE(B45535,""en"",""pt"")"),"Uychi")</f>
        <v>Uychi</v>
      </c>
      <c r="B3521" s="17" t="s">
        <v>30614</v>
      </c>
      <c r="C3521" s="17" t="s">
        <v>30502</v>
      </c>
      <c r="D3521" s="17" t="s">
        <v>30528</v>
      </c>
      <c r="E3521" s="10">
        <v>1512449</v>
      </c>
      <c r="F3521" s="4" t="str">
        <f>IF(B3521=B3520,"",B3521)</f>
        <v/>
      </c>
    </row>
    <row r="3522" spans="1:6" ht="15.75" customHeight="1">
      <c r="A3522" s="6" t="s">
        <v>16567</v>
      </c>
      <c r="B3522" s="6" t="s">
        <v>16567</v>
      </c>
      <c r="C3522" s="6" t="s">
        <v>15704</v>
      </c>
      <c r="D3522" s="6" t="s">
        <v>15813</v>
      </c>
      <c r="E3522" s="2">
        <v>1926020</v>
      </c>
      <c r="F3522" s="4" t="str">
        <f>IF(B3522=B3521,"",B3522)</f>
        <v>Uwajima</v>
      </c>
    </row>
    <row r="3523" spans="1:6" ht="15.75" customHeight="1">
      <c r="A3523" s="5" t="str">
        <f ca="1">IFERROR(__xludf.DUMMYFUNCTION("GOOGLETRANSLATE(B35699,""en"",""pt"")"),"Uwajima")</f>
        <v>Uwajima</v>
      </c>
      <c r="B3523" s="17" t="s">
        <v>16567</v>
      </c>
      <c r="C3523" s="17" t="s">
        <v>15704</v>
      </c>
      <c r="D3523" s="17" t="s">
        <v>15813</v>
      </c>
      <c r="E3523" s="10">
        <v>1926020</v>
      </c>
      <c r="F3523" s="4" t="str">
        <f>IF(B3523=B3522,"",B3523)</f>
        <v/>
      </c>
    </row>
    <row r="3524" spans="1:6" ht="15.75" customHeight="1">
      <c r="A3524" s="6" t="s">
        <v>6203</v>
      </c>
      <c r="B3524" s="6" t="s">
        <v>6203</v>
      </c>
      <c r="C3524" s="6" t="s">
        <v>6127</v>
      </c>
      <c r="D3524" s="6" t="s">
        <v>6140</v>
      </c>
      <c r="E3524" s="2">
        <v>204405</v>
      </c>
      <c r="F3524" s="4" t="str">
        <f>IF(B3524=B3523,"",B3524)</f>
        <v>Uvira</v>
      </c>
    </row>
    <row r="3525" spans="1:6" ht="15.75" customHeight="1">
      <c r="A3525" s="5" t="str">
        <f ca="1">IFERROR(__xludf.DUMMYFUNCTION("GOOGLETRANSLATE(B25647,""en"",""pt"")"),"Uvira")</f>
        <v>Uvira</v>
      </c>
      <c r="B3525" s="17" t="s">
        <v>6203</v>
      </c>
      <c r="C3525" s="17" t="s">
        <v>6127</v>
      </c>
      <c r="D3525" s="17" t="s">
        <v>6140</v>
      </c>
      <c r="E3525" s="10">
        <v>204405</v>
      </c>
      <c r="F3525" s="4" t="str">
        <f>IF(B3525=B3524,"",B3525)</f>
        <v/>
      </c>
    </row>
    <row r="3526" spans="1:6" ht="15.75" customHeight="1">
      <c r="A3526" s="6" t="s">
        <v>25762</v>
      </c>
      <c r="B3526" s="6" t="s">
        <v>25762</v>
      </c>
      <c r="C3526" s="6" t="s">
        <v>25560</v>
      </c>
      <c r="D3526" s="6" t="s">
        <v>25621</v>
      </c>
      <c r="E3526" s="2">
        <v>149050</v>
      </c>
      <c r="F3526" s="4" t="str">
        <f>IF(B3526=B3525,"",B3526)</f>
        <v>Uvinza</v>
      </c>
    </row>
    <row r="3527" spans="1:6" ht="15.75" customHeight="1">
      <c r="A3527" s="5" t="str">
        <f ca="1">IFERROR(__xludf.DUMMYFUNCTION("GOOGLETRANSLATE(B42286,""en"",""pt"")"),"Uvinza")</f>
        <v>Uvinza</v>
      </c>
      <c r="B3527" s="17" t="s">
        <v>25762</v>
      </c>
      <c r="C3527" s="17" t="s">
        <v>25560</v>
      </c>
      <c r="D3527" s="17" t="s">
        <v>25621</v>
      </c>
      <c r="E3527" s="10">
        <v>149050</v>
      </c>
      <c r="F3527" s="4" t="str">
        <f>IF(B3527=B3526,"",B3527)</f>
        <v/>
      </c>
    </row>
    <row r="3528" spans="1:6" ht="15.75" customHeight="1">
      <c r="A3528" s="6" t="s">
        <v>23258</v>
      </c>
      <c r="B3528" s="6" t="s">
        <v>23258</v>
      </c>
      <c r="C3528" s="6" t="s">
        <v>22070</v>
      </c>
      <c r="D3528" s="6" t="s">
        <v>22529</v>
      </c>
      <c r="E3528" s="2">
        <v>477626</v>
      </c>
      <c r="F3528" s="4" t="str">
        <f>IF(B3528=B3527,"",B3528)</f>
        <v>Uvarovo</v>
      </c>
    </row>
    <row r="3529" spans="1:6" ht="15.75" customHeight="1">
      <c r="A3529" s="5" t="str">
        <f ca="1">IFERROR(__xludf.DUMMYFUNCTION("GOOGLETRANSLATE(B40000,""en"",""pt"")"),"Uvarovo")</f>
        <v>Uvarovo</v>
      </c>
      <c r="B3529" s="17" t="s">
        <v>23258</v>
      </c>
      <c r="C3529" s="17" t="s">
        <v>22070</v>
      </c>
      <c r="D3529" s="17" t="s">
        <v>22529</v>
      </c>
      <c r="E3529" s="10">
        <v>477626</v>
      </c>
      <c r="F3529" s="4" t="str">
        <f>IF(B3529=B3528,"",B3529)</f>
        <v/>
      </c>
    </row>
    <row r="3530" spans="1:6" ht="15.75" customHeight="1">
      <c r="A3530" s="6" t="s">
        <v>23257</v>
      </c>
      <c r="B3530" s="6" t="s">
        <v>23257</v>
      </c>
      <c r="C3530" s="6" t="s">
        <v>22070</v>
      </c>
      <c r="D3530" s="6" t="s">
        <v>22189</v>
      </c>
      <c r="E3530" s="2">
        <v>477656</v>
      </c>
      <c r="F3530" s="4" t="str">
        <f>IF(B3530=B3529,"",B3530)</f>
        <v>Uva</v>
      </c>
    </row>
    <row r="3531" spans="1:6" ht="15.75" customHeight="1">
      <c r="A3531" s="5" t="str">
        <f ca="1">IFERROR(__xludf.DUMMYFUNCTION("GOOGLETRANSLATE(B40001,""en"",""pt"")"),"Uva")</f>
        <v>Uva</v>
      </c>
      <c r="B3531" s="17" t="s">
        <v>23257</v>
      </c>
      <c r="C3531" s="17" t="s">
        <v>22070</v>
      </c>
      <c r="D3531" s="17" t="s">
        <v>22189</v>
      </c>
      <c r="E3531" s="10">
        <v>477656</v>
      </c>
      <c r="F3531" s="4" t="str">
        <f>IF(B3531=B3530,"",B3531)</f>
        <v/>
      </c>
    </row>
    <row r="3532" spans="1:6" ht="15.75" customHeight="1">
      <c r="A3532" s="5" t="s">
        <v>7042</v>
      </c>
      <c r="B3532" s="6" t="s">
        <v>7042</v>
      </c>
      <c r="C3532" s="5" t="s">
        <v>6948</v>
      </c>
      <c r="D3532" s="5" t="s">
        <v>6983</v>
      </c>
      <c r="E3532" s="2">
        <v>633221</v>
      </c>
      <c r="F3532" s="4" t="str">
        <f>IF(B3532=B3531,"",B3532)</f>
        <v>Uusikaupunki</v>
      </c>
    </row>
    <row r="3533" spans="1:6" ht="15.75" customHeight="1">
      <c r="A3533" s="5" t="str">
        <f ca="1">IFERROR(__xludf.DUMMYFUNCTION("GOOGLETRANSLATE(B29603,""en"",""pt"")"),"Uusikaupunki")</f>
        <v>Uusikaupunki</v>
      </c>
      <c r="B3533" s="17" t="s">
        <v>7042</v>
      </c>
      <c r="C3533" s="17" t="s">
        <v>6948</v>
      </c>
      <c r="D3533" s="17" t="s">
        <v>6983</v>
      </c>
      <c r="E3533" s="10">
        <v>633221</v>
      </c>
      <c r="F3533" s="4" t="str">
        <f>IF(B3533=B3532,"",B3533)</f>
        <v/>
      </c>
    </row>
    <row r="3534" spans="1:6" ht="15.75" customHeight="1">
      <c r="A3534" s="5" t="str">
        <f ca="1">IFERROR(__xludf.DUMMYFUNCTION("GOOGLETRANSLATE(B31915,""en"",""pt"")"),"Uttiramerūr")</f>
        <v>Uttiramerūr</v>
      </c>
      <c r="B3534" s="17" t="s">
        <v>32976</v>
      </c>
      <c r="C3534" s="17" t="s">
        <v>10178</v>
      </c>
      <c r="D3534" s="17" t="s">
        <v>10196</v>
      </c>
      <c r="E3534" s="10">
        <v>1253623</v>
      </c>
      <c r="F3534" s="4" t="str">
        <f>IF(B3534=B3533,"",B3534)</f>
        <v>Uttiramerūr</v>
      </c>
    </row>
    <row r="3535" spans="1:6" ht="15.75" customHeight="1">
      <c r="A3535" s="5" t="s">
        <v>13666</v>
      </c>
      <c r="B3535" s="6" t="s">
        <v>13667</v>
      </c>
      <c r="C3535" s="5" t="s">
        <v>10178</v>
      </c>
      <c r="D3535" s="5" t="s">
        <v>10196</v>
      </c>
      <c r="E3535" s="2">
        <v>1253623</v>
      </c>
      <c r="F3535" s="4" t="str">
        <f>IF(B3535=B3534,"",B3535)</f>
        <v>UttiramerÅ«r</v>
      </c>
    </row>
    <row r="3536" spans="1:6" ht="15.75" customHeight="1">
      <c r="A3536" s="5" t="str">
        <f ca="1">IFERROR(__xludf.DUMMYFUNCTION("GOOGLETRANSLATE(B31916,""en"",""pt"")"),"Uttarkāshi")</f>
        <v>Uttarkāshi</v>
      </c>
      <c r="B3536" s="17" t="s">
        <v>32977</v>
      </c>
      <c r="C3536" s="17" t="s">
        <v>10178</v>
      </c>
      <c r="D3536" s="17" t="s">
        <v>10299</v>
      </c>
      <c r="E3536" s="10">
        <v>1253628</v>
      </c>
      <c r="F3536" s="4" t="str">
        <f>IF(B3536=B3535,"",B3536)</f>
        <v>Uttarkāshi</v>
      </c>
    </row>
    <row r="3537" spans="1:6" ht="15.75" customHeight="1">
      <c r="A3537" s="5" t="s">
        <v>13664</v>
      </c>
      <c r="B3537" s="6" t="s">
        <v>13665</v>
      </c>
      <c r="C3537" s="5" t="s">
        <v>10178</v>
      </c>
      <c r="D3537" s="5" t="s">
        <v>10299</v>
      </c>
      <c r="E3537" s="2">
        <v>1253628</v>
      </c>
      <c r="F3537" s="4" t="str">
        <f>IF(B3537=B3536,"",B3537)</f>
        <v>UttarkÄshi</v>
      </c>
    </row>
    <row r="3538" spans="1:6" ht="15.75" customHeight="1">
      <c r="A3538" s="6" t="s">
        <v>26025</v>
      </c>
      <c r="B3538" s="6" t="s">
        <v>26025</v>
      </c>
      <c r="C3538" s="6" t="s">
        <v>25771</v>
      </c>
      <c r="D3538" s="6" t="s">
        <v>26025</v>
      </c>
      <c r="E3538" s="2">
        <v>1605215</v>
      </c>
      <c r="F3538" s="4" t="str">
        <f>IF(B3538=B3537,"",B3538)</f>
        <v>Uttaradit</v>
      </c>
    </row>
    <row r="3539" spans="1:6" ht="15.75" customHeight="1">
      <c r="A3539" s="5" t="str">
        <f ca="1">IFERROR(__xludf.DUMMYFUNCTION("GOOGLETRANSLATE(B41587,""en"",""pt"")"),"Uttaradit")</f>
        <v>Uttaradit</v>
      </c>
      <c r="B3539" s="17" t="s">
        <v>26025</v>
      </c>
      <c r="C3539" s="17" t="s">
        <v>25771</v>
      </c>
      <c r="D3539" s="17" t="s">
        <v>26025</v>
      </c>
      <c r="E3539" s="10">
        <v>1605215</v>
      </c>
      <c r="F3539" s="4" t="str">
        <f>IF(B3539=B3538,"",B3539)</f>
        <v/>
      </c>
    </row>
    <row r="3540" spans="1:6" ht="15.75" customHeight="1">
      <c r="A3540" s="5" t="s">
        <v>1448</v>
      </c>
      <c r="B3540" s="6" t="s">
        <v>1448</v>
      </c>
      <c r="C3540" s="5" t="s">
        <v>1296</v>
      </c>
      <c r="D3540" s="5" t="s">
        <v>1315</v>
      </c>
      <c r="E3540" s="2">
        <v>1205481</v>
      </c>
      <c r="F3540" s="4" t="str">
        <f>IF(B3540=B3539,"",B3540)</f>
        <v>Uttar Char Fasson</v>
      </c>
    </row>
    <row r="3541" spans="1:6" ht="15.75" customHeight="1">
      <c r="A3541" s="5" t="str">
        <f ca="1">IFERROR(__xludf.DUMMYFUNCTION("GOOGLETRANSLATE(B23766,""en"",""pt"")"),"Uttar Char Fasson")</f>
        <v>Uttar Char Fasson</v>
      </c>
      <c r="B3541" s="17" t="s">
        <v>1448</v>
      </c>
      <c r="C3541" s="17" t="s">
        <v>1296</v>
      </c>
      <c r="D3541" s="17" t="s">
        <v>1315</v>
      </c>
      <c r="E3541" s="10">
        <v>1205481</v>
      </c>
      <c r="F3541" s="4" t="str">
        <f>IF(B3541=B3540,"",B3541)</f>
        <v/>
      </c>
    </row>
    <row r="3542" spans="1:6" ht="15.75" customHeight="1">
      <c r="A3542" s="5" t="str">
        <f ca="1">IFERROR(__xludf.DUMMYFUNCTION("GOOGLETRANSLATE(B31917,""en"",""pt"")"),"Uttamapālaiyam")</f>
        <v>Uttamapālaiyam</v>
      </c>
      <c r="B3542" s="17" t="s">
        <v>32978</v>
      </c>
      <c r="C3542" s="17" t="s">
        <v>10178</v>
      </c>
      <c r="D3542" s="17" t="s">
        <v>10196</v>
      </c>
      <c r="E3542" s="10">
        <v>1253635</v>
      </c>
      <c r="F3542" s="4" t="str">
        <f>IF(B3542=B3541,"",B3542)</f>
        <v>Uttamapālaiyam</v>
      </c>
    </row>
    <row r="3543" spans="1:6" ht="15.75" customHeight="1">
      <c r="A3543" s="5" t="s">
        <v>13662</v>
      </c>
      <c r="B3543" s="6" t="s">
        <v>13663</v>
      </c>
      <c r="C3543" s="5" t="s">
        <v>10178</v>
      </c>
      <c r="D3543" s="5" t="s">
        <v>10196</v>
      </c>
      <c r="E3543" s="2">
        <v>1253635</v>
      </c>
      <c r="F3543" s="4" t="str">
        <f>IF(B3543=B3542,"",B3543)</f>
        <v>UttamapÄlaiyam</v>
      </c>
    </row>
    <row r="3544" spans="1:6" ht="15.75" customHeight="1">
      <c r="A3544" s="5" t="s">
        <v>16566</v>
      </c>
      <c r="B3544" s="6" t="s">
        <v>16566</v>
      </c>
      <c r="C3544" s="5" t="s">
        <v>15704</v>
      </c>
      <c r="D3544" s="5" t="s">
        <v>15799</v>
      </c>
      <c r="E3544" s="2">
        <v>1849053</v>
      </c>
      <c r="F3544" s="4" t="str">
        <f>IF(B3544=B3543,"",B3544)</f>
        <v>Utsunomiya</v>
      </c>
    </row>
    <row r="3545" spans="1:6" ht="15.75" customHeight="1">
      <c r="A3545" s="5" t="str">
        <f ca="1">IFERROR(__xludf.DUMMYFUNCTION("GOOGLETRANSLATE(B35183,""en"",""pt"")"),"Utsunomiya")</f>
        <v>Utsunomiya</v>
      </c>
      <c r="B3545" s="17" t="s">
        <v>16566</v>
      </c>
      <c r="C3545" s="17" t="s">
        <v>15704</v>
      </c>
      <c r="D3545" s="17" t="s">
        <v>15799</v>
      </c>
      <c r="E3545" s="10">
        <v>1849053</v>
      </c>
      <c r="F3545" s="4" t="str">
        <f>IF(B3545=B3544,"",B3545)</f>
        <v/>
      </c>
    </row>
    <row r="3546" spans="1:6" ht="15.75" customHeight="1">
      <c r="A3546" s="6" t="s">
        <v>24873</v>
      </c>
      <c r="B3546" s="6" t="s">
        <v>24873</v>
      </c>
      <c r="C3546" s="6" t="s">
        <v>24200</v>
      </c>
      <c r="D3546" s="6" t="s">
        <v>24205</v>
      </c>
      <c r="E3546" s="2">
        <v>2510073</v>
      </c>
      <c r="F3546" s="4" t="str">
        <f>IF(B3546=B3545,"",B3546)</f>
        <v>Utrera</v>
      </c>
    </row>
    <row r="3547" spans="1:6" ht="15.75" customHeight="1">
      <c r="A3547" s="5" t="str">
        <f ca="1">IFERROR(__xludf.DUMMYFUNCTION("GOOGLETRANSLATE(B28962,""en"",""pt"")"),"Utrera")</f>
        <v>Utrera</v>
      </c>
      <c r="B3547" s="17" t="s">
        <v>24873</v>
      </c>
      <c r="C3547" s="17" t="s">
        <v>24200</v>
      </c>
      <c r="D3547" s="17" t="s">
        <v>24205</v>
      </c>
      <c r="E3547" s="10">
        <v>2510073</v>
      </c>
      <c r="F3547" s="4" t="str">
        <f>IF(B3547=B3546,"",B3547)</f>
        <v/>
      </c>
    </row>
    <row r="3548" spans="1:6" ht="15.75" customHeight="1">
      <c r="A3548" s="6" t="s">
        <v>18877</v>
      </c>
      <c r="B3548" s="6" t="s">
        <v>18877</v>
      </c>
      <c r="C3548" s="6" t="s">
        <v>18862</v>
      </c>
      <c r="D3548" s="6" t="s">
        <v>18877</v>
      </c>
      <c r="E3548" s="2">
        <v>2745912</v>
      </c>
      <c r="F3548" s="4" t="str">
        <f>IF(B3548=B3547,"",B3548)</f>
        <v>Utrecht</v>
      </c>
    </row>
    <row r="3549" spans="1:6" ht="15.75" customHeight="1">
      <c r="A3549" s="5" t="str">
        <f ca="1">IFERROR(__xludf.DUMMYFUNCTION("GOOGLETRANSLATE(B37935,""en"",""pt"")"),"Utrecht")</f>
        <v>Utrecht</v>
      </c>
      <c r="B3549" s="17" t="s">
        <v>18877</v>
      </c>
      <c r="C3549" s="17" t="s">
        <v>18862</v>
      </c>
      <c r="D3549" s="17" t="s">
        <v>18877</v>
      </c>
      <c r="E3549" s="10">
        <v>2745912</v>
      </c>
      <c r="F3549" s="4" t="str">
        <f>IF(B3549=B3548,"",B3549)</f>
        <v/>
      </c>
    </row>
    <row r="3550" spans="1:6" ht="15.75" customHeight="1">
      <c r="A3550" s="6" t="s">
        <v>13661</v>
      </c>
      <c r="B3550" s="6" t="s">
        <v>13661</v>
      </c>
      <c r="C3550" s="6" t="s">
        <v>10178</v>
      </c>
      <c r="D3550" s="6" t="s">
        <v>10193</v>
      </c>
      <c r="E3550" s="2">
        <v>1253638</v>
      </c>
      <c r="F3550" s="4" t="str">
        <f>IF(B3550=B3549,"",B3550)</f>
        <v>Utraula</v>
      </c>
    </row>
    <row r="3551" spans="1:6" ht="15.75" customHeight="1">
      <c r="A3551" s="5" t="str">
        <f ca="1">IFERROR(__xludf.DUMMYFUNCTION("GOOGLETRANSLATE(B31918,""en"",""pt"")"),"Utraula")</f>
        <v>Utraula</v>
      </c>
      <c r="B3551" s="17" t="s">
        <v>13661</v>
      </c>
      <c r="C3551" s="17" t="s">
        <v>10178</v>
      </c>
      <c r="D3551" s="17" t="s">
        <v>10193</v>
      </c>
      <c r="E3551" s="10">
        <v>1253638</v>
      </c>
      <c r="F3551" s="4" t="str">
        <f>IF(B3551=B3550,"",B3551)</f>
        <v/>
      </c>
    </row>
    <row r="3552" spans="1:6" ht="15.75" customHeight="1">
      <c r="A3552" s="6" t="s">
        <v>16565</v>
      </c>
      <c r="B3552" s="6" t="s">
        <v>16565</v>
      </c>
      <c r="C3552" s="6" t="s">
        <v>15704</v>
      </c>
      <c r="D3552" s="6" t="s">
        <v>15812</v>
      </c>
      <c r="E3552" s="2">
        <v>1849069</v>
      </c>
      <c r="F3552" s="4" t="str">
        <f>IF(B3552=B3551,"",B3552)</f>
        <v>Uto</v>
      </c>
    </row>
    <row r="3553" spans="1:6" ht="15.75" customHeight="1">
      <c r="A3553" s="5" t="str">
        <f ca="1">IFERROR(__xludf.DUMMYFUNCTION("GOOGLETRANSLATE(B35184,""en"",""pt"")"),"Uto")</f>
        <v>Uto</v>
      </c>
      <c r="B3553" s="17" t="s">
        <v>16565</v>
      </c>
      <c r="C3553" s="17" t="s">
        <v>15704</v>
      </c>
      <c r="D3553" s="17" t="s">
        <v>15812</v>
      </c>
      <c r="E3553" s="10">
        <v>1849069</v>
      </c>
      <c r="F3553" s="4" t="str">
        <f>IF(B3553=B3552,"",B3553)</f>
        <v/>
      </c>
    </row>
    <row r="3554" spans="1:6" ht="15.75" customHeight="1">
      <c r="A3554" s="5" t="str">
        <f ca="1">IFERROR(__xludf.DUMMYFUNCTION("GOOGLETRANSLATE(B38876,""en"",""pt"")"),"Utmānzai")</f>
        <v>Utmānzai</v>
      </c>
      <c r="B3554" s="17" t="s">
        <v>34898</v>
      </c>
      <c r="C3554" s="17" t="s">
        <v>19808</v>
      </c>
      <c r="D3554" s="17" t="s">
        <v>19811</v>
      </c>
      <c r="E3554" s="10">
        <v>1162855</v>
      </c>
      <c r="F3554" s="4" t="str">
        <f>IF(B3554=B3553,"",B3554)</f>
        <v>Utmānzai</v>
      </c>
    </row>
    <row r="3555" spans="1:6" ht="15.75" customHeight="1">
      <c r="A3555" s="5" t="s">
        <v>20277</v>
      </c>
      <c r="B3555" s="6" t="s">
        <v>20278</v>
      </c>
      <c r="C3555" s="5" t="s">
        <v>19808</v>
      </c>
      <c r="D3555" s="5" t="s">
        <v>19811</v>
      </c>
      <c r="E3555" s="2">
        <v>1162855</v>
      </c>
      <c r="F3555" s="4" t="str">
        <f>IF(B3555=B3554,"",B3555)</f>
        <v>UtmÄnzai</v>
      </c>
    </row>
    <row r="3556" spans="1:6" ht="15.75" customHeight="1">
      <c r="A3556" s="6" t="s">
        <v>30258</v>
      </c>
      <c r="B3556" s="6" t="s">
        <v>30258</v>
      </c>
      <c r="C3556" s="6" t="s">
        <v>27788</v>
      </c>
      <c r="D3556" s="6" t="s">
        <v>27819</v>
      </c>
      <c r="E3556" s="2">
        <v>5142056</v>
      </c>
      <c r="F3556" s="4" t="str">
        <f>IF(B3556=B3555,"",B3556)</f>
        <v>Utica</v>
      </c>
    </row>
    <row r="3557" spans="1:6" ht="15.75" customHeight="1">
      <c r="A3557" s="5" t="str">
        <f ca="1">IFERROR(__xludf.DUMMYFUNCTION("GOOGLETRANSLATE(B44461,""en"",""pt"")"),"Utica")</f>
        <v>Utica</v>
      </c>
      <c r="B3557" s="17" t="s">
        <v>30258</v>
      </c>
      <c r="C3557" s="17" t="s">
        <v>27788</v>
      </c>
      <c r="D3557" s="17" t="s">
        <v>27819</v>
      </c>
      <c r="E3557" s="10">
        <v>5142056</v>
      </c>
      <c r="F3557" s="4" t="str">
        <f>IF(B3557=B3556,"",B3557)</f>
        <v/>
      </c>
    </row>
    <row r="3558" spans="1:6" ht="15.75" customHeight="1">
      <c r="A3558" s="6" t="s">
        <v>20276</v>
      </c>
      <c r="B3558" s="6" t="s">
        <v>20276</v>
      </c>
      <c r="C3558" s="6" t="s">
        <v>19808</v>
      </c>
      <c r="D3558" s="6" t="s">
        <v>19833</v>
      </c>
      <c r="E3558" s="2">
        <v>1162862</v>
      </c>
      <c r="F3558" s="4" t="str">
        <f>IF(B3558=B3557,"",B3558)</f>
        <v>Uthal</v>
      </c>
    </row>
    <row r="3559" spans="1:6" ht="15.75" customHeight="1">
      <c r="A3559" s="5" t="str">
        <f ca="1">IFERROR(__xludf.DUMMYFUNCTION("GOOGLETRANSLATE(B38877,""en"",""pt"")"),"Uthal")</f>
        <v>Uthal</v>
      </c>
      <c r="B3559" s="17" t="s">
        <v>20276</v>
      </c>
      <c r="C3559" s="17" t="s">
        <v>19808</v>
      </c>
      <c r="D3559" s="17" t="s">
        <v>34892</v>
      </c>
      <c r="E3559" s="10">
        <v>1162862</v>
      </c>
      <c r="F3559" s="4" t="str">
        <f>IF(B3559=B3558,"",B3559)</f>
        <v/>
      </c>
    </row>
    <row r="3560" spans="1:6" ht="15.75" customHeight="1">
      <c r="A3560" s="5" t="s">
        <v>26024</v>
      </c>
      <c r="B3560" s="6" t="s">
        <v>26017</v>
      </c>
      <c r="C3560" s="5" t="s">
        <v>25771</v>
      </c>
      <c r="D3560" s="5" t="s">
        <v>26017</v>
      </c>
      <c r="E3560" s="2">
        <v>1605221</v>
      </c>
      <c r="F3560" s="4" t="str">
        <f>IF(B3560=B3559,"",B3560)</f>
        <v>Uthai Thani</v>
      </c>
    </row>
    <row r="3561" spans="1:6" ht="15.75" customHeight="1">
      <c r="A3561" s="5" t="str">
        <f ca="1">IFERROR(__xludf.DUMMYFUNCTION("GOOGLETRANSLATE(B41588,""en"",""pt"")"),"Uthai thani")</f>
        <v>Uthai thani</v>
      </c>
      <c r="B3561" s="17" t="s">
        <v>26017</v>
      </c>
      <c r="C3561" s="17" t="s">
        <v>25771</v>
      </c>
      <c r="D3561" s="17" t="s">
        <v>26017</v>
      </c>
      <c r="E3561" s="10">
        <v>1605221</v>
      </c>
      <c r="F3561" s="4" t="str">
        <f>IF(B3561=B3560,"",B3561)</f>
        <v/>
      </c>
    </row>
    <row r="3562" spans="1:6" ht="15.75" customHeight="1">
      <c r="A3562" s="6" t="s">
        <v>17208</v>
      </c>
      <c r="B3562" s="6" t="s">
        <v>17208</v>
      </c>
      <c r="C3562" s="6" t="s">
        <v>17154</v>
      </c>
      <c r="D3562" s="6" t="s">
        <v>17209</v>
      </c>
      <c r="E3562" s="2">
        <v>593672</v>
      </c>
      <c r="F3562" s="4" t="str">
        <f>IF(B3562=B3561,"",B3562)</f>
        <v>Utena</v>
      </c>
    </row>
    <row r="3563" spans="1:6" ht="15.75" customHeight="1">
      <c r="A3563" s="5" t="str">
        <f ca="1">IFERROR(__xludf.DUMMYFUNCTION("GOOGLETRANSLATE(B36362,""en"",""pt"")"),"Utena")</f>
        <v>Utena</v>
      </c>
      <c r="B3563" s="17" t="s">
        <v>17208</v>
      </c>
      <c r="C3563" s="17" t="s">
        <v>17154</v>
      </c>
      <c r="D3563" s="17" t="s">
        <v>17209</v>
      </c>
      <c r="E3563" s="10">
        <v>593672</v>
      </c>
      <c r="F3563" s="4" t="str">
        <f>IF(B3563=B3562,"",B3563)</f>
        <v/>
      </c>
    </row>
    <row r="3564" spans="1:6" ht="15.75" customHeight="1">
      <c r="A3564" s="6" t="s">
        <v>24872</v>
      </c>
      <c r="B3564" s="6" t="s">
        <v>24872</v>
      </c>
      <c r="C3564" s="6" t="s">
        <v>24200</v>
      </c>
      <c r="D3564" s="6" t="s">
        <v>24226</v>
      </c>
      <c r="E3564" s="2">
        <v>3107139</v>
      </c>
      <c r="F3564" s="4" t="str">
        <f>IF(B3564=B3563,"",B3564)</f>
        <v>Utebo</v>
      </c>
    </row>
    <row r="3565" spans="1:6" ht="15.75" customHeight="1">
      <c r="A3565" s="5" t="str">
        <f ca="1">IFERROR(__xludf.DUMMYFUNCTION("GOOGLETRANSLATE(B29254,""en"",""pt"")"),"Utebo")</f>
        <v>Utebo</v>
      </c>
      <c r="B3565" s="17" t="s">
        <v>24872</v>
      </c>
      <c r="C3565" s="17" t="s">
        <v>24200</v>
      </c>
      <c r="D3565" s="17" t="s">
        <v>24226</v>
      </c>
      <c r="E3565" s="10">
        <v>3107139</v>
      </c>
      <c r="F3565" s="4" t="str">
        <f>IF(B3565=B3564,"",B3565)</f>
        <v/>
      </c>
    </row>
    <row r="3566" spans="1:6" ht="15.75" customHeight="1">
      <c r="A3566" s="5" t="str">
        <f ca="1">IFERROR(__xludf.DUMMYFUNCTION("GOOGLETRANSLATE(B41356,""en"",""pt"")"),"Usulután")</f>
        <v>Usulután</v>
      </c>
      <c r="B3566" s="17" t="s">
        <v>35714</v>
      </c>
      <c r="C3566" s="17" t="s">
        <v>6727</v>
      </c>
      <c r="D3566" s="17" t="s">
        <v>35714</v>
      </c>
      <c r="E3566" s="10">
        <v>3582883</v>
      </c>
      <c r="F3566" s="4" t="str">
        <f>IF(B3566=B3565,"",B3566)</f>
        <v>Usulután</v>
      </c>
    </row>
    <row r="3567" spans="1:6" ht="15.75" customHeight="1">
      <c r="A3567" s="6" t="s">
        <v>6764</v>
      </c>
      <c r="B3567" s="6" t="s">
        <v>6749</v>
      </c>
      <c r="C3567" s="6" t="s">
        <v>6727</v>
      </c>
      <c r="D3567" s="6" t="s">
        <v>6749</v>
      </c>
      <c r="E3567" s="2">
        <v>3582883</v>
      </c>
      <c r="F3567" s="4" t="str">
        <f>IF(B3567=B3566,"",B3567)</f>
        <v>UsulutÃ¡n</v>
      </c>
    </row>
    <row r="3568" spans="1:6" ht="15.75" customHeight="1">
      <c r="A3568" s="6" t="s">
        <v>16564</v>
      </c>
      <c r="B3568" s="6" t="s">
        <v>16564</v>
      </c>
      <c r="C3568" s="6" t="s">
        <v>15704</v>
      </c>
      <c r="D3568" s="6" t="s">
        <v>15758</v>
      </c>
      <c r="E3568" s="2">
        <v>1849094</v>
      </c>
      <c r="F3568" s="4" t="str">
        <f>IF(B3568=B3567,"",B3568)</f>
        <v>Usuki</v>
      </c>
    </row>
    <row r="3569" spans="1:6" ht="15.75" customHeight="1">
      <c r="A3569" s="5" t="str">
        <f ca="1">IFERROR(__xludf.DUMMYFUNCTION("GOOGLETRANSLATE(B35185,""en"",""pt"")"),"Usuki")</f>
        <v>Usuki</v>
      </c>
      <c r="B3569" s="17" t="s">
        <v>16564</v>
      </c>
      <c r="C3569" s="17" t="s">
        <v>15704</v>
      </c>
      <c r="D3569" s="17" t="s">
        <v>15758</v>
      </c>
      <c r="E3569" s="10">
        <v>1849094</v>
      </c>
      <c r="F3569" s="4" t="str">
        <f>IF(B3569=B3568,"",B3569)</f>
        <v/>
      </c>
    </row>
    <row r="3570" spans="1:6" ht="15.75" customHeight="1">
      <c r="A3570" s="5" t="str">
        <f ca="1">IFERROR(__xludf.DUMMYFUNCTION("GOOGLETRANSLATE(B39323,""en"",""pt"")"),"USTROń")</f>
        <v>USTROń</v>
      </c>
      <c r="B3570" s="17" t="s">
        <v>35153</v>
      </c>
      <c r="C3570" s="17" t="s">
        <v>21064</v>
      </c>
      <c r="D3570" s="17" t="s">
        <v>21073</v>
      </c>
      <c r="E3570" s="10">
        <v>3082751</v>
      </c>
      <c r="F3570" s="4" t="str">
        <f>IF(B3570=B3569,"",B3570)</f>
        <v>Ustroń</v>
      </c>
    </row>
    <row r="3571" spans="1:6" ht="15.75" customHeight="1">
      <c r="A3571" s="6" t="s">
        <v>21548</v>
      </c>
      <c r="B3571" s="6" t="s">
        <v>21549</v>
      </c>
      <c r="C3571" s="6" t="s">
        <v>21064</v>
      </c>
      <c r="D3571" s="6" t="s">
        <v>21073</v>
      </c>
      <c r="E3571" s="2">
        <v>3082751</v>
      </c>
      <c r="F3571" s="4" t="str">
        <f>IF(B3571=B3570,"",B3571)</f>
        <v>UstroÅ„</v>
      </c>
    </row>
    <row r="3572" spans="1:6" ht="15.75" customHeight="1">
      <c r="A3572" s="5" t="s">
        <v>16768</v>
      </c>
      <c r="B3572" s="6" t="s">
        <v>16769</v>
      </c>
      <c r="C3572" s="5" t="s">
        <v>16671</v>
      </c>
      <c r="D3572" s="5" t="s">
        <v>16697</v>
      </c>
      <c r="E3572" s="2">
        <v>1520316</v>
      </c>
      <c r="F3572" s="4" t="str">
        <f>IF(B3572=B3571,"",B3572)</f>
        <v>Ust-Kamenogorsk</v>
      </c>
    </row>
    <row r="3573" spans="1:6" ht="15.75" customHeight="1">
      <c r="A3573" s="5" t="str">
        <f ca="1">IFERROR(__xludf.DUMMYFUNCTION("GOOGLETRANSLATE(B36232,""en"",""pt"")"),"Ust-kamenogorsk")</f>
        <v>Ust-kamenogorsk</v>
      </c>
      <c r="B3573" s="17" t="s">
        <v>16769</v>
      </c>
      <c r="C3573" s="17" t="s">
        <v>16671</v>
      </c>
      <c r="D3573" s="17" t="s">
        <v>16697</v>
      </c>
      <c r="E3573" s="10">
        <v>1520316</v>
      </c>
      <c r="F3573" s="4" t="str">
        <f>IF(B3573=B3572,"",B3573)</f>
        <v/>
      </c>
    </row>
    <row r="3574" spans="1:6" ht="15.75" customHeight="1">
      <c r="A3574" s="6" t="s">
        <v>21547</v>
      </c>
      <c r="B3574" s="6" t="s">
        <v>21547</v>
      </c>
      <c r="C3574" s="6" t="s">
        <v>21064</v>
      </c>
      <c r="D3574" s="6" t="s">
        <v>21173</v>
      </c>
      <c r="E3574" s="2">
        <v>3082756</v>
      </c>
      <c r="F3574" s="4" t="str">
        <f>IF(B3574=B3573,"",B3574)</f>
        <v>Ustka</v>
      </c>
    </row>
    <row r="3575" spans="1:6" ht="15.75" customHeight="1">
      <c r="A3575" s="5" t="str">
        <f ca="1">IFERROR(__xludf.DUMMYFUNCTION("GOOGLETRANSLATE(B39324,""en"",""pt"")"),"Ustka")</f>
        <v>Ustka</v>
      </c>
      <c r="B3575" s="17" t="s">
        <v>21547</v>
      </c>
      <c r="C3575" s="17" t="s">
        <v>21064</v>
      </c>
      <c r="D3575" s="17" t="s">
        <v>21173</v>
      </c>
      <c r="E3575" s="10">
        <v>3082756</v>
      </c>
      <c r="F3575" s="4" t="str">
        <f>IF(B3575=B3574,"",B3575)</f>
        <v/>
      </c>
    </row>
    <row r="3576" spans="1:6" ht="15.75" customHeight="1">
      <c r="A3576" s="5" t="str">
        <f ca="1">IFERROR(__xludf.DUMMYFUNCTION("GOOGLETRANSLATE(B27252,""en"",""pt"")"),"Ústí nad orlicí")</f>
        <v>Ústí nad orlicí</v>
      </c>
      <c r="B3576" s="17" t="s">
        <v>31946</v>
      </c>
      <c r="C3576" s="17" t="s">
        <v>5947</v>
      </c>
      <c r="D3576" s="17" t="s">
        <v>31947</v>
      </c>
      <c r="E3576" s="10">
        <v>3063546</v>
      </c>
      <c r="F3576" s="4" t="str">
        <f>IF(B3576=B3575,"",B3576)</f>
        <v>Ústí nad Orlicí</v>
      </c>
    </row>
    <row r="3577" spans="1:6" ht="15.75" customHeight="1">
      <c r="A3577" s="5" t="str">
        <f ca="1">IFERROR(__xludf.DUMMYFUNCTION("GOOGLETRANSLATE(B27253,""en"",""pt"")"),"Ústí nad Labem")</f>
        <v>Ústí nad Labem</v>
      </c>
      <c r="B3577" s="17" t="s">
        <v>31948</v>
      </c>
      <c r="C3577" s="17" t="s">
        <v>5947</v>
      </c>
      <c r="D3577" s="17" t="s">
        <v>31942</v>
      </c>
      <c r="E3577" s="10">
        <v>3063548</v>
      </c>
      <c r="F3577" s="4" t="str">
        <f>IF(B3577=B3576,"",B3577)</f>
        <v>Ústí nad Labem</v>
      </c>
    </row>
    <row r="3578" spans="1:6" ht="15.75" customHeight="1">
      <c r="A3578" s="6" t="s">
        <v>25315</v>
      </c>
      <c r="B3578" s="6" t="s">
        <v>25315</v>
      </c>
      <c r="C3578" s="6" t="s">
        <v>25237</v>
      </c>
      <c r="D3578" s="6" t="s">
        <v>25240</v>
      </c>
      <c r="E3578" s="2">
        <v>2658216</v>
      </c>
      <c r="F3578" s="4" t="str">
        <f>IF(B3578=B3577,"",B3578)</f>
        <v>Uster</v>
      </c>
    </row>
    <row r="3579" spans="1:6" ht="15.75" customHeight="1">
      <c r="A3579" s="5" t="str">
        <f ca="1">IFERROR(__xludf.DUMMYFUNCTION("GOOGLETRANSLATE(B25750,""en"",""pt"")"),"Uster")</f>
        <v>Uster</v>
      </c>
      <c r="B3579" s="17" t="s">
        <v>25315</v>
      </c>
      <c r="C3579" s="17" t="s">
        <v>25237</v>
      </c>
      <c r="D3579" s="17" t="s">
        <v>25240</v>
      </c>
      <c r="E3579" s="10">
        <v>2658216</v>
      </c>
      <c r="F3579" s="4" t="str">
        <f>IF(B3579=B3578,"",B3579)</f>
        <v/>
      </c>
    </row>
    <row r="3580" spans="1:6" ht="15.75" customHeight="1">
      <c r="A3580" s="5" t="s">
        <v>23255</v>
      </c>
      <c r="B3580" s="6" t="s">
        <v>23256</v>
      </c>
      <c r="C3580" s="5" t="s">
        <v>22070</v>
      </c>
      <c r="D3580" s="5" t="s">
        <v>22077</v>
      </c>
      <c r="E3580" s="2">
        <v>478044</v>
      </c>
      <c r="F3580" s="4" t="str">
        <f>IF(B3580=B3579,"",B3580)</f>
        <v>Ustâ€™-Labinsk</v>
      </c>
    </row>
    <row r="3581" spans="1:6" ht="15.75" customHeight="1">
      <c r="A3581" s="5" t="s">
        <v>23253</v>
      </c>
      <c r="B3581" s="6" t="s">
        <v>23254</v>
      </c>
      <c r="C3581" s="5" t="s">
        <v>22070</v>
      </c>
      <c r="D3581" s="5" t="s">
        <v>22135</v>
      </c>
      <c r="E3581" s="2">
        <v>2013923</v>
      </c>
      <c r="F3581" s="4" t="str">
        <f>IF(B3581=B3580,"",B3581)</f>
        <v>Ustâ€™-Kut</v>
      </c>
    </row>
    <row r="3582" spans="1:6" ht="15.75" customHeight="1">
      <c r="A3582" s="5" t="s">
        <v>23251</v>
      </c>
      <c r="B3582" s="6" t="s">
        <v>23252</v>
      </c>
      <c r="C3582" s="5" t="s">
        <v>22070</v>
      </c>
      <c r="D3582" s="5" t="s">
        <v>22166</v>
      </c>
      <c r="E3582" s="2">
        <v>478071</v>
      </c>
      <c r="F3582" s="4" t="str">
        <f>IF(B3582=B3581,"",B3582)</f>
        <v>Ustâ€™-Katav</v>
      </c>
    </row>
    <row r="3583" spans="1:6" ht="15.75" customHeight="1">
      <c r="A3583" s="5" t="s">
        <v>23249</v>
      </c>
      <c r="B3583" s="6" t="s">
        <v>23250</v>
      </c>
      <c r="C3583" s="5" t="s">
        <v>22070</v>
      </c>
      <c r="D3583" s="5" t="s">
        <v>22135</v>
      </c>
      <c r="E3583" s="2">
        <v>2013952</v>
      </c>
      <c r="F3583" s="4" t="str">
        <f>IF(B3583=B3582,"",B3583)</f>
        <v>Ustâ€™-Ilimsk</v>
      </c>
    </row>
    <row r="3584" spans="1:6" ht="15.75" customHeight="1">
      <c r="A3584" s="5" t="s">
        <v>23247</v>
      </c>
      <c r="B3584" s="6" t="s">
        <v>23248</v>
      </c>
      <c r="C3584" s="5" t="s">
        <v>22070</v>
      </c>
      <c r="D3584" s="5" t="s">
        <v>22302</v>
      </c>
      <c r="E3584" s="2">
        <v>478130</v>
      </c>
      <c r="F3584" s="4" t="str">
        <f>IF(B3584=B3583,"",B3584)</f>
        <v>Ustâ€™-Dzheguta</v>
      </c>
    </row>
    <row r="3585" spans="1:6" ht="15.75" customHeight="1">
      <c r="A3585" s="5" t="s">
        <v>20275</v>
      </c>
      <c r="B3585" s="6" t="s">
        <v>20275</v>
      </c>
      <c r="C3585" s="5" t="s">
        <v>19808</v>
      </c>
      <c r="D3585" s="5" t="s">
        <v>19833</v>
      </c>
      <c r="E3585" s="2">
        <v>1162868</v>
      </c>
      <c r="F3585" s="4" t="str">
        <f>IF(B3585=B3584,"",B3585)</f>
        <v>Usta Muhammad</v>
      </c>
    </row>
    <row r="3586" spans="1:6" ht="15.75" customHeight="1">
      <c r="A3586" s="5" t="str">
        <f ca="1">IFERROR(__xludf.DUMMYFUNCTION("GOOGLETRANSLATE(B38878,""en"",""pt"")"),"Usta Muhammad")</f>
        <v>Usta Muhammad</v>
      </c>
      <c r="B3586" s="17" t="s">
        <v>20275</v>
      </c>
      <c r="C3586" s="17" t="s">
        <v>19808</v>
      </c>
      <c r="D3586" s="17" t="s">
        <v>34892</v>
      </c>
      <c r="E3586" s="10">
        <v>1162868</v>
      </c>
      <c r="F3586" s="4" t="str">
        <f>IF(B3586=B3585,"",B3586)</f>
        <v/>
      </c>
    </row>
    <row r="3587" spans="1:6" ht="15.75" customHeight="1">
      <c r="A3587" s="5" t="str">
        <f ca="1">IFERROR(__xludf.DUMMYFUNCTION("GOOGLETRANSLATE(B40002,""en"",""pt"")"),"Ust'-Labinsk")</f>
        <v>Ust'-Labinsk</v>
      </c>
      <c r="B3587" s="17" t="s">
        <v>35440</v>
      </c>
      <c r="C3587" s="17" t="s">
        <v>22070</v>
      </c>
      <c r="D3587" s="17" t="s">
        <v>22077</v>
      </c>
      <c r="E3587" s="10">
        <v>478044</v>
      </c>
      <c r="F3587" s="4" t="str">
        <f>IF(B3587=B3586,"",B3587)</f>
        <v>Ust’-Labinsk</v>
      </c>
    </row>
    <row r="3588" spans="1:6" ht="15.75" customHeight="1">
      <c r="A3588" s="5" t="str">
        <f ca="1">IFERROR(__xludf.DUMMYFUNCTION("GOOGLETRANSLATE(B40898,""en"",""pt"")"),"Ust'-kut")</f>
        <v>Ust'-kut</v>
      </c>
      <c r="B3588" s="17" t="s">
        <v>35554</v>
      </c>
      <c r="C3588" s="17" t="s">
        <v>22070</v>
      </c>
      <c r="D3588" s="17" t="s">
        <v>22135</v>
      </c>
      <c r="E3588" s="10">
        <v>2013923</v>
      </c>
      <c r="F3588" s="4" t="str">
        <f>IF(B3588=B3587,"",B3588)</f>
        <v>Ust’-Kut</v>
      </c>
    </row>
    <row r="3589" spans="1:6" ht="15.75" customHeight="1">
      <c r="A3589" s="5" t="str">
        <f ca="1">IFERROR(__xludf.DUMMYFUNCTION("GOOGLETRANSLATE(B40003,""en"",""pt"")"),"Ust'-katav")</f>
        <v>Ust'-katav</v>
      </c>
      <c r="B3589" s="17" t="s">
        <v>35441</v>
      </c>
      <c r="C3589" s="17" t="s">
        <v>22070</v>
      </c>
      <c r="D3589" s="17" t="s">
        <v>22166</v>
      </c>
      <c r="E3589" s="10">
        <v>478071</v>
      </c>
      <c r="F3589" s="4" t="str">
        <f>IF(B3589=B3588,"",B3589)</f>
        <v>Ust’-Katav</v>
      </c>
    </row>
    <row r="3590" spans="1:6" ht="15.75" customHeight="1">
      <c r="A3590" s="5" t="str">
        <f ca="1">IFERROR(__xludf.DUMMYFUNCTION("GOOGLETRANSLATE(B40899,""en"",""pt"")"),"Ust'-ilimsk")</f>
        <v>Ust'-ilimsk</v>
      </c>
      <c r="B3590" s="17" t="s">
        <v>35555</v>
      </c>
      <c r="C3590" s="17" t="s">
        <v>22070</v>
      </c>
      <c r="D3590" s="17" t="s">
        <v>22135</v>
      </c>
      <c r="E3590" s="10">
        <v>2013952</v>
      </c>
      <c r="F3590" s="4" t="str">
        <f>IF(B3590=B3589,"",B3590)</f>
        <v>Ust’-Ilimsk</v>
      </c>
    </row>
    <row r="3591" spans="1:6" ht="15.75" customHeight="1">
      <c r="A3591" s="5" t="str">
        <f ca="1">IFERROR(__xludf.DUMMYFUNCTION("GOOGLETRANSLATE(B40004,""en"",""pt"")"),"Ust'-dzheguta")</f>
        <v>Ust'-dzheguta</v>
      </c>
      <c r="B3591" s="17" t="s">
        <v>35442</v>
      </c>
      <c r="C3591" s="17" t="s">
        <v>22070</v>
      </c>
      <c r="D3591" s="17" t="s">
        <v>22302</v>
      </c>
      <c r="E3591" s="10">
        <v>478130</v>
      </c>
      <c r="F3591" s="4" t="str">
        <f>IF(B3591=B3590,"",B3591)</f>
        <v>Ust’-Dzheguta</v>
      </c>
    </row>
    <row r="3592" spans="1:6" ht="15.75" customHeight="1">
      <c r="A3592" s="6" t="s">
        <v>23246</v>
      </c>
      <c r="B3592" s="6" t="s">
        <v>23246</v>
      </c>
      <c r="C3592" s="6" t="s">
        <v>22070</v>
      </c>
      <c r="D3592" s="6" t="s">
        <v>22154</v>
      </c>
      <c r="E3592" s="2">
        <v>2014006</v>
      </c>
      <c r="F3592" s="4" t="str">
        <f>IF(B3592=B3591,"",B3592)</f>
        <v>Ussuriysk</v>
      </c>
    </row>
    <row r="3593" spans="1:6" ht="15.75" customHeight="1">
      <c r="A3593" s="5" t="str">
        <f ca="1">IFERROR(__xludf.DUMMYFUNCTION("GOOGLETRANSLATE(B40900,""en"",""pt"")"),"Ussuriysk")</f>
        <v>Ussuriysk</v>
      </c>
      <c r="B3593" s="17" t="s">
        <v>23246</v>
      </c>
      <c r="C3593" s="17" t="s">
        <v>22070</v>
      </c>
      <c r="D3593" s="17" t="s">
        <v>22154</v>
      </c>
      <c r="E3593" s="10">
        <v>2014006</v>
      </c>
      <c r="F3593" s="4" t="str">
        <f>IF(B3593=B3592,"",B3593)</f>
        <v/>
      </c>
    </row>
    <row r="3594" spans="1:6" ht="15.75" customHeight="1">
      <c r="A3594" s="5" t="s">
        <v>23244</v>
      </c>
      <c r="B3594" s="6" t="s">
        <v>23245</v>
      </c>
      <c r="C3594" s="5" t="s">
        <v>22070</v>
      </c>
      <c r="D3594" s="5" t="s">
        <v>22135</v>
      </c>
      <c r="E3594" s="2">
        <v>2014022</v>
      </c>
      <c r="F3594" s="4" t="str">
        <f>IF(B3594=B3593,"",B3594)</f>
        <v>Usolâ€™ye-Sibirskoye</v>
      </c>
    </row>
    <row r="3595" spans="1:6" ht="15.75" customHeight="1">
      <c r="A3595" s="5" t="str">
        <f ca="1">IFERROR(__xludf.DUMMYFUNCTION("GOOGLETRANSLATE(B40901,""en"",""pt"")"),"Usol'ye-sibirskoye")</f>
        <v>Usol'ye-sibirskoye</v>
      </c>
      <c r="B3595" s="17" t="s">
        <v>35556</v>
      </c>
      <c r="C3595" s="17" t="s">
        <v>22070</v>
      </c>
      <c r="D3595" s="17" t="s">
        <v>22135</v>
      </c>
      <c r="E3595" s="10">
        <v>2014022</v>
      </c>
      <c r="F3595" s="4" t="str">
        <f>IF(B3595=B3594,"",B3595)</f>
        <v>Usol’ye-Sibirskoye</v>
      </c>
    </row>
    <row r="3596" spans="1:6" ht="15.75" customHeight="1">
      <c r="A3596" s="6" t="s">
        <v>23242</v>
      </c>
      <c r="B3596" s="6" t="s">
        <v>23243</v>
      </c>
      <c r="C3596" s="6" t="s">
        <v>22070</v>
      </c>
      <c r="D3596" s="6" t="s">
        <v>22328</v>
      </c>
      <c r="E3596" s="2">
        <v>478317</v>
      </c>
      <c r="F3596" s="4" t="str">
        <f>IF(B3596=B3595,"",B3596)</f>
        <v>Usmanâ€™</v>
      </c>
    </row>
    <row r="3597" spans="1:6" ht="15.75" customHeight="1">
      <c r="A3597" s="5" t="str">
        <f ca="1">IFERROR(__xludf.DUMMYFUNCTION("GOOGLETRANSLATE(B40005,""en"",""pt"")"),"Usman '")</f>
        <v>Usman '</v>
      </c>
      <c r="B3597" s="17" t="s">
        <v>35443</v>
      </c>
      <c r="C3597" s="17" t="s">
        <v>22070</v>
      </c>
      <c r="D3597" s="17" t="s">
        <v>22328</v>
      </c>
      <c r="E3597" s="10">
        <v>478317</v>
      </c>
      <c r="F3597" s="4" t="str">
        <f>IF(B3597=B3596,"",B3597)</f>
        <v>Usman’</v>
      </c>
    </row>
    <row r="3598" spans="1:6" ht="15.75" customHeight="1">
      <c r="A3598" s="6" t="s">
        <v>9219</v>
      </c>
      <c r="B3598" s="6" t="s">
        <v>9220</v>
      </c>
      <c r="C3598" s="6" t="s">
        <v>8028</v>
      </c>
      <c r="D3598" s="6" t="s">
        <v>8034</v>
      </c>
      <c r="E3598" s="2">
        <v>2818094</v>
      </c>
      <c r="F3598" s="4" t="str">
        <f>IF(B3598=B3597,"",B3598)</f>
        <v>Uslar</v>
      </c>
    </row>
    <row r="3599" spans="1:6" ht="15.75" customHeight="1">
      <c r="A3599" s="5" t="str">
        <f ca="1">IFERROR(__xludf.DUMMYFUNCTION("GOOGLETRANSLATE(B27458,""en"",""pt"")"),"USLAR")</f>
        <v>USLAR</v>
      </c>
      <c r="B3599" s="17" t="s">
        <v>9220</v>
      </c>
      <c r="C3599" s="17" t="s">
        <v>8028</v>
      </c>
      <c r="D3599" s="17" t="s">
        <v>8034</v>
      </c>
      <c r="E3599" s="10">
        <v>2818094</v>
      </c>
      <c r="F3599" s="4" t="str">
        <f>IF(B3599=B3598,"",B3599)</f>
        <v/>
      </c>
    </row>
    <row r="3600" spans="1:6" ht="15.75" customHeight="1">
      <c r="A3600" s="5" t="str">
        <f ca="1">IFERROR(__xludf.DUMMYFUNCTION("GOOGLETRANSLATE(B42098,""en"",""pt"")"),"Üsküdar")</f>
        <v>Üsküdar</v>
      </c>
      <c r="B3600" s="17" t="s">
        <v>35915</v>
      </c>
      <c r="C3600" s="17" t="s">
        <v>26201</v>
      </c>
      <c r="D3600" s="17" t="s">
        <v>26211</v>
      </c>
      <c r="E3600" s="10">
        <v>738329</v>
      </c>
      <c r="F3600" s="4" t="str">
        <f>IF(B3600=B3599,"",B3600)</f>
        <v>Üsküdar</v>
      </c>
    </row>
    <row r="3601" spans="1:6" ht="15.75" customHeight="1">
      <c r="A3601" s="6" t="s">
        <v>23241</v>
      </c>
      <c r="B3601" s="6" t="s">
        <v>23241</v>
      </c>
      <c r="C3601" s="6" t="s">
        <v>22070</v>
      </c>
      <c r="D3601" s="6" t="s">
        <v>22373</v>
      </c>
      <c r="E3601" s="2">
        <v>863061</v>
      </c>
      <c r="F3601" s="4" t="str">
        <f>IF(B3601=B3600,"",B3601)</f>
        <v>Usinsk</v>
      </c>
    </row>
    <row r="3602" spans="1:6" ht="15.75" customHeight="1">
      <c r="A3602" s="5" t="str">
        <f ca="1">IFERROR(__xludf.DUMMYFUNCTION("GOOGLETRANSLATE(B40710,""en"",""pt"")"),"Usinsk")</f>
        <v>Usinsk</v>
      </c>
      <c r="B3602" s="17" t="s">
        <v>23241</v>
      </c>
      <c r="C3602" s="17" t="s">
        <v>22070</v>
      </c>
      <c r="D3602" s="17" t="s">
        <v>22373</v>
      </c>
      <c r="E3602" s="10">
        <v>863061</v>
      </c>
      <c r="F3602" s="4" t="str">
        <f>IF(B3602=B3601,"",B3602)</f>
        <v/>
      </c>
    </row>
    <row r="3603" spans="1:6" ht="15.75" customHeight="1">
      <c r="A3603" s="5" t="s">
        <v>13660</v>
      </c>
      <c r="B3603" s="6" t="s">
        <v>13660</v>
      </c>
      <c r="C3603" s="5" t="s">
        <v>10178</v>
      </c>
      <c r="D3603" s="5" t="s">
        <v>10196</v>
      </c>
      <c r="E3603" s="2">
        <v>1253671</v>
      </c>
      <c r="F3603" s="4" t="str">
        <f>IF(B3603=B3602,"",B3603)</f>
        <v>Usilampatti</v>
      </c>
    </row>
    <row r="3604" spans="1:6" ht="15.75" customHeight="1">
      <c r="A3604" s="5" t="str">
        <f ca="1">IFERROR(__xludf.DUMMYFUNCTION("GOOGLETRANSLATE(B31919,""en"",""pt"")"),"Usilampatti")</f>
        <v>Usilampatti</v>
      </c>
      <c r="B3604" s="17" t="s">
        <v>13660</v>
      </c>
      <c r="C3604" s="17" t="s">
        <v>10178</v>
      </c>
      <c r="D3604" s="17" t="s">
        <v>10196</v>
      </c>
      <c r="E3604" s="10">
        <v>1253671</v>
      </c>
      <c r="F3604" s="4" t="str">
        <f>IF(B3604=B3603,"",B3604)</f>
        <v/>
      </c>
    </row>
    <row r="3605" spans="1:6" ht="15.75" customHeight="1">
      <c r="A3605" s="6" t="s">
        <v>822</v>
      </c>
      <c r="B3605" s="6" t="s">
        <v>822</v>
      </c>
      <c r="C3605" s="6" t="s">
        <v>558</v>
      </c>
      <c r="D3605" s="6" t="s">
        <v>823</v>
      </c>
      <c r="E3605" s="2">
        <v>3833367</v>
      </c>
      <c r="F3605" s="4" t="str">
        <f>IF(B3605=B3604,"",B3605)</f>
        <v>Ushuaia</v>
      </c>
    </row>
    <row r="3606" spans="1:6" ht="15.75" customHeight="1">
      <c r="A3606" s="5" t="str">
        <f ca="1">IFERROR(__xludf.DUMMYFUNCTION("GOOGLETRANSLATE(B23248,""en"",""pt"")"),"Ushuaia")</f>
        <v>Ushuaia</v>
      </c>
      <c r="B3606" s="17" t="s">
        <v>822</v>
      </c>
      <c r="C3606" s="17" t="s">
        <v>558</v>
      </c>
      <c r="D3606" s="17" t="s">
        <v>823</v>
      </c>
      <c r="E3606" s="10">
        <v>3833367</v>
      </c>
      <c r="F3606" s="4" t="str">
        <f>IF(B3606=B3605,"",B3606)</f>
        <v/>
      </c>
    </row>
    <row r="3607" spans="1:6" ht="15.75" customHeight="1">
      <c r="A3607" s="5" t="s">
        <v>16766</v>
      </c>
      <c r="B3607" s="6" t="s">
        <v>16767</v>
      </c>
      <c r="C3607" s="5" t="s">
        <v>16671</v>
      </c>
      <c r="D3607" s="5" t="s">
        <v>16705</v>
      </c>
      <c r="E3607" s="2">
        <v>1517637</v>
      </c>
      <c r="F3607" s="4" t="str">
        <f>IF(B3607=B3606,"",B3607)</f>
        <v>Ush-Tyube</v>
      </c>
    </row>
    <row r="3608" spans="1:6" ht="15.75" customHeight="1">
      <c r="A3608" s="5" t="str">
        <f ca="1">IFERROR(__xludf.DUMMYFUNCTION("GOOGLETRANSLATE(B36208,""en"",""pt"")"),"Ush-tyube")</f>
        <v>Ush-tyube</v>
      </c>
      <c r="B3608" s="17" t="s">
        <v>16767</v>
      </c>
      <c r="C3608" s="17" t="s">
        <v>16671</v>
      </c>
      <c r="D3608" s="17" t="s">
        <v>16705</v>
      </c>
      <c r="E3608" s="10">
        <v>1517637</v>
      </c>
      <c r="F3608" s="4" t="str">
        <f>IF(B3608=B3607,"",B3608)</f>
        <v/>
      </c>
    </row>
    <row r="3609" spans="1:6" ht="15.75" customHeight="1">
      <c r="A3609" s="5" t="s">
        <v>25761</v>
      </c>
      <c r="B3609" s="6" t="s">
        <v>25761</v>
      </c>
      <c r="C3609" s="5" t="s">
        <v>25560</v>
      </c>
      <c r="D3609" s="5" t="s">
        <v>25578</v>
      </c>
      <c r="E3609" s="2">
        <v>149129</v>
      </c>
      <c r="F3609" s="4" t="str">
        <f>IF(B3609=B3608,"",B3609)</f>
        <v>Ushirombo</v>
      </c>
    </row>
    <row r="3610" spans="1:6" ht="15.75" customHeight="1">
      <c r="A3610" s="5" t="str">
        <f ca="1">IFERROR(__xludf.DUMMYFUNCTION("GOOGLETRANSLATE(B42287,""en"",""pt"")"),"Ushirombo")</f>
        <v>Ushirombo</v>
      </c>
      <c r="B3610" s="17" t="s">
        <v>25761</v>
      </c>
      <c r="C3610" s="17" t="s">
        <v>25560</v>
      </c>
      <c r="D3610" s="17" t="s">
        <v>25578</v>
      </c>
      <c r="E3610" s="10">
        <v>149129</v>
      </c>
      <c r="F3610" s="4" t="str">
        <f>IF(B3610=B3609,"",B3610)</f>
        <v/>
      </c>
    </row>
    <row r="3611" spans="1:6" ht="15.75" customHeight="1">
      <c r="A3611" s="6" t="s">
        <v>16563</v>
      </c>
      <c r="B3611" s="6" t="s">
        <v>16563</v>
      </c>
      <c r="C3611" s="6" t="s">
        <v>15704</v>
      </c>
      <c r="D3611" s="6" t="s">
        <v>15724</v>
      </c>
      <c r="E3611" s="2">
        <v>2110629</v>
      </c>
      <c r="F3611" s="4" t="str">
        <f>IF(B3611=B3610,"",B3611)</f>
        <v>Ushiku</v>
      </c>
    </row>
    <row r="3612" spans="1:6" ht="15.75" customHeight="1">
      <c r="A3612" s="5" t="str">
        <f ca="1">IFERROR(__xludf.DUMMYFUNCTION("GOOGLETRANSLATE(B35718,""en"",""pt"")"),"Ushiku")</f>
        <v>Ushiku</v>
      </c>
      <c r="B3612" s="17" t="s">
        <v>16563</v>
      </c>
      <c r="C3612" s="17" t="s">
        <v>15704</v>
      </c>
      <c r="D3612" s="17" t="s">
        <v>15724</v>
      </c>
      <c r="E3612" s="10">
        <v>2110629</v>
      </c>
      <c r="F3612" s="4" t="str">
        <f>IF(B3612=B3611,"",B3612)</f>
        <v/>
      </c>
    </row>
    <row r="3613" spans="1:6" ht="15.75" customHeight="1">
      <c r="A3613" s="5" t="s">
        <v>16561</v>
      </c>
      <c r="B3613" s="6" t="s">
        <v>16562</v>
      </c>
      <c r="C3613" s="5" t="s">
        <v>15704</v>
      </c>
      <c r="D3613" s="5" t="s">
        <v>15812</v>
      </c>
      <c r="E3613" s="2">
        <v>1849154</v>
      </c>
      <c r="F3613" s="4" t="str">
        <f>IF(B3613=B3612,"",B3613)</f>
        <v>Ushibuka</v>
      </c>
    </row>
    <row r="3614" spans="1:6" ht="15.75" customHeight="1">
      <c r="A3614" s="5" t="str">
        <f ca="1">IFERROR(__xludf.DUMMYFUNCTION("GOOGLETRANSLATE(B35186,""en"",""pt"")"),"USHIBUKA")</f>
        <v>USHIBUKA</v>
      </c>
      <c r="B3614" s="17" t="s">
        <v>16562</v>
      </c>
      <c r="C3614" s="17" t="s">
        <v>15704</v>
      </c>
      <c r="D3614" s="17" t="s">
        <v>15812</v>
      </c>
      <c r="E3614" s="10">
        <v>1849154</v>
      </c>
      <c r="F3614" s="4" t="str">
        <f>IF(B3614=B3613,"",B3614)</f>
        <v/>
      </c>
    </row>
    <row r="3615" spans="1:6" ht="15.75" customHeight="1">
      <c r="A3615" s="6" t="s">
        <v>25760</v>
      </c>
      <c r="B3615" s="6" t="s">
        <v>25760</v>
      </c>
      <c r="C3615" s="6" t="s">
        <v>25560</v>
      </c>
      <c r="D3615" s="6" t="s">
        <v>25699</v>
      </c>
      <c r="E3615" s="2">
        <v>149132</v>
      </c>
      <c r="F3615" s="4" t="str">
        <f>IF(B3615=B3614,"",B3615)</f>
        <v>Usevia</v>
      </c>
    </row>
    <row r="3616" spans="1:6" ht="15.75" customHeight="1">
      <c r="A3616" s="5" t="str">
        <f ca="1">IFERROR(__xludf.DUMMYFUNCTION("GOOGLETRANSLATE(B42288,""en"",""pt"")"),"Usevia")</f>
        <v>Usevia</v>
      </c>
      <c r="B3616" s="17" t="s">
        <v>25760</v>
      </c>
      <c r="C3616" s="17" t="s">
        <v>25560</v>
      </c>
      <c r="D3616" s="17" t="s">
        <v>25699</v>
      </c>
      <c r="E3616" s="10">
        <v>149132</v>
      </c>
      <c r="F3616" s="4" t="str">
        <f>IF(B3616=B3615,"",B3616)</f>
        <v/>
      </c>
    </row>
    <row r="3617" spans="1:6" ht="15.75" customHeight="1">
      <c r="A3617" s="6" t="s">
        <v>24871</v>
      </c>
      <c r="B3617" s="6" t="s">
        <v>24871</v>
      </c>
      <c r="C3617" s="6" t="s">
        <v>24200</v>
      </c>
      <c r="D3617" s="6" t="s">
        <v>5513</v>
      </c>
      <c r="E3617" s="2">
        <v>6544490</v>
      </c>
      <c r="F3617" s="4" t="str">
        <f>IF(B3617=B3616,"",B3617)</f>
        <v>Usera</v>
      </c>
    </row>
    <row r="3618" spans="1:6" ht="15.75" customHeight="1">
      <c r="A3618" s="5" t="str">
        <f ca="1">IFERROR(__xludf.DUMMYFUNCTION("GOOGLETRANSLATE(B29493,""en"",""pt"")"),"Usera")</f>
        <v>Usera</v>
      </c>
      <c r="B3618" s="17" t="s">
        <v>24871</v>
      </c>
      <c r="C3618" s="17" t="s">
        <v>24200</v>
      </c>
      <c r="D3618" s="17" t="s">
        <v>5513</v>
      </c>
      <c r="E3618" s="10">
        <v>6544490</v>
      </c>
      <c r="F3618" s="4" t="str">
        <f>IF(B3618=B3617,"",B3618)</f>
        <v/>
      </c>
    </row>
    <row r="3619" spans="1:6" ht="15.75" customHeight="1">
      <c r="A3619" s="6" t="s">
        <v>13659</v>
      </c>
      <c r="B3619" s="6" t="s">
        <v>13659</v>
      </c>
      <c r="C3619" s="6" t="s">
        <v>10178</v>
      </c>
      <c r="D3619" s="6" t="s">
        <v>10193</v>
      </c>
      <c r="E3619" s="2">
        <v>1253673</v>
      </c>
      <c r="F3619" s="4" t="str">
        <f>IF(B3619=B3618,"",B3619)</f>
        <v>Usehat</v>
      </c>
    </row>
    <row r="3620" spans="1:6" ht="15.75" customHeight="1">
      <c r="A3620" s="5" t="str">
        <f ca="1">IFERROR(__xludf.DUMMYFUNCTION("GOOGLETRANSLATE(B31920,""en"",""pt"")"),"Usehat")</f>
        <v>Usehat</v>
      </c>
      <c r="B3620" s="17" t="s">
        <v>13659</v>
      </c>
      <c r="C3620" s="17" t="s">
        <v>10178</v>
      </c>
      <c r="D3620" s="17" t="s">
        <v>10193</v>
      </c>
      <c r="E3620" s="10">
        <v>1253673</v>
      </c>
      <c r="F3620" s="4" t="str">
        <f>IF(B3620=B3619,"",B3620)</f>
        <v/>
      </c>
    </row>
    <row r="3621" spans="1:6" ht="15.75" customHeight="1">
      <c r="A3621" s="5" t="str">
        <f ca="1">IFERROR(__xludf.DUMMYFUNCTION("GOOGLETRANSLATE(B41876,""en"",""pt"")"),"Uşak")</f>
        <v>Uşak</v>
      </c>
      <c r="B3621" s="17" t="s">
        <v>35824</v>
      </c>
      <c r="C3621" s="17" t="s">
        <v>26201</v>
      </c>
      <c r="D3621" s="17" t="s">
        <v>35824</v>
      </c>
      <c r="E3621" s="10">
        <v>298299</v>
      </c>
      <c r="F3621" s="4" t="str">
        <f>IF(B3621=B3620,"",B3621)</f>
        <v>Uşak</v>
      </c>
    </row>
    <row r="3622" spans="1:6" ht="15.75" customHeight="1">
      <c r="A3622" s="5" t="s">
        <v>25758</v>
      </c>
      <c r="B3622" s="6" t="s">
        <v>25759</v>
      </c>
      <c r="C3622" s="5" t="s">
        <v>25560</v>
      </c>
      <c r="D3622" s="5" t="s">
        <v>25638</v>
      </c>
      <c r="E3622" s="2">
        <v>149151</v>
      </c>
      <c r="F3622" s="4" t="str">
        <f>IF(B3622=B3621,"",B3622)</f>
        <v>Usagara</v>
      </c>
    </row>
    <row r="3623" spans="1:6" ht="15.75" customHeight="1">
      <c r="A3623" s="5" t="str">
        <f ca="1">IFERROR(__xludf.DUMMYFUNCTION("GOOGLETRANSLATE(B42289,""en"",""pt"")"),"USAGARA")</f>
        <v>USAGARA</v>
      </c>
      <c r="B3623" s="17" t="s">
        <v>25759</v>
      </c>
      <c r="C3623" s="17" t="s">
        <v>25560</v>
      </c>
      <c r="D3623" s="17" t="s">
        <v>25638</v>
      </c>
      <c r="E3623" s="10">
        <v>149151</v>
      </c>
      <c r="F3623" s="4" t="str">
        <f>IF(B3623=B3622,"",B3623)</f>
        <v/>
      </c>
    </row>
    <row r="3624" spans="1:6" ht="15.75" customHeight="1">
      <c r="A3624" s="5" t="s">
        <v>25756</v>
      </c>
      <c r="B3624" s="6" t="s">
        <v>25757</v>
      </c>
      <c r="C3624" s="5" t="s">
        <v>25560</v>
      </c>
      <c r="D3624" s="5" t="s">
        <v>25559</v>
      </c>
      <c r="E3624" s="2">
        <v>149155</v>
      </c>
      <c r="F3624" s="4" t="str">
        <f>IF(B3624=B3623,"",B3624)</f>
        <v>Usa River</v>
      </c>
    </row>
    <row r="3625" spans="1:6" ht="15.75" customHeight="1">
      <c r="A3625" s="5" t="str">
        <f ca="1">IFERROR(__xludf.DUMMYFUNCTION("GOOGLETRANSLATE(B42290,""en"",""pt"")"),"Rio dos EUA")</f>
        <v>Rio dos EUA</v>
      </c>
      <c r="B3625" s="17" t="s">
        <v>25757</v>
      </c>
      <c r="C3625" s="17" t="s">
        <v>25560</v>
      </c>
      <c r="D3625" s="17" t="s">
        <v>25559</v>
      </c>
      <c r="E3625" s="10">
        <v>149155</v>
      </c>
      <c r="F3625" s="4" t="str">
        <f>IF(B3625=B3624,"",B3625)</f>
        <v/>
      </c>
    </row>
    <row r="3626" spans="1:6" ht="15.75" customHeight="1">
      <c r="A3626" s="6" t="s">
        <v>22057</v>
      </c>
      <c r="B3626" s="6" t="s">
        <v>22057</v>
      </c>
      <c r="C3626" s="6" t="s">
        <v>21824</v>
      </c>
      <c r="D3626" s="6" t="s">
        <v>21925</v>
      </c>
      <c r="E3626" s="2">
        <v>664074</v>
      </c>
      <c r="F3626" s="4" t="str">
        <f>IF(B3626=B3625,"",B3626)</f>
        <v>Urziceni</v>
      </c>
    </row>
    <row r="3627" spans="1:6" ht="15.75" customHeight="1">
      <c r="A3627" s="5" t="str">
        <f ca="1">IFERROR(__xludf.DUMMYFUNCTION("GOOGLETRANSLATE(B39730,""en"",""pt"")"),"Urziceni")</f>
        <v>Urziceni</v>
      </c>
      <c r="B3627" s="17" t="s">
        <v>22057</v>
      </c>
      <c r="C3627" s="17" t="s">
        <v>21824</v>
      </c>
      <c r="D3627" s="17" t="s">
        <v>35335</v>
      </c>
      <c r="E3627" s="10">
        <v>664074</v>
      </c>
      <c r="F3627" s="4" t="str">
        <f>IF(B3627=B3626,"",B3627)</f>
        <v/>
      </c>
    </row>
    <row r="3628" spans="1:6" ht="15.75" customHeight="1">
      <c r="A3628" s="5" t="s">
        <v>23240</v>
      </c>
      <c r="B3628" s="6" t="s">
        <v>23240</v>
      </c>
      <c r="C3628" s="5" t="s">
        <v>22070</v>
      </c>
      <c r="D3628" s="5" t="s">
        <v>22351</v>
      </c>
      <c r="E3628" s="2">
        <v>478544</v>
      </c>
      <c r="F3628" s="4" t="str">
        <f>IF(B3628=B3627,"",B3628)</f>
        <v>Uryupinsk</v>
      </c>
    </row>
    <row r="3629" spans="1:6" ht="15.75" customHeight="1">
      <c r="A3629" s="5" t="str">
        <f ca="1">IFERROR(__xludf.DUMMYFUNCTION("GOOGLETRANSLATE(B40006,""en"",""pt"")"),"Uryupinsk")</f>
        <v>Uryupinsk</v>
      </c>
      <c r="B3629" s="17" t="s">
        <v>23240</v>
      </c>
      <c r="C3629" s="17" t="s">
        <v>22070</v>
      </c>
      <c r="D3629" s="17" t="s">
        <v>22351</v>
      </c>
      <c r="E3629" s="10">
        <v>478544</v>
      </c>
      <c r="F3629" s="4" t="str">
        <f>IF(B3629=B3628,"",B3629)</f>
        <v/>
      </c>
    </row>
    <row r="3630" spans="1:6" ht="15.75" customHeight="1">
      <c r="A3630" s="5" t="s">
        <v>23238</v>
      </c>
      <c r="B3630" s="6" t="s">
        <v>23239</v>
      </c>
      <c r="C3630" s="5" t="s">
        <v>22070</v>
      </c>
      <c r="D3630" s="5" t="s">
        <v>22081</v>
      </c>
      <c r="E3630" s="2">
        <v>478581</v>
      </c>
      <c r="F3630" s="4" t="str">
        <f>IF(B3630=B3629,"",B3630)</f>
        <v>Urus-Martan</v>
      </c>
    </row>
    <row r="3631" spans="1:6" ht="15.75" customHeight="1">
      <c r="A3631" s="5" t="str">
        <f ca="1">IFERROR(__xludf.DUMMYFUNCTION("GOOGLETRANSLATE(B40007,""en"",""pt"")"),"Urus-Martan")</f>
        <v>Urus-Martan</v>
      </c>
      <c r="B3631" s="17" t="s">
        <v>23239</v>
      </c>
      <c r="C3631" s="17" t="s">
        <v>22070</v>
      </c>
      <c r="D3631" s="17" t="s">
        <v>22081</v>
      </c>
      <c r="E3631" s="10">
        <v>478581</v>
      </c>
      <c r="F3631" s="4" t="str">
        <f>IF(B3631=B3630,"",B3631)</f>
        <v/>
      </c>
    </row>
    <row r="3632" spans="1:6" ht="15.75" customHeight="1">
      <c r="A3632" s="5" t="str">
        <f ca="1">IFERROR(__xludf.DUMMYFUNCTION("GOOGLETRANSLATE(B26055,""en"",""pt"")"),"Ürümqi")</f>
        <v>Ürümqi</v>
      </c>
      <c r="B3632" s="17" t="s">
        <v>31827</v>
      </c>
      <c r="C3632" s="17" t="s">
        <v>4487</v>
      </c>
      <c r="D3632" s="17" t="s">
        <v>4490</v>
      </c>
      <c r="E3632" s="10">
        <v>1529102</v>
      </c>
      <c r="F3632" s="4" t="str">
        <f>IF(B3632=B3631,"",B3632)</f>
        <v>Ürümqi</v>
      </c>
    </row>
    <row r="3633" spans="1:6" ht="15.75" customHeight="1">
      <c r="A3633" s="5" t="s">
        <v>3625</v>
      </c>
      <c r="B3633" s="6" t="s">
        <v>3625</v>
      </c>
      <c r="C3633" s="5" t="s">
        <v>1905</v>
      </c>
      <c r="D3633" s="5" t="s">
        <v>1951</v>
      </c>
      <c r="E3633" s="2">
        <v>3445679</v>
      </c>
      <c r="F3633" s="4" t="str">
        <f>IF(B3633=B3632,"",B3633)</f>
        <v>Uruguaiana</v>
      </c>
    </row>
    <row r="3634" spans="1:6" ht="15.75" customHeight="1">
      <c r="A3634" s="5" t="str">
        <f ca="1">IFERROR(__xludf.DUMMYFUNCTION("GOOGLETRANSLATE(B24458,""en"",""pt"")"),"Uruguaiana")</f>
        <v>Uruguaiana</v>
      </c>
      <c r="B3634" s="17" t="s">
        <v>3625</v>
      </c>
      <c r="C3634" s="17" t="s">
        <v>1905</v>
      </c>
      <c r="D3634" s="17" t="s">
        <v>1951</v>
      </c>
      <c r="E3634" s="10">
        <v>3445679</v>
      </c>
      <c r="F3634" s="4" t="str">
        <f>IF(B3634=B3633,"",B3634)</f>
        <v/>
      </c>
    </row>
    <row r="3635" spans="1:6" ht="15.75" customHeight="1">
      <c r="A3635" s="5" t="str">
        <f ca="1">IFERROR(__xludf.DUMMYFUNCTION("GOOGLETRANSLATE(B24459,""en"",""pt"")"),"Uruçuca")</f>
        <v>Uruçuca</v>
      </c>
      <c r="B3635" s="17" t="s">
        <v>31434</v>
      </c>
      <c r="C3635" s="17" t="s">
        <v>1905</v>
      </c>
      <c r="D3635" s="17" t="s">
        <v>1947</v>
      </c>
      <c r="E3635" s="10">
        <v>3445690</v>
      </c>
      <c r="F3635" s="4" t="str">
        <f>IF(B3635=B3634,"",B3635)</f>
        <v>Uruçuca</v>
      </c>
    </row>
    <row r="3636" spans="1:6" ht="15.75" customHeight="1">
      <c r="A3636" s="6" t="s">
        <v>18394</v>
      </c>
      <c r="B3636" s="6" t="s">
        <v>18394</v>
      </c>
      <c r="C3636" s="6" t="s">
        <v>17707</v>
      </c>
      <c r="D3636" s="6" t="s">
        <v>17761</v>
      </c>
      <c r="E3636" s="2">
        <v>3980760</v>
      </c>
      <c r="F3636" s="4" t="str">
        <f>IF(B3636=B3635,"",B3636)</f>
        <v>Uruapan</v>
      </c>
    </row>
    <row r="3637" spans="1:6" ht="15.75" customHeight="1">
      <c r="A3637" s="5" t="str">
        <f ca="1">IFERROR(__xludf.DUMMYFUNCTION("GOOGLETRANSLATE(B37157,""en"",""pt"")"),"Uruapan")</f>
        <v>Uruapan</v>
      </c>
      <c r="B3637" s="17" t="s">
        <v>18394</v>
      </c>
      <c r="C3637" s="17" t="s">
        <v>17707</v>
      </c>
      <c r="D3637" s="17" t="s">
        <v>34727</v>
      </c>
      <c r="E3637" s="10">
        <v>3980760</v>
      </c>
      <c r="F3637" s="4" t="str">
        <f>IF(B3637=B3636,"",B3637)</f>
        <v/>
      </c>
    </row>
    <row r="3638" spans="1:6" ht="15.75" customHeight="1">
      <c r="A3638" s="5" t="str">
        <f ca="1">IFERROR(__xludf.DUMMYFUNCTION("GOOGLETRANSLATE(B24460,""en"",""pt"")"),"Uruaçu")</f>
        <v>Uruaçu</v>
      </c>
      <c r="B3638" s="17" t="s">
        <v>31435</v>
      </c>
      <c r="C3638" s="17" t="s">
        <v>1905</v>
      </c>
      <c r="D3638" s="17" t="s">
        <v>31436</v>
      </c>
      <c r="E3638" s="10">
        <v>3445713</v>
      </c>
      <c r="F3638" s="4" t="str">
        <f>IF(B3638=B3637,"",B3638)</f>
        <v>Uruaçu</v>
      </c>
    </row>
    <row r="3639" spans="1:6" ht="15.75" customHeight="1">
      <c r="A3639" s="6" t="s">
        <v>3623</v>
      </c>
      <c r="B3639" s="6" t="s">
        <v>3624</v>
      </c>
      <c r="C3639" s="6" t="s">
        <v>1905</v>
      </c>
      <c r="D3639" s="6" t="s">
        <v>1969</v>
      </c>
      <c r="E3639" s="2">
        <v>3445713</v>
      </c>
      <c r="F3639" s="4" t="str">
        <f>IF(B3639=B3638,"",B3639)</f>
        <v>UruaÃ§u</v>
      </c>
    </row>
    <row r="3640" spans="1:6" ht="15.75" customHeight="1">
      <c r="A3640" s="6" t="s">
        <v>3621</v>
      </c>
      <c r="B3640" s="6" t="s">
        <v>3622</v>
      </c>
      <c r="C3640" s="6" t="s">
        <v>1905</v>
      </c>
      <c r="D3640" s="6" t="s">
        <v>1947</v>
      </c>
      <c r="E3640" s="2">
        <v>3445690</v>
      </c>
      <c r="F3640" s="4" t="str">
        <f>IF(B3640=B3639,"",B3640)</f>
        <v>UruÃ§uca</v>
      </c>
    </row>
    <row r="3641" spans="1:6" ht="15.75" customHeight="1">
      <c r="A3641" s="5" t="str">
        <f ca="1">IFERROR(__xludf.DUMMYFUNCTION("GOOGLETRANSLATE(B39498,""en"",""pt"")"),"Ursynów")</f>
        <v>Ursynów</v>
      </c>
      <c r="B3641" s="17" t="s">
        <v>35251</v>
      </c>
      <c r="C3641" s="17" t="s">
        <v>21064</v>
      </c>
      <c r="D3641" s="17" t="s">
        <v>21070</v>
      </c>
      <c r="E3641" s="10">
        <v>6545326</v>
      </c>
      <c r="F3641" s="4" t="str">
        <f>IF(B3641=B3640,"",B3641)</f>
        <v>Ursynów</v>
      </c>
    </row>
    <row r="3642" spans="1:6" ht="15.75" customHeight="1">
      <c r="A3642" s="6" t="s">
        <v>21545</v>
      </c>
      <c r="B3642" s="6" t="s">
        <v>21546</v>
      </c>
      <c r="C3642" s="6" t="s">
        <v>21064</v>
      </c>
      <c r="D3642" s="6" t="s">
        <v>21070</v>
      </c>
      <c r="E3642" s="2">
        <v>6545326</v>
      </c>
      <c r="F3642" s="4" t="str">
        <f>IF(B3642=B3641,"",B3642)</f>
        <v>UrsynÃ³w</v>
      </c>
    </row>
    <row r="3643" spans="1:6" ht="15.75" customHeight="1">
      <c r="A3643" s="6" t="s">
        <v>21544</v>
      </c>
      <c r="B3643" s="6" t="s">
        <v>21544</v>
      </c>
      <c r="C3643" s="6" t="s">
        <v>21064</v>
      </c>
      <c r="D3643" s="6" t="s">
        <v>21070</v>
      </c>
      <c r="E3643" s="2">
        <v>756320</v>
      </c>
      <c r="F3643" s="4" t="str">
        <f>IF(B3643=B3642,"",B3643)</f>
        <v>Ursus</v>
      </c>
    </row>
    <row r="3644" spans="1:6" ht="15.75" customHeight="1">
      <c r="A3644" s="5" t="str">
        <f ca="1">IFERROR(__xludf.DUMMYFUNCTION("GOOGLETRANSLATE(B39189,""en"",""pt"")"),"Ursus")</f>
        <v>Ursus</v>
      </c>
      <c r="B3644" s="17" t="s">
        <v>21544</v>
      </c>
      <c r="C3644" s="17" t="s">
        <v>21064</v>
      </c>
      <c r="D3644" s="17" t="s">
        <v>21070</v>
      </c>
      <c r="E3644" s="10">
        <v>756320</v>
      </c>
      <c r="F3644" s="4" t="str">
        <f>IF(B3644=B3643,"",B3644)</f>
        <v/>
      </c>
    </row>
    <row r="3645" spans="1:6" ht="15.75" customHeight="1">
      <c r="A3645" s="6" t="s">
        <v>5639</v>
      </c>
      <c r="B3645" s="6" t="s">
        <v>5639</v>
      </c>
      <c r="C3645" s="6" t="s">
        <v>5348</v>
      </c>
      <c r="D3645" s="6" t="s">
        <v>5362</v>
      </c>
      <c r="E3645" s="2">
        <v>3666395</v>
      </c>
      <c r="F3645" s="4" t="str">
        <f>IF(B3645=B3644,"",B3645)</f>
        <v>Urrao</v>
      </c>
    </row>
    <row r="3646" spans="1:6" ht="15.75" customHeight="1">
      <c r="A3646" s="5" t="str">
        <f ca="1">IFERROR(__xludf.DUMMYFUNCTION("GOOGLETRANSLATE(B26857,""en"",""pt"")"),"Urrao")</f>
        <v>Urrao</v>
      </c>
      <c r="B3646" s="17" t="s">
        <v>5639</v>
      </c>
      <c r="C3646" s="17" t="s">
        <v>5348</v>
      </c>
      <c r="D3646" s="17" t="s">
        <v>5362</v>
      </c>
      <c r="E3646" s="10">
        <v>3666395</v>
      </c>
      <c r="F3646" s="4" t="str">
        <f>IF(B3646=B3645,"",B3646)</f>
        <v/>
      </c>
    </row>
    <row r="3647" spans="1:6" ht="15.75" customHeight="1">
      <c r="A3647" s="6" t="s">
        <v>19575</v>
      </c>
      <c r="B3647" s="6" t="s">
        <v>19575</v>
      </c>
      <c r="C3647" s="6" t="s">
        <v>19294</v>
      </c>
      <c r="D3647" s="6" t="s">
        <v>19328</v>
      </c>
      <c r="E3647" s="2">
        <v>2319668</v>
      </c>
      <c r="F3647" s="4" t="str">
        <f>IF(B3647=B3646,"",B3647)</f>
        <v>Uromi</v>
      </c>
    </row>
    <row r="3648" spans="1:6" ht="15.75" customHeight="1">
      <c r="A3648" s="5" t="str">
        <f ca="1">IFERROR(__xludf.DUMMYFUNCTION("GOOGLETRANSLATE(B37617,""en"",""pt"")"),"Uromi")</f>
        <v>Uromi</v>
      </c>
      <c r="B3648" s="17" t="s">
        <v>19575</v>
      </c>
      <c r="C3648" s="17" t="s">
        <v>19294</v>
      </c>
      <c r="D3648" s="17" t="s">
        <v>19328</v>
      </c>
      <c r="E3648" s="10">
        <v>2319668</v>
      </c>
      <c r="F3648" s="4" t="str">
        <f>IF(B3648=B3647,"",B3648)</f>
        <v/>
      </c>
    </row>
    <row r="3649" spans="1:6" ht="15.75" customHeight="1">
      <c r="A3649" s="6" t="s">
        <v>27717</v>
      </c>
      <c r="B3649" s="6" t="s">
        <v>27717</v>
      </c>
      <c r="C3649" s="6" t="s">
        <v>27234</v>
      </c>
      <c r="D3649" s="6" t="s">
        <v>27241</v>
      </c>
      <c r="E3649" s="2">
        <v>2635062</v>
      </c>
      <c r="F3649" s="4" t="str">
        <f>IF(B3649=B3648,"",B3649)</f>
        <v>Urmston</v>
      </c>
    </row>
    <row r="3650" spans="1:6" ht="15.75" customHeight="1">
      <c r="A3650" s="5" t="str">
        <f ca="1">IFERROR(__xludf.DUMMYFUNCTION("GOOGLETRANSLATE(B30374,""en"",""pt"")"),"Urmston")</f>
        <v>Urmston</v>
      </c>
      <c r="B3650" s="17" t="s">
        <v>27717</v>
      </c>
      <c r="C3650" s="17" t="s">
        <v>27234</v>
      </c>
      <c r="D3650" s="17" t="s">
        <v>27241</v>
      </c>
      <c r="E3650" s="10">
        <v>2635062</v>
      </c>
      <c r="F3650" s="4" t="str">
        <f>IF(B3650=B3649,"",B3650)</f>
        <v/>
      </c>
    </row>
    <row r="3651" spans="1:6" ht="15.75" customHeight="1">
      <c r="A3651" s="6" t="s">
        <v>26742</v>
      </c>
      <c r="B3651" s="6" t="s">
        <v>26742</v>
      </c>
      <c r="C3651" s="6" t="s">
        <v>26201</v>
      </c>
      <c r="D3651" s="6" t="s">
        <v>26213</v>
      </c>
      <c r="E3651" s="2">
        <v>298316</v>
      </c>
      <c r="F3651" s="4" t="str">
        <f>IF(B3651=B3650,"",B3651)</f>
        <v>Urla</v>
      </c>
    </row>
    <row r="3652" spans="1:6" ht="15.75" customHeight="1">
      <c r="A3652" s="5" t="str">
        <f ca="1">IFERROR(__xludf.DUMMYFUNCTION("GOOGLETRANSLATE(B41877,""en"",""pt"")"),"Urla")</f>
        <v>Urla</v>
      </c>
      <c r="B3652" s="17" t="s">
        <v>26742</v>
      </c>
      <c r="C3652" s="17" t="s">
        <v>26201</v>
      </c>
      <c r="D3652" s="17" t="s">
        <v>35825</v>
      </c>
      <c r="E3652" s="10">
        <v>298316</v>
      </c>
      <c r="F3652" s="4" t="str">
        <f>IF(B3652=B3651,"",B3652)</f>
        <v/>
      </c>
    </row>
    <row r="3653" spans="1:6" ht="15.75" customHeight="1">
      <c r="A3653" s="6" t="s">
        <v>19108</v>
      </c>
      <c r="B3653" s="6" t="s">
        <v>19108</v>
      </c>
      <c r="C3653" s="6" t="s">
        <v>18862</v>
      </c>
      <c r="D3653" s="6" t="s">
        <v>18873</v>
      </c>
      <c r="E3653" s="2">
        <v>2745932</v>
      </c>
      <c r="F3653" s="4" t="str">
        <f>IF(B3653=B3652,"",B3653)</f>
        <v>Urk</v>
      </c>
    </row>
    <row r="3654" spans="1:6" ht="15.75" customHeight="1">
      <c r="A3654" s="5" t="str">
        <f ca="1">IFERROR(__xludf.DUMMYFUNCTION("GOOGLETRANSLATE(B37936,""en"",""pt"")"),"Urk")</f>
        <v>Urk</v>
      </c>
      <c r="B3654" s="17" t="s">
        <v>19108</v>
      </c>
      <c r="C3654" s="17" t="s">
        <v>18862</v>
      </c>
      <c r="D3654" s="17" t="s">
        <v>18873</v>
      </c>
      <c r="E3654" s="10">
        <v>2745932</v>
      </c>
      <c r="F3654" s="4" t="str">
        <f>IF(B3654=B3653,"",B3654)</f>
        <v/>
      </c>
    </row>
    <row r="3655" spans="1:6" ht="15.75" customHeight="1">
      <c r="A3655" s="6" t="s">
        <v>23237</v>
      </c>
      <c r="B3655" s="6" t="s">
        <v>23237</v>
      </c>
      <c r="C3655" s="6" t="s">
        <v>22070</v>
      </c>
      <c r="D3655" s="6" t="s">
        <v>22084</v>
      </c>
      <c r="E3655" s="2">
        <v>478724</v>
      </c>
      <c r="F3655" s="4" t="str">
        <f>IF(B3655=B3654,"",B3655)</f>
        <v>Uritsk</v>
      </c>
    </row>
    <row r="3656" spans="1:6" ht="15.75" customHeight="1">
      <c r="A3656" s="5" t="str">
        <f ca="1">IFERROR(__xludf.DUMMYFUNCTION("GOOGLETRANSLATE(B40008,""en"",""pt"")"),"Uritsk")</f>
        <v>Uritsk</v>
      </c>
      <c r="B3656" s="17" t="s">
        <v>23237</v>
      </c>
      <c r="C3656" s="17" t="s">
        <v>22070</v>
      </c>
      <c r="D3656" s="17" t="s">
        <v>22084</v>
      </c>
      <c r="E3656" s="10">
        <v>478724</v>
      </c>
      <c r="F3656" s="4" t="str">
        <f>IF(B3656=B3655,"",B3656)</f>
        <v/>
      </c>
    </row>
    <row r="3657" spans="1:6" ht="15.75" customHeight="1">
      <c r="A3657" s="5" t="s">
        <v>18393</v>
      </c>
      <c r="B3657" s="6" t="s">
        <v>18393</v>
      </c>
      <c r="C3657" s="5" t="s">
        <v>17707</v>
      </c>
      <c r="D3657" s="5" t="s">
        <v>17713</v>
      </c>
      <c r="E3657" s="2">
        <v>3980777</v>
      </c>
      <c r="F3657" s="4" t="str">
        <f>IF(B3657=B3656,"",B3657)</f>
        <v>Uriangato</v>
      </c>
    </row>
    <row r="3658" spans="1:6" ht="15.75" customHeight="1">
      <c r="A3658" s="5" t="str">
        <f ca="1">IFERROR(__xludf.DUMMYFUNCTION("GOOGLETRANSLATE(B37158,""en"",""pt"")"),"Uriangato")</f>
        <v>Uriangato</v>
      </c>
      <c r="B3658" s="17" t="s">
        <v>18393</v>
      </c>
      <c r="C3658" s="17" t="s">
        <v>17707</v>
      </c>
      <c r="D3658" s="17" t="s">
        <v>17713</v>
      </c>
      <c r="E3658" s="10">
        <v>3980777</v>
      </c>
      <c r="F3658" s="4" t="str">
        <f>IF(B3658=B3657,"",B3658)</f>
        <v/>
      </c>
    </row>
    <row r="3659" spans="1:6" ht="15.75" customHeight="1">
      <c r="A3659" s="6" t="s">
        <v>30612</v>
      </c>
      <c r="B3659" s="6" t="s">
        <v>30613</v>
      </c>
      <c r="C3659" s="6" t="s">
        <v>30502</v>
      </c>
      <c r="D3659" s="6" t="s">
        <v>30522</v>
      </c>
      <c r="E3659" s="2">
        <v>1215839</v>
      </c>
      <c r="F3659" s="4" t="str">
        <f>IF(B3659=B3658,"",B3659)</f>
        <v>Urgut</v>
      </c>
    </row>
    <row r="3660" spans="1:6" ht="15.75" customHeight="1">
      <c r="A3660" s="5" t="str">
        <f ca="1">IFERROR(__xludf.DUMMYFUNCTION("GOOGLETRANSLATE(B45504,""en"",""pt"")"),"Urguut")</f>
        <v>Urguut</v>
      </c>
      <c r="B3660" s="17" t="s">
        <v>30613</v>
      </c>
      <c r="C3660" s="17" t="s">
        <v>30502</v>
      </c>
      <c r="D3660" s="17" t="s">
        <v>30522</v>
      </c>
      <c r="E3660" s="10">
        <v>1215839</v>
      </c>
      <c r="F3660" s="4" t="str">
        <f>IF(B3660=B3659,"",B3660)</f>
        <v/>
      </c>
    </row>
    <row r="3661" spans="1:6" ht="15.75" customHeight="1">
      <c r="A3661" s="5" t="str">
        <f ca="1">IFERROR(__xludf.DUMMYFUNCTION("GOOGLETRANSLATE(B41878,""en"",""pt"")"),"Ürgüp")</f>
        <v>Ürgüp</v>
      </c>
      <c r="B3661" s="17" t="s">
        <v>35826</v>
      </c>
      <c r="C3661" s="17" t="s">
        <v>26201</v>
      </c>
      <c r="D3661" s="17" t="s">
        <v>35827</v>
      </c>
      <c r="E3661" s="10">
        <v>298326</v>
      </c>
      <c r="F3661" s="4" t="str">
        <f>IF(B3661=B3660,"",B3661)</f>
        <v>Ürgüp</v>
      </c>
    </row>
    <row r="3662" spans="1:6" ht="15.75" customHeight="1">
      <c r="A3662" s="6" t="s">
        <v>30610</v>
      </c>
      <c r="B3662" s="6" t="s">
        <v>30611</v>
      </c>
      <c r="C3662" s="6" t="s">
        <v>30502</v>
      </c>
      <c r="D3662" s="6" t="s">
        <v>30545</v>
      </c>
      <c r="E3662" s="2">
        <v>1512473</v>
      </c>
      <c r="F3662" s="4" t="str">
        <f>IF(B3662=B3661,"",B3662)</f>
        <v>Urganch</v>
      </c>
    </row>
    <row r="3663" spans="1:6" ht="15.75" customHeight="1">
      <c r="A3663" s="5" t="str">
        <f ca="1">IFERROR(__xludf.DUMMYFUNCTION("GOOGLETRANSLATE(B45536,""en"",""pt"")"),"Urgannch")</f>
        <v>Urgannch</v>
      </c>
      <c r="B3663" s="17" t="s">
        <v>30611</v>
      </c>
      <c r="C3663" s="17" t="s">
        <v>30502</v>
      </c>
      <c r="D3663" s="17" t="s">
        <v>30545</v>
      </c>
      <c r="E3663" s="10">
        <v>1512473</v>
      </c>
      <c r="F3663" s="4" t="str">
        <f>IF(B3663=B3662,"",B3663)</f>
        <v/>
      </c>
    </row>
    <row r="3664" spans="1:6" ht="15.75" customHeight="1">
      <c r="A3664" s="5" t="s">
        <v>16559</v>
      </c>
      <c r="B3664" s="6" t="s">
        <v>16560</v>
      </c>
      <c r="C3664" s="5" t="s">
        <v>15704</v>
      </c>
      <c r="D3664" s="5" t="s">
        <v>15761</v>
      </c>
      <c r="E3664" s="2">
        <v>1849183</v>
      </c>
      <c r="F3664" s="4" t="str">
        <f>IF(B3664=B3663,"",B3664)</f>
        <v>Ureshinomachi-shimojuku</v>
      </c>
    </row>
    <row r="3665" spans="1:6" ht="15.75" customHeight="1">
      <c r="A3665" s="5" t="str">
        <f ca="1">IFERROR(__xludf.DUMMYFUNCTION("GOOGLETRANSLATE(B35187,""en"",""pt"")"),"Ureshinomachi-Shimojuku")</f>
        <v>Ureshinomachi-Shimojuku</v>
      </c>
      <c r="B3665" s="17" t="s">
        <v>16560</v>
      </c>
      <c r="C3665" s="17" t="s">
        <v>15704</v>
      </c>
      <c r="D3665" s="17" t="s">
        <v>15761</v>
      </c>
      <c r="E3665" s="10">
        <v>1849183</v>
      </c>
      <c r="F3665" s="4" t="str">
        <f>IF(B3665=B3664,"",B3665)</f>
        <v/>
      </c>
    </row>
    <row r="3666" spans="1:6" ht="15.75" customHeight="1">
      <c r="A3666" s="6" t="s">
        <v>21052</v>
      </c>
      <c r="B3666" s="6" t="s">
        <v>21052</v>
      </c>
      <c r="C3666" s="6" t="s">
        <v>20598</v>
      </c>
      <c r="D3666" s="6" t="s">
        <v>20603</v>
      </c>
      <c r="E3666" s="2">
        <v>1680197</v>
      </c>
      <c r="F3666" s="4" t="str">
        <f>IF(B3666=B3665,"",B3666)</f>
        <v>Urdaneta</v>
      </c>
    </row>
    <row r="3667" spans="1:6" ht="15.75" customHeight="1">
      <c r="A3667" s="5" t="str">
        <f ca="1">IFERROR(__xludf.DUMMYFUNCTION("GOOGLETRANSLATE(B38432,""en"",""pt"")"),"Urdaneta")</f>
        <v>Urdaneta</v>
      </c>
      <c r="B3667" s="17" t="s">
        <v>21052</v>
      </c>
      <c r="C3667" s="17" t="s">
        <v>20598</v>
      </c>
      <c r="D3667" s="17" t="s">
        <v>20603</v>
      </c>
      <c r="E3667" s="10">
        <v>1680197</v>
      </c>
      <c r="F3667" s="4" t="str">
        <f>IF(B3667=B3666,"",B3667)</f>
        <v/>
      </c>
    </row>
    <row r="3668" spans="1:6" ht="15.75" customHeight="1">
      <c r="A3668" s="5" t="s">
        <v>30257</v>
      </c>
      <c r="B3668" s="6" t="s">
        <v>30257</v>
      </c>
      <c r="C3668" s="5" t="s">
        <v>27788</v>
      </c>
      <c r="D3668" s="5" t="s">
        <v>27859</v>
      </c>
      <c r="E3668" s="2">
        <v>4879890</v>
      </c>
      <c r="F3668" s="4" t="str">
        <f>IF(B3668=B3667,"",B3668)</f>
        <v>Urbandale</v>
      </c>
    </row>
    <row r="3669" spans="1:6" ht="15.75" customHeight="1">
      <c r="A3669" s="5" t="str">
        <f ca="1">IFERROR(__xludf.DUMMYFUNCTION("GOOGLETRANSLATE(B43757,""en"",""pt"")"),"Urbandale")</f>
        <v>Urbandale</v>
      </c>
      <c r="B3669" s="17" t="s">
        <v>30257</v>
      </c>
      <c r="C3669" s="17" t="s">
        <v>27788</v>
      </c>
      <c r="D3669" s="17" t="s">
        <v>27859</v>
      </c>
      <c r="E3669" s="10">
        <v>4879890</v>
      </c>
      <c r="F3669" s="4" t="str">
        <f>IF(B3669=B3668,"",B3669)</f>
        <v/>
      </c>
    </row>
    <row r="3670" spans="1:6" ht="15.75" customHeight="1">
      <c r="A3670" s="6" t="s">
        <v>30256</v>
      </c>
      <c r="B3670" s="6" t="s">
        <v>30256</v>
      </c>
      <c r="C3670" s="6" t="s">
        <v>27788</v>
      </c>
      <c r="D3670" s="6" t="s">
        <v>27799</v>
      </c>
      <c r="E3670" s="2">
        <v>4914570</v>
      </c>
      <c r="F3670" s="4" t="str">
        <f>IF(B3670=B3669,"",B3670)</f>
        <v>Urbana</v>
      </c>
    </row>
    <row r="3671" spans="1:6" ht="15.75" customHeight="1">
      <c r="A3671" s="5" t="str">
        <f ca="1">IFERROR(__xludf.DUMMYFUNCTION("GOOGLETRANSLATE(B43891,""en"",""pt"")"),"Urbana")</f>
        <v>Urbana</v>
      </c>
      <c r="B3671" s="17" t="s">
        <v>30256</v>
      </c>
      <c r="C3671" s="17" t="s">
        <v>27788</v>
      </c>
      <c r="D3671" s="17" t="s">
        <v>27799</v>
      </c>
      <c r="E3671" s="10">
        <v>4914570</v>
      </c>
      <c r="F3671" s="4" t="str">
        <f>IF(B3671=B3670,"",B3671)</f>
        <v/>
      </c>
    </row>
    <row r="3672" spans="1:6" ht="15.75" customHeight="1">
      <c r="A3672" s="6" t="s">
        <v>16558</v>
      </c>
      <c r="B3672" s="6" t="s">
        <v>16558</v>
      </c>
      <c r="C3672" s="6" t="s">
        <v>15704</v>
      </c>
      <c r="D3672" s="6" t="s">
        <v>15776</v>
      </c>
      <c r="E3672" s="2">
        <v>1849186</v>
      </c>
      <c r="F3672" s="4" t="str">
        <f>IF(B3672=B3671,"",B3672)</f>
        <v>Urayasu</v>
      </c>
    </row>
    <row r="3673" spans="1:6" ht="15.75" customHeight="1">
      <c r="A3673" s="5" t="str">
        <f ca="1">IFERROR(__xludf.DUMMYFUNCTION("GOOGLETRANSLATE(B35188,""en"",""pt"")"),"Urayasu")</f>
        <v>Urayasu</v>
      </c>
      <c r="B3673" s="17" t="s">
        <v>16558</v>
      </c>
      <c r="C3673" s="17" t="s">
        <v>15704</v>
      </c>
      <c r="D3673" s="17" t="s">
        <v>15776</v>
      </c>
      <c r="E3673" s="10">
        <v>1849186</v>
      </c>
      <c r="F3673" s="4" t="str">
        <f>IF(B3673=B3672,"",B3673)</f>
        <v/>
      </c>
    </row>
    <row r="3674" spans="1:6" ht="15.75" customHeight="1">
      <c r="A3674" s="6" t="s">
        <v>23236</v>
      </c>
      <c r="B3674" s="6" t="s">
        <v>23236</v>
      </c>
      <c r="C3674" s="6" t="s">
        <v>22070</v>
      </c>
      <c r="D3674" s="6" t="s">
        <v>22217</v>
      </c>
      <c r="E3674" s="2">
        <v>1488429</v>
      </c>
      <c r="F3674" s="4" t="str">
        <f>IF(B3674=B3673,"",B3674)</f>
        <v>Uray</v>
      </c>
    </row>
    <row r="3675" spans="1:6" ht="15.75" customHeight="1">
      <c r="A3675" s="5" t="str">
        <f ca="1">IFERROR(__xludf.DUMMYFUNCTION("GOOGLETRANSLATE(B40732,""en"",""pt"")"),"Uray")</f>
        <v>Uray</v>
      </c>
      <c r="B3675" s="17" t="s">
        <v>23236</v>
      </c>
      <c r="C3675" s="17" t="s">
        <v>22070</v>
      </c>
      <c r="D3675" s="17" t="s">
        <v>22217</v>
      </c>
      <c r="E3675" s="10">
        <v>1488429</v>
      </c>
      <c r="F3675" s="4" t="str">
        <f>IF(B3675=B3674,"",B3675)</f>
        <v/>
      </c>
    </row>
    <row r="3676" spans="1:6" ht="15.75" customHeight="1">
      <c r="A3676" s="5" t="s">
        <v>13658</v>
      </c>
      <c r="B3676" s="6" t="s">
        <v>13658</v>
      </c>
      <c r="C3676" s="5" t="s">
        <v>10178</v>
      </c>
      <c r="D3676" s="5" t="s">
        <v>10190</v>
      </c>
      <c r="E3676" s="2">
        <v>1253698</v>
      </c>
      <c r="F3676" s="4" t="str">
        <f>IF(B3676=B3675,"",B3676)</f>
        <v>Uravakonda</v>
      </c>
    </row>
    <row r="3677" spans="1:6" ht="15.75" customHeight="1">
      <c r="A3677" s="5" t="str">
        <f ca="1">IFERROR(__xludf.DUMMYFUNCTION("GOOGLETRANSLATE(B31921,""en"",""pt"")"),"Uravakonda")</f>
        <v>Uravakonda</v>
      </c>
      <c r="B3677" s="17" t="s">
        <v>13658</v>
      </c>
      <c r="C3677" s="17" t="s">
        <v>10178</v>
      </c>
      <c r="D3677" s="17" t="s">
        <v>10190</v>
      </c>
      <c r="E3677" s="10">
        <v>1253698</v>
      </c>
      <c r="F3677" s="4" t="str">
        <f>IF(B3677=B3676,"",B3677)</f>
        <v/>
      </c>
    </row>
    <row r="3678" spans="1:6" ht="15.75" customHeight="1">
      <c r="A3678" s="6" t="s">
        <v>13657</v>
      </c>
      <c r="B3678" s="6" t="s">
        <v>13657</v>
      </c>
      <c r="C3678" s="6" t="s">
        <v>10178</v>
      </c>
      <c r="D3678" s="6" t="s">
        <v>10214</v>
      </c>
      <c r="E3678" s="2">
        <v>1253702</v>
      </c>
      <c r="F3678" s="4" t="str">
        <f>IF(B3678=B3677,"",B3678)</f>
        <v>Uran</v>
      </c>
    </row>
    <row r="3679" spans="1:6" ht="15.75" customHeight="1">
      <c r="A3679" s="5" t="str">
        <f ca="1">IFERROR(__xludf.DUMMYFUNCTION("GOOGLETRANSLATE(B31922,""en"",""pt"")"),"Uran")</f>
        <v>Uran</v>
      </c>
      <c r="B3679" s="17" t="s">
        <v>13657</v>
      </c>
      <c r="C3679" s="17" t="s">
        <v>10178</v>
      </c>
      <c r="D3679" s="17" t="s">
        <v>10214</v>
      </c>
      <c r="E3679" s="10">
        <v>1253702</v>
      </c>
      <c r="F3679" s="4" t="str">
        <f>IF(B3679=B3678,"",B3679)</f>
        <v/>
      </c>
    </row>
    <row r="3680" spans="1:6" ht="15.75" customHeight="1">
      <c r="A3680" s="6" t="s">
        <v>25755</v>
      </c>
      <c r="B3680" s="6" t="s">
        <v>25755</v>
      </c>
      <c r="C3680" s="6" t="s">
        <v>25560</v>
      </c>
      <c r="D3680" s="6" t="s">
        <v>25604</v>
      </c>
      <c r="E3680" s="2">
        <v>149172</v>
      </c>
      <c r="F3680" s="4" t="str">
        <f>IF(B3680=B3679,"",B3680)</f>
        <v>Urambo</v>
      </c>
    </row>
    <row r="3681" spans="1:6" ht="15.75" customHeight="1">
      <c r="A3681" s="5" t="str">
        <f ca="1">IFERROR(__xludf.DUMMYFUNCTION("GOOGLETRANSLATE(B42291,""en"",""pt"")"),"Urambo")</f>
        <v>Urambo</v>
      </c>
      <c r="B3681" s="17" t="s">
        <v>25755</v>
      </c>
      <c r="C3681" s="17" t="s">
        <v>25560</v>
      </c>
      <c r="D3681" s="17" t="s">
        <v>25604</v>
      </c>
      <c r="E3681" s="10">
        <v>149172</v>
      </c>
      <c r="F3681" s="4" t="str">
        <f>IF(B3681=B3680,"",B3681)</f>
        <v/>
      </c>
    </row>
    <row r="3682" spans="1:6" ht="15.75" customHeight="1">
      <c r="A3682" s="6" t="s">
        <v>25111</v>
      </c>
      <c r="B3682" s="6" t="s">
        <v>25111</v>
      </c>
      <c r="C3682" s="6" t="s">
        <v>25077</v>
      </c>
      <c r="D3682" s="6" t="s">
        <v>25111</v>
      </c>
      <c r="E3682" s="2">
        <v>2666199</v>
      </c>
      <c r="F3682" s="4" t="str">
        <f>IF(B3682=B3681,"",B3682)</f>
        <v>Uppsala</v>
      </c>
    </row>
    <row r="3683" spans="1:6" ht="15.75" customHeight="1">
      <c r="A3683" s="5" t="str">
        <f ca="1">IFERROR(__xludf.DUMMYFUNCTION("GOOGLETRANSLATE(B41132,""en"",""pt"")"),"Uppsala")</f>
        <v>Uppsala</v>
      </c>
      <c r="B3683" s="17" t="s">
        <v>25111</v>
      </c>
      <c r="C3683" s="17" t="s">
        <v>25077</v>
      </c>
      <c r="D3683" s="17" t="s">
        <v>25111</v>
      </c>
      <c r="E3683" s="10">
        <v>2666199</v>
      </c>
      <c r="F3683" s="4" t="str">
        <f>IF(B3683=B3682,"",B3683)</f>
        <v/>
      </c>
    </row>
    <row r="3684" spans="1:6" ht="15.75" customHeight="1">
      <c r="A3684" s="5" t="str">
        <f ca="1">IFERROR(__xludf.DUMMYFUNCTION("GOOGLETRANSLATE(B41133,""en"",""pt"")"),"Upplands Väsby")</f>
        <v>Upplands Väsby</v>
      </c>
      <c r="B3684" s="17" t="s">
        <v>25218</v>
      </c>
      <c r="C3684" s="17" t="s">
        <v>25077</v>
      </c>
      <c r="D3684" s="17" t="s">
        <v>25081</v>
      </c>
      <c r="E3684" s="10">
        <v>2666238</v>
      </c>
      <c r="F3684" s="4" t="str">
        <f>IF(B3684=B3683,"",B3684)</f>
        <v>Upplands Väsby</v>
      </c>
    </row>
    <row r="3685" spans="1:6" ht="15.75" customHeight="1">
      <c r="A3685" s="5" t="s">
        <v>25218</v>
      </c>
      <c r="B3685" s="6" t="s">
        <v>25219</v>
      </c>
      <c r="C3685" s="5" t="s">
        <v>25077</v>
      </c>
      <c r="D3685" s="5" t="s">
        <v>25081</v>
      </c>
      <c r="E3685" s="2">
        <v>2666238</v>
      </c>
      <c r="F3685" s="4" t="str">
        <f>IF(B3685=B3684,"",B3685)</f>
        <v>Upplands VÃ¤sby</v>
      </c>
    </row>
    <row r="3686" spans="1:6" ht="15.75" customHeight="1">
      <c r="A3686" s="5" t="s">
        <v>30254</v>
      </c>
      <c r="B3686" s="6" t="s">
        <v>30255</v>
      </c>
      <c r="C3686" s="5" t="s">
        <v>27788</v>
      </c>
      <c r="D3686" s="5" t="s">
        <v>27836</v>
      </c>
      <c r="E3686" s="2">
        <v>5216895</v>
      </c>
      <c r="F3686" s="4" t="str">
        <f>IF(B3686=B3685,"",B3686)</f>
        <v>Upper Saint Clair</v>
      </c>
    </row>
    <row r="3687" spans="1:6" ht="15.75" customHeight="1">
      <c r="A3687" s="5" t="str">
        <f ca="1">IFERROR(__xludf.DUMMYFUNCTION("GOOGLETRANSLATE(B44596,""en"",""pt"")"),"Clair do São Superior")</f>
        <v>Clair do São Superior</v>
      </c>
      <c r="B3687" s="17" t="s">
        <v>30255</v>
      </c>
      <c r="C3687" s="17" t="s">
        <v>27788</v>
      </c>
      <c r="D3687" s="17" t="s">
        <v>27836</v>
      </c>
      <c r="E3687" s="10">
        <v>5216895</v>
      </c>
      <c r="F3687" s="4" t="str">
        <f>IF(B3687=B3686,"",B3687)</f>
        <v/>
      </c>
    </row>
    <row r="3688" spans="1:6" ht="15.75" customHeight="1">
      <c r="A3688" s="5" t="s">
        <v>19209</v>
      </c>
      <c r="B3688" s="6" t="s">
        <v>19210</v>
      </c>
      <c r="C3688" s="5" t="s">
        <v>19169</v>
      </c>
      <c r="D3688" s="5" t="s">
        <v>13773</v>
      </c>
      <c r="E3688" s="2">
        <v>6244895</v>
      </c>
      <c r="F3688" s="4" t="str">
        <f>IF(B3688=B3687,"",B3688)</f>
        <v>Upper Hutt</v>
      </c>
    </row>
    <row r="3689" spans="1:6" ht="15.75" customHeight="1">
      <c r="A3689" s="5" t="str">
        <f ca="1">IFERROR(__xludf.DUMMYFUNCTION("GOOGLETRANSLATE(B38249,""en"",""pt"")"),"Hutt superior")</f>
        <v>Hutt superior</v>
      </c>
      <c r="B3689" s="17" t="s">
        <v>19210</v>
      </c>
      <c r="C3689" s="17" t="s">
        <v>19169</v>
      </c>
      <c r="D3689" s="17" t="s">
        <v>13773</v>
      </c>
      <c r="E3689" s="10">
        <v>6244895</v>
      </c>
      <c r="F3689" s="4" t="str">
        <f>IF(B3689=B3688,"",B3689)</f>
        <v/>
      </c>
    </row>
    <row r="3690" spans="1:6" ht="15.75" customHeight="1">
      <c r="A3690" s="5" t="s">
        <v>30253</v>
      </c>
      <c r="B3690" s="6" t="s">
        <v>30253</v>
      </c>
      <c r="C3690" s="5" t="s">
        <v>27788</v>
      </c>
      <c r="D3690" s="5" t="s">
        <v>27813</v>
      </c>
      <c r="E3690" s="2">
        <v>4526993</v>
      </c>
      <c r="F3690" s="4" t="str">
        <f>IF(B3690=B3689,"",B3690)</f>
        <v>Upper Arlington</v>
      </c>
    </row>
    <row r="3691" spans="1:6" ht="15.75" customHeight="1">
      <c r="A3691" s="5" t="str">
        <f ca="1">IFERROR(__xludf.DUMMYFUNCTION("GOOGLETRANSLATE(B43531,""en"",""pt"")"),"Upper Arlington")</f>
        <v>Upper Arlington</v>
      </c>
      <c r="B3691" s="17" t="s">
        <v>30253</v>
      </c>
      <c r="C3691" s="17" t="s">
        <v>27788</v>
      </c>
      <c r="D3691" s="17" t="s">
        <v>27813</v>
      </c>
      <c r="E3691" s="10">
        <v>4526993</v>
      </c>
      <c r="F3691" s="4" t="str">
        <f>IF(B3691=B3690,"",B3691)</f>
        <v/>
      </c>
    </row>
    <row r="3692" spans="1:6" ht="15.75" customHeight="1">
      <c r="A3692" s="5" t="s">
        <v>30251</v>
      </c>
      <c r="B3692" s="6" t="s">
        <v>30252</v>
      </c>
      <c r="C3692" s="5" t="s">
        <v>27788</v>
      </c>
      <c r="D3692" s="5" t="s">
        <v>27799</v>
      </c>
      <c r="E3692" s="2">
        <v>4251841</v>
      </c>
      <c r="F3692" s="4" t="str">
        <f>IF(B3692=B3691,"",B3692)</f>
        <v>Upper Alton</v>
      </c>
    </row>
    <row r="3693" spans="1:6" ht="15.75" customHeight="1">
      <c r="A3693" s="5" t="str">
        <f ca="1">IFERROR(__xludf.DUMMYFUNCTION("GOOGLETRANSLATE(B43142,""en"",""pt"")"),"Alton superior")</f>
        <v>Alton superior</v>
      </c>
      <c r="B3693" s="17" t="s">
        <v>30252</v>
      </c>
      <c r="C3693" s="17" t="s">
        <v>27788</v>
      </c>
      <c r="D3693" s="17" t="s">
        <v>27799</v>
      </c>
      <c r="E3693" s="10">
        <v>4251841</v>
      </c>
      <c r="F3693" s="4" t="str">
        <f>IF(B3693=B3692,"",B3693)</f>
        <v/>
      </c>
    </row>
    <row r="3694" spans="1:6" ht="15.75" customHeight="1">
      <c r="A3694" s="5" t="s">
        <v>13656</v>
      </c>
      <c r="B3694" s="6" t="s">
        <v>13656</v>
      </c>
      <c r="C3694" s="5" t="s">
        <v>10178</v>
      </c>
      <c r="D3694" s="5" t="s">
        <v>10187</v>
      </c>
      <c r="E3694" s="2">
        <v>1253744</v>
      </c>
      <c r="F3694" s="4" t="str">
        <f>IF(B3694=B3693,"",B3694)</f>
        <v>Uppal Kalan</v>
      </c>
    </row>
    <row r="3695" spans="1:6" ht="15.75" customHeight="1">
      <c r="A3695" s="5" t="str">
        <f ca="1">IFERROR(__xludf.DUMMYFUNCTION("GOOGLETRANSLATE(B31924,""en"",""pt"")"),"Uppal Kalan")</f>
        <v>Uppal Kalan</v>
      </c>
      <c r="B3695" s="17" t="s">
        <v>13656</v>
      </c>
      <c r="C3695" s="17" t="s">
        <v>10178</v>
      </c>
      <c r="D3695" s="17" t="s">
        <v>10187</v>
      </c>
      <c r="E3695" s="10">
        <v>1253744</v>
      </c>
      <c r="F3695" s="4" t="str">
        <f>IF(B3695=B3694,"",B3695)</f>
        <v/>
      </c>
    </row>
    <row r="3696" spans="1:6" ht="15.75" customHeight="1">
      <c r="A3696" s="6" t="s">
        <v>13654</v>
      </c>
      <c r="B3696" s="6" t="s">
        <v>13655</v>
      </c>
      <c r="C3696" s="6" t="s">
        <v>10178</v>
      </c>
      <c r="D3696" s="6" t="s">
        <v>10209</v>
      </c>
      <c r="E3696" s="2">
        <v>1253736</v>
      </c>
      <c r="F3696" s="4" t="str">
        <f>IF(B3696=B3695,"",B3696)</f>
        <v>Upleta</v>
      </c>
    </row>
    <row r="3697" spans="1:6" ht="15.75" customHeight="1">
      <c r="A3697" s="5" t="str">
        <f ca="1">IFERROR(__xludf.DUMMYFUNCTION("GOOGLETRANSLATE(B31923,""en"",""pt"")"),"UPLETA")</f>
        <v>UPLETA</v>
      </c>
      <c r="B3697" s="17" t="s">
        <v>13655</v>
      </c>
      <c r="C3697" s="17" t="s">
        <v>10178</v>
      </c>
      <c r="D3697" s="17" t="s">
        <v>10209</v>
      </c>
      <c r="E3697" s="10">
        <v>1253736</v>
      </c>
      <c r="F3697" s="4" t="str">
        <f>IF(B3697=B3696,"",B3697)</f>
        <v/>
      </c>
    </row>
    <row r="3698" spans="1:6" ht="15.75" customHeight="1">
      <c r="A3698" s="5" t="s">
        <v>30249</v>
      </c>
      <c r="B3698" s="6" t="s">
        <v>30250</v>
      </c>
      <c r="C3698" s="5" t="s">
        <v>27788</v>
      </c>
      <c r="D3698" s="5" t="s">
        <v>27801</v>
      </c>
      <c r="E3698" s="2">
        <v>5404915</v>
      </c>
      <c r="F3698" s="4" t="str">
        <f>IF(B3698=B3697,"",B3698)</f>
        <v>Upland</v>
      </c>
    </row>
    <row r="3699" spans="1:6" ht="15.75" customHeight="1">
      <c r="A3699" s="5" t="str">
        <f ca="1">IFERROR(__xludf.DUMMYFUNCTION("GOOGLETRANSLATE(B45067,""en"",""pt"")"),"Terras altas")</f>
        <v>Terras altas</v>
      </c>
      <c r="B3699" s="17" t="s">
        <v>30250</v>
      </c>
      <c r="C3699" s="17" t="s">
        <v>27788</v>
      </c>
      <c r="D3699" s="17" t="s">
        <v>27801</v>
      </c>
      <c r="E3699" s="10">
        <v>5404915</v>
      </c>
      <c r="F3699" s="4" t="str">
        <f>IF(B3699=B3698,"",B3699)</f>
        <v/>
      </c>
    </row>
    <row r="3700" spans="1:6" ht="15.75" customHeight="1">
      <c r="A3700" s="6" t="s">
        <v>23999</v>
      </c>
      <c r="B3700" s="6" t="s">
        <v>23999</v>
      </c>
      <c r="C3700" s="6" t="s">
        <v>23842</v>
      </c>
      <c r="D3700" s="6" t="s">
        <v>23879</v>
      </c>
      <c r="E3700" s="2">
        <v>945945</v>
      </c>
      <c r="F3700" s="4" t="str">
        <f>IF(B3700=B3699,"",B3700)</f>
        <v>Upington</v>
      </c>
    </row>
    <row r="3701" spans="1:6" ht="15.75" customHeight="1">
      <c r="A3701" s="5" t="str">
        <f ca="1">IFERROR(__xludf.DUMMYFUNCTION("GOOGLETRANSLATE(B45859,""en"",""pt"")"),"Upington")</f>
        <v>Upington</v>
      </c>
      <c r="B3701" s="17" t="s">
        <v>23999</v>
      </c>
      <c r="C3701" s="17" t="s">
        <v>23842</v>
      </c>
      <c r="D3701" s="17" t="s">
        <v>23879</v>
      </c>
      <c r="E3701" s="10">
        <v>945945</v>
      </c>
      <c r="F3701" s="4" t="str">
        <f>IF(B3701=B3700,"",B3701)</f>
        <v/>
      </c>
    </row>
    <row r="3702" spans="1:6" ht="15.75" customHeight="1">
      <c r="A3702" s="6" t="s">
        <v>30774</v>
      </c>
      <c r="B3702" s="6" t="s">
        <v>30774</v>
      </c>
      <c r="C3702" s="6" t="s">
        <v>5923</v>
      </c>
      <c r="D3702" s="6" t="s">
        <v>5373</v>
      </c>
      <c r="E3702" s="2">
        <v>3625710</v>
      </c>
      <c r="F3702" s="4" t="str">
        <f>IF(B3702=B3701,"",B3702)</f>
        <v>Upata</v>
      </c>
    </row>
    <row r="3703" spans="1:6" ht="15.75" customHeight="1">
      <c r="A3703" s="5" t="str">
        <f ca="1">IFERROR(__xludf.DUMMYFUNCTION("GOOGLETRANSLATE(B45609,""en"",""pt"")"),"Upata")</f>
        <v>Upata</v>
      </c>
      <c r="B3703" s="17" t="s">
        <v>30774</v>
      </c>
      <c r="C3703" s="17" t="s">
        <v>5923</v>
      </c>
      <c r="D3703" s="17" t="s">
        <v>31836</v>
      </c>
      <c r="E3703" s="10">
        <v>3625710</v>
      </c>
      <c r="F3703" s="4" t="str">
        <f>IF(B3703=B3702,"",B3703)</f>
        <v/>
      </c>
    </row>
    <row r="3704" spans="1:6" ht="15.75" customHeight="1">
      <c r="A3704" s="6" t="s">
        <v>16557</v>
      </c>
      <c r="B3704" s="6" t="s">
        <v>16557</v>
      </c>
      <c r="C3704" s="6" t="s">
        <v>15704</v>
      </c>
      <c r="D3704" s="6" t="s">
        <v>15881</v>
      </c>
      <c r="E3704" s="2">
        <v>1849237</v>
      </c>
      <c r="F3704" s="4" t="str">
        <f>IF(B3704=B3703,"",B3704)</f>
        <v>Uozu</v>
      </c>
    </row>
    <row r="3705" spans="1:6" ht="15.75" customHeight="1">
      <c r="A3705" s="5" t="str">
        <f ca="1">IFERROR(__xludf.DUMMYFUNCTION("GOOGLETRANSLATE(B35189,""en"",""pt"")"),"Uozu")</f>
        <v>Uozu</v>
      </c>
      <c r="B3705" s="17" t="s">
        <v>16557</v>
      </c>
      <c r="C3705" s="17" t="s">
        <v>15704</v>
      </c>
      <c r="D3705" s="17" t="s">
        <v>15881</v>
      </c>
      <c r="E3705" s="10">
        <v>1849237</v>
      </c>
      <c r="F3705" s="4" t="str">
        <f>IF(B3705=B3704,"",B3705)</f>
        <v/>
      </c>
    </row>
    <row r="3706" spans="1:6" ht="15.75" customHeight="1">
      <c r="A3706" s="5" t="str">
        <f ca="1">IFERROR(__xludf.DUMMYFUNCTION("GOOGLETRANSLATE(B42099,""en"",""pt"")"),"Ünye")</f>
        <v>Ünye</v>
      </c>
      <c r="B3706" s="17" t="s">
        <v>35916</v>
      </c>
      <c r="C3706" s="17" t="s">
        <v>26201</v>
      </c>
      <c r="D3706" s="17" t="s">
        <v>26321</v>
      </c>
      <c r="E3706" s="10">
        <v>738349</v>
      </c>
      <c r="F3706" s="4" t="str">
        <f>IF(B3706=B3705,"",B3706)</f>
        <v>Ünye</v>
      </c>
    </row>
    <row r="3707" spans="1:6" ht="15.75" customHeight="1">
      <c r="A3707" s="6" t="s">
        <v>23235</v>
      </c>
      <c r="B3707" s="6" t="s">
        <v>23235</v>
      </c>
      <c r="C3707" s="6" t="s">
        <v>22070</v>
      </c>
      <c r="D3707" s="6" t="s">
        <v>22094</v>
      </c>
      <c r="E3707" s="2">
        <v>8504947</v>
      </c>
      <c r="F3707" s="4" t="str">
        <f>IF(B3707=B3706,"",B3707)</f>
        <v>Untolovo</v>
      </c>
    </row>
    <row r="3708" spans="1:6" ht="15.75" customHeight="1">
      <c r="A3708" s="5" t="str">
        <f ca="1">IFERROR(__xludf.DUMMYFUNCTION("GOOGLETRANSLATE(B40984,""en"",""pt"")"),"Untolovo")</f>
        <v>Untolovo</v>
      </c>
      <c r="B3708" s="17" t="s">
        <v>23235</v>
      </c>
      <c r="C3708" s="17" t="s">
        <v>22070</v>
      </c>
      <c r="D3708" s="17" t="s">
        <v>22094</v>
      </c>
      <c r="E3708" s="10">
        <v>8504947</v>
      </c>
      <c r="F3708" s="4" t="str">
        <f>IF(B3708=B3707,"",B3708)</f>
        <v/>
      </c>
    </row>
    <row r="3709" spans="1:6" ht="15.75" customHeight="1">
      <c r="A3709" s="5" t="str">
        <f ca="1">IFERROR(__xludf.DUMMYFUNCTION("GOOGLETRANSLATE(B27459,""en"",""pt"")"),"Unterschleißheim")</f>
        <v>Unterschleißheim</v>
      </c>
      <c r="B3709" s="17" t="s">
        <v>32022</v>
      </c>
      <c r="C3709" s="17" t="s">
        <v>8028</v>
      </c>
      <c r="D3709" s="17" t="s">
        <v>8044</v>
      </c>
      <c r="E3709" s="10">
        <v>2818766</v>
      </c>
      <c r="F3709" s="4" t="str">
        <f>IF(B3709=B3708,"",B3709)</f>
        <v>Unterschleißheim</v>
      </c>
    </row>
    <row r="3710" spans="1:6" ht="15.75" customHeight="1">
      <c r="A3710" s="5" t="s">
        <v>9217</v>
      </c>
      <c r="B3710" s="6" t="s">
        <v>9218</v>
      </c>
      <c r="C3710" s="5" t="s">
        <v>8028</v>
      </c>
      <c r="D3710" s="5" t="s">
        <v>8044</v>
      </c>
      <c r="E3710" s="2">
        <v>2818766</v>
      </c>
      <c r="F3710" s="4" t="str">
        <f>IF(B3710=B3709,"",B3710)</f>
        <v>UnterschleiÃŸheim</v>
      </c>
    </row>
    <row r="3711" spans="1:6" ht="15.75" customHeight="1">
      <c r="A3711" s="5" t="s">
        <v>9216</v>
      </c>
      <c r="B3711" s="6" t="s">
        <v>9216</v>
      </c>
      <c r="C3711" s="5" t="s">
        <v>8028</v>
      </c>
      <c r="D3711" s="5" t="s">
        <v>8031</v>
      </c>
      <c r="E3711" s="2">
        <v>2819974</v>
      </c>
      <c r="F3711" s="4" t="str">
        <f>IF(B3711=B3710,"",B3711)</f>
        <v>Unterkrozingen</v>
      </c>
    </row>
    <row r="3712" spans="1:6" ht="15.75" customHeight="1">
      <c r="A3712" s="5" t="str">
        <f ca="1">IFERROR(__xludf.DUMMYFUNCTION("GOOGLETRANSLATE(B27461,""en"",""pt"")"),"Unterkrozingen")</f>
        <v>Unterkrozingen</v>
      </c>
      <c r="B3712" s="17" t="s">
        <v>9216</v>
      </c>
      <c r="C3712" s="17" t="s">
        <v>8028</v>
      </c>
      <c r="D3712" s="17" t="s">
        <v>32013</v>
      </c>
      <c r="E3712" s="10">
        <v>2819974</v>
      </c>
      <c r="F3712" s="4" t="str">
        <f>IF(B3712=B3711,"",B3712)</f>
        <v/>
      </c>
    </row>
    <row r="3713" spans="1:6" ht="15.75" customHeight="1">
      <c r="A3713" s="5" t="s">
        <v>9215</v>
      </c>
      <c r="B3713" s="6" t="s">
        <v>9215</v>
      </c>
      <c r="C3713" s="5" t="s">
        <v>8028</v>
      </c>
      <c r="D3713" s="5" t="s">
        <v>8044</v>
      </c>
      <c r="E3713" s="2">
        <v>2819465</v>
      </c>
      <c r="F3713" s="4" t="str">
        <f>IF(B3713=B3712,"",B3713)</f>
        <v>Unterhaching</v>
      </c>
    </row>
    <row r="3714" spans="1:6" ht="15.75" customHeight="1">
      <c r="A3714" s="5" t="str">
        <f ca="1">IFERROR(__xludf.DUMMYFUNCTION("GOOGLETRANSLATE(B27460,""en"",""pt"")"),"Unterhaching")</f>
        <v>Unterhaching</v>
      </c>
      <c r="B3714" s="17" t="s">
        <v>9215</v>
      </c>
      <c r="C3714" s="17" t="s">
        <v>8028</v>
      </c>
      <c r="D3714" s="17" t="s">
        <v>8044</v>
      </c>
      <c r="E3714" s="10">
        <v>2819465</v>
      </c>
      <c r="F3714" s="4" t="str">
        <f>IF(B3714=B3713,"",B3714)</f>
        <v/>
      </c>
    </row>
    <row r="3715" spans="1:6" ht="15.75" customHeight="1">
      <c r="A3715" s="5" t="s">
        <v>820</v>
      </c>
      <c r="B3715" s="6" t="s">
        <v>821</v>
      </c>
      <c r="C3715" s="5" t="s">
        <v>558</v>
      </c>
      <c r="D3715" s="5" t="s">
        <v>573</v>
      </c>
      <c r="E3715" s="2">
        <v>3833412</v>
      </c>
      <c r="F3715" s="4" t="str">
        <f>IF(B3715=B3714,"",B3715)</f>
        <v>Unquillo</v>
      </c>
    </row>
    <row r="3716" spans="1:6" ht="15.75" customHeight="1">
      <c r="A3716" s="5" t="str">
        <f ca="1">IFERROR(__xludf.DUMMYFUNCTION("GOOGLETRANSLATE(B23249,""en"",""pt"")"),"UNQUILLO")</f>
        <v>UNQUILLO</v>
      </c>
      <c r="B3716" s="17" t="s">
        <v>821</v>
      </c>
      <c r="C3716" s="17" t="s">
        <v>558</v>
      </c>
      <c r="D3716" s="17" t="s">
        <v>573</v>
      </c>
      <c r="E3716" s="10">
        <v>3833412</v>
      </c>
      <c r="F3716" s="4" t="str">
        <f>IF(B3716=B3715,"",B3716)</f>
        <v/>
      </c>
    </row>
    <row r="3717" spans="1:6" ht="15.75" customHeight="1">
      <c r="A3717" s="5" t="str">
        <f ca="1">IFERROR(__xludf.DUMMYFUNCTION("GOOGLETRANSLATE(B31925,""en"",""pt"")"),"Unnāo")</f>
        <v>Unnāo</v>
      </c>
      <c r="B3717" s="17" t="s">
        <v>32979</v>
      </c>
      <c r="C3717" s="17" t="s">
        <v>10178</v>
      </c>
      <c r="D3717" s="17" t="s">
        <v>10193</v>
      </c>
      <c r="E3717" s="10">
        <v>1253747</v>
      </c>
      <c r="F3717" s="4" t="str">
        <f>IF(B3717=B3716,"",B3717)</f>
        <v>Unnāo</v>
      </c>
    </row>
    <row r="3718" spans="1:6" ht="15.75" customHeight="1">
      <c r="A3718" s="6" t="s">
        <v>13652</v>
      </c>
      <c r="B3718" s="6" t="s">
        <v>13653</v>
      </c>
      <c r="C3718" s="6" t="s">
        <v>10178</v>
      </c>
      <c r="D3718" s="6" t="s">
        <v>10193</v>
      </c>
      <c r="E3718" s="2">
        <v>1253747</v>
      </c>
      <c r="F3718" s="4" t="str">
        <f>IF(B3718=B3717,"",B3718)</f>
        <v>UnnÄo</v>
      </c>
    </row>
    <row r="3719" spans="1:6" ht="15.75" customHeight="1">
      <c r="A3719" s="6" t="s">
        <v>9214</v>
      </c>
      <c r="B3719" s="6" t="s">
        <v>9214</v>
      </c>
      <c r="C3719" s="6" t="s">
        <v>8028</v>
      </c>
      <c r="D3719" s="6" t="s">
        <v>8029</v>
      </c>
      <c r="E3719" s="2">
        <v>2820087</v>
      </c>
      <c r="F3719" s="4" t="str">
        <f>IF(B3719=B3718,"",B3719)</f>
        <v>Unna</v>
      </c>
    </row>
    <row r="3720" spans="1:6" ht="15.75" customHeight="1">
      <c r="A3720" s="5" t="str">
        <f ca="1">IFERROR(__xludf.DUMMYFUNCTION("GOOGLETRANSLATE(B27462,""en"",""pt"")"),"Unna")</f>
        <v>Unna</v>
      </c>
      <c r="B3720" s="17" t="s">
        <v>9214</v>
      </c>
      <c r="C3720" s="17" t="s">
        <v>8028</v>
      </c>
      <c r="D3720" s="17" t="s">
        <v>8029</v>
      </c>
      <c r="E3720" s="10">
        <v>2820087</v>
      </c>
      <c r="F3720" s="4" t="str">
        <f>IF(B3720=B3719,"",B3720)</f>
        <v/>
      </c>
    </row>
    <row r="3721" spans="1:6" ht="15.75" customHeight="1">
      <c r="A3721" s="6" t="s">
        <v>13651</v>
      </c>
      <c r="B3721" s="6" t="s">
        <v>13651</v>
      </c>
      <c r="C3721" s="6" t="s">
        <v>10178</v>
      </c>
      <c r="D3721" s="6" t="s">
        <v>10209</v>
      </c>
      <c r="E3721" s="2">
        <v>1253750</v>
      </c>
      <c r="F3721" s="4" t="str">
        <f>IF(B3721=B3720,"",B3721)</f>
        <v>Unjha</v>
      </c>
    </row>
    <row r="3722" spans="1:6" ht="15.75" customHeight="1">
      <c r="A3722" s="5" t="str">
        <f ca="1">IFERROR(__xludf.DUMMYFUNCTION("GOOGLETRANSLATE(B31926,""en"",""pt"")"),"Unjha")</f>
        <v>Unjha</v>
      </c>
      <c r="B3722" s="17" t="s">
        <v>13651</v>
      </c>
      <c r="C3722" s="17" t="s">
        <v>10178</v>
      </c>
      <c r="D3722" s="17" t="s">
        <v>10209</v>
      </c>
      <c r="E3722" s="10">
        <v>1253750</v>
      </c>
      <c r="F3722" s="4" t="str">
        <f>IF(B3722=B3721,"",B3722)</f>
        <v/>
      </c>
    </row>
    <row r="3723" spans="1:6" ht="15.75" customHeight="1">
      <c r="A3723" s="5" t="s">
        <v>30248</v>
      </c>
      <c r="B3723" s="6" t="s">
        <v>30248</v>
      </c>
      <c r="C3723" s="5" t="s">
        <v>27788</v>
      </c>
      <c r="D3723" s="5" t="s">
        <v>27733</v>
      </c>
      <c r="E3723" s="2">
        <v>5814450</v>
      </c>
      <c r="F3723" s="4" t="str">
        <f>IF(B3723=B3722,"",B3723)</f>
        <v>University Place</v>
      </c>
    </row>
    <row r="3724" spans="1:6" ht="15.75" customHeight="1">
      <c r="A3724" s="5" t="str">
        <f ca="1">IFERROR(__xludf.DUMMYFUNCTION("GOOGLETRANSLATE(B45385,""en"",""pt"")"),"University Place")</f>
        <v>University Place</v>
      </c>
      <c r="B3724" s="17" t="s">
        <v>30248</v>
      </c>
      <c r="C3724" s="17" t="s">
        <v>27788</v>
      </c>
      <c r="D3724" s="17" t="s">
        <v>27733</v>
      </c>
      <c r="E3724" s="10">
        <v>5814450</v>
      </c>
      <c r="F3724" s="4" t="str">
        <f>IF(B3724=B3723,"",B3724)</f>
        <v/>
      </c>
    </row>
    <row r="3725" spans="1:6" ht="15.75" customHeight="1">
      <c r="A3725" s="5" t="s">
        <v>30246</v>
      </c>
      <c r="B3725" s="6" t="s">
        <v>30247</v>
      </c>
      <c r="C3725" s="5" t="s">
        <v>27788</v>
      </c>
      <c r="D3725" s="5" t="s">
        <v>5468</v>
      </c>
      <c r="E3725" s="2">
        <v>4176217</v>
      </c>
      <c r="F3725" s="4" t="str">
        <f>IF(B3725=B3724,"",B3725)</f>
        <v>University Park</v>
      </c>
    </row>
    <row r="3726" spans="1:6" ht="15.75" customHeight="1">
      <c r="A3726" s="5" t="str">
        <f ca="1">IFERROR(__xludf.DUMMYFUNCTION("GOOGLETRANSLATE(B43037,""en"",""pt"")"),"Parque universitário")</f>
        <v>Parque universitário</v>
      </c>
      <c r="B3726" s="17" t="s">
        <v>30247</v>
      </c>
      <c r="C3726" s="17" t="s">
        <v>27788</v>
      </c>
      <c r="D3726" s="17" t="s">
        <v>5468</v>
      </c>
      <c r="E3726" s="10">
        <v>4176217</v>
      </c>
      <c r="F3726" s="4" t="str">
        <f>IF(B3726=B3725,"",B3726)</f>
        <v/>
      </c>
    </row>
    <row r="3727" spans="1:6" ht="15.75" customHeight="1">
      <c r="A3727" s="5" t="s">
        <v>30244</v>
      </c>
      <c r="B3727" s="6" t="s">
        <v>30245</v>
      </c>
      <c r="C3727" s="5" t="s">
        <v>27788</v>
      </c>
      <c r="D3727" s="5" t="s">
        <v>27806</v>
      </c>
      <c r="E3727" s="2">
        <v>4412697</v>
      </c>
      <c r="F3727" s="4" t="str">
        <f>IF(B3727=B3726,"",B3727)</f>
        <v>University City</v>
      </c>
    </row>
    <row r="3728" spans="1:6" ht="15.75" customHeight="1">
      <c r="A3728" s="5" t="str">
        <f ca="1">IFERROR(__xludf.DUMMYFUNCTION("GOOGLETRANSLATE(B43394,""en"",""pt"")"),"Cidade da Universidade")</f>
        <v>Cidade da Universidade</v>
      </c>
      <c r="B3728" s="17" t="s">
        <v>30245</v>
      </c>
      <c r="C3728" s="17" t="s">
        <v>27788</v>
      </c>
      <c r="D3728" s="17" t="s">
        <v>27806</v>
      </c>
      <c r="E3728" s="10">
        <v>4412697</v>
      </c>
      <c r="F3728" s="4" t="str">
        <f>IF(B3728=B3727,"",B3728)</f>
        <v/>
      </c>
    </row>
    <row r="3729" spans="1:6" ht="15.75" customHeight="1">
      <c r="A3729" s="5" t="s">
        <v>30242</v>
      </c>
      <c r="B3729" s="6" t="s">
        <v>30243</v>
      </c>
      <c r="C3729" s="5" t="s">
        <v>27788</v>
      </c>
      <c r="D3729" s="5" t="s">
        <v>5468</v>
      </c>
      <c r="E3729" s="2">
        <v>7260219</v>
      </c>
      <c r="F3729" s="4" t="str">
        <f>IF(B3729=B3728,"",B3729)</f>
        <v>University</v>
      </c>
    </row>
    <row r="3730" spans="1:6" ht="15.75" customHeight="1">
      <c r="A3730" s="5" t="str">
        <f ca="1">IFERROR(__xludf.DUMMYFUNCTION("GOOGLETRANSLATE(B45438,""en"",""pt"")"),"Universidade")</f>
        <v>Universidade</v>
      </c>
      <c r="B3730" s="17" t="s">
        <v>30243</v>
      </c>
      <c r="C3730" s="17" t="s">
        <v>27788</v>
      </c>
      <c r="D3730" s="17" t="s">
        <v>5468</v>
      </c>
      <c r="E3730" s="10">
        <v>7260219</v>
      </c>
      <c r="F3730" s="4" t="str">
        <f>IF(B3730=B3729,"",B3730)</f>
        <v/>
      </c>
    </row>
    <row r="3731" spans="1:6" ht="15.75" customHeight="1">
      <c r="A3731" s="5" t="s">
        <v>30240</v>
      </c>
      <c r="B3731" s="6" t="s">
        <v>30241</v>
      </c>
      <c r="C3731" s="5" t="s">
        <v>27788</v>
      </c>
      <c r="D3731" s="5" t="s">
        <v>27801</v>
      </c>
      <c r="E3731" s="2">
        <v>5404794</v>
      </c>
      <c r="F3731" s="4" t="str">
        <f>IF(B3731=B3730,"",B3731)</f>
        <v>Universal City</v>
      </c>
    </row>
    <row r="3732" spans="1:6" ht="15.75" customHeight="1">
      <c r="A3732" s="5" t="str">
        <f ca="1">IFERROR(__xludf.DUMMYFUNCTION("GOOGLETRANSLATE(B45066,""en"",""pt"")"),"Cidade Universal")</f>
        <v>Cidade Universal</v>
      </c>
      <c r="B3732" s="17" t="s">
        <v>30241</v>
      </c>
      <c r="C3732" s="17" t="s">
        <v>27788</v>
      </c>
      <c r="D3732" s="17" t="s">
        <v>27801</v>
      </c>
      <c r="E3732" s="10">
        <v>5404794</v>
      </c>
      <c r="F3732" s="4" t="str">
        <f>IF(B3732=B3731,"",B3732)</f>
        <v/>
      </c>
    </row>
    <row r="3733" spans="1:6" ht="15.75" customHeight="1">
      <c r="A3733" s="5" t="s">
        <v>30239</v>
      </c>
      <c r="B3733" s="6" t="s">
        <v>30239</v>
      </c>
      <c r="C3733" s="5" t="s">
        <v>27788</v>
      </c>
      <c r="D3733" s="5" t="s">
        <v>27819</v>
      </c>
      <c r="E3733" s="2">
        <v>5141927</v>
      </c>
      <c r="F3733" s="4" t="str">
        <f>IF(B3733=B3732,"",B3733)</f>
        <v>Uniondale</v>
      </c>
    </row>
    <row r="3734" spans="1:6" ht="15.75" customHeight="1">
      <c r="A3734" s="5" t="str">
        <f ca="1">IFERROR(__xludf.DUMMYFUNCTION("GOOGLETRANSLATE(B44460,""en"",""pt"")"),"Uniondale")</f>
        <v>Uniondale</v>
      </c>
      <c r="B3734" s="17" t="s">
        <v>30239</v>
      </c>
      <c r="C3734" s="17" t="s">
        <v>27788</v>
      </c>
      <c r="D3734" s="17" t="s">
        <v>27819</v>
      </c>
      <c r="E3734" s="10">
        <v>5141927</v>
      </c>
      <c r="F3734" s="4" t="str">
        <f>IF(B3734=B3733,"",B3734)</f>
        <v/>
      </c>
    </row>
    <row r="3735" spans="1:6" ht="15.75" customHeight="1">
      <c r="A3735" s="5" t="s">
        <v>30238</v>
      </c>
      <c r="B3735" s="6" t="s">
        <v>30238</v>
      </c>
      <c r="C3735" s="5" t="s">
        <v>27788</v>
      </c>
      <c r="D3735" s="5" t="s">
        <v>27733</v>
      </c>
      <c r="E3735" s="2">
        <v>7262428</v>
      </c>
      <c r="F3735" s="4" t="str">
        <f>IF(B3735=B3734,"",B3735)</f>
        <v>Union Hill-Novelty Hill</v>
      </c>
    </row>
    <row r="3736" spans="1:6" ht="15.75" customHeight="1">
      <c r="A3736" s="5" t="str">
        <f ca="1">IFERROR(__xludf.DUMMYFUNCTION("GOOGLETRANSLATE(B45451,""en"",""pt"")"),"Union Hill-Novelty Hill")</f>
        <v>Union Hill-Novelty Hill</v>
      </c>
      <c r="B3736" s="17" t="s">
        <v>30238</v>
      </c>
      <c r="C3736" s="17" t="s">
        <v>27788</v>
      </c>
      <c r="D3736" s="17" t="s">
        <v>27733</v>
      </c>
      <c r="E3736" s="10">
        <v>7262428</v>
      </c>
      <c r="F3736" s="4" t="str">
        <f>IF(B3736=B3735,"",B3736)</f>
        <v/>
      </c>
    </row>
    <row r="3737" spans="1:6" ht="15.75" customHeight="1">
      <c r="A3737" s="5" t="str">
        <f ca="1">IFERROR(__xludf.DUMMYFUNCTION("GOOGLETRANSLATE(B27109,""en"",""pt"")"),"Unión de Reyes")</f>
        <v>Unión de Reyes</v>
      </c>
      <c r="B3737" s="17" t="s">
        <v>31908</v>
      </c>
      <c r="C3737" s="17" t="s">
        <v>5764</v>
      </c>
      <c r="D3737" s="17" t="s">
        <v>5796</v>
      </c>
      <c r="E3737" s="10">
        <v>3534761</v>
      </c>
      <c r="F3737" s="4" t="str">
        <f>IF(B3737=B3736,"",B3737)</f>
        <v>Unión de Reyes</v>
      </c>
    </row>
    <row r="3738" spans="1:6" ht="15.75" customHeight="1">
      <c r="A3738" s="5" t="s">
        <v>30237</v>
      </c>
      <c r="B3738" s="6" t="s">
        <v>30237</v>
      </c>
      <c r="C3738" s="5" t="s">
        <v>27788</v>
      </c>
      <c r="D3738" s="5" t="s">
        <v>7988</v>
      </c>
      <c r="E3738" s="2">
        <v>4227777</v>
      </c>
      <c r="F3738" s="4" t="str">
        <f>IF(B3738=B3737,"",B3738)</f>
        <v>Union City</v>
      </c>
    </row>
    <row r="3739" spans="1:6" ht="15.75" customHeight="1">
      <c r="A3739" s="5" t="s">
        <v>30237</v>
      </c>
      <c r="B3739" s="6" t="s">
        <v>30237</v>
      </c>
      <c r="C3739" s="5" t="s">
        <v>27788</v>
      </c>
      <c r="D3739" s="5" t="s">
        <v>27905</v>
      </c>
      <c r="E3739" s="2">
        <v>5105634</v>
      </c>
      <c r="F3739" s="4" t="str">
        <f>IF(B3739=B3738,"",B3739)</f>
        <v/>
      </c>
    </row>
    <row r="3740" spans="1:6" ht="15.75" customHeight="1">
      <c r="A3740" s="5" t="s">
        <v>30237</v>
      </c>
      <c r="B3740" s="6" t="s">
        <v>30237</v>
      </c>
      <c r="C3740" s="5" t="s">
        <v>27788</v>
      </c>
      <c r="D3740" s="5" t="s">
        <v>27801</v>
      </c>
      <c r="E3740" s="2">
        <v>5404555</v>
      </c>
      <c r="F3740" s="4" t="str">
        <f>IF(B3740=B3739,"",B3740)</f>
        <v/>
      </c>
    </row>
    <row r="3741" spans="1:6" ht="15.75" customHeight="1">
      <c r="A3741" s="5" t="str">
        <f ca="1">IFERROR(__xludf.DUMMYFUNCTION("GOOGLETRANSLATE(B43118,""en"",""pt"")"),"Union City")</f>
        <v>Union City</v>
      </c>
      <c r="B3741" s="17" t="s">
        <v>30237</v>
      </c>
      <c r="C3741" s="17" t="s">
        <v>27788</v>
      </c>
      <c r="D3741" s="17" t="s">
        <v>7988</v>
      </c>
      <c r="E3741" s="10">
        <v>4227777</v>
      </c>
      <c r="F3741" s="4" t="str">
        <f>IF(B3741=B3740,"",B3741)</f>
        <v/>
      </c>
    </row>
    <row r="3742" spans="1:6" ht="15.75" customHeight="1">
      <c r="A3742" s="5" t="str">
        <f ca="1">IFERROR(__xludf.DUMMYFUNCTION("GOOGLETRANSLATE(B44321,""en"",""pt"")"),"Union City")</f>
        <v>Union City</v>
      </c>
      <c r="B3742" s="17" t="s">
        <v>30237</v>
      </c>
      <c r="C3742" s="17" t="s">
        <v>27788</v>
      </c>
      <c r="D3742" s="17" t="s">
        <v>27905</v>
      </c>
      <c r="E3742" s="10">
        <v>5105634</v>
      </c>
      <c r="F3742" s="4" t="str">
        <f>IF(B3742=B3741,"",B3742)</f>
        <v/>
      </c>
    </row>
    <row r="3743" spans="1:6" ht="15.75" customHeight="1">
      <c r="A3743" s="5" t="str">
        <f ca="1">IFERROR(__xludf.DUMMYFUNCTION("GOOGLETRANSLATE(B45065,""en"",""pt"")"),"Union City")</f>
        <v>Union City</v>
      </c>
      <c r="B3743" s="17" t="s">
        <v>30237</v>
      </c>
      <c r="C3743" s="17" t="s">
        <v>27788</v>
      </c>
      <c r="D3743" s="17" t="s">
        <v>27801</v>
      </c>
      <c r="E3743" s="10">
        <v>5404555</v>
      </c>
      <c r="F3743" s="4" t="str">
        <f>IF(B3743=B3742,"",B3743)</f>
        <v/>
      </c>
    </row>
    <row r="3744" spans="1:6" ht="15.75" customHeight="1">
      <c r="A3744" s="6" t="s">
        <v>30235</v>
      </c>
      <c r="B3744" s="6" t="s">
        <v>30236</v>
      </c>
      <c r="C3744" s="6" t="s">
        <v>27788</v>
      </c>
      <c r="D3744" s="6" t="s">
        <v>27905</v>
      </c>
      <c r="E3744" s="2">
        <v>5105608</v>
      </c>
      <c r="F3744" s="4" t="str">
        <f>IF(B3744=B3743,"",B3744)</f>
        <v>Union</v>
      </c>
    </row>
    <row r="3745" spans="1:6" ht="15.75" customHeight="1">
      <c r="A3745" s="5" t="str">
        <f ca="1">IFERROR(__xludf.DUMMYFUNCTION("GOOGLETRANSLATE(B44320,""en"",""pt"")"),"União")</f>
        <v>União</v>
      </c>
      <c r="B3745" s="17" t="s">
        <v>30236</v>
      </c>
      <c r="C3745" s="17" t="s">
        <v>27788</v>
      </c>
      <c r="D3745" s="17" t="s">
        <v>27905</v>
      </c>
      <c r="E3745" s="10">
        <v>5105608</v>
      </c>
      <c r="F3745" s="4" t="str">
        <f>IF(B3745=B3744,"",B3745)</f>
        <v/>
      </c>
    </row>
    <row r="3746" spans="1:6" ht="15.75" customHeight="1">
      <c r="A3746" s="5" t="str">
        <f ca="1">IFERROR(__xludf.DUMMYFUNCTION("GOOGLETRANSLATE(B24155,""en"",""pt"")"),"União dos Palmares")</f>
        <v>União dos Palmares</v>
      </c>
      <c r="B3746" s="17" t="s">
        <v>31350</v>
      </c>
      <c r="C3746" s="17" t="s">
        <v>1905</v>
      </c>
      <c r="D3746" s="17" t="s">
        <v>2015</v>
      </c>
      <c r="E3746" s="10">
        <v>3385742</v>
      </c>
      <c r="F3746" s="4" t="str">
        <f>IF(B3746=B3745,"",B3746)</f>
        <v>União dos Palmares</v>
      </c>
    </row>
    <row r="3747" spans="1:6" ht="15.75" customHeight="1">
      <c r="A3747" s="5" t="str">
        <f ca="1">IFERROR(__xludf.DUMMYFUNCTION("GOOGLETRANSLATE(B24461,""en"",""pt"")"),"União da Vitória")</f>
        <v>União da Vitória</v>
      </c>
      <c r="B3747" s="17" t="s">
        <v>31437</v>
      </c>
      <c r="C3747" s="17" t="s">
        <v>1905</v>
      </c>
      <c r="D3747" s="17" t="s">
        <v>727</v>
      </c>
      <c r="E3747" s="10">
        <v>3445746</v>
      </c>
      <c r="F3747" s="4" t="str">
        <f>IF(B3747=B3746,"",B3747)</f>
        <v>União da Vitória</v>
      </c>
    </row>
    <row r="3748" spans="1:6" ht="15.75" customHeight="1">
      <c r="A3748" s="5" t="str">
        <f ca="1">IFERROR(__xludf.DUMMYFUNCTION("GOOGLETRANSLATE(B24156,""en"",""pt"")"),"União")</f>
        <v>União</v>
      </c>
      <c r="B3748" s="17" t="s">
        <v>30235</v>
      </c>
      <c r="C3748" s="17" t="s">
        <v>1905</v>
      </c>
      <c r="D3748" s="17" t="s">
        <v>31349</v>
      </c>
      <c r="E3748" s="10">
        <v>3385745</v>
      </c>
      <c r="F3748" s="4" t="str">
        <f>IF(B3748=B3747,"",B3748)</f>
        <v>União</v>
      </c>
    </row>
    <row r="3749" spans="1:6" ht="15.75" customHeight="1">
      <c r="A3749" s="5" t="s">
        <v>5920</v>
      </c>
      <c r="B3749" s="6" t="s">
        <v>5921</v>
      </c>
      <c r="C3749" s="5" t="s">
        <v>5764</v>
      </c>
      <c r="D3749" s="5" t="s">
        <v>5796</v>
      </c>
      <c r="E3749" s="2">
        <v>3534761</v>
      </c>
      <c r="F3749" s="4" t="str">
        <f>IF(B3749=B3748,"",B3749)</f>
        <v>UniÃ³n de Reyes</v>
      </c>
    </row>
    <row r="3750" spans="1:6" ht="15.75" customHeight="1">
      <c r="A3750" s="5" t="s">
        <v>3619</v>
      </c>
      <c r="B3750" s="6" t="s">
        <v>3620</v>
      </c>
      <c r="C3750" s="5" t="s">
        <v>1905</v>
      </c>
      <c r="D3750" s="5" t="s">
        <v>2015</v>
      </c>
      <c r="E3750" s="2">
        <v>3385742</v>
      </c>
      <c r="F3750" s="4" t="str">
        <f>IF(B3750=B3749,"",B3750)</f>
        <v>UniÃ£o dos Palmares</v>
      </c>
    </row>
    <row r="3751" spans="1:6" ht="15.75" customHeight="1">
      <c r="A3751" s="5" t="s">
        <v>3617</v>
      </c>
      <c r="B3751" s="6" t="s">
        <v>3618</v>
      </c>
      <c r="C3751" s="5" t="s">
        <v>1905</v>
      </c>
      <c r="D3751" s="5" t="s">
        <v>728</v>
      </c>
      <c r="E3751" s="2">
        <v>3445746</v>
      </c>
      <c r="F3751" s="4" t="str">
        <f>IF(B3751=B3750,"",B3751)</f>
        <v>UniÃ£o da VitÃ³ria</v>
      </c>
    </row>
    <row r="3752" spans="1:6" ht="15.75" customHeight="1">
      <c r="A3752" s="6" t="s">
        <v>3615</v>
      </c>
      <c r="B3752" s="6" t="s">
        <v>3616</v>
      </c>
      <c r="C3752" s="6" t="s">
        <v>1905</v>
      </c>
      <c r="D3752" s="6" t="s">
        <v>1960</v>
      </c>
      <c r="E3752" s="2">
        <v>3385745</v>
      </c>
      <c r="F3752" s="4" t="str">
        <f>IF(B3752=B3751,"",B3752)</f>
        <v>UniÃ£o</v>
      </c>
    </row>
    <row r="3753" spans="1:6" ht="15.75" customHeight="1">
      <c r="A3753" s="6" t="s">
        <v>13649</v>
      </c>
      <c r="B3753" s="6" t="s">
        <v>13650</v>
      </c>
      <c r="C3753" s="6" t="s">
        <v>10178</v>
      </c>
      <c r="D3753" s="6" t="s">
        <v>10219</v>
      </c>
      <c r="E3753" s="2">
        <v>1253754</v>
      </c>
      <c r="F3753" s="4" t="str">
        <f>IF(B3753=B3752,"",B3753)</f>
        <v>Unhel</v>
      </c>
    </row>
    <row r="3754" spans="1:6" ht="15.75" customHeight="1">
      <c r="A3754" s="5" t="str">
        <f ca="1">IFERROR(__xludf.DUMMYFUNCTION("GOOGLETRANSLATE(B31927,""en"",""pt"")"),"Desfrit")</f>
        <v>Desfrit</v>
      </c>
      <c r="B3754" s="17" t="s">
        <v>13650</v>
      </c>
      <c r="C3754" s="17" t="s">
        <v>10178</v>
      </c>
      <c r="D3754" s="17" t="s">
        <v>10219</v>
      </c>
      <c r="E3754" s="10">
        <v>1253754</v>
      </c>
      <c r="F3754" s="4" t="str">
        <f>IF(B3754=B3753,"",B3754)</f>
        <v/>
      </c>
    </row>
    <row r="3755" spans="1:6" ht="15.75" customHeight="1">
      <c r="A3755" s="6" t="s">
        <v>24158</v>
      </c>
      <c r="B3755" s="6" t="s">
        <v>24158</v>
      </c>
      <c r="C3755" s="6" t="s">
        <v>24024</v>
      </c>
      <c r="D3755" s="6" t="s">
        <v>24040</v>
      </c>
      <c r="E3755" s="2">
        <v>1912205</v>
      </c>
      <c r="F3755" s="4" t="str">
        <f>IF(B3755=B3754,"",B3755)</f>
        <v>Ungsang</v>
      </c>
    </row>
    <row r="3756" spans="1:6" ht="15.75" customHeight="1">
      <c r="A3756" s="5" t="str">
        <f ca="1">IFERROR(__xludf.DUMMYFUNCTION("GOOGLETRANSLATE(B36157,""en"",""pt"")"),"Ungsang")</f>
        <v>Ungsang</v>
      </c>
      <c r="B3756" s="17" t="s">
        <v>24158</v>
      </c>
      <c r="C3756" s="17" t="s">
        <v>24024</v>
      </c>
      <c r="D3756" s="17" t="s">
        <v>24040</v>
      </c>
      <c r="E3756" s="10">
        <v>1912205</v>
      </c>
      <c r="F3756" s="4" t="str">
        <f>IF(B3756=B3755,"",B3756)</f>
        <v/>
      </c>
    </row>
    <row r="3757" spans="1:6" ht="15.75" customHeight="1">
      <c r="A3757" s="6" t="s">
        <v>18490</v>
      </c>
      <c r="B3757" s="6" t="s">
        <v>18490</v>
      </c>
      <c r="C3757" s="6" t="s">
        <v>18455</v>
      </c>
      <c r="D3757" s="6" t="s">
        <v>18490</v>
      </c>
      <c r="E3757" s="2">
        <v>617180</v>
      </c>
      <c r="F3757" s="4" t="str">
        <f>IF(B3757=B3756,"",B3757)</f>
        <v>Ungheni</v>
      </c>
    </row>
    <row r="3758" spans="1:6" ht="15.75" customHeight="1">
      <c r="A3758" s="5" t="str">
        <f ca="1">IFERROR(__xludf.DUMMYFUNCTION("GOOGLETRANSLATE(B36527,""en"",""pt"")"),"Ungheni")</f>
        <v>Ungheni</v>
      </c>
      <c r="B3758" s="17" t="s">
        <v>18490</v>
      </c>
      <c r="C3758" s="17" t="s">
        <v>18455</v>
      </c>
      <c r="D3758" s="17" t="s">
        <v>18490</v>
      </c>
      <c r="E3758" s="10">
        <v>617180</v>
      </c>
      <c r="F3758" s="4" t="str">
        <f>IF(B3758=B3757,"",B3758)</f>
        <v/>
      </c>
    </row>
    <row r="3759" spans="1:6" ht="15.75" customHeight="1">
      <c r="A3759" s="6" t="s">
        <v>14222</v>
      </c>
      <c r="B3759" s="6" t="s">
        <v>14222</v>
      </c>
      <c r="C3759" s="6" t="s">
        <v>13800</v>
      </c>
      <c r="D3759" s="6" t="s">
        <v>13803</v>
      </c>
      <c r="E3759" s="2">
        <v>1622636</v>
      </c>
      <c r="F3759" s="4" t="str">
        <f>IF(B3759=B3758,"",B3759)</f>
        <v>Ungaran</v>
      </c>
    </row>
    <row r="3760" spans="1:6" ht="15.75" customHeight="1">
      <c r="A3760" s="5" t="str">
        <f ca="1">IFERROR(__xludf.DUMMYFUNCTION("GOOGLETRANSLATE(B31397,""en"",""pt"")"),"Ungaran")</f>
        <v>Ungaran</v>
      </c>
      <c r="B3760" s="17" t="s">
        <v>14222</v>
      </c>
      <c r="C3760" s="17" t="s">
        <v>13800</v>
      </c>
      <c r="D3760" s="17" t="s">
        <v>13803</v>
      </c>
      <c r="E3760" s="10">
        <v>1622636</v>
      </c>
      <c r="F3760" s="4" t="str">
        <f>IF(B3760=B3759,"",B3760)</f>
        <v/>
      </c>
    </row>
    <row r="3761" spans="1:6" ht="15.75" customHeight="1">
      <c r="A3761" s="6" t="s">
        <v>23234</v>
      </c>
      <c r="B3761" s="6" t="s">
        <v>23234</v>
      </c>
      <c r="C3761" s="6" t="s">
        <v>22070</v>
      </c>
      <c r="D3761" s="6" t="s">
        <v>22272</v>
      </c>
      <c r="E3761" s="2">
        <v>479028</v>
      </c>
      <c r="F3761" s="4" t="str">
        <f>IF(B3761=B3760,"",B3761)</f>
        <v>Unecha</v>
      </c>
    </row>
    <row r="3762" spans="1:6" ht="15.75" customHeight="1">
      <c r="A3762" s="5" t="str">
        <f ca="1">IFERROR(__xludf.DUMMYFUNCTION("GOOGLETRANSLATE(B40009,""en"",""pt"")"),"Unecha")</f>
        <v>Unecha</v>
      </c>
      <c r="B3762" s="17" t="s">
        <v>23234</v>
      </c>
      <c r="C3762" s="17" t="s">
        <v>22070</v>
      </c>
      <c r="D3762" s="17" t="s">
        <v>22272</v>
      </c>
      <c r="E3762" s="10">
        <v>479028</v>
      </c>
      <c r="F3762" s="4" t="str">
        <f>IF(B3762=B3761,"",B3762)</f>
        <v/>
      </c>
    </row>
    <row r="3763" spans="1:6" ht="15.75" customHeight="1">
      <c r="A3763" s="6" t="s">
        <v>23556</v>
      </c>
      <c r="B3763" s="6" t="s">
        <v>23556</v>
      </c>
      <c r="C3763" s="6" t="s">
        <v>23454</v>
      </c>
      <c r="D3763" s="6" t="s">
        <v>23485</v>
      </c>
      <c r="E3763" s="2">
        <v>8394316</v>
      </c>
      <c r="F3763" s="4" t="str">
        <f>IF(B3763=B3762,"",B3763)</f>
        <v>Unaizah</v>
      </c>
    </row>
    <row r="3764" spans="1:6" ht="15.75" customHeight="1">
      <c r="A3764" s="5" t="str">
        <f ca="1">IFERROR(__xludf.DUMMYFUNCTION("GOOGLETRANSLATE(B41068,""en"",""pt"")"),"Unaizah")</f>
        <v>Unaizah</v>
      </c>
      <c r="B3764" s="17" t="s">
        <v>23556</v>
      </c>
      <c r="C3764" s="17" t="s">
        <v>23454</v>
      </c>
      <c r="D3764" s="17" t="s">
        <v>23485</v>
      </c>
      <c r="E3764" s="10">
        <v>8394316</v>
      </c>
      <c r="F3764" s="4" t="str">
        <f>IF(B3764=B3763,"",B3764)</f>
        <v/>
      </c>
    </row>
    <row r="3765" spans="1:6" ht="15.75" customHeight="1">
      <c r="A3765" s="5" t="str">
        <f ca="1">IFERROR(__xludf.DUMMYFUNCTION("GOOGLETRANSLATE(B24462,""en"",""pt"")"),"Unaí")</f>
        <v>Unaí</v>
      </c>
      <c r="B3765" s="17" t="s">
        <v>31438</v>
      </c>
      <c r="C3765" s="17" t="s">
        <v>1905</v>
      </c>
      <c r="D3765" s="17" t="s">
        <v>1917</v>
      </c>
      <c r="E3765" s="10">
        <v>3445764</v>
      </c>
      <c r="F3765" s="4" t="str">
        <f>IF(B3765=B3764,"",B3765)</f>
        <v>Unaí</v>
      </c>
    </row>
    <row r="3766" spans="1:6" ht="15.75" customHeight="1">
      <c r="A3766" s="6" t="s">
        <v>3613</v>
      </c>
      <c r="B3766" s="6" t="s">
        <v>3614</v>
      </c>
      <c r="C3766" s="6" t="s">
        <v>1905</v>
      </c>
      <c r="D3766" s="6" t="s">
        <v>1917</v>
      </c>
      <c r="E3766" s="2">
        <v>3445764</v>
      </c>
      <c r="F3766" s="4" t="str">
        <f>IF(B3766=B3765,"",B3766)</f>
        <v>UnaÃ­</v>
      </c>
    </row>
    <row r="3767" spans="1:6" ht="15.75" customHeight="1">
      <c r="A3767" s="6" t="s">
        <v>3612</v>
      </c>
      <c r="B3767" s="6" t="s">
        <v>3612</v>
      </c>
      <c r="C3767" s="6" t="s">
        <v>1905</v>
      </c>
      <c r="D3767" s="6" t="s">
        <v>1947</v>
      </c>
      <c r="E3767" s="2">
        <v>3445781</v>
      </c>
      <c r="F3767" s="4" t="str">
        <f>IF(B3767=B3766,"",B3767)</f>
        <v>Una</v>
      </c>
    </row>
    <row r="3768" spans="1:6" ht="15.75" customHeight="1">
      <c r="A3768" s="6" t="s">
        <v>3612</v>
      </c>
      <c r="B3768" s="6" t="s">
        <v>3612</v>
      </c>
      <c r="C3768" s="6" t="s">
        <v>10178</v>
      </c>
      <c r="D3768" s="6" t="s">
        <v>10538</v>
      </c>
      <c r="E3768" s="2">
        <v>1253782</v>
      </c>
      <c r="F3768" s="4" t="str">
        <f>IF(B3768=B3767,"",B3768)</f>
        <v/>
      </c>
    </row>
    <row r="3769" spans="1:6" ht="15.75" customHeight="1">
      <c r="A3769" s="6" t="s">
        <v>3612</v>
      </c>
      <c r="B3769" s="6" t="s">
        <v>3612</v>
      </c>
      <c r="C3769" s="6" t="s">
        <v>10178</v>
      </c>
      <c r="D3769" s="6" t="s">
        <v>10209</v>
      </c>
      <c r="E3769" s="2">
        <v>1253783</v>
      </c>
      <c r="F3769" s="4" t="str">
        <f>IF(B3769=B3768,"",B3769)</f>
        <v/>
      </c>
    </row>
    <row r="3770" spans="1:6" ht="15.75" customHeight="1">
      <c r="A3770" s="5" t="str">
        <f ca="1">IFERROR(__xludf.DUMMYFUNCTION("GOOGLETRANSLATE(B24463,""en"",""pt"")"),"Una")</f>
        <v>Una</v>
      </c>
      <c r="B3770" s="17" t="s">
        <v>3612</v>
      </c>
      <c r="C3770" s="17" t="s">
        <v>1905</v>
      </c>
      <c r="D3770" s="17" t="s">
        <v>1947</v>
      </c>
      <c r="E3770" s="10">
        <v>3445781</v>
      </c>
      <c r="F3770" s="4" t="str">
        <f>IF(B3770=B3769,"",B3770)</f>
        <v/>
      </c>
    </row>
    <row r="3771" spans="1:6" ht="15.75" customHeight="1">
      <c r="A3771" s="5" t="str">
        <f ca="1">IFERROR(__xludf.DUMMYFUNCTION("GOOGLETRANSLATE(B31928,""en"",""pt"")"),"Una")</f>
        <v>Una</v>
      </c>
      <c r="B3771" s="17" t="s">
        <v>3612</v>
      </c>
      <c r="C3771" s="17" t="s">
        <v>10178</v>
      </c>
      <c r="D3771" s="17" t="s">
        <v>10538</v>
      </c>
      <c r="E3771" s="10">
        <v>1253782</v>
      </c>
      <c r="F3771" s="4" t="str">
        <f>IF(B3771=B3770,"",B3771)</f>
        <v/>
      </c>
    </row>
    <row r="3772" spans="1:6" ht="15.75" customHeight="1">
      <c r="A3772" s="5" t="str">
        <f ca="1">IFERROR(__xludf.DUMMYFUNCTION("GOOGLETRANSLATE(B31929,""en"",""pt"")"),"Una")</f>
        <v>Una</v>
      </c>
      <c r="B3772" s="17" t="s">
        <v>3612</v>
      </c>
      <c r="C3772" s="17" t="s">
        <v>10178</v>
      </c>
      <c r="D3772" s="17" t="s">
        <v>10209</v>
      </c>
      <c r="E3772" s="10">
        <v>1253783</v>
      </c>
      <c r="F3772" s="4" t="str">
        <f>IF(B3772=B3771,"",B3772)</f>
        <v/>
      </c>
    </row>
    <row r="3773" spans="1:6" ht="15.75" customHeight="1">
      <c r="A3773" s="5" t="str">
        <f ca="1">IFERROR(__xludf.DUMMYFUNCTION("GOOGLETRANSLATE(B31930,""en"",""pt"")"),"Un")</f>
        <v>Un</v>
      </c>
      <c r="B3773" s="17" t="s">
        <v>32980</v>
      </c>
      <c r="C3773" s="17" t="s">
        <v>10178</v>
      </c>
      <c r="D3773" s="17" t="s">
        <v>10193</v>
      </c>
      <c r="E3773" s="10">
        <v>1253785</v>
      </c>
      <c r="F3773" s="4" t="str">
        <f>IF(B3773=B3772,"",B3773)</f>
        <v>Ūn</v>
      </c>
    </row>
    <row r="3774" spans="1:6" ht="15.75" customHeight="1">
      <c r="A3774" s="6" t="s">
        <v>13648</v>
      </c>
      <c r="B3774" s="6" t="s">
        <v>13648</v>
      </c>
      <c r="C3774" s="6" t="s">
        <v>10178</v>
      </c>
      <c r="D3774" s="6" t="s">
        <v>10209</v>
      </c>
      <c r="E3774" s="2">
        <v>1253786</v>
      </c>
      <c r="F3774" s="4" t="str">
        <f>IF(B3774=B3773,"",B3774)</f>
        <v>Un</v>
      </c>
    </row>
    <row r="3775" spans="1:6" ht="15.75" customHeight="1">
      <c r="A3775" s="5" t="str">
        <f ca="1">IFERROR(__xludf.DUMMYFUNCTION("GOOGLETRANSLATE(B31931,""en"",""pt"")"),"Un")</f>
        <v>Un</v>
      </c>
      <c r="B3775" s="17" t="s">
        <v>13648</v>
      </c>
      <c r="C3775" s="17" t="s">
        <v>10178</v>
      </c>
      <c r="D3775" s="17" t="s">
        <v>10209</v>
      </c>
      <c r="E3775" s="10">
        <v>1253786</v>
      </c>
      <c r="F3775" s="4" t="str">
        <f>IF(B3775=B3774,"",B3775)</f>
        <v/>
      </c>
    </row>
    <row r="3776" spans="1:6" ht="15.75" customHeight="1">
      <c r="A3776" s="5" t="s">
        <v>3611</v>
      </c>
      <c r="B3776" s="6" t="s">
        <v>3611</v>
      </c>
      <c r="C3776" s="5" t="s">
        <v>1905</v>
      </c>
      <c r="D3776" s="5" t="s">
        <v>728</v>
      </c>
      <c r="E3776" s="2">
        <v>3445782</v>
      </c>
      <c r="F3776" s="4" t="str">
        <f>IF(B3776=B3775,"",B3776)</f>
        <v>Umuarama</v>
      </c>
    </row>
    <row r="3777" spans="1:6" ht="15.75" customHeight="1">
      <c r="A3777" s="5" t="str">
        <f ca="1">IFERROR(__xludf.DUMMYFUNCTION("GOOGLETRANSLATE(B24464,""en"",""pt"")"),"Umuarama")</f>
        <v>Umuarama</v>
      </c>
      <c r="B3777" s="17" t="s">
        <v>3611</v>
      </c>
      <c r="C3777" s="17" t="s">
        <v>1905</v>
      </c>
      <c r="D3777" s="17" t="s">
        <v>727</v>
      </c>
      <c r="E3777" s="10">
        <v>3445782</v>
      </c>
      <c r="F3777" s="4" t="str">
        <f>IF(B3777=B3776,"",B3777)</f>
        <v/>
      </c>
    </row>
    <row r="3778" spans="1:6" ht="15.75" customHeight="1">
      <c r="A3778" s="6" t="s">
        <v>19574</v>
      </c>
      <c r="B3778" s="6" t="s">
        <v>19574</v>
      </c>
      <c r="C3778" s="6" t="s">
        <v>19294</v>
      </c>
      <c r="D3778" s="6" t="s">
        <v>19295</v>
      </c>
      <c r="E3778" s="2">
        <v>2320576</v>
      </c>
      <c r="F3778" s="4" t="str">
        <f>IF(B3778=B3777,"",B3778)</f>
        <v>Umuahia</v>
      </c>
    </row>
    <row r="3779" spans="1:6" ht="15.75" customHeight="1">
      <c r="A3779" s="5" t="str">
        <f ca="1">IFERROR(__xludf.DUMMYFUNCTION("GOOGLETRANSLATE(B37618,""en"",""pt"")"),"Umuahia")</f>
        <v>Umuahia</v>
      </c>
      <c r="B3779" s="17" t="s">
        <v>19574</v>
      </c>
      <c r="C3779" s="17" t="s">
        <v>19294</v>
      </c>
      <c r="D3779" s="17" t="s">
        <v>19295</v>
      </c>
      <c r="E3779" s="10">
        <v>2320576</v>
      </c>
      <c r="F3779" s="4" t="str">
        <f>IF(B3779=B3778,"",B3779)</f>
        <v/>
      </c>
    </row>
    <row r="3780" spans="1:6" ht="15.75" customHeight="1">
      <c r="A3780" s="6" t="s">
        <v>13647</v>
      </c>
      <c r="B3780" s="6" t="s">
        <v>13647</v>
      </c>
      <c r="C3780" s="6" t="s">
        <v>10178</v>
      </c>
      <c r="D3780" s="6" t="s">
        <v>10209</v>
      </c>
      <c r="E3780" s="2">
        <v>1253805</v>
      </c>
      <c r="F3780" s="4" t="str">
        <f>IF(B3780=B3779,"",B3780)</f>
        <v>Umreth</v>
      </c>
    </row>
    <row r="3781" spans="1:6" ht="15.75" customHeight="1">
      <c r="A3781" s="5" t="str">
        <f ca="1">IFERROR(__xludf.DUMMYFUNCTION("GOOGLETRANSLATE(B31932,""en"",""pt"")"),"Umreth")</f>
        <v>Umreth</v>
      </c>
      <c r="B3781" s="17" t="s">
        <v>13647</v>
      </c>
      <c r="C3781" s="17" t="s">
        <v>10178</v>
      </c>
      <c r="D3781" s="17" t="s">
        <v>10209</v>
      </c>
      <c r="E3781" s="10">
        <v>1253805</v>
      </c>
      <c r="F3781" s="4" t="str">
        <f>IF(B3781=B3780,"",B3781)</f>
        <v/>
      </c>
    </row>
    <row r="3782" spans="1:6" ht="15.75" customHeight="1">
      <c r="A3782" s="6" t="s">
        <v>13646</v>
      </c>
      <c r="B3782" s="6" t="s">
        <v>13646</v>
      </c>
      <c r="C3782" s="6" t="s">
        <v>10178</v>
      </c>
      <c r="D3782" s="6" t="s">
        <v>10214</v>
      </c>
      <c r="E3782" s="2">
        <v>1253807</v>
      </c>
      <c r="F3782" s="4" t="str">
        <f>IF(B3782=B3781,"",B3782)</f>
        <v>Umred</v>
      </c>
    </row>
    <row r="3783" spans="1:6" ht="15.75" customHeight="1">
      <c r="A3783" s="5" t="str">
        <f ca="1">IFERROR(__xludf.DUMMYFUNCTION("GOOGLETRANSLATE(B31933,""en"",""pt"")"),"Umred")</f>
        <v>Umred</v>
      </c>
      <c r="B3783" s="17" t="s">
        <v>13646</v>
      </c>
      <c r="C3783" s="17" t="s">
        <v>10178</v>
      </c>
      <c r="D3783" s="17" t="s">
        <v>10214</v>
      </c>
      <c r="E3783" s="10">
        <v>1253807</v>
      </c>
      <c r="F3783" s="4" t="str">
        <f>IF(B3783=B3782,"",B3783)</f>
        <v/>
      </c>
    </row>
    <row r="3784" spans="1:6" ht="15.75" customHeight="1">
      <c r="A3784" s="6" t="s">
        <v>26741</v>
      </c>
      <c r="B3784" s="6" t="s">
        <v>26741</v>
      </c>
      <c r="C3784" s="6" t="s">
        <v>26201</v>
      </c>
      <c r="D3784" s="6" t="s">
        <v>26211</v>
      </c>
      <c r="E3784" s="2">
        <v>738377</v>
      </c>
      <c r="F3784" s="4" t="str">
        <f>IF(B3784=B3783,"",B3784)</f>
        <v>Umraniye</v>
      </c>
    </row>
    <row r="3785" spans="1:6" ht="15.75" customHeight="1">
      <c r="A3785" s="5" t="str">
        <f ca="1">IFERROR(__xludf.DUMMYFUNCTION("GOOGLETRANSLATE(B42100,""en"",""pt"")"),"Umraniye")</f>
        <v>Umraniye</v>
      </c>
      <c r="B3785" s="17" t="s">
        <v>26741</v>
      </c>
      <c r="C3785" s="17" t="s">
        <v>26201</v>
      </c>
      <c r="D3785" s="17" t="s">
        <v>26211</v>
      </c>
      <c r="E3785" s="10">
        <v>738377</v>
      </c>
      <c r="F3785" s="4" t="str">
        <f>IF(B3785=B3784,"",B3785)</f>
        <v/>
      </c>
    </row>
    <row r="3786" spans="1:6" ht="15.75" customHeight="1">
      <c r="A3786" s="5" t="str">
        <f ca="1">IFERROR(__xludf.DUMMYFUNCTION("GOOGLETRANSLATE(B39703,""en"",""pt"")"),"Umm şalāl Muḩammad")</f>
        <v>Umm şalāl Muḩammad</v>
      </c>
      <c r="B3786" s="17" t="s">
        <v>35323</v>
      </c>
      <c r="C3786" s="17" t="s">
        <v>21777</v>
      </c>
      <c r="D3786" s="17" t="s">
        <v>35324</v>
      </c>
      <c r="E3786" s="10">
        <v>289523</v>
      </c>
      <c r="F3786" s="4" t="str">
        <f>IF(B3786=B3785,"",B3786)</f>
        <v>Umm Şalāl Muḩammad</v>
      </c>
    </row>
    <row r="3787" spans="1:6" ht="15.75" customHeight="1">
      <c r="A3787" s="5" t="s">
        <v>25058</v>
      </c>
      <c r="B3787" s="6" t="s">
        <v>25058</v>
      </c>
      <c r="C3787" s="5" t="s">
        <v>24987</v>
      </c>
      <c r="D3787" s="5" t="s">
        <v>25015</v>
      </c>
      <c r="E3787" s="2">
        <v>364706</v>
      </c>
      <c r="F3787" s="4" t="str">
        <f>IF(B3787=B3786,"",B3787)</f>
        <v>Umm Ruwaba</v>
      </c>
    </row>
    <row r="3788" spans="1:6" ht="15.75" customHeight="1">
      <c r="A3788" s="5" t="str">
        <f ca="1">IFERROR(__xludf.DUMMYFUNCTION("GOOGLETRANSLATE(B41073,""en"",""pt"")"),"Umm Ruwaba")</f>
        <v>Umm Ruwaba</v>
      </c>
      <c r="B3788" s="17" t="s">
        <v>25058</v>
      </c>
      <c r="C3788" s="17" t="s">
        <v>24987</v>
      </c>
      <c r="D3788" s="17" t="s">
        <v>35604</v>
      </c>
      <c r="E3788" s="10">
        <v>364706</v>
      </c>
      <c r="F3788" s="4" t="str">
        <f>IF(B3788=B3787,"",B3788)</f>
        <v/>
      </c>
    </row>
    <row r="3789" spans="1:6" ht="15.75" customHeight="1">
      <c r="A3789" s="5" t="str">
        <f ca="1">IFERROR(__xludf.DUMMYFUNCTION("GOOGLETRANSLATE(B34273,""en"",""pt"")"),"Umm Qaşr")</f>
        <v>Umm Qaşr</v>
      </c>
      <c r="B3789" s="17" t="s">
        <v>34067</v>
      </c>
      <c r="C3789" s="17" t="s">
        <v>14594</v>
      </c>
      <c r="D3789" s="17" t="s">
        <v>14632</v>
      </c>
      <c r="E3789" s="10">
        <v>89824</v>
      </c>
      <c r="F3789" s="4" t="str">
        <f>IF(B3789=B3788,"",B3789)</f>
        <v>Umm Qaşr</v>
      </c>
    </row>
    <row r="3790" spans="1:6" ht="15.75" customHeight="1">
      <c r="A3790" s="5" t="s">
        <v>14723</v>
      </c>
      <c r="B3790" s="6" t="s">
        <v>14724</v>
      </c>
      <c r="C3790" s="5" t="s">
        <v>14594</v>
      </c>
      <c r="D3790" s="5" t="s">
        <v>14632</v>
      </c>
      <c r="E3790" s="2">
        <v>89824</v>
      </c>
      <c r="F3790" s="4" t="str">
        <f>IF(B3790=B3789,"",B3790)</f>
        <v>Umm QaÅŸr</v>
      </c>
    </row>
    <row r="3791" spans="1:6" ht="15.75" customHeight="1">
      <c r="A3791" s="6" t="s">
        <v>23554</v>
      </c>
      <c r="B3791" s="6" t="s">
        <v>23555</v>
      </c>
      <c r="C3791" s="6" t="s">
        <v>23454</v>
      </c>
      <c r="D3791" s="6" t="s">
        <v>23503</v>
      </c>
      <c r="E3791" s="2">
        <v>100926</v>
      </c>
      <c r="F3791" s="4" t="str">
        <f>IF(B3791=B3790,"",B3791)</f>
        <v>Umm Lajj</v>
      </c>
    </row>
    <row r="3792" spans="1:6" ht="15.75" customHeight="1">
      <c r="A3792" s="5" t="str">
        <f ca="1">IFERROR(__xludf.DUMMYFUNCTION("GOOGLETRANSLATE(B41010,""en"",""pt"")"),"Umm lajj")</f>
        <v>Umm lajj</v>
      </c>
      <c r="B3792" s="17" t="s">
        <v>23555</v>
      </c>
      <c r="C3792" s="17" t="s">
        <v>23454</v>
      </c>
      <c r="D3792" s="17" t="s">
        <v>35569</v>
      </c>
      <c r="E3792" s="10">
        <v>100926</v>
      </c>
      <c r="F3792" s="4" t="str">
        <f>IF(B3792=B3791,"",B3792)</f>
        <v/>
      </c>
    </row>
    <row r="3793" spans="1:6" ht="15.75" customHeight="1">
      <c r="A3793" s="5" t="str">
        <f ca="1">IFERROR(__xludf.DUMMYFUNCTION("GOOGLETRANSLATE(B31761,""en"",""pt"")"),"Umm el faḥm")</f>
        <v>Umm el faḥm</v>
      </c>
      <c r="B3793" s="17" t="s">
        <v>32913</v>
      </c>
      <c r="C3793" s="17" t="s">
        <v>14773</v>
      </c>
      <c r="D3793" s="17" t="s">
        <v>14796</v>
      </c>
      <c r="E3793" s="10">
        <v>293286</v>
      </c>
      <c r="F3793" s="4" t="str">
        <f>IF(B3793=B3792,"",B3793)</f>
        <v>Umm el Faḥm</v>
      </c>
    </row>
    <row r="3794" spans="1:6" ht="15.75" customHeight="1">
      <c r="A3794" s="5" t="s">
        <v>14880</v>
      </c>
      <c r="B3794" s="6" t="s">
        <v>14881</v>
      </c>
      <c r="C3794" s="5" t="s">
        <v>14773</v>
      </c>
      <c r="D3794" s="5" t="s">
        <v>14796</v>
      </c>
      <c r="E3794" s="2">
        <v>293286</v>
      </c>
      <c r="F3794" s="4" t="str">
        <f>IF(B3794=B3793,"",B3794)</f>
        <v>Umm el Faá¸¥m</v>
      </c>
    </row>
    <row r="3795" spans="1:6" ht="15.75" customHeight="1">
      <c r="A3795" s="5" t="s">
        <v>21784</v>
      </c>
      <c r="B3795" s="6" t="s">
        <v>21785</v>
      </c>
      <c r="C3795" s="5" t="s">
        <v>21777</v>
      </c>
      <c r="D3795" s="5" t="s">
        <v>21786</v>
      </c>
      <c r="E3795" s="2">
        <v>289523</v>
      </c>
      <c r="F3795" s="4" t="str">
        <f>IF(B3795=B3794,"",B3795)</f>
        <v>Umm ÅžalÄl Muá¸©ammad</v>
      </c>
    </row>
    <row r="3796" spans="1:6" ht="15.75" customHeight="1">
      <c r="A3796" s="5" t="str">
        <f ca="1">IFERROR(__xludf.DUMMYFUNCTION("GOOGLETRANSLATE(B35123,""en"",""pt"")"),"Umm como Summāq")</f>
        <v>Umm como Summāq</v>
      </c>
      <c r="B3796" s="17" t="s">
        <v>34278</v>
      </c>
      <c r="C3796" s="17" t="s">
        <v>16624</v>
      </c>
      <c r="D3796" s="17" t="s">
        <v>16635</v>
      </c>
      <c r="E3796" s="10">
        <v>246314</v>
      </c>
      <c r="F3796" s="4" t="str">
        <f>IF(B3796=B3795,"",B3796)</f>
        <v>Umm as Summāq</v>
      </c>
    </row>
    <row r="3797" spans="1:6" ht="15.75" customHeight="1">
      <c r="A3797" s="5" t="s">
        <v>16666</v>
      </c>
      <c r="B3797" s="6" t="s">
        <v>16667</v>
      </c>
      <c r="C3797" s="5" t="s">
        <v>16624</v>
      </c>
      <c r="D3797" s="5" t="s">
        <v>16635</v>
      </c>
      <c r="E3797" s="2">
        <v>246314</v>
      </c>
      <c r="F3797" s="4" t="str">
        <f>IF(B3797=B3796,"",B3797)</f>
        <v>Umm as SummÄq</v>
      </c>
    </row>
    <row r="3798" spans="1:6" ht="15.75" customHeight="1">
      <c r="A3798" s="5" t="s">
        <v>27232</v>
      </c>
      <c r="B3798" s="6" t="s">
        <v>27232</v>
      </c>
      <c r="C3798" s="5" t="s">
        <v>27213</v>
      </c>
      <c r="D3798" s="5" t="s">
        <v>27232</v>
      </c>
      <c r="E3798" s="2">
        <v>290594</v>
      </c>
      <c r="F3798" s="4" t="str">
        <f>IF(B3798=B3797,"",B3798)</f>
        <v>Umm al Qaywayn</v>
      </c>
    </row>
    <row r="3799" spans="1:6" ht="15.75" customHeight="1">
      <c r="A3799" s="5" t="str">
        <f ca="1">IFERROR(__xludf.DUMMYFUNCTION("GOOGLETRANSLATE(B23041,""en"",""pt"")"),"Umm al Qaywayn")</f>
        <v>Umm al Qaywayn</v>
      </c>
      <c r="B3799" s="17" t="s">
        <v>27232</v>
      </c>
      <c r="C3799" s="17" t="s">
        <v>27213</v>
      </c>
      <c r="D3799" s="17" t="s">
        <v>27232</v>
      </c>
      <c r="E3799" s="10">
        <v>290594</v>
      </c>
      <c r="F3799" s="4" t="str">
        <f>IF(B3799=B3798,"",B3799)</f>
        <v/>
      </c>
    </row>
    <row r="3800" spans="1:6" ht="15.75" customHeight="1">
      <c r="A3800" s="5" t="s">
        <v>23998</v>
      </c>
      <c r="B3800" s="6" t="s">
        <v>23998</v>
      </c>
      <c r="C3800" s="5" t="s">
        <v>23842</v>
      </c>
      <c r="D3800" s="5" t="s">
        <v>23851</v>
      </c>
      <c r="E3800" s="2">
        <v>946128</v>
      </c>
      <c r="F3800" s="4" t="str">
        <f>IF(B3800=B3799,"",B3800)</f>
        <v>Umkomaas</v>
      </c>
    </row>
    <row r="3801" spans="1:6" ht="15.75" customHeight="1">
      <c r="A3801" s="5" t="str">
        <f ca="1">IFERROR(__xludf.DUMMYFUNCTION("GOOGLETRANSLATE(B45861,""en"",""pt"")"),"Umkomaas")</f>
        <v>Umkomaas</v>
      </c>
      <c r="B3801" s="17" t="s">
        <v>23998</v>
      </c>
      <c r="C3801" s="17" t="s">
        <v>23842</v>
      </c>
      <c r="D3801" s="17" t="s">
        <v>23851</v>
      </c>
      <c r="E3801" s="10">
        <v>946128</v>
      </c>
      <c r="F3801" s="4" t="str">
        <f>IF(B3801=B3800,"",B3801)</f>
        <v/>
      </c>
    </row>
    <row r="3802" spans="1:6" ht="15.75" customHeight="1">
      <c r="A3802" s="6" t="s">
        <v>1102</v>
      </c>
      <c r="B3802" s="6" t="s">
        <v>1102</v>
      </c>
      <c r="C3802" s="6" t="s">
        <v>885</v>
      </c>
      <c r="D3802" s="6" t="s">
        <v>891</v>
      </c>
      <c r="E3802" s="2">
        <v>2208313</v>
      </c>
      <c r="F3802" s="4" t="str">
        <f>IF(B3802=B3801,"",B3802)</f>
        <v>Umina</v>
      </c>
    </row>
    <row r="3803" spans="1:6" ht="15.75" customHeight="1">
      <c r="A3803" s="5" t="str">
        <f ca="1">IFERROR(__xludf.DUMMYFUNCTION("GOOGLETRANSLATE(B23573,""en"",""pt"")"),"Umina")</f>
        <v>Umina</v>
      </c>
      <c r="B3803" s="17" t="s">
        <v>1102</v>
      </c>
      <c r="C3803" s="17" t="s">
        <v>885</v>
      </c>
      <c r="D3803" s="17" t="s">
        <v>891</v>
      </c>
      <c r="E3803" s="10">
        <v>2208313</v>
      </c>
      <c r="F3803" s="4" t="str">
        <f>IF(B3803=B3802,"",B3803)</f>
        <v/>
      </c>
    </row>
    <row r="3804" spans="1:6" ht="15.75" customHeight="1">
      <c r="A3804" s="6" t="s">
        <v>16556</v>
      </c>
      <c r="B3804" s="6" t="s">
        <v>16556</v>
      </c>
      <c r="C3804" s="6" t="s">
        <v>15704</v>
      </c>
      <c r="D3804" s="6" t="s">
        <v>15722</v>
      </c>
      <c r="E3804" s="2">
        <v>1849299</v>
      </c>
      <c r="F3804" s="4" t="str">
        <f>IF(B3804=B3803,"",B3804)</f>
        <v>Umi</v>
      </c>
    </row>
    <row r="3805" spans="1:6" ht="15.75" customHeight="1">
      <c r="A3805" s="5" t="str">
        <f ca="1">IFERROR(__xludf.DUMMYFUNCTION("GOOGLETRANSLATE(B35190,""en"",""pt"")"),"Umi")</f>
        <v>Umi</v>
      </c>
      <c r="B3805" s="17" t="s">
        <v>16556</v>
      </c>
      <c r="C3805" s="17" t="s">
        <v>15704</v>
      </c>
      <c r="D3805" s="17" t="s">
        <v>15722</v>
      </c>
      <c r="E3805" s="10">
        <v>1849299</v>
      </c>
      <c r="F3805" s="4" t="str">
        <f>IF(B3805=B3804,"",B3805)</f>
        <v/>
      </c>
    </row>
    <row r="3806" spans="1:6" ht="15.75" customHeight="1">
      <c r="A3806" s="6" t="s">
        <v>25216</v>
      </c>
      <c r="B3806" s="6" t="s">
        <v>25217</v>
      </c>
      <c r="C3806" s="6" t="s">
        <v>25077</v>
      </c>
      <c r="D3806" s="6" t="s">
        <v>25202</v>
      </c>
      <c r="E3806" s="2">
        <v>602150</v>
      </c>
      <c r="F3806" s="4" t="str">
        <f>IF(B3806=B3805,"",B3806)</f>
        <v>UmeÃ¥</v>
      </c>
    </row>
    <row r="3807" spans="1:6" ht="15.75" customHeight="1">
      <c r="A3807" s="5" t="str">
        <f ca="1">IFERROR(__xludf.DUMMYFUNCTION("GOOGLETRANSLATE(B41117,""en"",""pt"")"),"Umeå")</f>
        <v>Umeå</v>
      </c>
      <c r="B3807" s="17" t="s">
        <v>35619</v>
      </c>
      <c r="C3807" s="17" t="s">
        <v>25077</v>
      </c>
      <c r="D3807" s="17" t="s">
        <v>35620</v>
      </c>
      <c r="E3807" s="10">
        <v>602150</v>
      </c>
      <c r="F3807" s="4" t="str">
        <f>IF(B3807=B3806,"",B3807)</f>
        <v>Umeå</v>
      </c>
    </row>
    <row r="3808" spans="1:6" ht="15.75" customHeight="1">
      <c r="A3808" s="6" t="s">
        <v>13644</v>
      </c>
      <c r="B3808" s="6" t="s">
        <v>13645</v>
      </c>
      <c r="C3808" s="6" t="s">
        <v>10178</v>
      </c>
      <c r="D3808" s="6" t="s">
        <v>10272</v>
      </c>
      <c r="E3808" s="2">
        <v>1253860</v>
      </c>
      <c r="F3808" s="4" t="str">
        <f>IF(B3808=B3807,"",B3808)</f>
        <v>Umarkot</v>
      </c>
    </row>
    <row r="3809" spans="1:6" ht="15.75" customHeight="1">
      <c r="A3809" s="6" t="s">
        <v>13644</v>
      </c>
      <c r="B3809" s="6" t="s">
        <v>13645</v>
      </c>
      <c r="C3809" s="6" t="s">
        <v>19808</v>
      </c>
      <c r="D3809" s="6" t="s">
        <v>19823</v>
      </c>
      <c r="E3809" s="2">
        <v>1162959</v>
      </c>
      <c r="F3809" s="4" t="str">
        <f>IF(B3809=B3808,"",B3809)</f>
        <v/>
      </c>
    </row>
    <row r="3810" spans="1:6" ht="15.75" customHeight="1">
      <c r="A3810" s="5" t="str">
        <f ca="1">IFERROR(__xludf.DUMMYFUNCTION("GOOGLETRANSLATE(B31934,""en"",""pt"")"),"Umkot")</f>
        <v>Umkot</v>
      </c>
      <c r="B3810" s="17" t="s">
        <v>13645</v>
      </c>
      <c r="C3810" s="17" t="s">
        <v>10178</v>
      </c>
      <c r="D3810" s="17" t="s">
        <v>10272</v>
      </c>
      <c r="E3810" s="10">
        <v>1253860</v>
      </c>
      <c r="F3810" s="4" t="str">
        <f>IF(B3810=B3809,"",B3810)</f>
        <v/>
      </c>
    </row>
    <row r="3811" spans="1:6" ht="15.75" customHeight="1">
      <c r="A3811" s="5" t="str">
        <f ca="1">IFERROR(__xludf.DUMMYFUNCTION("GOOGLETRANSLATE(B38879,""en"",""pt"")"),"Umkot")</f>
        <v>Umkot</v>
      </c>
      <c r="B3811" s="17" t="s">
        <v>13645</v>
      </c>
      <c r="C3811" s="17" t="s">
        <v>19808</v>
      </c>
      <c r="D3811" s="17" t="s">
        <v>19823</v>
      </c>
      <c r="E3811" s="10">
        <v>1162959</v>
      </c>
      <c r="F3811" s="4" t="str">
        <f>IF(B3811=B3810,"",B3811)</f>
        <v/>
      </c>
    </row>
    <row r="3812" spans="1:6" ht="15.75" customHeight="1">
      <c r="A3812" s="5" t="s">
        <v>13643</v>
      </c>
      <c r="B3812" s="6" t="s">
        <v>13643</v>
      </c>
      <c r="C3812" s="5" t="s">
        <v>10178</v>
      </c>
      <c r="D3812" s="5" t="s">
        <v>10214</v>
      </c>
      <c r="E3812" s="2">
        <v>1253861</v>
      </c>
      <c r="F3812" s="4" t="str">
        <f>IF(B3812=B3811,"",B3812)</f>
        <v>Umarkhed</v>
      </c>
    </row>
    <row r="3813" spans="1:6" ht="15.75" customHeight="1">
      <c r="A3813" s="5" t="str">
        <f ca="1">IFERROR(__xludf.DUMMYFUNCTION("GOOGLETRANSLATE(B31935,""en"",""pt"")"),"Umarkhed")</f>
        <v>Umarkhed</v>
      </c>
      <c r="B3813" s="17" t="s">
        <v>13643</v>
      </c>
      <c r="C3813" s="17" t="s">
        <v>10178</v>
      </c>
      <c r="D3813" s="17" t="s">
        <v>10214</v>
      </c>
      <c r="E3813" s="10">
        <v>1253861</v>
      </c>
      <c r="F3813" s="4" t="str">
        <f>IF(B3813=B3812,"",B3813)</f>
        <v/>
      </c>
    </row>
    <row r="3814" spans="1:6" ht="15.75" customHeight="1">
      <c r="A3814" s="6" t="s">
        <v>13642</v>
      </c>
      <c r="B3814" s="6" t="s">
        <v>13642</v>
      </c>
      <c r="C3814" s="6" t="s">
        <v>10178</v>
      </c>
      <c r="D3814" s="6" t="s">
        <v>10219</v>
      </c>
      <c r="E3814" s="2">
        <v>1253863</v>
      </c>
      <c r="F3814" s="4" t="str">
        <f>IF(B3814=B3813,"",B3814)</f>
        <v>Umaria</v>
      </c>
    </row>
    <row r="3815" spans="1:6" ht="15.75" customHeight="1">
      <c r="A3815" s="5" t="str">
        <f ca="1">IFERROR(__xludf.DUMMYFUNCTION("GOOGLETRANSLATE(B31936,""en"",""pt"")"),"Umaria")</f>
        <v>Umaria</v>
      </c>
      <c r="B3815" s="17" t="s">
        <v>13642</v>
      </c>
      <c r="C3815" s="17" t="s">
        <v>10178</v>
      </c>
      <c r="D3815" s="17" t="s">
        <v>10219</v>
      </c>
      <c r="E3815" s="10">
        <v>1253863</v>
      </c>
      <c r="F3815" s="4" t="str">
        <f>IF(B3815=B3814,"",B3815)</f>
        <v/>
      </c>
    </row>
    <row r="3816" spans="1:6" ht="15.75" customHeight="1">
      <c r="A3816" s="6" t="s">
        <v>13641</v>
      </c>
      <c r="B3816" s="6" t="s">
        <v>13641</v>
      </c>
      <c r="C3816" s="6" t="s">
        <v>10178</v>
      </c>
      <c r="D3816" s="6" t="s">
        <v>10214</v>
      </c>
      <c r="E3816" s="2">
        <v>1253870</v>
      </c>
      <c r="F3816" s="4" t="str">
        <f>IF(B3816=B3815,"",B3816)</f>
        <v>Umarga</v>
      </c>
    </row>
    <row r="3817" spans="1:6" ht="15.75" customHeight="1">
      <c r="A3817" s="5" t="str">
        <f ca="1">IFERROR(__xludf.DUMMYFUNCTION("GOOGLETRANSLATE(B31937,""en"",""pt"")"),"Umarga")</f>
        <v>Umarga</v>
      </c>
      <c r="B3817" s="17" t="s">
        <v>13641</v>
      </c>
      <c r="C3817" s="17" t="s">
        <v>10178</v>
      </c>
      <c r="D3817" s="17" t="s">
        <v>10214</v>
      </c>
      <c r="E3817" s="10">
        <v>1253870</v>
      </c>
      <c r="F3817" s="4" t="str">
        <f>IF(B3817=B3816,"",B3817)</f>
        <v/>
      </c>
    </row>
    <row r="3818" spans="1:6" ht="15.75" customHeight="1">
      <c r="A3818" s="5" t="s">
        <v>27176</v>
      </c>
      <c r="B3818" s="6" t="s">
        <v>27177</v>
      </c>
      <c r="C3818" s="5" t="s">
        <v>26870</v>
      </c>
      <c r="D3818" s="5" t="s">
        <v>26925</v>
      </c>
      <c r="E3818" s="2">
        <v>690688</v>
      </c>
      <c r="F3818" s="4" t="str">
        <f>IF(B3818=B3817,"",B3818)</f>
        <v>Umanâ€™</v>
      </c>
    </row>
    <row r="3819" spans="1:6" ht="15.75" customHeight="1">
      <c r="A3819" s="5" t="str">
        <f ca="1">IFERROR(__xludf.DUMMYFUNCTION("GOOGLETRANSLATE(B42498,""en"",""pt"")"),"Um '")</f>
        <v>Um '</v>
      </c>
      <c r="B3819" s="17" t="s">
        <v>35984</v>
      </c>
      <c r="C3819" s="17" t="s">
        <v>26870</v>
      </c>
      <c r="D3819" s="17" t="s">
        <v>26925</v>
      </c>
      <c r="E3819" s="10">
        <v>690688</v>
      </c>
      <c r="F3819" s="4" t="str">
        <f>IF(B3819=B3818,"",B3819)</f>
        <v>Uman’</v>
      </c>
    </row>
    <row r="3820" spans="1:6" ht="15.75" customHeight="1">
      <c r="A3820" s="6" t="s">
        <v>18391</v>
      </c>
      <c r="B3820" s="6" t="s">
        <v>18392</v>
      </c>
      <c r="C3820" s="6" t="s">
        <v>17707</v>
      </c>
      <c r="D3820" s="6" t="s">
        <v>17823</v>
      </c>
      <c r="E3820" s="2">
        <v>3514929</v>
      </c>
      <c r="F3820" s="4" t="str">
        <f>IF(B3820=B3819,"",B3820)</f>
        <v>Uman</v>
      </c>
    </row>
    <row r="3821" spans="1:6" ht="15.75" customHeight="1">
      <c r="A3821" s="5" t="str">
        <f ca="1">IFERROR(__xludf.DUMMYFUNCTION("GOOGLETRANSLATE(B36865,""en"",""pt"")"),"Umman")</f>
        <v>Umman</v>
      </c>
      <c r="B3821" s="17" t="s">
        <v>18392</v>
      </c>
      <c r="C3821" s="17" t="s">
        <v>17707</v>
      </c>
      <c r="D3821" s="17" t="s">
        <v>34661</v>
      </c>
      <c r="E3821" s="10">
        <v>3514929</v>
      </c>
      <c r="F3821" s="4" t="str">
        <f>IF(B3821=B3820,"",B3821)</f>
        <v/>
      </c>
    </row>
    <row r="3822" spans="1:6" ht="15.75" customHeight="1">
      <c r="A3822" s="5" t="s">
        <v>22195</v>
      </c>
      <c r="B3822" s="6" t="s">
        <v>22195</v>
      </c>
      <c r="C3822" s="5" t="s">
        <v>22070</v>
      </c>
      <c r="D3822" s="5" t="s">
        <v>22195</v>
      </c>
      <c r="E3822" s="2">
        <v>479123</v>
      </c>
      <c r="F3822" s="4" t="str">
        <f>IF(B3822=B3821,"",B3822)</f>
        <v>Ulyanovsk</v>
      </c>
    </row>
    <row r="3823" spans="1:6" ht="15.75" customHeight="1">
      <c r="A3823" s="5" t="str">
        <f ca="1">IFERROR(__xludf.DUMMYFUNCTION("GOOGLETRANSLATE(B40010,""en"",""pt"")"),"Ulyanovsk")</f>
        <v>Ulyanovsk</v>
      </c>
      <c r="B3823" s="17" t="s">
        <v>22195</v>
      </c>
      <c r="C3823" s="17" t="s">
        <v>22070</v>
      </c>
      <c r="D3823" s="17" t="s">
        <v>22195</v>
      </c>
      <c r="E3823" s="10">
        <v>479123</v>
      </c>
      <c r="F3823" s="4" t="str">
        <f>IF(B3823=B3822,"",B3823)</f>
        <v/>
      </c>
    </row>
    <row r="3824" spans="1:6" ht="15.75" customHeight="1">
      <c r="A3824" s="6" t="s">
        <v>23997</v>
      </c>
      <c r="B3824" s="6" t="s">
        <v>23997</v>
      </c>
      <c r="C3824" s="6" t="s">
        <v>23842</v>
      </c>
      <c r="D3824" s="6" t="s">
        <v>23851</v>
      </c>
      <c r="E3824" s="2">
        <v>946257</v>
      </c>
      <c r="F3824" s="4" t="str">
        <f>IF(B3824=B3823,"",B3824)</f>
        <v>Ulundi</v>
      </c>
    </row>
    <row r="3825" spans="1:6" ht="15.75" customHeight="1">
      <c r="A3825" s="5" t="str">
        <f ca="1">IFERROR(__xludf.DUMMYFUNCTION("GOOGLETRANSLATE(B45862,""en"",""pt"")"),"Ulundi")</f>
        <v>Ulundi</v>
      </c>
      <c r="B3825" s="17" t="s">
        <v>23997</v>
      </c>
      <c r="C3825" s="17" t="s">
        <v>23842</v>
      </c>
      <c r="D3825" s="17" t="s">
        <v>23851</v>
      </c>
      <c r="E3825" s="10">
        <v>946257</v>
      </c>
      <c r="F3825" s="4" t="str">
        <f>IF(B3825=B3824,"",B3825)</f>
        <v/>
      </c>
    </row>
    <row r="3826" spans="1:6" ht="15.75" customHeight="1">
      <c r="A3826" s="6" t="s">
        <v>17588</v>
      </c>
      <c r="B3826" s="6" t="s">
        <v>17588</v>
      </c>
      <c r="C3826" s="6" t="s">
        <v>17432</v>
      </c>
      <c r="D3826" s="6" t="s">
        <v>17442</v>
      </c>
      <c r="E3826" s="2">
        <v>1738294</v>
      </c>
      <c r="F3826" s="4" t="str">
        <f>IF(B3826=B3825,"",B3826)</f>
        <v>Ulu Tiram</v>
      </c>
    </row>
    <row r="3827" spans="1:6" ht="15.75" customHeight="1">
      <c r="A3827" s="5" t="str">
        <f ca="1">IFERROR(__xludf.DUMMYFUNCTION("GOOGLETRANSLATE(B37511,""en"",""pt"")"),"Ulu Tiram")</f>
        <v>Ulu Tiram</v>
      </c>
      <c r="B3827" s="17" t="s">
        <v>17588</v>
      </c>
      <c r="C3827" s="17" t="s">
        <v>17432</v>
      </c>
      <c r="D3827" s="17" t="s">
        <v>17442</v>
      </c>
      <c r="E3827" s="10">
        <v>1738294</v>
      </c>
      <c r="F3827" s="4" t="str">
        <f>IF(B3827=B3826,"",B3827)</f>
        <v/>
      </c>
    </row>
    <row r="3828" spans="1:6" ht="15.75" customHeight="1">
      <c r="A3828" s="6" t="s">
        <v>24157</v>
      </c>
      <c r="B3828" s="6" t="s">
        <v>24157</v>
      </c>
      <c r="C3828" s="6" t="s">
        <v>24024</v>
      </c>
      <c r="D3828" s="6" t="s">
        <v>24157</v>
      </c>
      <c r="E3828" s="2">
        <v>1833747</v>
      </c>
      <c r="F3828" s="4" t="str">
        <f>IF(B3828=B3827,"",B3828)</f>
        <v>Ulsan</v>
      </c>
    </row>
    <row r="3829" spans="1:6" ht="15.75" customHeight="1">
      <c r="A3829" s="5" t="str">
        <f ca="1">IFERROR(__xludf.DUMMYFUNCTION("GOOGLETRANSLATE(B36062,""en"",""pt"")"),"Ulsan")</f>
        <v>Ulsan</v>
      </c>
      <c r="B3829" s="17" t="s">
        <v>24157</v>
      </c>
      <c r="C3829" s="17" t="s">
        <v>24024</v>
      </c>
      <c r="D3829" s="17" t="s">
        <v>24157</v>
      </c>
      <c r="E3829" s="10">
        <v>1833747</v>
      </c>
      <c r="F3829" s="4" t="str">
        <f>IF(B3829=B3828,"",B3829)</f>
        <v/>
      </c>
    </row>
    <row r="3830" spans="1:6" ht="15.75" customHeight="1">
      <c r="A3830" s="6" t="s">
        <v>9213</v>
      </c>
      <c r="B3830" s="6" t="s">
        <v>9213</v>
      </c>
      <c r="C3830" s="6" t="s">
        <v>8028</v>
      </c>
      <c r="D3830" s="6" t="s">
        <v>8031</v>
      </c>
      <c r="E3830" s="2">
        <v>2820256</v>
      </c>
      <c r="F3830" s="4" t="str">
        <f>IF(B3830=B3829,"",B3830)</f>
        <v>Ulm</v>
      </c>
    </row>
    <row r="3831" spans="1:6" ht="15.75" customHeight="1">
      <c r="A3831" s="5" t="str">
        <f ca="1">IFERROR(__xludf.DUMMYFUNCTION("GOOGLETRANSLATE(B27463,""en"",""pt"")"),"Ulm")</f>
        <v>Ulm</v>
      </c>
      <c r="B3831" s="17" t="s">
        <v>9213</v>
      </c>
      <c r="C3831" s="17" t="s">
        <v>8028</v>
      </c>
      <c r="D3831" s="17" t="s">
        <v>32013</v>
      </c>
      <c r="E3831" s="10">
        <v>2820256</v>
      </c>
      <c r="F3831" s="4" t="str">
        <f>IF(B3831=B3830,"",B3831)</f>
        <v/>
      </c>
    </row>
    <row r="3832" spans="1:6" ht="15.75" customHeight="1">
      <c r="A3832" s="6" t="s">
        <v>13640</v>
      </c>
      <c r="B3832" s="6" t="s">
        <v>13640</v>
      </c>
      <c r="C3832" s="6" t="s">
        <v>10178</v>
      </c>
      <c r="D3832" s="6" t="s">
        <v>10252</v>
      </c>
      <c r="E3832" s="2">
        <v>1253888</v>
      </c>
      <c r="F3832" s="4" t="str">
        <f>IF(B3832=B3831,"",B3832)</f>
        <v>Ullal</v>
      </c>
    </row>
    <row r="3833" spans="1:6" ht="15.75" customHeight="1">
      <c r="A3833" s="5" t="str">
        <f ca="1">IFERROR(__xludf.DUMMYFUNCTION("GOOGLETRANSLATE(B31938,""en"",""pt"")"),"Ullal")</f>
        <v>Ullal</v>
      </c>
      <c r="B3833" s="17" t="s">
        <v>13640</v>
      </c>
      <c r="C3833" s="17" t="s">
        <v>10178</v>
      </c>
      <c r="D3833" s="17" t="s">
        <v>10252</v>
      </c>
      <c r="E3833" s="10">
        <v>1253888</v>
      </c>
      <c r="F3833" s="4" t="str">
        <f>IF(B3833=B3832,"",B3833)</f>
        <v/>
      </c>
    </row>
    <row r="3834" spans="1:6" ht="15.75" customHeight="1">
      <c r="A3834" s="6" t="s">
        <v>18532</v>
      </c>
      <c r="B3834" s="6" t="s">
        <v>18532</v>
      </c>
      <c r="C3834" s="6" t="s">
        <v>18496</v>
      </c>
      <c r="D3834" s="6" t="s">
        <v>18533</v>
      </c>
      <c r="E3834" s="2">
        <v>1515007</v>
      </c>
      <c r="F3834" s="4" t="str">
        <f>IF(B3834=B3833,"",B3834)</f>
        <v>Uliastay</v>
      </c>
    </row>
    <row r="3835" spans="1:6" ht="15.75" customHeight="1">
      <c r="A3835" s="5" t="str">
        <f ca="1">IFERROR(__xludf.DUMMYFUNCTION("GOOGLETRANSLATE(B36762,""en"",""pt"")"),"Uliastay")</f>
        <v>Uliastay</v>
      </c>
      <c r="B3835" s="17" t="s">
        <v>18532</v>
      </c>
      <c r="C3835" s="17" t="s">
        <v>18496</v>
      </c>
      <c r="D3835" s="17" t="s">
        <v>18533</v>
      </c>
      <c r="E3835" s="10">
        <v>1515007</v>
      </c>
      <c r="F3835" s="4" t="str">
        <f>IF(B3835=B3834,"",B3835)</f>
        <v/>
      </c>
    </row>
    <row r="3836" spans="1:6" ht="15.75" customHeight="1">
      <c r="A3836" s="5" t="s">
        <v>13638</v>
      </c>
      <c r="B3836" s="6" t="s">
        <v>13639</v>
      </c>
      <c r="C3836" s="5" t="s">
        <v>10178</v>
      </c>
      <c r="D3836" s="5" t="s">
        <v>10214</v>
      </c>
      <c r="E3836" s="2">
        <v>1253894</v>
      </c>
      <c r="F3836" s="4" t="str">
        <f>IF(B3836=B3835,"",B3836)</f>
        <v>Ulhasnagar</v>
      </c>
    </row>
    <row r="3837" spans="1:6" ht="15.75" customHeight="1">
      <c r="A3837" s="5" t="str">
        <f ca="1">IFERROR(__xludf.DUMMYFUNCTION("GOOGLETRANSLATE(B31939,""en"",""pt"")"),"Uluhasnagar")</f>
        <v>Uluhasnagar</v>
      </c>
      <c r="B3837" s="17" t="s">
        <v>13639</v>
      </c>
      <c r="C3837" s="17" t="s">
        <v>10178</v>
      </c>
      <c r="D3837" s="17" t="s">
        <v>10214</v>
      </c>
      <c r="E3837" s="10">
        <v>1253894</v>
      </c>
      <c r="F3837" s="4" t="str">
        <f>IF(B3837=B3836,"",B3837)</f>
        <v/>
      </c>
    </row>
    <row r="3838" spans="1:6" ht="15.75" customHeight="1">
      <c r="A3838" s="6" t="s">
        <v>23232</v>
      </c>
      <c r="B3838" s="6" t="s">
        <v>23233</v>
      </c>
      <c r="C3838" s="6" t="s">
        <v>22070</v>
      </c>
      <c r="D3838" s="6" t="s">
        <v>22425</v>
      </c>
      <c r="E3838" s="2">
        <v>2014407</v>
      </c>
      <c r="F3838" s="4" t="str">
        <f>IF(B3838=B3837,"",B3838)</f>
        <v>Ulan-Ude</v>
      </c>
    </row>
    <row r="3839" spans="1:6" ht="15.75" customHeight="1">
      <c r="A3839" s="5" t="str">
        <f ca="1">IFERROR(__xludf.DUMMYFUNCTION("GOOGLETRANSLATE(B40902,""en"",""pt"")"),"Ulan-ude")</f>
        <v>Ulan-ude</v>
      </c>
      <c r="B3839" s="17" t="s">
        <v>23233</v>
      </c>
      <c r="C3839" s="17" t="s">
        <v>22070</v>
      </c>
      <c r="D3839" s="17" t="s">
        <v>22425</v>
      </c>
      <c r="E3839" s="10">
        <v>2014407</v>
      </c>
      <c r="F3839" s="4" t="str">
        <f>IF(B3839=B3838,"",B3839)</f>
        <v/>
      </c>
    </row>
    <row r="3840" spans="1:6" ht="15.75" customHeight="1">
      <c r="A3840" s="6" t="s">
        <v>5141</v>
      </c>
      <c r="B3840" s="6" t="s">
        <v>5141</v>
      </c>
      <c r="C3840" s="6" t="s">
        <v>4487</v>
      </c>
      <c r="D3840" s="6" t="s">
        <v>4533</v>
      </c>
      <c r="E3840" s="2">
        <v>2034312</v>
      </c>
      <c r="F3840" s="4" t="str">
        <f>IF(B3840=B3839,"",B3840)</f>
        <v>Ulanhot</v>
      </c>
    </row>
    <row r="3841" spans="1:6" ht="15.75" customHeight="1">
      <c r="A3841" s="5" t="str">
        <f ca="1">IFERROR(__xludf.DUMMYFUNCTION("GOOGLETRANSLATE(B26674,""en"",""pt"")"),"Ulanhot")</f>
        <v>Ulanhot</v>
      </c>
      <c r="B3841" s="17" t="s">
        <v>5141</v>
      </c>
      <c r="C3841" s="17" t="s">
        <v>4487</v>
      </c>
      <c r="D3841" s="17" t="s">
        <v>4533</v>
      </c>
      <c r="E3841" s="10">
        <v>2034312</v>
      </c>
      <c r="F3841" s="4" t="str">
        <f>IF(B3841=B3840,"",B3841)</f>
        <v/>
      </c>
    </row>
    <row r="3842" spans="1:6" ht="15.75" customHeight="1">
      <c r="A3842" s="5" t="s">
        <v>18530</v>
      </c>
      <c r="B3842" s="6" t="s">
        <v>18531</v>
      </c>
      <c r="C3842" s="5" t="s">
        <v>18496</v>
      </c>
      <c r="D3842" s="5" t="s">
        <v>18530</v>
      </c>
      <c r="E3842" s="2">
        <v>2028462</v>
      </c>
      <c r="F3842" s="4" t="str">
        <f>IF(B3842=B3841,"",B3842)</f>
        <v>Ulan Bator</v>
      </c>
    </row>
    <row r="3843" spans="1:6" ht="15.75" customHeight="1">
      <c r="A3843" s="5" t="str">
        <f ca="1">IFERROR(__xludf.DUMMYFUNCTION("GOOGLETRANSLATE(B36767,""en"",""pt"")"),"Ulaanbaatar")</f>
        <v>Ulaanbaatar</v>
      </c>
      <c r="B3843" s="17" t="s">
        <v>18531</v>
      </c>
      <c r="C3843" s="17" t="s">
        <v>18496</v>
      </c>
      <c r="D3843" s="17" t="s">
        <v>18530</v>
      </c>
      <c r="E3843" s="10">
        <v>2028462</v>
      </c>
      <c r="F3843" s="4" t="str">
        <f>IF(B3843=B3842,"",B3843)</f>
        <v/>
      </c>
    </row>
    <row r="3844" spans="1:6" ht="15.75" customHeight="1">
      <c r="A3844" s="5" t="s">
        <v>18528</v>
      </c>
      <c r="B3844" s="6" t="s">
        <v>18528</v>
      </c>
      <c r="C3844" s="5" t="s">
        <v>18496</v>
      </c>
      <c r="D3844" s="5" t="s">
        <v>18529</v>
      </c>
      <c r="E3844" s="2">
        <v>1515029</v>
      </c>
      <c r="F3844" s="4" t="str">
        <f>IF(B3844=B3843,"",B3844)</f>
        <v>Ulaangom</v>
      </c>
    </row>
    <row r="3845" spans="1:6" ht="15.75" customHeight="1">
      <c r="A3845" s="5" t="str">
        <f ca="1">IFERROR(__xludf.DUMMYFUNCTION("GOOGLETRANSLATE(B36763,""en"",""pt"")"),"Ulaangom")</f>
        <v>Ulaangom</v>
      </c>
      <c r="B3845" s="17" t="s">
        <v>18528</v>
      </c>
      <c r="C3845" s="17" t="s">
        <v>18496</v>
      </c>
      <c r="D3845" s="17" t="s">
        <v>18529</v>
      </c>
      <c r="E3845" s="10">
        <v>1515029</v>
      </c>
      <c r="F3845" s="4" t="str">
        <f>IF(B3845=B3844,"",B3845)</f>
        <v/>
      </c>
    </row>
    <row r="3846" spans="1:6" ht="15.75" customHeight="1">
      <c r="A3846" s="5" t="s">
        <v>17206</v>
      </c>
      <c r="B3846" s="6" t="s">
        <v>17207</v>
      </c>
      <c r="C3846" s="5" t="s">
        <v>17154</v>
      </c>
      <c r="D3846" s="5" t="s">
        <v>17155</v>
      </c>
      <c r="E3846" s="2">
        <v>593733</v>
      </c>
      <c r="F3846" s="4" t="str">
        <f>IF(B3846=B3845,"",B3846)</f>
        <v>Ukmerge</v>
      </c>
    </row>
    <row r="3847" spans="1:6" ht="15.75" customHeight="1">
      <c r="A3847" s="5" t="str">
        <f ca="1">IFERROR(__xludf.DUMMYFUNCTION("GOOGLETRANSLATE(B36363,""en"",""pt"")"),"UKMERGE")</f>
        <v>UKMERGE</v>
      </c>
      <c r="B3847" s="17" t="s">
        <v>17207</v>
      </c>
      <c r="C3847" s="17" t="s">
        <v>17154</v>
      </c>
      <c r="D3847" s="17" t="s">
        <v>17155</v>
      </c>
      <c r="E3847" s="10">
        <v>593733</v>
      </c>
      <c r="F3847" s="4" t="str">
        <f>IF(B3847=B3846,"",B3847)</f>
        <v/>
      </c>
    </row>
    <row r="3848" spans="1:6" ht="15.75" customHeight="1">
      <c r="A3848" s="6" t="s">
        <v>30233</v>
      </c>
      <c r="B3848" s="6" t="s">
        <v>30234</v>
      </c>
      <c r="C3848" s="6" t="s">
        <v>27788</v>
      </c>
      <c r="D3848" s="6" t="s">
        <v>27801</v>
      </c>
      <c r="E3848" s="2">
        <v>5404476</v>
      </c>
      <c r="F3848" s="4" t="str">
        <f>IF(B3848=B3847,"",B3848)</f>
        <v>Ukiah</v>
      </c>
    </row>
    <row r="3849" spans="1:6" ht="15.75" customHeight="1">
      <c r="A3849" s="5" t="str">
        <f ca="1">IFERROR(__xludf.DUMMYFUNCTION("GOOGLETRANSLATE(B45064,""en"",""pt"")"),"UKIAH")</f>
        <v>UKIAH</v>
      </c>
      <c r="B3849" s="17" t="s">
        <v>30234</v>
      </c>
      <c r="C3849" s="17" t="s">
        <v>27788</v>
      </c>
      <c r="D3849" s="17" t="s">
        <v>27801</v>
      </c>
      <c r="E3849" s="10">
        <v>5404476</v>
      </c>
      <c r="F3849" s="4" t="str">
        <f>IF(B3849=B3848,"",B3849)</f>
        <v/>
      </c>
    </row>
    <row r="3850" spans="1:6" ht="15.75" customHeight="1">
      <c r="A3850" s="6" t="s">
        <v>23230</v>
      </c>
      <c r="B3850" s="6" t="s">
        <v>23231</v>
      </c>
      <c r="C3850" s="6" t="s">
        <v>22070</v>
      </c>
      <c r="D3850" s="6" t="s">
        <v>22373</v>
      </c>
      <c r="E3850" s="2">
        <v>479411</v>
      </c>
      <c r="F3850" s="4" t="str">
        <f>IF(B3850=B3849,"",B3850)</f>
        <v>Ukhta</v>
      </c>
    </row>
    <row r="3851" spans="1:6" ht="15.75" customHeight="1">
      <c r="A3851" s="5" t="str">
        <f ca="1">IFERROR(__xludf.DUMMYFUNCTION("GOOGLETRANSLATE(B40011,""en"",""pt"")"),"UKHTA")</f>
        <v>UKHTA</v>
      </c>
      <c r="B3851" s="17" t="s">
        <v>23231</v>
      </c>
      <c r="C3851" s="17" t="s">
        <v>22070</v>
      </c>
      <c r="D3851" s="17" t="s">
        <v>22373</v>
      </c>
      <c r="E3851" s="10">
        <v>479411</v>
      </c>
      <c r="F3851" s="4" t="str">
        <f>IF(B3851=B3850,"",B3851)</f>
        <v/>
      </c>
    </row>
    <row r="3852" spans="1:6" ht="15.75" customHeight="1">
      <c r="A3852" s="6" t="s">
        <v>13637</v>
      </c>
      <c r="B3852" s="6" t="s">
        <v>13637</v>
      </c>
      <c r="C3852" s="6" t="s">
        <v>10178</v>
      </c>
      <c r="D3852" s="6" t="s">
        <v>10219</v>
      </c>
      <c r="E3852" s="2">
        <v>1253914</v>
      </c>
      <c r="F3852" s="4" t="str">
        <f>IF(B3852=B3851,"",B3852)</f>
        <v>Ujjain</v>
      </c>
    </row>
    <row r="3853" spans="1:6" ht="15.75" customHeight="1">
      <c r="A3853" s="5" t="str">
        <f ca="1">IFERROR(__xludf.DUMMYFUNCTION("GOOGLETRANSLATE(B31940,""en"",""pt"")"),"Ujjain")</f>
        <v>Ujjain</v>
      </c>
      <c r="B3853" s="17" t="s">
        <v>13637</v>
      </c>
      <c r="C3853" s="17" t="s">
        <v>10178</v>
      </c>
      <c r="D3853" s="17" t="s">
        <v>10219</v>
      </c>
      <c r="E3853" s="10">
        <v>1253914</v>
      </c>
      <c r="F3853" s="4" t="str">
        <f>IF(B3853=B3852,"",B3853)</f>
        <v/>
      </c>
    </row>
    <row r="3854" spans="1:6" ht="15.75" customHeight="1">
      <c r="A3854" s="6" t="s">
        <v>16555</v>
      </c>
      <c r="B3854" s="6" t="s">
        <v>16555</v>
      </c>
      <c r="C3854" s="6" t="s">
        <v>15704</v>
      </c>
      <c r="D3854" s="6" t="s">
        <v>15799</v>
      </c>
      <c r="E3854" s="2">
        <v>1849367</v>
      </c>
      <c r="F3854" s="4" t="str">
        <f>IF(B3854=B3853,"",B3854)</f>
        <v>Ujiie</v>
      </c>
    </row>
    <row r="3855" spans="1:6" ht="15.75" customHeight="1">
      <c r="A3855" s="5" t="str">
        <f ca="1">IFERROR(__xludf.DUMMYFUNCTION("GOOGLETRANSLATE(B35191,""en"",""pt"")"),"Ujiie")</f>
        <v>Ujiie</v>
      </c>
      <c r="B3855" s="17" t="s">
        <v>16555</v>
      </c>
      <c r="C3855" s="17" t="s">
        <v>15704</v>
      </c>
      <c r="D3855" s="17" t="s">
        <v>15799</v>
      </c>
      <c r="E3855" s="10">
        <v>1849367</v>
      </c>
      <c r="F3855" s="4" t="str">
        <f>IF(B3855=B3854,"",B3855)</f>
        <v/>
      </c>
    </row>
    <row r="3856" spans="1:6" ht="15.75" customHeight="1">
      <c r="A3856" s="6" t="s">
        <v>16554</v>
      </c>
      <c r="B3856" s="6" t="s">
        <v>16554</v>
      </c>
      <c r="C3856" s="6" t="s">
        <v>15704</v>
      </c>
      <c r="D3856" s="6" t="s">
        <v>15831</v>
      </c>
      <c r="E3856" s="2">
        <v>1849372</v>
      </c>
      <c r="F3856" s="4" t="str">
        <f>IF(B3856=B3855,"",B3856)</f>
        <v>Uji</v>
      </c>
    </row>
    <row r="3857" spans="1:6" ht="15.75" customHeight="1">
      <c r="A3857" s="5" t="str">
        <f ca="1">IFERROR(__xludf.DUMMYFUNCTION("GOOGLETRANSLATE(B35192,""en"",""pt"")"),"Uji")</f>
        <v>Uji</v>
      </c>
      <c r="B3857" s="17" t="s">
        <v>16554</v>
      </c>
      <c r="C3857" s="17" t="s">
        <v>15704</v>
      </c>
      <c r="D3857" s="17" t="s">
        <v>15831</v>
      </c>
      <c r="E3857" s="10">
        <v>1849372</v>
      </c>
      <c r="F3857" s="4" t="str">
        <f>IF(B3857=B3856,"",B3857)</f>
        <v/>
      </c>
    </row>
    <row r="3858" spans="1:6" ht="15.75" customHeight="1">
      <c r="A3858" s="5" t="str">
        <f ca="1">IFERROR(__xludf.DUMMYFUNCTION("GOOGLETRANSLATE(B31941,""en"",""pt"")"),"Ujhāni")</f>
        <v>Ujhāni</v>
      </c>
      <c r="B3858" s="17" t="s">
        <v>32981</v>
      </c>
      <c r="C3858" s="17" t="s">
        <v>10178</v>
      </c>
      <c r="D3858" s="17" t="s">
        <v>10193</v>
      </c>
      <c r="E3858" s="10">
        <v>1253918</v>
      </c>
      <c r="F3858" s="4" t="str">
        <f>IF(B3858=B3857,"",B3858)</f>
        <v>Ujhāni</v>
      </c>
    </row>
    <row r="3859" spans="1:6" ht="15.75" customHeight="1">
      <c r="A3859" s="6" t="s">
        <v>13635</v>
      </c>
      <c r="B3859" s="6" t="s">
        <v>13636</v>
      </c>
      <c r="C3859" s="6" t="s">
        <v>10178</v>
      </c>
      <c r="D3859" s="6" t="s">
        <v>10193</v>
      </c>
      <c r="E3859" s="2">
        <v>1253918</v>
      </c>
      <c r="F3859" s="4" t="str">
        <f>IF(B3859=B3858,"",B3859)</f>
        <v>UjhÄni</v>
      </c>
    </row>
    <row r="3860" spans="1:6" ht="15.75" customHeight="1">
      <c r="A3860" s="6" t="s">
        <v>1258</v>
      </c>
      <c r="B3860" s="6" t="s">
        <v>1258</v>
      </c>
      <c r="C3860" s="6" t="s">
        <v>1170</v>
      </c>
      <c r="D3860" s="6" t="s">
        <v>1259</v>
      </c>
      <c r="E3860" s="2">
        <v>584791</v>
      </c>
      <c r="F3860" s="4" t="str">
        <f>IF(B3860=B3859,"",B3860)</f>
        <v>Ujar</v>
      </c>
    </row>
    <row r="3861" spans="1:6" ht="15.75" customHeight="1">
      <c r="A3861" s="5" t="str">
        <f ca="1">IFERROR(__xludf.DUMMYFUNCTION("GOOGLETRANSLATE(B23636,""en"",""pt"")"),"Ujar")</f>
        <v>Ujar</v>
      </c>
      <c r="B3861" s="17" t="s">
        <v>1258</v>
      </c>
      <c r="C3861" s="17" t="s">
        <v>1170</v>
      </c>
      <c r="D3861" s="17" t="s">
        <v>1259</v>
      </c>
      <c r="E3861" s="10">
        <v>584791</v>
      </c>
      <c r="F3861" s="4" t="str">
        <f>IF(B3861=B3860,"",B3861)</f>
        <v/>
      </c>
    </row>
    <row r="3862" spans="1:6" ht="15.75" customHeight="1">
      <c r="A3862" s="6" t="s">
        <v>19107</v>
      </c>
      <c r="B3862" s="6" t="s">
        <v>19107</v>
      </c>
      <c r="C3862" s="6" t="s">
        <v>18862</v>
      </c>
      <c r="D3862" s="6" t="s">
        <v>18863</v>
      </c>
      <c r="E3862" s="2">
        <v>2745973</v>
      </c>
      <c r="F3862" s="4" t="str">
        <f>IF(B3862=B3861,"",B3862)</f>
        <v>Uithoorn</v>
      </c>
    </row>
    <row r="3863" spans="1:6" ht="15.75" customHeight="1">
      <c r="A3863" s="5" t="str">
        <f ca="1">IFERROR(__xludf.DUMMYFUNCTION("GOOGLETRANSLATE(B37937,""en"",""pt"")"),"Uithoorn")</f>
        <v>Uithoorn</v>
      </c>
      <c r="B3863" s="17" t="s">
        <v>19107</v>
      </c>
      <c r="C3863" s="17" t="s">
        <v>18862</v>
      </c>
      <c r="D3863" s="17" t="s">
        <v>18863</v>
      </c>
      <c r="E3863" s="10">
        <v>2745973</v>
      </c>
      <c r="F3863" s="4" t="str">
        <f>IF(B3863=B3862,"",B3863)</f>
        <v/>
      </c>
    </row>
    <row r="3864" spans="1:6" ht="15.75" customHeight="1">
      <c r="A3864" s="5" t="s">
        <v>23996</v>
      </c>
      <c r="B3864" s="6" t="s">
        <v>23996</v>
      </c>
      <c r="C3864" s="5" t="s">
        <v>23842</v>
      </c>
      <c r="D3864" s="5" t="s">
        <v>23843</v>
      </c>
      <c r="E3864" s="2">
        <v>946877</v>
      </c>
      <c r="F3864" s="4" t="str">
        <f>IF(B3864=B3863,"",B3864)</f>
        <v>Uitenhage</v>
      </c>
    </row>
    <row r="3865" spans="1:6" ht="15.75" customHeight="1">
      <c r="A3865" s="5" t="str">
        <f ca="1">IFERROR(__xludf.DUMMYFUNCTION("GOOGLETRANSLATE(B45863,""en"",""pt"")"),"Uitenhage")</f>
        <v>Uitenhage</v>
      </c>
      <c r="B3865" s="17" t="s">
        <v>23996</v>
      </c>
      <c r="C3865" s="17" t="s">
        <v>23842</v>
      </c>
      <c r="D3865" s="17" t="s">
        <v>23843</v>
      </c>
      <c r="E3865" s="10">
        <v>946877</v>
      </c>
      <c r="F3865" s="4" t="str">
        <f>IF(B3865=B3864,"",B3865)</f>
        <v/>
      </c>
    </row>
    <row r="3866" spans="1:6" ht="15.75" customHeight="1">
      <c r="A3866" s="5" t="str">
        <f ca="1">IFERROR(__xludf.DUMMYFUNCTION("GOOGLETRANSLATE(B36025,""en"",""pt"")"),"Ŭiju")</f>
        <v>Ŭiju</v>
      </c>
      <c r="B3866" s="17" t="s">
        <v>34456</v>
      </c>
      <c r="C3866" s="17" t="s">
        <v>19589</v>
      </c>
      <c r="D3866" s="17" t="s">
        <v>34443</v>
      </c>
      <c r="E3866" s="10">
        <v>2039623</v>
      </c>
      <c r="F3866" s="4" t="str">
        <f>IF(B3866=B3865,"",B3866)</f>
        <v>Ŭiju</v>
      </c>
    </row>
    <row r="3867" spans="1:6" ht="15.75" customHeight="1">
      <c r="A3867" s="5" t="s">
        <v>24156</v>
      </c>
      <c r="B3867" s="6" t="s">
        <v>24156</v>
      </c>
      <c r="C3867" s="5" t="s">
        <v>24024</v>
      </c>
      <c r="D3867" s="5" t="s">
        <v>24028</v>
      </c>
      <c r="E3867" s="2">
        <v>1833788</v>
      </c>
      <c r="F3867" s="4" t="str">
        <f>IF(B3867=B3866,"",B3867)</f>
        <v>Uijeongbu-si</v>
      </c>
    </row>
    <row r="3868" spans="1:6" ht="15.75" customHeight="1">
      <c r="A3868" s="5" t="str">
        <f ca="1">IFERROR(__xludf.DUMMYFUNCTION("GOOGLETRANSLATE(B36063,""en"",""pt"")"),"Uijeongbu-si")</f>
        <v>Uijeongbu-si</v>
      </c>
      <c r="B3868" s="17" t="s">
        <v>24156</v>
      </c>
      <c r="C3868" s="17" t="s">
        <v>24024</v>
      </c>
      <c r="D3868" s="17" t="s">
        <v>24028</v>
      </c>
      <c r="E3868" s="10">
        <v>1833788</v>
      </c>
      <c r="F3868" s="4" t="str">
        <f>IF(B3868=B3867,"",B3868)</f>
        <v/>
      </c>
    </row>
    <row r="3869" spans="1:6" ht="15.75" customHeight="1">
      <c r="A3869" s="5" t="str">
        <f ca="1">IFERROR(__xludf.DUMMYFUNCTION("GOOGLETRANSLATE(B23144,""en"",""pt"")"),"Uíge")</f>
        <v>Uíge</v>
      </c>
      <c r="B3869" s="17" t="s">
        <v>31160</v>
      </c>
      <c r="C3869" s="17" t="s">
        <v>507</v>
      </c>
      <c r="D3869" s="17" t="s">
        <v>31160</v>
      </c>
      <c r="E3869" s="10">
        <v>2236568</v>
      </c>
      <c r="F3869" s="4" t="str">
        <f>IF(B3869=B3868,"",B3869)</f>
        <v>Uíge</v>
      </c>
    </row>
    <row r="3870" spans="1:6" ht="15.75" customHeight="1">
      <c r="A3870" s="5" t="str">
        <f ca="1">IFERROR(__xludf.DUMMYFUNCTION("GOOGLETRANSLATE(B27254,""en"",""pt"")"),"Uherský Brod")</f>
        <v>Uherský Brod</v>
      </c>
      <c r="B3870" s="17" t="s">
        <v>31949</v>
      </c>
      <c r="C3870" s="17" t="s">
        <v>5947</v>
      </c>
      <c r="D3870" s="17" t="s">
        <v>31937</v>
      </c>
      <c r="E3870" s="10">
        <v>3063736</v>
      </c>
      <c r="F3870" s="4" t="str">
        <f>IF(B3870=B3869,"",B3870)</f>
        <v>Uherský Brod</v>
      </c>
    </row>
    <row r="3871" spans="1:6" ht="15.75" customHeight="1">
      <c r="A3871" s="5" t="str">
        <f ca="1">IFERROR(__xludf.DUMMYFUNCTION("GOOGLETRANSLATE(B27255,""en"",""pt"")"),"Uherské hradiště")</f>
        <v>Uherské hradiště</v>
      </c>
      <c r="B3871" s="17" t="s">
        <v>31950</v>
      </c>
      <c r="C3871" s="17" t="s">
        <v>5947</v>
      </c>
      <c r="D3871" s="17" t="s">
        <v>31937</v>
      </c>
      <c r="E3871" s="10">
        <v>3063739</v>
      </c>
      <c r="F3871" s="4" t="str">
        <f>IF(B3871=B3870,"",B3871)</f>
        <v>Uherské Hradiště</v>
      </c>
    </row>
    <row r="3872" spans="1:6" ht="15.75" customHeight="1">
      <c r="A3872" s="5" t="s">
        <v>6115</v>
      </c>
      <c r="B3872" s="6" t="s">
        <v>6116</v>
      </c>
      <c r="C3872" s="5" t="s">
        <v>5947</v>
      </c>
      <c r="D3872" s="5" t="s">
        <v>6045</v>
      </c>
      <c r="E3872" s="2">
        <v>3063736</v>
      </c>
      <c r="F3872" s="4" t="str">
        <f>IF(B3872=B3871,"",B3872)</f>
        <v>UherskÃ½ Brod</v>
      </c>
    </row>
    <row r="3873" spans="1:6" ht="15.75" customHeight="1">
      <c r="A3873" s="5" t="s">
        <v>6113</v>
      </c>
      <c r="B3873" s="6" t="s">
        <v>6114</v>
      </c>
      <c r="C3873" s="5" t="s">
        <v>5947</v>
      </c>
      <c r="D3873" s="5" t="s">
        <v>6045</v>
      </c>
      <c r="E3873" s="2">
        <v>3063739</v>
      </c>
      <c r="F3873" s="4" t="str">
        <f>IF(B3873=B3872,"",B3873)</f>
        <v>UherskÃ© HradiÅ¡tÄ›</v>
      </c>
    </row>
    <row r="3874" spans="1:6" ht="15.75" customHeight="1">
      <c r="A3874" s="6" t="s">
        <v>23229</v>
      </c>
      <c r="B3874" s="6" t="s">
        <v>23229</v>
      </c>
      <c r="C3874" s="6" t="s">
        <v>22070</v>
      </c>
      <c r="D3874" s="6" t="s">
        <v>22326</v>
      </c>
      <c r="E3874" s="2">
        <v>479532</v>
      </c>
      <c r="F3874" s="4" t="str">
        <f>IF(B3874=B3873,"",B3874)</f>
        <v>Uglich</v>
      </c>
    </row>
    <row r="3875" spans="1:6" ht="15.75" customHeight="1">
      <c r="A3875" s="5" t="str">
        <f ca="1">IFERROR(__xludf.DUMMYFUNCTION("GOOGLETRANSLATE(B40012,""en"",""pt"")"),"Uglich")</f>
        <v>Uglich</v>
      </c>
      <c r="B3875" s="17" t="s">
        <v>23229</v>
      </c>
      <c r="C3875" s="17" t="s">
        <v>22070</v>
      </c>
      <c r="D3875" s="17" t="s">
        <v>22326</v>
      </c>
      <c r="E3875" s="10">
        <v>479532</v>
      </c>
      <c r="F3875" s="4" t="str">
        <f>IF(B3875=B3874,"",B3875)</f>
        <v/>
      </c>
    </row>
    <row r="3876" spans="1:6" ht="15.75" customHeight="1">
      <c r="A3876" s="6" t="s">
        <v>19573</v>
      </c>
      <c r="B3876" s="6" t="s">
        <v>19573</v>
      </c>
      <c r="C3876" s="6" t="s">
        <v>19294</v>
      </c>
      <c r="D3876" s="6" t="s">
        <v>4039</v>
      </c>
      <c r="E3876" s="2">
        <v>2320829</v>
      </c>
      <c r="F3876" s="4" t="str">
        <f>IF(B3876=B3875,"",B3876)</f>
        <v>Ughelli</v>
      </c>
    </row>
    <row r="3877" spans="1:6" ht="15.75" customHeight="1">
      <c r="A3877" s="5" t="str">
        <f ca="1">IFERROR(__xludf.DUMMYFUNCTION("GOOGLETRANSLATE(B37619,""en"",""pt"")"),"Ughelli")</f>
        <v>Ughelli</v>
      </c>
      <c r="B3877" s="17" t="s">
        <v>19573</v>
      </c>
      <c r="C3877" s="17" t="s">
        <v>19294</v>
      </c>
      <c r="D3877" s="17" t="s">
        <v>4039</v>
      </c>
      <c r="E3877" s="10">
        <v>2320829</v>
      </c>
      <c r="F3877" s="4" t="str">
        <f>IF(B3877=B3876,"",B3877)</f>
        <v/>
      </c>
    </row>
    <row r="3878" spans="1:6" ht="15.75" customHeight="1">
      <c r="A3878" s="6" t="s">
        <v>19572</v>
      </c>
      <c r="B3878" s="6" t="s">
        <v>19572</v>
      </c>
      <c r="C3878" s="6" t="s">
        <v>19294</v>
      </c>
      <c r="D3878" s="6" t="s">
        <v>19362</v>
      </c>
      <c r="E3878" s="2">
        <v>2320831</v>
      </c>
      <c r="F3878" s="4" t="str">
        <f>IF(B3878=B3877,"",B3878)</f>
        <v>Ugep</v>
      </c>
    </row>
    <row r="3879" spans="1:6" ht="15.75" customHeight="1">
      <c r="A3879" s="5" t="str">
        <f ca="1">IFERROR(__xludf.DUMMYFUNCTION("GOOGLETRANSLATE(B37620,""en"",""pt"")"),"Ugep")</f>
        <v>Ugep</v>
      </c>
      <c r="B3879" s="17" t="s">
        <v>19572</v>
      </c>
      <c r="C3879" s="17" t="s">
        <v>19294</v>
      </c>
      <c r="D3879" s="17" t="s">
        <v>19362</v>
      </c>
      <c r="E3879" s="10">
        <v>2320831</v>
      </c>
      <c r="F3879" s="4" t="str">
        <f>IF(B3879=B3878,"",B3879)</f>
        <v/>
      </c>
    </row>
    <row r="3880" spans="1:6" ht="15.75" customHeight="1">
      <c r="A3880" s="6" t="s">
        <v>19571</v>
      </c>
      <c r="B3880" s="6" t="s">
        <v>19571</v>
      </c>
      <c r="C3880" s="6" t="s">
        <v>19294</v>
      </c>
      <c r="D3880" s="6" t="s">
        <v>19308</v>
      </c>
      <c r="E3880" s="2">
        <v>2320920</v>
      </c>
      <c r="F3880" s="4" t="str">
        <f>IF(B3880=B3879,"",B3880)</f>
        <v>Uga</v>
      </c>
    </row>
    <row r="3881" spans="1:6" ht="15.75" customHeight="1">
      <c r="A3881" s="5" t="str">
        <f ca="1">IFERROR(__xludf.DUMMYFUNCTION("GOOGLETRANSLATE(B37621,""en"",""pt"")"),"Uga")</f>
        <v>Uga</v>
      </c>
      <c r="B3881" s="17" t="s">
        <v>19571</v>
      </c>
      <c r="C3881" s="17" t="s">
        <v>19294</v>
      </c>
      <c r="D3881" s="17" t="s">
        <v>19308</v>
      </c>
      <c r="E3881" s="10">
        <v>2320920</v>
      </c>
      <c r="F3881" s="4" t="str">
        <f>IF(B3881=B3880,"",B3881)</f>
        <v/>
      </c>
    </row>
    <row r="3882" spans="1:6" ht="15.75" customHeight="1">
      <c r="A3882" s="6" t="s">
        <v>23228</v>
      </c>
      <c r="B3882" s="6" t="s">
        <v>23228</v>
      </c>
      <c r="C3882" s="6" t="s">
        <v>22070</v>
      </c>
      <c r="D3882" s="6" t="s">
        <v>22088</v>
      </c>
      <c r="E3882" s="2">
        <v>479561</v>
      </c>
      <c r="F3882" s="4" t="str">
        <f>IF(B3882=B3881,"",B3882)</f>
        <v>Ufa</v>
      </c>
    </row>
    <row r="3883" spans="1:6" ht="15.75" customHeight="1">
      <c r="A3883" s="5" t="str">
        <f ca="1">IFERROR(__xludf.DUMMYFUNCTION("GOOGLETRANSLATE(B40013,""en"",""pt"")"),"Ufa")</f>
        <v>Ufa</v>
      </c>
      <c r="B3883" s="17" t="s">
        <v>23228</v>
      </c>
      <c r="C3883" s="17" t="s">
        <v>22070</v>
      </c>
      <c r="D3883" s="17" t="s">
        <v>22088</v>
      </c>
      <c r="E3883" s="10">
        <v>479561</v>
      </c>
      <c r="F3883" s="4" t="str">
        <f>IF(B3883=B3882,"",B3883)</f>
        <v/>
      </c>
    </row>
    <row r="3884" spans="1:6" ht="15.75" customHeight="1">
      <c r="A3884" s="6" t="s">
        <v>9212</v>
      </c>
      <c r="B3884" s="6" t="s">
        <v>9212</v>
      </c>
      <c r="C3884" s="6" t="s">
        <v>8028</v>
      </c>
      <c r="D3884" s="6" t="s">
        <v>8040</v>
      </c>
      <c r="E3884" s="2">
        <v>2818067</v>
      </c>
      <c r="F3884" s="4" t="str">
        <f>IF(B3884=B3883,"",B3884)</f>
        <v>Uetersen</v>
      </c>
    </row>
    <row r="3885" spans="1:6" ht="15.75" customHeight="1">
      <c r="A3885" s="5" t="str">
        <f ca="1">IFERROR(__xludf.DUMMYFUNCTION("GOOGLETRANSLATE(B27457,""en"",""pt"")"),"Uetersen")</f>
        <v>Uetersen</v>
      </c>
      <c r="B3885" s="17" t="s">
        <v>9212</v>
      </c>
      <c r="C3885" s="17" t="s">
        <v>8028</v>
      </c>
      <c r="D3885" s="17" t="s">
        <v>8040</v>
      </c>
      <c r="E3885" s="10">
        <v>2818067</v>
      </c>
      <c r="F3885" s="4" t="str">
        <f>IF(B3885=B3884,"",B3885)</f>
        <v/>
      </c>
    </row>
    <row r="3886" spans="1:6" ht="15.75" customHeight="1">
      <c r="A3886" s="5" t="s">
        <v>16553</v>
      </c>
      <c r="B3886" s="6" t="s">
        <v>16553</v>
      </c>
      <c r="C3886" s="5" t="s">
        <v>15704</v>
      </c>
      <c r="D3886" s="5" t="s">
        <v>15806</v>
      </c>
      <c r="E3886" s="2">
        <v>1849407</v>
      </c>
      <c r="F3886" s="4" t="str">
        <f>IF(B3886=B3885,"",B3886)</f>
        <v>Uenohara</v>
      </c>
    </row>
    <row r="3887" spans="1:6" ht="15.75" customHeight="1">
      <c r="A3887" s="5" t="str">
        <f ca="1">IFERROR(__xludf.DUMMYFUNCTION("GOOGLETRANSLATE(B35193,""en"",""pt"")"),"Uenohara")</f>
        <v>Uenohara</v>
      </c>
      <c r="B3887" s="17" t="s">
        <v>16553</v>
      </c>
      <c r="C3887" s="17" t="s">
        <v>15704</v>
      </c>
      <c r="D3887" s="17" t="s">
        <v>15806</v>
      </c>
      <c r="E3887" s="10">
        <v>1849407</v>
      </c>
      <c r="F3887" s="4" t="str">
        <f>IF(B3887=B3886,"",B3887)</f>
        <v/>
      </c>
    </row>
    <row r="3888" spans="1:6" ht="15.75" customHeight="1">
      <c r="A3888" s="5" t="s">
        <v>16552</v>
      </c>
      <c r="B3888" s="6" t="s">
        <v>16552</v>
      </c>
      <c r="C3888" s="5" t="s">
        <v>15704</v>
      </c>
      <c r="D3888" s="5" t="s">
        <v>15967</v>
      </c>
      <c r="E3888" s="2">
        <v>1849414</v>
      </c>
      <c r="F3888" s="4" t="str">
        <f>IF(B3888=B3887,"",B3888)</f>
        <v>Ueno-ebisumachi</v>
      </c>
    </row>
    <row r="3889" spans="1:6" ht="15.75" customHeight="1">
      <c r="A3889" s="5" t="str">
        <f ca="1">IFERROR(__xludf.DUMMYFUNCTION("GOOGLETRANSLATE(B35194,""en"",""pt"")"),"Ueno-ebisumachi")</f>
        <v>Ueno-ebisumachi</v>
      </c>
      <c r="B3889" s="17" t="s">
        <v>16552</v>
      </c>
      <c r="C3889" s="17" t="s">
        <v>15704</v>
      </c>
      <c r="D3889" s="17" t="s">
        <v>15967</v>
      </c>
      <c r="E3889" s="10">
        <v>1849414</v>
      </c>
      <c r="F3889" s="4" t="str">
        <f>IF(B3889=B3888,"",B3889)</f>
        <v/>
      </c>
    </row>
    <row r="3890" spans="1:6" ht="15.75" customHeight="1">
      <c r="A3890" s="6" t="s">
        <v>9211</v>
      </c>
      <c r="B3890" s="6" t="s">
        <v>9211</v>
      </c>
      <c r="C3890" s="6" t="s">
        <v>8028</v>
      </c>
      <c r="D3890" s="6" t="s">
        <v>8034</v>
      </c>
      <c r="E3890" s="2">
        <v>2820456</v>
      </c>
      <c r="F3890" s="4" t="str">
        <f>IF(B3890=B3889,"",B3890)</f>
        <v>Uelzen</v>
      </c>
    </row>
    <row r="3891" spans="1:6" ht="15.75" customHeight="1">
      <c r="A3891" s="5" t="str">
        <f ca="1">IFERROR(__xludf.DUMMYFUNCTION("GOOGLETRANSLATE(B27464,""en"",""pt"")"),"Uelzen")</f>
        <v>Uelzen</v>
      </c>
      <c r="B3891" s="17" t="s">
        <v>9211</v>
      </c>
      <c r="C3891" s="17" t="s">
        <v>8028</v>
      </c>
      <c r="D3891" s="17" t="s">
        <v>8034</v>
      </c>
      <c r="E3891" s="10">
        <v>2820456</v>
      </c>
      <c r="F3891" s="4" t="str">
        <f>IF(B3891=B3890,"",B3891)</f>
        <v/>
      </c>
    </row>
    <row r="3892" spans="1:6" ht="15.75" customHeight="1">
      <c r="A3892" s="6" t="s">
        <v>16551</v>
      </c>
      <c r="B3892" s="6" t="s">
        <v>16551</v>
      </c>
      <c r="C3892" s="6" t="s">
        <v>15704</v>
      </c>
      <c r="D3892" s="6" t="s">
        <v>15812</v>
      </c>
      <c r="E3892" s="2">
        <v>1849424</v>
      </c>
      <c r="F3892" s="4" t="str">
        <f>IF(B3892=B3891,"",B3892)</f>
        <v>Ueki</v>
      </c>
    </row>
    <row r="3893" spans="1:6" ht="15.75" customHeight="1">
      <c r="A3893" s="5" t="str">
        <f ca="1">IFERROR(__xludf.DUMMYFUNCTION("GOOGLETRANSLATE(B35195,""en"",""pt"")"),"Ueki")</f>
        <v>Ueki</v>
      </c>
      <c r="B3893" s="17" t="s">
        <v>16551</v>
      </c>
      <c r="C3893" s="17" t="s">
        <v>15704</v>
      </c>
      <c r="D3893" s="17" t="s">
        <v>15812</v>
      </c>
      <c r="E3893" s="10">
        <v>1849424</v>
      </c>
      <c r="F3893" s="4" t="str">
        <f>IF(B3893=B3892,"",B3893)</f>
        <v/>
      </c>
    </row>
    <row r="3894" spans="1:6" ht="15.75" customHeight="1">
      <c r="A3894" s="6" t="s">
        <v>16550</v>
      </c>
      <c r="B3894" s="6" t="s">
        <v>16550</v>
      </c>
      <c r="C3894" s="6" t="s">
        <v>15704</v>
      </c>
      <c r="D3894" s="6" t="s">
        <v>15769</v>
      </c>
      <c r="E3894" s="2">
        <v>1849429</v>
      </c>
      <c r="F3894" s="4" t="str">
        <f>IF(B3894=B3893,"",B3894)</f>
        <v>Ueda</v>
      </c>
    </row>
    <row r="3895" spans="1:6" ht="15.75" customHeight="1">
      <c r="A3895" s="5" t="str">
        <f ca="1">IFERROR(__xludf.DUMMYFUNCTION("GOOGLETRANSLATE(B35196,""en"",""pt"")"),"Ueda")</f>
        <v>Ueda</v>
      </c>
      <c r="B3895" s="17" t="s">
        <v>16550</v>
      </c>
      <c r="C3895" s="17" t="s">
        <v>15704</v>
      </c>
      <c r="D3895" s="17" t="s">
        <v>15769</v>
      </c>
      <c r="E3895" s="10">
        <v>1849429</v>
      </c>
      <c r="F3895" s="4" t="str">
        <f>IF(B3895=B3894,"",B3895)</f>
        <v/>
      </c>
    </row>
    <row r="3896" spans="1:6" ht="15.75" customHeight="1">
      <c r="A3896" s="5" t="s">
        <v>13633</v>
      </c>
      <c r="B3896" s="6" t="s">
        <v>13634</v>
      </c>
      <c r="C3896" s="5" t="s">
        <v>10178</v>
      </c>
      <c r="D3896" s="5" t="s">
        <v>10196</v>
      </c>
      <c r="E3896" s="2">
        <v>1253944</v>
      </c>
      <c r="F3896" s="4" t="str">
        <f>IF(B3896=B3895,"",B3896)</f>
        <v>Udumalaippettai</v>
      </c>
    </row>
    <row r="3897" spans="1:6" ht="15.75" customHeight="1">
      <c r="A3897" s="5" t="str">
        <f ca="1">IFERROR(__xludf.DUMMYFUNCTION("GOOGLETRANSLATE(B31942,""en"",""pt"")"),"Udumalaippettai")</f>
        <v>Udumalaippettai</v>
      </c>
      <c r="B3897" s="17" t="s">
        <v>13634</v>
      </c>
      <c r="C3897" s="17" t="s">
        <v>10178</v>
      </c>
      <c r="D3897" s="17" t="s">
        <v>10196</v>
      </c>
      <c r="E3897" s="10">
        <v>1253944</v>
      </c>
      <c r="F3897" s="4" t="str">
        <f>IF(B3897=B3896,"",B3897)</f>
        <v/>
      </c>
    </row>
    <row r="3898" spans="1:6" ht="15.75" customHeight="1">
      <c r="A3898" s="5" t="s">
        <v>26023</v>
      </c>
      <c r="B3898" s="6" t="s">
        <v>26023</v>
      </c>
      <c r="C3898" s="5" t="s">
        <v>25771</v>
      </c>
      <c r="D3898" s="5" t="s">
        <v>25786</v>
      </c>
      <c r="E3898" s="2">
        <v>1605239</v>
      </c>
      <c r="F3898" s="4" t="str">
        <f>IF(B3898=B3897,"",B3898)</f>
        <v>Udon Thani</v>
      </c>
    </row>
    <row r="3899" spans="1:6" ht="15.75" customHeight="1">
      <c r="A3899" s="5" t="str">
        <f ca="1">IFERROR(__xludf.DUMMYFUNCTION("GOOGLETRANSLATE(B41589,""en"",""pt"")"),"Udon Thani")</f>
        <v>Udon Thani</v>
      </c>
      <c r="B3899" s="17" t="s">
        <v>26023</v>
      </c>
      <c r="C3899" s="17" t="s">
        <v>25771</v>
      </c>
      <c r="D3899" s="17" t="s">
        <v>25786</v>
      </c>
      <c r="E3899" s="10">
        <v>1605239</v>
      </c>
      <c r="F3899" s="4" t="str">
        <f>IF(B3899=B3898,"",B3899)</f>
        <v/>
      </c>
    </row>
    <row r="3900" spans="1:6" ht="15.75" customHeight="1">
      <c r="A3900" s="6" t="s">
        <v>23227</v>
      </c>
      <c r="B3900" s="6" t="s">
        <v>23227</v>
      </c>
      <c r="C3900" s="6" t="s">
        <v>22070</v>
      </c>
      <c r="D3900" s="6" t="s">
        <v>22229</v>
      </c>
      <c r="E3900" s="2">
        <v>452949</v>
      </c>
      <c r="F3900" s="4" t="str">
        <f>IF(B3900=B3899,"",B3900)</f>
        <v>Udomlya</v>
      </c>
    </row>
    <row r="3901" spans="1:6" ht="15.75" customHeight="1">
      <c r="A3901" s="5" t="str">
        <f ca="1">IFERROR(__xludf.DUMMYFUNCTION("GOOGLETRANSLATE(B39905,""en"",""pt"")"),"Udomlya")</f>
        <v>Udomlya</v>
      </c>
      <c r="B3901" s="17" t="s">
        <v>23227</v>
      </c>
      <c r="C3901" s="17" t="s">
        <v>22070</v>
      </c>
      <c r="D3901" s="17" t="s">
        <v>22229</v>
      </c>
      <c r="E3901" s="10">
        <v>452949</v>
      </c>
      <c r="F3901" s="4" t="str">
        <f>IF(B3901=B3900,"",B3901)</f>
        <v/>
      </c>
    </row>
    <row r="3902" spans="1:6" ht="15.75" customHeight="1">
      <c r="A3902" s="6" t="s">
        <v>13632</v>
      </c>
      <c r="B3902" s="6" t="s">
        <v>13632</v>
      </c>
      <c r="C3902" s="6" t="s">
        <v>10178</v>
      </c>
      <c r="D3902" s="6" t="s">
        <v>10252</v>
      </c>
      <c r="E3902" s="2">
        <v>1253952</v>
      </c>
      <c r="F3902" s="4" t="str">
        <f>IF(B3902=B3901,"",B3902)</f>
        <v>Udipi</v>
      </c>
    </row>
    <row r="3903" spans="1:6" ht="15.75" customHeight="1">
      <c r="A3903" s="5" t="str">
        <f ca="1">IFERROR(__xludf.DUMMYFUNCTION("GOOGLETRANSLATE(B31943,""en"",""pt"")"),"Udipi")</f>
        <v>Udipi</v>
      </c>
      <c r="B3903" s="17" t="s">
        <v>13632</v>
      </c>
      <c r="C3903" s="17" t="s">
        <v>10178</v>
      </c>
      <c r="D3903" s="17" t="s">
        <v>10252</v>
      </c>
      <c r="E3903" s="10">
        <v>1253952</v>
      </c>
      <c r="F3903" s="4" t="str">
        <f>IF(B3903=B3902,"",B3903)</f>
        <v/>
      </c>
    </row>
    <row r="3904" spans="1:6" ht="15.75" customHeight="1">
      <c r="A3904" s="6" t="s">
        <v>15552</v>
      </c>
      <c r="B3904" s="6" t="s">
        <v>15552</v>
      </c>
      <c r="C3904" s="6" t="s">
        <v>14891</v>
      </c>
      <c r="D3904" s="6" t="s">
        <v>15105</v>
      </c>
      <c r="E3904" s="2">
        <v>3165072</v>
      </c>
      <c r="F3904" s="4" t="str">
        <f>IF(B3904=B3903,"",B3904)</f>
        <v>Udine</v>
      </c>
    </row>
    <row r="3905" spans="1:6" ht="15.75" customHeight="1">
      <c r="A3905" s="5" t="str">
        <f ca="1">IFERROR(__xludf.DUMMYFUNCTION("GOOGLETRANSLATE(B34648,""en"",""pt"")"),"Udine")</f>
        <v>Udine</v>
      </c>
      <c r="B3905" s="17" t="s">
        <v>15552</v>
      </c>
      <c r="C3905" s="17" t="s">
        <v>14891</v>
      </c>
      <c r="D3905" s="17" t="s">
        <v>15105</v>
      </c>
      <c r="E3905" s="10">
        <v>3165072</v>
      </c>
      <c r="F3905" s="4" t="str">
        <f>IF(B3905=B3904,"",B3905)</f>
        <v/>
      </c>
    </row>
    <row r="3906" spans="1:6" ht="15.75" customHeight="1">
      <c r="A3906" s="5" t="s">
        <v>13631</v>
      </c>
      <c r="B3906" s="6" t="s">
        <v>13631</v>
      </c>
      <c r="C3906" s="5" t="s">
        <v>10178</v>
      </c>
      <c r="D3906" s="5" t="s">
        <v>10355</v>
      </c>
      <c r="E3906" s="2">
        <v>1253956</v>
      </c>
      <c r="F3906" s="4" t="str">
        <f>IF(B3906=B3905,"",B3906)</f>
        <v>Udhampur</v>
      </c>
    </row>
    <row r="3907" spans="1:6" ht="15.75" customHeight="1">
      <c r="A3907" s="5" t="str">
        <f ca="1">IFERROR(__xludf.DUMMYFUNCTION("GOOGLETRANSLATE(B31944,""en"",""pt"")"),"Udhampur")</f>
        <v>Udhampur</v>
      </c>
      <c r="B3907" s="17" t="s">
        <v>13631</v>
      </c>
      <c r="C3907" s="17" t="s">
        <v>10178</v>
      </c>
      <c r="D3907" s="17" t="s">
        <v>10355</v>
      </c>
      <c r="E3907" s="10">
        <v>1253956</v>
      </c>
      <c r="F3907" s="4" t="str">
        <f>IF(B3907=B3906,"",B3907)</f>
        <v/>
      </c>
    </row>
    <row r="3908" spans="1:6" ht="15.75" customHeight="1">
      <c r="A3908" s="5" t="str">
        <f ca="1">IFERROR(__xludf.DUMMYFUNCTION("GOOGLETRANSLATE(B31945,""en"",""pt"")"),"Udgīr")</f>
        <v>Udgīr</v>
      </c>
      <c r="B3908" s="17" t="s">
        <v>32982</v>
      </c>
      <c r="C3908" s="17" t="s">
        <v>10178</v>
      </c>
      <c r="D3908" s="17" t="s">
        <v>10214</v>
      </c>
      <c r="E3908" s="10">
        <v>1253958</v>
      </c>
      <c r="F3908" s="4" t="str">
        <f>IF(B3908=B3907,"",B3908)</f>
        <v>Udgīr</v>
      </c>
    </row>
    <row r="3909" spans="1:6" ht="15.75" customHeight="1">
      <c r="A3909" s="6" t="s">
        <v>13629</v>
      </c>
      <c r="B3909" s="6" t="s">
        <v>13630</v>
      </c>
      <c r="C3909" s="6" t="s">
        <v>10178</v>
      </c>
      <c r="D3909" s="6" t="s">
        <v>10214</v>
      </c>
      <c r="E3909" s="2">
        <v>1253958</v>
      </c>
      <c r="F3909" s="4" t="str">
        <f>IF(B3909=B3908,"",B3909)</f>
        <v>UdgÄ«r</v>
      </c>
    </row>
    <row r="3910" spans="1:6" ht="15.75" customHeight="1">
      <c r="A3910" s="6" t="s">
        <v>19106</v>
      </c>
      <c r="B3910" s="6" t="s">
        <v>19106</v>
      </c>
      <c r="C3910" s="6" t="s">
        <v>18862</v>
      </c>
      <c r="D3910" s="6" t="s">
        <v>18888</v>
      </c>
      <c r="E3910" s="2">
        <v>2746005</v>
      </c>
      <c r="F3910" s="4" t="str">
        <f>IF(B3910=B3909,"",B3910)</f>
        <v>Uden</v>
      </c>
    </row>
    <row r="3911" spans="1:6" ht="15.75" customHeight="1">
      <c r="A3911" s="5" t="str">
        <f ca="1">IFERROR(__xludf.DUMMYFUNCTION("GOOGLETRANSLATE(B37938,""en"",""pt"")"),"Uden")</f>
        <v>Uden</v>
      </c>
      <c r="B3911" s="17" t="s">
        <v>19106</v>
      </c>
      <c r="C3911" s="17" t="s">
        <v>18862</v>
      </c>
      <c r="D3911" s="17" t="s">
        <v>18888</v>
      </c>
      <c r="E3911" s="10">
        <v>2746005</v>
      </c>
      <c r="F3911" s="4" t="str">
        <f>IF(B3911=B3910,"",B3911)</f>
        <v/>
      </c>
    </row>
    <row r="3912" spans="1:6" ht="15.75" customHeight="1">
      <c r="A3912" s="5" t="s">
        <v>25215</v>
      </c>
      <c r="B3912" s="6" t="s">
        <v>25215</v>
      </c>
      <c r="C3912" s="5" t="s">
        <v>25077</v>
      </c>
      <c r="D3912" s="5" t="s">
        <v>25086</v>
      </c>
      <c r="E3912" s="2">
        <v>2666670</v>
      </c>
      <c r="F3912" s="4" t="str">
        <f>IF(B3912=B3911,"",B3912)</f>
        <v>Uddevalla</v>
      </c>
    </row>
    <row r="3913" spans="1:6" ht="15.75" customHeight="1">
      <c r="A3913" s="5" t="str">
        <f ca="1">IFERROR(__xludf.DUMMYFUNCTION("GOOGLETRANSLATE(B41134,""en"",""pt"")"),"Uddevalla")</f>
        <v>Uddevalla</v>
      </c>
      <c r="B3913" s="17" t="s">
        <v>25215</v>
      </c>
      <c r="C3913" s="17" t="s">
        <v>25077</v>
      </c>
      <c r="D3913" s="17" t="s">
        <v>35628</v>
      </c>
      <c r="E3913" s="10">
        <v>2666670</v>
      </c>
      <c r="F3913" s="4" t="str">
        <f>IF(B3913=B3912,"",B3913)</f>
        <v/>
      </c>
    </row>
    <row r="3914" spans="1:6" ht="15.75" customHeight="1">
      <c r="A3914" s="6" t="s">
        <v>13628</v>
      </c>
      <c r="B3914" s="6" t="s">
        <v>13628</v>
      </c>
      <c r="C3914" s="6" t="s">
        <v>10178</v>
      </c>
      <c r="D3914" s="6" t="s">
        <v>10196</v>
      </c>
      <c r="E3914" s="2">
        <v>1253972</v>
      </c>
      <c r="F3914" s="4" t="str">
        <f>IF(B3914=B3913,"",B3914)</f>
        <v>Udankudi</v>
      </c>
    </row>
    <row r="3915" spans="1:6" ht="15.75" customHeight="1">
      <c r="A3915" s="5" t="str">
        <f ca="1">IFERROR(__xludf.DUMMYFUNCTION("GOOGLETRANSLATE(B31946,""en"",""pt"")"),"Udankudi")</f>
        <v>Udankudi</v>
      </c>
      <c r="B3915" s="17" t="s">
        <v>13628</v>
      </c>
      <c r="C3915" s="17" t="s">
        <v>10178</v>
      </c>
      <c r="D3915" s="17" t="s">
        <v>10196</v>
      </c>
      <c r="E3915" s="10">
        <v>1253972</v>
      </c>
      <c r="F3915" s="4" t="str">
        <f>IF(B3915=B3914,"",B3915)</f>
        <v/>
      </c>
    </row>
    <row r="3916" spans="1:6" ht="15.75" customHeight="1">
      <c r="A3916" s="6" t="s">
        <v>13627</v>
      </c>
      <c r="B3916" s="6" t="s">
        <v>13627</v>
      </c>
      <c r="C3916" s="6" t="s">
        <v>10178</v>
      </c>
      <c r="D3916" s="6" t="s">
        <v>10239</v>
      </c>
      <c r="E3916" s="2">
        <v>1253977</v>
      </c>
      <c r="F3916" s="4" t="str">
        <f>IF(B3916=B3915,"",B3916)</f>
        <v>Udalguri</v>
      </c>
    </row>
    <row r="3917" spans="1:6" ht="15.75" customHeight="1">
      <c r="A3917" s="5" t="str">
        <f ca="1">IFERROR(__xludf.DUMMYFUNCTION("GOOGLETRANSLATE(B31947,""en"",""pt"")"),"Udalguri")</f>
        <v>Udalguri</v>
      </c>
      <c r="B3917" s="17" t="s">
        <v>13627</v>
      </c>
      <c r="C3917" s="17" t="s">
        <v>10178</v>
      </c>
      <c r="D3917" s="17" t="s">
        <v>10239</v>
      </c>
      <c r="E3917" s="10">
        <v>1253977</v>
      </c>
      <c r="F3917" s="4" t="str">
        <f>IF(B3917=B3916,"",B3917)</f>
        <v/>
      </c>
    </row>
    <row r="3918" spans="1:6" ht="15.75" customHeight="1">
      <c r="A3918" s="6" t="s">
        <v>13626</v>
      </c>
      <c r="B3918" s="6" t="s">
        <v>13626</v>
      </c>
      <c r="C3918" s="6" t="s">
        <v>10178</v>
      </c>
      <c r="D3918" s="6" t="s">
        <v>10219</v>
      </c>
      <c r="E3918" s="2">
        <v>1253984</v>
      </c>
      <c r="F3918" s="4" t="str">
        <f>IF(B3918=B3917,"",B3918)</f>
        <v>Udaipura</v>
      </c>
    </row>
    <row r="3919" spans="1:6" ht="15.75" customHeight="1">
      <c r="A3919" s="5" t="str">
        <f ca="1">IFERROR(__xludf.DUMMYFUNCTION("GOOGLETRANSLATE(B31948,""en"",""pt"")"),"Udaipura")</f>
        <v>Udaipura</v>
      </c>
      <c r="B3919" s="17" t="s">
        <v>13626</v>
      </c>
      <c r="C3919" s="17" t="s">
        <v>10178</v>
      </c>
      <c r="D3919" s="17" t="s">
        <v>10219</v>
      </c>
      <c r="E3919" s="10">
        <v>1253984</v>
      </c>
      <c r="F3919" s="4" t="str">
        <f>IF(B3919=B3918,"",B3919)</f>
        <v/>
      </c>
    </row>
    <row r="3920" spans="1:6" ht="15.75" customHeight="1">
      <c r="A3920" s="6" t="s">
        <v>13625</v>
      </c>
      <c r="B3920" s="6" t="s">
        <v>13625</v>
      </c>
      <c r="C3920" s="6" t="s">
        <v>10178</v>
      </c>
      <c r="D3920" s="6" t="s">
        <v>10179</v>
      </c>
      <c r="E3920" s="2">
        <v>1253985</v>
      </c>
      <c r="F3920" s="4" t="str">
        <f>IF(B3920=B3919,"",B3920)</f>
        <v>Udaipur</v>
      </c>
    </row>
    <row r="3921" spans="1:6" ht="15.75" customHeight="1">
      <c r="A3921" s="6" t="s">
        <v>13625</v>
      </c>
      <c r="B3921" s="6" t="s">
        <v>13625</v>
      </c>
      <c r="C3921" s="6" t="s">
        <v>10178</v>
      </c>
      <c r="D3921" s="6" t="s">
        <v>10179</v>
      </c>
      <c r="E3921" s="2">
        <v>1253986</v>
      </c>
      <c r="F3921" s="4" t="str">
        <f>IF(B3921=B3920,"",B3921)</f>
        <v/>
      </c>
    </row>
    <row r="3922" spans="1:6" ht="15.75" customHeight="1">
      <c r="A3922" s="6" t="s">
        <v>13625</v>
      </c>
      <c r="B3922" s="6" t="s">
        <v>13625</v>
      </c>
      <c r="C3922" s="6" t="s">
        <v>10178</v>
      </c>
      <c r="D3922" s="6" t="s">
        <v>10255</v>
      </c>
      <c r="E3922" s="2">
        <v>1253987</v>
      </c>
      <c r="F3922" s="4" t="str">
        <f>IF(B3922=B3921,"",B3922)</f>
        <v/>
      </c>
    </row>
    <row r="3923" spans="1:6" ht="15.75" customHeight="1">
      <c r="A3923" s="5" t="str">
        <f ca="1">IFERROR(__xludf.DUMMYFUNCTION("GOOGLETRANSLATE(B31949,""en"",""pt"")"),"Udaipur")</f>
        <v>Udaipur</v>
      </c>
      <c r="B3923" s="17" t="s">
        <v>13625</v>
      </c>
      <c r="C3923" s="17" t="s">
        <v>10178</v>
      </c>
      <c r="D3923" s="17" t="s">
        <v>10179</v>
      </c>
      <c r="E3923" s="10">
        <v>1253985</v>
      </c>
      <c r="F3923" s="4" t="str">
        <f>IF(B3923=B3922,"",B3923)</f>
        <v/>
      </c>
    </row>
    <row r="3924" spans="1:6" ht="15.75" customHeight="1">
      <c r="A3924" s="5" t="str">
        <f ca="1">IFERROR(__xludf.DUMMYFUNCTION("GOOGLETRANSLATE(B31950,""en"",""pt"")"),"Udaipur")</f>
        <v>Udaipur</v>
      </c>
      <c r="B3924" s="17" t="s">
        <v>13625</v>
      </c>
      <c r="C3924" s="17" t="s">
        <v>10178</v>
      </c>
      <c r="D3924" s="17" t="s">
        <v>10179</v>
      </c>
      <c r="E3924" s="10">
        <v>1253986</v>
      </c>
      <c r="F3924" s="4" t="str">
        <f>IF(B3924=B3923,"",B3924)</f>
        <v/>
      </c>
    </row>
    <row r="3925" spans="1:6" ht="15.75" customHeight="1">
      <c r="A3925" s="5" t="str">
        <f ca="1">IFERROR(__xludf.DUMMYFUNCTION("GOOGLETRANSLATE(B31951,""en"",""pt"")"),"Udaipur")</f>
        <v>Udaipur</v>
      </c>
      <c r="B3925" s="17" t="s">
        <v>13625</v>
      </c>
      <c r="C3925" s="17" t="s">
        <v>10178</v>
      </c>
      <c r="D3925" s="17" t="s">
        <v>10255</v>
      </c>
      <c r="E3925" s="10">
        <v>1253987</v>
      </c>
      <c r="F3925" s="4" t="str">
        <f>IF(B3925=B3924,"",B3925)</f>
        <v/>
      </c>
    </row>
    <row r="3926" spans="1:6" ht="15.75" customHeight="1">
      <c r="A3926" s="6" t="s">
        <v>23226</v>
      </c>
      <c r="B3926" s="6" t="s">
        <v>23226</v>
      </c>
      <c r="C3926" s="6" t="s">
        <v>22070</v>
      </c>
      <c r="D3926" s="6" t="s">
        <v>22111</v>
      </c>
      <c r="E3926" s="2">
        <v>2014624</v>
      </c>
      <c r="F3926" s="4" t="str">
        <f>IF(B3926=B3925,"",B3926)</f>
        <v>Udachny</v>
      </c>
    </row>
    <row r="3927" spans="1:6" ht="15.75" customHeight="1">
      <c r="A3927" s="5" t="str">
        <f ca="1">IFERROR(__xludf.DUMMYFUNCTION("GOOGLETRANSLATE(B40903,""en"",""pt"")"),"Udachny")</f>
        <v>Udachny</v>
      </c>
      <c r="B3927" s="17" t="s">
        <v>23226</v>
      </c>
      <c r="C3927" s="17" t="s">
        <v>22070</v>
      </c>
      <c r="D3927" s="17" t="s">
        <v>22111</v>
      </c>
      <c r="E3927" s="10">
        <v>2014624</v>
      </c>
      <c r="F3927" s="4" t="str">
        <f>IF(B3927=B3926,"",B3927)</f>
        <v/>
      </c>
    </row>
    <row r="3928" spans="1:6" ht="15.75" customHeight="1">
      <c r="A3928" s="6" t="s">
        <v>27716</v>
      </c>
      <c r="B3928" s="6" t="s">
        <v>27716</v>
      </c>
      <c r="C3928" s="6" t="s">
        <v>27234</v>
      </c>
      <c r="D3928" s="6" t="s">
        <v>27241</v>
      </c>
      <c r="E3928" s="2">
        <v>2635243</v>
      </c>
      <c r="F3928" s="4" t="str">
        <f>IF(B3928=B3927,"",B3928)</f>
        <v>Uckfield</v>
      </c>
    </row>
    <row r="3929" spans="1:6" ht="15.75" customHeight="1">
      <c r="A3929" s="5" t="str">
        <f ca="1">IFERROR(__xludf.DUMMYFUNCTION("GOOGLETRANSLATE(B30375,""en"",""pt"")"),"Uckfield")</f>
        <v>Uckfield</v>
      </c>
      <c r="B3929" s="17" t="s">
        <v>27716</v>
      </c>
      <c r="C3929" s="17" t="s">
        <v>27234</v>
      </c>
      <c r="D3929" s="17" t="s">
        <v>27241</v>
      </c>
      <c r="E3929" s="10">
        <v>2635243</v>
      </c>
      <c r="F3929" s="4" t="str">
        <f>IF(B3929=B3928,"",B3929)</f>
        <v/>
      </c>
    </row>
    <row r="3930" spans="1:6" ht="15.75" customHeight="1">
      <c r="A3930" s="5" t="str">
        <f ca="1">IFERROR(__xludf.DUMMYFUNCTION("GOOGLETRANSLATE(B45538,""en"",""pt"")"),"UCHQŭRGHON SHAHRI")</f>
        <v>UCHQŭRGHON SHAHRI</v>
      </c>
      <c r="B3930" s="17" t="s">
        <v>36068</v>
      </c>
      <c r="C3930" s="17" t="s">
        <v>30502</v>
      </c>
      <c r="D3930" s="17" t="s">
        <v>30528</v>
      </c>
      <c r="E3930" s="10">
        <v>1512501</v>
      </c>
      <c r="F3930" s="4" t="str">
        <f>IF(B3930=B3929,"",B3930)</f>
        <v>Uchqŭrghon Shahri</v>
      </c>
    </row>
    <row r="3931" spans="1:6" ht="15.75" customHeight="1">
      <c r="A3931" s="5" t="s">
        <v>30608</v>
      </c>
      <c r="B3931" s="6" t="s">
        <v>30609</v>
      </c>
      <c r="C3931" s="5" t="s">
        <v>30502</v>
      </c>
      <c r="D3931" s="5" t="s">
        <v>30528</v>
      </c>
      <c r="E3931" s="2">
        <v>1512501</v>
      </c>
      <c r="F3931" s="4" t="str">
        <f>IF(B3931=B3930,"",B3931)</f>
        <v>UchqÅ­rghon Shahri</v>
      </c>
    </row>
    <row r="3932" spans="1:6" ht="15.75" customHeight="1">
      <c r="A3932" s="6" t="s">
        <v>23225</v>
      </c>
      <c r="B3932" s="6" t="s">
        <v>23225</v>
      </c>
      <c r="C3932" s="6" t="s">
        <v>22070</v>
      </c>
      <c r="D3932" s="6" t="s">
        <v>22302</v>
      </c>
      <c r="E3932" s="2">
        <v>479687</v>
      </c>
      <c r="F3932" s="4" t="str">
        <f>IF(B3932=B3931,"",B3932)</f>
        <v>Uchkeken</v>
      </c>
    </row>
    <row r="3933" spans="1:6" ht="15.75" customHeight="1">
      <c r="A3933" s="5" t="str">
        <f ca="1">IFERROR(__xludf.DUMMYFUNCTION("GOOGLETRANSLATE(B40014,""en"",""pt"")"),"Uchkeken")</f>
        <v>Uchkeken</v>
      </c>
      <c r="B3933" s="17" t="s">
        <v>23225</v>
      </c>
      <c r="C3933" s="17" t="s">
        <v>22070</v>
      </c>
      <c r="D3933" s="17" t="s">
        <v>22302</v>
      </c>
      <c r="E3933" s="10">
        <v>479687</v>
      </c>
      <c r="F3933" s="4" t="str">
        <f>IF(B3933=B3932,"",B3933)</f>
        <v/>
      </c>
    </row>
    <row r="3934" spans="1:6" ht="15.75" customHeight="1">
      <c r="A3934" s="6" t="s">
        <v>20590</v>
      </c>
      <c r="B3934" s="6" t="s">
        <v>20590</v>
      </c>
      <c r="C3934" s="6" t="s">
        <v>20470</v>
      </c>
      <c r="D3934" s="6" t="s">
        <v>787</v>
      </c>
      <c r="E3934" s="2">
        <v>3691094</v>
      </c>
      <c r="F3934" s="4" t="str">
        <f>IF(B3934=B3933,"",B3934)</f>
        <v>Uchiza</v>
      </c>
    </row>
    <row r="3935" spans="1:6" ht="15.75" customHeight="1">
      <c r="A3935" s="5" t="str">
        <f ca="1">IFERROR(__xludf.DUMMYFUNCTION("GOOGLETRANSLATE(B38303,""en"",""pt"")"),"Uchiza")</f>
        <v>Uchiza</v>
      </c>
      <c r="B3935" s="17" t="s">
        <v>20590</v>
      </c>
      <c r="C3935" s="17" t="s">
        <v>20470</v>
      </c>
      <c r="D3935" s="17" t="s">
        <v>31188</v>
      </c>
      <c r="E3935" s="10">
        <v>3691094</v>
      </c>
      <c r="F3935" s="4" t="str">
        <f>IF(B3935=B3934,"",B3935)</f>
        <v/>
      </c>
    </row>
    <row r="3936" spans="1:6" ht="15.75" customHeight="1">
      <c r="A3936" s="6" t="s">
        <v>23224</v>
      </c>
      <c r="B3936" s="6" t="s">
        <v>23224</v>
      </c>
      <c r="C3936" s="6" t="s">
        <v>22070</v>
      </c>
      <c r="D3936" s="6" t="s">
        <v>22088</v>
      </c>
      <c r="E3936" s="2">
        <v>479703</v>
      </c>
      <c r="F3936" s="4" t="str">
        <f>IF(B3936=B3935,"",B3936)</f>
        <v>Uchaly</v>
      </c>
    </row>
    <row r="3937" spans="1:6" ht="15.75" customHeight="1">
      <c r="A3937" s="6" t="s">
        <v>23224</v>
      </c>
      <c r="B3937" s="6" t="s">
        <v>23224</v>
      </c>
      <c r="C3937" s="6" t="s">
        <v>22070</v>
      </c>
      <c r="D3937" s="6" t="s">
        <v>22088</v>
      </c>
      <c r="E3937" s="2">
        <v>479704</v>
      </c>
      <c r="F3937" s="4" t="str">
        <f>IF(B3937=B3936,"",B3937)</f>
        <v/>
      </c>
    </row>
    <row r="3938" spans="1:6" ht="15.75" customHeight="1">
      <c r="A3938" s="5" t="str">
        <f ca="1">IFERROR(__xludf.DUMMYFUNCTION("GOOGLETRANSLATE(B40015,""en"",""pt"")"),"Uchaly")</f>
        <v>Uchaly</v>
      </c>
      <c r="B3938" s="17" t="s">
        <v>23224</v>
      </c>
      <c r="C3938" s="17" t="s">
        <v>22070</v>
      </c>
      <c r="D3938" s="17" t="s">
        <v>22088</v>
      </c>
      <c r="E3938" s="10">
        <v>479703</v>
      </c>
      <c r="F3938" s="4" t="str">
        <f>IF(B3938=B3937,"",B3938)</f>
        <v/>
      </c>
    </row>
    <row r="3939" spans="1:6" ht="15.75" customHeight="1">
      <c r="A3939" s="5" t="str">
        <f ca="1">IFERROR(__xludf.DUMMYFUNCTION("GOOGLETRANSLATE(B40016,""en"",""pt"")"),"Uchaly")</f>
        <v>Uchaly</v>
      </c>
      <c r="B3939" s="17" t="s">
        <v>23224</v>
      </c>
      <c r="C3939" s="17" t="s">
        <v>22070</v>
      </c>
      <c r="D3939" s="17" t="s">
        <v>22088</v>
      </c>
      <c r="E3939" s="10">
        <v>479704</v>
      </c>
      <c r="F3939" s="4" t="str">
        <f>IF(B3939=B3938,"",B3939)</f>
        <v/>
      </c>
    </row>
    <row r="3940" spans="1:6" ht="15.75" customHeight="1">
      <c r="A3940" s="6" t="s">
        <v>14221</v>
      </c>
      <c r="B3940" s="6" t="s">
        <v>14221</v>
      </c>
      <c r="C3940" s="6" t="s">
        <v>13800</v>
      </c>
      <c r="D3940" s="6" t="s">
        <v>3894</v>
      </c>
      <c r="E3940" s="2">
        <v>1622846</v>
      </c>
      <c r="F3940" s="4" t="str">
        <f>IF(B3940=B3939,"",B3940)</f>
        <v>Ubud</v>
      </c>
    </row>
    <row r="3941" spans="1:6" ht="15.75" customHeight="1">
      <c r="A3941" s="5" t="str">
        <f ca="1">IFERROR(__xludf.DUMMYFUNCTION("GOOGLETRANSLATE(B31399,""en"",""pt"")"),"Ubud")</f>
        <v>Ubud</v>
      </c>
      <c r="B3941" s="17" t="s">
        <v>14221</v>
      </c>
      <c r="C3941" s="17" t="s">
        <v>13800</v>
      </c>
      <c r="D3941" s="17" t="s">
        <v>3894</v>
      </c>
      <c r="E3941" s="10">
        <v>1622846</v>
      </c>
      <c r="F3941" s="4" t="str">
        <f>IF(B3941=B3940,"",B3941)</f>
        <v/>
      </c>
    </row>
    <row r="3942" spans="1:6" ht="15.75" customHeight="1">
      <c r="A3942" s="6" t="s">
        <v>24870</v>
      </c>
      <c r="B3942" s="6" t="s">
        <v>24870</v>
      </c>
      <c r="C3942" s="6" t="s">
        <v>24200</v>
      </c>
      <c r="D3942" s="6" t="s">
        <v>24205</v>
      </c>
      <c r="E3942" s="2">
        <v>2510112</v>
      </c>
      <c r="F3942" s="4" t="str">
        <f>IF(B3942=B3941,"",B3942)</f>
        <v>Ubrique</v>
      </c>
    </row>
    <row r="3943" spans="1:6" ht="15.75" customHeight="1">
      <c r="A3943" s="5" t="str">
        <f ca="1">IFERROR(__xludf.DUMMYFUNCTION("GOOGLETRANSLATE(B28963,""en"",""pt"")"),"Ubrique")</f>
        <v>Ubrique</v>
      </c>
      <c r="B3943" s="17" t="s">
        <v>24870</v>
      </c>
      <c r="C3943" s="17" t="s">
        <v>24200</v>
      </c>
      <c r="D3943" s="17" t="s">
        <v>24205</v>
      </c>
      <c r="E3943" s="10">
        <v>2510112</v>
      </c>
      <c r="F3943" s="4" t="str">
        <f>IF(B3943=B3942,"",B3943)</f>
        <v/>
      </c>
    </row>
    <row r="3944" spans="1:6" ht="15.75" customHeight="1">
      <c r="A3944" s="5" t="s">
        <v>26022</v>
      </c>
      <c r="B3944" s="6" t="s">
        <v>26022</v>
      </c>
      <c r="C3944" s="5" t="s">
        <v>25771</v>
      </c>
      <c r="D3944" s="5" t="s">
        <v>25878</v>
      </c>
      <c r="E3944" s="2">
        <v>1605245</v>
      </c>
      <c r="F3944" s="4" t="str">
        <f>IF(B3944=B3943,"",B3944)</f>
        <v>Ubon Ratchathani</v>
      </c>
    </row>
    <row r="3945" spans="1:6" ht="15.75" customHeight="1">
      <c r="A3945" s="5" t="str">
        <f ca="1">IFERROR(__xludf.DUMMYFUNCTION("GOOGLETRANSLATE(B41590,""en"",""pt"")"),"Ubon Ratchathani")</f>
        <v>Ubon Ratchathani</v>
      </c>
      <c r="B3945" s="17" t="s">
        <v>26022</v>
      </c>
      <c r="C3945" s="17" t="s">
        <v>25771</v>
      </c>
      <c r="D3945" s="17" t="s">
        <v>25878</v>
      </c>
      <c r="E3945" s="10">
        <v>1605245</v>
      </c>
      <c r="F3945" s="4" t="str">
        <f>IF(B3945=B3944,"",B3945)</f>
        <v/>
      </c>
    </row>
    <row r="3946" spans="1:6" ht="15.75" customHeight="1">
      <c r="A3946" s="6" t="s">
        <v>19570</v>
      </c>
      <c r="B3946" s="6" t="s">
        <v>19570</v>
      </c>
      <c r="C3946" s="6" t="s">
        <v>19294</v>
      </c>
      <c r="D3946" s="6" t="s">
        <v>19328</v>
      </c>
      <c r="E3946" s="2">
        <v>2321031</v>
      </c>
      <c r="F3946" s="4" t="str">
        <f>IF(B3946=B3945,"",B3946)</f>
        <v>Ubiaja</v>
      </c>
    </row>
    <row r="3947" spans="1:6" ht="15.75" customHeight="1">
      <c r="A3947" s="5" t="str">
        <f ca="1">IFERROR(__xludf.DUMMYFUNCTION("GOOGLETRANSLATE(B37622,""en"",""pt"")"),"Ubiaja")</f>
        <v>Ubiaja</v>
      </c>
      <c r="B3947" s="17" t="s">
        <v>19570</v>
      </c>
      <c r="C3947" s="17" t="s">
        <v>19294</v>
      </c>
      <c r="D3947" s="17" t="s">
        <v>19328</v>
      </c>
      <c r="E3947" s="10">
        <v>2321031</v>
      </c>
      <c r="F3947" s="4" t="str">
        <f>IF(B3947=B3946,"",B3947)</f>
        <v/>
      </c>
    </row>
    <row r="3948" spans="1:6" ht="15.75" customHeight="1">
      <c r="A3948" s="5" t="str">
        <f ca="1">IFERROR(__xludf.DUMMYFUNCTION("GOOGLETRANSLATE(B27465,""en"",""pt"")"),"Überlingen")</f>
        <v>Überlingen</v>
      </c>
      <c r="B3948" s="17" t="s">
        <v>32023</v>
      </c>
      <c r="C3948" s="17" t="s">
        <v>8028</v>
      </c>
      <c r="D3948" s="17" t="s">
        <v>32013</v>
      </c>
      <c r="E3948" s="10">
        <v>2820577</v>
      </c>
      <c r="F3948" s="4" t="str">
        <f>IF(B3948=B3947,"",B3948)</f>
        <v>Überlingen</v>
      </c>
    </row>
    <row r="3949" spans="1:6" ht="15.75" customHeight="1">
      <c r="A3949" s="5" t="str">
        <f ca="1">IFERROR(__xludf.DUMMYFUNCTION("GOOGLETRANSLATE(B24465,""en"",""pt"")"),"UberlânDia")</f>
        <v>UberlânDia</v>
      </c>
      <c r="B3949" s="17" t="s">
        <v>31439</v>
      </c>
      <c r="C3949" s="17" t="s">
        <v>1905</v>
      </c>
      <c r="D3949" s="17" t="s">
        <v>1917</v>
      </c>
      <c r="E3949" s="10">
        <v>3445831</v>
      </c>
      <c r="F3949" s="4" t="str">
        <f>IF(B3949=B3948,"",B3949)</f>
        <v>Uberlândia</v>
      </c>
    </row>
    <row r="3950" spans="1:6" ht="15.75" customHeight="1">
      <c r="A3950" s="5" t="s">
        <v>3609</v>
      </c>
      <c r="B3950" s="6" t="s">
        <v>3610</v>
      </c>
      <c r="C3950" s="5" t="s">
        <v>1905</v>
      </c>
      <c r="D3950" s="5" t="s">
        <v>1917</v>
      </c>
      <c r="E3950" s="2">
        <v>3445831</v>
      </c>
      <c r="F3950" s="4" t="str">
        <f>IF(B3950=B3949,"",B3950)</f>
        <v>UberlÃ¢ndia</v>
      </c>
    </row>
    <row r="3951" spans="1:6" ht="15.75" customHeight="1">
      <c r="A3951" s="6" t="s">
        <v>3608</v>
      </c>
      <c r="B3951" s="6" t="s">
        <v>3608</v>
      </c>
      <c r="C3951" s="6" t="s">
        <v>1905</v>
      </c>
      <c r="D3951" s="6" t="s">
        <v>1917</v>
      </c>
      <c r="E3951" s="2">
        <v>3445839</v>
      </c>
      <c r="F3951" s="4" t="str">
        <f>IF(B3951=B3950,"",B3951)</f>
        <v>Uberaba</v>
      </c>
    </row>
    <row r="3952" spans="1:6" ht="15.75" customHeight="1">
      <c r="A3952" s="5" t="str">
        <f ca="1">IFERROR(__xludf.DUMMYFUNCTION("GOOGLETRANSLATE(B24466,""en"",""pt"")"),"Uberaba")</f>
        <v>Uberaba</v>
      </c>
      <c r="B3952" s="17" t="s">
        <v>3608</v>
      </c>
      <c r="C3952" s="17" t="s">
        <v>1905</v>
      </c>
      <c r="D3952" s="17" t="s">
        <v>1917</v>
      </c>
      <c r="E3952" s="10">
        <v>3445839</v>
      </c>
      <c r="F3952" s="4" t="str">
        <f>IF(B3952=B3951,"",B3952)</f>
        <v/>
      </c>
    </row>
    <row r="3953" spans="1:6" ht="15.75" customHeight="1">
      <c r="A3953" s="5" t="str">
        <f ca="1">IFERROR(__xludf.DUMMYFUNCTION("GOOGLETRANSLATE(B28964,""en"",""pt"")"),"ÚBEDA")</f>
        <v>ÚBEDA</v>
      </c>
      <c r="B3953" s="17" t="s">
        <v>32354</v>
      </c>
      <c r="C3953" s="17" t="s">
        <v>24200</v>
      </c>
      <c r="D3953" s="17" t="s">
        <v>24205</v>
      </c>
      <c r="E3953" s="10">
        <v>2510116</v>
      </c>
      <c r="F3953" s="4" t="str">
        <f>IF(B3953=B3952,"",B3953)</f>
        <v>Úbeda</v>
      </c>
    </row>
    <row r="3954" spans="1:6" ht="15.75" customHeight="1">
      <c r="A3954" s="6" t="s">
        <v>16549</v>
      </c>
      <c r="B3954" s="6" t="s">
        <v>16549</v>
      </c>
      <c r="C3954" s="6" t="s">
        <v>15704</v>
      </c>
      <c r="D3954" s="6" t="s">
        <v>15796</v>
      </c>
      <c r="E3954" s="2">
        <v>1849498</v>
      </c>
      <c r="F3954" s="4" t="str">
        <f>IF(B3954=B3953,"",B3954)</f>
        <v>Ube</v>
      </c>
    </row>
    <row r="3955" spans="1:6" ht="15.75" customHeight="1">
      <c r="A3955" s="5" t="str">
        <f ca="1">IFERROR(__xludf.DUMMYFUNCTION("GOOGLETRANSLATE(B35197,""en"",""pt"")"),"Ube")</f>
        <v>Ube</v>
      </c>
      <c r="B3955" s="17" t="s">
        <v>16549</v>
      </c>
      <c r="C3955" s="17" t="s">
        <v>15704</v>
      </c>
      <c r="D3955" s="17" t="s">
        <v>15796</v>
      </c>
      <c r="E3955" s="10">
        <v>1849498</v>
      </c>
      <c r="F3955" s="4" t="str">
        <f>IF(B3955=B3954,"",B3955)</f>
        <v/>
      </c>
    </row>
    <row r="3956" spans="1:6" ht="15.75" customHeight="1">
      <c r="A3956" s="6" t="s">
        <v>20274</v>
      </c>
      <c r="B3956" s="6" t="s">
        <v>20274</v>
      </c>
      <c r="C3956" s="6" t="s">
        <v>19808</v>
      </c>
      <c r="D3956" s="6" t="s">
        <v>19823</v>
      </c>
      <c r="E3956" s="2">
        <v>1163021</v>
      </c>
      <c r="F3956" s="4" t="str">
        <f>IF(B3956=B3955,"",B3956)</f>
        <v>Ubauro</v>
      </c>
    </row>
    <row r="3957" spans="1:6" ht="15.75" customHeight="1">
      <c r="A3957" s="5" t="str">
        <f ca="1">IFERROR(__xludf.DUMMYFUNCTION("GOOGLETRANSLATE(B38880,""en"",""pt"")"),"Ubauro")</f>
        <v>Ubauro</v>
      </c>
      <c r="B3957" s="17" t="s">
        <v>20274</v>
      </c>
      <c r="C3957" s="17" t="s">
        <v>19808</v>
      </c>
      <c r="D3957" s="17" t="s">
        <v>19823</v>
      </c>
      <c r="E3957" s="10">
        <v>1163021</v>
      </c>
      <c r="F3957" s="4" t="str">
        <f>IF(B3957=B3956,"",B3957)</f>
        <v/>
      </c>
    </row>
    <row r="3958" spans="1:6" ht="15.75" customHeight="1">
      <c r="A3958" s="6" t="s">
        <v>3607</v>
      </c>
      <c r="B3958" s="6" t="s">
        <v>3607</v>
      </c>
      <c r="C3958" s="6" t="s">
        <v>1905</v>
      </c>
      <c r="D3958" s="6" t="s">
        <v>1914</v>
      </c>
      <c r="E3958" s="2">
        <v>3445847</v>
      </c>
      <c r="F3958" s="4" t="str">
        <f>IF(B3958=B3957,"",B3958)</f>
        <v>Ubatuba</v>
      </c>
    </row>
    <row r="3959" spans="1:6" ht="15.75" customHeight="1">
      <c r="A3959" s="5" t="str">
        <f ca="1">IFERROR(__xludf.DUMMYFUNCTION("GOOGLETRANSLATE(B24467,""en"",""pt"")"),"Ubatuba")</f>
        <v>Ubatuba</v>
      </c>
      <c r="B3959" s="17" t="s">
        <v>3607</v>
      </c>
      <c r="C3959" s="17" t="s">
        <v>1905</v>
      </c>
      <c r="D3959" s="17" t="s">
        <v>3354</v>
      </c>
      <c r="E3959" s="10">
        <v>3445847</v>
      </c>
      <c r="F3959" s="4" t="str">
        <f>IF(B3959=B3958,"",B3959)</f>
        <v/>
      </c>
    </row>
    <row r="3960" spans="1:6" ht="15.75" customHeight="1">
      <c r="A3960" s="5" t="str">
        <f ca="1">IFERROR(__xludf.DUMMYFUNCTION("GOOGLETRANSLATE(B26858,""en"",""pt"")"),"Ubaté")</f>
        <v>Ubaté</v>
      </c>
      <c r="B3960" s="17" t="s">
        <v>5637</v>
      </c>
      <c r="C3960" s="17" t="s">
        <v>5348</v>
      </c>
      <c r="D3960" s="17" t="s">
        <v>5400</v>
      </c>
      <c r="E3960" s="10">
        <v>3666519</v>
      </c>
      <c r="F3960" s="4" t="str">
        <f>IF(B3960=B3959,"",B3960)</f>
        <v>Ubaté</v>
      </c>
    </row>
    <row r="3961" spans="1:6" ht="15.75" customHeight="1">
      <c r="A3961" s="6" t="s">
        <v>5637</v>
      </c>
      <c r="B3961" s="6" t="s">
        <v>5638</v>
      </c>
      <c r="C3961" s="6" t="s">
        <v>5348</v>
      </c>
      <c r="D3961" s="6" t="s">
        <v>5400</v>
      </c>
      <c r="E3961" s="2">
        <v>3666519</v>
      </c>
      <c r="F3961" s="4" t="str">
        <f>IF(B3961=B3960,"",B3961)</f>
        <v>UbatÃ©</v>
      </c>
    </row>
    <row r="3962" spans="1:6" ht="15.75" customHeight="1">
      <c r="A3962" s="6" t="s">
        <v>3605</v>
      </c>
      <c r="B3962" s="6" t="s">
        <v>3606</v>
      </c>
      <c r="C3962" s="6" t="s">
        <v>1905</v>
      </c>
      <c r="D3962" s="6" t="s">
        <v>1947</v>
      </c>
      <c r="E3962" s="2">
        <v>3445849</v>
      </c>
      <c r="F3962" s="4" t="str">
        <f>IF(B3962=B3961,"",B3962)</f>
        <v>UbatÃ£</v>
      </c>
    </row>
    <row r="3963" spans="1:6" ht="15.75" customHeight="1">
      <c r="A3963" s="5" t="str">
        <f ca="1">IFERROR(__xludf.DUMMYFUNCTION("GOOGLETRANSLATE(B24468,""en"",""pt"")"),"Ubatã")</f>
        <v>Ubatã</v>
      </c>
      <c r="B3963" s="17" t="s">
        <v>3605</v>
      </c>
      <c r="C3963" s="17" t="s">
        <v>1905</v>
      </c>
      <c r="D3963" s="17" t="s">
        <v>1947</v>
      </c>
      <c r="E3963" s="10">
        <v>3445849</v>
      </c>
      <c r="F3963" s="4" t="str">
        <f>IF(B3963=B3962,"",B3963)</f>
        <v>Ubatã</v>
      </c>
    </row>
    <row r="3964" spans="1:6" ht="15.75" customHeight="1">
      <c r="A3964" s="6" t="s">
        <v>3604</v>
      </c>
      <c r="B3964" s="6" t="s">
        <v>3604</v>
      </c>
      <c r="C3964" s="6" t="s">
        <v>1905</v>
      </c>
      <c r="D3964" s="6" t="s">
        <v>1947</v>
      </c>
      <c r="E3964" s="2">
        <v>3445853</v>
      </c>
      <c r="F3964" s="4" t="str">
        <f>IF(B3964=B3963,"",B3964)</f>
        <v>Ubaitaba</v>
      </c>
    </row>
    <row r="3965" spans="1:6" ht="15.75" customHeight="1">
      <c r="A3965" s="5" t="str">
        <f ca="1">IFERROR(__xludf.DUMMYFUNCTION("GOOGLETRANSLATE(B24469,""en"",""pt"")"),"Ubaitaba")</f>
        <v>Ubaitaba</v>
      </c>
      <c r="B3965" s="17" t="s">
        <v>3604</v>
      </c>
      <c r="C3965" s="17" t="s">
        <v>1905</v>
      </c>
      <c r="D3965" s="17" t="s">
        <v>1947</v>
      </c>
      <c r="E3965" s="10">
        <v>3445853</v>
      </c>
      <c r="F3965" s="4" t="str">
        <f>IF(B3965=B3964,"",B3965)</f>
        <v/>
      </c>
    </row>
    <row r="3966" spans="1:6" ht="15.75" customHeight="1">
      <c r="A3966" s="5" t="str">
        <f ca="1">IFERROR(__xludf.DUMMYFUNCTION("GOOGLETRANSLATE(B27466,""en"",""pt"")"),"Übach-Palenberg")</f>
        <v>Übach-Palenberg</v>
      </c>
      <c r="B3966" s="17" t="s">
        <v>32024</v>
      </c>
      <c r="C3966" s="17" t="s">
        <v>8028</v>
      </c>
      <c r="D3966" s="17" t="s">
        <v>8029</v>
      </c>
      <c r="E3966" s="10">
        <v>2820621</v>
      </c>
      <c r="F3966" s="4" t="str">
        <f>IF(B3966=B3965,"",B3966)</f>
        <v>Übach-Palenberg</v>
      </c>
    </row>
    <row r="3967" spans="1:6" ht="15.75" customHeight="1">
      <c r="A3967" s="6" t="s">
        <v>3602</v>
      </c>
      <c r="B3967" s="6" t="s">
        <v>3603</v>
      </c>
      <c r="C3967" s="6" t="s">
        <v>1905</v>
      </c>
      <c r="D3967" s="6" t="s">
        <v>1917</v>
      </c>
      <c r="E3967" s="2">
        <v>3445859</v>
      </c>
      <c r="F3967" s="4" t="str">
        <f>IF(B3967=B3966,"",B3967)</f>
        <v>UbÃ¡</v>
      </c>
    </row>
    <row r="3968" spans="1:6" ht="15.75" customHeight="1">
      <c r="A3968" s="5" t="str">
        <f ca="1">IFERROR(__xludf.DUMMYFUNCTION("GOOGLETRANSLATE(B24470,""en"",""pt"")"),"Ubá")</f>
        <v>Ubá</v>
      </c>
      <c r="B3968" s="17" t="s">
        <v>31440</v>
      </c>
      <c r="C3968" s="17" t="s">
        <v>1905</v>
      </c>
      <c r="D3968" s="17" t="s">
        <v>1917</v>
      </c>
      <c r="E3968" s="10">
        <v>3445859</v>
      </c>
      <c r="F3968" s="4" t="str">
        <f>IF(B3968=B3967,"",B3968)</f>
        <v>Ubá</v>
      </c>
    </row>
    <row r="3969" spans="1:6" ht="15.75" customHeight="1">
      <c r="A3969" s="6" t="s">
        <v>26740</v>
      </c>
      <c r="B3969" s="6" t="s">
        <v>26372</v>
      </c>
      <c r="C3969" s="6" t="s">
        <v>26201</v>
      </c>
      <c r="D3969" s="6" t="s">
        <v>26372</v>
      </c>
      <c r="E3969" s="2">
        <v>298299</v>
      </c>
      <c r="F3969" s="4" t="str">
        <f>IF(B3969=B3968,"",B3969)</f>
        <v>UÅŸak</v>
      </c>
    </row>
    <row r="3970" spans="1:6" ht="15.75" customHeight="1">
      <c r="A3970" s="6" t="s">
        <v>21051</v>
      </c>
      <c r="B3970" s="6" t="s">
        <v>21051</v>
      </c>
      <c r="C3970" s="6" t="s">
        <v>20598</v>
      </c>
      <c r="D3970" s="6" t="s">
        <v>20627</v>
      </c>
      <c r="E3970" s="2">
        <v>1680505</v>
      </c>
      <c r="F3970" s="4" t="str">
        <f>IF(B3970=B3969,"",B3970)</f>
        <v>Ualog</v>
      </c>
    </row>
    <row r="3971" spans="1:6" ht="15.75" customHeight="1">
      <c r="A3971" s="5" t="str">
        <f ca="1">IFERROR(__xludf.DUMMYFUNCTION("GOOGLETRANSLATE(B38433,""en"",""pt"")"),"Ualog")</f>
        <v>Ualog</v>
      </c>
      <c r="B3971" s="17" t="s">
        <v>21051</v>
      </c>
      <c r="C3971" s="17" t="s">
        <v>20598</v>
      </c>
      <c r="D3971" s="17" t="s">
        <v>20627</v>
      </c>
      <c r="E3971" s="10">
        <v>1680505</v>
      </c>
      <c r="F3971" s="4" t="str">
        <f>IF(B3971=B3970,"",B3971)</f>
        <v/>
      </c>
    </row>
    <row r="3972" spans="1:6" ht="15.75" customHeight="1">
      <c r="A3972" s="6" t="s">
        <v>546</v>
      </c>
      <c r="B3972" s="6" t="s">
        <v>547</v>
      </c>
      <c r="C3972" s="6" t="s">
        <v>507</v>
      </c>
      <c r="D3972" s="6" t="s">
        <v>547</v>
      </c>
      <c r="E3972" s="2">
        <v>2236568</v>
      </c>
      <c r="F3972" s="4" t="str">
        <f>IF(B3972=B3971,"",B3972)</f>
        <v>UÃ­ge</v>
      </c>
    </row>
    <row r="3973" spans="1:6" ht="15.75" customHeight="1">
      <c r="A3973" s="6" t="s">
        <v>23661</v>
      </c>
      <c r="B3973" s="6" t="s">
        <v>23662</v>
      </c>
      <c r="C3973" s="6" t="s">
        <v>23602</v>
      </c>
      <c r="D3973" s="6" t="s">
        <v>23603</v>
      </c>
      <c r="E3973" s="2">
        <v>3188434</v>
      </c>
      <c r="F3973" s="4" t="str">
        <f>IF(B3973=B3972,"",B3973)</f>
        <v>UÅ¾ice</v>
      </c>
    </row>
    <row r="3974" spans="1:6" ht="15.75" customHeight="1">
      <c r="A3974" s="6" t="s">
        <v>23995</v>
      </c>
      <c r="B3974" s="6" t="s">
        <v>23995</v>
      </c>
      <c r="C3974" s="6" t="s">
        <v>23842</v>
      </c>
      <c r="D3974" s="6" t="s">
        <v>23885</v>
      </c>
      <c r="E3974" s="2">
        <v>946973</v>
      </c>
      <c r="F3974" s="4" t="str">
        <f>IF(B3974=B3973,"",B3974)</f>
        <v>Tzaneen</v>
      </c>
    </row>
    <row r="3975" spans="1:6" ht="15.75" customHeight="1">
      <c r="A3975" s="5" t="str">
        <f ca="1">IFERROR(__xludf.DUMMYFUNCTION("GOOGLETRANSLATE(B45864,""en"",""pt"")"),"Tzaneen")</f>
        <v>Tzaneen</v>
      </c>
      <c r="B3975" s="17" t="s">
        <v>23995</v>
      </c>
      <c r="C3975" s="17" t="s">
        <v>23842</v>
      </c>
      <c r="D3975" s="17" t="s">
        <v>23885</v>
      </c>
      <c r="E3975" s="10">
        <v>946973</v>
      </c>
      <c r="F3975" s="4" t="str">
        <f>IF(B3975=B3974,"",B3975)</f>
        <v/>
      </c>
    </row>
    <row r="3976" spans="1:6" ht="15.75" customHeight="1">
      <c r="A3976" s="6" t="s">
        <v>23223</v>
      </c>
      <c r="B3976" s="6" t="s">
        <v>23223</v>
      </c>
      <c r="C3976" s="6" t="s">
        <v>22070</v>
      </c>
      <c r="D3976" s="6" t="s">
        <v>22265</v>
      </c>
      <c r="E3976" s="2">
        <v>1488754</v>
      </c>
      <c r="F3976" s="4" t="str">
        <f>IF(B3976=B3975,"",B3976)</f>
        <v>Tyumen</v>
      </c>
    </row>
    <row r="3977" spans="1:6" ht="15.75" customHeight="1">
      <c r="A3977" s="5" t="str">
        <f ca="1">IFERROR(__xludf.DUMMYFUNCTION("GOOGLETRANSLATE(B40733,""en"",""pt"")"),"Tyumen")</f>
        <v>Tyumen</v>
      </c>
      <c r="B3977" s="17" t="s">
        <v>23223</v>
      </c>
      <c r="C3977" s="17" t="s">
        <v>22070</v>
      </c>
      <c r="D3977" s="17" t="s">
        <v>22265</v>
      </c>
      <c r="E3977" s="10">
        <v>1488754</v>
      </c>
      <c r="F3977" s="4" t="str">
        <f>IF(B3977=B3976,"",B3977)</f>
        <v/>
      </c>
    </row>
    <row r="3978" spans="1:6" ht="15.75" customHeight="1">
      <c r="A3978" s="6" t="s">
        <v>23221</v>
      </c>
      <c r="B3978" s="6" t="s">
        <v>23222</v>
      </c>
      <c r="C3978" s="6" t="s">
        <v>22070</v>
      </c>
      <c r="D3978" s="6" t="s">
        <v>22182</v>
      </c>
      <c r="E3978" s="2">
        <v>479933</v>
      </c>
      <c r="F3978" s="4" t="str">
        <f>IF(B3978=B3977,"",B3978)</f>
        <v>Tyrnyauz</v>
      </c>
    </row>
    <row r="3979" spans="1:6" ht="15.75" customHeight="1">
      <c r="A3979" s="5" t="str">
        <f ca="1">IFERROR(__xludf.DUMMYFUNCTION("GOOGLETRANSLATE(B40017,""en"",""pt"")"),"Tyrnyuzz")</f>
        <v>Tyrnyuzz</v>
      </c>
      <c r="B3979" s="17" t="s">
        <v>23222</v>
      </c>
      <c r="C3979" s="17" t="s">
        <v>22070</v>
      </c>
      <c r="D3979" s="17" t="s">
        <v>22182</v>
      </c>
      <c r="E3979" s="10">
        <v>479933</v>
      </c>
      <c r="F3979" s="4" t="str">
        <f>IF(B3979=B3978,"",B3979)</f>
        <v/>
      </c>
    </row>
    <row r="3980" spans="1:6" ht="15.75" customHeight="1">
      <c r="A3980" s="6" t="s">
        <v>17033</v>
      </c>
      <c r="B3980" s="6" t="s">
        <v>17034</v>
      </c>
      <c r="C3980" s="6" t="s">
        <v>17008</v>
      </c>
      <c r="D3980" s="6" t="s">
        <v>17020</v>
      </c>
      <c r="E3980" s="2">
        <v>267008</v>
      </c>
      <c r="F3980" s="4" t="str">
        <f>IF(B3980=B3979,"",B3980)</f>
        <v>Tyre</v>
      </c>
    </row>
    <row r="3981" spans="1:6" ht="15.75" customHeight="1">
      <c r="A3981" s="5" t="str">
        <f ca="1">IFERROR(__xludf.DUMMYFUNCTION("GOOGLETRANSLATE(B36277,""en"",""pt"")"),"Pneu")</f>
        <v>Pneu</v>
      </c>
      <c r="B3981" s="17" t="s">
        <v>17034</v>
      </c>
      <c r="C3981" s="17" t="s">
        <v>17008</v>
      </c>
      <c r="D3981" s="17" t="s">
        <v>17020</v>
      </c>
      <c r="E3981" s="10">
        <v>267008</v>
      </c>
      <c r="F3981" s="4" t="str">
        <f>IF(B3981=B3980,"",B3981)</f>
        <v/>
      </c>
    </row>
    <row r="3982" spans="1:6" ht="15.75" customHeight="1">
      <c r="A3982" s="5" t="s">
        <v>23220</v>
      </c>
      <c r="B3982" s="6" t="s">
        <v>23220</v>
      </c>
      <c r="C3982" s="5" t="s">
        <v>22070</v>
      </c>
      <c r="D3982" s="5" t="s">
        <v>22127</v>
      </c>
      <c r="E3982" s="2">
        <v>483551</v>
      </c>
      <c r="F3982" s="4" t="str">
        <f>IF(B3982=B3981,"",B3982)</f>
        <v>Tyoply Stan</v>
      </c>
    </row>
    <row r="3983" spans="1:6" ht="15.75" customHeight="1">
      <c r="A3983" s="5" t="str">
        <f ca="1">IFERROR(__xludf.DUMMYFUNCTION("GOOGLETRANSLATE(B40038,""en"",""pt"")"),"Tyoply Stan")</f>
        <v>Tyoply Stan</v>
      </c>
      <c r="B3983" s="17" t="s">
        <v>23220</v>
      </c>
      <c r="C3983" s="17" t="s">
        <v>22070</v>
      </c>
      <c r="D3983" s="17" t="s">
        <v>22127</v>
      </c>
      <c r="E3983" s="10">
        <v>483551</v>
      </c>
      <c r="F3983" s="4" t="str">
        <f>IF(B3983=B3982,"",B3983)</f>
        <v/>
      </c>
    </row>
    <row r="3984" spans="1:6" ht="15.75" customHeight="1">
      <c r="A3984" s="6" t="s">
        <v>23219</v>
      </c>
      <c r="B3984" s="6" t="s">
        <v>23219</v>
      </c>
      <c r="C3984" s="6" t="s">
        <v>22070</v>
      </c>
      <c r="D3984" s="6" t="s">
        <v>22210</v>
      </c>
      <c r="E3984" s="2">
        <v>2014718</v>
      </c>
      <c r="F3984" s="4" t="str">
        <f>IF(B3984=B3983,"",B3984)</f>
        <v>Tynda</v>
      </c>
    </row>
    <row r="3985" spans="1:6" ht="15.75" customHeight="1">
      <c r="A3985" s="5" t="str">
        <f ca="1">IFERROR(__xludf.DUMMYFUNCTION("GOOGLETRANSLATE(B40904,""en"",""pt"")"),"Tynda")</f>
        <v>Tynda</v>
      </c>
      <c r="B3985" s="17" t="s">
        <v>23219</v>
      </c>
      <c r="C3985" s="17" t="s">
        <v>22070</v>
      </c>
      <c r="D3985" s="17" t="s">
        <v>22210</v>
      </c>
      <c r="E3985" s="10">
        <v>2014718</v>
      </c>
      <c r="F3985" s="4" t="str">
        <f>IF(B3985=B3984,"",B3985)</f>
        <v/>
      </c>
    </row>
    <row r="3986" spans="1:6" ht="15.75" customHeight="1">
      <c r="A3986" s="6" t="s">
        <v>21543</v>
      </c>
      <c r="B3986" s="6" t="s">
        <v>21543</v>
      </c>
      <c r="C3986" s="6" t="s">
        <v>21064</v>
      </c>
      <c r="D3986" s="6" t="s">
        <v>21073</v>
      </c>
      <c r="E3986" s="2">
        <v>3082914</v>
      </c>
      <c r="F3986" s="4" t="str">
        <f>IF(B3986=B3985,"",B3986)</f>
        <v>Tychy</v>
      </c>
    </row>
    <row r="3987" spans="1:6" ht="15.75" customHeight="1">
      <c r="A3987" s="5" t="str">
        <f ca="1">IFERROR(__xludf.DUMMYFUNCTION("GOOGLETRANSLATE(B39325,""en"",""pt"")"),"Tychy")</f>
        <v>Tychy</v>
      </c>
      <c r="B3987" s="17" t="s">
        <v>21543</v>
      </c>
      <c r="C3987" s="17" t="s">
        <v>21064</v>
      </c>
      <c r="D3987" s="17" t="s">
        <v>21073</v>
      </c>
      <c r="E3987" s="10">
        <v>3082914</v>
      </c>
      <c r="F3987" s="4" t="str">
        <f>IF(B3987=B3986,"",B3987)</f>
        <v/>
      </c>
    </row>
    <row r="3988" spans="1:6" ht="15.75" customHeight="1">
      <c r="A3988" s="5" t="s">
        <v>30232</v>
      </c>
      <c r="B3988" s="6" t="s">
        <v>30232</v>
      </c>
      <c r="C3988" s="5" t="s">
        <v>27788</v>
      </c>
      <c r="D3988" s="5" t="s">
        <v>27813</v>
      </c>
      <c r="E3988" s="2">
        <v>5174550</v>
      </c>
      <c r="F3988" s="4" t="str">
        <f>IF(B3988=B3987,"",B3988)</f>
        <v>Twinsburg</v>
      </c>
    </row>
    <row r="3989" spans="1:6" ht="15.75" customHeight="1">
      <c r="A3989" s="5" t="str">
        <f ca="1">IFERROR(__xludf.DUMMYFUNCTION("GOOGLETRANSLATE(B44552,""en"",""pt"")"),"Twinsburg")</f>
        <v>Twinsburg</v>
      </c>
      <c r="B3989" s="17" t="s">
        <v>30232</v>
      </c>
      <c r="C3989" s="17" t="s">
        <v>27788</v>
      </c>
      <c r="D3989" s="17" t="s">
        <v>27813</v>
      </c>
      <c r="E3989" s="10">
        <v>5174550</v>
      </c>
      <c r="F3989" s="4" t="str">
        <f>IF(B3989=B3988,"",B3989)</f>
        <v/>
      </c>
    </row>
    <row r="3990" spans="1:6" ht="15.75" customHeight="1">
      <c r="A3990" s="6" t="s">
        <v>30231</v>
      </c>
      <c r="B3990" s="6" t="s">
        <v>30231</v>
      </c>
      <c r="C3990" s="6" t="s">
        <v>27788</v>
      </c>
      <c r="D3990" s="6" t="s">
        <v>28059</v>
      </c>
      <c r="E3990" s="2">
        <v>5610810</v>
      </c>
      <c r="F3990" s="4" t="str">
        <f>IF(B3990=B3989,"",B3990)</f>
        <v>Twin Falls</v>
      </c>
    </row>
    <row r="3991" spans="1:6" ht="15.75" customHeight="1">
      <c r="A3991" s="5" t="str">
        <f ca="1">IFERROR(__xludf.DUMMYFUNCTION("GOOGLETRANSLATE(B45208,""en"",""pt"")"),"Twin Falls")</f>
        <v>Twin Falls</v>
      </c>
      <c r="B3991" s="17" t="s">
        <v>30231</v>
      </c>
      <c r="C3991" s="17" t="s">
        <v>27788</v>
      </c>
      <c r="D3991" s="17" t="s">
        <v>28059</v>
      </c>
      <c r="E3991" s="10">
        <v>5610810</v>
      </c>
      <c r="F3991" s="4" t="str">
        <f>IF(B3991=B3990,"",B3991)</f>
        <v/>
      </c>
    </row>
    <row r="3992" spans="1:6" ht="15.75" customHeight="1">
      <c r="A3992" s="5" t="s">
        <v>30230</v>
      </c>
      <c r="B3992" s="6" t="s">
        <v>30230</v>
      </c>
      <c r="C3992" s="5" t="s">
        <v>27788</v>
      </c>
      <c r="D3992" s="5" t="s">
        <v>27801</v>
      </c>
      <c r="E3992" s="2">
        <v>5404198</v>
      </c>
      <c r="F3992" s="4" t="str">
        <f>IF(B3992=B3991,"",B3992)</f>
        <v>Twentynine Palms</v>
      </c>
    </row>
    <row r="3993" spans="1:6" ht="15.75" customHeight="1">
      <c r="A3993" s="5" t="str">
        <f ca="1">IFERROR(__xludf.DUMMYFUNCTION("GOOGLETRANSLATE(B45063,""en"",""pt"")"),"Twentynine Palms")</f>
        <v>Twentynine Palms</v>
      </c>
      <c r="B3993" s="17" t="s">
        <v>30230</v>
      </c>
      <c r="C3993" s="17" t="s">
        <v>27788</v>
      </c>
      <c r="D3993" s="17" t="s">
        <v>27801</v>
      </c>
      <c r="E3993" s="10">
        <v>5404198</v>
      </c>
      <c r="F3993" s="4" t="str">
        <f>IF(B3993=B3992,"",B3993)</f>
        <v/>
      </c>
    </row>
    <row r="3994" spans="1:6" ht="15.75" customHeight="1">
      <c r="A3994" s="6" t="s">
        <v>18767</v>
      </c>
      <c r="B3994" s="6" t="s">
        <v>18767</v>
      </c>
      <c r="C3994" s="6" t="s">
        <v>18696</v>
      </c>
      <c r="D3994" s="6" t="s">
        <v>18712</v>
      </c>
      <c r="E3994" s="2">
        <v>1290374</v>
      </c>
      <c r="F3994" s="4" t="str">
        <f>IF(B3994=B3993,"",B3994)</f>
        <v>Twante</v>
      </c>
    </row>
    <row r="3995" spans="1:6" ht="15.75" customHeight="1">
      <c r="A3995" s="5" t="str">
        <f ca="1">IFERROR(__xludf.DUMMYFUNCTION("GOOGLETRANSLATE(B36702,""en"",""pt"")"),"Twante")</f>
        <v>Twante</v>
      </c>
      <c r="B3995" s="17" t="s">
        <v>18767</v>
      </c>
      <c r="C3995" s="17" t="s">
        <v>18696</v>
      </c>
      <c r="D3995" s="17" t="s">
        <v>18712</v>
      </c>
      <c r="E3995" s="10">
        <v>1290374</v>
      </c>
      <c r="F3995" s="4" t="str">
        <f>IF(B3995=B3994,"",B3995)</f>
        <v/>
      </c>
    </row>
    <row r="3996" spans="1:6" ht="15.75" customHeight="1">
      <c r="A3996" s="6" t="s">
        <v>23218</v>
      </c>
      <c r="B3996" s="6" t="s">
        <v>23218</v>
      </c>
      <c r="C3996" s="6" t="s">
        <v>22070</v>
      </c>
      <c r="D3996" s="6" t="s">
        <v>22229</v>
      </c>
      <c r="E3996" s="2">
        <v>480060</v>
      </c>
      <c r="F3996" s="4" t="str">
        <f>IF(B3996=B3995,"",B3996)</f>
        <v>Tver</v>
      </c>
    </row>
    <row r="3997" spans="1:6" ht="15.75" customHeight="1">
      <c r="A3997" s="5" t="str">
        <f ca="1">IFERROR(__xludf.DUMMYFUNCTION("GOOGLETRANSLATE(B40018,""en"",""pt"")"),"Tver")</f>
        <v>Tver</v>
      </c>
      <c r="B3997" s="17" t="s">
        <v>23218</v>
      </c>
      <c r="C3997" s="17" t="s">
        <v>22070</v>
      </c>
      <c r="D3997" s="17" t="s">
        <v>22229</v>
      </c>
      <c r="E3997" s="10">
        <v>480060</v>
      </c>
      <c r="F3997" s="4" t="str">
        <f>IF(B3997=B3996,"",B3997)</f>
        <v/>
      </c>
    </row>
    <row r="3998" spans="1:6" ht="15.75" customHeight="1">
      <c r="A3998" s="6" t="s">
        <v>1871</v>
      </c>
      <c r="B3998" s="6" t="s">
        <v>1871</v>
      </c>
      <c r="C3998" s="6" t="s">
        <v>1845</v>
      </c>
      <c r="D3998" s="6" t="s">
        <v>1849</v>
      </c>
      <c r="E3998" s="2">
        <v>3188582</v>
      </c>
      <c r="F3998" s="4" t="str">
        <f>IF(B3998=B3997,"",B3998)</f>
        <v>Tuzla</v>
      </c>
    </row>
    <row r="3999" spans="1:6" ht="15.75" customHeight="1">
      <c r="A3999" s="5" t="str">
        <f ca="1">IFERROR(__xludf.DUMMYFUNCTION("GOOGLETRANSLATE(B23674,""en"",""pt"")"),"Tuzla")</f>
        <v>Tuzla</v>
      </c>
      <c r="B3999" s="17" t="s">
        <v>1871</v>
      </c>
      <c r="C3999" s="17" t="s">
        <v>1845</v>
      </c>
      <c r="D3999" s="17" t="s">
        <v>1849</v>
      </c>
      <c r="E3999" s="10">
        <v>3188582</v>
      </c>
      <c r="F3999" s="4" t="str">
        <f>IF(B3999=B3998,"",B3999)</f>
        <v/>
      </c>
    </row>
    <row r="4000" spans="1:6" ht="15.75" customHeight="1">
      <c r="A4000" s="5" t="str">
        <f ca="1">IFERROR(__xludf.DUMMYFUNCTION("GOOGLETRANSLATE(B45539,""en"",""pt"")"),"Tŭytepa")</f>
        <v>Tŭytepa</v>
      </c>
      <c r="B4000" s="17" t="s">
        <v>36069</v>
      </c>
      <c r="C4000" s="17" t="s">
        <v>30502</v>
      </c>
      <c r="D4000" s="17" t="s">
        <v>30504</v>
      </c>
      <c r="E4000" s="10">
        <v>1512524</v>
      </c>
      <c r="F4000" s="4" t="str">
        <f>IF(B4000=B3999,"",B4000)</f>
        <v>Tŭytepa</v>
      </c>
    </row>
    <row r="4001" spans="1:6" ht="15.75" customHeight="1">
      <c r="A4001" s="6" t="s">
        <v>23217</v>
      </c>
      <c r="B4001" s="6" t="s">
        <v>23217</v>
      </c>
      <c r="C4001" s="6" t="s">
        <v>22070</v>
      </c>
      <c r="D4001" s="6" t="s">
        <v>22088</v>
      </c>
      <c r="E4001" s="2">
        <v>480089</v>
      </c>
      <c r="F4001" s="4" t="str">
        <f>IF(B4001=B4000,"",B4001)</f>
        <v>Tuymazy</v>
      </c>
    </row>
    <row r="4002" spans="1:6" ht="15.75" customHeight="1">
      <c r="A4002" s="5" t="str">
        <f ca="1">IFERROR(__xludf.DUMMYFUNCTION("GOOGLETRANSLATE(B40019,""en"",""pt"")"),"Tuymazy")</f>
        <v>Tuymazy</v>
      </c>
      <c r="B4002" s="17" t="s">
        <v>23217</v>
      </c>
      <c r="C4002" s="17" t="s">
        <v>22070</v>
      </c>
      <c r="D4002" s="17" t="s">
        <v>22088</v>
      </c>
      <c r="E4002" s="10">
        <v>480089</v>
      </c>
      <c r="F4002" s="4" t="str">
        <f>IF(B4002=B4001,"",B4002)</f>
        <v/>
      </c>
    </row>
    <row r="4003" spans="1:6" ht="15.75" customHeight="1">
      <c r="A4003" s="5" t="str">
        <f ca="1">IFERROR(__xludf.DUMMYFUNCTION("GOOGLETRANSLATE(B45718,""en"",""pt"")"),"Tuy Hòa")</f>
        <v>Tuy Hòa</v>
      </c>
      <c r="B4003" s="17" t="s">
        <v>36116</v>
      </c>
      <c r="C4003" s="17" t="s">
        <v>30784</v>
      </c>
      <c r="D4003" s="17" t="s">
        <v>36117</v>
      </c>
      <c r="E4003" s="10">
        <v>1563281</v>
      </c>
      <c r="F4003" s="4" t="str">
        <f>IF(B4003=B4002,"",B4003)</f>
        <v>Tuy Hòa</v>
      </c>
    </row>
    <row r="4004" spans="1:6" ht="15.75" customHeight="1">
      <c r="A4004" s="6" t="s">
        <v>30959</v>
      </c>
      <c r="B4004" s="6" t="s">
        <v>30960</v>
      </c>
      <c r="C4004" s="6" t="s">
        <v>30784</v>
      </c>
      <c r="D4004" s="6" t="s">
        <v>30900</v>
      </c>
      <c r="E4004" s="2">
        <v>1563281</v>
      </c>
      <c r="F4004" s="4" t="str">
        <f>IF(B4004=B4003,"",B4004)</f>
        <v>Tuy HÃ²a</v>
      </c>
    </row>
    <row r="4005" spans="1:6" ht="15.75" customHeight="1">
      <c r="A4005" s="5" t="str">
        <f ca="1">IFERROR(__xludf.DUMMYFUNCTION("GOOGLETRANSLATE(B36866,""en"",""pt"")"),"Tuxtla Gutiérrez")</f>
        <v>Tuxtla Gutiérrez</v>
      </c>
      <c r="B4005" s="17" t="s">
        <v>34662</v>
      </c>
      <c r="C4005" s="17" t="s">
        <v>17707</v>
      </c>
      <c r="D4005" s="17" t="s">
        <v>17770</v>
      </c>
      <c r="E4005" s="10">
        <v>3515001</v>
      </c>
      <c r="F4005" s="4" t="str">
        <f>IF(B4005=B4004,"",B4005)</f>
        <v>Tuxtla Gutiérrez</v>
      </c>
    </row>
    <row r="4006" spans="1:6" ht="15.75" customHeight="1">
      <c r="A4006" s="5" t="s">
        <v>18389</v>
      </c>
      <c r="B4006" s="6" t="s">
        <v>18390</v>
      </c>
      <c r="C4006" s="5" t="s">
        <v>17707</v>
      </c>
      <c r="D4006" s="5" t="s">
        <v>17770</v>
      </c>
      <c r="E4006" s="2">
        <v>3515001</v>
      </c>
      <c r="F4006" s="4" t="str">
        <f>IF(B4006=B4005,"",B4006)</f>
        <v>Tuxtla GutiÃ©rrez</v>
      </c>
    </row>
    <row r="4007" spans="1:6" ht="15.75" customHeight="1">
      <c r="A4007" s="6" t="s">
        <v>18387</v>
      </c>
      <c r="B4007" s="6" t="s">
        <v>18388</v>
      </c>
      <c r="C4007" s="6" t="s">
        <v>17707</v>
      </c>
      <c r="D4007" s="6" t="s">
        <v>17844</v>
      </c>
      <c r="E4007" s="2">
        <v>3518723</v>
      </c>
      <c r="F4007" s="4" t="str">
        <f>IF(B4007=B4006,"",B4007)</f>
        <v>Tuxtepec</v>
      </c>
    </row>
    <row r="4008" spans="1:6" ht="15.75" customHeight="1">
      <c r="A4008" s="5" t="str">
        <f ca="1">IFERROR(__xludf.DUMMYFUNCTION("GOOGLETRANSLATE(B36931,""en"",""pt"")"),"TuxtePec")</f>
        <v>TuxtePec</v>
      </c>
      <c r="B4008" s="17" t="s">
        <v>18388</v>
      </c>
      <c r="C4008" s="17" t="s">
        <v>17707</v>
      </c>
      <c r="D4008" s="17" t="s">
        <v>17844</v>
      </c>
      <c r="E4008" s="10">
        <v>3518723</v>
      </c>
      <c r="F4008" s="4" t="str">
        <f>IF(B4008=B4007,"",B4008)</f>
        <v/>
      </c>
    </row>
    <row r="4009" spans="1:6" ht="15.75" customHeight="1">
      <c r="A4009" s="5" t="str">
        <f ca="1">IFERROR(__xludf.DUMMYFUNCTION("GOOGLETRANSLATE(B36867,""en"",""pt"")"),"Tuxpan de Rodríguez Cano")</f>
        <v>Tuxpan de Rodríguez Cano</v>
      </c>
      <c r="B4009" s="17" t="s">
        <v>34663</v>
      </c>
      <c r="C4009" s="17" t="s">
        <v>17707</v>
      </c>
      <c r="D4009" s="17" t="s">
        <v>17708</v>
      </c>
      <c r="E4009" s="10">
        <v>3515011</v>
      </c>
      <c r="F4009" s="4" t="str">
        <f>IF(B4009=B4008,"",B4009)</f>
        <v>Tuxpan de Rodríguez Cano</v>
      </c>
    </row>
    <row r="4010" spans="1:6" ht="15.75" customHeight="1">
      <c r="A4010" s="5" t="s">
        <v>18385</v>
      </c>
      <c r="B4010" s="6" t="s">
        <v>18386</v>
      </c>
      <c r="C4010" s="5" t="s">
        <v>17707</v>
      </c>
      <c r="D4010" s="5" t="s">
        <v>17708</v>
      </c>
      <c r="E4010" s="2">
        <v>3515011</v>
      </c>
      <c r="F4010" s="4" t="str">
        <f>IF(B4010=B4009,"",B4010)</f>
        <v>Tuxpan de RodrÃ­guez Cano</v>
      </c>
    </row>
    <row r="4011" spans="1:6" ht="15.75" customHeight="1">
      <c r="A4011" s="6" t="s">
        <v>18384</v>
      </c>
      <c r="B4011" s="6" t="s">
        <v>18384</v>
      </c>
      <c r="C4011" s="6" t="s">
        <v>17707</v>
      </c>
      <c r="D4011" s="6" t="s">
        <v>17746</v>
      </c>
      <c r="E4011" s="2">
        <v>3980844</v>
      </c>
      <c r="F4011" s="4" t="str">
        <f>IF(B4011=B4010,"",B4011)</f>
        <v>Tuxpan</v>
      </c>
    </row>
    <row r="4012" spans="1:6" ht="15.75" customHeight="1">
      <c r="A4012" s="5" t="str">
        <f ca="1">IFERROR(__xludf.DUMMYFUNCTION("GOOGLETRANSLATE(B37159,""en"",""pt"")"),"Tuxpan")</f>
        <v>Tuxpan</v>
      </c>
      <c r="B4012" s="17" t="s">
        <v>18384</v>
      </c>
      <c r="C4012" s="17" t="s">
        <v>17707</v>
      </c>
      <c r="D4012" s="17" t="s">
        <v>17746</v>
      </c>
      <c r="E4012" s="10">
        <v>3980844</v>
      </c>
      <c r="F4012" s="4" t="str">
        <f>IF(B4012=B4011,"",B4012)</f>
        <v/>
      </c>
    </row>
    <row r="4013" spans="1:6" ht="15.75" customHeight="1">
      <c r="A4013" s="6" t="s">
        <v>7041</v>
      </c>
      <c r="B4013" s="6" t="s">
        <v>7041</v>
      </c>
      <c r="C4013" s="6" t="s">
        <v>6948</v>
      </c>
      <c r="D4013" s="6" t="s">
        <v>6951</v>
      </c>
      <c r="E4013" s="2">
        <v>633591</v>
      </c>
      <c r="F4013" s="4" t="str">
        <f>IF(B4013=B4012,"",B4013)</f>
        <v>Tuusula</v>
      </c>
    </row>
    <row r="4014" spans="1:6" ht="15.75" customHeight="1">
      <c r="A4014" s="5" t="str">
        <f ca="1">IFERROR(__xludf.DUMMYFUNCTION("GOOGLETRANSLATE(B29604,""en"",""pt"")"),"Tuusula")</f>
        <v>Tuusula</v>
      </c>
      <c r="B4014" s="17" t="s">
        <v>7041</v>
      </c>
      <c r="C4014" s="17" t="s">
        <v>6948</v>
      </c>
      <c r="D4014" s="17" t="s">
        <v>6951</v>
      </c>
      <c r="E4014" s="10">
        <v>633591</v>
      </c>
      <c r="F4014" s="4" t="str">
        <f>IF(B4014=B4013,"",B4014)</f>
        <v/>
      </c>
    </row>
    <row r="4015" spans="1:6" ht="15.75" customHeight="1">
      <c r="A4015" s="5" t="s">
        <v>9210</v>
      </c>
      <c r="B4015" s="6" t="s">
        <v>9210</v>
      </c>
      <c r="C4015" s="5" t="s">
        <v>8028</v>
      </c>
      <c r="D4015" s="5" t="s">
        <v>8031</v>
      </c>
      <c r="E4015" s="2">
        <v>2820693</v>
      </c>
      <c r="F4015" s="4" t="str">
        <f>IF(B4015=B4014,"",B4015)</f>
        <v>Tuttlingen</v>
      </c>
    </row>
    <row r="4016" spans="1:6" ht="15.75" customHeight="1">
      <c r="A4016" s="5" t="str">
        <f ca="1">IFERROR(__xludf.DUMMYFUNCTION("GOOGLETRANSLATE(B27467,""en"",""pt"")"),"Tuttlingen")</f>
        <v>Tuttlingen</v>
      </c>
      <c r="B4016" s="17" t="s">
        <v>9210</v>
      </c>
      <c r="C4016" s="17" t="s">
        <v>8028</v>
      </c>
      <c r="D4016" s="17" t="s">
        <v>32013</v>
      </c>
      <c r="E4016" s="10">
        <v>2820693</v>
      </c>
      <c r="F4016" s="4" t="str">
        <f>IF(B4016=B4015,"",B4016)</f>
        <v/>
      </c>
    </row>
    <row r="4017" spans="1:6" ht="15.75" customHeight="1">
      <c r="A4017" s="6" t="s">
        <v>3699</v>
      </c>
      <c r="B4017" s="6" t="s">
        <v>3699</v>
      </c>
      <c r="C4017" s="6" t="s">
        <v>3693</v>
      </c>
      <c r="D4017" s="6" t="s">
        <v>3699</v>
      </c>
      <c r="E4017" s="2">
        <v>1820071</v>
      </c>
      <c r="F4017" s="4" t="str">
        <f>IF(B4017=B4016,"",B4017)</f>
        <v>Tutong</v>
      </c>
    </row>
    <row r="4018" spans="1:6" ht="15.75" customHeight="1">
      <c r="A4018" s="5" t="str">
        <f ca="1">IFERROR(__xludf.DUMMYFUNCTION("GOOGLETRANSLATE(B24111,""en"",""pt"")"),"Tutong")</f>
        <v>Tutong</v>
      </c>
      <c r="B4018" s="17" t="s">
        <v>3699</v>
      </c>
      <c r="C4018" s="17" t="s">
        <v>3693</v>
      </c>
      <c r="D4018" s="17" t="s">
        <v>3699</v>
      </c>
      <c r="E4018" s="10">
        <v>1820071</v>
      </c>
      <c r="F4018" s="4" t="str">
        <f>IF(B4018=B4017,"",B4018)</f>
        <v/>
      </c>
    </row>
    <row r="4019" spans="1:6" ht="15.75" customHeight="1">
      <c r="A4019" s="6" t="s">
        <v>23216</v>
      </c>
      <c r="B4019" s="6" t="s">
        <v>23216</v>
      </c>
      <c r="C4019" s="6" t="s">
        <v>22070</v>
      </c>
      <c r="D4019" s="6" t="s">
        <v>22326</v>
      </c>
      <c r="E4019" s="2">
        <v>480122</v>
      </c>
      <c r="F4019" s="4" t="str">
        <f>IF(B4019=B4018,"",B4019)</f>
        <v>Tutayev</v>
      </c>
    </row>
    <row r="4020" spans="1:6" ht="15.75" customHeight="1">
      <c r="A4020" s="5" t="str">
        <f ca="1">IFERROR(__xludf.DUMMYFUNCTION("GOOGLETRANSLATE(B40020,""en"",""pt"")"),"Tutayev")</f>
        <v>Tutayev</v>
      </c>
      <c r="B4020" s="17" t="s">
        <v>23216</v>
      </c>
      <c r="C4020" s="17" t="s">
        <v>22070</v>
      </c>
      <c r="D4020" s="17" t="s">
        <v>22326</v>
      </c>
      <c r="E4020" s="10">
        <v>480122</v>
      </c>
      <c r="F4020" s="4" t="str">
        <f>IF(B4020=B4019,"",B4020)</f>
        <v/>
      </c>
    </row>
    <row r="4021" spans="1:6" ht="15.75" customHeight="1">
      <c r="A4021" s="5" t="s">
        <v>6485</v>
      </c>
      <c r="B4021" s="6" t="s">
        <v>6486</v>
      </c>
      <c r="C4021" s="5" t="s">
        <v>6398</v>
      </c>
      <c r="D4021" s="5" t="s">
        <v>6420</v>
      </c>
      <c r="E4021" s="2">
        <v>10277901</v>
      </c>
      <c r="F4021" s="4" t="str">
        <f>IF(B4021=B4020,"",B4021)</f>
        <v>Tutamandahostel</v>
      </c>
    </row>
    <row r="4022" spans="1:6" ht="15.75" customHeight="1">
      <c r="A4022" s="5" t="str">
        <f ca="1">IFERROR(__xludf.DUMMYFUNCTION("GOOGLETRANSLATE(B28811,""en"",""pt"")"),"TutamandaHostel")</f>
        <v>TutamandaHostel</v>
      </c>
      <c r="B4022" s="17" t="s">
        <v>6486</v>
      </c>
      <c r="C4022" s="17" t="s">
        <v>6398</v>
      </c>
      <c r="D4022" s="17" t="s">
        <v>6420</v>
      </c>
      <c r="E4022" s="10">
        <v>10277901</v>
      </c>
      <c r="F4022" s="4" t="str">
        <f>IF(B4022=B4021,"",B4022)</f>
        <v/>
      </c>
    </row>
    <row r="4023" spans="1:6" ht="15.75" customHeight="1">
      <c r="A4023" s="6" t="s">
        <v>30229</v>
      </c>
      <c r="B4023" s="6" t="s">
        <v>30229</v>
      </c>
      <c r="C4023" s="6" t="s">
        <v>27788</v>
      </c>
      <c r="D4023" s="6" t="s">
        <v>27801</v>
      </c>
      <c r="E4023" s="2">
        <v>5404119</v>
      </c>
      <c r="F4023" s="4" t="str">
        <f>IF(B4023=B4022,"",B4023)</f>
        <v>Tustin</v>
      </c>
    </row>
    <row r="4024" spans="1:6" ht="15.75" customHeight="1">
      <c r="A4024" s="5" t="str">
        <f ca="1">IFERROR(__xludf.DUMMYFUNCTION("GOOGLETRANSLATE(B45061,""en"",""pt"")"),"Tustin")</f>
        <v>Tustin</v>
      </c>
      <c r="B4024" s="17" t="s">
        <v>30229</v>
      </c>
      <c r="C4024" s="17" t="s">
        <v>27788</v>
      </c>
      <c r="D4024" s="17" t="s">
        <v>27801</v>
      </c>
      <c r="E4024" s="10">
        <v>5404119</v>
      </c>
      <c r="F4024" s="4" t="str">
        <f>IF(B4024=B4023,"",B4024)</f>
        <v/>
      </c>
    </row>
    <row r="4025" spans="1:6" ht="15.75" customHeight="1">
      <c r="A4025" s="5" t="s">
        <v>30228</v>
      </c>
      <c r="B4025" s="6" t="s">
        <v>30228</v>
      </c>
      <c r="C4025" s="5" t="s">
        <v>27788</v>
      </c>
      <c r="D4025" s="5" t="s">
        <v>28023</v>
      </c>
      <c r="E4025" s="2">
        <v>4094455</v>
      </c>
      <c r="F4025" s="4" t="str">
        <f>IF(B4025=B4024,"",B4025)</f>
        <v>Tuscaloosa</v>
      </c>
    </row>
    <row r="4026" spans="1:6" ht="15.75" customHeight="1">
      <c r="A4026" s="5" t="str">
        <f ca="1">IFERROR(__xludf.DUMMYFUNCTION("GOOGLETRANSLATE(B42804,""en"",""pt"")"),"Tuscaloosa")</f>
        <v>Tuscaloosa</v>
      </c>
      <c r="B4026" s="17" t="s">
        <v>30228</v>
      </c>
      <c r="C4026" s="17" t="s">
        <v>27788</v>
      </c>
      <c r="D4026" s="17" t="s">
        <v>28023</v>
      </c>
      <c r="E4026" s="10">
        <v>4094455</v>
      </c>
      <c r="F4026" s="4" t="str">
        <f>IF(B4026=B4025,"",B4026)</f>
        <v/>
      </c>
    </row>
    <row r="4027" spans="1:6" ht="15.75" customHeight="1">
      <c r="A4027" s="5" t="s">
        <v>25553</v>
      </c>
      <c r="B4027" s="6" t="s">
        <v>25553</v>
      </c>
      <c r="C4027" s="5" t="s">
        <v>25527</v>
      </c>
      <c r="D4027" s="5" t="s">
        <v>25536</v>
      </c>
      <c r="E4027" s="2">
        <v>1220301</v>
      </c>
      <c r="F4027" s="4" t="str">
        <f>IF(B4027=B4026,"",B4027)</f>
        <v>Tursunzoda</v>
      </c>
    </row>
    <row r="4028" spans="1:6" ht="15.75" customHeight="1">
      <c r="A4028" s="5" t="str">
        <f ca="1">IFERROR(__xludf.DUMMYFUNCTION("GOOGLETRANSLATE(B41735,""en"",""pt"")"),"Tursunzoda")</f>
        <v>Tursunzoda</v>
      </c>
      <c r="B4028" s="17" t="s">
        <v>25553</v>
      </c>
      <c r="C4028" s="17" t="s">
        <v>25527</v>
      </c>
      <c r="D4028" s="17" t="s">
        <v>25536</v>
      </c>
      <c r="E4028" s="10">
        <v>1220301</v>
      </c>
      <c r="F4028" s="4" t="str">
        <f>IF(B4028=B4027,"",B4028)</f>
        <v/>
      </c>
    </row>
    <row r="4029" spans="1:6" ht="15.75" customHeight="1">
      <c r="A4029" s="6" t="s">
        <v>5708</v>
      </c>
      <c r="B4029" s="6" t="s">
        <v>5708</v>
      </c>
      <c r="C4029" s="6" t="s">
        <v>5665</v>
      </c>
      <c r="D4029" s="6" t="s">
        <v>5414</v>
      </c>
      <c r="E4029" s="2">
        <v>3621184</v>
      </c>
      <c r="F4029" s="4" t="str">
        <f>IF(B4029=B4028,"",B4029)</f>
        <v>Turrialba</v>
      </c>
    </row>
    <row r="4030" spans="1:6" ht="15.75" customHeight="1">
      <c r="A4030" s="5" t="str">
        <f ca="1">IFERROR(__xludf.DUMMYFUNCTION("GOOGLETRANSLATE(B27060,""en"",""pt"")"),"Turrialba")</f>
        <v>Turrialba</v>
      </c>
      <c r="B4030" s="17" t="s">
        <v>5708</v>
      </c>
      <c r="C4030" s="17" t="s">
        <v>5665</v>
      </c>
      <c r="D4030" s="17" t="s">
        <v>5414</v>
      </c>
      <c r="E4030" s="10">
        <v>3621184</v>
      </c>
      <c r="F4030" s="4" t="str">
        <f>IF(B4030=B4029,"",B4030)</f>
        <v/>
      </c>
    </row>
    <row r="4031" spans="1:6" ht="15.75" customHeight="1">
      <c r="A4031" s="5" t="str">
        <f ca="1">IFERROR(__xludf.DUMMYFUNCTION("GOOGLETRANSLATE(B39731,""en"",""pt"")"),"Turnu Măgurele")</f>
        <v>Turnu Măgurele</v>
      </c>
      <c r="B4031" s="17" t="s">
        <v>35336</v>
      </c>
      <c r="C4031" s="17" t="s">
        <v>21824</v>
      </c>
      <c r="D4031" s="17" t="s">
        <v>21828</v>
      </c>
      <c r="E4031" s="10">
        <v>664437</v>
      </c>
      <c r="F4031" s="4" t="str">
        <f>IF(B4031=B4030,"",B4031)</f>
        <v>Turnu Măgurele</v>
      </c>
    </row>
    <row r="4032" spans="1:6" ht="15.75" customHeight="1">
      <c r="A4032" s="5" t="s">
        <v>22055</v>
      </c>
      <c r="B4032" s="6" t="s">
        <v>22056</v>
      </c>
      <c r="C4032" s="5" t="s">
        <v>21824</v>
      </c>
      <c r="D4032" s="5" t="s">
        <v>21828</v>
      </c>
      <c r="E4032" s="2">
        <v>664437</v>
      </c>
      <c r="F4032" s="4" t="str">
        <f>IF(B4032=B4031,"",B4032)</f>
        <v>Turnu MÄƒgurele</v>
      </c>
    </row>
    <row r="4033" spans="1:6" ht="15.75" customHeight="1">
      <c r="A4033" s="6" t="s">
        <v>1706</v>
      </c>
      <c r="B4033" s="6" t="s">
        <v>1706</v>
      </c>
      <c r="C4033" s="6" t="s">
        <v>1512</v>
      </c>
      <c r="D4033" s="6" t="s">
        <v>1513</v>
      </c>
      <c r="E4033" s="2">
        <v>2785141</v>
      </c>
      <c r="F4033" s="4" t="str">
        <f>IF(B4033=B4032,"",B4033)</f>
        <v>Turnhout</v>
      </c>
    </row>
    <row r="4034" spans="1:6" ht="15.75" customHeight="1">
      <c r="A4034" s="5" t="str">
        <f ca="1">IFERROR(__xludf.DUMMYFUNCTION("GOOGLETRANSLATE(B23813,""en"",""pt"")"),"Turnhout")</f>
        <v>Turnhout</v>
      </c>
      <c r="B4034" s="17" t="s">
        <v>1706</v>
      </c>
      <c r="C4034" s="17" t="s">
        <v>1512</v>
      </c>
      <c r="D4034" s="17" t="s">
        <v>1513</v>
      </c>
      <c r="E4034" s="10">
        <v>2785141</v>
      </c>
      <c r="F4034" s="4" t="str">
        <f>IF(B4034=B4033,"",B4034)</f>
        <v/>
      </c>
    </row>
    <row r="4035" spans="1:6" ht="15.75" customHeight="1">
      <c r="A4035" s="6" t="s">
        <v>30773</v>
      </c>
      <c r="B4035" s="6" t="s">
        <v>30773</v>
      </c>
      <c r="C4035" s="6" t="s">
        <v>5923</v>
      </c>
      <c r="D4035" s="6" t="s">
        <v>30652</v>
      </c>
      <c r="E4035" s="2">
        <v>3625829</v>
      </c>
      <c r="F4035" s="4" t="str">
        <f>IF(B4035=B4034,"",B4035)</f>
        <v>Turmero</v>
      </c>
    </row>
    <row r="4036" spans="1:6" ht="15.75" customHeight="1">
      <c r="A4036" s="5" t="str">
        <f ca="1">IFERROR(__xludf.DUMMYFUNCTION("GOOGLETRANSLATE(B45610,""en"",""pt"")"),"Turmero")</f>
        <v>Turmero</v>
      </c>
      <c r="B4036" s="17" t="s">
        <v>30773</v>
      </c>
      <c r="C4036" s="17" t="s">
        <v>5923</v>
      </c>
      <c r="D4036" s="17" t="s">
        <v>30652</v>
      </c>
      <c r="E4036" s="10">
        <v>3625829</v>
      </c>
      <c r="F4036" s="4" t="str">
        <f>IF(B4036=B4035,"",B4036)</f>
        <v/>
      </c>
    </row>
    <row r="4037" spans="1:6" ht="15.75" customHeight="1">
      <c r="A4037" s="6" t="s">
        <v>30227</v>
      </c>
      <c r="B4037" s="6" t="s">
        <v>30227</v>
      </c>
      <c r="C4037" s="6" t="s">
        <v>27788</v>
      </c>
      <c r="D4037" s="6" t="s">
        <v>27801</v>
      </c>
      <c r="E4037" s="2">
        <v>5404024</v>
      </c>
      <c r="F4037" s="4" t="str">
        <f>IF(B4037=B4036,"",B4037)</f>
        <v>Turlock</v>
      </c>
    </row>
    <row r="4038" spans="1:6" ht="15.75" customHeight="1">
      <c r="A4038" s="5" t="str">
        <f ca="1">IFERROR(__xludf.DUMMYFUNCTION("GOOGLETRANSLATE(B45060,""en"",""pt"")"),"Turlock")</f>
        <v>Turlock</v>
      </c>
      <c r="B4038" s="17" t="s">
        <v>30227</v>
      </c>
      <c r="C4038" s="17" t="s">
        <v>27788</v>
      </c>
      <c r="D4038" s="17" t="s">
        <v>27801</v>
      </c>
      <c r="E4038" s="10">
        <v>5404024</v>
      </c>
      <c r="F4038" s="4" t="str">
        <f>IF(B4038=B4037,"",B4038)</f>
        <v/>
      </c>
    </row>
    <row r="4039" spans="1:6" ht="15.75" customHeight="1">
      <c r="A4039" s="6" t="s">
        <v>7040</v>
      </c>
      <c r="B4039" s="6" t="s">
        <v>7040</v>
      </c>
      <c r="C4039" s="6" t="s">
        <v>6948</v>
      </c>
      <c r="D4039" s="6" t="s">
        <v>6983</v>
      </c>
      <c r="E4039" s="2">
        <v>633679</v>
      </c>
      <c r="F4039" s="4" t="str">
        <f>IF(B4039=B4038,"",B4039)</f>
        <v>Turku</v>
      </c>
    </row>
    <row r="4040" spans="1:6" ht="15.75" customHeight="1">
      <c r="A4040" s="5" t="str">
        <f ca="1">IFERROR(__xludf.DUMMYFUNCTION("GOOGLETRANSLATE(B29605,""en"",""pt"")"),"Turku")</f>
        <v>Turku</v>
      </c>
      <c r="B4040" s="17" t="s">
        <v>7040</v>
      </c>
      <c r="C4040" s="17" t="s">
        <v>6948</v>
      </c>
      <c r="D4040" s="17" t="s">
        <v>6983</v>
      </c>
      <c r="E4040" s="10">
        <v>633679</v>
      </c>
      <c r="F4040" s="4" t="str">
        <f>IF(B4040=B4039,"",B4040)</f>
        <v/>
      </c>
    </row>
    <row r="4041" spans="1:6" ht="15.75" customHeight="1">
      <c r="A4041" s="5" t="str">
        <f ca="1">IFERROR(__xludf.DUMMYFUNCTION("GOOGLETRANSLATE(B41776,""en"",""pt"")"),"Türkmenbaşy")</f>
        <v>Türkmenbaşy</v>
      </c>
      <c r="B4041" s="17" t="s">
        <v>35788</v>
      </c>
      <c r="C4041" s="17" t="s">
        <v>26774</v>
      </c>
      <c r="D4041" s="17" t="s">
        <v>26783</v>
      </c>
      <c r="E4041" s="10">
        <v>601594</v>
      </c>
      <c r="F4041" s="4" t="str">
        <f>IF(B4041=B4040,"",B4041)</f>
        <v>Türkmenbaşy</v>
      </c>
    </row>
    <row r="4042" spans="1:6" ht="15.75" customHeight="1">
      <c r="A4042" s="5" t="str">
        <f ca="1">IFERROR(__xludf.DUMMYFUNCTION("GOOGLETRANSLATE(B41787,""en"",""pt"")"),"Türkmenabat")</f>
        <v>Türkmenabat</v>
      </c>
      <c r="B4042" s="17" t="s">
        <v>35792</v>
      </c>
      <c r="C4042" s="17" t="s">
        <v>26774</v>
      </c>
      <c r="D4042" s="17" t="s">
        <v>26780</v>
      </c>
      <c r="E4042" s="10">
        <v>1219649</v>
      </c>
      <c r="F4042" s="4" t="str">
        <f>IF(B4042=B4041,"",B4042)</f>
        <v>Türkmenabat</v>
      </c>
    </row>
    <row r="4043" spans="1:6" ht="15.75" customHeight="1">
      <c r="A4043" s="5" t="s">
        <v>16764</v>
      </c>
      <c r="B4043" s="6" t="s">
        <v>16765</v>
      </c>
      <c r="C4043" s="5" t="s">
        <v>16671</v>
      </c>
      <c r="D4043" s="5" t="s">
        <v>16678</v>
      </c>
      <c r="E4043" s="2">
        <v>1517945</v>
      </c>
      <c r="F4043" s="4" t="str">
        <f>IF(B4043=B4042,"",B4043)</f>
        <v>Turkestan</v>
      </c>
    </row>
    <row r="4044" spans="1:6" ht="15.75" customHeight="1">
      <c r="A4044" s="5" t="str">
        <f ca="1">IFERROR(__xludf.DUMMYFUNCTION("GOOGLETRANSLATE(B36209,""en"",""pt"")"),"Turquestão")</f>
        <v>Turquestão</v>
      </c>
      <c r="B4044" s="17" t="s">
        <v>16765</v>
      </c>
      <c r="C4044" s="17" t="s">
        <v>16671</v>
      </c>
      <c r="D4044" s="17" t="s">
        <v>34499</v>
      </c>
      <c r="E4044" s="10">
        <v>1517945</v>
      </c>
      <c r="F4044" s="4" t="str">
        <f>IF(B4044=B4043,"",B4044)</f>
        <v/>
      </c>
    </row>
    <row r="4045" spans="1:6" ht="15.75" customHeight="1">
      <c r="A4045" s="6" t="s">
        <v>23214</v>
      </c>
      <c r="B4045" s="6" t="s">
        <v>23215</v>
      </c>
      <c r="C4045" s="6" t="s">
        <v>22070</v>
      </c>
      <c r="D4045" s="6" t="s">
        <v>22106</v>
      </c>
      <c r="E4045" s="2">
        <v>1488933</v>
      </c>
      <c r="F4045" s="4" t="str">
        <f>IF(B4045=B4044,"",B4045)</f>
        <v>Turinsk</v>
      </c>
    </row>
    <row r="4046" spans="1:6" ht="15.75" customHeight="1">
      <c r="A4046" s="5" t="str">
        <f ca="1">IFERROR(__xludf.DUMMYFUNCTION("GOOGLETRANSLATE(B40734,""en"",""pt"")"),"TURINSK")</f>
        <v>TURINSK</v>
      </c>
      <c r="B4046" s="17" t="s">
        <v>23215</v>
      </c>
      <c r="C4046" s="17" t="s">
        <v>22070</v>
      </c>
      <c r="D4046" s="17" t="s">
        <v>22106</v>
      </c>
      <c r="E4046" s="10">
        <v>1488933</v>
      </c>
      <c r="F4046" s="4" t="str">
        <f>IF(B4046=B4045,"",B4046)</f>
        <v/>
      </c>
    </row>
    <row r="4047" spans="1:6" ht="15.75" customHeight="1">
      <c r="A4047" s="6" t="s">
        <v>15549</v>
      </c>
      <c r="B4047" s="6" t="s">
        <v>15550</v>
      </c>
      <c r="C4047" s="6" t="s">
        <v>14891</v>
      </c>
      <c r="D4047" s="6" t="s">
        <v>14911</v>
      </c>
      <c r="E4047" s="2">
        <v>3165524</v>
      </c>
      <c r="F4047" s="4" t="str">
        <f>IF(B4047=B4046,"",B4047)</f>
        <v>Turin</v>
      </c>
    </row>
    <row r="4048" spans="1:6" ht="15.75" customHeight="1">
      <c r="A4048" s="5" t="str">
        <f ca="1">IFERROR(__xludf.DUMMYFUNCTION("GOOGLETRANSLATE(B34663,""en"",""pt"")"),"Turim")</f>
        <v>Turim</v>
      </c>
      <c r="B4048" s="17" t="s">
        <v>15550</v>
      </c>
      <c r="C4048" s="17" t="s">
        <v>14891</v>
      </c>
      <c r="D4048" s="17" t="s">
        <v>14911</v>
      </c>
      <c r="E4048" s="10">
        <v>3165524</v>
      </c>
      <c r="F4048" s="4" t="str">
        <f>IF(B4048=B4047,"",B4048)</f>
        <v/>
      </c>
    </row>
    <row r="4049" spans="1:6" ht="15.75" customHeight="1">
      <c r="A4049" s="6" t="s">
        <v>26739</v>
      </c>
      <c r="B4049" s="6" t="s">
        <v>26739</v>
      </c>
      <c r="C4049" s="6" t="s">
        <v>26201</v>
      </c>
      <c r="D4049" s="6" t="s">
        <v>26474</v>
      </c>
      <c r="E4049" s="2">
        <v>738618</v>
      </c>
      <c r="F4049" s="4" t="str">
        <f>IF(B4049=B4048,"",B4049)</f>
        <v>Turhal</v>
      </c>
    </row>
    <row r="4050" spans="1:6" ht="15.75" customHeight="1">
      <c r="A4050" s="5" t="str">
        <f ca="1">IFERROR(__xludf.DUMMYFUNCTION("GOOGLETRANSLATE(B42101,""en"",""pt"")"),"Turhal")</f>
        <v>Turhal</v>
      </c>
      <c r="B4050" s="17" t="s">
        <v>26739</v>
      </c>
      <c r="C4050" s="17" t="s">
        <v>26201</v>
      </c>
      <c r="D4050" s="17" t="s">
        <v>26474</v>
      </c>
      <c r="E4050" s="10">
        <v>738618</v>
      </c>
      <c r="F4050" s="4" t="str">
        <f>IF(B4050=B4049,"",B4050)</f>
        <v/>
      </c>
    </row>
    <row r="4051" spans="1:6" ht="15.75" customHeight="1">
      <c r="A4051" s="5" t="s">
        <v>26738</v>
      </c>
      <c r="B4051" s="6" t="s">
        <v>26738</v>
      </c>
      <c r="C4051" s="5" t="s">
        <v>26201</v>
      </c>
      <c r="D4051" s="5" t="s">
        <v>26409</v>
      </c>
      <c r="E4051" s="2">
        <v>6620290</v>
      </c>
      <c r="F4051" s="4" t="str">
        <f>IF(B4051=B4050,"",B4051)</f>
        <v>Turgutreis</v>
      </c>
    </row>
    <row r="4052" spans="1:6" ht="15.75" customHeight="1">
      <c r="A4052" s="5" t="str">
        <f ca="1">IFERROR(__xludf.DUMMYFUNCTION("GOOGLETRANSLATE(B42233,""en"",""pt"")"),"Turgutreis")</f>
        <v>Turgutreis</v>
      </c>
      <c r="B4052" s="17" t="s">
        <v>26738</v>
      </c>
      <c r="C4052" s="17" t="s">
        <v>26201</v>
      </c>
      <c r="D4052" s="17" t="s">
        <v>35818</v>
      </c>
      <c r="E4052" s="10">
        <v>6620290</v>
      </c>
      <c r="F4052" s="4" t="str">
        <f>IF(B4052=B4051,"",B4052)</f>
        <v/>
      </c>
    </row>
    <row r="4053" spans="1:6" ht="15.75" customHeight="1">
      <c r="A4053" s="6" t="s">
        <v>26737</v>
      </c>
      <c r="B4053" s="6" t="s">
        <v>26737</v>
      </c>
      <c r="C4053" s="6" t="s">
        <v>26201</v>
      </c>
      <c r="D4053" s="6" t="s">
        <v>26299</v>
      </c>
      <c r="E4053" s="2">
        <v>298806</v>
      </c>
      <c r="F4053" s="4" t="str">
        <f>IF(B4053=B4052,"",B4053)</f>
        <v>Turgutlu</v>
      </c>
    </row>
    <row r="4054" spans="1:6" ht="15.75" customHeight="1">
      <c r="A4054" s="5" t="str">
        <f ca="1">IFERROR(__xludf.DUMMYFUNCTION("GOOGLETRANSLATE(B41880,""en"",""pt"")"),"Turgutlu")</f>
        <v>Turgutlu</v>
      </c>
      <c r="B4054" s="17" t="s">
        <v>26737</v>
      </c>
      <c r="C4054" s="17" t="s">
        <v>26201</v>
      </c>
      <c r="D4054" s="17" t="s">
        <v>26299</v>
      </c>
      <c r="E4054" s="10">
        <v>298806</v>
      </c>
      <c r="F4054" s="4" t="str">
        <f>IF(B4054=B4053,"",B4054)</f>
        <v/>
      </c>
    </row>
    <row r="4055" spans="1:6" ht="15.75" customHeight="1">
      <c r="A4055" s="6" t="s">
        <v>21542</v>
      </c>
      <c r="B4055" s="6" t="s">
        <v>21542</v>
      </c>
      <c r="C4055" s="6" t="s">
        <v>21064</v>
      </c>
      <c r="D4055" s="6" t="s">
        <v>21112</v>
      </c>
      <c r="E4055" s="2">
        <v>3082998</v>
      </c>
      <c r="F4055" s="4" t="str">
        <f>IF(B4055=B4054,"",B4055)</f>
        <v>Turek</v>
      </c>
    </row>
    <row r="4056" spans="1:6" ht="15.75" customHeight="1">
      <c r="A4056" s="5" t="str">
        <f ca="1">IFERROR(__xludf.DUMMYFUNCTION("GOOGLETRANSLATE(B39326,""en"",""pt"")"),"Turek")</f>
        <v>Turek</v>
      </c>
      <c r="B4056" s="17" t="s">
        <v>21542</v>
      </c>
      <c r="C4056" s="17" t="s">
        <v>21064</v>
      </c>
      <c r="D4056" s="17" t="s">
        <v>21112</v>
      </c>
      <c r="E4056" s="10">
        <v>3082998</v>
      </c>
      <c r="F4056" s="4" t="str">
        <f>IF(B4056=B4055,"",B4056)</f>
        <v/>
      </c>
    </row>
    <row r="4057" spans="1:6" ht="15.75" customHeight="1">
      <c r="A4057" s="6" t="s">
        <v>22054</v>
      </c>
      <c r="B4057" s="6" t="s">
        <v>22054</v>
      </c>
      <c r="C4057" s="6" t="s">
        <v>21824</v>
      </c>
      <c r="D4057" s="6" t="s">
        <v>21880</v>
      </c>
      <c r="E4057" s="2">
        <v>664460</v>
      </c>
      <c r="F4057" s="4" t="str">
        <f>IF(B4057=B4056,"",B4057)</f>
        <v>Turda</v>
      </c>
    </row>
    <row r="4058" spans="1:6" ht="15.75" customHeight="1">
      <c r="A4058" s="5" t="str">
        <f ca="1">IFERROR(__xludf.DUMMYFUNCTION("GOOGLETRANSLATE(B39732,""en"",""pt"")"),"Turda")</f>
        <v>Turda</v>
      </c>
      <c r="B4058" s="17" t="s">
        <v>22054</v>
      </c>
      <c r="C4058" s="17" t="s">
        <v>21824</v>
      </c>
      <c r="D4058" s="17" t="s">
        <v>21880</v>
      </c>
      <c r="E4058" s="10">
        <v>664460</v>
      </c>
      <c r="F4058" s="4" t="str">
        <f>IF(B4058=B4057,"",B4058)</f>
        <v/>
      </c>
    </row>
    <row r="4059" spans="1:6" ht="15.75" customHeight="1">
      <c r="A4059" s="6" t="s">
        <v>5636</v>
      </c>
      <c r="B4059" s="6" t="s">
        <v>5636</v>
      </c>
      <c r="C4059" s="6" t="s">
        <v>5348</v>
      </c>
      <c r="D4059" s="6" t="s">
        <v>5362</v>
      </c>
      <c r="E4059" s="2">
        <v>3666570</v>
      </c>
      <c r="F4059" s="4" t="str">
        <f>IF(B4059=B4058,"",B4059)</f>
        <v>Turbo</v>
      </c>
    </row>
    <row r="4060" spans="1:6" ht="15.75" customHeight="1">
      <c r="A4060" s="5" t="str">
        <f ca="1">IFERROR(__xludf.DUMMYFUNCTION("GOOGLETRANSLATE(B26859,""en"",""pt"")"),"Turbo")</f>
        <v>Turbo</v>
      </c>
      <c r="B4060" s="17" t="s">
        <v>5636</v>
      </c>
      <c r="C4060" s="17" t="s">
        <v>5348</v>
      </c>
      <c r="D4060" s="17" t="s">
        <v>5362</v>
      </c>
      <c r="E4060" s="10">
        <v>3666570</v>
      </c>
      <c r="F4060" s="4" t="str">
        <f>IF(B4060=B4059,"",B4060)</f>
        <v/>
      </c>
    </row>
    <row r="4061" spans="1:6" ht="15.75" customHeight="1">
      <c r="A4061" s="6" t="s">
        <v>20273</v>
      </c>
      <c r="B4061" s="6" t="s">
        <v>20273</v>
      </c>
      <c r="C4061" s="6" t="s">
        <v>19808</v>
      </c>
      <c r="D4061" s="6" t="s">
        <v>19833</v>
      </c>
      <c r="E4061" s="2">
        <v>1163054</v>
      </c>
      <c r="F4061" s="4" t="str">
        <f>IF(B4061=B4060,"",B4061)</f>
        <v>Turbat</v>
      </c>
    </row>
    <row r="4062" spans="1:6" ht="15.75" customHeight="1">
      <c r="A4062" s="5" t="str">
        <f ca="1">IFERROR(__xludf.DUMMYFUNCTION("GOOGLETRANSLATE(B38881,""en"",""pt"")"),"Turbat")</f>
        <v>Turbat</v>
      </c>
      <c r="B4062" s="17" t="s">
        <v>20273</v>
      </c>
      <c r="C4062" s="17" t="s">
        <v>19808</v>
      </c>
      <c r="D4062" s="17" t="s">
        <v>34892</v>
      </c>
      <c r="E4062" s="10">
        <v>1163054</v>
      </c>
      <c r="F4062" s="4" t="str">
        <f>IF(B4062=B4061,"",B4062)</f>
        <v/>
      </c>
    </row>
    <row r="4063" spans="1:6" ht="15.75" customHeight="1">
      <c r="A4063" s="6" t="s">
        <v>5635</v>
      </c>
      <c r="B4063" s="6" t="s">
        <v>5635</v>
      </c>
      <c r="C4063" s="6" t="s">
        <v>5348</v>
      </c>
      <c r="D4063" s="6" t="s">
        <v>5373</v>
      </c>
      <c r="E4063" s="2">
        <v>3666577</v>
      </c>
      <c r="F4063" s="4" t="str">
        <f>IF(B4063=B4062,"",B4063)</f>
        <v>Turbaco</v>
      </c>
    </row>
    <row r="4064" spans="1:6" ht="15.75" customHeight="1">
      <c r="A4064" s="5" t="str">
        <f ca="1">IFERROR(__xludf.DUMMYFUNCTION("GOOGLETRANSLATE(B26860,""en"",""pt"")"),"Turbaco")</f>
        <v>Turbaco</v>
      </c>
      <c r="B4064" s="17" t="s">
        <v>5635</v>
      </c>
      <c r="C4064" s="17" t="s">
        <v>5348</v>
      </c>
      <c r="D4064" s="17" t="s">
        <v>31836</v>
      </c>
      <c r="E4064" s="10">
        <v>3666577</v>
      </c>
      <c r="F4064" s="4" t="str">
        <f>IF(B4064=B4063,"",B4064)</f>
        <v/>
      </c>
    </row>
    <row r="4065" spans="1:6" ht="15.75" customHeight="1">
      <c r="A4065" s="5" t="str">
        <f ca="1">IFERROR(__xludf.DUMMYFUNCTION("GOOGLETRANSLATE(B41011,""en"",""pt"")"),"Ţurayf")</f>
        <v>Ţurayf</v>
      </c>
      <c r="B4065" s="17" t="s">
        <v>35570</v>
      </c>
      <c r="C4065" s="17" t="s">
        <v>23454</v>
      </c>
      <c r="D4065" s="17" t="s">
        <v>23457</v>
      </c>
      <c r="E4065" s="10">
        <v>101312</v>
      </c>
      <c r="F4065" s="4" t="str">
        <f>IF(B4065=B4064,"",B4065)</f>
        <v>Ţurayf</v>
      </c>
    </row>
    <row r="4066" spans="1:6" ht="15.75" customHeight="1">
      <c r="A4066" s="5" t="str">
        <f ca="1">IFERROR(__xludf.DUMMYFUNCTION("GOOGLETRANSLATE(B31954,""en"",""pt"")"),"TURAIYūr")</f>
        <v>TURAIYūr</v>
      </c>
      <c r="B4066" s="17" t="s">
        <v>32984</v>
      </c>
      <c r="C4066" s="17" t="s">
        <v>10178</v>
      </c>
      <c r="D4066" s="17" t="s">
        <v>10196</v>
      </c>
      <c r="E4066" s="10">
        <v>1254043</v>
      </c>
      <c r="F4066" s="4" t="str">
        <f>IF(B4066=B4065,"",B4066)</f>
        <v>Turaiyūr</v>
      </c>
    </row>
    <row r="4067" spans="1:6" ht="15.75" customHeight="1">
      <c r="A4067" s="5" t="s">
        <v>13623</v>
      </c>
      <c r="B4067" s="6" t="s">
        <v>13624</v>
      </c>
      <c r="C4067" s="5" t="s">
        <v>10178</v>
      </c>
      <c r="D4067" s="5" t="s">
        <v>10196</v>
      </c>
      <c r="E4067" s="2">
        <v>1254043</v>
      </c>
      <c r="F4067" s="4" t="str">
        <f>IF(B4067=B4066,"",B4067)</f>
        <v>TuraiyÅ«r</v>
      </c>
    </row>
    <row r="4068" spans="1:6" ht="15.75" customHeight="1">
      <c r="A4068" s="5" t="str">
        <f ca="1">IFERROR(__xludf.DUMMYFUNCTION("GOOGLETRANSLATE(B45540,""en"",""pt"")"),"Tŭragŭrghon")</f>
        <v>Tŭragŭrghon</v>
      </c>
      <c r="B4068" s="17" t="s">
        <v>36070</v>
      </c>
      <c r="C4068" s="17" t="s">
        <v>30502</v>
      </c>
      <c r="D4068" s="17" t="s">
        <v>30528</v>
      </c>
      <c r="E4068" s="10">
        <v>1512549</v>
      </c>
      <c r="F4068" s="4" t="str">
        <f>IF(B4068=B4067,"",B4068)</f>
        <v>Tŭragŭrghon</v>
      </c>
    </row>
    <row r="4069" spans="1:6" ht="15.75" customHeight="1">
      <c r="A4069" s="6" t="s">
        <v>23553</v>
      </c>
      <c r="B4069" s="6" t="s">
        <v>23553</v>
      </c>
      <c r="C4069" s="6" t="s">
        <v>23454</v>
      </c>
      <c r="D4069" s="6" t="s">
        <v>23491</v>
      </c>
      <c r="E4069" s="2">
        <v>101322</v>
      </c>
      <c r="F4069" s="4" t="str">
        <f>IF(B4069=B4068,"",B4069)</f>
        <v>Turabah</v>
      </c>
    </row>
    <row r="4070" spans="1:6" ht="15.75" customHeight="1">
      <c r="A4070" s="5" t="str">
        <f ca="1">IFERROR(__xludf.DUMMYFUNCTION("GOOGLETRANSLATE(B41012,""en"",""pt"")"),"Turabah")</f>
        <v>Turabah</v>
      </c>
      <c r="B4070" s="17" t="s">
        <v>23553</v>
      </c>
      <c r="C4070" s="17" t="s">
        <v>23454</v>
      </c>
      <c r="D4070" s="17" t="s">
        <v>23491</v>
      </c>
      <c r="E4070" s="10">
        <v>101322</v>
      </c>
      <c r="F4070" s="4" t="str">
        <f>IF(B4070=B4069,"",B4070)</f>
        <v/>
      </c>
    </row>
    <row r="4071" spans="1:6" ht="15.75" customHeight="1">
      <c r="A4071" s="6" t="s">
        <v>13621</v>
      </c>
      <c r="B4071" s="6" t="s">
        <v>13622</v>
      </c>
      <c r="C4071" s="6" t="s">
        <v>10178</v>
      </c>
      <c r="D4071" s="6" t="s">
        <v>12353</v>
      </c>
      <c r="E4071" s="2">
        <v>1254046</v>
      </c>
      <c r="F4071" s="4" t="str">
        <f>IF(B4071=B4070,"",B4071)</f>
        <v>Tura</v>
      </c>
    </row>
    <row r="4072" spans="1:6" ht="15.75" customHeight="1">
      <c r="A4072" s="5" t="str">
        <f ca="1">IFERROR(__xludf.DUMMYFUNCTION("GOOGLETRANSLATE(B31955,""en"",""pt"")"),"TURA")</f>
        <v>TURA</v>
      </c>
      <c r="B4072" s="17" t="s">
        <v>13622</v>
      </c>
      <c r="C4072" s="17" t="s">
        <v>10178</v>
      </c>
      <c r="D4072" s="17" t="s">
        <v>12353</v>
      </c>
      <c r="E4072" s="10">
        <v>1254046</v>
      </c>
      <c r="F4072" s="4" t="str">
        <f>IF(B4072=B4071,"",B4072)</f>
        <v/>
      </c>
    </row>
    <row r="4073" spans="1:6" ht="15.75" customHeight="1">
      <c r="A4073" s="5" t="str">
        <f ca="1">IFERROR(__xludf.DUMMYFUNCTION("GOOGLETRANSLATE(B26861,""en"",""pt"")"),"TúQuerres")</f>
        <v>TúQuerres</v>
      </c>
      <c r="B4073" s="17" t="s">
        <v>31837</v>
      </c>
      <c r="C4073" s="17" t="s">
        <v>5348</v>
      </c>
      <c r="D4073" s="17" t="s">
        <v>31838</v>
      </c>
      <c r="E4073" s="10">
        <v>3666582</v>
      </c>
      <c r="F4073" s="4" t="str">
        <f>IF(B4073=B4072,"",B4073)</f>
        <v>Túquerres</v>
      </c>
    </row>
    <row r="4074" spans="1:6" ht="15.75" customHeight="1">
      <c r="A4074" s="6" t="s">
        <v>1833</v>
      </c>
      <c r="B4074" s="6" t="s">
        <v>1833</v>
      </c>
      <c r="C4074" s="6" t="s">
        <v>1806</v>
      </c>
      <c r="D4074" s="6" t="s">
        <v>1818</v>
      </c>
      <c r="E4074" s="2">
        <v>3902202</v>
      </c>
      <c r="F4074" s="4" t="str">
        <f>IF(B4074=B4073,"",B4074)</f>
        <v>Tupiza</v>
      </c>
    </row>
    <row r="4075" spans="1:6" ht="15.75" customHeight="1">
      <c r="A4075" s="5" t="str">
        <f ca="1">IFERROR(__xludf.DUMMYFUNCTION("GOOGLETRANSLATE(B24120,""en"",""pt"")"),"Tupiza")</f>
        <v>Tupiza</v>
      </c>
      <c r="B4075" s="17" t="s">
        <v>1833</v>
      </c>
      <c r="C4075" s="17" t="s">
        <v>1806</v>
      </c>
      <c r="D4075" s="17" t="s">
        <v>31336</v>
      </c>
      <c r="E4075" s="10">
        <v>3902202</v>
      </c>
      <c r="F4075" s="4" t="str">
        <f>IF(B4075=B4074,"",B4075)</f>
        <v/>
      </c>
    </row>
    <row r="4076" spans="1:6" ht="15.75" customHeight="1">
      <c r="A4076" s="6" t="s">
        <v>21050</v>
      </c>
      <c r="B4076" s="6" t="s">
        <v>21050</v>
      </c>
      <c r="C4076" s="6" t="s">
        <v>20598</v>
      </c>
      <c r="D4076" s="6" t="s">
        <v>20658</v>
      </c>
      <c r="E4076" s="2">
        <v>1680613</v>
      </c>
      <c r="F4076" s="4" t="str">
        <f>IF(B4076=B4075,"",B4076)</f>
        <v>Tupi</v>
      </c>
    </row>
    <row r="4077" spans="1:6" ht="15.75" customHeight="1">
      <c r="A4077" s="5" t="str">
        <f ca="1">IFERROR(__xludf.DUMMYFUNCTION("GOOGLETRANSLATE(B38434,""en"",""pt"")"),"Tupi")</f>
        <v>Tupi</v>
      </c>
      <c r="B4077" s="17" t="s">
        <v>21050</v>
      </c>
      <c r="C4077" s="17" t="s">
        <v>20598</v>
      </c>
      <c r="D4077" s="17" t="s">
        <v>20658</v>
      </c>
      <c r="E4077" s="10">
        <v>1680613</v>
      </c>
      <c r="F4077" s="4" t="str">
        <f>IF(B4077=B4076,"",B4077)</f>
        <v/>
      </c>
    </row>
    <row r="4078" spans="1:6" ht="15.75" customHeight="1">
      <c r="A4078" s="6" t="s">
        <v>30226</v>
      </c>
      <c r="B4078" s="6" t="s">
        <v>30226</v>
      </c>
      <c r="C4078" s="6" t="s">
        <v>27788</v>
      </c>
      <c r="D4078" s="6" t="s">
        <v>28040</v>
      </c>
      <c r="E4078" s="2">
        <v>4448903</v>
      </c>
      <c r="F4078" s="4" t="str">
        <f>IF(B4078=B4077,"",B4078)</f>
        <v>Tupelo</v>
      </c>
    </row>
    <row r="4079" spans="1:6" ht="15.75" customHeight="1">
      <c r="A4079" s="5" t="str">
        <f ca="1">IFERROR(__xludf.DUMMYFUNCTION("GOOGLETRANSLATE(B43423,""en"",""pt"")"),"Tupelo")</f>
        <v>Tupelo</v>
      </c>
      <c r="B4079" s="17" t="s">
        <v>30226</v>
      </c>
      <c r="C4079" s="17" t="s">
        <v>27788</v>
      </c>
      <c r="D4079" s="17" t="s">
        <v>28040</v>
      </c>
      <c r="E4079" s="10">
        <v>4448903</v>
      </c>
      <c r="F4079" s="4" t="str">
        <f>IF(B4079=B4078,"",B4079)</f>
        <v/>
      </c>
    </row>
    <row r="4080" spans="1:6" ht="15.75" customHeight="1">
      <c r="A4080" s="5" t="s">
        <v>3600</v>
      </c>
      <c r="B4080" s="6" t="s">
        <v>3601</v>
      </c>
      <c r="C4080" s="5" t="s">
        <v>1905</v>
      </c>
      <c r="D4080" s="5" t="s">
        <v>1951</v>
      </c>
      <c r="E4080" s="2">
        <v>3445939</v>
      </c>
      <c r="F4080" s="4" t="str">
        <f>IF(B4080=B4079,"",B4080)</f>
        <v>TupanciretÃ£</v>
      </c>
    </row>
    <row r="4081" spans="1:6" ht="15.75" customHeight="1">
      <c r="A4081" s="5" t="str">
        <f ca="1">IFERROR(__xludf.DUMMYFUNCTION("GOOGLETRANSLATE(B24471,""en"",""pt"")"),"Tupanciretã")</f>
        <v>Tupanciretã</v>
      </c>
      <c r="B4081" s="17" t="s">
        <v>3600</v>
      </c>
      <c r="C4081" s="17" t="s">
        <v>1905</v>
      </c>
      <c r="D4081" s="17" t="s">
        <v>1951</v>
      </c>
      <c r="E4081" s="10">
        <v>3445939</v>
      </c>
      <c r="F4081" s="4" t="str">
        <f>IF(B4081=B4080,"",B4081)</f>
        <v>Tupanciretã</v>
      </c>
    </row>
    <row r="4082" spans="1:6" ht="15.75" customHeight="1">
      <c r="A4082" s="5" t="s">
        <v>3599</v>
      </c>
      <c r="B4082" s="6" t="s">
        <v>3599</v>
      </c>
      <c r="C4082" s="5" t="s">
        <v>1905</v>
      </c>
      <c r="D4082" s="5" t="s">
        <v>1917</v>
      </c>
      <c r="E4082" s="2">
        <v>3445941</v>
      </c>
      <c r="F4082" s="4" t="str">
        <f>IF(B4082=B4081,"",B4082)</f>
        <v>Tupaciguara</v>
      </c>
    </row>
    <row r="4083" spans="1:6" ht="15.75" customHeight="1">
      <c r="A4083" s="5" t="str">
        <f ca="1">IFERROR(__xludf.DUMMYFUNCTION("GOOGLETRANSLATE(B24472,""en"",""pt"")"),"Tupaciguara")</f>
        <v>Tupaciguara</v>
      </c>
      <c r="B4083" s="17" t="s">
        <v>3599</v>
      </c>
      <c r="C4083" s="17" t="s">
        <v>1905</v>
      </c>
      <c r="D4083" s="17" t="s">
        <v>1917</v>
      </c>
      <c r="E4083" s="10">
        <v>3445941</v>
      </c>
      <c r="F4083" s="4" t="str">
        <f>IF(B4083=B4082,"",B4083)</f>
        <v/>
      </c>
    </row>
    <row r="4084" spans="1:6" ht="15.75" customHeight="1">
      <c r="A4084" s="6" t="s">
        <v>3597</v>
      </c>
      <c r="B4084" s="6" t="s">
        <v>3598</v>
      </c>
      <c r="C4084" s="6" t="s">
        <v>1905</v>
      </c>
      <c r="D4084" s="6" t="s">
        <v>1914</v>
      </c>
      <c r="E4084" s="2">
        <v>3445942</v>
      </c>
      <c r="F4084" s="4" t="str">
        <f>IF(B4084=B4083,"",B4084)</f>
        <v>TupÃ£</v>
      </c>
    </row>
    <row r="4085" spans="1:6" ht="15.75" customHeight="1">
      <c r="A4085" s="5" t="str">
        <f ca="1">IFERROR(__xludf.DUMMYFUNCTION("GOOGLETRANSLATE(B24473,""en"",""pt"")"),"Tupã")</f>
        <v>Tupã</v>
      </c>
      <c r="B4085" s="17" t="s">
        <v>3597</v>
      </c>
      <c r="C4085" s="17" t="s">
        <v>1905</v>
      </c>
      <c r="D4085" s="17" t="s">
        <v>3354</v>
      </c>
      <c r="E4085" s="10">
        <v>3445942</v>
      </c>
      <c r="F4085" s="4" t="str">
        <f>IF(B4085=B4084,"",B4085)</f>
        <v>Tupã</v>
      </c>
    </row>
    <row r="4086" spans="1:6" ht="15.75" customHeight="1">
      <c r="A4086" s="6" t="s">
        <v>3596</v>
      </c>
      <c r="B4086" s="6" t="s">
        <v>3596</v>
      </c>
      <c r="C4086" s="6" t="s">
        <v>1905</v>
      </c>
      <c r="D4086" s="6" t="s">
        <v>2024</v>
      </c>
      <c r="E4086" s="2">
        <v>3385922</v>
      </c>
      <c r="F4086" s="4" t="str">
        <f>IF(B4086=B4085,"",B4086)</f>
        <v>Tuntum</v>
      </c>
    </row>
    <row r="4087" spans="1:6" ht="15.75" customHeight="1">
      <c r="A4087" s="5" t="str">
        <f ca="1">IFERROR(__xludf.DUMMYFUNCTION("GOOGLETRANSLATE(B24157,""en"",""pt"")"),"Tuntum")</f>
        <v>Tuntum</v>
      </c>
      <c r="B4087" s="17" t="s">
        <v>3596</v>
      </c>
      <c r="C4087" s="17" t="s">
        <v>1905</v>
      </c>
      <c r="D4087" s="17" t="s">
        <v>31340</v>
      </c>
      <c r="E4087" s="10">
        <v>3385922</v>
      </c>
      <c r="F4087" s="4" t="str">
        <f>IF(B4087=B4086,"",B4087)</f>
        <v/>
      </c>
    </row>
    <row r="4088" spans="1:6" ht="15.75" customHeight="1">
      <c r="A4088" s="6" t="s">
        <v>5634</v>
      </c>
      <c r="B4088" s="6" t="s">
        <v>5634</v>
      </c>
      <c r="C4088" s="6" t="s">
        <v>5348</v>
      </c>
      <c r="D4088" s="6" t="s">
        <v>5433</v>
      </c>
      <c r="E4088" s="2">
        <v>3666608</v>
      </c>
      <c r="F4088" s="4" t="str">
        <f>IF(B4088=B4087,"",B4088)</f>
        <v>Tunja</v>
      </c>
    </row>
    <row r="4089" spans="1:6" ht="15.75" customHeight="1">
      <c r="A4089" s="5" t="str">
        <f ca="1">IFERROR(__xludf.DUMMYFUNCTION("GOOGLETRANSLATE(B26862,""en"",""pt"")"),"Tunja")</f>
        <v>Tunja</v>
      </c>
      <c r="B4089" s="17" t="s">
        <v>5634</v>
      </c>
      <c r="C4089" s="17" t="s">
        <v>5348</v>
      </c>
      <c r="D4089" s="17" t="s">
        <v>31839</v>
      </c>
      <c r="E4089" s="10">
        <v>3666608</v>
      </c>
      <c r="F4089" s="4" t="str">
        <f>IF(B4089=B4088,"",B4089)</f>
        <v/>
      </c>
    </row>
    <row r="4090" spans="1:6" ht="15.75" customHeight="1">
      <c r="A4090" s="6" t="s">
        <v>26195</v>
      </c>
      <c r="B4090" s="6" t="s">
        <v>26195</v>
      </c>
      <c r="C4090" s="6" t="s">
        <v>26090</v>
      </c>
      <c r="D4090" s="6" t="s">
        <v>26094</v>
      </c>
      <c r="E4090" s="2">
        <v>2464470</v>
      </c>
      <c r="F4090" s="4" t="str">
        <f>IF(B4090=B4089,"",B4090)</f>
        <v>Tunis</v>
      </c>
    </row>
    <row r="4091" spans="1:6" ht="15.75" customHeight="1">
      <c r="A4091" s="5" t="str">
        <f ca="1">IFERROR(__xludf.DUMMYFUNCTION("GOOGLETRANSLATE(B41792,""en"",""pt"")"),"Tunis")</f>
        <v>Tunis</v>
      </c>
      <c r="B4091" s="17" t="s">
        <v>26195</v>
      </c>
      <c r="C4091" s="17" t="s">
        <v>26090</v>
      </c>
      <c r="D4091" s="17" t="s">
        <v>35794</v>
      </c>
      <c r="E4091" s="10">
        <v>2464470</v>
      </c>
      <c r="F4091" s="4" t="str">
        <f>IF(B4091=B4090,"",B4091)</f>
        <v/>
      </c>
    </row>
    <row r="4092" spans="1:6" ht="15.75" customHeight="1">
      <c r="A4092" s="6" t="s">
        <v>13620</v>
      </c>
      <c r="B4092" s="6" t="s">
        <v>13620</v>
      </c>
      <c r="C4092" s="6" t="s">
        <v>10178</v>
      </c>
      <c r="D4092" s="6" t="s">
        <v>10190</v>
      </c>
      <c r="E4092" s="2">
        <v>1254054</v>
      </c>
      <c r="F4092" s="4" t="str">
        <f>IF(B4092=B4091,"",B4092)</f>
        <v>Tuni</v>
      </c>
    </row>
    <row r="4093" spans="1:6" ht="15.75" customHeight="1">
      <c r="A4093" s="5" t="str">
        <f ca="1">IFERROR(__xludf.DUMMYFUNCTION("GOOGLETRANSLATE(B31956,""en"",""pt"")"),"Tuni")</f>
        <v>Tuni</v>
      </c>
      <c r="B4093" s="17" t="s">
        <v>13620</v>
      </c>
      <c r="C4093" s="17" t="s">
        <v>10178</v>
      </c>
      <c r="D4093" s="17" t="s">
        <v>10190</v>
      </c>
      <c r="E4093" s="10">
        <v>1254054</v>
      </c>
      <c r="F4093" s="4" t="str">
        <f>IF(B4093=B4092,"",B4093)</f>
        <v/>
      </c>
    </row>
    <row r="4094" spans="1:6" ht="15.75" customHeight="1">
      <c r="A4094" s="5" t="str">
        <f ca="1">IFERROR(__xludf.DUMMYFUNCTION("GOOGLETRANSLATE(B23753,""en"",""pt"")"),"Tungipāra")</f>
        <v>Tungipāra</v>
      </c>
      <c r="B4094" s="17" t="s">
        <v>31287</v>
      </c>
      <c r="C4094" s="17" t="s">
        <v>1296</v>
      </c>
      <c r="D4094" s="17" t="s">
        <v>1297</v>
      </c>
      <c r="E4094" s="10">
        <v>1185920</v>
      </c>
      <c r="F4094" s="4" t="str">
        <f>IF(B4094=B4093,"",B4094)</f>
        <v>Tungipāra</v>
      </c>
    </row>
    <row r="4095" spans="1:6" ht="15.75" customHeight="1">
      <c r="A4095" s="5" t="s">
        <v>1446</v>
      </c>
      <c r="B4095" s="6" t="s">
        <v>1447</v>
      </c>
      <c r="C4095" s="5" t="s">
        <v>1296</v>
      </c>
      <c r="D4095" s="5" t="s">
        <v>1297</v>
      </c>
      <c r="E4095" s="2">
        <v>1185920</v>
      </c>
      <c r="F4095" s="4" t="str">
        <f>IF(B4095=B4094,"",B4095)</f>
        <v>TungipÄra</v>
      </c>
    </row>
    <row r="4096" spans="1:6" ht="15.75" customHeight="1">
      <c r="A4096" s="6" t="s">
        <v>1445</v>
      </c>
      <c r="B4096" s="6" t="s">
        <v>1445</v>
      </c>
      <c r="C4096" s="6" t="s">
        <v>1296</v>
      </c>
      <c r="D4096" s="6" t="s">
        <v>1297</v>
      </c>
      <c r="E4096" s="2">
        <v>1185098</v>
      </c>
      <c r="F4096" s="4" t="str">
        <f>IF(B4096=B4095,"",B4096)</f>
        <v>Tungi</v>
      </c>
    </row>
    <row r="4097" spans="1:6" ht="15.75" customHeight="1">
      <c r="A4097" s="5" t="str">
        <f ca="1">IFERROR(__xludf.DUMMYFUNCTION("GOOGLETRANSLATE(B23695,""en"",""pt"")"),"Tungi")</f>
        <v>Tungi</v>
      </c>
      <c r="B4097" s="17" t="s">
        <v>1445</v>
      </c>
      <c r="C4097" s="17" t="s">
        <v>1296</v>
      </c>
      <c r="D4097" s="17" t="s">
        <v>1297</v>
      </c>
      <c r="E4097" s="10">
        <v>1185098</v>
      </c>
      <c r="F4097" s="4" t="str">
        <f>IF(B4097=B4096,"",B4097)</f>
        <v/>
      </c>
    </row>
    <row r="4098" spans="1:6" ht="15.75" customHeight="1">
      <c r="A4098" s="6" t="s">
        <v>25754</v>
      </c>
      <c r="B4098" s="6" t="s">
        <v>25754</v>
      </c>
      <c r="C4098" s="6" t="s">
        <v>25560</v>
      </c>
      <c r="D4098" s="6" t="s">
        <v>25589</v>
      </c>
      <c r="E4098" s="2">
        <v>149402</v>
      </c>
      <c r="F4098" s="4" t="str">
        <f>IF(B4098=B4097,"",B4098)</f>
        <v>Tunduma</v>
      </c>
    </row>
    <row r="4099" spans="1:6" ht="15.75" customHeight="1">
      <c r="A4099" s="5" t="str">
        <f ca="1">IFERROR(__xludf.DUMMYFUNCTION("GOOGLETRANSLATE(B42292,""en"",""pt"")"),"Tunduma")</f>
        <v>Tunduma</v>
      </c>
      <c r="B4099" s="17" t="s">
        <v>25754</v>
      </c>
      <c r="C4099" s="17" t="s">
        <v>25560</v>
      </c>
      <c r="D4099" s="17" t="s">
        <v>25589</v>
      </c>
      <c r="E4099" s="10">
        <v>149402</v>
      </c>
      <c r="F4099" s="4" t="str">
        <f>IF(B4099=B4098,"",B4099)</f>
        <v/>
      </c>
    </row>
    <row r="4100" spans="1:6" ht="15.75" customHeight="1">
      <c r="A4100" s="5" t="str">
        <f ca="1">IFERROR(__xludf.DUMMYFUNCTION("GOOGLETRANSLATE(B31957,""en"",""pt"")"),"Tūndla")</f>
        <v>Tūndla</v>
      </c>
      <c r="B4100" s="17" t="s">
        <v>32985</v>
      </c>
      <c r="C4100" s="17" t="s">
        <v>10178</v>
      </c>
      <c r="D4100" s="17" t="s">
        <v>10193</v>
      </c>
      <c r="E4100" s="10">
        <v>1254069</v>
      </c>
      <c r="F4100" s="4" t="str">
        <f>IF(B4100=B4099,"",B4100)</f>
        <v>Tūndla</v>
      </c>
    </row>
    <row r="4101" spans="1:6" ht="15.75" customHeight="1">
      <c r="A4101" s="6" t="s">
        <v>26736</v>
      </c>
      <c r="B4101" s="6" t="s">
        <v>26736</v>
      </c>
      <c r="C4101" s="6" t="s">
        <v>26201</v>
      </c>
      <c r="D4101" s="6" t="s">
        <v>26736</v>
      </c>
      <c r="E4101" s="2">
        <v>298846</v>
      </c>
      <c r="F4101" s="4" t="str">
        <f>IF(B4101=B4100,"",B4101)</f>
        <v>Tunceli</v>
      </c>
    </row>
    <row r="4102" spans="1:6" ht="15.75" customHeight="1">
      <c r="A4102" s="5" t="str">
        <f ca="1">IFERROR(__xludf.DUMMYFUNCTION("GOOGLETRANSLATE(B41881,""en"",""pt"")"),"Tunceli")</f>
        <v>Tunceli</v>
      </c>
      <c r="B4102" s="17" t="s">
        <v>26736</v>
      </c>
      <c r="C4102" s="17" t="s">
        <v>26201</v>
      </c>
      <c r="D4102" s="17" t="s">
        <v>26736</v>
      </c>
      <c r="E4102" s="10">
        <v>298846</v>
      </c>
      <c r="F4102" s="4" t="str">
        <f>IF(B4102=B4101,"",B4102)</f>
        <v/>
      </c>
    </row>
    <row r="4103" spans="1:6" ht="15.75" customHeight="1">
      <c r="A4103" s="5" t="s">
        <v>26088</v>
      </c>
      <c r="B4103" s="6" t="s">
        <v>26088</v>
      </c>
      <c r="C4103" s="5" t="s">
        <v>26070</v>
      </c>
      <c r="D4103" s="5" t="s">
        <v>26080</v>
      </c>
      <c r="E4103" s="2">
        <v>3573576</v>
      </c>
      <c r="F4103" s="4" t="str">
        <f>IF(B4103=B4102,"",B4103)</f>
        <v>Tunapuna</v>
      </c>
    </row>
    <row r="4104" spans="1:6" ht="15.75" customHeight="1">
      <c r="A4104" s="5" t="str">
        <f ca="1">IFERROR(__xludf.DUMMYFUNCTION("GOOGLETRANSLATE(B42246,""en"",""pt"")"),"Tunapuna")</f>
        <v>Tunapuna</v>
      </c>
      <c r="B4104" s="17" t="s">
        <v>26088</v>
      </c>
      <c r="C4104" s="17" t="s">
        <v>26070</v>
      </c>
      <c r="D4104" s="17" t="s">
        <v>26080</v>
      </c>
      <c r="E4104" s="10">
        <v>3573576</v>
      </c>
      <c r="F4104" s="4" t="str">
        <f>IF(B4104=B4103,"",B4104)</f>
        <v/>
      </c>
    </row>
    <row r="4105" spans="1:6" ht="15.75" customHeight="1">
      <c r="A4105" s="5" t="s">
        <v>30225</v>
      </c>
      <c r="B4105" s="6" t="s">
        <v>30225</v>
      </c>
      <c r="C4105" s="5" t="s">
        <v>27788</v>
      </c>
      <c r="D4105" s="5" t="s">
        <v>27733</v>
      </c>
      <c r="E4105" s="2">
        <v>5814095</v>
      </c>
      <c r="F4105" s="4" t="str">
        <f>IF(B4105=B4104,"",B4105)</f>
        <v>Tumwater</v>
      </c>
    </row>
    <row r="4106" spans="1:6" ht="15.75" customHeight="1">
      <c r="A4106" s="5" t="str">
        <f ca="1">IFERROR(__xludf.DUMMYFUNCTION("GOOGLETRANSLATE(B45384,""en"",""pt"")"),"Tumwater")</f>
        <v>Tumwater</v>
      </c>
      <c r="B4106" s="17" t="s">
        <v>30225</v>
      </c>
      <c r="C4106" s="17" t="s">
        <v>27788</v>
      </c>
      <c r="D4106" s="17" t="s">
        <v>27733</v>
      </c>
      <c r="E4106" s="10">
        <v>5814095</v>
      </c>
      <c r="F4106" s="4" t="str">
        <f>IF(B4106=B4105,"",B4106)</f>
        <v/>
      </c>
    </row>
    <row r="4107" spans="1:6" ht="15.75" customHeight="1">
      <c r="A4107" s="6" t="s">
        <v>13619</v>
      </c>
      <c r="B4107" s="6" t="s">
        <v>13619</v>
      </c>
      <c r="C4107" s="6" t="s">
        <v>10178</v>
      </c>
      <c r="D4107" s="6" t="s">
        <v>10214</v>
      </c>
      <c r="E4107" s="2">
        <v>1254080</v>
      </c>
      <c r="F4107" s="4" t="str">
        <f>IF(B4107=B4106,"",B4107)</f>
        <v>Tumsar</v>
      </c>
    </row>
    <row r="4108" spans="1:6" ht="15.75" customHeight="1">
      <c r="A4108" s="5" t="str">
        <f ca="1">IFERROR(__xludf.DUMMYFUNCTION("GOOGLETRANSLATE(B31958,""en"",""pt"")"),"Tumsar")</f>
        <v>Tumsar</v>
      </c>
      <c r="B4108" s="17" t="s">
        <v>13619</v>
      </c>
      <c r="C4108" s="17" t="s">
        <v>10178</v>
      </c>
      <c r="D4108" s="17" t="s">
        <v>10214</v>
      </c>
      <c r="E4108" s="10">
        <v>1254080</v>
      </c>
      <c r="F4108" s="4" t="str">
        <f>IF(B4108=B4107,"",B4108)</f>
        <v/>
      </c>
    </row>
    <row r="4109" spans="1:6" ht="15.75" customHeight="1">
      <c r="A4109" s="5" t="str">
        <f ca="1">IFERROR(__xludf.DUMMYFUNCTION("GOOGLETRANSLATE(B31959,""en"",""pt"")"),"Tumkūr")</f>
        <v>Tumkūr</v>
      </c>
      <c r="B4109" s="17" t="s">
        <v>32986</v>
      </c>
      <c r="C4109" s="17" t="s">
        <v>10178</v>
      </c>
      <c r="D4109" s="17" t="s">
        <v>10252</v>
      </c>
      <c r="E4109" s="10">
        <v>1254089</v>
      </c>
      <c r="F4109" s="4" t="str">
        <f>IF(B4109=B4108,"",B4109)</f>
        <v>Tumkūr</v>
      </c>
    </row>
    <row r="4110" spans="1:6" ht="15.75" customHeight="1">
      <c r="A4110" s="6" t="s">
        <v>13617</v>
      </c>
      <c r="B4110" s="6" t="s">
        <v>13618</v>
      </c>
      <c r="C4110" s="6" t="s">
        <v>10178</v>
      </c>
      <c r="D4110" s="6" t="s">
        <v>10252</v>
      </c>
      <c r="E4110" s="2">
        <v>1254089</v>
      </c>
      <c r="F4110" s="4" t="str">
        <f>IF(B4110=B4109,"",B4110)</f>
        <v>TumkÅ«r</v>
      </c>
    </row>
    <row r="4111" spans="1:6" ht="15.75" customHeight="1">
      <c r="A4111" s="6" t="s">
        <v>5140</v>
      </c>
      <c r="B4111" s="6" t="s">
        <v>5140</v>
      </c>
      <c r="C4111" s="6" t="s">
        <v>4487</v>
      </c>
      <c r="D4111" s="6" t="s">
        <v>4518</v>
      </c>
      <c r="E4111" s="2">
        <v>2034340</v>
      </c>
      <c r="F4111" s="4" t="str">
        <f>IF(B4111=B4110,"",B4111)</f>
        <v>Tumen</v>
      </c>
    </row>
    <row r="4112" spans="1:6" ht="15.75" customHeight="1">
      <c r="A4112" s="5" t="str">
        <f ca="1">IFERROR(__xludf.DUMMYFUNCTION("GOOGLETRANSLATE(B26675,""en"",""pt"")"),"Tumen")</f>
        <v>Tumen</v>
      </c>
      <c r="B4112" s="17" t="s">
        <v>5140</v>
      </c>
      <c r="C4112" s="17" t="s">
        <v>4487</v>
      </c>
      <c r="D4112" s="17" t="s">
        <v>4518</v>
      </c>
      <c r="E4112" s="10">
        <v>2034340</v>
      </c>
      <c r="F4112" s="4" t="str">
        <f>IF(B4112=B4111,"",B4112)</f>
        <v/>
      </c>
    </row>
    <row r="4113" spans="1:6" ht="15.75" customHeight="1">
      <c r="A4113" s="6" t="s">
        <v>25753</v>
      </c>
      <c r="B4113" s="6" t="s">
        <v>25753</v>
      </c>
      <c r="C4113" s="6" t="s">
        <v>25560</v>
      </c>
      <c r="D4113" s="6" t="s">
        <v>25604</v>
      </c>
      <c r="E4113" s="2">
        <v>149418</v>
      </c>
      <c r="F4113" s="4" t="str">
        <f>IF(B4113=B4112,"",B4113)</f>
        <v>Tumbi</v>
      </c>
    </row>
    <row r="4114" spans="1:6" ht="15.75" customHeight="1">
      <c r="A4114" s="5" t="str">
        <f ca="1">IFERROR(__xludf.DUMMYFUNCTION("GOOGLETRANSLATE(B42293,""en"",""pt"")"),"Tumbi")</f>
        <v>Tumbi</v>
      </c>
      <c r="B4114" s="17" t="s">
        <v>25753</v>
      </c>
      <c r="C4114" s="17" t="s">
        <v>25560</v>
      </c>
      <c r="D4114" s="17" t="s">
        <v>25604</v>
      </c>
      <c r="E4114" s="10">
        <v>149418</v>
      </c>
      <c r="F4114" s="4" t="str">
        <f>IF(B4114=B4113,"",B4114)</f>
        <v/>
      </c>
    </row>
    <row r="4115" spans="1:6" ht="15.75" customHeight="1">
      <c r="A4115" s="6" t="s">
        <v>20589</v>
      </c>
      <c r="B4115" s="6" t="s">
        <v>20589</v>
      </c>
      <c r="C4115" s="6" t="s">
        <v>20470</v>
      </c>
      <c r="D4115" s="6" t="s">
        <v>20589</v>
      </c>
      <c r="E4115" s="2">
        <v>3691148</v>
      </c>
      <c r="F4115" s="4" t="str">
        <f>IF(B4115=B4114,"",B4115)</f>
        <v>Tumbes</v>
      </c>
    </row>
    <row r="4116" spans="1:6" ht="15.75" customHeight="1">
      <c r="A4116" s="5" t="str">
        <f ca="1">IFERROR(__xludf.DUMMYFUNCTION("GOOGLETRANSLATE(B38304,""en"",""pt"")"),"Tumbes")</f>
        <v>Tumbes</v>
      </c>
      <c r="B4116" s="17" t="s">
        <v>20589</v>
      </c>
      <c r="C4116" s="17" t="s">
        <v>20470</v>
      </c>
      <c r="D4116" s="17" t="s">
        <v>20589</v>
      </c>
      <c r="E4116" s="10">
        <v>3691148</v>
      </c>
      <c r="F4116" s="4" t="str">
        <f>IF(B4116=B4115,"",B4116)</f>
        <v/>
      </c>
    </row>
    <row r="4117" spans="1:6" ht="15.75" customHeight="1">
      <c r="A4117" s="6" t="s">
        <v>25214</v>
      </c>
      <c r="B4117" s="6" t="s">
        <v>25214</v>
      </c>
      <c r="C4117" s="6" t="s">
        <v>25077</v>
      </c>
      <c r="D4117" s="6" t="s">
        <v>25081</v>
      </c>
      <c r="E4117" s="2">
        <v>2667094</v>
      </c>
      <c r="F4117" s="4" t="str">
        <f>IF(B4117=B4116,"",B4117)</f>
        <v>Tumba</v>
      </c>
    </row>
    <row r="4118" spans="1:6" ht="15.75" customHeight="1">
      <c r="A4118" s="5" t="str">
        <f ca="1">IFERROR(__xludf.DUMMYFUNCTION("GOOGLETRANSLATE(B41135,""en"",""pt"")"),"Tumba")</f>
        <v>Tumba</v>
      </c>
      <c r="B4118" s="17" t="s">
        <v>25214</v>
      </c>
      <c r="C4118" s="17" t="s">
        <v>25077</v>
      </c>
      <c r="D4118" s="17" t="s">
        <v>25081</v>
      </c>
      <c r="E4118" s="10">
        <v>2667094</v>
      </c>
      <c r="F4118" s="4" t="str">
        <f>IF(B4118=B4117,"",B4118)</f>
        <v/>
      </c>
    </row>
    <row r="4119" spans="1:6" ht="15.75" customHeight="1">
      <c r="A4119" s="6" t="s">
        <v>5633</v>
      </c>
      <c r="B4119" s="6" t="s">
        <v>5633</v>
      </c>
      <c r="C4119" s="6" t="s">
        <v>5348</v>
      </c>
      <c r="D4119" s="6" t="s">
        <v>5454</v>
      </c>
      <c r="E4119" s="2">
        <v>3666640</v>
      </c>
      <c r="F4119" s="4" t="str">
        <f>IF(B4119=B4118,"",B4119)</f>
        <v>Tumaco</v>
      </c>
    </row>
    <row r="4120" spans="1:6" ht="15.75" customHeight="1">
      <c r="A4120" s="5" t="str">
        <f ca="1">IFERROR(__xludf.DUMMYFUNCTION("GOOGLETRANSLATE(B26863,""en"",""pt"")"),"Tumaco")</f>
        <v>Tumaco</v>
      </c>
      <c r="B4120" s="17" t="s">
        <v>5633</v>
      </c>
      <c r="C4120" s="17" t="s">
        <v>5348</v>
      </c>
      <c r="D4120" s="17" t="s">
        <v>31838</v>
      </c>
      <c r="E4120" s="10">
        <v>3666640</v>
      </c>
      <c r="F4120" s="4" t="str">
        <f>IF(B4120=B4119,"",B4120)</f>
        <v/>
      </c>
    </row>
    <row r="4121" spans="1:6" ht="15.75" customHeight="1">
      <c r="A4121" s="5" t="s">
        <v>14220</v>
      </c>
      <c r="B4121" s="6" t="s">
        <v>14220</v>
      </c>
      <c r="C4121" s="5" t="s">
        <v>13800</v>
      </c>
      <c r="D4121" s="5" t="s">
        <v>13816</v>
      </c>
      <c r="E4121" s="2">
        <v>1623080</v>
      </c>
      <c r="F4121" s="4" t="str">
        <f>IF(B4121=B4120,"",B4121)</f>
        <v>Tulungagung</v>
      </c>
    </row>
    <row r="4122" spans="1:6" ht="15.75" customHeight="1">
      <c r="A4122" s="5" t="str">
        <f ca="1">IFERROR(__xludf.DUMMYFUNCTION("GOOGLETRANSLATE(B31400,""en"",""pt"")"),"Tulungagung")</f>
        <v>Tulungagung</v>
      </c>
      <c r="B4122" s="17" t="s">
        <v>14220</v>
      </c>
      <c r="C4122" s="17" t="s">
        <v>13800</v>
      </c>
      <c r="D4122" s="17" t="s">
        <v>13816</v>
      </c>
      <c r="E4122" s="10">
        <v>1623080</v>
      </c>
      <c r="F4122" s="4" t="str">
        <f>IF(B4122=B4121,"",B4122)</f>
        <v/>
      </c>
    </row>
    <row r="4123" spans="1:6" ht="15.75" customHeight="1">
      <c r="A4123" s="6" t="s">
        <v>23213</v>
      </c>
      <c r="B4123" s="6" t="s">
        <v>23213</v>
      </c>
      <c r="C4123" s="6" t="s">
        <v>22070</v>
      </c>
      <c r="D4123" s="6" t="s">
        <v>22135</v>
      </c>
      <c r="E4123" s="2">
        <v>2014927</v>
      </c>
      <c r="F4123" s="4" t="str">
        <f>IF(B4123=B4122,"",B4123)</f>
        <v>Tulun</v>
      </c>
    </row>
    <row r="4124" spans="1:6" ht="15.75" customHeight="1">
      <c r="A4124" s="5" t="str">
        <f ca="1">IFERROR(__xludf.DUMMYFUNCTION("GOOGLETRANSLATE(B40905,""en"",""pt"")"),"Tulun")</f>
        <v>Tulun</v>
      </c>
      <c r="B4124" s="17" t="s">
        <v>23213</v>
      </c>
      <c r="C4124" s="17" t="s">
        <v>22070</v>
      </c>
      <c r="D4124" s="17" t="s">
        <v>22135</v>
      </c>
      <c r="E4124" s="10">
        <v>2014927</v>
      </c>
      <c r="F4124" s="4" t="str">
        <f>IF(B4124=B4123,"",B4124)</f>
        <v/>
      </c>
    </row>
    <row r="4125" spans="1:6" ht="15.75" customHeight="1">
      <c r="A4125" s="6" t="s">
        <v>5631</v>
      </c>
      <c r="B4125" s="6" t="s">
        <v>5632</v>
      </c>
      <c r="C4125" s="6" t="s">
        <v>5348</v>
      </c>
      <c r="D4125" s="6" t="s">
        <v>5360</v>
      </c>
      <c r="E4125" s="2">
        <v>3666645</v>
      </c>
      <c r="F4125" s="4" t="str">
        <f>IF(B4125=B4124,"",B4125)</f>
        <v>TuluÃ¡</v>
      </c>
    </row>
    <row r="4126" spans="1:6" ht="15.75" customHeight="1">
      <c r="A4126" s="5" t="str">
        <f ca="1">IFERROR(__xludf.DUMMYFUNCTION("GOOGLETRANSLATE(B26864,""en"",""pt"")"),"Tuluá")</f>
        <v>Tuluá</v>
      </c>
      <c r="B4126" s="17" t="s">
        <v>31840</v>
      </c>
      <c r="C4126" s="17" t="s">
        <v>5348</v>
      </c>
      <c r="D4126" s="17" t="s">
        <v>5360</v>
      </c>
      <c r="E4126" s="10">
        <v>3666645</v>
      </c>
      <c r="F4126" s="4" t="str">
        <f>IF(B4126=B4125,"",B4126)</f>
        <v>Tuluá</v>
      </c>
    </row>
    <row r="4127" spans="1:6" ht="15.75" customHeight="1">
      <c r="A4127" s="5" t="str">
        <f ca="1">IFERROR(__xludf.DUMMYFUNCTION("GOOGLETRANSLATE(B36868,""en"",""pt"")"),"Tultitlán")</f>
        <v>Tultitlán</v>
      </c>
      <c r="B4127" s="17" t="s">
        <v>34664</v>
      </c>
      <c r="C4127" s="17" t="s">
        <v>17707</v>
      </c>
      <c r="D4127" s="17" t="s">
        <v>20902</v>
      </c>
      <c r="E4127" s="10">
        <v>3515042</v>
      </c>
      <c r="F4127" s="4" t="str">
        <f>IF(B4127=B4126,"",B4127)</f>
        <v>Tultitlán</v>
      </c>
    </row>
    <row r="4128" spans="1:6" ht="15.75" customHeight="1">
      <c r="A4128" s="6" t="s">
        <v>18382</v>
      </c>
      <c r="B4128" s="6" t="s">
        <v>18383</v>
      </c>
      <c r="C4128" s="6" t="s">
        <v>17707</v>
      </c>
      <c r="D4128" s="6" t="s">
        <v>17736</v>
      </c>
      <c r="E4128" s="2">
        <v>3515042</v>
      </c>
      <c r="F4128" s="4" t="str">
        <f>IF(B4128=B4127,"",B4128)</f>
        <v>TultitlÃ¡n</v>
      </c>
    </row>
    <row r="4129" spans="1:6" ht="15.75" customHeight="1">
      <c r="A4129" s="6" t="s">
        <v>18380</v>
      </c>
      <c r="B4129" s="6" t="s">
        <v>18381</v>
      </c>
      <c r="C4129" s="6" t="s">
        <v>17707</v>
      </c>
      <c r="D4129" s="6" t="s">
        <v>17736</v>
      </c>
      <c r="E4129" s="2">
        <v>3515044</v>
      </c>
      <c r="F4129" s="4" t="str">
        <f>IF(B4129=B4128,"",B4129)</f>
        <v>Tultepec</v>
      </c>
    </row>
    <row r="4130" spans="1:6" ht="15.75" customHeight="1">
      <c r="A4130" s="5" t="str">
        <f ca="1">IFERROR(__xludf.DUMMYFUNCTION("GOOGLETRANSLATE(B36869,""en"",""pt"")"),"TULTEPEC")</f>
        <v>TULTEPEC</v>
      </c>
      <c r="B4130" s="17" t="s">
        <v>18381</v>
      </c>
      <c r="C4130" s="17" t="s">
        <v>17707</v>
      </c>
      <c r="D4130" s="17" t="s">
        <v>20902</v>
      </c>
      <c r="E4130" s="10">
        <v>3515044</v>
      </c>
      <c r="F4130" s="4" t="str">
        <f>IF(B4130=B4129,"",B4130)</f>
        <v/>
      </c>
    </row>
    <row r="4131" spans="1:6" ht="15.75" customHeight="1">
      <c r="A4131" s="5" t="str">
        <f ca="1">IFERROR(__xludf.DUMMYFUNCTION("GOOGLETRANSLATE(B31960,""en"",""pt"")"),"Tulsīpur")</f>
        <v>Tulsīpur</v>
      </c>
      <c r="B4131" s="17" t="s">
        <v>32987</v>
      </c>
      <c r="C4131" s="17" t="s">
        <v>10178</v>
      </c>
      <c r="D4131" s="17" t="s">
        <v>10193</v>
      </c>
      <c r="E4131" s="10">
        <v>1254102</v>
      </c>
      <c r="F4131" s="4" t="str">
        <f>IF(B4131=B4130,"",B4131)</f>
        <v>Tulsīpur</v>
      </c>
    </row>
    <row r="4132" spans="1:6" ht="15.75" customHeight="1">
      <c r="A4132" s="5" t="str">
        <f ca="1">IFERROR(__xludf.DUMMYFUNCTION("GOOGLETRANSLATE(B38177,""en"",""pt"")"),"Tulsīpur")</f>
        <v>Tulsīpur</v>
      </c>
      <c r="B4132" s="17" t="s">
        <v>32987</v>
      </c>
      <c r="C4132" s="17" t="s">
        <v>18800</v>
      </c>
      <c r="D4132" s="17" t="s">
        <v>18813</v>
      </c>
      <c r="E4132" s="10">
        <v>1282635</v>
      </c>
      <c r="F4132" s="4" t="str">
        <f>IF(B4132=B4131,"",B4132)</f>
        <v/>
      </c>
    </row>
    <row r="4133" spans="1:6" ht="15.75" customHeight="1">
      <c r="A4133" s="5" t="s">
        <v>13615</v>
      </c>
      <c r="B4133" s="6" t="s">
        <v>13616</v>
      </c>
      <c r="C4133" s="5" t="s">
        <v>10178</v>
      </c>
      <c r="D4133" s="5" t="s">
        <v>10193</v>
      </c>
      <c r="E4133" s="2">
        <v>1254102</v>
      </c>
      <c r="F4133" s="4" t="str">
        <f>IF(B4133=B4132,"",B4133)</f>
        <v>TulsÄ«pur</v>
      </c>
    </row>
    <row r="4134" spans="1:6" ht="15.75" customHeight="1">
      <c r="A4134" s="5" t="s">
        <v>13615</v>
      </c>
      <c r="B4134" s="6" t="s">
        <v>13616</v>
      </c>
      <c r="C4134" s="5" t="s">
        <v>18800</v>
      </c>
      <c r="D4134" s="5" t="s">
        <v>18813</v>
      </c>
      <c r="E4134" s="2">
        <v>1282635</v>
      </c>
      <c r="F4134" s="4" t="str">
        <f>IF(B4134=B4133,"",B4134)</f>
        <v/>
      </c>
    </row>
    <row r="4135" spans="1:6" ht="15.75" customHeight="1">
      <c r="A4135" s="6" t="s">
        <v>30224</v>
      </c>
      <c r="B4135" s="6" t="s">
        <v>30224</v>
      </c>
      <c r="C4135" s="6" t="s">
        <v>27788</v>
      </c>
      <c r="D4135" s="6" t="s">
        <v>27797</v>
      </c>
      <c r="E4135" s="2">
        <v>4553433</v>
      </c>
      <c r="F4135" s="4" t="str">
        <f>IF(B4135=B4134,"",B4135)</f>
        <v>Tulsa</v>
      </c>
    </row>
    <row r="4136" spans="1:6" ht="15.75" customHeight="1">
      <c r="A4136" s="5" t="str">
        <f ca="1">IFERROR(__xludf.DUMMYFUNCTION("GOOGLETRANSLATE(B43568,""en"",""pt"")"),"Tulsa")</f>
        <v>Tulsa</v>
      </c>
      <c r="B4136" s="17" t="s">
        <v>30224</v>
      </c>
      <c r="C4136" s="17" t="s">
        <v>27788</v>
      </c>
      <c r="D4136" s="17" t="s">
        <v>27797</v>
      </c>
      <c r="E4136" s="10">
        <v>4553433</v>
      </c>
      <c r="F4136" s="4" t="str">
        <f>IF(B4136=B4135,"",B4136)</f>
        <v/>
      </c>
    </row>
    <row r="4137" spans="1:6" ht="15.75" customHeight="1">
      <c r="A4137" s="6" t="s">
        <v>25213</v>
      </c>
      <c r="B4137" s="6" t="s">
        <v>25213</v>
      </c>
      <c r="C4137" s="6" t="s">
        <v>25077</v>
      </c>
      <c r="D4137" s="6" t="s">
        <v>25081</v>
      </c>
      <c r="E4137" s="2">
        <v>2667109</v>
      </c>
      <c r="F4137" s="4" t="str">
        <f>IF(B4137=B4136,"",B4137)</f>
        <v>Tullinge</v>
      </c>
    </row>
    <row r="4138" spans="1:6" ht="15.75" customHeight="1">
      <c r="A4138" s="5" t="str">
        <f ca="1">IFERROR(__xludf.DUMMYFUNCTION("GOOGLETRANSLATE(B41136,""en"",""pt"")"),"Tullinge")</f>
        <v>Tullinge</v>
      </c>
      <c r="B4138" s="17" t="s">
        <v>25213</v>
      </c>
      <c r="C4138" s="17" t="s">
        <v>25077</v>
      </c>
      <c r="D4138" s="17" t="s">
        <v>25081</v>
      </c>
      <c r="E4138" s="10">
        <v>2667109</v>
      </c>
      <c r="F4138" s="4" t="str">
        <f>IF(B4138=B4137,"",B4138)</f>
        <v/>
      </c>
    </row>
    <row r="4139" spans="1:6" ht="15.75" customHeight="1">
      <c r="A4139" s="6" t="s">
        <v>7866</v>
      </c>
      <c r="B4139" s="6" t="s">
        <v>7867</v>
      </c>
      <c r="C4139" s="6" t="s">
        <v>7052</v>
      </c>
      <c r="D4139" s="6" t="s">
        <v>7084</v>
      </c>
      <c r="E4139" s="2">
        <v>2971482</v>
      </c>
      <c r="F4139" s="4" t="str">
        <f>IF(B4139=B4138,"",B4139)</f>
        <v>Tulle</v>
      </c>
    </row>
    <row r="4140" spans="1:6" ht="15.75" customHeight="1">
      <c r="A4140" s="5" t="str">
        <f ca="1">IFERROR(__xludf.DUMMYFUNCTION("GOOGLETRANSLATE(B29722,""en"",""pt"")"),"Tule")</f>
        <v>Tule</v>
      </c>
      <c r="B4140" s="17" t="s">
        <v>7867</v>
      </c>
      <c r="C4140" s="17" t="s">
        <v>7052</v>
      </c>
      <c r="D4140" s="17" t="s">
        <v>7084</v>
      </c>
      <c r="E4140" s="10">
        <v>2971482</v>
      </c>
      <c r="F4140" s="4" t="str">
        <f>IF(B4140=B4139,"",B4140)</f>
        <v/>
      </c>
    </row>
    <row r="4141" spans="1:6" ht="15.75" customHeight="1">
      <c r="A4141" s="5" t="s">
        <v>30223</v>
      </c>
      <c r="B4141" s="6" t="s">
        <v>30223</v>
      </c>
      <c r="C4141" s="5" t="s">
        <v>27788</v>
      </c>
      <c r="D4141" s="5" t="s">
        <v>27957</v>
      </c>
      <c r="E4141" s="2">
        <v>4663494</v>
      </c>
      <c r="F4141" s="4" t="str">
        <f>IF(B4141=B4140,"",B4141)</f>
        <v>Tullahoma</v>
      </c>
    </row>
    <row r="4142" spans="1:6" ht="15.75" customHeight="1">
      <c r="A4142" s="5" t="str">
        <f ca="1">IFERROR(__xludf.DUMMYFUNCTION("GOOGLETRANSLATE(B43646,""en"",""pt"")"),"Tullahoma")</f>
        <v>Tullahoma</v>
      </c>
      <c r="B4142" s="17" t="s">
        <v>30223</v>
      </c>
      <c r="C4142" s="17" t="s">
        <v>27788</v>
      </c>
      <c r="D4142" s="17" t="s">
        <v>27957</v>
      </c>
      <c r="E4142" s="10">
        <v>4663494</v>
      </c>
      <c r="F4142" s="4" t="str">
        <f>IF(B4142=B4141,"",B4142)</f>
        <v/>
      </c>
    </row>
    <row r="4143" spans="1:6" ht="15.75" customHeight="1">
      <c r="A4143" s="5" t="str">
        <f ca="1">IFERROR(__xludf.DUMMYFUNCTION("GOOGLETRANSLATE(B39537,""en"",""pt"")"),"Ţūlkarm")</f>
        <v>Ţūlkarm</v>
      </c>
      <c r="B4143" s="17" t="s">
        <v>35267</v>
      </c>
      <c r="C4143" s="17" t="s">
        <v>20297</v>
      </c>
      <c r="D4143" s="17" t="s">
        <v>20298</v>
      </c>
      <c r="E4143" s="10">
        <v>281577</v>
      </c>
      <c r="F4143" s="4" t="str">
        <f>IF(B4143=B4142,"",B4143)</f>
        <v>Ţūlkarm</v>
      </c>
    </row>
    <row r="4144" spans="1:6" ht="15.75" customHeight="1">
      <c r="A4144" s="5" t="str">
        <f ca="1">IFERROR(__xludf.DUMMYFUNCTION("GOOGLETRANSLATE(B31961,""en"",""pt"")"),"Tuljāpur")</f>
        <v>Tuljāpur</v>
      </c>
      <c r="B4144" s="17" t="s">
        <v>32988</v>
      </c>
      <c r="C4144" s="17" t="s">
        <v>10178</v>
      </c>
      <c r="D4144" s="17" t="s">
        <v>10214</v>
      </c>
      <c r="E4144" s="10">
        <v>1254111</v>
      </c>
      <c r="F4144" s="4" t="str">
        <f>IF(B4144=B4143,"",B4144)</f>
        <v>Tuljāpur</v>
      </c>
    </row>
    <row r="4145" spans="1:6" ht="15.75" customHeight="1">
      <c r="A4145" s="6" t="s">
        <v>13613</v>
      </c>
      <c r="B4145" s="6" t="s">
        <v>13614</v>
      </c>
      <c r="C4145" s="6" t="s">
        <v>10178</v>
      </c>
      <c r="D4145" s="6" t="s">
        <v>10214</v>
      </c>
      <c r="E4145" s="2">
        <v>1254111</v>
      </c>
      <c r="F4145" s="4" t="str">
        <f>IF(B4145=B4144,"",B4145)</f>
        <v>TuljÄpur</v>
      </c>
    </row>
    <row r="4146" spans="1:6" ht="15.75" customHeight="1">
      <c r="A4146" s="6" t="s">
        <v>22053</v>
      </c>
      <c r="B4146" s="6" t="s">
        <v>22053</v>
      </c>
      <c r="C4146" s="6" t="s">
        <v>21824</v>
      </c>
      <c r="D4146" s="6" t="s">
        <v>22053</v>
      </c>
      <c r="E4146" s="2">
        <v>664518</v>
      </c>
      <c r="F4146" s="4" t="str">
        <f>IF(B4146=B4145,"",B4146)</f>
        <v>Tulcea</v>
      </c>
    </row>
    <row r="4147" spans="1:6" ht="15.75" customHeight="1">
      <c r="A4147" s="5" t="str">
        <f ca="1">IFERROR(__xludf.DUMMYFUNCTION("GOOGLETRANSLATE(B39733,""en"",""pt"")"),"Tulcea")</f>
        <v>Tulcea</v>
      </c>
      <c r="B4147" s="17" t="s">
        <v>22053</v>
      </c>
      <c r="C4147" s="17" t="s">
        <v>21824</v>
      </c>
      <c r="D4147" s="17" t="s">
        <v>22053</v>
      </c>
      <c r="E4147" s="10">
        <v>664518</v>
      </c>
      <c r="F4147" s="4" t="str">
        <f>IF(B4147=B4146,"",B4147)</f>
        <v/>
      </c>
    </row>
    <row r="4148" spans="1:6" ht="15.75" customHeight="1">
      <c r="A4148" s="5" t="str">
        <f ca="1">IFERROR(__xludf.DUMMYFUNCTION("GOOGLETRANSLATE(B28751,""en"",""pt"")"),"Tulcán")</f>
        <v>Tulcán</v>
      </c>
      <c r="B4148" s="17" t="s">
        <v>32233</v>
      </c>
      <c r="C4148" s="17" t="s">
        <v>6398</v>
      </c>
      <c r="D4148" s="17" t="s">
        <v>6475</v>
      </c>
      <c r="E4148" s="10">
        <v>3650472</v>
      </c>
      <c r="F4148" s="4" t="str">
        <f>IF(B4148=B4147,"",B4148)</f>
        <v>Tulcán</v>
      </c>
    </row>
    <row r="4149" spans="1:6" ht="15.75" customHeight="1">
      <c r="A4149" s="6" t="s">
        <v>6483</v>
      </c>
      <c r="B4149" s="6" t="s">
        <v>6484</v>
      </c>
      <c r="C4149" s="6" t="s">
        <v>6398</v>
      </c>
      <c r="D4149" s="6" t="s">
        <v>6475</v>
      </c>
      <c r="E4149" s="2">
        <v>3650472</v>
      </c>
      <c r="F4149" s="4" t="str">
        <f>IF(B4149=B4148,"",B4149)</f>
        <v>TulcÃ¡n</v>
      </c>
    </row>
    <row r="4150" spans="1:6" ht="15.75" customHeight="1">
      <c r="A4150" s="6" t="s">
        <v>30221</v>
      </c>
      <c r="B4150" s="6" t="s">
        <v>30222</v>
      </c>
      <c r="C4150" s="6" t="s">
        <v>27788</v>
      </c>
      <c r="D4150" s="6" t="s">
        <v>27801</v>
      </c>
      <c r="E4150" s="2">
        <v>5403783</v>
      </c>
      <c r="F4150" s="4" t="str">
        <f>IF(B4150=B4149,"",B4150)</f>
        <v>Tulare</v>
      </c>
    </row>
    <row r="4151" spans="1:6" ht="15.75" customHeight="1">
      <c r="A4151" s="5" t="str">
        <f ca="1">IFERROR(__xludf.DUMMYFUNCTION("GOOGLETRANSLATE(B45059,""en"",""pt"")"),"TULARE")</f>
        <v>TULARE</v>
      </c>
      <c r="B4151" s="17" t="s">
        <v>30222</v>
      </c>
      <c r="C4151" s="17" t="s">
        <v>27788</v>
      </c>
      <c r="D4151" s="17" t="s">
        <v>27801</v>
      </c>
      <c r="E4151" s="10">
        <v>5403783</v>
      </c>
      <c r="F4151" s="4" t="str">
        <f>IF(B4151=B4150,"",B4151)</f>
        <v/>
      </c>
    </row>
    <row r="4152" spans="1:6" ht="15.75" customHeight="1">
      <c r="A4152" s="5" t="s">
        <v>14219</v>
      </c>
      <c r="B4152" s="6" t="s">
        <v>14219</v>
      </c>
      <c r="C4152" s="5" t="s">
        <v>13800</v>
      </c>
      <c r="D4152" s="5" t="s">
        <v>13816</v>
      </c>
      <c r="E4152" s="2">
        <v>1623096</v>
      </c>
      <c r="F4152" s="4" t="str">
        <f>IF(B4152=B4151,"",B4152)</f>
        <v>Tulangan Utara</v>
      </c>
    </row>
    <row r="4153" spans="1:6" ht="15.75" customHeight="1">
      <c r="A4153" s="5" t="str">
        <f ca="1">IFERROR(__xludf.DUMMYFUNCTION("GOOGLETRANSLATE(B31401,""en"",""pt"")"),"Tulangan Utara")</f>
        <v>Tulangan Utara</v>
      </c>
      <c r="B4153" s="17" t="s">
        <v>14219</v>
      </c>
      <c r="C4153" s="17" t="s">
        <v>13800</v>
      </c>
      <c r="D4153" s="17" t="s">
        <v>13816</v>
      </c>
      <c r="E4153" s="10">
        <v>1623096</v>
      </c>
      <c r="F4153" s="4" t="str">
        <f>IF(B4153=B4152,"",B4153)</f>
        <v/>
      </c>
    </row>
    <row r="4154" spans="1:6" ht="15.75" customHeight="1">
      <c r="A4154" s="5" t="s">
        <v>18378</v>
      </c>
      <c r="B4154" s="6" t="s">
        <v>18379</v>
      </c>
      <c r="C4154" s="5" t="s">
        <v>17707</v>
      </c>
      <c r="D4154" s="5" t="s">
        <v>17729</v>
      </c>
      <c r="E4154" s="2">
        <v>3515062</v>
      </c>
      <c r="F4154" s="4" t="str">
        <f>IF(B4154=B4153,"",B4154)</f>
        <v>Tulancingo</v>
      </c>
    </row>
    <row r="4155" spans="1:6" ht="15.75" customHeight="1">
      <c r="A4155" s="5" t="str">
        <f ca="1">IFERROR(__xludf.DUMMYFUNCTION("GOOGLETRANSLATE(B36870,""en"",""pt"")"),"Tulancinga")</f>
        <v>Tulancinga</v>
      </c>
      <c r="B4155" s="17" t="s">
        <v>18379</v>
      </c>
      <c r="C4155" s="17" t="s">
        <v>17707</v>
      </c>
      <c r="D4155" s="17" t="s">
        <v>17729</v>
      </c>
      <c r="E4155" s="10">
        <v>3515062</v>
      </c>
      <c r="F4155" s="4" t="str">
        <f>IF(B4155=B4154,"",B4155)</f>
        <v/>
      </c>
    </row>
    <row r="4156" spans="1:6" ht="15.75" customHeight="1">
      <c r="A4156" s="6" t="s">
        <v>27174</v>
      </c>
      <c r="B4156" s="6" t="s">
        <v>27175</v>
      </c>
      <c r="C4156" s="6" t="s">
        <v>26870</v>
      </c>
      <c r="D4156" s="6" t="s">
        <v>26895</v>
      </c>
      <c r="E4156" s="2">
        <v>691016</v>
      </c>
      <c r="F4156" s="4" t="str">
        <f>IF(B4156=B4155,"",B4156)</f>
        <v>Tulâ€™chyn</v>
      </c>
    </row>
    <row r="4157" spans="1:6" ht="15.75" customHeight="1">
      <c r="A4157" s="5" t="s">
        <v>18377</v>
      </c>
      <c r="B4157" s="6" t="s">
        <v>18377</v>
      </c>
      <c r="C4157" s="5" t="s">
        <v>17707</v>
      </c>
      <c r="D4157" s="5" t="s">
        <v>17729</v>
      </c>
      <c r="E4157" s="2">
        <v>3515064</v>
      </c>
      <c r="F4157" s="4" t="str">
        <f>IF(B4157=B4156,"",B4157)</f>
        <v>Tula de Allende</v>
      </c>
    </row>
    <row r="4158" spans="1:6" ht="15.75" customHeight="1">
      <c r="A4158" s="5" t="str">
        <f ca="1">IFERROR(__xludf.DUMMYFUNCTION("GOOGLETRANSLATE(B36871,""en"",""pt"")"),"Tula de Allende")</f>
        <v>Tula de Allende</v>
      </c>
      <c r="B4158" s="17" t="s">
        <v>18377</v>
      </c>
      <c r="C4158" s="17" t="s">
        <v>17707</v>
      </c>
      <c r="D4158" s="17" t="s">
        <v>17729</v>
      </c>
      <c r="E4158" s="10">
        <v>3515064</v>
      </c>
      <c r="F4158" s="4" t="str">
        <f>IF(B4158=B4157,"",B4158)</f>
        <v/>
      </c>
    </row>
    <row r="4159" spans="1:6" ht="15.75" customHeight="1">
      <c r="A4159" s="6" t="s">
        <v>22122</v>
      </c>
      <c r="B4159" s="6" t="s">
        <v>22122</v>
      </c>
      <c r="C4159" s="6" t="s">
        <v>22070</v>
      </c>
      <c r="D4159" s="6" t="s">
        <v>22122</v>
      </c>
      <c r="E4159" s="2">
        <v>480562</v>
      </c>
      <c r="F4159" s="4" t="str">
        <f>IF(B4159=B4158,"",B4159)</f>
        <v>Tula</v>
      </c>
    </row>
    <row r="4160" spans="1:6" ht="15.75" customHeight="1">
      <c r="A4160" s="5" t="str">
        <f ca="1">IFERROR(__xludf.DUMMYFUNCTION("GOOGLETRANSLATE(B40021,""en"",""pt"")"),"Tula")</f>
        <v>Tula</v>
      </c>
      <c r="B4160" s="17" t="s">
        <v>22122</v>
      </c>
      <c r="C4160" s="17" t="s">
        <v>22070</v>
      </c>
      <c r="D4160" s="17" t="s">
        <v>22122</v>
      </c>
      <c r="E4160" s="10">
        <v>480562</v>
      </c>
      <c r="F4160" s="4" t="str">
        <f>IF(B4160=B4159,"",B4160)</f>
        <v/>
      </c>
    </row>
    <row r="4161" spans="1:6" ht="15.75" customHeight="1">
      <c r="A4161" s="5" t="str">
        <f ca="1">IFERROR(__xludf.DUMMYFUNCTION("GOOGLETRANSLATE(B42499,""en"",""pt"")"),"Tul'chyn")</f>
        <v>Tul'chyn</v>
      </c>
      <c r="B4161" s="17" t="s">
        <v>35985</v>
      </c>
      <c r="C4161" s="17" t="s">
        <v>26870</v>
      </c>
      <c r="D4161" s="17" t="s">
        <v>26895</v>
      </c>
      <c r="E4161" s="10">
        <v>691016</v>
      </c>
      <c r="F4161" s="4" t="str">
        <f>IF(B4161=B4160,"",B4161)</f>
        <v>Tul’chyn</v>
      </c>
    </row>
    <row r="4162" spans="1:6" ht="15.75" customHeight="1">
      <c r="A4162" s="6" t="s">
        <v>30220</v>
      </c>
      <c r="B4162" s="6" t="s">
        <v>30220</v>
      </c>
      <c r="C4162" s="6" t="s">
        <v>27788</v>
      </c>
      <c r="D4162" s="6" t="s">
        <v>27733</v>
      </c>
      <c r="E4162" s="2">
        <v>5814043</v>
      </c>
      <c r="F4162" s="4" t="str">
        <f>IF(B4162=B4161,"",B4162)</f>
        <v>Tukwila</v>
      </c>
    </row>
    <row r="4163" spans="1:6" ht="15.75" customHeight="1">
      <c r="A4163" s="5" t="str">
        <f ca="1">IFERROR(__xludf.DUMMYFUNCTION("GOOGLETRANSLATE(B45383,""en"",""pt"")"),"Tukwila")</f>
        <v>Tukwila</v>
      </c>
      <c r="B4163" s="17" t="s">
        <v>30220</v>
      </c>
      <c r="C4163" s="17" t="s">
        <v>27788</v>
      </c>
      <c r="D4163" s="17" t="s">
        <v>27733</v>
      </c>
      <c r="E4163" s="10">
        <v>5814043</v>
      </c>
      <c r="F4163" s="4" t="str">
        <f>IF(B4163=B4162,"",B4163)</f>
        <v/>
      </c>
    </row>
    <row r="4164" spans="1:6" ht="15.75" customHeight="1">
      <c r="A4164" s="6" t="s">
        <v>25752</v>
      </c>
      <c r="B4164" s="6" t="s">
        <v>25752</v>
      </c>
      <c r="C4164" s="6" t="s">
        <v>25560</v>
      </c>
      <c r="D4164" s="6" t="s">
        <v>25589</v>
      </c>
      <c r="E4164" s="2">
        <v>149437</v>
      </c>
      <c r="F4164" s="4" t="str">
        <f>IF(B4164=B4163,"",B4164)</f>
        <v>Tukuyu</v>
      </c>
    </row>
    <row r="4165" spans="1:6" ht="15.75" customHeight="1">
      <c r="A4165" s="5" t="str">
        <f ca="1">IFERROR(__xludf.DUMMYFUNCTION("GOOGLETRANSLATE(B42294,""en"",""pt"")"),"Tukuyu")</f>
        <v>Tukuyu</v>
      </c>
      <c r="B4165" s="17" t="s">
        <v>25752</v>
      </c>
      <c r="C4165" s="17" t="s">
        <v>25560</v>
      </c>
      <c r="D4165" s="17" t="s">
        <v>25589</v>
      </c>
      <c r="E4165" s="10">
        <v>149437</v>
      </c>
      <c r="F4165" s="4" t="str">
        <f>IF(B4165=B4164,"",B4165)</f>
        <v/>
      </c>
    </row>
    <row r="4166" spans="1:6" ht="15.75" customHeight="1">
      <c r="A4166" s="6" t="s">
        <v>17000</v>
      </c>
      <c r="B4166" s="6" t="s">
        <v>17000</v>
      </c>
      <c r="C4166" s="6" t="s">
        <v>16982</v>
      </c>
      <c r="D4166" s="6" t="s">
        <v>17001</v>
      </c>
      <c r="E4166" s="2">
        <v>454768</v>
      </c>
      <c r="F4166" s="4" t="str">
        <f>IF(B4166=B4165,"",B4166)</f>
        <v>Tukums</v>
      </c>
    </row>
    <row r="4167" spans="1:6" ht="15.75" customHeight="1">
      <c r="A4167" s="5" t="str">
        <f ca="1">IFERROR(__xludf.DUMMYFUNCTION("GOOGLETRANSLATE(B36401,""en"",""pt"")"),"Tukums")</f>
        <v>Tukums</v>
      </c>
      <c r="B4167" s="17" t="s">
        <v>17000</v>
      </c>
      <c r="C4167" s="17" t="s">
        <v>16982</v>
      </c>
      <c r="D4167" s="17" t="s">
        <v>17001</v>
      </c>
      <c r="E4167" s="10">
        <v>454768</v>
      </c>
      <c r="F4167" s="4" t="str">
        <f>IF(B4167=B4166,"",B4167)</f>
        <v/>
      </c>
    </row>
    <row r="4168" spans="1:6" ht="15.75" customHeight="1">
      <c r="A4168" s="5" t="str">
        <f ca="1">IFERROR(__xludf.DUMMYFUNCTION("GOOGLETRANSLATE(B36418,""en"",""pt"")"),"Tūkrah")</f>
        <v>Tūkrah</v>
      </c>
      <c r="B4168" s="17" t="s">
        <v>34558</v>
      </c>
      <c r="C4168" s="17" t="s">
        <v>17074</v>
      </c>
      <c r="D4168" s="17" t="s">
        <v>17078</v>
      </c>
      <c r="E4168" s="10">
        <v>88834</v>
      </c>
      <c r="F4168" s="4" t="str">
        <f>IF(B4168=B4167,"",B4168)</f>
        <v>Tūkrah</v>
      </c>
    </row>
    <row r="4169" spans="1:6" ht="15.75" customHeight="1">
      <c r="A4169" s="6" t="s">
        <v>24869</v>
      </c>
      <c r="B4169" s="6" t="s">
        <v>24869</v>
      </c>
      <c r="C4169" s="6" t="s">
        <v>24200</v>
      </c>
      <c r="D4169" s="6" t="s">
        <v>24201</v>
      </c>
      <c r="E4169" s="2">
        <v>3107364</v>
      </c>
      <c r="F4169" s="4" t="str">
        <f>IF(B4169=B4168,"",B4169)</f>
        <v>Tui</v>
      </c>
    </row>
    <row r="4170" spans="1:6" ht="15.75" customHeight="1">
      <c r="A4170" s="5" t="str">
        <f ca="1">IFERROR(__xludf.DUMMYFUNCTION("GOOGLETRANSLATE(B29255,""en"",""pt"")"),"Tui")</f>
        <v>Tui</v>
      </c>
      <c r="B4170" s="17" t="s">
        <v>24869</v>
      </c>
      <c r="C4170" s="17" t="s">
        <v>24200</v>
      </c>
      <c r="D4170" s="17" t="s">
        <v>24201</v>
      </c>
      <c r="E4170" s="10">
        <v>3107364</v>
      </c>
      <c r="F4170" s="4" t="str">
        <f>IF(B4170=B4169,"",B4170)</f>
        <v/>
      </c>
    </row>
    <row r="4171" spans="1:6" ht="15.75" customHeight="1">
      <c r="A4171" s="5" t="s">
        <v>21048</v>
      </c>
      <c r="B4171" s="6" t="s">
        <v>21049</v>
      </c>
      <c r="C4171" s="5" t="s">
        <v>20598</v>
      </c>
      <c r="D4171" s="5" t="s">
        <v>20611</v>
      </c>
      <c r="E4171" s="2">
        <v>1680932</v>
      </c>
      <c r="F4171" s="4" t="str">
        <f>IF(B4171=B4170,"",B4171)</f>
        <v>Tuguegarao City</v>
      </c>
    </row>
    <row r="4172" spans="1:6" ht="15.75" customHeight="1">
      <c r="A4172" s="5" t="str">
        <f ca="1">IFERROR(__xludf.DUMMYFUNCTION("GOOGLETRANSLATE(B38435,""en"",""pt"")"),"Cidade de Tuguegarao")</f>
        <v>Cidade de Tuguegarao</v>
      </c>
      <c r="B4172" s="17" t="s">
        <v>21049</v>
      </c>
      <c r="C4172" s="17" t="s">
        <v>20598</v>
      </c>
      <c r="D4172" s="17" t="s">
        <v>20611</v>
      </c>
      <c r="E4172" s="10">
        <v>1680932</v>
      </c>
      <c r="F4172" s="4" t="str">
        <f>IF(B4172=B4171,"",B4172)</f>
        <v/>
      </c>
    </row>
    <row r="4173" spans="1:6" ht="15.75" customHeight="1">
      <c r="A4173" s="5" t="str">
        <f ca="1">IFERROR(__xludf.DUMMYFUNCTION("GOOGLETRANSLATE(B31962,""en"",""pt"")"),"Tufānganj")</f>
        <v>Tufānganj</v>
      </c>
      <c r="B4173" s="17" t="s">
        <v>32989</v>
      </c>
      <c r="C4173" s="17" t="s">
        <v>10178</v>
      </c>
      <c r="D4173" s="17" t="s">
        <v>10201</v>
      </c>
      <c r="E4173" s="10">
        <v>1254131</v>
      </c>
      <c r="F4173" s="4" t="str">
        <f>IF(B4173=B4172,"",B4173)</f>
        <v>Tufānganj</v>
      </c>
    </row>
    <row r="4174" spans="1:6" ht="15.75" customHeight="1">
      <c r="A4174" s="5" t="s">
        <v>13611</v>
      </c>
      <c r="B4174" s="6" t="s">
        <v>13612</v>
      </c>
      <c r="C4174" s="5" t="s">
        <v>10178</v>
      </c>
      <c r="D4174" s="5" t="s">
        <v>10201</v>
      </c>
      <c r="E4174" s="2">
        <v>1254131</v>
      </c>
      <c r="F4174" s="4" t="str">
        <f>IF(B4174=B4173,"",B4174)</f>
        <v>TufÄnganj</v>
      </c>
    </row>
    <row r="4175" spans="1:6" ht="15.75" customHeight="1">
      <c r="A4175" s="6" t="s">
        <v>13610</v>
      </c>
      <c r="B4175" s="6" t="s">
        <v>13610</v>
      </c>
      <c r="C4175" s="6" t="s">
        <v>10178</v>
      </c>
      <c r="D4175" s="6" t="s">
        <v>11179</v>
      </c>
      <c r="E4175" s="2">
        <v>1254133</v>
      </c>
      <c r="F4175" s="4" t="str">
        <f>IF(B4175=B4174,"",B4175)</f>
        <v>Tuensang</v>
      </c>
    </row>
    <row r="4176" spans="1:6" ht="15.75" customHeight="1">
      <c r="A4176" s="5" t="str">
        <f ca="1">IFERROR(__xludf.DUMMYFUNCTION("GOOGLETRANSLATE(B31963,""en"",""pt"")"),"Tuensang")</f>
        <v>Tuensang</v>
      </c>
      <c r="B4176" s="17" t="s">
        <v>13610</v>
      </c>
      <c r="C4176" s="17" t="s">
        <v>10178</v>
      </c>
      <c r="D4176" s="17" t="s">
        <v>11179</v>
      </c>
      <c r="E4176" s="10">
        <v>1254133</v>
      </c>
      <c r="F4176" s="4" t="str">
        <f>IF(B4176=B4175,"",B4176)</f>
        <v/>
      </c>
    </row>
    <row r="4177" spans="1:6" ht="15.75" customHeight="1">
      <c r="A4177" s="5" t="s">
        <v>9949</v>
      </c>
      <c r="B4177" s="6" t="s">
        <v>9949</v>
      </c>
      <c r="C4177" s="5" t="s">
        <v>9941</v>
      </c>
      <c r="D4177" s="5" t="s">
        <v>9949</v>
      </c>
      <c r="E4177" s="2">
        <v>1818446</v>
      </c>
      <c r="F4177" s="4" t="str">
        <f>IF(B4177=B4176,"",B4177)</f>
        <v>Tuen Mun</v>
      </c>
    </row>
    <row r="4178" spans="1:6" ht="15.75" customHeight="1">
      <c r="A4178" s="5" t="str">
        <f ca="1">IFERROR(__xludf.DUMMYFUNCTION("GOOGLETRANSLATE(B31158,""en"",""pt"")"),"Tuen Mun")</f>
        <v>Tuen Mun</v>
      </c>
      <c r="B4178" s="17" t="s">
        <v>9949</v>
      </c>
      <c r="C4178" s="17" t="s">
        <v>9941</v>
      </c>
      <c r="D4178" s="17" t="s">
        <v>9949</v>
      </c>
      <c r="E4178" s="10">
        <v>1818446</v>
      </c>
      <c r="F4178" s="4" t="str">
        <f>IF(B4178=B4177,"",B4178)</f>
        <v/>
      </c>
    </row>
    <row r="4179" spans="1:6" ht="15.75" customHeight="1">
      <c r="A4179" s="6" t="s">
        <v>24868</v>
      </c>
      <c r="B4179" s="6" t="s">
        <v>24868</v>
      </c>
      <c r="C4179" s="6" t="s">
        <v>24200</v>
      </c>
      <c r="D4179" s="6" t="s">
        <v>24320</v>
      </c>
      <c r="E4179" s="2">
        <v>3107418</v>
      </c>
      <c r="F4179" s="4" t="str">
        <f>IF(B4179=B4178,"",B4179)</f>
        <v>Tudela</v>
      </c>
    </row>
    <row r="4180" spans="1:6" ht="15.75" customHeight="1">
      <c r="A4180" s="5" t="str">
        <f ca="1">IFERROR(__xludf.DUMMYFUNCTION("GOOGLETRANSLATE(B29256,""en"",""pt"")"),"Tudela")</f>
        <v>Tudela</v>
      </c>
      <c r="B4180" s="17" t="s">
        <v>24868</v>
      </c>
      <c r="C4180" s="17" t="s">
        <v>24200</v>
      </c>
      <c r="D4180" s="17" t="s">
        <v>24320</v>
      </c>
      <c r="E4180" s="10">
        <v>3107418</v>
      </c>
      <c r="F4180" s="4" t="str">
        <f>IF(B4180=B4179,"",B4180)</f>
        <v/>
      </c>
    </row>
    <row r="4181" spans="1:6" ht="15.75" customHeight="1">
      <c r="A4181" s="5" t="str">
        <f ca="1">IFERROR(__xludf.DUMMYFUNCTION("GOOGLETRANSLATE(B24158,""en"",""pt"")"),"Tucuruí")</f>
        <v>Tucuruí</v>
      </c>
      <c r="B4181" s="17" t="s">
        <v>31351</v>
      </c>
      <c r="C4181" s="17" t="s">
        <v>1905</v>
      </c>
      <c r="D4181" s="17" t="s">
        <v>31342</v>
      </c>
      <c r="E4181" s="10">
        <v>3385935</v>
      </c>
      <c r="F4181" s="4" t="str">
        <f>IF(B4181=B4180,"",B4181)</f>
        <v>Tucuruí</v>
      </c>
    </row>
    <row r="4182" spans="1:6" ht="15.75" customHeight="1">
      <c r="A4182" s="6" t="s">
        <v>3594</v>
      </c>
      <c r="B4182" s="6" t="s">
        <v>3595</v>
      </c>
      <c r="C4182" s="6" t="s">
        <v>1905</v>
      </c>
      <c r="D4182" s="6" t="s">
        <v>1906</v>
      </c>
      <c r="E4182" s="2">
        <v>3385935</v>
      </c>
      <c r="F4182" s="4" t="str">
        <f>IF(B4182=B4181,"",B4182)</f>
        <v>TucuruÃ­</v>
      </c>
    </row>
    <row r="4183" spans="1:6" ht="15.75" customHeight="1">
      <c r="A4183" s="6" t="s">
        <v>30771</v>
      </c>
      <c r="B4183" s="6" t="s">
        <v>30771</v>
      </c>
      <c r="C4183" s="6" t="s">
        <v>5923</v>
      </c>
      <c r="D4183" s="6" t="s">
        <v>30772</v>
      </c>
      <c r="E4183" s="2">
        <v>3625929</v>
      </c>
      <c r="F4183" s="4" t="str">
        <f>IF(B4183=B4182,"",B4183)</f>
        <v>Tucupita</v>
      </c>
    </row>
    <row r="4184" spans="1:6" ht="15.75" customHeight="1">
      <c r="A4184" s="5" t="str">
        <f ca="1">IFERROR(__xludf.DUMMYFUNCTION("GOOGLETRANSLATE(B45611,""en"",""pt"")"),"Tucupita")</f>
        <v>Tucupita</v>
      </c>
      <c r="B4184" s="17" t="s">
        <v>30771</v>
      </c>
      <c r="C4184" s="17" t="s">
        <v>5923</v>
      </c>
      <c r="D4184" s="17" t="s">
        <v>30772</v>
      </c>
      <c r="E4184" s="10">
        <v>3625929</v>
      </c>
      <c r="F4184" s="4" t="str">
        <f>IF(B4184=B4183,"",B4184)</f>
        <v/>
      </c>
    </row>
    <row r="4185" spans="1:6" ht="15.75" customHeight="1">
      <c r="A4185" s="6" t="s">
        <v>3592</v>
      </c>
      <c r="B4185" s="6" t="s">
        <v>3593</v>
      </c>
      <c r="C4185" s="6" t="s">
        <v>1905</v>
      </c>
      <c r="D4185" s="6" t="s">
        <v>1906</v>
      </c>
      <c r="E4185" s="2">
        <v>3385980</v>
      </c>
      <c r="F4185" s="4" t="str">
        <f>IF(B4185=B4184,"",B4185)</f>
        <v>TucumÃ£</v>
      </c>
    </row>
    <row r="4186" spans="1:6" ht="15.75" customHeight="1">
      <c r="A4186" s="5" t="str">
        <f ca="1">IFERROR(__xludf.DUMMYFUNCTION("GOOGLETRANSLATE(B24159,""en"",""pt"")"),"Tucumã")</f>
        <v>Tucumã</v>
      </c>
      <c r="B4186" s="17" t="s">
        <v>3592</v>
      </c>
      <c r="C4186" s="17" t="s">
        <v>1905</v>
      </c>
      <c r="D4186" s="17" t="s">
        <v>31342</v>
      </c>
      <c r="E4186" s="10">
        <v>3385980</v>
      </c>
      <c r="F4186" s="4" t="str">
        <f>IF(B4186=B4185,"",B4186)</f>
        <v>Tucumã</v>
      </c>
    </row>
    <row r="4187" spans="1:6" ht="15.75" customHeight="1">
      <c r="A4187" s="6" t="s">
        <v>30219</v>
      </c>
      <c r="B4187" s="6" t="s">
        <v>30219</v>
      </c>
      <c r="C4187" s="6" t="s">
        <v>27788</v>
      </c>
      <c r="D4187" s="6" t="s">
        <v>27880</v>
      </c>
      <c r="E4187" s="2">
        <v>5318313</v>
      </c>
      <c r="F4187" s="4" t="str">
        <f>IF(B4187=B4186,"",B4187)</f>
        <v>Tucson</v>
      </c>
    </row>
    <row r="4188" spans="1:6" ht="15.75" customHeight="1">
      <c r="A4188" s="5" t="str">
        <f ca="1">IFERROR(__xludf.DUMMYFUNCTION("GOOGLETRANSLATE(B44735,""en"",""pt"")"),"Tucson")</f>
        <v>Tucson</v>
      </c>
      <c r="B4188" s="17" t="s">
        <v>30219</v>
      </c>
      <c r="C4188" s="17" t="s">
        <v>27788</v>
      </c>
      <c r="D4188" s="17" t="s">
        <v>27880</v>
      </c>
      <c r="E4188" s="10">
        <v>5318313</v>
      </c>
      <c r="F4188" s="4" t="str">
        <f>IF(B4188=B4187,"",B4188)</f>
        <v/>
      </c>
    </row>
    <row r="4189" spans="1:6" ht="15.75" customHeight="1">
      <c r="A4189" s="6" t="s">
        <v>30218</v>
      </c>
      <c r="B4189" s="6" t="s">
        <v>30218</v>
      </c>
      <c r="C4189" s="6" t="s">
        <v>27788</v>
      </c>
      <c r="D4189" s="6" t="s">
        <v>7988</v>
      </c>
      <c r="E4189" s="2">
        <v>4227213</v>
      </c>
      <c r="F4189" s="4" t="str">
        <f>IF(B4189=B4188,"",B4189)</f>
        <v>Tucker</v>
      </c>
    </row>
    <row r="4190" spans="1:6" ht="15.75" customHeight="1">
      <c r="A4190" s="5" t="str">
        <f ca="1">IFERROR(__xludf.DUMMYFUNCTION("GOOGLETRANSLATE(B43117,""en"",""pt"")"),"Tucker")</f>
        <v>Tucker</v>
      </c>
      <c r="B4190" s="17" t="s">
        <v>30218</v>
      </c>
      <c r="C4190" s="17" t="s">
        <v>27788</v>
      </c>
      <c r="D4190" s="17" t="s">
        <v>7988</v>
      </c>
      <c r="E4190" s="10">
        <v>4227213</v>
      </c>
      <c r="F4190" s="4" t="str">
        <f>IF(B4190=B4189,"",B4190)</f>
        <v/>
      </c>
    </row>
    <row r="4191" spans="1:6" ht="15.75" customHeight="1">
      <c r="A4191" s="6" t="s">
        <v>23212</v>
      </c>
      <c r="B4191" s="6" t="s">
        <v>23212</v>
      </c>
      <c r="C4191" s="6" t="s">
        <v>22070</v>
      </c>
      <c r="D4191" s="6" t="s">
        <v>22119</v>
      </c>
      <c r="E4191" s="2">
        <v>480685</v>
      </c>
      <c r="F4191" s="4" t="str">
        <f>IF(B4191=B4190,"",B4191)</f>
        <v>Tuchkovo</v>
      </c>
    </row>
    <row r="4192" spans="1:6" ht="15.75" customHeight="1">
      <c r="A4192" s="5" t="str">
        <f ca="1">IFERROR(__xludf.DUMMYFUNCTION("GOOGLETRANSLATE(B40022,""en"",""pt"")"),"Tuchkovo")</f>
        <v>Tuchkovo</v>
      </c>
      <c r="B4192" s="17" t="s">
        <v>23212</v>
      </c>
      <c r="C4192" s="17" t="s">
        <v>22070</v>
      </c>
      <c r="D4192" s="17" t="s">
        <v>22119</v>
      </c>
      <c r="E4192" s="10">
        <v>480685</v>
      </c>
      <c r="F4192" s="4" t="str">
        <f>IF(B4192=B4191,"",B4192)</f>
        <v/>
      </c>
    </row>
    <row r="4193" spans="1:6" ht="15.75" customHeight="1">
      <c r="A4193" s="6" t="s">
        <v>3591</v>
      </c>
      <c r="B4193" s="6" t="s">
        <v>3591</v>
      </c>
      <c r="C4193" s="6" t="s">
        <v>1905</v>
      </c>
      <c r="D4193" s="6" t="s">
        <v>1947</v>
      </c>
      <c r="E4193" s="2">
        <v>3445983</v>
      </c>
      <c r="F4193" s="4" t="str">
        <f>IF(B4193=B4192,"",B4193)</f>
        <v>Tucano</v>
      </c>
    </row>
    <row r="4194" spans="1:6" ht="15.75" customHeight="1">
      <c r="A4194" s="5" t="str">
        <f ca="1">IFERROR(__xludf.DUMMYFUNCTION("GOOGLETRANSLATE(B24474,""en"",""pt"")"),"Tucano")</f>
        <v>Tucano</v>
      </c>
      <c r="B4194" s="17" t="s">
        <v>3591</v>
      </c>
      <c r="C4194" s="17" t="s">
        <v>1905</v>
      </c>
      <c r="D4194" s="17" t="s">
        <v>1947</v>
      </c>
      <c r="E4194" s="10">
        <v>3445983</v>
      </c>
      <c r="F4194" s="4" t="str">
        <f>IF(B4194=B4193,"",B4194)</f>
        <v/>
      </c>
    </row>
    <row r="4195" spans="1:6" ht="15.75" customHeight="1">
      <c r="A4195" s="6" t="s">
        <v>1704</v>
      </c>
      <c r="B4195" s="6" t="s">
        <v>1705</v>
      </c>
      <c r="C4195" s="6" t="s">
        <v>1512</v>
      </c>
      <c r="D4195" s="6" t="s">
        <v>1518</v>
      </c>
      <c r="E4195" s="2">
        <v>2785169</v>
      </c>
      <c r="F4195" s="4" t="str">
        <f>IF(B4195=B4194,"",B4195)</f>
        <v>Tubize</v>
      </c>
    </row>
    <row r="4196" spans="1:6" ht="15.75" customHeight="1">
      <c r="A4196" s="5" t="str">
        <f ca="1">IFERROR(__xludf.DUMMYFUNCTION("GOOGLETRANSLATE(B23814,""en"",""pt"")"),"Tube")</f>
        <v>Tube</v>
      </c>
      <c r="B4196" s="17" t="s">
        <v>1705</v>
      </c>
      <c r="C4196" s="17" t="s">
        <v>1512</v>
      </c>
      <c r="D4196" s="17" t="s">
        <v>1518</v>
      </c>
      <c r="E4196" s="10">
        <v>2785169</v>
      </c>
      <c r="F4196" s="4" t="str">
        <f>IF(B4196=B4195,"",B4196)</f>
        <v/>
      </c>
    </row>
    <row r="4197" spans="1:6" ht="15.75" customHeight="1">
      <c r="A4197" s="5" t="str">
        <f ca="1">IFERROR(__xludf.DUMMYFUNCTION("GOOGLETRANSLATE(B27468,""en"",""pt"")"),"Tübingen")</f>
        <v>Tübingen</v>
      </c>
      <c r="B4197" s="17" t="s">
        <v>32025</v>
      </c>
      <c r="C4197" s="17" t="s">
        <v>8028</v>
      </c>
      <c r="D4197" s="17" t="s">
        <v>32013</v>
      </c>
      <c r="E4197" s="10">
        <v>2820860</v>
      </c>
      <c r="F4197" s="4" t="str">
        <f>IF(B4197=B4196,"",B4197)</f>
        <v>Tübingen</v>
      </c>
    </row>
    <row r="4198" spans="1:6" ht="15.75" customHeight="1">
      <c r="A4198" s="5" t="s">
        <v>19105</v>
      </c>
      <c r="B4198" s="6" t="s">
        <v>19105</v>
      </c>
      <c r="C4198" s="5" t="s">
        <v>18862</v>
      </c>
      <c r="D4198" s="5" t="s">
        <v>18871</v>
      </c>
      <c r="E4198" s="2">
        <v>2746133</v>
      </c>
      <c r="F4198" s="4" t="str">
        <f>IF(B4198=B4197,"",B4198)</f>
        <v>Tubbergen</v>
      </c>
    </row>
    <row r="4199" spans="1:6" ht="15.75" customHeight="1">
      <c r="A4199" s="5" t="str">
        <f ca="1">IFERROR(__xludf.DUMMYFUNCTION("GOOGLETRANSLATE(B37939,""en"",""pt"")"),"Tubbergen")</f>
        <v>Tubbergen</v>
      </c>
      <c r="B4199" s="17" t="s">
        <v>19105</v>
      </c>
      <c r="C4199" s="17" t="s">
        <v>18862</v>
      </c>
      <c r="D4199" s="17" t="s">
        <v>18871</v>
      </c>
      <c r="E4199" s="10">
        <v>2746133</v>
      </c>
      <c r="F4199" s="4" t="str">
        <f>IF(B4199=B4198,"",B4199)</f>
        <v/>
      </c>
    </row>
    <row r="4200" spans="1:6" ht="15.75" customHeight="1">
      <c r="A4200" s="5" t="str">
        <f ca="1">IFERROR(__xludf.DUMMYFUNCTION("GOOGLETRANSLATE(B39538,""en"",""pt"")"),"Ţūbās")</f>
        <v>Ţūbās</v>
      </c>
      <c r="B4200" s="17" t="s">
        <v>35268</v>
      </c>
      <c r="C4200" s="17" t="s">
        <v>20297</v>
      </c>
      <c r="D4200" s="17" t="s">
        <v>20298</v>
      </c>
      <c r="E4200" s="10">
        <v>281581</v>
      </c>
      <c r="F4200" s="4" t="str">
        <f>IF(B4200=B4199,"",B4200)</f>
        <v>Ţūbās</v>
      </c>
    </row>
    <row r="4201" spans="1:6" ht="15.75" customHeight="1">
      <c r="A4201" s="5" t="str">
        <f ca="1">IFERROR(__xludf.DUMMYFUNCTION("GOOGLETRANSLATE(B41015,""en"",""pt"")"),"Ţubarjal")</f>
        <v>Ţubarjal</v>
      </c>
      <c r="B4201" s="17" t="s">
        <v>35572</v>
      </c>
      <c r="C4201" s="17" t="s">
        <v>23454</v>
      </c>
      <c r="D4201" s="17" t="s">
        <v>17085</v>
      </c>
      <c r="E4201" s="10">
        <v>101631</v>
      </c>
      <c r="F4201" s="4" t="str">
        <f>IF(B4201=B4200,"",B4201)</f>
        <v>Ţubarjal</v>
      </c>
    </row>
    <row r="4202" spans="1:6" ht="15.75" customHeight="1">
      <c r="A4202" s="5" t="str">
        <f ca="1">IFERROR(__xludf.DUMMYFUNCTION("GOOGLETRANSLATE(B24475,""en"",""pt"")"),"Tubarão")</f>
        <v>Tubarão</v>
      </c>
      <c r="B4202" s="17" t="s">
        <v>31441</v>
      </c>
      <c r="C4202" s="17" t="s">
        <v>1905</v>
      </c>
      <c r="D4202" s="17" t="s">
        <v>2020</v>
      </c>
      <c r="E4202" s="10">
        <v>3445993</v>
      </c>
      <c r="F4202" s="4" t="str">
        <f>IF(B4202=B4201,"",B4202)</f>
        <v>Tubarão</v>
      </c>
    </row>
    <row r="4203" spans="1:6" ht="15.75" customHeight="1">
      <c r="A4203" s="6" t="s">
        <v>3589</v>
      </c>
      <c r="B4203" s="6" t="s">
        <v>3590</v>
      </c>
      <c r="C4203" s="6" t="s">
        <v>1905</v>
      </c>
      <c r="D4203" s="6" t="s">
        <v>2020</v>
      </c>
      <c r="E4203" s="2">
        <v>3445993</v>
      </c>
      <c r="F4203" s="4" t="str">
        <f>IF(B4203=B4202,"",B4203)</f>
        <v>TubarÃ£o</v>
      </c>
    </row>
    <row r="4204" spans="1:6" ht="15.75" customHeight="1">
      <c r="A4204" s="6" t="s">
        <v>14218</v>
      </c>
      <c r="B4204" s="6" t="s">
        <v>14218</v>
      </c>
      <c r="C4204" s="6" t="s">
        <v>13800</v>
      </c>
      <c r="D4204" s="6" t="s">
        <v>13816</v>
      </c>
      <c r="E4204" s="2">
        <v>1623180</v>
      </c>
      <c r="F4204" s="4" t="str">
        <f>IF(B4204=B4203,"",B4204)</f>
        <v>Tuban</v>
      </c>
    </row>
    <row r="4205" spans="1:6" ht="15.75" customHeight="1">
      <c r="A4205" s="5" t="str">
        <f ca="1">IFERROR(__xludf.DUMMYFUNCTION("GOOGLETRANSLATE(B31402,""en"",""pt"")"),"Tuban")</f>
        <v>Tuban</v>
      </c>
      <c r="B4205" s="17" t="s">
        <v>14218</v>
      </c>
      <c r="C4205" s="17" t="s">
        <v>13800</v>
      </c>
      <c r="D4205" s="17" t="s">
        <v>13816</v>
      </c>
      <c r="E4205" s="10">
        <v>1623180</v>
      </c>
      <c r="F4205" s="4" t="str">
        <f>IF(B4205=B4204,"",B4205)</f>
        <v/>
      </c>
    </row>
    <row r="4206" spans="1:6" ht="15.75" customHeight="1">
      <c r="A4206" s="6" t="s">
        <v>23210</v>
      </c>
      <c r="B4206" s="6" t="s">
        <v>23211</v>
      </c>
      <c r="C4206" s="6" t="s">
        <v>22070</v>
      </c>
      <c r="D4206" s="6" t="s">
        <v>22077</v>
      </c>
      <c r="E4206" s="2">
        <v>480716</v>
      </c>
      <c r="F4206" s="4" t="str">
        <f>IF(B4206=B4205,"",B4206)</f>
        <v>Tuapse</v>
      </c>
    </row>
    <row r="4207" spans="1:6" ht="15.75" customHeight="1">
      <c r="A4207" s="5" t="str">
        <f ca="1">IFERROR(__xludf.DUMMYFUNCTION("GOOGLETRANSLATE(B40023,""en"",""pt"")"),"Tuapso")</f>
        <v>Tuapso</v>
      </c>
      <c r="B4207" s="17" t="s">
        <v>23211</v>
      </c>
      <c r="C4207" s="17" t="s">
        <v>22070</v>
      </c>
      <c r="D4207" s="17" t="s">
        <v>22077</v>
      </c>
      <c r="E4207" s="10">
        <v>480716</v>
      </c>
      <c r="F4207" s="4" t="str">
        <f>IF(B4207=B4206,"",B4207)</f>
        <v/>
      </c>
    </row>
    <row r="4208" spans="1:6" ht="15.75" customHeight="1">
      <c r="A4208" s="6" t="s">
        <v>30217</v>
      </c>
      <c r="B4208" s="6" t="s">
        <v>30217</v>
      </c>
      <c r="C4208" s="6" t="s">
        <v>27788</v>
      </c>
      <c r="D4208" s="6" t="s">
        <v>27820</v>
      </c>
      <c r="E4208" s="2">
        <v>5757506</v>
      </c>
      <c r="F4208" s="4" t="str">
        <f>IF(B4208=B4207,"",B4208)</f>
        <v>Tualatin</v>
      </c>
    </row>
    <row r="4209" spans="1:6" ht="15.75" customHeight="1">
      <c r="A4209" s="5" t="str">
        <f ca="1">IFERROR(__xludf.DUMMYFUNCTION("GOOGLETRANSLATE(B45262,""en"",""pt"")"),"Tualatin")</f>
        <v>Tualatin</v>
      </c>
      <c r="B4209" s="17" t="s">
        <v>30217</v>
      </c>
      <c r="C4209" s="17" t="s">
        <v>27788</v>
      </c>
      <c r="D4209" s="17" t="s">
        <v>27820</v>
      </c>
      <c r="E4209" s="10">
        <v>5757506</v>
      </c>
      <c r="F4209" s="4" t="str">
        <f>IF(B4209=B4208,"",B4209)</f>
        <v/>
      </c>
    </row>
    <row r="4210" spans="1:6" ht="15.75" customHeight="1">
      <c r="A4210" s="6" t="s">
        <v>14217</v>
      </c>
      <c r="B4210" s="6" t="s">
        <v>14217</v>
      </c>
      <c r="C4210" s="6" t="s">
        <v>13800</v>
      </c>
      <c r="D4210" s="6" t="s">
        <v>13805</v>
      </c>
      <c r="E4210" s="2">
        <v>1623197</v>
      </c>
      <c r="F4210" s="4" t="str">
        <f>IF(B4210=B4209,"",B4210)</f>
        <v>Tual</v>
      </c>
    </row>
    <row r="4211" spans="1:6" ht="15.75" customHeight="1">
      <c r="A4211" s="5" t="str">
        <f ca="1">IFERROR(__xludf.DUMMYFUNCTION("GOOGLETRANSLATE(B31403,""en"",""pt"")"),"Tual")</f>
        <v>Tual</v>
      </c>
      <c r="B4211" s="17" t="s">
        <v>14217</v>
      </c>
      <c r="C4211" s="17" t="s">
        <v>13800</v>
      </c>
      <c r="D4211" s="17" t="s">
        <v>13805</v>
      </c>
      <c r="E4211" s="10">
        <v>1623197</v>
      </c>
      <c r="F4211" s="4" t="str">
        <f>IF(B4211=B4210,"",B4211)</f>
        <v/>
      </c>
    </row>
    <row r="4212" spans="1:6" ht="15.75" customHeight="1">
      <c r="A4212" s="5" t="s">
        <v>27172</v>
      </c>
      <c r="B4212" s="6" t="s">
        <v>27173</v>
      </c>
      <c r="C4212" s="5" t="s">
        <v>26870</v>
      </c>
      <c r="D4212" s="5" t="s">
        <v>26969</v>
      </c>
      <c r="E4212" s="2">
        <v>691037</v>
      </c>
      <c r="F4212" s="4" t="str">
        <f>IF(B4212=B4211,"",B4212)</f>
        <v>Tsyurupynsâ€™k</v>
      </c>
    </row>
    <row r="4213" spans="1:6" ht="15.75" customHeight="1">
      <c r="A4213" s="5" t="str">
        <f ca="1">IFERROR(__xludf.DUMMYFUNCTION("GOOGLETRANSLATE(B42500,""en"",""pt"")"),"Tsyurupyns'k")</f>
        <v>Tsyurupyns'k</v>
      </c>
      <c r="B4213" s="17" t="s">
        <v>35986</v>
      </c>
      <c r="C4213" s="17" t="s">
        <v>26870</v>
      </c>
      <c r="D4213" s="17" t="s">
        <v>26969</v>
      </c>
      <c r="E4213" s="10">
        <v>691037</v>
      </c>
      <c r="F4213" s="4" t="str">
        <f>IF(B4213=B4212,"",B4213)</f>
        <v>Tsyurupyns’k</v>
      </c>
    </row>
    <row r="4214" spans="1:6" ht="15.75" customHeight="1">
      <c r="A4214" s="6" t="s">
        <v>16548</v>
      </c>
      <c r="B4214" s="6" t="s">
        <v>16548</v>
      </c>
      <c r="C4214" s="6" t="s">
        <v>15704</v>
      </c>
      <c r="D4214" s="6" t="s">
        <v>15981</v>
      </c>
      <c r="E4214" s="2">
        <v>1849519</v>
      </c>
      <c r="F4214" s="4" t="str">
        <f>IF(B4214=B4213,"",B4214)</f>
        <v>Tsuyama</v>
      </c>
    </row>
    <row r="4215" spans="1:6" ht="15.75" customHeight="1">
      <c r="A4215" s="5" t="str">
        <f ca="1">IFERROR(__xludf.DUMMYFUNCTION("GOOGLETRANSLATE(B35198,""en"",""pt"")"),"Tsuyama")</f>
        <v>Tsuyama</v>
      </c>
      <c r="B4215" s="17" t="s">
        <v>16548</v>
      </c>
      <c r="C4215" s="17" t="s">
        <v>15704</v>
      </c>
      <c r="D4215" s="17" t="s">
        <v>15981</v>
      </c>
      <c r="E4215" s="10">
        <v>1849519</v>
      </c>
      <c r="F4215" s="4" t="str">
        <f>IF(B4215=B4214,"",B4215)</f>
        <v/>
      </c>
    </row>
    <row r="4216" spans="1:6" ht="15.75" customHeight="1">
      <c r="A4216" s="6" t="s">
        <v>16547</v>
      </c>
      <c r="B4216" s="6" t="s">
        <v>16547</v>
      </c>
      <c r="C4216" s="6" t="s">
        <v>15704</v>
      </c>
      <c r="D4216" s="6" t="s">
        <v>15729</v>
      </c>
      <c r="E4216" s="2">
        <v>1849539</v>
      </c>
      <c r="F4216" s="4" t="str">
        <f>IF(B4216=B4215,"",B4216)</f>
        <v>Tsushima</v>
      </c>
    </row>
    <row r="4217" spans="1:6" ht="15.75" customHeight="1">
      <c r="A4217" s="5" t="str">
        <f ca="1">IFERROR(__xludf.DUMMYFUNCTION("GOOGLETRANSLATE(B35199,""en"",""pt"")"),"Tsushima")</f>
        <v>Tsushima</v>
      </c>
      <c r="B4217" s="17" t="s">
        <v>16547</v>
      </c>
      <c r="C4217" s="17" t="s">
        <v>15704</v>
      </c>
      <c r="D4217" s="17" t="s">
        <v>15729</v>
      </c>
      <c r="E4217" s="10">
        <v>1849539</v>
      </c>
      <c r="F4217" s="4" t="str">
        <f>IF(B4217=B4216,"",B4217)</f>
        <v/>
      </c>
    </row>
    <row r="4218" spans="1:6" ht="15.75" customHeight="1">
      <c r="A4218" s="6" t="s">
        <v>16546</v>
      </c>
      <c r="B4218" s="6" t="s">
        <v>16546</v>
      </c>
      <c r="C4218" s="6" t="s">
        <v>15704</v>
      </c>
      <c r="D4218" s="6" t="s">
        <v>15758</v>
      </c>
      <c r="E4218" s="2">
        <v>1849561</v>
      </c>
      <c r="F4218" s="4" t="str">
        <f>IF(B4218=B4217,"",B4218)</f>
        <v>Tsurusaki</v>
      </c>
    </row>
    <row r="4219" spans="1:6" ht="15.75" customHeight="1">
      <c r="A4219" s="5" t="str">
        <f ca="1">IFERROR(__xludf.DUMMYFUNCTION("GOOGLETRANSLATE(B35200,""en"",""pt"")"),"Tsurusaki")</f>
        <v>Tsurusaki</v>
      </c>
      <c r="B4219" s="17" t="s">
        <v>16546</v>
      </c>
      <c r="C4219" s="17" t="s">
        <v>15704</v>
      </c>
      <c r="D4219" s="17" t="s">
        <v>15758</v>
      </c>
      <c r="E4219" s="10">
        <v>1849561</v>
      </c>
      <c r="F4219" s="4" t="str">
        <f>IF(B4219=B4218,"",B4219)</f>
        <v/>
      </c>
    </row>
    <row r="4220" spans="1:6" ht="15.75" customHeight="1">
      <c r="A4220" s="6" t="s">
        <v>16545</v>
      </c>
      <c r="B4220" s="6" t="s">
        <v>16545</v>
      </c>
      <c r="C4220" s="6" t="s">
        <v>15704</v>
      </c>
      <c r="D4220" s="6" t="s">
        <v>15951</v>
      </c>
      <c r="E4220" s="2">
        <v>1849563</v>
      </c>
      <c r="F4220" s="4" t="str">
        <f>IF(B4220=B4219,"",B4220)</f>
        <v>Tsuruoka</v>
      </c>
    </row>
    <row r="4221" spans="1:6" ht="15.75" customHeight="1">
      <c r="A4221" s="5" t="str">
        <f ca="1">IFERROR(__xludf.DUMMYFUNCTION("GOOGLETRANSLATE(B35201,""en"",""pt"")"),"Tsuruoka")</f>
        <v>Tsuruoka</v>
      </c>
      <c r="B4221" s="17" t="s">
        <v>16545</v>
      </c>
      <c r="C4221" s="17" t="s">
        <v>15704</v>
      </c>
      <c r="D4221" s="17" t="s">
        <v>15951</v>
      </c>
      <c r="E4221" s="10">
        <v>1849563</v>
      </c>
      <c r="F4221" s="4" t="str">
        <f>IF(B4221=B4220,"",B4221)</f>
        <v/>
      </c>
    </row>
    <row r="4222" spans="1:6" ht="15.75" customHeight="1">
      <c r="A4222" s="5" t="s">
        <v>16544</v>
      </c>
      <c r="B4222" s="6" t="s">
        <v>16544</v>
      </c>
      <c r="C4222" s="5" t="s">
        <v>15704</v>
      </c>
      <c r="D4222" s="5" t="s">
        <v>15928</v>
      </c>
      <c r="E4222" s="2">
        <v>1849584</v>
      </c>
      <c r="F4222" s="4" t="str">
        <f>IF(B4222=B4221,"",B4222)</f>
        <v>Tsurugi-asahimachi</v>
      </c>
    </row>
    <row r="4223" spans="1:6" ht="15.75" customHeight="1">
      <c r="A4223" s="5" t="str">
        <f ca="1">IFERROR(__xludf.DUMMYFUNCTION("GOOGLETRANSLATE(B35202,""en"",""pt"")"),"Tsurugi-asahimachi")</f>
        <v>Tsurugi-asahimachi</v>
      </c>
      <c r="B4223" s="17" t="s">
        <v>16544</v>
      </c>
      <c r="C4223" s="17" t="s">
        <v>15704</v>
      </c>
      <c r="D4223" s="17" t="s">
        <v>15928</v>
      </c>
      <c r="E4223" s="10">
        <v>1849584</v>
      </c>
      <c r="F4223" s="4" t="str">
        <f>IF(B4223=B4222,"",B4223)</f>
        <v/>
      </c>
    </row>
    <row r="4224" spans="1:6" ht="15.75" customHeight="1">
      <c r="A4224" s="6" t="s">
        <v>16543</v>
      </c>
      <c r="B4224" s="6" t="s">
        <v>16543</v>
      </c>
      <c r="C4224" s="6" t="s">
        <v>15704</v>
      </c>
      <c r="D4224" s="6" t="s">
        <v>15879</v>
      </c>
      <c r="E4224" s="2">
        <v>1849592</v>
      </c>
      <c r="F4224" s="4" t="str">
        <f>IF(B4224=B4223,"",B4224)</f>
        <v>Tsuruga</v>
      </c>
    </row>
    <row r="4225" spans="1:6" ht="15.75" customHeight="1">
      <c r="A4225" s="5" t="str">
        <f ca="1">IFERROR(__xludf.DUMMYFUNCTION("GOOGLETRANSLATE(B35203,""en"",""pt"")"),"Tsuruga")</f>
        <v>Tsuruga</v>
      </c>
      <c r="B4225" s="17" t="s">
        <v>16543</v>
      </c>
      <c r="C4225" s="17" t="s">
        <v>15704</v>
      </c>
      <c r="D4225" s="17" t="s">
        <v>15879</v>
      </c>
      <c r="E4225" s="10">
        <v>1849592</v>
      </c>
      <c r="F4225" s="4" t="str">
        <f>IF(B4225=B4224,"",B4225)</f>
        <v/>
      </c>
    </row>
    <row r="4226" spans="1:6" ht="15.75" customHeight="1">
      <c r="A4226" s="6" t="s">
        <v>16542</v>
      </c>
      <c r="B4226" s="6" t="s">
        <v>16542</v>
      </c>
      <c r="C4226" s="6" t="s">
        <v>15704</v>
      </c>
      <c r="D4226" s="6" t="s">
        <v>16148</v>
      </c>
      <c r="E4226" s="2">
        <v>1849647</v>
      </c>
      <c r="F4226" s="4" t="str">
        <f>IF(B4226=B4225,"",B4226)</f>
        <v>Tsuma</v>
      </c>
    </row>
    <row r="4227" spans="1:6" ht="15.75" customHeight="1">
      <c r="A4227" s="5" t="str">
        <f ca="1">IFERROR(__xludf.DUMMYFUNCTION("GOOGLETRANSLATE(B35204,""en"",""pt"")"),"Tsuma")</f>
        <v>Tsuma</v>
      </c>
      <c r="B4227" s="17" t="s">
        <v>16542</v>
      </c>
      <c r="C4227" s="17" t="s">
        <v>15704</v>
      </c>
      <c r="D4227" s="17" t="s">
        <v>16148</v>
      </c>
      <c r="E4227" s="10">
        <v>1849647</v>
      </c>
      <c r="F4227" s="4" t="str">
        <f>IF(B4227=B4226,"",B4227)</f>
        <v/>
      </c>
    </row>
    <row r="4228" spans="1:6" ht="15.75" customHeight="1">
      <c r="A4228" s="5" t="s">
        <v>16541</v>
      </c>
      <c r="B4228" s="6" t="s">
        <v>16541</v>
      </c>
      <c r="C4228" s="5" t="s">
        <v>15704</v>
      </c>
      <c r="D4228" s="5" t="s">
        <v>15758</v>
      </c>
      <c r="E4228" s="2">
        <v>1849661</v>
      </c>
      <c r="F4228" s="4" t="str">
        <f>IF(B4228=B4227,"",B4228)</f>
        <v>Tsukumiura</v>
      </c>
    </row>
    <row r="4229" spans="1:6" ht="15.75" customHeight="1">
      <c r="A4229" s="5" t="str">
        <f ca="1">IFERROR(__xludf.DUMMYFUNCTION("GOOGLETRANSLATE(B35205,""en"",""pt"")"),"Tsukumiura")</f>
        <v>Tsukumiura</v>
      </c>
      <c r="B4229" s="17" t="s">
        <v>16541</v>
      </c>
      <c r="C4229" s="17" t="s">
        <v>15704</v>
      </c>
      <c r="D4229" s="17" t="s">
        <v>15758</v>
      </c>
      <c r="E4229" s="10">
        <v>1849661</v>
      </c>
      <c r="F4229" s="4" t="str">
        <f>IF(B4229=B4228,"",B4229)</f>
        <v/>
      </c>
    </row>
    <row r="4230" spans="1:6" ht="15.75" customHeight="1">
      <c r="A4230" s="6" t="s">
        <v>16540</v>
      </c>
      <c r="B4230" s="6" t="s">
        <v>16540</v>
      </c>
      <c r="C4230" s="6" t="s">
        <v>15704</v>
      </c>
      <c r="D4230" s="6" t="s">
        <v>15724</v>
      </c>
      <c r="E4230" s="2">
        <v>2110683</v>
      </c>
      <c r="F4230" s="4" t="str">
        <f>IF(B4230=B4229,"",B4230)</f>
        <v>Tsukuba</v>
      </c>
    </row>
    <row r="4231" spans="1:6" ht="15.75" customHeight="1">
      <c r="A4231" s="5" t="str">
        <f ca="1">IFERROR(__xludf.DUMMYFUNCTION("GOOGLETRANSLATE(B35719,""en"",""pt"")"),"Tsukuba")</f>
        <v>Tsukuba</v>
      </c>
      <c r="B4231" s="17" t="s">
        <v>16540</v>
      </c>
      <c r="C4231" s="17" t="s">
        <v>15704</v>
      </c>
      <c r="D4231" s="17" t="s">
        <v>15724</v>
      </c>
      <c r="E4231" s="10">
        <v>2110683</v>
      </c>
      <c r="F4231" s="4" t="str">
        <f>IF(B4231=B4230,"",B4231)</f>
        <v/>
      </c>
    </row>
    <row r="4232" spans="1:6" ht="15.75" customHeight="1">
      <c r="A4232" s="5" t="s">
        <v>16539</v>
      </c>
      <c r="B4232" s="6" t="s">
        <v>16539</v>
      </c>
      <c r="C4232" s="5" t="s">
        <v>15704</v>
      </c>
      <c r="D4232" s="5" t="s">
        <v>15758</v>
      </c>
      <c r="E4232" s="2">
        <v>1849706</v>
      </c>
      <c r="F4232" s="4" t="str">
        <f>IF(B4232=B4231,"",B4232)</f>
        <v>Tsukawaki</v>
      </c>
    </row>
    <row r="4233" spans="1:6" ht="15.75" customHeight="1">
      <c r="A4233" s="5" t="str">
        <f ca="1">IFERROR(__xludf.DUMMYFUNCTION("GOOGLETRANSLATE(B35206,""en"",""pt"")"),"Tsukawaki")</f>
        <v>Tsukawaki</v>
      </c>
      <c r="B4233" s="17" t="s">
        <v>16539</v>
      </c>
      <c r="C4233" s="17" t="s">
        <v>15704</v>
      </c>
      <c r="D4233" s="17" t="s">
        <v>15758</v>
      </c>
      <c r="E4233" s="10">
        <v>1849706</v>
      </c>
      <c r="F4233" s="4" t="str">
        <f>IF(B4233=B4232,"",B4233)</f>
        <v/>
      </c>
    </row>
    <row r="4234" spans="1:6" ht="15.75" customHeight="1">
      <c r="A4234" s="5" t="s">
        <v>9948</v>
      </c>
      <c r="B4234" s="6" t="s">
        <v>9948</v>
      </c>
      <c r="C4234" s="5" t="s">
        <v>9941</v>
      </c>
      <c r="D4234" s="5" t="s">
        <v>9948</v>
      </c>
      <c r="E4234" s="2">
        <v>1818209</v>
      </c>
      <c r="F4234" s="4" t="str">
        <f>IF(B4234=B4233,"",B4234)</f>
        <v>Tsuen Wan</v>
      </c>
    </row>
    <row r="4235" spans="1:6" ht="15.75" customHeight="1">
      <c r="A4235" s="5" t="str">
        <f ca="1">IFERROR(__xludf.DUMMYFUNCTION("GOOGLETRANSLATE(B31156,""en"",""pt"")"),"Tsuen Wan")</f>
        <v>Tsuen Wan</v>
      </c>
      <c r="B4235" s="17" t="s">
        <v>9948</v>
      </c>
      <c r="C4235" s="17" t="s">
        <v>9941</v>
      </c>
      <c r="D4235" s="17" t="s">
        <v>9948</v>
      </c>
      <c r="E4235" s="10">
        <v>1818209</v>
      </c>
      <c r="F4235" s="4" t="str">
        <f>IF(B4235=B4234,"",B4235)</f>
        <v/>
      </c>
    </row>
    <row r="4236" spans="1:6" ht="15.75" customHeight="1">
      <c r="A4236" s="6" t="s">
        <v>16538</v>
      </c>
      <c r="B4236" s="6" t="s">
        <v>16538</v>
      </c>
      <c r="C4236" s="6" t="s">
        <v>15704</v>
      </c>
      <c r="D4236" s="6" t="s">
        <v>15928</v>
      </c>
      <c r="E4236" s="2">
        <v>1849782</v>
      </c>
      <c r="F4236" s="4" t="str">
        <f>IF(B4236=B4235,"",B4236)</f>
        <v>Tsubata</v>
      </c>
    </row>
    <row r="4237" spans="1:6" ht="15.75" customHeight="1">
      <c r="A4237" s="5" t="str">
        <f ca="1">IFERROR(__xludf.DUMMYFUNCTION("GOOGLETRANSLATE(B35207,""en"",""pt"")"),"Tsubata")</f>
        <v>Tsubata</v>
      </c>
      <c r="B4237" s="17" t="s">
        <v>16538</v>
      </c>
      <c r="C4237" s="17" t="s">
        <v>15704</v>
      </c>
      <c r="D4237" s="17" t="s">
        <v>15928</v>
      </c>
      <c r="E4237" s="10">
        <v>1849782</v>
      </c>
      <c r="F4237" s="4" t="str">
        <f>IF(B4237=B4236,"",B4237)</f>
        <v/>
      </c>
    </row>
    <row r="4238" spans="1:6" ht="15.75" customHeight="1">
      <c r="A4238" s="6" t="s">
        <v>16537</v>
      </c>
      <c r="B4238" s="6" t="s">
        <v>16537</v>
      </c>
      <c r="C4238" s="6" t="s">
        <v>15704</v>
      </c>
      <c r="D4238" s="6" t="s">
        <v>15818</v>
      </c>
      <c r="E4238" s="2">
        <v>1849788</v>
      </c>
      <c r="F4238" s="4" t="str">
        <f>IF(B4238=B4237,"",B4238)</f>
        <v>Tsubame</v>
      </c>
    </row>
    <row r="4239" spans="1:6" ht="15.75" customHeight="1">
      <c r="A4239" s="5" t="str">
        <f ca="1">IFERROR(__xludf.DUMMYFUNCTION("GOOGLETRANSLATE(B35208,""en"",""pt"")"),"Tsubame")</f>
        <v>Tsubame</v>
      </c>
      <c r="B4239" s="17" t="s">
        <v>16537</v>
      </c>
      <c r="C4239" s="17" t="s">
        <v>15704</v>
      </c>
      <c r="D4239" s="17" t="s">
        <v>15818</v>
      </c>
      <c r="E4239" s="10">
        <v>1849788</v>
      </c>
      <c r="F4239" s="4" t="str">
        <f>IF(B4239=B4238,"",B4239)</f>
        <v/>
      </c>
    </row>
    <row r="4240" spans="1:6" ht="15.75" customHeight="1">
      <c r="A4240" s="6" t="s">
        <v>16535</v>
      </c>
      <c r="B4240" s="6" t="s">
        <v>16536</v>
      </c>
      <c r="C4240" s="6" t="s">
        <v>15704</v>
      </c>
      <c r="D4240" s="6" t="s">
        <v>15967</v>
      </c>
      <c r="E4240" s="2">
        <v>1849796</v>
      </c>
      <c r="F4240" s="4" t="str">
        <f>IF(B4240=B4239,"",B4240)</f>
        <v>Tsu</v>
      </c>
    </row>
    <row r="4241" spans="1:6" ht="15.75" customHeight="1">
      <c r="A4241" s="5" t="str">
        <f ca="1">IFERROR(__xludf.DUMMYFUNCTION("GOOGLETRANSLATE(B35209,""en"",""pt"")"),"TSU")</f>
        <v>TSU</v>
      </c>
      <c r="B4241" s="17" t="s">
        <v>16536</v>
      </c>
      <c r="C4241" s="17" t="s">
        <v>15704</v>
      </c>
      <c r="D4241" s="17" t="s">
        <v>15967</v>
      </c>
      <c r="E4241" s="10">
        <v>1849796</v>
      </c>
      <c r="F4241" s="4" t="str">
        <f>IF(B4241=B4240,"",B4241)</f>
        <v/>
      </c>
    </row>
    <row r="4242" spans="1:6" ht="15.75" customHeight="1">
      <c r="A4242" s="6" t="s">
        <v>8023</v>
      </c>
      <c r="B4242" s="6" t="s">
        <v>8023</v>
      </c>
      <c r="C4242" s="6" t="s">
        <v>7988</v>
      </c>
      <c r="D4242" s="6" t="s">
        <v>7997</v>
      </c>
      <c r="E4242" s="2">
        <v>824288</v>
      </c>
      <c r="F4242" s="4" t="str">
        <f>IF(B4242=B4241,"",B4242)</f>
        <v>Tsqaltubo</v>
      </c>
    </row>
    <row r="4243" spans="1:6" ht="15.75" customHeight="1">
      <c r="A4243" s="5" t="str">
        <f ca="1">IFERROR(__xludf.DUMMYFUNCTION("GOOGLETRANSLATE(B30849,""en"",""pt"")"),"Tsqaltubo")</f>
        <v>Tsqaltubo</v>
      </c>
      <c r="B4243" s="17" t="s">
        <v>8023</v>
      </c>
      <c r="C4243" s="17" t="s">
        <v>7988</v>
      </c>
      <c r="D4243" s="17" t="s">
        <v>7997</v>
      </c>
      <c r="E4243" s="10">
        <v>824288</v>
      </c>
      <c r="F4243" s="4" t="str">
        <f>IF(B4243=B4242,"",B4243)</f>
        <v/>
      </c>
    </row>
    <row r="4244" spans="1:6" ht="15.75" customHeight="1">
      <c r="A4244" s="5" t="s">
        <v>23208</v>
      </c>
      <c r="B4244" s="6" t="s">
        <v>23209</v>
      </c>
      <c r="C4244" s="5" t="s">
        <v>22070</v>
      </c>
      <c r="D4244" s="5" t="s">
        <v>22081</v>
      </c>
      <c r="E4244" s="2">
        <v>515804</v>
      </c>
      <c r="F4244" s="4" t="str">
        <f>IF(B4244=B4243,"",B4244)</f>
        <v>Tsotsin-Yurt</v>
      </c>
    </row>
    <row r="4245" spans="1:6" ht="15.75" customHeight="1">
      <c r="A4245" s="5" t="str">
        <f ca="1">IFERROR(__xludf.DUMMYFUNCTION("GOOGLETRANSLATE(B40237,""en"",""pt"")"),"Tsotsin-yurt")</f>
        <v>Tsotsin-yurt</v>
      </c>
      <c r="B4245" s="17" t="s">
        <v>23209</v>
      </c>
      <c r="C4245" s="17" t="s">
        <v>22070</v>
      </c>
      <c r="D4245" s="17" t="s">
        <v>22081</v>
      </c>
      <c r="E4245" s="10">
        <v>515804</v>
      </c>
      <c r="F4245" s="4" t="str">
        <f>IF(B4245=B4244,"",B4245)</f>
        <v/>
      </c>
    </row>
    <row r="4246" spans="1:6" ht="15.75" customHeight="1">
      <c r="A4246" s="5" t="s">
        <v>17401</v>
      </c>
      <c r="B4246" s="6" t="s">
        <v>17401</v>
      </c>
      <c r="C4246" s="5" t="s">
        <v>17292</v>
      </c>
      <c r="D4246" s="5" t="s">
        <v>17359</v>
      </c>
      <c r="E4246" s="2">
        <v>1054463</v>
      </c>
      <c r="F4246" s="4" t="str">
        <f>IF(B4246=B4245,"",B4246)</f>
        <v>Tsiroanomandidy</v>
      </c>
    </row>
    <row r="4247" spans="1:6" ht="15.75" customHeight="1">
      <c r="A4247" s="5" t="str">
        <f ca="1">IFERROR(__xludf.DUMMYFUNCTION("GOOGLETRANSLATE(B36561,""en"",""pt"")"),"Tsiroanomandidy")</f>
        <v>Tsiroanomandidy</v>
      </c>
      <c r="B4247" s="17" t="s">
        <v>17401</v>
      </c>
      <c r="C4247" s="17" t="s">
        <v>17292</v>
      </c>
      <c r="D4247" s="17" t="s">
        <v>17359</v>
      </c>
      <c r="E4247" s="10">
        <v>1054463</v>
      </c>
      <c r="F4247" s="4" t="str">
        <f>IF(B4247=B4246,"",B4247)</f>
        <v/>
      </c>
    </row>
    <row r="4248" spans="1:6" ht="15.75" customHeight="1">
      <c r="A4248" s="6" t="s">
        <v>1803</v>
      </c>
      <c r="B4248" s="6" t="s">
        <v>1803</v>
      </c>
      <c r="C4248" s="6" t="s">
        <v>1797</v>
      </c>
      <c r="D4248" s="6" t="s">
        <v>1804</v>
      </c>
      <c r="E4248" s="2">
        <v>1252608</v>
      </c>
      <c r="F4248" s="4" t="str">
        <f>IF(B4248=B4247,"",B4248)</f>
        <v>Tsirang</v>
      </c>
    </row>
    <row r="4249" spans="1:6" ht="15.75" customHeight="1">
      <c r="A4249" s="5" t="str">
        <f ca="1">IFERROR(__xludf.DUMMYFUNCTION("GOOGLETRANSLATE(B25349,""en"",""pt"")"),"Tsirang")</f>
        <v>Tsirang</v>
      </c>
      <c r="B4249" s="17" t="s">
        <v>1803</v>
      </c>
      <c r="C4249" s="17" t="s">
        <v>1797</v>
      </c>
      <c r="D4249" s="17" t="s">
        <v>1804</v>
      </c>
      <c r="E4249" s="10">
        <v>1252608</v>
      </c>
      <c r="F4249" s="4" t="str">
        <f>IF(B4249=B4248,"",B4249)</f>
        <v/>
      </c>
    </row>
    <row r="4250" spans="1:6" ht="15.75" customHeight="1">
      <c r="A4250" s="6" t="s">
        <v>17400</v>
      </c>
      <c r="B4250" s="6" t="s">
        <v>17400</v>
      </c>
      <c r="C4250" s="6" t="s">
        <v>17292</v>
      </c>
      <c r="D4250" s="6" t="s">
        <v>17317</v>
      </c>
      <c r="E4250" s="2">
        <v>1054500</v>
      </c>
      <c r="F4250" s="4" t="str">
        <f>IF(B4250=B4249,"",B4250)</f>
        <v>Tsiombe</v>
      </c>
    </row>
    <row r="4251" spans="1:6" ht="15.75" customHeight="1">
      <c r="A4251" s="5" t="str">
        <f ca="1">IFERROR(__xludf.DUMMYFUNCTION("GOOGLETRANSLATE(B36562,""en"",""pt"")"),"Tsiombe")</f>
        <v>Tsiombe</v>
      </c>
      <c r="B4251" s="17" t="s">
        <v>17400</v>
      </c>
      <c r="C4251" s="17" t="s">
        <v>17292</v>
      </c>
      <c r="D4251" s="17" t="s">
        <v>17317</v>
      </c>
      <c r="E4251" s="10">
        <v>1054500</v>
      </c>
      <c r="F4251" s="4" t="str">
        <f>IF(B4251=B4250,"",B4251)</f>
        <v/>
      </c>
    </row>
    <row r="4252" spans="1:6" ht="15.75" customHeight="1">
      <c r="A4252" s="5" t="s">
        <v>23207</v>
      </c>
      <c r="B4252" s="6" t="s">
        <v>23207</v>
      </c>
      <c r="C4252" s="5" t="s">
        <v>22070</v>
      </c>
      <c r="D4252" s="5" t="s">
        <v>22099</v>
      </c>
      <c r="E4252" s="2">
        <v>480876</v>
      </c>
      <c r="F4252" s="4" t="str">
        <f>IF(B4252=B4251,"",B4252)</f>
        <v>Tsimlyansk</v>
      </c>
    </row>
    <row r="4253" spans="1:6" ht="15.75" customHeight="1">
      <c r="A4253" s="5" t="str">
        <f ca="1">IFERROR(__xludf.DUMMYFUNCTION("GOOGLETRANSLATE(B40024,""en"",""pt"")"),"Tsimlyansk")</f>
        <v>Tsimlyansk</v>
      </c>
      <c r="B4253" s="17" t="s">
        <v>23207</v>
      </c>
      <c r="C4253" s="17" t="s">
        <v>22070</v>
      </c>
      <c r="D4253" s="17" t="s">
        <v>22099</v>
      </c>
      <c r="E4253" s="10">
        <v>480876</v>
      </c>
      <c r="F4253" s="4" t="str">
        <f>IF(B4253=B4252,"",B4253)</f>
        <v/>
      </c>
    </row>
    <row r="4254" spans="1:6" ht="15.75" customHeight="1">
      <c r="A4254" s="6" t="s">
        <v>6202</v>
      </c>
      <c r="B4254" s="6" t="s">
        <v>6202</v>
      </c>
      <c r="C4254" s="6" t="s">
        <v>6127</v>
      </c>
      <c r="D4254" s="6" t="s">
        <v>6148</v>
      </c>
      <c r="E4254" s="2">
        <v>204953</v>
      </c>
      <c r="F4254" s="4" t="str">
        <f>IF(B4254=B4253,"",B4254)</f>
        <v>Tshikapa</v>
      </c>
    </row>
    <row r="4255" spans="1:6" ht="15.75" customHeight="1">
      <c r="A4255" s="5" t="str">
        <f ca="1">IFERROR(__xludf.DUMMYFUNCTION("GOOGLETRANSLATE(B25648,""en"",""pt"")"),"Tshikapa")</f>
        <v>Tshikapa</v>
      </c>
      <c r="B4255" s="17" t="s">
        <v>6202</v>
      </c>
      <c r="C4255" s="17" t="s">
        <v>6127</v>
      </c>
      <c r="D4255" s="17" t="s">
        <v>31764</v>
      </c>
      <c r="E4255" s="10">
        <v>204953</v>
      </c>
      <c r="F4255" s="4" t="str">
        <f>IF(B4255=B4254,"",B4255)</f>
        <v/>
      </c>
    </row>
    <row r="4256" spans="1:6" ht="15.75" customHeight="1">
      <c r="A4256" s="6" t="s">
        <v>6201</v>
      </c>
      <c r="B4256" s="6" t="s">
        <v>6201</v>
      </c>
      <c r="C4256" s="6" t="s">
        <v>6127</v>
      </c>
      <c r="D4256" s="6" t="s">
        <v>6167</v>
      </c>
      <c r="E4256" s="2">
        <v>2311127</v>
      </c>
      <c r="F4256" s="4" t="str">
        <f>IF(B4256=B4255,"",B4256)</f>
        <v>Tshela</v>
      </c>
    </row>
    <row r="4257" spans="1:6" ht="15.75" customHeight="1">
      <c r="A4257" s="5" t="str">
        <f ca="1">IFERROR(__xludf.DUMMYFUNCTION("GOOGLETRANSLATE(B25692,""en"",""pt"")"),"Tshela")</f>
        <v>Tshela</v>
      </c>
      <c r="B4257" s="17" t="s">
        <v>6201</v>
      </c>
      <c r="C4257" s="17" t="s">
        <v>6127</v>
      </c>
      <c r="D4257" s="17" t="s">
        <v>6167</v>
      </c>
      <c r="E4257" s="10">
        <v>2311127</v>
      </c>
      <c r="F4257" s="4" t="str">
        <f>IF(B4257=B4256,"",B4257)</f>
        <v/>
      </c>
    </row>
    <row r="4258" spans="1:6" ht="15.75" customHeight="1">
      <c r="A4258" s="5" t="str">
        <f ca="1">IFERROR(__xludf.DUMMYFUNCTION("GOOGLETRANSLATE(B41495,""en"",""pt"")"),"Tsévié")</f>
        <v>Tsévié</v>
      </c>
      <c r="B4258" s="17" t="s">
        <v>35777</v>
      </c>
      <c r="C4258" s="17" t="s">
        <v>26038</v>
      </c>
      <c r="D4258" s="17" t="s">
        <v>26039</v>
      </c>
      <c r="E4258" s="10">
        <v>2363534</v>
      </c>
      <c r="F4258" s="4" t="str">
        <f>IF(B4258=B4257,"",B4258)</f>
        <v>Tsévié</v>
      </c>
    </row>
    <row r="4259" spans="1:6" ht="15.75" customHeight="1">
      <c r="A4259" s="5" t="s">
        <v>23206</v>
      </c>
      <c r="B4259" s="6" t="s">
        <v>23206</v>
      </c>
      <c r="C4259" s="5" t="s">
        <v>22070</v>
      </c>
      <c r="D4259" s="5" t="s">
        <v>22127</v>
      </c>
      <c r="E4259" s="2">
        <v>536164</v>
      </c>
      <c r="F4259" s="4" t="str">
        <f>IF(B4259=B4258,"",B4259)</f>
        <v>Tsaritsyno</v>
      </c>
    </row>
    <row r="4260" spans="1:6" ht="15.75" customHeight="1">
      <c r="A4260" s="5" t="str">
        <f ca="1">IFERROR(__xludf.DUMMYFUNCTION("GOOGLETRANSLATE(B40369,""en"",""pt"")"),"Tsaritsyno")</f>
        <v>Tsaritsyno</v>
      </c>
      <c r="B4260" s="17" t="s">
        <v>23206</v>
      </c>
      <c r="C4260" s="17" t="s">
        <v>22070</v>
      </c>
      <c r="D4260" s="17" t="s">
        <v>22127</v>
      </c>
      <c r="E4260" s="10">
        <v>536164</v>
      </c>
      <c r="F4260" s="4" t="str">
        <f>IF(B4260=B4259,"",B4260)</f>
        <v/>
      </c>
    </row>
    <row r="4261" spans="1:6" ht="15.75" customHeight="1">
      <c r="A4261" s="5" t="s">
        <v>17399</v>
      </c>
      <c r="B4261" s="6" t="s">
        <v>17399</v>
      </c>
      <c r="C4261" s="5" t="s">
        <v>17292</v>
      </c>
      <c r="D4261" s="5" t="s">
        <v>17370</v>
      </c>
      <c r="E4261" s="2">
        <v>1055059</v>
      </c>
      <c r="F4261" s="4" t="str">
        <f>IF(B4261=B4260,"",B4261)</f>
        <v>Tsaratanana</v>
      </c>
    </row>
    <row r="4262" spans="1:6" ht="15.75" customHeight="1">
      <c r="A4262" s="5" t="str">
        <f ca="1">IFERROR(__xludf.DUMMYFUNCTION("GOOGLETRANSLATE(B36563,""en"",""pt"")"),"Tsaratanana")</f>
        <v>Tsaratanana</v>
      </c>
      <c r="B4262" s="17" t="s">
        <v>17399</v>
      </c>
      <c r="C4262" s="17" t="s">
        <v>17292</v>
      </c>
      <c r="D4262" s="17" t="s">
        <v>17370</v>
      </c>
      <c r="E4262" s="10">
        <v>1055059</v>
      </c>
      <c r="F4262" s="4" t="str">
        <f>IF(B4262=B4261,"",B4262)</f>
        <v/>
      </c>
    </row>
    <row r="4263" spans="1:6" ht="15.75" customHeight="1">
      <c r="A4263" s="6" t="s">
        <v>26062</v>
      </c>
      <c r="B4263" s="6" t="s">
        <v>26063</v>
      </c>
      <c r="C4263" s="6" t="s">
        <v>26038</v>
      </c>
      <c r="D4263" s="6" t="s">
        <v>26039</v>
      </c>
      <c r="E4263" s="2">
        <v>2363534</v>
      </c>
      <c r="F4263" s="4" t="str">
        <f>IF(B4263=B4262,"",B4263)</f>
        <v>TsÃ©viÃ©</v>
      </c>
    </row>
    <row r="4264" spans="1:6" ht="15.75" customHeight="1">
      <c r="A4264" s="5" t="s">
        <v>8021</v>
      </c>
      <c r="B4264" s="6" t="s">
        <v>8022</v>
      </c>
      <c r="C4264" s="5" t="s">
        <v>7988</v>
      </c>
      <c r="D4264" s="5" t="s">
        <v>7993</v>
      </c>
      <c r="E4264" s="2">
        <v>611403</v>
      </c>
      <c r="F4264" s="4" t="str">
        <f>IF(B4264=B4263,"",B4264)</f>
        <v>Tsâ€™khinvali</v>
      </c>
    </row>
    <row r="4265" spans="1:6" ht="15.75" customHeight="1">
      <c r="A4265" s="5" t="str">
        <f ca="1">IFERROR(__xludf.DUMMYFUNCTION("GOOGLETRANSLATE(B30830,""en"",""pt"")"),"Ts'khinvali")</f>
        <v>Ts'khinvali</v>
      </c>
      <c r="B4265" s="17" t="s">
        <v>32657</v>
      </c>
      <c r="C4265" s="17" t="s">
        <v>7988</v>
      </c>
      <c r="D4265" s="17" t="s">
        <v>7993</v>
      </c>
      <c r="E4265" s="10">
        <v>611403</v>
      </c>
      <c r="F4265" s="4" t="str">
        <f>IF(B4265=B4264,"",B4265)</f>
        <v>Ts’khinvali</v>
      </c>
    </row>
    <row r="4266" spans="1:6" ht="15.75" customHeight="1">
      <c r="A4266" s="6" t="s">
        <v>21541</v>
      </c>
      <c r="B4266" s="6" t="s">
        <v>21541</v>
      </c>
      <c r="C4266" s="6" t="s">
        <v>21064</v>
      </c>
      <c r="D4266" s="6" t="s">
        <v>21108</v>
      </c>
      <c r="E4266" s="2">
        <v>3083111</v>
      </c>
      <c r="F4266" s="4" t="str">
        <f>IF(B4266=B4265,"",B4266)</f>
        <v>Trzebinia</v>
      </c>
    </row>
    <row r="4267" spans="1:6" ht="15.75" customHeight="1">
      <c r="A4267" s="5" t="str">
        <f ca="1">IFERROR(__xludf.DUMMYFUNCTION("GOOGLETRANSLATE(B39327,""en"",""pt"")"),"Trzebinia")</f>
        <v>Trzebinia</v>
      </c>
      <c r="B4267" s="17" t="s">
        <v>21541</v>
      </c>
      <c r="C4267" s="17" t="s">
        <v>21064</v>
      </c>
      <c r="D4267" s="17" t="s">
        <v>21108</v>
      </c>
      <c r="E4267" s="10">
        <v>3083111</v>
      </c>
      <c r="F4267" s="4" t="str">
        <f>IF(B4267=B4266,"",B4267)</f>
        <v/>
      </c>
    </row>
    <row r="4268" spans="1:6" ht="15.75" customHeight="1">
      <c r="A4268" s="6" t="s">
        <v>21540</v>
      </c>
      <c r="B4268" s="6" t="s">
        <v>21540</v>
      </c>
      <c r="C4268" s="6" t="s">
        <v>21064</v>
      </c>
      <c r="D4268" s="6" t="s">
        <v>21112</v>
      </c>
      <c r="E4268" s="2">
        <v>3083185</v>
      </c>
      <c r="F4268" s="4" t="str">
        <f>IF(B4268=B4267,"",B4268)</f>
        <v>Trzcianka</v>
      </c>
    </row>
    <row r="4269" spans="1:6" ht="15.75" customHeight="1">
      <c r="A4269" s="5" t="str">
        <f ca="1">IFERROR(__xludf.DUMMYFUNCTION("GOOGLETRANSLATE(B39328,""en"",""pt"")"),"Trzcianka")</f>
        <v>Trzcianka</v>
      </c>
      <c r="B4269" s="17" t="s">
        <v>21540</v>
      </c>
      <c r="C4269" s="17" t="s">
        <v>21064</v>
      </c>
      <c r="D4269" s="17" t="s">
        <v>21112</v>
      </c>
      <c r="E4269" s="10">
        <v>3083185</v>
      </c>
      <c r="F4269" s="4" t="str">
        <f>IF(B4269=B4268,"",B4269)</f>
        <v/>
      </c>
    </row>
    <row r="4270" spans="1:6" ht="15.75" customHeight="1">
      <c r="A4270" s="6" t="s">
        <v>6112</v>
      </c>
      <c r="B4270" s="6" t="s">
        <v>6112</v>
      </c>
      <c r="C4270" s="6" t="s">
        <v>5947</v>
      </c>
      <c r="D4270" s="6" t="s">
        <v>6005</v>
      </c>
      <c r="E4270" s="2">
        <v>3063907</v>
      </c>
      <c r="F4270" s="4" t="str">
        <f>IF(B4270=B4269,"",B4270)</f>
        <v>Trutnov</v>
      </c>
    </row>
    <row r="4271" spans="1:6" ht="15.75" customHeight="1">
      <c r="A4271" s="5" t="str">
        <f ca="1">IFERROR(__xludf.DUMMYFUNCTION("GOOGLETRANSLATE(B27256,""en"",""pt"")"),"Trutnov")</f>
        <v>Trutnov</v>
      </c>
      <c r="B4271" s="17" t="s">
        <v>6112</v>
      </c>
      <c r="C4271" s="17" t="s">
        <v>5947</v>
      </c>
      <c r="D4271" s="17" t="s">
        <v>31936</v>
      </c>
      <c r="E4271" s="10">
        <v>3063907</v>
      </c>
      <c r="F4271" s="4" t="str">
        <f>IF(B4271=B4270,"",B4271)</f>
        <v/>
      </c>
    </row>
    <row r="4272" spans="1:6" ht="15.75" customHeight="1">
      <c r="A4272" s="6" t="s">
        <v>30216</v>
      </c>
      <c r="B4272" s="6" t="s">
        <v>30216</v>
      </c>
      <c r="C4272" s="6" t="s">
        <v>27788</v>
      </c>
      <c r="D4272" s="6" t="s">
        <v>28023</v>
      </c>
      <c r="E4272" s="2">
        <v>4094212</v>
      </c>
      <c r="F4272" s="4" t="str">
        <f>IF(B4272=B4271,"",B4272)</f>
        <v>Trussville</v>
      </c>
    </row>
    <row r="4273" spans="1:6" ht="15.75" customHeight="1">
      <c r="A4273" s="5" t="str">
        <f ca="1">IFERROR(__xludf.DUMMYFUNCTION("GOOGLETRANSLATE(B42803,""en"",""pt"")"),"Trussville")</f>
        <v>Trussville</v>
      </c>
      <c r="B4273" s="17" t="s">
        <v>30216</v>
      </c>
      <c r="C4273" s="17" t="s">
        <v>27788</v>
      </c>
      <c r="D4273" s="17" t="s">
        <v>28023</v>
      </c>
      <c r="E4273" s="10">
        <v>4094212</v>
      </c>
      <c r="F4273" s="4" t="str">
        <f>IF(B4273=B4272,"",B4273)</f>
        <v/>
      </c>
    </row>
    <row r="4274" spans="1:6" ht="15.75" customHeight="1">
      <c r="A4274" s="5" t="s">
        <v>27171</v>
      </c>
      <c r="B4274" s="6" t="s">
        <v>27171</v>
      </c>
      <c r="C4274" s="5" t="s">
        <v>26870</v>
      </c>
      <c r="D4274" s="5" t="s">
        <v>26916</v>
      </c>
      <c r="E4274" s="2">
        <v>691179</v>
      </c>
      <c r="F4274" s="4" t="str">
        <f>IF(B4274=B4273,"",B4274)</f>
        <v>Truskavets</v>
      </c>
    </row>
    <row r="4275" spans="1:6" ht="15.75" customHeight="1">
      <c r="A4275" s="5" t="str">
        <f ca="1">IFERROR(__xludf.DUMMYFUNCTION("GOOGLETRANSLATE(B42501,""en"",""pt"")"),"Truskavets")</f>
        <v>Truskavets</v>
      </c>
      <c r="B4275" s="17" t="s">
        <v>27171</v>
      </c>
      <c r="C4275" s="17" t="s">
        <v>26870</v>
      </c>
      <c r="D4275" s="17" t="s">
        <v>26916</v>
      </c>
      <c r="E4275" s="10">
        <v>691179</v>
      </c>
      <c r="F4275" s="4" t="str">
        <f>IF(B4275=B4274,"",B4275)</f>
        <v/>
      </c>
    </row>
    <row r="4276" spans="1:6" ht="15.75" customHeight="1">
      <c r="A4276" s="6" t="s">
        <v>4224</v>
      </c>
      <c r="B4276" s="6" t="s">
        <v>4225</v>
      </c>
      <c r="C4276" s="6" t="s">
        <v>3975</v>
      </c>
      <c r="D4276" s="6" t="s">
        <v>4027</v>
      </c>
      <c r="E4276" s="2">
        <v>6169587</v>
      </c>
      <c r="F4276" s="4" t="str">
        <f>IF(B4276=B4275,"",B4276)</f>
        <v>Truro</v>
      </c>
    </row>
    <row r="4277" spans="1:6" ht="15.75" customHeight="1">
      <c r="A4277" s="5" t="str">
        <f ca="1">IFERROR(__xludf.DUMMYFUNCTION("GOOGLETRANSLATE(B25600,""en"",""pt"")"),"TRURO")</f>
        <v>TRURO</v>
      </c>
      <c r="B4277" s="17" t="s">
        <v>4225</v>
      </c>
      <c r="C4277" s="17" t="s">
        <v>3975</v>
      </c>
      <c r="D4277" s="17" t="s">
        <v>4027</v>
      </c>
      <c r="E4277" s="10">
        <v>6169587</v>
      </c>
      <c r="F4277" s="4" t="str">
        <f>IF(B4277=B4276,"",B4277)</f>
        <v/>
      </c>
    </row>
    <row r="4278" spans="1:6" ht="15.75" customHeight="1">
      <c r="A4278" s="5" t="s">
        <v>21773</v>
      </c>
      <c r="B4278" s="6" t="s">
        <v>21773</v>
      </c>
      <c r="C4278" s="5" t="s">
        <v>747</v>
      </c>
      <c r="D4278" s="5" t="s">
        <v>21773</v>
      </c>
      <c r="E4278" s="2">
        <v>4568451</v>
      </c>
      <c r="F4278" s="4" t="str">
        <f>IF(B4278=B4277,"",B4278)</f>
        <v>Trujillo Alto</v>
      </c>
    </row>
    <row r="4279" spans="1:6" ht="15.75" customHeight="1">
      <c r="A4279" s="5" t="str">
        <f ca="1">IFERROR(__xludf.DUMMYFUNCTION("GOOGLETRANSLATE(B39522,""en"",""pt"")"),"Trujillo Alto")</f>
        <v>Trujillo Alto</v>
      </c>
      <c r="B4279" s="17" t="s">
        <v>21773</v>
      </c>
      <c r="C4279" s="17" t="s">
        <v>747</v>
      </c>
      <c r="D4279" s="17" t="s">
        <v>21773</v>
      </c>
      <c r="E4279" s="10">
        <v>4568451</v>
      </c>
      <c r="F4279" s="4" t="str">
        <f>IF(B4279=B4278,"",B4279)</f>
        <v/>
      </c>
    </row>
    <row r="4280" spans="1:6" ht="15.75" customHeight="1">
      <c r="A4280" s="6" t="s">
        <v>20588</v>
      </c>
      <c r="B4280" s="6" t="s">
        <v>20588</v>
      </c>
      <c r="C4280" s="6" t="s">
        <v>20470</v>
      </c>
      <c r="D4280" s="6" t="s">
        <v>6435</v>
      </c>
      <c r="E4280" s="2">
        <v>3691175</v>
      </c>
      <c r="F4280" s="4" t="str">
        <f>IF(B4280=B4279,"",B4280)</f>
        <v>Trujillo</v>
      </c>
    </row>
    <row r="4281" spans="1:6" ht="15.75" customHeight="1">
      <c r="A4281" s="6" t="s">
        <v>20588</v>
      </c>
      <c r="B4281" s="6" t="s">
        <v>20588</v>
      </c>
      <c r="C4281" s="6" t="s">
        <v>5923</v>
      </c>
      <c r="D4281" s="6" t="s">
        <v>20588</v>
      </c>
      <c r="E4281" s="2">
        <v>3625979</v>
      </c>
      <c r="F4281" s="4" t="str">
        <f>IF(B4281=B4280,"",B4281)</f>
        <v/>
      </c>
    </row>
    <row r="4282" spans="1:6" ht="15.75" customHeight="1">
      <c r="A4282" s="5" t="str">
        <f ca="1">IFERROR(__xludf.DUMMYFUNCTION("GOOGLETRANSLATE(B38305,""en"",""pt"")"),"Trujillo")</f>
        <v>Trujillo</v>
      </c>
      <c r="B4282" s="17" t="s">
        <v>20588</v>
      </c>
      <c r="C4282" s="17" t="s">
        <v>20470</v>
      </c>
      <c r="D4282" s="17" t="s">
        <v>6435</v>
      </c>
      <c r="E4282" s="10">
        <v>3691175</v>
      </c>
      <c r="F4282" s="4" t="str">
        <f>IF(B4282=B4281,"",B4282)</f>
        <v/>
      </c>
    </row>
    <row r="4283" spans="1:6" ht="15.75" customHeight="1">
      <c r="A4283" s="5" t="str">
        <f ca="1">IFERROR(__xludf.DUMMYFUNCTION("GOOGLETRANSLATE(B45612,""en"",""pt"")"),"Trujillo")</f>
        <v>Trujillo</v>
      </c>
      <c r="B4283" s="17" t="s">
        <v>20588</v>
      </c>
      <c r="C4283" s="17" t="s">
        <v>5923</v>
      </c>
      <c r="D4283" s="17" t="s">
        <v>20588</v>
      </c>
      <c r="E4283" s="10">
        <v>3625979</v>
      </c>
      <c r="F4283" s="4" t="str">
        <f>IF(B4283=B4282,"",B4283)</f>
        <v/>
      </c>
    </row>
    <row r="4284" spans="1:6" ht="15.75" customHeight="1">
      <c r="A4284" s="5" t="s">
        <v>23205</v>
      </c>
      <c r="B4284" s="6" t="s">
        <v>23205</v>
      </c>
      <c r="C4284" s="5" t="s">
        <v>22070</v>
      </c>
      <c r="D4284" s="5" t="s">
        <v>22154</v>
      </c>
      <c r="E4284" s="2">
        <v>2015051</v>
      </c>
      <c r="F4284" s="4" t="str">
        <f>IF(B4284=B4283,"",B4284)</f>
        <v>Trudovoye</v>
      </c>
    </row>
    <row r="4285" spans="1:6" ht="15.75" customHeight="1">
      <c r="A4285" s="5" t="str">
        <f ca="1">IFERROR(__xludf.DUMMYFUNCTION("GOOGLETRANSLATE(B40906,""en"",""pt"")"),"Trudovoye")</f>
        <v>Trudovoye</v>
      </c>
      <c r="B4285" s="17" t="s">
        <v>23205</v>
      </c>
      <c r="C4285" s="17" t="s">
        <v>22070</v>
      </c>
      <c r="D4285" s="17" t="s">
        <v>22154</v>
      </c>
      <c r="E4285" s="10">
        <v>2015051</v>
      </c>
      <c r="F4285" s="4" t="str">
        <f>IF(B4285=B4284,"",B4285)</f>
        <v/>
      </c>
    </row>
    <row r="4286" spans="1:6" ht="15.75" customHeight="1">
      <c r="A4286" s="6" t="s">
        <v>14216</v>
      </c>
      <c r="B4286" s="6" t="s">
        <v>14216</v>
      </c>
      <c r="C4286" s="6" t="s">
        <v>13800</v>
      </c>
      <c r="D4286" s="6" t="s">
        <v>13803</v>
      </c>
      <c r="E4286" s="2">
        <v>1623223</v>
      </c>
      <c r="F4286" s="4" t="str">
        <f>IF(B4286=B4285,"",B4286)</f>
        <v>Trucuk</v>
      </c>
    </row>
    <row r="4287" spans="1:6" ht="15.75" customHeight="1">
      <c r="A4287" s="5" t="str">
        <f ca="1">IFERROR(__xludf.DUMMYFUNCTION("GOOGLETRANSLATE(B31404,""en"",""pt"")"),"Trucuk")</f>
        <v>Trucuk</v>
      </c>
      <c r="B4287" s="17" t="s">
        <v>14216</v>
      </c>
      <c r="C4287" s="17" t="s">
        <v>13800</v>
      </c>
      <c r="D4287" s="17" t="s">
        <v>13803</v>
      </c>
      <c r="E4287" s="10">
        <v>1623223</v>
      </c>
      <c r="F4287" s="4" t="str">
        <f>IF(B4287=B4286,"",B4287)</f>
        <v/>
      </c>
    </row>
    <row r="4288" spans="1:6" ht="15.75" customHeight="1">
      <c r="A4288" s="6" t="s">
        <v>30215</v>
      </c>
      <c r="B4288" s="6" t="s">
        <v>30215</v>
      </c>
      <c r="C4288" s="6" t="s">
        <v>27788</v>
      </c>
      <c r="D4288" s="6" t="s">
        <v>27801</v>
      </c>
      <c r="E4288" s="2">
        <v>5403676</v>
      </c>
      <c r="F4288" s="4" t="str">
        <f>IF(B4288=B4287,"",B4288)</f>
        <v>Truckee</v>
      </c>
    </row>
    <row r="4289" spans="1:6" ht="15.75" customHeight="1">
      <c r="A4289" s="5" t="str">
        <f ca="1">IFERROR(__xludf.DUMMYFUNCTION("GOOGLETRANSLATE(B45058,""en"",""pt"")"),"Truckee")</f>
        <v>Truckee</v>
      </c>
      <c r="B4289" s="17" t="s">
        <v>30215</v>
      </c>
      <c r="C4289" s="17" t="s">
        <v>27788</v>
      </c>
      <c r="D4289" s="17" t="s">
        <v>27801</v>
      </c>
      <c r="E4289" s="10">
        <v>5403676</v>
      </c>
      <c r="F4289" s="4" t="str">
        <f>IF(B4289=B4288,"",B4289)</f>
        <v/>
      </c>
    </row>
    <row r="4290" spans="1:6" ht="15.75" customHeight="1">
      <c r="A4290" s="5" t="s">
        <v>23204</v>
      </c>
      <c r="B4290" s="6" t="s">
        <v>23204</v>
      </c>
      <c r="C4290" s="5" t="s">
        <v>22070</v>
      </c>
      <c r="D4290" s="5" t="s">
        <v>22272</v>
      </c>
      <c r="E4290" s="2">
        <v>481350</v>
      </c>
      <c r="F4290" s="4" t="str">
        <f>IF(B4290=B4289,"",B4290)</f>
        <v>Trubchevsk</v>
      </c>
    </row>
    <row r="4291" spans="1:6" ht="15.75" customHeight="1">
      <c r="A4291" s="5" t="str">
        <f ca="1">IFERROR(__xludf.DUMMYFUNCTION("GOOGLETRANSLATE(B40025,""en"",""pt"")"),"Trubchevsk")</f>
        <v>Trubchevsk</v>
      </c>
      <c r="B4291" s="17" t="s">
        <v>23204</v>
      </c>
      <c r="C4291" s="17" t="s">
        <v>22070</v>
      </c>
      <c r="D4291" s="17" t="s">
        <v>22272</v>
      </c>
      <c r="E4291" s="10">
        <v>481350</v>
      </c>
      <c r="F4291" s="4" t="str">
        <f>IF(B4291=B4290,"",B4291)</f>
        <v/>
      </c>
    </row>
    <row r="4292" spans="1:6" ht="15.75" customHeight="1">
      <c r="A4292" s="6" t="s">
        <v>23660</v>
      </c>
      <c r="B4292" s="6" t="s">
        <v>23660</v>
      </c>
      <c r="C4292" s="6" t="s">
        <v>23602</v>
      </c>
      <c r="D4292" s="6" t="s">
        <v>23603</v>
      </c>
      <c r="E4292" s="2">
        <v>784873</v>
      </c>
      <c r="F4292" s="4" t="str">
        <f>IF(B4292=B4291,"",B4292)</f>
        <v>Trstenik</v>
      </c>
    </row>
    <row r="4293" spans="1:6" ht="15.75" customHeight="1">
      <c r="A4293" s="5" t="str">
        <f ca="1">IFERROR(__xludf.DUMMYFUNCTION("GOOGLETRANSLATE(B39862,""en"",""pt"")"),"Trstenik")</f>
        <v>Trstenik</v>
      </c>
      <c r="B4293" s="17" t="s">
        <v>23660</v>
      </c>
      <c r="C4293" s="17" t="s">
        <v>23602</v>
      </c>
      <c r="D4293" s="17" t="s">
        <v>23603</v>
      </c>
      <c r="E4293" s="10">
        <v>784873</v>
      </c>
      <c r="F4293" s="4" t="str">
        <f>IF(B4293=B4292,"",B4293)</f>
        <v/>
      </c>
    </row>
    <row r="4294" spans="1:6" ht="15.75" customHeight="1">
      <c r="A4294" s="6" t="s">
        <v>7865</v>
      </c>
      <c r="B4294" s="6" t="s">
        <v>7865</v>
      </c>
      <c r="C4294" s="6" t="s">
        <v>7052</v>
      </c>
      <c r="D4294" s="6" t="s">
        <v>7061</v>
      </c>
      <c r="E4294" s="2">
        <v>2971549</v>
      </c>
      <c r="F4294" s="4" t="str">
        <f>IF(B4294=B4293,"",B4294)</f>
        <v>Troyes</v>
      </c>
    </row>
    <row r="4295" spans="1:6" ht="15.75" customHeight="1">
      <c r="A4295" s="5" t="str">
        <f ca="1">IFERROR(__xludf.DUMMYFUNCTION("GOOGLETRANSLATE(B29723,""en"",""pt"")"),"Troyes")</f>
        <v>Troyes</v>
      </c>
      <c r="B4295" s="17" t="s">
        <v>7865</v>
      </c>
      <c r="C4295" s="17" t="s">
        <v>7052</v>
      </c>
      <c r="D4295" s="17" t="s">
        <v>7061</v>
      </c>
      <c r="E4295" s="10">
        <v>2971549</v>
      </c>
      <c r="F4295" s="4" t="str">
        <f>IF(B4295=B4294,"",B4295)</f>
        <v/>
      </c>
    </row>
    <row r="4296" spans="1:6" ht="15.75" customHeight="1">
      <c r="A4296" s="6" t="s">
        <v>3759</v>
      </c>
      <c r="B4296" s="6" t="s">
        <v>3759</v>
      </c>
      <c r="C4296" s="6" t="s">
        <v>3701</v>
      </c>
      <c r="D4296" s="6" t="s">
        <v>3733</v>
      </c>
      <c r="E4296" s="2">
        <v>726320</v>
      </c>
      <c r="F4296" s="4" t="str">
        <f>IF(B4296=B4295,"",B4296)</f>
        <v>Troyan</v>
      </c>
    </row>
    <row r="4297" spans="1:6" ht="15.75" customHeight="1">
      <c r="A4297" s="5" t="str">
        <f ca="1">IFERROR(__xludf.DUMMYFUNCTION("GOOGLETRANSLATE(B24014,""en"",""pt"")"),"Troyan")</f>
        <v>Troyan</v>
      </c>
      <c r="B4297" s="17" t="s">
        <v>3759</v>
      </c>
      <c r="C4297" s="17" t="s">
        <v>3701</v>
      </c>
      <c r="D4297" s="17" t="s">
        <v>3733</v>
      </c>
      <c r="E4297" s="10">
        <v>726320</v>
      </c>
      <c r="F4297" s="4" t="str">
        <f>IF(B4297=B4296,"",B4297)</f>
        <v/>
      </c>
    </row>
    <row r="4298" spans="1:6" ht="15.75" customHeight="1">
      <c r="A4298" s="6" t="s">
        <v>30214</v>
      </c>
      <c r="B4298" s="6" t="s">
        <v>30214</v>
      </c>
      <c r="C4298" s="6" t="s">
        <v>27788</v>
      </c>
      <c r="D4298" s="6" t="s">
        <v>28023</v>
      </c>
      <c r="E4298" s="2">
        <v>4094163</v>
      </c>
      <c r="F4298" s="4" t="str">
        <f>IF(B4298=B4297,"",B4298)</f>
        <v>Troy</v>
      </c>
    </row>
    <row r="4299" spans="1:6" ht="15.75" customHeight="1">
      <c r="A4299" s="6" t="s">
        <v>30214</v>
      </c>
      <c r="B4299" s="6" t="s">
        <v>30214</v>
      </c>
      <c r="C4299" s="6" t="s">
        <v>27788</v>
      </c>
      <c r="D4299" s="6" t="s">
        <v>27804</v>
      </c>
      <c r="E4299" s="2">
        <v>5012639</v>
      </c>
      <c r="F4299" s="4" t="str">
        <f>IF(B4299=B4298,"",B4299)</f>
        <v/>
      </c>
    </row>
    <row r="4300" spans="1:6" ht="15.75" customHeight="1">
      <c r="A4300" s="6" t="s">
        <v>30214</v>
      </c>
      <c r="B4300" s="6" t="s">
        <v>30214</v>
      </c>
      <c r="C4300" s="6" t="s">
        <v>27788</v>
      </c>
      <c r="D4300" s="6" t="s">
        <v>27819</v>
      </c>
      <c r="E4300" s="2">
        <v>5141502</v>
      </c>
      <c r="F4300" s="4" t="str">
        <f>IF(B4300=B4299,"",B4300)</f>
        <v/>
      </c>
    </row>
    <row r="4301" spans="1:6" ht="15.75" customHeight="1">
      <c r="A4301" s="6" t="s">
        <v>30214</v>
      </c>
      <c r="B4301" s="6" t="s">
        <v>30214</v>
      </c>
      <c r="C4301" s="6" t="s">
        <v>27788</v>
      </c>
      <c r="D4301" s="6" t="s">
        <v>27813</v>
      </c>
      <c r="E4301" s="2">
        <v>5174358</v>
      </c>
      <c r="F4301" s="4" t="str">
        <f>IF(B4301=B4300,"",B4301)</f>
        <v/>
      </c>
    </row>
    <row r="4302" spans="1:6" ht="15.75" customHeight="1">
      <c r="A4302" s="5" t="str">
        <f ca="1">IFERROR(__xludf.DUMMYFUNCTION("GOOGLETRANSLATE(B42802,""en"",""pt"")"),"Troy")</f>
        <v>Troy</v>
      </c>
      <c r="B4302" s="17" t="s">
        <v>30214</v>
      </c>
      <c r="C4302" s="17" t="s">
        <v>27788</v>
      </c>
      <c r="D4302" s="17" t="s">
        <v>28023</v>
      </c>
      <c r="E4302" s="10">
        <v>4094163</v>
      </c>
      <c r="F4302" s="4" t="str">
        <f>IF(B4302=B4301,"",B4302)</f>
        <v/>
      </c>
    </row>
    <row r="4303" spans="1:6" ht="15.75" customHeight="1">
      <c r="A4303" s="5" t="str">
        <f ca="1">IFERROR(__xludf.DUMMYFUNCTION("GOOGLETRANSLATE(B44128,""en"",""pt"")"),"Troy")</f>
        <v>Troy</v>
      </c>
      <c r="B4303" s="17" t="s">
        <v>30214</v>
      </c>
      <c r="C4303" s="17" t="s">
        <v>27788</v>
      </c>
      <c r="D4303" s="17" t="s">
        <v>27804</v>
      </c>
      <c r="E4303" s="10">
        <v>5012639</v>
      </c>
      <c r="F4303" s="4" t="str">
        <f>IF(B4303=B4302,"",B4303)</f>
        <v/>
      </c>
    </row>
    <row r="4304" spans="1:6" ht="15.75" customHeight="1">
      <c r="A4304" s="5" t="str">
        <f ca="1">IFERROR(__xludf.DUMMYFUNCTION("GOOGLETRANSLATE(B44459,""en"",""pt"")"),"Troy")</f>
        <v>Troy</v>
      </c>
      <c r="B4304" s="17" t="s">
        <v>30214</v>
      </c>
      <c r="C4304" s="17" t="s">
        <v>27788</v>
      </c>
      <c r="D4304" s="17" t="s">
        <v>27819</v>
      </c>
      <c r="E4304" s="10">
        <v>5141502</v>
      </c>
      <c r="F4304" s="4" t="str">
        <f>IF(B4304=B4303,"",B4304)</f>
        <v/>
      </c>
    </row>
    <row r="4305" spans="1:6" ht="15.75" customHeight="1">
      <c r="A4305" s="5" t="str">
        <f ca="1">IFERROR(__xludf.DUMMYFUNCTION("GOOGLETRANSLATE(B44551,""en"",""pt"")"),"Troy")</f>
        <v>Troy</v>
      </c>
      <c r="B4305" s="17" t="s">
        <v>30214</v>
      </c>
      <c r="C4305" s="17" t="s">
        <v>27788</v>
      </c>
      <c r="D4305" s="17" t="s">
        <v>27813</v>
      </c>
      <c r="E4305" s="10">
        <v>5174358</v>
      </c>
      <c r="F4305" s="4" t="str">
        <f>IF(B4305=B4304,"",B4305)</f>
        <v/>
      </c>
    </row>
    <row r="4306" spans="1:6" ht="15.75" customHeight="1">
      <c r="A4306" s="6" t="s">
        <v>30213</v>
      </c>
      <c r="B4306" s="6" t="s">
        <v>30213</v>
      </c>
      <c r="C4306" s="6" t="s">
        <v>27788</v>
      </c>
      <c r="D4306" s="6" t="s">
        <v>27820</v>
      </c>
      <c r="E4306" s="2">
        <v>5757477</v>
      </c>
      <c r="F4306" s="4" t="str">
        <f>IF(B4306=B4305,"",B4306)</f>
        <v>Troutdale</v>
      </c>
    </row>
    <row r="4307" spans="1:6" ht="15.75" customHeight="1">
      <c r="A4307" s="5" t="str">
        <f ca="1">IFERROR(__xludf.DUMMYFUNCTION("GOOGLETRANSLATE(B45261,""en"",""pt"")"),"Troutdale")</f>
        <v>Troutdale</v>
      </c>
      <c r="B4307" s="17" t="s">
        <v>30213</v>
      </c>
      <c r="C4307" s="17" t="s">
        <v>27788</v>
      </c>
      <c r="D4307" s="17" t="s">
        <v>27820</v>
      </c>
      <c r="E4307" s="10">
        <v>5757477</v>
      </c>
      <c r="F4307" s="4" t="str">
        <f>IF(B4307=B4306,"",B4307)</f>
        <v/>
      </c>
    </row>
    <row r="4308" spans="1:6" ht="15.75" customHeight="1">
      <c r="A4308" s="6" t="s">
        <v>30212</v>
      </c>
      <c r="B4308" s="6" t="s">
        <v>30212</v>
      </c>
      <c r="C4308" s="6" t="s">
        <v>27788</v>
      </c>
      <c r="D4308" s="6" t="s">
        <v>27813</v>
      </c>
      <c r="E4308" s="2">
        <v>4526576</v>
      </c>
      <c r="F4308" s="4" t="str">
        <f>IF(B4308=B4307,"",B4308)</f>
        <v>Trotwood</v>
      </c>
    </row>
    <row r="4309" spans="1:6" ht="15.75" customHeight="1">
      <c r="A4309" s="5" t="str">
        <f ca="1">IFERROR(__xludf.DUMMYFUNCTION("GOOGLETRANSLATE(B43530,""en"",""pt"")"),"Trotwood")</f>
        <v>Trotwood</v>
      </c>
      <c r="B4309" s="17" t="s">
        <v>30212</v>
      </c>
      <c r="C4309" s="17" t="s">
        <v>27788</v>
      </c>
      <c r="D4309" s="17" t="s">
        <v>27813</v>
      </c>
      <c r="E4309" s="10">
        <v>4526576</v>
      </c>
      <c r="F4309" s="4" t="str">
        <f>IF(B4309=B4308,"",B4309)</f>
        <v/>
      </c>
    </row>
    <row r="4310" spans="1:6" ht="15.75" customHeight="1">
      <c r="A4310" s="5" t="s">
        <v>9209</v>
      </c>
      <c r="B4310" s="6" t="s">
        <v>9209</v>
      </c>
      <c r="C4310" s="5" t="s">
        <v>8028</v>
      </c>
      <c r="D4310" s="5" t="s">
        <v>8031</v>
      </c>
      <c r="E4310" s="2">
        <v>2820973</v>
      </c>
      <c r="F4310" s="4" t="str">
        <f>IF(B4310=B4309,"",B4310)</f>
        <v>Trossingen</v>
      </c>
    </row>
    <row r="4311" spans="1:6" ht="15.75" customHeight="1">
      <c r="A4311" s="5" t="str">
        <f ca="1">IFERROR(__xludf.DUMMYFUNCTION("GOOGLETRANSLATE(B27469,""en"",""pt"")"),"Trossingen")</f>
        <v>Trossingen</v>
      </c>
      <c r="B4311" s="17" t="s">
        <v>9209</v>
      </c>
      <c r="C4311" s="17" t="s">
        <v>8028</v>
      </c>
      <c r="D4311" s="17" t="s">
        <v>32013</v>
      </c>
      <c r="E4311" s="10">
        <v>2820973</v>
      </c>
      <c r="F4311" s="4" t="str">
        <f>IF(B4311=B4310,"",B4311)</f>
        <v/>
      </c>
    </row>
    <row r="4312" spans="1:6" ht="15.75" customHeight="1">
      <c r="A4312" s="5" t="str">
        <f ca="1">IFERROR(__xludf.DUMMYFUNCTION("GOOGLETRANSLATE(B40026,""en"",""pt"")"),"Troparëvo")</f>
        <v>Troparëvo</v>
      </c>
      <c r="B4312" s="17" t="s">
        <v>35444</v>
      </c>
      <c r="C4312" s="17" t="s">
        <v>22070</v>
      </c>
      <c r="D4312" s="17" t="s">
        <v>22127</v>
      </c>
      <c r="E4312" s="10">
        <v>481453</v>
      </c>
      <c r="F4312" s="4" t="str">
        <f>IF(B4312=B4311,"",B4312)</f>
        <v>Troparëvo</v>
      </c>
    </row>
    <row r="4313" spans="1:6" ht="15.75" customHeight="1">
      <c r="A4313" s="5" t="s">
        <v>23202</v>
      </c>
      <c r="B4313" s="6" t="s">
        <v>23203</v>
      </c>
      <c r="C4313" s="5" t="s">
        <v>22070</v>
      </c>
      <c r="D4313" s="5" t="s">
        <v>22127</v>
      </c>
      <c r="E4313" s="2">
        <v>481453</v>
      </c>
      <c r="F4313" s="4" t="str">
        <f>IF(B4313=B4312,"",B4313)</f>
        <v>TroparÃ«vo</v>
      </c>
    </row>
    <row r="4314" spans="1:6" ht="15.75" customHeight="1">
      <c r="A4314" s="5" t="s">
        <v>19750</v>
      </c>
      <c r="B4314" s="6" t="s">
        <v>19750</v>
      </c>
      <c r="C4314" s="5" t="s">
        <v>19695</v>
      </c>
      <c r="D4314" s="5" t="s">
        <v>19751</v>
      </c>
      <c r="E4314" s="2">
        <v>3133880</v>
      </c>
      <c r="F4314" s="4" t="str">
        <f>IF(B4314=B4313,"",B4314)</f>
        <v>Trondheim</v>
      </c>
    </row>
    <row r="4315" spans="1:6" ht="15.75" customHeight="1">
      <c r="A4315" s="5" t="str">
        <f ca="1">IFERROR(__xludf.DUMMYFUNCTION("GOOGLETRANSLATE(B38143,""en"",""pt"")"),"Trondheim")</f>
        <v>Trondheim</v>
      </c>
      <c r="B4315" s="17" t="s">
        <v>19750</v>
      </c>
      <c r="C4315" s="17" t="s">
        <v>19695</v>
      </c>
      <c r="D4315" s="17" t="s">
        <v>34812</v>
      </c>
      <c r="E4315" s="10">
        <v>3133880</v>
      </c>
      <c r="F4315" s="4" t="str">
        <f>IF(B4315=B4314,"",B4315)</f>
        <v/>
      </c>
    </row>
    <row r="4316" spans="1:6" ht="15.75" customHeight="1">
      <c r="A4316" s="5" t="str">
        <f ca="1">IFERROR(__xludf.DUMMYFUNCTION("GOOGLETRANSLATE(B38144,""en"",""pt"")"),"Tromsø")</f>
        <v>Tromsø</v>
      </c>
      <c r="B4316" s="17" t="s">
        <v>34813</v>
      </c>
      <c r="C4316" s="17" t="s">
        <v>19695</v>
      </c>
      <c r="D4316" s="17" t="s">
        <v>19718</v>
      </c>
      <c r="E4316" s="10">
        <v>3133895</v>
      </c>
      <c r="F4316" s="4" t="str">
        <f>IF(B4316=B4315,"",B4316)</f>
        <v>Tromsø</v>
      </c>
    </row>
    <row r="4317" spans="1:6" ht="15.75" customHeight="1">
      <c r="A4317" s="6" t="s">
        <v>19748</v>
      </c>
      <c r="B4317" s="6" t="s">
        <v>19749</v>
      </c>
      <c r="C4317" s="6" t="s">
        <v>19695</v>
      </c>
      <c r="D4317" s="6" t="s">
        <v>19718</v>
      </c>
      <c r="E4317" s="2">
        <v>3133895</v>
      </c>
      <c r="F4317" s="4" t="str">
        <f>IF(B4317=B4316,"",B4317)</f>
        <v>TromsÃ¸</v>
      </c>
    </row>
    <row r="4318" spans="1:6" ht="15.75" customHeight="1">
      <c r="A4318" s="5" t="str">
        <f ca="1">IFERROR(__xludf.DUMMYFUNCTION("GOOGLETRANSLATE(B41137,""en"",""pt"")"),"Trollhättan")</f>
        <v>Trollhättan</v>
      </c>
      <c r="B4318" s="17" t="s">
        <v>35629</v>
      </c>
      <c r="C4318" s="17" t="s">
        <v>25077</v>
      </c>
      <c r="D4318" s="17" t="s">
        <v>35628</v>
      </c>
      <c r="E4318" s="10">
        <v>2667303</v>
      </c>
      <c r="F4318" s="4" t="str">
        <f>IF(B4318=B4317,"",B4318)</f>
        <v>Trollhättan</v>
      </c>
    </row>
    <row r="4319" spans="1:6" ht="15.75" customHeight="1">
      <c r="A4319" s="5" t="s">
        <v>25211</v>
      </c>
      <c r="B4319" s="6" t="s">
        <v>25212</v>
      </c>
      <c r="C4319" s="5" t="s">
        <v>25077</v>
      </c>
      <c r="D4319" s="5" t="s">
        <v>25086</v>
      </c>
      <c r="E4319" s="2">
        <v>2667303</v>
      </c>
      <c r="F4319" s="4" t="str">
        <f>IF(B4319=B4318,"",B4319)</f>
        <v>TrollhÃ¤ttan</v>
      </c>
    </row>
    <row r="4320" spans="1:6" ht="15.75" customHeight="1">
      <c r="A4320" s="5" t="s">
        <v>23201</v>
      </c>
      <c r="B4320" s="6" t="s">
        <v>23201</v>
      </c>
      <c r="C4320" s="5" t="s">
        <v>22070</v>
      </c>
      <c r="D4320" s="5" t="s">
        <v>22360</v>
      </c>
      <c r="E4320" s="2">
        <v>481605</v>
      </c>
      <c r="F4320" s="4" t="str">
        <f>IF(B4320=B4319,"",B4320)</f>
        <v>Troitskaya</v>
      </c>
    </row>
    <row r="4321" spans="1:6" ht="15.75" customHeight="1">
      <c r="A4321" s="5" t="str">
        <f ca="1">IFERROR(__xludf.DUMMYFUNCTION("GOOGLETRANSLATE(B40027,""en"",""pt"")"),"Troitskaya")</f>
        <v>Troitskaya</v>
      </c>
      <c r="B4321" s="17" t="s">
        <v>23201</v>
      </c>
      <c r="C4321" s="17" t="s">
        <v>22070</v>
      </c>
      <c r="D4321" s="17" t="s">
        <v>22360</v>
      </c>
      <c r="E4321" s="10">
        <v>481605</v>
      </c>
      <c r="F4321" s="4" t="str">
        <f>IF(B4321=B4320,"",B4321)</f>
        <v/>
      </c>
    </row>
    <row r="4322" spans="1:6" ht="15.75" customHeight="1">
      <c r="A4322" s="6" t="s">
        <v>23200</v>
      </c>
      <c r="B4322" s="6" t="s">
        <v>23200</v>
      </c>
      <c r="C4322" s="6" t="s">
        <v>22070</v>
      </c>
      <c r="D4322" s="6" t="s">
        <v>22127</v>
      </c>
      <c r="E4322" s="2">
        <v>481608</v>
      </c>
      <c r="F4322" s="4" t="str">
        <f>IF(B4322=B4321,"",B4322)</f>
        <v>Troitsk</v>
      </c>
    </row>
    <row r="4323" spans="1:6" ht="15.75" customHeight="1">
      <c r="A4323" s="6" t="s">
        <v>23200</v>
      </c>
      <c r="B4323" s="6" t="s">
        <v>23200</v>
      </c>
      <c r="C4323" s="6" t="s">
        <v>22070</v>
      </c>
      <c r="D4323" s="6" t="s">
        <v>22166</v>
      </c>
      <c r="E4323" s="2">
        <v>1489246</v>
      </c>
      <c r="F4323" s="4" t="str">
        <f>IF(B4323=B4322,"",B4323)</f>
        <v/>
      </c>
    </row>
    <row r="4324" spans="1:6" ht="15.75" customHeight="1">
      <c r="A4324" s="5" t="str">
        <f ca="1">IFERROR(__xludf.DUMMYFUNCTION("GOOGLETRANSLATE(B40028,""en"",""pt"")"),"Troitsk")</f>
        <v>Troitsk</v>
      </c>
      <c r="B4324" s="17" t="s">
        <v>23200</v>
      </c>
      <c r="C4324" s="17" t="s">
        <v>22070</v>
      </c>
      <c r="D4324" s="17" t="s">
        <v>22127</v>
      </c>
      <c r="E4324" s="10">
        <v>481608</v>
      </c>
      <c r="F4324" s="4" t="str">
        <f>IF(B4324=B4323,"",B4324)</f>
        <v/>
      </c>
    </row>
    <row r="4325" spans="1:6" ht="15.75" customHeight="1">
      <c r="A4325" s="5" t="str">
        <f ca="1">IFERROR(__xludf.DUMMYFUNCTION("GOOGLETRANSLATE(B40735,""en"",""pt"")"),"Troitsk")</f>
        <v>Troitsk</v>
      </c>
      <c r="B4325" s="17" t="s">
        <v>23200</v>
      </c>
      <c r="C4325" s="17" t="s">
        <v>22070</v>
      </c>
      <c r="D4325" s="17" t="s">
        <v>22166</v>
      </c>
      <c r="E4325" s="10">
        <v>1489246</v>
      </c>
      <c r="F4325" s="4" t="str">
        <f>IF(B4325=B4324,"",B4325)</f>
        <v/>
      </c>
    </row>
    <row r="4326" spans="1:6" ht="15.75" customHeight="1">
      <c r="A4326" s="5" t="str">
        <f ca="1">IFERROR(__xludf.DUMMYFUNCTION("GOOGLETRANSLATE(B25599,""en"",""pt"")"),"Trois-Rivières")</f>
        <v>Trois-Rivières</v>
      </c>
      <c r="B4326" s="17" t="s">
        <v>31759</v>
      </c>
      <c r="C4326" s="17" t="s">
        <v>3975</v>
      </c>
      <c r="D4326" s="17" t="s">
        <v>3982</v>
      </c>
      <c r="E4326" s="10">
        <v>6169141</v>
      </c>
      <c r="F4326" s="4" t="str">
        <f>IF(B4326=B4325,"",B4326)</f>
        <v>Trois-Rivières</v>
      </c>
    </row>
    <row r="4327" spans="1:6" ht="15.75" customHeight="1">
      <c r="A4327" s="5" t="s">
        <v>4222</v>
      </c>
      <c r="B4327" s="6" t="s">
        <v>4223</v>
      </c>
      <c r="C4327" s="5" t="s">
        <v>3975</v>
      </c>
      <c r="D4327" s="5" t="s">
        <v>3982</v>
      </c>
      <c r="E4327" s="2">
        <v>6169141</v>
      </c>
      <c r="F4327" s="4" t="str">
        <f>IF(B4327=B4326,"",B4327)</f>
        <v>Trois-RiviÃ¨res</v>
      </c>
    </row>
    <row r="4328" spans="1:6" ht="15.75" customHeight="1">
      <c r="A4328" s="6" t="s">
        <v>9208</v>
      </c>
      <c r="B4328" s="6" t="s">
        <v>9208</v>
      </c>
      <c r="C4328" s="6" t="s">
        <v>8028</v>
      </c>
      <c r="D4328" s="6" t="s">
        <v>8029</v>
      </c>
      <c r="E4328" s="2">
        <v>2821029</v>
      </c>
      <c r="F4328" s="4" t="str">
        <f>IF(B4328=B4327,"",B4328)</f>
        <v>Troisdorf</v>
      </c>
    </row>
    <row r="4329" spans="1:6" ht="15.75" customHeight="1">
      <c r="A4329" s="5" t="str">
        <f ca="1">IFERROR(__xludf.DUMMYFUNCTION("GOOGLETRANSLATE(B27470,""en"",""pt"")"),"Troisdorf")</f>
        <v>Troisdorf</v>
      </c>
      <c r="B4329" s="17" t="s">
        <v>9208</v>
      </c>
      <c r="C4329" s="17" t="s">
        <v>8028</v>
      </c>
      <c r="D4329" s="17" t="s">
        <v>8029</v>
      </c>
      <c r="E4329" s="10">
        <v>2821029</v>
      </c>
      <c r="F4329" s="4" t="str">
        <f>IF(B4329=B4328,"",B4329)</f>
        <v/>
      </c>
    </row>
    <row r="4330" spans="1:6" ht="15.75" customHeight="1">
      <c r="A4330" s="6" t="s">
        <v>23778</v>
      </c>
      <c r="B4330" s="6" t="s">
        <v>23778</v>
      </c>
      <c r="C4330" s="6" t="s">
        <v>23694</v>
      </c>
      <c r="D4330" s="6" t="s">
        <v>23718</v>
      </c>
      <c r="E4330" s="2">
        <v>3057124</v>
      </c>
      <c r="F4330" s="4" t="str">
        <f>IF(B4330=B4329,"",B4330)</f>
        <v>Trnava</v>
      </c>
    </row>
    <row r="4331" spans="1:6" ht="15.75" customHeight="1">
      <c r="A4331" s="5" t="str">
        <f ca="1">IFERROR(__xludf.DUMMYFUNCTION("GOOGLETRANSLATE(B41239,""en"",""pt"")"),"Trnava")</f>
        <v>Trnava</v>
      </c>
      <c r="B4331" s="17" t="s">
        <v>23778</v>
      </c>
      <c r="C4331" s="17" t="s">
        <v>23694</v>
      </c>
      <c r="D4331" s="17" t="s">
        <v>35680</v>
      </c>
      <c r="E4331" s="10">
        <v>3057124</v>
      </c>
      <c r="F4331" s="4" t="str">
        <f>IF(B4331=B4330,"",B4331)</f>
        <v/>
      </c>
    </row>
    <row r="4332" spans="1:6" ht="15.75" customHeight="1">
      <c r="A4332" s="5" t="str">
        <f ca="1">IFERROR(__xludf.DUMMYFUNCTION("GOOGLETRANSLATE(B30957,""en"",""pt"")"),"Trípoli")</f>
        <v>Trípoli</v>
      </c>
      <c r="B4332" s="17" t="s">
        <v>17031</v>
      </c>
      <c r="C4332" s="17" t="s">
        <v>9441</v>
      </c>
      <c r="D4332" s="17" t="s">
        <v>9453</v>
      </c>
      <c r="E4332" s="10">
        <v>252601</v>
      </c>
      <c r="F4332" s="4" t="str">
        <f>IF(B4332=B4331,"",B4332)</f>
        <v>Trípoli</v>
      </c>
    </row>
    <row r="4333" spans="1:6" ht="15.75" customHeight="1">
      <c r="A4333" s="6" t="s">
        <v>17031</v>
      </c>
      <c r="B4333" s="6" t="s">
        <v>17032</v>
      </c>
      <c r="C4333" s="6" t="s">
        <v>17008</v>
      </c>
      <c r="D4333" s="6" t="s">
        <v>17012</v>
      </c>
      <c r="E4333" s="2">
        <v>266826</v>
      </c>
      <c r="F4333" s="4" t="str">
        <f>IF(B4333=B4332,"",B4333)</f>
        <v>Tripoli</v>
      </c>
    </row>
    <row r="4334" spans="1:6" ht="15.75" customHeight="1">
      <c r="A4334" s="6" t="s">
        <v>17031</v>
      </c>
      <c r="B4334" s="6" t="s">
        <v>17032</v>
      </c>
      <c r="C4334" s="6" t="s">
        <v>17074</v>
      </c>
      <c r="D4334" s="6" t="s">
        <v>17032</v>
      </c>
      <c r="E4334" s="2">
        <v>2210247</v>
      </c>
      <c r="F4334" s="4" t="str">
        <f>IF(B4334=B4333,"",B4334)</f>
        <v/>
      </c>
    </row>
    <row r="4335" spans="1:6" ht="15.75" customHeight="1">
      <c r="A4335" s="5" t="str">
        <f ca="1">IFERROR(__xludf.DUMMYFUNCTION("GOOGLETRANSLATE(B36276,""en"",""pt"")"),"Trípoli")</f>
        <v>Trípoli</v>
      </c>
      <c r="B4335" s="17" t="s">
        <v>17032</v>
      </c>
      <c r="C4335" s="17" t="s">
        <v>17008</v>
      </c>
      <c r="D4335" s="17" t="s">
        <v>17012</v>
      </c>
      <c r="E4335" s="10">
        <v>266826</v>
      </c>
      <c r="F4335" s="4" t="str">
        <f>IF(B4335=B4334,"",B4335)</f>
        <v/>
      </c>
    </row>
    <row r="4336" spans="1:6" ht="15.75" customHeight="1">
      <c r="A4336" s="5" t="str">
        <f ca="1">IFERROR(__xludf.DUMMYFUNCTION("GOOGLETRANSLATE(B36431,""en"",""pt"")"),"Trípoli")</f>
        <v>Trípoli</v>
      </c>
      <c r="B4336" s="17" t="s">
        <v>17032</v>
      </c>
      <c r="C4336" s="17" t="s">
        <v>17074</v>
      </c>
      <c r="D4336" s="17" t="s">
        <v>17032</v>
      </c>
      <c r="E4336" s="10">
        <v>2210247</v>
      </c>
      <c r="F4336" s="4" t="str">
        <f>IF(B4336=B4335,"",B4336)</f>
        <v/>
      </c>
    </row>
    <row r="4337" spans="1:6" ht="15.75" customHeight="1">
      <c r="A4337" s="6" t="s">
        <v>17698</v>
      </c>
      <c r="B4337" s="6" t="s">
        <v>17698</v>
      </c>
      <c r="C4337" s="6" t="s">
        <v>17678</v>
      </c>
      <c r="D4337" s="6" t="s">
        <v>17688</v>
      </c>
      <c r="E4337" s="2">
        <v>933959</v>
      </c>
      <c r="F4337" s="4" t="str">
        <f>IF(B4337=B4336,"",B4337)</f>
        <v>Triolet</v>
      </c>
    </row>
    <row r="4338" spans="1:6" ht="15.75" customHeight="1">
      <c r="A4338" s="5" t="str">
        <f ca="1">IFERROR(__xludf.DUMMYFUNCTION("GOOGLETRANSLATE(B36813,""en"",""pt"")"),"Triolet")</f>
        <v>Triolet</v>
      </c>
      <c r="B4338" s="17" t="s">
        <v>17698</v>
      </c>
      <c r="C4338" s="17" t="s">
        <v>17678</v>
      </c>
      <c r="D4338" s="17" t="s">
        <v>17688</v>
      </c>
      <c r="E4338" s="10">
        <v>933959</v>
      </c>
      <c r="F4338" s="4" t="str">
        <f>IF(B4338=B4337,"",B4338)</f>
        <v/>
      </c>
    </row>
    <row r="4339" spans="1:6" ht="15.75" customHeight="1">
      <c r="A4339" s="6" t="s">
        <v>1832</v>
      </c>
      <c r="B4339" s="6" t="s">
        <v>1832</v>
      </c>
      <c r="C4339" s="6" t="s">
        <v>1806</v>
      </c>
      <c r="D4339" s="6" t="s">
        <v>1813</v>
      </c>
      <c r="E4339" s="2">
        <v>3902377</v>
      </c>
      <c r="F4339" s="4" t="str">
        <f>IF(B4339=B4338,"",B4339)</f>
        <v>Trinidad</v>
      </c>
    </row>
    <row r="4340" spans="1:6" ht="15.75" customHeight="1">
      <c r="A4340" s="6" t="s">
        <v>1832</v>
      </c>
      <c r="B4340" s="6" t="s">
        <v>1832</v>
      </c>
      <c r="C4340" s="6" t="s">
        <v>5764</v>
      </c>
      <c r="D4340" s="6" t="s">
        <v>5799</v>
      </c>
      <c r="E4340" s="2">
        <v>3534915</v>
      </c>
      <c r="F4340" s="4" t="str">
        <f>IF(B4340=B4339,"",B4340)</f>
        <v/>
      </c>
    </row>
    <row r="4341" spans="1:6" ht="15.75" customHeight="1">
      <c r="A4341" s="6" t="s">
        <v>1832</v>
      </c>
      <c r="B4341" s="6" t="s">
        <v>1832</v>
      </c>
      <c r="C4341" s="6" t="s">
        <v>30472</v>
      </c>
      <c r="D4341" s="6" t="s">
        <v>9737</v>
      </c>
      <c r="E4341" s="2">
        <v>3439748</v>
      </c>
      <c r="F4341" s="4" t="str">
        <f>IF(B4341=B4340,"",B4341)</f>
        <v/>
      </c>
    </row>
    <row r="4342" spans="1:6" ht="15.75" customHeight="1">
      <c r="A4342" s="6" t="s">
        <v>1832</v>
      </c>
      <c r="B4342" s="6" t="s">
        <v>1832</v>
      </c>
      <c r="C4342" s="6" t="s">
        <v>30472</v>
      </c>
      <c r="D4342" s="6" t="s">
        <v>9737</v>
      </c>
      <c r="E4342" s="2">
        <v>3439749</v>
      </c>
      <c r="F4342" s="4" t="str">
        <f>IF(B4342=B4341,"",B4342)</f>
        <v/>
      </c>
    </row>
    <row r="4343" spans="1:6" ht="15.75" customHeight="1">
      <c r="A4343" s="5" t="str">
        <f ca="1">IFERROR(__xludf.DUMMYFUNCTION("GOOGLETRANSLATE(B24121,""en"",""pt"")"),"Trinidad")</f>
        <v>Trinidad</v>
      </c>
      <c r="B4343" s="17" t="s">
        <v>1832</v>
      </c>
      <c r="C4343" s="17" t="s">
        <v>1806</v>
      </c>
      <c r="D4343" s="17" t="s">
        <v>1813</v>
      </c>
      <c r="E4343" s="10">
        <v>3902377</v>
      </c>
      <c r="F4343" s="4" t="str">
        <f>IF(B4343=B4342,"",B4343)</f>
        <v/>
      </c>
    </row>
    <row r="4344" spans="1:6" ht="15.75" customHeight="1">
      <c r="A4344" s="5" t="str">
        <f ca="1">IFERROR(__xludf.DUMMYFUNCTION("GOOGLETRANSLATE(B27110,""en"",""pt"")"),"Trinidad")</f>
        <v>Trinidad</v>
      </c>
      <c r="B4344" s="17" t="s">
        <v>1832</v>
      </c>
      <c r="C4344" s="17" t="s">
        <v>5764</v>
      </c>
      <c r="D4344" s="17" t="s">
        <v>31901</v>
      </c>
      <c r="E4344" s="10">
        <v>3534915</v>
      </c>
      <c r="F4344" s="4" t="str">
        <f>IF(B4344=B4343,"",B4344)</f>
        <v/>
      </c>
    </row>
    <row r="4345" spans="1:6" ht="15.75" customHeight="1">
      <c r="A4345" s="5" t="str">
        <f ca="1">IFERROR(__xludf.DUMMYFUNCTION("GOOGLETRANSLATE(B45470,""en"",""pt"")"),"Trinidad")</f>
        <v>Trinidad</v>
      </c>
      <c r="B4345" s="17" t="s">
        <v>1832</v>
      </c>
      <c r="C4345" s="17" t="s">
        <v>30472</v>
      </c>
      <c r="D4345" s="17" t="s">
        <v>9737</v>
      </c>
      <c r="E4345" s="10">
        <v>3439748</v>
      </c>
      <c r="F4345" s="4" t="str">
        <f>IF(B4345=B4344,"",B4345)</f>
        <v/>
      </c>
    </row>
    <row r="4346" spans="1:6" ht="15.75" customHeight="1">
      <c r="A4346" s="5" t="str">
        <f ca="1">IFERROR(__xludf.DUMMYFUNCTION("GOOGLETRANSLATE(B45471,""en"",""pt"")"),"Trinidad")</f>
        <v>Trinidad</v>
      </c>
      <c r="B4346" s="17" t="s">
        <v>1832</v>
      </c>
      <c r="C4346" s="17" t="s">
        <v>30472</v>
      </c>
      <c r="D4346" s="17" t="s">
        <v>9737</v>
      </c>
      <c r="E4346" s="10">
        <v>3439749</v>
      </c>
      <c r="F4346" s="4" t="str">
        <f>IF(B4346=B4345,"",B4346)</f>
        <v/>
      </c>
    </row>
    <row r="4347" spans="1:6" ht="15.75" customHeight="1">
      <c r="A4347" s="5" t="str">
        <f ca="1">IFERROR(__xludf.DUMMYFUNCTION("GOOGLETRANSLATE(B27257,""en"",""pt"")"),"Třinec")</f>
        <v>Třinec</v>
      </c>
      <c r="B4347" s="17" t="s">
        <v>31951</v>
      </c>
      <c r="C4347" s="17" t="s">
        <v>5947</v>
      </c>
      <c r="D4347" s="17" t="s">
        <v>31952</v>
      </c>
      <c r="E4347" s="10">
        <v>3064000</v>
      </c>
      <c r="F4347" s="4" t="str">
        <f>IF(B4347=B4346,"",B4347)</f>
        <v>Třinec</v>
      </c>
    </row>
    <row r="4348" spans="1:6" ht="15.75" customHeight="1">
      <c r="A4348" s="6" t="s">
        <v>3588</v>
      </c>
      <c r="B4348" s="6" t="s">
        <v>3588</v>
      </c>
      <c r="C4348" s="6" t="s">
        <v>1905</v>
      </c>
      <c r="D4348" s="6" t="s">
        <v>1909</v>
      </c>
      <c r="E4348" s="2">
        <v>3386042</v>
      </c>
      <c r="F4348" s="4" t="str">
        <f>IF(B4348=B4347,"",B4348)</f>
        <v>Trindade</v>
      </c>
    </row>
    <row r="4349" spans="1:6" ht="15.75" customHeight="1">
      <c r="A4349" s="6" t="s">
        <v>3588</v>
      </c>
      <c r="B4349" s="6" t="s">
        <v>3588</v>
      </c>
      <c r="C4349" s="6" t="s">
        <v>1905</v>
      </c>
      <c r="D4349" s="6" t="s">
        <v>1969</v>
      </c>
      <c r="E4349" s="2">
        <v>3446038</v>
      </c>
      <c r="F4349" s="4" t="str">
        <f>IF(B4349=B4348,"",B4349)</f>
        <v/>
      </c>
    </row>
    <row r="4350" spans="1:6" ht="15.75" customHeight="1">
      <c r="A4350" s="6" t="s">
        <v>3588</v>
      </c>
      <c r="B4350" s="6" t="s">
        <v>3588</v>
      </c>
      <c r="C4350" s="6" t="s">
        <v>1905</v>
      </c>
      <c r="D4350" s="6" t="s">
        <v>2020</v>
      </c>
      <c r="E4350" s="2">
        <v>7874479</v>
      </c>
      <c r="F4350" s="4" t="str">
        <f>IF(B4350=B4349,"",B4350)</f>
        <v/>
      </c>
    </row>
    <row r="4351" spans="1:6" ht="15.75" customHeight="1">
      <c r="A4351" s="5" t="str">
        <f ca="1">IFERROR(__xludf.DUMMYFUNCTION("GOOGLETRANSLATE(B24160,""en"",""pt"")"),"Trindade")</f>
        <v>Trindade</v>
      </c>
      <c r="B4351" s="17" t="s">
        <v>3588</v>
      </c>
      <c r="C4351" s="17" t="s">
        <v>1905</v>
      </c>
      <c r="D4351" s="17" t="s">
        <v>1909</v>
      </c>
      <c r="E4351" s="10">
        <v>3386042</v>
      </c>
      <c r="F4351" s="4" t="str">
        <f>IF(B4351=B4350,"",B4351)</f>
        <v/>
      </c>
    </row>
    <row r="4352" spans="1:6" ht="15.75" customHeight="1">
      <c r="A4352" s="5" t="str">
        <f ca="1">IFERROR(__xludf.DUMMYFUNCTION("GOOGLETRANSLATE(B24476,""en"",""pt"")"),"Trindade")</f>
        <v>Trindade</v>
      </c>
      <c r="B4352" s="17" t="s">
        <v>3588</v>
      </c>
      <c r="C4352" s="17" t="s">
        <v>1905</v>
      </c>
      <c r="D4352" s="17" t="s">
        <v>31436</v>
      </c>
      <c r="E4352" s="10">
        <v>3446038</v>
      </c>
      <c r="F4352" s="4" t="str">
        <f>IF(B4352=B4351,"",B4352)</f>
        <v/>
      </c>
    </row>
    <row r="4353" spans="1:6" ht="15.75" customHeight="1">
      <c r="A4353" s="5" t="str">
        <f ca="1">IFERROR(__xludf.DUMMYFUNCTION("GOOGLETRANSLATE(B25341,""en"",""pt"")"),"Trindade")</f>
        <v>Trindade</v>
      </c>
      <c r="B4353" s="17" t="s">
        <v>3588</v>
      </c>
      <c r="C4353" s="17" t="s">
        <v>1905</v>
      </c>
      <c r="D4353" s="17" t="s">
        <v>2020</v>
      </c>
      <c r="E4353" s="10">
        <v>7874479</v>
      </c>
      <c r="F4353" s="4" t="str">
        <f>IF(B4353=B4352,"",B4353)</f>
        <v/>
      </c>
    </row>
    <row r="4354" spans="1:6" ht="15.75" customHeight="1">
      <c r="A4354" s="5" t="s">
        <v>24978</v>
      </c>
      <c r="B4354" s="6" t="s">
        <v>24978</v>
      </c>
      <c r="C4354" s="5" t="s">
        <v>24924</v>
      </c>
      <c r="D4354" s="5" t="s">
        <v>6128</v>
      </c>
      <c r="E4354" s="2">
        <v>1226260</v>
      </c>
      <c r="F4354" s="4" t="str">
        <f>IF(B4354=B4353,"",B4354)</f>
        <v>Trincomalee</v>
      </c>
    </row>
    <row r="4355" spans="1:6" ht="15.75" customHeight="1">
      <c r="A4355" s="5" t="str">
        <f ca="1">IFERROR(__xludf.DUMMYFUNCTION("GOOGLETRANSLATE(B36295,""en"",""pt"")"),"Trincomalee")</f>
        <v>Trincomalee</v>
      </c>
      <c r="B4355" s="17" t="s">
        <v>24978</v>
      </c>
      <c r="C4355" s="17" t="s">
        <v>24924</v>
      </c>
      <c r="D4355" s="17" t="s">
        <v>6128</v>
      </c>
      <c r="E4355" s="10">
        <v>1226260</v>
      </c>
      <c r="F4355" s="4" t="str">
        <f>IF(B4355=B4354,"",B4355)</f>
        <v/>
      </c>
    </row>
    <row r="4356" spans="1:6" ht="15.75" customHeight="1">
      <c r="A4356" s="5" t="str">
        <f ca="1">IFERROR(__xludf.DUMMYFUNCTION("GOOGLETRANSLATE(B30958,""en"",""pt"")"),"Tríkala")</f>
        <v>Tríkala</v>
      </c>
      <c r="B4356" s="17" t="s">
        <v>32671</v>
      </c>
      <c r="C4356" s="17" t="s">
        <v>9441</v>
      </c>
      <c r="D4356" s="17" t="s">
        <v>9542</v>
      </c>
      <c r="E4356" s="10">
        <v>252664</v>
      </c>
      <c r="F4356" s="4" t="str">
        <f>IF(B4356=B4355,"",B4356)</f>
        <v>Tríkala</v>
      </c>
    </row>
    <row r="4357" spans="1:6" ht="15.75" customHeight="1">
      <c r="A4357" s="6" t="s">
        <v>15548</v>
      </c>
      <c r="B4357" s="6" t="s">
        <v>15548</v>
      </c>
      <c r="C4357" s="6" t="s">
        <v>14891</v>
      </c>
      <c r="D4357" s="6" t="s">
        <v>14908</v>
      </c>
      <c r="E4357" s="2">
        <v>3165178</v>
      </c>
      <c r="F4357" s="4" t="str">
        <f>IF(B4357=B4356,"",B4357)</f>
        <v>Triggiano</v>
      </c>
    </row>
    <row r="4358" spans="1:6" ht="15.75" customHeight="1">
      <c r="A4358" s="5" t="str">
        <f ca="1">IFERROR(__xludf.DUMMYFUNCTION("GOOGLETRANSLATE(B34649,""en"",""pt"")"),"Triggiano")</f>
        <v>Triggiano</v>
      </c>
      <c r="B4358" s="17" t="s">
        <v>15548</v>
      </c>
      <c r="C4358" s="17" t="s">
        <v>14891</v>
      </c>
      <c r="D4358" s="17" t="s">
        <v>14908</v>
      </c>
      <c r="E4358" s="10">
        <v>3165178</v>
      </c>
      <c r="F4358" s="4" t="str">
        <f>IF(B4358=B4357,"",B4358)</f>
        <v/>
      </c>
    </row>
    <row r="4359" spans="1:6" ht="15.75" customHeight="1">
      <c r="A4359" s="6" t="s">
        <v>15547</v>
      </c>
      <c r="B4359" s="6" t="s">
        <v>15547</v>
      </c>
      <c r="C4359" s="6" t="s">
        <v>14891</v>
      </c>
      <c r="D4359" s="6" t="s">
        <v>15105</v>
      </c>
      <c r="E4359" s="2">
        <v>3165185</v>
      </c>
      <c r="F4359" s="4" t="str">
        <f>IF(B4359=B4358,"",B4359)</f>
        <v>Trieste</v>
      </c>
    </row>
    <row r="4360" spans="1:6" ht="15.75" customHeight="1">
      <c r="A4360" s="5" t="str">
        <f ca="1">IFERROR(__xludf.DUMMYFUNCTION("GOOGLETRANSLATE(B34650,""en"",""pt"")"),"Trieste")</f>
        <v>Trieste</v>
      </c>
      <c r="B4360" s="17" t="s">
        <v>15547</v>
      </c>
      <c r="C4360" s="17" t="s">
        <v>14891</v>
      </c>
      <c r="D4360" s="17" t="s">
        <v>15105</v>
      </c>
      <c r="E4360" s="10">
        <v>3165185</v>
      </c>
      <c r="F4360" s="4" t="str">
        <f>IF(B4360=B4359,"",B4360)</f>
        <v/>
      </c>
    </row>
    <row r="4361" spans="1:6" ht="15.75" customHeight="1">
      <c r="A4361" s="6" t="s">
        <v>9207</v>
      </c>
      <c r="B4361" s="6" t="s">
        <v>9207</v>
      </c>
      <c r="C4361" s="6" t="s">
        <v>8028</v>
      </c>
      <c r="D4361" s="6" t="s">
        <v>8065</v>
      </c>
      <c r="E4361" s="2">
        <v>2821164</v>
      </c>
      <c r="F4361" s="4" t="str">
        <f>IF(B4361=B4360,"",B4361)</f>
        <v>Trier</v>
      </c>
    </row>
    <row r="4362" spans="1:6" ht="15.75" customHeight="1">
      <c r="A4362" s="5" t="str">
        <f ca="1">IFERROR(__xludf.DUMMYFUNCTION("GOOGLETRANSLATE(B27471,""en"",""pt"")"),"Trier")</f>
        <v>Trier</v>
      </c>
      <c r="B4362" s="17" t="s">
        <v>9207</v>
      </c>
      <c r="C4362" s="17" t="s">
        <v>8028</v>
      </c>
      <c r="D4362" s="17" t="s">
        <v>8065</v>
      </c>
      <c r="E4362" s="10">
        <v>2821164</v>
      </c>
      <c r="F4362" s="4" t="str">
        <f>IF(B4362=B4361,"",B4362)</f>
        <v/>
      </c>
    </row>
    <row r="4363" spans="1:6" ht="15.75" customHeight="1">
      <c r="A4363" s="5" t="str">
        <f ca="1">IFERROR(__xludf.DUMMYFUNCTION("GOOGLETRANSLATE(B31965,""en"",""pt"")"),"Trichūr")</f>
        <v>Trichūr</v>
      </c>
      <c r="B4363" s="17" t="s">
        <v>32990</v>
      </c>
      <c r="C4363" s="17" t="s">
        <v>10178</v>
      </c>
      <c r="D4363" s="17" t="s">
        <v>10246</v>
      </c>
      <c r="E4363" s="10">
        <v>1254187</v>
      </c>
      <c r="F4363" s="4" t="str">
        <f>IF(B4363=B4362,"",B4363)</f>
        <v>Trichūr</v>
      </c>
    </row>
    <row r="4364" spans="1:6" ht="15.75" customHeight="1">
      <c r="A4364" s="6" t="s">
        <v>13608</v>
      </c>
      <c r="B4364" s="6" t="s">
        <v>13609</v>
      </c>
      <c r="C4364" s="6" t="s">
        <v>10178</v>
      </c>
      <c r="D4364" s="6" t="s">
        <v>10246</v>
      </c>
      <c r="E4364" s="2">
        <v>1254187</v>
      </c>
      <c r="F4364" s="4" t="str">
        <f>IF(B4364=B4363,"",B4364)</f>
        <v>TrichÅ«r</v>
      </c>
    </row>
    <row r="4365" spans="1:6" ht="15.75" customHeight="1">
      <c r="A4365" s="5" t="s">
        <v>15545</v>
      </c>
      <c r="B4365" s="6" t="s">
        <v>15546</v>
      </c>
      <c r="C4365" s="5" t="s">
        <v>14891</v>
      </c>
      <c r="D4365" s="5" t="s">
        <v>14894</v>
      </c>
      <c r="E4365" s="2">
        <v>3165198</v>
      </c>
      <c r="F4365" s="4" t="str">
        <f>IF(B4365=B4364,"",B4365)</f>
        <v>Trezzano sul Naviglio</v>
      </c>
    </row>
    <row r="4366" spans="1:6" ht="15.75" customHeight="1">
      <c r="A4366" s="5" t="str">
        <f ca="1">IFERROR(__xludf.DUMMYFUNCTION("GOOGLETRANSLATE(B34651,""en"",""pt"")"),"Trezzano Sul Naviglio")</f>
        <v>Trezzano Sul Naviglio</v>
      </c>
      <c r="B4366" s="17" t="s">
        <v>15546</v>
      </c>
      <c r="C4366" s="17" t="s">
        <v>14891</v>
      </c>
      <c r="D4366" s="17" t="s">
        <v>14894</v>
      </c>
      <c r="E4366" s="10">
        <v>3165198</v>
      </c>
      <c r="F4366" s="4" t="str">
        <f>IF(B4366=B4365,"",B4366)</f>
        <v/>
      </c>
    </row>
    <row r="4367" spans="1:6" ht="15.75" customHeight="1">
      <c r="A4367" s="6" t="s">
        <v>15544</v>
      </c>
      <c r="B4367" s="6" t="s">
        <v>15544</v>
      </c>
      <c r="C4367" s="6" t="s">
        <v>14891</v>
      </c>
      <c r="D4367" s="6" t="s">
        <v>14892</v>
      </c>
      <c r="E4367" s="2">
        <v>3165201</v>
      </c>
      <c r="F4367" s="4" t="str">
        <f>IF(B4367=B4366,"",B4367)</f>
        <v>Treviso</v>
      </c>
    </row>
    <row r="4368" spans="1:6" ht="15.75" customHeight="1">
      <c r="A4368" s="5" t="str">
        <f ca="1">IFERROR(__xludf.DUMMYFUNCTION("GOOGLETRANSLATE(B34652,""en"",""pt"")"),"Treviso")</f>
        <v>Treviso</v>
      </c>
      <c r="B4368" s="17" t="s">
        <v>15544</v>
      </c>
      <c r="C4368" s="17" t="s">
        <v>14891</v>
      </c>
      <c r="D4368" s="17" t="s">
        <v>14892</v>
      </c>
      <c r="E4368" s="10">
        <v>3165201</v>
      </c>
      <c r="F4368" s="4" t="str">
        <f>IF(B4368=B4367,"",B4368)</f>
        <v/>
      </c>
    </row>
    <row r="4369" spans="1:6" ht="15.75" customHeight="1">
      <c r="A4369" s="6" t="s">
        <v>15543</v>
      </c>
      <c r="B4369" s="6" t="s">
        <v>15543</v>
      </c>
      <c r="C4369" s="6" t="s">
        <v>14891</v>
      </c>
      <c r="D4369" s="6" t="s">
        <v>14894</v>
      </c>
      <c r="E4369" s="2">
        <v>3165207</v>
      </c>
      <c r="F4369" s="4" t="str">
        <f>IF(B4369=B4368,"",B4369)</f>
        <v>Treviglio</v>
      </c>
    </row>
    <row r="4370" spans="1:6" ht="15.75" customHeight="1">
      <c r="A4370" s="5" t="str">
        <f ca="1">IFERROR(__xludf.DUMMYFUNCTION("GOOGLETRANSLATE(B34653,""en"",""pt"")"),"Treviglio")</f>
        <v>Treviglio</v>
      </c>
      <c r="B4370" s="17" t="s">
        <v>15543</v>
      </c>
      <c r="C4370" s="17" t="s">
        <v>14891</v>
      </c>
      <c r="D4370" s="17" t="s">
        <v>14894</v>
      </c>
      <c r="E4370" s="10">
        <v>3165207</v>
      </c>
      <c r="F4370" s="4" t="str">
        <f>IF(B4370=B4369,"",B4370)</f>
        <v/>
      </c>
    </row>
    <row r="4371" spans="1:6" ht="15.75" customHeight="1">
      <c r="A4371" s="5" t="str">
        <f ca="1">IFERROR(__xludf.DUMMYFUNCTION("GOOGLETRANSLATE(B24477,""en"",""pt"")"),"Três Rios")</f>
        <v>Três Rios</v>
      </c>
      <c r="B4371" s="17" t="s">
        <v>31442</v>
      </c>
      <c r="C4371" s="17" t="s">
        <v>1905</v>
      </c>
      <c r="D4371" s="17" t="s">
        <v>1978</v>
      </c>
      <c r="E4371" s="10">
        <v>3446065</v>
      </c>
      <c r="F4371" s="4" t="str">
        <f>IF(B4371=B4370,"",B4371)</f>
        <v>Três Rios</v>
      </c>
    </row>
    <row r="4372" spans="1:6" ht="15.75" customHeight="1">
      <c r="A4372" s="5" t="str">
        <f ca="1">IFERROR(__xludf.DUMMYFUNCTION("GOOGLETRANSLATE(B24478,""en"",""pt"")"),"Três Pontas")</f>
        <v>Três Pontas</v>
      </c>
      <c r="B4372" s="17" t="s">
        <v>31443</v>
      </c>
      <c r="C4372" s="17" t="s">
        <v>1905</v>
      </c>
      <c r="D4372" s="17" t="s">
        <v>1917</v>
      </c>
      <c r="E4372" s="10">
        <v>3446077</v>
      </c>
      <c r="F4372" s="4" t="str">
        <f>IF(B4372=B4371,"",B4372)</f>
        <v>Três Pontas</v>
      </c>
    </row>
    <row r="4373" spans="1:6" ht="15.75" customHeight="1">
      <c r="A4373" s="5" t="str">
        <f ca="1">IFERROR(__xludf.DUMMYFUNCTION("GOOGLETRANSLATE(B24479,""en"",""pt"")"),"Três passos")</f>
        <v>Três passos</v>
      </c>
      <c r="B4373" s="17" t="s">
        <v>31444</v>
      </c>
      <c r="C4373" s="17" t="s">
        <v>1905</v>
      </c>
      <c r="D4373" s="17" t="s">
        <v>1951</v>
      </c>
      <c r="E4373" s="10">
        <v>3446087</v>
      </c>
      <c r="F4373" s="4" t="str">
        <f>IF(B4373=B4372,"",B4373)</f>
        <v>Três Passos</v>
      </c>
    </row>
    <row r="4374" spans="1:6" ht="15.75" customHeight="1">
      <c r="A4374" s="5" t="str">
        <f ca="1">IFERROR(__xludf.DUMMYFUNCTION("GOOGLETRANSLATE(B24480,""en"",""pt"")"),"Três Lagoas")</f>
        <v>Três Lagoas</v>
      </c>
      <c r="B4374" s="17" t="s">
        <v>31445</v>
      </c>
      <c r="C4374" s="17" t="s">
        <v>1905</v>
      </c>
      <c r="D4374" s="17" t="s">
        <v>1973</v>
      </c>
      <c r="E4374" s="10">
        <v>3446098</v>
      </c>
      <c r="F4374" s="4" t="str">
        <f>IF(B4374=B4373,"",B4374)</f>
        <v>Três Lagoas</v>
      </c>
    </row>
    <row r="4375" spans="1:6" ht="15.75" customHeight="1">
      <c r="A4375" s="5" t="s">
        <v>819</v>
      </c>
      <c r="B4375" s="6" t="s">
        <v>819</v>
      </c>
      <c r="C4375" s="5" t="s">
        <v>558</v>
      </c>
      <c r="D4375" s="5" t="s">
        <v>586</v>
      </c>
      <c r="E4375" s="2">
        <v>3833794</v>
      </c>
      <c r="F4375" s="4" t="str">
        <f>IF(B4375=B4374,"",B4375)</f>
        <v>Tres Isletas</v>
      </c>
    </row>
    <row r="4376" spans="1:6" ht="15.75" customHeight="1">
      <c r="A4376" s="5" t="str">
        <f ca="1">IFERROR(__xludf.DUMMYFUNCTION("GOOGLETRANSLATE(B23250,""en"",""pt"")"),"Tres Isletas")</f>
        <v>Tres Isletas</v>
      </c>
      <c r="B4376" s="17" t="s">
        <v>819</v>
      </c>
      <c r="C4376" s="17" t="s">
        <v>558</v>
      </c>
      <c r="D4376" s="17" t="s">
        <v>586</v>
      </c>
      <c r="E4376" s="10">
        <v>3833794</v>
      </c>
      <c r="F4376" s="4" t="str">
        <f>IF(B4376=B4375,"",B4376)</f>
        <v/>
      </c>
    </row>
    <row r="4377" spans="1:6" ht="15.75" customHeight="1">
      <c r="A4377" s="5" t="s">
        <v>18376</v>
      </c>
      <c r="B4377" s="6" t="s">
        <v>18376</v>
      </c>
      <c r="C4377" s="5" t="s">
        <v>17707</v>
      </c>
      <c r="D4377" s="5" t="s">
        <v>17780</v>
      </c>
      <c r="E4377" s="2">
        <v>8858112</v>
      </c>
      <c r="F4377" s="4" t="str">
        <f>IF(B4377=B4376,"",B4377)</f>
        <v>Tres de Mayo</v>
      </c>
    </row>
    <row r="4378" spans="1:6" ht="15.75" customHeight="1">
      <c r="A4378" s="5" t="str">
        <f ca="1">IFERROR(__xludf.DUMMYFUNCTION("GOOGLETRANSLATE(B37389,""en"",""pt"")"),"Tres de Mayo")</f>
        <v>Tres de Mayo</v>
      </c>
      <c r="B4378" s="17" t="s">
        <v>18376</v>
      </c>
      <c r="C4378" s="17" t="s">
        <v>17707</v>
      </c>
      <c r="D4378" s="17" t="s">
        <v>17780</v>
      </c>
      <c r="E4378" s="10">
        <v>8858112</v>
      </c>
      <c r="F4378" s="4" t="str">
        <f>IF(B4378=B4377,"",B4378)</f>
        <v/>
      </c>
    </row>
    <row r="4379" spans="1:6" ht="15.75" customHeight="1">
      <c r="A4379" s="5" t="str">
        <f ca="1">IFERROR(__xludf.DUMMYFUNCTION("GOOGLETRANSLATE(B24481,""en"",""pt"")"),"Três de Maio")</f>
        <v>Três de Maio</v>
      </c>
      <c r="B4379" s="17" t="s">
        <v>31446</v>
      </c>
      <c r="C4379" s="17" t="s">
        <v>1905</v>
      </c>
      <c r="D4379" s="17" t="s">
        <v>1951</v>
      </c>
      <c r="E4379" s="10">
        <v>3446130</v>
      </c>
      <c r="F4379" s="4" t="str">
        <f>IF(B4379=B4378,"",B4379)</f>
        <v>Três de Maio</v>
      </c>
    </row>
    <row r="4380" spans="1:6" ht="15.75" customHeight="1">
      <c r="A4380" s="5" t="str">
        <f ca="1">IFERROR(__xludf.DUMMYFUNCTION("GOOGLETRANSLATE(B24482,""en"",""pt"")"),"Três Coroas")</f>
        <v>Três Coroas</v>
      </c>
      <c r="B4380" s="17" t="s">
        <v>31447</v>
      </c>
      <c r="C4380" s="17" t="s">
        <v>1905</v>
      </c>
      <c r="D4380" s="17" t="s">
        <v>1951</v>
      </c>
      <c r="E4380" s="10">
        <v>3446137</v>
      </c>
      <c r="F4380" s="4" t="str">
        <f>IF(B4380=B4379,"",B4380)</f>
        <v>Três Coroas</v>
      </c>
    </row>
    <row r="4381" spans="1:6" ht="15.75" customHeight="1">
      <c r="A4381" s="5" t="str">
        <f ca="1">IFERROR(__xludf.DUMMYFUNCTION("GOOGLETRANSLATE(B24483,""en"",""pt"")"),"Três Corações")</f>
        <v>Três Corações</v>
      </c>
      <c r="B4381" s="17" t="s">
        <v>31448</v>
      </c>
      <c r="C4381" s="17" t="s">
        <v>1905</v>
      </c>
      <c r="D4381" s="17" t="s">
        <v>1917</v>
      </c>
      <c r="E4381" s="10">
        <v>3446138</v>
      </c>
      <c r="F4381" s="4" t="str">
        <f>IF(B4381=B4380,"",B4381)</f>
        <v>Três Corações</v>
      </c>
    </row>
    <row r="4382" spans="1:6" ht="15.75" customHeight="1">
      <c r="A4382" s="5" t="s">
        <v>24866</v>
      </c>
      <c r="B4382" s="6" t="s">
        <v>24867</v>
      </c>
      <c r="C4382" s="5" t="s">
        <v>24200</v>
      </c>
      <c r="D4382" s="5" t="s">
        <v>5513</v>
      </c>
      <c r="E4382" s="2">
        <v>7577022</v>
      </c>
      <c r="F4382" s="4" t="str">
        <f>IF(B4382=B4381,"",B4382)</f>
        <v>Tres Cantos</v>
      </c>
    </row>
    <row r="4383" spans="1:6" ht="15.75" customHeight="1">
      <c r="A4383" s="5" t="str">
        <f ca="1">IFERROR(__xludf.DUMMYFUNCTION("GOOGLETRANSLATE(B29511,""en"",""pt"")"),"Tres Canto")</f>
        <v>Tres Canto</v>
      </c>
      <c r="B4383" s="17" t="s">
        <v>24867</v>
      </c>
      <c r="C4383" s="17" t="s">
        <v>24200</v>
      </c>
      <c r="D4383" s="17" t="s">
        <v>5513</v>
      </c>
      <c r="E4383" s="10">
        <v>7577022</v>
      </c>
      <c r="F4383" s="4" t="str">
        <f>IF(B4383=B4382,"",B4383)</f>
        <v/>
      </c>
    </row>
    <row r="4384" spans="1:6" ht="15.75" customHeight="1">
      <c r="A4384" s="5" t="s">
        <v>818</v>
      </c>
      <c r="B4384" s="6" t="s">
        <v>818</v>
      </c>
      <c r="C4384" s="5" t="s">
        <v>558</v>
      </c>
      <c r="D4384" s="5" t="s">
        <v>562</v>
      </c>
      <c r="E4384" s="2">
        <v>3833859</v>
      </c>
      <c r="F4384" s="4" t="str">
        <f>IF(B4384=B4383,"",B4384)</f>
        <v>Tres Arroyos</v>
      </c>
    </row>
    <row r="4385" spans="1:6" ht="15.75" customHeight="1">
      <c r="A4385" s="5" t="str">
        <f ca="1">IFERROR(__xludf.DUMMYFUNCTION("GOOGLETRANSLATE(B23251,""en"",""pt"")"),"Tres Arroyos")</f>
        <v>Tres Arroyos</v>
      </c>
      <c r="B4385" s="17" t="s">
        <v>818</v>
      </c>
      <c r="C4385" s="17" t="s">
        <v>558</v>
      </c>
      <c r="D4385" s="17" t="s">
        <v>562</v>
      </c>
      <c r="E4385" s="10">
        <v>3833859</v>
      </c>
      <c r="F4385" s="4" t="str">
        <f>IF(B4385=B4384,"",B4385)</f>
        <v/>
      </c>
    </row>
    <row r="4386" spans="1:6" ht="15.75" customHeight="1">
      <c r="A4386" s="6" t="s">
        <v>30211</v>
      </c>
      <c r="B4386" s="6" t="s">
        <v>30211</v>
      </c>
      <c r="C4386" s="6" t="s">
        <v>27788</v>
      </c>
      <c r="D4386" s="6" t="s">
        <v>27804</v>
      </c>
      <c r="E4386" s="2">
        <v>5012521</v>
      </c>
      <c r="F4386" s="4" t="str">
        <f>IF(B4386=B4385,"",B4386)</f>
        <v>Trenton</v>
      </c>
    </row>
    <row r="4387" spans="1:6" ht="15.75" customHeight="1">
      <c r="A4387" s="6" t="s">
        <v>30211</v>
      </c>
      <c r="B4387" s="6" t="s">
        <v>30211</v>
      </c>
      <c r="C4387" s="6" t="s">
        <v>27788</v>
      </c>
      <c r="D4387" s="6" t="s">
        <v>27905</v>
      </c>
      <c r="E4387" s="2">
        <v>5105496</v>
      </c>
      <c r="F4387" s="4" t="str">
        <f>IF(B4387=B4386,"",B4387)</f>
        <v/>
      </c>
    </row>
    <row r="4388" spans="1:6" ht="15.75" customHeight="1">
      <c r="A4388" s="5" t="str">
        <f ca="1">IFERROR(__xludf.DUMMYFUNCTION("GOOGLETRANSLATE(B44127,""en"",""pt"")"),"Trenton")</f>
        <v>Trenton</v>
      </c>
      <c r="B4388" s="17" t="s">
        <v>30211</v>
      </c>
      <c r="C4388" s="17" t="s">
        <v>27788</v>
      </c>
      <c r="D4388" s="17" t="s">
        <v>27804</v>
      </c>
      <c r="E4388" s="10">
        <v>5012521</v>
      </c>
      <c r="F4388" s="4" t="str">
        <f>IF(B4388=B4387,"",B4388)</f>
        <v/>
      </c>
    </row>
    <row r="4389" spans="1:6" ht="15.75" customHeight="1">
      <c r="A4389" s="5" t="str">
        <f ca="1">IFERROR(__xludf.DUMMYFUNCTION("GOOGLETRANSLATE(B44319,""en"",""pt"")"),"Trenton")</f>
        <v>Trenton</v>
      </c>
      <c r="B4389" s="17" t="s">
        <v>30211</v>
      </c>
      <c r="C4389" s="17" t="s">
        <v>27788</v>
      </c>
      <c r="D4389" s="17" t="s">
        <v>27905</v>
      </c>
      <c r="E4389" s="10">
        <v>5105496</v>
      </c>
      <c r="F4389" s="4" t="str">
        <f>IF(B4389=B4388,"",B4389)</f>
        <v/>
      </c>
    </row>
    <row r="4390" spans="1:6" ht="15.75" customHeight="1">
      <c r="A4390" s="5" t="s">
        <v>15542</v>
      </c>
      <c r="B4390" s="6" t="s">
        <v>15542</v>
      </c>
      <c r="C4390" s="5" t="s">
        <v>14891</v>
      </c>
      <c r="D4390" s="5" t="s">
        <v>14896</v>
      </c>
      <c r="E4390" s="2">
        <v>3165240</v>
      </c>
      <c r="F4390" s="4" t="str">
        <f>IF(B4390=B4389,"",B4390)</f>
        <v>Trentola-Ducenta</v>
      </c>
    </row>
    <row r="4391" spans="1:6" ht="15.75" customHeight="1">
      <c r="A4391" s="5" t="str">
        <f ca="1">IFERROR(__xludf.DUMMYFUNCTION("GOOGLETRANSLATE(B34654,""en"",""pt"")"),"Trentola-Ducenta")</f>
        <v>Trentola-Ducenta</v>
      </c>
      <c r="B4391" s="17" t="s">
        <v>15542</v>
      </c>
      <c r="C4391" s="17" t="s">
        <v>14891</v>
      </c>
      <c r="D4391" s="17" t="s">
        <v>14896</v>
      </c>
      <c r="E4391" s="10">
        <v>3165240</v>
      </c>
      <c r="F4391" s="4" t="str">
        <f>IF(B4391=B4390,"",B4391)</f>
        <v/>
      </c>
    </row>
    <row r="4392" spans="1:6" ht="15.75" customHeight="1">
      <c r="A4392" s="6" t="s">
        <v>15541</v>
      </c>
      <c r="B4392" s="6" t="s">
        <v>15541</v>
      </c>
      <c r="C4392" s="6" t="s">
        <v>14891</v>
      </c>
      <c r="D4392" s="6" t="s">
        <v>14986</v>
      </c>
      <c r="E4392" s="2">
        <v>3165243</v>
      </c>
      <c r="F4392" s="4" t="str">
        <f>IF(B4392=B4391,"",B4392)</f>
        <v>Trento</v>
      </c>
    </row>
    <row r="4393" spans="1:6" ht="15.75" customHeight="1">
      <c r="A4393" s="6" t="s">
        <v>15541</v>
      </c>
      <c r="B4393" s="6" t="s">
        <v>15541</v>
      </c>
      <c r="C4393" s="6" t="s">
        <v>20598</v>
      </c>
      <c r="D4393" s="6" t="s">
        <v>20647</v>
      </c>
      <c r="E4393" s="2">
        <v>1681333</v>
      </c>
      <c r="F4393" s="4" t="str">
        <f>IF(B4393=B4392,"",B4393)</f>
        <v/>
      </c>
    </row>
    <row r="4394" spans="1:6" ht="15.75" customHeight="1">
      <c r="A4394" s="5" t="str">
        <f ca="1">IFERROR(__xludf.DUMMYFUNCTION("GOOGLETRANSLATE(B34655,""en"",""pt"")"),"Trento")</f>
        <v>Trento</v>
      </c>
      <c r="B4394" s="17" t="s">
        <v>15541</v>
      </c>
      <c r="C4394" s="17" t="s">
        <v>14891</v>
      </c>
      <c r="D4394" s="17" t="s">
        <v>14986</v>
      </c>
      <c r="E4394" s="10">
        <v>3165243</v>
      </c>
      <c r="F4394" s="4" t="str">
        <f>IF(B4394=B4393,"",B4394)</f>
        <v/>
      </c>
    </row>
    <row r="4395" spans="1:6" ht="15.75" customHeight="1">
      <c r="A4395" s="5" t="str">
        <f ca="1">IFERROR(__xludf.DUMMYFUNCTION("GOOGLETRANSLATE(B38436,""en"",""pt"")"),"Trento")</f>
        <v>Trento</v>
      </c>
      <c r="B4395" s="17" t="s">
        <v>15541</v>
      </c>
      <c r="C4395" s="17" t="s">
        <v>20598</v>
      </c>
      <c r="D4395" s="17" t="s">
        <v>20647</v>
      </c>
      <c r="E4395" s="10">
        <v>1681333</v>
      </c>
      <c r="F4395" s="4" t="str">
        <f>IF(B4395=B4394,"",B4395)</f>
        <v/>
      </c>
    </row>
    <row r="4396" spans="1:6" ht="15.75" customHeight="1">
      <c r="A4396" s="5" t="s">
        <v>14215</v>
      </c>
      <c r="B4396" s="6" t="s">
        <v>14215</v>
      </c>
      <c r="C4396" s="5" t="s">
        <v>13800</v>
      </c>
      <c r="D4396" s="5" t="s">
        <v>13816</v>
      </c>
      <c r="E4396" s="2">
        <v>1623251</v>
      </c>
      <c r="F4396" s="4" t="str">
        <f>IF(B4396=B4395,"",B4396)</f>
        <v>Trenggalek</v>
      </c>
    </row>
    <row r="4397" spans="1:6" ht="15.75" customHeight="1">
      <c r="A4397" s="5" t="str">
        <f ca="1">IFERROR(__xludf.DUMMYFUNCTION("GOOGLETRANSLATE(B31405,""en"",""pt"")"),"Trenggalek")</f>
        <v>Trenggalek</v>
      </c>
      <c r="B4397" s="17" t="s">
        <v>14215</v>
      </c>
      <c r="C4397" s="17" t="s">
        <v>13800</v>
      </c>
      <c r="D4397" s="17" t="s">
        <v>13816</v>
      </c>
      <c r="E4397" s="10">
        <v>1623251</v>
      </c>
      <c r="F4397" s="4" t="str">
        <f>IF(B4397=B4396,"",B4397)</f>
        <v/>
      </c>
    </row>
    <row r="4398" spans="1:6" ht="15.75" customHeight="1">
      <c r="A4398" s="5" t="str">
        <f ca="1">IFERROR(__xludf.DUMMYFUNCTION("GOOGLETRANSLATE(B41240,""en"",""pt"")"),"Trenčín")</f>
        <v>Trenčín</v>
      </c>
      <c r="B4398" s="17" t="s">
        <v>35681</v>
      </c>
      <c r="C4398" s="17" t="s">
        <v>23694</v>
      </c>
      <c r="D4398" s="17" t="s">
        <v>35682</v>
      </c>
      <c r="E4398" s="10">
        <v>3057140</v>
      </c>
      <c r="F4398" s="4" t="str">
        <f>IF(B4398=B4397,"",B4398)</f>
        <v>Trenčín</v>
      </c>
    </row>
    <row r="4399" spans="1:6" ht="15.75" customHeight="1">
      <c r="A4399" s="6" t="s">
        <v>23776</v>
      </c>
      <c r="B4399" s="6" t="s">
        <v>23777</v>
      </c>
      <c r="C4399" s="6" t="s">
        <v>23694</v>
      </c>
      <c r="D4399" s="6" t="s">
        <v>23702</v>
      </c>
      <c r="E4399" s="2">
        <v>3057140</v>
      </c>
      <c r="F4399" s="4" t="str">
        <f>IF(B4399=B4398,"",B4399)</f>
        <v>TrenÄÃ­n</v>
      </c>
    </row>
    <row r="4400" spans="1:6" ht="15.75" customHeight="1">
      <c r="A4400" s="5" t="str">
        <f ca="1">IFERROR(__xludf.DUMMYFUNCTION("GOOGLETRANSLATE(B24484,""en"",""pt"")"),"Tremembé")</f>
        <v>Tremembé</v>
      </c>
      <c r="B4400" s="17" t="s">
        <v>3586</v>
      </c>
      <c r="C4400" s="17" t="s">
        <v>1905</v>
      </c>
      <c r="D4400" s="17" t="s">
        <v>3354</v>
      </c>
      <c r="E4400" s="10">
        <v>3446194</v>
      </c>
      <c r="F4400" s="4" t="str">
        <f>IF(B4400=B4399,"",B4400)</f>
        <v>Tremembé</v>
      </c>
    </row>
    <row r="4401" spans="1:6" ht="15.75" customHeight="1">
      <c r="A4401" s="5" t="s">
        <v>3586</v>
      </c>
      <c r="B4401" s="6" t="s">
        <v>3587</v>
      </c>
      <c r="C4401" s="5" t="s">
        <v>1905</v>
      </c>
      <c r="D4401" s="5" t="s">
        <v>1914</v>
      </c>
      <c r="E4401" s="2">
        <v>3446194</v>
      </c>
      <c r="F4401" s="4" t="str">
        <f>IF(B4401=B4400,"",B4401)</f>
        <v>TremembÃ©</v>
      </c>
    </row>
    <row r="4402" spans="1:6" ht="15.75" customHeight="1">
      <c r="A4402" s="5" t="s">
        <v>7864</v>
      </c>
      <c r="B4402" s="6" t="s">
        <v>7864</v>
      </c>
      <c r="C4402" s="5" t="s">
        <v>7052</v>
      </c>
      <c r="D4402" s="5" t="s">
        <v>7058</v>
      </c>
      <c r="E4402" s="2">
        <v>2971874</v>
      </c>
      <c r="F4402" s="4" t="str">
        <f>IF(B4402=B4401,"",B4402)</f>
        <v>Tremblay-en-France</v>
      </c>
    </row>
    <row r="4403" spans="1:6" ht="15.75" customHeight="1">
      <c r="A4403" s="5" t="str">
        <f ca="1">IFERROR(__xludf.DUMMYFUNCTION("GOOGLETRANSLATE(B29724,""en"",""pt"")"),"Tremblay-en-France")</f>
        <v>Tremblay-en-France</v>
      </c>
      <c r="B4403" s="17" t="s">
        <v>7864</v>
      </c>
      <c r="C4403" s="17" t="s">
        <v>7052</v>
      </c>
      <c r="D4403" s="17" t="s">
        <v>32531</v>
      </c>
      <c r="E4403" s="10">
        <v>2971874</v>
      </c>
      <c r="F4403" s="4" t="str">
        <f>IF(B4403=B4402,"",B4403)</f>
        <v/>
      </c>
    </row>
    <row r="4404" spans="1:6" ht="15.75" customHeight="1">
      <c r="A4404" s="5" t="s">
        <v>25210</v>
      </c>
      <c r="B4404" s="6" t="s">
        <v>25210</v>
      </c>
      <c r="C4404" s="5" t="s">
        <v>25077</v>
      </c>
      <c r="D4404" s="5" t="s">
        <v>25078</v>
      </c>
      <c r="E4404" s="2">
        <v>2667402</v>
      </c>
      <c r="F4404" s="4" t="str">
        <f>IF(B4404=B4403,"",B4404)</f>
        <v>Trelleborg</v>
      </c>
    </row>
    <row r="4405" spans="1:6" ht="15.75" customHeight="1">
      <c r="A4405" s="5" t="str">
        <f ca="1">IFERROR(__xludf.DUMMYFUNCTION("GOOGLETRANSLATE(B41138,""en"",""pt"")"),"Trelleborg")</f>
        <v>Trelleborg</v>
      </c>
      <c r="B4405" s="17" t="s">
        <v>25210</v>
      </c>
      <c r="C4405" s="17" t="s">
        <v>25077</v>
      </c>
      <c r="D4405" s="17" t="s">
        <v>35623</v>
      </c>
      <c r="E4405" s="10">
        <v>2667402</v>
      </c>
      <c r="F4405" s="4" t="str">
        <f>IF(B4405=B4404,"",B4405)</f>
        <v/>
      </c>
    </row>
    <row r="4406" spans="1:6" ht="15.75" customHeight="1">
      <c r="A4406" s="6" t="s">
        <v>817</v>
      </c>
      <c r="B4406" s="6" t="s">
        <v>817</v>
      </c>
      <c r="C4406" s="6" t="s">
        <v>558</v>
      </c>
      <c r="D4406" s="6" t="s">
        <v>622</v>
      </c>
      <c r="E4406" s="2">
        <v>3833883</v>
      </c>
      <c r="F4406" s="4" t="str">
        <f>IF(B4406=B4405,"",B4406)</f>
        <v>Trelew</v>
      </c>
    </row>
    <row r="4407" spans="1:6" ht="15.75" customHeight="1">
      <c r="A4407" s="5" t="str">
        <f ca="1">IFERROR(__xludf.DUMMYFUNCTION("GOOGLETRANSLATE(B23252,""en"",""pt"")"),"Trelew")</f>
        <v>Trelew</v>
      </c>
      <c r="B4407" s="17" t="s">
        <v>817</v>
      </c>
      <c r="C4407" s="17" t="s">
        <v>558</v>
      </c>
      <c r="D4407" s="17" t="s">
        <v>622</v>
      </c>
      <c r="E4407" s="10">
        <v>3833883</v>
      </c>
      <c r="F4407" s="4" t="str">
        <f>IF(B4407=B4406,"",B4407)</f>
        <v/>
      </c>
    </row>
    <row r="4408" spans="1:6" ht="15.75" customHeight="1">
      <c r="A4408" s="5" t="str">
        <f ca="1">IFERROR(__xludf.DUMMYFUNCTION("GOOGLETRANSLATE(B40703,""en"",""pt"")"),"Trëkhgornyy")</f>
        <v>Trëkhgornyy</v>
      </c>
      <c r="B4408" s="17" t="s">
        <v>35531</v>
      </c>
      <c r="C4408" s="17" t="s">
        <v>22070</v>
      </c>
      <c r="D4408" s="17" t="s">
        <v>22166</v>
      </c>
      <c r="E4408" s="10">
        <v>830844</v>
      </c>
      <c r="F4408" s="4" t="str">
        <f>IF(B4408=B4407,"",B4408)</f>
        <v>Trëkhgornyy</v>
      </c>
    </row>
    <row r="4409" spans="1:6" ht="15.75" customHeight="1">
      <c r="A4409" s="5" t="s">
        <v>30498</v>
      </c>
      <c r="B4409" s="6" t="s">
        <v>30498</v>
      </c>
      <c r="C4409" s="5" t="s">
        <v>30472</v>
      </c>
      <c r="D4409" s="5" t="s">
        <v>30498</v>
      </c>
      <c r="E4409" s="2">
        <v>3439781</v>
      </c>
      <c r="F4409" s="4" t="str">
        <f>IF(B4409=B4408,"",B4409)</f>
        <v>Treinta y Tres</v>
      </c>
    </row>
    <row r="4410" spans="1:6" ht="15.75" customHeight="1">
      <c r="A4410" s="5" t="str">
        <f ca="1">IFERROR(__xludf.DUMMYFUNCTION("GOOGLETRANSLATE(B45472,""en"",""pt"")"),"Treinta y Tres")</f>
        <v>Treinta y Tres</v>
      </c>
      <c r="B4410" s="17" t="s">
        <v>30498</v>
      </c>
      <c r="C4410" s="17" t="s">
        <v>30472</v>
      </c>
      <c r="D4410" s="17" t="s">
        <v>30498</v>
      </c>
      <c r="E4410" s="10">
        <v>3439781</v>
      </c>
      <c r="F4410" s="4" t="str">
        <f>IF(B4410=B4409,"",B4410)</f>
        <v/>
      </c>
    </row>
    <row r="4411" spans="1:6" ht="15.75" customHeight="1">
      <c r="A4411" s="6" t="s">
        <v>15540</v>
      </c>
      <c r="B4411" s="6" t="s">
        <v>15540</v>
      </c>
      <c r="C4411" s="6" t="s">
        <v>14891</v>
      </c>
      <c r="D4411" s="6" t="s">
        <v>14911</v>
      </c>
      <c r="E4411" s="2">
        <v>3165275</v>
      </c>
      <c r="F4411" s="4" t="str">
        <f>IF(B4411=B4410,"",B4411)</f>
        <v>Trecate</v>
      </c>
    </row>
    <row r="4412" spans="1:6" ht="15.75" customHeight="1">
      <c r="A4412" s="5" t="str">
        <f ca="1">IFERROR(__xludf.DUMMYFUNCTION("GOOGLETRANSLATE(B34656,""en"",""pt"")"),"Trecate")</f>
        <v>Trecate</v>
      </c>
      <c r="B4412" s="17" t="s">
        <v>15540</v>
      </c>
      <c r="C4412" s="17" t="s">
        <v>14891</v>
      </c>
      <c r="D4412" s="17" t="s">
        <v>14911</v>
      </c>
      <c r="E4412" s="10">
        <v>3165275</v>
      </c>
      <c r="F4412" s="4" t="str">
        <f>IF(B4412=B4411,"",B4412)</f>
        <v/>
      </c>
    </row>
    <row r="4413" spans="1:6" ht="15.75" customHeight="1">
      <c r="A4413" s="5" t="str">
        <f ca="1">IFERROR(__xludf.DUMMYFUNCTION("GOOGLETRANSLATE(B41222,""en"",""pt"")"),"Trebišov")</f>
        <v>Trebišov</v>
      </c>
      <c r="B4413" s="17" t="s">
        <v>35667</v>
      </c>
      <c r="C4413" s="17" t="s">
        <v>23694</v>
      </c>
      <c r="D4413" s="17" t="s">
        <v>35668</v>
      </c>
      <c r="E4413" s="10">
        <v>723358</v>
      </c>
      <c r="F4413" s="4" t="str">
        <f>IF(B4413=B4412,"",B4413)</f>
        <v>Trebišov</v>
      </c>
    </row>
    <row r="4414" spans="1:6" ht="15.75" customHeight="1">
      <c r="A4414" s="6" t="s">
        <v>1870</v>
      </c>
      <c r="B4414" s="6" t="s">
        <v>1870</v>
      </c>
      <c r="C4414" s="6" t="s">
        <v>1845</v>
      </c>
      <c r="D4414" s="6" t="s">
        <v>1846</v>
      </c>
      <c r="E4414" s="2">
        <v>3188893</v>
      </c>
      <c r="F4414" s="4" t="str">
        <f>IF(B4414=B4413,"",B4414)</f>
        <v>Trebinje</v>
      </c>
    </row>
    <row r="4415" spans="1:6" ht="15.75" customHeight="1">
      <c r="A4415" s="5" t="str">
        <f ca="1">IFERROR(__xludf.DUMMYFUNCTION("GOOGLETRANSLATE(B23675,""en"",""pt"")"),"Trebinje")</f>
        <v>Trebinje</v>
      </c>
      <c r="B4415" s="17" t="s">
        <v>1870</v>
      </c>
      <c r="C4415" s="17" t="s">
        <v>1845</v>
      </c>
      <c r="D4415" s="17" t="s">
        <v>1846</v>
      </c>
      <c r="E4415" s="10">
        <v>3188893</v>
      </c>
      <c r="F4415" s="4" t="str">
        <f>IF(B4415=B4414,"",B4415)</f>
        <v/>
      </c>
    </row>
    <row r="4416" spans="1:6" ht="15.75" customHeight="1">
      <c r="A4416" s="5" t="str">
        <f ca="1">IFERROR(__xludf.DUMMYFUNCTION("GOOGLETRANSLATE(B27258,""en"",""pt"")"),"Třebíč")</f>
        <v>Třebíč</v>
      </c>
      <c r="B4416" s="17" t="s">
        <v>31953</v>
      </c>
      <c r="C4416" s="17" t="s">
        <v>5947</v>
      </c>
      <c r="D4416" s="17" t="s">
        <v>31939</v>
      </c>
      <c r="E4416" s="10">
        <v>3064104</v>
      </c>
      <c r="F4416" s="4" t="str">
        <f>IF(B4416=B4415,"",B4416)</f>
        <v>Třebíč</v>
      </c>
    </row>
    <row r="4417" spans="1:6" ht="15.75" customHeight="1">
      <c r="A4417" s="6" t="s">
        <v>23774</v>
      </c>
      <c r="B4417" s="6" t="s">
        <v>23775</v>
      </c>
      <c r="C4417" s="6" t="s">
        <v>23694</v>
      </c>
      <c r="D4417" s="6" t="s">
        <v>23729</v>
      </c>
      <c r="E4417" s="2">
        <v>723358</v>
      </c>
      <c r="F4417" s="4" t="str">
        <f>IF(B4417=B4416,"",B4417)</f>
        <v>TrebiÅ¡ov</v>
      </c>
    </row>
    <row r="4418" spans="1:6" ht="15.75" customHeight="1">
      <c r="A4418" s="6" t="s">
        <v>23794</v>
      </c>
      <c r="B4418" s="6" t="s">
        <v>23794</v>
      </c>
      <c r="C4418" s="6" t="s">
        <v>23786</v>
      </c>
      <c r="D4418" s="6" t="s">
        <v>23794</v>
      </c>
      <c r="E4418" s="2">
        <v>3188915</v>
      </c>
      <c r="F4418" s="4" t="str">
        <f>IF(B4418=B4417,"",B4418)</f>
        <v>Trbovlje</v>
      </c>
    </row>
    <row r="4419" spans="1:6" ht="15.75" customHeight="1">
      <c r="A4419" s="5" t="str">
        <f ca="1">IFERROR(__xludf.DUMMYFUNCTION("GOOGLETRANSLATE(B41211,""en"",""pt"")"),"Trbovlje")</f>
        <v>Trbovlje</v>
      </c>
      <c r="B4419" s="17" t="s">
        <v>23794</v>
      </c>
      <c r="C4419" s="17" t="s">
        <v>23786</v>
      </c>
      <c r="D4419" s="17" t="s">
        <v>23794</v>
      </c>
      <c r="E4419" s="10">
        <v>3188915</v>
      </c>
      <c r="F4419" s="4" t="str">
        <f>IF(B4419=B4418,"",B4419)</f>
        <v/>
      </c>
    </row>
    <row r="4420" spans="1:6" ht="15.75" customHeight="1">
      <c r="A4420" s="6" t="s">
        <v>1869</v>
      </c>
      <c r="B4420" s="6" t="s">
        <v>1869</v>
      </c>
      <c r="C4420" s="6" t="s">
        <v>1845</v>
      </c>
      <c r="D4420" s="6" t="s">
        <v>1849</v>
      </c>
      <c r="E4420" s="2">
        <v>3188924</v>
      </c>
      <c r="F4420" s="4" t="str">
        <f>IF(B4420=B4419,"",B4420)</f>
        <v>Travnik</v>
      </c>
    </row>
    <row r="4421" spans="1:6" ht="15.75" customHeight="1">
      <c r="A4421" s="5" t="str">
        <f ca="1">IFERROR(__xludf.DUMMYFUNCTION("GOOGLETRANSLATE(B23676,""en"",""pt"")"),"Travnik")</f>
        <v>Travnik</v>
      </c>
      <c r="B4421" s="17" t="s">
        <v>1869</v>
      </c>
      <c r="C4421" s="17" t="s">
        <v>1845</v>
      </c>
      <c r="D4421" s="17" t="s">
        <v>1849</v>
      </c>
      <c r="E4421" s="10">
        <v>3188924</v>
      </c>
      <c r="F4421" s="4" t="str">
        <f>IF(B4421=B4420,"",B4421)</f>
        <v/>
      </c>
    </row>
    <row r="4422" spans="1:6" ht="15.75" customHeight="1">
      <c r="A4422" s="5" t="s">
        <v>9206</v>
      </c>
      <c r="B4422" s="6" t="s">
        <v>9206</v>
      </c>
      <c r="C4422" s="5" t="s">
        <v>8028</v>
      </c>
      <c r="D4422" s="5" t="s">
        <v>8044</v>
      </c>
      <c r="E4422" s="2">
        <v>2821515</v>
      </c>
      <c r="F4422" s="4" t="str">
        <f>IF(B4422=B4421,"",B4422)</f>
        <v>Traunstein</v>
      </c>
    </row>
    <row r="4423" spans="1:6" ht="15.75" customHeight="1">
      <c r="A4423" s="5" t="str">
        <f ca="1">IFERROR(__xludf.DUMMYFUNCTION("GOOGLETRANSLATE(B27472,""en"",""pt"")"),"Traunstein")</f>
        <v>Traunstein</v>
      </c>
      <c r="B4423" s="17" t="s">
        <v>9206</v>
      </c>
      <c r="C4423" s="17" t="s">
        <v>8028</v>
      </c>
      <c r="D4423" s="17" t="s">
        <v>8044</v>
      </c>
      <c r="E4423" s="10">
        <v>2821515</v>
      </c>
      <c r="F4423" s="4" t="str">
        <f>IF(B4423=B4422,"",B4423)</f>
        <v/>
      </c>
    </row>
    <row r="4424" spans="1:6" ht="15.75" customHeight="1">
      <c r="A4424" s="6" t="s">
        <v>9205</v>
      </c>
      <c r="B4424" s="6" t="s">
        <v>9205</v>
      </c>
      <c r="C4424" s="6" t="s">
        <v>8028</v>
      </c>
      <c r="D4424" s="6" t="s">
        <v>8044</v>
      </c>
      <c r="E4424" s="2">
        <v>2821517</v>
      </c>
      <c r="F4424" s="4" t="str">
        <f>IF(B4424=B4423,"",B4424)</f>
        <v>Traunreut</v>
      </c>
    </row>
    <row r="4425" spans="1:6" ht="15.75" customHeight="1">
      <c r="A4425" s="5" t="str">
        <f ca="1">IFERROR(__xludf.DUMMYFUNCTION("GOOGLETRANSLATE(B27473,""en"",""pt"")"),"Traunreut")</f>
        <v>Traunreut</v>
      </c>
      <c r="B4425" s="17" t="s">
        <v>9205</v>
      </c>
      <c r="C4425" s="17" t="s">
        <v>8028</v>
      </c>
      <c r="D4425" s="17" t="s">
        <v>8044</v>
      </c>
      <c r="E4425" s="10">
        <v>2821517</v>
      </c>
      <c r="F4425" s="4" t="str">
        <f>IF(B4425=B4424,"",B4425)</f>
        <v/>
      </c>
    </row>
    <row r="4426" spans="1:6" ht="15.75" customHeight="1">
      <c r="A4426" s="6" t="s">
        <v>1159</v>
      </c>
      <c r="B4426" s="6" t="s">
        <v>1159</v>
      </c>
      <c r="C4426" s="6" t="s">
        <v>1117</v>
      </c>
      <c r="D4426" s="6" t="s">
        <v>1124</v>
      </c>
      <c r="E4426" s="2">
        <v>2763423</v>
      </c>
      <c r="F4426" s="4" t="str">
        <f>IF(B4426=B4425,"",B4426)</f>
        <v>Traun</v>
      </c>
    </row>
    <row r="4427" spans="1:6" ht="15.75" customHeight="1">
      <c r="A4427" s="5" t="str">
        <f ca="1">IFERROR(__xludf.DUMMYFUNCTION("GOOGLETRANSLATE(B23378,""en"",""pt"")"),"Traun")</f>
        <v>Traun</v>
      </c>
      <c r="B4427" s="17" t="s">
        <v>1159</v>
      </c>
      <c r="C4427" s="17" t="s">
        <v>1117</v>
      </c>
      <c r="D4427" s="17" t="s">
        <v>1124</v>
      </c>
      <c r="E4427" s="10">
        <v>2763423</v>
      </c>
      <c r="F4427" s="4" t="str">
        <f>IF(B4427=B4426,"",B4427)</f>
        <v/>
      </c>
    </row>
    <row r="4428" spans="1:6" ht="15.75" customHeight="1">
      <c r="A4428" s="6" t="s">
        <v>26021</v>
      </c>
      <c r="B4428" s="6" t="s">
        <v>26021</v>
      </c>
      <c r="C4428" s="6" t="s">
        <v>25771</v>
      </c>
      <c r="D4428" s="6" t="s">
        <v>26021</v>
      </c>
      <c r="E4428" s="2">
        <v>1605279</v>
      </c>
      <c r="F4428" s="4" t="str">
        <f>IF(B4428=B4427,"",B4428)</f>
        <v>Trat</v>
      </c>
    </row>
    <row r="4429" spans="1:6" ht="15.75" customHeight="1">
      <c r="A4429" s="5" t="str">
        <f ca="1">IFERROR(__xludf.DUMMYFUNCTION("GOOGLETRANSLATE(B41591,""en"",""pt"")"),"Trat")</f>
        <v>Trat</v>
      </c>
      <c r="B4429" s="17" t="s">
        <v>26021</v>
      </c>
      <c r="C4429" s="17" t="s">
        <v>25771</v>
      </c>
      <c r="D4429" s="17" t="s">
        <v>26021</v>
      </c>
      <c r="E4429" s="10">
        <v>1605279</v>
      </c>
      <c r="F4429" s="4" t="str">
        <f>IF(B4429=B4428,"",B4429)</f>
        <v/>
      </c>
    </row>
    <row r="4430" spans="1:6" ht="15.75" customHeight="1">
      <c r="A4430" s="5" t="s">
        <v>1100</v>
      </c>
      <c r="B4430" s="6" t="s">
        <v>1101</v>
      </c>
      <c r="C4430" s="5" t="s">
        <v>885</v>
      </c>
      <c r="D4430" s="5" t="s">
        <v>827</v>
      </c>
      <c r="E4430" s="2">
        <v>2146108</v>
      </c>
      <c r="F4430" s="4" t="str">
        <f>IF(B4430=B4429,"",B4430)</f>
        <v>Traralgon</v>
      </c>
    </row>
    <row r="4431" spans="1:6" ht="15.75" customHeight="1">
      <c r="A4431" s="5" t="str">
        <f ca="1">IFERROR(__xludf.DUMMYFUNCTION("GOOGLETRANSLATE(B23436,""en"",""pt"")"),"TRARALGON")</f>
        <v>TRARALGON</v>
      </c>
      <c r="B4431" s="17" t="s">
        <v>1101</v>
      </c>
      <c r="C4431" s="17" t="s">
        <v>885</v>
      </c>
      <c r="D4431" s="17" t="s">
        <v>827</v>
      </c>
      <c r="E4431" s="10">
        <v>2146108</v>
      </c>
      <c r="F4431" s="4" t="str">
        <f>IF(B4431=B4430,"",B4431)</f>
        <v/>
      </c>
    </row>
    <row r="4432" spans="1:6" ht="15.75" customHeight="1">
      <c r="A4432" s="6" t="s">
        <v>7863</v>
      </c>
      <c r="B4432" s="6" t="s">
        <v>7863</v>
      </c>
      <c r="C4432" s="6" t="s">
        <v>7052</v>
      </c>
      <c r="D4432" s="6" t="s">
        <v>7058</v>
      </c>
      <c r="E4432" s="2">
        <v>2972049</v>
      </c>
      <c r="F4432" s="4" t="str">
        <f>IF(B4432=B4431,"",B4432)</f>
        <v>Trappes</v>
      </c>
    </row>
    <row r="4433" spans="1:6" ht="15.75" customHeight="1">
      <c r="A4433" s="5" t="str">
        <f ca="1">IFERROR(__xludf.DUMMYFUNCTION("GOOGLETRANSLATE(B29725,""en"",""pt"")"),"Trappes")</f>
        <v>Trappes</v>
      </c>
      <c r="B4433" s="17" t="s">
        <v>7863</v>
      </c>
      <c r="C4433" s="17" t="s">
        <v>7052</v>
      </c>
      <c r="D4433" s="17" t="s">
        <v>32531</v>
      </c>
      <c r="E4433" s="10">
        <v>2972049</v>
      </c>
      <c r="F4433" s="4" t="str">
        <f>IF(B4433=B4432,"",B4433)</f>
        <v/>
      </c>
    </row>
    <row r="4434" spans="1:6" ht="15.75" customHeight="1">
      <c r="A4434" s="6" t="s">
        <v>9647</v>
      </c>
      <c r="B4434" s="6" t="s">
        <v>9648</v>
      </c>
      <c r="C4434" s="6" t="s">
        <v>9441</v>
      </c>
      <c r="D4434" s="6" t="s">
        <v>9453</v>
      </c>
      <c r="E4434" s="2">
        <v>252601</v>
      </c>
      <c r="F4434" s="4" t="str">
        <f>IF(B4434=B4433,"",B4434)</f>
        <v>TrÃ­poli</v>
      </c>
    </row>
    <row r="4435" spans="1:6" ht="15.75" customHeight="1">
      <c r="A4435" s="6" t="s">
        <v>15539</v>
      </c>
      <c r="B4435" s="6" t="s">
        <v>15539</v>
      </c>
      <c r="C4435" s="6" t="s">
        <v>14891</v>
      </c>
      <c r="D4435" s="6" t="s">
        <v>14899</v>
      </c>
      <c r="E4435" s="2">
        <v>2522876</v>
      </c>
      <c r="F4435" s="4" t="str">
        <f>IF(B4435=B4434,"",B4435)</f>
        <v>Trapani</v>
      </c>
    </row>
    <row r="4436" spans="1:6" ht="15.75" customHeight="1">
      <c r="A4436" s="5" t="str">
        <f ca="1">IFERROR(__xludf.DUMMYFUNCTION("GOOGLETRANSLATE(B34542,""en"",""pt"")"),"Trapani")</f>
        <v>Trapani</v>
      </c>
      <c r="B4436" s="17" t="s">
        <v>15539</v>
      </c>
      <c r="C4436" s="17" t="s">
        <v>14891</v>
      </c>
      <c r="D4436" s="17" t="s">
        <v>14899</v>
      </c>
      <c r="E4436" s="10">
        <v>2522876</v>
      </c>
      <c r="F4436" s="4" t="str">
        <f>IF(B4436=B4435,"",B4436)</f>
        <v/>
      </c>
    </row>
    <row r="4437" spans="1:6" ht="15.75" customHeight="1">
      <c r="A4437" s="6" t="s">
        <v>15538</v>
      </c>
      <c r="B4437" s="6" t="s">
        <v>15538</v>
      </c>
      <c r="C4437" s="6" t="s">
        <v>14891</v>
      </c>
      <c r="D4437" s="6" t="s">
        <v>14908</v>
      </c>
      <c r="E4437" s="2">
        <v>3165322</v>
      </c>
      <c r="F4437" s="4" t="str">
        <f>IF(B4437=B4436,"",B4437)</f>
        <v>Trani</v>
      </c>
    </row>
    <row r="4438" spans="1:6" ht="15.75" customHeight="1">
      <c r="A4438" s="5" t="str">
        <f ca="1">IFERROR(__xludf.DUMMYFUNCTION("GOOGLETRANSLATE(B34657,""en"",""pt"")"),"Trani")</f>
        <v>Trani</v>
      </c>
      <c r="B4438" s="17" t="s">
        <v>15538</v>
      </c>
      <c r="C4438" s="17" t="s">
        <v>14891</v>
      </c>
      <c r="D4438" s="17" t="s">
        <v>14908</v>
      </c>
      <c r="E4438" s="10">
        <v>3165322</v>
      </c>
      <c r="F4438" s="4" t="str">
        <f>IF(B4438=B4437,"",B4438)</f>
        <v/>
      </c>
    </row>
    <row r="4439" spans="1:6" ht="15.75" customHeight="1">
      <c r="A4439" s="6" t="s">
        <v>26020</v>
      </c>
      <c r="B4439" s="6" t="s">
        <v>25888</v>
      </c>
      <c r="C4439" s="6" t="s">
        <v>25771</v>
      </c>
      <c r="D4439" s="6" t="s">
        <v>25888</v>
      </c>
      <c r="E4439" s="2">
        <v>1150007</v>
      </c>
      <c r="F4439" s="4" t="str">
        <f>IF(B4439=B4438,"",B4439)</f>
        <v>Trang</v>
      </c>
    </row>
    <row r="4440" spans="1:6" ht="15.75" customHeight="1">
      <c r="A4440" s="5" t="str">
        <f ca="1">IFERROR(__xludf.DUMMYFUNCTION("GOOGLETRANSLATE(B41515,""en"",""pt"")"),"Trang")</f>
        <v>Trang</v>
      </c>
      <c r="B4440" s="17" t="s">
        <v>25888</v>
      </c>
      <c r="C4440" s="17" t="s">
        <v>25771</v>
      </c>
      <c r="D4440" s="17" t="s">
        <v>25888</v>
      </c>
      <c r="E4440" s="10">
        <v>1150007</v>
      </c>
      <c r="F4440" s="4" t="str">
        <f>IF(B4440=B4439,"",B4440)</f>
        <v/>
      </c>
    </row>
    <row r="4441" spans="1:6" ht="15.75" customHeight="1">
      <c r="A4441" s="5" t="str">
        <f ca="1">IFERROR(__xludf.DUMMYFUNCTION("GOOGLETRANSLATE(B24485,""en"",""pt"")"),"Tramandaí")</f>
        <v>Tramandaí</v>
      </c>
      <c r="B4441" s="17" t="s">
        <v>31449</v>
      </c>
      <c r="C4441" s="17" t="s">
        <v>1905</v>
      </c>
      <c r="D4441" s="17" t="s">
        <v>1951</v>
      </c>
      <c r="E4441" s="10">
        <v>3446232</v>
      </c>
      <c r="F4441" s="4" t="str">
        <f>IF(B4441=B4440,"",B4441)</f>
        <v>Tramandaí</v>
      </c>
    </row>
    <row r="4442" spans="1:6" ht="15.75" customHeight="1">
      <c r="A4442" s="5" t="s">
        <v>3584</v>
      </c>
      <c r="B4442" s="6" t="s">
        <v>3585</v>
      </c>
      <c r="C4442" s="5" t="s">
        <v>1905</v>
      </c>
      <c r="D4442" s="5" t="s">
        <v>1951</v>
      </c>
      <c r="E4442" s="2">
        <v>3446232</v>
      </c>
      <c r="F4442" s="4" t="str">
        <f>IF(B4442=B4441,"",B4442)</f>
        <v>TramandaÃ­</v>
      </c>
    </row>
    <row r="4443" spans="1:6" ht="15.75" customHeight="1">
      <c r="A4443" s="6" t="s">
        <v>14766</v>
      </c>
      <c r="B4443" s="6" t="s">
        <v>14767</v>
      </c>
      <c r="C4443" s="6" t="s">
        <v>14728</v>
      </c>
      <c r="D4443" s="6" t="s">
        <v>8868</v>
      </c>
      <c r="E4443" s="2">
        <v>2961123</v>
      </c>
      <c r="F4443" s="4" t="str">
        <f>IF(B4443=B4442,"",B4443)</f>
        <v>Tralee</v>
      </c>
    </row>
    <row r="4444" spans="1:6" ht="15.75" customHeight="1">
      <c r="A4444" s="5" t="str">
        <f ca="1">IFERROR(__xludf.DUMMYFUNCTION("GOOGLETRANSLATE(B31726,""en"",""pt"")"),"TRalee")</f>
        <v>TRalee</v>
      </c>
      <c r="B4444" s="17" t="s">
        <v>14767</v>
      </c>
      <c r="C4444" s="17" t="s">
        <v>14728</v>
      </c>
      <c r="D4444" s="17" t="s">
        <v>8868</v>
      </c>
      <c r="E4444" s="10">
        <v>2961123</v>
      </c>
      <c r="F4444" s="4" t="str">
        <f>IF(B4444=B4443,"",B4444)</f>
        <v/>
      </c>
    </row>
    <row r="4445" spans="1:6" ht="15.75" customHeight="1">
      <c r="A4445" s="6" t="s">
        <v>9645</v>
      </c>
      <c r="B4445" s="6" t="s">
        <v>9646</v>
      </c>
      <c r="C4445" s="6" t="s">
        <v>9441</v>
      </c>
      <c r="D4445" s="6" t="s">
        <v>9542</v>
      </c>
      <c r="E4445" s="2">
        <v>252664</v>
      </c>
      <c r="F4445" s="4" t="str">
        <f>IF(B4445=B4444,"",B4445)</f>
        <v>TrÃ­kala</v>
      </c>
    </row>
    <row r="4446" spans="1:6" ht="15.75" customHeight="1">
      <c r="A4446" s="5" t="s">
        <v>1158</v>
      </c>
      <c r="B4446" s="6" t="s">
        <v>1158</v>
      </c>
      <c r="C4446" s="5" t="s">
        <v>1117</v>
      </c>
      <c r="D4446" s="5" t="s">
        <v>1118</v>
      </c>
      <c r="E4446" s="2">
        <v>2763460</v>
      </c>
      <c r="F4446" s="4" t="str">
        <f>IF(B4446=B4445,"",B4446)</f>
        <v>Traiskirchen</v>
      </c>
    </row>
    <row r="4447" spans="1:6" ht="15.75" customHeight="1">
      <c r="A4447" s="5" t="str">
        <f ca="1">IFERROR(__xludf.DUMMYFUNCTION("GOOGLETRANSLATE(B23379,""en"",""pt"")"),"Traiskirchen")</f>
        <v>Traiskirchen</v>
      </c>
      <c r="B4447" s="17" t="s">
        <v>1158</v>
      </c>
      <c r="C4447" s="17" t="s">
        <v>1117</v>
      </c>
      <c r="D4447" s="17" t="s">
        <v>1118</v>
      </c>
      <c r="E4447" s="10">
        <v>2763460</v>
      </c>
      <c r="F4447" s="4" t="str">
        <f>IF(B4447=B4446,"",B4447)</f>
        <v/>
      </c>
    </row>
    <row r="4448" spans="1:6" ht="15.75" customHeight="1">
      <c r="A4448" s="6" t="s">
        <v>3582</v>
      </c>
      <c r="B4448" s="6" t="s">
        <v>3583</v>
      </c>
      <c r="C4448" s="6" t="s">
        <v>1905</v>
      </c>
      <c r="D4448" s="6" t="s">
        <v>1930</v>
      </c>
      <c r="E4448" s="2">
        <v>3386177</v>
      </c>
      <c r="F4448" s="4" t="str">
        <f>IF(B4448=B4447,"",B4448)</f>
        <v>Trairi</v>
      </c>
    </row>
    <row r="4449" spans="1:6" ht="15.75" customHeight="1">
      <c r="A4449" s="5" t="str">
        <f ca="1">IFERROR(__xludf.DUMMYFUNCTION("GOOGLETRANSLATE(B24161,""en"",""pt"")"),"TRAIRI")</f>
        <v>TRAIRI</v>
      </c>
      <c r="B4449" s="17" t="s">
        <v>3583</v>
      </c>
      <c r="C4449" s="17" t="s">
        <v>1905</v>
      </c>
      <c r="D4449" s="17" t="s">
        <v>31345</v>
      </c>
      <c r="E4449" s="10">
        <v>3386177</v>
      </c>
      <c r="F4449" s="4" t="str">
        <f>IF(B4449=B4448,"",B4449)</f>
        <v/>
      </c>
    </row>
    <row r="4450" spans="1:6" ht="15.75" customHeight="1">
      <c r="A4450" s="6" t="s">
        <v>15537</v>
      </c>
      <c r="B4450" s="6" t="s">
        <v>15537</v>
      </c>
      <c r="C4450" s="6" t="s">
        <v>14891</v>
      </c>
      <c r="D4450" s="6" t="s">
        <v>14894</v>
      </c>
      <c r="E4450" s="2">
        <v>3165340</v>
      </c>
      <c r="F4450" s="4" t="str">
        <f>IF(B4450=B4449,"",B4450)</f>
        <v>Tradate</v>
      </c>
    </row>
    <row r="4451" spans="1:6" ht="15.75" customHeight="1">
      <c r="A4451" s="5" t="str">
        <f ca="1">IFERROR(__xludf.DUMMYFUNCTION("GOOGLETRANSLATE(B34658,""en"",""pt"")"),"Tradate")</f>
        <v>Tradate</v>
      </c>
      <c r="B4451" s="17" t="s">
        <v>15537</v>
      </c>
      <c r="C4451" s="17" t="s">
        <v>14891</v>
      </c>
      <c r="D4451" s="17" t="s">
        <v>14894</v>
      </c>
      <c r="E4451" s="10">
        <v>3165340</v>
      </c>
      <c r="F4451" s="4" t="str">
        <f>IF(B4451=B4450,"",B4451)</f>
        <v/>
      </c>
    </row>
    <row r="4452" spans="1:6" ht="15.75" customHeight="1">
      <c r="A4452" s="6" t="s">
        <v>30210</v>
      </c>
      <c r="B4452" s="6" t="s">
        <v>30210</v>
      </c>
      <c r="C4452" s="6" t="s">
        <v>27788</v>
      </c>
      <c r="D4452" s="6" t="s">
        <v>27801</v>
      </c>
      <c r="E4452" s="2">
        <v>5403191</v>
      </c>
      <c r="F4452" s="4" t="str">
        <f>IF(B4452=B4451,"",B4452)</f>
        <v>Tracy</v>
      </c>
    </row>
    <row r="4453" spans="1:6" ht="15.75" customHeight="1">
      <c r="A4453" s="5" t="str">
        <f ca="1">IFERROR(__xludf.DUMMYFUNCTION("GOOGLETRANSLATE(B45057,""en"",""pt"")"),"Tracy")</f>
        <v>Tracy</v>
      </c>
      <c r="B4453" s="17" t="s">
        <v>30210</v>
      </c>
      <c r="C4453" s="17" t="s">
        <v>27788</v>
      </c>
      <c r="D4453" s="17" t="s">
        <v>27801</v>
      </c>
      <c r="E4453" s="10">
        <v>5403191</v>
      </c>
      <c r="F4453" s="4" t="str">
        <f>IF(B4453=B4452,"",B4453)</f>
        <v/>
      </c>
    </row>
    <row r="4454" spans="1:6" ht="15.75" customHeight="1">
      <c r="A4454" s="6" t="s">
        <v>26286</v>
      </c>
      <c r="B4454" s="6" t="s">
        <v>26286</v>
      </c>
      <c r="C4454" s="6" t="s">
        <v>26201</v>
      </c>
      <c r="D4454" s="6" t="s">
        <v>26286</v>
      </c>
      <c r="E4454" s="2">
        <v>738648</v>
      </c>
      <c r="F4454" s="4" t="str">
        <f>IF(B4454=B4453,"",B4454)</f>
        <v>Trabzon</v>
      </c>
    </row>
    <row r="4455" spans="1:6" ht="15.75" customHeight="1">
      <c r="A4455" s="5" t="str">
        <f ca="1">IFERROR(__xludf.DUMMYFUNCTION("GOOGLETRANSLATE(B42102,""en"",""pt"")"),"Trabzon")</f>
        <v>Trabzon</v>
      </c>
      <c r="B4455" s="17" t="s">
        <v>26286</v>
      </c>
      <c r="C4455" s="17" t="s">
        <v>26201</v>
      </c>
      <c r="D4455" s="17" t="s">
        <v>26286</v>
      </c>
      <c r="E4455" s="10">
        <v>738648</v>
      </c>
      <c r="F4455" s="4" t="str">
        <f>IF(B4455=B4454,"",B4455)</f>
        <v/>
      </c>
    </row>
    <row r="4456" spans="1:6" ht="15.75" customHeight="1">
      <c r="A4456" s="6" t="s">
        <v>3580</v>
      </c>
      <c r="B4456" s="6" t="s">
        <v>3581</v>
      </c>
      <c r="C4456" s="6" t="s">
        <v>1905</v>
      </c>
      <c r="D4456" s="6" t="s">
        <v>1978</v>
      </c>
      <c r="E4456" s="2">
        <v>3446065</v>
      </c>
      <c r="F4456" s="4" t="str">
        <f>IF(B4456=B4455,"",B4456)</f>
        <v>TrÃªs Rios</v>
      </c>
    </row>
    <row r="4457" spans="1:6" ht="15.75" customHeight="1">
      <c r="A4457" s="5" t="s">
        <v>3578</v>
      </c>
      <c r="B4457" s="6" t="s">
        <v>3579</v>
      </c>
      <c r="C4457" s="5" t="s">
        <v>1905</v>
      </c>
      <c r="D4457" s="5" t="s">
        <v>1917</v>
      </c>
      <c r="E4457" s="2">
        <v>3446077</v>
      </c>
      <c r="F4457" s="4" t="str">
        <f>IF(B4457=B4456,"",B4457)</f>
        <v>TrÃªs Pontas</v>
      </c>
    </row>
    <row r="4458" spans="1:6" ht="15.75" customHeight="1">
      <c r="A4458" s="5" t="s">
        <v>3576</v>
      </c>
      <c r="B4458" s="6" t="s">
        <v>3577</v>
      </c>
      <c r="C4458" s="5" t="s">
        <v>1905</v>
      </c>
      <c r="D4458" s="5" t="s">
        <v>1951</v>
      </c>
      <c r="E4458" s="2">
        <v>3446087</v>
      </c>
      <c r="F4458" s="4" t="str">
        <f>IF(B4458=B4457,"",B4458)</f>
        <v>TrÃªs Passos</v>
      </c>
    </row>
    <row r="4459" spans="1:6" ht="15.75" customHeight="1">
      <c r="A4459" s="5" t="s">
        <v>3574</v>
      </c>
      <c r="B4459" s="6" t="s">
        <v>3575</v>
      </c>
      <c r="C4459" s="5" t="s">
        <v>1905</v>
      </c>
      <c r="D4459" s="5" t="s">
        <v>1973</v>
      </c>
      <c r="E4459" s="2">
        <v>3446098</v>
      </c>
      <c r="F4459" s="4" t="str">
        <f>IF(B4459=B4458,"",B4459)</f>
        <v>TrÃªs Lagoas</v>
      </c>
    </row>
    <row r="4460" spans="1:6" ht="15.75" customHeight="1">
      <c r="A4460" s="5" t="s">
        <v>3572</v>
      </c>
      <c r="B4460" s="6" t="s">
        <v>3573</v>
      </c>
      <c r="C4460" s="5" t="s">
        <v>1905</v>
      </c>
      <c r="D4460" s="5" t="s">
        <v>1951</v>
      </c>
      <c r="E4460" s="2">
        <v>3446130</v>
      </c>
      <c r="F4460" s="4" t="str">
        <f>IF(B4460=B4459,"",B4460)</f>
        <v>TrÃªs de Maio</v>
      </c>
    </row>
    <row r="4461" spans="1:6" ht="15.75" customHeight="1">
      <c r="A4461" s="5" t="s">
        <v>3570</v>
      </c>
      <c r="B4461" s="6" t="s">
        <v>3571</v>
      </c>
      <c r="C4461" s="5" t="s">
        <v>1905</v>
      </c>
      <c r="D4461" s="5" t="s">
        <v>1951</v>
      </c>
      <c r="E4461" s="2">
        <v>3446137</v>
      </c>
      <c r="F4461" s="4" t="str">
        <f>IF(B4461=B4460,"",B4461)</f>
        <v>TrÃªs Coroas</v>
      </c>
    </row>
    <row r="4462" spans="1:6" ht="15.75" customHeight="1">
      <c r="A4462" s="5" t="s">
        <v>3568</v>
      </c>
      <c r="B4462" s="6" t="s">
        <v>3569</v>
      </c>
      <c r="C4462" s="5" t="s">
        <v>1905</v>
      </c>
      <c r="D4462" s="5" t="s">
        <v>1917</v>
      </c>
      <c r="E4462" s="2">
        <v>3446138</v>
      </c>
      <c r="F4462" s="4" t="str">
        <f>IF(B4462=B4461,"",B4462)</f>
        <v>TrÃªs CoraÃ§Ãµes</v>
      </c>
    </row>
    <row r="4463" spans="1:6" ht="15.75" customHeight="1">
      <c r="A4463" s="5" t="s">
        <v>23198</v>
      </c>
      <c r="B4463" s="6" t="s">
        <v>23199</v>
      </c>
      <c r="C4463" s="5" t="s">
        <v>22070</v>
      </c>
      <c r="D4463" s="5" t="s">
        <v>22166</v>
      </c>
      <c r="E4463" s="2">
        <v>830844</v>
      </c>
      <c r="F4463" s="4" t="str">
        <f>IF(B4463=B4462,"",B4463)</f>
        <v>TrÃ«khgornyy</v>
      </c>
    </row>
    <row r="4464" spans="1:6" ht="15.75" customHeight="1">
      <c r="A4464" s="6" t="s">
        <v>30957</v>
      </c>
      <c r="B4464" s="6" t="s">
        <v>30958</v>
      </c>
      <c r="C4464" s="6" t="s">
        <v>30784</v>
      </c>
      <c r="D4464" s="6" t="s">
        <v>30958</v>
      </c>
      <c r="E4464" s="2">
        <v>1563926</v>
      </c>
      <c r="F4464" s="4" t="str">
        <f>IF(B4464=B4463,"",B4464)</f>
        <v>TrÃ  Vinh</v>
      </c>
    </row>
    <row r="4465" spans="1:6" ht="15.75" customHeight="1">
      <c r="A4465" s="5" t="str">
        <f ca="1">IFERROR(__xludf.DUMMYFUNCTION("GOOGLETRANSLATE(B45720,""en"",""pt"")"),"Trà vinh")</f>
        <v>Trà vinh</v>
      </c>
      <c r="B4465" s="17" t="s">
        <v>36120</v>
      </c>
      <c r="C4465" s="17" t="s">
        <v>30784</v>
      </c>
      <c r="D4465" s="17" t="s">
        <v>36120</v>
      </c>
      <c r="E4465" s="10">
        <v>1563926</v>
      </c>
      <c r="F4465" s="4" t="str">
        <f>IF(B4465=B4464,"",B4465)</f>
        <v>Trà Vinh</v>
      </c>
    </row>
    <row r="4466" spans="1:6" ht="15.75" customHeight="1">
      <c r="A4466" s="5" t="s">
        <v>8020</v>
      </c>
      <c r="B4466" s="6" t="s">
        <v>8020</v>
      </c>
      <c r="C4466" s="5" t="s">
        <v>7988</v>
      </c>
      <c r="D4466" s="5" t="s">
        <v>8002</v>
      </c>
      <c r="E4466" s="2">
        <v>611583</v>
      </c>
      <c r="F4466" s="4" t="str">
        <f>IF(B4466=B4465,"",B4466)</f>
        <v>Tqvarch'eli</v>
      </c>
    </row>
    <row r="4467" spans="1:6" ht="15.75" customHeight="1">
      <c r="A4467" s="5" t="str">
        <f ca="1">IFERROR(__xludf.DUMMYFUNCTION("GOOGLETRANSLATE(B30831,""en"",""pt"")"),"Tqvarch'eli")</f>
        <v>Tqvarch'eli</v>
      </c>
      <c r="B4467" s="17" t="s">
        <v>8020</v>
      </c>
      <c r="C4467" s="17" t="s">
        <v>7988</v>
      </c>
      <c r="D4467" s="17" t="s">
        <v>8002</v>
      </c>
      <c r="E4467" s="10">
        <v>611583</v>
      </c>
      <c r="F4467" s="4" t="str">
        <f>IF(B4467=B4466,"",B4467)</f>
        <v/>
      </c>
    </row>
    <row r="4468" spans="1:6" ht="15.75" customHeight="1">
      <c r="A4468" s="5" t="s">
        <v>14722</v>
      </c>
      <c r="B4468" s="6" t="s">
        <v>14722</v>
      </c>
      <c r="C4468" s="5" t="s">
        <v>14594</v>
      </c>
      <c r="D4468" s="5" t="s">
        <v>14620</v>
      </c>
      <c r="E4468" s="2">
        <v>90026</v>
      </c>
      <c r="F4468" s="4" t="str">
        <f>IF(B4468=B4467,"",B4468)</f>
        <v>Tozkhurmato</v>
      </c>
    </row>
    <row r="4469" spans="1:6" ht="15.75" customHeight="1">
      <c r="A4469" s="5" t="str">
        <f ca="1">IFERROR(__xludf.DUMMYFUNCTION("GOOGLETRANSLATE(B34274,""en"",""pt"")"),"Tozkhurmato")</f>
        <v>Tozkhurmato</v>
      </c>
      <c r="B4469" s="17" t="s">
        <v>14722</v>
      </c>
      <c r="C4469" s="17" t="s">
        <v>14594</v>
      </c>
      <c r="D4469" s="17" t="s">
        <v>14620</v>
      </c>
      <c r="E4469" s="10">
        <v>90026</v>
      </c>
      <c r="F4469" s="4" t="str">
        <f>IF(B4469=B4468,"",B4469)</f>
        <v/>
      </c>
    </row>
    <row r="4470" spans="1:6" ht="15.75" customHeight="1">
      <c r="A4470" s="6" t="s">
        <v>26194</v>
      </c>
      <c r="B4470" s="6" t="s">
        <v>26194</v>
      </c>
      <c r="C4470" s="6" t="s">
        <v>26090</v>
      </c>
      <c r="D4470" s="6" t="s">
        <v>26176</v>
      </c>
      <c r="E4470" s="2">
        <v>2464648</v>
      </c>
      <c r="F4470" s="4" t="str">
        <f>IF(B4470=B4469,"",B4470)</f>
        <v>Tozeur</v>
      </c>
    </row>
    <row r="4471" spans="1:6" ht="15.75" customHeight="1">
      <c r="A4471" s="5" t="str">
        <f ca="1">IFERROR(__xludf.DUMMYFUNCTION("GOOGLETRANSLATE(B41793,""en"",""pt"")"),"Tozeur")</f>
        <v>Tozeur</v>
      </c>
      <c r="B4471" s="17" t="s">
        <v>26194</v>
      </c>
      <c r="C4471" s="17" t="s">
        <v>26090</v>
      </c>
      <c r="D4471" s="17" t="s">
        <v>26176</v>
      </c>
      <c r="E4471" s="10">
        <v>2464648</v>
      </c>
      <c r="F4471" s="4" t="str">
        <f>IF(B4471=B4470,"",B4471)</f>
        <v/>
      </c>
    </row>
    <row r="4472" spans="1:6" ht="15.75" customHeight="1">
      <c r="A4472" s="6" t="s">
        <v>16534</v>
      </c>
      <c r="B4472" s="6" t="s">
        <v>16534</v>
      </c>
      <c r="C4472" s="6" t="s">
        <v>15704</v>
      </c>
      <c r="D4472" s="6" t="s">
        <v>15729</v>
      </c>
      <c r="E4472" s="2">
        <v>1849814</v>
      </c>
      <c r="F4472" s="4" t="str">
        <f>IF(B4472=B4471,"",B4472)</f>
        <v>Toyota</v>
      </c>
    </row>
    <row r="4473" spans="1:6" ht="15.75" customHeight="1">
      <c r="A4473" s="5" t="str">
        <f ca="1">IFERROR(__xludf.DUMMYFUNCTION("GOOGLETRANSLATE(B35210,""en"",""pt"")"),"Toyota")</f>
        <v>Toyota</v>
      </c>
      <c r="B4473" s="17" t="s">
        <v>16534</v>
      </c>
      <c r="C4473" s="17" t="s">
        <v>15704</v>
      </c>
      <c r="D4473" s="17" t="s">
        <v>15729</v>
      </c>
      <c r="E4473" s="10">
        <v>1849814</v>
      </c>
      <c r="F4473" s="4" t="str">
        <f>IF(B4473=B4472,"",B4473)</f>
        <v/>
      </c>
    </row>
    <row r="4474" spans="1:6" ht="15.75" customHeight="1">
      <c r="A4474" s="5" t="s">
        <v>16533</v>
      </c>
      <c r="B4474" s="6" t="s">
        <v>16533</v>
      </c>
      <c r="C4474" s="5" t="s">
        <v>15704</v>
      </c>
      <c r="D4474" s="5" t="s">
        <v>15769</v>
      </c>
      <c r="E4474" s="2">
        <v>1849817</v>
      </c>
      <c r="F4474" s="4" t="str">
        <f>IF(B4474=B4473,"",B4474)</f>
        <v>Toyoshina</v>
      </c>
    </row>
    <row r="4475" spans="1:6" ht="15.75" customHeight="1">
      <c r="A4475" s="5" t="str">
        <f ca="1">IFERROR(__xludf.DUMMYFUNCTION("GOOGLETRANSLATE(B35211,""en"",""pt"")"),"Toyoshina")</f>
        <v>Toyoshina</v>
      </c>
      <c r="B4475" s="17" t="s">
        <v>16533</v>
      </c>
      <c r="C4475" s="17" t="s">
        <v>15704</v>
      </c>
      <c r="D4475" s="17" t="s">
        <v>15769</v>
      </c>
      <c r="E4475" s="10">
        <v>1849817</v>
      </c>
      <c r="F4475" s="4" t="str">
        <f>IF(B4475=B4474,"",B4475)</f>
        <v/>
      </c>
    </row>
    <row r="4476" spans="1:6" ht="15.75" customHeight="1">
      <c r="A4476" s="6" t="s">
        <v>16532</v>
      </c>
      <c r="B4476" s="6" t="s">
        <v>16532</v>
      </c>
      <c r="C4476" s="6" t="s">
        <v>15704</v>
      </c>
      <c r="D4476" s="6" t="s">
        <v>15712</v>
      </c>
      <c r="E4476" s="2">
        <v>1849831</v>
      </c>
      <c r="F4476" s="4" t="str">
        <f>IF(B4476=B4475,"",B4476)</f>
        <v>Toyooka</v>
      </c>
    </row>
    <row r="4477" spans="1:6" ht="15.75" customHeight="1">
      <c r="A4477" s="5" t="str">
        <f ca="1">IFERROR(__xludf.DUMMYFUNCTION("GOOGLETRANSLATE(B35212,""en"",""pt"")"),"Toyooka")</f>
        <v>Toyooka</v>
      </c>
      <c r="B4477" s="17" t="s">
        <v>16532</v>
      </c>
      <c r="C4477" s="17" t="s">
        <v>15704</v>
      </c>
      <c r="D4477" s="17" t="s">
        <v>34291</v>
      </c>
      <c r="E4477" s="10">
        <v>1849831</v>
      </c>
      <c r="F4477" s="4" t="str">
        <f>IF(B4477=B4476,"",B4477)</f>
        <v/>
      </c>
    </row>
    <row r="4478" spans="1:6" ht="15.75" customHeight="1">
      <c r="A4478" s="6" t="s">
        <v>16531</v>
      </c>
      <c r="B4478" s="6" t="s">
        <v>16531</v>
      </c>
      <c r="C4478" s="6" t="s">
        <v>15704</v>
      </c>
      <c r="D4478" s="6" t="s">
        <v>15853</v>
      </c>
      <c r="E4478" s="2">
        <v>1849837</v>
      </c>
      <c r="F4478" s="4" t="str">
        <f>IF(B4478=B4477,"",B4478)</f>
        <v>Toyonaka</v>
      </c>
    </row>
    <row r="4479" spans="1:6" ht="15.75" customHeight="1">
      <c r="A4479" s="5" t="str">
        <f ca="1">IFERROR(__xludf.DUMMYFUNCTION("GOOGLETRANSLATE(B35213,""en"",""pt"")"),"Toyonaka")</f>
        <v>Toyonaka</v>
      </c>
      <c r="B4479" s="17" t="s">
        <v>16531</v>
      </c>
      <c r="C4479" s="17" t="s">
        <v>15704</v>
      </c>
      <c r="D4479" s="17" t="s">
        <v>34295</v>
      </c>
      <c r="E4479" s="10">
        <v>1849837</v>
      </c>
      <c r="F4479" s="4" t="str">
        <f>IF(B4479=B4478,"",B4479)</f>
        <v/>
      </c>
    </row>
    <row r="4480" spans="1:6" ht="15.75" customHeight="1">
      <c r="A4480" s="6" t="s">
        <v>16530</v>
      </c>
      <c r="B4480" s="6" t="s">
        <v>16530</v>
      </c>
      <c r="C4480" s="6" t="s">
        <v>15704</v>
      </c>
      <c r="D4480" s="6" t="s">
        <v>15729</v>
      </c>
      <c r="E4480" s="2">
        <v>1849845</v>
      </c>
      <c r="F4480" s="4" t="str">
        <f>IF(B4480=B4479,"",B4480)</f>
        <v>Toyokawa</v>
      </c>
    </row>
    <row r="4481" spans="1:6" ht="15.75" customHeight="1">
      <c r="A4481" s="5" t="str">
        <f ca="1">IFERROR(__xludf.DUMMYFUNCTION("GOOGLETRANSLATE(B35214,""en"",""pt"")"),"Toyokawa")</f>
        <v>Toyokawa</v>
      </c>
      <c r="B4481" s="17" t="s">
        <v>16530</v>
      </c>
      <c r="C4481" s="17" t="s">
        <v>15704</v>
      </c>
      <c r="D4481" s="17" t="s">
        <v>15729</v>
      </c>
      <c r="E4481" s="10">
        <v>1849845</v>
      </c>
      <c r="F4481" s="4" t="str">
        <f>IF(B4481=B4480,"",B4481)</f>
        <v/>
      </c>
    </row>
    <row r="4482" spans="1:6" ht="15.75" customHeight="1">
      <c r="A4482" s="5" t="s">
        <v>16529</v>
      </c>
      <c r="B4482" s="6" t="s">
        <v>16529</v>
      </c>
      <c r="C4482" s="5" t="s">
        <v>15704</v>
      </c>
      <c r="D4482" s="5" t="s">
        <v>15729</v>
      </c>
      <c r="E4482" s="2">
        <v>1849846</v>
      </c>
      <c r="F4482" s="4" t="str">
        <f>IF(B4482=B4481,"",B4482)</f>
        <v>Toyohashi</v>
      </c>
    </row>
    <row r="4483" spans="1:6" ht="15.75" customHeight="1">
      <c r="A4483" s="5" t="str">
        <f ca="1">IFERROR(__xludf.DUMMYFUNCTION("GOOGLETRANSLATE(B35215,""en"",""pt"")"),"Toyohashi")</f>
        <v>Toyohashi</v>
      </c>
      <c r="B4483" s="17" t="s">
        <v>16529</v>
      </c>
      <c r="C4483" s="17" t="s">
        <v>15704</v>
      </c>
      <c r="D4483" s="17" t="s">
        <v>15729</v>
      </c>
      <c r="E4483" s="10">
        <v>1849846</v>
      </c>
      <c r="F4483" s="4" t="str">
        <f>IF(B4483=B4482,"",B4483)</f>
        <v/>
      </c>
    </row>
    <row r="4484" spans="1:6" ht="15.75" customHeight="1">
      <c r="A4484" s="5" t="s">
        <v>16528</v>
      </c>
      <c r="B4484" s="6" t="s">
        <v>16528</v>
      </c>
      <c r="C4484" s="5" t="s">
        <v>15704</v>
      </c>
      <c r="D4484" s="5" t="s">
        <v>15729</v>
      </c>
      <c r="E4484" s="2">
        <v>1849850</v>
      </c>
      <c r="F4484" s="4" t="str">
        <f>IF(B4484=B4483,"",B4484)</f>
        <v>Toyohama</v>
      </c>
    </row>
    <row r="4485" spans="1:6" ht="15.75" customHeight="1">
      <c r="A4485" s="5" t="str">
        <f ca="1">IFERROR(__xludf.DUMMYFUNCTION("GOOGLETRANSLATE(B35216,""en"",""pt"")"),"Toyohama")</f>
        <v>Toyohama</v>
      </c>
      <c r="B4485" s="17" t="s">
        <v>16528</v>
      </c>
      <c r="C4485" s="17" t="s">
        <v>15704</v>
      </c>
      <c r="D4485" s="17" t="s">
        <v>15729</v>
      </c>
      <c r="E4485" s="10">
        <v>1849850</v>
      </c>
      <c r="F4485" s="4" t="str">
        <f>IF(B4485=B4484,"",B4485)</f>
        <v/>
      </c>
    </row>
    <row r="4486" spans="1:6" ht="15.75" customHeight="1">
      <c r="A4486" s="6" t="s">
        <v>15881</v>
      </c>
      <c r="B4486" s="6" t="s">
        <v>15881</v>
      </c>
      <c r="C4486" s="6" t="s">
        <v>15704</v>
      </c>
      <c r="D4486" s="6" t="s">
        <v>15881</v>
      </c>
      <c r="E4486" s="2">
        <v>1849876</v>
      </c>
      <c r="F4486" s="4" t="str">
        <f>IF(B4486=B4485,"",B4486)</f>
        <v>Toyama</v>
      </c>
    </row>
    <row r="4487" spans="1:6" ht="15.75" customHeight="1">
      <c r="A4487" s="5" t="str">
        <f ca="1">IFERROR(__xludf.DUMMYFUNCTION("GOOGLETRANSLATE(B35217,""en"",""pt"")"),"Toyama")</f>
        <v>Toyama</v>
      </c>
      <c r="B4487" s="17" t="s">
        <v>15881</v>
      </c>
      <c r="C4487" s="17" t="s">
        <v>15704</v>
      </c>
      <c r="D4487" s="17" t="s">
        <v>15881</v>
      </c>
      <c r="E4487" s="10">
        <v>1849876</v>
      </c>
      <c r="F4487" s="4" t="str">
        <f>IF(B4487=B4486,"",B4487)</f>
        <v/>
      </c>
    </row>
    <row r="4488" spans="1:6" ht="15.75" customHeight="1">
      <c r="A4488" s="6" t="s">
        <v>30209</v>
      </c>
      <c r="B4488" s="6" t="s">
        <v>30209</v>
      </c>
      <c r="C4488" s="6" t="s">
        <v>27788</v>
      </c>
      <c r="D4488" s="6" t="s">
        <v>17061</v>
      </c>
      <c r="E4488" s="2">
        <v>4371582</v>
      </c>
      <c r="F4488" s="4" t="str">
        <f>IF(B4488=B4487,"",B4488)</f>
        <v>Towson</v>
      </c>
    </row>
    <row r="4489" spans="1:6" ht="15.75" customHeight="1">
      <c r="A4489" s="5" t="str">
        <f ca="1">IFERROR(__xludf.DUMMYFUNCTION("GOOGLETRANSLATE(B43340,""en"",""pt"")"),"Towson")</f>
        <v>Towson</v>
      </c>
      <c r="B4489" s="17" t="s">
        <v>30209</v>
      </c>
      <c r="C4489" s="17" t="s">
        <v>27788</v>
      </c>
      <c r="D4489" s="17" t="s">
        <v>17061</v>
      </c>
      <c r="E4489" s="10">
        <v>4371582</v>
      </c>
      <c r="F4489" s="4" t="str">
        <f>IF(B4489=B4488,"",B4489)</f>
        <v/>
      </c>
    </row>
    <row r="4490" spans="1:6" ht="15.75" customHeight="1">
      <c r="A4490" s="5" t="s">
        <v>1099</v>
      </c>
      <c r="B4490" s="6" t="s">
        <v>1099</v>
      </c>
      <c r="C4490" s="5" t="s">
        <v>885</v>
      </c>
      <c r="D4490" s="5" t="s">
        <v>910</v>
      </c>
      <c r="E4490" s="2">
        <v>2146142</v>
      </c>
      <c r="F4490" s="4" t="str">
        <f>IF(B4490=B4489,"",B4490)</f>
        <v>Townsville</v>
      </c>
    </row>
    <row r="4491" spans="1:6" ht="15.75" customHeight="1">
      <c r="A4491" s="5" t="str">
        <f ca="1">IFERROR(__xludf.DUMMYFUNCTION("GOOGLETRANSLATE(B23437,""en"",""pt"")"),"Townsville")</f>
        <v>Townsville</v>
      </c>
      <c r="B4491" s="17" t="s">
        <v>1099</v>
      </c>
      <c r="C4491" s="17" t="s">
        <v>885</v>
      </c>
      <c r="D4491" s="17" t="s">
        <v>910</v>
      </c>
      <c r="E4491" s="10">
        <v>2146142</v>
      </c>
      <c r="F4491" s="4" t="str">
        <f>IF(B4491=B4490,"",B4491)</f>
        <v/>
      </c>
    </row>
    <row r="4492" spans="1:6" ht="15.75" customHeight="1">
      <c r="A4492" s="5" t="s">
        <v>30207</v>
      </c>
      <c r="B4492" s="6" t="s">
        <v>30208</v>
      </c>
      <c r="C4492" s="5" t="s">
        <v>27788</v>
      </c>
      <c r="D4492" s="5" t="s">
        <v>5468</v>
      </c>
      <c r="E4492" s="2">
        <v>4175538</v>
      </c>
      <c r="F4492" s="4" t="str">
        <f>IF(B4492=B4491,"",B4492)</f>
        <v>Town 'n' Country</v>
      </c>
    </row>
    <row r="4493" spans="1:6" ht="15.75" customHeight="1">
      <c r="A4493" s="5" t="str">
        <f ca="1">IFERROR(__xludf.DUMMYFUNCTION("GOOGLETRANSLATE(B43036,""en"",""pt"")"),"País da cidade")</f>
        <v>País da cidade</v>
      </c>
      <c r="B4493" s="17" t="s">
        <v>30208</v>
      </c>
      <c r="C4493" s="17" t="s">
        <v>27788</v>
      </c>
      <c r="D4493" s="17" t="s">
        <v>5468</v>
      </c>
      <c r="E4493" s="10">
        <v>4175538</v>
      </c>
      <c r="F4493" s="4" t="str">
        <f>IF(B4493=B4492,"",B4493)</f>
        <v/>
      </c>
    </row>
    <row r="4494" spans="1:6" ht="15.75" customHeight="1">
      <c r="A4494" s="6" t="s">
        <v>7861</v>
      </c>
      <c r="B4494" s="6" t="s">
        <v>7862</v>
      </c>
      <c r="C4494" s="6" t="s">
        <v>7052</v>
      </c>
      <c r="D4494" s="6" t="s">
        <v>3813</v>
      </c>
      <c r="E4494" s="2">
        <v>2972191</v>
      </c>
      <c r="F4494" s="4" t="str">
        <f>IF(B4494=B4493,"",B4494)</f>
        <v>Tours</v>
      </c>
    </row>
    <row r="4495" spans="1:6" ht="15.75" customHeight="1">
      <c r="A4495" s="5" t="str">
        <f ca="1">IFERROR(__xludf.DUMMYFUNCTION("GOOGLETRANSLATE(B29726,""en"",""pt"")"),"Passeios")</f>
        <v>Passeios</v>
      </c>
      <c r="B4495" s="17" t="s">
        <v>7862</v>
      </c>
      <c r="C4495" s="17" t="s">
        <v>7052</v>
      </c>
      <c r="D4495" s="17" t="s">
        <v>3813</v>
      </c>
      <c r="E4495" s="10">
        <v>2972191</v>
      </c>
      <c r="F4495" s="4" t="str">
        <f>IF(B4495=B4494,"",B4495)</f>
        <v/>
      </c>
    </row>
    <row r="4496" spans="1:6" ht="15.75" customHeight="1">
      <c r="A4496" s="5" t="s">
        <v>7860</v>
      </c>
      <c r="B4496" s="6" t="s">
        <v>7860</v>
      </c>
      <c r="C4496" s="5" t="s">
        <v>7052</v>
      </c>
      <c r="D4496" s="5" t="s">
        <v>7082</v>
      </c>
      <c r="E4496" s="2">
        <v>2972237</v>
      </c>
      <c r="F4496" s="4" t="str">
        <f>IF(B4496=B4495,"",B4496)</f>
        <v>Tournefeuille</v>
      </c>
    </row>
    <row r="4497" spans="1:6" ht="15.75" customHeight="1">
      <c r="A4497" s="5" t="str">
        <f ca="1">IFERROR(__xludf.DUMMYFUNCTION("GOOGLETRANSLATE(B29727,""en"",""pt"")"),"Tournefeuille")</f>
        <v>Tournefeuille</v>
      </c>
      <c r="B4497" s="17" t="s">
        <v>7860</v>
      </c>
      <c r="C4497" s="17" t="s">
        <v>7052</v>
      </c>
      <c r="D4497" s="17" t="s">
        <v>32547</v>
      </c>
      <c r="E4497" s="10">
        <v>2972237</v>
      </c>
      <c r="F4497" s="4" t="str">
        <f>IF(B4497=B4496,"",B4497)</f>
        <v/>
      </c>
    </row>
    <row r="4498" spans="1:6" ht="15.75" customHeight="1">
      <c r="A4498" s="6" t="s">
        <v>1702</v>
      </c>
      <c r="B4498" s="6" t="s">
        <v>1703</v>
      </c>
      <c r="C4498" s="6" t="s">
        <v>1512</v>
      </c>
      <c r="D4498" s="6" t="s">
        <v>1518</v>
      </c>
      <c r="E4498" s="2">
        <v>2785341</v>
      </c>
      <c r="F4498" s="4" t="str">
        <f>IF(B4498=B4497,"",B4498)</f>
        <v>Tournai</v>
      </c>
    </row>
    <row r="4499" spans="1:6" ht="15.75" customHeight="1">
      <c r="A4499" s="5" t="str">
        <f ca="1">IFERROR(__xludf.DUMMYFUNCTION("GOOGLETRANSLATE(B23815,""en"",""pt"")"),"Torneio")</f>
        <v>Torneio</v>
      </c>
      <c r="B4499" s="17" t="s">
        <v>1703</v>
      </c>
      <c r="C4499" s="17" t="s">
        <v>1512</v>
      </c>
      <c r="D4499" s="17" t="s">
        <v>1518</v>
      </c>
      <c r="E4499" s="10">
        <v>2785341</v>
      </c>
      <c r="F4499" s="4" t="str">
        <f>IF(B4499=B4498,"",B4499)</f>
        <v/>
      </c>
    </row>
    <row r="4500" spans="1:6" ht="15.75" customHeight="1">
      <c r="A4500" s="5" t="s">
        <v>7858</v>
      </c>
      <c r="B4500" s="6" t="s">
        <v>7859</v>
      </c>
      <c r="C4500" s="5" t="s">
        <v>7052</v>
      </c>
      <c r="D4500" s="5" t="s">
        <v>7068</v>
      </c>
      <c r="E4500" s="2">
        <v>2972270</v>
      </c>
      <c r="F4500" s="4" t="str">
        <f>IF(B4500=B4499,"",B4500)</f>
        <v>Tourlaville</v>
      </c>
    </row>
    <row r="4501" spans="1:6" ht="15.75" customHeight="1">
      <c r="A4501" s="5" t="str">
        <f ca="1">IFERROR(__xludf.DUMMYFUNCTION("GOOGLETRANSLATE(B29728,""en"",""pt"")"),"TourLaville")</f>
        <v>TourLaville</v>
      </c>
      <c r="B4501" s="17" t="s">
        <v>7859</v>
      </c>
      <c r="C4501" s="17" t="s">
        <v>7052</v>
      </c>
      <c r="D4501" s="17" t="s">
        <v>7068</v>
      </c>
      <c r="E4501" s="10">
        <v>2972270</v>
      </c>
      <c r="F4501" s="4" t="str">
        <f>IF(B4501=B4500,"",B4501)</f>
        <v/>
      </c>
    </row>
    <row r="4502" spans="1:6" ht="15.75" customHeight="1">
      <c r="A4502" s="5" t="s">
        <v>7856</v>
      </c>
      <c r="B4502" s="6" t="s">
        <v>7857</v>
      </c>
      <c r="C4502" s="5" t="s">
        <v>7052</v>
      </c>
      <c r="D4502" s="5" t="s">
        <v>7078</v>
      </c>
      <c r="E4502" s="2">
        <v>2972284</v>
      </c>
      <c r="F4502" s="4" t="str">
        <f>IF(B4502=B4501,"",B4502)</f>
        <v>Tourcoing</v>
      </c>
    </row>
    <row r="4503" spans="1:6" ht="15.75" customHeight="1">
      <c r="A4503" s="5" t="str">
        <f ca="1">IFERROR(__xludf.DUMMYFUNCTION("GOOGLETRANSLATE(B29729,""en"",""pt"")"),"TOURCOING")</f>
        <v>TOURCOING</v>
      </c>
      <c r="B4503" s="17" t="s">
        <v>7857</v>
      </c>
      <c r="C4503" s="17" t="s">
        <v>7052</v>
      </c>
      <c r="D4503" s="17" t="s">
        <v>7078</v>
      </c>
      <c r="E4503" s="10">
        <v>2972284</v>
      </c>
      <c r="F4503" s="4" t="str">
        <f>IF(B4503=B4502,"",B4503)</f>
        <v/>
      </c>
    </row>
    <row r="4504" spans="1:6" ht="15.75" customHeight="1">
      <c r="A4504" s="6" t="s">
        <v>15675</v>
      </c>
      <c r="B4504" s="6" t="s">
        <v>15675</v>
      </c>
      <c r="C4504" s="6" t="s">
        <v>15586</v>
      </c>
      <c r="D4504" s="6" t="s">
        <v>15607</v>
      </c>
      <c r="E4504" s="2">
        <v>2280316</v>
      </c>
      <c r="F4504" s="4" t="str">
        <f>IF(B4504=B4503,"",B4504)</f>
        <v>Toumodi</v>
      </c>
    </row>
    <row r="4505" spans="1:6" ht="15.75" customHeight="1">
      <c r="A4505" s="5" t="str">
        <f ca="1">IFERROR(__xludf.DUMMYFUNCTION("GOOGLETRANSLATE(B25828,""en"",""pt"")"),"Toumodi")</f>
        <v>Toumodi</v>
      </c>
      <c r="B4505" s="17" t="s">
        <v>15675</v>
      </c>
      <c r="C4505" s="17" t="s">
        <v>15586</v>
      </c>
      <c r="D4505" s="17" t="s">
        <v>15607</v>
      </c>
      <c r="E4505" s="10">
        <v>2280316</v>
      </c>
      <c r="F4505" s="4" t="str">
        <f>IF(B4505=B4504,"",B4505)</f>
        <v/>
      </c>
    </row>
    <row r="4506" spans="1:6" ht="15.75" customHeight="1">
      <c r="A4506" s="6" t="s">
        <v>7855</v>
      </c>
      <c r="B4506" s="6" t="s">
        <v>7855</v>
      </c>
      <c r="C4506" s="6" t="s">
        <v>7052</v>
      </c>
      <c r="D4506" s="6" t="s">
        <v>7082</v>
      </c>
      <c r="E4506" s="2">
        <v>2972315</v>
      </c>
      <c r="F4506" s="4" t="str">
        <f>IF(B4506=B4505,"",B4506)</f>
        <v>Toulouse</v>
      </c>
    </row>
    <row r="4507" spans="1:6" ht="15.75" customHeight="1">
      <c r="A4507" s="5" t="str">
        <f ca="1">IFERROR(__xludf.DUMMYFUNCTION("GOOGLETRANSLATE(B29730,""en"",""pt"")"),"Toulouse")</f>
        <v>Toulouse</v>
      </c>
      <c r="B4507" s="17" t="s">
        <v>7855</v>
      </c>
      <c r="C4507" s="17" t="s">
        <v>7052</v>
      </c>
      <c r="D4507" s="17" t="s">
        <v>32547</v>
      </c>
      <c r="E4507" s="10">
        <v>2972315</v>
      </c>
      <c r="F4507" s="4" t="str">
        <f>IF(B4507=B4506,"",B4507)</f>
        <v/>
      </c>
    </row>
    <row r="4508" spans="1:6" ht="15.75" customHeight="1">
      <c r="A4508" s="6" t="s">
        <v>7854</v>
      </c>
      <c r="B4508" s="6" t="s">
        <v>7854</v>
      </c>
      <c r="C4508" s="6" t="s">
        <v>7052</v>
      </c>
      <c r="D4508" s="6" t="s">
        <v>7087</v>
      </c>
      <c r="E4508" s="2">
        <v>2972328</v>
      </c>
      <c r="F4508" s="4" t="str">
        <f>IF(B4508=B4507,"",B4508)</f>
        <v>Toulon</v>
      </c>
    </row>
    <row r="4509" spans="1:6" ht="15.75" customHeight="1">
      <c r="A4509" s="5" t="str">
        <f ca="1">IFERROR(__xludf.DUMMYFUNCTION("GOOGLETRANSLATE(B29731,""en"",""pt"")"),"Toulon")</f>
        <v>Toulon</v>
      </c>
      <c r="B4509" s="17" t="s">
        <v>7854</v>
      </c>
      <c r="C4509" s="17" t="s">
        <v>7052</v>
      </c>
      <c r="D4509" s="17" t="s">
        <v>32534</v>
      </c>
      <c r="E4509" s="10">
        <v>2972328</v>
      </c>
      <c r="F4509" s="4" t="str">
        <f>IF(B4509=B4508,"",B4509)</f>
        <v/>
      </c>
    </row>
    <row r="4510" spans="1:6" ht="15.75" customHeight="1">
      <c r="A4510" s="6" t="s">
        <v>7853</v>
      </c>
      <c r="B4510" s="6" t="s">
        <v>7853</v>
      </c>
      <c r="C4510" s="6" t="s">
        <v>7052</v>
      </c>
      <c r="D4510" s="6" t="s">
        <v>7061</v>
      </c>
      <c r="E4510" s="2">
        <v>2972350</v>
      </c>
      <c r="F4510" s="4" t="str">
        <f>IF(B4510=B4509,"",B4510)</f>
        <v>Toul</v>
      </c>
    </row>
    <row r="4511" spans="1:6" ht="15.75" customHeight="1">
      <c r="A4511" s="5" t="str">
        <f ca="1">IFERROR(__xludf.DUMMYFUNCTION("GOOGLETRANSLATE(B29732,""en"",""pt"")"),"Toul")</f>
        <v>Toul</v>
      </c>
      <c r="B4511" s="17" t="s">
        <v>7853</v>
      </c>
      <c r="C4511" s="17" t="s">
        <v>7052</v>
      </c>
      <c r="D4511" s="17" t="s">
        <v>7061</v>
      </c>
      <c r="E4511" s="10">
        <v>2972350</v>
      </c>
      <c r="F4511" s="4" t="str">
        <f>IF(B4511=B4510,"",B4511)</f>
        <v/>
      </c>
    </row>
    <row r="4512" spans="1:6" ht="15.75" customHeight="1">
      <c r="A4512" s="6" t="s">
        <v>6722</v>
      </c>
      <c r="B4512" s="6" t="s">
        <v>6722</v>
      </c>
      <c r="C4512" s="6" t="s">
        <v>6495</v>
      </c>
      <c r="D4512" s="6" t="s">
        <v>6561</v>
      </c>
      <c r="E4512" s="2">
        <v>347236</v>
      </c>
      <c r="F4512" s="4" t="str">
        <f>IF(B4512=B4511,"",B4512)</f>
        <v>Toukh</v>
      </c>
    </row>
    <row r="4513" spans="1:6" ht="15.75" customHeight="1">
      <c r="A4513" s="5" t="str">
        <f ca="1">IFERROR(__xludf.DUMMYFUNCTION("GOOGLETRANSLATE(B28822,""en"",""pt"")"),"Toukh")</f>
        <v>Toukh</v>
      </c>
      <c r="B4513" s="17" t="s">
        <v>6722</v>
      </c>
      <c r="C4513" s="17" t="s">
        <v>6495</v>
      </c>
      <c r="D4513" s="17" t="s">
        <v>32246</v>
      </c>
      <c r="E4513" s="10">
        <v>347236</v>
      </c>
      <c r="F4513" s="4" t="str">
        <f>IF(B4513=B4512,"",B4513)</f>
        <v/>
      </c>
    </row>
    <row r="4514" spans="1:6" ht="15.75" customHeight="1">
      <c r="A4514" s="5" t="str">
        <f ca="1">IFERROR(__xludf.DUMMYFUNCTION("GOOGLETRANSLATE(B30922,""en"",""pt"")"),"Tougué")</f>
        <v>Tougué</v>
      </c>
      <c r="B4514" s="17" t="s">
        <v>9851</v>
      </c>
      <c r="C4514" s="17" t="s">
        <v>9826</v>
      </c>
      <c r="D4514" s="17" t="s">
        <v>9841</v>
      </c>
      <c r="E4514" s="10">
        <v>2414545</v>
      </c>
      <c r="F4514" s="4" t="str">
        <f>IF(B4514=B4513,"",B4514)</f>
        <v>Tougué</v>
      </c>
    </row>
    <row r="4515" spans="1:6" ht="15.75" customHeight="1">
      <c r="A4515" s="6" t="s">
        <v>9851</v>
      </c>
      <c r="B4515" s="6" t="s">
        <v>9852</v>
      </c>
      <c r="C4515" s="6" t="s">
        <v>9826</v>
      </c>
      <c r="D4515" s="6" t="s">
        <v>9841</v>
      </c>
      <c r="E4515" s="2">
        <v>2414545</v>
      </c>
      <c r="F4515" s="4" t="str">
        <f>IF(B4515=B4514,"",B4515)</f>
        <v>TouguÃ©</v>
      </c>
    </row>
    <row r="4516" spans="1:6" ht="15.75" customHeight="1">
      <c r="A4516" s="5" t="s">
        <v>493</v>
      </c>
      <c r="B4516" s="6" t="s">
        <v>493</v>
      </c>
      <c r="C4516" s="5" t="s">
        <v>153</v>
      </c>
      <c r="D4516" s="5" t="s">
        <v>323</v>
      </c>
      <c r="E4516" s="2">
        <v>2475475</v>
      </c>
      <c r="F4516" s="4" t="str">
        <f>IF(B4516=B4515,"",B4516)</f>
        <v>Touggourt</v>
      </c>
    </row>
    <row r="4517" spans="1:6" ht="15.75" customHeight="1">
      <c r="A4517" s="5" t="str">
        <f ca="1">IFERROR(__xludf.DUMMYFUNCTION("GOOGLETRANSLATE(B28503,""en"",""pt"")"),"Touggourt")</f>
        <v>Touggourt</v>
      </c>
      <c r="B4517" s="17" t="s">
        <v>493</v>
      </c>
      <c r="C4517" s="17" t="s">
        <v>153</v>
      </c>
      <c r="D4517" s="17" t="s">
        <v>323</v>
      </c>
      <c r="E4517" s="10">
        <v>2475475</v>
      </c>
      <c r="F4517" s="4" t="str">
        <f>IF(B4517=B4516,"",B4517)</f>
        <v/>
      </c>
    </row>
    <row r="4518" spans="1:6" ht="15.75" customHeight="1">
      <c r="A4518" s="6" t="s">
        <v>3821</v>
      </c>
      <c r="B4518" s="6" t="s">
        <v>3821</v>
      </c>
      <c r="C4518" s="6" t="s">
        <v>3768</v>
      </c>
      <c r="D4518" s="6" t="s">
        <v>3780</v>
      </c>
      <c r="E4518" s="2">
        <v>2354176</v>
      </c>
      <c r="F4518" s="4" t="str">
        <f>IF(B4518=B4517,"",B4518)</f>
        <v>Tougan</v>
      </c>
    </row>
    <row r="4519" spans="1:6" ht="15.75" customHeight="1">
      <c r="A4519" s="5" t="str">
        <f ca="1">IFERROR(__xludf.DUMMYFUNCTION("GOOGLETRANSLATE(B23977,""en"",""pt"")"),"Tougan")</f>
        <v>Tougan</v>
      </c>
      <c r="B4519" s="17" t="s">
        <v>3821</v>
      </c>
      <c r="C4519" s="17" t="s">
        <v>3768</v>
      </c>
      <c r="D4519" s="17" t="s">
        <v>3780</v>
      </c>
      <c r="E4519" s="10">
        <v>2354176</v>
      </c>
      <c r="F4519" s="4" t="str">
        <f>IF(B4519=B4518,"",B4519)</f>
        <v/>
      </c>
    </row>
    <row r="4520" spans="1:6" ht="15.75" customHeight="1">
      <c r="A4520" s="6" t="s">
        <v>15673</v>
      </c>
      <c r="B4520" s="6" t="s">
        <v>15673</v>
      </c>
      <c r="C4520" s="6" t="s">
        <v>15586</v>
      </c>
      <c r="D4520" s="6" t="s">
        <v>15674</v>
      </c>
      <c r="E4520" s="2">
        <v>2280376</v>
      </c>
      <c r="F4520" s="4" t="str">
        <f>IF(B4520=B4519,"",B4520)</f>
        <v>Touba</v>
      </c>
    </row>
    <row r="4521" spans="1:6" ht="15.75" customHeight="1">
      <c r="A4521" s="6" t="s">
        <v>15673</v>
      </c>
      <c r="B4521" s="6" t="s">
        <v>15673</v>
      </c>
      <c r="C4521" s="6" t="s">
        <v>23559</v>
      </c>
      <c r="D4521" s="6" t="s">
        <v>23580</v>
      </c>
      <c r="E4521" s="2">
        <v>2244322</v>
      </c>
      <c r="F4521" s="4" t="str">
        <f>IF(B4521=B4520,"",B4521)</f>
        <v/>
      </c>
    </row>
    <row r="4522" spans="1:6" ht="15.75" customHeight="1">
      <c r="A4522" s="5" t="str">
        <f ca="1">IFERROR(__xludf.DUMMYFUNCTION("GOOGLETRANSLATE(B25829,""en"",""pt"")"),"Touba")</f>
        <v>Touba</v>
      </c>
      <c r="B4522" s="17" t="s">
        <v>15673</v>
      </c>
      <c r="C4522" s="17" t="s">
        <v>15586</v>
      </c>
      <c r="D4522" s="17" t="s">
        <v>15674</v>
      </c>
      <c r="E4522" s="10">
        <v>2280376</v>
      </c>
      <c r="F4522" s="4" t="str">
        <f>IF(B4522=B4521,"",B4522)</f>
        <v/>
      </c>
    </row>
    <row r="4523" spans="1:6" ht="15.75" customHeight="1">
      <c r="A4523" s="5" t="str">
        <f ca="1">IFERROR(__xludf.DUMMYFUNCTION("GOOGLETRANSLATE(B41286,""en"",""pt"")"),"Touba")</f>
        <v>Touba</v>
      </c>
      <c r="B4523" s="17" t="s">
        <v>15673</v>
      </c>
      <c r="C4523" s="17" t="s">
        <v>23559</v>
      </c>
      <c r="D4523" s="17" t="s">
        <v>23580</v>
      </c>
      <c r="E4523" s="10">
        <v>2244322</v>
      </c>
      <c r="F4523" s="4" t="str">
        <f>IF(B4523=B4522,"",B4523)</f>
        <v/>
      </c>
    </row>
    <row r="4524" spans="1:6" ht="15.75" customHeight="1">
      <c r="A4524" s="6" t="s">
        <v>16174</v>
      </c>
      <c r="B4524" s="6" t="s">
        <v>16174</v>
      </c>
      <c r="C4524" s="6" t="s">
        <v>15704</v>
      </c>
      <c r="D4524" s="6" t="s">
        <v>16174</v>
      </c>
      <c r="E4524" s="2">
        <v>1849892</v>
      </c>
      <c r="F4524" s="4" t="str">
        <f>IF(B4524=B4523,"",B4524)</f>
        <v>Tottori</v>
      </c>
    </row>
    <row r="4525" spans="1:6" ht="15.75" customHeight="1">
      <c r="A4525" s="5" t="str">
        <f ca="1">IFERROR(__xludf.DUMMYFUNCTION("GOOGLETRANSLATE(B35218,""en"",""pt"")"),"Tottori")</f>
        <v>Tottori</v>
      </c>
      <c r="B4525" s="17" t="s">
        <v>16174</v>
      </c>
      <c r="C4525" s="17" t="s">
        <v>15704</v>
      </c>
      <c r="D4525" s="17" t="s">
        <v>16174</v>
      </c>
      <c r="E4525" s="10">
        <v>1849892</v>
      </c>
      <c r="F4525" s="4" t="str">
        <f>IF(B4525=B4524,"",B4525)</f>
        <v/>
      </c>
    </row>
    <row r="4526" spans="1:6" ht="15.75" customHeight="1">
      <c r="A4526" s="5" t="str">
        <f ca="1">IFERROR(__xludf.DUMMYFUNCTION("GOOGLETRANSLATE(B31067,""en"",""pt"")"),"Totonicapán")</f>
        <v>Totonicapán</v>
      </c>
      <c r="B4526" s="17" t="s">
        <v>32765</v>
      </c>
      <c r="C4526" s="17" t="s">
        <v>9700</v>
      </c>
      <c r="D4526" s="17" t="s">
        <v>32765</v>
      </c>
      <c r="E4526" s="10">
        <v>3588258</v>
      </c>
      <c r="F4526" s="4" t="str">
        <f>IF(B4526=B4525,"",B4526)</f>
        <v>Totonicapán</v>
      </c>
    </row>
    <row r="4527" spans="1:6" ht="15.75" customHeight="1">
      <c r="A4527" s="5" t="s">
        <v>9818</v>
      </c>
      <c r="B4527" s="6" t="s">
        <v>9756</v>
      </c>
      <c r="C4527" s="5" t="s">
        <v>9700</v>
      </c>
      <c r="D4527" s="5" t="s">
        <v>9756</v>
      </c>
      <c r="E4527" s="2">
        <v>3588258</v>
      </c>
      <c r="F4527" s="4" t="str">
        <f>IF(B4527=B4526,"",B4527)</f>
        <v>TotonicapÃ¡n</v>
      </c>
    </row>
    <row r="4528" spans="1:6" ht="15.75" customHeight="1">
      <c r="A4528" s="6" t="s">
        <v>24865</v>
      </c>
      <c r="B4528" s="6" t="s">
        <v>24865</v>
      </c>
      <c r="C4528" s="6" t="s">
        <v>24200</v>
      </c>
      <c r="D4528" s="6" t="s">
        <v>20912</v>
      </c>
      <c r="E4528" s="2">
        <v>2510224</v>
      </c>
      <c r="F4528" s="4" t="str">
        <f>IF(B4528=B4527,"",B4528)</f>
        <v>Totana</v>
      </c>
    </row>
    <row r="4529" spans="1:6" ht="15.75" customHeight="1">
      <c r="A4529" s="5" t="str">
        <f ca="1">IFERROR(__xludf.DUMMYFUNCTION("GOOGLETRANSLATE(B28965,""en"",""pt"")"),"Totana")</f>
        <v>Totana</v>
      </c>
      <c r="B4529" s="17" t="s">
        <v>24865</v>
      </c>
      <c r="C4529" s="17" t="s">
        <v>24200</v>
      </c>
      <c r="D4529" s="17" t="s">
        <v>20912</v>
      </c>
      <c r="E4529" s="10">
        <v>2510224</v>
      </c>
      <c r="F4529" s="4" t="str">
        <f>IF(B4529=B4528,"",B4529)</f>
        <v/>
      </c>
    </row>
    <row r="4530" spans="1:6" ht="15.75" customHeight="1">
      <c r="A4530" s="6" t="s">
        <v>26735</v>
      </c>
      <c r="B4530" s="6" t="s">
        <v>26735</v>
      </c>
      <c r="C4530" s="6" t="s">
        <v>26201</v>
      </c>
      <c r="D4530" s="6" t="s">
        <v>26590</v>
      </c>
      <c r="E4530" s="2">
        <v>738662</v>
      </c>
      <c r="F4530" s="4" t="str">
        <f>IF(B4530=B4529,"",B4530)</f>
        <v>Tosya</v>
      </c>
    </row>
    <row r="4531" spans="1:6" ht="15.75" customHeight="1">
      <c r="A4531" s="5" t="str">
        <f ca="1">IFERROR(__xludf.DUMMYFUNCTION("GOOGLETRANSLATE(B42103,""en"",""pt"")"),"Tosya")</f>
        <v>Tosya</v>
      </c>
      <c r="B4531" s="17" t="s">
        <v>26735</v>
      </c>
      <c r="C4531" s="17" t="s">
        <v>26201</v>
      </c>
      <c r="D4531" s="17" t="s">
        <v>26590</v>
      </c>
      <c r="E4531" s="10">
        <v>738662</v>
      </c>
      <c r="F4531" s="4" t="str">
        <f>IF(B4531=B4530,"",B4531)</f>
        <v/>
      </c>
    </row>
    <row r="4532" spans="1:6" ht="15.75" customHeight="1">
      <c r="A4532" s="6" t="s">
        <v>16527</v>
      </c>
      <c r="B4532" s="6" t="s">
        <v>16527</v>
      </c>
      <c r="C4532" s="6" t="s">
        <v>15704</v>
      </c>
      <c r="D4532" s="6" t="s">
        <v>15761</v>
      </c>
      <c r="E4532" s="2">
        <v>1849904</v>
      </c>
      <c r="F4532" s="4" t="str">
        <f>IF(B4532=B4531,"",B4532)</f>
        <v>Tosu</v>
      </c>
    </row>
    <row r="4533" spans="1:6" ht="15.75" customHeight="1">
      <c r="A4533" s="5" t="str">
        <f ca="1">IFERROR(__xludf.DUMMYFUNCTION("GOOGLETRANSLATE(B35219,""en"",""pt"")"),"Tosu")</f>
        <v>Tosu</v>
      </c>
      <c r="B4533" s="17" t="s">
        <v>16527</v>
      </c>
      <c r="C4533" s="17" t="s">
        <v>15704</v>
      </c>
      <c r="D4533" s="17" t="s">
        <v>15761</v>
      </c>
      <c r="E4533" s="10">
        <v>1849904</v>
      </c>
      <c r="F4533" s="4" t="str">
        <f>IF(B4533=B4532,"",B4533)</f>
        <v/>
      </c>
    </row>
    <row r="4534" spans="1:6" ht="15.75" customHeight="1">
      <c r="A4534" s="6" t="s">
        <v>23197</v>
      </c>
      <c r="B4534" s="6" t="s">
        <v>23197</v>
      </c>
      <c r="C4534" s="6" t="s">
        <v>22070</v>
      </c>
      <c r="D4534" s="6" t="s">
        <v>22094</v>
      </c>
      <c r="E4534" s="2">
        <v>481964</v>
      </c>
      <c r="F4534" s="4" t="str">
        <f>IF(B4534=B4533,"",B4534)</f>
        <v>Tosno</v>
      </c>
    </row>
    <row r="4535" spans="1:6" ht="15.75" customHeight="1">
      <c r="A4535" s="5" t="str">
        <f ca="1">IFERROR(__xludf.DUMMYFUNCTION("GOOGLETRANSLATE(B40029,""en"",""pt"")"),"Tosno")</f>
        <v>Tosno</v>
      </c>
      <c r="B4535" s="17" t="s">
        <v>23197</v>
      </c>
      <c r="C4535" s="17" t="s">
        <v>22070</v>
      </c>
      <c r="D4535" s="17" t="s">
        <v>22094</v>
      </c>
      <c r="E4535" s="10">
        <v>481964</v>
      </c>
      <c r="F4535" s="4" t="str">
        <f>IF(B4535=B4534,"",B4535)</f>
        <v/>
      </c>
    </row>
    <row r="4536" spans="1:6" ht="15.75" customHeight="1">
      <c r="A4536" s="6" t="s">
        <v>30607</v>
      </c>
      <c r="B4536" s="6" t="s">
        <v>30607</v>
      </c>
      <c r="C4536" s="6" t="s">
        <v>30502</v>
      </c>
      <c r="D4536" s="6" t="s">
        <v>30513</v>
      </c>
      <c r="E4536" s="2">
        <v>1512568</v>
      </c>
      <c r="F4536" s="4" t="str">
        <f>IF(B4536=B4535,"",B4536)</f>
        <v>Toshloq</v>
      </c>
    </row>
    <row r="4537" spans="1:6" ht="15.75" customHeight="1">
      <c r="A4537" s="5" t="str">
        <f ca="1">IFERROR(__xludf.DUMMYFUNCTION("GOOGLETRANSLATE(B45541,""en"",""pt"")"),"Toshloq")</f>
        <v>Toshloq</v>
      </c>
      <c r="B4537" s="17" t="s">
        <v>30607</v>
      </c>
      <c r="C4537" s="17" t="s">
        <v>30502</v>
      </c>
      <c r="D4537" s="17" t="s">
        <v>30513</v>
      </c>
      <c r="E4537" s="10">
        <v>1512568</v>
      </c>
      <c r="F4537" s="4" t="str">
        <f>IF(B4537=B4536,"",B4537)</f>
        <v/>
      </c>
    </row>
    <row r="4538" spans="1:6" ht="15.75" customHeight="1">
      <c r="A4538" s="5" t="s">
        <v>30606</v>
      </c>
      <c r="B4538" s="6" t="s">
        <v>30606</v>
      </c>
      <c r="C4538" s="5" t="s">
        <v>30502</v>
      </c>
      <c r="D4538" s="5" t="s">
        <v>30528</v>
      </c>
      <c r="E4538" s="2">
        <v>1512658</v>
      </c>
      <c r="F4538" s="4" t="str">
        <f>IF(B4538=B4537,"",B4538)</f>
        <v>Toshbuloq</v>
      </c>
    </row>
    <row r="4539" spans="1:6" ht="15.75" customHeight="1">
      <c r="A4539" s="5" t="str">
        <f ca="1">IFERROR(__xludf.DUMMYFUNCTION("GOOGLETRANSLATE(B45543,""en"",""pt"")"),"Toshbuloq")</f>
        <v>Toshbuloq</v>
      </c>
      <c r="B4539" s="17" t="s">
        <v>30606</v>
      </c>
      <c r="C4539" s="17" t="s">
        <v>30502</v>
      </c>
      <c r="D4539" s="17" t="s">
        <v>30528</v>
      </c>
      <c r="E4539" s="10">
        <v>1512658</v>
      </c>
      <c r="F4539" s="4" t="str">
        <f>IF(B4539=B4538,"",B4539)</f>
        <v/>
      </c>
    </row>
    <row r="4540" spans="1:6" ht="15.75" customHeight="1">
      <c r="A4540" s="6" t="s">
        <v>23196</v>
      </c>
      <c r="B4540" s="6" t="s">
        <v>23196</v>
      </c>
      <c r="C4540" s="6" t="s">
        <v>22070</v>
      </c>
      <c r="D4540" s="6" t="s">
        <v>22229</v>
      </c>
      <c r="E4540" s="2">
        <v>481985</v>
      </c>
      <c r="F4540" s="4" t="str">
        <f>IF(B4540=B4539,"",B4540)</f>
        <v>Torzhok</v>
      </c>
    </row>
    <row r="4541" spans="1:6" ht="15.75" customHeight="1">
      <c r="A4541" s="5" t="str">
        <f ca="1">IFERROR(__xludf.DUMMYFUNCTION("GOOGLETRANSLATE(B40030,""en"",""pt"")"),"Torzhok")</f>
        <v>Torzhok</v>
      </c>
      <c r="B4541" s="17" t="s">
        <v>23196</v>
      </c>
      <c r="C4541" s="17" t="s">
        <v>22070</v>
      </c>
      <c r="D4541" s="17" t="s">
        <v>22229</v>
      </c>
      <c r="E4541" s="10">
        <v>481985</v>
      </c>
      <c r="F4541" s="4" t="str">
        <f>IF(B4541=B4540,"",B4541)</f>
        <v/>
      </c>
    </row>
    <row r="4542" spans="1:6" ht="15.75" customHeight="1">
      <c r="A4542" s="5" t="s">
        <v>15536</v>
      </c>
      <c r="B4542" s="6" t="s">
        <v>15536</v>
      </c>
      <c r="C4542" s="5" t="s">
        <v>14891</v>
      </c>
      <c r="D4542" s="5" t="s">
        <v>14904</v>
      </c>
      <c r="E4542" s="2">
        <v>6620312</v>
      </c>
      <c r="F4542" s="4" t="str">
        <f>IF(B4542=B4541,"",B4542)</f>
        <v>Torvaianica</v>
      </c>
    </row>
    <row r="4543" spans="1:6" ht="15.75" customHeight="1">
      <c r="A4543" s="5" t="str">
        <f ca="1">IFERROR(__xludf.DUMMYFUNCTION("GOOGLETRANSLATE(B35099,""en"",""pt"")"),"Torvaianica")</f>
        <v>Torvaianica</v>
      </c>
      <c r="B4543" s="17" t="s">
        <v>15536</v>
      </c>
      <c r="C4543" s="17" t="s">
        <v>14891</v>
      </c>
      <c r="D4543" s="17" t="s">
        <v>14904</v>
      </c>
      <c r="E4543" s="10">
        <v>6620312</v>
      </c>
      <c r="F4543" s="4" t="str">
        <f>IF(B4543=B4542,"",B4543)</f>
        <v/>
      </c>
    </row>
    <row r="4544" spans="1:6" ht="15.75" customHeight="1">
      <c r="A4544" s="5" t="str">
        <f ca="1">IFERROR(__xludf.DUMMYFUNCTION("GOOGLETRANSLATE(B39329,""en"",""pt"")"),"Para correr")</f>
        <v>Para correr</v>
      </c>
      <c r="B4544" s="17" t="s">
        <v>35154</v>
      </c>
      <c r="C4544" s="17" t="s">
        <v>21064</v>
      </c>
      <c r="D4544" s="17" t="s">
        <v>21125</v>
      </c>
      <c r="E4544" s="10">
        <v>3083271</v>
      </c>
      <c r="F4544" s="4" t="str">
        <f>IF(B4544=B4543,"",B4544)</f>
        <v>Toruń</v>
      </c>
    </row>
    <row r="4545" spans="1:6" ht="15.75" customHeight="1">
      <c r="A4545" s="6" t="s">
        <v>21538</v>
      </c>
      <c r="B4545" s="6" t="s">
        <v>21539</v>
      </c>
      <c r="C4545" s="6" t="s">
        <v>21064</v>
      </c>
      <c r="D4545" s="6" t="s">
        <v>21125</v>
      </c>
      <c r="E4545" s="2">
        <v>3083271</v>
      </c>
      <c r="F4545" s="4" t="str">
        <f>IF(B4545=B4544,"",B4545)</f>
        <v>ToruÅ„</v>
      </c>
    </row>
    <row r="4546" spans="1:6" ht="15.75" customHeight="1">
      <c r="A4546" s="6" t="s">
        <v>24864</v>
      </c>
      <c r="B4546" s="6" t="s">
        <v>24864</v>
      </c>
      <c r="C4546" s="6" t="s">
        <v>24200</v>
      </c>
      <c r="D4546" s="6" t="s">
        <v>24277</v>
      </c>
      <c r="E4546" s="2">
        <v>3107677</v>
      </c>
      <c r="F4546" s="4" t="str">
        <f>IF(B4546=B4545,"",B4546)</f>
        <v>Tortosa</v>
      </c>
    </row>
    <row r="4547" spans="1:6" ht="15.75" customHeight="1">
      <c r="A4547" s="5" t="str">
        <f ca="1">IFERROR(__xludf.DUMMYFUNCTION("GOOGLETRANSLATE(B29257,""en"",""pt"")"),"Tortosa")</f>
        <v>Tortosa</v>
      </c>
      <c r="B4547" s="17" t="s">
        <v>24864</v>
      </c>
      <c r="C4547" s="17" t="s">
        <v>24200</v>
      </c>
      <c r="D4547" s="17" t="s">
        <v>24277</v>
      </c>
      <c r="E4547" s="10">
        <v>3107677</v>
      </c>
      <c r="F4547" s="4" t="str">
        <f>IF(B4547=B4546,"",B4547)</f>
        <v/>
      </c>
    </row>
    <row r="4548" spans="1:6" ht="15.75" customHeight="1">
      <c r="A4548" s="6" t="s">
        <v>15534</v>
      </c>
      <c r="B4548" s="6" t="s">
        <v>15535</v>
      </c>
      <c r="C4548" s="6" t="s">
        <v>14891</v>
      </c>
      <c r="D4548" s="6" t="s">
        <v>14911</v>
      </c>
      <c r="E4548" s="2">
        <v>3165370</v>
      </c>
      <c r="F4548" s="4" t="str">
        <f>IF(B4548=B4547,"",B4548)</f>
        <v>Tortona</v>
      </c>
    </row>
    <row r="4549" spans="1:6" ht="15.75" customHeight="1">
      <c r="A4549" s="5" t="str">
        <f ca="1">IFERROR(__xludf.DUMMYFUNCTION("GOOGLETRANSLATE(B34659,""en"",""pt"")"),"Tornea")</f>
        <v>Tornea</v>
      </c>
      <c r="B4549" s="17" t="s">
        <v>15535</v>
      </c>
      <c r="C4549" s="17" t="s">
        <v>14891</v>
      </c>
      <c r="D4549" s="17" t="s">
        <v>14911</v>
      </c>
      <c r="E4549" s="10">
        <v>3165370</v>
      </c>
      <c r="F4549" s="4" t="str">
        <f>IF(B4549=B4548,"",B4549)</f>
        <v/>
      </c>
    </row>
    <row r="4550" spans="1:6" ht="15.75" customHeight="1">
      <c r="A4550" s="6" t="s">
        <v>3691</v>
      </c>
      <c r="B4550" s="6" t="s">
        <v>3691</v>
      </c>
      <c r="C4550" s="6" t="s">
        <v>3690</v>
      </c>
      <c r="D4550" s="6" t="s">
        <v>551</v>
      </c>
      <c r="E4550" s="2">
        <v>8533874</v>
      </c>
      <c r="F4550" s="4" t="str">
        <f>IF(B4550=B4549,"",B4550)</f>
        <v>Tortola</v>
      </c>
    </row>
    <row r="4551" spans="1:6" ht="15.75" customHeight="1">
      <c r="A4551" s="5" t="str">
        <f ca="1">IFERROR(__xludf.DUMMYFUNCTION("GOOGLETRANSLATE(B45706,""en"",""pt"")"),"Tortola")</f>
        <v>Tortola</v>
      </c>
      <c r="B4551" s="17" t="s">
        <v>3691</v>
      </c>
      <c r="C4551" s="17" t="s">
        <v>3690</v>
      </c>
      <c r="D4551" s="17" t="s">
        <v>551</v>
      </c>
      <c r="E4551" s="10">
        <v>8533874</v>
      </c>
      <c r="F4551" s="4" t="str">
        <f>IF(B4551=B4550,"",B4551)</f>
        <v/>
      </c>
    </row>
    <row r="4552" spans="1:6" ht="15.75" customHeight="1">
      <c r="A4552" s="5" t="str">
        <f ca="1">IFERROR(__xludf.DUMMYFUNCTION("GOOGLETRANSLATE(B29671,""en"",""pt"")"),"TÓRSHAVN")</f>
        <v>TÓRSHAVN</v>
      </c>
      <c r="B4552" s="17" t="s">
        <v>32530</v>
      </c>
      <c r="C4552" s="17" t="s">
        <v>6938</v>
      </c>
      <c r="D4552" s="17" t="s">
        <v>6939</v>
      </c>
      <c r="E4552" s="10">
        <v>2611396</v>
      </c>
      <c r="F4552" s="4" t="str">
        <f>IF(B4552=B4551,"",B4552)</f>
        <v>Tórshavn</v>
      </c>
    </row>
    <row r="4553" spans="1:6" ht="15.75" customHeight="1">
      <c r="A4553" s="6" t="s">
        <v>24863</v>
      </c>
      <c r="B4553" s="6" t="s">
        <v>24863</v>
      </c>
      <c r="C4553" s="6" t="s">
        <v>24200</v>
      </c>
      <c r="D4553" s="6" t="s">
        <v>24205</v>
      </c>
      <c r="E4553" s="2">
        <v>2510245</v>
      </c>
      <c r="F4553" s="4" t="str">
        <f>IF(B4553=B4552,"",B4553)</f>
        <v>Torrox</v>
      </c>
    </row>
    <row r="4554" spans="1:6" ht="15.75" customHeight="1">
      <c r="A4554" s="5" t="str">
        <f ca="1">IFERROR(__xludf.DUMMYFUNCTION("GOOGLETRANSLATE(B28966,""en"",""pt"")"),"Torrox")</f>
        <v>Torrox</v>
      </c>
      <c r="B4554" s="17" t="s">
        <v>24863</v>
      </c>
      <c r="C4554" s="17" t="s">
        <v>24200</v>
      </c>
      <c r="D4554" s="17" t="s">
        <v>24205</v>
      </c>
      <c r="E4554" s="10">
        <v>2510245</v>
      </c>
      <c r="F4554" s="4" t="str">
        <f>IF(B4554=B4553,"",B4554)</f>
        <v/>
      </c>
    </row>
    <row r="4555" spans="1:6" ht="15.75" customHeight="1">
      <c r="A4555" s="5" t="s">
        <v>24862</v>
      </c>
      <c r="B4555" s="6" t="s">
        <v>24862</v>
      </c>
      <c r="C4555" s="5" t="s">
        <v>24200</v>
      </c>
      <c r="D4555" s="5" t="s">
        <v>21053</v>
      </c>
      <c r="E4555" s="2">
        <v>2510253</v>
      </c>
      <c r="F4555" s="4" t="str">
        <f>IF(B4555=B4554,"",B4555)</f>
        <v>Torrevieja</v>
      </c>
    </row>
    <row r="4556" spans="1:6" ht="15.75" customHeight="1">
      <c r="A4556" s="5" t="str">
        <f ca="1">IFERROR(__xludf.DUMMYFUNCTION("GOOGLETRANSLATE(B28967,""en"",""pt"")"),"Torrevieja")</f>
        <v>Torrevieja</v>
      </c>
      <c r="B4556" s="17" t="s">
        <v>24862</v>
      </c>
      <c r="C4556" s="17" t="s">
        <v>24200</v>
      </c>
      <c r="D4556" s="17" t="s">
        <v>21053</v>
      </c>
      <c r="E4556" s="10">
        <v>2510253</v>
      </c>
      <c r="F4556" s="4" t="str">
        <f>IF(B4556=B4555,"",B4556)</f>
        <v/>
      </c>
    </row>
    <row r="4557" spans="1:6" ht="15.75" customHeight="1">
      <c r="A4557" s="5" t="s">
        <v>21740</v>
      </c>
      <c r="B4557" s="6" t="s">
        <v>21740</v>
      </c>
      <c r="C4557" s="5" t="s">
        <v>21606</v>
      </c>
      <c r="D4557" s="5" t="s">
        <v>21616</v>
      </c>
      <c r="E4557" s="2">
        <v>2262581</v>
      </c>
      <c r="F4557" s="4" t="str">
        <f>IF(B4557=B4556,"",B4557)</f>
        <v>Torres Vedras</v>
      </c>
    </row>
    <row r="4558" spans="1:6" ht="15.75" customHeight="1">
      <c r="A4558" s="5" t="str">
        <f ca="1">IFERROR(__xludf.DUMMYFUNCTION("GOOGLETRANSLATE(B39566,""en"",""pt"")"),"Torres Vedras")</f>
        <v>Torres Vedras</v>
      </c>
      <c r="B4558" s="17" t="s">
        <v>21740</v>
      </c>
      <c r="C4558" s="17" t="s">
        <v>21606</v>
      </c>
      <c r="D4558" s="17" t="s">
        <v>21616</v>
      </c>
      <c r="E4558" s="10">
        <v>2262581</v>
      </c>
      <c r="F4558" s="4" t="str">
        <f>IF(B4558=B4557,"",B4558)</f>
        <v/>
      </c>
    </row>
    <row r="4559" spans="1:6" ht="15.75" customHeight="1">
      <c r="A4559" s="6" t="s">
        <v>3567</v>
      </c>
      <c r="B4559" s="6" t="s">
        <v>3567</v>
      </c>
      <c r="C4559" s="6" t="s">
        <v>1905</v>
      </c>
      <c r="D4559" s="6" t="s">
        <v>1951</v>
      </c>
      <c r="E4559" s="2">
        <v>3446295</v>
      </c>
      <c r="F4559" s="4" t="str">
        <f>IF(B4559=B4558,"",B4559)</f>
        <v>Torres</v>
      </c>
    </row>
    <row r="4560" spans="1:6" ht="15.75" customHeight="1">
      <c r="A4560" s="5" t="str">
        <f ca="1">IFERROR(__xludf.DUMMYFUNCTION("GOOGLETRANSLATE(B24486,""en"",""pt"")"),"Torres")</f>
        <v>Torres</v>
      </c>
      <c r="B4560" s="17" t="s">
        <v>3567</v>
      </c>
      <c r="C4560" s="17" t="s">
        <v>1905</v>
      </c>
      <c r="D4560" s="17" t="s">
        <v>1951</v>
      </c>
      <c r="E4560" s="10">
        <v>3446295</v>
      </c>
      <c r="F4560" s="4" t="str">
        <f>IF(B4560=B4559,"",B4560)</f>
        <v/>
      </c>
    </row>
    <row r="4561" spans="1:6" ht="15.75" customHeight="1">
      <c r="A4561" s="5" t="s">
        <v>24861</v>
      </c>
      <c r="B4561" s="6" t="s">
        <v>24861</v>
      </c>
      <c r="C4561" s="5" t="s">
        <v>24200</v>
      </c>
      <c r="D4561" s="5" t="s">
        <v>20912</v>
      </c>
      <c r="E4561" s="2">
        <v>2510271</v>
      </c>
      <c r="F4561" s="4" t="str">
        <f>IF(B4561=B4560,"",B4561)</f>
        <v>Torre-Pacheco</v>
      </c>
    </row>
    <row r="4562" spans="1:6" ht="15.75" customHeight="1">
      <c r="A4562" s="5" t="str">
        <f ca="1">IFERROR(__xludf.DUMMYFUNCTION("GOOGLETRANSLATE(B28968,""en"",""pt"")"),"Torre-Pacheco")</f>
        <v>Torre-Pacheco</v>
      </c>
      <c r="B4562" s="17" t="s">
        <v>24861</v>
      </c>
      <c r="C4562" s="17" t="s">
        <v>24200</v>
      </c>
      <c r="D4562" s="17" t="s">
        <v>20912</v>
      </c>
      <c r="E4562" s="10">
        <v>2510271</v>
      </c>
      <c r="F4562" s="4" t="str">
        <f>IF(B4562=B4561,"",B4562)</f>
        <v/>
      </c>
    </row>
    <row r="4563" spans="1:6" ht="15.75" customHeight="1">
      <c r="A4563" s="6" t="s">
        <v>18375</v>
      </c>
      <c r="B4563" s="6" t="s">
        <v>18375</v>
      </c>
      <c r="C4563" s="6" t="s">
        <v>17707</v>
      </c>
      <c r="D4563" s="6" t="s">
        <v>17738</v>
      </c>
      <c r="E4563" s="2">
        <v>3981254</v>
      </c>
      <c r="F4563" s="4" t="str">
        <f>IF(B4563=B4562,"",B4563)</f>
        <v>Torreon</v>
      </c>
    </row>
    <row r="4564" spans="1:6" ht="15.75" customHeight="1">
      <c r="A4564" s="5" t="str">
        <f ca="1">IFERROR(__xludf.DUMMYFUNCTION("GOOGLETRANSLATE(B37160,""en"",""pt"")"),"Torreon")</f>
        <v>Torreon</v>
      </c>
      <c r="B4564" s="17" t="s">
        <v>18375</v>
      </c>
      <c r="C4564" s="17" t="s">
        <v>17707</v>
      </c>
      <c r="D4564" s="17" t="s">
        <v>17738</v>
      </c>
      <c r="E4564" s="10">
        <v>3981254</v>
      </c>
      <c r="F4564" s="4" t="str">
        <f>IF(B4564=B4563,"",B4564)</f>
        <v/>
      </c>
    </row>
    <row r="4565" spans="1:6" ht="15.75" customHeight="1">
      <c r="A4565" s="6" t="s">
        <v>24859</v>
      </c>
      <c r="B4565" s="6" t="s">
        <v>24860</v>
      </c>
      <c r="C4565" s="6" t="s">
        <v>24200</v>
      </c>
      <c r="D4565" s="6" t="s">
        <v>21053</v>
      </c>
      <c r="E4565" s="2">
        <v>2510279</v>
      </c>
      <c r="F4565" s="4" t="str">
        <f>IF(B4565=B4564,"",B4565)</f>
        <v>Torrent</v>
      </c>
    </row>
    <row r="4566" spans="1:6" ht="15.75" customHeight="1">
      <c r="A4566" s="5" t="str">
        <f ca="1">IFERROR(__xludf.DUMMYFUNCTION("GOOGLETRANSLATE(B28969,""en"",""pt"")"),"Torrente")</f>
        <v>Torrente</v>
      </c>
      <c r="B4566" s="17" t="s">
        <v>24860</v>
      </c>
      <c r="C4566" s="17" t="s">
        <v>24200</v>
      </c>
      <c r="D4566" s="17" t="s">
        <v>21053</v>
      </c>
      <c r="E4566" s="10">
        <v>2510279</v>
      </c>
      <c r="F4566" s="4" t="str">
        <f>IF(B4566=B4565,"",B4566)</f>
        <v/>
      </c>
    </row>
    <row r="4567" spans="1:6" ht="15.75" customHeight="1">
      <c r="A4567" s="5" t="s">
        <v>24857</v>
      </c>
      <c r="B4567" s="6" t="s">
        <v>24858</v>
      </c>
      <c r="C4567" s="5" t="s">
        <v>24200</v>
      </c>
      <c r="D4567" s="5" t="s">
        <v>24205</v>
      </c>
      <c r="E4567" s="2">
        <v>2510281</v>
      </c>
      <c r="F4567" s="4" t="str">
        <f>IF(B4567=B4566,"",B4567)</f>
        <v>Torremolinos</v>
      </c>
    </row>
    <row r="4568" spans="1:6" ht="15.75" customHeight="1">
      <c r="A4568" s="5" t="str">
        <f ca="1">IFERROR(__xludf.DUMMYFUNCTION("GOOGLETRANSLATE(B28970,""en"",""pt"")"),"Torreremolinos")</f>
        <v>Torreremolinos</v>
      </c>
      <c r="B4568" s="17" t="s">
        <v>24858</v>
      </c>
      <c r="C4568" s="17" t="s">
        <v>24200</v>
      </c>
      <c r="D4568" s="17" t="s">
        <v>24205</v>
      </c>
      <c r="E4568" s="10">
        <v>2510281</v>
      </c>
      <c r="F4568" s="4" t="str">
        <f>IF(B4568=B4567,"",B4568)</f>
        <v/>
      </c>
    </row>
    <row r="4569" spans="1:6" ht="15.75" customHeight="1">
      <c r="A4569" s="5" t="s">
        <v>15532</v>
      </c>
      <c r="B4569" s="6" t="s">
        <v>15533</v>
      </c>
      <c r="C4569" s="5" t="s">
        <v>14891</v>
      </c>
      <c r="D4569" s="5" t="s">
        <v>14908</v>
      </c>
      <c r="E4569" s="2">
        <v>3165435</v>
      </c>
      <c r="F4569" s="4" t="str">
        <f>IF(B4569=B4568,"",B4569)</f>
        <v>Torremaggiore</v>
      </c>
    </row>
    <row r="4570" spans="1:6" ht="15.75" customHeight="1">
      <c r="A4570" s="5" t="str">
        <f ca="1">IFERROR(__xludf.DUMMYFUNCTION("GOOGLETRANSLATE(B34660,""en"",""pt"")"),"TorreMaggiore")</f>
        <v>TorreMaggiore</v>
      </c>
      <c r="B4570" s="17" t="s">
        <v>15533</v>
      </c>
      <c r="C4570" s="17" t="s">
        <v>14891</v>
      </c>
      <c r="D4570" s="17" t="s">
        <v>14908</v>
      </c>
      <c r="E4570" s="10">
        <v>3165435</v>
      </c>
      <c r="F4570" s="4" t="str">
        <f>IF(B4570=B4569,"",B4570)</f>
        <v/>
      </c>
    </row>
    <row r="4571" spans="1:6" ht="15.75" customHeight="1">
      <c r="A4571" s="5" t="s">
        <v>24856</v>
      </c>
      <c r="B4571" s="6" t="s">
        <v>24856</v>
      </c>
      <c r="C4571" s="5" t="s">
        <v>24200</v>
      </c>
      <c r="D4571" s="5" t="s">
        <v>5513</v>
      </c>
      <c r="E4571" s="2">
        <v>3107765</v>
      </c>
      <c r="F4571" s="4" t="str">
        <f>IF(B4571=B4570,"",B4571)</f>
        <v>Torrelodones</v>
      </c>
    </row>
    <row r="4572" spans="1:6" ht="15.75" customHeight="1">
      <c r="A4572" s="5" t="str">
        <f ca="1">IFERROR(__xludf.DUMMYFUNCTION("GOOGLETRANSLATE(B29258,""en"",""pt"")"),"Torrelodones")</f>
        <v>Torrelodones</v>
      </c>
      <c r="B4572" s="17" t="s">
        <v>24856</v>
      </c>
      <c r="C4572" s="17" t="s">
        <v>24200</v>
      </c>
      <c r="D4572" s="17" t="s">
        <v>5513</v>
      </c>
      <c r="E4572" s="10">
        <v>3107765</v>
      </c>
      <c r="F4572" s="4" t="str">
        <f>IF(B4572=B4571,"",B4572)</f>
        <v/>
      </c>
    </row>
    <row r="4573" spans="1:6" ht="15.75" customHeight="1">
      <c r="A4573" s="5" t="s">
        <v>24855</v>
      </c>
      <c r="B4573" s="6" t="s">
        <v>24855</v>
      </c>
      <c r="C4573" s="5" t="s">
        <v>24200</v>
      </c>
      <c r="D4573" s="5" t="s">
        <v>24367</v>
      </c>
      <c r="E4573" s="2">
        <v>3107775</v>
      </c>
      <c r="F4573" s="4" t="str">
        <f>IF(B4573=B4572,"",B4573)</f>
        <v>Torrelavega</v>
      </c>
    </row>
    <row r="4574" spans="1:6" ht="15.75" customHeight="1">
      <c r="A4574" s="5" t="str">
        <f ca="1">IFERROR(__xludf.DUMMYFUNCTION("GOOGLETRANSLATE(B29259,""en"",""pt"")"),"Torrelavega")</f>
        <v>Torrelavega</v>
      </c>
      <c r="B4574" s="17" t="s">
        <v>24855</v>
      </c>
      <c r="C4574" s="17" t="s">
        <v>24200</v>
      </c>
      <c r="D4574" s="17" t="s">
        <v>24367</v>
      </c>
      <c r="E4574" s="10">
        <v>3107775</v>
      </c>
      <c r="F4574" s="4" t="str">
        <f>IF(B4574=B4573,"",B4574)</f>
        <v/>
      </c>
    </row>
    <row r="4575" spans="1:6" ht="15.75" customHeight="1">
      <c r="A4575" s="5" t="str">
        <f ca="1">IFERROR(__xludf.DUMMYFUNCTION("GOOGLETRANSLATE(B29260,""en"",""pt"")"),"Torrejón de Ardoz")</f>
        <v>Torrejón de Ardoz</v>
      </c>
      <c r="B4575" s="17" t="s">
        <v>32420</v>
      </c>
      <c r="C4575" s="17" t="s">
        <v>24200</v>
      </c>
      <c r="D4575" s="17" t="s">
        <v>5513</v>
      </c>
      <c r="E4575" s="10">
        <v>3107784</v>
      </c>
      <c r="F4575" s="4" t="str">
        <f>IF(B4575=B4574,"",B4575)</f>
        <v>Torrejón de Ardoz</v>
      </c>
    </row>
    <row r="4576" spans="1:6" ht="15.75" customHeight="1">
      <c r="A4576" s="5" t="s">
        <v>24853</v>
      </c>
      <c r="B4576" s="6" t="s">
        <v>24854</v>
      </c>
      <c r="C4576" s="5" t="s">
        <v>24200</v>
      </c>
      <c r="D4576" s="5" t="s">
        <v>5513</v>
      </c>
      <c r="E4576" s="2">
        <v>3107784</v>
      </c>
      <c r="F4576" s="4" t="str">
        <f>IF(B4576=B4575,"",B4576)</f>
        <v>TorrejÃ³n de Ardoz</v>
      </c>
    </row>
    <row r="4577" spans="1:6" ht="15.75" customHeight="1">
      <c r="A4577" s="5" t="s">
        <v>24852</v>
      </c>
      <c r="B4577" s="6" t="s">
        <v>24852</v>
      </c>
      <c r="C4577" s="5" t="s">
        <v>24200</v>
      </c>
      <c r="D4577" s="5" t="s">
        <v>24277</v>
      </c>
      <c r="E4577" s="2">
        <v>3107807</v>
      </c>
      <c r="F4577" s="4" t="str">
        <f>IF(B4577=B4576,"",B4577)</f>
        <v>Torredembarra</v>
      </c>
    </row>
    <row r="4578" spans="1:6" ht="15.75" customHeight="1">
      <c r="A4578" s="5" t="str">
        <f ca="1">IFERROR(__xludf.DUMMYFUNCTION("GOOGLETRANSLATE(B29261,""en"",""pt"")"),"Torredembarra")</f>
        <v>Torredembarra</v>
      </c>
      <c r="B4578" s="17" t="s">
        <v>24852</v>
      </c>
      <c r="C4578" s="17" t="s">
        <v>24200</v>
      </c>
      <c r="D4578" s="17" t="s">
        <v>24277</v>
      </c>
      <c r="E4578" s="10">
        <v>3107807</v>
      </c>
      <c r="F4578" s="4" t="str">
        <f>IF(B4578=B4577,"",B4578)</f>
        <v/>
      </c>
    </row>
    <row r="4579" spans="1:6" ht="15.75" customHeight="1">
      <c r="A4579" s="5" t="s">
        <v>15531</v>
      </c>
      <c r="B4579" s="6" t="s">
        <v>15531</v>
      </c>
      <c r="C4579" s="5" t="s">
        <v>14891</v>
      </c>
      <c r="D4579" s="5" t="s">
        <v>14896</v>
      </c>
      <c r="E4579" s="2">
        <v>3165456</v>
      </c>
      <c r="F4579" s="4" t="str">
        <f>IF(B4579=B4578,"",B4579)</f>
        <v>Torre del Greco</v>
      </c>
    </row>
    <row r="4580" spans="1:6" ht="15.75" customHeight="1">
      <c r="A4580" s="5" t="str">
        <f ca="1">IFERROR(__xludf.DUMMYFUNCTION("GOOGLETRANSLATE(B34661,""en"",""pt"")"),"Torre del Greco")</f>
        <v>Torre del Greco</v>
      </c>
      <c r="B4580" s="17" t="s">
        <v>15531</v>
      </c>
      <c r="C4580" s="17" t="s">
        <v>14891</v>
      </c>
      <c r="D4580" s="17" t="s">
        <v>14896</v>
      </c>
      <c r="E4580" s="10">
        <v>3165456</v>
      </c>
      <c r="F4580" s="4" t="str">
        <f>IF(B4580=B4579,"",B4580)</f>
        <v/>
      </c>
    </row>
    <row r="4581" spans="1:6" ht="15.75" customHeight="1">
      <c r="A4581" s="5" t="s">
        <v>15530</v>
      </c>
      <c r="B4581" s="6" t="s">
        <v>15530</v>
      </c>
      <c r="C4581" s="5" t="s">
        <v>14891</v>
      </c>
      <c r="D4581" s="5" t="s">
        <v>14896</v>
      </c>
      <c r="E4581" s="2">
        <v>3165475</v>
      </c>
      <c r="F4581" s="4" t="str">
        <f>IF(B4581=B4580,"",B4581)</f>
        <v>Torre Annunziata</v>
      </c>
    </row>
    <row r="4582" spans="1:6" ht="15.75" customHeight="1">
      <c r="A4582" s="5" t="str">
        <f ca="1">IFERROR(__xludf.DUMMYFUNCTION("GOOGLETRANSLATE(B34662,""en"",""pt"")"),"Torre Annunziata")</f>
        <v>Torre Annunziata</v>
      </c>
      <c r="B4582" s="17" t="s">
        <v>15530</v>
      </c>
      <c r="C4582" s="17" t="s">
        <v>14891</v>
      </c>
      <c r="D4582" s="17" t="s">
        <v>14896</v>
      </c>
      <c r="E4582" s="10">
        <v>3165475</v>
      </c>
      <c r="F4582" s="4" t="str">
        <f>IF(B4582=B4581,"",B4582)</f>
        <v/>
      </c>
    </row>
    <row r="4583" spans="1:6" ht="15.75" customHeight="1">
      <c r="A4583" s="6" t="s">
        <v>30206</v>
      </c>
      <c r="B4583" s="6" t="s">
        <v>30206</v>
      </c>
      <c r="C4583" s="6" t="s">
        <v>27788</v>
      </c>
      <c r="D4583" s="6" t="s">
        <v>27801</v>
      </c>
      <c r="E4583" s="2">
        <v>5403022</v>
      </c>
      <c r="F4583" s="4" t="str">
        <f>IF(B4583=B4582,"",B4583)</f>
        <v>Torrance</v>
      </c>
    </row>
    <row r="4584" spans="1:6" ht="15.75" customHeight="1">
      <c r="A4584" s="5" t="str">
        <f ca="1">IFERROR(__xludf.DUMMYFUNCTION("GOOGLETRANSLATE(B45056,""en"",""pt"")"),"Torrance")</f>
        <v>Torrance</v>
      </c>
      <c r="B4584" s="17" t="s">
        <v>30206</v>
      </c>
      <c r="C4584" s="17" t="s">
        <v>27788</v>
      </c>
      <c r="D4584" s="17" t="s">
        <v>27801</v>
      </c>
      <c r="E4584" s="10">
        <v>5403022</v>
      </c>
      <c r="F4584" s="4" t="str">
        <f>IF(B4584=B4583,"",B4584)</f>
        <v/>
      </c>
    </row>
    <row r="4585" spans="1:6" ht="15.75" customHeight="1">
      <c r="A4585" s="6" t="s">
        <v>26864</v>
      </c>
      <c r="B4585" s="6" t="s">
        <v>26864</v>
      </c>
      <c r="C4585" s="6" t="s">
        <v>26820</v>
      </c>
      <c r="D4585" s="6" t="s">
        <v>18807</v>
      </c>
      <c r="E4585" s="2">
        <v>226110</v>
      </c>
      <c r="F4585" s="4" t="str">
        <f>IF(B4585=B4584,"",B4585)</f>
        <v>Tororo</v>
      </c>
    </row>
    <row r="4586" spans="1:6" ht="15.75" customHeight="1">
      <c r="A4586" s="5" t="str">
        <f ca="1">IFERROR(__xludf.DUMMYFUNCTION("GOOGLETRANSLATE(B42726,""en"",""pt"")"),"Tororo")</f>
        <v>Tororo</v>
      </c>
      <c r="B4586" s="17" t="s">
        <v>26864</v>
      </c>
      <c r="C4586" s="17" t="s">
        <v>26820</v>
      </c>
      <c r="D4586" s="17" t="s">
        <v>18807</v>
      </c>
      <c r="E4586" s="10">
        <v>226110</v>
      </c>
      <c r="F4586" s="4" t="str">
        <f>IF(B4586=B4585,"",B4586)</f>
        <v/>
      </c>
    </row>
    <row r="4587" spans="1:6" ht="15.75" customHeight="1">
      <c r="A4587" s="6" t="s">
        <v>4221</v>
      </c>
      <c r="B4587" s="6" t="s">
        <v>4221</v>
      </c>
      <c r="C4587" s="6" t="s">
        <v>3975</v>
      </c>
      <c r="D4587" s="6" t="s">
        <v>3980</v>
      </c>
      <c r="E4587" s="2">
        <v>6167865</v>
      </c>
      <c r="F4587" s="4" t="str">
        <f>IF(B4587=B4586,"",B4587)</f>
        <v>Toronto</v>
      </c>
    </row>
    <row r="4588" spans="1:6" ht="15.75" customHeight="1">
      <c r="A4588" s="5" t="str">
        <f ca="1">IFERROR(__xludf.DUMMYFUNCTION("GOOGLETRANSLATE(B25598,""en"",""pt"")"),"Toronto")</f>
        <v>Toronto</v>
      </c>
      <c r="B4588" s="17" t="s">
        <v>4221</v>
      </c>
      <c r="C4588" s="17" t="s">
        <v>3975</v>
      </c>
      <c r="D4588" s="17" t="s">
        <v>3980</v>
      </c>
      <c r="E4588" s="10">
        <v>6167865</v>
      </c>
      <c r="F4588" s="4" t="str">
        <f>IF(B4588=B4587,"",B4588)</f>
        <v/>
      </c>
    </row>
    <row r="4589" spans="1:6" ht="15.75" customHeight="1">
      <c r="A4589" s="5" t="str">
        <f ca="1">IFERROR(__xludf.DUMMYFUNCTION("GOOGLETRANSLATE(B31239,""en"",""pt"")"),"Törökszentmiklós")</f>
        <v>Törökszentmiklós</v>
      </c>
      <c r="B4589" s="17" t="s">
        <v>32821</v>
      </c>
      <c r="C4589" s="17" t="s">
        <v>9955</v>
      </c>
      <c r="D4589" s="17" t="s">
        <v>32822</v>
      </c>
      <c r="E4589" s="10">
        <v>714581</v>
      </c>
      <c r="F4589" s="4" t="str">
        <f>IF(B4589=B4588,"",B4589)</f>
        <v>Törökszentmiklós</v>
      </c>
    </row>
    <row r="4590" spans="1:6" ht="15.75" customHeight="1">
      <c r="A4590" s="6" t="s">
        <v>7039</v>
      </c>
      <c r="B4590" s="6" t="s">
        <v>7039</v>
      </c>
      <c r="C4590" s="6" t="s">
        <v>6948</v>
      </c>
      <c r="D4590" s="6" t="s">
        <v>6990</v>
      </c>
      <c r="E4590" s="2">
        <v>634093</v>
      </c>
      <c r="F4590" s="4" t="str">
        <f>IF(B4590=B4589,"",B4590)</f>
        <v>Tornio</v>
      </c>
    </row>
    <row r="4591" spans="1:6" ht="15.75" customHeight="1">
      <c r="A4591" s="5" t="str">
        <f ca="1">IFERROR(__xludf.DUMMYFUNCTION("GOOGLETRANSLATE(B29606,""en"",""pt"")"),"Tornio")</f>
        <v>Tornio</v>
      </c>
      <c r="B4591" s="17" t="s">
        <v>7039</v>
      </c>
      <c r="C4591" s="17" t="s">
        <v>6948</v>
      </c>
      <c r="D4591" s="17" t="s">
        <v>6990</v>
      </c>
      <c r="E4591" s="10">
        <v>634093</v>
      </c>
      <c r="F4591" s="4" t="str">
        <f>IF(B4591=B4590,"",B4591)</f>
        <v/>
      </c>
    </row>
    <row r="4592" spans="1:6" ht="15.75" customHeight="1">
      <c r="A4592" s="6" t="s">
        <v>3566</v>
      </c>
      <c r="B4592" s="6" t="s">
        <v>3566</v>
      </c>
      <c r="C4592" s="6" t="s">
        <v>1905</v>
      </c>
      <c r="D4592" s="6" t="s">
        <v>1909</v>
      </c>
      <c r="E4592" s="2">
        <v>3386264</v>
      </c>
      <c r="F4592" s="4" t="str">
        <f>IF(B4592=B4591,"",B4592)</f>
        <v>Toritama</v>
      </c>
    </row>
    <row r="4593" spans="1:6" ht="15.75" customHeight="1">
      <c r="A4593" s="5" t="str">
        <f ca="1">IFERROR(__xludf.DUMMYFUNCTION("GOOGLETRANSLATE(B24162,""en"",""pt"")"),"Toritama")</f>
        <v>Toritama</v>
      </c>
      <c r="B4593" s="17" t="s">
        <v>3566</v>
      </c>
      <c r="C4593" s="17" t="s">
        <v>1905</v>
      </c>
      <c r="D4593" s="17" t="s">
        <v>1909</v>
      </c>
      <c r="E4593" s="10">
        <v>3386264</v>
      </c>
      <c r="F4593" s="4" t="str">
        <f>IF(B4593=B4592,"",B4593)</f>
        <v/>
      </c>
    </row>
    <row r="4594" spans="1:6" ht="15.75" customHeight="1">
      <c r="A4594" s="6" t="s">
        <v>24191</v>
      </c>
      <c r="B4594" s="6" t="s">
        <v>24191</v>
      </c>
      <c r="C4594" s="6" t="s">
        <v>24176</v>
      </c>
      <c r="D4594" s="6" t="s">
        <v>24186</v>
      </c>
      <c r="E4594" s="2">
        <v>365742</v>
      </c>
      <c r="F4594" s="4" t="str">
        <f>IF(B4594=B4593,"",B4594)</f>
        <v>Torit</v>
      </c>
    </row>
    <row r="4595" spans="1:6" ht="15.75" customHeight="1">
      <c r="A4595" s="5" t="str">
        <f ca="1">IFERROR(__xludf.DUMMYFUNCTION("GOOGLETRANSLATE(B41346,""en"",""pt"")"),"Torit")</f>
        <v>Torit</v>
      </c>
      <c r="B4595" s="17" t="s">
        <v>24191</v>
      </c>
      <c r="C4595" s="17" t="s">
        <v>24176</v>
      </c>
      <c r="D4595" s="17" t="s">
        <v>24186</v>
      </c>
      <c r="E4595" s="10">
        <v>365742</v>
      </c>
      <c r="F4595" s="4" t="str">
        <f>IF(B4595=B4594,"",B4595)</f>
        <v/>
      </c>
    </row>
    <row r="4596" spans="1:6" ht="15.75" customHeight="1">
      <c r="A4596" s="6" t="s">
        <v>15549</v>
      </c>
      <c r="B4596" s="6" t="s">
        <v>15551</v>
      </c>
      <c r="C4596" s="6" t="s">
        <v>14891</v>
      </c>
      <c r="D4596" s="6" t="s">
        <v>14911</v>
      </c>
      <c r="E4596" s="2">
        <v>3165524</v>
      </c>
      <c r="F4596" s="4" t="str">
        <f>IF(B4596=B4595,"",B4596)</f>
        <v>Torino</v>
      </c>
    </row>
    <row r="4597" spans="1:6" ht="15.75" customHeight="1">
      <c r="A4597" s="6" t="s">
        <v>16526</v>
      </c>
      <c r="B4597" s="6" t="s">
        <v>16526</v>
      </c>
      <c r="C4597" s="6" t="s">
        <v>15704</v>
      </c>
      <c r="D4597" s="6" t="s">
        <v>15724</v>
      </c>
      <c r="E4597" s="2">
        <v>2110729</v>
      </c>
      <c r="F4597" s="4" t="str">
        <f>IF(B4597=B4596,"",B4597)</f>
        <v>Toride</v>
      </c>
    </row>
    <row r="4598" spans="1:6" ht="15.75" customHeight="1">
      <c r="A4598" s="5" t="str">
        <f ca="1">IFERROR(__xludf.DUMMYFUNCTION("GOOGLETRANSLATE(B35720,""en"",""pt"")"),"Toride")</f>
        <v>Toride</v>
      </c>
      <c r="B4598" s="17" t="s">
        <v>16526</v>
      </c>
      <c r="C4598" s="17" t="s">
        <v>15704</v>
      </c>
      <c r="D4598" s="17" t="s">
        <v>15724</v>
      </c>
      <c r="E4598" s="10">
        <v>2110729</v>
      </c>
      <c r="F4598" s="4" t="str">
        <f>IF(B4598=B4597,"",B4598)</f>
        <v/>
      </c>
    </row>
    <row r="4599" spans="1:6" ht="15.75" customHeight="1">
      <c r="A4599" s="6" t="s">
        <v>1701</v>
      </c>
      <c r="B4599" s="6" t="s">
        <v>1701</v>
      </c>
      <c r="C4599" s="6" t="s">
        <v>1512</v>
      </c>
      <c r="D4599" s="6" t="s">
        <v>1513</v>
      </c>
      <c r="E4599" s="2">
        <v>2785364</v>
      </c>
      <c r="F4599" s="4" t="str">
        <f>IF(B4599=B4598,"",B4599)</f>
        <v>Torhout</v>
      </c>
    </row>
    <row r="4600" spans="1:6" ht="15.75" customHeight="1">
      <c r="A4600" s="5" t="str">
        <f ca="1">IFERROR(__xludf.DUMMYFUNCTION("GOOGLETRANSLATE(B23816,""en"",""pt"")"),"Torhout")</f>
        <v>Torhout</v>
      </c>
      <c r="B4600" s="17" t="s">
        <v>1701</v>
      </c>
      <c r="C4600" s="17" t="s">
        <v>1512</v>
      </c>
      <c r="D4600" s="17" t="s">
        <v>1513</v>
      </c>
      <c r="E4600" s="10">
        <v>2785364</v>
      </c>
      <c r="F4600" s="4" t="str">
        <f>IF(B4600=B4599,"",B4600)</f>
        <v/>
      </c>
    </row>
    <row r="4601" spans="1:6" ht="15.75" customHeight="1">
      <c r="A4601" s="6" t="s">
        <v>9204</v>
      </c>
      <c r="B4601" s="6" t="s">
        <v>9204</v>
      </c>
      <c r="C4601" s="6" t="s">
        <v>8028</v>
      </c>
      <c r="D4601" s="6" t="s">
        <v>8072</v>
      </c>
      <c r="E4601" s="2">
        <v>2821807</v>
      </c>
      <c r="F4601" s="4" t="str">
        <f>IF(B4601=B4600,"",B4601)</f>
        <v>Torgau</v>
      </c>
    </row>
    <row r="4602" spans="1:6" ht="15.75" customHeight="1">
      <c r="A4602" s="5" t="str">
        <f ca="1">IFERROR(__xludf.DUMMYFUNCTION("GOOGLETRANSLATE(B27474,""en"",""pt"")"),"Torgau")</f>
        <v>Torgau</v>
      </c>
      <c r="B4602" s="17" t="s">
        <v>9204</v>
      </c>
      <c r="C4602" s="17" t="s">
        <v>8028</v>
      </c>
      <c r="D4602" s="17" t="s">
        <v>8072</v>
      </c>
      <c r="E4602" s="10">
        <v>2821807</v>
      </c>
      <c r="F4602" s="4" t="str">
        <f>IF(B4602=B4601,"",B4602)</f>
        <v/>
      </c>
    </row>
    <row r="4603" spans="1:6" ht="15.75" customHeight="1">
      <c r="A4603" s="6" t="s">
        <v>27170</v>
      </c>
      <c r="B4603" s="6" t="s">
        <v>27170</v>
      </c>
      <c r="C4603" s="6" t="s">
        <v>26870</v>
      </c>
      <c r="D4603" s="6" t="s">
        <v>22345</v>
      </c>
      <c r="E4603" s="2">
        <v>691374</v>
      </c>
      <c r="F4603" s="4" t="str">
        <f>IF(B4603=B4602,"",B4603)</f>
        <v>Torez</v>
      </c>
    </row>
    <row r="4604" spans="1:6" ht="15.75" customHeight="1">
      <c r="A4604" s="5" t="str">
        <f ca="1">IFERROR(__xludf.DUMMYFUNCTION("GOOGLETRANSLATE(B42502,""en"",""pt"")"),"Torez")</f>
        <v>Torez</v>
      </c>
      <c r="B4604" s="17" t="s">
        <v>27170</v>
      </c>
      <c r="C4604" s="17" t="s">
        <v>26870</v>
      </c>
      <c r="D4604" s="17" t="s">
        <v>22345</v>
      </c>
      <c r="E4604" s="10">
        <v>691374</v>
      </c>
      <c r="F4604" s="4" t="str">
        <f>IF(B4604=B4603,"",B4604)</f>
        <v/>
      </c>
    </row>
    <row r="4605" spans="1:6" ht="15.75" customHeight="1">
      <c r="A4605" s="6" t="s">
        <v>24851</v>
      </c>
      <c r="B4605" s="6" t="s">
        <v>24851</v>
      </c>
      <c r="C4605" s="6" t="s">
        <v>24200</v>
      </c>
      <c r="D4605" s="6" t="s">
        <v>24277</v>
      </c>
      <c r="E4605" s="2">
        <v>3107955</v>
      </c>
      <c r="F4605" s="4" t="str">
        <f>IF(B4605=B4604,"",B4605)</f>
        <v>Tordera</v>
      </c>
    </row>
    <row r="4606" spans="1:6" ht="15.75" customHeight="1">
      <c r="A4606" s="5" t="str">
        <f ca="1">IFERROR(__xludf.DUMMYFUNCTION("GOOGLETRANSLATE(B29262,""en"",""pt"")"),"Tordera")</f>
        <v>Tordera</v>
      </c>
      <c r="B4606" s="17" t="s">
        <v>24851</v>
      </c>
      <c r="C4606" s="17" t="s">
        <v>24200</v>
      </c>
      <c r="D4606" s="17" t="s">
        <v>24277</v>
      </c>
      <c r="E4606" s="10">
        <v>3107955</v>
      </c>
      <c r="F4606" s="4" t="str">
        <f>IF(B4606=B4605,"",B4606)</f>
        <v/>
      </c>
    </row>
    <row r="4607" spans="1:6" ht="15.75" customHeight="1">
      <c r="A4607" s="6" t="s">
        <v>7852</v>
      </c>
      <c r="B4607" s="6" t="s">
        <v>7852</v>
      </c>
      <c r="C4607" s="6" t="s">
        <v>7052</v>
      </c>
      <c r="D4607" s="6" t="s">
        <v>7058</v>
      </c>
      <c r="E4607" s="2">
        <v>2972444</v>
      </c>
      <c r="F4607" s="4" t="str">
        <f>IF(B4607=B4606,"",B4607)</f>
        <v>Torcy</v>
      </c>
    </row>
    <row r="4608" spans="1:6" ht="15.75" customHeight="1">
      <c r="A4608" s="5" t="str">
        <f ca="1">IFERROR(__xludf.DUMMYFUNCTION("GOOGLETRANSLATE(B29733,""en"",""pt"")"),"Torcy")</f>
        <v>Torcy</v>
      </c>
      <c r="B4608" s="17" t="s">
        <v>7852</v>
      </c>
      <c r="C4608" s="17" t="s">
        <v>7052</v>
      </c>
      <c r="D4608" s="17" t="s">
        <v>32531</v>
      </c>
      <c r="E4608" s="10">
        <v>2972444</v>
      </c>
      <c r="F4608" s="4" t="str">
        <f>IF(B4608=B4607,"",B4608)</f>
        <v/>
      </c>
    </row>
    <row r="4609" spans="1:6" ht="15.75" customHeight="1">
      <c r="A4609" s="5" t="str">
        <f ca="1">IFERROR(__xludf.DUMMYFUNCTION("GOOGLETRANSLATE(B34526,""en"",""pt"")"),"Torbat-e Jām")</f>
        <v>Torbat-e Jām</v>
      </c>
      <c r="B4609" s="17" t="s">
        <v>34259</v>
      </c>
      <c r="C4609" s="17" t="s">
        <v>14240</v>
      </c>
      <c r="D4609" s="17" t="s">
        <v>14351</v>
      </c>
      <c r="E4609" s="10">
        <v>1159362</v>
      </c>
      <c r="F4609" s="4" t="str">
        <f>IF(B4609=B4608,"",B4609)</f>
        <v>Torbat-e Jām</v>
      </c>
    </row>
    <row r="4610" spans="1:6" ht="15.75" customHeight="1">
      <c r="A4610" s="5" t="s">
        <v>14581</v>
      </c>
      <c r="B4610" s="6" t="s">
        <v>14582</v>
      </c>
      <c r="C4610" s="5" t="s">
        <v>14240</v>
      </c>
      <c r="D4610" s="5" t="s">
        <v>14351</v>
      </c>
      <c r="E4610" s="2">
        <v>1159362</v>
      </c>
      <c r="F4610" s="4" t="str">
        <f>IF(B4610=B4609,"",B4610)</f>
        <v>Torbat-e JÄm</v>
      </c>
    </row>
    <row r="4611" spans="1:6" ht="15.75" customHeight="1">
      <c r="A4611" s="5" t="str">
        <f ca="1">IFERROR(__xludf.DUMMYFUNCTION("GOOGLETRANSLATE(B34353,""en"",""pt"")"),"Torbat-e ḩeydarīyeh")</f>
        <v>Torbat-e ḩeydarīyeh</v>
      </c>
      <c r="B4611" s="17" t="s">
        <v>34130</v>
      </c>
      <c r="C4611" s="17" t="s">
        <v>14240</v>
      </c>
      <c r="D4611" s="17" t="s">
        <v>14351</v>
      </c>
      <c r="E4611" s="10">
        <v>112646</v>
      </c>
      <c r="F4611" s="4" t="str">
        <f>IF(B4611=B4610,"",B4611)</f>
        <v>Torbat-e Ḩeydarīyeh</v>
      </c>
    </row>
    <row r="4612" spans="1:6" ht="15.75" customHeight="1">
      <c r="A4612" s="5" t="s">
        <v>14579</v>
      </c>
      <c r="B4612" s="6" t="s">
        <v>14580</v>
      </c>
      <c r="C4612" s="5" t="s">
        <v>14240</v>
      </c>
      <c r="D4612" s="5" t="s">
        <v>14351</v>
      </c>
      <c r="E4612" s="2">
        <v>112646</v>
      </c>
      <c r="F4612" s="4" t="str">
        <f>IF(B4612=B4611,"",B4612)</f>
        <v>Torbat-e á¸¨eydarÄ«yeh</v>
      </c>
    </row>
    <row r="4613" spans="1:6" ht="15.75" customHeight="1">
      <c r="A4613" s="5" t="str">
        <f ca="1">IFERROR(__xludf.DUMMYFUNCTION("GOOGLETRANSLATE(B41882,""en"",""pt"")"),"Torbalı")</f>
        <v>Torbalı</v>
      </c>
      <c r="B4613" s="17" t="s">
        <v>35828</v>
      </c>
      <c r="C4613" s="17" t="s">
        <v>26201</v>
      </c>
      <c r="D4613" s="17" t="s">
        <v>35825</v>
      </c>
      <c r="E4613" s="10">
        <v>298935</v>
      </c>
      <c r="F4613" s="4" t="str">
        <f>IF(B4613=B4612,"",B4613)</f>
        <v>Torbalı</v>
      </c>
    </row>
    <row r="4614" spans="1:6" ht="15.75" customHeight="1">
      <c r="A4614" s="6" t="s">
        <v>26733</v>
      </c>
      <c r="B4614" s="6" t="s">
        <v>26734</v>
      </c>
      <c r="C4614" s="6" t="s">
        <v>26201</v>
      </c>
      <c r="D4614" s="6" t="s">
        <v>26213</v>
      </c>
      <c r="E4614" s="2">
        <v>298935</v>
      </c>
      <c r="F4614" s="4" t="str">
        <f>IF(B4614=B4613,"",B4614)</f>
        <v>TorbalÄ±</v>
      </c>
    </row>
    <row r="4615" spans="1:6" ht="15.75" customHeight="1">
      <c r="A4615" s="5" t="s">
        <v>15529</v>
      </c>
      <c r="B4615" s="6" t="s">
        <v>15529</v>
      </c>
      <c r="C4615" s="5" t="s">
        <v>14891</v>
      </c>
      <c r="D4615" s="5" t="s">
        <v>14904</v>
      </c>
      <c r="E4615" s="2">
        <v>6534284</v>
      </c>
      <c r="F4615" s="4" t="str">
        <f>IF(B4615=B4614,"",B4615)</f>
        <v>Tor Lupara</v>
      </c>
    </row>
    <row r="4616" spans="1:6" ht="15.75" customHeight="1">
      <c r="A4616" s="5" t="str">
        <f ca="1">IFERROR(__xludf.DUMMYFUNCTION("GOOGLETRANSLATE(B35098,""en"",""pt"")"),"Tor Lupara")</f>
        <v>Tor Lupara</v>
      </c>
      <c r="B4616" s="17" t="s">
        <v>15529</v>
      </c>
      <c r="C4616" s="17" t="s">
        <v>14891</v>
      </c>
      <c r="D4616" s="17" t="s">
        <v>14904</v>
      </c>
      <c r="E4616" s="10">
        <v>6534284</v>
      </c>
      <c r="F4616" s="4" t="str">
        <f>IF(B4616=B4615,"",B4616)</f>
        <v/>
      </c>
    </row>
    <row r="4617" spans="1:6" ht="15.75" customHeight="1">
      <c r="A4617" s="6" t="s">
        <v>23195</v>
      </c>
      <c r="B4617" s="6" t="s">
        <v>23195</v>
      </c>
      <c r="C4617" s="6" t="s">
        <v>22070</v>
      </c>
      <c r="D4617" s="6" t="s">
        <v>22140</v>
      </c>
      <c r="E4617" s="2">
        <v>1489394</v>
      </c>
      <c r="F4617" s="4" t="str">
        <f>IF(B4617=B4616,"",B4617)</f>
        <v>Topki</v>
      </c>
    </row>
    <row r="4618" spans="1:6" ht="15.75" customHeight="1">
      <c r="A4618" s="5" t="str">
        <f ca="1">IFERROR(__xludf.DUMMYFUNCTION("GOOGLETRANSLATE(B40736,""en"",""pt"")"),"Topki")</f>
        <v>Topki</v>
      </c>
      <c r="B4618" s="17" t="s">
        <v>23195</v>
      </c>
      <c r="C4618" s="17" t="s">
        <v>22070</v>
      </c>
      <c r="D4618" s="17" t="s">
        <v>22140</v>
      </c>
      <c r="E4618" s="10">
        <v>1489394</v>
      </c>
      <c r="F4618" s="4" t="str">
        <f>IF(B4618=B4617,"",B4618)</f>
        <v/>
      </c>
    </row>
    <row r="4619" spans="1:6" ht="15.75" customHeight="1">
      <c r="A4619" s="6" t="s">
        <v>20272</v>
      </c>
      <c r="B4619" s="6" t="s">
        <v>20272</v>
      </c>
      <c r="C4619" s="6" t="s">
        <v>19808</v>
      </c>
      <c r="D4619" s="6" t="s">
        <v>19811</v>
      </c>
      <c r="E4619" s="2">
        <v>1163224</v>
      </c>
      <c r="F4619" s="4" t="str">
        <f>IF(B4619=B4618,"",B4619)</f>
        <v>Topi</v>
      </c>
    </row>
    <row r="4620" spans="1:6" ht="15.75" customHeight="1">
      <c r="A4620" s="5" t="str">
        <f ca="1">IFERROR(__xludf.DUMMYFUNCTION("GOOGLETRANSLATE(B38882,""en"",""pt"")"),"Topi")</f>
        <v>Topi</v>
      </c>
      <c r="B4620" s="17" t="s">
        <v>20272</v>
      </c>
      <c r="C4620" s="17" t="s">
        <v>19808</v>
      </c>
      <c r="D4620" s="17" t="s">
        <v>19811</v>
      </c>
      <c r="E4620" s="10">
        <v>1163224</v>
      </c>
      <c r="F4620" s="4" t="str">
        <f>IF(B4620=B4619,"",B4620)</f>
        <v/>
      </c>
    </row>
    <row r="4621" spans="1:6" ht="15.75" customHeight="1">
      <c r="A4621" s="6" t="s">
        <v>30205</v>
      </c>
      <c r="B4621" s="6" t="s">
        <v>30205</v>
      </c>
      <c r="C4621" s="6" t="s">
        <v>27788</v>
      </c>
      <c r="D4621" s="6" t="s">
        <v>28419</v>
      </c>
      <c r="E4621" s="2">
        <v>4280539</v>
      </c>
      <c r="F4621" s="4" t="str">
        <f>IF(B4621=B4620,"",B4621)</f>
        <v>Topeka</v>
      </c>
    </row>
    <row r="4622" spans="1:6" ht="15.75" customHeight="1">
      <c r="A4622" s="5" t="str">
        <f ca="1">IFERROR(__xludf.DUMMYFUNCTION("GOOGLETRANSLATE(B43185,""en"",""pt"")"),"Topeka")</f>
        <v>Topeka</v>
      </c>
      <c r="B4622" s="17" t="s">
        <v>30205</v>
      </c>
      <c r="C4622" s="17" t="s">
        <v>27788</v>
      </c>
      <c r="D4622" s="17" t="s">
        <v>28419</v>
      </c>
      <c r="E4622" s="10">
        <v>4280539</v>
      </c>
      <c r="F4622" s="4" t="str">
        <f>IF(B4622=B4621,"",B4622)</f>
        <v/>
      </c>
    </row>
    <row r="4623" spans="1:6" ht="15.75" customHeight="1">
      <c r="A4623" s="5" t="s">
        <v>1098</v>
      </c>
      <c r="B4623" s="6" t="s">
        <v>1098</v>
      </c>
      <c r="C4623" s="5" t="s">
        <v>885</v>
      </c>
      <c r="D4623" s="5" t="s">
        <v>910</v>
      </c>
      <c r="E4623" s="2">
        <v>2146268</v>
      </c>
      <c r="F4623" s="4" t="str">
        <f>IF(B4623=B4622,"",B4623)</f>
        <v>Toowoomba</v>
      </c>
    </row>
    <row r="4624" spans="1:6" ht="15.75" customHeight="1">
      <c r="A4624" s="5" t="str">
        <f ca="1">IFERROR(__xludf.DUMMYFUNCTION("GOOGLETRANSLATE(B23438,""en"",""pt"")"),"Toowoomba")</f>
        <v>Toowoomba</v>
      </c>
      <c r="B4624" s="17" t="s">
        <v>1098</v>
      </c>
      <c r="C4624" s="17" t="s">
        <v>885</v>
      </c>
      <c r="D4624" s="17" t="s">
        <v>910</v>
      </c>
      <c r="E4624" s="10">
        <v>2146268</v>
      </c>
      <c r="F4624" s="4" t="str">
        <f>IF(B4624=B4623,"",B4624)</f>
        <v/>
      </c>
    </row>
    <row r="4625" spans="1:6" ht="15.75" customHeight="1">
      <c r="A4625" s="6" t="s">
        <v>30204</v>
      </c>
      <c r="B4625" s="6" t="s">
        <v>30204</v>
      </c>
      <c r="C4625" s="6" t="s">
        <v>27788</v>
      </c>
      <c r="D4625" s="6" t="s">
        <v>27856</v>
      </c>
      <c r="E4625" s="2">
        <v>5783695</v>
      </c>
      <c r="F4625" s="4" t="str">
        <f>IF(B4625=B4624,"",B4625)</f>
        <v>Tooele</v>
      </c>
    </row>
    <row r="4626" spans="1:6" ht="15.75" customHeight="1">
      <c r="A4626" s="5" t="str">
        <f ca="1">IFERROR(__xludf.DUMMYFUNCTION("GOOGLETRANSLATE(B45310,""en"",""pt"")"),"Tooele")</f>
        <v>Tooele</v>
      </c>
      <c r="B4626" s="17" t="s">
        <v>30204</v>
      </c>
      <c r="C4626" s="17" t="s">
        <v>27788</v>
      </c>
      <c r="D4626" s="17" t="s">
        <v>27856</v>
      </c>
      <c r="E4626" s="10">
        <v>5783695</v>
      </c>
      <c r="F4626" s="4" t="str">
        <f>IF(B4626=B4625,"",B4626)</f>
        <v/>
      </c>
    </row>
    <row r="4627" spans="1:6" ht="15.75" customHeight="1">
      <c r="A4627" s="5" t="str">
        <f ca="1">IFERROR(__xludf.DUMMYFUNCTION("GOOGLETRANSLATE(B38145,""en"",""pt"")"),"Tønsberg")</f>
        <v>Tønsberg</v>
      </c>
      <c r="B4627" s="17" t="s">
        <v>34814</v>
      </c>
      <c r="C4627" s="17" t="s">
        <v>19695</v>
      </c>
      <c r="D4627" s="17" t="s">
        <v>19722</v>
      </c>
      <c r="E4627" s="10">
        <v>3134331</v>
      </c>
      <c r="F4627" s="4" t="str">
        <f>IF(B4627=B4626,"",B4627)</f>
        <v>Tønsberg</v>
      </c>
    </row>
    <row r="4628" spans="1:6" ht="15.75" customHeight="1">
      <c r="A4628" s="6" t="s">
        <v>1902</v>
      </c>
      <c r="B4628" s="6" t="s">
        <v>1902</v>
      </c>
      <c r="C4628" s="6" t="s">
        <v>1878</v>
      </c>
      <c r="D4628" s="6" t="s">
        <v>1886</v>
      </c>
      <c r="E4628" s="2">
        <v>933000</v>
      </c>
      <c r="F4628" s="4" t="str">
        <f>IF(B4628=B4627,"",B4628)</f>
        <v>Tonota</v>
      </c>
    </row>
    <row r="4629" spans="1:6" ht="15.75" customHeight="1">
      <c r="A4629" s="5" t="str">
        <f ca="1">IFERROR(__xludf.DUMMYFUNCTION("GOOGLETRANSLATE(B25350,""en"",""pt"")"),"Tonota")</f>
        <v>Tonota</v>
      </c>
      <c r="B4629" s="17" t="s">
        <v>1902</v>
      </c>
      <c r="C4629" s="17" t="s">
        <v>1878</v>
      </c>
      <c r="D4629" s="17" t="s">
        <v>1886</v>
      </c>
      <c r="E4629" s="10">
        <v>933000</v>
      </c>
      <c r="F4629" s="4" t="str">
        <f>IF(B4629=B4628,"",B4629)</f>
        <v/>
      </c>
    </row>
    <row r="4630" spans="1:6" ht="15.75" customHeight="1">
      <c r="A4630" s="5" t="str">
        <f ca="1">IFERROR(__xludf.DUMMYFUNCTION("GOOGLETRANSLATE(B35220,""en"",""pt"")"),"Tonoshō")</f>
        <v>Tonoshō</v>
      </c>
      <c r="B4630" s="17" t="s">
        <v>34297</v>
      </c>
      <c r="C4630" s="17" t="s">
        <v>15704</v>
      </c>
      <c r="D4630" s="17" t="s">
        <v>16087</v>
      </c>
      <c r="E4630" s="10">
        <v>1850004</v>
      </c>
      <c r="F4630" s="4" t="str">
        <f>IF(B4630=B4629,"",B4630)</f>
        <v>Tonoshō</v>
      </c>
    </row>
    <row r="4631" spans="1:6" ht="15.75" customHeight="1">
      <c r="A4631" s="6" t="s">
        <v>16524</v>
      </c>
      <c r="B4631" s="6" t="s">
        <v>16525</v>
      </c>
      <c r="C4631" s="6" t="s">
        <v>15704</v>
      </c>
      <c r="D4631" s="6" t="s">
        <v>16087</v>
      </c>
      <c r="E4631" s="2">
        <v>1850004</v>
      </c>
      <c r="F4631" s="4" t="str">
        <f>IF(B4631=B4630,"",B4631)</f>
        <v>TonoshÅ</v>
      </c>
    </row>
    <row r="4632" spans="1:6" ht="15.75" customHeight="1">
      <c r="A4632" s="5" t="str">
        <f ca="1">IFERROR(__xludf.DUMMYFUNCTION("GOOGLETRANSLATE(B35721,""en"",""pt"")"),"Tōno")</f>
        <v>Tōno</v>
      </c>
      <c r="B4632" s="17" t="s">
        <v>34400</v>
      </c>
      <c r="C4632" s="17" t="s">
        <v>15704</v>
      </c>
      <c r="D4632" s="17" t="s">
        <v>15745</v>
      </c>
      <c r="E4632" s="10">
        <v>2110735</v>
      </c>
      <c r="F4632" s="4" t="str">
        <f>IF(B4632=B4631,"",B4632)</f>
        <v>Tōno</v>
      </c>
    </row>
    <row r="4633" spans="1:6" ht="15.75" customHeight="1">
      <c r="A4633" s="6" t="s">
        <v>13607</v>
      </c>
      <c r="B4633" s="6" t="s">
        <v>13607</v>
      </c>
      <c r="C4633" s="6" t="s">
        <v>10178</v>
      </c>
      <c r="D4633" s="6" t="s">
        <v>10179</v>
      </c>
      <c r="E4633" s="2">
        <v>1254241</v>
      </c>
      <c r="F4633" s="4" t="str">
        <f>IF(B4633=B4632,"",B4633)</f>
        <v>Tonk</v>
      </c>
    </row>
    <row r="4634" spans="1:6" ht="15.75" customHeight="1">
      <c r="A4634" s="5" t="str">
        <f ca="1">IFERROR(__xludf.DUMMYFUNCTION("GOOGLETRANSLATE(B31966,""en"",""pt"")"),"Tonk")</f>
        <v>Tonk</v>
      </c>
      <c r="B4634" s="17" t="s">
        <v>13607</v>
      </c>
      <c r="C4634" s="17" t="s">
        <v>10178</v>
      </c>
      <c r="D4634" s="17" t="s">
        <v>10179</v>
      </c>
      <c r="E4634" s="10">
        <v>1254241</v>
      </c>
      <c r="F4634" s="4" t="str">
        <f>IF(B4634=B4633,"",B4634)</f>
        <v/>
      </c>
    </row>
    <row r="4635" spans="1:6" ht="15.75" customHeight="1">
      <c r="A4635" s="6" t="s">
        <v>24190</v>
      </c>
      <c r="B4635" s="6" t="s">
        <v>24190</v>
      </c>
      <c r="C4635" s="6" t="s">
        <v>24176</v>
      </c>
      <c r="D4635" s="6" t="s">
        <v>24179</v>
      </c>
      <c r="E4635" s="2">
        <v>365763</v>
      </c>
      <c r="F4635" s="4" t="str">
        <f>IF(B4635=B4634,"",B4635)</f>
        <v>Tonj</v>
      </c>
    </row>
    <row r="4636" spans="1:6" ht="15.75" customHeight="1">
      <c r="A4636" s="5" t="str">
        <f ca="1">IFERROR(__xludf.DUMMYFUNCTION("GOOGLETRANSLATE(B41347,""en"",""pt"")"),"Tonj")</f>
        <v>Tonj</v>
      </c>
      <c r="B4636" s="17" t="s">
        <v>24190</v>
      </c>
      <c r="C4636" s="17" t="s">
        <v>24176</v>
      </c>
      <c r="D4636" s="17" t="s">
        <v>24179</v>
      </c>
      <c r="E4636" s="10">
        <v>365763</v>
      </c>
      <c r="F4636" s="4" t="str">
        <f>IF(B4636=B4635,"",B4636)</f>
        <v/>
      </c>
    </row>
    <row r="4637" spans="1:6" ht="15.75" customHeight="1">
      <c r="A4637" s="5" t="str">
        <f ca="1">IFERROR(__xludf.DUMMYFUNCTION("GOOGLETRANSLATE(B27475,""en"",""pt"")"),"Tönisvorst")</f>
        <v>Tönisvorst</v>
      </c>
      <c r="B4637" s="17" t="s">
        <v>32026</v>
      </c>
      <c r="C4637" s="17" t="s">
        <v>8028</v>
      </c>
      <c r="D4637" s="17" t="s">
        <v>8029</v>
      </c>
      <c r="E4637" s="10">
        <v>2821899</v>
      </c>
      <c r="F4637" s="4" t="str">
        <f>IF(B4637=B4636,"",B4637)</f>
        <v>Tönisvorst</v>
      </c>
    </row>
    <row r="4638" spans="1:6" ht="15.75" customHeight="1">
      <c r="A4638" s="6" t="s">
        <v>5139</v>
      </c>
      <c r="B4638" s="6" t="s">
        <v>5139</v>
      </c>
      <c r="C4638" s="6" t="s">
        <v>4487</v>
      </c>
      <c r="D4638" s="6" t="s">
        <v>4546</v>
      </c>
      <c r="E4638" s="2">
        <v>1792520</v>
      </c>
      <c r="F4638" s="4" t="str">
        <f>IF(B4638=B4637,"",B4638)</f>
        <v>Tongzhou</v>
      </c>
    </row>
    <row r="4639" spans="1:6" ht="15.75" customHeight="1">
      <c r="A4639" s="5" t="str">
        <f ca="1">IFERROR(__xludf.DUMMYFUNCTION("GOOGLETRANSLATE(B26228,""en"",""pt"")"),"Tongzhou")</f>
        <v>Tongzhou</v>
      </c>
      <c r="B4639" s="17" t="s">
        <v>5139</v>
      </c>
      <c r="C4639" s="17" t="s">
        <v>4487</v>
      </c>
      <c r="D4639" s="17" t="s">
        <v>4546</v>
      </c>
      <c r="E4639" s="10">
        <v>1792520</v>
      </c>
      <c r="F4639" s="4" t="str">
        <f>IF(B4639=B4638,"",B4639)</f>
        <v/>
      </c>
    </row>
    <row r="4640" spans="1:6" ht="15.75" customHeight="1">
      <c r="A4640" s="6" t="s">
        <v>5138</v>
      </c>
      <c r="B4640" s="6" t="s">
        <v>5138</v>
      </c>
      <c r="C4640" s="6" t="s">
        <v>4487</v>
      </c>
      <c r="D4640" s="6" t="s">
        <v>4535</v>
      </c>
      <c r="E4640" s="2">
        <v>1787824</v>
      </c>
      <c r="F4640" s="4" t="str">
        <f>IF(B4640=B4639,"",B4640)</f>
        <v>Tongshan</v>
      </c>
    </row>
    <row r="4641" spans="1:6" ht="15.75" customHeight="1">
      <c r="A4641" s="5" t="str">
        <f ca="1">IFERROR(__xludf.DUMMYFUNCTION("GOOGLETRANSLATE(B26148,""en"",""pt"")"),"Tongshan")</f>
        <v>Tongshan</v>
      </c>
      <c r="B4641" s="17" t="s">
        <v>5138</v>
      </c>
      <c r="C4641" s="17" t="s">
        <v>4487</v>
      </c>
      <c r="D4641" s="17" t="s">
        <v>4535</v>
      </c>
      <c r="E4641" s="10">
        <v>1787824</v>
      </c>
      <c r="F4641" s="4" t="str">
        <f>IF(B4641=B4640,"",B4641)</f>
        <v/>
      </c>
    </row>
    <row r="4642" spans="1:6" ht="15.75" customHeight="1">
      <c r="A4642" s="6" t="s">
        <v>5137</v>
      </c>
      <c r="B4642" s="6" t="s">
        <v>5137</v>
      </c>
      <c r="C4642" s="6" t="s">
        <v>4487</v>
      </c>
      <c r="D4642" s="6" t="s">
        <v>4507</v>
      </c>
      <c r="E4642" s="2">
        <v>1792592</v>
      </c>
      <c r="F4642" s="4" t="str">
        <f>IF(B4642=B4641,"",B4642)</f>
        <v>Tongren</v>
      </c>
    </row>
    <row r="4643" spans="1:6" ht="15.75" customHeight="1">
      <c r="A4643" s="5" t="str">
        <f ca="1">IFERROR(__xludf.DUMMYFUNCTION("GOOGLETRANSLATE(B26230,""en"",""pt"")"),"Tongren")</f>
        <v>Tongren</v>
      </c>
      <c r="B4643" s="17" t="s">
        <v>5137</v>
      </c>
      <c r="C4643" s="17" t="s">
        <v>4487</v>
      </c>
      <c r="D4643" s="17" t="s">
        <v>4507</v>
      </c>
      <c r="E4643" s="10">
        <v>1792592</v>
      </c>
      <c r="F4643" s="4" t="str">
        <f>IF(B4643=B4642,"",B4643)</f>
        <v/>
      </c>
    </row>
    <row r="4644" spans="1:6" ht="15.75" customHeight="1">
      <c r="A4644" s="6" t="s">
        <v>5136</v>
      </c>
      <c r="B4644" s="6" t="s">
        <v>5136</v>
      </c>
      <c r="C4644" s="6" t="s">
        <v>4487</v>
      </c>
      <c r="D4644" s="6" t="s">
        <v>4533</v>
      </c>
      <c r="E4644" s="2">
        <v>2034400</v>
      </c>
      <c r="F4644" s="4" t="str">
        <f>IF(B4644=B4643,"",B4644)</f>
        <v>Tongliao</v>
      </c>
    </row>
    <row r="4645" spans="1:6" ht="15.75" customHeight="1">
      <c r="A4645" s="5" t="str">
        <f ca="1">IFERROR(__xludf.DUMMYFUNCTION("GOOGLETRANSLATE(B26676,""en"",""pt"")"),"Tongliao")</f>
        <v>Tongliao</v>
      </c>
      <c r="B4645" s="17" t="s">
        <v>5136</v>
      </c>
      <c r="C4645" s="17" t="s">
        <v>4487</v>
      </c>
      <c r="D4645" s="17" t="s">
        <v>4533</v>
      </c>
      <c r="E4645" s="10">
        <v>2034400</v>
      </c>
      <c r="F4645" s="4" t="str">
        <f>IF(B4645=B4644,"",B4645)</f>
        <v/>
      </c>
    </row>
    <row r="4646" spans="1:6" ht="15.75" customHeight="1">
      <c r="A4646" s="6" t="s">
        <v>24155</v>
      </c>
      <c r="B4646" s="6" t="s">
        <v>24155</v>
      </c>
      <c r="C4646" s="6" t="s">
        <v>24024</v>
      </c>
      <c r="D4646" s="6" t="s">
        <v>24054</v>
      </c>
      <c r="E4646" s="2">
        <v>1892823</v>
      </c>
      <c r="F4646" s="4" t="str">
        <f>IF(B4646=B4645,"",B4646)</f>
        <v>Tonghae</v>
      </c>
    </row>
    <row r="4647" spans="1:6" ht="15.75" customHeight="1">
      <c r="A4647" s="5" t="str">
        <f ca="1">IFERROR(__xludf.DUMMYFUNCTION("GOOGLETRANSLATE(B36151,""en"",""pt"")"),"Tonghae")</f>
        <v>Tonghae</v>
      </c>
      <c r="B4647" s="17" t="s">
        <v>24155</v>
      </c>
      <c r="C4647" s="17" t="s">
        <v>24024</v>
      </c>
      <c r="D4647" s="17" t="s">
        <v>24054</v>
      </c>
      <c r="E4647" s="10">
        <v>1892823</v>
      </c>
      <c r="F4647" s="4" t="str">
        <f>IF(B4647=B4646,"",B4647)</f>
        <v/>
      </c>
    </row>
    <row r="4648" spans="1:6" ht="15.75" customHeight="1">
      <c r="A4648" s="6" t="s">
        <v>14214</v>
      </c>
      <c r="B4648" s="6" t="s">
        <v>14214</v>
      </c>
      <c r="C4648" s="6" t="s">
        <v>13800</v>
      </c>
      <c r="D4648" s="6" t="s">
        <v>13830</v>
      </c>
      <c r="E4648" s="2">
        <v>1213442</v>
      </c>
      <c r="F4648" s="4" t="str">
        <f>IF(B4648=B4647,"",B4648)</f>
        <v>Tongging</v>
      </c>
    </row>
    <row r="4649" spans="1:6" ht="15.75" customHeight="1">
      <c r="A4649" s="5" t="str">
        <f ca="1">IFERROR(__xludf.DUMMYFUNCTION("GOOGLETRANSLATE(B31352,""en"",""pt"")"),"Tongging")</f>
        <v>Tongging</v>
      </c>
      <c r="B4649" s="17" t="s">
        <v>14214</v>
      </c>
      <c r="C4649" s="17" t="s">
        <v>13800</v>
      </c>
      <c r="D4649" s="17" t="s">
        <v>13830</v>
      </c>
      <c r="E4649" s="10">
        <v>1213442</v>
      </c>
      <c r="F4649" s="4" t="str">
        <f>IF(B4649=B4648,"",B4649)</f>
        <v/>
      </c>
    </row>
    <row r="4650" spans="1:6" ht="15.75" customHeight="1">
      <c r="A4650" s="6" t="s">
        <v>1700</v>
      </c>
      <c r="B4650" s="6" t="s">
        <v>1700</v>
      </c>
      <c r="C4650" s="6" t="s">
        <v>1512</v>
      </c>
      <c r="D4650" s="6" t="s">
        <v>1513</v>
      </c>
      <c r="E4650" s="2">
        <v>2785389</v>
      </c>
      <c r="F4650" s="4" t="str">
        <f>IF(B4650=B4649,"",B4650)</f>
        <v>Tongeren</v>
      </c>
    </row>
    <row r="4651" spans="1:6" ht="15.75" customHeight="1">
      <c r="A4651" s="5" t="str">
        <f ca="1">IFERROR(__xludf.DUMMYFUNCTION("GOOGLETRANSLATE(B23817,""en"",""pt"")"),"Tongeren")</f>
        <v>Tongeren</v>
      </c>
      <c r="B4651" s="17" t="s">
        <v>1700</v>
      </c>
      <c r="C4651" s="17" t="s">
        <v>1512</v>
      </c>
      <c r="D4651" s="17" t="s">
        <v>1513</v>
      </c>
      <c r="E4651" s="10">
        <v>2785389</v>
      </c>
      <c r="F4651" s="4" t="str">
        <f>IF(B4651=B4650,"",B4651)</f>
        <v/>
      </c>
    </row>
    <row r="4652" spans="1:6" ht="15.75" customHeight="1">
      <c r="A4652" s="6" t="s">
        <v>19104</v>
      </c>
      <c r="B4652" s="6" t="s">
        <v>19104</v>
      </c>
      <c r="C4652" s="6" t="s">
        <v>18862</v>
      </c>
      <c r="D4652" s="6" t="s">
        <v>18888</v>
      </c>
      <c r="E4652" s="2">
        <v>2746215</v>
      </c>
      <c r="F4652" s="4" t="str">
        <f>IF(B4652=B4651,"",B4652)</f>
        <v>Tongelre</v>
      </c>
    </row>
    <row r="4653" spans="1:6" ht="15.75" customHeight="1">
      <c r="A4653" s="5" t="str">
        <f ca="1">IFERROR(__xludf.DUMMYFUNCTION("GOOGLETRANSLATE(B37940,""en"",""pt"")"),"Tongelre")</f>
        <v>Tongelre</v>
      </c>
      <c r="B4653" s="17" t="s">
        <v>19104</v>
      </c>
      <c r="C4653" s="17" t="s">
        <v>18862</v>
      </c>
      <c r="D4653" s="17" t="s">
        <v>18888</v>
      </c>
      <c r="E4653" s="10">
        <v>2746215</v>
      </c>
      <c r="F4653" s="4" t="str">
        <f>IF(B4653=B4652,"",B4653)</f>
        <v/>
      </c>
    </row>
    <row r="4654" spans="1:6" ht="15.75" customHeight="1">
      <c r="A4654" s="5" t="s">
        <v>5135</v>
      </c>
      <c r="B4654" s="6" t="s">
        <v>5135</v>
      </c>
      <c r="C4654" s="5" t="s">
        <v>4487</v>
      </c>
      <c r="D4654" s="5" t="s">
        <v>4588</v>
      </c>
      <c r="E4654" s="2">
        <v>1792692</v>
      </c>
      <c r="F4654" s="4" t="str">
        <f>IF(B4654=B4653,"",B4654)</f>
        <v>Tongchuan</v>
      </c>
    </row>
    <row r="4655" spans="1:6" ht="15.75" customHeight="1">
      <c r="A4655" s="5" t="s">
        <v>5135</v>
      </c>
      <c r="B4655" s="6" t="s">
        <v>5135</v>
      </c>
      <c r="C4655" s="5" t="s">
        <v>4487</v>
      </c>
      <c r="D4655" s="5" t="s">
        <v>4497</v>
      </c>
      <c r="E4655" s="2">
        <v>1795196</v>
      </c>
      <c r="F4655" s="4" t="str">
        <f>IF(B4655=B4654,"",B4655)</f>
        <v/>
      </c>
    </row>
    <row r="4656" spans="1:6" ht="15.75" customHeight="1">
      <c r="A4656" s="5" t="str">
        <f ca="1">IFERROR(__xludf.DUMMYFUNCTION("GOOGLETRANSLATE(B26232,""en"",""pt"")"),"Tongchuan")</f>
        <v>Tongchuan</v>
      </c>
      <c r="B4656" s="17" t="s">
        <v>5135</v>
      </c>
      <c r="C4656" s="17" t="s">
        <v>4487</v>
      </c>
      <c r="D4656" s="17" t="s">
        <v>4588</v>
      </c>
      <c r="E4656" s="10">
        <v>1792692</v>
      </c>
      <c r="F4656" s="4" t="str">
        <f>IF(B4656=B4655,"",B4656)</f>
        <v/>
      </c>
    </row>
    <row r="4657" spans="1:6" ht="15.75" customHeight="1">
      <c r="A4657" s="5" t="str">
        <f ca="1">IFERROR(__xludf.DUMMYFUNCTION("GOOGLETRANSLATE(B26270,""en"",""pt"")"),"Tongchuan")</f>
        <v>Tongchuan</v>
      </c>
      <c r="B4657" s="17" t="s">
        <v>5135</v>
      </c>
      <c r="C4657" s="17" t="s">
        <v>4487</v>
      </c>
      <c r="D4657" s="17" t="s">
        <v>4497</v>
      </c>
      <c r="E4657" s="10">
        <v>1795196</v>
      </c>
      <c r="F4657" s="4" t="str">
        <f>IF(B4657=B4656,"",B4657)</f>
        <v/>
      </c>
    </row>
    <row r="4658" spans="1:6" ht="15.75" customHeight="1">
      <c r="A4658" s="6" t="s">
        <v>3968</v>
      </c>
      <c r="B4658" s="6" t="s">
        <v>3968</v>
      </c>
      <c r="C4658" s="6" t="s">
        <v>3884</v>
      </c>
      <c r="D4658" s="6" t="s">
        <v>3891</v>
      </c>
      <c r="E4658" s="2">
        <v>2221394</v>
      </c>
      <c r="F4658" s="4" t="str">
        <f>IF(B4658=B4657,"",B4658)</f>
        <v>Tonga</v>
      </c>
    </row>
    <row r="4659" spans="1:6" ht="15.75" customHeight="1">
      <c r="A4659" s="5" t="str">
        <f ca="1">IFERROR(__xludf.DUMMYFUNCTION("GOOGLETRANSLATE(B25983,""en"",""pt"")"),"Tonga")</f>
        <v>Tonga</v>
      </c>
      <c r="B4659" s="17" t="s">
        <v>3968</v>
      </c>
      <c r="C4659" s="17" t="s">
        <v>3884</v>
      </c>
      <c r="D4659" s="17" t="s">
        <v>3891</v>
      </c>
      <c r="E4659" s="10">
        <v>2221394</v>
      </c>
      <c r="F4659" s="4" t="str">
        <f>IF(B4659=B4658,"",B4659)</f>
        <v/>
      </c>
    </row>
    <row r="4660" spans="1:6" ht="15.75" customHeight="1">
      <c r="A4660" s="5" t="str">
        <f ca="1">IFERROR(__xludf.DUMMYFUNCTION("GOOGLETRANSLATE(B34354,""en"",""pt"")"),"Tonekābon")</f>
        <v>Tonekābon</v>
      </c>
      <c r="B4660" s="17" t="s">
        <v>34131</v>
      </c>
      <c r="C4660" s="17" t="s">
        <v>14240</v>
      </c>
      <c r="D4660" s="17" t="s">
        <v>34132</v>
      </c>
      <c r="E4660" s="10">
        <v>112656</v>
      </c>
      <c r="F4660" s="4" t="str">
        <f>IF(B4660=B4659,"",B4660)</f>
        <v>Tonekābon</v>
      </c>
    </row>
    <row r="4661" spans="1:6" ht="15.75" customHeight="1">
      <c r="A4661" s="5" t="s">
        <v>14577</v>
      </c>
      <c r="B4661" s="6" t="s">
        <v>14578</v>
      </c>
      <c r="C4661" s="5" t="s">
        <v>14240</v>
      </c>
      <c r="D4661" s="5" t="s">
        <v>14253</v>
      </c>
      <c r="E4661" s="2">
        <v>112656</v>
      </c>
      <c r="F4661" s="4" t="str">
        <f>IF(B4661=B4660,"",B4661)</f>
        <v>TonekÄbon</v>
      </c>
    </row>
    <row r="4662" spans="1:6" ht="15.75" customHeight="1">
      <c r="A4662" s="6" t="s">
        <v>13606</v>
      </c>
      <c r="B4662" s="6" t="s">
        <v>13606</v>
      </c>
      <c r="C4662" s="6" t="s">
        <v>10178</v>
      </c>
      <c r="D4662" s="6" t="s">
        <v>10196</v>
      </c>
      <c r="E4662" s="2">
        <v>1254249</v>
      </c>
      <c r="F4662" s="4" t="str">
        <f>IF(B4662=B4661,"",B4662)</f>
        <v>Tondi</v>
      </c>
    </row>
    <row r="4663" spans="1:6" ht="15.75" customHeight="1">
      <c r="A4663" s="5" t="str">
        <f ca="1">IFERROR(__xludf.DUMMYFUNCTION("GOOGLETRANSLATE(B31967,""en"",""pt"")"),"Tondi")</f>
        <v>Tondi</v>
      </c>
      <c r="B4663" s="17" t="s">
        <v>13606</v>
      </c>
      <c r="C4663" s="17" t="s">
        <v>10178</v>
      </c>
      <c r="D4663" s="17" t="s">
        <v>10196</v>
      </c>
      <c r="E4663" s="10">
        <v>1254249</v>
      </c>
      <c r="F4663" s="4" t="str">
        <f>IF(B4663=B4662,"",B4663)</f>
        <v/>
      </c>
    </row>
    <row r="4664" spans="1:6" ht="15.75" customHeight="1">
      <c r="A4664" s="6" t="s">
        <v>14213</v>
      </c>
      <c r="B4664" s="6" t="s">
        <v>14213</v>
      </c>
      <c r="C4664" s="6" t="s">
        <v>13800</v>
      </c>
      <c r="D4664" s="6" t="s">
        <v>13859</v>
      </c>
      <c r="E4664" s="2">
        <v>1623424</v>
      </c>
      <c r="F4664" s="4" t="str">
        <f>IF(B4664=B4663,"",B4664)</f>
        <v>Tondano</v>
      </c>
    </row>
    <row r="4665" spans="1:6" ht="15.75" customHeight="1">
      <c r="A4665" s="5" t="str">
        <f ca="1">IFERROR(__xludf.DUMMYFUNCTION("GOOGLETRANSLATE(B31406,""en"",""pt"")"),"Tondano")</f>
        <v>Tondano</v>
      </c>
      <c r="B4665" s="17" t="s">
        <v>14213</v>
      </c>
      <c r="C4665" s="17" t="s">
        <v>13800</v>
      </c>
      <c r="D4665" s="17" t="s">
        <v>13859</v>
      </c>
      <c r="E4665" s="10">
        <v>1623424</v>
      </c>
      <c r="F4665" s="4" t="str">
        <f>IF(B4665=B4664,"",B4665)</f>
        <v/>
      </c>
    </row>
    <row r="4666" spans="1:6" ht="15.75" customHeight="1">
      <c r="A4666" s="5" t="str">
        <f ca="1">IFERROR(__xludf.DUMMYFUNCTION("GOOGLETRANSLATE(B35221,""en"",""pt"")"),"Tondabayashichō")</f>
        <v>Tondabayashichō</v>
      </c>
      <c r="B4666" s="17" t="s">
        <v>34298</v>
      </c>
      <c r="C4666" s="17" t="s">
        <v>15704</v>
      </c>
      <c r="D4666" s="17" t="s">
        <v>34295</v>
      </c>
      <c r="E4666" s="10">
        <v>1850034</v>
      </c>
      <c r="F4666" s="4" t="str">
        <f>IF(B4666=B4665,"",B4666)</f>
        <v>Tondabayashichō</v>
      </c>
    </row>
    <row r="4667" spans="1:6" ht="15.75" customHeight="1">
      <c r="A4667" s="5" t="s">
        <v>16522</v>
      </c>
      <c r="B4667" s="6" t="s">
        <v>16523</v>
      </c>
      <c r="C4667" s="5" t="s">
        <v>15704</v>
      </c>
      <c r="D4667" s="5" t="s">
        <v>15853</v>
      </c>
      <c r="E4667" s="2">
        <v>1850034</v>
      </c>
      <c r="F4667" s="4" t="str">
        <f>IF(B4667=B4666,"",B4667)</f>
        <v>TondabayashichÅ</v>
      </c>
    </row>
    <row r="4668" spans="1:6" ht="15.75" customHeight="1">
      <c r="A4668" s="5" t="s">
        <v>30203</v>
      </c>
      <c r="B4668" s="6" t="s">
        <v>30203</v>
      </c>
      <c r="C4668" s="5" t="s">
        <v>27788</v>
      </c>
      <c r="D4668" s="5" t="s">
        <v>27819</v>
      </c>
      <c r="E4668" s="2">
        <v>5141175</v>
      </c>
      <c r="F4668" s="4" t="str">
        <f>IF(B4668=B4667,"",B4668)</f>
        <v>Tonawanda</v>
      </c>
    </row>
    <row r="4669" spans="1:6" ht="15.75" customHeight="1">
      <c r="A4669" s="5" t="s">
        <v>30203</v>
      </c>
      <c r="B4669" s="6" t="s">
        <v>30203</v>
      </c>
      <c r="C4669" s="5" t="s">
        <v>27788</v>
      </c>
      <c r="D4669" s="5" t="s">
        <v>27819</v>
      </c>
      <c r="E4669" s="2">
        <v>7259084</v>
      </c>
      <c r="F4669" s="4" t="str">
        <f>IF(B4669=B4668,"",B4669)</f>
        <v/>
      </c>
    </row>
    <row r="4670" spans="1:6" ht="15.75" customHeight="1">
      <c r="A4670" s="5" t="str">
        <f ca="1">IFERROR(__xludf.DUMMYFUNCTION("GOOGLETRANSLATE(B44458,""en"",""pt"")"),"Tonawanda")</f>
        <v>Tonawanda</v>
      </c>
      <c r="B4670" s="17" t="s">
        <v>30203</v>
      </c>
      <c r="C4670" s="17" t="s">
        <v>27788</v>
      </c>
      <c r="D4670" s="17" t="s">
        <v>27819</v>
      </c>
      <c r="E4670" s="10">
        <v>5141175</v>
      </c>
      <c r="F4670" s="4" t="str">
        <f>IF(B4670=B4669,"",B4670)</f>
        <v/>
      </c>
    </row>
    <row r="4671" spans="1:6" ht="15.75" customHeight="1">
      <c r="A4671" s="5" t="str">
        <f ca="1">IFERROR(__xludf.DUMMYFUNCTION("GOOGLETRANSLATE(B45431,""en"",""pt"")"),"Tonawanda")</f>
        <v>Tonawanda</v>
      </c>
      <c r="B4671" s="17" t="s">
        <v>30203</v>
      </c>
      <c r="C4671" s="17" t="s">
        <v>27788</v>
      </c>
      <c r="D4671" s="17" t="s">
        <v>27819</v>
      </c>
      <c r="E4671" s="10">
        <v>7259084</v>
      </c>
      <c r="F4671" s="4" t="str">
        <f>IF(B4671=B4670,"",B4671)</f>
        <v/>
      </c>
    </row>
    <row r="4672" spans="1:6" ht="15.75" customHeight="1">
      <c r="A4672" s="6" t="s">
        <v>18373</v>
      </c>
      <c r="B4672" s="6" t="s">
        <v>18374</v>
      </c>
      <c r="C4672" s="6" t="s">
        <v>17707</v>
      </c>
      <c r="D4672" s="6" t="s">
        <v>17770</v>
      </c>
      <c r="E4672" s="2">
        <v>3816721</v>
      </c>
      <c r="F4672" s="4" t="str">
        <f>IF(B4672=B4671,"",B4672)</f>
        <v>TonalÃ¡</v>
      </c>
    </row>
    <row r="4673" spans="1:6" ht="15.75" customHeight="1">
      <c r="A4673" s="6" t="s">
        <v>18373</v>
      </c>
      <c r="B4673" s="6" t="s">
        <v>18374</v>
      </c>
      <c r="C4673" s="6" t="s">
        <v>17707</v>
      </c>
      <c r="D4673" s="6" t="s">
        <v>17746</v>
      </c>
      <c r="E4673" s="2">
        <v>3981369</v>
      </c>
      <c r="F4673" s="4" t="str">
        <f>IF(B4673=B4672,"",B4673)</f>
        <v/>
      </c>
    </row>
    <row r="4674" spans="1:6" ht="15.75" customHeight="1">
      <c r="A4674" s="5" t="str">
        <f ca="1">IFERROR(__xludf.DUMMYFUNCTION("GOOGLETRANSLATE(B37119,""en"",""pt"")"),"Tonalá")</f>
        <v>Tonalá</v>
      </c>
      <c r="B4674" s="17" t="s">
        <v>34721</v>
      </c>
      <c r="C4674" s="17" t="s">
        <v>17707</v>
      </c>
      <c r="D4674" s="17" t="s">
        <v>17770</v>
      </c>
      <c r="E4674" s="10">
        <v>3816721</v>
      </c>
      <c r="F4674" s="4" t="str">
        <f>IF(B4674=B4673,"",B4674)</f>
        <v>Tonalá</v>
      </c>
    </row>
    <row r="4675" spans="1:6" ht="15.75" customHeight="1">
      <c r="A4675" s="5" t="str">
        <f ca="1">IFERROR(__xludf.DUMMYFUNCTION("GOOGLETRANSLATE(B37161,""en"",""pt"")"),"Tonalá")</f>
        <v>Tonalá</v>
      </c>
      <c r="B4675" s="17" t="s">
        <v>34721</v>
      </c>
      <c r="C4675" s="17" t="s">
        <v>17707</v>
      </c>
      <c r="D4675" s="17" t="s">
        <v>17746</v>
      </c>
      <c r="E4675" s="10">
        <v>3981369</v>
      </c>
      <c r="F4675" s="4" t="str">
        <f>IF(B4675=B4674,"",B4675)</f>
        <v/>
      </c>
    </row>
    <row r="4676" spans="1:6" ht="15.75" customHeight="1">
      <c r="A4676" s="6" t="s">
        <v>22168</v>
      </c>
      <c r="B4676" s="6" t="s">
        <v>22168</v>
      </c>
      <c r="C4676" s="6" t="s">
        <v>22070</v>
      </c>
      <c r="D4676" s="6" t="s">
        <v>22168</v>
      </c>
      <c r="E4676" s="2">
        <v>1489425</v>
      </c>
      <c r="F4676" s="4" t="str">
        <f>IF(B4676=B4675,"",B4676)</f>
        <v>Tomsk</v>
      </c>
    </row>
    <row r="4677" spans="1:6" ht="15.75" customHeight="1">
      <c r="A4677" s="5" t="str">
        <f ca="1">IFERROR(__xludf.DUMMYFUNCTION("GOOGLETRANSLATE(B40737,""en"",""pt"")"),"Tomsk")</f>
        <v>Tomsk</v>
      </c>
      <c r="B4677" s="17" t="s">
        <v>22168</v>
      </c>
      <c r="C4677" s="17" t="s">
        <v>22070</v>
      </c>
      <c r="D4677" s="17" t="s">
        <v>22168</v>
      </c>
      <c r="E4677" s="10">
        <v>1489425</v>
      </c>
      <c r="F4677" s="4" t="str">
        <f>IF(B4677=B4676,"",B4677)</f>
        <v/>
      </c>
    </row>
    <row r="4678" spans="1:6" ht="15.75" customHeight="1">
      <c r="A4678" s="6" t="s">
        <v>30201</v>
      </c>
      <c r="B4678" s="6" t="s">
        <v>30202</v>
      </c>
      <c r="C4678" s="6" t="s">
        <v>27788</v>
      </c>
      <c r="D4678" s="6" t="s">
        <v>27905</v>
      </c>
      <c r="E4678" s="2">
        <v>4504476</v>
      </c>
      <c r="F4678" s="4" t="str">
        <f>IF(B4678=B4677,"",B4678)</f>
        <v>Toms River</v>
      </c>
    </row>
    <row r="4679" spans="1:6" ht="15.75" customHeight="1">
      <c r="A4679" s="5" t="str">
        <f ca="1">IFERROR(__xludf.DUMMYFUNCTION("GOOGLETRANSLATE(B43501,""en"",""pt"")"),"Rio Toms")</f>
        <v>Rio Toms</v>
      </c>
      <c r="B4679" s="17" t="s">
        <v>30202</v>
      </c>
      <c r="C4679" s="17" t="s">
        <v>27788</v>
      </c>
      <c r="D4679" s="17" t="s">
        <v>27905</v>
      </c>
      <c r="E4679" s="10">
        <v>4504476</v>
      </c>
      <c r="F4679" s="4" t="str">
        <f>IF(B4679=B4678,"",B4679)</f>
        <v/>
      </c>
    </row>
    <row r="4680" spans="1:6" ht="15.75" customHeight="1">
      <c r="A4680" s="6" t="s">
        <v>14212</v>
      </c>
      <c r="B4680" s="6" t="s">
        <v>14212</v>
      </c>
      <c r="C4680" s="6" t="s">
        <v>13800</v>
      </c>
      <c r="D4680" s="6" t="s">
        <v>13859</v>
      </c>
      <c r="E4680" s="2">
        <v>1623446</v>
      </c>
      <c r="F4680" s="4" t="str">
        <f>IF(B4680=B4679,"",B4680)</f>
        <v>Tomohon</v>
      </c>
    </row>
    <row r="4681" spans="1:6" ht="15.75" customHeight="1">
      <c r="A4681" s="5" t="str">
        <f ca="1">IFERROR(__xludf.DUMMYFUNCTION("GOOGLETRANSLATE(B31407,""en"",""pt"")"),"Tomohon")</f>
        <v>Tomohon</v>
      </c>
      <c r="B4681" s="17" t="s">
        <v>14212</v>
      </c>
      <c r="C4681" s="17" t="s">
        <v>13800</v>
      </c>
      <c r="D4681" s="17" t="s">
        <v>13859</v>
      </c>
      <c r="E4681" s="10">
        <v>1623446</v>
      </c>
      <c r="F4681" s="4" t="str">
        <f>IF(B4681=B4680,"",B4681)</f>
        <v/>
      </c>
    </row>
    <row r="4682" spans="1:6" ht="15.75" customHeight="1">
      <c r="A4682" s="6" t="s">
        <v>16521</v>
      </c>
      <c r="B4682" s="6" t="s">
        <v>16521</v>
      </c>
      <c r="C4682" s="6" t="s">
        <v>15704</v>
      </c>
      <c r="D4682" s="6" t="s">
        <v>15724</v>
      </c>
      <c r="E4682" s="2">
        <v>2110743</v>
      </c>
      <c r="F4682" s="4" t="str">
        <f>IF(B4682=B4681,"",B4682)</f>
        <v>Tomobe</v>
      </c>
    </row>
    <row r="4683" spans="1:6" ht="15.75" customHeight="1">
      <c r="A4683" s="5" t="str">
        <f ca="1">IFERROR(__xludf.DUMMYFUNCTION("GOOGLETRANSLATE(B35722,""en"",""pt"")"),"Tomobe")</f>
        <v>Tomobe</v>
      </c>
      <c r="B4683" s="17" t="s">
        <v>16521</v>
      </c>
      <c r="C4683" s="17" t="s">
        <v>15704</v>
      </c>
      <c r="D4683" s="17" t="s">
        <v>15724</v>
      </c>
      <c r="E4683" s="10">
        <v>2110743</v>
      </c>
      <c r="F4683" s="4" t="str">
        <f>IF(B4683=B4682,"",B4683)</f>
        <v/>
      </c>
    </row>
    <row r="4684" spans="1:6" ht="15.75" customHeight="1">
      <c r="A4684" s="6" t="s">
        <v>16520</v>
      </c>
      <c r="B4684" s="6" t="s">
        <v>16520</v>
      </c>
      <c r="C4684" s="6" t="s">
        <v>15704</v>
      </c>
      <c r="D4684" s="6" t="s">
        <v>15764</v>
      </c>
      <c r="E4684" s="2">
        <v>2110744</v>
      </c>
      <c r="F4684" s="4" t="str">
        <f>IF(B4684=B4683,"",B4684)</f>
        <v>Tomiya</v>
      </c>
    </row>
    <row r="4685" spans="1:6" ht="15.75" customHeight="1">
      <c r="A4685" s="5" t="str">
        <f ca="1">IFERROR(__xludf.DUMMYFUNCTION("GOOGLETRANSLATE(B35723,""en"",""pt"")"),"Tomiya")</f>
        <v>Tomiya</v>
      </c>
      <c r="B4685" s="17" t="s">
        <v>16520</v>
      </c>
      <c r="C4685" s="17" t="s">
        <v>15704</v>
      </c>
      <c r="D4685" s="17" t="s">
        <v>15764</v>
      </c>
      <c r="E4685" s="10">
        <v>2110744</v>
      </c>
      <c r="F4685" s="4" t="str">
        <f>IF(B4685=B4684,"",B4685)</f>
        <v/>
      </c>
    </row>
    <row r="4686" spans="1:6" ht="15.75" customHeight="1">
      <c r="A4686" s="6" t="s">
        <v>16519</v>
      </c>
      <c r="B4686" s="6" t="s">
        <v>16519</v>
      </c>
      <c r="C4686" s="6" t="s">
        <v>15704</v>
      </c>
      <c r="D4686" s="6" t="s">
        <v>15731</v>
      </c>
      <c r="E4686" s="2">
        <v>1850091</v>
      </c>
      <c r="F4686" s="4" t="str">
        <f>IF(B4686=B4685,"",B4686)</f>
        <v>Tomioka</v>
      </c>
    </row>
    <row r="4687" spans="1:6" ht="15.75" customHeight="1">
      <c r="A4687" s="5" t="str">
        <f ca="1">IFERROR(__xludf.DUMMYFUNCTION("GOOGLETRANSLATE(B35222,""en"",""pt"")"),"Tomioka")</f>
        <v>Tomioka</v>
      </c>
      <c r="B4687" s="17" t="s">
        <v>16519</v>
      </c>
      <c r="C4687" s="17" t="s">
        <v>15704</v>
      </c>
      <c r="D4687" s="17" t="s">
        <v>15731</v>
      </c>
      <c r="E4687" s="10">
        <v>1850091</v>
      </c>
      <c r="F4687" s="4" t="str">
        <f>IF(B4687=B4686,"",B4687)</f>
        <v/>
      </c>
    </row>
    <row r="4688" spans="1:6" ht="15.75" customHeight="1">
      <c r="A4688" s="6" t="s">
        <v>23194</v>
      </c>
      <c r="B4688" s="6" t="s">
        <v>23194</v>
      </c>
      <c r="C4688" s="6" t="s">
        <v>22070</v>
      </c>
      <c r="D4688" s="6" t="s">
        <v>22119</v>
      </c>
      <c r="E4688" s="2">
        <v>482260</v>
      </c>
      <c r="F4688" s="4" t="str">
        <f>IF(B4688=B4687,"",B4688)</f>
        <v>Tomilino</v>
      </c>
    </row>
    <row r="4689" spans="1:6" ht="15.75" customHeight="1">
      <c r="A4689" s="5" t="str">
        <f ca="1">IFERROR(__xludf.DUMMYFUNCTION("GOOGLETRANSLATE(B40031,""en"",""pt"")"),"Tomilino")</f>
        <v>Tomilino</v>
      </c>
      <c r="B4689" s="17" t="s">
        <v>23194</v>
      </c>
      <c r="C4689" s="17" t="s">
        <v>22070</v>
      </c>
      <c r="D4689" s="17" t="s">
        <v>22119</v>
      </c>
      <c r="E4689" s="10">
        <v>482260</v>
      </c>
      <c r="F4689" s="4" t="str">
        <f>IF(B4689=B4688,"",B4689)</f>
        <v/>
      </c>
    </row>
    <row r="4690" spans="1:6" ht="15.75" customHeight="1">
      <c r="A4690" s="5" t="s">
        <v>16518</v>
      </c>
      <c r="B4690" s="6" t="s">
        <v>16518</v>
      </c>
      <c r="C4690" s="5" t="s">
        <v>15704</v>
      </c>
      <c r="D4690" s="5" t="s">
        <v>15841</v>
      </c>
      <c r="E4690" s="2">
        <v>1850108</v>
      </c>
      <c r="F4690" s="4" t="str">
        <f>IF(B4690=B4689,"",B4690)</f>
        <v>Tomigusuku</v>
      </c>
    </row>
    <row r="4691" spans="1:6" ht="15.75" customHeight="1">
      <c r="A4691" s="5" t="str">
        <f ca="1">IFERROR(__xludf.DUMMYFUNCTION("GOOGLETRANSLATE(B35223,""en"",""pt"")"),"Tomigusuku")</f>
        <v>Tomigusuku</v>
      </c>
      <c r="B4691" s="17" t="s">
        <v>16518</v>
      </c>
      <c r="C4691" s="17" t="s">
        <v>15704</v>
      </c>
      <c r="D4691" s="17" t="s">
        <v>15841</v>
      </c>
      <c r="E4691" s="10">
        <v>1850108</v>
      </c>
      <c r="F4691" s="4" t="str">
        <f>IF(B4691=B4690,"",B4691)</f>
        <v/>
      </c>
    </row>
    <row r="4692" spans="1:6" ht="15.75" customHeight="1">
      <c r="A4692" s="5" t="s">
        <v>24850</v>
      </c>
      <c r="B4692" s="6" t="s">
        <v>24850</v>
      </c>
      <c r="C4692" s="5" t="s">
        <v>24200</v>
      </c>
      <c r="D4692" s="5" t="s">
        <v>24218</v>
      </c>
      <c r="E4692" s="2">
        <v>2510392</v>
      </c>
      <c r="F4692" s="4" t="str">
        <f>IF(B4692=B4691,"",B4692)</f>
        <v>Tomelloso</v>
      </c>
    </row>
    <row r="4693" spans="1:6" ht="15.75" customHeight="1">
      <c r="A4693" s="5" t="str">
        <f ca="1">IFERROR(__xludf.DUMMYFUNCTION("GOOGLETRANSLATE(B28971,""en"",""pt"")"),"Tomelloso")</f>
        <v>Tomelloso</v>
      </c>
      <c r="B4693" s="17" t="s">
        <v>24850</v>
      </c>
      <c r="C4693" s="17" t="s">
        <v>24200</v>
      </c>
      <c r="D4693" s="17" t="s">
        <v>24218</v>
      </c>
      <c r="E4693" s="10">
        <v>2510392</v>
      </c>
      <c r="F4693" s="4" t="str">
        <f>IF(B4693=B4692,"",B4693)</f>
        <v/>
      </c>
    </row>
    <row r="4694" spans="1:6" ht="15.75" customHeight="1">
      <c r="A4694" s="5" t="str">
        <f ca="1">IFERROR(__xludf.DUMMYFUNCTION("GOOGLETRANSLATE(B24163,""en"",""pt"")"),"Tomé Açu")</f>
        <v>Tomé Açu</v>
      </c>
      <c r="B4694" s="17" t="s">
        <v>31352</v>
      </c>
      <c r="C4694" s="17" t="s">
        <v>1905</v>
      </c>
      <c r="D4694" s="17" t="s">
        <v>31342</v>
      </c>
      <c r="E4694" s="10">
        <v>3386279</v>
      </c>
      <c r="F4694" s="4" t="str">
        <f>IF(B4694=B4693,"",B4694)</f>
        <v>Tomé Açu</v>
      </c>
    </row>
    <row r="4695" spans="1:6" ht="15.75" customHeight="1">
      <c r="A4695" s="5" t="str">
        <f ca="1">IFERROR(__xludf.DUMMYFUNCTION("GOOGLETRANSLATE(B25890,""en"",""pt"")"),"Para mim")</f>
        <v>Para mim</v>
      </c>
      <c r="B4695" s="17" t="s">
        <v>4477</v>
      </c>
      <c r="C4695" s="17" t="s">
        <v>4355</v>
      </c>
      <c r="D4695" s="17" t="s">
        <v>31796</v>
      </c>
      <c r="E4695" s="10">
        <v>3869657</v>
      </c>
      <c r="F4695" s="4" t="str">
        <f>IF(B4695=B4694,"",B4695)</f>
        <v>Tomé</v>
      </c>
    </row>
    <row r="4696" spans="1:6" ht="15.75" customHeight="1">
      <c r="A4696" s="5" t="str">
        <f ca="1">IFERROR(__xludf.DUMMYFUNCTION("GOOGLETRANSLATE(B39190,""en"",""pt"")"),"Tomaszów Mazowiecki")</f>
        <v>Tomaszów Mazowiecki</v>
      </c>
      <c r="B4696" s="17" t="s">
        <v>35070</v>
      </c>
      <c r="C4696" s="17" t="s">
        <v>21064</v>
      </c>
      <c r="D4696" s="17" t="s">
        <v>35071</v>
      </c>
      <c r="E4696" s="10">
        <v>756867</v>
      </c>
      <c r="F4696" s="4" t="str">
        <f>IF(B4696=B4695,"",B4696)</f>
        <v>Tomaszów Mazowiecki</v>
      </c>
    </row>
    <row r="4697" spans="1:6" ht="15.75" customHeight="1">
      <c r="A4697" s="5" t="str">
        <f ca="1">IFERROR(__xludf.DUMMYFUNCTION("GOOGLETRANSLATE(B39191,""en"",""pt"")"),"Tomaszów Lubelski")</f>
        <v>Tomaszów Lubelski</v>
      </c>
      <c r="B4697" s="17" t="s">
        <v>35072</v>
      </c>
      <c r="C4697" s="17" t="s">
        <v>21064</v>
      </c>
      <c r="D4697" s="17" t="s">
        <v>21091</v>
      </c>
      <c r="E4697" s="10">
        <v>756868</v>
      </c>
      <c r="F4697" s="4" t="str">
        <f>IF(B4697=B4696,"",B4697)</f>
        <v>Tomaszów Lubelski</v>
      </c>
    </row>
    <row r="4698" spans="1:6" ht="15.75" customHeight="1">
      <c r="A4698" s="5" t="s">
        <v>21536</v>
      </c>
      <c r="B4698" s="6" t="s">
        <v>21537</v>
      </c>
      <c r="C4698" s="5" t="s">
        <v>21064</v>
      </c>
      <c r="D4698" s="5" t="s">
        <v>21080</v>
      </c>
      <c r="E4698" s="2">
        <v>756867</v>
      </c>
      <c r="F4698" s="4" t="str">
        <f>IF(B4698=B4697,"",B4698)</f>
        <v>TomaszÃ³w Mazowiecki</v>
      </c>
    </row>
    <row r="4699" spans="1:6" ht="15.75" customHeight="1">
      <c r="A4699" s="5" t="s">
        <v>21534</v>
      </c>
      <c r="B4699" s="6" t="s">
        <v>21535</v>
      </c>
      <c r="C4699" s="5" t="s">
        <v>21064</v>
      </c>
      <c r="D4699" s="5" t="s">
        <v>21091</v>
      </c>
      <c r="E4699" s="2">
        <v>756868</v>
      </c>
      <c r="F4699" s="4" t="str">
        <f>IF(B4699=B4698,"",B4699)</f>
        <v>TomaszÃ³w Lubelski</v>
      </c>
    </row>
    <row r="4700" spans="1:6" ht="15.75" customHeight="1">
      <c r="A4700" s="6" t="s">
        <v>24849</v>
      </c>
      <c r="B4700" s="6" t="s">
        <v>24849</v>
      </c>
      <c r="C4700" s="6" t="s">
        <v>24200</v>
      </c>
      <c r="D4700" s="6" t="s">
        <v>24205</v>
      </c>
      <c r="E4700" s="2">
        <v>2510394</v>
      </c>
      <c r="F4700" s="4" t="str">
        <f>IF(B4700=B4699,"",B4700)</f>
        <v>Tomares</v>
      </c>
    </row>
    <row r="4701" spans="1:6" ht="15.75" customHeight="1">
      <c r="A4701" s="5" t="str">
        <f ca="1">IFERROR(__xludf.DUMMYFUNCTION("GOOGLETRANSLATE(B28972,""en"",""pt"")"),"Tomares")</f>
        <v>Tomares</v>
      </c>
      <c r="B4701" s="17" t="s">
        <v>24849</v>
      </c>
      <c r="C4701" s="17" t="s">
        <v>24200</v>
      </c>
      <c r="D4701" s="17" t="s">
        <v>24205</v>
      </c>
      <c r="E4701" s="10">
        <v>2510394</v>
      </c>
      <c r="F4701" s="4" t="str">
        <f>IF(B4701=B4700,"",B4701)</f>
        <v/>
      </c>
    </row>
    <row r="4702" spans="1:6" ht="15.75" customHeight="1">
      <c r="A4702" s="6" t="s">
        <v>21739</v>
      </c>
      <c r="B4702" s="6" t="s">
        <v>21739</v>
      </c>
      <c r="C4702" s="6" t="s">
        <v>21606</v>
      </c>
      <c r="D4702" s="6" t="s">
        <v>3428</v>
      </c>
      <c r="E4702" s="2">
        <v>2262644</v>
      </c>
      <c r="F4702" s="4" t="str">
        <f>IF(B4702=B4701,"",B4702)</f>
        <v>Tomar</v>
      </c>
    </row>
    <row r="4703" spans="1:6" ht="15.75" customHeight="1">
      <c r="A4703" s="5" t="str">
        <f ca="1">IFERROR(__xludf.DUMMYFUNCTION("GOOGLETRANSLATE(B39567,""en"",""pt"")"),"Tomar")</f>
        <v>Tomar</v>
      </c>
      <c r="B4703" s="17" t="s">
        <v>21739</v>
      </c>
      <c r="C4703" s="17" t="s">
        <v>21606</v>
      </c>
      <c r="D4703" s="17" t="s">
        <v>31373</v>
      </c>
      <c r="E4703" s="10">
        <v>2262644</v>
      </c>
      <c r="F4703" s="4" t="str">
        <f>IF(B4703=B4702,"",B4703)</f>
        <v/>
      </c>
    </row>
    <row r="4704" spans="1:6" ht="15.75" customHeight="1">
      <c r="A4704" s="5" t="s">
        <v>16517</v>
      </c>
      <c r="B4704" s="6" t="s">
        <v>16517</v>
      </c>
      <c r="C4704" s="5" t="s">
        <v>15704</v>
      </c>
      <c r="D4704" s="5" t="s">
        <v>15705</v>
      </c>
      <c r="E4704" s="2">
        <v>2127733</v>
      </c>
      <c r="F4704" s="4" t="str">
        <f>IF(B4704=B4703,"",B4704)</f>
        <v>Tomakomai</v>
      </c>
    </row>
    <row r="4705" spans="1:6" ht="15.75" customHeight="1">
      <c r="A4705" s="5" t="str">
        <f ca="1">IFERROR(__xludf.DUMMYFUNCTION("GOOGLETRANSLATE(B35817,""en"",""pt"")"),"Tomakomai")</f>
        <v>Tomakomai</v>
      </c>
      <c r="B4705" s="17" t="s">
        <v>16517</v>
      </c>
      <c r="C4705" s="17" t="s">
        <v>15704</v>
      </c>
      <c r="D4705" s="17" t="s">
        <v>15705</v>
      </c>
      <c r="E4705" s="10">
        <v>2127733</v>
      </c>
      <c r="F4705" s="4" t="str">
        <f>IF(B4705=B4704,"",B4705)</f>
        <v/>
      </c>
    </row>
    <row r="4706" spans="1:6" ht="15.75" customHeight="1">
      <c r="A4706" s="5" t="s">
        <v>3564</v>
      </c>
      <c r="B4706" s="6" t="s">
        <v>3565</v>
      </c>
      <c r="C4706" s="5" t="s">
        <v>1905</v>
      </c>
      <c r="D4706" s="5" t="s">
        <v>1906</v>
      </c>
      <c r="E4706" s="2">
        <v>3386279</v>
      </c>
      <c r="F4706" s="4" t="str">
        <f>IF(B4706=B4705,"",B4706)</f>
        <v>TomÃ© AÃ§u</v>
      </c>
    </row>
    <row r="4707" spans="1:6" ht="15.75" customHeight="1">
      <c r="A4707" s="6" t="s">
        <v>4477</v>
      </c>
      <c r="B4707" s="6" t="s">
        <v>4478</v>
      </c>
      <c r="C4707" s="6" t="s">
        <v>4355</v>
      </c>
      <c r="D4707" s="6" t="s">
        <v>4361</v>
      </c>
      <c r="E4707" s="2">
        <v>3869657</v>
      </c>
      <c r="F4707" s="4" t="str">
        <f>IF(B4707=B4706,"",B4707)</f>
        <v>TomÃ©</v>
      </c>
    </row>
    <row r="4708" spans="1:6" ht="15.75" customHeight="1">
      <c r="A4708" s="6" t="s">
        <v>18372</v>
      </c>
      <c r="B4708" s="6" t="s">
        <v>18372</v>
      </c>
      <c r="C4708" s="6" t="s">
        <v>17707</v>
      </c>
      <c r="D4708" s="6" t="s">
        <v>17736</v>
      </c>
      <c r="E4708" s="2">
        <v>3515302</v>
      </c>
      <c r="F4708" s="4" t="str">
        <f>IF(B4708=B4707,"",B4708)</f>
        <v>Toluca</v>
      </c>
    </row>
    <row r="4709" spans="1:6" ht="15.75" customHeight="1">
      <c r="A4709" s="5" t="str">
        <f ca="1">IFERROR(__xludf.DUMMYFUNCTION("GOOGLETRANSLATE(B36872,""en"",""pt"")"),"Toluca")</f>
        <v>Toluca</v>
      </c>
      <c r="B4709" s="17" t="s">
        <v>18372</v>
      </c>
      <c r="C4709" s="17" t="s">
        <v>17707</v>
      </c>
      <c r="D4709" s="17" t="s">
        <v>20902</v>
      </c>
      <c r="E4709" s="10">
        <v>3515302</v>
      </c>
      <c r="F4709" s="4" t="str">
        <f>IF(B4709=B4708,"",B4709)</f>
        <v/>
      </c>
    </row>
    <row r="4710" spans="1:6" ht="15.75" customHeight="1">
      <c r="A4710" s="5" t="str">
        <f ca="1">IFERROR(__xludf.DUMMYFUNCTION("GOOGLETRANSLATE(B26865,""en"",""pt"")"),"Tolú")</f>
        <v>Tolú</v>
      </c>
      <c r="B4710" s="17" t="s">
        <v>31841</v>
      </c>
      <c r="C4710" s="17" t="s">
        <v>5348</v>
      </c>
      <c r="D4710" s="17" t="s">
        <v>1829</v>
      </c>
      <c r="E4710" s="10">
        <v>3666939</v>
      </c>
      <c r="F4710" s="4" t="str">
        <f>IF(B4710=B4709,"",B4710)</f>
        <v>Tolú</v>
      </c>
    </row>
    <row r="4711" spans="1:6" ht="15.75" customHeight="1">
      <c r="A4711" s="6" t="s">
        <v>24848</v>
      </c>
      <c r="B4711" s="6" t="s">
        <v>24848</v>
      </c>
      <c r="C4711" s="6" t="s">
        <v>24200</v>
      </c>
      <c r="D4711" s="6" t="s">
        <v>24249</v>
      </c>
      <c r="E4711" s="2">
        <v>3108008</v>
      </c>
      <c r="F4711" s="4" t="str">
        <f>IF(B4711=B4710,"",B4711)</f>
        <v>Tolosa</v>
      </c>
    </row>
    <row r="4712" spans="1:6" ht="15.75" customHeight="1">
      <c r="A4712" s="5" t="str">
        <f ca="1">IFERROR(__xludf.DUMMYFUNCTION("GOOGLETRANSLATE(B29263,""en"",""pt"")"),"Tolosa")</f>
        <v>Tolosa</v>
      </c>
      <c r="B4712" s="17" t="s">
        <v>24848</v>
      </c>
      <c r="C4712" s="17" t="s">
        <v>24200</v>
      </c>
      <c r="D4712" s="17" t="s">
        <v>24249</v>
      </c>
      <c r="E4712" s="10">
        <v>3108008</v>
      </c>
      <c r="F4712" s="4" t="str">
        <f>IF(B4712=B4711,"",B4712)</f>
        <v/>
      </c>
    </row>
    <row r="4713" spans="1:6" ht="15.75" customHeight="1">
      <c r="A4713" s="6" t="s">
        <v>17398</v>
      </c>
      <c r="B4713" s="6" t="s">
        <v>17398</v>
      </c>
      <c r="C4713" s="6" t="s">
        <v>17292</v>
      </c>
      <c r="D4713" s="6" t="s">
        <v>17320</v>
      </c>
      <c r="E4713" s="2">
        <v>1055429</v>
      </c>
      <c r="F4713" s="4" t="str">
        <f>IF(B4713=B4712,"",B4713)</f>
        <v>Toliara</v>
      </c>
    </row>
    <row r="4714" spans="1:6" ht="15.75" customHeight="1">
      <c r="A4714" s="5" t="str">
        <f ca="1">IFERROR(__xludf.DUMMYFUNCTION("GOOGLETRANSLATE(B36564,""en"",""pt"")"),"Toliara")</f>
        <v>Toliara</v>
      </c>
      <c r="B4714" s="17" t="s">
        <v>17398</v>
      </c>
      <c r="C4714" s="17" t="s">
        <v>17292</v>
      </c>
      <c r="D4714" s="17" t="s">
        <v>17320</v>
      </c>
      <c r="E4714" s="10">
        <v>1055429</v>
      </c>
      <c r="F4714" s="4" t="str">
        <f>IF(B4714=B4713,"",B4714)</f>
        <v/>
      </c>
    </row>
    <row r="4715" spans="1:6" ht="15.75" customHeight="1">
      <c r="A4715" s="6" t="s">
        <v>492</v>
      </c>
      <c r="B4715" s="6" t="s">
        <v>492</v>
      </c>
      <c r="C4715" s="6" t="s">
        <v>153</v>
      </c>
      <c r="D4715" s="6" t="s">
        <v>269</v>
      </c>
      <c r="E4715" s="2">
        <v>2475612</v>
      </c>
      <c r="F4715" s="4" t="str">
        <f>IF(B4715=B4714,"",B4715)</f>
        <v>Tolga</v>
      </c>
    </row>
    <row r="4716" spans="1:6" ht="15.75" customHeight="1">
      <c r="A4716" s="5" t="str">
        <f ca="1">IFERROR(__xludf.DUMMYFUNCTION("GOOGLETRANSLATE(B28504,""en"",""pt"")"),"Tolga")</f>
        <v>Tolga</v>
      </c>
      <c r="B4716" s="17" t="s">
        <v>492</v>
      </c>
      <c r="C4716" s="17" t="s">
        <v>153</v>
      </c>
      <c r="D4716" s="17" t="s">
        <v>269</v>
      </c>
      <c r="E4716" s="10">
        <v>2475612</v>
      </c>
      <c r="F4716" s="4" t="str">
        <f>IF(B4716=B4715,"",B4716)</f>
        <v/>
      </c>
    </row>
    <row r="4717" spans="1:6" ht="15.75" customHeight="1">
      <c r="A4717" s="6" t="s">
        <v>15528</v>
      </c>
      <c r="B4717" s="6" t="s">
        <v>15528</v>
      </c>
      <c r="C4717" s="6" t="s">
        <v>14891</v>
      </c>
      <c r="D4717" s="6" t="s">
        <v>14931</v>
      </c>
      <c r="E4717" s="2">
        <v>3165595</v>
      </c>
      <c r="F4717" s="4" t="str">
        <f>IF(B4717=B4716,"",B4717)</f>
        <v>Tolentino</v>
      </c>
    </row>
    <row r="4718" spans="1:6" ht="15.75" customHeight="1">
      <c r="A4718" s="5" t="str">
        <f ca="1">IFERROR(__xludf.DUMMYFUNCTION("GOOGLETRANSLATE(B34664,""en"",""pt"")"),"Tolentino")</f>
        <v>Tolentino</v>
      </c>
      <c r="B4718" s="17" t="s">
        <v>15528</v>
      </c>
      <c r="C4718" s="17" t="s">
        <v>14891</v>
      </c>
      <c r="D4718" s="17" t="s">
        <v>14931</v>
      </c>
      <c r="E4718" s="10">
        <v>3165595</v>
      </c>
      <c r="F4718" s="4" t="str">
        <f>IF(B4718=B4717,"",B4718)</f>
        <v/>
      </c>
    </row>
    <row r="4719" spans="1:6" ht="15.75" customHeight="1">
      <c r="A4719" s="6" t="s">
        <v>3563</v>
      </c>
      <c r="B4719" s="6" t="s">
        <v>3563</v>
      </c>
      <c r="C4719" s="6" t="s">
        <v>1905</v>
      </c>
      <c r="D4719" s="6" t="s">
        <v>728</v>
      </c>
      <c r="E4719" s="2">
        <v>3446370</v>
      </c>
      <c r="F4719" s="4" t="str">
        <f>IF(B4719=B4718,"",B4719)</f>
        <v>Toledo</v>
      </c>
    </row>
    <row r="4720" spans="1:6" ht="15.75" customHeight="1">
      <c r="A4720" s="6" t="s">
        <v>3563</v>
      </c>
      <c r="B4720" s="6" t="s">
        <v>3563</v>
      </c>
      <c r="C4720" s="6" t="s">
        <v>20598</v>
      </c>
      <c r="D4720" s="6" t="s">
        <v>20622</v>
      </c>
      <c r="E4720" s="2">
        <v>1681602</v>
      </c>
      <c r="F4720" s="4" t="str">
        <f>IF(B4720=B4719,"",B4720)</f>
        <v/>
      </c>
    </row>
    <row r="4721" spans="1:6" ht="15.75" customHeight="1">
      <c r="A4721" s="6" t="s">
        <v>3563</v>
      </c>
      <c r="B4721" s="6" t="s">
        <v>3563</v>
      </c>
      <c r="C4721" s="6" t="s">
        <v>24200</v>
      </c>
      <c r="D4721" s="6" t="s">
        <v>24218</v>
      </c>
      <c r="E4721" s="2">
        <v>2510409</v>
      </c>
      <c r="F4721" s="4" t="str">
        <f>IF(B4721=B4720,"",B4721)</f>
        <v/>
      </c>
    </row>
    <row r="4722" spans="1:6" ht="15.75" customHeight="1">
      <c r="A4722" s="6" t="s">
        <v>3563</v>
      </c>
      <c r="B4722" s="6" t="s">
        <v>3563</v>
      </c>
      <c r="C4722" s="6" t="s">
        <v>27788</v>
      </c>
      <c r="D4722" s="6" t="s">
        <v>27813</v>
      </c>
      <c r="E4722" s="2">
        <v>5174035</v>
      </c>
      <c r="F4722" s="4" t="str">
        <f>IF(B4722=B4721,"",B4722)</f>
        <v/>
      </c>
    </row>
    <row r="4723" spans="1:6" ht="15.75" customHeight="1">
      <c r="A4723" s="5" t="str">
        <f ca="1">IFERROR(__xludf.DUMMYFUNCTION("GOOGLETRANSLATE(B24487,""en"",""pt"")"),"Toledo")</f>
        <v>Toledo</v>
      </c>
      <c r="B4723" s="17" t="s">
        <v>3563</v>
      </c>
      <c r="C4723" s="17" t="s">
        <v>1905</v>
      </c>
      <c r="D4723" s="17" t="s">
        <v>727</v>
      </c>
      <c r="E4723" s="10">
        <v>3446370</v>
      </c>
      <c r="F4723" s="4" t="str">
        <f>IF(B4723=B4722,"",B4723)</f>
        <v/>
      </c>
    </row>
    <row r="4724" spans="1:6" ht="15.75" customHeight="1">
      <c r="A4724" s="5" t="str">
        <f ca="1">IFERROR(__xludf.DUMMYFUNCTION("GOOGLETRANSLATE(B28973,""en"",""pt"")"),"Toledo")</f>
        <v>Toledo</v>
      </c>
      <c r="B4724" s="17" t="s">
        <v>3563</v>
      </c>
      <c r="C4724" s="17" t="s">
        <v>24200</v>
      </c>
      <c r="D4724" s="17" t="s">
        <v>24218</v>
      </c>
      <c r="E4724" s="10">
        <v>2510409</v>
      </c>
      <c r="F4724" s="4" t="str">
        <f>IF(B4724=B4723,"",B4724)</f>
        <v/>
      </c>
    </row>
    <row r="4725" spans="1:6" ht="15.75" customHeight="1">
      <c r="A4725" s="5" t="str">
        <f ca="1">IFERROR(__xludf.DUMMYFUNCTION("GOOGLETRANSLATE(B38437,""en"",""pt"")"),"Toledo")</f>
        <v>Toledo</v>
      </c>
      <c r="B4725" s="17" t="s">
        <v>3563</v>
      </c>
      <c r="C4725" s="17" t="s">
        <v>20598</v>
      </c>
      <c r="D4725" s="17" t="s">
        <v>20622</v>
      </c>
      <c r="E4725" s="10">
        <v>1681602</v>
      </c>
      <c r="F4725" s="4" t="str">
        <f>IF(B4725=B4724,"",B4725)</f>
        <v/>
      </c>
    </row>
    <row r="4726" spans="1:6" ht="15.75" customHeight="1">
      <c r="A4726" s="5" t="str">
        <f ca="1">IFERROR(__xludf.DUMMYFUNCTION("GOOGLETRANSLATE(B44550,""en"",""pt"")"),"Toledo")</f>
        <v>Toledo</v>
      </c>
      <c r="B4726" s="17" t="s">
        <v>3563</v>
      </c>
      <c r="C4726" s="17" t="s">
        <v>27788</v>
      </c>
      <c r="D4726" s="17" t="s">
        <v>27813</v>
      </c>
      <c r="E4726" s="10">
        <v>5174035</v>
      </c>
      <c r="F4726" s="4" t="str">
        <f>IF(B4726=B4725,"",B4726)</f>
        <v/>
      </c>
    </row>
    <row r="4727" spans="1:6" ht="15.75" customHeight="1">
      <c r="A4727" s="6" t="s">
        <v>5629</v>
      </c>
      <c r="B4727" s="6" t="s">
        <v>5630</v>
      </c>
      <c r="C4727" s="6" t="s">
        <v>5348</v>
      </c>
      <c r="D4727" s="6" t="s">
        <v>1829</v>
      </c>
      <c r="E4727" s="2">
        <v>3666939</v>
      </c>
      <c r="F4727" s="4" t="str">
        <f>IF(B4727=B4726,"",B4727)</f>
        <v>TolÃº</v>
      </c>
    </row>
    <row r="4728" spans="1:6" ht="15.75" customHeight="1">
      <c r="A4728" s="5" t="s">
        <v>23192</v>
      </c>
      <c r="B4728" s="6" t="s">
        <v>23193</v>
      </c>
      <c r="C4728" s="5" t="s">
        <v>22070</v>
      </c>
      <c r="D4728" s="5" t="s">
        <v>22227</v>
      </c>
      <c r="E4728" s="2">
        <v>482283</v>
      </c>
      <c r="F4728" s="4" t="str">
        <f>IF(B4728=B4727,"",B4728)</f>
        <v>Tolâ€™yatti</v>
      </c>
    </row>
    <row r="4729" spans="1:6" ht="15.75" customHeight="1">
      <c r="A4729" s="5" t="str">
        <f ca="1">IFERROR(__xludf.DUMMYFUNCTION("GOOGLETRANSLATE(B40032,""en"",""pt"")"),"Tol'yatti")</f>
        <v>Tol'yatti</v>
      </c>
      <c r="B4729" s="17" t="s">
        <v>35445</v>
      </c>
      <c r="C4729" s="17" t="s">
        <v>22070</v>
      </c>
      <c r="D4729" s="17" t="s">
        <v>22227</v>
      </c>
      <c r="E4729" s="10">
        <v>482283</v>
      </c>
      <c r="F4729" s="4" t="str">
        <f>IF(B4729=B4728,"",B4729)</f>
        <v>Tol’yatti</v>
      </c>
    </row>
    <row r="4730" spans="1:6" ht="15.75" customHeight="1">
      <c r="A4730" s="6" t="s">
        <v>16516</v>
      </c>
      <c r="B4730" s="6" t="s">
        <v>15776</v>
      </c>
      <c r="C4730" s="6" t="s">
        <v>15704</v>
      </c>
      <c r="D4730" s="6" t="s">
        <v>15776</v>
      </c>
      <c r="E4730" s="2">
        <v>1850147</v>
      </c>
      <c r="F4730" s="4" t="str">
        <f>IF(B4730=B4729,"",B4730)</f>
        <v>Tokyo</v>
      </c>
    </row>
    <row r="4731" spans="1:6" ht="15.75" customHeight="1">
      <c r="A4731" s="5" t="str">
        <f ca="1">IFERROR(__xludf.DUMMYFUNCTION("GOOGLETRANSLATE(B35224,""en"",""pt"")"),"Tóquio")</f>
        <v>Tóquio</v>
      </c>
      <c r="B4731" s="17" t="s">
        <v>15776</v>
      </c>
      <c r="C4731" s="17" t="s">
        <v>15704</v>
      </c>
      <c r="D4731" s="17" t="s">
        <v>15776</v>
      </c>
      <c r="E4731" s="10">
        <v>1850147</v>
      </c>
      <c r="F4731" s="4" t="str">
        <f>IF(B4731=B4730,"",B4731)</f>
        <v/>
      </c>
    </row>
    <row r="4732" spans="1:6" ht="15.75" customHeight="1">
      <c r="A4732" s="5" t="s">
        <v>16515</v>
      </c>
      <c r="B4732" s="6" t="s">
        <v>16515</v>
      </c>
      <c r="C4732" s="5" t="s">
        <v>15704</v>
      </c>
      <c r="D4732" s="5" t="s">
        <v>15796</v>
      </c>
      <c r="E4732" s="2">
        <v>1850152</v>
      </c>
      <c r="F4732" s="4" t="str">
        <f>IF(B4732=B4731,"",B4732)</f>
        <v>Tokuyama</v>
      </c>
    </row>
    <row r="4733" spans="1:6" ht="15.75" customHeight="1">
      <c r="A4733" s="5" t="str">
        <f ca="1">IFERROR(__xludf.DUMMYFUNCTION("GOOGLETRANSLATE(B35225,""en"",""pt"")"),"Tokuyama")</f>
        <v>Tokuyama</v>
      </c>
      <c r="B4733" s="17" t="s">
        <v>16515</v>
      </c>
      <c r="C4733" s="17" t="s">
        <v>15704</v>
      </c>
      <c r="D4733" s="17" t="s">
        <v>15796</v>
      </c>
      <c r="E4733" s="10">
        <v>1850152</v>
      </c>
      <c r="F4733" s="4" t="str">
        <f>IF(B4733=B4732,"",B4733)</f>
        <v/>
      </c>
    </row>
    <row r="4734" spans="1:6" ht="15.75" customHeight="1">
      <c r="A4734" s="5" t="s">
        <v>15726</v>
      </c>
      <c r="B4734" s="6" t="s">
        <v>15726</v>
      </c>
      <c r="C4734" s="5" t="s">
        <v>15704</v>
      </c>
      <c r="D4734" s="5" t="s">
        <v>15726</v>
      </c>
      <c r="E4734" s="2">
        <v>1850158</v>
      </c>
      <c r="F4734" s="4" t="str">
        <f>IF(B4734=B4733,"",B4734)</f>
        <v>Tokushima</v>
      </c>
    </row>
    <row r="4735" spans="1:6" ht="15.75" customHeight="1">
      <c r="A4735" s="5" t="str">
        <f ca="1">IFERROR(__xludf.DUMMYFUNCTION("GOOGLETRANSLATE(B35226,""en"",""pt"")"),"Tokushima")</f>
        <v>Tokushima</v>
      </c>
      <c r="B4735" s="17" t="s">
        <v>15726</v>
      </c>
      <c r="C4735" s="17" t="s">
        <v>15704</v>
      </c>
      <c r="D4735" s="17" t="s">
        <v>15726</v>
      </c>
      <c r="E4735" s="10">
        <v>1850158</v>
      </c>
      <c r="F4735" s="4" t="str">
        <f>IF(B4735=B4734,"",B4735)</f>
        <v/>
      </c>
    </row>
    <row r="4736" spans="1:6" ht="15.75" customHeight="1">
      <c r="A4736" s="6" t="s">
        <v>16951</v>
      </c>
      <c r="B4736" s="6" t="s">
        <v>16951</v>
      </c>
      <c r="C4736" s="6" t="s">
        <v>16924</v>
      </c>
      <c r="D4736" s="6" t="s">
        <v>16929</v>
      </c>
      <c r="E4736" s="2">
        <v>1538648</v>
      </c>
      <c r="F4736" s="4" t="str">
        <f>IF(B4736=B4735,"",B4736)</f>
        <v>Toktogul</v>
      </c>
    </row>
    <row r="4737" spans="1:6" ht="15.75" customHeight="1">
      <c r="A4737" s="5" t="str">
        <f ca="1">IFERROR(__xludf.DUMMYFUNCTION("GOOGLETRANSLATE(B35957,""en"",""pt"")"),"Toktogul")</f>
        <v>Toktogul</v>
      </c>
      <c r="B4737" s="17" t="s">
        <v>16951</v>
      </c>
      <c r="C4737" s="17" t="s">
        <v>16924</v>
      </c>
      <c r="D4737" s="17" t="s">
        <v>16929</v>
      </c>
      <c r="E4737" s="10">
        <v>1538648</v>
      </c>
      <c r="F4737" s="4" t="str">
        <f>IF(B4737=B4736,"",B4737)</f>
        <v/>
      </c>
    </row>
    <row r="4738" spans="1:6" ht="15.75" customHeight="1">
      <c r="A4738" s="5" t="s">
        <v>16514</v>
      </c>
      <c r="B4738" s="6" t="s">
        <v>16514</v>
      </c>
      <c r="C4738" s="5" t="s">
        <v>15704</v>
      </c>
      <c r="D4738" s="5" t="s">
        <v>15710</v>
      </c>
      <c r="E4738" s="2">
        <v>1850181</v>
      </c>
      <c r="F4738" s="4" t="str">
        <f>IF(B4738=B4737,"",B4738)</f>
        <v>Tokorozawa</v>
      </c>
    </row>
    <row r="4739" spans="1:6" ht="15.75" customHeight="1">
      <c r="A4739" s="5" t="str">
        <f ca="1">IFERROR(__xludf.DUMMYFUNCTION("GOOGLETRANSLATE(B35227,""en"",""pt"")"),"Tokorozawa")</f>
        <v>Tokorozawa</v>
      </c>
      <c r="B4739" s="17" t="s">
        <v>16514</v>
      </c>
      <c r="C4739" s="17" t="s">
        <v>15704</v>
      </c>
      <c r="D4739" s="17" t="s">
        <v>15710</v>
      </c>
      <c r="E4739" s="10">
        <v>1850181</v>
      </c>
      <c r="F4739" s="4" t="str">
        <f>IF(B4739=B4738,"",B4739)</f>
        <v/>
      </c>
    </row>
    <row r="4740" spans="1:6" ht="15.75" customHeight="1">
      <c r="A4740" s="5" t="s">
        <v>16513</v>
      </c>
      <c r="B4740" s="6" t="s">
        <v>16513</v>
      </c>
      <c r="C4740" s="5" t="s">
        <v>15704</v>
      </c>
      <c r="D4740" s="5" t="s">
        <v>15729</v>
      </c>
      <c r="E4740" s="2">
        <v>1850185</v>
      </c>
      <c r="F4740" s="4" t="str">
        <f>IF(B4740=B4739,"",B4740)</f>
        <v>Tokoname</v>
      </c>
    </row>
    <row r="4741" spans="1:6" ht="15.75" customHeight="1">
      <c r="A4741" s="5" t="str">
        <f ca="1">IFERROR(__xludf.DUMMYFUNCTION("GOOGLETRANSLATE(B35228,""en"",""pt"")"),"Tokoname")</f>
        <v>Tokoname</v>
      </c>
      <c r="B4741" s="17" t="s">
        <v>16513</v>
      </c>
      <c r="C4741" s="17" t="s">
        <v>15704</v>
      </c>
      <c r="D4741" s="17" t="s">
        <v>15729</v>
      </c>
      <c r="E4741" s="10">
        <v>1850185</v>
      </c>
      <c r="F4741" s="4" t="str">
        <f>IF(B4741=B4740,"",B4741)</f>
        <v/>
      </c>
    </row>
    <row r="4742" spans="1:6" ht="15.75" customHeight="1">
      <c r="A4742" s="6" t="s">
        <v>16950</v>
      </c>
      <c r="B4742" s="6" t="s">
        <v>16950</v>
      </c>
      <c r="C4742" s="6" t="s">
        <v>16924</v>
      </c>
      <c r="D4742" s="6" t="s">
        <v>16938</v>
      </c>
      <c r="E4742" s="2">
        <v>1527199</v>
      </c>
      <c r="F4742" s="4" t="str">
        <f>IF(B4742=B4741,"",B4742)</f>
        <v>Tokmok</v>
      </c>
    </row>
    <row r="4743" spans="1:6" ht="15.75" customHeight="1">
      <c r="A4743" s="5" t="str">
        <f ca="1">IFERROR(__xludf.DUMMYFUNCTION("GOOGLETRANSLATE(B35939,""en"",""pt"")"),"Tokmok")</f>
        <v>Tokmok</v>
      </c>
      <c r="B4743" s="17" t="s">
        <v>16950</v>
      </c>
      <c r="C4743" s="17" t="s">
        <v>16924</v>
      </c>
      <c r="D4743" s="17" t="s">
        <v>34423</v>
      </c>
      <c r="E4743" s="10">
        <v>1527199</v>
      </c>
      <c r="F4743" s="4" t="str">
        <f>IF(B4743=B4742,"",B4743)</f>
        <v/>
      </c>
    </row>
    <row r="4744" spans="1:6" ht="15.75" customHeight="1">
      <c r="A4744" s="6" t="s">
        <v>27169</v>
      </c>
      <c r="B4744" s="6" t="s">
        <v>27169</v>
      </c>
      <c r="C4744" s="6" t="s">
        <v>26870</v>
      </c>
      <c r="D4744" s="6" t="s">
        <v>26898</v>
      </c>
      <c r="E4744" s="2">
        <v>691469</v>
      </c>
      <c r="F4744" s="4" t="str">
        <f>IF(B4744=B4743,"",B4744)</f>
        <v>Tokmak</v>
      </c>
    </row>
    <row r="4745" spans="1:6" ht="15.75" customHeight="1">
      <c r="A4745" s="5" t="str">
        <f ca="1">IFERROR(__xludf.DUMMYFUNCTION("GOOGLETRANSLATE(B42503,""en"",""pt"")"),"Tokmak")</f>
        <v>Tokmak</v>
      </c>
      <c r="B4745" s="17" t="s">
        <v>27169</v>
      </c>
      <c r="C4745" s="17" t="s">
        <v>26870</v>
      </c>
      <c r="D4745" s="17" t="s">
        <v>26898</v>
      </c>
      <c r="E4745" s="10">
        <v>691469</v>
      </c>
      <c r="F4745" s="4" t="str">
        <f>IF(B4745=B4744,"",B4745)</f>
        <v/>
      </c>
    </row>
    <row r="4746" spans="1:6" ht="15.75" customHeight="1">
      <c r="A4746" s="6" t="s">
        <v>16512</v>
      </c>
      <c r="B4746" s="6" t="s">
        <v>16512</v>
      </c>
      <c r="C4746" s="6" t="s">
        <v>15704</v>
      </c>
      <c r="D4746" s="6" t="s">
        <v>15748</v>
      </c>
      <c r="E4746" s="2">
        <v>1850207</v>
      </c>
      <c r="F4746" s="4" t="str">
        <f>IF(B4746=B4745,"",B4746)</f>
        <v>Toki</v>
      </c>
    </row>
    <row r="4747" spans="1:6" ht="15.75" customHeight="1">
      <c r="A4747" s="5" t="str">
        <f ca="1">IFERROR(__xludf.DUMMYFUNCTION("GOOGLETRANSLATE(B35229,""en"",""pt"")"),"Toki")</f>
        <v>Toki</v>
      </c>
      <c r="B4747" s="17" t="s">
        <v>16512</v>
      </c>
      <c r="C4747" s="17" t="s">
        <v>15704</v>
      </c>
      <c r="D4747" s="17" t="s">
        <v>15748</v>
      </c>
      <c r="E4747" s="10">
        <v>1850207</v>
      </c>
      <c r="F4747" s="4" t="str">
        <f>IF(B4747=B4746,"",B4747)</f>
        <v/>
      </c>
    </row>
    <row r="4748" spans="1:6" ht="15.75" customHeight="1">
      <c r="A4748" s="6" t="s">
        <v>26474</v>
      </c>
      <c r="B4748" s="6" t="s">
        <v>26474</v>
      </c>
      <c r="C4748" s="6" t="s">
        <v>26201</v>
      </c>
      <c r="D4748" s="6" t="s">
        <v>26474</v>
      </c>
      <c r="E4748" s="2">
        <v>738743</v>
      </c>
      <c r="F4748" s="4" t="str">
        <f>IF(B4748=B4747,"",B4748)</f>
        <v>Tokat</v>
      </c>
    </row>
    <row r="4749" spans="1:6" ht="15.75" customHeight="1">
      <c r="A4749" s="5" t="str">
        <f ca="1">IFERROR(__xludf.DUMMYFUNCTION("GOOGLETRANSLATE(B42104,""en"",""pt"")"),"Tokat")</f>
        <v>Tokat</v>
      </c>
      <c r="B4749" s="17" t="s">
        <v>26474</v>
      </c>
      <c r="C4749" s="17" t="s">
        <v>26201</v>
      </c>
      <c r="D4749" s="17" t="s">
        <v>26474</v>
      </c>
      <c r="E4749" s="10">
        <v>738743</v>
      </c>
      <c r="F4749" s="4" t="str">
        <f>IF(B4749=B4748,"",B4749)</f>
        <v/>
      </c>
    </row>
    <row r="4750" spans="1:6" ht="15.75" customHeight="1">
      <c r="A4750" s="5" t="str">
        <f ca="1">IFERROR(__xludf.DUMMYFUNCTION("GOOGLETRANSLATE(B41075,""en"",""pt"")"),"Tokār")</f>
        <v>Tokār</v>
      </c>
      <c r="B4750" s="17" t="s">
        <v>35605</v>
      </c>
      <c r="C4750" s="17" t="s">
        <v>24987</v>
      </c>
      <c r="D4750" s="17" t="s">
        <v>6584</v>
      </c>
      <c r="E4750" s="10">
        <v>366323</v>
      </c>
      <c r="F4750" s="4" t="str">
        <f>IF(B4750=B4749,"",B4750)</f>
        <v>Tokār</v>
      </c>
    </row>
    <row r="4751" spans="1:6" ht="15.75" customHeight="1">
      <c r="A4751" s="5" t="str">
        <f ca="1">IFERROR(__xludf.DUMMYFUNCTION("GOOGLETRANSLATE(B35230,""en"",""pt"")"),"Tōkamachi")</f>
        <v>Tōkamachi</v>
      </c>
      <c r="B4751" s="17" t="s">
        <v>34299</v>
      </c>
      <c r="C4751" s="17" t="s">
        <v>15704</v>
      </c>
      <c r="D4751" s="17" t="s">
        <v>15818</v>
      </c>
      <c r="E4751" s="10">
        <v>1850217</v>
      </c>
      <c r="F4751" s="4" t="str">
        <f>IF(B4751=B4750,"",B4751)</f>
        <v>Tōkamachi</v>
      </c>
    </row>
    <row r="4752" spans="1:6" ht="15.75" customHeight="1">
      <c r="A4752" s="6" t="s">
        <v>25056</v>
      </c>
      <c r="B4752" s="6" t="s">
        <v>25057</v>
      </c>
      <c r="C4752" s="6" t="s">
        <v>24987</v>
      </c>
      <c r="D4752" s="6" t="s">
        <v>6584</v>
      </c>
      <c r="E4752" s="2">
        <v>366323</v>
      </c>
      <c r="F4752" s="4" t="str">
        <f>IF(B4752=B4751,"",B4752)</f>
        <v>TokÄr</v>
      </c>
    </row>
    <row r="4753" spans="1:6" ht="15.75" customHeight="1">
      <c r="A4753" s="5" t="str">
        <f ca="1">IFERROR(__xludf.DUMMYFUNCTION("GOOGLETRANSLATE(B31968,""en"",""pt"")"),"Tohāna")</f>
        <v>Tohāna</v>
      </c>
      <c r="B4753" s="17" t="s">
        <v>32991</v>
      </c>
      <c r="C4753" s="17" t="s">
        <v>10178</v>
      </c>
      <c r="D4753" s="17" t="s">
        <v>10224</v>
      </c>
      <c r="E4753" s="10">
        <v>1254274</v>
      </c>
      <c r="F4753" s="4" t="str">
        <f>IF(B4753=B4752,"",B4753)</f>
        <v>Tohāna</v>
      </c>
    </row>
    <row r="4754" spans="1:6" ht="15.75" customHeight="1">
      <c r="A4754" s="6" t="s">
        <v>13604</v>
      </c>
      <c r="B4754" s="6" t="s">
        <v>13605</v>
      </c>
      <c r="C4754" s="6" t="s">
        <v>10178</v>
      </c>
      <c r="D4754" s="6" t="s">
        <v>10224</v>
      </c>
      <c r="E4754" s="2">
        <v>1254274</v>
      </c>
      <c r="F4754" s="4" t="str">
        <f>IF(B4754=B4753,"",B4754)</f>
        <v>TohÄna</v>
      </c>
    </row>
    <row r="4755" spans="1:6" ht="15.75" customHeight="1">
      <c r="A4755" s="6" t="s">
        <v>23191</v>
      </c>
      <c r="B4755" s="6" t="s">
        <v>23191</v>
      </c>
      <c r="C4755" s="6" t="s">
        <v>22070</v>
      </c>
      <c r="D4755" s="6" t="s">
        <v>22092</v>
      </c>
      <c r="E4755" s="2">
        <v>1489508</v>
      </c>
      <c r="F4755" s="4" t="str">
        <f>IF(B4755=B4754,"",B4755)</f>
        <v>Toguchin</v>
      </c>
    </row>
    <row r="4756" spans="1:6" ht="15.75" customHeight="1">
      <c r="A4756" s="5" t="str">
        <f ca="1">IFERROR(__xludf.DUMMYFUNCTION("GOOGLETRANSLATE(B40738,""en"",""pt"")"),"Toguchin")</f>
        <v>Toguchin</v>
      </c>
      <c r="B4756" s="17" t="s">
        <v>23191</v>
      </c>
      <c r="C4756" s="17" t="s">
        <v>22070</v>
      </c>
      <c r="D4756" s="17" t="s">
        <v>22092</v>
      </c>
      <c r="E4756" s="10">
        <v>1489508</v>
      </c>
      <c r="F4756" s="4" t="str">
        <f>IF(B4756=B4755,"",B4756)</f>
        <v/>
      </c>
    </row>
    <row r="4757" spans="1:6" ht="15.75" customHeight="1">
      <c r="A4757" s="6" t="s">
        <v>16511</v>
      </c>
      <c r="B4757" s="6" t="s">
        <v>16511</v>
      </c>
      <c r="C4757" s="6" t="s">
        <v>15704</v>
      </c>
      <c r="D4757" s="6" t="s">
        <v>15784</v>
      </c>
      <c r="E4757" s="2">
        <v>1850269</v>
      </c>
      <c r="F4757" s="4" t="str">
        <f>IF(B4757=B4756,"",B4757)</f>
        <v>Togitsu</v>
      </c>
    </row>
    <row r="4758" spans="1:6" ht="15.75" customHeight="1">
      <c r="A4758" s="5" t="str">
        <f ca="1">IFERROR(__xludf.DUMMYFUNCTION("GOOGLETRANSLATE(B35231,""en"",""pt"")"),"Togitsu")</f>
        <v>Togitsu</v>
      </c>
      <c r="B4758" s="17" t="s">
        <v>16511</v>
      </c>
      <c r="C4758" s="17" t="s">
        <v>15704</v>
      </c>
      <c r="D4758" s="17" t="s">
        <v>15784</v>
      </c>
      <c r="E4758" s="10">
        <v>1850269</v>
      </c>
      <c r="F4758" s="4" t="str">
        <f>IF(B4758=B4757,"",B4758)</f>
        <v/>
      </c>
    </row>
    <row r="4759" spans="1:6" ht="15.75" customHeight="1">
      <c r="A4759" s="5" t="str">
        <f ca="1">IFERROR(__xludf.DUMMYFUNCTION("GOOGLETRANSLATE(B35724,""en"",""pt"")"),"Tōgane")</f>
        <v>Tōgane</v>
      </c>
      <c r="B4759" s="17" t="s">
        <v>34401</v>
      </c>
      <c r="C4759" s="17" t="s">
        <v>15704</v>
      </c>
      <c r="D4759" s="17" t="s">
        <v>15707</v>
      </c>
      <c r="E4759" s="10">
        <v>2110774</v>
      </c>
      <c r="F4759" s="4" t="str">
        <f>IF(B4759=B4758,"",B4759)</f>
        <v>Tōgane</v>
      </c>
    </row>
    <row r="4760" spans="1:6" ht="15.75" customHeight="1">
      <c r="A4760" s="5" t="s">
        <v>13602</v>
      </c>
      <c r="B4760" s="6" t="s">
        <v>13603</v>
      </c>
      <c r="C4760" s="5" t="s">
        <v>10178</v>
      </c>
      <c r="D4760" s="5" t="s">
        <v>10179</v>
      </c>
      <c r="E4760" s="2">
        <v>1254282</v>
      </c>
      <c r="F4760" s="4" t="str">
        <f>IF(B4760=B4759,"",B4760)</f>
        <v>Todaraisingh</v>
      </c>
    </row>
    <row r="4761" spans="1:6" ht="15.75" customHeight="1">
      <c r="A4761" s="5" t="str">
        <f ca="1">IFERROR(__xludf.DUMMYFUNCTION("GOOGLETRANSLATE(B31969,""en"",""pt"")"),"Todarisingh")</f>
        <v>Todarisingh</v>
      </c>
      <c r="B4761" s="17" t="s">
        <v>13603</v>
      </c>
      <c r="C4761" s="17" t="s">
        <v>10178</v>
      </c>
      <c r="D4761" s="17" t="s">
        <v>10179</v>
      </c>
      <c r="E4761" s="10">
        <v>1254282</v>
      </c>
      <c r="F4761" s="4" t="str">
        <f>IF(B4761=B4760,"",B4761)</f>
        <v/>
      </c>
    </row>
    <row r="4762" spans="1:6" ht="15.75" customHeight="1">
      <c r="A4762" s="5" t="s">
        <v>13601</v>
      </c>
      <c r="B4762" s="6" t="s">
        <v>13601</v>
      </c>
      <c r="C4762" s="5" t="s">
        <v>10178</v>
      </c>
      <c r="D4762" s="5" t="s">
        <v>10179</v>
      </c>
      <c r="E4762" s="2">
        <v>1254283</v>
      </c>
      <c r="F4762" s="4" t="str">
        <f>IF(B4762=B4761,"",B4762)</f>
        <v>Todabhim</v>
      </c>
    </row>
    <row r="4763" spans="1:6" ht="15.75" customHeight="1">
      <c r="A4763" s="5" t="str">
        <f ca="1">IFERROR(__xludf.DUMMYFUNCTION("GOOGLETRANSLATE(B31970,""en"",""pt"")"),"Todabhim")</f>
        <v>Todabhim</v>
      </c>
      <c r="B4763" s="17" t="s">
        <v>13601</v>
      </c>
      <c r="C4763" s="17" t="s">
        <v>10178</v>
      </c>
      <c r="D4763" s="17" t="s">
        <v>10179</v>
      </c>
      <c r="E4763" s="10">
        <v>1254283</v>
      </c>
      <c r="F4763" s="4" t="str">
        <f>IF(B4763=B4762,"",B4763)</f>
        <v/>
      </c>
    </row>
    <row r="4764" spans="1:6" ht="15.75" customHeight="1">
      <c r="A4764" s="6" t="s">
        <v>20403</v>
      </c>
      <c r="B4764" s="6" t="s">
        <v>20403</v>
      </c>
      <c r="C4764" s="6" t="s">
        <v>20370</v>
      </c>
      <c r="D4764" s="6" t="s">
        <v>20374</v>
      </c>
      <c r="E4764" s="2">
        <v>3700563</v>
      </c>
      <c r="F4764" s="4" t="str">
        <f>IF(B4764=B4763,"",B4764)</f>
        <v>Tocumen</v>
      </c>
    </row>
    <row r="4765" spans="1:6" ht="15.75" customHeight="1">
      <c r="A4765" s="5" t="str">
        <f ca="1">IFERROR(__xludf.DUMMYFUNCTION("GOOGLETRANSLATE(B38279,""en"",""pt"")"),"Tocumen")</f>
        <v>Tocumen</v>
      </c>
      <c r="B4765" s="17" t="s">
        <v>20403</v>
      </c>
      <c r="C4765" s="17" t="s">
        <v>20370</v>
      </c>
      <c r="D4765" s="17" t="s">
        <v>20397</v>
      </c>
      <c r="E4765" s="10">
        <v>3700563</v>
      </c>
      <c r="F4765" s="4" t="str">
        <f>IF(B4765=B4764,"",B4765)</f>
        <v/>
      </c>
    </row>
    <row r="4766" spans="1:6" ht="15.75" customHeight="1">
      <c r="A4766" s="6" t="s">
        <v>4476</v>
      </c>
      <c r="B4766" s="6" t="s">
        <v>4476</v>
      </c>
      <c r="C4766" s="6" t="s">
        <v>4355</v>
      </c>
      <c r="D4766" s="6" t="s">
        <v>4359</v>
      </c>
      <c r="E4766" s="2">
        <v>3869716</v>
      </c>
      <c r="F4766" s="4" t="str">
        <f>IF(B4766=B4765,"",B4766)</f>
        <v>Tocopilla</v>
      </c>
    </row>
    <row r="4767" spans="1:6" ht="15.75" customHeight="1">
      <c r="A4767" s="5" t="str">
        <f ca="1">IFERROR(__xludf.DUMMYFUNCTION("GOOGLETRANSLATE(B25891,""en"",""pt"")"),"Tocopilla")</f>
        <v>Tocopilla</v>
      </c>
      <c r="B4767" s="17" t="s">
        <v>4476</v>
      </c>
      <c r="C4767" s="17" t="s">
        <v>4355</v>
      </c>
      <c r="D4767" s="17" t="s">
        <v>4359</v>
      </c>
      <c r="E4767" s="10">
        <v>3869716</v>
      </c>
      <c r="F4767" s="4" t="str">
        <f>IF(B4767=B4766,"",B4767)</f>
        <v/>
      </c>
    </row>
    <row r="4768" spans="1:6" ht="15.75" customHeight="1">
      <c r="A4768" s="6" t="s">
        <v>9939</v>
      </c>
      <c r="B4768" s="6" t="s">
        <v>9940</v>
      </c>
      <c r="C4768" s="6" t="s">
        <v>9907</v>
      </c>
      <c r="D4768" s="6" t="s">
        <v>5820</v>
      </c>
      <c r="E4768" s="2">
        <v>3600704</v>
      </c>
      <c r="F4768" s="4" t="str">
        <f>IF(B4768=B4767,"",B4768)</f>
        <v>Tocoa</v>
      </c>
    </row>
    <row r="4769" spans="1:6" ht="15.75" customHeight="1">
      <c r="A4769" s="5" t="str">
        <f ca="1">IFERROR(__xludf.DUMMYFUNCTION("GOOGLETRANSLATE(B31166,""en"",""pt"")"),"ToCoa")</f>
        <v>ToCoa</v>
      </c>
      <c r="B4769" s="17" t="s">
        <v>9940</v>
      </c>
      <c r="C4769" s="17" t="s">
        <v>9907</v>
      </c>
      <c r="D4769" s="17" t="s">
        <v>31924</v>
      </c>
      <c r="E4769" s="10">
        <v>3600704</v>
      </c>
      <c r="F4769" s="4" t="str">
        <f>IF(B4769=B4768,"",B4769)</f>
        <v/>
      </c>
    </row>
    <row r="4770" spans="1:6" ht="15.75" customHeight="1">
      <c r="A4770" s="5" t="str">
        <f ca="1">IFERROR(__xludf.DUMMYFUNCTION("GOOGLETRANSLATE(B35232,""en"",""pt"")"),"Tochio-Honchō")</f>
        <v>Tochio-Honchō</v>
      </c>
      <c r="B4770" s="17" t="s">
        <v>34300</v>
      </c>
      <c r="C4770" s="17" t="s">
        <v>15704</v>
      </c>
      <c r="D4770" s="17" t="s">
        <v>15818</v>
      </c>
      <c r="E4770" s="10">
        <v>1850307</v>
      </c>
      <c r="F4770" s="4" t="str">
        <f>IF(B4770=B4769,"",B4770)</f>
        <v>Tochio-honchō</v>
      </c>
    </row>
    <row r="4771" spans="1:6" ht="15.75" customHeight="1">
      <c r="A4771" s="5" t="s">
        <v>16509</v>
      </c>
      <c r="B4771" s="6" t="s">
        <v>16510</v>
      </c>
      <c r="C4771" s="5" t="s">
        <v>15704</v>
      </c>
      <c r="D4771" s="5" t="s">
        <v>15818</v>
      </c>
      <c r="E4771" s="2">
        <v>1850307</v>
      </c>
      <c r="F4771" s="4" t="str">
        <f>IF(B4771=B4770,"",B4771)</f>
        <v>Tochio-honchÅ</v>
      </c>
    </row>
    <row r="4772" spans="1:6" ht="15.75" customHeight="1">
      <c r="A4772" s="6" t="s">
        <v>15799</v>
      </c>
      <c r="B4772" s="6" t="s">
        <v>15799</v>
      </c>
      <c r="C4772" s="6" t="s">
        <v>15704</v>
      </c>
      <c r="D4772" s="6" t="s">
        <v>15799</v>
      </c>
      <c r="E4772" s="2">
        <v>1850311</v>
      </c>
      <c r="F4772" s="4" t="str">
        <f>IF(B4772=B4771,"",B4772)</f>
        <v>Tochigi</v>
      </c>
    </row>
    <row r="4773" spans="1:6" ht="15.75" customHeight="1">
      <c r="A4773" s="5" t="str">
        <f ca="1">IFERROR(__xludf.DUMMYFUNCTION("GOOGLETRANSLATE(B35233,""en"",""pt"")"),"Tochigi")</f>
        <v>Tochigi</v>
      </c>
      <c r="B4773" s="17" t="s">
        <v>15799</v>
      </c>
      <c r="C4773" s="17" t="s">
        <v>15704</v>
      </c>
      <c r="D4773" s="17" t="s">
        <v>15799</v>
      </c>
      <c r="E4773" s="10">
        <v>1850311</v>
      </c>
      <c r="F4773" s="4" t="str">
        <f>IF(B4773=B4772,"",B4773)</f>
        <v/>
      </c>
    </row>
    <row r="4774" spans="1:6" ht="15.75" customHeight="1">
      <c r="A4774" s="6" t="s">
        <v>20587</v>
      </c>
      <c r="B4774" s="6" t="s">
        <v>20587</v>
      </c>
      <c r="C4774" s="6" t="s">
        <v>20470</v>
      </c>
      <c r="D4774" s="6" t="s">
        <v>787</v>
      </c>
      <c r="E4774" s="2">
        <v>3691324</v>
      </c>
      <c r="F4774" s="4" t="str">
        <f>IF(B4774=B4773,"",B4774)</f>
        <v>Tocache</v>
      </c>
    </row>
    <row r="4775" spans="1:6" ht="15.75" customHeight="1">
      <c r="A4775" s="5" t="str">
        <f ca="1">IFERROR(__xludf.DUMMYFUNCTION("GOOGLETRANSLATE(B38306,""en"",""pt"")"),"Tocache")</f>
        <v>Tocache</v>
      </c>
      <c r="B4775" s="17" t="s">
        <v>20587</v>
      </c>
      <c r="C4775" s="17" t="s">
        <v>20470</v>
      </c>
      <c r="D4775" s="17" t="s">
        <v>31188</v>
      </c>
      <c r="E4775" s="10">
        <v>3691324</v>
      </c>
      <c r="F4775" s="4" t="str">
        <f>IF(B4775=B4774,"",B4775)</f>
        <v/>
      </c>
    </row>
    <row r="4776" spans="1:6" ht="15.75" customHeight="1">
      <c r="A4776" s="6" t="s">
        <v>17138</v>
      </c>
      <c r="B4776" s="6" t="s">
        <v>17138</v>
      </c>
      <c r="C4776" s="6" t="s">
        <v>17074</v>
      </c>
      <c r="D4776" s="6" t="s">
        <v>17139</v>
      </c>
      <c r="E4776" s="2">
        <v>81302</v>
      </c>
      <c r="F4776" s="4" t="str">
        <f>IF(B4776=B4775,"",B4776)</f>
        <v>Tobruk</v>
      </c>
    </row>
    <row r="4777" spans="1:6" ht="15.75" customHeight="1">
      <c r="A4777" s="5" t="str">
        <f ca="1">IFERROR(__xludf.DUMMYFUNCTION("GOOGLETRANSLATE(B36412,""en"",""pt"")"),"Tobruk")</f>
        <v>Tobruk</v>
      </c>
      <c r="B4777" s="17" t="s">
        <v>17138</v>
      </c>
      <c r="C4777" s="17" t="s">
        <v>17074</v>
      </c>
      <c r="D4777" s="17" t="s">
        <v>34552</v>
      </c>
      <c r="E4777" s="10">
        <v>81302</v>
      </c>
      <c r="F4777" s="4" t="str">
        <f>IF(B4777=B4776,"",B4777)</f>
        <v/>
      </c>
    </row>
    <row r="4778" spans="1:6" ht="15.75" customHeight="1">
      <c r="A4778" s="5" t="s">
        <v>23189</v>
      </c>
      <c r="B4778" s="6" t="s">
        <v>23190</v>
      </c>
      <c r="C4778" s="5" t="s">
        <v>22070</v>
      </c>
      <c r="D4778" s="5" t="s">
        <v>22265</v>
      </c>
      <c r="E4778" s="2">
        <v>1489530</v>
      </c>
      <c r="F4778" s="4" t="str">
        <f>IF(B4778=B4777,"",B4778)</f>
        <v>Tobolâ€™sk</v>
      </c>
    </row>
    <row r="4779" spans="1:6" ht="15.75" customHeight="1">
      <c r="A4779" s="5" t="str">
        <f ca="1">IFERROR(__xludf.DUMMYFUNCTION("GOOGLETRANSLATE(B40739,""en"",""pt"")"),"TOBOL'SK")</f>
        <v>TOBOL'SK</v>
      </c>
      <c r="B4779" s="17" t="s">
        <v>35533</v>
      </c>
      <c r="C4779" s="17" t="s">
        <v>22070</v>
      </c>
      <c r="D4779" s="17" t="s">
        <v>22265</v>
      </c>
      <c r="E4779" s="10">
        <v>1489530</v>
      </c>
      <c r="F4779" s="4" t="str">
        <f>IF(B4779=B4778,"",B4779)</f>
        <v>Tobol’sk</v>
      </c>
    </row>
    <row r="4780" spans="1:6" ht="15.75" customHeight="1">
      <c r="A4780" s="5" t="s">
        <v>3562</v>
      </c>
      <c r="B4780" s="6" t="s">
        <v>3562</v>
      </c>
      <c r="C4780" s="5" t="s">
        <v>1905</v>
      </c>
      <c r="D4780" s="5" t="s">
        <v>2002</v>
      </c>
      <c r="E4780" s="2">
        <v>3446400</v>
      </c>
      <c r="F4780" s="4" t="str">
        <f>IF(B4780=B4779,"",B4780)</f>
        <v>Tobias Barreto</v>
      </c>
    </row>
    <row r="4781" spans="1:6" ht="15.75" customHeight="1">
      <c r="A4781" s="5" t="str">
        <f ca="1">IFERROR(__xludf.DUMMYFUNCTION("GOOGLETRANSLATE(B24488,""en"",""pt"")"),"Tobias Barreto")</f>
        <v>Tobias Barreto</v>
      </c>
      <c r="B4781" s="17" t="s">
        <v>3562</v>
      </c>
      <c r="C4781" s="17" t="s">
        <v>1905</v>
      </c>
      <c r="D4781" s="17" t="s">
        <v>2002</v>
      </c>
      <c r="E4781" s="10">
        <v>3446400</v>
      </c>
      <c r="F4781" s="4" t="str">
        <f>IF(B4781=B4780,"",B4781)</f>
        <v/>
      </c>
    </row>
    <row r="4782" spans="1:6" ht="15.75" customHeight="1">
      <c r="A4782" s="5" t="str">
        <f ca="1">IFERROR(__xludf.DUMMYFUNCTION("GOOGLETRANSLATE(B35818,""en"",""pt"")"),"Tōbetsu")</f>
        <v>Tōbetsu</v>
      </c>
      <c r="B4782" s="17" t="s">
        <v>34416</v>
      </c>
      <c r="C4782" s="17" t="s">
        <v>15704</v>
      </c>
      <c r="D4782" s="17" t="s">
        <v>15705</v>
      </c>
      <c r="E4782" s="10">
        <v>2127802</v>
      </c>
      <c r="F4782" s="4" t="str">
        <f>IF(B4782=B4781,"",B4782)</f>
        <v>Tōbetsu</v>
      </c>
    </row>
    <row r="4783" spans="1:6" ht="15.75" customHeight="1">
      <c r="A4783" s="5" t="s">
        <v>20271</v>
      </c>
      <c r="B4783" s="6" t="s">
        <v>20271</v>
      </c>
      <c r="C4783" s="5" t="s">
        <v>19808</v>
      </c>
      <c r="D4783" s="5" t="s">
        <v>10184</v>
      </c>
      <c r="E4783" s="2">
        <v>1163272</v>
      </c>
      <c r="F4783" s="4" t="str">
        <f>IF(B4783=B4782,"",B4783)</f>
        <v>Toba Tek Singh</v>
      </c>
    </row>
    <row r="4784" spans="1:6" ht="15.75" customHeight="1">
      <c r="A4784" s="5" t="str">
        <f ca="1">IFERROR(__xludf.DUMMYFUNCTION("GOOGLETRANSLATE(B38883,""en"",""pt"")"),"Toba Tek Singh")</f>
        <v>Toba Tek Singh</v>
      </c>
      <c r="B4784" s="17" t="s">
        <v>20271</v>
      </c>
      <c r="C4784" s="17" t="s">
        <v>19808</v>
      </c>
      <c r="D4784" s="17" t="s">
        <v>10184</v>
      </c>
      <c r="E4784" s="10">
        <v>1163272</v>
      </c>
      <c r="F4784" s="4" t="str">
        <f>IF(B4784=B4783,"",B4784)</f>
        <v/>
      </c>
    </row>
    <row r="4785" spans="1:6" ht="15.75" customHeight="1">
      <c r="A4785" s="6" t="s">
        <v>16508</v>
      </c>
      <c r="B4785" s="6" t="s">
        <v>16508</v>
      </c>
      <c r="C4785" s="6" t="s">
        <v>15704</v>
      </c>
      <c r="D4785" s="6" t="s">
        <v>15967</v>
      </c>
      <c r="E4785" s="2">
        <v>1850345</v>
      </c>
      <c r="F4785" s="4" t="str">
        <f>IF(B4785=B4784,"",B4785)</f>
        <v>Toba</v>
      </c>
    </row>
    <row r="4786" spans="1:6" ht="15.75" customHeight="1">
      <c r="A4786" s="5" t="str">
        <f ca="1">IFERROR(__xludf.DUMMYFUNCTION("GOOGLETRANSLATE(B35234,""en"",""pt"")"),"Toba")</f>
        <v>Toba</v>
      </c>
      <c r="B4786" s="17" t="s">
        <v>16508</v>
      </c>
      <c r="C4786" s="17" t="s">
        <v>15704</v>
      </c>
      <c r="D4786" s="17" t="s">
        <v>15967</v>
      </c>
      <c r="E4786" s="10">
        <v>1850345</v>
      </c>
      <c r="F4786" s="4" t="str">
        <f>IF(B4786=B4785,"",B4786)</f>
        <v/>
      </c>
    </row>
    <row r="4787" spans="1:6" ht="15.75" customHeight="1">
      <c r="A4787" s="5" t="s">
        <v>17397</v>
      </c>
      <c r="B4787" s="6" t="s">
        <v>17397</v>
      </c>
      <c r="C4787" s="5" t="s">
        <v>17292</v>
      </c>
      <c r="D4787" s="5" t="s">
        <v>17323</v>
      </c>
      <c r="E4787" s="2">
        <v>1053384</v>
      </c>
      <c r="F4787" s="4" t="str">
        <f>IF(B4787=B4786,"",B4787)</f>
        <v>Toamasina</v>
      </c>
    </row>
    <row r="4788" spans="1:6" ht="15.75" customHeight="1">
      <c r="A4788" s="5" t="str">
        <f ca="1">IFERROR(__xludf.DUMMYFUNCTION("GOOGLETRANSLATE(B36555,""en"",""pt"")"),"Toamasina")</f>
        <v>Toamasina</v>
      </c>
      <c r="B4788" s="17" t="s">
        <v>17397</v>
      </c>
      <c r="C4788" s="17" t="s">
        <v>17292</v>
      </c>
      <c r="D4788" s="17" t="s">
        <v>17323</v>
      </c>
      <c r="E4788" s="10">
        <v>1053384</v>
      </c>
      <c r="F4788" s="4" t="str">
        <f>IF(B4788=B4787,"",B4788)</f>
        <v/>
      </c>
    </row>
    <row r="4789" spans="1:6" ht="15.75" customHeight="1">
      <c r="A4789" s="6" t="s">
        <v>253</v>
      </c>
      <c r="B4789" s="6" t="s">
        <v>253</v>
      </c>
      <c r="C4789" s="6" t="s">
        <v>153</v>
      </c>
      <c r="D4789" s="6" t="s">
        <v>253</v>
      </c>
      <c r="E4789" s="2">
        <v>2475687</v>
      </c>
      <c r="F4789" s="4" t="str">
        <f>IF(B4789=B4788,"",B4789)</f>
        <v>Tlemcen</v>
      </c>
    </row>
    <row r="4790" spans="1:6" ht="15.75" customHeight="1">
      <c r="A4790" s="5" t="str">
        <f ca="1">IFERROR(__xludf.DUMMYFUNCTION("GOOGLETRANSLATE(B28505,""en"",""pt"")"),"Tlemcen")</f>
        <v>Tlemcen</v>
      </c>
      <c r="B4790" s="17" t="s">
        <v>253</v>
      </c>
      <c r="C4790" s="17" t="s">
        <v>153</v>
      </c>
      <c r="D4790" s="17" t="s">
        <v>253</v>
      </c>
      <c r="E4790" s="10">
        <v>2475687</v>
      </c>
      <c r="F4790" s="4" t="str">
        <f>IF(B4790=B4789,"",B4790)</f>
        <v/>
      </c>
    </row>
    <row r="4791" spans="1:6" ht="15.75" customHeight="1">
      <c r="A4791" s="5" t="s">
        <v>18370</v>
      </c>
      <c r="B4791" s="6" t="s">
        <v>18371</v>
      </c>
      <c r="C4791" s="5" t="s">
        <v>17707</v>
      </c>
      <c r="D4791" s="5" t="s">
        <v>17717</v>
      </c>
      <c r="E4791" s="2">
        <v>3515358</v>
      </c>
      <c r="F4791" s="4" t="str">
        <f>IF(B4791=B4790,"",B4791)</f>
        <v>Tlazcalancingo</v>
      </c>
    </row>
    <row r="4792" spans="1:6" ht="15.75" customHeight="1">
      <c r="A4792" s="5" t="str">
        <f ca="1">IFERROR(__xludf.DUMMYFUNCTION("GOOGLETRANSLATE(B36873,""en"",""pt"")"),"TLAZCALAINCE")</f>
        <v>TLAZCALAINCE</v>
      </c>
      <c r="B4792" s="17" t="s">
        <v>18371</v>
      </c>
      <c r="C4792" s="17" t="s">
        <v>17707</v>
      </c>
      <c r="D4792" s="17" t="s">
        <v>17717</v>
      </c>
      <c r="E4792" s="10">
        <v>3515358</v>
      </c>
      <c r="F4792" s="4" t="str">
        <f>IF(B4792=B4791,"",B4792)</f>
        <v/>
      </c>
    </row>
    <row r="4793" spans="1:6" ht="15.75" customHeight="1">
      <c r="A4793" s="5" t="s">
        <v>18368</v>
      </c>
      <c r="B4793" s="6" t="s">
        <v>18369</v>
      </c>
      <c r="C4793" s="5" t="s">
        <v>17707</v>
      </c>
      <c r="D4793" s="5" t="s">
        <v>17763</v>
      </c>
      <c r="E4793" s="2">
        <v>3815415</v>
      </c>
      <c r="F4793" s="4" t="str">
        <f>IF(B4793=B4792,"",B4793)</f>
        <v>Tlaxcala de Xicohtencatl</v>
      </c>
    </row>
    <row r="4794" spans="1:6" ht="15.75" customHeight="1">
      <c r="A4794" s="5" t="str">
        <f ca="1">IFERROR(__xludf.DUMMYFUNCTION("GOOGLETRANSLATE(B37116,""en"",""pt"")"),"Tlaxcala de xicohtencatl")</f>
        <v>Tlaxcala de xicohtencatl</v>
      </c>
      <c r="B4794" s="17" t="s">
        <v>18369</v>
      </c>
      <c r="C4794" s="17" t="s">
        <v>17707</v>
      </c>
      <c r="D4794" s="17" t="s">
        <v>17763</v>
      </c>
      <c r="E4794" s="10">
        <v>3815415</v>
      </c>
      <c r="F4794" s="4" t="str">
        <f>IF(B4794=B4793,"",B4794)</f>
        <v/>
      </c>
    </row>
    <row r="4795" spans="1:6" ht="15.75" customHeight="1">
      <c r="A4795" s="5" t="s">
        <v>18367</v>
      </c>
      <c r="B4795" s="6" t="s">
        <v>18367</v>
      </c>
      <c r="C4795" s="5" t="s">
        <v>17707</v>
      </c>
      <c r="D4795" s="5" t="s">
        <v>17780</v>
      </c>
      <c r="E4795" s="2">
        <v>3515373</v>
      </c>
      <c r="F4795" s="4" t="str">
        <f>IF(B4795=B4794,"",B4795)</f>
        <v>Tlaquiltenango</v>
      </c>
    </row>
    <row r="4796" spans="1:6" ht="15.75" customHeight="1">
      <c r="A4796" s="5" t="str">
        <f ca="1">IFERROR(__xludf.DUMMYFUNCTION("GOOGLETRANSLATE(B36874,""en"",""pt"")"),"Tlaquiltenango")</f>
        <v>Tlaquiltenango</v>
      </c>
      <c r="B4796" s="17" t="s">
        <v>18367</v>
      </c>
      <c r="C4796" s="17" t="s">
        <v>17707</v>
      </c>
      <c r="D4796" s="17" t="s">
        <v>17780</v>
      </c>
      <c r="E4796" s="10">
        <v>3515373</v>
      </c>
      <c r="F4796" s="4" t="str">
        <f>IF(B4796=B4795,"",B4796)</f>
        <v/>
      </c>
    </row>
    <row r="4797" spans="1:6" ht="15.75" customHeight="1">
      <c r="A4797" s="5" t="s">
        <v>18365</v>
      </c>
      <c r="B4797" s="6" t="s">
        <v>18366</v>
      </c>
      <c r="C4797" s="5" t="s">
        <v>17707</v>
      </c>
      <c r="D4797" s="5" t="s">
        <v>17746</v>
      </c>
      <c r="E4797" s="2">
        <v>3981461</v>
      </c>
      <c r="F4797" s="4" t="str">
        <f>IF(B4797=B4796,"",B4797)</f>
        <v>Tlaquepaque</v>
      </c>
    </row>
    <row r="4798" spans="1:6" ht="15.75" customHeight="1">
      <c r="A4798" s="5" t="str">
        <f ca="1">IFERROR(__xludf.DUMMYFUNCTION("GOOGLETRANSLATE(B37162,""en"",""pt"")"),"TLAQUEPAQUE")</f>
        <v>TLAQUEPAQUE</v>
      </c>
      <c r="B4798" s="17" t="s">
        <v>18366</v>
      </c>
      <c r="C4798" s="17" t="s">
        <v>17707</v>
      </c>
      <c r="D4798" s="17" t="s">
        <v>17746</v>
      </c>
      <c r="E4798" s="10">
        <v>3981461</v>
      </c>
      <c r="F4798" s="4" t="str">
        <f>IF(B4798=B4797,"",B4798)</f>
        <v/>
      </c>
    </row>
    <row r="4799" spans="1:6" ht="15.75" customHeight="1">
      <c r="A4799" s="5" t="s">
        <v>18364</v>
      </c>
      <c r="B4799" s="6" t="s">
        <v>18364</v>
      </c>
      <c r="C4799" s="5" t="s">
        <v>17707</v>
      </c>
      <c r="D4799" s="5" t="s">
        <v>17708</v>
      </c>
      <c r="E4799" s="2">
        <v>3515386</v>
      </c>
      <c r="F4799" s="4" t="str">
        <f>IF(B4799=B4798,"",B4799)</f>
        <v>Tlapacoyan</v>
      </c>
    </row>
    <row r="4800" spans="1:6" ht="15.75" customHeight="1">
      <c r="A4800" s="5" t="str">
        <f ca="1">IFERROR(__xludf.DUMMYFUNCTION("GOOGLETRANSLATE(B36876,""en"",""pt"")"),"Tlapacoyan")</f>
        <v>Tlapacoyan</v>
      </c>
      <c r="B4800" s="17" t="s">
        <v>18364</v>
      </c>
      <c r="C4800" s="17" t="s">
        <v>17707</v>
      </c>
      <c r="D4800" s="17" t="s">
        <v>17708</v>
      </c>
      <c r="E4800" s="10">
        <v>3515386</v>
      </c>
      <c r="F4800" s="4" t="str">
        <f>IF(B4800=B4799,"",B4800)</f>
        <v/>
      </c>
    </row>
    <row r="4801" spans="1:6" ht="15.75" customHeight="1">
      <c r="A4801" s="5" t="s">
        <v>18362</v>
      </c>
      <c r="B4801" s="6" t="s">
        <v>18363</v>
      </c>
      <c r="C4801" s="5" t="s">
        <v>17707</v>
      </c>
      <c r="D4801" s="5" t="s">
        <v>17723</v>
      </c>
      <c r="E4801" s="2">
        <v>3515384</v>
      </c>
      <c r="F4801" s="4" t="str">
        <f>IF(B4801=B4800,"",B4801)</f>
        <v>Tlapa de Comonfort</v>
      </c>
    </row>
    <row r="4802" spans="1:6" ht="15.75" customHeight="1">
      <c r="A4802" s="5" t="str">
        <f ca="1">IFERROR(__xludf.DUMMYFUNCTION("GOOGLETRANSLATE(B36875,""en"",""pt"")"),"Tlapa de comonfort")</f>
        <v>Tlapa de comonfort</v>
      </c>
      <c r="B4802" s="17" t="s">
        <v>18363</v>
      </c>
      <c r="C4802" s="17" t="s">
        <v>17707</v>
      </c>
      <c r="D4802" s="17" t="s">
        <v>17723</v>
      </c>
      <c r="E4802" s="10">
        <v>3515384</v>
      </c>
      <c r="F4802" s="4" t="str">
        <f>IF(B4802=B4801,"",B4802)</f>
        <v/>
      </c>
    </row>
    <row r="4803" spans="1:6" ht="15.75" customHeight="1">
      <c r="A4803" s="6" t="s">
        <v>18361</v>
      </c>
      <c r="B4803" s="6" t="s">
        <v>18361</v>
      </c>
      <c r="C4803" s="6" t="s">
        <v>17707</v>
      </c>
      <c r="D4803" s="6" t="s">
        <v>17711</v>
      </c>
      <c r="E4803" s="2">
        <v>3515428</v>
      </c>
      <c r="F4803" s="4" t="str">
        <f>IF(B4803=B4802,"",B4803)</f>
        <v>Tlalpan</v>
      </c>
    </row>
    <row r="4804" spans="1:6" ht="15.75" customHeight="1">
      <c r="A4804" s="5" t="str">
        <f ca="1">IFERROR(__xludf.DUMMYFUNCTION("GOOGLETRANSLATE(B36877,""en"",""pt"")"),"Tlalpan")</f>
        <v>Tlalpan</v>
      </c>
      <c r="B4804" s="17" t="s">
        <v>18361</v>
      </c>
      <c r="C4804" s="17" t="s">
        <v>17707</v>
      </c>
      <c r="D4804" s="17" t="s">
        <v>17711</v>
      </c>
      <c r="E4804" s="10">
        <v>3515428</v>
      </c>
      <c r="F4804" s="4" t="str">
        <f>IF(B4804=B4803,"",B4804)</f>
        <v/>
      </c>
    </row>
    <row r="4805" spans="1:6" ht="15.75" customHeight="1">
      <c r="A4805" s="5" t="s">
        <v>18360</v>
      </c>
      <c r="B4805" s="6" t="s">
        <v>18360</v>
      </c>
      <c r="C4805" s="5" t="s">
        <v>17707</v>
      </c>
      <c r="D4805" s="5" t="s">
        <v>17736</v>
      </c>
      <c r="E4805" s="2">
        <v>3515431</v>
      </c>
      <c r="F4805" s="4" t="str">
        <f>IF(B4805=B4804,"",B4805)</f>
        <v>Tlalnepantla</v>
      </c>
    </row>
    <row r="4806" spans="1:6" ht="15.75" customHeight="1">
      <c r="A4806" s="5" t="str">
        <f ca="1">IFERROR(__xludf.DUMMYFUNCTION("GOOGLETRANSLATE(B36878,""en"",""pt"")"),"Tlalnepantla")</f>
        <v>Tlalnepantla</v>
      </c>
      <c r="B4806" s="17" t="s">
        <v>18360</v>
      </c>
      <c r="C4806" s="17" t="s">
        <v>17707</v>
      </c>
      <c r="D4806" s="17" t="s">
        <v>20902</v>
      </c>
      <c r="E4806" s="10">
        <v>3515431</v>
      </c>
      <c r="F4806" s="4" t="str">
        <f>IF(B4806=B4805,"",B4806)</f>
        <v/>
      </c>
    </row>
    <row r="4807" spans="1:6" ht="15.75" customHeight="1">
      <c r="A4807" s="5" t="str">
        <f ca="1">IFERROR(__xludf.DUMMYFUNCTION("GOOGLETRANSLATE(B37163,""en"",""pt"")"),"Tlajomulco de Zúñiga")</f>
        <v>Tlajomulco de Zúñiga</v>
      </c>
      <c r="B4807" s="17" t="s">
        <v>34733</v>
      </c>
      <c r="C4807" s="17" t="s">
        <v>17707</v>
      </c>
      <c r="D4807" s="17" t="s">
        <v>17746</v>
      </c>
      <c r="E4807" s="10">
        <v>3981467</v>
      </c>
      <c r="F4807" s="4" t="str">
        <f>IF(B4807=B4806,"",B4807)</f>
        <v>Tlajomulco de Zúñiga</v>
      </c>
    </row>
    <row r="4808" spans="1:6" ht="15.75" customHeight="1">
      <c r="A4808" s="5" t="s">
        <v>18358</v>
      </c>
      <c r="B4808" s="6" t="s">
        <v>18359</v>
      </c>
      <c r="C4808" s="5" t="s">
        <v>17707</v>
      </c>
      <c r="D4808" s="5" t="s">
        <v>17746</v>
      </c>
      <c r="E4808" s="2">
        <v>3981467</v>
      </c>
      <c r="F4808" s="4" t="str">
        <f>IF(B4808=B4807,"",B4808)</f>
        <v>Tlajomulco de ZÃºÃ±iga</v>
      </c>
    </row>
    <row r="4809" spans="1:6" ht="15.75" customHeight="1">
      <c r="A4809" s="6" t="s">
        <v>18357</v>
      </c>
      <c r="B4809" s="6" t="s">
        <v>18357</v>
      </c>
      <c r="C4809" s="6" t="s">
        <v>17707</v>
      </c>
      <c r="D4809" s="6" t="s">
        <v>17711</v>
      </c>
      <c r="E4809" s="2">
        <v>3515463</v>
      </c>
      <c r="F4809" s="4" t="str">
        <f>IF(B4809=B4808,"",B4809)</f>
        <v>Tlahuac</v>
      </c>
    </row>
    <row r="4810" spans="1:6" ht="15.75" customHeight="1">
      <c r="A4810" s="5" t="str">
        <f ca="1">IFERROR(__xludf.DUMMYFUNCTION("GOOGLETRANSLATE(B36879,""en"",""pt"")"),"Tlahuac")</f>
        <v>Tlahuac</v>
      </c>
      <c r="B4810" s="17" t="s">
        <v>18357</v>
      </c>
      <c r="C4810" s="17" t="s">
        <v>17707</v>
      </c>
      <c r="D4810" s="17" t="s">
        <v>17711</v>
      </c>
      <c r="E4810" s="10">
        <v>3515463</v>
      </c>
      <c r="F4810" s="4" t="str">
        <f>IF(B4810=B4809,"",B4810)</f>
        <v/>
      </c>
    </row>
    <row r="4811" spans="1:6" ht="15.75" customHeight="1">
      <c r="A4811" s="6" t="s">
        <v>18647</v>
      </c>
      <c r="B4811" s="6" t="s">
        <v>18647</v>
      </c>
      <c r="C4811" s="6" t="s">
        <v>18551</v>
      </c>
      <c r="D4811" s="6" t="s">
        <v>18552</v>
      </c>
      <c r="E4811" s="2">
        <v>2527089</v>
      </c>
      <c r="F4811" s="4" t="str">
        <f>IF(B4811=B4810,"",B4811)</f>
        <v>Tiznit</v>
      </c>
    </row>
    <row r="4812" spans="1:6" ht="15.75" customHeight="1">
      <c r="A4812" s="5" t="str">
        <f ca="1">IFERROR(__xludf.DUMMYFUNCTION("GOOGLETRANSLATE(B36456,""en"",""pt"")"),"Tiznit")</f>
        <v>Tiznit</v>
      </c>
      <c r="B4812" s="17" t="s">
        <v>18647</v>
      </c>
      <c r="C4812" s="17" t="s">
        <v>18551</v>
      </c>
      <c r="D4812" s="17" t="s">
        <v>34583</v>
      </c>
      <c r="E4812" s="10">
        <v>2527089</v>
      </c>
      <c r="F4812" s="4" t="str">
        <f>IF(B4812=B4811,"",B4812)</f>
        <v/>
      </c>
    </row>
    <row r="4813" spans="1:6" ht="15.75" customHeight="1">
      <c r="A4813" s="5" t="s">
        <v>490</v>
      </c>
      <c r="B4813" s="6" t="s">
        <v>491</v>
      </c>
      <c r="C4813" s="5" t="s">
        <v>153</v>
      </c>
      <c r="D4813" s="5" t="s">
        <v>172</v>
      </c>
      <c r="E4813" s="2">
        <v>2475752</v>
      </c>
      <c r="F4813" s="4" t="str">
        <f>IF(B4813=B4812,"",B4813)</f>
        <v>Tizi-n-Tleta</v>
      </c>
    </row>
    <row r="4814" spans="1:6" ht="15.75" customHeight="1">
      <c r="A4814" s="5" t="str">
        <f ca="1">IFERROR(__xludf.DUMMYFUNCTION("GOOGLETRANSLATE(B28508,""en"",""pt"")"),"Tizi-n-tleta")</f>
        <v>Tizi-n-tleta</v>
      </c>
      <c r="B4814" s="17" t="s">
        <v>491</v>
      </c>
      <c r="C4814" s="17" t="s">
        <v>153</v>
      </c>
      <c r="D4814" s="17" t="s">
        <v>172</v>
      </c>
      <c r="E4814" s="10">
        <v>2475752</v>
      </c>
      <c r="F4814" s="4" t="str">
        <f>IF(B4814=B4813,"",B4814)</f>
        <v/>
      </c>
    </row>
    <row r="4815" spans="1:6" ht="15.75" customHeight="1">
      <c r="A4815" s="5" t="str">
        <f ca="1">IFERROR(__xludf.DUMMYFUNCTION("GOOGLETRANSLATE(B36880,""en"",""pt"")"),"Tizimín")</f>
        <v>Tizimín</v>
      </c>
      <c r="B4815" s="17" t="s">
        <v>34665</v>
      </c>
      <c r="C4815" s="17" t="s">
        <v>17707</v>
      </c>
      <c r="D4815" s="17" t="s">
        <v>34661</v>
      </c>
      <c r="E4815" s="10">
        <v>3515504</v>
      </c>
      <c r="F4815" s="4" t="str">
        <f>IF(B4815=B4814,"",B4815)</f>
        <v>Tizimín</v>
      </c>
    </row>
    <row r="4816" spans="1:6" ht="15.75" customHeight="1">
      <c r="A4816" s="6" t="s">
        <v>18355</v>
      </c>
      <c r="B4816" s="6" t="s">
        <v>18356</v>
      </c>
      <c r="C4816" s="6" t="s">
        <v>17707</v>
      </c>
      <c r="D4816" s="6" t="s">
        <v>17823</v>
      </c>
      <c r="E4816" s="2">
        <v>3515504</v>
      </c>
      <c r="F4816" s="4" t="str">
        <f>IF(B4816=B4815,"",B4816)</f>
        <v>TizimÃ­n</v>
      </c>
    </row>
    <row r="4817" spans="1:6" ht="15.75" customHeight="1">
      <c r="A4817" s="5" t="s">
        <v>489</v>
      </c>
      <c r="B4817" s="6" t="s">
        <v>489</v>
      </c>
      <c r="C4817" s="5" t="s">
        <v>153</v>
      </c>
      <c r="D4817" s="5" t="s">
        <v>172</v>
      </c>
      <c r="E4817" s="2">
        <v>2475740</v>
      </c>
      <c r="F4817" s="4" t="str">
        <f>IF(B4817=B4816,"",B4817)</f>
        <v>Tizi Rached</v>
      </c>
    </row>
    <row r="4818" spans="1:6" ht="15.75" customHeight="1">
      <c r="A4818" s="5" t="str">
        <f ca="1">IFERROR(__xludf.DUMMYFUNCTION("GOOGLETRANSLATE(B28506,""en"",""pt"")"),"Tizi Rached")</f>
        <v>Tizi Rached</v>
      </c>
      <c r="B4818" s="17" t="s">
        <v>489</v>
      </c>
      <c r="C4818" s="17" t="s">
        <v>153</v>
      </c>
      <c r="D4818" s="17" t="s">
        <v>172</v>
      </c>
      <c r="E4818" s="10">
        <v>2475740</v>
      </c>
      <c r="F4818" s="4" t="str">
        <f>IF(B4818=B4817,"",B4818)</f>
        <v/>
      </c>
    </row>
    <row r="4819" spans="1:6" ht="15.75" customHeight="1">
      <c r="A4819" s="5" t="s">
        <v>172</v>
      </c>
      <c r="B4819" s="6" t="s">
        <v>172</v>
      </c>
      <c r="C4819" s="5" t="s">
        <v>153</v>
      </c>
      <c r="D4819" s="5" t="s">
        <v>172</v>
      </c>
      <c r="E4819" s="2">
        <v>2475744</v>
      </c>
      <c r="F4819" s="4" t="str">
        <f>IF(B4819=B4818,"",B4819)</f>
        <v>Tizi Ouzou</v>
      </c>
    </row>
    <row r="4820" spans="1:6" ht="15.75" customHeight="1">
      <c r="A4820" s="5" t="str">
        <f ca="1">IFERROR(__xludf.DUMMYFUNCTION("GOOGLETRANSLATE(B28507,""en"",""pt"")"),"Tizi Ouzou")</f>
        <v>Tizi Ouzou</v>
      </c>
      <c r="B4820" s="17" t="s">
        <v>172</v>
      </c>
      <c r="C4820" s="17" t="s">
        <v>153</v>
      </c>
      <c r="D4820" s="17" t="s">
        <v>172</v>
      </c>
      <c r="E4820" s="10">
        <v>2475744</v>
      </c>
      <c r="F4820" s="4" t="str">
        <f>IF(B4820=B4819,"",B4820)</f>
        <v/>
      </c>
    </row>
    <row r="4821" spans="1:6" ht="15.75" customHeight="1">
      <c r="A4821" s="5" t="s">
        <v>488</v>
      </c>
      <c r="B4821" s="6" t="s">
        <v>488</v>
      </c>
      <c r="C4821" s="5" t="s">
        <v>153</v>
      </c>
      <c r="D4821" s="5" t="s">
        <v>229</v>
      </c>
      <c r="E4821" s="2">
        <v>2475764</v>
      </c>
      <c r="F4821" s="4" t="str">
        <f>IF(B4821=B4820,"",B4821)</f>
        <v>Tizi Gheniff</v>
      </c>
    </row>
    <row r="4822" spans="1:6" ht="15.75" customHeight="1">
      <c r="A4822" s="5" t="str">
        <f ca="1">IFERROR(__xludf.DUMMYFUNCTION("GOOGLETRANSLATE(B28509,""en"",""pt"")"),"Tizi Gheniff")</f>
        <v>Tizi Gheniff</v>
      </c>
      <c r="B4822" s="17" t="s">
        <v>488</v>
      </c>
      <c r="C4822" s="17" t="s">
        <v>153</v>
      </c>
      <c r="D4822" s="17" t="s">
        <v>229</v>
      </c>
      <c r="E4822" s="10">
        <v>2475764</v>
      </c>
      <c r="F4822" s="4" t="str">
        <f>IF(B4822=B4821,"",B4822)</f>
        <v/>
      </c>
    </row>
    <row r="4823" spans="1:6" ht="15.75" customHeight="1">
      <c r="A4823" s="6" t="s">
        <v>18354</v>
      </c>
      <c r="B4823" s="6" t="s">
        <v>18354</v>
      </c>
      <c r="C4823" s="6" t="s">
        <v>17707</v>
      </c>
      <c r="D4823" s="6" t="s">
        <v>17780</v>
      </c>
      <c r="E4823" s="2">
        <v>3515505</v>
      </c>
      <c r="F4823" s="4" t="str">
        <f>IF(B4823=B4822,"",B4823)</f>
        <v>Tizayuca</v>
      </c>
    </row>
    <row r="4824" spans="1:6" ht="15.75" customHeight="1">
      <c r="A4824" s="5" t="str">
        <f ca="1">IFERROR(__xludf.DUMMYFUNCTION("GOOGLETRANSLATE(B36881,""en"",""pt"")"),"Tizayuca")</f>
        <v>Tizayuca</v>
      </c>
      <c r="B4824" s="17" t="s">
        <v>18354</v>
      </c>
      <c r="C4824" s="17" t="s">
        <v>17707</v>
      </c>
      <c r="D4824" s="17" t="s">
        <v>17780</v>
      </c>
      <c r="E4824" s="10">
        <v>3515505</v>
      </c>
      <c r="F4824" s="4" t="str">
        <f>IF(B4824=B4823,"",B4824)</f>
        <v/>
      </c>
    </row>
    <row r="4825" spans="1:6" ht="15.75" customHeight="1">
      <c r="A4825" s="5" t="s">
        <v>18353</v>
      </c>
      <c r="B4825" s="6" t="s">
        <v>18353</v>
      </c>
      <c r="C4825" s="5" t="s">
        <v>17707</v>
      </c>
      <c r="D4825" s="5" t="s">
        <v>17723</v>
      </c>
      <c r="E4825" s="2">
        <v>3515510</v>
      </c>
      <c r="F4825" s="4" t="str">
        <f>IF(B4825=B4824,"",B4825)</f>
        <v>Tixtla de Guerrero</v>
      </c>
    </row>
    <row r="4826" spans="1:6" ht="15.75" customHeight="1">
      <c r="A4826" s="5" t="str">
        <f ca="1">IFERROR(__xludf.DUMMYFUNCTION("GOOGLETRANSLATE(B36882,""en"",""pt"")"),"Tixtla de Guerrero")</f>
        <v>Tixtla de Guerrero</v>
      </c>
      <c r="B4826" s="17" t="s">
        <v>18353</v>
      </c>
      <c r="C4826" s="17" t="s">
        <v>17707</v>
      </c>
      <c r="D4826" s="17" t="s">
        <v>17723</v>
      </c>
      <c r="E4826" s="10">
        <v>3515510</v>
      </c>
      <c r="F4826" s="4" t="str">
        <f>IF(B4826=B4825,"",B4826)</f>
        <v/>
      </c>
    </row>
    <row r="4827" spans="1:6" ht="15.75" customHeight="1">
      <c r="A4827" s="6" t="s">
        <v>21047</v>
      </c>
      <c r="B4827" s="6" t="s">
        <v>21047</v>
      </c>
      <c r="C4827" s="6" t="s">
        <v>20598</v>
      </c>
      <c r="D4827" s="6" t="s">
        <v>20634</v>
      </c>
      <c r="E4827" s="2">
        <v>1681676</v>
      </c>
      <c r="F4827" s="4" t="str">
        <f>IF(B4827=B4826,"",B4827)</f>
        <v>Tiwi</v>
      </c>
    </row>
    <row r="4828" spans="1:6" ht="15.75" customHeight="1">
      <c r="A4828" s="5" t="str">
        <f ca="1">IFERROR(__xludf.DUMMYFUNCTION("GOOGLETRANSLATE(B38438,""en"",""pt"")"),"Tiwi")</f>
        <v>Tiwi</v>
      </c>
      <c r="B4828" s="17" t="s">
        <v>21047</v>
      </c>
      <c r="C4828" s="17" t="s">
        <v>20598</v>
      </c>
      <c r="D4828" s="17" t="s">
        <v>20634</v>
      </c>
      <c r="E4828" s="10">
        <v>1681676</v>
      </c>
      <c r="F4828" s="4" t="str">
        <f>IF(B4828=B4827,"",B4828)</f>
        <v/>
      </c>
    </row>
    <row r="4829" spans="1:6" ht="15.75" customHeight="1">
      <c r="A4829" s="6" t="s">
        <v>15527</v>
      </c>
      <c r="B4829" s="6" t="s">
        <v>15527</v>
      </c>
      <c r="C4829" s="6" t="s">
        <v>14891</v>
      </c>
      <c r="D4829" s="6" t="s">
        <v>14904</v>
      </c>
      <c r="E4829" s="2">
        <v>3165624</v>
      </c>
      <c r="F4829" s="4" t="str">
        <f>IF(B4829=B4828,"",B4829)</f>
        <v>Tivoli</v>
      </c>
    </row>
    <row r="4830" spans="1:6" ht="15.75" customHeight="1">
      <c r="A4830" s="5" t="str">
        <f ca="1">IFERROR(__xludf.DUMMYFUNCTION("GOOGLETRANSLATE(B34665,""en"",""pt"")"),"Tivoli")</f>
        <v>Tivoli</v>
      </c>
      <c r="B4830" s="17" t="s">
        <v>15527</v>
      </c>
      <c r="C4830" s="17" t="s">
        <v>14891</v>
      </c>
      <c r="D4830" s="17" t="s">
        <v>14904</v>
      </c>
      <c r="E4830" s="10">
        <v>3165624</v>
      </c>
      <c r="F4830" s="4" t="str">
        <f>IF(B4830=B4829,"",B4830)</f>
        <v/>
      </c>
    </row>
    <row r="4831" spans="1:6" ht="15.75" customHeight="1">
      <c r="A4831" s="6" t="s">
        <v>30200</v>
      </c>
      <c r="B4831" s="6" t="s">
        <v>30200</v>
      </c>
      <c r="C4831" s="6" t="s">
        <v>27788</v>
      </c>
      <c r="D4831" s="6" t="s">
        <v>5468</v>
      </c>
      <c r="E4831" s="2">
        <v>4175437</v>
      </c>
      <c r="F4831" s="4" t="str">
        <f>IF(B4831=B4830,"",B4831)</f>
        <v>Titusville</v>
      </c>
    </row>
    <row r="4832" spans="1:6" ht="15.75" customHeight="1">
      <c r="A4832" s="5" t="str">
        <f ca="1">IFERROR(__xludf.DUMMYFUNCTION("GOOGLETRANSLATE(B43035,""en"",""pt"")"),"Titusville")</f>
        <v>Titusville</v>
      </c>
      <c r="B4832" s="17" t="s">
        <v>30200</v>
      </c>
      <c r="C4832" s="17" t="s">
        <v>27788</v>
      </c>
      <c r="D4832" s="17" t="s">
        <v>5468</v>
      </c>
      <c r="E4832" s="10">
        <v>4175437</v>
      </c>
      <c r="F4832" s="4" t="str">
        <f>IF(B4832=B4831,"",B4832)</f>
        <v/>
      </c>
    </row>
    <row r="4833" spans="1:6" ht="15.75" customHeight="1">
      <c r="A4833" s="5" t="str">
        <f ca="1">IFERROR(__xludf.DUMMYFUNCTION("GOOGLETRANSLATE(B31971,""en"",""pt"")"),"Titlāgarh")</f>
        <v>Titlāgarh</v>
      </c>
      <c r="B4833" s="17" t="s">
        <v>32992</v>
      </c>
      <c r="C4833" s="17" t="s">
        <v>10178</v>
      </c>
      <c r="D4833" s="17" t="s">
        <v>10229</v>
      </c>
      <c r="E4833" s="10">
        <v>1254304</v>
      </c>
      <c r="F4833" s="4" t="str">
        <f>IF(B4833=B4832,"",B4833)</f>
        <v>Titlāgarh</v>
      </c>
    </row>
    <row r="4834" spans="1:6" ht="15.75" customHeight="1">
      <c r="A4834" s="6" t="s">
        <v>13599</v>
      </c>
      <c r="B4834" s="6" t="s">
        <v>13600</v>
      </c>
      <c r="C4834" s="6" t="s">
        <v>10178</v>
      </c>
      <c r="D4834" s="6" t="s">
        <v>10229</v>
      </c>
      <c r="E4834" s="2">
        <v>1254304</v>
      </c>
      <c r="F4834" s="4" t="str">
        <f>IF(B4834=B4833,"",B4834)</f>
        <v>TitlÄgarh</v>
      </c>
    </row>
    <row r="4835" spans="1:6" ht="15.75" customHeight="1">
      <c r="A4835" s="6" t="s">
        <v>3820</v>
      </c>
      <c r="B4835" s="6" t="s">
        <v>3820</v>
      </c>
      <c r="C4835" s="6" t="s">
        <v>3768</v>
      </c>
      <c r="D4835" s="6" t="s">
        <v>3793</v>
      </c>
      <c r="E4835" s="2">
        <v>2354349</v>
      </c>
      <c r="F4835" s="4" t="str">
        <f>IF(B4835=B4834,"",B4835)</f>
        <v>Titao</v>
      </c>
    </row>
    <row r="4836" spans="1:6" ht="15.75" customHeight="1">
      <c r="A4836" s="5" t="str">
        <f ca="1">IFERROR(__xludf.DUMMYFUNCTION("GOOGLETRANSLATE(B23978,""en"",""pt"")"),"Titao")</f>
        <v>Titao</v>
      </c>
      <c r="B4836" s="17" t="s">
        <v>3820</v>
      </c>
      <c r="C4836" s="17" t="s">
        <v>3768</v>
      </c>
      <c r="D4836" s="17" t="s">
        <v>3793</v>
      </c>
      <c r="E4836" s="10">
        <v>2354349</v>
      </c>
      <c r="F4836" s="4" t="str">
        <f>IF(B4836=B4835,"",B4836)</f>
        <v/>
      </c>
    </row>
    <row r="4837" spans="1:6" ht="15.75" customHeight="1">
      <c r="A4837" s="5" t="str">
        <f ca="1">IFERROR(__xludf.DUMMYFUNCTION("GOOGLETRANSLATE(B31972,""en"",""pt"")"),"Titāgarh")</f>
        <v>Titāgarh</v>
      </c>
      <c r="B4837" s="17" t="s">
        <v>32993</v>
      </c>
      <c r="C4837" s="17" t="s">
        <v>10178</v>
      </c>
      <c r="D4837" s="17" t="s">
        <v>10201</v>
      </c>
      <c r="E4837" s="10">
        <v>1254309</v>
      </c>
      <c r="F4837" s="4" t="str">
        <f>IF(B4837=B4836,"",B4837)</f>
        <v>Titāgarh</v>
      </c>
    </row>
    <row r="4838" spans="1:6" ht="15.75" customHeight="1">
      <c r="A4838" s="6" t="s">
        <v>13597</v>
      </c>
      <c r="B4838" s="6" t="s">
        <v>13598</v>
      </c>
      <c r="C4838" s="6" t="s">
        <v>10178</v>
      </c>
      <c r="D4838" s="6" t="s">
        <v>10201</v>
      </c>
      <c r="E4838" s="2">
        <v>1254309</v>
      </c>
      <c r="F4838" s="4" t="str">
        <f>IF(B4838=B4837,"",B4838)</f>
        <v>TitÄgarh</v>
      </c>
    </row>
    <row r="4839" spans="1:6" ht="15.75" customHeight="1">
      <c r="A4839" s="5" t="str">
        <f ca="1">IFERROR(__xludf.DUMMYFUNCTION("GOOGLETRANSLATE(B31240,""en"",""pt"")"),"Tiszaújváros")</f>
        <v>Tiszaújváros</v>
      </c>
      <c r="B4839" s="17" t="s">
        <v>32823</v>
      </c>
      <c r="C4839" s="17" t="s">
        <v>9955</v>
      </c>
      <c r="D4839" s="17" t="s">
        <v>32824</v>
      </c>
      <c r="E4839" s="10">
        <v>714697</v>
      </c>
      <c r="F4839" s="4" t="str">
        <f>IF(B4839=B4838,"",B4839)</f>
        <v>Tiszaújváros</v>
      </c>
    </row>
    <row r="4840" spans="1:6" ht="15.75" customHeight="1">
      <c r="A4840" s="6" t="s">
        <v>10157</v>
      </c>
      <c r="B4840" s="6" t="s">
        <v>10158</v>
      </c>
      <c r="C4840" s="6" t="s">
        <v>9955</v>
      </c>
      <c r="D4840" s="6" t="s">
        <v>9956</v>
      </c>
      <c r="E4840" s="2">
        <v>714697</v>
      </c>
      <c r="F4840" s="4" t="str">
        <f>IF(B4840=B4839,"",B4840)</f>
        <v>TiszaÃºjvÃ¡ros</v>
      </c>
    </row>
    <row r="4841" spans="1:6" ht="15.75" customHeight="1">
      <c r="A4841" s="5" t="s">
        <v>487</v>
      </c>
      <c r="B4841" s="6" t="s">
        <v>388</v>
      </c>
      <c r="C4841" s="5" t="s">
        <v>153</v>
      </c>
      <c r="D4841" s="5" t="s">
        <v>388</v>
      </c>
      <c r="E4841" s="2">
        <v>2475860</v>
      </c>
      <c r="F4841" s="4" t="str">
        <f>IF(B4841=B4840,"",B4841)</f>
        <v>Tissemsilt</v>
      </c>
    </row>
    <row r="4842" spans="1:6" ht="15.75" customHeight="1">
      <c r="A4842" s="5" t="str">
        <f ca="1">IFERROR(__xludf.DUMMYFUNCTION("GOOGLETRANSLATE(B28510,""en"",""pt"")"),"TissemSilt")</f>
        <v>TissemSilt</v>
      </c>
      <c r="B4842" s="17" t="s">
        <v>388</v>
      </c>
      <c r="C4842" s="17" t="s">
        <v>153</v>
      </c>
      <c r="D4842" s="17" t="s">
        <v>388</v>
      </c>
      <c r="E4842" s="10">
        <v>2475860</v>
      </c>
      <c r="F4842" s="4" t="str">
        <f>IF(B4842=B4841,"",B4842)</f>
        <v/>
      </c>
    </row>
    <row r="4843" spans="1:6" ht="15.75" customHeight="1">
      <c r="A4843" s="5" t="s">
        <v>13596</v>
      </c>
      <c r="B4843" s="6" t="s">
        <v>13596</v>
      </c>
      <c r="C4843" s="5" t="s">
        <v>10178</v>
      </c>
      <c r="D4843" s="5" t="s">
        <v>10196</v>
      </c>
      <c r="E4843" s="2">
        <v>1254317</v>
      </c>
      <c r="F4843" s="4" t="str">
        <f>IF(B4843=B4842,"",B4843)</f>
        <v>Tisaiyanvilai</v>
      </c>
    </row>
    <row r="4844" spans="1:6" ht="15.75" customHeight="1">
      <c r="A4844" s="5" t="str">
        <f ca="1">IFERROR(__xludf.DUMMYFUNCTION("GOOGLETRANSLATE(B31973,""en"",""pt"")"),"Tisaiyanvilai")</f>
        <v>Tisaiyanvilai</v>
      </c>
      <c r="B4844" s="17" t="s">
        <v>13596</v>
      </c>
      <c r="C4844" s="17" t="s">
        <v>10178</v>
      </c>
      <c r="D4844" s="17" t="s">
        <v>10196</v>
      </c>
      <c r="E4844" s="10">
        <v>1254317</v>
      </c>
      <c r="F4844" s="4" t="str">
        <f>IF(B4844=B4843,"",B4844)</f>
        <v/>
      </c>
    </row>
    <row r="4845" spans="1:6" ht="15.75" customHeight="1">
      <c r="A4845" s="5" t="str">
        <f ca="1">IFERROR(__xludf.DUMMYFUNCTION("GOOGLETRANSLATE(B31974,""en"",""pt"")"),"Tiruvottiyūr")</f>
        <v>Tiruvottiyūr</v>
      </c>
      <c r="B4845" s="17" t="s">
        <v>32994</v>
      </c>
      <c r="C4845" s="17" t="s">
        <v>10178</v>
      </c>
      <c r="D4845" s="17" t="s">
        <v>10196</v>
      </c>
      <c r="E4845" s="10">
        <v>1254320</v>
      </c>
      <c r="F4845" s="4" t="str">
        <f>IF(B4845=B4844,"",B4845)</f>
        <v>Tiruvottiyūr</v>
      </c>
    </row>
    <row r="4846" spans="1:6" ht="15.75" customHeight="1">
      <c r="A4846" s="5" t="s">
        <v>13594</v>
      </c>
      <c r="B4846" s="6" t="s">
        <v>13595</v>
      </c>
      <c r="C4846" s="5" t="s">
        <v>10178</v>
      </c>
      <c r="D4846" s="5" t="s">
        <v>10196</v>
      </c>
      <c r="E4846" s="2">
        <v>1254320</v>
      </c>
      <c r="F4846" s="4" t="str">
        <f>IF(B4846=B4845,"",B4846)</f>
        <v>TiruvottiyÅ«r</v>
      </c>
    </row>
    <row r="4847" spans="1:6" ht="15.75" customHeight="1">
      <c r="A4847" s="5" t="str">
        <f ca="1">IFERROR(__xludf.DUMMYFUNCTION("GOOGLETRANSLATE(B31976,""en"",""pt"")"),"Tiruvannāmalai")</f>
        <v>Tiruvannāmalai</v>
      </c>
      <c r="B4847" s="17" t="s">
        <v>32995</v>
      </c>
      <c r="C4847" s="17" t="s">
        <v>10178</v>
      </c>
      <c r="D4847" s="17" t="s">
        <v>10196</v>
      </c>
      <c r="E4847" s="10">
        <v>1254327</v>
      </c>
      <c r="F4847" s="4" t="str">
        <f>IF(B4847=B4846,"",B4847)</f>
        <v>Tiruvannāmalai</v>
      </c>
    </row>
    <row r="4848" spans="1:6" ht="15.75" customHeight="1">
      <c r="A4848" s="5" t="s">
        <v>13592</v>
      </c>
      <c r="B4848" s="6" t="s">
        <v>13593</v>
      </c>
      <c r="C4848" s="5" t="s">
        <v>10178</v>
      </c>
      <c r="D4848" s="5" t="s">
        <v>10196</v>
      </c>
      <c r="E4848" s="2">
        <v>1254327</v>
      </c>
      <c r="F4848" s="4" t="str">
        <f>IF(B4848=B4847,"",B4848)</f>
        <v>TiruvannÄmalai</v>
      </c>
    </row>
    <row r="4849" spans="1:6" ht="15.75" customHeight="1">
      <c r="A4849" s="6" t="s">
        <v>13591</v>
      </c>
      <c r="B4849" s="6" t="s">
        <v>13591</v>
      </c>
      <c r="C4849" s="6" t="s">
        <v>10178</v>
      </c>
      <c r="D4849" s="6" t="s">
        <v>10196</v>
      </c>
      <c r="E4849" s="2">
        <v>1254331</v>
      </c>
      <c r="F4849" s="4" t="str">
        <f>IF(B4849=B4848,"",B4849)</f>
        <v>Tiruvallur</v>
      </c>
    </row>
    <row r="4850" spans="1:6" ht="15.75" customHeight="1">
      <c r="A4850" s="5" t="str">
        <f ca="1">IFERROR(__xludf.DUMMYFUNCTION("GOOGLETRANSLATE(B31977,""en"",""pt"")"),"Tiruvallur")</f>
        <v>Tiruvallur</v>
      </c>
      <c r="B4850" s="17" t="s">
        <v>13591</v>
      </c>
      <c r="C4850" s="17" t="s">
        <v>10178</v>
      </c>
      <c r="D4850" s="17" t="s">
        <v>10196</v>
      </c>
      <c r="E4850" s="10">
        <v>1254331</v>
      </c>
      <c r="F4850" s="4" t="str">
        <f>IF(B4850=B4849,"",B4850)</f>
        <v/>
      </c>
    </row>
    <row r="4851" spans="1:6" ht="15.75" customHeight="1">
      <c r="A4851" s="6" t="s">
        <v>13590</v>
      </c>
      <c r="B4851" s="6" t="s">
        <v>13590</v>
      </c>
      <c r="C4851" s="6" t="s">
        <v>10178</v>
      </c>
      <c r="D4851" s="6" t="s">
        <v>10246</v>
      </c>
      <c r="E4851" s="2">
        <v>1254335</v>
      </c>
      <c r="F4851" s="4" t="str">
        <f>IF(B4851=B4850,"",B4851)</f>
        <v>Tiruvalla</v>
      </c>
    </row>
    <row r="4852" spans="1:6" ht="15.75" customHeight="1">
      <c r="A4852" s="5" t="str">
        <f ca="1">IFERROR(__xludf.DUMMYFUNCTION("GOOGLETRANSLATE(B31978,""en"",""pt"")"),"Tiruvalla")</f>
        <v>Tiruvalla</v>
      </c>
      <c r="B4852" s="17" t="s">
        <v>13590</v>
      </c>
      <c r="C4852" s="17" t="s">
        <v>10178</v>
      </c>
      <c r="D4852" s="17" t="s">
        <v>10246</v>
      </c>
      <c r="E4852" s="10">
        <v>1254335</v>
      </c>
      <c r="F4852" s="4" t="str">
        <f>IF(B4852=B4851,"",B4852)</f>
        <v/>
      </c>
    </row>
    <row r="4853" spans="1:6" ht="15.75" customHeight="1">
      <c r="A4853" s="5" t="s">
        <v>13589</v>
      </c>
      <c r="B4853" s="6" t="s">
        <v>13589</v>
      </c>
      <c r="C4853" s="5" t="s">
        <v>10178</v>
      </c>
      <c r="D4853" s="5" t="s">
        <v>10196</v>
      </c>
      <c r="E4853" s="2">
        <v>1254343</v>
      </c>
      <c r="F4853" s="4" t="str">
        <f>IF(B4853=B4852,"",B4853)</f>
        <v>Tiruttangal</v>
      </c>
    </row>
    <row r="4854" spans="1:6" ht="15.75" customHeight="1">
      <c r="A4854" s="5" t="str">
        <f ca="1">IFERROR(__xludf.DUMMYFUNCTION("GOOGLETRANSLATE(B31980,""en"",""pt"")"),"Tiruttangal")</f>
        <v>Tiruttangal</v>
      </c>
      <c r="B4854" s="17" t="s">
        <v>13589</v>
      </c>
      <c r="C4854" s="17" t="s">
        <v>10178</v>
      </c>
      <c r="D4854" s="17" t="s">
        <v>10196</v>
      </c>
      <c r="E4854" s="10">
        <v>1254343</v>
      </c>
      <c r="F4854" s="4" t="str">
        <f>IF(B4854=B4853,"",B4854)</f>
        <v/>
      </c>
    </row>
    <row r="4855" spans="1:6" ht="15.75" customHeight="1">
      <c r="A4855" s="6" t="s">
        <v>13588</v>
      </c>
      <c r="B4855" s="6" t="s">
        <v>13588</v>
      </c>
      <c r="C4855" s="6" t="s">
        <v>10178</v>
      </c>
      <c r="D4855" s="6" t="s">
        <v>10246</v>
      </c>
      <c r="E4855" s="2">
        <v>1254346</v>
      </c>
      <c r="F4855" s="4" t="str">
        <f>IF(B4855=B4854,"",B4855)</f>
        <v>Tirur</v>
      </c>
    </row>
    <row r="4856" spans="1:6" ht="15.75" customHeight="1">
      <c r="A4856" s="5" t="str">
        <f ca="1">IFERROR(__xludf.DUMMYFUNCTION("GOOGLETRANSLATE(B31981,""en"",""pt"")"),"Tirur")</f>
        <v>Tirur</v>
      </c>
      <c r="B4856" s="17" t="s">
        <v>13588</v>
      </c>
      <c r="C4856" s="17" t="s">
        <v>10178</v>
      </c>
      <c r="D4856" s="17" t="s">
        <v>10246</v>
      </c>
      <c r="E4856" s="10">
        <v>1254346</v>
      </c>
      <c r="F4856" s="4" t="str">
        <f>IF(B4856=B4855,"",B4856)</f>
        <v/>
      </c>
    </row>
    <row r="4857" spans="1:6" ht="15.75" customHeight="1">
      <c r="A4857" s="5" t="s">
        <v>13587</v>
      </c>
      <c r="B4857" s="6" t="s">
        <v>13587</v>
      </c>
      <c r="C4857" s="5" t="s">
        <v>10178</v>
      </c>
      <c r="D4857" s="5" t="s">
        <v>10196</v>
      </c>
      <c r="E4857" s="2">
        <v>1254347</v>
      </c>
      <c r="F4857" s="4" t="str">
        <f>IF(B4857=B4856,"",B4857)</f>
        <v>Tiruppuvanam</v>
      </c>
    </row>
    <row r="4858" spans="1:6" ht="15.75" customHeight="1">
      <c r="A4858" s="5" t="str">
        <f ca="1">IFERROR(__xludf.DUMMYFUNCTION("GOOGLETRANSLATE(B31982,""en"",""pt"")"),"Tiruppuvanam")</f>
        <v>Tiruppuvanam</v>
      </c>
      <c r="B4858" s="17" t="s">
        <v>13587</v>
      </c>
      <c r="C4858" s="17" t="s">
        <v>10178</v>
      </c>
      <c r="D4858" s="17" t="s">
        <v>10196</v>
      </c>
      <c r="E4858" s="10">
        <v>1254347</v>
      </c>
      <c r="F4858" s="4" t="str">
        <f>IF(B4858=B4857,"",B4858)</f>
        <v/>
      </c>
    </row>
    <row r="4859" spans="1:6" ht="15.75" customHeight="1">
      <c r="A4859" s="6" t="s">
        <v>13586</v>
      </c>
      <c r="B4859" s="6" t="s">
        <v>13586</v>
      </c>
      <c r="C4859" s="6" t="s">
        <v>10178</v>
      </c>
      <c r="D4859" s="6" t="s">
        <v>10196</v>
      </c>
      <c r="E4859" s="2">
        <v>1254348</v>
      </c>
      <c r="F4859" s="4" t="str">
        <f>IF(B4859=B4858,"",B4859)</f>
        <v>Tiruppur</v>
      </c>
    </row>
    <row r="4860" spans="1:6" ht="15.75" customHeight="1">
      <c r="A4860" s="5" t="str">
        <f ca="1">IFERROR(__xludf.DUMMYFUNCTION("GOOGLETRANSLATE(B31983,""en"",""pt"")"),"Tiruppur")</f>
        <v>Tiruppur</v>
      </c>
      <c r="B4860" s="17" t="s">
        <v>13586</v>
      </c>
      <c r="C4860" s="17" t="s">
        <v>10178</v>
      </c>
      <c r="D4860" s="17" t="s">
        <v>10196</v>
      </c>
      <c r="E4860" s="10">
        <v>1254348</v>
      </c>
      <c r="F4860" s="4" t="str">
        <f>IF(B4860=B4859,"",B4860)</f>
        <v/>
      </c>
    </row>
    <row r="4861" spans="1:6" ht="15.75" customHeight="1">
      <c r="A4861" s="5" t="s">
        <v>13585</v>
      </c>
      <c r="B4861" s="6" t="s">
        <v>13585</v>
      </c>
      <c r="C4861" s="5" t="s">
        <v>10178</v>
      </c>
      <c r="D4861" s="5" t="s">
        <v>10196</v>
      </c>
      <c r="E4861" s="2">
        <v>1254356</v>
      </c>
      <c r="F4861" s="4" t="str">
        <f>IF(B4861=B4860,"",B4861)</f>
        <v>Tirupparangunram</v>
      </c>
    </row>
    <row r="4862" spans="1:6" ht="15.75" customHeight="1">
      <c r="A4862" s="5" t="str">
        <f ca="1">IFERROR(__xludf.DUMMYFUNCTION("GOOGLETRANSLATE(B31984,""en"",""pt"")"),"Tirupparangunram")</f>
        <v>Tirupparangunram</v>
      </c>
      <c r="B4862" s="17" t="s">
        <v>13585</v>
      </c>
      <c r="C4862" s="17" t="s">
        <v>10178</v>
      </c>
      <c r="D4862" s="17" t="s">
        <v>10196</v>
      </c>
      <c r="E4862" s="10">
        <v>1254356</v>
      </c>
      <c r="F4862" s="4" t="str">
        <f>IF(B4862=B4861,"",B4862)</f>
        <v/>
      </c>
    </row>
    <row r="4863" spans="1:6" ht="15.75" customHeight="1">
      <c r="A4863" s="6" t="s">
        <v>13584</v>
      </c>
      <c r="B4863" s="6" t="s">
        <v>13584</v>
      </c>
      <c r="C4863" s="6" t="s">
        <v>10178</v>
      </c>
      <c r="D4863" s="6" t="s">
        <v>10190</v>
      </c>
      <c r="E4863" s="2">
        <v>1254360</v>
      </c>
      <c r="F4863" s="4" t="str">
        <f>IF(B4863=B4862,"",B4863)</f>
        <v>Tirupati</v>
      </c>
    </row>
    <row r="4864" spans="1:6" ht="15.75" customHeight="1">
      <c r="A4864" s="5" t="str">
        <f ca="1">IFERROR(__xludf.DUMMYFUNCTION("GOOGLETRANSLATE(B31985,""en"",""pt"")"),"Tirupati")</f>
        <v>Tirupati</v>
      </c>
      <c r="B4864" s="17" t="s">
        <v>13584</v>
      </c>
      <c r="C4864" s="17" t="s">
        <v>10178</v>
      </c>
      <c r="D4864" s="17" t="s">
        <v>10190</v>
      </c>
      <c r="E4864" s="10">
        <v>1254360</v>
      </c>
      <c r="F4864" s="4" t="str">
        <f>IF(B4864=B4863,"",B4864)</f>
        <v/>
      </c>
    </row>
    <row r="4865" spans="1:6" ht="15.75" customHeight="1">
      <c r="A4865" s="5" t="s">
        <v>13583</v>
      </c>
      <c r="B4865" s="6" t="s">
        <v>13583</v>
      </c>
      <c r="C4865" s="5" t="s">
        <v>10178</v>
      </c>
      <c r="D4865" s="5" t="s">
        <v>10196</v>
      </c>
      <c r="E4865" s="2">
        <v>1254361</v>
      </c>
      <c r="F4865" s="4" t="str">
        <f>IF(B4865=B4864,"",B4865)</f>
        <v>Tirunelveli</v>
      </c>
    </row>
    <row r="4866" spans="1:6" ht="15.75" customHeight="1">
      <c r="A4866" s="5" t="str">
        <f ca="1">IFERROR(__xludf.DUMMYFUNCTION("GOOGLETRANSLATE(B31986,""en"",""pt"")"),"Tirunelveli")</f>
        <v>Tirunelveli</v>
      </c>
      <c r="B4866" s="17" t="s">
        <v>13583</v>
      </c>
      <c r="C4866" s="17" t="s">
        <v>10178</v>
      </c>
      <c r="D4866" s="17" t="s">
        <v>10196</v>
      </c>
      <c r="E4866" s="10">
        <v>1254361</v>
      </c>
      <c r="F4866" s="4" t="str">
        <f>IF(B4866=B4865,"",B4866)</f>
        <v/>
      </c>
    </row>
    <row r="4867" spans="1:6" ht="15.75" customHeight="1">
      <c r="A4867" s="6" t="s">
        <v>13582</v>
      </c>
      <c r="B4867" s="6" t="s">
        <v>13582</v>
      </c>
      <c r="C4867" s="6" t="s">
        <v>10178</v>
      </c>
      <c r="D4867" s="6" t="s">
        <v>10190</v>
      </c>
      <c r="E4867" s="2">
        <v>1254373</v>
      </c>
      <c r="F4867" s="4" t="str">
        <f>IF(B4867=B4866,"",B4867)</f>
        <v>Tirumala</v>
      </c>
    </row>
    <row r="4868" spans="1:6" ht="15.75" customHeight="1">
      <c r="A4868" s="5" t="str">
        <f ca="1">IFERROR(__xludf.DUMMYFUNCTION("GOOGLETRANSLATE(B31987,""en"",""pt"")"),"Tirumala")</f>
        <v>Tirumala</v>
      </c>
      <c r="B4868" s="17" t="s">
        <v>13582</v>
      </c>
      <c r="C4868" s="17" t="s">
        <v>10178</v>
      </c>
      <c r="D4868" s="17" t="s">
        <v>10190</v>
      </c>
      <c r="E4868" s="10">
        <v>1254373</v>
      </c>
      <c r="F4868" s="4" t="str">
        <f>IF(B4868=B4867,"",B4868)</f>
        <v/>
      </c>
    </row>
    <row r="4869" spans="1:6" ht="15.75" customHeight="1">
      <c r="A4869" s="5" t="s">
        <v>13581</v>
      </c>
      <c r="B4869" s="6" t="s">
        <v>13581</v>
      </c>
      <c r="C4869" s="5" t="s">
        <v>10178</v>
      </c>
      <c r="D4869" s="5" t="s">
        <v>10196</v>
      </c>
      <c r="E4869" s="2">
        <v>1254377</v>
      </c>
      <c r="F4869" s="4" t="str">
        <f>IF(B4869=B4868,"",B4869)</f>
        <v>Tirukkoyilur</v>
      </c>
    </row>
    <row r="4870" spans="1:6" ht="15.75" customHeight="1">
      <c r="A4870" s="5" t="str">
        <f ca="1">IFERROR(__xludf.DUMMYFUNCTION("GOOGLETRANSLATE(B31988,""en"",""pt"")"),"Tirukkoyilur")</f>
        <v>Tirukkoyilur</v>
      </c>
      <c r="B4870" s="17" t="s">
        <v>13581</v>
      </c>
      <c r="C4870" s="17" t="s">
        <v>10178</v>
      </c>
      <c r="D4870" s="17" t="s">
        <v>10196</v>
      </c>
      <c r="E4870" s="10">
        <v>1254377</v>
      </c>
      <c r="F4870" s="4" t="str">
        <f>IF(B4870=B4869,"",B4870)</f>
        <v/>
      </c>
    </row>
    <row r="4871" spans="1:6" ht="15.75" customHeight="1">
      <c r="A4871" s="5" t="s">
        <v>13580</v>
      </c>
      <c r="B4871" s="6" t="s">
        <v>13580</v>
      </c>
      <c r="C4871" s="5" t="s">
        <v>10178</v>
      </c>
      <c r="D4871" s="5" t="s">
        <v>10196</v>
      </c>
      <c r="E4871" s="2">
        <v>1254388</v>
      </c>
      <c r="F4871" s="4" t="str">
        <f>IF(B4871=B4870,"",B4871)</f>
        <v>Tiruchirappalli</v>
      </c>
    </row>
    <row r="4872" spans="1:6" ht="15.75" customHeight="1">
      <c r="A4872" s="5" t="str">
        <f ca="1">IFERROR(__xludf.DUMMYFUNCTION("GOOGLETRANSLATE(B31990,""en"",""pt"")"),"Tiruchirappalli")</f>
        <v>Tiruchirappalli</v>
      </c>
      <c r="B4872" s="17" t="s">
        <v>13580</v>
      </c>
      <c r="C4872" s="17" t="s">
        <v>10178</v>
      </c>
      <c r="D4872" s="17" t="s">
        <v>10196</v>
      </c>
      <c r="E4872" s="10">
        <v>1254388</v>
      </c>
      <c r="F4872" s="4" t="str">
        <f>IF(B4872=B4871,"",B4872)</f>
        <v/>
      </c>
    </row>
    <row r="4873" spans="1:6" ht="15.75" customHeight="1">
      <c r="A4873" s="5" t="s">
        <v>13579</v>
      </c>
      <c r="B4873" s="6" t="s">
        <v>13579</v>
      </c>
      <c r="C4873" s="5" t="s">
        <v>10178</v>
      </c>
      <c r="D4873" s="5" t="s">
        <v>10196</v>
      </c>
      <c r="E4873" s="2">
        <v>1254385</v>
      </c>
      <c r="F4873" s="4" t="str">
        <f>IF(B4873=B4872,"",B4873)</f>
        <v>Tiruchengode</v>
      </c>
    </row>
    <row r="4874" spans="1:6" ht="15.75" customHeight="1">
      <c r="A4874" s="5" t="str">
        <f ca="1">IFERROR(__xludf.DUMMYFUNCTION("GOOGLETRANSLATE(B31989,""en"",""pt"")"),"Tiruchengode")</f>
        <v>Tiruchengode</v>
      </c>
      <c r="B4874" s="17" t="s">
        <v>13579</v>
      </c>
      <c r="C4874" s="17" t="s">
        <v>10178</v>
      </c>
      <c r="D4874" s="17" t="s">
        <v>10196</v>
      </c>
      <c r="E4874" s="10">
        <v>1254385</v>
      </c>
      <c r="F4874" s="4" t="str">
        <f>IF(B4874=B4873,"",B4874)</f>
        <v/>
      </c>
    </row>
    <row r="4875" spans="1:6" ht="15.75" customHeight="1">
      <c r="A4875" s="5" t="s">
        <v>13578</v>
      </c>
      <c r="B4875" s="6" t="s">
        <v>13578</v>
      </c>
      <c r="C4875" s="5" t="s">
        <v>10178</v>
      </c>
      <c r="D4875" s="5" t="s">
        <v>10196</v>
      </c>
      <c r="E4875" s="2">
        <v>1254390</v>
      </c>
      <c r="F4875" s="4" t="str">
        <f>IF(B4875=B4874,"",B4875)</f>
        <v>Tiruchchendur</v>
      </c>
    </row>
    <row r="4876" spans="1:6" ht="15.75" customHeight="1">
      <c r="A4876" s="5" t="str">
        <f ca="1">IFERROR(__xludf.DUMMYFUNCTION("GOOGLETRANSLATE(B31991,""en"",""pt"")"),"Tiruchchendur")</f>
        <v>Tiruchchendur</v>
      </c>
      <c r="B4876" s="17" t="s">
        <v>13578</v>
      </c>
      <c r="C4876" s="17" t="s">
        <v>10178</v>
      </c>
      <c r="D4876" s="17" t="s">
        <v>10196</v>
      </c>
      <c r="E4876" s="10">
        <v>1254390</v>
      </c>
      <c r="F4876" s="4" t="str">
        <f>IF(B4876=B4875,"",B4876)</f>
        <v/>
      </c>
    </row>
    <row r="4877" spans="1:6" ht="15.75" customHeight="1">
      <c r="A4877" s="5" t="str">
        <f ca="1">IFERROR(__xludf.DUMMYFUNCTION("GOOGLETRANSLATE(B31992,""en"",""pt"")"),"Tīrthahalli")</f>
        <v>Tīrthahalli</v>
      </c>
      <c r="B4877" s="17" t="s">
        <v>32996</v>
      </c>
      <c r="C4877" s="17" t="s">
        <v>10178</v>
      </c>
      <c r="D4877" s="17" t="s">
        <v>10252</v>
      </c>
      <c r="E4877" s="10">
        <v>1254396</v>
      </c>
      <c r="F4877" s="4" t="str">
        <f>IF(B4877=B4876,"",B4877)</f>
        <v>Tīrthahalli</v>
      </c>
    </row>
    <row r="4878" spans="1:6" ht="15.75" customHeight="1">
      <c r="A4878" s="6" t="s">
        <v>30605</v>
      </c>
      <c r="B4878" s="6" t="s">
        <v>30605</v>
      </c>
      <c r="C4878" s="6" t="s">
        <v>30502</v>
      </c>
      <c r="D4878" s="6" t="s">
        <v>30518</v>
      </c>
      <c r="E4878" s="2">
        <v>1215957</v>
      </c>
      <c r="F4878" s="4" t="str">
        <f>IF(B4878=B4877,"",B4878)</f>
        <v>Tirmiz</v>
      </c>
    </row>
    <row r="4879" spans="1:6" ht="15.75" customHeight="1">
      <c r="A4879" s="5" t="str">
        <f ca="1">IFERROR(__xludf.DUMMYFUNCTION("GOOGLETRANSLATE(B45505,""en"",""pt"")"),"Tirmiz")</f>
        <v>Tirmiz</v>
      </c>
      <c r="B4879" s="17" t="s">
        <v>30605</v>
      </c>
      <c r="C4879" s="17" t="s">
        <v>30502</v>
      </c>
      <c r="D4879" s="17" t="s">
        <v>30518</v>
      </c>
      <c r="E4879" s="10">
        <v>1215957</v>
      </c>
      <c r="F4879" s="4" t="str">
        <f>IF(B4879=B4878,"",B4879)</f>
        <v/>
      </c>
    </row>
    <row r="4880" spans="1:6" ht="15.75" customHeight="1">
      <c r="A4880" s="6" t="s">
        <v>485</v>
      </c>
      <c r="B4880" s="6" t="s">
        <v>486</v>
      </c>
      <c r="C4880" s="6" t="s">
        <v>153</v>
      </c>
      <c r="D4880" s="6" t="s">
        <v>172</v>
      </c>
      <c r="E4880" s="2">
        <v>2475921</v>
      </c>
      <c r="F4880" s="4" t="str">
        <f>IF(B4880=B4879,"",B4880)</f>
        <v>Tirmitine</v>
      </c>
    </row>
    <row r="4881" spans="1:6" ht="15.75" customHeight="1">
      <c r="A4881" s="5" t="str">
        <f ca="1">IFERROR(__xludf.DUMMYFUNCTION("GOOGLETRANSLATE(B28511,""en"",""pt"")"),"Tirmitina")</f>
        <v>Tirmitina</v>
      </c>
      <c r="B4881" s="17" t="s">
        <v>486</v>
      </c>
      <c r="C4881" s="17" t="s">
        <v>153</v>
      </c>
      <c r="D4881" s="17" t="s">
        <v>172</v>
      </c>
      <c r="E4881" s="10">
        <v>2475921</v>
      </c>
      <c r="F4881" s="4" t="str">
        <f>IF(B4881=B4880,"",B4881)</f>
        <v/>
      </c>
    </row>
    <row r="4882" spans="1:6" ht="15.75" customHeight="1">
      <c r="A4882" s="5" t="str">
        <f ca="1">IFERROR(__xludf.DUMMYFUNCTION("GOOGLETRANSLATE(B36457,""en"",""pt"")"),"Tirhanimîne")</f>
        <v>Tirhanimîne</v>
      </c>
      <c r="B4882" s="17" t="s">
        <v>34584</v>
      </c>
      <c r="C4882" s="17" t="s">
        <v>18551</v>
      </c>
      <c r="D4882" s="17" t="s">
        <v>18557</v>
      </c>
      <c r="E4882" s="10">
        <v>2527645</v>
      </c>
      <c r="F4882" s="4" t="str">
        <f>IF(B4882=B4881,"",B4882)</f>
        <v>Tirhanimîne</v>
      </c>
    </row>
    <row r="4883" spans="1:6" ht="15.75" customHeight="1">
      <c r="A4883" s="5" t="s">
        <v>18645</v>
      </c>
      <c r="B4883" s="6" t="s">
        <v>18646</v>
      </c>
      <c r="C4883" s="5" t="s">
        <v>18551</v>
      </c>
      <c r="D4883" s="5" t="s">
        <v>18557</v>
      </c>
      <c r="E4883" s="2">
        <v>2527645</v>
      </c>
      <c r="F4883" s="4" t="str">
        <f>IF(B4883=B4882,"",B4883)</f>
        <v>TirhanimÃ®ne</v>
      </c>
    </row>
    <row r="4884" spans="1:6" ht="15.75" customHeight="1">
      <c r="A4884" s="6" t="s">
        <v>26731</v>
      </c>
      <c r="B4884" s="6" t="s">
        <v>26732</v>
      </c>
      <c r="C4884" s="6" t="s">
        <v>26201</v>
      </c>
      <c r="D4884" s="6" t="s">
        <v>26350</v>
      </c>
      <c r="E4884" s="2">
        <v>738753</v>
      </c>
      <c r="F4884" s="4" t="str">
        <f>IF(B4884=B4883,"",B4884)</f>
        <v>Tirebolu</v>
      </c>
    </row>
    <row r="4885" spans="1:6" ht="15.75" customHeight="1">
      <c r="A4885" s="5" t="str">
        <f ca="1">IFERROR(__xludf.DUMMYFUNCTION("GOOGLETRANSLATE(B42105,""en"",""pt"")"),"Pneubolu")</f>
        <v>Pneubolu</v>
      </c>
      <c r="B4885" s="17" t="s">
        <v>26732</v>
      </c>
      <c r="C4885" s="17" t="s">
        <v>26201</v>
      </c>
      <c r="D4885" s="17" t="s">
        <v>26350</v>
      </c>
      <c r="E4885" s="10">
        <v>738753</v>
      </c>
      <c r="F4885" s="4" t="str">
        <f>IF(B4885=B4884,"",B4885)</f>
        <v/>
      </c>
    </row>
    <row r="4886" spans="1:6" ht="15.75" customHeight="1">
      <c r="A4886" s="6" t="s">
        <v>17033</v>
      </c>
      <c r="B4886" s="6" t="s">
        <v>26730</v>
      </c>
      <c r="C4886" s="6" t="s">
        <v>26201</v>
      </c>
      <c r="D4886" s="6" t="s">
        <v>26213</v>
      </c>
      <c r="E4886" s="2">
        <v>299137</v>
      </c>
      <c r="F4886" s="4" t="str">
        <f>IF(B4886=B4885,"",B4886)</f>
        <v>Tire</v>
      </c>
    </row>
    <row r="4887" spans="1:6" ht="15.75" customHeight="1">
      <c r="A4887" s="5" t="str">
        <f ca="1">IFERROR(__xludf.DUMMYFUNCTION("GOOGLETRANSLATE(B41883,""en"",""pt"")"),"Pneu")</f>
        <v>Pneu</v>
      </c>
      <c r="B4887" s="17" t="s">
        <v>26730</v>
      </c>
      <c r="C4887" s="17" t="s">
        <v>26201</v>
      </c>
      <c r="D4887" s="17" t="s">
        <v>35825</v>
      </c>
      <c r="E4887" s="10">
        <v>299137</v>
      </c>
      <c r="F4887" s="4" t="str">
        <f>IF(B4887=B4886,"",B4887)</f>
        <v/>
      </c>
    </row>
    <row r="4888" spans="1:6" ht="15.75" customHeight="1">
      <c r="A4888" s="5" t="s">
        <v>14879</v>
      </c>
      <c r="B4888" s="6" t="s">
        <v>14879</v>
      </c>
      <c r="C4888" s="5" t="s">
        <v>14773</v>
      </c>
      <c r="D4888" s="5" t="s">
        <v>14796</v>
      </c>
      <c r="E4888" s="2">
        <v>293308</v>
      </c>
      <c r="F4888" s="4" t="str">
        <f>IF(B4888=B4887,"",B4888)</f>
        <v>Tirat Karmel</v>
      </c>
    </row>
    <row r="4889" spans="1:6" ht="15.75" customHeight="1">
      <c r="A4889" s="5" t="str">
        <f ca="1">IFERROR(__xludf.DUMMYFUNCTION("GOOGLETRANSLATE(B31762,""en"",""pt"")"),"Tirat Karmel")</f>
        <v>Tirat Karmel</v>
      </c>
      <c r="B4889" s="17" t="s">
        <v>14879</v>
      </c>
      <c r="C4889" s="17" t="s">
        <v>14773</v>
      </c>
      <c r="D4889" s="17" t="s">
        <v>14796</v>
      </c>
      <c r="E4889" s="10">
        <v>293308</v>
      </c>
      <c r="F4889" s="4" t="str">
        <f>IF(B4889=B4888,"",B4889)</f>
        <v/>
      </c>
    </row>
    <row r="4890" spans="1:6" ht="15.75" customHeight="1">
      <c r="A4890" s="5" t="s">
        <v>18488</v>
      </c>
      <c r="B4890" s="6" t="s">
        <v>18489</v>
      </c>
      <c r="C4890" s="5" t="s">
        <v>18455</v>
      </c>
      <c r="D4890" s="5" t="s">
        <v>18481</v>
      </c>
      <c r="E4890" s="2">
        <v>617239</v>
      </c>
      <c r="F4890" s="4" t="str">
        <f>IF(B4890=B4889,"",B4890)</f>
        <v>Tiraspolul</v>
      </c>
    </row>
    <row r="4891" spans="1:6" ht="15.75" customHeight="1">
      <c r="A4891" s="5" t="str">
        <f ca="1">IFERROR(__xludf.DUMMYFUNCTION("GOOGLETRANSLATE(B36528,""en"",""pt"")"),"TIRASPOLUL")</f>
        <v>TIRASPOLUL</v>
      </c>
      <c r="B4891" s="17" t="s">
        <v>18489</v>
      </c>
      <c r="C4891" s="17" t="s">
        <v>18455</v>
      </c>
      <c r="D4891" s="17" t="s">
        <v>34599</v>
      </c>
      <c r="E4891" s="10">
        <v>617239</v>
      </c>
      <c r="F4891" s="4" t="str">
        <f>IF(B4891=B4890,"",B4891)</f>
        <v/>
      </c>
    </row>
    <row r="4892" spans="1:6" ht="15.75" customHeight="1">
      <c r="A4892" s="6" t="s">
        <v>149</v>
      </c>
      <c r="B4892" s="6" t="s">
        <v>149</v>
      </c>
      <c r="C4892" s="6" t="s">
        <v>113</v>
      </c>
      <c r="D4892" s="6" t="s">
        <v>127</v>
      </c>
      <c r="E4892" s="2">
        <v>3183875</v>
      </c>
      <c r="F4892" s="4" t="str">
        <f>IF(B4892=B4891,"",B4892)</f>
        <v>Tirana</v>
      </c>
    </row>
    <row r="4893" spans="1:6" ht="15.75" customHeight="1">
      <c r="A4893" s="5" t="str">
        <f ca="1">IFERROR(__xludf.DUMMYFUNCTION("GOOGLETRANSLATE(B23111,""en"",""pt"")"),"Tirana")</f>
        <v>Tirana</v>
      </c>
      <c r="B4893" s="17" t="s">
        <v>149</v>
      </c>
      <c r="C4893" s="17" t="s">
        <v>113</v>
      </c>
      <c r="D4893" s="17" t="s">
        <v>31149</v>
      </c>
      <c r="E4893" s="10">
        <v>3183875</v>
      </c>
      <c r="F4893" s="4" t="str">
        <f>IF(B4893=B4892,"",B4893)</f>
        <v/>
      </c>
    </row>
    <row r="4894" spans="1:6" ht="15.75" customHeight="1">
      <c r="A4894" s="6" t="s">
        <v>14878</v>
      </c>
      <c r="B4894" s="6" t="s">
        <v>14878</v>
      </c>
      <c r="C4894" s="6" t="s">
        <v>14773</v>
      </c>
      <c r="D4894" s="6" t="s">
        <v>14800</v>
      </c>
      <c r="E4894" s="2">
        <v>295127</v>
      </c>
      <c r="F4894" s="4" t="str">
        <f>IF(B4894=B4893,"",B4894)</f>
        <v>Tirah</v>
      </c>
    </row>
    <row r="4895" spans="1:6" ht="15.75" customHeight="1">
      <c r="A4895" s="5" t="str">
        <f ca="1">IFERROR(__xludf.DUMMYFUNCTION("GOOGLETRANSLATE(B31808,""en"",""pt"")"),"Tirah")</f>
        <v>Tirah</v>
      </c>
      <c r="B4895" s="17" t="s">
        <v>14878</v>
      </c>
      <c r="C4895" s="17" t="s">
        <v>14773</v>
      </c>
      <c r="D4895" s="17" t="s">
        <v>14800</v>
      </c>
      <c r="E4895" s="10">
        <v>295127</v>
      </c>
      <c r="F4895" s="4" t="str">
        <f>IF(B4895=B4894,"",B4895)</f>
        <v/>
      </c>
    </row>
    <row r="4896" spans="1:6" ht="15.75" customHeight="1">
      <c r="A4896" s="6" t="s">
        <v>9817</v>
      </c>
      <c r="B4896" s="6" t="s">
        <v>9817</v>
      </c>
      <c r="C4896" s="6" t="s">
        <v>9700</v>
      </c>
      <c r="D4896" s="6" t="s">
        <v>9735</v>
      </c>
      <c r="E4896" s="2">
        <v>3591093</v>
      </c>
      <c r="F4896" s="4" t="str">
        <f>IF(B4896=B4895,"",B4896)</f>
        <v>Tiquisate</v>
      </c>
    </row>
    <row r="4897" spans="1:6" ht="15.75" customHeight="1">
      <c r="A4897" s="5" t="str">
        <f ca="1">IFERROR(__xludf.DUMMYFUNCTION("GOOGLETRANSLATE(B31094,""en"",""pt"")"),"Tiquisate")</f>
        <v>Tiquisate</v>
      </c>
      <c r="B4897" s="17" t="s">
        <v>9817</v>
      </c>
      <c r="C4897" s="17" t="s">
        <v>9700</v>
      </c>
      <c r="D4897" s="17" t="s">
        <v>9735</v>
      </c>
      <c r="E4897" s="10">
        <v>3591093</v>
      </c>
      <c r="F4897" s="4" t="str">
        <f>IF(B4897=B4896,"",B4897)</f>
        <v/>
      </c>
    </row>
    <row r="4898" spans="1:6" ht="15.75" customHeight="1">
      <c r="A4898" s="5" t="str">
        <f ca="1">IFERROR(__xludf.DUMMYFUNCTION("GOOGLETRANSLATE(B31993,""en"",""pt"")"),"Tiptūr")</f>
        <v>Tiptūr</v>
      </c>
      <c r="B4898" s="17" t="s">
        <v>32997</v>
      </c>
      <c r="C4898" s="17" t="s">
        <v>10178</v>
      </c>
      <c r="D4898" s="17" t="s">
        <v>10252</v>
      </c>
      <c r="E4898" s="10">
        <v>1254420</v>
      </c>
      <c r="F4898" s="4" t="str">
        <f>IF(B4898=B4897,"",B4898)</f>
        <v>Tiptūr</v>
      </c>
    </row>
    <row r="4899" spans="1:6" ht="15.75" customHeight="1">
      <c r="A4899" s="6" t="s">
        <v>13576</v>
      </c>
      <c r="B4899" s="6" t="s">
        <v>13577</v>
      </c>
      <c r="C4899" s="6" t="s">
        <v>10178</v>
      </c>
      <c r="D4899" s="6" t="s">
        <v>10252</v>
      </c>
      <c r="E4899" s="2">
        <v>1254420</v>
      </c>
      <c r="F4899" s="4" t="str">
        <f>IF(B4899=B4898,"",B4899)</f>
        <v>TiptÅ«r</v>
      </c>
    </row>
    <row r="4900" spans="1:6" ht="15.75" customHeight="1">
      <c r="A4900" s="6" t="s">
        <v>6924</v>
      </c>
      <c r="B4900" s="6" t="s">
        <v>6924</v>
      </c>
      <c r="C4900" s="6" t="s">
        <v>6807</v>
      </c>
      <c r="D4900" s="6" t="s">
        <v>6817</v>
      </c>
      <c r="E4900" s="2">
        <v>327694</v>
      </c>
      <c r="F4900" s="4" t="str">
        <f>IF(B4900=B4899,"",B4900)</f>
        <v>Tippi</v>
      </c>
    </row>
    <row r="4901" spans="1:6" ht="15.75" customHeight="1">
      <c r="A4901" s="5" t="str">
        <f ca="1">IFERROR(__xludf.DUMMYFUNCTION("GOOGLETRANSLATE(B29524,""en"",""pt"")"),"Tippi")</f>
        <v>Tippi</v>
      </c>
      <c r="B4901" s="17" t="s">
        <v>6924</v>
      </c>
      <c r="C4901" s="17" t="s">
        <v>6807</v>
      </c>
      <c r="D4901" s="17" t="s">
        <v>6817</v>
      </c>
      <c r="E4901" s="10">
        <v>327694</v>
      </c>
      <c r="F4901" s="4" t="str">
        <f>IF(B4901=B4900,"",B4901)</f>
        <v/>
      </c>
    </row>
    <row r="4902" spans="1:6" ht="15.75" customHeight="1">
      <c r="A4902" s="6" t="s">
        <v>19257</v>
      </c>
      <c r="B4902" s="6" t="s">
        <v>19257</v>
      </c>
      <c r="C4902" s="6" t="s">
        <v>19217</v>
      </c>
      <c r="D4902" s="6" t="s">
        <v>19224</v>
      </c>
      <c r="E4902" s="2">
        <v>3616035</v>
      </c>
      <c r="F4902" s="4" t="str">
        <f>IF(B4902=B4901,"",B4902)</f>
        <v>Tipitapa</v>
      </c>
    </row>
    <row r="4903" spans="1:6" ht="15.75" customHeight="1">
      <c r="A4903" s="5" t="str">
        <f ca="1">IFERROR(__xludf.DUMMYFUNCTION("GOOGLETRANSLATE(B37849,""en"",""pt"")"),"Tipitapa")</f>
        <v>Tipitapa</v>
      </c>
      <c r="B4903" s="17" t="s">
        <v>19257</v>
      </c>
      <c r="C4903" s="17" t="s">
        <v>19217</v>
      </c>
      <c r="D4903" s="17" t="s">
        <v>19224</v>
      </c>
      <c r="E4903" s="10">
        <v>3616035</v>
      </c>
      <c r="F4903" s="4" t="str">
        <f>IF(B4903=B4902,"",B4903)</f>
        <v/>
      </c>
    </row>
    <row r="4904" spans="1:6" ht="15.75" customHeight="1">
      <c r="A4904" s="6" t="s">
        <v>484</v>
      </c>
      <c r="B4904" s="6" t="s">
        <v>484</v>
      </c>
      <c r="C4904" s="6" t="s">
        <v>153</v>
      </c>
      <c r="D4904" s="6" t="s">
        <v>160</v>
      </c>
      <c r="E4904" s="2">
        <v>2476028</v>
      </c>
      <c r="F4904" s="4" t="str">
        <f>IF(B4904=B4903,"",B4904)</f>
        <v>Tipasa</v>
      </c>
    </row>
    <row r="4905" spans="1:6" ht="15.75" customHeight="1">
      <c r="A4905" s="5" t="str">
        <f ca="1">IFERROR(__xludf.DUMMYFUNCTION("GOOGLETRANSLATE(B28512,""en"",""pt"")"),"Tipasa")</f>
        <v>Tipasa</v>
      </c>
      <c r="B4905" s="17" t="s">
        <v>484</v>
      </c>
      <c r="C4905" s="17" t="s">
        <v>153</v>
      </c>
      <c r="D4905" s="17" t="s">
        <v>160</v>
      </c>
      <c r="E4905" s="10">
        <v>2476028</v>
      </c>
      <c r="F4905" s="4" t="str">
        <f>IF(B4905=B4904,"",B4905)</f>
        <v/>
      </c>
    </row>
    <row r="4906" spans="1:6" ht="15.75" customHeight="1">
      <c r="A4906" s="5" t="s">
        <v>30199</v>
      </c>
      <c r="B4906" s="6" t="s">
        <v>30199</v>
      </c>
      <c r="C4906" s="5" t="s">
        <v>27788</v>
      </c>
      <c r="D4906" s="5" t="s">
        <v>27905</v>
      </c>
      <c r="E4906" s="2">
        <v>5105433</v>
      </c>
      <c r="F4906" s="4" t="str">
        <f>IF(B4906=B4905,"",B4906)</f>
        <v>Tinton Falls</v>
      </c>
    </row>
    <row r="4907" spans="1:6" ht="15.75" customHeight="1">
      <c r="A4907" s="5" t="str">
        <f ca="1">IFERROR(__xludf.DUMMYFUNCTION("GOOGLETRANSLATE(B44318,""en"",""pt"")"),"Tinton Falls")</f>
        <v>Tinton Falls</v>
      </c>
      <c r="B4907" s="17" t="s">
        <v>30199</v>
      </c>
      <c r="C4907" s="17" t="s">
        <v>27788</v>
      </c>
      <c r="D4907" s="17" t="s">
        <v>27905</v>
      </c>
      <c r="E4907" s="10">
        <v>5105433</v>
      </c>
      <c r="F4907" s="4" t="str">
        <f>IF(B4907=B4906,"",B4907)</f>
        <v/>
      </c>
    </row>
    <row r="4908" spans="1:6" ht="15.75" customHeight="1">
      <c r="A4908" s="6" t="s">
        <v>13575</v>
      </c>
      <c r="B4908" s="6" t="s">
        <v>13575</v>
      </c>
      <c r="C4908" s="6" t="s">
        <v>10178</v>
      </c>
      <c r="D4908" s="6" t="s">
        <v>10239</v>
      </c>
      <c r="E4908" s="2">
        <v>1254432</v>
      </c>
      <c r="F4908" s="4" t="str">
        <f>IF(B4908=B4907,"",B4908)</f>
        <v>Tinsukia</v>
      </c>
    </row>
    <row r="4909" spans="1:6" ht="15.75" customHeight="1">
      <c r="A4909" s="5" t="str">
        <f ca="1">IFERROR(__xludf.DUMMYFUNCTION("GOOGLETRANSLATE(B31994,""en"",""pt"")"),"Tinsukia")</f>
        <v>Tinsukia</v>
      </c>
      <c r="B4909" s="17" t="s">
        <v>13575</v>
      </c>
      <c r="C4909" s="17" t="s">
        <v>10178</v>
      </c>
      <c r="D4909" s="17" t="s">
        <v>10239</v>
      </c>
      <c r="E4909" s="10">
        <v>1254432</v>
      </c>
      <c r="F4909" s="4" t="str">
        <f>IF(B4909=B4908,"",B4909)</f>
        <v/>
      </c>
    </row>
    <row r="4910" spans="1:6" ht="15.75" customHeight="1">
      <c r="A4910" s="5" t="str">
        <f ca="1">IFERROR(__xludf.DUMMYFUNCTION("GOOGLETRANSLATE(B31995,""en"",""pt"")"),"Tinnanūr")</f>
        <v>Tinnanūr</v>
      </c>
      <c r="B4910" s="17" t="s">
        <v>32998</v>
      </c>
      <c r="C4910" s="17" t="s">
        <v>10178</v>
      </c>
      <c r="D4910" s="17" t="s">
        <v>10196</v>
      </c>
      <c r="E4910" s="10">
        <v>1254436</v>
      </c>
      <c r="F4910" s="4" t="str">
        <f>IF(B4910=B4909,"",B4910)</f>
        <v>Tinnanūr</v>
      </c>
    </row>
    <row r="4911" spans="1:6" ht="15.75" customHeight="1">
      <c r="A4911" s="5" t="s">
        <v>13573</v>
      </c>
      <c r="B4911" s="6" t="s">
        <v>13574</v>
      </c>
      <c r="C4911" s="5" t="s">
        <v>10178</v>
      </c>
      <c r="D4911" s="5" t="s">
        <v>10196</v>
      </c>
      <c r="E4911" s="2">
        <v>1254436</v>
      </c>
      <c r="F4911" s="4" t="str">
        <f>IF(B4911=B4910,"",B4911)</f>
        <v>TinnanÅ«r</v>
      </c>
    </row>
    <row r="4912" spans="1:6" ht="15.75" customHeight="1">
      <c r="A4912" s="5" t="s">
        <v>30198</v>
      </c>
      <c r="B4912" s="6" t="s">
        <v>30198</v>
      </c>
      <c r="C4912" s="5" t="s">
        <v>27788</v>
      </c>
      <c r="D4912" s="5" t="s">
        <v>27799</v>
      </c>
      <c r="E4912" s="2">
        <v>4913723</v>
      </c>
      <c r="F4912" s="4" t="str">
        <f>IF(B4912=B4911,"",B4912)</f>
        <v>Tinley Park</v>
      </c>
    </row>
    <row r="4913" spans="1:6" ht="15.75" customHeight="1">
      <c r="A4913" s="5" t="str">
        <f ca="1">IFERROR(__xludf.DUMMYFUNCTION("GOOGLETRANSLATE(B43890,""en"",""pt"")"),"Tinley Park")</f>
        <v>Tinley Park</v>
      </c>
      <c r="B4913" s="17" t="s">
        <v>30198</v>
      </c>
      <c r="C4913" s="17" t="s">
        <v>27788</v>
      </c>
      <c r="D4913" s="17" t="s">
        <v>27799</v>
      </c>
      <c r="E4913" s="10">
        <v>4913723</v>
      </c>
      <c r="F4913" s="4" t="str">
        <f>IF(B4913=B4912,"",B4913)</f>
        <v/>
      </c>
    </row>
    <row r="4914" spans="1:6" ht="15.75" customHeight="1">
      <c r="A4914" s="5" t="str">
        <f ca="1">IFERROR(__xludf.DUMMYFUNCTION("GOOGLETRANSLATE(B38307,""en"",""pt"")"),"Tingo María")</f>
        <v>Tingo María</v>
      </c>
      <c r="B4914" s="17" t="s">
        <v>34869</v>
      </c>
      <c r="C4914" s="17" t="s">
        <v>20470</v>
      </c>
      <c r="D4914" s="17" t="s">
        <v>20510</v>
      </c>
      <c r="E4914" s="10">
        <v>3691348</v>
      </c>
      <c r="F4914" s="4" t="str">
        <f>IF(B4914=B4913,"",B4914)</f>
        <v>Tingo María</v>
      </c>
    </row>
    <row r="4915" spans="1:6" ht="15.75" customHeight="1">
      <c r="A4915" s="5" t="s">
        <v>20585</v>
      </c>
      <c r="B4915" s="6" t="s">
        <v>20586</v>
      </c>
      <c r="C4915" s="5" t="s">
        <v>20470</v>
      </c>
      <c r="D4915" s="5" t="s">
        <v>20510</v>
      </c>
      <c r="E4915" s="2">
        <v>3691348</v>
      </c>
      <c r="F4915" s="4" t="str">
        <f>IF(B4915=B4914,"",B4915)</f>
        <v>Tingo MarÃ­a</v>
      </c>
    </row>
    <row r="4916" spans="1:6" ht="15.75" customHeight="1">
      <c r="A4916" s="6" t="s">
        <v>25751</v>
      </c>
      <c r="B4916" s="6" t="s">
        <v>25751</v>
      </c>
      <c r="C4916" s="6" t="s">
        <v>25560</v>
      </c>
      <c r="D4916" s="6" t="s">
        <v>25636</v>
      </c>
      <c r="E4916" s="2">
        <v>877384</v>
      </c>
      <c r="F4916" s="4" t="str">
        <f>IF(B4916=B4915,"",B4916)</f>
        <v>Tingi</v>
      </c>
    </row>
    <row r="4917" spans="1:6" ht="15.75" customHeight="1">
      <c r="A4917" s="5" t="str">
        <f ca="1">IFERROR(__xludf.DUMMYFUNCTION("GOOGLETRANSLATE(B42446,""en"",""pt"")"),"Tingi")</f>
        <v>Tingi</v>
      </c>
      <c r="B4917" s="17" t="s">
        <v>25751</v>
      </c>
      <c r="C4917" s="17" t="s">
        <v>25560</v>
      </c>
      <c r="D4917" s="17" t="s">
        <v>25636</v>
      </c>
      <c r="E4917" s="10">
        <v>877384</v>
      </c>
      <c r="F4917" s="4" t="str">
        <f>IF(B4917=B4916,"",B4917)</f>
        <v/>
      </c>
    </row>
    <row r="4918" spans="1:6" ht="15.75" customHeight="1">
      <c r="A4918" s="6" t="s">
        <v>18644</v>
      </c>
      <c r="B4918" s="6" t="s">
        <v>18644</v>
      </c>
      <c r="C4918" s="6" t="s">
        <v>18551</v>
      </c>
      <c r="D4918" s="6" t="s">
        <v>18552</v>
      </c>
      <c r="E4918" s="2">
        <v>2527915</v>
      </c>
      <c r="F4918" s="4" t="str">
        <f>IF(B4918=B4917,"",B4918)</f>
        <v>Tinghir</v>
      </c>
    </row>
    <row r="4919" spans="1:6" ht="15.75" customHeight="1">
      <c r="A4919" s="5" t="str">
        <f ca="1">IFERROR(__xludf.DUMMYFUNCTION("GOOGLETRANSLATE(B36458,""en"",""pt"")"),"Tinghir")</f>
        <v>Tinghir</v>
      </c>
      <c r="B4919" s="17" t="s">
        <v>18644</v>
      </c>
      <c r="C4919" s="17" t="s">
        <v>18551</v>
      </c>
      <c r="D4919" s="17" t="s">
        <v>34583</v>
      </c>
      <c r="E4919" s="10">
        <v>2527915</v>
      </c>
      <c r="F4919" s="4" t="str">
        <f>IF(B4919=B4918,"",B4919)</f>
        <v/>
      </c>
    </row>
    <row r="4920" spans="1:6" ht="15.75" customHeight="1">
      <c r="A4920" s="6" t="s">
        <v>483</v>
      </c>
      <c r="B4920" s="6" t="s">
        <v>483</v>
      </c>
      <c r="C4920" s="6" t="s">
        <v>153</v>
      </c>
      <c r="D4920" s="6" t="s">
        <v>483</v>
      </c>
      <c r="E4920" s="2">
        <v>2476301</v>
      </c>
      <c r="F4920" s="4" t="str">
        <f>IF(B4920=B4919,"",B4920)</f>
        <v>Tindouf</v>
      </c>
    </row>
    <row r="4921" spans="1:6" ht="15.75" customHeight="1">
      <c r="A4921" s="5" t="str">
        <f ca="1">IFERROR(__xludf.DUMMYFUNCTION("GOOGLETRANSLATE(B28513,""en"",""pt"")"),"Tindouf")</f>
        <v>Tindouf</v>
      </c>
      <c r="B4921" s="17" t="s">
        <v>483</v>
      </c>
      <c r="C4921" s="17" t="s">
        <v>153</v>
      </c>
      <c r="D4921" s="17" t="s">
        <v>483</v>
      </c>
      <c r="E4921" s="10">
        <v>2476301</v>
      </c>
      <c r="F4921" s="4" t="str">
        <f>IF(B4921=B4920,"",B4921)</f>
        <v/>
      </c>
    </row>
    <row r="4922" spans="1:6" ht="15.75" customHeight="1">
      <c r="A4922" s="5" t="s">
        <v>13572</v>
      </c>
      <c r="B4922" s="6" t="s">
        <v>13572</v>
      </c>
      <c r="C4922" s="5" t="s">
        <v>10178</v>
      </c>
      <c r="D4922" s="5" t="s">
        <v>10196</v>
      </c>
      <c r="E4922" s="2">
        <v>1254444</v>
      </c>
      <c r="F4922" s="4" t="str">
        <f>IF(B4922=B4921,"",B4922)</f>
        <v>Tindivanam</v>
      </c>
    </row>
    <row r="4923" spans="1:6" ht="15.75" customHeight="1">
      <c r="A4923" s="5" t="str">
        <f ca="1">IFERROR(__xludf.DUMMYFUNCTION("GOOGLETRANSLATE(B31996,""en"",""pt"")"),"Tindivanam")</f>
        <v>Tindivanam</v>
      </c>
      <c r="B4923" s="17" t="s">
        <v>13572</v>
      </c>
      <c r="C4923" s="17" t="s">
        <v>10178</v>
      </c>
      <c r="D4923" s="17" t="s">
        <v>10196</v>
      </c>
      <c r="E4923" s="10">
        <v>1254444</v>
      </c>
      <c r="F4923" s="4" t="str">
        <f>IF(B4923=B4922,"",B4923)</f>
        <v/>
      </c>
    </row>
    <row r="4924" spans="1:6" ht="15.75" customHeight="1">
      <c r="A4924" s="6" t="s">
        <v>25750</v>
      </c>
      <c r="B4924" s="6" t="s">
        <v>25750</v>
      </c>
      <c r="C4924" s="6" t="s">
        <v>25560</v>
      </c>
      <c r="D4924" s="6" t="s">
        <v>25615</v>
      </c>
      <c r="E4924" s="2">
        <v>149512</v>
      </c>
      <c r="F4924" s="4" t="str">
        <f>IF(B4924=B4923,"",B4924)</f>
        <v>Tinde</v>
      </c>
    </row>
    <row r="4925" spans="1:6" ht="15.75" customHeight="1">
      <c r="A4925" s="5" t="str">
        <f ca="1">IFERROR(__xludf.DUMMYFUNCTION("GOOGLETRANSLATE(B42295,""en"",""pt"")"),"Tinde")</f>
        <v>Tinde</v>
      </c>
      <c r="B4925" s="17" t="s">
        <v>25750</v>
      </c>
      <c r="C4925" s="17" t="s">
        <v>25560</v>
      </c>
      <c r="D4925" s="17" t="s">
        <v>25615</v>
      </c>
      <c r="E4925" s="10">
        <v>149512</v>
      </c>
      <c r="F4925" s="4" t="str">
        <f>IF(B4925=B4924,"",B4925)</f>
        <v/>
      </c>
    </row>
    <row r="4926" spans="1:6" ht="15.75" customHeight="1">
      <c r="A4926" s="6" t="s">
        <v>30770</v>
      </c>
      <c r="B4926" s="6" t="s">
        <v>30770</v>
      </c>
      <c r="C4926" s="6" t="s">
        <v>5923</v>
      </c>
      <c r="D4926" s="6" t="s">
        <v>30751</v>
      </c>
      <c r="E4926" s="2">
        <v>3626219</v>
      </c>
      <c r="F4926" s="4" t="str">
        <f>IF(B4926=B4925,"",B4926)</f>
        <v>Tinaquillo</v>
      </c>
    </row>
    <row r="4927" spans="1:6" ht="15.75" customHeight="1">
      <c r="A4927" s="5" t="str">
        <f ca="1">IFERROR(__xludf.DUMMYFUNCTION("GOOGLETRANSLATE(B45613,""en"",""pt"")"),"Tinaquillo")</f>
        <v>Tinaquillo</v>
      </c>
      <c r="B4927" s="17" t="s">
        <v>30770</v>
      </c>
      <c r="C4927" s="17" t="s">
        <v>5923</v>
      </c>
      <c r="D4927" s="17" t="s">
        <v>30751</v>
      </c>
      <c r="E4927" s="10">
        <v>3626219</v>
      </c>
      <c r="F4927" s="4" t="str">
        <f>IF(B4927=B4926,"",B4927)</f>
        <v/>
      </c>
    </row>
    <row r="4928" spans="1:6" ht="15.75" customHeight="1">
      <c r="A4928" s="5" t="str">
        <f ca="1">IFERROR(__xludf.DUMMYFUNCTION("GOOGLETRANSLATE(B24489,""en"",""pt"")"),"Timóteo")</f>
        <v>Timóteo</v>
      </c>
      <c r="B4928" s="17" t="s">
        <v>31450</v>
      </c>
      <c r="C4928" s="17" t="s">
        <v>1905</v>
      </c>
      <c r="D4928" s="17" t="s">
        <v>1917</v>
      </c>
      <c r="E4928" s="10">
        <v>3446445</v>
      </c>
      <c r="F4928" s="4" t="str">
        <f>IF(B4928=B4927,"",B4928)</f>
        <v>Timóteo</v>
      </c>
    </row>
    <row r="4929" spans="1:6" ht="15.75" customHeight="1">
      <c r="A4929" s="6" t="s">
        <v>3561</v>
      </c>
      <c r="B4929" s="6" t="s">
        <v>3561</v>
      </c>
      <c r="C4929" s="6" t="s">
        <v>1905</v>
      </c>
      <c r="D4929" s="6" t="s">
        <v>2024</v>
      </c>
      <c r="E4929" s="2">
        <v>3386361</v>
      </c>
      <c r="F4929" s="4" t="str">
        <f>IF(B4929=B4928,"",B4929)</f>
        <v>Timon</v>
      </c>
    </row>
    <row r="4930" spans="1:6" ht="15.75" customHeight="1">
      <c r="A4930" s="5" t="str">
        <f ca="1">IFERROR(__xludf.DUMMYFUNCTION("GOOGLETRANSLATE(B24164,""en"",""pt"")"),"Timon")</f>
        <v>Timon</v>
      </c>
      <c r="B4930" s="17" t="s">
        <v>3561</v>
      </c>
      <c r="C4930" s="17" t="s">
        <v>1905</v>
      </c>
      <c r="D4930" s="17" t="s">
        <v>31340</v>
      </c>
      <c r="E4930" s="10">
        <v>3386361</v>
      </c>
      <c r="F4930" s="4" t="str">
        <f>IF(B4930=B4929,"",B4930)</f>
        <v/>
      </c>
    </row>
    <row r="4931" spans="1:6" ht="15.75" customHeight="1">
      <c r="A4931" s="6" t="s">
        <v>4220</v>
      </c>
      <c r="B4931" s="6" t="s">
        <v>4220</v>
      </c>
      <c r="C4931" s="6" t="s">
        <v>3975</v>
      </c>
      <c r="D4931" s="6" t="s">
        <v>3980</v>
      </c>
      <c r="E4931" s="2">
        <v>6166739</v>
      </c>
      <c r="F4931" s="4" t="str">
        <f>IF(B4931=B4930,"",B4931)</f>
        <v>Timmins</v>
      </c>
    </row>
    <row r="4932" spans="1:6" ht="15.75" customHeight="1">
      <c r="A4932" s="5" t="str">
        <f ca="1">IFERROR(__xludf.DUMMYFUNCTION("GOOGLETRANSLATE(B25597,""en"",""pt"")"),"Timmins")</f>
        <v>Timmins</v>
      </c>
      <c r="B4932" s="17" t="s">
        <v>4220</v>
      </c>
      <c r="C4932" s="17" t="s">
        <v>3975</v>
      </c>
      <c r="D4932" s="17" t="s">
        <v>3980</v>
      </c>
      <c r="E4932" s="10">
        <v>6166739</v>
      </c>
      <c r="F4932" s="4" t="str">
        <f>IF(B4932=B4931,"",B4932)</f>
        <v/>
      </c>
    </row>
    <row r="4933" spans="1:6" ht="15.75" customHeight="1">
      <c r="A4933" s="6" t="s">
        <v>482</v>
      </c>
      <c r="B4933" s="6" t="s">
        <v>482</v>
      </c>
      <c r="C4933" s="6" t="s">
        <v>153</v>
      </c>
      <c r="D4933" s="6" t="s">
        <v>172</v>
      </c>
      <c r="E4933" s="2">
        <v>2476396</v>
      </c>
      <c r="F4933" s="4" t="str">
        <f>IF(B4933=B4932,"",B4933)</f>
        <v>Timizart</v>
      </c>
    </row>
    <row r="4934" spans="1:6" ht="15.75" customHeight="1">
      <c r="A4934" s="5" t="str">
        <f ca="1">IFERROR(__xludf.DUMMYFUNCTION("GOOGLETRANSLATE(B28514,""en"",""pt"")"),"Timizart")</f>
        <v>Timizart</v>
      </c>
      <c r="B4934" s="17" t="s">
        <v>482</v>
      </c>
      <c r="C4934" s="17" t="s">
        <v>153</v>
      </c>
      <c r="D4934" s="17" t="s">
        <v>172</v>
      </c>
      <c r="E4934" s="10">
        <v>2476396</v>
      </c>
      <c r="F4934" s="4" t="str">
        <f>IF(B4934=B4933,"",B4934)</f>
        <v/>
      </c>
    </row>
    <row r="4935" spans="1:6" ht="15.75" customHeight="1">
      <c r="A4935" s="5" t="str">
        <f ca="1">IFERROR(__xludf.DUMMYFUNCTION("GOOGLETRANSLATE(B39740,""en"",""pt"")"),"Timişoara")</f>
        <v>Timişoara</v>
      </c>
      <c r="B4935" s="17" t="s">
        <v>35346</v>
      </c>
      <c r="C4935" s="17" t="s">
        <v>21824</v>
      </c>
      <c r="D4935" s="17" t="s">
        <v>35347</v>
      </c>
      <c r="E4935" s="10">
        <v>665087</v>
      </c>
      <c r="F4935" s="4" t="str">
        <f>IF(B4935=B4934,"",B4935)</f>
        <v>Timişoara</v>
      </c>
    </row>
    <row r="4936" spans="1:6" ht="15.75" customHeight="1">
      <c r="A4936" s="5" t="s">
        <v>481</v>
      </c>
      <c r="B4936" s="6" t="s">
        <v>481</v>
      </c>
      <c r="C4936" s="5" t="s">
        <v>153</v>
      </c>
      <c r="D4936" s="5" t="s">
        <v>217</v>
      </c>
      <c r="E4936" s="2">
        <v>2476403</v>
      </c>
      <c r="F4936" s="4" t="str">
        <f>IF(B4936=B4935,"",B4936)</f>
        <v>Timimoun</v>
      </c>
    </row>
    <row r="4937" spans="1:6" ht="15.75" customHeight="1">
      <c r="A4937" s="5" t="str">
        <f ca="1">IFERROR(__xludf.DUMMYFUNCTION("GOOGLETRANSLATE(B28515,""en"",""pt"")"),"Timimoun")</f>
        <v>Timimoun</v>
      </c>
      <c r="B4937" s="17" t="s">
        <v>481</v>
      </c>
      <c r="C4937" s="17" t="s">
        <v>153</v>
      </c>
      <c r="D4937" s="17" t="s">
        <v>217</v>
      </c>
      <c r="E4937" s="10">
        <v>2476403</v>
      </c>
      <c r="F4937" s="4" t="str">
        <f>IF(B4937=B4936,"",B4937)</f>
        <v/>
      </c>
    </row>
    <row r="4938" spans="1:6" ht="15.75" customHeight="1">
      <c r="A4938" s="5" t="s">
        <v>22051</v>
      </c>
      <c r="B4938" s="6" t="s">
        <v>22052</v>
      </c>
      <c r="C4938" s="5" t="s">
        <v>21824</v>
      </c>
      <c r="D4938" s="5" t="s">
        <v>21951</v>
      </c>
      <c r="E4938" s="2">
        <v>665087</v>
      </c>
      <c r="F4938" s="4" t="str">
        <f>IF(B4938=B4937,"",B4938)</f>
        <v>TimiÅŸoara</v>
      </c>
    </row>
    <row r="4939" spans="1:6" ht="15.75" customHeight="1">
      <c r="A4939" s="6" t="s">
        <v>17616</v>
      </c>
      <c r="B4939" s="6" t="s">
        <v>17616</v>
      </c>
      <c r="C4939" s="6" t="s">
        <v>17596</v>
      </c>
      <c r="D4939" s="6" t="s">
        <v>17617</v>
      </c>
      <c r="E4939" s="2">
        <v>2449067</v>
      </c>
      <c r="F4939" s="4" t="str">
        <f>IF(B4939=B4938,"",B4939)</f>
        <v>Timbuktu</v>
      </c>
    </row>
    <row r="4940" spans="1:6" ht="15.75" customHeight="1">
      <c r="A4940" s="5" t="str">
        <f ca="1">IFERROR(__xludf.DUMMYFUNCTION("GOOGLETRANSLATE(B36679,""en"",""pt"")"),"Timbuktu")</f>
        <v>Timbuktu</v>
      </c>
      <c r="B4940" s="17" t="s">
        <v>17616</v>
      </c>
      <c r="C4940" s="17" t="s">
        <v>17596</v>
      </c>
      <c r="D4940" s="17" t="s">
        <v>17617</v>
      </c>
      <c r="E4940" s="10">
        <v>2449067</v>
      </c>
      <c r="F4940" s="4" t="str">
        <f>IF(B4940=B4939,"",B4940)</f>
        <v/>
      </c>
    </row>
    <row r="4941" spans="1:6" ht="15.75" customHeight="1">
      <c r="A4941" s="5" t="str">
        <f ca="1">IFERROR(__xludf.DUMMYFUNCTION("GOOGLETRANSLATE(B24490,""en"",""pt"")"),"Timbó")</f>
        <v>Timbó</v>
      </c>
      <c r="B4941" s="17" t="s">
        <v>31451</v>
      </c>
      <c r="C4941" s="17" t="s">
        <v>1905</v>
      </c>
      <c r="D4941" s="17" t="s">
        <v>2020</v>
      </c>
      <c r="E4941" s="10">
        <v>3446465</v>
      </c>
      <c r="F4941" s="4" t="str">
        <f>IF(B4941=B4940,"",B4941)</f>
        <v>Timbó</v>
      </c>
    </row>
    <row r="4942" spans="1:6" ht="15.75" customHeight="1">
      <c r="A4942" s="6" t="s">
        <v>3560</v>
      </c>
      <c r="B4942" s="6" t="s">
        <v>3560</v>
      </c>
      <c r="C4942" s="6" t="s">
        <v>1905</v>
      </c>
      <c r="D4942" s="6" t="s">
        <v>2024</v>
      </c>
      <c r="E4942" s="2">
        <v>3386372</v>
      </c>
      <c r="F4942" s="4" t="str">
        <f>IF(B4942=B4941,"",B4942)</f>
        <v>Timbiras</v>
      </c>
    </row>
    <row r="4943" spans="1:6" ht="15.75" customHeight="1">
      <c r="A4943" s="5" t="str">
        <f ca="1">IFERROR(__xludf.DUMMYFUNCTION("GOOGLETRANSLATE(B24165,""en"",""pt"")"),"Timbiras")</f>
        <v>Timbiras</v>
      </c>
      <c r="B4943" s="17" t="s">
        <v>3560</v>
      </c>
      <c r="C4943" s="17" t="s">
        <v>1905</v>
      </c>
      <c r="D4943" s="17" t="s">
        <v>31340</v>
      </c>
      <c r="E4943" s="10">
        <v>3386372</v>
      </c>
      <c r="F4943" s="4" t="str">
        <f>IF(B4943=B4942,"",B4943)</f>
        <v/>
      </c>
    </row>
    <row r="4944" spans="1:6" ht="15.75" customHeight="1">
      <c r="A4944" s="5" t="str">
        <f ca="1">IFERROR(__xludf.DUMMYFUNCTION("GOOGLETRANSLATE(B24166,""en"",""pt"")"),"Timbaúba")</f>
        <v>Timbaúba</v>
      </c>
      <c r="B4944" s="17" t="s">
        <v>31353</v>
      </c>
      <c r="C4944" s="17" t="s">
        <v>1905</v>
      </c>
      <c r="D4944" s="17" t="s">
        <v>1909</v>
      </c>
      <c r="E4944" s="10">
        <v>3386396</v>
      </c>
      <c r="F4944" s="4" t="str">
        <f>IF(B4944=B4943,"",B4944)</f>
        <v>Timbaúba</v>
      </c>
    </row>
    <row r="4945" spans="1:6" ht="15.75" customHeight="1">
      <c r="A4945" s="5" t="s">
        <v>3558</v>
      </c>
      <c r="B4945" s="6" t="s">
        <v>3559</v>
      </c>
      <c r="C4945" s="5" t="s">
        <v>1905</v>
      </c>
      <c r="D4945" s="5" t="s">
        <v>1909</v>
      </c>
      <c r="E4945" s="2">
        <v>3386396</v>
      </c>
      <c r="F4945" s="4" t="str">
        <f>IF(B4945=B4944,"",B4945)</f>
        <v>TimbaÃºba</v>
      </c>
    </row>
    <row r="4946" spans="1:6" ht="15.75" customHeight="1">
      <c r="A4946" s="6" t="s">
        <v>3556</v>
      </c>
      <c r="B4946" s="6" t="s">
        <v>3557</v>
      </c>
      <c r="C4946" s="6" t="s">
        <v>1905</v>
      </c>
      <c r="D4946" s="6" t="s">
        <v>2020</v>
      </c>
      <c r="E4946" s="2">
        <v>3446465</v>
      </c>
      <c r="F4946" s="4" t="str">
        <f>IF(B4946=B4945,"",B4946)</f>
        <v>TimbÃ³</v>
      </c>
    </row>
    <row r="4947" spans="1:6" ht="15.75" customHeight="1">
      <c r="A4947" s="5" t="str">
        <f ca="1">IFERROR(__xludf.DUMMYFUNCTION("GOOGLETRANSLATE(B40033,""en"",""pt"")"),"Timashëvsk")</f>
        <v>Timashëvsk</v>
      </c>
      <c r="B4947" s="17" t="s">
        <v>35446</v>
      </c>
      <c r="C4947" s="17" t="s">
        <v>22070</v>
      </c>
      <c r="D4947" s="17" t="s">
        <v>22077</v>
      </c>
      <c r="E4947" s="10">
        <v>482965</v>
      </c>
      <c r="F4947" s="4" t="str">
        <f>IF(B4947=B4946,"",B4947)</f>
        <v>Timashëvsk</v>
      </c>
    </row>
    <row r="4948" spans="1:6" ht="15.75" customHeight="1">
      <c r="A4948" s="5" t="s">
        <v>23187</v>
      </c>
      <c r="B4948" s="6" t="s">
        <v>23188</v>
      </c>
      <c r="C4948" s="5" t="s">
        <v>22070</v>
      </c>
      <c r="D4948" s="5" t="s">
        <v>22077</v>
      </c>
      <c r="E4948" s="2">
        <v>482965</v>
      </c>
      <c r="F4948" s="4" t="str">
        <f>IF(B4948=B4947,"",B4948)</f>
        <v>TimashÃ«vsk</v>
      </c>
    </row>
    <row r="4949" spans="1:6" ht="15.75" customHeight="1">
      <c r="A4949" s="6" t="s">
        <v>19208</v>
      </c>
      <c r="B4949" s="6" t="s">
        <v>19208</v>
      </c>
      <c r="C4949" s="6" t="s">
        <v>19169</v>
      </c>
      <c r="D4949" s="6" t="s">
        <v>19170</v>
      </c>
      <c r="E4949" s="2">
        <v>2181133</v>
      </c>
      <c r="F4949" s="4" t="str">
        <f>IF(B4949=B4948,"",B4949)</f>
        <v>Timaru</v>
      </c>
    </row>
    <row r="4950" spans="1:6" ht="15.75" customHeight="1">
      <c r="A4950" s="5" t="str">
        <f ca="1">IFERROR(__xludf.DUMMYFUNCTION("GOOGLETRANSLATE(B38219,""en"",""pt"")"),"Timaru")</f>
        <v>Timaru</v>
      </c>
      <c r="B4950" s="17" t="s">
        <v>19208</v>
      </c>
      <c r="C4950" s="17" t="s">
        <v>19169</v>
      </c>
      <c r="D4950" s="17" t="s">
        <v>19170</v>
      </c>
      <c r="E4950" s="10">
        <v>2181133</v>
      </c>
      <c r="F4950" s="4" t="str">
        <f>IF(B4950=B4949,"",B4950)</f>
        <v/>
      </c>
    </row>
    <row r="4951" spans="1:6" ht="15.75" customHeight="1">
      <c r="A4951" s="6" t="s">
        <v>3554</v>
      </c>
      <c r="B4951" s="6" t="s">
        <v>3555</v>
      </c>
      <c r="C4951" s="6" t="s">
        <v>1905</v>
      </c>
      <c r="D4951" s="6" t="s">
        <v>1917</v>
      </c>
      <c r="E4951" s="2">
        <v>3446445</v>
      </c>
      <c r="F4951" s="4" t="str">
        <f>IF(B4951=B4950,"",B4951)</f>
        <v>TimÃ³teo</v>
      </c>
    </row>
    <row r="4952" spans="1:6" ht="15.75" customHeight="1">
      <c r="A4952" s="5" t="s">
        <v>30197</v>
      </c>
      <c r="B4952" s="6" t="s">
        <v>30197</v>
      </c>
      <c r="C4952" s="5" t="s">
        <v>27788</v>
      </c>
      <c r="D4952" s="5" t="s">
        <v>28023</v>
      </c>
      <c r="E4952" s="2">
        <v>4093753</v>
      </c>
      <c r="F4952" s="4" t="str">
        <f>IF(B4952=B4951,"",B4952)</f>
        <v>Tillmans Corner</v>
      </c>
    </row>
    <row r="4953" spans="1:6" ht="15.75" customHeight="1">
      <c r="A4953" s="5" t="str">
        <f ca="1">IFERROR(__xludf.DUMMYFUNCTION("GOOGLETRANSLATE(B42801,""en"",""pt"")"),"Tillmans Corner")</f>
        <v>Tillmans Corner</v>
      </c>
      <c r="B4953" s="17" t="s">
        <v>30197</v>
      </c>
      <c r="C4953" s="17" t="s">
        <v>27788</v>
      </c>
      <c r="D4953" s="17" t="s">
        <v>28023</v>
      </c>
      <c r="E4953" s="10">
        <v>4093753</v>
      </c>
      <c r="F4953" s="4" t="str">
        <f>IF(B4953=B4952,"",B4953)</f>
        <v/>
      </c>
    </row>
    <row r="4954" spans="1:6" ht="15.75" customHeight="1">
      <c r="A4954" s="5" t="str">
        <f ca="1">IFERROR(__xludf.DUMMYFUNCTION("GOOGLETRANSLATE(B37583,""en"",""pt"")"),"Tillabérii")</f>
        <v>Tillabérii</v>
      </c>
      <c r="B4954" s="17" t="s">
        <v>34804</v>
      </c>
      <c r="C4954" s="17" t="s">
        <v>19259</v>
      </c>
      <c r="D4954" s="17" t="s">
        <v>34804</v>
      </c>
      <c r="E4954" s="10">
        <v>2438678</v>
      </c>
      <c r="F4954" s="4" t="str">
        <f>IF(B4954=B4953,"",B4954)</f>
        <v>Tillabéri</v>
      </c>
    </row>
    <row r="4955" spans="1:6" ht="15.75" customHeight="1">
      <c r="A4955" s="5" t="s">
        <v>19291</v>
      </c>
      <c r="B4955" s="6" t="s">
        <v>19263</v>
      </c>
      <c r="C4955" s="5" t="s">
        <v>19259</v>
      </c>
      <c r="D4955" s="5" t="s">
        <v>19263</v>
      </c>
      <c r="E4955" s="2">
        <v>2438678</v>
      </c>
      <c r="F4955" s="4" t="str">
        <f>IF(B4955=B4954,"",B4955)</f>
        <v>TillabÃ©ri</v>
      </c>
    </row>
    <row r="4956" spans="1:6" ht="15.75" customHeight="1">
      <c r="A4956" s="6" t="s">
        <v>13571</v>
      </c>
      <c r="B4956" s="6" t="s">
        <v>13571</v>
      </c>
      <c r="C4956" s="6" t="s">
        <v>10178</v>
      </c>
      <c r="D4956" s="6" t="s">
        <v>10193</v>
      </c>
      <c r="E4956" s="2">
        <v>1254481</v>
      </c>
      <c r="F4956" s="4" t="str">
        <f>IF(B4956=B4955,"",B4956)</f>
        <v>Tilhar</v>
      </c>
    </row>
    <row r="4957" spans="1:6" ht="15.75" customHeight="1">
      <c r="A4957" s="5" t="str">
        <f ca="1">IFERROR(__xludf.DUMMYFUNCTION("GOOGLETRANSLATE(B31997,""en"",""pt"")"),"Tilhar")</f>
        <v>Tilhar</v>
      </c>
      <c r="B4957" s="17" t="s">
        <v>13571</v>
      </c>
      <c r="C4957" s="17" t="s">
        <v>10178</v>
      </c>
      <c r="D4957" s="17" t="s">
        <v>10193</v>
      </c>
      <c r="E4957" s="10">
        <v>1254481</v>
      </c>
      <c r="F4957" s="4" t="str">
        <f>IF(B4957=B4956,"",B4957)</f>
        <v/>
      </c>
    </row>
    <row r="4958" spans="1:6" ht="15.75" customHeight="1">
      <c r="A4958" s="6" t="s">
        <v>19103</v>
      </c>
      <c r="B4958" s="6" t="s">
        <v>19103</v>
      </c>
      <c r="C4958" s="6" t="s">
        <v>18862</v>
      </c>
      <c r="D4958" s="6" t="s">
        <v>18888</v>
      </c>
      <c r="E4958" s="2">
        <v>2746301</v>
      </c>
      <c r="F4958" s="4" t="str">
        <f>IF(B4958=B4957,"",B4958)</f>
        <v>Tilburg</v>
      </c>
    </row>
    <row r="4959" spans="1:6" ht="15.75" customHeight="1">
      <c r="A4959" s="5" t="str">
        <f ca="1">IFERROR(__xludf.DUMMYFUNCTION("GOOGLETRANSLATE(B37941,""en"",""pt"")"),"Tilburg")</f>
        <v>Tilburg</v>
      </c>
      <c r="B4959" s="17" t="s">
        <v>19103</v>
      </c>
      <c r="C4959" s="17" t="s">
        <v>18862</v>
      </c>
      <c r="D4959" s="17" t="s">
        <v>18888</v>
      </c>
      <c r="E4959" s="10">
        <v>2746301</v>
      </c>
      <c r="F4959" s="4" t="str">
        <f>IF(B4959=B4958,"",B4959)</f>
        <v/>
      </c>
    </row>
    <row r="4960" spans="1:6" ht="15.75" customHeight="1">
      <c r="A4960" s="5" t="str">
        <f ca="1">IFERROR(__xludf.DUMMYFUNCTION("GOOGLETRANSLATE(B34275,""en"",""pt"")"),"Tikrīt")</f>
        <v>Tikrīt</v>
      </c>
      <c r="B4960" s="17" t="s">
        <v>34068</v>
      </c>
      <c r="C4960" s="17" t="s">
        <v>14594</v>
      </c>
      <c r="D4960" s="17" t="s">
        <v>14620</v>
      </c>
      <c r="E4960" s="10">
        <v>90150</v>
      </c>
      <c r="F4960" s="4" t="str">
        <f>IF(B4960=B4959,"",B4960)</f>
        <v>Tikrīt</v>
      </c>
    </row>
    <row r="4961" spans="1:6" ht="15.75" customHeight="1">
      <c r="A4961" s="6" t="s">
        <v>14720</v>
      </c>
      <c r="B4961" s="6" t="s">
        <v>14721</v>
      </c>
      <c r="C4961" s="6" t="s">
        <v>14594</v>
      </c>
      <c r="D4961" s="6" t="s">
        <v>14620</v>
      </c>
      <c r="E4961" s="2">
        <v>90150</v>
      </c>
      <c r="F4961" s="4" t="str">
        <f>IF(B4961=B4960,"",B4961)</f>
        <v>TikrÄ«t</v>
      </c>
    </row>
    <row r="4962" spans="1:6" ht="15.75" customHeight="1">
      <c r="A4962" s="6" t="s">
        <v>3967</v>
      </c>
      <c r="B4962" s="6" t="s">
        <v>3967</v>
      </c>
      <c r="C4962" s="6" t="s">
        <v>3884</v>
      </c>
      <c r="D4962" s="6" t="s">
        <v>3898</v>
      </c>
      <c r="E4962" s="2">
        <v>2221504</v>
      </c>
      <c r="F4962" s="4" t="str">
        <f>IF(B4962=B4961,"",B4962)</f>
        <v>Tiko</v>
      </c>
    </row>
    <row r="4963" spans="1:6" ht="15.75" customHeight="1">
      <c r="A4963" s="5" t="str">
        <f ca="1">IFERROR(__xludf.DUMMYFUNCTION("GOOGLETRANSLATE(B25984,""en"",""pt"")"),"Tiko")</f>
        <v>Tiko</v>
      </c>
      <c r="B4963" s="17" t="s">
        <v>3967</v>
      </c>
      <c r="C4963" s="17" t="s">
        <v>3884</v>
      </c>
      <c r="D4963" s="17" t="s">
        <v>3898</v>
      </c>
      <c r="E4963" s="10">
        <v>2221504</v>
      </c>
      <c r="F4963" s="4" t="str">
        <f>IF(B4963=B4962,"",B4963)</f>
        <v/>
      </c>
    </row>
    <row r="4964" spans="1:6" ht="15.75" customHeight="1">
      <c r="A4964" s="6" t="s">
        <v>23186</v>
      </c>
      <c r="B4964" s="6" t="s">
        <v>23186</v>
      </c>
      <c r="C4964" s="6" t="s">
        <v>22070</v>
      </c>
      <c r="D4964" s="6" t="s">
        <v>22094</v>
      </c>
      <c r="E4964" s="2">
        <v>483019</v>
      </c>
      <c r="F4964" s="4" t="str">
        <f>IF(B4964=B4963,"",B4964)</f>
        <v>Tikhvin</v>
      </c>
    </row>
    <row r="4965" spans="1:6" ht="15.75" customHeight="1">
      <c r="A4965" s="5" t="str">
        <f ca="1">IFERROR(__xludf.DUMMYFUNCTION("GOOGLETRANSLATE(B40034,""en"",""pt"")"),"Tikhvin")</f>
        <v>Tikhvin</v>
      </c>
      <c r="B4965" s="17" t="s">
        <v>23186</v>
      </c>
      <c r="C4965" s="17" t="s">
        <v>22070</v>
      </c>
      <c r="D4965" s="17" t="s">
        <v>22094</v>
      </c>
      <c r="E4965" s="10">
        <v>483019</v>
      </c>
      <c r="F4965" s="4" t="str">
        <f>IF(B4965=B4964,"",B4965)</f>
        <v/>
      </c>
    </row>
    <row r="4966" spans="1:6" ht="15.75" customHeight="1">
      <c r="A4966" s="5" t="s">
        <v>23185</v>
      </c>
      <c r="B4966" s="6" t="s">
        <v>23185</v>
      </c>
      <c r="C4966" s="5" t="s">
        <v>22070</v>
      </c>
      <c r="D4966" s="5" t="s">
        <v>22077</v>
      </c>
      <c r="E4966" s="2">
        <v>483029</v>
      </c>
      <c r="F4966" s="4" t="str">
        <f>IF(B4966=B4965,"",B4966)</f>
        <v>Tikhoretsk</v>
      </c>
    </row>
    <row r="4967" spans="1:6" ht="15.75" customHeight="1">
      <c r="A4967" s="5" t="str">
        <f ca="1">IFERROR(__xludf.DUMMYFUNCTION("GOOGLETRANSLATE(B40035,""en"",""pt"")"),"Tikhoretsk")</f>
        <v>Tikhoretsk</v>
      </c>
      <c r="B4967" s="17" t="s">
        <v>23185</v>
      </c>
      <c r="C4967" s="17" t="s">
        <v>22070</v>
      </c>
      <c r="D4967" s="17" t="s">
        <v>22077</v>
      </c>
      <c r="E4967" s="10">
        <v>483029</v>
      </c>
      <c r="F4967" s="4" t="str">
        <f>IF(B4967=B4966,"",B4967)</f>
        <v/>
      </c>
    </row>
    <row r="4968" spans="1:6" ht="15.75" customHeight="1">
      <c r="A4968" s="5" t="str">
        <f ca="1">IFERROR(__xludf.DUMMYFUNCTION("GOOGLETRANSLATE(B38178,""en"",""pt"")"),"Tīkāpur")</f>
        <v>Tīkāpur</v>
      </c>
      <c r="B4968" s="17" t="s">
        <v>34823</v>
      </c>
      <c r="C4968" s="17" t="s">
        <v>18800</v>
      </c>
      <c r="D4968" s="17" t="s">
        <v>18820</v>
      </c>
      <c r="E4968" s="10">
        <v>1282666</v>
      </c>
      <c r="F4968" s="4" t="str">
        <f>IF(B4968=B4967,"",B4968)</f>
        <v>Tīkāpur</v>
      </c>
    </row>
    <row r="4969" spans="1:6" ht="15.75" customHeight="1">
      <c r="A4969" s="5" t="str">
        <f ca="1">IFERROR(__xludf.DUMMYFUNCTION("GOOGLETRANSLATE(B31998,""en"",""pt"")"),"Tīkamgarh")</f>
        <v>Tīkamgarh</v>
      </c>
      <c r="B4969" s="17" t="s">
        <v>32999</v>
      </c>
      <c r="C4969" s="17" t="s">
        <v>10178</v>
      </c>
      <c r="D4969" s="17" t="s">
        <v>10219</v>
      </c>
      <c r="E4969" s="10">
        <v>1254534</v>
      </c>
      <c r="F4969" s="4" t="str">
        <f>IF(B4969=B4968,"",B4969)</f>
        <v>Tīkamgarh</v>
      </c>
    </row>
    <row r="4970" spans="1:6" ht="15.75" customHeight="1">
      <c r="A4970" s="6" t="s">
        <v>3553</v>
      </c>
      <c r="B4970" s="6" t="s">
        <v>3553</v>
      </c>
      <c r="C4970" s="6" t="s">
        <v>1905</v>
      </c>
      <c r="D4970" s="6" t="s">
        <v>2020</v>
      </c>
      <c r="E4970" s="2">
        <v>3446500</v>
      </c>
      <c r="F4970" s="4" t="str">
        <f>IF(B4970=B4969,"",B4970)</f>
        <v>Tijucas</v>
      </c>
    </row>
    <row r="4971" spans="1:6" ht="15.75" customHeight="1">
      <c r="A4971" s="5" t="str">
        <f ca="1">IFERROR(__xludf.DUMMYFUNCTION("GOOGLETRANSLATE(B24491,""en"",""pt"")"),"Tijucas")</f>
        <v>Tijucas</v>
      </c>
      <c r="B4971" s="17" t="s">
        <v>3553</v>
      </c>
      <c r="C4971" s="17" t="s">
        <v>1905</v>
      </c>
      <c r="D4971" s="17" t="s">
        <v>2020</v>
      </c>
      <c r="E4971" s="10">
        <v>3446500</v>
      </c>
      <c r="F4971" s="4" t="str">
        <f>IF(B4971=B4970,"",B4971)</f>
        <v/>
      </c>
    </row>
    <row r="4972" spans="1:6" ht="15.75" customHeight="1">
      <c r="A4972" s="6" t="s">
        <v>18352</v>
      </c>
      <c r="B4972" s="6" t="s">
        <v>18352</v>
      </c>
      <c r="C4972" s="6" t="s">
        <v>17707</v>
      </c>
      <c r="D4972" s="6" t="s">
        <v>17932</v>
      </c>
      <c r="E4972" s="2">
        <v>3981609</v>
      </c>
      <c r="F4972" s="4" t="str">
        <f>IF(B4972=B4971,"",B4972)</f>
        <v>Tijuana</v>
      </c>
    </row>
    <row r="4973" spans="1:6" ht="15.75" customHeight="1">
      <c r="A4973" s="5" t="str">
        <f ca="1">IFERROR(__xludf.DUMMYFUNCTION("GOOGLETRANSLATE(B37164,""en"",""pt"")"),"Tijuana")</f>
        <v>Tijuana</v>
      </c>
      <c r="B4973" s="17" t="s">
        <v>18352</v>
      </c>
      <c r="C4973" s="17" t="s">
        <v>17707</v>
      </c>
      <c r="D4973" s="17" t="s">
        <v>17932</v>
      </c>
      <c r="E4973" s="10">
        <v>3981609</v>
      </c>
      <c r="F4973" s="4" t="str">
        <f>IF(B4973=B4972,"",B4973)</f>
        <v/>
      </c>
    </row>
    <row r="4974" spans="1:6" ht="15.75" customHeight="1">
      <c r="A4974" s="5" t="str">
        <f ca="1">IFERROR(__xludf.DUMMYFUNCTION("GOOGLETRANSLATE(B31999,""en"",""pt"")"),"Tijāra")</f>
        <v>Tijāra</v>
      </c>
      <c r="B4974" s="17" t="s">
        <v>33000</v>
      </c>
      <c r="C4974" s="17" t="s">
        <v>10178</v>
      </c>
      <c r="D4974" s="17" t="s">
        <v>10179</v>
      </c>
      <c r="E4974" s="10">
        <v>1254538</v>
      </c>
      <c r="F4974" s="4" t="str">
        <f>IF(B4974=B4973,"",B4974)</f>
        <v>Tijāra</v>
      </c>
    </row>
    <row r="4975" spans="1:6" ht="15.75" customHeight="1">
      <c r="A4975" s="6" t="s">
        <v>13569</v>
      </c>
      <c r="B4975" s="6" t="s">
        <v>13570</v>
      </c>
      <c r="C4975" s="6" t="s">
        <v>10178</v>
      </c>
      <c r="D4975" s="6" t="s">
        <v>10179</v>
      </c>
      <c r="E4975" s="2">
        <v>1254538</v>
      </c>
      <c r="F4975" s="4" t="str">
        <f>IF(B4975=B4974,"",B4975)</f>
        <v>TijÄra</v>
      </c>
    </row>
    <row r="4976" spans="1:6" ht="15.75" customHeight="1">
      <c r="A4976" s="6" t="s">
        <v>9904</v>
      </c>
      <c r="B4976" s="6" t="s">
        <v>9904</v>
      </c>
      <c r="C4976" s="6" t="s">
        <v>9866</v>
      </c>
      <c r="D4976" s="6" t="s">
        <v>9867</v>
      </c>
      <c r="E4976" s="2">
        <v>3718962</v>
      </c>
      <c r="F4976" s="4" t="str">
        <f>IF(B4976=B4975,"",B4976)</f>
        <v>Tigwav</v>
      </c>
    </row>
    <row r="4977" spans="1:6" ht="15.75" customHeight="1">
      <c r="A4977" s="5" t="str">
        <f ca="1">IFERROR(__xludf.DUMMYFUNCTION("GOOGLETRANSLATE(B31219,""en"",""pt"")"),"Tigwav")</f>
        <v>Tigwav</v>
      </c>
      <c r="B4977" s="17" t="s">
        <v>9904</v>
      </c>
      <c r="C4977" s="17" t="s">
        <v>9866</v>
      </c>
      <c r="D4977" s="17" t="s">
        <v>9867</v>
      </c>
      <c r="E4977" s="10">
        <v>3718962</v>
      </c>
      <c r="F4977" s="4" t="str">
        <f>IF(B4977=B4976,"",B4977)</f>
        <v/>
      </c>
    </row>
    <row r="4978" spans="1:6" ht="15.75" customHeight="1">
      <c r="A4978" s="6" t="s">
        <v>816</v>
      </c>
      <c r="B4978" s="6" t="s">
        <v>816</v>
      </c>
      <c r="C4978" s="6" t="s">
        <v>558</v>
      </c>
      <c r="D4978" s="6" t="s">
        <v>562</v>
      </c>
      <c r="E4978" s="2">
        <v>3427761</v>
      </c>
      <c r="F4978" s="4" t="str">
        <f>IF(B4978=B4977,"",B4978)</f>
        <v>Tigre</v>
      </c>
    </row>
    <row r="4979" spans="1:6" ht="15.75" customHeight="1">
      <c r="A4979" s="5" t="str">
        <f ca="1">IFERROR(__xludf.DUMMYFUNCTION("GOOGLETRANSLATE(B23173,""en"",""pt"")"),"Tigre")</f>
        <v>Tigre</v>
      </c>
      <c r="B4979" s="17" t="s">
        <v>816</v>
      </c>
      <c r="C4979" s="17" t="s">
        <v>558</v>
      </c>
      <c r="D4979" s="17" t="s">
        <v>562</v>
      </c>
      <c r="E4979" s="10">
        <v>3427761</v>
      </c>
      <c r="F4979" s="4" t="str">
        <f>IF(B4979=B4978,"",B4979)</f>
        <v/>
      </c>
    </row>
    <row r="4980" spans="1:6" ht="15.75" customHeight="1">
      <c r="A4980" s="6" t="s">
        <v>30196</v>
      </c>
      <c r="B4980" s="6" t="s">
        <v>30196</v>
      </c>
      <c r="C4980" s="6" t="s">
        <v>27788</v>
      </c>
      <c r="D4980" s="6" t="s">
        <v>27820</v>
      </c>
      <c r="E4980" s="2">
        <v>5756758</v>
      </c>
      <c r="F4980" s="4" t="str">
        <f>IF(B4980=B4979,"",B4980)</f>
        <v>Tigard</v>
      </c>
    </row>
    <row r="4981" spans="1:6" ht="15.75" customHeight="1">
      <c r="A4981" s="5" t="str">
        <f ca="1">IFERROR(__xludf.DUMMYFUNCTION("GOOGLETRANSLATE(B45260,""en"",""pt"")"),"Tigard")</f>
        <v>Tigard</v>
      </c>
      <c r="B4981" s="17" t="s">
        <v>30196</v>
      </c>
      <c r="C4981" s="17" t="s">
        <v>27788</v>
      </c>
      <c r="D4981" s="17" t="s">
        <v>27820</v>
      </c>
      <c r="E4981" s="10">
        <v>5756758</v>
      </c>
      <c r="F4981" s="4" t="str">
        <f>IF(B4981=B4980,"",B4981)</f>
        <v/>
      </c>
    </row>
    <row r="4982" spans="1:6" ht="15.75" customHeight="1">
      <c r="A4982" s="6" t="s">
        <v>30195</v>
      </c>
      <c r="B4982" s="6" t="s">
        <v>30195</v>
      </c>
      <c r="C4982" s="6" t="s">
        <v>27788</v>
      </c>
      <c r="D4982" s="6" t="s">
        <v>7988</v>
      </c>
      <c r="E4982" s="2">
        <v>4226552</v>
      </c>
      <c r="F4982" s="4" t="str">
        <f>IF(B4982=B4981,"",B4982)</f>
        <v>Tifton</v>
      </c>
    </row>
    <row r="4983" spans="1:6" ht="15.75" customHeight="1">
      <c r="A4983" s="5" t="str">
        <f ca="1">IFERROR(__xludf.DUMMYFUNCTION("GOOGLETRANSLATE(B43116,""en"",""pt"")"),"Tifton")</f>
        <v>Tifton</v>
      </c>
      <c r="B4983" s="17" t="s">
        <v>30195</v>
      </c>
      <c r="C4983" s="17" t="s">
        <v>27788</v>
      </c>
      <c r="D4983" s="17" t="s">
        <v>7988</v>
      </c>
      <c r="E4983" s="10">
        <v>4226552</v>
      </c>
      <c r="F4983" s="4" t="str">
        <f>IF(B4983=B4982,"",B4983)</f>
        <v/>
      </c>
    </row>
    <row r="4984" spans="1:6" ht="15.75" customHeight="1">
      <c r="A4984" s="6" t="s">
        <v>18643</v>
      </c>
      <c r="B4984" s="6" t="s">
        <v>18643</v>
      </c>
      <c r="C4984" s="6" t="s">
        <v>18551</v>
      </c>
      <c r="D4984" s="6" t="s">
        <v>18598</v>
      </c>
      <c r="E4984" s="2">
        <v>2528659</v>
      </c>
      <c r="F4984" s="4" t="str">
        <f>IF(B4984=B4983,"",B4984)</f>
        <v>Tiflet</v>
      </c>
    </row>
    <row r="4985" spans="1:6" ht="15.75" customHeight="1">
      <c r="A4985" s="5" t="str">
        <f ca="1">IFERROR(__xludf.DUMMYFUNCTION("GOOGLETRANSLATE(B36459,""en"",""pt"")"),"Tiflet")</f>
        <v>Tiflet</v>
      </c>
      <c r="B4985" s="17" t="s">
        <v>18643</v>
      </c>
      <c r="C4985" s="17" t="s">
        <v>18551</v>
      </c>
      <c r="D4985" s="17" t="s">
        <v>34585</v>
      </c>
      <c r="E4985" s="10">
        <v>2528659</v>
      </c>
      <c r="F4985" s="4" t="str">
        <f>IF(B4985=B4984,"",B4985)</f>
        <v/>
      </c>
    </row>
    <row r="4986" spans="1:6" ht="15.75" customHeight="1">
      <c r="A4986" s="6" t="s">
        <v>30194</v>
      </c>
      <c r="B4986" s="6" t="s">
        <v>30194</v>
      </c>
      <c r="C4986" s="6" t="s">
        <v>27788</v>
      </c>
      <c r="D4986" s="6" t="s">
        <v>27813</v>
      </c>
      <c r="E4986" s="2">
        <v>5173930</v>
      </c>
      <c r="F4986" s="4" t="str">
        <f>IF(B4986=B4985,"",B4986)</f>
        <v>Tiffin</v>
      </c>
    </row>
    <row r="4987" spans="1:6" ht="15.75" customHeight="1">
      <c r="A4987" s="5" t="str">
        <f ca="1">IFERROR(__xludf.DUMMYFUNCTION("GOOGLETRANSLATE(B44549,""en"",""pt"")"),"Tiffin")</f>
        <v>Tiffin</v>
      </c>
      <c r="B4987" s="17" t="s">
        <v>30194</v>
      </c>
      <c r="C4987" s="17" t="s">
        <v>27788</v>
      </c>
      <c r="D4987" s="17" t="s">
        <v>27813</v>
      </c>
      <c r="E4987" s="10">
        <v>5173930</v>
      </c>
      <c r="F4987" s="4" t="str">
        <f>IF(B4987=B4986,"",B4987)</f>
        <v/>
      </c>
    </row>
    <row r="4988" spans="1:6" ht="15.75" customHeight="1">
      <c r="A4988" s="5" t="str">
        <f ca="1">IFERROR(__xludf.DUMMYFUNCTION("GOOGLETRANSLATE(B24492,""en"",""pt"")"),"Tietê")</f>
        <v>Tietê</v>
      </c>
      <c r="B4988" s="17" t="s">
        <v>31452</v>
      </c>
      <c r="C4988" s="17" t="s">
        <v>1905</v>
      </c>
      <c r="D4988" s="17" t="s">
        <v>3354</v>
      </c>
      <c r="E4988" s="10">
        <v>3446539</v>
      </c>
      <c r="F4988" s="4" t="str">
        <f>IF(B4988=B4987,"",B4988)</f>
        <v>Tietê</v>
      </c>
    </row>
    <row r="4989" spans="1:6" ht="15.75" customHeight="1">
      <c r="A4989" s="6" t="s">
        <v>3551</v>
      </c>
      <c r="B4989" s="6" t="s">
        <v>3552</v>
      </c>
      <c r="C4989" s="6" t="s">
        <v>1905</v>
      </c>
      <c r="D4989" s="6" t="s">
        <v>1914</v>
      </c>
      <c r="E4989" s="2">
        <v>3446539</v>
      </c>
      <c r="F4989" s="4" t="str">
        <f>IF(B4989=B4988,"",B4989)</f>
        <v>TietÃª</v>
      </c>
    </row>
    <row r="4990" spans="1:6" ht="15.75" customHeight="1">
      <c r="A4990" s="6" t="s">
        <v>5628</v>
      </c>
      <c r="B4990" s="6" t="s">
        <v>5628</v>
      </c>
      <c r="C4990" s="6" t="s">
        <v>5348</v>
      </c>
      <c r="D4990" s="6" t="s">
        <v>591</v>
      </c>
      <c r="E4990" s="2">
        <v>3667158</v>
      </c>
      <c r="F4990" s="4" t="str">
        <f>IF(B4990=B4989,"",B4990)</f>
        <v>Tierralta</v>
      </c>
    </row>
    <row r="4991" spans="1:6" ht="15.75" customHeight="1">
      <c r="A4991" s="5" t="str">
        <f ca="1">IFERROR(__xludf.DUMMYFUNCTION("GOOGLETRANSLATE(B26866,""en"",""pt"")"),"Tierralta")</f>
        <v>Tierralta</v>
      </c>
      <c r="B4991" s="17" t="s">
        <v>5628</v>
      </c>
      <c r="C4991" s="17" t="s">
        <v>5348</v>
      </c>
      <c r="D4991" s="17" t="s">
        <v>31214</v>
      </c>
      <c r="E4991" s="10">
        <v>3667158</v>
      </c>
      <c r="F4991" s="4" t="str">
        <f>IF(B4991=B4990,"",B4991)</f>
        <v/>
      </c>
    </row>
    <row r="4992" spans="1:6" ht="15.75" customHeight="1">
      <c r="A4992" s="6" t="s">
        <v>1699</v>
      </c>
      <c r="B4992" s="6" t="s">
        <v>1699</v>
      </c>
      <c r="C4992" s="6" t="s">
        <v>1512</v>
      </c>
      <c r="D4992" s="6" t="s">
        <v>1513</v>
      </c>
      <c r="E4992" s="2">
        <v>2785470</v>
      </c>
      <c r="F4992" s="4" t="str">
        <f>IF(B4992=B4991,"",B4992)</f>
        <v>Tienen</v>
      </c>
    </row>
    <row r="4993" spans="1:6" ht="15.75" customHeight="1">
      <c r="A4993" s="5" t="str">
        <f ca="1">IFERROR(__xludf.DUMMYFUNCTION("GOOGLETRANSLATE(B23818,""en"",""pt"")"),"Tienen")</f>
        <v>Tienen</v>
      </c>
      <c r="B4993" s="17" t="s">
        <v>1699</v>
      </c>
      <c r="C4993" s="17" t="s">
        <v>1512</v>
      </c>
      <c r="D4993" s="17" t="s">
        <v>1513</v>
      </c>
      <c r="E4993" s="10">
        <v>2785470</v>
      </c>
      <c r="F4993" s="4" t="str">
        <f>IF(B4993=B4992,"",B4993)</f>
        <v/>
      </c>
    </row>
    <row r="4994" spans="1:6" ht="15.75" customHeight="1">
      <c r="A4994" s="6" t="s">
        <v>1698</v>
      </c>
      <c r="B4994" s="6" t="s">
        <v>1698</v>
      </c>
      <c r="C4994" s="6" t="s">
        <v>1512</v>
      </c>
      <c r="D4994" s="6" t="s">
        <v>1513</v>
      </c>
      <c r="E4994" s="2">
        <v>2785476</v>
      </c>
      <c r="F4994" s="4" t="str">
        <f>IF(B4994=B4993,"",B4994)</f>
        <v>Tielt</v>
      </c>
    </row>
    <row r="4995" spans="1:6" ht="15.75" customHeight="1">
      <c r="A4995" s="5" t="str">
        <f ca="1">IFERROR(__xludf.DUMMYFUNCTION("GOOGLETRANSLATE(B23819,""en"",""pt"")"),"Tielt")</f>
        <v>Tielt</v>
      </c>
      <c r="B4995" s="17" t="s">
        <v>1698</v>
      </c>
      <c r="C4995" s="17" t="s">
        <v>1512</v>
      </c>
      <c r="D4995" s="17" t="s">
        <v>1513</v>
      </c>
      <c r="E4995" s="10">
        <v>2785476</v>
      </c>
      <c r="F4995" s="4" t="str">
        <f>IF(B4995=B4994,"",B4995)</f>
        <v/>
      </c>
    </row>
    <row r="4996" spans="1:6" ht="15.75" customHeight="1">
      <c r="A4996" s="6" t="s">
        <v>5134</v>
      </c>
      <c r="B4996" s="6" t="s">
        <v>5134</v>
      </c>
      <c r="C4996" s="6" t="s">
        <v>4487</v>
      </c>
      <c r="D4996" s="6" t="s">
        <v>4505</v>
      </c>
      <c r="E4996" s="2">
        <v>2034439</v>
      </c>
      <c r="F4996" s="4" t="str">
        <f>IF(B4996=B4995,"",B4996)</f>
        <v>Tieling</v>
      </c>
    </row>
    <row r="4997" spans="1:6" ht="15.75" customHeight="1">
      <c r="A4997" s="5" t="str">
        <f ca="1">IFERROR(__xludf.DUMMYFUNCTION("GOOGLETRANSLATE(B26677,""en"",""pt"")"),"Tieling")</f>
        <v>Tieling</v>
      </c>
      <c r="B4997" s="17" t="s">
        <v>5134</v>
      </c>
      <c r="C4997" s="17" t="s">
        <v>4487</v>
      </c>
      <c r="D4997" s="17" t="s">
        <v>4505</v>
      </c>
      <c r="E4997" s="10">
        <v>2034439</v>
      </c>
      <c r="F4997" s="4" t="str">
        <f>IF(B4997=B4996,"",B4997)</f>
        <v/>
      </c>
    </row>
    <row r="4998" spans="1:6" ht="15.75" customHeight="1">
      <c r="A4998" s="6" t="s">
        <v>5133</v>
      </c>
      <c r="B4998" s="6" t="s">
        <v>5133</v>
      </c>
      <c r="C4998" s="6" t="s">
        <v>4487</v>
      </c>
      <c r="D4998" s="6" t="s">
        <v>4488</v>
      </c>
      <c r="E4998" s="2">
        <v>2034440</v>
      </c>
      <c r="F4998" s="4" t="str">
        <f>IF(B4998=B4997,"",B4998)</f>
        <v>Tieli</v>
      </c>
    </row>
    <row r="4999" spans="1:6" ht="15.75" customHeight="1">
      <c r="A4999" s="5" t="str">
        <f ca="1">IFERROR(__xludf.DUMMYFUNCTION("GOOGLETRANSLATE(B26678,""en"",""pt"")"),"Tieli")</f>
        <v>Tieli</v>
      </c>
      <c r="B4999" s="17" t="s">
        <v>5133</v>
      </c>
      <c r="C4999" s="17" t="s">
        <v>4487</v>
      </c>
      <c r="D4999" s="17" t="s">
        <v>4488</v>
      </c>
      <c r="E4999" s="10">
        <v>2034440</v>
      </c>
      <c r="F4999" s="4" t="str">
        <f>IF(B4999=B4998,"",B4999)</f>
        <v/>
      </c>
    </row>
    <row r="5000" spans="1:6" ht="15.75" customHeight="1">
      <c r="A5000" s="6" t="s">
        <v>19102</v>
      </c>
      <c r="B5000" s="6" t="s">
        <v>19102</v>
      </c>
      <c r="C5000" s="6" t="s">
        <v>18862</v>
      </c>
      <c r="D5000" s="6" t="s">
        <v>18865</v>
      </c>
      <c r="E5000" s="2">
        <v>2746331</v>
      </c>
      <c r="F5000" s="4" t="str">
        <f>IF(B5000=B4999,"",B5000)</f>
        <v>Tiel</v>
      </c>
    </row>
    <row r="5001" spans="1:6" ht="15.75" customHeight="1">
      <c r="A5001" s="5" t="str">
        <f ca="1">IFERROR(__xludf.DUMMYFUNCTION("GOOGLETRANSLATE(B37942,""en"",""pt"")"),"Tiel")</f>
        <v>Tiel</v>
      </c>
      <c r="B5001" s="17" t="s">
        <v>19102</v>
      </c>
      <c r="C5001" s="17" t="s">
        <v>18862</v>
      </c>
      <c r="D5001" s="17" t="s">
        <v>18865</v>
      </c>
      <c r="E5001" s="10">
        <v>2746331</v>
      </c>
      <c r="F5001" s="4" t="str">
        <f>IF(B5001=B5000,"",B5001)</f>
        <v/>
      </c>
    </row>
    <row r="5002" spans="1:6" ht="15.75" customHeight="1">
      <c r="A5002" s="5" t="str">
        <f ca="1">IFERROR(__xludf.DUMMYFUNCTION("GOOGLETRANSLATE(B41287,""en"",""pt"")"),"Tiébo")</f>
        <v>Tiébo</v>
      </c>
      <c r="B5002" s="17" t="s">
        <v>35703</v>
      </c>
      <c r="C5002" s="17" t="s">
        <v>23559</v>
      </c>
      <c r="D5002" s="17" t="s">
        <v>23580</v>
      </c>
      <c r="E5002" s="10">
        <v>2244616</v>
      </c>
      <c r="F5002" s="4" t="str">
        <f>IF(B5002=B5001,"",B5002)</f>
        <v>Tiébo</v>
      </c>
    </row>
    <row r="5003" spans="1:6" ht="15.75" customHeight="1">
      <c r="A5003" s="6" t="s">
        <v>18351</v>
      </c>
      <c r="B5003" s="6" t="s">
        <v>18351</v>
      </c>
      <c r="C5003" s="6" t="s">
        <v>17707</v>
      </c>
      <c r="D5003" s="6" t="s">
        <v>17823</v>
      </c>
      <c r="E5003" s="2">
        <v>3515665</v>
      </c>
      <c r="F5003" s="4" t="str">
        <f>IF(B5003=B5002,"",B5003)</f>
        <v>Ticul</v>
      </c>
    </row>
    <row r="5004" spans="1:6" ht="15.75" customHeight="1">
      <c r="A5004" s="5" t="str">
        <f ca="1">IFERROR(__xludf.DUMMYFUNCTION("GOOGLETRANSLATE(B36883,""en"",""pt"")"),"Ticul")</f>
        <v>Ticul</v>
      </c>
      <c r="B5004" s="17" t="s">
        <v>18351</v>
      </c>
      <c r="C5004" s="17" t="s">
        <v>17707</v>
      </c>
      <c r="D5004" s="17" t="s">
        <v>34661</v>
      </c>
      <c r="E5004" s="10">
        <v>3515665</v>
      </c>
      <c r="F5004" s="4" t="str">
        <f>IF(B5004=B5003,"",B5004)</f>
        <v/>
      </c>
    </row>
    <row r="5005" spans="1:6" ht="15.75" customHeight="1">
      <c r="A5005" s="6" t="s">
        <v>19290</v>
      </c>
      <c r="B5005" s="6" t="s">
        <v>19290</v>
      </c>
      <c r="C5005" s="6" t="s">
        <v>19259</v>
      </c>
      <c r="D5005" s="6" t="s">
        <v>19267</v>
      </c>
      <c r="E5005" s="2">
        <v>2438774</v>
      </c>
      <c r="F5005" s="4" t="str">
        <f>IF(B5005=B5004,"",B5005)</f>
        <v>Tibiri</v>
      </c>
    </row>
    <row r="5006" spans="1:6" ht="15.75" customHeight="1">
      <c r="A5006" s="5" t="str">
        <f ca="1">IFERROR(__xludf.DUMMYFUNCTION("GOOGLETRANSLATE(B37584,""en"",""pt"")"),"Tibiri")</f>
        <v>Tibiri</v>
      </c>
      <c r="B5006" s="17" t="s">
        <v>19290</v>
      </c>
      <c r="C5006" s="17" t="s">
        <v>19259</v>
      </c>
      <c r="D5006" s="17" t="s">
        <v>19267</v>
      </c>
      <c r="E5006" s="10">
        <v>2438774</v>
      </c>
      <c r="F5006" s="4" t="str">
        <f>IF(B5006=B5005,"",B5006)</f>
        <v/>
      </c>
    </row>
    <row r="5007" spans="1:6" ht="15.75" customHeight="1">
      <c r="A5007" s="5" t="s">
        <v>14876</v>
      </c>
      <c r="B5007" s="6" t="s">
        <v>14877</v>
      </c>
      <c r="C5007" s="5" t="s">
        <v>14773</v>
      </c>
      <c r="D5007" s="5" t="s">
        <v>14774</v>
      </c>
      <c r="E5007" s="2">
        <v>293322</v>
      </c>
      <c r="F5007" s="4" t="str">
        <f>IF(B5007=B5006,"",B5007)</f>
        <v>Tiberias</v>
      </c>
    </row>
    <row r="5008" spans="1:6" ht="15.75" customHeight="1">
      <c r="A5008" s="5" t="str">
        <f ca="1">IFERROR(__xludf.DUMMYFUNCTION("GOOGLETRANSLATE(B31763,""en"",""pt"")"),"Tiberíades")</f>
        <v>Tiberíades</v>
      </c>
      <c r="B5008" s="17" t="s">
        <v>14877</v>
      </c>
      <c r="C5008" s="17" t="s">
        <v>14773</v>
      </c>
      <c r="D5008" s="17" t="s">
        <v>14774</v>
      </c>
      <c r="E5008" s="10">
        <v>293322</v>
      </c>
      <c r="F5008" s="4" t="str">
        <f>IF(B5008=B5007,"",B5008)</f>
        <v/>
      </c>
    </row>
    <row r="5009" spans="1:6" ht="15.75" customHeight="1">
      <c r="A5009" s="6" t="s">
        <v>3966</v>
      </c>
      <c r="B5009" s="6" t="s">
        <v>3966</v>
      </c>
      <c r="C5009" s="6" t="s">
        <v>3884</v>
      </c>
      <c r="D5009" s="6" t="s">
        <v>3902</v>
      </c>
      <c r="E5009" s="2">
        <v>2221530</v>
      </c>
      <c r="F5009" s="4" t="str">
        <f>IF(B5009=B5008,"",B5009)</f>
        <v>Tibati</v>
      </c>
    </row>
    <row r="5010" spans="1:6" ht="15.75" customHeight="1">
      <c r="A5010" s="5" t="str">
        <f ca="1">IFERROR(__xludf.DUMMYFUNCTION("GOOGLETRANSLATE(B25985,""en"",""pt"")"),"Tibati")</f>
        <v>Tibati</v>
      </c>
      <c r="B5010" s="17" t="s">
        <v>3966</v>
      </c>
      <c r="C5010" s="17" t="s">
        <v>3884</v>
      </c>
      <c r="D5010" s="17" t="s">
        <v>3902</v>
      </c>
      <c r="E5010" s="10">
        <v>2221530</v>
      </c>
      <c r="F5010" s="4" t="str">
        <f>IF(B5010=B5009,"",B5010)</f>
        <v/>
      </c>
    </row>
    <row r="5011" spans="1:6" ht="15.75" customHeight="1">
      <c r="A5011" s="5" t="str">
        <f ca="1">IFERROR(__xludf.DUMMYFUNCTION("GOOGLETRANSLATE(B25831,""en"",""pt"")"),"Tiassalé")</f>
        <v>Tiassalé</v>
      </c>
      <c r="B5011" s="17" t="s">
        <v>15671</v>
      </c>
      <c r="C5011" s="17" t="s">
        <v>15586</v>
      </c>
      <c r="D5011" s="17" t="s">
        <v>15589</v>
      </c>
      <c r="E5011" s="10">
        <v>2280761</v>
      </c>
      <c r="F5011" s="4" t="str">
        <f>IF(B5011=B5010,"",B5011)</f>
        <v>Tiassalé</v>
      </c>
    </row>
    <row r="5012" spans="1:6" ht="15.75" customHeight="1">
      <c r="A5012" s="6" t="s">
        <v>15671</v>
      </c>
      <c r="B5012" s="6" t="s">
        <v>15672</v>
      </c>
      <c r="C5012" s="6" t="s">
        <v>15586</v>
      </c>
      <c r="D5012" s="6" t="s">
        <v>15589</v>
      </c>
      <c r="E5012" s="2">
        <v>2280761</v>
      </c>
      <c r="F5012" s="4" t="str">
        <f>IF(B5012=B5011,"",B5012)</f>
        <v>TiassalÃ©</v>
      </c>
    </row>
    <row r="5013" spans="1:6" ht="15.75" customHeight="1">
      <c r="A5013" s="5" t="str">
        <f ca="1">IFERROR(__xludf.DUMMYFUNCTION("GOOGLETRANSLATE(B28974,""en"",""pt"")"),"Tías")</f>
        <v>Tías</v>
      </c>
      <c r="B5013" s="17" t="s">
        <v>32355</v>
      </c>
      <c r="C5013" s="17" t="s">
        <v>24200</v>
      </c>
      <c r="D5013" s="17" t="s">
        <v>24212</v>
      </c>
      <c r="E5013" s="10">
        <v>2510485</v>
      </c>
      <c r="F5013" s="4" t="str">
        <f>IF(B5013=B5012,"",B5013)</f>
        <v>Tías</v>
      </c>
    </row>
    <row r="5014" spans="1:6" ht="15.75" customHeight="1">
      <c r="A5014" s="6" t="s">
        <v>163</v>
      </c>
      <c r="B5014" s="6" t="s">
        <v>163</v>
      </c>
      <c r="C5014" s="6" t="s">
        <v>153</v>
      </c>
      <c r="D5014" s="6" t="s">
        <v>163</v>
      </c>
      <c r="E5014" s="2">
        <v>2476897</v>
      </c>
      <c r="F5014" s="4" t="str">
        <f>IF(B5014=B5013,"",B5014)</f>
        <v>Tiaret</v>
      </c>
    </row>
    <row r="5015" spans="1:6" ht="15.75" customHeight="1">
      <c r="A5015" s="5" t="str">
        <f ca="1">IFERROR(__xludf.DUMMYFUNCTION("GOOGLETRANSLATE(B28517,""en"",""pt"")"),"Tiaret")</f>
        <v>Tiaret</v>
      </c>
      <c r="B5015" s="17" t="s">
        <v>163</v>
      </c>
      <c r="C5015" s="17" t="s">
        <v>153</v>
      </c>
      <c r="D5015" s="17" t="s">
        <v>163</v>
      </c>
      <c r="E5015" s="10">
        <v>2476897</v>
      </c>
      <c r="F5015" s="4" t="str">
        <f>IF(B5015=B5014,"",B5015)</f>
        <v/>
      </c>
    </row>
    <row r="5016" spans="1:6" ht="15.75" customHeight="1">
      <c r="A5016" s="6" t="s">
        <v>5132</v>
      </c>
      <c r="B5016" s="6" t="s">
        <v>5132</v>
      </c>
      <c r="C5016" s="6" t="s">
        <v>4487</v>
      </c>
      <c r="D5016" s="6" t="s">
        <v>4526</v>
      </c>
      <c r="E5016" s="2">
        <v>1792892</v>
      </c>
      <c r="F5016" s="4" t="str">
        <f>IF(B5016=B5015,"",B5016)</f>
        <v>Tianshui</v>
      </c>
    </row>
    <row r="5017" spans="1:6" ht="15.75" customHeight="1">
      <c r="A5017" s="5" t="str">
        <f ca="1">IFERROR(__xludf.DUMMYFUNCTION("GOOGLETRANSLATE(B26233,""en"",""pt"")"),"Tianshui")</f>
        <v>Tianshui</v>
      </c>
      <c r="B5017" s="17" t="s">
        <v>5132</v>
      </c>
      <c r="C5017" s="17" t="s">
        <v>4487</v>
      </c>
      <c r="D5017" s="17" t="s">
        <v>4526</v>
      </c>
      <c r="E5017" s="10">
        <v>1792892</v>
      </c>
      <c r="F5017" s="4" t="str">
        <f>IF(B5017=B5016,"",B5017)</f>
        <v/>
      </c>
    </row>
    <row r="5018" spans="1:6" ht="15.75" customHeight="1">
      <c r="A5018" s="6" t="s">
        <v>5131</v>
      </c>
      <c r="B5018" s="6" t="s">
        <v>5131</v>
      </c>
      <c r="C5018" s="6" t="s">
        <v>4487</v>
      </c>
      <c r="D5018" s="6" t="s">
        <v>4588</v>
      </c>
      <c r="E5018" s="2">
        <v>1792916</v>
      </c>
      <c r="F5018" s="4" t="str">
        <f>IF(B5018=B5017,"",B5018)</f>
        <v>Tianpeng</v>
      </c>
    </row>
    <row r="5019" spans="1:6" ht="15.75" customHeight="1">
      <c r="A5019" s="5" t="str">
        <f ca="1">IFERROR(__xludf.DUMMYFUNCTION("GOOGLETRANSLATE(B26234,""en"",""pt"")"),"Tianpeng")</f>
        <v>Tianpeng</v>
      </c>
      <c r="B5019" s="17" t="s">
        <v>5131</v>
      </c>
      <c r="C5019" s="17" t="s">
        <v>4487</v>
      </c>
      <c r="D5019" s="17" t="s">
        <v>4588</v>
      </c>
      <c r="E5019" s="10">
        <v>1792916</v>
      </c>
      <c r="F5019" s="4" t="str">
        <f>IF(B5019=B5018,"",B5019)</f>
        <v/>
      </c>
    </row>
    <row r="5020" spans="1:6" ht="15.75" customHeight="1">
      <c r="A5020" s="6" t="s">
        <v>5130</v>
      </c>
      <c r="B5020" s="6" t="s">
        <v>5130</v>
      </c>
      <c r="C5020" s="6" t="s">
        <v>4487</v>
      </c>
      <c r="D5020" s="6" t="s">
        <v>4726</v>
      </c>
      <c r="E5020" s="2">
        <v>1792947</v>
      </c>
      <c r="F5020" s="4" t="str">
        <f>IF(B5020=B5019,"",B5020)</f>
        <v>Tianjin</v>
      </c>
    </row>
    <row r="5021" spans="1:6" ht="15.75" customHeight="1">
      <c r="A5021" s="5" t="str">
        <f ca="1">IFERROR(__xludf.DUMMYFUNCTION("GOOGLETRANSLATE(B26235,""en"",""pt"")"),"Tianjin")</f>
        <v>Tianjin</v>
      </c>
      <c r="B5021" s="17" t="s">
        <v>5130</v>
      </c>
      <c r="C5021" s="17" t="s">
        <v>4487</v>
      </c>
      <c r="D5021" s="17" t="s">
        <v>4726</v>
      </c>
      <c r="E5021" s="10">
        <v>1792947</v>
      </c>
      <c r="F5021" s="4" t="str">
        <f>IF(B5021=B5020,"",B5021)</f>
        <v/>
      </c>
    </row>
    <row r="5022" spans="1:6" ht="15.75" customHeight="1">
      <c r="A5022" s="6" t="s">
        <v>3549</v>
      </c>
      <c r="B5022" s="6" t="s">
        <v>3550</v>
      </c>
      <c r="C5022" s="6" t="s">
        <v>1905</v>
      </c>
      <c r="D5022" s="6" t="s">
        <v>1930</v>
      </c>
      <c r="E5022" s="2">
        <v>3386449</v>
      </c>
      <c r="F5022" s="4" t="str">
        <f>IF(B5022=B5021,"",B5022)</f>
        <v>TianguÃ¡</v>
      </c>
    </row>
    <row r="5023" spans="1:6" ht="15.75" customHeight="1">
      <c r="A5023" s="5" t="str">
        <f ca="1">IFERROR(__xludf.DUMMYFUNCTION("GOOGLETRANSLATE(B24167,""en"",""pt"")"),"Tianguá")</f>
        <v>Tianguá</v>
      </c>
      <c r="B5023" s="17" t="s">
        <v>31354</v>
      </c>
      <c r="C5023" s="17" t="s">
        <v>1905</v>
      </c>
      <c r="D5023" s="17" t="s">
        <v>31345</v>
      </c>
      <c r="E5023" s="10">
        <v>3386449</v>
      </c>
      <c r="F5023" s="4" t="str">
        <f>IF(B5023=B5022,"",B5023)</f>
        <v>Tianguá</v>
      </c>
    </row>
    <row r="5024" spans="1:6" ht="15.75" customHeight="1">
      <c r="A5024" s="6" t="s">
        <v>5129</v>
      </c>
      <c r="B5024" s="6" t="s">
        <v>5129</v>
      </c>
      <c r="C5024" s="6" t="s">
        <v>4487</v>
      </c>
      <c r="D5024" s="6" t="s">
        <v>4503</v>
      </c>
      <c r="E5024" s="2">
        <v>1791536</v>
      </c>
      <c r="F5024" s="4" t="str">
        <f>IF(B5024=B5023,"",B5024)</f>
        <v>Tianfu</v>
      </c>
    </row>
    <row r="5025" spans="1:6" ht="15.75" customHeight="1">
      <c r="A5025" s="5" t="str">
        <f ca="1">IFERROR(__xludf.DUMMYFUNCTION("GOOGLETRANSLATE(B26218,""en"",""pt"")"),"Tianfu")</f>
        <v>Tianfu</v>
      </c>
      <c r="B5025" s="17" t="s">
        <v>5129</v>
      </c>
      <c r="C5025" s="17" t="s">
        <v>4487</v>
      </c>
      <c r="D5025" s="17" t="s">
        <v>4503</v>
      </c>
      <c r="E5025" s="10">
        <v>1791536</v>
      </c>
      <c r="F5025" s="4" t="str">
        <f>IF(B5025=B5024,"",B5025)</f>
        <v/>
      </c>
    </row>
    <row r="5026" spans="1:6" ht="15.75" customHeight="1">
      <c r="A5026" s="5" t="s">
        <v>5128</v>
      </c>
      <c r="B5026" s="6" t="s">
        <v>5128</v>
      </c>
      <c r="C5026" s="5" t="s">
        <v>4487</v>
      </c>
      <c r="D5026" s="5" t="s">
        <v>4529</v>
      </c>
      <c r="E5026" s="2">
        <v>1805563</v>
      </c>
      <c r="F5026" s="4" t="str">
        <f>IF(B5026=B5025,"",B5026)</f>
        <v>Tianchang</v>
      </c>
    </row>
    <row r="5027" spans="1:6" ht="15.75" customHeight="1">
      <c r="A5027" s="5" t="str">
        <f ca="1">IFERROR(__xludf.DUMMYFUNCTION("GOOGLETRANSLATE(B26439,""en"",""pt"")"),"Tianchang")</f>
        <v>Tianchang</v>
      </c>
      <c r="B5027" s="17" t="s">
        <v>5128</v>
      </c>
      <c r="C5027" s="17" t="s">
        <v>4487</v>
      </c>
      <c r="D5027" s="17" t="s">
        <v>4529</v>
      </c>
      <c r="E5027" s="10">
        <v>1805563</v>
      </c>
      <c r="F5027" s="4" t="str">
        <f>IF(B5027=B5026,"",B5027)</f>
        <v/>
      </c>
    </row>
    <row r="5028" spans="1:6" ht="15.75" customHeight="1">
      <c r="A5028" s="6" t="s">
        <v>23596</v>
      </c>
      <c r="B5028" s="6" t="s">
        <v>23597</v>
      </c>
      <c r="C5028" s="6" t="s">
        <v>23559</v>
      </c>
      <c r="D5028" s="6" t="s">
        <v>23580</v>
      </c>
      <c r="E5028" s="2">
        <v>2244616</v>
      </c>
      <c r="F5028" s="4" t="str">
        <f>IF(B5028=B5027,"",B5028)</f>
        <v>TiÃ©bo</v>
      </c>
    </row>
    <row r="5029" spans="1:6" ht="15.75" customHeight="1">
      <c r="A5029" s="5" t="s">
        <v>9902</v>
      </c>
      <c r="B5029" s="6" t="s">
        <v>9903</v>
      </c>
      <c r="C5029" s="5" t="s">
        <v>9866</v>
      </c>
      <c r="D5029" s="5" t="s">
        <v>9899</v>
      </c>
      <c r="E5029" s="2">
        <v>3740016</v>
      </c>
      <c r="F5029" s="4" t="str">
        <f>IF(B5029=B5028,"",B5029)</f>
        <v>Ti Port-de-Paix</v>
      </c>
    </row>
    <row r="5030" spans="1:6" ht="15.75" customHeight="1">
      <c r="A5030" s="5" t="str">
        <f ca="1">IFERROR(__xludf.DUMMYFUNCTION("GOOGLETRANSLATE(B31238,""en"",""pt"")"),"Ti porta-de-paix")</f>
        <v>Ti porta-de-paix</v>
      </c>
      <c r="B5030" s="17" t="s">
        <v>9903</v>
      </c>
      <c r="C5030" s="17" t="s">
        <v>9866</v>
      </c>
      <c r="D5030" s="17" t="s">
        <v>9899</v>
      </c>
      <c r="E5030" s="10">
        <v>3740016</v>
      </c>
      <c r="F5030" s="4" t="str">
        <f>IF(B5030=B5029,"",B5030)</f>
        <v/>
      </c>
    </row>
    <row r="5031" spans="1:6" ht="15.75" customHeight="1">
      <c r="A5031" s="5" t="s">
        <v>26019</v>
      </c>
      <c r="B5031" s="6" t="s">
        <v>26019</v>
      </c>
      <c r="C5031" s="5" t="s">
        <v>25771</v>
      </c>
      <c r="D5031" s="5" t="s">
        <v>25938</v>
      </c>
      <c r="E5031" s="2">
        <v>1150085</v>
      </c>
      <c r="F5031" s="4" t="str">
        <f>IF(B5031=B5030,"",B5031)</f>
        <v>Thung Song</v>
      </c>
    </row>
    <row r="5032" spans="1:6" ht="15.75" customHeight="1">
      <c r="A5032" s="5" t="str">
        <f ca="1">IFERROR(__xludf.DUMMYFUNCTION("GOOGLETRANSLATE(B41516,""en"",""pt"")"),"Thung Song")</f>
        <v>Thung Song</v>
      </c>
      <c r="B5032" s="17" t="s">
        <v>26019</v>
      </c>
      <c r="C5032" s="17" t="s">
        <v>25771</v>
      </c>
      <c r="D5032" s="17" t="s">
        <v>25938</v>
      </c>
      <c r="E5032" s="10">
        <v>1150085</v>
      </c>
      <c r="F5032" s="4" t="str">
        <f>IF(B5032=B5031,"",B5032)</f>
        <v/>
      </c>
    </row>
    <row r="5033" spans="1:6" ht="15.75" customHeight="1">
      <c r="A5033" s="5" t="s">
        <v>4218</v>
      </c>
      <c r="B5033" s="6" t="s">
        <v>4219</v>
      </c>
      <c r="C5033" s="5" t="s">
        <v>3975</v>
      </c>
      <c r="D5033" s="5" t="s">
        <v>3980</v>
      </c>
      <c r="E5033" s="2">
        <v>6166142</v>
      </c>
      <c r="F5033" s="4" t="str">
        <f>IF(B5033=B5032,"",B5033)</f>
        <v>Thunder Bay</v>
      </c>
    </row>
    <row r="5034" spans="1:6" ht="15.75" customHeight="1">
      <c r="A5034" s="5" t="str">
        <f ca="1">IFERROR(__xludf.DUMMYFUNCTION("GOOGLETRANSLATE(B25596,""en"",""pt"")"),"Baia do Trovão")</f>
        <v>Baia do Trovão</v>
      </c>
      <c r="B5034" s="17" t="s">
        <v>4219</v>
      </c>
      <c r="C5034" s="17" t="s">
        <v>3975</v>
      </c>
      <c r="D5034" s="17" t="s">
        <v>3980</v>
      </c>
      <c r="E5034" s="10">
        <v>6166142</v>
      </c>
      <c r="F5034" s="4" t="str">
        <f>IF(B5034=B5033,"",B5034)</f>
        <v/>
      </c>
    </row>
    <row r="5035" spans="1:6" ht="15.75" customHeight="1">
      <c r="A5035" s="6" t="s">
        <v>25314</v>
      </c>
      <c r="B5035" s="6" t="s">
        <v>25314</v>
      </c>
      <c r="C5035" s="6" t="s">
        <v>25237</v>
      </c>
      <c r="D5035" s="6" t="s">
        <v>25250</v>
      </c>
      <c r="E5035" s="2">
        <v>2658377</v>
      </c>
      <c r="F5035" s="4" t="str">
        <f>IF(B5035=B5034,"",B5035)</f>
        <v>Thun</v>
      </c>
    </row>
    <row r="5036" spans="1:6" ht="15.75" customHeight="1">
      <c r="A5036" s="5" t="str">
        <f ca="1">IFERROR(__xludf.DUMMYFUNCTION("GOOGLETRANSLATE(B25751,""en"",""pt"")"),"Thun")</f>
        <v>Thun</v>
      </c>
      <c r="B5036" s="17" t="s">
        <v>25314</v>
      </c>
      <c r="C5036" s="17" t="s">
        <v>25237</v>
      </c>
      <c r="D5036" s="17" t="s">
        <v>25250</v>
      </c>
      <c r="E5036" s="10">
        <v>2658377</v>
      </c>
      <c r="F5036" s="4" t="str">
        <f>IF(B5036=B5035,"",B5036)</f>
        <v/>
      </c>
    </row>
    <row r="5037" spans="1:6" ht="15.75" customHeight="1">
      <c r="A5037" s="6" t="s">
        <v>20270</v>
      </c>
      <c r="B5037" s="6" t="s">
        <v>20270</v>
      </c>
      <c r="C5037" s="6" t="s">
        <v>19808</v>
      </c>
      <c r="D5037" s="6" t="s">
        <v>19823</v>
      </c>
      <c r="E5037" s="2">
        <v>1163414</v>
      </c>
      <c r="F5037" s="4" t="str">
        <f>IF(B5037=B5036,"",B5037)</f>
        <v>Thul</v>
      </c>
    </row>
    <row r="5038" spans="1:6" ht="15.75" customHeight="1">
      <c r="A5038" s="5" t="str">
        <f ca="1">IFERROR(__xludf.DUMMYFUNCTION("GOOGLETRANSLATE(B38884,""en"",""pt"")"),"Thul")</f>
        <v>Thul</v>
      </c>
      <c r="B5038" s="17" t="s">
        <v>20270</v>
      </c>
      <c r="C5038" s="17" t="s">
        <v>19808</v>
      </c>
      <c r="D5038" s="17" t="s">
        <v>19823</v>
      </c>
      <c r="E5038" s="10">
        <v>1163414</v>
      </c>
      <c r="F5038" s="4" t="str">
        <f>IF(B5038=B5037,"",B5038)</f>
        <v/>
      </c>
    </row>
    <row r="5039" spans="1:6" ht="15.75" customHeight="1">
      <c r="A5039" s="5" t="str">
        <f ca="1">IFERROR(__xludf.DUMMYFUNCTION("GOOGLETRANSLATE(B45721,""en"",""pt"")"),"Thủ dầu một")</f>
        <v>Thủ dầu một</v>
      </c>
      <c r="B5039" s="17" t="s">
        <v>36121</v>
      </c>
      <c r="C5039" s="17" t="s">
        <v>30784</v>
      </c>
      <c r="D5039" s="17" t="s">
        <v>36122</v>
      </c>
      <c r="E5039" s="10">
        <v>1565022</v>
      </c>
      <c r="F5039" s="4" t="str">
        <f>IF(B5039=B5038,"",B5039)</f>
        <v>Thủ Dầu Một</v>
      </c>
    </row>
    <row r="5040" spans="1:6" ht="15.75" customHeight="1">
      <c r="A5040" s="6" t="s">
        <v>30192</v>
      </c>
      <c r="B5040" s="6" t="s">
        <v>30193</v>
      </c>
      <c r="C5040" s="6" t="s">
        <v>27788</v>
      </c>
      <c r="D5040" s="6" t="s">
        <v>5468</v>
      </c>
      <c r="E5040" s="2">
        <v>4175296</v>
      </c>
      <c r="F5040" s="4" t="str">
        <f>IF(B5040=B5039,"",B5040)</f>
        <v>Three Lakes</v>
      </c>
    </row>
    <row r="5041" spans="1:6" ht="15.75" customHeight="1">
      <c r="A5041" s="5" t="str">
        <f ca="1">IFERROR(__xludf.DUMMYFUNCTION("GOOGLETRANSLATE(B43034,""en"",""pt"")"),"Três lagos")</f>
        <v>Três lagos</v>
      </c>
      <c r="B5041" s="17" t="s">
        <v>30193</v>
      </c>
      <c r="C5041" s="17" t="s">
        <v>27788</v>
      </c>
      <c r="D5041" s="17" t="s">
        <v>5468</v>
      </c>
      <c r="E5041" s="10">
        <v>4175296</v>
      </c>
      <c r="F5041" s="4" t="str">
        <f>IF(B5041=B5040,"",B5041)</f>
        <v/>
      </c>
    </row>
    <row r="5042" spans="1:6" ht="15.75" customHeight="1">
      <c r="A5042" s="5" t="s">
        <v>30190</v>
      </c>
      <c r="B5042" s="6" t="s">
        <v>30191</v>
      </c>
      <c r="C5042" s="5" t="s">
        <v>27788</v>
      </c>
      <c r="D5042" s="5" t="s">
        <v>27801</v>
      </c>
      <c r="E5042" s="2">
        <v>5402405</v>
      </c>
      <c r="F5042" s="4" t="str">
        <f>IF(B5042=B5041,"",B5042)</f>
        <v>Thousand Oaks</v>
      </c>
    </row>
    <row r="5043" spans="1:6" ht="15.75" customHeight="1">
      <c r="A5043" s="5" t="str">
        <f ca="1">IFERROR(__xludf.DUMMYFUNCTION("GOOGLETRANSLATE(B45055,""en"",""pt"")"),"Mil carvalhos")</f>
        <v>Mil carvalhos</v>
      </c>
      <c r="B5043" s="17" t="s">
        <v>30191</v>
      </c>
      <c r="C5043" s="17" t="s">
        <v>27788</v>
      </c>
      <c r="D5043" s="17" t="s">
        <v>27801</v>
      </c>
      <c r="E5043" s="10">
        <v>5402405</v>
      </c>
      <c r="F5043" s="4" t="str">
        <f>IF(B5043=B5042,"",B5043)</f>
        <v/>
      </c>
    </row>
    <row r="5044" spans="1:6" ht="15.75" customHeight="1">
      <c r="A5044" s="5" t="str">
        <f ca="1">IFERROR(__xludf.DUMMYFUNCTION("GOOGLETRANSLATE(B32000,""en"",""pt"")"),"Toubāl")</f>
        <v>Toubāl</v>
      </c>
      <c r="B5044" s="17" t="s">
        <v>33001</v>
      </c>
      <c r="C5044" s="17" t="s">
        <v>10178</v>
      </c>
      <c r="D5044" s="17" t="s">
        <v>11001</v>
      </c>
      <c r="E5044" s="10">
        <v>1254570</v>
      </c>
      <c r="F5044" s="4" t="str">
        <f>IF(B5044=B5043,"",B5044)</f>
        <v>Thoubāl</v>
      </c>
    </row>
    <row r="5045" spans="1:6" ht="15.75" customHeight="1">
      <c r="A5045" s="6" t="s">
        <v>13567</v>
      </c>
      <c r="B5045" s="6" t="s">
        <v>13568</v>
      </c>
      <c r="C5045" s="6" t="s">
        <v>10178</v>
      </c>
      <c r="D5045" s="6" t="s">
        <v>11001</v>
      </c>
      <c r="E5045" s="2">
        <v>1254570</v>
      </c>
      <c r="F5045" s="4" t="str">
        <f>IF(B5045=B5044,"",B5045)</f>
        <v>ThoubÄl</v>
      </c>
    </row>
    <row r="5046" spans="1:6" ht="15.75" customHeight="1">
      <c r="A5046" s="6" t="s">
        <v>4217</v>
      </c>
      <c r="B5046" s="6" t="s">
        <v>4217</v>
      </c>
      <c r="C5046" s="6" t="s">
        <v>3975</v>
      </c>
      <c r="D5046" s="6" t="s">
        <v>3980</v>
      </c>
      <c r="E5046" s="2">
        <v>6165719</v>
      </c>
      <c r="F5046" s="4" t="str">
        <f>IF(B5046=B5045,"",B5046)</f>
        <v>Thorold</v>
      </c>
    </row>
    <row r="5047" spans="1:6" ht="15.75" customHeight="1">
      <c r="A5047" s="5" t="str">
        <f ca="1">IFERROR(__xludf.DUMMYFUNCTION("GOOGLETRANSLATE(B25595,""en"",""pt"")"),"Thorold")</f>
        <v>Thorold</v>
      </c>
      <c r="B5047" s="17" t="s">
        <v>4217</v>
      </c>
      <c r="C5047" s="17" t="s">
        <v>3975</v>
      </c>
      <c r="D5047" s="17" t="s">
        <v>3980</v>
      </c>
      <c r="E5047" s="10">
        <v>6165719</v>
      </c>
      <c r="F5047" s="4" t="str">
        <f>IF(B5047=B5046,"",B5047)</f>
        <v/>
      </c>
    </row>
    <row r="5048" spans="1:6" ht="15.75" customHeight="1">
      <c r="A5048" s="5" t="s">
        <v>27715</v>
      </c>
      <c r="B5048" s="6" t="s">
        <v>27715</v>
      </c>
      <c r="C5048" s="5" t="s">
        <v>27234</v>
      </c>
      <c r="D5048" s="5" t="s">
        <v>27241</v>
      </c>
      <c r="E5048" s="2">
        <v>8299615</v>
      </c>
      <c r="F5048" s="4" t="str">
        <f>IF(B5048=B5047,"",B5048)</f>
        <v>Thornton-Cleveleys</v>
      </c>
    </row>
    <row r="5049" spans="1:6" ht="15.75" customHeight="1">
      <c r="A5049" s="5" t="str">
        <f ca="1">IFERROR(__xludf.DUMMYFUNCTION("GOOGLETRANSLATE(B30818,""en"",""pt"")"),"Thornton-Cleveleys")</f>
        <v>Thornton-Cleveleys</v>
      </c>
      <c r="B5049" s="17" t="s">
        <v>27715</v>
      </c>
      <c r="C5049" s="17" t="s">
        <v>27234</v>
      </c>
      <c r="D5049" s="17" t="s">
        <v>27241</v>
      </c>
      <c r="E5049" s="10">
        <v>8299615</v>
      </c>
      <c r="F5049" s="4" t="str">
        <f>IF(B5049=B5048,"",B5049)</f>
        <v/>
      </c>
    </row>
    <row r="5050" spans="1:6" ht="15.75" customHeight="1">
      <c r="A5050" s="6" t="s">
        <v>30189</v>
      </c>
      <c r="B5050" s="6" t="s">
        <v>30189</v>
      </c>
      <c r="C5050" s="6" t="s">
        <v>27788</v>
      </c>
      <c r="D5050" s="6" t="s">
        <v>2341</v>
      </c>
      <c r="E5050" s="2">
        <v>5441492</v>
      </c>
      <c r="F5050" s="4" t="str">
        <f>IF(B5050=B5049,"",B5050)</f>
        <v>Thornton</v>
      </c>
    </row>
    <row r="5051" spans="1:6" ht="15.75" customHeight="1">
      <c r="A5051" s="5" t="str">
        <f ca="1">IFERROR(__xludf.DUMMYFUNCTION("GOOGLETRANSLATE(B45120,""en"",""pt"")"),"Thornton")</f>
        <v>Thornton</v>
      </c>
      <c r="B5051" s="17" t="s">
        <v>30189</v>
      </c>
      <c r="C5051" s="17" t="s">
        <v>27788</v>
      </c>
      <c r="D5051" s="17" t="s">
        <v>2341</v>
      </c>
      <c r="E5051" s="10">
        <v>5441492</v>
      </c>
      <c r="F5051" s="4" t="str">
        <f>IF(B5051=B5050,"",B5051)</f>
        <v/>
      </c>
    </row>
    <row r="5052" spans="1:6" ht="15.75" customHeight="1">
      <c r="A5052" s="6" t="s">
        <v>1097</v>
      </c>
      <c r="B5052" s="6" t="s">
        <v>1097</v>
      </c>
      <c r="C5052" s="6" t="s">
        <v>885</v>
      </c>
      <c r="D5052" s="6" t="s">
        <v>889</v>
      </c>
      <c r="E5052" s="2">
        <v>8349108</v>
      </c>
      <c r="F5052" s="4" t="str">
        <f>IF(B5052=B5051,"",B5052)</f>
        <v>Thornlie</v>
      </c>
    </row>
    <row r="5053" spans="1:6" ht="15.75" customHeight="1">
      <c r="A5053" s="5" t="str">
        <f ca="1">IFERROR(__xludf.DUMMYFUNCTION("GOOGLETRANSLATE(B23600,""en"",""pt"")"),"Thornlie")</f>
        <v>Thornlie</v>
      </c>
      <c r="B5053" s="17" t="s">
        <v>1097</v>
      </c>
      <c r="C5053" s="17" t="s">
        <v>885</v>
      </c>
      <c r="D5053" s="17" t="s">
        <v>889</v>
      </c>
      <c r="E5053" s="10">
        <v>8349108</v>
      </c>
      <c r="F5053" s="4" t="str">
        <f>IF(B5053=B5052,"",B5053)</f>
        <v/>
      </c>
    </row>
    <row r="5054" spans="1:6" ht="15.75" customHeight="1">
      <c r="A5054" s="5" t="s">
        <v>1096</v>
      </c>
      <c r="B5054" s="6" t="s">
        <v>1096</v>
      </c>
      <c r="C5054" s="5" t="s">
        <v>885</v>
      </c>
      <c r="D5054" s="5" t="s">
        <v>827</v>
      </c>
      <c r="E5054" s="2">
        <v>2146793</v>
      </c>
      <c r="F5054" s="4" t="str">
        <f>IF(B5054=B5053,"",B5054)</f>
        <v>Thornbury</v>
      </c>
    </row>
    <row r="5055" spans="1:6" ht="15.75" customHeight="1">
      <c r="A5055" s="5" t="s">
        <v>1096</v>
      </c>
      <c r="B5055" s="6" t="s">
        <v>1096</v>
      </c>
      <c r="C5055" s="5" t="s">
        <v>885</v>
      </c>
      <c r="D5055" s="5" t="s">
        <v>827</v>
      </c>
      <c r="E5055" s="2">
        <v>8348734</v>
      </c>
      <c r="F5055" s="4" t="str">
        <f>IF(B5055=B5054,"",B5055)</f>
        <v/>
      </c>
    </row>
    <row r="5056" spans="1:6" ht="15.75" customHeight="1">
      <c r="A5056" s="5" t="str">
        <f ca="1">IFERROR(__xludf.DUMMYFUNCTION("GOOGLETRANSLATE(B23439,""en"",""pt"")"),"Thornbury")</f>
        <v>Thornbury</v>
      </c>
      <c r="B5056" s="17" t="s">
        <v>1096</v>
      </c>
      <c r="C5056" s="17" t="s">
        <v>885</v>
      </c>
      <c r="D5056" s="17" t="s">
        <v>827</v>
      </c>
      <c r="E5056" s="10">
        <v>2146793</v>
      </c>
      <c r="F5056" s="4" t="str">
        <f>IF(B5056=B5055,"",B5056)</f>
        <v/>
      </c>
    </row>
    <row r="5057" spans="1:6" ht="15.75" customHeight="1">
      <c r="A5057" s="5" t="str">
        <f ca="1">IFERROR(__xludf.DUMMYFUNCTION("GOOGLETRANSLATE(B23599,""en"",""pt"")"),"Thornbury")</f>
        <v>Thornbury</v>
      </c>
      <c r="B5057" s="17" t="s">
        <v>1096</v>
      </c>
      <c r="C5057" s="17" t="s">
        <v>885</v>
      </c>
      <c r="D5057" s="17" t="s">
        <v>827</v>
      </c>
      <c r="E5057" s="10">
        <v>8348734</v>
      </c>
      <c r="F5057" s="4" t="str">
        <f>IF(B5057=B5056,"",B5057)</f>
        <v/>
      </c>
    </row>
    <row r="5058" spans="1:6" ht="15.75" customHeight="1">
      <c r="A5058" s="5" t="s">
        <v>7851</v>
      </c>
      <c r="B5058" s="6" t="s">
        <v>7851</v>
      </c>
      <c r="C5058" s="5" t="s">
        <v>7052</v>
      </c>
      <c r="D5058" s="5" t="s">
        <v>7053</v>
      </c>
      <c r="E5058" s="2">
        <v>2972742</v>
      </c>
      <c r="F5058" s="4" t="str">
        <f>IF(B5058=B5057,"",B5058)</f>
        <v>Thonon-les-Bains</v>
      </c>
    </row>
    <row r="5059" spans="1:6" ht="15.75" customHeight="1">
      <c r="A5059" s="5" t="str">
        <f ca="1">IFERROR(__xludf.DUMMYFUNCTION("GOOGLETRANSLATE(B29734,""en"",""pt"")"),"Thonon-les-Bains")</f>
        <v>Thonon-les-Bains</v>
      </c>
      <c r="B5059" s="17" t="s">
        <v>7851</v>
      </c>
      <c r="C5059" s="17" t="s">
        <v>7052</v>
      </c>
      <c r="D5059" s="17" t="s">
        <v>32532</v>
      </c>
      <c r="E5059" s="10">
        <v>2972742</v>
      </c>
      <c r="F5059" s="4" t="str">
        <f>IF(B5059=B5058,"",B5059)</f>
        <v/>
      </c>
    </row>
    <row r="5060" spans="1:6" ht="15.75" customHeight="1">
      <c r="A5060" s="6" t="s">
        <v>18766</v>
      </c>
      <c r="B5060" s="6" t="s">
        <v>18766</v>
      </c>
      <c r="C5060" s="6" t="s">
        <v>18696</v>
      </c>
      <c r="D5060" s="6" t="s">
        <v>18712</v>
      </c>
      <c r="E5060" s="2">
        <v>1291193</v>
      </c>
      <c r="F5060" s="4" t="str">
        <f>IF(B5060=B5059,"",B5060)</f>
        <v>Thongwa</v>
      </c>
    </row>
    <row r="5061" spans="1:6" ht="15.75" customHeight="1">
      <c r="A5061" s="5" t="str">
        <f ca="1">IFERROR(__xludf.DUMMYFUNCTION("GOOGLETRANSLATE(B36704,""en"",""pt"")"),"Thongwa")</f>
        <v>Thongwa</v>
      </c>
      <c r="B5061" s="17" t="s">
        <v>18766</v>
      </c>
      <c r="C5061" s="17" t="s">
        <v>18696</v>
      </c>
      <c r="D5061" s="17" t="s">
        <v>18712</v>
      </c>
      <c r="E5061" s="10">
        <v>1291193</v>
      </c>
      <c r="F5061" s="4" t="str">
        <f>IF(B5061=B5060,"",B5061)</f>
        <v/>
      </c>
    </row>
    <row r="5062" spans="1:6" ht="15.75" customHeight="1">
      <c r="A5062" s="5" t="s">
        <v>9901</v>
      </c>
      <c r="B5062" s="6" t="s">
        <v>9901</v>
      </c>
      <c r="C5062" s="5" t="s">
        <v>9866</v>
      </c>
      <c r="D5062" s="5" t="s">
        <v>9867</v>
      </c>
      <c r="E5062" s="2">
        <v>3716667</v>
      </c>
      <c r="F5062" s="4" t="str">
        <f>IF(B5062=B5061,"",B5062)</f>
        <v>Thomazeau</v>
      </c>
    </row>
    <row r="5063" spans="1:6" ht="15.75" customHeight="1">
      <c r="A5063" s="5" t="str">
        <f ca="1">IFERROR(__xludf.DUMMYFUNCTION("GOOGLETRANSLATE(B31214,""en"",""pt"")"),"Thomazeau")</f>
        <v>Thomazeau</v>
      </c>
      <c r="B5063" s="17" t="s">
        <v>9901</v>
      </c>
      <c r="C5063" s="17" t="s">
        <v>9866</v>
      </c>
      <c r="D5063" s="17" t="s">
        <v>9867</v>
      </c>
      <c r="E5063" s="10">
        <v>3716667</v>
      </c>
      <c r="F5063" s="4" t="str">
        <f>IF(B5063=B5062,"",B5063)</f>
        <v/>
      </c>
    </row>
    <row r="5064" spans="1:6" ht="15.75" customHeight="1">
      <c r="A5064" s="5" t="s">
        <v>30188</v>
      </c>
      <c r="B5064" s="6" t="s">
        <v>30188</v>
      </c>
      <c r="C5064" s="5" t="s">
        <v>27788</v>
      </c>
      <c r="D5064" s="5" t="s">
        <v>7988</v>
      </c>
      <c r="E5064" s="2">
        <v>4226348</v>
      </c>
      <c r="F5064" s="4" t="str">
        <f>IF(B5064=B5063,"",B5064)</f>
        <v>Thomasville</v>
      </c>
    </row>
    <row r="5065" spans="1:6" ht="15.75" customHeight="1">
      <c r="A5065" s="5" t="s">
        <v>30188</v>
      </c>
      <c r="B5065" s="6" t="s">
        <v>30188</v>
      </c>
      <c r="C5065" s="5" t="s">
        <v>27788</v>
      </c>
      <c r="D5065" s="5" t="s">
        <v>27822</v>
      </c>
      <c r="E5065" s="2">
        <v>4494942</v>
      </c>
      <c r="F5065" s="4" t="str">
        <f>IF(B5065=B5064,"",B5065)</f>
        <v/>
      </c>
    </row>
    <row r="5066" spans="1:6" ht="15.75" customHeight="1">
      <c r="A5066" s="5" t="str">
        <f ca="1">IFERROR(__xludf.DUMMYFUNCTION("GOOGLETRANSLATE(B43115,""en"",""pt"")"),"Thomasville")</f>
        <v>Thomasville</v>
      </c>
      <c r="B5066" s="17" t="s">
        <v>30188</v>
      </c>
      <c r="C5066" s="17" t="s">
        <v>27788</v>
      </c>
      <c r="D5066" s="17" t="s">
        <v>7988</v>
      </c>
      <c r="E5066" s="10">
        <v>4226348</v>
      </c>
      <c r="F5066" s="4" t="str">
        <f>IF(B5066=B5065,"",B5066)</f>
        <v/>
      </c>
    </row>
    <row r="5067" spans="1:6" ht="15.75" customHeight="1">
      <c r="A5067" s="5" t="str">
        <f ca="1">IFERROR(__xludf.DUMMYFUNCTION("GOOGLETRANSLATE(B43480,""en"",""pt"")"),"Thomasville")</f>
        <v>Thomasville</v>
      </c>
      <c r="B5067" s="17" t="s">
        <v>30188</v>
      </c>
      <c r="C5067" s="17" t="s">
        <v>27788</v>
      </c>
      <c r="D5067" s="17" t="s">
        <v>27822</v>
      </c>
      <c r="E5067" s="10">
        <v>4494942</v>
      </c>
      <c r="F5067" s="4" t="str">
        <f>IF(B5067=B5066,"",B5067)</f>
        <v/>
      </c>
    </row>
    <row r="5068" spans="1:6" ht="15.75" customHeight="1">
      <c r="A5068" s="5" t="s">
        <v>1095</v>
      </c>
      <c r="B5068" s="6" t="s">
        <v>1095</v>
      </c>
      <c r="C5068" s="5" t="s">
        <v>885</v>
      </c>
      <c r="D5068" s="5" t="s">
        <v>827</v>
      </c>
      <c r="E5068" s="2">
        <v>2146827</v>
      </c>
      <c r="F5068" s="4" t="str">
        <f>IF(B5068=B5067,"",B5068)</f>
        <v>Thomastown</v>
      </c>
    </row>
    <row r="5069" spans="1:6" ht="15.75" customHeight="1">
      <c r="A5069" s="5" t="str">
        <f ca="1">IFERROR(__xludf.DUMMYFUNCTION("GOOGLETRANSLATE(B23440,""en"",""pt"")"),"Thomastown")</f>
        <v>Thomastown</v>
      </c>
      <c r="B5069" s="17" t="s">
        <v>1095</v>
      </c>
      <c r="C5069" s="17" t="s">
        <v>885</v>
      </c>
      <c r="D5069" s="17" t="s">
        <v>827</v>
      </c>
      <c r="E5069" s="10">
        <v>2146827</v>
      </c>
      <c r="F5069" s="4" t="str">
        <f>IF(B5069=B5068,"",B5069)</f>
        <v/>
      </c>
    </row>
    <row r="5070" spans="1:6" ht="15.75" customHeight="1">
      <c r="A5070" s="5" t="s">
        <v>23994</v>
      </c>
      <c r="B5070" s="6" t="s">
        <v>23994</v>
      </c>
      <c r="C5070" s="5" t="s">
        <v>23842</v>
      </c>
      <c r="D5070" s="5" t="s">
        <v>23885</v>
      </c>
      <c r="E5070" s="2">
        <v>949224</v>
      </c>
      <c r="F5070" s="4" t="str">
        <f>IF(B5070=B5069,"",B5070)</f>
        <v>Thohoyandou</v>
      </c>
    </row>
    <row r="5071" spans="1:6" ht="15.75" customHeight="1">
      <c r="A5071" s="5" t="str">
        <f ca="1">IFERROR(__xludf.DUMMYFUNCTION("GOOGLETRANSLATE(B45865,""en"",""pt"")"),"Thohoyandou")</f>
        <v>Thohoyandou</v>
      </c>
      <c r="B5071" s="17" t="s">
        <v>23994</v>
      </c>
      <c r="C5071" s="17" t="s">
        <v>23842</v>
      </c>
      <c r="D5071" s="17" t="s">
        <v>23885</v>
      </c>
      <c r="E5071" s="10">
        <v>949224</v>
      </c>
      <c r="F5071" s="4" t="str">
        <f>IF(B5071=B5070,"",B5071)</f>
        <v/>
      </c>
    </row>
    <row r="5072" spans="1:6" ht="15.75" customHeight="1">
      <c r="A5072" s="6" t="s">
        <v>26018</v>
      </c>
      <c r="B5072" s="6" t="s">
        <v>26018</v>
      </c>
      <c r="C5072" s="6" t="s">
        <v>25771</v>
      </c>
      <c r="D5072" s="6" t="s">
        <v>25916</v>
      </c>
      <c r="E5072" s="2">
        <v>1150154</v>
      </c>
      <c r="F5072" s="4" t="str">
        <f>IF(B5072=B5071,"",B5072)</f>
        <v>Thoen</v>
      </c>
    </row>
    <row r="5073" spans="1:6" ht="15.75" customHeight="1">
      <c r="A5073" s="5" t="str">
        <f ca="1">IFERROR(__xludf.DUMMYFUNCTION("GOOGLETRANSLATE(B41517,""en"",""pt"")"),"Thoen")</f>
        <v>Thoen</v>
      </c>
      <c r="B5073" s="17" t="s">
        <v>26018</v>
      </c>
      <c r="C5073" s="17" t="s">
        <v>25771</v>
      </c>
      <c r="D5073" s="17" t="s">
        <v>25916</v>
      </c>
      <c r="E5073" s="10">
        <v>1150154</v>
      </c>
      <c r="F5073" s="4" t="str">
        <f>IF(B5073=B5072,"",B5073)</f>
        <v/>
      </c>
    </row>
    <row r="5074" spans="1:6" ht="15.75" customHeight="1">
      <c r="A5074" s="5" t="str">
        <f ca="1">IFERROR(__xludf.DUMMYFUNCTION("GOOGLETRANSLATE(B30959,""en"",""pt"")"),"Thívai")</f>
        <v>Thívai</v>
      </c>
      <c r="B5074" s="17" t="s">
        <v>32672</v>
      </c>
      <c r="C5074" s="17" t="s">
        <v>9441</v>
      </c>
      <c r="D5074" s="17" t="s">
        <v>9490</v>
      </c>
      <c r="E5074" s="10">
        <v>252910</v>
      </c>
      <c r="F5074" s="4" t="str">
        <f>IF(B5074=B5073,"",B5074)</f>
        <v>Thívai</v>
      </c>
    </row>
    <row r="5075" spans="1:6" ht="15.75" customHeight="1">
      <c r="A5075" s="5" t="s">
        <v>13566</v>
      </c>
      <c r="B5075" s="6" t="s">
        <v>13566</v>
      </c>
      <c r="C5075" s="5" t="s">
        <v>10178</v>
      </c>
      <c r="D5075" s="5" t="s">
        <v>10196</v>
      </c>
      <c r="E5075" s="2">
        <v>1254589</v>
      </c>
      <c r="F5075" s="4" t="str">
        <f>IF(B5075=B5074,"",B5075)</f>
        <v>Thiruvarur</v>
      </c>
    </row>
    <row r="5076" spans="1:6" ht="15.75" customHeight="1">
      <c r="A5076" s="5" t="str">
        <f ca="1">IFERROR(__xludf.DUMMYFUNCTION("GOOGLETRANSLATE(B32001,""en"",""pt"")"),"Thiruvarur")</f>
        <v>Thiruvarur</v>
      </c>
      <c r="B5076" s="17" t="s">
        <v>13566</v>
      </c>
      <c r="C5076" s="17" t="s">
        <v>10178</v>
      </c>
      <c r="D5076" s="17" t="s">
        <v>10196</v>
      </c>
      <c r="E5076" s="10">
        <v>1254589</v>
      </c>
      <c r="F5076" s="4" t="str">
        <f>IF(B5076=B5075,"",B5076)</f>
        <v/>
      </c>
    </row>
    <row r="5077" spans="1:6" ht="15.75" customHeight="1">
      <c r="A5077" s="5" t="s">
        <v>13565</v>
      </c>
      <c r="B5077" s="6" t="s">
        <v>13565</v>
      </c>
      <c r="C5077" s="5" t="s">
        <v>10178</v>
      </c>
      <c r="D5077" s="5" t="s">
        <v>10246</v>
      </c>
      <c r="E5077" s="2">
        <v>1254163</v>
      </c>
      <c r="F5077" s="4" t="str">
        <f>IF(B5077=B5076,"",B5077)</f>
        <v>Thiruvananthapuram</v>
      </c>
    </row>
    <row r="5078" spans="1:6" ht="15.75" customHeight="1">
      <c r="A5078" s="5" t="str">
        <f ca="1">IFERROR(__xludf.DUMMYFUNCTION("GOOGLETRANSLATE(B31964,""en"",""pt"")"),"Thiruvananthapuram")</f>
        <v>Thiruvananthapuram</v>
      </c>
      <c r="B5078" s="17" t="s">
        <v>13565</v>
      </c>
      <c r="C5078" s="17" t="s">
        <v>10178</v>
      </c>
      <c r="D5078" s="17" t="s">
        <v>10246</v>
      </c>
      <c r="E5078" s="10">
        <v>1254163</v>
      </c>
      <c r="F5078" s="4" t="str">
        <f>IF(B5078=B5077,"",B5078)</f>
        <v/>
      </c>
    </row>
    <row r="5079" spans="1:6" ht="15.75" customHeight="1">
      <c r="A5079" s="5" t="s">
        <v>13564</v>
      </c>
      <c r="B5079" s="6" t="s">
        <v>13564</v>
      </c>
      <c r="C5079" s="5" t="s">
        <v>10178</v>
      </c>
      <c r="D5079" s="5" t="s">
        <v>10196</v>
      </c>
      <c r="E5079" s="2">
        <v>1254342</v>
      </c>
      <c r="F5079" s="4" t="str">
        <f>IF(B5079=B5078,"",B5079)</f>
        <v>Thiruthani</v>
      </c>
    </row>
    <row r="5080" spans="1:6" ht="15.75" customHeight="1">
      <c r="A5080" s="5" t="str">
        <f ca="1">IFERROR(__xludf.DUMMYFUNCTION("GOOGLETRANSLATE(B31979,""en"",""pt"")"),"Thiruthani")</f>
        <v>Thiruthani</v>
      </c>
      <c r="B5080" s="17" t="s">
        <v>13564</v>
      </c>
      <c r="C5080" s="17" t="s">
        <v>10178</v>
      </c>
      <c r="D5080" s="17" t="s">
        <v>10196</v>
      </c>
      <c r="E5080" s="10">
        <v>1254342</v>
      </c>
      <c r="F5080" s="4" t="str">
        <f>IF(B5080=B5079,"",B5080)</f>
        <v/>
      </c>
    </row>
    <row r="5081" spans="1:6" ht="15.75" customHeight="1">
      <c r="A5081" s="6" t="s">
        <v>7850</v>
      </c>
      <c r="B5081" s="6" t="s">
        <v>7850</v>
      </c>
      <c r="C5081" s="6" t="s">
        <v>7052</v>
      </c>
      <c r="D5081" s="6" t="s">
        <v>7061</v>
      </c>
      <c r="E5081" s="2">
        <v>2972811</v>
      </c>
      <c r="F5081" s="4" t="str">
        <f>IF(B5081=B5080,"",B5081)</f>
        <v>Thionville</v>
      </c>
    </row>
    <row r="5082" spans="1:6" ht="15.75" customHeight="1">
      <c r="A5082" s="5" t="str">
        <f ca="1">IFERROR(__xludf.DUMMYFUNCTION("GOOGLETRANSLATE(B29735,""en"",""pt"")"),"Thionville")</f>
        <v>Thionville</v>
      </c>
      <c r="B5082" s="17" t="s">
        <v>7850</v>
      </c>
      <c r="C5082" s="17" t="s">
        <v>7052</v>
      </c>
      <c r="D5082" s="17" t="s">
        <v>7061</v>
      </c>
      <c r="E5082" s="10">
        <v>2972811</v>
      </c>
      <c r="F5082" s="4" t="str">
        <f>IF(B5082=B5081,"",B5082)</f>
        <v/>
      </c>
    </row>
    <row r="5083" spans="1:6" ht="15.75" customHeight="1">
      <c r="A5083" s="6" t="s">
        <v>1802</v>
      </c>
      <c r="B5083" s="6" t="s">
        <v>1802</v>
      </c>
      <c r="C5083" s="6" t="s">
        <v>1797</v>
      </c>
      <c r="D5083" s="6" t="s">
        <v>1802</v>
      </c>
      <c r="E5083" s="2">
        <v>1252416</v>
      </c>
      <c r="F5083" s="4" t="str">
        <f>IF(B5083=B5082,"",B5083)</f>
        <v>Thimphu</v>
      </c>
    </row>
    <row r="5084" spans="1:6" ht="15.75" customHeight="1">
      <c r="A5084" s="5" t="str">
        <f ca="1">IFERROR(__xludf.DUMMYFUNCTION("GOOGLETRANSLATE(B25346,""en"",""pt"")"),"Thimphu")</f>
        <v>Thimphu</v>
      </c>
      <c r="B5084" s="17" t="s">
        <v>1802</v>
      </c>
      <c r="C5084" s="17" t="s">
        <v>1797</v>
      </c>
      <c r="D5084" s="17" t="s">
        <v>1802</v>
      </c>
      <c r="E5084" s="10">
        <v>1252416</v>
      </c>
      <c r="F5084" s="4" t="str">
        <f>IF(B5084=B5083,"",B5084)</f>
        <v/>
      </c>
    </row>
    <row r="5085" spans="1:6" ht="15.75" customHeight="1">
      <c r="A5085" s="6" t="s">
        <v>16842</v>
      </c>
      <c r="B5085" s="6" t="s">
        <v>16842</v>
      </c>
      <c r="C5085" s="6" t="s">
        <v>16781</v>
      </c>
      <c r="D5085" s="6" t="s">
        <v>16830</v>
      </c>
      <c r="E5085" s="2">
        <v>179330</v>
      </c>
      <c r="F5085" s="4" t="str">
        <f>IF(B5085=B5084,"",B5085)</f>
        <v>Thika</v>
      </c>
    </row>
    <row r="5086" spans="1:6" ht="15.75" customHeight="1">
      <c r="A5086" s="5" t="str">
        <f ca="1">IFERROR(__xludf.DUMMYFUNCTION("GOOGLETRANSLATE(B35887,""en"",""pt"")"),"Thika")</f>
        <v>Thika</v>
      </c>
      <c r="B5086" s="17" t="s">
        <v>16842</v>
      </c>
      <c r="C5086" s="17" t="s">
        <v>16781</v>
      </c>
      <c r="D5086" s="17" t="s">
        <v>16830</v>
      </c>
      <c r="E5086" s="10">
        <v>179330</v>
      </c>
      <c r="F5086" s="4" t="str">
        <f>IF(B5086=B5085,"",B5086)</f>
        <v/>
      </c>
    </row>
    <row r="5087" spans="1:6" ht="15.75" customHeight="1">
      <c r="A5087" s="5" t="str">
        <f ca="1">IFERROR(__xludf.DUMMYFUNCTION("GOOGLETRANSLATE(B41288,""en"",""pt"")"),"Thiès Nones")</f>
        <v>Thiès Nones</v>
      </c>
      <c r="B5087" s="17" t="s">
        <v>35704</v>
      </c>
      <c r="C5087" s="17" t="s">
        <v>23559</v>
      </c>
      <c r="D5087" s="17" t="s">
        <v>35705</v>
      </c>
      <c r="E5087" s="10">
        <v>2244799</v>
      </c>
      <c r="F5087" s="4" t="str">
        <f>IF(B5087=B5086,"",B5087)</f>
        <v>Thiès Nones</v>
      </c>
    </row>
    <row r="5088" spans="1:6" ht="15.75" customHeight="1">
      <c r="A5088" s="6" t="s">
        <v>15526</v>
      </c>
      <c r="B5088" s="6" t="s">
        <v>15526</v>
      </c>
      <c r="C5088" s="6" t="s">
        <v>14891</v>
      </c>
      <c r="D5088" s="6" t="s">
        <v>14892</v>
      </c>
      <c r="E5088" s="2">
        <v>3165698</v>
      </c>
      <c r="F5088" s="4" t="str">
        <f>IF(B5088=B5087,"",B5088)</f>
        <v>Thiene</v>
      </c>
    </row>
    <row r="5089" spans="1:6" ht="15.75" customHeight="1">
      <c r="A5089" s="5" t="str">
        <f ca="1">IFERROR(__xludf.DUMMYFUNCTION("GOOGLETRANSLATE(B34666,""en"",""pt"")"),"Thiene")</f>
        <v>Thiene</v>
      </c>
      <c r="B5089" s="17" t="s">
        <v>15526</v>
      </c>
      <c r="C5089" s="17" t="s">
        <v>14891</v>
      </c>
      <c r="D5089" s="17" t="s">
        <v>14892</v>
      </c>
      <c r="E5089" s="10">
        <v>3165698</v>
      </c>
      <c r="F5089" s="4" t="str">
        <f>IF(B5089=B5088,"",B5089)</f>
        <v/>
      </c>
    </row>
    <row r="5090" spans="1:6" ht="15.75" customHeight="1">
      <c r="A5090" s="6" t="s">
        <v>7849</v>
      </c>
      <c r="B5090" s="6" t="s">
        <v>7849</v>
      </c>
      <c r="C5090" s="6" t="s">
        <v>7052</v>
      </c>
      <c r="D5090" s="6" t="s">
        <v>7058</v>
      </c>
      <c r="E5090" s="2">
        <v>2972893</v>
      </c>
      <c r="F5090" s="4" t="str">
        <f>IF(B5090=B5089,"",B5090)</f>
        <v>Thiais</v>
      </c>
    </row>
    <row r="5091" spans="1:6" ht="15.75" customHeight="1">
      <c r="A5091" s="5" t="str">
        <f ca="1">IFERROR(__xludf.DUMMYFUNCTION("GOOGLETRANSLATE(B29736,""en"",""pt"")"),"Thiais")</f>
        <v>Thiais</v>
      </c>
      <c r="B5091" s="17" t="s">
        <v>7849</v>
      </c>
      <c r="C5091" s="17" t="s">
        <v>7052</v>
      </c>
      <c r="D5091" s="17" t="s">
        <v>32531</v>
      </c>
      <c r="E5091" s="10">
        <v>2972893</v>
      </c>
      <c r="F5091" s="4" t="str">
        <f>IF(B5091=B5090,"",B5091)</f>
        <v/>
      </c>
    </row>
    <row r="5092" spans="1:6" ht="15.75" customHeight="1">
      <c r="A5092" s="5" t="s">
        <v>23594</v>
      </c>
      <c r="B5092" s="6" t="s">
        <v>23595</v>
      </c>
      <c r="C5092" s="5" t="s">
        <v>23559</v>
      </c>
      <c r="D5092" s="5" t="s">
        <v>23568</v>
      </c>
      <c r="E5092" s="2">
        <v>2244799</v>
      </c>
      <c r="F5092" s="4" t="str">
        <f>IF(B5092=B5091,"",B5092)</f>
        <v>ThiÃ¨s Nones</v>
      </c>
    </row>
    <row r="5093" spans="1:6" ht="15.75" customHeight="1">
      <c r="A5093" s="5" t="s">
        <v>23993</v>
      </c>
      <c r="B5093" s="6" t="s">
        <v>23993</v>
      </c>
      <c r="C5093" s="5" t="s">
        <v>23842</v>
      </c>
      <c r="D5093" s="5" t="s">
        <v>23845</v>
      </c>
      <c r="E5093" s="2">
        <v>949282</v>
      </c>
      <c r="F5093" s="4" t="str">
        <f>IF(B5093=B5092,"",B5093)</f>
        <v>Theunissen</v>
      </c>
    </row>
    <row r="5094" spans="1:6" ht="15.75" customHeight="1">
      <c r="A5094" s="5" t="str">
        <f ca="1">IFERROR(__xludf.DUMMYFUNCTION("GOOGLETRANSLATE(B45866,""en"",""pt"")"),"Theunissen")</f>
        <v>Theunissen</v>
      </c>
      <c r="B5094" s="17" t="s">
        <v>23993</v>
      </c>
      <c r="C5094" s="17" t="s">
        <v>23842</v>
      </c>
      <c r="D5094" s="17" t="s">
        <v>23845</v>
      </c>
      <c r="E5094" s="10">
        <v>949282</v>
      </c>
      <c r="F5094" s="4" t="str">
        <f>IF(B5094=B5093,"",B5094)</f>
        <v/>
      </c>
    </row>
    <row r="5095" spans="1:6" ht="15.75" customHeight="1">
      <c r="A5095" s="5" t="s">
        <v>4216</v>
      </c>
      <c r="B5095" s="6" t="s">
        <v>4216</v>
      </c>
      <c r="C5095" s="5" t="s">
        <v>3975</v>
      </c>
      <c r="D5095" s="5" t="s">
        <v>3982</v>
      </c>
      <c r="E5095" s="2">
        <v>6943827</v>
      </c>
      <c r="F5095" s="4" t="str">
        <f>IF(B5095=B5094,"",B5095)</f>
        <v>Thetford-Mines</v>
      </c>
    </row>
    <row r="5096" spans="1:6" ht="15.75" customHeight="1">
      <c r="A5096" s="5" t="str">
        <f ca="1">IFERROR(__xludf.DUMMYFUNCTION("GOOGLETRANSLATE(B25629,""en"",""pt"")"),"Thetford-Mines")</f>
        <v>Thetford-Mines</v>
      </c>
      <c r="B5096" s="17" t="s">
        <v>4216</v>
      </c>
      <c r="C5096" s="17" t="s">
        <v>3975</v>
      </c>
      <c r="D5096" s="17" t="s">
        <v>3982</v>
      </c>
      <c r="E5096" s="10">
        <v>6943827</v>
      </c>
      <c r="F5096" s="4" t="str">
        <f>IF(B5096=B5095,"",B5096)</f>
        <v/>
      </c>
    </row>
    <row r="5097" spans="1:6" ht="15.75" customHeight="1">
      <c r="A5097" s="5" t="str">
        <f ca="1">IFERROR(__xludf.DUMMYFUNCTION("GOOGLETRANSLATE(B31031,""en"",""pt"")"),"Thessaloníki")</f>
        <v>Thessaloníki</v>
      </c>
      <c r="B5097" s="17" t="s">
        <v>32737</v>
      </c>
      <c r="C5097" s="17" t="s">
        <v>9441</v>
      </c>
      <c r="D5097" s="17" t="s">
        <v>9442</v>
      </c>
      <c r="E5097" s="10">
        <v>734077</v>
      </c>
      <c r="F5097" s="4" t="str">
        <f>IF(B5097=B5096,"",B5097)</f>
        <v>Thessaloníki</v>
      </c>
    </row>
    <row r="5098" spans="1:6" ht="15.75" customHeight="1">
      <c r="A5098" s="5" t="s">
        <v>9643</v>
      </c>
      <c r="B5098" s="6" t="s">
        <v>9644</v>
      </c>
      <c r="C5098" s="5" t="s">
        <v>9441</v>
      </c>
      <c r="D5098" s="5" t="s">
        <v>9442</v>
      </c>
      <c r="E5098" s="2">
        <v>734077</v>
      </c>
      <c r="F5098" s="4" t="str">
        <f>IF(B5098=B5097,"",B5098)</f>
        <v>ThessalonÃ­ki</v>
      </c>
    </row>
    <row r="5099" spans="1:6" ht="15.75" customHeight="1">
      <c r="A5099" s="6" t="s">
        <v>13563</v>
      </c>
      <c r="B5099" s="6" t="s">
        <v>13563</v>
      </c>
      <c r="C5099" s="6" t="s">
        <v>10178</v>
      </c>
      <c r="D5099" s="6" t="s">
        <v>10196</v>
      </c>
      <c r="E5099" s="2">
        <v>1254744</v>
      </c>
      <c r="F5099" s="4" t="str">
        <f>IF(B5099=B5098,"",B5099)</f>
        <v>Thenkasi</v>
      </c>
    </row>
    <row r="5100" spans="1:6" ht="15.75" customHeight="1">
      <c r="A5100" s="5" t="str">
        <f ca="1">IFERROR(__xludf.DUMMYFUNCTION("GOOGLETRANSLATE(B32014,""en"",""pt"")"),"Thenkasi")</f>
        <v>Thenkasi</v>
      </c>
      <c r="B5100" s="17" t="s">
        <v>13563</v>
      </c>
      <c r="C5100" s="17" t="s">
        <v>10178</v>
      </c>
      <c r="D5100" s="17" t="s">
        <v>10196</v>
      </c>
      <c r="E5100" s="10">
        <v>1254744</v>
      </c>
      <c r="F5100" s="4" t="str">
        <f>IF(B5100=B5099,"",B5100)</f>
        <v/>
      </c>
    </row>
    <row r="5101" spans="1:6" ht="15.75" customHeight="1">
      <c r="A5101" s="5" t="s">
        <v>479</v>
      </c>
      <c r="B5101" s="6" t="s">
        <v>480</v>
      </c>
      <c r="C5101" s="5" t="s">
        <v>153</v>
      </c>
      <c r="D5101" s="5" t="s">
        <v>191</v>
      </c>
      <c r="E5101" s="2">
        <v>2476915</v>
      </c>
      <c r="F5101" s="4" t="str">
        <f>IF(B5101=B5100,"",B5101)</f>
        <v>Theniet el Had</v>
      </c>
    </row>
    <row r="5102" spans="1:6" ht="15.75" customHeight="1">
      <c r="A5102" s="5" t="str">
        <f ca="1">IFERROR(__xludf.DUMMYFUNCTION("GOOGLETRANSLATE(B28518,""en"",""pt"")"),"Então o El tinha")</f>
        <v>Então o El tinha</v>
      </c>
      <c r="B5102" s="17" t="s">
        <v>480</v>
      </c>
      <c r="C5102" s="17" t="s">
        <v>153</v>
      </c>
      <c r="D5102" s="17" t="s">
        <v>32183</v>
      </c>
      <c r="E5102" s="10">
        <v>2476915</v>
      </c>
      <c r="F5102" s="4" t="str">
        <f>IF(B5102=B5101,"",B5102)</f>
        <v/>
      </c>
    </row>
    <row r="5103" spans="1:6" ht="15.75" customHeight="1">
      <c r="A5103" s="6" t="s">
        <v>477</v>
      </c>
      <c r="B5103" s="6" t="s">
        <v>478</v>
      </c>
      <c r="C5103" s="6" t="s">
        <v>153</v>
      </c>
      <c r="D5103" s="6" t="s">
        <v>229</v>
      </c>
      <c r="E5103" s="2">
        <v>2476917</v>
      </c>
      <c r="F5103" s="4" t="str">
        <f>IF(B5103=B5102,"",B5103)</f>
        <v>Thenia</v>
      </c>
    </row>
    <row r="5104" spans="1:6" ht="15.75" customHeight="1">
      <c r="A5104" s="5" t="str">
        <f ca="1">IFERROR(__xludf.DUMMYFUNCTION("GOOGLETRANSLATE(B28519,""en"",""pt"")"),"Entãoia")</f>
        <v>Entãoia</v>
      </c>
      <c r="B5104" s="17" t="s">
        <v>478</v>
      </c>
      <c r="C5104" s="17" t="s">
        <v>153</v>
      </c>
      <c r="D5104" s="17" t="s">
        <v>229</v>
      </c>
      <c r="E5104" s="10">
        <v>2476917</v>
      </c>
      <c r="F5104" s="4" t="str">
        <f>IF(B5104=B5103,"",B5104)</f>
        <v/>
      </c>
    </row>
    <row r="5105" spans="1:6" ht="15.75" customHeight="1">
      <c r="A5105" s="5" t="s">
        <v>30186</v>
      </c>
      <c r="B5105" s="6" t="s">
        <v>30187</v>
      </c>
      <c r="C5105" s="5" t="s">
        <v>27788</v>
      </c>
      <c r="D5105" s="5" t="s">
        <v>5468</v>
      </c>
      <c r="E5105" s="2">
        <v>4175179</v>
      </c>
      <c r="F5105" s="4" t="str">
        <f>IF(B5105=B5104,"",B5105)</f>
        <v>The Villages</v>
      </c>
    </row>
    <row r="5106" spans="1:6" ht="15.75" customHeight="1">
      <c r="A5106" s="5" t="str">
        <f ca="1">IFERROR(__xludf.DUMMYFUNCTION("GOOGLETRANSLATE(B43033,""en"",""pt"")"),"As aldeias")</f>
        <v>As aldeias</v>
      </c>
      <c r="B5106" s="17" t="s">
        <v>30187</v>
      </c>
      <c r="C5106" s="17" t="s">
        <v>27788</v>
      </c>
      <c r="D5106" s="17" t="s">
        <v>5468</v>
      </c>
      <c r="E5106" s="10">
        <v>4175179</v>
      </c>
      <c r="F5106" s="4" t="str">
        <f>IF(B5106=B5105,"",B5106)</f>
        <v/>
      </c>
    </row>
    <row r="5107" spans="1:6" ht="15.75" customHeight="1">
      <c r="A5107" s="6" t="s">
        <v>548</v>
      </c>
      <c r="B5107" s="6" t="s">
        <v>549</v>
      </c>
      <c r="C5107" s="6" t="s">
        <v>550</v>
      </c>
      <c r="D5107" s="6" t="s">
        <v>551</v>
      </c>
      <c r="E5107" s="2">
        <v>3573374</v>
      </c>
      <c r="F5107" s="4" t="str">
        <f>IF(B5107=B5106,"",B5107)</f>
        <v>The Valley</v>
      </c>
    </row>
    <row r="5108" spans="1:6" ht="15.75" customHeight="1">
      <c r="A5108" s="5" t="str">
        <f ca="1">IFERROR(__xludf.DUMMYFUNCTION("GOOGLETRANSLATE(B23103,""en"",""pt"")"),"O Vale")</f>
        <v>O Vale</v>
      </c>
      <c r="B5108" s="17" t="s">
        <v>549</v>
      </c>
      <c r="C5108" s="17" t="s">
        <v>550</v>
      </c>
      <c r="D5108" s="17" t="s">
        <v>551</v>
      </c>
      <c r="E5108" s="10">
        <v>3573374</v>
      </c>
      <c r="F5108" s="4" t="str">
        <f>IF(B5108=B5107,"",B5108)</f>
        <v/>
      </c>
    </row>
    <row r="5109" spans="1:6" ht="15.75" customHeight="1">
      <c r="A5109" s="6" t="s">
        <v>30184</v>
      </c>
      <c r="B5109" s="6" t="s">
        <v>30185</v>
      </c>
      <c r="C5109" s="6" t="s">
        <v>27788</v>
      </c>
      <c r="D5109" s="6" t="s">
        <v>5468</v>
      </c>
      <c r="E5109" s="2">
        <v>4175117</v>
      </c>
      <c r="F5109" s="4" t="str">
        <f>IF(B5109=B5108,"",B5109)</f>
        <v>The Hammocks</v>
      </c>
    </row>
    <row r="5110" spans="1:6" ht="15.75" customHeight="1">
      <c r="A5110" s="5" t="str">
        <f ca="1">IFERROR(__xludf.DUMMYFUNCTION("GOOGLETRANSLATE(B43032,""en"",""pt"")"),"As redes")</f>
        <v>As redes</v>
      </c>
      <c r="B5110" s="17" t="s">
        <v>30185</v>
      </c>
      <c r="C5110" s="17" t="s">
        <v>27788</v>
      </c>
      <c r="D5110" s="17" t="s">
        <v>5468</v>
      </c>
      <c r="E5110" s="10">
        <v>4175117</v>
      </c>
      <c r="F5110" s="4" t="str">
        <f>IF(B5110=B5109,"",B5110)</f>
        <v/>
      </c>
    </row>
    <row r="5111" spans="1:6" ht="15.75" customHeight="1">
      <c r="A5111" s="6" t="s">
        <v>19100</v>
      </c>
      <c r="B5111" s="6" t="s">
        <v>19101</v>
      </c>
      <c r="C5111" s="6" t="s">
        <v>18862</v>
      </c>
      <c r="D5111" s="6" t="s">
        <v>18868</v>
      </c>
      <c r="E5111" s="2">
        <v>2747373</v>
      </c>
      <c r="F5111" s="4" t="str">
        <f>IF(B5111=B5110,"",B5111)</f>
        <v>The Hague</v>
      </c>
    </row>
    <row r="5112" spans="1:6" ht="15.75" customHeight="1">
      <c r="A5112" s="5" t="str">
        <f ca="1">IFERROR(__xludf.DUMMYFUNCTION("GOOGLETRANSLATE(B37958,""en"",""pt"")"),"A Haia")</f>
        <v>A Haia</v>
      </c>
      <c r="B5112" s="17" t="s">
        <v>19101</v>
      </c>
      <c r="C5112" s="17" t="s">
        <v>18862</v>
      </c>
      <c r="D5112" s="17" t="s">
        <v>18868</v>
      </c>
      <c r="E5112" s="10">
        <v>2747373</v>
      </c>
      <c r="F5112" s="4" t="str">
        <f>IF(B5112=B5111,"",B5112)</f>
        <v/>
      </c>
    </row>
    <row r="5113" spans="1:6" ht="15.75" customHeight="1">
      <c r="A5113" s="5" t="s">
        <v>30182</v>
      </c>
      <c r="B5113" s="6" t="s">
        <v>30183</v>
      </c>
      <c r="C5113" s="5" t="s">
        <v>27788</v>
      </c>
      <c r="D5113" s="5" t="s">
        <v>5468</v>
      </c>
      <c r="E5113" s="2">
        <v>4175091</v>
      </c>
      <c r="F5113" s="4" t="str">
        <f>IF(B5113=B5112,"",B5113)</f>
        <v>The Crossings</v>
      </c>
    </row>
    <row r="5114" spans="1:6" ht="15.75" customHeight="1">
      <c r="A5114" s="5" t="str">
        <f ca="1">IFERROR(__xludf.DUMMYFUNCTION("GOOGLETRANSLATE(B43031,""en"",""pt"")"),"As travessias")</f>
        <v>As travessias</v>
      </c>
      <c r="B5114" s="17" t="s">
        <v>30183</v>
      </c>
      <c r="C5114" s="17" t="s">
        <v>27788</v>
      </c>
      <c r="D5114" s="17" t="s">
        <v>5468</v>
      </c>
      <c r="E5114" s="10">
        <v>4175091</v>
      </c>
      <c r="F5114" s="4" t="str">
        <f>IF(B5114=B5113,"",B5114)</f>
        <v/>
      </c>
    </row>
    <row r="5115" spans="1:6" ht="15.75" customHeight="1">
      <c r="A5115" s="6" t="s">
        <v>30180</v>
      </c>
      <c r="B5115" s="6" t="s">
        <v>30181</v>
      </c>
      <c r="C5115" s="6" t="s">
        <v>27788</v>
      </c>
      <c r="D5115" s="6" t="s">
        <v>27819</v>
      </c>
      <c r="E5115" s="2">
        <v>5110266</v>
      </c>
      <c r="F5115" s="4" t="str">
        <f>IF(B5115=B5114,"",B5115)</f>
        <v>The Bronx</v>
      </c>
    </row>
    <row r="5116" spans="1:6" ht="15.75" customHeight="1">
      <c r="A5116" s="5" t="str">
        <f ca="1">IFERROR(__xludf.DUMMYFUNCTION("GOOGLETRANSLATE(B44344,""en"",""pt"")"),"O Bronx")</f>
        <v>O Bronx</v>
      </c>
      <c r="B5116" s="17" t="s">
        <v>30181</v>
      </c>
      <c r="C5116" s="17" t="s">
        <v>27788</v>
      </c>
      <c r="D5116" s="17" t="s">
        <v>27819</v>
      </c>
      <c r="E5116" s="10">
        <v>5110266</v>
      </c>
      <c r="F5116" s="4" t="str">
        <f>IF(B5116=B5115,"",B5116)</f>
        <v/>
      </c>
    </row>
    <row r="5117" spans="1:6" ht="15.75" customHeight="1">
      <c r="A5117" s="5" t="s">
        <v>18765</v>
      </c>
      <c r="B5117" s="6" t="s">
        <v>18765</v>
      </c>
      <c r="C5117" s="5" t="s">
        <v>18696</v>
      </c>
      <c r="D5117" s="5" t="s">
        <v>18702</v>
      </c>
      <c r="E5117" s="2">
        <v>1292037</v>
      </c>
      <c r="F5117" s="4" t="str">
        <f>IF(B5117=B5116,"",B5117)</f>
        <v>Thayetmyo</v>
      </c>
    </row>
    <row r="5118" spans="1:6" ht="15.75" customHeight="1">
      <c r="A5118" s="5" t="str">
        <f ca="1">IFERROR(__xludf.DUMMYFUNCTION("GOOGLETRANSLATE(B36705,""en"",""pt"")"),"Thayetmyo")</f>
        <v>Thayetmyo</v>
      </c>
      <c r="B5118" s="17" t="s">
        <v>18765</v>
      </c>
      <c r="C5118" s="17" t="s">
        <v>18696</v>
      </c>
      <c r="D5118" s="17" t="s">
        <v>18702</v>
      </c>
      <c r="E5118" s="10">
        <v>1292037</v>
      </c>
      <c r="F5118" s="4" t="str">
        <f>IF(B5118=B5117,"",B5118)</f>
        <v/>
      </c>
    </row>
    <row r="5119" spans="1:6" ht="15.75" customHeight="1">
      <c r="A5119" s="6" t="s">
        <v>9641</v>
      </c>
      <c r="B5119" s="6" t="s">
        <v>9642</v>
      </c>
      <c r="C5119" s="6" t="s">
        <v>9441</v>
      </c>
      <c r="D5119" s="6" t="s">
        <v>9490</v>
      </c>
      <c r="E5119" s="2">
        <v>252910</v>
      </c>
      <c r="F5119" s="4" t="str">
        <f>IF(B5119=B5118,"",B5119)</f>
        <v>ThÃ­vai</v>
      </c>
    </row>
    <row r="5120" spans="1:6" ht="15.75" customHeight="1">
      <c r="A5120" s="6" t="s">
        <v>20269</v>
      </c>
      <c r="B5120" s="6" t="s">
        <v>20269</v>
      </c>
      <c r="C5120" s="6" t="s">
        <v>19808</v>
      </c>
      <c r="D5120" s="6" t="s">
        <v>19823</v>
      </c>
      <c r="E5120" s="2">
        <v>1163582</v>
      </c>
      <c r="F5120" s="4" t="str">
        <f>IF(B5120=B5119,"",B5120)</f>
        <v>Thatta</v>
      </c>
    </row>
    <row r="5121" spans="1:6" ht="15.75" customHeight="1">
      <c r="A5121" s="5" t="str">
        <f ca="1">IFERROR(__xludf.DUMMYFUNCTION("GOOGLETRANSLATE(B38885,""en"",""pt"")"),"Thatta")</f>
        <v>Thatta</v>
      </c>
      <c r="B5121" s="17" t="s">
        <v>20269</v>
      </c>
      <c r="C5121" s="17" t="s">
        <v>19808</v>
      </c>
      <c r="D5121" s="17" t="s">
        <v>19823</v>
      </c>
      <c r="E5121" s="10">
        <v>1163582</v>
      </c>
      <c r="F5121" s="4" t="str">
        <f>IF(B5121=B5120,"",B5121)</f>
        <v/>
      </c>
    </row>
    <row r="5122" spans="1:6" ht="15.75" customHeight="1">
      <c r="A5122" s="6" t="s">
        <v>18764</v>
      </c>
      <c r="B5122" s="6" t="s">
        <v>18764</v>
      </c>
      <c r="C5122" s="6" t="s">
        <v>18696</v>
      </c>
      <c r="D5122" s="6" t="s">
        <v>12419</v>
      </c>
      <c r="E5122" s="2">
        <v>1292288</v>
      </c>
      <c r="F5122" s="4" t="str">
        <f>IF(B5122=B5121,"",B5122)</f>
        <v>Thaton</v>
      </c>
    </row>
    <row r="5123" spans="1:6" ht="15.75" customHeight="1">
      <c r="A5123" s="5" t="str">
        <f ca="1">IFERROR(__xludf.DUMMYFUNCTION("GOOGLETRANSLATE(B36706,""en"",""pt"")"),"Thaton")</f>
        <v>Thaton</v>
      </c>
      <c r="B5123" s="17" t="s">
        <v>18764</v>
      </c>
      <c r="C5123" s="17" t="s">
        <v>18696</v>
      </c>
      <c r="D5123" s="17" t="s">
        <v>12419</v>
      </c>
      <c r="E5123" s="10">
        <v>1292288</v>
      </c>
      <c r="F5123" s="4" t="str">
        <f>IF(B5123=B5122,"",B5123)</f>
        <v/>
      </c>
    </row>
    <row r="5124" spans="1:6" ht="15.75" customHeight="1">
      <c r="A5124" s="5" t="str">
        <f ca="1">IFERROR(__xludf.DUMMYFUNCTION("GOOGLETRANSLATE(B32002,""en"",""pt"")"),"Thāsra")</f>
        <v>Thāsra</v>
      </c>
      <c r="B5124" s="17" t="s">
        <v>33002</v>
      </c>
      <c r="C5124" s="17" t="s">
        <v>10178</v>
      </c>
      <c r="D5124" s="17" t="s">
        <v>10209</v>
      </c>
      <c r="E5124" s="10">
        <v>1254624</v>
      </c>
      <c r="F5124" s="4" t="str">
        <f>IF(B5124=B5123,"",B5124)</f>
        <v>Thāsra</v>
      </c>
    </row>
    <row r="5125" spans="1:6" ht="15.75" customHeight="1">
      <c r="A5125" s="5" t="s">
        <v>18762</v>
      </c>
      <c r="B5125" s="6" t="s">
        <v>18763</v>
      </c>
      <c r="C5125" s="5" t="s">
        <v>18696</v>
      </c>
      <c r="D5125" s="5" t="s">
        <v>18695</v>
      </c>
      <c r="E5125" s="2">
        <v>1292313</v>
      </c>
      <c r="F5125" s="4" t="str">
        <f>IF(B5125=B5124,"",B5125)</f>
        <v>Tharyarwady</v>
      </c>
    </row>
    <row r="5126" spans="1:6" ht="15.75" customHeight="1">
      <c r="A5126" s="5" t="str">
        <f ca="1">IFERROR(__xludf.DUMMYFUNCTION("GOOGLETRANSLATE(B36707,""en"",""pt"")"),"THARYARWADY")</f>
        <v>THARYARWADY</v>
      </c>
      <c r="B5126" s="17" t="s">
        <v>18763</v>
      </c>
      <c r="C5126" s="17" t="s">
        <v>18696</v>
      </c>
      <c r="D5126" s="17" t="s">
        <v>18695</v>
      </c>
      <c r="E5126" s="10">
        <v>1292313</v>
      </c>
      <c r="F5126" s="4" t="str">
        <f>IF(B5126=B5125,"",B5126)</f>
        <v/>
      </c>
    </row>
    <row r="5127" spans="1:6" ht="15.75" customHeight="1">
      <c r="A5127" s="5" t="str">
        <f ca="1">IFERROR(__xludf.DUMMYFUNCTION("GOOGLETRANSLATE(B38886,""en"",""pt"")"),"Thāru Shāh")</f>
        <v>Thāru Shāh</v>
      </c>
      <c r="B5127" s="17" t="s">
        <v>34899</v>
      </c>
      <c r="C5127" s="17" t="s">
        <v>19808</v>
      </c>
      <c r="D5127" s="17" t="s">
        <v>19823</v>
      </c>
      <c r="E5127" s="10">
        <v>1163595</v>
      </c>
      <c r="F5127" s="4" t="str">
        <f>IF(B5127=B5126,"",B5127)</f>
        <v>Thāru Shāh</v>
      </c>
    </row>
    <row r="5128" spans="1:6" ht="15.75" customHeight="1">
      <c r="A5128" s="5" t="s">
        <v>13562</v>
      </c>
      <c r="B5128" s="6" t="s">
        <v>13562</v>
      </c>
      <c r="C5128" s="5" t="s">
        <v>10178</v>
      </c>
      <c r="D5128" s="5" t="s">
        <v>10196</v>
      </c>
      <c r="E5128" s="2">
        <v>1254904</v>
      </c>
      <c r="F5128" s="4" t="str">
        <f>IF(B5128=B5127,"",B5128)</f>
        <v>Tharangambadi</v>
      </c>
    </row>
    <row r="5129" spans="1:6" ht="15.75" customHeight="1">
      <c r="A5129" s="5" t="str">
        <f ca="1">IFERROR(__xludf.DUMMYFUNCTION("GOOGLETRANSLATE(B32026,""en"",""pt"")"),"Tharangambadi")</f>
        <v>Tharangambadi</v>
      </c>
      <c r="B5129" s="17" t="s">
        <v>13562</v>
      </c>
      <c r="C5129" s="17" t="s">
        <v>10178</v>
      </c>
      <c r="D5129" s="17" t="s">
        <v>10196</v>
      </c>
      <c r="E5129" s="10">
        <v>1254904</v>
      </c>
      <c r="F5129" s="4" t="str">
        <f>IF(B5129=B5128,"",B5129)</f>
        <v/>
      </c>
    </row>
    <row r="5130" spans="1:6" ht="15.75" customHeight="1">
      <c r="A5130" s="5" t="str">
        <f ca="1">IFERROR(__xludf.DUMMYFUNCTION("GOOGLETRANSLATE(B32003,""en"",""pt"")"),"Tharād")</f>
        <v>Tharād</v>
      </c>
      <c r="B5130" s="17" t="s">
        <v>33003</v>
      </c>
      <c r="C5130" s="17" t="s">
        <v>10178</v>
      </c>
      <c r="D5130" s="17" t="s">
        <v>10209</v>
      </c>
      <c r="E5130" s="10">
        <v>1254638</v>
      </c>
      <c r="F5130" s="4" t="str">
        <f>IF(B5130=B5129,"",B5130)</f>
        <v>Tharād</v>
      </c>
    </row>
    <row r="5131" spans="1:6" ht="15.75" customHeight="1">
      <c r="A5131" s="6" t="s">
        <v>13560</v>
      </c>
      <c r="B5131" s="6" t="s">
        <v>13561</v>
      </c>
      <c r="C5131" s="6" t="s">
        <v>10178</v>
      </c>
      <c r="D5131" s="6" t="s">
        <v>10209</v>
      </c>
      <c r="E5131" s="2">
        <v>1254638</v>
      </c>
      <c r="F5131" s="4" t="str">
        <f>IF(B5131=B5130,"",B5131)</f>
        <v>TharÄd</v>
      </c>
    </row>
    <row r="5132" spans="1:6" ht="15.75" customHeight="1">
      <c r="A5132" s="5" t="s">
        <v>26015</v>
      </c>
      <c r="B5132" s="6" t="s">
        <v>26016</v>
      </c>
      <c r="C5132" s="5" t="s">
        <v>25771</v>
      </c>
      <c r="D5132" s="5" t="s">
        <v>26017</v>
      </c>
      <c r="E5132" s="2">
        <v>1150210</v>
      </c>
      <c r="F5132" s="4" t="str">
        <f>IF(B5132=B5131,"",B5132)</f>
        <v>Thap Than</v>
      </c>
    </row>
    <row r="5133" spans="1:6" ht="15.75" customHeight="1">
      <c r="A5133" s="5" t="str">
        <f ca="1">IFERROR(__xludf.DUMMYFUNCTION("GOOGLETRANSLATE(B41518,""en"",""pt"")"),"Thap do que")</f>
        <v>Thap do que</v>
      </c>
      <c r="B5133" s="17" t="s">
        <v>26016</v>
      </c>
      <c r="C5133" s="17" t="s">
        <v>25771</v>
      </c>
      <c r="D5133" s="17" t="s">
        <v>26017</v>
      </c>
      <c r="E5133" s="10">
        <v>1150210</v>
      </c>
      <c r="F5133" s="4" t="str">
        <f>IF(B5133=B5132,"",B5133)</f>
        <v/>
      </c>
    </row>
    <row r="5134" spans="1:6" ht="15.75" customHeight="1">
      <c r="A5134" s="5" t="s">
        <v>26014</v>
      </c>
      <c r="B5134" s="6" t="s">
        <v>26014</v>
      </c>
      <c r="C5134" s="5" t="s">
        <v>25771</v>
      </c>
      <c r="D5134" s="5" t="s">
        <v>25836</v>
      </c>
      <c r="E5134" s="2">
        <v>1605538</v>
      </c>
      <c r="F5134" s="4" t="str">
        <f>IF(B5134=B5133,"",B5134)</f>
        <v>Thap Khlo</v>
      </c>
    </row>
    <row r="5135" spans="1:6" ht="15.75" customHeight="1">
      <c r="A5135" s="5" t="str">
        <f ca="1">IFERROR(__xludf.DUMMYFUNCTION("GOOGLETRANSLATE(B41594,""en"",""pt"")"),"Thap Khlo")</f>
        <v>Thap Khlo</v>
      </c>
      <c r="B5135" s="17" t="s">
        <v>26014</v>
      </c>
      <c r="C5135" s="17" t="s">
        <v>25771</v>
      </c>
      <c r="D5135" s="17" t="s">
        <v>25836</v>
      </c>
      <c r="E5135" s="10">
        <v>1605538</v>
      </c>
      <c r="F5135" s="4" t="str">
        <f>IF(B5135=B5134,"",B5135)</f>
        <v/>
      </c>
    </row>
    <row r="5136" spans="1:6" ht="15.75" customHeight="1">
      <c r="A5136" s="5" t="str">
        <f ca="1">IFERROR(__xludf.DUMMYFUNCTION("GOOGLETRANSLATE(B32004,""en"",""pt"")"),"Thanjāvūr")</f>
        <v>Thanjāvūr</v>
      </c>
      <c r="B5136" s="17" t="s">
        <v>33004</v>
      </c>
      <c r="C5136" s="17" t="s">
        <v>10178</v>
      </c>
      <c r="D5136" s="17" t="s">
        <v>10196</v>
      </c>
      <c r="E5136" s="10">
        <v>1254649</v>
      </c>
      <c r="F5136" s="4" t="str">
        <f>IF(B5136=B5135,"",B5136)</f>
        <v>Thanjāvūr</v>
      </c>
    </row>
    <row r="5137" spans="1:6" ht="15.75" customHeight="1">
      <c r="A5137" s="5" t="s">
        <v>13558</v>
      </c>
      <c r="B5137" s="6" t="s">
        <v>13559</v>
      </c>
      <c r="C5137" s="5" t="s">
        <v>10178</v>
      </c>
      <c r="D5137" s="5" t="s">
        <v>10196</v>
      </c>
      <c r="E5137" s="2">
        <v>1254649</v>
      </c>
      <c r="F5137" s="4" t="str">
        <f>IF(B5137=B5136,"",B5137)</f>
        <v>ThanjÄvÅ«r</v>
      </c>
    </row>
    <row r="5138" spans="1:6" ht="15.75" customHeight="1">
      <c r="A5138" s="5" t="str">
        <f ca="1">IFERROR(__xludf.DUMMYFUNCTION("GOOGLETRANSLATE(B45717,""en"",""pt"")"),"Thành phố uông bí")</f>
        <v>Thành phố uông bí</v>
      </c>
      <c r="B5138" s="17" t="s">
        <v>36114</v>
      </c>
      <c r="C5138" s="17" t="s">
        <v>30784</v>
      </c>
      <c r="D5138" s="17" t="s">
        <v>36115</v>
      </c>
      <c r="E5138" s="10">
        <v>1563241</v>
      </c>
      <c r="F5138" s="4" t="str">
        <f>IF(B5138=B5137,"",B5138)</f>
        <v>Thành Phố Uông Bí</v>
      </c>
    </row>
    <row r="5139" spans="1:6" ht="15.75" customHeight="1">
      <c r="A5139" s="5" t="str">
        <f ca="1">IFERROR(__xludf.DUMMYFUNCTION("GOOGLETRANSLATE(B45719,""en"",""pt"")"),"Thành phố tuyên quang")</f>
        <v>Thành phố tuyên quang</v>
      </c>
      <c r="B5139" s="17" t="s">
        <v>36118</v>
      </c>
      <c r="C5139" s="17" t="s">
        <v>30784</v>
      </c>
      <c r="D5139" s="17" t="s">
        <v>36119</v>
      </c>
      <c r="E5139" s="10">
        <v>1563287</v>
      </c>
      <c r="F5139" s="4" t="str">
        <f>IF(B5139=B5138,"",B5139)</f>
        <v>Thành Phố Tuyên Quang</v>
      </c>
    </row>
    <row r="5140" spans="1:6" ht="15.75" customHeight="1">
      <c r="A5140" s="5" t="str">
        <f ca="1">IFERROR(__xludf.DUMMYFUNCTION("GOOGLETRANSLATE(B45724,""en"",""pt"")"),"Thành phố thái nguyên")</f>
        <v>Thành phố thái nguyên</v>
      </c>
      <c r="B5140" s="17" t="s">
        <v>36124</v>
      </c>
      <c r="C5140" s="17" t="s">
        <v>30784</v>
      </c>
      <c r="D5140" s="17" t="s">
        <v>36125</v>
      </c>
      <c r="E5140" s="10">
        <v>1566319</v>
      </c>
      <c r="F5140" s="4" t="str">
        <f>IF(B5140=B5139,"",B5140)</f>
        <v>Thành Phố Thái Nguyên</v>
      </c>
    </row>
    <row r="5141" spans="1:6" ht="15.75" customHeight="1">
      <c r="A5141" s="5" t="str">
        <f ca="1">IFERROR(__xludf.DUMMYFUNCTION("GOOGLETRANSLATE(B45725,""en"",""pt"")"),"Thành phố thái bình")</f>
        <v>Thành phố thái bình</v>
      </c>
      <c r="B5141" s="17" t="s">
        <v>36126</v>
      </c>
      <c r="C5141" s="17" t="s">
        <v>30784</v>
      </c>
      <c r="D5141" s="17" t="s">
        <v>36127</v>
      </c>
      <c r="E5141" s="10">
        <v>1566346</v>
      </c>
      <c r="F5141" s="4" t="str">
        <f>IF(B5141=B5140,"",B5141)</f>
        <v>Thành Phố Thái Bình</v>
      </c>
    </row>
    <row r="5142" spans="1:6" ht="15.75" customHeight="1">
      <c r="A5142" s="5" t="str">
        <f ca="1">IFERROR(__xludf.DUMMYFUNCTION("GOOGLETRANSLATE(B45739,""en"",""pt"")"),"Thành phố phủ lý")</f>
        <v>Thành phố phủ lý</v>
      </c>
      <c r="B5142" s="17" t="s">
        <v>36144</v>
      </c>
      <c r="C5142" s="17" t="s">
        <v>30784</v>
      </c>
      <c r="D5142" s="17" t="s">
        <v>36145</v>
      </c>
      <c r="E5142" s="10">
        <v>1570449</v>
      </c>
      <c r="F5142" s="4" t="str">
        <f>IF(B5142=B5141,"",B5142)</f>
        <v>Thành Phố Phủ Lý</v>
      </c>
    </row>
    <row r="5143" spans="1:6" ht="15.75" customHeight="1">
      <c r="A5143" s="5" t="str">
        <f ca="1">IFERROR(__xludf.DUMMYFUNCTION("GOOGLETRANSLATE(B45743,""en"",""pt"")"),"Thành phố ninh bình")</f>
        <v>Thành phố ninh bình</v>
      </c>
      <c r="B5143" s="17" t="s">
        <v>36151</v>
      </c>
      <c r="C5143" s="17" t="s">
        <v>30784</v>
      </c>
      <c r="D5143" s="17" t="s">
        <v>36152</v>
      </c>
      <c r="E5143" s="10">
        <v>1571968</v>
      </c>
      <c r="F5143" s="4" t="str">
        <f>IF(B5143=B5142,"",B5143)</f>
        <v>Thành Phố Ninh Bình</v>
      </c>
    </row>
    <row r="5144" spans="1:6" ht="15.75" customHeight="1">
      <c r="A5144" s="5" t="str">
        <f ca="1">IFERROR(__xludf.DUMMYFUNCTION("GOOGLETRANSLATE(B45745,""en"",""pt"")"),"Thành phố nam ịnh")</f>
        <v>Thành phố nam ịnh</v>
      </c>
      <c r="B5144" s="17" t="s">
        <v>36154</v>
      </c>
      <c r="C5144" s="17" t="s">
        <v>30784</v>
      </c>
      <c r="D5144" s="17" t="s">
        <v>36155</v>
      </c>
      <c r="E5144" s="10">
        <v>1573517</v>
      </c>
      <c r="F5144" s="4" t="str">
        <f>IF(B5144=B5143,"",B5144)</f>
        <v>Thành Phố Nam Định</v>
      </c>
    </row>
    <row r="5145" spans="1:6" ht="15.75" customHeight="1">
      <c r="A5145" s="5" t="str">
        <f ca="1">IFERROR(__xludf.DUMMYFUNCTION("GOOGLETRANSLATE(B45750,""en"",""pt"")"),"Thành phố lạng sơn")</f>
        <v>Thành phố lạng sơn</v>
      </c>
      <c r="B5145" s="17" t="s">
        <v>36160</v>
      </c>
      <c r="C5145" s="17" t="s">
        <v>30784</v>
      </c>
      <c r="D5145" s="17" t="s">
        <v>36161</v>
      </c>
      <c r="E5145" s="10">
        <v>1576633</v>
      </c>
      <c r="F5145" s="4" t="str">
        <f>IF(B5145=B5144,"",B5145)</f>
        <v>Thành Phố Lạng Sơn</v>
      </c>
    </row>
    <row r="5146" spans="1:6" ht="15.75" customHeight="1">
      <c r="A5146" s="5" t="str">
        <f ca="1">IFERROR(__xludf.DUMMYFUNCTION("GOOGLETRANSLATE(B45757,""en"",""pt"")"),"Thành phố hòa bình")</f>
        <v>Thành phố hòa bình</v>
      </c>
      <c r="B5146" s="17" t="s">
        <v>36167</v>
      </c>
      <c r="C5146" s="17" t="s">
        <v>30784</v>
      </c>
      <c r="D5146" s="17" t="s">
        <v>36168</v>
      </c>
      <c r="E5146" s="10">
        <v>1580830</v>
      </c>
      <c r="F5146" s="4" t="str">
        <f>IF(B5146=B5145,"",B5146)</f>
        <v>Thành Phố Hòa Bình</v>
      </c>
    </row>
    <row r="5147" spans="1:6" ht="15.75" customHeight="1">
      <c r="A5147" s="5" t="str">
        <f ca="1">IFERROR(__xludf.DUMMYFUNCTION("GOOGLETRANSLATE(B45762,""en"",""pt"")"),"Thành phố hải dương")</f>
        <v>Thành phố hải dương</v>
      </c>
      <c r="B5147" s="17" t="s">
        <v>36172</v>
      </c>
      <c r="C5147" s="17" t="s">
        <v>30784</v>
      </c>
      <c r="D5147" s="17" t="s">
        <v>36173</v>
      </c>
      <c r="E5147" s="10">
        <v>1581326</v>
      </c>
      <c r="F5147" s="4" t="str">
        <f>IF(B5147=B5146,"",B5147)</f>
        <v>Thành Phố Hải Dương</v>
      </c>
    </row>
    <row r="5148" spans="1:6" ht="15.75" customHeight="1">
      <c r="A5148" s="5" t="str">
        <f ca="1">IFERROR(__xludf.DUMMYFUNCTION("GOOGLETRANSLATE(B45755,""en"",""pt"")"),"Thành phố hạ por muito tempo")</f>
        <v>Thành phố hạ por muito tempo</v>
      </c>
      <c r="B5148" s="17" t="s">
        <v>36165</v>
      </c>
      <c r="C5148" s="17" t="s">
        <v>30784</v>
      </c>
      <c r="D5148" s="17" t="s">
        <v>36115</v>
      </c>
      <c r="E5148" s="10">
        <v>1580410</v>
      </c>
      <c r="F5148" s="4" t="str">
        <f>IF(B5148=B5147,"",B5148)</f>
        <v>Thành Phố Hạ Long</v>
      </c>
    </row>
    <row r="5149" spans="1:6" ht="15.75" customHeight="1">
      <c r="A5149" s="5" t="str">
        <f ca="1">IFERROR(__xludf.DUMMYFUNCTION("GOOGLETRANSLATE(B45763,""en"",""pt"")"),"Thành phố hà giang")</f>
        <v>Thành phố hà giang</v>
      </c>
      <c r="B5149" s="17" t="s">
        <v>36174</v>
      </c>
      <c r="C5149" s="17" t="s">
        <v>30784</v>
      </c>
      <c r="D5149" s="17" t="s">
        <v>36175</v>
      </c>
      <c r="E5149" s="10">
        <v>1581349</v>
      </c>
      <c r="F5149" s="4" t="str">
        <f>IF(B5149=B5148,"",B5149)</f>
        <v>Thành Phố Hà Giang</v>
      </c>
    </row>
    <row r="5150" spans="1:6" ht="15.75" customHeight="1">
      <c r="A5150" s="5" t="str">
        <f ca="1">IFERROR(__xludf.DUMMYFUNCTION("GOOGLETRANSLATE(B45775,""en"",""pt"")"),"Thành phố cao bằng")</f>
        <v>Thành phố cao bằng</v>
      </c>
      <c r="B5150" s="17" t="s">
        <v>36184</v>
      </c>
      <c r="C5150" s="17" t="s">
        <v>30784</v>
      </c>
      <c r="D5150" s="17" t="s">
        <v>36185</v>
      </c>
      <c r="E5150" s="10">
        <v>1586185</v>
      </c>
      <c r="F5150" s="4" t="str">
        <f>IF(B5150=B5149,"",B5150)</f>
        <v>Thành Phố Cao Bằng</v>
      </c>
    </row>
    <row r="5151" spans="1:6" ht="15.75" customHeight="1">
      <c r="A5151" s="5" t="str">
        <f ca="1">IFERROR(__xludf.DUMMYFUNCTION("GOOGLETRANSLATE(B45788,""en"",""pt"")"),"Thành phố bạc liêu")</f>
        <v>Thành phố bạc liêu</v>
      </c>
      <c r="B5151" s="17" t="s">
        <v>36199</v>
      </c>
      <c r="C5151" s="17" t="s">
        <v>30784</v>
      </c>
      <c r="D5151" s="17" t="s">
        <v>36200</v>
      </c>
      <c r="E5151" s="10">
        <v>1591474</v>
      </c>
      <c r="F5151" s="4" t="str">
        <f>IF(B5151=B5150,"",B5151)</f>
        <v>Thành phố Bạc Liêu</v>
      </c>
    </row>
    <row r="5152" spans="1:6" ht="15.75" customHeight="1">
      <c r="A5152" s="5" t="str">
        <f ca="1">IFERROR(__xludf.DUMMYFUNCTION("GOOGLETRANSLATE(B45723,""en"",""pt"")"),"Thanh Hóa")</f>
        <v>Thanh Hóa</v>
      </c>
      <c r="B5152" s="17" t="s">
        <v>36123</v>
      </c>
      <c r="C5152" s="17" t="s">
        <v>30784</v>
      </c>
      <c r="D5152" s="17" t="s">
        <v>36123</v>
      </c>
      <c r="E5152" s="10">
        <v>1566166</v>
      </c>
      <c r="F5152" s="4" t="str">
        <f>IF(B5152=B5151,"",B5152)</f>
        <v>Thanh Hóa</v>
      </c>
    </row>
    <row r="5153" spans="1:6" ht="15.75" customHeight="1">
      <c r="A5153" s="5" t="s">
        <v>30956</v>
      </c>
      <c r="B5153" s="6" t="s">
        <v>30793</v>
      </c>
      <c r="C5153" s="5" t="s">
        <v>30784</v>
      </c>
      <c r="D5153" s="5" t="s">
        <v>30793</v>
      </c>
      <c r="E5153" s="2">
        <v>1566166</v>
      </c>
      <c r="F5153" s="4" t="str">
        <f>IF(B5153=B5152,"",B5153)</f>
        <v>Thanh HÃ³a</v>
      </c>
    </row>
    <row r="5154" spans="1:6" ht="15.75" customHeight="1">
      <c r="A5154" s="5" t="str">
        <f ca="1">IFERROR(__xludf.DUMMYFUNCTION("GOOGLETRANSLATE(B32005,""en"",""pt"")"),"Thānesar")</f>
        <v>Thānesar</v>
      </c>
      <c r="B5154" s="17" t="s">
        <v>33005</v>
      </c>
      <c r="C5154" s="17" t="s">
        <v>10178</v>
      </c>
      <c r="D5154" s="17" t="s">
        <v>10224</v>
      </c>
      <c r="E5154" s="10">
        <v>1254657</v>
      </c>
      <c r="F5154" s="4" t="str">
        <f>IF(B5154=B5153,"",B5154)</f>
        <v>Thānesar</v>
      </c>
    </row>
    <row r="5155" spans="1:6" ht="15.75" customHeight="1">
      <c r="A5155" s="5" t="str">
        <f ca="1">IFERROR(__xludf.DUMMYFUNCTION("GOOGLETRANSLATE(B32006,""en"",""pt"")"),"Thāne")</f>
        <v>Thāne</v>
      </c>
      <c r="B5155" s="17" t="s">
        <v>33006</v>
      </c>
      <c r="C5155" s="17" t="s">
        <v>10178</v>
      </c>
      <c r="D5155" s="17" t="s">
        <v>10214</v>
      </c>
      <c r="E5155" s="10">
        <v>1254661</v>
      </c>
      <c r="F5155" s="4" t="str">
        <f>IF(B5155=B5154,"",B5155)</f>
        <v>Thāne</v>
      </c>
    </row>
    <row r="5156" spans="1:6" ht="15.75" customHeight="1">
      <c r="A5156" s="5" t="s">
        <v>18761</v>
      </c>
      <c r="B5156" s="6" t="s">
        <v>18761</v>
      </c>
      <c r="C5156" s="5" t="s">
        <v>18696</v>
      </c>
      <c r="D5156" s="5" t="s">
        <v>18695</v>
      </c>
      <c r="E5156" s="2">
        <v>1292579</v>
      </c>
      <c r="F5156" s="4" t="str">
        <f>IF(B5156=B5155,"",B5156)</f>
        <v>Thanatpin</v>
      </c>
    </row>
    <row r="5157" spans="1:6" ht="15.75" customHeight="1">
      <c r="A5157" s="5" t="s">
        <v>18761</v>
      </c>
      <c r="B5157" s="6" t="s">
        <v>18761</v>
      </c>
      <c r="C5157" s="5" t="s">
        <v>18696</v>
      </c>
      <c r="D5157" s="5" t="s">
        <v>18695</v>
      </c>
      <c r="E5157" s="2">
        <v>1292580</v>
      </c>
      <c r="F5157" s="4" t="str">
        <f>IF(B5157=B5156,"",B5157)</f>
        <v/>
      </c>
    </row>
    <row r="5158" spans="1:6" ht="15.75" customHeight="1">
      <c r="A5158" s="5" t="str">
        <f ca="1">IFERROR(__xludf.DUMMYFUNCTION("GOOGLETRANSLATE(B36708,""en"",""pt"")"),"Thanatpin")</f>
        <v>Thanatpin</v>
      </c>
      <c r="B5158" s="17" t="s">
        <v>18761</v>
      </c>
      <c r="C5158" s="17" t="s">
        <v>18696</v>
      </c>
      <c r="D5158" s="17" t="s">
        <v>18695</v>
      </c>
      <c r="E5158" s="10">
        <v>1292579</v>
      </c>
      <c r="F5158" s="4" t="str">
        <f>IF(B5158=B5157,"",B5158)</f>
        <v/>
      </c>
    </row>
    <row r="5159" spans="1:6" ht="15.75" customHeight="1">
      <c r="A5159" s="5" t="str">
        <f ca="1">IFERROR(__xludf.DUMMYFUNCTION("GOOGLETRANSLATE(B36709,""en"",""pt"")"),"Thanatpin")</f>
        <v>Thanatpin</v>
      </c>
      <c r="B5159" s="17" t="s">
        <v>18761</v>
      </c>
      <c r="C5159" s="17" t="s">
        <v>18696</v>
      </c>
      <c r="D5159" s="17" t="s">
        <v>18695</v>
      </c>
      <c r="E5159" s="10">
        <v>1292580</v>
      </c>
      <c r="F5159" s="4" t="str">
        <f>IF(B5159=B5158,"",B5159)</f>
        <v/>
      </c>
    </row>
    <row r="5160" spans="1:6" ht="15.75" customHeight="1">
      <c r="A5160" s="5" t="str">
        <f ca="1">IFERROR(__xludf.DUMMYFUNCTION("GOOGLETRANSLATE(B32007,""en"",""pt"")"),"Thāna Bhawan")</f>
        <v>Thāna Bhawan</v>
      </c>
      <c r="B5160" s="17" t="s">
        <v>33007</v>
      </c>
      <c r="C5160" s="17" t="s">
        <v>10178</v>
      </c>
      <c r="D5160" s="17" t="s">
        <v>10193</v>
      </c>
      <c r="E5160" s="10">
        <v>1254673</v>
      </c>
      <c r="F5160" s="4" t="str">
        <f>IF(B5160=B5159,"",B5160)</f>
        <v>Thāna Bhawan</v>
      </c>
    </row>
    <row r="5161" spans="1:6" ht="15.75" customHeight="1">
      <c r="A5161" s="5" t="str">
        <f ca="1">IFERROR(__xludf.DUMMYFUNCTION("GOOGLETRANSLATE(B32008,""en"",""pt"")"),"Que")</f>
        <v>Que</v>
      </c>
      <c r="B5161" s="17" t="s">
        <v>33008</v>
      </c>
      <c r="C5161" s="17" t="s">
        <v>10178</v>
      </c>
      <c r="D5161" s="17" t="s">
        <v>10209</v>
      </c>
      <c r="E5161" s="10">
        <v>1254675</v>
      </c>
      <c r="F5161" s="4" t="str">
        <f>IF(B5161=B5160,"",B5161)</f>
        <v>Thān</v>
      </c>
    </row>
    <row r="5162" spans="1:6" ht="15.75" customHeight="1">
      <c r="A5162" s="6" t="s">
        <v>1901</v>
      </c>
      <c r="B5162" s="6" t="s">
        <v>1901</v>
      </c>
      <c r="C5162" s="6" t="s">
        <v>1878</v>
      </c>
      <c r="D5162" s="6" t="s">
        <v>1894</v>
      </c>
      <c r="E5162" s="2">
        <v>933018</v>
      </c>
      <c r="F5162" s="4" t="str">
        <f>IF(B5162=B5161,"",B5162)</f>
        <v>Thamaga</v>
      </c>
    </row>
    <row r="5163" spans="1:6" ht="15.75" customHeight="1">
      <c r="A5163" s="5" t="str">
        <f ca="1">IFERROR(__xludf.DUMMYFUNCTION("GOOGLETRANSLATE(B25351,""en"",""pt"")"),"Thamaga")</f>
        <v>Thamaga</v>
      </c>
      <c r="B5163" s="17" t="s">
        <v>1901</v>
      </c>
      <c r="C5163" s="17" t="s">
        <v>1878</v>
      </c>
      <c r="D5163" s="17" t="s">
        <v>1894</v>
      </c>
      <c r="E5163" s="10">
        <v>933018</v>
      </c>
      <c r="F5163" s="4" t="str">
        <f>IF(B5163=B5162,"",B5163)</f>
        <v/>
      </c>
    </row>
    <row r="5164" spans="1:6" ht="15.75" customHeight="1">
      <c r="A5164" s="6" t="s">
        <v>26193</v>
      </c>
      <c r="B5164" s="6" t="s">
        <v>26193</v>
      </c>
      <c r="C5164" s="6" t="s">
        <v>26090</v>
      </c>
      <c r="D5164" s="6" t="s">
        <v>26148</v>
      </c>
      <c r="E5164" s="2">
        <v>2464795</v>
      </c>
      <c r="F5164" s="4" t="str">
        <f>IF(B5164=B5163,"",B5164)</f>
        <v>Thala</v>
      </c>
    </row>
    <row r="5165" spans="1:6" ht="15.75" customHeight="1">
      <c r="A5165" s="5" t="str">
        <f ca="1">IFERROR(__xludf.DUMMYFUNCTION("GOOGLETRANSLATE(B41795,""en"",""pt"")"),"Thala")</f>
        <v>Thala</v>
      </c>
      <c r="B5165" s="17" t="s">
        <v>26193</v>
      </c>
      <c r="C5165" s="17" t="s">
        <v>26090</v>
      </c>
      <c r="D5165" s="17" t="s">
        <v>35795</v>
      </c>
      <c r="E5165" s="10">
        <v>2464795</v>
      </c>
      <c r="F5165" s="4" t="str">
        <f>IF(B5165=B5164,"",B5165)</f>
        <v/>
      </c>
    </row>
    <row r="5166" spans="1:6" ht="15.75" customHeight="1">
      <c r="A5166" s="5" t="str">
        <f ca="1">IFERROR(__xludf.DUMMYFUNCTION("GOOGLETRANSLATE(B23693,""en"",""pt"")"),"Thākurgaon")</f>
        <v>Thākurgaon</v>
      </c>
      <c r="B5166" s="17" t="s">
        <v>31255</v>
      </c>
      <c r="C5166" s="17" t="s">
        <v>1296</v>
      </c>
      <c r="D5166" s="17" t="s">
        <v>1304</v>
      </c>
      <c r="E5166" s="10">
        <v>1185092</v>
      </c>
      <c r="F5166" s="4" t="str">
        <f>IF(B5166=B5165,"",B5166)</f>
        <v>Thākurgaon</v>
      </c>
    </row>
    <row r="5167" spans="1:6" ht="15.75" customHeight="1">
      <c r="A5167" s="5" t="str">
        <f ca="1">IFERROR(__xludf.DUMMYFUNCTION("GOOGLETRANSLATE(B32009,""en"",""pt"")"),"Thākurganj")</f>
        <v>Thākurganj</v>
      </c>
      <c r="B5167" s="17" t="s">
        <v>33009</v>
      </c>
      <c r="C5167" s="17" t="s">
        <v>10178</v>
      </c>
      <c r="D5167" s="17" t="s">
        <v>10317</v>
      </c>
      <c r="E5167" s="10">
        <v>1254694</v>
      </c>
      <c r="F5167" s="4" t="str">
        <f>IF(B5167=B5166,"",B5167)</f>
        <v>Thākurganj</v>
      </c>
    </row>
    <row r="5168" spans="1:6" ht="15.75" customHeight="1">
      <c r="A5168" s="5" t="s">
        <v>13557</v>
      </c>
      <c r="B5168" s="6" t="s">
        <v>13557</v>
      </c>
      <c r="C5168" s="5" t="s">
        <v>10178</v>
      </c>
      <c r="D5168" s="5" t="s">
        <v>10193</v>
      </c>
      <c r="E5168" s="2">
        <v>1254695</v>
      </c>
      <c r="F5168" s="4" t="str">
        <f>IF(B5168=B5167,"",B5168)</f>
        <v>Thakurdwara</v>
      </c>
    </row>
    <row r="5169" spans="1:6" ht="15.75" customHeight="1">
      <c r="A5169" s="5" t="str">
        <f ca="1">IFERROR(__xludf.DUMMYFUNCTION("GOOGLETRANSLATE(B32010,""en"",""pt"")"),"Thakurdwara")</f>
        <v>Thakurdwara</v>
      </c>
      <c r="B5169" s="17" t="s">
        <v>13557</v>
      </c>
      <c r="C5169" s="17" t="s">
        <v>10178</v>
      </c>
      <c r="D5169" s="17" t="s">
        <v>10193</v>
      </c>
      <c r="E5169" s="10">
        <v>1254695</v>
      </c>
      <c r="F5169" s="4" t="str">
        <f>IF(B5169=B5168,"",B5169)</f>
        <v/>
      </c>
    </row>
    <row r="5170" spans="1:6" ht="15.75" customHeight="1">
      <c r="A5170" s="5" t="str">
        <f ca="1">IFERROR(__xludf.DUMMYFUNCTION("GOOGLETRANSLATE(B36271,""en"",""pt"")"),"Thakhèk")</f>
        <v>Thakhèk</v>
      </c>
      <c r="B5170" s="17" t="s">
        <v>34513</v>
      </c>
      <c r="C5170" s="17" t="s">
        <v>16954</v>
      </c>
      <c r="D5170" s="17" t="s">
        <v>16974</v>
      </c>
      <c r="E5170" s="10">
        <v>1655199</v>
      </c>
      <c r="F5170" s="4" t="str">
        <f>IF(B5170=B5169,"",B5170)</f>
        <v>Thakhèk</v>
      </c>
    </row>
    <row r="5171" spans="1:6" ht="15.75" customHeight="1">
      <c r="A5171" s="6" t="s">
        <v>16972</v>
      </c>
      <c r="B5171" s="6" t="s">
        <v>16973</v>
      </c>
      <c r="C5171" s="6" t="s">
        <v>16954</v>
      </c>
      <c r="D5171" s="6" t="s">
        <v>16974</v>
      </c>
      <c r="E5171" s="2">
        <v>1655199</v>
      </c>
      <c r="F5171" s="4" t="str">
        <f>IF(B5171=B5170,"",B5171)</f>
        <v>ThakhÃ¨k</v>
      </c>
    </row>
    <row r="5172" spans="1:6" ht="15.75" customHeight="1">
      <c r="A5172" s="5" t="s">
        <v>23991</v>
      </c>
      <c r="B5172" s="6" t="s">
        <v>23992</v>
      </c>
      <c r="C5172" s="5" t="s">
        <v>23842</v>
      </c>
      <c r="D5172" s="5" t="s">
        <v>23845</v>
      </c>
      <c r="E5172" s="2">
        <v>949703</v>
      </c>
      <c r="F5172" s="4" t="str">
        <f>IF(B5172=B5171,"",B5172)</f>
        <v>Thaba Nchu</v>
      </c>
    </row>
    <row r="5173" spans="1:6" ht="15.75" customHeight="1">
      <c r="A5173" s="5" t="str">
        <f ca="1">IFERROR(__xludf.DUMMYFUNCTION("GOOGLETRANSLATE(B45867,""en"",""pt"")"),"Thaba nchu")</f>
        <v>Thaba nchu</v>
      </c>
      <c r="B5173" s="17" t="s">
        <v>23992</v>
      </c>
      <c r="C5173" s="17" t="s">
        <v>23842</v>
      </c>
      <c r="D5173" s="17" t="s">
        <v>23845</v>
      </c>
      <c r="E5173" s="10">
        <v>949703</v>
      </c>
      <c r="F5173" s="4" t="str">
        <f>IF(B5173=B5172,"",B5173)</f>
        <v/>
      </c>
    </row>
    <row r="5174" spans="1:6" ht="15.75" customHeight="1">
      <c r="A5174" s="6" t="s">
        <v>13555</v>
      </c>
      <c r="B5174" s="6" t="s">
        <v>13556</v>
      </c>
      <c r="C5174" s="6" t="s">
        <v>10178</v>
      </c>
      <c r="D5174" s="6" t="s">
        <v>10209</v>
      </c>
      <c r="E5174" s="2">
        <v>1254624</v>
      </c>
      <c r="F5174" s="4" t="str">
        <f>IF(B5174=B5173,"",B5174)</f>
        <v>ThÄsra</v>
      </c>
    </row>
    <row r="5175" spans="1:6" ht="15.75" customHeight="1">
      <c r="A5175" s="5" t="s">
        <v>20267</v>
      </c>
      <c r="B5175" s="6" t="s">
        <v>20268</v>
      </c>
      <c r="C5175" s="5" t="s">
        <v>19808</v>
      </c>
      <c r="D5175" s="5" t="s">
        <v>19823</v>
      </c>
      <c r="E5175" s="2">
        <v>1163595</v>
      </c>
      <c r="F5175" s="4" t="str">
        <f>IF(B5175=B5174,"",B5175)</f>
        <v>ThÄru ShÄh</v>
      </c>
    </row>
    <row r="5176" spans="1:6" ht="15.75" customHeight="1">
      <c r="A5176" s="5" t="s">
        <v>13553</v>
      </c>
      <c r="B5176" s="6" t="s">
        <v>13554</v>
      </c>
      <c r="C5176" s="5" t="s">
        <v>10178</v>
      </c>
      <c r="D5176" s="5" t="s">
        <v>10224</v>
      </c>
      <c r="E5176" s="2">
        <v>1254657</v>
      </c>
      <c r="F5176" s="4" t="str">
        <f>IF(B5176=B5175,"",B5176)</f>
        <v>ThÄnesar</v>
      </c>
    </row>
    <row r="5177" spans="1:6" ht="15.75" customHeight="1">
      <c r="A5177" s="6" t="s">
        <v>13551</v>
      </c>
      <c r="B5177" s="6" t="s">
        <v>13552</v>
      </c>
      <c r="C5177" s="6" t="s">
        <v>10178</v>
      </c>
      <c r="D5177" s="6" t="s">
        <v>10214</v>
      </c>
      <c r="E5177" s="2">
        <v>1254661</v>
      </c>
      <c r="F5177" s="4" t="str">
        <f>IF(B5177=B5176,"",B5177)</f>
        <v>ThÄne</v>
      </c>
    </row>
    <row r="5178" spans="1:6" ht="15.75" customHeight="1">
      <c r="A5178" s="5" t="s">
        <v>13549</v>
      </c>
      <c r="B5178" s="6" t="s">
        <v>13550</v>
      </c>
      <c r="C5178" s="5" t="s">
        <v>10178</v>
      </c>
      <c r="D5178" s="5" t="s">
        <v>10193</v>
      </c>
      <c r="E5178" s="2">
        <v>1254673</v>
      </c>
      <c r="F5178" s="4" t="str">
        <f>IF(B5178=B5177,"",B5178)</f>
        <v>ThÄna Bhawan</v>
      </c>
    </row>
    <row r="5179" spans="1:6" ht="15.75" customHeight="1">
      <c r="A5179" s="6" t="s">
        <v>13547</v>
      </c>
      <c r="B5179" s="6" t="s">
        <v>13548</v>
      </c>
      <c r="C5179" s="6" t="s">
        <v>10178</v>
      </c>
      <c r="D5179" s="6" t="s">
        <v>10209</v>
      </c>
      <c r="E5179" s="2">
        <v>1254675</v>
      </c>
      <c r="F5179" s="4" t="str">
        <f>IF(B5179=B5178,"",B5179)</f>
        <v>ThÄn</v>
      </c>
    </row>
    <row r="5180" spans="1:6" ht="15.75" customHeight="1">
      <c r="A5180" s="5" t="s">
        <v>1443</v>
      </c>
      <c r="B5180" s="6" t="s">
        <v>1444</v>
      </c>
      <c r="C5180" s="5" t="s">
        <v>1296</v>
      </c>
      <c r="D5180" s="5" t="s">
        <v>1304</v>
      </c>
      <c r="E5180" s="2">
        <v>1185092</v>
      </c>
      <c r="F5180" s="4" t="str">
        <f>IF(B5180=B5179,"",B5180)</f>
        <v>ThÄkurgaon</v>
      </c>
    </row>
    <row r="5181" spans="1:6" ht="15.75" customHeight="1">
      <c r="A5181" s="5" t="s">
        <v>13545</v>
      </c>
      <c r="B5181" s="6" t="s">
        <v>13546</v>
      </c>
      <c r="C5181" s="5" t="s">
        <v>10178</v>
      </c>
      <c r="D5181" s="5" t="s">
        <v>10317</v>
      </c>
      <c r="E5181" s="2">
        <v>1254694</v>
      </c>
      <c r="F5181" s="4" t="str">
        <f>IF(B5181=B5180,"",B5181)</f>
        <v>ThÄkurganj</v>
      </c>
    </row>
    <row r="5182" spans="1:6" ht="15.75" customHeight="1">
      <c r="A5182" s="5" t="s">
        <v>30953</v>
      </c>
      <c r="B5182" s="6" t="s">
        <v>30954</v>
      </c>
      <c r="C5182" s="5" t="s">
        <v>30784</v>
      </c>
      <c r="D5182" s="5" t="s">
        <v>30955</v>
      </c>
      <c r="E5182" s="2">
        <v>1565022</v>
      </c>
      <c r="F5182" s="4" t="str">
        <f>IF(B5182=B5181,"",B5182)</f>
        <v>Thá»§ Dáº§u Má»™t</v>
      </c>
    </row>
    <row r="5183" spans="1:6" ht="15.75" customHeight="1">
      <c r="A5183" s="5" t="s">
        <v>30951</v>
      </c>
      <c r="B5183" s="6" t="s">
        <v>30952</v>
      </c>
      <c r="C5183" s="5" t="s">
        <v>30784</v>
      </c>
      <c r="D5183" s="5" t="s">
        <v>30833</v>
      </c>
      <c r="E5183" s="2">
        <v>1563241</v>
      </c>
      <c r="F5183" s="4" t="str">
        <f>IF(B5183=B5182,"",B5183)</f>
        <v>ThÃ nh Phá»‘ UÃ´ng BÃ­</v>
      </c>
    </row>
    <row r="5184" spans="1:6" ht="15.75" customHeight="1">
      <c r="A5184" s="5" t="s">
        <v>30948</v>
      </c>
      <c r="B5184" s="6" t="s">
        <v>30949</v>
      </c>
      <c r="C5184" s="5" t="s">
        <v>30784</v>
      </c>
      <c r="D5184" s="5" t="s">
        <v>30950</v>
      </c>
      <c r="E5184" s="2">
        <v>1563287</v>
      </c>
      <c r="F5184" s="4" t="str">
        <f>IF(B5184=B5183,"",B5184)</f>
        <v>ThÃ nh Phá»‘ TuyÃªn Quang</v>
      </c>
    </row>
    <row r="5185" spans="1:6" ht="15.75" customHeight="1">
      <c r="A5185" s="5" t="s">
        <v>30945</v>
      </c>
      <c r="B5185" s="6" t="s">
        <v>30946</v>
      </c>
      <c r="C5185" s="5" t="s">
        <v>30784</v>
      </c>
      <c r="D5185" s="5" t="s">
        <v>30947</v>
      </c>
      <c r="E5185" s="2">
        <v>1566319</v>
      </c>
      <c r="F5185" s="4" t="str">
        <f>IF(B5185=B5184,"",B5185)</f>
        <v>ThÃ nh Phá»‘ ThÃ¡i NguyÃªn</v>
      </c>
    </row>
    <row r="5186" spans="1:6" ht="15.75" customHeight="1">
      <c r="A5186" s="5" t="s">
        <v>30942</v>
      </c>
      <c r="B5186" s="6" t="s">
        <v>30943</v>
      </c>
      <c r="C5186" s="5" t="s">
        <v>30784</v>
      </c>
      <c r="D5186" s="5" t="s">
        <v>30944</v>
      </c>
      <c r="E5186" s="2">
        <v>1566346</v>
      </c>
      <c r="F5186" s="4" t="str">
        <f>IF(B5186=B5185,"",B5186)</f>
        <v>ThÃ nh Phá»‘ ThÃ¡i BÃ¬nh</v>
      </c>
    </row>
    <row r="5187" spans="1:6" ht="15.75" customHeight="1">
      <c r="A5187" s="5" t="s">
        <v>30939</v>
      </c>
      <c r="B5187" s="6" t="s">
        <v>30940</v>
      </c>
      <c r="C5187" s="5" t="s">
        <v>30784</v>
      </c>
      <c r="D5187" s="5" t="s">
        <v>30941</v>
      </c>
      <c r="E5187" s="2">
        <v>1570449</v>
      </c>
      <c r="F5187" s="4" t="str">
        <f>IF(B5187=B5186,"",B5187)</f>
        <v>ThÃ nh Phá»‘ Phá»§ LÃ½</v>
      </c>
    </row>
    <row r="5188" spans="1:6" ht="15.75" customHeight="1">
      <c r="A5188" s="5" t="s">
        <v>30936</v>
      </c>
      <c r="B5188" s="6" t="s">
        <v>30937</v>
      </c>
      <c r="C5188" s="5" t="s">
        <v>30784</v>
      </c>
      <c r="D5188" s="5" t="s">
        <v>30938</v>
      </c>
      <c r="E5188" s="2">
        <v>1571968</v>
      </c>
      <c r="F5188" s="4" t="str">
        <f>IF(B5188=B5187,"",B5188)</f>
        <v>ThÃ nh Phá»‘ Ninh BÃ¬nh</v>
      </c>
    </row>
    <row r="5189" spans="1:6" ht="15.75" customHeight="1">
      <c r="A5189" s="5" t="s">
        <v>30933</v>
      </c>
      <c r="B5189" s="6" t="s">
        <v>30934</v>
      </c>
      <c r="C5189" s="5" t="s">
        <v>30784</v>
      </c>
      <c r="D5189" s="5" t="s">
        <v>30935</v>
      </c>
      <c r="E5189" s="2">
        <v>1573517</v>
      </c>
      <c r="F5189" s="4" t="str">
        <f>IF(B5189=B5188,"",B5189)</f>
        <v>ThÃ nh Phá»‘ Nam Äá»‹nh</v>
      </c>
    </row>
    <row r="5190" spans="1:6" ht="15.75" customHeight="1">
      <c r="A5190" s="5" t="s">
        <v>30930</v>
      </c>
      <c r="B5190" s="6" t="s">
        <v>30931</v>
      </c>
      <c r="C5190" s="5" t="s">
        <v>30784</v>
      </c>
      <c r="D5190" s="5" t="s">
        <v>30932</v>
      </c>
      <c r="E5190" s="2">
        <v>1576633</v>
      </c>
      <c r="F5190" s="4" t="str">
        <f>IF(B5190=B5189,"",B5190)</f>
        <v>ThÃ nh Phá»‘ Láº¡ng SÆ¡n</v>
      </c>
    </row>
    <row r="5191" spans="1:6" ht="15.75" customHeight="1">
      <c r="A5191" s="5" t="s">
        <v>30927</v>
      </c>
      <c r="B5191" s="6" t="s">
        <v>30928</v>
      </c>
      <c r="C5191" s="5" t="s">
        <v>30784</v>
      </c>
      <c r="D5191" s="5" t="s">
        <v>30929</v>
      </c>
      <c r="E5191" s="2">
        <v>1581326</v>
      </c>
      <c r="F5191" s="4" t="str">
        <f>IF(B5191=B5190,"",B5191)</f>
        <v>ThÃ nh Phá»‘ Háº£i DÆ°Æ¡ng</v>
      </c>
    </row>
    <row r="5192" spans="1:6" ht="15.75" customHeight="1">
      <c r="A5192" s="5" t="s">
        <v>30925</v>
      </c>
      <c r="B5192" s="6" t="s">
        <v>30926</v>
      </c>
      <c r="C5192" s="5" t="s">
        <v>30784</v>
      </c>
      <c r="D5192" s="5" t="s">
        <v>30833</v>
      </c>
      <c r="E5192" s="2">
        <v>1580410</v>
      </c>
      <c r="F5192" s="4" t="str">
        <f>IF(B5192=B5191,"",B5192)</f>
        <v>ThÃ nh Phá»‘ Háº¡ Long</v>
      </c>
    </row>
    <row r="5193" spans="1:6" ht="15.75" customHeight="1">
      <c r="A5193" s="5" t="s">
        <v>30922</v>
      </c>
      <c r="B5193" s="6" t="s">
        <v>30923</v>
      </c>
      <c r="C5193" s="5" t="s">
        <v>30784</v>
      </c>
      <c r="D5193" s="5" t="s">
        <v>30924</v>
      </c>
      <c r="E5193" s="2">
        <v>1580830</v>
      </c>
      <c r="F5193" s="4" t="str">
        <f>IF(B5193=B5192,"",B5193)</f>
        <v>ThÃ nh Phá»‘ HÃ²a BÃ¬nh</v>
      </c>
    </row>
    <row r="5194" spans="1:6" ht="15.75" customHeight="1">
      <c r="A5194" s="5" t="s">
        <v>30919</v>
      </c>
      <c r="B5194" s="6" t="s">
        <v>30920</v>
      </c>
      <c r="C5194" s="5" t="s">
        <v>30784</v>
      </c>
      <c r="D5194" s="5" t="s">
        <v>30921</v>
      </c>
      <c r="E5194" s="2">
        <v>1581349</v>
      </c>
      <c r="F5194" s="4" t="str">
        <f>IF(B5194=B5193,"",B5194)</f>
        <v>ThÃ nh Phá»‘ HÃ  Giang</v>
      </c>
    </row>
    <row r="5195" spans="1:6" ht="15.75" customHeight="1">
      <c r="A5195" s="5" t="s">
        <v>30916</v>
      </c>
      <c r="B5195" s="6" t="s">
        <v>30917</v>
      </c>
      <c r="C5195" s="5" t="s">
        <v>30784</v>
      </c>
      <c r="D5195" s="5" t="s">
        <v>30918</v>
      </c>
      <c r="E5195" s="2">
        <v>1586185</v>
      </c>
      <c r="F5195" s="4" t="str">
        <f>IF(B5195=B5194,"",B5195)</f>
        <v>ThÃ nh Phá»‘ Cao Báº±ng</v>
      </c>
    </row>
    <row r="5196" spans="1:6" ht="15.75" customHeight="1">
      <c r="A5196" s="5" t="s">
        <v>30913</v>
      </c>
      <c r="B5196" s="6" t="s">
        <v>30914</v>
      </c>
      <c r="C5196" s="5" t="s">
        <v>30784</v>
      </c>
      <c r="D5196" s="5" t="s">
        <v>30915</v>
      </c>
      <c r="E5196" s="2">
        <v>1591474</v>
      </c>
      <c r="F5196" s="4" t="str">
        <f>IF(B5196=B5195,"",B5196)</f>
        <v>ThÃ nh phá»‘ Báº¡c LiÃªu</v>
      </c>
    </row>
    <row r="5197" spans="1:6" ht="15.75" customHeight="1">
      <c r="A5197" s="6" t="s">
        <v>26012</v>
      </c>
      <c r="B5197" s="6" t="s">
        <v>26013</v>
      </c>
      <c r="C5197" s="6" t="s">
        <v>25771</v>
      </c>
      <c r="D5197" s="6" t="s">
        <v>25855</v>
      </c>
      <c r="E5197" s="2">
        <v>1605467</v>
      </c>
      <c r="F5197" s="4" t="str">
        <f>IF(B5197=B5196,"",B5197)</f>
        <v>Tha Yang</v>
      </c>
    </row>
    <row r="5198" spans="1:6" ht="15.75" customHeight="1">
      <c r="A5198" s="5" t="str">
        <f ca="1">IFERROR(__xludf.DUMMYFUNCTION("GOOGLETRANSLATE(B41592,""en"",""pt"")"),"Tha yang")</f>
        <v>Tha yang</v>
      </c>
      <c r="B5198" s="17" t="s">
        <v>26013</v>
      </c>
      <c r="C5198" s="17" t="s">
        <v>25771</v>
      </c>
      <c r="D5198" s="17" t="s">
        <v>25855</v>
      </c>
      <c r="E5198" s="10">
        <v>1605467</v>
      </c>
      <c r="F5198" s="4" t="str">
        <f>IF(B5198=B5197,"",B5198)</f>
        <v/>
      </c>
    </row>
    <row r="5199" spans="1:6" ht="15.75" customHeight="1">
      <c r="A5199" s="6" t="s">
        <v>26011</v>
      </c>
      <c r="B5199" s="6" t="s">
        <v>26011</v>
      </c>
      <c r="C5199" s="6" t="s">
        <v>25771</v>
      </c>
      <c r="D5199" s="6" t="s">
        <v>25778</v>
      </c>
      <c r="E5199" s="2">
        <v>1605509</v>
      </c>
      <c r="F5199" s="4" t="str">
        <f>IF(B5199=B5198,"",B5199)</f>
        <v>Tha Ruea</v>
      </c>
    </row>
    <row r="5200" spans="1:6" ht="15.75" customHeight="1">
      <c r="A5200" s="5" t="str">
        <f ca="1">IFERROR(__xludf.DUMMYFUNCTION("GOOGLETRANSLATE(B41593,""en"",""pt"")"),"Tha Ruea")</f>
        <v>Tha Ruea</v>
      </c>
      <c r="B5200" s="17" t="s">
        <v>26011</v>
      </c>
      <c r="C5200" s="17" t="s">
        <v>25771</v>
      </c>
      <c r="D5200" s="17" t="s">
        <v>25778</v>
      </c>
      <c r="E5200" s="10">
        <v>1605509</v>
      </c>
      <c r="F5200" s="4" t="str">
        <f>IF(B5200=B5199,"",B5200)</f>
        <v/>
      </c>
    </row>
    <row r="5201" spans="1:6" ht="15.75" customHeight="1">
      <c r="A5201" s="5" t="s">
        <v>26010</v>
      </c>
      <c r="B5201" s="6" t="s">
        <v>26010</v>
      </c>
      <c r="C5201" s="5" t="s">
        <v>25771</v>
      </c>
      <c r="D5201" s="5" t="s">
        <v>25851</v>
      </c>
      <c r="E5201" s="2">
        <v>1150246</v>
      </c>
      <c r="F5201" s="4" t="str">
        <f>IF(B5201=B5200,"",B5201)</f>
        <v>Tha Muang</v>
      </c>
    </row>
    <row r="5202" spans="1:6" ht="15.75" customHeight="1">
      <c r="A5202" s="5" t="str">
        <f ca="1">IFERROR(__xludf.DUMMYFUNCTION("GOOGLETRANSLATE(B41519,""en"",""pt"")"),"Tha Muang")</f>
        <v>Tha Muang</v>
      </c>
      <c r="B5202" s="17" t="s">
        <v>26010</v>
      </c>
      <c r="C5202" s="17" t="s">
        <v>25771</v>
      </c>
      <c r="D5202" s="17" t="s">
        <v>25851</v>
      </c>
      <c r="E5202" s="10">
        <v>1150246</v>
      </c>
      <c r="F5202" s="4" t="str">
        <f>IF(B5202=B5201,"",B5202)</f>
        <v/>
      </c>
    </row>
    <row r="5203" spans="1:6" ht="15.75" customHeight="1">
      <c r="A5203" s="6" t="s">
        <v>26009</v>
      </c>
      <c r="B5203" s="6" t="s">
        <v>26009</v>
      </c>
      <c r="C5203" s="6" t="s">
        <v>25771</v>
      </c>
      <c r="D5203" s="6" t="s">
        <v>25851</v>
      </c>
      <c r="E5203" s="2">
        <v>1150275</v>
      </c>
      <c r="F5203" s="4" t="str">
        <f>IF(B5203=B5202,"",B5203)</f>
        <v>Tha Maka</v>
      </c>
    </row>
    <row r="5204" spans="1:6" ht="15.75" customHeight="1">
      <c r="A5204" s="5" t="str">
        <f ca="1">IFERROR(__xludf.DUMMYFUNCTION("GOOGLETRANSLATE(B41520,""en"",""pt"")"),"Tha Maka")</f>
        <v>Tha Maka</v>
      </c>
      <c r="B5204" s="17" t="s">
        <v>26009</v>
      </c>
      <c r="C5204" s="17" t="s">
        <v>25771</v>
      </c>
      <c r="D5204" s="17" t="s">
        <v>25851</v>
      </c>
      <c r="E5204" s="10">
        <v>1150275</v>
      </c>
      <c r="F5204" s="4" t="str">
        <f>IF(B5204=B5203,"",B5204)</f>
        <v/>
      </c>
    </row>
    <row r="5205" spans="1:6" ht="15.75" customHeight="1">
      <c r="A5205" s="6" t="s">
        <v>26008</v>
      </c>
      <c r="B5205" s="6" t="s">
        <v>26008</v>
      </c>
      <c r="C5205" s="6" t="s">
        <v>25771</v>
      </c>
      <c r="D5205" s="6" t="s">
        <v>25860</v>
      </c>
      <c r="E5205" s="2">
        <v>1605601</v>
      </c>
      <c r="F5205" s="4" t="str">
        <f>IF(B5205=B5204,"",B5205)</f>
        <v>Tha Mai</v>
      </c>
    </row>
    <row r="5206" spans="1:6" ht="15.75" customHeight="1">
      <c r="A5206" s="5" t="str">
        <f ca="1">IFERROR(__xludf.DUMMYFUNCTION("GOOGLETRANSLATE(B41595,""en"",""pt"")"),"Tha Mai")</f>
        <v>Tha Mai</v>
      </c>
      <c r="B5206" s="17" t="s">
        <v>26008</v>
      </c>
      <c r="C5206" s="17" t="s">
        <v>25771</v>
      </c>
      <c r="D5206" s="17" t="s">
        <v>25860</v>
      </c>
      <c r="E5206" s="10">
        <v>1605601</v>
      </c>
      <c r="F5206" s="4" t="str">
        <f>IF(B5206=B5205,"",B5206)</f>
        <v/>
      </c>
    </row>
    <row r="5207" spans="1:6" ht="15.75" customHeight="1">
      <c r="A5207" s="6" t="s">
        <v>26006</v>
      </c>
      <c r="B5207" s="6" t="s">
        <v>26007</v>
      </c>
      <c r="C5207" s="6" t="s">
        <v>25771</v>
      </c>
      <c r="D5207" s="6" t="s">
        <v>25948</v>
      </c>
      <c r="E5207" s="2">
        <v>1605677</v>
      </c>
      <c r="F5207" s="4" t="str">
        <f>IF(B5207=B5206,"",B5207)</f>
        <v>Tha Bo</v>
      </c>
    </row>
    <row r="5208" spans="1:6" ht="15.75" customHeight="1">
      <c r="A5208" s="5" t="str">
        <f ca="1">IFERROR(__xludf.DUMMYFUNCTION("GOOGLETRANSLATE(B41596,""en"",""pt"")"),"Tha bo")</f>
        <v>Tha bo</v>
      </c>
      <c r="B5208" s="17" t="s">
        <v>26007</v>
      </c>
      <c r="C5208" s="17" t="s">
        <v>25771</v>
      </c>
      <c r="D5208" s="17" t="s">
        <v>25948</v>
      </c>
      <c r="E5208" s="10">
        <v>1605677</v>
      </c>
      <c r="F5208" s="4" t="str">
        <f>IF(B5208=B5207,"",B5208)</f>
        <v/>
      </c>
    </row>
    <row r="5209" spans="1:6" ht="15.75" customHeight="1">
      <c r="A5209" s="6" t="s">
        <v>13544</v>
      </c>
      <c r="B5209" s="6" t="s">
        <v>13544</v>
      </c>
      <c r="C5209" s="6" t="s">
        <v>10178</v>
      </c>
      <c r="D5209" s="6" t="s">
        <v>10239</v>
      </c>
      <c r="E5209" s="2">
        <v>1254710</v>
      </c>
      <c r="F5209" s="4" t="str">
        <f>IF(B5209=B5208,"",B5209)</f>
        <v>Tezpur</v>
      </c>
    </row>
    <row r="5210" spans="1:6" ht="15.75" customHeight="1">
      <c r="A5210" s="5" t="str">
        <f ca="1">IFERROR(__xludf.DUMMYFUNCTION("GOOGLETRANSLATE(B32011,""en"",""pt"")"),"Tezpur")</f>
        <v>Tezpur</v>
      </c>
      <c r="B5210" s="17" t="s">
        <v>13544</v>
      </c>
      <c r="C5210" s="17" t="s">
        <v>10178</v>
      </c>
      <c r="D5210" s="17" t="s">
        <v>10239</v>
      </c>
      <c r="E5210" s="10">
        <v>1254710</v>
      </c>
      <c r="F5210" s="4" t="str">
        <f>IF(B5210=B5209,"",B5210)</f>
        <v/>
      </c>
    </row>
    <row r="5211" spans="1:6" ht="15.75" customHeight="1">
      <c r="A5211" s="5" t="s">
        <v>18350</v>
      </c>
      <c r="B5211" s="6" t="s">
        <v>18350</v>
      </c>
      <c r="C5211" s="5" t="s">
        <v>17707</v>
      </c>
      <c r="D5211" s="5" t="s">
        <v>17729</v>
      </c>
      <c r="E5211" s="2">
        <v>3515690</v>
      </c>
      <c r="F5211" s="4" t="str">
        <f>IF(B5211=B5210,"",B5211)</f>
        <v>Tezontepec de Aldama</v>
      </c>
    </row>
    <row r="5212" spans="1:6" ht="15.75" customHeight="1">
      <c r="A5212" s="5" t="str">
        <f ca="1">IFERROR(__xludf.DUMMYFUNCTION("GOOGLETRANSLATE(B36885,""en"",""pt"")"),"Tezontepec de Aldama")</f>
        <v>Tezontepec de Aldama</v>
      </c>
      <c r="B5212" s="17" t="s">
        <v>18350</v>
      </c>
      <c r="C5212" s="17" t="s">
        <v>17707</v>
      </c>
      <c r="D5212" s="17" t="s">
        <v>17729</v>
      </c>
      <c r="E5212" s="10">
        <v>3515690</v>
      </c>
      <c r="F5212" s="4" t="str">
        <f>IF(B5212=B5211,"",B5212)</f>
        <v/>
      </c>
    </row>
    <row r="5213" spans="1:6" ht="15.75" customHeight="1">
      <c r="A5213" s="6" t="s">
        <v>18349</v>
      </c>
      <c r="B5213" s="6" t="s">
        <v>18349</v>
      </c>
      <c r="C5213" s="6" t="s">
        <v>17707</v>
      </c>
      <c r="D5213" s="6" t="s">
        <v>17717</v>
      </c>
      <c r="E5213" s="2">
        <v>3515696</v>
      </c>
      <c r="F5213" s="4" t="str">
        <f>IF(B5213=B5212,"",B5213)</f>
        <v>Teziutlan</v>
      </c>
    </row>
    <row r="5214" spans="1:6" ht="15.75" customHeight="1">
      <c r="A5214" s="5" t="str">
        <f ca="1">IFERROR(__xludf.DUMMYFUNCTION("GOOGLETRANSLATE(B36886,""en"",""pt"")"),"Teziutlan")</f>
        <v>Teziutlan</v>
      </c>
      <c r="B5214" s="17" t="s">
        <v>18349</v>
      </c>
      <c r="C5214" s="17" t="s">
        <v>17707</v>
      </c>
      <c r="D5214" s="17" t="s">
        <v>17717</v>
      </c>
      <c r="E5214" s="10">
        <v>3515696</v>
      </c>
      <c r="F5214" s="4" t="str">
        <f>IF(B5214=B5213,"",B5214)</f>
        <v/>
      </c>
    </row>
    <row r="5215" spans="1:6" ht="15.75" customHeight="1">
      <c r="A5215" s="6" t="s">
        <v>23184</v>
      </c>
      <c r="B5215" s="6" t="s">
        <v>23184</v>
      </c>
      <c r="C5215" s="6" t="s">
        <v>22070</v>
      </c>
      <c r="D5215" s="6" t="s">
        <v>22382</v>
      </c>
      <c r="E5215" s="2">
        <v>483137</v>
      </c>
      <c r="F5215" s="4" t="str">
        <f>IF(B5215=B5214,"",B5215)</f>
        <v>Teykovo</v>
      </c>
    </row>
    <row r="5216" spans="1:6" ht="15.75" customHeight="1">
      <c r="A5216" s="5" t="str">
        <f ca="1">IFERROR(__xludf.DUMMYFUNCTION("GOOGLETRANSLATE(B40036,""en"",""pt"")"),"Teykovo")</f>
        <v>Teykovo</v>
      </c>
      <c r="B5216" s="17" t="s">
        <v>23184</v>
      </c>
      <c r="C5216" s="17" t="s">
        <v>22070</v>
      </c>
      <c r="D5216" s="17" t="s">
        <v>22382</v>
      </c>
      <c r="E5216" s="10">
        <v>483137</v>
      </c>
      <c r="F5216" s="4" t="str">
        <f>IF(B5216=B5215,"",B5216)</f>
        <v/>
      </c>
    </row>
    <row r="5217" spans="1:6" ht="15.75" customHeight="1">
      <c r="A5217" s="5" t="s">
        <v>18348</v>
      </c>
      <c r="B5217" s="6" t="s">
        <v>18348</v>
      </c>
      <c r="C5217" s="5" t="s">
        <v>17707</v>
      </c>
      <c r="D5217" s="5" t="s">
        <v>17736</v>
      </c>
      <c r="E5217" s="2">
        <v>3515715</v>
      </c>
      <c r="F5217" s="4" t="str">
        <f>IF(B5217=B5216,"",B5217)</f>
        <v>Texcoco de Mora</v>
      </c>
    </row>
    <row r="5218" spans="1:6" ht="15.75" customHeight="1">
      <c r="A5218" s="5" t="str">
        <f ca="1">IFERROR(__xludf.DUMMYFUNCTION("GOOGLETRANSLATE(B36887,""en"",""pt"")"),"Texcoco de Mora")</f>
        <v>Texcoco de Mora</v>
      </c>
      <c r="B5218" s="17" t="s">
        <v>18348</v>
      </c>
      <c r="C5218" s="17" t="s">
        <v>17707</v>
      </c>
      <c r="D5218" s="17" t="s">
        <v>20902</v>
      </c>
      <c r="E5218" s="10">
        <v>3515715</v>
      </c>
      <c r="F5218" s="4" t="str">
        <f>IF(B5218=B5217,"",B5218)</f>
        <v/>
      </c>
    </row>
    <row r="5219" spans="1:6" ht="15.75" customHeight="1">
      <c r="A5219" s="5" t="s">
        <v>30179</v>
      </c>
      <c r="B5219" s="6" t="s">
        <v>30179</v>
      </c>
      <c r="C5219" s="5" t="s">
        <v>27788</v>
      </c>
      <c r="D5219" s="5" t="s">
        <v>27991</v>
      </c>
      <c r="E5219" s="2">
        <v>4133367</v>
      </c>
      <c r="F5219" s="4" t="str">
        <f>IF(B5219=B5218,"",B5219)</f>
        <v>Texarkana</v>
      </c>
    </row>
    <row r="5220" spans="1:6" ht="15.75" customHeight="1">
      <c r="A5220" s="5" t="str">
        <f ca="1">IFERROR(__xludf.DUMMYFUNCTION("GOOGLETRANSLATE(B42830,""en"",""pt"")"),"Texarkana")</f>
        <v>Texarkana</v>
      </c>
      <c r="B5220" s="17" t="s">
        <v>30179</v>
      </c>
      <c r="C5220" s="17" t="s">
        <v>27788</v>
      </c>
      <c r="D5220" s="17" t="s">
        <v>27991</v>
      </c>
      <c r="E5220" s="10">
        <v>4133367</v>
      </c>
      <c r="F5220" s="4" t="str">
        <f>IF(B5220=B5219,"",B5220)</f>
        <v/>
      </c>
    </row>
    <row r="5221" spans="1:6" ht="15.75" customHeight="1">
      <c r="A5221" s="5" t="s">
        <v>30178</v>
      </c>
      <c r="B5221" s="6" t="s">
        <v>30178</v>
      </c>
      <c r="C5221" s="5" t="s">
        <v>27788</v>
      </c>
      <c r="D5221" s="5" t="s">
        <v>27794</v>
      </c>
      <c r="E5221" s="2">
        <v>4952762</v>
      </c>
      <c r="F5221" s="4" t="str">
        <f>IF(B5221=B5220,"",B5221)</f>
        <v>Tewksbury</v>
      </c>
    </row>
    <row r="5222" spans="1:6" ht="15.75" customHeight="1">
      <c r="A5222" s="5" t="str">
        <f ca="1">IFERROR(__xludf.DUMMYFUNCTION("GOOGLETRANSLATE(B44035,""en"",""pt"")"),"Tewksbury")</f>
        <v>Tewksbury</v>
      </c>
      <c r="B5222" s="17" t="s">
        <v>30178</v>
      </c>
      <c r="C5222" s="17" t="s">
        <v>27788</v>
      </c>
      <c r="D5222" s="17" t="s">
        <v>27794</v>
      </c>
      <c r="E5222" s="10">
        <v>4952762</v>
      </c>
      <c r="F5222" s="4" t="str">
        <f>IF(B5222=B5221,"",B5222)</f>
        <v/>
      </c>
    </row>
    <row r="5223" spans="1:6" ht="15.75" customHeight="1">
      <c r="A5223" s="5" t="str">
        <f ca="1">IFERROR(__xludf.DUMMYFUNCTION("GOOGLETRANSLATE(B24493,""en"",""pt"")"),"Teutônia")</f>
        <v>Teutônia</v>
      </c>
      <c r="B5223" s="17" t="s">
        <v>31453</v>
      </c>
      <c r="C5223" s="17" t="s">
        <v>1905</v>
      </c>
      <c r="D5223" s="17" t="s">
        <v>1951</v>
      </c>
      <c r="E5223" s="10">
        <v>3446556</v>
      </c>
      <c r="F5223" s="4" t="str">
        <f>IF(B5223=B5222,"",B5223)</f>
        <v>Teutônia</v>
      </c>
    </row>
    <row r="5224" spans="1:6" ht="15.75" customHeight="1">
      <c r="A5224" s="6" t="s">
        <v>3547</v>
      </c>
      <c r="B5224" s="6" t="s">
        <v>3548</v>
      </c>
      <c r="C5224" s="6" t="s">
        <v>1905</v>
      </c>
      <c r="D5224" s="6" t="s">
        <v>1951</v>
      </c>
      <c r="E5224" s="2">
        <v>3446556</v>
      </c>
      <c r="F5224" s="4" t="str">
        <f>IF(B5224=B5223,"",B5224)</f>
        <v>TeutÃ´nia</v>
      </c>
    </row>
    <row r="5225" spans="1:6" ht="15.75" customHeight="1">
      <c r="A5225" s="5" t="str">
        <f ca="1">IFERROR(__xludf.DUMMYFUNCTION("GOOGLETRANSLATE(B29264,""en"",""pt"")"),"Tetuán de Las Victorias")</f>
        <v>Tetuán de Las Victorias</v>
      </c>
      <c r="B5225" s="17" t="s">
        <v>32421</v>
      </c>
      <c r="C5225" s="17" t="s">
        <v>24200</v>
      </c>
      <c r="D5225" s="17" t="s">
        <v>5513</v>
      </c>
      <c r="E5225" s="10">
        <v>3108118</v>
      </c>
      <c r="F5225" s="4" t="str">
        <f>IF(B5225=B5224,"",B5225)</f>
        <v>Tetuán de las Victorias</v>
      </c>
    </row>
    <row r="5226" spans="1:6" ht="15.75" customHeight="1">
      <c r="A5226" s="5" t="s">
        <v>24846</v>
      </c>
      <c r="B5226" s="6" t="s">
        <v>24847</v>
      </c>
      <c r="C5226" s="5" t="s">
        <v>24200</v>
      </c>
      <c r="D5226" s="5" t="s">
        <v>5513</v>
      </c>
      <c r="E5226" s="2">
        <v>3108118</v>
      </c>
      <c r="F5226" s="4" t="str">
        <f>IF(B5226=B5225,"",B5226)</f>
        <v>TetuÃ¡n de las Victorias</v>
      </c>
    </row>
    <row r="5227" spans="1:6" ht="15.75" customHeight="1">
      <c r="A5227" s="6" t="s">
        <v>9203</v>
      </c>
      <c r="B5227" s="6" t="s">
        <v>9203</v>
      </c>
      <c r="C5227" s="6" t="s">
        <v>8028</v>
      </c>
      <c r="D5227" s="6" t="s">
        <v>8031</v>
      </c>
      <c r="E5227" s="2">
        <v>2823368</v>
      </c>
      <c r="F5227" s="4" t="str">
        <f>IF(B5227=B5226,"",B5227)</f>
        <v>Tettnang</v>
      </c>
    </row>
    <row r="5228" spans="1:6" ht="15.75" customHeight="1">
      <c r="A5228" s="5" t="str">
        <f ca="1">IFERROR(__xludf.DUMMYFUNCTION("GOOGLETRANSLATE(B27476,""en"",""pt"")"),"Tettnang")</f>
        <v>Tettnang</v>
      </c>
      <c r="B5228" s="17" t="s">
        <v>9203</v>
      </c>
      <c r="C5228" s="17" t="s">
        <v>8028</v>
      </c>
      <c r="D5228" s="17" t="s">
        <v>32013</v>
      </c>
      <c r="E5228" s="10">
        <v>2823368</v>
      </c>
      <c r="F5228" s="4" t="str">
        <f>IF(B5228=B5227,"",B5228)</f>
        <v/>
      </c>
    </row>
    <row r="5229" spans="1:6" ht="15.75" customHeight="1">
      <c r="A5229" s="6" t="s">
        <v>17287</v>
      </c>
      <c r="B5229" s="6" t="s">
        <v>17287</v>
      </c>
      <c r="C5229" s="6" t="s">
        <v>17221</v>
      </c>
      <c r="D5229" s="6" t="s">
        <v>17287</v>
      </c>
      <c r="E5229" s="2">
        <v>785082</v>
      </c>
      <c r="F5229" s="4" t="str">
        <f>IF(B5229=B5228,"",B5229)</f>
        <v>Tetovo</v>
      </c>
    </row>
    <row r="5230" spans="1:6" ht="15.75" customHeight="1">
      <c r="A5230" s="5" t="str">
        <f ca="1">IFERROR(__xludf.DUMMYFUNCTION("GOOGLETRANSLATE(B36644,""en"",""pt"")"),"Tetovo")</f>
        <v>Tetovo</v>
      </c>
      <c r="B5230" s="17" t="s">
        <v>17287</v>
      </c>
      <c r="C5230" s="17" t="s">
        <v>17221</v>
      </c>
      <c r="D5230" s="17" t="s">
        <v>17287</v>
      </c>
      <c r="E5230" s="10">
        <v>785082</v>
      </c>
      <c r="F5230" s="4" t="str">
        <f>IF(B5230=B5229,"",B5230)</f>
        <v/>
      </c>
    </row>
    <row r="5231" spans="1:6" ht="15.75" customHeight="1">
      <c r="A5231" s="5" t="str">
        <f ca="1">IFERROR(__xludf.DUMMYFUNCTION("GOOGLETRANSLATE(B36460,""en"",""pt"")"),"Tétouan")</f>
        <v>Tétouan</v>
      </c>
      <c r="B5231" s="17" t="s">
        <v>34586</v>
      </c>
      <c r="C5231" s="17" t="s">
        <v>18551</v>
      </c>
      <c r="D5231" s="17" t="s">
        <v>34587</v>
      </c>
      <c r="E5231" s="10">
        <v>2528910</v>
      </c>
      <c r="F5231" s="4" t="str">
        <f>IF(B5231=B5230,"",B5231)</f>
        <v>Tétouan</v>
      </c>
    </row>
    <row r="5232" spans="1:6" ht="15.75" customHeight="1">
      <c r="A5232" s="6" t="s">
        <v>18692</v>
      </c>
      <c r="B5232" s="6" t="s">
        <v>18692</v>
      </c>
      <c r="C5232" s="6" t="s">
        <v>18655</v>
      </c>
      <c r="D5232" s="6" t="s">
        <v>18692</v>
      </c>
      <c r="E5232" s="2">
        <v>1026014</v>
      </c>
      <c r="F5232" s="4" t="str">
        <f>IF(B5232=B5231,"",B5232)</f>
        <v>Tete</v>
      </c>
    </row>
    <row r="5233" spans="1:6" ht="15.75" customHeight="1">
      <c r="A5233" s="5" t="str">
        <f ca="1">IFERROR(__xludf.DUMMYFUNCTION("GOOGLETRANSLATE(B37543,""en"",""pt"")"),"Tete")</f>
        <v>Tete</v>
      </c>
      <c r="B5233" s="17" t="s">
        <v>18692</v>
      </c>
      <c r="C5233" s="17" t="s">
        <v>18655</v>
      </c>
      <c r="D5233" s="17" t="s">
        <v>18692</v>
      </c>
      <c r="E5233" s="10">
        <v>1026014</v>
      </c>
      <c r="F5233" s="4" t="str">
        <f>IF(B5233=B5232,"",B5233)</f>
        <v/>
      </c>
    </row>
    <row r="5234" spans="1:6" ht="15.75" customHeight="1">
      <c r="A5234" s="5" t="s">
        <v>1697</v>
      </c>
      <c r="B5234" s="6" t="s">
        <v>1697</v>
      </c>
      <c r="C5234" s="5" t="s">
        <v>1512</v>
      </c>
      <c r="D5234" s="5" t="s">
        <v>1513</v>
      </c>
      <c r="E5234" s="2">
        <v>2785612</v>
      </c>
      <c r="F5234" s="4" t="str">
        <f>IF(B5234=B5233,"",B5234)</f>
        <v>Tessenderlo</v>
      </c>
    </row>
    <row r="5235" spans="1:6" ht="15.75" customHeight="1">
      <c r="A5235" s="5" t="str">
        <f ca="1">IFERROR(__xludf.DUMMYFUNCTION("GOOGLETRANSLATE(B23820,""en"",""pt"")"),"Tessenderlo")</f>
        <v>Tessenderlo</v>
      </c>
      <c r="B5235" s="17" t="s">
        <v>1697</v>
      </c>
      <c r="C5235" s="17" t="s">
        <v>1512</v>
      </c>
      <c r="D5235" s="17" t="s">
        <v>1513</v>
      </c>
      <c r="E5235" s="10">
        <v>2785612</v>
      </c>
      <c r="F5235" s="4" t="str">
        <f>IF(B5235=B5234,"",B5235)</f>
        <v/>
      </c>
    </row>
    <row r="5236" spans="1:6" ht="15.75" customHeight="1">
      <c r="A5236" s="6" t="s">
        <v>19289</v>
      </c>
      <c r="B5236" s="6" t="s">
        <v>19289</v>
      </c>
      <c r="C5236" s="6" t="s">
        <v>19259</v>
      </c>
      <c r="D5236" s="6" t="s">
        <v>19267</v>
      </c>
      <c r="E5236" s="2">
        <v>2438823</v>
      </c>
      <c r="F5236" s="4" t="str">
        <f>IF(B5236=B5235,"",B5236)</f>
        <v>Tessaoua</v>
      </c>
    </row>
    <row r="5237" spans="1:6" ht="15.75" customHeight="1">
      <c r="A5237" s="5" t="str">
        <f ca="1">IFERROR(__xludf.DUMMYFUNCTION("GOOGLETRANSLATE(B37585,""en"",""pt"")"),"Tessaoua")</f>
        <v>Tessaoua</v>
      </c>
      <c r="B5237" s="17" t="s">
        <v>19289</v>
      </c>
      <c r="C5237" s="17" t="s">
        <v>19259</v>
      </c>
      <c r="D5237" s="17" t="s">
        <v>19267</v>
      </c>
      <c r="E5237" s="10">
        <v>2438823</v>
      </c>
      <c r="F5237" s="4" t="str">
        <f>IF(B5237=B5236,"",B5237)</f>
        <v/>
      </c>
    </row>
    <row r="5238" spans="1:6" ht="15.75" customHeight="1">
      <c r="A5238" s="5" t="str">
        <f ca="1">IFERROR(__xludf.DUMMYFUNCTION("GOOGLETRANSLATE(B37165,""en"",""pt"")"),"Tesistán")</f>
        <v>Tesistán</v>
      </c>
      <c r="B5238" s="17" t="s">
        <v>34734</v>
      </c>
      <c r="C5238" s="17" t="s">
        <v>17707</v>
      </c>
      <c r="D5238" s="17" t="s">
        <v>17746</v>
      </c>
      <c r="E5238" s="10">
        <v>3981791</v>
      </c>
      <c r="F5238" s="4" t="str">
        <f>IF(B5238=B5237,"",B5238)</f>
        <v>Tesistán</v>
      </c>
    </row>
    <row r="5239" spans="1:6" ht="15.75" customHeight="1">
      <c r="A5239" s="6" t="s">
        <v>18346</v>
      </c>
      <c r="B5239" s="6" t="s">
        <v>18347</v>
      </c>
      <c r="C5239" s="6" t="s">
        <v>17707</v>
      </c>
      <c r="D5239" s="6" t="s">
        <v>17746</v>
      </c>
      <c r="E5239" s="2">
        <v>3981791</v>
      </c>
      <c r="F5239" s="4" t="str">
        <f>IF(B5239=B5238,"",B5239)</f>
        <v>TesistÃ¡n</v>
      </c>
    </row>
    <row r="5240" spans="1:6" ht="15.75" customHeight="1">
      <c r="A5240" s="5" t="s">
        <v>9431</v>
      </c>
      <c r="B5240" s="6" t="s">
        <v>9432</v>
      </c>
      <c r="C5240" s="5" t="s">
        <v>9365</v>
      </c>
      <c r="D5240" s="5" t="s">
        <v>9368</v>
      </c>
      <c r="E5240" s="2">
        <v>2294665</v>
      </c>
      <c r="F5240" s="4" t="str">
        <f>IF(B5240=B5239,"",B5240)</f>
        <v>Teshi Old Town</v>
      </c>
    </row>
    <row r="5241" spans="1:6" ht="15.75" customHeight="1">
      <c r="A5241" s="5" t="str">
        <f ca="1">IFERROR(__xludf.DUMMYFUNCTION("GOOGLETRANSLATE(B30860,""en"",""pt"")"),"Teshi Cidade Velha")</f>
        <v>Teshi Cidade Velha</v>
      </c>
      <c r="B5241" s="17" t="s">
        <v>9432</v>
      </c>
      <c r="C5241" s="17" t="s">
        <v>9365</v>
      </c>
      <c r="D5241" s="17" t="s">
        <v>9368</v>
      </c>
      <c r="E5241" s="10">
        <v>2294665</v>
      </c>
      <c r="F5241" s="4" t="str">
        <f>IF(B5241=B5240,"",B5241)</f>
        <v/>
      </c>
    </row>
    <row r="5242" spans="1:6" ht="15.75" customHeight="1">
      <c r="A5242" s="6" t="s">
        <v>15525</v>
      </c>
      <c r="B5242" s="6" t="s">
        <v>15525</v>
      </c>
      <c r="C5242" s="6" t="s">
        <v>14891</v>
      </c>
      <c r="D5242" s="6" t="s">
        <v>14896</v>
      </c>
      <c r="E5242" s="2">
        <v>3165737</v>
      </c>
      <c r="F5242" s="4" t="str">
        <f>IF(B5242=B5241,"",B5242)</f>
        <v>Terzigno</v>
      </c>
    </row>
    <row r="5243" spans="1:6" ht="15.75" customHeight="1">
      <c r="A5243" s="5" t="str">
        <f ca="1">IFERROR(__xludf.DUMMYFUNCTION("GOOGLETRANSLATE(B34667,""en"",""pt"")"),"Terzigno")</f>
        <v>Terzigno</v>
      </c>
      <c r="B5243" s="17" t="s">
        <v>15525</v>
      </c>
      <c r="C5243" s="17" t="s">
        <v>14891</v>
      </c>
      <c r="D5243" s="17" t="s">
        <v>14896</v>
      </c>
      <c r="E5243" s="10">
        <v>3165737</v>
      </c>
      <c r="F5243" s="4" t="str">
        <f>IF(B5243=B5242,"",B5243)</f>
        <v/>
      </c>
    </row>
    <row r="5244" spans="1:6" ht="15.75" customHeight="1">
      <c r="A5244" s="6" t="s">
        <v>1696</v>
      </c>
      <c r="B5244" s="6" t="s">
        <v>1696</v>
      </c>
      <c r="C5244" s="6" t="s">
        <v>1512</v>
      </c>
      <c r="D5244" s="6" t="s">
        <v>1513</v>
      </c>
      <c r="E5244" s="2">
        <v>2785622</v>
      </c>
      <c r="F5244" s="4" t="str">
        <f>IF(B5244=B5243,"",B5244)</f>
        <v>Tervuren</v>
      </c>
    </row>
    <row r="5245" spans="1:6" ht="15.75" customHeight="1">
      <c r="A5245" s="5" t="str">
        <f ca="1">IFERROR(__xludf.DUMMYFUNCTION("GOOGLETRANSLATE(B23821,""en"",""pt"")"),"Tervuren")</f>
        <v>Tervuren</v>
      </c>
      <c r="B5245" s="17" t="s">
        <v>1696</v>
      </c>
      <c r="C5245" s="17" t="s">
        <v>1512</v>
      </c>
      <c r="D5245" s="17" t="s">
        <v>1513</v>
      </c>
      <c r="E5245" s="10">
        <v>2785622</v>
      </c>
      <c r="F5245" s="4" t="str">
        <f>IF(B5245=B5244,"",B5245)</f>
        <v/>
      </c>
    </row>
    <row r="5246" spans="1:6" ht="15.75" customHeight="1">
      <c r="A5246" s="6" t="s">
        <v>24845</v>
      </c>
      <c r="B5246" s="6" t="s">
        <v>24845</v>
      </c>
      <c r="C5246" s="6" t="s">
        <v>24200</v>
      </c>
      <c r="D5246" s="6" t="s">
        <v>24226</v>
      </c>
      <c r="E5246" s="2">
        <v>3108126</v>
      </c>
      <c r="F5246" s="4" t="str">
        <f>IF(B5246=B5245,"",B5246)</f>
        <v>Teruel</v>
      </c>
    </row>
    <row r="5247" spans="1:6" ht="15.75" customHeight="1">
      <c r="A5247" s="5" t="str">
        <f ca="1">IFERROR(__xludf.DUMMYFUNCTION("GOOGLETRANSLATE(B29265,""en"",""pt"")"),"Teruel")</f>
        <v>Teruel</v>
      </c>
      <c r="B5247" s="17" t="s">
        <v>24845</v>
      </c>
      <c r="C5247" s="17" t="s">
        <v>24200</v>
      </c>
      <c r="D5247" s="17" t="s">
        <v>24226</v>
      </c>
      <c r="E5247" s="10">
        <v>3108126</v>
      </c>
      <c r="F5247" s="4" t="str">
        <f>IF(B5247=B5246,"",B5247)</f>
        <v/>
      </c>
    </row>
    <row r="5248" spans="1:6" ht="15.75" customHeight="1">
      <c r="A5248" s="6" t="s">
        <v>1256</v>
      </c>
      <c r="B5248" s="6" t="s">
        <v>1256</v>
      </c>
      <c r="C5248" s="6" t="s">
        <v>1170</v>
      </c>
      <c r="D5248" s="6" t="s">
        <v>1257</v>
      </c>
      <c r="E5248" s="2">
        <v>584871</v>
      </c>
      <c r="F5248" s="4" t="str">
        <f>IF(B5248=B5247,"",B5248)</f>
        <v>Terter</v>
      </c>
    </row>
    <row r="5249" spans="1:6" ht="15.75" customHeight="1">
      <c r="A5249" s="5" t="str">
        <f ca="1">IFERROR(__xludf.DUMMYFUNCTION("GOOGLETRANSLATE(B23637,""en"",""pt"")"),"Terter")</f>
        <v>Terter</v>
      </c>
      <c r="B5249" s="17" t="s">
        <v>1256</v>
      </c>
      <c r="C5249" s="17" t="s">
        <v>1170</v>
      </c>
      <c r="D5249" s="17" t="s">
        <v>31234</v>
      </c>
      <c r="E5249" s="10">
        <v>584871</v>
      </c>
      <c r="F5249" s="4" t="str">
        <f>IF(B5249=B5248,"",B5249)</f>
        <v/>
      </c>
    </row>
    <row r="5250" spans="1:6" ht="15.75" customHeight="1">
      <c r="A5250" s="5" t="s">
        <v>30177</v>
      </c>
      <c r="B5250" s="6" t="s">
        <v>30177</v>
      </c>
      <c r="C5250" s="5" t="s">
        <v>27788</v>
      </c>
      <c r="D5250" s="5" t="s">
        <v>27827</v>
      </c>
      <c r="E5250" s="2">
        <v>4343327</v>
      </c>
      <c r="F5250" s="4" t="str">
        <f>IF(B5250=B5249,"",B5250)</f>
        <v>Terrytown</v>
      </c>
    </row>
    <row r="5251" spans="1:6" ht="15.75" customHeight="1">
      <c r="A5251" s="5" t="str">
        <f ca="1">IFERROR(__xludf.DUMMYFUNCTION("GOOGLETRANSLATE(B43252,""en"",""pt"")"),"Terrytown")</f>
        <v>Terrytown</v>
      </c>
      <c r="B5251" s="17" t="s">
        <v>30177</v>
      </c>
      <c r="C5251" s="17" t="s">
        <v>27788</v>
      </c>
      <c r="D5251" s="17" t="s">
        <v>27827</v>
      </c>
      <c r="E5251" s="10">
        <v>4343327</v>
      </c>
      <c r="F5251" s="4" t="str">
        <f>IF(B5251=B5250,"",B5251)</f>
        <v/>
      </c>
    </row>
    <row r="5252" spans="1:6" ht="15.75" customHeight="1">
      <c r="A5252" s="5" t="s">
        <v>4215</v>
      </c>
      <c r="B5252" s="6" t="s">
        <v>4215</v>
      </c>
      <c r="C5252" s="5" t="s">
        <v>3975</v>
      </c>
      <c r="D5252" s="5" t="s">
        <v>3982</v>
      </c>
      <c r="E5252" s="2">
        <v>6163012</v>
      </c>
      <c r="F5252" s="4" t="str">
        <f>IF(B5252=B5251,"",B5252)</f>
        <v>Terrebonne</v>
      </c>
    </row>
    <row r="5253" spans="1:6" ht="15.75" customHeight="1">
      <c r="A5253" s="5" t="str">
        <f ca="1">IFERROR(__xludf.DUMMYFUNCTION("GOOGLETRANSLATE(B25594,""en"",""pt"")"),"Terrebonne")</f>
        <v>Terrebonne</v>
      </c>
      <c r="B5253" s="17" t="s">
        <v>4215</v>
      </c>
      <c r="C5253" s="17" t="s">
        <v>3975</v>
      </c>
      <c r="D5253" s="17" t="s">
        <v>3982</v>
      </c>
      <c r="E5253" s="10">
        <v>6163012</v>
      </c>
      <c r="F5253" s="4" t="str">
        <f>IF(B5253=B5252,"",B5253)</f>
        <v/>
      </c>
    </row>
    <row r="5254" spans="1:6" ht="15.75" customHeight="1">
      <c r="A5254" s="5" t="s">
        <v>30176</v>
      </c>
      <c r="B5254" s="6" t="s">
        <v>30176</v>
      </c>
      <c r="C5254" s="5" t="s">
        <v>27788</v>
      </c>
      <c r="D5254" s="5" t="s">
        <v>27869</v>
      </c>
      <c r="E5254" s="2">
        <v>4265737</v>
      </c>
      <c r="F5254" s="4" t="str">
        <f>IF(B5254=B5253,"",B5254)</f>
        <v>Terre Haute</v>
      </c>
    </row>
    <row r="5255" spans="1:6" ht="15.75" customHeight="1">
      <c r="A5255" s="5" t="str">
        <f ca="1">IFERROR(__xludf.DUMMYFUNCTION("GOOGLETRANSLATE(B43163,""en"",""pt"")"),"Terre Haute")</f>
        <v>Terre Haute</v>
      </c>
      <c r="B5255" s="17" t="s">
        <v>30176</v>
      </c>
      <c r="C5255" s="17" t="s">
        <v>27788</v>
      </c>
      <c r="D5255" s="17" t="s">
        <v>27869</v>
      </c>
      <c r="E5255" s="10">
        <v>4265737</v>
      </c>
      <c r="F5255" s="4" t="str">
        <f>IF(B5255=B5254,"",B5255)</f>
        <v/>
      </c>
    </row>
    <row r="5256" spans="1:6" ht="15.75" customHeight="1">
      <c r="A5256" s="5" t="s">
        <v>18345</v>
      </c>
      <c r="B5256" s="6" t="s">
        <v>18345</v>
      </c>
      <c r="C5256" s="5" t="s">
        <v>17707</v>
      </c>
      <c r="D5256" s="5" t="s">
        <v>17932</v>
      </c>
      <c r="E5256" s="2">
        <v>8858106</v>
      </c>
      <c r="F5256" s="4" t="str">
        <f>IF(B5256=B5255,"",B5256)</f>
        <v>Terrazas del Valle</v>
      </c>
    </row>
    <row r="5257" spans="1:6" ht="15.75" customHeight="1">
      <c r="A5257" s="5" t="str">
        <f ca="1">IFERROR(__xludf.DUMMYFUNCTION("GOOGLETRANSLATE(B37383,""en"",""pt"")"),"Terrazas del Valle")</f>
        <v>Terrazas del Valle</v>
      </c>
      <c r="B5257" s="17" t="s">
        <v>18345</v>
      </c>
      <c r="C5257" s="17" t="s">
        <v>17707</v>
      </c>
      <c r="D5257" s="17" t="s">
        <v>17932</v>
      </c>
      <c r="E5257" s="10">
        <v>8858106</v>
      </c>
      <c r="F5257" s="4" t="str">
        <f>IF(B5257=B5256,"",B5257)</f>
        <v/>
      </c>
    </row>
    <row r="5258" spans="1:6" ht="15.75" customHeight="1">
      <c r="A5258" s="6" t="s">
        <v>24844</v>
      </c>
      <c r="B5258" s="6" t="s">
        <v>24844</v>
      </c>
      <c r="C5258" s="6" t="s">
        <v>24200</v>
      </c>
      <c r="D5258" s="6" t="s">
        <v>24277</v>
      </c>
      <c r="E5258" s="2">
        <v>3108286</v>
      </c>
      <c r="F5258" s="4" t="str">
        <f>IF(B5258=B5257,"",B5258)</f>
        <v>Terrassa</v>
      </c>
    </row>
    <row r="5259" spans="1:6" ht="15.75" customHeight="1">
      <c r="A5259" s="5" t="str">
        <f ca="1">IFERROR(__xludf.DUMMYFUNCTION("GOOGLETRANSLATE(B29268,""en"",""pt"")"),"Terrassa")</f>
        <v>Terrassa</v>
      </c>
      <c r="B5259" s="17" t="s">
        <v>24844</v>
      </c>
      <c r="C5259" s="17" t="s">
        <v>24200</v>
      </c>
      <c r="D5259" s="17" t="s">
        <v>24277</v>
      </c>
      <c r="E5259" s="10">
        <v>3108286</v>
      </c>
      <c r="F5259" s="4" t="str">
        <f>IF(B5259=B5258,"",B5259)</f>
        <v/>
      </c>
    </row>
    <row r="5260" spans="1:6" ht="15.75" customHeight="1">
      <c r="A5260" s="6" t="s">
        <v>15524</v>
      </c>
      <c r="B5260" s="6" t="s">
        <v>15524</v>
      </c>
      <c r="C5260" s="6" t="s">
        <v>14891</v>
      </c>
      <c r="D5260" s="6" t="s">
        <v>14904</v>
      </c>
      <c r="E5260" s="2">
        <v>3165762</v>
      </c>
      <c r="F5260" s="4" t="str">
        <f>IF(B5260=B5259,"",B5260)</f>
        <v>Terracina</v>
      </c>
    </row>
    <row r="5261" spans="1:6" ht="15.75" customHeight="1">
      <c r="A5261" s="5" t="str">
        <f ca="1">IFERROR(__xludf.DUMMYFUNCTION("GOOGLETRANSLATE(B34668,""en"",""pt"")"),"Terracina")</f>
        <v>Terracina</v>
      </c>
      <c r="B5261" s="17" t="s">
        <v>15524</v>
      </c>
      <c r="C5261" s="17" t="s">
        <v>14891</v>
      </c>
      <c r="D5261" s="17" t="s">
        <v>14904</v>
      </c>
      <c r="E5261" s="10">
        <v>3165762</v>
      </c>
      <c r="F5261" s="4" t="str">
        <f>IF(B5261=B5260,"",B5261)</f>
        <v/>
      </c>
    </row>
    <row r="5262" spans="1:6" ht="15.75" customHeight="1">
      <c r="A5262" s="6" t="s">
        <v>4213</v>
      </c>
      <c r="B5262" s="6" t="s">
        <v>4214</v>
      </c>
      <c r="C5262" s="6" t="s">
        <v>3975</v>
      </c>
      <c r="D5262" s="6" t="s">
        <v>3976</v>
      </c>
      <c r="E5262" s="2">
        <v>6162949</v>
      </c>
      <c r="F5262" s="4" t="str">
        <f>IF(B5262=B5261,"",B5262)</f>
        <v>Terrace</v>
      </c>
    </row>
    <row r="5263" spans="1:6" ht="15.75" customHeight="1">
      <c r="A5263" s="5" t="str">
        <f ca="1">IFERROR(__xludf.DUMMYFUNCTION("GOOGLETRANSLATE(B25593,""en"",""pt"")"),"Terraço")</f>
        <v>Terraço</v>
      </c>
      <c r="B5263" s="17" t="s">
        <v>4214</v>
      </c>
      <c r="C5263" s="17" t="s">
        <v>3975</v>
      </c>
      <c r="D5263" s="17" t="s">
        <v>3976</v>
      </c>
      <c r="E5263" s="10">
        <v>6162949</v>
      </c>
      <c r="F5263" s="4" t="str">
        <f>IF(B5263=B5262,"",B5263)</f>
        <v/>
      </c>
    </row>
    <row r="5264" spans="1:6" ht="15.75" customHeight="1">
      <c r="A5264" s="5" t="s">
        <v>27167</v>
      </c>
      <c r="B5264" s="6" t="s">
        <v>27168</v>
      </c>
      <c r="C5264" s="5" t="s">
        <v>26870</v>
      </c>
      <c r="D5264" s="5" t="s">
        <v>26931</v>
      </c>
      <c r="E5264" s="2">
        <v>691650</v>
      </c>
      <c r="F5264" s="4" t="str">
        <f>IF(B5264=B5263,"",B5264)</f>
        <v>Ternopilâ€™</v>
      </c>
    </row>
    <row r="5265" spans="1:6" ht="15.75" customHeight="1">
      <c r="A5265" s="5" t="str">
        <f ca="1">IFERROR(__xludf.DUMMYFUNCTION("GOOGLETRANSLATE(B42504,""en"",""pt"")"),"Ternopil '")</f>
        <v>Ternopil '</v>
      </c>
      <c r="B5265" s="17" t="s">
        <v>35987</v>
      </c>
      <c r="C5265" s="17" t="s">
        <v>26870</v>
      </c>
      <c r="D5265" s="17" t="s">
        <v>26931</v>
      </c>
      <c r="E5265" s="10">
        <v>691650</v>
      </c>
      <c r="F5265" s="4" t="str">
        <f>IF(B5265=B5264,"",B5265)</f>
        <v>Ternopil’</v>
      </c>
    </row>
    <row r="5266" spans="1:6" ht="15.75" customHeight="1">
      <c r="A5266" s="6" t="s">
        <v>1157</v>
      </c>
      <c r="B5266" s="6" t="s">
        <v>1157</v>
      </c>
      <c r="C5266" s="6" t="s">
        <v>1117</v>
      </c>
      <c r="D5266" s="6" t="s">
        <v>1118</v>
      </c>
      <c r="E5266" s="2">
        <v>2763795</v>
      </c>
      <c r="F5266" s="4" t="str">
        <f>IF(B5266=B5265,"",B5266)</f>
        <v>Ternitz</v>
      </c>
    </row>
    <row r="5267" spans="1:6" ht="15.75" customHeight="1">
      <c r="A5267" s="5" t="str">
        <f ca="1">IFERROR(__xludf.DUMMYFUNCTION("GOOGLETRANSLATE(B23380,""en"",""pt"")"),"Ternitz")</f>
        <v>Ternitz</v>
      </c>
      <c r="B5267" s="17" t="s">
        <v>1157</v>
      </c>
      <c r="C5267" s="17" t="s">
        <v>1117</v>
      </c>
      <c r="D5267" s="17" t="s">
        <v>1118</v>
      </c>
      <c r="E5267" s="10">
        <v>2763795</v>
      </c>
      <c r="F5267" s="4" t="str">
        <f>IF(B5267=B5266,"",B5267)</f>
        <v/>
      </c>
    </row>
    <row r="5268" spans="1:6" ht="15.75" customHeight="1">
      <c r="A5268" s="6" t="s">
        <v>15523</v>
      </c>
      <c r="B5268" s="6" t="s">
        <v>15523</v>
      </c>
      <c r="C5268" s="6" t="s">
        <v>14891</v>
      </c>
      <c r="D5268" s="6" t="s">
        <v>14969</v>
      </c>
      <c r="E5268" s="2">
        <v>3165771</v>
      </c>
      <c r="F5268" s="4" t="str">
        <f>IF(B5268=B5267,"",B5268)</f>
        <v>Terni</v>
      </c>
    </row>
    <row r="5269" spans="1:6" ht="15.75" customHeight="1">
      <c r="A5269" s="5" t="str">
        <f ca="1">IFERROR(__xludf.DUMMYFUNCTION("GOOGLETRANSLATE(B34669,""en"",""pt"")"),"Terni")</f>
        <v>Terni</v>
      </c>
      <c r="B5269" s="17" t="s">
        <v>15523</v>
      </c>
      <c r="C5269" s="17" t="s">
        <v>14891</v>
      </c>
      <c r="D5269" s="17" t="s">
        <v>14969</v>
      </c>
      <c r="E5269" s="10">
        <v>3165771</v>
      </c>
      <c r="F5269" s="4" t="str">
        <f>IF(B5269=B5268,"",B5269)</f>
        <v/>
      </c>
    </row>
    <row r="5270" spans="1:6" ht="15.75" customHeight="1">
      <c r="A5270" s="5" t="s">
        <v>19099</v>
      </c>
      <c r="B5270" s="6" t="s">
        <v>19099</v>
      </c>
      <c r="C5270" s="5" t="s">
        <v>18862</v>
      </c>
      <c r="D5270" s="5" t="s">
        <v>18913</v>
      </c>
      <c r="E5270" s="2">
        <v>2746420</v>
      </c>
      <c r="F5270" s="4" t="str">
        <f>IF(B5270=B5269,"",B5270)</f>
        <v>Terneuzen</v>
      </c>
    </row>
    <row r="5271" spans="1:6" ht="15.75" customHeight="1">
      <c r="A5271" s="5" t="str">
        <f ca="1">IFERROR(__xludf.DUMMYFUNCTION("GOOGLETRANSLATE(B37943,""en"",""pt"")"),"Terneuzen")</f>
        <v>Terneuzen</v>
      </c>
      <c r="B5271" s="17" t="s">
        <v>19099</v>
      </c>
      <c r="C5271" s="17" t="s">
        <v>18862</v>
      </c>
      <c r="D5271" s="17" t="s">
        <v>18913</v>
      </c>
      <c r="E5271" s="10">
        <v>2746420</v>
      </c>
      <c r="F5271" s="4" t="str">
        <f>IF(B5271=B5270,"",B5271)</f>
        <v/>
      </c>
    </row>
    <row r="5272" spans="1:6" ht="15.75" customHeight="1">
      <c r="A5272" s="6" t="s">
        <v>14211</v>
      </c>
      <c r="B5272" s="6" t="s">
        <v>14211</v>
      </c>
      <c r="C5272" s="6" t="s">
        <v>13800</v>
      </c>
      <c r="D5272" s="6" t="s">
        <v>14166</v>
      </c>
      <c r="E5272" s="2">
        <v>1624041</v>
      </c>
      <c r="F5272" s="4" t="str">
        <f>IF(B5272=B5271,"",B5272)</f>
        <v>Ternate</v>
      </c>
    </row>
    <row r="5273" spans="1:6" ht="15.75" customHeight="1">
      <c r="A5273" s="6" t="s">
        <v>14211</v>
      </c>
      <c r="B5273" s="6" t="s">
        <v>14211</v>
      </c>
      <c r="C5273" s="6" t="s">
        <v>20598</v>
      </c>
      <c r="D5273" s="6" t="s">
        <v>20608</v>
      </c>
      <c r="E5273" s="2">
        <v>1682472</v>
      </c>
      <c r="F5273" s="4" t="str">
        <f>IF(B5273=B5272,"",B5273)</f>
        <v/>
      </c>
    </row>
    <row r="5274" spans="1:6" ht="15.75" customHeight="1">
      <c r="A5274" s="5" t="str">
        <f ca="1">IFERROR(__xludf.DUMMYFUNCTION("GOOGLETRANSLATE(B31408,""en"",""pt"")"),"Ternate")</f>
        <v>Ternate</v>
      </c>
      <c r="B5274" s="17" t="s">
        <v>14211</v>
      </c>
      <c r="C5274" s="17" t="s">
        <v>13800</v>
      </c>
      <c r="D5274" s="17" t="s">
        <v>14166</v>
      </c>
      <c r="E5274" s="10">
        <v>1624041</v>
      </c>
      <c r="F5274" s="4" t="str">
        <f>IF(B5274=B5273,"",B5274)</f>
        <v/>
      </c>
    </row>
    <row r="5275" spans="1:6" ht="15.75" customHeight="1">
      <c r="A5275" s="5" t="str">
        <f ca="1">IFERROR(__xludf.DUMMYFUNCTION("GOOGLETRANSLATE(B38439,""en"",""pt"")"),"Ternate")</f>
        <v>Ternate</v>
      </c>
      <c r="B5275" s="17" t="s">
        <v>14211</v>
      </c>
      <c r="C5275" s="17" t="s">
        <v>20598</v>
      </c>
      <c r="D5275" s="17" t="s">
        <v>20608</v>
      </c>
      <c r="E5275" s="10">
        <v>1682472</v>
      </c>
      <c r="F5275" s="4" t="str">
        <f>IF(B5275=B5274,"",B5275)</f>
        <v/>
      </c>
    </row>
    <row r="5276" spans="1:6" ht="15.75" customHeight="1">
      <c r="A5276" s="6" t="s">
        <v>15522</v>
      </c>
      <c r="B5276" s="6" t="s">
        <v>15522</v>
      </c>
      <c r="C5276" s="6" t="s">
        <v>14891</v>
      </c>
      <c r="D5276" s="6" t="s">
        <v>15012</v>
      </c>
      <c r="E5276" s="2">
        <v>3165773</v>
      </c>
      <c r="F5276" s="4" t="str">
        <f>IF(B5276=B5275,"",B5276)</f>
        <v>Termoli</v>
      </c>
    </row>
    <row r="5277" spans="1:6" ht="15.75" customHeight="1">
      <c r="A5277" s="5" t="str">
        <f ca="1">IFERROR(__xludf.DUMMYFUNCTION("GOOGLETRANSLATE(B34670,""en"",""pt"")"),"Termoli")</f>
        <v>Termoli</v>
      </c>
      <c r="B5277" s="17" t="s">
        <v>15522</v>
      </c>
      <c r="C5277" s="17" t="s">
        <v>14891</v>
      </c>
      <c r="D5277" s="17" t="s">
        <v>15012</v>
      </c>
      <c r="E5277" s="10">
        <v>3165773</v>
      </c>
      <c r="F5277" s="4" t="str">
        <f>IF(B5277=B5276,"",B5277)</f>
        <v/>
      </c>
    </row>
    <row r="5278" spans="1:6" ht="15.75" customHeight="1">
      <c r="A5278" s="5" t="s">
        <v>15520</v>
      </c>
      <c r="B5278" s="6" t="s">
        <v>15521</v>
      </c>
      <c r="C5278" s="5" t="s">
        <v>14891</v>
      </c>
      <c r="D5278" s="5" t="s">
        <v>14899</v>
      </c>
      <c r="E5278" s="2">
        <v>2522960</v>
      </c>
      <c r="F5278" s="4" t="str">
        <f>IF(B5278=B5277,"",B5278)</f>
        <v>Termini Imerese</v>
      </c>
    </row>
    <row r="5279" spans="1:6" ht="15.75" customHeight="1">
      <c r="A5279" s="5" t="str">
        <f ca="1">IFERROR(__xludf.DUMMYFUNCTION("GOOGLETRANSLATE(B34543,""en"",""pt"")"),"Termini iMerese")</f>
        <v>Termini iMerese</v>
      </c>
      <c r="B5279" s="17" t="s">
        <v>15521</v>
      </c>
      <c r="C5279" s="17" t="s">
        <v>14891</v>
      </c>
      <c r="D5279" s="17" t="s">
        <v>14899</v>
      </c>
      <c r="E5279" s="10">
        <v>2522960</v>
      </c>
      <c r="F5279" s="4" t="str">
        <f>IF(B5279=B5278,"",B5279)</f>
        <v/>
      </c>
    </row>
    <row r="5280" spans="1:6" ht="15.75" customHeight="1">
      <c r="A5280" s="6" t="s">
        <v>26729</v>
      </c>
      <c r="B5280" s="6" t="s">
        <v>26729</v>
      </c>
      <c r="C5280" s="6" t="s">
        <v>26201</v>
      </c>
      <c r="D5280" s="6" t="s">
        <v>26232</v>
      </c>
      <c r="E5280" s="2">
        <v>738803</v>
      </c>
      <c r="F5280" s="4" t="str">
        <f>IF(B5280=B5279,"",B5280)</f>
        <v>Terme</v>
      </c>
    </row>
    <row r="5281" spans="1:6" ht="15.75" customHeight="1">
      <c r="A5281" s="5" t="str">
        <f ca="1">IFERROR(__xludf.DUMMYFUNCTION("GOOGLETRANSLATE(B42106,""en"",""pt"")"),"Terme")</f>
        <v>Terme</v>
      </c>
      <c r="B5281" s="17" t="s">
        <v>26729</v>
      </c>
      <c r="C5281" s="17" t="s">
        <v>26201</v>
      </c>
      <c r="D5281" s="17" t="s">
        <v>26232</v>
      </c>
      <c r="E5281" s="10">
        <v>738803</v>
      </c>
      <c r="F5281" s="4" t="str">
        <f>IF(B5281=B5280,"",B5281)</f>
        <v/>
      </c>
    </row>
    <row r="5282" spans="1:6" ht="15.75" customHeight="1">
      <c r="A5282" s="5" t="str">
        <f ca="1">IFERROR(__xludf.DUMMYFUNCTION("GOOGLETRANSLATE(B23253,""en"",""pt"")"),"Termas de Río Hondo")</f>
        <v>Termas de Río Hondo</v>
      </c>
      <c r="B5282" s="17" t="s">
        <v>31181</v>
      </c>
      <c r="C5282" s="17" t="s">
        <v>558</v>
      </c>
      <c r="D5282" s="17" t="s">
        <v>559</v>
      </c>
      <c r="E5282" s="10">
        <v>3834502</v>
      </c>
      <c r="F5282" s="4" t="str">
        <f>IF(B5282=B5281,"",B5282)</f>
        <v>Termas de Río Hondo</v>
      </c>
    </row>
    <row r="5283" spans="1:6" ht="15.75" customHeight="1">
      <c r="A5283" s="5" t="s">
        <v>814</v>
      </c>
      <c r="B5283" s="6" t="s">
        <v>815</v>
      </c>
      <c r="C5283" s="5" t="s">
        <v>558</v>
      </c>
      <c r="D5283" s="5" t="s">
        <v>559</v>
      </c>
      <c r="E5283" s="2">
        <v>3834502</v>
      </c>
      <c r="F5283" s="4" t="str">
        <f>IF(B5283=B5282,"",B5283)</f>
        <v>Termas de RÃ­o Hondo</v>
      </c>
    </row>
    <row r="5284" spans="1:6" ht="15.75" customHeight="1">
      <c r="A5284" s="6" t="s">
        <v>15519</v>
      </c>
      <c r="B5284" s="6" t="s">
        <v>15519</v>
      </c>
      <c r="C5284" s="6" t="s">
        <v>14891</v>
      </c>
      <c r="D5284" s="6" t="s">
        <v>14908</v>
      </c>
      <c r="E5284" s="2">
        <v>3165788</v>
      </c>
      <c r="F5284" s="4" t="str">
        <f>IF(B5284=B5283,"",B5284)</f>
        <v>Terlizzi</v>
      </c>
    </row>
    <row r="5285" spans="1:6" ht="15.75" customHeight="1">
      <c r="A5285" s="5" t="str">
        <f ca="1">IFERROR(__xludf.DUMMYFUNCTION("GOOGLETRANSLATE(B34671,""en"",""pt"")"),"Terlizzi")</f>
        <v>Terlizzi</v>
      </c>
      <c r="B5285" s="17" t="s">
        <v>15519</v>
      </c>
      <c r="C5285" s="17" t="s">
        <v>14891</v>
      </c>
      <c r="D5285" s="17" t="s">
        <v>14908</v>
      </c>
      <c r="E5285" s="10">
        <v>3165788</v>
      </c>
      <c r="F5285" s="4" t="str">
        <f>IF(B5285=B5284,"",B5285)</f>
        <v/>
      </c>
    </row>
    <row r="5286" spans="1:6" ht="15.75" customHeight="1">
      <c r="A5286" s="6" t="s">
        <v>7848</v>
      </c>
      <c r="B5286" s="6" t="s">
        <v>7848</v>
      </c>
      <c r="C5286" s="6" t="s">
        <v>7052</v>
      </c>
      <c r="D5286" s="6" t="s">
        <v>7078</v>
      </c>
      <c r="E5286" s="2">
        <v>2973146</v>
      </c>
      <c r="F5286" s="4" t="str">
        <f>IF(B5286=B5285,"",B5286)</f>
        <v>Tergnier</v>
      </c>
    </row>
    <row r="5287" spans="1:6" ht="15.75" customHeight="1">
      <c r="A5287" s="5" t="str">
        <f ca="1">IFERROR(__xludf.DUMMYFUNCTION("GOOGLETRANSLATE(B29737,""en"",""pt"")"),"Tergnier")</f>
        <v>Tergnier</v>
      </c>
      <c r="B5287" s="17" t="s">
        <v>7848</v>
      </c>
      <c r="C5287" s="17" t="s">
        <v>7052</v>
      </c>
      <c r="D5287" s="17" t="s">
        <v>7078</v>
      </c>
      <c r="E5287" s="10">
        <v>2973146</v>
      </c>
      <c r="F5287" s="4" t="str">
        <f>IF(B5287=B5286,"",B5287)</f>
        <v/>
      </c>
    </row>
    <row r="5288" spans="1:6" ht="15.75" customHeight="1">
      <c r="A5288" s="5" t="str">
        <f ca="1">IFERROR(__xludf.DUMMYFUNCTION("GOOGLETRANSLATE(B24494,""en"",""pt"")"),"Teresópolis")</f>
        <v>Teresópolis</v>
      </c>
      <c r="B5288" s="17" t="s">
        <v>31454</v>
      </c>
      <c r="C5288" s="17" t="s">
        <v>1905</v>
      </c>
      <c r="D5288" s="17" t="s">
        <v>1978</v>
      </c>
      <c r="E5288" s="10">
        <v>3446606</v>
      </c>
      <c r="F5288" s="4" t="str">
        <f>IF(B5288=B5287,"",B5288)</f>
        <v>Teresópolis</v>
      </c>
    </row>
    <row r="5289" spans="1:6" ht="15.75" customHeight="1">
      <c r="A5289" s="6" t="s">
        <v>3546</v>
      </c>
      <c r="B5289" s="6" t="s">
        <v>3546</v>
      </c>
      <c r="C5289" s="6" t="s">
        <v>1905</v>
      </c>
      <c r="D5289" s="6" t="s">
        <v>1960</v>
      </c>
      <c r="E5289" s="2">
        <v>3386496</v>
      </c>
      <c r="F5289" s="4" t="str">
        <f>IF(B5289=B5288,"",B5289)</f>
        <v>Teresina</v>
      </c>
    </row>
    <row r="5290" spans="1:6" ht="15.75" customHeight="1">
      <c r="A5290" s="5" t="str">
        <f ca="1">IFERROR(__xludf.DUMMYFUNCTION("GOOGLETRANSLATE(B24168,""en"",""pt"")"),"Teresina")</f>
        <v>Teresina</v>
      </c>
      <c r="B5290" s="17" t="s">
        <v>3546</v>
      </c>
      <c r="C5290" s="17" t="s">
        <v>1905</v>
      </c>
      <c r="D5290" s="17" t="s">
        <v>31349</v>
      </c>
      <c r="E5290" s="10">
        <v>3386496</v>
      </c>
      <c r="F5290" s="4" t="str">
        <f>IF(B5290=B5289,"",B5290)</f>
        <v/>
      </c>
    </row>
    <row r="5291" spans="1:6" ht="15.75" customHeight="1">
      <c r="A5291" s="5" t="s">
        <v>3544</v>
      </c>
      <c r="B5291" s="6" t="s">
        <v>3545</v>
      </c>
      <c r="C5291" s="5" t="s">
        <v>1905</v>
      </c>
      <c r="D5291" s="5" t="s">
        <v>1978</v>
      </c>
      <c r="E5291" s="2">
        <v>3446606</v>
      </c>
      <c r="F5291" s="4" t="str">
        <f>IF(B5291=B5290,"",B5291)</f>
        <v>TeresÃ³polis</v>
      </c>
    </row>
    <row r="5292" spans="1:6" ht="15.75" customHeight="1">
      <c r="A5292" s="6" t="s">
        <v>21046</v>
      </c>
      <c r="B5292" s="6" t="s">
        <v>21046</v>
      </c>
      <c r="C5292" s="6" t="s">
        <v>20598</v>
      </c>
      <c r="D5292" s="6" t="s">
        <v>20608</v>
      </c>
      <c r="E5292" s="2">
        <v>1682478</v>
      </c>
      <c r="F5292" s="4" t="str">
        <f>IF(B5292=B5291,"",B5292)</f>
        <v>Teresa</v>
      </c>
    </row>
    <row r="5293" spans="1:6" ht="15.75" customHeight="1">
      <c r="A5293" s="5" t="str">
        <f ca="1">IFERROR(__xludf.DUMMYFUNCTION("GOOGLETRANSLATE(B38440,""en"",""pt"")"),"Teresa")</f>
        <v>Teresa</v>
      </c>
      <c r="B5293" s="17" t="s">
        <v>21046</v>
      </c>
      <c r="C5293" s="17" t="s">
        <v>20598</v>
      </c>
      <c r="D5293" s="17" t="s">
        <v>20608</v>
      </c>
      <c r="E5293" s="10">
        <v>1682478</v>
      </c>
      <c r="F5293" s="4" t="str">
        <f>IF(B5293=B5292,"",B5293)</f>
        <v/>
      </c>
    </row>
    <row r="5294" spans="1:6" ht="15.75" customHeight="1">
      <c r="A5294" s="6" t="s">
        <v>23183</v>
      </c>
      <c r="B5294" s="6" t="s">
        <v>23183</v>
      </c>
      <c r="C5294" s="6" t="s">
        <v>22070</v>
      </c>
      <c r="D5294" s="6" t="s">
        <v>22182</v>
      </c>
      <c r="E5294" s="2">
        <v>483495</v>
      </c>
      <c r="F5294" s="4" t="str">
        <f>IF(B5294=B5293,"",B5294)</f>
        <v>Terek</v>
      </c>
    </row>
    <row r="5295" spans="1:6" ht="15.75" customHeight="1">
      <c r="A5295" s="5" t="str">
        <f ca="1">IFERROR(__xludf.DUMMYFUNCTION("GOOGLETRANSLATE(B40037,""en"",""pt"")"),"Terek")</f>
        <v>Terek</v>
      </c>
      <c r="B5295" s="17" t="s">
        <v>23183</v>
      </c>
      <c r="C5295" s="17" t="s">
        <v>22070</v>
      </c>
      <c r="D5295" s="17" t="s">
        <v>22182</v>
      </c>
      <c r="E5295" s="10">
        <v>483495</v>
      </c>
      <c r="F5295" s="4" t="str">
        <f>IF(B5295=B5294,"",B5295)</f>
        <v/>
      </c>
    </row>
    <row r="5296" spans="1:6" ht="15.75" customHeight="1">
      <c r="A5296" s="5" t="str">
        <f ca="1">IFERROR(__xludf.DUMMYFUNCTION("GOOGLETRANSLATE(B32012,""en"",""pt"")"),"Terdāl")</f>
        <v>Terdāl</v>
      </c>
      <c r="B5296" s="17" t="s">
        <v>33010</v>
      </c>
      <c r="C5296" s="17" t="s">
        <v>10178</v>
      </c>
      <c r="D5296" s="17" t="s">
        <v>10252</v>
      </c>
      <c r="E5296" s="10">
        <v>1254727</v>
      </c>
      <c r="F5296" s="4" t="str">
        <f>IF(B5296=B5295,"",B5296)</f>
        <v>Terdāl</v>
      </c>
    </row>
    <row r="5297" spans="1:6" ht="15.75" customHeight="1">
      <c r="A5297" s="6" t="s">
        <v>13542</v>
      </c>
      <c r="B5297" s="6" t="s">
        <v>13543</v>
      </c>
      <c r="C5297" s="6" t="s">
        <v>10178</v>
      </c>
      <c r="D5297" s="6" t="s">
        <v>10252</v>
      </c>
      <c r="E5297" s="2">
        <v>1254727</v>
      </c>
      <c r="F5297" s="4" t="str">
        <f>IF(B5297=B5296,"",B5297)</f>
        <v>TerdÄl</v>
      </c>
    </row>
    <row r="5298" spans="1:6" ht="15.75" customHeight="1">
      <c r="A5298" s="5" t="s">
        <v>14210</v>
      </c>
      <c r="B5298" s="6" t="s">
        <v>14210</v>
      </c>
      <c r="C5298" s="5" t="s">
        <v>13800</v>
      </c>
      <c r="D5298" s="5" t="s">
        <v>13832</v>
      </c>
      <c r="E5298" s="2">
        <v>1624058</v>
      </c>
      <c r="F5298" s="4" t="str">
        <f>IF(B5298=B5297,"",B5298)</f>
        <v>Terbanggi Besar</v>
      </c>
    </row>
    <row r="5299" spans="1:6" ht="15.75" customHeight="1">
      <c r="A5299" s="5" t="str">
        <f ca="1">IFERROR(__xludf.DUMMYFUNCTION("GOOGLETRANSLATE(B31409,""en"",""pt"")"),"Terbanggi Besar")</f>
        <v>Terbanggi Besar</v>
      </c>
      <c r="B5299" s="17" t="s">
        <v>14210</v>
      </c>
      <c r="C5299" s="17" t="s">
        <v>13800</v>
      </c>
      <c r="D5299" s="17" t="s">
        <v>13832</v>
      </c>
      <c r="E5299" s="10">
        <v>1624058</v>
      </c>
      <c r="F5299" s="4" t="str">
        <f>IF(B5299=B5298,"",B5299)</f>
        <v/>
      </c>
    </row>
    <row r="5300" spans="1:6" ht="15.75" customHeight="1">
      <c r="A5300" s="6" t="s">
        <v>15518</v>
      </c>
      <c r="B5300" s="6" t="s">
        <v>15518</v>
      </c>
      <c r="C5300" s="6" t="s">
        <v>14891</v>
      </c>
      <c r="D5300" s="6" t="s">
        <v>14957</v>
      </c>
      <c r="E5300" s="2">
        <v>3165803</v>
      </c>
      <c r="F5300" s="4" t="str">
        <f>IF(B5300=B5299,"",B5300)</f>
        <v>Teramo</v>
      </c>
    </row>
    <row r="5301" spans="1:6" ht="15.75" customHeight="1">
      <c r="A5301" s="5" t="str">
        <f ca="1">IFERROR(__xludf.DUMMYFUNCTION("GOOGLETRANSLATE(B34672,""en"",""pt"")"),"Teramo")</f>
        <v>Teramo</v>
      </c>
      <c r="B5301" s="17" t="s">
        <v>15518</v>
      </c>
      <c r="C5301" s="17" t="s">
        <v>14891</v>
      </c>
      <c r="D5301" s="17" t="s">
        <v>14957</v>
      </c>
      <c r="E5301" s="10">
        <v>3165803</v>
      </c>
      <c r="F5301" s="4" t="str">
        <f>IF(B5301=B5300,"",B5301)</f>
        <v/>
      </c>
    </row>
    <row r="5302" spans="1:6" ht="15.75" customHeight="1">
      <c r="A5302" s="5" t="str">
        <f ca="1">IFERROR(__xludf.DUMMYFUNCTION("GOOGLETRANSLATE(B37586,""en"",""pt"")"),"Téra")</f>
        <v>Téra</v>
      </c>
      <c r="B5302" s="17" t="s">
        <v>34805</v>
      </c>
      <c r="C5302" s="17" t="s">
        <v>19259</v>
      </c>
      <c r="D5302" s="17" t="s">
        <v>34804</v>
      </c>
      <c r="E5302" s="10">
        <v>2438855</v>
      </c>
      <c r="F5302" s="4" t="str">
        <f>IF(B5302=B5301,"",B5302)</f>
        <v>Téra</v>
      </c>
    </row>
    <row r="5303" spans="1:6" ht="15.75" customHeight="1">
      <c r="A5303" s="5" t="s">
        <v>18344</v>
      </c>
      <c r="B5303" s="6" t="s">
        <v>18344</v>
      </c>
      <c r="C5303" s="5" t="s">
        <v>17707</v>
      </c>
      <c r="D5303" s="5" t="s">
        <v>17736</v>
      </c>
      <c r="E5303" s="2">
        <v>3515794</v>
      </c>
      <c r="F5303" s="4" t="str">
        <f>IF(B5303=B5302,"",B5303)</f>
        <v>Tequixquiac</v>
      </c>
    </row>
    <row r="5304" spans="1:6" ht="15.75" customHeight="1">
      <c r="A5304" s="5" t="str">
        <f ca="1">IFERROR(__xludf.DUMMYFUNCTION("GOOGLETRANSLATE(B36888,""en"",""pt"")"),"Tequixquiac")</f>
        <v>Tequixquiac</v>
      </c>
      <c r="B5304" s="17" t="s">
        <v>18344</v>
      </c>
      <c r="C5304" s="17" t="s">
        <v>17707</v>
      </c>
      <c r="D5304" s="17" t="s">
        <v>20902</v>
      </c>
      <c r="E5304" s="10">
        <v>3515794</v>
      </c>
      <c r="F5304" s="4" t="str">
        <f>IF(B5304=B5303,"",B5304)</f>
        <v/>
      </c>
    </row>
    <row r="5305" spans="1:6" ht="15.75" customHeight="1">
      <c r="A5305" s="5" t="s">
        <v>18342</v>
      </c>
      <c r="B5305" s="6" t="s">
        <v>18343</v>
      </c>
      <c r="C5305" s="5" t="s">
        <v>17707</v>
      </c>
      <c r="D5305" s="5" t="s">
        <v>17925</v>
      </c>
      <c r="E5305" s="2">
        <v>3515796</v>
      </c>
      <c r="F5305" s="4" t="str">
        <f>IF(B5305=B5304,"",B5305)</f>
        <v>Tequisquiapan</v>
      </c>
    </row>
    <row r="5306" spans="1:6" ht="15.75" customHeight="1">
      <c r="A5306" s="5" t="str">
        <f ca="1">IFERROR(__xludf.DUMMYFUNCTION("GOOGLETRANSLATE(B36889,""en"",""pt"")"),"Tequisquiiapan")</f>
        <v>Tequisquiiapan</v>
      </c>
      <c r="B5306" s="17" t="s">
        <v>18343</v>
      </c>
      <c r="C5306" s="17" t="s">
        <v>17707</v>
      </c>
      <c r="D5306" s="17" t="s">
        <v>34667</v>
      </c>
      <c r="E5306" s="10">
        <v>3515796</v>
      </c>
      <c r="F5306" s="4" t="str">
        <f>IF(B5306=B5305,"",B5306)</f>
        <v/>
      </c>
    </row>
    <row r="5307" spans="1:6" ht="15.75" customHeight="1">
      <c r="A5307" s="6" t="s">
        <v>18341</v>
      </c>
      <c r="B5307" s="6" t="s">
        <v>18341</v>
      </c>
      <c r="C5307" s="6" t="s">
        <v>17707</v>
      </c>
      <c r="D5307" s="6" t="s">
        <v>17746</v>
      </c>
      <c r="E5307" s="2">
        <v>3981885</v>
      </c>
      <c r="F5307" s="4" t="str">
        <f>IF(B5307=B5306,"",B5307)</f>
        <v>Tequila</v>
      </c>
    </row>
    <row r="5308" spans="1:6" ht="15.75" customHeight="1">
      <c r="A5308" s="5" t="str">
        <f ca="1">IFERROR(__xludf.DUMMYFUNCTION("GOOGLETRANSLATE(B37166,""en"",""pt"")"),"Tequila")</f>
        <v>Tequila</v>
      </c>
      <c r="B5308" s="17" t="s">
        <v>18341</v>
      </c>
      <c r="C5308" s="17" t="s">
        <v>17707</v>
      </c>
      <c r="D5308" s="17" t="s">
        <v>17746</v>
      </c>
      <c r="E5308" s="10">
        <v>3981885</v>
      </c>
      <c r="F5308" s="4" t="str">
        <f>IF(B5308=B5307,"",B5308)</f>
        <v/>
      </c>
    </row>
    <row r="5309" spans="1:6" ht="15.75" customHeight="1">
      <c r="A5309" s="5" t="str">
        <f ca="1">IFERROR(__xludf.DUMMYFUNCTION("GOOGLETRANSLATE(B36891,""en"",""pt"")"),"Tepoztlán")</f>
        <v>Tepoztlán</v>
      </c>
      <c r="B5309" s="17" t="s">
        <v>34669</v>
      </c>
      <c r="C5309" s="17" t="s">
        <v>17707</v>
      </c>
      <c r="D5309" s="17" t="s">
        <v>17780</v>
      </c>
      <c r="E5309" s="10">
        <v>3515811</v>
      </c>
      <c r="F5309" s="4" t="str">
        <f>IF(B5309=B5308,"",B5309)</f>
        <v>Tepoztlán</v>
      </c>
    </row>
    <row r="5310" spans="1:6" ht="15.75" customHeight="1">
      <c r="A5310" s="6" t="s">
        <v>18339</v>
      </c>
      <c r="B5310" s="6" t="s">
        <v>18340</v>
      </c>
      <c r="C5310" s="6" t="s">
        <v>17707</v>
      </c>
      <c r="D5310" s="6" t="s">
        <v>17780</v>
      </c>
      <c r="E5310" s="2">
        <v>3515811</v>
      </c>
      <c r="F5310" s="4" t="str">
        <f>IF(B5310=B5309,"",B5310)</f>
        <v>TepoztlÃ¡n</v>
      </c>
    </row>
    <row r="5311" spans="1:6" ht="15.75" customHeight="1">
      <c r="A5311" s="5" t="str">
        <f ca="1">IFERROR(__xludf.DUMMYFUNCTION("GOOGLETRANSLATE(B36892,""en"",""pt"")"),"Tepotzotlán")</f>
        <v>Tepotzotlán</v>
      </c>
      <c r="B5311" s="17" t="s">
        <v>34670</v>
      </c>
      <c r="C5311" s="17" t="s">
        <v>17707</v>
      </c>
      <c r="D5311" s="17" t="s">
        <v>20902</v>
      </c>
      <c r="E5311" s="10">
        <v>3515827</v>
      </c>
      <c r="F5311" s="4" t="str">
        <f>IF(B5311=B5310,"",B5311)</f>
        <v>Tepotzotlán</v>
      </c>
    </row>
    <row r="5312" spans="1:6" ht="15.75" customHeight="1">
      <c r="A5312" s="5" t="s">
        <v>18337</v>
      </c>
      <c r="B5312" s="6" t="s">
        <v>18338</v>
      </c>
      <c r="C5312" s="5" t="s">
        <v>17707</v>
      </c>
      <c r="D5312" s="5" t="s">
        <v>17736</v>
      </c>
      <c r="E5312" s="2">
        <v>3515827</v>
      </c>
      <c r="F5312" s="4" t="str">
        <f>IF(B5312=B5311,"",B5312)</f>
        <v>TepotzotlÃ¡n</v>
      </c>
    </row>
    <row r="5313" spans="1:6" ht="15.75" customHeight="1">
      <c r="A5313" s="6" t="s">
        <v>6111</v>
      </c>
      <c r="B5313" s="6" t="s">
        <v>6111</v>
      </c>
      <c r="C5313" s="6" t="s">
        <v>5947</v>
      </c>
      <c r="D5313" s="6" t="s">
        <v>5956</v>
      </c>
      <c r="E5313" s="2">
        <v>3064288</v>
      </c>
      <c r="F5313" s="4" t="str">
        <f>IF(B5313=B5312,"",B5313)</f>
        <v>Teplice</v>
      </c>
    </row>
    <row r="5314" spans="1:6" ht="15.75" customHeight="1">
      <c r="A5314" s="5" t="str">
        <f ca="1">IFERROR(__xludf.DUMMYFUNCTION("GOOGLETRANSLATE(B27259,""en"",""pt"")"),"Teplice")</f>
        <v>Teplice</v>
      </c>
      <c r="B5314" s="17" t="s">
        <v>6111</v>
      </c>
      <c r="C5314" s="17" t="s">
        <v>5947</v>
      </c>
      <c r="D5314" s="17" t="s">
        <v>31942</v>
      </c>
      <c r="E5314" s="10">
        <v>3064288</v>
      </c>
      <c r="F5314" s="4" t="str">
        <f>IF(B5314=B5313,"",B5314)</f>
        <v/>
      </c>
    </row>
    <row r="5315" spans="1:6" ht="15.75" customHeight="1">
      <c r="A5315" s="6" t="s">
        <v>18336</v>
      </c>
      <c r="B5315" s="6" t="s">
        <v>18336</v>
      </c>
      <c r="C5315" s="6" t="s">
        <v>17707</v>
      </c>
      <c r="D5315" s="6" t="s">
        <v>17720</v>
      </c>
      <c r="E5315" s="2">
        <v>3981941</v>
      </c>
      <c r="F5315" s="4" t="str">
        <f>IF(B5315=B5314,"",B5315)</f>
        <v>Tepic</v>
      </c>
    </row>
    <row r="5316" spans="1:6" ht="15.75" customHeight="1">
      <c r="A5316" s="5" t="str">
        <f ca="1">IFERROR(__xludf.DUMMYFUNCTION("GOOGLETRANSLATE(B37167,""en"",""pt"")"),"Tepic")</f>
        <v>Tepic</v>
      </c>
      <c r="B5316" s="17" t="s">
        <v>18336</v>
      </c>
      <c r="C5316" s="17" t="s">
        <v>17707</v>
      </c>
      <c r="D5316" s="17" t="s">
        <v>17720</v>
      </c>
      <c r="E5316" s="10">
        <v>3981941</v>
      </c>
      <c r="F5316" s="4" t="str">
        <f>IF(B5316=B5315,"",B5316)</f>
        <v/>
      </c>
    </row>
    <row r="5317" spans="1:6" ht="15.75" customHeight="1">
      <c r="A5317" s="5" t="s">
        <v>18335</v>
      </c>
      <c r="B5317" s="6" t="s">
        <v>18335</v>
      </c>
      <c r="C5317" s="5" t="s">
        <v>17707</v>
      </c>
      <c r="D5317" s="5" t="s">
        <v>17729</v>
      </c>
      <c r="E5317" s="2">
        <v>3515887</v>
      </c>
      <c r="F5317" s="4" t="str">
        <f>IF(B5317=B5316,"",B5317)</f>
        <v>Tepeji de Ocampo</v>
      </c>
    </row>
    <row r="5318" spans="1:6" ht="15.75" customHeight="1">
      <c r="A5318" s="5" t="str">
        <f ca="1">IFERROR(__xludf.DUMMYFUNCTION("GOOGLETRANSLATE(B36893,""en"",""pt"")"),"Tepeji de Ocampo")</f>
        <v>Tepeji de Ocampo</v>
      </c>
      <c r="B5318" s="17" t="s">
        <v>18335</v>
      </c>
      <c r="C5318" s="17" t="s">
        <v>17707</v>
      </c>
      <c r="D5318" s="17" t="s">
        <v>17729</v>
      </c>
      <c r="E5318" s="10">
        <v>3515887</v>
      </c>
      <c r="F5318" s="4" t="str">
        <f>IF(B5318=B5317,"",B5318)</f>
        <v/>
      </c>
    </row>
    <row r="5319" spans="1:6" ht="15.75" customHeight="1">
      <c r="A5319" s="6" t="s">
        <v>26728</v>
      </c>
      <c r="B5319" s="6" t="s">
        <v>26728</v>
      </c>
      <c r="C5319" s="6" t="s">
        <v>26201</v>
      </c>
      <c r="D5319" s="6" t="s">
        <v>26211</v>
      </c>
      <c r="E5319" s="2">
        <v>738858</v>
      </c>
      <c r="F5319" s="4" t="str">
        <f>IF(B5319=B5318,"",B5319)</f>
        <v>Tepecik</v>
      </c>
    </row>
    <row r="5320" spans="1:6" ht="15.75" customHeight="1">
      <c r="A5320" s="5" t="str">
        <f ca="1">IFERROR(__xludf.DUMMYFUNCTION("GOOGLETRANSLATE(B42107,""en"",""pt"")"),"Tepecik")</f>
        <v>Tepecik</v>
      </c>
      <c r="B5320" s="17" t="s">
        <v>26728</v>
      </c>
      <c r="C5320" s="17" t="s">
        <v>26201</v>
      </c>
      <c r="D5320" s="17" t="s">
        <v>26211</v>
      </c>
      <c r="E5320" s="10">
        <v>738858</v>
      </c>
      <c r="F5320" s="4" t="str">
        <f>IF(B5320=B5319,"",B5320)</f>
        <v/>
      </c>
    </row>
    <row r="5321" spans="1:6" ht="15.75" customHeight="1">
      <c r="A5321" s="6" t="s">
        <v>18334</v>
      </c>
      <c r="B5321" s="6" t="s">
        <v>18334</v>
      </c>
      <c r="C5321" s="6" t="s">
        <v>17707</v>
      </c>
      <c r="D5321" s="6" t="s">
        <v>17717</v>
      </c>
      <c r="E5321" s="2">
        <v>3515904</v>
      </c>
      <c r="F5321" s="4" t="str">
        <f>IF(B5321=B5320,"",B5321)</f>
        <v>Tepeaca</v>
      </c>
    </row>
    <row r="5322" spans="1:6" ht="15.75" customHeight="1">
      <c r="A5322" s="5" t="str">
        <f ca="1">IFERROR(__xludf.DUMMYFUNCTION("GOOGLETRANSLATE(B36894,""en"",""pt"")"),"Tepeaca")</f>
        <v>Tepeaca</v>
      </c>
      <c r="B5322" s="17" t="s">
        <v>18334</v>
      </c>
      <c r="C5322" s="17" t="s">
        <v>17707</v>
      </c>
      <c r="D5322" s="17" t="s">
        <v>17717</v>
      </c>
      <c r="E5322" s="10">
        <v>3515904</v>
      </c>
      <c r="F5322" s="4" t="str">
        <f>IF(B5322=B5321,"",B5322)</f>
        <v/>
      </c>
    </row>
    <row r="5323" spans="1:6" ht="15.75" customHeight="1">
      <c r="A5323" s="5" t="s">
        <v>18333</v>
      </c>
      <c r="B5323" s="6" t="s">
        <v>18333</v>
      </c>
      <c r="C5323" s="5" t="s">
        <v>17707</v>
      </c>
      <c r="D5323" s="5" t="s">
        <v>17717</v>
      </c>
      <c r="E5323" s="2">
        <v>3515906</v>
      </c>
      <c r="F5323" s="4" t="str">
        <f>IF(B5323=B5322,"",B5323)</f>
        <v>Tepatlaxco de Hidalgo</v>
      </c>
    </row>
    <row r="5324" spans="1:6" ht="15.75" customHeight="1">
      <c r="A5324" s="5" t="str">
        <f ca="1">IFERROR(__xludf.DUMMYFUNCTION("GOOGLETRANSLATE(B36895,""en"",""pt"")"),"Tepatlaxco de Hidalgo")</f>
        <v>Tepatlaxco de Hidalgo</v>
      </c>
      <c r="B5324" s="17" t="s">
        <v>18333</v>
      </c>
      <c r="C5324" s="17" t="s">
        <v>17707</v>
      </c>
      <c r="D5324" s="17" t="s">
        <v>17717</v>
      </c>
      <c r="E5324" s="10">
        <v>3515906</v>
      </c>
      <c r="F5324" s="4" t="str">
        <f>IF(B5324=B5323,"",B5324)</f>
        <v/>
      </c>
    </row>
    <row r="5325" spans="1:6" ht="15.75" customHeight="1">
      <c r="A5325" s="5" t="str">
        <f ca="1">IFERROR(__xludf.DUMMYFUNCTION("GOOGLETRANSLATE(B37168,""en"",""pt"")"),"Tepatitlán de morelos")</f>
        <v>Tepatitlán de morelos</v>
      </c>
      <c r="B5325" s="17" t="s">
        <v>34735</v>
      </c>
      <c r="C5325" s="17" t="s">
        <v>17707</v>
      </c>
      <c r="D5325" s="17" t="s">
        <v>17746</v>
      </c>
      <c r="E5325" s="10">
        <v>3981984</v>
      </c>
      <c r="F5325" s="4" t="str">
        <f>IF(B5325=B5324,"",B5325)</f>
        <v>Tepatitlán de Morelos</v>
      </c>
    </row>
    <row r="5326" spans="1:6" ht="15.75" customHeight="1">
      <c r="A5326" s="5" t="s">
        <v>18331</v>
      </c>
      <c r="B5326" s="6" t="s">
        <v>18332</v>
      </c>
      <c r="C5326" s="5" t="s">
        <v>17707</v>
      </c>
      <c r="D5326" s="5" t="s">
        <v>17746</v>
      </c>
      <c r="E5326" s="2">
        <v>3981984</v>
      </c>
      <c r="F5326" s="4" t="str">
        <f>IF(B5326=B5325,"",B5326)</f>
        <v>TepatitlÃ¡n de Morelos</v>
      </c>
    </row>
    <row r="5327" spans="1:6" ht="15.75" customHeight="1">
      <c r="A5327" s="5" t="s">
        <v>18330</v>
      </c>
      <c r="B5327" s="6" t="s">
        <v>18330</v>
      </c>
      <c r="C5327" s="5" t="s">
        <v>17707</v>
      </c>
      <c r="D5327" s="5" t="s">
        <v>17761</v>
      </c>
      <c r="E5327" s="2">
        <v>3982007</v>
      </c>
      <c r="F5327" s="4" t="str">
        <f>IF(B5327=B5326,"",B5327)</f>
        <v>Tepalcatepec</v>
      </c>
    </row>
    <row r="5328" spans="1:6" ht="15.75" customHeight="1">
      <c r="A5328" s="5" t="str">
        <f ca="1">IFERROR(__xludf.DUMMYFUNCTION("GOOGLETRANSLATE(B37169,""en"",""pt"")"),"Tepalcatepec")</f>
        <v>Tepalcatepec</v>
      </c>
      <c r="B5328" s="17" t="s">
        <v>18330</v>
      </c>
      <c r="C5328" s="17" t="s">
        <v>17707</v>
      </c>
      <c r="D5328" s="17" t="s">
        <v>34727</v>
      </c>
      <c r="E5328" s="10">
        <v>3982007</v>
      </c>
      <c r="F5328" s="4" t="str">
        <f>IF(B5328=B5327,"",B5328)</f>
        <v/>
      </c>
    </row>
    <row r="5329" spans="1:6" ht="15.75" customHeight="1">
      <c r="A5329" s="5" t="str">
        <f ca="1">IFERROR(__xludf.DUMMYFUNCTION("GOOGLETRANSLATE(B36929,""en"",""pt"")"),"Teotihuacán de Arista")</f>
        <v>Teotihuacán de Arista</v>
      </c>
      <c r="B5329" s="17" t="s">
        <v>34678</v>
      </c>
      <c r="C5329" s="17" t="s">
        <v>17707</v>
      </c>
      <c r="D5329" s="17" t="s">
        <v>17780</v>
      </c>
      <c r="E5329" s="10">
        <v>3518618</v>
      </c>
      <c r="F5329" s="4" t="str">
        <f>IF(B5329=B5328,"",B5329)</f>
        <v>Teotihuacán de Arista</v>
      </c>
    </row>
    <row r="5330" spans="1:6" ht="15.75" customHeight="1">
      <c r="A5330" s="5" t="str">
        <f ca="1">IFERROR(__xludf.DUMMYFUNCTION("GOOGLETRANSLATE(B37379,""en"",""pt"")"),"Teotihuacán de Arista")</f>
        <v>Teotihuacán de Arista</v>
      </c>
      <c r="B5330" s="17" t="s">
        <v>34678</v>
      </c>
      <c r="C5330" s="17" t="s">
        <v>17707</v>
      </c>
      <c r="D5330" s="17" t="s">
        <v>20902</v>
      </c>
      <c r="E5330" s="10">
        <v>8858102</v>
      </c>
      <c r="F5330" s="4" t="str">
        <f>IF(B5330=B5329,"",B5330)</f>
        <v/>
      </c>
    </row>
    <row r="5331" spans="1:6" ht="15.75" customHeight="1">
      <c r="A5331" s="5" t="s">
        <v>18328</v>
      </c>
      <c r="B5331" s="6" t="s">
        <v>18329</v>
      </c>
      <c r="C5331" s="5" t="s">
        <v>17707</v>
      </c>
      <c r="D5331" s="5" t="s">
        <v>17780</v>
      </c>
      <c r="E5331" s="2">
        <v>3518618</v>
      </c>
      <c r="F5331" s="4" t="str">
        <f>IF(B5331=B5330,"",B5331)</f>
        <v>TeotihuacÃ¡n de Arista</v>
      </c>
    </row>
    <row r="5332" spans="1:6" ht="15.75" customHeight="1">
      <c r="A5332" s="5" t="s">
        <v>18328</v>
      </c>
      <c r="B5332" s="6" t="s">
        <v>18329</v>
      </c>
      <c r="C5332" s="5" t="s">
        <v>17707</v>
      </c>
      <c r="D5332" s="5" t="s">
        <v>17736</v>
      </c>
      <c r="E5332" s="2">
        <v>8858102</v>
      </c>
      <c r="F5332" s="4" t="str">
        <f>IF(B5332=B5331,"",B5332)</f>
        <v/>
      </c>
    </row>
    <row r="5333" spans="1:6" ht="15.75" customHeight="1">
      <c r="A5333" s="6" t="s">
        <v>13541</v>
      </c>
      <c r="B5333" s="6" t="s">
        <v>13541</v>
      </c>
      <c r="C5333" s="6" t="s">
        <v>10178</v>
      </c>
      <c r="D5333" s="6" t="s">
        <v>10219</v>
      </c>
      <c r="E5333" s="2">
        <v>1254732</v>
      </c>
      <c r="F5333" s="4" t="str">
        <f>IF(B5333=B5332,"",B5333)</f>
        <v>Teonthar</v>
      </c>
    </row>
    <row r="5334" spans="1:6" ht="15.75" customHeight="1">
      <c r="A5334" s="5" t="str">
        <f ca="1">IFERROR(__xludf.DUMMYFUNCTION("GOOGLETRANSLATE(B32013,""en"",""pt"")"),"Teonthar")</f>
        <v>Teonthar</v>
      </c>
      <c r="B5334" s="17" t="s">
        <v>13541</v>
      </c>
      <c r="C5334" s="17" t="s">
        <v>10178</v>
      </c>
      <c r="D5334" s="17" t="s">
        <v>10219</v>
      </c>
      <c r="E5334" s="10">
        <v>1254732</v>
      </c>
      <c r="F5334" s="4" t="str">
        <f>IF(B5334=B5333,"",B5334)</f>
        <v/>
      </c>
    </row>
    <row r="5335" spans="1:6" ht="15.75" customHeight="1">
      <c r="A5335" s="5" t="s">
        <v>18327</v>
      </c>
      <c r="B5335" s="6" t="s">
        <v>18327</v>
      </c>
      <c r="C5335" s="5" t="s">
        <v>17707</v>
      </c>
      <c r="D5335" s="5" t="s">
        <v>17736</v>
      </c>
      <c r="E5335" s="2">
        <v>3515942</v>
      </c>
      <c r="F5335" s="4" t="str">
        <f>IF(B5335=B5334,"",B5335)</f>
        <v>Teoloyucan</v>
      </c>
    </row>
    <row r="5336" spans="1:6" ht="15.75" customHeight="1">
      <c r="A5336" s="5" t="str">
        <f ca="1">IFERROR(__xludf.DUMMYFUNCTION("GOOGLETRANSLATE(B36896,""en"",""pt"")"),"Teoloyucan")</f>
        <v>Teoloyucan</v>
      </c>
      <c r="B5336" s="17" t="s">
        <v>18327</v>
      </c>
      <c r="C5336" s="17" t="s">
        <v>17707</v>
      </c>
      <c r="D5336" s="17" t="s">
        <v>20902</v>
      </c>
      <c r="E5336" s="10">
        <v>3515942</v>
      </c>
      <c r="F5336" s="4" t="str">
        <f>IF(B5336=B5335,"",B5336)</f>
        <v/>
      </c>
    </row>
    <row r="5337" spans="1:6" ht="15.75" customHeight="1">
      <c r="A5337" s="5" t="s">
        <v>18326</v>
      </c>
      <c r="B5337" s="6" t="s">
        <v>18326</v>
      </c>
      <c r="C5337" s="5" t="s">
        <v>17707</v>
      </c>
      <c r="D5337" s="5" t="s">
        <v>17763</v>
      </c>
      <c r="E5337" s="2">
        <v>3518475</v>
      </c>
      <c r="F5337" s="4" t="str">
        <f>IF(B5337=B5336,"",B5337)</f>
        <v>Teolocholco</v>
      </c>
    </row>
    <row r="5338" spans="1:6" ht="15.75" customHeight="1">
      <c r="A5338" s="5" t="str">
        <f ca="1">IFERROR(__xludf.DUMMYFUNCTION("GOOGLETRANSLATE(B36928,""en"",""pt"")"),"Teolocholco")</f>
        <v>Teolocholco</v>
      </c>
      <c r="B5338" s="17" t="s">
        <v>18326</v>
      </c>
      <c r="C5338" s="17" t="s">
        <v>17707</v>
      </c>
      <c r="D5338" s="17" t="s">
        <v>17763</v>
      </c>
      <c r="E5338" s="10">
        <v>3518475</v>
      </c>
      <c r="F5338" s="4" t="str">
        <f>IF(B5338=B5337,"",B5338)</f>
        <v/>
      </c>
    </row>
    <row r="5339" spans="1:6" ht="15.75" customHeight="1">
      <c r="A5339" s="5" t="str">
        <f ca="1">IFERROR(__xludf.DUMMYFUNCTION("GOOGLETRANSLATE(B24495,""en"",""pt"")"),"Teófilo Otoni")</f>
        <v>Teófilo Otoni</v>
      </c>
      <c r="B5339" s="17" t="s">
        <v>31455</v>
      </c>
      <c r="C5339" s="17" t="s">
        <v>1905</v>
      </c>
      <c r="D5339" s="17" t="s">
        <v>1917</v>
      </c>
      <c r="E5339" s="10">
        <v>3446621</v>
      </c>
      <c r="F5339" s="4" t="str">
        <f>IF(B5339=B5338,"",B5339)</f>
        <v>Teófilo Otoni</v>
      </c>
    </row>
    <row r="5340" spans="1:6" ht="15.75" customHeight="1">
      <c r="A5340" s="5" t="s">
        <v>3543</v>
      </c>
      <c r="B5340" s="6" t="s">
        <v>3543</v>
      </c>
      <c r="C5340" s="5" t="s">
        <v>1905</v>
      </c>
      <c r="D5340" s="5" t="s">
        <v>1914</v>
      </c>
      <c r="E5340" s="2">
        <v>3446625</v>
      </c>
      <c r="F5340" s="4" t="str">
        <f>IF(B5340=B5339,"",B5340)</f>
        <v>Teodoro Sampaio</v>
      </c>
    </row>
    <row r="5341" spans="1:6" ht="15.75" customHeight="1">
      <c r="A5341" s="5" t="str">
        <f ca="1">IFERROR(__xludf.DUMMYFUNCTION("GOOGLETRANSLATE(B24496,""en"",""pt"")"),"Teodoro Sampaio")</f>
        <v>Teodoro Sampaio</v>
      </c>
      <c r="B5341" s="17" t="s">
        <v>3543</v>
      </c>
      <c r="C5341" s="17" t="s">
        <v>1905</v>
      </c>
      <c r="D5341" s="17" t="s">
        <v>3354</v>
      </c>
      <c r="E5341" s="10">
        <v>3446625</v>
      </c>
      <c r="F5341" s="4" t="str">
        <f>IF(B5341=B5340,"",B5341)</f>
        <v/>
      </c>
    </row>
    <row r="5342" spans="1:6" ht="15.75" customHeight="1">
      <c r="A5342" s="5" t="s">
        <v>18325</v>
      </c>
      <c r="B5342" s="6" t="s">
        <v>18325</v>
      </c>
      <c r="C5342" s="5" t="s">
        <v>17707</v>
      </c>
      <c r="D5342" s="5" t="s">
        <v>17746</v>
      </c>
      <c r="E5342" s="2">
        <v>3982034</v>
      </c>
      <c r="F5342" s="4" t="str">
        <f>IF(B5342=B5341,"",B5342)</f>
        <v>Teocaltiche</v>
      </c>
    </row>
    <row r="5343" spans="1:6" ht="15.75" customHeight="1">
      <c r="A5343" s="5" t="str">
        <f ca="1">IFERROR(__xludf.DUMMYFUNCTION("GOOGLETRANSLATE(B37170,""en"",""pt"")"),"Teocaltiche")</f>
        <v>Teocaltiche</v>
      </c>
      <c r="B5343" s="17" t="s">
        <v>18325</v>
      </c>
      <c r="C5343" s="17" t="s">
        <v>17707</v>
      </c>
      <c r="D5343" s="17" t="s">
        <v>17746</v>
      </c>
      <c r="E5343" s="10">
        <v>3982034</v>
      </c>
      <c r="F5343" s="4" t="str">
        <f>IF(B5343=B5342,"",B5343)</f>
        <v/>
      </c>
    </row>
    <row r="5344" spans="1:6" ht="15.75" customHeight="1">
      <c r="A5344" s="6" t="s">
        <v>24843</v>
      </c>
      <c r="B5344" s="6" t="s">
        <v>24843</v>
      </c>
      <c r="C5344" s="6" t="s">
        <v>24200</v>
      </c>
      <c r="D5344" s="6" t="s">
        <v>24201</v>
      </c>
      <c r="E5344" s="2">
        <v>3108165</v>
      </c>
      <c r="F5344" s="4" t="str">
        <f>IF(B5344=B5343,"",B5344)</f>
        <v>Teo</v>
      </c>
    </row>
    <row r="5345" spans="1:6" ht="15.75" customHeight="1">
      <c r="A5345" s="5" t="str">
        <f ca="1">IFERROR(__xludf.DUMMYFUNCTION("GOOGLETRANSLATE(B29266,""en"",""pt"")"),"Teo")</f>
        <v>Teo</v>
      </c>
      <c r="B5345" s="17" t="s">
        <v>24843</v>
      </c>
      <c r="C5345" s="17" t="s">
        <v>24200</v>
      </c>
      <c r="D5345" s="17" t="s">
        <v>24201</v>
      </c>
      <c r="E5345" s="10">
        <v>3108165</v>
      </c>
      <c r="F5345" s="4" t="str">
        <f>IF(B5345=B5344,"",B5345)</f>
        <v/>
      </c>
    </row>
    <row r="5346" spans="1:6" ht="15.75" customHeight="1">
      <c r="A5346" s="6" t="s">
        <v>16507</v>
      </c>
      <c r="B5346" s="6" t="s">
        <v>16507</v>
      </c>
      <c r="C5346" s="6" t="s">
        <v>15704</v>
      </c>
      <c r="D5346" s="6" t="s">
        <v>15905</v>
      </c>
      <c r="E5346" s="2">
        <v>1850396</v>
      </c>
      <c r="F5346" s="4" t="str">
        <f>IF(B5346=B5345,"",B5346)</f>
        <v>Tenri</v>
      </c>
    </row>
    <row r="5347" spans="1:6" ht="15.75" customHeight="1">
      <c r="A5347" s="5" t="str">
        <f ca="1">IFERROR(__xludf.DUMMYFUNCTION("GOOGLETRANSLATE(B35235,""en"",""pt"")"),"Tenri")</f>
        <v>Tenri</v>
      </c>
      <c r="B5347" s="17" t="s">
        <v>16507</v>
      </c>
      <c r="C5347" s="17" t="s">
        <v>15704</v>
      </c>
      <c r="D5347" s="17" t="s">
        <v>15905</v>
      </c>
      <c r="E5347" s="10">
        <v>1850396</v>
      </c>
      <c r="F5347" s="4" t="str">
        <f>IF(B5347=B5346,"",B5347)</f>
        <v/>
      </c>
    </row>
    <row r="5348" spans="1:6" ht="15.75" customHeight="1">
      <c r="A5348" s="5" t="str">
        <f ca="1">IFERROR(__xludf.DUMMYFUNCTION("GOOGLETRANSLATE(B36897,""en"",""pt"")"),"Tenosique de Pino Suárez")</f>
        <v>Tenosique de Pino Suárez</v>
      </c>
      <c r="B5348" s="17" t="s">
        <v>34671</v>
      </c>
      <c r="C5348" s="17" t="s">
        <v>17707</v>
      </c>
      <c r="D5348" s="17" t="s">
        <v>17788</v>
      </c>
      <c r="E5348" s="10">
        <v>3515956</v>
      </c>
      <c r="F5348" s="4" t="str">
        <f>IF(B5348=B5347,"",B5348)</f>
        <v>Tenosique de Pino Suárez</v>
      </c>
    </row>
    <row r="5349" spans="1:6" ht="15.75" customHeight="1">
      <c r="A5349" s="5" t="s">
        <v>18323</v>
      </c>
      <c r="B5349" s="6" t="s">
        <v>18324</v>
      </c>
      <c r="C5349" s="5" t="s">
        <v>17707</v>
      </c>
      <c r="D5349" s="5" t="s">
        <v>17788</v>
      </c>
      <c r="E5349" s="2">
        <v>3515956</v>
      </c>
      <c r="F5349" s="4" t="str">
        <f>IF(B5349=B5348,"",B5349)</f>
        <v>Tenosique de Pino SuÃ¡rez</v>
      </c>
    </row>
    <row r="5350" spans="1:6" ht="15.75" customHeight="1">
      <c r="A5350" s="5" t="str">
        <f ca="1">IFERROR(__xludf.DUMMYFUNCTION("GOOGLETRANSLATE(B35236,""en"",""pt"")"),"Tennō")</f>
        <v>Tennō</v>
      </c>
      <c r="B5350" s="17" t="s">
        <v>34301</v>
      </c>
      <c r="C5350" s="17" t="s">
        <v>15704</v>
      </c>
      <c r="D5350" s="17" t="s">
        <v>15716</v>
      </c>
      <c r="E5350" s="10">
        <v>1850405</v>
      </c>
      <c r="F5350" s="4" t="str">
        <f>IF(B5350=B5349,"",B5350)</f>
        <v>Tennō</v>
      </c>
    </row>
    <row r="5351" spans="1:6" ht="15.75" customHeight="1">
      <c r="A5351" s="6" t="s">
        <v>16505</v>
      </c>
      <c r="B5351" s="6" t="s">
        <v>16506</v>
      </c>
      <c r="C5351" s="6" t="s">
        <v>15704</v>
      </c>
      <c r="D5351" s="6" t="s">
        <v>15716</v>
      </c>
      <c r="E5351" s="2">
        <v>1850405</v>
      </c>
      <c r="F5351" s="4" t="str">
        <f>IF(B5351=B5350,"",B5351)</f>
        <v>TennÅ</v>
      </c>
    </row>
    <row r="5352" spans="1:6" ht="15.75" customHeight="1">
      <c r="A5352" s="5" t="s">
        <v>3819</v>
      </c>
      <c r="B5352" s="6" t="s">
        <v>3819</v>
      </c>
      <c r="C5352" s="5" t="s">
        <v>3768</v>
      </c>
      <c r="D5352" s="5" t="s">
        <v>3791</v>
      </c>
      <c r="E5352" s="2">
        <v>2354675</v>
      </c>
      <c r="F5352" s="4" t="str">
        <f>IF(B5352=B5351,"",B5352)</f>
        <v>Tenkodogo</v>
      </c>
    </row>
    <row r="5353" spans="1:6" ht="15.75" customHeight="1">
      <c r="A5353" s="5" t="str">
        <f ca="1">IFERROR(__xludf.DUMMYFUNCTION("GOOGLETRANSLATE(B23979,""en"",""pt"")"),"Tenkodogo")</f>
        <v>Tenkodogo</v>
      </c>
      <c r="B5353" s="17" t="s">
        <v>3819</v>
      </c>
      <c r="C5353" s="17" t="s">
        <v>3768</v>
      </c>
      <c r="D5353" s="17" t="s">
        <v>3791</v>
      </c>
      <c r="E5353" s="10">
        <v>2354675</v>
      </c>
      <c r="F5353" s="4" t="str">
        <f>IF(B5353=B5352,"",B5353)</f>
        <v/>
      </c>
    </row>
    <row r="5354" spans="1:6" ht="15.75" customHeight="1">
      <c r="A5354" s="6" t="s">
        <v>13540</v>
      </c>
      <c r="B5354" s="6" t="s">
        <v>13540</v>
      </c>
      <c r="C5354" s="6" t="s">
        <v>10178</v>
      </c>
      <c r="D5354" s="6" t="s">
        <v>10196</v>
      </c>
      <c r="E5354" s="2">
        <v>1254745</v>
      </c>
      <c r="F5354" s="4" t="str">
        <f>IF(B5354=B5353,"",B5354)</f>
        <v>Teni</v>
      </c>
    </row>
    <row r="5355" spans="1:6" ht="15.75" customHeight="1">
      <c r="A5355" s="5" t="str">
        <f ca="1">IFERROR(__xludf.DUMMYFUNCTION("GOOGLETRANSLATE(B32015,""en"",""pt"")"),"Teni")</f>
        <v>Teni</v>
      </c>
      <c r="B5355" s="17" t="s">
        <v>13540</v>
      </c>
      <c r="C5355" s="17" t="s">
        <v>10178</v>
      </c>
      <c r="D5355" s="17" t="s">
        <v>10196</v>
      </c>
      <c r="E5355" s="10">
        <v>1254745</v>
      </c>
      <c r="F5355" s="4" t="str">
        <f>IF(B5355=B5354,"",B5355)</f>
        <v/>
      </c>
    </row>
    <row r="5356" spans="1:6" ht="15.75" customHeight="1">
      <c r="A5356" s="6" t="s">
        <v>5127</v>
      </c>
      <c r="B5356" s="6" t="s">
        <v>5127</v>
      </c>
      <c r="C5356" s="6" t="s">
        <v>4487</v>
      </c>
      <c r="D5356" s="6" t="s">
        <v>4503</v>
      </c>
      <c r="E5356" s="2">
        <v>1793036</v>
      </c>
      <c r="F5356" s="4" t="str">
        <f>IF(B5356=B5355,"",B5356)</f>
        <v>Tengzhou</v>
      </c>
    </row>
    <row r="5357" spans="1:6" ht="15.75" customHeight="1">
      <c r="A5357" s="5" t="str">
        <f ca="1">IFERROR(__xludf.DUMMYFUNCTION("GOOGLETRANSLATE(B26236,""en"",""pt"")"),"Tengzhou")</f>
        <v>Tengzhou</v>
      </c>
      <c r="B5357" s="17" t="s">
        <v>5127</v>
      </c>
      <c r="C5357" s="17" t="s">
        <v>4487</v>
      </c>
      <c r="D5357" s="17" t="s">
        <v>4503</v>
      </c>
      <c r="E5357" s="10">
        <v>1793036</v>
      </c>
      <c r="F5357" s="4" t="str">
        <f>IF(B5357=B5356,"",B5357)</f>
        <v/>
      </c>
    </row>
    <row r="5358" spans="1:6" ht="15.75" customHeight="1">
      <c r="A5358" s="6" t="s">
        <v>15670</v>
      </c>
      <c r="B5358" s="6" t="s">
        <v>15670</v>
      </c>
      <c r="C5358" s="6" t="s">
        <v>15586</v>
      </c>
      <c r="D5358" s="6" t="s">
        <v>15627</v>
      </c>
      <c r="E5358" s="2">
        <v>2280589</v>
      </c>
      <c r="F5358" s="4" t="str">
        <f>IF(B5358=B5357,"",B5358)</f>
        <v>Tengrela</v>
      </c>
    </row>
    <row r="5359" spans="1:6" ht="15.75" customHeight="1">
      <c r="A5359" s="5" t="str">
        <f ca="1">IFERROR(__xludf.DUMMYFUNCTION("GOOGLETRANSLATE(B25830,""en"",""pt"")"),"Tengrela")</f>
        <v>Tengrela</v>
      </c>
      <c r="B5359" s="17" t="s">
        <v>15670</v>
      </c>
      <c r="C5359" s="17" t="s">
        <v>15586</v>
      </c>
      <c r="D5359" s="17" t="s">
        <v>15627</v>
      </c>
      <c r="E5359" s="10">
        <v>2280589</v>
      </c>
      <c r="F5359" s="4" t="str">
        <f>IF(B5359=B5358,"",B5359)</f>
        <v/>
      </c>
    </row>
    <row r="5360" spans="1:6" ht="15.75" customHeight="1">
      <c r="A5360" s="5" t="str">
        <f ca="1">IFERROR(__xludf.DUMMYFUNCTION("GOOGLETRANSLATE(B35725,""en"",""pt"")"),"Tendō")</f>
        <v>Tendō</v>
      </c>
      <c r="B5360" s="17" t="s">
        <v>34402</v>
      </c>
      <c r="C5360" s="17" t="s">
        <v>15704</v>
      </c>
      <c r="D5360" s="17" t="s">
        <v>15951</v>
      </c>
      <c r="E5360" s="10">
        <v>2110793</v>
      </c>
      <c r="F5360" s="4" t="str">
        <f>IF(B5360=B5359,"",B5360)</f>
        <v>Tendō</v>
      </c>
    </row>
    <row r="5361" spans="1:6" ht="15.75" customHeight="1">
      <c r="A5361" s="6" t="s">
        <v>16503</v>
      </c>
      <c r="B5361" s="6" t="s">
        <v>16504</v>
      </c>
      <c r="C5361" s="6" t="s">
        <v>15704</v>
      </c>
      <c r="D5361" s="6" t="s">
        <v>15951</v>
      </c>
      <c r="E5361" s="2">
        <v>2110793</v>
      </c>
      <c r="F5361" s="4" t="str">
        <f>IF(B5361=B5360,"",B5361)</f>
        <v>TendÅ</v>
      </c>
    </row>
    <row r="5362" spans="1:6" ht="15.75" customHeight="1">
      <c r="A5362" s="5" t="s">
        <v>18322</v>
      </c>
      <c r="B5362" s="6" t="s">
        <v>18322</v>
      </c>
      <c r="C5362" s="5" t="s">
        <v>17707</v>
      </c>
      <c r="D5362" s="5" t="s">
        <v>17780</v>
      </c>
      <c r="E5362" s="2">
        <v>3515993</v>
      </c>
      <c r="F5362" s="4" t="str">
        <f>IF(B5362=B5361,"",B5362)</f>
        <v>Tenango de Arista</v>
      </c>
    </row>
    <row r="5363" spans="1:6" ht="15.75" customHeight="1">
      <c r="A5363" s="5" t="str">
        <f ca="1">IFERROR(__xludf.DUMMYFUNCTION("GOOGLETRANSLATE(B36898,""en"",""pt"")"),"Tenango de Arista")</f>
        <v>Tenango de Arista</v>
      </c>
      <c r="B5363" s="17" t="s">
        <v>18322</v>
      </c>
      <c r="C5363" s="17" t="s">
        <v>17707</v>
      </c>
      <c r="D5363" s="17" t="s">
        <v>17780</v>
      </c>
      <c r="E5363" s="10">
        <v>3515993</v>
      </c>
      <c r="F5363" s="4" t="str">
        <f>IF(B5363=B5362,"",B5363)</f>
        <v/>
      </c>
    </row>
    <row r="5364" spans="1:6" ht="15.75" customHeight="1">
      <c r="A5364" s="6" t="s">
        <v>6480</v>
      </c>
      <c r="B5364" s="6" t="s">
        <v>6481</v>
      </c>
      <c r="C5364" s="6" t="s">
        <v>6398</v>
      </c>
      <c r="D5364" s="6" t="s">
        <v>6482</v>
      </c>
      <c r="E5364" s="2">
        <v>3650721</v>
      </c>
      <c r="F5364" s="4" t="str">
        <f>IF(B5364=B5363,"",B5364)</f>
        <v>Tena</v>
      </c>
    </row>
    <row r="5365" spans="1:6" ht="15.75" customHeight="1">
      <c r="A5365" s="5" t="str">
        <f ca="1">IFERROR(__xludf.DUMMYFUNCTION("GOOGLETRANSLATE(B28752,""en"",""pt"")"),"TENA")</f>
        <v>TENA</v>
      </c>
      <c r="B5365" s="17" t="s">
        <v>6481</v>
      </c>
      <c r="C5365" s="17" t="s">
        <v>6398</v>
      </c>
      <c r="D5365" s="17" t="s">
        <v>6482</v>
      </c>
      <c r="E5365" s="10">
        <v>3650721</v>
      </c>
      <c r="F5365" s="4" t="str">
        <f>IF(B5365=B5364,"",B5365)</f>
        <v/>
      </c>
    </row>
    <row r="5366" spans="1:6" ht="15.75" customHeight="1">
      <c r="A5366" s="6" t="s">
        <v>4475</v>
      </c>
      <c r="B5366" s="6" t="s">
        <v>4475</v>
      </c>
      <c r="C5366" s="6" t="s">
        <v>4355</v>
      </c>
      <c r="D5366" s="6" t="s">
        <v>4358</v>
      </c>
      <c r="E5366" s="2">
        <v>3870011</v>
      </c>
      <c r="F5366" s="4" t="str">
        <f>IF(B5366=B5365,"",B5366)</f>
        <v>Temuco</v>
      </c>
    </row>
    <row r="5367" spans="1:6" ht="15.75" customHeight="1">
      <c r="A5367" s="5" t="str">
        <f ca="1">IFERROR(__xludf.DUMMYFUNCTION("GOOGLETRANSLATE(B25892,""en"",""pt"")"),"Temuco")</f>
        <v>Temuco</v>
      </c>
      <c r="B5367" s="17" t="s">
        <v>4475</v>
      </c>
      <c r="C5367" s="17" t="s">
        <v>4355</v>
      </c>
      <c r="D5367" s="17" t="s">
        <v>31794</v>
      </c>
      <c r="E5367" s="10">
        <v>3870011</v>
      </c>
      <c r="F5367" s="4" t="str">
        <f>IF(B5367=B5366,"",B5367)</f>
        <v/>
      </c>
    </row>
    <row r="5368" spans="1:6" ht="15.75" customHeight="1">
      <c r="A5368" s="6" t="s">
        <v>1695</v>
      </c>
      <c r="B5368" s="6" t="s">
        <v>1695</v>
      </c>
      <c r="C5368" s="6" t="s">
        <v>1512</v>
      </c>
      <c r="D5368" s="6" t="s">
        <v>1513</v>
      </c>
      <c r="E5368" s="2">
        <v>2785778</v>
      </c>
      <c r="F5368" s="4" t="str">
        <f>IF(B5368=B5367,"",B5368)</f>
        <v>Temse</v>
      </c>
    </row>
    <row r="5369" spans="1:6" ht="15.75" customHeight="1">
      <c r="A5369" s="5" t="str">
        <f ca="1">IFERROR(__xludf.DUMMYFUNCTION("GOOGLETRANSLATE(B23822,""en"",""pt"")"),"Temse")</f>
        <v>Temse</v>
      </c>
      <c r="B5369" s="17" t="s">
        <v>1695</v>
      </c>
      <c r="C5369" s="17" t="s">
        <v>1512</v>
      </c>
      <c r="D5369" s="17" t="s">
        <v>1513</v>
      </c>
      <c r="E5369" s="10">
        <v>2785778</v>
      </c>
      <c r="F5369" s="4" t="str">
        <f>IF(B5369=B5368,"",B5369)</f>
        <v/>
      </c>
    </row>
    <row r="5370" spans="1:6" ht="15.75" customHeight="1">
      <c r="A5370" s="6" t="s">
        <v>23182</v>
      </c>
      <c r="B5370" s="6" t="s">
        <v>23182</v>
      </c>
      <c r="C5370" s="6" t="s">
        <v>22070</v>
      </c>
      <c r="D5370" s="6" t="s">
        <v>22077</v>
      </c>
      <c r="E5370" s="2">
        <v>483661</v>
      </c>
      <c r="F5370" s="4" t="str">
        <f>IF(B5370=B5369,"",B5370)</f>
        <v>Temryuk</v>
      </c>
    </row>
    <row r="5371" spans="1:6" ht="15.75" customHeight="1">
      <c r="A5371" s="5" t="str">
        <f ca="1">IFERROR(__xludf.DUMMYFUNCTION("GOOGLETRANSLATE(B40039,""en"",""pt"")"),"Temryuk")</f>
        <v>Temryuk</v>
      </c>
      <c r="B5371" s="17" t="s">
        <v>23182</v>
      </c>
      <c r="C5371" s="17" t="s">
        <v>22070</v>
      </c>
      <c r="D5371" s="17" t="s">
        <v>22077</v>
      </c>
      <c r="E5371" s="10">
        <v>483661</v>
      </c>
      <c r="F5371" s="4" t="str">
        <f>IF(B5371=B5370,"",B5371)</f>
        <v/>
      </c>
    </row>
    <row r="5372" spans="1:6" ht="15.75" customHeight="1">
      <c r="A5372" s="6" t="s">
        <v>9202</v>
      </c>
      <c r="B5372" s="6" t="s">
        <v>9202</v>
      </c>
      <c r="C5372" s="6" t="s">
        <v>8028</v>
      </c>
      <c r="D5372" s="6" t="s">
        <v>8070</v>
      </c>
      <c r="E5372" s="2">
        <v>2823533</v>
      </c>
      <c r="F5372" s="4" t="str">
        <f>IF(B5372=B5371,"",B5372)</f>
        <v>Templin</v>
      </c>
    </row>
    <row r="5373" spans="1:6" ht="15.75" customHeight="1">
      <c r="A5373" s="5" t="str">
        <f ca="1">IFERROR(__xludf.DUMMYFUNCTION("GOOGLETRANSLATE(B27477,""en"",""pt"")"),"Templin")</f>
        <v>Templin</v>
      </c>
      <c r="B5373" s="17" t="s">
        <v>9202</v>
      </c>
      <c r="C5373" s="17" t="s">
        <v>8028</v>
      </c>
      <c r="D5373" s="17" t="s">
        <v>8070</v>
      </c>
      <c r="E5373" s="10">
        <v>2823533</v>
      </c>
      <c r="F5373" s="4" t="str">
        <f>IF(B5373=B5372,"",B5373)</f>
        <v/>
      </c>
    </row>
    <row r="5374" spans="1:6" ht="15.75" customHeight="1">
      <c r="A5374" s="5" t="s">
        <v>30174</v>
      </c>
      <c r="B5374" s="6" t="s">
        <v>30175</v>
      </c>
      <c r="C5374" s="5" t="s">
        <v>27788</v>
      </c>
      <c r="D5374" s="5" t="s">
        <v>5468</v>
      </c>
      <c r="E5374" s="2">
        <v>4174969</v>
      </c>
      <c r="F5374" s="4" t="str">
        <f>IF(B5374=B5373,"",B5374)</f>
        <v>Temple Terrace</v>
      </c>
    </row>
    <row r="5375" spans="1:6" ht="15.75" customHeight="1">
      <c r="A5375" s="5" t="str">
        <f ca="1">IFERROR(__xludf.DUMMYFUNCTION("GOOGLETRANSLATE(B43030,""en"",""pt"")"),"Terrace do templo")</f>
        <v>Terrace do templo</v>
      </c>
      <c r="B5375" s="17" t="s">
        <v>30175</v>
      </c>
      <c r="C5375" s="17" t="s">
        <v>27788</v>
      </c>
      <c r="D5375" s="17" t="s">
        <v>5468</v>
      </c>
      <c r="E5375" s="10">
        <v>4174969</v>
      </c>
      <c r="F5375" s="4" t="str">
        <f>IF(B5375=B5374,"",B5375)</f>
        <v/>
      </c>
    </row>
    <row r="5376" spans="1:6" ht="15.75" customHeight="1">
      <c r="A5376" s="5" t="s">
        <v>30172</v>
      </c>
      <c r="B5376" s="6" t="s">
        <v>30173</v>
      </c>
      <c r="C5376" s="5" t="s">
        <v>27788</v>
      </c>
      <c r="D5376" s="5" t="s">
        <v>27801</v>
      </c>
      <c r="E5376" s="2">
        <v>5401469</v>
      </c>
      <c r="F5376" s="4" t="str">
        <f>IF(B5376=B5375,"",B5376)</f>
        <v>Temple City</v>
      </c>
    </row>
    <row r="5377" spans="1:6" ht="15.75" customHeight="1">
      <c r="A5377" s="5" t="str">
        <f ca="1">IFERROR(__xludf.DUMMYFUNCTION("GOOGLETRANSLATE(B45054,""en"",""pt"")"),"Cidade do Templo")</f>
        <v>Cidade do Templo</v>
      </c>
      <c r="B5377" s="17" t="s">
        <v>30173</v>
      </c>
      <c r="C5377" s="17" t="s">
        <v>27788</v>
      </c>
      <c r="D5377" s="17" t="s">
        <v>27801</v>
      </c>
      <c r="E5377" s="10">
        <v>5401469</v>
      </c>
      <c r="F5377" s="4" t="str">
        <f>IF(B5377=B5376,"",B5377)</f>
        <v/>
      </c>
    </row>
    <row r="5378" spans="1:6" ht="15.75" customHeight="1">
      <c r="A5378" s="5" t="s">
        <v>9201</v>
      </c>
      <c r="B5378" s="6" t="s">
        <v>9201</v>
      </c>
      <c r="C5378" s="5" t="s">
        <v>8028</v>
      </c>
      <c r="D5378" s="5" t="s">
        <v>8036</v>
      </c>
      <c r="E5378" s="2">
        <v>2823538</v>
      </c>
      <c r="F5378" s="4" t="str">
        <f>IF(B5378=B5377,"",B5378)</f>
        <v>Tempelhof</v>
      </c>
    </row>
    <row r="5379" spans="1:6" ht="15.75" customHeight="1">
      <c r="A5379" s="5" t="str">
        <f ca="1">IFERROR(__xludf.DUMMYFUNCTION("GOOGLETRANSLATE(B27478,""en"",""pt"")"),"Tempelhof")</f>
        <v>Tempelhof</v>
      </c>
      <c r="B5379" s="17" t="s">
        <v>9201</v>
      </c>
      <c r="C5379" s="17" t="s">
        <v>8028</v>
      </c>
      <c r="D5379" s="17" t="s">
        <v>8036</v>
      </c>
      <c r="E5379" s="10">
        <v>2823538</v>
      </c>
      <c r="F5379" s="4" t="str">
        <f>IF(B5379=B5378,"",B5379)</f>
        <v/>
      </c>
    </row>
    <row r="5380" spans="1:6" ht="15.75" customHeight="1">
      <c r="A5380" s="5" t="s">
        <v>30170</v>
      </c>
      <c r="B5380" s="6" t="s">
        <v>30171</v>
      </c>
      <c r="C5380" s="5" t="s">
        <v>27788</v>
      </c>
      <c r="D5380" s="5" t="s">
        <v>27880</v>
      </c>
      <c r="E5380" s="2">
        <v>5317071</v>
      </c>
      <c r="F5380" s="4" t="str">
        <f>IF(B5380=B5379,"",B5380)</f>
        <v>Tempe Junction</v>
      </c>
    </row>
    <row r="5381" spans="1:6" ht="15.75" customHeight="1">
      <c r="A5381" s="5" t="str">
        <f ca="1">IFERROR(__xludf.DUMMYFUNCTION("GOOGLETRANSLATE(B44734,""en"",""pt"")"),"Junção de Tempe")</f>
        <v>Junção de Tempe</v>
      </c>
      <c r="B5381" s="17" t="s">
        <v>30171</v>
      </c>
      <c r="C5381" s="17" t="s">
        <v>27788</v>
      </c>
      <c r="D5381" s="17" t="s">
        <v>27880</v>
      </c>
      <c r="E5381" s="10">
        <v>5317071</v>
      </c>
      <c r="F5381" s="4" t="str">
        <f>IF(B5381=B5380,"",B5381)</f>
        <v/>
      </c>
    </row>
    <row r="5382" spans="1:6" ht="15.75" customHeight="1">
      <c r="A5382" s="6" t="s">
        <v>30169</v>
      </c>
      <c r="B5382" s="6" t="s">
        <v>30169</v>
      </c>
      <c r="C5382" s="6" t="s">
        <v>27788</v>
      </c>
      <c r="D5382" s="6" t="s">
        <v>27880</v>
      </c>
      <c r="E5382" s="2">
        <v>5317058</v>
      </c>
      <c r="F5382" s="4" t="str">
        <f>IF(B5382=B5381,"",B5382)</f>
        <v>Tempe</v>
      </c>
    </row>
    <row r="5383" spans="1:6" ht="15.75" customHeight="1">
      <c r="A5383" s="5" t="str">
        <f ca="1">IFERROR(__xludf.DUMMYFUNCTION("GOOGLETRANSLATE(B44733,""en"",""pt"")"),"Tempe")</f>
        <v>Tempe</v>
      </c>
      <c r="B5383" s="17" t="s">
        <v>30169</v>
      </c>
      <c r="C5383" s="17" t="s">
        <v>27788</v>
      </c>
      <c r="D5383" s="17" t="s">
        <v>27880</v>
      </c>
      <c r="E5383" s="10">
        <v>5317058</v>
      </c>
      <c r="F5383" s="4" t="str">
        <f>IF(B5383=B5382,"",B5383)</f>
        <v/>
      </c>
    </row>
    <row r="5384" spans="1:6" ht="15.75" customHeight="1">
      <c r="A5384" s="6" t="s">
        <v>18321</v>
      </c>
      <c r="B5384" s="6" t="s">
        <v>18321</v>
      </c>
      <c r="C5384" s="6" t="s">
        <v>17707</v>
      </c>
      <c r="D5384" s="6" t="s">
        <v>17780</v>
      </c>
      <c r="E5384" s="2">
        <v>3516035</v>
      </c>
      <c r="F5384" s="4" t="str">
        <f>IF(B5384=B5383,"",B5384)</f>
        <v>Temixco</v>
      </c>
    </row>
    <row r="5385" spans="1:6" ht="15.75" customHeight="1">
      <c r="A5385" s="5" t="str">
        <f ca="1">IFERROR(__xludf.DUMMYFUNCTION("GOOGLETRANSLATE(B36899,""en"",""pt"")"),"Temixco")</f>
        <v>Temixco</v>
      </c>
      <c r="B5385" s="17" t="s">
        <v>18321</v>
      </c>
      <c r="C5385" s="17" t="s">
        <v>17707</v>
      </c>
      <c r="D5385" s="17" t="s">
        <v>17780</v>
      </c>
      <c r="E5385" s="10">
        <v>3516035</v>
      </c>
      <c r="F5385" s="4" t="str">
        <f>IF(B5385=B5384,"",B5385)</f>
        <v/>
      </c>
    </row>
    <row r="5386" spans="1:6" ht="15.75" customHeight="1">
      <c r="A5386" s="6" t="s">
        <v>16763</v>
      </c>
      <c r="B5386" s="6" t="s">
        <v>16763</v>
      </c>
      <c r="C5386" s="6" t="s">
        <v>16671</v>
      </c>
      <c r="D5386" s="6" t="s">
        <v>16672</v>
      </c>
      <c r="E5386" s="2">
        <v>1518262</v>
      </c>
      <c r="F5386" s="4" t="str">
        <f>IF(B5386=B5385,"",B5386)</f>
        <v>Temirtau</v>
      </c>
    </row>
    <row r="5387" spans="1:6" ht="15.75" customHeight="1">
      <c r="A5387" s="5" t="str">
        <f ca="1">IFERROR(__xludf.DUMMYFUNCTION("GOOGLETRANSLATE(B36210,""en"",""pt"")"),"Temirtau")</f>
        <v>Temirtau</v>
      </c>
      <c r="B5387" s="17" t="s">
        <v>16763</v>
      </c>
      <c r="C5387" s="17" t="s">
        <v>16671</v>
      </c>
      <c r="D5387" s="17" t="s">
        <v>16672</v>
      </c>
      <c r="E5387" s="10">
        <v>1518262</v>
      </c>
      <c r="F5387" s="4" t="str">
        <f>IF(B5387=B5386,"",B5387)</f>
        <v/>
      </c>
    </row>
    <row r="5388" spans="1:6" ht="15.75" customHeight="1">
      <c r="A5388" s="6" t="s">
        <v>17587</v>
      </c>
      <c r="B5388" s="6" t="s">
        <v>17587</v>
      </c>
      <c r="C5388" s="6" t="s">
        <v>17432</v>
      </c>
      <c r="D5388" s="6" t="s">
        <v>17456</v>
      </c>
      <c r="E5388" s="2">
        <v>1735022</v>
      </c>
      <c r="F5388" s="4" t="str">
        <f>IF(B5388=B5387,"",B5388)</f>
        <v>Temerluh</v>
      </c>
    </row>
    <row r="5389" spans="1:6" ht="15.75" customHeight="1">
      <c r="A5389" s="5" t="str">
        <f ca="1">IFERROR(__xludf.DUMMYFUNCTION("GOOGLETRANSLATE(B37471,""en"",""pt"")"),"Temerluh")</f>
        <v>Temerluh</v>
      </c>
      <c r="B5389" s="17" t="s">
        <v>17587</v>
      </c>
      <c r="C5389" s="17" t="s">
        <v>17432</v>
      </c>
      <c r="D5389" s="17" t="s">
        <v>17456</v>
      </c>
      <c r="E5389" s="10">
        <v>1735022</v>
      </c>
      <c r="F5389" s="4" t="str">
        <f>IF(B5389=B5388,"",B5389)</f>
        <v/>
      </c>
    </row>
    <row r="5390" spans="1:6" ht="15.75" customHeight="1">
      <c r="A5390" s="6" t="s">
        <v>30168</v>
      </c>
      <c r="B5390" s="6" t="s">
        <v>30168</v>
      </c>
      <c r="C5390" s="6" t="s">
        <v>27788</v>
      </c>
      <c r="D5390" s="6" t="s">
        <v>27801</v>
      </c>
      <c r="E5390" s="2">
        <v>5401395</v>
      </c>
      <c r="F5390" s="4" t="str">
        <f>IF(B5390=B5389,"",B5390)</f>
        <v>Temecula</v>
      </c>
    </row>
    <row r="5391" spans="1:6" ht="15.75" customHeight="1">
      <c r="A5391" s="5" t="str">
        <f ca="1">IFERROR(__xludf.DUMMYFUNCTION("GOOGLETRANSLATE(B45053,""en"",""pt"")"),"Temecula")</f>
        <v>Temecula</v>
      </c>
      <c r="B5391" s="17" t="s">
        <v>30168</v>
      </c>
      <c r="C5391" s="17" t="s">
        <v>27788</v>
      </c>
      <c r="D5391" s="17" t="s">
        <v>27801</v>
      </c>
      <c r="E5391" s="10">
        <v>5401395</v>
      </c>
      <c r="F5391" s="4" t="str">
        <f>IF(B5391=B5390,"",B5391)</f>
        <v/>
      </c>
    </row>
    <row r="5392" spans="1:6" ht="15.75" customHeight="1">
      <c r="A5392" s="6" t="s">
        <v>23989</v>
      </c>
      <c r="B5392" s="6" t="s">
        <v>23990</v>
      </c>
      <c r="C5392" s="6" t="s">
        <v>23842</v>
      </c>
      <c r="D5392" s="6" t="s">
        <v>23855</v>
      </c>
      <c r="E5392" s="2">
        <v>949880</v>
      </c>
      <c r="F5392" s="4" t="str">
        <f>IF(B5392=B5391,"",B5392)</f>
        <v>Tembisa</v>
      </c>
    </row>
    <row r="5393" spans="1:6" ht="15.75" customHeight="1">
      <c r="A5393" s="5" t="str">
        <f ca="1">IFERROR(__xludf.DUMMYFUNCTION("GOOGLETRANSLATE(B45868,""en"",""pt"")"),"TEMBISA")</f>
        <v>TEMBISA</v>
      </c>
      <c r="B5393" s="17" t="s">
        <v>23990</v>
      </c>
      <c r="C5393" s="17" t="s">
        <v>23842</v>
      </c>
      <c r="D5393" s="17" t="s">
        <v>23855</v>
      </c>
      <c r="E5393" s="10">
        <v>949880</v>
      </c>
      <c r="F5393" s="4" t="str">
        <f>IF(B5393=B5392,"",B5393)</f>
        <v/>
      </c>
    </row>
    <row r="5394" spans="1:6" ht="15.75" customHeight="1">
      <c r="A5394" s="5" t="s">
        <v>18320</v>
      </c>
      <c r="B5394" s="6" t="s">
        <v>18320</v>
      </c>
      <c r="C5394" s="5" t="s">
        <v>17707</v>
      </c>
      <c r="D5394" s="5" t="s">
        <v>17708</v>
      </c>
      <c r="E5394" s="2">
        <v>3516053</v>
      </c>
      <c r="F5394" s="4" t="str">
        <f>IF(B5394=B5393,"",B5394)</f>
        <v>Temapache</v>
      </c>
    </row>
    <row r="5395" spans="1:6" ht="15.75" customHeight="1">
      <c r="A5395" s="5" t="str">
        <f ca="1">IFERROR(__xludf.DUMMYFUNCTION("GOOGLETRANSLATE(B36900,""en"",""pt"")"),"Temapache")</f>
        <v>Temapache</v>
      </c>
      <c r="B5395" s="17" t="s">
        <v>18320</v>
      </c>
      <c r="C5395" s="17" t="s">
        <v>17707</v>
      </c>
      <c r="D5395" s="17" t="s">
        <v>17708</v>
      </c>
      <c r="E5395" s="10">
        <v>3516053</v>
      </c>
      <c r="F5395" s="4" t="str">
        <f>IF(B5395=B5394,"",B5395)</f>
        <v/>
      </c>
    </row>
    <row r="5396" spans="1:6" ht="15.75" customHeight="1">
      <c r="A5396" s="6" t="s">
        <v>9430</v>
      </c>
      <c r="B5396" s="6" t="s">
        <v>9430</v>
      </c>
      <c r="C5396" s="6" t="s">
        <v>9365</v>
      </c>
      <c r="D5396" s="6" t="s">
        <v>9368</v>
      </c>
      <c r="E5396" s="2">
        <v>2294700</v>
      </c>
      <c r="F5396" s="4" t="str">
        <f>IF(B5396=B5395,"",B5396)</f>
        <v>Tema</v>
      </c>
    </row>
    <row r="5397" spans="1:6" ht="15.75" customHeight="1">
      <c r="A5397" s="5" t="str">
        <f ca="1">IFERROR(__xludf.DUMMYFUNCTION("GOOGLETRANSLATE(B30861,""en"",""pt"")"),"Tema")</f>
        <v>Tema</v>
      </c>
      <c r="B5397" s="17" t="s">
        <v>9430</v>
      </c>
      <c r="C5397" s="17" t="s">
        <v>9365</v>
      </c>
      <c r="D5397" s="17" t="s">
        <v>9368</v>
      </c>
      <c r="E5397" s="10">
        <v>2294700</v>
      </c>
      <c r="F5397" s="4" t="str">
        <f>IF(B5397=B5396,"",B5397)</f>
        <v/>
      </c>
    </row>
    <row r="5398" spans="1:6" ht="15.75" customHeight="1">
      <c r="A5398" s="5" t="s">
        <v>14209</v>
      </c>
      <c r="B5398" s="6" t="s">
        <v>14209</v>
      </c>
      <c r="C5398" s="5" t="s">
        <v>13800</v>
      </c>
      <c r="D5398" s="5" t="s">
        <v>13811</v>
      </c>
      <c r="E5398" s="2">
        <v>1990589</v>
      </c>
      <c r="F5398" s="4" t="str">
        <f>IF(B5398=B5397,"",B5398)</f>
        <v>Teluknaga</v>
      </c>
    </row>
    <row r="5399" spans="1:6" ht="15.75" customHeight="1">
      <c r="A5399" s="5" t="str">
        <f ca="1">IFERROR(__xludf.DUMMYFUNCTION("GOOGLETRANSLATE(B31710,""en"",""pt"")"),"Teluknaga")</f>
        <v>Teluknaga</v>
      </c>
      <c r="B5399" s="17" t="s">
        <v>14209</v>
      </c>
      <c r="C5399" s="17" t="s">
        <v>13800</v>
      </c>
      <c r="D5399" s="17" t="s">
        <v>13811</v>
      </c>
      <c r="E5399" s="10">
        <v>1990589</v>
      </c>
      <c r="F5399" s="4" t="str">
        <f>IF(B5399=B5398,"",B5399)</f>
        <v/>
      </c>
    </row>
    <row r="5400" spans="1:6" ht="15.75" customHeight="1">
      <c r="A5400" s="5" t="s">
        <v>14208</v>
      </c>
      <c r="B5400" s="6" t="s">
        <v>14208</v>
      </c>
      <c r="C5400" s="5" t="s">
        <v>13800</v>
      </c>
      <c r="D5400" s="5" t="s">
        <v>13830</v>
      </c>
      <c r="E5400" s="2">
        <v>1213493</v>
      </c>
      <c r="F5400" s="4" t="str">
        <f>IF(B5400=B5399,"",B5400)</f>
        <v>Teluk Nibung</v>
      </c>
    </row>
    <row r="5401" spans="1:6" ht="15.75" customHeight="1">
      <c r="A5401" s="5" t="str">
        <f ca="1">IFERROR(__xludf.DUMMYFUNCTION("GOOGLETRANSLATE(B31353,""en"",""pt"")"),"Teluk Nibung")</f>
        <v>Teluk Nibung</v>
      </c>
      <c r="B5401" s="17" t="s">
        <v>14208</v>
      </c>
      <c r="C5401" s="17" t="s">
        <v>13800</v>
      </c>
      <c r="D5401" s="17" t="s">
        <v>13830</v>
      </c>
      <c r="E5401" s="10">
        <v>1213493</v>
      </c>
      <c r="F5401" s="4" t="str">
        <f>IF(B5401=B5400,"",B5401)</f>
        <v/>
      </c>
    </row>
    <row r="5402" spans="1:6" ht="15.75" customHeight="1">
      <c r="A5402" s="5" t="s">
        <v>17586</v>
      </c>
      <c r="B5402" s="6" t="s">
        <v>17586</v>
      </c>
      <c r="C5402" s="5" t="s">
        <v>17432</v>
      </c>
      <c r="D5402" s="5" t="s">
        <v>17438</v>
      </c>
      <c r="E5402" s="2">
        <v>1735459</v>
      </c>
      <c r="F5402" s="4" t="str">
        <f>IF(B5402=B5401,"",B5402)</f>
        <v>Teluk Intan</v>
      </c>
    </row>
    <row r="5403" spans="1:6" ht="15.75" customHeight="1">
      <c r="A5403" s="5" t="str">
        <f ca="1">IFERROR(__xludf.DUMMYFUNCTION("GOOGLETRANSLATE(B37491,""en"",""pt"")"),"Teluk Intan")</f>
        <v>Teluk Intan</v>
      </c>
      <c r="B5403" s="17" t="s">
        <v>17586</v>
      </c>
      <c r="C5403" s="17" t="s">
        <v>17432</v>
      </c>
      <c r="D5403" s="17" t="s">
        <v>17438</v>
      </c>
      <c r="E5403" s="10">
        <v>1735459</v>
      </c>
      <c r="F5403" s="4" t="str">
        <f>IF(B5403=B5402,"",B5403)</f>
        <v/>
      </c>
    </row>
    <row r="5404" spans="1:6" ht="15.75" customHeight="1">
      <c r="A5404" s="6" t="s">
        <v>9200</v>
      </c>
      <c r="B5404" s="6" t="s">
        <v>9200</v>
      </c>
      <c r="C5404" s="6" t="s">
        <v>8028</v>
      </c>
      <c r="D5404" s="6" t="s">
        <v>8070</v>
      </c>
      <c r="E5404" s="2">
        <v>2823567</v>
      </c>
      <c r="F5404" s="4" t="str">
        <f>IF(B5404=B5403,"",B5404)</f>
        <v>Teltow</v>
      </c>
    </row>
    <row r="5405" spans="1:6" ht="15.75" customHeight="1">
      <c r="A5405" s="5" t="str">
        <f ca="1">IFERROR(__xludf.DUMMYFUNCTION("GOOGLETRANSLATE(B27479,""en"",""pt"")"),"Teltow")</f>
        <v>Teltow</v>
      </c>
      <c r="B5405" s="17" t="s">
        <v>9200</v>
      </c>
      <c r="C5405" s="17" t="s">
        <v>8028</v>
      </c>
      <c r="D5405" s="17" t="s">
        <v>8070</v>
      </c>
      <c r="E5405" s="10">
        <v>2823567</v>
      </c>
      <c r="F5405" s="4" t="str">
        <f>IF(B5405=B5404,"",B5405)</f>
        <v/>
      </c>
    </row>
    <row r="5406" spans="1:6" ht="15.75" customHeight="1">
      <c r="A5406" s="6" t="s">
        <v>17205</v>
      </c>
      <c r="B5406" s="6" t="s">
        <v>17205</v>
      </c>
      <c r="C5406" s="6" t="s">
        <v>17154</v>
      </c>
      <c r="D5406" s="6" t="s">
        <v>17187</v>
      </c>
      <c r="E5406" s="2">
        <v>593926</v>
      </c>
      <c r="F5406" s="4" t="str">
        <f>IF(B5406=B5405,"",B5406)</f>
        <v>Telsiai</v>
      </c>
    </row>
    <row r="5407" spans="1:6" ht="15.75" customHeight="1">
      <c r="A5407" s="5" t="str">
        <f ca="1">IFERROR(__xludf.DUMMYFUNCTION("GOOGLETRANSLATE(B36364,""en"",""pt"")"),"Telsiai")</f>
        <v>Telsiai</v>
      </c>
      <c r="B5407" s="17" t="s">
        <v>17205</v>
      </c>
      <c r="C5407" s="17" t="s">
        <v>17154</v>
      </c>
      <c r="D5407" s="17" t="s">
        <v>34525</v>
      </c>
      <c r="E5407" s="10">
        <v>593926</v>
      </c>
      <c r="F5407" s="4" t="str">
        <f>IF(B5407=B5406,"",B5407)</f>
        <v/>
      </c>
    </row>
    <row r="5408" spans="1:6" ht="15.75" customHeight="1">
      <c r="A5408" s="5" t="s">
        <v>18319</v>
      </c>
      <c r="B5408" s="6" t="s">
        <v>18319</v>
      </c>
      <c r="C5408" s="5" t="s">
        <v>17707</v>
      </c>
      <c r="D5408" s="5" t="s">
        <v>17723</v>
      </c>
      <c r="E5408" s="2">
        <v>3516060</v>
      </c>
      <c r="F5408" s="4" t="str">
        <f>IF(B5408=B5407,"",B5408)</f>
        <v>Teloloapan</v>
      </c>
    </row>
    <row r="5409" spans="1:6" ht="15.75" customHeight="1">
      <c r="A5409" s="5" t="str">
        <f ca="1">IFERROR(__xludf.DUMMYFUNCTION("GOOGLETRANSLATE(B36901,""en"",""pt"")"),"Teloloapan")</f>
        <v>Teloloapan</v>
      </c>
      <c r="B5409" s="17" t="s">
        <v>18319</v>
      </c>
      <c r="C5409" s="17" t="s">
        <v>17707</v>
      </c>
      <c r="D5409" s="17" t="s">
        <v>17723</v>
      </c>
      <c r="E5409" s="10">
        <v>3516060</v>
      </c>
      <c r="F5409" s="4" t="str">
        <f>IF(B5409=B5408,"",B5409)</f>
        <v/>
      </c>
    </row>
    <row r="5410" spans="1:6" ht="15.75" customHeight="1">
      <c r="A5410" s="5" t="s">
        <v>13539</v>
      </c>
      <c r="B5410" s="6" t="s">
        <v>13539</v>
      </c>
      <c r="C5410" s="5" t="s">
        <v>10178</v>
      </c>
      <c r="D5410" s="5" t="s">
        <v>10246</v>
      </c>
      <c r="E5410" s="2">
        <v>1254780</v>
      </c>
      <c r="F5410" s="4" t="str">
        <f>IF(B5410=B5409,"",B5410)</f>
        <v>Tellicherry</v>
      </c>
    </row>
    <row r="5411" spans="1:6" ht="15.75" customHeight="1">
      <c r="A5411" s="5" t="str">
        <f ca="1">IFERROR(__xludf.DUMMYFUNCTION("GOOGLETRANSLATE(B32016,""en"",""pt"")"),"Tellicherry")</f>
        <v>Tellicherry</v>
      </c>
      <c r="B5411" s="17" t="s">
        <v>13539</v>
      </c>
      <c r="C5411" s="17" t="s">
        <v>10178</v>
      </c>
      <c r="D5411" s="17" t="s">
        <v>10246</v>
      </c>
      <c r="E5411" s="10">
        <v>1254780</v>
      </c>
      <c r="F5411" s="4" t="str">
        <f>IF(B5411=B5410,"",B5411)</f>
        <v/>
      </c>
    </row>
    <row r="5412" spans="1:6" ht="15.75" customHeight="1">
      <c r="A5412" s="5" t="str">
        <f ca="1">IFERROR(__xludf.DUMMYFUNCTION("GOOGLETRANSLATE(B30923,""en"",""pt"")"),"Télimélé")</f>
        <v>Télimélé</v>
      </c>
      <c r="B5412" s="17" t="s">
        <v>32663</v>
      </c>
      <c r="C5412" s="17" t="s">
        <v>9826</v>
      </c>
      <c r="D5412" s="17" t="s">
        <v>9831</v>
      </c>
      <c r="E5412" s="10">
        <v>2414926</v>
      </c>
      <c r="F5412" s="4" t="str">
        <f>IF(B5412=B5411,"",B5412)</f>
        <v>Télimélé</v>
      </c>
    </row>
    <row r="5413" spans="1:6" ht="15.75" customHeight="1">
      <c r="A5413" s="5" t="str">
        <f ca="1">IFERROR(__xludf.DUMMYFUNCTION("GOOGLETRANSLATE(B32017,""en"",""pt"")"),"Tellhāra")</f>
        <v>Tellhāra</v>
      </c>
      <c r="B5413" s="17" t="s">
        <v>33011</v>
      </c>
      <c r="C5413" s="17" t="s">
        <v>10178</v>
      </c>
      <c r="D5413" s="17" t="s">
        <v>10214</v>
      </c>
      <c r="E5413" s="10">
        <v>1254787</v>
      </c>
      <c r="F5413" s="4" t="str">
        <f>IF(B5413=B5412,"",B5413)</f>
        <v>Telhāra</v>
      </c>
    </row>
    <row r="5414" spans="1:6" ht="15.75" customHeight="1">
      <c r="A5414" s="6" t="s">
        <v>13537</v>
      </c>
      <c r="B5414" s="6" t="s">
        <v>13538</v>
      </c>
      <c r="C5414" s="6" t="s">
        <v>10178</v>
      </c>
      <c r="D5414" s="6" t="s">
        <v>10214</v>
      </c>
      <c r="E5414" s="2">
        <v>1254787</v>
      </c>
      <c r="F5414" s="4" t="str">
        <f>IF(B5414=B5413,"",B5414)</f>
        <v>TelhÄra</v>
      </c>
    </row>
    <row r="5415" spans="1:6" ht="15.75" customHeight="1">
      <c r="A5415" s="6" t="s">
        <v>9199</v>
      </c>
      <c r="B5415" s="6" t="s">
        <v>9199</v>
      </c>
      <c r="C5415" s="6" t="s">
        <v>8028</v>
      </c>
      <c r="D5415" s="6" t="s">
        <v>8029</v>
      </c>
      <c r="E5415" s="2">
        <v>2823590</v>
      </c>
      <c r="F5415" s="4" t="str">
        <f>IF(B5415=B5414,"",B5415)</f>
        <v>Telgte</v>
      </c>
    </row>
    <row r="5416" spans="1:6" ht="15.75" customHeight="1">
      <c r="A5416" s="5" t="str">
        <f ca="1">IFERROR(__xludf.DUMMYFUNCTION("GOOGLETRANSLATE(B27480,""en"",""pt"")"),"Telgte")</f>
        <v>Telgte</v>
      </c>
      <c r="B5416" s="17" t="s">
        <v>9199</v>
      </c>
      <c r="C5416" s="17" t="s">
        <v>8028</v>
      </c>
      <c r="D5416" s="17" t="s">
        <v>8029</v>
      </c>
      <c r="E5416" s="10">
        <v>2823590</v>
      </c>
      <c r="F5416" s="4" t="str">
        <f>IF(B5416=B5415,"",B5416)</f>
        <v/>
      </c>
    </row>
    <row r="5417" spans="1:6" ht="15.75" customHeight="1">
      <c r="A5417" s="6" t="s">
        <v>27714</v>
      </c>
      <c r="B5417" s="6" t="s">
        <v>27714</v>
      </c>
      <c r="C5417" s="6" t="s">
        <v>27234</v>
      </c>
      <c r="D5417" s="6" t="s">
        <v>27241</v>
      </c>
      <c r="E5417" s="2">
        <v>3345439</v>
      </c>
      <c r="F5417" s="4" t="str">
        <f>IF(B5417=B5416,"",B5417)</f>
        <v>Telford</v>
      </c>
    </row>
    <row r="5418" spans="1:6" ht="15.75" customHeight="1">
      <c r="A5418" s="5" t="str">
        <f ca="1">IFERROR(__xludf.DUMMYFUNCTION("GOOGLETRANSLATE(B30781,""en"",""pt"")"),"Telford")</f>
        <v>Telford</v>
      </c>
      <c r="B5418" s="17" t="s">
        <v>27714</v>
      </c>
      <c r="C5418" s="17" t="s">
        <v>27234</v>
      </c>
      <c r="D5418" s="17" t="s">
        <v>27241</v>
      </c>
      <c r="E5418" s="10">
        <v>3345439</v>
      </c>
      <c r="F5418" s="4" t="str">
        <f>IF(B5418=B5417,"",B5418)</f>
        <v/>
      </c>
    </row>
    <row r="5419" spans="1:6" ht="15.75" customHeight="1">
      <c r="A5419" s="5" t="s">
        <v>476</v>
      </c>
      <c r="B5419" s="6" t="s">
        <v>476</v>
      </c>
      <c r="C5419" s="5" t="s">
        <v>153</v>
      </c>
      <c r="D5419" s="5" t="s">
        <v>306</v>
      </c>
      <c r="E5419" s="2">
        <v>2477255</v>
      </c>
      <c r="F5419" s="4" t="str">
        <f>IF(B5419=B5418,"",B5419)</f>
        <v>Telerghma</v>
      </c>
    </row>
    <row r="5420" spans="1:6" ht="15.75" customHeight="1">
      <c r="A5420" s="5" t="str">
        <f ca="1">IFERROR(__xludf.DUMMYFUNCTION("GOOGLETRANSLATE(B28520,""en"",""pt"")"),"Telerghma")</f>
        <v>Telerghma</v>
      </c>
      <c r="B5420" s="17" t="s">
        <v>476</v>
      </c>
      <c r="C5420" s="17" t="s">
        <v>153</v>
      </c>
      <c r="D5420" s="17" t="s">
        <v>306</v>
      </c>
      <c r="E5420" s="10">
        <v>2477255</v>
      </c>
      <c r="F5420" s="4" t="str">
        <f>IF(B5420=B5419,"",B5420)</f>
        <v/>
      </c>
    </row>
    <row r="5421" spans="1:6" ht="15.75" customHeight="1">
      <c r="A5421" s="5" t="str">
        <f ca="1">IFERROR(__xludf.DUMMYFUNCTION("GOOGLETRANSLATE(B24497,""en"",""pt"")"),"Telêmaco Borba")</f>
        <v>Telêmaco Borba</v>
      </c>
      <c r="B5421" s="17" t="s">
        <v>31456</v>
      </c>
      <c r="C5421" s="17" t="s">
        <v>1905</v>
      </c>
      <c r="D5421" s="17" t="s">
        <v>727</v>
      </c>
      <c r="E5421" s="10">
        <v>3446652</v>
      </c>
      <c r="F5421" s="4" t="str">
        <f>IF(B5421=B5420,"",B5421)</f>
        <v>Telêmaco Borba</v>
      </c>
    </row>
    <row r="5422" spans="1:6" ht="15.75" customHeight="1">
      <c r="A5422" s="6" t="s">
        <v>24842</v>
      </c>
      <c r="B5422" s="6" t="s">
        <v>24842</v>
      </c>
      <c r="C5422" s="6" t="s">
        <v>24200</v>
      </c>
      <c r="D5422" s="6" t="s">
        <v>24212</v>
      </c>
      <c r="E5422" s="2">
        <v>2510542</v>
      </c>
      <c r="F5422" s="4" t="str">
        <f>IF(B5422=B5421,"",B5422)</f>
        <v>Telde</v>
      </c>
    </row>
    <row r="5423" spans="1:6" ht="15.75" customHeight="1">
      <c r="A5423" s="5" t="str">
        <f ca="1">IFERROR(__xludf.DUMMYFUNCTION("GOOGLETRANSLATE(B28975,""en"",""pt"")"),"Telde")</f>
        <v>Telde</v>
      </c>
      <c r="B5423" s="17" t="s">
        <v>24842</v>
      </c>
      <c r="C5423" s="17" t="s">
        <v>24200</v>
      </c>
      <c r="D5423" s="17" t="s">
        <v>24212</v>
      </c>
      <c r="E5423" s="10">
        <v>2510542</v>
      </c>
      <c r="F5423" s="4" t="str">
        <f>IF(B5423=B5422,"",B5423)</f>
        <v/>
      </c>
    </row>
    <row r="5424" spans="1:6" ht="15.75" customHeight="1">
      <c r="A5424" s="6" t="s">
        <v>8018</v>
      </c>
      <c r="B5424" s="6" t="s">
        <v>8018</v>
      </c>
      <c r="C5424" s="6" t="s">
        <v>7988</v>
      </c>
      <c r="D5424" s="6" t="s">
        <v>8019</v>
      </c>
      <c r="E5424" s="2">
        <v>611694</v>
      </c>
      <c r="F5424" s="4" t="str">
        <f>IF(B5424=B5423,"",B5424)</f>
        <v>Telavi</v>
      </c>
    </row>
    <row r="5425" spans="1:6" ht="15.75" customHeight="1">
      <c r="A5425" s="5" t="str">
        <f ca="1">IFERROR(__xludf.DUMMYFUNCTION("GOOGLETRANSLATE(B30832,""en"",""pt"")"),"Telavi")</f>
        <v>Telavi</v>
      </c>
      <c r="B5425" s="17" t="s">
        <v>8018</v>
      </c>
      <c r="C5425" s="17" t="s">
        <v>7988</v>
      </c>
      <c r="D5425" s="17" t="s">
        <v>8019</v>
      </c>
      <c r="E5425" s="10">
        <v>611694</v>
      </c>
      <c r="F5425" s="4" t="str">
        <f>IF(B5425=B5424,"",B5425)</f>
        <v/>
      </c>
    </row>
    <row r="5426" spans="1:6" ht="15.75" customHeight="1">
      <c r="A5426" s="5" t="s">
        <v>21045</v>
      </c>
      <c r="B5426" s="6" t="s">
        <v>21045</v>
      </c>
      <c r="C5426" s="5" t="s">
        <v>20598</v>
      </c>
      <c r="D5426" s="5" t="s">
        <v>20599</v>
      </c>
      <c r="E5426" s="2">
        <v>1682537</v>
      </c>
      <c r="F5426" s="4" t="str">
        <f>IF(B5426=B5425,"",B5426)</f>
        <v>Telabastagan</v>
      </c>
    </row>
    <row r="5427" spans="1:6" ht="15.75" customHeight="1">
      <c r="A5427" s="5" t="str">
        <f ca="1">IFERROR(__xludf.DUMMYFUNCTION("GOOGLETRANSLATE(B38441,""en"",""pt"")"),"Telabastagan")</f>
        <v>Telabastagan</v>
      </c>
      <c r="B5427" s="17" t="s">
        <v>21045</v>
      </c>
      <c r="C5427" s="17" t="s">
        <v>20598</v>
      </c>
      <c r="D5427" s="17" t="s">
        <v>20599</v>
      </c>
      <c r="E5427" s="10">
        <v>1682537</v>
      </c>
      <c r="F5427" s="4" t="str">
        <f>IF(B5427=B5426,"",B5427)</f>
        <v/>
      </c>
    </row>
    <row r="5428" spans="1:6" ht="15.75" customHeight="1">
      <c r="A5428" s="5" t="s">
        <v>3541</v>
      </c>
      <c r="B5428" s="6" t="s">
        <v>3542</v>
      </c>
      <c r="C5428" s="5" t="s">
        <v>1905</v>
      </c>
      <c r="D5428" s="5" t="s">
        <v>728</v>
      </c>
      <c r="E5428" s="2">
        <v>3446652</v>
      </c>
      <c r="F5428" s="4" t="str">
        <f>IF(B5428=B5427,"",B5428)</f>
        <v>TelÃªmaco Borba</v>
      </c>
    </row>
    <row r="5429" spans="1:6" ht="15.75" customHeight="1">
      <c r="A5429" s="6" t="s">
        <v>9938</v>
      </c>
      <c r="B5429" s="6" t="s">
        <v>9938</v>
      </c>
      <c r="C5429" s="6" t="s">
        <v>9907</v>
      </c>
      <c r="D5429" s="6" t="s">
        <v>9922</v>
      </c>
      <c r="E5429" s="2">
        <v>3600931</v>
      </c>
      <c r="F5429" s="4" t="str">
        <f>IF(B5429=B5428,"",B5429)</f>
        <v>Tela</v>
      </c>
    </row>
    <row r="5430" spans="1:6" ht="15.75" customHeight="1">
      <c r="A5430" s="5" t="str">
        <f ca="1">IFERROR(__xludf.DUMMYFUNCTION("GOOGLETRANSLATE(B31167,""en"",""pt"")"),"Tela")</f>
        <v>Tela</v>
      </c>
      <c r="B5430" s="17" t="s">
        <v>9938</v>
      </c>
      <c r="C5430" s="17" t="s">
        <v>9907</v>
      </c>
      <c r="D5430" s="17" t="s">
        <v>32794</v>
      </c>
      <c r="E5430" s="10">
        <v>3600931</v>
      </c>
      <c r="F5430" s="4" t="str">
        <f>IF(B5430=B5429,"",B5430)</f>
        <v/>
      </c>
    </row>
    <row r="5431" spans="1:6" ht="15.75" customHeight="1">
      <c r="A5431" s="6" t="s">
        <v>14786</v>
      </c>
      <c r="B5431" s="6" t="s">
        <v>14786</v>
      </c>
      <c r="C5431" s="6" t="s">
        <v>14773</v>
      </c>
      <c r="D5431" s="6" t="s">
        <v>14786</v>
      </c>
      <c r="E5431" s="2">
        <v>293397</v>
      </c>
      <c r="F5431" s="4" t="str">
        <f>IF(B5431=B5430,"",B5431)</f>
        <v>Tel Aviv</v>
      </c>
    </row>
    <row r="5432" spans="1:6" ht="15.75" customHeight="1">
      <c r="A5432" s="5" t="str">
        <f ca="1">IFERROR(__xludf.DUMMYFUNCTION("GOOGLETRANSLATE(B31764,""en"",""pt"")"),"Tel Aviv")</f>
        <v>Tel Aviv</v>
      </c>
      <c r="B5432" s="17" t="s">
        <v>14786</v>
      </c>
      <c r="C5432" s="17" t="s">
        <v>14773</v>
      </c>
      <c r="D5432" s="17" t="s">
        <v>14786</v>
      </c>
      <c r="E5432" s="10">
        <v>293397</v>
      </c>
      <c r="F5432" s="4" t="str">
        <f>IF(B5432=B5431,"",B5432)</f>
        <v/>
      </c>
    </row>
    <row r="5433" spans="1:6" ht="15.75" customHeight="1">
      <c r="A5433" s="5" t="s">
        <v>23180</v>
      </c>
      <c r="B5433" s="6" t="s">
        <v>23181</v>
      </c>
      <c r="C5433" s="5" t="s">
        <v>22070</v>
      </c>
      <c r="D5433" s="5" t="s">
        <v>22127</v>
      </c>
      <c r="E5433" s="2">
        <v>483826</v>
      </c>
      <c r="F5433" s="4" t="str">
        <f>IF(B5433=B5432,"",B5433)</f>
        <v>Tekstilâ€™shchiki</v>
      </c>
    </row>
    <row r="5434" spans="1:6" ht="15.75" customHeight="1">
      <c r="A5434" s="5" t="str">
        <f ca="1">IFERROR(__xludf.DUMMYFUNCTION("GOOGLETRANSLATE(B40040,""en"",""pt"")"),"Tekstil'shchiki")</f>
        <v>Tekstil'shchiki</v>
      </c>
      <c r="B5434" s="17" t="s">
        <v>35447</v>
      </c>
      <c r="C5434" s="17" t="s">
        <v>22070</v>
      </c>
      <c r="D5434" s="17" t="s">
        <v>22127</v>
      </c>
      <c r="E5434" s="10">
        <v>483826</v>
      </c>
      <c r="F5434" s="4" t="str">
        <f>IF(B5434=B5433,"",B5434)</f>
        <v>Tekstil’shchiki</v>
      </c>
    </row>
    <row r="5435" spans="1:6" ht="15.75" customHeight="1">
      <c r="A5435" s="5" t="str">
        <f ca="1">IFERROR(__xludf.DUMMYFUNCTION("GOOGLETRANSLATE(B23694,""en"",""pt"")"),"Teknāf")</f>
        <v>Teknāf</v>
      </c>
      <c r="B5435" s="17" t="s">
        <v>31256</v>
      </c>
      <c r="C5435" s="17" t="s">
        <v>1296</v>
      </c>
      <c r="D5435" s="17" t="s">
        <v>1302</v>
      </c>
      <c r="E5435" s="10">
        <v>1185095</v>
      </c>
      <c r="F5435" s="4" t="str">
        <f>IF(B5435=B5434,"",B5435)</f>
        <v>Teknāf</v>
      </c>
    </row>
    <row r="5436" spans="1:6" ht="15.75" customHeight="1">
      <c r="A5436" s="6" t="s">
        <v>1441</v>
      </c>
      <c r="B5436" s="6" t="s">
        <v>1442</v>
      </c>
      <c r="C5436" s="6" t="s">
        <v>1296</v>
      </c>
      <c r="D5436" s="6" t="s">
        <v>1302</v>
      </c>
      <c r="E5436" s="2">
        <v>1185095</v>
      </c>
      <c r="F5436" s="4" t="str">
        <f>IF(B5436=B5435,"",B5436)</f>
        <v>TeknÄf</v>
      </c>
    </row>
    <row r="5437" spans="1:6" ht="15.75" customHeight="1">
      <c r="A5437" s="5" t="str">
        <f ca="1">IFERROR(__xludf.DUMMYFUNCTION("GOOGLETRANSLATE(B42108,""en"",""pt"")"),"Tekkeköy")</f>
        <v>Tekkeköy</v>
      </c>
      <c r="B5437" s="17" t="s">
        <v>35917</v>
      </c>
      <c r="C5437" s="17" t="s">
        <v>26201</v>
      </c>
      <c r="D5437" s="17" t="s">
        <v>26232</v>
      </c>
      <c r="E5437" s="10">
        <v>738907</v>
      </c>
      <c r="F5437" s="4" t="str">
        <f>IF(B5437=B5436,"",B5437)</f>
        <v>Tekkeköy</v>
      </c>
    </row>
    <row r="5438" spans="1:6" ht="15.75" customHeight="1">
      <c r="A5438" s="6" t="s">
        <v>26726</v>
      </c>
      <c r="B5438" s="6" t="s">
        <v>26727</v>
      </c>
      <c r="C5438" s="6" t="s">
        <v>26201</v>
      </c>
      <c r="D5438" s="6" t="s">
        <v>26232</v>
      </c>
      <c r="E5438" s="2">
        <v>738907</v>
      </c>
      <c r="F5438" s="4" t="str">
        <f>IF(B5438=B5437,"",B5438)</f>
        <v>TekkekÃ¶y</v>
      </c>
    </row>
    <row r="5439" spans="1:6" ht="15.75" customHeight="1">
      <c r="A5439" s="6" t="s">
        <v>13536</v>
      </c>
      <c r="B5439" s="6" t="s">
        <v>13536</v>
      </c>
      <c r="C5439" s="6" t="s">
        <v>10178</v>
      </c>
      <c r="D5439" s="6" t="s">
        <v>10190</v>
      </c>
      <c r="E5439" s="2">
        <v>1254794</v>
      </c>
      <c r="F5439" s="4" t="str">
        <f>IF(B5439=B5438,"",B5439)</f>
        <v>Tekkali</v>
      </c>
    </row>
    <row r="5440" spans="1:6" ht="15.75" customHeight="1">
      <c r="A5440" s="5" t="str">
        <f ca="1">IFERROR(__xludf.DUMMYFUNCTION("GOOGLETRANSLATE(B32018,""en"",""pt"")"),"Tekkali")</f>
        <v>Tekkali</v>
      </c>
      <c r="B5440" s="17" t="s">
        <v>13536</v>
      </c>
      <c r="C5440" s="17" t="s">
        <v>10178</v>
      </c>
      <c r="D5440" s="17" t="s">
        <v>10190</v>
      </c>
      <c r="E5440" s="10">
        <v>1254794</v>
      </c>
      <c r="F5440" s="4" t="str">
        <f>IF(B5440=B5439,"",B5440)</f>
        <v/>
      </c>
    </row>
    <row r="5441" spans="1:6" ht="15.75" customHeight="1">
      <c r="A5441" s="5" t="s">
        <v>13535</v>
      </c>
      <c r="B5441" s="6" t="s">
        <v>13535</v>
      </c>
      <c r="C5441" s="5" t="s">
        <v>10178</v>
      </c>
      <c r="D5441" s="5" t="s">
        <v>10252</v>
      </c>
      <c r="E5441" s="2">
        <v>1254795</v>
      </c>
      <c r="F5441" s="4" t="str">
        <f>IF(B5441=B5440,"",B5441)</f>
        <v>Tekkalakote</v>
      </c>
    </row>
    <row r="5442" spans="1:6" ht="15.75" customHeight="1">
      <c r="A5442" s="5" t="str">
        <f ca="1">IFERROR(__xludf.DUMMYFUNCTION("GOOGLETRANSLATE(B32019,""en"",""pt"")"),"Tekkalakote")</f>
        <v>Tekkalakote</v>
      </c>
      <c r="B5442" s="17" t="s">
        <v>13535</v>
      </c>
      <c r="C5442" s="17" t="s">
        <v>10178</v>
      </c>
      <c r="D5442" s="17" t="s">
        <v>10252</v>
      </c>
      <c r="E5442" s="10">
        <v>1254795</v>
      </c>
      <c r="F5442" s="4" t="str">
        <f>IF(B5442=B5441,"",B5442)</f>
        <v/>
      </c>
    </row>
    <row r="5443" spans="1:6" ht="15.75" customHeight="1">
      <c r="A5443" s="6" t="s">
        <v>26725</v>
      </c>
      <c r="B5443" s="6" t="s">
        <v>26725</v>
      </c>
      <c r="C5443" s="6" t="s">
        <v>26201</v>
      </c>
      <c r="D5443" s="6" t="s">
        <v>26308</v>
      </c>
      <c r="E5443" s="2">
        <v>299445</v>
      </c>
      <c r="F5443" s="4" t="str">
        <f>IF(B5443=B5442,"",B5443)</f>
        <v>Tekirova</v>
      </c>
    </row>
    <row r="5444" spans="1:6" ht="15.75" customHeight="1">
      <c r="A5444" s="5" t="str">
        <f ca="1">IFERROR(__xludf.DUMMYFUNCTION("GOOGLETRANSLATE(B41884,""en"",""pt"")"),"Tekirova")</f>
        <v>Tekirova</v>
      </c>
      <c r="B5444" s="17" t="s">
        <v>26725</v>
      </c>
      <c r="C5444" s="17" t="s">
        <v>26201</v>
      </c>
      <c r="D5444" s="17" t="s">
        <v>26308</v>
      </c>
      <c r="E5444" s="10">
        <v>299445</v>
      </c>
      <c r="F5444" s="4" t="str">
        <f>IF(B5444=B5443,"",B5444)</f>
        <v/>
      </c>
    </row>
    <row r="5445" spans="1:6" ht="15.75" customHeight="1">
      <c r="A5445" s="5" t="str">
        <f ca="1">IFERROR(__xludf.DUMMYFUNCTION("GOOGLETRANSLATE(B42109,""en"",""pt"")"),"Tekirdağ")</f>
        <v>Tekirdağ</v>
      </c>
      <c r="B5445" s="17" t="s">
        <v>35918</v>
      </c>
      <c r="C5445" s="17" t="s">
        <v>26201</v>
      </c>
      <c r="D5445" s="17" t="s">
        <v>35918</v>
      </c>
      <c r="E5445" s="10">
        <v>738927</v>
      </c>
      <c r="F5445" s="4" t="str">
        <f>IF(B5445=B5444,"",B5445)</f>
        <v>Tekirdağ</v>
      </c>
    </row>
    <row r="5446" spans="1:6" ht="15.75" customHeight="1">
      <c r="A5446" s="6" t="s">
        <v>26724</v>
      </c>
      <c r="B5446" s="6" t="s">
        <v>26251</v>
      </c>
      <c r="C5446" s="6" t="s">
        <v>26201</v>
      </c>
      <c r="D5446" s="6" t="s">
        <v>26251</v>
      </c>
      <c r="E5446" s="2">
        <v>738927</v>
      </c>
      <c r="F5446" s="4" t="str">
        <f>IF(B5446=B5445,"",B5446)</f>
        <v>TekirdaÄŸ</v>
      </c>
    </row>
    <row r="5447" spans="1:6" ht="15.75" customHeight="1">
      <c r="A5447" s="6" t="s">
        <v>16762</v>
      </c>
      <c r="B5447" s="6" t="s">
        <v>16762</v>
      </c>
      <c r="C5447" s="6" t="s">
        <v>16671</v>
      </c>
      <c r="D5447" s="6" t="s">
        <v>16705</v>
      </c>
      <c r="E5447" s="2">
        <v>1518296</v>
      </c>
      <c r="F5447" s="4" t="str">
        <f>IF(B5447=B5446,"",B5447)</f>
        <v>Tekeli</v>
      </c>
    </row>
    <row r="5448" spans="1:6" ht="15.75" customHeight="1">
      <c r="A5448" s="5" t="str">
        <f ca="1">IFERROR(__xludf.DUMMYFUNCTION("GOOGLETRANSLATE(B36211,""en"",""pt"")"),"Tekeli")</f>
        <v>Tekeli</v>
      </c>
      <c r="B5448" s="17" t="s">
        <v>16762</v>
      </c>
      <c r="C5448" s="17" t="s">
        <v>16671</v>
      </c>
      <c r="D5448" s="17" t="s">
        <v>16705</v>
      </c>
      <c r="E5448" s="10">
        <v>1518296</v>
      </c>
      <c r="F5448" s="4" t="str">
        <f>IF(B5448=B5447,"",B5448)</f>
        <v/>
      </c>
    </row>
    <row r="5449" spans="1:6" ht="15.75" customHeight="1">
      <c r="A5449" s="5" t="str">
        <f ca="1">IFERROR(__xludf.DUMMYFUNCTION("GOOGLETRANSLATE(B32020,""en"",""pt"")"),"Tekāri")</f>
        <v>Tekāri</v>
      </c>
      <c r="B5449" s="17" t="s">
        <v>33012</v>
      </c>
      <c r="C5449" s="17" t="s">
        <v>10178</v>
      </c>
      <c r="D5449" s="17" t="s">
        <v>10317</v>
      </c>
      <c r="E5449" s="10">
        <v>1254797</v>
      </c>
      <c r="F5449" s="4" t="str">
        <f>IF(B5449=B5448,"",B5449)</f>
        <v>Tekāri</v>
      </c>
    </row>
    <row r="5450" spans="1:6" ht="15.75" customHeight="1">
      <c r="A5450" s="5" t="str">
        <f ca="1">IFERROR(__xludf.DUMMYFUNCTION("GOOGLETRANSLATE(B36795,""en"",""pt"")"),"Tékane")</f>
        <v>Tékane</v>
      </c>
      <c r="B5450" s="17" t="s">
        <v>34645</v>
      </c>
      <c r="C5450" s="17" t="s">
        <v>17650</v>
      </c>
      <c r="D5450" s="17" t="s">
        <v>17667</v>
      </c>
      <c r="E5450" s="10">
        <v>2376189</v>
      </c>
      <c r="F5450" s="4" t="str">
        <f>IF(B5450=B5449,"",B5450)</f>
        <v>Tékane</v>
      </c>
    </row>
    <row r="5451" spans="1:6" ht="15.75" customHeight="1">
      <c r="A5451" s="6" t="s">
        <v>13533</v>
      </c>
      <c r="B5451" s="6" t="s">
        <v>13534</v>
      </c>
      <c r="C5451" s="6" t="s">
        <v>10178</v>
      </c>
      <c r="D5451" s="6" t="s">
        <v>10317</v>
      </c>
      <c r="E5451" s="2">
        <v>1254797</v>
      </c>
      <c r="F5451" s="4" t="str">
        <f>IF(B5451=B5450,"",B5451)</f>
        <v>TekÄri</v>
      </c>
    </row>
    <row r="5452" spans="1:6" ht="15.75" customHeight="1">
      <c r="A5452" s="5" t="s">
        <v>18318</v>
      </c>
      <c r="B5452" s="6" t="s">
        <v>18318</v>
      </c>
      <c r="C5452" s="5" t="s">
        <v>17707</v>
      </c>
      <c r="D5452" s="5" t="s">
        <v>17736</v>
      </c>
      <c r="E5452" s="2">
        <v>3982121</v>
      </c>
      <c r="F5452" s="4" t="str">
        <f>IF(B5452=B5451,"",B5452)</f>
        <v>Tejupilco de Hidalgo</v>
      </c>
    </row>
    <row r="5453" spans="1:6" ht="15.75" customHeight="1">
      <c r="A5453" s="5" t="str">
        <f ca="1">IFERROR(__xludf.DUMMYFUNCTION("GOOGLETRANSLATE(B37171,""en"",""pt"")"),"Tejupilco de Hidalgo")</f>
        <v>Tejupilco de Hidalgo</v>
      </c>
      <c r="B5453" s="17" t="s">
        <v>18318</v>
      </c>
      <c r="C5453" s="17" t="s">
        <v>17707</v>
      </c>
      <c r="D5453" s="17" t="s">
        <v>20902</v>
      </c>
      <c r="E5453" s="10">
        <v>3982121</v>
      </c>
      <c r="F5453" s="4" t="str">
        <f>IF(B5453=B5452,"",B5453)</f>
        <v/>
      </c>
    </row>
    <row r="5454" spans="1:6" ht="15.75" customHeight="1">
      <c r="A5454" s="6" t="s">
        <v>26804</v>
      </c>
      <c r="B5454" s="6" t="s">
        <v>26804</v>
      </c>
      <c r="C5454" s="6" t="s">
        <v>26774</v>
      </c>
      <c r="D5454" s="6" t="s">
        <v>26775</v>
      </c>
      <c r="E5454" s="2">
        <v>1218239</v>
      </c>
      <c r="F5454" s="4" t="str">
        <f>IF(B5454=B5453,"",B5454)</f>
        <v>Tejen</v>
      </c>
    </row>
    <row r="5455" spans="1:6" ht="15.75" customHeight="1">
      <c r="A5455" s="5" t="str">
        <f ca="1">IFERROR(__xludf.DUMMYFUNCTION("GOOGLETRANSLATE(B41781,""en"",""pt"")"),"Tejen")</f>
        <v>Tejen</v>
      </c>
      <c r="B5455" s="17" t="s">
        <v>26804</v>
      </c>
      <c r="C5455" s="17" t="s">
        <v>26774</v>
      </c>
      <c r="D5455" s="17" t="s">
        <v>26775</v>
      </c>
      <c r="E5455" s="10">
        <v>1218239</v>
      </c>
      <c r="F5455" s="4" t="str">
        <f>IF(B5455=B5454,"",B5455)</f>
        <v/>
      </c>
    </row>
    <row r="5456" spans="1:6" ht="15.75" customHeight="1">
      <c r="A5456" s="6" t="s">
        <v>5707</v>
      </c>
      <c r="B5456" s="6" t="s">
        <v>5707</v>
      </c>
      <c r="C5456" s="6" t="s">
        <v>5665</v>
      </c>
      <c r="D5456" s="6" t="s">
        <v>5668</v>
      </c>
      <c r="E5456" s="2">
        <v>3621335</v>
      </c>
      <c r="F5456" s="4" t="str">
        <f>IF(B5456=B5455,"",B5456)</f>
        <v>Tejar</v>
      </c>
    </row>
    <row r="5457" spans="1:6" ht="15.75" customHeight="1">
      <c r="A5457" s="5" t="str">
        <f ca="1">IFERROR(__xludf.DUMMYFUNCTION("GOOGLETRANSLATE(B27061,""en"",""pt"")"),"Tejar")</f>
        <v>Tejar</v>
      </c>
      <c r="B5457" s="17" t="s">
        <v>5707</v>
      </c>
      <c r="C5457" s="17" t="s">
        <v>5665</v>
      </c>
      <c r="D5457" s="17" t="s">
        <v>5697</v>
      </c>
      <c r="E5457" s="10">
        <v>3621335</v>
      </c>
      <c r="F5457" s="4" t="str">
        <f>IF(B5457=B5456,"",B5457)</f>
        <v/>
      </c>
    </row>
    <row r="5458" spans="1:6" ht="15.75" customHeight="1">
      <c r="A5458" s="5" t="str">
        <f ca="1">IFERROR(__xludf.DUMMYFUNCTION("GOOGLETRANSLATE(B36903,""en"",""pt"")"),"Tehuacán")</f>
        <v>Tehuacán</v>
      </c>
      <c r="B5458" s="17" t="s">
        <v>34672</v>
      </c>
      <c r="C5458" s="17" t="s">
        <v>17707</v>
      </c>
      <c r="D5458" s="17" t="s">
        <v>17717</v>
      </c>
      <c r="E5458" s="10">
        <v>3516109</v>
      </c>
      <c r="F5458" s="4" t="str">
        <f>IF(B5458=B5457,"",B5458)</f>
        <v>Tehuacán</v>
      </c>
    </row>
    <row r="5459" spans="1:6" ht="15.75" customHeight="1">
      <c r="A5459" s="6" t="s">
        <v>18316</v>
      </c>
      <c r="B5459" s="6" t="s">
        <v>18317</v>
      </c>
      <c r="C5459" s="6" t="s">
        <v>17707</v>
      </c>
      <c r="D5459" s="6" t="s">
        <v>17717</v>
      </c>
      <c r="E5459" s="2">
        <v>3516109</v>
      </c>
      <c r="F5459" s="4" t="str">
        <f>IF(B5459=B5458,"",B5459)</f>
        <v>TehuacÃ¡n</v>
      </c>
    </row>
    <row r="5460" spans="1:6" ht="15.75" customHeight="1">
      <c r="A5460" s="6" t="s">
        <v>13532</v>
      </c>
      <c r="B5460" s="6" t="s">
        <v>13532</v>
      </c>
      <c r="C5460" s="6" t="s">
        <v>10178</v>
      </c>
      <c r="D5460" s="6" t="s">
        <v>10299</v>
      </c>
      <c r="E5460" s="2">
        <v>1254808</v>
      </c>
      <c r="F5460" s="4" t="str">
        <f>IF(B5460=B5459,"",B5460)</f>
        <v>Tehri</v>
      </c>
    </row>
    <row r="5461" spans="1:6" ht="15.75" customHeight="1">
      <c r="A5461" s="5" t="str">
        <f ca="1">IFERROR(__xludf.DUMMYFUNCTION("GOOGLETRANSLATE(B32021,""en"",""pt"")"),"Tehri")</f>
        <v>Tehri</v>
      </c>
      <c r="B5461" s="17" t="s">
        <v>13532</v>
      </c>
      <c r="C5461" s="17" t="s">
        <v>10178</v>
      </c>
      <c r="D5461" s="17" t="s">
        <v>10299</v>
      </c>
      <c r="E5461" s="10">
        <v>1254808</v>
      </c>
      <c r="F5461" s="4" t="str">
        <f>IF(B5461=B5460,"",B5461)</f>
        <v/>
      </c>
    </row>
    <row r="5462" spans="1:6" ht="15.75" customHeight="1">
      <c r="A5462" s="6" t="s">
        <v>14575</v>
      </c>
      <c r="B5462" s="6" t="s">
        <v>14576</v>
      </c>
      <c r="C5462" s="6" t="s">
        <v>14240</v>
      </c>
      <c r="D5462" s="6" t="s">
        <v>14358</v>
      </c>
      <c r="E5462" s="2">
        <v>112931</v>
      </c>
      <c r="F5462" s="4" t="str">
        <f>IF(B5462=B5461,"",B5462)</f>
        <v>Tehran</v>
      </c>
    </row>
    <row r="5463" spans="1:6" ht="15.75" customHeight="1">
      <c r="A5463" s="5" t="str">
        <f ca="1">IFERROR(__xludf.DUMMYFUNCTION("GOOGLETRANSLATE(B34355,""en"",""pt"")"),"Teerã")</f>
        <v>Teerã</v>
      </c>
      <c r="B5463" s="17" t="s">
        <v>14576</v>
      </c>
      <c r="C5463" s="17" t="s">
        <v>14240</v>
      </c>
      <c r="D5463" s="17" t="s">
        <v>34125</v>
      </c>
      <c r="E5463" s="10">
        <v>112931</v>
      </c>
      <c r="F5463" s="4" t="str">
        <f>IF(B5463=B5462,"",B5463)</f>
        <v/>
      </c>
    </row>
    <row r="5464" spans="1:6" ht="15.75" customHeight="1">
      <c r="A5464" s="6" t="s">
        <v>24841</v>
      </c>
      <c r="B5464" s="6" t="s">
        <v>24841</v>
      </c>
      <c r="C5464" s="6" t="s">
        <v>24200</v>
      </c>
      <c r="D5464" s="6" t="s">
        <v>24212</v>
      </c>
      <c r="E5464" s="2">
        <v>2510573</v>
      </c>
      <c r="F5464" s="4" t="str">
        <f>IF(B5464=B5463,"",B5464)</f>
        <v>Teguise</v>
      </c>
    </row>
    <row r="5465" spans="1:6" ht="15.75" customHeight="1">
      <c r="A5465" s="5" t="str">
        <f ca="1">IFERROR(__xludf.DUMMYFUNCTION("GOOGLETRANSLATE(B28976,""en"",""pt"")"),"Teguise")</f>
        <v>Teguise</v>
      </c>
      <c r="B5465" s="17" t="s">
        <v>24841</v>
      </c>
      <c r="C5465" s="17" t="s">
        <v>24200</v>
      </c>
      <c r="D5465" s="17" t="s">
        <v>24212</v>
      </c>
      <c r="E5465" s="10">
        <v>2510573</v>
      </c>
      <c r="F5465" s="4" t="str">
        <f>IF(B5465=B5464,"",B5465)</f>
        <v/>
      </c>
    </row>
    <row r="5466" spans="1:6" ht="15.75" customHeight="1">
      <c r="A5466" s="5" t="s">
        <v>9936</v>
      </c>
      <c r="B5466" s="6" t="s">
        <v>9936</v>
      </c>
      <c r="C5466" s="5" t="s">
        <v>9907</v>
      </c>
      <c r="D5466" s="5" t="s">
        <v>9937</v>
      </c>
      <c r="E5466" s="2">
        <v>3600949</v>
      </c>
      <c r="F5466" s="4" t="str">
        <f>IF(B5466=B5465,"",B5466)</f>
        <v>Tegucigalpa</v>
      </c>
    </row>
    <row r="5467" spans="1:6" ht="15.75" customHeight="1">
      <c r="A5467" s="5" t="str">
        <f ca="1">IFERROR(__xludf.DUMMYFUNCTION("GOOGLETRANSLATE(B31168,""en"",""pt"")"),"Tegucigalpa")</f>
        <v>Tegucigalpa</v>
      </c>
      <c r="B5467" s="17" t="s">
        <v>9936</v>
      </c>
      <c r="C5467" s="17" t="s">
        <v>9907</v>
      </c>
      <c r="D5467" s="17" t="s">
        <v>32795</v>
      </c>
      <c r="E5467" s="10">
        <v>3600949</v>
      </c>
      <c r="F5467" s="4" t="str">
        <f>IF(B5467=B5466,"",B5467)</f>
        <v/>
      </c>
    </row>
    <row r="5468" spans="1:6" ht="15.75" customHeight="1">
      <c r="A5468" s="6" t="s">
        <v>19569</v>
      </c>
      <c r="B5468" s="6" t="s">
        <v>19569</v>
      </c>
      <c r="C5468" s="6" t="s">
        <v>19294</v>
      </c>
      <c r="D5468" s="6" t="s">
        <v>19259</v>
      </c>
      <c r="E5468" s="2">
        <v>2322263</v>
      </c>
      <c r="F5468" s="4" t="str">
        <f>IF(B5468=B5467,"",B5468)</f>
        <v>Tegina</v>
      </c>
    </row>
    <row r="5469" spans="1:6" ht="15.75" customHeight="1">
      <c r="A5469" s="5" t="str">
        <f ca="1">IFERROR(__xludf.DUMMYFUNCTION("GOOGLETRANSLATE(B37623,""en"",""pt"")"),"Tegina")</f>
        <v>Tegina</v>
      </c>
      <c r="B5469" s="17" t="s">
        <v>19569</v>
      </c>
      <c r="C5469" s="17" t="s">
        <v>19294</v>
      </c>
      <c r="D5469" s="17" t="s">
        <v>19259</v>
      </c>
      <c r="E5469" s="10">
        <v>2322263</v>
      </c>
      <c r="F5469" s="4" t="str">
        <f>IF(B5469=B5468,"",B5469)</f>
        <v/>
      </c>
    </row>
    <row r="5470" spans="1:6" ht="15.75" customHeight="1">
      <c r="A5470" s="6" t="s">
        <v>13531</v>
      </c>
      <c r="B5470" s="6" t="s">
        <v>13531</v>
      </c>
      <c r="C5470" s="6" t="s">
        <v>10178</v>
      </c>
      <c r="D5470" s="6" t="s">
        <v>10317</v>
      </c>
      <c r="E5470" s="2">
        <v>1254813</v>
      </c>
      <c r="F5470" s="4" t="str">
        <f>IF(B5470=B5469,"",B5470)</f>
        <v>Teghra</v>
      </c>
    </row>
    <row r="5471" spans="1:6" ht="15.75" customHeight="1">
      <c r="A5471" s="5" t="str">
        <f ca="1">IFERROR(__xludf.DUMMYFUNCTION("GOOGLETRANSLATE(B32022,""en"",""pt"")"),"Teghra")</f>
        <v>Teghra</v>
      </c>
      <c r="B5471" s="17" t="s">
        <v>13531</v>
      </c>
      <c r="C5471" s="17" t="s">
        <v>10178</v>
      </c>
      <c r="D5471" s="17" t="s">
        <v>10317</v>
      </c>
      <c r="E5471" s="10">
        <v>1254813</v>
      </c>
      <c r="F5471" s="4" t="str">
        <f>IF(B5471=B5470,"",B5471)</f>
        <v/>
      </c>
    </row>
    <row r="5472" spans="1:6" ht="15.75" customHeight="1">
      <c r="A5472" s="6" t="s">
        <v>19098</v>
      </c>
      <c r="B5472" s="6" t="s">
        <v>19098</v>
      </c>
      <c r="C5472" s="6" t="s">
        <v>18862</v>
      </c>
      <c r="D5472" s="6" t="s">
        <v>18893</v>
      </c>
      <c r="E5472" s="2">
        <v>2746504</v>
      </c>
      <c r="F5472" s="4" t="str">
        <f>IF(B5472=B5471,"",B5472)</f>
        <v>Tegelen</v>
      </c>
    </row>
    <row r="5473" spans="1:6" ht="15.75" customHeight="1">
      <c r="A5473" s="5" t="str">
        <f ca="1">IFERROR(__xludf.DUMMYFUNCTION("GOOGLETRANSLATE(B37944,""en"",""pt"")"),"Tegelen")</f>
        <v>Tegelen</v>
      </c>
      <c r="B5473" s="17" t="s">
        <v>19098</v>
      </c>
      <c r="C5473" s="17" t="s">
        <v>18862</v>
      </c>
      <c r="D5473" s="17" t="s">
        <v>18893</v>
      </c>
      <c r="E5473" s="10">
        <v>2746504</v>
      </c>
      <c r="F5473" s="4" t="str">
        <f>IF(B5473=B5472,"",B5473)</f>
        <v/>
      </c>
    </row>
    <row r="5474" spans="1:6" ht="15.75" customHeight="1">
      <c r="A5474" s="6" t="s">
        <v>9198</v>
      </c>
      <c r="B5474" s="6" t="s">
        <v>9198</v>
      </c>
      <c r="C5474" s="6" t="s">
        <v>8028</v>
      </c>
      <c r="D5474" s="6" t="s">
        <v>8036</v>
      </c>
      <c r="E5474" s="2">
        <v>2823708</v>
      </c>
      <c r="F5474" s="4" t="str">
        <f>IF(B5474=B5473,"",B5474)</f>
        <v>Tegel</v>
      </c>
    </row>
    <row r="5475" spans="1:6" ht="15.75" customHeight="1">
      <c r="A5475" s="5" t="str">
        <f ca="1">IFERROR(__xludf.DUMMYFUNCTION("GOOGLETRANSLATE(B27481,""en"",""pt"")"),"Tegel")</f>
        <v>Tegel</v>
      </c>
      <c r="B5475" s="17" t="s">
        <v>9198</v>
      </c>
      <c r="C5475" s="17" t="s">
        <v>8028</v>
      </c>
      <c r="D5475" s="17" t="s">
        <v>8036</v>
      </c>
      <c r="E5475" s="10">
        <v>2823708</v>
      </c>
      <c r="F5475" s="4" t="str">
        <f>IF(B5475=B5474,"",B5475)</f>
        <v/>
      </c>
    </row>
    <row r="5476" spans="1:6" ht="15.75" customHeight="1">
      <c r="A5476" s="6" t="s">
        <v>14207</v>
      </c>
      <c r="B5476" s="6" t="s">
        <v>14207</v>
      </c>
      <c r="C5476" s="6" t="s">
        <v>13800</v>
      </c>
      <c r="D5476" s="6" t="s">
        <v>13803</v>
      </c>
      <c r="E5476" s="2">
        <v>1624494</v>
      </c>
      <c r="F5476" s="4" t="str">
        <f>IF(B5476=B5475,"",B5476)</f>
        <v>Tegal</v>
      </c>
    </row>
    <row r="5477" spans="1:6" ht="15.75" customHeight="1">
      <c r="A5477" s="5" t="str">
        <f ca="1">IFERROR(__xludf.DUMMYFUNCTION("GOOGLETRANSLATE(B31410,""en"",""pt"")"),"Tegal")</f>
        <v>Tegal</v>
      </c>
      <c r="B5477" s="17" t="s">
        <v>14207</v>
      </c>
      <c r="C5477" s="17" t="s">
        <v>13800</v>
      </c>
      <c r="D5477" s="17" t="s">
        <v>13803</v>
      </c>
      <c r="E5477" s="10">
        <v>1624494</v>
      </c>
      <c r="F5477" s="4" t="str">
        <f>IF(B5477=B5476,"",B5477)</f>
        <v/>
      </c>
    </row>
    <row r="5478" spans="1:6" ht="15.75" customHeight="1">
      <c r="A5478" s="5" t="str">
        <f ca="1">IFERROR(__xludf.DUMMYFUNCTION("GOOGLETRANSLATE(B25306,""en"",""pt"")"),"Tefor")</f>
        <v>Tefor</v>
      </c>
      <c r="B5478" s="17" t="s">
        <v>3539</v>
      </c>
      <c r="C5478" s="17" t="s">
        <v>1905</v>
      </c>
      <c r="D5478" s="17" t="s">
        <v>2287</v>
      </c>
      <c r="E5478" s="10">
        <v>3661944</v>
      </c>
      <c r="F5478" s="4" t="str">
        <f>IF(B5478=B5477,"",B5478)</f>
        <v>Tefé</v>
      </c>
    </row>
    <row r="5479" spans="1:6" ht="15.75" customHeight="1">
      <c r="A5479" s="6" t="s">
        <v>3539</v>
      </c>
      <c r="B5479" s="6" t="s">
        <v>3540</v>
      </c>
      <c r="C5479" s="6" t="s">
        <v>1905</v>
      </c>
      <c r="D5479" s="6" t="s">
        <v>2287</v>
      </c>
      <c r="E5479" s="2">
        <v>3661944</v>
      </c>
      <c r="F5479" s="4" t="str">
        <f>IF(B5479=B5478,"",B5479)</f>
        <v>TefÃ©</v>
      </c>
    </row>
    <row r="5480" spans="1:6" ht="15.75" customHeight="1">
      <c r="A5480" s="6" t="s">
        <v>22050</v>
      </c>
      <c r="B5480" s="6" t="s">
        <v>22050</v>
      </c>
      <c r="C5480" s="6" t="s">
        <v>21824</v>
      </c>
      <c r="D5480" s="6" t="s">
        <v>21936</v>
      </c>
      <c r="E5480" s="2">
        <v>665355</v>
      </c>
      <c r="F5480" s="4" t="str">
        <f>IF(B5480=B5479,"",B5480)</f>
        <v>Tecuci</v>
      </c>
    </row>
    <row r="5481" spans="1:6" ht="15.75" customHeight="1">
      <c r="A5481" s="5" t="str">
        <f ca="1">IFERROR(__xludf.DUMMYFUNCTION("GOOGLETRANSLATE(B39741,""en"",""pt"")"),"Tecuci")</f>
        <v>Tecuci</v>
      </c>
      <c r="B5481" s="17" t="s">
        <v>22050</v>
      </c>
      <c r="C5481" s="17" t="s">
        <v>21824</v>
      </c>
      <c r="D5481" s="17" t="s">
        <v>35348</v>
      </c>
      <c r="E5481" s="10">
        <v>665355</v>
      </c>
      <c r="F5481" s="4" t="str">
        <f>IF(B5481=B5480,"",B5481)</f>
        <v/>
      </c>
    </row>
    <row r="5482" spans="1:6" ht="15.75" customHeight="1">
      <c r="A5482" s="5" t="str">
        <f ca="1">IFERROR(__xludf.DUMMYFUNCTION("GOOGLETRANSLATE(B31068,""en"",""pt"")"),"Tecpán Guatemala")</f>
        <v>Tecpán Guatemala</v>
      </c>
      <c r="B5482" s="17" t="s">
        <v>32766</v>
      </c>
      <c r="C5482" s="17" t="s">
        <v>9700</v>
      </c>
      <c r="D5482" s="17" t="s">
        <v>9717</v>
      </c>
      <c r="E5482" s="10">
        <v>3588476</v>
      </c>
      <c r="F5482" s="4" t="str">
        <f>IF(B5482=B5481,"",B5482)</f>
        <v>Tecpán Guatemala</v>
      </c>
    </row>
    <row r="5483" spans="1:6" ht="15.75" customHeight="1">
      <c r="A5483" s="5" t="s">
        <v>9815</v>
      </c>
      <c r="B5483" s="6" t="s">
        <v>9816</v>
      </c>
      <c r="C5483" s="5" t="s">
        <v>9700</v>
      </c>
      <c r="D5483" s="5" t="s">
        <v>9717</v>
      </c>
      <c r="E5483" s="2">
        <v>3588476</v>
      </c>
      <c r="F5483" s="4" t="str">
        <f>IF(B5483=B5482,"",B5483)</f>
        <v>TecpÃ¡n Guatemala</v>
      </c>
    </row>
    <row r="5484" spans="1:6" ht="15.75" customHeight="1">
      <c r="A5484" s="6" t="s">
        <v>18315</v>
      </c>
      <c r="B5484" s="6" t="s">
        <v>18315</v>
      </c>
      <c r="C5484" s="6" t="s">
        <v>17707</v>
      </c>
      <c r="D5484" s="6" t="s">
        <v>5676</v>
      </c>
      <c r="E5484" s="2">
        <v>3982213</v>
      </c>
      <c r="F5484" s="4" t="str">
        <f>IF(B5484=B5483,"",B5484)</f>
        <v>Tecoman</v>
      </c>
    </row>
    <row r="5485" spans="1:6" ht="15.75" customHeight="1">
      <c r="A5485" s="5" t="str">
        <f ca="1">IFERROR(__xludf.DUMMYFUNCTION("GOOGLETRANSLATE(B37172,""en"",""pt"")"),"Tecoman")</f>
        <v>Tecoman</v>
      </c>
      <c r="B5485" s="17" t="s">
        <v>18315</v>
      </c>
      <c r="C5485" s="17" t="s">
        <v>17707</v>
      </c>
      <c r="D5485" s="17" t="s">
        <v>5676</v>
      </c>
      <c r="E5485" s="10">
        <v>3982213</v>
      </c>
      <c r="F5485" s="4" t="str">
        <f>IF(B5485=B5484,"",B5485)</f>
        <v/>
      </c>
    </row>
    <row r="5486" spans="1:6" ht="15.75" customHeight="1">
      <c r="A5486" s="6" t="s">
        <v>9429</v>
      </c>
      <c r="B5486" s="6" t="s">
        <v>9429</v>
      </c>
      <c r="C5486" s="6" t="s">
        <v>9365</v>
      </c>
      <c r="D5486" s="6" t="s">
        <v>9383</v>
      </c>
      <c r="E5486" s="2">
        <v>2294727</v>
      </c>
      <c r="F5486" s="4" t="str">
        <f>IF(B5486=B5485,"",B5486)</f>
        <v>Techiman</v>
      </c>
    </row>
    <row r="5487" spans="1:6" ht="15.75" customHeight="1">
      <c r="A5487" s="5" t="str">
        <f ca="1">IFERROR(__xludf.DUMMYFUNCTION("GOOGLETRANSLATE(B30862,""en"",""pt"")"),"Techiman")</f>
        <v>Techiman</v>
      </c>
      <c r="B5487" s="17" t="s">
        <v>9429</v>
      </c>
      <c r="C5487" s="17" t="s">
        <v>9365</v>
      </c>
      <c r="D5487" s="17" t="s">
        <v>9383</v>
      </c>
      <c r="E5487" s="10">
        <v>2294727</v>
      </c>
      <c r="F5487" s="4" t="str">
        <f>IF(B5487=B5486,"",B5487)</f>
        <v/>
      </c>
    </row>
    <row r="5488" spans="1:6" ht="15.75" customHeight="1">
      <c r="A5488" s="6" t="s">
        <v>18313</v>
      </c>
      <c r="B5488" s="6" t="s">
        <v>18314</v>
      </c>
      <c r="C5488" s="6" t="s">
        <v>17707</v>
      </c>
      <c r="D5488" s="6" t="s">
        <v>17823</v>
      </c>
      <c r="E5488" s="2">
        <v>3516076</v>
      </c>
      <c r="F5488" s="4" t="str">
        <f>IF(B5488=B5487,"",B5488)</f>
        <v>Tecax</v>
      </c>
    </row>
    <row r="5489" spans="1:6" ht="15.75" customHeight="1">
      <c r="A5489" s="5" t="str">
        <f ca="1">IFERROR(__xludf.DUMMYFUNCTION("GOOGLETRANSLATE(B36902,""en"",""pt"")"),"TECAX")</f>
        <v>TECAX</v>
      </c>
      <c r="B5489" s="17" t="s">
        <v>18314</v>
      </c>
      <c r="C5489" s="17" t="s">
        <v>17707</v>
      </c>
      <c r="D5489" s="17" t="s">
        <v>34661</v>
      </c>
      <c r="E5489" s="10">
        <v>3516076</v>
      </c>
      <c r="F5489" s="4" t="str">
        <f>IF(B5489=B5488,"",B5489)</f>
        <v/>
      </c>
    </row>
    <row r="5490" spans="1:6" ht="15.75" customHeight="1">
      <c r="A5490" s="6" t="s">
        <v>18312</v>
      </c>
      <c r="B5490" s="6" t="s">
        <v>18312</v>
      </c>
      <c r="C5490" s="6" t="s">
        <v>17707</v>
      </c>
      <c r="D5490" s="6" t="s">
        <v>17932</v>
      </c>
      <c r="E5490" s="2">
        <v>3982266</v>
      </c>
      <c r="F5490" s="4" t="str">
        <f>IF(B5490=B5489,"",B5490)</f>
        <v>Tecate</v>
      </c>
    </row>
    <row r="5491" spans="1:6" ht="15.75" customHeight="1">
      <c r="A5491" s="5" t="str">
        <f ca="1">IFERROR(__xludf.DUMMYFUNCTION("GOOGLETRANSLATE(B37173,""en"",""pt"")"),"Tecate")</f>
        <v>Tecate</v>
      </c>
      <c r="B5491" s="17" t="s">
        <v>18312</v>
      </c>
      <c r="C5491" s="17" t="s">
        <v>17707</v>
      </c>
      <c r="D5491" s="17" t="s">
        <v>17932</v>
      </c>
      <c r="E5491" s="10">
        <v>3982266</v>
      </c>
      <c r="F5491" s="4" t="str">
        <f>IF(B5491=B5490,"",B5491)</f>
        <v/>
      </c>
    </row>
    <row r="5492" spans="1:6" ht="15.75" customHeight="1">
      <c r="A5492" s="5" t="s">
        <v>18311</v>
      </c>
      <c r="B5492" s="6" t="s">
        <v>18311</v>
      </c>
      <c r="C5492" s="5" t="s">
        <v>17707</v>
      </c>
      <c r="D5492" s="5" t="s">
        <v>17717</v>
      </c>
      <c r="E5492" s="2">
        <v>3516188</v>
      </c>
      <c r="F5492" s="4" t="str">
        <f>IF(B5492=B5491,"",B5492)</f>
        <v>Tecamachalco</v>
      </c>
    </row>
    <row r="5493" spans="1:6" ht="15.75" customHeight="1">
      <c r="A5493" s="5" t="str">
        <f ca="1">IFERROR(__xludf.DUMMYFUNCTION("GOOGLETRANSLATE(B36904,""en"",""pt"")"),"Tecamachalco")</f>
        <v>Tecamachalco</v>
      </c>
      <c r="B5493" s="17" t="s">
        <v>18311</v>
      </c>
      <c r="C5493" s="17" t="s">
        <v>17707</v>
      </c>
      <c r="D5493" s="17" t="s">
        <v>17717</v>
      </c>
      <c r="E5493" s="10">
        <v>3516188</v>
      </c>
      <c r="F5493" s="4" t="str">
        <f>IF(B5493=B5492,"",B5493)</f>
        <v/>
      </c>
    </row>
    <row r="5494" spans="1:6" ht="15.75" customHeight="1">
      <c r="A5494" s="5" t="str">
        <f ca="1">IFERROR(__xludf.DUMMYFUNCTION("GOOGLETRANSLATE(B37398,""en"",""pt"")"),"Tecámac de Felipe Villanueva")</f>
        <v>Tecámac de Felipe Villanueva</v>
      </c>
      <c r="B5494" s="17" t="s">
        <v>34795</v>
      </c>
      <c r="C5494" s="17" t="s">
        <v>17707</v>
      </c>
      <c r="D5494" s="17" t="s">
        <v>20902</v>
      </c>
      <c r="E5494" s="10">
        <v>8858121</v>
      </c>
      <c r="F5494" s="4" t="str">
        <f>IF(B5494=B5493,"",B5494)</f>
        <v>Tecámac de Felipe Villanueva</v>
      </c>
    </row>
    <row r="5495" spans="1:6" ht="15.75" customHeight="1">
      <c r="A5495" s="5" t="s">
        <v>18310</v>
      </c>
      <c r="B5495" s="6" t="s">
        <v>18310</v>
      </c>
      <c r="C5495" s="5" t="s">
        <v>17707</v>
      </c>
      <c r="D5495" s="5" t="s">
        <v>17780</v>
      </c>
      <c r="E5495" s="2">
        <v>3517524</v>
      </c>
      <c r="F5495" s="4" t="str">
        <f>IF(B5495=B5494,"",B5495)</f>
        <v>Tecamac de Felipe Villanueva</v>
      </c>
    </row>
    <row r="5496" spans="1:6" ht="15.75" customHeight="1">
      <c r="A5496" s="5" t="str">
        <f ca="1">IFERROR(__xludf.DUMMYFUNCTION("GOOGLETRANSLATE(B36918,""en"",""pt"")"),"Tecamac de Felipe Villanueva")</f>
        <v>Tecamac de Felipe Villanueva</v>
      </c>
      <c r="B5496" s="17" t="s">
        <v>18310</v>
      </c>
      <c r="C5496" s="17" t="s">
        <v>17707</v>
      </c>
      <c r="D5496" s="17" t="s">
        <v>17780</v>
      </c>
      <c r="E5496" s="10">
        <v>3517524</v>
      </c>
      <c r="F5496" s="4" t="str">
        <f>IF(B5496=B5495,"",B5496)</f>
        <v/>
      </c>
    </row>
    <row r="5497" spans="1:6" ht="15.75" customHeight="1">
      <c r="A5497" s="5" t="s">
        <v>18308</v>
      </c>
      <c r="B5497" s="6" t="s">
        <v>18309</v>
      </c>
      <c r="C5497" s="5" t="s">
        <v>17707</v>
      </c>
      <c r="D5497" s="5" t="s">
        <v>17736</v>
      </c>
      <c r="E5497" s="2">
        <v>8858121</v>
      </c>
      <c r="F5497" s="4" t="str">
        <f>IF(B5497=B5496,"",B5497)</f>
        <v>TecÃ¡mac de Felipe Villanueva</v>
      </c>
    </row>
    <row r="5498" spans="1:6" ht="15.75" customHeight="1">
      <c r="A5498" s="6" t="s">
        <v>14205</v>
      </c>
      <c r="B5498" s="6" t="s">
        <v>14206</v>
      </c>
      <c r="C5498" s="6" t="s">
        <v>13800</v>
      </c>
      <c r="D5498" s="6" t="s">
        <v>13830</v>
      </c>
      <c r="E5498" s="2">
        <v>1213500</v>
      </c>
      <c r="F5498" s="4" t="str">
        <f>IF(B5498=B5497,"",B5498)</f>
        <v>Tebingtinggi</v>
      </c>
    </row>
    <row r="5499" spans="1:6" ht="15.75" customHeight="1">
      <c r="A5499" s="5" t="str">
        <f ca="1">IFERROR(__xludf.DUMMYFUNCTION("GOOGLETRANSLATE(B31354,""en"",""pt"")"),"Tebinggi")</f>
        <v>Tebinggi</v>
      </c>
      <c r="B5499" s="17" t="s">
        <v>14206</v>
      </c>
      <c r="C5499" s="17" t="s">
        <v>13800</v>
      </c>
      <c r="D5499" s="17" t="s">
        <v>13830</v>
      </c>
      <c r="E5499" s="10">
        <v>1213500</v>
      </c>
      <c r="F5499" s="4" t="str">
        <f>IF(B5499=B5498,"",B5499)</f>
        <v/>
      </c>
    </row>
    <row r="5500" spans="1:6" ht="15.75" customHeight="1">
      <c r="A5500" s="5" t="str">
        <f ca="1">IFERROR(__xludf.DUMMYFUNCTION("GOOGLETRANSLATE(B28521,""en"",""pt"")"),"Tébessa")</f>
        <v>Tébessa</v>
      </c>
      <c r="B5500" s="17" t="s">
        <v>32184</v>
      </c>
      <c r="C5500" s="17" t="s">
        <v>153</v>
      </c>
      <c r="D5500" s="17" t="s">
        <v>32184</v>
      </c>
      <c r="E5500" s="10">
        <v>2477461</v>
      </c>
      <c r="F5500" s="4" t="str">
        <f>IF(B5500=B5499,"",B5500)</f>
        <v>Tébessa</v>
      </c>
    </row>
    <row r="5501" spans="1:6" ht="15.75" customHeight="1">
      <c r="A5501" s="5" t="s">
        <v>475</v>
      </c>
      <c r="B5501" s="6" t="s">
        <v>475</v>
      </c>
      <c r="C5501" s="5" t="s">
        <v>153</v>
      </c>
      <c r="D5501" s="5" t="s">
        <v>323</v>
      </c>
      <c r="E5501" s="2">
        <v>2477462</v>
      </c>
      <c r="F5501" s="4" t="str">
        <f>IF(B5501=B5500,"",B5501)</f>
        <v>Tebesbest</v>
      </c>
    </row>
    <row r="5502" spans="1:6" ht="15.75" customHeight="1">
      <c r="A5502" s="5" t="str">
        <f ca="1">IFERROR(__xludf.DUMMYFUNCTION("GOOGLETRANSLATE(B28522,""en"",""pt"")"),"Tebesbest")</f>
        <v>Tebesbest</v>
      </c>
      <c r="B5502" s="17" t="s">
        <v>475</v>
      </c>
      <c r="C5502" s="17" t="s">
        <v>153</v>
      </c>
      <c r="D5502" s="17" t="s">
        <v>323</v>
      </c>
      <c r="E5502" s="10">
        <v>2477462</v>
      </c>
      <c r="F5502" s="4" t="str">
        <f>IF(B5502=B5501,"",B5502)</f>
        <v/>
      </c>
    </row>
    <row r="5503" spans="1:6" ht="15.75" customHeight="1">
      <c r="A5503" s="6" t="s">
        <v>18306</v>
      </c>
      <c r="B5503" s="6" t="s">
        <v>18307</v>
      </c>
      <c r="C5503" s="6" t="s">
        <v>17707</v>
      </c>
      <c r="D5503" s="6" t="s">
        <v>17788</v>
      </c>
      <c r="E5503" s="2">
        <v>3516210</v>
      </c>
      <c r="F5503" s="4" t="str">
        <f>IF(B5503=B5502,"",B5503)</f>
        <v>Teapa</v>
      </c>
    </row>
    <row r="5504" spans="1:6" ht="15.75" customHeight="1">
      <c r="A5504" s="5" t="str">
        <f ca="1">IFERROR(__xludf.DUMMYFUNCTION("GOOGLETRANSLATE(B36905,""en"",""pt"")"),"TEAPA")</f>
        <v>TEAPA</v>
      </c>
      <c r="B5504" s="17" t="s">
        <v>18307</v>
      </c>
      <c r="C5504" s="17" t="s">
        <v>17707</v>
      </c>
      <c r="D5504" s="17" t="s">
        <v>17788</v>
      </c>
      <c r="E5504" s="10">
        <v>3516210</v>
      </c>
      <c r="F5504" s="4" t="str">
        <f>IF(B5504=B5503,"",B5504)</f>
        <v/>
      </c>
    </row>
    <row r="5505" spans="1:6" ht="15.75" customHeight="1">
      <c r="A5505" s="6" t="s">
        <v>30167</v>
      </c>
      <c r="B5505" s="6" t="s">
        <v>30167</v>
      </c>
      <c r="C5505" s="6" t="s">
        <v>27788</v>
      </c>
      <c r="D5505" s="6" t="s">
        <v>27905</v>
      </c>
      <c r="E5505" s="2">
        <v>5105262</v>
      </c>
      <c r="F5505" s="4" t="str">
        <f>IF(B5505=B5504,"",B5505)</f>
        <v>Teaneck</v>
      </c>
    </row>
    <row r="5506" spans="1:6" ht="15.75" customHeight="1">
      <c r="A5506" s="5" t="str">
        <f ca="1">IFERROR(__xludf.DUMMYFUNCTION("GOOGLETRANSLATE(B44317,""en"",""pt"")"),"Teaneck")</f>
        <v>Teaneck</v>
      </c>
      <c r="B5506" s="17" t="s">
        <v>30167</v>
      </c>
      <c r="C5506" s="17" t="s">
        <v>27788</v>
      </c>
      <c r="D5506" s="17" t="s">
        <v>27905</v>
      </c>
      <c r="E5506" s="10">
        <v>5105262</v>
      </c>
      <c r="F5506" s="4" t="str">
        <f>IF(B5506=B5505,"",B5506)</f>
        <v/>
      </c>
    </row>
    <row r="5507" spans="1:6" ht="15.75" customHeight="1">
      <c r="A5507" s="5" t="s">
        <v>3537</v>
      </c>
      <c r="B5507" s="6" t="s">
        <v>3538</v>
      </c>
      <c r="C5507" s="5" t="s">
        <v>1905</v>
      </c>
      <c r="D5507" s="5" t="s">
        <v>1917</v>
      </c>
      <c r="E5507" s="2">
        <v>3446621</v>
      </c>
      <c r="F5507" s="4" t="str">
        <f>IF(B5507=B5506,"",B5507)</f>
        <v>TeÃ³filo Otoni</v>
      </c>
    </row>
    <row r="5508" spans="1:6" ht="15.75" customHeight="1">
      <c r="A5508" s="6" t="s">
        <v>21533</v>
      </c>
      <c r="B5508" s="6" t="s">
        <v>21533</v>
      </c>
      <c r="C5508" s="6" t="s">
        <v>21064</v>
      </c>
      <c r="D5508" s="6" t="s">
        <v>21173</v>
      </c>
      <c r="E5508" s="2">
        <v>3083426</v>
      </c>
      <c r="F5508" s="4" t="str">
        <f>IF(B5508=B5507,"",B5508)</f>
        <v>Tczew</v>
      </c>
    </row>
    <row r="5509" spans="1:6" ht="15.75" customHeight="1">
      <c r="A5509" s="5" t="str">
        <f ca="1">IFERROR(__xludf.DUMMYFUNCTION("GOOGLETRANSLATE(B39330,""en"",""pt"")"),"Tczew")</f>
        <v>Tczew</v>
      </c>
      <c r="B5509" s="17" t="s">
        <v>21533</v>
      </c>
      <c r="C5509" s="17" t="s">
        <v>21064</v>
      </c>
      <c r="D5509" s="17" t="s">
        <v>21173</v>
      </c>
      <c r="E5509" s="10">
        <v>3083426</v>
      </c>
      <c r="F5509" s="4" t="str">
        <f>IF(B5509=B5508,"",B5509)</f>
        <v/>
      </c>
    </row>
    <row r="5510" spans="1:6" ht="15.75" customHeight="1">
      <c r="A5510" s="5" t="str">
        <f ca="1">IFERROR(__xludf.DUMMYFUNCTION("GOOGLETRANSLATE(B25986,""en"",""pt"")"),"Tcholliré")</f>
        <v>Tcholliré</v>
      </c>
      <c r="B5510" s="17" t="s">
        <v>3964</v>
      </c>
      <c r="C5510" s="17" t="s">
        <v>3884</v>
      </c>
      <c r="D5510" s="17" t="s">
        <v>3923</v>
      </c>
      <c r="E5510" s="10">
        <v>2221607</v>
      </c>
      <c r="F5510" s="4" t="str">
        <f>IF(B5510=B5509,"",B5510)</f>
        <v>Tcholliré</v>
      </c>
    </row>
    <row r="5511" spans="1:6" ht="15.75" customHeight="1">
      <c r="A5511" s="6" t="s">
        <v>3964</v>
      </c>
      <c r="B5511" s="6" t="s">
        <v>3965</v>
      </c>
      <c r="C5511" s="6" t="s">
        <v>3884</v>
      </c>
      <c r="D5511" s="6" t="s">
        <v>3923</v>
      </c>
      <c r="E5511" s="2">
        <v>2221607</v>
      </c>
      <c r="F5511" s="4" t="str">
        <f>IF(B5511=B5510,"",B5511)</f>
        <v>TchollirÃ©</v>
      </c>
    </row>
    <row r="5512" spans="1:6" ht="15.75" customHeight="1">
      <c r="A5512" s="5" t="s">
        <v>7977</v>
      </c>
      <c r="B5512" s="6" t="s">
        <v>7977</v>
      </c>
      <c r="C5512" s="5" t="s">
        <v>7960</v>
      </c>
      <c r="D5512" s="5" t="s">
        <v>7978</v>
      </c>
      <c r="E5512" s="2">
        <v>2396253</v>
      </c>
      <c r="F5512" s="4" t="str">
        <f>IF(B5512=B5511,"",B5512)</f>
        <v>Tchibanga</v>
      </c>
    </row>
    <row r="5513" spans="1:6" ht="15.75" customHeight="1">
      <c r="A5513" s="5" t="str">
        <f ca="1">IFERROR(__xludf.DUMMYFUNCTION("GOOGLETRANSLATE(B30305,""en"",""pt"")"),"Tchibanga")</f>
        <v>Tchibanga</v>
      </c>
      <c r="B5513" s="17" t="s">
        <v>7977</v>
      </c>
      <c r="C5513" s="17" t="s">
        <v>7960</v>
      </c>
      <c r="D5513" s="17" t="s">
        <v>7978</v>
      </c>
      <c r="E5513" s="10">
        <v>2396253</v>
      </c>
      <c r="F5513" s="4" t="str">
        <f>IF(B5513=B5512,"",B5513)</f>
        <v/>
      </c>
    </row>
    <row r="5514" spans="1:6" ht="15.75" customHeight="1">
      <c r="A5514" s="5" t="s">
        <v>1792</v>
      </c>
      <c r="B5514" s="6" t="s">
        <v>1792</v>
      </c>
      <c r="C5514" s="5" t="s">
        <v>1741</v>
      </c>
      <c r="D5514" s="5" t="s">
        <v>1755</v>
      </c>
      <c r="E5514" s="2">
        <v>2391377</v>
      </c>
      <c r="F5514" s="4" t="str">
        <f>IF(B5514=B5513,"",B5514)</f>
        <v>Tchaourou</v>
      </c>
    </row>
    <row r="5515" spans="1:6" ht="15.75" customHeight="1">
      <c r="A5515" s="5" t="str">
        <f ca="1">IFERROR(__xludf.DUMMYFUNCTION("GOOGLETRANSLATE(B24080,""en"",""pt"")"),"Tchaourou")</f>
        <v>Tchaourou</v>
      </c>
      <c r="B5515" s="17" t="s">
        <v>1792</v>
      </c>
      <c r="C5515" s="17" t="s">
        <v>1741</v>
      </c>
      <c r="D5515" s="17" t="s">
        <v>1755</v>
      </c>
      <c r="E5515" s="10">
        <v>2391377</v>
      </c>
      <c r="F5515" s="4" t="str">
        <f>IF(B5515=B5514,"",B5515)</f>
        <v/>
      </c>
    </row>
    <row r="5516" spans="1:6" ht="15.75" customHeight="1">
      <c r="A5516" s="6" t="s">
        <v>26061</v>
      </c>
      <c r="B5516" s="6" t="s">
        <v>26061</v>
      </c>
      <c r="C5516" s="6" t="s">
        <v>26038</v>
      </c>
      <c r="D5516" s="6" t="s">
        <v>26059</v>
      </c>
      <c r="E5516" s="2">
        <v>2363908</v>
      </c>
      <c r="F5516" s="4" t="str">
        <f>IF(B5516=B5515,"",B5516)</f>
        <v>Tchamba</v>
      </c>
    </row>
    <row r="5517" spans="1:6" ht="15.75" customHeight="1">
      <c r="A5517" s="5" t="str">
        <f ca="1">IFERROR(__xludf.DUMMYFUNCTION("GOOGLETRANSLATE(B41496,""en"",""pt"")"),"Tchamba")</f>
        <v>Tchamba</v>
      </c>
      <c r="B5517" s="17" t="s">
        <v>26061</v>
      </c>
      <c r="C5517" s="17" t="s">
        <v>26038</v>
      </c>
      <c r="D5517" s="17" t="s">
        <v>26059</v>
      </c>
      <c r="E5517" s="10">
        <v>2363908</v>
      </c>
      <c r="F5517" s="4" t="str">
        <f>IF(B5517=B5516,"",B5517)</f>
        <v/>
      </c>
    </row>
    <row r="5518" spans="1:6" ht="15.75" customHeight="1">
      <c r="A5518" s="5" t="s">
        <v>23179</v>
      </c>
      <c r="B5518" s="6" t="s">
        <v>23179</v>
      </c>
      <c r="C5518" s="5" t="s">
        <v>22070</v>
      </c>
      <c r="D5518" s="5" t="s">
        <v>22077</v>
      </c>
      <c r="E5518" s="2">
        <v>483883</v>
      </c>
      <c r="F5518" s="4" t="str">
        <f>IF(B5518=B5517,"",B5518)</f>
        <v>Tbilisskaya</v>
      </c>
    </row>
    <row r="5519" spans="1:6" ht="15.75" customHeight="1">
      <c r="A5519" s="5" t="str">
        <f ca="1">IFERROR(__xludf.DUMMYFUNCTION("GOOGLETRANSLATE(B40041,""en"",""pt"")"),"Tbilisskaya")</f>
        <v>Tbilisskaya</v>
      </c>
      <c r="B5519" s="17" t="s">
        <v>23179</v>
      </c>
      <c r="C5519" s="17" t="s">
        <v>22070</v>
      </c>
      <c r="D5519" s="17" t="s">
        <v>22077</v>
      </c>
      <c r="E5519" s="10">
        <v>483883</v>
      </c>
      <c r="F5519" s="4" t="str">
        <f>IF(B5519=B5518,"",B5519)</f>
        <v/>
      </c>
    </row>
    <row r="5520" spans="1:6" ht="15.75" customHeight="1">
      <c r="A5520" s="6" t="s">
        <v>8016</v>
      </c>
      <c r="B5520" s="6" t="s">
        <v>8016</v>
      </c>
      <c r="C5520" s="6" t="s">
        <v>7988</v>
      </c>
      <c r="D5520" s="6" t="s">
        <v>8017</v>
      </c>
      <c r="E5520" s="2">
        <v>611717</v>
      </c>
      <c r="F5520" s="4" t="str">
        <f>IF(B5520=B5519,"",B5520)</f>
        <v>Tbilisi</v>
      </c>
    </row>
    <row r="5521" spans="1:6" ht="15.75" customHeight="1">
      <c r="A5521" s="5" t="str">
        <f ca="1">IFERROR(__xludf.DUMMYFUNCTION("GOOGLETRANSLATE(B30833,""en"",""pt"")"),"Tbilisi")</f>
        <v>Tbilisi</v>
      </c>
      <c r="B5521" s="17" t="s">
        <v>8016</v>
      </c>
      <c r="C5521" s="17" t="s">
        <v>7988</v>
      </c>
      <c r="D5521" s="17" t="s">
        <v>8017</v>
      </c>
      <c r="E5521" s="10">
        <v>611717</v>
      </c>
      <c r="F5521" s="4" t="str">
        <f>IF(B5521=B5520,"",B5521)</f>
        <v/>
      </c>
    </row>
    <row r="5522" spans="1:6" ht="15.75" customHeight="1">
      <c r="A5522" s="5" t="str">
        <f ca="1">IFERROR(__xludf.DUMMYFUNCTION("GOOGLETRANSLATE(B35970,""en"",""pt"")"),"Tbêng Méanchey")</f>
        <v>Tbêng Méanchey</v>
      </c>
      <c r="B5522" s="17" t="s">
        <v>34428</v>
      </c>
      <c r="C5522" s="17" t="s">
        <v>3838</v>
      </c>
      <c r="D5522" s="17" t="s">
        <v>3881</v>
      </c>
      <c r="E5522" s="10">
        <v>1830098</v>
      </c>
      <c r="F5522" s="4" t="str">
        <f>IF(B5522=B5521,"",B5522)</f>
        <v>Tbêng Méanchey</v>
      </c>
    </row>
    <row r="5523" spans="1:6" ht="15.75" customHeight="1">
      <c r="A5523" s="5" t="s">
        <v>3879</v>
      </c>
      <c r="B5523" s="6" t="s">
        <v>3880</v>
      </c>
      <c r="C5523" s="5" t="s">
        <v>3838</v>
      </c>
      <c r="D5523" s="5" t="s">
        <v>3881</v>
      </c>
      <c r="E5523" s="2">
        <v>1830098</v>
      </c>
      <c r="F5523" s="4" t="str">
        <f>IF(B5523=B5522,"",B5523)</f>
        <v>TbÃªng MÃ©anchey</v>
      </c>
    </row>
    <row r="5524" spans="1:6" ht="15.75" customHeight="1">
      <c r="A5524" s="5" t="s">
        <v>474</v>
      </c>
      <c r="B5524" s="6" t="s">
        <v>474</v>
      </c>
      <c r="C5524" s="5" t="s">
        <v>153</v>
      </c>
      <c r="D5524" s="5" t="s">
        <v>212</v>
      </c>
      <c r="E5524" s="2">
        <v>2477528</v>
      </c>
      <c r="F5524" s="4" t="str">
        <f>IF(B5524=B5523,"",B5524)</f>
        <v>Tazoult-Lambese</v>
      </c>
    </row>
    <row r="5525" spans="1:6" ht="15.75" customHeight="1">
      <c r="A5525" s="5" t="str">
        <f ca="1">IFERROR(__xludf.DUMMYFUNCTION("GOOGLETRANSLATE(B28523,""en"",""pt"")"),"Tazoult-Lambese")</f>
        <v>Tazoult-Lambese</v>
      </c>
      <c r="B5525" s="17" t="s">
        <v>474</v>
      </c>
      <c r="C5525" s="17" t="s">
        <v>153</v>
      </c>
      <c r="D5525" s="17" t="s">
        <v>212</v>
      </c>
      <c r="E5525" s="10">
        <v>2477528</v>
      </c>
      <c r="F5525" s="4" t="str">
        <f>IF(B5525=B5524,"",B5525)</f>
        <v/>
      </c>
    </row>
    <row r="5526" spans="1:6" ht="15.75" customHeight="1">
      <c r="A5526" s="6" t="s">
        <v>18642</v>
      </c>
      <c r="B5526" s="6" t="s">
        <v>18642</v>
      </c>
      <c r="C5526" s="6" t="s">
        <v>18551</v>
      </c>
      <c r="D5526" s="6" t="s">
        <v>18557</v>
      </c>
      <c r="E5526" s="2">
        <v>2529317</v>
      </c>
      <c r="F5526" s="4" t="str">
        <f>IF(B5526=B5525,"",B5526)</f>
        <v>Taza</v>
      </c>
    </row>
    <row r="5527" spans="1:6" ht="15.75" customHeight="1">
      <c r="A5527" s="5" t="str">
        <f ca="1">IFERROR(__xludf.DUMMYFUNCTION("GOOGLETRANSLATE(B36461,""en"",""pt"")"),"Taza")</f>
        <v>Taza</v>
      </c>
      <c r="B5527" s="17" t="s">
        <v>18642</v>
      </c>
      <c r="C5527" s="17" t="s">
        <v>18551</v>
      </c>
      <c r="D5527" s="17" t="s">
        <v>18557</v>
      </c>
      <c r="E5527" s="10">
        <v>2529317</v>
      </c>
      <c r="F5527" s="4" t="str">
        <f>IF(B5527=B5526,"",B5527)</f>
        <v/>
      </c>
    </row>
    <row r="5528" spans="1:6" ht="15.75" customHeight="1">
      <c r="A5528" s="5" t="str">
        <f ca="1">IFERROR(__xludf.DUMMYFUNCTION("GOOGLETRANSLATE(B41392,""en"",""pt"")"),"Ţayyibat al imām")</f>
        <v>Ţayyibat al imām</v>
      </c>
      <c r="B5528" s="17" t="s">
        <v>35723</v>
      </c>
      <c r="C5528" s="17" t="s">
        <v>25366</v>
      </c>
      <c r="D5528" s="17" t="s">
        <v>25367</v>
      </c>
      <c r="E5528" s="10">
        <v>163270</v>
      </c>
      <c r="F5528" s="4" t="str">
        <f>IF(B5528=B5527,"",B5528)</f>
        <v>Ţayyibat al Imām</v>
      </c>
    </row>
    <row r="5529" spans="1:6" ht="15.75" customHeight="1">
      <c r="A5529" s="6" t="s">
        <v>14204</v>
      </c>
      <c r="B5529" s="6" t="s">
        <v>14204</v>
      </c>
      <c r="C5529" s="6" t="s">
        <v>13800</v>
      </c>
      <c r="D5529" s="6" t="s">
        <v>13803</v>
      </c>
      <c r="E5529" s="2">
        <v>1624545</v>
      </c>
      <c r="F5529" s="4" t="str">
        <f>IF(B5529=B5528,"",B5529)</f>
        <v>Tayu</v>
      </c>
    </row>
    <row r="5530" spans="1:6" ht="15.75" customHeight="1">
      <c r="A5530" s="5" t="str">
        <f ca="1">IFERROR(__xludf.DUMMYFUNCTION("GOOGLETRANSLATE(B31411,""en"",""pt"")"),"Tayu")</f>
        <v>Tayu</v>
      </c>
      <c r="B5530" s="17" t="s">
        <v>14204</v>
      </c>
      <c r="C5530" s="17" t="s">
        <v>13800</v>
      </c>
      <c r="D5530" s="17" t="s">
        <v>13803</v>
      </c>
      <c r="E5530" s="10">
        <v>1624545</v>
      </c>
      <c r="F5530" s="4" t="str">
        <f>IF(B5530=B5529,"",B5530)</f>
        <v/>
      </c>
    </row>
    <row r="5531" spans="1:6" ht="15.75" customHeight="1">
      <c r="A5531" s="6" t="s">
        <v>30603</v>
      </c>
      <c r="B5531" s="6" t="s">
        <v>30604</v>
      </c>
      <c r="C5531" s="6" t="s">
        <v>30502</v>
      </c>
      <c r="D5531" s="6" t="s">
        <v>30504</v>
      </c>
      <c r="E5531" s="2">
        <v>1512524</v>
      </c>
      <c r="F5531" s="4" t="str">
        <f>IF(B5531=B5530,"",B5531)</f>
        <v>TÅ­ytepa</v>
      </c>
    </row>
    <row r="5532" spans="1:6" ht="15.75" customHeight="1">
      <c r="A5532" s="6" t="s">
        <v>21044</v>
      </c>
      <c r="B5532" s="6" t="s">
        <v>21044</v>
      </c>
      <c r="C5532" s="6" t="s">
        <v>20598</v>
      </c>
      <c r="D5532" s="6" t="s">
        <v>20608</v>
      </c>
      <c r="E5532" s="2">
        <v>1682598</v>
      </c>
      <c r="F5532" s="4" t="str">
        <f>IF(B5532=B5531,"",B5532)</f>
        <v>Taytay</v>
      </c>
    </row>
    <row r="5533" spans="1:6" ht="15.75" customHeight="1">
      <c r="A5533" s="5" t="str">
        <f ca="1">IFERROR(__xludf.DUMMYFUNCTION("GOOGLETRANSLATE(B38442,""en"",""pt"")"),"Taytay")</f>
        <v>Taytay</v>
      </c>
      <c r="B5533" s="17" t="s">
        <v>21044</v>
      </c>
      <c r="C5533" s="17" t="s">
        <v>20598</v>
      </c>
      <c r="D5533" s="17" t="s">
        <v>20608</v>
      </c>
      <c r="E5533" s="10">
        <v>1682598</v>
      </c>
      <c r="F5533" s="4" t="str">
        <f>IF(B5533=B5532,"",B5533)</f>
        <v/>
      </c>
    </row>
    <row r="5534" spans="1:6" ht="15.75" customHeight="1">
      <c r="A5534" s="6" t="s">
        <v>23178</v>
      </c>
      <c r="B5534" s="6" t="s">
        <v>23178</v>
      </c>
      <c r="C5534" s="6" t="s">
        <v>22070</v>
      </c>
      <c r="D5534" s="6" t="s">
        <v>22135</v>
      </c>
      <c r="E5534" s="2">
        <v>1489870</v>
      </c>
      <c r="F5534" s="4" t="str">
        <f>IF(B5534=B5533,"",B5534)</f>
        <v>Tayshet</v>
      </c>
    </row>
    <row r="5535" spans="1:6" ht="15.75" customHeight="1">
      <c r="A5535" s="5" t="str">
        <f ca="1">IFERROR(__xludf.DUMMYFUNCTION("GOOGLETRANSLATE(B40740,""en"",""pt"")"),"Tayshet")</f>
        <v>Tayshet</v>
      </c>
      <c r="B5535" s="17" t="s">
        <v>23178</v>
      </c>
      <c r="C5535" s="17" t="s">
        <v>22070</v>
      </c>
      <c r="D5535" s="17" t="s">
        <v>22135</v>
      </c>
      <c r="E5535" s="10">
        <v>1489870</v>
      </c>
      <c r="F5535" s="4" t="str">
        <f>IF(B5535=B5534,"",B5535)</f>
        <v/>
      </c>
    </row>
    <row r="5536" spans="1:6" ht="15.75" customHeight="1">
      <c r="A5536" s="5" t="s">
        <v>30166</v>
      </c>
      <c r="B5536" s="6" t="s">
        <v>30166</v>
      </c>
      <c r="C5536" s="5" t="s">
        <v>27788</v>
      </c>
      <c r="D5536" s="5" t="s">
        <v>27856</v>
      </c>
      <c r="E5536" s="2">
        <v>5782476</v>
      </c>
      <c r="F5536" s="4" t="str">
        <f>IF(B5536=B5535,"",B5536)</f>
        <v>Taylorsville</v>
      </c>
    </row>
    <row r="5537" spans="1:6" ht="15.75" customHeight="1">
      <c r="A5537" s="5" t="str">
        <f ca="1">IFERROR(__xludf.DUMMYFUNCTION("GOOGLETRANSLATE(B45309,""en"",""pt"")"),"Taylorsville")</f>
        <v>Taylorsville</v>
      </c>
      <c r="B5537" s="17" t="s">
        <v>30166</v>
      </c>
      <c r="C5537" s="17" t="s">
        <v>27788</v>
      </c>
      <c r="D5537" s="17" t="s">
        <v>27856</v>
      </c>
      <c r="E5537" s="10">
        <v>5782476</v>
      </c>
      <c r="F5537" s="4" t="str">
        <f>IF(B5537=B5536,"",B5537)</f>
        <v/>
      </c>
    </row>
    <row r="5538" spans="1:6" ht="15.75" customHeight="1">
      <c r="A5538" s="5" t="s">
        <v>1094</v>
      </c>
      <c r="B5538" s="6" t="s">
        <v>1094</v>
      </c>
      <c r="C5538" s="5" t="s">
        <v>885</v>
      </c>
      <c r="D5538" s="5" t="s">
        <v>827</v>
      </c>
      <c r="E5538" s="2">
        <v>8347847</v>
      </c>
      <c r="F5538" s="4" t="str">
        <f>IF(B5538=B5537,"",B5538)</f>
        <v>Taylors Lakes</v>
      </c>
    </row>
    <row r="5539" spans="1:6" ht="15.75" customHeight="1">
      <c r="A5539" s="5" t="str">
        <f ca="1">IFERROR(__xludf.DUMMYFUNCTION("GOOGLETRANSLATE(B23595,""en"",""pt"")"),"Taylors Lakes")</f>
        <v>Taylors Lakes</v>
      </c>
      <c r="B5539" s="17" t="s">
        <v>1094</v>
      </c>
      <c r="C5539" s="17" t="s">
        <v>885</v>
      </c>
      <c r="D5539" s="17" t="s">
        <v>827</v>
      </c>
      <c r="E5539" s="10">
        <v>8347847</v>
      </c>
      <c r="F5539" s="4" t="str">
        <f>IF(B5539=B5538,"",B5539)</f>
        <v/>
      </c>
    </row>
    <row r="5540" spans="1:6" ht="15.75" customHeight="1">
      <c r="A5540" s="6" t="s">
        <v>30165</v>
      </c>
      <c r="B5540" s="6" t="s">
        <v>30165</v>
      </c>
      <c r="C5540" s="6" t="s">
        <v>27788</v>
      </c>
      <c r="D5540" s="6" t="s">
        <v>27811</v>
      </c>
      <c r="E5540" s="2">
        <v>4598353</v>
      </c>
      <c r="F5540" s="4" t="str">
        <f>IF(B5540=B5539,"",B5540)</f>
        <v>Taylors</v>
      </c>
    </row>
    <row r="5541" spans="1:6" ht="15.75" customHeight="1">
      <c r="A5541" s="5" t="str">
        <f ca="1">IFERROR(__xludf.DUMMYFUNCTION("GOOGLETRANSLATE(B43605,""en"",""pt"")"),"Taylors")</f>
        <v>Taylors</v>
      </c>
      <c r="B5541" s="17" t="s">
        <v>30165</v>
      </c>
      <c r="C5541" s="17" t="s">
        <v>27788</v>
      </c>
      <c r="D5541" s="17" t="s">
        <v>27811</v>
      </c>
      <c r="E5541" s="10">
        <v>4598353</v>
      </c>
      <c r="F5541" s="4" t="str">
        <f>IF(B5541=B5540,"",B5541)</f>
        <v/>
      </c>
    </row>
    <row r="5542" spans="1:6" ht="15.75" customHeight="1">
      <c r="A5542" s="6" t="s">
        <v>30164</v>
      </c>
      <c r="B5542" s="6" t="s">
        <v>30164</v>
      </c>
      <c r="C5542" s="6" t="s">
        <v>27788</v>
      </c>
      <c r="D5542" s="6" t="s">
        <v>27804</v>
      </c>
      <c r="E5542" s="2">
        <v>5011908</v>
      </c>
      <c r="F5542" s="4" t="str">
        <f>IF(B5542=B5541,"",B5542)</f>
        <v>Taylor</v>
      </c>
    </row>
    <row r="5543" spans="1:6" ht="15.75" customHeight="1">
      <c r="A5543" s="5" t="str">
        <f ca="1">IFERROR(__xludf.DUMMYFUNCTION("GOOGLETRANSLATE(B44126,""en"",""pt"")"),"Taylor")</f>
        <v>Taylor</v>
      </c>
      <c r="B5543" s="17" t="s">
        <v>30164</v>
      </c>
      <c r="C5543" s="17" t="s">
        <v>27788</v>
      </c>
      <c r="D5543" s="17" t="s">
        <v>27804</v>
      </c>
      <c r="E5543" s="10">
        <v>5011908</v>
      </c>
      <c r="F5543" s="4" t="str">
        <f>IF(B5543=B5542,"",B5543)</f>
        <v/>
      </c>
    </row>
    <row r="5544" spans="1:6" ht="15.75" customHeight="1">
      <c r="A5544" s="6" t="s">
        <v>23177</v>
      </c>
      <c r="B5544" s="6" t="s">
        <v>23177</v>
      </c>
      <c r="C5544" s="6" t="s">
        <v>22070</v>
      </c>
      <c r="D5544" s="6" t="s">
        <v>22140</v>
      </c>
      <c r="E5544" s="2">
        <v>1489907</v>
      </c>
      <c r="F5544" s="4" t="str">
        <f>IF(B5544=B5543,"",B5544)</f>
        <v>Tayga</v>
      </c>
    </row>
    <row r="5545" spans="1:6" ht="15.75" customHeight="1">
      <c r="A5545" s="5" t="str">
        <f ca="1">IFERROR(__xludf.DUMMYFUNCTION("GOOGLETRANSLATE(B40741,""en"",""pt"")"),"Tayga")</f>
        <v>Tayga</v>
      </c>
      <c r="B5545" s="17" t="s">
        <v>23177</v>
      </c>
      <c r="C5545" s="17" t="s">
        <v>22070</v>
      </c>
      <c r="D5545" s="17" t="s">
        <v>22140</v>
      </c>
      <c r="E5545" s="10">
        <v>1489907</v>
      </c>
      <c r="F5545" s="4" t="str">
        <f>IF(B5545=B5544,"",B5545)</f>
        <v/>
      </c>
    </row>
    <row r="5546" spans="1:6" ht="15.75" customHeight="1">
      <c r="A5546" s="5" t="str">
        <f ca="1">IFERROR(__xludf.DUMMYFUNCTION("GOOGLETRANSLATE(B34527,""en"",""pt"")"),"Tāybād")</f>
        <v>Tāybād</v>
      </c>
      <c r="B5546" s="17" t="s">
        <v>34260</v>
      </c>
      <c r="C5546" s="17" t="s">
        <v>14240</v>
      </c>
      <c r="D5546" s="17" t="s">
        <v>14351</v>
      </c>
      <c r="E5546" s="10">
        <v>1159384</v>
      </c>
      <c r="F5546" s="4" t="str">
        <f>IF(B5546=B5545,"",B5546)</f>
        <v>Tāybād</v>
      </c>
    </row>
    <row r="5547" spans="1:6" ht="15.75" customHeight="1">
      <c r="A5547" s="6" t="s">
        <v>21043</v>
      </c>
      <c r="B5547" s="6" t="s">
        <v>21043</v>
      </c>
      <c r="C5547" s="6" t="s">
        <v>20598</v>
      </c>
      <c r="D5547" s="6" t="s">
        <v>20608</v>
      </c>
      <c r="E5547" s="2">
        <v>1682659</v>
      </c>
      <c r="F5547" s="4" t="str">
        <f>IF(B5547=B5546,"",B5547)</f>
        <v>Tayabas</v>
      </c>
    </row>
    <row r="5548" spans="1:6" ht="15.75" customHeight="1">
      <c r="A5548" s="5" t="str">
        <f ca="1">IFERROR(__xludf.DUMMYFUNCTION("GOOGLETRANSLATE(B38443,""en"",""pt"")"),"Tayabas")</f>
        <v>Tayabas</v>
      </c>
      <c r="B5548" s="17" t="s">
        <v>21043</v>
      </c>
      <c r="C5548" s="17" t="s">
        <v>20598</v>
      </c>
      <c r="D5548" s="17" t="s">
        <v>20608</v>
      </c>
      <c r="E5548" s="10">
        <v>1682659</v>
      </c>
      <c r="F5548" s="4" t="str">
        <f>IF(B5548=B5547,"",B5548)</f>
        <v/>
      </c>
    </row>
    <row r="5549" spans="1:6" ht="15.75" customHeight="1">
      <c r="A5549" s="5" t="str">
        <f ca="1">IFERROR(__xludf.DUMMYFUNCTION("GOOGLETRANSLATE(B45726,""en"",""pt"")"),"Tây Ninh")</f>
        <v>Tây Ninh</v>
      </c>
      <c r="B5549" s="17" t="s">
        <v>36128</v>
      </c>
      <c r="C5549" s="17" t="s">
        <v>30784</v>
      </c>
      <c r="D5549" s="17" t="s">
        <v>36128</v>
      </c>
      <c r="E5549" s="10">
        <v>1566559</v>
      </c>
      <c r="F5549" s="4" t="str">
        <f>IF(B5549=B5548,"",B5549)</f>
        <v>Tây Ninh</v>
      </c>
    </row>
    <row r="5550" spans="1:6" ht="15.75" customHeight="1">
      <c r="A5550" s="5" t="str">
        <f ca="1">IFERROR(__xludf.DUMMYFUNCTION("GOOGLETRANSLATE(B36906,""en"",""pt"")"),"Taxco de alarcón")</f>
        <v>Taxco de alarcón</v>
      </c>
      <c r="B5550" s="17" t="s">
        <v>34673</v>
      </c>
      <c r="C5550" s="17" t="s">
        <v>17707</v>
      </c>
      <c r="D5550" s="17" t="s">
        <v>17723</v>
      </c>
      <c r="E5550" s="10">
        <v>3516225</v>
      </c>
      <c r="F5550" s="4" t="str">
        <f>IF(B5550=B5549,"",B5550)</f>
        <v>Taxco de Alarcón</v>
      </c>
    </row>
    <row r="5551" spans="1:6" ht="15.75" customHeight="1">
      <c r="A5551" s="5" t="s">
        <v>18304</v>
      </c>
      <c r="B5551" s="6" t="s">
        <v>18305</v>
      </c>
      <c r="C5551" s="5" t="s">
        <v>17707</v>
      </c>
      <c r="D5551" s="5" t="s">
        <v>17723</v>
      </c>
      <c r="E5551" s="2">
        <v>3516225</v>
      </c>
      <c r="F5551" s="4" t="str">
        <f>IF(B5551=B5550,"",B5551)</f>
        <v>Taxco de AlarcÃ³n</v>
      </c>
    </row>
    <row r="5552" spans="1:6" ht="15.75" customHeight="1">
      <c r="A5552" s="6" t="s">
        <v>17585</v>
      </c>
      <c r="B5552" s="6" t="s">
        <v>17585</v>
      </c>
      <c r="C5552" s="6" t="s">
        <v>17432</v>
      </c>
      <c r="D5552" s="6" t="s">
        <v>17444</v>
      </c>
      <c r="E5552" s="2">
        <v>1734199</v>
      </c>
      <c r="F5552" s="4" t="str">
        <f>IF(B5552=B5551,"",B5552)</f>
        <v>Tawau</v>
      </c>
    </row>
    <row r="5553" spans="1:6" ht="15.75" customHeight="1">
      <c r="A5553" s="5" t="str">
        <f ca="1">IFERROR(__xludf.DUMMYFUNCTION("GOOGLETRANSLATE(B37443,""en"",""pt"")"),"Tawau")</f>
        <v>Tawau</v>
      </c>
      <c r="B5553" s="17" t="s">
        <v>17585</v>
      </c>
      <c r="C5553" s="17" t="s">
        <v>17432</v>
      </c>
      <c r="D5553" s="17" t="s">
        <v>17444</v>
      </c>
      <c r="E5553" s="10">
        <v>1734199</v>
      </c>
      <c r="F5553" s="4" t="str">
        <f>IF(B5553=B5552,"",B5553)</f>
        <v/>
      </c>
    </row>
    <row r="5554" spans="1:6" ht="15.75" customHeight="1">
      <c r="A5554" s="5" t="s">
        <v>16502</v>
      </c>
      <c r="B5554" s="6" t="s">
        <v>16502</v>
      </c>
      <c r="C5554" s="5" t="s">
        <v>15704</v>
      </c>
      <c r="D5554" s="5" t="s">
        <v>15905</v>
      </c>
      <c r="E5554" s="2">
        <v>1850472</v>
      </c>
      <c r="F5554" s="4" t="str">
        <f>IF(B5554=B5553,"",B5554)</f>
        <v>Tawaramoto</v>
      </c>
    </row>
    <row r="5555" spans="1:6" ht="15.75" customHeight="1">
      <c r="A5555" s="5" t="str">
        <f ca="1">IFERROR(__xludf.DUMMYFUNCTION("GOOGLETRANSLATE(B35237,""en"",""pt"")"),"Tawaramoto")</f>
        <v>Tawaramoto</v>
      </c>
      <c r="B5555" s="17" t="s">
        <v>16502</v>
      </c>
      <c r="C5555" s="17" t="s">
        <v>15704</v>
      </c>
      <c r="D5555" s="17" t="s">
        <v>15905</v>
      </c>
      <c r="E5555" s="10">
        <v>1850472</v>
      </c>
      <c r="F5555" s="4" t="str">
        <f>IF(B5555=B5554,"",B5555)</f>
        <v/>
      </c>
    </row>
    <row r="5556" spans="1:6" ht="15.75" customHeight="1">
      <c r="A5556" s="5" t="str">
        <f ca="1">IFERROR(__xludf.DUMMYFUNCTION("GOOGLETRANSLATE(B41885,""en"",""pt"")"),"Tavşanlı")</f>
        <v>Tavşanlı</v>
      </c>
      <c r="B5556" s="17" t="s">
        <v>35829</v>
      </c>
      <c r="C5556" s="17" t="s">
        <v>26201</v>
      </c>
      <c r="D5556" s="17" t="s">
        <v>26567</v>
      </c>
      <c r="E5556" s="10">
        <v>299545</v>
      </c>
      <c r="F5556" s="4" t="str">
        <f>IF(B5556=B5555,"",B5556)</f>
        <v>Tavşanlı</v>
      </c>
    </row>
    <row r="5557" spans="1:6" ht="15.75" customHeight="1">
      <c r="A5557" s="6" t="s">
        <v>7846</v>
      </c>
      <c r="B5557" s="6" t="s">
        <v>7847</v>
      </c>
      <c r="C5557" s="6" t="s">
        <v>7052</v>
      </c>
      <c r="D5557" s="6" t="s">
        <v>7058</v>
      </c>
      <c r="E5557" s="2">
        <v>2973258</v>
      </c>
      <c r="F5557" s="4" t="str">
        <f>IF(B5557=B5556,"",B5557)</f>
        <v>Taverny</v>
      </c>
    </row>
    <row r="5558" spans="1:6" ht="15.75" customHeight="1">
      <c r="A5558" s="5" t="str">
        <f ca="1">IFERROR(__xludf.DUMMYFUNCTION("GOOGLETRANSLATE(B29738,""en"",""pt"")"),"TAVERNY")</f>
        <v>TAVERNY</v>
      </c>
      <c r="B5558" s="17" t="s">
        <v>7847</v>
      </c>
      <c r="C5558" s="17" t="s">
        <v>7052</v>
      </c>
      <c r="D5558" s="17" t="s">
        <v>32531</v>
      </c>
      <c r="E5558" s="10">
        <v>2973258</v>
      </c>
      <c r="F5558" s="4" t="str">
        <f>IF(B5558=B5557,"",B5558)</f>
        <v/>
      </c>
    </row>
    <row r="5559" spans="1:6" ht="15.75" customHeight="1">
      <c r="A5559" s="5" t="s">
        <v>24840</v>
      </c>
      <c r="B5559" s="6" t="s">
        <v>24840</v>
      </c>
      <c r="C5559" s="5" t="s">
        <v>24200</v>
      </c>
      <c r="D5559" s="5" t="s">
        <v>21053</v>
      </c>
      <c r="E5559" s="2">
        <v>2510743</v>
      </c>
      <c r="F5559" s="4" t="str">
        <f>IF(B5559=B5558,"",B5559)</f>
        <v>Tavernes de la Valldigna</v>
      </c>
    </row>
    <row r="5560" spans="1:6" ht="15.75" customHeight="1">
      <c r="A5560" s="5" t="str">
        <f ca="1">IFERROR(__xludf.DUMMYFUNCTION("GOOGLETRANSLATE(B28980,""en"",""pt"")"),"Tavernes de la Valldigna")</f>
        <v>Tavernes de la Valldigna</v>
      </c>
      <c r="B5560" s="17" t="s">
        <v>24840</v>
      </c>
      <c r="C5560" s="17" t="s">
        <v>24200</v>
      </c>
      <c r="D5560" s="17" t="s">
        <v>21053</v>
      </c>
      <c r="E5560" s="10">
        <v>2510743</v>
      </c>
      <c r="F5560" s="4" t="str">
        <f>IF(B5560=B5559,"",B5560)</f>
        <v/>
      </c>
    </row>
    <row r="5561" spans="1:6" ht="15.75" customHeight="1">
      <c r="A5561" s="6" t="s">
        <v>23176</v>
      </c>
      <c r="B5561" s="6" t="s">
        <v>23176</v>
      </c>
      <c r="C5561" s="6" t="s">
        <v>22070</v>
      </c>
      <c r="D5561" s="6" t="s">
        <v>22106</v>
      </c>
      <c r="E5561" s="2">
        <v>1489962</v>
      </c>
      <c r="F5561" s="4" t="str">
        <f>IF(B5561=B5560,"",B5561)</f>
        <v>Tavda</v>
      </c>
    </row>
    <row r="5562" spans="1:6" ht="15.75" customHeight="1">
      <c r="A5562" s="5" t="str">
        <f ca="1">IFERROR(__xludf.DUMMYFUNCTION("GOOGLETRANSLATE(B40742,""en"",""pt"")"),"Tavda")</f>
        <v>Tavda</v>
      </c>
      <c r="B5562" s="17" t="s">
        <v>23176</v>
      </c>
      <c r="C5562" s="17" t="s">
        <v>22070</v>
      </c>
      <c r="D5562" s="17" t="s">
        <v>22106</v>
      </c>
      <c r="E5562" s="10">
        <v>1489962</v>
      </c>
      <c r="F5562" s="4" t="str">
        <f>IF(B5562=B5561,"",B5562)</f>
        <v/>
      </c>
    </row>
    <row r="5563" spans="1:6" ht="15.75" customHeight="1">
      <c r="A5563" s="5" t="s">
        <v>26722</v>
      </c>
      <c r="B5563" s="6" t="s">
        <v>26723</v>
      </c>
      <c r="C5563" s="5" t="s">
        <v>26201</v>
      </c>
      <c r="D5563" s="5" t="s">
        <v>26468</v>
      </c>
      <c r="E5563" s="2">
        <v>299545</v>
      </c>
      <c r="F5563" s="4" t="str">
        <f>IF(B5563=B5562,"",B5563)</f>
        <v>TavÅŸanlÄ±</v>
      </c>
    </row>
    <row r="5564" spans="1:6" ht="15.75" customHeight="1">
      <c r="A5564" s="6" t="s">
        <v>19207</v>
      </c>
      <c r="B5564" s="6" t="s">
        <v>19207</v>
      </c>
      <c r="C5564" s="6" t="s">
        <v>19169</v>
      </c>
      <c r="D5564" s="6" t="s">
        <v>19204</v>
      </c>
      <c r="E5564" s="2">
        <v>2208032</v>
      </c>
      <c r="F5564" s="4" t="str">
        <f>IF(B5564=B5563,"",B5564)</f>
        <v>Tauranga</v>
      </c>
    </row>
    <row r="5565" spans="1:6" ht="15.75" customHeight="1">
      <c r="A5565" s="5" t="str">
        <f ca="1">IFERROR(__xludf.DUMMYFUNCTION("GOOGLETRANSLATE(B38241,""en"",""pt"")"),"Tauranga")</f>
        <v>Tauranga</v>
      </c>
      <c r="B5565" s="17" t="s">
        <v>19207</v>
      </c>
      <c r="C5565" s="17" t="s">
        <v>19169</v>
      </c>
      <c r="D5565" s="17" t="s">
        <v>19204</v>
      </c>
      <c r="E5565" s="10">
        <v>2208032</v>
      </c>
      <c r="F5565" s="4" t="str">
        <f>IF(B5565=B5564,"",B5565)</f>
        <v/>
      </c>
    </row>
    <row r="5566" spans="1:6" ht="15.75" customHeight="1">
      <c r="A5566" s="6" t="s">
        <v>17203</v>
      </c>
      <c r="B5566" s="6" t="s">
        <v>17203</v>
      </c>
      <c r="C5566" s="6" t="s">
        <v>17154</v>
      </c>
      <c r="D5566" s="6" t="s">
        <v>17204</v>
      </c>
      <c r="E5566" s="2">
        <v>593959</v>
      </c>
      <c r="F5566" s="4" t="str">
        <f>IF(B5566=B5565,"",B5566)</f>
        <v>Taurage</v>
      </c>
    </row>
    <row r="5567" spans="1:6" ht="15.75" customHeight="1">
      <c r="A5567" s="5" t="str">
        <f ca="1">IFERROR(__xludf.DUMMYFUNCTION("GOOGLETRANSLATE(B36365,""en"",""pt"")"),"Taurage")</f>
        <v>Taurage</v>
      </c>
      <c r="B5567" s="17" t="s">
        <v>17203</v>
      </c>
      <c r="C5567" s="17" t="s">
        <v>17154</v>
      </c>
      <c r="D5567" s="17" t="s">
        <v>34526</v>
      </c>
      <c r="E5567" s="10">
        <v>593959</v>
      </c>
      <c r="F5567" s="4" t="str">
        <f>IF(B5567=B5566,"",B5567)</f>
        <v/>
      </c>
    </row>
    <row r="5568" spans="1:6" ht="15.75" customHeight="1">
      <c r="A5568" s="6" t="s">
        <v>19206</v>
      </c>
      <c r="B5568" s="6" t="s">
        <v>19206</v>
      </c>
      <c r="C5568" s="6" t="s">
        <v>19169</v>
      </c>
      <c r="D5568" s="6" t="s">
        <v>19174</v>
      </c>
      <c r="E5568" s="2">
        <v>2181742</v>
      </c>
      <c r="F5568" s="4" t="str">
        <f>IF(B5568=B5567,"",B5568)</f>
        <v>Taupo</v>
      </c>
    </row>
    <row r="5569" spans="1:6" ht="15.75" customHeight="1">
      <c r="A5569" s="5" t="str">
        <f ca="1">IFERROR(__xludf.DUMMYFUNCTION("GOOGLETRANSLATE(B38220,""en"",""pt"")"),"Taupo")</f>
        <v>Taupo</v>
      </c>
      <c r="B5569" s="17" t="s">
        <v>19206</v>
      </c>
      <c r="C5569" s="17" t="s">
        <v>19169</v>
      </c>
      <c r="D5569" s="17" t="s">
        <v>19174</v>
      </c>
      <c r="E5569" s="10">
        <v>2181742</v>
      </c>
      <c r="F5569" s="4" t="str">
        <f>IF(B5569=B5568,"",B5569)</f>
        <v/>
      </c>
    </row>
    <row r="5570" spans="1:6" ht="15.75" customHeight="1">
      <c r="A5570" s="5" t="s">
        <v>9197</v>
      </c>
      <c r="B5570" s="6" t="s">
        <v>9197</v>
      </c>
      <c r="C5570" s="5" t="s">
        <v>8028</v>
      </c>
      <c r="D5570" s="5" t="s">
        <v>8050</v>
      </c>
      <c r="E5570" s="2">
        <v>2823799</v>
      </c>
      <c r="F5570" s="4" t="str">
        <f>IF(B5570=B5569,"",B5570)</f>
        <v>Taunusstein</v>
      </c>
    </row>
    <row r="5571" spans="1:6" ht="15.75" customHeight="1">
      <c r="A5571" s="5" t="str">
        <f ca="1">IFERROR(__xludf.DUMMYFUNCTION("GOOGLETRANSLATE(B27482,""en"",""pt"")"),"Taunusstein")</f>
        <v>Taunusstein</v>
      </c>
      <c r="B5571" s="17" t="s">
        <v>9197</v>
      </c>
      <c r="C5571" s="17" t="s">
        <v>8028</v>
      </c>
      <c r="D5571" s="17" t="s">
        <v>8050</v>
      </c>
      <c r="E5571" s="10">
        <v>2823799</v>
      </c>
      <c r="F5571" s="4" t="str">
        <f>IF(B5571=B5570,"",B5571)</f>
        <v/>
      </c>
    </row>
    <row r="5572" spans="1:6" ht="15.75" customHeight="1">
      <c r="A5572" s="6" t="s">
        <v>30163</v>
      </c>
      <c r="B5572" s="6" t="s">
        <v>30163</v>
      </c>
      <c r="C5572" s="6" t="s">
        <v>27788</v>
      </c>
      <c r="D5572" s="6" t="s">
        <v>27794</v>
      </c>
      <c r="E5572" s="2">
        <v>4952629</v>
      </c>
      <c r="F5572" s="4" t="str">
        <f>IF(B5572=B5571,"",B5572)</f>
        <v>Taunton</v>
      </c>
    </row>
    <row r="5573" spans="1:6" ht="15.75" customHeight="1">
      <c r="A5573" s="5" t="str">
        <f ca="1">IFERROR(__xludf.DUMMYFUNCTION("GOOGLETRANSLATE(B44034,""en"",""pt"")"),"Taunton")</f>
        <v>Taunton</v>
      </c>
      <c r="B5573" s="17" t="s">
        <v>30163</v>
      </c>
      <c r="C5573" s="17" t="s">
        <v>27788</v>
      </c>
      <c r="D5573" s="17" t="s">
        <v>27794</v>
      </c>
      <c r="E5573" s="10">
        <v>4952629</v>
      </c>
      <c r="F5573" s="4" t="str">
        <f>IF(B5573=B5572,"",B5573)</f>
        <v/>
      </c>
    </row>
    <row r="5574" spans="1:6" ht="15.75" customHeight="1">
      <c r="A5574" s="6" t="s">
        <v>20266</v>
      </c>
      <c r="B5574" s="6" t="s">
        <v>20266</v>
      </c>
      <c r="C5574" s="6" t="s">
        <v>19808</v>
      </c>
      <c r="D5574" s="6" t="s">
        <v>10184</v>
      </c>
      <c r="E5574" s="2">
        <v>1163724</v>
      </c>
      <c r="F5574" s="4" t="str">
        <f>IF(B5574=B5573,"",B5574)</f>
        <v>Taunsa</v>
      </c>
    </row>
    <row r="5575" spans="1:6" ht="15.75" customHeight="1">
      <c r="A5575" s="5" t="str">
        <f ca="1">IFERROR(__xludf.DUMMYFUNCTION("GOOGLETRANSLATE(B38887,""en"",""pt"")"),"Taunsa")</f>
        <v>Taunsa</v>
      </c>
      <c r="B5575" s="17" t="s">
        <v>20266</v>
      </c>
      <c r="C5575" s="17" t="s">
        <v>19808</v>
      </c>
      <c r="D5575" s="17" t="s">
        <v>10184</v>
      </c>
      <c r="E5575" s="10">
        <v>1163724</v>
      </c>
      <c r="F5575" s="4" t="str">
        <f>IF(B5575=B5574,"",B5575)</f>
        <v/>
      </c>
    </row>
    <row r="5576" spans="1:6" ht="15.75" customHeight="1">
      <c r="A5576" s="6" t="s">
        <v>18760</v>
      </c>
      <c r="B5576" s="6" t="s">
        <v>18760</v>
      </c>
      <c r="C5576" s="6" t="s">
        <v>18696</v>
      </c>
      <c r="D5576" s="6" t="s">
        <v>18695</v>
      </c>
      <c r="E5576" s="2">
        <v>1290596</v>
      </c>
      <c r="F5576" s="4" t="str">
        <f>IF(B5576=B5575,"",B5576)</f>
        <v>Taungoo</v>
      </c>
    </row>
    <row r="5577" spans="1:6" ht="15.75" customHeight="1">
      <c r="A5577" s="5" t="str">
        <f ca="1">IFERROR(__xludf.DUMMYFUNCTION("GOOGLETRANSLATE(B36703,""en"",""pt"")"),"Taungoo")</f>
        <v>Taungoo</v>
      </c>
      <c r="B5577" s="17" t="s">
        <v>18760</v>
      </c>
      <c r="C5577" s="17" t="s">
        <v>18696</v>
      </c>
      <c r="D5577" s="17" t="s">
        <v>18695</v>
      </c>
      <c r="E5577" s="10">
        <v>1290596</v>
      </c>
      <c r="F5577" s="4" t="str">
        <f>IF(B5577=B5576,"",B5577)</f>
        <v/>
      </c>
    </row>
    <row r="5578" spans="1:6" ht="15.75" customHeight="1">
      <c r="A5578" s="6" t="s">
        <v>18759</v>
      </c>
      <c r="B5578" s="6" t="s">
        <v>18759</v>
      </c>
      <c r="C5578" s="6" t="s">
        <v>18696</v>
      </c>
      <c r="D5578" s="6" t="s">
        <v>18720</v>
      </c>
      <c r="E5578" s="2">
        <v>1293960</v>
      </c>
      <c r="F5578" s="4" t="str">
        <f>IF(B5578=B5577,"",B5578)</f>
        <v>Taunggyi</v>
      </c>
    </row>
    <row r="5579" spans="1:6" ht="15.75" customHeight="1">
      <c r="A5579" s="5" t="str">
        <f ca="1">IFERROR(__xludf.DUMMYFUNCTION("GOOGLETRANSLATE(B36711,""en"",""pt"")"),"Taunggyi")</f>
        <v>Taunggyi</v>
      </c>
      <c r="B5579" s="17" t="s">
        <v>18759</v>
      </c>
      <c r="C5579" s="17" t="s">
        <v>18696</v>
      </c>
      <c r="D5579" s="17" t="s">
        <v>18720</v>
      </c>
      <c r="E5579" s="10">
        <v>1293960</v>
      </c>
      <c r="F5579" s="4" t="str">
        <f>IF(B5579=B5578,"",B5579)</f>
        <v/>
      </c>
    </row>
    <row r="5580" spans="1:6" ht="15.75" customHeight="1">
      <c r="A5580" s="5" t="s">
        <v>18758</v>
      </c>
      <c r="B5580" s="6" t="s">
        <v>18758</v>
      </c>
      <c r="C5580" s="5" t="s">
        <v>18696</v>
      </c>
      <c r="D5580" s="5" t="s">
        <v>18702</v>
      </c>
      <c r="E5580" s="2">
        <v>1294041</v>
      </c>
      <c r="F5580" s="4" t="str">
        <f>IF(B5580=B5579,"",B5580)</f>
        <v>Taungdwingyi</v>
      </c>
    </row>
    <row r="5581" spans="1:6" ht="15.75" customHeight="1">
      <c r="A5581" s="5" t="str">
        <f ca="1">IFERROR(__xludf.DUMMYFUNCTION("GOOGLETRANSLATE(B36712,""en"",""pt"")"),"Taungdwingyi")</f>
        <v>Taungdwingyi</v>
      </c>
      <c r="B5581" s="17" t="s">
        <v>18758</v>
      </c>
      <c r="C5581" s="17" t="s">
        <v>18696</v>
      </c>
      <c r="D5581" s="17" t="s">
        <v>18702</v>
      </c>
      <c r="E5581" s="10">
        <v>1294041</v>
      </c>
      <c r="F5581" s="4" t="str">
        <f>IF(B5581=B5580,"",B5581)</f>
        <v/>
      </c>
    </row>
    <row r="5582" spans="1:6" ht="15.75" customHeight="1">
      <c r="A5582" s="5" t="s">
        <v>9196</v>
      </c>
      <c r="B5582" s="6" t="s">
        <v>9196</v>
      </c>
      <c r="C5582" s="5" t="s">
        <v>8028</v>
      </c>
      <c r="D5582" s="5" t="s">
        <v>8044</v>
      </c>
      <c r="E5582" s="2">
        <v>2823812</v>
      </c>
      <c r="F5582" s="4" t="str">
        <f>IF(B5582=B5581,"",B5582)</f>
        <v>Taufkirchen</v>
      </c>
    </row>
    <row r="5583" spans="1:6" ht="15.75" customHeight="1">
      <c r="A5583" s="5" t="str">
        <f ca="1">IFERROR(__xludf.DUMMYFUNCTION("GOOGLETRANSLATE(B27483,""en"",""pt"")"),"Taufkirchen")</f>
        <v>Taufkirchen</v>
      </c>
      <c r="B5583" s="17" t="s">
        <v>9196</v>
      </c>
      <c r="C5583" s="17" t="s">
        <v>8028</v>
      </c>
      <c r="D5583" s="17" t="s">
        <v>8044</v>
      </c>
      <c r="E5583" s="10">
        <v>2823812</v>
      </c>
      <c r="F5583" s="4" t="str">
        <f>IF(B5583=B5582,"",B5583)</f>
        <v/>
      </c>
    </row>
    <row r="5584" spans="1:6" ht="15.75" customHeight="1">
      <c r="A5584" s="5" t="str">
        <f ca="1">IFERROR(__xludf.DUMMYFUNCTION("GOOGLETRANSLATE(B24498,""en"",""pt"")"),"Taubaté")</f>
        <v>Taubaté</v>
      </c>
      <c r="B5584" s="17" t="s">
        <v>3535</v>
      </c>
      <c r="C5584" s="17" t="s">
        <v>1905</v>
      </c>
      <c r="D5584" s="17" t="s">
        <v>3354</v>
      </c>
      <c r="E5584" s="10">
        <v>3446682</v>
      </c>
      <c r="F5584" s="4" t="str">
        <f>IF(B5584=B5583,"",B5584)</f>
        <v>Taubaté</v>
      </c>
    </row>
    <row r="5585" spans="1:6" ht="15.75" customHeight="1">
      <c r="A5585" s="6" t="s">
        <v>3535</v>
      </c>
      <c r="B5585" s="6" t="s">
        <v>3536</v>
      </c>
      <c r="C5585" s="6" t="s">
        <v>1905</v>
      </c>
      <c r="D5585" s="6" t="s">
        <v>1914</v>
      </c>
      <c r="E5585" s="2">
        <v>3446682</v>
      </c>
      <c r="F5585" s="4" t="str">
        <f>IF(B5585=B5584,"",B5585)</f>
        <v>TaubatÃ©</v>
      </c>
    </row>
    <row r="5586" spans="1:6" ht="15.75" customHeight="1">
      <c r="A5586" s="6" t="s">
        <v>6109</v>
      </c>
      <c r="B5586" s="6" t="s">
        <v>6110</v>
      </c>
      <c r="C5586" s="6" t="s">
        <v>5947</v>
      </c>
      <c r="D5586" s="6" t="s">
        <v>5971</v>
      </c>
      <c r="E5586" s="2">
        <v>3064000</v>
      </c>
      <c r="F5586" s="4" t="str">
        <f>IF(B5586=B5585,"",B5586)</f>
        <v>TÅ™inec</v>
      </c>
    </row>
    <row r="5587" spans="1:6" ht="15.75" customHeight="1">
      <c r="A5587" s="5" t="s">
        <v>6107</v>
      </c>
      <c r="B5587" s="6" t="s">
        <v>6108</v>
      </c>
      <c r="C5587" s="5" t="s">
        <v>5947</v>
      </c>
      <c r="D5587" s="5" t="s">
        <v>5951</v>
      </c>
      <c r="E5587" s="2">
        <v>3064104</v>
      </c>
      <c r="F5587" s="4" t="str">
        <f>IF(B5587=B5586,"",B5587)</f>
        <v>TÅ™ebÃ­Ä</v>
      </c>
    </row>
    <row r="5588" spans="1:6" ht="15.75" customHeight="1">
      <c r="A5588" s="6" t="s">
        <v>26721</v>
      </c>
      <c r="B5588" s="6" t="s">
        <v>26721</v>
      </c>
      <c r="C5588" s="6" t="s">
        <v>26201</v>
      </c>
      <c r="D5588" s="6" t="s">
        <v>26280</v>
      </c>
      <c r="E5588" s="2">
        <v>299582</v>
      </c>
      <c r="F5588" s="4" t="str">
        <f>IF(B5588=B5587,"",B5588)</f>
        <v>Tatvan</v>
      </c>
    </row>
    <row r="5589" spans="1:6" ht="15.75" customHeight="1">
      <c r="A5589" s="5" t="str">
        <f ca="1">IFERROR(__xludf.DUMMYFUNCTION("GOOGLETRANSLATE(B41886,""en"",""pt"")"),"Tatvan")</f>
        <v>Tatvan</v>
      </c>
      <c r="B5589" s="17" t="s">
        <v>26721</v>
      </c>
      <c r="C5589" s="17" t="s">
        <v>26201</v>
      </c>
      <c r="D5589" s="17" t="s">
        <v>26280</v>
      </c>
      <c r="E5589" s="10">
        <v>299582</v>
      </c>
      <c r="F5589" s="4" t="str">
        <f>IF(B5589=B5588,"",B5589)</f>
        <v/>
      </c>
    </row>
    <row r="5590" spans="1:6" ht="15.75" customHeight="1">
      <c r="A5590" s="5" t="str">
        <f ca="1">IFERROR(__xludf.DUMMYFUNCTION("GOOGLETRANSLATE(B24499,""en"",""pt"")"),"Tatuí")</f>
        <v>Tatuí</v>
      </c>
      <c r="B5590" s="17" t="s">
        <v>31457</v>
      </c>
      <c r="C5590" s="17" t="s">
        <v>1905</v>
      </c>
      <c r="D5590" s="17" t="s">
        <v>3354</v>
      </c>
      <c r="E5590" s="10">
        <v>3446692</v>
      </c>
      <c r="F5590" s="4" t="str">
        <f>IF(B5590=B5589,"",B5590)</f>
        <v>Tatuí</v>
      </c>
    </row>
    <row r="5591" spans="1:6" ht="15.75" customHeight="1">
      <c r="A5591" s="6" t="s">
        <v>3533</v>
      </c>
      <c r="B5591" s="6" t="s">
        <v>3534</v>
      </c>
      <c r="C5591" s="6" t="s">
        <v>1905</v>
      </c>
      <c r="D5591" s="6" t="s">
        <v>1914</v>
      </c>
      <c r="E5591" s="2">
        <v>3446692</v>
      </c>
      <c r="F5591" s="4" t="str">
        <f>IF(B5591=B5590,"",B5591)</f>
        <v>TatuÃ­</v>
      </c>
    </row>
    <row r="5592" spans="1:6" ht="15.75" customHeight="1">
      <c r="A5592" s="5" t="str">
        <f ca="1">IFERROR(__xludf.DUMMYFUNCTION("GOOGLETRANSLATE(B35239,""en"",""pt"")"),"Tatsunochō-tominaga")</f>
        <v>Tatsunochō-tominaga</v>
      </c>
      <c r="B5592" s="17" t="s">
        <v>34302</v>
      </c>
      <c r="C5592" s="17" t="s">
        <v>15704</v>
      </c>
      <c r="D5592" s="17" t="s">
        <v>34291</v>
      </c>
      <c r="E5592" s="10">
        <v>1850499</v>
      </c>
      <c r="F5592" s="4" t="str">
        <f>IF(B5592=B5591,"",B5592)</f>
        <v>Tatsunochō-tominaga</v>
      </c>
    </row>
    <row r="5593" spans="1:6" ht="15.75" customHeight="1">
      <c r="A5593" s="5" t="s">
        <v>16500</v>
      </c>
      <c r="B5593" s="6" t="s">
        <v>16501</v>
      </c>
      <c r="C5593" s="5" t="s">
        <v>15704</v>
      </c>
      <c r="D5593" s="5" t="s">
        <v>15712</v>
      </c>
      <c r="E5593" s="2">
        <v>1850499</v>
      </c>
      <c r="F5593" s="4" t="str">
        <f>IF(B5593=B5592,"",B5593)</f>
        <v>TatsunochÅ-tominaga</v>
      </c>
    </row>
    <row r="5594" spans="1:6" ht="15.75" customHeight="1">
      <c r="A5594" s="6" t="s">
        <v>16499</v>
      </c>
      <c r="B5594" s="6" t="s">
        <v>16499</v>
      </c>
      <c r="C5594" s="6" t="s">
        <v>15704</v>
      </c>
      <c r="D5594" s="6" t="s">
        <v>15769</v>
      </c>
      <c r="E5594" s="2">
        <v>1850498</v>
      </c>
      <c r="F5594" s="4" t="str">
        <f>IF(B5594=B5593,"",B5594)</f>
        <v>Tatsuno</v>
      </c>
    </row>
    <row r="5595" spans="1:6" ht="15.75" customHeight="1">
      <c r="A5595" s="5" t="str">
        <f ca="1">IFERROR(__xludf.DUMMYFUNCTION("GOOGLETRANSLATE(B35238,""en"",""pt"")"),"Tatsuno")</f>
        <v>Tatsuno</v>
      </c>
      <c r="B5595" s="17" t="s">
        <v>16499</v>
      </c>
      <c r="C5595" s="17" t="s">
        <v>15704</v>
      </c>
      <c r="D5595" s="17" t="s">
        <v>15769</v>
      </c>
      <c r="E5595" s="10">
        <v>1850498</v>
      </c>
      <c r="F5595" s="4" t="str">
        <f>IF(B5595=B5594,"",B5595)</f>
        <v/>
      </c>
    </row>
    <row r="5596" spans="1:6" ht="15.75" customHeight="1">
      <c r="A5596" s="6" t="s">
        <v>16498</v>
      </c>
      <c r="B5596" s="6" t="s">
        <v>16498</v>
      </c>
      <c r="C5596" s="6" t="s">
        <v>15704</v>
      </c>
      <c r="D5596" s="6" t="s">
        <v>15707</v>
      </c>
      <c r="E5596" s="2">
        <v>1850523</v>
      </c>
      <c r="F5596" s="4" t="str">
        <f>IF(B5596=B5595,"",B5596)</f>
        <v>Tateyama</v>
      </c>
    </row>
    <row r="5597" spans="1:6" ht="15.75" customHeight="1">
      <c r="A5597" s="5" t="str">
        <f ca="1">IFERROR(__xludf.DUMMYFUNCTION("GOOGLETRANSLATE(B35240,""en"",""pt"")"),"Tateyama")</f>
        <v>Tateyama</v>
      </c>
      <c r="B5597" s="17" t="s">
        <v>16498</v>
      </c>
      <c r="C5597" s="17" t="s">
        <v>15704</v>
      </c>
      <c r="D5597" s="17" t="s">
        <v>15707</v>
      </c>
      <c r="E5597" s="10">
        <v>1850523</v>
      </c>
      <c r="F5597" s="4" t="str">
        <f>IF(B5597=B5596,"",B5597)</f>
        <v/>
      </c>
    </row>
    <row r="5598" spans="1:6" ht="15.75" customHeight="1">
      <c r="A5598" s="5" t="s">
        <v>16497</v>
      </c>
      <c r="B5598" s="6" t="s">
        <v>16497</v>
      </c>
      <c r="C5598" s="5" t="s">
        <v>15704</v>
      </c>
      <c r="D5598" s="5" t="s">
        <v>15731</v>
      </c>
      <c r="E5598" s="2">
        <v>1850559</v>
      </c>
      <c r="F5598" s="4" t="str">
        <f>IF(B5598=B5597,"",B5598)</f>
        <v>Tatebayashi</v>
      </c>
    </row>
    <row r="5599" spans="1:6" ht="15.75" customHeight="1">
      <c r="A5599" s="5" t="str">
        <f ca="1">IFERROR(__xludf.DUMMYFUNCTION("GOOGLETRANSLATE(B35241,""en"",""pt"")"),"Tatebayashi")</f>
        <v>Tatebayashi</v>
      </c>
      <c r="B5599" s="17" t="s">
        <v>16497</v>
      </c>
      <c r="C5599" s="17" t="s">
        <v>15704</v>
      </c>
      <c r="D5599" s="17" t="s">
        <v>15731</v>
      </c>
      <c r="E5599" s="10">
        <v>1850559</v>
      </c>
      <c r="F5599" s="4" t="str">
        <f>IF(B5599=B5598,"",B5599)</f>
        <v/>
      </c>
    </row>
    <row r="5600" spans="1:6" ht="15.75" customHeight="1">
      <c r="A5600" s="6" t="s">
        <v>23175</v>
      </c>
      <c r="B5600" s="6" t="s">
        <v>23175</v>
      </c>
      <c r="C5600" s="6" t="s">
        <v>22070</v>
      </c>
      <c r="D5600" s="6" t="s">
        <v>22092</v>
      </c>
      <c r="E5600" s="2">
        <v>1490003</v>
      </c>
      <c r="F5600" s="4" t="str">
        <f>IF(B5600=B5599,"",B5600)</f>
        <v>Tatarsk</v>
      </c>
    </row>
    <row r="5601" spans="1:6" ht="15.75" customHeight="1">
      <c r="A5601" s="5" t="str">
        <f ca="1">IFERROR(__xludf.DUMMYFUNCTION("GOOGLETRANSLATE(B40743,""en"",""pt"")"),"Tatarsk")</f>
        <v>Tatarsk</v>
      </c>
      <c r="B5601" s="17" t="s">
        <v>23175</v>
      </c>
      <c r="C5601" s="17" t="s">
        <v>22070</v>
      </c>
      <c r="D5601" s="17" t="s">
        <v>22092</v>
      </c>
      <c r="E5601" s="10">
        <v>1490003</v>
      </c>
      <c r="F5601" s="4" t="str">
        <f>IF(B5601=B5600,"",B5601)</f>
        <v/>
      </c>
    </row>
    <row r="5602" spans="1:6" ht="15.75" customHeight="1">
      <c r="A5602" s="6" t="s">
        <v>26192</v>
      </c>
      <c r="B5602" s="6" t="s">
        <v>26192</v>
      </c>
      <c r="C5602" s="6" t="s">
        <v>26090</v>
      </c>
      <c r="D5602" s="6" t="s">
        <v>26192</v>
      </c>
      <c r="E5602" s="2">
        <v>2464701</v>
      </c>
      <c r="F5602" s="4" t="str">
        <f>IF(B5602=B5601,"",B5602)</f>
        <v>Tataouine</v>
      </c>
    </row>
    <row r="5603" spans="1:6" ht="15.75" customHeight="1">
      <c r="A5603" s="5" t="str">
        <f ca="1">IFERROR(__xludf.DUMMYFUNCTION("GOOGLETRANSLATE(B41794,""en"",""pt"")"),"Tataouine")</f>
        <v>Tataouine</v>
      </c>
      <c r="B5603" s="17" t="s">
        <v>26192</v>
      </c>
      <c r="C5603" s="17" t="s">
        <v>26090</v>
      </c>
      <c r="D5603" s="17" t="s">
        <v>26192</v>
      </c>
      <c r="E5603" s="10">
        <v>2464701</v>
      </c>
      <c r="F5603" s="4" t="str">
        <f>IF(B5603=B5602,"",B5603)</f>
        <v/>
      </c>
    </row>
    <row r="5604" spans="1:6" ht="15.75" customHeight="1">
      <c r="A5604" s="5" t="str">
        <f ca="1">IFERROR(__xludf.DUMMYFUNCTION("GOOGLETRANSLATE(B31277,""en"",""pt"")"),"Tatabánya")</f>
        <v>Tatabánya</v>
      </c>
      <c r="B5604" s="17" t="s">
        <v>32851</v>
      </c>
      <c r="C5604" s="17" t="s">
        <v>9955</v>
      </c>
      <c r="D5604" s="17" t="s">
        <v>32852</v>
      </c>
      <c r="E5604" s="10">
        <v>3044082</v>
      </c>
      <c r="F5604" s="4" t="str">
        <f>IF(B5604=B5603,"",B5604)</f>
        <v>Tatabánya</v>
      </c>
    </row>
    <row r="5605" spans="1:6" ht="15.75" customHeight="1">
      <c r="A5605" s="5" t="s">
        <v>10155</v>
      </c>
      <c r="B5605" s="6" t="s">
        <v>10156</v>
      </c>
      <c r="C5605" s="5" t="s">
        <v>9955</v>
      </c>
      <c r="D5605" s="5" t="s">
        <v>10043</v>
      </c>
      <c r="E5605" s="2">
        <v>3044082</v>
      </c>
      <c r="F5605" s="4" t="str">
        <f>IF(B5605=B5604,"",B5605)</f>
        <v>TatabÃ¡nya</v>
      </c>
    </row>
    <row r="5606" spans="1:6" ht="15.75" customHeight="1">
      <c r="A5606" s="6" t="s">
        <v>10154</v>
      </c>
      <c r="B5606" s="6" t="s">
        <v>10154</v>
      </c>
      <c r="C5606" s="6" t="s">
        <v>9955</v>
      </c>
      <c r="D5606" s="6" t="s">
        <v>10043</v>
      </c>
      <c r="E5606" s="2">
        <v>3044083</v>
      </c>
      <c r="F5606" s="4" t="str">
        <f>IF(B5606=B5605,"",B5606)</f>
        <v>Tata</v>
      </c>
    </row>
    <row r="5607" spans="1:6" ht="15.75" customHeight="1">
      <c r="A5607" s="5" t="str">
        <f ca="1">IFERROR(__xludf.DUMMYFUNCTION("GOOGLETRANSLATE(B31278,""en"",""pt"")"),"Tata")</f>
        <v>Tata</v>
      </c>
      <c r="B5607" s="17" t="s">
        <v>10154</v>
      </c>
      <c r="C5607" s="17" t="s">
        <v>9955</v>
      </c>
      <c r="D5607" s="17" t="s">
        <v>32852</v>
      </c>
      <c r="E5607" s="10">
        <v>3044083</v>
      </c>
      <c r="F5607" s="4" t="str">
        <f>IF(B5607=B5606,"",B5607)</f>
        <v/>
      </c>
    </row>
    <row r="5608" spans="1:6" ht="15.75" customHeight="1">
      <c r="A5608" s="5" t="s">
        <v>7844</v>
      </c>
      <c r="B5608" s="6" t="s">
        <v>7845</v>
      </c>
      <c r="C5608" s="5" t="s">
        <v>7052</v>
      </c>
      <c r="D5608" s="5" t="s">
        <v>7053</v>
      </c>
      <c r="E5608" s="2">
        <v>2973317</v>
      </c>
      <c r="F5608" s="4" t="str">
        <f>IF(B5608=B5607,"",B5608)</f>
        <v>Tassin-la-Demi-Lune</v>
      </c>
    </row>
    <row r="5609" spans="1:6" ht="15.75" customHeight="1">
      <c r="A5609" s="5" t="str">
        <f ca="1">IFERROR(__xludf.DUMMYFUNCTION("GOOGLETRANSLATE(B29739,""en"",""pt"")"),"Tassin-La-Demi-Lune")</f>
        <v>Tassin-La-Demi-Lune</v>
      </c>
      <c r="B5609" s="17" t="s">
        <v>7845</v>
      </c>
      <c r="C5609" s="17" t="s">
        <v>7052</v>
      </c>
      <c r="D5609" s="17" t="s">
        <v>32532</v>
      </c>
      <c r="E5609" s="10">
        <v>2973317</v>
      </c>
      <c r="F5609" s="4" t="str">
        <f>IF(B5609=B5608,"",B5609)</f>
        <v/>
      </c>
    </row>
    <row r="5610" spans="1:6" ht="15.75" customHeight="1">
      <c r="A5610" s="5" t="str">
        <f ca="1">IFERROR(__xludf.DUMMYFUNCTION("GOOGLETRANSLATE(B42110,""en"",""pt"")"),"Taşova")</f>
        <v>Taşova</v>
      </c>
      <c r="B5610" s="17" t="s">
        <v>35919</v>
      </c>
      <c r="C5610" s="17" t="s">
        <v>26201</v>
      </c>
      <c r="D5610" s="17" t="s">
        <v>26313</v>
      </c>
      <c r="E5610" s="10">
        <v>739015</v>
      </c>
      <c r="F5610" s="4" t="str">
        <f>IF(B5610=B5609,"",B5610)</f>
        <v>Taşova</v>
      </c>
    </row>
    <row r="5611" spans="1:6" ht="15.75" customHeight="1">
      <c r="A5611" s="5" t="str">
        <f ca="1">IFERROR(__xludf.DUMMYFUNCTION("GOOGLETRANSLATE(B42111,""en"",""pt"")"),"Taşköprü")</f>
        <v>Taşköprü</v>
      </c>
      <c r="B5611" s="17" t="s">
        <v>35920</v>
      </c>
      <c r="C5611" s="17" t="s">
        <v>26201</v>
      </c>
      <c r="D5611" s="17" t="s">
        <v>26590</v>
      </c>
      <c r="E5611" s="10">
        <v>739061</v>
      </c>
      <c r="F5611" s="4" t="str">
        <f>IF(B5611=B5610,"",B5611)</f>
        <v>Taşköprü</v>
      </c>
    </row>
    <row r="5612" spans="1:6" ht="15.75" customHeight="1">
      <c r="A5612" s="5" t="s">
        <v>14203</v>
      </c>
      <c r="B5612" s="6" t="s">
        <v>14203</v>
      </c>
      <c r="C5612" s="5" t="s">
        <v>13800</v>
      </c>
      <c r="D5612" s="5" t="s">
        <v>13811</v>
      </c>
      <c r="E5612" s="2">
        <v>1624647</v>
      </c>
      <c r="F5612" s="4" t="str">
        <f>IF(B5612=B5611,"",B5612)</f>
        <v>Tasikmalaya</v>
      </c>
    </row>
    <row r="5613" spans="1:6" ht="15.75" customHeight="1">
      <c r="A5613" s="5" t="str">
        <f ca="1">IFERROR(__xludf.DUMMYFUNCTION("GOOGLETRANSLATE(B31412,""en"",""pt"")"),"Tasikmalaya")</f>
        <v>Tasikmalaya</v>
      </c>
      <c r="B5613" s="17" t="s">
        <v>14203</v>
      </c>
      <c r="C5613" s="17" t="s">
        <v>13800</v>
      </c>
      <c r="D5613" s="17" t="s">
        <v>13811</v>
      </c>
      <c r="E5613" s="10">
        <v>1624647</v>
      </c>
      <c r="F5613" s="4" t="str">
        <f>IF(B5613=B5612,"",B5613)</f>
        <v/>
      </c>
    </row>
    <row r="5614" spans="1:6" ht="15.75" customHeight="1">
      <c r="A5614" s="6" t="s">
        <v>23174</v>
      </c>
      <c r="B5614" s="6" t="s">
        <v>23174</v>
      </c>
      <c r="C5614" s="6" t="s">
        <v>22070</v>
      </c>
      <c r="D5614" s="6" t="s">
        <v>22140</v>
      </c>
      <c r="E5614" s="2">
        <v>1490042</v>
      </c>
      <c r="F5614" s="4" t="str">
        <f>IF(B5614=B5613,"",B5614)</f>
        <v>Tashtagol</v>
      </c>
    </row>
    <row r="5615" spans="1:6" ht="15.75" customHeight="1">
      <c r="A5615" s="5" t="str">
        <f ca="1">IFERROR(__xludf.DUMMYFUNCTION("GOOGLETRANSLATE(B40744,""en"",""pt"")"),"Tashtagol")</f>
        <v>Tashtagol</v>
      </c>
      <c r="B5615" s="17" t="s">
        <v>23174</v>
      </c>
      <c r="C5615" s="17" t="s">
        <v>22070</v>
      </c>
      <c r="D5615" s="17" t="s">
        <v>22140</v>
      </c>
      <c r="E5615" s="10">
        <v>1490042</v>
      </c>
      <c r="F5615" s="4" t="str">
        <f>IF(B5615=B5614,"",B5615)</f>
        <v/>
      </c>
    </row>
    <row r="5616" spans="1:6" ht="15.75" customHeight="1">
      <c r="A5616" s="5" t="s">
        <v>16949</v>
      </c>
      <c r="B5616" s="6" t="s">
        <v>16949</v>
      </c>
      <c r="C5616" s="5" t="s">
        <v>16924</v>
      </c>
      <c r="D5616" s="5" t="s">
        <v>16929</v>
      </c>
      <c r="E5616" s="2">
        <v>1527260</v>
      </c>
      <c r="F5616" s="4" t="str">
        <f>IF(B5616=B5615,"",B5616)</f>
        <v>Tash-Kumyr</v>
      </c>
    </row>
    <row r="5617" spans="1:6" ht="15.75" customHeight="1">
      <c r="A5617" s="5" t="str">
        <f ca="1">IFERROR(__xludf.DUMMYFUNCTION("GOOGLETRANSLATE(B35940,""en"",""pt"")"),"Tash-Kumyr")</f>
        <v>Tash-Kumyr</v>
      </c>
      <c r="B5617" s="17" t="s">
        <v>16949</v>
      </c>
      <c r="C5617" s="17" t="s">
        <v>16924</v>
      </c>
      <c r="D5617" s="17" t="s">
        <v>16929</v>
      </c>
      <c r="E5617" s="10">
        <v>1527260</v>
      </c>
      <c r="F5617" s="4" t="str">
        <f>IF(B5617=B5616,"",B5617)</f>
        <v/>
      </c>
    </row>
    <row r="5618" spans="1:6" ht="15.75" customHeight="1">
      <c r="A5618" s="6" t="s">
        <v>30602</v>
      </c>
      <c r="B5618" s="6" t="s">
        <v>30602</v>
      </c>
      <c r="C5618" s="6" t="s">
        <v>30502</v>
      </c>
      <c r="D5618" s="6" t="s">
        <v>30509</v>
      </c>
      <c r="E5618" s="2">
        <v>1512569</v>
      </c>
      <c r="F5618" s="4" t="str">
        <f>IF(B5618=B5617,"",B5618)</f>
        <v>Tashkent</v>
      </c>
    </row>
    <row r="5619" spans="1:6" ht="15.75" customHeight="1">
      <c r="A5619" s="5" t="str">
        <f ca="1">IFERROR(__xludf.DUMMYFUNCTION("GOOGLETRANSLATE(B45542,""en"",""pt"")"),"Tashkent")</f>
        <v>Tashkent</v>
      </c>
      <c r="B5619" s="17" t="s">
        <v>30602</v>
      </c>
      <c r="C5619" s="17" t="s">
        <v>30502</v>
      </c>
      <c r="D5619" s="17" t="s">
        <v>30509</v>
      </c>
      <c r="E5619" s="10">
        <v>1512569</v>
      </c>
      <c r="F5619" s="4" t="str">
        <f>IF(B5619=B5618,"",B5619)</f>
        <v/>
      </c>
    </row>
    <row r="5620" spans="1:6" ht="15.75" customHeight="1">
      <c r="A5620" s="5" t="str">
        <f ca="1">IFERROR(__xludf.DUMMYFUNCTION("GOOGLETRANSLATE(B32023,""en"",""pt"")"),"Tāsgaon")</f>
        <v>Tāsgaon</v>
      </c>
      <c r="B5620" s="17" t="s">
        <v>33013</v>
      </c>
      <c r="C5620" s="17" t="s">
        <v>10178</v>
      </c>
      <c r="D5620" s="17" t="s">
        <v>10214</v>
      </c>
      <c r="E5620" s="10">
        <v>1254858</v>
      </c>
      <c r="F5620" s="4" t="str">
        <f>IF(B5620=B5619,"",B5620)</f>
        <v>Tāsgaon</v>
      </c>
    </row>
    <row r="5621" spans="1:6" ht="15.75" customHeight="1">
      <c r="A5621" s="5" t="s">
        <v>17584</v>
      </c>
      <c r="B5621" s="6" t="s">
        <v>17584</v>
      </c>
      <c r="C5621" s="5" t="s">
        <v>17432</v>
      </c>
      <c r="D5621" s="5" t="s">
        <v>17461</v>
      </c>
      <c r="E5621" s="2">
        <v>1735093</v>
      </c>
      <c r="F5621" s="4" t="str">
        <f>IF(B5621=B5620,"",B5621)</f>
        <v>Tasek Glugor</v>
      </c>
    </row>
    <row r="5622" spans="1:6" ht="15.75" customHeight="1">
      <c r="A5622" s="5" t="str">
        <f ca="1">IFERROR(__xludf.DUMMYFUNCTION("GOOGLETRANSLATE(B37477,""en"",""pt"")"),"Tasek Glugor")</f>
        <v>Tasek Glugor</v>
      </c>
      <c r="B5622" s="17" t="s">
        <v>17584</v>
      </c>
      <c r="C5622" s="17" t="s">
        <v>17432</v>
      </c>
      <c r="D5622" s="17" t="s">
        <v>17461</v>
      </c>
      <c r="E5622" s="10">
        <v>1735093</v>
      </c>
      <c r="F5622" s="4" t="str">
        <f>IF(B5622=B5621,"",B5622)</f>
        <v/>
      </c>
    </row>
    <row r="5623" spans="1:6" ht="15.75" customHeight="1">
      <c r="A5623" s="5" t="str">
        <f ca="1">IFERROR(__xludf.DUMMYFUNCTION("GOOGLETRANSLATE(B36212,""en"",""pt"")"),"Tasböget")</f>
        <v>Tasböget</v>
      </c>
      <c r="B5623" s="17" t="s">
        <v>34500</v>
      </c>
      <c r="C5623" s="17" t="s">
        <v>16671</v>
      </c>
      <c r="D5623" s="17" t="s">
        <v>16687</v>
      </c>
      <c r="E5623" s="10">
        <v>1518431</v>
      </c>
      <c r="F5623" s="4" t="str">
        <f>IF(B5623=B5622,"",B5623)</f>
        <v>Tasböget</v>
      </c>
    </row>
    <row r="5624" spans="1:6" ht="15.75" customHeight="1">
      <c r="A5624" s="6" t="s">
        <v>16760</v>
      </c>
      <c r="B5624" s="6" t="s">
        <v>16761</v>
      </c>
      <c r="C5624" s="6" t="s">
        <v>16671</v>
      </c>
      <c r="D5624" s="6" t="s">
        <v>16687</v>
      </c>
      <c r="E5624" s="2">
        <v>1518431</v>
      </c>
      <c r="F5624" s="4" t="str">
        <f>IF(B5624=B5623,"",B5624)</f>
        <v>TasbÃ¶get</v>
      </c>
    </row>
    <row r="5625" spans="1:6" ht="15.75" customHeight="1">
      <c r="A5625" s="5" t="str">
        <f ca="1">IFERROR(__xludf.DUMMYFUNCTION("GOOGLETRANSLATE(B41013,""en"",""pt"")"),"Tārūt")</f>
        <v>Tārūt</v>
      </c>
      <c r="B5625" s="17" t="s">
        <v>35571</v>
      </c>
      <c r="C5625" s="17" t="s">
        <v>23454</v>
      </c>
      <c r="D5625" s="17" t="s">
        <v>6128</v>
      </c>
      <c r="E5625" s="10">
        <v>101554</v>
      </c>
      <c r="F5625" s="4" t="str">
        <f>IF(B5625=B5624,"",B5625)</f>
        <v>Tārūt</v>
      </c>
    </row>
    <row r="5626" spans="1:6" ht="15.75" customHeight="1">
      <c r="A5626" s="6" t="s">
        <v>16496</v>
      </c>
      <c r="B5626" s="6" t="s">
        <v>16496</v>
      </c>
      <c r="C5626" s="6" t="s">
        <v>15704</v>
      </c>
      <c r="D5626" s="6" t="s">
        <v>15719</v>
      </c>
      <c r="E5626" s="2">
        <v>1850589</v>
      </c>
      <c r="F5626" s="4" t="str">
        <f>IF(B5626=B5625,"",B5626)</f>
        <v>Tarumizu</v>
      </c>
    </row>
    <row r="5627" spans="1:6" ht="15.75" customHeight="1">
      <c r="A5627" s="5" t="str">
        <f ca="1">IFERROR(__xludf.DUMMYFUNCTION("GOOGLETRANSLATE(B35242,""en"",""pt"")"),"Tarumizu")</f>
        <v>Tarumizu</v>
      </c>
      <c r="B5627" s="17" t="s">
        <v>16496</v>
      </c>
      <c r="C5627" s="17" t="s">
        <v>15704</v>
      </c>
      <c r="D5627" s="17" t="s">
        <v>15719</v>
      </c>
      <c r="E5627" s="10">
        <v>1850589</v>
      </c>
      <c r="F5627" s="4" t="str">
        <f>IF(B5627=B5626,"",B5627)</f>
        <v/>
      </c>
    </row>
    <row r="5628" spans="1:6" ht="15.75" customHeight="1">
      <c r="A5628" s="6" t="s">
        <v>16495</v>
      </c>
      <c r="B5628" s="6" t="s">
        <v>16495</v>
      </c>
      <c r="C5628" s="6" t="s">
        <v>15704</v>
      </c>
      <c r="D5628" s="6" t="s">
        <v>15748</v>
      </c>
      <c r="E5628" s="2">
        <v>1850600</v>
      </c>
      <c r="F5628" s="4" t="str">
        <f>IF(B5628=B5627,"",B5628)</f>
        <v>Tarui</v>
      </c>
    </row>
    <row r="5629" spans="1:6" ht="15.75" customHeight="1">
      <c r="A5629" s="5" t="str">
        <f ca="1">IFERROR(__xludf.DUMMYFUNCTION("GOOGLETRANSLATE(B35243,""en"",""pt"")"),"Tarui")</f>
        <v>Tarui</v>
      </c>
      <c r="B5629" s="17" t="s">
        <v>16495</v>
      </c>
      <c r="C5629" s="17" t="s">
        <v>15704</v>
      </c>
      <c r="D5629" s="17" t="s">
        <v>15748</v>
      </c>
      <c r="E5629" s="10">
        <v>1850600</v>
      </c>
      <c r="F5629" s="4" t="str">
        <f>IF(B5629=B5628,"",B5629)</f>
        <v/>
      </c>
    </row>
    <row r="5630" spans="1:6" ht="15.75" customHeight="1">
      <c r="A5630" s="6" t="s">
        <v>14202</v>
      </c>
      <c r="B5630" s="6" t="s">
        <v>14202</v>
      </c>
      <c r="C5630" s="6" t="s">
        <v>13800</v>
      </c>
      <c r="D5630" s="6" t="s">
        <v>13803</v>
      </c>
      <c r="E5630" s="2">
        <v>1624668</v>
      </c>
      <c r="F5630" s="4" t="str">
        <f>IF(B5630=B5629,"",B5630)</f>
        <v>Tarub</v>
      </c>
    </row>
    <row r="5631" spans="1:6" ht="15.75" customHeight="1">
      <c r="A5631" s="5" t="str">
        <f ca="1">IFERROR(__xludf.DUMMYFUNCTION("GOOGLETRANSLATE(B31413,""en"",""pt"")"),"Tarub")</f>
        <v>Tarub</v>
      </c>
      <c r="B5631" s="17" t="s">
        <v>14202</v>
      </c>
      <c r="C5631" s="17" t="s">
        <v>13800</v>
      </c>
      <c r="D5631" s="17" t="s">
        <v>13803</v>
      </c>
      <c r="E5631" s="10">
        <v>1624668</v>
      </c>
      <c r="F5631" s="4" t="str">
        <f>IF(B5631=B5630,"",B5631)</f>
        <v/>
      </c>
    </row>
    <row r="5632" spans="1:6" ht="15.75" customHeight="1">
      <c r="A5632" s="6" t="s">
        <v>6802</v>
      </c>
      <c r="B5632" s="6" t="s">
        <v>6802</v>
      </c>
      <c r="C5632" s="6" t="s">
        <v>6789</v>
      </c>
      <c r="D5632" s="6" t="s">
        <v>6802</v>
      </c>
      <c r="E5632" s="2">
        <v>588335</v>
      </c>
      <c r="F5632" s="4" t="str">
        <f>IF(B5632=B5631,"",B5632)</f>
        <v>Tartu</v>
      </c>
    </row>
    <row r="5633" spans="1:6" ht="15.75" customHeight="1">
      <c r="A5633" s="5" t="str">
        <f ca="1">IFERROR(__xludf.DUMMYFUNCTION("GOOGLETRANSLATE(B28813,""en"",""pt"")"),"Tartu")</f>
        <v>Tartu</v>
      </c>
      <c r="B5633" s="17" t="s">
        <v>6802</v>
      </c>
      <c r="C5633" s="17" t="s">
        <v>6789</v>
      </c>
      <c r="D5633" s="17" t="s">
        <v>6802</v>
      </c>
      <c r="E5633" s="10">
        <v>588335</v>
      </c>
      <c r="F5633" s="4" t="str">
        <f>IF(B5633=B5632,"",B5633)</f>
        <v/>
      </c>
    </row>
    <row r="5634" spans="1:6" ht="15.75" customHeight="1">
      <c r="A5634" s="6" t="s">
        <v>25497</v>
      </c>
      <c r="B5634" s="6" t="s">
        <v>25498</v>
      </c>
      <c r="C5634" s="6" t="s">
        <v>25366</v>
      </c>
      <c r="D5634" s="6" t="s">
        <v>25434</v>
      </c>
      <c r="E5634" s="2">
        <v>163345</v>
      </c>
      <c r="F5634" s="4" t="str">
        <f>IF(B5634=B5633,"",B5634)</f>
        <v>Tartouss</v>
      </c>
    </row>
    <row r="5635" spans="1:6" ht="15.75" customHeight="1">
      <c r="A5635" s="5" t="str">
        <f ca="1">IFERROR(__xludf.DUMMYFUNCTION("GOOGLETRANSLATE(B41393,""en"",""pt"")"),"Tartas")</f>
        <v>Tartas</v>
      </c>
      <c r="B5635" s="17" t="s">
        <v>25498</v>
      </c>
      <c r="C5635" s="17" t="s">
        <v>25366</v>
      </c>
      <c r="D5635" s="17" t="s">
        <v>25434</v>
      </c>
      <c r="E5635" s="10">
        <v>163345</v>
      </c>
      <c r="F5635" s="4" t="str">
        <f>IF(B5635=B5634,"",B5635)</f>
        <v/>
      </c>
    </row>
    <row r="5636" spans="1:6" ht="15.75" customHeight="1">
      <c r="A5636" s="6" t="s">
        <v>813</v>
      </c>
      <c r="B5636" s="6" t="s">
        <v>813</v>
      </c>
      <c r="C5636" s="6" t="s">
        <v>558</v>
      </c>
      <c r="D5636" s="6" t="s">
        <v>649</v>
      </c>
      <c r="E5636" s="2">
        <v>3834601</v>
      </c>
      <c r="F5636" s="4" t="str">
        <f>IF(B5636=B5635,"",B5636)</f>
        <v>Tartagal</v>
      </c>
    </row>
    <row r="5637" spans="1:6" ht="15.75" customHeight="1">
      <c r="A5637" s="5" t="str">
        <f ca="1">IFERROR(__xludf.DUMMYFUNCTION("GOOGLETRANSLATE(B23254,""en"",""pt"")"),"Tartagal")</f>
        <v>Tartagal</v>
      </c>
      <c r="B5637" s="17" t="s">
        <v>813</v>
      </c>
      <c r="C5637" s="17" t="s">
        <v>558</v>
      </c>
      <c r="D5637" s="17" t="s">
        <v>649</v>
      </c>
      <c r="E5637" s="10">
        <v>3834601</v>
      </c>
      <c r="F5637" s="4" t="str">
        <f>IF(B5637=B5636,"",B5637)</f>
        <v/>
      </c>
    </row>
    <row r="5638" spans="1:6" ht="15.75" customHeight="1">
      <c r="A5638" s="6" t="s">
        <v>26719</v>
      </c>
      <c r="B5638" s="6" t="s">
        <v>26720</v>
      </c>
      <c r="C5638" s="6" t="s">
        <v>26201</v>
      </c>
      <c r="D5638" s="6" t="s">
        <v>26315</v>
      </c>
      <c r="E5638" s="2">
        <v>299817</v>
      </c>
      <c r="F5638" s="4" t="str">
        <f>IF(B5638=B5637,"",B5638)</f>
        <v>Tarsus</v>
      </c>
    </row>
    <row r="5639" spans="1:6" ht="15.75" customHeight="1">
      <c r="A5639" s="5" t="str">
        <f ca="1">IFERROR(__xludf.DUMMYFUNCTION("GOOGLETRANSLATE(B41887,""en"",""pt"")"),"Tarso")</f>
        <v>Tarso</v>
      </c>
      <c r="B5639" s="17" t="s">
        <v>26720</v>
      </c>
      <c r="C5639" s="17" t="s">
        <v>26201</v>
      </c>
      <c r="D5639" s="17" t="s">
        <v>26315</v>
      </c>
      <c r="E5639" s="10">
        <v>299817</v>
      </c>
      <c r="F5639" s="4" t="str">
        <f>IF(B5639=B5638,"",B5639)</f>
        <v/>
      </c>
    </row>
    <row r="5640" spans="1:6" ht="15.75" customHeight="1">
      <c r="A5640" s="5" t="str">
        <f ca="1">IFERROR(__xludf.DUMMYFUNCTION("GOOGLETRANSLATE(B29267,""en"",""pt"")"),"Tàrrega")</f>
        <v>Tàrrega</v>
      </c>
      <c r="B5640" s="17" t="s">
        <v>32422</v>
      </c>
      <c r="C5640" s="17" t="s">
        <v>24200</v>
      </c>
      <c r="D5640" s="17" t="s">
        <v>24277</v>
      </c>
      <c r="E5640" s="10">
        <v>3108285</v>
      </c>
      <c r="F5640" s="4" t="str">
        <f>IF(B5640=B5639,"",B5640)</f>
        <v>Tàrrega</v>
      </c>
    </row>
    <row r="5641" spans="1:6" ht="15.75" customHeight="1">
      <c r="A5641" s="5" t="s">
        <v>24839</v>
      </c>
      <c r="B5641" s="6" t="s">
        <v>24839</v>
      </c>
      <c r="C5641" s="5" t="s">
        <v>24200</v>
      </c>
      <c r="D5641" s="5" t="s">
        <v>24277</v>
      </c>
      <c r="E5641" s="2">
        <v>3108288</v>
      </c>
      <c r="F5641" s="4" t="str">
        <f>IF(B5641=B5640,"",B5641)</f>
        <v>Tarragona</v>
      </c>
    </row>
    <row r="5642" spans="1:6" ht="15.75" customHeight="1">
      <c r="A5642" s="5" t="str">
        <f ca="1">IFERROR(__xludf.DUMMYFUNCTION("GOOGLETRANSLATE(B29269,""en"",""pt"")"),"Tarragona")</f>
        <v>Tarragona</v>
      </c>
      <c r="B5642" s="17" t="s">
        <v>24839</v>
      </c>
      <c r="C5642" s="17" t="s">
        <v>24200</v>
      </c>
      <c r="D5642" s="17" t="s">
        <v>24277</v>
      </c>
      <c r="E5642" s="10">
        <v>3108288</v>
      </c>
      <c r="F5642" s="4" t="str">
        <f>IF(B5642=B5641,"",B5642)</f>
        <v/>
      </c>
    </row>
    <row r="5643" spans="1:6" ht="15.75" customHeight="1">
      <c r="A5643" s="5" t="s">
        <v>30162</v>
      </c>
      <c r="B5643" s="6" t="s">
        <v>30162</v>
      </c>
      <c r="C5643" s="5" t="s">
        <v>27788</v>
      </c>
      <c r="D5643" s="5" t="s">
        <v>5468</v>
      </c>
      <c r="E5643" s="2">
        <v>4174855</v>
      </c>
      <c r="F5643" s="4" t="str">
        <f>IF(B5643=B5642,"",B5643)</f>
        <v>Tarpon Springs</v>
      </c>
    </row>
    <row r="5644" spans="1:6" ht="15.75" customHeight="1">
      <c r="A5644" s="5" t="str">
        <f ca="1">IFERROR(__xludf.DUMMYFUNCTION("GOOGLETRANSLATE(B43029,""en"",""pt"")"),"Tarpon Springs")</f>
        <v>Tarpon Springs</v>
      </c>
      <c r="B5644" s="17" t="s">
        <v>30162</v>
      </c>
      <c r="C5644" s="17" t="s">
        <v>27788</v>
      </c>
      <c r="D5644" s="17" t="s">
        <v>5468</v>
      </c>
      <c r="E5644" s="10">
        <v>4174855</v>
      </c>
      <c r="F5644" s="4" t="str">
        <f>IF(B5644=B5643,"",B5644)</f>
        <v/>
      </c>
    </row>
    <row r="5645" spans="1:6" ht="15.75" customHeight="1">
      <c r="A5645" s="5" t="s">
        <v>18641</v>
      </c>
      <c r="B5645" s="6" t="s">
        <v>18641</v>
      </c>
      <c r="C5645" s="5" t="s">
        <v>18551</v>
      </c>
      <c r="D5645" s="5" t="s">
        <v>18552</v>
      </c>
      <c r="E5645" s="2">
        <v>2529649</v>
      </c>
      <c r="F5645" s="4" t="str">
        <f>IF(B5645=B5644,"",B5645)</f>
        <v>Taroudant</v>
      </c>
    </row>
    <row r="5646" spans="1:6" ht="15.75" customHeight="1">
      <c r="A5646" s="5" t="str">
        <f ca="1">IFERROR(__xludf.DUMMYFUNCTION("GOOGLETRANSLATE(B36462,""en"",""pt"")"),"Taroudant")</f>
        <v>Taroudant</v>
      </c>
      <c r="B5646" s="17" t="s">
        <v>18641</v>
      </c>
      <c r="C5646" s="17" t="s">
        <v>18551</v>
      </c>
      <c r="D5646" s="17" t="s">
        <v>34583</v>
      </c>
      <c r="E5646" s="10">
        <v>2529649</v>
      </c>
      <c r="F5646" s="4" t="str">
        <f>IF(B5646=B5645,"",B5646)</f>
        <v/>
      </c>
    </row>
    <row r="5647" spans="1:6" ht="15.75" customHeight="1">
      <c r="A5647" s="5" t="str">
        <f ca="1">IFERROR(__xludf.DUMMYFUNCTION("GOOGLETRANSLATE(B39331,""en"",""pt"")"),"Tarnowskie Góry")</f>
        <v>Tarnowskie Góry</v>
      </c>
      <c r="B5647" s="17" t="s">
        <v>35155</v>
      </c>
      <c r="C5647" s="17" t="s">
        <v>21064</v>
      </c>
      <c r="D5647" s="17" t="s">
        <v>21073</v>
      </c>
      <c r="E5647" s="10">
        <v>3083440</v>
      </c>
      <c r="F5647" s="4" t="str">
        <f>IF(B5647=B5646,"",B5647)</f>
        <v>Tarnowskie Góry</v>
      </c>
    </row>
    <row r="5648" spans="1:6" ht="15.75" customHeight="1">
      <c r="A5648" s="5" t="s">
        <v>21531</v>
      </c>
      <c r="B5648" s="6" t="s">
        <v>21532</v>
      </c>
      <c r="C5648" s="5" t="s">
        <v>21064</v>
      </c>
      <c r="D5648" s="5" t="s">
        <v>21073</v>
      </c>
      <c r="E5648" s="2">
        <v>3083440</v>
      </c>
      <c r="F5648" s="4" t="str">
        <f>IF(B5648=B5647,"",B5648)</f>
        <v>Tarnowskie GÃ³ry</v>
      </c>
    </row>
    <row r="5649" spans="1:6" ht="15.75" customHeight="1">
      <c r="A5649" s="5" t="str">
        <f ca="1">IFERROR(__xludf.DUMMYFUNCTION("GOOGLETRANSLATE(B39192,""en"",""pt"")"),"Tarnów")</f>
        <v>Tarnów</v>
      </c>
      <c r="B5649" s="17" t="s">
        <v>35073</v>
      </c>
      <c r="C5649" s="17" t="s">
        <v>21064</v>
      </c>
      <c r="D5649" s="17" t="s">
        <v>21108</v>
      </c>
      <c r="E5649" s="10">
        <v>757026</v>
      </c>
      <c r="F5649" s="4" t="str">
        <f>IF(B5649=B5648,"",B5649)</f>
        <v>Tarnów</v>
      </c>
    </row>
    <row r="5650" spans="1:6" ht="15.75" customHeight="1">
      <c r="A5650" s="5" t="s">
        <v>21530</v>
      </c>
      <c r="B5650" s="6" t="s">
        <v>21530</v>
      </c>
      <c r="C5650" s="5" t="s">
        <v>21064</v>
      </c>
      <c r="D5650" s="5" t="s">
        <v>21083</v>
      </c>
      <c r="E5650" s="2">
        <v>757033</v>
      </c>
      <c r="F5650" s="4" t="str">
        <f>IF(B5650=B5649,"",B5650)</f>
        <v>Tarnobrzeg</v>
      </c>
    </row>
    <row r="5651" spans="1:6" ht="15.75" customHeight="1">
      <c r="A5651" s="5" t="str">
        <f ca="1">IFERROR(__xludf.DUMMYFUNCTION("GOOGLETRANSLATE(B39193,""en"",""pt"")"),"Tarnobrzeg")</f>
        <v>Tarnobrzeg</v>
      </c>
      <c r="B5651" s="17" t="s">
        <v>21530</v>
      </c>
      <c r="C5651" s="17" t="s">
        <v>21064</v>
      </c>
      <c r="D5651" s="17" t="s">
        <v>21083</v>
      </c>
      <c r="E5651" s="10">
        <v>757033</v>
      </c>
      <c r="F5651" s="4" t="str">
        <f>IF(B5651=B5650,"",B5651)</f>
        <v/>
      </c>
    </row>
    <row r="5652" spans="1:6" ht="15.75" customHeight="1">
      <c r="A5652" s="6" t="s">
        <v>1093</v>
      </c>
      <c r="B5652" s="6" t="s">
        <v>1093</v>
      </c>
      <c r="C5652" s="6" t="s">
        <v>885</v>
      </c>
      <c r="D5652" s="6" t="s">
        <v>827</v>
      </c>
      <c r="E5652" s="2">
        <v>2147357</v>
      </c>
      <c r="F5652" s="4" t="str">
        <f>IF(B5652=B5651,"",B5652)</f>
        <v>Tarneit</v>
      </c>
    </row>
    <row r="5653" spans="1:6" ht="15.75" customHeight="1">
      <c r="A5653" s="5" t="str">
        <f ca="1">IFERROR(__xludf.DUMMYFUNCTION("GOOGLETRANSLATE(B23441,""en"",""pt"")"),"Tarneit")</f>
        <v>Tarneit</v>
      </c>
      <c r="B5653" s="17" t="s">
        <v>1093</v>
      </c>
      <c r="C5653" s="17" t="s">
        <v>885</v>
      </c>
      <c r="D5653" s="17" t="s">
        <v>827</v>
      </c>
      <c r="E5653" s="10">
        <v>2147357</v>
      </c>
      <c r="F5653" s="4" t="str">
        <f>IF(B5653=B5652,"",B5653)</f>
        <v/>
      </c>
    </row>
    <row r="5654" spans="1:6" ht="15.75" customHeight="1">
      <c r="A5654" s="5" t="str">
        <f ca="1">IFERROR(__xludf.DUMMYFUNCTION("GOOGLETRANSLATE(B39734,""en"",""pt"")"),"Târnăveni")</f>
        <v>Târnăveni</v>
      </c>
      <c r="B5654" s="17" t="s">
        <v>35337</v>
      </c>
      <c r="C5654" s="17" t="s">
        <v>21824</v>
      </c>
      <c r="D5654" s="17" t="s">
        <v>35338</v>
      </c>
      <c r="E5654" s="10">
        <v>664963</v>
      </c>
      <c r="F5654" s="4" t="str">
        <f>IF(B5654=B5653,"",B5654)</f>
        <v>Târnăveni</v>
      </c>
    </row>
    <row r="5655" spans="1:6" ht="15.75" customHeight="1">
      <c r="A5655" s="6" t="s">
        <v>21528</v>
      </c>
      <c r="B5655" s="6" t="s">
        <v>21529</v>
      </c>
      <c r="C5655" s="6" t="s">
        <v>21064</v>
      </c>
      <c r="D5655" s="6" t="s">
        <v>21108</v>
      </c>
      <c r="E5655" s="2">
        <v>757026</v>
      </c>
      <c r="F5655" s="4" t="str">
        <f>IF(B5655=B5654,"",B5655)</f>
        <v>TarnÃ³w</v>
      </c>
    </row>
    <row r="5656" spans="1:6" ht="15.75" customHeight="1">
      <c r="A5656" s="5" t="str">
        <f ca="1">IFERROR(__xludf.DUMMYFUNCTION("GOOGLETRANSLATE(B32024,""en"",""pt"")"),"Tarn Tāran")</f>
        <v>Tarn Tāran</v>
      </c>
      <c r="B5656" s="17" t="s">
        <v>33014</v>
      </c>
      <c r="C5656" s="17" t="s">
        <v>10178</v>
      </c>
      <c r="D5656" s="17" t="s">
        <v>10184</v>
      </c>
      <c r="E5656" s="10">
        <v>1254868</v>
      </c>
      <c r="F5656" s="4" t="str">
        <f>IF(B5656=B5655,"",B5656)</f>
        <v>Tarn Tāran</v>
      </c>
    </row>
    <row r="5657" spans="1:6" ht="15.75" customHeight="1">
      <c r="A5657" s="5" t="s">
        <v>13529</v>
      </c>
      <c r="B5657" s="6" t="s">
        <v>13530</v>
      </c>
      <c r="C5657" s="5" t="s">
        <v>10178</v>
      </c>
      <c r="D5657" s="5" t="s">
        <v>10184</v>
      </c>
      <c r="E5657" s="2">
        <v>1254868</v>
      </c>
      <c r="F5657" s="4" t="str">
        <f>IF(B5657=B5656,"",B5657)</f>
        <v>Tarn TÄran</v>
      </c>
    </row>
    <row r="5658" spans="1:6" ht="15.75" customHeight="1">
      <c r="A5658" s="6" t="s">
        <v>20584</v>
      </c>
      <c r="B5658" s="6" t="s">
        <v>20584</v>
      </c>
      <c r="C5658" s="6" t="s">
        <v>20470</v>
      </c>
      <c r="D5658" s="6" t="s">
        <v>688</v>
      </c>
      <c r="E5658" s="2">
        <v>3927758</v>
      </c>
      <c r="F5658" s="4" t="str">
        <f>IF(B5658=B5657,"",B5658)</f>
        <v>Tarma</v>
      </c>
    </row>
    <row r="5659" spans="1:6" ht="15.75" customHeight="1">
      <c r="A5659" s="5" t="str">
        <f ca="1">IFERROR(__xludf.DUMMYFUNCTION("GOOGLETRANSLATE(B38356,""en"",""pt"")"),"Tarma")</f>
        <v>Tarma</v>
      </c>
      <c r="B5659" s="17" t="s">
        <v>20584</v>
      </c>
      <c r="C5659" s="17" t="s">
        <v>20470</v>
      </c>
      <c r="D5659" s="17" t="s">
        <v>31203</v>
      </c>
      <c r="E5659" s="10">
        <v>3927758</v>
      </c>
      <c r="F5659" s="4" t="str">
        <f>IF(B5659=B5658,"",B5659)</f>
        <v/>
      </c>
    </row>
    <row r="5660" spans="1:6" ht="15.75" customHeight="1">
      <c r="A5660" s="5" t="s">
        <v>21042</v>
      </c>
      <c r="B5660" s="6" t="s">
        <v>21042</v>
      </c>
      <c r="C5660" s="5" t="s">
        <v>20598</v>
      </c>
      <c r="D5660" s="5" t="s">
        <v>20599</v>
      </c>
      <c r="E5660" s="2">
        <v>1682812</v>
      </c>
      <c r="F5660" s="4" t="str">
        <f>IF(B5660=B5659,"",B5660)</f>
        <v>Tarlac City</v>
      </c>
    </row>
    <row r="5661" spans="1:6" ht="15.75" customHeight="1">
      <c r="A5661" s="5" t="str">
        <f ca="1">IFERROR(__xludf.DUMMYFUNCTION("GOOGLETRANSLATE(B38444,""en"",""pt"")"),"Tarlac City")</f>
        <v>Tarlac City</v>
      </c>
      <c r="B5661" s="17" t="s">
        <v>21042</v>
      </c>
      <c r="C5661" s="17" t="s">
        <v>20598</v>
      </c>
      <c r="D5661" s="17" t="s">
        <v>20599</v>
      </c>
      <c r="E5661" s="10">
        <v>1682812</v>
      </c>
      <c r="F5661" s="4" t="str">
        <f>IF(B5661=B5660,"",B5661)</f>
        <v/>
      </c>
    </row>
    <row r="5662" spans="1:6" ht="15.75" customHeight="1">
      <c r="A5662" s="6" t="s">
        <v>9428</v>
      </c>
      <c r="B5662" s="6" t="s">
        <v>9428</v>
      </c>
      <c r="C5662" s="6" t="s">
        <v>9365</v>
      </c>
      <c r="D5662" s="6" t="s">
        <v>6944</v>
      </c>
      <c r="E5662" s="2">
        <v>2294768</v>
      </c>
      <c r="F5662" s="4" t="str">
        <f>IF(B5662=B5661,"",B5662)</f>
        <v>Tarkwa</v>
      </c>
    </row>
    <row r="5663" spans="1:6" ht="15.75" customHeight="1">
      <c r="A5663" s="5" t="str">
        <f ca="1">IFERROR(__xludf.DUMMYFUNCTION("GOOGLETRANSLATE(B30863,""en"",""pt"")"),"Tarkwa")</f>
        <v>Tarkwa</v>
      </c>
      <c r="B5663" s="17" t="s">
        <v>9428</v>
      </c>
      <c r="C5663" s="17" t="s">
        <v>9365</v>
      </c>
      <c r="D5663" s="17" t="s">
        <v>6944</v>
      </c>
      <c r="E5663" s="10">
        <v>2294768</v>
      </c>
      <c r="F5663" s="4" t="str">
        <f>IF(B5663=B5662,"",B5663)</f>
        <v/>
      </c>
    </row>
    <row r="5664" spans="1:6" ht="15.75" customHeight="1">
      <c r="A5664" s="5" t="s">
        <v>23173</v>
      </c>
      <c r="B5664" s="6" t="s">
        <v>23173</v>
      </c>
      <c r="C5664" s="5" t="s">
        <v>22070</v>
      </c>
      <c r="D5664" s="5" t="s">
        <v>22414</v>
      </c>
      <c r="E5664" s="2">
        <v>1490085</v>
      </c>
      <c r="F5664" s="4" t="str">
        <f>IF(B5664=B5663,"",B5664)</f>
        <v>Tarko-Sale</v>
      </c>
    </row>
    <row r="5665" spans="1:6" ht="15.75" customHeight="1">
      <c r="A5665" s="5" t="str">
        <f ca="1">IFERROR(__xludf.DUMMYFUNCTION("GOOGLETRANSLATE(B40745,""en"",""pt"")"),"Tarko-Sale")</f>
        <v>Tarko-Sale</v>
      </c>
      <c r="B5665" s="17" t="s">
        <v>23173</v>
      </c>
      <c r="C5665" s="17" t="s">
        <v>22070</v>
      </c>
      <c r="D5665" s="17" t="s">
        <v>22414</v>
      </c>
      <c r="E5665" s="10">
        <v>1490085</v>
      </c>
      <c r="F5665" s="4" t="str">
        <f>IF(B5665=B5664,"",B5665)</f>
        <v/>
      </c>
    </row>
    <row r="5666" spans="1:6" ht="15.75" customHeight="1">
      <c r="A5666" s="6" t="s">
        <v>25749</v>
      </c>
      <c r="B5666" s="6" t="s">
        <v>25749</v>
      </c>
      <c r="C5666" s="6" t="s">
        <v>25560</v>
      </c>
      <c r="D5666" s="6" t="s">
        <v>25574</v>
      </c>
      <c r="E5666" s="2">
        <v>149581</v>
      </c>
      <c r="F5666" s="4" t="str">
        <f>IF(B5666=B5665,"",B5666)</f>
        <v>Tarime</v>
      </c>
    </row>
    <row r="5667" spans="1:6" ht="15.75" customHeight="1">
      <c r="A5667" s="5" t="str">
        <f ca="1">IFERROR(__xludf.DUMMYFUNCTION("GOOGLETRANSLATE(B42296,""en"",""pt"")"),"Tarime")</f>
        <v>Tarime</v>
      </c>
      <c r="B5667" s="17" t="s">
        <v>25749</v>
      </c>
      <c r="C5667" s="17" t="s">
        <v>25560</v>
      </c>
      <c r="D5667" s="17" t="s">
        <v>25574</v>
      </c>
      <c r="E5667" s="10">
        <v>149581</v>
      </c>
      <c r="F5667" s="4" t="str">
        <f>IF(B5667=B5666,"",B5667)</f>
        <v/>
      </c>
    </row>
    <row r="5668" spans="1:6" ht="15.75" customHeight="1">
      <c r="A5668" s="6" t="s">
        <v>13528</v>
      </c>
      <c r="B5668" s="6" t="s">
        <v>13528</v>
      </c>
      <c r="C5668" s="6" t="s">
        <v>10178</v>
      </c>
      <c r="D5668" s="6" t="s">
        <v>10252</v>
      </c>
      <c r="E5668" s="2">
        <v>1254880</v>
      </c>
      <c r="F5668" s="4" t="str">
        <f>IF(B5668=B5667,"",B5668)</f>
        <v>Tarikere</v>
      </c>
    </row>
    <row r="5669" spans="1:6" ht="15.75" customHeight="1">
      <c r="A5669" s="5" t="str">
        <f ca="1">IFERROR(__xludf.DUMMYFUNCTION("GOOGLETRANSLATE(B32025,""en"",""pt"")"),"Tarikere")</f>
        <v>Tarikere</v>
      </c>
      <c r="B5669" s="17" t="s">
        <v>13528</v>
      </c>
      <c r="C5669" s="17" t="s">
        <v>10178</v>
      </c>
      <c r="D5669" s="17" t="s">
        <v>10252</v>
      </c>
      <c r="E5669" s="10">
        <v>1254880</v>
      </c>
      <c r="F5669" s="4" t="str">
        <f>IF(B5669=B5668,"",B5669)</f>
        <v/>
      </c>
    </row>
    <row r="5670" spans="1:6" ht="15.75" customHeight="1">
      <c r="A5670" s="6" t="s">
        <v>1831</v>
      </c>
      <c r="B5670" s="6" t="s">
        <v>1831</v>
      </c>
      <c r="C5670" s="6" t="s">
        <v>1806</v>
      </c>
      <c r="D5670" s="6" t="s">
        <v>1831</v>
      </c>
      <c r="E5670" s="2">
        <v>3903320</v>
      </c>
      <c r="F5670" s="4" t="str">
        <f>IF(B5670=B5669,"",B5670)</f>
        <v>Tarija</v>
      </c>
    </row>
    <row r="5671" spans="1:6" ht="15.75" customHeight="1">
      <c r="A5671" s="5" t="str">
        <f ca="1">IFERROR(__xludf.DUMMYFUNCTION("GOOGLETRANSLATE(B24122,""en"",""pt"")"),"Tarija")</f>
        <v>Tarija</v>
      </c>
      <c r="B5671" s="17" t="s">
        <v>1831</v>
      </c>
      <c r="C5671" s="17" t="s">
        <v>1806</v>
      </c>
      <c r="D5671" s="17" t="s">
        <v>1831</v>
      </c>
      <c r="E5671" s="10">
        <v>3903320</v>
      </c>
      <c r="F5671" s="4" t="str">
        <f>IF(B5671=B5670,"",B5671)</f>
        <v/>
      </c>
    </row>
    <row r="5672" spans="1:6" ht="15.75" customHeight="1">
      <c r="A5672" s="6" t="s">
        <v>24838</v>
      </c>
      <c r="B5672" s="6" t="s">
        <v>24838</v>
      </c>
      <c r="C5672" s="6" t="s">
        <v>24200</v>
      </c>
      <c r="D5672" s="6" t="s">
        <v>24205</v>
      </c>
      <c r="E5672" s="2">
        <v>2510599</v>
      </c>
      <c r="F5672" s="4" t="str">
        <f>IF(B5672=B5671,"",B5672)</f>
        <v>Tarifa</v>
      </c>
    </row>
    <row r="5673" spans="1:6" ht="15.75" customHeight="1">
      <c r="A5673" s="5" t="str">
        <f ca="1">IFERROR(__xludf.DUMMYFUNCTION("GOOGLETRANSLATE(B28977,""en"",""pt"")"),"Tarifa")</f>
        <v>Tarifa</v>
      </c>
      <c r="B5673" s="17" t="s">
        <v>24838</v>
      </c>
      <c r="C5673" s="17" t="s">
        <v>24200</v>
      </c>
      <c r="D5673" s="17" t="s">
        <v>24205</v>
      </c>
      <c r="E5673" s="10">
        <v>2510599</v>
      </c>
      <c r="F5673" s="4" t="str">
        <f>IF(B5673=B5672,"",B5673)</f>
        <v/>
      </c>
    </row>
    <row r="5674" spans="1:6" ht="15.75" customHeight="1">
      <c r="A5674" s="5" t="str">
        <f ca="1">IFERROR(__xludf.DUMMYFUNCTION("GOOGLETRANSLATE(B45614,""en"",""pt"")"),"Táriba")</f>
        <v>Táriba</v>
      </c>
      <c r="B5674" s="17" t="s">
        <v>36083</v>
      </c>
      <c r="C5674" s="17" t="s">
        <v>5923</v>
      </c>
      <c r="D5674" s="17" t="s">
        <v>36084</v>
      </c>
      <c r="E5674" s="10">
        <v>3626402</v>
      </c>
      <c r="F5674" s="4" t="str">
        <f>IF(B5674=B5673,"",B5674)</f>
        <v>Táriba</v>
      </c>
    </row>
    <row r="5675" spans="1:6" ht="15.75" customHeight="1">
      <c r="A5675" s="6" t="s">
        <v>17137</v>
      </c>
      <c r="B5675" s="6" t="s">
        <v>17137</v>
      </c>
      <c r="C5675" s="6" t="s">
        <v>17074</v>
      </c>
      <c r="D5675" s="6" t="s">
        <v>17088</v>
      </c>
      <c r="E5675" s="2">
        <v>2210221</v>
      </c>
      <c r="F5675" s="4" t="str">
        <f>IF(B5675=B5674,"",B5675)</f>
        <v>Tarhuna</v>
      </c>
    </row>
    <row r="5676" spans="1:6" ht="15.75" customHeight="1">
      <c r="A5676" s="5" t="str">
        <f ca="1">IFERROR(__xludf.DUMMYFUNCTION("GOOGLETRANSLATE(B36430,""en"",""pt"")"),"Tarhuna")</f>
        <v>Tarhuna</v>
      </c>
      <c r="B5676" s="17" t="s">
        <v>17137</v>
      </c>
      <c r="C5676" s="17" t="s">
        <v>17074</v>
      </c>
      <c r="D5676" s="17" t="s">
        <v>17088</v>
      </c>
      <c r="E5676" s="10">
        <v>2210221</v>
      </c>
      <c r="F5676" s="4" t="str">
        <f>IF(B5676=B5675,"",B5676)</f>
        <v/>
      </c>
    </row>
    <row r="5677" spans="1:6" ht="15.75" customHeight="1">
      <c r="A5677" s="5" t="str">
        <f ca="1">IFERROR(__xludf.DUMMYFUNCTION("GOOGLETRANSLATE(B39737,""en"",""pt"")"),"Târgu-mureş")</f>
        <v>Târgu-mureş</v>
      </c>
      <c r="B5677" s="17" t="s">
        <v>35342</v>
      </c>
      <c r="C5677" s="17" t="s">
        <v>21824</v>
      </c>
      <c r="D5677" s="17" t="s">
        <v>35338</v>
      </c>
      <c r="E5677" s="10">
        <v>665004</v>
      </c>
      <c r="F5677" s="4" t="str">
        <f>IF(B5677=B5676,"",B5677)</f>
        <v>Târgu-Mureş</v>
      </c>
    </row>
    <row r="5678" spans="1:6" ht="15.75" customHeight="1">
      <c r="A5678" s="5" t="str">
        <f ca="1">IFERROR(__xludf.DUMMYFUNCTION("GOOGLETRANSLATE(B39735,""en"",""pt"")"),"Târgu Secuiesc")</f>
        <v>Târgu Secuiesc</v>
      </c>
      <c r="B5678" s="17" t="s">
        <v>35339</v>
      </c>
      <c r="C5678" s="17" t="s">
        <v>21824</v>
      </c>
      <c r="D5678" s="17" t="s">
        <v>22031</v>
      </c>
      <c r="E5678" s="10">
        <v>665000</v>
      </c>
      <c r="F5678" s="4" t="str">
        <f>IF(B5678=B5677,"",B5678)</f>
        <v>Târgu Secuiesc</v>
      </c>
    </row>
    <row r="5679" spans="1:6" ht="15.75" customHeight="1">
      <c r="A5679" s="5" t="str">
        <f ca="1">IFERROR(__xludf.DUMMYFUNCTION("GOOGLETRANSLATE(B39736,""en"",""pt"")"),"Târgu neamţ")</f>
        <v>Târgu neamţ</v>
      </c>
      <c r="B5679" s="17" t="s">
        <v>35340</v>
      </c>
      <c r="C5679" s="17" t="s">
        <v>21824</v>
      </c>
      <c r="D5679" s="17" t="s">
        <v>35341</v>
      </c>
      <c r="E5679" s="10">
        <v>665003</v>
      </c>
      <c r="F5679" s="4" t="str">
        <f>IF(B5679=B5678,"",B5679)</f>
        <v>Târgu Neamţ</v>
      </c>
    </row>
    <row r="5680" spans="1:6" ht="15.75" customHeight="1">
      <c r="A5680" s="5" t="str">
        <f ca="1">IFERROR(__xludf.DUMMYFUNCTION("GOOGLETRANSLATE(B39738,""en"",""pt"")"),"Târgu jiu")</f>
        <v>Târgu jiu</v>
      </c>
      <c r="B5680" s="17" t="s">
        <v>35343</v>
      </c>
      <c r="C5680" s="17" t="s">
        <v>21824</v>
      </c>
      <c r="D5680" s="17" t="s">
        <v>21966</v>
      </c>
      <c r="E5680" s="10">
        <v>665010</v>
      </c>
      <c r="F5680" s="4" t="str">
        <f>IF(B5680=B5679,"",B5680)</f>
        <v>Târgu Jiu</v>
      </c>
    </row>
    <row r="5681" spans="1:6" ht="15.75" customHeight="1">
      <c r="A5681" s="5" t="str">
        <f ca="1">IFERROR(__xludf.DUMMYFUNCTION("GOOGLETRANSLATE(B39194,""en"",""pt"")"),"Targówek")</f>
        <v>Targówek</v>
      </c>
      <c r="B5681" s="17" t="s">
        <v>35074</v>
      </c>
      <c r="C5681" s="17" t="s">
        <v>21064</v>
      </c>
      <c r="D5681" s="17" t="s">
        <v>21070</v>
      </c>
      <c r="E5681" s="10">
        <v>757065</v>
      </c>
      <c r="F5681" s="4" t="str">
        <f>IF(B5681=B5680,"",B5681)</f>
        <v>Targówek</v>
      </c>
    </row>
    <row r="5682" spans="1:6" ht="15.75" customHeight="1">
      <c r="A5682" s="5" t="str">
        <f ca="1">IFERROR(__xludf.DUMMYFUNCTION("GOOGLETRANSLATE(B39739,""en"",""pt"")"),"Târgovişte")</f>
        <v>Târgovişte</v>
      </c>
      <c r="B5682" s="17" t="s">
        <v>35344</v>
      </c>
      <c r="C5682" s="17" t="s">
        <v>21824</v>
      </c>
      <c r="D5682" s="17" t="s">
        <v>35345</v>
      </c>
      <c r="E5682" s="10">
        <v>665024</v>
      </c>
      <c r="F5682" s="4" t="str">
        <f>IF(B5682=B5681,"",B5682)</f>
        <v>Târgovişte</v>
      </c>
    </row>
    <row r="5683" spans="1:6" ht="15.75" customHeight="1">
      <c r="A5683" s="5" t="s">
        <v>3758</v>
      </c>
      <c r="B5683" s="6" t="s">
        <v>3758</v>
      </c>
      <c r="C5683" s="5" t="s">
        <v>3701</v>
      </c>
      <c r="D5683" s="5" t="s">
        <v>3742</v>
      </c>
      <c r="E5683" s="2">
        <v>726174</v>
      </c>
      <c r="F5683" s="4" t="str">
        <f>IF(B5683=B5682,"",B5683)</f>
        <v>Targovishte</v>
      </c>
    </row>
    <row r="5684" spans="1:6" ht="15.75" customHeight="1">
      <c r="A5684" s="5" t="str">
        <f ca="1">IFERROR(__xludf.DUMMYFUNCTION("GOOGLETRANSLATE(B24013,""en"",""pt"")"),"Targovishte")</f>
        <v>Targovishte</v>
      </c>
      <c r="B5684" s="17" t="s">
        <v>3758</v>
      </c>
      <c r="C5684" s="17" t="s">
        <v>3701</v>
      </c>
      <c r="D5684" s="17" t="s">
        <v>31322</v>
      </c>
      <c r="E5684" s="10">
        <v>726174</v>
      </c>
      <c r="F5684" s="4" t="str">
        <f>IF(B5684=B5683,"",B5684)</f>
        <v/>
      </c>
    </row>
    <row r="5685" spans="1:6" ht="15.75" customHeight="1">
      <c r="A5685" s="6" t="s">
        <v>21526</v>
      </c>
      <c r="B5685" s="6" t="s">
        <v>21527</v>
      </c>
      <c r="C5685" s="6" t="s">
        <v>21064</v>
      </c>
      <c r="D5685" s="6" t="s">
        <v>21070</v>
      </c>
      <c r="E5685" s="2">
        <v>757065</v>
      </c>
      <c r="F5685" s="4" t="str">
        <f>IF(B5685=B5684,"",B5685)</f>
        <v>TargÃ³wek</v>
      </c>
    </row>
    <row r="5686" spans="1:6" ht="15.75" customHeight="1">
      <c r="A5686" s="6" t="s">
        <v>1092</v>
      </c>
      <c r="B5686" s="6" t="s">
        <v>1092</v>
      </c>
      <c r="C5686" s="6" t="s">
        <v>885</v>
      </c>
      <c r="D5686" s="6" t="s">
        <v>891</v>
      </c>
      <c r="E5686" s="2">
        <v>2147381</v>
      </c>
      <c r="F5686" s="4" t="str">
        <f>IF(B5686=B5685,"",B5686)</f>
        <v>Taree</v>
      </c>
    </row>
    <row r="5687" spans="1:6" ht="15.75" customHeight="1">
      <c r="A5687" s="5" t="str">
        <f ca="1">IFERROR(__xludf.DUMMYFUNCTION("GOOGLETRANSLATE(B23442,""en"",""pt"")"),"Taree")</f>
        <v>Taree</v>
      </c>
      <c r="B5687" s="17" t="s">
        <v>1092</v>
      </c>
      <c r="C5687" s="17" t="s">
        <v>885</v>
      </c>
      <c r="D5687" s="17" t="s">
        <v>891</v>
      </c>
      <c r="E5687" s="10">
        <v>2147381</v>
      </c>
      <c r="F5687" s="4" t="str">
        <f>IF(B5687=B5686,"",B5687)</f>
        <v/>
      </c>
    </row>
    <row r="5688" spans="1:6" ht="15.75" customHeight="1">
      <c r="A5688" s="6" t="s">
        <v>7843</v>
      </c>
      <c r="B5688" s="6" t="s">
        <v>7843</v>
      </c>
      <c r="C5688" s="6" t="s">
        <v>7052</v>
      </c>
      <c r="D5688" s="6" t="s">
        <v>7082</v>
      </c>
      <c r="E5688" s="2">
        <v>2973385</v>
      </c>
      <c r="F5688" s="4" t="str">
        <f>IF(B5688=B5687,"",B5688)</f>
        <v>Tarbes</v>
      </c>
    </row>
    <row r="5689" spans="1:6" ht="15.75" customHeight="1">
      <c r="A5689" s="5" t="str">
        <f ca="1">IFERROR(__xludf.DUMMYFUNCTION("GOOGLETRANSLATE(B29740,""en"",""pt"")"),"Tarbes")</f>
        <v>Tarbes</v>
      </c>
      <c r="B5689" s="17" t="s">
        <v>7843</v>
      </c>
      <c r="C5689" s="17" t="s">
        <v>7052</v>
      </c>
      <c r="D5689" s="17" t="s">
        <v>32547</v>
      </c>
      <c r="E5689" s="10">
        <v>2973385</v>
      </c>
      <c r="F5689" s="4" t="str">
        <f>IF(B5689=B5688,"",B5689)</f>
        <v/>
      </c>
    </row>
    <row r="5690" spans="1:6" ht="15.75" customHeight="1">
      <c r="A5690" s="6" t="s">
        <v>16759</v>
      </c>
      <c r="B5690" s="6" t="s">
        <v>16759</v>
      </c>
      <c r="C5690" s="6" t="s">
        <v>16671</v>
      </c>
      <c r="D5690" s="6" t="s">
        <v>16707</v>
      </c>
      <c r="E5690" s="2">
        <v>1516905</v>
      </c>
      <c r="F5690" s="4" t="str">
        <f>IF(B5690=B5689,"",B5690)</f>
        <v>Taraz</v>
      </c>
    </row>
    <row r="5691" spans="1:6" ht="15.75" customHeight="1">
      <c r="A5691" s="5" t="str">
        <f ca="1">IFERROR(__xludf.DUMMYFUNCTION("GOOGLETRANSLATE(B36204,""en"",""pt"")"),"Taraz")</f>
        <v>Taraz</v>
      </c>
      <c r="B5691" s="17" t="s">
        <v>16759</v>
      </c>
      <c r="C5691" s="17" t="s">
        <v>16671</v>
      </c>
      <c r="D5691" s="17" t="s">
        <v>16707</v>
      </c>
      <c r="E5691" s="10">
        <v>1516905</v>
      </c>
      <c r="F5691" s="4" t="str">
        <f>IF(B5691=B5690,"",B5691)</f>
        <v/>
      </c>
    </row>
    <row r="5692" spans="1:6" ht="15.75" customHeight="1">
      <c r="A5692" s="6" t="s">
        <v>16847</v>
      </c>
      <c r="B5692" s="6" t="s">
        <v>16847</v>
      </c>
      <c r="C5692" s="6" t="s">
        <v>16848</v>
      </c>
      <c r="D5692" s="6" t="s">
        <v>16849</v>
      </c>
      <c r="E5692" s="2">
        <v>2110257</v>
      </c>
      <c r="F5692" s="4" t="str">
        <f>IF(B5692=B5691,"",B5692)</f>
        <v>Tarawa</v>
      </c>
    </row>
    <row r="5693" spans="1:6" ht="15.75" customHeight="1">
      <c r="A5693" s="5" t="str">
        <f ca="1">IFERROR(__xludf.DUMMYFUNCTION("GOOGLETRANSLATE(B35985,""en"",""pt"")"),"Tarawa")</f>
        <v>Tarawa</v>
      </c>
      <c r="B5693" s="17" t="s">
        <v>16847</v>
      </c>
      <c r="C5693" s="17" t="s">
        <v>16848</v>
      </c>
      <c r="D5693" s="17" t="s">
        <v>16849</v>
      </c>
      <c r="E5693" s="10">
        <v>2110257</v>
      </c>
      <c r="F5693" s="4" t="str">
        <f>IF(B5693=B5692,"",B5693)</f>
        <v/>
      </c>
    </row>
    <row r="5694" spans="1:6" ht="15.75" customHeight="1">
      <c r="A5694" s="6" t="s">
        <v>3531</v>
      </c>
      <c r="B5694" s="6" t="s">
        <v>3532</v>
      </c>
      <c r="C5694" s="6" t="s">
        <v>1905</v>
      </c>
      <c r="D5694" s="6" t="s">
        <v>2396</v>
      </c>
      <c r="E5694" s="2">
        <v>3661980</v>
      </c>
      <c r="F5694" s="4" t="str">
        <f>IF(B5694=B5693,"",B5694)</f>
        <v>TarauacÃ¡</v>
      </c>
    </row>
    <row r="5695" spans="1:6" ht="15.75" customHeight="1">
      <c r="A5695" s="5" t="str">
        <f ca="1">IFERROR(__xludf.DUMMYFUNCTION("GOOGLETRANSLATE(B25307,""en"",""pt"")"),"Tarauacá")</f>
        <v>Tarauacá</v>
      </c>
      <c r="B5695" s="17" t="s">
        <v>31739</v>
      </c>
      <c r="C5695" s="17" t="s">
        <v>1905</v>
      </c>
      <c r="D5695" s="17" t="s">
        <v>2396</v>
      </c>
      <c r="E5695" s="10">
        <v>3661980</v>
      </c>
      <c r="F5695" s="4" t="str">
        <f>IF(B5695=B5694,"",B5695)</f>
        <v>Tarauacá</v>
      </c>
    </row>
    <row r="5696" spans="1:6" ht="15.75" customHeight="1">
      <c r="A5696" s="6" t="s">
        <v>15517</v>
      </c>
      <c r="B5696" s="6" t="s">
        <v>15517</v>
      </c>
      <c r="C5696" s="6" t="s">
        <v>14891</v>
      </c>
      <c r="D5696" s="6" t="s">
        <v>14908</v>
      </c>
      <c r="E5696" s="2">
        <v>3165926</v>
      </c>
      <c r="F5696" s="4" t="str">
        <f>IF(B5696=B5695,"",B5696)</f>
        <v>Taranto</v>
      </c>
    </row>
    <row r="5697" spans="1:6" ht="15.75" customHeight="1">
      <c r="A5697" s="5" t="str">
        <f ca="1">IFERROR(__xludf.DUMMYFUNCTION("GOOGLETRANSLATE(B34673,""en"",""pt"")"),"Taranto")</f>
        <v>Taranto</v>
      </c>
      <c r="B5697" s="17" t="s">
        <v>15517</v>
      </c>
      <c r="C5697" s="17" t="s">
        <v>14891</v>
      </c>
      <c r="D5697" s="17" t="s">
        <v>14908</v>
      </c>
      <c r="E5697" s="10">
        <v>3165926</v>
      </c>
      <c r="F5697" s="4" t="str">
        <f>IF(B5697=B5696,"",B5697)</f>
        <v/>
      </c>
    </row>
    <row r="5698" spans="1:6" ht="15.75" customHeight="1">
      <c r="A5698" s="5" t="str">
        <f ca="1">IFERROR(__xludf.DUMMYFUNCTION("GOOGLETRANSLATE(B29270,""en"",""pt"")"),"Tarancón")</f>
        <v>Tarancón</v>
      </c>
      <c r="B5698" s="17" t="s">
        <v>32423</v>
      </c>
      <c r="C5698" s="17" t="s">
        <v>24200</v>
      </c>
      <c r="D5698" s="17" t="s">
        <v>24218</v>
      </c>
      <c r="E5698" s="10">
        <v>3108317</v>
      </c>
      <c r="F5698" s="4" t="str">
        <f>IF(B5698=B5697,"",B5698)</f>
        <v>Tarancón</v>
      </c>
    </row>
    <row r="5699" spans="1:6" ht="15.75" customHeight="1">
      <c r="A5699" s="6" t="s">
        <v>24836</v>
      </c>
      <c r="B5699" s="6" t="s">
        <v>24837</v>
      </c>
      <c r="C5699" s="6" t="s">
        <v>24200</v>
      </c>
      <c r="D5699" s="6" t="s">
        <v>24218</v>
      </c>
      <c r="E5699" s="2">
        <v>3108317</v>
      </c>
      <c r="F5699" s="4" t="str">
        <f>IF(B5699=B5698,"",B5699)</f>
        <v>TarancÃ³n</v>
      </c>
    </row>
    <row r="5700" spans="1:6" ht="15.75" customHeight="1">
      <c r="A5700" s="5" t="str">
        <f ca="1">IFERROR(__xludf.DUMMYFUNCTION("GOOGLETRANSLATE(B32027,""en"",""pt"")"),"Tārānagar")</f>
        <v>Tārānagar</v>
      </c>
      <c r="B5700" s="17" t="s">
        <v>33015</v>
      </c>
      <c r="C5700" s="17" t="s">
        <v>10178</v>
      </c>
      <c r="D5700" s="17" t="s">
        <v>10179</v>
      </c>
      <c r="E5700" s="10">
        <v>1254908</v>
      </c>
      <c r="F5700" s="4" t="str">
        <f>IF(B5700=B5699,"",B5700)</f>
        <v>Tārānagar</v>
      </c>
    </row>
    <row r="5701" spans="1:6" ht="15.75" customHeight="1">
      <c r="A5701" s="5" t="str">
        <f ca="1">IFERROR(__xludf.DUMMYFUNCTION("GOOGLETRANSLATE(B32028,""en"",""pt"")"),"Tarāna")</f>
        <v>Tarāna</v>
      </c>
      <c r="B5701" s="17" t="s">
        <v>33016</v>
      </c>
      <c r="C5701" s="17" t="s">
        <v>10178</v>
      </c>
      <c r="D5701" s="17" t="s">
        <v>10219</v>
      </c>
      <c r="E5701" s="10">
        <v>1254909</v>
      </c>
      <c r="F5701" s="4" t="str">
        <f>IF(B5701=B5700,"",B5701)</f>
        <v>Tarāna</v>
      </c>
    </row>
    <row r="5702" spans="1:6" ht="15.75" customHeight="1">
      <c r="A5702" s="5" t="str">
        <f ca="1">IFERROR(__xludf.DUMMYFUNCTION("GOOGLETRANSLATE(B32029,""en"",""pt"")"),"Tāramangalam")</f>
        <v>Tāramangalam</v>
      </c>
      <c r="B5702" s="17" t="s">
        <v>33017</v>
      </c>
      <c r="C5702" s="17" t="s">
        <v>10178</v>
      </c>
      <c r="D5702" s="17" t="s">
        <v>10196</v>
      </c>
      <c r="E5702" s="10">
        <v>1254910</v>
      </c>
      <c r="F5702" s="4" t="str">
        <f>IF(B5702=B5701,"",B5702)</f>
        <v>Tāramangalam</v>
      </c>
    </row>
    <row r="5703" spans="1:6" ht="15.75" customHeight="1">
      <c r="A5703" s="5" t="s">
        <v>13527</v>
      </c>
      <c r="B5703" s="6" t="s">
        <v>13527</v>
      </c>
      <c r="C5703" s="5" t="s">
        <v>10178</v>
      </c>
      <c r="D5703" s="5" t="s">
        <v>10201</v>
      </c>
      <c r="E5703" s="2">
        <v>1254912</v>
      </c>
      <c r="F5703" s="4" t="str">
        <f>IF(B5703=B5702,"",B5703)</f>
        <v>Tarakeswar</v>
      </c>
    </row>
    <row r="5704" spans="1:6" ht="15.75" customHeight="1">
      <c r="A5704" s="5" t="str">
        <f ca="1">IFERROR(__xludf.DUMMYFUNCTION("GOOGLETRANSLATE(B32030,""en"",""pt"")"),"Tarakeswar")</f>
        <v>Tarakeswar</v>
      </c>
      <c r="B5704" s="17" t="s">
        <v>13527</v>
      </c>
      <c r="C5704" s="17" t="s">
        <v>10178</v>
      </c>
      <c r="D5704" s="17" t="s">
        <v>10201</v>
      </c>
      <c r="E5704" s="10">
        <v>1254912</v>
      </c>
      <c r="F5704" s="4" t="str">
        <f>IF(B5704=B5703,"",B5704)</f>
        <v/>
      </c>
    </row>
    <row r="5705" spans="1:6" ht="15.75" customHeight="1">
      <c r="A5705" s="6" t="s">
        <v>14200</v>
      </c>
      <c r="B5705" s="6" t="s">
        <v>14200</v>
      </c>
      <c r="C5705" s="6" t="s">
        <v>13800</v>
      </c>
      <c r="D5705" s="6" t="s">
        <v>14201</v>
      </c>
      <c r="E5705" s="2">
        <v>1624725</v>
      </c>
      <c r="F5705" s="4" t="str">
        <f>IF(B5705=B5704,"",B5705)</f>
        <v>Tarakan</v>
      </c>
    </row>
    <row r="5706" spans="1:6" ht="15.75" customHeight="1">
      <c r="A5706" s="5" t="str">
        <f ca="1">IFERROR(__xludf.DUMMYFUNCTION("GOOGLETRANSLATE(B31414,""en"",""pt"")"),"Tarakan")</f>
        <v>Tarakan</v>
      </c>
      <c r="B5706" s="17" t="s">
        <v>14200</v>
      </c>
      <c r="C5706" s="17" t="s">
        <v>13800</v>
      </c>
      <c r="D5706" s="17" t="s">
        <v>14201</v>
      </c>
      <c r="E5706" s="10">
        <v>1624725</v>
      </c>
      <c r="F5706" s="4" t="str">
        <f>IF(B5706=B5705,"",B5706)</f>
        <v/>
      </c>
    </row>
    <row r="5707" spans="1:6" ht="15.75" customHeight="1">
      <c r="A5707" s="5" t="s">
        <v>30600</v>
      </c>
      <c r="B5707" s="6" t="s">
        <v>30601</v>
      </c>
      <c r="C5707" s="5" t="s">
        <v>30502</v>
      </c>
      <c r="D5707" s="5" t="s">
        <v>30528</v>
      </c>
      <c r="E5707" s="2">
        <v>1512549</v>
      </c>
      <c r="F5707" s="4" t="str">
        <f>IF(B5707=B5706,"",B5707)</f>
        <v>TÅ­ragÅ­rghon</v>
      </c>
    </row>
    <row r="5708" spans="1:6" ht="15.75" customHeight="1">
      <c r="A5708" s="6" t="s">
        <v>19205</v>
      </c>
      <c r="B5708" s="6" t="s">
        <v>19205</v>
      </c>
      <c r="C5708" s="6" t="s">
        <v>19169</v>
      </c>
      <c r="D5708" s="6" t="s">
        <v>19180</v>
      </c>
      <c r="E5708" s="2">
        <v>6246634</v>
      </c>
      <c r="F5708" s="4" t="str">
        <f>IF(B5708=B5707,"",B5708)</f>
        <v>Taradale</v>
      </c>
    </row>
    <row r="5709" spans="1:6" ht="15.75" customHeight="1">
      <c r="A5709" s="5" t="str">
        <f ca="1">IFERROR(__xludf.DUMMYFUNCTION("GOOGLETRANSLATE(B38250,""en"",""pt"")"),"Taradale")</f>
        <v>Taradale</v>
      </c>
      <c r="B5709" s="17" t="s">
        <v>19205</v>
      </c>
      <c r="C5709" s="17" t="s">
        <v>19169</v>
      </c>
      <c r="D5709" s="17" t="s">
        <v>19180</v>
      </c>
      <c r="E5709" s="10">
        <v>6246634</v>
      </c>
      <c r="F5709" s="4" t="str">
        <f>IF(B5709=B5708,"",B5709)</f>
        <v/>
      </c>
    </row>
    <row r="5710" spans="1:6" ht="15.75" customHeight="1">
      <c r="A5710" s="6" t="s">
        <v>13525</v>
      </c>
      <c r="B5710" s="6" t="s">
        <v>13526</v>
      </c>
      <c r="C5710" s="6" t="s">
        <v>10178</v>
      </c>
      <c r="D5710" s="6" t="s">
        <v>10219</v>
      </c>
      <c r="E5710" s="2">
        <v>1254909</v>
      </c>
      <c r="F5710" s="4" t="str">
        <f>IF(B5710=B5709,"",B5710)</f>
        <v>TarÄna</v>
      </c>
    </row>
    <row r="5711" spans="1:6" ht="15.75" customHeight="1">
      <c r="A5711" s="6" t="s">
        <v>23172</v>
      </c>
      <c r="B5711" s="6" t="s">
        <v>23172</v>
      </c>
      <c r="C5711" s="6" t="s">
        <v>22070</v>
      </c>
      <c r="D5711" s="6" t="s">
        <v>22453</v>
      </c>
      <c r="E5711" s="2">
        <v>1490140</v>
      </c>
      <c r="F5711" s="4" t="str">
        <f>IF(B5711=B5710,"",B5711)</f>
        <v>Tara</v>
      </c>
    </row>
    <row r="5712" spans="1:6" ht="15.75" customHeight="1">
      <c r="A5712" s="5" t="str">
        <f ca="1">IFERROR(__xludf.DUMMYFUNCTION("GOOGLETRANSLATE(B40746,""en"",""pt"")"),"Tara")</f>
        <v>Tara</v>
      </c>
      <c r="B5712" s="17" t="s">
        <v>23172</v>
      </c>
      <c r="C5712" s="17" t="s">
        <v>22070</v>
      </c>
      <c r="D5712" s="17" t="s">
        <v>22453</v>
      </c>
      <c r="E5712" s="10">
        <v>1490140</v>
      </c>
      <c r="F5712" s="4" t="str">
        <f>IF(B5712=B5711,"",B5712)</f>
        <v/>
      </c>
    </row>
    <row r="5713" spans="1:6" ht="15.75" customHeight="1">
      <c r="A5713" s="5" t="s">
        <v>3529</v>
      </c>
      <c r="B5713" s="6" t="s">
        <v>3530</v>
      </c>
      <c r="C5713" s="5" t="s">
        <v>1905</v>
      </c>
      <c r="D5713" s="5" t="s">
        <v>1914</v>
      </c>
      <c r="E5713" s="2">
        <v>3446752</v>
      </c>
      <c r="F5713" s="4" t="str">
        <f>IF(B5713=B5712,"",B5713)</f>
        <v>Taquarituba</v>
      </c>
    </row>
    <row r="5714" spans="1:6" ht="15.75" customHeight="1">
      <c r="A5714" s="5" t="str">
        <f ca="1">IFERROR(__xludf.DUMMYFUNCTION("GOOGLETRANSLATE(B24500,""en"",""pt"")"),"TAQUARITUBA")</f>
        <v>TAQUARITUBA</v>
      </c>
      <c r="B5714" s="17" t="s">
        <v>3530</v>
      </c>
      <c r="C5714" s="17" t="s">
        <v>1905</v>
      </c>
      <c r="D5714" s="17" t="s">
        <v>3354</v>
      </c>
      <c r="E5714" s="10">
        <v>3446752</v>
      </c>
      <c r="F5714" s="4" t="str">
        <f>IF(B5714=B5713,"",B5714)</f>
        <v/>
      </c>
    </row>
    <row r="5715" spans="1:6" ht="15.75" customHeight="1">
      <c r="A5715" s="5" t="s">
        <v>3528</v>
      </c>
      <c r="B5715" s="6" t="s">
        <v>3528</v>
      </c>
      <c r="C5715" s="5" t="s">
        <v>1905</v>
      </c>
      <c r="D5715" s="5" t="s">
        <v>1914</v>
      </c>
      <c r="E5715" s="2">
        <v>3446753</v>
      </c>
      <c r="F5715" s="4" t="str">
        <f>IF(B5715=B5714,"",B5715)</f>
        <v>Taquaritinga</v>
      </c>
    </row>
    <row r="5716" spans="1:6" ht="15.75" customHeight="1">
      <c r="A5716" s="5" t="str">
        <f ca="1">IFERROR(__xludf.DUMMYFUNCTION("GOOGLETRANSLATE(B24501,""en"",""pt"")"),"Taquaritinga")</f>
        <v>Taquaritinga</v>
      </c>
      <c r="B5716" s="17" t="s">
        <v>3528</v>
      </c>
      <c r="C5716" s="17" t="s">
        <v>1905</v>
      </c>
      <c r="D5716" s="17" t="s">
        <v>3354</v>
      </c>
      <c r="E5716" s="10">
        <v>3446753</v>
      </c>
      <c r="F5716" s="4" t="str">
        <f>IF(B5716=B5715,"",B5716)</f>
        <v/>
      </c>
    </row>
    <row r="5717" spans="1:6" ht="15.75" customHeight="1">
      <c r="A5717" s="6" t="s">
        <v>3526</v>
      </c>
      <c r="B5717" s="6" t="s">
        <v>3527</v>
      </c>
      <c r="C5717" s="6" t="s">
        <v>1905</v>
      </c>
      <c r="D5717" s="6" t="s">
        <v>1951</v>
      </c>
      <c r="E5717" s="2">
        <v>3446783</v>
      </c>
      <c r="F5717" s="4" t="str">
        <f>IF(B5717=B5716,"",B5717)</f>
        <v>Taquari</v>
      </c>
    </row>
    <row r="5718" spans="1:6" ht="15.75" customHeight="1">
      <c r="A5718" s="5" t="str">
        <f ca="1">IFERROR(__xludf.DUMMYFUNCTION("GOOGLETRANSLATE(B24502,""en"",""pt"")"),"TAQUARI")</f>
        <v>TAQUARI</v>
      </c>
      <c r="B5718" s="17" t="s">
        <v>3527</v>
      </c>
      <c r="C5718" s="17" t="s">
        <v>1905</v>
      </c>
      <c r="D5718" s="17" t="s">
        <v>1951</v>
      </c>
      <c r="E5718" s="10">
        <v>3446783</v>
      </c>
      <c r="F5718" s="4" t="str">
        <f>IF(B5718=B5717,"",B5718)</f>
        <v/>
      </c>
    </row>
    <row r="5719" spans="1:6" ht="15.75" customHeight="1">
      <c r="A5719" s="6" t="s">
        <v>3524</v>
      </c>
      <c r="B5719" s="6" t="s">
        <v>3525</v>
      </c>
      <c r="C5719" s="6" t="s">
        <v>1905</v>
      </c>
      <c r="D5719" s="6" t="s">
        <v>1951</v>
      </c>
      <c r="E5719" s="2">
        <v>3446847</v>
      </c>
      <c r="F5719" s="4" t="str">
        <f>IF(B5719=B5718,"",B5719)</f>
        <v>Taquara</v>
      </c>
    </row>
    <row r="5720" spans="1:6" ht="15.75" customHeight="1">
      <c r="A5720" s="5" t="str">
        <f ca="1">IFERROR(__xludf.DUMMYFUNCTION("GOOGLETRANSLATE(B24503,""en"",""pt"")"),"TAQUARA")</f>
        <v>TAQUARA</v>
      </c>
      <c r="B5720" s="17" t="s">
        <v>3525</v>
      </c>
      <c r="C5720" s="17" t="s">
        <v>1905</v>
      </c>
      <c r="D5720" s="17" t="s">
        <v>1951</v>
      </c>
      <c r="E5720" s="10">
        <v>3446847</v>
      </c>
      <c r="F5720" s="4" t="str">
        <f>IF(B5720=B5719,"",B5720)</f>
        <v/>
      </c>
    </row>
    <row r="5721" spans="1:6" ht="15.75" customHeight="1">
      <c r="A5721" s="6" t="s">
        <v>10153</v>
      </c>
      <c r="B5721" s="6" t="s">
        <v>10153</v>
      </c>
      <c r="C5721" s="6" t="s">
        <v>9955</v>
      </c>
      <c r="D5721" s="6" t="s">
        <v>9963</v>
      </c>
      <c r="E5721" s="2">
        <v>3044141</v>
      </c>
      <c r="F5721" s="4" t="str">
        <f>IF(B5721=B5720,"",B5721)</f>
        <v>Tapolca</v>
      </c>
    </row>
    <row r="5722" spans="1:6" ht="15.75" customHeight="1">
      <c r="A5722" s="5" t="str">
        <f ca="1">IFERROR(__xludf.DUMMYFUNCTION("GOOGLETRANSLATE(B31279,""en"",""pt"")"),"Tapolca")</f>
        <v>Tapolca</v>
      </c>
      <c r="B5722" s="17" t="s">
        <v>10153</v>
      </c>
      <c r="C5722" s="17" t="s">
        <v>9955</v>
      </c>
      <c r="D5722" s="17" t="s">
        <v>32847</v>
      </c>
      <c r="E5722" s="10">
        <v>3044141</v>
      </c>
      <c r="F5722" s="4" t="str">
        <f>IF(B5722=B5721,"",B5722)</f>
        <v/>
      </c>
    </row>
    <row r="5723" spans="1:6" ht="15.75" customHeight="1">
      <c r="A5723" s="5" t="s">
        <v>3522</v>
      </c>
      <c r="B5723" s="6" t="s">
        <v>3523</v>
      </c>
      <c r="C5723" s="5" t="s">
        <v>1905</v>
      </c>
      <c r="D5723" s="5" t="s">
        <v>1947</v>
      </c>
      <c r="E5723" s="2">
        <v>3446866</v>
      </c>
      <c r="F5723" s="4" t="str">
        <f>IF(B5723=B5722,"",B5723)</f>
        <v>TapiramutÃ¡</v>
      </c>
    </row>
    <row r="5724" spans="1:6" ht="15.75" customHeight="1">
      <c r="A5724" s="5" t="str">
        <f ca="1">IFERROR(__xludf.DUMMYFUNCTION("GOOGLETRANSLATE(B24504,""en"",""pt"")"),"Tapiramutá")</f>
        <v>Tapiramutá</v>
      </c>
      <c r="B5724" s="17" t="s">
        <v>31458</v>
      </c>
      <c r="C5724" s="17" t="s">
        <v>1905</v>
      </c>
      <c r="D5724" s="17" t="s">
        <v>1947</v>
      </c>
      <c r="E5724" s="10">
        <v>3446866</v>
      </c>
      <c r="F5724" s="4" t="str">
        <f>IF(B5724=B5723,"",B5724)</f>
        <v>Tapiramutá</v>
      </c>
    </row>
    <row r="5725" spans="1:6" ht="15.75" customHeight="1">
      <c r="A5725" s="5" t="s">
        <v>26005</v>
      </c>
      <c r="B5725" s="6" t="s">
        <v>26005</v>
      </c>
      <c r="C5725" s="5" t="s">
        <v>25771</v>
      </c>
      <c r="D5725" s="5" t="s">
        <v>25836</v>
      </c>
      <c r="E5725" s="2">
        <v>1605754</v>
      </c>
      <c r="F5725" s="4" t="str">
        <f>IF(B5725=B5724,"",B5725)</f>
        <v>Taphan Hin</v>
      </c>
    </row>
    <row r="5726" spans="1:6" ht="15.75" customHeight="1">
      <c r="A5726" s="5" t="str">
        <f ca="1">IFERROR(__xludf.DUMMYFUNCTION("GOOGLETRANSLATE(B41597,""en"",""pt"")"),"Taphan Hin")</f>
        <v>Taphan Hin</v>
      </c>
      <c r="B5726" s="17" t="s">
        <v>26005</v>
      </c>
      <c r="C5726" s="17" t="s">
        <v>25771</v>
      </c>
      <c r="D5726" s="17" t="s">
        <v>25836</v>
      </c>
      <c r="E5726" s="10">
        <v>1605754</v>
      </c>
      <c r="F5726" s="4" t="str">
        <f>IF(B5726=B5725,"",B5726)</f>
        <v/>
      </c>
    </row>
    <row r="5727" spans="1:6" ht="15.75" customHeight="1">
      <c r="A5727" s="6" t="s">
        <v>3520</v>
      </c>
      <c r="B5727" s="6" t="s">
        <v>3521</v>
      </c>
      <c r="C5727" s="6" t="s">
        <v>1905</v>
      </c>
      <c r="D5727" s="6" t="s">
        <v>1951</v>
      </c>
      <c r="E5727" s="2">
        <v>3446880</v>
      </c>
      <c r="F5727" s="4" t="str">
        <f>IF(B5727=B5726,"",B5727)</f>
        <v>Tapes</v>
      </c>
    </row>
    <row r="5728" spans="1:6" ht="15.75" customHeight="1">
      <c r="A5728" s="5" t="str">
        <f ca="1">IFERROR(__xludf.DUMMYFUNCTION("GOOGLETRANSLATE(B24505,""en"",""pt"")"),"Fitas")</f>
        <v>Fitas</v>
      </c>
      <c r="B5728" s="17" t="s">
        <v>3521</v>
      </c>
      <c r="C5728" s="17" t="s">
        <v>1905</v>
      </c>
      <c r="D5728" s="17" t="s">
        <v>1951</v>
      </c>
      <c r="E5728" s="10">
        <v>3446880</v>
      </c>
      <c r="F5728" s="4" t="str">
        <f>IF(B5728=B5727,"",B5728)</f>
        <v/>
      </c>
    </row>
    <row r="5729" spans="1:6" ht="15.75" customHeight="1">
      <c r="A5729" s="5" t="s">
        <v>17582</v>
      </c>
      <c r="B5729" s="6" t="s">
        <v>17583</v>
      </c>
      <c r="C5729" s="5" t="s">
        <v>17432</v>
      </c>
      <c r="D5729" s="5" t="s">
        <v>17438</v>
      </c>
      <c r="E5729" s="2">
        <v>1735282</v>
      </c>
      <c r="F5729" s="4" t="str">
        <f>IF(B5729=B5728,"",B5729)</f>
        <v>Tapah Road</v>
      </c>
    </row>
    <row r="5730" spans="1:6" ht="15.75" customHeight="1">
      <c r="A5730" s="5" t="str">
        <f ca="1">IFERROR(__xludf.DUMMYFUNCTION("GOOGLETRANSLATE(B37488,""en"",""pt"")"),"Estrada de Tapah")</f>
        <v>Estrada de Tapah</v>
      </c>
      <c r="B5730" s="17" t="s">
        <v>17583</v>
      </c>
      <c r="C5730" s="17" t="s">
        <v>17432</v>
      </c>
      <c r="D5730" s="17" t="s">
        <v>17438</v>
      </c>
      <c r="E5730" s="10">
        <v>1735282</v>
      </c>
      <c r="F5730" s="4" t="str">
        <f>IF(B5730=B5729,"",B5730)</f>
        <v/>
      </c>
    </row>
    <row r="5731" spans="1:6" ht="15.75" customHeight="1">
      <c r="A5731" s="5" t="s">
        <v>18303</v>
      </c>
      <c r="B5731" s="6" t="s">
        <v>18303</v>
      </c>
      <c r="C5731" s="5" t="s">
        <v>17707</v>
      </c>
      <c r="D5731" s="5" t="s">
        <v>17770</v>
      </c>
      <c r="E5731" s="2">
        <v>3516266</v>
      </c>
      <c r="F5731" s="4" t="str">
        <f>IF(B5731=B5730,"",B5731)</f>
        <v>Tapachula</v>
      </c>
    </row>
    <row r="5732" spans="1:6" ht="15.75" customHeight="1">
      <c r="A5732" s="5" t="str">
        <f ca="1">IFERROR(__xludf.DUMMYFUNCTION("GOOGLETRANSLATE(B36907,""en"",""pt"")"),"Tapachula")</f>
        <v>Tapachula</v>
      </c>
      <c r="B5732" s="17" t="s">
        <v>18303</v>
      </c>
      <c r="C5732" s="17" t="s">
        <v>17707</v>
      </c>
      <c r="D5732" s="17" t="s">
        <v>17770</v>
      </c>
      <c r="E5732" s="10">
        <v>3516266</v>
      </c>
      <c r="F5732" s="4" t="str">
        <f>IF(B5732=B5731,"",B5732)</f>
        <v/>
      </c>
    </row>
    <row r="5733" spans="1:6" ht="15.75" customHeight="1">
      <c r="A5733" s="5" t="s">
        <v>5126</v>
      </c>
      <c r="B5733" s="6" t="s">
        <v>5126</v>
      </c>
      <c r="C5733" s="5" t="s">
        <v>4487</v>
      </c>
      <c r="D5733" s="5" t="s">
        <v>4503</v>
      </c>
      <c r="E5733" s="2">
        <v>1793089</v>
      </c>
      <c r="F5733" s="4" t="str">
        <f>IF(B5733=B5732,"",B5733)</f>
        <v>Taozhuang</v>
      </c>
    </row>
    <row r="5734" spans="1:6" ht="15.75" customHeight="1">
      <c r="A5734" s="5" t="str">
        <f ca="1">IFERROR(__xludf.DUMMYFUNCTION("GOOGLETRANSLATE(B26237,""en"",""pt"")"),"Taozhuang")</f>
        <v>Taozhuang</v>
      </c>
      <c r="B5734" s="17" t="s">
        <v>5126</v>
      </c>
      <c r="C5734" s="17" t="s">
        <v>4487</v>
      </c>
      <c r="D5734" s="17" t="s">
        <v>4503</v>
      </c>
      <c r="E5734" s="10">
        <v>1793089</v>
      </c>
      <c r="F5734" s="4" t="str">
        <f>IF(B5734=B5733,"",B5734)</f>
        <v/>
      </c>
    </row>
    <row r="5735" spans="1:6" ht="15.75" customHeight="1">
      <c r="A5735" s="5" t="s">
        <v>25520</v>
      </c>
      <c r="B5735" s="6" t="s">
        <v>25521</v>
      </c>
      <c r="C5735" s="5" t="s">
        <v>25502</v>
      </c>
      <c r="D5735" s="5" t="s">
        <v>25502</v>
      </c>
      <c r="E5735" s="2">
        <v>6696918</v>
      </c>
      <c r="F5735" s="4" t="str">
        <f>IF(B5735=B5734,"",B5735)</f>
        <v>Taoyuan City</v>
      </c>
    </row>
    <row r="5736" spans="1:6" ht="15.75" customHeight="1">
      <c r="A5736" s="5" t="str">
        <f ca="1">IFERROR(__xludf.DUMMYFUNCTION("GOOGLETRANSLATE(B42278,""en"",""pt"")"),"Cidade de Taoyuan")</f>
        <v>Cidade de Taoyuan</v>
      </c>
      <c r="B5736" s="17" t="s">
        <v>25521</v>
      </c>
      <c r="C5736" s="17" t="s">
        <v>25502</v>
      </c>
      <c r="D5736" s="17" t="s">
        <v>25502</v>
      </c>
      <c r="E5736" s="10">
        <v>6696918</v>
      </c>
      <c r="F5736" s="4" t="str">
        <f>IF(B5736=B5735,"",B5736)</f>
        <v/>
      </c>
    </row>
    <row r="5737" spans="1:6" ht="15.75" customHeight="1">
      <c r="A5737" s="6" t="s">
        <v>18640</v>
      </c>
      <c r="B5737" s="6" t="s">
        <v>18640</v>
      </c>
      <c r="C5737" s="6" t="s">
        <v>18551</v>
      </c>
      <c r="D5737" s="6" t="s">
        <v>18554</v>
      </c>
      <c r="E5737" s="2">
        <v>2530048</v>
      </c>
      <c r="F5737" s="4" t="str">
        <f>IF(B5737=B5736,"",B5737)</f>
        <v>Taourirt</v>
      </c>
    </row>
    <row r="5738" spans="1:6" ht="15.75" customHeight="1">
      <c r="A5738" s="5" t="str">
        <f ca="1">IFERROR(__xludf.DUMMYFUNCTION("GOOGLETRANSLATE(B36463,""en"",""pt"")"),"Taourirt")</f>
        <v>Taourirt</v>
      </c>
      <c r="B5738" s="17" t="s">
        <v>18640</v>
      </c>
      <c r="C5738" s="17" t="s">
        <v>18551</v>
      </c>
      <c r="D5738" s="17" t="s">
        <v>18554</v>
      </c>
      <c r="E5738" s="10">
        <v>2530048</v>
      </c>
      <c r="F5738" s="4" t="str">
        <f>IF(B5738=B5737,"",B5738)</f>
        <v/>
      </c>
    </row>
    <row r="5739" spans="1:6" ht="15.75" customHeight="1">
      <c r="A5739" s="6" t="s">
        <v>18639</v>
      </c>
      <c r="B5739" s="6" t="s">
        <v>18639</v>
      </c>
      <c r="C5739" s="6" t="s">
        <v>18551</v>
      </c>
      <c r="D5739" s="6" t="s">
        <v>18557</v>
      </c>
      <c r="E5739" s="2">
        <v>2530155</v>
      </c>
      <c r="F5739" s="4" t="str">
        <f>IF(B5739=B5738,"",B5739)</f>
        <v>Taounate</v>
      </c>
    </row>
    <row r="5740" spans="1:6" ht="15.75" customHeight="1">
      <c r="A5740" s="5" t="str">
        <f ca="1">IFERROR(__xludf.DUMMYFUNCTION("GOOGLETRANSLATE(B36464,""en"",""pt"")"),"Taounate")</f>
        <v>Taounate</v>
      </c>
      <c r="B5740" s="17" t="s">
        <v>18639</v>
      </c>
      <c r="C5740" s="17" t="s">
        <v>18551</v>
      </c>
      <c r="D5740" s="17" t="s">
        <v>18557</v>
      </c>
      <c r="E5740" s="10">
        <v>2530155</v>
      </c>
      <c r="F5740" s="4" t="str">
        <f>IF(B5740=B5739,"",B5740)</f>
        <v/>
      </c>
    </row>
    <row r="5741" spans="1:6" ht="15.75" customHeight="1">
      <c r="A5741" s="5" t="str">
        <f ca="1">IFERROR(__xludf.DUMMYFUNCTION("GOOGLETRANSLATE(B32031,""en"",""pt"")"),"Tāoru")</f>
        <v>Tāoru</v>
      </c>
      <c r="B5741" s="17" t="s">
        <v>33018</v>
      </c>
      <c r="C5741" s="17" t="s">
        <v>10178</v>
      </c>
      <c r="D5741" s="17" t="s">
        <v>10224</v>
      </c>
      <c r="E5741" s="10">
        <v>1254948</v>
      </c>
      <c r="F5741" s="4" t="str">
        <f>IF(B5741=B5740,"",B5741)</f>
        <v>Tāoru</v>
      </c>
    </row>
    <row r="5742" spans="1:6" ht="15.75" customHeight="1">
      <c r="A5742" s="5" t="s">
        <v>5626</v>
      </c>
      <c r="B5742" s="6" t="s">
        <v>5627</v>
      </c>
      <c r="C5742" s="5" t="s">
        <v>5348</v>
      </c>
      <c r="D5742" s="5" t="s">
        <v>5454</v>
      </c>
      <c r="E5742" s="2">
        <v>3666582</v>
      </c>
      <c r="F5742" s="4" t="str">
        <f>IF(B5742=B5741,"",B5742)</f>
        <v>TÃºquerres</v>
      </c>
    </row>
    <row r="5743" spans="1:6" ht="15.75" customHeight="1">
      <c r="A5743" s="6" t="s">
        <v>21041</v>
      </c>
      <c r="B5743" s="6" t="s">
        <v>21041</v>
      </c>
      <c r="C5743" s="6" t="s">
        <v>20598</v>
      </c>
      <c r="D5743" s="6" t="s">
        <v>20723</v>
      </c>
      <c r="E5743" s="2">
        <v>1683013</v>
      </c>
      <c r="F5743" s="4" t="str">
        <f>IF(B5743=B5742,"",B5743)</f>
        <v>Tanza</v>
      </c>
    </row>
    <row r="5744" spans="1:6" ht="15.75" customHeight="1">
      <c r="A5744" s="5" t="str">
        <f ca="1">IFERROR(__xludf.DUMMYFUNCTION("GOOGLETRANSLATE(B38445,""en"",""pt"")"),"Tanza")</f>
        <v>Tanza</v>
      </c>
      <c r="B5744" s="17" t="s">
        <v>21041</v>
      </c>
      <c r="C5744" s="17" t="s">
        <v>20598</v>
      </c>
      <c r="D5744" s="17" t="s">
        <v>20723</v>
      </c>
      <c r="E5744" s="10">
        <v>1683013</v>
      </c>
      <c r="F5744" s="4" t="str">
        <f>IF(B5744=B5743,"",B5744)</f>
        <v/>
      </c>
    </row>
    <row r="5745" spans="1:6" ht="15.75" customHeight="1">
      <c r="A5745" s="5" t="s">
        <v>16493</v>
      </c>
      <c r="B5745" s="6" t="s">
        <v>16494</v>
      </c>
      <c r="C5745" s="5" t="s">
        <v>15704</v>
      </c>
      <c r="D5745" s="5" t="s">
        <v>15722</v>
      </c>
      <c r="E5745" s="2">
        <v>1850627</v>
      </c>
      <c r="F5745" s="4" t="str">
        <f>IF(B5745=B5744,"",B5745)</f>
        <v>Tanushimarumachi-toyoki</v>
      </c>
    </row>
    <row r="5746" spans="1:6" ht="15.75" customHeight="1">
      <c r="A5746" s="5" t="str">
        <f ca="1">IFERROR(__xludf.DUMMYFUNCTION("GOOGLETRANSLATE(B35244,""en"",""pt"")"),"Tanushimarumachi-Toyoki")</f>
        <v>Tanushimarumachi-Toyoki</v>
      </c>
      <c r="B5746" s="17" t="s">
        <v>16494</v>
      </c>
      <c r="C5746" s="17" t="s">
        <v>15704</v>
      </c>
      <c r="D5746" s="17" t="s">
        <v>15722</v>
      </c>
      <c r="E5746" s="10">
        <v>1850627</v>
      </c>
      <c r="F5746" s="4" t="str">
        <f>IF(B5746=B5745,"",B5746)</f>
        <v/>
      </c>
    </row>
    <row r="5747" spans="1:6" ht="15.75" customHeight="1">
      <c r="A5747" s="6" t="s">
        <v>16492</v>
      </c>
      <c r="B5747" s="6" t="s">
        <v>16492</v>
      </c>
      <c r="C5747" s="6" t="s">
        <v>15704</v>
      </c>
      <c r="D5747" s="6" t="s">
        <v>15799</v>
      </c>
      <c r="E5747" s="2">
        <v>1850630</v>
      </c>
      <c r="F5747" s="4" t="str">
        <f>IF(B5747=B5746,"",B5747)</f>
        <v>Tanuma</v>
      </c>
    </row>
    <row r="5748" spans="1:6" ht="15.75" customHeight="1">
      <c r="A5748" s="5" t="str">
        <f ca="1">IFERROR(__xludf.DUMMYFUNCTION("GOOGLETRANSLATE(B35245,""en"",""pt"")"),"Tanuma")</f>
        <v>Tanuma</v>
      </c>
      <c r="B5748" s="17" t="s">
        <v>16492</v>
      </c>
      <c r="C5748" s="17" t="s">
        <v>15704</v>
      </c>
      <c r="D5748" s="17" t="s">
        <v>15799</v>
      </c>
      <c r="E5748" s="10">
        <v>1850630</v>
      </c>
      <c r="F5748" s="4" t="str">
        <f>IF(B5748=B5747,"",B5748)</f>
        <v/>
      </c>
    </row>
    <row r="5749" spans="1:6" ht="15.75" customHeight="1">
      <c r="A5749" s="6" t="s">
        <v>13524</v>
      </c>
      <c r="B5749" s="6" t="s">
        <v>13524</v>
      </c>
      <c r="C5749" s="6" t="s">
        <v>10178</v>
      </c>
      <c r="D5749" s="6" t="s">
        <v>10190</v>
      </c>
      <c r="E5749" s="2">
        <v>1254953</v>
      </c>
      <c r="F5749" s="4" t="str">
        <f>IF(B5749=B5748,"",B5749)</f>
        <v>Tanuku</v>
      </c>
    </row>
    <row r="5750" spans="1:6" ht="15.75" customHeight="1">
      <c r="A5750" s="5" t="str">
        <f ca="1">IFERROR(__xludf.DUMMYFUNCTION("GOOGLETRANSLATE(B32032,""en"",""pt"")"),"Tanuku")</f>
        <v>Tanuku</v>
      </c>
      <c r="B5750" s="17" t="s">
        <v>13524</v>
      </c>
      <c r="C5750" s="17" t="s">
        <v>10178</v>
      </c>
      <c r="D5750" s="17" t="s">
        <v>10190</v>
      </c>
      <c r="E5750" s="10">
        <v>1254953</v>
      </c>
      <c r="F5750" s="4" t="str">
        <f>IF(B5750=B5749,"",B5750)</f>
        <v/>
      </c>
    </row>
    <row r="5751" spans="1:6" ht="15.75" customHeight="1">
      <c r="A5751" s="5" t="s">
        <v>18302</v>
      </c>
      <c r="B5751" s="6" t="s">
        <v>18302</v>
      </c>
      <c r="C5751" s="5" t="s">
        <v>17707</v>
      </c>
      <c r="D5751" s="5" t="s">
        <v>17708</v>
      </c>
      <c r="E5751" s="2">
        <v>3516271</v>
      </c>
      <c r="F5751" s="4" t="str">
        <f>IF(B5751=B5750,"",B5751)</f>
        <v>Tantoyuca</v>
      </c>
    </row>
    <row r="5752" spans="1:6" ht="15.75" customHeight="1">
      <c r="A5752" s="5" t="str">
        <f ca="1">IFERROR(__xludf.DUMMYFUNCTION("GOOGLETRANSLATE(B36908,""en"",""pt"")"),"Tantoyuca")</f>
        <v>Tantoyuca</v>
      </c>
      <c r="B5752" s="17" t="s">
        <v>18302</v>
      </c>
      <c r="C5752" s="17" t="s">
        <v>17707</v>
      </c>
      <c r="D5752" s="17" t="s">
        <v>17708</v>
      </c>
      <c r="E5752" s="10">
        <v>3516271</v>
      </c>
      <c r="F5752" s="4" t="str">
        <f>IF(B5752=B5751,"",B5752)</f>
        <v/>
      </c>
    </row>
    <row r="5753" spans="1:6" ht="15.75" customHeight="1">
      <c r="A5753" s="6" t="s">
        <v>5125</v>
      </c>
      <c r="B5753" s="6" t="s">
        <v>5125</v>
      </c>
      <c r="C5753" s="6" t="s">
        <v>4487</v>
      </c>
      <c r="D5753" s="6" t="s">
        <v>4591</v>
      </c>
      <c r="E5753" s="2">
        <v>1793230</v>
      </c>
      <c r="F5753" s="4" t="str">
        <f>IF(B5753=B5752,"",B5753)</f>
        <v>Tantou</v>
      </c>
    </row>
    <row r="5754" spans="1:6" ht="15.75" customHeight="1">
      <c r="A5754" s="5" t="str">
        <f ca="1">IFERROR(__xludf.DUMMYFUNCTION("GOOGLETRANSLATE(B26238,""en"",""pt"")"),"Tantou")</f>
        <v>Tantou</v>
      </c>
      <c r="B5754" s="17" t="s">
        <v>5125</v>
      </c>
      <c r="C5754" s="17" t="s">
        <v>4487</v>
      </c>
      <c r="D5754" s="17" t="s">
        <v>4591</v>
      </c>
      <c r="E5754" s="10">
        <v>1793230</v>
      </c>
      <c r="F5754" s="4" t="str">
        <f>IF(B5754=B5753,"",B5754)</f>
        <v/>
      </c>
    </row>
    <row r="5755" spans="1:6" ht="15.75" customHeight="1">
      <c r="A5755" s="6" t="s">
        <v>18637</v>
      </c>
      <c r="B5755" s="6" t="s">
        <v>18638</v>
      </c>
      <c r="C5755" s="6" t="s">
        <v>18551</v>
      </c>
      <c r="D5755" s="6" t="s">
        <v>18589</v>
      </c>
      <c r="E5755" s="2">
        <v>2530241</v>
      </c>
      <c r="F5755" s="4" t="str">
        <f>IF(B5755=B5754,"",B5755)</f>
        <v>Tan-Tan</v>
      </c>
    </row>
    <row r="5756" spans="1:6" ht="15.75" customHeight="1">
      <c r="A5756" s="5" t="str">
        <f ca="1">IFERROR(__xludf.DUMMYFUNCTION("GOOGLETRANSLATE(B36465,""en"",""pt"")"),"Tan-tan")</f>
        <v>Tan-tan</v>
      </c>
      <c r="B5756" s="17" t="s">
        <v>18638</v>
      </c>
      <c r="C5756" s="17" t="s">
        <v>18551</v>
      </c>
      <c r="D5756" s="17" t="s">
        <v>18589</v>
      </c>
      <c r="E5756" s="10">
        <v>2530241</v>
      </c>
      <c r="F5756" s="4" t="str">
        <f>IF(B5756=B5755,"",B5756)</f>
        <v/>
      </c>
    </row>
    <row r="5757" spans="1:6" ht="15.75" customHeight="1">
      <c r="A5757" s="5" t="str">
        <f ca="1">IFERROR(__xludf.DUMMYFUNCTION("GOOGLETRANSLATE(B38179,""en"",""pt"")"),"Tānsen")</f>
        <v>Tānsen</v>
      </c>
      <c r="B5757" s="17" t="s">
        <v>34824</v>
      </c>
      <c r="C5757" s="17" t="s">
        <v>18800</v>
      </c>
      <c r="D5757" s="17" t="s">
        <v>18803</v>
      </c>
      <c r="E5757" s="10">
        <v>1282714</v>
      </c>
      <c r="F5757" s="4" t="str">
        <f>IF(B5757=B5756,"",B5757)</f>
        <v>Tānsen</v>
      </c>
    </row>
    <row r="5758" spans="1:6" ht="15.75" customHeight="1">
      <c r="A5758" s="5" t="s">
        <v>30161</v>
      </c>
      <c r="B5758" s="6" t="s">
        <v>30161</v>
      </c>
      <c r="C5758" s="5" t="s">
        <v>27788</v>
      </c>
      <c r="D5758" s="5" t="s">
        <v>27880</v>
      </c>
      <c r="E5758" s="2">
        <v>5316890</v>
      </c>
      <c r="F5758" s="4" t="str">
        <f>IF(B5758=B5757,"",B5758)</f>
        <v>Tanque Verde</v>
      </c>
    </row>
    <row r="5759" spans="1:6" ht="15.75" customHeight="1">
      <c r="A5759" s="5" t="str">
        <f ca="1">IFERROR(__xludf.DUMMYFUNCTION("GOOGLETRANSLATE(B44732,""en"",""pt"")"),"Tanque Verde")</f>
        <v>Tanque Verde</v>
      </c>
      <c r="B5759" s="17" t="s">
        <v>30161</v>
      </c>
      <c r="C5759" s="17" t="s">
        <v>27788</v>
      </c>
      <c r="D5759" s="17" t="s">
        <v>27880</v>
      </c>
      <c r="E5759" s="10">
        <v>5316890</v>
      </c>
      <c r="F5759" s="4" t="str">
        <f>IF(B5759=B5758,"",B5759)</f>
        <v/>
      </c>
    </row>
    <row r="5760" spans="1:6" ht="15.75" customHeight="1">
      <c r="A5760" s="5" t="s">
        <v>19287</v>
      </c>
      <c r="B5760" s="6" t="s">
        <v>19288</v>
      </c>
      <c r="C5760" s="5" t="s">
        <v>19259</v>
      </c>
      <c r="D5760" s="5" t="s">
        <v>19278</v>
      </c>
      <c r="E5760" s="2">
        <v>2439155</v>
      </c>
      <c r="F5760" s="4" t="str">
        <f>IF(B5760=B5759,"",B5760)</f>
        <v>Tanout</v>
      </c>
    </row>
    <row r="5761" spans="1:6" ht="15.75" customHeight="1">
      <c r="A5761" s="5" t="str">
        <f ca="1">IFERROR(__xludf.DUMMYFUNCTION("GOOGLETRANSLATE(B37587,""en"",""pt"")"),"Bronzeado")</f>
        <v>Bronzeado</v>
      </c>
      <c r="B5761" s="17" t="s">
        <v>19288</v>
      </c>
      <c r="C5761" s="17" t="s">
        <v>19259</v>
      </c>
      <c r="D5761" s="17" t="s">
        <v>19278</v>
      </c>
      <c r="E5761" s="10">
        <v>2439155</v>
      </c>
      <c r="F5761" s="4" t="str">
        <f>IF(B5761=B5760,"",B5761)</f>
        <v/>
      </c>
    </row>
    <row r="5762" spans="1:6" ht="15.75" customHeight="1">
      <c r="A5762" s="5" t="str">
        <f ca="1">IFERROR(__xludf.DUMMYFUNCTION("GOOGLETRANSLATE(B38888,""en"",""pt"")"),"Tanque")</f>
        <v>Tanque</v>
      </c>
      <c r="B5762" s="17" t="s">
        <v>34900</v>
      </c>
      <c r="C5762" s="17" t="s">
        <v>19808</v>
      </c>
      <c r="D5762" s="17" t="s">
        <v>19811</v>
      </c>
      <c r="E5762" s="10">
        <v>1163905</v>
      </c>
      <c r="F5762" s="4" t="str">
        <f>IF(B5762=B5761,"",B5762)</f>
        <v>Tānk</v>
      </c>
    </row>
    <row r="5763" spans="1:6" ht="15.75" customHeight="1">
      <c r="A5763" s="5" t="s">
        <v>14199</v>
      </c>
      <c r="B5763" s="6" t="s">
        <v>14199</v>
      </c>
      <c r="C5763" s="5" t="s">
        <v>13800</v>
      </c>
      <c r="D5763" s="5" t="s">
        <v>13830</v>
      </c>
      <c r="E5763" s="2">
        <v>1213530</v>
      </c>
      <c r="F5763" s="4" t="str">
        <f>IF(B5763=B5762,"",B5763)</f>
        <v>Tanjungtiram</v>
      </c>
    </row>
    <row r="5764" spans="1:6" ht="15.75" customHeight="1">
      <c r="A5764" s="5" t="str">
        <f ca="1">IFERROR(__xludf.DUMMYFUNCTION("GOOGLETRANSLATE(B31355,""en"",""pt"")"),"Tanjungtiram")</f>
        <v>Tanjungtiram</v>
      </c>
      <c r="B5764" s="17" t="s">
        <v>14199</v>
      </c>
      <c r="C5764" s="17" t="s">
        <v>13800</v>
      </c>
      <c r="D5764" s="17" t="s">
        <v>13830</v>
      </c>
      <c r="E5764" s="10">
        <v>1213530</v>
      </c>
      <c r="F5764" s="4" t="str">
        <f>IF(B5764=B5763,"",B5764)</f>
        <v/>
      </c>
    </row>
    <row r="5765" spans="1:6" ht="15.75" customHeight="1">
      <c r="A5765" s="5" t="s">
        <v>14198</v>
      </c>
      <c r="B5765" s="6" t="s">
        <v>14198</v>
      </c>
      <c r="C5765" s="5" t="s">
        <v>13800</v>
      </c>
      <c r="D5765" s="5" t="s">
        <v>13977</v>
      </c>
      <c r="E5765" s="2">
        <v>1624863</v>
      </c>
      <c r="F5765" s="4" t="str">
        <f>IF(B5765=B5764,"",B5765)</f>
        <v>Tanjungpinang</v>
      </c>
    </row>
    <row r="5766" spans="1:6" ht="15.75" customHeight="1">
      <c r="A5766" s="5" t="str">
        <f ca="1">IFERROR(__xludf.DUMMYFUNCTION("GOOGLETRANSLATE(B31415,""en"",""pt"")"),"Tanjungpinang")</f>
        <v>Tanjungpinang</v>
      </c>
      <c r="B5766" s="17" t="s">
        <v>14198</v>
      </c>
      <c r="C5766" s="17" t="s">
        <v>13800</v>
      </c>
      <c r="D5766" s="17" t="s">
        <v>13977</v>
      </c>
      <c r="E5766" s="10">
        <v>1624863</v>
      </c>
      <c r="F5766" s="4" t="str">
        <f>IF(B5766=B5765,"",B5766)</f>
        <v/>
      </c>
    </row>
    <row r="5767" spans="1:6" ht="15.75" customHeight="1">
      <c r="A5767" s="5" t="s">
        <v>14197</v>
      </c>
      <c r="B5767" s="6" t="s">
        <v>14197</v>
      </c>
      <c r="C5767" s="5" t="s">
        <v>13800</v>
      </c>
      <c r="D5767" s="5" t="s">
        <v>13830</v>
      </c>
      <c r="E5767" s="2">
        <v>1213547</v>
      </c>
      <c r="F5767" s="4" t="str">
        <f>IF(B5767=B5766,"",B5767)</f>
        <v>Tanjungbalai</v>
      </c>
    </row>
    <row r="5768" spans="1:6" ht="15.75" customHeight="1">
      <c r="A5768" s="5" t="str">
        <f ca="1">IFERROR(__xludf.DUMMYFUNCTION("GOOGLETRANSLATE(B31356,""en"",""pt"")"),"Tanjungbalai")</f>
        <v>Tanjungbalai</v>
      </c>
      <c r="B5768" s="17" t="s">
        <v>14197</v>
      </c>
      <c r="C5768" s="17" t="s">
        <v>13800</v>
      </c>
      <c r="D5768" s="17" t="s">
        <v>13830</v>
      </c>
      <c r="E5768" s="10">
        <v>1213547</v>
      </c>
      <c r="F5768" s="4" t="str">
        <f>IF(B5768=B5767,"",B5768)</f>
        <v/>
      </c>
    </row>
    <row r="5769" spans="1:6" ht="15.75" customHeight="1">
      <c r="A5769" s="5" t="s">
        <v>14196</v>
      </c>
      <c r="B5769" s="6" t="s">
        <v>14196</v>
      </c>
      <c r="C5769" s="5" t="s">
        <v>13800</v>
      </c>
      <c r="D5769" s="5" t="s">
        <v>13847</v>
      </c>
      <c r="E5769" s="2">
        <v>1624987</v>
      </c>
      <c r="F5769" s="4" t="str">
        <f>IF(B5769=B5768,"",B5769)</f>
        <v>Tanjungagung</v>
      </c>
    </row>
    <row r="5770" spans="1:6" ht="15.75" customHeight="1">
      <c r="A5770" s="5" t="str">
        <f ca="1">IFERROR(__xludf.DUMMYFUNCTION("GOOGLETRANSLATE(B31418,""en"",""pt"")"),"Tanjungagung")</f>
        <v>Tanjungagung</v>
      </c>
      <c r="B5770" s="17" t="s">
        <v>14196</v>
      </c>
      <c r="C5770" s="17" t="s">
        <v>13800</v>
      </c>
      <c r="D5770" s="17" t="s">
        <v>13847</v>
      </c>
      <c r="E5770" s="10">
        <v>1624987</v>
      </c>
      <c r="F5770" s="4" t="str">
        <f>IF(B5770=B5769,"",B5770)</f>
        <v/>
      </c>
    </row>
    <row r="5771" spans="1:6" ht="15.75" customHeight="1">
      <c r="A5771" s="5" t="s">
        <v>17581</v>
      </c>
      <c r="B5771" s="6" t="s">
        <v>17581</v>
      </c>
      <c r="C5771" s="5" t="s">
        <v>17432</v>
      </c>
      <c r="D5771" s="5" t="s">
        <v>17461</v>
      </c>
      <c r="E5771" s="2">
        <v>1741550</v>
      </c>
      <c r="F5771" s="4" t="str">
        <f>IF(B5771=B5770,"",B5771)</f>
        <v>Tanjung Tokong</v>
      </c>
    </row>
    <row r="5772" spans="1:6" ht="15.75" customHeight="1">
      <c r="A5772" s="5" t="str">
        <f ca="1">IFERROR(__xludf.DUMMYFUNCTION("GOOGLETRANSLATE(B37512,""en"",""pt"")"),"Tanjung Tokong")</f>
        <v>Tanjung Tokong</v>
      </c>
      <c r="B5772" s="17" t="s">
        <v>17581</v>
      </c>
      <c r="C5772" s="17" t="s">
        <v>17432</v>
      </c>
      <c r="D5772" s="17" t="s">
        <v>17461</v>
      </c>
      <c r="E5772" s="10">
        <v>1741550</v>
      </c>
      <c r="F5772" s="4" t="str">
        <f>IF(B5772=B5771,"",B5772)</f>
        <v/>
      </c>
    </row>
    <row r="5773" spans="1:6" ht="15.75" customHeight="1">
      <c r="A5773" s="5" t="s">
        <v>17580</v>
      </c>
      <c r="B5773" s="6" t="s">
        <v>17580</v>
      </c>
      <c r="C5773" s="5" t="s">
        <v>17432</v>
      </c>
      <c r="D5773" s="5" t="s">
        <v>17446</v>
      </c>
      <c r="E5773" s="2">
        <v>1741562</v>
      </c>
      <c r="F5773" s="4" t="str">
        <f>IF(B5773=B5772,"",B5773)</f>
        <v>Tanjung Sepat</v>
      </c>
    </row>
    <row r="5774" spans="1:6" ht="15.75" customHeight="1">
      <c r="A5774" s="5" t="str">
        <f ca="1">IFERROR(__xludf.DUMMYFUNCTION("GOOGLETRANSLATE(B37513,""en"",""pt"")"),"Tanjung Sepat")</f>
        <v>Tanjung Sepat</v>
      </c>
      <c r="B5774" s="17" t="s">
        <v>17580</v>
      </c>
      <c r="C5774" s="17" t="s">
        <v>17432</v>
      </c>
      <c r="D5774" s="17" t="s">
        <v>17446</v>
      </c>
      <c r="E5774" s="10">
        <v>1741562</v>
      </c>
      <c r="F5774" s="4" t="str">
        <f>IF(B5774=B5773,"",B5774)</f>
        <v/>
      </c>
    </row>
    <row r="5775" spans="1:6" ht="15.75" customHeight="1">
      <c r="A5775" s="5" t="s">
        <v>14195</v>
      </c>
      <c r="B5775" s="6" t="s">
        <v>14195</v>
      </c>
      <c r="C5775" s="5" t="s">
        <v>13800</v>
      </c>
      <c r="D5775" s="5" t="s">
        <v>14026</v>
      </c>
      <c r="E5775" s="2">
        <v>1624877</v>
      </c>
      <c r="F5775" s="4" t="str">
        <f>IF(B5775=B5774,"",B5775)</f>
        <v>Tanjung Pandan</v>
      </c>
    </row>
    <row r="5776" spans="1:6" ht="15.75" customHeight="1">
      <c r="A5776" s="5" t="str">
        <f ca="1">IFERROR(__xludf.DUMMYFUNCTION("GOOGLETRANSLATE(B31416,""en"",""pt"")"),"Tanjung Pandan")</f>
        <v>Tanjung Pandan</v>
      </c>
      <c r="B5776" s="17" t="s">
        <v>14195</v>
      </c>
      <c r="C5776" s="17" t="s">
        <v>13800</v>
      </c>
      <c r="D5776" s="17" t="s">
        <v>32911</v>
      </c>
      <c r="E5776" s="10">
        <v>1624877</v>
      </c>
      <c r="F5776" s="4" t="str">
        <f>IF(B5776=B5775,"",B5776)</f>
        <v/>
      </c>
    </row>
    <row r="5777" spans="1:6" ht="15.75" customHeight="1">
      <c r="A5777" s="6" t="s">
        <v>21040</v>
      </c>
      <c r="B5777" s="6" t="s">
        <v>21040</v>
      </c>
      <c r="C5777" s="6" t="s">
        <v>20598</v>
      </c>
      <c r="D5777" s="6" t="s">
        <v>20622</v>
      </c>
      <c r="E5777" s="2">
        <v>1683088</v>
      </c>
      <c r="F5777" s="4" t="str">
        <f>IF(B5777=B5776,"",B5777)</f>
        <v>Tanjay</v>
      </c>
    </row>
    <row r="5778" spans="1:6" ht="15.75" customHeight="1">
      <c r="A5778" s="5" t="str">
        <f ca="1">IFERROR(__xludf.DUMMYFUNCTION("GOOGLETRANSLATE(B38446,""en"",""pt"")"),"Tanjay")</f>
        <v>Tanjay</v>
      </c>
      <c r="B5778" s="17" t="s">
        <v>21040</v>
      </c>
      <c r="C5778" s="17" t="s">
        <v>20598</v>
      </c>
      <c r="D5778" s="17" t="s">
        <v>20622</v>
      </c>
      <c r="E5778" s="10">
        <v>1683088</v>
      </c>
      <c r="F5778" s="4" t="str">
        <f>IF(B5778=B5777,"",B5778)</f>
        <v/>
      </c>
    </row>
    <row r="5779" spans="1:6" ht="15.75" customHeight="1">
      <c r="A5779" s="6" t="s">
        <v>5124</v>
      </c>
      <c r="B5779" s="6" t="s">
        <v>5124</v>
      </c>
      <c r="C5779" s="6" t="s">
        <v>4487</v>
      </c>
      <c r="D5779" s="6" t="s">
        <v>4501</v>
      </c>
      <c r="E5779" s="2">
        <v>1793286</v>
      </c>
      <c r="F5779" s="4" t="str">
        <f>IF(B5779=B5778,"",B5779)</f>
        <v>Tangzhai</v>
      </c>
    </row>
    <row r="5780" spans="1:6" ht="15.75" customHeight="1">
      <c r="A5780" s="5" t="str">
        <f ca="1">IFERROR(__xludf.DUMMYFUNCTION("GOOGLETRANSLATE(B26239,""en"",""pt"")"),"Tangzhai")</f>
        <v>Tangzhai</v>
      </c>
      <c r="B5780" s="17" t="s">
        <v>5124</v>
      </c>
      <c r="C5780" s="17" t="s">
        <v>4487</v>
      </c>
      <c r="D5780" s="17" t="s">
        <v>4501</v>
      </c>
      <c r="E5780" s="10">
        <v>1793286</v>
      </c>
      <c r="F5780" s="4" t="str">
        <f>IF(B5780=B5779,"",B5780)</f>
        <v/>
      </c>
    </row>
    <row r="5781" spans="1:6" ht="15.75" customHeight="1">
      <c r="A5781" s="5" t="str">
        <f ca="1">IFERROR(__xludf.DUMMYFUNCTION("GOOGLETRANSLATE(B24081,""en"",""pt"")"),"Tanguiéta")</f>
        <v>Tanguiéta</v>
      </c>
      <c r="B5781" s="17" t="s">
        <v>31329</v>
      </c>
      <c r="C5781" s="17" t="s">
        <v>1741</v>
      </c>
      <c r="D5781" s="17" t="s">
        <v>1775</v>
      </c>
      <c r="E5781" s="10">
        <v>2391455</v>
      </c>
      <c r="F5781" s="4" t="str">
        <f>IF(B5781=B5780,"",B5781)</f>
        <v>Tanguiéta</v>
      </c>
    </row>
    <row r="5782" spans="1:6" ht="15.75" customHeight="1">
      <c r="A5782" s="5" t="s">
        <v>1790</v>
      </c>
      <c r="B5782" s="6" t="s">
        <v>1791</v>
      </c>
      <c r="C5782" s="5" t="s">
        <v>1741</v>
      </c>
      <c r="D5782" s="5" t="s">
        <v>1775</v>
      </c>
      <c r="E5782" s="2">
        <v>2391455</v>
      </c>
      <c r="F5782" s="4" t="str">
        <f>IF(B5782=B5781,"",B5782)</f>
        <v>TanguiÃ©ta</v>
      </c>
    </row>
    <row r="5783" spans="1:6" ht="15.75" customHeight="1">
      <c r="A5783" s="6" t="s">
        <v>21039</v>
      </c>
      <c r="B5783" s="6" t="s">
        <v>21039</v>
      </c>
      <c r="C5783" s="6" t="s">
        <v>20598</v>
      </c>
      <c r="D5783" s="6" t="s">
        <v>20687</v>
      </c>
      <c r="E5783" s="2">
        <v>1683116</v>
      </c>
      <c r="F5783" s="4" t="str">
        <f>IF(B5783=B5782,"",B5783)</f>
        <v>Tangub</v>
      </c>
    </row>
    <row r="5784" spans="1:6" ht="15.75" customHeight="1">
      <c r="A5784" s="5" t="str">
        <f ca="1">IFERROR(__xludf.DUMMYFUNCTION("GOOGLETRANSLATE(B38447,""en"",""pt"")"),"Tangub")</f>
        <v>Tangub</v>
      </c>
      <c r="B5784" s="17" t="s">
        <v>21039</v>
      </c>
      <c r="C5784" s="17" t="s">
        <v>20598</v>
      </c>
      <c r="D5784" s="17" t="s">
        <v>20687</v>
      </c>
      <c r="E5784" s="10">
        <v>1683116</v>
      </c>
      <c r="F5784" s="4" t="str">
        <f>IF(B5784=B5783,"",B5784)</f>
        <v/>
      </c>
    </row>
    <row r="5785" spans="1:6" ht="15.75" customHeight="1">
      <c r="A5785" s="6" t="s">
        <v>3518</v>
      </c>
      <c r="B5785" s="6" t="s">
        <v>3519</v>
      </c>
      <c r="C5785" s="6" t="s">
        <v>1905</v>
      </c>
      <c r="D5785" s="6" t="s">
        <v>1978</v>
      </c>
      <c r="E5785" s="2">
        <v>3446974</v>
      </c>
      <c r="F5785" s="4" t="str">
        <f>IF(B5785=B5784,"",B5785)</f>
        <v>TanguÃ¡</v>
      </c>
    </row>
    <row r="5786" spans="1:6" ht="15.75" customHeight="1">
      <c r="A5786" s="5" t="str">
        <f ca="1">IFERROR(__xludf.DUMMYFUNCTION("GOOGLETRANSLATE(B24506,""en"",""pt"")"),"Tanguá")</f>
        <v>Tanguá</v>
      </c>
      <c r="B5786" s="17" t="s">
        <v>31459</v>
      </c>
      <c r="C5786" s="17" t="s">
        <v>1905</v>
      </c>
      <c r="D5786" s="17" t="s">
        <v>1978</v>
      </c>
      <c r="E5786" s="10">
        <v>3446974</v>
      </c>
      <c r="F5786" s="4" t="str">
        <f>IF(B5786=B5785,"",B5786)</f>
        <v>Tanguá</v>
      </c>
    </row>
    <row r="5787" spans="1:6" ht="15.75" customHeight="1">
      <c r="A5787" s="6" t="s">
        <v>5123</v>
      </c>
      <c r="B5787" s="6" t="s">
        <v>5123</v>
      </c>
      <c r="C5787" s="6" t="s">
        <v>4487</v>
      </c>
      <c r="D5787" s="6" t="s">
        <v>4529</v>
      </c>
      <c r="E5787" s="2">
        <v>1793346</v>
      </c>
      <c r="F5787" s="4" t="str">
        <f>IF(B5787=B5786,"",B5787)</f>
        <v>Tangshan</v>
      </c>
    </row>
    <row r="5788" spans="1:6" ht="15.75" customHeight="1">
      <c r="A5788" s="5" t="str">
        <f ca="1">IFERROR(__xludf.DUMMYFUNCTION("GOOGLETRANSLATE(B26240,""en"",""pt"")"),"Tangshan")</f>
        <v>Tangshan</v>
      </c>
      <c r="B5788" s="17" t="s">
        <v>5123</v>
      </c>
      <c r="C5788" s="17" t="s">
        <v>4487</v>
      </c>
      <c r="D5788" s="17" t="s">
        <v>4529</v>
      </c>
      <c r="E5788" s="10">
        <v>1793346</v>
      </c>
      <c r="F5788" s="4" t="str">
        <f>IF(B5788=B5787,"",B5788)</f>
        <v/>
      </c>
    </row>
    <row r="5789" spans="1:6" ht="15.75" customHeight="1">
      <c r="A5789" s="6" t="s">
        <v>5122</v>
      </c>
      <c r="B5789" s="6" t="s">
        <v>5122</v>
      </c>
      <c r="C5789" s="6" t="s">
        <v>4487</v>
      </c>
      <c r="D5789" s="6" t="s">
        <v>4492</v>
      </c>
      <c r="E5789" s="2">
        <v>1793364</v>
      </c>
      <c r="F5789" s="4" t="str">
        <f>IF(B5789=B5788,"",B5789)</f>
        <v>Tangping</v>
      </c>
    </row>
    <row r="5790" spans="1:6" ht="15.75" customHeight="1">
      <c r="A5790" s="5" t="str">
        <f ca="1">IFERROR(__xludf.DUMMYFUNCTION("GOOGLETRANSLATE(B26241,""en"",""pt"")"),"Tangping")</f>
        <v>Tangping</v>
      </c>
      <c r="B5790" s="17" t="s">
        <v>5122</v>
      </c>
      <c r="C5790" s="17" t="s">
        <v>4487</v>
      </c>
      <c r="D5790" s="17" t="s">
        <v>4492</v>
      </c>
      <c r="E5790" s="10">
        <v>1793364</v>
      </c>
      <c r="F5790" s="4" t="str">
        <f>IF(B5790=B5789,"",B5790)</f>
        <v/>
      </c>
    </row>
    <row r="5791" spans="1:6" ht="15.75" customHeight="1">
      <c r="A5791" s="6" t="s">
        <v>17579</v>
      </c>
      <c r="B5791" s="6" t="s">
        <v>17579</v>
      </c>
      <c r="C5791" s="6" t="s">
        <v>17432</v>
      </c>
      <c r="D5791" s="6" t="s">
        <v>17442</v>
      </c>
      <c r="E5791" s="2">
        <v>1732857</v>
      </c>
      <c r="F5791" s="4" t="str">
        <f>IF(B5791=B5790,"",B5791)</f>
        <v>Tangkak</v>
      </c>
    </row>
    <row r="5792" spans="1:6" ht="15.75" customHeight="1">
      <c r="A5792" s="5" t="str">
        <f ca="1">IFERROR(__xludf.DUMMYFUNCTION("GOOGLETRANSLATE(B37420,""en"",""pt"")"),"Tangkak")</f>
        <v>Tangkak</v>
      </c>
      <c r="B5792" s="17" t="s">
        <v>17579</v>
      </c>
      <c r="C5792" s="17" t="s">
        <v>17432</v>
      </c>
      <c r="D5792" s="17" t="s">
        <v>17442</v>
      </c>
      <c r="E5792" s="10">
        <v>1732857</v>
      </c>
      <c r="F5792" s="4" t="str">
        <f>IF(B5792=B5791,"",B5792)</f>
        <v/>
      </c>
    </row>
    <row r="5793" spans="1:6" ht="15.75" customHeight="1">
      <c r="A5793" s="6" t="s">
        <v>24154</v>
      </c>
      <c r="B5793" s="6" t="s">
        <v>24154</v>
      </c>
      <c r="C5793" s="6" t="s">
        <v>24024</v>
      </c>
      <c r="D5793" s="6" t="s">
        <v>24033</v>
      </c>
      <c r="E5793" s="2">
        <v>1834885</v>
      </c>
      <c r="F5793" s="4" t="str">
        <f>IF(B5793=B5792,"",B5793)</f>
        <v>Tangjin</v>
      </c>
    </row>
    <row r="5794" spans="1:6" ht="15.75" customHeight="1">
      <c r="A5794" s="5" t="str">
        <f ca="1">IFERROR(__xludf.DUMMYFUNCTION("GOOGLETRANSLATE(B36064,""en"",""pt"")"),"Tangjin")</f>
        <v>Tangjin</v>
      </c>
      <c r="B5794" s="17" t="s">
        <v>24154</v>
      </c>
      <c r="C5794" s="17" t="s">
        <v>24024</v>
      </c>
      <c r="D5794" s="17" t="s">
        <v>24033</v>
      </c>
      <c r="E5794" s="10">
        <v>1834885</v>
      </c>
      <c r="F5794" s="4" t="str">
        <f>IF(B5794=B5793,"",B5794)</f>
        <v/>
      </c>
    </row>
    <row r="5795" spans="1:6" ht="15.75" customHeight="1">
      <c r="A5795" s="5" t="s">
        <v>5121</v>
      </c>
      <c r="B5795" s="6" t="s">
        <v>5121</v>
      </c>
      <c r="C5795" s="5" t="s">
        <v>4487</v>
      </c>
      <c r="D5795" s="5" t="s">
        <v>4529</v>
      </c>
      <c r="E5795" s="2">
        <v>1793385</v>
      </c>
      <c r="F5795" s="4" t="str">
        <f>IF(B5795=B5794,"",B5795)</f>
        <v>Tangjiazhuang</v>
      </c>
    </row>
    <row r="5796" spans="1:6" ht="15.75" customHeight="1">
      <c r="A5796" s="5" t="str">
        <f ca="1">IFERROR(__xludf.DUMMYFUNCTION("GOOGLETRANSLATE(B26242,""en"",""pt"")"),"Tangjiazhuang")</f>
        <v>Tangjiazhuang</v>
      </c>
      <c r="B5796" s="17" t="s">
        <v>5121</v>
      </c>
      <c r="C5796" s="17" t="s">
        <v>4487</v>
      </c>
      <c r="D5796" s="17" t="s">
        <v>4529</v>
      </c>
      <c r="E5796" s="10">
        <v>1793385</v>
      </c>
      <c r="F5796" s="4" t="str">
        <f>IF(B5796=B5795,"",B5796)</f>
        <v/>
      </c>
    </row>
    <row r="5797" spans="1:6" ht="15.75" customHeight="1">
      <c r="A5797" s="6" t="s">
        <v>18635</v>
      </c>
      <c r="B5797" s="6" t="s">
        <v>18636</v>
      </c>
      <c r="C5797" s="6" t="s">
        <v>18551</v>
      </c>
      <c r="D5797" s="6" t="s">
        <v>18559</v>
      </c>
      <c r="E5797" s="2">
        <v>2530335</v>
      </c>
      <c r="F5797" s="4" t="str">
        <f>IF(B5797=B5796,"",B5797)</f>
        <v>Tangier</v>
      </c>
    </row>
    <row r="5798" spans="1:6" ht="15.75" customHeight="1">
      <c r="A5798" s="5" t="str">
        <f ca="1">IFERROR(__xludf.DUMMYFUNCTION("GOOGLETRANSLATE(B36466,""en"",""pt"")"),"Tânger")</f>
        <v>Tânger</v>
      </c>
      <c r="B5798" s="17" t="s">
        <v>18636</v>
      </c>
      <c r="C5798" s="17" t="s">
        <v>18551</v>
      </c>
      <c r="D5798" s="17" t="s">
        <v>34587</v>
      </c>
      <c r="E5798" s="10">
        <v>2530335</v>
      </c>
      <c r="F5798" s="4" t="str">
        <f>IF(B5798=B5797,"",B5798)</f>
        <v/>
      </c>
    </row>
    <row r="5799" spans="1:6" ht="15.75" customHeight="1">
      <c r="A5799" s="6" t="s">
        <v>20265</v>
      </c>
      <c r="B5799" s="6" t="s">
        <v>20265</v>
      </c>
      <c r="C5799" s="6" t="s">
        <v>19808</v>
      </c>
      <c r="D5799" s="6" t="s">
        <v>19811</v>
      </c>
      <c r="E5799" s="2">
        <v>1163927</v>
      </c>
      <c r="F5799" s="4" t="str">
        <f>IF(B5799=B5798,"",B5799)</f>
        <v>Tangi</v>
      </c>
    </row>
    <row r="5800" spans="1:6" ht="15.75" customHeight="1">
      <c r="A5800" s="5" t="str">
        <f ca="1">IFERROR(__xludf.DUMMYFUNCTION("GOOGLETRANSLATE(B38889,""en"",""pt"")"),"Tangi")</f>
        <v>Tangi</v>
      </c>
      <c r="B5800" s="17" t="s">
        <v>20265</v>
      </c>
      <c r="C5800" s="17" t="s">
        <v>19808</v>
      </c>
      <c r="D5800" s="17" t="s">
        <v>19811</v>
      </c>
      <c r="E5800" s="10">
        <v>1163927</v>
      </c>
      <c r="F5800" s="4" t="str">
        <f>IF(B5800=B5799,"",B5800)</f>
        <v/>
      </c>
    </row>
    <row r="5801" spans="1:6" ht="15.75" customHeight="1">
      <c r="A5801" s="5" t="s">
        <v>14194</v>
      </c>
      <c r="B5801" s="6" t="s">
        <v>14194</v>
      </c>
      <c r="C5801" s="5" t="s">
        <v>13800</v>
      </c>
      <c r="D5801" s="5" t="s">
        <v>13816</v>
      </c>
      <c r="E5801" s="2">
        <v>1625067</v>
      </c>
      <c r="F5801" s="4" t="str">
        <f>IF(B5801=B5800,"",B5801)</f>
        <v>Tanggulangin</v>
      </c>
    </row>
    <row r="5802" spans="1:6" ht="15.75" customHeight="1">
      <c r="A5802" s="5" t="str">
        <f ca="1">IFERROR(__xludf.DUMMYFUNCTION("GOOGLETRANSLATE(B31419,""en"",""pt"")"),"Tanggulangin")</f>
        <v>Tanggulangin</v>
      </c>
      <c r="B5802" s="17" t="s">
        <v>14194</v>
      </c>
      <c r="C5802" s="17" t="s">
        <v>13800</v>
      </c>
      <c r="D5802" s="17" t="s">
        <v>13816</v>
      </c>
      <c r="E5802" s="10">
        <v>1625067</v>
      </c>
      <c r="F5802" s="4" t="str">
        <f>IF(B5802=B5801,"",B5802)</f>
        <v/>
      </c>
    </row>
    <row r="5803" spans="1:6" ht="15.75" customHeight="1">
      <c r="A5803" s="6" t="s">
        <v>5120</v>
      </c>
      <c r="B5803" s="6" t="s">
        <v>5120</v>
      </c>
      <c r="C5803" s="6" t="s">
        <v>4487</v>
      </c>
      <c r="D5803" s="6" t="s">
        <v>4726</v>
      </c>
      <c r="E5803" s="2">
        <v>1793424</v>
      </c>
      <c r="F5803" s="4" t="str">
        <f>IF(B5803=B5802,"",B5803)</f>
        <v>Tanggu</v>
      </c>
    </row>
    <row r="5804" spans="1:6" ht="15.75" customHeight="1">
      <c r="A5804" s="5" t="str">
        <f ca="1">IFERROR(__xludf.DUMMYFUNCTION("GOOGLETRANSLATE(B26244,""en"",""pt"")"),"Tanggu")</f>
        <v>Tanggu</v>
      </c>
      <c r="B5804" s="17" t="s">
        <v>5120</v>
      </c>
      <c r="C5804" s="17" t="s">
        <v>4487</v>
      </c>
      <c r="D5804" s="17" t="s">
        <v>4726</v>
      </c>
      <c r="E5804" s="10">
        <v>1793424</v>
      </c>
      <c r="F5804" s="4" t="str">
        <f>IF(B5804=B5803,"",B5804)</f>
        <v/>
      </c>
    </row>
    <row r="5805" spans="1:6" ht="15.75" customHeight="1">
      <c r="A5805" s="5" t="s">
        <v>14193</v>
      </c>
      <c r="B5805" s="6" t="s">
        <v>14193</v>
      </c>
      <c r="C5805" s="5" t="s">
        <v>13800</v>
      </c>
      <c r="D5805" s="5" t="s">
        <v>13901</v>
      </c>
      <c r="E5805" s="2">
        <v>1625084</v>
      </c>
      <c r="F5805" s="4" t="str">
        <f>IF(B5805=B5804,"",B5805)</f>
        <v>Tangerang</v>
      </c>
    </row>
    <row r="5806" spans="1:6" ht="15.75" customHeight="1">
      <c r="A5806" s="5" t="str">
        <f ca="1">IFERROR(__xludf.DUMMYFUNCTION("GOOGLETRANSLATE(B31420,""en"",""pt"")"),"Tangerang")</f>
        <v>Tangerang</v>
      </c>
      <c r="B5806" s="17" t="s">
        <v>14193</v>
      </c>
      <c r="C5806" s="17" t="s">
        <v>13800</v>
      </c>
      <c r="D5806" s="17" t="s">
        <v>13901</v>
      </c>
      <c r="E5806" s="10">
        <v>1625084</v>
      </c>
      <c r="F5806" s="4" t="str">
        <f>IF(B5806=B5805,"",B5806)</f>
        <v/>
      </c>
    </row>
    <row r="5807" spans="1:6" ht="15.75" customHeight="1">
      <c r="A5807" s="5" t="str">
        <f ca="1">IFERROR(__xludf.DUMMYFUNCTION("GOOGLETRANSLATE(B37174,""en"",""pt"")"),"Tangancícuaro de Arista")</f>
        <v>Tangancícuaro de Arista</v>
      </c>
      <c r="B5807" s="17" t="s">
        <v>34736</v>
      </c>
      <c r="C5807" s="17" t="s">
        <v>17707</v>
      </c>
      <c r="D5807" s="17" t="s">
        <v>20902</v>
      </c>
      <c r="E5807" s="10">
        <v>3982545</v>
      </c>
      <c r="F5807" s="4" t="str">
        <f>IF(B5807=B5806,"",B5807)</f>
        <v>Tangancícuaro de Arista</v>
      </c>
    </row>
    <row r="5808" spans="1:6" ht="15.75" customHeight="1">
      <c r="A5808" s="5" t="s">
        <v>18300</v>
      </c>
      <c r="B5808" s="6" t="s">
        <v>18301</v>
      </c>
      <c r="C5808" s="5" t="s">
        <v>17707</v>
      </c>
      <c r="D5808" s="5" t="s">
        <v>17736</v>
      </c>
      <c r="E5808" s="2">
        <v>3982545</v>
      </c>
      <c r="F5808" s="4" t="str">
        <f>IF(B5808=B5807,"",B5808)</f>
        <v>TangancÃ­cuaro de Arista</v>
      </c>
    </row>
    <row r="5809" spans="1:6" ht="15.75" customHeight="1">
      <c r="A5809" s="5" t="str">
        <f ca="1">IFERROR(__xludf.DUMMYFUNCTION("GOOGLETRANSLATE(B23778,""en"",""pt"")"),"Tāngāil")</f>
        <v>Tāngāil</v>
      </c>
      <c r="B5809" s="17" t="s">
        <v>31302</v>
      </c>
      <c r="C5809" s="17" t="s">
        <v>1296</v>
      </c>
      <c r="D5809" s="17" t="s">
        <v>1297</v>
      </c>
      <c r="E5809" s="10">
        <v>1336144</v>
      </c>
      <c r="F5809" s="4" t="str">
        <f>IF(B5809=B5808,"",B5809)</f>
        <v>Tāngāil</v>
      </c>
    </row>
    <row r="5810" spans="1:6" ht="15.75" customHeight="1">
      <c r="A5810" s="6" t="s">
        <v>25586</v>
      </c>
      <c r="B5810" s="6" t="s">
        <v>25586</v>
      </c>
      <c r="C5810" s="6" t="s">
        <v>25560</v>
      </c>
      <c r="D5810" s="6" t="s">
        <v>25586</v>
      </c>
      <c r="E5810" s="2">
        <v>149606</v>
      </c>
      <c r="F5810" s="4" t="str">
        <f>IF(B5810=B5809,"",B5810)</f>
        <v>Tanga</v>
      </c>
    </row>
    <row r="5811" spans="1:6" ht="15.75" customHeight="1">
      <c r="A5811" s="5" t="str">
        <f ca="1">IFERROR(__xludf.DUMMYFUNCTION("GOOGLETRANSLATE(B42297,""en"",""pt"")"),"Tanga")</f>
        <v>Tanga</v>
      </c>
      <c r="B5811" s="17" t="s">
        <v>25586</v>
      </c>
      <c r="C5811" s="17" t="s">
        <v>25560</v>
      </c>
      <c r="D5811" s="17" t="s">
        <v>25586</v>
      </c>
      <c r="E5811" s="10">
        <v>149606</v>
      </c>
      <c r="F5811" s="4" t="str">
        <f>IF(B5811=B5810,"",B5811)</f>
        <v/>
      </c>
    </row>
    <row r="5812" spans="1:6" ht="15.75" customHeight="1">
      <c r="A5812" s="5" t="str">
        <f ca="1">IFERROR(__xludf.DUMMYFUNCTION("GOOGLETRANSLATE(B32033,""en"",""pt"")"),"Tāndūr")</f>
        <v>Tāndūr</v>
      </c>
      <c r="B5812" s="17" t="s">
        <v>33019</v>
      </c>
      <c r="C5812" s="17" t="s">
        <v>10178</v>
      </c>
      <c r="D5812" s="17" t="s">
        <v>10187</v>
      </c>
      <c r="E5812" s="10">
        <v>1255004</v>
      </c>
      <c r="F5812" s="4" t="str">
        <f>IF(B5812=B5811,"",B5812)</f>
        <v>Tāndūr</v>
      </c>
    </row>
    <row r="5813" spans="1:6" ht="15.75" customHeight="1">
      <c r="A5813" s="5" t="str">
        <f ca="1">IFERROR(__xludf.DUMMYFUNCTION("GOOGLETRANSLATE(B38890,""en"",""pt"")"),"Tando Muhammad Khān")</f>
        <v>Tando Muhammad Khān</v>
      </c>
      <c r="B5813" s="17" t="s">
        <v>34901</v>
      </c>
      <c r="C5813" s="17" t="s">
        <v>19808</v>
      </c>
      <c r="D5813" s="17" t="s">
        <v>19823</v>
      </c>
      <c r="E5813" s="10">
        <v>1163952</v>
      </c>
      <c r="F5813" s="4" t="str">
        <f>IF(B5813=B5812,"",B5813)</f>
        <v>Tando Muhammad Khān</v>
      </c>
    </row>
    <row r="5814" spans="1:6" ht="15.75" customHeight="1">
      <c r="A5814" s="5" t="s">
        <v>20263</v>
      </c>
      <c r="B5814" s="6" t="s">
        <v>20264</v>
      </c>
      <c r="C5814" s="5" t="s">
        <v>19808</v>
      </c>
      <c r="D5814" s="5" t="s">
        <v>19823</v>
      </c>
      <c r="E5814" s="2">
        <v>1163952</v>
      </c>
      <c r="F5814" s="4" t="str">
        <f>IF(B5814=B5813,"",B5814)</f>
        <v>Tando Muhammad KhÄn</v>
      </c>
    </row>
    <row r="5815" spans="1:6" ht="15.75" customHeight="1">
      <c r="A5815" s="5" t="str">
        <f ca="1">IFERROR(__xludf.DUMMYFUNCTION("GOOGLETRANSLATE(B38891,""en"",""pt"")"),"Tando Jām")</f>
        <v>Tando Jām</v>
      </c>
      <c r="B5815" s="17" t="s">
        <v>34902</v>
      </c>
      <c r="C5815" s="17" t="s">
        <v>19808</v>
      </c>
      <c r="D5815" s="17" t="s">
        <v>19823</v>
      </c>
      <c r="E5815" s="10">
        <v>1163958</v>
      </c>
      <c r="F5815" s="4" t="str">
        <f>IF(B5815=B5814,"",B5815)</f>
        <v>Tando Jām</v>
      </c>
    </row>
    <row r="5816" spans="1:6" ht="15.75" customHeight="1">
      <c r="A5816" s="5" t="s">
        <v>20261</v>
      </c>
      <c r="B5816" s="6" t="s">
        <v>20262</v>
      </c>
      <c r="C5816" s="5" t="s">
        <v>19808</v>
      </c>
      <c r="D5816" s="5" t="s">
        <v>19823</v>
      </c>
      <c r="E5816" s="2">
        <v>1163958</v>
      </c>
      <c r="F5816" s="4" t="str">
        <f>IF(B5816=B5815,"",B5816)</f>
        <v>Tando JÄm</v>
      </c>
    </row>
    <row r="5817" spans="1:6" ht="15.75" customHeight="1">
      <c r="A5817" s="5" t="str">
        <f ca="1">IFERROR(__xludf.DUMMYFUNCTION("GOOGLETRANSLATE(B39171,""en"",""pt"")"),"Tando Ghulām Ali")</f>
        <v>Tando Ghulām Ali</v>
      </c>
      <c r="B5817" s="17" t="s">
        <v>35058</v>
      </c>
      <c r="C5817" s="17" t="s">
        <v>19808</v>
      </c>
      <c r="D5817" s="17" t="s">
        <v>19823</v>
      </c>
      <c r="E5817" s="10">
        <v>1360491</v>
      </c>
      <c r="F5817" s="4" t="str">
        <f>IF(B5817=B5816,"",B5817)</f>
        <v>Tando Ghulām Ali</v>
      </c>
    </row>
    <row r="5818" spans="1:6" ht="15.75" customHeight="1">
      <c r="A5818" s="5" t="s">
        <v>20259</v>
      </c>
      <c r="B5818" s="6" t="s">
        <v>20260</v>
      </c>
      <c r="C5818" s="5" t="s">
        <v>19808</v>
      </c>
      <c r="D5818" s="5" t="s">
        <v>19823</v>
      </c>
      <c r="E5818" s="2">
        <v>1360491</v>
      </c>
      <c r="F5818" s="4" t="str">
        <f>IF(B5818=B5817,"",B5818)</f>
        <v>Tando GhulÄm Ali</v>
      </c>
    </row>
    <row r="5819" spans="1:6" ht="15.75" customHeight="1">
      <c r="A5819" s="5" t="str">
        <f ca="1">IFERROR(__xludf.DUMMYFUNCTION("GOOGLETRANSLATE(B38892,""en"",""pt"")"),"Tando Allāhyār")</f>
        <v>Tando Allāhyār</v>
      </c>
      <c r="B5819" s="17" t="s">
        <v>34903</v>
      </c>
      <c r="C5819" s="17" t="s">
        <v>19808</v>
      </c>
      <c r="D5819" s="17" t="s">
        <v>19823</v>
      </c>
      <c r="E5819" s="10">
        <v>1163965</v>
      </c>
      <c r="F5819" s="4" t="str">
        <f>IF(B5819=B5818,"",B5819)</f>
        <v>Tando Allāhyār</v>
      </c>
    </row>
    <row r="5820" spans="1:6" ht="15.75" customHeight="1">
      <c r="A5820" s="5" t="s">
        <v>20257</v>
      </c>
      <c r="B5820" s="6" t="s">
        <v>20258</v>
      </c>
      <c r="C5820" s="5" t="s">
        <v>19808</v>
      </c>
      <c r="D5820" s="5" t="s">
        <v>19823</v>
      </c>
      <c r="E5820" s="2">
        <v>1163965</v>
      </c>
      <c r="F5820" s="4" t="str">
        <f>IF(B5820=B5819,"",B5820)</f>
        <v>Tando AllÄhyÄr</v>
      </c>
    </row>
    <row r="5821" spans="1:6" ht="15.75" customHeight="1">
      <c r="A5821" s="5" t="str">
        <f ca="1">IFERROR(__xludf.DUMMYFUNCTION("GOOGLETRANSLATE(B38893,""en"",""pt"")"),"Tando ādam")</f>
        <v>Tando ādam</v>
      </c>
      <c r="B5821" s="17" t="s">
        <v>34904</v>
      </c>
      <c r="C5821" s="17" t="s">
        <v>19808</v>
      </c>
      <c r="D5821" s="17" t="s">
        <v>19823</v>
      </c>
      <c r="E5821" s="10">
        <v>1163967</v>
      </c>
      <c r="F5821" s="4" t="str">
        <f>IF(B5821=B5820,"",B5821)</f>
        <v>Tando Ādam</v>
      </c>
    </row>
    <row r="5822" spans="1:6" ht="15.75" customHeight="1">
      <c r="A5822" s="5" t="s">
        <v>20255</v>
      </c>
      <c r="B5822" s="6" t="s">
        <v>20256</v>
      </c>
      <c r="C5822" s="5" t="s">
        <v>19808</v>
      </c>
      <c r="D5822" s="5" t="s">
        <v>19823</v>
      </c>
      <c r="E5822" s="2">
        <v>1163967</v>
      </c>
      <c r="F5822" s="4" t="str">
        <f>IF(B5822=B5821,"",B5822)</f>
        <v>Tando Ä€dam</v>
      </c>
    </row>
    <row r="5823" spans="1:6" ht="15.75" customHeight="1">
      <c r="A5823" s="5" t="str">
        <f ca="1">IFERROR(__xludf.DUMMYFUNCTION("GOOGLETRANSLATE(B38894,""en"",""pt"")"),"Tāndliānwāla")</f>
        <v>Tāndliānwāla</v>
      </c>
      <c r="B5823" s="17" t="s">
        <v>34905</v>
      </c>
      <c r="C5823" s="17" t="s">
        <v>19808</v>
      </c>
      <c r="D5823" s="17" t="s">
        <v>10184</v>
      </c>
      <c r="E5823" s="10">
        <v>1163968</v>
      </c>
      <c r="F5823" s="4" t="str">
        <f>IF(B5823=B5822,"",B5823)</f>
        <v>Tāndliānwāla</v>
      </c>
    </row>
    <row r="5824" spans="1:6" ht="15.75" customHeight="1">
      <c r="A5824" s="6" t="s">
        <v>812</v>
      </c>
      <c r="B5824" s="6" t="s">
        <v>812</v>
      </c>
      <c r="C5824" s="6" t="s">
        <v>558</v>
      </c>
      <c r="D5824" s="6" t="s">
        <v>562</v>
      </c>
      <c r="E5824" s="2">
        <v>3427833</v>
      </c>
      <c r="F5824" s="4" t="str">
        <f>IF(B5824=B5823,"",B5824)</f>
        <v>Tandil</v>
      </c>
    </row>
    <row r="5825" spans="1:6" ht="15.75" customHeight="1">
      <c r="A5825" s="5" t="str">
        <f ca="1">IFERROR(__xludf.DUMMYFUNCTION("GOOGLETRANSLATE(B23174,""en"",""pt"")"),"Tandil")</f>
        <v>Tandil</v>
      </c>
      <c r="B5825" s="17" t="s">
        <v>812</v>
      </c>
      <c r="C5825" s="17" t="s">
        <v>558</v>
      </c>
      <c r="D5825" s="17" t="s">
        <v>562</v>
      </c>
      <c r="E5825" s="10">
        <v>3427833</v>
      </c>
      <c r="F5825" s="4" t="str">
        <f>IF(B5825=B5824,"",B5825)</f>
        <v/>
      </c>
    </row>
    <row r="5826" spans="1:6" ht="15.75" customHeight="1">
      <c r="A5826" s="5" t="str">
        <f ca="1">IFERROR(__xludf.DUMMYFUNCTION("GOOGLETRANSLATE(B41076,""en"",""pt"")"),"Tandaltī")</f>
        <v>Tandaltī</v>
      </c>
      <c r="B5826" s="17" t="s">
        <v>35606</v>
      </c>
      <c r="C5826" s="17" t="s">
        <v>24987</v>
      </c>
      <c r="D5826" s="17" t="s">
        <v>24994</v>
      </c>
      <c r="E5826" s="10">
        <v>366426</v>
      </c>
      <c r="F5826" s="4" t="str">
        <f>IF(B5826=B5825,"",B5826)</f>
        <v>Tandaltī</v>
      </c>
    </row>
    <row r="5827" spans="1:6" ht="15.75" customHeight="1">
      <c r="A5827" s="5" t="s">
        <v>25054</v>
      </c>
      <c r="B5827" s="6" t="s">
        <v>25055</v>
      </c>
      <c r="C5827" s="5" t="s">
        <v>24987</v>
      </c>
      <c r="D5827" s="5" t="s">
        <v>24994</v>
      </c>
      <c r="E5827" s="2">
        <v>366426</v>
      </c>
      <c r="F5827" s="4" t="str">
        <f>IF(B5827=B5826,"",B5827)</f>
        <v>TandaltÄ«</v>
      </c>
    </row>
    <row r="5828" spans="1:6" ht="15.75" customHeight="1">
      <c r="A5828" s="5" t="s">
        <v>25748</v>
      </c>
      <c r="B5828" s="6" t="s">
        <v>25748</v>
      </c>
      <c r="C5828" s="5" t="s">
        <v>25560</v>
      </c>
      <c r="D5828" s="5" t="s">
        <v>25648</v>
      </c>
      <c r="E5828" s="2">
        <v>877391</v>
      </c>
      <c r="F5828" s="4" t="str">
        <f>IF(B5828=B5827,"",B5828)</f>
        <v>Tandahimba</v>
      </c>
    </row>
    <row r="5829" spans="1:6" ht="15.75" customHeight="1">
      <c r="A5829" s="5" t="str">
        <f ca="1">IFERROR(__xludf.DUMMYFUNCTION("GOOGLETRANSLATE(B42447,""en"",""pt"")"),"Tandahimba")</f>
        <v>Tandahimba</v>
      </c>
      <c r="B5829" s="17" t="s">
        <v>25748</v>
      </c>
      <c r="C5829" s="17" t="s">
        <v>25560</v>
      </c>
      <c r="D5829" s="17" t="s">
        <v>25648</v>
      </c>
      <c r="E5829" s="10">
        <v>877391</v>
      </c>
      <c r="F5829" s="4" t="str">
        <f>IF(B5829=B5828,"",B5829)</f>
        <v/>
      </c>
    </row>
    <row r="5830" spans="1:6" ht="15.75" customHeight="1">
      <c r="A5830" s="6" t="s">
        <v>21038</v>
      </c>
      <c r="B5830" s="6" t="s">
        <v>21038</v>
      </c>
      <c r="C5830" s="6" t="s">
        <v>20598</v>
      </c>
      <c r="D5830" s="6" t="s">
        <v>20647</v>
      </c>
      <c r="E5830" s="2">
        <v>1683302</v>
      </c>
      <c r="F5830" s="4" t="str">
        <f>IF(B5830=B5829,"",B5830)</f>
        <v>Tandag</v>
      </c>
    </row>
    <row r="5831" spans="1:6" ht="15.75" customHeight="1">
      <c r="A5831" s="5" t="str">
        <f ca="1">IFERROR(__xludf.DUMMYFUNCTION("GOOGLETRANSLATE(B38448,""en"",""pt"")"),"Tandag")</f>
        <v>Tandag</v>
      </c>
      <c r="B5831" s="17" t="s">
        <v>21038</v>
      </c>
      <c r="C5831" s="17" t="s">
        <v>20598</v>
      </c>
      <c r="D5831" s="17" t="s">
        <v>20647</v>
      </c>
      <c r="E5831" s="10">
        <v>1683302</v>
      </c>
      <c r="F5831" s="4" t="str">
        <f>IF(B5831=B5830,"",B5831)</f>
        <v/>
      </c>
    </row>
    <row r="5832" spans="1:6" ht="15.75" customHeight="1">
      <c r="A5832" s="5" t="str">
        <f ca="1">IFERROR(__xludf.DUMMYFUNCTION("GOOGLETRANSLATE(B32035,""en"",""pt"")"),"Tāndā")</f>
        <v>Tāndā</v>
      </c>
      <c r="B5832" s="17" t="s">
        <v>33021</v>
      </c>
      <c r="C5832" s="17" t="s">
        <v>10178</v>
      </c>
      <c r="D5832" s="17" t="s">
        <v>10193</v>
      </c>
      <c r="E5832" s="10">
        <v>1255024</v>
      </c>
      <c r="F5832" s="4" t="str">
        <f>IF(B5832=B5831,"",B5832)</f>
        <v>Tāndā</v>
      </c>
    </row>
    <row r="5833" spans="1:6" ht="15.75" customHeight="1">
      <c r="A5833" s="5" t="str">
        <f ca="1">IFERROR(__xludf.DUMMYFUNCTION("GOOGLETRANSLATE(B32034,""en"",""pt"")"),"Tānda")</f>
        <v>Tānda</v>
      </c>
      <c r="B5833" s="17" t="s">
        <v>33020</v>
      </c>
      <c r="C5833" s="17" t="s">
        <v>10178</v>
      </c>
      <c r="D5833" s="17" t="s">
        <v>10193</v>
      </c>
      <c r="E5833" s="10">
        <v>1255023</v>
      </c>
      <c r="F5833" s="4" t="str">
        <f>IF(B5833=B5832,"",B5833)</f>
        <v>Tānda</v>
      </c>
    </row>
    <row r="5834" spans="1:6" ht="15.75" customHeight="1">
      <c r="A5834" s="6" t="s">
        <v>6721</v>
      </c>
      <c r="B5834" s="6" t="s">
        <v>6721</v>
      </c>
      <c r="C5834" s="6" t="s">
        <v>6495</v>
      </c>
      <c r="D5834" s="6" t="s">
        <v>6567</v>
      </c>
      <c r="E5834" s="2">
        <v>347497</v>
      </c>
      <c r="F5834" s="4" t="str">
        <f>IF(B5834=B5833,"",B5834)</f>
        <v>Tanda</v>
      </c>
    </row>
    <row r="5835" spans="1:6" ht="15.75" customHeight="1">
      <c r="A5835" s="6" t="s">
        <v>6721</v>
      </c>
      <c r="B5835" s="6" t="s">
        <v>6721</v>
      </c>
      <c r="C5835" s="6" t="s">
        <v>15586</v>
      </c>
      <c r="D5835" s="6" t="s">
        <v>15617</v>
      </c>
      <c r="E5835" s="2">
        <v>2280995</v>
      </c>
      <c r="F5835" s="4" t="str">
        <f>IF(B5835=B5834,"",B5835)</f>
        <v/>
      </c>
    </row>
    <row r="5836" spans="1:6" ht="15.75" customHeight="1">
      <c r="A5836" s="5" t="str">
        <f ca="1">IFERROR(__xludf.DUMMYFUNCTION("GOOGLETRANSLATE(B25832,""en"",""pt"")"),"Tanda")</f>
        <v>Tanda</v>
      </c>
      <c r="B5836" s="17" t="s">
        <v>6721</v>
      </c>
      <c r="C5836" s="17" t="s">
        <v>15586</v>
      </c>
      <c r="D5836" s="17" t="s">
        <v>15617</v>
      </c>
      <c r="E5836" s="10">
        <v>2280995</v>
      </c>
      <c r="F5836" s="4" t="str">
        <f>IF(B5836=B5835,"",B5836)</f>
        <v/>
      </c>
    </row>
    <row r="5837" spans="1:6" ht="15.75" customHeight="1">
      <c r="A5837" s="5" t="str">
        <f ca="1">IFERROR(__xludf.DUMMYFUNCTION("GOOGLETRANSLATE(B28823,""en"",""pt"")"),"Tanda")</f>
        <v>Tanda</v>
      </c>
      <c r="B5837" s="17" t="s">
        <v>6721</v>
      </c>
      <c r="C5837" s="17" t="s">
        <v>6495</v>
      </c>
      <c r="D5837" s="17" t="s">
        <v>32245</v>
      </c>
      <c r="E5837" s="10">
        <v>347497</v>
      </c>
      <c r="F5837" s="4" t="str">
        <f>IF(B5837=B5836,"",B5837)</f>
        <v/>
      </c>
    </row>
    <row r="5838" spans="1:6" ht="15.75" customHeight="1">
      <c r="A5838" s="6" t="s">
        <v>21037</v>
      </c>
      <c r="B5838" s="6" t="s">
        <v>21037</v>
      </c>
      <c r="C5838" s="6" t="s">
        <v>20598</v>
      </c>
      <c r="D5838" s="6" t="s">
        <v>20608</v>
      </c>
      <c r="E5838" s="2">
        <v>1683319</v>
      </c>
      <c r="F5838" s="4" t="str">
        <f>IF(B5838=B5837,"",B5838)</f>
        <v>Tanay</v>
      </c>
    </row>
    <row r="5839" spans="1:6" ht="15.75" customHeight="1">
      <c r="A5839" s="5" t="str">
        <f ca="1">IFERROR(__xludf.DUMMYFUNCTION("GOOGLETRANSLATE(B38449,""en"",""pt"")"),"Tanay")</f>
        <v>Tanay</v>
      </c>
      <c r="B5839" s="17" t="s">
        <v>21037</v>
      </c>
      <c r="C5839" s="17" t="s">
        <v>20598</v>
      </c>
      <c r="D5839" s="17" t="s">
        <v>20608</v>
      </c>
      <c r="E5839" s="10">
        <v>1683319</v>
      </c>
      <c r="F5839" s="4" t="str">
        <f>IF(B5839=B5838,"",B5839)</f>
        <v/>
      </c>
    </row>
    <row r="5840" spans="1:6" ht="15.75" customHeight="1">
      <c r="A5840" s="6" t="s">
        <v>21036</v>
      </c>
      <c r="B5840" s="6" t="s">
        <v>21036</v>
      </c>
      <c r="C5840" s="6" t="s">
        <v>20598</v>
      </c>
      <c r="D5840" s="6" t="s">
        <v>20608</v>
      </c>
      <c r="E5840" s="2">
        <v>1683340</v>
      </c>
      <c r="F5840" s="4" t="str">
        <f>IF(B5840=B5839,"",B5840)</f>
        <v>Tanauan</v>
      </c>
    </row>
    <row r="5841" spans="1:6" ht="15.75" customHeight="1">
      <c r="A5841" s="6" t="s">
        <v>21036</v>
      </c>
      <c r="B5841" s="6" t="s">
        <v>21036</v>
      </c>
      <c r="C5841" s="6" t="s">
        <v>20598</v>
      </c>
      <c r="D5841" s="6" t="s">
        <v>20601</v>
      </c>
      <c r="E5841" s="2">
        <v>1683342</v>
      </c>
      <c r="F5841" s="4" t="str">
        <f>IF(B5841=B5840,"",B5841)</f>
        <v/>
      </c>
    </row>
    <row r="5842" spans="1:6" ht="15.75" customHeight="1">
      <c r="A5842" s="5" t="str">
        <f ca="1">IFERROR(__xludf.DUMMYFUNCTION("GOOGLETRANSLATE(B38450,""en"",""pt"")"),"Tanauan")</f>
        <v>Tanauan</v>
      </c>
      <c r="B5842" s="17" t="s">
        <v>21036</v>
      </c>
      <c r="C5842" s="17" t="s">
        <v>20598</v>
      </c>
      <c r="D5842" s="17" t="s">
        <v>20608</v>
      </c>
      <c r="E5842" s="10">
        <v>1683340</v>
      </c>
      <c r="F5842" s="4" t="str">
        <f>IF(B5842=B5841,"",B5842)</f>
        <v/>
      </c>
    </row>
    <row r="5843" spans="1:6" ht="15.75" customHeight="1">
      <c r="A5843" s="5" t="str">
        <f ca="1">IFERROR(__xludf.DUMMYFUNCTION("GOOGLETRANSLATE(B38451,""en"",""pt"")"),"Tanauan")</f>
        <v>Tanauan</v>
      </c>
      <c r="B5843" s="17" t="s">
        <v>21036</v>
      </c>
      <c r="C5843" s="17" t="s">
        <v>20598</v>
      </c>
      <c r="D5843" s="17" t="s">
        <v>20601</v>
      </c>
      <c r="E5843" s="10">
        <v>1683342</v>
      </c>
      <c r="F5843" s="4" t="str">
        <f>IF(B5843=B5842,"",B5843)</f>
        <v/>
      </c>
    </row>
    <row r="5844" spans="1:6" ht="15.75" customHeight="1">
      <c r="A5844" s="5" t="str">
        <f ca="1">IFERROR(__xludf.DUMMYFUNCTION("GOOGLETRANSLATE(B35247,""en"",""pt"")"),"Tanashichō")</f>
        <v>Tanashichō</v>
      </c>
      <c r="B5844" s="17" t="s">
        <v>34303</v>
      </c>
      <c r="C5844" s="17" t="s">
        <v>15704</v>
      </c>
      <c r="D5844" s="17" t="s">
        <v>15776</v>
      </c>
      <c r="E5844" s="10">
        <v>1850693</v>
      </c>
      <c r="F5844" s="4" t="str">
        <f>IF(B5844=B5843,"",B5844)</f>
        <v>Tanashichō</v>
      </c>
    </row>
    <row r="5845" spans="1:6" ht="15.75" customHeight="1">
      <c r="A5845" s="5" t="s">
        <v>16490</v>
      </c>
      <c r="B5845" s="6" t="s">
        <v>16491</v>
      </c>
      <c r="C5845" s="5" t="s">
        <v>15704</v>
      </c>
      <c r="D5845" s="5" t="s">
        <v>15776</v>
      </c>
      <c r="E5845" s="2">
        <v>1850693</v>
      </c>
      <c r="F5845" s="4" t="str">
        <f>IF(B5845=B5844,"",B5845)</f>
        <v>TanashichÅ</v>
      </c>
    </row>
    <row r="5846" spans="1:6" ht="15.75" customHeight="1">
      <c r="A5846" s="6" t="s">
        <v>13523</v>
      </c>
      <c r="B5846" s="6" t="s">
        <v>13523</v>
      </c>
      <c r="C5846" s="6" t="s">
        <v>10178</v>
      </c>
      <c r="D5846" s="6" t="s">
        <v>10299</v>
      </c>
      <c r="E5846" s="2">
        <v>1255027</v>
      </c>
      <c r="F5846" s="4" t="str">
        <f>IF(B5846=B5845,"",B5846)</f>
        <v>Tanakpur</v>
      </c>
    </row>
    <row r="5847" spans="1:6" ht="15.75" customHeight="1">
      <c r="A5847" s="5" t="str">
        <f ca="1">IFERROR(__xludf.DUMMYFUNCTION("GOOGLETRANSLATE(B32036,""en"",""pt"")"),"Tanakpur")</f>
        <v>Tanakpur</v>
      </c>
      <c r="B5847" s="17" t="s">
        <v>13523</v>
      </c>
      <c r="C5847" s="17" t="s">
        <v>10178</v>
      </c>
      <c r="D5847" s="17" t="s">
        <v>10299</v>
      </c>
      <c r="E5847" s="10">
        <v>1255027</v>
      </c>
      <c r="F5847" s="4" t="str">
        <f>IF(B5847=B5846,"",B5847)</f>
        <v/>
      </c>
    </row>
    <row r="5848" spans="1:6" ht="15.75" customHeight="1">
      <c r="A5848" s="5" t="s">
        <v>17578</v>
      </c>
      <c r="B5848" s="6" t="s">
        <v>17578</v>
      </c>
      <c r="C5848" s="5" t="s">
        <v>17432</v>
      </c>
      <c r="D5848" s="5" t="s">
        <v>17469</v>
      </c>
      <c r="E5848" s="2">
        <v>1735553</v>
      </c>
      <c r="F5848" s="4" t="str">
        <f>IF(B5848=B5847,"",B5848)</f>
        <v>Tanah Merah</v>
      </c>
    </row>
    <row r="5849" spans="1:6" ht="15.75" customHeight="1">
      <c r="A5849" s="5" t="str">
        <f ca="1">IFERROR(__xludf.DUMMYFUNCTION("GOOGLETRANSLATE(B37495,""en"",""pt"")"),"Tanah Merah")</f>
        <v>Tanah Merah</v>
      </c>
      <c r="B5849" s="17" t="s">
        <v>17578</v>
      </c>
      <c r="C5849" s="17" t="s">
        <v>17432</v>
      </c>
      <c r="D5849" s="17" t="s">
        <v>17469</v>
      </c>
      <c r="E5849" s="10">
        <v>1735553</v>
      </c>
      <c r="F5849" s="4" t="str">
        <f>IF(B5849=B5848,"",B5849)</f>
        <v/>
      </c>
    </row>
    <row r="5850" spans="1:6" ht="15.75" customHeight="1">
      <c r="A5850" s="6" t="s">
        <v>3517</v>
      </c>
      <c r="B5850" s="6" t="s">
        <v>3517</v>
      </c>
      <c r="C5850" s="6" t="s">
        <v>1905</v>
      </c>
      <c r="D5850" s="6" t="s">
        <v>1914</v>
      </c>
      <c r="E5850" s="2">
        <v>3446979</v>
      </c>
      <c r="F5850" s="4" t="str">
        <f>IF(B5850=B5849,"",B5850)</f>
        <v>Tanabi</v>
      </c>
    </row>
    <row r="5851" spans="1:6" ht="15.75" customHeight="1">
      <c r="A5851" s="5" t="str">
        <f ca="1">IFERROR(__xludf.DUMMYFUNCTION("GOOGLETRANSLATE(B24507,""en"",""pt"")"),"Tanabi")</f>
        <v>Tanabi</v>
      </c>
      <c r="B5851" s="17" t="s">
        <v>3517</v>
      </c>
      <c r="C5851" s="17" t="s">
        <v>1905</v>
      </c>
      <c r="D5851" s="17" t="s">
        <v>3354</v>
      </c>
      <c r="E5851" s="10">
        <v>3446979</v>
      </c>
      <c r="F5851" s="4" t="str">
        <f>IF(B5851=B5850,"",B5851)</f>
        <v/>
      </c>
    </row>
    <row r="5852" spans="1:6" ht="15.75" customHeight="1">
      <c r="A5852" s="6" t="s">
        <v>16489</v>
      </c>
      <c r="B5852" s="6" t="s">
        <v>16489</v>
      </c>
      <c r="C5852" s="6" t="s">
        <v>15704</v>
      </c>
      <c r="D5852" s="6" t="s">
        <v>15831</v>
      </c>
      <c r="E5852" s="2">
        <v>1850707</v>
      </c>
      <c r="F5852" s="4" t="str">
        <f>IF(B5852=B5851,"",B5852)</f>
        <v>Tanabe</v>
      </c>
    </row>
    <row r="5853" spans="1:6" ht="15.75" customHeight="1">
      <c r="A5853" s="6" t="s">
        <v>16489</v>
      </c>
      <c r="B5853" s="6" t="s">
        <v>16489</v>
      </c>
      <c r="C5853" s="6" t="s">
        <v>15704</v>
      </c>
      <c r="D5853" s="6" t="s">
        <v>15902</v>
      </c>
      <c r="E5853" s="2">
        <v>1850708</v>
      </c>
      <c r="F5853" s="4" t="str">
        <f>IF(B5853=B5852,"",B5853)</f>
        <v/>
      </c>
    </row>
    <row r="5854" spans="1:6" ht="15.75" customHeight="1">
      <c r="A5854" s="5" t="str">
        <f ca="1">IFERROR(__xludf.DUMMYFUNCTION("GOOGLETRANSLATE(B35248,""en"",""pt"")"),"Tanabe")</f>
        <v>Tanabe</v>
      </c>
      <c r="B5854" s="17" t="s">
        <v>16489</v>
      </c>
      <c r="C5854" s="17" t="s">
        <v>15704</v>
      </c>
      <c r="D5854" s="17" t="s">
        <v>15831</v>
      </c>
      <c r="E5854" s="10">
        <v>1850707</v>
      </c>
      <c r="F5854" s="4" t="str">
        <f>IF(B5854=B5853,"",B5854)</f>
        <v/>
      </c>
    </row>
    <row r="5855" spans="1:6" ht="15.75" customHeight="1">
      <c r="A5855" s="5" t="str">
        <f ca="1">IFERROR(__xludf.DUMMYFUNCTION("GOOGLETRANSLATE(B35249,""en"",""pt"")"),"Tanabe")</f>
        <v>Tanabe</v>
      </c>
      <c r="B5855" s="17" t="s">
        <v>16489</v>
      </c>
      <c r="C5855" s="17" t="s">
        <v>15704</v>
      </c>
      <c r="D5855" s="17" t="s">
        <v>15902</v>
      </c>
      <c r="E5855" s="10">
        <v>1850708</v>
      </c>
      <c r="F5855" s="4" t="str">
        <f>IF(B5855=B5854,"",B5855)</f>
        <v/>
      </c>
    </row>
    <row r="5856" spans="1:6" ht="15.75" customHeight="1">
      <c r="A5856" s="5" t="str">
        <f ca="1">IFERROR(__xludf.DUMMYFUNCTION("GOOGLETRANSLATE(B45727,""en"",""pt"")"),"Tân an")</f>
        <v>Tân an</v>
      </c>
      <c r="B5856" s="17" t="s">
        <v>36129</v>
      </c>
      <c r="C5856" s="17" t="s">
        <v>30784</v>
      </c>
      <c r="D5856" s="17" t="s">
        <v>30828</v>
      </c>
      <c r="E5856" s="10">
        <v>1567069</v>
      </c>
      <c r="F5856" s="4" t="str">
        <f>IF(B5856=B5855,"",B5856)</f>
        <v>Tân An</v>
      </c>
    </row>
    <row r="5857" spans="1:6" ht="15.75" customHeight="1">
      <c r="A5857" s="5" t="s">
        <v>1091</v>
      </c>
      <c r="B5857" s="6" t="s">
        <v>1091</v>
      </c>
      <c r="C5857" s="5" t="s">
        <v>885</v>
      </c>
      <c r="D5857" s="5" t="s">
        <v>891</v>
      </c>
      <c r="E5857" s="2">
        <v>2147497</v>
      </c>
      <c r="F5857" s="4" t="str">
        <f>IF(B5857=B5856,"",B5857)</f>
        <v>Tamworth</v>
      </c>
    </row>
    <row r="5858" spans="1:6" ht="15.75" customHeight="1">
      <c r="A5858" s="5" t="str">
        <f ca="1">IFERROR(__xludf.DUMMYFUNCTION("GOOGLETRANSLATE(B23443,""en"",""pt"")"),"Tamworth")</f>
        <v>Tamworth</v>
      </c>
      <c r="B5858" s="17" t="s">
        <v>1091</v>
      </c>
      <c r="C5858" s="17" t="s">
        <v>885</v>
      </c>
      <c r="D5858" s="17" t="s">
        <v>891</v>
      </c>
      <c r="E5858" s="10">
        <v>2147497</v>
      </c>
      <c r="F5858" s="4" t="str">
        <f>IF(B5858=B5857,"",B5858)</f>
        <v/>
      </c>
    </row>
    <row r="5859" spans="1:6" ht="15.75" customHeight="1">
      <c r="A5859" s="5" t="s">
        <v>9693</v>
      </c>
      <c r="B5859" s="6" t="s">
        <v>9694</v>
      </c>
      <c r="C5859" s="5" t="s">
        <v>9683</v>
      </c>
      <c r="D5859" s="5" t="s">
        <v>9695</v>
      </c>
      <c r="E5859" s="2">
        <v>4038659</v>
      </c>
      <c r="F5859" s="4" t="str">
        <f>IF(B5859=B5858,"",B5859)</f>
        <v>Tamuning-Tumon-Harmon Village</v>
      </c>
    </row>
    <row r="5860" spans="1:6" ht="15.75" customHeight="1">
      <c r="A5860" s="5" t="str">
        <f ca="1">IFERROR(__xludf.DUMMYFUNCTION("GOOGLETRANSLATE(B31145,""en"",""pt"")"),"Vila Tamuning-Tumon-Harmon")</f>
        <v>Vila Tamuning-Tumon-Harmon</v>
      </c>
      <c r="B5860" s="17" t="s">
        <v>9694</v>
      </c>
      <c r="C5860" s="17" t="s">
        <v>9683</v>
      </c>
      <c r="D5860" s="17" t="s">
        <v>9695</v>
      </c>
      <c r="E5860" s="10">
        <v>4038659</v>
      </c>
      <c r="F5860" s="4" t="str">
        <f>IF(B5860=B5859,"",B5860)</f>
        <v/>
      </c>
    </row>
    <row r="5861" spans="1:6" ht="15.75" customHeight="1">
      <c r="A5861" s="6" t="s">
        <v>14875</v>
      </c>
      <c r="B5861" s="6" t="s">
        <v>14875</v>
      </c>
      <c r="C5861" s="6" t="s">
        <v>14773</v>
      </c>
      <c r="D5861" s="6" t="s">
        <v>14774</v>
      </c>
      <c r="E5861" s="2">
        <v>293426</v>
      </c>
      <c r="F5861" s="4" t="str">
        <f>IF(B5861=B5860,"",B5861)</f>
        <v>Tamra</v>
      </c>
    </row>
    <row r="5862" spans="1:6" ht="15.75" customHeight="1">
      <c r="A5862" s="5" t="str">
        <f ca="1">IFERROR(__xludf.DUMMYFUNCTION("GOOGLETRANSLATE(B31766,""en"",""pt"")"),"Tamra")</f>
        <v>Tamra</v>
      </c>
      <c r="B5862" s="17" t="s">
        <v>14875</v>
      </c>
      <c r="C5862" s="17" t="s">
        <v>14773</v>
      </c>
      <c r="D5862" s="17" t="s">
        <v>14774</v>
      </c>
      <c r="E5862" s="10">
        <v>293426</v>
      </c>
      <c r="F5862" s="4" t="str">
        <f>IF(B5862=B5861,"",B5862)</f>
        <v/>
      </c>
    </row>
    <row r="5863" spans="1:6" ht="15.75" customHeight="1">
      <c r="A5863" s="6" t="s">
        <v>17577</v>
      </c>
      <c r="B5863" s="6" t="s">
        <v>17577</v>
      </c>
      <c r="C5863" s="6" t="s">
        <v>17432</v>
      </c>
      <c r="D5863" s="6" t="s">
        <v>17440</v>
      </c>
      <c r="E5863" s="2">
        <v>1734738</v>
      </c>
      <c r="F5863" s="4" t="str">
        <f>IF(B5863=B5862,"",B5863)</f>
        <v>Tampin</v>
      </c>
    </row>
    <row r="5864" spans="1:6" ht="15.75" customHeight="1">
      <c r="A5864" s="5" t="str">
        <f ca="1">IFERROR(__xludf.DUMMYFUNCTION("GOOGLETRANSLATE(B37456,""en"",""pt"")"),"Tampin")</f>
        <v>Tampin</v>
      </c>
      <c r="B5864" s="17" t="s">
        <v>17577</v>
      </c>
      <c r="C5864" s="17" t="s">
        <v>17432</v>
      </c>
      <c r="D5864" s="17" t="s">
        <v>17440</v>
      </c>
      <c r="E5864" s="10">
        <v>1734738</v>
      </c>
      <c r="F5864" s="4" t="str">
        <f>IF(B5864=B5863,"",B5864)</f>
        <v/>
      </c>
    </row>
    <row r="5865" spans="1:6" ht="15.75" customHeight="1">
      <c r="A5865" s="6" t="s">
        <v>18299</v>
      </c>
      <c r="B5865" s="6" t="s">
        <v>18299</v>
      </c>
      <c r="C5865" s="6" t="s">
        <v>17707</v>
      </c>
      <c r="D5865" s="6" t="s">
        <v>17740</v>
      </c>
      <c r="E5865" s="2">
        <v>3516355</v>
      </c>
      <c r="F5865" s="4" t="str">
        <f>IF(B5865=B5864,"",B5865)</f>
        <v>Tampico</v>
      </c>
    </row>
    <row r="5866" spans="1:6" ht="15.75" customHeight="1">
      <c r="A5866" s="6" t="s">
        <v>18299</v>
      </c>
      <c r="B5866" s="6" t="s">
        <v>18299</v>
      </c>
      <c r="C5866" s="6" t="s">
        <v>17707</v>
      </c>
      <c r="D5866" s="6" t="s">
        <v>17740</v>
      </c>
      <c r="E5866" s="2">
        <v>3824166</v>
      </c>
      <c r="F5866" s="4" t="str">
        <f>IF(B5866=B5865,"",B5866)</f>
        <v/>
      </c>
    </row>
    <row r="5867" spans="1:6" ht="15.75" customHeight="1">
      <c r="A5867" s="5" t="str">
        <f ca="1">IFERROR(__xludf.DUMMYFUNCTION("GOOGLETRANSLATE(B36909,""en"",""pt"")"),"Tampico")</f>
        <v>Tampico</v>
      </c>
      <c r="B5867" s="17" t="s">
        <v>18299</v>
      </c>
      <c r="C5867" s="17" t="s">
        <v>17707</v>
      </c>
      <c r="D5867" s="17" t="s">
        <v>17740</v>
      </c>
      <c r="E5867" s="10">
        <v>3516355</v>
      </c>
      <c r="F5867" s="4" t="str">
        <f>IF(B5867=B5866,"",B5867)</f>
        <v/>
      </c>
    </row>
    <row r="5868" spans="1:6" ht="15.75" customHeight="1">
      <c r="A5868" s="5" t="str">
        <f ca="1">IFERROR(__xludf.DUMMYFUNCTION("GOOGLETRANSLATE(B37122,""en"",""pt"")"),"Tampico")</f>
        <v>Tampico</v>
      </c>
      <c r="B5868" s="17" t="s">
        <v>18299</v>
      </c>
      <c r="C5868" s="17" t="s">
        <v>17707</v>
      </c>
      <c r="D5868" s="17" t="s">
        <v>17740</v>
      </c>
      <c r="E5868" s="10">
        <v>3824166</v>
      </c>
      <c r="F5868" s="4" t="str">
        <f>IF(B5868=B5867,"",B5868)</f>
        <v/>
      </c>
    </row>
    <row r="5869" spans="1:6" ht="15.75" customHeight="1">
      <c r="A5869" s="6" t="s">
        <v>7038</v>
      </c>
      <c r="B5869" s="6" t="s">
        <v>7038</v>
      </c>
      <c r="C5869" s="6" t="s">
        <v>6948</v>
      </c>
      <c r="D5869" s="6" t="s">
        <v>6987</v>
      </c>
      <c r="E5869" s="2">
        <v>634963</v>
      </c>
      <c r="F5869" s="4" t="str">
        <f>IF(B5869=B5868,"",B5869)</f>
        <v>Tampere</v>
      </c>
    </row>
    <row r="5870" spans="1:6" ht="15.75" customHeight="1">
      <c r="A5870" s="5" t="str">
        <f ca="1">IFERROR(__xludf.DUMMYFUNCTION("GOOGLETRANSLATE(B29607,""en"",""pt"")"),"Tampere")</f>
        <v>Tampere</v>
      </c>
      <c r="B5870" s="17" t="s">
        <v>7038</v>
      </c>
      <c r="C5870" s="17" t="s">
        <v>6948</v>
      </c>
      <c r="D5870" s="17" t="s">
        <v>6987</v>
      </c>
      <c r="E5870" s="10">
        <v>634963</v>
      </c>
      <c r="F5870" s="4" t="str">
        <f>IF(B5870=B5869,"",B5870)</f>
        <v/>
      </c>
    </row>
    <row r="5871" spans="1:6" ht="15.75" customHeight="1">
      <c r="A5871" s="6" t="s">
        <v>30160</v>
      </c>
      <c r="B5871" s="6" t="s">
        <v>30160</v>
      </c>
      <c r="C5871" s="6" t="s">
        <v>27788</v>
      </c>
      <c r="D5871" s="6" t="s">
        <v>5468</v>
      </c>
      <c r="E5871" s="2">
        <v>4174757</v>
      </c>
      <c r="F5871" s="4" t="str">
        <f>IF(B5871=B5870,"",B5871)</f>
        <v>Tampa</v>
      </c>
    </row>
    <row r="5872" spans="1:6" ht="15.75" customHeight="1">
      <c r="A5872" s="5" t="str">
        <f ca="1">IFERROR(__xludf.DUMMYFUNCTION("GOOGLETRANSLATE(B43028,""en"",""pt"")"),"Tampa")</f>
        <v>Tampa</v>
      </c>
      <c r="B5872" s="17" t="s">
        <v>30160</v>
      </c>
      <c r="C5872" s="17" t="s">
        <v>27788</v>
      </c>
      <c r="D5872" s="17" t="s">
        <v>5468</v>
      </c>
      <c r="E5872" s="10">
        <v>4174757</v>
      </c>
      <c r="F5872" s="4" t="str">
        <f>IF(B5872=B5871,"",B5872)</f>
        <v/>
      </c>
    </row>
    <row r="5873" spans="1:6" ht="15.75" customHeight="1">
      <c r="A5873" s="5" t="str">
        <f ca="1">IFERROR(__xludf.DUMMYFUNCTION("GOOGLETRANSLATE(B32037,""en"",""pt"")"),"Tamlūk")</f>
        <v>Tamlūk</v>
      </c>
      <c r="B5873" s="17" t="s">
        <v>33022</v>
      </c>
      <c r="C5873" s="17" t="s">
        <v>10178</v>
      </c>
      <c r="D5873" s="17" t="s">
        <v>10201</v>
      </c>
      <c r="E5873" s="10">
        <v>1255046</v>
      </c>
      <c r="F5873" s="4" t="str">
        <f>IF(B5873=B5872,"",B5873)</f>
        <v>Tamlūk</v>
      </c>
    </row>
    <row r="5874" spans="1:6" ht="15.75" customHeight="1">
      <c r="A5874" s="6" t="s">
        <v>13521</v>
      </c>
      <c r="B5874" s="6" t="s">
        <v>13522</v>
      </c>
      <c r="C5874" s="6" t="s">
        <v>10178</v>
      </c>
      <c r="D5874" s="6" t="s">
        <v>10201</v>
      </c>
      <c r="E5874" s="2">
        <v>1255046</v>
      </c>
      <c r="F5874" s="4" t="str">
        <f>IF(B5874=B5873,"",B5874)</f>
        <v>TamlÅ«k</v>
      </c>
    </row>
    <row r="5875" spans="1:6" ht="15.75" customHeight="1">
      <c r="A5875" s="5" t="str">
        <f ca="1">IFERROR(__xludf.DUMMYFUNCTION("GOOGLETRANSLATE(B28824,""en"",""pt"")"),"Ţāmiyah")</f>
        <v>Ţāmiyah</v>
      </c>
      <c r="B5875" s="17" t="s">
        <v>32247</v>
      </c>
      <c r="C5875" s="17" t="s">
        <v>6495</v>
      </c>
      <c r="D5875" s="17" t="s">
        <v>32248</v>
      </c>
      <c r="E5875" s="10">
        <v>347542</v>
      </c>
      <c r="F5875" s="4" t="str">
        <f>IF(B5875=B5874,"",B5875)</f>
        <v>Ţāmiyah</v>
      </c>
    </row>
    <row r="5876" spans="1:6" ht="15.75" customHeight="1">
      <c r="A5876" s="6" t="s">
        <v>30159</v>
      </c>
      <c r="B5876" s="6" t="s">
        <v>30159</v>
      </c>
      <c r="C5876" s="6" t="s">
        <v>27788</v>
      </c>
      <c r="D5876" s="6" t="s">
        <v>5468</v>
      </c>
      <c r="E5876" s="2">
        <v>4174744</v>
      </c>
      <c r="F5876" s="4" t="str">
        <f>IF(B5876=B5875,"",B5876)</f>
        <v>Tamiami</v>
      </c>
    </row>
    <row r="5877" spans="1:6" ht="15.75" customHeight="1">
      <c r="A5877" s="5" t="str">
        <f ca="1">IFERROR(__xludf.DUMMYFUNCTION("GOOGLETRANSLATE(B43027,""en"",""pt"")"),"Tamiami")</f>
        <v>Tamiami</v>
      </c>
      <c r="B5877" s="17" t="s">
        <v>30159</v>
      </c>
      <c r="C5877" s="17" t="s">
        <v>27788</v>
      </c>
      <c r="D5877" s="17" t="s">
        <v>5468</v>
      </c>
      <c r="E5877" s="10">
        <v>4174744</v>
      </c>
      <c r="F5877" s="4" t="str">
        <f>IF(B5877=B5876,"",B5877)</f>
        <v/>
      </c>
    </row>
    <row r="5878" spans="1:6" ht="15.75" customHeight="1">
      <c r="A5878" s="6" t="s">
        <v>5624</v>
      </c>
      <c r="B5878" s="6" t="s">
        <v>5625</v>
      </c>
      <c r="C5878" s="6" t="s">
        <v>5348</v>
      </c>
      <c r="D5878" s="6" t="s">
        <v>5369</v>
      </c>
      <c r="E5878" s="2">
        <v>3667478</v>
      </c>
      <c r="F5878" s="4" t="str">
        <f>IF(B5878=B5877,"",B5878)</f>
        <v>Tame</v>
      </c>
    </row>
    <row r="5879" spans="1:6" ht="15.75" customHeight="1">
      <c r="A5879" s="5" t="str">
        <f ca="1">IFERROR(__xludf.DUMMYFUNCTION("GOOGLETRANSLATE(B26867,""en"",""pt"")"),"Domar")</f>
        <v>Domar</v>
      </c>
      <c r="B5879" s="17" t="s">
        <v>5625</v>
      </c>
      <c r="C5879" s="17" t="s">
        <v>5348</v>
      </c>
      <c r="D5879" s="17" t="s">
        <v>5369</v>
      </c>
      <c r="E5879" s="10">
        <v>3667478</v>
      </c>
      <c r="F5879" s="4" t="str">
        <f>IF(B5879=B5878,"",B5879)</f>
        <v/>
      </c>
    </row>
    <row r="5880" spans="1:6" ht="15.75" customHeight="1">
      <c r="A5880" s="5" t="s">
        <v>19568</v>
      </c>
      <c r="B5880" s="6" t="s">
        <v>19568</v>
      </c>
      <c r="C5880" s="5" t="s">
        <v>19294</v>
      </c>
      <c r="D5880" s="5" t="s">
        <v>19416</v>
      </c>
      <c r="E5880" s="2">
        <v>2322495</v>
      </c>
      <c r="F5880" s="4" t="str">
        <f>IF(B5880=B5879,"",B5880)</f>
        <v>Tambuwal</v>
      </c>
    </row>
    <row r="5881" spans="1:6" ht="15.75" customHeight="1">
      <c r="A5881" s="5" t="str">
        <f ca="1">IFERROR(__xludf.DUMMYFUNCTION("GOOGLETRANSLATE(B37624,""en"",""pt"")"),"Tambuwal")</f>
        <v>Tambuwal</v>
      </c>
      <c r="B5881" s="17" t="s">
        <v>19568</v>
      </c>
      <c r="C5881" s="17" t="s">
        <v>19294</v>
      </c>
      <c r="D5881" s="17" t="s">
        <v>19416</v>
      </c>
      <c r="E5881" s="10">
        <v>2322495</v>
      </c>
      <c r="F5881" s="4" t="str">
        <f>IF(B5881=B5880,"",B5881)</f>
        <v/>
      </c>
    </row>
    <row r="5882" spans="1:6" ht="15.75" customHeight="1">
      <c r="A5882" s="6" t="s">
        <v>22529</v>
      </c>
      <c r="B5882" s="6" t="s">
        <v>22529</v>
      </c>
      <c r="C5882" s="6" t="s">
        <v>22070</v>
      </c>
      <c r="D5882" s="6" t="s">
        <v>22529</v>
      </c>
      <c r="E5882" s="2">
        <v>484646</v>
      </c>
      <c r="F5882" s="4" t="str">
        <f>IF(B5882=B5881,"",B5882)</f>
        <v>Tambov</v>
      </c>
    </row>
    <row r="5883" spans="1:6" ht="15.75" customHeight="1">
      <c r="A5883" s="5" t="str">
        <f ca="1">IFERROR(__xludf.DUMMYFUNCTION("GOOGLETRANSLATE(B40042,""en"",""pt"")"),"Tambov")</f>
        <v>Tambov</v>
      </c>
      <c r="B5883" s="17" t="s">
        <v>22529</v>
      </c>
      <c r="C5883" s="17" t="s">
        <v>22070</v>
      </c>
      <c r="D5883" s="17" t="s">
        <v>22529</v>
      </c>
      <c r="E5883" s="10">
        <v>484646</v>
      </c>
      <c r="F5883" s="4" t="str">
        <f>IF(B5883=B5882,"",B5883)</f>
        <v/>
      </c>
    </row>
    <row r="5884" spans="1:6" ht="15.75" customHeight="1">
      <c r="A5884" s="6" t="s">
        <v>6373</v>
      </c>
      <c r="B5884" s="6" t="s">
        <v>6373</v>
      </c>
      <c r="C5884" s="6" t="s">
        <v>6303</v>
      </c>
      <c r="D5884" s="6" t="s">
        <v>3429</v>
      </c>
      <c r="E5884" s="2">
        <v>3492517</v>
      </c>
      <c r="F5884" s="4" t="str">
        <f>IF(B5884=B5883,"",B5884)</f>
        <v>Tamboril</v>
      </c>
    </row>
    <row r="5885" spans="1:6" ht="15.75" customHeight="1">
      <c r="A5885" s="5" t="str">
        <f ca="1">IFERROR(__xludf.DUMMYFUNCTION("GOOGLETRANSLATE(B28457,""en"",""pt"")"),"Tamboril")</f>
        <v>Tamboril</v>
      </c>
      <c r="B5885" s="17" t="s">
        <v>6373</v>
      </c>
      <c r="C5885" s="17" t="s">
        <v>6303</v>
      </c>
      <c r="D5885" s="17" t="s">
        <v>3429</v>
      </c>
      <c r="E5885" s="10">
        <v>3492517</v>
      </c>
      <c r="F5885" s="4" t="str">
        <f>IF(B5885=B5884,"",B5885)</f>
        <v/>
      </c>
    </row>
    <row r="5886" spans="1:6" ht="15.75" customHeight="1">
      <c r="A5886" s="5" t="s">
        <v>20583</v>
      </c>
      <c r="B5886" s="6" t="s">
        <v>20583</v>
      </c>
      <c r="C5886" s="5" t="s">
        <v>20470</v>
      </c>
      <c r="D5886" s="5" t="s">
        <v>20564</v>
      </c>
      <c r="E5886" s="2">
        <v>3927942</v>
      </c>
      <c r="F5886" s="4" t="str">
        <f>IF(B5886=B5885,"",B5886)</f>
        <v>Tambopata</v>
      </c>
    </row>
    <row r="5887" spans="1:6" ht="15.75" customHeight="1">
      <c r="A5887" s="5" t="str">
        <f ca="1">IFERROR(__xludf.DUMMYFUNCTION("GOOGLETRANSLATE(B38357,""en"",""pt"")"),"Tambopata")</f>
        <v>Tambopata</v>
      </c>
      <c r="B5887" s="17" t="s">
        <v>20583</v>
      </c>
      <c r="C5887" s="17" t="s">
        <v>20470</v>
      </c>
      <c r="D5887" s="17" t="s">
        <v>20564</v>
      </c>
      <c r="E5887" s="10">
        <v>3927942</v>
      </c>
      <c r="F5887" s="4" t="str">
        <f>IF(B5887=B5886,"",B5887)</f>
        <v/>
      </c>
    </row>
    <row r="5888" spans="1:6" ht="15.75" customHeight="1">
      <c r="A5888" s="5" t="s">
        <v>20582</v>
      </c>
      <c r="B5888" s="6" t="s">
        <v>20582</v>
      </c>
      <c r="C5888" s="5" t="s">
        <v>20470</v>
      </c>
      <c r="D5888" s="5" t="s">
        <v>20486</v>
      </c>
      <c r="E5888" s="2">
        <v>3691530</v>
      </c>
      <c r="F5888" s="4" t="str">
        <f>IF(B5888=B5887,"",B5888)</f>
        <v>Tambo Grande</v>
      </c>
    </row>
    <row r="5889" spans="1:6" ht="15.75" customHeight="1">
      <c r="A5889" s="5" t="str">
        <f ca="1">IFERROR(__xludf.DUMMYFUNCTION("GOOGLETRANSLATE(B38308,""en"",""pt"")"),"Tambo Grande")</f>
        <v>Tambo Grande</v>
      </c>
      <c r="B5889" s="17" t="s">
        <v>20582</v>
      </c>
      <c r="C5889" s="17" t="s">
        <v>20470</v>
      </c>
      <c r="D5889" s="17" t="s">
        <v>20486</v>
      </c>
      <c r="E5889" s="10">
        <v>3691530</v>
      </c>
      <c r="F5889" s="4" t="str">
        <f>IF(B5889=B5888,"",B5889)</f>
        <v/>
      </c>
    </row>
    <row r="5890" spans="1:6" ht="15.75" customHeight="1">
      <c r="A5890" s="5" t="str">
        <f ca="1">IFERROR(__xludf.DUMMYFUNCTION("GOOGLETRANSLATE(B24508,""en"",""pt"")"),"Tambaú")</f>
        <v>Tambaú</v>
      </c>
      <c r="B5890" s="17" t="s">
        <v>31460</v>
      </c>
      <c r="C5890" s="17" t="s">
        <v>1905</v>
      </c>
      <c r="D5890" s="17" t="s">
        <v>3354</v>
      </c>
      <c r="E5890" s="10">
        <v>3447005</v>
      </c>
      <c r="F5890" s="4" t="str">
        <f>IF(B5890=B5889,"",B5890)</f>
        <v>Tambaú</v>
      </c>
    </row>
    <row r="5891" spans="1:6" ht="15.75" customHeight="1">
      <c r="A5891" s="5" t="s">
        <v>23593</v>
      </c>
      <c r="B5891" s="6" t="s">
        <v>23593</v>
      </c>
      <c r="C5891" s="5" t="s">
        <v>23559</v>
      </c>
      <c r="D5891" s="5" t="s">
        <v>23593</v>
      </c>
      <c r="E5891" s="2">
        <v>2244991</v>
      </c>
      <c r="F5891" s="4" t="str">
        <f>IF(B5891=B5890,"",B5891)</f>
        <v>Tambacounda</v>
      </c>
    </row>
    <row r="5892" spans="1:6" ht="15.75" customHeight="1">
      <c r="A5892" s="5" t="str">
        <f ca="1">IFERROR(__xludf.DUMMYFUNCTION("GOOGLETRANSLATE(B41289,""en"",""pt"")"),"Tambacounda")</f>
        <v>Tambacounda</v>
      </c>
      <c r="B5892" s="17" t="s">
        <v>23593</v>
      </c>
      <c r="C5892" s="17" t="s">
        <v>23559</v>
      </c>
      <c r="D5892" s="17" t="s">
        <v>23593</v>
      </c>
      <c r="E5892" s="10">
        <v>2244991</v>
      </c>
      <c r="F5892" s="4" t="str">
        <f>IF(B5892=B5891,"",B5892)</f>
        <v/>
      </c>
    </row>
    <row r="5893" spans="1:6" ht="15.75" customHeight="1">
      <c r="A5893" s="6" t="s">
        <v>3515</v>
      </c>
      <c r="B5893" s="6" t="s">
        <v>3516</v>
      </c>
      <c r="C5893" s="6" t="s">
        <v>1905</v>
      </c>
      <c r="D5893" s="6" t="s">
        <v>1914</v>
      </c>
      <c r="E5893" s="2">
        <v>3447005</v>
      </c>
      <c r="F5893" s="4" t="str">
        <f>IF(B5893=B5892,"",B5893)</f>
        <v>TambaÃº</v>
      </c>
    </row>
    <row r="5894" spans="1:6" ht="15.75" customHeight="1">
      <c r="A5894" s="5" t="s">
        <v>18298</v>
      </c>
      <c r="B5894" s="6" t="s">
        <v>18298</v>
      </c>
      <c r="C5894" s="5" t="s">
        <v>17707</v>
      </c>
      <c r="D5894" s="5" t="s">
        <v>17802</v>
      </c>
      <c r="E5894" s="2">
        <v>3516385</v>
      </c>
      <c r="F5894" s="4" t="str">
        <f>IF(B5894=B5893,"",B5894)</f>
        <v>Tamazunchale</v>
      </c>
    </row>
    <row r="5895" spans="1:6" ht="15.75" customHeight="1">
      <c r="A5895" s="5" t="str">
        <f ca="1">IFERROR(__xludf.DUMMYFUNCTION("GOOGLETRANSLATE(B36910,""en"",""pt"")"),"Tamazunchale")</f>
        <v>Tamazunchale</v>
      </c>
      <c r="B5895" s="17" t="s">
        <v>18298</v>
      </c>
      <c r="C5895" s="17" t="s">
        <v>17707</v>
      </c>
      <c r="D5895" s="17" t="s">
        <v>34674</v>
      </c>
      <c r="E5895" s="10">
        <v>3516385</v>
      </c>
      <c r="F5895" s="4" t="str">
        <f>IF(B5895=B5894,"",B5895)</f>
        <v/>
      </c>
    </row>
    <row r="5896" spans="1:6" ht="15.75" customHeight="1">
      <c r="A5896" s="5" t="s">
        <v>18297</v>
      </c>
      <c r="B5896" s="6" t="s">
        <v>18297</v>
      </c>
      <c r="C5896" s="5" t="s">
        <v>17707</v>
      </c>
      <c r="D5896" s="5" t="s">
        <v>17746</v>
      </c>
      <c r="E5896" s="2">
        <v>3982567</v>
      </c>
      <c r="F5896" s="4" t="str">
        <f>IF(B5896=B5895,"",B5896)</f>
        <v>Tamazula de Gordiano</v>
      </c>
    </row>
    <row r="5897" spans="1:6" ht="15.75" customHeight="1">
      <c r="A5897" s="5" t="str">
        <f ca="1">IFERROR(__xludf.DUMMYFUNCTION("GOOGLETRANSLATE(B37175,""en"",""pt"")"),"Tamazula de Gordiano")</f>
        <v>Tamazula de Gordiano</v>
      </c>
      <c r="B5897" s="17" t="s">
        <v>18297</v>
      </c>
      <c r="C5897" s="17" t="s">
        <v>17707</v>
      </c>
      <c r="D5897" s="17" t="s">
        <v>17746</v>
      </c>
      <c r="E5897" s="10">
        <v>3982567</v>
      </c>
      <c r="F5897" s="4" t="str">
        <f>IF(B5897=B5896,"",B5897)</f>
        <v/>
      </c>
    </row>
    <row r="5898" spans="1:6" ht="15.75" customHeight="1">
      <c r="A5898" s="6" t="s">
        <v>30158</v>
      </c>
      <c r="B5898" s="6" t="s">
        <v>30158</v>
      </c>
      <c r="C5898" s="6" t="s">
        <v>27788</v>
      </c>
      <c r="D5898" s="6" t="s">
        <v>5468</v>
      </c>
      <c r="E5898" s="2">
        <v>4174738</v>
      </c>
      <c r="F5898" s="4" t="str">
        <f>IF(B5898=B5897,"",B5898)</f>
        <v>Tamarac</v>
      </c>
    </row>
    <row r="5899" spans="1:6" ht="15.75" customHeight="1">
      <c r="A5899" s="5" t="str">
        <f ca="1">IFERROR(__xludf.DUMMYFUNCTION("GOOGLETRANSLATE(B43026,""en"",""pt"")"),"Tamarac")</f>
        <v>Tamarac</v>
      </c>
      <c r="B5899" s="17" t="s">
        <v>30158</v>
      </c>
      <c r="C5899" s="17" t="s">
        <v>27788</v>
      </c>
      <c r="D5899" s="17" t="s">
        <v>5468</v>
      </c>
      <c r="E5899" s="10">
        <v>4174738</v>
      </c>
      <c r="F5899" s="4" t="str">
        <f>IF(B5899=B5898,"",B5899)</f>
        <v/>
      </c>
    </row>
    <row r="5900" spans="1:6" ht="15.75" customHeight="1">
      <c r="A5900" s="5" t="s">
        <v>473</v>
      </c>
      <c r="B5900" s="6" t="s">
        <v>473</v>
      </c>
      <c r="C5900" s="5" t="s">
        <v>153</v>
      </c>
      <c r="D5900" s="5" t="s">
        <v>370</v>
      </c>
      <c r="E5900" s="2">
        <v>2478216</v>
      </c>
      <c r="F5900" s="4" t="str">
        <f>IF(B5900=B5899,"",B5900)</f>
        <v>Tamanrasset</v>
      </c>
    </row>
    <row r="5901" spans="1:6" ht="15.75" customHeight="1">
      <c r="A5901" s="5" t="str">
        <f ca="1">IFERROR(__xludf.DUMMYFUNCTION("GOOGLETRANSLATE(B28524,""en"",""pt"")"),"Tamanrasset")</f>
        <v>Tamanrasset</v>
      </c>
      <c r="B5901" s="17" t="s">
        <v>473</v>
      </c>
      <c r="C5901" s="17" t="s">
        <v>153</v>
      </c>
      <c r="D5901" s="17" t="s">
        <v>370</v>
      </c>
      <c r="E5901" s="10">
        <v>2478216</v>
      </c>
      <c r="F5901" s="4" t="str">
        <f>IF(B5901=B5900,"",B5901)</f>
        <v/>
      </c>
    </row>
    <row r="5902" spans="1:6" ht="15.75" customHeight="1">
      <c r="A5902" s="6" t="s">
        <v>16488</v>
      </c>
      <c r="B5902" s="6" t="s">
        <v>16488</v>
      </c>
      <c r="C5902" s="6" t="s">
        <v>15704</v>
      </c>
      <c r="D5902" s="6" t="s">
        <v>15981</v>
      </c>
      <c r="E5902" s="2">
        <v>1850742</v>
      </c>
      <c r="F5902" s="4" t="str">
        <f>IF(B5902=B5901,"",B5902)</f>
        <v>Tamano</v>
      </c>
    </row>
    <row r="5903" spans="1:6" ht="15.75" customHeight="1">
      <c r="A5903" s="5" t="str">
        <f ca="1">IFERROR(__xludf.DUMMYFUNCTION("GOOGLETRANSLATE(B35250,""en"",""pt"")"),"Tamano")</f>
        <v>Tamano</v>
      </c>
      <c r="B5903" s="17" t="s">
        <v>16488</v>
      </c>
      <c r="C5903" s="17" t="s">
        <v>15704</v>
      </c>
      <c r="D5903" s="17" t="s">
        <v>15981</v>
      </c>
      <c r="E5903" s="10">
        <v>1850742</v>
      </c>
      <c r="F5903" s="4" t="str">
        <f>IF(B5903=B5902,"",B5903)</f>
        <v/>
      </c>
    </row>
    <row r="5904" spans="1:6" ht="15.75" customHeight="1">
      <c r="A5904" s="5" t="str">
        <f ca="1">IFERROR(__xludf.DUMMYFUNCTION("GOOGLETRANSLATE(B24170,""en"",""pt"")"),"Tamandaré")</f>
        <v>Tamandaré</v>
      </c>
      <c r="B5904" s="17" t="s">
        <v>3513</v>
      </c>
      <c r="C5904" s="17" t="s">
        <v>1905</v>
      </c>
      <c r="D5904" s="17" t="s">
        <v>1909</v>
      </c>
      <c r="E5904" s="10">
        <v>3386931</v>
      </c>
      <c r="F5904" s="4" t="str">
        <f>IF(B5904=B5903,"",B5904)</f>
        <v>Tamandaré</v>
      </c>
    </row>
    <row r="5905" spans="1:6" ht="15.75" customHeight="1">
      <c r="A5905" s="5" t="s">
        <v>3513</v>
      </c>
      <c r="B5905" s="6" t="s">
        <v>3514</v>
      </c>
      <c r="C5905" s="5" t="s">
        <v>1905</v>
      </c>
      <c r="D5905" s="5" t="s">
        <v>1909</v>
      </c>
      <c r="E5905" s="2">
        <v>3386931</v>
      </c>
      <c r="F5905" s="4" t="str">
        <f>IF(B5905=B5904,"",B5905)</f>
        <v>TamandarÃ©</v>
      </c>
    </row>
    <row r="5906" spans="1:6" ht="15.75" customHeight="1">
      <c r="A5906" s="6" t="s">
        <v>16487</v>
      </c>
      <c r="B5906" s="6" t="s">
        <v>16487</v>
      </c>
      <c r="C5906" s="6" t="s">
        <v>15704</v>
      </c>
      <c r="D5906" s="6" t="s">
        <v>15812</v>
      </c>
      <c r="E5906" s="2">
        <v>1850745</v>
      </c>
      <c r="F5906" s="4" t="str">
        <f>IF(B5906=B5905,"",B5906)</f>
        <v>Tamana</v>
      </c>
    </row>
    <row r="5907" spans="1:6" ht="15.75" customHeight="1">
      <c r="A5907" s="5" t="str">
        <f ca="1">IFERROR(__xludf.DUMMYFUNCTION("GOOGLETRANSLATE(B35251,""en"",""pt"")"),"Tamana")</f>
        <v>Tamana</v>
      </c>
      <c r="B5907" s="17" t="s">
        <v>16487</v>
      </c>
      <c r="C5907" s="17" t="s">
        <v>15704</v>
      </c>
      <c r="D5907" s="17" t="s">
        <v>15812</v>
      </c>
      <c r="E5907" s="10">
        <v>1850745</v>
      </c>
      <c r="F5907" s="4" t="str">
        <f>IF(B5907=B5906,"",B5907)</f>
        <v/>
      </c>
    </row>
    <row r="5908" spans="1:6" ht="15.75" customHeight="1">
      <c r="A5908" s="5" t="s">
        <v>17576</v>
      </c>
      <c r="B5908" s="6" t="s">
        <v>17576</v>
      </c>
      <c r="C5908" s="5" t="s">
        <v>17432</v>
      </c>
      <c r="D5908" s="5" t="s">
        <v>17442</v>
      </c>
      <c r="E5908" s="2">
        <v>1732741</v>
      </c>
      <c r="F5908" s="4" t="str">
        <f>IF(B5908=B5907,"",B5908)</f>
        <v>Taman Senai</v>
      </c>
    </row>
    <row r="5909" spans="1:6" ht="15.75" customHeight="1">
      <c r="A5909" s="5" t="str">
        <f ca="1">IFERROR(__xludf.DUMMYFUNCTION("GOOGLETRANSLATE(B37412,""en"",""pt"")"),"Taman Senai")</f>
        <v>Taman Senai</v>
      </c>
      <c r="B5909" s="17" t="s">
        <v>17576</v>
      </c>
      <c r="C5909" s="17" t="s">
        <v>17432</v>
      </c>
      <c r="D5909" s="17" t="s">
        <v>17442</v>
      </c>
      <c r="E5909" s="10">
        <v>1732741</v>
      </c>
      <c r="F5909" s="4" t="str">
        <f>IF(B5909=B5908,"",B5909)</f>
        <v/>
      </c>
    </row>
    <row r="5910" spans="1:6" ht="15.75" customHeight="1">
      <c r="A5910" s="5" t="s">
        <v>16486</v>
      </c>
      <c r="B5910" s="6" t="s">
        <v>16486</v>
      </c>
      <c r="C5910" s="5" t="s">
        <v>15704</v>
      </c>
      <c r="D5910" s="5" t="s">
        <v>15731</v>
      </c>
      <c r="E5910" s="2">
        <v>1850746</v>
      </c>
      <c r="F5910" s="4" t="str">
        <f>IF(B5910=B5909,"",B5910)</f>
        <v>Tamamura</v>
      </c>
    </row>
    <row r="5911" spans="1:6" ht="15.75" customHeight="1">
      <c r="A5911" s="5" t="str">
        <f ca="1">IFERROR(__xludf.DUMMYFUNCTION("GOOGLETRANSLATE(B35252,""en"",""pt"")"),"Tamamura")</f>
        <v>Tamamura</v>
      </c>
      <c r="B5911" s="17" t="s">
        <v>16486</v>
      </c>
      <c r="C5911" s="17" t="s">
        <v>15704</v>
      </c>
      <c r="D5911" s="17" t="s">
        <v>15731</v>
      </c>
      <c r="E5911" s="10">
        <v>1850746</v>
      </c>
      <c r="F5911" s="4" t="str">
        <f>IF(B5911=B5910,"",B5911)</f>
        <v/>
      </c>
    </row>
    <row r="5912" spans="1:6" ht="15.75" customHeight="1">
      <c r="A5912" s="6" t="s">
        <v>471</v>
      </c>
      <c r="B5912" s="6" t="s">
        <v>472</v>
      </c>
      <c r="C5912" s="6" t="s">
        <v>153</v>
      </c>
      <c r="D5912" s="6" t="s">
        <v>235</v>
      </c>
      <c r="E5912" s="2">
        <v>2478226</v>
      </c>
      <c r="F5912" s="4" t="str">
        <f>IF(B5912=B5911,"",B5912)</f>
        <v>Tamalous</v>
      </c>
    </row>
    <row r="5913" spans="1:6" ht="15.75" customHeight="1">
      <c r="A5913" s="5" t="str">
        <f ca="1">IFERROR(__xludf.DUMMYFUNCTION("GOOGLETRANSLATE(B28525,""en"",""pt"")"),"Tamálico")</f>
        <v>Tamálico</v>
      </c>
      <c r="B5913" s="17" t="s">
        <v>472</v>
      </c>
      <c r="C5913" s="17" t="s">
        <v>153</v>
      </c>
      <c r="D5913" s="17" t="s">
        <v>235</v>
      </c>
      <c r="E5913" s="10">
        <v>2478226</v>
      </c>
      <c r="F5913" s="4" t="str">
        <f>IF(B5913=B5912,"",B5913)</f>
        <v/>
      </c>
    </row>
    <row r="5914" spans="1:6" ht="15.75" customHeight="1">
      <c r="A5914" s="6" t="s">
        <v>9427</v>
      </c>
      <c r="B5914" s="6" t="s">
        <v>9427</v>
      </c>
      <c r="C5914" s="6" t="s">
        <v>9365</v>
      </c>
      <c r="D5914" s="6" t="s">
        <v>6942</v>
      </c>
      <c r="E5914" s="2">
        <v>2294877</v>
      </c>
      <c r="F5914" s="4" t="str">
        <f>IF(B5914=B5913,"",B5914)</f>
        <v>Tamale</v>
      </c>
    </row>
    <row r="5915" spans="1:6" ht="15.75" customHeight="1">
      <c r="A5915" s="5" t="str">
        <f ca="1">IFERROR(__xludf.DUMMYFUNCTION("GOOGLETRANSLATE(B30864,""en"",""pt"")"),"Tamale")</f>
        <v>Tamale</v>
      </c>
      <c r="B5915" s="17" t="s">
        <v>9427</v>
      </c>
      <c r="C5915" s="17" t="s">
        <v>9365</v>
      </c>
      <c r="D5915" s="17" t="s">
        <v>6942</v>
      </c>
      <c r="E5915" s="10">
        <v>2294877</v>
      </c>
      <c r="F5915" s="4" t="str">
        <f>IF(B5915=B5914,"",B5915)</f>
        <v/>
      </c>
    </row>
    <row r="5916" spans="1:6" ht="15.75" customHeight="1">
      <c r="A5916" s="5" t="str">
        <f ca="1">IFERROR(__xludf.DUMMYFUNCTION("GOOGLETRANSLATE(B45728,""en"",""pt"")"),"Tam Kỳ")</f>
        <v>Tam Kỳ</v>
      </c>
      <c r="B5916" s="17" t="s">
        <v>36130</v>
      </c>
      <c r="C5916" s="17" t="s">
        <v>30784</v>
      </c>
      <c r="D5916" s="17" t="s">
        <v>36131</v>
      </c>
      <c r="E5916" s="10">
        <v>1567148</v>
      </c>
      <c r="F5916" s="4" t="str">
        <f>IF(B5916=B5915,"",B5916)</f>
        <v>Tam Kỳ</v>
      </c>
    </row>
    <row r="5917" spans="1:6" ht="15.75" customHeight="1">
      <c r="A5917" s="6" t="s">
        <v>30911</v>
      </c>
      <c r="B5917" s="6" t="s">
        <v>30912</v>
      </c>
      <c r="C5917" s="6" t="s">
        <v>30784</v>
      </c>
      <c r="D5917" s="6" t="s">
        <v>30852</v>
      </c>
      <c r="E5917" s="2">
        <v>1567148</v>
      </c>
      <c r="F5917" s="4" t="str">
        <f>IF(B5917=B5916,"",B5917)</f>
        <v>Tam Ká»³</v>
      </c>
    </row>
    <row r="5918" spans="1:6" ht="15.75" customHeight="1">
      <c r="A5918" s="5" t="str">
        <f ca="1">IFERROR(__xludf.DUMMYFUNCTION("GOOGLETRANSLATE(B32038,""en"",""pt"")"),"Talwāra")</f>
        <v>Talwāra</v>
      </c>
      <c r="B5918" s="17" t="s">
        <v>33023</v>
      </c>
      <c r="C5918" s="17" t="s">
        <v>10178</v>
      </c>
      <c r="D5918" s="17" t="s">
        <v>10184</v>
      </c>
      <c r="E5918" s="10">
        <v>1255076</v>
      </c>
      <c r="F5918" s="4" t="str">
        <f>IF(B5918=B5917,"",B5918)</f>
        <v>Talwāra</v>
      </c>
    </row>
    <row r="5919" spans="1:6" ht="15.75" customHeight="1">
      <c r="A5919" s="5" t="s">
        <v>13520</v>
      </c>
      <c r="B5919" s="6" t="s">
        <v>13520</v>
      </c>
      <c r="C5919" s="5" t="s">
        <v>10178</v>
      </c>
      <c r="D5919" s="5" t="s">
        <v>10184</v>
      </c>
      <c r="E5919" s="2">
        <v>1255082</v>
      </c>
      <c r="F5919" s="4" t="str">
        <f>IF(B5919=B5918,"",B5919)</f>
        <v>Talwandi Bhai</v>
      </c>
    </row>
    <row r="5920" spans="1:6" ht="15.75" customHeight="1">
      <c r="A5920" s="5" t="str">
        <f ca="1">IFERROR(__xludf.DUMMYFUNCTION("GOOGLETRANSLATE(B32039,""en"",""pt"")"),"Talwandi Bhai")</f>
        <v>Talwandi Bhai</v>
      </c>
      <c r="B5920" s="17" t="s">
        <v>13520</v>
      </c>
      <c r="C5920" s="17" t="s">
        <v>10178</v>
      </c>
      <c r="D5920" s="17" t="s">
        <v>10184</v>
      </c>
      <c r="E5920" s="10">
        <v>1255082</v>
      </c>
      <c r="F5920" s="4" t="str">
        <f>IF(B5920=B5919,"",B5920)</f>
        <v/>
      </c>
    </row>
    <row r="5921" spans="1:6" ht="15.75" customHeight="1">
      <c r="A5921" s="6" t="s">
        <v>13518</v>
      </c>
      <c r="B5921" s="6" t="s">
        <v>13519</v>
      </c>
      <c r="C5921" s="6" t="s">
        <v>10178</v>
      </c>
      <c r="D5921" s="6" t="s">
        <v>10184</v>
      </c>
      <c r="E5921" s="2">
        <v>1255076</v>
      </c>
      <c r="F5921" s="4" t="str">
        <f>IF(B5921=B5920,"",B5921)</f>
        <v>TalwÄra</v>
      </c>
    </row>
    <row r="5922" spans="1:6" ht="15.75" customHeight="1">
      <c r="A5922" s="6" t="s">
        <v>107</v>
      </c>
      <c r="B5922" s="6" t="s">
        <v>107</v>
      </c>
      <c r="C5922" s="6" t="s">
        <v>8</v>
      </c>
      <c r="D5922" s="6" t="s">
        <v>9</v>
      </c>
      <c r="E5922" s="2">
        <v>1123004</v>
      </c>
      <c r="F5922" s="4" t="str">
        <f>IF(B5922=B5921,"",B5922)</f>
        <v>Taloqan</v>
      </c>
    </row>
    <row r="5923" spans="1:6" ht="15.75" customHeight="1">
      <c r="A5923" s="5" t="str">
        <f ca="1">IFERROR(__xludf.DUMMYFUNCTION("GOOGLETRANSLATE(B23055,""en"",""pt"")"),"Taloqan")</f>
        <v>Taloqan</v>
      </c>
      <c r="B5923" s="17" t="s">
        <v>107</v>
      </c>
      <c r="C5923" s="17" t="s">
        <v>8</v>
      </c>
      <c r="D5923" s="17" t="s">
        <v>31108</v>
      </c>
      <c r="E5923" s="10">
        <v>1123004</v>
      </c>
      <c r="F5923" s="4" t="str">
        <f>IF(B5923=B5922,"",B5923)</f>
        <v/>
      </c>
    </row>
    <row r="5924" spans="1:6" ht="15.75" customHeight="1">
      <c r="A5924" s="6" t="s">
        <v>13517</v>
      </c>
      <c r="B5924" s="6" t="s">
        <v>13517</v>
      </c>
      <c r="C5924" s="6" t="s">
        <v>10178</v>
      </c>
      <c r="D5924" s="6" t="s">
        <v>10214</v>
      </c>
      <c r="E5924" s="2">
        <v>1255104</v>
      </c>
      <c r="F5924" s="4" t="str">
        <f>IF(B5924=B5923,"",B5924)</f>
        <v>Taloda</v>
      </c>
    </row>
    <row r="5925" spans="1:6" ht="15.75" customHeight="1">
      <c r="A5925" s="5" t="str">
        <f ca="1">IFERROR(__xludf.DUMMYFUNCTION("GOOGLETRANSLATE(B32040,""en"",""pt"")"),"Taloda")</f>
        <v>Taloda</v>
      </c>
      <c r="B5925" s="17" t="s">
        <v>13517</v>
      </c>
      <c r="C5925" s="17" t="s">
        <v>10178</v>
      </c>
      <c r="D5925" s="17" t="s">
        <v>10214</v>
      </c>
      <c r="E5925" s="10">
        <v>1255104</v>
      </c>
      <c r="F5925" s="4" t="str">
        <f>IF(B5925=B5924,"",B5925)</f>
        <v/>
      </c>
    </row>
    <row r="5926" spans="1:6" ht="15.75" customHeight="1">
      <c r="A5926" s="6" t="s">
        <v>21035</v>
      </c>
      <c r="B5926" s="6" t="s">
        <v>21035</v>
      </c>
      <c r="C5926" s="6" t="s">
        <v>20598</v>
      </c>
      <c r="D5926" s="6" t="s">
        <v>20627</v>
      </c>
      <c r="E5926" s="2">
        <v>1683800</v>
      </c>
      <c r="F5926" s="4" t="str">
        <f>IF(B5926=B5925,"",B5926)</f>
        <v>Taloc</v>
      </c>
    </row>
    <row r="5927" spans="1:6" ht="15.75" customHeight="1">
      <c r="A5927" s="5" t="str">
        <f ca="1">IFERROR(__xludf.DUMMYFUNCTION("GOOGLETRANSLATE(B38452,""en"",""pt"")"),"Taloc")</f>
        <v>Taloc</v>
      </c>
      <c r="B5927" s="17" t="s">
        <v>21035</v>
      </c>
      <c r="C5927" s="17" t="s">
        <v>20598</v>
      </c>
      <c r="D5927" s="17" t="s">
        <v>20627</v>
      </c>
      <c r="E5927" s="10">
        <v>1683800</v>
      </c>
      <c r="F5927" s="4" t="str">
        <f>IF(B5927=B5926,"",B5927)</f>
        <v/>
      </c>
    </row>
    <row r="5928" spans="1:6" ht="15.75" customHeight="1">
      <c r="A5928" s="6" t="s">
        <v>23171</v>
      </c>
      <c r="B5928" s="6" t="s">
        <v>23171</v>
      </c>
      <c r="C5928" s="6" t="s">
        <v>22070</v>
      </c>
      <c r="D5928" s="6" t="s">
        <v>22079</v>
      </c>
      <c r="E5928" s="2">
        <v>1490256</v>
      </c>
      <c r="F5928" s="4" t="str">
        <f>IF(B5928=B5927,"",B5928)</f>
        <v>Talnakh</v>
      </c>
    </row>
    <row r="5929" spans="1:6" ht="15.75" customHeight="1">
      <c r="A5929" s="5" t="str">
        <f ca="1">IFERROR(__xludf.DUMMYFUNCTION("GOOGLETRANSLATE(B40747,""en"",""pt"")"),"Talnakh")</f>
        <v>Talnakh</v>
      </c>
      <c r="B5929" s="17" t="s">
        <v>23171</v>
      </c>
      <c r="C5929" s="17" t="s">
        <v>22070</v>
      </c>
      <c r="D5929" s="17" t="s">
        <v>22079</v>
      </c>
      <c r="E5929" s="10">
        <v>1490256</v>
      </c>
      <c r="F5929" s="4" t="str">
        <f>IF(B5929=B5928,"",B5929)</f>
        <v/>
      </c>
    </row>
    <row r="5930" spans="1:6" ht="15.75" customHeight="1">
      <c r="A5930" s="5" t="s">
        <v>30157</v>
      </c>
      <c r="B5930" s="6" t="s">
        <v>30157</v>
      </c>
      <c r="C5930" s="5" t="s">
        <v>27788</v>
      </c>
      <c r="D5930" s="5" t="s">
        <v>27813</v>
      </c>
      <c r="E5930" s="2">
        <v>5173623</v>
      </c>
      <c r="F5930" s="4" t="str">
        <f>IF(B5930=B5929,"",B5930)</f>
        <v>Tallmadge</v>
      </c>
    </row>
    <row r="5931" spans="1:6" ht="15.75" customHeight="1">
      <c r="A5931" s="5" t="str">
        <f ca="1">IFERROR(__xludf.DUMMYFUNCTION("GOOGLETRANSLATE(B44548,""en"",""pt"")"),"Tallmadge")</f>
        <v>Tallmadge</v>
      </c>
      <c r="B5931" s="17" t="s">
        <v>30157</v>
      </c>
      <c r="C5931" s="17" t="s">
        <v>27788</v>
      </c>
      <c r="D5931" s="17" t="s">
        <v>27813</v>
      </c>
      <c r="E5931" s="10">
        <v>5173623</v>
      </c>
      <c r="F5931" s="4" t="str">
        <f>IF(B5931=B5930,"",B5931)</f>
        <v/>
      </c>
    </row>
    <row r="5932" spans="1:6" ht="15.75" customHeight="1">
      <c r="A5932" s="6" t="s">
        <v>14719</v>
      </c>
      <c r="B5932" s="6" t="s">
        <v>14719</v>
      </c>
      <c r="C5932" s="6" t="s">
        <v>14594</v>
      </c>
      <c r="D5932" s="6" t="s">
        <v>14609</v>
      </c>
      <c r="E5932" s="2">
        <v>90353</v>
      </c>
      <c r="F5932" s="4" t="str">
        <f>IF(B5932=B5931,"",B5932)</f>
        <v>Tallkayf</v>
      </c>
    </row>
    <row r="5933" spans="1:6" ht="15.75" customHeight="1">
      <c r="A5933" s="5" t="str">
        <f ca="1">IFERROR(__xludf.DUMMYFUNCTION("GOOGLETRANSLATE(B34276,""en"",""pt"")"),"Tallkayf")</f>
        <v>Tallkayf</v>
      </c>
      <c r="B5933" s="17" t="s">
        <v>14719</v>
      </c>
      <c r="C5933" s="17" t="s">
        <v>14594</v>
      </c>
      <c r="D5933" s="17" t="s">
        <v>34069</v>
      </c>
      <c r="E5933" s="10">
        <v>90353</v>
      </c>
      <c r="F5933" s="4" t="str">
        <f>IF(B5933=B5932,"",B5933)</f>
        <v/>
      </c>
    </row>
    <row r="5934" spans="1:6" ht="15.75" customHeight="1">
      <c r="A5934" s="6" t="s">
        <v>25496</v>
      </c>
      <c r="B5934" s="6" t="s">
        <v>25496</v>
      </c>
      <c r="C5934" s="6" t="s">
        <v>25366</v>
      </c>
      <c r="D5934" s="6" t="s">
        <v>25406</v>
      </c>
      <c r="E5934" s="2">
        <v>163533</v>
      </c>
      <c r="F5934" s="4" t="str">
        <f>IF(B5934=B5933,"",B5934)</f>
        <v>Tallkalakh</v>
      </c>
    </row>
    <row r="5935" spans="1:6" ht="15.75" customHeight="1">
      <c r="A5935" s="5" t="str">
        <f ca="1">IFERROR(__xludf.DUMMYFUNCTION("GOOGLETRANSLATE(B41395,""en"",""pt"")"),"Tallkalakh")</f>
        <v>Tallkalakh</v>
      </c>
      <c r="B5935" s="17" t="s">
        <v>25496</v>
      </c>
      <c r="C5935" s="17" t="s">
        <v>25366</v>
      </c>
      <c r="D5935" s="17" t="s">
        <v>25406</v>
      </c>
      <c r="E5935" s="10">
        <v>163533</v>
      </c>
      <c r="F5935" s="4" t="str">
        <f>IF(B5935=B5934,"",B5935)</f>
        <v/>
      </c>
    </row>
    <row r="5936" spans="1:6" ht="15.75" customHeight="1">
      <c r="A5936" s="6" t="s">
        <v>6801</v>
      </c>
      <c r="B5936" s="6" t="s">
        <v>6801</v>
      </c>
      <c r="C5936" s="6" t="s">
        <v>6789</v>
      </c>
      <c r="D5936" s="6" t="s">
        <v>6792</v>
      </c>
      <c r="E5936" s="2">
        <v>588409</v>
      </c>
      <c r="F5936" s="4" t="str">
        <f>IF(B5936=B5935,"",B5936)</f>
        <v>Tallinn</v>
      </c>
    </row>
    <row r="5937" spans="1:6" ht="15.75" customHeight="1">
      <c r="A5937" s="5" t="str">
        <f ca="1">IFERROR(__xludf.DUMMYFUNCTION("GOOGLETRANSLATE(B28814,""en"",""pt"")"),"Tallinn")</f>
        <v>Tallinn</v>
      </c>
      <c r="B5937" s="17" t="s">
        <v>6801</v>
      </c>
      <c r="C5937" s="17" t="s">
        <v>6789</v>
      </c>
      <c r="D5937" s="17" t="s">
        <v>6792</v>
      </c>
      <c r="E5937" s="10">
        <v>588409</v>
      </c>
      <c r="F5937" s="4" t="str">
        <f>IF(B5937=B5936,"",B5937)</f>
        <v/>
      </c>
    </row>
    <row r="5938" spans="1:6" ht="15.75" customHeight="1">
      <c r="A5938" s="5" t="str">
        <f ca="1">IFERROR(__xludf.DUMMYFUNCTION("GOOGLETRANSLATE(B41396,""en"",""pt"")"),"Tallbīsah")</f>
        <v>Tallbīsah</v>
      </c>
      <c r="B5938" s="17" t="s">
        <v>35725</v>
      </c>
      <c r="C5938" s="17" t="s">
        <v>25366</v>
      </c>
      <c r="D5938" s="17" t="s">
        <v>25406</v>
      </c>
      <c r="E5938" s="10">
        <v>163779</v>
      </c>
      <c r="F5938" s="4" t="str">
        <f>IF(B5938=B5937,"",B5938)</f>
        <v>Tallbīsah</v>
      </c>
    </row>
    <row r="5939" spans="1:6" ht="15.75" customHeight="1">
      <c r="A5939" s="5" t="s">
        <v>25494</v>
      </c>
      <c r="B5939" s="6" t="s">
        <v>25495</v>
      </c>
      <c r="C5939" s="5" t="s">
        <v>25366</v>
      </c>
      <c r="D5939" s="5" t="s">
        <v>25406</v>
      </c>
      <c r="E5939" s="2">
        <v>163779</v>
      </c>
      <c r="F5939" s="4" t="str">
        <f>IF(B5939=B5938,"",B5939)</f>
        <v>TallbÄ«sah</v>
      </c>
    </row>
    <row r="5940" spans="1:6" ht="15.75" customHeight="1">
      <c r="A5940" s="5" t="s">
        <v>30156</v>
      </c>
      <c r="B5940" s="6" t="s">
        <v>30156</v>
      </c>
      <c r="C5940" s="5" t="s">
        <v>27788</v>
      </c>
      <c r="D5940" s="5" t="s">
        <v>5468</v>
      </c>
      <c r="E5940" s="2">
        <v>4174715</v>
      </c>
      <c r="F5940" s="4" t="str">
        <f>IF(B5940=B5939,"",B5940)</f>
        <v>Tallahassee</v>
      </c>
    </row>
    <row r="5941" spans="1:6" ht="15.75" customHeight="1">
      <c r="A5941" s="5" t="str">
        <f ca="1">IFERROR(__xludf.DUMMYFUNCTION("GOOGLETRANSLATE(B43025,""en"",""pt"")"),"Tallahassee")</f>
        <v>Tallahassee</v>
      </c>
      <c r="B5941" s="17" t="s">
        <v>30156</v>
      </c>
      <c r="C5941" s="17" t="s">
        <v>27788</v>
      </c>
      <c r="D5941" s="17" t="s">
        <v>5468</v>
      </c>
      <c r="E5941" s="10">
        <v>4174715</v>
      </c>
      <c r="F5941" s="4" t="str">
        <f>IF(B5941=B5940,"",B5941)</f>
        <v/>
      </c>
    </row>
    <row r="5942" spans="1:6" ht="15.75" customHeight="1">
      <c r="A5942" s="6" t="s">
        <v>14765</v>
      </c>
      <c r="B5942" s="6" t="s">
        <v>14765</v>
      </c>
      <c r="C5942" s="6" t="s">
        <v>14728</v>
      </c>
      <c r="D5942" s="6" t="s">
        <v>14729</v>
      </c>
      <c r="E5942" s="2">
        <v>2961284</v>
      </c>
      <c r="F5942" s="4" t="str">
        <f>IF(B5942=B5941,"",B5942)</f>
        <v>Tallaght</v>
      </c>
    </row>
    <row r="5943" spans="1:6" ht="15.75" customHeight="1">
      <c r="A5943" s="5" t="str">
        <f ca="1">IFERROR(__xludf.DUMMYFUNCTION("GOOGLETRANSLATE(B31727,""en"",""pt"")"),"Tallaght")</f>
        <v>Tallaght</v>
      </c>
      <c r="B5943" s="17" t="s">
        <v>14765</v>
      </c>
      <c r="C5943" s="17" t="s">
        <v>14728</v>
      </c>
      <c r="D5943" s="17" t="s">
        <v>14729</v>
      </c>
      <c r="E5943" s="10">
        <v>2961284</v>
      </c>
      <c r="F5943" s="4" t="str">
        <f>IF(B5943=B5942,"",B5943)</f>
        <v/>
      </c>
    </row>
    <row r="5944" spans="1:6" ht="15.75" customHeight="1">
      <c r="A5944" s="6" t="s">
        <v>30155</v>
      </c>
      <c r="B5944" s="6" t="s">
        <v>30155</v>
      </c>
      <c r="C5944" s="6" t="s">
        <v>27788</v>
      </c>
      <c r="D5944" s="6" t="s">
        <v>28023</v>
      </c>
      <c r="E5944" s="2">
        <v>4092788</v>
      </c>
      <c r="F5944" s="4" t="str">
        <f>IF(B5944=B5943,"",B5944)</f>
        <v>Talladega</v>
      </c>
    </row>
    <row r="5945" spans="1:6" ht="15.75" customHeight="1">
      <c r="A5945" s="5" t="str">
        <f ca="1">IFERROR(__xludf.DUMMYFUNCTION("GOOGLETRANSLATE(B42800,""en"",""pt"")"),"Talladega")</f>
        <v>Talladega</v>
      </c>
      <c r="B5945" s="17" t="s">
        <v>30155</v>
      </c>
      <c r="C5945" s="17" t="s">
        <v>27788</v>
      </c>
      <c r="D5945" s="17" t="s">
        <v>28023</v>
      </c>
      <c r="E5945" s="10">
        <v>4092788</v>
      </c>
      <c r="F5945" s="4" t="str">
        <f>IF(B5945=B5944,"",B5945)</f>
        <v/>
      </c>
    </row>
    <row r="5946" spans="1:6" ht="15.75" customHeight="1">
      <c r="A5946" s="6" t="s">
        <v>25492</v>
      </c>
      <c r="B5946" s="6" t="s">
        <v>25493</v>
      </c>
      <c r="C5946" s="6" t="s">
        <v>25366</v>
      </c>
      <c r="D5946" s="6" t="s">
        <v>25380</v>
      </c>
      <c r="E5946" s="2">
        <v>163476</v>
      </c>
      <c r="F5946" s="4" t="str">
        <f>IF(B5946=B5945,"",B5946)</f>
        <v>Tall Rifâ€˜at</v>
      </c>
    </row>
    <row r="5947" spans="1:6" ht="15.75" customHeight="1">
      <c r="A5947" s="5" t="str">
        <f ca="1">IFERROR(__xludf.DUMMYFUNCTION("GOOGLETRANSLATE(B41394,""en"",""pt"")"),"Alto Rif‘at")</f>
        <v>Alto Rif‘at</v>
      </c>
      <c r="B5947" s="17" t="s">
        <v>35724</v>
      </c>
      <c r="C5947" s="17" t="s">
        <v>25366</v>
      </c>
      <c r="D5947" s="17" t="s">
        <v>25380</v>
      </c>
      <c r="E5947" s="10">
        <v>163476</v>
      </c>
      <c r="F5947" s="4" t="str">
        <f>IF(B5947=B5946,"",B5947)</f>
        <v>Tall Rif‘at</v>
      </c>
    </row>
    <row r="5948" spans="1:6" ht="15.75" customHeight="1">
      <c r="A5948" s="5" t="str">
        <f ca="1">IFERROR(__xludf.DUMMYFUNCTION("GOOGLETRANSLATE(B28825,""en"",""pt"")"),"Ţalkhā")</f>
        <v>Ţalkhā</v>
      </c>
      <c r="B5948" s="17" t="s">
        <v>32249</v>
      </c>
      <c r="C5948" s="17" t="s">
        <v>6495</v>
      </c>
      <c r="D5948" s="17" t="s">
        <v>32250</v>
      </c>
      <c r="E5948" s="10">
        <v>347591</v>
      </c>
      <c r="F5948" s="4" t="str">
        <f>IF(B5948=B5947,"",B5948)</f>
        <v>Ţalkhā</v>
      </c>
    </row>
    <row r="5949" spans="1:6" ht="15.75" customHeight="1">
      <c r="A5949" s="6" t="s">
        <v>23170</v>
      </c>
      <c r="B5949" s="6" t="s">
        <v>23170</v>
      </c>
      <c r="C5949" s="6" t="s">
        <v>22070</v>
      </c>
      <c r="D5949" s="6" t="s">
        <v>22106</v>
      </c>
      <c r="E5949" s="2">
        <v>1490277</v>
      </c>
      <c r="F5949" s="4" t="str">
        <f>IF(B5949=B5948,"",B5949)</f>
        <v>Talitsa</v>
      </c>
    </row>
    <row r="5950" spans="1:6" ht="15.75" customHeight="1">
      <c r="A5950" s="6" t="s">
        <v>23170</v>
      </c>
      <c r="B5950" s="6" t="s">
        <v>23170</v>
      </c>
      <c r="C5950" s="6" t="s">
        <v>22070</v>
      </c>
      <c r="D5950" s="6" t="s">
        <v>22106</v>
      </c>
      <c r="E5950" s="2">
        <v>1490281</v>
      </c>
      <c r="F5950" s="4" t="str">
        <f>IF(B5950=B5949,"",B5950)</f>
        <v/>
      </c>
    </row>
    <row r="5951" spans="1:6" ht="15.75" customHeight="1">
      <c r="A5951" s="5" t="str">
        <f ca="1">IFERROR(__xludf.DUMMYFUNCTION("GOOGLETRANSLATE(B40749,""en"",""pt"")"),"Talitsa")</f>
        <v>Talitsa</v>
      </c>
      <c r="B5951" s="17" t="s">
        <v>23170</v>
      </c>
      <c r="C5951" s="17" t="s">
        <v>22070</v>
      </c>
      <c r="D5951" s="17" t="s">
        <v>22106</v>
      </c>
      <c r="E5951" s="10">
        <v>1490277</v>
      </c>
      <c r="F5951" s="4" t="str">
        <f>IF(B5951=B5950,"",B5951)</f>
        <v/>
      </c>
    </row>
    <row r="5952" spans="1:6" ht="15.75" customHeight="1">
      <c r="A5952" s="5" t="str">
        <f ca="1">IFERROR(__xludf.DUMMYFUNCTION("GOOGLETRANSLATE(B40750,""en"",""pt"")"),"Talitsa")</f>
        <v>Talitsa</v>
      </c>
      <c r="B5952" s="17" t="s">
        <v>23170</v>
      </c>
      <c r="C5952" s="17" t="s">
        <v>22070</v>
      </c>
      <c r="D5952" s="17" t="s">
        <v>22106</v>
      </c>
      <c r="E5952" s="10">
        <v>1490281</v>
      </c>
      <c r="F5952" s="4" t="str">
        <f>IF(B5952=B5951,"",B5952)</f>
        <v/>
      </c>
    </row>
    <row r="5953" spans="1:6" ht="15.75" customHeight="1">
      <c r="A5953" s="6" t="s">
        <v>21034</v>
      </c>
      <c r="B5953" s="6" t="s">
        <v>21034</v>
      </c>
      <c r="C5953" s="6" t="s">
        <v>20598</v>
      </c>
      <c r="D5953" s="6" t="s">
        <v>20608</v>
      </c>
      <c r="E5953" s="2">
        <v>1683860</v>
      </c>
      <c r="F5953" s="4" t="str">
        <f>IF(B5953=B5952,"",B5953)</f>
        <v>Talisay</v>
      </c>
    </row>
    <row r="5954" spans="1:6" ht="15.75" customHeight="1">
      <c r="A5954" s="6" t="s">
        <v>21034</v>
      </c>
      <c r="B5954" s="6" t="s">
        <v>21034</v>
      </c>
      <c r="C5954" s="6" t="s">
        <v>20598</v>
      </c>
      <c r="D5954" s="6" t="s">
        <v>20627</v>
      </c>
      <c r="E5954" s="2">
        <v>1683877</v>
      </c>
      <c r="F5954" s="4" t="str">
        <f>IF(B5954=B5953,"",B5954)</f>
        <v/>
      </c>
    </row>
    <row r="5955" spans="1:6" ht="15.75" customHeight="1">
      <c r="A5955" s="6" t="s">
        <v>21034</v>
      </c>
      <c r="B5955" s="6" t="s">
        <v>21034</v>
      </c>
      <c r="C5955" s="6" t="s">
        <v>20598</v>
      </c>
      <c r="D5955" s="6" t="s">
        <v>20622</v>
      </c>
      <c r="E5955" s="2">
        <v>1683881</v>
      </c>
      <c r="F5955" s="4" t="str">
        <f>IF(B5955=B5954,"",B5955)</f>
        <v/>
      </c>
    </row>
    <row r="5956" spans="1:6" ht="15.75" customHeight="1">
      <c r="A5956" s="5" t="str">
        <f ca="1">IFERROR(__xludf.DUMMYFUNCTION("GOOGLETRANSLATE(B38453,""en"",""pt"")"),"Talisay")</f>
        <v>Talisay</v>
      </c>
      <c r="B5956" s="17" t="s">
        <v>21034</v>
      </c>
      <c r="C5956" s="17" t="s">
        <v>20598</v>
      </c>
      <c r="D5956" s="17" t="s">
        <v>20608</v>
      </c>
      <c r="E5956" s="10">
        <v>1683860</v>
      </c>
      <c r="F5956" s="4" t="str">
        <f>IF(B5956=B5955,"",B5956)</f>
        <v/>
      </c>
    </row>
    <row r="5957" spans="1:6" ht="15.75" customHeight="1">
      <c r="A5957" s="5" t="str">
        <f ca="1">IFERROR(__xludf.DUMMYFUNCTION("GOOGLETRANSLATE(B38454,""en"",""pt"")"),"Talisay")</f>
        <v>Talisay</v>
      </c>
      <c r="B5957" s="17" t="s">
        <v>21034</v>
      </c>
      <c r="C5957" s="17" t="s">
        <v>20598</v>
      </c>
      <c r="D5957" s="17" t="s">
        <v>20627</v>
      </c>
      <c r="E5957" s="10">
        <v>1683877</v>
      </c>
      <c r="F5957" s="4" t="str">
        <f>IF(B5957=B5956,"",B5957)</f>
        <v/>
      </c>
    </row>
    <row r="5958" spans="1:6" ht="15.75" customHeight="1">
      <c r="A5958" s="5" t="str">
        <f ca="1">IFERROR(__xludf.DUMMYFUNCTION("GOOGLETRANSLATE(B38455,""en"",""pt"")"),"Talisay")</f>
        <v>Talisay</v>
      </c>
      <c r="B5958" s="17" t="s">
        <v>21034</v>
      </c>
      <c r="C5958" s="17" t="s">
        <v>20598</v>
      </c>
      <c r="D5958" s="17" t="s">
        <v>20622</v>
      </c>
      <c r="E5958" s="10">
        <v>1683881</v>
      </c>
      <c r="F5958" s="4" t="str">
        <f>IF(B5958=B5957,"",B5958)</f>
        <v/>
      </c>
    </row>
    <row r="5959" spans="1:6" ht="15.75" customHeight="1">
      <c r="A5959" s="5" t="s">
        <v>13516</v>
      </c>
      <c r="B5959" s="6" t="s">
        <v>13516</v>
      </c>
      <c r="C5959" s="5" t="s">
        <v>10178</v>
      </c>
      <c r="D5959" s="5" t="s">
        <v>10246</v>
      </c>
      <c r="E5959" s="2">
        <v>1255121</v>
      </c>
      <c r="F5959" s="4" t="str">
        <f>IF(B5959=B5958,"",B5959)</f>
        <v>Talipparamba</v>
      </c>
    </row>
    <row r="5960" spans="1:6" ht="15.75" customHeight="1">
      <c r="A5960" s="5" t="str">
        <f ca="1">IFERROR(__xludf.DUMMYFUNCTION("GOOGLETRANSLATE(B32041,""en"",""pt"")"),"Talipparamba")</f>
        <v>Talipparamba</v>
      </c>
      <c r="B5960" s="17" t="s">
        <v>13516</v>
      </c>
      <c r="C5960" s="17" t="s">
        <v>10178</v>
      </c>
      <c r="D5960" s="17" t="s">
        <v>10246</v>
      </c>
      <c r="E5960" s="10">
        <v>1255121</v>
      </c>
      <c r="F5960" s="4" t="str">
        <f>IF(B5960=B5959,"",B5960)</f>
        <v/>
      </c>
    </row>
    <row r="5961" spans="1:6" ht="15.75" customHeight="1">
      <c r="A5961" s="5" t="str">
        <f ca="1">IFERROR(__xludf.DUMMYFUNCTION("GOOGLETRANSLATE(B32042,""en"",""pt"")"),"Tālīkota")</f>
        <v>Tālīkota</v>
      </c>
      <c r="B5961" s="17" t="s">
        <v>33024</v>
      </c>
      <c r="C5961" s="17" t="s">
        <v>10178</v>
      </c>
      <c r="D5961" s="17" t="s">
        <v>10252</v>
      </c>
      <c r="E5961" s="10">
        <v>1255122</v>
      </c>
      <c r="F5961" s="4" t="str">
        <f>IF(B5961=B5960,"",B5961)</f>
        <v>Tālīkota</v>
      </c>
    </row>
    <row r="5962" spans="1:6" ht="15.75" customHeight="1">
      <c r="A5962" s="5" t="str">
        <f ca="1">IFERROR(__xludf.DUMMYFUNCTION("GOOGLETRANSLATE(B38895,""en"",""pt"")"),"Talenhār")</f>
        <v>Talenhār</v>
      </c>
      <c r="B5962" s="17" t="s">
        <v>34906</v>
      </c>
      <c r="C5962" s="17" t="s">
        <v>19808</v>
      </c>
      <c r="D5962" s="17" t="s">
        <v>19823</v>
      </c>
      <c r="E5962" s="10">
        <v>1164045</v>
      </c>
      <c r="F5962" s="4" t="str">
        <f>IF(B5962=B5961,"",B5962)</f>
        <v>Talhār</v>
      </c>
    </row>
    <row r="5963" spans="1:6" ht="15.75" customHeight="1">
      <c r="A5963" s="6" t="s">
        <v>20253</v>
      </c>
      <c r="B5963" s="6" t="s">
        <v>20254</v>
      </c>
      <c r="C5963" s="6" t="s">
        <v>19808</v>
      </c>
      <c r="D5963" s="6" t="s">
        <v>19823</v>
      </c>
      <c r="E5963" s="2">
        <v>1164045</v>
      </c>
      <c r="F5963" s="4" t="str">
        <f>IF(B5963=B5962,"",B5963)</f>
        <v>TalhÄr</v>
      </c>
    </row>
    <row r="5964" spans="1:6" ht="15.75" customHeight="1">
      <c r="A5964" s="6" t="s">
        <v>16758</v>
      </c>
      <c r="B5964" s="6" t="s">
        <v>16758</v>
      </c>
      <c r="C5964" s="6" t="s">
        <v>16671</v>
      </c>
      <c r="D5964" s="6" t="s">
        <v>16705</v>
      </c>
      <c r="E5964" s="2">
        <v>1518518</v>
      </c>
      <c r="F5964" s="4" t="str">
        <f>IF(B5964=B5963,"",B5964)</f>
        <v>Talghar</v>
      </c>
    </row>
    <row r="5965" spans="1:6" ht="15.75" customHeight="1">
      <c r="A5965" s="5" t="str">
        <f ca="1">IFERROR(__xludf.DUMMYFUNCTION("GOOGLETRANSLATE(B36213,""en"",""pt"")"),"Talghar")</f>
        <v>Talghar</v>
      </c>
      <c r="B5965" s="17" t="s">
        <v>16758</v>
      </c>
      <c r="C5965" s="17" t="s">
        <v>16671</v>
      </c>
      <c r="D5965" s="17" t="s">
        <v>16705</v>
      </c>
      <c r="E5965" s="10">
        <v>1518518</v>
      </c>
      <c r="F5965" s="4" t="str">
        <f>IF(B5965=B5964,"",B5965)</f>
        <v/>
      </c>
    </row>
    <row r="5966" spans="1:6" ht="15.75" customHeight="1">
      <c r="A5966" s="6" t="s">
        <v>7841</v>
      </c>
      <c r="B5966" s="6" t="s">
        <v>7842</v>
      </c>
      <c r="C5966" s="6" t="s">
        <v>7052</v>
      </c>
      <c r="D5966" s="6" t="s">
        <v>7084</v>
      </c>
      <c r="E5966" s="2">
        <v>2973495</v>
      </c>
      <c r="F5966" s="4" t="str">
        <f>IF(B5966=B5965,"",B5966)</f>
        <v>Talence</v>
      </c>
    </row>
    <row r="5967" spans="1:6" ht="15.75" customHeight="1">
      <c r="A5967" s="5" t="str">
        <f ca="1">IFERROR(__xludf.DUMMYFUNCTION("GOOGLETRANSLATE(B29741,""en"",""pt"")"),"Talência")</f>
        <v>Talência</v>
      </c>
      <c r="B5967" s="17" t="s">
        <v>7842</v>
      </c>
      <c r="C5967" s="17" t="s">
        <v>7052</v>
      </c>
      <c r="D5967" s="17" t="s">
        <v>7084</v>
      </c>
      <c r="E5967" s="10">
        <v>2973495</v>
      </c>
      <c r="F5967" s="4" t="str">
        <f>IF(B5967=B5966,"",B5967)</f>
        <v/>
      </c>
    </row>
    <row r="5968" spans="1:6" ht="15.75" customHeight="1">
      <c r="A5968" s="6" t="s">
        <v>13515</v>
      </c>
      <c r="B5968" s="6" t="s">
        <v>13515</v>
      </c>
      <c r="C5968" s="6" t="s">
        <v>10178</v>
      </c>
      <c r="D5968" s="6" t="s">
        <v>10856</v>
      </c>
      <c r="E5968" s="2">
        <v>1255131</v>
      </c>
      <c r="F5968" s="4" t="str">
        <f>IF(B5968=B5967,"",B5968)</f>
        <v>Taleigao</v>
      </c>
    </row>
    <row r="5969" spans="1:6" ht="15.75" customHeight="1">
      <c r="A5969" s="5" t="str">
        <f ca="1">IFERROR(__xludf.DUMMYFUNCTION("GOOGLETRANSLATE(B32043,""en"",""pt"")"),"Taleigao")</f>
        <v>Taleigao</v>
      </c>
      <c r="B5969" s="17" t="s">
        <v>13515</v>
      </c>
      <c r="C5969" s="17" t="s">
        <v>10178</v>
      </c>
      <c r="D5969" s="17" t="s">
        <v>10856</v>
      </c>
      <c r="E5969" s="10">
        <v>1255131</v>
      </c>
      <c r="F5969" s="4" t="str">
        <f>IF(B5969=B5968,"",B5969)</f>
        <v/>
      </c>
    </row>
    <row r="5970" spans="1:6" ht="15.75" customHeight="1">
      <c r="A5970" s="5" t="str">
        <f ca="1">IFERROR(__xludf.DUMMYFUNCTION("GOOGLETRANSLATE(B32044,""en"",""pt"")"),"Talegaon Dābhāde")</f>
        <v>Talegaon Dābhāde</v>
      </c>
      <c r="B5970" s="17" t="s">
        <v>33025</v>
      </c>
      <c r="C5970" s="17" t="s">
        <v>10178</v>
      </c>
      <c r="D5970" s="17" t="s">
        <v>10214</v>
      </c>
      <c r="E5970" s="10">
        <v>1255134</v>
      </c>
      <c r="F5970" s="4" t="str">
        <f>IF(B5970=B5969,"",B5970)</f>
        <v>Talegaon Dābhāde</v>
      </c>
    </row>
    <row r="5971" spans="1:6" ht="15.75" customHeight="1">
      <c r="A5971" s="5" t="s">
        <v>13513</v>
      </c>
      <c r="B5971" s="6" t="s">
        <v>13514</v>
      </c>
      <c r="C5971" s="5" t="s">
        <v>10178</v>
      </c>
      <c r="D5971" s="5" t="s">
        <v>10214</v>
      </c>
      <c r="E5971" s="2">
        <v>1255134</v>
      </c>
      <c r="F5971" s="4" t="str">
        <f>IF(B5971=B5970,"",B5971)</f>
        <v>Talegaon DÄbhÄde</v>
      </c>
    </row>
    <row r="5972" spans="1:6" ht="15.75" customHeight="1">
      <c r="A5972" s="5" t="s">
        <v>16757</v>
      </c>
      <c r="B5972" s="6" t="s">
        <v>16757</v>
      </c>
      <c r="C5972" s="5" t="s">
        <v>16671</v>
      </c>
      <c r="D5972" s="5" t="s">
        <v>16705</v>
      </c>
      <c r="E5972" s="2">
        <v>1518543</v>
      </c>
      <c r="F5972" s="4" t="str">
        <f>IF(B5972=B5971,"",B5972)</f>
        <v>Taldyqorghan</v>
      </c>
    </row>
    <row r="5973" spans="1:6" ht="15.75" customHeight="1">
      <c r="A5973" s="5" t="str">
        <f ca="1">IFERROR(__xludf.DUMMYFUNCTION("GOOGLETRANSLATE(B36215,""en"",""pt"")"),"Taldyqorghan")</f>
        <v>Taldyqorghan</v>
      </c>
      <c r="B5973" s="17" t="s">
        <v>16757</v>
      </c>
      <c r="C5973" s="17" t="s">
        <v>16671</v>
      </c>
      <c r="D5973" s="17" t="s">
        <v>16705</v>
      </c>
      <c r="E5973" s="10">
        <v>1518543</v>
      </c>
      <c r="F5973" s="4" t="str">
        <f>IF(B5973=B5972,"",B5973)</f>
        <v/>
      </c>
    </row>
    <row r="5974" spans="1:6" ht="15.75" customHeight="1">
      <c r="A5974" s="5" t="s">
        <v>16756</v>
      </c>
      <c r="B5974" s="6" t="s">
        <v>16756</v>
      </c>
      <c r="C5974" s="5" t="s">
        <v>16671</v>
      </c>
      <c r="D5974" s="5" t="s">
        <v>16705</v>
      </c>
      <c r="E5974" s="2">
        <v>1518542</v>
      </c>
      <c r="F5974" s="4" t="str">
        <f>IF(B5974=B5973,"",B5974)</f>
        <v>Taldykorgan</v>
      </c>
    </row>
    <row r="5975" spans="1:6" ht="15.75" customHeight="1">
      <c r="A5975" s="5" t="str">
        <f ca="1">IFERROR(__xludf.DUMMYFUNCTION("GOOGLETRANSLATE(B36214,""en"",""pt"")"),"Taldykorgan")</f>
        <v>Taldykorgan</v>
      </c>
      <c r="B5975" s="17" t="s">
        <v>16756</v>
      </c>
      <c r="C5975" s="17" t="s">
        <v>16671</v>
      </c>
      <c r="D5975" s="17" t="s">
        <v>16705</v>
      </c>
      <c r="E5975" s="10">
        <v>1518542</v>
      </c>
      <c r="F5975" s="4" t="str">
        <f>IF(B5975=B5974,"",B5975)</f>
        <v/>
      </c>
    </row>
    <row r="5976" spans="1:6" ht="15.75" customHeight="1">
      <c r="A5976" s="5" t="str">
        <f ca="1">IFERROR(__xludf.DUMMYFUNCTION("GOOGLETRANSLATE(B32045,""en"",""pt"")"),"Tālcher")</f>
        <v>Tālcher</v>
      </c>
      <c r="B5976" s="17" t="s">
        <v>33026</v>
      </c>
      <c r="C5976" s="17" t="s">
        <v>10178</v>
      </c>
      <c r="D5976" s="17" t="s">
        <v>10229</v>
      </c>
      <c r="E5976" s="10">
        <v>1255143</v>
      </c>
      <c r="F5976" s="4" t="str">
        <f>IF(B5976=B5975,"",B5976)</f>
        <v>Tālcher</v>
      </c>
    </row>
    <row r="5977" spans="1:6" ht="15.75" customHeight="1">
      <c r="A5977" s="5" t="s">
        <v>4474</v>
      </c>
      <c r="B5977" s="6" t="s">
        <v>4474</v>
      </c>
      <c r="C5977" s="5" t="s">
        <v>4355</v>
      </c>
      <c r="D5977" s="5" t="s">
        <v>4361</v>
      </c>
      <c r="E5977" s="2">
        <v>3870282</v>
      </c>
      <c r="F5977" s="4" t="str">
        <f>IF(B5977=B5976,"",B5977)</f>
        <v>Talcahuano</v>
      </c>
    </row>
    <row r="5978" spans="1:6" ht="15.75" customHeight="1">
      <c r="A5978" s="5" t="str">
        <f ca="1">IFERROR(__xludf.DUMMYFUNCTION("GOOGLETRANSLATE(B25893,""en"",""pt"")"),"Talcahuano")</f>
        <v>Talcahuano</v>
      </c>
      <c r="B5978" s="17" t="s">
        <v>4474</v>
      </c>
      <c r="C5978" s="17" t="s">
        <v>4355</v>
      </c>
      <c r="D5978" s="17" t="s">
        <v>31796</v>
      </c>
      <c r="E5978" s="10">
        <v>3870282</v>
      </c>
      <c r="F5978" s="4" t="str">
        <f>IF(B5978=B5977,"",B5978)</f>
        <v/>
      </c>
    </row>
    <row r="5979" spans="1:6" ht="15.75" customHeight="1">
      <c r="A5979" s="6" t="s">
        <v>4473</v>
      </c>
      <c r="B5979" s="6" t="s">
        <v>4473</v>
      </c>
      <c r="C5979" s="6" t="s">
        <v>4355</v>
      </c>
      <c r="D5979" s="6" t="s">
        <v>4373</v>
      </c>
      <c r="E5979" s="2">
        <v>3870294</v>
      </c>
      <c r="F5979" s="4" t="str">
        <f>IF(B5979=B5978,"",B5979)</f>
        <v>Talca</v>
      </c>
    </row>
    <row r="5980" spans="1:6" ht="15.75" customHeight="1">
      <c r="A5980" s="5" t="str">
        <f ca="1">IFERROR(__xludf.DUMMYFUNCTION("GOOGLETRANSLATE(B25894,""en"",""pt"")"),"Talca")</f>
        <v>Talca</v>
      </c>
      <c r="B5980" s="17" t="s">
        <v>4473</v>
      </c>
      <c r="C5980" s="17" t="s">
        <v>4355</v>
      </c>
      <c r="D5980" s="17" t="s">
        <v>4373</v>
      </c>
      <c r="E5980" s="10">
        <v>3870294</v>
      </c>
      <c r="F5980" s="4" t="str">
        <f>IF(B5980=B5979,"",B5980)</f>
        <v/>
      </c>
    </row>
    <row r="5981" spans="1:6" ht="15.75" customHeight="1">
      <c r="A5981" s="5" t="s">
        <v>24834</v>
      </c>
      <c r="B5981" s="6" t="s">
        <v>24835</v>
      </c>
      <c r="C5981" s="5" t="s">
        <v>24200</v>
      </c>
      <c r="D5981" s="5" t="s">
        <v>24218</v>
      </c>
      <c r="E5981" s="2">
        <v>2510693</v>
      </c>
      <c r="F5981" s="4" t="str">
        <f>IF(B5981=B5980,"",B5981)</f>
        <v>Talavera de la Reina</v>
      </c>
    </row>
    <row r="5982" spans="1:6" ht="15.75" customHeight="1">
      <c r="A5982" s="5" t="str">
        <f ca="1">IFERROR(__xludf.DUMMYFUNCTION("GOOGLETRANSLATE(B28978,""en"",""pt"")"),"Talavera de la reina")</f>
        <v>Talavera de la reina</v>
      </c>
      <c r="B5982" s="17" t="s">
        <v>24835</v>
      </c>
      <c r="C5982" s="17" t="s">
        <v>24200</v>
      </c>
      <c r="D5982" s="17" t="s">
        <v>24218</v>
      </c>
      <c r="E5982" s="10">
        <v>2510693</v>
      </c>
      <c r="F5982" s="4" t="str">
        <f>IF(B5982=B5981,"",B5982)</f>
        <v/>
      </c>
    </row>
    <row r="5983" spans="1:6" ht="15.75" customHeight="1">
      <c r="A5983" s="6" t="s">
        <v>21033</v>
      </c>
      <c r="B5983" s="6" t="s">
        <v>21033</v>
      </c>
      <c r="C5983" s="6" t="s">
        <v>20598</v>
      </c>
      <c r="D5983" s="6" t="s">
        <v>20599</v>
      </c>
      <c r="E5983" s="2">
        <v>1684016</v>
      </c>
      <c r="F5983" s="4" t="str">
        <f>IF(B5983=B5982,"",B5983)</f>
        <v>Talavera</v>
      </c>
    </row>
    <row r="5984" spans="1:6" ht="15.75" customHeight="1">
      <c r="A5984" s="5" t="str">
        <f ca="1">IFERROR(__xludf.DUMMYFUNCTION("GOOGLETRANSLATE(B38456,""en"",""pt"")"),"Talavera")</f>
        <v>Talavera</v>
      </c>
      <c r="B5984" s="17" t="s">
        <v>21033</v>
      </c>
      <c r="C5984" s="17" t="s">
        <v>20598</v>
      </c>
      <c r="D5984" s="17" t="s">
        <v>20599</v>
      </c>
      <c r="E5984" s="10">
        <v>1684016</v>
      </c>
      <c r="F5984" s="4" t="str">
        <f>IF(B5984=B5983,"",B5984)</f>
        <v/>
      </c>
    </row>
    <row r="5985" spans="1:6" ht="15.75" customHeight="1">
      <c r="A5985" s="5" t="s">
        <v>19566</v>
      </c>
      <c r="B5985" s="6" t="s">
        <v>19567</v>
      </c>
      <c r="C5985" s="5" t="s">
        <v>19294</v>
      </c>
      <c r="D5985" s="5" t="s">
        <v>19413</v>
      </c>
      <c r="E5985" s="2">
        <v>2322529</v>
      </c>
      <c r="F5985" s="4" t="str">
        <f>IF(B5985=B5984,"",B5985)</f>
        <v>Talata Mafara</v>
      </c>
    </row>
    <row r="5986" spans="1:6" ht="15.75" customHeight="1">
      <c r="A5986" s="5" t="str">
        <f ca="1">IFERROR(__xludf.DUMMYFUNCTION("GOOGLETRANSLATE(B37625,""en"",""pt"")"),"Talata mafara")</f>
        <v>Talata mafara</v>
      </c>
      <c r="B5986" s="17" t="s">
        <v>19567</v>
      </c>
      <c r="C5986" s="17" t="s">
        <v>19294</v>
      </c>
      <c r="D5986" s="17" t="s">
        <v>19413</v>
      </c>
      <c r="E5986" s="10">
        <v>2322529</v>
      </c>
      <c r="F5986" s="4" t="str">
        <f>IF(B5986=B5985,"",B5986)</f>
        <v/>
      </c>
    </row>
    <row r="5987" spans="1:6" ht="15.75" customHeight="1">
      <c r="A5987" s="6" t="s">
        <v>16948</v>
      </c>
      <c r="B5987" s="6" t="s">
        <v>16948</v>
      </c>
      <c r="C5987" s="6" t="s">
        <v>16924</v>
      </c>
      <c r="D5987" s="6" t="s">
        <v>16948</v>
      </c>
      <c r="E5987" s="2">
        <v>1527299</v>
      </c>
      <c r="F5987" s="4" t="str">
        <f>IF(B5987=B5986,"",B5987)</f>
        <v>Talas</v>
      </c>
    </row>
    <row r="5988" spans="1:6" ht="15.75" customHeight="1">
      <c r="A5988" s="6" t="s">
        <v>16948</v>
      </c>
      <c r="B5988" s="6" t="s">
        <v>16948</v>
      </c>
      <c r="C5988" s="6" t="s">
        <v>26201</v>
      </c>
      <c r="D5988" s="6" t="s">
        <v>26445</v>
      </c>
      <c r="E5988" s="2">
        <v>299900</v>
      </c>
      <c r="F5988" s="4" t="str">
        <f>IF(B5988=B5987,"",B5988)</f>
        <v/>
      </c>
    </row>
    <row r="5989" spans="1:6" ht="15.75" customHeight="1">
      <c r="A5989" s="5" t="str">
        <f ca="1">IFERROR(__xludf.DUMMYFUNCTION("GOOGLETRANSLATE(B35941,""en"",""pt"")"),"Talas")</f>
        <v>Talas</v>
      </c>
      <c r="B5989" s="17" t="s">
        <v>16948</v>
      </c>
      <c r="C5989" s="17" t="s">
        <v>16924</v>
      </c>
      <c r="D5989" s="17" t="s">
        <v>16948</v>
      </c>
      <c r="E5989" s="10">
        <v>1527299</v>
      </c>
      <c r="F5989" s="4" t="str">
        <f>IF(B5989=B5988,"",B5989)</f>
        <v/>
      </c>
    </row>
    <row r="5990" spans="1:6" ht="15.75" customHeight="1">
      <c r="A5990" s="5" t="str">
        <f ca="1">IFERROR(__xludf.DUMMYFUNCTION("GOOGLETRANSLATE(B41888,""en"",""pt"")"),"Talas")</f>
        <v>Talas</v>
      </c>
      <c r="B5990" s="17" t="s">
        <v>16948</v>
      </c>
      <c r="C5990" s="17" t="s">
        <v>26201</v>
      </c>
      <c r="D5990" s="17" t="s">
        <v>26445</v>
      </c>
      <c r="E5990" s="10">
        <v>299900</v>
      </c>
      <c r="F5990" s="4" t="str">
        <f>IF(B5990=B5989,"",B5990)</f>
        <v/>
      </c>
    </row>
    <row r="5991" spans="1:6" ht="15.75" customHeight="1">
      <c r="A5991" s="6" t="s">
        <v>20581</v>
      </c>
      <c r="B5991" s="6" t="s">
        <v>20581</v>
      </c>
      <c r="C5991" s="6" t="s">
        <v>20470</v>
      </c>
      <c r="D5991" s="6" t="s">
        <v>20486</v>
      </c>
      <c r="E5991" s="2">
        <v>3691582</v>
      </c>
      <c r="F5991" s="4" t="str">
        <f>IF(B5991=B5990,"",B5991)</f>
        <v>Talara</v>
      </c>
    </row>
    <row r="5992" spans="1:6" ht="15.75" customHeight="1">
      <c r="A5992" s="5" t="str">
        <f ca="1">IFERROR(__xludf.DUMMYFUNCTION("GOOGLETRANSLATE(B38309,""en"",""pt"")"),"Talara")</f>
        <v>Talara</v>
      </c>
      <c r="B5992" s="17" t="s">
        <v>20581</v>
      </c>
      <c r="C5992" s="17" t="s">
        <v>20470</v>
      </c>
      <c r="D5992" s="17" t="s">
        <v>20486</v>
      </c>
      <c r="E5992" s="10">
        <v>3691582</v>
      </c>
      <c r="F5992" s="4" t="str">
        <f>IF(B5992=B5991,"",B5992)</f>
        <v/>
      </c>
    </row>
    <row r="5993" spans="1:6" ht="15.75" customHeight="1">
      <c r="A5993" s="6" t="s">
        <v>20252</v>
      </c>
      <c r="B5993" s="6" t="s">
        <v>20252</v>
      </c>
      <c r="C5993" s="6" t="s">
        <v>19808</v>
      </c>
      <c r="D5993" s="6" t="s">
        <v>10184</v>
      </c>
      <c r="E5993" s="2">
        <v>1164064</v>
      </c>
      <c r="F5993" s="4" t="str">
        <f>IF(B5993=B5992,"",B5993)</f>
        <v>Talamba</v>
      </c>
    </row>
    <row r="5994" spans="1:6" ht="15.75" customHeight="1">
      <c r="A5994" s="5" t="str">
        <f ca="1">IFERROR(__xludf.DUMMYFUNCTION("GOOGLETRANSLATE(B38896,""en"",""pt"")"),"Talamba")</f>
        <v>Talamba</v>
      </c>
      <c r="B5994" s="17" t="s">
        <v>20252</v>
      </c>
      <c r="C5994" s="17" t="s">
        <v>19808</v>
      </c>
      <c r="D5994" s="17" t="s">
        <v>10184</v>
      </c>
      <c r="E5994" s="10">
        <v>1164064</v>
      </c>
      <c r="F5994" s="4" t="str">
        <f>IF(B5994=B5993,"",B5994)</f>
        <v/>
      </c>
    </row>
    <row r="5995" spans="1:6" ht="15.75" customHeight="1">
      <c r="A5995" s="5" t="str">
        <f ca="1">IFERROR(__xludf.DUMMYFUNCTION("GOOGLETRANSLATE(B32046,""en"",""pt"")"),"Talāja")</f>
        <v>Talāja</v>
      </c>
      <c r="B5995" s="17" t="s">
        <v>33027</v>
      </c>
      <c r="C5995" s="17" t="s">
        <v>10178</v>
      </c>
      <c r="D5995" s="17" t="s">
        <v>10209</v>
      </c>
      <c r="E5995" s="10">
        <v>1255175</v>
      </c>
      <c r="F5995" s="4" t="str">
        <f>IF(B5995=B5994,"",B5995)</f>
        <v>Talāja</v>
      </c>
    </row>
    <row r="5996" spans="1:6" ht="15.75" customHeight="1">
      <c r="A5996" s="6" t="s">
        <v>4472</v>
      </c>
      <c r="B5996" s="6" t="s">
        <v>4472</v>
      </c>
      <c r="C5996" s="6" t="s">
        <v>4355</v>
      </c>
      <c r="D5996" s="6" t="s">
        <v>4366</v>
      </c>
      <c r="E5996" s="2">
        <v>3870306</v>
      </c>
      <c r="F5996" s="4" t="str">
        <f>IF(B5996=B5995,"",B5996)</f>
        <v>Talagante</v>
      </c>
    </row>
    <row r="5997" spans="1:6" ht="15.75" customHeight="1">
      <c r="A5997" s="5" t="str">
        <f ca="1">IFERROR(__xludf.DUMMYFUNCTION("GOOGLETRANSLATE(B25895,""en"",""pt"")"),"Talagante")</f>
        <v>Talagante</v>
      </c>
      <c r="B5997" s="17" t="s">
        <v>4472</v>
      </c>
      <c r="C5997" s="17" t="s">
        <v>4355</v>
      </c>
      <c r="D5997" s="17" t="s">
        <v>4366</v>
      </c>
      <c r="E5997" s="10">
        <v>3870306</v>
      </c>
      <c r="F5997" s="4" t="str">
        <f>IF(B5997=B5996,"",B5997)</f>
        <v/>
      </c>
    </row>
    <row r="5998" spans="1:6" ht="15.75" customHeight="1">
      <c r="A5998" s="6" t="s">
        <v>20251</v>
      </c>
      <c r="B5998" s="6" t="s">
        <v>20251</v>
      </c>
      <c r="C5998" s="6" t="s">
        <v>19808</v>
      </c>
      <c r="D5998" s="6" t="s">
        <v>10184</v>
      </c>
      <c r="E5998" s="2">
        <v>1164069</v>
      </c>
      <c r="F5998" s="4" t="str">
        <f>IF(B5998=B5997,"",B5998)</f>
        <v>Talagang</v>
      </c>
    </row>
    <row r="5999" spans="1:6" ht="15.75" customHeight="1">
      <c r="A5999" s="5" t="str">
        <f ca="1">IFERROR(__xludf.DUMMYFUNCTION("GOOGLETRANSLATE(B38897,""en"",""pt"")"),"Talagang")</f>
        <v>Talagang</v>
      </c>
      <c r="B5999" s="17" t="s">
        <v>20251</v>
      </c>
      <c r="C5999" s="17" t="s">
        <v>19808</v>
      </c>
      <c r="D5999" s="17" t="s">
        <v>10184</v>
      </c>
      <c r="E5999" s="10">
        <v>1164069</v>
      </c>
      <c r="F5999" s="4" t="str">
        <f>IF(B5999=B5998,"",B5999)</f>
        <v/>
      </c>
    </row>
    <row r="6000" spans="1:6" ht="15.75" customHeight="1">
      <c r="A6000" s="5" t="s">
        <v>21032</v>
      </c>
      <c r="B6000" s="6" t="s">
        <v>21032</v>
      </c>
      <c r="C6000" s="5" t="s">
        <v>20598</v>
      </c>
      <c r="D6000" s="5" t="s">
        <v>20647</v>
      </c>
      <c r="E6000" s="2">
        <v>1684137</v>
      </c>
      <c r="F6000" s="4" t="str">
        <f>IF(B6000=B5999,"",B6000)</f>
        <v>Talacogon</v>
      </c>
    </row>
    <row r="6001" spans="1:6" ht="15.75" customHeight="1">
      <c r="A6001" s="5" t="str">
        <f ca="1">IFERROR(__xludf.DUMMYFUNCTION("GOOGLETRANSLATE(B38457,""en"",""pt"")"),"Talacogon")</f>
        <v>Talacogon</v>
      </c>
      <c r="B6001" s="17" t="s">
        <v>21032</v>
      </c>
      <c r="C6001" s="17" t="s">
        <v>20598</v>
      </c>
      <c r="D6001" s="17" t="s">
        <v>20647</v>
      </c>
      <c r="E6001" s="10">
        <v>1684137</v>
      </c>
      <c r="F6001" s="4" t="str">
        <f>IF(B6001=B6000,"",B6001)</f>
        <v/>
      </c>
    </row>
    <row r="6002" spans="1:6" ht="15.75" customHeight="1">
      <c r="A6002" s="6" t="s">
        <v>13511</v>
      </c>
      <c r="B6002" s="6" t="s">
        <v>13512</v>
      </c>
      <c r="C6002" s="6" t="s">
        <v>10178</v>
      </c>
      <c r="D6002" s="6" t="s">
        <v>10209</v>
      </c>
      <c r="E6002" s="2">
        <v>1255175</v>
      </c>
      <c r="F6002" s="4" t="str">
        <f>IF(B6002=B6001,"",B6002)</f>
        <v>TalÄja</v>
      </c>
    </row>
    <row r="6003" spans="1:6" ht="15.75" customHeight="1">
      <c r="A6003" s="6" t="s">
        <v>6719</v>
      </c>
      <c r="B6003" s="6" t="s">
        <v>6720</v>
      </c>
      <c r="C6003" s="6" t="s">
        <v>6495</v>
      </c>
      <c r="D6003" s="6" t="s">
        <v>6543</v>
      </c>
      <c r="E6003" s="2">
        <v>347612</v>
      </c>
      <c r="F6003" s="4" t="str">
        <f>IF(B6003=B6002,"",B6003)</f>
        <v>TalÄ</v>
      </c>
    </row>
    <row r="6004" spans="1:6" ht="15.75" customHeight="1">
      <c r="A6004" s="6" t="s">
        <v>27165</v>
      </c>
      <c r="B6004" s="6" t="s">
        <v>27166</v>
      </c>
      <c r="C6004" s="6" t="s">
        <v>26870</v>
      </c>
      <c r="D6004" s="6" t="s">
        <v>26925</v>
      </c>
      <c r="E6004" s="2">
        <v>691936</v>
      </c>
      <c r="F6004" s="4" t="str">
        <f>IF(B6004=B6003,"",B6004)</f>
        <v>Talâ€™ne</v>
      </c>
    </row>
    <row r="6005" spans="1:6" ht="15.75" customHeight="1">
      <c r="A6005" s="5" t="s">
        <v>23168</v>
      </c>
      <c r="B6005" s="6" t="s">
        <v>23169</v>
      </c>
      <c r="C6005" s="5" t="s">
        <v>22070</v>
      </c>
      <c r="D6005" s="5" t="s">
        <v>22124</v>
      </c>
      <c r="E6005" s="2">
        <v>1490266</v>
      </c>
      <c r="F6005" s="4" t="str">
        <f>IF(B6005=B6004,"",B6005)</f>
        <v>Talâ€™menka</v>
      </c>
    </row>
    <row r="6006" spans="1:6" ht="15.75" customHeight="1">
      <c r="A6006" s="5" t="str">
        <f ca="1">IFERROR(__xludf.DUMMYFUNCTION("GOOGLETRANSLATE(B28826,""en"",""pt"")"),"Talā")</f>
        <v>Talā</v>
      </c>
      <c r="B6006" s="17" t="s">
        <v>32251</v>
      </c>
      <c r="C6006" s="17" t="s">
        <v>6495</v>
      </c>
      <c r="D6006" s="17" t="s">
        <v>32252</v>
      </c>
      <c r="E6006" s="10">
        <v>347612</v>
      </c>
      <c r="F6006" s="4" t="str">
        <f>IF(B6006=B6005,"",B6006)</f>
        <v>Talā</v>
      </c>
    </row>
    <row r="6007" spans="1:6" ht="15.75" customHeight="1">
      <c r="A6007" s="6" t="s">
        <v>18296</v>
      </c>
      <c r="B6007" s="6" t="s">
        <v>18296</v>
      </c>
      <c r="C6007" s="6" t="s">
        <v>17707</v>
      </c>
      <c r="D6007" s="6" t="s">
        <v>17746</v>
      </c>
      <c r="E6007" s="2">
        <v>3982616</v>
      </c>
      <c r="F6007" s="4" t="str">
        <f>IF(B6007=B6006,"",B6007)</f>
        <v>Tala</v>
      </c>
    </row>
    <row r="6008" spans="1:6" ht="15.75" customHeight="1">
      <c r="A6008" s="5" t="str">
        <f ca="1">IFERROR(__xludf.DUMMYFUNCTION("GOOGLETRANSLATE(B37176,""en"",""pt"")"),"Tala")</f>
        <v>Tala</v>
      </c>
      <c r="B6008" s="17" t="s">
        <v>18296</v>
      </c>
      <c r="C6008" s="17" t="s">
        <v>17707</v>
      </c>
      <c r="D6008" s="17" t="s">
        <v>17746</v>
      </c>
      <c r="E6008" s="10">
        <v>3982616</v>
      </c>
      <c r="F6008" s="4" t="str">
        <f>IF(B6008=B6007,"",B6008)</f>
        <v/>
      </c>
    </row>
    <row r="6009" spans="1:6" ht="15.75" customHeight="1">
      <c r="A6009" s="5" t="str">
        <f ca="1">IFERROR(__xludf.DUMMYFUNCTION("GOOGLETRANSLATE(B42505,""en"",""pt"")"),"Tal'ne")</f>
        <v>Tal'ne</v>
      </c>
      <c r="B6009" s="17" t="s">
        <v>35988</v>
      </c>
      <c r="C6009" s="17" t="s">
        <v>26870</v>
      </c>
      <c r="D6009" s="17" t="s">
        <v>26925</v>
      </c>
      <c r="E6009" s="10">
        <v>691936</v>
      </c>
      <c r="F6009" s="4" t="str">
        <f>IF(B6009=B6008,"",B6009)</f>
        <v>Tal’ne</v>
      </c>
    </row>
    <row r="6010" spans="1:6" ht="15.75" customHeight="1">
      <c r="A6010" s="5" t="str">
        <f ca="1">IFERROR(__xludf.DUMMYFUNCTION("GOOGLETRANSLATE(B40748,""en"",""pt"")"),"Tal'Menka")</f>
        <v>Tal'Menka</v>
      </c>
      <c r="B6010" s="17" t="s">
        <v>35534</v>
      </c>
      <c r="C6010" s="17" t="s">
        <v>22070</v>
      </c>
      <c r="D6010" s="17" t="s">
        <v>22124</v>
      </c>
      <c r="E6010" s="10">
        <v>1490266</v>
      </c>
      <c r="F6010" s="4" t="str">
        <f>IF(B6010=B6009,"",B6010)</f>
        <v>Tal’menka</v>
      </c>
    </row>
    <row r="6011" spans="1:6" ht="15.75" customHeight="1">
      <c r="A6011" s="5" t="str">
        <f ca="1">IFERROR(__xludf.DUMMYFUNCTION("GOOGLETRANSLATE(B38898,""en"",""pt"")"),"Tāl")</f>
        <v>Tāl</v>
      </c>
      <c r="B6011" s="17" t="s">
        <v>34907</v>
      </c>
      <c r="C6011" s="17" t="s">
        <v>19808</v>
      </c>
      <c r="D6011" s="17" t="s">
        <v>19811</v>
      </c>
      <c r="E6011" s="10">
        <v>1164076</v>
      </c>
      <c r="F6011" s="4" t="str">
        <f>IF(B6011=B6010,"",B6011)</f>
        <v>Tāl</v>
      </c>
    </row>
    <row r="6012" spans="1:6" ht="15.75" customHeight="1">
      <c r="A6012" s="6" t="s">
        <v>19565</v>
      </c>
      <c r="B6012" s="6" t="s">
        <v>19565</v>
      </c>
      <c r="C6012" s="6" t="s">
        <v>19294</v>
      </c>
      <c r="D6012" s="6" t="s">
        <v>19434</v>
      </c>
      <c r="E6012" s="2">
        <v>2322552</v>
      </c>
      <c r="F6012" s="4" t="str">
        <f>IF(B6012=B6011,"",B6012)</f>
        <v>Takum</v>
      </c>
    </row>
    <row r="6013" spans="1:6" ht="15.75" customHeight="1">
      <c r="A6013" s="5" t="str">
        <f ca="1">IFERROR(__xludf.DUMMYFUNCTION("GOOGLETRANSLATE(B37626,""en"",""pt"")"),"Takum")</f>
        <v>Takum</v>
      </c>
      <c r="B6013" s="17" t="s">
        <v>19565</v>
      </c>
      <c r="C6013" s="17" t="s">
        <v>19294</v>
      </c>
      <c r="D6013" s="17" t="s">
        <v>19434</v>
      </c>
      <c r="E6013" s="10">
        <v>2322552</v>
      </c>
      <c r="F6013" s="4" t="str">
        <f>IF(B6013=B6012,"",B6013)</f>
        <v/>
      </c>
    </row>
    <row r="6014" spans="1:6" ht="15.75" customHeight="1">
      <c r="A6014" s="6" t="s">
        <v>9426</v>
      </c>
      <c r="B6014" s="6" t="s">
        <v>9426</v>
      </c>
      <c r="C6014" s="6" t="s">
        <v>9365</v>
      </c>
      <c r="D6014" s="6" t="s">
        <v>6944</v>
      </c>
      <c r="E6014" s="2">
        <v>2294915</v>
      </c>
      <c r="F6014" s="4" t="str">
        <f>IF(B6014=B6013,"",B6014)</f>
        <v>Takoradi</v>
      </c>
    </row>
    <row r="6015" spans="1:6" ht="15.75" customHeight="1">
      <c r="A6015" s="5" t="str">
        <f ca="1">IFERROR(__xludf.DUMMYFUNCTION("GOOGLETRANSLATE(B30865,""en"",""pt"")"),"Takoradi")</f>
        <v>Takoradi</v>
      </c>
      <c r="B6015" s="17" t="s">
        <v>9426</v>
      </c>
      <c r="C6015" s="17" t="s">
        <v>9365</v>
      </c>
      <c r="D6015" s="17" t="s">
        <v>6944</v>
      </c>
      <c r="E6015" s="10">
        <v>2294915</v>
      </c>
      <c r="F6015" s="4" t="str">
        <f>IF(B6015=B6014,"",B6015)</f>
        <v/>
      </c>
    </row>
    <row r="6016" spans="1:6" ht="15.75" customHeight="1">
      <c r="A6016" s="5" t="s">
        <v>30154</v>
      </c>
      <c r="B6016" s="6" t="s">
        <v>30154</v>
      </c>
      <c r="C6016" s="5" t="s">
        <v>27788</v>
      </c>
      <c r="D6016" s="5" t="s">
        <v>17061</v>
      </c>
      <c r="E6016" s="2">
        <v>4370890</v>
      </c>
      <c r="F6016" s="4" t="str">
        <f>IF(B6016=B6015,"",B6016)</f>
        <v>Takoma Park</v>
      </c>
    </row>
    <row r="6017" spans="1:6" ht="15.75" customHeight="1">
      <c r="A6017" s="5" t="str">
        <f ca="1">IFERROR(__xludf.DUMMYFUNCTION("GOOGLETRANSLATE(B43339,""en"",""pt"")"),"Takoma Park")</f>
        <v>Takoma Park</v>
      </c>
      <c r="B6017" s="17" t="s">
        <v>30154</v>
      </c>
      <c r="C6017" s="17" t="s">
        <v>27788</v>
      </c>
      <c r="D6017" s="17" t="s">
        <v>17061</v>
      </c>
      <c r="E6017" s="10">
        <v>4370890</v>
      </c>
      <c r="F6017" s="4" t="str">
        <f>IF(B6017=B6016,"",B6017)</f>
        <v/>
      </c>
    </row>
    <row r="6018" spans="1:6" ht="15.75" customHeight="1">
      <c r="A6018" s="6" t="s">
        <v>16485</v>
      </c>
      <c r="B6018" s="6" t="s">
        <v>16485</v>
      </c>
      <c r="C6018" s="6" t="s">
        <v>15704</v>
      </c>
      <c r="D6018" s="6" t="s">
        <v>15705</v>
      </c>
      <c r="E6018" s="2">
        <v>2127896</v>
      </c>
      <c r="F6018" s="4" t="str">
        <f>IF(B6018=B6017,"",B6018)</f>
        <v>Takikawa</v>
      </c>
    </row>
    <row r="6019" spans="1:6" ht="15.75" customHeight="1">
      <c r="A6019" s="5" t="str">
        <f ca="1">IFERROR(__xludf.DUMMYFUNCTION("GOOGLETRANSLATE(B35820,""en"",""pt"")"),"Takikawa")</f>
        <v>Takikawa</v>
      </c>
      <c r="B6019" s="17" t="s">
        <v>16485</v>
      </c>
      <c r="C6019" s="17" t="s">
        <v>15704</v>
      </c>
      <c r="D6019" s="17" t="s">
        <v>15705</v>
      </c>
      <c r="E6019" s="10">
        <v>2127896</v>
      </c>
      <c r="F6019" s="4" t="str">
        <f>IF(B6019=B6018,"",B6019)</f>
        <v/>
      </c>
    </row>
    <row r="6020" spans="1:6" ht="15.75" customHeight="1">
      <c r="A6020" s="5" t="str">
        <f ca="1">IFERROR(__xludf.DUMMYFUNCTION("GOOGLETRANSLATE(B32047,""en"",""pt"")"),"Tāki")</f>
        <v>Tāki</v>
      </c>
      <c r="B6020" s="17" t="s">
        <v>33028</v>
      </c>
      <c r="C6020" s="17" t="s">
        <v>10178</v>
      </c>
      <c r="D6020" s="17" t="s">
        <v>10201</v>
      </c>
      <c r="E6020" s="10">
        <v>1255211</v>
      </c>
      <c r="F6020" s="4" t="str">
        <f>IF(B6020=B6019,"",B6020)</f>
        <v>Tāki</v>
      </c>
    </row>
    <row r="6021" spans="1:6" ht="15.75" customHeight="1">
      <c r="A6021" s="5" t="s">
        <v>13510</v>
      </c>
      <c r="B6021" s="6" t="s">
        <v>13510</v>
      </c>
      <c r="C6021" s="5" t="s">
        <v>10178</v>
      </c>
      <c r="D6021" s="5" t="s">
        <v>10272</v>
      </c>
      <c r="E6021" s="2">
        <v>1255212</v>
      </c>
      <c r="F6021" s="4" t="str">
        <f>IF(B6021=B6020,"",B6021)</f>
        <v>Takhatpur</v>
      </c>
    </row>
    <row r="6022" spans="1:6" ht="15.75" customHeight="1">
      <c r="A6022" s="5" t="str">
        <f ca="1">IFERROR(__xludf.DUMMYFUNCTION("GOOGLETRANSLATE(B32048,""en"",""pt"")"),"Takhatpur")</f>
        <v>Takhatpur</v>
      </c>
      <c r="B6022" s="17" t="s">
        <v>13510</v>
      </c>
      <c r="C6022" s="17" t="s">
        <v>10178</v>
      </c>
      <c r="D6022" s="17" t="s">
        <v>10272</v>
      </c>
      <c r="E6022" s="10">
        <v>1255212</v>
      </c>
      <c r="F6022" s="4" t="str">
        <f>IF(B6022=B6021,"",B6022)</f>
        <v/>
      </c>
    </row>
    <row r="6023" spans="1:6" ht="15.75" customHeight="1">
      <c r="A6023" s="5" t="s">
        <v>13509</v>
      </c>
      <c r="B6023" s="6" t="s">
        <v>13509</v>
      </c>
      <c r="C6023" s="5" t="s">
        <v>10178</v>
      </c>
      <c r="D6023" s="5" t="s">
        <v>10179</v>
      </c>
      <c r="E6023" s="2">
        <v>1255213</v>
      </c>
      <c r="F6023" s="4" t="str">
        <f>IF(B6023=B6022,"",B6023)</f>
        <v>Takhatgarh</v>
      </c>
    </row>
    <row r="6024" spans="1:6" ht="15.75" customHeight="1">
      <c r="A6024" s="5" t="str">
        <f ca="1">IFERROR(__xludf.DUMMYFUNCTION("GOOGLETRANSLATE(B32049,""en"",""pt"")"),"Takhatgarh")</f>
        <v>Takhatgarh</v>
      </c>
      <c r="B6024" s="17" t="s">
        <v>13509</v>
      </c>
      <c r="C6024" s="17" t="s">
        <v>10178</v>
      </c>
      <c r="D6024" s="17" t="s">
        <v>10179</v>
      </c>
      <c r="E6024" s="10">
        <v>1255213</v>
      </c>
      <c r="F6024" s="4" t="str">
        <f>IF(B6024=B6023,"",B6024)</f>
        <v/>
      </c>
    </row>
    <row r="6025" spans="1:6" ht="15.75" customHeight="1">
      <c r="A6025" s="6" t="s">
        <v>16484</v>
      </c>
      <c r="B6025" s="6" t="s">
        <v>16484</v>
      </c>
      <c r="C6025" s="6" t="s">
        <v>15704</v>
      </c>
      <c r="D6025" s="6" t="s">
        <v>15729</v>
      </c>
      <c r="E6025" s="2">
        <v>1850818</v>
      </c>
      <c r="F6025" s="4" t="str">
        <f>IF(B6025=B6024,"",B6025)</f>
        <v>Taketoyo</v>
      </c>
    </row>
    <row r="6026" spans="1:6" ht="15.75" customHeight="1">
      <c r="A6026" s="5" t="str">
        <f ca="1">IFERROR(__xludf.DUMMYFUNCTION("GOOGLETRANSLATE(B35253,""en"",""pt"")"),"Taketoyo")</f>
        <v>Taketoyo</v>
      </c>
      <c r="B6026" s="17" t="s">
        <v>16484</v>
      </c>
      <c r="C6026" s="17" t="s">
        <v>15704</v>
      </c>
      <c r="D6026" s="17" t="s">
        <v>15729</v>
      </c>
      <c r="E6026" s="10">
        <v>1850818</v>
      </c>
      <c r="F6026" s="4" t="str">
        <f>IF(B6026=B6025,"",B6026)</f>
        <v/>
      </c>
    </row>
    <row r="6027" spans="1:6" ht="15.75" customHeight="1">
      <c r="A6027" s="5" t="str">
        <f ca="1">IFERROR(__xludf.DUMMYFUNCTION("GOOGLETRANSLATE(B34357,""en"",""pt"")"),"Tākestān")</f>
        <v>Tākestān</v>
      </c>
      <c r="B6027" s="17" t="s">
        <v>34134</v>
      </c>
      <c r="C6027" s="17" t="s">
        <v>14240</v>
      </c>
      <c r="D6027" s="17" t="s">
        <v>34135</v>
      </c>
      <c r="E6027" s="10">
        <v>113491</v>
      </c>
      <c r="F6027" s="4" t="str">
        <f>IF(B6027=B6026,"",B6027)</f>
        <v>Tākestān</v>
      </c>
    </row>
    <row r="6028" spans="1:6" ht="15.75" customHeight="1">
      <c r="A6028" s="5" t="str">
        <f ca="1">IFERROR(__xludf.DUMMYFUNCTION("GOOGLETRANSLATE(B35254,""en"",""pt"")"),"Takeochō-takeo")</f>
        <v>Takeochō-takeo</v>
      </c>
      <c r="B6028" s="17" t="s">
        <v>34304</v>
      </c>
      <c r="C6028" s="17" t="s">
        <v>15704</v>
      </c>
      <c r="D6028" s="17" t="s">
        <v>15761</v>
      </c>
      <c r="E6028" s="10">
        <v>1850834</v>
      </c>
      <c r="F6028" s="4" t="str">
        <f>IF(B6028=B6027,"",B6028)</f>
        <v>Takeochō-takeo</v>
      </c>
    </row>
    <row r="6029" spans="1:6" ht="15.75" customHeight="1">
      <c r="A6029" s="5" t="s">
        <v>16482</v>
      </c>
      <c r="B6029" s="6" t="s">
        <v>16483</v>
      </c>
      <c r="C6029" s="5" t="s">
        <v>15704</v>
      </c>
      <c r="D6029" s="5" t="s">
        <v>15761</v>
      </c>
      <c r="E6029" s="2">
        <v>1850834</v>
      </c>
      <c r="F6029" s="4" t="str">
        <f>IF(B6029=B6028,"",B6029)</f>
        <v>TakeochÅ-takeo</v>
      </c>
    </row>
    <row r="6030" spans="1:6" ht="15.75" customHeight="1">
      <c r="A6030" s="6" t="s">
        <v>3859</v>
      </c>
      <c r="B6030" s="6" t="s">
        <v>3859</v>
      </c>
      <c r="C6030" s="6" t="s">
        <v>3838</v>
      </c>
      <c r="D6030" s="6" t="s">
        <v>3859</v>
      </c>
      <c r="E6030" s="2">
        <v>1821940</v>
      </c>
      <c r="F6030" s="4" t="str">
        <f>IF(B6030=B6029,"",B6030)</f>
        <v>Takeo</v>
      </c>
    </row>
    <row r="6031" spans="1:6" ht="15.75" customHeight="1">
      <c r="A6031" s="5" t="str">
        <f ca="1">IFERROR(__xludf.DUMMYFUNCTION("GOOGLETRANSLATE(B35961,""en"",""pt"")"),"Takeo")</f>
        <v>Takeo</v>
      </c>
      <c r="B6031" s="17" t="s">
        <v>3859</v>
      </c>
      <c r="C6031" s="17" t="s">
        <v>3838</v>
      </c>
      <c r="D6031" s="17" t="s">
        <v>3859</v>
      </c>
      <c r="E6031" s="10">
        <v>1821940</v>
      </c>
      <c r="F6031" s="4" t="str">
        <f>IF(B6031=B6030,"",B6031)</f>
        <v/>
      </c>
    </row>
    <row r="6032" spans="1:6" ht="15.75" customHeight="1">
      <c r="A6032" s="6" t="s">
        <v>26191</v>
      </c>
      <c r="B6032" s="6" t="s">
        <v>26191</v>
      </c>
      <c r="C6032" s="6" t="s">
        <v>26090</v>
      </c>
      <c r="D6032" s="6" t="s">
        <v>26108</v>
      </c>
      <c r="E6032" s="2">
        <v>2464804</v>
      </c>
      <c r="F6032" s="4" t="str">
        <f>IF(B6032=B6031,"",B6032)</f>
        <v>Takelsa</v>
      </c>
    </row>
    <row r="6033" spans="1:6" ht="15.75" customHeight="1">
      <c r="A6033" s="5" t="str">
        <f ca="1">IFERROR(__xludf.DUMMYFUNCTION("GOOGLETRANSLATE(B41796,""en"",""pt"")"),"Takelsa")</f>
        <v>Takelsa</v>
      </c>
      <c r="B6033" s="17" t="s">
        <v>26191</v>
      </c>
      <c r="C6033" s="17" t="s">
        <v>26090</v>
      </c>
      <c r="D6033" s="17" t="s">
        <v>35796</v>
      </c>
      <c r="E6033" s="10">
        <v>2464804</v>
      </c>
      <c r="F6033" s="4" t="str">
        <f>IF(B6033=B6032,"",B6033)</f>
        <v/>
      </c>
    </row>
    <row r="6034" spans="1:6" ht="15.75" customHeight="1">
      <c r="A6034" s="6" t="s">
        <v>16481</v>
      </c>
      <c r="B6034" s="6" t="s">
        <v>16481</v>
      </c>
      <c r="C6034" s="6" t="s">
        <v>15704</v>
      </c>
      <c r="D6034" s="6" t="s">
        <v>15789</v>
      </c>
      <c r="E6034" s="2">
        <v>1850860</v>
      </c>
      <c r="F6034" s="4" t="str">
        <f>IF(B6034=B6033,"",B6034)</f>
        <v>Takehara</v>
      </c>
    </row>
    <row r="6035" spans="1:6" ht="15.75" customHeight="1">
      <c r="A6035" s="5" t="str">
        <f ca="1">IFERROR(__xludf.DUMMYFUNCTION("GOOGLETRANSLATE(B35255,""en"",""pt"")"),"Takehara")</f>
        <v>Takehara</v>
      </c>
      <c r="B6035" s="17" t="s">
        <v>16481</v>
      </c>
      <c r="C6035" s="17" t="s">
        <v>15704</v>
      </c>
      <c r="D6035" s="17" t="s">
        <v>15789</v>
      </c>
      <c r="E6035" s="10">
        <v>1850860</v>
      </c>
      <c r="F6035" s="4" t="str">
        <f>IF(B6035=B6034,"",B6035)</f>
        <v/>
      </c>
    </row>
    <row r="6036" spans="1:6" ht="15.75" customHeight="1">
      <c r="A6036" s="6" t="s">
        <v>16480</v>
      </c>
      <c r="B6036" s="6" t="s">
        <v>16480</v>
      </c>
      <c r="C6036" s="6" t="s">
        <v>15704</v>
      </c>
      <c r="D6036" s="6" t="s">
        <v>15879</v>
      </c>
      <c r="E6036" s="2">
        <v>1850872</v>
      </c>
      <c r="F6036" s="4" t="str">
        <f>IF(B6036=B6035,"",B6036)</f>
        <v>Takefu</v>
      </c>
    </row>
    <row r="6037" spans="1:6" ht="15.75" customHeight="1">
      <c r="A6037" s="5" t="str">
        <f ca="1">IFERROR(__xludf.DUMMYFUNCTION("GOOGLETRANSLATE(B35256,""en"",""pt"")"),"Takefu")</f>
        <v>Takefu</v>
      </c>
      <c r="B6037" s="17" t="s">
        <v>16480</v>
      </c>
      <c r="C6037" s="17" t="s">
        <v>15704</v>
      </c>
      <c r="D6037" s="17" t="s">
        <v>15879</v>
      </c>
      <c r="E6037" s="10">
        <v>1850872</v>
      </c>
      <c r="F6037" s="4" t="str">
        <f>IF(B6037=B6036,"",B6037)</f>
        <v/>
      </c>
    </row>
    <row r="6038" spans="1:6" ht="15.75" customHeight="1">
      <c r="A6038" s="5" t="s">
        <v>16479</v>
      </c>
      <c r="B6038" s="6" t="s">
        <v>16479</v>
      </c>
      <c r="C6038" s="5" t="s">
        <v>15704</v>
      </c>
      <c r="D6038" s="5" t="s">
        <v>15758</v>
      </c>
      <c r="E6038" s="2">
        <v>1850878</v>
      </c>
      <c r="F6038" s="4" t="str">
        <f>IF(B6038=B6037,"",B6038)</f>
        <v>Takedamachi</v>
      </c>
    </row>
    <row r="6039" spans="1:6" ht="15.75" customHeight="1">
      <c r="A6039" s="5" t="str">
        <f ca="1">IFERROR(__xludf.DUMMYFUNCTION("GOOGLETRANSLATE(B35257,""en"",""pt"")"),"Takedamachi")</f>
        <v>Takedamachi</v>
      </c>
      <c r="B6039" s="17" t="s">
        <v>16479</v>
      </c>
      <c r="C6039" s="17" t="s">
        <v>15704</v>
      </c>
      <c r="D6039" s="17" t="s">
        <v>15758</v>
      </c>
      <c r="E6039" s="10">
        <v>1850878</v>
      </c>
      <c r="F6039" s="4" t="str">
        <f>IF(B6039=B6038,"",B6039)</f>
        <v/>
      </c>
    </row>
    <row r="6040" spans="1:6" ht="15.75" customHeight="1">
      <c r="A6040" s="6" t="s">
        <v>16478</v>
      </c>
      <c r="B6040" s="6" t="s">
        <v>16478</v>
      </c>
      <c r="C6040" s="6" t="s">
        <v>15704</v>
      </c>
      <c r="D6040" s="6" t="s">
        <v>15748</v>
      </c>
      <c r="E6040" s="2">
        <v>1850892</v>
      </c>
      <c r="F6040" s="4" t="str">
        <f>IF(B6040=B6039,"",B6040)</f>
        <v>Takayama</v>
      </c>
    </row>
    <row r="6041" spans="1:6" ht="15.75" customHeight="1">
      <c r="A6041" s="5" t="str">
        <f ca="1">IFERROR(__xludf.DUMMYFUNCTION("GOOGLETRANSLATE(B35258,""en"",""pt"")"),"Takayama")</f>
        <v>Takayama</v>
      </c>
      <c r="B6041" s="17" t="s">
        <v>16478</v>
      </c>
      <c r="C6041" s="17" t="s">
        <v>15704</v>
      </c>
      <c r="D6041" s="17" t="s">
        <v>15748</v>
      </c>
      <c r="E6041" s="10">
        <v>1850892</v>
      </c>
      <c r="F6041" s="4" t="str">
        <f>IF(B6041=B6040,"",B6041)</f>
        <v/>
      </c>
    </row>
    <row r="6042" spans="1:6" ht="15.75" customHeight="1">
      <c r="A6042" s="6" t="s">
        <v>16477</v>
      </c>
      <c r="B6042" s="6" t="s">
        <v>16477</v>
      </c>
      <c r="C6042" s="6" t="s">
        <v>15704</v>
      </c>
      <c r="D6042" s="6" t="s">
        <v>15853</v>
      </c>
      <c r="E6042" s="2">
        <v>1850910</v>
      </c>
      <c r="F6042" s="4" t="str">
        <f>IF(B6042=B6041,"",B6042)</f>
        <v>Takatsuki</v>
      </c>
    </row>
    <row r="6043" spans="1:6" ht="15.75" customHeight="1">
      <c r="A6043" s="5" t="str">
        <f ca="1">IFERROR(__xludf.DUMMYFUNCTION("GOOGLETRANSLATE(B35259,""en"",""pt"")"),"Takatsuki")</f>
        <v>Takatsuki</v>
      </c>
      <c r="B6043" s="17" t="s">
        <v>16477</v>
      </c>
      <c r="C6043" s="17" t="s">
        <v>15704</v>
      </c>
      <c r="D6043" s="17" t="s">
        <v>34295</v>
      </c>
      <c r="E6043" s="10">
        <v>1850910</v>
      </c>
      <c r="F6043" s="4" t="str">
        <f>IF(B6043=B6042,"",B6043)</f>
        <v/>
      </c>
    </row>
    <row r="6044" spans="1:6" ht="15.75" customHeight="1">
      <c r="A6044" s="6" t="s">
        <v>16476</v>
      </c>
      <c r="B6044" s="6" t="s">
        <v>16476</v>
      </c>
      <c r="C6044" s="6" t="s">
        <v>15704</v>
      </c>
      <c r="D6044" s="6" t="s">
        <v>15731</v>
      </c>
      <c r="E6044" s="2">
        <v>1851002</v>
      </c>
      <c r="F6044" s="4" t="str">
        <f>IF(B6044=B6043,"",B6044)</f>
        <v>Takasaki</v>
      </c>
    </row>
    <row r="6045" spans="1:6" ht="15.75" customHeight="1">
      <c r="A6045" s="5" t="str">
        <f ca="1">IFERROR(__xludf.DUMMYFUNCTION("GOOGLETRANSLATE(B35260,""en"",""pt"")"),"Takasaki")</f>
        <v>Takasaki</v>
      </c>
      <c r="B6045" s="17" t="s">
        <v>16476</v>
      </c>
      <c r="C6045" s="17" t="s">
        <v>15704</v>
      </c>
      <c r="D6045" s="17" t="s">
        <v>15731</v>
      </c>
      <c r="E6045" s="10">
        <v>1851002</v>
      </c>
      <c r="F6045" s="4" t="str">
        <f>IF(B6045=B6044,"",B6045)</f>
        <v/>
      </c>
    </row>
    <row r="6046" spans="1:6" ht="15.75" customHeight="1">
      <c r="A6046" s="5" t="s">
        <v>16475</v>
      </c>
      <c r="B6046" s="6" t="s">
        <v>16475</v>
      </c>
      <c r="C6046" s="5" t="s">
        <v>15704</v>
      </c>
      <c r="D6046" s="5" t="s">
        <v>15712</v>
      </c>
      <c r="E6046" s="2">
        <v>1851012</v>
      </c>
      <c r="F6046" s="4" t="str">
        <f>IF(B6046=B6045,"",B6046)</f>
        <v>Takarazuka</v>
      </c>
    </row>
    <row r="6047" spans="1:6" ht="15.75" customHeight="1">
      <c r="A6047" s="5" t="str">
        <f ca="1">IFERROR(__xludf.DUMMYFUNCTION("GOOGLETRANSLATE(B35261,""en"",""pt"")"),"Takarazuka")</f>
        <v>Takarazuka</v>
      </c>
      <c r="B6047" s="17" t="s">
        <v>16475</v>
      </c>
      <c r="C6047" s="17" t="s">
        <v>15704</v>
      </c>
      <c r="D6047" s="17" t="s">
        <v>34291</v>
      </c>
      <c r="E6047" s="10">
        <v>1851012</v>
      </c>
      <c r="F6047" s="4" t="str">
        <f>IF(B6047=B6046,"",B6047)</f>
        <v/>
      </c>
    </row>
    <row r="6048" spans="1:6" ht="15.75" customHeight="1">
      <c r="A6048" s="6" t="s">
        <v>16474</v>
      </c>
      <c r="B6048" s="6" t="s">
        <v>16474</v>
      </c>
      <c r="C6048" s="6" t="s">
        <v>15704</v>
      </c>
      <c r="D6048" s="6" t="s">
        <v>15881</v>
      </c>
      <c r="E6048" s="2">
        <v>1851032</v>
      </c>
      <c r="F6048" s="4" t="str">
        <f>IF(B6048=B6047,"",B6048)</f>
        <v>Takaoka</v>
      </c>
    </row>
    <row r="6049" spans="1:6" ht="15.75" customHeight="1">
      <c r="A6049" s="5" t="str">
        <f ca="1">IFERROR(__xludf.DUMMYFUNCTION("GOOGLETRANSLATE(B35262,""en"",""pt"")"),"Takaoka")</f>
        <v>Takaoka</v>
      </c>
      <c r="B6049" s="17" t="s">
        <v>16474</v>
      </c>
      <c r="C6049" s="17" t="s">
        <v>15704</v>
      </c>
      <c r="D6049" s="17" t="s">
        <v>15881</v>
      </c>
      <c r="E6049" s="10">
        <v>1851032</v>
      </c>
      <c r="F6049" s="4" t="str">
        <f>IF(B6049=B6048,"",B6049)</f>
        <v/>
      </c>
    </row>
    <row r="6050" spans="1:6" ht="15.75" customHeight="1">
      <c r="A6050" s="6" t="s">
        <v>16473</v>
      </c>
      <c r="B6050" s="6" t="s">
        <v>16473</v>
      </c>
      <c r="C6050" s="6" t="s">
        <v>15704</v>
      </c>
      <c r="D6050" s="6" t="s">
        <v>15716</v>
      </c>
      <c r="E6050" s="2">
        <v>2127910</v>
      </c>
      <c r="F6050" s="4" t="str">
        <f>IF(B6050=B6049,"",B6050)</f>
        <v>Takanosu</v>
      </c>
    </row>
    <row r="6051" spans="1:6" ht="15.75" customHeight="1">
      <c r="A6051" s="5" t="str">
        <f ca="1">IFERROR(__xludf.DUMMYFUNCTION("GOOGLETRANSLATE(B35821,""en"",""pt"")"),"Takanosu")</f>
        <v>Takanosu</v>
      </c>
      <c r="B6051" s="17" t="s">
        <v>16473</v>
      </c>
      <c r="C6051" s="17" t="s">
        <v>15704</v>
      </c>
      <c r="D6051" s="17" t="s">
        <v>15716</v>
      </c>
      <c r="E6051" s="10">
        <v>2127910</v>
      </c>
      <c r="F6051" s="4" t="str">
        <f>IF(B6051=B6050,"",B6051)</f>
        <v/>
      </c>
    </row>
    <row r="6052" spans="1:6" ht="15.75" customHeight="1">
      <c r="A6052" s="6" t="s">
        <v>16472</v>
      </c>
      <c r="B6052" s="6" t="s">
        <v>16472</v>
      </c>
      <c r="C6052" s="6" t="s">
        <v>15704</v>
      </c>
      <c r="D6052" s="6" t="s">
        <v>16148</v>
      </c>
      <c r="E6052" s="2">
        <v>1851068</v>
      </c>
      <c r="F6052" s="4" t="str">
        <f>IF(B6052=B6051,"",B6052)</f>
        <v>Takanabe</v>
      </c>
    </row>
    <row r="6053" spans="1:6" ht="15.75" customHeight="1">
      <c r="A6053" s="5" t="str">
        <f ca="1">IFERROR(__xludf.DUMMYFUNCTION("GOOGLETRANSLATE(B35263,""en"",""pt"")"),"Takanabe")</f>
        <v>Takanabe</v>
      </c>
      <c r="B6053" s="17" t="s">
        <v>16472</v>
      </c>
      <c r="C6053" s="17" t="s">
        <v>15704</v>
      </c>
      <c r="D6053" s="17" t="s">
        <v>16148</v>
      </c>
      <c r="E6053" s="10">
        <v>1851068</v>
      </c>
      <c r="F6053" s="4" t="str">
        <f>IF(B6053=B6052,"",B6053)</f>
        <v/>
      </c>
    </row>
    <row r="6054" spans="1:6" ht="15.75" customHeight="1">
      <c r="A6054" s="5" t="s">
        <v>16471</v>
      </c>
      <c r="B6054" s="6" t="s">
        <v>16471</v>
      </c>
      <c r="C6054" s="5" t="s">
        <v>15704</v>
      </c>
      <c r="D6054" s="5" t="s">
        <v>16087</v>
      </c>
      <c r="E6054" s="2">
        <v>1851100</v>
      </c>
      <c r="F6054" s="4" t="str">
        <f>IF(B6054=B6053,"",B6054)</f>
        <v>Takamatsu</v>
      </c>
    </row>
    <row r="6055" spans="1:6" ht="15.75" customHeight="1">
      <c r="A6055" s="5" t="str">
        <f ca="1">IFERROR(__xludf.DUMMYFUNCTION("GOOGLETRANSLATE(B35264,""en"",""pt"")"),"Takamatsu")</f>
        <v>Takamatsu</v>
      </c>
      <c r="B6055" s="17" t="s">
        <v>16471</v>
      </c>
      <c r="C6055" s="17" t="s">
        <v>15704</v>
      </c>
      <c r="D6055" s="17" t="s">
        <v>16087</v>
      </c>
      <c r="E6055" s="10">
        <v>1851100</v>
      </c>
      <c r="F6055" s="4" t="str">
        <f>IF(B6055=B6054,"",B6055)</f>
        <v/>
      </c>
    </row>
    <row r="6056" spans="1:6" ht="15.75" customHeight="1">
      <c r="A6056" s="6" t="s">
        <v>16470</v>
      </c>
      <c r="B6056" s="6" t="s">
        <v>16470</v>
      </c>
      <c r="C6056" s="6" t="s">
        <v>15704</v>
      </c>
      <c r="D6056" s="6" t="s">
        <v>15853</v>
      </c>
      <c r="E6056" s="2">
        <v>1851125</v>
      </c>
      <c r="F6056" s="4" t="str">
        <f>IF(B6056=B6055,"",B6056)</f>
        <v>Takaishi</v>
      </c>
    </row>
    <row r="6057" spans="1:6" ht="15.75" customHeight="1">
      <c r="A6057" s="5" t="str">
        <f ca="1">IFERROR(__xludf.DUMMYFUNCTION("GOOGLETRANSLATE(B35265,""en"",""pt"")"),"Takaishi")</f>
        <v>Takaishi</v>
      </c>
      <c r="B6057" s="17" t="s">
        <v>16470</v>
      </c>
      <c r="C6057" s="17" t="s">
        <v>15704</v>
      </c>
      <c r="D6057" s="17" t="s">
        <v>34295</v>
      </c>
      <c r="E6057" s="10">
        <v>1851125</v>
      </c>
      <c r="F6057" s="4" t="str">
        <f>IF(B6057=B6056,"",B6057)</f>
        <v/>
      </c>
    </row>
    <row r="6058" spans="1:6" ht="15.75" customHeight="1">
      <c r="A6058" s="6" t="s">
        <v>16469</v>
      </c>
      <c r="B6058" s="6" t="s">
        <v>16469</v>
      </c>
      <c r="C6058" s="6" t="s">
        <v>15704</v>
      </c>
      <c r="D6058" s="6" t="s">
        <v>15951</v>
      </c>
      <c r="E6058" s="2">
        <v>2110891</v>
      </c>
      <c r="F6058" s="4" t="str">
        <f>IF(B6058=B6057,"",B6058)</f>
        <v>Takahata</v>
      </c>
    </row>
    <row r="6059" spans="1:6" ht="15.75" customHeight="1">
      <c r="A6059" s="5" t="str">
        <f ca="1">IFERROR(__xludf.DUMMYFUNCTION("GOOGLETRANSLATE(B35726,""en"",""pt"")"),"Takahata")</f>
        <v>Takahata</v>
      </c>
      <c r="B6059" s="17" t="s">
        <v>16469</v>
      </c>
      <c r="C6059" s="17" t="s">
        <v>15704</v>
      </c>
      <c r="D6059" s="17" t="s">
        <v>15951</v>
      </c>
      <c r="E6059" s="10">
        <v>2110891</v>
      </c>
      <c r="F6059" s="4" t="str">
        <f>IF(B6059=B6058,"",B6059)</f>
        <v/>
      </c>
    </row>
    <row r="6060" spans="1:6" ht="15.75" customHeight="1">
      <c r="A6060" s="6" t="s">
        <v>16468</v>
      </c>
      <c r="B6060" s="6" t="s">
        <v>16468</v>
      </c>
      <c r="C6060" s="6" t="s">
        <v>15704</v>
      </c>
      <c r="D6060" s="6" t="s">
        <v>15981</v>
      </c>
      <c r="E6060" s="2">
        <v>1851137</v>
      </c>
      <c r="F6060" s="4" t="str">
        <f>IF(B6060=B6059,"",B6060)</f>
        <v>Takahashi</v>
      </c>
    </row>
    <row r="6061" spans="1:6" ht="15.75" customHeight="1">
      <c r="A6061" s="5" t="str">
        <f ca="1">IFERROR(__xludf.DUMMYFUNCTION("GOOGLETRANSLATE(B35266,""en"",""pt"")"),"Takahashi")</f>
        <v>Takahashi</v>
      </c>
      <c r="B6061" s="17" t="s">
        <v>16468</v>
      </c>
      <c r="C6061" s="17" t="s">
        <v>15704</v>
      </c>
      <c r="D6061" s="17" t="s">
        <v>15981</v>
      </c>
      <c r="E6061" s="10">
        <v>1851137</v>
      </c>
      <c r="F6061" s="4" t="str">
        <f>IF(B6061=B6060,"",B6061)</f>
        <v/>
      </c>
    </row>
    <row r="6062" spans="1:6" ht="15.75" customHeight="1">
      <c r="A6062" s="5" t="s">
        <v>16467</v>
      </c>
      <c r="B6062" s="6" t="s">
        <v>16467</v>
      </c>
      <c r="C6062" s="5" t="s">
        <v>15704</v>
      </c>
      <c r="D6062" s="5" t="s">
        <v>15729</v>
      </c>
      <c r="E6062" s="2">
        <v>1851155</v>
      </c>
      <c r="F6062" s="4" t="str">
        <f>IF(B6062=B6061,"",B6062)</f>
        <v>Takahama</v>
      </c>
    </row>
    <row r="6063" spans="1:6" ht="15.75" customHeight="1">
      <c r="A6063" s="5" t="str">
        <f ca="1">IFERROR(__xludf.DUMMYFUNCTION("GOOGLETRANSLATE(B35267,""en"",""pt"")"),"Takahama")</f>
        <v>Takahama</v>
      </c>
      <c r="B6063" s="17" t="s">
        <v>16467</v>
      </c>
      <c r="C6063" s="17" t="s">
        <v>15704</v>
      </c>
      <c r="D6063" s="17" t="s">
        <v>15729</v>
      </c>
      <c r="E6063" s="10">
        <v>1851155</v>
      </c>
      <c r="F6063" s="4" t="str">
        <f>IF(B6063=B6062,"",B6063)</f>
        <v/>
      </c>
    </row>
    <row r="6064" spans="1:6" ht="15.75" customHeight="1">
      <c r="A6064" s="6" t="s">
        <v>16466</v>
      </c>
      <c r="B6064" s="6" t="s">
        <v>16466</v>
      </c>
      <c r="C6064" s="6" t="s">
        <v>15704</v>
      </c>
      <c r="D6064" s="6" t="s">
        <v>15724</v>
      </c>
      <c r="E6064" s="2">
        <v>2110893</v>
      </c>
      <c r="F6064" s="4" t="str">
        <f>IF(B6064=B6063,"",B6064)</f>
        <v>Takahagi</v>
      </c>
    </row>
    <row r="6065" spans="1:6" ht="15.75" customHeight="1">
      <c r="A6065" s="5" t="str">
        <f ca="1">IFERROR(__xludf.DUMMYFUNCTION("GOOGLETRANSLATE(B35727,""en"",""pt"")"),"Takahagi")</f>
        <v>Takahagi</v>
      </c>
      <c r="B6065" s="17" t="s">
        <v>16466</v>
      </c>
      <c r="C6065" s="17" t="s">
        <v>15704</v>
      </c>
      <c r="D6065" s="17" t="s">
        <v>15724</v>
      </c>
      <c r="E6065" s="10">
        <v>2110893</v>
      </c>
      <c r="F6065" s="4" t="str">
        <f>IF(B6065=B6064,"",B6065)</f>
        <v/>
      </c>
    </row>
    <row r="6066" spans="1:6" ht="15.75" customHeight="1">
      <c r="A6066" s="5" t="str">
        <f ca="1">IFERROR(__xludf.DUMMYFUNCTION("GOOGLETRANSLATE(B34358,""en"",""pt"")"),"Takāb")</f>
        <v>Takāb</v>
      </c>
      <c r="B6066" s="17" t="s">
        <v>34136</v>
      </c>
      <c r="C6066" s="17" t="s">
        <v>14240</v>
      </c>
      <c r="D6066" s="17" t="s">
        <v>34137</v>
      </c>
      <c r="E6066" s="10">
        <v>113508</v>
      </c>
      <c r="F6066" s="4" t="str">
        <f>IF(B6066=B6065,"",B6066)</f>
        <v>Takāb</v>
      </c>
    </row>
    <row r="6067" spans="1:6" ht="15.75" customHeight="1">
      <c r="A6067" s="6" t="s">
        <v>14573</v>
      </c>
      <c r="B6067" s="6" t="s">
        <v>14574</v>
      </c>
      <c r="C6067" s="6" t="s">
        <v>14240</v>
      </c>
      <c r="D6067" s="6" t="s">
        <v>14302</v>
      </c>
      <c r="E6067" s="2">
        <v>113508</v>
      </c>
      <c r="F6067" s="4" t="str">
        <f>IF(B6067=B6066,"",B6067)</f>
        <v>TakÄb</v>
      </c>
    </row>
    <row r="6068" spans="1:6" ht="15.75" customHeight="1">
      <c r="A6068" s="6" t="s">
        <v>26004</v>
      </c>
      <c r="B6068" s="6" t="s">
        <v>26004</v>
      </c>
      <c r="C6068" s="6" t="s">
        <v>25771</v>
      </c>
      <c r="D6068" s="6" t="s">
        <v>25942</v>
      </c>
      <c r="E6068" s="2">
        <v>1605957</v>
      </c>
      <c r="F6068" s="4" t="str">
        <f>IF(B6068=B6067,"",B6068)</f>
        <v>Tak Bai</v>
      </c>
    </row>
    <row r="6069" spans="1:6" ht="15.75" customHeight="1">
      <c r="A6069" s="5" t="str">
        <f ca="1">IFERROR(__xludf.DUMMYFUNCTION("GOOGLETRANSLATE(B41598,""en"",""pt"")"),"Tak Bai")</f>
        <v>Tak Bai</v>
      </c>
      <c r="B6069" s="17" t="s">
        <v>26004</v>
      </c>
      <c r="C6069" s="17" t="s">
        <v>25771</v>
      </c>
      <c r="D6069" s="17" t="s">
        <v>25942</v>
      </c>
      <c r="E6069" s="10">
        <v>1605957</v>
      </c>
      <c r="F6069" s="4" t="str">
        <f>IF(B6069=B6068,"",B6069)</f>
        <v/>
      </c>
    </row>
    <row r="6070" spans="1:6" ht="15.75" customHeight="1">
      <c r="A6070" s="6" t="s">
        <v>25817</v>
      </c>
      <c r="B6070" s="6" t="s">
        <v>25817</v>
      </c>
      <c r="C6070" s="6" t="s">
        <v>25771</v>
      </c>
      <c r="D6070" s="6" t="s">
        <v>25817</v>
      </c>
      <c r="E6070" s="2">
        <v>1150490</v>
      </c>
      <c r="F6070" s="4" t="str">
        <f>IF(B6070=B6069,"",B6070)</f>
        <v>Tak</v>
      </c>
    </row>
    <row r="6071" spans="1:6" ht="15.75" customHeight="1">
      <c r="A6071" s="5" t="str">
        <f ca="1">IFERROR(__xludf.DUMMYFUNCTION("GOOGLETRANSLATE(B41521,""en"",""pt"")"),"Tak")</f>
        <v>Tak</v>
      </c>
      <c r="B6071" s="17" t="s">
        <v>25817</v>
      </c>
      <c r="C6071" s="17" t="s">
        <v>25771</v>
      </c>
      <c r="D6071" s="17" t="s">
        <v>25817</v>
      </c>
      <c r="E6071" s="10">
        <v>1150490</v>
      </c>
      <c r="F6071" s="4" t="str">
        <f>IF(B6071=B6070,"",B6071)</f>
        <v/>
      </c>
    </row>
    <row r="6072" spans="1:6" ht="15.75" customHeight="1">
      <c r="A6072" s="5" t="str">
        <f ca="1">IFERROR(__xludf.DUMMYFUNCTION("GOOGLETRANSLATE(B32050,""en"",""pt"")"),"Tājpur")</f>
        <v>Tājpur</v>
      </c>
      <c r="B6072" s="17" t="s">
        <v>33029</v>
      </c>
      <c r="C6072" s="17" t="s">
        <v>10178</v>
      </c>
      <c r="D6072" s="17" t="s">
        <v>10193</v>
      </c>
      <c r="E6072" s="10">
        <v>1255224</v>
      </c>
      <c r="F6072" s="4" t="str">
        <f>IF(B6072=B6071,"",B6072)</f>
        <v>Tājpur</v>
      </c>
    </row>
    <row r="6073" spans="1:6" ht="15.75" customHeight="1">
      <c r="A6073" s="6" t="s">
        <v>16465</v>
      </c>
      <c r="B6073" s="6" t="s">
        <v>16465</v>
      </c>
      <c r="C6073" s="6" t="s">
        <v>15704</v>
      </c>
      <c r="D6073" s="6" t="s">
        <v>15748</v>
      </c>
      <c r="E6073" s="2">
        <v>1851193</v>
      </c>
      <c r="F6073" s="4" t="str">
        <f>IF(B6073=B6072,"",B6073)</f>
        <v>Tajimi</v>
      </c>
    </row>
    <row r="6074" spans="1:6" ht="15.75" customHeight="1">
      <c r="A6074" s="5" t="str">
        <f ca="1">IFERROR(__xludf.DUMMYFUNCTION("GOOGLETRANSLATE(B35269,""en"",""pt"")"),"Tajimi")</f>
        <v>Tajimi</v>
      </c>
      <c r="B6074" s="17" t="s">
        <v>16465</v>
      </c>
      <c r="C6074" s="17" t="s">
        <v>15704</v>
      </c>
      <c r="D6074" s="17" t="s">
        <v>15748</v>
      </c>
      <c r="E6074" s="10">
        <v>1851193</v>
      </c>
      <c r="F6074" s="4" t="str">
        <f>IF(B6074=B6073,"",B6074)</f>
        <v/>
      </c>
    </row>
    <row r="6075" spans="1:6" ht="15.75" customHeight="1">
      <c r="A6075" s="5" t="s">
        <v>26190</v>
      </c>
      <c r="B6075" s="6" t="s">
        <v>26190</v>
      </c>
      <c r="C6075" s="5" t="s">
        <v>26090</v>
      </c>
      <c r="D6075" s="5" t="s">
        <v>26128</v>
      </c>
      <c r="E6075" s="2">
        <v>2464809</v>
      </c>
      <c r="F6075" s="4" t="str">
        <f>IF(B6075=B6074,"",B6075)</f>
        <v>Tajerouine</v>
      </c>
    </row>
    <row r="6076" spans="1:6" ht="15.75" customHeight="1">
      <c r="A6076" s="5" t="str">
        <f ca="1">IFERROR(__xludf.DUMMYFUNCTION("GOOGLETRANSLATE(B41797,""en"",""pt"")"),"Tajerouine")</f>
        <v>Tajerouine</v>
      </c>
      <c r="B6076" s="17" t="s">
        <v>26190</v>
      </c>
      <c r="C6076" s="17" t="s">
        <v>26090</v>
      </c>
      <c r="D6076" s="17" t="s">
        <v>26128</v>
      </c>
      <c r="E6076" s="10">
        <v>2464809</v>
      </c>
      <c r="F6076" s="4" t="str">
        <f>IF(B6076=B6075,"",B6076)</f>
        <v/>
      </c>
    </row>
    <row r="6077" spans="1:6" ht="15.75" customHeight="1">
      <c r="A6077" s="6" t="s">
        <v>5119</v>
      </c>
      <c r="B6077" s="6" t="s">
        <v>5119</v>
      </c>
      <c r="C6077" s="6" t="s">
        <v>4487</v>
      </c>
      <c r="D6077" s="6" t="s">
        <v>4535</v>
      </c>
      <c r="E6077" s="2">
        <v>1793505</v>
      </c>
      <c r="F6077" s="4" t="str">
        <f>IF(B6077=B6076,"",B6077)</f>
        <v>Taizhou</v>
      </c>
    </row>
    <row r="6078" spans="1:6" ht="15.75" customHeight="1">
      <c r="A6078" s="5" t="str">
        <f ca="1">IFERROR(__xludf.DUMMYFUNCTION("GOOGLETRANSLATE(B26245,""en"",""pt"")"),"Taizhou")</f>
        <v>Taizhou</v>
      </c>
      <c r="B6078" s="17" t="s">
        <v>5119</v>
      </c>
      <c r="C6078" s="17" t="s">
        <v>4487</v>
      </c>
      <c r="D6078" s="17" t="s">
        <v>4535</v>
      </c>
      <c r="E6078" s="10">
        <v>1793505</v>
      </c>
      <c r="F6078" s="4" t="str">
        <f>IF(B6078=B6077,"",B6078)</f>
        <v/>
      </c>
    </row>
    <row r="6079" spans="1:6" ht="15.75" customHeight="1">
      <c r="A6079" s="6" t="s">
        <v>5118</v>
      </c>
      <c r="B6079" s="6" t="s">
        <v>5118</v>
      </c>
      <c r="C6079" s="6" t="s">
        <v>4487</v>
      </c>
      <c r="D6079" s="6" t="s">
        <v>4581</v>
      </c>
      <c r="E6079" s="2">
        <v>1793511</v>
      </c>
      <c r="F6079" s="4" t="str">
        <f>IF(B6079=B6078,"",B6079)</f>
        <v>Taiyuan</v>
      </c>
    </row>
    <row r="6080" spans="1:6" ht="15.75" customHeight="1">
      <c r="A6080" s="5" t="str">
        <f ca="1">IFERROR(__xludf.DUMMYFUNCTION("GOOGLETRANSLATE(B26246,""en"",""pt"")"),"Taiyuan")</f>
        <v>Taiyuan</v>
      </c>
      <c r="B6080" s="17" t="s">
        <v>5118</v>
      </c>
      <c r="C6080" s="17" t="s">
        <v>4487</v>
      </c>
      <c r="D6080" s="17" t="s">
        <v>4581</v>
      </c>
      <c r="E6080" s="10">
        <v>1793511</v>
      </c>
      <c r="F6080" s="4" t="str">
        <f>IF(B6080=B6079,"",B6080)</f>
        <v/>
      </c>
    </row>
    <row r="6081" spans="1:6" ht="15.75" customHeight="1">
      <c r="A6081" s="6" t="s">
        <v>5117</v>
      </c>
      <c r="B6081" s="6" t="s">
        <v>5117</v>
      </c>
      <c r="C6081" s="6" t="s">
        <v>4487</v>
      </c>
      <c r="D6081" s="6" t="s">
        <v>4535</v>
      </c>
      <c r="E6081" s="2">
        <v>1793533</v>
      </c>
      <c r="F6081" s="4" t="str">
        <f>IF(B6081=B6080,"",B6081)</f>
        <v>Taixing</v>
      </c>
    </row>
    <row r="6082" spans="1:6" ht="15.75" customHeight="1">
      <c r="A6082" s="5" t="str">
        <f ca="1">IFERROR(__xludf.DUMMYFUNCTION("GOOGLETRANSLATE(B26247,""en"",""pt"")"),"Taixing")</f>
        <v>Taixing</v>
      </c>
      <c r="B6082" s="17" t="s">
        <v>5117</v>
      </c>
      <c r="C6082" s="17" t="s">
        <v>4487</v>
      </c>
      <c r="D6082" s="17" t="s">
        <v>4535</v>
      </c>
      <c r="E6082" s="10">
        <v>1793533</v>
      </c>
      <c r="F6082" s="4" t="str">
        <f>IF(B6082=B6081,"",B6082)</f>
        <v/>
      </c>
    </row>
    <row r="6083" spans="1:6" ht="15.75" customHeight="1">
      <c r="A6083" s="5" t="s">
        <v>25518</v>
      </c>
      <c r="B6083" s="6" t="s">
        <v>25519</v>
      </c>
      <c r="C6083" s="5" t="s">
        <v>25502</v>
      </c>
      <c r="D6083" s="5" t="s">
        <v>25502</v>
      </c>
      <c r="E6083" s="2">
        <v>6949678</v>
      </c>
      <c r="F6083" s="4" t="str">
        <f>IF(B6083=B6082,"",B6083)</f>
        <v>Taitung City</v>
      </c>
    </row>
    <row r="6084" spans="1:6" ht="15.75" customHeight="1">
      <c r="A6084" s="5" t="str">
        <f ca="1">IFERROR(__xludf.DUMMYFUNCTION("GOOGLETRANSLATE(B42279,""en"",""pt"")"),"Cidade de Taitung")</f>
        <v>Cidade de Taitung</v>
      </c>
      <c r="B6084" s="17" t="s">
        <v>25519</v>
      </c>
      <c r="C6084" s="17" t="s">
        <v>25502</v>
      </c>
      <c r="D6084" s="17" t="s">
        <v>25502</v>
      </c>
      <c r="E6084" s="10">
        <v>6949678</v>
      </c>
      <c r="F6084" s="4" t="str">
        <f>IF(B6084=B6083,"",B6084)</f>
        <v/>
      </c>
    </row>
    <row r="6085" spans="1:6" ht="15.75" customHeight="1">
      <c r="A6085" s="6" t="s">
        <v>5116</v>
      </c>
      <c r="B6085" s="6" t="s">
        <v>5116</v>
      </c>
      <c r="C6085" s="6" t="s">
        <v>4487</v>
      </c>
      <c r="D6085" s="6" t="s">
        <v>4492</v>
      </c>
      <c r="E6085" s="2">
        <v>1793700</v>
      </c>
      <c r="F6085" s="4" t="str">
        <f>IF(B6085=B6084,"",B6085)</f>
        <v>Taishan</v>
      </c>
    </row>
    <row r="6086" spans="1:6" ht="15.75" customHeight="1">
      <c r="A6086" s="5" t="str">
        <f ca="1">IFERROR(__xludf.DUMMYFUNCTION("GOOGLETRANSLATE(B26248,""en"",""pt"")"),"Taishan")</f>
        <v>Taishan</v>
      </c>
      <c r="B6086" s="17" t="s">
        <v>5116</v>
      </c>
      <c r="C6086" s="17" t="s">
        <v>4487</v>
      </c>
      <c r="D6086" s="17" t="s">
        <v>4492</v>
      </c>
      <c r="E6086" s="10">
        <v>1793700</v>
      </c>
      <c r="F6086" s="4" t="str">
        <f>IF(B6086=B6085,"",B6086)</f>
        <v/>
      </c>
    </row>
    <row r="6087" spans="1:6" ht="15.75" customHeight="1">
      <c r="A6087" s="6" t="s">
        <v>24153</v>
      </c>
      <c r="B6087" s="6" t="s">
        <v>24153</v>
      </c>
      <c r="C6087" s="6" t="s">
        <v>24024</v>
      </c>
      <c r="D6087" s="6" t="s">
        <v>24033</v>
      </c>
      <c r="E6087" s="2">
        <v>1835447</v>
      </c>
      <c r="F6087" s="4" t="str">
        <f>IF(B6087=B6086,"",B6087)</f>
        <v>Taisen-ri</v>
      </c>
    </row>
    <row r="6088" spans="1:6" ht="15.75" customHeight="1">
      <c r="A6088" s="5" t="str">
        <f ca="1">IFERROR(__xludf.DUMMYFUNCTION("GOOGLETRANSLATE(B36068,""en"",""pt"")"),"Taisen-ri")</f>
        <v>Taisen-ri</v>
      </c>
      <c r="B6088" s="17" t="s">
        <v>24153</v>
      </c>
      <c r="C6088" s="17" t="s">
        <v>24024</v>
      </c>
      <c r="D6088" s="17" t="s">
        <v>24033</v>
      </c>
      <c r="E6088" s="10">
        <v>1835447</v>
      </c>
      <c r="F6088" s="4" t="str">
        <f>IF(B6088=B6087,"",B6088)</f>
        <v/>
      </c>
    </row>
    <row r="6089" spans="1:6" ht="15.75" customHeight="1">
      <c r="A6089" s="6" t="s">
        <v>17575</v>
      </c>
      <c r="B6089" s="6" t="s">
        <v>17575</v>
      </c>
      <c r="C6089" s="6" t="s">
        <v>17432</v>
      </c>
      <c r="D6089" s="6" t="s">
        <v>17438</v>
      </c>
      <c r="E6089" s="2">
        <v>1734586</v>
      </c>
      <c r="F6089" s="4" t="str">
        <f>IF(B6089=B6088,"",B6089)</f>
        <v>Taiping</v>
      </c>
    </row>
    <row r="6090" spans="1:6" ht="15.75" customHeight="1">
      <c r="A6090" s="5" t="str">
        <f ca="1">IFERROR(__xludf.DUMMYFUNCTION("GOOGLETRANSLATE(B37450,""en"",""pt"")"),"Taiping")</f>
        <v>Taiping</v>
      </c>
      <c r="B6090" s="17" t="s">
        <v>17575</v>
      </c>
      <c r="C6090" s="17" t="s">
        <v>17432</v>
      </c>
      <c r="D6090" s="17" t="s">
        <v>17438</v>
      </c>
      <c r="E6090" s="10">
        <v>1734586</v>
      </c>
      <c r="F6090" s="4" t="str">
        <f>IF(B6090=B6089,"",B6090)</f>
        <v/>
      </c>
    </row>
    <row r="6091" spans="1:6" ht="15.75" customHeight="1">
      <c r="A6091" s="6" t="s">
        <v>25503</v>
      </c>
      <c r="B6091" s="6" t="s">
        <v>25503</v>
      </c>
      <c r="C6091" s="6" t="s">
        <v>25502</v>
      </c>
      <c r="D6091" s="6" t="s">
        <v>25503</v>
      </c>
      <c r="E6091" s="2">
        <v>1668341</v>
      </c>
      <c r="F6091" s="4" t="str">
        <f>IF(B6091=B6090,"",B6091)</f>
        <v>Taipei</v>
      </c>
    </row>
    <row r="6092" spans="1:6" ht="15.75" customHeight="1">
      <c r="A6092" s="5" t="str">
        <f ca="1">IFERROR(__xludf.DUMMYFUNCTION("GOOGLETRANSLATE(B42262,""en"",""pt"")"),"Taipei")</f>
        <v>Taipei</v>
      </c>
      <c r="B6092" s="17" t="s">
        <v>25503</v>
      </c>
      <c r="C6092" s="17" t="s">
        <v>25502</v>
      </c>
      <c r="D6092" s="17" t="s">
        <v>25503</v>
      </c>
      <c r="E6092" s="10">
        <v>1668341</v>
      </c>
      <c r="F6092" s="4" t="str">
        <f>IF(B6092=B6091,"",B6092)</f>
        <v/>
      </c>
    </row>
    <row r="6093" spans="1:6" ht="15.75" customHeight="1">
      <c r="A6093" s="6" t="s">
        <v>3511</v>
      </c>
      <c r="B6093" s="6" t="s">
        <v>3512</v>
      </c>
      <c r="C6093" s="6" t="s">
        <v>1905</v>
      </c>
      <c r="D6093" s="6" t="s">
        <v>1917</v>
      </c>
      <c r="E6093" s="2">
        <v>3447059</v>
      </c>
      <c r="F6093" s="4" t="str">
        <f>IF(B6093=B6092,"",B6093)</f>
        <v>Taiobeiras</v>
      </c>
    </row>
    <row r="6094" spans="1:6" ht="15.75" customHeight="1">
      <c r="A6094" s="5" t="str">
        <f ca="1">IFERROR(__xludf.DUMMYFUNCTION("GOOGLETRANSLATE(B24509,""en"",""pt"")"),"Taibeiras")</f>
        <v>Taibeiras</v>
      </c>
      <c r="B6094" s="17" t="s">
        <v>3512</v>
      </c>
      <c r="C6094" s="17" t="s">
        <v>1905</v>
      </c>
      <c r="D6094" s="17" t="s">
        <v>1917</v>
      </c>
      <c r="E6094" s="10">
        <v>3447059</v>
      </c>
      <c r="F6094" s="4" t="str">
        <f>IF(B6094=B6093,"",B6094)</f>
        <v/>
      </c>
    </row>
    <row r="6095" spans="1:6" ht="15.75" customHeight="1">
      <c r="A6095" s="6" t="s">
        <v>25517</v>
      </c>
      <c r="B6095" s="6" t="s">
        <v>25517</v>
      </c>
      <c r="C6095" s="6" t="s">
        <v>25502</v>
      </c>
      <c r="D6095" s="6" t="s">
        <v>25502</v>
      </c>
      <c r="E6095" s="2">
        <v>1668355</v>
      </c>
      <c r="F6095" s="4" t="str">
        <f>IF(B6095=B6094,"",B6095)</f>
        <v>Tainan</v>
      </c>
    </row>
    <row r="6096" spans="1:6" ht="15.75" customHeight="1">
      <c r="A6096" s="5" t="str">
        <f ca="1">IFERROR(__xludf.DUMMYFUNCTION("GOOGLETRANSLATE(B42263,""en"",""pt"")"),"Tainan")</f>
        <v>Tainan</v>
      </c>
      <c r="B6096" s="17" t="s">
        <v>25517</v>
      </c>
      <c r="C6096" s="17" t="s">
        <v>25502</v>
      </c>
      <c r="D6096" s="17" t="s">
        <v>25502</v>
      </c>
      <c r="E6096" s="10">
        <v>1668355</v>
      </c>
      <c r="F6096" s="4" t="str">
        <f>IF(B6096=B6095,"",B6096)</f>
        <v/>
      </c>
    </row>
    <row r="6097" spans="1:6" ht="15.75" customHeight="1">
      <c r="A6097" s="6" t="s">
        <v>5115</v>
      </c>
      <c r="B6097" s="6" t="s">
        <v>5115</v>
      </c>
      <c r="C6097" s="6" t="s">
        <v>4487</v>
      </c>
      <c r="D6097" s="6" t="s">
        <v>4488</v>
      </c>
      <c r="E6097" s="2">
        <v>2034599</v>
      </c>
      <c r="F6097" s="4" t="str">
        <f>IF(B6097=B6096,"",B6097)</f>
        <v>Tailai</v>
      </c>
    </row>
    <row r="6098" spans="1:6" ht="15.75" customHeight="1">
      <c r="A6098" s="5" t="str">
        <f ca="1">IFERROR(__xludf.DUMMYFUNCTION("GOOGLETRANSLATE(B26680,""en"",""pt"")"),"Tailai")</f>
        <v>Tailai</v>
      </c>
      <c r="B6098" s="17" t="s">
        <v>5115</v>
      </c>
      <c r="C6098" s="17" t="s">
        <v>4487</v>
      </c>
      <c r="D6098" s="17" t="s">
        <v>4488</v>
      </c>
      <c r="E6098" s="10">
        <v>2034599</v>
      </c>
      <c r="F6098" s="4" t="str">
        <f>IF(B6098=B6097,"",B6098)</f>
        <v/>
      </c>
    </row>
    <row r="6099" spans="1:6" ht="15.75" customHeight="1">
      <c r="A6099" s="6" t="s">
        <v>5114</v>
      </c>
      <c r="B6099" s="6" t="s">
        <v>5114</v>
      </c>
      <c r="C6099" s="6" t="s">
        <v>4487</v>
      </c>
      <c r="D6099" s="6" t="s">
        <v>4488</v>
      </c>
      <c r="E6099" s="2">
        <v>2034600</v>
      </c>
      <c r="F6099" s="4" t="str">
        <f>IF(B6099=B6098,"",B6099)</f>
        <v>Taikang</v>
      </c>
    </row>
    <row r="6100" spans="1:6" ht="15.75" customHeight="1">
      <c r="A6100" s="5" t="str">
        <f ca="1">IFERROR(__xludf.DUMMYFUNCTION("GOOGLETRANSLATE(B26681,""en"",""pt"")"),"Taikang")</f>
        <v>Taikang</v>
      </c>
      <c r="B6100" s="17" t="s">
        <v>5114</v>
      </c>
      <c r="C6100" s="17" t="s">
        <v>4487</v>
      </c>
      <c r="D6100" s="17" t="s">
        <v>4488</v>
      </c>
      <c r="E6100" s="10">
        <v>2034600</v>
      </c>
      <c r="F6100" s="4" t="str">
        <f>IF(B6100=B6099,"",B6100)</f>
        <v/>
      </c>
    </row>
    <row r="6101" spans="1:6" ht="15.75" customHeight="1">
      <c r="A6101" s="6" t="s">
        <v>5113</v>
      </c>
      <c r="B6101" s="6" t="s">
        <v>5113</v>
      </c>
      <c r="C6101" s="6" t="s">
        <v>4487</v>
      </c>
      <c r="D6101" s="6" t="s">
        <v>4488</v>
      </c>
      <c r="E6101" s="2">
        <v>2035261</v>
      </c>
      <c r="F6101" s="4" t="str">
        <f>IF(B6101=B6100,"",B6101)</f>
        <v>Taihe</v>
      </c>
    </row>
    <row r="6102" spans="1:6" ht="15.75" customHeight="1">
      <c r="A6102" s="5" t="str">
        <f ca="1">IFERROR(__xludf.DUMMYFUNCTION("GOOGLETRANSLATE(B26702,""en"",""pt"")"),"Taihe")</f>
        <v>Taihe</v>
      </c>
      <c r="B6102" s="17" t="s">
        <v>5113</v>
      </c>
      <c r="C6102" s="17" t="s">
        <v>4487</v>
      </c>
      <c r="D6102" s="17" t="s">
        <v>4488</v>
      </c>
      <c r="E6102" s="10">
        <v>2035261</v>
      </c>
      <c r="F6102" s="4" t="str">
        <f>IF(B6102=B6101,"",B6102)</f>
        <v/>
      </c>
    </row>
    <row r="6103" spans="1:6" ht="15.75" customHeight="1">
      <c r="A6103" s="6" t="s">
        <v>25516</v>
      </c>
      <c r="B6103" s="6" t="s">
        <v>25516</v>
      </c>
      <c r="C6103" s="6" t="s">
        <v>25502</v>
      </c>
      <c r="D6103" s="6" t="s">
        <v>25502</v>
      </c>
      <c r="E6103" s="2">
        <v>1668399</v>
      </c>
      <c r="F6103" s="4" t="str">
        <f>IF(B6103=B6102,"",B6103)</f>
        <v>Taichung</v>
      </c>
    </row>
    <row r="6104" spans="1:6" ht="15.75" customHeight="1">
      <c r="A6104" s="5" t="str">
        <f ca="1">IFERROR(__xludf.DUMMYFUNCTION("GOOGLETRANSLATE(B42264,""en"",""pt"")"),"Taichung")</f>
        <v>Taichung</v>
      </c>
      <c r="B6104" s="17" t="s">
        <v>25516</v>
      </c>
      <c r="C6104" s="17" t="s">
        <v>25502</v>
      </c>
      <c r="D6104" s="17" t="s">
        <v>25502</v>
      </c>
      <c r="E6104" s="10">
        <v>1668399</v>
      </c>
      <c r="F6104" s="4" t="str">
        <f>IF(B6104=B6103,"",B6104)</f>
        <v/>
      </c>
    </row>
    <row r="6105" spans="1:6" ht="15.75" customHeight="1">
      <c r="A6105" s="6" t="s">
        <v>5111</v>
      </c>
      <c r="B6105" s="6" t="s">
        <v>5112</v>
      </c>
      <c r="C6105" s="6" t="s">
        <v>4487</v>
      </c>
      <c r="D6105" s="6" t="s">
        <v>4503</v>
      </c>
      <c r="E6105" s="2">
        <v>1793724</v>
      </c>
      <c r="F6105" s="4" t="str">
        <f>IF(B6105=B6104,"",B6105)</f>
        <v>Taiâ€™an</v>
      </c>
    </row>
    <row r="6106" spans="1:6" ht="15.75" customHeight="1">
      <c r="A6106" s="5" t="str">
        <f ca="1">IFERROR(__xludf.DUMMYFUNCTION("GOOGLETRANSLATE(B26249,""en"",""pt"")"),"Tai'an")</f>
        <v>Tai'an</v>
      </c>
      <c r="B6106" s="17" t="s">
        <v>31830</v>
      </c>
      <c r="C6106" s="17" t="s">
        <v>4487</v>
      </c>
      <c r="D6106" s="17" t="s">
        <v>4503</v>
      </c>
      <c r="E6106" s="10">
        <v>1793724</v>
      </c>
      <c r="F6106" s="4" t="str">
        <f>IF(B6106=B6105,"",B6106)</f>
        <v>Tai’an</v>
      </c>
    </row>
    <row r="6107" spans="1:6" ht="15.75" customHeight="1">
      <c r="A6107" s="6" t="s">
        <v>9947</v>
      </c>
      <c r="B6107" s="6" t="s">
        <v>9947</v>
      </c>
      <c r="C6107" s="6" t="s">
        <v>9941</v>
      </c>
      <c r="D6107" s="6" t="s">
        <v>9947</v>
      </c>
      <c r="E6107" s="2">
        <v>1818673</v>
      </c>
      <c r="F6107" s="4" t="str">
        <f>IF(B6107=B6106,"",B6107)</f>
        <v>Tai Po</v>
      </c>
    </row>
    <row r="6108" spans="1:6" ht="15.75" customHeight="1">
      <c r="A6108" s="5" t="str">
        <f ca="1">IFERROR(__xludf.DUMMYFUNCTION("GOOGLETRANSLATE(B31159,""en"",""pt"")"),"Tai Po")</f>
        <v>Tai Po</v>
      </c>
      <c r="B6108" s="17" t="s">
        <v>9947</v>
      </c>
      <c r="C6108" s="17" t="s">
        <v>9941</v>
      </c>
      <c r="D6108" s="17" t="s">
        <v>9947</v>
      </c>
      <c r="E6108" s="10">
        <v>1818673</v>
      </c>
      <c r="F6108" s="4" t="str">
        <f>IF(B6108=B6107,"",B6108)</f>
        <v/>
      </c>
    </row>
    <row r="6109" spans="1:6" ht="15.75" customHeight="1">
      <c r="A6109" s="5" t="str">
        <f ca="1">IFERROR(__xludf.DUMMYFUNCTION("GOOGLETRANSLATE(B28827,""en"",""pt"")"),"Ţahţā")</f>
        <v>Ţahţā</v>
      </c>
      <c r="B6109" s="17" t="s">
        <v>32253</v>
      </c>
      <c r="C6109" s="17" t="s">
        <v>6495</v>
      </c>
      <c r="D6109" s="17" t="s">
        <v>32254</v>
      </c>
      <c r="E6109" s="10">
        <v>347634</v>
      </c>
      <c r="F6109" s="4" t="str">
        <f>IF(B6109=B6108,"",B6109)</f>
        <v>Ţahţā</v>
      </c>
    </row>
    <row r="6110" spans="1:6" ht="15.75" customHeight="1">
      <c r="A6110" s="6" t="s">
        <v>19265</v>
      </c>
      <c r="B6110" s="6" t="s">
        <v>19265</v>
      </c>
      <c r="C6110" s="6" t="s">
        <v>19259</v>
      </c>
      <c r="D6110" s="6" t="s">
        <v>19265</v>
      </c>
      <c r="E6110" s="2">
        <v>2439376</v>
      </c>
      <c r="F6110" s="4" t="str">
        <f>IF(B6110=B6109,"",B6110)</f>
        <v>Tahoua</v>
      </c>
    </row>
    <row r="6111" spans="1:6" ht="15.75" customHeight="1">
      <c r="A6111" s="5" t="str">
        <f ca="1">IFERROR(__xludf.DUMMYFUNCTION("GOOGLETRANSLATE(B37588,""en"",""pt"")"),"Tahoua")</f>
        <v>Tahoua</v>
      </c>
      <c r="B6111" s="17" t="s">
        <v>19265</v>
      </c>
      <c r="C6111" s="17" t="s">
        <v>19259</v>
      </c>
      <c r="D6111" s="17" t="s">
        <v>19265</v>
      </c>
      <c r="E6111" s="10">
        <v>2439376</v>
      </c>
      <c r="F6111" s="4" t="str">
        <f>IF(B6111=B6110,"",B6111)</f>
        <v/>
      </c>
    </row>
    <row r="6112" spans="1:6" ht="15.75" customHeight="1">
      <c r="A6112" s="5" t="s">
        <v>30153</v>
      </c>
      <c r="B6112" s="6" t="s">
        <v>30153</v>
      </c>
      <c r="C6112" s="5" t="s">
        <v>27788</v>
      </c>
      <c r="D6112" s="5" t="s">
        <v>27797</v>
      </c>
      <c r="E6112" s="2">
        <v>4552707</v>
      </c>
      <c r="F6112" s="4" t="str">
        <f>IF(B6112=B6111,"",B6112)</f>
        <v>Tahlequah</v>
      </c>
    </row>
    <row r="6113" spans="1:6" ht="15.75" customHeight="1">
      <c r="A6113" s="5" t="str">
        <f ca="1">IFERROR(__xludf.DUMMYFUNCTION("GOOGLETRANSLATE(B43567,""en"",""pt"")"),"Tahlequah")</f>
        <v>Tahlequah</v>
      </c>
      <c r="B6113" s="17" t="s">
        <v>30153</v>
      </c>
      <c r="C6113" s="17" t="s">
        <v>27788</v>
      </c>
      <c r="D6113" s="17" t="s">
        <v>27797</v>
      </c>
      <c r="E6113" s="10">
        <v>4552707</v>
      </c>
      <c r="F6113" s="4" t="str">
        <f>IF(B6113=B6112,"",B6113)</f>
        <v/>
      </c>
    </row>
    <row r="6114" spans="1:6" ht="15.75" customHeight="1">
      <c r="A6114" s="6" t="s">
        <v>18634</v>
      </c>
      <c r="B6114" s="6" t="s">
        <v>18634</v>
      </c>
      <c r="C6114" s="6" t="s">
        <v>18551</v>
      </c>
      <c r="D6114" s="6" t="s">
        <v>18557</v>
      </c>
      <c r="E6114" s="2">
        <v>2531480</v>
      </c>
      <c r="F6114" s="4" t="str">
        <f>IF(B6114=B6113,"",B6114)</f>
        <v>Tahla</v>
      </c>
    </row>
    <row r="6115" spans="1:6" ht="15.75" customHeight="1">
      <c r="A6115" s="5" t="str">
        <f ca="1">IFERROR(__xludf.DUMMYFUNCTION("GOOGLETRANSLATE(B36467,""en"",""pt"")"),"Tahla")</f>
        <v>Tahla</v>
      </c>
      <c r="B6115" s="17" t="s">
        <v>18634</v>
      </c>
      <c r="C6115" s="17" t="s">
        <v>18551</v>
      </c>
      <c r="D6115" s="17" t="s">
        <v>18557</v>
      </c>
      <c r="E6115" s="10">
        <v>2531480</v>
      </c>
      <c r="F6115" s="4" t="str">
        <f>IF(B6115=B6114,"",B6115)</f>
        <v/>
      </c>
    </row>
    <row r="6116" spans="1:6" ht="15.75" customHeight="1">
      <c r="A6116" s="6" t="s">
        <v>5110</v>
      </c>
      <c r="B6116" s="6" t="s">
        <v>5110</v>
      </c>
      <c r="C6116" s="6" t="s">
        <v>4487</v>
      </c>
      <c r="D6116" s="6" t="s">
        <v>4488</v>
      </c>
      <c r="E6116" s="2">
        <v>2034615</v>
      </c>
      <c r="F6116" s="4" t="str">
        <f>IF(B6116=B6115,"",B6116)</f>
        <v>Tahe</v>
      </c>
    </row>
    <row r="6117" spans="1:6" ht="15.75" customHeight="1">
      <c r="A6117" s="5" t="str">
        <f ca="1">IFERROR(__xludf.DUMMYFUNCTION("GOOGLETRANSLATE(B26682,""en"",""pt"")"),"Tahe")</f>
        <v>Tahe</v>
      </c>
      <c r="B6117" s="17" t="s">
        <v>5110</v>
      </c>
      <c r="C6117" s="17" t="s">
        <v>4487</v>
      </c>
      <c r="D6117" s="17" t="s">
        <v>4488</v>
      </c>
      <c r="E6117" s="10">
        <v>2034615</v>
      </c>
      <c r="F6117" s="4" t="str">
        <f>IF(B6117=B6116,"",B6117)</f>
        <v/>
      </c>
    </row>
    <row r="6118" spans="1:6" ht="15.75" customHeight="1">
      <c r="A6118" s="6" t="s">
        <v>16464</v>
      </c>
      <c r="B6118" s="6" t="s">
        <v>16464</v>
      </c>
      <c r="C6118" s="6" t="s">
        <v>15704</v>
      </c>
      <c r="D6118" s="6" t="s">
        <v>15729</v>
      </c>
      <c r="E6118" s="2">
        <v>1851259</v>
      </c>
      <c r="F6118" s="4" t="str">
        <f>IF(B6118=B6117,"",B6118)</f>
        <v>Tahara</v>
      </c>
    </row>
    <row r="6119" spans="1:6" ht="15.75" customHeight="1">
      <c r="A6119" s="5" t="str">
        <f ca="1">IFERROR(__xludf.DUMMYFUNCTION("GOOGLETRANSLATE(B35270,""en"",""pt"")"),"Tahara")</f>
        <v>Tahara</v>
      </c>
      <c r="B6119" s="17" t="s">
        <v>16464</v>
      </c>
      <c r="C6119" s="17" t="s">
        <v>15704</v>
      </c>
      <c r="D6119" s="17" t="s">
        <v>15729</v>
      </c>
      <c r="E6119" s="10">
        <v>1851259</v>
      </c>
      <c r="F6119" s="4" t="str">
        <f>IF(B6119=B6118,"",B6119)</f>
        <v/>
      </c>
    </row>
    <row r="6120" spans="1:6" ht="15.75" customHeight="1">
      <c r="A6120" s="6" t="s">
        <v>21031</v>
      </c>
      <c r="B6120" s="6" t="s">
        <v>21031</v>
      </c>
      <c r="C6120" s="6" t="s">
        <v>20598</v>
      </c>
      <c r="D6120" s="6" t="s">
        <v>20658</v>
      </c>
      <c r="E6120" s="2">
        <v>1684269</v>
      </c>
      <c r="F6120" s="4" t="str">
        <f>IF(B6120=B6119,"",B6120)</f>
        <v>Tagum</v>
      </c>
    </row>
    <row r="6121" spans="1:6" ht="15.75" customHeight="1">
      <c r="A6121" s="5" t="str">
        <f ca="1">IFERROR(__xludf.DUMMYFUNCTION("GOOGLETRANSLATE(B38458,""en"",""pt"")"),"Tagum")</f>
        <v>Tagum</v>
      </c>
      <c r="B6121" s="17" t="s">
        <v>21031</v>
      </c>
      <c r="C6121" s="17" t="s">
        <v>20598</v>
      </c>
      <c r="D6121" s="17" t="s">
        <v>20658</v>
      </c>
      <c r="E6121" s="10">
        <v>1684269</v>
      </c>
      <c r="F6121" s="4" t="str">
        <f>IF(B6121=B6120,"",B6121)</f>
        <v/>
      </c>
    </row>
    <row r="6122" spans="1:6" ht="15.75" customHeight="1">
      <c r="A6122" s="6" t="s">
        <v>21030</v>
      </c>
      <c r="B6122" s="6" t="s">
        <v>21030</v>
      </c>
      <c r="C6122" s="6" t="s">
        <v>20598</v>
      </c>
      <c r="D6122" s="6" t="s">
        <v>20608</v>
      </c>
      <c r="E6122" s="2">
        <v>1684308</v>
      </c>
      <c r="F6122" s="4" t="str">
        <f>IF(B6122=B6121,"",B6122)</f>
        <v>Taguig</v>
      </c>
    </row>
    <row r="6123" spans="1:6" ht="15.75" customHeight="1">
      <c r="A6123" s="5" t="str">
        <f ca="1">IFERROR(__xludf.DUMMYFUNCTION("GOOGLETRANSLATE(B38459,""en"",""pt"")"),"Taguig")</f>
        <v>Taguig</v>
      </c>
      <c r="B6123" s="17" t="s">
        <v>21030</v>
      </c>
      <c r="C6123" s="17" t="s">
        <v>20598</v>
      </c>
      <c r="D6123" s="17" t="s">
        <v>20608</v>
      </c>
      <c r="E6123" s="10">
        <v>1684308</v>
      </c>
      <c r="F6123" s="4" t="str">
        <f>IF(B6123=B6122,"",B6123)</f>
        <v/>
      </c>
    </row>
    <row r="6124" spans="1:6" ht="15.75" customHeight="1">
      <c r="A6124" s="6" t="s">
        <v>21029</v>
      </c>
      <c r="B6124" s="6" t="s">
        <v>21029</v>
      </c>
      <c r="C6124" s="6" t="s">
        <v>20598</v>
      </c>
      <c r="D6124" s="6" t="s">
        <v>20603</v>
      </c>
      <c r="E6124" s="2">
        <v>1684320</v>
      </c>
      <c r="F6124" s="4" t="str">
        <f>IF(B6124=B6123,"",B6124)</f>
        <v>Tagudin</v>
      </c>
    </row>
    <row r="6125" spans="1:6" ht="15.75" customHeight="1">
      <c r="A6125" s="5" t="str">
        <f ca="1">IFERROR(__xludf.DUMMYFUNCTION("GOOGLETRANSLATE(B38460,""en"",""pt"")"),"Tagudin")</f>
        <v>Tagudin</v>
      </c>
      <c r="B6125" s="17" t="s">
        <v>21029</v>
      </c>
      <c r="C6125" s="17" t="s">
        <v>20598</v>
      </c>
      <c r="D6125" s="17" t="s">
        <v>20603</v>
      </c>
      <c r="E6125" s="10">
        <v>1684320</v>
      </c>
      <c r="F6125" s="4" t="str">
        <f>IF(B6125=B6124,"",B6125)</f>
        <v/>
      </c>
    </row>
    <row r="6126" spans="1:6" ht="15.75" customHeight="1">
      <c r="A6126" s="6" t="s">
        <v>26803</v>
      </c>
      <c r="B6126" s="6" t="s">
        <v>26803</v>
      </c>
      <c r="C6126" s="6" t="s">
        <v>26774</v>
      </c>
      <c r="D6126" s="6" t="s">
        <v>26787</v>
      </c>
      <c r="E6126" s="2">
        <v>601475</v>
      </c>
      <c r="F6126" s="4" t="str">
        <f>IF(B6126=B6125,"",B6126)</f>
        <v>Tagta</v>
      </c>
    </row>
    <row r="6127" spans="1:6" ht="15.75" customHeight="1">
      <c r="A6127" s="5" t="str">
        <f ca="1">IFERROR(__xludf.DUMMYFUNCTION("GOOGLETRANSLATE(B41775,""en"",""pt"")"),"Tagta")</f>
        <v>Tagta</v>
      </c>
      <c r="B6127" s="17" t="s">
        <v>26803</v>
      </c>
      <c r="C6127" s="17" t="s">
        <v>26774</v>
      </c>
      <c r="D6127" s="17" t="s">
        <v>35787</v>
      </c>
      <c r="E6127" s="10">
        <v>601475</v>
      </c>
      <c r="F6127" s="4" t="str">
        <f>IF(B6127=B6126,"",B6127)</f>
        <v/>
      </c>
    </row>
    <row r="6128" spans="1:6" ht="15.75" customHeight="1">
      <c r="A6128" s="6" t="s">
        <v>21028</v>
      </c>
      <c r="B6128" s="6" t="s">
        <v>21028</v>
      </c>
      <c r="C6128" s="6" t="s">
        <v>20598</v>
      </c>
      <c r="D6128" s="6" t="s">
        <v>20687</v>
      </c>
      <c r="E6128" s="2">
        <v>1684379</v>
      </c>
      <c r="F6128" s="4" t="str">
        <f>IF(B6128=B6127,"",B6128)</f>
        <v>Tagoloan</v>
      </c>
    </row>
    <row r="6129" spans="1:6" ht="15.75" customHeight="1">
      <c r="A6129" s="5" t="str">
        <f ca="1">IFERROR(__xludf.DUMMYFUNCTION("GOOGLETRANSLATE(B38461,""en"",""pt"")"),"Tagoloan")</f>
        <v>Tagoloan</v>
      </c>
      <c r="B6129" s="17" t="s">
        <v>21028</v>
      </c>
      <c r="C6129" s="17" t="s">
        <v>20598</v>
      </c>
      <c r="D6129" s="17" t="s">
        <v>20687</v>
      </c>
      <c r="E6129" s="10">
        <v>1684379</v>
      </c>
      <c r="F6129" s="4" t="str">
        <f>IF(B6129=B6128,"",B6129)</f>
        <v/>
      </c>
    </row>
    <row r="6130" spans="1:6" ht="15.75" customHeight="1">
      <c r="A6130" s="6" t="s">
        <v>17136</v>
      </c>
      <c r="B6130" s="6" t="s">
        <v>17136</v>
      </c>
      <c r="C6130" s="6" t="s">
        <v>17074</v>
      </c>
      <c r="D6130" s="6" t="s">
        <v>17032</v>
      </c>
      <c r="E6130" s="2">
        <v>2210394</v>
      </c>
      <c r="F6130" s="4" t="str">
        <f>IF(B6130=B6129,"",B6130)</f>
        <v>Tagiura</v>
      </c>
    </row>
    <row r="6131" spans="1:6" ht="15.75" customHeight="1">
      <c r="A6131" s="5" t="str">
        <f ca="1">IFERROR(__xludf.DUMMYFUNCTION("GOOGLETRANSLATE(B36432,""en"",""pt"")"),"Tagiura")</f>
        <v>Tagiura</v>
      </c>
      <c r="B6131" s="17" t="s">
        <v>17136</v>
      </c>
      <c r="C6131" s="17" t="s">
        <v>17074</v>
      </c>
      <c r="D6131" s="17" t="s">
        <v>17032</v>
      </c>
      <c r="E6131" s="10">
        <v>2210394</v>
      </c>
      <c r="F6131" s="4" t="str">
        <f>IF(B6131=B6130,"",B6131)</f>
        <v/>
      </c>
    </row>
    <row r="6132" spans="1:6" ht="15.75" customHeight="1">
      <c r="A6132" s="5" t="s">
        <v>21026</v>
      </c>
      <c r="B6132" s="6" t="s">
        <v>21027</v>
      </c>
      <c r="C6132" s="5" t="s">
        <v>20598</v>
      </c>
      <c r="D6132" s="5" t="s">
        <v>20622</v>
      </c>
      <c r="E6132" s="2">
        <v>1684497</v>
      </c>
      <c r="F6132" s="4" t="str">
        <f>IF(B6132=B6131,"",B6132)</f>
        <v>Tagbilaran City</v>
      </c>
    </row>
    <row r="6133" spans="1:6" ht="15.75" customHeight="1">
      <c r="A6133" s="5" t="str">
        <f ca="1">IFERROR(__xludf.DUMMYFUNCTION("GOOGLETRANSLATE(B38462,""en"",""pt"")"),"Cidade de Tagbilaran")</f>
        <v>Cidade de Tagbilaran</v>
      </c>
      <c r="B6133" s="17" t="s">
        <v>21027</v>
      </c>
      <c r="C6133" s="17" t="s">
        <v>20598</v>
      </c>
      <c r="D6133" s="17" t="s">
        <v>20622</v>
      </c>
      <c r="E6133" s="10">
        <v>1684497</v>
      </c>
      <c r="F6133" s="4" t="str">
        <f>IF(B6133=B6132,"",B6133)</f>
        <v/>
      </c>
    </row>
    <row r="6134" spans="1:6" ht="15.75" customHeight="1">
      <c r="A6134" s="6" t="s">
        <v>16463</v>
      </c>
      <c r="B6134" s="6" t="s">
        <v>16463</v>
      </c>
      <c r="C6134" s="6" t="s">
        <v>15704</v>
      </c>
      <c r="D6134" s="6" t="s">
        <v>15722</v>
      </c>
      <c r="E6134" s="2">
        <v>1851273</v>
      </c>
      <c r="F6134" s="4" t="str">
        <f>IF(B6134=B6133,"",B6134)</f>
        <v>Tagawa</v>
      </c>
    </row>
    <row r="6135" spans="1:6" ht="15.75" customHeight="1">
      <c r="A6135" s="5" t="str">
        <f ca="1">IFERROR(__xludf.DUMMYFUNCTION("GOOGLETRANSLATE(B35271,""en"",""pt"")"),"Tagawa")</f>
        <v>Tagawa</v>
      </c>
      <c r="B6135" s="17" t="s">
        <v>16463</v>
      </c>
      <c r="C6135" s="17" t="s">
        <v>15704</v>
      </c>
      <c r="D6135" s="17" t="s">
        <v>15722</v>
      </c>
      <c r="E6135" s="10">
        <v>1851273</v>
      </c>
      <c r="F6135" s="4" t="str">
        <f>IF(B6135=B6134,"",B6135)</f>
        <v/>
      </c>
    </row>
    <row r="6136" spans="1:6" ht="15.75" customHeight="1">
      <c r="A6136" s="6" t="s">
        <v>21025</v>
      </c>
      <c r="B6136" s="6" t="s">
        <v>21025</v>
      </c>
      <c r="C6136" s="6" t="s">
        <v>20598</v>
      </c>
      <c r="D6136" s="6" t="s">
        <v>20634</v>
      </c>
      <c r="E6136" s="2">
        <v>1684577</v>
      </c>
      <c r="F6136" s="4" t="str">
        <f>IF(B6136=B6135,"",B6136)</f>
        <v>Tagas</v>
      </c>
    </row>
    <row r="6137" spans="1:6" ht="15.75" customHeight="1">
      <c r="A6137" s="5" t="str">
        <f ca="1">IFERROR(__xludf.DUMMYFUNCTION("GOOGLETRANSLATE(B38463,""en"",""pt"")"),"Tagas")</f>
        <v>Tagas</v>
      </c>
      <c r="B6137" s="17" t="s">
        <v>21025</v>
      </c>
      <c r="C6137" s="17" t="s">
        <v>20598</v>
      </c>
      <c r="D6137" s="17" t="s">
        <v>20634</v>
      </c>
      <c r="E6137" s="10">
        <v>1684577</v>
      </c>
      <c r="F6137" s="4" t="str">
        <f>IF(B6137=B6136,"",B6137)</f>
        <v/>
      </c>
    </row>
    <row r="6138" spans="1:6" ht="15.75" customHeight="1">
      <c r="A6138" s="6" t="s">
        <v>23167</v>
      </c>
      <c r="B6138" s="6" t="s">
        <v>23167</v>
      </c>
      <c r="C6138" s="6" t="s">
        <v>22070</v>
      </c>
      <c r="D6138" s="6" t="s">
        <v>22127</v>
      </c>
      <c r="E6138" s="2">
        <v>484912</v>
      </c>
      <c r="F6138" s="4" t="str">
        <f>IF(B6138=B6137,"",B6138)</f>
        <v>Taganskiy</v>
      </c>
    </row>
    <row r="6139" spans="1:6" ht="15.75" customHeight="1">
      <c r="A6139" s="5" t="str">
        <f ca="1">IFERROR(__xludf.DUMMYFUNCTION("GOOGLETRANSLATE(B40045,""en"",""pt"")"),"Taganskiy")</f>
        <v>Taganskiy</v>
      </c>
      <c r="B6139" s="17" t="s">
        <v>23167</v>
      </c>
      <c r="C6139" s="17" t="s">
        <v>22070</v>
      </c>
      <c r="D6139" s="17" t="s">
        <v>22127</v>
      </c>
      <c r="E6139" s="10">
        <v>484912</v>
      </c>
      <c r="F6139" s="4" t="str">
        <f>IF(B6139=B6138,"",B6139)</f>
        <v/>
      </c>
    </row>
    <row r="6140" spans="1:6" ht="15.75" customHeight="1">
      <c r="A6140" s="6" t="s">
        <v>23166</v>
      </c>
      <c r="B6140" s="6" t="s">
        <v>23166</v>
      </c>
      <c r="C6140" s="6" t="s">
        <v>22070</v>
      </c>
      <c r="D6140" s="6" t="s">
        <v>22099</v>
      </c>
      <c r="E6140" s="2">
        <v>484907</v>
      </c>
      <c r="F6140" s="4" t="str">
        <f>IF(B6140=B6139,"",B6140)</f>
        <v>Taganrog</v>
      </c>
    </row>
    <row r="6141" spans="1:6" ht="15.75" customHeight="1">
      <c r="A6141" s="5" t="str">
        <f ca="1">IFERROR(__xludf.DUMMYFUNCTION("GOOGLETRANSLATE(B40044,""en"",""pt"")"),"Taganrog")</f>
        <v>Taganrog</v>
      </c>
      <c r="B6141" s="17" t="s">
        <v>23166</v>
      </c>
      <c r="C6141" s="17" t="s">
        <v>22070</v>
      </c>
      <c r="D6141" s="17" t="s">
        <v>22099</v>
      </c>
      <c r="E6141" s="10">
        <v>484907</v>
      </c>
      <c r="F6141" s="4" t="str">
        <f>IF(B6141=B6140,"",B6141)</f>
        <v/>
      </c>
    </row>
    <row r="6142" spans="1:6" ht="15.75" customHeight="1">
      <c r="A6142" s="6" t="s">
        <v>14572</v>
      </c>
      <c r="B6142" s="6" t="s">
        <v>14572</v>
      </c>
      <c r="C6142" s="6" t="s">
        <v>14240</v>
      </c>
      <c r="D6142" s="6" t="s">
        <v>14291</v>
      </c>
      <c r="E6142" s="2">
        <v>113632</v>
      </c>
      <c r="F6142" s="4" t="str">
        <f>IF(B6142=B6141,"",B6142)</f>
        <v>Taft</v>
      </c>
    </row>
    <row r="6143" spans="1:6" ht="15.75" customHeight="1">
      <c r="A6143" s="5" t="str">
        <f ca="1">IFERROR(__xludf.DUMMYFUNCTION("GOOGLETRANSLATE(B34359,""en"",""pt"")"),"Taft")</f>
        <v>Taft</v>
      </c>
      <c r="B6143" s="17" t="s">
        <v>14572</v>
      </c>
      <c r="C6143" s="17" t="s">
        <v>14240</v>
      </c>
      <c r="D6143" s="17" t="s">
        <v>14291</v>
      </c>
      <c r="E6143" s="10">
        <v>113632</v>
      </c>
      <c r="F6143" s="4" t="str">
        <f>IF(B6143=B6142,"",B6143)</f>
        <v/>
      </c>
    </row>
    <row r="6144" spans="1:6" ht="15.75" customHeight="1">
      <c r="A6144" s="6" t="s">
        <v>9425</v>
      </c>
      <c r="B6144" s="6" t="s">
        <v>9425</v>
      </c>
      <c r="C6144" s="6" t="s">
        <v>9365</v>
      </c>
      <c r="D6144" s="6" t="s">
        <v>9371</v>
      </c>
      <c r="E6144" s="2">
        <v>2294938</v>
      </c>
      <c r="F6144" s="4" t="str">
        <f>IF(B6144=B6143,"",B6144)</f>
        <v>Tafo</v>
      </c>
    </row>
    <row r="6145" spans="1:6" ht="15.75" customHeight="1">
      <c r="A6145" s="5" t="str">
        <f ca="1">IFERROR(__xludf.DUMMYFUNCTION("GOOGLETRANSLATE(B30866,""en"",""pt"")"),"Tafo")</f>
        <v>Tafo</v>
      </c>
      <c r="B6145" s="17" t="s">
        <v>9425</v>
      </c>
      <c r="C6145" s="17" t="s">
        <v>9365</v>
      </c>
      <c r="D6145" s="17" t="s">
        <v>9371</v>
      </c>
      <c r="E6145" s="10">
        <v>2294938</v>
      </c>
      <c r="F6145" s="4" t="str">
        <f>IF(B6145=B6144,"",B6145)</f>
        <v/>
      </c>
    </row>
    <row r="6146" spans="1:6" ht="15.75" customHeight="1">
      <c r="A6146" s="5" t="str">
        <f ca="1">IFERROR(__xludf.DUMMYFUNCTION("GOOGLETRANSLATE(B23255,""en"",""pt"")"),"Tafí Viejo")</f>
        <v>Tafí Viejo</v>
      </c>
      <c r="B6146" s="17" t="s">
        <v>31182</v>
      </c>
      <c r="C6146" s="17" t="s">
        <v>558</v>
      </c>
      <c r="D6146" s="17" t="s">
        <v>31177</v>
      </c>
      <c r="E6146" s="10">
        <v>3834813</v>
      </c>
      <c r="F6146" s="4" t="str">
        <f>IF(B6146=B6145,"",B6146)</f>
        <v>Tafí Viejo</v>
      </c>
    </row>
    <row r="6147" spans="1:6" ht="15.75" customHeight="1">
      <c r="A6147" s="5" t="str">
        <f ca="1">IFERROR(__xludf.DUMMYFUNCTION("GOOGLETRANSLATE(B41397,""en"",""pt"")"),"Ţafas")</f>
        <v>Ţafas</v>
      </c>
      <c r="B6147" s="17" t="s">
        <v>35726</v>
      </c>
      <c r="C6147" s="17" t="s">
        <v>25366</v>
      </c>
      <c r="D6147" s="17" t="s">
        <v>25375</v>
      </c>
      <c r="E6147" s="10">
        <v>163806</v>
      </c>
      <c r="F6147" s="4" t="str">
        <f>IF(B6147=B6146,"",B6147)</f>
        <v>Ţafas</v>
      </c>
    </row>
    <row r="6148" spans="1:6" ht="15.75" customHeight="1">
      <c r="A6148" s="6" t="s">
        <v>810</v>
      </c>
      <c r="B6148" s="6" t="s">
        <v>811</v>
      </c>
      <c r="C6148" s="6" t="s">
        <v>558</v>
      </c>
      <c r="D6148" s="6" t="s">
        <v>565</v>
      </c>
      <c r="E6148" s="2">
        <v>3834813</v>
      </c>
      <c r="F6148" s="4" t="str">
        <f>IF(B6148=B6147,"",B6148)</f>
        <v>TafÃ­ Viejo</v>
      </c>
    </row>
    <row r="6149" spans="1:6" ht="15.75" customHeight="1">
      <c r="A6149" s="6" t="s">
        <v>24151</v>
      </c>
      <c r="B6149" s="6" t="s">
        <v>24152</v>
      </c>
      <c r="C6149" s="6" t="s">
        <v>24024</v>
      </c>
      <c r="D6149" s="6" t="s">
        <v>24033</v>
      </c>
      <c r="E6149" s="2">
        <v>1835096</v>
      </c>
      <c r="F6149" s="4" t="str">
        <f>IF(B6149=B6148,"",B6149)</f>
        <v>Taesal-li</v>
      </c>
    </row>
    <row r="6150" spans="1:6" ht="15.75" customHeight="1">
      <c r="A6150" s="5" t="str">
        <f ca="1">IFERROR(__xludf.DUMMYFUNCTION("GOOGLETRANSLATE(B36065,""en"",""pt"")"),"Taesal-Li")</f>
        <v>Taesal-Li</v>
      </c>
      <c r="B6150" s="17" t="s">
        <v>24152</v>
      </c>
      <c r="C6150" s="17" t="s">
        <v>24024</v>
      </c>
      <c r="D6150" s="17" t="s">
        <v>24033</v>
      </c>
      <c r="E6150" s="10">
        <v>1835096</v>
      </c>
      <c r="F6150" s="4" t="str">
        <f>IF(B6150=B6149,"",B6150)</f>
        <v/>
      </c>
    </row>
    <row r="6151" spans="1:6" ht="15.75" customHeight="1">
      <c r="A6151" s="5" t="str">
        <f ca="1">IFERROR(__xludf.DUMMYFUNCTION("GOOGLETRANSLATE(B32051,""en"",""pt"")"),"Tādpatri")</f>
        <v>Tādpatri</v>
      </c>
      <c r="B6151" s="17" t="s">
        <v>33030</v>
      </c>
      <c r="C6151" s="17" t="s">
        <v>10178</v>
      </c>
      <c r="D6151" s="17" t="s">
        <v>10190</v>
      </c>
      <c r="E6151" s="10">
        <v>1255254</v>
      </c>
      <c r="F6151" s="4" t="str">
        <f>IF(B6151=B6150,"",B6151)</f>
        <v>Tādpatri</v>
      </c>
    </row>
    <row r="6152" spans="1:6" ht="15.75" customHeight="1">
      <c r="A6152" s="6" t="s">
        <v>16462</v>
      </c>
      <c r="B6152" s="6" t="s">
        <v>16462</v>
      </c>
      <c r="C6152" s="6" t="s">
        <v>15704</v>
      </c>
      <c r="D6152" s="6" t="s">
        <v>16087</v>
      </c>
      <c r="E6152" s="2">
        <v>1851282</v>
      </c>
      <c r="F6152" s="4" t="str">
        <f>IF(B6152=B6151,"",B6152)</f>
        <v>Tadotsu</v>
      </c>
    </row>
    <row r="6153" spans="1:6" ht="15.75" customHeight="1">
      <c r="A6153" s="5" t="str">
        <f ca="1">IFERROR(__xludf.DUMMYFUNCTION("GOOGLETRANSLATE(B35272,""en"",""pt"")"),"Tadotsu")</f>
        <v>Tadotsu</v>
      </c>
      <c r="B6153" s="17" t="s">
        <v>16462</v>
      </c>
      <c r="C6153" s="17" t="s">
        <v>15704</v>
      </c>
      <c r="D6153" s="17" t="s">
        <v>16087</v>
      </c>
      <c r="E6153" s="10">
        <v>1851282</v>
      </c>
      <c r="F6153" s="4" t="str">
        <f>IF(B6153=B6152,"",B6153)</f>
        <v/>
      </c>
    </row>
    <row r="6154" spans="1:6" ht="15.75" customHeight="1">
      <c r="A6154" s="6" t="s">
        <v>25491</v>
      </c>
      <c r="B6154" s="6" t="s">
        <v>25491</v>
      </c>
      <c r="C6154" s="6" t="s">
        <v>25366</v>
      </c>
      <c r="D6154" s="6" t="s">
        <v>25406</v>
      </c>
      <c r="E6154" s="2">
        <v>163808</v>
      </c>
      <c r="F6154" s="4" t="str">
        <f>IF(B6154=B6153,"",B6154)</f>
        <v>Tadmur</v>
      </c>
    </row>
    <row r="6155" spans="1:6" ht="15.75" customHeight="1">
      <c r="A6155" s="5" t="str">
        <f ca="1">IFERROR(__xludf.DUMMYFUNCTION("GOOGLETRANSLATE(B41398,""en"",""pt"")"),"Tadmur")</f>
        <v>Tadmur</v>
      </c>
      <c r="B6155" s="17" t="s">
        <v>25491</v>
      </c>
      <c r="C6155" s="17" t="s">
        <v>25366</v>
      </c>
      <c r="D6155" s="17" t="s">
        <v>25406</v>
      </c>
      <c r="E6155" s="10">
        <v>163808</v>
      </c>
      <c r="F6155" s="4" t="str">
        <f>IF(B6155=B6154,"",B6155)</f>
        <v/>
      </c>
    </row>
    <row r="6156" spans="1:6" ht="15.75" customHeight="1">
      <c r="A6156" s="5" t="str">
        <f ca="1">IFERROR(__xludf.DUMMYFUNCTION("GOOGLETRANSLATE(B28526,""en"",""pt"")"),"Tadmaït")</f>
        <v>Tadmaït</v>
      </c>
      <c r="B6156" s="17" t="s">
        <v>32185</v>
      </c>
      <c r="C6156" s="17" t="s">
        <v>153</v>
      </c>
      <c r="D6156" s="17" t="s">
        <v>229</v>
      </c>
      <c r="E6156" s="10">
        <v>2478831</v>
      </c>
      <c r="F6156" s="4" t="str">
        <f>IF(B6156=B6155,"",B6156)</f>
        <v>Tadmaït</v>
      </c>
    </row>
    <row r="6157" spans="1:6" ht="15.75" customHeight="1">
      <c r="A6157" s="6" t="s">
        <v>469</v>
      </c>
      <c r="B6157" s="6" t="s">
        <v>470</v>
      </c>
      <c r="C6157" s="6" t="s">
        <v>153</v>
      </c>
      <c r="D6157" s="6" t="s">
        <v>229</v>
      </c>
      <c r="E6157" s="2">
        <v>2478831</v>
      </c>
      <c r="F6157" s="4" t="str">
        <f>IF(B6157=B6156,"",B6157)</f>
        <v>TadmaÃ¯t</v>
      </c>
    </row>
    <row r="6158" spans="1:6" ht="15.75" customHeight="1">
      <c r="A6158" s="6" t="s">
        <v>6297</v>
      </c>
      <c r="B6158" s="6" t="s">
        <v>6297</v>
      </c>
      <c r="C6158" s="6" t="s">
        <v>6292</v>
      </c>
      <c r="D6158" s="6" t="s">
        <v>6298</v>
      </c>
      <c r="E6158" s="2">
        <v>220782</v>
      </c>
      <c r="F6158" s="4" t="str">
        <f>IF(B6158=B6157,"",B6158)</f>
        <v>Tadjoura</v>
      </c>
    </row>
    <row r="6159" spans="1:6" ht="15.75" customHeight="1">
      <c r="A6159" s="5" t="str">
        <f ca="1">IFERROR(__xludf.DUMMYFUNCTION("GOOGLETRANSLATE(B28397,""en"",""pt"")"),"Tadjoura")</f>
        <v>Tadjoura</v>
      </c>
      <c r="B6159" s="17" t="s">
        <v>6297</v>
      </c>
      <c r="C6159" s="17" t="s">
        <v>6292</v>
      </c>
      <c r="D6159" s="17" t="s">
        <v>6298</v>
      </c>
      <c r="E6159" s="10">
        <v>220782</v>
      </c>
      <c r="F6159" s="4" t="str">
        <f>IF(B6159=B6158,"",B6159)</f>
        <v/>
      </c>
    </row>
    <row r="6160" spans="1:6" ht="15.75" customHeight="1">
      <c r="A6160" s="5" t="str">
        <f ca="1">IFERROR(__xludf.DUMMYFUNCTION("GOOGLETRANSLATE(B41399,""en"",""pt"")"),"Tādif")</f>
        <v>Tādif</v>
      </c>
      <c r="B6160" s="17" t="s">
        <v>35727</v>
      </c>
      <c r="C6160" s="17" t="s">
        <v>25366</v>
      </c>
      <c r="D6160" s="17" t="s">
        <v>25380</v>
      </c>
      <c r="E6160" s="10">
        <v>163811</v>
      </c>
      <c r="F6160" s="4" t="str">
        <f>IF(B6160=B6159,"",B6160)</f>
        <v>Tādif</v>
      </c>
    </row>
    <row r="6161" spans="1:6" ht="15.75" customHeight="1">
      <c r="A6161" s="5" t="str">
        <f ca="1">IFERROR(__xludf.DUMMYFUNCTION("GOOGLETRANSLATE(B32052,""en"",""pt"")"),"Tādepallegūdem")</f>
        <v>Tādepallegūdem</v>
      </c>
      <c r="B6161" s="17" t="s">
        <v>33031</v>
      </c>
      <c r="C6161" s="17" t="s">
        <v>10178</v>
      </c>
      <c r="D6161" s="17" t="s">
        <v>10190</v>
      </c>
      <c r="E6161" s="10">
        <v>1255264</v>
      </c>
      <c r="F6161" s="4" t="str">
        <f>IF(B6161=B6160,"",B6161)</f>
        <v>Tādepallegūdem</v>
      </c>
    </row>
    <row r="6162" spans="1:6" ht="15.75" customHeight="1">
      <c r="A6162" s="5" t="str">
        <f ca="1">IFERROR(__xludf.DUMMYFUNCTION("GOOGLETRANSLATE(B32053,""en"",""pt"")"),"Tādepalle")</f>
        <v>Tādepalle</v>
      </c>
      <c r="B6162" s="17" t="s">
        <v>33032</v>
      </c>
      <c r="C6162" s="17" t="s">
        <v>10178</v>
      </c>
      <c r="D6162" s="17" t="s">
        <v>10190</v>
      </c>
      <c r="E6162" s="10">
        <v>1255265</v>
      </c>
      <c r="F6162" s="4" t="str">
        <f>IF(B6162=B6161,"",B6162)</f>
        <v>Tādepalle</v>
      </c>
    </row>
    <row r="6163" spans="1:6" ht="15.75" customHeight="1">
      <c r="A6163" s="6" t="s">
        <v>21024</v>
      </c>
      <c r="B6163" s="6" t="s">
        <v>21024</v>
      </c>
      <c r="C6163" s="6" t="s">
        <v>20598</v>
      </c>
      <c r="D6163" s="6" t="s">
        <v>20606</v>
      </c>
      <c r="E6163" s="2">
        <v>1684681</v>
      </c>
      <c r="F6163" s="4" t="str">
        <f>IF(B6163=B6162,"",B6163)</f>
        <v>Tacurong</v>
      </c>
    </row>
    <row r="6164" spans="1:6" ht="15.75" customHeight="1">
      <c r="A6164" s="5" t="str">
        <f ca="1">IFERROR(__xludf.DUMMYFUNCTION("GOOGLETRANSLATE(B38464,""en"",""pt"")"),"Tacurong")</f>
        <v>Tacurong</v>
      </c>
      <c r="B6164" s="17" t="s">
        <v>21024</v>
      </c>
      <c r="C6164" s="17" t="s">
        <v>20598</v>
      </c>
      <c r="D6164" s="17" t="s">
        <v>20606</v>
      </c>
      <c r="E6164" s="10">
        <v>1684681</v>
      </c>
      <c r="F6164" s="4" t="str">
        <f>IF(B6164=B6163,"",B6164)</f>
        <v/>
      </c>
    </row>
    <row r="6165" spans="1:6" ht="15.75" customHeight="1">
      <c r="A6165" s="5" t="str">
        <f ca="1">IFERROR(__xludf.DUMMYFUNCTION("GOOGLETRANSLATE(B45473,""en"",""pt"")"),"Tacuarembó")</f>
        <v>Tacuarembó</v>
      </c>
      <c r="B6165" s="17" t="s">
        <v>36057</v>
      </c>
      <c r="C6165" s="17" t="s">
        <v>30472</v>
      </c>
      <c r="D6165" s="17" t="s">
        <v>36057</v>
      </c>
      <c r="E6165" s="10">
        <v>3440034</v>
      </c>
      <c r="F6165" s="4" t="str">
        <f>IF(B6165=B6164,"",B6165)</f>
        <v>Tacuarembó</v>
      </c>
    </row>
    <row r="6166" spans="1:6" ht="15.75" customHeight="1">
      <c r="A6166" s="5" t="s">
        <v>30496</v>
      </c>
      <c r="B6166" s="6" t="s">
        <v>30497</v>
      </c>
      <c r="C6166" s="5" t="s">
        <v>30472</v>
      </c>
      <c r="D6166" s="5" t="s">
        <v>30497</v>
      </c>
      <c r="E6166" s="2">
        <v>3440034</v>
      </c>
      <c r="F6166" s="4" t="str">
        <f>IF(B6166=B6165,"",B6166)</f>
        <v>TacuarembÃ³</v>
      </c>
    </row>
    <row r="6167" spans="1:6" ht="15.75" customHeight="1">
      <c r="A6167" s="5" t="s">
        <v>24833</v>
      </c>
      <c r="B6167" s="6" t="s">
        <v>24833</v>
      </c>
      <c r="C6167" s="5" t="s">
        <v>24200</v>
      </c>
      <c r="D6167" s="5" t="s">
        <v>24212</v>
      </c>
      <c r="E6167" s="2">
        <v>2510725</v>
      </c>
      <c r="F6167" s="4" t="str">
        <f>IF(B6167=B6166,"",B6167)</f>
        <v>Tacoronte</v>
      </c>
    </row>
    <row r="6168" spans="1:6" ht="15.75" customHeight="1">
      <c r="A6168" s="5" t="str">
        <f ca="1">IFERROR(__xludf.DUMMYFUNCTION("GOOGLETRANSLATE(B28979,""en"",""pt"")"),"Tacoronte")</f>
        <v>Tacoronte</v>
      </c>
      <c r="B6168" s="17" t="s">
        <v>24833</v>
      </c>
      <c r="C6168" s="17" t="s">
        <v>24200</v>
      </c>
      <c r="D6168" s="17" t="s">
        <v>24212</v>
      </c>
      <c r="E6168" s="10">
        <v>2510725</v>
      </c>
      <c r="F6168" s="4" t="str">
        <f>IF(B6168=B6167,"",B6168)</f>
        <v/>
      </c>
    </row>
    <row r="6169" spans="1:6" ht="15.75" customHeight="1">
      <c r="A6169" s="6" t="s">
        <v>30152</v>
      </c>
      <c r="B6169" s="6" t="s">
        <v>30152</v>
      </c>
      <c r="C6169" s="6" t="s">
        <v>27788</v>
      </c>
      <c r="D6169" s="6" t="s">
        <v>27733</v>
      </c>
      <c r="E6169" s="2">
        <v>5812944</v>
      </c>
      <c r="F6169" s="4" t="str">
        <f>IF(B6169=B6168,"",B6169)</f>
        <v>Tacoma</v>
      </c>
    </row>
    <row r="6170" spans="1:6" ht="15.75" customHeight="1">
      <c r="A6170" s="5" t="str">
        <f ca="1">IFERROR(__xludf.DUMMYFUNCTION("GOOGLETRANSLATE(B45382,""en"",""pt"")"),"Tacoma")</f>
        <v>Tacoma</v>
      </c>
      <c r="B6170" s="17" t="s">
        <v>30152</v>
      </c>
      <c r="C6170" s="17" t="s">
        <v>27788</v>
      </c>
      <c r="D6170" s="17" t="s">
        <v>27733</v>
      </c>
      <c r="E6170" s="10">
        <v>5812944</v>
      </c>
      <c r="F6170" s="4" t="str">
        <f>IF(B6170=B6169,"",B6170)</f>
        <v/>
      </c>
    </row>
    <row r="6171" spans="1:6" ht="15.75" customHeight="1">
      <c r="A6171" s="6" t="s">
        <v>20580</v>
      </c>
      <c r="B6171" s="6" t="s">
        <v>20580</v>
      </c>
      <c r="C6171" s="6" t="s">
        <v>20470</v>
      </c>
      <c r="D6171" s="6" t="s">
        <v>20580</v>
      </c>
      <c r="E6171" s="2">
        <v>3928128</v>
      </c>
      <c r="F6171" s="4" t="str">
        <f>IF(B6171=B6170,"",B6171)</f>
        <v>Tacna</v>
      </c>
    </row>
    <row r="6172" spans="1:6" ht="15.75" customHeight="1">
      <c r="A6172" s="5" t="str">
        <f ca="1">IFERROR(__xludf.DUMMYFUNCTION("GOOGLETRANSLATE(B38358,""en"",""pt"")"),"Tacna")</f>
        <v>Tacna</v>
      </c>
      <c r="B6172" s="17" t="s">
        <v>20580</v>
      </c>
      <c r="C6172" s="17" t="s">
        <v>20470</v>
      </c>
      <c r="D6172" s="17" t="s">
        <v>20580</v>
      </c>
      <c r="E6172" s="10">
        <v>3928128</v>
      </c>
      <c r="F6172" s="4" t="str">
        <f>IF(B6172=B6171,"",B6172)</f>
        <v/>
      </c>
    </row>
    <row r="6173" spans="1:6" ht="15.75" customHeight="1">
      <c r="A6173" s="5" t="s">
        <v>30768</v>
      </c>
      <c r="B6173" s="6" t="s">
        <v>30769</v>
      </c>
      <c r="C6173" s="5" t="s">
        <v>5923</v>
      </c>
      <c r="D6173" s="5" t="s">
        <v>30693</v>
      </c>
      <c r="E6173" s="2">
        <v>3646062</v>
      </c>
      <c r="F6173" s="4" t="str">
        <f>IF(B6173=B6172,"",B6173)</f>
        <v>Tacarigua</v>
      </c>
    </row>
    <row r="6174" spans="1:6" ht="15.75" customHeight="1">
      <c r="A6174" s="5" t="str">
        <f ca="1">IFERROR(__xludf.DUMMYFUNCTION("GOOGLETRANSLATE(B45678,""en"",""pt"")"),"TacariGua")</f>
        <v>TacariGua</v>
      </c>
      <c r="B6174" s="17" t="s">
        <v>30769</v>
      </c>
      <c r="C6174" s="17" t="s">
        <v>5923</v>
      </c>
      <c r="D6174" s="17" t="s">
        <v>30693</v>
      </c>
      <c r="E6174" s="10">
        <v>3646062</v>
      </c>
      <c r="F6174" s="4" t="str">
        <f>IF(B6174=B6173,"",B6174)</f>
        <v/>
      </c>
    </row>
    <row r="6175" spans="1:6" ht="15.75" customHeight="1">
      <c r="A6175" s="5" t="str">
        <f ca="1">IFERROR(__xludf.DUMMYFUNCTION("GOOGLETRANSLATE(B37177,""en"",""pt"")"),"Tacámbaro de Codallos")</f>
        <v>Tacámbaro de Codallos</v>
      </c>
      <c r="B6175" s="17" t="s">
        <v>34737</v>
      </c>
      <c r="C6175" s="17" t="s">
        <v>17707</v>
      </c>
      <c r="D6175" s="17" t="s">
        <v>34727</v>
      </c>
      <c r="E6175" s="10">
        <v>3982693</v>
      </c>
      <c r="F6175" s="4" t="str">
        <f>IF(B6175=B6174,"",B6175)</f>
        <v>Tacámbaro de Codallos</v>
      </c>
    </row>
    <row r="6176" spans="1:6" ht="15.75" customHeight="1">
      <c r="A6176" s="5" t="s">
        <v>18294</v>
      </c>
      <c r="B6176" s="6" t="s">
        <v>18295</v>
      </c>
      <c r="C6176" s="5" t="s">
        <v>17707</v>
      </c>
      <c r="D6176" s="5" t="s">
        <v>17761</v>
      </c>
      <c r="E6176" s="2">
        <v>3982693</v>
      </c>
      <c r="F6176" s="4" t="str">
        <f>IF(B6176=B6175,"",B6176)</f>
        <v>TacÃ¡mbaro de Codallos</v>
      </c>
    </row>
    <row r="6177" spans="1:6" ht="15.75" customHeight="1">
      <c r="A6177" s="5" t="str">
        <f ca="1">IFERROR(__xludf.DUMMYFUNCTION("GOOGLETRANSLATE(B41139,""en"",""pt"")"),"Täby")</f>
        <v>Täby</v>
      </c>
      <c r="B6177" s="17" t="s">
        <v>35630</v>
      </c>
      <c r="C6177" s="17" t="s">
        <v>25077</v>
      </c>
      <c r="D6177" s="17" t="s">
        <v>25081</v>
      </c>
      <c r="E6177" s="10">
        <v>2669772</v>
      </c>
      <c r="F6177" s="4" t="str">
        <f>IF(B6177=B6176,"",B6177)</f>
        <v>Täby</v>
      </c>
    </row>
    <row r="6178" spans="1:6" ht="15.75" customHeight="1">
      <c r="A6178" s="6" t="s">
        <v>21023</v>
      </c>
      <c r="B6178" s="6" t="s">
        <v>21023</v>
      </c>
      <c r="C6178" s="6" t="s">
        <v>20598</v>
      </c>
      <c r="D6178" s="6" t="s">
        <v>20436</v>
      </c>
      <c r="E6178" s="2">
        <v>1684803</v>
      </c>
      <c r="F6178" s="4" t="str">
        <f>IF(B6178=B6177,"",B6178)</f>
        <v>Tabuk</v>
      </c>
    </row>
    <row r="6179" spans="1:6" ht="15.75" customHeight="1">
      <c r="A6179" s="6" t="s">
        <v>21023</v>
      </c>
      <c r="B6179" s="6" t="s">
        <v>21023</v>
      </c>
      <c r="C6179" s="6" t="s">
        <v>23454</v>
      </c>
      <c r="D6179" s="6" t="s">
        <v>23503</v>
      </c>
      <c r="E6179" s="2">
        <v>101628</v>
      </c>
      <c r="F6179" s="4" t="str">
        <f>IF(B6179=B6178,"",B6179)</f>
        <v/>
      </c>
    </row>
    <row r="6180" spans="1:6" ht="15.75" customHeight="1">
      <c r="A6180" s="5" t="str">
        <f ca="1">IFERROR(__xludf.DUMMYFUNCTION("GOOGLETRANSLATE(B38465,""en"",""pt"")"),"Tabuk")</f>
        <v>Tabuk</v>
      </c>
      <c r="B6180" s="17" t="s">
        <v>21023</v>
      </c>
      <c r="C6180" s="17" t="s">
        <v>20598</v>
      </c>
      <c r="D6180" s="17" t="s">
        <v>20436</v>
      </c>
      <c r="E6180" s="10">
        <v>1684803</v>
      </c>
      <c r="F6180" s="4" t="str">
        <f>IF(B6180=B6179,"",B6180)</f>
        <v/>
      </c>
    </row>
    <row r="6181" spans="1:6" ht="15.75" customHeight="1">
      <c r="A6181" s="5" t="str">
        <f ca="1">IFERROR(__xludf.DUMMYFUNCTION("GOOGLETRANSLATE(B41014,""en"",""pt"")"),"Tabuk")</f>
        <v>Tabuk</v>
      </c>
      <c r="B6181" s="17" t="s">
        <v>21023</v>
      </c>
      <c r="C6181" s="17" t="s">
        <v>23454</v>
      </c>
      <c r="D6181" s="17" t="s">
        <v>35569</v>
      </c>
      <c r="E6181" s="10">
        <v>101628</v>
      </c>
      <c r="F6181" s="4" t="str">
        <f>IF(B6181=B6180,"",B6181)</f>
        <v/>
      </c>
    </row>
    <row r="6182" spans="1:6" ht="15.75" customHeight="1">
      <c r="A6182" s="6" t="s">
        <v>14571</v>
      </c>
      <c r="B6182" s="6" t="s">
        <v>14571</v>
      </c>
      <c r="C6182" s="6" t="s">
        <v>14240</v>
      </c>
      <c r="D6182" s="6" t="s">
        <v>14241</v>
      </c>
      <c r="E6182" s="2">
        <v>113646</v>
      </c>
      <c r="F6182" s="4" t="str">
        <f>IF(B6182=B6181,"",B6182)</f>
        <v>Tabriz</v>
      </c>
    </row>
    <row r="6183" spans="1:6" ht="15.75" customHeight="1">
      <c r="A6183" s="5" t="str">
        <f ca="1">IFERROR(__xludf.DUMMYFUNCTION("GOOGLETRANSLATE(B34360,""en"",""pt"")"),"Tabriz")</f>
        <v>Tabriz</v>
      </c>
      <c r="B6183" s="17" t="s">
        <v>14571</v>
      </c>
      <c r="C6183" s="17" t="s">
        <v>14240</v>
      </c>
      <c r="D6183" s="17" t="s">
        <v>14241</v>
      </c>
      <c r="E6183" s="10">
        <v>113646</v>
      </c>
      <c r="F6183" s="4" t="str">
        <f>IF(B6183=B6182,"",B6183)</f>
        <v/>
      </c>
    </row>
    <row r="6184" spans="1:6" ht="15.75" customHeight="1">
      <c r="A6184" s="6" t="s">
        <v>15669</v>
      </c>
      <c r="B6184" s="6" t="s">
        <v>15669</v>
      </c>
      <c r="C6184" s="6" t="s">
        <v>15586</v>
      </c>
      <c r="D6184" s="6" t="s">
        <v>15664</v>
      </c>
      <c r="E6184" s="2">
        <v>2281120</v>
      </c>
      <c r="F6184" s="4" t="str">
        <f>IF(B6184=B6183,"",B6184)</f>
        <v>Tabou</v>
      </c>
    </row>
    <row r="6185" spans="1:6" ht="15.75" customHeight="1">
      <c r="A6185" s="5" t="str">
        <f ca="1">IFERROR(__xludf.DUMMYFUNCTION("GOOGLETRANSLATE(B25833,""en"",""pt"")"),"Tabou")</f>
        <v>Tabou</v>
      </c>
      <c r="B6185" s="17" t="s">
        <v>15669</v>
      </c>
      <c r="C6185" s="17" t="s">
        <v>15586</v>
      </c>
      <c r="D6185" s="17" t="s">
        <v>15664</v>
      </c>
      <c r="E6185" s="10">
        <v>2281120</v>
      </c>
      <c r="F6185" s="4" t="str">
        <f>IF(B6185=B6184,"",B6185)</f>
        <v/>
      </c>
    </row>
    <row r="6186" spans="1:6" ht="15.75" customHeight="1">
      <c r="A6186" s="6" t="s">
        <v>25604</v>
      </c>
      <c r="B6186" s="6" t="s">
        <v>25604</v>
      </c>
      <c r="C6186" s="6" t="s">
        <v>25560</v>
      </c>
      <c r="D6186" s="6" t="s">
        <v>25604</v>
      </c>
      <c r="E6186" s="2">
        <v>149658</v>
      </c>
      <c r="F6186" s="4" t="str">
        <f>IF(B6186=B6185,"",B6186)</f>
        <v>Tabora</v>
      </c>
    </row>
    <row r="6187" spans="1:6" ht="15.75" customHeight="1">
      <c r="A6187" s="5" t="str">
        <f ca="1">IFERROR(__xludf.DUMMYFUNCTION("GOOGLETRANSLATE(B42298,""en"",""pt"")"),"Tabora")</f>
        <v>Tabora</v>
      </c>
      <c r="B6187" s="17" t="s">
        <v>25604</v>
      </c>
      <c r="C6187" s="17" t="s">
        <v>25560</v>
      </c>
      <c r="D6187" s="17" t="s">
        <v>25604</v>
      </c>
      <c r="E6187" s="10">
        <v>149658</v>
      </c>
      <c r="F6187" s="4" t="str">
        <f>IF(B6187=B6186,"",B6187)</f>
        <v/>
      </c>
    </row>
    <row r="6188" spans="1:6" ht="15.75" customHeight="1">
      <c r="A6188" s="5" t="str">
        <f ca="1">IFERROR(__xludf.DUMMYFUNCTION("GOOGLETRANSLATE(B27260,""en"",""pt"")"),"Tábor")</f>
        <v>Tábor</v>
      </c>
      <c r="B6188" s="17" t="s">
        <v>31954</v>
      </c>
      <c r="C6188" s="17" t="s">
        <v>5947</v>
      </c>
      <c r="D6188" s="17" t="s">
        <v>31955</v>
      </c>
      <c r="E6188" s="10">
        <v>3064379</v>
      </c>
      <c r="F6188" s="4" t="str">
        <f>IF(B6188=B6187,"",B6188)</f>
        <v>Tábor</v>
      </c>
    </row>
    <row r="6189" spans="1:6" ht="15.75" customHeight="1">
      <c r="A6189" s="5" t="str">
        <f ca="1">IFERROR(__xludf.DUMMYFUNCTION("GOOGLETRANSLATE(B24510,""en"",""pt"")"),"Taboão da Serra")</f>
        <v>Taboão da Serra</v>
      </c>
      <c r="B6189" s="17" t="s">
        <v>31461</v>
      </c>
      <c r="C6189" s="17" t="s">
        <v>1905</v>
      </c>
      <c r="D6189" s="17" t="s">
        <v>3354</v>
      </c>
      <c r="E6189" s="10">
        <v>3447186</v>
      </c>
      <c r="F6189" s="4" t="str">
        <f>IF(B6189=B6188,"",B6189)</f>
        <v>Taboão da Serra</v>
      </c>
    </row>
    <row r="6190" spans="1:6" ht="15.75" customHeight="1">
      <c r="A6190" s="5" t="s">
        <v>3509</v>
      </c>
      <c r="B6190" s="6" t="s">
        <v>3510</v>
      </c>
      <c r="C6190" s="5" t="s">
        <v>1905</v>
      </c>
      <c r="D6190" s="5" t="s">
        <v>1914</v>
      </c>
      <c r="E6190" s="2">
        <v>3447186</v>
      </c>
      <c r="F6190" s="4" t="str">
        <f>IF(B6190=B6189,"",B6190)</f>
        <v>TaboÃ£o da Serra</v>
      </c>
    </row>
    <row r="6191" spans="1:6" ht="15.75" customHeight="1">
      <c r="A6191" s="6" t="s">
        <v>3508</v>
      </c>
      <c r="B6191" s="6" t="s">
        <v>3508</v>
      </c>
      <c r="C6191" s="6" t="s">
        <v>1905</v>
      </c>
      <c r="D6191" s="6" t="s">
        <v>1909</v>
      </c>
      <c r="E6191" s="2">
        <v>3387082</v>
      </c>
      <c r="F6191" s="4" t="str">
        <f>IF(B6191=B6190,"",B6191)</f>
        <v>Tabira</v>
      </c>
    </row>
    <row r="6192" spans="1:6" ht="15.75" customHeight="1">
      <c r="A6192" s="5" t="str">
        <f ca="1">IFERROR(__xludf.DUMMYFUNCTION("GOOGLETRANSLATE(B24171,""en"",""pt"")"),"Tabira")</f>
        <v>Tabira</v>
      </c>
      <c r="B6192" s="17" t="s">
        <v>3508</v>
      </c>
      <c r="C6192" s="17" t="s">
        <v>1905</v>
      </c>
      <c r="D6192" s="17" t="s">
        <v>1909</v>
      </c>
      <c r="E6192" s="10">
        <v>3387082</v>
      </c>
      <c r="F6192" s="4" t="str">
        <f>IF(B6192=B6191,"",B6192)</f>
        <v/>
      </c>
    </row>
    <row r="6193" spans="1:6" ht="15.75" customHeight="1">
      <c r="A6193" s="6" t="s">
        <v>3507</v>
      </c>
      <c r="B6193" s="6" t="s">
        <v>3507</v>
      </c>
      <c r="C6193" s="6" t="s">
        <v>1905</v>
      </c>
      <c r="D6193" s="6" t="s">
        <v>2287</v>
      </c>
      <c r="E6193" s="2">
        <v>3662075</v>
      </c>
      <c r="F6193" s="4" t="str">
        <f>IF(B6193=B6192,"",B6193)</f>
        <v>Tabatinga</v>
      </c>
    </row>
    <row r="6194" spans="1:6" ht="15.75" customHeight="1">
      <c r="A6194" s="5" t="str">
        <f ca="1">IFERROR(__xludf.DUMMYFUNCTION("GOOGLETRANSLATE(B25308,""en"",""pt"")"),"Tabatinga")</f>
        <v>Tabatinga</v>
      </c>
      <c r="B6194" s="17" t="s">
        <v>3507</v>
      </c>
      <c r="C6194" s="17" t="s">
        <v>1905</v>
      </c>
      <c r="D6194" s="17" t="s">
        <v>2287</v>
      </c>
      <c r="E6194" s="10">
        <v>3662075</v>
      </c>
      <c r="F6194" s="4" t="str">
        <f>IF(B6194=B6193,"",B6194)</f>
        <v/>
      </c>
    </row>
    <row r="6195" spans="1:6" ht="15.75" customHeight="1">
      <c r="A6195" s="6" t="s">
        <v>14570</v>
      </c>
      <c r="B6195" s="6" t="s">
        <v>14570</v>
      </c>
      <c r="C6195" s="6" t="s">
        <v>14240</v>
      </c>
      <c r="D6195" s="6" t="s">
        <v>14291</v>
      </c>
      <c r="E6195" s="2">
        <v>113659</v>
      </c>
      <c r="F6195" s="4" t="str">
        <f>IF(B6195=B6194,"",B6195)</f>
        <v>Tabas</v>
      </c>
    </row>
    <row r="6196" spans="1:6" ht="15.75" customHeight="1">
      <c r="A6196" s="5" t="str">
        <f ca="1">IFERROR(__xludf.DUMMYFUNCTION("GOOGLETRANSLATE(B34361,""en"",""pt"")"),"Tabas")</f>
        <v>Tabas</v>
      </c>
      <c r="B6196" s="17" t="s">
        <v>14570</v>
      </c>
      <c r="C6196" s="17" t="s">
        <v>14240</v>
      </c>
      <c r="D6196" s="17" t="s">
        <v>14291</v>
      </c>
      <c r="E6196" s="10">
        <v>113659</v>
      </c>
      <c r="F6196" s="4" t="str">
        <f>IF(B6196=B6195,"",B6196)</f>
        <v/>
      </c>
    </row>
    <row r="6197" spans="1:6" ht="15.75" customHeight="1">
      <c r="A6197" s="6" t="s">
        <v>14192</v>
      </c>
      <c r="B6197" s="6" t="s">
        <v>14192</v>
      </c>
      <c r="C6197" s="6" t="s">
        <v>13800</v>
      </c>
      <c r="D6197" s="6" t="s">
        <v>3894</v>
      </c>
      <c r="E6197" s="2">
        <v>1625708</v>
      </c>
      <c r="F6197" s="4" t="str">
        <f>IF(B6197=B6196,"",B6197)</f>
        <v>Tabanan</v>
      </c>
    </row>
    <row r="6198" spans="1:6" ht="15.75" customHeight="1">
      <c r="A6198" s="5" t="str">
        <f ca="1">IFERROR(__xludf.DUMMYFUNCTION("GOOGLETRANSLATE(B31421,""en"",""pt"")"),"Tabanan")</f>
        <v>Tabanan</v>
      </c>
      <c r="B6198" s="17" t="s">
        <v>14192</v>
      </c>
      <c r="C6198" s="17" t="s">
        <v>13800</v>
      </c>
      <c r="D6198" s="17" t="s">
        <v>3894</v>
      </c>
      <c r="E6198" s="10">
        <v>1625708</v>
      </c>
      <c r="F6198" s="4" t="str">
        <f>IF(B6198=B6197,"",B6198)</f>
        <v/>
      </c>
    </row>
    <row r="6199" spans="1:6" ht="15.75" customHeight="1">
      <c r="A6199" s="6" t="s">
        <v>21022</v>
      </c>
      <c r="B6199" s="6" t="s">
        <v>21022</v>
      </c>
      <c r="C6199" s="6" t="s">
        <v>20598</v>
      </c>
      <c r="D6199" s="6" t="s">
        <v>20634</v>
      </c>
      <c r="E6199" s="2">
        <v>1685117</v>
      </c>
      <c r="F6199" s="4" t="str">
        <f>IF(B6199=B6198,"",B6199)</f>
        <v>Tabaco</v>
      </c>
    </row>
    <row r="6200" spans="1:6" ht="15.75" customHeight="1">
      <c r="A6200" s="5" t="str">
        <f ca="1">IFERROR(__xludf.DUMMYFUNCTION("GOOGLETRANSLATE(B38466,""en"",""pt"")"),"Tabaco")</f>
        <v>Tabaco</v>
      </c>
      <c r="B6200" s="17" t="s">
        <v>21022</v>
      </c>
      <c r="C6200" s="17" t="s">
        <v>20598</v>
      </c>
      <c r="D6200" s="17" t="s">
        <v>20634</v>
      </c>
      <c r="E6200" s="10">
        <v>1685117</v>
      </c>
      <c r="F6200" s="4" t="str">
        <f>IF(B6200=B6199,"",B6200)</f>
        <v/>
      </c>
    </row>
    <row r="6201" spans="1:6" ht="15.75" customHeight="1">
      <c r="A6201" s="6" t="s">
        <v>26717</v>
      </c>
      <c r="B6201" s="6" t="s">
        <v>26718</v>
      </c>
      <c r="C6201" s="6" t="s">
        <v>26201</v>
      </c>
      <c r="D6201" s="6" t="s">
        <v>26313</v>
      </c>
      <c r="E6201" s="2">
        <v>739015</v>
      </c>
      <c r="F6201" s="4" t="str">
        <f>IF(B6201=B6200,"",B6201)</f>
        <v>TaÅŸova</v>
      </c>
    </row>
    <row r="6202" spans="1:6" ht="15.75" customHeight="1">
      <c r="A6202" s="6" t="s">
        <v>26715</v>
      </c>
      <c r="B6202" s="6" t="s">
        <v>26716</v>
      </c>
      <c r="C6202" s="6" t="s">
        <v>26201</v>
      </c>
      <c r="D6202" s="6" t="s">
        <v>26590</v>
      </c>
      <c r="E6202" s="2">
        <v>739061</v>
      </c>
      <c r="F6202" s="4" t="str">
        <f>IF(B6202=B6201,"",B6202)</f>
        <v>TaÅŸkÃ¶prÃ¼</v>
      </c>
    </row>
    <row r="6203" spans="1:6" ht="15.75" customHeight="1">
      <c r="A6203" s="6" t="s">
        <v>6285</v>
      </c>
      <c r="B6203" s="6" t="s">
        <v>6285</v>
      </c>
      <c r="C6203" s="6" t="s">
        <v>6209</v>
      </c>
      <c r="D6203" s="6" t="s">
        <v>6216</v>
      </c>
      <c r="E6203" s="2">
        <v>2611828</v>
      </c>
      <c r="F6203" s="4" t="str">
        <f>IF(B6203=B6202,"",B6203)</f>
        <v>Taastrup</v>
      </c>
    </row>
    <row r="6204" spans="1:6" ht="15.75" customHeight="1">
      <c r="A6204" s="5" t="str">
        <f ca="1">IFERROR(__xludf.DUMMYFUNCTION("GOOGLETRANSLATE(B28405,""en"",""pt"")"),"Taastrup")</f>
        <v>Taastrup</v>
      </c>
      <c r="B6204" s="17" t="s">
        <v>6285</v>
      </c>
      <c r="C6204" s="17" t="s">
        <v>6209</v>
      </c>
      <c r="D6204" s="17" t="s">
        <v>6216</v>
      </c>
      <c r="E6204" s="10">
        <v>2611828</v>
      </c>
      <c r="F6204" s="4" t="str">
        <f>IF(B6204=B6203,"",B6204)</f>
        <v/>
      </c>
    </row>
    <row r="6205" spans="1:6" ht="15.75" customHeight="1">
      <c r="A6205" s="6" t="s">
        <v>24831</v>
      </c>
      <c r="B6205" s="6" t="s">
        <v>24832</v>
      </c>
      <c r="C6205" s="6" t="s">
        <v>24200</v>
      </c>
      <c r="D6205" s="6" t="s">
        <v>24212</v>
      </c>
      <c r="E6205" s="2">
        <v>2510485</v>
      </c>
      <c r="F6205" s="4" t="str">
        <f>IF(B6205=B6204,"",B6205)</f>
        <v>TÃ­as</v>
      </c>
    </row>
    <row r="6206" spans="1:6" ht="15.75" customHeight="1">
      <c r="A6206" s="6" t="s">
        <v>21021</v>
      </c>
      <c r="B6206" s="6" t="s">
        <v>21021</v>
      </c>
      <c r="C6206" s="6" t="s">
        <v>20598</v>
      </c>
      <c r="D6206" s="6" t="s">
        <v>20608</v>
      </c>
      <c r="E6206" s="2">
        <v>1685146</v>
      </c>
      <c r="F6206" s="4" t="str">
        <f>IF(B6206=B6205,"",B6206)</f>
        <v>Taal</v>
      </c>
    </row>
    <row r="6207" spans="1:6" ht="15.75" customHeight="1">
      <c r="A6207" s="5" t="str">
        <f ca="1">IFERROR(__xludf.DUMMYFUNCTION("GOOGLETRANSLATE(B38467,""en"",""pt"")"),"Taal")</f>
        <v>Taal</v>
      </c>
      <c r="B6207" s="17" t="s">
        <v>21021</v>
      </c>
      <c r="C6207" s="17" t="s">
        <v>20598</v>
      </c>
      <c r="D6207" s="17" t="s">
        <v>20608</v>
      </c>
      <c r="E6207" s="10">
        <v>1685146</v>
      </c>
      <c r="F6207" s="4" t="str">
        <f>IF(B6207=B6206,"",B6207)</f>
        <v/>
      </c>
    </row>
    <row r="6208" spans="1:6" ht="15.75" customHeight="1">
      <c r="A6208" s="6" t="s">
        <v>23551</v>
      </c>
      <c r="B6208" s="6" t="s">
        <v>23552</v>
      </c>
      <c r="C6208" s="6" t="s">
        <v>23454</v>
      </c>
      <c r="D6208" s="6" t="s">
        <v>23491</v>
      </c>
      <c r="E6208" s="2">
        <v>107968</v>
      </c>
      <c r="F6208" s="4" t="str">
        <f>IF(B6208=B6207,"",B6208)</f>
        <v>Taâ€™if</v>
      </c>
    </row>
    <row r="6209" spans="1:6" ht="15.75" customHeight="1">
      <c r="A6209" s="6" t="s">
        <v>31028</v>
      </c>
      <c r="B6209" s="6" t="s">
        <v>31029</v>
      </c>
      <c r="C6209" s="6" t="s">
        <v>30993</v>
      </c>
      <c r="D6209" s="6" t="s">
        <v>31029</v>
      </c>
      <c r="E6209" s="2">
        <v>70225</v>
      </c>
      <c r="F6209" s="4" t="str">
        <f>IF(B6209=B6208,"",B6209)</f>
        <v>Taâ€˜izz</v>
      </c>
    </row>
    <row r="6210" spans="1:6" ht="15.75" customHeight="1">
      <c r="A6210" s="6" t="s">
        <v>6936</v>
      </c>
      <c r="B6210" s="6" t="s">
        <v>6937</v>
      </c>
      <c r="C6210" s="6" t="s">
        <v>6938</v>
      </c>
      <c r="D6210" s="6" t="s">
        <v>6939</v>
      </c>
      <c r="E6210" s="2">
        <v>2611396</v>
      </c>
      <c r="F6210" s="4" t="str">
        <f>IF(B6210=B6209,"",B6210)</f>
        <v>TÃ³rshavn</v>
      </c>
    </row>
    <row r="6211" spans="1:6" ht="15.75" customHeight="1">
      <c r="A6211" s="5" t="s">
        <v>26801</v>
      </c>
      <c r="B6211" s="6" t="s">
        <v>26802</v>
      </c>
      <c r="C6211" s="5" t="s">
        <v>26774</v>
      </c>
      <c r="D6211" s="5" t="s">
        <v>26783</v>
      </c>
      <c r="E6211" s="2">
        <v>601594</v>
      </c>
      <c r="F6211" s="4" t="str">
        <f>IF(B6211=B6210,"",B6211)</f>
        <v>TÃ¼rkmenbaÅŸy</v>
      </c>
    </row>
    <row r="6212" spans="1:6" ht="15.75" customHeight="1">
      <c r="A6212" s="5" t="s">
        <v>26799</v>
      </c>
      <c r="B6212" s="6" t="s">
        <v>26800</v>
      </c>
      <c r="C6212" s="5" t="s">
        <v>26774</v>
      </c>
      <c r="D6212" s="5" t="s">
        <v>26780</v>
      </c>
      <c r="E6212" s="2">
        <v>1219649</v>
      </c>
      <c r="F6212" s="4" t="str">
        <f>IF(B6212=B6211,"",B6212)</f>
        <v>TÃ¼rkmenabat</v>
      </c>
    </row>
    <row r="6213" spans="1:6" ht="15.75" customHeight="1">
      <c r="A6213" s="6" t="s">
        <v>9194</v>
      </c>
      <c r="B6213" s="6" t="s">
        <v>9195</v>
      </c>
      <c r="C6213" s="6" t="s">
        <v>8028</v>
      </c>
      <c r="D6213" s="6" t="s">
        <v>8031</v>
      </c>
      <c r="E6213" s="2">
        <v>2820860</v>
      </c>
      <c r="F6213" s="4" t="str">
        <f>IF(B6213=B6212,"",B6213)</f>
        <v>TÃ¼bingen</v>
      </c>
    </row>
    <row r="6214" spans="1:6" ht="15.75" customHeight="1">
      <c r="A6214" s="6" t="s">
        <v>14568</v>
      </c>
      <c r="B6214" s="6" t="s">
        <v>14569</v>
      </c>
      <c r="C6214" s="6" t="s">
        <v>14240</v>
      </c>
      <c r="D6214" s="6" t="s">
        <v>14351</v>
      </c>
      <c r="E6214" s="2">
        <v>1159384</v>
      </c>
      <c r="F6214" s="4" t="str">
        <f>IF(B6214=B6213,"",B6214)</f>
        <v>TÄybÄd</v>
      </c>
    </row>
    <row r="6215" spans="1:6" ht="15.75" customHeight="1">
      <c r="A6215" s="6" t="s">
        <v>13507</v>
      </c>
      <c r="B6215" s="6" t="s">
        <v>13508</v>
      </c>
      <c r="C6215" s="6" t="s">
        <v>10178</v>
      </c>
      <c r="D6215" s="6" t="s">
        <v>10214</v>
      </c>
      <c r="E6215" s="2">
        <v>1254858</v>
      </c>
      <c r="F6215" s="4" t="str">
        <f>IF(B6215=B6214,"",B6215)</f>
        <v>TÄsgaon</v>
      </c>
    </row>
    <row r="6216" spans="1:6" ht="15.75" customHeight="1">
      <c r="A6216" s="5" t="s">
        <v>13505</v>
      </c>
      <c r="B6216" s="6" t="s">
        <v>13506</v>
      </c>
      <c r="C6216" s="5" t="s">
        <v>10178</v>
      </c>
      <c r="D6216" s="5" t="s">
        <v>10196</v>
      </c>
      <c r="E6216" s="2">
        <v>1254910</v>
      </c>
      <c r="F6216" s="4" t="str">
        <f>IF(B6216=B6215,"",B6216)</f>
        <v>TÄramangalam</v>
      </c>
    </row>
    <row r="6217" spans="1:6" ht="15.75" customHeight="1">
      <c r="A6217" s="5" t="s">
        <v>13503</v>
      </c>
      <c r="B6217" s="6" t="s">
        <v>13504</v>
      </c>
      <c r="C6217" s="5" t="s">
        <v>10178</v>
      </c>
      <c r="D6217" s="5" t="s">
        <v>10179</v>
      </c>
      <c r="E6217" s="2">
        <v>1254908</v>
      </c>
      <c r="F6217" s="4" t="str">
        <f>IF(B6217=B6216,"",B6217)</f>
        <v>TÄrÄnagar</v>
      </c>
    </row>
    <row r="6218" spans="1:6" ht="15.75" customHeight="1">
      <c r="A6218" s="6" t="s">
        <v>23549</v>
      </c>
      <c r="B6218" s="6" t="s">
        <v>23550</v>
      </c>
      <c r="C6218" s="6" t="s">
        <v>23454</v>
      </c>
      <c r="D6218" s="6" t="s">
        <v>6128</v>
      </c>
      <c r="E6218" s="2">
        <v>101554</v>
      </c>
      <c r="F6218" s="4" t="str">
        <f>IF(B6218=B6217,"",B6218)</f>
        <v>TÄrÅ«t</v>
      </c>
    </row>
    <row r="6219" spans="1:6" ht="15.75" customHeight="1">
      <c r="A6219" s="6" t="s">
        <v>13501</v>
      </c>
      <c r="B6219" s="6" t="s">
        <v>13502</v>
      </c>
      <c r="C6219" s="6" t="s">
        <v>10178</v>
      </c>
      <c r="D6219" s="6" t="s">
        <v>10224</v>
      </c>
      <c r="E6219" s="2">
        <v>1254948</v>
      </c>
      <c r="F6219" s="4" t="str">
        <f>IF(B6219=B6218,"",B6219)</f>
        <v>TÄoru</v>
      </c>
    </row>
    <row r="6220" spans="1:6" ht="15.75" customHeight="1">
      <c r="A6220" s="6" t="s">
        <v>18857</v>
      </c>
      <c r="B6220" s="6" t="s">
        <v>18858</v>
      </c>
      <c r="C6220" s="6" t="s">
        <v>18800</v>
      </c>
      <c r="D6220" s="6" t="s">
        <v>18803</v>
      </c>
      <c r="E6220" s="2">
        <v>1282714</v>
      </c>
      <c r="F6220" s="4" t="str">
        <f>IF(B6220=B6219,"",B6220)</f>
        <v>TÄnsen</v>
      </c>
    </row>
    <row r="6221" spans="1:6" ht="15.75" customHeight="1">
      <c r="A6221" s="6" t="s">
        <v>16460</v>
      </c>
      <c r="B6221" s="6" t="s">
        <v>16461</v>
      </c>
      <c r="C6221" s="6" t="s">
        <v>15704</v>
      </c>
      <c r="D6221" s="6" t="s">
        <v>15745</v>
      </c>
      <c r="E6221" s="2">
        <v>2110735</v>
      </c>
      <c r="F6221" s="4" t="str">
        <f>IF(B6221=B6220,"",B6221)</f>
        <v>TÅno</v>
      </c>
    </row>
    <row r="6222" spans="1:6" ht="15.75" customHeight="1">
      <c r="A6222" s="6" t="s">
        <v>20249</v>
      </c>
      <c r="B6222" s="6" t="s">
        <v>20250</v>
      </c>
      <c r="C6222" s="6" t="s">
        <v>19808</v>
      </c>
      <c r="D6222" s="6" t="s">
        <v>19811</v>
      </c>
      <c r="E6222" s="2">
        <v>1163905</v>
      </c>
      <c r="F6222" s="4" t="str">
        <f>IF(B6222=B6221,"",B6222)</f>
        <v>TÄnk</v>
      </c>
    </row>
    <row r="6223" spans="1:6" ht="15.75" customHeight="1">
      <c r="A6223" s="6" t="s">
        <v>1439</v>
      </c>
      <c r="B6223" s="6" t="s">
        <v>1440</v>
      </c>
      <c r="C6223" s="6" t="s">
        <v>1296</v>
      </c>
      <c r="D6223" s="6" t="s">
        <v>1297</v>
      </c>
      <c r="E6223" s="2">
        <v>1336144</v>
      </c>
      <c r="F6223" s="4" t="str">
        <f>IF(B6223=B6222,"",B6223)</f>
        <v>TÄngÄil</v>
      </c>
    </row>
    <row r="6224" spans="1:6" ht="15.75" customHeight="1">
      <c r="A6224" s="5" t="s">
        <v>20247</v>
      </c>
      <c r="B6224" s="6" t="s">
        <v>20248</v>
      </c>
      <c r="C6224" s="5" t="s">
        <v>19808</v>
      </c>
      <c r="D6224" s="5" t="s">
        <v>10184</v>
      </c>
      <c r="E6224" s="2">
        <v>1163968</v>
      </c>
      <c r="F6224" s="4" t="str">
        <f>IF(B6224=B6223,"",B6224)</f>
        <v>TÄndliÄnwÄla</v>
      </c>
    </row>
    <row r="6225" spans="1:6" ht="15.75" customHeight="1">
      <c r="A6225" s="6" t="s">
        <v>13499</v>
      </c>
      <c r="B6225" s="6" t="s">
        <v>13500</v>
      </c>
      <c r="C6225" s="6" t="s">
        <v>10178</v>
      </c>
      <c r="D6225" s="6" t="s">
        <v>10193</v>
      </c>
      <c r="E6225" s="2">
        <v>1255024</v>
      </c>
      <c r="F6225" s="4" t="str">
        <f>IF(B6225=B6224,"",B6225)</f>
        <v>TÄndÄ</v>
      </c>
    </row>
    <row r="6226" spans="1:6" ht="15.75" customHeight="1">
      <c r="A6226" s="6" t="s">
        <v>13497</v>
      </c>
      <c r="B6226" s="6" t="s">
        <v>13498</v>
      </c>
      <c r="C6226" s="6" t="s">
        <v>10178</v>
      </c>
      <c r="D6226" s="6" t="s">
        <v>10187</v>
      </c>
      <c r="E6226" s="2">
        <v>1255004</v>
      </c>
      <c r="F6226" s="4" t="str">
        <f>IF(B6226=B6225,"",B6226)</f>
        <v>TÄndÅ«r</v>
      </c>
    </row>
    <row r="6227" spans="1:6" ht="15.75" customHeight="1">
      <c r="A6227" s="6" t="s">
        <v>13495</v>
      </c>
      <c r="B6227" s="6" t="s">
        <v>13496</v>
      </c>
      <c r="C6227" s="6" t="s">
        <v>10178</v>
      </c>
      <c r="D6227" s="6" t="s">
        <v>10193</v>
      </c>
      <c r="E6227" s="2">
        <v>1255023</v>
      </c>
      <c r="F6227" s="4" t="str">
        <f>IF(B6227=B6226,"",B6227)</f>
        <v>TÄnda</v>
      </c>
    </row>
    <row r="6228" spans="1:6" ht="15.75" customHeight="1">
      <c r="A6228" s="6" t="s">
        <v>13493</v>
      </c>
      <c r="B6228" s="6" t="s">
        <v>13494</v>
      </c>
      <c r="C6228" s="6" t="s">
        <v>10178</v>
      </c>
      <c r="D6228" s="6" t="s">
        <v>10229</v>
      </c>
      <c r="E6228" s="2">
        <v>1255143</v>
      </c>
      <c r="F6228" s="4" t="str">
        <f>IF(B6228=B6227,"",B6228)</f>
        <v>TÄlcher</v>
      </c>
    </row>
    <row r="6229" spans="1:6" ht="15.75" customHeight="1">
      <c r="A6229" s="5" t="s">
        <v>13491</v>
      </c>
      <c r="B6229" s="6" t="s">
        <v>13492</v>
      </c>
      <c r="C6229" s="5" t="s">
        <v>10178</v>
      </c>
      <c r="D6229" s="5" t="s">
        <v>10252</v>
      </c>
      <c r="E6229" s="2">
        <v>1255122</v>
      </c>
      <c r="F6229" s="4" t="str">
        <f>IF(B6229=B6228,"",B6229)</f>
        <v>TÄlÄ«kota</v>
      </c>
    </row>
    <row r="6230" spans="1:6" ht="15.75" customHeight="1">
      <c r="A6230" s="6" t="s">
        <v>20245</v>
      </c>
      <c r="B6230" s="6" t="s">
        <v>20246</v>
      </c>
      <c r="C6230" s="6" t="s">
        <v>19808</v>
      </c>
      <c r="D6230" s="6" t="s">
        <v>19811</v>
      </c>
      <c r="E6230" s="2">
        <v>1164076</v>
      </c>
      <c r="F6230" s="4" t="str">
        <f>IF(B6230=B6229,"",B6230)</f>
        <v>TÄl</v>
      </c>
    </row>
    <row r="6231" spans="1:6" ht="15.75" customHeight="1">
      <c r="A6231" s="6" t="s">
        <v>13489</v>
      </c>
      <c r="B6231" s="6" t="s">
        <v>13490</v>
      </c>
      <c r="C6231" s="6" t="s">
        <v>10178</v>
      </c>
      <c r="D6231" s="6" t="s">
        <v>10201</v>
      </c>
      <c r="E6231" s="2">
        <v>1255211</v>
      </c>
      <c r="F6231" s="4" t="str">
        <f>IF(B6231=B6230,"",B6231)</f>
        <v>TÄki</v>
      </c>
    </row>
    <row r="6232" spans="1:6" ht="15.75" customHeight="1">
      <c r="A6232" s="5" t="s">
        <v>14566</v>
      </c>
      <c r="B6232" s="6" t="s">
        <v>14567</v>
      </c>
      <c r="C6232" s="5" t="s">
        <v>14240</v>
      </c>
      <c r="D6232" s="5" t="s">
        <v>14508</v>
      </c>
      <c r="E6232" s="2">
        <v>113491</v>
      </c>
      <c r="F6232" s="4" t="str">
        <f>IF(B6232=B6231,"",B6232)</f>
        <v>TÄkestÄn</v>
      </c>
    </row>
    <row r="6233" spans="1:6" ht="15.75" customHeight="1">
      <c r="A6233" s="5" t="s">
        <v>16458</v>
      </c>
      <c r="B6233" s="6" t="s">
        <v>16459</v>
      </c>
      <c r="C6233" s="5" t="s">
        <v>15704</v>
      </c>
      <c r="D6233" s="5" t="s">
        <v>15818</v>
      </c>
      <c r="E6233" s="2">
        <v>1850217</v>
      </c>
      <c r="F6233" s="4" t="str">
        <f>IF(B6233=B6232,"",B6233)</f>
        <v>TÅkamachi</v>
      </c>
    </row>
    <row r="6234" spans="1:6" ht="15.75" customHeight="1">
      <c r="A6234" s="6" t="s">
        <v>13487</v>
      </c>
      <c r="B6234" s="6" t="s">
        <v>13488</v>
      </c>
      <c r="C6234" s="6" t="s">
        <v>10178</v>
      </c>
      <c r="D6234" s="6" t="s">
        <v>10193</v>
      </c>
      <c r="E6234" s="2">
        <v>1255224</v>
      </c>
      <c r="F6234" s="4" t="str">
        <f>IF(B6234=B6233,"",B6234)</f>
        <v>TÄjpur</v>
      </c>
    </row>
    <row r="6235" spans="1:6" ht="15.75" customHeight="1">
      <c r="A6235" s="6" t="s">
        <v>16456</v>
      </c>
      <c r="B6235" s="6" t="s">
        <v>16457</v>
      </c>
      <c r="C6235" s="6" t="s">
        <v>15704</v>
      </c>
      <c r="D6235" s="6" t="s">
        <v>15707</v>
      </c>
      <c r="E6235" s="2">
        <v>2110774</v>
      </c>
      <c r="F6235" s="4" t="str">
        <f>IF(B6235=B6234,"",B6235)</f>
        <v>TÅgane</v>
      </c>
    </row>
    <row r="6236" spans="1:6" ht="15.75" customHeight="1">
      <c r="A6236" s="6" t="s">
        <v>13485</v>
      </c>
      <c r="B6236" s="6" t="s">
        <v>13486</v>
      </c>
      <c r="C6236" s="6" t="s">
        <v>10178</v>
      </c>
      <c r="D6236" s="6" t="s">
        <v>10190</v>
      </c>
      <c r="E6236" s="2">
        <v>1255254</v>
      </c>
      <c r="F6236" s="4" t="str">
        <f>IF(B6236=B6235,"",B6236)</f>
        <v>TÄdpatri</v>
      </c>
    </row>
    <row r="6237" spans="1:6" ht="15.75" customHeight="1">
      <c r="A6237" s="6" t="s">
        <v>25489</v>
      </c>
      <c r="B6237" s="6" t="s">
        <v>25490</v>
      </c>
      <c r="C6237" s="6" t="s">
        <v>25366</v>
      </c>
      <c r="D6237" s="6" t="s">
        <v>25380</v>
      </c>
      <c r="E6237" s="2">
        <v>163811</v>
      </c>
      <c r="F6237" s="4" t="str">
        <f>IF(B6237=B6236,"",B6237)</f>
        <v>TÄdif</v>
      </c>
    </row>
    <row r="6238" spans="1:6" ht="15.75" customHeight="1">
      <c r="A6238" s="5" t="s">
        <v>13483</v>
      </c>
      <c r="B6238" s="6" t="s">
        <v>13484</v>
      </c>
      <c r="C6238" s="5" t="s">
        <v>10178</v>
      </c>
      <c r="D6238" s="5" t="s">
        <v>10190</v>
      </c>
      <c r="E6238" s="2">
        <v>1255264</v>
      </c>
      <c r="F6238" s="4" t="str">
        <f>IF(B6238=B6237,"",B6238)</f>
        <v>TÄdepallegÅ«dem</v>
      </c>
    </row>
    <row r="6239" spans="1:6" ht="15.75" customHeight="1">
      <c r="A6239" s="5" t="s">
        <v>13481</v>
      </c>
      <c r="B6239" s="6" t="s">
        <v>13482</v>
      </c>
      <c r="C6239" s="5" t="s">
        <v>10178</v>
      </c>
      <c r="D6239" s="5" t="s">
        <v>10190</v>
      </c>
      <c r="E6239" s="2">
        <v>1255265</v>
      </c>
      <c r="F6239" s="4" t="str">
        <f>IF(B6239=B6238,"",B6239)</f>
        <v>TÄdepalle</v>
      </c>
    </row>
    <row r="6240" spans="1:6" ht="15.75" customHeight="1">
      <c r="A6240" s="6" t="s">
        <v>16454</v>
      </c>
      <c r="B6240" s="6" t="s">
        <v>16455</v>
      </c>
      <c r="C6240" s="6" t="s">
        <v>15704</v>
      </c>
      <c r="D6240" s="6" t="s">
        <v>15705</v>
      </c>
      <c r="E6240" s="2">
        <v>2127802</v>
      </c>
      <c r="F6240" s="4" t="str">
        <f>IF(B6240=B6239,"",B6240)</f>
        <v>TÅbetsu</v>
      </c>
    </row>
    <row r="6241" spans="1:6" ht="15.75" customHeight="1">
      <c r="A6241" s="5" t="s">
        <v>10151</v>
      </c>
      <c r="B6241" s="6" t="s">
        <v>10152</v>
      </c>
      <c r="C6241" s="5" t="s">
        <v>9955</v>
      </c>
      <c r="D6241" s="5" t="s">
        <v>10071</v>
      </c>
      <c r="E6241" s="2">
        <v>714581</v>
      </c>
      <c r="F6241" s="4" t="str">
        <f>IF(B6241=B6240,"",B6241)</f>
        <v>TÃ¶rÃ¶kszentmiklÃ³s</v>
      </c>
    </row>
    <row r="6242" spans="1:6" ht="15.75" customHeight="1">
      <c r="A6242" s="5" t="s">
        <v>9192</v>
      </c>
      <c r="B6242" s="6" t="s">
        <v>9193</v>
      </c>
      <c r="C6242" s="5" t="s">
        <v>8028</v>
      </c>
      <c r="D6242" s="5" t="s">
        <v>8029</v>
      </c>
      <c r="E6242" s="2">
        <v>2821899</v>
      </c>
      <c r="F6242" s="4" t="str">
        <f>IF(B6242=B6241,"",B6242)</f>
        <v>TÃ¶nisvorst</v>
      </c>
    </row>
    <row r="6243" spans="1:6" ht="15.75" customHeight="1">
      <c r="A6243" s="6" t="s">
        <v>18632</v>
      </c>
      <c r="B6243" s="6" t="s">
        <v>18633</v>
      </c>
      <c r="C6243" s="6" t="s">
        <v>18551</v>
      </c>
      <c r="D6243" s="6" t="s">
        <v>18559</v>
      </c>
      <c r="E6243" s="2">
        <v>2528910</v>
      </c>
      <c r="F6243" s="4" t="str">
        <f>IF(B6243=B6242,"",B6243)</f>
        <v>TÃ©touan</v>
      </c>
    </row>
    <row r="6244" spans="1:6" ht="15.75" customHeight="1">
      <c r="A6244" s="6" t="s">
        <v>19285</v>
      </c>
      <c r="B6244" s="6" t="s">
        <v>19286</v>
      </c>
      <c r="C6244" s="6" t="s">
        <v>19259</v>
      </c>
      <c r="D6244" s="6" t="s">
        <v>19263</v>
      </c>
      <c r="E6244" s="2">
        <v>2438855</v>
      </c>
      <c r="F6244" s="4" t="str">
        <f>IF(B6244=B6243,"",B6244)</f>
        <v>TÃ©ra</v>
      </c>
    </row>
    <row r="6245" spans="1:6" ht="15.75" customHeight="1">
      <c r="A6245" s="5" t="s">
        <v>9849</v>
      </c>
      <c r="B6245" s="6" t="s">
        <v>9850</v>
      </c>
      <c r="C6245" s="5" t="s">
        <v>9826</v>
      </c>
      <c r="D6245" s="5" t="s">
        <v>9831</v>
      </c>
      <c r="E6245" s="2">
        <v>2414926</v>
      </c>
      <c r="F6245" s="4" t="str">
        <f>IF(B6245=B6244,"",B6245)</f>
        <v>TÃ©limÃ©lÃ©</v>
      </c>
    </row>
    <row r="6246" spans="1:6" ht="15.75" customHeight="1">
      <c r="A6246" s="6" t="s">
        <v>17671</v>
      </c>
      <c r="B6246" s="6" t="s">
        <v>17672</v>
      </c>
      <c r="C6246" s="6" t="s">
        <v>17650</v>
      </c>
      <c r="D6246" s="6" t="s">
        <v>17667</v>
      </c>
      <c r="E6246" s="2">
        <v>2376189</v>
      </c>
      <c r="F6246" s="4" t="str">
        <f>IF(B6246=B6245,"",B6246)</f>
        <v>TÃ©kane</v>
      </c>
    </row>
    <row r="6247" spans="1:6" ht="15.75" customHeight="1">
      <c r="A6247" s="6" t="s">
        <v>468</v>
      </c>
      <c r="B6247" s="6" t="s">
        <v>264</v>
      </c>
      <c r="C6247" s="6" t="s">
        <v>153</v>
      </c>
      <c r="D6247" s="6" t="s">
        <v>264</v>
      </c>
      <c r="E6247" s="2">
        <v>2477461</v>
      </c>
      <c r="F6247" s="4" t="str">
        <f>IF(B6247=B6246,"",B6247)</f>
        <v>TÃ©bessa</v>
      </c>
    </row>
    <row r="6248" spans="1:6" ht="15.75" customHeight="1">
      <c r="A6248" s="5" t="s">
        <v>13479</v>
      </c>
      <c r="B6248" s="6" t="s">
        <v>13480</v>
      </c>
      <c r="C6248" s="5" t="s">
        <v>10178</v>
      </c>
      <c r="D6248" s="5" t="s">
        <v>10252</v>
      </c>
      <c r="E6248" s="2">
        <v>1254396</v>
      </c>
      <c r="F6248" s="4" t="str">
        <f>IF(B6248=B6247,"",B6248)</f>
        <v>TÄ«rthahalli</v>
      </c>
    </row>
    <row r="6249" spans="1:6" ht="15.75" customHeight="1">
      <c r="A6249" s="6" t="s">
        <v>13477</v>
      </c>
      <c r="B6249" s="6" t="s">
        <v>13478</v>
      </c>
      <c r="C6249" s="6" t="s">
        <v>10178</v>
      </c>
      <c r="D6249" s="6" t="s">
        <v>10193</v>
      </c>
      <c r="E6249" s="2">
        <v>1254069</v>
      </c>
      <c r="F6249" s="4" t="str">
        <f>IF(B6249=B6248,"",B6249)</f>
        <v>TÅ«ndla</v>
      </c>
    </row>
    <row r="6250" spans="1:6" ht="15.75" customHeight="1">
      <c r="A6250" s="6" t="s">
        <v>17134</v>
      </c>
      <c r="B6250" s="6" t="s">
        <v>17135</v>
      </c>
      <c r="C6250" s="6" t="s">
        <v>17074</v>
      </c>
      <c r="D6250" s="6" t="s">
        <v>17078</v>
      </c>
      <c r="E6250" s="2">
        <v>88834</v>
      </c>
      <c r="F6250" s="4" t="str">
        <f>IF(B6250=B6249,"",B6250)</f>
        <v>TÅ«krah</v>
      </c>
    </row>
    <row r="6251" spans="1:6" ht="15.75" customHeight="1">
      <c r="A6251" s="5" t="s">
        <v>13475</v>
      </c>
      <c r="B6251" s="6" t="s">
        <v>13476</v>
      </c>
      <c r="C6251" s="5" t="s">
        <v>10178</v>
      </c>
      <c r="D6251" s="5" t="s">
        <v>10219</v>
      </c>
      <c r="E6251" s="2">
        <v>1254534</v>
      </c>
      <c r="F6251" s="4" t="str">
        <f>IF(B6251=B6250,"",B6251)</f>
        <v>TÄ«kamgarh</v>
      </c>
    </row>
    <row r="6252" spans="1:6" ht="15.75" customHeight="1">
      <c r="A6252" s="5" t="s">
        <v>18855</v>
      </c>
      <c r="B6252" s="6" t="s">
        <v>18856</v>
      </c>
      <c r="C6252" s="5" t="s">
        <v>18800</v>
      </c>
      <c r="D6252" s="5" t="s">
        <v>18820</v>
      </c>
      <c r="E6252" s="2">
        <v>1282666</v>
      </c>
      <c r="F6252" s="4" t="str">
        <f>IF(B6252=B6251,"",B6252)</f>
        <v>TÄ«kÄpur</v>
      </c>
    </row>
    <row r="6253" spans="1:6" ht="15.75" customHeight="1">
      <c r="A6253" s="5" t="s">
        <v>19682</v>
      </c>
      <c r="B6253" s="6" t="s">
        <v>19683</v>
      </c>
      <c r="C6253" s="5" t="s">
        <v>19589</v>
      </c>
      <c r="D6253" s="5" t="s">
        <v>19595</v>
      </c>
      <c r="E6253" s="2">
        <v>1867927</v>
      </c>
      <c r="F6253" s="4" t="str">
        <f>IF(B6253=B6252,"",B6253)</f>
        <v>Tâ€™ongchâ€™Ån-Å­p</v>
      </c>
    </row>
    <row r="6254" spans="1:6" ht="15.75" customHeight="1">
      <c r="A6254" s="6" t="s">
        <v>24149</v>
      </c>
      <c r="B6254" s="6" t="s">
        <v>24150</v>
      </c>
      <c r="C6254" s="6" t="s">
        <v>24024</v>
      </c>
      <c r="D6254" s="6" t="s">
        <v>24054</v>
      </c>
      <c r="E6254" s="2">
        <v>1835515</v>
      </c>
      <c r="F6254" s="4" t="str">
        <f>IF(B6254=B6253,"",B6254)</f>
        <v>Tâ€™aebaek</v>
      </c>
    </row>
    <row r="6255" spans="1:6" ht="15.75" customHeight="1">
      <c r="A6255" s="6" t="s">
        <v>25208</v>
      </c>
      <c r="B6255" s="6" t="s">
        <v>25209</v>
      </c>
      <c r="C6255" s="6" t="s">
        <v>25077</v>
      </c>
      <c r="D6255" s="6" t="s">
        <v>25081</v>
      </c>
      <c r="E6255" s="2">
        <v>2669772</v>
      </c>
      <c r="F6255" s="4" t="str">
        <f>IF(B6255=B6254,"",B6255)</f>
        <v>TÃ¤by</v>
      </c>
    </row>
    <row r="6256" spans="1:6" ht="15.75" customHeight="1">
      <c r="A6256" s="5" t="s">
        <v>30910</v>
      </c>
      <c r="B6256" s="6" t="s">
        <v>30886</v>
      </c>
      <c r="C6256" s="5" t="s">
        <v>30784</v>
      </c>
      <c r="D6256" s="5" t="s">
        <v>30886</v>
      </c>
      <c r="E6256" s="2">
        <v>1566559</v>
      </c>
      <c r="F6256" s="4" t="str">
        <f>IF(B6256=B6255,"",B6256)</f>
        <v>TÃ¢y Ninh</v>
      </c>
    </row>
    <row r="6257" spans="1:6" ht="15.75" customHeight="1">
      <c r="A6257" s="5" t="s">
        <v>22048</v>
      </c>
      <c r="B6257" s="6" t="s">
        <v>22049</v>
      </c>
      <c r="C6257" s="5" t="s">
        <v>21824</v>
      </c>
      <c r="D6257" s="5" t="s">
        <v>21949</v>
      </c>
      <c r="E6257" s="2">
        <v>664963</v>
      </c>
      <c r="F6257" s="4" t="str">
        <f>IF(B6257=B6256,"",B6257)</f>
        <v>TÃ¢rnÄƒveni</v>
      </c>
    </row>
    <row r="6258" spans="1:6" ht="15.75" customHeight="1">
      <c r="A6258" s="5" t="s">
        <v>22046</v>
      </c>
      <c r="B6258" s="6" t="s">
        <v>22047</v>
      </c>
      <c r="C6258" s="5" t="s">
        <v>21824</v>
      </c>
      <c r="D6258" s="5" t="s">
        <v>21949</v>
      </c>
      <c r="E6258" s="2">
        <v>665004</v>
      </c>
      <c r="F6258" s="4" t="str">
        <f>IF(B6258=B6257,"",B6258)</f>
        <v>TÃ¢rgu-MureÅŸ</v>
      </c>
    </row>
    <row r="6259" spans="1:6" ht="15.75" customHeight="1">
      <c r="A6259" s="5" t="s">
        <v>22044</v>
      </c>
      <c r="B6259" s="6" t="s">
        <v>22045</v>
      </c>
      <c r="C6259" s="5" t="s">
        <v>21824</v>
      </c>
      <c r="D6259" s="5" t="s">
        <v>22031</v>
      </c>
      <c r="E6259" s="2">
        <v>665000</v>
      </c>
      <c r="F6259" s="4" t="str">
        <f>IF(B6259=B6258,"",B6259)</f>
        <v>TÃ¢rgu Secuiesc</v>
      </c>
    </row>
    <row r="6260" spans="1:6" ht="15.75" customHeight="1">
      <c r="A6260" s="5" t="s">
        <v>22042</v>
      </c>
      <c r="B6260" s="6" t="s">
        <v>22043</v>
      </c>
      <c r="C6260" s="5" t="s">
        <v>21824</v>
      </c>
      <c r="D6260" s="5" t="s">
        <v>21988</v>
      </c>
      <c r="E6260" s="2">
        <v>665003</v>
      </c>
      <c r="F6260" s="4" t="str">
        <f>IF(B6260=B6259,"",B6260)</f>
        <v>TÃ¢rgu NeamÅ£</v>
      </c>
    </row>
    <row r="6261" spans="1:6" ht="15.75" customHeight="1">
      <c r="A6261" s="6" t="s">
        <v>22040</v>
      </c>
      <c r="B6261" s="6" t="s">
        <v>22041</v>
      </c>
      <c r="C6261" s="6" t="s">
        <v>21824</v>
      </c>
      <c r="D6261" s="6" t="s">
        <v>21966</v>
      </c>
      <c r="E6261" s="2">
        <v>665010</v>
      </c>
      <c r="F6261" s="4" t="str">
        <f>IF(B6261=B6260,"",B6261)</f>
        <v>TÃ¢rgu Jiu</v>
      </c>
    </row>
    <row r="6262" spans="1:6" ht="15.75" customHeight="1">
      <c r="A6262" s="5" t="s">
        <v>22038</v>
      </c>
      <c r="B6262" s="6" t="s">
        <v>22039</v>
      </c>
      <c r="C6262" s="5" t="s">
        <v>21824</v>
      </c>
      <c r="D6262" s="5" t="s">
        <v>21934</v>
      </c>
      <c r="E6262" s="2">
        <v>665024</v>
      </c>
      <c r="F6262" s="4" t="str">
        <f>IF(B6262=B6261,"",B6262)</f>
        <v>TÃ¢rgoviÅŸte</v>
      </c>
    </row>
    <row r="6263" spans="1:6" ht="15.75" customHeight="1">
      <c r="A6263" s="6" t="s">
        <v>30908</v>
      </c>
      <c r="B6263" s="6" t="s">
        <v>30909</v>
      </c>
      <c r="C6263" s="6" t="s">
        <v>30784</v>
      </c>
      <c r="D6263" s="6" t="s">
        <v>30828</v>
      </c>
      <c r="E6263" s="2">
        <v>1567069</v>
      </c>
      <c r="F6263" s="4" t="str">
        <f>IF(B6263=B6262,"",B6263)</f>
        <v>TÃ¢n An</v>
      </c>
    </row>
    <row r="6264" spans="1:6" ht="15.75" customHeight="1">
      <c r="A6264" s="5" t="str">
        <f ca="1">IFERROR(__xludf.DUMMYFUNCTION("GOOGLETRANSLATE(B41038,""en"",""pt"")"),"Ta'if")</f>
        <v>Ta'if</v>
      </c>
      <c r="B6264" s="17" t="s">
        <v>35586</v>
      </c>
      <c r="C6264" s="17" t="s">
        <v>23454</v>
      </c>
      <c r="D6264" s="17" t="s">
        <v>23491</v>
      </c>
      <c r="E6264" s="10">
        <v>107968</v>
      </c>
      <c r="F6264" s="4" t="str">
        <f>IF(B6264=B6263,"",B6264)</f>
        <v>Ta’if</v>
      </c>
    </row>
    <row r="6265" spans="1:6" ht="15.75" customHeight="1">
      <c r="A6265" s="5" t="str">
        <f ca="1">IFERROR(__xludf.DUMMYFUNCTION("GOOGLETRANSLATE(B45819,""en"",""pt"")"),"Ta‘izz")</f>
        <v>Ta‘izz</v>
      </c>
      <c r="B6265" s="17" t="s">
        <v>36215</v>
      </c>
      <c r="C6265" s="17" t="s">
        <v>30993</v>
      </c>
      <c r="D6265" s="17" t="s">
        <v>36215</v>
      </c>
      <c r="E6265" s="10">
        <v>70225</v>
      </c>
      <c r="F6265" s="4" t="str">
        <f>IF(B6265=B6264,"",B6265)</f>
        <v>Ta‘izz</v>
      </c>
    </row>
    <row r="6266" spans="1:6" ht="15.75" customHeight="1">
      <c r="A6266" s="5" t="s">
        <v>19746</v>
      </c>
      <c r="B6266" s="6" t="s">
        <v>19747</v>
      </c>
      <c r="C6266" s="5" t="s">
        <v>19695</v>
      </c>
      <c r="D6266" s="5" t="s">
        <v>19722</v>
      </c>
      <c r="E6266" s="2">
        <v>3134331</v>
      </c>
      <c r="F6266" s="4" t="str">
        <f>IF(B6266=B6265,"",B6266)</f>
        <v>TÃ¸nsberg</v>
      </c>
    </row>
    <row r="6267" spans="1:6" ht="15.75" customHeight="1">
      <c r="A6267" s="6" t="s">
        <v>30766</v>
      </c>
      <c r="B6267" s="6" t="s">
        <v>30767</v>
      </c>
      <c r="C6267" s="6" t="s">
        <v>5923</v>
      </c>
      <c r="D6267" s="6" t="s">
        <v>30711</v>
      </c>
      <c r="E6267" s="2">
        <v>3626402</v>
      </c>
      <c r="F6267" s="4" t="str">
        <f>IF(B6267=B6266,"",B6267)</f>
        <v>TÃ¡riba</v>
      </c>
    </row>
    <row r="6268" spans="1:6" ht="15.75" customHeight="1">
      <c r="A6268" s="6" t="s">
        <v>6105</v>
      </c>
      <c r="B6268" s="6" t="s">
        <v>6106</v>
      </c>
      <c r="C6268" s="6" t="s">
        <v>5947</v>
      </c>
      <c r="D6268" s="6" t="s">
        <v>5968</v>
      </c>
      <c r="E6268" s="2">
        <v>3064379</v>
      </c>
      <c r="F6268" s="4" t="str">
        <f>IF(B6268=B6267,"",B6268)</f>
        <v>TÃ¡bor</v>
      </c>
    </row>
    <row r="6269" spans="1:6" ht="15.75" customHeight="1">
      <c r="A6269" s="6" t="s">
        <v>24829</v>
      </c>
      <c r="B6269" s="6" t="s">
        <v>24830</v>
      </c>
      <c r="C6269" s="6" t="s">
        <v>24200</v>
      </c>
      <c r="D6269" s="6" t="s">
        <v>24277</v>
      </c>
      <c r="E6269" s="2">
        <v>3108285</v>
      </c>
      <c r="F6269" s="4" t="str">
        <f>IF(B6269=B6268,"",B6269)</f>
        <v>TÃ rrega</v>
      </c>
    </row>
    <row r="6270" spans="1:6" ht="15.75" customHeight="1">
      <c r="A6270" s="6" t="s">
        <v>3877</v>
      </c>
      <c r="B6270" s="6" t="s">
        <v>3877</v>
      </c>
      <c r="C6270" s="6" t="s">
        <v>3838</v>
      </c>
      <c r="D6270" s="6" t="s">
        <v>3878</v>
      </c>
      <c r="E6270" s="2">
        <v>1821935</v>
      </c>
      <c r="F6270" s="4" t="str">
        <f>IF(B6270=B6269,"",B6270)</f>
        <v>Ta Khmau</v>
      </c>
    </row>
    <row r="6271" spans="1:6" ht="15.75" customHeight="1">
      <c r="A6271" s="5" t="str">
        <f ca="1">IFERROR(__xludf.DUMMYFUNCTION("GOOGLETRANSLATE(B35960,""en"",""pt"")"),"Ta Khmau")</f>
        <v>Ta Khmau</v>
      </c>
      <c r="B6271" s="17" t="s">
        <v>3877</v>
      </c>
      <c r="C6271" s="17" t="s">
        <v>3838</v>
      </c>
      <c r="D6271" s="17" t="s">
        <v>3878</v>
      </c>
      <c r="E6271" s="10">
        <v>1821935</v>
      </c>
      <c r="F6271" s="4" t="str">
        <f>IF(B6271=B6270,"",B6271)</f>
        <v/>
      </c>
    </row>
    <row r="6272" spans="1:6" ht="15.75" customHeight="1">
      <c r="A6272" s="5" t="str">
        <f ca="1">IFERROR(__xludf.DUMMYFUNCTION("GOOGLETRANSLATE(B35991,""en"",""pt"")"),"T'ongch'ŏn-ŭp")</f>
        <v>T'ongch'ŏn-ŭp</v>
      </c>
      <c r="B6272" s="17" t="s">
        <v>34435</v>
      </c>
      <c r="C6272" s="17" t="s">
        <v>19589</v>
      </c>
      <c r="D6272" s="17" t="s">
        <v>34434</v>
      </c>
      <c r="E6272" s="10">
        <v>1867927</v>
      </c>
      <c r="F6272" s="4" t="str">
        <f>IF(B6272=B6271,"",B6272)</f>
        <v>T’ongch’ŏn-ŭp</v>
      </c>
    </row>
    <row r="6273" spans="1:6" ht="15.75" customHeight="1">
      <c r="A6273" s="5" t="str">
        <f ca="1">IFERROR(__xludf.DUMMYFUNCTION("GOOGLETRANSLATE(B36069,""en"",""pt"")"),"T'aebaek")</f>
        <v>T'aebaek</v>
      </c>
      <c r="B6273" s="17" t="s">
        <v>34472</v>
      </c>
      <c r="C6273" s="17" t="s">
        <v>24024</v>
      </c>
      <c r="D6273" s="17" t="s">
        <v>24054</v>
      </c>
      <c r="E6273" s="10">
        <v>1835515</v>
      </c>
      <c r="F6273" s="4" t="str">
        <f>IF(B6273=B6272,"",B6273)</f>
        <v>T’aebaek</v>
      </c>
    </row>
    <row r="6274" spans="1:6" ht="15.75" customHeight="1">
      <c r="A6274" s="5" t="s">
        <v>10150</v>
      </c>
      <c r="B6274" s="6" t="s">
        <v>10150</v>
      </c>
      <c r="C6274" s="5" t="s">
        <v>9955</v>
      </c>
      <c r="D6274" s="5" t="s">
        <v>10129</v>
      </c>
      <c r="E6274" s="2">
        <v>3044310</v>
      </c>
      <c r="F6274" s="4" t="str">
        <f>IF(B6274=B6273,"",B6274)</f>
        <v>Szombathely</v>
      </c>
    </row>
    <row r="6275" spans="1:6" ht="15.75" customHeight="1">
      <c r="A6275" s="5" t="str">
        <f ca="1">IFERROR(__xludf.DUMMYFUNCTION("GOOGLETRANSLATE(B31280,""en"",""pt"")"),"Szombathely")</f>
        <v>Szombathely</v>
      </c>
      <c r="B6275" s="17" t="s">
        <v>10150</v>
      </c>
      <c r="C6275" s="17" t="s">
        <v>9955</v>
      </c>
      <c r="D6275" s="17" t="s">
        <v>10129</v>
      </c>
      <c r="E6275" s="10">
        <v>3044310</v>
      </c>
      <c r="F6275" s="4" t="str">
        <f>IF(B6275=B6274,"",B6275)</f>
        <v/>
      </c>
    </row>
    <row r="6276" spans="1:6" ht="15.75" customHeight="1">
      <c r="A6276" s="6" t="s">
        <v>10149</v>
      </c>
      <c r="B6276" s="6" t="s">
        <v>10149</v>
      </c>
      <c r="C6276" s="6" t="s">
        <v>9955</v>
      </c>
      <c r="D6276" s="6" t="s">
        <v>10071</v>
      </c>
      <c r="E6276" s="2">
        <v>715126</v>
      </c>
      <c r="F6276" s="4" t="str">
        <f>IF(B6276=B6275,"",B6276)</f>
        <v>Szolnok</v>
      </c>
    </row>
    <row r="6277" spans="1:6" ht="15.75" customHeight="1">
      <c r="A6277" s="5" t="str">
        <f ca="1">IFERROR(__xludf.DUMMYFUNCTION("GOOGLETRANSLATE(B31241,""en"",""pt"")"),"Szolnok")</f>
        <v>Szolnok</v>
      </c>
      <c r="B6277" s="17" t="s">
        <v>10149</v>
      </c>
      <c r="C6277" s="17" t="s">
        <v>9955</v>
      </c>
      <c r="D6277" s="17" t="s">
        <v>32822</v>
      </c>
      <c r="E6277" s="10">
        <v>715126</v>
      </c>
      <c r="F6277" s="4" t="str">
        <f>IF(B6277=B6276,"",B6277)</f>
        <v/>
      </c>
    </row>
    <row r="6278" spans="1:6" ht="15.75" customHeight="1">
      <c r="A6278" s="5" t="str">
        <f ca="1">IFERROR(__xludf.DUMMYFUNCTION("GOOGLETRANSLATE(B31281,""en"",""pt"")"),"Szigetszentmiklós")</f>
        <v>Szigetszentmiklós</v>
      </c>
      <c r="B6278" s="17" t="s">
        <v>32853</v>
      </c>
      <c r="C6278" s="17" t="s">
        <v>9955</v>
      </c>
      <c r="D6278" s="17" t="s">
        <v>9959</v>
      </c>
      <c r="E6278" s="10">
        <v>3044475</v>
      </c>
      <c r="F6278" s="4" t="str">
        <f>IF(B6278=B6277,"",B6278)</f>
        <v>Szigetszentmiklós</v>
      </c>
    </row>
    <row r="6279" spans="1:6" ht="15.75" customHeight="1">
      <c r="A6279" s="5" t="s">
        <v>10147</v>
      </c>
      <c r="B6279" s="6" t="s">
        <v>10148</v>
      </c>
      <c r="C6279" s="5" t="s">
        <v>9955</v>
      </c>
      <c r="D6279" s="5" t="s">
        <v>9959</v>
      </c>
      <c r="E6279" s="2">
        <v>3044475</v>
      </c>
      <c r="F6279" s="4" t="str">
        <f>IF(B6279=B6278,"",B6279)</f>
        <v>SzigetszentmiklÃ³s</v>
      </c>
    </row>
    <row r="6280" spans="1:6" ht="15.75" customHeight="1">
      <c r="A6280" s="6" t="s">
        <v>10146</v>
      </c>
      <c r="B6280" s="6" t="s">
        <v>10146</v>
      </c>
      <c r="C6280" s="6" t="s">
        <v>9955</v>
      </c>
      <c r="D6280" s="6" t="s">
        <v>10029</v>
      </c>
      <c r="E6280" s="2">
        <v>715338</v>
      </c>
      <c r="F6280" s="4" t="str">
        <f>IF(B6280=B6279,"",B6280)</f>
        <v>Szentes</v>
      </c>
    </row>
    <row r="6281" spans="1:6" ht="15.75" customHeight="1">
      <c r="A6281" s="5" t="str">
        <f ca="1">IFERROR(__xludf.DUMMYFUNCTION("GOOGLETRANSLATE(B31242,""en"",""pt"")"),"Szentes")</f>
        <v>Szentes</v>
      </c>
      <c r="B6281" s="17" t="s">
        <v>10146</v>
      </c>
      <c r="C6281" s="17" t="s">
        <v>9955</v>
      </c>
      <c r="D6281" s="17" t="s">
        <v>32825</v>
      </c>
      <c r="E6281" s="10">
        <v>715338</v>
      </c>
      <c r="F6281" s="4" t="str">
        <f>IF(B6281=B6280,"",B6281)</f>
        <v/>
      </c>
    </row>
    <row r="6282" spans="1:6" ht="15.75" customHeight="1">
      <c r="A6282" s="5" t="s">
        <v>10145</v>
      </c>
      <c r="B6282" s="6" t="s">
        <v>10145</v>
      </c>
      <c r="C6282" s="5" t="s">
        <v>9955</v>
      </c>
      <c r="D6282" s="5" t="s">
        <v>9959</v>
      </c>
      <c r="E6282" s="2">
        <v>3044681</v>
      </c>
      <c r="F6282" s="4" t="str">
        <f>IF(B6282=B6281,"",B6282)</f>
        <v>Szentendre</v>
      </c>
    </row>
    <row r="6283" spans="1:6" ht="15.75" customHeight="1">
      <c r="A6283" s="5" t="str">
        <f ca="1">IFERROR(__xludf.DUMMYFUNCTION("GOOGLETRANSLATE(B31282,""en"",""pt"")"),"Szentendre")</f>
        <v>Szentendre</v>
      </c>
      <c r="B6283" s="17" t="s">
        <v>10145</v>
      </c>
      <c r="C6283" s="17" t="s">
        <v>9955</v>
      </c>
      <c r="D6283" s="17" t="s">
        <v>9959</v>
      </c>
      <c r="E6283" s="10">
        <v>3044681</v>
      </c>
      <c r="F6283" s="4" t="str">
        <f>IF(B6283=B6282,"",B6283)</f>
        <v/>
      </c>
    </row>
    <row r="6284" spans="1:6" ht="15.75" customHeight="1">
      <c r="A6284" s="5" t="str">
        <f ca="1">IFERROR(__xludf.DUMMYFUNCTION("GOOGLETRANSLATE(B31283,""en"",""pt"")"),"Szekszárd")</f>
        <v>Szekszárd</v>
      </c>
      <c r="B6284" s="17" t="s">
        <v>32854</v>
      </c>
      <c r="C6284" s="17" t="s">
        <v>9955</v>
      </c>
      <c r="D6284" s="17" t="s">
        <v>10034</v>
      </c>
      <c r="E6284" s="10">
        <v>3044760</v>
      </c>
      <c r="F6284" s="4" t="str">
        <f>IF(B6284=B6283,"",B6284)</f>
        <v>Szekszárd</v>
      </c>
    </row>
    <row r="6285" spans="1:6" ht="15.75" customHeight="1">
      <c r="A6285" s="5" t="s">
        <v>10143</v>
      </c>
      <c r="B6285" s="6" t="s">
        <v>10144</v>
      </c>
      <c r="C6285" s="5" t="s">
        <v>9955</v>
      </c>
      <c r="D6285" s="5" t="s">
        <v>10034</v>
      </c>
      <c r="E6285" s="2">
        <v>3044760</v>
      </c>
      <c r="F6285" s="4" t="str">
        <f>IF(B6285=B6284,"",B6285)</f>
        <v>SzekszÃ¡rd</v>
      </c>
    </row>
    <row r="6286" spans="1:6" ht="15.75" customHeight="1">
      <c r="A6286" s="5" t="str">
        <f ca="1">IFERROR(__xludf.DUMMYFUNCTION("GOOGLETRANSLATE(B31284,""en"",""pt"")"),"Székesfehérvár")</f>
        <v>Székesfehérvár</v>
      </c>
      <c r="B6286" s="17" t="s">
        <v>32855</v>
      </c>
      <c r="C6286" s="17" t="s">
        <v>9955</v>
      </c>
      <c r="D6286" s="17" t="s">
        <v>32856</v>
      </c>
      <c r="E6286" s="10">
        <v>3044774</v>
      </c>
      <c r="F6286" s="4" t="str">
        <f>IF(B6286=B6285,"",B6286)</f>
        <v>Székesfehérvár</v>
      </c>
    </row>
    <row r="6287" spans="1:6" ht="15.75" customHeight="1">
      <c r="A6287" s="6" t="s">
        <v>10141</v>
      </c>
      <c r="B6287" s="6" t="s">
        <v>10142</v>
      </c>
      <c r="C6287" s="6" t="s">
        <v>9955</v>
      </c>
      <c r="D6287" s="6" t="s">
        <v>10029</v>
      </c>
      <c r="E6287" s="2">
        <v>715429</v>
      </c>
      <c r="F6287" s="4" t="str">
        <f>IF(B6287=B6286,"",B6287)</f>
        <v>Szeged</v>
      </c>
    </row>
    <row r="6288" spans="1:6" ht="15.75" customHeight="1">
      <c r="A6288" s="5" t="str">
        <f ca="1">IFERROR(__xludf.DUMMYFUNCTION("GOOGLETRANSLATE(B31243,""en"",""pt"")"),"Povoado")</f>
        <v>Povoado</v>
      </c>
      <c r="B6288" s="17" t="s">
        <v>10142</v>
      </c>
      <c r="C6288" s="17" t="s">
        <v>9955</v>
      </c>
      <c r="D6288" s="17" t="s">
        <v>32825</v>
      </c>
      <c r="E6288" s="10">
        <v>715429</v>
      </c>
      <c r="F6288" s="4" t="str">
        <f>IF(B6288=B6287,"",B6288)</f>
        <v/>
      </c>
    </row>
    <row r="6289" spans="1:6" ht="15.75" customHeight="1">
      <c r="A6289" s="6" t="s">
        <v>21525</v>
      </c>
      <c r="B6289" s="6" t="s">
        <v>21525</v>
      </c>
      <c r="C6289" s="6" t="s">
        <v>21064</v>
      </c>
      <c r="D6289" s="6" t="s">
        <v>21131</v>
      </c>
      <c r="E6289" s="2">
        <v>757357</v>
      </c>
      <c r="F6289" s="4" t="str">
        <f>IF(B6289=B6288,"",B6289)</f>
        <v>Szczytno</v>
      </c>
    </row>
    <row r="6290" spans="1:6" ht="15.75" customHeight="1">
      <c r="A6290" s="5" t="str">
        <f ca="1">IFERROR(__xludf.DUMMYFUNCTION("GOOGLETRANSLATE(B39195,""en"",""pt"")"),"Szczytno")</f>
        <v>Szczytno</v>
      </c>
      <c r="B6290" s="17" t="s">
        <v>21525</v>
      </c>
      <c r="C6290" s="17" t="s">
        <v>21064</v>
      </c>
      <c r="D6290" s="17" t="s">
        <v>21131</v>
      </c>
      <c r="E6290" s="10">
        <v>757357</v>
      </c>
      <c r="F6290" s="4" t="str">
        <f>IF(B6290=B6289,"",B6290)</f>
        <v/>
      </c>
    </row>
    <row r="6291" spans="1:6" ht="15.75" customHeight="1">
      <c r="A6291" s="5" t="s">
        <v>21524</v>
      </c>
      <c r="B6291" s="6" t="s">
        <v>21524</v>
      </c>
      <c r="C6291" s="5" t="s">
        <v>21064</v>
      </c>
      <c r="D6291" s="5" t="s">
        <v>21121</v>
      </c>
      <c r="E6291" s="2">
        <v>3083826</v>
      </c>
      <c r="F6291" s="4" t="str">
        <f>IF(B6291=B6290,"",B6291)</f>
        <v>Szczecinek</v>
      </c>
    </row>
    <row r="6292" spans="1:6" ht="15.75" customHeight="1">
      <c r="A6292" s="5" t="str">
        <f ca="1">IFERROR(__xludf.DUMMYFUNCTION("GOOGLETRANSLATE(B39332,""en"",""pt"")"),"Szczecinek")</f>
        <v>Szczecinek</v>
      </c>
      <c r="B6292" s="17" t="s">
        <v>21524</v>
      </c>
      <c r="C6292" s="17" t="s">
        <v>21064</v>
      </c>
      <c r="D6292" s="17" t="s">
        <v>21121</v>
      </c>
      <c r="E6292" s="10">
        <v>3083826</v>
      </c>
      <c r="F6292" s="4" t="str">
        <f>IF(B6292=B6291,"",B6292)</f>
        <v/>
      </c>
    </row>
    <row r="6293" spans="1:6" ht="15.75" customHeight="1">
      <c r="A6293" s="6" t="s">
        <v>21523</v>
      </c>
      <c r="B6293" s="6" t="s">
        <v>21523</v>
      </c>
      <c r="C6293" s="6" t="s">
        <v>21064</v>
      </c>
      <c r="D6293" s="6" t="s">
        <v>21121</v>
      </c>
      <c r="E6293" s="2">
        <v>3083829</v>
      </c>
      <c r="F6293" s="4" t="str">
        <f>IF(B6293=B6292,"",B6293)</f>
        <v>Szczecin</v>
      </c>
    </row>
    <row r="6294" spans="1:6" ht="15.75" customHeight="1">
      <c r="A6294" s="5" t="str">
        <f ca="1">IFERROR(__xludf.DUMMYFUNCTION("GOOGLETRANSLATE(B39333,""en"",""pt"")"),"Szczecin")</f>
        <v>Szczecin</v>
      </c>
      <c r="B6294" s="17" t="s">
        <v>21523</v>
      </c>
      <c r="C6294" s="17" t="s">
        <v>21064</v>
      </c>
      <c r="D6294" s="17" t="s">
        <v>21121</v>
      </c>
      <c r="E6294" s="10">
        <v>3083829</v>
      </c>
      <c r="F6294" s="4" t="str">
        <f>IF(B6294=B6293,"",B6294)</f>
        <v/>
      </c>
    </row>
    <row r="6295" spans="1:6" ht="15.75" customHeight="1">
      <c r="A6295" s="5" t="str">
        <f ca="1">IFERROR(__xludf.DUMMYFUNCTION("GOOGLETRANSLATE(B31285,""en"",""pt"")"),"Százhalombatta")</f>
        <v>Százhalombatta</v>
      </c>
      <c r="B6295" s="17" t="s">
        <v>32857</v>
      </c>
      <c r="C6295" s="17" t="s">
        <v>9955</v>
      </c>
      <c r="D6295" s="17" t="s">
        <v>9959</v>
      </c>
      <c r="E6295" s="10">
        <v>3044821</v>
      </c>
      <c r="F6295" s="4" t="str">
        <f>IF(B6295=B6294,"",B6295)</f>
        <v>Százhalombatta</v>
      </c>
    </row>
    <row r="6296" spans="1:6" ht="15.75" customHeight="1">
      <c r="A6296" s="6" t="s">
        <v>10140</v>
      </c>
      <c r="B6296" s="6" t="s">
        <v>10140</v>
      </c>
      <c r="C6296" s="6" t="s">
        <v>9955</v>
      </c>
      <c r="D6296" s="6" t="s">
        <v>9966</v>
      </c>
      <c r="E6296" s="2">
        <v>715466</v>
      </c>
      <c r="F6296" s="4" t="str">
        <f>IF(B6296=B6295,"",B6296)</f>
        <v>Szarvas</v>
      </c>
    </row>
    <row r="6297" spans="1:6" ht="15.75" customHeight="1">
      <c r="A6297" s="5" t="str">
        <f ca="1">IFERROR(__xludf.DUMMYFUNCTION("GOOGLETRANSLATE(B31244,""en"",""pt"")"),"Szarvas")</f>
        <v>Szarvas</v>
      </c>
      <c r="B6297" s="17" t="s">
        <v>10140</v>
      </c>
      <c r="C6297" s="17" t="s">
        <v>9955</v>
      </c>
      <c r="D6297" s="17" t="s">
        <v>9966</v>
      </c>
      <c r="E6297" s="10">
        <v>715466</v>
      </c>
      <c r="F6297" s="4" t="str">
        <f>IF(B6297=B6296,"",B6297)</f>
        <v/>
      </c>
    </row>
    <row r="6298" spans="1:6" ht="15.75" customHeight="1">
      <c r="A6298" s="5" t="str">
        <f ca="1">IFERROR(__xludf.DUMMYFUNCTION("GOOGLETRANSLATE(B39334,""en"",""pt"")"),"Szamotuły")</f>
        <v>Szamotuły</v>
      </c>
      <c r="B6298" s="17" t="s">
        <v>35156</v>
      </c>
      <c r="C6298" s="17" t="s">
        <v>21064</v>
      </c>
      <c r="D6298" s="17" t="s">
        <v>21112</v>
      </c>
      <c r="E6298" s="10">
        <v>3083878</v>
      </c>
      <c r="F6298" s="4" t="str">
        <f>IF(B6298=B6297,"",B6298)</f>
        <v>Szamotuły</v>
      </c>
    </row>
    <row r="6299" spans="1:6" ht="15.75" customHeight="1">
      <c r="A6299" s="6" t="s">
        <v>21521</v>
      </c>
      <c r="B6299" s="6" t="s">
        <v>21522</v>
      </c>
      <c r="C6299" s="6" t="s">
        <v>21064</v>
      </c>
      <c r="D6299" s="6" t="s">
        <v>21112</v>
      </c>
      <c r="E6299" s="2">
        <v>3083878</v>
      </c>
      <c r="F6299" s="4" t="str">
        <f>IF(B6299=B6298,"",B6299)</f>
        <v>SzamotuÅ‚y</v>
      </c>
    </row>
    <row r="6300" spans="1:6" ht="15.75" customHeight="1">
      <c r="A6300" s="5" t="s">
        <v>10138</v>
      </c>
      <c r="B6300" s="6" t="s">
        <v>10139</v>
      </c>
      <c r="C6300" s="5" t="s">
        <v>9955</v>
      </c>
      <c r="D6300" s="5" t="s">
        <v>10037</v>
      </c>
      <c r="E6300" s="2">
        <v>3044774</v>
      </c>
      <c r="F6300" s="4" t="str">
        <f>IF(B6300=B6299,"",B6300)</f>
        <v>SzÃ©kesfehÃ©rvÃ¡r</v>
      </c>
    </row>
    <row r="6301" spans="1:6" ht="15.75" customHeight="1">
      <c r="A6301" s="5" t="s">
        <v>10136</v>
      </c>
      <c r="B6301" s="6" t="s">
        <v>10137</v>
      </c>
      <c r="C6301" s="5" t="s">
        <v>9955</v>
      </c>
      <c r="D6301" s="5" t="s">
        <v>9959</v>
      </c>
      <c r="E6301" s="2">
        <v>3044821</v>
      </c>
      <c r="F6301" s="4" t="str">
        <f>IF(B6301=B6300,"",B6301)</f>
        <v>SzÃ¡zhalombatta</v>
      </c>
    </row>
    <row r="6302" spans="1:6" ht="15.75" customHeight="1">
      <c r="A6302" s="6" t="s">
        <v>23164</v>
      </c>
      <c r="B6302" s="6" t="s">
        <v>23165</v>
      </c>
      <c r="C6302" s="6" t="s">
        <v>22070</v>
      </c>
      <c r="D6302" s="6" t="s">
        <v>22227</v>
      </c>
      <c r="E6302" s="2">
        <v>484972</v>
      </c>
      <c r="F6302" s="4" t="str">
        <f>IF(B6302=B6301,"",B6302)</f>
        <v>Syzranâ€™</v>
      </c>
    </row>
    <row r="6303" spans="1:6" ht="15.75" customHeight="1">
      <c r="A6303" s="5" t="str">
        <f ca="1">IFERROR(__xludf.DUMMYFUNCTION("GOOGLETRANSLATE(B40046,""en"",""pt"")"),"Syzran '")</f>
        <v>Syzran '</v>
      </c>
      <c r="B6303" s="17" t="s">
        <v>35449</v>
      </c>
      <c r="C6303" s="17" t="s">
        <v>22070</v>
      </c>
      <c r="D6303" s="17" t="s">
        <v>22227</v>
      </c>
      <c r="E6303" s="10">
        <v>484972</v>
      </c>
      <c r="F6303" s="4" t="str">
        <f>IF(B6303=B6302,"",B6303)</f>
        <v>Syzran’</v>
      </c>
    </row>
    <row r="6304" spans="1:6" ht="15.75" customHeight="1">
      <c r="A6304" s="6" t="s">
        <v>23162</v>
      </c>
      <c r="B6304" s="6" t="s">
        <v>23163</v>
      </c>
      <c r="C6304" s="6" t="s">
        <v>22070</v>
      </c>
      <c r="D6304" s="6" t="s">
        <v>22106</v>
      </c>
      <c r="E6304" s="2">
        <v>1490402</v>
      </c>
      <c r="F6304" s="4" t="str">
        <f>IF(B6304=B6303,"",B6304)</f>
        <v>Sysertâ€™</v>
      </c>
    </row>
    <row r="6305" spans="1:6" ht="15.75" customHeight="1">
      <c r="A6305" s="5" t="str">
        <f ca="1">IFERROR(__xludf.DUMMYFUNCTION("GOOGLETRANSLATE(B40751,""en"",""pt"")"),"Sysert '")</f>
        <v>Sysert '</v>
      </c>
      <c r="B6305" s="17" t="s">
        <v>35535</v>
      </c>
      <c r="C6305" s="17" t="s">
        <v>22070</v>
      </c>
      <c r="D6305" s="17" t="s">
        <v>22106</v>
      </c>
      <c r="E6305" s="10">
        <v>1490402</v>
      </c>
      <c r="F6305" s="4" t="str">
        <f>IF(B6305=B6304,"",B6305)</f>
        <v>Sysert’</v>
      </c>
    </row>
    <row r="6306" spans="1:6" ht="15.75" customHeight="1">
      <c r="A6306" s="6" t="s">
        <v>18757</v>
      </c>
      <c r="B6306" s="6" t="s">
        <v>18757</v>
      </c>
      <c r="C6306" s="6" t="s">
        <v>18696</v>
      </c>
      <c r="D6306" s="6" t="s">
        <v>18712</v>
      </c>
      <c r="E6306" s="2">
        <v>1295395</v>
      </c>
      <c r="F6306" s="4" t="str">
        <f>IF(B6306=B6305,"",B6306)</f>
        <v>Syriam</v>
      </c>
    </row>
    <row r="6307" spans="1:6" ht="15.75" customHeight="1">
      <c r="A6307" s="5" t="str">
        <f ca="1">IFERROR(__xludf.DUMMYFUNCTION("GOOGLETRANSLATE(B36713,""en"",""pt"")"),"Syriam")</f>
        <v>Syriam</v>
      </c>
      <c r="B6307" s="17" t="s">
        <v>18757</v>
      </c>
      <c r="C6307" s="17" t="s">
        <v>18696</v>
      </c>
      <c r="D6307" s="17" t="s">
        <v>18712</v>
      </c>
      <c r="E6307" s="10">
        <v>1295395</v>
      </c>
      <c r="F6307" s="4" t="str">
        <f>IF(B6307=B6306,"",B6307)</f>
        <v/>
      </c>
    </row>
    <row r="6308" spans="1:6" ht="15.75" customHeight="1">
      <c r="A6308" s="6" t="s">
        <v>15508</v>
      </c>
      <c r="B6308" s="6" t="s">
        <v>30151</v>
      </c>
      <c r="C6308" s="6" t="s">
        <v>27788</v>
      </c>
      <c r="D6308" s="6" t="s">
        <v>27819</v>
      </c>
      <c r="E6308" s="2">
        <v>5140405</v>
      </c>
      <c r="F6308" s="4" t="str">
        <f>IF(B6308=B6307,"",B6308)</f>
        <v>Syracuse</v>
      </c>
    </row>
    <row r="6309" spans="1:6" ht="15.75" customHeight="1">
      <c r="A6309" s="6" t="s">
        <v>15508</v>
      </c>
      <c r="B6309" s="6" t="s">
        <v>30151</v>
      </c>
      <c r="C6309" s="6" t="s">
        <v>27788</v>
      </c>
      <c r="D6309" s="6" t="s">
        <v>27856</v>
      </c>
      <c r="E6309" s="2">
        <v>5782391</v>
      </c>
      <c r="F6309" s="4" t="str">
        <f>IF(B6309=B6308,"",B6309)</f>
        <v/>
      </c>
    </row>
    <row r="6310" spans="1:6" ht="15.75" customHeight="1">
      <c r="A6310" s="5" t="str">
        <f ca="1">IFERROR(__xludf.DUMMYFUNCTION("GOOGLETRANSLATE(B44457,""en"",""pt"")"),"Siracusa")</f>
        <v>Siracusa</v>
      </c>
      <c r="B6310" s="17" t="s">
        <v>30151</v>
      </c>
      <c r="C6310" s="17" t="s">
        <v>27788</v>
      </c>
      <c r="D6310" s="17" t="s">
        <v>27819</v>
      </c>
      <c r="E6310" s="10">
        <v>5140405</v>
      </c>
      <c r="F6310" s="4" t="str">
        <f>IF(B6310=B6309,"",B6310)</f>
        <v/>
      </c>
    </row>
    <row r="6311" spans="1:6" ht="15.75" customHeight="1">
      <c r="A6311" s="5" t="str">
        <f ca="1">IFERROR(__xludf.DUMMYFUNCTION("GOOGLETRANSLATE(B45308,""en"",""pt"")"),"Siracusa")</f>
        <v>Siracusa</v>
      </c>
      <c r="B6311" s="17" t="s">
        <v>30151</v>
      </c>
      <c r="C6311" s="17" t="s">
        <v>27788</v>
      </c>
      <c r="D6311" s="17" t="s">
        <v>27856</v>
      </c>
      <c r="E6311" s="10">
        <v>5782391</v>
      </c>
      <c r="F6311" s="4" t="str">
        <f>IF(B6311=B6310,"",B6311)</f>
        <v/>
      </c>
    </row>
    <row r="6312" spans="1:6" ht="15.75" customHeight="1">
      <c r="A6312" s="6" t="s">
        <v>30150</v>
      </c>
      <c r="B6312" s="6" t="s">
        <v>30150</v>
      </c>
      <c r="C6312" s="6" t="s">
        <v>27788</v>
      </c>
      <c r="D6312" s="6" t="s">
        <v>27819</v>
      </c>
      <c r="E6312" s="2">
        <v>5140402</v>
      </c>
      <c r="F6312" s="4" t="str">
        <f>IF(B6312=B6311,"",B6312)</f>
        <v>Syosset</v>
      </c>
    </row>
    <row r="6313" spans="1:6" ht="15.75" customHeight="1">
      <c r="A6313" s="5" t="str">
        <f ca="1">IFERROR(__xludf.DUMMYFUNCTION("GOOGLETRANSLATE(B44456,""en"",""pt"")"),"Syosset")</f>
        <v>Syosset</v>
      </c>
      <c r="B6313" s="17" t="s">
        <v>30150</v>
      </c>
      <c r="C6313" s="17" t="s">
        <v>27788</v>
      </c>
      <c r="D6313" s="17" t="s">
        <v>27819</v>
      </c>
      <c r="E6313" s="10">
        <v>5140402</v>
      </c>
      <c r="F6313" s="4" t="str">
        <f>IF(B6313=B6312,"",B6313)</f>
        <v/>
      </c>
    </row>
    <row r="6314" spans="1:6" ht="15.75" customHeight="1">
      <c r="A6314" s="5" t="s">
        <v>27163</v>
      </c>
      <c r="B6314" s="6" t="s">
        <v>27164</v>
      </c>
      <c r="C6314" s="5" t="s">
        <v>26870</v>
      </c>
      <c r="D6314" s="5" t="s">
        <v>26878</v>
      </c>
      <c r="E6314" s="2">
        <v>693796</v>
      </c>
      <c r="F6314" s="4" t="str">
        <f>IF(B6314=B6313,"",B6314)</f>
        <v>Synelâ€™nykove</v>
      </c>
    </row>
    <row r="6315" spans="1:6" ht="15.75" customHeight="1">
      <c r="A6315" s="5" t="str">
        <f ca="1">IFERROR(__xludf.DUMMYFUNCTION("GOOGLETRANSLATE(B42524,""en"",""pt"")"),"Synel'nykove")</f>
        <v>Synel'nykove</v>
      </c>
      <c r="B6315" s="17" t="s">
        <v>35995</v>
      </c>
      <c r="C6315" s="17" t="s">
        <v>26870</v>
      </c>
      <c r="D6315" s="17" t="s">
        <v>26878</v>
      </c>
      <c r="E6315" s="10">
        <v>693796</v>
      </c>
      <c r="F6315" s="4" t="str">
        <f>IF(B6315=B6314,"",B6315)</f>
        <v>Synel’nykove</v>
      </c>
    </row>
    <row r="6316" spans="1:6" ht="15.75" customHeight="1">
      <c r="A6316" s="6" t="s">
        <v>30149</v>
      </c>
      <c r="B6316" s="6" t="s">
        <v>30149</v>
      </c>
      <c r="C6316" s="6" t="s">
        <v>27788</v>
      </c>
      <c r="D6316" s="6" t="s">
        <v>27813</v>
      </c>
      <c r="E6316" s="2">
        <v>5173572</v>
      </c>
      <c r="F6316" s="4" t="str">
        <f>IF(B6316=B6315,"",B6316)</f>
        <v>Sylvania</v>
      </c>
    </row>
    <row r="6317" spans="1:6" ht="15.75" customHeight="1">
      <c r="A6317" s="5" t="str">
        <f ca="1">IFERROR(__xludf.DUMMYFUNCTION("GOOGLETRANSLATE(B44547,""en"",""pt"")"),"Sylvania")</f>
        <v>Sylvania</v>
      </c>
      <c r="B6317" s="17" t="s">
        <v>30149</v>
      </c>
      <c r="C6317" s="17" t="s">
        <v>27788</v>
      </c>
      <c r="D6317" s="17" t="s">
        <v>27813</v>
      </c>
      <c r="E6317" s="10">
        <v>5173572</v>
      </c>
      <c r="F6317" s="4" t="str">
        <f>IF(B6317=B6316,"",B6317)</f>
        <v/>
      </c>
    </row>
    <row r="6318" spans="1:6" ht="15.75" customHeight="1">
      <c r="A6318" s="6" t="s">
        <v>1306</v>
      </c>
      <c r="B6318" s="6" t="s">
        <v>1306</v>
      </c>
      <c r="C6318" s="6" t="s">
        <v>1296</v>
      </c>
      <c r="D6318" s="6" t="s">
        <v>1306</v>
      </c>
      <c r="E6318" s="2">
        <v>1185099</v>
      </c>
      <c r="F6318" s="4" t="str">
        <f>IF(B6318=B6317,"",B6318)</f>
        <v>Sylhet</v>
      </c>
    </row>
    <row r="6319" spans="1:6" ht="15.75" customHeight="1">
      <c r="A6319" s="5" t="str">
        <f ca="1">IFERROR(__xludf.DUMMYFUNCTION("GOOGLETRANSLATE(B23696,""en"",""pt"")"),"Sylhet")</f>
        <v>Sylhet</v>
      </c>
      <c r="B6319" s="17" t="s">
        <v>1306</v>
      </c>
      <c r="C6319" s="17" t="s">
        <v>1296</v>
      </c>
      <c r="D6319" s="17" t="s">
        <v>1306</v>
      </c>
      <c r="E6319" s="10">
        <v>1185099</v>
      </c>
      <c r="F6319" s="4" t="str">
        <f>IF(B6319=B6318,"",B6319)</f>
        <v/>
      </c>
    </row>
    <row r="6320" spans="1:6" ht="15.75" customHeight="1">
      <c r="A6320" s="6" t="s">
        <v>23161</v>
      </c>
      <c r="B6320" s="6" t="s">
        <v>23161</v>
      </c>
      <c r="C6320" s="6" t="s">
        <v>22070</v>
      </c>
      <c r="D6320" s="6" t="s">
        <v>22373</v>
      </c>
      <c r="E6320" s="2">
        <v>485239</v>
      </c>
      <c r="F6320" s="4" t="str">
        <f>IF(B6320=B6319,"",B6320)</f>
        <v>Syktyvkar</v>
      </c>
    </row>
    <row r="6321" spans="1:6" ht="15.75" customHeight="1">
      <c r="A6321" s="5" t="str">
        <f ca="1">IFERROR(__xludf.DUMMYFUNCTION("GOOGLETRANSLATE(B40047,""en"",""pt"")"),"Syktyvkar")</f>
        <v>Syktyvkar</v>
      </c>
      <c r="B6321" s="17" t="s">
        <v>23161</v>
      </c>
      <c r="C6321" s="17" t="s">
        <v>22070</v>
      </c>
      <c r="D6321" s="17" t="s">
        <v>22373</v>
      </c>
      <c r="E6321" s="10">
        <v>485239</v>
      </c>
      <c r="F6321" s="4" t="str">
        <f>IF(B6321=B6320,"",B6321)</f>
        <v/>
      </c>
    </row>
    <row r="6322" spans="1:6" ht="15.75" customHeight="1">
      <c r="A6322" s="5" t="str">
        <f ca="1">IFERROR(__xludf.DUMMYFUNCTION("GOOGLETRANSLATE(B31032,""en"",""pt"")"),"Sykiés")</f>
        <v>Sykiés</v>
      </c>
      <c r="B6322" s="17" t="s">
        <v>32738</v>
      </c>
      <c r="C6322" s="17" t="s">
        <v>9441</v>
      </c>
      <c r="D6322" s="17" t="s">
        <v>9442</v>
      </c>
      <c r="E6322" s="10">
        <v>734301</v>
      </c>
      <c r="F6322" s="4" t="str">
        <f>IF(B6322=B6321,"",B6322)</f>
        <v>Sykiés</v>
      </c>
    </row>
    <row r="6323" spans="1:6" ht="15.75" customHeight="1">
      <c r="A6323" s="6" t="s">
        <v>9639</v>
      </c>
      <c r="B6323" s="6" t="s">
        <v>9640</v>
      </c>
      <c r="C6323" s="6" t="s">
        <v>9441</v>
      </c>
      <c r="D6323" s="6" t="s">
        <v>9442</v>
      </c>
      <c r="E6323" s="2">
        <v>734301</v>
      </c>
      <c r="F6323" s="4" t="str">
        <f>IF(B6323=B6322,"",B6323)</f>
        <v>SykiÃ©s</v>
      </c>
    </row>
    <row r="6324" spans="1:6" ht="15.75" customHeight="1">
      <c r="A6324" s="6" t="s">
        <v>9191</v>
      </c>
      <c r="B6324" s="6" t="s">
        <v>9191</v>
      </c>
      <c r="C6324" s="6" t="s">
        <v>8028</v>
      </c>
      <c r="D6324" s="6" t="s">
        <v>8034</v>
      </c>
      <c r="E6324" s="2">
        <v>2824461</v>
      </c>
      <c r="F6324" s="4" t="str">
        <f>IF(B6324=B6323,"",B6324)</f>
        <v>Syke</v>
      </c>
    </row>
    <row r="6325" spans="1:6" ht="15.75" customHeight="1">
      <c r="A6325" s="5" t="str">
        <f ca="1">IFERROR(__xludf.DUMMYFUNCTION("GOOGLETRANSLATE(B27484,""en"",""pt"")"),"Syke")</f>
        <v>Syke</v>
      </c>
      <c r="B6325" s="17" t="s">
        <v>9191</v>
      </c>
      <c r="C6325" s="17" t="s">
        <v>8028</v>
      </c>
      <c r="D6325" s="17" t="s">
        <v>8034</v>
      </c>
      <c r="E6325" s="10">
        <v>2824461</v>
      </c>
      <c r="F6325" s="4" t="str">
        <f>IF(B6325=B6324,"",B6325)</f>
        <v/>
      </c>
    </row>
    <row r="6326" spans="1:6" ht="15.75" customHeight="1">
      <c r="A6326" s="5" t="s">
        <v>27161</v>
      </c>
      <c r="B6326" s="6" t="s">
        <v>27162</v>
      </c>
      <c r="C6326" s="5" t="s">
        <v>26870</v>
      </c>
      <c r="D6326" s="5" t="s">
        <v>26871</v>
      </c>
      <c r="E6326" s="2">
        <v>691999</v>
      </c>
      <c r="F6326" s="4" t="str">
        <f>IF(B6326=B6325,"",B6326)</f>
        <v>Syevyerodonetsâ€™k</v>
      </c>
    </row>
    <row r="6327" spans="1:6" ht="15.75" customHeight="1">
      <c r="A6327" s="5" t="str">
        <f ca="1">IFERROR(__xludf.DUMMYFUNCTION("GOOGLETRANSLATE(B42506,""en"",""pt"")"),"Syevyerodonets'k")</f>
        <v>Syevyerodonets'k</v>
      </c>
      <c r="B6327" s="17" t="s">
        <v>35989</v>
      </c>
      <c r="C6327" s="17" t="s">
        <v>26870</v>
      </c>
      <c r="D6327" s="17" t="s">
        <v>26871</v>
      </c>
      <c r="E6327" s="10">
        <v>691999</v>
      </c>
      <c r="F6327" s="4" t="str">
        <f>IF(B6327=B6326,"",B6327)</f>
        <v>Syevyerodonets’k</v>
      </c>
    </row>
    <row r="6328" spans="1:6" ht="15.75" customHeight="1">
      <c r="A6328" s="6" t="s">
        <v>1090</v>
      </c>
      <c r="B6328" s="6" t="s">
        <v>1090</v>
      </c>
      <c r="C6328" s="6" t="s">
        <v>885</v>
      </c>
      <c r="D6328" s="6" t="s">
        <v>891</v>
      </c>
      <c r="E6328" s="2">
        <v>2147714</v>
      </c>
      <c r="F6328" s="4" t="str">
        <f>IF(B6328=B6327,"",B6328)</f>
        <v>Sydney</v>
      </c>
    </row>
    <row r="6329" spans="1:6" ht="15.75" customHeight="1">
      <c r="A6329" s="6" t="s">
        <v>1090</v>
      </c>
      <c r="B6329" s="6" t="s">
        <v>1090</v>
      </c>
      <c r="C6329" s="6" t="s">
        <v>3975</v>
      </c>
      <c r="D6329" s="6" t="s">
        <v>4027</v>
      </c>
      <c r="E6329" s="2">
        <v>6354908</v>
      </c>
      <c r="F6329" s="4" t="str">
        <f>IF(B6329=B6328,"",B6329)</f>
        <v/>
      </c>
    </row>
    <row r="6330" spans="1:6" ht="15.75" customHeight="1">
      <c r="A6330" s="5" t="str">
        <f ca="1">IFERROR(__xludf.DUMMYFUNCTION("GOOGLETRANSLATE(B23444,""en"",""pt"")"),"Sydney")</f>
        <v>Sydney</v>
      </c>
      <c r="B6330" s="17" t="s">
        <v>1090</v>
      </c>
      <c r="C6330" s="17" t="s">
        <v>885</v>
      </c>
      <c r="D6330" s="17" t="s">
        <v>891</v>
      </c>
      <c r="E6330" s="10">
        <v>2147714</v>
      </c>
      <c r="F6330" s="4" t="str">
        <f>IF(B6330=B6329,"",B6330)</f>
        <v/>
      </c>
    </row>
    <row r="6331" spans="1:6" ht="15.75" customHeight="1">
      <c r="A6331" s="5" t="str">
        <f ca="1">IFERROR(__xludf.DUMMYFUNCTION("GOOGLETRANSLATE(B25626,""en"",""pt"")"),"Sydney")</f>
        <v>Sydney</v>
      </c>
      <c r="B6331" s="17" t="s">
        <v>1090</v>
      </c>
      <c r="C6331" s="17" t="s">
        <v>3975</v>
      </c>
      <c r="D6331" s="17" t="s">
        <v>4027</v>
      </c>
      <c r="E6331" s="10">
        <v>6354908</v>
      </c>
      <c r="F6331" s="4" t="str">
        <f>IF(B6331=B6330,"",B6331)</f>
        <v/>
      </c>
    </row>
    <row r="6332" spans="1:6" ht="15.75" customHeight="1">
      <c r="A6332" s="6" t="s">
        <v>30147</v>
      </c>
      <c r="B6332" s="6" t="s">
        <v>30148</v>
      </c>
      <c r="C6332" s="6" t="s">
        <v>27788</v>
      </c>
      <c r="D6332" s="6" t="s">
        <v>27799</v>
      </c>
      <c r="E6332" s="2">
        <v>4913110</v>
      </c>
      <c r="F6332" s="4" t="str">
        <f>IF(B6332=B6331,"",B6332)</f>
        <v>Sycamore</v>
      </c>
    </row>
    <row r="6333" spans="1:6" ht="15.75" customHeight="1">
      <c r="A6333" s="5" t="str">
        <f ca="1">IFERROR(__xludf.DUMMYFUNCTION("GOOGLETRANSLATE(B43889,""en"",""pt"")"),"Sicômoro")</f>
        <v>Sicômoro</v>
      </c>
      <c r="B6333" s="17" t="s">
        <v>30148</v>
      </c>
      <c r="C6333" s="17" t="s">
        <v>27788</v>
      </c>
      <c r="D6333" s="17" t="s">
        <v>27799</v>
      </c>
      <c r="E6333" s="10">
        <v>4913110</v>
      </c>
      <c r="F6333" s="4" t="str">
        <f>IF(B6333=B6332,"",B6333)</f>
        <v/>
      </c>
    </row>
    <row r="6334" spans="1:6" ht="15.75" customHeight="1">
      <c r="A6334" s="6" t="s">
        <v>14763</v>
      </c>
      <c r="B6334" s="6" t="s">
        <v>14764</v>
      </c>
      <c r="C6334" s="6" t="s">
        <v>14728</v>
      </c>
      <c r="D6334" s="6" t="s">
        <v>14729</v>
      </c>
      <c r="E6334" s="2">
        <v>2961297</v>
      </c>
      <c r="F6334" s="4" t="str">
        <f>IF(B6334=B6333,"",B6334)</f>
        <v>Swords</v>
      </c>
    </row>
    <row r="6335" spans="1:6" ht="15.75" customHeight="1">
      <c r="A6335" s="5" t="str">
        <f ca="1">IFERROR(__xludf.DUMMYFUNCTION("GOOGLETRANSLATE(B31728,""en"",""pt"")"),"Espadas")</f>
        <v>Espadas</v>
      </c>
      <c r="B6335" s="17" t="s">
        <v>14764</v>
      </c>
      <c r="C6335" s="17" t="s">
        <v>14728</v>
      </c>
      <c r="D6335" s="17" t="s">
        <v>14729</v>
      </c>
      <c r="E6335" s="10">
        <v>2961297</v>
      </c>
      <c r="F6335" s="4" t="str">
        <f>IF(B6335=B6334,"",B6335)</f>
        <v/>
      </c>
    </row>
    <row r="6336" spans="1:6" ht="15.75" customHeight="1">
      <c r="A6336" s="5" t="str">
        <f ca="1">IFERROR(__xludf.DUMMYFUNCTION("GOOGLETRANSLATE(B39335,""en"",""pt"")"),"Świnoujście")</f>
        <v>Świnoujście</v>
      </c>
      <c r="B6336" s="17" t="s">
        <v>35157</v>
      </c>
      <c r="C6336" s="17" t="s">
        <v>21064</v>
      </c>
      <c r="D6336" s="17" t="s">
        <v>21121</v>
      </c>
      <c r="E6336" s="10">
        <v>3083955</v>
      </c>
      <c r="F6336" s="4" t="str">
        <f>IF(B6336=B6335,"",B6336)</f>
        <v>Świnoujście</v>
      </c>
    </row>
    <row r="6337" spans="1:6" ht="15.75" customHeight="1">
      <c r="A6337" s="5" t="str">
        <f ca="1">IFERROR(__xludf.DUMMYFUNCTION("GOOGLETRANSLATE(B39336,""en"",""pt"")"),"Świętochłowice")</f>
        <v>Świętochłowice</v>
      </c>
      <c r="B6337" s="17" t="s">
        <v>35158</v>
      </c>
      <c r="C6337" s="17" t="s">
        <v>21064</v>
      </c>
      <c r="D6337" s="17" t="s">
        <v>21073</v>
      </c>
      <c r="E6337" s="10">
        <v>3083988</v>
      </c>
      <c r="F6337" s="4" t="str">
        <f>IF(B6337=B6336,"",B6337)</f>
        <v>Świętochłowice</v>
      </c>
    </row>
    <row r="6338" spans="1:6" ht="15.75" customHeight="1">
      <c r="A6338" s="5" t="str">
        <f ca="1">IFERROR(__xludf.DUMMYFUNCTION("GOOGLETRANSLATE(B39338,""en"",""pt"")"),"Świecie")</f>
        <v>Świecie</v>
      </c>
      <c r="B6338" s="17" t="s">
        <v>35160</v>
      </c>
      <c r="C6338" s="17" t="s">
        <v>21064</v>
      </c>
      <c r="D6338" s="17" t="s">
        <v>21125</v>
      </c>
      <c r="E6338" s="10">
        <v>3084074</v>
      </c>
      <c r="F6338" s="4" t="str">
        <f>IF(B6338=B6337,"",B6338)</f>
        <v>Świecie</v>
      </c>
    </row>
    <row r="6339" spans="1:6" ht="15.75" customHeight="1">
      <c r="A6339" s="5" t="str">
        <f ca="1">IFERROR(__xludf.DUMMYFUNCTION("GOOGLETRANSLATE(B39337,""en"",""pt"")"),"Świebodzin")</f>
        <v>Świebodzin</v>
      </c>
      <c r="B6339" s="17" t="s">
        <v>35159</v>
      </c>
      <c r="C6339" s="17" t="s">
        <v>21064</v>
      </c>
      <c r="D6339" s="17" t="s">
        <v>21065</v>
      </c>
      <c r="E6339" s="10">
        <v>3084062</v>
      </c>
      <c r="F6339" s="4" t="str">
        <f>IF(B6339=B6338,"",B6339)</f>
        <v>Świebodzin</v>
      </c>
    </row>
    <row r="6340" spans="1:6" ht="15.75" customHeight="1">
      <c r="A6340" s="5" t="str">
        <f ca="1">IFERROR(__xludf.DUMMYFUNCTION("GOOGLETRANSLATE(B39339,""en"",""pt"")"),"Świebodzice")</f>
        <v>Świebodzice</v>
      </c>
      <c r="B6340" s="17" t="s">
        <v>35161</v>
      </c>
      <c r="C6340" s="17" t="s">
        <v>21064</v>
      </c>
      <c r="D6340" s="17" t="s">
        <v>21118</v>
      </c>
      <c r="E6340" s="10">
        <v>3084084</v>
      </c>
      <c r="F6340" s="4" t="str">
        <f>IF(B6340=B6339,"",B6340)</f>
        <v>Świebodzice</v>
      </c>
    </row>
    <row r="6341" spans="1:6" ht="15.75" customHeight="1">
      <c r="A6341" s="5" t="str">
        <f ca="1">IFERROR(__xludf.DUMMYFUNCTION("GOOGLETRANSLATE(B39340,""en"",""pt"")"),"Świdwin")</f>
        <v>Świdwin</v>
      </c>
      <c r="B6341" s="17" t="s">
        <v>35162</v>
      </c>
      <c r="C6341" s="17" t="s">
        <v>21064</v>
      </c>
      <c r="D6341" s="17" t="s">
        <v>21121</v>
      </c>
      <c r="E6341" s="10">
        <v>3084085</v>
      </c>
      <c r="F6341" s="4" t="str">
        <f>IF(B6341=B6340,"",B6341)</f>
        <v>Świdwin</v>
      </c>
    </row>
    <row r="6342" spans="1:6" ht="15.75" customHeight="1">
      <c r="A6342" s="5" t="str">
        <f ca="1">IFERROR(__xludf.DUMMYFUNCTION("GOOGLETRANSLATE(B39196,""en"",""pt"")"),"Świdnik")</f>
        <v>Świdnik</v>
      </c>
      <c r="B6342" s="17" t="s">
        <v>35075</v>
      </c>
      <c r="C6342" s="17" t="s">
        <v>21064</v>
      </c>
      <c r="D6342" s="17" t="s">
        <v>21091</v>
      </c>
      <c r="E6342" s="10">
        <v>757692</v>
      </c>
      <c r="F6342" s="4" t="str">
        <f>IF(B6342=B6341,"",B6342)</f>
        <v>Świdnik</v>
      </c>
    </row>
    <row r="6343" spans="1:6" ht="15.75" customHeight="1">
      <c r="A6343" s="5" t="str">
        <f ca="1">IFERROR(__xludf.DUMMYFUNCTION("GOOGLETRANSLATE(B39341,""en"",""pt"")"),"Świdnica")</f>
        <v>Świdnica</v>
      </c>
      <c r="B6343" s="17" t="s">
        <v>35163</v>
      </c>
      <c r="C6343" s="17" t="s">
        <v>21064</v>
      </c>
      <c r="D6343" s="17" t="s">
        <v>21118</v>
      </c>
      <c r="E6343" s="10">
        <v>3084093</v>
      </c>
      <c r="F6343" s="4" t="str">
        <f>IF(B6343=B6342,"",B6343)</f>
        <v>Świdnica</v>
      </c>
    </row>
    <row r="6344" spans="1:6" ht="15.75" customHeight="1">
      <c r="A6344" s="6" t="s">
        <v>9424</v>
      </c>
      <c r="B6344" s="6" t="s">
        <v>9424</v>
      </c>
      <c r="C6344" s="6" t="s">
        <v>9365</v>
      </c>
      <c r="D6344" s="6" t="s">
        <v>1886</v>
      </c>
      <c r="E6344" s="2">
        <v>2294962</v>
      </c>
      <c r="F6344" s="4" t="str">
        <f>IF(B6344=B6343,"",B6344)</f>
        <v>Swedru</v>
      </c>
    </row>
    <row r="6345" spans="1:6" ht="15.75" customHeight="1">
      <c r="A6345" s="5" t="str">
        <f ca="1">IFERROR(__xludf.DUMMYFUNCTION("GOOGLETRANSLATE(B30867,""en"",""pt"")"),"Swedru")</f>
        <v>Swedru</v>
      </c>
      <c r="B6345" s="17" t="s">
        <v>9424</v>
      </c>
      <c r="C6345" s="17" t="s">
        <v>9365</v>
      </c>
      <c r="D6345" s="17" t="s">
        <v>1886</v>
      </c>
      <c r="E6345" s="10">
        <v>2294962</v>
      </c>
      <c r="F6345" s="4" t="str">
        <f>IF(B6345=B6344,"",B6345)</f>
        <v/>
      </c>
    </row>
    <row r="6346" spans="1:6" ht="15.75" customHeight="1">
      <c r="A6346" s="5" t="str">
        <f ca="1">IFERROR(__xludf.DUMMYFUNCTION("GOOGLETRANSLATE(B39342,""en"",""pt"")"),"Swarzędz")</f>
        <v>Swarzędz</v>
      </c>
      <c r="B6346" s="17" t="s">
        <v>35164</v>
      </c>
      <c r="C6346" s="17" t="s">
        <v>21064</v>
      </c>
      <c r="D6346" s="17" t="s">
        <v>21112</v>
      </c>
      <c r="E6346" s="10">
        <v>3084130</v>
      </c>
      <c r="F6346" s="4" t="str">
        <f>IF(B6346=B6345,"",B6346)</f>
        <v>Swarzędz</v>
      </c>
    </row>
    <row r="6347" spans="1:6" ht="15.75" customHeight="1">
      <c r="A6347" s="5" t="s">
        <v>21519</v>
      </c>
      <c r="B6347" s="6" t="s">
        <v>21520</v>
      </c>
      <c r="C6347" s="5" t="s">
        <v>21064</v>
      </c>
      <c r="D6347" s="5" t="s">
        <v>21112</v>
      </c>
      <c r="E6347" s="2">
        <v>3084130</v>
      </c>
      <c r="F6347" s="4" t="str">
        <f>IF(B6347=B6346,"",B6347)</f>
        <v>SwarzÄ™dz</v>
      </c>
    </row>
    <row r="6348" spans="1:6" ht="15.75" customHeight="1">
      <c r="A6348" s="6" t="s">
        <v>30146</v>
      </c>
      <c r="B6348" s="6" t="s">
        <v>30146</v>
      </c>
      <c r="C6348" s="6" t="s">
        <v>27788</v>
      </c>
      <c r="D6348" s="6" t="s">
        <v>27794</v>
      </c>
      <c r="E6348" s="2">
        <v>4952487</v>
      </c>
      <c r="F6348" s="4" t="str">
        <f>IF(B6348=B6347,"",B6348)</f>
        <v>Swansea</v>
      </c>
    </row>
    <row r="6349" spans="1:6" ht="15.75" customHeight="1">
      <c r="A6349" s="5" t="str">
        <f ca="1">IFERROR(__xludf.DUMMYFUNCTION("GOOGLETRANSLATE(B44033,""en"",""pt"")"),"Swansea")</f>
        <v>Swansea</v>
      </c>
      <c r="B6349" s="17" t="s">
        <v>30146</v>
      </c>
      <c r="C6349" s="17" t="s">
        <v>27788</v>
      </c>
      <c r="D6349" s="17" t="s">
        <v>27794</v>
      </c>
      <c r="E6349" s="10">
        <v>4952487</v>
      </c>
      <c r="F6349" s="4" t="str">
        <f>IF(B6349=B6348,"",B6349)</f>
        <v/>
      </c>
    </row>
    <row r="6350" spans="1:6" ht="15.75" customHeight="1">
      <c r="A6350" s="5" t="s">
        <v>18791</v>
      </c>
      <c r="B6350" s="6" t="s">
        <v>18791</v>
      </c>
      <c r="C6350" s="5" t="s">
        <v>18773</v>
      </c>
      <c r="D6350" s="5" t="s">
        <v>18792</v>
      </c>
      <c r="E6350" s="2">
        <v>3352844</v>
      </c>
      <c r="F6350" s="4" t="str">
        <f>IF(B6350=B6349,"",B6350)</f>
        <v>Swakopmund</v>
      </c>
    </row>
    <row r="6351" spans="1:6" ht="15.75" customHeight="1">
      <c r="A6351" s="5" t="str">
        <f ca="1">IFERROR(__xludf.DUMMYFUNCTION("GOOGLETRANSLATE(B37567,""en"",""pt"")"),"Swakopmund")</f>
        <v>Swakopmund</v>
      </c>
      <c r="B6351" s="17" t="s">
        <v>18791</v>
      </c>
      <c r="C6351" s="17" t="s">
        <v>18773</v>
      </c>
      <c r="D6351" s="17" t="s">
        <v>18792</v>
      </c>
      <c r="E6351" s="10">
        <v>3352844</v>
      </c>
      <c r="F6351" s="4" t="str">
        <f>IF(B6351=B6350,"",B6351)</f>
        <v/>
      </c>
    </row>
    <row r="6352" spans="1:6" ht="15.75" customHeight="1">
      <c r="A6352" s="5" t="str">
        <f ca="1">IFERROR(__xludf.DUMMYFUNCTION("GOOGLETRANSLATE(B38899,""en"",""pt"")"),"Swābi")</f>
        <v>Swābi</v>
      </c>
      <c r="B6352" s="17" t="s">
        <v>34908</v>
      </c>
      <c r="C6352" s="17" t="s">
        <v>19808</v>
      </c>
      <c r="D6352" s="17" t="s">
        <v>19811</v>
      </c>
      <c r="E6352" s="10">
        <v>1164216</v>
      </c>
      <c r="F6352" s="4" t="str">
        <f>IF(B6352=B6351,"",B6352)</f>
        <v>Swābi</v>
      </c>
    </row>
    <row r="6353" spans="1:6" ht="15.75" customHeight="1">
      <c r="A6353" s="6" t="s">
        <v>20243</v>
      </c>
      <c r="B6353" s="6" t="s">
        <v>20244</v>
      </c>
      <c r="C6353" s="6" t="s">
        <v>19808</v>
      </c>
      <c r="D6353" s="6" t="s">
        <v>19811</v>
      </c>
      <c r="E6353" s="2">
        <v>1164216</v>
      </c>
      <c r="F6353" s="4" t="str">
        <f>IF(B6353=B6352,"",B6353)</f>
        <v>SwÄbi</v>
      </c>
    </row>
    <row r="6354" spans="1:6" ht="15.75" customHeight="1">
      <c r="A6354" s="5" t="s">
        <v>1507</v>
      </c>
      <c r="B6354" s="6" t="s">
        <v>1507</v>
      </c>
      <c r="C6354" s="5" t="s">
        <v>1453</v>
      </c>
      <c r="D6354" s="5" t="s">
        <v>1461</v>
      </c>
      <c r="E6354" s="2">
        <v>621074</v>
      </c>
      <c r="F6354" s="4" t="str">
        <f>IF(B6354=B6353,"",B6354)</f>
        <v>Svyetlahorsk</v>
      </c>
    </row>
    <row r="6355" spans="1:6" ht="15.75" customHeight="1">
      <c r="A6355" s="5" t="str">
        <f ca="1">IFERROR(__xludf.DUMMYFUNCTION("GOOGLETRANSLATE(B25373,""en"",""pt"")"),"Svyetlahorsk")</f>
        <v>Svyetlahorsk</v>
      </c>
      <c r="B6355" s="17" t="s">
        <v>1507</v>
      </c>
      <c r="C6355" s="17" t="s">
        <v>1453</v>
      </c>
      <c r="D6355" s="17" t="s">
        <v>1461</v>
      </c>
      <c r="E6355" s="10">
        <v>621074</v>
      </c>
      <c r="F6355" s="4" t="str">
        <f>IF(B6355=B6354,"",B6355)</f>
        <v/>
      </c>
    </row>
    <row r="6356" spans="1:6" ht="15.75" customHeight="1">
      <c r="A6356" s="6" t="s">
        <v>23160</v>
      </c>
      <c r="B6356" s="6" t="s">
        <v>23160</v>
      </c>
      <c r="C6356" s="6" t="s">
        <v>22070</v>
      </c>
      <c r="D6356" s="6" t="s">
        <v>22117</v>
      </c>
      <c r="E6356" s="2">
        <v>485432</v>
      </c>
      <c r="F6356" s="4" t="str">
        <f>IF(B6356=B6355,"",B6356)</f>
        <v>Svobody</v>
      </c>
    </row>
    <row r="6357" spans="1:6" ht="15.75" customHeight="1">
      <c r="A6357" s="5" t="str">
        <f ca="1">IFERROR(__xludf.DUMMYFUNCTION("GOOGLETRANSLATE(B40048,""en"",""pt"")"),"Svobody")</f>
        <v>Svobody</v>
      </c>
      <c r="B6357" s="17" t="s">
        <v>23160</v>
      </c>
      <c r="C6357" s="17" t="s">
        <v>22070</v>
      </c>
      <c r="D6357" s="17" t="s">
        <v>22117</v>
      </c>
      <c r="E6357" s="10">
        <v>485432</v>
      </c>
      <c r="F6357" s="4" t="str">
        <f>IF(B6357=B6356,"",B6357)</f>
        <v/>
      </c>
    </row>
    <row r="6358" spans="1:6" ht="15.75" customHeight="1">
      <c r="A6358" s="5" t="s">
        <v>23159</v>
      </c>
      <c r="B6358" s="6" t="s">
        <v>23159</v>
      </c>
      <c r="C6358" s="5" t="s">
        <v>22070</v>
      </c>
      <c r="D6358" s="5" t="s">
        <v>22210</v>
      </c>
      <c r="E6358" s="2">
        <v>2015833</v>
      </c>
      <c r="F6358" s="4" t="str">
        <f>IF(B6358=B6357,"",B6358)</f>
        <v>Svobodnyy</v>
      </c>
    </row>
    <row r="6359" spans="1:6" ht="15.75" customHeight="1">
      <c r="A6359" s="5" t="str">
        <f ca="1">IFERROR(__xludf.DUMMYFUNCTION("GOOGLETRANSLATE(B40908,""en"",""pt"")"),"Svobodnyy")</f>
        <v>Svobodnyy</v>
      </c>
      <c r="B6359" s="17" t="s">
        <v>23159</v>
      </c>
      <c r="C6359" s="17" t="s">
        <v>22070</v>
      </c>
      <c r="D6359" s="17" t="s">
        <v>22210</v>
      </c>
      <c r="E6359" s="10">
        <v>2015833</v>
      </c>
      <c r="F6359" s="4" t="str">
        <f>IF(B6359=B6358,"",B6359)</f>
        <v/>
      </c>
    </row>
    <row r="6360" spans="1:6" ht="15.75" customHeight="1">
      <c r="A6360" s="5" t="s">
        <v>27159</v>
      </c>
      <c r="B6360" s="6" t="s">
        <v>27160</v>
      </c>
      <c r="C6360" s="5" t="s">
        <v>26870</v>
      </c>
      <c r="D6360" s="5" t="s">
        <v>26949</v>
      </c>
      <c r="E6360" s="2">
        <v>692087</v>
      </c>
      <c r="F6360" s="4" t="str">
        <f>IF(B6360=B6359,"",B6360)</f>
        <v>Svitlovodsâ€™k</v>
      </c>
    </row>
    <row r="6361" spans="1:6" ht="15.75" customHeight="1">
      <c r="A6361" s="5" t="str">
        <f ca="1">IFERROR(__xludf.DUMMYFUNCTION("GOOGLETRANSLATE(B42507,""en"",""pt"")"),"Svitlovods'k")</f>
        <v>Svitlovods'k</v>
      </c>
      <c r="B6361" s="17" t="s">
        <v>35990</v>
      </c>
      <c r="C6361" s="17" t="s">
        <v>26870</v>
      </c>
      <c r="D6361" s="17" t="s">
        <v>26949</v>
      </c>
      <c r="E6361" s="10">
        <v>692087</v>
      </c>
      <c r="F6361" s="4" t="str">
        <f>IF(B6361=B6360,"",B6361)</f>
        <v>Svitlovods’k</v>
      </c>
    </row>
    <row r="6362" spans="1:6" ht="15.75" customHeight="1">
      <c r="A6362" s="6" t="s">
        <v>6104</v>
      </c>
      <c r="B6362" s="6" t="s">
        <v>6104</v>
      </c>
      <c r="C6362" s="6" t="s">
        <v>5947</v>
      </c>
      <c r="D6362" s="6" t="s">
        <v>5965</v>
      </c>
      <c r="E6362" s="2">
        <v>3064454</v>
      </c>
      <c r="F6362" s="4" t="str">
        <f>IF(B6362=B6361,"",B6362)</f>
        <v>Svitavy</v>
      </c>
    </row>
    <row r="6363" spans="1:6" ht="15.75" customHeight="1">
      <c r="A6363" s="5" t="str">
        <f ca="1">IFERROR(__xludf.DUMMYFUNCTION("GOOGLETRANSLATE(B27261,""en"",""pt"")"),"Svitavy")</f>
        <v>Svitavy</v>
      </c>
      <c r="B6363" s="17" t="s">
        <v>6104</v>
      </c>
      <c r="C6363" s="17" t="s">
        <v>5947</v>
      </c>
      <c r="D6363" s="17" t="s">
        <v>31947</v>
      </c>
      <c r="E6363" s="10">
        <v>3064454</v>
      </c>
      <c r="F6363" s="4" t="str">
        <f>IF(B6363=B6362,"",B6363)</f>
        <v/>
      </c>
    </row>
    <row r="6364" spans="1:6" ht="15.75" customHeight="1">
      <c r="A6364" s="6" t="s">
        <v>3757</v>
      </c>
      <c r="B6364" s="6" t="s">
        <v>3757</v>
      </c>
      <c r="C6364" s="6" t="s">
        <v>3701</v>
      </c>
      <c r="D6364" s="6" t="s">
        <v>3721</v>
      </c>
      <c r="E6364" s="2">
        <v>726534</v>
      </c>
      <c r="F6364" s="4" t="str">
        <f>IF(B6364=B6363,"",B6364)</f>
        <v>Svishtov</v>
      </c>
    </row>
    <row r="6365" spans="1:6" ht="15.75" customHeight="1">
      <c r="A6365" s="5" t="str">
        <f ca="1">IFERROR(__xludf.DUMMYFUNCTION("GOOGLETRANSLATE(B24016,""en"",""pt"")"),"Svishtov")</f>
        <v>Svishtov</v>
      </c>
      <c r="B6365" s="17" t="s">
        <v>3757</v>
      </c>
      <c r="C6365" s="17" t="s">
        <v>3701</v>
      </c>
      <c r="D6365" s="17" t="s">
        <v>31321</v>
      </c>
      <c r="E6365" s="10">
        <v>726534</v>
      </c>
      <c r="F6365" s="4" t="str">
        <f>IF(B6365=B6364,"",B6365)</f>
        <v/>
      </c>
    </row>
    <row r="6366" spans="1:6" ht="15.75" customHeight="1">
      <c r="A6366" s="5" t="s">
        <v>3755</v>
      </c>
      <c r="B6366" s="6" t="s">
        <v>3756</v>
      </c>
      <c r="C6366" s="5" t="s">
        <v>3701</v>
      </c>
      <c r="D6366" s="5" t="s">
        <v>3715</v>
      </c>
      <c r="E6366" s="2">
        <v>726546</v>
      </c>
      <c r="F6366" s="4" t="str">
        <f>IF(B6366=B6365,"",B6366)</f>
        <v>Svilengrad</v>
      </c>
    </row>
    <row r="6367" spans="1:6" ht="15.75" customHeight="1">
      <c r="A6367" s="5" t="str">
        <f ca="1">IFERROR(__xludf.DUMMYFUNCTION("GOOGLETRANSLATE(B24017,""en"",""pt"")"),"SVILENGRAD")</f>
        <v>SVILENGRAD</v>
      </c>
      <c r="B6367" s="17" t="s">
        <v>3756</v>
      </c>
      <c r="C6367" s="17" t="s">
        <v>3701</v>
      </c>
      <c r="D6367" s="17" t="s">
        <v>3715</v>
      </c>
      <c r="E6367" s="10">
        <v>726546</v>
      </c>
      <c r="F6367" s="4" t="str">
        <f>IF(B6367=B6366,"",B6367)</f>
        <v/>
      </c>
    </row>
    <row r="6368" spans="1:6" ht="15.75" customHeight="1">
      <c r="A6368" s="6" t="s">
        <v>23158</v>
      </c>
      <c r="B6368" s="6" t="s">
        <v>23158</v>
      </c>
      <c r="C6368" s="6" t="s">
        <v>22070</v>
      </c>
      <c r="D6368" s="6" t="s">
        <v>22127</v>
      </c>
      <c r="E6368" s="2">
        <v>485630</v>
      </c>
      <c r="F6368" s="4" t="str">
        <f>IF(B6368=B6367,"",B6368)</f>
        <v>Sviblovo</v>
      </c>
    </row>
    <row r="6369" spans="1:6" ht="15.75" customHeight="1">
      <c r="A6369" s="5" t="str">
        <f ca="1">IFERROR(__xludf.DUMMYFUNCTION("GOOGLETRANSLATE(B40049,""en"",""pt"")"),"Sviblovo")</f>
        <v>Sviblovo</v>
      </c>
      <c r="B6369" s="17" t="s">
        <v>23158</v>
      </c>
      <c r="C6369" s="17" t="s">
        <v>22070</v>
      </c>
      <c r="D6369" s="17" t="s">
        <v>22127</v>
      </c>
      <c r="E6369" s="10">
        <v>485630</v>
      </c>
      <c r="F6369" s="4" t="str">
        <f>IF(B6369=B6368,"",B6369)</f>
        <v/>
      </c>
    </row>
    <row r="6370" spans="1:6" ht="15.75" customHeight="1">
      <c r="A6370" s="5" t="s">
        <v>23157</v>
      </c>
      <c r="B6370" s="6" t="s">
        <v>23157</v>
      </c>
      <c r="C6370" s="5" t="s">
        <v>22070</v>
      </c>
      <c r="D6370" s="5" t="s">
        <v>22094</v>
      </c>
      <c r="E6370" s="2">
        <v>485639</v>
      </c>
      <c r="F6370" s="4" t="str">
        <f>IF(B6370=B6369,"",B6370)</f>
        <v>Svetogorsk</v>
      </c>
    </row>
    <row r="6371" spans="1:6" ht="15.75" customHeight="1">
      <c r="A6371" s="5" t="str">
        <f ca="1">IFERROR(__xludf.DUMMYFUNCTION("GOOGLETRANSLATE(B40050,""en"",""pt"")"),"Svetogorsk")</f>
        <v>Svetogorsk</v>
      </c>
      <c r="B6371" s="17" t="s">
        <v>23157</v>
      </c>
      <c r="C6371" s="17" t="s">
        <v>22070</v>
      </c>
      <c r="D6371" s="17" t="s">
        <v>22094</v>
      </c>
      <c r="E6371" s="10">
        <v>485639</v>
      </c>
      <c r="F6371" s="4" t="str">
        <f>IF(B6371=B6370,"",B6371)</f>
        <v/>
      </c>
    </row>
    <row r="6372" spans="1:6" ht="15.75" customHeight="1">
      <c r="A6372" s="6" t="s">
        <v>23156</v>
      </c>
      <c r="B6372" s="6" t="s">
        <v>23156</v>
      </c>
      <c r="C6372" s="6" t="s">
        <v>22070</v>
      </c>
      <c r="D6372" s="6" t="s">
        <v>22191</v>
      </c>
      <c r="E6372" s="2">
        <v>485660</v>
      </c>
      <c r="F6372" s="4" t="str">
        <f>IF(B6372=B6371,"",B6372)</f>
        <v>Svetlyy</v>
      </c>
    </row>
    <row r="6373" spans="1:6" ht="15.75" customHeight="1">
      <c r="A6373" s="5" t="str">
        <f ca="1">IFERROR(__xludf.DUMMYFUNCTION("GOOGLETRANSLATE(B40051,""en"",""pt"")"),"Svetlyy")</f>
        <v>Svetlyy</v>
      </c>
      <c r="B6373" s="17" t="s">
        <v>23156</v>
      </c>
      <c r="C6373" s="17" t="s">
        <v>22070</v>
      </c>
      <c r="D6373" s="17" t="s">
        <v>22191</v>
      </c>
      <c r="E6373" s="10">
        <v>485660</v>
      </c>
      <c r="F6373" s="4" t="str">
        <f>IF(B6373=B6372,"",B6373)</f>
        <v/>
      </c>
    </row>
    <row r="6374" spans="1:6" ht="15.75" customHeight="1">
      <c r="A6374" s="5" t="s">
        <v>23154</v>
      </c>
      <c r="B6374" s="6" t="s">
        <v>23155</v>
      </c>
      <c r="C6374" s="5" t="s">
        <v>22070</v>
      </c>
      <c r="D6374" s="5" t="s">
        <v>22117</v>
      </c>
      <c r="E6374" s="2">
        <v>485698</v>
      </c>
      <c r="F6374" s="4" t="str">
        <f>IF(B6374=B6373,"",B6374)</f>
        <v>Svetlograd</v>
      </c>
    </row>
    <row r="6375" spans="1:6" ht="15.75" customHeight="1">
      <c r="A6375" s="5" t="str">
        <f ca="1">IFERROR(__xludf.DUMMYFUNCTION("GOOGLETRANSLATE(B40052,""en"",""pt"")"),"SvetLograd")</f>
        <v>SvetLograd</v>
      </c>
      <c r="B6375" s="17" t="s">
        <v>23155</v>
      </c>
      <c r="C6375" s="17" t="s">
        <v>22070</v>
      </c>
      <c r="D6375" s="17" t="s">
        <v>22117</v>
      </c>
      <c r="E6375" s="10">
        <v>485698</v>
      </c>
      <c r="F6375" s="4" t="str">
        <f>IF(B6375=B6374,"",B6375)</f>
        <v/>
      </c>
    </row>
    <row r="6376" spans="1:6" ht="15.75" customHeight="1">
      <c r="A6376" s="5" t="s">
        <v>23153</v>
      </c>
      <c r="B6376" s="6" t="s">
        <v>23153</v>
      </c>
      <c r="C6376" s="5" t="s">
        <v>22070</v>
      </c>
      <c r="D6376" s="5" t="s">
        <v>22094</v>
      </c>
      <c r="E6376" s="2">
        <v>8504964</v>
      </c>
      <c r="F6376" s="4" t="str">
        <f>IF(B6376=B6375,"",B6376)</f>
        <v>Svetlanovskiy</v>
      </c>
    </row>
    <row r="6377" spans="1:6" ht="15.75" customHeight="1">
      <c r="A6377" s="5" t="str">
        <f ca="1">IFERROR(__xludf.DUMMYFUNCTION("GOOGLETRANSLATE(B40995,""en"",""pt"")"),"Svetlanovskiy")</f>
        <v>Svetlanovskiy</v>
      </c>
      <c r="B6377" s="17" t="s">
        <v>23153</v>
      </c>
      <c r="C6377" s="17" t="s">
        <v>22070</v>
      </c>
      <c r="D6377" s="17" t="s">
        <v>22094</v>
      </c>
      <c r="E6377" s="10">
        <v>8504964</v>
      </c>
      <c r="F6377" s="4" t="str">
        <f>IF(B6377=B6376,"",B6377)</f>
        <v/>
      </c>
    </row>
    <row r="6378" spans="1:6" ht="15.75" customHeight="1">
      <c r="A6378" s="5" t="s">
        <v>27157</v>
      </c>
      <c r="B6378" s="6" t="s">
        <v>27158</v>
      </c>
      <c r="C6378" s="5" t="s">
        <v>26870</v>
      </c>
      <c r="D6378" s="5" t="s">
        <v>26871</v>
      </c>
      <c r="E6378" s="2">
        <v>692105</v>
      </c>
      <c r="F6378" s="4" t="str">
        <f>IF(B6378=B6377,"",B6378)</f>
        <v>Sverdlovsâ€™k</v>
      </c>
    </row>
    <row r="6379" spans="1:6" ht="15.75" customHeight="1">
      <c r="A6379" s="5" t="str">
        <f ca="1">IFERROR(__xludf.DUMMYFUNCTION("GOOGLETRANSLATE(B42508,""en"",""pt"")"),"Sverdlovs'k")</f>
        <v>Sverdlovs'k</v>
      </c>
      <c r="B6379" s="17" t="s">
        <v>35991</v>
      </c>
      <c r="C6379" s="17" t="s">
        <v>26870</v>
      </c>
      <c r="D6379" s="17" t="s">
        <v>26871</v>
      </c>
      <c r="E6379" s="10">
        <v>692105</v>
      </c>
      <c r="F6379" s="4" t="str">
        <f>IF(B6379=B6378,"",B6379)</f>
        <v>Sverdlovs’k</v>
      </c>
    </row>
    <row r="6380" spans="1:6" ht="15.75" customHeight="1">
      <c r="A6380" s="5" t="s">
        <v>6284</v>
      </c>
      <c r="B6380" s="6" t="s">
        <v>6284</v>
      </c>
      <c r="C6380" s="5" t="s">
        <v>6209</v>
      </c>
      <c r="D6380" s="5" t="s">
        <v>6212</v>
      </c>
      <c r="E6380" s="2">
        <v>2612045</v>
      </c>
      <c r="F6380" s="4" t="str">
        <f>IF(B6380=B6379,"",B6380)</f>
        <v>Svendborg</v>
      </c>
    </row>
    <row r="6381" spans="1:6" ht="15.75" customHeight="1">
      <c r="A6381" s="5" t="str">
        <f ca="1">IFERROR(__xludf.DUMMYFUNCTION("GOOGLETRANSLATE(B28406,""en"",""pt"")"),"Svendborg")</f>
        <v>Svendborg</v>
      </c>
      <c r="B6381" s="17" t="s">
        <v>6284</v>
      </c>
      <c r="C6381" s="17" t="s">
        <v>6209</v>
      </c>
      <c r="D6381" s="17" t="s">
        <v>6212</v>
      </c>
      <c r="E6381" s="10">
        <v>2612045</v>
      </c>
      <c r="F6381" s="4" t="str">
        <f>IF(B6381=B6380,"",B6381)</f>
        <v/>
      </c>
    </row>
    <row r="6382" spans="1:6" ht="15.75" customHeight="1">
      <c r="A6382" s="5" t="s">
        <v>3876</v>
      </c>
      <c r="B6382" s="6" t="s">
        <v>3876</v>
      </c>
      <c r="C6382" s="5" t="s">
        <v>3838</v>
      </c>
      <c r="D6382" s="5" t="s">
        <v>3876</v>
      </c>
      <c r="E6382" s="2">
        <v>1821993</v>
      </c>
      <c r="F6382" s="4" t="str">
        <f>IF(B6382=B6381,"",B6382)</f>
        <v>Svay Rieng</v>
      </c>
    </row>
    <row r="6383" spans="1:6" ht="15.75" customHeight="1">
      <c r="A6383" s="5" t="str">
        <f ca="1">IFERROR(__xludf.DUMMYFUNCTION("GOOGLETRANSLATE(B35962,""en"",""pt"")"),"Svay Rieng")</f>
        <v>Svay Rieng</v>
      </c>
      <c r="B6383" s="17" t="s">
        <v>3876</v>
      </c>
      <c r="C6383" s="17" t="s">
        <v>3838</v>
      </c>
      <c r="D6383" s="17" t="s">
        <v>3876</v>
      </c>
      <c r="E6383" s="10">
        <v>1821993</v>
      </c>
      <c r="F6383" s="4" t="str">
        <f>IF(B6383=B6382,"",B6383)</f>
        <v/>
      </c>
    </row>
    <row r="6384" spans="1:6" ht="15.75" customHeight="1">
      <c r="A6384" s="6" t="s">
        <v>27156</v>
      </c>
      <c r="B6384" s="6" t="s">
        <v>27156</v>
      </c>
      <c r="C6384" s="6" t="s">
        <v>26870</v>
      </c>
      <c r="D6384" s="6" t="s">
        <v>26871</v>
      </c>
      <c r="E6384" s="2">
        <v>692118</v>
      </c>
      <c r="F6384" s="4" t="str">
        <f>IF(B6384=B6383,"",B6384)</f>
        <v>Svatove</v>
      </c>
    </row>
    <row r="6385" spans="1:6" ht="15.75" customHeight="1">
      <c r="A6385" s="5" t="str">
        <f ca="1">IFERROR(__xludf.DUMMYFUNCTION("GOOGLETRANSLATE(B42509,""en"",""pt"")"),"Svatove")</f>
        <v>Svatove</v>
      </c>
      <c r="B6385" s="17" t="s">
        <v>27156</v>
      </c>
      <c r="C6385" s="17" t="s">
        <v>26870</v>
      </c>
      <c r="D6385" s="17" t="s">
        <v>26871</v>
      </c>
      <c r="E6385" s="10">
        <v>692118</v>
      </c>
      <c r="F6385" s="4" t="str">
        <f>IF(B6385=B6384,"",B6385)</f>
        <v/>
      </c>
    </row>
    <row r="6386" spans="1:6" ht="15.75" customHeight="1">
      <c r="A6386" s="6" t="s">
        <v>27155</v>
      </c>
      <c r="B6386" s="6" t="s">
        <v>27155</v>
      </c>
      <c r="C6386" s="6" t="s">
        <v>26870</v>
      </c>
      <c r="D6386" s="6" t="s">
        <v>26902</v>
      </c>
      <c r="E6386" s="2">
        <v>692129</v>
      </c>
      <c r="F6386" s="4" t="str">
        <f>IF(B6386=B6385,"",B6386)</f>
        <v>Svalyava</v>
      </c>
    </row>
    <row r="6387" spans="1:6" ht="15.75" customHeight="1">
      <c r="A6387" s="5" t="str">
        <f ca="1">IFERROR(__xludf.DUMMYFUNCTION("GOOGLETRANSLATE(B42510,""en"",""pt"")"),"Svalyava")</f>
        <v>Svalyava</v>
      </c>
      <c r="B6387" s="17" t="s">
        <v>27155</v>
      </c>
      <c r="C6387" s="17" t="s">
        <v>26870</v>
      </c>
      <c r="D6387" s="17" t="s">
        <v>26902</v>
      </c>
      <c r="E6387" s="10">
        <v>692129</v>
      </c>
      <c r="F6387" s="4" t="str">
        <f>IF(B6387=B6386,"",B6387)</f>
        <v/>
      </c>
    </row>
    <row r="6388" spans="1:6" ht="15.75" customHeight="1">
      <c r="A6388" s="6" t="s">
        <v>15516</v>
      </c>
      <c r="B6388" s="6" t="s">
        <v>15516</v>
      </c>
      <c r="C6388" s="6" t="s">
        <v>14891</v>
      </c>
      <c r="D6388" s="6" t="s">
        <v>14894</v>
      </c>
      <c r="E6388" s="2">
        <v>3166006</v>
      </c>
      <c r="F6388" s="4" t="str">
        <f>IF(B6388=B6387,"",B6388)</f>
        <v>Suzzara</v>
      </c>
    </row>
    <row r="6389" spans="1:6" ht="15.75" customHeight="1">
      <c r="A6389" s="5" t="str">
        <f ca="1">IFERROR(__xludf.DUMMYFUNCTION("GOOGLETRANSLATE(B34674,""en"",""pt"")"),"Suzzara")</f>
        <v>Suzzara</v>
      </c>
      <c r="B6389" s="17" t="s">
        <v>15516</v>
      </c>
      <c r="C6389" s="17" t="s">
        <v>14891</v>
      </c>
      <c r="D6389" s="17" t="s">
        <v>14894</v>
      </c>
      <c r="E6389" s="10">
        <v>3166006</v>
      </c>
      <c r="F6389" s="4" t="str">
        <f>IF(B6389=B6388,"",B6389)</f>
        <v/>
      </c>
    </row>
    <row r="6390" spans="1:6" ht="15.75" customHeight="1">
      <c r="A6390" s="6" t="s">
        <v>23152</v>
      </c>
      <c r="B6390" s="6" t="s">
        <v>23152</v>
      </c>
      <c r="C6390" s="6" t="s">
        <v>22070</v>
      </c>
      <c r="D6390" s="6" t="s">
        <v>22092</v>
      </c>
      <c r="E6390" s="2">
        <v>1490551</v>
      </c>
      <c r="F6390" s="4" t="str">
        <f>IF(B6390=B6389,"",B6390)</f>
        <v>Suzun</v>
      </c>
    </row>
    <row r="6391" spans="1:6" ht="15.75" customHeight="1">
      <c r="A6391" s="5" t="str">
        <f ca="1">IFERROR(__xludf.DUMMYFUNCTION("GOOGLETRANSLATE(B40752,""en"",""pt"")"),"Suzun")</f>
        <v>Suzun</v>
      </c>
      <c r="B6391" s="17" t="s">
        <v>23152</v>
      </c>
      <c r="C6391" s="17" t="s">
        <v>22070</v>
      </c>
      <c r="D6391" s="17" t="s">
        <v>22092</v>
      </c>
      <c r="E6391" s="10">
        <v>1490551</v>
      </c>
      <c r="F6391" s="4" t="str">
        <f>IF(B6391=B6390,"",B6391)</f>
        <v/>
      </c>
    </row>
    <row r="6392" spans="1:6" ht="15.75" customHeight="1">
      <c r="A6392" s="6" t="s">
        <v>16453</v>
      </c>
      <c r="B6392" s="6" t="s">
        <v>16453</v>
      </c>
      <c r="C6392" s="6" t="s">
        <v>15704</v>
      </c>
      <c r="D6392" s="6" t="s">
        <v>15967</v>
      </c>
      <c r="E6392" s="2">
        <v>1851348</v>
      </c>
      <c r="F6392" s="4" t="str">
        <f>IF(B6392=B6391,"",B6392)</f>
        <v>Suzuka</v>
      </c>
    </row>
    <row r="6393" spans="1:6" ht="15.75" customHeight="1">
      <c r="A6393" s="5" t="str">
        <f ca="1">IFERROR(__xludf.DUMMYFUNCTION("GOOGLETRANSLATE(B35273,""en"",""pt"")"),"Suzuka")</f>
        <v>Suzuka</v>
      </c>
      <c r="B6393" s="17" t="s">
        <v>16453</v>
      </c>
      <c r="C6393" s="17" t="s">
        <v>15704</v>
      </c>
      <c r="D6393" s="17" t="s">
        <v>15967</v>
      </c>
      <c r="E6393" s="10">
        <v>1851348</v>
      </c>
      <c r="F6393" s="4" t="str">
        <f>IF(B6393=B6392,"",B6393)</f>
        <v/>
      </c>
    </row>
    <row r="6394" spans="1:6" ht="15.75" customHeight="1">
      <c r="A6394" s="6" t="s">
        <v>5109</v>
      </c>
      <c r="B6394" s="6" t="s">
        <v>5109</v>
      </c>
      <c r="C6394" s="6" t="s">
        <v>4487</v>
      </c>
      <c r="D6394" s="6" t="s">
        <v>4501</v>
      </c>
      <c r="E6394" s="2">
        <v>1793743</v>
      </c>
      <c r="F6394" s="4" t="str">
        <f>IF(B6394=B6393,"",B6394)</f>
        <v>Suzhou</v>
      </c>
    </row>
    <row r="6395" spans="1:6" ht="15.75" customHeight="1">
      <c r="A6395" s="6" t="s">
        <v>5109</v>
      </c>
      <c r="B6395" s="6" t="s">
        <v>5109</v>
      </c>
      <c r="C6395" s="6" t="s">
        <v>4487</v>
      </c>
      <c r="D6395" s="6" t="s">
        <v>4535</v>
      </c>
      <c r="E6395" s="2">
        <v>1886760</v>
      </c>
      <c r="F6395" s="4" t="str">
        <f>IF(B6395=B6394,"",B6395)</f>
        <v/>
      </c>
    </row>
    <row r="6396" spans="1:6" ht="15.75" customHeight="1">
      <c r="A6396" s="5" t="str">
        <f ca="1">IFERROR(__xludf.DUMMYFUNCTION("GOOGLETRANSLATE(B26250,""en"",""pt"")"),"Suzhou")</f>
        <v>Suzhou</v>
      </c>
      <c r="B6396" s="17" t="s">
        <v>5109</v>
      </c>
      <c r="C6396" s="17" t="s">
        <v>4487</v>
      </c>
      <c r="D6396" s="17" t="s">
        <v>4501</v>
      </c>
      <c r="E6396" s="10">
        <v>1793743</v>
      </c>
      <c r="F6396" s="4" t="str">
        <f>IF(B6396=B6395,"",B6396)</f>
        <v/>
      </c>
    </row>
    <row r="6397" spans="1:6" ht="15.75" customHeight="1">
      <c r="A6397" s="5" t="str">
        <f ca="1">IFERROR(__xludf.DUMMYFUNCTION("GOOGLETRANSLATE(B26635,""en"",""pt"")"),"Suzhou")</f>
        <v>Suzhou</v>
      </c>
      <c r="B6397" s="17" t="s">
        <v>5109</v>
      </c>
      <c r="C6397" s="17" t="s">
        <v>4487</v>
      </c>
      <c r="D6397" s="17" t="s">
        <v>4535</v>
      </c>
      <c r="E6397" s="10">
        <v>1886760</v>
      </c>
      <c r="F6397" s="4" t="str">
        <f>IF(B6397=B6396,"",B6397)</f>
        <v/>
      </c>
    </row>
    <row r="6398" spans="1:6" ht="15.75" customHeight="1">
      <c r="A6398" s="6" t="s">
        <v>3506</v>
      </c>
      <c r="B6398" s="6" t="s">
        <v>3506</v>
      </c>
      <c r="C6398" s="6" t="s">
        <v>1905</v>
      </c>
      <c r="D6398" s="6" t="s">
        <v>1914</v>
      </c>
      <c r="E6398" s="2">
        <v>3447212</v>
      </c>
      <c r="F6398" s="4" t="str">
        <f>IF(B6398=B6397,"",B6398)</f>
        <v>Suzano</v>
      </c>
    </row>
    <row r="6399" spans="1:6" ht="15.75" customHeight="1">
      <c r="A6399" s="5" t="str">
        <f ca="1">IFERROR(__xludf.DUMMYFUNCTION("GOOGLETRANSLATE(B24511,""en"",""pt"")"),"Suzano")</f>
        <v>Suzano</v>
      </c>
      <c r="B6399" s="17" t="s">
        <v>3506</v>
      </c>
      <c r="C6399" s="17" t="s">
        <v>1905</v>
      </c>
      <c r="D6399" s="17" t="s">
        <v>3354</v>
      </c>
      <c r="E6399" s="10">
        <v>3447212</v>
      </c>
      <c r="F6399" s="4" t="str">
        <f>IF(B6399=B6398,"",B6399)</f>
        <v/>
      </c>
    </row>
    <row r="6400" spans="1:6" ht="15.75" customHeight="1">
      <c r="A6400" s="6" t="s">
        <v>16452</v>
      </c>
      <c r="B6400" s="6" t="s">
        <v>16452</v>
      </c>
      <c r="C6400" s="6" t="s">
        <v>15704</v>
      </c>
      <c r="D6400" s="6" t="s">
        <v>15769</v>
      </c>
      <c r="E6400" s="2">
        <v>1851357</v>
      </c>
      <c r="F6400" s="4" t="str">
        <f>IF(B6400=B6399,"",B6400)</f>
        <v>Suzaka</v>
      </c>
    </row>
    <row r="6401" spans="1:6" ht="15.75" customHeight="1">
      <c r="A6401" s="5" t="str">
        <f ca="1">IFERROR(__xludf.DUMMYFUNCTION("GOOGLETRANSLATE(B35274,""en"",""pt"")"),"Suzaka")</f>
        <v>Suzaka</v>
      </c>
      <c r="B6401" s="17" t="s">
        <v>16452</v>
      </c>
      <c r="C6401" s="17" t="s">
        <v>15704</v>
      </c>
      <c r="D6401" s="17" t="s">
        <v>15769</v>
      </c>
      <c r="E6401" s="10">
        <v>1851357</v>
      </c>
      <c r="F6401" s="4" t="str">
        <f>IF(B6401=B6400,"",B6401)</f>
        <v/>
      </c>
    </row>
    <row r="6402" spans="1:6" ht="15.75" customHeight="1">
      <c r="A6402" s="6" t="s">
        <v>24147</v>
      </c>
      <c r="B6402" s="6" t="s">
        <v>24148</v>
      </c>
      <c r="C6402" s="6" t="s">
        <v>24024</v>
      </c>
      <c r="D6402" s="6" t="s">
        <v>24028</v>
      </c>
      <c r="E6402" s="2">
        <v>1835553</v>
      </c>
      <c r="F6402" s="4" t="str">
        <f>IF(B6402=B6401,"",B6402)</f>
        <v>Suwon-si</v>
      </c>
    </row>
    <row r="6403" spans="1:6" ht="15.75" customHeight="1">
      <c r="A6403" s="5" t="str">
        <f ca="1">IFERROR(__xludf.DUMMYFUNCTION("GOOGLETRANSLATE(B36070,""en"",""pt"")"),"Suwon-Si")</f>
        <v>Suwon-Si</v>
      </c>
      <c r="B6403" s="17" t="s">
        <v>24148</v>
      </c>
      <c r="C6403" s="17" t="s">
        <v>24024</v>
      </c>
      <c r="D6403" s="17" t="s">
        <v>24028</v>
      </c>
      <c r="E6403" s="10">
        <v>1835553</v>
      </c>
      <c r="F6403" s="4" t="str">
        <f>IF(B6403=B6402,"",B6403)</f>
        <v/>
      </c>
    </row>
    <row r="6404" spans="1:6" ht="15.75" customHeight="1">
      <c r="A6404" s="6" t="s">
        <v>30145</v>
      </c>
      <c r="B6404" s="6" t="s">
        <v>30145</v>
      </c>
      <c r="C6404" s="6" t="s">
        <v>27788</v>
      </c>
      <c r="D6404" s="6" t="s">
        <v>7988</v>
      </c>
      <c r="E6404" s="2">
        <v>4225309</v>
      </c>
      <c r="F6404" s="4" t="str">
        <f>IF(B6404=B6403,"",B6404)</f>
        <v>Suwanee</v>
      </c>
    </row>
    <row r="6405" spans="1:6" ht="15.75" customHeight="1">
      <c r="A6405" s="5" t="str">
        <f ca="1">IFERROR(__xludf.DUMMYFUNCTION("GOOGLETRANSLATE(B43114,""en"",""pt"")"),"Suwanee")</f>
        <v>Suwanee</v>
      </c>
      <c r="B6405" s="17" t="s">
        <v>30145</v>
      </c>
      <c r="C6405" s="17" t="s">
        <v>27788</v>
      </c>
      <c r="D6405" s="17" t="s">
        <v>7988</v>
      </c>
      <c r="E6405" s="10">
        <v>4225309</v>
      </c>
      <c r="F6405" s="4" t="str">
        <f>IF(B6405=B6404,"",B6405)</f>
        <v/>
      </c>
    </row>
    <row r="6406" spans="1:6" ht="15.75" customHeight="1">
      <c r="A6406" s="5" t="str">
        <f ca="1">IFERROR(__xludf.DUMMYFUNCTION("GOOGLETRANSLATE(B39197,""en"",""pt"")"),"Suwałki")</f>
        <v>Suwałki</v>
      </c>
      <c r="B6406" s="17" t="s">
        <v>35076</v>
      </c>
      <c r="C6406" s="17" t="s">
        <v>21064</v>
      </c>
      <c r="D6406" s="17" t="s">
        <v>21086</v>
      </c>
      <c r="E6406" s="10">
        <v>757718</v>
      </c>
      <c r="F6406" s="4" t="str">
        <f>IF(B6406=B6405,"",B6406)</f>
        <v>Suwałki</v>
      </c>
    </row>
    <row r="6407" spans="1:6" ht="15.75" customHeight="1">
      <c r="A6407" s="6" t="s">
        <v>21517</v>
      </c>
      <c r="B6407" s="6" t="s">
        <v>21518</v>
      </c>
      <c r="C6407" s="6" t="s">
        <v>21064</v>
      </c>
      <c r="D6407" s="6" t="s">
        <v>21086</v>
      </c>
      <c r="E6407" s="2">
        <v>757718</v>
      </c>
      <c r="F6407" s="4" t="str">
        <f>IF(B6407=B6406,"",B6407)</f>
        <v>SuwaÅ‚ki</v>
      </c>
    </row>
    <row r="6408" spans="1:6" ht="15.75" customHeight="1">
      <c r="A6408" s="6" t="s">
        <v>16451</v>
      </c>
      <c r="B6408" s="6" t="s">
        <v>16451</v>
      </c>
      <c r="C6408" s="6" t="s">
        <v>15704</v>
      </c>
      <c r="D6408" s="6" t="s">
        <v>15769</v>
      </c>
      <c r="E6408" s="2">
        <v>1851368</v>
      </c>
      <c r="F6408" s="4" t="str">
        <f>IF(B6408=B6407,"",B6408)</f>
        <v>Suwa</v>
      </c>
    </row>
    <row r="6409" spans="1:6" ht="15.75" customHeight="1">
      <c r="A6409" s="5" t="str">
        <f ca="1">IFERROR(__xludf.DUMMYFUNCTION("GOOGLETRANSLATE(B35275,""en"",""pt"")"),"Suwa")</f>
        <v>Suwa</v>
      </c>
      <c r="B6409" s="17" t="s">
        <v>16451</v>
      </c>
      <c r="C6409" s="17" t="s">
        <v>15704</v>
      </c>
      <c r="D6409" s="17" t="s">
        <v>15769</v>
      </c>
      <c r="E6409" s="10">
        <v>1851368</v>
      </c>
      <c r="F6409" s="4" t="str">
        <f>IF(B6409=B6408,"",B6409)</f>
        <v/>
      </c>
    </row>
    <row r="6410" spans="1:6" ht="15.75" customHeight="1">
      <c r="A6410" s="5" t="s">
        <v>23151</v>
      </c>
      <c r="B6410" s="6" t="s">
        <v>23151</v>
      </c>
      <c r="C6410" s="5" t="s">
        <v>22070</v>
      </c>
      <c r="D6410" s="5" t="s">
        <v>22117</v>
      </c>
      <c r="E6410" s="2">
        <v>485871</v>
      </c>
      <c r="F6410" s="4" t="str">
        <f>IF(B6410=B6409,"",B6410)</f>
        <v>Suvorovskaya</v>
      </c>
    </row>
    <row r="6411" spans="1:6" ht="15.75" customHeight="1">
      <c r="A6411" s="5" t="str">
        <f ca="1">IFERROR(__xludf.DUMMYFUNCTION("GOOGLETRANSLATE(B40053,""en"",""pt"")"),"Suvorovskaya")</f>
        <v>Suvorovskaya</v>
      </c>
      <c r="B6411" s="17" t="s">
        <v>23151</v>
      </c>
      <c r="C6411" s="17" t="s">
        <v>22070</v>
      </c>
      <c r="D6411" s="17" t="s">
        <v>22117</v>
      </c>
      <c r="E6411" s="10">
        <v>485871</v>
      </c>
      <c r="F6411" s="4" t="str">
        <f>IF(B6411=B6410,"",B6411)</f>
        <v/>
      </c>
    </row>
    <row r="6412" spans="1:6" ht="15.75" customHeight="1">
      <c r="A6412" s="6" t="s">
        <v>23150</v>
      </c>
      <c r="B6412" s="6" t="s">
        <v>23150</v>
      </c>
      <c r="C6412" s="6" t="s">
        <v>22070</v>
      </c>
      <c r="D6412" s="6" t="s">
        <v>22122</v>
      </c>
      <c r="E6412" s="2">
        <v>485888</v>
      </c>
      <c r="F6412" s="4" t="str">
        <f>IF(B6412=B6411,"",B6412)</f>
        <v>Suvorov</v>
      </c>
    </row>
    <row r="6413" spans="1:6" ht="15.75" customHeight="1">
      <c r="A6413" s="5" t="str">
        <f ca="1">IFERROR(__xludf.DUMMYFUNCTION("GOOGLETRANSLATE(B40054,""en"",""pt"")"),"Suvorov")</f>
        <v>Suvorov</v>
      </c>
      <c r="B6413" s="17" t="s">
        <v>23150</v>
      </c>
      <c r="C6413" s="17" t="s">
        <v>22070</v>
      </c>
      <c r="D6413" s="17" t="s">
        <v>22122</v>
      </c>
      <c r="E6413" s="10">
        <v>485888</v>
      </c>
      <c r="F6413" s="4" t="str">
        <f>IF(B6413=B6412,"",B6413)</f>
        <v/>
      </c>
    </row>
    <row r="6414" spans="1:6" ht="15.75" customHeight="1">
      <c r="A6414" s="5" t="s">
        <v>16877</v>
      </c>
      <c r="B6414" s="6" t="s">
        <v>16877</v>
      </c>
      <c r="C6414" s="5" t="s">
        <v>16852</v>
      </c>
      <c r="D6414" s="5" t="s">
        <v>16855</v>
      </c>
      <c r="E6414" s="2">
        <v>785238</v>
      </c>
      <c r="F6414" s="4" t="str">
        <f>IF(B6414=B6413,"",B6414)</f>
        <v>Suva Reka</v>
      </c>
    </row>
    <row r="6415" spans="1:6" ht="15.75" customHeight="1">
      <c r="A6415" s="5" t="str">
        <f ca="1">IFERROR(__xludf.DUMMYFUNCTION("GOOGLETRANSLATE(B45799,""en"",""pt"")"),"Suva Reka")</f>
        <v>Suva Reka</v>
      </c>
      <c r="B6415" s="17" t="s">
        <v>16877</v>
      </c>
      <c r="C6415" s="17" t="s">
        <v>16852</v>
      </c>
      <c r="D6415" s="17" t="s">
        <v>16855</v>
      </c>
      <c r="E6415" s="10">
        <v>785238</v>
      </c>
      <c r="F6415" s="4" t="str">
        <f>IF(B6415=B6414,"",B6415)</f>
        <v/>
      </c>
    </row>
    <row r="6416" spans="1:6" ht="15.75" customHeight="1">
      <c r="A6416" s="6" t="s">
        <v>6946</v>
      </c>
      <c r="B6416" s="6" t="s">
        <v>6946</v>
      </c>
      <c r="C6416" s="6" t="s">
        <v>6941</v>
      </c>
      <c r="D6416" s="6" t="s">
        <v>1886</v>
      </c>
      <c r="E6416" s="2">
        <v>2198148</v>
      </c>
      <c r="F6416" s="4" t="str">
        <f>IF(B6416=B6415,"",B6416)</f>
        <v>Suva</v>
      </c>
    </row>
    <row r="6417" spans="1:6" ht="15.75" customHeight="1">
      <c r="A6417" s="5" t="str">
        <f ca="1">IFERROR(__xludf.DUMMYFUNCTION("GOOGLETRANSLATE(B29665,""en"",""pt"")"),"Suva")</f>
        <v>Suva</v>
      </c>
      <c r="B6417" s="17" t="s">
        <v>6946</v>
      </c>
      <c r="C6417" s="17" t="s">
        <v>6941</v>
      </c>
      <c r="D6417" s="17" t="s">
        <v>1886</v>
      </c>
      <c r="E6417" s="10">
        <v>2198148</v>
      </c>
      <c r="F6417" s="4" t="str">
        <f>IF(B6417=B6416,"",B6417)</f>
        <v/>
      </c>
    </row>
    <row r="6418" spans="1:6" ht="15.75" customHeight="1">
      <c r="A6418" s="5" t="str">
        <f ca="1">IFERROR(__xludf.DUMMYFUNCTION("GOOGLETRANSLATE(B36672,""en"",""pt"")"),"Šuto ORIZARE")</f>
        <v>Šuto ORIZARE</v>
      </c>
      <c r="B6418" s="17" t="s">
        <v>34630</v>
      </c>
      <c r="C6418" s="17" t="s">
        <v>17221</v>
      </c>
      <c r="D6418" s="17" t="s">
        <v>34631</v>
      </c>
      <c r="E6418" s="10">
        <v>833258</v>
      </c>
      <c r="F6418" s="4" t="str">
        <f>IF(B6418=B6417,"",B6418)</f>
        <v>Šuto Orizare</v>
      </c>
    </row>
    <row r="6419" spans="1:6" ht="15.75" customHeight="1">
      <c r="A6419" s="6" t="s">
        <v>26714</v>
      </c>
      <c r="B6419" s="6" t="s">
        <v>26714</v>
      </c>
      <c r="C6419" s="6" t="s">
        <v>26201</v>
      </c>
      <c r="D6419" s="6" t="s">
        <v>26340</v>
      </c>
      <c r="E6419" s="2">
        <v>300058</v>
      </c>
      <c r="F6419" s="4" t="str">
        <f>IF(B6419=B6418,"",B6419)</f>
        <v>Susurluk</v>
      </c>
    </row>
    <row r="6420" spans="1:6" ht="15.75" customHeight="1">
      <c r="A6420" s="5" t="str">
        <f ca="1">IFERROR(__xludf.DUMMYFUNCTION("GOOGLETRANSLATE(B41889,""en"",""pt"")"),"Susurluk")</f>
        <v>Susurluk</v>
      </c>
      <c r="B6420" s="17" t="s">
        <v>26714</v>
      </c>
      <c r="C6420" s="17" t="s">
        <v>26201</v>
      </c>
      <c r="D6420" s="17" t="s">
        <v>35830</v>
      </c>
      <c r="E6420" s="10">
        <v>300058</v>
      </c>
      <c r="F6420" s="4" t="str">
        <f>IF(B6420=B6419,"",B6420)</f>
        <v/>
      </c>
    </row>
    <row r="6421" spans="1:6" ht="15.75" customHeight="1">
      <c r="A6421" s="5" t="str">
        <f ca="1">IFERROR(__xludf.DUMMYFUNCTION("GOOGLETRANSLATE(B42112,""en"",""pt"")"),"Suşehri")</f>
        <v>Suşehri</v>
      </c>
      <c r="B6421" s="17" t="s">
        <v>35921</v>
      </c>
      <c r="C6421" s="17" t="s">
        <v>26201</v>
      </c>
      <c r="D6421" s="17" t="s">
        <v>26345</v>
      </c>
      <c r="E6421" s="10">
        <v>739209</v>
      </c>
      <c r="F6421" s="4" t="str">
        <f>IF(B6421=B6420,"",B6421)</f>
        <v>Suşehri</v>
      </c>
    </row>
    <row r="6422" spans="1:6" ht="15.75" customHeight="1">
      <c r="A6422" s="5" t="s">
        <v>30144</v>
      </c>
      <c r="B6422" s="6" t="s">
        <v>30144</v>
      </c>
      <c r="C6422" s="5" t="s">
        <v>27788</v>
      </c>
      <c r="D6422" s="5" t="s">
        <v>27801</v>
      </c>
      <c r="E6422" s="2">
        <v>5572400</v>
      </c>
      <c r="F6422" s="4" t="str">
        <f>IF(B6422=B6421,"",B6422)</f>
        <v>Susanville</v>
      </c>
    </row>
    <row r="6423" spans="1:6" ht="15.75" customHeight="1">
      <c r="A6423" s="5" t="str">
        <f ca="1">IFERROR(__xludf.DUMMYFUNCTION("GOOGLETRANSLATE(B45185,""en"",""pt"")"),"Susanville")</f>
        <v>Susanville</v>
      </c>
      <c r="B6423" s="17" t="s">
        <v>30144</v>
      </c>
      <c r="C6423" s="17" t="s">
        <v>27788</v>
      </c>
      <c r="D6423" s="17" t="s">
        <v>27801</v>
      </c>
      <c r="E6423" s="10">
        <v>5572400</v>
      </c>
      <c r="F6423" s="4" t="str">
        <f>IF(B6423=B6422,"",B6423)</f>
        <v/>
      </c>
    </row>
    <row r="6424" spans="1:6" ht="15.75" customHeight="1">
      <c r="A6424" s="5" t="str">
        <f ca="1">IFERROR(__xludf.DUMMYFUNCTION("GOOGLETRANSLATE(B34462,""en"",""pt"")"),"Sūsangerd")</f>
        <v>Sūsangerd</v>
      </c>
      <c r="B6424" s="17" t="s">
        <v>34210</v>
      </c>
      <c r="C6424" s="17" t="s">
        <v>14240</v>
      </c>
      <c r="D6424" s="17" t="s">
        <v>14271</v>
      </c>
      <c r="E6424" s="10">
        <v>137268</v>
      </c>
      <c r="F6424" s="4" t="str">
        <f>IF(B6424=B6423,"",B6424)</f>
        <v>Sūsangerd</v>
      </c>
    </row>
    <row r="6425" spans="1:6" ht="15.75" customHeight="1">
      <c r="A6425" s="6" t="s">
        <v>16450</v>
      </c>
      <c r="B6425" s="6" t="s">
        <v>16450</v>
      </c>
      <c r="C6425" s="6" t="s">
        <v>15704</v>
      </c>
      <c r="D6425" s="6" t="s">
        <v>15715</v>
      </c>
      <c r="E6425" s="2">
        <v>1851390</v>
      </c>
      <c r="F6425" s="4" t="str">
        <f>IF(B6425=B6424,"",B6425)</f>
        <v>Susaki</v>
      </c>
    </row>
    <row r="6426" spans="1:6" ht="15.75" customHeight="1">
      <c r="A6426" s="5" t="str">
        <f ca="1">IFERROR(__xludf.DUMMYFUNCTION("GOOGLETRANSLATE(B35276,""en"",""pt"")"),"Susaki")</f>
        <v>Susaki</v>
      </c>
      <c r="B6426" s="17" t="s">
        <v>16450</v>
      </c>
      <c r="C6426" s="17" t="s">
        <v>15704</v>
      </c>
      <c r="D6426" s="17" t="s">
        <v>15715</v>
      </c>
      <c r="E6426" s="10">
        <v>1851390</v>
      </c>
      <c r="F6426" s="4" t="str">
        <f>IF(B6426=B6425,"",B6426)</f>
        <v/>
      </c>
    </row>
    <row r="6427" spans="1:6" ht="15.75" customHeight="1">
      <c r="A6427" s="5" t="str">
        <f ca="1">IFERROR(__xludf.DUMMYFUNCTION("GOOGLETRANSLATE(B41890,""en"",""pt"")"),"Suruç")</f>
        <v>Suruç</v>
      </c>
      <c r="B6427" s="17" t="s">
        <v>35831</v>
      </c>
      <c r="C6427" s="17" t="s">
        <v>26201</v>
      </c>
      <c r="D6427" s="17" t="s">
        <v>35822</v>
      </c>
      <c r="E6427" s="10">
        <v>300075</v>
      </c>
      <c r="F6427" s="4" t="str">
        <f>IF(B6427=B6426,"",B6427)</f>
        <v>Suruç</v>
      </c>
    </row>
    <row r="6428" spans="1:6" ht="15.75" customHeight="1">
      <c r="A6428" s="6" t="s">
        <v>3504</v>
      </c>
      <c r="B6428" s="6" t="s">
        <v>3505</v>
      </c>
      <c r="C6428" s="6" t="s">
        <v>1905</v>
      </c>
      <c r="D6428" s="6" t="s">
        <v>1909</v>
      </c>
      <c r="E6428" s="2">
        <v>3387115</v>
      </c>
      <c r="F6428" s="4" t="str">
        <f>IF(B6428=B6427,"",B6428)</f>
        <v>Surubim</v>
      </c>
    </row>
    <row r="6429" spans="1:6" ht="15.75" customHeight="1">
      <c r="A6429" s="5" t="str">
        <f ca="1">IFERROR(__xludf.DUMMYFUNCTION("GOOGLETRANSLATE(B24172,""en"",""pt"")"),"Surrubim")</f>
        <v>Surrubim</v>
      </c>
      <c r="B6429" s="17" t="s">
        <v>3505</v>
      </c>
      <c r="C6429" s="17" t="s">
        <v>1905</v>
      </c>
      <c r="D6429" s="17" t="s">
        <v>1909</v>
      </c>
      <c r="E6429" s="10">
        <v>3387115</v>
      </c>
      <c r="F6429" s="4" t="str">
        <f>IF(B6429=B6428,"",B6429)</f>
        <v/>
      </c>
    </row>
    <row r="6430" spans="1:6" ht="15.75" customHeight="1">
      <c r="A6430" s="6" t="s">
        <v>26712</v>
      </c>
      <c r="B6430" s="6" t="s">
        <v>26713</v>
      </c>
      <c r="C6430" s="6" t="s">
        <v>26201</v>
      </c>
      <c r="D6430" s="6" t="s">
        <v>26289</v>
      </c>
      <c r="E6430" s="2">
        <v>300075</v>
      </c>
      <c r="F6430" s="4" t="str">
        <f>IF(B6430=B6429,"",B6430)</f>
        <v>SuruÃ§</v>
      </c>
    </row>
    <row r="6431" spans="1:6" ht="15.75" customHeight="1">
      <c r="A6431" s="6" t="s">
        <v>4212</v>
      </c>
      <c r="B6431" s="6" t="s">
        <v>4212</v>
      </c>
      <c r="C6431" s="6" t="s">
        <v>3975</v>
      </c>
      <c r="D6431" s="6" t="s">
        <v>3976</v>
      </c>
      <c r="E6431" s="2">
        <v>6159905</v>
      </c>
      <c r="F6431" s="4" t="str">
        <f>IF(B6431=B6430,"",B6431)</f>
        <v>Surrey</v>
      </c>
    </row>
    <row r="6432" spans="1:6" ht="15.75" customHeight="1">
      <c r="A6432" s="5" t="str">
        <f ca="1">IFERROR(__xludf.DUMMYFUNCTION("GOOGLETRANSLATE(B25592,""en"",""pt"")"),"Surrey")</f>
        <v>Surrey</v>
      </c>
      <c r="B6432" s="17" t="s">
        <v>4212</v>
      </c>
      <c r="C6432" s="17" t="s">
        <v>3975</v>
      </c>
      <c r="D6432" s="17" t="s">
        <v>3976</v>
      </c>
      <c r="E6432" s="10">
        <v>6159905</v>
      </c>
      <c r="F6432" s="4" t="str">
        <f>IF(B6432=B6431,"",B6432)</f>
        <v/>
      </c>
    </row>
    <row r="6433" spans="1:6" ht="15.75" customHeight="1">
      <c r="A6433" s="6" t="s">
        <v>30142</v>
      </c>
      <c r="B6433" s="6" t="s">
        <v>30143</v>
      </c>
      <c r="C6433" s="6" t="s">
        <v>27788</v>
      </c>
      <c r="D6433" s="6" t="s">
        <v>27880</v>
      </c>
      <c r="E6433" s="2">
        <v>5316428</v>
      </c>
      <c r="F6433" s="4" t="str">
        <f>IF(B6433=B6432,"",B6433)</f>
        <v>Surprise</v>
      </c>
    </row>
    <row r="6434" spans="1:6" ht="15.75" customHeight="1">
      <c r="A6434" s="5" t="str">
        <f ca="1">IFERROR(__xludf.DUMMYFUNCTION("GOOGLETRANSLATE(B44731,""en"",""pt"")"),"Surpresa")</f>
        <v>Surpresa</v>
      </c>
      <c r="B6434" s="17" t="s">
        <v>30143</v>
      </c>
      <c r="C6434" s="17" t="s">
        <v>27788</v>
      </c>
      <c r="D6434" s="17" t="s">
        <v>27880</v>
      </c>
      <c r="E6434" s="10">
        <v>5316428</v>
      </c>
      <c r="F6434" s="4" t="str">
        <f>IF(B6434=B6433,"",B6434)</f>
        <v/>
      </c>
    </row>
    <row r="6435" spans="1:6" ht="15.75" customHeight="1">
      <c r="A6435" s="5" t="s">
        <v>23149</v>
      </c>
      <c r="B6435" s="6" t="s">
        <v>23149</v>
      </c>
      <c r="C6435" s="5" t="s">
        <v>22070</v>
      </c>
      <c r="D6435" s="5" t="s">
        <v>22351</v>
      </c>
      <c r="E6435" s="2">
        <v>486071</v>
      </c>
      <c r="F6435" s="4" t="str">
        <f>IF(B6435=B6434,"",B6435)</f>
        <v>Surovikino</v>
      </c>
    </row>
    <row r="6436" spans="1:6" ht="15.75" customHeight="1">
      <c r="A6436" s="5" t="str">
        <f ca="1">IFERROR(__xludf.DUMMYFUNCTION("GOOGLETRANSLATE(B40055,""en"",""pt"")"),"Surovikino")</f>
        <v>Surovikino</v>
      </c>
      <c r="B6436" s="17" t="s">
        <v>23149</v>
      </c>
      <c r="C6436" s="17" t="s">
        <v>22070</v>
      </c>
      <c r="D6436" s="17" t="s">
        <v>22351</v>
      </c>
      <c r="E6436" s="10">
        <v>486071</v>
      </c>
      <c r="F6436" s="4" t="str">
        <f>IF(B6436=B6435,"",B6436)</f>
        <v/>
      </c>
    </row>
    <row r="6437" spans="1:6" ht="15.75" customHeight="1">
      <c r="A6437" s="5" t="str">
        <f ca="1">IFERROR(__xludf.DUMMYFUNCTION("GOOGLETRANSLATE(B42113,""en"",""pt"")"),"Sürmene")</f>
        <v>Sürmene</v>
      </c>
      <c r="B6437" s="17" t="s">
        <v>26674</v>
      </c>
      <c r="C6437" s="17" t="s">
        <v>26201</v>
      </c>
      <c r="D6437" s="17" t="s">
        <v>26286</v>
      </c>
      <c r="E6437" s="10">
        <v>739215</v>
      </c>
      <c r="F6437" s="4" t="str">
        <f>IF(B6437=B6436,"",B6437)</f>
        <v>Sürmene</v>
      </c>
    </row>
    <row r="6438" spans="1:6" ht="15.75" customHeight="1">
      <c r="A6438" s="5" t="str">
        <f ca="1">IFERROR(__xludf.DUMMYFUNCTION("GOOGLETRANSLATE(B36434,""en"",""pt"")"),"Şurmān")</f>
        <v>Şurmān</v>
      </c>
      <c r="B6438" s="17" t="s">
        <v>34568</v>
      </c>
      <c r="C6438" s="17" t="s">
        <v>17074</v>
      </c>
      <c r="D6438" s="17" t="s">
        <v>34569</v>
      </c>
      <c r="E6438" s="10">
        <v>2210560</v>
      </c>
      <c r="F6438" s="4" t="str">
        <f>IF(B6438=B6437,"",B6438)</f>
        <v>Şurmān</v>
      </c>
    </row>
    <row r="6439" spans="1:6" ht="15.75" customHeight="1">
      <c r="A6439" s="6" t="s">
        <v>20242</v>
      </c>
      <c r="B6439" s="6" t="s">
        <v>20242</v>
      </c>
      <c r="C6439" s="6" t="s">
        <v>19808</v>
      </c>
      <c r="D6439" s="6" t="s">
        <v>10184</v>
      </c>
      <c r="E6439" s="2">
        <v>1164245</v>
      </c>
      <c r="F6439" s="4" t="str">
        <f>IF(B6439=B6438,"",B6439)</f>
        <v>Surkhpur</v>
      </c>
    </row>
    <row r="6440" spans="1:6" ht="15.75" customHeight="1">
      <c r="A6440" s="5" t="str">
        <f ca="1">IFERROR(__xludf.DUMMYFUNCTION("GOOGLETRANSLATE(B38900,""en"",""pt"")"),"Surkhpur")</f>
        <v>Surkhpur</v>
      </c>
      <c r="B6440" s="17" t="s">
        <v>20242</v>
      </c>
      <c r="C6440" s="17" t="s">
        <v>19808</v>
      </c>
      <c r="D6440" s="17" t="s">
        <v>10184</v>
      </c>
      <c r="E6440" s="10">
        <v>1164245</v>
      </c>
      <c r="F6440" s="4" t="str">
        <f>IF(B6440=B6439,"",B6440)</f>
        <v/>
      </c>
    </row>
    <row r="6441" spans="1:6" ht="15.75" customHeight="1">
      <c r="A6441" s="5" t="s">
        <v>23148</v>
      </c>
      <c r="B6441" s="6" t="s">
        <v>23148</v>
      </c>
      <c r="C6441" s="5" t="s">
        <v>22070</v>
      </c>
      <c r="D6441" s="5" t="s">
        <v>22360</v>
      </c>
      <c r="E6441" s="2">
        <v>486110</v>
      </c>
      <c r="F6441" s="4" t="str">
        <f>IF(B6441=B6440,"",B6441)</f>
        <v>Surkhakhi</v>
      </c>
    </row>
    <row r="6442" spans="1:6" ht="15.75" customHeight="1">
      <c r="A6442" s="5" t="str">
        <f ca="1">IFERROR(__xludf.DUMMYFUNCTION("GOOGLETRANSLATE(B40056,""en"",""pt"")"),"Surkhakhi")</f>
        <v>Surkhakhi</v>
      </c>
      <c r="B6442" s="17" t="s">
        <v>23148</v>
      </c>
      <c r="C6442" s="17" t="s">
        <v>22070</v>
      </c>
      <c r="D6442" s="17" t="s">
        <v>22360</v>
      </c>
      <c r="E6442" s="10">
        <v>486110</v>
      </c>
      <c r="F6442" s="4" t="str">
        <f>IF(B6442=B6441,"",B6442)</f>
        <v/>
      </c>
    </row>
    <row r="6443" spans="1:6" ht="15.75" customHeight="1">
      <c r="A6443" s="6" t="s">
        <v>26003</v>
      </c>
      <c r="B6443" s="6" t="s">
        <v>26003</v>
      </c>
      <c r="C6443" s="6" t="s">
        <v>25771</v>
      </c>
      <c r="D6443" s="6" t="s">
        <v>26003</v>
      </c>
      <c r="E6443" s="2">
        <v>1606030</v>
      </c>
      <c r="F6443" s="4" t="str">
        <f>IF(B6443=B6442,"",B6443)</f>
        <v>Surin</v>
      </c>
    </row>
    <row r="6444" spans="1:6" ht="15.75" customHeight="1">
      <c r="A6444" s="5" t="str">
        <f ca="1">IFERROR(__xludf.DUMMYFUNCTION("GOOGLETRANSLATE(B41599,""en"",""pt"")"),"Surin")</f>
        <v>Surin</v>
      </c>
      <c r="B6444" s="17" t="s">
        <v>26003</v>
      </c>
      <c r="C6444" s="17" t="s">
        <v>25771</v>
      </c>
      <c r="D6444" s="17" t="s">
        <v>26003</v>
      </c>
      <c r="E6444" s="10">
        <v>1606030</v>
      </c>
      <c r="F6444" s="4" t="str">
        <f>IF(B6444=B6443,"",B6444)</f>
        <v/>
      </c>
    </row>
    <row r="6445" spans="1:6" ht="15.75" customHeight="1">
      <c r="A6445" s="6" t="s">
        <v>21020</v>
      </c>
      <c r="B6445" s="6" t="s">
        <v>21020</v>
      </c>
      <c r="C6445" s="6" t="s">
        <v>20598</v>
      </c>
      <c r="D6445" s="6" t="s">
        <v>20647</v>
      </c>
      <c r="E6445" s="2">
        <v>1685218</v>
      </c>
      <c r="F6445" s="4" t="str">
        <f>IF(B6445=B6444,"",B6445)</f>
        <v>Surigao</v>
      </c>
    </row>
    <row r="6446" spans="1:6" ht="15.75" customHeight="1">
      <c r="A6446" s="5" t="str">
        <f ca="1">IFERROR(__xludf.DUMMYFUNCTION("GOOGLETRANSLATE(B38468,""en"",""pt"")"),"Surigao")</f>
        <v>Surigao</v>
      </c>
      <c r="B6446" s="17" t="s">
        <v>21020</v>
      </c>
      <c r="C6446" s="17" t="s">
        <v>20598</v>
      </c>
      <c r="D6446" s="17" t="s">
        <v>20647</v>
      </c>
      <c r="E6446" s="10">
        <v>1685218</v>
      </c>
      <c r="F6446" s="4" t="str">
        <f>IF(B6446=B6445,"",B6446)</f>
        <v/>
      </c>
    </row>
    <row r="6447" spans="1:6" ht="15.75" customHeight="1">
      <c r="A6447" s="5" t="str">
        <f ca="1">IFERROR(__xludf.DUMMYFUNCTION("GOOGLETRANSLATE(B32054,""en"",""pt"")"),"Suriāpet")</f>
        <v>Suriāpet</v>
      </c>
      <c r="B6447" s="17" t="s">
        <v>33033</v>
      </c>
      <c r="C6447" s="17" t="s">
        <v>10178</v>
      </c>
      <c r="D6447" s="17" t="s">
        <v>10187</v>
      </c>
      <c r="E6447" s="10">
        <v>1255344</v>
      </c>
      <c r="F6447" s="4" t="str">
        <f>IF(B6447=B6446,"",B6447)</f>
        <v>Suriāpet</v>
      </c>
    </row>
    <row r="6448" spans="1:6" ht="15.75" customHeight="1">
      <c r="A6448" s="5" t="str">
        <f ca="1">IFERROR(__xludf.DUMMYFUNCTION("GOOGLETRANSLATE(B32055,""en"",""pt"")"),"Suriānwān")</f>
        <v>Suriānwān</v>
      </c>
      <c r="B6448" s="17" t="s">
        <v>33034</v>
      </c>
      <c r="C6448" s="17" t="s">
        <v>10178</v>
      </c>
      <c r="D6448" s="17" t="s">
        <v>10193</v>
      </c>
      <c r="E6448" s="10">
        <v>1255346</v>
      </c>
      <c r="F6448" s="4" t="str">
        <f>IF(B6448=B6447,"",B6448)</f>
        <v>Suriānwān</v>
      </c>
    </row>
    <row r="6449" spans="1:6" ht="15.75" customHeight="1">
      <c r="A6449" s="6" t="s">
        <v>13473</v>
      </c>
      <c r="B6449" s="6" t="s">
        <v>13474</v>
      </c>
      <c r="C6449" s="6" t="s">
        <v>10178</v>
      </c>
      <c r="D6449" s="6" t="s">
        <v>10187</v>
      </c>
      <c r="E6449" s="2">
        <v>1255344</v>
      </c>
      <c r="F6449" s="4" t="str">
        <f>IF(B6449=B6448,"",B6449)</f>
        <v>SuriÄpet</v>
      </c>
    </row>
    <row r="6450" spans="1:6" ht="15.75" customHeight="1">
      <c r="A6450" s="5" t="s">
        <v>13471</v>
      </c>
      <c r="B6450" s="6" t="s">
        <v>13472</v>
      </c>
      <c r="C6450" s="5" t="s">
        <v>10178</v>
      </c>
      <c r="D6450" s="5" t="s">
        <v>10193</v>
      </c>
      <c r="E6450" s="2">
        <v>1255346</v>
      </c>
      <c r="F6450" s="4" t="str">
        <f>IF(B6450=B6449,"",B6450)</f>
        <v>SuriÄnwÄn</v>
      </c>
    </row>
    <row r="6451" spans="1:6" ht="15.75" customHeight="1">
      <c r="A6451" s="6" t="s">
        <v>23147</v>
      </c>
      <c r="B6451" s="6" t="s">
        <v>23147</v>
      </c>
      <c r="C6451" s="6" t="s">
        <v>22070</v>
      </c>
      <c r="D6451" s="6" t="s">
        <v>22217</v>
      </c>
      <c r="E6451" s="2">
        <v>1490624</v>
      </c>
      <c r="F6451" s="4" t="str">
        <f>IF(B6451=B6450,"",B6451)</f>
        <v>Surgut</v>
      </c>
    </row>
    <row r="6452" spans="1:6" ht="15.75" customHeight="1">
      <c r="A6452" s="5" t="str">
        <f ca="1">IFERROR(__xludf.DUMMYFUNCTION("GOOGLETRANSLATE(B40753,""en"",""pt"")"),"Surgut")</f>
        <v>Surgut</v>
      </c>
      <c r="B6452" s="17" t="s">
        <v>23147</v>
      </c>
      <c r="C6452" s="17" t="s">
        <v>22070</v>
      </c>
      <c r="D6452" s="17" t="s">
        <v>22217</v>
      </c>
      <c r="E6452" s="10">
        <v>1490624</v>
      </c>
      <c r="F6452" s="4" t="str">
        <f>IF(B6452=B6451,"",B6452)</f>
        <v/>
      </c>
    </row>
    <row r="6453" spans="1:6" ht="15.75" customHeight="1">
      <c r="A6453" s="5" t="s">
        <v>1088</v>
      </c>
      <c r="B6453" s="6" t="s">
        <v>1089</v>
      </c>
      <c r="C6453" s="5" t="s">
        <v>885</v>
      </c>
      <c r="D6453" s="5" t="s">
        <v>910</v>
      </c>
      <c r="E6453" s="2">
        <v>2147849</v>
      </c>
      <c r="F6453" s="4" t="str">
        <f>IF(B6453=B6452,"",B6453)</f>
        <v>Surfers Paradise</v>
      </c>
    </row>
    <row r="6454" spans="1:6" ht="15.75" customHeight="1">
      <c r="A6454" s="5" t="str">
        <f ca="1">IFERROR(__xludf.DUMMYFUNCTION("GOOGLETRANSLATE(B23445,""en"",""pt"")"),"Paraíso dos surfistas")</f>
        <v>Paraíso dos surfistas</v>
      </c>
      <c r="B6454" s="17" t="s">
        <v>1089</v>
      </c>
      <c r="C6454" s="17" t="s">
        <v>885</v>
      </c>
      <c r="D6454" s="17" t="s">
        <v>910</v>
      </c>
      <c r="E6454" s="10">
        <v>2147849</v>
      </c>
      <c r="F6454" s="4" t="str">
        <f>IF(B6454=B6453,"",B6454)</f>
        <v/>
      </c>
    </row>
    <row r="6455" spans="1:6" ht="15.75" customHeight="1">
      <c r="A6455" s="6" t="s">
        <v>7840</v>
      </c>
      <c r="B6455" s="6" t="s">
        <v>7840</v>
      </c>
      <c r="C6455" s="6" t="s">
        <v>7052</v>
      </c>
      <c r="D6455" s="6" t="s">
        <v>7058</v>
      </c>
      <c r="E6455" s="2">
        <v>2973675</v>
      </c>
      <c r="F6455" s="4" t="str">
        <f>IF(B6455=B6454,"",B6455)</f>
        <v>Suresnes</v>
      </c>
    </row>
    <row r="6456" spans="1:6" ht="15.75" customHeight="1">
      <c r="A6456" s="5" t="str">
        <f ca="1">IFERROR(__xludf.DUMMYFUNCTION("GOOGLETRANSLATE(B29742,""en"",""pt"")"),"Suresnes")</f>
        <v>Suresnes</v>
      </c>
      <c r="B6456" s="17" t="s">
        <v>7840</v>
      </c>
      <c r="C6456" s="17" t="s">
        <v>7052</v>
      </c>
      <c r="D6456" s="17" t="s">
        <v>32531</v>
      </c>
      <c r="E6456" s="10">
        <v>2973675</v>
      </c>
      <c r="F6456" s="4" t="str">
        <f>IF(B6456=B6455,"",B6456)</f>
        <v/>
      </c>
    </row>
    <row r="6457" spans="1:6" ht="15.75" customHeight="1">
      <c r="A6457" s="5" t="s">
        <v>13470</v>
      </c>
      <c r="B6457" s="6" t="s">
        <v>13470</v>
      </c>
      <c r="C6457" s="5" t="s">
        <v>10178</v>
      </c>
      <c r="D6457" s="5" t="s">
        <v>10209</v>
      </c>
      <c r="E6457" s="2">
        <v>1255349</v>
      </c>
      <c r="F6457" s="4" t="str">
        <f>IF(B6457=B6456,"",B6457)</f>
        <v>Surendranagar</v>
      </c>
    </row>
    <row r="6458" spans="1:6" ht="15.75" customHeight="1">
      <c r="A6458" s="5" t="str">
        <f ca="1">IFERROR(__xludf.DUMMYFUNCTION("GOOGLETRANSLATE(B32056,""en"",""pt"")"),"Surendranagar")</f>
        <v>Surendranagar</v>
      </c>
      <c r="B6458" s="17" t="s">
        <v>13470</v>
      </c>
      <c r="C6458" s="17" t="s">
        <v>10178</v>
      </c>
      <c r="D6458" s="17" t="s">
        <v>10209</v>
      </c>
      <c r="E6458" s="10">
        <v>1255349</v>
      </c>
      <c r="F6458" s="4" t="str">
        <f>IF(B6458=B6457,"",B6458)</f>
        <v/>
      </c>
    </row>
    <row r="6459" spans="1:6" ht="15.75" customHeight="1">
      <c r="A6459" s="6" t="s">
        <v>27713</v>
      </c>
      <c r="B6459" s="6" t="s">
        <v>27713</v>
      </c>
      <c r="C6459" s="6" t="s">
        <v>27234</v>
      </c>
      <c r="D6459" s="6" t="s">
        <v>27241</v>
      </c>
      <c r="E6459" s="2">
        <v>6690866</v>
      </c>
      <c r="F6459" s="4" t="str">
        <f>IF(B6459=B6458,"",B6459)</f>
        <v>Surbiton</v>
      </c>
    </row>
    <row r="6460" spans="1:6" ht="15.75" customHeight="1">
      <c r="A6460" s="5" t="str">
        <f ca="1">IFERROR(__xludf.DUMMYFUNCTION("GOOGLETRANSLATE(B30793,""en"",""pt"")"),"Surbiton")</f>
        <v>Surbiton</v>
      </c>
      <c r="B6460" s="17" t="s">
        <v>27713</v>
      </c>
      <c r="C6460" s="17" t="s">
        <v>27234</v>
      </c>
      <c r="D6460" s="17" t="s">
        <v>27241</v>
      </c>
      <c r="E6460" s="10">
        <v>6690866</v>
      </c>
      <c r="F6460" s="4" t="str">
        <f>IF(B6460=B6459,"",B6460)</f>
        <v/>
      </c>
    </row>
    <row r="6461" spans="1:6" ht="15.75" customHeight="1">
      <c r="A6461" s="5" t="str">
        <f ca="1">IFERROR(__xludf.DUMMYFUNCTION("GOOGLETRANSLATE(B32057,""en"",""pt"")"),"Sūratgarh")</f>
        <v>Sūratgarh</v>
      </c>
      <c r="B6461" s="17" t="s">
        <v>33035</v>
      </c>
      <c r="C6461" s="17" t="s">
        <v>10178</v>
      </c>
      <c r="D6461" s="17" t="s">
        <v>10179</v>
      </c>
      <c r="E6461" s="10">
        <v>1255361</v>
      </c>
      <c r="F6461" s="4" t="str">
        <f>IF(B6461=B6460,"",B6461)</f>
        <v>Sūratgarh</v>
      </c>
    </row>
    <row r="6462" spans="1:6" ht="15.75" customHeight="1">
      <c r="A6462" s="5" t="s">
        <v>25802</v>
      </c>
      <c r="B6462" s="6" t="s">
        <v>25802</v>
      </c>
      <c r="C6462" s="5" t="s">
        <v>25771</v>
      </c>
      <c r="D6462" s="5" t="s">
        <v>25802</v>
      </c>
      <c r="E6462" s="2">
        <v>1150515</v>
      </c>
      <c r="F6462" s="4" t="str">
        <f>IF(B6462=B6461,"",B6462)</f>
        <v>Surat Thani</v>
      </c>
    </row>
    <row r="6463" spans="1:6" ht="15.75" customHeight="1">
      <c r="A6463" s="5" t="str">
        <f ca="1">IFERROR(__xludf.DUMMYFUNCTION("GOOGLETRANSLATE(B41522,""en"",""pt"")"),"Surat Thani")</f>
        <v>Surat Thani</v>
      </c>
      <c r="B6463" s="17" t="s">
        <v>25802</v>
      </c>
      <c r="C6463" s="17" t="s">
        <v>25771</v>
      </c>
      <c r="D6463" s="17" t="s">
        <v>25802</v>
      </c>
      <c r="E6463" s="10">
        <v>1150515</v>
      </c>
      <c r="F6463" s="4" t="str">
        <f>IF(B6463=B6462,"",B6463)</f>
        <v/>
      </c>
    </row>
    <row r="6464" spans="1:6" ht="15.75" customHeight="1">
      <c r="A6464" s="5" t="str">
        <f ca="1">IFERROR(__xludf.DUMMYFUNCTION("GOOGLETRANSLATE(B32058,""en"",""pt"")"),"Sūrat")</f>
        <v>Sūrat</v>
      </c>
      <c r="B6464" s="17" t="s">
        <v>33036</v>
      </c>
      <c r="C6464" s="17" t="s">
        <v>10178</v>
      </c>
      <c r="D6464" s="17" t="s">
        <v>10209</v>
      </c>
      <c r="E6464" s="10">
        <v>1255364</v>
      </c>
      <c r="F6464" s="4" t="str">
        <f>IF(B6464=B6463,"",B6464)</f>
        <v>Sūrat</v>
      </c>
    </row>
    <row r="6465" spans="1:6" ht="15.75" customHeight="1">
      <c r="A6465" s="5" t="str">
        <f ca="1">IFERROR(__xludf.DUMMYFUNCTION("GOOGLETRANSLATE(B32059,""en"",""pt"")"),"Sūrandai")</f>
        <v>Sūrandai</v>
      </c>
      <c r="B6465" s="17" t="s">
        <v>33037</v>
      </c>
      <c r="C6465" s="17" t="s">
        <v>10178</v>
      </c>
      <c r="D6465" s="17" t="s">
        <v>10196</v>
      </c>
      <c r="E6465" s="10">
        <v>1255372</v>
      </c>
      <c r="F6465" s="4" t="str">
        <f>IF(B6465=B6464,"",B6465)</f>
        <v>Sūrandai</v>
      </c>
    </row>
    <row r="6466" spans="1:6" ht="15.75" customHeight="1">
      <c r="A6466" s="6" t="s">
        <v>21019</v>
      </c>
      <c r="B6466" s="6" t="s">
        <v>21019</v>
      </c>
      <c r="C6466" s="6" t="s">
        <v>20598</v>
      </c>
      <c r="D6466" s="6" t="s">
        <v>20606</v>
      </c>
      <c r="E6466" s="2">
        <v>1685230</v>
      </c>
      <c r="F6466" s="4" t="str">
        <f>IF(B6466=B6465,"",B6466)</f>
        <v>Surallah</v>
      </c>
    </row>
    <row r="6467" spans="1:6" ht="15.75" customHeight="1">
      <c r="A6467" s="5" t="str">
        <f ca="1">IFERROR(__xludf.DUMMYFUNCTION("GOOGLETRANSLATE(B38469,""en"",""pt"")"),"Surallah")</f>
        <v>Surallah</v>
      </c>
      <c r="B6467" s="17" t="s">
        <v>21019</v>
      </c>
      <c r="C6467" s="17" t="s">
        <v>20598</v>
      </c>
      <c r="D6467" s="17" t="s">
        <v>20606</v>
      </c>
      <c r="E6467" s="10">
        <v>1685230</v>
      </c>
      <c r="F6467" s="4" t="str">
        <f>IF(B6467=B6466,"",B6467)</f>
        <v/>
      </c>
    </row>
    <row r="6468" spans="1:6" ht="15.75" customHeight="1">
      <c r="A6468" s="6" t="s">
        <v>14191</v>
      </c>
      <c r="B6468" s="6" t="s">
        <v>14191</v>
      </c>
      <c r="C6468" s="6" t="s">
        <v>13800</v>
      </c>
      <c r="D6468" s="6" t="s">
        <v>13803</v>
      </c>
      <c r="E6468" s="2">
        <v>1625812</v>
      </c>
      <c r="F6468" s="4" t="str">
        <f>IF(B6468=B6467,"",B6468)</f>
        <v>Surakarta</v>
      </c>
    </row>
    <row r="6469" spans="1:6" ht="15.75" customHeight="1">
      <c r="A6469" s="5" t="str">
        <f ca="1">IFERROR(__xludf.DUMMYFUNCTION("GOOGLETRANSLATE(B31422,""en"",""pt"")"),"Surakarta")</f>
        <v>Surakarta</v>
      </c>
      <c r="B6469" s="17" t="s">
        <v>14191</v>
      </c>
      <c r="C6469" s="17" t="s">
        <v>13800</v>
      </c>
      <c r="D6469" s="17" t="s">
        <v>13803</v>
      </c>
      <c r="E6469" s="10">
        <v>1625812</v>
      </c>
      <c r="F6469" s="4" t="str">
        <f>IF(B6469=B6468,"",B6469)</f>
        <v/>
      </c>
    </row>
    <row r="6470" spans="1:6" ht="15.75" customHeight="1">
      <c r="A6470" s="5" t="str">
        <f ca="1">IFERROR(__xludf.DUMMYFUNCTION("GOOGLETRANSLATE(B32060,""en"",""pt"")"),"Sūrajgarh")</f>
        <v>Sūrajgarh</v>
      </c>
      <c r="B6470" s="17" t="s">
        <v>33038</v>
      </c>
      <c r="C6470" s="17" t="s">
        <v>10178</v>
      </c>
      <c r="D6470" s="17" t="s">
        <v>10179</v>
      </c>
      <c r="E6470" s="10">
        <v>1255383</v>
      </c>
      <c r="F6470" s="4" t="str">
        <f>IF(B6470=B6469,"",B6470)</f>
        <v>Sūrajgarh</v>
      </c>
    </row>
    <row r="6471" spans="1:6" ht="15.75" customHeight="1">
      <c r="A6471" s="6" t="s">
        <v>14190</v>
      </c>
      <c r="B6471" s="6" t="s">
        <v>14190</v>
      </c>
      <c r="C6471" s="6" t="s">
        <v>13800</v>
      </c>
      <c r="D6471" s="6" t="s">
        <v>13816</v>
      </c>
      <c r="E6471" s="2">
        <v>1625822</v>
      </c>
      <c r="F6471" s="4" t="str">
        <f>IF(B6471=B6470,"",B6471)</f>
        <v>Surabaya</v>
      </c>
    </row>
    <row r="6472" spans="1:6" ht="15.75" customHeight="1">
      <c r="A6472" s="5" t="str">
        <f ca="1">IFERROR(__xludf.DUMMYFUNCTION("GOOGLETRANSLATE(B31423,""en"",""pt"")"),"Surabaya")</f>
        <v>Surabaya</v>
      </c>
      <c r="B6472" s="17" t="s">
        <v>14190</v>
      </c>
      <c r="C6472" s="17" t="s">
        <v>13800</v>
      </c>
      <c r="D6472" s="17" t="s">
        <v>13816</v>
      </c>
      <c r="E6472" s="10">
        <v>1625822</v>
      </c>
      <c r="F6472" s="4" t="str">
        <f>IF(B6472=B6471,"",B6472)</f>
        <v/>
      </c>
    </row>
    <row r="6473" spans="1:6" ht="15.75" customHeight="1">
      <c r="A6473" s="6" t="s">
        <v>19803</v>
      </c>
      <c r="B6473" s="6" t="s">
        <v>19803</v>
      </c>
      <c r="C6473" s="6" t="s">
        <v>19755</v>
      </c>
      <c r="D6473" s="6" t="s">
        <v>19804</v>
      </c>
      <c r="E6473" s="2">
        <v>286245</v>
      </c>
      <c r="F6473" s="4" t="str">
        <f>IF(B6473=B6472,"",B6473)</f>
        <v>Sur</v>
      </c>
    </row>
    <row r="6474" spans="1:6" ht="15.75" customHeight="1">
      <c r="A6474" s="5" t="str">
        <f ca="1">IFERROR(__xludf.DUMMYFUNCTION("GOOGLETRANSLATE(B38252,""en"",""pt"")"),"Sur")</f>
        <v>Sur</v>
      </c>
      <c r="B6474" s="17" t="s">
        <v>19803</v>
      </c>
      <c r="C6474" s="17" t="s">
        <v>19755</v>
      </c>
      <c r="D6474" s="17" t="s">
        <v>19804</v>
      </c>
      <c r="E6474" s="10">
        <v>286245</v>
      </c>
      <c r="F6474" s="4" t="str">
        <f>IF(B6474=B6473,"",B6474)</f>
        <v/>
      </c>
    </row>
    <row r="6475" spans="1:6" ht="15.75" customHeight="1">
      <c r="A6475" s="5" t="s">
        <v>26002</v>
      </c>
      <c r="B6475" s="6" t="s">
        <v>26002</v>
      </c>
      <c r="C6475" s="5" t="s">
        <v>25771</v>
      </c>
      <c r="D6475" s="5" t="s">
        <v>26002</v>
      </c>
      <c r="E6475" s="2">
        <v>1606033</v>
      </c>
      <c r="F6475" s="4" t="str">
        <f>IF(B6475=B6474,"",B6475)</f>
        <v>Suphan Buri</v>
      </c>
    </row>
    <row r="6476" spans="1:6" ht="15.75" customHeight="1">
      <c r="A6476" s="5" t="str">
        <f ca="1">IFERROR(__xludf.DUMMYFUNCTION("GOOGLETRANSLATE(B41600,""en"",""pt"")"),"Suphan Buri")</f>
        <v>Suphan Buri</v>
      </c>
      <c r="B6476" s="17" t="s">
        <v>26002</v>
      </c>
      <c r="C6476" s="17" t="s">
        <v>25771</v>
      </c>
      <c r="D6476" s="17" t="s">
        <v>26002</v>
      </c>
      <c r="E6476" s="10">
        <v>1606033</v>
      </c>
      <c r="F6476" s="4" t="str">
        <f>IF(B6476=B6475,"",B6476)</f>
        <v/>
      </c>
    </row>
    <row r="6477" spans="1:6" ht="15.75" customHeight="1">
      <c r="A6477" s="6" t="s">
        <v>30141</v>
      </c>
      <c r="B6477" s="6" t="s">
        <v>30141</v>
      </c>
      <c r="C6477" s="6" t="s">
        <v>27788</v>
      </c>
      <c r="D6477" s="6" t="s">
        <v>27890</v>
      </c>
      <c r="E6477" s="2">
        <v>5275191</v>
      </c>
      <c r="F6477" s="4" t="str">
        <f>IF(B6477=B6476,"",B6477)</f>
        <v>Superior</v>
      </c>
    </row>
    <row r="6478" spans="1:6" ht="15.75" customHeight="1">
      <c r="A6478" s="5" t="str">
        <f ca="1">IFERROR(__xludf.DUMMYFUNCTION("GOOGLETRANSLATE(B44675,""en"",""pt"")"),"Superior")</f>
        <v>Superior</v>
      </c>
      <c r="B6478" s="17" t="s">
        <v>30141</v>
      </c>
      <c r="C6478" s="17" t="s">
        <v>27788</v>
      </c>
      <c r="D6478" s="17" t="s">
        <v>27890</v>
      </c>
      <c r="E6478" s="10">
        <v>5275191</v>
      </c>
      <c r="F6478" s="4" t="str">
        <f>IF(B6478=B6477,"",B6478)</f>
        <v/>
      </c>
    </row>
    <row r="6479" spans="1:6" ht="15.75" customHeight="1">
      <c r="A6479" s="6" t="s">
        <v>13469</v>
      </c>
      <c r="B6479" s="6" t="s">
        <v>13469</v>
      </c>
      <c r="C6479" s="6" t="s">
        <v>10178</v>
      </c>
      <c r="D6479" s="6" t="s">
        <v>10317</v>
      </c>
      <c r="E6479" s="2">
        <v>1255396</v>
      </c>
      <c r="F6479" s="4" t="str">
        <f>IF(B6479=B6478,"",B6479)</f>
        <v>Supaul</v>
      </c>
    </row>
    <row r="6480" spans="1:6" ht="15.75" customHeight="1">
      <c r="A6480" s="5" t="str">
        <f ca="1">IFERROR(__xludf.DUMMYFUNCTION("GOOGLETRANSLATE(B32061,""en"",""pt"")"),"Supaul")</f>
        <v>Supaul</v>
      </c>
      <c r="B6480" s="17" t="s">
        <v>13469</v>
      </c>
      <c r="C6480" s="17" t="s">
        <v>10178</v>
      </c>
      <c r="D6480" s="17" t="s">
        <v>10317</v>
      </c>
      <c r="E6480" s="10">
        <v>1255396</v>
      </c>
      <c r="F6480" s="4" t="str">
        <f>IF(B6480=B6479,"",B6480)</f>
        <v/>
      </c>
    </row>
    <row r="6481" spans="1:6" ht="15.75" customHeight="1">
      <c r="A6481" s="6" t="s">
        <v>5108</v>
      </c>
      <c r="B6481" s="6" t="s">
        <v>5108</v>
      </c>
      <c r="C6481" s="6" t="s">
        <v>4487</v>
      </c>
      <c r="D6481" s="6" t="s">
        <v>4503</v>
      </c>
      <c r="E6481" s="2">
        <v>1793774</v>
      </c>
      <c r="F6481" s="4" t="str">
        <f>IF(B6481=B6480,"",B6481)</f>
        <v>Suozhen</v>
      </c>
    </row>
    <row r="6482" spans="1:6" ht="15.75" customHeight="1">
      <c r="A6482" s="5" t="str">
        <f ca="1">IFERROR(__xludf.DUMMYFUNCTION("GOOGLETRANSLATE(B26251,""en"",""pt"")"),"Suozhen")</f>
        <v>Suozhen</v>
      </c>
      <c r="B6482" s="17" t="s">
        <v>5108</v>
      </c>
      <c r="C6482" s="17" t="s">
        <v>4487</v>
      </c>
      <c r="D6482" s="17" t="s">
        <v>4503</v>
      </c>
      <c r="E6482" s="10">
        <v>1793774</v>
      </c>
      <c r="F6482" s="4" t="str">
        <f>IF(B6482=B6481,"",B6482)</f>
        <v/>
      </c>
    </row>
    <row r="6483" spans="1:6" ht="15.75" customHeight="1">
      <c r="A6483" s="6" t="s">
        <v>9422</v>
      </c>
      <c r="B6483" s="6" t="s">
        <v>9423</v>
      </c>
      <c r="C6483" s="6" t="s">
        <v>9365</v>
      </c>
      <c r="D6483" s="6" t="s">
        <v>9383</v>
      </c>
      <c r="E6483" s="2">
        <v>2295021</v>
      </c>
      <c r="F6483" s="4" t="str">
        <f>IF(B6483=B6482,"",B6483)</f>
        <v>Sunyani</v>
      </c>
    </row>
    <row r="6484" spans="1:6" ht="15.75" customHeight="1">
      <c r="A6484" s="5" t="str">
        <f ca="1">IFERROR(__xludf.DUMMYFUNCTION("GOOGLETRANSLATE(B30868,""en"",""pt"")"),"SUNYANI")</f>
        <v>SUNYANI</v>
      </c>
      <c r="B6484" s="17" t="s">
        <v>9423</v>
      </c>
      <c r="C6484" s="17" t="s">
        <v>9365</v>
      </c>
      <c r="D6484" s="17" t="s">
        <v>9383</v>
      </c>
      <c r="E6484" s="10">
        <v>2295021</v>
      </c>
      <c r="F6484" s="4" t="str">
        <f>IF(B6484=B6483,"",B6484)</f>
        <v/>
      </c>
    </row>
    <row r="6485" spans="1:6" ht="15.75" customHeight="1">
      <c r="A6485" s="5" t="s">
        <v>1087</v>
      </c>
      <c r="B6485" s="6" t="s">
        <v>1087</v>
      </c>
      <c r="C6485" s="5" t="s">
        <v>885</v>
      </c>
      <c r="D6485" s="5" t="s">
        <v>827</v>
      </c>
      <c r="E6485" s="2">
        <v>9972578</v>
      </c>
      <c r="F6485" s="4" t="str">
        <f>IF(B6485=B6484,"",B6485)</f>
        <v>Sunshine West</v>
      </c>
    </row>
    <row r="6486" spans="1:6" ht="15.75" customHeight="1">
      <c r="A6486" s="5" t="str">
        <f ca="1">IFERROR(__xludf.DUMMYFUNCTION("GOOGLETRANSLATE(B23608,""en"",""pt"")"),"Sunshine West")</f>
        <v>Sunshine West</v>
      </c>
      <c r="B6486" s="17" t="s">
        <v>1087</v>
      </c>
      <c r="C6486" s="17" t="s">
        <v>885</v>
      </c>
      <c r="D6486" s="17" t="s">
        <v>827</v>
      </c>
      <c r="E6486" s="10">
        <v>9972578</v>
      </c>
      <c r="F6486" s="4" t="str">
        <f>IF(B6486=B6485,"",B6486)</f>
        <v/>
      </c>
    </row>
    <row r="6487" spans="1:6" ht="15.75" customHeight="1">
      <c r="A6487" s="5" t="s">
        <v>30139</v>
      </c>
      <c r="B6487" s="6" t="s">
        <v>30140</v>
      </c>
      <c r="C6487" s="5" t="s">
        <v>27788</v>
      </c>
      <c r="D6487" s="5" t="s">
        <v>5468</v>
      </c>
      <c r="E6487" s="2">
        <v>4174425</v>
      </c>
      <c r="F6487" s="4" t="str">
        <f>IF(B6487=B6486,"",B6487)</f>
        <v>Sunset</v>
      </c>
    </row>
    <row r="6488" spans="1:6" ht="15.75" customHeight="1">
      <c r="A6488" s="5" t="str">
        <f ca="1">IFERROR(__xludf.DUMMYFUNCTION("GOOGLETRANSLATE(B43024,""en"",""pt"")"),"Pôr do sol")</f>
        <v>Pôr do sol</v>
      </c>
      <c r="B6488" s="17" t="s">
        <v>30140</v>
      </c>
      <c r="C6488" s="17" t="s">
        <v>27788</v>
      </c>
      <c r="D6488" s="17" t="s">
        <v>5468</v>
      </c>
      <c r="E6488" s="10">
        <v>4174425</v>
      </c>
      <c r="F6488" s="4" t="str">
        <f>IF(B6488=B6487,"",B6488)</f>
        <v/>
      </c>
    </row>
    <row r="6489" spans="1:6" ht="15.75" customHeight="1">
      <c r="A6489" s="5" t="s">
        <v>30138</v>
      </c>
      <c r="B6489" s="6" t="s">
        <v>30138</v>
      </c>
      <c r="C6489" s="5" t="s">
        <v>27788</v>
      </c>
      <c r="D6489" s="5" t="s">
        <v>28073</v>
      </c>
      <c r="E6489" s="2">
        <v>5513343</v>
      </c>
      <c r="F6489" s="4" t="str">
        <f>IF(B6489=B6488,"",B6489)</f>
        <v>Sunrise Manor</v>
      </c>
    </row>
    <row r="6490" spans="1:6" ht="15.75" customHeight="1">
      <c r="A6490" s="5" t="str">
        <f ca="1">IFERROR(__xludf.DUMMYFUNCTION("GOOGLETRANSLATE(B45153,""en"",""pt"")"),"Sunrise Manor")</f>
        <v>Sunrise Manor</v>
      </c>
      <c r="B6490" s="17" t="s">
        <v>30138</v>
      </c>
      <c r="C6490" s="17" t="s">
        <v>27788</v>
      </c>
      <c r="D6490" s="17" t="s">
        <v>28073</v>
      </c>
      <c r="E6490" s="10">
        <v>5513343</v>
      </c>
      <c r="F6490" s="4" t="str">
        <f>IF(B6490=B6489,"",B6490)</f>
        <v/>
      </c>
    </row>
    <row r="6491" spans="1:6" ht="15.75" customHeight="1">
      <c r="A6491" s="5" t="s">
        <v>30136</v>
      </c>
      <c r="B6491" s="6" t="s">
        <v>30137</v>
      </c>
      <c r="C6491" s="5" t="s">
        <v>27788</v>
      </c>
      <c r="D6491" s="5" t="s">
        <v>5468</v>
      </c>
      <c r="E6491" s="2">
        <v>4174402</v>
      </c>
      <c r="F6491" s="4" t="str">
        <f>IF(B6491=B6490,"",B6491)</f>
        <v>Sunrise</v>
      </c>
    </row>
    <row r="6492" spans="1:6" ht="15.75" customHeight="1">
      <c r="A6492" s="5" t="str">
        <f ca="1">IFERROR(__xludf.DUMMYFUNCTION("GOOGLETRANSLATE(B43023,""en"",""pt"")"),"Nascer do sol")</f>
        <v>Nascer do sol</v>
      </c>
      <c r="B6492" s="17" t="s">
        <v>30137</v>
      </c>
      <c r="C6492" s="17" t="s">
        <v>27788</v>
      </c>
      <c r="D6492" s="17" t="s">
        <v>5468</v>
      </c>
      <c r="E6492" s="10">
        <v>4174402</v>
      </c>
      <c r="F6492" s="4" t="str">
        <f>IF(B6492=B6491,"",B6492)</f>
        <v/>
      </c>
    </row>
    <row r="6493" spans="1:6" ht="15.75" customHeight="1">
      <c r="A6493" s="5" t="s">
        <v>30135</v>
      </c>
      <c r="B6493" s="6" t="s">
        <v>30135</v>
      </c>
      <c r="C6493" s="5" t="s">
        <v>27788</v>
      </c>
      <c r="D6493" s="5" t="s">
        <v>27801</v>
      </c>
      <c r="E6493" s="2">
        <v>5400075</v>
      </c>
      <c r="F6493" s="4" t="str">
        <f>IF(B6493=B6492,"",B6493)</f>
        <v>Sunnyvale</v>
      </c>
    </row>
    <row r="6494" spans="1:6" ht="15.75" customHeight="1">
      <c r="A6494" s="5" t="str">
        <f ca="1">IFERROR(__xludf.DUMMYFUNCTION("GOOGLETRANSLATE(B45052,""en"",""pt"")"),"Sunnyvale")</f>
        <v>Sunnyvale</v>
      </c>
      <c r="B6494" s="17" t="s">
        <v>30135</v>
      </c>
      <c r="C6494" s="17" t="s">
        <v>27788</v>
      </c>
      <c r="D6494" s="17" t="s">
        <v>27801</v>
      </c>
      <c r="E6494" s="10">
        <v>5400075</v>
      </c>
      <c r="F6494" s="4" t="str">
        <f>IF(B6494=B6493,"",B6494)</f>
        <v/>
      </c>
    </row>
    <row r="6495" spans="1:6" ht="15.75" customHeight="1">
      <c r="A6495" s="5" t="s">
        <v>30133</v>
      </c>
      <c r="B6495" s="6" t="s">
        <v>30134</v>
      </c>
      <c r="C6495" s="5" t="s">
        <v>27788</v>
      </c>
      <c r="D6495" s="5" t="s">
        <v>27733</v>
      </c>
      <c r="E6495" s="2">
        <v>5812604</v>
      </c>
      <c r="F6495" s="4" t="str">
        <f>IF(B6495=B6494,"",B6495)</f>
        <v>Sunnyside</v>
      </c>
    </row>
    <row r="6496" spans="1:6" ht="15.75" customHeight="1">
      <c r="A6496" s="5" t="str">
        <f ca="1">IFERROR(__xludf.DUMMYFUNCTION("GOOGLETRANSLATE(B45381,""en"",""pt"")"),"Lado ensolarado")</f>
        <v>Lado ensolarado</v>
      </c>
      <c r="B6496" s="17" t="s">
        <v>30134</v>
      </c>
      <c r="C6496" s="17" t="s">
        <v>27788</v>
      </c>
      <c r="D6496" s="17" t="s">
        <v>27733</v>
      </c>
      <c r="E6496" s="10">
        <v>5812604</v>
      </c>
      <c r="F6496" s="4" t="str">
        <f>IF(B6496=B6495,"",B6496)</f>
        <v/>
      </c>
    </row>
    <row r="6497" spans="1:6" ht="15.75" customHeight="1">
      <c r="A6497" s="5" t="s">
        <v>1086</v>
      </c>
      <c r="B6497" s="6" t="s">
        <v>1086</v>
      </c>
      <c r="C6497" s="5" t="s">
        <v>885</v>
      </c>
      <c r="D6497" s="5" t="s">
        <v>910</v>
      </c>
      <c r="E6497" s="2">
        <v>9957350</v>
      </c>
      <c r="F6497" s="4" t="str">
        <f>IF(B6497=B6496,"",B6497)</f>
        <v>Sunnybank Hills</v>
      </c>
    </row>
    <row r="6498" spans="1:6" ht="15.75" customHeight="1">
      <c r="A6498" s="5" t="str">
        <f ca="1">IFERROR(__xludf.DUMMYFUNCTION("GOOGLETRANSLATE(B23604,""en"",""pt"")"),"Sunnybank Hills")</f>
        <v>Sunnybank Hills</v>
      </c>
      <c r="B6498" s="17" t="s">
        <v>1086</v>
      </c>
      <c r="C6498" s="17" t="s">
        <v>885</v>
      </c>
      <c r="D6498" s="17" t="s">
        <v>910</v>
      </c>
      <c r="E6498" s="10">
        <v>9957350</v>
      </c>
      <c r="F6498" s="4" t="str">
        <f>IF(B6498=B6497,"",B6498)</f>
        <v/>
      </c>
    </row>
    <row r="6499" spans="1:6" ht="15.75" customHeight="1">
      <c r="A6499" s="5" t="s">
        <v>1085</v>
      </c>
      <c r="B6499" s="6" t="s">
        <v>1085</v>
      </c>
      <c r="C6499" s="5" t="s">
        <v>885</v>
      </c>
      <c r="D6499" s="5" t="s">
        <v>910</v>
      </c>
      <c r="E6499" s="2">
        <v>2147892</v>
      </c>
      <c r="F6499" s="4" t="str">
        <f>IF(B6499=B6498,"",B6499)</f>
        <v>Sunnybank</v>
      </c>
    </row>
    <row r="6500" spans="1:6" ht="15.75" customHeight="1">
      <c r="A6500" s="5" t="str">
        <f ca="1">IFERROR(__xludf.DUMMYFUNCTION("GOOGLETRANSLATE(B23446,""en"",""pt"")"),"Sunnybank")</f>
        <v>Sunnybank</v>
      </c>
      <c r="B6500" s="17" t="s">
        <v>1085</v>
      </c>
      <c r="C6500" s="17" t="s">
        <v>885</v>
      </c>
      <c r="D6500" s="17" t="s">
        <v>910</v>
      </c>
      <c r="E6500" s="10">
        <v>2147892</v>
      </c>
      <c r="F6500" s="4" t="str">
        <f>IF(B6500=B6499,"",B6500)</f>
        <v/>
      </c>
    </row>
    <row r="6501" spans="1:6" ht="15.75" customHeight="1">
      <c r="A6501" s="5" t="s">
        <v>30132</v>
      </c>
      <c r="B6501" s="6" t="s">
        <v>30132</v>
      </c>
      <c r="C6501" s="5" t="s">
        <v>27788</v>
      </c>
      <c r="D6501" s="5" t="s">
        <v>5468</v>
      </c>
      <c r="E6501" s="2">
        <v>4174383</v>
      </c>
      <c r="F6501" s="4" t="str">
        <f>IF(B6501=B6500,"",B6501)</f>
        <v>Sunny Isles Beach</v>
      </c>
    </row>
    <row r="6502" spans="1:6" ht="15.75" customHeight="1">
      <c r="A6502" s="5" t="str">
        <f ca="1">IFERROR(__xludf.DUMMYFUNCTION("GOOGLETRANSLATE(B43022,""en"",""pt"")"),"Sunny Isles Beach")</f>
        <v>Sunny Isles Beach</v>
      </c>
      <c r="B6502" s="17" t="s">
        <v>30132</v>
      </c>
      <c r="C6502" s="17" t="s">
        <v>27788</v>
      </c>
      <c r="D6502" s="17" t="s">
        <v>5468</v>
      </c>
      <c r="E6502" s="10">
        <v>4174383</v>
      </c>
      <c r="F6502" s="4" t="str">
        <f>IF(B6502=B6501,"",B6502)</f>
        <v/>
      </c>
    </row>
    <row r="6503" spans="1:6" ht="15.75" customHeight="1">
      <c r="A6503" s="6" t="s">
        <v>26711</v>
      </c>
      <c r="B6503" s="6" t="s">
        <v>26711</v>
      </c>
      <c r="C6503" s="6" t="s">
        <v>26201</v>
      </c>
      <c r="D6503" s="6" t="s">
        <v>26208</v>
      </c>
      <c r="E6503" s="2">
        <v>739236</v>
      </c>
      <c r="F6503" s="4" t="str">
        <f>IF(B6503=B6502,"",B6503)</f>
        <v>Sungurlu</v>
      </c>
    </row>
    <row r="6504" spans="1:6" ht="15.75" customHeight="1">
      <c r="A6504" s="5" t="str">
        <f ca="1">IFERROR(__xludf.DUMMYFUNCTION("GOOGLETRANSLATE(B42114,""en"",""pt"")"),"Sungurlu")</f>
        <v>Sungurlu</v>
      </c>
      <c r="B6504" s="17" t="s">
        <v>26711</v>
      </c>
      <c r="C6504" s="17" t="s">
        <v>26201</v>
      </c>
      <c r="D6504" s="17" t="s">
        <v>35922</v>
      </c>
      <c r="E6504" s="10">
        <v>739236</v>
      </c>
      <c r="F6504" s="4" t="str">
        <f>IF(B6504=B6503,"",B6504)</f>
        <v/>
      </c>
    </row>
    <row r="6505" spans="1:6" ht="15.75" customHeight="1">
      <c r="A6505" s="5" t="str">
        <f ca="1">IFERROR(__xludf.DUMMYFUNCTION("GOOGLETRANSLATE(B35992,""en"",""pt"")"),"Sŭngho 1-língua")</f>
        <v>Sŭngho 1-língua</v>
      </c>
      <c r="B6505" s="17" t="s">
        <v>34436</v>
      </c>
      <c r="C6505" s="17" t="s">
        <v>19589</v>
      </c>
      <c r="D6505" s="17" t="s">
        <v>19610</v>
      </c>
      <c r="E6505" s="10">
        <v>1868998</v>
      </c>
      <c r="F6505" s="4" t="str">
        <f>IF(B6505=B6504,"",B6505)</f>
        <v>Sŭngho 1-tong</v>
      </c>
    </row>
    <row r="6506" spans="1:6" ht="15.75" customHeight="1">
      <c r="A6506" s="6" t="s">
        <v>14189</v>
      </c>
      <c r="B6506" s="6" t="s">
        <v>14189</v>
      </c>
      <c r="C6506" s="6" t="s">
        <v>13800</v>
      </c>
      <c r="D6506" s="6" t="s">
        <v>13830</v>
      </c>
      <c r="E6506" s="2">
        <v>1213614</v>
      </c>
      <c r="F6506" s="4" t="str">
        <f>IF(B6506=B6505,"",B6506)</f>
        <v>Sunggal</v>
      </c>
    </row>
    <row r="6507" spans="1:6" ht="15.75" customHeight="1">
      <c r="A6507" s="5" t="str">
        <f ca="1">IFERROR(__xludf.DUMMYFUNCTION("GOOGLETRANSLATE(B31357,""en"",""pt"")"),"Sunggal")</f>
        <v>Sunggal</v>
      </c>
      <c r="B6507" s="17" t="s">
        <v>14189</v>
      </c>
      <c r="C6507" s="17" t="s">
        <v>13800</v>
      </c>
      <c r="D6507" s="17" t="s">
        <v>13830</v>
      </c>
      <c r="E6507" s="10">
        <v>1213614</v>
      </c>
      <c r="F6507" s="4" t="str">
        <f>IF(B6507=B6506,"",B6507)</f>
        <v/>
      </c>
    </row>
    <row r="6508" spans="1:6" ht="15.75" customHeight="1">
      <c r="A6508" s="5" t="s">
        <v>14187</v>
      </c>
      <c r="B6508" s="6" t="s">
        <v>14188</v>
      </c>
      <c r="C6508" s="5" t="s">
        <v>13800</v>
      </c>
      <c r="D6508" s="5" t="s">
        <v>14026</v>
      </c>
      <c r="E6508" s="2">
        <v>1625958</v>
      </c>
      <c r="F6508" s="4" t="str">
        <f>IF(B6508=B6507,"",B6508)</f>
        <v>Sungailiat</v>
      </c>
    </row>
    <row r="6509" spans="1:6" ht="15.75" customHeight="1">
      <c r="A6509" s="5" t="str">
        <f ca="1">IFERROR(__xludf.DUMMYFUNCTION("GOOGLETRANSLATE(B31426,""en"",""pt"")"),"SunGailiat")</f>
        <v>SunGailiat</v>
      </c>
      <c r="B6509" s="17" t="s">
        <v>14188</v>
      </c>
      <c r="C6509" s="17" t="s">
        <v>13800</v>
      </c>
      <c r="D6509" s="17" t="s">
        <v>32911</v>
      </c>
      <c r="E6509" s="10">
        <v>1625958</v>
      </c>
      <c r="F6509" s="4" t="str">
        <f>IF(B6509=B6508,"",B6509)</f>
        <v/>
      </c>
    </row>
    <row r="6510" spans="1:6" ht="15.75" customHeight="1">
      <c r="A6510" s="5" t="s">
        <v>17574</v>
      </c>
      <c r="B6510" s="6" t="s">
        <v>17574</v>
      </c>
      <c r="C6510" s="5" t="s">
        <v>17432</v>
      </c>
      <c r="D6510" s="5" t="s">
        <v>17433</v>
      </c>
      <c r="E6510" s="2">
        <v>1734757</v>
      </c>
      <c r="F6510" s="4" t="str">
        <f>IF(B6510=B6509,"",B6510)</f>
        <v>Sungai Udang</v>
      </c>
    </row>
    <row r="6511" spans="1:6" ht="15.75" customHeight="1">
      <c r="A6511" s="5" t="str">
        <f ca="1">IFERROR(__xludf.DUMMYFUNCTION("GOOGLETRANSLATE(B37459,""en"",""pt"")"),"Sungai Udang")</f>
        <v>Sungai Udang</v>
      </c>
      <c r="B6511" s="17" t="s">
        <v>17574</v>
      </c>
      <c r="C6511" s="17" t="s">
        <v>17432</v>
      </c>
      <c r="D6511" s="17" t="s">
        <v>17433</v>
      </c>
      <c r="E6511" s="10">
        <v>1734757</v>
      </c>
      <c r="F6511" s="4" t="str">
        <f>IF(B6511=B6510,"",B6511)</f>
        <v/>
      </c>
    </row>
    <row r="6512" spans="1:6" ht="15.75" customHeight="1">
      <c r="A6512" s="5" t="s">
        <v>14186</v>
      </c>
      <c r="B6512" s="6" t="s">
        <v>14186</v>
      </c>
      <c r="C6512" s="5" t="s">
        <v>13800</v>
      </c>
      <c r="D6512" s="5" t="s">
        <v>14028</v>
      </c>
      <c r="E6512" s="2">
        <v>1625908</v>
      </c>
      <c r="F6512" s="4" t="str">
        <f>IF(B6512=B6511,"",B6512)</f>
        <v>Sungai Raya</v>
      </c>
    </row>
    <row r="6513" spans="1:6" ht="15.75" customHeight="1">
      <c r="A6513" s="5" t="str">
        <f ca="1">IFERROR(__xludf.DUMMYFUNCTION("GOOGLETRANSLATE(B31424,""en"",""pt"")"),"Sungai Raya")</f>
        <v>Sungai Raya</v>
      </c>
      <c r="B6513" s="17" t="s">
        <v>14186</v>
      </c>
      <c r="C6513" s="17" t="s">
        <v>13800</v>
      </c>
      <c r="D6513" s="17" t="s">
        <v>14028</v>
      </c>
      <c r="E6513" s="10">
        <v>1625908</v>
      </c>
      <c r="F6513" s="4" t="str">
        <f>IF(B6513=B6512,"",B6513)</f>
        <v/>
      </c>
    </row>
    <row r="6514" spans="1:6" ht="15.75" customHeight="1">
      <c r="A6514" s="5" t="s">
        <v>17573</v>
      </c>
      <c r="B6514" s="6" t="s">
        <v>17573</v>
      </c>
      <c r="C6514" s="5" t="s">
        <v>17432</v>
      </c>
      <c r="D6514" s="5" t="s">
        <v>17436</v>
      </c>
      <c r="E6514" s="2">
        <v>1735498</v>
      </c>
      <c r="F6514" s="4" t="str">
        <f>IF(B6514=B6513,"",B6514)</f>
        <v>Sungai Petani</v>
      </c>
    </row>
    <row r="6515" spans="1:6" ht="15.75" customHeight="1">
      <c r="A6515" s="5" t="str">
        <f ca="1">IFERROR(__xludf.DUMMYFUNCTION("GOOGLETRANSLATE(B37493,""en"",""pt"")"),"Sungai Petani")</f>
        <v>Sungai Petani</v>
      </c>
      <c r="B6515" s="17" t="s">
        <v>17573</v>
      </c>
      <c r="C6515" s="17" t="s">
        <v>17432</v>
      </c>
      <c r="D6515" s="17" t="s">
        <v>17436</v>
      </c>
      <c r="E6515" s="10">
        <v>1735498</v>
      </c>
      <c r="F6515" s="4" t="str">
        <f>IF(B6515=B6514,"",B6515)</f>
        <v/>
      </c>
    </row>
    <row r="6516" spans="1:6" ht="15.75" customHeight="1">
      <c r="A6516" s="5" t="s">
        <v>14185</v>
      </c>
      <c r="B6516" s="6" t="s">
        <v>14185</v>
      </c>
      <c r="C6516" s="5" t="s">
        <v>13800</v>
      </c>
      <c r="D6516" s="5" t="s">
        <v>13940</v>
      </c>
      <c r="E6516" s="2">
        <v>1625929</v>
      </c>
      <c r="F6516" s="4" t="str">
        <f>IF(B6516=B6515,"",B6516)</f>
        <v>Sungai Penuh</v>
      </c>
    </row>
    <row r="6517" spans="1:6" ht="15.75" customHeight="1">
      <c r="A6517" s="5" t="str">
        <f ca="1">IFERROR(__xludf.DUMMYFUNCTION("GOOGLETRANSLATE(B31425,""en"",""pt"")"),"Sungai Penuh")</f>
        <v>Sungai Penuh</v>
      </c>
      <c r="B6517" s="17" t="s">
        <v>14185</v>
      </c>
      <c r="C6517" s="17" t="s">
        <v>13800</v>
      </c>
      <c r="D6517" s="17" t="s">
        <v>13940</v>
      </c>
      <c r="E6517" s="10">
        <v>1625929</v>
      </c>
      <c r="F6517" s="4" t="str">
        <f>IF(B6517=B6516,"",B6517)</f>
        <v/>
      </c>
    </row>
    <row r="6518" spans="1:6" ht="15.75" customHeight="1">
      <c r="A6518" s="5" t="s">
        <v>26001</v>
      </c>
      <c r="B6518" s="6" t="s">
        <v>26001</v>
      </c>
      <c r="C6518" s="5" t="s">
        <v>25771</v>
      </c>
      <c r="D6518" s="5" t="s">
        <v>25942</v>
      </c>
      <c r="E6518" s="2">
        <v>1606050</v>
      </c>
      <c r="F6518" s="4" t="str">
        <f>IF(B6518=B6517,"",B6518)</f>
        <v>Su-ngai Kolok</v>
      </c>
    </row>
    <row r="6519" spans="1:6" ht="15.75" customHeight="1">
      <c r="A6519" s="5" t="str">
        <f ca="1">IFERROR(__xludf.DUMMYFUNCTION("GOOGLETRANSLATE(B41601,""en"",""pt"")"),"Su-ngai Kolok")</f>
        <v>Su-ngai Kolok</v>
      </c>
      <c r="B6519" s="17" t="s">
        <v>26001</v>
      </c>
      <c r="C6519" s="17" t="s">
        <v>25771</v>
      </c>
      <c r="D6519" s="17" t="s">
        <v>25942</v>
      </c>
      <c r="E6519" s="10">
        <v>1606050</v>
      </c>
      <c r="F6519" s="4" t="str">
        <f>IF(B6519=B6518,"",B6519)</f>
        <v/>
      </c>
    </row>
    <row r="6520" spans="1:6" ht="15.75" customHeight="1">
      <c r="A6520" s="5" t="s">
        <v>17572</v>
      </c>
      <c r="B6520" s="6" t="s">
        <v>17572</v>
      </c>
      <c r="C6520" s="5" t="s">
        <v>17432</v>
      </c>
      <c r="D6520" s="5" t="s">
        <v>17446</v>
      </c>
      <c r="E6520" s="2">
        <v>1735199</v>
      </c>
      <c r="F6520" s="4" t="str">
        <f>IF(B6520=B6519,"",B6520)</f>
        <v>Sungai Besar</v>
      </c>
    </row>
    <row r="6521" spans="1:6" ht="15.75" customHeight="1">
      <c r="A6521" s="5" t="str">
        <f ca="1">IFERROR(__xludf.DUMMYFUNCTION("GOOGLETRANSLATE(B37484,""en"",""pt"")"),"Sungai Besar")</f>
        <v>Sungai Besar</v>
      </c>
      <c r="B6521" s="17" t="s">
        <v>17572</v>
      </c>
      <c r="C6521" s="17" t="s">
        <v>17432</v>
      </c>
      <c r="D6521" s="17" t="s">
        <v>17446</v>
      </c>
      <c r="E6521" s="10">
        <v>1735199</v>
      </c>
      <c r="F6521" s="4" t="str">
        <f>IF(B6521=B6520,"",B6521)</f>
        <v/>
      </c>
    </row>
    <row r="6522" spans="1:6" ht="15.75" customHeight="1">
      <c r="A6522" s="6" t="s">
        <v>13468</v>
      </c>
      <c r="B6522" s="6" t="s">
        <v>13468</v>
      </c>
      <c r="C6522" s="6" t="s">
        <v>10178</v>
      </c>
      <c r="D6522" s="6" t="s">
        <v>10179</v>
      </c>
      <c r="E6522" s="2">
        <v>1255425</v>
      </c>
      <c r="F6522" s="4" t="str">
        <f>IF(B6522=B6521,"",B6522)</f>
        <v>Sunel</v>
      </c>
    </row>
    <row r="6523" spans="1:6" ht="15.75" customHeight="1">
      <c r="A6523" s="5" t="str">
        <f ca="1">IFERROR(__xludf.DUMMYFUNCTION("GOOGLETRANSLATE(B32062,""en"",""pt"")"),"Sunel")</f>
        <v>Sunel</v>
      </c>
      <c r="B6523" s="17" t="s">
        <v>13468</v>
      </c>
      <c r="C6523" s="17" t="s">
        <v>10178</v>
      </c>
      <c r="D6523" s="17" t="s">
        <v>10179</v>
      </c>
      <c r="E6523" s="10">
        <v>1255425</v>
      </c>
      <c r="F6523" s="4" t="str">
        <f>IF(B6523=B6522,"",B6523)</f>
        <v/>
      </c>
    </row>
    <row r="6524" spans="1:6" ht="15.75" customHeight="1">
      <c r="A6524" s="6" t="s">
        <v>25207</v>
      </c>
      <c r="B6524" s="6" t="s">
        <v>25207</v>
      </c>
      <c r="C6524" s="6" t="s">
        <v>25077</v>
      </c>
      <c r="D6524" s="6" t="s">
        <v>25091</v>
      </c>
      <c r="E6524" s="2">
        <v>2670781</v>
      </c>
      <c r="F6524" s="4" t="str">
        <f>IF(B6524=B6523,"",B6524)</f>
        <v>Sundsvall</v>
      </c>
    </row>
    <row r="6525" spans="1:6" ht="15.75" customHeight="1">
      <c r="A6525" s="5" t="str">
        <f ca="1">IFERROR(__xludf.DUMMYFUNCTION("GOOGLETRANSLATE(B41140,""en"",""pt"")"),"Sundsvall")</f>
        <v>Sundsvall</v>
      </c>
      <c r="B6525" s="17" t="s">
        <v>25207</v>
      </c>
      <c r="C6525" s="17" t="s">
        <v>25077</v>
      </c>
      <c r="D6525" s="17" t="s">
        <v>35631</v>
      </c>
      <c r="E6525" s="10">
        <v>2670781</v>
      </c>
      <c r="F6525" s="4" t="str">
        <f>IF(B6525=B6524,"",B6525)</f>
        <v/>
      </c>
    </row>
    <row r="6526" spans="1:6" ht="15.75" customHeight="1">
      <c r="A6526" s="6" t="s">
        <v>9190</v>
      </c>
      <c r="B6526" s="6" t="s">
        <v>9190</v>
      </c>
      <c r="C6526" s="6" t="s">
        <v>8028</v>
      </c>
      <c r="D6526" s="6" t="s">
        <v>8029</v>
      </c>
      <c r="E6526" s="2">
        <v>2824655</v>
      </c>
      <c r="F6526" s="4" t="str">
        <f>IF(B6526=B6525,"",B6526)</f>
        <v>Sundern</v>
      </c>
    </row>
    <row r="6527" spans="1:6" ht="15.75" customHeight="1">
      <c r="A6527" s="5" t="str">
        <f ca="1">IFERROR(__xludf.DUMMYFUNCTION("GOOGLETRANSLATE(B27485,""en"",""pt"")"),"Sundern")</f>
        <v>Sundern</v>
      </c>
      <c r="B6527" s="17" t="s">
        <v>9190</v>
      </c>
      <c r="C6527" s="17" t="s">
        <v>8028</v>
      </c>
      <c r="D6527" s="17" t="s">
        <v>8029</v>
      </c>
      <c r="E6527" s="10">
        <v>2824655</v>
      </c>
      <c r="F6527" s="4" t="str">
        <f>IF(B6527=B6526,"",B6527)</f>
        <v/>
      </c>
    </row>
    <row r="6528" spans="1:6" ht="15.75" customHeight="1">
      <c r="A6528" s="5" t="s">
        <v>25206</v>
      </c>
      <c r="B6528" s="6" t="s">
        <v>25206</v>
      </c>
      <c r="C6528" s="5" t="s">
        <v>25077</v>
      </c>
      <c r="D6528" s="5" t="s">
        <v>25081</v>
      </c>
      <c r="E6528" s="2">
        <v>2670879</v>
      </c>
      <c r="F6528" s="4" t="str">
        <f>IF(B6528=B6527,"",B6528)</f>
        <v>Sundbyberg</v>
      </c>
    </row>
    <row r="6529" spans="1:6" ht="15.75" customHeight="1">
      <c r="A6529" s="5" t="str">
        <f ca="1">IFERROR(__xludf.DUMMYFUNCTION("GOOGLETRANSLATE(B41141,""en"",""pt"")"),"Sundbyberg")</f>
        <v>Sundbyberg</v>
      </c>
      <c r="B6529" s="17" t="s">
        <v>25206</v>
      </c>
      <c r="C6529" s="17" t="s">
        <v>25077</v>
      </c>
      <c r="D6529" s="17" t="s">
        <v>25081</v>
      </c>
      <c r="E6529" s="10">
        <v>2670879</v>
      </c>
      <c r="F6529" s="4" t="str">
        <f>IF(B6529=B6528,"",B6529)</f>
        <v/>
      </c>
    </row>
    <row r="6530" spans="1:6" ht="15.75" customHeight="1">
      <c r="A6530" s="5" t="s">
        <v>13467</v>
      </c>
      <c r="B6530" s="6" t="s">
        <v>13467</v>
      </c>
      <c r="C6530" s="5" t="s">
        <v>10178</v>
      </c>
      <c r="D6530" s="5" t="s">
        <v>10538</v>
      </c>
      <c r="E6530" s="2">
        <v>1255434</v>
      </c>
      <c r="F6530" s="4" t="str">
        <f>IF(B6530=B6529,"",B6530)</f>
        <v>Sundarnagar</v>
      </c>
    </row>
    <row r="6531" spans="1:6" ht="15.75" customHeight="1">
      <c r="A6531" s="5" t="str">
        <f ca="1">IFERROR(__xludf.DUMMYFUNCTION("GOOGLETRANSLATE(B32063,""en"",""pt"")"),"Sundarnagar")</f>
        <v>Sundarnagar</v>
      </c>
      <c r="B6531" s="17" t="s">
        <v>13467</v>
      </c>
      <c r="C6531" s="17" t="s">
        <v>10178</v>
      </c>
      <c r="D6531" s="17" t="s">
        <v>10538</v>
      </c>
      <c r="E6531" s="10">
        <v>1255434</v>
      </c>
      <c r="F6531" s="4" t="str">
        <f>IF(B6531=B6530,"",B6531)</f>
        <v/>
      </c>
    </row>
    <row r="6532" spans="1:6" ht="15.75" customHeight="1">
      <c r="A6532" s="5" t="s">
        <v>13466</v>
      </c>
      <c r="B6532" s="6" t="s">
        <v>13466</v>
      </c>
      <c r="C6532" s="5" t="s">
        <v>10178</v>
      </c>
      <c r="D6532" s="5" t="s">
        <v>10229</v>
      </c>
      <c r="E6532" s="2">
        <v>1255437</v>
      </c>
      <c r="F6532" s="4" t="str">
        <f>IF(B6532=B6531,"",B6532)</f>
        <v>Sundargarh</v>
      </c>
    </row>
    <row r="6533" spans="1:6" ht="15.75" customHeight="1">
      <c r="A6533" s="5" t="str">
        <f ca="1">IFERROR(__xludf.DUMMYFUNCTION("GOOGLETRANSLATE(B32064,""en"",""pt"")"),"Sundargarh")</f>
        <v>Sundargarh</v>
      </c>
      <c r="B6533" s="17" t="s">
        <v>13466</v>
      </c>
      <c r="C6533" s="17" t="s">
        <v>10178</v>
      </c>
      <c r="D6533" s="17" t="s">
        <v>10229</v>
      </c>
      <c r="E6533" s="10">
        <v>1255437</v>
      </c>
      <c r="F6533" s="4" t="str">
        <f>IF(B6533=B6532,"",B6533)</f>
        <v/>
      </c>
    </row>
    <row r="6534" spans="1:6" ht="15.75" customHeight="1">
      <c r="A6534" s="5" t="s">
        <v>24146</v>
      </c>
      <c r="B6534" s="6" t="s">
        <v>24146</v>
      </c>
      <c r="C6534" s="5" t="s">
        <v>24024</v>
      </c>
      <c r="D6534" s="5" t="s">
        <v>24035</v>
      </c>
      <c r="E6534" s="2">
        <v>1835648</v>
      </c>
      <c r="F6534" s="4" t="str">
        <f>IF(B6534=B6533,"",B6534)</f>
        <v>Suncheon</v>
      </c>
    </row>
    <row r="6535" spans="1:6" ht="15.75" customHeight="1">
      <c r="A6535" s="5" t="str">
        <f ca="1">IFERROR(__xludf.DUMMYFUNCTION("GOOGLETRANSLATE(B36071,""en"",""pt"")"),"Suncheon")</f>
        <v>Suncheon</v>
      </c>
      <c r="B6535" s="17" t="s">
        <v>24146</v>
      </c>
      <c r="C6535" s="17" t="s">
        <v>24024</v>
      </c>
      <c r="D6535" s="17" t="s">
        <v>24035</v>
      </c>
      <c r="E6535" s="10">
        <v>1835648</v>
      </c>
      <c r="F6535" s="4" t="str">
        <f>IF(B6535=B6534,"",B6535)</f>
        <v/>
      </c>
    </row>
    <row r="6536" spans="1:6" ht="15.75" customHeight="1">
      <c r="A6536" s="5" t="s">
        <v>808</v>
      </c>
      <c r="B6536" s="6" t="s">
        <v>809</v>
      </c>
      <c r="C6536" s="5" t="s">
        <v>558</v>
      </c>
      <c r="D6536" s="5" t="s">
        <v>579</v>
      </c>
      <c r="E6536" s="2">
        <v>3834971</v>
      </c>
      <c r="F6536" s="4" t="str">
        <f>IF(B6536=B6535,"",B6536)</f>
        <v>Sunchales</v>
      </c>
    </row>
    <row r="6537" spans="1:6" ht="15.75" customHeight="1">
      <c r="A6537" s="5" t="str">
        <f ca="1">IFERROR(__xludf.DUMMYFUNCTION("GOOGLETRANSLATE(B23256,""en"",""pt"")"),"SUNCHALES")</f>
        <v>SUNCHALES</v>
      </c>
      <c r="B6537" s="17" t="s">
        <v>809</v>
      </c>
      <c r="C6537" s="17" t="s">
        <v>558</v>
      </c>
      <c r="D6537" s="17" t="s">
        <v>579</v>
      </c>
      <c r="E6537" s="10">
        <v>3834971</v>
      </c>
      <c r="F6537" s="4" t="str">
        <f>IF(B6537=B6536,"",B6537)</f>
        <v/>
      </c>
    </row>
    <row r="6538" spans="1:6" ht="15.75" customHeight="1">
      <c r="A6538" s="6" t="s">
        <v>1084</v>
      </c>
      <c r="B6538" s="6" t="s">
        <v>1084</v>
      </c>
      <c r="C6538" s="6" t="s">
        <v>885</v>
      </c>
      <c r="D6538" s="6" t="s">
        <v>827</v>
      </c>
      <c r="E6538" s="2">
        <v>2147914</v>
      </c>
      <c r="F6538" s="4" t="str">
        <f>IF(B6538=B6537,"",B6538)</f>
        <v>Sunbury</v>
      </c>
    </row>
    <row r="6539" spans="1:6" ht="15.75" customHeight="1">
      <c r="A6539" s="5" t="str">
        <f ca="1">IFERROR(__xludf.DUMMYFUNCTION("GOOGLETRANSLATE(B23447,""en"",""pt"")"),"Sunbury")</f>
        <v>Sunbury</v>
      </c>
      <c r="B6539" s="17" t="s">
        <v>1084</v>
      </c>
      <c r="C6539" s="17" t="s">
        <v>885</v>
      </c>
      <c r="D6539" s="17" t="s">
        <v>827</v>
      </c>
      <c r="E6539" s="10">
        <v>2147914</v>
      </c>
      <c r="F6539" s="4" t="str">
        <f>IF(B6539=B6538,"",B6539)</f>
        <v/>
      </c>
    </row>
    <row r="6540" spans="1:6" ht="15.75" customHeight="1">
      <c r="A6540" s="6" t="s">
        <v>19681</v>
      </c>
      <c r="B6540" s="6" t="s">
        <v>19681</v>
      </c>
      <c r="C6540" s="6" t="s">
        <v>19589</v>
      </c>
      <c r="D6540" s="6" t="s">
        <v>19610</v>
      </c>
      <c r="E6540" s="2">
        <v>1869021</v>
      </c>
      <c r="F6540" s="4" t="str">
        <f>IF(B6540=B6539,"",B6540)</f>
        <v>Sunan</v>
      </c>
    </row>
    <row r="6541" spans="1:6" ht="15.75" customHeight="1">
      <c r="A6541" s="5" t="str">
        <f ca="1">IFERROR(__xludf.DUMMYFUNCTION("GOOGLETRANSLATE(B35993,""en"",""pt"")"),"Sunan")</f>
        <v>Sunan</v>
      </c>
      <c r="B6541" s="17" t="s">
        <v>19681</v>
      </c>
      <c r="C6541" s="17" t="s">
        <v>19589</v>
      </c>
      <c r="D6541" s="17" t="s">
        <v>19610</v>
      </c>
      <c r="E6541" s="10">
        <v>1869021</v>
      </c>
      <c r="F6541" s="4" t="str">
        <f>IF(B6541=B6540,"",B6541)</f>
        <v/>
      </c>
    </row>
    <row r="6542" spans="1:6" ht="15.75" customHeight="1">
      <c r="A6542" s="5" t="str">
        <f ca="1">IFERROR(__xludf.DUMMYFUNCTION("GOOGLETRANSLATE(B32065,""en"",""pt"")"),"Sunām")</f>
        <v>Sunām</v>
      </c>
      <c r="B6542" s="17" t="s">
        <v>33039</v>
      </c>
      <c r="C6542" s="17" t="s">
        <v>10178</v>
      </c>
      <c r="D6542" s="17" t="s">
        <v>10184</v>
      </c>
      <c r="E6542" s="10">
        <v>1255449</v>
      </c>
      <c r="F6542" s="4" t="str">
        <f>IF(B6542=B6541,"",B6542)</f>
        <v>Sunām</v>
      </c>
    </row>
    <row r="6543" spans="1:6" ht="15.75" customHeight="1">
      <c r="A6543" s="5" t="s">
        <v>16449</v>
      </c>
      <c r="B6543" s="6" t="s">
        <v>16449</v>
      </c>
      <c r="C6543" s="5" t="s">
        <v>15704</v>
      </c>
      <c r="D6543" s="5" t="s">
        <v>15705</v>
      </c>
      <c r="E6543" s="2">
        <v>2127955</v>
      </c>
      <c r="F6543" s="4" t="str">
        <f>IF(B6543=B6542,"",B6543)</f>
        <v>Sunagawa</v>
      </c>
    </row>
    <row r="6544" spans="1:6" ht="15.75" customHeight="1">
      <c r="A6544" s="5" t="str">
        <f ca="1">IFERROR(__xludf.DUMMYFUNCTION("GOOGLETRANSLATE(B35822,""en"",""pt"")"),"Sunagawa")</f>
        <v>Sunagawa</v>
      </c>
      <c r="B6544" s="17" t="s">
        <v>16449</v>
      </c>
      <c r="C6544" s="17" t="s">
        <v>15704</v>
      </c>
      <c r="D6544" s="17" t="s">
        <v>15705</v>
      </c>
      <c r="E6544" s="10">
        <v>2127955</v>
      </c>
      <c r="F6544" s="4" t="str">
        <f>IF(B6544=B6543,"",B6544)</f>
        <v/>
      </c>
    </row>
    <row r="6545" spans="1:6" ht="15.75" customHeight="1">
      <c r="A6545" s="6" t="s">
        <v>13464</v>
      </c>
      <c r="B6545" s="6" t="s">
        <v>13465</v>
      </c>
      <c r="C6545" s="6" t="s">
        <v>10178</v>
      </c>
      <c r="D6545" s="6" t="s">
        <v>10184</v>
      </c>
      <c r="E6545" s="2">
        <v>1255449</v>
      </c>
      <c r="F6545" s="4" t="str">
        <f>IF(B6545=B6544,"",B6545)</f>
        <v>SunÄm</v>
      </c>
    </row>
    <row r="6546" spans="1:6" ht="15.75" customHeight="1">
      <c r="A6546" s="5" t="s">
        <v>30131</v>
      </c>
      <c r="B6546" s="6" t="s">
        <v>30131</v>
      </c>
      <c r="C6546" s="5" t="s">
        <v>27788</v>
      </c>
      <c r="D6546" s="5" t="s">
        <v>28073</v>
      </c>
      <c r="E6546" s="2">
        <v>5513307</v>
      </c>
      <c r="F6546" s="4" t="str">
        <f>IF(B6546=B6545,"",B6546)</f>
        <v>Sun Valley</v>
      </c>
    </row>
    <row r="6547" spans="1:6" ht="15.75" customHeight="1">
      <c r="A6547" s="5" t="str">
        <f ca="1">IFERROR(__xludf.DUMMYFUNCTION("GOOGLETRANSLATE(B45152,""en"",""pt"")"),"Sun Valley")</f>
        <v>Sun Valley</v>
      </c>
      <c r="B6547" s="17" t="s">
        <v>30131</v>
      </c>
      <c r="C6547" s="17" t="s">
        <v>27788</v>
      </c>
      <c r="D6547" s="17" t="s">
        <v>28073</v>
      </c>
      <c r="E6547" s="10">
        <v>5513307</v>
      </c>
      <c r="F6547" s="4" t="str">
        <f>IF(B6547=B6546,"",B6547)</f>
        <v/>
      </c>
    </row>
    <row r="6548" spans="1:6" ht="15.75" customHeight="1">
      <c r="A6548" s="5" t="s">
        <v>30130</v>
      </c>
      <c r="B6548" s="6" t="s">
        <v>30130</v>
      </c>
      <c r="C6548" s="5" t="s">
        <v>27788</v>
      </c>
      <c r="D6548" s="5" t="s">
        <v>27890</v>
      </c>
      <c r="E6548" s="2">
        <v>5275020</v>
      </c>
      <c r="F6548" s="4" t="str">
        <f>IF(B6548=B6547,"",B6548)</f>
        <v>Sun Prairie</v>
      </c>
    </row>
    <row r="6549" spans="1:6" ht="15.75" customHeight="1">
      <c r="A6549" s="5" t="str">
        <f ca="1">IFERROR(__xludf.DUMMYFUNCTION("GOOGLETRANSLATE(B44674,""en"",""pt"")"),"Sun Prairie")</f>
        <v>Sun Prairie</v>
      </c>
      <c r="B6549" s="17" t="s">
        <v>30130</v>
      </c>
      <c r="C6549" s="17" t="s">
        <v>27788</v>
      </c>
      <c r="D6549" s="17" t="s">
        <v>27890</v>
      </c>
      <c r="E6549" s="10">
        <v>5275020</v>
      </c>
      <c r="F6549" s="4" t="str">
        <f>IF(B6549=B6548,"",B6549)</f>
        <v/>
      </c>
    </row>
    <row r="6550" spans="1:6" ht="15.75" customHeight="1">
      <c r="A6550" s="5" t="s">
        <v>30129</v>
      </c>
      <c r="B6550" s="6" t="s">
        <v>30129</v>
      </c>
      <c r="C6550" s="5" t="s">
        <v>27788</v>
      </c>
      <c r="D6550" s="5" t="s">
        <v>27880</v>
      </c>
      <c r="E6550" s="2">
        <v>5316205</v>
      </c>
      <c r="F6550" s="4" t="str">
        <f>IF(B6550=B6549,"",B6550)</f>
        <v>Sun City West</v>
      </c>
    </row>
    <row r="6551" spans="1:6" ht="15.75" customHeight="1">
      <c r="A6551" s="5" t="str">
        <f ca="1">IFERROR(__xludf.DUMMYFUNCTION("GOOGLETRANSLATE(B44730,""en"",""pt"")"),"Sun City West")</f>
        <v>Sun City West</v>
      </c>
      <c r="B6551" s="17" t="s">
        <v>30129</v>
      </c>
      <c r="C6551" s="17" t="s">
        <v>27788</v>
      </c>
      <c r="D6551" s="17" t="s">
        <v>27880</v>
      </c>
      <c r="E6551" s="10">
        <v>5316205</v>
      </c>
      <c r="F6551" s="4" t="str">
        <f>IF(B6551=B6550,"",B6551)</f>
        <v/>
      </c>
    </row>
    <row r="6552" spans="1:6" ht="15.75" customHeight="1">
      <c r="A6552" s="5" t="s">
        <v>30128</v>
      </c>
      <c r="B6552" s="6" t="s">
        <v>30128</v>
      </c>
      <c r="C6552" s="5" t="s">
        <v>27788</v>
      </c>
      <c r="D6552" s="5" t="s">
        <v>5468</v>
      </c>
      <c r="E6552" s="2">
        <v>4174317</v>
      </c>
      <c r="F6552" s="4" t="str">
        <f>IF(B6552=B6551,"",B6552)</f>
        <v>Sun City Center</v>
      </c>
    </row>
    <row r="6553" spans="1:6" ht="15.75" customHeight="1">
      <c r="A6553" s="5" t="str">
        <f ca="1">IFERROR(__xludf.DUMMYFUNCTION("GOOGLETRANSLATE(B43021,""en"",""pt"")"),"Sun City Center")</f>
        <v>Sun City Center</v>
      </c>
      <c r="B6553" s="17" t="s">
        <v>30128</v>
      </c>
      <c r="C6553" s="17" t="s">
        <v>27788</v>
      </c>
      <c r="D6553" s="17" t="s">
        <v>5468</v>
      </c>
      <c r="E6553" s="10">
        <v>4174317</v>
      </c>
      <c r="F6553" s="4" t="str">
        <f>IF(B6553=B6552,"",B6553)</f>
        <v/>
      </c>
    </row>
    <row r="6554" spans="1:6" ht="15.75" customHeight="1">
      <c r="A6554" s="5" t="s">
        <v>30126</v>
      </c>
      <c r="B6554" s="6" t="s">
        <v>30127</v>
      </c>
      <c r="C6554" s="5" t="s">
        <v>27788</v>
      </c>
      <c r="D6554" s="5" t="s">
        <v>27880</v>
      </c>
      <c r="E6554" s="2">
        <v>5316201</v>
      </c>
      <c r="F6554" s="4" t="str">
        <f>IF(B6554=B6553,"",B6554)</f>
        <v>Sun City</v>
      </c>
    </row>
    <row r="6555" spans="1:6" ht="15.75" customHeight="1">
      <c r="A6555" s="5" t="s">
        <v>30126</v>
      </c>
      <c r="B6555" s="6" t="s">
        <v>30127</v>
      </c>
      <c r="C6555" s="5" t="s">
        <v>27788</v>
      </c>
      <c r="D6555" s="5" t="s">
        <v>27801</v>
      </c>
      <c r="E6555" s="2">
        <v>5399901</v>
      </c>
      <c r="F6555" s="4" t="str">
        <f>IF(B6555=B6554,"",B6555)</f>
        <v/>
      </c>
    </row>
    <row r="6556" spans="1:6" ht="15.75" customHeight="1">
      <c r="A6556" s="5" t="str">
        <f ca="1">IFERROR(__xludf.DUMMYFUNCTION("GOOGLETRANSLATE(B44729,""en"",""pt"")"),"cidade do Sol")</f>
        <v>cidade do Sol</v>
      </c>
      <c r="B6556" s="17" t="s">
        <v>30127</v>
      </c>
      <c r="C6556" s="17" t="s">
        <v>27788</v>
      </c>
      <c r="D6556" s="17" t="s">
        <v>27880</v>
      </c>
      <c r="E6556" s="10">
        <v>5316201</v>
      </c>
      <c r="F6556" s="4" t="str">
        <f>IF(B6556=B6555,"",B6556)</f>
        <v/>
      </c>
    </row>
    <row r="6557" spans="1:6" ht="15.75" customHeight="1">
      <c r="A6557" s="5" t="str">
        <f ca="1">IFERROR(__xludf.DUMMYFUNCTION("GOOGLETRANSLATE(B45051,""en"",""pt"")"),"cidade do Sol")</f>
        <v>cidade do Sol</v>
      </c>
      <c r="B6557" s="17" t="s">
        <v>30127</v>
      </c>
      <c r="C6557" s="17" t="s">
        <v>27788</v>
      </c>
      <c r="D6557" s="17" t="s">
        <v>27801</v>
      </c>
      <c r="E6557" s="10">
        <v>5399901</v>
      </c>
      <c r="F6557" s="4" t="str">
        <f>IF(B6557=B6556,"",B6557)</f>
        <v/>
      </c>
    </row>
    <row r="6558" spans="1:6" ht="15.75" customHeight="1">
      <c r="A6558" s="6" t="s">
        <v>26911</v>
      </c>
      <c r="B6558" s="6" t="s">
        <v>26911</v>
      </c>
      <c r="C6558" s="6" t="s">
        <v>26870</v>
      </c>
      <c r="D6558" s="6" t="s">
        <v>26911</v>
      </c>
      <c r="E6558" s="2">
        <v>692194</v>
      </c>
      <c r="F6558" s="4" t="str">
        <f>IF(B6558=B6557,"",B6558)</f>
        <v>Sumy</v>
      </c>
    </row>
    <row r="6559" spans="1:6" ht="15.75" customHeight="1">
      <c r="A6559" s="5" t="str">
        <f ca="1">IFERROR(__xludf.DUMMYFUNCTION("GOOGLETRANSLATE(B42511,""en"",""pt"")"),"Sumy")</f>
        <v>Sumy</v>
      </c>
      <c r="B6559" s="17" t="s">
        <v>26911</v>
      </c>
      <c r="C6559" s="17" t="s">
        <v>26870</v>
      </c>
      <c r="D6559" s="17" t="s">
        <v>26911</v>
      </c>
      <c r="E6559" s="10">
        <v>692194</v>
      </c>
      <c r="F6559" s="4" t="str">
        <f>IF(B6559=B6558,"",B6559)</f>
        <v/>
      </c>
    </row>
    <row r="6560" spans="1:6" ht="15.75" customHeight="1">
      <c r="A6560" s="5" t="str">
        <f ca="1">IFERROR(__xludf.DUMMYFUNCTION("GOOGLETRANSLATE(B28828,""en"",""pt"")"),"Sumusţā como sulţānī")</f>
        <v>Sumusţā como sulţānī</v>
      </c>
      <c r="B6560" s="17" t="s">
        <v>32255</v>
      </c>
      <c r="C6560" s="17" t="s">
        <v>6495</v>
      </c>
      <c r="D6560" s="17" t="s">
        <v>32256</v>
      </c>
      <c r="E6560" s="10">
        <v>347749</v>
      </c>
      <c r="F6560" s="4" t="str">
        <f>IF(B6560=B6559,"",B6560)</f>
        <v>Sumusţā as Sulţānī</v>
      </c>
    </row>
    <row r="6561" spans="1:6" ht="15.75" customHeight="1">
      <c r="A6561" s="5" t="s">
        <v>6717</v>
      </c>
      <c r="B6561" s="6" t="s">
        <v>6718</v>
      </c>
      <c r="C6561" s="5" t="s">
        <v>6495</v>
      </c>
      <c r="D6561" s="5" t="s">
        <v>6551</v>
      </c>
      <c r="E6561" s="2">
        <v>347749</v>
      </c>
      <c r="F6561" s="4" t="str">
        <f>IF(B6561=B6560,"",B6561)</f>
        <v>SumusÅ£Ä as SulÅ£ÄnÄ«</v>
      </c>
    </row>
    <row r="6562" spans="1:6" ht="15.75" customHeight="1">
      <c r="A6562" s="6" t="s">
        <v>30125</v>
      </c>
      <c r="B6562" s="6" t="s">
        <v>30125</v>
      </c>
      <c r="C6562" s="6" t="s">
        <v>27788</v>
      </c>
      <c r="D6562" s="6" t="s">
        <v>27811</v>
      </c>
      <c r="E6562" s="2">
        <v>4597948</v>
      </c>
      <c r="F6562" s="4" t="str">
        <f>IF(B6562=B6561,"",B6562)</f>
        <v>Sumter</v>
      </c>
    </row>
    <row r="6563" spans="1:6" ht="15.75" customHeight="1">
      <c r="A6563" s="5" t="str">
        <f ca="1">IFERROR(__xludf.DUMMYFUNCTION("GOOGLETRANSLATE(B43604,""en"",""pt"")"),"Sumter")</f>
        <v>Sumter</v>
      </c>
      <c r="B6563" s="17" t="s">
        <v>30125</v>
      </c>
      <c r="C6563" s="17" t="s">
        <v>27788</v>
      </c>
      <c r="D6563" s="17" t="s">
        <v>27811</v>
      </c>
      <c r="E6563" s="10">
        <v>4597948</v>
      </c>
      <c r="F6563" s="4" t="str">
        <f>IF(B6563=B6562,"",B6563)</f>
        <v/>
      </c>
    </row>
    <row r="6564" spans="1:6" ht="15.75" customHeight="1">
      <c r="A6564" s="5" t="str">
        <f ca="1">IFERROR(__xludf.DUMMYFUNCTION("GOOGLETRANSLATE(B23638,""en"",""pt"")"),"Sumqayıt")</f>
        <v>Sumqayıt</v>
      </c>
      <c r="B6564" s="17" t="s">
        <v>31235</v>
      </c>
      <c r="C6564" s="17" t="s">
        <v>1170</v>
      </c>
      <c r="D6564" s="17" t="s">
        <v>1209</v>
      </c>
      <c r="E6564" s="10">
        <v>584923</v>
      </c>
      <c r="F6564" s="4" t="str">
        <f>IF(B6564=B6563,"",B6564)</f>
        <v>Sumqayıt</v>
      </c>
    </row>
    <row r="6565" spans="1:6" ht="15.75" customHeight="1">
      <c r="A6565" s="5" t="s">
        <v>1254</v>
      </c>
      <c r="B6565" s="6" t="s">
        <v>1255</v>
      </c>
      <c r="C6565" s="5" t="s">
        <v>1170</v>
      </c>
      <c r="D6565" s="5" t="s">
        <v>1209</v>
      </c>
      <c r="E6565" s="2">
        <v>584923</v>
      </c>
      <c r="F6565" s="4" t="str">
        <f>IF(B6565=B6564,"",B6565)</f>
        <v>SumqayÄ±t</v>
      </c>
    </row>
    <row r="6566" spans="1:6" ht="15.75" customHeight="1">
      <c r="A6566" s="5" t="str">
        <f ca="1">IFERROR(__xludf.DUMMYFUNCTION("GOOGLETRANSLATE(B27262,""en"",""pt"")"),"Šumperk")</f>
        <v>Šumperk</v>
      </c>
      <c r="B6566" s="17" t="s">
        <v>31956</v>
      </c>
      <c r="C6566" s="17" t="s">
        <v>5947</v>
      </c>
      <c r="D6566" s="17" t="s">
        <v>31957</v>
      </c>
      <c r="E6566" s="10">
        <v>3064673</v>
      </c>
      <c r="F6566" s="4" t="str">
        <f>IF(B6566=B6565,"",B6566)</f>
        <v>Šumperk</v>
      </c>
    </row>
    <row r="6567" spans="1:6" ht="15.75" customHeight="1">
      <c r="A6567" s="5" t="s">
        <v>9814</v>
      </c>
      <c r="B6567" s="6" t="s">
        <v>9814</v>
      </c>
      <c r="C6567" s="5" t="s">
        <v>9700</v>
      </c>
      <c r="D6567" s="5" t="s">
        <v>9701</v>
      </c>
      <c r="E6567" s="2">
        <v>3588653</v>
      </c>
      <c r="F6567" s="4" t="str">
        <f>IF(B6567=B6566,"",B6567)</f>
        <v>Sumpango</v>
      </c>
    </row>
    <row r="6568" spans="1:6" ht="15.75" customHeight="1">
      <c r="A6568" s="5" t="str">
        <f ca="1">IFERROR(__xludf.DUMMYFUNCTION("GOOGLETRANSLATE(B31069,""en"",""pt"")"),"Sumpango")</f>
        <v>Sumpango</v>
      </c>
      <c r="B6568" s="17" t="s">
        <v>9814</v>
      </c>
      <c r="C6568" s="17" t="s">
        <v>9700</v>
      </c>
      <c r="D6568" s="17" t="s">
        <v>32767</v>
      </c>
      <c r="E6568" s="10">
        <v>3588653</v>
      </c>
      <c r="F6568" s="4" t="str">
        <f>IF(B6568=B6567,"",B6568)</f>
        <v/>
      </c>
    </row>
    <row r="6569" spans="1:6" ht="15.75" customHeight="1">
      <c r="A6569" s="6" t="s">
        <v>16447</v>
      </c>
      <c r="B6569" s="6" t="s">
        <v>16448</v>
      </c>
      <c r="C6569" s="6" t="s">
        <v>15704</v>
      </c>
      <c r="D6569" s="6" t="s">
        <v>15712</v>
      </c>
      <c r="E6569" s="2">
        <v>1851426</v>
      </c>
      <c r="F6569" s="4" t="str">
        <f>IF(B6569=B6568,"",B6569)</f>
        <v>Sumoto</v>
      </c>
    </row>
    <row r="6570" spans="1:6" ht="15.75" customHeight="1">
      <c r="A6570" s="5" t="str">
        <f ca="1">IFERROR(__xludf.DUMMYFUNCTION("GOOGLETRANSLATE(B35277,""en"",""pt"")"),"SUMOTO")</f>
        <v>SUMOTO</v>
      </c>
      <c r="B6570" s="17" t="s">
        <v>16448</v>
      </c>
      <c r="C6570" s="17" t="s">
        <v>15704</v>
      </c>
      <c r="D6570" s="17" t="s">
        <v>34291</v>
      </c>
      <c r="E6570" s="10">
        <v>1851426</v>
      </c>
      <c r="F6570" s="4" t="str">
        <f>IF(B6570=B6569,"",B6570)</f>
        <v/>
      </c>
    </row>
    <row r="6571" spans="1:6" ht="15.75" customHeight="1">
      <c r="A6571" s="6" t="s">
        <v>30123</v>
      </c>
      <c r="B6571" s="6" t="s">
        <v>30124</v>
      </c>
      <c r="C6571" s="6" t="s">
        <v>27788</v>
      </c>
      <c r="D6571" s="6" t="s">
        <v>27905</v>
      </c>
      <c r="E6571" s="2">
        <v>5105127</v>
      </c>
      <c r="F6571" s="4" t="str">
        <f>IF(B6571=B6570,"",B6571)</f>
        <v>Summit</v>
      </c>
    </row>
    <row r="6572" spans="1:6" ht="15.75" customHeight="1">
      <c r="A6572" s="5" t="str">
        <f ca="1">IFERROR(__xludf.DUMMYFUNCTION("GOOGLETRANSLATE(B44316,""en"",""pt"")"),"Cume")</f>
        <v>Cume</v>
      </c>
      <c r="B6572" s="17" t="s">
        <v>30124</v>
      </c>
      <c r="C6572" s="17" t="s">
        <v>27788</v>
      </c>
      <c r="D6572" s="17" t="s">
        <v>27905</v>
      </c>
      <c r="E6572" s="10">
        <v>5105127</v>
      </c>
      <c r="F6572" s="4" t="str">
        <f>IF(B6572=B6571,"",B6572)</f>
        <v/>
      </c>
    </row>
    <row r="6573" spans="1:6" ht="15.75" customHeight="1">
      <c r="A6573" s="5" t="s">
        <v>30122</v>
      </c>
      <c r="B6573" s="6" t="s">
        <v>30122</v>
      </c>
      <c r="C6573" s="5" t="s">
        <v>27788</v>
      </c>
      <c r="D6573" s="5" t="s">
        <v>27811</v>
      </c>
      <c r="E6573" s="2">
        <v>4597919</v>
      </c>
      <c r="F6573" s="4" t="str">
        <f>IF(B6573=B6572,"",B6573)</f>
        <v>Summerville</v>
      </c>
    </row>
    <row r="6574" spans="1:6" ht="15.75" customHeight="1">
      <c r="A6574" s="5" t="str">
        <f ca="1">IFERROR(__xludf.DUMMYFUNCTION("GOOGLETRANSLATE(B43603,""en"",""pt"")"),"Summerville")</f>
        <v>Summerville</v>
      </c>
      <c r="B6574" s="17" t="s">
        <v>30122</v>
      </c>
      <c r="C6574" s="17" t="s">
        <v>27788</v>
      </c>
      <c r="D6574" s="17" t="s">
        <v>27811</v>
      </c>
      <c r="E6574" s="10">
        <v>4597919</v>
      </c>
      <c r="F6574" s="4" t="str">
        <f>IF(B6574=B6573,"",B6574)</f>
        <v/>
      </c>
    </row>
    <row r="6575" spans="1:6" ht="15.75" customHeight="1">
      <c r="A6575" s="5" t="s">
        <v>30121</v>
      </c>
      <c r="B6575" s="6" t="s">
        <v>30121</v>
      </c>
      <c r="C6575" s="5" t="s">
        <v>27788</v>
      </c>
      <c r="D6575" s="5" t="s">
        <v>28073</v>
      </c>
      <c r="E6575" s="2">
        <v>7262622</v>
      </c>
      <c r="F6575" s="4" t="str">
        <f>IF(B6575=B6574,"",B6575)</f>
        <v>Summerlin South</v>
      </c>
    </row>
    <row r="6576" spans="1:6" ht="15.75" customHeight="1">
      <c r="A6576" s="5" t="str">
        <f ca="1">IFERROR(__xludf.DUMMYFUNCTION("GOOGLETRANSLATE(B45453,""en"",""pt"")"),"Summerlin South")</f>
        <v>Summerlin South</v>
      </c>
      <c r="B6576" s="17" t="s">
        <v>30121</v>
      </c>
      <c r="C6576" s="17" t="s">
        <v>27788</v>
      </c>
      <c r="D6576" s="17" t="s">
        <v>28073</v>
      </c>
      <c r="E6576" s="10">
        <v>7262622</v>
      </c>
      <c r="F6576" s="4" t="str">
        <f>IF(B6576=B6575,"",B6576)</f>
        <v/>
      </c>
    </row>
    <row r="6577" spans="1:6" ht="15.75" customHeight="1">
      <c r="A6577" s="5" t="s">
        <v>14183</v>
      </c>
      <c r="B6577" s="6" t="s">
        <v>14184</v>
      </c>
      <c r="C6577" s="5" t="s">
        <v>13800</v>
      </c>
      <c r="D6577" s="5" t="s">
        <v>13816</v>
      </c>
      <c r="E6577" s="2">
        <v>1626099</v>
      </c>
      <c r="F6577" s="4" t="str">
        <f>IF(B6577=B6576,"",B6577)</f>
        <v>Sumenep</v>
      </c>
    </row>
    <row r="6578" spans="1:6" ht="15.75" customHeight="1">
      <c r="A6578" s="5" t="str">
        <f ca="1">IFERROR(__xludf.DUMMYFUNCTION("GOOGLETRANSLATE(B31427,""en"",""pt"")"),"SUMENEP")</f>
        <v>SUMENEP</v>
      </c>
      <c r="B6578" s="17" t="s">
        <v>14184</v>
      </c>
      <c r="C6578" s="17" t="s">
        <v>13800</v>
      </c>
      <c r="D6578" s="17" t="s">
        <v>13816</v>
      </c>
      <c r="E6578" s="10">
        <v>1626099</v>
      </c>
      <c r="F6578" s="4" t="str">
        <f>IF(B6578=B6577,"",B6578)</f>
        <v/>
      </c>
    </row>
    <row r="6579" spans="1:6" ht="15.75" customHeight="1">
      <c r="A6579" s="5" t="s">
        <v>14182</v>
      </c>
      <c r="B6579" s="6" t="s">
        <v>14182</v>
      </c>
      <c r="C6579" s="5" t="s">
        <v>13800</v>
      </c>
      <c r="D6579" s="5" t="s">
        <v>551</v>
      </c>
      <c r="E6579" s="2">
        <v>1626100</v>
      </c>
      <c r="F6579" s="4" t="str">
        <f>IF(B6579=B6578,"",B6579)</f>
        <v>Sumedang Utara</v>
      </c>
    </row>
    <row r="6580" spans="1:6" ht="15.75" customHeight="1">
      <c r="A6580" s="5" t="str">
        <f ca="1">IFERROR(__xludf.DUMMYFUNCTION("GOOGLETRANSLATE(B31428,""en"",""pt"")"),"Sumedang Utara")</f>
        <v>Sumedang Utara</v>
      </c>
      <c r="B6580" s="17" t="s">
        <v>14182</v>
      </c>
      <c r="C6580" s="17" t="s">
        <v>13800</v>
      </c>
      <c r="D6580" s="17" t="s">
        <v>551</v>
      </c>
      <c r="E6580" s="10">
        <v>1626100</v>
      </c>
      <c r="F6580" s="4" t="str">
        <f>IF(B6580=B6579,"",B6580)</f>
        <v/>
      </c>
    </row>
    <row r="6581" spans="1:6" ht="15.75" customHeight="1">
      <c r="A6581" s="5" t="s">
        <v>14181</v>
      </c>
      <c r="B6581" s="6" t="s">
        <v>14181</v>
      </c>
      <c r="C6581" s="5" t="s">
        <v>13800</v>
      </c>
      <c r="D6581" s="5" t="s">
        <v>13816</v>
      </c>
      <c r="E6581" s="2">
        <v>1626134</v>
      </c>
      <c r="F6581" s="4" t="str">
        <f>IF(B6581=B6580,"",B6581)</f>
        <v>Sumberpucung</v>
      </c>
    </row>
    <row r="6582" spans="1:6" ht="15.75" customHeight="1">
      <c r="A6582" s="5" t="str">
        <f ca="1">IFERROR(__xludf.DUMMYFUNCTION("GOOGLETRANSLATE(B31429,""en"",""pt"")"),"Sumberpucung")</f>
        <v>Sumberpucung</v>
      </c>
      <c r="B6582" s="17" t="s">
        <v>14181</v>
      </c>
      <c r="C6582" s="17" t="s">
        <v>13800</v>
      </c>
      <c r="D6582" s="17" t="s">
        <v>13816</v>
      </c>
      <c r="E6582" s="10">
        <v>1626134</v>
      </c>
      <c r="F6582" s="4" t="str">
        <f>IF(B6582=B6581,"",B6582)</f>
        <v/>
      </c>
    </row>
    <row r="6583" spans="1:6" ht="15.75" customHeight="1">
      <c r="A6583" s="6" t="s">
        <v>14180</v>
      </c>
      <c r="B6583" s="6" t="s">
        <v>14180</v>
      </c>
      <c r="C6583" s="6" t="s">
        <v>13800</v>
      </c>
      <c r="D6583" s="6" t="s">
        <v>13811</v>
      </c>
      <c r="E6583" s="2">
        <v>1626183</v>
      </c>
      <c r="F6583" s="4" t="str">
        <f>IF(B6583=B6582,"",B6583)</f>
        <v>Sumber</v>
      </c>
    </row>
    <row r="6584" spans="1:6" ht="15.75" customHeight="1">
      <c r="A6584" s="5" t="str">
        <f ca="1">IFERROR(__xludf.DUMMYFUNCTION("GOOGLETRANSLATE(B31430,""en"",""pt"")"),"Sumber")</f>
        <v>Sumber</v>
      </c>
      <c r="B6584" s="17" t="s">
        <v>14180</v>
      </c>
      <c r="C6584" s="17" t="s">
        <v>13800</v>
      </c>
      <c r="D6584" s="17" t="s">
        <v>13811</v>
      </c>
      <c r="E6584" s="10">
        <v>1626183</v>
      </c>
      <c r="F6584" s="4" t="str">
        <f>IF(B6584=B6583,"",B6584)</f>
        <v/>
      </c>
    </row>
    <row r="6585" spans="1:6" ht="15.75" customHeight="1">
      <c r="A6585" s="6" t="s">
        <v>544</v>
      </c>
      <c r="B6585" s="6" t="s">
        <v>544</v>
      </c>
      <c r="C6585" s="6" t="s">
        <v>507</v>
      </c>
      <c r="D6585" s="6" t="s">
        <v>545</v>
      </c>
      <c r="E6585" s="2">
        <v>3346015</v>
      </c>
      <c r="F6585" s="4" t="str">
        <f>IF(B6585=B6584,"",B6585)</f>
        <v>Sumbe</v>
      </c>
    </row>
    <row r="6586" spans="1:6" ht="15.75" customHeight="1">
      <c r="A6586" s="5" t="str">
        <f ca="1">IFERROR(__xludf.DUMMYFUNCTION("GOOGLETRANSLATE(B23153,""en"",""pt"")"),"Sumbe")</f>
        <v>Sumbe</v>
      </c>
      <c r="B6586" s="17" t="s">
        <v>544</v>
      </c>
      <c r="C6586" s="17" t="s">
        <v>507</v>
      </c>
      <c r="D6586" s="17" t="s">
        <v>545</v>
      </c>
      <c r="E6586" s="10">
        <v>3346015</v>
      </c>
      <c r="F6586" s="4" t="str">
        <f>IF(B6586=B6585,"",B6586)</f>
        <v/>
      </c>
    </row>
    <row r="6587" spans="1:6" ht="15.75" customHeight="1">
      <c r="A6587" s="5" t="s">
        <v>25747</v>
      </c>
      <c r="B6587" s="6" t="s">
        <v>25747</v>
      </c>
      <c r="C6587" s="5" t="s">
        <v>25560</v>
      </c>
      <c r="D6587" s="5" t="s">
        <v>25583</v>
      </c>
      <c r="E6587" s="2">
        <v>149703</v>
      </c>
      <c r="F6587" s="4" t="str">
        <f>IF(B6587=B6586,"",B6587)</f>
        <v>Sumbawanga</v>
      </c>
    </row>
    <row r="6588" spans="1:6" ht="15.75" customHeight="1">
      <c r="A6588" s="5" t="str">
        <f ca="1">IFERROR(__xludf.DUMMYFUNCTION("GOOGLETRANSLATE(B42299,""en"",""pt"")"),"Sumbawanga")</f>
        <v>Sumbawanga</v>
      </c>
      <c r="B6588" s="17" t="s">
        <v>25747</v>
      </c>
      <c r="C6588" s="17" t="s">
        <v>25560</v>
      </c>
      <c r="D6588" s="17" t="s">
        <v>25583</v>
      </c>
      <c r="E6588" s="10">
        <v>149703</v>
      </c>
      <c r="F6588" s="4" t="str">
        <f>IF(B6588=B6587,"",B6588)</f>
        <v/>
      </c>
    </row>
    <row r="6589" spans="1:6" ht="15.75" customHeight="1">
      <c r="A6589" s="5" t="s">
        <v>14179</v>
      </c>
      <c r="B6589" s="6" t="s">
        <v>14179</v>
      </c>
      <c r="C6589" s="5" t="s">
        <v>13800</v>
      </c>
      <c r="D6589" s="5" t="s">
        <v>13855</v>
      </c>
      <c r="E6589" s="2">
        <v>1626185</v>
      </c>
      <c r="F6589" s="4" t="str">
        <f>IF(B6589=B6588,"",B6589)</f>
        <v>Sumbawa Besar</v>
      </c>
    </row>
    <row r="6590" spans="1:6" ht="15.75" customHeight="1">
      <c r="A6590" s="5" t="str">
        <f ca="1">IFERROR(__xludf.DUMMYFUNCTION("GOOGLETRANSLATE(B31431,""en"",""pt"")"),"Sumbawa Besar")</f>
        <v>Sumbawa Besar</v>
      </c>
      <c r="B6590" s="17" t="s">
        <v>14179</v>
      </c>
      <c r="C6590" s="17" t="s">
        <v>13800</v>
      </c>
      <c r="D6590" s="17" t="s">
        <v>13855</v>
      </c>
      <c r="E6590" s="10">
        <v>1626185</v>
      </c>
      <c r="F6590" s="4" t="str">
        <f>IF(B6590=B6589,"",B6590)</f>
        <v/>
      </c>
    </row>
    <row r="6591" spans="1:6" ht="15.75" customHeight="1">
      <c r="A6591" s="5" t="str">
        <f ca="1">IFERROR(__xludf.DUMMYFUNCTION("GOOGLETRANSLATE(B24512,""en"",""pt"")"),"SUMARÉ")</f>
        <v>SUMARÉ</v>
      </c>
      <c r="B6591" s="17" t="s">
        <v>31462</v>
      </c>
      <c r="C6591" s="17" t="s">
        <v>1905</v>
      </c>
      <c r="D6591" s="17" t="s">
        <v>3354</v>
      </c>
      <c r="E6591" s="10">
        <v>3447259</v>
      </c>
      <c r="F6591" s="4" t="str">
        <f>IF(B6591=B6590,"",B6591)</f>
        <v>Sumaré</v>
      </c>
    </row>
    <row r="6592" spans="1:6" ht="15.75" customHeight="1">
      <c r="A6592" s="5" t="s">
        <v>3502</v>
      </c>
      <c r="B6592" s="6" t="s">
        <v>3503</v>
      </c>
      <c r="C6592" s="5" t="s">
        <v>1905</v>
      </c>
      <c r="D6592" s="5" t="s">
        <v>1914</v>
      </c>
      <c r="E6592" s="2">
        <v>3447259</v>
      </c>
      <c r="F6592" s="4" t="str">
        <f>IF(B6592=B6591,"",B6592)</f>
        <v>SumarÃ©</v>
      </c>
    </row>
    <row r="6593" spans="1:6" ht="15.75" customHeight="1">
      <c r="A6593" s="5" t="s">
        <v>9189</v>
      </c>
      <c r="B6593" s="6" t="s">
        <v>9189</v>
      </c>
      <c r="C6593" s="5" t="s">
        <v>8028</v>
      </c>
      <c r="D6593" s="5" t="s">
        <v>8044</v>
      </c>
      <c r="E6593" s="2">
        <v>2824801</v>
      </c>
      <c r="F6593" s="4" t="str">
        <f>IF(B6593=B6592,"",B6593)</f>
        <v>Sulzbach-Rosenberg</v>
      </c>
    </row>
    <row r="6594" spans="1:6" ht="15.75" customHeight="1">
      <c r="A6594" s="5" t="str">
        <f ca="1">IFERROR(__xludf.DUMMYFUNCTION("GOOGLETRANSLATE(B27486,""en"",""pt"")"),"Sulzbach-Rosenberg")</f>
        <v>Sulzbach-Rosenberg</v>
      </c>
      <c r="B6594" s="17" t="s">
        <v>9189</v>
      </c>
      <c r="C6594" s="17" t="s">
        <v>8028</v>
      </c>
      <c r="D6594" s="17" t="s">
        <v>8044</v>
      </c>
      <c r="E6594" s="10">
        <v>2824801</v>
      </c>
      <c r="F6594" s="4" t="str">
        <f>IF(B6594=B6593,"",B6594)</f>
        <v/>
      </c>
    </row>
    <row r="6595" spans="1:6" ht="15.75" customHeight="1">
      <c r="A6595" s="6" t="s">
        <v>9188</v>
      </c>
      <c r="B6595" s="6" t="s">
        <v>9188</v>
      </c>
      <c r="C6595" s="6" t="s">
        <v>8028</v>
      </c>
      <c r="D6595" s="6" t="s">
        <v>8177</v>
      </c>
      <c r="E6595" s="2">
        <v>2824841</v>
      </c>
      <c r="F6595" s="4" t="str">
        <f>IF(B6595=B6594,"",B6595)</f>
        <v>Sulzbach</v>
      </c>
    </row>
    <row r="6596" spans="1:6" ht="15.75" customHeight="1">
      <c r="A6596" s="5" t="str">
        <f ca="1">IFERROR(__xludf.DUMMYFUNCTION("GOOGLETRANSLATE(B27487,""en"",""pt"")"),"Sulzbach")</f>
        <v>Sulzbach</v>
      </c>
      <c r="B6596" s="17" t="s">
        <v>9188</v>
      </c>
      <c r="C6596" s="17" t="s">
        <v>8028</v>
      </c>
      <c r="D6596" s="17" t="s">
        <v>8177</v>
      </c>
      <c r="E6596" s="10">
        <v>2824841</v>
      </c>
      <c r="F6596" s="4" t="str">
        <f>IF(B6596=B6595,"",B6596)</f>
        <v/>
      </c>
    </row>
    <row r="6597" spans="1:6" ht="15.75" customHeight="1">
      <c r="A6597" s="6" t="s">
        <v>13463</v>
      </c>
      <c r="B6597" s="6" t="s">
        <v>13463</v>
      </c>
      <c r="C6597" s="6" t="s">
        <v>10178</v>
      </c>
      <c r="D6597" s="6" t="s">
        <v>10252</v>
      </c>
      <c r="E6597" s="2">
        <v>1255482</v>
      </c>
      <c r="F6597" s="4" t="str">
        <f>IF(B6597=B6596,"",B6597)</f>
        <v>Sulya</v>
      </c>
    </row>
    <row r="6598" spans="1:6" ht="15.75" customHeight="1">
      <c r="A6598" s="5" t="str">
        <f ca="1">IFERROR(__xludf.DUMMYFUNCTION("GOOGLETRANSLATE(B32066,""en"",""pt"")"),"Sulya")</f>
        <v>Sulya</v>
      </c>
      <c r="B6598" s="17" t="s">
        <v>13463</v>
      </c>
      <c r="C6598" s="17" t="s">
        <v>10178</v>
      </c>
      <c r="D6598" s="17" t="s">
        <v>10252</v>
      </c>
      <c r="E6598" s="10">
        <v>1255482</v>
      </c>
      <c r="F6598" s="4" t="str">
        <f>IF(B6598=B6597,"",B6598)</f>
        <v/>
      </c>
    </row>
    <row r="6599" spans="1:6" ht="15.75" customHeight="1">
      <c r="A6599" s="5" t="str">
        <f ca="1">IFERROR(__xludf.DUMMYFUNCTION("GOOGLETRANSLATE(B32067,""en"",""pt"")"),"Sūlūru")</f>
        <v>Sūlūru</v>
      </c>
      <c r="B6599" s="17" t="s">
        <v>33040</v>
      </c>
      <c r="C6599" s="17" t="s">
        <v>10178</v>
      </c>
      <c r="D6599" s="17" t="s">
        <v>10190</v>
      </c>
      <c r="E6599" s="10">
        <v>1255483</v>
      </c>
      <c r="F6599" s="4" t="str">
        <f>IF(B6599=B6598,"",B6599)</f>
        <v>Sūlūru</v>
      </c>
    </row>
    <row r="6600" spans="1:6" ht="15.75" customHeight="1">
      <c r="A6600" s="6" t="s">
        <v>13462</v>
      </c>
      <c r="B6600" s="6" t="s">
        <v>13462</v>
      </c>
      <c r="C6600" s="6" t="s">
        <v>10178</v>
      </c>
      <c r="D6600" s="6" t="s">
        <v>10196</v>
      </c>
      <c r="E6600" s="2">
        <v>1255484</v>
      </c>
      <c r="F6600" s="4" t="str">
        <f>IF(B6600=B6599,"",B6600)</f>
        <v>Sulur</v>
      </c>
    </row>
    <row r="6601" spans="1:6" ht="15.75" customHeight="1">
      <c r="A6601" s="5" t="str">
        <f ca="1">IFERROR(__xludf.DUMMYFUNCTION("GOOGLETRANSLATE(B32068,""en"",""pt"")"),"Sulur")</f>
        <v>Sulur</v>
      </c>
      <c r="B6601" s="17" t="s">
        <v>13462</v>
      </c>
      <c r="C6601" s="17" t="s">
        <v>10178</v>
      </c>
      <c r="D6601" s="17" t="s">
        <v>10196</v>
      </c>
      <c r="E6601" s="10">
        <v>1255484</v>
      </c>
      <c r="F6601" s="4" t="str">
        <f>IF(B6601=B6600,"",B6601)</f>
        <v/>
      </c>
    </row>
    <row r="6602" spans="1:6" ht="15.75" customHeight="1">
      <c r="A6602" s="5" t="str">
        <f ca="1">IFERROR(__xludf.DUMMYFUNCTION("GOOGLETRANSLATE(B36413,""en"",""pt"")"),"Sulūq")</f>
        <v>Sulūq</v>
      </c>
      <c r="B6602" s="17" t="s">
        <v>34553</v>
      </c>
      <c r="C6602" s="17" t="s">
        <v>17074</v>
      </c>
      <c r="D6602" s="17" t="s">
        <v>34554</v>
      </c>
      <c r="E6602" s="10">
        <v>81604</v>
      </c>
      <c r="F6602" s="4" t="str">
        <f>IF(B6602=B6601,"",B6602)</f>
        <v>Sulūq</v>
      </c>
    </row>
    <row r="6603" spans="1:6" ht="15.75" customHeight="1">
      <c r="A6603" s="6" t="s">
        <v>26710</v>
      </c>
      <c r="B6603" s="6" t="s">
        <v>26710</v>
      </c>
      <c r="C6603" s="6" t="s">
        <v>26201</v>
      </c>
      <c r="D6603" s="6" t="s">
        <v>26313</v>
      </c>
      <c r="E6603" s="2">
        <v>739251</v>
      </c>
      <c r="F6603" s="4" t="str">
        <f>IF(B6603=B6602,"",B6603)</f>
        <v>Suluova</v>
      </c>
    </row>
    <row r="6604" spans="1:6" ht="15.75" customHeight="1">
      <c r="A6604" s="5" t="str">
        <f ca="1">IFERROR(__xludf.DUMMYFUNCTION("GOOGLETRANSLATE(B42115,""en"",""pt"")"),"Suluova")</f>
        <v>Suluova</v>
      </c>
      <c r="B6604" s="17" t="s">
        <v>26710</v>
      </c>
      <c r="C6604" s="17" t="s">
        <v>26201</v>
      </c>
      <c r="D6604" s="17" t="s">
        <v>26313</v>
      </c>
      <c r="E6604" s="10">
        <v>739251</v>
      </c>
      <c r="F6604" s="4" t="str">
        <f>IF(B6604=B6603,"",B6604)</f>
        <v/>
      </c>
    </row>
    <row r="6605" spans="1:6" ht="15.75" customHeight="1">
      <c r="A6605" s="6" t="s">
        <v>16947</v>
      </c>
      <c r="B6605" s="6" t="s">
        <v>16947</v>
      </c>
      <c r="C6605" s="6" t="s">
        <v>16924</v>
      </c>
      <c r="D6605" s="6" t="s">
        <v>16935</v>
      </c>
      <c r="E6605" s="2">
        <v>1222562</v>
      </c>
      <c r="F6605" s="4" t="str">
        <f>IF(B6605=B6604,"",B6605)</f>
        <v>Suluktu</v>
      </c>
    </row>
    <row r="6606" spans="1:6" ht="15.75" customHeight="1">
      <c r="A6606" s="5" t="str">
        <f ca="1">IFERROR(__xludf.DUMMYFUNCTION("GOOGLETRANSLATE(B35936,""en"",""pt"")"),"Suluktu")</f>
        <v>Suluktu</v>
      </c>
      <c r="B6606" s="17" t="s">
        <v>16947</v>
      </c>
      <c r="C6606" s="17" t="s">
        <v>16924</v>
      </c>
      <c r="D6606" s="17" t="s">
        <v>16935</v>
      </c>
      <c r="E6606" s="10">
        <v>1222562</v>
      </c>
      <c r="F6606" s="4" t="str">
        <f>IF(B6606=B6605,"",B6606)</f>
        <v/>
      </c>
    </row>
    <row r="6607" spans="1:6" ht="15.75" customHeight="1">
      <c r="A6607" s="5" t="str">
        <f ca="1">IFERROR(__xludf.DUMMYFUNCTION("GOOGLETRANSLATE(B32070,""en"",""pt"")"),"Sultānpur")</f>
        <v>Sultānpur</v>
      </c>
      <c r="B6607" s="17" t="s">
        <v>33041</v>
      </c>
      <c r="C6607" s="17" t="s">
        <v>10178</v>
      </c>
      <c r="D6607" s="17" t="s">
        <v>10193</v>
      </c>
      <c r="E6607" s="10">
        <v>1255491</v>
      </c>
      <c r="F6607" s="4" t="str">
        <f>IF(B6607=B6606,"",B6607)</f>
        <v>Sultānpur</v>
      </c>
    </row>
    <row r="6608" spans="1:6" ht="15.75" customHeight="1">
      <c r="A6608" s="6" t="s">
        <v>13461</v>
      </c>
      <c r="B6608" s="6" t="s">
        <v>13461</v>
      </c>
      <c r="C6608" s="6" t="s">
        <v>10178</v>
      </c>
      <c r="D6608" s="6" t="s">
        <v>10184</v>
      </c>
      <c r="E6608" s="2">
        <v>1255488</v>
      </c>
      <c r="F6608" s="4" t="str">
        <f>IF(B6608=B6607,"",B6608)</f>
        <v>Sultanpur</v>
      </c>
    </row>
    <row r="6609" spans="1:6" ht="15.75" customHeight="1">
      <c r="A6609" s="5" t="str">
        <f ca="1">IFERROR(__xludf.DUMMYFUNCTION("GOOGLETRANSLATE(B32069,""en"",""pt"")"),"Sultanpur")</f>
        <v>Sultanpur</v>
      </c>
      <c r="B6609" s="17" t="s">
        <v>13461</v>
      </c>
      <c r="C6609" s="17" t="s">
        <v>10178</v>
      </c>
      <c r="D6609" s="17" t="s">
        <v>10184</v>
      </c>
      <c r="E6609" s="10">
        <v>1255488</v>
      </c>
      <c r="F6609" s="4" t="str">
        <f>IF(B6609=B6608,"",B6609)</f>
        <v/>
      </c>
    </row>
    <row r="6610" spans="1:6" ht="15.75" customHeight="1">
      <c r="A6610" s="5" t="s">
        <v>26709</v>
      </c>
      <c r="B6610" s="6" t="s">
        <v>26709</v>
      </c>
      <c r="C6610" s="5" t="s">
        <v>26201</v>
      </c>
      <c r="D6610" s="5" t="s">
        <v>26211</v>
      </c>
      <c r="E6610" s="2">
        <v>7628416</v>
      </c>
      <c r="F6610" s="4" t="str">
        <f>IF(B6610=B6609,"",B6610)</f>
        <v>Sultangazi</v>
      </c>
    </row>
    <row r="6611" spans="1:6" ht="15.75" customHeight="1">
      <c r="A6611" s="5" t="str">
        <f ca="1">IFERROR(__xludf.DUMMYFUNCTION("GOOGLETRANSLATE(B42241,""en"",""pt"")"),"Sultangazi")</f>
        <v>Sultangazi</v>
      </c>
      <c r="B6611" s="17" t="s">
        <v>26709</v>
      </c>
      <c r="C6611" s="17" t="s">
        <v>26201</v>
      </c>
      <c r="D6611" s="17" t="s">
        <v>26211</v>
      </c>
      <c r="E6611" s="10">
        <v>7628416</v>
      </c>
      <c r="F6611" s="4" t="str">
        <f>IF(B6611=B6610,"",B6611)</f>
        <v/>
      </c>
    </row>
    <row r="6612" spans="1:6" ht="15.75" customHeight="1">
      <c r="A6612" s="5" t="s">
        <v>26708</v>
      </c>
      <c r="B6612" s="6" t="s">
        <v>26708</v>
      </c>
      <c r="C6612" s="5" t="s">
        <v>26201</v>
      </c>
      <c r="D6612" s="5" t="s">
        <v>26211</v>
      </c>
      <c r="E6612" s="2">
        <v>7628419</v>
      </c>
      <c r="F6612" s="4" t="str">
        <f>IF(B6612=B6611,"",B6612)</f>
        <v>Sultanbeyli</v>
      </c>
    </row>
    <row r="6613" spans="1:6" ht="15.75" customHeight="1">
      <c r="A6613" s="5" t="str">
        <f ca="1">IFERROR(__xludf.DUMMYFUNCTION("GOOGLETRANSLATE(B42242,""en"",""pt"")"),"Sultanbeyli")</f>
        <v>Sultanbeyli</v>
      </c>
      <c r="B6613" s="17" t="s">
        <v>26708</v>
      </c>
      <c r="C6613" s="17" t="s">
        <v>26201</v>
      </c>
      <c r="D6613" s="17" t="s">
        <v>26211</v>
      </c>
      <c r="E6613" s="10">
        <v>7628419</v>
      </c>
      <c r="F6613" s="4" t="str">
        <f>IF(B6613=B6612,"",B6613)</f>
        <v/>
      </c>
    </row>
    <row r="6614" spans="1:6" ht="15.75" customHeight="1">
      <c r="A6614" s="5" t="str">
        <f ca="1">IFERROR(__xludf.DUMMYFUNCTION("GOOGLETRANSLATE(B41016,""en"",""pt"")"),"Sulţānah")</f>
        <v>Sulţānah</v>
      </c>
      <c r="B6614" s="17" t="s">
        <v>35573</v>
      </c>
      <c r="C6614" s="17" t="s">
        <v>23454</v>
      </c>
      <c r="D6614" s="17" t="s">
        <v>35568</v>
      </c>
      <c r="E6614" s="10">
        <v>101760</v>
      </c>
      <c r="F6614" s="4" t="str">
        <f>IF(B6614=B6613,"",B6614)</f>
        <v>Sulţānah</v>
      </c>
    </row>
    <row r="6615" spans="1:6" ht="15.75" customHeight="1">
      <c r="A6615" s="5" t="s">
        <v>13459</v>
      </c>
      <c r="B6615" s="6" t="s">
        <v>13460</v>
      </c>
      <c r="C6615" s="5" t="s">
        <v>10178</v>
      </c>
      <c r="D6615" s="5" t="s">
        <v>10193</v>
      </c>
      <c r="E6615" s="2">
        <v>1255491</v>
      </c>
      <c r="F6615" s="4" t="str">
        <f>IF(B6615=B6614,"",B6615)</f>
        <v>SultÄnpur</v>
      </c>
    </row>
    <row r="6616" spans="1:6" ht="15.75" customHeight="1">
      <c r="A6616" s="6" t="s">
        <v>30119</v>
      </c>
      <c r="B6616" s="6" t="s">
        <v>30120</v>
      </c>
      <c r="C6616" s="6" t="s">
        <v>27788</v>
      </c>
      <c r="D6616" s="6" t="s">
        <v>27827</v>
      </c>
      <c r="E6616" s="2">
        <v>4342816</v>
      </c>
      <c r="F6616" s="4" t="str">
        <f>IF(B6616=B6615,"",B6616)</f>
        <v>Sulphur</v>
      </c>
    </row>
    <row r="6617" spans="1:6" ht="15.75" customHeight="1">
      <c r="A6617" s="5" t="str">
        <f ca="1">IFERROR(__xludf.DUMMYFUNCTION("GOOGLETRANSLATE(B43251,""en"",""pt"")"),"Enxofre")</f>
        <v>Enxofre</v>
      </c>
      <c r="B6617" s="17" t="s">
        <v>30120</v>
      </c>
      <c r="C6617" s="17" t="s">
        <v>27788</v>
      </c>
      <c r="D6617" s="17" t="s">
        <v>27827</v>
      </c>
      <c r="E6617" s="10">
        <v>4342816</v>
      </c>
      <c r="F6617" s="4" t="str">
        <f>IF(B6617=B6616,"",B6617)</f>
        <v/>
      </c>
    </row>
    <row r="6618" spans="1:6" ht="15.75" customHeight="1">
      <c r="A6618" s="6" t="s">
        <v>15515</v>
      </c>
      <c r="B6618" s="6" t="s">
        <v>15515</v>
      </c>
      <c r="C6618" s="6" t="s">
        <v>14891</v>
      </c>
      <c r="D6618" s="6" t="s">
        <v>14957</v>
      </c>
      <c r="E6618" s="2">
        <v>3166034</v>
      </c>
      <c r="F6618" s="4" t="str">
        <f>IF(B6618=B6617,"",B6618)</f>
        <v>Sulmona</v>
      </c>
    </row>
    <row r="6619" spans="1:6" ht="15.75" customHeight="1">
      <c r="A6619" s="5" t="str">
        <f ca="1">IFERROR(__xludf.DUMMYFUNCTION("GOOGLETRANSLATE(B34675,""en"",""pt"")"),"Sulmona")</f>
        <v>Sulmona</v>
      </c>
      <c r="B6619" s="17" t="s">
        <v>15515</v>
      </c>
      <c r="C6619" s="17" t="s">
        <v>14891</v>
      </c>
      <c r="D6619" s="17" t="s">
        <v>14957</v>
      </c>
      <c r="E6619" s="10">
        <v>3166034</v>
      </c>
      <c r="F6619" s="4" t="str">
        <f>IF(B6619=B6618,"",B6619)</f>
        <v/>
      </c>
    </row>
    <row r="6620" spans="1:6" ht="15.75" customHeight="1">
      <c r="A6620" s="6" t="s">
        <v>20579</v>
      </c>
      <c r="B6620" s="6" t="s">
        <v>20579</v>
      </c>
      <c r="C6620" s="6" t="s">
        <v>20470</v>
      </c>
      <c r="D6620" s="6" t="s">
        <v>20486</v>
      </c>
      <c r="E6620" s="2">
        <v>3691674</v>
      </c>
      <c r="F6620" s="4" t="str">
        <f>IF(B6620=B6619,"",B6620)</f>
        <v>Sullana</v>
      </c>
    </row>
    <row r="6621" spans="1:6" ht="15.75" customHeight="1">
      <c r="A6621" s="5" t="str">
        <f ca="1">IFERROR(__xludf.DUMMYFUNCTION("GOOGLETRANSLATE(B38310,""en"",""pt"")"),"Sullana")</f>
        <v>Sullana</v>
      </c>
      <c r="B6621" s="17" t="s">
        <v>20579</v>
      </c>
      <c r="C6621" s="17" t="s">
        <v>20470</v>
      </c>
      <c r="D6621" s="17" t="s">
        <v>20486</v>
      </c>
      <c r="E6621" s="10">
        <v>3691674</v>
      </c>
      <c r="F6621" s="4" t="str">
        <f>IF(B6621=B6620,"",B6621)</f>
        <v/>
      </c>
    </row>
    <row r="6622" spans="1:6" ht="15.75" customHeight="1">
      <c r="A6622" s="5" t="str">
        <f ca="1">IFERROR(__xludf.DUMMYFUNCTION("GOOGLETRANSLATE(B39198,""en"",""pt"")"),"Sulejówek")</f>
        <v>Sulejówek</v>
      </c>
      <c r="B6622" s="17" t="s">
        <v>35077</v>
      </c>
      <c r="C6622" s="17" t="s">
        <v>21064</v>
      </c>
      <c r="D6622" s="17" t="s">
        <v>21070</v>
      </c>
      <c r="E6622" s="10">
        <v>757809</v>
      </c>
      <c r="F6622" s="4" t="str">
        <f>IF(B6622=B6621,"",B6622)</f>
        <v>Sulejówek</v>
      </c>
    </row>
    <row r="6623" spans="1:6" ht="15.75" customHeight="1">
      <c r="A6623" s="5" t="s">
        <v>21515</v>
      </c>
      <c r="B6623" s="6" t="s">
        <v>21516</v>
      </c>
      <c r="C6623" s="5" t="s">
        <v>21064</v>
      </c>
      <c r="D6623" s="5" t="s">
        <v>21070</v>
      </c>
      <c r="E6623" s="2">
        <v>757809</v>
      </c>
      <c r="F6623" s="4" t="str">
        <f>IF(B6623=B6622,"",B6623)</f>
        <v>SulejÃ³wek</v>
      </c>
    </row>
    <row r="6624" spans="1:6" ht="15.75" customHeight="1">
      <c r="A6624" s="6" t="s">
        <v>19564</v>
      </c>
      <c r="B6624" s="6" t="s">
        <v>19564</v>
      </c>
      <c r="C6624" s="6" t="s">
        <v>19294</v>
      </c>
      <c r="D6624" s="6" t="s">
        <v>19259</v>
      </c>
      <c r="E6624" s="2">
        <v>2322794</v>
      </c>
      <c r="F6624" s="4" t="str">
        <f>IF(B6624=B6623,"",B6624)</f>
        <v>Suleja</v>
      </c>
    </row>
    <row r="6625" spans="1:6" ht="15.75" customHeight="1">
      <c r="A6625" s="5" t="str">
        <f ca="1">IFERROR(__xludf.DUMMYFUNCTION("GOOGLETRANSLATE(B37627,""en"",""pt"")"),"Suleja")</f>
        <v>Suleja</v>
      </c>
      <c r="B6625" s="17" t="s">
        <v>19564</v>
      </c>
      <c r="C6625" s="17" t="s">
        <v>19294</v>
      </c>
      <c r="D6625" s="17" t="s">
        <v>19259</v>
      </c>
      <c r="E6625" s="10">
        <v>2322794</v>
      </c>
      <c r="F6625" s="4" t="str">
        <f>IF(B6625=B6624,"",B6625)</f>
        <v/>
      </c>
    </row>
    <row r="6626" spans="1:6" ht="15.75" customHeight="1">
      <c r="A6626" s="5" t="str">
        <f ca="1">IFERROR(__xludf.DUMMYFUNCTION("GOOGLETRANSLATE(B39343,""en"",""pt"")"),"Slechów")</f>
        <v>Slechów</v>
      </c>
      <c r="B6626" s="17" t="s">
        <v>35165</v>
      </c>
      <c r="C6626" s="17" t="s">
        <v>21064</v>
      </c>
      <c r="D6626" s="17" t="s">
        <v>21065</v>
      </c>
      <c r="E6626" s="10">
        <v>3084241</v>
      </c>
      <c r="F6626" s="4" t="str">
        <f>IF(B6626=B6625,"",B6626)</f>
        <v>Sulechów</v>
      </c>
    </row>
    <row r="6627" spans="1:6" ht="15.75" customHeight="1">
      <c r="A6627" s="5" t="s">
        <v>21513</v>
      </c>
      <c r="B6627" s="6" t="s">
        <v>21514</v>
      </c>
      <c r="C6627" s="5" t="s">
        <v>21064</v>
      </c>
      <c r="D6627" s="5" t="s">
        <v>21065</v>
      </c>
      <c r="E6627" s="2">
        <v>3084241</v>
      </c>
      <c r="F6627" s="4" t="str">
        <f>IF(B6627=B6626,"",B6627)</f>
        <v>SulechÃ³w</v>
      </c>
    </row>
    <row r="6628" spans="1:6" ht="15.75" customHeight="1">
      <c r="A6628" s="6" t="s">
        <v>17132</v>
      </c>
      <c r="B6628" s="6" t="s">
        <v>17133</v>
      </c>
      <c r="C6628" s="6" t="s">
        <v>17074</v>
      </c>
      <c r="D6628" s="6" t="s">
        <v>17112</v>
      </c>
      <c r="E6628" s="2">
        <v>81604</v>
      </c>
      <c r="F6628" s="4" t="str">
        <f>IF(B6628=B6627,"",B6628)</f>
        <v>SulÅ«q</v>
      </c>
    </row>
    <row r="6629" spans="1:6" ht="15.75" customHeight="1">
      <c r="A6629" s="5" t="s">
        <v>23547</v>
      </c>
      <c r="B6629" s="6" t="s">
        <v>23548</v>
      </c>
      <c r="C6629" s="5" t="s">
        <v>23454</v>
      </c>
      <c r="D6629" s="5" t="s">
        <v>23477</v>
      </c>
      <c r="E6629" s="2">
        <v>101760</v>
      </c>
      <c r="F6629" s="4" t="str">
        <f>IF(B6629=B6628,"",B6629)</f>
        <v>SulÅ£Änah</v>
      </c>
    </row>
    <row r="6630" spans="1:6" ht="15.75" customHeight="1">
      <c r="A6630" s="6" t="s">
        <v>7986</v>
      </c>
      <c r="B6630" s="6" t="s">
        <v>7986</v>
      </c>
      <c r="C6630" s="6" t="s">
        <v>7980</v>
      </c>
      <c r="D6630" s="6" t="s">
        <v>6944</v>
      </c>
      <c r="E6630" s="2">
        <v>2411880</v>
      </c>
      <c r="F6630" s="4" t="str">
        <f>IF(B6630=B6629,"",B6630)</f>
        <v>Sukuta</v>
      </c>
    </row>
    <row r="6631" spans="1:6" ht="15.75" customHeight="1">
      <c r="A6631" s="5" t="str">
        <f ca="1">IFERROR(__xludf.DUMMYFUNCTION("GOOGLETRANSLATE(B30916,""en"",""pt"")"),"Sukuta")</f>
        <v>Sukuta</v>
      </c>
      <c r="B6631" s="17" t="s">
        <v>7986</v>
      </c>
      <c r="C6631" s="17" t="s">
        <v>7980</v>
      </c>
      <c r="D6631" s="17" t="s">
        <v>6944</v>
      </c>
      <c r="E6631" s="10">
        <v>2411880</v>
      </c>
      <c r="F6631" s="4" t="str">
        <f>IF(B6631=B6630,"",B6631)</f>
        <v/>
      </c>
    </row>
    <row r="6632" spans="1:6" ht="15.75" customHeight="1">
      <c r="A6632" s="6" t="s">
        <v>16446</v>
      </c>
      <c r="B6632" s="6" t="s">
        <v>16446</v>
      </c>
      <c r="C6632" s="6" t="s">
        <v>15704</v>
      </c>
      <c r="D6632" s="6" t="s">
        <v>15715</v>
      </c>
      <c r="E6632" s="2">
        <v>1851462</v>
      </c>
      <c r="F6632" s="4" t="str">
        <f>IF(B6632=B6631,"",B6632)</f>
        <v>Sukumo</v>
      </c>
    </row>
    <row r="6633" spans="1:6" ht="15.75" customHeight="1">
      <c r="A6633" s="5" t="str">
        <f ca="1">IFERROR(__xludf.DUMMYFUNCTION("GOOGLETRANSLATE(B35278,""en"",""pt"")"),"Sukumo")</f>
        <v>Sukumo</v>
      </c>
      <c r="B6633" s="17" t="s">
        <v>16446</v>
      </c>
      <c r="C6633" s="17" t="s">
        <v>15704</v>
      </c>
      <c r="D6633" s="17" t="s">
        <v>15715</v>
      </c>
      <c r="E6633" s="10">
        <v>1851462</v>
      </c>
      <c r="F6633" s="4" t="str">
        <f>IF(B6633=B6632,"",B6633)</f>
        <v/>
      </c>
    </row>
    <row r="6634" spans="1:6" ht="15.75" customHeight="1">
      <c r="A6634" s="6" t="s">
        <v>20241</v>
      </c>
      <c r="B6634" s="6" t="s">
        <v>20241</v>
      </c>
      <c r="C6634" s="6" t="s">
        <v>19808</v>
      </c>
      <c r="D6634" s="6" t="s">
        <v>19823</v>
      </c>
      <c r="E6634" s="2">
        <v>1164408</v>
      </c>
      <c r="F6634" s="4" t="str">
        <f>IF(B6634=B6633,"",B6634)</f>
        <v>Sukkur</v>
      </c>
    </row>
    <row r="6635" spans="1:6" ht="15.75" customHeight="1">
      <c r="A6635" s="5" t="str">
        <f ca="1">IFERROR(__xludf.DUMMYFUNCTION("GOOGLETRANSLATE(B38901,""en"",""pt"")"),"Sukkur")</f>
        <v>Sukkur</v>
      </c>
      <c r="B6635" s="17" t="s">
        <v>20241</v>
      </c>
      <c r="C6635" s="17" t="s">
        <v>19808</v>
      </c>
      <c r="D6635" s="17" t="s">
        <v>19823</v>
      </c>
      <c r="E6635" s="10">
        <v>1164408</v>
      </c>
      <c r="F6635" s="4" t="str">
        <f>IF(B6635=B6634,"",B6635)</f>
        <v/>
      </c>
    </row>
    <row r="6636" spans="1:6" ht="15.75" customHeight="1">
      <c r="A6636" s="5" t="s">
        <v>23145</v>
      </c>
      <c r="B6636" s="6" t="s">
        <v>23146</v>
      </c>
      <c r="C6636" s="5" t="s">
        <v>22070</v>
      </c>
      <c r="D6636" s="5" t="s">
        <v>22106</v>
      </c>
      <c r="E6636" s="2">
        <v>1490686</v>
      </c>
      <c r="F6636" s="4" t="str">
        <f>IF(B6636=B6635,"",B6636)</f>
        <v>Sukhoy Log</v>
      </c>
    </row>
    <row r="6637" spans="1:6" ht="15.75" customHeight="1">
      <c r="A6637" s="5" t="str">
        <f ca="1">IFERROR(__xludf.DUMMYFUNCTION("GOOGLETRANSLATE(B40754,""en"",""pt"")"),"LOG SUKHOY")</f>
        <v>LOG SUKHOY</v>
      </c>
      <c r="B6637" s="17" t="s">
        <v>23146</v>
      </c>
      <c r="C6637" s="17" t="s">
        <v>22070</v>
      </c>
      <c r="D6637" s="17" t="s">
        <v>22106</v>
      </c>
      <c r="E6637" s="10">
        <v>1490686</v>
      </c>
      <c r="F6637" s="4" t="str">
        <f>IF(B6637=B6636,"",B6637)</f>
        <v/>
      </c>
    </row>
    <row r="6638" spans="1:6" ht="15.75" customHeight="1">
      <c r="A6638" s="5" t="s">
        <v>25800</v>
      </c>
      <c r="B6638" s="6" t="s">
        <v>25800</v>
      </c>
      <c r="C6638" s="5" t="s">
        <v>25771</v>
      </c>
      <c r="D6638" s="5" t="s">
        <v>25800</v>
      </c>
      <c r="E6638" s="2">
        <v>1150533</v>
      </c>
      <c r="F6638" s="4" t="str">
        <f>IF(B6638=B6637,"",B6638)</f>
        <v>Sukhothai</v>
      </c>
    </row>
    <row r="6639" spans="1:6" ht="15.75" customHeight="1">
      <c r="A6639" s="5" t="str">
        <f ca="1">IFERROR(__xludf.DUMMYFUNCTION("GOOGLETRANSLATE(B41523,""en"",""pt"")"),"Sukhothai")</f>
        <v>Sukhothai</v>
      </c>
      <c r="B6639" s="17" t="s">
        <v>25800</v>
      </c>
      <c r="C6639" s="17" t="s">
        <v>25771</v>
      </c>
      <c r="D6639" s="17" t="s">
        <v>25800</v>
      </c>
      <c r="E6639" s="10">
        <v>1150533</v>
      </c>
      <c r="F6639" s="4" t="str">
        <f>IF(B6639=B6638,"",B6639)</f>
        <v/>
      </c>
    </row>
    <row r="6640" spans="1:6" ht="15.75" customHeight="1">
      <c r="A6640" s="5" t="s">
        <v>23144</v>
      </c>
      <c r="B6640" s="6" t="s">
        <v>23144</v>
      </c>
      <c r="C6640" s="5" t="s">
        <v>22070</v>
      </c>
      <c r="D6640" s="5" t="s">
        <v>22184</v>
      </c>
      <c r="E6640" s="2">
        <v>486665</v>
      </c>
      <c r="F6640" s="4" t="str">
        <f>IF(B6640=B6639,"",B6640)</f>
        <v>Sukhinichi</v>
      </c>
    </row>
    <row r="6641" spans="1:6" ht="15.75" customHeight="1">
      <c r="A6641" s="5" t="str">
        <f ca="1">IFERROR(__xludf.DUMMYFUNCTION("GOOGLETRANSLATE(B40057,""en"",""pt"")"),"Sukhinichi")</f>
        <v>Sukhinichi</v>
      </c>
      <c r="B6641" s="17" t="s">
        <v>23144</v>
      </c>
      <c r="C6641" s="17" t="s">
        <v>22070</v>
      </c>
      <c r="D6641" s="17" t="s">
        <v>22184</v>
      </c>
      <c r="E6641" s="10">
        <v>486665</v>
      </c>
      <c r="F6641" s="4" t="str">
        <f>IF(B6641=B6640,"",B6641)</f>
        <v/>
      </c>
    </row>
    <row r="6642" spans="1:6" ht="15.75" customHeight="1">
      <c r="A6642" s="5" t="s">
        <v>20240</v>
      </c>
      <c r="B6642" s="6" t="s">
        <v>20240</v>
      </c>
      <c r="C6642" s="5" t="s">
        <v>19808</v>
      </c>
      <c r="D6642" s="5" t="s">
        <v>10184</v>
      </c>
      <c r="E6642" s="2">
        <v>1164419</v>
      </c>
      <c r="F6642" s="4" t="str">
        <f>IF(B6642=B6641,"",B6642)</f>
        <v>Sukheke Mandi</v>
      </c>
    </row>
    <row r="6643" spans="1:6" ht="15.75" customHeight="1">
      <c r="A6643" s="5" t="str">
        <f ca="1">IFERROR(__xludf.DUMMYFUNCTION("GOOGLETRANSLATE(B38902,""en"",""pt"")"),"Sukheke Mandi")</f>
        <v>Sukheke Mandi</v>
      </c>
      <c r="B6643" s="17" t="s">
        <v>20240</v>
      </c>
      <c r="C6643" s="17" t="s">
        <v>19808</v>
      </c>
      <c r="D6643" s="17" t="s">
        <v>10184</v>
      </c>
      <c r="E6643" s="10">
        <v>1164419</v>
      </c>
      <c r="F6643" s="4" t="str">
        <f>IF(B6643=B6642,"",B6643)</f>
        <v/>
      </c>
    </row>
    <row r="6644" spans="1:6" ht="15.75" customHeight="1">
      <c r="A6644" s="6" t="s">
        <v>13458</v>
      </c>
      <c r="B6644" s="6" t="s">
        <v>13458</v>
      </c>
      <c r="C6644" s="6" t="s">
        <v>10178</v>
      </c>
      <c r="D6644" s="6" t="s">
        <v>10179</v>
      </c>
      <c r="E6644" s="2">
        <v>1255551</v>
      </c>
      <c r="F6644" s="4" t="str">
        <f>IF(B6644=B6643,"",B6644)</f>
        <v>Suket</v>
      </c>
    </row>
    <row r="6645" spans="1:6" ht="15.75" customHeight="1">
      <c r="A6645" s="5" t="str">
        <f ca="1">IFERROR(__xludf.DUMMYFUNCTION("GOOGLETRANSLATE(B32071,""en"",""pt"")"),"Suket")</f>
        <v>Suket</v>
      </c>
      <c r="B6645" s="17" t="s">
        <v>13458</v>
      </c>
      <c r="C6645" s="17" t="s">
        <v>10178</v>
      </c>
      <c r="D6645" s="17" t="s">
        <v>10179</v>
      </c>
      <c r="E6645" s="10">
        <v>1255551</v>
      </c>
      <c r="F6645" s="4" t="str">
        <f>IF(B6645=B6644,"",B6645)</f>
        <v/>
      </c>
    </row>
    <row r="6646" spans="1:6" ht="15.75" customHeight="1">
      <c r="A6646" s="5" t="s">
        <v>16445</v>
      </c>
      <c r="B6646" s="6" t="s">
        <v>16445</v>
      </c>
      <c r="C6646" s="5" t="s">
        <v>15704</v>
      </c>
      <c r="D6646" s="5" t="s">
        <v>15884</v>
      </c>
      <c r="E6646" s="2">
        <v>2110959</v>
      </c>
      <c r="F6646" s="4" t="str">
        <f>IF(B6646=B6645,"",B6646)</f>
        <v>Sukagawa</v>
      </c>
    </row>
    <row r="6647" spans="1:6" ht="15.75" customHeight="1">
      <c r="A6647" s="5" t="str">
        <f ca="1">IFERROR(__xludf.DUMMYFUNCTION("GOOGLETRANSLATE(B35728,""en"",""pt"")"),"Sukagawa")</f>
        <v>Sukagawa</v>
      </c>
      <c r="B6647" s="17" t="s">
        <v>16445</v>
      </c>
      <c r="C6647" s="17" t="s">
        <v>15704</v>
      </c>
      <c r="D6647" s="17" t="s">
        <v>15884</v>
      </c>
      <c r="E6647" s="10">
        <v>2110959</v>
      </c>
      <c r="F6647" s="4" t="str">
        <f>IF(B6647=B6646,"",B6647)</f>
        <v/>
      </c>
    </row>
    <row r="6648" spans="1:6" ht="15.75" customHeight="1">
      <c r="A6648" s="6" t="s">
        <v>14178</v>
      </c>
      <c r="B6648" s="6" t="s">
        <v>14178</v>
      </c>
      <c r="C6648" s="6" t="s">
        <v>13800</v>
      </c>
      <c r="D6648" s="6" t="s">
        <v>13811</v>
      </c>
      <c r="E6648" s="2">
        <v>1626381</v>
      </c>
      <c r="F6648" s="4" t="str">
        <f>IF(B6648=B6647,"",B6648)</f>
        <v>Sukabumi</v>
      </c>
    </row>
    <row r="6649" spans="1:6" ht="15.75" customHeight="1">
      <c r="A6649" s="5" t="str">
        <f ca="1">IFERROR(__xludf.DUMMYFUNCTION("GOOGLETRANSLATE(B31433,""en"",""pt"")"),"Sukabumi")</f>
        <v>Sukabumi</v>
      </c>
      <c r="B6649" s="17" t="s">
        <v>14178</v>
      </c>
      <c r="C6649" s="17" t="s">
        <v>13800</v>
      </c>
      <c r="D6649" s="17" t="s">
        <v>13811</v>
      </c>
      <c r="E6649" s="10">
        <v>1626381</v>
      </c>
      <c r="F6649" s="4" t="str">
        <f>IF(B6649=B6648,"",B6649)</f>
        <v/>
      </c>
    </row>
    <row r="6650" spans="1:6" ht="15.75" customHeight="1">
      <c r="A6650" s="6" t="s">
        <v>5107</v>
      </c>
      <c r="B6650" s="6" t="s">
        <v>5107</v>
      </c>
      <c r="C6650" s="6" t="s">
        <v>4487</v>
      </c>
      <c r="D6650" s="6" t="s">
        <v>4505</v>
      </c>
      <c r="E6650" s="2">
        <v>2034638</v>
      </c>
      <c r="F6650" s="4" t="str">
        <f>IF(B6650=B6649,"",B6650)</f>
        <v>Sujiatun</v>
      </c>
    </row>
    <row r="6651" spans="1:6" ht="15.75" customHeight="1">
      <c r="A6651" s="5" t="str">
        <f ca="1">IFERROR(__xludf.DUMMYFUNCTION("GOOGLETRANSLATE(B26683,""en"",""pt"")"),"Sujiatun")</f>
        <v>Sujiatun</v>
      </c>
      <c r="B6651" s="17" t="s">
        <v>5107</v>
      </c>
      <c r="C6651" s="17" t="s">
        <v>4487</v>
      </c>
      <c r="D6651" s="17" t="s">
        <v>4505</v>
      </c>
      <c r="E6651" s="10">
        <v>2034638</v>
      </c>
      <c r="F6651" s="4" t="str">
        <f>IF(B6651=B6650,"",B6651)</f>
        <v/>
      </c>
    </row>
    <row r="6652" spans="1:6" ht="15.75" customHeight="1">
      <c r="A6652" s="5" t="str">
        <f ca="1">IFERROR(__xludf.DUMMYFUNCTION("GOOGLETRANSLATE(B32072,""en"",""pt"")"),"Sūjāngarh")</f>
        <v>Sūjāngarh</v>
      </c>
      <c r="B6652" s="17" t="s">
        <v>33042</v>
      </c>
      <c r="C6652" s="17" t="s">
        <v>10178</v>
      </c>
      <c r="D6652" s="17" t="s">
        <v>10179</v>
      </c>
      <c r="E6652" s="10">
        <v>1255560</v>
      </c>
      <c r="F6652" s="4" t="str">
        <f>IF(B6652=B6651,"",B6652)</f>
        <v>Sūjāngarh</v>
      </c>
    </row>
    <row r="6653" spans="1:6" ht="15.75" customHeight="1">
      <c r="A6653" s="6" t="s">
        <v>5106</v>
      </c>
      <c r="B6653" s="6" t="s">
        <v>5106</v>
      </c>
      <c r="C6653" s="6" t="s">
        <v>4487</v>
      </c>
      <c r="D6653" s="6" t="s">
        <v>4499</v>
      </c>
      <c r="E6653" s="2">
        <v>1793879</v>
      </c>
      <c r="F6653" s="4" t="str">
        <f>IF(B6653=B6652,"",B6653)</f>
        <v>Suizhou</v>
      </c>
    </row>
    <row r="6654" spans="1:6" ht="15.75" customHeight="1">
      <c r="A6654" s="5" t="str">
        <f ca="1">IFERROR(__xludf.DUMMYFUNCTION("GOOGLETRANSLATE(B26252,""en"",""pt"")"),"Suizhou")</f>
        <v>Suizhou</v>
      </c>
      <c r="B6654" s="17" t="s">
        <v>5106</v>
      </c>
      <c r="C6654" s="17" t="s">
        <v>4487</v>
      </c>
      <c r="D6654" s="17" t="s">
        <v>4499</v>
      </c>
      <c r="E6654" s="10">
        <v>1793879</v>
      </c>
      <c r="F6654" s="4" t="str">
        <f>IF(B6654=B6653,"",B6654)</f>
        <v/>
      </c>
    </row>
    <row r="6655" spans="1:6" ht="15.75" customHeight="1">
      <c r="A6655" s="6" t="s">
        <v>5105</v>
      </c>
      <c r="B6655" s="6" t="s">
        <v>5105</v>
      </c>
      <c r="C6655" s="6" t="s">
        <v>4487</v>
      </c>
      <c r="D6655" s="6" t="s">
        <v>4501</v>
      </c>
      <c r="E6655" s="2">
        <v>1793889</v>
      </c>
      <c r="F6655" s="4" t="str">
        <f>IF(B6655=B6654,"",B6655)</f>
        <v>Suixi</v>
      </c>
    </row>
    <row r="6656" spans="1:6" ht="15.75" customHeight="1">
      <c r="A6656" s="5" t="str">
        <f ca="1">IFERROR(__xludf.DUMMYFUNCTION("GOOGLETRANSLATE(B26253,""en"",""pt"")"),"Suixi")</f>
        <v>Suixi</v>
      </c>
      <c r="B6656" s="17" t="s">
        <v>5105</v>
      </c>
      <c r="C6656" s="17" t="s">
        <v>4487</v>
      </c>
      <c r="D6656" s="17" t="s">
        <v>4501</v>
      </c>
      <c r="E6656" s="10">
        <v>1793889</v>
      </c>
      <c r="F6656" s="4" t="str">
        <f>IF(B6656=B6655,"",B6656)</f>
        <v/>
      </c>
    </row>
    <row r="6657" spans="1:6" ht="15.75" customHeight="1">
      <c r="A6657" s="5" t="s">
        <v>30117</v>
      </c>
      <c r="B6657" s="6" t="s">
        <v>30118</v>
      </c>
      <c r="C6657" s="5" t="s">
        <v>27788</v>
      </c>
      <c r="D6657" s="5" t="s">
        <v>17061</v>
      </c>
      <c r="E6657" s="2">
        <v>4370616</v>
      </c>
      <c r="F6657" s="4" t="str">
        <f>IF(B6657=B6656,"",B6657)</f>
        <v>Suitland</v>
      </c>
    </row>
    <row r="6658" spans="1:6" ht="15.75" customHeight="1">
      <c r="A6658" s="5" t="str">
        <f ca="1">IFERROR(__xludf.DUMMYFUNCTION("GOOGLETRANSLATE(B43338,""en"",""pt"")"),"Terras de traje")</f>
        <v>Terras de traje</v>
      </c>
      <c r="B6658" s="17" t="s">
        <v>30118</v>
      </c>
      <c r="C6658" s="17" t="s">
        <v>27788</v>
      </c>
      <c r="D6658" s="17" t="s">
        <v>17061</v>
      </c>
      <c r="E6658" s="10">
        <v>4370616</v>
      </c>
      <c r="F6658" s="4" t="str">
        <f>IF(B6658=B6657,"",B6658)</f>
        <v/>
      </c>
    </row>
    <row r="6659" spans="1:6" ht="15.75" customHeight="1">
      <c r="A6659" s="6" t="s">
        <v>16443</v>
      </c>
      <c r="B6659" s="6" t="s">
        <v>16444</v>
      </c>
      <c r="C6659" s="6" t="s">
        <v>15704</v>
      </c>
      <c r="D6659" s="6" t="s">
        <v>15853</v>
      </c>
      <c r="E6659" s="2">
        <v>1851483</v>
      </c>
      <c r="F6659" s="4" t="str">
        <f>IF(B6659=B6658,"",B6659)</f>
        <v>Suita</v>
      </c>
    </row>
    <row r="6660" spans="1:6" ht="15.75" customHeight="1">
      <c r="A6660" s="5" t="str">
        <f ca="1">IFERROR(__xludf.DUMMYFUNCTION("GOOGLETRANSLATE(B35279,""en"",""pt"")"),"Traje")</f>
        <v>Traje</v>
      </c>
      <c r="B6660" s="17" t="s">
        <v>16444</v>
      </c>
      <c r="C6660" s="17" t="s">
        <v>15704</v>
      </c>
      <c r="D6660" s="17" t="s">
        <v>34295</v>
      </c>
      <c r="E6660" s="10">
        <v>1851483</v>
      </c>
      <c r="F6660" s="4" t="str">
        <f>IF(B6660=B6659,"",B6660)</f>
        <v/>
      </c>
    </row>
    <row r="6661" spans="1:6" ht="15.75" customHeight="1">
      <c r="A6661" s="6" t="s">
        <v>30116</v>
      </c>
      <c r="B6661" s="6" t="s">
        <v>30116</v>
      </c>
      <c r="C6661" s="6" t="s">
        <v>27788</v>
      </c>
      <c r="D6661" s="6" t="s">
        <v>27801</v>
      </c>
      <c r="E6661" s="2">
        <v>5399629</v>
      </c>
      <c r="F6661" s="4" t="str">
        <f>IF(B6661=B6660,"",B6661)</f>
        <v>Suisun</v>
      </c>
    </row>
    <row r="6662" spans="1:6" ht="15.75" customHeight="1">
      <c r="A6662" s="5" t="str">
        <f ca="1">IFERROR(__xludf.DUMMYFUNCTION("GOOGLETRANSLATE(B45050,""en"",""pt"")"),"Suisun")</f>
        <v>Suisun</v>
      </c>
      <c r="B6662" s="17" t="s">
        <v>30116</v>
      </c>
      <c r="C6662" s="17" t="s">
        <v>27788</v>
      </c>
      <c r="D6662" s="17" t="s">
        <v>27801</v>
      </c>
      <c r="E6662" s="10">
        <v>5399629</v>
      </c>
      <c r="F6662" s="4" t="str">
        <f>IF(B6662=B6661,"",B6662)</f>
        <v/>
      </c>
    </row>
    <row r="6663" spans="1:6" ht="15.75" customHeight="1">
      <c r="A6663" s="6" t="s">
        <v>24145</v>
      </c>
      <c r="B6663" s="6" t="s">
        <v>24145</v>
      </c>
      <c r="C6663" s="6" t="s">
        <v>24024</v>
      </c>
      <c r="D6663" s="6" t="s">
        <v>24033</v>
      </c>
      <c r="E6663" s="2">
        <v>1835895</v>
      </c>
      <c r="F6663" s="4" t="str">
        <f>IF(B6663=B6662,"",B6663)</f>
        <v>Suisan</v>
      </c>
    </row>
    <row r="6664" spans="1:6" ht="15.75" customHeight="1">
      <c r="A6664" s="5" t="str">
        <f ca="1">IFERROR(__xludf.DUMMYFUNCTION("GOOGLETRANSLATE(B36073,""en"",""pt"")"),"Suisan")</f>
        <v>Suisan</v>
      </c>
      <c r="B6664" s="17" t="s">
        <v>24145</v>
      </c>
      <c r="C6664" s="17" t="s">
        <v>24024</v>
      </c>
      <c r="D6664" s="17" t="s">
        <v>24033</v>
      </c>
      <c r="E6664" s="10">
        <v>1835895</v>
      </c>
      <c r="F6664" s="4" t="str">
        <f>IF(B6664=B6663,"",B6664)</f>
        <v/>
      </c>
    </row>
    <row r="6665" spans="1:6" ht="15.75" customHeight="1">
      <c r="A6665" s="6" t="s">
        <v>5103</v>
      </c>
      <c r="B6665" s="6" t="s">
        <v>5104</v>
      </c>
      <c r="C6665" s="6" t="s">
        <v>4487</v>
      </c>
      <c r="D6665" s="6" t="s">
        <v>4588</v>
      </c>
      <c r="E6665" s="2">
        <v>1793900</v>
      </c>
      <c r="F6665" s="4" t="str">
        <f>IF(B6665=B6664,"",B6665)</f>
        <v>Suining</v>
      </c>
    </row>
    <row r="6666" spans="1:6" ht="15.75" customHeight="1">
      <c r="A6666" s="5" t="str">
        <f ca="1">IFERROR(__xludf.DUMMYFUNCTION("GOOGLETRANSLATE(B26255,""en"",""pt"")"),"Suinante")</f>
        <v>Suinante</v>
      </c>
      <c r="B6666" s="17" t="s">
        <v>5104</v>
      </c>
      <c r="C6666" s="17" t="s">
        <v>4487</v>
      </c>
      <c r="D6666" s="17" t="s">
        <v>4588</v>
      </c>
      <c r="E6666" s="10">
        <v>1793900</v>
      </c>
      <c r="F6666" s="4" t="str">
        <f>IF(B6666=B6665,"",B6666)</f>
        <v/>
      </c>
    </row>
    <row r="6667" spans="1:6" ht="15.75" customHeight="1">
      <c r="A6667" s="6" t="s">
        <v>5102</v>
      </c>
      <c r="B6667" s="6" t="s">
        <v>5102</v>
      </c>
      <c r="C6667" s="6" t="s">
        <v>4487</v>
      </c>
      <c r="D6667" s="6" t="s">
        <v>4488</v>
      </c>
      <c r="E6667" s="2">
        <v>2034651</v>
      </c>
      <c r="F6667" s="4" t="str">
        <f>IF(B6667=B6666,"",B6667)</f>
        <v>Suileng</v>
      </c>
    </row>
    <row r="6668" spans="1:6" ht="15.75" customHeight="1">
      <c r="A6668" s="5" t="str">
        <f ca="1">IFERROR(__xludf.DUMMYFUNCTION("GOOGLETRANSLATE(B26684,""en"",""pt"")"),"Suileng")</f>
        <v>Suileng</v>
      </c>
      <c r="B6668" s="17" t="s">
        <v>5102</v>
      </c>
      <c r="C6668" s="17" t="s">
        <v>4487</v>
      </c>
      <c r="D6668" s="17" t="s">
        <v>4488</v>
      </c>
      <c r="E6668" s="10">
        <v>2034651</v>
      </c>
      <c r="F6668" s="4" t="str">
        <f>IF(B6668=B6667,"",B6668)</f>
        <v/>
      </c>
    </row>
    <row r="6669" spans="1:6" ht="15.75" customHeight="1">
      <c r="A6669" s="6" t="s">
        <v>5101</v>
      </c>
      <c r="B6669" s="6" t="s">
        <v>5101</v>
      </c>
      <c r="C6669" s="6" t="s">
        <v>4487</v>
      </c>
      <c r="D6669" s="6" t="s">
        <v>4488</v>
      </c>
      <c r="E6669" s="2">
        <v>2034655</v>
      </c>
      <c r="F6669" s="4" t="str">
        <f>IF(B6669=B6668,"",B6669)</f>
        <v>Suihua</v>
      </c>
    </row>
    <row r="6670" spans="1:6" ht="15.75" customHeight="1">
      <c r="A6670" s="5" t="str">
        <f ca="1">IFERROR(__xludf.DUMMYFUNCTION("GOOGLETRANSLATE(B26685,""en"",""pt"")"),"Suihua")</f>
        <v>Suihua</v>
      </c>
      <c r="B6670" s="17" t="s">
        <v>5101</v>
      </c>
      <c r="C6670" s="17" t="s">
        <v>4487</v>
      </c>
      <c r="D6670" s="17" t="s">
        <v>4488</v>
      </c>
      <c r="E6670" s="10">
        <v>2034655</v>
      </c>
      <c r="F6670" s="4" t="str">
        <f>IF(B6670=B6669,"",B6670)</f>
        <v/>
      </c>
    </row>
    <row r="6671" spans="1:6" ht="15.75" customHeight="1">
      <c r="A6671" s="6" t="s">
        <v>5100</v>
      </c>
      <c r="B6671" s="6" t="s">
        <v>5100</v>
      </c>
      <c r="C6671" s="6" t="s">
        <v>4487</v>
      </c>
      <c r="D6671" s="6" t="s">
        <v>4488</v>
      </c>
      <c r="E6671" s="2">
        <v>2034657</v>
      </c>
      <c r="F6671" s="4" t="str">
        <f>IF(B6671=B6670,"",B6671)</f>
        <v>Suifenhe</v>
      </c>
    </row>
    <row r="6672" spans="1:6" ht="15.75" customHeight="1">
      <c r="A6672" s="5" t="str">
        <f ca="1">IFERROR(__xludf.DUMMYFUNCTION("GOOGLETRANSLATE(B26686,""en"",""pt"")"),"Suifenhe")</f>
        <v>Suifenhe</v>
      </c>
      <c r="B6672" s="17" t="s">
        <v>5100</v>
      </c>
      <c r="C6672" s="17" t="s">
        <v>4487</v>
      </c>
      <c r="D6672" s="17" t="s">
        <v>4488</v>
      </c>
      <c r="E6672" s="10">
        <v>2034657</v>
      </c>
      <c r="F6672" s="4" t="str">
        <f>IF(B6672=B6671,"",B6672)</f>
        <v/>
      </c>
    </row>
    <row r="6673" spans="1:6" ht="15.75" customHeight="1">
      <c r="A6673" s="6" t="s">
        <v>5099</v>
      </c>
      <c r="B6673" s="6" t="s">
        <v>5099</v>
      </c>
      <c r="C6673" s="6" t="s">
        <v>4487</v>
      </c>
      <c r="D6673" s="6" t="s">
        <v>4535</v>
      </c>
      <c r="E6673" s="2">
        <v>1793899</v>
      </c>
      <c r="F6673" s="4" t="str">
        <f>IF(B6673=B6672,"",B6673)</f>
        <v>Suicheng</v>
      </c>
    </row>
    <row r="6674" spans="1:6" ht="15.75" customHeight="1">
      <c r="A6674" s="5" t="str">
        <f ca="1">IFERROR(__xludf.DUMMYFUNCTION("GOOGLETRANSLATE(B26254,""en"",""pt"")"),"Suicheng")</f>
        <v>Suicheng</v>
      </c>
      <c r="B6674" s="17" t="s">
        <v>5099</v>
      </c>
      <c r="C6674" s="17" t="s">
        <v>4487</v>
      </c>
      <c r="D6674" s="17" t="s">
        <v>4535</v>
      </c>
      <c r="E6674" s="10">
        <v>1793899</v>
      </c>
      <c r="F6674" s="4" t="str">
        <f>IF(B6674=B6673,"",B6674)</f>
        <v/>
      </c>
    </row>
    <row r="6675" spans="1:6" ht="15.75" customHeight="1">
      <c r="A6675" s="6" t="s">
        <v>16442</v>
      </c>
      <c r="B6675" s="6" t="s">
        <v>16442</v>
      </c>
      <c r="C6675" s="6" t="s">
        <v>15704</v>
      </c>
      <c r="D6675" s="6" t="s">
        <v>15818</v>
      </c>
      <c r="E6675" s="2">
        <v>1851494</v>
      </c>
      <c r="F6675" s="4" t="str">
        <f>IF(B6675=B6674,"",B6675)</f>
        <v>Suibara</v>
      </c>
    </row>
    <row r="6676" spans="1:6" ht="15.75" customHeight="1">
      <c r="A6676" s="5" t="str">
        <f ca="1">IFERROR(__xludf.DUMMYFUNCTION("GOOGLETRANSLATE(B35280,""en"",""pt"")"),"Suibara")</f>
        <v>Suibara</v>
      </c>
      <c r="B6676" s="17" t="s">
        <v>16442</v>
      </c>
      <c r="C6676" s="17" t="s">
        <v>15704</v>
      </c>
      <c r="D6676" s="17" t="s">
        <v>15818</v>
      </c>
      <c r="E6676" s="10">
        <v>1851494</v>
      </c>
      <c r="F6676" s="4" t="str">
        <f>IF(B6676=B6675,"",B6676)</f>
        <v/>
      </c>
    </row>
    <row r="6677" spans="1:6" ht="15.75" customHeight="1">
      <c r="A6677" s="6" t="s">
        <v>9421</v>
      </c>
      <c r="B6677" s="6" t="s">
        <v>9421</v>
      </c>
      <c r="C6677" s="6" t="s">
        <v>9365</v>
      </c>
      <c r="D6677" s="6" t="s">
        <v>9366</v>
      </c>
      <c r="E6677" s="2">
        <v>2295065</v>
      </c>
      <c r="F6677" s="4" t="str">
        <f>IF(B6677=B6676,"",B6677)</f>
        <v>Suhum</v>
      </c>
    </row>
    <row r="6678" spans="1:6" ht="15.75" customHeight="1">
      <c r="A6678" s="5" t="str">
        <f ca="1">IFERROR(__xludf.DUMMYFUNCTION("GOOGLETRANSLATE(B30869,""en"",""pt"")"),"Suhum")</f>
        <v>Suhum</v>
      </c>
      <c r="B6678" s="17" t="s">
        <v>9421</v>
      </c>
      <c r="C6678" s="17" t="s">
        <v>9365</v>
      </c>
      <c r="D6678" s="17" t="s">
        <v>9366</v>
      </c>
      <c r="E6678" s="10">
        <v>2295065</v>
      </c>
      <c r="F6678" s="4" t="str">
        <f>IF(B6678=B6677,"",B6678)</f>
        <v/>
      </c>
    </row>
    <row r="6679" spans="1:6" ht="15.75" customHeight="1">
      <c r="A6679" s="6" t="s">
        <v>9187</v>
      </c>
      <c r="B6679" s="6" t="s">
        <v>9187</v>
      </c>
      <c r="C6679" s="6" t="s">
        <v>8028</v>
      </c>
      <c r="D6679" s="6" t="s">
        <v>8054</v>
      </c>
      <c r="E6679" s="2">
        <v>2824948</v>
      </c>
      <c r="F6679" s="4" t="str">
        <f>IF(B6679=B6678,"",B6679)</f>
        <v>Suhl</v>
      </c>
    </row>
    <row r="6680" spans="1:6" ht="15.75" customHeight="1">
      <c r="A6680" s="5" t="str">
        <f ca="1">IFERROR(__xludf.DUMMYFUNCTION("GOOGLETRANSLATE(B27488,""en"",""pt"")"),"Suhl")</f>
        <v>Suhl</v>
      </c>
      <c r="B6680" s="17" t="s">
        <v>9187</v>
      </c>
      <c r="C6680" s="17" t="s">
        <v>8028</v>
      </c>
      <c r="D6680" s="17" t="s">
        <v>8054</v>
      </c>
      <c r="E6680" s="10">
        <v>2824948</v>
      </c>
      <c r="F6680" s="4" t="str">
        <f>IF(B6680=B6679,"",B6680)</f>
        <v/>
      </c>
    </row>
    <row r="6681" spans="1:6" ht="15.75" customHeight="1">
      <c r="A6681" s="5" t="str">
        <f ca="1">IFERROR(__xludf.DUMMYFUNCTION("GOOGLETRANSLATE(B36768,""en"",""pt"")"),"Sühbaatar")</f>
        <v>Sühbaatar</v>
      </c>
      <c r="B6681" s="17" t="s">
        <v>18525</v>
      </c>
      <c r="C6681" s="17" t="s">
        <v>18496</v>
      </c>
      <c r="D6681" s="17" t="s">
        <v>18515</v>
      </c>
      <c r="E6681" s="10">
        <v>2029156</v>
      </c>
      <c r="F6681" s="4" t="str">
        <f>IF(B6681=B6680,"",B6681)</f>
        <v>Sühbaatar</v>
      </c>
    </row>
    <row r="6682" spans="1:6" ht="15.75" customHeight="1">
      <c r="A6682" s="6" t="s">
        <v>16441</v>
      </c>
      <c r="B6682" s="6" t="s">
        <v>16441</v>
      </c>
      <c r="C6682" s="6" t="s">
        <v>15704</v>
      </c>
      <c r="D6682" s="6" t="s">
        <v>15710</v>
      </c>
      <c r="E6682" s="2">
        <v>1851504</v>
      </c>
      <c r="F6682" s="4" t="str">
        <f>IF(B6682=B6681,"",B6682)</f>
        <v>Sugito</v>
      </c>
    </row>
    <row r="6683" spans="1:6" ht="15.75" customHeight="1">
      <c r="A6683" s="5" t="str">
        <f ca="1">IFERROR(__xludf.DUMMYFUNCTION("GOOGLETRANSLATE(B35281,""en"",""pt"")"),"Sugito")</f>
        <v>Sugito</v>
      </c>
      <c r="B6683" s="17" t="s">
        <v>16441</v>
      </c>
      <c r="C6683" s="17" t="s">
        <v>15704</v>
      </c>
      <c r="D6683" s="17" t="s">
        <v>15710</v>
      </c>
      <c r="E6683" s="10">
        <v>1851504</v>
      </c>
      <c r="F6683" s="4" t="str">
        <f>IF(B6683=B6682,"",B6683)</f>
        <v/>
      </c>
    </row>
    <row r="6684" spans="1:6" ht="15.75" customHeight="1">
      <c r="A6684" s="6" t="s">
        <v>30115</v>
      </c>
      <c r="B6684" s="6" t="s">
        <v>30115</v>
      </c>
      <c r="C6684" s="6" t="s">
        <v>27788</v>
      </c>
      <c r="D6684" s="6" t="s">
        <v>7988</v>
      </c>
      <c r="E6684" s="2">
        <v>4225039</v>
      </c>
      <c r="F6684" s="4" t="str">
        <f>IF(B6684=B6683,"",B6684)</f>
        <v>Sugar Hill</v>
      </c>
    </row>
    <row r="6685" spans="1:6" ht="15.75" customHeight="1">
      <c r="A6685" s="5" t="str">
        <f ca="1">IFERROR(__xludf.DUMMYFUNCTION("GOOGLETRANSLATE(B43113,""en"",""pt"")"),"Sugar Hill")</f>
        <v>Sugar Hill</v>
      </c>
      <c r="B6685" s="17" t="s">
        <v>30115</v>
      </c>
      <c r="C6685" s="17" t="s">
        <v>27788</v>
      </c>
      <c r="D6685" s="17" t="s">
        <v>7988</v>
      </c>
      <c r="E6685" s="10">
        <v>4225039</v>
      </c>
      <c r="F6685" s="4" t="str">
        <f>IF(B6685=B6684,"",B6685)</f>
        <v/>
      </c>
    </row>
    <row r="6686" spans="1:6" ht="15.75" customHeight="1">
      <c r="A6686" s="5" t="str">
        <f ca="1">IFERROR(__xludf.DUMMYFUNCTION("GOOGLETRANSLATE(B38254,""en"",""pt"")"),"Sufālat samā'il")</f>
        <v>Sufālat samā'il</v>
      </c>
      <c r="B6686" s="17" t="s">
        <v>34842</v>
      </c>
      <c r="C6686" s="17" t="s">
        <v>19755</v>
      </c>
      <c r="D6686" s="17" t="s">
        <v>34843</v>
      </c>
      <c r="E6686" s="10">
        <v>286293</v>
      </c>
      <c r="F6686" s="4" t="str">
        <f>IF(B6686=B6685,"",B6686)</f>
        <v>Sufālat Samā’il</v>
      </c>
    </row>
    <row r="6687" spans="1:6" ht="15.75" customHeight="1">
      <c r="A6687" s="5" t="s">
        <v>19801</v>
      </c>
      <c r="B6687" s="6" t="s">
        <v>19802</v>
      </c>
      <c r="C6687" s="5" t="s">
        <v>19755</v>
      </c>
      <c r="D6687" s="5" t="s">
        <v>19759</v>
      </c>
      <c r="E6687" s="2">
        <v>286293</v>
      </c>
      <c r="F6687" s="4" t="str">
        <f>IF(B6687=B6686,"",B6687)</f>
        <v>SufÄlat SamÄâ€™il</v>
      </c>
    </row>
    <row r="6688" spans="1:6" ht="15.75" customHeight="1">
      <c r="A6688" s="6" t="s">
        <v>6716</v>
      </c>
      <c r="B6688" s="6" t="s">
        <v>6716</v>
      </c>
      <c r="C6688" s="6" t="s">
        <v>6495</v>
      </c>
      <c r="D6688" s="6" t="s">
        <v>6529</v>
      </c>
      <c r="E6688" s="2">
        <v>359796</v>
      </c>
      <c r="F6688" s="4" t="str">
        <f>IF(B6688=B6687,"",B6688)</f>
        <v>Suez</v>
      </c>
    </row>
    <row r="6689" spans="1:6" ht="15.75" customHeight="1">
      <c r="A6689" s="5" t="str">
        <f ca="1">IFERROR(__xludf.DUMMYFUNCTION("GOOGLETRANSLATE(B28895,""en"",""pt"")"),"Suez")</f>
        <v>Suez</v>
      </c>
      <c r="B6689" s="17" t="s">
        <v>6716</v>
      </c>
      <c r="C6689" s="17" t="s">
        <v>6495</v>
      </c>
      <c r="D6689" s="17" t="s">
        <v>6529</v>
      </c>
      <c r="E6689" s="10">
        <v>359796</v>
      </c>
      <c r="F6689" s="4" t="str">
        <f>IF(B6689=B6688,"",B6689)</f>
        <v/>
      </c>
    </row>
    <row r="6690" spans="1:6" ht="15.75" customHeight="1">
      <c r="A6690" s="5" t="str">
        <f ca="1">IFERROR(__xludf.DUMMYFUNCTION("GOOGLETRANSLATE(B35282,""en"",""pt"")"),"Sueyoshichō-ninokata")</f>
        <v>Sueyoshichō-ninokata</v>
      </c>
      <c r="B6690" s="17" t="s">
        <v>34305</v>
      </c>
      <c r="C6690" s="17" t="s">
        <v>15704</v>
      </c>
      <c r="D6690" s="17" t="s">
        <v>15719</v>
      </c>
      <c r="E6690" s="10">
        <v>1851542</v>
      </c>
      <c r="F6690" s="4" t="str">
        <f>IF(B6690=B6689,"",B6690)</f>
        <v>Sueyoshichō-ninokata</v>
      </c>
    </row>
    <row r="6691" spans="1:6" ht="15.75" customHeight="1">
      <c r="A6691" s="5" t="s">
        <v>16439</v>
      </c>
      <c r="B6691" s="6" t="s">
        <v>16440</v>
      </c>
      <c r="C6691" s="5" t="s">
        <v>15704</v>
      </c>
      <c r="D6691" s="5" t="s">
        <v>15719</v>
      </c>
      <c r="E6691" s="2">
        <v>1851542</v>
      </c>
      <c r="F6691" s="4" t="str">
        <f>IF(B6691=B6690,"",B6691)</f>
        <v>SueyoshichÅ-ninokata</v>
      </c>
    </row>
    <row r="6692" spans="1:6" ht="15.75" customHeight="1">
      <c r="A6692" s="6" t="s">
        <v>24828</v>
      </c>
      <c r="B6692" s="6" t="s">
        <v>24828</v>
      </c>
      <c r="C6692" s="6" t="s">
        <v>24200</v>
      </c>
      <c r="D6692" s="6" t="s">
        <v>21053</v>
      </c>
      <c r="E6692" s="2">
        <v>2510764</v>
      </c>
      <c r="F6692" s="4" t="str">
        <f>IF(B6692=B6691,"",B6692)</f>
        <v>Sueca</v>
      </c>
    </row>
    <row r="6693" spans="1:6" ht="15.75" customHeight="1">
      <c r="A6693" s="5" t="str">
        <f ca="1">IFERROR(__xludf.DUMMYFUNCTION("GOOGLETRANSLATE(B28981,""en"",""pt"")"),"Sueca")</f>
        <v>Sueca</v>
      </c>
      <c r="B6693" s="17" t="s">
        <v>24828</v>
      </c>
      <c r="C6693" s="17" t="s">
        <v>24200</v>
      </c>
      <c r="D6693" s="17" t="s">
        <v>21053</v>
      </c>
      <c r="E6693" s="10">
        <v>2510764</v>
      </c>
      <c r="F6693" s="4" t="str">
        <f>IF(B6693=B6692,"",B6693)</f>
        <v/>
      </c>
    </row>
    <row r="6694" spans="1:6" ht="15.75" customHeight="1">
      <c r="A6694" s="6" t="s">
        <v>30114</v>
      </c>
      <c r="B6694" s="6" t="s">
        <v>30114</v>
      </c>
      <c r="C6694" s="6" t="s">
        <v>27788</v>
      </c>
      <c r="D6694" s="6" t="s">
        <v>27794</v>
      </c>
      <c r="E6694" s="2">
        <v>4952320</v>
      </c>
      <c r="F6694" s="4" t="str">
        <f>IF(B6694=B6693,"",B6694)</f>
        <v>Sudbury</v>
      </c>
    </row>
    <row r="6695" spans="1:6" ht="15.75" customHeight="1">
      <c r="A6695" s="5" t="str">
        <f ca="1">IFERROR(__xludf.DUMMYFUNCTION("GOOGLETRANSLATE(B44032,""en"",""pt"")"),"Sudbury")</f>
        <v>Sudbury</v>
      </c>
      <c r="B6695" s="17" t="s">
        <v>30114</v>
      </c>
      <c r="C6695" s="17" t="s">
        <v>27788</v>
      </c>
      <c r="D6695" s="17" t="s">
        <v>27794</v>
      </c>
      <c r="E6695" s="10">
        <v>4952320</v>
      </c>
      <c r="F6695" s="4" t="str">
        <f>IF(B6695=B6694,"",B6695)</f>
        <v/>
      </c>
    </row>
    <row r="6696" spans="1:6" ht="15.75" customHeight="1">
      <c r="A6696" s="5" t="s">
        <v>7838</v>
      </c>
      <c r="B6696" s="6" t="s">
        <v>7839</v>
      </c>
      <c r="C6696" s="5" t="s">
        <v>7052</v>
      </c>
      <c r="D6696" s="5" t="s">
        <v>7058</v>
      </c>
      <c r="E6696" s="2">
        <v>2973745</v>
      </c>
      <c r="F6696" s="4" t="str">
        <f>IF(B6696=B6695,"",B6696)</f>
        <v>Sucy-en-Brie</v>
      </c>
    </row>
    <row r="6697" spans="1:6" ht="15.75" customHeight="1">
      <c r="A6697" s="5" t="str">
        <f ca="1">IFERROR(__xludf.DUMMYFUNCTION("GOOGLETRANSLATE(B29743,""en"",""pt"")"),"Suty-en-Brie")</f>
        <v>Suty-en-Brie</v>
      </c>
      <c r="B6697" s="17" t="s">
        <v>7839</v>
      </c>
      <c r="C6697" s="17" t="s">
        <v>7052</v>
      </c>
      <c r="D6697" s="17" t="s">
        <v>32531</v>
      </c>
      <c r="E6697" s="10">
        <v>2973745</v>
      </c>
      <c r="F6697" s="4" t="str">
        <f>IF(B6697=B6696,"",B6697)</f>
        <v/>
      </c>
    </row>
    <row r="6698" spans="1:6" ht="15.75" customHeight="1">
      <c r="A6698" s="6" t="s">
        <v>1828</v>
      </c>
      <c r="B6698" s="6" t="s">
        <v>1829</v>
      </c>
      <c r="C6698" s="6" t="s">
        <v>1806</v>
      </c>
      <c r="D6698" s="6" t="s">
        <v>1830</v>
      </c>
      <c r="E6698" s="2">
        <v>3903987</v>
      </c>
      <c r="F6698" s="4" t="str">
        <f>IF(B6698=B6697,"",B6698)</f>
        <v>Sucre</v>
      </c>
    </row>
    <row r="6699" spans="1:6" ht="15.75" customHeight="1">
      <c r="A6699" s="6" t="s">
        <v>1828</v>
      </c>
      <c r="B6699" s="6" t="s">
        <v>1829</v>
      </c>
      <c r="C6699" s="6" t="s">
        <v>5348</v>
      </c>
      <c r="D6699" s="6" t="s">
        <v>1829</v>
      </c>
      <c r="E6699" s="2">
        <v>3667728</v>
      </c>
      <c r="F6699" s="4" t="str">
        <f>IF(B6699=B6698,"",B6699)</f>
        <v/>
      </c>
    </row>
    <row r="6700" spans="1:6" ht="15.75" customHeight="1">
      <c r="A6700" s="6" t="s">
        <v>1828</v>
      </c>
      <c r="B6700" s="6" t="s">
        <v>1829</v>
      </c>
      <c r="C6700" s="6" t="s">
        <v>6398</v>
      </c>
      <c r="D6700" s="6" t="s">
        <v>6408</v>
      </c>
      <c r="E6700" s="2">
        <v>3650960</v>
      </c>
      <c r="F6700" s="4" t="str">
        <f>IF(B6700=B6699,"",B6700)</f>
        <v/>
      </c>
    </row>
    <row r="6701" spans="1:6" ht="15.75" customHeight="1">
      <c r="A6701" s="5" t="str">
        <f ca="1">IFERROR(__xludf.DUMMYFUNCTION("GOOGLETRANSLATE(B24123,""en"",""pt"")"),"SUCRE")</f>
        <v>SUCRE</v>
      </c>
      <c r="B6701" s="17" t="s">
        <v>1829</v>
      </c>
      <c r="C6701" s="17" t="s">
        <v>1806</v>
      </c>
      <c r="D6701" s="17" t="s">
        <v>1830</v>
      </c>
      <c r="E6701" s="10">
        <v>3903987</v>
      </c>
      <c r="F6701" s="4" t="str">
        <f>IF(B6701=B6700,"",B6701)</f>
        <v/>
      </c>
    </row>
    <row r="6702" spans="1:6" ht="15.75" customHeight="1">
      <c r="A6702" s="5" t="str">
        <f ca="1">IFERROR(__xludf.DUMMYFUNCTION("GOOGLETRANSLATE(B26868,""en"",""pt"")"),"SUCRE")</f>
        <v>SUCRE</v>
      </c>
      <c r="B6702" s="17" t="s">
        <v>1829</v>
      </c>
      <c r="C6702" s="17" t="s">
        <v>5348</v>
      </c>
      <c r="D6702" s="17" t="s">
        <v>1829</v>
      </c>
      <c r="E6702" s="10">
        <v>3667728</v>
      </c>
      <c r="F6702" s="4" t="str">
        <f>IF(B6702=B6701,"",B6702)</f>
        <v/>
      </c>
    </row>
    <row r="6703" spans="1:6" ht="15.75" customHeight="1">
      <c r="A6703" s="5" t="str">
        <f ca="1">IFERROR(__xludf.DUMMYFUNCTION("GOOGLETRANSLATE(B28753,""en"",""pt"")"),"SUCRE")</f>
        <v>SUCRE</v>
      </c>
      <c r="B6703" s="17" t="s">
        <v>1829</v>
      </c>
      <c r="C6703" s="17" t="s">
        <v>6398</v>
      </c>
      <c r="D6703" s="17" t="s">
        <v>32234</v>
      </c>
      <c r="E6703" s="10">
        <v>3650960</v>
      </c>
      <c r="F6703" s="4" t="str">
        <f>IF(B6703=B6702,"",B6703)</f>
        <v/>
      </c>
    </row>
    <row r="6704" spans="1:6" ht="15.75" customHeight="1">
      <c r="A6704" s="6" t="s">
        <v>22037</v>
      </c>
      <c r="B6704" s="6" t="s">
        <v>21885</v>
      </c>
      <c r="C6704" s="6" t="s">
        <v>21824</v>
      </c>
      <c r="D6704" s="6" t="s">
        <v>21885</v>
      </c>
      <c r="E6704" s="2">
        <v>665850</v>
      </c>
      <c r="F6704" s="4" t="str">
        <f>IF(B6704=B6703,"",B6704)</f>
        <v>Suceava</v>
      </c>
    </row>
    <row r="6705" spans="1:6" ht="15.75" customHeight="1">
      <c r="A6705" s="5" t="str">
        <f ca="1">IFERROR(__xludf.DUMMYFUNCTION("GOOGLETRANSLATE(B39742,""en"",""pt"")"),"Sucuva")</f>
        <v>Sucuva</v>
      </c>
      <c r="B6705" s="17" t="s">
        <v>21885</v>
      </c>
      <c r="C6705" s="17" t="s">
        <v>21824</v>
      </c>
      <c r="D6705" s="17" t="s">
        <v>21885</v>
      </c>
      <c r="E6705" s="10">
        <v>665850</v>
      </c>
      <c r="F6705" s="4" t="str">
        <f>IF(B6705=B6704,"",B6705)</f>
        <v/>
      </c>
    </row>
    <row r="6706" spans="1:6" ht="15.75" customHeight="1">
      <c r="A6706" s="6" t="s">
        <v>23659</v>
      </c>
      <c r="B6706" s="6" t="s">
        <v>23659</v>
      </c>
      <c r="C6706" s="6" t="s">
        <v>23602</v>
      </c>
      <c r="D6706" s="6" t="s">
        <v>23610</v>
      </c>
      <c r="E6706" s="2">
        <v>3189595</v>
      </c>
      <c r="F6706" s="4" t="str">
        <f>IF(B6706=B6705,"",B6706)</f>
        <v>Subotica</v>
      </c>
    </row>
    <row r="6707" spans="1:6" ht="15.75" customHeight="1">
      <c r="A6707" s="5" t="str">
        <f ca="1">IFERROR(__xludf.DUMMYFUNCTION("GOOGLETRANSLATE(B39895,""en"",""pt"")"),"Subotica")</f>
        <v>Subotica</v>
      </c>
      <c r="B6707" s="17" t="s">
        <v>23659</v>
      </c>
      <c r="C6707" s="17" t="s">
        <v>23602</v>
      </c>
      <c r="D6707" s="17" t="s">
        <v>23610</v>
      </c>
      <c r="E6707" s="10">
        <v>3189595</v>
      </c>
      <c r="F6707" s="4" t="str">
        <f>IF(B6707=B6706,"",B6707)</f>
        <v/>
      </c>
    </row>
    <row r="6708" spans="1:6" ht="15.75" customHeight="1">
      <c r="A6708" s="6" t="s">
        <v>21018</v>
      </c>
      <c r="B6708" s="6" t="s">
        <v>21018</v>
      </c>
      <c r="C6708" s="6" t="s">
        <v>20598</v>
      </c>
      <c r="D6708" s="6" t="s">
        <v>20599</v>
      </c>
      <c r="E6708" s="2">
        <v>1685577</v>
      </c>
      <c r="F6708" s="4" t="str">
        <f>IF(B6708=B6707,"",B6708)</f>
        <v>Subic</v>
      </c>
    </row>
    <row r="6709" spans="1:6" ht="15.75" customHeight="1">
      <c r="A6709" s="5" t="str">
        <f ca="1">IFERROR(__xludf.DUMMYFUNCTION("GOOGLETRANSLATE(B38470,""en"",""pt"")"),"Subic")</f>
        <v>Subic</v>
      </c>
      <c r="B6709" s="17" t="s">
        <v>21018</v>
      </c>
      <c r="C6709" s="17" t="s">
        <v>20598</v>
      </c>
      <c r="D6709" s="17" t="s">
        <v>20599</v>
      </c>
      <c r="E6709" s="10">
        <v>1685577</v>
      </c>
      <c r="F6709" s="4" t="str">
        <f>IF(B6709=B6708,"",B6709)</f>
        <v/>
      </c>
    </row>
    <row r="6710" spans="1:6" ht="15.75" customHeight="1">
      <c r="A6710" s="5" t="str">
        <f ca="1">IFERROR(__xludf.DUMMYFUNCTION("GOOGLETRANSLATE(B41401,""en"",""pt"")"),"Subaykhān")</f>
        <v>Subaykhān</v>
      </c>
      <c r="B6710" s="17" t="s">
        <v>35728</v>
      </c>
      <c r="C6710" s="17" t="s">
        <v>25366</v>
      </c>
      <c r="D6710" s="17" t="s">
        <v>25387</v>
      </c>
      <c r="E6710" s="10">
        <v>164025</v>
      </c>
      <c r="F6710" s="4" t="str">
        <f>IF(B6710=B6709,"",B6710)</f>
        <v>Subaykhān</v>
      </c>
    </row>
    <row r="6711" spans="1:6" ht="15.75" customHeight="1">
      <c r="A6711" s="5" t="s">
        <v>25487</v>
      </c>
      <c r="B6711" s="6" t="s">
        <v>25488</v>
      </c>
      <c r="C6711" s="5" t="s">
        <v>25366</v>
      </c>
      <c r="D6711" s="5" t="s">
        <v>25387</v>
      </c>
      <c r="E6711" s="2">
        <v>164025</v>
      </c>
      <c r="F6711" s="4" t="str">
        <f>IF(B6711=B6710,"",B6711)</f>
        <v>SubaykhÄn</v>
      </c>
    </row>
    <row r="6712" spans="1:6" ht="15.75" customHeight="1">
      <c r="A6712" s="5" t="s">
        <v>17571</v>
      </c>
      <c r="B6712" s="6" t="s">
        <v>17571</v>
      </c>
      <c r="C6712" s="5" t="s">
        <v>17432</v>
      </c>
      <c r="D6712" s="5" t="s">
        <v>17446</v>
      </c>
      <c r="E6712" s="2">
        <v>8504423</v>
      </c>
      <c r="F6712" s="4" t="str">
        <f>IF(B6712=B6711,"",B6712)</f>
        <v>Subang Jaya</v>
      </c>
    </row>
    <row r="6713" spans="1:6" ht="15.75" customHeight="1">
      <c r="A6713" s="5" t="str">
        <f ca="1">IFERROR(__xludf.DUMMYFUNCTION("GOOGLETRANSLATE(B37537,""en"",""pt"")"),"Subang Jaya")</f>
        <v>Subang Jaya</v>
      </c>
      <c r="B6713" s="17" t="s">
        <v>17571</v>
      </c>
      <c r="C6713" s="17" t="s">
        <v>17432</v>
      </c>
      <c r="D6713" s="17" t="s">
        <v>17446</v>
      </c>
      <c r="E6713" s="10">
        <v>8504423</v>
      </c>
      <c r="F6713" s="4" t="str">
        <f>IF(B6713=B6712,"",B6713)</f>
        <v/>
      </c>
    </row>
    <row r="6714" spans="1:6" ht="15.75" customHeight="1">
      <c r="A6714" s="6" t="s">
        <v>26706</v>
      </c>
      <c r="B6714" s="6" t="s">
        <v>26707</v>
      </c>
      <c r="C6714" s="6" t="s">
        <v>26201</v>
      </c>
      <c r="D6714" s="6" t="s">
        <v>26345</v>
      </c>
      <c r="E6714" s="2">
        <v>739209</v>
      </c>
      <c r="F6714" s="4" t="str">
        <f>IF(B6714=B6713,"",B6714)</f>
        <v>SuÅŸehri</v>
      </c>
    </row>
    <row r="6715" spans="1:6" ht="15.75" customHeight="1">
      <c r="A6715" s="6" t="s">
        <v>21017</v>
      </c>
      <c r="B6715" s="6" t="s">
        <v>21017</v>
      </c>
      <c r="C6715" s="6" t="s">
        <v>20598</v>
      </c>
      <c r="D6715" s="6" t="s">
        <v>20627</v>
      </c>
      <c r="E6715" s="2">
        <v>1685622</v>
      </c>
      <c r="F6715" s="4" t="str">
        <f>IF(B6715=B6714,"",B6715)</f>
        <v>Suay</v>
      </c>
    </row>
    <row r="6716" spans="1:6" ht="15.75" customHeight="1">
      <c r="A6716" s="5" t="str">
        <f ca="1">IFERROR(__xludf.DUMMYFUNCTION("GOOGLETRANSLATE(B38471,""en"",""pt"")"),"Suay")</f>
        <v>Suay</v>
      </c>
      <c r="B6716" s="17" t="s">
        <v>21017</v>
      </c>
      <c r="C6716" s="17" t="s">
        <v>20598</v>
      </c>
      <c r="D6716" s="17" t="s">
        <v>20627</v>
      </c>
      <c r="E6716" s="10">
        <v>1685622</v>
      </c>
      <c r="F6716" s="4" t="str">
        <f>IF(B6716=B6715,"",B6716)</f>
        <v/>
      </c>
    </row>
    <row r="6717" spans="1:6" ht="15.75" customHeight="1">
      <c r="A6717" s="5" t="str">
        <f ca="1">IFERROR(__xludf.DUMMYFUNCTION("GOOGLETRANSLATE(B32073,""en"",""pt"")"),"Suār")</f>
        <v>Suār</v>
      </c>
      <c r="B6717" s="17" t="s">
        <v>33043</v>
      </c>
      <c r="C6717" s="17" t="s">
        <v>10178</v>
      </c>
      <c r="D6717" s="17" t="s">
        <v>10193</v>
      </c>
      <c r="E6717" s="10">
        <v>1255597</v>
      </c>
      <c r="F6717" s="4" t="str">
        <f>IF(B6717=B6716,"",B6717)</f>
        <v>Suār</v>
      </c>
    </row>
    <row r="6718" spans="1:6" ht="15.75" customHeight="1">
      <c r="A6718" s="6" t="s">
        <v>6394</v>
      </c>
      <c r="B6718" s="6" t="s">
        <v>6394</v>
      </c>
      <c r="C6718" s="6" t="s">
        <v>6380</v>
      </c>
      <c r="D6718" s="6" t="s">
        <v>6395</v>
      </c>
      <c r="E6718" s="2">
        <v>1626459</v>
      </c>
      <c r="F6718" s="4" t="str">
        <f>IF(B6718=B6717,"",B6718)</f>
        <v>Suai</v>
      </c>
    </row>
    <row r="6719" spans="1:6" ht="15.75" customHeight="1">
      <c r="A6719" s="5" t="str">
        <f ca="1">IFERROR(__xludf.DUMMYFUNCTION("GOOGLETRANSLATE(B41756,""en"",""pt"")"),"Suai")</f>
        <v>Suai</v>
      </c>
      <c r="B6719" s="17" t="s">
        <v>6394</v>
      </c>
      <c r="C6719" s="17" t="s">
        <v>6380</v>
      </c>
      <c r="D6719" s="17" t="s">
        <v>6395</v>
      </c>
      <c r="E6719" s="10">
        <v>1626459</v>
      </c>
      <c r="F6719" s="4" t="str">
        <f>IF(B6719=B6718,"",B6719)</f>
        <v/>
      </c>
    </row>
    <row r="6720" spans="1:6" ht="15.75" customHeight="1">
      <c r="A6720" s="6" t="s">
        <v>13456</v>
      </c>
      <c r="B6720" s="6" t="s">
        <v>13457</v>
      </c>
      <c r="C6720" s="6" t="s">
        <v>10178</v>
      </c>
      <c r="D6720" s="6" t="s">
        <v>10193</v>
      </c>
      <c r="E6720" s="2">
        <v>1255597</v>
      </c>
      <c r="F6720" s="4" t="str">
        <f>IF(B6720=B6719,"",B6720)</f>
        <v>SuÄr</v>
      </c>
    </row>
    <row r="6721" spans="1:6" ht="15.75" customHeight="1">
      <c r="A6721" s="5" t="s">
        <v>9186</v>
      </c>
      <c r="B6721" s="6" t="s">
        <v>9186</v>
      </c>
      <c r="C6721" s="5" t="s">
        <v>8028</v>
      </c>
      <c r="D6721" s="5" t="s">
        <v>8031</v>
      </c>
      <c r="E6721" s="2">
        <v>6930414</v>
      </c>
      <c r="F6721" s="4" t="str">
        <f>IF(B6721=B6720,"",B6721)</f>
        <v>Stuttgart-Ost</v>
      </c>
    </row>
    <row r="6722" spans="1:6" ht="15.75" customHeight="1">
      <c r="A6722" s="5" t="str">
        <f ca="1">IFERROR(__xludf.DUMMYFUNCTION("GOOGLETRANSLATE(B28373,""en"",""pt"")"),"Stuttgart-Ost")</f>
        <v>Stuttgart-Ost</v>
      </c>
      <c r="B6722" s="17" t="s">
        <v>9186</v>
      </c>
      <c r="C6722" s="17" t="s">
        <v>8028</v>
      </c>
      <c r="D6722" s="17" t="s">
        <v>32013</v>
      </c>
      <c r="E6722" s="10">
        <v>6930414</v>
      </c>
      <c r="F6722" s="4" t="str">
        <f>IF(B6722=B6721,"",B6722)</f>
        <v/>
      </c>
    </row>
    <row r="6723" spans="1:6" ht="15.75" customHeight="1">
      <c r="A6723" s="5" t="str">
        <f ca="1">IFERROR(__xludf.DUMMYFUNCTION("GOOGLETRANSLATE(B27743,""en"",""pt"")"),"Stuttgart Mühlhausen")</f>
        <v>Stuttgart Mühlhausen</v>
      </c>
      <c r="B6723" s="17" t="s">
        <v>32054</v>
      </c>
      <c r="C6723" s="17" t="s">
        <v>8028</v>
      </c>
      <c r="D6723" s="17" t="s">
        <v>32013</v>
      </c>
      <c r="E6723" s="10">
        <v>2867993</v>
      </c>
      <c r="F6723" s="4" t="str">
        <f>IF(B6723=B6722,"",B6723)</f>
        <v>Stuttgart Mühlhausen</v>
      </c>
    </row>
    <row r="6724" spans="1:6" ht="15.75" customHeight="1">
      <c r="A6724" s="5" t="s">
        <v>9184</v>
      </c>
      <c r="B6724" s="6" t="s">
        <v>9185</v>
      </c>
      <c r="C6724" s="5" t="s">
        <v>8028</v>
      </c>
      <c r="D6724" s="5" t="s">
        <v>8031</v>
      </c>
      <c r="E6724" s="2">
        <v>2867993</v>
      </c>
      <c r="F6724" s="4" t="str">
        <f>IF(B6724=B6723,"",B6724)</f>
        <v>Stuttgart MÃ¼hlhausen</v>
      </c>
    </row>
    <row r="6725" spans="1:6" ht="15.75" customHeight="1">
      <c r="A6725" s="5" t="s">
        <v>9183</v>
      </c>
      <c r="B6725" s="6" t="s">
        <v>9183</v>
      </c>
      <c r="C6725" s="5" t="s">
        <v>8028</v>
      </c>
      <c r="D6725" s="5" t="s">
        <v>8031</v>
      </c>
      <c r="E6725" s="2">
        <v>2927043</v>
      </c>
      <c r="F6725" s="4" t="str">
        <f>IF(B6725=B6724,"",B6725)</f>
        <v>Stuttgart Feuerbach</v>
      </c>
    </row>
    <row r="6726" spans="1:6" ht="15.75" customHeight="1">
      <c r="A6726" s="5" t="str">
        <f ca="1">IFERROR(__xludf.DUMMYFUNCTION("GOOGLETRANSLATE(B28106,""en"",""pt"")"),"Stuttgart Feuerbach")</f>
        <v>Stuttgart Feuerbach</v>
      </c>
      <c r="B6726" s="17" t="s">
        <v>9183</v>
      </c>
      <c r="C6726" s="17" t="s">
        <v>8028</v>
      </c>
      <c r="D6726" s="17" t="s">
        <v>32013</v>
      </c>
      <c r="E6726" s="10">
        <v>2927043</v>
      </c>
      <c r="F6726" s="4" t="str">
        <f>IF(B6726=B6725,"",B6726)</f>
        <v/>
      </c>
    </row>
    <row r="6727" spans="1:6" ht="15.75" customHeight="1">
      <c r="A6727" s="6" t="s">
        <v>9182</v>
      </c>
      <c r="B6727" s="6" t="s">
        <v>9182</v>
      </c>
      <c r="C6727" s="6" t="s">
        <v>8028</v>
      </c>
      <c r="D6727" s="6" t="s">
        <v>8031</v>
      </c>
      <c r="E6727" s="2">
        <v>2825297</v>
      </c>
      <c r="F6727" s="4" t="str">
        <f>IF(B6727=B6726,"",B6727)</f>
        <v>Stuttgart</v>
      </c>
    </row>
    <row r="6728" spans="1:6" ht="15.75" customHeight="1">
      <c r="A6728" s="5" t="str">
        <f ca="1">IFERROR(__xludf.DUMMYFUNCTION("GOOGLETRANSLATE(B27489,""en"",""pt"")"),"Stuttgart")</f>
        <v>Stuttgart</v>
      </c>
      <c r="B6728" s="17" t="s">
        <v>9182</v>
      </c>
      <c r="C6728" s="17" t="s">
        <v>8028</v>
      </c>
      <c r="D6728" s="17" t="s">
        <v>32013</v>
      </c>
      <c r="E6728" s="10">
        <v>2825297</v>
      </c>
      <c r="F6728" s="4" t="str">
        <f>IF(B6728=B6727,"",B6728)</f>
        <v/>
      </c>
    </row>
    <row r="6729" spans="1:6" ht="15.75" customHeight="1">
      <c r="A6729" s="5" t="s">
        <v>23988</v>
      </c>
      <c r="B6729" s="6" t="s">
        <v>23988</v>
      </c>
      <c r="C6729" s="5" t="s">
        <v>23842</v>
      </c>
      <c r="D6729" s="5" t="s">
        <v>23843</v>
      </c>
      <c r="E6729" s="2">
        <v>951650</v>
      </c>
      <c r="F6729" s="4" t="str">
        <f>IF(B6729=B6728,"",B6729)</f>
        <v>Stutterheim</v>
      </c>
    </row>
    <row r="6730" spans="1:6" ht="15.75" customHeight="1">
      <c r="A6730" s="5" t="str">
        <f ca="1">IFERROR(__xludf.DUMMYFUNCTION("GOOGLETRANSLATE(B45869,""en"",""pt"")"),"Stutterheim")</f>
        <v>Stutterheim</v>
      </c>
      <c r="B6730" s="17" t="s">
        <v>23988</v>
      </c>
      <c r="C6730" s="17" t="s">
        <v>23842</v>
      </c>
      <c r="D6730" s="17" t="s">
        <v>23843</v>
      </c>
      <c r="E6730" s="10">
        <v>951650</v>
      </c>
      <c r="F6730" s="4" t="str">
        <f>IF(B6730=B6729,"",B6730)</f>
        <v/>
      </c>
    </row>
    <row r="6731" spans="1:6" ht="15.75" customHeight="1">
      <c r="A6731" s="6" t="s">
        <v>23143</v>
      </c>
      <c r="B6731" s="6" t="s">
        <v>23143</v>
      </c>
      <c r="C6731" s="6" t="s">
        <v>22070</v>
      </c>
      <c r="D6731" s="6" t="s">
        <v>22119</v>
      </c>
      <c r="E6731" s="2">
        <v>486968</v>
      </c>
      <c r="F6731" s="4" t="str">
        <f>IF(B6731=B6730,"",B6731)</f>
        <v>Stupino</v>
      </c>
    </row>
    <row r="6732" spans="1:6" ht="15.75" customHeight="1">
      <c r="A6732" s="5" t="str">
        <f ca="1">IFERROR(__xludf.DUMMYFUNCTION("GOOGLETRANSLATE(B40058,""en"",""pt"")"),"Stupino")</f>
        <v>Stupino</v>
      </c>
      <c r="B6732" s="17" t="s">
        <v>23143</v>
      </c>
      <c r="C6732" s="17" t="s">
        <v>22070</v>
      </c>
      <c r="D6732" s="17" t="s">
        <v>22119</v>
      </c>
      <c r="E6732" s="10">
        <v>486968</v>
      </c>
      <c r="F6732" s="4" t="str">
        <f>IF(B6732=B6731,"",B6732)</f>
        <v/>
      </c>
    </row>
    <row r="6733" spans="1:6" ht="15.75" customHeight="1">
      <c r="A6733" s="6" t="s">
        <v>3874</v>
      </c>
      <c r="B6733" s="6" t="s">
        <v>3875</v>
      </c>
      <c r="C6733" s="6" t="s">
        <v>3838</v>
      </c>
      <c r="D6733" s="6" t="s">
        <v>3875</v>
      </c>
      <c r="E6733" s="2">
        <v>1822029</v>
      </c>
      <c r="F6733" s="4" t="str">
        <f>IF(B6733=B6732,"",B6733)</f>
        <v>Stung Treng</v>
      </c>
    </row>
    <row r="6734" spans="1:6" ht="15.75" customHeight="1">
      <c r="A6734" s="5" t="str">
        <f ca="1">IFERROR(__xludf.DUMMYFUNCTION("GOOGLETRANSLATE(B35963,""en"",""pt"")"),"Treng")</f>
        <v>Treng</v>
      </c>
      <c r="B6734" s="17" t="s">
        <v>3875</v>
      </c>
      <c r="C6734" s="17" t="s">
        <v>3838</v>
      </c>
      <c r="D6734" s="17" t="s">
        <v>3875</v>
      </c>
      <c r="E6734" s="10">
        <v>1822029</v>
      </c>
      <c r="F6734" s="4" t="str">
        <f>IF(B6734=B6733,"",B6734)</f>
        <v/>
      </c>
    </row>
    <row r="6735" spans="1:6" ht="15.75" customHeight="1">
      <c r="A6735" s="6" t="s">
        <v>9181</v>
      </c>
      <c r="B6735" s="6" t="s">
        <v>9181</v>
      </c>
      <c r="C6735" s="6" t="s">
        <v>8028</v>
      </c>
      <c r="D6735" s="6" t="s">
        <v>8034</v>
      </c>
      <c r="E6735" s="2">
        <v>2825422</v>
      </c>
      <c r="F6735" s="4" t="str">
        <f>IF(B6735=B6734,"",B6735)</f>
        <v>Stuhr</v>
      </c>
    </row>
    <row r="6736" spans="1:6" ht="15.75" customHeight="1">
      <c r="A6736" s="5" t="str">
        <f ca="1">IFERROR(__xludf.DUMMYFUNCTION("GOOGLETRANSLATE(B27490,""en"",""pt"")"),"Stuhr")</f>
        <v>Stuhr</v>
      </c>
      <c r="B6736" s="17" t="s">
        <v>9181</v>
      </c>
      <c r="C6736" s="17" t="s">
        <v>8028</v>
      </c>
      <c r="D6736" s="17" t="s">
        <v>8034</v>
      </c>
      <c r="E6736" s="10">
        <v>2825422</v>
      </c>
      <c r="F6736" s="4" t="str">
        <f>IF(B6736=B6735,"",B6736)</f>
        <v/>
      </c>
    </row>
    <row r="6737" spans="1:6" ht="15.75" customHeight="1">
      <c r="A6737" s="6" t="s">
        <v>30113</v>
      </c>
      <c r="B6737" s="6" t="s">
        <v>30113</v>
      </c>
      <c r="C6737" s="6" t="s">
        <v>27788</v>
      </c>
      <c r="D6737" s="6" t="s">
        <v>5468</v>
      </c>
      <c r="E6737" s="2">
        <v>4174201</v>
      </c>
      <c r="F6737" s="4" t="str">
        <f>IF(B6737=B6736,"",B6737)</f>
        <v>Stuart</v>
      </c>
    </row>
    <row r="6738" spans="1:6" ht="15.75" customHeight="1">
      <c r="A6738" s="5" t="str">
        <f ca="1">IFERROR(__xludf.DUMMYFUNCTION("GOOGLETRANSLATE(B43020,""en"",""pt"")"),"Stuart")</f>
        <v>Stuart</v>
      </c>
      <c r="B6738" s="17" t="s">
        <v>30113</v>
      </c>
      <c r="C6738" s="17" t="s">
        <v>27788</v>
      </c>
      <c r="D6738" s="17" t="s">
        <v>5468</v>
      </c>
      <c r="E6738" s="10">
        <v>4174201</v>
      </c>
      <c r="F6738" s="4" t="str">
        <f>IF(B6738=B6737,"",B6738)</f>
        <v/>
      </c>
    </row>
    <row r="6739" spans="1:6" ht="15.75" customHeight="1">
      <c r="A6739" s="5" t="s">
        <v>21512</v>
      </c>
      <c r="B6739" s="6" t="s">
        <v>21512</v>
      </c>
      <c r="C6739" s="5" t="s">
        <v>21064</v>
      </c>
      <c r="D6739" s="5" t="s">
        <v>21165</v>
      </c>
      <c r="E6739" s="2">
        <v>3084415</v>
      </c>
      <c r="F6739" s="4" t="str">
        <f>IF(B6739=B6738,"",B6739)</f>
        <v>Strzelce Opolskie</v>
      </c>
    </row>
    <row r="6740" spans="1:6" ht="15.75" customHeight="1">
      <c r="A6740" s="5" t="str">
        <f ca="1">IFERROR(__xludf.DUMMYFUNCTION("GOOGLETRANSLATE(B39344,""en"",""pt"")"),"Strzelce Opolskie")</f>
        <v>Strzelce Opolskie</v>
      </c>
      <c r="B6740" s="17" t="s">
        <v>21512</v>
      </c>
      <c r="C6740" s="17" t="s">
        <v>21064</v>
      </c>
      <c r="D6740" s="17" t="s">
        <v>21165</v>
      </c>
      <c r="E6740" s="10">
        <v>3084415</v>
      </c>
      <c r="F6740" s="4" t="str">
        <f>IF(B6740=B6739,"",B6740)</f>
        <v/>
      </c>
    </row>
    <row r="6741" spans="1:6" ht="15.75" customHeight="1">
      <c r="A6741" s="6" t="s">
        <v>21511</v>
      </c>
      <c r="B6741" s="6" t="s">
        <v>21511</v>
      </c>
      <c r="C6741" s="6" t="s">
        <v>21064</v>
      </c>
      <c r="D6741" s="6" t="s">
        <v>21118</v>
      </c>
      <c r="E6741" s="2">
        <v>3084440</v>
      </c>
      <c r="F6741" s="4" t="str">
        <f>IF(B6741=B6740,"",B6741)</f>
        <v>Strzegom</v>
      </c>
    </row>
    <row r="6742" spans="1:6" ht="15.75" customHeight="1">
      <c r="A6742" s="5" t="str">
        <f ca="1">IFERROR(__xludf.DUMMYFUNCTION("GOOGLETRANSLATE(B39345,""en"",""pt"")"),"Strzegom")</f>
        <v>Strzegom</v>
      </c>
      <c r="B6742" s="17" t="s">
        <v>21511</v>
      </c>
      <c r="C6742" s="17" t="s">
        <v>21064</v>
      </c>
      <c r="D6742" s="17" t="s">
        <v>21118</v>
      </c>
      <c r="E6742" s="10">
        <v>3084440</v>
      </c>
      <c r="F6742" s="4" t="str">
        <f>IF(B6742=B6741,"",B6742)</f>
        <v/>
      </c>
    </row>
    <row r="6743" spans="1:6" ht="15.75" customHeight="1">
      <c r="A6743" s="6" t="s">
        <v>27154</v>
      </c>
      <c r="B6743" s="6" t="s">
        <v>27154</v>
      </c>
      <c r="C6743" s="6" t="s">
        <v>26870</v>
      </c>
      <c r="D6743" s="6" t="s">
        <v>26916</v>
      </c>
      <c r="E6743" s="2">
        <v>692372</v>
      </c>
      <c r="F6743" s="4" t="str">
        <f>IF(B6743=B6742,"",B6743)</f>
        <v>Stryi</v>
      </c>
    </row>
    <row r="6744" spans="1:6" ht="15.75" customHeight="1">
      <c r="A6744" s="5" t="str">
        <f ca="1">IFERROR(__xludf.DUMMYFUNCTION("GOOGLETRANSLATE(B42512,""en"",""pt"")"),"Stryi")</f>
        <v>Stryi</v>
      </c>
      <c r="B6744" s="17" t="s">
        <v>27154</v>
      </c>
      <c r="C6744" s="17" t="s">
        <v>26870</v>
      </c>
      <c r="D6744" s="17" t="s">
        <v>26916</v>
      </c>
      <c r="E6744" s="10">
        <v>692372</v>
      </c>
      <c r="F6744" s="4" t="str">
        <f>IF(B6744=B6743,"",B6744)</f>
        <v/>
      </c>
    </row>
    <row r="6745" spans="1:6" ht="15.75" customHeight="1">
      <c r="A6745" s="6" t="s">
        <v>23142</v>
      </c>
      <c r="B6745" s="6" t="s">
        <v>23142</v>
      </c>
      <c r="C6745" s="6" t="s">
        <v>22070</v>
      </c>
      <c r="D6745" s="6" t="s">
        <v>22113</v>
      </c>
      <c r="E6745" s="2">
        <v>487095</v>
      </c>
      <c r="F6745" s="4" t="str">
        <f>IF(B6745=B6744,"",B6745)</f>
        <v>Strunino</v>
      </c>
    </row>
    <row r="6746" spans="1:6" ht="15.75" customHeight="1">
      <c r="A6746" s="5" t="str">
        <f ca="1">IFERROR(__xludf.DUMMYFUNCTION("GOOGLETRANSLATE(B40059,""en"",""pt"")"),"Strunino")</f>
        <v>Strunino</v>
      </c>
      <c r="B6746" s="17" t="s">
        <v>23142</v>
      </c>
      <c r="C6746" s="17" t="s">
        <v>22070</v>
      </c>
      <c r="D6746" s="17" t="s">
        <v>22113</v>
      </c>
      <c r="E6746" s="10">
        <v>487095</v>
      </c>
      <c r="F6746" s="4" t="str">
        <f>IF(B6746=B6745,"",B6746)</f>
        <v/>
      </c>
    </row>
    <row r="6747" spans="1:6" ht="15.75" customHeight="1">
      <c r="A6747" s="6" t="s">
        <v>17286</v>
      </c>
      <c r="B6747" s="6" t="s">
        <v>17286</v>
      </c>
      <c r="C6747" s="6" t="s">
        <v>17221</v>
      </c>
      <c r="D6747" s="6" t="s">
        <v>17286</v>
      </c>
      <c r="E6747" s="2">
        <v>785380</v>
      </c>
      <c r="F6747" s="4" t="str">
        <f>IF(B6747=B6746,"",B6747)</f>
        <v>Strumica</v>
      </c>
    </row>
    <row r="6748" spans="1:6" ht="15.75" customHeight="1">
      <c r="A6748" s="5" t="str">
        <f ca="1">IFERROR(__xludf.DUMMYFUNCTION("GOOGLETRANSLATE(B36647,""en"",""pt"")"),"Strumica")</f>
        <v>Strumica</v>
      </c>
      <c r="B6748" s="17" t="s">
        <v>17286</v>
      </c>
      <c r="C6748" s="17" t="s">
        <v>17221</v>
      </c>
      <c r="D6748" s="17" t="s">
        <v>17286</v>
      </c>
      <c r="E6748" s="10">
        <v>785380</v>
      </c>
      <c r="F6748" s="4" t="str">
        <f>IF(B6748=B6747,"",B6748)</f>
        <v/>
      </c>
    </row>
    <row r="6749" spans="1:6" ht="15.75" customHeight="1">
      <c r="A6749" s="6" t="s">
        <v>17284</v>
      </c>
      <c r="B6749" s="6" t="s">
        <v>17285</v>
      </c>
      <c r="C6749" s="6" t="s">
        <v>17221</v>
      </c>
      <c r="D6749" s="6" t="s">
        <v>17285</v>
      </c>
      <c r="E6749" s="2">
        <v>785387</v>
      </c>
      <c r="F6749" s="4" t="str">
        <f>IF(B6749=B6748,"",B6749)</f>
        <v>Struga</v>
      </c>
    </row>
    <row r="6750" spans="1:6" ht="15.75" customHeight="1">
      <c r="A6750" s="5" t="str">
        <f ca="1">IFERROR(__xludf.DUMMYFUNCTION("GOOGLETRANSLATE(B36648,""en"",""pt"")"),"Stuga")</f>
        <v>Stuga</v>
      </c>
      <c r="B6750" s="17" t="s">
        <v>17285</v>
      </c>
      <c r="C6750" s="17" t="s">
        <v>17221</v>
      </c>
      <c r="D6750" s="17" t="s">
        <v>17285</v>
      </c>
      <c r="E6750" s="10">
        <v>785387</v>
      </c>
      <c r="F6750" s="4" t="str">
        <f>IF(B6750=B6749,"",B6750)</f>
        <v/>
      </c>
    </row>
    <row r="6751" spans="1:6" ht="15.75" customHeight="1">
      <c r="A6751" s="5" t="s">
        <v>30112</v>
      </c>
      <c r="B6751" s="6" t="s">
        <v>30112</v>
      </c>
      <c r="C6751" s="5" t="s">
        <v>27788</v>
      </c>
      <c r="D6751" s="5" t="s">
        <v>27813</v>
      </c>
      <c r="E6751" s="2">
        <v>5173237</v>
      </c>
      <c r="F6751" s="4" t="str">
        <f>IF(B6751=B6750,"",B6751)</f>
        <v>Strongsville</v>
      </c>
    </row>
    <row r="6752" spans="1:6" ht="15.75" customHeight="1">
      <c r="A6752" s="5" t="str">
        <f ca="1">IFERROR(__xludf.DUMMYFUNCTION("GOOGLETRANSLATE(B44546,""en"",""pt"")"),"Strongsville")</f>
        <v>Strongsville</v>
      </c>
      <c r="B6752" s="17" t="s">
        <v>30112</v>
      </c>
      <c r="C6752" s="17" t="s">
        <v>27788</v>
      </c>
      <c r="D6752" s="17" t="s">
        <v>27813</v>
      </c>
      <c r="E6752" s="10">
        <v>5173237</v>
      </c>
      <c r="F6752" s="4" t="str">
        <f>IF(B6752=B6751,"",B6752)</f>
        <v/>
      </c>
    </row>
    <row r="6753" spans="1:6" ht="15.75" customHeight="1">
      <c r="A6753" s="5" t="s">
        <v>23140</v>
      </c>
      <c r="B6753" s="6" t="s">
        <v>23141</v>
      </c>
      <c r="C6753" s="5" t="s">
        <v>22070</v>
      </c>
      <c r="D6753" s="5" t="s">
        <v>22120</v>
      </c>
      <c r="E6753" s="2">
        <v>487147</v>
      </c>
      <c r="F6753" s="4" t="str">
        <f>IF(B6753=B6752,"",B6753)</f>
        <v>Stroitelâ€™</v>
      </c>
    </row>
    <row r="6754" spans="1:6" ht="15.75" customHeight="1">
      <c r="A6754" s="5" t="str">
        <f ca="1">IFERROR(__xludf.DUMMYFUNCTION("GOOGLETRANSLATE(B40060,""en"",""pt"")"),"Stroitel '")</f>
        <v>Stroitel '</v>
      </c>
      <c r="B6754" s="17" t="s">
        <v>35450</v>
      </c>
      <c r="C6754" s="17" t="s">
        <v>22070</v>
      </c>
      <c r="D6754" s="17" t="s">
        <v>22120</v>
      </c>
      <c r="E6754" s="10">
        <v>487147</v>
      </c>
      <c r="F6754" s="4" t="str">
        <f>IF(B6754=B6753,"",B6754)</f>
        <v>Stroitel’</v>
      </c>
    </row>
    <row r="6755" spans="1:6" ht="15.75" customHeight="1">
      <c r="A6755" s="6" t="s">
        <v>23139</v>
      </c>
      <c r="B6755" s="6" t="s">
        <v>23139</v>
      </c>
      <c r="C6755" s="6" t="s">
        <v>22070</v>
      </c>
      <c r="D6755" s="6" t="s">
        <v>22127</v>
      </c>
      <c r="E6755" s="2">
        <v>487150</v>
      </c>
      <c r="F6755" s="4" t="str">
        <f>IF(B6755=B6754,"",B6755)</f>
        <v>Strogino</v>
      </c>
    </row>
    <row r="6756" spans="1:6" ht="15.75" customHeight="1">
      <c r="A6756" s="5" t="str">
        <f ca="1">IFERROR(__xludf.DUMMYFUNCTION("GOOGLETRANSLATE(B40061,""en"",""pt"")"),"Strogino")</f>
        <v>Strogino</v>
      </c>
      <c r="B6756" s="17" t="s">
        <v>23139</v>
      </c>
      <c r="C6756" s="17" t="s">
        <v>22070</v>
      </c>
      <c r="D6756" s="17" t="s">
        <v>22127</v>
      </c>
      <c r="E6756" s="10">
        <v>487150</v>
      </c>
      <c r="F6756" s="4" t="str">
        <f>IF(B6756=B6755,"",B6756)</f>
        <v/>
      </c>
    </row>
    <row r="6757" spans="1:6" ht="15.75" customHeight="1">
      <c r="A6757" s="5" t="s">
        <v>23138</v>
      </c>
      <c r="B6757" s="6" t="s">
        <v>23138</v>
      </c>
      <c r="C6757" s="5" t="s">
        <v>22070</v>
      </c>
      <c r="D6757" s="5" t="s">
        <v>22168</v>
      </c>
      <c r="E6757" s="2">
        <v>1490796</v>
      </c>
      <c r="F6757" s="4" t="str">
        <f>IF(B6757=B6756,"",B6757)</f>
        <v>Strezhevoy</v>
      </c>
    </row>
    <row r="6758" spans="1:6" ht="15.75" customHeight="1">
      <c r="A6758" s="5" t="str">
        <f ca="1">IFERROR(__xludf.DUMMYFUNCTION("GOOGLETRANSLATE(B40755,""en"",""pt"")"),"Strezhevoy")</f>
        <v>Strezhevoy</v>
      </c>
      <c r="B6758" s="17" t="s">
        <v>23138</v>
      </c>
      <c r="C6758" s="17" t="s">
        <v>22070</v>
      </c>
      <c r="D6758" s="17" t="s">
        <v>22168</v>
      </c>
      <c r="E6758" s="10">
        <v>1490796</v>
      </c>
      <c r="F6758" s="4" t="str">
        <f>IF(B6758=B6757,"",B6758)</f>
        <v/>
      </c>
    </row>
    <row r="6759" spans="1:6" ht="15.75" customHeight="1">
      <c r="A6759" s="5" t="s">
        <v>30111</v>
      </c>
      <c r="B6759" s="6" t="s">
        <v>30111</v>
      </c>
      <c r="C6759" s="5" t="s">
        <v>27788</v>
      </c>
      <c r="D6759" s="5" t="s">
        <v>27813</v>
      </c>
      <c r="E6759" s="2">
        <v>5173210</v>
      </c>
      <c r="F6759" s="4" t="str">
        <f>IF(B6759=B6758,"",B6759)</f>
        <v>Streetsboro</v>
      </c>
    </row>
    <row r="6760" spans="1:6" ht="15.75" customHeight="1">
      <c r="A6760" s="5" t="str">
        <f ca="1">IFERROR(__xludf.DUMMYFUNCTION("GOOGLETRANSLATE(B44545,""en"",""pt"")"),"Streetsboro")</f>
        <v>Streetsboro</v>
      </c>
      <c r="B6760" s="17" t="s">
        <v>30111</v>
      </c>
      <c r="C6760" s="17" t="s">
        <v>27788</v>
      </c>
      <c r="D6760" s="17" t="s">
        <v>27813</v>
      </c>
      <c r="E6760" s="10">
        <v>5173210</v>
      </c>
      <c r="F6760" s="4" t="str">
        <f>IF(B6760=B6759,"",B6760)</f>
        <v/>
      </c>
    </row>
    <row r="6761" spans="1:6" ht="15.75" customHeight="1">
      <c r="A6761" s="5" t="s">
        <v>30110</v>
      </c>
      <c r="B6761" s="6" t="s">
        <v>30110</v>
      </c>
      <c r="C6761" s="5" t="s">
        <v>27788</v>
      </c>
      <c r="D6761" s="5" t="s">
        <v>27799</v>
      </c>
      <c r="E6761" s="2">
        <v>4912691</v>
      </c>
      <c r="F6761" s="4" t="str">
        <f>IF(B6761=B6760,"",B6761)</f>
        <v>Streamwood</v>
      </c>
    </row>
    <row r="6762" spans="1:6" ht="15.75" customHeight="1">
      <c r="A6762" s="5" t="str">
        <f ca="1">IFERROR(__xludf.DUMMYFUNCTION("GOOGLETRANSLATE(B43888,""en"",""pt"")"),"Streamwood")</f>
        <v>Streamwood</v>
      </c>
      <c r="B6762" s="17" t="s">
        <v>30110</v>
      </c>
      <c r="C6762" s="17" t="s">
        <v>27788</v>
      </c>
      <c r="D6762" s="17" t="s">
        <v>27799</v>
      </c>
      <c r="E6762" s="10">
        <v>4912691</v>
      </c>
      <c r="F6762" s="4" t="str">
        <f>IF(B6762=B6761,"",B6762)</f>
        <v/>
      </c>
    </row>
    <row r="6763" spans="1:6" ht="15.75" customHeight="1">
      <c r="A6763" s="5" t="s">
        <v>9180</v>
      </c>
      <c r="B6763" s="6" t="s">
        <v>9180</v>
      </c>
      <c r="C6763" s="5" t="s">
        <v>8028</v>
      </c>
      <c r="D6763" s="5" t="s">
        <v>8070</v>
      </c>
      <c r="E6763" s="2">
        <v>2826082</v>
      </c>
      <c r="F6763" s="4" t="str">
        <f>IF(B6763=B6762,"",B6763)</f>
        <v>Strausberg</v>
      </c>
    </row>
    <row r="6764" spans="1:6" ht="15.75" customHeight="1">
      <c r="A6764" s="5" t="str">
        <f ca="1">IFERROR(__xludf.DUMMYFUNCTION("GOOGLETRANSLATE(B27491,""en"",""pt"")"),"Strausberg")</f>
        <v>Strausberg</v>
      </c>
      <c r="B6764" s="17" t="s">
        <v>9180</v>
      </c>
      <c r="C6764" s="17" t="s">
        <v>8028</v>
      </c>
      <c r="D6764" s="17" t="s">
        <v>8070</v>
      </c>
      <c r="E6764" s="10">
        <v>2826082</v>
      </c>
      <c r="F6764" s="4" t="str">
        <f>IF(B6764=B6763,"",B6764)</f>
        <v/>
      </c>
    </row>
    <row r="6765" spans="1:6" ht="15.75" customHeight="1">
      <c r="A6765" s="6" t="s">
        <v>9179</v>
      </c>
      <c r="B6765" s="6" t="s">
        <v>9179</v>
      </c>
      <c r="C6765" s="6" t="s">
        <v>8028</v>
      </c>
      <c r="D6765" s="6" t="s">
        <v>8044</v>
      </c>
      <c r="E6765" s="2">
        <v>2826099</v>
      </c>
      <c r="F6765" s="4" t="str">
        <f>IF(B6765=B6764,"",B6765)</f>
        <v>Straubing</v>
      </c>
    </row>
    <row r="6766" spans="1:6" ht="15.75" customHeight="1">
      <c r="A6766" s="5" t="str">
        <f ca="1">IFERROR(__xludf.DUMMYFUNCTION("GOOGLETRANSLATE(B27492,""en"",""pt"")"),"Straubing")</f>
        <v>Straubing</v>
      </c>
      <c r="B6766" s="17" t="s">
        <v>9179</v>
      </c>
      <c r="C6766" s="17" t="s">
        <v>8028</v>
      </c>
      <c r="D6766" s="17" t="s">
        <v>8044</v>
      </c>
      <c r="E6766" s="10">
        <v>2826099</v>
      </c>
      <c r="F6766" s="4" t="str">
        <f>IF(B6766=B6765,"",B6766)</f>
        <v/>
      </c>
    </row>
    <row r="6767" spans="1:6" ht="15.75" customHeight="1">
      <c r="A6767" s="6" t="s">
        <v>4211</v>
      </c>
      <c r="B6767" s="6" t="s">
        <v>4211</v>
      </c>
      <c r="C6767" s="6" t="s">
        <v>3975</v>
      </c>
      <c r="D6767" s="6" t="s">
        <v>3980</v>
      </c>
      <c r="E6767" s="2">
        <v>6157977</v>
      </c>
      <c r="F6767" s="4" t="str">
        <f>IF(B6767=B6766,"",B6767)</f>
        <v>Stratford</v>
      </c>
    </row>
    <row r="6768" spans="1:6" ht="15.75" customHeight="1">
      <c r="A6768" s="5" t="str">
        <f ca="1">IFERROR(__xludf.DUMMYFUNCTION("GOOGLETRANSLATE(B25590,""en"",""pt"")"),"Stratford")</f>
        <v>Stratford</v>
      </c>
      <c r="B6768" s="17" t="s">
        <v>4211</v>
      </c>
      <c r="C6768" s="17" t="s">
        <v>3975</v>
      </c>
      <c r="D6768" s="17" t="s">
        <v>3980</v>
      </c>
      <c r="E6768" s="10">
        <v>6157977</v>
      </c>
      <c r="F6768" s="4" t="str">
        <f>IF(B6768=B6767,"",B6768)</f>
        <v/>
      </c>
    </row>
    <row r="6769" spans="1:6" ht="15.75" customHeight="1">
      <c r="A6769" s="5" t="str">
        <f ca="1">IFERROR(__xludf.DUMMYFUNCTION("GOOGLETRANSLATE(B36529,""en"",""pt"")"),"Straşeni")</f>
        <v>Straşeni</v>
      </c>
      <c r="B6769" s="17" t="s">
        <v>34600</v>
      </c>
      <c r="C6769" s="17" t="s">
        <v>18455</v>
      </c>
      <c r="D6769" s="17" t="s">
        <v>34601</v>
      </c>
      <c r="E6769" s="10">
        <v>617302</v>
      </c>
      <c r="F6769" s="4" t="str">
        <f>IF(B6769=B6768,"",B6769)</f>
        <v>Straşeni</v>
      </c>
    </row>
    <row r="6770" spans="1:6" ht="15.75" customHeight="1">
      <c r="A6770" s="5" t="s">
        <v>7836</v>
      </c>
      <c r="B6770" s="6" t="s">
        <v>7837</v>
      </c>
      <c r="C6770" s="5" t="s">
        <v>7052</v>
      </c>
      <c r="D6770" s="5" t="s">
        <v>7061</v>
      </c>
      <c r="E6770" s="2">
        <v>2973783</v>
      </c>
      <c r="F6770" s="4" t="str">
        <f>IF(B6770=B6769,"",B6770)</f>
        <v>Strasbourg</v>
      </c>
    </row>
    <row r="6771" spans="1:6" ht="15.75" customHeight="1">
      <c r="A6771" s="5" t="str">
        <f ca="1">IFERROR(__xludf.DUMMYFUNCTION("GOOGLETRANSLATE(B29744,""en"",""pt"")"),"Estrasburgo")</f>
        <v>Estrasburgo</v>
      </c>
      <c r="B6771" s="17" t="s">
        <v>7837</v>
      </c>
      <c r="C6771" s="17" t="s">
        <v>7052</v>
      </c>
      <c r="D6771" s="17" t="s">
        <v>7061</v>
      </c>
      <c r="E6771" s="10">
        <v>2973783</v>
      </c>
      <c r="F6771" s="4" t="str">
        <f>IF(B6771=B6770,"",B6771)</f>
        <v/>
      </c>
    </row>
    <row r="6772" spans="1:6" ht="15.75" customHeight="1">
      <c r="A6772" s="6" t="s">
        <v>9178</v>
      </c>
      <c r="B6772" s="6" t="s">
        <v>9178</v>
      </c>
      <c r="C6772" s="6" t="s">
        <v>8028</v>
      </c>
      <c r="D6772" s="6" t="s">
        <v>8436</v>
      </c>
      <c r="E6772" s="2">
        <v>2826287</v>
      </c>
      <c r="F6772" s="4" t="str">
        <f>IF(B6772=B6771,"",B6772)</f>
        <v>Stralsund</v>
      </c>
    </row>
    <row r="6773" spans="1:6" ht="15.75" customHeight="1">
      <c r="A6773" s="5" t="str">
        <f ca="1">IFERROR(__xludf.DUMMYFUNCTION("GOOGLETRANSLATE(B27493,""en"",""pt"")"),"Stralsund")</f>
        <v>Stralsund</v>
      </c>
      <c r="B6773" s="17" t="s">
        <v>9178</v>
      </c>
      <c r="C6773" s="17" t="s">
        <v>8028</v>
      </c>
      <c r="D6773" s="17" t="s">
        <v>8436</v>
      </c>
      <c r="E6773" s="10">
        <v>2826287</v>
      </c>
      <c r="F6773" s="4" t="str">
        <f>IF(B6773=B6772,"",B6773)</f>
        <v/>
      </c>
    </row>
    <row r="6774" spans="1:6" ht="15.75" customHeight="1">
      <c r="A6774" s="5" t="s">
        <v>6103</v>
      </c>
      <c r="B6774" s="6" t="s">
        <v>6103</v>
      </c>
      <c r="C6774" s="5" t="s">
        <v>5947</v>
      </c>
      <c r="D6774" s="5" t="s">
        <v>5968</v>
      </c>
      <c r="E6774" s="2">
        <v>3065067</v>
      </c>
      <c r="F6774" s="4" t="str">
        <f>IF(B6774=B6773,"",B6774)</f>
        <v>Strakonice</v>
      </c>
    </row>
    <row r="6775" spans="1:6" ht="15.75" customHeight="1">
      <c r="A6775" s="5" t="str">
        <f ca="1">IFERROR(__xludf.DUMMYFUNCTION("GOOGLETRANSLATE(B27263,""en"",""pt"")"),"Strakonice")</f>
        <v>Strakonice</v>
      </c>
      <c r="B6775" s="17" t="s">
        <v>6103</v>
      </c>
      <c r="C6775" s="17" t="s">
        <v>5947</v>
      </c>
      <c r="D6775" s="17" t="s">
        <v>31955</v>
      </c>
      <c r="E6775" s="10">
        <v>3065067</v>
      </c>
      <c r="F6775" s="4" t="str">
        <f>IF(B6775=B6774,"",B6775)</f>
        <v/>
      </c>
    </row>
    <row r="6776" spans="1:6" ht="15.75" customHeight="1">
      <c r="A6776" s="6" t="s">
        <v>9177</v>
      </c>
      <c r="B6776" s="6" t="s">
        <v>9177</v>
      </c>
      <c r="C6776" s="6" t="s">
        <v>8028</v>
      </c>
      <c r="D6776" s="6" t="s">
        <v>8029</v>
      </c>
      <c r="E6776" s="2">
        <v>2826304</v>
      </c>
      <c r="F6776" s="4" t="str">
        <f>IF(B6776=B6775,"",B6776)</f>
        <v>Straelen</v>
      </c>
    </row>
    <row r="6777" spans="1:6" ht="15.75" customHeight="1">
      <c r="A6777" s="5" t="str">
        <f ca="1">IFERROR(__xludf.DUMMYFUNCTION("GOOGLETRANSLATE(B27494,""en"",""pt"")"),"Straelen")</f>
        <v>Straelen</v>
      </c>
      <c r="B6777" s="17" t="s">
        <v>9177</v>
      </c>
      <c r="C6777" s="17" t="s">
        <v>8028</v>
      </c>
      <c r="D6777" s="17" t="s">
        <v>8029</v>
      </c>
      <c r="E6777" s="10">
        <v>2826304</v>
      </c>
      <c r="F6777" s="4" t="str">
        <f>IF(B6777=B6776,"",B6777)</f>
        <v/>
      </c>
    </row>
    <row r="6778" spans="1:6" ht="15.75" customHeight="1">
      <c r="A6778" s="6" t="s">
        <v>18485</v>
      </c>
      <c r="B6778" s="6" t="s">
        <v>18486</v>
      </c>
      <c r="C6778" s="6" t="s">
        <v>18455</v>
      </c>
      <c r="D6778" s="6" t="s">
        <v>18487</v>
      </c>
      <c r="E6778" s="2">
        <v>617302</v>
      </c>
      <c r="F6778" s="4" t="str">
        <f>IF(B6778=B6777,"",B6778)</f>
        <v>StraÅŸeni</v>
      </c>
    </row>
    <row r="6779" spans="1:6" ht="15.75" customHeight="1">
      <c r="A6779" s="5" t="s">
        <v>27711</v>
      </c>
      <c r="B6779" s="6" t="s">
        <v>27712</v>
      </c>
      <c r="C6779" s="5" t="s">
        <v>27234</v>
      </c>
      <c r="D6779" s="5" t="s">
        <v>27241</v>
      </c>
      <c r="E6779" s="2">
        <v>2636749</v>
      </c>
      <c r="F6779" s="4" t="str">
        <f>IF(B6779=B6778,"",B6779)</f>
        <v>Stowmarket</v>
      </c>
    </row>
    <row r="6780" spans="1:6" ht="15.75" customHeight="1">
      <c r="A6780" s="5" t="str">
        <f ca="1">IFERROR(__xludf.DUMMYFUNCTION("GOOGLETRANSLATE(B30376,""en"",""pt"")"),"StowMarket")</f>
        <v>StowMarket</v>
      </c>
      <c r="B6780" s="17" t="s">
        <v>27712</v>
      </c>
      <c r="C6780" s="17" t="s">
        <v>27234</v>
      </c>
      <c r="D6780" s="17" t="s">
        <v>27241</v>
      </c>
      <c r="E6780" s="10">
        <v>2636749</v>
      </c>
      <c r="F6780" s="4" t="str">
        <f>IF(B6780=B6779,"",B6780)</f>
        <v/>
      </c>
    </row>
    <row r="6781" spans="1:6" ht="15.75" customHeight="1">
      <c r="A6781" s="6" t="s">
        <v>1506</v>
      </c>
      <c r="B6781" s="6" t="s">
        <v>1506</v>
      </c>
      <c r="C6781" s="6" t="s">
        <v>1453</v>
      </c>
      <c r="D6781" s="6" t="s">
        <v>1463</v>
      </c>
      <c r="E6781" s="2">
        <v>621266</v>
      </c>
      <c r="F6781" s="4" t="str">
        <f>IF(B6781=B6780,"",B6781)</f>
        <v>Stowbtsy</v>
      </c>
    </row>
    <row r="6782" spans="1:6" ht="15.75" customHeight="1">
      <c r="A6782" s="5" t="str">
        <f ca="1">IFERROR(__xludf.DUMMYFUNCTION("GOOGLETRANSLATE(B25374,""en"",""pt"")"),"Stowbtsy")</f>
        <v>Stowbtsy</v>
      </c>
      <c r="B6782" s="17" t="s">
        <v>1506</v>
      </c>
      <c r="C6782" s="17" t="s">
        <v>1453</v>
      </c>
      <c r="D6782" s="17" t="s">
        <v>1463</v>
      </c>
      <c r="E6782" s="10">
        <v>621266</v>
      </c>
      <c r="F6782" s="4" t="str">
        <f>IF(B6782=B6781,"",B6782)</f>
        <v/>
      </c>
    </row>
    <row r="6783" spans="1:6" ht="15.75" customHeight="1">
      <c r="A6783" s="6" t="s">
        <v>30108</v>
      </c>
      <c r="B6783" s="6" t="s">
        <v>30109</v>
      </c>
      <c r="C6783" s="6" t="s">
        <v>27788</v>
      </c>
      <c r="D6783" s="6" t="s">
        <v>27813</v>
      </c>
      <c r="E6783" s="2">
        <v>5173171</v>
      </c>
      <c r="F6783" s="4" t="str">
        <f>IF(B6783=B6782,"",B6783)</f>
        <v>Stow</v>
      </c>
    </row>
    <row r="6784" spans="1:6" ht="15.75" customHeight="1">
      <c r="A6784" s="5" t="str">
        <f ca="1">IFERROR(__xludf.DUMMYFUNCTION("GOOGLETRANSLATE(B44544,""en"",""pt"")"),"Arrumar")</f>
        <v>Arrumar</v>
      </c>
      <c r="B6784" s="17" t="s">
        <v>30109</v>
      </c>
      <c r="C6784" s="17" t="s">
        <v>27788</v>
      </c>
      <c r="D6784" s="17" t="s">
        <v>27813</v>
      </c>
      <c r="E6784" s="10">
        <v>5173171</v>
      </c>
      <c r="F6784" s="4" t="str">
        <f>IF(B6784=B6783,"",B6784)</f>
        <v/>
      </c>
    </row>
    <row r="6785" spans="1:6" ht="15.75" customHeight="1">
      <c r="A6785" s="5" t="s">
        <v>27710</v>
      </c>
      <c r="B6785" s="6" t="s">
        <v>27710</v>
      </c>
      <c r="C6785" s="5" t="s">
        <v>27234</v>
      </c>
      <c r="D6785" s="5" t="s">
        <v>27241</v>
      </c>
      <c r="E6785" s="2">
        <v>2636767</v>
      </c>
      <c r="F6785" s="4" t="str">
        <f>IF(B6785=B6784,"",B6785)</f>
        <v>Stourport-on-Severn</v>
      </c>
    </row>
    <row r="6786" spans="1:6" ht="15.75" customHeight="1">
      <c r="A6786" s="5" t="str">
        <f ca="1">IFERROR(__xludf.DUMMYFUNCTION("GOOGLETRANSLATE(B30377,""en"",""pt"")"),"Stourport-on-Severn")</f>
        <v>Stourport-on-Severn</v>
      </c>
      <c r="B6786" s="17" t="s">
        <v>27710</v>
      </c>
      <c r="C6786" s="17" t="s">
        <v>27234</v>
      </c>
      <c r="D6786" s="17" t="s">
        <v>27241</v>
      </c>
      <c r="E6786" s="10">
        <v>2636767</v>
      </c>
      <c r="F6786" s="4" t="str">
        <f>IF(B6786=B6785,"",B6786)</f>
        <v/>
      </c>
    </row>
    <row r="6787" spans="1:6" ht="15.75" customHeight="1">
      <c r="A6787" s="5" t="s">
        <v>27709</v>
      </c>
      <c r="B6787" s="6" t="s">
        <v>27709</v>
      </c>
      <c r="C6787" s="5" t="s">
        <v>27234</v>
      </c>
      <c r="D6787" s="5" t="s">
        <v>27241</v>
      </c>
      <c r="E6787" s="2">
        <v>2636769</v>
      </c>
      <c r="F6787" s="4" t="str">
        <f>IF(B6787=B6786,"",B6787)</f>
        <v>Stourbridge</v>
      </c>
    </row>
    <row r="6788" spans="1:6" ht="15.75" customHeight="1">
      <c r="A6788" s="5" t="str">
        <f ca="1">IFERROR(__xludf.DUMMYFUNCTION("GOOGLETRANSLATE(B30378,""en"",""pt"")"),"Stourbridge")</f>
        <v>Stourbridge</v>
      </c>
      <c r="B6788" s="17" t="s">
        <v>27709</v>
      </c>
      <c r="C6788" s="17" t="s">
        <v>27234</v>
      </c>
      <c r="D6788" s="17" t="s">
        <v>27241</v>
      </c>
      <c r="E6788" s="10">
        <v>2636769</v>
      </c>
      <c r="F6788" s="4" t="str">
        <f>IF(B6788=B6787,"",B6788)</f>
        <v/>
      </c>
    </row>
    <row r="6789" spans="1:6" ht="15.75" customHeight="1">
      <c r="A6789" s="5" t="s">
        <v>30107</v>
      </c>
      <c r="B6789" s="6" t="s">
        <v>30107</v>
      </c>
      <c r="C6789" s="5" t="s">
        <v>27788</v>
      </c>
      <c r="D6789" s="5" t="s">
        <v>27794</v>
      </c>
      <c r="E6789" s="2">
        <v>4952206</v>
      </c>
      <c r="F6789" s="4" t="str">
        <f>IF(B6789=B6788,"",B6789)</f>
        <v>Stoughton</v>
      </c>
    </row>
    <row r="6790" spans="1:6" ht="15.75" customHeight="1">
      <c r="A6790" s="5" t="str">
        <f ca="1">IFERROR(__xludf.DUMMYFUNCTION("GOOGLETRANSLATE(B44031,""en"",""pt"")"),"Stoughton")</f>
        <v>Stoughton</v>
      </c>
      <c r="B6790" s="17" t="s">
        <v>30107</v>
      </c>
      <c r="C6790" s="17" t="s">
        <v>27788</v>
      </c>
      <c r="D6790" s="17" t="s">
        <v>27794</v>
      </c>
      <c r="E6790" s="10">
        <v>4952206</v>
      </c>
      <c r="F6790" s="4" t="str">
        <f>IF(B6790=B6789,"",B6790)</f>
        <v/>
      </c>
    </row>
    <row r="6791" spans="1:6" ht="15.75" customHeight="1">
      <c r="A6791" s="5" t="s">
        <v>30106</v>
      </c>
      <c r="B6791" s="6" t="s">
        <v>30106</v>
      </c>
      <c r="C6791" s="5" t="s">
        <v>27788</v>
      </c>
      <c r="D6791" s="5" t="s">
        <v>27794</v>
      </c>
      <c r="E6791" s="2">
        <v>4952121</v>
      </c>
      <c r="F6791" s="4" t="str">
        <f>IF(B6791=B6790,"",B6791)</f>
        <v>Stoneham</v>
      </c>
    </row>
    <row r="6792" spans="1:6" ht="15.75" customHeight="1">
      <c r="A6792" s="5" t="str">
        <f ca="1">IFERROR(__xludf.DUMMYFUNCTION("GOOGLETRANSLATE(B44030,""en"",""pt"")"),"Stoneham")</f>
        <v>Stoneham</v>
      </c>
      <c r="B6792" s="17" t="s">
        <v>30106</v>
      </c>
      <c r="C6792" s="17" t="s">
        <v>27788</v>
      </c>
      <c r="D6792" s="17" t="s">
        <v>27794</v>
      </c>
      <c r="E6792" s="10">
        <v>4952121</v>
      </c>
      <c r="F6792" s="4" t="str">
        <f>IF(B6792=B6791,"",B6792)</f>
        <v/>
      </c>
    </row>
    <row r="6793" spans="1:6" ht="15.75" customHeight="1">
      <c r="A6793" s="6" t="s">
        <v>9176</v>
      </c>
      <c r="B6793" s="6" t="s">
        <v>9176</v>
      </c>
      <c r="C6793" s="6" t="s">
        <v>8028</v>
      </c>
      <c r="D6793" s="6" t="s">
        <v>8029</v>
      </c>
      <c r="E6793" s="2">
        <v>2826595</v>
      </c>
      <c r="F6793" s="4" t="str">
        <f>IF(B6793=B6792,"",B6793)</f>
        <v>Stolberg</v>
      </c>
    </row>
    <row r="6794" spans="1:6" ht="15.75" customHeight="1">
      <c r="A6794" s="5" t="str">
        <f ca="1">IFERROR(__xludf.DUMMYFUNCTION("GOOGLETRANSLATE(B27495,""en"",""pt"")"),"Stolberg")</f>
        <v>Stolberg</v>
      </c>
      <c r="B6794" s="17" t="s">
        <v>9176</v>
      </c>
      <c r="C6794" s="17" t="s">
        <v>8028</v>
      </c>
      <c r="D6794" s="17" t="s">
        <v>8029</v>
      </c>
      <c r="E6794" s="10">
        <v>2826595</v>
      </c>
      <c r="F6794" s="4" t="str">
        <f>IF(B6794=B6793,"",B6794)</f>
        <v/>
      </c>
    </row>
    <row r="6795" spans="1:6" ht="15.75" customHeight="1">
      <c r="A6795" s="5" t="s">
        <v>27708</v>
      </c>
      <c r="B6795" s="6" t="s">
        <v>27708</v>
      </c>
      <c r="C6795" s="5" t="s">
        <v>27234</v>
      </c>
      <c r="D6795" s="5" t="s">
        <v>27241</v>
      </c>
      <c r="E6795" s="2">
        <v>2636841</v>
      </c>
      <c r="F6795" s="4" t="str">
        <f>IF(B6795=B6794,"",B6795)</f>
        <v>Stoke-on-Trent</v>
      </c>
    </row>
    <row r="6796" spans="1:6" ht="15.75" customHeight="1">
      <c r="A6796" s="5" t="str">
        <f ca="1">IFERROR(__xludf.DUMMYFUNCTION("GOOGLETRANSLATE(B30379,""en"",""pt"")"),"Stoke-on-Trent")</f>
        <v>Stoke-on-Trent</v>
      </c>
      <c r="B6796" s="17" t="s">
        <v>27708</v>
      </c>
      <c r="C6796" s="17" t="s">
        <v>27234</v>
      </c>
      <c r="D6796" s="17" t="s">
        <v>27241</v>
      </c>
      <c r="E6796" s="10">
        <v>2636841</v>
      </c>
      <c r="F6796" s="4" t="str">
        <f>IF(B6796=B6795,"",B6796)</f>
        <v/>
      </c>
    </row>
    <row r="6797" spans="1:6" ht="15.75" customHeight="1">
      <c r="A6797" s="5" t="s">
        <v>27707</v>
      </c>
      <c r="B6797" s="6" t="s">
        <v>27707</v>
      </c>
      <c r="C6797" s="5" t="s">
        <v>27234</v>
      </c>
      <c r="D6797" s="5" t="s">
        <v>27241</v>
      </c>
      <c r="E6797" s="2">
        <v>2636876</v>
      </c>
      <c r="F6797" s="4" t="str">
        <f>IF(B6797=B6796,"",B6797)</f>
        <v>Stockton-on-Tees</v>
      </c>
    </row>
    <row r="6798" spans="1:6" ht="15.75" customHeight="1">
      <c r="A6798" s="5" t="str">
        <f ca="1">IFERROR(__xludf.DUMMYFUNCTION("GOOGLETRANSLATE(B30380,""en"",""pt"")"),"Stockton-on-Tees")</f>
        <v>Stockton-on-Tees</v>
      </c>
      <c r="B6798" s="17" t="s">
        <v>27707</v>
      </c>
      <c r="C6798" s="17" t="s">
        <v>27234</v>
      </c>
      <c r="D6798" s="17" t="s">
        <v>27241</v>
      </c>
      <c r="E6798" s="10">
        <v>2636876</v>
      </c>
      <c r="F6798" s="4" t="str">
        <f>IF(B6798=B6797,"",B6798)</f>
        <v/>
      </c>
    </row>
    <row r="6799" spans="1:6" ht="15.75" customHeight="1">
      <c r="A6799" s="6" t="s">
        <v>30105</v>
      </c>
      <c r="B6799" s="6" t="s">
        <v>30105</v>
      </c>
      <c r="C6799" s="6" t="s">
        <v>27788</v>
      </c>
      <c r="D6799" s="6" t="s">
        <v>27801</v>
      </c>
      <c r="E6799" s="2">
        <v>5399020</v>
      </c>
      <c r="F6799" s="4" t="str">
        <f>IF(B6799=B6798,"",B6799)</f>
        <v>Stockton</v>
      </c>
    </row>
    <row r="6800" spans="1:6" ht="15.75" customHeight="1">
      <c r="A6800" s="5" t="str">
        <f ca="1">IFERROR(__xludf.DUMMYFUNCTION("GOOGLETRANSLATE(B45049,""en"",""pt"")"),"Stockton")</f>
        <v>Stockton</v>
      </c>
      <c r="B6800" s="17" t="s">
        <v>30105</v>
      </c>
      <c r="C6800" s="17" t="s">
        <v>27788</v>
      </c>
      <c r="D6800" s="17" t="s">
        <v>27801</v>
      </c>
      <c r="E6800" s="10">
        <v>5399020</v>
      </c>
      <c r="F6800" s="4" t="str">
        <f>IF(B6800=B6799,"",B6800)</f>
        <v/>
      </c>
    </row>
    <row r="6801" spans="1:6" ht="15.75" customHeight="1">
      <c r="A6801" s="6" t="s">
        <v>27706</v>
      </c>
      <c r="B6801" s="6" t="s">
        <v>27706</v>
      </c>
      <c r="C6801" s="6" t="s">
        <v>27234</v>
      </c>
      <c r="D6801" s="6" t="s">
        <v>27241</v>
      </c>
      <c r="E6801" s="2">
        <v>2636882</v>
      </c>
      <c r="F6801" s="4" t="str">
        <f>IF(B6801=B6800,"",B6801)</f>
        <v>Stockport</v>
      </c>
    </row>
    <row r="6802" spans="1:6" ht="15.75" customHeight="1">
      <c r="A6802" s="5" t="str">
        <f ca="1">IFERROR(__xludf.DUMMYFUNCTION("GOOGLETRANSLATE(B30381,""en"",""pt"")"),"Stockport")</f>
        <v>Stockport</v>
      </c>
      <c r="B6802" s="17" t="s">
        <v>27706</v>
      </c>
      <c r="C6802" s="17" t="s">
        <v>27234</v>
      </c>
      <c r="D6802" s="17" t="s">
        <v>27241</v>
      </c>
      <c r="E6802" s="10">
        <v>2636882</v>
      </c>
      <c r="F6802" s="4" t="str">
        <f>IF(B6802=B6801,"",B6802)</f>
        <v/>
      </c>
    </row>
    <row r="6803" spans="1:6" ht="15.75" customHeight="1">
      <c r="A6803" s="5" t="s">
        <v>25205</v>
      </c>
      <c r="B6803" s="6" t="s">
        <v>25081</v>
      </c>
      <c r="C6803" s="5" t="s">
        <v>25077</v>
      </c>
      <c r="D6803" s="5" t="s">
        <v>25081</v>
      </c>
      <c r="E6803" s="2">
        <v>2673730</v>
      </c>
      <c r="F6803" s="4" t="str">
        <f>IF(B6803=B6802,"",B6803)</f>
        <v>Stockholm</v>
      </c>
    </row>
    <row r="6804" spans="1:6" ht="15.75" customHeight="1">
      <c r="A6804" s="5" t="str">
        <f ca="1">IFERROR(__xludf.DUMMYFUNCTION("GOOGLETRANSLATE(B41142,""en"",""pt"")"),"Estocolmo")</f>
        <v>Estocolmo</v>
      </c>
      <c r="B6804" s="17" t="s">
        <v>25081</v>
      </c>
      <c r="C6804" s="17" t="s">
        <v>25077</v>
      </c>
      <c r="D6804" s="17" t="s">
        <v>25081</v>
      </c>
      <c r="E6804" s="10">
        <v>2673730</v>
      </c>
      <c r="F6804" s="4" t="str">
        <f>IF(B6804=B6803,"",B6804)</f>
        <v/>
      </c>
    </row>
    <row r="6805" spans="1:6" ht="15.75" customHeight="1">
      <c r="A6805" s="5" t="s">
        <v>9175</v>
      </c>
      <c r="B6805" s="6" t="s">
        <v>9175</v>
      </c>
      <c r="C6805" s="5" t="s">
        <v>8028</v>
      </c>
      <c r="D6805" s="5" t="s">
        <v>8040</v>
      </c>
      <c r="E6805" s="2">
        <v>2826861</v>
      </c>
      <c r="F6805" s="4" t="str">
        <f>IF(B6805=B6804,"",B6805)</f>
        <v>Stockelsdorf</v>
      </c>
    </row>
    <row r="6806" spans="1:6" ht="15.75" customHeight="1">
      <c r="A6806" s="5" t="str">
        <f ca="1">IFERROR(__xludf.DUMMYFUNCTION("GOOGLETRANSLATE(B27496,""en"",""pt"")"),"Stockelsdorf")</f>
        <v>Stockelsdorf</v>
      </c>
      <c r="B6806" s="17" t="s">
        <v>9175</v>
      </c>
      <c r="C6806" s="17" t="s">
        <v>8028</v>
      </c>
      <c r="D6806" s="17" t="s">
        <v>8040</v>
      </c>
      <c r="E6806" s="10">
        <v>2826861</v>
      </c>
      <c r="F6806" s="4" t="str">
        <f>IF(B6806=B6805,"",B6806)</f>
        <v/>
      </c>
    </row>
    <row r="6807" spans="1:6" ht="15.75" customHeight="1">
      <c r="A6807" s="5" t="s">
        <v>30104</v>
      </c>
      <c r="B6807" s="6" t="s">
        <v>30104</v>
      </c>
      <c r="C6807" s="5" t="s">
        <v>27788</v>
      </c>
      <c r="D6807" s="5" t="s">
        <v>7988</v>
      </c>
      <c r="E6807" s="2">
        <v>4224681</v>
      </c>
      <c r="F6807" s="4" t="str">
        <f>IF(B6807=B6806,"",B6807)</f>
        <v>Stockbridge</v>
      </c>
    </row>
    <row r="6808" spans="1:6" ht="15.75" customHeight="1">
      <c r="A6808" s="5" t="str">
        <f ca="1">IFERROR(__xludf.DUMMYFUNCTION("GOOGLETRANSLATE(B43112,""en"",""pt"")"),"Stockbridge")</f>
        <v>Stockbridge</v>
      </c>
      <c r="B6808" s="17" t="s">
        <v>30104</v>
      </c>
      <c r="C6808" s="17" t="s">
        <v>27788</v>
      </c>
      <c r="D6808" s="17" t="s">
        <v>7988</v>
      </c>
      <c r="E6808" s="10">
        <v>4224681</v>
      </c>
      <c r="F6808" s="4" t="str">
        <f>IF(B6808=B6807,"",B6808)</f>
        <v/>
      </c>
    </row>
    <row r="6809" spans="1:6" ht="15.75" customHeight="1">
      <c r="A6809" s="6" t="s">
        <v>9174</v>
      </c>
      <c r="B6809" s="6" t="s">
        <v>9174</v>
      </c>
      <c r="C6809" s="6" t="s">
        <v>8028</v>
      </c>
      <c r="D6809" s="6" t="s">
        <v>8031</v>
      </c>
      <c r="E6809" s="2">
        <v>2826909</v>
      </c>
      <c r="F6809" s="4" t="str">
        <f>IF(B6809=B6808,"",B6809)</f>
        <v>Stockach</v>
      </c>
    </row>
    <row r="6810" spans="1:6" ht="15.75" customHeight="1">
      <c r="A6810" s="5" t="str">
        <f ca="1">IFERROR(__xludf.DUMMYFUNCTION("GOOGLETRANSLATE(B27497,""en"",""pt"")"),"Stockach")</f>
        <v>Stockach</v>
      </c>
      <c r="B6810" s="17" t="s">
        <v>9174</v>
      </c>
      <c r="C6810" s="17" t="s">
        <v>8028</v>
      </c>
      <c r="D6810" s="17" t="s">
        <v>32013</v>
      </c>
      <c r="E6810" s="10">
        <v>2826909</v>
      </c>
      <c r="F6810" s="4" t="str">
        <f>IF(B6810=B6809,"",B6810)</f>
        <v/>
      </c>
    </row>
    <row r="6811" spans="1:6" ht="15.75" customHeight="1">
      <c r="A6811" s="6" t="s">
        <v>27705</v>
      </c>
      <c r="B6811" s="6" t="s">
        <v>27705</v>
      </c>
      <c r="C6811" s="6" t="s">
        <v>27234</v>
      </c>
      <c r="D6811" s="6" t="s">
        <v>27237</v>
      </c>
      <c r="E6811" s="2">
        <v>2636910</v>
      </c>
      <c r="F6811" s="4" t="str">
        <f>IF(B6811=B6810,"",B6811)</f>
        <v>Stirling</v>
      </c>
    </row>
    <row r="6812" spans="1:6" ht="15.75" customHeight="1">
      <c r="A6812" s="5" t="str">
        <f ca="1">IFERROR(__xludf.DUMMYFUNCTION("GOOGLETRANSLATE(B30382,""en"",""pt"")"),"Stirling")</f>
        <v>Stirling</v>
      </c>
      <c r="B6812" s="17" t="s">
        <v>27705</v>
      </c>
      <c r="C6812" s="17" t="s">
        <v>27234</v>
      </c>
      <c r="D6812" s="17" t="s">
        <v>27237</v>
      </c>
      <c r="E6812" s="10">
        <v>2636910</v>
      </c>
      <c r="F6812" s="4" t="str">
        <f>IF(B6812=B6811,"",B6812)</f>
        <v/>
      </c>
    </row>
    <row r="6813" spans="1:6" ht="15.75" customHeight="1">
      <c r="A6813" s="5" t="s">
        <v>30102</v>
      </c>
      <c r="B6813" s="6" t="s">
        <v>30103</v>
      </c>
      <c r="C6813" s="5" t="s">
        <v>27788</v>
      </c>
      <c r="D6813" s="5" t="s">
        <v>27797</v>
      </c>
      <c r="E6813" s="2">
        <v>4552215</v>
      </c>
      <c r="F6813" s="4" t="str">
        <f>IF(B6813=B6812,"",B6813)</f>
        <v>Stillwater</v>
      </c>
    </row>
    <row r="6814" spans="1:6" ht="15.75" customHeight="1">
      <c r="A6814" s="5" t="s">
        <v>30102</v>
      </c>
      <c r="B6814" s="6" t="s">
        <v>30103</v>
      </c>
      <c r="C6814" s="5" t="s">
        <v>27788</v>
      </c>
      <c r="D6814" s="5" t="s">
        <v>27824</v>
      </c>
      <c r="E6814" s="2">
        <v>5048814</v>
      </c>
      <c r="F6814" s="4" t="str">
        <f>IF(B6814=B6813,"",B6814)</f>
        <v/>
      </c>
    </row>
    <row r="6815" spans="1:6" ht="15.75" customHeight="1">
      <c r="A6815" s="5" t="str">
        <f ca="1">IFERROR(__xludf.DUMMYFUNCTION("GOOGLETRANSLATE(B43566,""en"",""pt"")"),"Ainda água")</f>
        <v>Ainda água</v>
      </c>
      <c r="B6815" s="17" t="s">
        <v>30103</v>
      </c>
      <c r="C6815" s="17" t="s">
        <v>27788</v>
      </c>
      <c r="D6815" s="17" t="s">
        <v>27797</v>
      </c>
      <c r="E6815" s="10">
        <v>4552215</v>
      </c>
      <c r="F6815" s="4" t="str">
        <f>IF(B6815=B6814,"",B6815)</f>
        <v/>
      </c>
    </row>
    <row r="6816" spans="1:6" ht="15.75" customHeight="1">
      <c r="A6816" s="5" t="str">
        <f ca="1">IFERROR(__xludf.DUMMYFUNCTION("GOOGLETRANSLATE(B44202,""en"",""pt"")"),"Ainda água")</f>
        <v>Ainda água</v>
      </c>
      <c r="B6816" s="17" t="s">
        <v>30103</v>
      </c>
      <c r="C6816" s="17" t="s">
        <v>27788</v>
      </c>
      <c r="D6816" s="17" t="s">
        <v>27824</v>
      </c>
      <c r="E6816" s="10">
        <v>5048814</v>
      </c>
      <c r="F6816" s="4" t="str">
        <f>IF(B6816=B6815,"",B6816)</f>
        <v/>
      </c>
    </row>
    <row r="6817" spans="1:6" ht="15.75" customHeight="1">
      <c r="A6817" s="5" t="s">
        <v>23987</v>
      </c>
      <c r="B6817" s="6" t="s">
        <v>23987</v>
      </c>
      <c r="C6817" s="5" t="s">
        <v>23842</v>
      </c>
      <c r="D6817" s="5" t="s">
        <v>23860</v>
      </c>
      <c r="E6817" s="2">
        <v>952192</v>
      </c>
      <c r="F6817" s="4" t="str">
        <f>IF(B6817=B6816,"",B6817)</f>
        <v>Stilfontein</v>
      </c>
    </row>
    <row r="6818" spans="1:6" ht="15.75" customHeight="1">
      <c r="A6818" s="5" t="str">
        <f ca="1">IFERROR(__xludf.DUMMYFUNCTION("GOOGLETRANSLATE(B45870,""en"",""pt"")"),"Stilfontein")</f>
        <v>Stilfontein</v>
      </c>
      <c r="B6818" s="17" t="s">
        <v>23987</v>
      </c>
      <c r="C6818" s="17" t="s">
        <v>23842</v>
      </c>
      <c r="D6818" s="17" t="s">
        <v>23860</v>
      </c>
      <c r="E6818" s="10">
        <v>952192</v>
      </c>
      <c r="F6818" s="4" t="str">
        <f>IF(B6818=B6817,"",B6818)</f>
        <v/>
      </c>
    </row>
    <row r="6819" spans="1:6" ht="15.75" customHeight="1">
      <c r="A6819" s="6" t="s">
        <v>1156</v>
      </c>
      <c r="B6819" s="6" t="s">
        <v>1156</v>
      </c>
      <c r="C6819" s="6" t="s">
        <v>1117</v>
      </c>
      <c r="D6819" s="6" t="s">
        <v>1124</v>
      </c>
      <c r="E6819" s="2">
        <v>2764359</v>
      </c>
      <c r="F6819" s="4" t="str">
        <f>IF(B6819=B6818,"",B6819)</f>
        <v>Steyr</v>
      </c>
    </row>
    <row r="6820" spans="1:6" ht="15.75" customHeight="1">
      <c r="A6820" s="5" t="str">
        <f ca="1">IFERROR(__xludf.DUMMYFUNCTION("GOOGLETRANSLATE(B23381,""en"",""pt"")"),"Steyr")</f>
        <v>Steyr</v>
      </c>
      <c r="B6820" s="17" t="s">
        <v>1156</v>
      </c>
      <c r="C6820" s="17" t="s">
        <v>1117</v>
      </c>
      <c r="D6820" s="17" t="s">
        <v>1124</v>
      </c>
      <c r="E6820" s="10">
        <v>2764359</v>
      </c>
      <c r="F6820" s="4" t="str">
        <f>IF(B6820=B6819,"",B6820)</f>
        <v/>
      </c>
    </row>
    <row r="6821" spans="1:6" ht="15.75" customHeight="1">
      <c r="A6821" s="5" t="s">
        <v>30101</v>
      </c>
      <c r="B6821" s="6" t="s">
        <v>30101</v>
      </c>
      <c r="C6821" s="5" t="s">
        <v>27788</v>
      </c>
      <c r="D6821" s="5" t="s">
        <v>27890</v>
      </c>
      <c r="E6821" s="2">
        <v>5274644</v>
      </c>
      <c r="F6821" s="4" t="str">
        <f>IF(B6821=B6820,"",B6821)</f>
        <v>Stevens Point</v>
      </c>
    </row>
    <row r="6822" spans="1:6" ht="15.75" customHeight="1">
      <c r="A6822" s="5" t="str">
        <f ca="1">IFERROR(__xludf.DUMMYFUNCTION("GOOGLETRANSLATE(B44673,""en"",""pt"")"),"Stevens Point")</f>
        <v>Stevens Point</v>
      </c>
      <c r="B6822" s="17" t="s">
        <v>30101</v>
      </c>
      <c r="C6822" s="17" t="s">
        <v>27788</v>
      </c>
      <c r="D6822" s="17" t="s">
        <v>27890</v>
      </c>
      <c r="E6822" s="10">
        <v>5274644</v>
      </c>
      <c r="F6822" s="4" t="str">
        <f>IF(B6822=B6821,"",B6822)</f>
        <v/>
      </c>
    </row>
    <row r="6823" spans="1:6" ht="15.75" customHeight="1">
      <c r="A6823" s="5" t="s">
        <v>27704</v>
      </c>
      <c r="B6823" s="6" t="s">
        <v>27704</v>
      </c>
      <c r="C6823" s="5" t="s">
        <v>27234</v>
      </c>
      <c r="D6823" s="5" t="s">
        <v>27241</v>
      </c>
      <c r="E6823" s="2">
        <v>2636940</v>
      </c>
      <c r="F6823" s="4" t="str">
        <f>IF(B6823=B6822,"",B6823)</f>
        <v>Stevenage</v>
      </c>
    </row>
    <row r="6824" spans="1:6" ht="15.75" customHeight="1">
      <c r="A6824" s="5" t="str">
        <f ca="1">IFERROR(__xludf.DUMMYFUNCTION("GOOGLETRANSLATE(B30383,""en"",""pt"")"),"Stevenage")</f>
        <v>Stevenage</v>
      </c>
      <c r="B6824" s="17" t="s">
        <v>27704</v>
      </c>
      <c r="C6824" s="17" t="s">
        <v>27234</v>
      </c>
      <c r="D6824" s="17" t="s">
        <v>27241</v>
      </c>
      <c r="E6824" s="10">
        <v>2636940</v>
      </c>
      <c r="F6824" s="4" t="str">
        <f>IF(B6824=B6823,"",B6824)</f>
        <v/>
      </c>
    </row>
    <row r="6825" spans="1:6" ht="15.75" customHeight="1">
      <c r="A6825" s="5" t="s">
        <v>30100</v>
      </c>
      <c r="B6825" s="6" t="s">
        <v>30100</v>
      </c>
      <c r="C6825" s="5" t="s">
        <v>27788</v>
      </c>
      <c r="D6825" s="5" t="s">
        <v>27813</v>
      </c>
      <c r="E6825" s="2">
        <v>5173048</v>
      </c>
      <c r="F6825" s="4" t="str">
        <f>IF(B6825=B6824,"",B6825)</f>
        <v>Steubenville</v>
      </c>
    </row>
    <row r="6826" spans="1:6" ht="15.75" customHeight="1">
      <c r="A6826" s="5" t="str">
        <f ca="1">IFERROR(__xludf.DUMMYFUNCTION("GOOGLETRANSLATE(B44543,""en"",""pt"")"),"Steubenville")</f>
        <v>Steubenville</v>
      </c>
      <c r="B6826" s="17" t="s">
        <v>30100</v>
      </c>
      <c r="C6826" s="17" t="s">
        <v>27788</v>
      </c>
      <c r="D6826" s="17" t="s">
        <v>27813</v>
      </c>
      <c r="E6826" s="10">
        <v>5173048</v>
      </c>
      <c r="F6826" s="4" t="str">
        <f>IF(B6826=B6825,"",B6826)</f>
        <v/>
      </c>
    </row>
    <row r="6827" spans="1:6" ht="15.75" customHeight="1">
      <c r="A6827" s="5" t="s">
        <v>23137</v>
      </c>
      <c r="B6827" s="6" t="s">
        <v>23137</v>
      </c>
      <c r="C6827" s="5" t="s">
        <v>22070</v>
      </c>
      <c r="D6827" s="5" t="s">
        <v>22088</v>
      </c>
      <c r="E6827" s="2">
        <v>487495</v>
      </c>
      <c r="F6827" s="4" t="str">
        <f>IF(B6827=B6826,"",B6827)</f>
        <v>Sterlitamak</v>
      </c>
    </row>
    <row r="6828" spans="1:6" ht="15.75" customHeight="1">
      <c r="A6828" s="5" t="str">
        <f ca="1">IFERROR(__xludf.DUMMYFUNCTION("GOOGLETRANSLATE(B40062,""en"",""pt"")"),"Sterlitamak")</f>
        <v>Sterlitamak</v>
      </c>
      <c r="B6828" s="17" t="s">
        <v>23137</v>
      </c>
      <c r="C6828" s="17" t="s">
        <v>22070</v>
      </c>
      <c r="D6828" s="17" t="s">
        <v>22088</v>
      </c>
      <c r="E6828" s="10">
        <v>487495</v>
      </c>
      <c r="F6828" s="4" t="str">
        <f>IF(B6828=B6827,"",B6828)</f>
        <v/>
      </c>
    </row>
    <row r="6829" spans="1:6" ht="15.75" customHeight="1">
      <c r="A6829" s="5" t="s">
        <v>30098</v>
      </c>
      <c r="B6829" s="6" t="s">
        <v>30099</v>
      </c>
      <c r="C6829" s="5" t="s">
        <v>27788</v>
      </c>
      <c r="D6829" s="5" t="s">
        <v>27804</v>
      </c>
      <c r="E6829" s="2">
        <v>5011148</v>
      </c>
      <c r="F6829" s="4" t="str">
        <f>IF(B6829=B6828,"",B6829)</f>
        <v>Sterling Heights</v>
      </c>
    </row>
    <row r="6830" spans="1:6" ht="15.75" customHeight="1">
      <c r="A6830" s="5" t="str">
        <f ca="1">IFERROR(__xludf.DUMMYFUNCTION("GOOGLETRANSLATE(B44125,""en"",""pt"")"),"Alturas de Sterling")</f>
        <v>Alturas de Sterling</v>
      </c>
      <c r="B6830" s="17" t="s">
        <v>30099</v>
      </c>
      <c r="C6830" s="17" t="s">
        <v>27788</v>
      </c>
      <c r="D6830" s="17" t="s">
        <v>27804</v>
      </c>
      <c r="E6830" s="10">
        <v>5011148</v>
      </c>
      <c r="F6830" s="4" t="str">
        <f>IF(B6830=B6829,"",B6830)</f>
        <v/>
      </c>
    </row>
    <row r="6831" spans="1:6" ht="15.75" customHeight="1">
      <c r="A6831" s="6" t="s">
        <v>30097</v>
      </c>
      <c r="B6831" s="6" t="s">
        <v>30097</v>
      </c>
      <c r="C6831" s="6" t="s">
        <v>27788</v>
      </c>
      <c r="D6831" s="6" t="s">
        <v>27799</v>
      </c>
      <c r="E6831" s="2">
        <v>4912499</v>
      </c>
      <c r="F6831" s="4" t="str">
        <f>IF(B6831=B6830,"",B6831)</f>
        <v>Sterling</v>
      </c>
    </row>
    <row r="6832" spans="1:6" ht="15.75" customHeight="1">
      <c r="A6832" s="5" t="str">
        <f ca="1">IFERROR(__xludf.DUMMYFUNCTION("GOOGLETRANSLATE(B43887,""en"",""pt"")"),"Sterling")</f>
        <v>Sterling</v>
      </c>
      <c r="B6832" s="17" t="s">
        <v>30097</v>
      </c>
      <c r="C6832" s="17" t="s">
        <v>27788</v>
      </c>
      <c r="D6832" s="17" t="s">
        <v>27799</v>
      </c>
      <c r="E6832" s="10">
        <v>4912499</v>
      </c>
      <c r="F6832" s="4" t="str">
        <f>IF(B6832=B6831,"",B6832)</f>
        <v/>
      </c>
    </row>
    <row r="6833" spans="1:6" ht="15.75" customHeight="1">
      <c r="A6833" s="5" t="s">
        <v>16754</v>
      </c>
      <c r="B6833" s="6" t="s">
        <v>16755</v>
      </c>
      <c r="C6833" s="5" t="s">
        <v>16671</v>
      </c>
      <c r="D6833" s="5" t="s">
        <v>16675</v>
      </c>
      <c r="E6833" s="2">
        <v>1537939</v>
      </c>
      <c r="F6833" s="4" t="str">
        <f>IF(B6833=B6832,"",B6833)</f>
        <v>Stepnogorsk</v>
      </c>
    </row>
    <row r="6834" spans="1:6" ht="15.75" customHeight="1">
      <c r="A6834" s="5" t="str">
        <f ca="1">IFERROR(__xludf.DUMMYFUNCTION("GOOGLETRANSLATE(B36261,""en"",""pt"")"),"StepNogorsk")</f>
        <v>StepNogorsk</v>
      </c>
      <c r="B6834" s="17" t="s">
        <v>16755</v>
      </c>
      <c r="C6834" s="17" t="s">
        <v>16671</v>
      </c>
      <c r="D6834" s="17" t="s">
        <v>16675</v>
      </c>
      <c r="E6834" s="10">
        <v>1537939</v>
      </c>
      <c r="F6834" s="4" t="str">
        <f>IF(B6834=B6833,"",B6834)</f>
        <v/>
      </c>
    </row>
    <row r="6835" spans="1:6" ht="15.75" customHeight="1">
      <c r="A6835" s="5" t="str">
        <f ca="1">IFERROR(__xludf.DUMMYFUNCTION("GOOGLETRANSLATE(B28407,""en"",""pt"")"),"Stenløse")</f>
        <v>Stenløse</v>
      </c>
      <c r="B6835" s="17" t="s">
        <v>32150</v>
      </c>
      <c r="C6835" s="17" t="s">
        <v>6209</v>
      </c>
      <c r="D6835" s="17" t="s">
        <v>6216</v>
      </c>
      <c r="E6835" s="10">
        <v>2612629</v>
      </c>
      <c r="F6835" s="4" t="str">
        <f>IF(B6835=B6834,"",B6835)</f>
        <v>Stenløse</v>
      </c>
    </row>
    <row r="6836" spans="1:6" ht="15.75" customHeight="1">
      <c r="A6836" s="6" t="s">
        <v>6282</v>
      </c>
      <c r="B6836" s="6" t="s">
        <v>6283</v>
      </c>
      <c r="C6836" s="6" t="s">
        <v>6209</v>
      </c>
      <c r="D6836" s="6" t="s">
        <v>6216</v>
      </c>
      <c r="E6836" s="2">
        <v>2612629</v>
      </c>
      <c r="F6836" s="4" t="str">
        <f>IF(B6836=B6835,"",B6836)</f>
        <v>StenlÃ¸se</v>
      </c>
    </row>
    <row r="6837" spans="1:6" ht="15.75" customHeight="1">
      <c r="A6837" s="6" t="s">
        <v>9173</v>
      </c>
      <c r="B6837" s="6" t="s">
        <v>9173</v>
      </c>
      <c r="C6837" s="6" t="s">
        <v>8028</v>
      </c>
      <c r="D6837" s="6" t="s">
        <v>8085</v>
      </c>
      <c r="E6837" s="2">
        <v>2827479</v>
      </c>
      <c r="F6837" s="4" t="str">
        <f>IF(B6837=B6836,"",B6837)</f>
        <v>Stendal</v>
      </c>
    </row>
    <row r="6838" spans="1:6" ht="15.75" customHeight="1">
      <c r="A6838" s="5" t="str">
        <f ca="1">IFERROR(__xludf.DUMMYFUNCTION("GOOGLETRANSLATE(B27498,""en"",""pt"")"),"Stendal")</f>
        <v>Stendal</v>
      </c>
      <c r="B6838" s="17" t="s">
        <v>9173</v>
      </c>
      <c r="C6838" s="17" t="s">
        <v>8028</v>
      </c>
      <c r="D6838" s="17" t="s">
        <v>8085</v>
      </c>
      <c r="E6838" s="10">
        <v>2827479</v>
      </c>
      <c r="F6838" s="4" t="str">
        <f>IF(B6838=B6837,"",B6838)</f>
        <v/>
      </c>
    </row>
    <row r="6839" spans="1:6" ht="15.75" customHeight="1">
      <c r="A6839" s="6" t="s">
        <v>9172</v>
      </c>
      <c r="B6839" s="6" t="s">
        <v>9172</v>
      </c>
      <c r="C6839" s="6" t="s">
        <v>8028</v>
      </c>
      <c r="D6839" s="6" t="s">
        <v>8059</v>
      </c>
      <c r="E6839" s="2">
        <v>2827552</v>
      </c>
      <c r="F6839" s="4" t="str">
        <f>IF(B6839=B6838,"",B6839)</f>
        <v>Stellingen</v>
      </c>
    </row>
    <row r="6840" spans="1:6" ht="15.75" customHeight="1">
      <c r="A6840" s="5" t="str">
        <f ca="1">IFERROR(__xludf.DUMMYFUNCTION("GOOGLETRANSLATE(B27499,""en"",""pt"")"),"Stellingen")</f>
        <v>Stellingen</v>
      </c>
      <c r="B6840" s="17" t="s">
        <v>9172</v>
      </c>
      <c r="C6840" s="17" t="s">
        <v>8028</v>
      </c>
      <c r="D6840" s="17" t="s">
        <v>8059</v>
      </c>
      <c r="E6840" s="10">
        <v>2827552</v>
      </c>
      <c r="F6840" s="4" t="str">
        <f>IF(B6840=B6839,"",B6840)</f>
        <v/>
      </c>
    </row>
    <row r="6841" spans="1:6" ht="15.75" customHeight="1">
      <c r="A6841" s="5" t="s">
        <v>23986</v>
      </c>
      <c r="B6841" s="6" t="s">
        <v>23986</v>
      </c>
      <c r="C6841" s="5" t="s">
        <v>23842</v>
      </c>
      <c r="D6841" s="5" t="s">
        <v>23847</v>
      </c>
      <c r="E6841" s="2">
        <v>3361025</v>
      </c>
      <c r="F6841" s="4" t="str">
        <f>IF(B6841=B6840,"",B6841)</f>
        <v>Stellenbosch</v>
      </c>
    </row>
    <row r="6842" spans="1:6" ht="15.75" customHeight="1">
      <c r="A6842" s="5" t="str">
        <f ca="1">IFERROR(__xludf.DUMMYFUNCTION("GOOGLETRANSLATE(B45988,""en"",""pt"")"),"Stellenbosch")</f>
        <v>Stellenbosch</v>
      </c>
      <c r="B6842" s="17" t="s">
        <v>23986</v>
      </c>
      <c r="C6842" s="17" t="s">
        <v>23842</v>
      </c>
      <c r="D6842" s="17" t="s">
        <v>23847</v>
      </c>
      <c r="E6842" s="10">
        <v>3361025</v>
      </c>
      <c r="F6842" s="4" t="str">
        <f>IF(B6842=B6841,"",B6842)</f>
        <v/>
      </c>
    </row>
    <row r="6843" spans="1:6" ht="15.75" customHeight="1">
      <c r="A6843" s="6" t="s">
        <v>1694</v>
      </c>
      <c r="B6843" s="6" t="s">
        <v>1694</v>
      </c>
      <c r="C6843" s="6" t="s">
        <v>1512</v>
      </c>
      <c r="D6843" s="6" t="s">
        <v>1513</v>
      </c>
      <c r="E6843" s="2">
        <v>2786087</v>
      </c>
      <c r="F6843" s="4" t="str">
        <f>IF(B6843=B6842,"",B6843)</f>
        <v>Stekene</v>
      </c>
    </row>
    <row r="6844" spans="1:6" ht="15.75" customHeight="1">
      <c r="A6844" s="5" t="str">
        <f ca="1">IFERROR(__xludf.DUMMYFUNCTION("GOOGLETRANSLATE(B23823,""en"",""pt"")"),"Stekene")</f>
        <v>Stekene</v>
      </c>
      <c r="B6844" s="17" t="s">
        <v>1694</v>
      </c>
      <c r="C6844" s="17" t="s">
        <v>1512</v>
      </c>
      <c r="D6844" s="17" t="s">
        <v>1513</v>
      </c>
      <c r="E6844" s="10">
        <v>2786087</v>
      </c>
      <c r="F6844" s="4" t="str">
        <f>IF(B6844=B6843,"",B6844)</f>
        <v/>
      </c>
    </row>
    <row r="6845" spans="1:6" ht="15.75" customHeight="1">
      <c r="A6845" s="6" t="s">
        <v>19744</v>
      </c>
      <c r="B6845" s="6" t="s">
        <v>19744</v>
      </c>
      <c r="C6845" s="6" t="s">
        <v>19695</v>
      </c>
      <c r="D6845" s="6" t="s">
        <v>19745</v>
      </c>
      <c r="E6845" s="2">
        <v>3136947</v>
      </c>
      <c r="F6845" s="4" t="str">
        <f>IF(B6845=B6844,"",B6845)</f>
        <v>Steinkjer</v>
      </c>
    </row>
    <row r="6846" spans="1:6" ht="15.75" customHeight="1">
      <c r="A6846" s="5" t="str">
        <f ca="1">IFERROR(__xludf.DUMMYFUNCTION("GOOGLETRANSLATE(B38146,""en"",""pt"")"),"Steinkjer")</f>
        <v>Steinkjer</v>
      </c>
      <c r="B6846" s="17" t="s">
        <v>19744</v>
      </c>
      <c r="C6846" s="17" t="s">
        <v>19695</v>
      </c>
      <c r="D6846" s="17" t="s">
        <v>34815</v>
      </c>
      <c r="E6846" s="10">
        <v>3136947</v>
      </c>
      <c r="F6846" s="4" t="str">
        <f>IF(B6846=B6845,"",B6846)</f>
        <v/>
      </c>
    </row>
    <row r="6847" spans="1:6" ht="15.75" customHeight="1">
      <c r="A6847" s="5" t="s">
        <v>9171</v>
      </c>
      <c r="B6847" s="6" t="s">
        <v>9171</v>
      </c>
      <c r="C6847" s="5" t="s">
        <v>8028</v>
      </c>
      <c r="D6847" s="5" t="s">
        <v>8029</v>
      </c>
      <c r="E6847" s="2">
        <v>2828050</v>
      </c>
      <c r="F6847" s="4" t="str">
        <f>IF(B6847=B6846,"",B6847)</f>
        <v>Steinhagen</v>
      </c>
    </row>
    <row r="6848" spans="1:6" ht="15.75" customHeight="1">
      <c r="A6848" s="5" t="str">
        <f ca="1">IFERROR(__xludf.DUMMYFUNCTION("GOOGLETRANSLATE(B27500,""en"",""pt"")"),"Steinhagen")</f>
        <v>Steinhagen</v>
      </c>
      <c r="B6848" s="17" t="s">
        <v>9171</v>
      </c>
      <c r="C6848" s="17" t="s">
        <v>8028</v>
      </c>
      <c r="D6848" s="17" t="s">
        <v>8029</v>
      </c>
      <c r="E6848" s="10">
        <v>2828050</v>
      </c>
      <c r="F6848" s="4" t="str">
        <f>IF(B6848=B6847,"",B6848)</f>
        <v/>
      </c>
    </row>
    <row r="6849" spans="1:6" ht="15.75" customHeight="1">
      <c r="A6849" s="6" t="s">
        <v>9170</v>
      </c>
      <c r="B6849" s="6" t="s">
        <v>9170</v>
      </c>
      <c r="C6849" s="6" t="s">
        <v>8028</v>
      </c>
      <c r="D6849" s="6" t="s">
        <v>8029</v>
      </c>
      <c r="E6849" s="2">
        <v>2828105</v>
      </c>
      <c r="F6849" s="4" t="str">
        <f>IF(B6849=B6848,"",B6849)</f>
        <v>Steinfurt</v>
      </c>
    </row>
    <row r="6850" spans="1:6" ht="15.75" customHeight="1">
      <c r="A6850" s="5" t="str">
        <f ca="1">IFERROR(__xludf.DUMMYFUNCTION("GOOGLETRANSLATE(B27501,""en"",""pt"")"),"Steinfurt")</f>
        <v>Steinfurt</v>
      </c>
      <c r="B6850" s="17" t="s">
        <v>9170</v>
      </c>
      <c r="C6850" s="17" t="s">
        <v>8028</v>
      </c>
      <c r="D6850" s="17" t="s">
        <v>8029</v>
      </c>
      <c r="E6850" s="10">
        <v>2828105</v>
      </c>
      <c r="F6850" s="4" t="str">
        <f>IF(B6850=B6849,"",B6850)</f>
        <v/>
      </c>
    </row>
    <row r="6851" spans="1:6" ht="15.75" customHeight="1">
      <c r="A6851" s="6" t="s">
        <v>9168</v>
      </c>
      <c r="B6851" s="6" t="s">
        <v>9169</v>
      </c>
      <c r="C6851" s="6" t="s">
        <v>8028</v>
      </c>
      <c r="D6851" s="6" t="s">
        <v>8059</v>
      </c>
      <c r="E6851" s="2">
        <v>2828994</v>
      </c>
      <c r="F6851" s="4" t="str">
        <f>IF(B6851=B6850,"",B6851)</f>
        <v>Steilshoop</v>
      </c>
    </row>
    <row r="6852" spans="1:6" ht="15.75" customHeight="1">
      <c r="A6852" s="5" t="str">
        <f ca="1">IFERROR(__xludf.DUMMYFUNCTION("GOOGLETRANSLATE(B27502,""en"",""pt"")"),"Steilhoop")</f>
        <v>Steilhoop</v>
      </c>
      <c r="B6852" s="17" t="s">
        <v>9169</v>
      </c>
      <c r="C6852" s="17" t="s">
        <v>8028</v>
      </c>
      <c r="D6852" s="17" t="s">
        <v>8059</v>
      </c>
      <c r="E6852" s="10">
        <v>2828994</v>
      </c>
      <c r="F6852" s="4" t="str">
        <f>IF(B6852=B6851,"",B6852)</f>
        <v/>
      </c>
    </row>
    <row r="6853" spans="1:6" ht="15.75" customHeight="1">
      <c r="A6853" s="6" t="s">
        <v>9167</v>
      </c>
      <c r="B6853" s="6" t="s">
        <v>9167</v>
      </c>
      <c r="C6853" s="6" t="s">
        <v>8028</v>
      </c>
      <c r="D6853" s="6" t="s">
        <v>8036</v>
      </c>
      <c r="E6853" s="2">
        <v>2829109</v>
      </c>
      <c r="F6853" s="4" t="str">
        <f>IF(B6853=B6852,"",B6853)</f>
        <v>Steglitz</v>
      </c>
    </row>
    <row r="6854" spans="1:6" ht="15.75" customHeight="1">
      <c r="A6854" s="5" t="str">
        <f ca="1">IFERROR(__xludf.DUMMYFUNCTION("GOOGLETRANSLATE(B27503,""en"",""pt"")"),"Steglitz")</f>
        <v>Steglitz</v>
      </c>
      <c r="B6854" s="17" t="s">
        <v>9167</v>
      </c>
      <c r="C6854" s="17" t="s">
        <v>8028</v>
      </c>
      <c r="D6854" s="17" t="s">
        <v>8036</v>
      </c>
      <c r="E6854" s="10">
        <v>2829109</v>
      </c>
      <c r="F6854" s="4" t="str">
        <f>IF(B6854=B6853,"",B6854)</f>
        <v/>
      </c>
    </row>
    <row r="6855" spans="1:6" ht="15.75" customHeight="1">
      <c r="A6855" s="5" t="s">
        <v>25313</v>
      </c>
      <c r="B6855" s="6" t="s">
        <v>25313</v>
      </c>
      <c r="C6855" s="5" t="s">
        <v>25237</v>
      </c>
      <c r="D6855" s="5" t="s">
        <v>25250</v>
      </c>
      <c r="E6855" s="2">
        <v>2658494</v>
      </c>
      <c r="F6855" s="4" t="str">
        <f>IF(B6855=B6854,"",B6855)</f>
        <v>Steffisburg</v>
      </c>
    </row>
    <row r="6856" spans="1:6" ht="15.75" customHeight="1">
      <c r="A6856" s="5" t="str">
        <f ca="1">IFERROR(__xludf.DUMMYFUNCTION("GOOGLETRANSLATE(B25752,""en"",""pt"")"),"Steffisburg")</f>
        <v>Steffisburg</v>
      </c>
      <c r="B6856" s="17" t="s">
        <v>25313</v>
      </c>
      <c r="C6856" s="17" t="s">
        <v>25237</v>
      </c>
      <c r="D6856" s="17" t="s">
        <v>25250</v>
      </c>
      <c r="E6856" s="10">
        <v>2658494</v>
      </c>
      <c r="F6856" s="4" t="str">
        <f>IF(B6856=B6855,"",B6856)</f>
        <v/>
      </c>
    </row>
    <row r="6857" spans="1:6" ht="15.75" customHeight="1">
      <c r="A6857" s="6" t="s">
        <v>19097</v>
      </c>
      <c r="B6857" s="6" t="s">
        <v>19097</v>
      </c>
      <c r="C6857" s="6" t="s">
        <v>18862</v>
      </c>
      <c r="D6857" s="6" t="s">
        <v>18871</v>
      </c>
      <c r="E6857" s="2">
        <v>2746766</v>
      </c>
      <c r="F6857" s="4" t="str">
        <f>IF(B6857=B6856,"",B6857)</f>
        <v>Steenwijk</v>
      </c>
    </row>
    <row r="6858" spans="1:6" ht="15.75" customHeight="1">
      <c r="A6858" s="5" t="str">
        <f ca="1">IFERROR(__xludf.DUMMYFUNCTION("GOOGLETRANSLATE(B37945,""en"",""pt"")"),"Steenwijk")</f>
        <v>Steenwijk</v>
      </c>
      <c r="B6858" s="17" t="s">
        <v>19097</v>
      </c>
      <c r="C6858" s="17" t="s">
        <v>18862</v>
      </c>
      <c r="D6858" s="17" t="s">
        <v>18871</v>
      </c>
      <c r="E6858" s="10">
        <v>2746766</v>
      </c>
      <c r="F6858" s="4" t="str">
        <f>IF(B6858=B6857,"",B6858)</f>
        <v/>
      </c>
    </row>
    <row r="6859" spans="1:6" ht="15.75" customHeight="1">
      <c r="A6859" s="5" t="s">
        <v>19096</v>
      </c>
      <c r="B6859" s="6" t="s">
        <v>19096</v>
      </c>
      <c r="C6859" s="5" t="s">
        <v>18862</v>
      </c>
      <c r="D6859" s="5" t="s">
        <v>18888</v>
      </c>
      <c r="E6859" s="2">
        <v>2746804</v>
      </c>
      <c r="F6859" s="4" t="str">
        <f>IF(B6859=B6858,"",B6859)</f>
        <v>Steenbergen</v>
      </c>
    </row>
    <row r="6860" spans="1:6" ht="15.75" customHeight="1">
      <c r="A6860" s="5" t="str">
        <f ca="1">IFERROR(__xludf.DUMMYFUNCTION("GOOGLETRANSLATE(B37946,""en"",""pt"")"),"Steenbergen")</f>
        <v>Steenbergen</v>
      </c>
      <c r="B6860" s="17" t="s">
        <v>19096</v>
      </c>
      <c r="C6860" s="17" t="s">
        <v>18862</v>
      </c>
      <c r="D6860" s="17" t="s">
        <v>18888</v>
      </c>
      <c r="E6860" s="10">
        <v>2746804</v>
      </c>
      <c r="F6860" s="4" t="str">
        <f>IF(B6860=B6859,"",B6860)</f>
        <v/>
      </c>
    </row>
    <row r="6861" spans="1:6" ht="15.75" customHeight="1">
      <c r="A6861" s="6" t="s">
        <v>27153</v>
      </c>
      <c r="B6861" s="6" t="s">
        <v>27153</v>
      </c>
      <c r="C6861" s="6" t="s">
        <v>26870</v>
      </c>
      <c r="D6861" s="6" t="s">
        <v>26916</v>
      </c>
      <c r="E6861" s="2">
        <v>692632</v>
      </c>
      <c r="F6861" s="4" t="str">
        <f>IF(B6861=B6860,"",B6861)</f>
        <v>Stebnyk</v>
      </c>
    </row>
    <row r="6862" spans="1:6" ht="15.75" customHeight="1">
      <c r="A6862" s="5" t="str">
        <f ca="1">IFERROR(__xludf.DUMMYFUNCTION("GOOGLETRANSLATE(B42513,""en"",""pt"")"),"Stebnyk")</f>
        <v>Stebnyk</v>
      </c>
      <c r="B6862" s="17" t="s">
        <v>27153</v>
      </c>
      <c r="C6862" s="17" t="s">
        <v>26870</v>
      </c>
      <c r="D6862" s="17" t="s">
        <v>26916</v>
      </c>
      <c r="E6862" s="10">
        <v>692632</v>
      </c>
      <c r="F6862" s="4" t="str">
        <f>IF(B6862=B6861,"",B6862)</f>
        <v/>
      </c>
    </row>
    <row r="6863" spans="1:6" ht="15.75" customHeight="1">
      <c r="A6863" s="5" t="s">
        <v>23135</v>
      </c>
      <c r="B6863" s="6" t="s">
        <v>23136</v>
      </c>
      <c r="C6863" s="5" t="s">
        <v>22070</v>
      </c>
      <c r="D6863" s="5" t="s">
        <v>22117</v>
      </c>
      <c r="E6863" s="2">
        <v>487846</v>
      </c>
      <c r="F6863" s="4" t="str">
        <f>IF(B6863=B6862,"",B6863)</f>
        <v>Stavropolâ€™</v>
      </c>
    </row>
    <row r="6864" spans="1:6" ht="15.75" customHeight="1">
      <c r="A6864" s="5" t="str">
        <f ca="1">IFERROR(__xludf.DUMMYFUNCTION("GOOGLETRANSLATE(B40063,""en"",""pt"")"),"Stavropol '")</f>
        <v>Stavropol '</v>
      </c>
      <c r="B6864" s="17" t="s">
        <v>35451</v>
      </c>
      <c r="C6864" s="17" t="s">
        <v>22070</v>
      </c>
      <c r="D6864" s="17" t="s">
        <v>22117</v>
      </c>
      <c r="E6864" s="10">
        <v>487846</v>
      </c>
      <c r="F6864" s="4" t="str">
        <f>IF(B6864=B6863,"",B6864)</f>
        <v>Stavropol’</v>
      </c>
    </row>
    <row r="6865" spans="1:6" ht="15.75" customHeight="1">
      <c r="A6865" s="6" t="s">
        <v>19742</v>
      </c>
      <c r="B6865" s="6" t="s">
        <v>19742</v>
      </c>
      <c r="C6865" s="6" t="s">
        <v>19695</v>
      </c>
      <c r="D6865" s="6" t="s">
        <v>19743</v>
      </c>
      <c r="E6865" s="2">
        <v>9999999</v>
      </c>
      <c r="F6865" s="4" t="str">
        <f>IF(B6865=B6864,"",B6865)</f>
        <v>Stavern</v>
      </c>
    </row>
    <row r="6866" spans="1:6" ht="15.75" customHeight="1">
      <c r="A6866" s="6" t="s">
        <v>27703</v>
      </c>
      <c r="B6866" s="6" t="s">
        <v>27703</v>
      </c>
      <c r="C6866" s="6" t="s">
        <v>27234</v>
      </c>
      <c r="D6866" s="6" t="s">
        <v>27241</v>
      </c>
      <c r="E6866" s="2">
        <v>2636995</v>
      </c>
      <c r="F6866" s="4" t="str">
        <f>IF(B6866=B6865,"",B6866)</f>
        <v>Staveley</v>
      </c>
    </row>
    <row r="6867" spans="1:6" ht="15.75" customHeight="1">
      <c r="A6867" s="5" t="str">
        <f ca="1">IFERROR(__xludf.DUMMYFUNCTION("GOOGLETRANSLATE(B30384,""en"",""pt"")"),"Staveley")</f>
        <v>Staveley</v>
      </c>
      <c r="B6867" s="17" t="s">
        <v>27703</v>
      </c>
      <c r="C6867" s="17" t="s">
        <v>27234</v>
      </c>
      <c r="D6867" s="17" t="s">
        <v>27241</v>
      </c>
      <c r="E6867" s="10">
        <v>2636995</v>
      </c>
      <c r="F6867" s="4" t="str">
        <f>IF(B6867=B6866,"",B6867)</f>
        <v/>
      </c>
    </row>
    <row r="6868" spans="1:6" ht="15.75" customHeight="1">
      <c r="A6868" s="5" t="s">
        <v>19741</v>
      </c>
      <c r="B6868" s="6" t="s">
        <v>19741</v>
      </c>
      <c r="C6868" s="5" t="s">
        <v>19695</v>
      </c>
      <c r="D6868" s="5" t="s">
        <v>19720</v>
      </c>
      <c r="E6868" s="2">
        <v>3137115</v>
      </c>
      <c r="F6868" s="4" t="str">
        <f>IF(B6868=B6867,"",B6868)</f>
        <v>Stavanger</v>
      </c>
    </row>
    <row r="6869" spans="1:6" ht="15.75" customHeight="1">
      <c r="A6869" s="5" t="str">
        <f ca="1">IFERROR(__xludf.DUMMYFUNCTION("GOOGLETRANSLATE(B38147,""en"",""pt"")"),"Stavanger")</f>
        <v>Stavanger</v>
      </c>
      <c r="B6869" s="17" t="s">
        <v>19741</v>
      </c>
      <c r="C6869" s="17" t="s">
        <v>19695</v>
      </c>
      <c r="D6869" s="17" t="s">
        <v>19720</v>
      </c>
      <c r="E6869" s="10">
        <v>3137115</v>
      </c>
      <c r="F6869" s="4" t="str">
        <f>IF(B6869=B6868,"",B6869)</f>
        <v/>
      </c>
    </row>
    <row r="6870" spans="1:6" ht="15.75" customHeight="1">
      <c r="A6870" s="5" t="s">
        <v>30096</v>
      </c>
      <c r="B6870" s="6" t="s">
        <v>30096</v>
      </c>
      <c r="C6870" s="5" t="s">
        <v>27788</v>
      </c>
      <c r="D6870" s="5" t="s">
        <v>27822</v>
      </c>
      <c r="E6870" s="2">
        <v>4493316</v>
      </c>
      <c r="F6870" s="4" t="str">
        <f>IF(B6870=B6869,"",B6870)</f>
        <v>Statesville</v>
      </c>
    </row>
    <row r="6871" spans="1:6" ht="15.75" customHeight="1">
      <c r="A6871" s="5" t="str">
        <f ca="1">IFERROR(__xludf.DUMMYFUNCTION("GOOGLETRANSLATE(B43479,""en"",""pt"")"),"Statesville")</f>
        <v>Statesville</v>
      </c>
      <c r="B6871" s="17" t="s">
        <v>30096</v>
      </c>
      <c r="C6871" s="17" t="s">
        <v>27788</v>
      </c>
      <c r="D6871" s="17" t="s">
        <v>27822</v>
      </c>
      <c r="E6871" s="10">
        <v>4493316</v>
      </c>
      <c r="F6871" s="4" t="str">
        <f>IF(B6871=B6870,"",B6871)</f>
        <v/>
      </c>
    </row>
    <row r="6872" spans="1:6" ht="15.75" customHeight="1">
      <c r="A6872" s="5" t="s">
        <v>30095</v>
      </c>
      <c r="B6872" s="6" t="s">
        <v>30095</v>
      </c>
      <c r="C6872" s="5" t="s">
        <v>27788</v>
      </c>
      <c r="D6872" s="5" t="s">
        <v>7988</v>
      </c>
      <c r="E6872" s="2">
        <v>4224413</v>
      </c>
      <c r="F6872" s="4" t="str">
        <f>IF(B6872=B6871,"",B6872)</f>
        <v>Statesboro</v>
      </c>
    </row>
    <row r="6873" spans="1:6" ht="15.75" customHeight="1">
      <c r="A6873" s="5" t="str">
        <f ca="1">IFERROR(__xludf.DUMMYFUNCTION("GOOGLETRANSLATE(B43111,""en"",""pt"")"),"Statesboro")</f>
        <v>Statesboro</v>
      </c>
      <c r="B6873" s="17" t="s">
        <v>30095</v>
      </c>
      <c r="C6873" s="17" t="s">
        <v>27788</v>
      </c>
      <c r="D6873" s="17" t="s">
        <v>7988</v>
      </c>
      <c r="E6873" s="10">
        <v>4224413</v>
      </c>
      <c r="F6873" s="4" t="str">
        <f>IF(B6873=B6872,"",B6873)</f>
        <v/>
      </c>
    </row>
    <row r="6874" spans="1:6" ht="15.75" customHeight="1">
      <c r="A6874" s="5" t="s">
        <v>30094</v>
      </c>
      <c r="B6874" s="6" t="s">
        <v>30094</v>
      </c>
      <c r="C6874" s="5" t="s">
        <v>27788</v>
      </c>
      <c r="D6874" s="5" t="s">
        <v>27819</v>
      </c>
      <c r="E6874" s="2">
        <v>5139568</v>
      </c>
      <c r="F6874" s="4" t="str">
        <f>IF(B6874=B6873,"",B6874)</f>
        <v>Staten Island</v>
      </c>
    </row>
    <row r="6875" spans="1:6" ht="15.75" customHeight="1">
      <c r="A6875" s="5" t="str">
        <f ca="1">IFERROR(__xludf.DUMMYFUNCTION("GOOGLETRANSLATE(B44455,""en"",""pt"")"),"Staten Island")</f>
        <v>Staten Island</v>
      </c>
      <c r="B6875" s="17" t="s">
        <v>30094</v>
      </c>
      <c r="C6875" s="17" t="s">
        <v>27788</v>
      </c>
      <c r="D6875" s="17" t="s">
        <v>27819</v>
      </c>
      <c r="E6875" s="10">
        <v>5139568</v>
      </c>
      <c r="F6875" s="4" t="str">
        <f>IF(B6875=B6874,"",B6875)</f>
        <v/>
      </c>
    </row>
    <row r="6876" spans="1:6" ht="15.75" customHeight="1">
      <c r="A6876" s="5" t="s">
        <v>30092</v>
      </c>
      <c r="B6876" s="6" t="s">
        <v>30093</v>
      </c>
      <c r="C6876" s="5" t="s">
        <v>27788</v>
      </c>
      <c r="D6876" s="5" t="s">
        <v>27836</v>
      </c>
      <c r="E6876" s="2">
        <v>5213681</v>
      </c>
      <c r="F6876" s="4" t="str">
        <f>IF(B6876=B6875,"",B6876)</f>
        <v>State College</v>
      </c>
    </row>
    <row r="6877" spans="1:6" ht="15.75" customHeight="1">
      <c r="A6877" s="5" t="str">
        <f ca="1">IFERROR(__xludf.DUMMYFUNCTION("GOOGLETRANSLATE(B44595,""en"",""pt"")"),"Colégio Estadual")</f>
        <v>Colégio Estadual</v>
      </c>
      <c r="B6877" s="17" t="s">
        <v>30093</v>
      </c>
      <c r="C6877" s="17" t="s">
        <v>27788</v>
      </c>
      <c r="D6877" s="17" t="s">
        <v>27836</v>
      </c>
      <c r="E6877" s="10">
        <v>5213681</v>
      </c>
      <c r="F6877" s="4" t="str">
        <f>IF(B6877=B6876,"",B6877)</f>
        <v/>
      </c>
    </row>
    <row r="6878" spans="1:6" ht="15.75" customHeight="1">
      <c r="A6878" s="5" t="str">
        <f ca="1">IFERROR(__xludf.DUMMYFUNCTION("GOOGLETRANSLATE(B39199,""en"",""pt"")"),"Staszów")</f>
        <v>Staszów</v>
      </c>
      <c r="B6878" s="17" t="s">
        <v>35078</v>
      </c>
      <c r="C6878" s="17" t="s">
        <v>21064</v>
      </c>
      <c r="D6878" s="17" t="s">
        <v>35079</v>
      </c>
      <c r="E6878" s="10">
        <v>758252</v>
      </c>
      <c r="F6878" s="4" t="str">
        <f>IF(B6878=B6877,"",B6878)</f>
        <v>Staszów</v>
      </c>
    </row>
    <row r="6879" spans="1:6" ht="15.75" customHeight="1">
      <c r="A6879" s="6" t="s">
        <v>21509</v>
      </c>
      <c r="B6879" s="6" t="s">
        <v>21510</v>
      </c>
      <c r="C6879" s="6" t="s">
        <v>21064</v>
      </c>
      <c r="D6879" s="6" t="s">
        <v>21169</v>
      </c>
      <c r="E6879" s="2">
        <v>758252</v>
      </c>
      <c r="F6879" s="4" t="str">
        <f>IF(B6879=B6878,"",B6879)</f>
        <v>StaszÃ³w</v>
      </c>
    </row>
    <row r="6880" spans="1:6" ht="15.75" customHeight="1">
      <c r="A6880" s="5" t="str">
        <f ca="1">IFERROR(__xludf.DUMMYFUNCTION("GOOGLETRANSLATE(B27504,""en"",""pt"")"),"Staßfurt")</f>
        <v>Staßfurt</v>
      </c>
      <c r="B6880" s="17" t="s">
        <v>32027</v>
      </c>
      <c r="C6880" s="17" t="s">
        <v>8028</v>
      </c>
      <c r="D6880" s="17" t="s">
        <v>8085</v>
      </c>
      <c r="E6880" s="10">
        <v>2829422</v>
      </c>
      <c r="F6880" s="4" t="str">
        <f>IF(B6880=B6879,"",B6880)</f>
        <v>Staßfurt</v>
      </c>
    </row>
    <row r="6881" spans="1:6" ht="15.75" customHeight="1">
      <c r="A6881" s="5" t="s">
        <v>23134</v>
      </c>
      <c r="B6881" s="6" t="s">
        <v>23134</v>
      </c>
      <c r="C6881" s="5" t="s">
        <v>22070</v>
      </c>
      <c r="D6881" s="5" t="s">
        <v>22120</v>
      </c>
      <c r="E6881" s="2">
        <v>487928</v>
      </c>
      <c r="F6881" s="4" t="str">
        <f>IF(B6881=B6880,"",B6881)</f>
        <v>Staryy Oskol</v>
      </c>
    </row>
    <row r="6882" spans="1:6" ht="15.75" customHeight="1">
      <c r="A6882" s="5" t="str">
        <f ca="1">IFERROR(__xludf.DUMMYFUNCTION("GOOGLETRANSLATE(B40064,""en"",""pt"")"),"Staryy Oskol")</f>
        <v>Staryy Oskol</v>
      </c>
      <c r="B6882" s="17" t="s">
        <v>23134</v>
      </c>
      <c r="C6882" s="17" t="s">
        <v>22070</v>
      </c>
      <c r="D6882" s="17" t="s">
        <v>22120</v>
      </c>
      <c r="E6882" s="10">
        <v>487928</v>
      </c>
      <c r="F6882" s="4" t="str">
        <f>IF(B6882=B6881,"",B6882)</f>
        <v/>
      </c>
    </row>
    <row r="6883" spans="1:6" ht="15.75" customHeight="1">
      <c r="A6883" s="5" t="s">
        <v>23133</v>
      </c>
      <c r="B6883" s="6" t="s">
        <v>23133</v>
      </c>
      <c r="C6883" s="5" t="s">
        <v>22070</v>
      </c>
      <c r="D6883" s="5" t="s">
        <v>22360</v>
      </c>
      <c r="E6883" s="2">
        <v>874045</v>
      </c>
      <c r="F6883" s="4" t="str">
        <f>IF(B6883=B6882,"",B6883)</f>
        <v>Staryy Malgobek</v>
      </c>
    </row>
    <row r="6884" spans="1:6" ht="15.75" customHeight="1">
      <c r="A6884" s="5" t="str">
        <f ca="1">IFERROR(__xludf.DUMMYFUNCTION("GOOGLETRANSLATE(B40712,""en"",""pt"")"),"Staryy Malgobek")</f>
        <v>Staryy Malgobek</v>
      </c>
      <c r="B6884" s="17" t="s">
        <v>23133</v>
      </c>
      <c r="C6884" s="17" t="s">
        <v>22070</v>
      </c>
      <c r="D6884" s="17" t="s">
        <v>22360</v>
      </c>
      <c r="E6884" s="10">
        <v>874045</v>
      </c>
      <c r="F6884" s="4" t="str">
        <f>IF(B6884=B6883,"",B6884)</f>
        <v/>
      </c>
    </row>
    <row r="6885" spans="1:6" ht="15.75" customHeight="1">
      <c r="A6885" s="5" t="str">
        <f ca="1">IFERROR(__xludf.DUMMYFUNCTION("GOOGLETRANSLATE(B27264,""en"",""pt"")"),"Starý Bohumín")</f>
        <v>Starý Bohumín</v>
      </c>
      <c r="B6885" s="17" t="s">
        <v>31958</v>
      </c>
      <c r="C6885" s="17" t="s">
        <v>5947</v>
      </c>
      <c r="D6885" s="17" t="s">
        <v>31952</v>
      </c>
      <c r="E6885" s="10">
        <v>3065281</v>
      </c>
      <c r="F6885" s="4" t="str">
        <f>IF(B6885=B6884,"",B6885)</f>
        <v>Starý Bohumín</v>
      </c>
    </row>
    <row r="6886" spans="1:6" ht="15.75" customHeight="1">
      <c r="A6886" s="5" t="s">
        <v>23132</v>
      </c>
      <c r="B6886" s="6" t="s">
        <v>23132</v>
      </c>
      <c r="C6886" s="5" t="s">
        <v>22070</v>
      </c>
      <c r="D6886" s="5" t="s">
        <v>22077</v>
      </c>
      <c r="E6886" s="2">
        <v>488635</v>
      </c>
      <c r="F6886" s="4" t="str">
        <f>IF(B6886=B6885,"",B6886)</f>
        <v>Staroshcherbinovskaya</v>
      </c>
    </row>
    <row r="6887" spans="1:6" ht="15.75" customHeight="1">
      <c r="A6887" s="5" t="str">
        <f ca="1">IFERROR(__xludf.DUMMYFUNCTION("GOOGLETRANSLATE(B40065,""en"",""pt"")"),"Staroshcherbinovskaya")</f>
        <v>Staroshcherbinovskaya</v>
      </c>
      <c r="B6887" s="17" t="s">
        <v>23132</v>
      </c>
      <c r="C6887" s="17" t="s">
        <v>22070</v>
      </c>
      <c r="D6887" s="17" t="s">
        <v>22077</v>
      </c>
      <c r="E6887" s="10">
        <v>488635</v>
      </c>
      <c r="F6887" s="4" t="str">
        <f>IF(B6887=B6886,"",B6887)</f>
        <v/>
      </c>
    </row>
    <row r="6888" spans="1:6" ht="15.75" customHeight="1">
      <c r="A6888" s="5" t="s">
        <v>23131</v>
      </c>
      <c r="B6888" s="6" t="s">
        <v>23131</v>
      </c>
      <c r="C6888" s="5" t="s">
        <v>22070</v>
      </c>
      <c r="D6888" s="5" t="s">
        <v>22077</v>
      </c>
      <c r="E6888" s="2">
        <v>488742</v>
      </c>
      <c r="F6888" s="4" t="str">
        <f>IF(B6888=B6887,"",B6888)</f>
        <v>Starominskaya</v>
      </c>
    </row>
    <row r="6889" spans="1:6" ht="15.75" customHeight="1">
      <c r="A6889" s="5" t="str">
        <f ca="1">IFERROR(__xludf.DUMMYFUNCTION("GOOGLETRANSLATE(B40066,""en"",""pt"")"),"Starominskaya")</f>
        <v>Starominskaya</v>
      </c>
      <c r="B6889" s="17" t="s">
        <v>23131</v>
      </c>
      <c r="C6889" s="17" t="s">
        <v>22070</v>
      </c>
      <c r="D6889" s="17" t="s">
        <v>22077</v>
      </c>
      <c r="E6889" s="10">
        <v>488742</v>
      </c>
      <c r="F6889" s="4" t="str">
        <f>IF(B6889=B6888,"",B6889)</f>
        <v/>
      </c>
    </row>
    <row r="6890" spans="1:6" ht="15.75" customHeight="1">
      <c r="A6890" s="5" t="s">
        <v>27152</v>
      </c>
      <c r="B6890" s="6" t="s">
        <v>27152</v>
      </c>
      <c r="C6890" s="5" t="s">
        <v>26870</v>
      </c>
      <c r="D6890" s="5" t="s">
        <v>26955</v>
      </c>
      <c r="E6890" s="2">
        <v>692818</v>
      </c>
      <c r="F6890" s="4" t="str">
        <f>IF(B6890=B6889,"",B6890)</f>
        <v>Starokostyantyniv</v>
      </c>
    </row>
    <row r="6891" spans="1:6" ht="15.75" customHeight="1">
      <c r="A6891" s="5" t="str">
        <f ca="1">IFERROR(__xludf.DUMMYFUNCTION("GOOGLETRANSLATE(B42514,""en"",""pt"")"),"Starokostyantyniv")</f>
        <v>Starokostyantyniv</v>
      </c>
      <c r="B6891" s="17" t="s">
        <v>27152</v>
      </c>
      <c r="C6891" s="17" t="s">
        <v>26870</v>
      </c>
      <c r="D6891" s="17" t="s">
        <v>26955</v>
      </c>
      <c r="E6891" s="10">
        <v>692818</v>
      </c>
      <c r="F6891" s="4" t="str">
        <f>IF(B6891=B6890,"",B6891)</f>
        <v/>
      </c>
    </row>
    <row r="6892" spans="1:6" ht="15.75" customHeight="1">
      <c r="A6892" s="5" t="str">
        <f ca="1">IFERROR(__xludf.DUMMYFUNCTION("GOOGLETRANSLATE(B39346,""en"",""pt"")"),"Starogard Gdański")</f>
        <v>Starogard Gdański</v>
      </c>
      <c r="B6892" s="17" t="s">
        <v>35166</v>
      </c>
      <c r="C6892" s="17" t="s">
        <v>21064</v>
      </c>
      <c r="D6892" s="17" t="s">
        <v>21173</v>
      </c>
      <c r="E6892" s="10">
        <v>3084826</v>
      </c>
      <c r="F6892" s="4" t="str">
        <f>IF(B6892=B6891,"",B6892)</f>
        <v>Starogard Gdański</v>
      </c>
    </row>
    <row r="6893" spans="1:6" ht="15.75" customHeight="1">
      <c r="A6893" s="5" t="s">
        <v>21507</v>
      </c>
      <c r="B6893" s="6" t="s">
        <v>21508</v>
      </c>
      <c r="C6893" s="5" t="s">
        <v>21064</v>
      </c>
      <c r="D6893" s="5" t="s">
        <v>21173</v>
      </c>
      <c r="E6893" s="2">
        <v>3084826</v>
      </c>
      <c r="F6893" s="4" t="str">
        <f>IF(B6893=B6892,"",B6893)</f>
        <v>Starogard GdaÅ„ski</v>
      </c>
    </row>
    <row r="6894" spans="1:6" ht="15.75" customHeight="1">
      <c r="A6894" s="6" t="s">
        <v>23130</v>
      </c>
      <c r="B6894" s="6" t="s">
        <v>23130</v>
      </c>
      <c r="C6894" s="6" t="s">
        <v>22070</v>
      </c>
      <c r="D6894" s="6" t="s">
        <v>22272</v>
      </c>
      <c r="E6894" s="2">
        <v>488852</v>
      </c>
      <c r="F6894" s="4" t="str">
        <f>IF(B6894=B6893,"",B6894)</f>
        <v>Starodub</v>
      </c>
    </row>
    <row r="6895" spans="1:6" ht="15.75" customHeight="1">
      <c r="A6895" s="5" t="str">
        <f ca="1">IFERROR(__xludf.DUMMYFUNCTION("GOOGLETRANSLATE(B40067,""en"",""pt"")"),"Starodub")</f>
        <v>Starodub</v>
      </c>
      <c r="B6895" s="17" t="s">
        <v>23130</v>
      </c>
      <c r="C6895" s="17" t="s">
        <v>22070</v>
      </c>
      <c r="D6895" s="17" t="s">
        <v>22272</v>
      </c>
      <c r="E6895" s="10">
        <v>488852</v>
      </c>
      <c r="F6895" s="4" t="str">
        <f>IF(B6895=B6894,"",B6895)</f>
        <v/>
      </c>
    </row>
    <row r="6896" spans="1:6" ht="15.75" customHeight="1">
      <c r="A6896" s="6" t="s">
        <v>27150</v>
      </c>
      <c r="B6896" s="6" t="s">
        <v>27151</v>
      </c>
      <c r="C6896" s="6" t="s">
        <v>26870</v>
      </c>
      <c r="D6896" s="6" t="s">
        <v>26871</v>
      </c>
      <c r="E6896" s="2">
        <v>692832</v>
      </c>
      <c r="F6896" s="4" t="str">
        <f>IF(B6896=B6895,"",B6896)</f>
        <v>Starobilâ€™sâ€™k</v>
      </c>
    </row>
    <row r="6897" spans="1:6" ht="15.75" customHeight="1">
      <c r="A6897" s="5" t="str">
        <f ca="1">IFERROR(__xludf.DUMMYFUNCTION("GOOGLETRANSLATE(B42515,""en"",""pt"")"),"Starobil's'k")</f>
        <v>Starobil's'k</v>
      </c>
      <c r="B6897" s="17" t="s">
        <v>35992</v>
      </c>
      <c r="C6897" s="17" t="s">
        <v>26870</v>
      </c>
      <c r="D6897" s="17" t="s">
        <v>26871</v>
      </c>
      <c r="E6897" s="10">
        <v>692832</v>
      </c>
      <c r="F6897" s="4" t="str">
        <f>IF(B6897=B6896,"",B6897)</f>
        <v>Starobil’s’k</v>
      </c>
    </row>
    <row r="6898" spans="1:6" ht="15.75" customHeight="1">
      <c r="A6898" s="6" t="s">
        <v>9166</v>
      </c>
      <c r="B6898" s="6" t="s">
        <v>9166</v>
      </c>
      <c r="C6898" s="6" t="s">
        <v>8028</v>
      </c>
      <c r="D6898" s="6" t="s">
        <v>8044</v>
      </c>
      <c r="E6898" s="2">
        <v>2829457</v>
      </c>
      <c r="F6898" s="4" t="str">
        <f>IF(B6898=B6897,"",B6898)</f>
        <v>Starnberg</v>
      </c>
    </row>
    <row r="6899" spans="1:6" ht="15.75" customHeight="1">
      <c r="A6899" s="5" t="str">
        <f ca="1">IFERROR(__xludf.DUMMYFUNCTION("GOOGLETRANSLATE(B27505,""en"",""pt"")"),"Starnberg")</f>
        <v>Starnberg</v>
      </c>
      <c r="B6899" s="17" t="s">
        <v>9166</v>
      </c>
      <c r="C6899" s="17" t="s">
        <v>8028</v>
      </c>
      <c r="D6899" s="17" t="s">
        <v>8044</v>
      </c>
      <c r="E6899" s="10">
        <v>2829457</v>
      </c>
      <c r="F6899" s="4" t="str">
        <f>IF(B6899=B6898,"",B6899)</f>
        <v/>
      </c>
    </row>
    <row r="6900" spans="1:6" ht="15.75" customHeight="1">
      <c r="A6900" s="6" t="s">
        <v>30091</v>
      </c>
      <c r="B6900" s="6" t="s">
        <v>30091</v>
      </c>
      <c r="C6900" s="6" t="s">
        <v>27788</v>
      </c>
      <c r="D6900" s="6" t="s">
        <v>28040</v>
      </c>
      <c r="E6900" s="2">
        <v>4447161</v>
      </c>
      <c r="F6900" s="4" t="str">
        <f>IF(B6900=B6899,"",B6900)</f>
        <v>Starkville</v>
      </c>
    </row>
    <row r="6901" spans="1:6" ht="15.75" customHeight="1">
      <c r="A6901" s="5" t="str">
        <f ca="1">IFERROR(__xludf.DUMMYFUNCTION("GOOGLETRANSLATE(B43422,""en"",""pt"")"),"Starkville")</f>
        <v>Starkville</v>
      </c>
      <c r="B6901" s="17" t="s">
        <v>30091</v>
      </c>
      <c r="C6901" s="17" t="s">
        <v>27788</v>
      </c>
      <c r="D6901" s="17" t="s">
        <v>28040</v>
      </c>
      <c r="E6901" s="10">
        <v>4447161</v>
      </c>
      <c r="F6901" s="4" t="str">
        <f>IF(B6901=B6900,"",B6901)</f>
        <v/>
      </c>
    </row>
    <row r="6902" spans="1:6" ht="15.75" customHeight="1">
      <c r="A6902" s="5" t="str">
        <f ca="1">IFERROR(__xludf.DUMMYFUNCTION("GOOGLETRANSLATE(B39347,""en"",""pt"")"),"Stargard Szczeciński")</f>
        <v>Stargard Szczeciński</v>
      </c>
      <c r="B6902" s="17" t="s">
        <v>35167</v>
      </c>
      <c r="C6902" s="17" t="s">
        <v>21064</v>
      </c>
      <c r="D6902" s="17" t="s">
        <v>21121</v>
      </c>
      <c r="E6902" s="10">
        <v>3084840</v>
      </c>
      <c r="F6902" s="4" t="str">
        <f>IF(B6902=B6901,"",B6902)</f>
        <v>Stargard Szczeciński</v>
      </c>
    </row>
    <row r="6903" spans="1:6" ht="15.75" customHeight="1">
      <c r="A6903" s="5" t="s">
        <v>21505</v>
      </c>
      <c r="B6903" s="6" t="s">
        <v>21506</v>
      </c>
      <c r="C6903" s="5" t="s">
        <v>21064</v>
      </c>
      <c r="D6903" s="5" t="s">
        <v>21121</v>
      </c>
      <c r="E6903" s="2">
        <v>3084840</v>
      </c>
      <c r="F6903" s="4" t="str">
        <f>IF(B6903=B6902,"",B6903)</f>
        <v>Stargard SzczeciÅ„ski</v>
      </c>
    </row>
    <row r="6904" spans="1:6" ht="15.75" customHeight="1">
      <c r="A6904" s="5" t="s">
        <v>23129</v>
      </c>
      <c r="B6904" s="6" t="s">
        <v>23129</v>
      </c>
      <c r="C6904" s="5" t="s">
        <v>22070</v>
      </c>
      <c r="D6904" s="5" t="s">
        <v>22263</v>
      </c>
      <c r="E6904" s="2">
        <v>489088</v>
      </c>
      <c r="F6904" s="4" t="str">
        <f>IF(B6904=B6903,"",B6904)</f>
        <v>Staraya Russa</v>
      </c>
    </row>
    <row r="6905" spans="1:6" ht="15.75" customHeight="1">
      <c r="A6905" s="5" t="str">
        <f ca="1">IFERROR(__xludf.DUMMYFUNCTION("GOOGLETRANSLATE(B40068,""en"",""pt"")"),"Staraya Russa")</f>
        <v>Staraya Russa</v>
      </c>
      <c r="B6905" s="17" t="s">
        <v>23129</v>
      </c>
      <c r="C6905" s="17" t="s">
        <v>22070</v>
      </c>
      <c r="D6905" s="17" t="s">
        <v>22263</v>
      </c>
      <c r="E6905" s="10">
        <v>489088</v>
      </c>
      <c r="F6905" s="4" t="str">
        <f>IF(B6905=B6904,"",B6905)</f>
        <v/>
      </c>
    </row>
    <row r="6906" spans="1:6" ht="15.75" customHeight="1">
      <c r="A6906" s="5" t="s">
        <v>23128</v>
      </c>
      <c r="B6906" s="6" t="s">
        <v>23128</v>
      </c>
      <c r="C6906" s="5" t="s">
        <v>22070</v>
      </c>
      <c r="D6906" s="5" t="s">
        <v>22119</v>
      </c>
      <c r="E6906" s="2">
        <v>489162</v>
      </c>
      <c r="F6906" s="4" t="str">
        <f>IF(B6906=B6905,"",B6906)</f>
        <v>Staraya Kupavna</v>
      </c>
    </row>
    <row r="6907" spans="1:6" ht="15.75" customHeight="1">
      <c r="A6907" s="5" t="str">
        <f ca="1">IFERROR(__xludf.DUMMYFUNCTION("GOOGLETRANSLATE(B40069,""en"",""pt"")"),"Staraya Kupavna")</f>
        <v>Staraya Kupavna</v>
      </c>
      <c r="B6907" s="17" t="s">
        <v>23128</v>
      </c>
      <c r="C6907" s="17" t="s">
        <v>22070</v>
      </c>
      <c r="D6907" s="17" t="s">
        <v>22119</v>
      </c>
      <c r="E6907" s="10">
        <v>489162</v>
      </c>
      <c r="F6907" s="4" t="str">
        <f>IF(B6907=B6906,"",B6907)</f>
        <v/>
      </c>
    </row>
    <row r="6908" spans="1:6" ht="15.75" customHeight="1">
      <c r="A6908" s="5" t="s">
        <v>23127</v>
      </c>
      <c r="B6908" s="6" t="s">
        <v>23127</v>
      </c>
      <c r="C6908" s="5" t="s">
        <v>22070</v>
      </c>
      <c r="D6908" s="5" t="s">
        <v>22084</v>
      </c>
      <c r="E6908" s="2">
        <v>489226</v>
      </c>
      <c r="F6908" s="4" t="str">
        <f>IF(B6908=B6907,"",B6908)</f>
        <v>Staraya Derevnya</v>
      </c>
    </row>
    <row r="6909" spans="1:6" ht="15.75" customHeight="1">
      <c r="A6909" s="5" t="str">
        <f ca="1">IFERROR(__xludf.DUMMYFUNCTION("GOOGLETRANSLATE(B40070,""en"",""pt"")"),"Staraya Derevnya")</f>
        <v>Staraya Derevnya</v>
      </c>
      <c r="B6909" s="17" t="s">
        <v>23127</v>
      </c>
      <c r="C6909" s="17" t="s">
        <v>22070</v>
      </c>
      <c r="D6909" s="17" t="s">
        <v>22084</v>
      </c>
      <c r="E6909" s="10">
        <v>489226</v>
      </c>
      <c r="F6909" s="4" t="str">
        <f>IF(B6909=B6908,"",B6909)</f>
        <v/>
      </c>
    </row>
    <row r="6910" spans="1:6" ht="15.75" customHeight="1">
      <c r="A6910" s="5" t="s">
        <v>21504</v>
      </c>
      <c r="B6910" s="6" t="s">
        <v>21504</v>
      </c>
      <c r="C6910" s="5" t="s">
        <v>21064</v>
      </c>
      <c r="D6910" s="5" t="s">
        <v>21169</v>
      </c>
      <c r="E6910" s="2">
        <v>758390</v>
      </c>
      <c r="F6910" s="4" t="str">
        <f>IF(B6910=B6909,"",B6910)</f>
        <v>Starachowice</v>
      </c>
    </row>
    <row r="6911" spans="1:6" ht="15.75" customHeight="1">
      <c r="A6911" s="5" t="str">
        <f ca="1">IFERROR(__xludf.DUMMYFUNCTION("GOOGLETRANSLATE(B39200,""en"",""pt"")"),"Starachowice")</f>
        <v>Starachowice</v>
      </c>
      <c r="B6911" s="17" t="s">
        <v>21504</v>
      </c>
      <c r="C6911" s="17" t="s">
        <v>21064</v>
      </c>
      <c r="D6911" s="17" t="s">
        <v>35079</v>
      </c>
      <c r="E6911" s="10">
        <v>758390</v>
      </c>
      <c r="F6911" s="4" t="str">
        <f>IF(B6911=B6910,"",B6911)</f>
        <v/>
      </c>
    </row>
    <row r="6912" spans="1:6" ht="15.75" customHeight="1">
      <c r="A6912" s="5" t="s">
        <v>6101</v>
      </c>
      <c r="B6912" s="6" t="s">
        <v>6102</v>
      </c>
      <c r="C6912" s="5" t="s">
        <v>5947</v>
      </c>
      <c r="D6912" s="5" t="s">
        <v>5971</v>
      </c>
      <c r="E6912" s="2">
        <v>3065281</v>
      </c>
      <c r="F6912" s="4" t="str">
        <f>IF(B6912=B6911,"",B6912)</f>
        <v>StarÃ½ BohumÃ­n</v>
      </c>
    </row>
    <row r="6913" spans="1:6" ht="15.75" customHeight="1">
      <c r="A6913" s="5" t="s">
        <v>23772</v>
      </c>
      <c r="B6913" s="6" t="s">
        <v>23773</v>
      </c>
      <c r="C6913" s="5" t="s">
        <v>23694</v>
      </c>
      <c r="D6913" s="5" t="s">
        <v>23706</v>
      </c>
      <c r="E6913" s="2">
        <v>723505</v>
      </c>
      <c r="F6913" s="4" t="str">
        <f>IF(B6913=B6912,"",B6913)</f>
        <v>StarÃ¡ Ä½ubovÅˆa</v>
      </c>
    </row>
    <row r="6914" spans="1:6" ht="15.75" customHeight="1">
      <c r="A6914" s="5" t="s">
        <v>3713</v>
      </c>
      <c r="B6914" s="6" t="s">
        <v>3713</v>
      </c>
      <c r="C6914" s="5" t="s">
        <v>3701</v>
      </c>
      <c r="D6914" s="5" t="s">
        <v>3713</v>
      </c>
      <c r="E6914" s="2">
        <v>726848</v>
      </c>
      <c r="F6914" s="4" t="str">
        <f>IF(B6914=B6913,"",B6914)</f>
        <v>Stara Zagora</v>
      </c>
    </row>
    <row r="6915" spans="1:6" ht="15.75" customHeight="1">
      <c r="A6915" s="5" t="str">
        <f ca="1">IFERROR(__xludf.DUMMYFUNCTION("GOOGLETRANSLATE(B24018,""en"",""pt"")"),"Stara Zagora")</f>
        <v>Stara Zagora</v>
      </c>
      <c r="B6915" s="17" t="s">
        <v>3713</v>
      </c>
      <c r="C6915" s="17" t="s">
        <v>3701</v>
      </c>
      <c r="D6915" s="17" t="s">
        <v>3713</v>
      </c>
      <c r="E6915" s="10">
        <v>726848</v>
      </c>
      <c r="F6915" s="4" t="str">
        <f>IF(B6915=B6914,"",B6915)</f>
        <v/>
      </c>
    </row>
    <row r="6916" spans="1:6" ht="15.75" customHeight="1">
      <c r="A6916" s="5" t="s">
        <v>23658</v>
      </c>
      <c r="B6916" s="6" t="s">
        <v>23658</v>
      </c>
      <c r="C6916" s="5" t="s">
        <v>23602</v>
      </c>
      <c r="D6916" s="5" t="s">
        <v>23610</v>
      </c>
      <c r="E6916" s="2">
        <v>785559</v>
      </c>
      <c r="F6916" s="4" t="str">
        <f>IF(B6916=B6915,"",B6916)</f>
        <v>Stara Pazova</v>
      </c>
    </row>
    <row r="6917" spans="1:6" ht="15.75" customHeight="1">
      <c r="A6917" s="5" t="str">
        <f ca="1">IFERROR(__xludf.DUMMYFUNCTION("GOOGLETRANSLATE(B39863,""en"",""pt"")"),"Stara Pazova")</f>
        <v>Stara Pazova</v>
      </c>
      <c r="B6917" s="17" t="s">
        <v>23658</v>
      </c>
      <c r="C6917" s="17" t="s">
        <v>23602</v>
      </c>
      <c r="D6917" s="17" t="s">
        <v>23610</v>
      </c>
      <c r="E6917" s="10">
        <v>785559</v>
      </c>
      <c r="F6917" s="4" t="str">
        <f>IF(B6917=B6916,"",B6917)</f>
        <v/>
      </c>
    </row>
    <row r="6918" spans="1:6" ht="15.75" customHeight="1">
      <c r="A6918" s="5" t="str">
        <f ca="1">IFERROR(__xludf.DUMMYFUNCTION("GOOGLETRANSLATE(B41223,""en"",""pt"")"),"Stará ľubovňa")</f>
        <v>Stará ľubovňa</v>
      </c>
      <c r="B6918" s="17" t="s">
        <v>35669</v>
      </c>
      <c r="C6918" s="17" t="s">
        <v>23694</v>
      </c>
      <c r="D6918" s="17" t="s">
        <v>35666</v>
      </c>
      <c r="E6918" s="10">
        <v>723505</v>
      </c>
      <c r="F6918" s="4" t="str">
        <f>IF(B6918=B6917,"",B6918)</f>
        <v>Stará Ľubovňa</v>
      </c>
    </row>
    <row r="6919" spans="1:6" ht="15.75" customHeight="1">
      <c r="A6919" s="6" t="s">
        <v>19095</v>
      </c>
      <c r="B6919" s="6" t="s">
        <v>19095</v>
      </c>
      <c r="C6919" s="6" t="s">
        <v>18862</v>
      </c>
      <c r="D6919" s="6" t="s">
        <v>18871</v>
      </c>
      <c r="E6919" s="2">
        <v>2746839</v>
      </c>
      <c r="F6919" s="4" t="str">
        <f>IF(B6919=B6918,"",B6919)</f>
        <v>Staphorst</v>
      </c>
    </row>
    <row r="6920" spans="1:6" ht="15.75" customHeight="1">
      <c r="A6920" s="5" t="str">
        <f ca="1">IFERROR(__xludf.DUMMYFUNCTION("GOOGLETRANSLATE(B37947,""en"",""pt"")"),"Staphorst")</f>
        <v>Staphorst</v>
      </c>
      <c r="B6920" s="17" t="s">
        <v>19095</v>
      </c>
      <c r="C6920" s="17" t="s">
        <v>18862</v>
      </c>
      <c r="D6920" s="17" t="s">
        <v>18871</v>
      </c>
      <c r="E6920" s="10">
        <v>2746839</v>
      </c>
      <c r="F6920" s="4" t="str">
        <f>IF(B6920=B6919,"",B6920)</f>
        <v/>
      </c>
    </row>
    <row r="6921" spans="1:6" ht="15.75" customHeight="1">
      <c r="A6921" s="5" t="s">
        <v>8014</v>
      </c>
      <c r="B6921" s="6" t="s">
        <v>8015</v>
      </c>
      <c r="C6921" s="5" t="s">
        <v>7988</v>
      </c>
      <c r="D6921" s="5" t="s">
        <v>8002</v>
      </c>
      <c r="E6921" s="2">
        <v>615912</v>
      </c>
      <c r="F6921" s="4" t="str">
        <f>IF(B6921=B6920,"",B6921)</f>
        <v>Stantsiya Novyy Afon</v>
      </c>
    </row>
    <row r="6922" spans="1:6" ht="15.75" customHeight="1">
      <c r="A6922" s="5" t="str">
        <f ca="1">IFERROR(__xludf.DUMMYFUNCTION("GOOGLETRANSLATE(B30848,""en"",""pt"")"),"STANTSIYA NOVYY AFON")</f>
        <v>STANTSIYA NOVYY AFON</v>
      </c>
      <c r="B6922" s="17" t="s">
        <v>8015</v>
      </c>
      <c r="C6922" s="17" t="s">
        <v>7988</v>
      </c>
      <c r="D6922" s="17" t="s">
        <v>8002</v>
      </c>
      <c r="E6922" s="10">
        <v>615912</v>
      </c>
      <c r="F6922" s="4" t="str">
        <f>IF(B6922=B6921,"",B6922)</f>
        <v/>
      </c>
    </row>
    <row r="6923" spans="1:6" ht="15.75" customHeight="1">
      <c r="A6923" s="6" t="s">
        <v>30090</v>
      </c>
      <c r="B6923" s="6" t="s">
        <v>30090</v>
      </c>
      <c r="C6923" s="6" t="s">
        <v>27788</v>
      </c>
      <c r="D6923" s="6" t="s">
        <v>27801</v>
      </c>
      <c r="E6923" s="2">
        <v>5398630</v>
      </c>
      <c r="F6923" s="4" t="str">
        <f>IF(B6923=B6922,"",B6923)</f>
        <v>Stanton</v>
      </c>
    </row>
    <row r="6924" spans="1:6" ht="15.75" customHeight="1">
      <c r="A6924" s="5" t="str">
        <f ca="1">IFERROR(__xludf.DUMMYFUNCTION("GOOGLETRANSLATE(B45048,""en"",""pt"")"),"Stanton")</f>
        <v>Stanton</v>
      </c>
      <c r="B6924" s="17" t="s">
        <v>30090</v>
      </c>
      <c r="C6924" s="17" t="s">
        <v>27788</v>
      </c>
      <c r="D6924" s="17" t="s">
        <v>27801</v>
      </c>
      <c r="E6924" s="10">
        <v>5398630</v>
      </c>
      <c r="F6924" s="4" t="str">
        <f>IF(B6924=B6923,"",B6924)</f>
        <v/>
      </c>
    </row>
    <row r="6925" spans="1:6" ht="15.75" customHeight="1">
      <c r="A6925" s="6" t="s">
        <v>6934</v>
      </c>
      <c r="B6925" s="6" t="s">
        <v>6934</v>
      </c>
      <c r="C6925" s="6" t="s">
        <v>6935</v>
      </c>
      <c r="D6925" s="6" t="s">
        <v>551</v>
      </c>
      <c r="E6925" s="2">
        <v>3426691</v>
      </c>
      <c r="F6925" s="4" t="str">
        <f>IF(B6925=B6924,"",B6925)</f>
        <v>Stanley</v>
      </c>
    </row>
    <row r="6926" spans="1:6" ht="15.75" customHeight="1">
      <c r="A6926" s="6" t="s">
        <v>6934</v>
      </c>
      <c r="B6926" s="6" t="s">
        <v>6934</v>
      </c>
      <c r="C6926" s="6" t="s">
        <v>27234</v>
      </c>
      <c r="D6926" s="6" t="s">
        <v>27241</v>
      </c>
      <c r="E6926" s="2">
        <v>8224783</v>
      </c>
      <c r="F6926" s="4" t="str">
        <f>IF(B6926=B6925,"",B6926)</f>
        <v/>
      </c>
    </row>
    <row r="6927" spans="1:6" ht="15.75" customHeight="1">
      <c r="A6927" s="5" t="str">
        <f ca="1">IFERROR(__xludf.DUMMYFUNCTION("GOOGLETRANSLATE(B29669,""en"",""pt"")"),"Stanley")</f>
        <v>Stanley</v>
      </c>
      <c r="B6927" s="17" t="s">
        <v>6934</v>
      </c>
      <c r="C6927" s="17" t="s">
        <v>6935</v>
      </c>
      <c r="D6927" s="17" t="s">
        <v>551</v>
      </c>
      <c r="E6927" s="10">
        <v>3426691</v>
      </c>
      <c r="F6927" s="4" t="str">
        <f>IF(B6927=B6926,"",B6927)</f>
        <v/>
      </c>
    </row>
    <row r="6928" spans="1:6" ht="15.75" customHeight="1">
      <c r="A6928" s="5" t="str">
        <f ca="1">IFERROR(__xludf.DUMMYFUNCTION("GOOGLETRANSLATE(B30816,""en"",""pt"")"),"Stanley")</f>
        <v>Stanley</v>
      </c>
      <c r="B6928" s="17" t="s">
        <v>6934</v>
      </c>
      <c r="C6928" s="17" t="s">
        <v>27234</v>
      </c>
      <c r="D6928" s="17" t="s">
        <v>27241</v>
      </c>
      <c r="E6928" s="10">
        <v>8224783</v>
      </c>
      <c r="F6928" s="4" t="str">
        <f>IF(B6928=B6927,"",B6928)</f>
        <v/>
      </c>
    </row>
    <row r="6929" spans="1:6" ht="15.75" customHeight="1">
      <c r="A6929" s="6" t="s">
        <v>23985</v>
      </c>
      <c r="B6929" s="6" t="s">
        <v>23985</v>
      </c>
      <c r="C6929" s="6" t="s">
        <v>23842</v>
      </c>
      <c r="D6929" s="6" t="s">
        <v>23851</v>
      </c>
      <c r="E6929" s="2">
        <v>952734</v>
      </c>
      <c r="F6929" s="4" t="str">
        <f>IF(B6929=B6928,"",B6929)</f>
        <v>Stanger</v>
      </c>
    </row>
    <row r="6930" spans="1:6" ht="15.75" customHeight="1">
      <c r="A6930" s="5" t="str">
        <f ca="1">IFERROR(__xludf.DUMMYFUNCTION("GOOGLETRANSLATE(B45871,""en"",""pt"")"),"Stanger")</f>
        <v>Stanger</v>
      </c>
      <c r="B6930" s="17" t="s">
        <v>23985</v>
      </c>
      <c r="C6930" s="17" t="s">
        <v>23842</v>
      </c>
      <c r="D6930" s="17" t="s">
        <v>23851</v>
      </c>
      <c r="E6930" s="10">
        <v>952734</v>
      </c>
      <c r="F6930" s="4" t="str">
        <f>IF(B6930=B6929,"",B6930)</f>
        <v/>
      </c>
    </row>
    <row r="6931" spans="1:6" ht="15.75" customHeight="1">
      <c r="A6931" s="5" t="s">
        <v>23984</v>
      </c>
      <c r="B6931" s="6" t="s">
        <v>23984</v>
      </c>
      <c r="C6931" s="5" t="s">
        <v>23842</v>
      </c>
      <c r="D6931" s="5" t="s">
        <v>23849</v>
      </c>
      <c r="E6931" s="2">
        <v>952747</v>
      </c>
      <c r="F6931" s="4" t="str">
        <f>IF(B6931=B6930,"",B6931)</f>
        <v>Standerton</v>
      </c>
    </row>
    <row r="6932" spans="1:6" ht="15.75" customHeight="1">
      <c r="A6932" s="5" t="str">
        <f ca="1">IFERROR(__xludf.DUMMYFUNCTION("GOOGLETRANSLATE(B45872,""en"",""pt"")"),"Standerton")</f>
        <v>Standerton</v>
      </c>
      <c r="B6932" s="17" t="s">
        <v>23984</v>
      </c>
      <c r="C6932" s="17" t="s">
        <v>23842</v>
      </c>
      <c r="D6932" s="17" t="s">
        <v>23849</v>
      </c>
      <c r="E6932" s="10">
        <v>952747</v>
      </c>
      <c r="F6932" s="4" t="str">
        <f>IF(B6932=B6931,"",B6932)</f>
        <v/>
      </c>
    </row>
    <row r="6933" spans="1:6" ht="15.75" customHeight="1">
      <c r="A6933" s="6" t="s">
        <v>27702</v>
      </c>
      <c r="B6933" s="6" t="s">
        <v>27702</v>
      </c>
      <c r="C6933" s="6" t="s">
        <v>27234</v>
      </c>
      <c r="D6933" s="6" t="s">
        <v>27241</v>
      </c>
      <c r="E6933" s="2">
        <v>2637104</v>
      </c>
      <c r="F6933" s="4" t="str">
        <f>IF(B6933=B6932,"",B6933)</f>
        <v>Stamford</v>
      </c>
    </row>
    <row r="6934" spans="1:6" ht="15.75" customHeight="1">
      <c r="A6934" s="5" t="str">
        <f ca="1">IFERROR(__xludf.DUMMYFUNCTION("GOOGLETRANSLATE(B30385,""en"",""pt"")"),"Stamford")</f>
        <v>Stamford</v>
      </c>
      <c r="B6934" s="17" t="s">
        <v>27702</v>
      </c>
      <c r="C6934" s="17" t="s">
        <v>27234</v>
      </c>
      <c r="D6934" s="17" t="s">
        <v>27241</v>
      </c>
      <c r="E6934" s="10">
        <v>2637104</v>
      </c>
      <c r="F6934" s="4" t="str">
        <f>IF(B6934=B6933,"",B6934)</f>
        <v/>
      </c>
    </row>
    <row r="6935" spans="1:6" ht="15.75" customHeight="1">
      <c r="A6935" s="5" t="s">
        <v>27701</v>
      </c>
      <c r="B6935" s="6" t="s">
        <v>27701</v>
      </c>
      <c r="C6935" s="5" t="s">
        <v>27234</v>
      </c>
      <c r="D6935" s="5" t="s">
        <v>27241</v>
      </c>
      <c r="E6935" s="2">
        <v>2637106</v>
      </c>
      <c r="F6935" s="4" t="str">
        <f>IF(B6935=B6934,"",B6935)</f>
        <v>Stalybridge</v>
      </c>
    </row>
    <row r="6936" spans="1:6" ht="15.75" customHeight="1">
      <c r="A6936" s="5" t="str">
        <f ca="1">IFERROR(__xludf.DUMMYFUNCTION("GOOGLETRANSLATE(B30386,""en"",""pt"")"),"Stalybridge")</f>
        <v>Stalybridge</v>
      </c>
      <c r="B6936" s="17" t="s">
        <v>27701</v>
      </c>
      <c r="C6936" s="17" t="s">
        <v>27234</v>
      </c>
      <c r="D6936" s="17" t="s">
        <v>27241</v>
      </c>
      <c r="E6936" s="10">
        <v>2637106</v>
      </c>
      <c r="F6936" s="4" t="str">
        <f>IF(B6936=B6935,"",B6936)</f>
        <v/>
      </c>
    </row>
    <row r="6937" spans="1:6" ht="15.75" customHeight="1">
      <c r="A6937" s="5" t="s">
        <v>21503</v>
      </c>
      <c r="B6937" s="6" t="s">
        <v>21503</v>
      </c>
      <c r="C6937" s="5" t="s">
        <v>21064</v>
      </c>
      <c r="D6937" s="5" t="s">
        <v>21083</v>
      </c>
      <c r="E6937" s="2">
        <v>758445</v>
      </c>
      <c r="F6937" s="4" t="str">
        <f>IF(B6937=B6936,"",B6937)</f>
        <v>Stalowa Wola</v>
      </c>
    </row>
    <row r="6938" spans="1:6" ht="15.75" customHeight="1">
      <c r="A6938" s="5" t="str">
        <f ca="1">IFERROR(__xludf.DUMMYFUNCTION("GOOGLETRANSLATE(B39201,""en"",""pt"")"),"Stalowa Wola")</f>
        <v>Stalowa Wola</v>
      </c>
      <c r="B6938" s="17" t="s">
        <v>21503</v>
      </c>
      <c r="C6938" s="17" t="s">
        <v>21064</v>
      </c>
      <c r="D6938" s="17" t="s">
        <v>21083</v>
      </c>
      <c r="E6938" s="10">
        <v>758445</v>
      </c>
      <c r="F6938" s="4" t="str">
        <f>IF(B6938=B6937,"",B6938)</f>
        <v/>
      </c>
    </row>
    <row r="6939" spans="1:6" ht="15.75" customHeight="1">
      <c r="A6939" s="5" t="s">
        <v>27149</v>
      </c>
      <c r="B6939" s="6" t="s">
        <v>27149</v>
      </c>
      <c r="C6939" s="5" t="s">
        <v>26870</v>
      </c>
      <c r="D6939" s="5" t="s">
        <v>26871</v>
      </c>
      <c r="E6939" s="2">
        <v>692975</v>
      </c>
      <c r="F6939" s="4" t="str">
        <f>IF(B6939=B6938,"",B6939)</f>
        <v>Stakhanov</v>
      </c>
    </row>
    <row r="6940" spans="1:6" ht="15.75" customHeight="1">
      <c r="A6940" s="5" t="str">
        <f ca="1">IFERROR(__xludf.DUMMYFUNCTION("GOOGLETRANSLATE(B42516,""en"",""pt"")"),"Stakhanov")</f>
        <v>Stakhanov</v>
      </c>
      <c r="B6940" s="17" t="s">
        <v>27149</v>
      </c>
      <c r="C6940" s="17" t="s">
        <v>26870</v>
      </c>
      <c r="D6940" s="17" t="s">
        <v>26871</v>
      </c>
      <c r="E6940" s="10">
        <v>692975</v>
      </c>
      <c r="F6940" s="4" t="str">
        <f>IF(B6940=B6939,"",B6940)</f>
        <v/>
      </c>
    </row>
    <row r="6941" spans="1:6" ht="15.75" customHeight="1">
      <c r="A6941" s="6" t="s">
        <v>7834</v>
      </c>
      <c r="B6941" s="6" t="s">
        <v>7835</v>
      </c>
      <c r="C6941" s="6" t="s">
        <v>7052</v>
      </c>
      <c r="D6941" s="6" t="s">
        <v>7058</v>
      </c>
      <c r="E6941" s="2">
        <v>2973841</v>
      </c>
      <c r="F6941" s="4" t="str">
        <f>IF(B6941=B6940,"",B6941)</f>
        <v>Stains</v>
      </c>
    </row>
    <row r="6942" spans="1:6" ht="15.75" customHeight="1">
      <c r="A6942" s="5" t="str">
        <f ca="1">IFERROR(__xludf.DUMMYFUNCTION("GOOGLETRANSLATE(B29745,""en"",""pt"")"),"Manchas")</f>
        <v>Manchas</v>
      </c>
      <c r="B6942" s="17" t="s">
        <v>7835</v>
      </c>
      <c r="C6942" s="17" t="s">
        <v>7052</v>
      </c>
      <c r="D6942" s="17" t="s">
        <v>32531</v>
      </c>
      <c r="E6942" s="10">
        <v>2973841</v>
      </c>
      <c r="F6942" s="4" t="str">
        <f>IF(B6942=B6941,"",B6942)</f>
        <v/>
      </c>
    </row>
    <row r="6943" spans="1:6" ht="15.75" customHeight="1">
      <c r="A6943" s="6" t="s">
        <v>27700</v>
      </c>
      <c r="B6943" s="6" t="s">
        <v>27700</v>
      </c>
      <c r="C6943" s="6" t="s">
        <v>27234</v>
      </c>
      <c r="D6943" s="6" t="s">
        <v>27241</v>
      </c>
      <c r="E6943" s="2">
        <v>2637126</v>
      </c>
      <c r="F6943" s="4" t="str">
        <f>IF(B6943=B6942,"",B6943)</f>
        <v>Staines</v>
      </c>
    </row>
    <row r="6944" spans="1:6" ht="15.75" customHeight="1">
      <c r="A6944" s="5" t="str">
        <f ca="1">IFERROR(__xludf.DUMMYFUNCTION("GOOGLETRANSLATE(B30387,""en"",""pt"")"),"Staines")</f>
        <v>Staines</v>
      </c>
      <c r="B6944" s="17" t="s">
        <v>27700</v>
      </c>
      <c r="C6944" s="17" t="s">
        <v>27234</v>
      </c>
      <c r="D6944" s="17" t="s">
        <v>27241</v>
      </c>
      <c r="E6944" s="10">
        <v>2637126</v>
      </c>
      <c r="F6944" s="4" t="str">
        <f>IF(B6944=B6943,"",B6944)</f>
        <v/>
      </c>
    </row>
    <row r="6945" spans="1:6" ht="15.75" customHeight="1">
      <c r="A6945" s="6" t="s">
        <v>27699</v>
      </c>
      <c r="B6945" s="6" t="s">
        <v>27699</v>
      </c>
      <c r="C6945" s="6" t="s">
        <v>27234</v>
      </c>
      <c r="D6945" s="6" t="s">
        <v>27241</v>
      </c>
      <c r="E6945" s="2">
        <v>2637142</v>
      </c>
      <c r="F6945" s="4" t="str">
        <f>IF(B6945=B6944,"",B6945)</f>
        <v>Stafford</v>
      </c>
    </row>
    <row r="6946" spans="1:6" ht="15.75" customHeight="1">
      <c r="A6946" s="5" t="str">
        <f ca="1">IFERROR(__xludf.DUMMYFUNCTION("GOOGLETRANSLATE(B30388,""en"",""pt"")"),"Stafford")</f>
        <v>Stafford</v>
      </c>
      <c r="B6946" s="17" t="s">
        <v>27699</v>
      </c>
      <c r="C6946" s="17" t="s">
        <v>27234</v>
      </c>
      <c r="D6946" s="17" t="s">
        <v>27241</v>
      </c>
      <c r="E6946" s="10">
        <v>2637142</v>
      </c>
      <c r="F6946" s="4" t="str">
        <f>IF(B6946=B6945,"",B6946)</f>
        <v/>
      </c>
    </row>
    <row r="6947" spans="1:6" ht="15.75" customHeight="1">
      <c r="A6947" s="6" t="s">
        <v>9165</v>
      </c>
      <c r="B6947" s="6" t="s">
        <v>9165</v>
      </c>
      <c r="C6947" s="6" t="s">
        <v>8028</v>
      </c>
      <c r="D6947" s="6" t="s">
        <v>8029</v>
      </c>
      <c r="E6947" s="2">
        <v>2829758</v>
      </c>
      <c r="F6947" s="4" t="str">
        <f>IF(B6947=B6946,"",B6947)</f>
        <v>Stadtlohn</v>
      </c>
    </row>
    <row r="6948" spans="1:6" ht="15.75" customHeight="1">
      <c r="A6948" s="5" t="str">
        <f ca="1">IFERROR(__xludf.DUMMYFUNCTION("GOOGLETRANSLATE(B27506,""en"",""pt"")"),"Stadtlohn")</f>
        <v>Stadtlohn</v>
      </c>
      <c r="B6948" s="17" t="s">
        <v>9165</v>
      </c>
      <c r="C6948" s="17" t="s">
        <v>8028</v>
      </c>
      <c r="D6948" s="17" t="s">
        <v>8029</v>
      </c>
      <c r="E6948" s="10">
        <v>2829758</v>
      </c>
      <c r="F6948" s="4" t="str">
        <f>IF(B6948=B6947,"",B6948)</f>
        <v/>
      </c>
    </row>
    <row r="6949" spans="1:6" ht="15.75" customHeight="1">
      <c r="A6949" s="5" t="s">
        <v>9164</v>
      </c>
      <c r="B6949" s="6" t="s">
        <v>9164</v>
      </c>
      <c r="C6949" s="5" t="s">
        <v>8028</v>
      </c>
      <c r="D6949" s="5" t="s">
        <v>8034</v>
      </c>
      <c r="E6949" s="2">
        <v>2829777</v>
      </c>
      <c r="F6949" s="4" t="str">
        <f>IF(B6949=B6948,"",B6949)</f>
        <v>Stadthagen</v>
      </c>
    </row>
    <row r="6950" spans="1:6" ht="15.75" customHeight="1">
      <c r="A6950" s="5" t="str">
        <f ca="1">IFERROR(__xludf.DUMMYFUNCTION("GOOGLETRANSLATE(B27507,""en"",""pt"")"),"Stadthagen")</f>
        <v>Stadthagen</v>
      </c>
      <c r="B6950" s="17" t="s">
        <v>9164</v>
      </c>
      <c r="C6950" s="17" t="s">
        <v>8028</v>
      </c>
      <c r="D6950" s="17" t="s">
        <v>8034</v>
      </c>
      <c r="E6950" s="10">
        <v>2829777</v>
      </c>
      <c r="F6950" s="4" t="str">
        <f>IF(B6950=B6949,"",B6950)</f>
        <v/>
      </c>
    </row>
    <row r="6951" spans="1:6" ht="15.75" customHeight="1">
      <c r="A6951" s="5" t="s">
        <v>9163</v>
      </c>
      <c r="B6951" s="6" t="s">
        <v>9163</v>
      </c>
      <c r="C6951" s="5" t="s">
        <v>8028</v>
      </c>
      <c r="D6951" s="5" t="s">
        <v>8050</v>
      </c>
      <c r="E6951" s="2">
        <v>2829804</v>
      </c>
      <c r="F6951" s="4" t="str">
        <f>IF(B6951=B6950,"",B6951)</f>
        <v>Stadtallendorf</v>
      </c>
    </row>
    <row r="6952" spans="1:6" ht="15.75" customHeight="1">
      <c r="A6952" s="5" t="str">
        <f ca="1">IFERROR(__xludf.DUMMYFUNCTION("GOOGLETRANSLATE(B27508,""en"",""pt"")"),"Stadtallendorf")</f>
        <v>Stadtallendorf</v>
      </c>
      <c r="B6952" s="17" t="s">
        <v>9163</v>
      </c>
      <c r="C6952" s="17" t="s">
        <v>8028</v>
      </c>
      <c r="D6952" s="17" t="s">
        <v>8050</v>
      </c>
      <c r="E6952" s="10">
        <v>2829804</v>
      </c>
      <c r="F6952" s="4" t="str">
        <f>IF(B6952=B6951,"",B6952)</f>
        <v/>
      </c>
    </row>
    <row r="6953" spans="1:6" ht="15.75" customHeight="1">
      <c r="A6953" s="5" t="s">
        <v>25312</v>
      </c>
      <c r="B6953" s="6" t="s">
        <v>25312</v>
      </c>
      <c r="C6953" s="5" t="s">
        <v>25237</v>
      </c>
      <c r="D6953" s="5" t="s">
        <v>25240</v>
      </c>
      <c r="E6953" s="2">
        <v>6295520</v>
      </c>
      <c r="F6953" s="4" t="str">
        <f>IF(B6953=B6952,"",B6953)</f>
        <v>Stadt Winterthur (Kreis 1)</v>
      </c>
    </row>
    <row r="6954" spans="1:6" ht="15.75" customHeight="1">
      <c r="A6954" s="5" t="str">
        <f ca="1">IFERROR(__xludf.DUMMYFUNCTION("GOOGLETRANSLATE(B25812,""en"",""pt"")"),"Stadt Winterthur (Kreis 1)")</f>
        <v>Stadt Winterthur (Kreis 1)</v>
      </c>
      <c r="B6954" s="17" t="s">
        <v>25312</v>
      </c>
      <c r="C6954" s="17" t="s">
        <v>25237</v>
      </c>
      <c r="D6954" s="17" t="s">
        <v>25240</v>
      </c>
      <c r="E6954" s="10">
        <v>6295520</v>
      </c>
      <c r="F6954" s="4" t="str">
        <f>IF(B6954=B6953,"",B6954)</f>
        <v/>
      </c>
    </row>
    <row r="6955" spans="1:6" ht="15.75" customHeight="1">
      <c r="A6955" s="5" t="s">
        <v>19094</v>
      </c>
      <c r="B6955" s="6" t="s">
        <v>19094</v>
      </c>
      <c r="C6955" s="5" t="s">
        <v>18862</v>
      </c>
      <c r="D6955" s="5" t="s">
        <v>18935</v>
      </c>
      <c r="E6955" s="2">
        <v>2746860</v>
      </c>
      <c r="F6955" s="4" t="str">
        <f>IF(B6955=B6954,"",B6955)</f>
        <v>Stadskanaal</v>
      </c>
    </row>
    <row r="6956" spans="1:6" ht="15.75" customHeight="1">
      <c r="A6956" s="5" t="str">
        <f ca="1">IFERROR(__xludf.DUMMYFUNCTION("GOOGLETRANSLATE(B37948,""en"",""pt"")"),"Stadskanaal")</f>
        <v>Stadskanaal</v>
      </c>
      <c r="B6956" s="17" t="s">
        <v>19094</v>
      </c>
      <c r="C6956" s="17" t="s">
        <v>18862</v>
      </c>
      <c r="D6956" s="17" t="s">
        <v>18935</v>
      </c>
      <c r="E6956" s="10">
        <v>2746860</v>
      </c>
      <c r="F6956" s="4" t="str">
        <f>IF(B6956=B6955,"",B6956)</f>
        <v/>
      </c>
    </row>
    <row r="6957" spans="1:6" ht="15.75" customHeight="1">
      <c r="A6957" s="6" t="s">
        <v>9162</v>
      </c>
      <c r="B6957" s="6" t="s">
        <v>9162</v>
      </c>
      <c r="C6957" s="6" t="s">
        <v>8028</v>
      </c>
      <c r="D6957" s="6" t="s">
        <v>8034</v>
      </c>
      <c r="E6957" s="2">
        <v>2829901</v>
      </c>
      <c r="F6957" s="4" t="str">
        <f>IF(B6957=B6956,"",B6957)</f>
        <v>Stade</v>
      </c>
    </row>
    <row r="6958" spans="1:6" ht="15.75" customHeight="1">
      <c r="A6958" s="5" t="str">
        <f ca="1">IFERROR(__xludf.DUMMYFUNCTION("GOOGLETRANSLATE(B27509,""en"",""pt"")"),"Stade")</f>
        <v>Stade</v>
      </c>
      <c r="B6958" s="17" t="s">
        <v>9162</v>
      </c>
      <c r="C6958" s="17" t="s">
        <v>8028</v>
      </c>
      <c r="D6958" s="17" t="s">
        <v>8034</v>
      </c>
      <c r="E6958" s="10">
        <v>2829901</v>
      </c>
      <c r="F6958" s="4" t="str">
        <f>IF(B6958=B6957,"",B6958)</f>
        <v/>
      </c>
    </row>
    <row r="6959" spans="1:6" ht="15.75" customHeight="1">
      <c r="A6959" s="6" t="s">
        <v>1693</v>
      </c>
      <c r="B6959" s="6" t="s">
        <v>1693</v>
      </c>
      <c r="C6959" s="6" t="s">
        <v>1512</v>
      </c>
      <c r="D6959" s="6" t="s">
        <v>1513</v>
      </c>
      <c r="E6959" s="2">
        <v>2786229</v>
      </c>
      <c r="F6959" s="4" t="str">
        <f>IF(B6959=B6958,"",B6959)</f>
        <v>Stabroek</v>
      </c>
    </row>
    <row r="6960" spans="1:6" ht="15.75" customHeight="1">
      <c r="A6960" s="5" t="str">
        <f ca="1">IFERROR(__xludf.DUMMYFUNCTION("GOOGLETRANSLATE(B23824,""en"",""pt"")"),"Stabroek")</f>
        <v>Stabroek</v>
      </c>
      <c r="B6960" s="17" t="s">
        <v>1693</v>
      </c>
      <c r="C6960" s="17" t="s">
        <v>1512</v>
      </c>
      <c r="D6960" s="17" t="s">
        <v>1513</v>
      </c>
      <c r="E6960" s="10">
        <v>2786229</v>
      </c>
      <c r="F6960" s="4" t="str">
        <f>IF(B6960=B6959,"",B6960)</f>
        <v/>
      </c>
    </row>
    <row r="6961" spans="1:6" ht="15.75" customHeight="1">
      <c r="A6961" s="6" t="s">
        <v>14177</v>
      </c>
      <c r="B6961" s="6" t="s">
        <v>14177</v>
      </c>
      <c r="C6961" s="6" t="s">
        <v>13800</v>
      </c>
      <c r="D6961" s="6" t="s">
        <v>13830</v>
      </c>
      <c r="E6961" s="2">
        <v>1213655</v>
      </c>
      <c r="F6961" s="4" t="str">
        <f>IF(B6961=B6960,"",B6961)</f>
        <v>Stabat</v>
      </c>
    </row>
    <row r="6962" spans="1:6" ht="15.75" customHeight="1">
      <c r="A6962" s="5" t="str">
        <f ca="1">IFERROR(__xludf.DUMMYFUNCTION("GOOGLETRANSLATE(B31358,""en"",""pt"")"),"Stabat")</f>
        <v>Stabat</v>
      </c>
      <c r="B6962" s="17" t="s">
        <v>14177</v>
      </c>
      <c r="C6962" s="17" t="s">
        <v>13800</v>
      </c>
      <c r="D6962" s="17" t="s">
        <v>13830</v>
      </c>
      <c r="E6962" s="10">
        <v>1213655</v>
      </c>
      <c r="F6962" s="4" t="str">
        <f>IF(B6962=B6961,"",B6962)</f>
        <v/>
      </c>
    </row>
    <row r="6963" spans="1:6" ht="15.75" customHeight="1">
      <c r="A6963" s="6" t="s">
        <v>9160</v>
      </c>
      <c r="B6963" s="6" t="s">
        <v>9161</v>
      </c>
      <c r="C6963" s="6" t="s">
        <v>8028</v>
      </c>
      <c r="D6963" s="6" t="s">
        <v>8085</v>
      </c>
      <c r="E6963" s="2">
        <v>2829422</v>
      </c>
      <c r="F6963" s="4" t="str">
        <f>IF(B6963=B6962,"",B6963)</f>
        <v>StaÃŸfurt</v>
      </c>
    </row>
    <row r="6964" spans="1:6" ht="15.75" customHeight="1">
      <c r="A6964" s="6" t="s">
        <v>9159</v>
      </c>
      <c r="B6964" s="6" t="s">
        <v>9159</v>
      </c>
      <c r="C6964" s="6" t="s">
        <v>8028</v>
      </c>
      <c r="D6964" s="6" t="s">
        <v>8036</v>
      </c>
      <c r="E6964" s="2">
        <v>2829962</v>
      </c>
      <c r="F6964" s="4" t="str">
        <f>IF(B6964=B6963,"",B6964)</f>
        <v>Staaken</v>
      </c>
    </row>
    <row r="6965" spans="1:6" ht="15.75" customHeight="1">
      <c r="A6965" s="5" t="str">
        <f ca="1">IFERROR(__xludf.DUMMYFUNCTION("GOOGLETRANSLATE(B27510,""en"",""pt"")"),"Staaken")</f>
        <v>Staaken</v>
      </c>
      <c r="B6965" s="17" t="s">
        <v>9159</v>
      </c>
      <c r="C6965" s="17" t="s">
        <v>8028</v>
      </c>
      <c r="D6965" s="17" t="s">
        <v>8036</v>
      </c>
      <c r="E6965" s="10">
        <v>2829962</v>
      </c>
      <c r="F6965" s="4" t="str">
        <f>IF(B6965=B6964,"",B6965)</f>
        <v/>
      </c>
    </row>
    <row r="6966" spans="1:6" ht="15.75" customHeight="1">
      <c r="A6966" s="5" t="s">
        <v>4210</v>
      </c>
      <c r="B6966" s="6" t="s">
        <v>4210</v>
      </c>
      <c r="C6966" s="5" t="s">
        <v>3975</v>
      </c>
      <c r="D6966" s="5" t="s">
        <v>3980</v>
      </c>
      <c r="E6966" s="2">
        <v>6158357</v>
      </c>
      <c r="F6966" s="4" t="str">
        <f>IF(B6966=B6965,"",B6966)</f>
        <v>St. Thomas</v>
      </c>
    </row>
    <row r="6967" spans="1:6" ht="15.75" customHeight="1">
      <c r="A6967" s="5" t="str">
        <f ca="1">IFERROR(__xludf.DUMMYFUNCTION("GOOGLETRANSLATE(B25591,""en"",""pt"")"),"St. Thomas")</f>
        <v>St. Thomas</v>
      </c>
      <c r="B6967" s="17" t="s">
        <v>4210</v>
      </c>
      <c r="C6967" s="17" t="s">
        <v>3975</v>
      </c>
      <c r="D6967" s="17" t="s">
        <v>3980</v>
      </c>
      <c r="E6967" s="10">
        <v>6158357</v>
      </c>
      <c r="F6967" s="4" t="str">
        <f>IF(B6967=B6966,"",B6967)</f>
        <v/>
      </c>
    </row>
    <row r="6968" spans="1:6" ht="15.75" customHeight="1">
      <c r="A6968" s="6" t="s">
        <v>9158</v>
      </c>
      <c r="B6968" s="6" t="s">
        <v>9158</v>
      </c>
      <c r="C6968" s="6" t="s">
        <v>8028</v>
      </c>
      <c r="D6968" s="6" t="s">
        <v>8059</v>
      </c>
      <c r="E6968" s="2">
        <v>6944296</v>
      </c>
      <c r="F6968" s="4" t="str">
        <f>IF(B6968=B6967,"",B6968)</f>
        <v>St. Pauli</v>
      </c>
    </row>
    <row r="6969" spans="1:6" ht="15.75" customHeight="1">
      <c r="A6969" s="5" t="str">
        <f ca="1">IFERROR(__xludf.DUMMYFUNCTION("GOOGLETRANSLATE(B28375,""en"",""pt"")"),"St. Pauli")</f>
        <v>St. Pauli</v>
      </c>
      <c r="B6969" s="17" t="s">
        <v>9158</v>
      </c>
      <c r="C6969" s="17" t="s">
        <v>8028</v>
      </c>
      <c r="D6969" s="17" t="s">
        <v>8059</v>
      </c>
      <c r="E6969" s="10">
        <v>6944296</v>
      </c>
      <c r="F6969" s="4" t="str">
        <f>IF(B6969=B6968,"",B6969)</f>
        <v/>
      </c>
    </row>
    <row r="6970" spans="1:6" ht="15.75" customHeight="1">
      <c r="A6970" s="6" t="s">
        <v>30089</v>
      </c>
      <c r="B6970" s="6" t="s">
        <v>30089</v>
      </c>
      <c r="C6970" s="6" t="s">
        <v>27788</v>
      </c>
      <c r="D6970" s="6" t="s">
        <v>7988</v>
      </c>
      <c r="E6970" s="2">
        <v>4220629</v>
      </c>
      <c r="F6970" s="4" t="str">
        <f>IF(B6970=B6969,"",B6970)</f>
        <v>St. Marys</v>
      </c>
    </row>
    <row r="6971" spans="1:6" ht="15.75" customHeight="1">
      <c r="A6971" s="5" t="str">
        <f ca="1">IFERROR(__xludf.DUMMYFUNCTION("GOOGLETRANSLATE(B43106,""en"",""pt"")"),"St. Marys")</f>
        <v>St. Marys</v>
      </c>
      <c r="B6971" s="17" t="s">
        <v>30089</v>
      </c>
      <c r="C6971" s="17" t="s">
        <v>27788</v>
      </c>
      <c r="D6971" s="17" t="s">
        <v>7988</v>
      </c>
      <c r="E6971" s="10">
        <v>4220629</v>
      </c>
      <c r="F6971" s="4" t="str">
        <f>IF(B6971=B6970,"",B6971)</f>
        <v/>
      </c>
    </row>
    <row r="6972" spans="1:6" ht="15.75" customHeight="1">
      <c r="A6972" s="6" t="s">
        <v>30087</v>
      </c>
      <c r="B6972" s="6" t="s">
        <v>30088</v>
      </c>
      <c r="C6972" s="6" t="s">
        <v>27788</v>
      </c>
      <c r="D6972" s="6" t="s">
        <v>27806</v>
      </c>
      <c r="E6972" s="2">
        <v>4407066</v>
      </c>
      <c r="F6972" s="4" t="str">
        <f>IF(B6972=B6971,"",B6972)</f>
        <v>St. Louis</v>
      </c>
    </row>
    <row r="6973" spans="1:6" ht="15.75" customHeight="1">
      <c r="A6973" s="5" t="str">
        <f ca="1">IFERROR(__xludf.DUMMYFUNCTION("GOOGLETRANSLATE(B43388,""en"",""pt"")"),"São Luís")</f>
        <v>São Luís</v>
      </c>
      <c r="B6973" s="17" t="s">
        <v>30088</v>
      </c>
      <c r="C6973" s="17" t="s">
        <v>27788</v>
      </c>
      <c r="D6973" s="17" t="s">
        <v>27806</v>
      </c>
      <c r="E6973" s="10">
        <v>4407066</v>
      </c>
      <c r="F6973" s="4" t="str">
        <f>IF(B6973=B6972,"",B6973)</f>
        <v/>
      </c>
    </row>
    <row r="6974" spans="1:6" ht="15.75" customHeight="1">
      <c r="A6974" s="6" t="s">
        <v>4209</v>
      </c>
      <c r="B6974" s="6" t="s">
        <v>4209</v>
      </c>
      <c r="C6974" s="6" t="s">
        <v>3975</v>
      </c>
      <c r="D6974" s="6" t="s">
        <v>4031</v>
      </c>
      <c r="E6974" s="2">
        <v>6324733</v>
      </c>
      <c r="F6974" s="4" t="str">
        <f>IF(B6974=B6973,"",B6974)</f>
        <v>St. John's</v>
      </c>
    </row>
    <row r="6975" spans="1:6" ht="15.75" customHeight="1">
      <c r="A6975" s="5" t="str">
        <f ca="1">IFERROR(__xludf.DUMMYFUNCTION("GOOGLETRANSLATE(B25621,""en"",""pt"")"),"St. John's")</f>
        <v>St. John's</v>
      </c>
      <c r="B6975" s="17" t="s">
        <v>4209</v>
      </c>
      <c r="C6975" s="17" t="s">
        <v>3975</v>
      </c>
      <c r="D6975" s="17" t="s">
        <v>4031</v>
      </c>
      <c r="E6975" s="10">
        <v>6324733</v>
      </c>
      <c r="F6975" s="4" t="str">
        <f>IF(B6975=B6974,"",B6975)</f>
        <v/>
      </c>
    </row>
    <row r="6976" spans="1:6" ht="15.75" customHeight="1">
      <c r="A6976" s="5" t="s">
        <v>4208</v>
      </c>
      <c r="B6976" s="6" t="s">
        <v>4208</v>
      </c>
      <c r="C6976" s="5" t="s">
        <v>3975</v>
      </c>
      <c r="D6976" s="5" t="s">
        <v>3980</v>
      </c>
      <c r="E6976" s="2">
        <v>6155721</v>
      </c>
      <c r="F6976" s="4" t="str">
        <f>IF(B6976=B6975,"",B6976)</f>
        <v>St. Catharines</v>
      </c>
    </row>
    <row r="6977" spans="1:6" ht="15.75" customHeight="1">
      <c r="A6977" s="5" t="str">
        <f ca="1">IFERROR(__xludf.DUMMYFUNCTION("GOOGLETRANSLATE(B25589,""en"",""pt"")"),"St. Catharines")</f>
        <v>St. Catharines</v>
      </c>
      <c r="B6977" s="17" t="s">
        <v>4208</v>
      </c>
      <c r="C6977" s="17" t="s">
        <v>3975</v>
      </c>
      <c r="D6977" s="17" t="s">
        <v>3980</v>
      </c>
      <c r="E6977" s="10">
        <v>6155721</v>
      </c>
      <c r="F6977" s="4" t="str">
        <f>IF(B6977=B6976,"",B6977)</f>
        <v/>
      </c>
    </row>
    <row r="6978" spans="1:6" ht="15.75" customHeight="1">
      <c r="A6978" s="6" t="s">
        <v>4207</v>
      </c>
      <c r="B6978" s="6" t="s">
        <v>4207</v>
      </c>
      <c r="C6978" s="6" t="s">
        <v>3975</v>
      </c>
      <c r="D6978" s="6" t="s">
        <v>3978</v>
      </c>
      <c r="E6978" s="2">
        <v>6155033</v>
      </c>
      <c r="F6978" s="4" t="str">
        <f>IF(B6978=B6977,"",B6978)</f>
        <v>St. Albert</v>
      </c>
    </row>
    <row r="6979" spans="1:6" ht="15.75" customHeight="1">
      <c r="A6979" s="5" t="str">
        <f ca="1">IFERROR(__xludf.DUMMYFUNCTION("GOOGLETRANSLATE(B25588,""en"",""pt"")"),"St. Albert")</f>
        <v>St. Albert</v>
      </c>
      <c r="B6979" s="17" t="s">
        <v>4207</v>
      </c>
      <c r="C6979" s="17" t="s">
        <v>3975</v>
      </c>
      <c r="D6979" s="17" t="s">
        <v>3978</v>
      </c>
      <c r="E6979" s="10">
        <v>6155033</v>
      </c>
      <c r="F6979" s="4" t="str">
        <f>IF(B6979=B6978,"",B6979)</f>
        <v/>
      </c>
    </row>
    <row r="6980" spans="1:6" ht="15.75" customHeight="1">
      <c r="A6980" s="6" t="s">
        <v>27698</v>
      </c>
      <c r="B6980" s="6" t="s">
        <v>27698</v>
      </c>
      <c r="C6980" s="6" t="s">
        <v>27234</v>
      </c>
      <c r="D6980" s="6" t="s">
        <v>27241</v>
      </c>
      <c r="E6980" s="2">
        <v>2638785</v>
      </c>
      <c r="F6980" s="4" t="str">
        <f>IF(B6980=B6979,"",B6980)</f>
        <v>St Helens</v>
      </c>
    </row>
    <row r="6981" spans="1:6" ht="15.75" customHeight="1">
      <c r="A6981" s="5" t="str">
        <f ca="1">IFERROR(__xludf.DUMMYFUNCTION("GOOGLETRANSLATE(B30423,""en"",""pt"")"),"St Helens")</f>
        <v>St Helens</v>
      </c>
      <c r="B6981" s="17" t="s">
        <v>27698</v>
      </c>
      <c r="C6981" s="17" t="s">
        <v>27234</v>
      </c>
      <c r="D6981" s="17" t="s">
        <v>27241</v>
      </c>
      <c r="E6981" s="10">
        <v>2638785</v>
      </c>
      <c r="F6981" s="4" t="str">
        <f>IF(B6981=B6980,"",B6981)</f>
        <v/>
      </c>
    </row>
    <row r="6982" spans="1:6" ht="15.75" customHeight="1">
      <c r="A6982" s="6" t="s">
        <v>27697</v>
      </c>
      <c r="B6982" s="6" t="s">
        <v>27697</v>
      </c>
      <c r="C6982" s="6" t="s">
        <v>27234</v>
      </c>
      <c r="D6982" s="6" t="s">
        <v>27241</v>
      </c>
      <c r="E6982" s="2">
        <v>2638853</v>
      </c>
      <c r="F6982" s="4" t="str">
        <f>IF(B6982=B6981,"",B6982)</f>
        <v>St Austell</v>
      </c>
    </row>
    <row r="6983" spans="1:6" ht="15.75" customHeight="1">
      <c r="A6983" s="5" t="str">
        <f ca="1">IFERROR(__xludf.DUMMYFUNCTION("GOOGLETRANSLATE(B30424,""en"",""pt"")"),"St Austell")</f>
        <v>St Austell</v>
      </c>
      <c r="B6983" s="17" t="s">
        <v>27697</v>
      </c>
      <c r="C6983" s="17" t="s">
        <v>27234</v>
      </c>
      <c r="D6983" s="17" t="s">
        <v>27241</v>
      </c>
      <c r="E6983" s="10">
        <v>2638853</v>
      </c>
      <c r="F6983" s="4" t="str">
        <f>IF(B6983=B6982,"",B6983)</f>
        <v/>
      </c>
    </row>
    <row r="6984" spans="1:6" ht="15.75" customHeight="1">
      <c r="A6984" s="6" t="s">
        <v>1083</v>
      </c>
      <c r="B6984" s="6" t="s">
        <v>1083</v>
      </c>
      <c r="C6984" s="6" t="s">
        <v>885</v>
      </c>
      <c r="D6984" s="6" t="s">
        <v>827</v>
      </c>
      <c r="E6984" s="2">
        <v>8015209</v>
      </c>
      <c r="F6984" s="4" t="str">
        <f>IF(B6984=B6983,"",B6984)</f>
        <v>St Albans</v>
      </c>
    </row>
    <row r="6985" spans="1:6" ht="15.75" customHeight="1">
      <c r="A6985" s="6" t="s">
        <v>1083</v>
      </c>
      <c r="B6985" s="6" t="s">
        <v>1083</v>
      </c>
      <c r="C6985" s="6" t="s">
        <v>27234</v>
      </c>
      <c r="D6985" s="6" t="s">
        <v>27241</v>
      </c>
      <c r="E6985" s="2">
        <v>2638867</v>
      </c>
      <c r="F6985" s="4" t="str">
        <f>IF(B6985=B6984,"",B6985)</f>
        <v/>
      </c>
    </row>
    <row r="6986" spans="1:6" ht="15.75" customHeight="1">
      <c r="A6986" s="5" t="str">
        <f ca="1">IFERROR(__xludf.DUMMYFUNCTION("GOOGLETRANSLATE(B23592,""en"",""pt"")"),"St Albans")</f>
        <v>St Albans</v>
      </c>
      <c r="B6986" s="17" t="s">
        <v>1083</v>
      </c>
      <c r="C6986" s="17" t="s">
        <v>885</v>
      </c>
      <c r="D6986" s="17" t="s">
        <v>827</v>
      </c>
      <c r="E6986" s="10">
        <v>8015209</v>
      </c>
      <c r="F6986" s="4" t="str">
        <f>IF(B6986=B6985,"",B6986)</f>
        <v/>
      </c>
    </row>
    <row r="6987" spans="1:6" ht="15.75" customHeight="1">
      <c r="A6987" s="5" t="str">
        <f ca="1">IFERROR(__xludf.DUMMYFUNCTION("GOOGLETRANSLATE(B30426,""en"",""pt"")"),"St Albans")</f>
        <v>St Albans</v>
      </c>
      <c r="B6987" s="17" t="s">
        <v>1083</v>
      </c>
      <c r="C6987" s="17" t="s">
        <v>27234</v>
      </c>
      <c r="D6987" s="17" t="s">
        <v>27241</v>
      </c>
      <c r="E6987" s="10">
        <v>2638867</v>
      </c>
      <c r="F6987" s="4" t="str">
        <f>IF(B6987=B6986,"",B6987)</f>
        <v/>
      </c>
    </row>
    <row r="6988" spans="1:6" ht="15.75" customHeight="1">
      <c r="A6988" s="6" t="s">
        <v>14176</v>
      </c>
      <c r="B6988" s="6" t="s">
        <v>14176</v>
      </c>
      <c r="C6988" s="6" t="s">
        <v>13800</v>
      </c>
      <c r="D6988" s="6" t="s">
        <v>13816</v>
      </c>
      <c r="E6988" s="2">
        <v>1626486</v>
      </c>
      <c r="F6988" s="4" t="str">
        <f>IF(B6988=B6987,"",B6988)</f>
        <v>Srono</v>
      </c>
    </row>
    <row r="6989" spans="1:6" ht="15.75" customHeight="1">
      <c r="A6989" s="5" t="str">
        <f ca="1">IFERROR(__xludf.DUMMYFUNCTION("GOOGLETRANSLATE(B31434,""en"",""pt"")"),"Srono")</f>
        <v>Srono</v>
      </c>
      <c r="B6989" s="17" t="s">
        <v>14176</v>
      </c>
      <c r="C6989" s="17" t="s">
        <v>13800</v>
      </c>
      <c r="D6989" s="17" t="s">
        <v>13816</v>
      </c>
      <c r="E6989" s="10">
        <v>1626486</v>
      </c>
      <c r="F6989" s="4" t="str">
        <f>IF(B6989=B6988,"",B6989)</f>
        <v/>
      </c>
    </row>
    <row r="6990" spans="1:6" ht="15.75" customHeight="1">
      <c r="A6990" s="5" t="str">
        <f ca="1">IFERROR(__xludf.DUMMYFUNCTION("GOOGLETRANSLATE(B39202,""en"",""pt"")"),"Śrósdmieście")</f>
        <v>Śrósdmieście</v>
      </c>
      <c r="B6990" s="17" t="s">
        <v>35080</v>
      </c>
      <c r="C6990" s="17" t="s">
        <v>21064</v>
      </c>
      <c r="D6990" s="17" t="s">
        <v>21070</v>
      </c>
      <c r="E6990" s="10">
        <v>758470</v>
      </c>
      <c r="F6990" s="4" t="str">
        <f>IF(B6990=B6989,"",B6990)</f>
        <v>Śródmieście</v>
      </c>
    </row>
    <row r="6991" spans="1:6" ht="15.75" customHeight="1">
      <c r="A6991" s="5" t="str">
        <f ca="1">IFERROR(__xludf.DUMMYFUNCTION("GOOGLETRANSLATE(B39348,""en"",""pt"")"),"Środa wielkopolska")</f>
        <v>Środa wielkopolska</v>
      </c>
      <c r="B6991" s="17" t="s">
        <v>35168</v>
      </c>
      <c r="C6991" s="17" t="s">
        <v>21064</v>
      </c>
      <c r="D6991" s="17" t="s">
        <v>21112</v>
      </c>
      <c r="E6991" s="10">
        <v>3085045</v>
      </c>
      <c r="F6991" s="4" t="str">
        <f>IF(B6991=B6990,"",B6991)</f>
        <v>Środa Wielkopolska</v>
      </c>
    </row>
    <row r="6992" spans="1:6" ht="15.75" customHeight="1">
      <c r="A6992" s="5" t="s">
        <v>13455</v>
      </c>
      <c r="B6992" s="6" t="s">
        <v>13455</v>
      </c>
      <c r="C6992" s="5" t="s">
        <v>10178</v>
      </c>
      <c r="D6992" s="5" t="s">
        <v>10196</v>
      </c>
      <c r="E6992" s="2">
        <v>1255616</v>
      </c>
      <c r="F6992" s="4" t="str">
        <f>IF(B6992=B6991,"",B6992)</f>
        <v>Srivilliputhur</v>
      </c>
    </row>
    <row r="6993" spans="1:6" ht="15.75" customHeight="1">
      <c r="A6993" s="5" t="str">
        <f ca="1">IFERROR(__xludf.DUMMYFUNCTION("GOOGLETRANSLATE(B32074,""en"",""pt"")"),"Srivilliputhur")</f>
        <v>Srivilliputhur</v>
      </c>
      <c r="B6993" s="17" t="s">
        <v>13455</v>
      </c>
      <c r="C6993" s="17" t="s">
        <v>10178</v>
      </c>
      <c r="D6993" s="17" t="s">
        <v>10196</v>
      </c>
      <c r="E6993" s="10">
        <v>1255616</v>
      </c>
      <c r="F6993" s="4" t="str">
        <f>IF(B6993=B6992,"",B6993)</f>
        <v/>
      </c>
    </row>
    <row r="6994" spans="1:6" ht="15.75" customHeight="1">
      <c r="A6994" s="5" t="str">
        <f ca="1">IFERROR(__xludf.DUMMYFUNCTION("GOOGLETRANSLATE(B32075,""en"",""pt"")"),"Srīvardhan")</f>
        <v>Srīvardhan</v>
      </c>
      <c r="B6994" s="17" t="s">
        <v>33044</v>
      </c>
      <c r="C6994" s="17" t="s">
        <v>10178</v>
      </c>
      <c r="D6994" s="17" t="s">
        <v>10214</v>
      </c>
      <c r="E6994" s="10">
        <v>1255619</v>
      </c>
      <c r="F6994" s="4" t="str">
        <f>IF(B6994=B6993,"",B6994)</f>
        <v>Srīvardhan</v>
      </c>
    </row>
    <row r="6995" spans="1:6" ht="15.75" customHeight="1">
      <c r="A6995" s="5" t="s">
        <v>13454</v>
      </c>
      <c r="B6995" s="6" t="s">
        <v>13454</v>
      </c>
      <c r="C6995" s="5" t="s">
        <v>10178</v>
      </c>
      <c r="D6995" s="5" t="s">
        <v>10196</v>
      </c>
      <c r="E6995" s="2">
        <v>1255620</v>
      </c>
      <c r="F6995" s="4" t="str">
        <f>IF(B6995=B6994,"",B6995)</f>
        <v>Srivaikuntam</v>
      </c>
    </row>
    <row r="6996" spans="1:6" ht="15.75" customHeight="1">
      <c r="A6996" s="5" t="str">
        <f ca="1">IFERROR(__xludf.DUMMYFUNCTION("GOOGLETRANSLATE(B32076,""en"",""pt"")"),"Srivaikuntam")</f>
        <v>Srivaikuntam</v>
      </c>
      <c r="B6996" s="17" t="s">
        <v>13454</v>
      </c>
      <c r="C6996" s="17" t="s">
        <v>10178</v>
      </c>
      <c r="D6996" s="17" t="s">
        <v>10196</v>
      </c>
      <c r="E6996" s="10">
        <v>1255620</v>
      </c>
      <c r="F6996" s="4" t="str">
        <f>IF(B6996=B6995,"",B6996)</f>
        <v/>
      </c>
    </row>
    <row r="6997" spans="1:6" ht="15.75" customHeight="1">
      <c r="A6997" s="5" t="str">
        <f ca="1">IFERROR(__xludf.DUMMYFUNCTION("GOOGLETRANSLATE(B32077,""en"",""pt"")"),"Srīsailain")</f>
        <v>Srīsailain</v>
      </c>
      <c r="B6997" s="17" t="s">
        <v>33045</v>
      </c>
      <c r="C6997" s="17" t="s">
        <v>10178</v>
      </c>
      <c r="D6997" s="17" t="s">
        <v>10190</v>
      </c>
      <c r="E6997" s="10">
        <v>1255621</v>
      </c>
      <c r="F6997" s="4" t="str">
        <f>IF(B6997=B6996,"",B6997)</f>
        <v>Srīsailain</v>
      </c>
    </row>
    <row r="6998" spans="1:6" ht="15.75" customHeight="1">
      <c r="A6998" s="5" t="str">
        <f ca="1">IFERROR(__xludf.DUMMYFUNCTION("GOOGLETRANSLATE(B34185,""en"",""pt"")"),"Srirāmpur")</f>
        <v>Srirāmpur</v>
      </c>
      <c r="B6998" s="17" t="s">
        <v>34060</v>
      </c>
      <c r="C6998" s="17" t="s">
        <v>10178</v>
      </c>
      <c r="D6998" s="17" t="s">
        <v>10201</v>
      </c>
      <c r="E6998" s="10">
        <v>1348562</v>
      </c>
      <c r="F6998" s="4" t="str">
        <f>IF(B6998=B6997,"",B6998)</f>
        <v>Srirāmpur</v>
      </c>
    </row>
    <row r="6999" spans="1:6" ht="15.75" customHeight="1">
      <c r="A6999" s="5" t="str">
        <f ca="1">IFERROR(__xludf.DUMMYFUNCTION("GOOGLETRANSLATE(B32078,""en"",""pt"")"),"Srīrāmnagar")</f>
        <v>Srīrāmnagar</v>
      </c>
      <c r="B6999" s="17" t="s">
        <v>33046</v>
      </c>
      <c r="C6999" s="17" t="s">
        <v>10178</v>
      </c>
      <c r="D6999" s="17" t="s">
        <v>10187</v>
      </c>
      <c r="E6999" s="10">
        <v>1255625</v>
      </c>
      <c r="F6999" s="4" t="str">
        <f>IF(B6999=B6998,"",B6999)</f>
        <v>Srīrāmnagar</v>
      </c>
    </row>
    <row r="7000" spans="1:6" ht="15.75" customHeight="1">
      <c r="A7000" s="5" t="s">
        <v>13452</v>
      </c>
      <c r="B7000" s="6" t="s">
        <v>13453</v>
      </c>
      <c r="C7000" s="5" t="s">
        <v>10178</v>
      </c>
      <c r="D7000" s="5" t="s">
        <v>10201</v>
      </c>
      <c r="E7000" s="2">
        <v>1348562</v>
      </c>
      <c r="F7000" s="4" t="str">
        <f>IF(B7000=B6999,"",B7000)</f>
        <v>SrirÄmpur</v>
      </c>
    </row>
    <row r="7001" spans="1:6" ht="15.75" customHeight="1">
      <c r="A7001" s="5" t="str">
        <f ca="1">IFERROR(__xludf.DUMMYFUNCTION("GOOGLETRANSLATE(B32079,""en"",""pt"")"),"Srīperumbūdūr")</f>
        <v>Srīperumbūdūr</v>
      </c>
      <c r="B7001" s="17" t="s">
        <v>33047</v>
      </c>
      <c r="C7001" s="17" t="s">
        <v>10178</v>
      </c>
      <c r="D7001" s="17" t="s">
        <v>10196</v>
      </c>
      <c r="E7001" s="10">
        <v>1255630</v>
      </c>
      <c r="F7001" s="4" t="str">
        <f>IF(B7001=B7000,"",B7001)</f>
        <v>Srīperumbūdūr</v>
      </c>
    </row>
    <row r="7002" spans="1:6" ht="15.75" customHeight="1">
      <c r="A7002" s="5" t="str">
        <f ca="1">IFERROR(__xludf.DUMMYFUNCTION("GOOGLETRANSLATE(B32080,""en"",""pt"")"),"Srīnivāspur")</f>
        <v>Srīnivāspur</v>
      </c>
      <c r="B7002" s="17" t="s">
        <v>33048</v>
      </c>
      <c r="C7002" s="17" t="s">
        <v>10178</v>
      </c>
      <c r="D7002" s="17" t="s">
        <v>10252</v>
      </c>
      <c r="E7002" s="10">
        <v>1255631</v>
      </c>
      <c r="F7002" s="4" t="str">
        <f>IF(B7002=B7001,"",B7002)</f>
        <v>Srīnivāspur</v>
      </c>
    </row>
    <row r="7003" spans="1:6" ht="15.75" customHeight="1">
      <c r="A7003" s="5" t="str">
        <f ca="1">IFERROR(__xludf.DUMMYFUNCTION("GOOGLETRANSLATE(B32082,""en"",""pt"")"),"Srīnagar")</f>
        <v>Srīnagar</v>
      </c>
      <c r="B7003" s="17" t="s">
        <v>33049</v>
      </c>
      <c r="C7003" s="17" t="s">
        <v>10178</v>
      </c>
      <c r="D7003" s="17" t="s">
        <v>10299</v>
      </c>
      <c r="E7003" s="10">
        <v>1255635</v>
      </c>
      <c r="F7003" s="4" t="str">
        <f>IF(B7003=B7002,"",B7003)</f>
        <v>Srīnagar</v>
      </c>
    </row>
    <row r="7004" spans="1:6" ht="15.75" customHeight="1">
      <c r="A7004" s="6" t="s">
        <v>13451</v>
      </c>
      <c r="B7004" s="6" t="s">
        <v>13451</v>
      </c>
      <c r="C7004" s="6" t="s">
        <v>10178</v>
      </c>
      <c r="D7004" s="6" t="s">
        <v>10355</v>
      </c>
      <c r="E7004" s="2">
        <v>1255634</v>
      </c>
      <c r="F7004" s="4" t="str">
        <f>IF(B7004=B7003,"",B7004)</f>
        <v>Srinagar</v>
      </c>
    </row>
    <row r="7005" spans="1:6" ht="15.75" customHeight="1">
      <c r="A7005" s="5" t="str">
        <f ca="1">IFERROR(__xludf.DUMMYFUNCTION("GOOGLETRANSLATE(B32081,""en"",""pt"")"),"Srinagar")</f>
        <v>Srinagar</v>
      </c>
      <c r="B7005" s="17" t="s">
        <v>13451</v>
      </c>
      <c r="C7005" s="17" t="s">
        <v>10178</v>
      </c>
      <c r="D7005" s="17" t="s">
        <v>10355</v>
      </c>
      <c r="E7005" s="10">
        <v>1255634</v>
      </c>
      <c r="F7005" s="4" t="str">
        <f>IF(B7005=B7004,"",B7005)</f>
        <v/>
      </c>
    </row>
    <row r="7006" spans="1:6" ht="15.75" customHeight="1">
      <c r="A7006" s="5" t="str">
        <f ca="1">IFERROR(__xludf.DUMMYFUNCTION("GOOGLETRANSLATE(B32083,""en"",""pt"")"),"Sri Mādhopur")</f>
        <v>Sri Mādhopur</v>
      </c>
      <c r="B7006" s="17" t="s">
        <v>33050</v>
      </c>
      <c r="C7006" s="17" t="s">
        <v>10178</v>
      </c>
      <c r="D7006" s="17" t="s">
        <v>10179</v>
      </c>
      <c r="E7006" s="10">
        <v>1255643</v>
      </c>
      <c r="F7006" s="4" t="str">
        <f>IF(B7006=B7005,"",B7006)</f>
        <v>Sri Mādhopur</v>
      </c>
    </row>
    <row r="7007" spans="1:6" ht="15.75" customHeight="1">
      <c r="A7007" s="5" t="s">
        <v>13449</v>
      </c>
      <c r="B7007" s="6" t="s">
        <v>13450</v>
      </c>
      <c r="C7007" s="5" t="s">
        <v>10178</v>
      </c>
      <c r="D7007" s="5" t="s">
        <v>10179</v>
      </c>
      <c r="E7007" s="2">
        <v>1255643</v>
      </c>
      <c r="F7007" s="4" t="str">
        <f>IF(B7007=B7006,"",B7007)</f>
        <v>Sri MÄdhopur</v>
      </c>
    </row>
    <row r="7008" spans="1:6" ht="15.75" customHeight="1">
      <c r="A7008" s="5" t="s">
        <v>24977</v>
      </c>
      <c r="B7008" s="6" t="s">
        <v>24977</v>
      </c>
      <c r="C7008" s="5" t="s">
        <v>24924</v>
      </c>
      <c r="D7008" s="5" t="s">
        <v>6944</v>
      </c>
      <c r="E7008" s="2">
        <v>1238992</v>
      </c>
      <c r="F7008" s="4" t="str">
        <f>IF(B7008=B7007,"",B7008)</f>
        <v>Sri Jayewardenepura Kotte</v>
      </c>
    </row>
    <row r="7009" spans="1:6" ht="15.75" customHeight="1">
      <c r="A7009" s="5" t="str">
        <f ca="1">IFERROR(__xludf.DUMMYFUNCTION("GOOGLETRANSLATE(B36310,""en"",""pt"")"),"Sri Jayewardenepura Kotte")</f>
        <v>Sri Jayewardenepura Kotte</v>
      </c>
      <c r="B7009" s="17" t="s">
        <v>24977</v>
      </c>
      <c r="C7009" s="17" t="s">
        <v>24924</v>
      </c>
      <c r="D7009" s="17" t="s">
        <v>6944</v>
      </c>
      <c r="E7009" s="10">
        <v>1238992</v>
      </c>
      <c r="F7009" s="4" t="str">
        <f>IF(B7009=B7008,"",B7009)</f>
        <v/>
      </c>
    </row>
    <row r="7010" spans="1:6" ht="15.75" customHeight="1">
      <c r="A7010" s="5" t="str">
        <f ca="1">IFERROR(__xludf.DUMMYFUNCTION("GOOGLETRANSLATE(B32086,""en"",""pt"")"),"Sri Dūngargarh")</f>
        <v>Sri Dūngargarh</v>
      </c>
      <c r="B7010" s="17" t="s">
        <v>33051</v>
      </c>
      <c r="C7010" s="17" t="s">
        <v>10178</v>
      </c>
      <c r="D7010" s="17" t="s">
        <v>10179</v>
      </c>
      <c r="E7010" s="10">
        <v>1255654</v>
      </c>
      <c r="F7010" s="4" t="str">
        <f>IF(B7010=B7009,"",B7010)</f>
        <v>Sri Dūngargarh</v>
      </c>
    </row>
    <row r="7011" spans="1:6" ht="15.75" customHeight="1">
      <c r="A7011" s="5" t="s">
        <v>13447</v>
      </c>
      <c r="B7011" s="6" t="s">
        <v>13448</v>
      </c>
      <c r="C7011" s="5" t="s">
        <v>10178</v>
      </c>
      <c r="D7011" s="5" t="s">
        <v>10179</v>
      </c>
      <c r="E7011" s="2">
        <v>1255654</v>
      </c>
      <c r="F7011" s="4" t="str">
        <f>IF(B7011=B7010,"",B7011)</f>
        <v>Sri DÅ«ngargarh</v>
      </c>
    </row>
    <row r="7012" spans="1:6" ht="15.75" customHeight="1">
      <c r="A7012" s="5" t="s">
        <v>23657</v>
      </c>
      <c r="B7012" s="6" t="s">
        <v>23657</v>
      </c>
      <c r="C7012" s="5" t="s">
        <v>23602</v>
      </c>
      <c r="D7012" s="5" t="s">
        <v>23610</v>
      </c>
      <c r="E7012" s="2">
        <v>3190103</v>
      </c>
      <c r="F7012" s="4" t="str">
        <f>IF(B7012=B7011,"",B7012)</f>
        <v>Sremska Mitrovica</v>
      </c>
    </row>
    <row r="7013" spans="1:6" ht="15.75" customHeight="1">
      <c r="A7013" s="5" t="str">
        <f ca="1">IFERROR(__xludf.DUMMYFUNCTION("GOOGLETRANSLATE(B39896,""en"",""pt"")"),"Sremska Mitrovica")</f>
        <v>Sremska Mitrovica</v>
      </c>
      <c r="B7013" s="17" t="s">
        <v>23657</v>
      </c>
      <c r="C7013" s="17" t="s">
        <v>23602</v>
      </c>
      <c r="D7013" s="17" t="s">
        <v>23610</v>
      </c>
      <c r="E7013" s="10">
        <v>3190103</v>
      </c>
      <c r="F7013" s="4" t="str">
        <f>IF(B7013=B7012,"",B7013)</f>
        <v/>
      </c>
    </row>
    <row r="7014" spans="1:6" ht="15.75" customHeight="1">
      <c r="A7014" s="5" t="str">
        <f ca="1">IFERROR(__xludf.DUMMYFUNCTION("GOOGLETRANSLATE(B39864,""en"",""pt"")"),"Srememčica")</f>
        <v>Srememčica</v>
      </c>
      <c r="B7014" s="17" t="s">
        <v>35414</v>
      </c>
      <c r="C7014" s="17" t="s">
        <v>23602</v>
      </c>
      <c r="D7014" s="17" t="s">
        <v>23603</v>
      </c>
      <c r="E7014" s="10">
        <v>785615</v>
      </c>
      <c r="F7014" s="4" t="str">
        <f>IF(B7014=B7013,"",B7014)</f>
        <v>Sremčica</v>
      </c>
    </row>
    <row r="7015" spans="1:6" ht="15.75" customHeight="1">
      <c r="A7015" s="5" t="s">
        <v>23655</v>
      </c>
      <c r="B7015" s="6" t="s">
        <v>23656</v>
      </c>
      <c r="C7015" s="5" t="s">
        <v>23602</v>
      </c>
      <c r="D7015" s="5" t="s">
        <v>23603</v>
      </c>
      <c r="E7015" s="2">
        <v>785615</v>
      </c>
      <c r="F7015" s="4" t="str">
        <f>IF(B7015=B7014,"",B7015)</f>
        <v>SremÄica</v>
      </c>
    </row>
    <row r="7016" spans="1:6" ht="15.75" customHeight="1">
      <c r="A7016" s="5" t="str">
        <f ca="1">IFERROR(__xludf.DUMMYFUNCTION("GOOGLETRANSLATE(B39349,""en"",""pt"")"),"Śrem")</f>
        <v>Śrem</v>
      </c>
      <c r="B7016" s="17" t="s">
        <v>35169</v>
      </c>
      <c r="C7016" s="17" t="s">
        <v>21064</v>
      </c>
      <c r="D7016" s="17" t="s">
        <v>21112</v>
      </c>
      <c r="E7016" s="10">
        <v>3085056</v>
      </c>
      <c r="F7016" s="4" t="str">
        <f>IF(B7016=B7015,"",B7016)</f>
        <v>Śrem</v>
      </c>
    </row>
    <row r="7017" spans="1:6" ht="15.75" customHeight="1">
      <c r="A7017" s="5" t="s">
        <v>23126</v>
      </c>
      <c r="B7017" s="6" t="s">
        <v>23126</v>
      </c>
      <c r="C7017" s="5" t="s">
        <v>22070</v>
      </c>
      <c r="D7017" s="5" t="s">
        <v>22106</v>
      </c>
      <c r="E7017" s="2">
        <v>1491159</v>
      </c>
      <c r="F7017" s="4" t="str">
        <f>IF(B7017=B7016,"",B7017)</f>
        <v>Sredneuralsk</v>
      </c>
    </row>
    <row r="7018" spans="1:6" ht="15.75" customHeight="1">
      <c r="A7018" s="5" t="str">
        <f ca="1">IFERROR(__xludf.DUMMYFUNCTION("GOOGLETRANSLATE(B40756,""en"",""pt"")"),"Sredneuralsk")</f>
        <v>Sredneuralsk</v>
      </c>
      <c r="B7018" s="17" t="s">
        <v>23126</v>
      </c>
      <c r="C7018" s="17" t="s">
        <v>22070</v>
      </c>
      <c r="D7018" s="17" t="s">
        <v>22106</v>
      </c>
      <c r="E7018" s="10">
        <v>1491159</v>
      </c>
      <c r="F7018" s="4" t="str">
        <f>IF(B7018=B7017,"",B7018)</f>
        <v/>
      </c>
    </row>
    <row r="7019" spans="1:6" ht="15.75" customHeight="1">
      <c r="A7019" s="5" t="s">
        <v>14175</v>
      </c>
      <c r="B7019" s="6" t="s">
        <v>14175</v>
      </c>
      <c r="C7019" s="5" t="s">
        <v>13800</v>
      </c>
      <c r="D7019" s="5" t="s">
        <v>13826</v>
      </c>
      <c r="E7019" s="2">
        <v>1626493</v>
      </c>
      <c r="F7019" s="4" t="str">
        <f>IF(B7019=B7018,"",B7019)</f>
        <v>Srandakan</v>
      </c>
    </row>
    <row r="7020" spans="1:6" ht="15.75" customHeight="1">
      <c r="A7020" s="5" t="str">
        <f ca="1">IFERROR(__xludf.DUMMYFUNCTION("GOOGLETRANSLATE(B31435,""en"",""pt"")"),"Srandakan")</f>
        <v>Srandakan</v>
      </c>
      <c r="B7020" s="17" t="s">
        <v>14175</v>
      </c>
      <c r="C7020" s="17" t="s">
        <v>13800</v>
      </c>
      <c r="D7020" s="17" t="s">
        <v>13826</v>
      </c>
      <c r="E7020" s="10">
        <v>1626493</v>
      </c>
      <c r="F7020" s="4" t="str">
        <f>IF(B7020=B7019,"",B7020)</f>
        <v/>
      </c>
    </row>
    <row r="7021" spans="1:6" ht="15.75" customHeight="1">
      <c r="A7021" s="6" t="s">
        <v>14173</v>
      </c>
      <c r="B7021" s="6" t="s">
        <v>14174</v>
      </c>
      <c r="C7021" s="6" t="s">
        <v>13800</v>
      </c>
      <c r="D7021" s="6" t="s">
        <v>13803</v>
      </c>
      <c r="E7021" s="2">
        <v>1626498</v>
      </c>
      <c r="F7021" s="4" t="str">
        <f>IF(B7021=B7020,"",B7021)</f>
        <v>Sragen</v>
      </c>
    </row>
    <row r="7022" spans="1:6" ht="15.75" customHeight="1">
      <c r="A7022" s="5" t="str">
        <f ca="1">IFERROR(__xludf.DUMMYFUNCTION("GOOGLETRANSLATE(B31436,""en"",""pt"")"),"SRAGEN")</f>
        <v>SRAGEN</v>
      </c>
      <c r="B7022" s="17" t="s">
        <v>14174</v>
      </c>
      <c r="C7022" s="17" t="s">
        <v>13800</v>
      </c>
      <c r="D7022" s="17" t="s">
        <v>13803</v>
      </c>
      <c r="E7022" s="10">
        <v>1626498</v>
      </c>
      <c r="F7022" s="4" t="str">
        <f>IF(B7022=B7021,"",B7022)</f>
        <v/>
      </c>
    </row>
    <row r="7023" spans="1:6" ht="15.75" customHeight="1">
      <c r="A7023" s="5" t="s">
        <v>13445</v>
      </c>
      <c r="B7023" s="6" t="s">
        <v>13446</v>
      </c>
      <c r="C7023" s="5" t="s">
        <v>10178</v>
      </c>
      <c r="D7023" s="5" t="s">
        <v>10214</v>
      </c>
      <c r="E7023" s="2">
        <v>1255619</v>
      </c>
      <c r="F7023" s="4" t="str">
        <f>IF(B7023=B7022,"",B7023)</f>
        <v>SrÄ«vardhan</v>
      </c>
    </row>
    <row r="7024" spans="1:6" ht="15.75" customHeight="1">
      <c r="A7024" s="5" t="s">
        <v>13443</v>
      </c>
      <c r="B7024" s="6" t="s">
        <v>13444</v>
      </c>
      <c r="C7024" s="5" t="s">
        <v>10178</v>
      </c>
      <c r="D7024" s="5" t="s">
        <v>10190</v>
      </c>
      <c r="E7024" s="2">
        <v>1255621</v>
      </c>
      <c r="F7024" s="4" t="str">
        <f>IF(B7024=B7023,"",B7024)</f>
        <v>SrÄ«sailain</v>
      </c>
    </row>
    <row r="7025" spans="1:6" ht="15.75" customHeight="1">
      <c r="A7025" s="5" t="s">
        <v>13441</v>
      </c>
      <c r="B7025" s="6" t="s">
        <v>13442</v>
      </c>
      <c r="C7025" s="5" t="s">
        <v>10178</v>
      </c>
      <c r="D7025" s="5" t="s">
        <v>10187</v>
      </c>
      <c r="E7025" s="2">
        <v>1255625</v>
      </c>
      <c r="F7025" s="4" t="str">
        <f>IF(B7025=B7024,"",B7025)</f>
        <v>SrÄ«rÄmnagar</v>
      </c>
    </row>
    <row r="7026" spans="1:6" ht="15.75" customHeight="1">
      <c r="A7026" s="5" t="s">
        <v>13439</v>
      </c>
      <c r="B7026" s="6" t="s">
        <v>13440</v>
      </c>
      <c r="C7026" s="5" t="s">
        <v>10178</v>
      </c>
      <c r="D7026" s="5" t="s">
        <v>10196</v>
      </c>
      <c r="E7026" s="2">
        <v>1255630</v>
      </c>
      <c r="F7026" s="4" t="str">
        <f>IF(B7026=B7025,"",B7026)</f>
        <v>SrÄ«perumbÅ«dÅ«r</v>
      </c>
    </row>
    <row r="7027" spans="1:6" ht="15.75" customHeight="1">
      <c r="A7027" s="5" t="s">
        <v>13437</v>
      </c>
      <c r="B7027" s="6" t="s">
        <v>13438</v>
      </c>
      <c r="C7027" s="5" t="s">
        <v>10178</v>
      </c>
      <c r="D7027" s="5" t="s">
        <v>10252</v>
      </c>
      <c r="E7027" s="2">
        <v>1255631</v>
      </c>
      <c r="F7027" s="4" t="str">
        <f>IF(B7027=B7026,"",B7027)</f>
        <v>SrÄ«nivÄspur</v>
      </c>
    </row>
    <row r="7028" spans="1:6" ht="15.75" customHeight="1">
      <c r="A7028" s="5" t="s">
        <v>13435</v>
      </c>
      <c r="B7028" s="6" t="s">
        <v>13436</v>
      </c>
      <c r="C7028" s="5" t="s">
        <v>10178</v>
      </c>
      <c r="D7028" s="5" t="s">
        <v>10299</v>
      </c>
      <c r="E7028" s="2">
        <v>1255635</v>
      </c>
      <c r="F7028" s="4" t="str">
        <f>IF(B7028=B7027,"",B7028)</f>
        <v>SrÄ«nagar</v>
      </c>
    </row>
    <row r="7029" spans="1:6" ht="15.75" customHeight="1">
      <c r="A7029" s="5" t="s">
        <v>4206</v>
      </c>
      <c r="B7029" s="6" t="s">
        <v>4206</v>
      </c>
      <c r="C7029" s="5" t="s">
        <v>3975</v>
      </c>
      <c r="D7029" s="5" t="s">
        <v>3978</v>
      </c>
      <c r="E7029" s="2">
        <v>6154383</v>
      </c>
      <c r="F7029" s="4" t="str">
        <f>IF(B7029=B7028,"",B7029)</f>
        <v>Spruce Grove</v>
      </c>
    </row>
    <row r="7030" spans="1:6" ht="15.75" customHeight="1">
      <c r="A7030" s="5" t="str">
        <f ca="1">IFERROR(__xludf.DUMMYFUNCTION("GOOGLETRANSLATE(B25587,""en"",""pt"")"),"Spruce Grove")</f>
        <v>Spruce Grove</v>
      </c>
      <c r="B7030" s="17" t="s">
        <v>4206</v>
      </c>
      <c r="C7030" s="17" t="s">
        <v>3975</v>
      </c>
      <c r="D7030" s="17" t="s">
        <v>3978</v>
      </c>
      <c r="E7030" s="10">
        <v>6154383</v>
      </c>
      <c r="F7030" s="4" t="str">
        <f>IF(B7030=B7029,"",B7030)</f>
        <v/>
      </c>
    </row>
    <row r="7031" spans="1:6" ht="15.75" customHeight="1">
      <c r="A7031" s="5" t="str">
        <f ca="1">IFERROR(__xludf.DUMMYFUNCTION("GOOGLETRANSLATE(B27511,""en"",""pt"")"),"Sprockhövel")</f>
        <v>Sprockhövel</v>
      </c>
      <c r="B7031" s="17" t="s">
        <v>32028</v>
      </c>
      <c r="C7031" s="17" t="s">
        <v>8028</v>
      </c>
      <c r="D7031" s="17" t="s">
        <v>8029</v>
      </c>
      <c r="E7031" s="10">
        <v>2829998</v>
      </c>
      <c r="F7031" s="4" t="str">
        <f>IF(B7031=B7030,"",B7031)</f>
        <v>Sprockhövel</v>
      </c>
    </row>
    <row r="7032" spans="1:6" ht="15.75" customHeight="1">
      <c r="A7032" s="5" t="s">
        <v>9156</v>
      </c>
      <c r="B7032" s="6" t="s">
        <v>9157</v>
      </c>
      <c r="C7032" s="5" t="s">
        <v>8028</v>
      </c>
      <c r="D7032" s="5" t="s">
        <v>8029</v>
      </c>
      <c r="E7032" s="2">
        <v>2829998</v>
      </c>
      <c r="F7032" s="4" t="str">
        <f>IF(B7032=B7031,"",B7032)</f>
        <v>SprockhÃ¶vel</v>
      </c>
    </row>
    <row r="7033" spans="1:6" ht="15.75" customHeight="1">
      <c r="A7033" s="5" t="s">
        <v>30086</v>
      </c>
      <c r="B7033" s="6" t="s">
        <v>30086</v>
      </c>
      <c r="C7033" s="5" t="s">
        <v>27788</v>
      </c>
      <c r="D7033" s="5" t="s">
        <v>27856</v>
      </c>
      <c r="E7033" s="2">
        <v>5781993</v>
      </c>
      <c r="F7033" s="4" t="str">
        <f>IF(B7033=B7032,"",B7033)</f>
        <v>Springville</v>
      </c>
    </row>
    <row r="7034" spans="1:6" ht="15.75" customHeight="1">
      <c r="A7034" s="5" t="str">
        <f ca="1">IFERROR(__xludf.DUMMYFUNCTION("GOOGLETRANSLATE(B45307,""en"",""pt"")"),"Springville")</f>
        <v>Springville</v>
      </c>
      <c r="B7034" s="17" t="s">
        <v>30086</v>
      </c>
      <c r="C7034" s="17" t="s">
        <v>27788</v>
      </c>
      <c r="D7034" s="17" t="s">
        <v>27856</v>
      </c>
      <c r="E7034" s="10">
        <v>5781993</v>
      </c>
      <c r="F7034" s="4" t="str">
        <f>IF(B7034=B7033,"",B7034)</f>
        <v/>
      </c>
    </row>
    <row r="7035" spans="1:6" ht="15.75" customHeight="1">
      <c r="A7035" s="5" t="s">
        <v>1082</v>
      </c>
      <c r="B7035" s="6" t="s">
        <v>1082</v>
      </c>
      <c r="C7035" s="5" t="s">
        <v>885</v>
      </c>
      <c r="D7035" s="5" t="s">
        <v>827</v>
      </c>
      <c r="E7035" s="2">
        <v>2148591</v>
      </c>
      <c r="F7035" s="4" t="str">
        <f>IF(B7035=B7034,"",B7035)</f>
        <v>Springvale</v>
      </c>
    </row>
    <row r="7036" spans="1:6" ht="15.75" customHeight="1">
      <c r="A7036" s="5" t="str">
        <f ca="1">IFERROR(__xludf.DUMMYFUNCTION("GOOGLETRANSLATE(B23449,""en"",""pt"")"),"Springvale")</f>
        <v>Springvale</v>
      </c>
      <c r="B7036" s="17" t="s">
        <v>1082</v>
      </c>
      <c r="C7036" s="17" t="s">
        <v>885</v>
      </c>
      <c r="D7036" s="17" t="s">
        <v>827</v>
      </c>
      <c r="E7036" s="10">
        <v>2148591</v>
      </c>
      <c r="F7036" s="4" t="str">
        <f>IF(B7036=B7035,"",B7036)</f>
        <v/>
      </c>
    </row>
    <row r="7037" spans="1:6" ht="15.75" customHeight="1">
      <c r="A7037" s="6" t="s">
        <v>23982</v>
      </c>
      <c r="B7037" s="6" t="s">
        <v>23983</v>
      </c>
      <c r="C7037" s="6" t="s">
        <v>23842</v>
      </c>
      <c r="D7037" s="6" t="s">
        <v>23855</v>
      </c>
      <c r="E7037" s="2">
        <v>952865</v>
      </c>
      <c r="F7037" s="4" t="str">
        <f>IF(B7037=B7036,"",B7037)</f>
        <v>Springs</v>
      </c>
    </row>
    <row r="7038" spans="1:6" ht="15.75" customHeight="1">
      <c r="A7038" s="5" t="str">
        <f ca="1">IFERROR(__xludf.DUMMYFUNCTION("GOOGLETRANSLATE(B45873,""en"",""pt"")"),"Molas")</f>
        <v>Molas</v>
      </c>
      <c r="B7038" s="17" t="s">
        <v>23983</v>
      </c>
      <c r="C7038" s="17" t="s">
        <v>23842</v>
      </c>
      <c r="D7038" s="17" t="s">
        <v>23855</v>
      </c>
      <c r="E7038" s="10">
        <v>952865</v>
      </c>
      <c r="F7038" s="4" t="str">
        <f>IF(B7038=B7037,"",B7038)</f>
        <v/>
      </c>
    </row>
    <row r="7039" spans="1:6" ht="15.75" customHeight="1">
      <c r="A7039" s="5" t="s">
        <v>30085</v>
      </c>
      <c r="B7039" s="6" t="s">
        <v>30085</v>
      </c>
      <c r="C7039" s="5" t="s">
        <v>27788</v>
      </c>
      <c r="D7039" s="5" t="s">
        <v>27799</v>
      </c>
      <c r="E7039" s="2">
        <v>4250542</v>
      </c>
      <c r="F7039" s="4" t="str">
        <f>IF(B7039=B7038,"",B7039)</f>
        <v>Springfield</v>
      </c>
    </row>
    <row r="7040" spans="1:6" ht="15.75" customHeight="1">
      <c r="A7040" s="5" t="s">
        <v>30085</v>
      </c>
      <c r="B7040" s="6" t="s">
        <v>30085</v>
      </c>
      <c r="C7040" s="5" t="s">
        <v>27788</v>
      </c>
      <c r="D7040" s="5" t="s">
        <v>27806</v>
      </c>
      <c r="E7040" s="2">
        <v>4409896</v>
      </c>
      <c r="F7040" s="4" t="str">
        <f>IF(B7040=B7039,"",B7040)</f>
        <v/>
      </c>
    </row>
    <row r="7041" spans="1:6" ht="15.75" customHeight="1">
      <c r="A7041" s="5" t="s">
        <v>30085</v>
      </c>
      <c r="B7041" s="6" t="s">
        <v>30085</v>
      </c>
      <c r="C7041" s="5" t="s">
        <v>27788</v>
      </c>
      <c r="D7041" s="5" t="s">
        <v>27813</v>
      </c>
      <c r="E7041" s="2">
        <v>4525353</v>
      </c>
      <c r="F7041" s="4" t="str">
        <f>IF(B7041=B7040,"",B7041)</f>
        <v/>
      </c>
    </row>
    <row r="7042" spans="1:6" ht="15.75" customHeight="1">
      <c r="A7042" s="5" t="s">
        <v>30085</v>
      </c>
      <c r="B7042" s="6" t="s">
        <v>30085</v>
      </c>
      <c r="C7042" s="5" t="s">
        <v>27788</v>
      </c>
      <c r="D7042" s="5" t="s">
        <v>27836</v>
      </c>
      <c r="E7042" s="2">
        <v>4561407</v>
      </c>
      <c r="F7042" s="4" t="str">
        <f>IF(B7042=B7041,"",B7042)</f>
        <v/>
      </c>
    </row>
    <row r="7043" spans="1:6" ht="15.75" customHeight="1">
      <c r="A7043" s="5" t="s">
        <v>30085</v>
      </c>
      <c r="B7043" s="6" t="s">
        <v>30085</v>
      </c>
      <c r="C7043" s="5" t="s">
        <v>27788</v>
      </c>
      <c r="D7043" s="5" t="s">
        <v>27957</v>
      </c>
      <c r="E7043" s="2">
        <v>4659557</v>
      </c>
      <c r="F7043" s="4" t="str">
        <f>IF(B7043=B7042,"",B7043)</f>
        <v/>
      </c>
    </row>
    <row r="7044" spans="1:6" ht="15.75" customHeight="1">
      <c r="A7044" s="5" t="s">
        <v>30085</v>
      </c>
      <c r="B7044" s="6" t="s">
        <v>30085</v>
      </c>
      <c r="C7044" s="5" t="s">
        <v>27788</v>
      </c>
      <c r="D7044" s="5" t="s">
        <v>27794</v>
      </c>
      <c r="E7044" s="2">
        <v>4951788</v>
      </c>
      <c r="F7044" s="4" t="str">
        <f>IF(B7044=B7043,"",B7044)</f>
        <v/>
      </c>
    </row>
    <row r="7045" spans="1:6" ht="15.75" customHeight="1">
      <c r="A7045" s="5" t="s">
        <v>30085</v>
      </c>
      <c r="B7045" s="6" t="s">
        <v>30085</v>
      </c>
      <c r="C7045" s="5" t="s">
        <v>27788</v>
      </c>
      <c r="D7045" s="5" t="s">
        <v>27820</v>
      </c>
      <c r="E7045" s="2">
        <v>5754005</v>
      </c>
      <c r="F7045" s="4" t="str">
        <f>IF(B7045=B7044,"",B7045)</f>
        <v/>
      </c>
    </row>
    <row r="7046" spans="1:6" ht="15.75" customHeight="1">
      <c r="A7046" s="5" t="str">
        <f ca="1">IFERROR(__xludf.DUMMYFUNCTION("GOOGLETRANSLATE(B43141,""en"",""pt"")"),"Springfield")</f>
        <v>Springfield</v>
      </c>
      <c r="B7046" s="17" t="s">
        <v>30085</v>
      </c>
      <c r="C7046" s="17" t="s">
        <v>27788</v>
      </c>
      <c r="D7046" s="17" t="s">
        <v>27799</v>
      </c>
      <c r="E7046" s="10">
        <v>4250542</v>
      </c>
      <c r="F7046" s="4" t="str">
        <f>IF(B7046=B7045,"",B7046)</f>
        <v/>
      </c>
    </row>
    <row r="7047" spans="1:6" ht="15.75" customHeight="1">
      <c r="A7047" s="5" t="str">
        <f ca="1">IFERROR(__xludf.DUMMYFUNCTION("GOOGLETRANSLATE(B43393,""en"",""pt"")"),"Springfield")</f>
        <v>Springfield</v>
      </c>
      <c r="B7047" s="17" t="s">
        <v>30085</v>
      </c>
      <c r="C7047" s="17" t="s">
        <v>27788</v>
      </c>
      <c r="D7047" s="17" t="s">
        <v>27806</v>
      </c>
      <c r="E7047" s="10">
        <v>4409896</v>
      </c>
      <c r="F7047" s="4" t="str">
        <f>IF(B7047=B7046,"",B7047)</f>
        <v/>
      </c>
    </row>
    <row r="7048" spans="1:6" ht="15.75" customHeight="1">
      <c r="A7048" s="5" t="str">
        <f ca="1">IFERROR(__xludf.DUMMYFUNCTION("GOOGLETRANSLATE(B43529,""en"",""pt"")"),"Springfield")</f>
        <v>Springfield</v>
      </c>
      <c r="B7048" s="17" t="s">
        <v>30085</v>
      </c>
      <c r="C7048" s="17" t="s">
        <v>27788</v>
      </c>
      <c r="D7048" s="17" t="s">
        <v>27813</v>
      </c>
      <c r="E7048" s="10">
        <v>4525353</v>
      </c>
      <c r="F7048" s="4" t="str">
        <f>IF(B7048=B7047,"",B7048)</f>
        <v/>
      </c>
    </row>
    <row r="7049" spans="1:6" ht="15.75" customHeight="1">
      <c r="A7049" s="5" t="str">
        <f ca="1">IFERROR(__xludf.DUMMYFUNCTION("GOOGLETRANSLATE(B43575,""en"",""pt"")"),"Springfield")</f>
        <v>Springfield</v>
      </c>
      <c r="B7049" s="17" t="s">
        <v>30085</v>
      </c>
      <c r="C7049" s="17" t="s">
        <v>27788</v>
      </c>
      <c r="D7049" s="17" t="s">
        <v>27836</v>
      </c>
      <c r="E7049" s="10">
        <v>4561407</v>
      </c>
      <c r="F7049" s="4" t="str">
        <f>IF(B7049=B7048,"",B7049)</f>
        <v/>
      </c>
    </row>
    <row r="7050" spans="1:6" ht="15.75" customHeight="1">
      <c r="A7050" s="5" t="str">
        <f ca="1">IFERROR(__xludf.DUMMYFUNCTION("GOOGLETRANSLATE(B43645,""en"",""pt"")"),"Springfield")</f>
        <v>Springfield</v>
      </c>
      <c r="B7050" s="17" t="s">
        <v>30085</v>
      </c>
      <c r="C7050" s="17" t="s">
        <v>27788</v>
      </c>
      <c r="D7050" s="17" t="s">
        <v>27957</v>
      </c>
      <c r="E7050" s="10">
        <v>4659557</v>
      </c>
      <c r="F7050" s="4" t="str">
        <f>IF(B7050=B7049,"",B7050)</f>
        <v/>
      </c>
    </row>
    <row r="7051" spans="1:6" ht="15.75" customHeight="1">
      <c r="A7051" s="5" t="str">
        <f ca="1">IFERROR(__xludf.DUMMYFUNCTION("GOOGLETRANSLATE(B44029,""en"",""pt"")"),"Springfield")</f>
        <v>Springfield</v>
      </c>
      <c r="B7051" s="17" t="s">
        <v>30085</v>
      </c>
      <c r="C7051" s="17" t="s">
        <v>27788</v>
      </c>
      <c r="D7051" s="17" t="s">
        <v>27794</v>
      </c>
      <c r="E7051" s="10">
        <v>4951788</v>
      </c>
      <c r="F7051" s="4" t="str">
        <f>IF(B7051=B7050,"",B7051)</f>
        <v/>
      </c>
    </row>
    <row r="7052" spans="1:6" ht="15.75" customHeight="1">
      <c r="A7052" s="5" t="str">
        <f ca="1">IFERROR(__xludf.DUMMYFUNCTION("GOOGLETRANSLATE(B45259,""en"",""pt"")"),"Springfield")</f>
        <v>Springfield</v>
      </c>
      <c r="B7052" s="17" t="s">
        <v>30085</v>
      </c>
      <c r="C7052" s="17" t="s">
        <v>27788</v>
      </c>
      <c r="D7052" s="17" t="s">
        <v>27820</v>
      </c>
      <c r="E7052" s="10">
        <v>5754005</v>
      </c>
      <c r="F7052" s="4" t="str">
        <f>IF(B7052=B7051,"",B7052)</f>
        <v/>
      </c>
    </row>
    <row r="7053" spans="1:6" ht="15.75" customHeight="1">
      <c r="A7053" s="6" t="s">
        <v>9154</v>
      </c>
      <c r="B7053" s="6" t="s">
        <v>9155</v>
      </c>
      <c r="C7053" s="6" t="s">
        <v>8028</v>
      </c>
      <c r="D7053" s="6" t="s">
        <v>8034</v>
      </c>
      <c r="E7053" s="2">
        <v>2830035</v>
      </c>
      <c r="F7053" s="4" t="str">
        <f>IF(B7053=B7052,"",B7053)</f>
        <v>Springe</v>
      </c>
    </row>
    <row r="7054" spans="1:6" ht="15.75" customHeight="1">
      <c r="A7054" s="5" t="str">
        <f ca="1">IFERROR(__xludf.DUMMYFUNCTION("GOOGLETRANSLATE(B27512,""en"",""pt"")"),"Springhe")</f>
        <v>Springhe</v>
      </c>
      <c r="B7054" s="17" t="s">
        <v>9155</v>
      </c>
      <c r="C7054" s="17" t="s">
        <v>8028</v>
      </c>
      <c r="D7054" s="17" t="s">
        <v>8034</v>
      </c>
      <c r="E7054" s="10">
        <v>2830035</v>
      </c>
      <c r="F7054" s="4" t="str">
        <f>IF(B7054=B7053,"",B7054)</f>
        <v/>
      </c>
    </row>
    <row r="7055" spans="1:6" ht="15.75" customHeight="1">
      <c r="A7055" s="5" t="s">
        <v>30084</v>
      </c>
      <c r="B7055" s="6" t="s">
        <v>30084</v>
      </c>
      <c r="C7055" s="5" t="s">
        <v>27788</v>
      </c>
      <c r="D7055" s="5" t="s">
        <v>27991</v>
      </c>
      <c r="E7055" s="2">
        <v>4132093</v>
      </c>
      <c r="F7055" s="4" t="str">
        <f>IF(B7055=B7054,"",B7055)</f>
        <v>Springdale</v>
      </c>
    </row>
    <row r="7056" spans="1:6" ht="15.75" customHeight="1">
      <c r="A7056" s="5" t="str">
        <f ca="1">IFERROR(__xludf.DUMMYFUNCTION("GOOGLETRANSLATE(B42829,""en"",""pt"")"),"Springdale")</f>
        <v>Springdale</v>
      </c>
      <c r="B7056" s="17" t="s">
        <v>30084</v>
      </c>
      <c r="C7056" s="17" t="s">
        <v>27788</v>
      </c>
      <c r="D7056" s="17" t="s">
        <v>27991</v>
      </c>
      <c r="E7056" s="10">
        <v>4132093</v>
      </c>
      <c r="F7056" s="4" t="str">
        <f>IF(B7056=B7055,"",B7056)</f>
        <v/>
      </c>
    </row>
    <row r="7057" spans="1:6" ht="15.75" customHeight="1">
      <c r="A7057" s="5" t="s">
        <v>30083</v>
      </c>
      <c r="B7057" s="6" t="s">
        <v>30083</v>
      </c>
      <c r="C7057" s="5" t="s">
        <v>27788</v>
      </c>
      <c r="D7057" s="5" t="s">
        <v>27813</v>
      </c>
      <c r="E7057" s="2">
        <v>4525304</v>
      </c>
      <c r="F7057" s="4" t="str">
        <f>IF(B7057=B7056,"",B7057)</f>
        <v>Springboro</v>
      </c>
    </row>
    <row r="7058" spans="1:6" ht="15.75" customHeight="1">
      <c r="A7058" s="5" t="str">
        <f ca="1">IFERROR(__xludf.DUMMYFUNCTION("GOOGLETRANSLATE(B43528,""en"",""pt"")"),"Springboro")</f>
        <v>Springboro</v>
      </c>
      <c r="B7058" s="17" t="s">
        <v>30083</v>
      </c>
      <c r="C7058" s="17" t="s">
        <v>27788</v>
      </c>
      <c r="D7058" s="17" t="s">
        <v>27813</v>
      </c>
      <c r="E7058" s="10">
        <v>4525304</v>
      </c>
      <c r="F7058" s="4" t="str">
        <f>IF(B7058=B7057,"",B7058)</f>
        <v/>
      </c>
    </row>
    <row r="7059" spans="1:6" ht="15.75" customHeight="1">
      <c r="A7059" s="5" t="s">
        <v>30081</v>
      </c>
      <c r="B7059" s="6" t="s">
        <v>30082</v>
      </c>
      <c r="C7059" s="5" t="s">
        <v>27788</v>
      </c>
      <c r="D7059" s="5" t="s">
        <v>27819</v>
      </c>
      <c r="E7059" s="2">
        <v>5139301</v>
      </c>
      <c r="F7059" s="4" t="str">
        <f>IF(B7059=B7058,"",B7059)</f>
        <v>Spring Valley</v>
      </c>
    </row>
    <row r="7060" spans="1:6" ht="15.75" customHeight="1">
      <c r="A7060" s="5" t="s">
        <v>30081</v>
      </c>
      <c r="B7060" s="6" t="s">
        <v>30082</v>
      </c>
      <c r="C7060" s="5" t="s">
        <v>27788</v>
      </c>
      <c r="D7060" s="5" t="s">
        <v>27801</v>
      </c>
      <c r="E7060" s="2">
        <v>5398277</v>
      </c>
      <c r="F7060" s="4" t="str">
        <f>IF(B7060=B7059,"",B7060)</f>
        <v/>
      </c>
    </row>
    <row r="7061" spans="1:6" ht="15.75" customHeight="1">
      <c r="A7061" s="5" t="s">
        <v>30081</v>
      </c>
      <c r="B7061" s="6" t="s">
        <v>30082</v>
      </c>
      <c r="C7061" s="5" t="s">
        <v>27788</v>
      </c>
      <c r="D7061" s="5" t="s">
        <v>28073</v>
      </c>
      <c r="E7061" s="2">
        <v>5512909</v>
      </c>
      <c r="F7061" s="4" t="str">
        <f>IF(B7061=B7060,"",B7061)</f>
        <v/>
      </c>
    </row>
    <row r="7062" spans="1:6" ht="15.75" customHeight="1">
      <c r="A7062" s="5" t="str">
        <f ca="1">IFERROR(__xludf.DUMMYFUNCTION("GOOGLETRANSLATE(B44454,""en"",""pt"")"),"Vale da primavera")</f>
        <v>Vale da primavera</v>
      </c>
      <c r="B7062" s="17" t="s">
        <v>30082</v>
      </c>
      <c r="C7062" s="17" t="s">
        <v>27788</v>
      </c>
      <c r="D7062" s="17" t="s">
        <v>27819</v>
      </c>
      <c r="E7062" s="10">
        <v>5139301</v>
      </c>
      <c r="F7062" s="4" t="str">
        <f>IF(B7062=B7061,"",B7062)</f>
        <v/>
      </c>
    </row>
    <row r="7063" spans="1:6" ht="15.75" customHeight="1">
      <c r="A7063" s="5" t="str">
        <f ca="1">IFERROR(__xludf.DUMMYFUNCTION("GOOGLETRANSLATE(B45047,""en"",""pt"")"),"Vale da primavera")</f>
        <v>Vale da primavera</v>
      </c>
      <c r="B7063" s="17" t="s">
        <v>30082</v>
      </c>
      <c r="C7063" s="17" t="s">
        <v>27788</v>
      </c>
      <c r="D7063" s="17" t="s">
        <v>27801</v>
      </c>
      <c r="E7063" s="10">
        <v>5398277</v>
      </c>
      <c r="F7063" s="4" t="str">
        <f>IF(B7063=B7062,"",B7063)</f>
        <v/>
      </c>
    </row>
    <row r="7064" spans="1:6" ht="15.75" customHeight="1">
      <c r="A7064" s="5" t="str">
        <f ca="1">IFERROR(__xludf.DUMMYFUNCTION("GOOGLETRANSLATE(B45151,""en"",""pt"")"),"Vale da primavera")</f>
        <v>Vale da primavera</v>
      </c>
      <c r="B7064" s="17" t="s">
        <v>30082</v>
      </c>
      <c r="C7064" s="17" t="s">
        <v>27788</v>
      </c>
      <c r="D7064" s="17" t="s">
        <v>28073</v>
      </c>
      <c r="E7064" s="10">
        <v>5512909</v>
      </c>
      <c r="F7064" s="4" t="str">
        <f>IF(B7064=B7063,"",B7064)</f>
        <v/>
      </c>
    </row>
    <row r="7065" spans="1:6" ht="15.75" customHeight="1">
      <c r="A7065" s="5" t="s">
        <v>30080</v>
      </c>
      <c r="B7065" s="6" t="s">
        <v>30080</v>
      </c>
      <c r="C7065" s="5" t="s">
        <v>27788</v>
      </c>
      <c r="D7065" s="5" t="s">
        <v>5468</v>
      </c>
      <c r="E7065" s="2">
        <v>4173838</v>
      </c>
      <c r="F7065" s="4" t="str">
        <f>IF(B7065=B7064,"",B7065)</f>
        <v>Spring Hill</v>
      </c>
    </row>
    <row r="7066" spans="1:6" ht="15.75" customHeight="1">
      <c r="A7066" s="5" t="s">
        <v>30080</v>
      </c>
      <c r="B7066" s="6" t="s">
        <v>30080</v>
      </c>
      <c r="C7066" s="5" t="s">
        <v>27788</v>
      </c>
      <c r="D7066" s="5" t="s">
        <v>27957</v>
      </c>
      <c r="E7066" s="2">
        <v>4659446</v>
      </c>
      <c r="F7066" s="4" t="str">
        <f>IF(B7066=B7065,"",B7066)</f>
        <v/>
      </c>
    </row>
    <row r="7067" spans="1:6" ht="15.75" customHeight="1">
      <c r="A7067" s="5" t="str">
        <f ca="1">IFERROR(__xludf.DUMMYFUNCTION("GOOGLETRANSLATE(B43019,""en"",""pt"")"),"Spring Hill")</f>
        <v>Spring Hill</v>
      </c>
      <c r="B7067" s="17" t="s">
        <v>30080</v>
      </c>
      <c r="C7067" s="17" t="s">
        <v>27788</v>
      </c>
      <c r="D7067" s="17" t="s">
        <v>5468</v>
      </c>
      <c r="E7067" s="10">
        <v>4173838</v>
      </c>
      <c r="F7067" s="4" t="str">
        <f>IF(B7067=B7066,"",B7067)</f>
        <v/>
      </c>
    </row>
    <row r="7068" spans="1:6" ht="15.75" customHeight="1">
      <c r="A7068" s="5" t="str">
        <f ca="1">IFERROR(__xludf.DUMMYFUNCTION("GOOGLETRANSLATE(B43644,""en"",""pt"")"),"Spring Hill")</f>
        <v>Spring Hill</v>
      </c>
      <c r="B7068" s="17" t="s">
        <v>30080</v>
      </c>
      <c r="C7068" s="17" t="s">
        <v>27788</v>
      </c>
      <c r="D7068" s="17" t="s">
        <v>27957</v>
      </c>
      <c r="E7068" s="10">
        <v>4659446</v>
      </c>
      <c r="F7068" s="4" t="str">
        <f>IF(B7068=B7067,"",B7068)</f>
        <v/>
      </c>
    </row>
    <row r="7069" spans="1:6" ht="15.75" customHeight="1">
      <c r="A7069" s="6" t="s">
        <v>9152</v>
      </c>
      <c r="B7069" s="6" t="s">
        <v>9153</v>
      </c>
      <c r="C7069" s="6" t="s">
        <v>8028</v>
      </c>
      <c r="D7069" s="6" t="s">
        <v>8070</v>
      </c>
      <c r="E7069" s="2">
        <v>6550659</v>
      </c>
      <c r="F7069" s="4" t="str">
        <f>IF(B7069=B7068,"",B7069)</f>
        <v>Spremberg</v>
      </c>
    </row>
    <row r="7070" spans="1:6" ht="15.75" customHeight="1">
      <c r="A7070" s="5" t="str">
        <f ca="1">IFERROR(__xludf.DUMMYFUNCTION("GOOGLETRANSLATE(B28367,""en"",""pt"")"),"Spramerg")</f>
        <v>Spramerg</v>
      </c>
      <c r="B7070" s="17" t="s">
        <v>9153</v>
      </c>
      <c r="C7070" s="17" t="s">
        <v>8028</v>
      </c>
      <c r="D7070" s="17" t="s">
        <v>8070</v>
      </c>
      <c r="E7070" s="10">
        <v>6550659</v>
      </c>
      <c r="F7070" s="4" t="str">
        <f>IF(B7070=B7069,"",B7070)</f>
        <v/>
      </c>
    </row>
    <row r="7071" spans="1:6" ht="15.75" customHeight="1">
      <c r="A7071" s="6" t="s">
        <v>15514</v>
      </c>
      <c r="B7071" s="6" t="s">
        <v>15514</v>
      </c>
      <c r="C7071" s="6" t="s">
        <v>14891</v>
      </c>
      <c r="D7071" s="6" t="s">
        <v>14969</v>
      </c>
      <c r="E7071" s="2">
        <v>3166236</v>
      </c>
      <c r="F7071" s="4" t="str">
        <f>IF(B7071=B7070,"",B7071)</f>
        <v>Spoleto</v>
      </c>
    </row>
    <row r="7072" spans="1:6" ht="15.75" customHeight="1">
      <c r="A7072" s="5" t="str">
        <f ca="1">IFERROR(__xludf.DUMMYFUNCTION("GOOGLETRANSLATE(B34676,""en"",""pt"")"),"Spoleto")</f>
        <v>Spoleto</v>
      </c>
      <c r="B7072" s="17" t="s">
        <v>15514</v>
      </c>
      <c r="C7072" s="17" t="s">
        <v>14891</v>
      </c>
      <c r="D7072" s="17" t="s">
        <v>14969</v>
      </c>
      <c r="E7072" s="10">
        <v>3166236</v>
      </c>
      <c r="F7072" s="4" t="str">
        <f>IF(B7072=B7071,"",B7072)</f>
        <v/>
      </c>
    </row>
    <row r="7073" spans="1:6" ht="15.75" customHeight="1">
      <c r="A7073" s="5" t="s">
        <v>30078</v>
      </c>
      <c r="B7073" s="6" t="s">
        <v>30079</v>
      </c>
      <c r="C7073" s="5" t="s">
        <v>27788</v>
      </c>
      <c r="D7073" s="5" t="s">
        <v>27733</v>
      </c>
      <c r="E7073" s="2">
        <v>5811729</v>
      </c>
      <c r="F7073" s="4" t="str">
        <f>IF(B7073=B7072,"",B7073)</f>
        <v>Spokane Valley</v>
      </c>
    </row>
    <row r="7074" spans="1:6" ht="15.75" customHeight="1">
      <c r="A7074" s="5" t="str">
        <f ca="1">IFERROR(__xludf.DUMMYFUNCTION("GOOGLETRANSLATE(B45380,""en"",""pt"")"),"Vale de Spokane")</f>
        <v>Vale de Spokane</v>
      </c>
      <c r="B7074" s="17" t="s">
        <v>30079</v>
      </c>
      <c r="C7074" s="17" t="s">
        <v>27788</v>
      </c>
      <c r="D7074" s="17" t="s">
        <v>27733</v>
      </c>
      <c r="E7074" s="10">
        <v>5811729</v>
      </c>
      <c r="F7074" s="4" t="str">
        <f>IF(B7074=B7073,"",B7074)</f>
        <v/>
      </c>
    </row>
    <row r="7075" spans="1:6" ht="15.75" customHeight="1">
      <c r="A7075" s="6" t="s">
        <v>30077</v>
      </c>
      <c r="B7075" s="6" t="s">
        <v>30077</v>
      </c>
      <c r="C7075" s="6" t="s">
        <v>27788</v>
      </c>
      <c r="D7075" s="6" t="s">
        <v>27733</v>
      </c>
      <c r="E7075" s="2">
        <v>5811696</v>
      </c>
      <c r="F7075" s="4" t="str">
        <f>IF(B7075=B7074,"",B7075)</f>
        <v>Spokane</v>
      </c>
    </row>
    <row r="7076" spans="1:6" ht="15.75" customHeight="1">
      <c r="A7076" s="5" t="str">
        <f ca="1">IFERROR(__xludf.DUMMYFUNCTION("GOOGLETRANSLATE(B45379,""en"",""pt"")"),"Spokane")</f>
        <v>Spokane</v>
      </c>
      <c r="B7076" s="17" t="s">
        <v>30077</v>
      </c>
      <c r="C7076" s="17" t="s">
        <v>27788</v>
      </c>
      <c r="D7076" s="17" t="s">
        <v>27733</v>
      </c>
      <c r="E7076" s="10">
        <v>5811696</v>
      </c>
      <c r="F7076" s="4" t="str">
        <f>IF(B7076=B7075,"",B7076)</f>
        <v/>
      </c>
    </row>
    <row r="7077" spans="1:6" ht="15.75" customHeight="1">
      <c r="A7077" s="6" t="s">
        <v>5743</v>
      </c>
      <c r="B7077" s="6" t="s">
        <v>5744</v>
      </c>
      <c r="C7077" s="6" t="s">
        <v>5711</v>
      </c>
      <c r="D7077" s="6" t="s">
        <v>5742</v>
      </c>
      <c r="E7077" s="2">
        <v>3190261</v>
      </c>
      <c r="F7077" s="4" t="str">
        <f>IF(B7077=B7076,"",B7077)</f>
        <v>Split</v>
      </c>
    </row>
    <row r="7078" spans="1:6" ht="15.75" customHeight="1">
      <c r="A7078" s="5" t="str">
        <f ca="1">IFERROR(__xludf.DUMMYFUNCTION("GOOGLETRANSLATE(B31195,""en"",""pt"")"),"Dividir")</f>
        <v>Dividir</v>
      </c>
      <c r="B7078" s="17" t="s">
        <v>5744</v>
      </c>
      <c r="C7078" s="17" t="s">
        <v>5711</v>
      </c>
      <c r="D7078" s="17" t="s">
        <v>5742</v>
      </c>
      <c r="E7078" s="10">
        <v>3190261</v>
      </c>
      <c r="F7078" s="4" t="str">
        <f>IF(B7078=B7077,"",B7078)</f>
        <v/>
      </c>
    </row>
    <row r="7079" spans="1:6" ht="15.75" customHeight="1">
      <c r="A7079" s="5" t="s">
        <v>1154</v>
      </c>
      <c r="B7079" s="6" t="s">
        <v>1155</v>
      </c>
      <c r="C7079" s="5" t="s">
        <v>1117</v>
      </c>
      <c r="D7079" s="5" t="s">
        <v>1137</v>
      </c>
      <c r="E7079" s="2">
        <v>2764786</v>
      </c>
      <c r="F7079" s="4" t="str">
        <f>IF(B7079=B7078,"",B7079)</f>
        <v>Spittal an der Drau</v>
      </c>
    </row>
    <row r="7080" spans="1:6" ht="15.75" customHeight="1">
      <c r="A7080" s="5" t="str">
        <f ca="1">IFERROR(__xludf.DUMMYFUNCTION("GOOGLETRANSLATE(B23382,""en"",""pt"")"),"Spittal a Der Drau")</f>
        <v>Spittal a Der Drau</v>
      </c>
      <c r="B7080" s="17" t="s">
        <v>1155</v>
      </c>
      <c r="C7080" s="17" t="s">
        <v>1117</v>
      </c>
      <c r="D7080" s="17" t="s">
        <v>1137</v>
      </c>
      <c r="E7080" s="10">
        <v>2764786</v>
      </c>
      <c r="F7080" s="4" t="str">
        <f>IF(B7080=B7079,"",B7080)</f>
        <v/>
      </c>
    </row>
    <row r="7081" spans="1:6" ht="15.75" customHeight="1">
      <c r="A7081" s="6" t="s">
        <v>876</v>
      </c>
      <c r="B7081" s="6" t="s">
        <v>876</v>
      </c>
      <c r="C7081" s="6" t="s">
        <v>853</v>
      </c>
      <c r="D7081" s="6" t="s">
        <v>877</v>
      </c>
      <c r="E7081" s="2">
        <v>616199</v>
      </c>
      <c r="F7081" s="4" t="str">
        <f>IF(B7081=B7080,"",B7081)</f>
        <v>Spitak</v>
      </c>
    </row>
    <row r="7082" spans="1:6" ht="15.75" customHeight="1">
      <c r="A7082" s="5" t="str">
        <f ca="1">IFERROR(__xludf.DUMMYFUNCTION("GOOGLETRANSLATE(B23131,""en"",""pt"")"),"Spitak")</f>
        <v>Spitak</v>
      </c>
      <c r="B7082" s="17" t="s">
        <v>876</v>
      </c>
      <c r="C7082" s="17" t="s">
        <v>853</v>
      </c>
      <c r="D7082" s="17" t="s">
        <v>877</v>
      </c>
      <c r="E7082" s="10">
        <v>616199</v>
      </c>
      <c r="F7082" s="4" t="str">
        <f>IF(B7082=B7081,"",B7082)</f>
        <v/>
      </c>
    </row>
    <row r="7083" spans="1:6" ht="15.75" customHeight="1">
      <c r="A7083" s="5" t="str">
        <f ca="1">IFERROR(__xludf.DUMMYFUNCTION("GOOGLETRANSLATE(B41224,""en"",""pt"")"),"Spišská Nová Ves")</f>
        <v>Spišská Nová Ves</v>
      </c>
      <c r="B7083" s="17" t="s">
        <v>35670</v>
      </c>
      <c r="C7083" s="17" t="s">
        <v>23694</v>
      </c>
      <c r="D7083" s="17" t="s">
        <v>35668</v>
      </c>
      <c r="E7083" s="10">
        <v>723526</v>
      </c>
      <c r="F7083" s="4" t="str">
        <f>IF(B7083=B7082,"",B7083)</f>
        <v>Spišská Nová Ves</v>
      </c>
    </row>
    <row r="7084" spans="1:6" ht="15.75" customHeight="1">
      <c r="A7084" s="5" t="s">
        <v>15512</v>
      </c>
      <c r="B7084" s="6" t="s">
        <v>15513</v>
      </c>
      <c r="C7084" s="5" t="s">
        <v>14891</v>
      </c>
      <c r="D7084" s="5" t="s">
        <v>14892</v>
      </c>
      <c r="E7084" s="2">
        <v>3219114</v>
      </c>
      <c r="F7084" s="4" t="str">
        <f>IF(B7084=B7083,"",B7084)</f>
        <v>Spinea-Orgnano</v>
      </c>
    </row>
    <row r="7085" spans="1:6" ht="15.75" customHeight="1">
      <c r="A7085" s="5" t="str">
        <f ca="1">IFERROR(__xludf.DUMMYFUNCTION("GOOGLETRANSLATE(B35083,""en"",""pt"")"),"Spinea-orgnano")</f>
        <v>Spinea-orgnano</v>
      </c>
      <c r="B7085" s="17" t="s">
        <v>15513</v>
      </c>
      <c r="C7085" s="17" t="s">
        <v>14891</v>
      </c>
      <c r="D7085" s="17" t="s">
        <v>14892</v>
      </c>
      <c r="E7085" s="10">
        <v>3219114</v>
      </c>
      <c r="F7085" s="4" t="str">
        <f>IF(B7085=B7084,"",B7085)</f>
        <v/>
      </c>
    </row>
    <row r="7086" spans="1:6" ht="15.75" customHeight="1">
      <c r="A7086" s="5" t="s">
        <v>19093</v>
      </c>
      <c r="B7086" s="6" t="s">
        <v>19093</v>
      </c>
      <c r="C7086" s="5" t="s">
        <v>18862</v>
      </c>
      <c r="D7086" s="5" t="s">
        <v>18868</v>
      </c>
      <c r="E7086" s="2">
        <v>2746932</v>
      </c>
      <c r="F7086" s="4" t="str">
        <f>IF(B7086=B7085,"",B7086)</f>
        <v>Spijkenisse</v>
      </c>
    </row>
    <row r="7087" spans="1:6" ht="15.75" customHeight="1">
      <c r="A7087" s="5" t="str">
        <f ca="1">IFERROR(__xludf.DUMMYFUNCTION("GOOGLETRANSLATE(B37949,""en"",""pt"")"),"Spijkenisse")</f>
        <v>Spijkenisse</v>
      </c>
      <c r="B7087" s="17" t="s">
        <v>19093</v>
      </c>
      <c r="C7087" s="17" t="s">
        <v>18862</v>
      </c>
      <c r="D7087" s="17" t="s">
        <v>18868</v>
      </c>
      <c r="E7087" s="10">
        <v>2746932</v>
      </c>
      <c r="F7087" s="4" t="str">
        <f>IF(B7087=B7086,"",B7087)</f>
        <v/>
      </c>
    </row>
    <row r="7088" spans="1:6" ht="15.75" customHeight="1">
      <c r="A7088" s="5" t="s">
        <v>23770</v>
      </c>
      <c r="B7088" s="6" t="s">
        <v>23771</v>
      </c>
      <c r="C7088" s="5" t="s">
        <v>23694</v>
      </c>
      <c r="D7088" s="5" t="s">
        <v>23729</v>
      </c>
      <c r="E7088" s="2">
        <v>723526</v>
      </c>
      <c r="F7088" s="4" t="str">
        <f>IF(B7088=B7087,"",B7088)</f>
        <v>SpiÅ¡skÃ¡ NovÃ¡ Ves</v>
      </c>
    </row>
    <row r="7089" spans="1:6" ht="15.75" customHeight="1">
      <c r="A7089" s="6" t="s">
        <v>9151</v>
      </c>
      <c r="B7089" s="6" t="s">
        <v>9151</v>
      </c>
      <c r="C7089" s="6" t="s">
        <v>8028</v>
      </c>
      <c r="D7089" s="6" t="s">
        <v>8065</v>
      </c>
      <c r="E7089" s="2">
        <v>2830582</v>
      </c>
      <c r="F7089" s="4" t="str">
        <f>IF(B7089=B7088,"",B7089)</f>
        <v>Speyer</v>
      </c>
    </row>
    <row r="7090" spans="1:6" ht="15.75" customHeight="1">
      <c r="A7090" s="5" t="str">
        <f ca="1">IFERROR(__xludf.DUMMYFUNCTION("GOOGLETRANSLATE(B27513,""en"",""pt"")"),"Speyer")</f>
        <v>Speyer</v>
      </c>
      <c r="B7090" s="17" t="s">
        <v>9151</v>
      </c>
      <c r="C7090" s="17" t="s">
        <v>8028</v>
      </c>
      <c r="D7090" s="17" t="s">
        <v>8065</v>
      </c>
      <c r="E7090" s="10">
        <v>2830582</v>
      </c>
      <c r="F7090" s="4" t="str">
        <f>IF(B7090=B7089,"",B7090)</f>
        <v/>
      </c>
    </row>
    <row r="7091" spans="1:6" ht="15.75" customHeight="1">
      <c r="A7091" s="5" t="s">
        <v>27696</v>
      </c>
      <c r="B7091" s="6" t="s">
        <v>27696</v>
      </c>
      <c r="C7091" s="5" t="s">
        <v>27234</v>
      </c>
      <c r="D7091" s="5" t="s">
        <v>27241</v>
      </c>
      <c r="E7091" s="2">
        <v>2637235</v>
      </c>
      <c r="F7091" s="4" t="str">
        <f>IF(B7091=B7090,"",B7091)</f>
        <v>Spennymoor</v>
      </c>
    </row>
    <row r="7092" spans="1:6" ht="15.75" customHeight="1">
      <c r="A7092" s="5" t="str">
        <f ca="1">IFERROR(__xludf.DUMMYFUNCTION("GOOGLETRANSLATE(B30389,""en"",""pt"")"),"Spennymoor")</f>
        <v>Spennymoor</v>
      </c>
      <c r="B7092" s="17" t="s">
        <v>27696</v>
      </c>
      <c r="C7092" s="17" t="s">
        <v>27234</v>
      </c>
      <c r="D7092" s="17" t="s">
        <v>27241</v>
      </c>
      <c r="E7092" s="10">
        <v>2637235</v>
      </c>
      <c r="F7092" s="4" t="str">
        <f>IF(B7092=B7091,"",B7092)</f>
        <v/>
      </c>
    </row>
    <row r="7093" spans="1:6" ht="15.75" customHeight="1">
      <c r="A7093" s="6" t="s">
        <v>9149</v>
      </c>
      <c r="B7093" s="6" t="s">
        <v>9150</v>
      </c>
      <c r="C7093" s="6" t="s">
        <v>8028</v>
      </c>
      <c r="D7093" s="6" t="s">
        <v>8029</v>
      </c>
      <c r="E7093" s="2">
        <v>2830637</v>
      </c>
      <c r="F7093" s="4" t="str">
        <f>IF(B7093=B7092,"",B7093)</f>
        <v>Spenge</v>
      </c>
    </row>
    <row r="7094" spans="1:6" ht="15.75" customHeight="1">
      <c r="A7094" s="5" t="str">
        <f ca="1">IFERROR(__xludf.DUMMYFUNCTION("GOOGLETRANSLATE(B27514,""en"",""pt"")"),"Vingança")</f>
        <v>Vingança</v>
      </c>
      <c r="B7094" s="17" t="s">
        <v>9150</v>
      </c>
      <c r="C7094" s="17" t="s">
        <v>8028</v>
      </c>
      <c r="D7094" s="17" t="s">
        <v>8029</v>
      </c>
      <c r="E7094" s="10">
        <v>2830637</v>
      </c>
      <c r="F7094" s="4" t="str">
        <f>IF(B7094=B7093,"",B7094)</f>
        <v/>
      </c>
    </row>
    <row r="7095" spans="1:6" ht="15.75" customHeight="1">
      <c r="A7095" s="5" t="s">
        <v>23124</v>
      </c>
      <c r="B7095" s="6" t="s">
        <v>23125</v>
      </c>
      <c r="C7095" s="5" t="s">
        <v>22070</v>
      </c>
      <c r="D7095" s="5" t="s">
        <v>22154</v>
      </c>
      <c r="E7095" s="2">
        <v>2016187</v>
      </c>
      <c r="F7095" s="4" t="str">
        <f>IF(B7095=B7094,"",B7095)</f>
        <v>Spassk-Dalâ€™niy</v>
      </c>
    </row>
    <row r="7096" spans="1:6" ht="15.75" customHeight="1">
      <c r="A7096" s="5" t="str">
        <f ca="1">IFERROR(__xludf.DUMMYFUNCTION("GOOGLETRANSLATE(B40909,""en"",""pt"")"),"Spassk-dal'niy")</f>
        <v>Spassk-dal'niy</v>
      </c>
      <c r="B7096" s="17" t="s">
        <v>35557</v>
      </c>
      <c r="C7096" s="17" t="s">
        <v>22070</v>
      </c>
      <c r="D7096" s="17" t="s">
        <v>22154</v>
      </c>
      <c r="E7096" s="10">
        <v>2016187</v>
      </c>
      <c r="F7096" s="4" t="str">
        <f>IF(B7096=B7095,"",B7096)</f>
        <v>Spassk-Dal’niy</v>
      </c>
    </row>
    <row r="7097" spans="1:6" ht="15.75" customHeight="1">
      <c r="A7097" s="5" t="str">
        <f ca="1">IFERROR(__xludf.DUMMYFUNCTION("GOOGLETRANSLATE(B30960,""en"",""pt"")"),"Spárti")</f>
        <v>Spárti</v>
      </c>
      <c r="B7097" s="17" t="s">
        <v>32673</v>
      </c>
      <c r="C7097" s="17" t="s">
        <v>9441</v>
      </c>
      <c r="D7097" s="17" t="s">
        <v>9453</v>
      </c>
      <c r="E7097" s="10">
        <v>253394</v>
      </c>
      <c r="F7097" s="4" t="str">
        <f>IF(B7097=B7096,"",B7097)</f>
        <v>Spárti</v>
      </c>
    </row>
    <row r="7098" spans="1:6" ht="15.75" customHeight="1">
      <c r="A7098" s="5" t="s">
        <v>30076</v>
      </c>
      <c r="B7098" s="6" t="s">
        <v>30076</v>
      </c>
      <c r="C7098" s="5" t="s">
        <v>27788</v>
      </c>
      <c r="D7098" s="5" t="s">
        <v>27811</v>
      </c>
      <c r="E7098" s="2">
        <v>4597200</v>
      </c>
      <c r="F7098" s="4" t="str">
        <f>IF(B7098=B7097,"",B7098)</f>
        <v>Spartanburg</v>
      </c>
    </row>
    <row r="7099" spans="1:6" ht="15.75" customHeight="1">
      <c r="A7099" s="5" t="str">
        <f ca="1">IFERROR(__xludf.DUMMYFUNCTION("GOOGLETRANSLATE(B43602,""en"",""pt"")"),"Spartanburg")</f>
        <v>Spartanburg</v>
      </c>
      <c r="B7099" s="17" t="s">
        <v>30076</v>
      </c>
      <c r="C7099" s="17" t="s">
        <v>27788</v>
      </c>
      <c r="D7099" s="17" t="s">
        <v>27811</v>
      </c>
      <c r="E7099" s="10">
        <v>4597200</v>
      </c>
      <c r="F7099" s="4" t="str">
        <f>IF(B7099=B7098,"",B7099)</f>
        <v/>
      </c>
    </row>
    <row r="7100" spans="1:6" ht="15.75" customHeight="1">
      <c r="A7100" s="6" t="s">
        <v>30074</v>
      </c>
      <c r="B7100" s="6" t="s">
        <v>30075</v>
      </c>
      <c r="C7100" s="6" t="s">
        <v>27788</v>
      </c>
      <c r="D7100" s="6" t="s">
        <v>28073</v>
      </c>
      <c r="E7100" s="2">
        <v>5512862</v>
      </c>
      <c r="F7100" s="4" t="str">
        <f>IF(B7100=B7099,"",B7100)</f>
        <v>Sparks</v>
      </c>
    </row>
    <row r="7101" spans="1:6" ht="15.75" customHeight="1">
      <c r="A7101" s="5" t="str">
        <f ca="1">IFERROR(__xludf.DUMMYFUNCTION("GOOGLETRANSLATE(B45150,""en"",""pt"")"),"Faíscas")</f>
        <v>Faíscas</v>
      </c>
      <c r="B7101" s="17" t="s">
        <v>30075</v>
      </c>
      <c r="C7101" s="17" t="s">
        <v>27788</v>
      </c>
      <c r="D7101" s="17" t="s">
        <v>28073</v>
      </c>
      <c r="E7101" s="10">
        <v>5512862</v>
      </c>
      <c r="F7101" s="4" t="str">
        <f>IF(B7101=B7100,"",B7101)</f>
        <v/>
      </c>
    </row>
    <row r="7102" spans="1:6" ht="15.75" customHeight="1">
      <c r="A7102" s="5" t="s">
        <v>15701</v>
      </c>
      <c r="B7102" s="6" t="s">
        <v>15702</v>
      </c>
      <c r="C7102" s="5" t="s">
        <v>15682</v>
      </c>
      <c r="D7102" s="5" t="s">
        <v>15686</v>
      </c>
      <c r="E7102" s="2">
        <v>3488465</v>
      </c>
      <c r="F7102" s="4" t="str">
        <f>IF(B7102=B7101,"",B7102)</f>
        <v>Spanish Town</v>
      </c>
    </row>
    <row r="7103" spans="1:6" ht="15.75" customHeight="1">
      <c r="A7103" s="5" t="str">
        <f ca="1">IFERROR(__xludf.DUMMYFUNCTION("GOOGLETRANSLATE(B35111,""en"",""pt"")"),"Cidade espanhola")</f>
        <v>Cidade espanhola</v>
      </c>
      <c r="B7103" s="17" t="s">
        <v>15702</v>
      </c>
      <c r="C7103" s="17" t="s">
        <v>15682</v>
      </c>
      <c r="D7103" s="17" t="s">
        <v>15686</v>
      </c>
      <c r="E7103" s="10">
        <v>3488465</v>
      </c>
      <c r="F7103" s="4" t="str">
        <f>IF(B7103=B7102,"",B7103)</f>
        <v/>
      </c>
    </row>
    <row r="7104" spans="1:6" ht="15.75" customHeight="1">
      <c r="A7104" s="5" t="s">
        <v>30072</v>
      </c>
      <c r="B7104" s="6" t="s">
        <v>30073</v>
      </c>
      <c r="C7104" s="5" t="s">
        <v>27788</v>
      </c>
      <c r="D7104" s="5" t="s">
        <v>28073</v>
      </c>
      <c r="E7104" s="2">
        <v>5512827</v>
      </c>
      <c r="F7104" s="4" t="str">
        <f>IF(B7104=B7103,"",B7104)</f>
        <v>Spanish Springs</v>
      </c>
    </row>
    <row r="7105" spans="1:6" ht="15.75" customHeight="1">
      <c r="A7105" s="5" t="str">
        <f ca="1">IFERROR(__xludf.DUMMYFUNCTION("GOOGLETRANSLATE(B45149,""en"",""pt"")"),"Springs espanhóis")</f>
        <v>Springs espanhóis</v>
      </c>
      <c r="B7105" s="17" t="s">
        <v>30073</v>
      </c>
      <c r="C7105" s="17" t="s">
        <v>27788</v>
      </c>
      <c r="D7105" s="17" t="s">
        <v>28073</v>
      </c>
      <c r="E7105" s="10">
        <v>5512827</v>
      </c>
      <c r="F7105" s="4" t="str">
        <f>IF(B7105=B7104,"",B7105)</f>
        <v/>
      </c>
    </row>
    <row r="7106" spans="1:6" ht="15.75" customHeight="1">
      <c r="A7106" s="5" t="s">
        <v>30070</v>
      </c>
      <c r="B7106" s="6" t="s">
        <v>30071</v>
      </c>
      <c r="C7106" s="5" t="s">
        <v>27788</v>
      </c>
      <c r="D7106" s="5" t="s">
        <v>27806</v>
      </c>
      <c r="E7106" s="2">
        <v>4409591</v>
      </c>
      <c r="F7106" s="4" t="str">
        <f>IF(B7106=B7105,"",B7106)</f>
        <v>Spanish Lake</v>
      </c>
    </row>
    <row r="7107" spans="1:6" ht="15.75" customHeight="1">
      <c r="A7107" s="5" t="str">
        <f ca="1">IFERROR(__xludf.DUMMYFUNCTION("GOOGLETRANSLATE(B43392,""en"",""pt"")"),"Lago espanhol")</f>
        <v>Lago espanhol</v>
      </c>
      <c r="B7107" s="17" t="s">
        <v>30071</v>
      </c>
      <c r="C7107" s="17" t="s">
        <v>27788</v>
      </c>
      <c r="D7107" s="17" t="s">
        <v>27806</v>
      </c>
      <c r="E7107" s="10">
        <v>4409591</v>
      </c>
      <c r="F7107" s="4" t="str">
        <f>IF(B7107=B7106,"",B7107)</f>
        <v/>
      </c>
    </row>
    <row r="7108" spans="1:6" ht="15.75" customHeight="1">
      <c r="A7108" s="5" t="s">
        <v>30068</v>
      </c>
      <c r="B7108" s="6" t="s">
        <v>30069</v>
      </c>
      <c r="C7108" s="5" t="s">
        <v>27788</v>
      </c>
      <c r="D7108" s="5" t="s">
        <v>27856</v>
      </c>
      <c r="E7108" s="2">
        <v>5781860</v>
      </c>
      <c r="F7108" s="4" t="str">
        <f>IF(B7108=B7107,"",B7108)</f>
        <v>Spanish Fork</v>
      </c>
    </row>
    <row r="7109" spans="1:6" ht="15.75" customHeight="1">
      <c r="A7109" s="5" t="str">
        <f ca="1">IFERROR(__xludf.DUMMYFUNCTION("GOOGLETRANSLATE(B45306,""en"",""pt"")"),"Garfo espanhol")</f>
        <v>Garfo espanhol</v>
      </c>
      <c r="B7109" s="17" t="s">
        <v>30069</v>
      </c>
      <c r="C7109" s="17" t="s">
        <v>27788</v>
      </c>
      <c r="D7109" s="17" t="s">
        <v>27856</v>
      </c>
      <c r="E7109" s="10">
        <v>5781860</v>
      </c>
      <c r="F7109" s="4" t="str">
        <f>IF(B7109=B7108,"",B7109)</f>
        <v/>
      </c>
    </row>
    <row r="7110" spans="1:6" ht="15.75" customHeight="1">
      <c r="A7110" s="6" t="s">
        <v>9148</v>
      </c>
      <c r="B7110" s="6" t="s">
        <v>9148</v>
      </c>
      <c r="C7110" s="6" t="s">
        <v>8028</v>
      </c>
      <c r="D7110" s="6" t="s">
        <v>8036</v>
      </c>
      <c r="E7110" s="2">
        <v>7290252</v>
      </c>
      <c r="F7110" s="4" t="str">
        <f>IF(B7110=B7109,"",B7110)</f>
        <v>Spandau</v>
      </c>
    </row>
    <row r="7111" spans="1:6" ht="15.75" customHeight="1">
      <c r="A7111" s="5" t="str">
        <f ca="1">IFERROR(__xludf.DUMMYFUNCTION("GOOGLETRANSLATE(B28379,""en"",""pt"")"),"Spandau")</f>
        <v>Spandau</v>
      </c>
      <c r="B7111" s="17" t="s">
        <v>9148</v>
      </c>
      <c r="C7111" s="17" t="s">
        <v>8028</v>
      </c>
      <c r="D7111" s="17" t="s">
        <v>8036</v>
      </c>
      <c r="E7111" s="10">
        <v>7290252</v>
      </c>
      <c r="F7111" s="4" t="str">
        <f>IF(B7111=B7110,"",B7111)</f>
        <v/>
      </c>
    </row>
    <row r="7112" spans="1:6" ht="15.75" customHeight="1">
      <c r="A7112" s="5" t="s">
        <v>30067</v>
      </c>
      <c r="B7112" s="6" t="s">
        <v>30067</v>
      </c>
      <c r="C7112" s="5" t="s">
        <v>27788</v>
      </c>
      <c r="D7112" s="5" t="s">
        <v>27733</v>
      </c>
      <c r="E7112" s="2">
        <v>5811581</v>
      </c>
      <c r="F7112" s="4" t="str">
        <f>IF(B7112=B7111,"",B7112)</f>
        <v>Spanaway</v>
      </c>
    </row>
    <row r="7113" spans="1:6" ht="15.75" customHeight="1">
      <c r="A7113" s="5" t="str">
        <f ca="1">IFERROR(__xludf.DUMMYFUNCTION("GOOGLETRANSLATE(B45378,""en"",""pt"")"),"Spanaway")</f>
        <v>Spanaway</v>
      </c>
      <c r="B7113" s="17" t="s">
        <v>30067</v>
      </c>
      <c r="C7113" s="17" t="s">
        <v>27788</v>
      </c>
      <c r="D7113" s="17" t="s">
        <v>27733</v>
      </c>
      <c r="E7113" s="10">
        <v>5811581</v>
      </c>
      <c r="F7113" s="4" t="str">
        <f>IF(B7113=B7112,"",B7113)</f>
        <v/>
      </c>
    </row>
    <row r="7114" spans="1:6" ht="15.75" customHeight="1">
      <c r="A7114" s="6" t="s">
        <v>27695</v>
      </c>
      <c r="B7114" s="6" t="s">
        <v>27695</v>
      </c>
      <c r="C7114" s="6" t="s">
        <v>27234</v>
      </c>
      <c r="D7114" s="6" t="s">
        <v>27241</v>
      </c>
      <c r="E7114" s="2">
        <v>2637265</v>
      </c>
      <c r="F7114" s="4" t="str">
        <f>IF(B7114=B7113,"",B7114)</f>
        <v>Spalding</v>
      </c>
    </row>
    <row r="7115" spans="1:6" ht="15.75" customHeight="1">
      <c r="A7115" s="5" t="str">
        <f ca="1">IFERROR(__xludf.DUMMYFUNCTION("GOOGLETRANSLATE(B30390,""en"",""pt"")"),"Spalding")</f>
        <v>Spalding</v>
      </c>
      <c r="B7115" s="17" t="s">
        <v>27695</v>
      </c>
      <c r="C7115" s="17" t="s">
        <v>27234</v>
      </c>
      <c r="D7115" s="17" t="s">
        <v>27241</v>
      </c>
      <c r="E7115" s="10">
        <v>2637265</v>
      </c>
      <c r="F7115" s="4" t="str">
        <f>IF(B7115=B7114,"",B7115)</f>
        <v/>
      </c>
    </row>
    <row r="7116" spans="1:6" ht="15.75" customHeight="1">
      <c r="A7116" s="6" t="s">
        <v>9637</v>
      </c>
      <c r="B7116" s="6" t="s">
        <v>9638</v>
      </c>
      <c r="C7116" s="6" t="s">
        <v>9441</v>
      </c>
      <c r="D7116" s="6" t="s">
        <v>9453</v>
      </c>
      <c r="E7116" s="2">
        <v>253394</v>
      </c>
      <c r="F7116" s="4" t="str">
        <f>IF(B7116=B7115,"",B7116)</f>
        <v>SpÃ¡rti</v>
      </c>
    </row>
    <row r="7117" spans="1:6" ht="15.75" customHeight="1">
      <c r="A7117" s="5" t="str">
        <f ca="1">IFERROR(__xludf.DUMMYFUNCTION("GOOGLETRANSLATE(B34196,""en"",""pt"")"),"Soyībug")</f>
        <v>Soyībug</v>
      </c>
      <c r="B7117" s="17" t="s">
        <v>34063</v>
      </c>
      <c r="C7117" s="17" t="s">
        <v>10178</v>
      </c>
      <c r="D7117" s="17" t="s">
        <v>10355</v>
      </c>
      <c r="E7117" s="10">
        <v>1430991</v>
      </c>
      <c r="F7117" s="4" t="str">
        <f>IF(B7117=B7116,"",B7117)</f>
        <v>Soyībug</v>
      </c>
    </row>
    <row r="7118" spans="1:6" ht="15.75" customHeight="1">
      <c r="A7118" s="6" t="s">
        <v>13434</v>
      </c>
      <c r="B7118" s="6" t="s">
        <v>13434</v>
      </c>
      <c r="C7118" s="6" t="s">
        <v>10178</v>
      </c>
      <c r="D7118" s="6" t="s">
        <v>10214</v>
      </c>
      <c r="E7118" s="2">
        <v>1255667</v>
      </c>
      <c r="F7118" s="4" t="str">
        <f>IF(B7118=B7117,"",B7118)</f>
        <v>Soygaon</v>
      </c>
    </row>
    <row r="7119" spans="1:6" ht="15.75" customHeight="1">
      <c r="A7119" s="5" t="str">
        <f ca="1">IFERROR(__xludf.DUMMYFUNCTION("GOOGLETRANSLATE(B32087,""en"",""pt"")"),"Soygaon")</f>
        <v>Soygaon</v>
      </c>
      <c r="B7119" s="17" t="s">
        <v>13434</v>
      </c>
      <c r="C7119" s="17" t="s">
        <v>10178</v>
      </c>
      <c r="D7119" s="17" t="s">
        <v>10214</v>
      </c>
      <c r="E7119" s="10">
        <v>1255667</v>
      </c>
      <c r="F7119" s="4" t="str">
        <f>IF(B7119=B7118,"",B7119)</f>
        <v/>
      </c>
    </row>
    <row r="7120" spans="1:6" ht="15.75" customHeight="1">
      <c r="A7120" s="5" t="s">
        <v>6763</v>
      </c>
      <c r="B7120" s="6" t="s">
        <v>6763</v>
      </c>
      <c r="C7120" s="5" t="s">
        <v>6727</v>
      </c>
      <c r="D7120" s="5" t="s">
        <v>6729</v>
      </c>
      <c r="E7120" s="2">
        <v>3583096</v>
      </c>
      <c r="F7120" s="4" t="str">
        <f>IF(B7120=B7119,"",B7120)</f>
        <v>Soyapango</v>
      </c>
    </row>
    <row r="7121" spans="1:6" ht="15.75" customHeight="1">
      <c r="A7121" s="5" t="str">
        <f ca="1">IFERROR(__xludf.DUMMYFUNCTION("GOOGLETRANSLATE(B41357,""en"",""pt"")"),"Soyapango")</f>
        <v>Soyapango</v>
      </c>
      <c r="B7121" s="17" t="s">
        <v>6763</v>
      </c>
      <c r="C7121" s="17" t="s">
        <v>6727</v>
      </c>
      <c r="D7121" s="17" t="s">
        <v>6729</v>
      </c>
      <c r="E7121" s="10">
        <v>3583096</v>
      </c>
      <c r="F7121" s="4" t="str">
        <f>IF(B7121=B7120,"",B7121)</f>
        <v/>
      </c>
    </row>
    <row r="7122" spans="1:6" ht="15.75" customHeight="1">
      <c r="A7122" s="5" t="s">
        <v>13432</v>
      </c>
      <c r="B7122" s="6" t="s">
        <v>13433</v>
      </c>
      <c r="C7122" s="5" t="s">
        <v>10178</v>
      </c>
      <c r="D7122" s="5" t="s">
        <v>10355</v>
      </c>
      <c r="E7122" s="2">
        <v>1430991</v>
      </c>
      <c r="F7122" s="4" t="str">
        <f>IF(B7122=B7121,"",B7122)</f>
        <v>SoyÄ«bug</v>
      </c>
    </row>
    <row r="7123" spans="1:6" ht="15.75" customHeight="1">
      <c r="A7123" s="6" t="s">
        <v>23981</v>
      </c>
      <c r="B7123" s="6" t="s">
        <v>23981</v>
      </c>
      <c r="C7123" s="6" t="s">
        <v>23842</v>
      </c>
      <c r="D7123" s="6" t="s">
        <v>23855</v>
      </c>
      <c r="E7123" s="2">
        <v>953781</v>
      </c>
      <c r="F7123" s="4" t="str">
        <f>IF(B7123=B7122,"",B7123)</f>
        <v>Soweto</v>
      </c>
    </row>
    <row r="7124" spans="1:6" ht="15.75" customHeight="1">
      <c r="A7124" s="5" t="str">
        <f ca="1">IFERROR(__xludf.DUMMYFUNCTION("GOOGLETRANSLATE(B45874,""en"",""pt"")"),"Soweto")</f>
        <v>Soweto</v>
      </c>
      <c r="B7124" s="17" t="s">
        <v>23981</v>
      </c>
      <c r="C7124" s="17" t="s">
        <v>23842</v>
      </c>
      <c r="D7124" s="17" t="s">
        <v>23855</v>
      </c>
      <c r="E7124" s="10">
        <v>953781</v>
      </c>
      <c r="F7124" s="4" t="str">
        <f>IF(B7124=B7123,"",B7124)</f>
        <v/>
      </c>
    </row>
    <row r="7125" spans="1:6" ht="15.75" customHeight="1">
      <c r="A7125" s="6" t="s">
        <v>23123</v>
      </c>
      <c r="B7125" s="6" t="s">
        <v>23123</v>
      </c>
      <c r="C7125" s="6" t="s">
        <v>22070</v>
      </c>
      <c r="D7125" s="6" t="s">
        <v>22217</v>
      </c>
      <c r="E7125" s="2">
        <v>1491230</v>
      </c>
      <c r="F7125" s="4" t="str">
        <f>IF(B7125=B7124,"",B7125)</f>
        <v>Sovetskiy</v>
      </c>
    </row>
    <row r="7126" spans="1:6" ht="15.75" customHeight="1">
      <c r="A7126" s="5" t="str">
        <f ca="1">IFERROR(__xludf.DUMMYFUNCTION("GOOGLETRANSLATE(B40757,""en"",""pt"")"),"Sovetskiy")</f>
        <v>Sovetskiy</v>
      </c>
      <c r="B7126" s="17" t="s">
        <v>23123</v>
      </c>
      <c r="C7126" s="17" t="s">
        <v>22070</v>
      </c>
      <c r="D7126" s="17" t="s">
        <v>22217</v>
      </c>
      <c r="E7126" s="10">
        <v>1491230</v>
      </c>
      <c r="F7126" s="4" t="str">
        <f>IF(B7126=B7125,"",B7126)</f>
        <v/>
      </c>
    </row>
    <row r="7127" spans="1:6" ht="15.75" customHeight="1">
      <c r="A7127" s="5" t="s">
        <v>23121</v>
      </c>
      <c r="B7127" s="6" t="s">
        <v>23122</v>
      </c>
      <c r="C7127" s="5" t="s">
        <v>22070</v>
      </c>
      <c r="D7127" s="5" t="s">
        <v>22131</v>
      </c>
      <c r="E7127" s="2">
        <v>2121052</v>
      </c>
      <c r="F7127" s="4" t="str">
        <f>IF(B7127=B7126,"",B7127)</f>
        <v>Sovetskaya Gavanâ€™</v>
      </c>
    </row>
    <row r="7128" spans="1:6" ht="15.75" customHeight="1">
      <c r="A7128" s="5" t="str">
        <f ca="1">IFERROR(__xludf.DUMMYFUNCTION("GOOGLETRANSLATE(B40957,""en"",""pt"")"),"Sovetskaya gavan '")</f>
        <v>Sovetskaya gavan '</v>
      </c>
      <c r="B7128" s="17" t="s">
        <v>35565</v>
      </c>
      <c r="C7128" s="17" t="s">
        <v>22070</v>
      </c>
      <c r="D7128" s="17" t="s">
        <v>22131</v>
      </c>
      <c r="E7128" s="10">
        <v>2121052</v>
      </c>
      <c r="F7128" s="4" t="str">
        <f>IF(B7128=B7127,"",B7128)</f>
        <v>Sovetskaya Gavan’</v>
      </c>
    </row>
    <row r="7129" spans="1:6" ht="15.75" customHeight="1">
      <c r="A7129" s="6" t="s">
        <v>23120</v>
      </c>
      <c r="B7129" s="6" t="s">
        <v>23120</v>
      </c>
      <c r="C7129" s="6" t="s">
        <v>22070</v>
      </c>
      <c r="D7129" s="6" t="s">
        <v>22524</v>
      </c>
      <c r="E7129" s="2">
        <v>490067</v>
      </c>
      <c r="F7129" s="4" t="str">
        <f>IF(B7129=B7128,"",B7129)</f>
        <v>Sovetsk</v>
      </c>
    </row>
    <row r="7130" spans="1:6" ht="15.75" customHeight="1">
      <c r="A7130" s="6" t="s">
        <v>23120</v>
      </c>
      <c r="B7130" s="6" t="s">
        <v>23120</v>
      </c>
      <c r="C7130" s="6" t="s">
        <v>22070</v>
      </c>
      <c r="D7130" s="6" t="s">
        <v>22191</v>
      </c>
      <c r="E7130" s="2">
        <v>490068</v>
      </c>
      <c r="F7130" s="4" t="str">
        <f>IF(B7130=B7129,"",B7130)</f>
        <v/>
      </c>
    </row>
    <row r="7131" spans="1:6" ht="15.75" customHeight="1">
      <c r="A7131" s="5" t="str">
        <f ca="1">IFERROR(__xludf.DUMMYFUNCTION("GOOGLETRANSLATE(B40071,""en"",""pt"")"),"Sovetsk")</f>
        <v>Sovetsk</v>
      </c>
      <c r="B7131" s="17" t="s">
        <v>23120</v>
      </c>
      <c r="C7131" s="17" t="s">
        <v>22070</v>
      </c>
      <c r="D7131" s="17" t="s">
        <v>22524</v>
      </c>
      <c r="E7131" s="10">
        <v>490067</v>
      </c>
      <c r="F7131" s="4" t="str">
        <f>IF(B7131=B7130,"",B7131)</f>
        <v/>
      </c>
    </row>
    <row r="7132" spans="1:6" ht="15.75" customHeight="1">
      <c r="A7132" s="5" t="str">
        <f ca="1">IFERROR(__xludf.DUMMYFUNCTION("GOOGLETRANSLATE(B40072,""en"",""pt"")"),"Sovetsk")</f>
        <v>Sovetsk</v>
      </c>
      <c r="B7132" s="17" t="s">
        <v>23120</v>
      </c>
      <c r="C7132" s="17" t="s">
        <v>22070</v>
      </c>
      <c r="D7132" s="17" t="s">
        <v>22191</v>
      </c>
      <c r="E7132" s="10">
        <v>490068</v>
      </c>
      <c r="F7132" s="4" t="str">
        <f>IF(B7132=B7131,"",B7132)</f>
        <v/>
      </c>
    </row>
    <row r="7133" spans="1:6" ht="15.75" customHeight="1">
      <c r="A7133" s="5" t="s">
        <v>27693</v>
      </c>
      <c r="B7133" s="6" t="s">
        <v>27694</v>
      </c>
      <c r="C7133" s="5" t="s">
        <v>27234</v>
      </c>
      <c r="D7133" s="5" t="s">
        <v>27241</v>
      </c>
      <c r="E7133" s="2">
        <v>2637330</v>
      </c>
      <c r="F7133" s="4" t="str">
        <f>IF(B7133=B7132,"",B7133)</f>
        <v>Southsea</v>
      </c>
    </row>
    <row r="7134" spans="1:6" ht="15.75" customHeight="1">
      <c r="A7134" s="5" t="str">
        <f ca="1">IFERROR(__xludf.DUMMYFUNCTION("GOOGLETRANSLATE(B30392,""en"",""pt"")"),"Mar do Sul")</f>
        <v>Mar do Sul</v>
      </c>
      <c r="B7134" s="17" t="s">
        <v>27694</v>
      </c>
      <c r="C7134" s="17" t="s">
        <v>27234</v>
      </c>
      <c r="D7134" s="17" t="s">
        <v>27241</v>
      </c>
      <c r="E7134" s="10">
        <v>2637330</v>
      </c>
      <c r="F7134" s="4" t="str">
        <f>IF(B7134=B7133,"",B7134)</f>
        <v/>
      </c>
    </row>
    <row r="7135" spans="1:6" ht="15.75" customHeight="1">
      <c r="A7135" s="5" t="s">
        <v>1081</v>
      </c>
      <c r="B7135" s="6" t="s">
        <v>1081</v>
      </c>
      <c r="C7135" s="5" t="s">
        <v>885</v>
      </c>
      <c r="D7135" s="5" t="s">
        <v>910</v>
      </c>
      <c r="E7135" s="2">
        <v>2148928</v>
      </c>
      <c r="F7135" s="4" t="str">
        <f>IF(B7135=B7134,"",B7135)</f>
        <v>Southport</v>
      </c>
    </row>
    <row r="7136" spans="1:6" ht="15.75" customHeight="1">
      <c r="A7136" s="5" t="s">
        <v>1081</v>
      </c>
      <c r="B7136" s="6" t="s">
        <v>1081</v>
      </c>
      <c r="C7136" s="5" t="s">
        <v>27234</v>
      </c>
      <c r="D7136" s="5" t="s">
        <v>27241</v>
      </c>
      <c r="E7136" s="2">
        <v>2637343</v>
      </c>
      <c r="F7136" s="4" t="str">
        <f>IF(B7136=B7135,"",B7136)</f>
        <v/>
      </c>
    </row>
    <row r="7137" spans="1:6" ht="15.75" customHeight="1">
      <c r="A7137" s="5" t="str">
        <f ca="1">IFERROR(__xludf.DUMMYFUNCTION("GOOGLETRANSLATE(B23450,""en"",""pt"")"),"Southport")</f>
        <v>Southport</v>
      </c>
      <c r="B7137" s="17" t="s">
        <v>1081</v>
      </c>
      <c r="C7137" s="17" t="s">
        <v>885</v>
      </c>
      <c r="D7137" s="17" t="s">
        <v>910</v>
      </c>
      <c r="E7137" s="10">
        <v>2148928</v>
      </c>
      <c r="F7137" s="4" t="str">
        <f>IF(B7137=B7136,"",B7137)</f>
        <v/>
      </c>
    </row>
    <row r="7138" spans="1:6" ht="15.75" customHeight="1">
      <c r="A7138" s="5" t="str">
        <f ca="1">IFERROR(__xludf.DUMMYFUNCTION("GOOGLETRANSLATE(B30393,""en"",""pt"")"),"Southport")</f>
        <v>Southport</v>
      </c>
      <c r="B7138" s="17" t="s">
        <v>1081</v>
      </c>
      <c r="C7138" s="17" t="s">
        <v>27234</v>
      </c>
      <c r="D7138" s="17" t="s">
        <v>27241</v>
      </c>
      <c r="E7138" s="10">
        <v>2637343</v>
      </c>
      <c r="F7138" s="4" t="str">
        <f>IF(B7138=B7137,"",B7138)</f>
        <v/>
      </c>
    </row>
    <row r="7139" spans="1:6" ht="15.75" customHeight="1">
      <c r="A7139" s="5" t="s">
        <v>30066</v>
      </c>
      <c r="B7139" s="6" t="s">
        <v>30066</v>
      </c>
      <c r="C7139" s="5" t="s">
        <v>27788</v>
      </c>
      <c r="D7139" s="5" t="s">
        <v>2341</v>
      </c>
      <c r="E7139" s="2">
        <v>5439752</v>
      </c>
      <c r="F7139" s="4" t="str">
        <f>IF(B7139=B7138,"",B7139)</f>
        <v>Southglenn</v>
      </c>
    </row>
    <row r="7140" spans="1:6" ht="15.75" customHeight="1">
      <c r="A7140" s="5" t="str">
        <f ca="1">IFERROR(__xludf.DUMMYFUNCTION("GOOGLETRANSLATE(B45119,""en"",""pt"")"),"Southglenn")</f>
        <v>Southglenn</v>
      </c>
      <c r="B7140" s="17" t="s">
        <v>30066</v>
      </c>
      <c r="C7140" s="17" t="s">
        <v>27788</v>
      </c>
      <c r="D7140" s="17" t="s">
        <v>2341</v>
      </c>
      <c r="E7140" s="10">
        <v>5439752</v>
      </c>
      <c r="F7140" s="4" t="str">
        <f>IF(B7140=B7139,"",B7140)</f>
        <v/>
      </c>
    </row>
    <row r="7141" spans="1:6" ht="15.75" customHeight="1">
      <c r="A7141" s="5" t="s">
        <v>30064</v>
      </c>
      <c r="B7141" s="6" t="s">
        <v>30065</v>
      </c>
      <c r="C7141" s="5" t="s">
        <v>27788</v>
      </c>
      <c r="D7141" s="5" t="s">
        <v>27804</v>
      </c>
      <c r="E7141" s="2">
        <v>5010646</v>
      </c>
      <c r="F7141" s="4" t="str">
        <f>IF(B7141=B7140,"",B7141)</f>
        <v>Southgate</v>
      </c>
    </row>
    <row r="7142" spans="1:6" ht="15.75" customHeight="1">
      <c r="A7142" s="5" t="str">
        <f ca="1">IFERROR(__xludf.DUMMYFUNCTION("GOOGLETRANSLATE(B44123,""en"",""pt"")"),"Portão sul")</f>
        <v>Portão sul</v>
      </c>
      <c r="B7142" s="17" t="s">
        <v>30065</v>
      </c>
      <c r="C7142" s="17" t="s">
        <v>27788</v>
      </c>
      <c r="D7142" s="17" t="s">
        <v>27804</v>
      </c>
      <c r="E7142" s="10">
        <v>5010646</v>
      </c>
      <c r="F7142" s="4" t="str">
        <f>IF(B7142=B7141,"",B7142)</f>
        <v/>
      </c>
    </row>
    <row r="7143" spans="1:6" ht="15.75" customHeight="1">
      <c r="A7143" s="5" t="s">
        <v>30063</v>
      </c>
      <c r="B7143" s="6" t="s">
        <v>30063</v>
      </c>
      <c r="C7143" s="5" t="s">
        <v>27788</v>
      </c>
      <c r="D7143" s="5" t="s">
        <v>27804</v>
      </c>
      <c r="E7143" s="2">
        <v>5010636</v>
      </c>
      <c r="F7143" s="4" t="str">
        <f>IF(B7143=B7142,"",B7143)</f>
        <v>Southfield</v>
      </c>
    </row>
    <row r="7144" spans="1:6" ht="15.75" customHeight="1">
      <c r="A7144" s="5" t="str">
        <f ca="1">IFERROR(__xludf.DUMMYFUNCTION("GOOGLETRANSLATE(B44122,""en"",""pt"")"),"Southfield")</f>
        <v>Southfield</v>
      </c>
      <c r="B7144" s="17" t="s">
        <v>30063</v>
      </c>
      <c r="C7144" s="17" t="s">
        <v>27788</v>
      </c>
      <c r="D7144" s="17" t="s">
        <v>27804</v>
      </c>
      <c r="E7144" s="10">
        <v>5010636</v>
      </c>
      <c r="F7144" s="4" t="str">
        <f>IF(B7144=B7143,"",B7144)</f>
        <v/>
      </c>
    </row>
    <row r="7145" spans="1:6" ht="15.75" customHeight="1">
      <c r="A7145" s="5" t="s">
        <v>27692</v>
      </c>
      <c r="B7145" s="6" t="s">
        <v>27692</v>
      </c>
      <c r="C7145" s="5" t="s">
        <v>27234</v>
      </c>
      <c r="D7145" s="5" t="s">
        <v>27241</v>
      </c>
      <c r="E7145" s="2">
        <v>2637433</v>
      </c>
      <c r="F7145" s="4" t="str">
        <f>IF(B7145=B7144,"",B7145)</f>
        <v>Southend-on-Sea</v>
      </c>
    </row>
    <row r="7146" spans="1:6" ht="15.75" customHeight="1">
      <c r="A7146" s="5" t="str">
        <f ca="1">IFERROR(__xludf.DUMMYFUNCTION("GOOGLETRANSLATE(B30395,""en"",""pt"")"),"Southend-on-Sea")</f>
        <v>Southend-on-Sea</v>
      </c>
      <c r="B7146" s="17" t="s">
        <v>27692</v>
      </c>
      <c r="C7146" s="17" t="s">
        <v>27234</v>
      </c>
      <c r="D7146" s="17" t="s">
        <v>27241</v>
      </c>
      <c r="E7146" s="10">
        <v>2637433</v>
      </c>
      <c r="F7146" s="4" t="str">
        <f>IF(B7146=B7145,"",B7146)</f>
        <v/>
      </c>
    </row>
    <row r="7147" spans="1:6" ht="15.75" customHeight="1">
      <c r="A7147" s="5" t="s">
        <v>30062</v>
      </c>
      <c r="B7147" s="6" t="s">
        <v>30062</v>
      </c>
      <c r="C7147" s="5" t="s">
        <v>27788</v>
      </c>
      <c r="D7147" s="5" t="s">
        <v>5468</v>
      </c>
      <c r="E7147" s="2">
        <v>4173600</v>
      </c>
      <c r="F7147" s="4" t="str">
        <f>IF(B7147=B7146,"",B7147)</f>
        <v>Southchase</v>
      </c>
    </row>
    <row r="7148" spans="1:6" ht="15.75" customHeight="1">
      <c r="A7148" s="5" t="str">
        <f ca="1">IFERROR(__xludf.DUMMYFUNCTION("GOOGLETRANSLATE(B43018,""en"",""pt"")"),"Southchase")</f>
        <v>Southchase</v>
      </c>
      <c r="B7148" s="17" t="s">
        <v>30062</v>
      </c>
      <c r="C7148" s="17" t="s">
        <v>27788</v>
      </c>
      <c r="D7148" s="17" t="s">
        <v>5468</v>
      </c>
      <c r="E7148" s="10">
        <v>4173600</v>
      </c>
      <c r="F7148" s="4" t="str">
        <f>IF(B7148=B7147,"",B7148)</f>
        <v/>
      </c>
    </row>
    <row r="7149" spans="1:6" ht="15.75" customHeight="1">
      <c r="A7149" s="5" t="s">
        <v>30061</v>
      </c>
      <c r="B7149" s="6" t="s">
        <v>30061</v>
      </c>
      <c r="C7149" s="5" t="s">
        <v>27788</v>
      </c>
      <c r="D7149" s="5" t="s">
        <v>27794</v>
      </c>
      <c r="E7149" s="2">
        <v>4951594</v>
      </c>
      <c r="F7149" s="4" t="str">
        <f>IF(B7149=B7148,"",B7149)</f>
        <v>Southbridge</v>
      </c>
    </row>
    <row r="7150" spans="1:6" ht="15.75" customHeight="1">
      <c r="A7150" s="5" t="str">
        <f ca="1">IFERROR(__xludf.DUMMYFUNCTION("GOOGLETRANSLATE(B44028,""en"",""pt"")"),"Southbridge")</f>
        <v>Southbridge</v>
      </c>
      <c r="B7150" s="17" t="s">
        <v>30061</v>
      </c>
      <c r="C7150" s="17" t="s">
        <v>27788</v>
      </c>
      <c r="D7150" s="17" t="s">
        <v>27794</v>
      </c>
      <c r="E7150" s="10">
        <v>4951594</v>
      </c>
      <c r="F7150" s="4" t="str">
        <f>IF(B7150=B7149,"",B7150)</f>
        <v/>
      </c>
    </row>
    <row r="7151" spans="1:6" ht="15.75" customHeight="1">
      <c r="A7151" s="5" t="s">
        <v>30059</v>
      </c>
      <c r="B7151" s="6" t="s">
        <v>30060</v>
      </c>
      <c r="C7151" s="5" t="s">
        <v>27788</v>
      </c>
      <c r="D7151" s="5" t="s">
        <v>28040</v>
      </c>
      <c r="E7151" s="2">
        <v>4446675</v>
      </c>
      <c r="F7151" s="4" t="str">
        <f>IF(B7151=B7150,"",B7151)</f>
        <v>Southaven</v>
      </c>
    </row>
    <row r="7152" spans="1:6" ht="15.75" customHeight="1">
      <c r="A7152" s="5" t="str">
        <f ca="1">IFERROR(__xludf.DUMMYFUNCTION("GOOGLETRANSLATE(B43421,""en"",""pt"")"),"Southeven")</f>
        <v>Southeven</v>
      </c>
      <c r="B7152" s="17" t="s">
        <v>30060</v>
      </c>
      <c r="C7152" s="17" t="s">
        <v>27788</v>
      </c>
      <c r="D7152" s="17" t="s">
        <v>28040</v>
      </c>
      <c r="E7152" s="10">
        <v>4446675</v>
      </c>
      <c r="F7152" s="4" t="str">
        <f>IF(B7152=B7151,"",B7152)</f>
        <v/>
      </c>
    </row>
    <row r="7153" spans="1:6" ht="15.75" customHeight="1">
      <c r="A7153" s="5" t="s">
        <v>27691</v>
      </c>
      <c r="B7153" s="6" t="s">
        <v>27691</v>
      </c>
      <c r="C7153" s="5" t="s">
        <v>27234</v>
      </c>
      <c r="D7153" s="5" t="s">
        <v>27241</v>
      </c>
      <c r="E7153" s="2">
        <v>2637487</v>
      </c>
      <c r="F7153" s="4" t="str">
        <f>IF(B7153=B7152,"",B7153)</f>
        <v>Southampton</v>
      </c>
    </row>
    <row r="7154" spans="1:6" ht="15.75" customHeight="1">
      <c r="A7154" s="5" t="str">
        <f ca="1">IFERROR(__xludf.DUMMYFUNCTION("GOOGLETRANSLATE(B30398,""en"",""pt"")"),"Southampton")</f>
        <v>Southampton</v>
      </c>
      <c r="B7154" s="17" t="s">
        <v>27691</v>
      </c>
      <c r="C7154" s="17" t="s">
        <v>27234</v>
      </c>
      <c r="D7154" s="17" t="s">
        <v>27241</v>
      </c>
      <c r="E7154" s="10">
        <v>2637487</v>
      </c>
      <c r="F7154" s="4" t="str">
        <f>IF(B7154=B7153,"",B7154)</f>
        <v/>
      </c>
    </row>
    <row r="7155" spans="1:6" ht="15.75" customHeight="1">
      <c r="A7155" s="6" t="s">
        <v>27690</v>
      </c>
      <c r="B7155" s="6" t="s">
        <v>27690</v>
      </c>
      <c r="C7155" s="6" t="s">
        <v>27234</v>
      </c>
      <c r="D7155" s="6" t="s">
        <v>27241</v>
      </c>
      <c r="E7155" s="2">
        <v>2637490</v>
      </c>
      <c r="F7155" s="4" t="str">
        <f>IF(B7155=B7154,"",B7155)</f>
        <v>Southall</v>
      </c>
    </row>
    <row r="7156" spans="1:6" ht="15.75" customHeight="1">
      <c r="A7156" s="5" t="str">
        <f ca="1">IFERROR(__xludf.DUMMYFUNCTION("GOOGLETRANSLATE(B30399,""en"",""pt"")"),"Southall")</f>
        <v>Southall</v>
      </c>
      <c r="B7156" s="17" t="s">
        <v>27690</v>
      </c>
      <c r="C7156" s="17" t="s">
        <v>27234</v>
      </c>
      <c r="D7156" s="17" t="s">
        <v>27241</v>
      </c>
      <c r="E7156" s="10">
        <v>2637490</v>
      </c>
      <c r="F7156" s="4" t="str">
        <f>IF(B7156=B7155,"",B7156)</f>
        <v/>
      </c>
    </row>
    <row r="7157" spans="1:6" ht="15.75" customHeight="1">
      <c r="A7157" s="5" t="s">
        <v>30057</v>
      </c>
      <c r="B7157" s="6" t="s">
        <v>30058</v>
      </c>
      <c r="C7157" s="5" t="s">
        <v>27788</v>
      </c>
      <c r="D7157" s="5" t="s">
        <v>27801</v>
      </c>
      <c r="E7157" s="2">
        <v>5397851</v>
      </c>
      <c r="F7157" s="4" t="str">
        <f>IF(B7157=B7156,"",B7157)</f>
        <v>South Yuba City</v>
      </c>
    </row>
    <row r="7158" spans="1:6" ht="15.75" customHeight="1">
      <c r="A7158" s="5" t="str">
        <f ca="1">IFERROR(__xludf.DUMMYFUNCTION("GOOGLETRANSLATE(B45046,""en"",""pt"")"),"Cidade do Sul de Yuba")</f>
        <v>Cidade do Sul de Yuba</v>
      </c>
      <c r="B7158" s="17" t="s">
        <v>30058</v>
      </c>
      <c r="C7158" s="17" t="s">
        <v>27788</v>
      </c>
      <c r="D7158" s="17" t="s">
        <v>27801</v>
      </c>
      <c r="E7158" s="10">
        <v>5397851</v>
      </c>
      <c r="F7158" s="4" t="str">
        <f>IF(B7158=B7157,"",B7158)</f>
        <v/>
      </c>
    </row>
    <row r="7159" spans="1:6" ht="15.75" customHeight="1">
      <c r="A7159" s="5" t="s">
        <v>30056</v>
      </c>
      <c r="B7159" s="6" t="s">
        <v>30056</v>
      </c>
      <c r="C7159" s="5" t="s">
        <v>27788</v>
      </c>
      <c r="D7159" s="5" t="s">
        <v>27801</v>
      </c>
      <c r="E7159" s="2">
        <v>5397841</v>
      </c>
      <c r="F7159" s="4" t="str">
        <f>IF(B7159=B7158,"",B7159)</f>
        <v>South Whittier</v>
      </c>
    </row>
    <row r="7160" spans="1:6" ht="15.75" customHeight="1">
      <c r="A7160" s="5" t="str">
        <f ca="1">IFERROR(__xludf.DUMMYFUNCTION("GOOGLETRANSLATE(B45045,""en"",""pt"")"),"South Whittier")</f>
        <v>South Whittier</v>
      </c>
      <c r="B7160" s="17" t="s">
        <v>30056</v>
      </c>
      <c r="C7160" s="17" t="s">
        <v>27788</v>
      </c>
      <c r="D7160" s="17" t="s">
        <v>27801</v>
      </c>
      <c r="E7160" s="10">
        <v>5397841</v>
      </c>
      <c r="F7160" s="4" t="str">
        <f>IF(B7160=B7159,"",B7160)</f>
        <v/>
      </c>
    </row>
    <row r="7161" spans="1:6" ht="15.75" customHeight="1">
      <c r="A7161" s="5" t="s">
        <v>30054</v>
      </c>
      <c r="B7161" s="6" t="s">
        <v>30055</v>
      </c>
      <c r="C7161" s="5" t="s">
        <v>27788</v>
      </c>
      <c r="D7161" s="5" t="s">
        <v>27905</v>
      </c>
      <c r="E7161" s="2">
        <v>4504225</v>
      </c>
      <c r="F7161" s="4" t="str">
        <f>IF(B7161=B7160,"",B7161)</f>
        <v>South Vineland</v>
      </c>
    </row>
    <row r="7162" spans="1:6" ht="15.75" customHeight="1">
      <c r="A7162" s="5" t="str">
        <f ca="1">IFERROR(__xludf.DUMMYFUNCTION("GOOGLETRANSLATE(B43500,""en"",""pt"")"),"Sul Vineland")</f>
        <v>Sul Vineland</v>
      </c>
      <c r="B7162" s="17" t="s">
        <v>30055</v>
      </c>
      <c r="C7162" s="17" t="s">
        <v>27788</v>
      </c>
      <c r="D7162" s="17" t="s">
        <v>27905</v>
      </c>
      <c r="E7162" s="10">
        <v>4504225</v>
      </c>
      <c r="F7162" s="4" t="str">
        <f>IF(B7162=B7161,"",B7162)</f>
        <v/>
      </c>
    </row>
    <row r="7163" spans="1:6" ht="15.75" customHeight="1">
      <c r="A7163" s="5" t="s">
        <v>30052</v>
      </c>
      <c r="B7163" s="6" t="s">
        <v>30053</v>
      </c>
      <c r="C7163" s="5" t="s">
        <v>27788</v>
      </c>
      <c r="D7163" s="5" t="s">
        <v>27818</v>
      </c>
      <c r="E7163" s="2">
        <v>5492450</v>
      </c>
      <c r="F7163" s="4" t="str">
        <f>IF(B7163=B7162,"",B7163)</f>
        <v>South Valley</v>
      </c>
    </row>
    <row r="7164" spans="1:6" ht="15.75" customHeight="1">
      <c r="A7164" s="5" t="str">
        <f ca="1">IFERROR(__xludf.DUMMYFUNCTION("GOOGLETRANSLATE(B45137,""en"",""pt"")"),"Vale do Sul")</f>
        <v>Vale do Sul</v>
      </c>
      <c r="B7164" s="17" t="s">
        <v>30053</v>
      </c>
      <c r="C7164" s="17" t="s">
        <v>27788</v>
      </c>
      <c r="D7164" s="17" t="s">
        <v>27818</v>
      </c>
      <c r="E7164" s="10">
        <v>5492450</v>
      </c>
      <c r="F7164" s="4" t="str">
        <f>IF(B7164=B7163,"",B7164)</f>
        <v/>
      </c>
    </row>
    <row r="7165" spans="1:6" ht="15.75" customHeight="1">
      <c r="A7165" s="5" t="s">
        <v>14172</v>
      </c>
      <c r="B7165" s="6" t="s">
        <v>14172</v>
      </c>
      <c r="C7165" s="5" t="s">
        <v>13800</v>
      </c>
      <c r="D7165" s="5" t="s">
        <v>13901</v>
      </c>
      <c r="E7165" s="2">
        <v>8581443</v>
      </c>
      <c r="F7165" s="4" t="str">
        <f>IF(B7165=B7164,"",B7165)</f>
        <v>South Tangerang</v>
      </c>
    </row>
    <row r="7166" spans="1:6" ht="15.75" customHeight="1">
      <c r="A7166" s="5" t="str">
        <f ca="1">IFERROR(__xludf.DUMMYFUNCTION("GOOGLETRANSLATE(B31723,""en"",""pt"")"),"South Tangerang")</f>
        <v>South Tangerang</v>
      </c>
      <c r="B7166" s="17" t="s">
        <v>14172</v>
      </c>
      <c r="C7166" s="17" t="s">
        <v>13800</v>
      </c>
      <c r="D7166" s="17" t="s">
        <v>13901</v>
      </c>
      <c r="E7166" s="10">
        <v>8581443</v>
      </c>
      <c r="F7166" s="4" t="str">
        <f>IF(B7166=B7165,"",B7166)</f>
        <v/>
      </c>
    </row>
    <row r="7167" spans="1:6" ht="15.75" customHeight="1">
      <c r="A7167" s="5" t="s">
        <v>27688</v>
      </c>
      <c r="B7167" s="6" t="s">
        <v>27689</v>
      </c>
      <c r="C7167" s="5" t="s">
        <v>27234</v>
      </c>
      <c r="D7167" s="5" t="s">
        <v>27241</v>
      </c>
      <c r="E7167" s="2">
        <v>2637329</v>
      </c>
      <c r="F7167" s="4" t="str">
        <f>IF(B7167=B7166,"",B7167)</f>
        <v>South Shields</v>
      </c>
    </row>
    <row r="7168" spans="1:6" ht="15.75" customHeight="1">
      <c r="A7168" s="5" t="str">
        <f ca="1">IFERROR(__xludf.DUMMYFUNCTION("GOOGLETRANSLATE(B30391,""en"",""pt"")"),"Shields do Sul")</f>
        <v>Shields do Sul</v>
      </c>
      <c r="B7168" s="17" t="s">
        <v>27689</v>
      </c>
      <c r="C7168" s="17" t="s">
        <v>27234</v>
      </c>
      <c r="D7168" s="17" t="s">
        <v>27241</v>
      </c>
      <c r="E7168" s="10">
        <v>2637329</v>
      </c>
      <c r="F7168" s="4" t="str">
        <f>IF(B7168=B7167,"",B7168)</f>
        <v/>
      </c>
    </row>
    <row r="7169" spans="1:6" ht="15.75" customHeight="1">
      <c r="A7169" s="5" t="s">
        <v>30051</v>
      </c>
      <c r="B7169" s="6" t="s">
        <v>30051</v>
      </c>
      <c r="C7169" s="5" t="s">
        <v>27788</v>
      </c>
      <c r="D7169" s="5" t="s">
        <v>27801</v>
      </c>
      <c r="E7169" s="2">
        <v>5397777</v>
      </c>
      <c r="F7169" s="4" t="str">
        <f>IF(B7169=B7168,"",B7169)</f>
        <v>South San Jose Hills</v>
      </c>
    </row>
    <row r="7170" spans="1:6" ht="15.75" customHeight="1">
      <c r="A7170" s="5" t="str">
        <f ca="1">IFERROR(__xludf.DUMMYFUNCTION("GOOGLETRANSLATE(B45044,""en"",""pt"")"),"South San Jose Hills")</f>
        <v>South San Jose Hills</v>
      </c>
      <c r="B7170" s="17" t="s">
        <v>30051</v>
      </c>
      <c r="C7170" s="17" t="s">
        <v>27788</v>
      </c>
      <c r="D7170" s="17" t="s">
        <v>27801</v>
      </c>
      <c r="E7170" s="10">
        <v>5397777</v>
      </c>
      <c r="F7170" s="4" t="str">
        <f>IF(B7170=B7169,"",B7170)</f>
        <v/>
      </c>
    </row>
    <row r="7171" spans="1:6" ht="15.75" customHeight="1">
      <c r="A7171" s="5" t="s">
        <v>30049</v>
      </c>
      <c r="B7171" s="6" t="s">
        <v>30050</v>
      </c>
      <c r="C7171" s="5" t="s">
        <v>27788</v>
      </c>
      <c r="D7171" s="5" t="s">
        <v>27801</v>
      </c>
      <c r="E7171" s="2">
        <v>5397765</v>
      </c>
      <c r="F7171" s="4" t="str">
        <f>IF(B7171=B7170,"",B7171)</f>
        <v>South San Francisco</v>
      </c>
    </row>
    <row r="7172" spans="1:6" ht="15.75" customHeight="1">
      <c r="A7172" s="5" t="str">
        <f ca="1">IFERROR(__xludf.DUMMYFUNCTION("GOOGLETRANSLATE(B45043,""en"",""pt"")"),"São Francisco do Sul")</f>
        <v>São Francisco do Sul</v>
      </c>
      <c r="B7172" s="17" t="s">
        <v>30050</v>
      </c>
      <c r="C7172" s="17" t="s">
        <v>27788</v>
      </c>
      <c r="D7172" s="17" t="s">
        <v>27801</v>
      </c>
      <c r="E7172" s="10">
        <v>5397765</v>
      </c>
      <c r="F7172" s="4" t="str">
        <f>IF(B7172=B7171,"",B7172)</f>
        <v/>
      </c>
    </row>
    <row r="7173" spans="1:6" ht="15.75" customHeight="1">
      <c r="A7173" s="5" t="s">
        <v>30048</v>
      </c>
      <c r="B7173" s="6" t="s">
        <v>30048</v>
      </c>
      <c r="C7173" s="5" t="s">
        <v>27788</v>
      </c>
      <c r="D7173" s="5" t="s">
        <v>27856</v>
      </c>
      <c r="E7173" s="2">
        <v>5781794</v>
      </c>
      <c r="F7173" s="4" t="str">
        <f>IF(B7173=B7172,"",B7173)</f>
        <v>South Salt Lake</v>
      </c>
    </row>
    <row r="7174" spans="1:6" ht="15.75" customHeight="1">
      <c r="A7174" s="5" t="str">
        <f ca="1">IFERROR(__xludf.DUMMYFUNCTION("GOOGLETRANSLATE(B45305,""en"",""pt"")"),"South Salt Lake")</f>
        <v>South Salt Lake</v>
      </c>
      <c r="B7174" s="17" t="s">
        <v>30048</v>
      </c>
      <c r="C7174" s="17" t="s">
        <v>27788</v>
      </c>
      <c r="D7174" s="17" t="s">
        <v>27856</v>
      </c>
      <c r="E7174" s="10">
        <v>5781794</v>
      </c>
      <c r="F7174" s="4" t="str">
        <f>IF(B7174=B7173,"",B7174)</f>
        <v/>
      </c>
    </row>
    <row r="7175" spans="1:6" ht="15.75" customHeight="1">
      <c r="A7175" s="5" t="s">
        <v>30047</v>
      </c>
      <c r="B7175" s="6" t="s">
        <v>30047</v>
      </c>
      <c r="C7175" s="5" t="s">
        <v>27788</v>
      </c>
      <c r="D7175" s="5" t="s">
        <v>27824</v>
      </c>
      <c r="E7175" s="2">
        <v>5048033</v>
      </c>
      <c r="F7175" s="4" t="str">
        <f>IF(B7175=B7174,"",B7175)</f>
        <v>South Saint Paul</v>
      </c>
    </row>
    <row r="7176" spans="1:6" ht="15.75" customHeight="1">
      <c r="A7176" s="5" t="str">
        <f ca="1">IFERROR(__xludf.DUMMYFUNCTION("GOOGLETRANSLATE(B44201,""en"",""pt"")"),"South Saint Paul")</f>
        <v>South Saint Paul</v>
      </c>
      <c r="B7176" s="17" t="s">
        <v>30047</v>
      </c>
      <c r="C7176" s="17" t="s">
        <v>27788</v>
      </c>
      <c r="D7176" s="17" t="s">
        <v>27824</v>
      </c>
      <c r="E7176" s="10">
        <v>5048033</v>
      </c>
      <c r="F7176" s="4" t="str">
        <f>IF(B7176=B7175,"",B7176)</f>
        <v/>
      </c>
    </row>
    <row r="7177" spans="1:6" ht="15.75" customHeight="1">
      <c r="A7177" s="5" t="s">
        <v>30046</v>
      </c>
      <c r="B7177" s="6" t="s">
        <v>30046</v>
      </c>
      <c r="C7177" s="5" t="s">
        <v>27788</v>
      </c>
      <c r="D7177" s="5" t="s">
        <v>27905</v>
      </c>
      <c r="E7177" s="2">
        <v>5104853</v>
      </c>
      <c r="F7177" s="4" t="str">
        <f>IF(B7177=B7176,"",B7177)</f>
        <v>South River</v>
      </c>
    </row>
    <row r="7178" spans="1:6" ht="15.75" customHeight="1">
      <c r="A7178" s="5" t="str">
        <f ca="1">IFERROR(__xludf.DUMMYFUNCTION("GOOGLETRANSLATE(B44315,""en"",""pt"")"),"South River")</f>
        <v>South River</v>
      </c>
      <c r="B7178" s="17" t="s">
        <v>30046</v>
      </c>
      <c r="C7178" s="17" t="s">
        <v>27788</v>
      </c>
      <c r="D7178" s="17" t="s">
        <v>27905</v>
      </c>
      <c r="E7178" s="10">
        <v>5104853</v>
      </c>
      <c r="F7178" s="4" t="str">
        <f>IF(B7178=B7177,"",B7178)</f>
        <v/>
      </c>
    </row>
    <row r="7179" spans="1:6" ht="15.75" customHeight="1">
      <c r="A7179" s="5" t="s">
        <v>30045</v>
      </c>
      <c r="B7179" s="6" t="s">
        <v>30045</v>
      </c>
      <c r="C7179" s="5" t="s">
        <v>27788</v>
      </c>
      <c r="D7179" s="5" t="s">
        <v>27920</v>
      </c>
      <c r="E7179" s="2">
        <v>4979245</v>
      </c>
      <c r="F7179" s="4" t="str">
        <f>IF(B7179=B7178,"",B7179)</f>
        <v>South Portland Gardens</v>
      </c>
    </row>
    <row r="7180" spans="1:6" ht="15.75" customHeight="1">
      <c r="A7180" s="5" t="str">
        <f ca="1">IFERROR(__xludf.DUMMYFUNCTION("GOOGLETRANSLATE(B44059,""en"",""pt"")"),"South Portland Gardens")</f>
        <v>South Portland Gardens</v>
      </c>
      <c r="B7180" s="17" t="s">
        <v>30045</v>
      </c>
      <c r="C7180" s="17" t="s">
        <v>27788</v>
      </c>
      <c r="D7180" s="17" t="s">
        <v>27920</v>
      </c>
      <c r="E7180" s="10">
        <v>4979245</v>
      </c>
      <c r="F7180" s="4" t="str">
        <f>IF(B7180=B7179,"",B7180)</f>
        <v/>
      </c>
    </row>
    <row r="7181" spans="1:6" ht="15.75" customHeight="1">
      <c r="A7181" s="5" t="s">
        <v>30044</v>
      </c>
      <c r="B7181" s="6" t="s">
        <v>30044</v>
      </c>
      <c r="C7181" s="5" t="s">
        <v>27788</v>
      </c>
      <c r="D7181" s="5" t="s">
        <v>27920</v>
      </c>
      <c r="E7181" s="2">
        <v>4979244</v>
      </c>
      <c r="F7181" s="4" t="str">
        <f>IF(B7181=B7180,"",B7181)</f>
        <v>South Portland</v>
      </c>
    </row>
    <row r="7182" spans="1:6" ht="15.75" customHeight="1">
      <c r="A7182" s="5" t="str">
        <f ca="1">IFERROR(__xludf.DUMMYFUNCTION("GOOGLETRANSLATE(B44058,""en"",""pt"")"),"South Portland")</f>
        <v>South Portland</v>
      </c>
      <c r="B7182" s="17" t="s">
        <v>30044</v>
      </c>
      <c r="C7182" s="17" t="s">
        <v>27788</v>
      </c>
      <c r="D7182" s="17" t="s">
        <v>27920</v>
      </c>
      <c r="E7182" s="10">
        <v>4979244</v>
      </c>
      <c r="F7182" s="4" t="str">
        <f>IF(B7182=B7181,"",B7182)</f>
        <v/>
      </c>
    </row>
    <row r="7183" spans="1:6" ht="15.75" customHeight="1">
      <c r="A7183" s="5" t="s">
        <v>30043</v>
      </c>
      <c r="B7183" s="6" t="s">
        <v>30043</v>
      </c>
      <c r="C7183" s="5" t="s">
        <v>27788</v>
      </c>
      <c r="D7183" s="5" t="s">
        <v>27905</v>
      </c>
      <c r="E7183" s="2">
        <v>5104844</v>
      </c>
      <c r="F7183" s="4" t="str">
        <f>IF(B7183=B7182,"",B7183)</f>
        <v>South Plainfield</v>
      </c>
    </row>
    <row r="7184" spans="1:6" ht="15.75" customHeight="1">
      <c r="A7184" s="5" t="str">
        <f ca="1">IFERROR(__xludf.DUMMYFUNCTION("GOOGLETRANSLATE(B44314,""en"",""pt"")"),"South Plainfield")</f>
        <v>South Plainfield</v>
      </c>
      <c r="B7184" s="17" t="s">
        <v>30043</v>
      </c>
      <c r="C7184" s="17" t="s">
        <v>27788</v>
      </c>
      <c r="D7184" s="17" t="s">
        <v>27905</v>
      </c>
      <c r="E7184" s="10">
        <v>5104844</v>
      </c>
      <c r="F7184" s="4" t="str">
        <f>IF(B7184=B7183,"",B7184)</f>
        <v/>
      </c>
    </row>
    <row r="7185" spans="1:6" ht="15.75" customHeight="1">
      <c r="A7185" s="5" t="s">
        <v>30042</v>
      </c>
      <c r="B7185" s="6" t="s">
        <v>30042</v>
      </c>
      <c r="C7185" s="5" t="s">
        <v>27788</v>
      </c>
      <c r="D7185" s="5" t="s">
        <v>27794</v>
      </c>
      <c r="E7185" s="2">
        <v>4951473</v>
      </c>
      <c r="F7185" s="4" t="str">
        <f>IF(B7185=B7184,"",B7185)</f>
        <v>South Peabody</v>
      </c>
    </row>
    <row r="7186" spans="1:6" ht="15.75" customHeight="1">
      <c r="A7186" s="5" t="str">
        <f ca="1">IFERROR(__xludf.DUMMYFUNCTION("GOOGLETRANSLATE(B44027,""en"",""pt"")"),"South Peabody")</f>
        <v>South Peabody</v>
      </c>
      <c r="B7186" s="17" t="s">
        <v>30042</v>
      </c>
      <c r="C7186" s="17" t="s">
        <v>27788</v>
      </c>
      <c r="D7186" s="17" t="s">
        <v>27794</v>
      </c>
      <c r="E7186" s="10">
        <v>4951473</v>
      </c>
      <c r="F7186" s="4" t="str">
        <f>IF(B7186=B7185,"",B7186)</f>
        <v/>
      </c>
    </row>
    <row r="7187" spans="1:6" ht="15.75" customHeight="1">
      <c r="A7187" s="5" t="s">
        <v>30040</v>
      </c>
      <c r="B7187" s="6" t="s">
        <v>30041</v>
      </c>
      <c r="C7187" s="5" t="s">
        <v>27788</v>
      </c>
      <c r="D7187" s="5" t="s">
        <v>27801</v>
      </c>
      <c r="E7187" s="2">
        <v>5397717</v>
      </c>
      <c r="F7187" s="4" t="str">
        <f>IF(B7187=B7186,"",B7187)</f>
        <v>South Pasadena</v>
      </c>
    </row>
    <row r="7188" spans="1:6" ht="15.75" customHeight="1">
      <c r="A7188" s="5" t="str">
        <f ca="1">IFERROR(__xludf.DUMMYFUNCTION("GOOGLETRANSLATE(B45042,""en"",""pt"")"),"Pasadena do Sul")</f>
        <v>Pasadena do Sul</v>
      </c>
      <c r="B7188" s="17" t="s">
        <v>30041</v>
      </c>
      <c r="C7188" s="17" t="s">
        <v>27788</v>
      </c>
      <c r="D7188" s="17" t="s">
        <v>27801</v>
      </c>
      <c r="E7188" s="10">
        <v>5397717</v>
      </c>
      <c r="F7188" s="4" t="str">
        <f>IF(B7188=B7187,"",B7188)</f>
        <v/>
      </c>
    </row>
    <row r="7189" spans="1:6" ht="15.75" customHeight="1">
      <c r="A7189" s="5" t="s">
        <v>30039</v>
      </c>
      <c r="B7189" s="6" t="s">
        <v>30039</v>
      </c>
      <c r="C7189" s="5" t="s">
        <v>27788</v>
      </c>
      <c r="D7189" s="5" t="s">
        <v>27905</v>
      </c>
      <c r="E7189" s="2">
        <v>5104836</v>
      </c>
      <c r="F7189" s="4" t="str">
        <f>IF(B7189=B7188,"",B7189)</f>
        <v>South Orange</v>
      </c>
    </row>
    <row r="7190" spans="1:6" ht="15.75" customHeight="1">
      <c r="A7190" s="5" t="str">
        <f ca="1">IFERROR(__xludf.DUMMYFUNCTION("GOOGLETRANSLATE(B44313,""en"",""pt"")"),"South Orange")</f>
        <v>South Orange</v>
      </c>
      <c r="B7190" s="17" t="s">
        <v>30039</v>
      </c>
      <c r="C7190" s="17" t="s">
        <v>27788</v>
      </c>
      <c r="D7190" s="17" t="s">
        <v>27905</v>
      </c>
      <c r="E7190" s="10">
        <v>5104836</v>
      </c>
      <c r="F7190" s="4" t="str">
        <f>IF(B7190=B7189,"",B7190)</f>
        <v/>
      </c>
    </row>
    <row r="7191" spans="1:6" ht="15.75" customHeight="1">
      <c r="A7191" s="5" t="s">
        <v>30038</v>
      </c>
      <c r="B7191" s="6" t="s">
        <v>30038</v>
      </c>
      <c r="C7191" s="5" t="s">
        <v>27788</v>
      </c>
      <c r="D7191" s="5" t="s">
        <v>27905</v>
      </c>
      <c r="E7191" s="2">
        <v>5104835</v>
      </c>
      <c r="F7191" s="4" t="str">
        <f>IF(B7191=B7190,"",B7191)</f>
        <v>South Old Bridge</v>
      </c>
    </row>
    <row r="7192" spans="1:6" ht="15.75" customHeight="1">
      <c r="A7192" s="5" t="str">
        <f ca="1">IFERROR(__xludf.DUMMYFUNCTION("GOOGLETRANSLATE(B44312,""en"",""pt"")"),"South Old Bridge")</f>
        <v>South Old Bridge</v>
      </c>
      <c r="B7192" s="17" t="s">
        <v>30038</v>
      </c>
      <c r="C7192" s="17" t="s">
        <v>27788</v>
      </c>
      <c r="D7192" s="17" t="s">
        <v>27905</v>
      </c>
      <c r="E7192" s="10">
        <v>5104835</v>
      </c>
      <c r="F7192" s="4" t="str">
        <f>IF(B7192=B7191,"",B7192)</f>
        <v/>
      </c>
    </row>
    <row r="7193" spans="1:6" ht="15.75" customHeight="1">
      <c r="A7193" s="5" t="s">
        <v>30037</v>
      </c>
      <c r="B7193" s="6" t="s">
        <v>30037</v>
      </c>
      <c r="C7193" s="5" t="s">
        <v>27788</v>
      </c>
      <c r="D7193" s="5" t="s">
        <v>27856</v>
      </c>
      <c r="E7193" s="2">
        <v>5781783</v>
      </c>
      <c r="F7193" s="4" t="str">
        <f>IF(B7193=B7192,"",B7193)</f>
        <v>South Ogden</v>
      </c>
    </row>
    <row r="7194" spans="1:6" ht="15.75" customHeight="1">
      <c r="A7194" s="5" t="str">
        <f ca="1">IFERROR(__xludf.DUMMYFUNCTION("GOOGLETRANSLATE(B45304,""en"",""pt"")"),"South Ogden")</f>
        <v>South Ogden</v>
      </c>
      <c r="B7194" s="17" t="s">
        <v>30037</v>
      </c>
      <c r="C7194" s="17" t="s">
        <v>27788</v>
      </c>
      <c r="D7194" s="17" t="s">
        <v>27856</v>
      </c>
      <c r="E7194" s="10">
        <v>5781783</v>
      </c>
      <c r="F7194" s="4" t="str">
        <f>IF(B7194=B7193,"",B7194)</f>
        <v/>
      </c>
    </row>
    <row r="7195" spans="1:6" ht="15.75" customHeight="1">
      <c r="A7195" s="5" t="s">
        <v>27686</v>
      </c>
      <c r="B7195" s="6" t="s">
        <v>27687</v>
      </c>
      <c r="C7195" s="5" t="s">
        <v>27234</v>
      </c>
      <c r="D7195" s="5" t="s">
        <v>27241</v>
      </c>
      <c r="E7195" s="2">
        <v>2637355</v>
      </c>
      <c r="F7195" s="4" t="str">
        <f>IF(B7195=B7194,"",B7195)</f>
        <v>South Ockendon</v>
      </c>
    </row>
    <row r="7196" spans="1:6" ht="15.75" customHeight="1">
      <c r="A7196" s="5" t="str">
        <f ca="1">IFERROR(__xludf.DUMMYFUNCTION("GOOGLETRANSLATE(B30394,""en"",""pt"")"),"South Ocockendon")</f>
        <v>South Ocockendon</v>
      </c>
      <c r="B7196" s="17" t="s">
        <v>27687</v>
      </c>
      <c r="C7196" s="17" t="s">
        <v>27234</v>
      </c>
      <c r="D7196" s="17" t="s">
        <v>27241</v>
      </c>
      <c r="E7196" s="10">
        <v>2637355</v>
      </c>
      <c r="F7196" s="4" t="str">
        <f>IF(B7196=B7195,"",B7196)</f>
        <v/>
      </c>
    </row>
    <row r="7197" spans="1:6" ht="15.75" customHeight="1">
      <c r="A7197" s="5" t="s">
        <v>30036</v>
      </c>
      <c r="B7197" s="6" t="s">
        <v>30036</v>
      </c>
      <c r="C7197" s="5" t="s">
        <v>27788</v>
      </c>
      <c r="D7197" s="5" t="s">
        <v>27890</v>
      </c>
      <c r="E7197" s="2">
        <v>5273812</v>
      </c>
      <c r="F7197" s="4" t="str">
        <f>IF(B7197=B7196,"",B7197)</f>
        <v>South Milwaukee</v>
      </c>
    </row>
    <row r="7198" spans="1:6" ht="15.75" customHeight="1">
      <c r="A7198" s="5" t="str">
        <f ca="1">IFERROR(__xludf.DUMMYFUNCTION("GOOGLETRANSLATE(B44672,""en"",""pt"")"),"South Milwaukee")</f>
        <v>South Milwaukee</v>
      </c>
      <c r="B7198" s="17" t="s">
        <v>30036</v>
      </c>
      <c r="C7198" s="17" t="s">
        <v>27788</v>
      </c>
      <c r="D7198" s="17" t="s">
        <v>27890</v>
      </c>
      <c r="E7198" s="10">
        <v>5273812</v>
      </c>
      <c r="F7198" s="4" t="str">
        <f>IF(B7198=B7197,"",B7198)</f>
        <v/>
      </c>
    </row>
    <row r="7199" spans="1:6" ht="15.75" customHeight="1">
      <c r="A7199" s="5" t="s">
        <v>30035</v>
      </c>
      <c r="B7199" s="6" t="s">
        <v>30035</v>
      </c>
      <c r="C7199" s="5" t="s">
        <v>27788</v>
      </c>
      <c r="D7199" s="5" t="s">
        <v>5468</v>
      </c>
      <c r="E7199" s="2">
        <v>4173497</v>
      </c>
      <c r="F7199" s="4" t="str">
        <f>IF(B7199=B7198,"",B7199)</f>
        <v>South Miami Heights</v>
      </c>
    </row>
    <row r="7200" spans="1:6" ht="15.75" customHeight="1">
      <c r="A7200" s="5" t="str">
        <f ca="1">IFERROR(__xludf.DUMMYFUNCTION("GOOGLETRANSLATE(B43017,""en"",""pt"")"),"South Miami Heights")</f>
        <v>South Miami Heights</v>
      </c>
      <c r="B7200" s="17" t="s">
        <v>30035</v>
      </c>
      <c r="C7200" s="17" t="s">
        <v>27788</v>
      </c>
      <c r="D7200" s="17" t="s">
        <v>5468</v>
      </c>
      <c r="E7200" s="10">
        <v>4173497</v>
      </c>
      <c r="F7200" s="4" t="str">
        <f>IF(B7200=B7199,"",B7200)</f>
        <v/>
      </c>
    </row>
    <row r="7201" spans="1:6" ht="15.75" customHeight="1">
      <c r="A7201" s="5" t="s">
        <v>30033</v>
      </c>
      <c r="B7201" s="6" t="s">
        <v>30034</v>
      </c>
      <c r="C7201" s="5" t="s">
        <v>27788</v>
      </c>
      <c r="D7201" s="5" t="s">
        <v>17061</v>
      </c>
      <c r="E7201" s="2">
        <v>4369978</v>
      </c>
      <c r="F7201" s="4" t="str">
        <f>IF(B7201=B7200,"",B7201)</f>
        <v>South Laurel</v>
      </c>
    </row>
    <row r="7202" spans="1:6" ht="15.75" customHeight="1">
      <c r="A7202" s="5" t="str">
        <f ca="1">IFERROR(__xludf.DUMMYFUNCTION("GOOGLETRANSLATE(B43337,""en"",""pt"")"),"Laurel do Sul")</f>
        <v>Laurel do Sul</v>
      </c>
      <c r="B7202" s="17" t="s">
        <v>30034</v>
      </c>
      <c r="C7202" s="17" t="s">
        <v>27788</v>
      </c>
      <c r="D7202" s="17" t="s">
        <v>17061</v>
      </c>
      <c r="E7202" s="10">
        <v>4369978</v>
      </c>
      <c r="F7202" s="4" t="str">
        <f>IF(B7202=B7201,"",B7202)</f>
        <v/>
      </c>
    </row>
    <row r="7203" spans="1:6" ht="15.75" customHeight="1">
      <c r="A7203" s="5" t="s">
        <v>30032</v>
      </c>
      <c r="B7203" s="6" t="s">
        <v>30032</v>
      </c>
      <c r="C7203" s="5" t="s">
        <v>27788</v>
      </c>
      <c r="D7203" s="5" t="s">
        <v>27801</v>
      </c>
      <c r="E7203" s="2">
        <v>5397664</v>
      </c>
      <c r="F7203" s="4" t="str">
        <f>IF(B7203=B7202,"",B7203)</f>
        <v>South Lake Tahoe</v>
      </c>
    </row>
    <row r="7204" spans="1:6" ht="15.75" customHeight="1">
      <c r="A7204" s="5" t="str">
        <f ca="1">IFERROR(__xludf.DUMMYFUNCTION("GOOGLETRANSLATE(B45041,""en"",""pt"")"),"South Lake Tahoe")</f>
        <v>South Lake Tahoe</v>
      </c>
      <c r="B7204" s="17" t="s">
        <v>30032</v>
      </c>
      <c r="C7204" s="17" t="s">
        <v>27788</v>
      </c>
      <c r="D7204" s="17" t="s">
        <v>27801</v>
      </c>
      <c r="E7204" s="10">
        <v>5397664</v>
      </c>
      <c r="F7204" s="4" t="str">
        <f>IF(B7204=B7203,"",B7204)</f>
        <v/>
      </c>
    </row>
    <row r="7205" spans="1:6" ht="15.75" customHeight="1">
      <c r="A7205" s="5" t="s">
        <v>30030</v>
      </c>
      <c r="B7205" s="6" t="s">
        <v>30031</v>
      </c>
      <c r="C7205" s="5" t="s">
        <v>27788</v>
      </c>
      <c r="D7205" s="5" t="s">
        <v>27856</v>
      </c>
      <c r="E7205" s="2">
        <v>5781765</v>
      </c>
      <c r="F7205" s="4" t="str">
        <f>IF(B7205=B7204,"",B7205)</f>
        <v>South Jordan Heights</v>
      </c>
    </row>
    <row r="7206" spans="1:6" ht="15.75" customHeight="1">
      <c r="A7206" s="5" t="str">
        <f ca="1">IFERROR(__xludf.DUMMYFUNCTION("GOOGLETRANSLATE(B45302,""en"",""pt"")"),"Alturas do Sul da Jordânia")</f>
        <v>Alturas do Sul da Jordânia</v>
      </c>
      <c r="B7206" s="17" t="s">
        <v>30031</v>
      </c>
      <c r="C7206" s="17" t="s">
        <v>27788</v>
      </c>
      <c r="D7206" s="17" t="s">
        <v>27856</v>
      </c>
      <c r="E7206" s="10">
        <v>5781765</v>
      </c>
      <c r="F7206" s="4" t="str">
        <f>IF(B7206=B7205,"",B7206)</f>
        <v/>
      </c>
    </row>
    <row r="7207" spans="1:6" ht="15.75" customHeight="1">
      <c r="A7207" s="5" t="s">
        <v>30028</v>
      </c>
      <c r="B7207" s="6" t="s">
        <v>30029</v>
      </c>
      <c r="C7207" s="5" t="s">
        <v>27788</v>
      </c>
      <c r="D7207" s="5" t="s">
        <v>27856</v>
      </c>
      <c r="E7207" s="2">
        <v>5781770</v>
      </c>
      <c r="F7207" s="4" t="str">
        <f>IF(B7207=B7206,"",B7207)</f>
        <v>South Jordan</v>
      </c>
    </row>
    <row r="7208" spans="1:6" ht="15.75" customHeight="1">
      <c r="A7208" s="5" t="str">
        <f ca="1">IFERROR(__xludf.DUMMYFUNCTION("GOOGLETRANSLATE(B45303,""en"",""pt"")"),"Jordânia do Sul")</f>
        <v>Jordânia do Sul</v>
      </c>
      <c r="B7208" s="17" t="s">
        <v>30029</v>
      </c>
      <c r="C7208" s="17" t="s">
        <v>27788</v>
      </c>
      <c r="D7208" s="17" t="s">
        <v>27856</v>
      </c>
      <c r="E7208" s="10">
        <v>5781770</v>
      </c>
      <c r="F7208" s="4" t="str">
        <f>IF(B7208=B7207,"",B7208)</f>
        <v/>
      </c>
    </row>
    <row r="7209" spans="1:6" ht="15.75" customHeight="1">
      <c r="A7209" s="5" t="s">
        <v>30027</v>
      </c>
      <c r="B7209" s="6" t="s">
        <v>18868</v>
      </c>
      <c r="C7209" s="5" t="s">
        <v>27788</v>
      </c>
      <c r="D7209" s="5" t="s">
        <v>27799</v>
      </c>
      <c r="E7209" s="2">
        <v>4911934</v>
      </c>
      <c r="F7209" s="4" t="str">
        <f>IF(B7209=B7208,"",B7209)</f>
        <v>South Holland</v>
      </c>
    </row>
    <row r="7210" spans="1:6" ht="15.75" customHeight="1">
      <c r="A7210" s="5" t="str">
        <f ca="1">IFERROR(__xludf.DUMMYFUNCTION("GOOGLETRANSLATE(B43886,""en"",""pt"")"),"Holanda do Sul")</f>
        <v>Holanda do Sul</v>
      </c>
      <c r="B7210" s="17" t="s">
        <v>18868</v>
      </c>
      <c r="C7210" s="17" t="s">
        <v>27788</v>
      </c>
      <c r="D7210" s="17" t="s">
        <v>27799</v>
      </c>
      <c r="E7210" s="10">
        <v>4911934</v>
      </c>
      <c r="F7210" s="4" t="str">
        <f>IF(B7210=B7209,"",B7210)</f>
        <v/>
      </c>
    </row>
    <row r="7211" spans="1:6" ht="15.75" customHeight="1">
      <c r="A7211" s="6" t="s">
        <v>30026</v>
      </c>
      <c r="B7211" s="6" t="s">
        <v>30026</v>
      </c>
      <c r="C7211" s="6" t="s">
        <v>27788</v>
      </c>
      <c r="D7211" s="6" t="s">
        <v>27733</v>
      </c>
      <c r="E7211" s="2">
        <v>5811456</v>
      </c>
      <c r="F7211" s="4" t="str">
        <f>IF(B7211=B7210,"",B7211)</f>
        <v>South Hill</v>
      </c>
    </row>
    <row r="7212" spans="1:6" ht="15.75" customHeight="1">
      <c r="A7212" s="5" t="str">
        <f ca="1">IFERROR(__xludf.DUMMYFUNCTION("GOOGLETRANSLATE(B45377,""en"",""pt"")"),"South Hill")</f>
        <v>South Hill</v>
      </c>
      <c r="B7212" s="17" t="s">
        <v>30026</v>
      </c>
      <c r="C7212" s="17" t="s">
        <v>27788</v>
      </c>
      <c r="D7212" s="17" t="s">
        <v>27733</v>
      </c>
      <c r="E7212" s="10">
        <v>5811456</v>
      </c>
      <c r="F7212" s="4" t="str">
        <f>IF(B7212=B7211,"",B7212)</f>
        <v/>
      </c>
    </row>
    <row r="7213" spans="1:6" ht="15.75" customHeight="1">
      <c r="A7213" s="5" t="s">
        <v>30025</v>
      </c>
      <c r="B7213" s="6" t="s">
        <v>30025</v>
      </c>
      <c r="C7213" s="5" t="s">
        <v>27788</v>
      </c>
      <c r="D7213" s="5" t="s">
        <v>27794</v>
      </c>
      <c r="E7213" s="2">
        <v>4951397</v>
      </c>
      <c r="F7213" s="4" t="str">
        <f>IF(B7213=B7212,"",B7213)</f>
        <v>South Hadley</v>
      </c>
    </row>
    <row r="7214" spans="1:6" ht="15.75" customHeight="1">
      <c r="A7214" s="5" t="str">
        <f ca="1">IFERROR(__xludf.DUMMYFUNCTION("GOOGLETRANSLATE(B44026,""en"",""pt"")"),"South Hadley")</f>
        <v>South Hadley</v>
      </c>
      <c r="B7214" s="17" t="s">
        <v>30025</v>
      </c>
      <c r="C7214" s="17" t="s">
        <v>27788</v>
      </c>
      <c r="D7214" s="17" t="s">
        <v>27794</v>
      </c>
      <c r="E7214" s="10">
        <v>4951397</v>
      </c>
      <c r="F7214" s="4" t="str">
        <f>IF(B7214=B7213,"",B7214)</f>
        <v/>
      </c>
    </row>
    <row r="7215" spans="1:6" ht="15.75" customHeight="1">
      <c r="A7215" s="5" t="s">
        <v>1080</v>
      </c>
      <c r="B7215" s="6" t="s">
        <v>1080</v>
      </c>
      <c r="C7215" s="5" t="s">
        <v>885</v>
      </c>
      <c r="D7215" s="5" t="s">
        <v>891</v>
      </c>
      <c r="E7215" s="2">
        <v>2148997</v>
      </c>
      <c r="F7215" s="4" t="str">
        <f>IF(B7215=B7214,"",B7215)</f>
        <v>South Grafton</v>
      </c>
    </row>
    <row r="7216" spans="1:6" ht="15.75" customHeight="1">
      <c r="A7216" s="5" t="str">
        <f ca="1">IFERROR(__xludf.DUMMYFUNCTION("GOOGLETRANSLATE(B23451,""en"",""pt"")"),"South Grafton")</f>
        <v>South Grafton</v>
      </c>
      <c r="B7216" s="17" t="s">
        <v>1080</v>
      </c>
      <c r="C7216" s="17" t="s">
        <v>885</v>
      </c>
      <c r="D7216" s="17" t="s">
        <v>891</v>
      </c>
      <c r="E7216" s="10">
        <v>2148997</v>
      </c>
      <c r="F7216" s="4" t="str">
        <f>IF(B7216=B7215,"",B7216)</f>
        <v/>
      </c>
    </row>
    <row r="7217" spans="1:6" ht="15.75" customHeight="1">
      <c r="A7217" s="5" t="s">
        <v>30023</v>
      </c>
      <c r="B7217" s="6" t="s">
        <v>30024</v>
      </c>
      <c r="C7217" s="5" t="s">
        <v>27788</v>
      </c>
      <c r="D7217" s="5" t="s">
        <v>17061</v>
      </c>
      <c r="E7217" s="2">
        <v>4369964</v>
      </c>
      <c r="F7217" s="4" t="str">
        <f>IF(B7217=B7216,"",B7217)</f>
        <v>South Gate</v>
      </c>
    </row>
    <row r="7218" spans="1:6" ht="15.75" customHeight="1">
      <c r="A7218" s="5" t="s">
        <v>30023</v>
      </c>
      <c r="B7218" s="6" t="s">
        <v>30024</v>
      </c>
      <c r="C7218" s="5" t="s">
        <v>27788</v>
      </c>
      <c r="D7218" s="5" t="s">
        <v>27801</v>
      </c>
      <c r="E7218" s="2">
        <v>5397603</v>
      </c>
      <c r="F7218" s="4" t="str">
        <f>IF(B7218=B7217,"",B7218)</f>
        <v/>
      </c>
    </row>
    <row r="7219" spans="1:6" ht="15.75" customHeight="1">
      <c r="A7219" s="5" t="str">
        <f ca="1">IFERROR(__xludf.DUMMYFUNCTION("GOOGLETRANSLATE(B43336,""en"",""pt"")"),"portão sul")</f>
        <v>portão sul</v>
      </c>
      <c r="B7219" s="17" t="s">
        <v>30024</v>
      </c>
      <c r="C7219" s="17" t="s">
        <v>27788</v>
      </c>
      <c r="D7219" s="17" t="s">
        <v>17061</v>
      </c>
      <c r="E7219" s="10">
        <v>4369964</v>
      </c>
      <c r="F7219" s="4" t="str">
        <f>IF(B7219=B7218,"",B7219)</f>
        <v/>
      </c>
    </row>
    <row r="7220" spans="1:6" ht="15.75" customHeight="1">
      <c r="A7220" s="5" t="str">
        <f ca="1">IFERROR(__xludf.DUMMYFUNCTION("GOOGLETRANSLATE(B45040,""en"",""pt"")"),"portão sul")</f>
        <v>portão sul</v>
      </c>
      <c r="B7220" s="17" t="s">
        <v>30024</v>
      </c>
      <c r="C7220" s="17" t="s">
        <v>27788</v>
      </c>
      <c r="D7220" s="17" t="s">
        <v>27801</v>
      </c>
      <c r="E7220" s="10">
        <v>5397603</v>
      </c>
      <c r="F7220" s="4" t="str">
        <f>IF(B7220=B7219,"",B7220)</f>
        <v/>
      </c>
    </row>
    <row r="7221" spans="1:6" ht="15.75" customHeight="1">
      <c r="A7221" s="5" t="s">
        <v>30021</v>
      </c>
      <c r="B7221" s="6" t="s">
        <v>30022</v>
      </c>
      <c r="C7221" s="5" t="s">
        <v>27788</v>
      </c>
      <c r="D7221" s="5" t="s">
        <v>27813</v>
      </c>
      <c r="E7221" s="2">
        <v>5172485</v>
      </c>
      <c r="F7221" s="4" t="str">
        <f>IF(B7221=B7220,"",B7221)</f>
        <v>South Euclid</v>
      </c>
    </row>
    <row r="7222" spans="1:6" ht="15.75" customHeight="1">
      <c r="A7222" s="5" t="str">
        <f ca="1">IFERROR(__xludf.DUMMYFUNCTION("GOOGLETRANSLATE(B44542,""en"",""pt"")"),"Euclides do Sul")</f>
        <v>Euclides do Sul</v>
      </c>
      <c r="B7222" s="17" t="s">
        <v>30022</v>
      </c>
      <c r="C7222" s="17" t="s">
        <v>27788</v>
      </c>
      <c r="D7222" s="17" t="s">
        <v>27813</v>
      </c>
      <c r="E7222" s="10">
        <v>5172485</v>
      </c>
      <c r="F7222" s="4" t="str">
        <f>IF(B7222=B7221,"",B7222)</f>
        <v/>
      </c>
    </row>
    <row r="7223" spans="1:6" ht="15.75" customHeight="1">
      <c r="A7223" s="5" t="s">
        <v>27685</v>
      </c>
      <c r="B7223" s="6" t="s">
        <v>27685</v>
      </c>
      <c r="C7223" s="5" t="s">
        <v>27234</v>
      </c>
      <c r="D7223" s="5" t="s">
        <v>27241</v>
      </c>
      <c r="E7223" s="2">
        <v>2637435</v>
      </c>
      <c r="F7223" s="4" t="str">
        <f>IF(B7223=B7222,"",B7223)</f>
        <v>South Elmsall</v>
      </c>
    </row>
    <row r="7224" spans="1:6" ht="15.75" customHeight="1">
      <c r="A7224" s="5" t="str">
        <f ca="1">IFERROR(__xludf.DUMMYFUNCTION("GOOGLETRANSLATE(B30396,""en"",""pt"")"),"South Elmsall")</f>
        <v>South Elmsall</v>
      </c>
      <c r="B7224" s="17" t="s">
        <v>27685</v>
      </c>
      <c r="C7224" s="17" t="s">
        <v>27234</v>
      </c>
      <c r="D7224" s="17" t="s">
        <v>27241</v>
      </c>
      <c r="E7224" s="10">
        <v>2637435</v>
      </c>
      <c r="F7224" s="4" t="str">
        <f>IF(B7224=B7223,"",B7224)</f>
        <v/>
      </c>
    </row>
    <row r="7225" spans="1:6" ht="15.75" customHeight="1">
      <c r="A7225" s="5" t="s">
        <v>30020</v>
      </c>
      <c r="B7225" s="6" t="s">
        <v>30020</v>
      </c>
      <c r="C7225" s="5" t="s">
        <v>27788</v>
      </c>
      <c r="D7225" s="5" t="s">
        <v>27799</v>
      </c>
      <c r="E7225" s="2">
        <v>4911893</v>
      </c>
      <c r="F7225" s="4" t="str">
        <f>IF(B7225=B7224,"",B7225)</f>
        <v>South Elgin</v>
      </c>
    </row>
    <row r="7226" spans="1:6" ht="15.75" customHeight="1">
      <c r="A7226" s="5" t="str">
        <f ca="1">IFERROR(__xludf.DUMMYFUNCTION("GOOGLETRANSLATE(B43885,""en"",""pt"")"),"South Elgin")</f>
        <v>South Elgin</v>
      </c>
      <c r="B7226" s="17" t="s">
        <v>30020</v>
      </c>
      <c r="C7226" s="17" t="s">
        <v>27788</v>
      </c>
      <c r="D7226" s="17" t="s">
        <v>27799</v>
      </c>
      <c r="E7226" s="10">
        <v>4911893</v>
      </c>
      <c r="F7226" s="4" t="str">
        <f>IF(B7226=B7225,"",B7226)</f>
        <v/>
      </c>
    </row>
    <row r="7227" spans="1:6" ht="15.75" customHeight="1">
      <c r="A7227" s="5" t="s">
        <v>30019</v>
      </c>
      <c r="B7227" s="6" t="s">
        <v>30019</v>
      </c>
      <c r="C7227" s="5" t="s">
        <v>27788</v>
      </c>
      <c r="D7227" s="5" t="s">
        <v>27801</v>
      </c>
      <c r="E7227" s="2">
        <v>5397376</v>
      </c>
      <c r="F7227" s="4" t="str">
        <f>IF(B7227=B7226,"",B7227)</f>
        <v>South El Monte</v>
      </c>
    </row>
    <row r="7228" spans="1:6" ht="15.75" customHeight="1">
      <c r="A7228" s="5" t="str">
        <f ca="1">IFERROR(__xludf.DUMMYFUNCTION("GOOGLETRANSLATE(B45039,""en"",""pt"")"),"South El Monte")</f>
        <v>South El Monte</v>
      </c>
      <c r="B7228" s="17" t="s">
        <v>30019</v>
      </c>
      <c r="C7228" s="17" t="s">
        <v>27788</v>
      </c>
      <c r="D7228" s="17" t="s">
        <v>27801</v>
      </c>
      <c r="E7228" s="10">
        <v>5397376</v>
      </c>
      <c r="F7228" s="4" t="str">
        <f>IF(B7228=B7227,"",B7228)</f>
        <v/>
      </c>
    </row>
    <row r="7229" spans="1:6" ht="15.75" customHeight="1">
      <c r="A7229" s="5" t="s">
        <v>27684</v>
      </c>
      <c r="B7229" s="6" t="s">
        <v>27684</v>
      </c>
      <c r="C7229" s="5" t="s">
        <v>27234</v>
      </c>
      <c r="D7229" s="5" t="s">
        <v>27241</v>
      </c>
      <c r="E7229" s="2">
        <v>6690862</v>
      </c>
      <c r="F7229" s="4" t="str">
        <f>IF(B7229=B7228,"",B7229)</f>
        <v>South Croydon</v>
      </c>
    </row>
    <row r="7230" spans="1:6" ht="15.75" customHeight="1">
      <c r="A7230" s="5" t="str">
        <f ca="1">IFERROR(__xludf.DUMMYFUNCTION("GOOGLETRANSLATE(B30791,""en"",""pt"")"),"South Croydon")</f>
        <v>South Croydon</v>
      </c>
      <c r="B7230" s="17" t="s">
        <v>27684</v>
      </c>
      <c r="C7230" s="17" t="s">
        <v>27234</v>
      </c>
      <c r="D7230" s="17" t="s">
        <v>27241</v>
      </c>
      <c r="E7230" s="10">
        <v>6690862</v>
      </c>
      <c r="F7230" s="4" t="str">
        <f>IF(B7230=B7229,"",B7230)</f>
        <v/>
      </c>
    </row>
    <row r="7231" spans="1:6" ht="15.75" customHeight="1">
      <c r="A7231" s="5" t="s">
        <v>30018</v>
      </c>
      <c r="B7231" s="6" t="s">
        <v>30018</v>
      </c>
      <c r="C7231" s="5" t="s">
        <v>27788</v>
      </c>
      <c r="D7231" s="5" t="s">
        <v>28130</v>
      </c>
      <c r="E7231" s="2">
        <v>5241248</v>
      </c>
      <c r="F7231" s="4" t="str">
        <f>IF(B7231=B7230,"",B7231)</f>
        <v>South Burlington</v>
      </c>
    </row>
    <row r="7232" spans="1:6" ht="15.75" customHeight="1">
      <c r="A7232" s="5" t="str">
        <f ca="1">IFERROR(__xludf.DUMMYFUNCTION("GOOGLETRANSLATE(B44631,""en"",""pt"")"),"South Burlington")</f>
        <v>South Burlington</v>
      </c>
      <c r="B7232" s="17" t="s">
        <v>30018</v>
      </c>
      <c r="C7232" s="17" t="s">
        <v>27788</v>
      </c>
      <c r="D7232" s="17" t="s">
        <v>28130</v>
      </c>
      <c r="E7232" s="10">
        <v>5241248</v>
      </c>
      <c r="F7232" s="4" t="str">
        <f>IF(B7232=B7231,"",B7232)</f>
        <v/>
      </c>
    </row>
    <row r="7233" spans="1:6" ht="15.75" customHeight="1">
      <c r="A7233" s="5" t="s">
        <v>1079</v>
      </c>
      <c r="B7233" s="6" t="s">
        <v>1079</v>
      </c>
      <c r="C7233" s="5" t="s">
        <v>885</v>
      </c>
      <c r="D7233" s="5" t="s">
        <v>910</v>
      </c>
      <c r="E7233" s="2">
        <v>2207259</v>
      </c>
      <c r="F7233" s="4" t="str">
        <f>IF(B7233=B7232,"",B7233)</f>
        <v>South Brisbane</v>
      </c>
    </row>
    <row r="7234" spans="1:6" ht="15.75" customHeight="1">
      <c r="A7234" s="5" t="str">
        <f ca="1">IFERROR(__xludf.DUMMYFUNCTION("GOOGLETRANSLATE(B23569,""en"",""pt"")"),"South Brisbane")</f>
        <v>South Brisbane</v>
      </c>
      <c r="B7234" s="17" t="s">
        <v>1079</v>
      </c>
      <c r="C7234" s="17" t="s">
        <v>885</v>
      </c>
      <c r="D7234" s="17" t="s">
        <v>910</v>
      </c>
      <c r="E7234" s="10">
        <v>2207259</v>
      </c>
      <c r="F7234" s="4" t="str">
        <f>IF(B7234=B7233,"",B7234)</f>
        <v/>
      </c>
    </row>
    <row r="7235" spans="1:6" ht="15.75" customHeight="1">
      <c r="A7235" s="5" t="s">
        <v>30017</v>
      </c>
      <c r="B7235" s="6" t="s">
        <v>30017</v>
      </c>
      <c r="C7235" s="5" t="s">
        <v>27788</v>
      </c>
      <c r="D7235" s="5" t="s">
        <v>5468</v>
      </c>
      <c r="E7235" s="2">
        <v>4173392</v>
      </c>
      <c r="F7235" s="4" t="str">
        <f>IF(B7235=B7234,"",B7235)</f>
        <v>South Bradenton</v>
      </c>
    </row>
    <row r="7236" spans="1:6" ht="15.75" customHeight="1">
      <c r="A7236" s="5" t="str">
        <f ca="1">IFERROR(__xludf.DUMMYFUNCTION("GOOGLETRANSLATE(B43016,""en"",""pt"")"),"South Bradenton")</f>
        <v>South Bradenton</v>
      </c>
      <c r="B7236" s="17" t="s">
        <v>30017</v>
      </c>
      <c r="C7236" s="17" t="s">
        <v>27788</v>
      </c>
      <c r="D7236" s="17" t="s">
        <v>5468</v>
      </c>
      <c r="E7236" s="10">
        <v>4173392</v>
      </c>
      <c r="F7236" s="4" t="str">
        <f>IF(B7236=B7235,"",B7236)</f>
        <v/>
      </c>
    </row>
    <row r="7237" spans="1:6" ht="15.75" customHeight="1">
      <c r="A7237" s="5" t="s">
        <v>30016</v>
      </c>
      <c r="B7237" s="6" t="s">
        <v>30016</v>
      </c>
      <c r="C7237" s="5" t="s">
        <v>27788</v>
      </c>
      <c r="D7237" s="5" t="s">
        <v>27794</v>
      </c>
      <c r="E7237" s="2">
        <v>4951305</v>
      </c>
      <c r="F7237" s="4" t="str">
        <f>IF(B7237=B7236,"",B7237)</f>
        <v>South Boston</v>
      </c>
    </row>
    <row r="7238" spans="1:6" ht="15.75" customHeight="1">
      <c r="A7238" s="5" t="str">
        <f ca="1">IFERROR(__xludf.DUMMYFUNCTION("GOOGLETRANSLATE(B44025,""en"",""pt"")"),"South Boston")</f>
        <v>South Boston</v>
      </c>
      <c r="B7238" s="17" t="s">
        <v>30016</v>
      </c>
      <c r="C7238" s="17" t="s">
        <v>27788</v>
      </c>
      <c r="D7238" s="17" t="s">
        <v>27794</v>
      </c>
      <c r="E7238" s="10">
        <v>4951305</v>
      </c>
      <c r="F7238" s="4" t="str">
        <f>IF(B7238=B7237,"",B7238)</f>
        <v/>
      </c>
    </row>
    <row r="7239" spans="1:6" ht="15.75" customHeight="1">
      <c r="A7239" s="5" t="s">
        <v>27682</v>
      </c>
      <c r="B7239" s="6" t="s">
        <v>27683</v>
      </c>
      <c r="C7239" s="5" t="s">
        <v>27234</v>
      </c>
      <c r="D7239" s="5" t="s">
        <v>27241</v>
      </c>
      <c r="E7239" s="2">
        <v>2637476</v>
      </c>
      <c r="F7239" s="4" t="str">
        <f>IF(B7239=B7238,"",B7239)</f>
        <v>South Benfleet</v>
      </c>
    </row>
    <row r="7240" spans="1:6" ht="15.75" customHeight="1">
      <c r="A7240" s="5" t="str">
        <f ca="1">IFERROR(__xludf.DUMMYFUNCTION("GOOGLETRANSLATE(B30397,""en"",""pt"")"),"Benfleet do Sul")</f>
        <v>Benfleet do Sul</v>
      </c>
      <c r="B7240" s="17" t="s">
        <v>27683</v>
      </c>
      <c r="C7240" s="17" t="s">
        <v>27234</v>
      </c>
      <c r="D7240" s="17" t="s">
        <v>27241</v>
      </c>
      <c r="E7240" s="10">
        <v>2637476</v>
      </c>
      <c r="F7240" s="4" t="str">
        <f>IF(B7240=B7239,"",B7240)</f>
        <v/>
      </c>
    </row>
    <row r="7241" spans="1:6" ht="15.75" customHeight="1">
      <c r="A7241" s="6" t="s">
        <v>30014</v>
      </c>
      <c r="B7241" s="6" t="s">
        <v>30015</v>
      </c>
      <c r="C7241" s="6" t="s">
        <v>27788</v>
      </c>
      <c r="D7241" s="6" t="s">
        <v>27869</v>
      </c>
      <c r="E7241" s="2">
        <v>4926563</v>
      </c>
      <c r="F7241" s="4" t="str">
        <f>IF(B7241=B7240,"",B7241)</f>
        <v>South Bend</v>
      </c>
    </row>
    <row r="7242" spans="1:6" ht="15.75" customHeight="1">
      <c r="A7242" s="5" t="str">
        <f ca="1">IFERROR(__xludf.DUMMYFUNCTION("GOOGLETRANSLATE(B43937,""en"",""pt"")"),"curva Sul")</f>
        <v>curva Sul</v>
      </c>
      <c r="B7242" s="17" t="s">
        <v>30015</v>
      </c>
      <c r="C7242" s="17" t="s">
        <v>27788</v>
      </c>
      <c r="D7242" s="17" t="s">
        <v>27869</v>
      </c>
      <c r="E7242" s="10">
        <v>4926563</v>
      </c>
      <c r="F7242" s="4" t="str">
        <f>IF(B7242=B7241,"",B7242)</f>
        <v/>
      </c>
    </row>
    <row r="7243" spans="1:6" ht="15.75" customHeight="1">
      <c r="A7243" s="5" t="s">
        <v>30013</v>
      </c>
      <c r="B7243" s="6" t="s">
        <v>30013</v>
      </c>
      <c r="C7243" s="5" t="s">
        <v>27788</v>
      </c>
      <c r="D7243" s="5" t="s">
        <v>17061</v>
      </c>
      <c r="E7243" s="2">
        <v>4369928</v>
      </c>
      <c r="F7243" s="4" t="str">
        <f>IF(B7243=B7242,"",B7243)</f>
        <v>South Bel Air</v>
      </c>
    </row>
    <row r="7244" spans="1:6" ht="15.75" customHeight="1">
      <c r="A7244" s="5" t="str">
        <f ca="1">IFERROR(__xludf.DUMMYFUNCTION("GOOGLETRANSLATE(B43335,""en"",""pt"")"),"South Bel Air")</f>
        <v>South Bel Air</v>
      </c>
      <c r="B7244" s="17" t="s">
        <v>30013</v>
      </c>
      <c r="C7244" s="17" t="s">
        <v>27788</v>
      </c>
      <c r="D7244" s="17" t="s">
        <v>17061</v>
      </c>
      <c r="E7244" s="10">
        <v>4369928</v>
      </c>
      <c r="F7244" s="4" t="str">
        <f>IF(B7244=B7243,"",B7244)</f>
        <v/>
      </c>
    </row>
    <row r="7245" spans="1:6" ht="15.75" customHeight="1">
      <c r="A7245" s="6" t="s">
        <v>26189</v>
      </c>
      <c r="B7245" s="6" t="s">
        <v>26189</v>
      </c>
      <c r="C7245" s="6" t="s">
        <v>26090</v>
      </c>
      <c r="D7245" s="6" t="s">
        <v>26091</v>
      </c>
      <c r="E7245" s="2">
        <v>2464915</v>
      </c>
      <c r="F7245" s="4" t="str">
        <f>IF(B7245=B7244,"",B7245)</f>
        <v>Sousse</v>
      </c>
    </row>
    <row r="7246" spans="1:6" ht="15.75" customHeight="1">
      <c r="A7246" s="5" t="str">
        <f ca="1">IFERROR(__xludf.DUMMYFUNCTION("GOOGLETRANSLATE(B41798,""en"",""pt"")"),"Sousse")</f>
        <v>Sousse</v>
      </c>
      <c r="B7246" s="17" t="s">
        <v>26189</v>
      </c>
      <c r="C7246" s="17" t="s">
        <v>26090</v>
      </c>
      <c r="D7246" s="17" t="s">
        <v>35797</v>
      </c>
      <c r="E7246" s="10">
        <v>2464915</v>
      </c>
      <c r="F7246" s="4" t="str">
        <f>IF(B7246=B7245,"",B7246)</f>
        <v/>
      </c>
    </row>
    <row r="7247" spans="1:6" ht="15.75" customHeight="1">
      <c r="A7247" s="6" t="s">
        <v>3501</v>
      </c>
      <c r="B7247" s="6" t="s">
        <v>3501</v>
      </c>
      <c r="C7247" s="6" t="s">
        <v>1905</v>
      </c>
      <c r="D7247" s="6" t="s">
        <v>1944</v>
      </c>
      <c r="E7247" s="2">
        <v>3387202</v>
      </c>
      <c r="F7247" s="4" t="str">
        <f>IF(B7247=B7246,"",B7247)</f>
        <v>Sousa</v>
      </c>
    </row>
    <row r="7248" spans="1:6" ht="15.75" customHeight="1">
      <c r="A7248" s="5" t="str">
        <f ca="1">IFERROR(__xludf.DUMMYFUNCTION("GOOGLETRANSLATE(B24173,""en"",""pt"")"),"Sousa")</f>
        <v>Sousa</v>
      </c>
      <c r="B7248" s="17" t="s">
        <v>3501</v>
      </c>
      <c r="C7248" s="17" t="s">
        <v>1905</v>
      </c>
      <c r="D7248" s="17" t="s">
        <v>31343</v>
      </c>
      <c r="E7248" s="10">
        <v>3387202</v>
      </c>
      <c r="F7248" s="4" t="str">
        <f>IF(B7248=B7247,"",B7248)</f>
        <v/>
      </c>
    </row>
    <row r="7249" spans="1:6" ht="15.75" customHeight="1">
      <c r="A7249" s="6" t="s">
        <v>3499</v>
      </c>
      <c r="B7249" s="6" t="s">
        <v>3500</v>
      </c>
      <c r="C7249" s="6" t="s">
        <v>1905</v>
      </c>
      <c r="D7249" s="6" t="s">
        <v>1906</v>
      </c>
      <c r="E7249" s="2">
        <v>3387204</v>
      </c>
      <c r="F7249" s="4" t="str">
        <f>IF(B7249=B7248,"",B7249)</f>
        <v>Soure</v>
      </c>
    </row>
    <row r="7250" spans="1:6" ht="15.75" customHeight="1">
      <c r="A7250" s="5" t="str">
        <f ca="1">IFERROR(__xludf.DUMMYFUNCTION("GOOGLETRANSLATE(B24174,""en"",""pt"")"),"Soue")</f>
        <v>Soue</v>
      </c>
      <c r="B7250" s="17" t="s">
        <v>3500</v>
      </c>
      <c r="C7250" s="17" t="s">
        <v>1905</v>
      </c>
      <c r="D7250" s="17" t="s">
        <v>31342</v>
      </c>
      <c r="E7250" s="10">
        <v>3387204</v>
      </c>
      <c r="F7250" s="4" t="str">
        <f>IF(B7250=B7249,"",B7250)</f>
        <v/>
      </c>
    </row>
    <row r="7251" spans="1:6" ht="15.75" customHeight="1">
      <c r="A7251" s="6" t="s">
        <v>25486</v>
      </c>
      <c r="B7251" s="6" t="s">
        <v>25486</v>
      </c>
      <c r="C7251" s="6" t="s">
        <v>25366</v>
      </c>
      <c r="D7251" s="6" t="s">
        <v>25367</v>
      </c>
      <c r="E7251" s="2">
        <v>163915</v>
      </c>
      <c r="F7251" s="4" t="str">
        <f>IF(B7251=B7250,"",B7251)</f>
        <v>Souran</v>
      </c>
    </row>
    <row r="7252" spans="1:6" ht="15.75" customHeight="1">
      <c r="A7252" s="5" t="str">
        <f ca="1">IFERROR(__xludf.DUMMYFUNCTION("GOOGLETRANSLATE(B41400,""en"",""pt"")"),"Souran")</f>
        <v>Souran</v>
      </c>
      <c r="B7252" s="17" t="s">
        <v>25486</v>
      </c>
      <c r="C7252" s="17" t="s">
        <v>25366</v>
      </c>
      <c r="D7252" s="17" t="s">
        <v>25367</v>
      </c>
      <c r="E7252" s="10">
        <v>163915</v>
      </c>
      <c r="F7252" s="4" t="str">
        <f>IF(B7252=B7251,"",B7252)</f>
        <v/>
      </c>
    </row>
    <row r="7253" spans="1:6" ht="15.75" customHeight="1">
      <c r="A7253" s="5" t="s">
        <v>466</v>
      </c>
      <c r="B7253" s="6" t="s">
        <v>467</v>
      </c>
      <c r="C7253" s="5" t="s">
        <v>153</v>
      </c>
      <c r="D7253" s="5" t="s">
        <v>189</v>
      </c>
      <c r="E7253" s="2">
        <v>2479161</v>
      </c>
      <c r="F7253" s="4" t="str">
        <f>IF(B7253=B7252,"",B7253)</f>
        <v>Sour el Ghozlane</v>
      </c>
    </row>
    <row r="7254" spans="1:6" ht="15.75" customHeight="1">
      <c r="A7254" s="5" t="str">
        <f ca="1">IFERROR(__xludf.DUMMYFUNCTION("GOOGLETRANSLATE(B28527,""en"",""pt"")"),"Azedo el ghozlane")</f>
        <v>Azedo el ghozlane</v>
      </c>
      <c r="B7254" s="17" t="s">
        <v>467</v>
      </c>
      <c r="C7254" s="17" t="s">
        <v>153</v>
      </c>
      <c r="D7254" s="17" t="s">
        <v>189</v>
      </c>
      <c r="E7254" s="10">
        <v>2479161</v>
      </c>
      <c r="F7254" s="4" t="str">
        <f>IF(B7254=B7253,"",B7254)</f>
        <v/>
      </c>
    </row>
    <row r="7255" spans="1:6" ht="15.75" customHeight="1">
      <c r="A7255" s="5" t="s">
        <v>18630</v>
      </c>
      <c r="B7255" s="6" t="s">
        <v>18631</v>
      </c>
      <c r="C7255" s="5" t="s">
        <v>18551</v>
      </c>
      <c r="D7255" s="5" t="s">
        <v>18596</v>
      </c>
      <c r="E7255" s="2">
        <v>2532394</v>
      </c>
      <c r="F7255" s="4" t="str">
        <f>IF(B7255=B7254,"",B7255)</f>
        <v>Souq Larbâ€™a al Gharb</v>
      </c>
    </row>
    <row r="7256" spans="1:6" ht="15.75" customHeight="1">
      <c r="A7256" s="5" t="str">
        <f ca="1">IFERROR(__xludf.DUMMYFUNCTION("GOOGLETRANSLATE(B36468,""en"",""pt"")"),"Souq larb'a al gharb")</f>
        <v>Souq larb'a al gharb</v>
      </c>
      <c r="B7256" s="17" t="s">
        <v>34588</v>
      </c>
      <c r="C7256" s="17" t="s">
        <v>18551</v>
      </c>
      <c r="D7256" s="17" t="s">
        <v>18596</v>
      </c>
      <c r="E7256" s="10">
        <v>2532394</v>
      </c>
      <c r="F7256" s="4" t="str">
        <f>IF(B7256=B7255,"",B7256)</f>
        <v>Souq Larb’a al Gharb</v>
      </c>
    </row>
    <row r="7257" spans="1:6" ht="15.75" customHeight="1">
      <c r="A7257" s="5" t="s">
        <v>1692</v>
      </c>
      <c r="B7257" s="6" t="s">
        <v>1692</v>
      </c>
      <c r="C7257" s="5" t="s">
        <v>1512</v>
      </c>
      <c r="D7257" s="5" t="s">
        <v>1518</v>
      </c>
      <c r="E7257" s="2">
        <v>2786344</v>
      </c>
      <c r="F7257" s="4" t="str">
        <f>IF(B7257=B7256,"",B7257)</f>
        <v>Soumagne</v>
      </c>
    </row>
    <row r="7258" spans="1:6" ht="15.75" customHeight="1">
      <c r="A7258" s="5" t="str">
        <f ca="1">IFERROR(__xludf.DUMMYFUNCTION("GOOGLETRANSLATE(B23825,""en"",""pt"")"),"Soumagne")</f>
        <v>Soumagne</v>
      </c>
      <c r="B7258" s="17" t="s">
        <v>1692</v>
      </c>
      <c r="C7258" s="17" t="s">
        <v>1512</v>
      </c>
      <c r="D7258" s="17" t="s">
        <v>1518</v>
      </c>
      <c r="E7258" s="10">
        <v>2786344</v>
      </c>
      <c r="F7258" s="4" t="str">
        <f>IF(B7258=B7257,"",B7258)</f>
        <v/>
      </c>
    </row>
    <row r="7259" spans="1:6" ht="15.75" customHeight="1">
      <c r="A7259" s="6" t="s">
        <v>465</v>
      </c>
      <c r="B7259" s="6" t="s">
        <v>465</v>
      </c>
      <c r="C7259" s="6" t="s">
        <v>153</v>
      </c>
      <c r="D7259" s="6" t="s">
        <v>250</v>
      </c>
      <c r="E7259" s="2">
        <v>2479183</v>
      </c>
      <c r="F7259" s="4" t="str">
        <f>IF(B7259=B7258,"",B7259)</f>
        <v>Souma</v>
      </c>
    </row>
    <row r="7260" spans="1:6" ht="15.75" customHeight="1">
      <c r="A7260" s="5" t="str">
        <f ca="1">IFERROR(__xludf.DUMMYFUNCTION("GOOGLETRANSLATE(B28528,""en"",""pt"")"),"Souma")</f>
        <v>Souma</v>
      </c>
      <c r="B7260" s="17" t="s">
        <v>465</v>
      </c>
      <c r="C7260" s="17" t="s">
        <v>153</v>
      </c>
      <c r="D7260" s="17" t="s">
        <v>250</v>
      </c>
      <c r="E7260" s="10">
        <v>2479183</v>
      </c>
      <c r="F7260" s="4" t="str">
        <f>IF(B7260=B7259,"",B7260)</f>
        <v/>
      </c>
    </row>
    <row r="7261" spans="1:6" ht="15.75" customHeight="1">
      <c r="A7261" s="5" t="s">
        <v>448</v>
      </c>
      <c r="B7261" s="6" t="s">
        <v>448</v>
      </c>
      <c r="C7261" s="5" t="s">
        <v>153</v>
      </c>
      <c r="D7261" s="5" t="s">
        <v>448</v>
      </c>
      <c r="E7261" s="2">
        <v>2479215</v>
      </c>
      <c r="F7261" s="4" t="str">
        <f>IF(B7261=B7260,"",B7261)</f>
        <v>Souk Ahras</v>
      </c>
    </row>
    <row r="7262" spans="1:6" ht="15.75" customHeight="1">
      <c r="A7262" s="5" t="str">
        <f ca="1">IFERROR(__xludf.DUMMYFUNCTION("GOOGLETRANSLATE(B28530,""en"",""pt"")"),"Souk Ahras")</f>
        <v>Souk Ahras</v>
      </c>
      <c r="B7262" s="17" t="s">
        <v>448</v>
      </c>
      <c r="C7262" s="17" t="s">
        <v>153</v>
      </c>
      <c r="D7262" s="17" t="s">
        <v>448</v>
      </c>
      <c r="E7262" s="10">
        <v>2479215</v>
      </c>
      <c r="F7262" s="4" t="str">
        <f>IF(B7262=B7261,"",B7262)</f>
        <v/>
      </c>
    </row>
    <row r="7263" spans="1:6" ht="15.75" customHeight="1">
      <c r="A7263" s="6" t="s">
        <v>464</v>
      </c>
      <c r="B7263" s="6" t="s">
        <v>464</v>
      </c>
      <c r="C7263" s="6" t="s">
        <v>153</v>
      </c>
      <c r="D7263" s="6" t="s">
        <v>163</v>
      </c>
      <c r="E7263" s="2">
        <v>2479247</v>
      </c>
      <c r="F7263" s="4" t="str">
        <f>IF(B7263=B7262,"",B7263)</f>
        <v>Sougueur</v>
      </c>
    </row>
    <row r="7264" spans="1:6" ht="15.75" customHeight="1">
      <c r="A7264" s="5" t="str">
        <f ca="1">IFERROR(__xludf.DUMMYFUNCTION("GOOGLETRANSLATE(B28531,""en"",""pt"")"),"Sougueur")</f>
        <v>Sougueur</v>
      </c>
      <c r="B7264" s="17" t="s">
        <v>464</v>
      </c>
      <c r="C7264" s="17" t="s">
        <v>153</v>
      </c>
      <c r="D7264" s="17" t="s">
        <v>163</v>
      </c>
      <c r="E7264" s="10">
        <v>2479247</v>
      </c>
      <c r="F7264" s="4" t="str">
        <f>IF(B7264=B7263,"",B7264)</f>
        <v/>
      </c>
    </row>
    <row r="7265" spans="1:6" ht="15.75" customHeight="1">
      <c r="A7265" s="5" t="str">
        <f ca="1">IFERROR(__xludf.DUMMYFUNCTION("GOOGLETRANSLATE(B25881,""en"",""pt"")"),"Soubré")</f>
        <v>Soubré</v>
      </c>
      <c r="B7265" s="17" t="s">
        <v>15667</v>
      </c>
      <c r="C7265" s="17" t="s">
        <v>15586</v>
      </c>
      <c r="D7265" s="17" t="s">
        <v>15664</v>
      </c>
      <c r="E7265" s="10">
        <v>2598243</v>
      </c>
      <c r="F7265" s="4" t="str">
        <f>IF(B7265=B7264,"",B7265)</f>
        <v>Soubré</v>
      </c>
    </row>
    <row r="7266" spans="1:6" ht="15.75" customHeight="1">
      <c r="A7266" s="6" t="s">
        <v>15667</v>
      </c>
      <c r="B7266" s="6" t="s">
        <v>15668</v>
      </c>
      <c r="C7266" s="6" t="s">
        <v>15586</v>
      </c>
      <c r="D7266" s="6" t="s">
        <v>15664</v>
      </c>
      <c r="E7266" s="2">
        <v>2598243</v>
      </c>
      <c r="F7266" s="4" t="str">
        <f>IF(B7266=B7265,"",B7266)</f>
        <v>SoubrÃ©</v>
      </c>
    </row>
    <row r="7267" spans="1:6" ht="15.75" customHeight="1">
      <c r="A7267" s="5" t="str">
        <f ca="1">IFERROR(__xludf.DUMMYFUNCTION("GOOGLETRANSLATE(B29746,""en"",""pt"")"),"Sotteville-Lès-Rouen")</f>
        <v>Sotteville-Lès-Rouen</v>
      </c>
      <c r="B7267" s="17" t="s">
        <v>32548</v>
      </c>
      <c r="C7267" s="17" t="s">
        <v>7052</v>
      </c>
      <c r="D7267" s="17" t="s">
        <v>7068</v>
      </c>
      <c r="E7267" s="10">
        <v>2974153</v>
      </c>
      <c r="F7267" s="4" t="str">
        <f>IF(B7267=B7266,"",B7267)</f>
        <v>Sotteville-lès-Rouen</v>
      </c>
    </row>
    <row r="7268" spans="1:6" ht="15.75" customHeight="1">
      <c r="A7268" s="5" t="s">
        <v>7832</v>
      </c>
      <c r="B7268" s="6" t="s">
        <v>7833</v>
      </c>
      <c r="C7268" s="5" t="s">
        <v>7052</v>
      </c>
      <c r="D7268" s="5" t="s">
        <v>7068</v>
      </c>
      <c r="E7268" s="2">
        <v>2974153</v>
      </c>
      <c r="F7268" s="4" t="str">
        <f>IF(B7268=B7267,"",B7268)</f>
        <v>Sotteville-lÃ¨s-Rouen</v>
      </c>
    </row>
    <row r="7269" spans="1:6" ht="15.75" customHeight="1">
      <c r="A7269" s="5" t="s">
        <v>26060</v>
      </c>
      <c r="B7269" s="6" t="s">
        <v>26060</v>
      </c>
      <c r="C7269" s="5" t="s">
        <v>26038</v>
      </c>
      <c r="D7269" s="5" t="s">
        <v>26059</v>
      </c>
      <c r="E7269" s="2">
        <v>2364079</v>
      </c>
      <c r="F7269" s="4" t="str">
        <f>IF(B7269=B7268,"",B7269)</f>
        <v>Sotouboua</v>
      </c>
    </row>
    <row r="7270" spans="1:6" ht="15.75" customHeight="1">
      <c r="A7270" s="5" t="str">
        <f ca="1">IFERROR(__xludf.DUMMYFUNCTION("GOOGLETRANSLATE(B41497,""en"",""pt"")"),"Sotouboua")</f>
        <v>Sotouboua</v>
      </c>
      <c r="B7270" s="17" t="s">
        <v>26060</v>
      </c>
      <c r="C7270" s="17" t="s">
        <v>26038</v>
      </c>
      <c r="D7270" s="17" t="s">
        <v>26059</v>
      </c>
      <c r="E7270" s="10">
        <v>2364079</v>
      </c>
      <c r="F7270" s="4" t="str">
        <f>IF(B7270=B7269,"",B7270)</f>
        <v/>
      </c>
    </row>
    <row r="7271" spans="1:6" ht="15.75" customHeight="1">
      <c r="A7271" s="5" t="s">
        <v>21502</v>
      </c>
      <c r="B7271" s="6" t="s">
        <v>21502</v>
      </c>
      <c r="C7271" s="5" t="s">
        <v>21064</v>
      </c>
      <c r="D7271" s="5" t="s">
        <v>21073</v>
      </c>
      <c r="E7271" s="2">
        <v>3085128</v>
      </c>
      <c r="F7271" s="4" t="str">
        <f>IF(B7271=B7270,"",B7271)</f>
        <v>Sosnowiec</v>
      </c>
    </row>
    <row r="7272" spans="1:6" ht="15.75" customHeight="1">
      <c r="A7272" s="5" t="str">
        <f ca="1">IFERROR(__xludf.DUMMYFUNCTION("GOOGLETRANSLATE(B39350,""en"",""pt"")"),"Sosnowiec")</f>
        <v>Sosnowiec</v>
      </c>
      <c r="B7272" s="17" t="s">
        <v>21502</v>
      </c>
      <c r="C7272" s="17" t="s">
        <v>21064</v>
      </c>
      <c r="D7272" s="17" t="s">
        <v>21073</v>
      </c>
      <c r="E7272" s="10">
        <v>3085128</v>
      </c>
      <c r="F7272" s="4" t="str">
        <f>IF(B7272=B7271,"",B7272)</f>
        <v/>
      </c>
    </row>
    <row r="7273" spans="1:6" ht="15.75" customHeight="1">
      <c r="A7273" s="5" t="s">
        <v>23119</v>
      </c>
      <c r="B7273" s="6" t="s">
        <v>23119</v>
      </c>
      <c r="C7273" s="5" t="s">
        <v>22070</v>
      </c>
      <c r="D7273" s="5" t="s">
        <v>22094</v>
      </c>
      <c r="E7273" s="2">
        <v>490172</v>
      </c>
      <c r="F7273" s="4" t="str">
        <f>IF(B7273=B7272,"",B7273)</f>
        <v>Sosnovyy Bor</v>
      </c>
    </row>
    <row r="7274" spans="1:6" ht="15.75" customHeight="1">
      <c r="A7274" s="5" t="str">
        <f ca="1">IFERROR(__xludf.DUMMYFUNCTION("GOOGLETRANSLATE(B40073,""en"",""pt"")"),"Sosnovyy Bor")</f>
        <v>Sosnovyy Bor</v>
      </c>
      <c r="B7274" s="17" t="s">
        <v>23119</v>
      </c>
      <c r="C7274" s="17" t="s">
        <v>22070</v>
      </c>
      <c r="D7274" s="17" t="s">
        <v>22094</v>
      </c>
      <c r="E7274" s="10">
        <v>490172</v>
      </c>
      <c r="F7274" s="4" t="str">
        <f>IF(B7274=B7273,"",B7274)</f>
        <v/>
      </c>
    </row>
    <row r="7275" spans="1:6" ht="15.75" customHeight="1">
      <c r="A7275" s="5" t="s">
        <v>23118</v>
      </c>
      <c r="B7275" s="6" t="s">
        <v>23118</v>
      </c>
      <c r="C7275" s="5" t="s">
        <v>22070</v>
      </c>
      <c r="D7275" s="5" t="s">
        <v>22079</v>
      </c>
      <c r="E7275" s="2">
        <v>1491291</v>
      </c>
      <c r="F7275" s="4" t="str">
        <f>IF(B7275=B7274,"",B7275)</f>
        <v>Sosnovoborsk</v>
      </c>
    </row>
    <row r="7276" spans="1:6" ht="15.75" customHeight="1">
      <c r="A7276" s="5" t="str">
        <f ca="1">IFERROR(__xludf.DUMMYFUNCTION("GOOGLETRANSLATE(B40758,""en"",""pt"")"),"Sosnovoborsk")</f>
        <v>Sosnovoborsk</v>
      </c>
      <c r="B7276" s="17" t="s">
        <v>23118</v>
      </c>
      <c r="C7276" s="17" t="s">
        <v>22070</v>
      </c>
      <c r="D7276" s="17" t="s">
        <v>22079</v>
      </c>
      <c r="E7276" s="10">
        <v>1491291</v>
      </c>
      <c r="F7276" s="4" t="str">
        <f>IF(B7276=B7275,"",B7276)</f>
        <v/>
      </c>
    </row>
    <row r="7277" spans="1:6" ht="15.75" customHeight="1">
      <c r="A7277" s="6" t="s">
        <v>23117</v>
      </c>
      <c r="B7277" s="6" t="s">
        <v>23117</v>
      </c>
      <c r="C7277" s="6" t="s">
        <v>22070</v>
      </c>
      <c r="D7277" s="6" t="s">
        <v>22084</v>
      </c>
      <c r="E7277" s="2">
        <v>461698</v>
      </c>
      <c r="F7277" s="4" t="str">
        <f>IF(B7277=B7276,"",B7277)</f>
        <v>Sosnovka</v>
      </c>
    </row>
    <row r="7278" spans="1:6" ht="15.75" customHeight="1">
      <c r="A7278" s="5" t="str">
        <f ca="1">IFERROR(__xludf.DUMMYFUNCTION("GOOGLETRANSLATE(B39906,""en"",""pt"")"),"Sosnovka")</f>
        <v>Sosnovka</v>
      </c>
      <c r="B7278" s="17" t="s">
        <v>23117</v>
      </c>
      <c r="C7278" s="17" t="s">
        <v>22070</v>
      </c>
      <c r="D7278" s="17" t="s">
        <v>22084</v>
      </c>
      <c r="E7278" s="10">
        <v>461698</v>
      </c>
      <c r="F7278" s="4" t="str">
        <f>IF(B7278=B7277,"",B7278)</f>
        <v/>
      </c>
    </row>
    <row r="7279" spans="1:6" ht="15.75" customHeight="1">
      <c r="A7279" s="5" t="s">
        <v>23116</v>
      </c>
      <c r="B7279" s="6" t="s">
        <v>23116</v>
      </c>
      <c r="C7279" s="5" t="s">
        <v>22070</v>
      </c>
      <c r="D7279" s="5" t="s">
        <v>22084</v>
      </c>
      <c r="E7279" s="2">
        <v>490377</v>
      </c>
      <c r="F7279" s="4" t="str">
        <f>IF(B7279=B7278,"",B7279)</f>
        <v>Sosnovaya Polyana</v>
      </c>
    </row>
    <row r="7280" spans="1:6" ht="15.75" customHeight="1">
      <c r="A7280" s="5" t="str">
        <f ca="1">IFERROR(__xludf.DUMMYFUNCTION("GOOGLETRANSLATE(B40074,""en"",""pt"")"),"Sosnovaya Polyana")</f>
        <v>Sosnovaya Polyana</v>
      </c>
      <c r="B7280" s="17" t="s">
        <v>23116</v>
      </c>
      <c r="C7280" s="17" t="s">
        <v>22070</v>
      </c>
      <c r="D7280" s="17" t="s">
        <v>22084</v>
      </c>
      <c r="E7280" s="10">
        <v>490377</v>
      </c>
      <c r="F7280" s="4" t="str">
        <f>IF(B7280=B7279,"",B7280)</f>
        <v/>
      </c>
    </row>
    <row r="7281" spans="1:6" ht="15.75" customHeight="1">
      <c r="A7281" s="5" t="s">
        <v>23115</v>
      </c>
      <c r="B7281" s="6" t="s">
        <v>23115</v>
      </c>
      <c r="C7281" s="5" t="s">
        <v>22070</v>
      </c>
      <c r="D7281" s="5" t="s">
        <v>22373</v>
      </c>
      <c r="E7281" s="2">
        <v>490391</v>
      </c>
      <c r="F7281" s="4" t="str">
        <f>IF(B7281=B7280,"",B7281)</f>
        <v>Sosnogorsk</v>
      </c>
    </row>
    <row r="7282" spans="1:6" ht="15.75" customHeight="1">
      <c r="A7282" s="5" t="str">
        <f ca="1">IFERROR(__xludf.DUMMYFUNCTION("GOOGLETRANSLATE(B40075,""en"",""pt"")"),"Sosnogorsk")</f>
        <v>Sosnogorsk</v>
      </c>
      <c r="B7282" s="17" t="s">
        <v>23115</v>
      </c>
      <c r="C7282" s="17" t="s">
        <v>22070</v>
      </c>
      <c r="D7282" s="17" t="s">
        <v>22373</v>
      </c>
      <c r="E7282" s="10">
        <v>490391</v>
      </c>
      <c r="F7282" s="4" t="str">
        <f>IF(B7282=B7281,"",B7282)</f>
        <v/>
      </c>
    </row>
    <row r="7283" spans="1:6" ht="15.75" customHeight="1">
      <c r="A7283" s="6" t="s">
        <v>23114</v>
      </c>
      <c r="B7283" s="6" t="s">
        <v>23114</v>
      </c>
      <c r="C7283" s="6" t="s">
        <v>22070</v>
      </c>
      <c r="D7283" s="6" t="s">
        <v>22559</v>
      </c>
      <c r="E7283" s="2">
        <v>490466</v>
      </c>
      <c r="F7283" s="4" t="str">
        <f>IF(B7283=B7282,"",B7283)</f>
        <v>Sortavala</v>
      </c>
    </row>
    <row r="7284" spans="1:6" ht="15.75" customHeight="1">
      <c r="A7284" s="5" t="str">
        <f ca="1">IFERROR(__xludf.DUMMYFUNCTION("GOOGLETRANSLATE(B40076,""en"",""pt"")"),"Sortavala")</f>
        <v>Sortavala</v>
      </c>
      <c r="B7284" s="17" t="s">
        <v>23114</v>
      </c>
      <c r="C7284" s="17" t="s">
        <v>22070</v>
      </c>
      <c r="D7284" s="17" t="s">
        <v>22559</v>
      </c>
      <c r="E7284" s="10">
        <v>490466</v>
      </c>
      <c r="F7284" s="4" t="str">
        <f>IF(B7284=B7283,"",B7284)</f>
        <v/>
      </c>
    </row>
    <row r="7285" spans="1:6" ht="15.75" customHeight="1">
      <c r="A7285" s="6" t="s">
        <v>21016</v>
      </c>
      <c r="B7285" s="6" t="s">
        <v>21016</v>
      </c>
      <c r="C7285" s="6" t="s">
        <v>20598</v>
      </c>
      <c r="D7285" s="6" t="s">
        <v>20634</v>
      </c>
      <c r="E7285" s="2">
        <v>1685755</v>
      </c>
      <c r="F7285" s="4" t="str">
        <f>IF(B7285=B7284,"",B7285)</f>
        <v>Sorsogon</v>
      </c>
    </row>
    <row r="7286" spans="1:6" ht="15.75" customHeight="1">
      <c r="A7286" s="5" t="str">
        <f ca="1">IFERROR(__xludf.DUMMYFUNCTION("GOOGLETRANSLATE(B38472,""en"",""pt"")"),"Sorsogon")</f>
        <v>Sorsogon</v>
      </c>
      <c r="B7286" s="17" t="s">
        <v>21016</v>
      </c>
      <c r="C7286" s="17" t="s">
        <v>20598</v>
      </c>
      <c r="D7286" s="17" t="s">
        <v>20634</v>
      </c>
      <c r="E7286" s="10">
        <v>1685755</v>
      </c>
      <c r="F7286" s="4" t="str">
        <f>IF(B7286=B7285,"",B7286)</f>
        <v/>
      </c>
    </row>
    <row r="7287" spans="1:6" ht="15.75" customHeight="1">
      <c r="A7287" s="6" t="s">
        <v>26863</v>
      </c>
      <c r="B7287" s="6" t="s">
        <v>26863</v>
      </c>
      <c r="C7287" s="6" t="s">
        <v>26820</v>
      </c>
      <c r="D7287" s="6" t="s">
        <v>18807</v>
      </c>
      <c r="E7287" s="2">
        <v>226234</v>
      </c>
      <c r="F7287" s="4" t="str">
        <f>IF(B7287=B7286,"",B7287)</f>
        <v>Soroti</v>
      </c>
    </row>
    <row r="7288" spans="1:6" ht="15.75" customHeight="1">
      <c r="A7288" s="5" t="str">
        <f ca="1">IFERROR(__xludf.DUMMYFUNCTION("GOOGLETRANSLATE(B42727,""en"",""pt"")"),"Soroti")</f>
        <v>Soroti</v>
      </c>
      <c r="B7288" s="17" t="s">
        <v>26863</v>
      </c>
      <c r="C7288" s="17" t="s">
        <v>26820</v>
      </c>
      <c r="D7288" s="17" t="s">
        <v>18807</v>
      </c>
      <c r="E7288" s="10">
        <v>226234</v>
      </c>
      <c r="F7288" s="4" t="str">
        <f>IF(B7288=B7287,"",B7288)</f>
        <v/>
      </c>
    </row>
    <row r="7289" spans="1:6" ht="15.75" customHeight="1">
      <c r="A7289" s="6" t="s">
        <v>14171</v>
      </c>
      <c r="B7289" s="6" t="s">
        <v>14171</v>
      </c>
      <c r="C7289" s="6" t="s">
        <v>13800</v>
      </c>
      <c r="D7289" s="6" t="s">
        <v>14030</v>
      </c>
      <c r="E7289" s="2">
        <v>1626542</v>
      </c>
      <c r="F7289" s="4" t="str">
        <f>IF(B7289=B7288,"",B7289)</f>
        <v>Sorong</v>
      </c>
    </row>
    <row r="7290" spans="1:6" ht="15.75" customHeight="1">
      <c r="A7290" s="5" t="str">
        <f ca="1">IFERROR(__xludf.DUMMYFUNCTION("GOOGLETRANSLATE(B31437,""en"",""pt"")"),"Sorong")</f>
        <v>Sorong</v>
      </c>
      <c r="B7290" s="17" t="s">
        <v>14171</v>
      </c>
      <c r="C7290" s="17" t="s">
        <v>13800</v>
      </c>
      <c r="D7290" s="17" t="s">
        <v>14030</v>
      </c>
      <c r="E7290" s="10">
        <v>1626542</v>
      </c>
      <c r="F7290" s="4" t="str">
        <f>IF(B7290=B7289,"",B7290)</f>
        <v/>
      </c>
    </row>
    <row r="7291" spans="1:6" ht="15.75" customHeight="1">
      <c r="A7291" s="6" t="s">
        <v>13431</v>
      </c>
      <c r="B7291" s="6" t="s">
        <v>13431</v>
      </c>
      <c r="C7291" s="6" t="s">
        <v>10178</v>
      </c>
      <c r="D7291" s="6" t="s">
        <v>10193</v>
      </c>
      <c r="E7291" s="2">
        <v>1255704</v>
      </c>
      <c r="F7291" s="4" t="str">
        <f>IF(B7291=B7290,"",B7291)</f>
        <v>Soron</v>
      </c>
    </row>
    <row r="7292" spans="1:6" ht="15.75" customHeight="1">
      <c r="A7292" s="5" t="str">
        <f ca="1">IFERROR(__xludf.DUMMYFUNCTION("GOOGLETRANSLATE(B32088,""en"",""pt"")"),"Soron")</f>
        <v>Soron</v>
      </c>
      <c r="B7292" s="17" t="s">
        <v>13431</v>
      </c>
      <c r="C7292" s="17" t="s">
        <v>10178</v>
      </c>
      <c r="D7292" s="17" t="s">
        <v>10193</v>
      </c>
      <c r="E7292" s="10">
        <v>1255704</v>
      </c>
      <c r="F7292" s="4" t="str">
        <f>IF(B7292=B7291,"",B7292)</f>
        <v/>
      </c>
    </row>
    <row r="7293" spans="1:6" ht="15.75" customHeight="1">
      <c r="A7293" s="5" t="s">
        <v>23113</v>
      </c>
      <c r="B7293" s="6" t="s">
        <v>23113</v>
      </c>
      <c r="C7293" s="5" t="s">
        <v>22070</v>
      </c>
      <c r="D7293" s="5" t="s">
        <v>22075</v>
      </c>
      <c r="E7293" s="2">
        <v>490554</v>
      </c>
      <c r="F7293" s="4" t="str">
        <f>IF(B7293=B7292,"",B7293)</f>
        <v>Sorochinsk</v>
      </c>
    </row>
    <row r="7294" spans="1:6" ht="15.75" customHeight="1">
      <c r="A7294" s="5" t="str">
        <f ca="1">IFERROR(__xludf.DUMMYFUNCTION("GOOGLETRANSLATE(B40077,""en"",""pt"")"),"Sorochinsk")</f>
        <v>Sorochinsk</v>
      </c>
      <c r="B7294" s="17" t="s">
        <v>23113</v>
      </c>
      <c r="C7294" s="17" t="s">
        <v>22070</v>
      </c>
      <c r="D7294" s="17" t="s">
        <v>22075</v>
      </c>
      <c r="E7294" s="10">
        <v>490554</v>
      </c>
      <c r="F7294" s="4" t="str">
        <f>IF(B7294=B7293,"",B7294)</f>
        <v/>
      </c>
    </row>
    <row r="7295" spans="1:6" ht="15.75" customHeight="1">
      <c r="A7295" s="6" t="s">
        <v>3498</v>
      </c>
      <c r="B7295" s="6" t="s">
        <v>3498</v>
      </c>
      <c r="C7295" s="6" t="s">
        <v>1905</v>
      </c>
      <c r="D7295" s="6" t="s">
        <v>1914</v>
      </c>
      <c r="E7295" s="2">
        <v>3447399</v>
      </c>
      <c r="F7295" s="4" t="str">
        <f>IF(B7295=B7294,"",B7295)</f>
        <v>Sorocaba</v>
      </c>
    </row>
    <row r="7296" spans="1:6" ht="15.75" customHeight="1">
      <c r="A7296" s="5" t="str">
        <f ca="1">IFERROR(__xludf.DUMMYFUNCTION("GOOGLETRANSLATE(B24513,""en"",""pt"")"),"Sorocaba")</f>
        <v>Sorocaba</v>
      </c>
      <c r="B7296" s="17" t="s">
        <v>3498</v>
      </c>
      <c r="C7296" s="17" t="s">
        <v>1905</v>
      </c>
      <c r="D7296" s="17" t="s">
        <v>3354</v>
      </c>
      <c r="E7296" s="10">
        <v>3447399</v>
      </c>
      <c r="F7296" s="4" t="str">
        <f>IF(B7296=B7295,"",B7296)</f>
        <v/>
      </c>
    </row>
    <row r="7297" spans="1:6" ht="15.75" customHeight="1">
      <c r="A7297" s="6" t="s">
        <v>18483</v>
      </c>
      <c r="B7297" s="6" t="s">
        <v>18483</v>
      </c>
      <c r="C7297" s="6" t="s">
        <v>18455</v>
      </c>
      <c r="D7297" s="6" t="s">
        <v>18484</v>
      </c>
      <c r="E7297" s="2">
        <v>617367</v>
      </c>
      <c r="F7297" s="4" t="str">
        <f>IF(B7297=B7296,"",B7297)</f>
        <v>Soroca</v>
      </c>
    </row>
    <row r="7298" spans="1:6" ht="15.75" customHeight="1">
      <c r="A7298" s="5" t="str">
        <f ca="1">IFERROR(__xludf.DUMMYFUNCTION("GOOGLETRANSLATE(B36531,""en"",""pt"")"),"Soroca")</f>
        <v>Soroca</v>
      </c>
      <c r="B7298" s="17" t="s">
        <v>18483</v>
      </c>
      <c r="C7298" s="17" t="s">
        <v>18455</v>
      </c>
      <c r="D7298" s="17" t="s">
        <v>18484</v>
      </c>
      <c r="E7298" s="10">
        <v>617367</v>
      </c>
      <c r="F7298" s="4" t="str">
        <f>IF(B7298=B7297,"",B7298)</f>
        <v/>
      </c>
    </row>
    <row r="7299" spans="1:6" ht="15.75" customHeight="1">
      <c r="A7299" s="6" t="s">
        <v>1681</v>
      </c>
      <c r="B7299" s="6" t="s">
        <v>1681</v>
      </c>
      <c r="C7299" s="6" t="s">
        <v>10178</v>
      </c>
      <c r="D7299" s="6" t="s">
        <v>10229</v>
      </c>
      <c r="E7299" s="2">
        <v>1255705</v>
      </c>
      <c r="F7299" s="4" t="str">
        <f>IF(B7299=B7298,"",B7299)</f>
        <v>Soro</v>
      </c>
    </row>
    <row r="7300" spans="1:6" ht="15.75" customHeight="1">
      <c r="A7300" s="5" t="str">
        <f ca="1">IFERROR(__xludf.DUMMYFUNCTION("GOOGLETRANSLATE(B32089,""en"",""pt"")"),"Soro")</f>
        <v>Soro</v>
      </c>
      <c r="B7300" s="17" t="s">
        <v>1681</v>
      </c>
      <c r="C7300" s="17" t="s">
        <v>10178</v>
      </c>
      <c r="D7300" s="17" t="s">
        <v>10229</v>
      </c>
      <c r="E7300" s="10">
        <v>1255705</v>
      </c>
      <c r="F7300" s="4" t="str">
        <f>IF(B7300=B7299,"",B7300)</f>
        <v/>
      </c>
    </row>
    <row r="7301" spans="1:6" ht="15.75" customHeight="1">
      <c r="A7301" s="6" t="s">
        <v>24827</v>
      </c>
      <c r="B7301" s="6" t="s">
        <v>24827</v>
      </c>
      <c r="C7301" s="6" t="s">
        <v>24200</v>
      </c>
      <c r="D7301" s="6" t="s">
        <v>24210</v>
      </c>
      <c r="E7301" s="2">
        <v>3108681</v>
      </c>
      <c r="F7301" s="4" t="str">
        <f>IF(B7301=B7300,"",B7301)</f>
        <v>Soria</v>
      </c>
    </row>
    <row r="7302" spans="1:6" ht="15.75" customHeight="1">
      <c r="A7302" s="5" t="str">
        <f ca="1">IFERROR(__xludf.DUMMYFUNCTION("GOOGLETRANSLATE(B29271,""en"",""pt"")"),"Soria")</f>
        <v>Soria</v>
      </c>
      <c r="B7302" s="17" t="s">
        <v>24827</v>
      </c>
      <c r="C7302" s="17" t="s">
        <v>24200</v>
      </c>
      <c r="D7302" s="17" t="s">
        <v>32412</v>
      </c>
      <c r="E7302" s="10">
        <v>3108681</v>
      </c>
      <c r="F7302" s="4" t="str">
        <f>IF(B7302=B7301,"",B7302)</f>
        <v/>
      </c>
    </row>
    <row r="7303" spans="1:6" ht="15.75" customHeight="1">
      <c r="A7303" s="6" t="s">
        <v>26705</v>
      </c>
      <c r="B7303" s="6" t="s">
        <v>26705</v>
      </c>
      <c r="C7303" s="6" t="s">
        <v>26201</v>
      </c>
      <c r="D7303" s="6" t="s">
        <v>26297</v>
      </c>
      <c r="E7303" s="2">
        <v>300352</v>
      </c>
      <c r="F7303" s="4" t="str">
        <f>IF(B7303=B7302,"",B7303)</f>
        <v>Sorgun</v>
      </c>
    </row>
    <row r="7304" spans="1:6" ht="15.75" customHeight="1">
      <c r="A7304" s="5" t="str">
        <f ca="1">IFERROR(__xludf.DUMMYFUNCTION("GOOGLETRANSLATE(B41891,""en"",""pt"")"),"Sorgun")</f>
        <v>Sorgun</v>
      </c>
      <c r="B7304" s="17" t="s">
        <v>26705</v>
      </c>
      <c r="C7304" s="17" t="s">
        <v>26201</v>
      </c>
      <c r="D7304" s="17" t="s">
        <v>26297</v>
      </c>
      <c r="E7304" s="10">
        <v>300352</v>
      </c>
      <c r="F7304" s="4" t="str">
        <f>IF(B7304=B7303,"",B7304)</f>
        <v/>
      </c>
    </row>
    <row r="7305" spans="1:6" ht="15.75" customHeight="1">
      <c r="A7305" s="6" t="s">
        <v>7831</v>
      </c>
      <c r="B7305" s="6" t="s">
        <v>7831</v>
      </c>
      <c r="C7305" s="6" t="s">
        <v>7052</v>
      </c>
      <c r="D7305" s="6" t="s">
        <v>7087</v>
      </c>
      <c r="E7305" s="2">
        <v>2974188</v>
      </c>
      <c r="F7305" s="4" t="str">
        <f>IF(B7305=B7304,"",B7305)</f>
        <v>Sorgues</v>
      </c>
    </row>
    <row r="7306" spans="1:6" ht="15.75" customHeight="1">
      <c r="A7306" s="5" t="str">
        <f ca="1">IFERROR(__xludf.DUMMYFUNCTION("GOOGLETRANSLATE(B29747,""en"",""pt"")"),"Sorgues")</f>
        <v>Sorgues</v>
      </c>
      <c r="B7306" s="17" t="s">
        <v>7831</v>
      </c>
      <c r="C7306" s="17" t="s">
        <v>7052</v>
      </c>
      <c r="D7306" s="17" t="s">
        <v>32534</v>
      </c>
      <c r="E7306" s="10">
        <v>2974188</v>
      </c>
      <c r="F7306" s="4" t="str">
        <f>IF(B7306=B7305,"",B7306)</f>
        <v/>
      </c>
    </row>
    <row r="7307" spans="1:6" ht="15.75" customHeight="1">
      <c r="A7307" s="5" t="s">
        <v>4204</v>
      </c>
      <c r="B7307" s="6" t="s">
        <v>4205</v>
      </c>
      <c r="C7307" s="5" t="s">
        <v>3975</v>
      </c>
      <c r="D7307" s="5" t="s">
        <v>3982</v>
      </c>
      <c r="E7307" s="2">
        <v>6151352</v>
      </c>
      <c r="F7307" s="4" t="str">
        <f>IF(B7307=B7306,"",B7307)</f>
        <v>Sorel-Tracy</v>
      </c>
    </row>
    <row r="7308" spans="1:6" ht="15.75" customHeight="1">
      <c r="A7308" s="5" t="str">
        <f ca="1">IFERROR(__xludf.DUMMYFUNCTION("GOOGLETRANSLATE(B25586,""en"",""pt"")"),"Sorel-tracy")</f>
        <v>Sorel-tracy</v>
      </c>
      <c r="B7308" s="17" t="s">
        <v>4205</v>
      </c>
      <c r="C7308" s="17" t="s">
        <v>3975</v>
      </c>
      <c r="D7308" s="17" t="s">
        <v>3982</v>
      </c>
      <c r="E7308" s="10">
        <v>6151352</v>
      </c>
      <c r="F7308" s="4" t="str">
        <f>IF(B7308=B7307,"",B7308)</f>
        <v/>
      </c>
    </row>
    <row r="7309" spans="1:6" ht="15.75" customHeight="1">
      <c r="A7309" s="6" t="s">
        <v>14170</v>
      </c>
      <c r="B7309" s="6" t="s">
        <v>14170</v>
      </c>
      <c r="C7309" s="6" t="s">
        <v>13800</v>
      </c>
      <c r="D7309" s="6" t="s">
        <v>13811</v>
      </c>
      <c r="E7309" s="2">
        <v>1626560</v>
      </c>
      <c r="F7309" s="4" t="str">
        <f>IF(B7309=B7308,"",B7309)</f>
        <v>Soreang</v>
      </c>
    </row>
    <row r="7310" spans="1:6" ht="15.75" customHeight="1">
      <c r="A7310" s="5" t="str">
        <f ca="1">IFERROR(__xludf.DUMMYFUNCTION("GOOGLETRANSLATE(B31438,""en"",""pt"")"),"Soreang")</f>
        <v>Soreang</v>
      </c>
      <c r="B7310" s="17" t="s">
        <v>14170</v>
      </c>
      <c r="C7310" s="17" t="s">
        <v>13800</v>
      </c>
      <c r="D7310" s="17" t="s">
        <v>13811</v>
      </c>
      <c r="E7310" s="10">
        <v>1626560</v>
      </c>
      <c r="F7310" s="4" t="str">
        <f>IF(B7310=B7309,"",B7310)</f>
        <v/>
      </c>
    </row>
    <row r="7311" spans="1:6" ht="15.75" customHeight="1">
      <c r="A7311" s="6" t="s">
        <v>16753</v>
      </c>
      <c r="B7311" s="6" t="s">
        <v>16753</v>
      </c>
      <c r="C7311" s="6" t="s">
        <v>16671</v>
      </c>
      <c r="D7311" s="6" t="s">
        <v>16672</v>
      </c>
      <c r="E7311" s="2">
        <v>1519725</v>
      </c>
      <c r="F7311" s="4" t="str">
        <f>IF(B7311=B7310,"",B7311)</f>
        <v>Sorang</v>
      </c>
    </row>
    <row r="7312" spans="1:6" ht="15.75" customHeight="1">
      <c r="A7312" s="5" t="str">
        <f ca="1">IFERROR(__xludf.DUMMYFUNCTION("GOOGLETRANSLATE(B36223,""en"",""pt"")"),"Sorang")</f>
        <v>Sorang</v>
      </c>
      <c r="B7312" s="17" t="s">
        <v>16753</v>
      </c>
      <c r="C7312" s="17" t="s">
        <v>16671</v>
      </c>
      <c r="D7312" s="17" t="s">
        <v>16672</v>
      </c>
      <c r="E7312" s="10">
        <v>1519725</v>
      </c>
      <c r="F7312" s="4" t="str">
        <f>IF(B7312=B7311,"",B7312)</f>
        <v/>
      </c>
    </row>
    <row r="7313" spans="1:6" ht="15.75" customHeight="1">
      <c r="A7313" s="6" t="s">
        <v>13430</v>
      </c>
      <c r="B7313" s="6" t="s">
        <v>13430</v>
      </c>
      <c r="C7313" s="6" t="s">
        <v>10178</v>
      </c>
      <c r="D7313" s="6" t="s">
        <v>10229</v>
      </c>
      <c r="E7313" s="2">
        <v>1255712</v>
      </c>
      <c r="F7313" s="4" t="str">
        <f>IF(B7313=B7312,"",B7313)</f>
        <v>Sorada</v>
      </c>
    </row>
    <row r="7314" spans="1:6" ht="15.75" customHeight="1">
      <c r="A7314" s="5" t="str">
        <f ca="1">IFERROR(__xludf.DUMMYFUNCTION("GOOGLETRANSLATE(B32090,""en"",""pt"")"),"Sorada")</f>
        <v>Sorada</v>
      </c>
      <c r="B7314" s="17" t="s">
        <v>13430</v>
      </c>
      <c r="C7314" s="17" t="s">
        <v>10178</v>
      </c>
      <c r="D7314" s="17" t="s">
        <v>10229</v>
      </c>
      <c r="E7314" s="10">
        <v>1255712</v>
      </c>
      <c r="F7314" s="4" t="str">
        <f>IF(B7314=B7313,"",B7314)</f>
        <v/>
      </c>
    </row>
    <row r="7315" spans="1:6" ht="15.75" customHeight="1">
      <c r="A7315" s="6" t="s">
        <v>15511</v>
      </c>
      <c r="B7315" s="6" t="s">
        <v>15511</v>
      </c>
      <c r="C7315" s="6" t="s">
        <v>14891</v>
      </c>
      <c r="D7315" s="6" t="s">
        <v>14904</v>
      </c>
      <c r="E7315" s="2">
        <v>3166387</v>
      </c>
      <c r="F7315" s="4" t="str">
        <f>IF(B7315=B7314,"",B7315)</f>
        <v>Sora</v>
      </c>
    </row>
    <row r="7316" spans="1:6" ht="15.75" customHeight="1">
      <c r="A7316" s="5" t="str">
        <f ca="1">IFERROR(__xludf.DUMMYFUNCTION("GOOGLETRANSLATE(B34677,""en"",""pt"")"),"Sora")</f>
        <v>Sora</v>
      </c>
      <c r="B7316" s="17" t="s">
        <v>15511</v>
      </c>
      <c r="C7316" s="17" t="s">
        <v>14891</v>
      </c>
      <c r="D7316" s="17" t="s">
        <v>14904</v>
      </c>
      <c r="E7316" s="10">
        <v>3166387</v>
      </c>
      <c r="F7316" s="4" t="str">
        <f>IF(B7316=B7315,"",B7316)</f>
        <v/>
      </c>
    </row>
    <row r="7317" spans="1:6" ht="15.75" customHeight="1">
      <c r="A7317" s="6" t="s">
        <v>13429</v>
      </c>
      <c r="B7317" s="6" t="s">
        <v>13429</v>
      </c>
      <c r="C7317" s="6" t="s">
        <v>10178</v>
      </c>
      <c r="D7317" s="6" t="s">
        <v>10355</v>
      </c>
      <c r="E7317" s="2">
        <v>1255714</v>
      </c>
      <c r="F7317" s="4" t="str">
        <f>IF(B7317=B7316,"",B7317)</f>
        <v>Sopur</v>
      </c>
    </row>
    <row r="7318" spans="1:6" ht="15.75" customHeight="1">
      <c r="A7318" s="5" t="str">
        <f ca="1">IFERROR(__xludf.DUMMYFUNCTION("GOOGLETRANSLATE(B32091,""en"",""pt"")"),"Sopur")</f>
        <v>Sopur</v>
      </c>
      <c r="B7318" s="17" t="s">
        <v>13429</v>
      </c>
      <c r="C7318" s="17" t="s">
        <v>10178</v>
      </c>
      <c r="D7318" s="17" t="s">
        <v>10355</v>
      </c>
      <c r="E7318" s="10">
        <v>1255714</v>
      </c>
      <c r="F7318" s="4" t="str">
        <f>IF(B7318=B7317,"",B7318)</f>
        <v/>
      </c>
    </row>
    <row r="7319" spans="1:6" ht="15.75" customHeight="1">
      <c r="A7319" s="6" t="s">
        <v>10135</v>
      </c>
      <c r="B7319" s="6" t="s">
        <v>10135</v>
      </c>
      <c r="C7319" s="6" t="s">
        <v>9955</v>
      </c>
      <c r="D7319" s="6" t="s">
        <v>10054</v>
      </c>
      <c r="E7319" s="2">
        <v>3045190</v>
      </c>
      <c r="F7319" s="4" t="str">
        <f>IF(B7319=B7318,"",B7319)</f>
        <v>Sopron</v>
      </c>
    </row>
    <row r="7320" spans="1:6" ht="15.75" customHeight="1">
      <c r="A7320" s="5" t="str">
        <f ca="1">IFERROR(__xludf.DUMMYFUNCTION("GOOGLETRANSLATE(B31286,""en"",""pt"")"),"Sopron")</f>
        <v>Sopron</v>
      </c>
      <c r="B7320" s="17" t="s">
        <v>10135</v>
      </c>
      <c r="C7320" s="17" t="s">
        <v>9955</v>
      </c>
      <c r="D7320" s="17" t="s">
        <v>32858</v>
      </c>
      <c r="E7320" s="10">
        <v>3045190</v>
      </c>
      <c r="F7320" s="4" t="str">
        <f>IF(B7320=B7319,"",B7320)</f>
        <v/>
      </c>
    </row>
    <row r="7321" spans="1:6" ht="15.75" customHeight="1">
      <c r="A7321" s="6" t="s">
        <v>21501</v>
      </c>
      <c r="B7321" s="6" t="s">
        <v>21501</v>
      </c>
      <c r="C7321" s="6" t="s">
        <v>21064</v>
      </c>
      <c r="D7321" s="6" t="s">
        <v>21173</v>
      </c>
      <c r="E7321" s="2">
        <v>3085151</v>
      </c>
      <c r="F7321" s="4" t="str">
        <f>IF(B7321=B7320,"",B7321)</f>
        <v>Sopot</v>
      </c>
    </row>
    <row r="7322" spans="1:6" ht="15.75" customHeight="1">
      <c r="A7322" s="5" t="str">
        <f ca="1">IFERROR(__xludf.DUMMYFUNCTION("GOOGLETRANSLATE(B39351,""en"",""pt"")"),"Sopot")</f>
        <v>Sopot</v>
      </c>
      <c r="B7322" s="17" t="s">
        <v>21501</v>
      </c>
      <c r="C7322" s="17" t="s">
        <v>21064</v>
      </c>
      <c r="D7322" s="17" t="s">
        <v>21173</v>
      </c>
      <c r="E7322" s="10">
        <v>3085151</v>
      </c>
      <c r="F7322" s="4" t="str">
        <f>IF(B7322=B7321,"",B7322)</f>
        <v/>
      </c>
    </row>
    <row r="7323" spans="1:6" ht="15.75" customHeight="1">
      <c r="A7323" s="5" t="s">
        <v>6762</v>
      </c>
      <c r="B7323" s="6" t="s">
        <v>6762</v>
      </c>
      <c r="C7323" s="5" t="s">
        <v>6727</v>
      </c>
      <c r="D7323" s="5" t="s">
        <v>6728</v>
      </c>
      <c r="E7323" s="2">
        <v>3583098</v>
      </c>
      <c r="F7323" s="4" t="str">
        <f>IF(B7323=B7322,"",B7323)</f>
        <v>Sonzacate</v>
      </c>
    </row>
    <row r="7324" spans="1:6" ht="15.75" customHeight="1">
      <c r="A7324" s="5" t="str">
        <f ca="1">IFERROR(__xludf.DUMMYFUNCTION("GOOGLETRANSLATE(B41358,""en"",""pt"")"),"Sonzacate")</f>
        <v>Sonzacate</v>
      </c>
      <c r="B7324" s="17" t="s">
        <v>6762</v>
      </c>
      <c r="C7324" s="17" t="s">
        <v>6727</v>
      </c>
      <c r="D7324" s="17" t="s">
        <v>6728</v>
      </c>
      <c r="E7324" s="10">
        <v>3583098</v>
      </c>
      <c r="F7324" s="4" t="str">
        <f>IF(B7324=B7323,"",B7324)</f>
        <v/>
      </c>
    </row>
    <row r="7325" spans="1:6" ht="15.75" customHeight="1">
      <c r="A7325" s="5" t="s">
        <v>9147</v>
      </c>
      <c r="B7325" s="6" t="s">
        <v>9147</v>
      </c>
      <c r="C7325" s="5" t="s">
        <v>8028</v>
      </c>
      <c r="D7325" s="5" t="s">
        <v>8044</v>
      </c>
      <c r="E7325" s="2">
        <v>2831088</v>
      </c>
      <c r="F7325" s="4" t="str">
        <f>IF(B7325=B7324,"",B7325)</f>
        <v>Sonthofen</v>
      </c>
    </row>
    <row r="7326" spans="1:6" ht="15.75" customHeight="1">
      <c r="A7326" s="5" t="str">
        <f ca="1">IFERROR(__xludf.DUMMYFUNCTION("GOOGLETRANSLATE(B27515,""en"",""pt"")"),"Sonthofen")</f>
        <v>Sonthofen</v>
      </c>
      <c r="B7326" s="17" t="s">
        <v>9147</v>
      </c>
      <c r="C7326" s="17" t="s">
        <v>8028</v>
      </c>
      <c r="D7326" s="17" t="s">
        <v>8044</v>
      </c>
      <c r="E7326" s="10">
        <v>2831088</v>
      </c>
      <c r="F7326" s="4" t="str">
        <f>IF(B7326=B7325,"",B7326)</f>
        <v/>
      </c>
    </row>
    <row r="7327" spans="1:6" ht="15.75" customHeight="1">
      <c r="A7327" s="5" t="s">
        <v>6761</v>
      </c>
      <c r="B7327" s="6" t="s">
        <v>6728</v>
      </c>
      <c r="C7327" s="5" t="s">
        <v>6727</v>
      </c>
      <c r="D7327" s="5" t="s">
        <v>6728</v>
      </c>
      <c r="E7327" s="2">
        <v>3583102</v>
      </c>
      <c r="F7327" s="4" t="str">
        <f>IF(B7327=B7326,"",B7327)</f>
        <v>Sonsonate</v>
      </c>
    </row>
    <row r="7328" spans="1:6" ht="15.75" customHeight="1">
      <c r="A7328" s="5" t="str">
        <f ca="1">IFERROR(__xludf.DUMMYFUNCTION("GOOGLETRANSLATE(B41359,""en"",""pt"")"),"Sonsonato")</f>
        <v>Sonsonato</v>
      </c>
      <c r="B7328" s="17" t="s">
        <v>6728</v>
      </c>
      <c r="C7328" s="17" t="s">
        <v>6727</v>
      </c>
      <c r="D7328" s="17" t="s">
        <v>6728</v>
      </c>
      <c r="E7328" s="10">
        <v>3583102</v>
      </c>
      <c r="F7328" s="4" t="str">
        <f>IF(B7328=B7327,"",B7328)</f>
        <v/>
      </c>
    </row>
    <row r="7329" spans="1:6" ht="15.75" customHeight="1">
      <c r="A7329" s="5" t="str">
        <f ca="1">IFERROR(__xludf.DUMMYFUNCTION("GOOGLETRANSLATE(B26869,""en"",""pt"")"),"Filho filho")</f>
        <v>Filho filho</v>
      </c>
      <c r="B7329" s="17" t="s">
        <v>31842</v>
      </c>
      <c r="C7329" s="17" t="s">
        <v>5348</v>
      </c>
      <c r="D7329" s="17" t="s">
        <v>5362</v>
      </c>
      <c r="E7329" s="10">
        <v>3667820</v>
      </c>
      <c r="F7329" s="4" t="str">
        <f>IF(B7329=B7328,"",B7329)</f>
        <v>Sonsón</v>
      </c>
    </row>
    <row r="7330" spans="1:6" ht="15.75" customHeight="1">
      <c r="A7330" s="6" t="s">
        <v>5622</v>
      </c>
      <c r="B7330" s="6" t="s">
        <v>5623</v>
      </c>
      <c r="C7330" s="6" t="s">
        <v>5348</v>
      </c>
      <c r="D7330" s="6" t="s">
        <v>5362</v>
      </c>
      <c r="E7330" s="2">
        <v>3667820</v>
      </c>
      <c r="F7330" s="4" t="str">
        <f>IF(B7330=B7329,"",B7330)</f>
        <v>SonsÃ³n</v>
      </c>
    </row>
    <row r="7331" spans="1:6" ht="15.75" customHeight="1">
      <c r="A7331" s="6" t="s">
        <v>14565</v>
      </c>
      <c r="B7331" s="6" t="s">
        <v>14565</v>
      </c>
      <c r="C7331" s="6" t="s">
        <v>14240</v>
      </c>
      <c r="D7331" s="6" t="s">
        <v>14401</v>
      </c>
      <c r="E7331" s="2">
        <v>114049</v>
      </c>
      <c r="F7331" s="4" t="str">
        <f>IF(B7331=B7330,"",B7331)</f>
        <v>Sonqor</v>
      </c>
    </row>
    <row r="7332" spans="1:6" ht="15.75" customHeight="1">
      <c r="A7332" s="5" t="str">
        <f ca="1">IFERROR(__xludf.DUMMYFUNCTION("GOOGLETRANSLATE(B34362,""en"",""pt"")"),"Sonqor")</f>
        <v>Sonqor</v>
      </c>
      <c r="B7332" s="17" t="s">
        <v>14565</v>
      </c>
      <c r="C7332" s="17" t="s">
        <v>14240</v>
      </c>
      <c r="D7332" s="17" t="s">
        <v>34120</v>
      </c>
      <c r="E7332" s="10">
        <v>114049</v>
      </c>
      <c r="F7332" s="4" t="str">
        <f>IF(B7332=B7331,"",B7332)</f>
        <v/>
      </c>
    </row>
    <row r="7333" spans="1:6" ht="15.75" customHeight="1">
      <c r="A7333" s="5" t="s">
        <v>9146</v>
      </c>
      <c r="B7333" s="6" t="s">
        <v>9146</v>
      </c>
      <c r="C7333" s="5" t="s">
        <v>8028</v>
      </c>
      <c r="D7333" s="5" t="s">
        <v>8054</v>
      </c>
      <c r="E7333" s="2">
        <v>2831250</v>
      </c>
      <c r="F7333" s="4" t="str">
        <f>IF(B7333=B7332,"",B7333)</f>
        <v>Sonneberg</v>
      </c>
    </row>
    <row r="7334" spans="1:6" ht="15.75" customHeight="1">
      <c r="A7334" s="5" t="str">
        <f ca="1">IFERROR(__xludf.DUMMYFUNCTION("GOOGLETRANSLATE(B27516,""en"",""pt"")"),"Sonneberg")</f>
        <v>Sonneberg</v>
      </c>
      <c r="B7334" s="17" t="s">
        <v>9146</v>
      </c>
      <c r="C7334" s="17" t="s">
        <v>8028</v>
      </c>
      <c r="D7334" s="17" t="s">
        <v>8054</v>
      </c>
      <c r="E7334" s="10">
        <v>2831250</v>
      </c>
      <c r="F7334" s="4" t="str">
        <f>IF(B7334=B7333,"",B7334)</f>
        <v/>
      </c>
    </row>
    <row r="7335" spans="1:6" ht="15.75" customHeight="1">
      <c r="A7335" s="5" t="str">
        <f ca="1">IFERROR(__xludf.DUMMYFUNCTION("GOOGLETRANSLATE(B32092,""en"",""pt"")"),"Sonīpat")</f>
        <v>Sonīpat</v>
      </c>
      <c r="B7335" s="17" t="s">
        <v>33052</v>
      </c>
      <c r="C7335" s="17" t="s">
        <v>10178</v>
      </c>
      <c r="D7335" s="17" t="s">
        <v>10224</v>
      </c>
      <c r="E7335" s="10">
        <v>1255744</v>
      </c>
      <c r="F7335" s="4" t="str">
        <f>IF(B7335=B7334,"",B7335)</f>
        <v>Sonīpat</v>
      </c>
    </row>
    <row r="7336" spans="1:6" ht="15.75" customHeight="1">
      <c r="A7336" s="6" t="s">
        <v>5098</v>
      </c>
      <c r="B7336" s="6" t="s">
        <v>5098</v>
      </c>
      <c r="C7336" s="6" t="s">
        <v>4487</v>
      </c>
      <c r="D7336" s="6" t="s">
        <v>4511</v>
      </c>
      <c r="E7336" s="2">
        <v>1813016</v>
      </c>
      <c r="F7336" s="4" t="str">
        <f>IF(B7336=B7335,"",B7336)</f>
        <v>Songyang</v>
      </c>
    </row>
    <row r="7337" spans="1:6" ht="15.75" customHeight="1">
      <c r="A7337" s="5" t="str">
        <f ca="1">IFERROR(__xludf.DUMMYFUNCTION("GOOGLETRANSLATE(B26564,""en"",""pt"")"),"Songyang")</f>
        <v>Songyang</v>
      </c>
      <c r="B7337" s="17" t="s">
        <v>5098</v>
      </c>
      <c r="C7337" s="17" t="s">
        <v>4487</v>
      </c>
      <c r="D7337" s="17" t="s">
        <v>4511</v>
      </c>
      <c r="E7337" s="10">
        <v>1813016</v>
      </c>
      <c r="F7337" s="4" t="str">
        <f>IF(B7337=B7336,"",B7337)</f>
        <v/>
      </c>
    </row>
    <row r="7338" spans="1:6" ht="15.75" customHeight="1">
      <c r="A7338" s="6" t="s">
        <v>25746</v>
      </c>
      <c r="B7338" s="6" t="s">
        <v>25746</v>
      </c>
      <c r="C7338" s="6" t="s">
        <v>25560</v>
      </c>
      <c r="D7338" s="6" t="s">
        <v>25615</v>
      </c>
      <c r="E7338" s="2">
        <v>149775</v>
      </c>
      <c r="F7338" s="4" t="str">
        <f>IF(B7338=B7337,"",B7338)</f>
        <v>Songwa</v>
      </c>
    </row>
    <row r="7339" spans="1:6" ht="15.75" customHeight="1">
      <c r="A7339" s="5" t="str">
        <f ca="1">IFERROR(__xludf.DUMMYFUNCTION("GOOGLETRANSLATE(B42300,""en"",""pt"")"),"Songwa")</f>
        <v>Songwa</v>
      </c>
      <c r="B7339" s="17" t="s">
        <v>25746</v>
      </c>
      <c r="C7339" s="17" t="s">
        <v>25560</v>
      </c>
      <c r="D7339" s="17" t="s">
        <v>25615</v>
      </c>
      <c r="E7339" s="10">
        <v>149775</v>
      </c>
      <c r="F7339" s="4" t="str">
        <f>IF(B7339=B7338,"",B7339)</f>
        <v/>
      </c>
    </row>
    <row r="7340" spans="1:6" ht="15.75" customHeight="1">
      <c r="A7340" s="6" t="s">
        <v>19680</v>
      </c>
      <c r="B7340" s="6" t="s">
        <v>19680</v>
      </c>
      <c r="C7340" s="6" t="s">
        <v>19589</v>
      </c>
      <c r="D7340" s="6" t="s">
        <v>19592</v>
      </c>
      <c r="E7340" s="2">
        <v>1869446</v>
      </c>
      <c r="F7340" s="4" t="str">
        <f>IF(B7340=B7339,"",B7340)</f>
        <v>Songnim</v>
      </c>
    </row>
    <row r="7341" spans="1:6" ht="15.75" customHeight="1">
      <c r="A7341" s="5" t="str">
        <f ca="1">IFERROR(__xludf.DUMMYFUNCTION("GOOGLETRANSLATE(B35994,""en"",""pt"")"),"Songnim")</f>
        <v>Songnim</v>
      </c>
      <c r="B7341" s="17" t="s">
        <v>19680</v>
      </c>
      <c r="C7341" s="17" t="s">
        <v>19589</v>
      </c>
      <c r="D7341" s="17" t="s">
        <v>19592</v>
      </c>
      <c r="E7341" s="10">
        <v>1869446</v>
      </c>
      <c r="F7341" s="4" t="str">
        <f>IF(B7341=B7340,"",B7341)</f>
        <v/>
      </c>
    </row>
    <row r="7342" spans="1:6" ht="15.75" customHeight="1">
      <c r="A7342" s="6" t="s">
        <v>5097</v>
      </c>
      <c r="B7342" s="6" t="s">
        <v>5097</v>
      </c>
      <c r="C7342" s="6" t="s">
        <v>4487</v>
      </c>
      <c r="D7342" s="6" t="s">
        <v>4535</v>
      </c>
      <c r="E7342" s="2">
        <v>1898494</v>
      </c>
      <c r="F7342" s="4" t="str">
        <f>IF(B7342=B7341,"",B7342)</f>
        <v>Songling</v>
      </c>
    </row>
    <row r="7343" spans="1:6" ht="15.75" customHeight="1">
      <c r="A7343" s="6" t="s">
        <v>5097</v>
      </c>
      <c r="B7343" s="6" t="s">
        <v>5097</v>
      </c>
      <c r="C7343" s="6" t="s">
        <v>4487</v>
      </c>
      <c r="D7343" s="6" t="s">
        <v>4529</v>
      </c>
      <c r="E7343" s="2">
        <v>2047837</v>
      </c>
      <c r="F7343" s="4" t="str">
        <f>IF(B7343=B7342,"",B7343)</f>
        <v/>
      </c>
    </row>
    <row r="7344" spans="1:6" ht="15.75" customHeight="1">
      <c r="A7344" s="5" t="str">
        <f ca="1">IFERROR(__xludf.DUMMYFUNCTION("GOOGLETRANSLATE(B26638,""en"",""pt"")"),"Songling")</f>
        <v>Songling</v>
      </c>
      <c r="B7344" s="17" t="s">
        <v>5097</v>
      </c>
      <c r="C7344" s="17" t="s">
        <v>4487</v>
      </c>
      <c r="D7344" s="17" t="s">
        <v>4535</v>
      </c>
      <c r="E7344" s="10">
        <v>1898494</v>
      </c>
      <c r="F7344" s="4" t="str">
        <f>IF(B7344=B7343,"",B7344)</f>
        <v/>
      </c>
    </row>
    <row r="7345" spans="1:6" ht="15.75" customHeight="1">
      <c r="A7345" s="5" t="str">
        <f ca="1">IFERROR(__xludf.DUMMYFUNCTION("GOOGLETRANSLATE(B26832,""en"",""pt"")"),"Songling")</f>
        <v>Songling</v>
      </c>
      <c r="B7345" s="17" t="s">
        <v>5097</v>
      </c>
      <c r="C7345" s="17" t="s">
        <v>4487</v>
      </c>
      <c r="D7345" s="17" t="s">
        <v>4529</v>
      </c>
      <c r="E7345" s="10">
        <v>2047837</v>
      </c>
      <c r="F7345" s="4" t="str">
        <f>IF(B7345=B7344,"",B7345)</f>
        <v/>
      </c>
    </row>
    <row r="7346" spans="1:6" ht="15.75" customHeight="1">
      <c r="A7346" s="6" t="s">
        <v>25794</v>
      </c>
      <c r="B7346" s="6" t="s">
        <v>25794</v>
      </c>
      <c r="C7346" s="6" t="s">
        <v>25771</v>
      </c>
      <c r="D7346" s="6" t="s">
        <v>25794</v>
      </c>
      <c r="E7346" s="2">
        <v>1606147</v>
      </c>
      <c r="F7346" s="4" t="str">
        <f>IF(B7346=B7345,"",B7346)</f>
        <v>Songkhla</v>
      </c>
    </row>
    <row r="7347" spans="1:6" ht="15.75" customHeight="1">
      <c r="A7347" s="5" t="str">
        <f ca="1">IFERROR(__xludf.DUMMYFUNCTION("GOOGLETRANSLATE(B41602,""en"",""pt"")"),"Songkhla")</f>
        <v>Songkhla</v>
      </c>
      <c r="B7347" s="17" t="s">
        <v>25794</v>
      </c>
      <c r="C7347" s="17" t="s">
        <v>25771</v>
      </c>
      <c r="D7347" s="17" t="s">
        <v>25794</v>
      </c>
      <c r="E7347" s="10">
        <v>1606147</v>
      </c>
      <c r="F7347" s="4" t="str">
        <f>IF(B7347=B7346,"",B7347)</f>
        <v/>
      </c>
    </row>
    <row r="7348" spans="1:6" ht="15.75" customHeight="1">
      <c r="A7348" s="5" t="s">
        <v>5096</v>
      </c>
      <c r="B7348" s="6" t="s">
        <v>5096</v>
      </c>
      <c r="C7348" s="5" t="s">
        <v>4487</v>
      </c>
      <c r="D7348" s="5" t="s">
        <v>4518</v>
      </c>
      <c r="E7348" s="2">
        <v>2034691</v>
      </c>
      <c r="F7348" s="4" t="str">
        <f>IF(B7348=B7347,"",B7348)</f>
        <v>Songjianghe</v>
      </c>
    </row>
    <row r="7349" spans="1:6" ht="15.75" customHeight="1">
      <c r="A7349" s="5" t="str">
        <f ca="1">IFERROR(__xludf.DUMMYFUNCTION("GOOGLETRANSLATE(B26687,""en"",""pt"")"),"Songjianghe")</f>
        <v>Songjianghe</v>
      </c>
      <c r="B7349" s="17" t="s">
        <v>5096</v>
      </c>
      <c r="C7349" s="17" t="s">
        <v>4487</v>
      </c>
      <c r="D7349" s="17" t="s">
        <v>4518</v>
      </c>
      <c r="E7349" s="10">
        <v>2034691</v>
      </c>
      <c r="F7349" s="4" t="str">
        <f>IF(B7349=B7348,"",B7349)</f>
        <v/>
      </c>
    </row>
    <row r="7350" spans="1:6" ht="15.75" customHeight="1">
      <c r="A7350" s="6" t="s">
        <v>5095</v>
      </c>
      <c r="B7350" s="6" t="s">
        <v>5095</v>
      </c>
      <c r="C7350" s="6" t="s">
        <v>4487</v>
      </c>
      <c r="D7350" s="6" t="s">
        <v>5049</v>
      </c>
      <c r="E7350" s="2">
        <v>1794035</v>
      </c>
      <c r="F7350" s="4" t="str">
        <f>IF(B7350=B7349,"",B7350)</f>
        <v>Songjiang</v>
      </c>
    </row>
    <row r="7351" spans="1:6" ht="15.75" customHeight="1">
      <c r="A7351" s="5" t="str">
        <f ca="1">IFERROR(__xludf.DUMMYFUNCTION("GOOGLETRANSLATE(B26256,""en"",""pt"")"),"Songjiang")</f>
        <v>Songjiang</v>
      </c>
      <c r="B7351" s="17" t="s">
        <v>5095</v>
      </c>
      <c r="C7351" s="17" t="s">
        <v>4487</v>
      </c>
      <c r="D7351" s="17" t="s">
        <v>5049</v>
      </c>
      <c r="E7351" s="10">
        <v>1794035</v>
      </c>
      <c r="F7351" s="4" t="str">
        <f>IF(B7351=B7350,"",B7351)</f>
        <v/>
      </c>
    </row>
    <row r="7352" spans="1:6" ht="15.75" customHeight="1">
      <c r="A7352" s="6" t="s">
        <v>25745</v>
      </c>
      <c r="B7352" s="6" t="s">
        <v>25745</v>
      </c>
      <c r="C7352" s="6" t="s">
        <v>25560</v>
      </c>
      <c r="D7352" s="6" t="s">
        <v>25636</v>
      </c>
      <c r="E7352" s="2">
        <v>877401</v>
      </c>
      <c r="F7352" s="4" t="str">
        <f>IF(B7352=B7351,"",B7352)</f>
        <v>Songea</v>
      </c>
    </row>
    <row r="7353" spans="1:6" ht="15.75" customHeight="1">
      <c r="A7353" s="5" t="str">
        <f ca="1">IFERROR(__xludf.DUMMYFUNCTION("GOOGLETRANSLATE(B42448,""en"",""pt"")"),"Songea")</f>
        <v>Songea</v>
      </c>
      <c r="B7353" s="17" t="s">
        <v>25745</v>
      </c>
      <c r="C7353" s="17" t="s">
        <v>25560</v>
      </c>
      <c r="D7353" s="17" t="s">
        <v>25636</v>
      </c>
      <c r="E7353" s="10">
        <v>877401</v>
      </c>
      <c r="F7353" s="4" t="str">
        <f>IF(B7353=B7352,"",B7353)</f>
        <v/>
      </c>
    </row>
    <row r="7354" spans="1:6" ht="15.75" customHeight="1">
      <c r="A7354" s="6" t="s">
        <v>13428</v>
      </c>
      <c r="B7354" s="6" t="s">
        <v>13428</v>
      </c>
      <c r="C7354" s="6" t="s">
        <v>10178</v>
      </c>
      <c r="D7354" s="6" t="s">
        <v>10209</v>
      </c>
      <c r="E7354" s="2">
        <v>1255762</v>
      </c>
      <c r="F7354" s="4" t="str">
        <f>IF(B7354=B7353,"",B7354)</f>
        <v>Songadh</v>
      </c>
    </row>
    <row r="7355" spans="1:6" ht="15.75" customHeight="1">
      <c r="A7355" s="5" t="str">
        <f ca="1">IFERROR(__xludf.DUMMYFUNCTION("GOOGLETRANSLATE(B32093,""en"",""pt"")"),"Songadh")</f>
        <v>Songadh</v>
      </c>
      <c r="B7355" s="17" t="s">
        <v>13428</v>
      </c>
      <c r="C7355" s="17" t="s">
        <v>10178</v>
      </c>
      <c r="D7355" s="17" t="s">
        <v>10209</v>
      </c>
      <c r="E7355" s="10">
        <v>1255762</v>
      </c>
      <c r="F7355" s="4" t="str">
        <f>IF(B7355=B7354,"",B7355)</f>
        <v/>
      </c>
    </row>
    <row r="7356" spans="1:6" ht="15.75" customHeight="1">
      <c r="A7356" s="5" t="str">
        <f ca="1">IFERROR(__xludf.DUMMYFUNCTION("GOOGLETRANSLATE(B45731,""en"",""pt"")"),"Sông cầu")</f>
        <v>Sông cầu</v>
      </c>
      <c r="B7356" s="17" t="s">
        <v>36135</v>
      </c>
      <c r="C7356" s="17" t="s">
        <v>30784</v>
      </c>
      <c r="D7356" s="17" t="s">
        <v>36117</v>
      </c>
      <c r="E7356" s="10">
        <v>1567723</v>
      </c>
      <c r="F7356" s="4" t="str">
        <f>IF(B7356=B7355,"",B7356)</f>
        <v>Sông Cầu</v>
      </c>
    </row>
    <row r="7357" spans="1:6" ht="15.75" customHeight="1">
      <c r="A7357" s="6" t="s">
        <v>13427</v>
      </c>
      <c r="B7357" s="6" t="s">
        <v>13427</v>
      </c>
      <c r="C7357" s="6" t="s">
        <v>10178</v>
      </c>
      <c r="D7357" s="6" t="s">
        <v>10229</v>
      </c>
      <c r="E7357" s="2">
        <v>1255763</v>
      </c>
      <c r="F7357" s="4" t="str">
        <f>IF(B7357=B7356,"",B7357)</f>
        <v>Sonepur</v>
      </c>
    </row>
    <row r="7358" spans="1:6" ht="15.75" customHeight="1">
      <c r="A7358" s="5" t="str">
        <f ca="1">IFERROR(__xludf.DUMMYFUNCTION("GOOGLETRANSLATE(B32094,""en"",""pt"")"),"Sonepur")</f>
        <v>Sonepur</v>
      </c>
      <c r="B7358" s="17" t="s">
        <v>13427</v>
      </c>
      <c r="C7358" s="17" t="s">
        <v>10178</v>
      </c>
      <c r="D7358" s="17" t="s">
        <v>10229</v>
      </c>
      <c r="E7358" s="10">
        <v>1255763</v>
      </c>
      <c r="F7358" s="4" t="str">
        <f>IF(B7358=B7357,"",B7358)</f>
        <v/>
      </c>
    </row>
    <row r="7359" spans="1:6" ht="15.75" customHeight="1">
      <c r="A7359" s="6" t="s">
        <v>15510</v>
      </c>
      <c r="B7359" s="6" t="s">
        <v>15510</v>
      </c>
      <c r="C7359" s="6" t="s">
        <v>14891</v>
      </c>
      <c r="D7359" s="6" t="s">
        <v>14894</v>
      </c>
      <c r="E7359" s="2">
        <v>3166397</v>
      </c>
      <c r="F7359" s="4" t="str">
        <f>IF(B7359=B7358,"",B7359)</f>
        <v>Sondrio</v>
      </c>
    </row>
    <row r="7360" spans="1:6" ht="15.75" customHeight="1">
      <c r="A7360" s="5" t="str">
        <f ca="1">IFERROR(__xludf.DUMMYFUNCTION("GOOGLETRANSLATE(B34678,""en"",""pt"")"),"Sondrio")</f>
        <v>Sondrio</v>
      </c>
      <c r="B7360" s="17" t="s">
        <v>15510</v>
      </c>
      <c r="C7360" s="17" t="s">
        <v>14891</v>
      </c>
      <c r="D7360" s="17" t="s">
        <v>14894</v>
      </c>
      <c r="E7360" s="10">
        <v>3166397</v>
      </c>
      <c r="F7360" s="4" t="str">
        <f>IF(B7360=B7359,"",B7360)</f>
        <v/>
      </c>
    </row>
    <row r="7361" spans="1:6" ht="15.75" customHeight="1">
      <c r="A7361" s="5" t="s">
        <v>9145</v>
      </c>
      <c r="B7361" s="6" t="s">
        <v>9145</v>
      </c>
      <c r="C7361" s="5" t="s">
        <v>8028</v>
      </c>
      <c r="D7361" s="5" t="s">
        <v>8054</v>
      </c>
      <c r="E7361" s="2">
        <v>2831276</v>
      </c>
      <c r="F7361" s="4" t="str">
        <f>IF(B7361=B7360,"",B7361)</f>
        <v>Sondershausen</v>
      </c>
    </row>
    <row r="7362" spans="1:6" ht="15.75" customHeight="1">
      <c r="A7362" s="5" t="str">
        <f ca="1">IFERROR(__xludf.DUMMYFUNCTION("GOOGLETRANSLATE(B27517,""en"",""pt"")"),"Sondershausen")</f>
        <v>Sondershausen</v>
      </c>
      <c r="B7362" s="17" t="s">
        <v>9145</v>
      </c>
      <c r="C7362" s="17" t="s">
        <v>8028</v>
      </c>
      <c r="D7362" s="17" t="s">
        <v>8054</v>
      </c>
      <c r="E7362" s="10">
        <v>2831276</v>
      </c>
      <c r="F7362" s="4" t="str">
        <f>IF(B7362=B7361,"",B7362)</f>
        <v/>
      </c>
    </row>
    <row r="7363" spans="1:6" ht="15.75" customHeight="1">
      <c r="A7363" s="5" t="str">
        <f ca="1">IFERROR(__xludf.DUMMYFUNCTION("GOOGLETRANSLATE(B28408,""en"",""pt"")"),"Sønderborg")</f>
        <v>Sønderborg</v>
      </c>
      <c r="B7363" s="17" t="s">
        <v>32151</v>
      </c>
      <c r="C7363" s="17" t="s">
        <v>6209</v>
      </c>
      <c r="D7363" s="17" t="s">
        <v>6212</v>
      </c>
      <c r="E7363" s="10">
        <v>2613102</v>
      </c>
      <c r="F7363" s="4" t="str">
        <f>IF(B7363=B7362,"",B7363)</f>
        <v>Sønderborg</v>
      </c>
    </row>
    <row r="7364" spans="1:6" ht="15.75" customHeight="1">
      <c r="A7364" s="5" t="str">
        <f ca="1">IFERROR(__xludf.DUMMYFUNCTION("GOOGLETRANSLATE(B36026,""en"",""pt"")"),"Sŏnbong")</f>
        <v>Sŏnbong</v>
      </c>
      <c r="B7364" s="17" t="s">
        <v>34457</v>
      </c>
      <c r="C7364" s="17" t="s">
        <v>19589</v>
      </c>
      <c r="D7364" s="17" t="s">
        <v>19654</v>
      </c>
      <c r="E7364" s="10">
        <v>2040674</v>
      </c>
      <c r="F7364" s="4" t="str">
        <f>IF(B7364=B7363,"",B7364)</f>
        <v>Sŏnbong</v>
      </c>
    </row>
    <row r="7365" spans="1:6" ht="15.75" customHeight="1">
      <c r="A7365" s="5" t="str">
        <f ca="1">IFERROR(__xludf.DUMMYFUNCTION("GOOGLETRANSLATE(B32095,""en"",""pt"")"),"Sonāri")</f>
        <v>Sonāri</v>
      </c>
      <c r="B7365" s="17" t="s">
        <v>33053</v>
      </c>
      <c r="C7365" s="17" t="s">
        <v>10178</v>
      </c>
      <c r="D7365" s="17" t="s">
        <v>10239</v>
      </c>
      <c r="E7365" s="10">
        <v>1255788</v>
      </c>
      <c r="F7365" s="4" t="str">
        <f>IF(B7365=B7364,"",B7365)</f>
        <v>Sonāri</v>
      </c>
    </row>
    <row r="7366" spans="1:6" ht="15.75" customHeight="1">
      <c r="A7366" s="5" t="str">
        <f ca="1">IFERROR(__xludf.DUMMYFUNCTION("GOOGLETRANSLATE(B32096,""en"",""pt"")"),"Sonāmukhi")</f>
        <v>Sonāmukhi</v>
      </c>
      <c r="B7366" s="17" t="s">
        <v>33054</v>
      </c>
      <c r="C7366" s="17" t="s">
        <v>10178</v>
      </c>
      <c r="D7366" s="17" t="s">
        <v>10201</v>
      </c>
      <c r="E7366" s="10">
        <v>1255792</v>
      </c>
      <c r="F7366" s="4" t="str">
        <f>IF(B7366=B7365,"",B7366)</f>
        <v>Sonāmukhi</v>
      </c>
    </row>
    <row r="7367" spans="1:6" ht="15.75" customHeight="1">
      <c r="A7367" s="6" t="s">
        <v>13425</v>
      </c>
      <c r="B7367" s="6" t="s">
        <v>13426</v>
      </c>
      <c r="C7367" s="6" t="s">
        <v>10178</v>
      </c>
      <c r="D7367" s="6" t="s">
        <v>10239</v>
      </c>
      <c r="E7367" s="2">
        <v>1255788</v>
      </c>
      <c r="F7367" s="4" t="str">
        <f>IF(B7367=B7366,"",B7367)</f>
        <v>SonÄri</v>
      </c>
    </row>
    <row r="7368" spans="1:6" ht="15.75" customHeight="1">
      <c r="A7368" s="5" t="s">
        <v>13423</v>
      </c>
      <c r="B7368" s="6" t="s">
        <v>13424</v>
      </c>
      <c r="C7368" s="5" t="s">
        <v>10178</v>
      </c>
      <c r="D7368" s="5" t="s">
        <v>10201</v>
      </c>
      <c r="E7368" s="2">
        <v>1255792</v>
      </c>
      <c r="F7368" s="4" t="str">
        <f>IF(B7368=B7367,"",B7368)</f>
        <v>SonÄmukhi</v>
      </c>
    </row>
    <row r="7369" spans="1:6" ht="15.75" customHeight="1">
      <c r="A7369" s="5" t="s">
        <v>13421</v>
      </c>
      <c r="B7369" s="6" t="s">
        <v>13422</v>
      </c>
      <c r="C7369" s="5" t="s">
        <v>10178</v>
      </c>
      <c r="D7369" s="5" t="s">
        <v>10224</v>
      </c>
      <c r="E7369" s="2">
        <v>1255744</v>
      </c>
      <c r="F7369" s="4" t="str">
        <f>IF(B7369=B7368,"",B7369)</f>
        <v>SonÄ«pat</v>
      </c>
    </row>
    <row r="7370" spans="1:6" ht="15.75" customHeight="1">
      <c r="A7370" s="5" t="str">
        <f ca="1">IFERROR(__xludf.DUMMYFUNCTION("GOOGLETRANSLATE(B45729,""en"",""pt"")"),"Sơn Tây")</f>
        <v>Sơn Tây</v>
      </c>
      <c r="B7370" s="17" t="s">
        <v>36132</v>
      </c>
      <c r="C7370" s="17" t="s">
        <v>30784</v>
      </c>
      <c r="D7370" s="17" t="s">
        <v>36133</v>
      </c>
      <c r="E7370" s="10">
        <v>1567621</v>
      </c>
      <c r="F7370" s="4" t="str">
        <f>IF(B7370=B7369,"",B7370)</f>
        <v>Sơn Tây</v>
      </c>
    </row>
    <row r="7371" spans="1:6" ht="15.75" customHeight="1">
      <c r="A7371" s="5" t="str">
        <f ca="1">IFERROR(__xludf.DUMMYFUNCTION("GOOGLETRANSLATE(B45730,""en"",""pt"")"),"Sơn la")</f>
        <v>Sơn la</v>
      </c>
      <c r="B7371" s="17" t="s">
        <v>36134</v>
      </c>
      <c r="C7371" s="17" t="s">
        <v>30784</v>
      </c>
      <c r="D7371" s="17" t="s">
        <v>36134</v>
      </c>
      <c r="E7371" s="10">
        <v>1567681</v>
      </c>
      <c r="F7371" s="4" t="str">
        <f>IF(B7371=B7370,"",B7371)</f>
        <v>Sơn La</v>
      </c>
    </row>
    <row r="7372" spans="1:6" ht="15.75" customHeight="1">
      <c r="A7372" s="6" t="s">
        <v>13420</v>
      </c>
      <c r="B7372" s="6" t="s">
        <v>13420</v>
      </c>
      <c r="C7372" s="6" t="s">
        <v>10178</v>
      </c>
      <c r="D7372" s="6" t="s">
        <v>10190</v>
      </c>
      <c r="E7372" s="2">
        <v>1255816</v>
      </c>
      <c r="F7372" s="4" t="str">
        <f>IF(B7372=B7371,"",B7372)</f>
        <v>Sompeta</v>
      </c>
    </row>
    <row r="7373" spans="1:6" ht="15.75" customHeight="1">
      <c r="A7373" s="5" t="str">
        <f ca="1">IFERROR(__xludf.DUMMYFUNCTION("GOOGLETRANSLATE(B32097,""en"",""pt"")"),"Sompeta")</f>
        <v>Sompeta</v>
      </c>
      <c r="B7373" s="17" t="s">
        <v>13420</v>
      </c>
      <c r="C7373" s="17" t="s">
        <v>10178</v>
      </c>
      <c r="D7373" s="17" t="s">
        <v>10190</v>
      </c>
      <c r="E7373" s="10">
        <v>1255816</v>
      </c>
      <c r="F7373" s="4" t="str">
        <f>IF(B7373=B7372,"",B7373)</f>
        <v/>
      </c>
    </row>
    <row r="7374" spans="1:6" ht="15.75" customHeight="1">
      <c r="A7374" s="6" t="s">
        <v>19255</v>
      </c>
      <c r="B7374" s="6" t="s">
        <v>19255</v>
      </c>
      <c r="C7374" s="6" t="s">
        <v>19217</v>
      </c>
      <c r="D7374" s="6" t="s">
        <v>19256</v>
      </c>
      <c r="E7374" s="2">
        <v>3616232</v>
      </c>
      <c r="F7374" s="4" t="str">
        <f>IF(B7374=B7373,"",B7374)</f>
        <v>Somoto</v>
      </c>
    </row>
    <row r="7375" spans="1:6" ht="15.75" customHeight="1">
      <c r="A7375" s="5" t="str">
        <f ca="1">IFERROR(__xludf.DUMMYFUNCTION("GOOGLETRANSLATE(B37850,""en"",""pt"")"),"Somoto")</f>
        <v>Somoto</v>
      </c>
      <c r="B7375" s="17" t="s">
        <v>19255</v>
      </c>
      <c r="C7375" s="17" t="s">
        <v>19217</v>
      </c>
      <c r="D7375" s="17" t="s">
        <v>19256</v>
      </c>
      <c r="E7375" s="10">
        <v>3616232</v>
      </c>
      <c r="F7375" s="4" t="str">
        <f>IF(B7375=B7374,"",B7375)</f>
        <v/>
      </c>
    </row>
    <row r="7376" spans="1:6" ht="15.75" customHeight="1">
      <c r="A7376" s="6" t="s">
        <v>19254</v>
      </c>
      <c r="B7376" s="6" t="s">
        <v>19254</v>
      </c>
      <c r="C7376" s="6" t="s">
        <v>19217</v>
      </c>
      <c r="D7376" s="6" t="s">
        <v>19222</v>
      </c>
      <c r="E7376" s="2">
        <v>3616234</v>
      </c>
      <c r="F7376" s="4" t="str">
        <f>IF(B7376=B7375,"",B7376)</f>
        <v>Somotillo</v>
      </c>
    </row>
    <row r="7377" spans="1:6" ht="15.75" customHeight="1">
      <c r="A7377" s="5" t="str">
        <f ca="1">IFERROR(__xludf.DUMMYFUNCTION("GOOGLETRANSLATE(B37851,""en"",""pt"")"),"Somotillo")</f>
        <v>Somotillo</v>
      </c>
      <c r="B7377" s="17" t="s">
        <v>19254</v>
      </c>
      <c r="C7377" s="17" t="s">
        <v>19217</v>
      </c>
      <c r="D7377" s="17" t="s">
        <v>19222</v>
      </c>
      <c r="E7377" s="10">
        <v>3616234</v>
      </c>
      <c r="F7377" s="4" t="str">
        <f>IF(B7377=B7376,"",B7377)</f>
        <v/>
      </c>
    </row>
    <row r="7378" spans="1:6" ht="15.75" customHeight="1">
      <c r="A7378" s="5" t="str">
        <f ca="1">IFERROR(__xludf.DUMMYFUNCTION("GOOGLETRANSLATE(B27518,""en"",""pt"")"),"Sömmerda")</f>
        <v>Sömmerda</v>
      </c>
      <c r="B7378" s="17" t="s">
        <v>32029</v>
      </c>
      <c r="C7378" s="17" t="s">
        <v>8028</v>
      </c>
      <c r="D7378" s="17" t="s">
        <v>8054</v>
      </c>
      <c r="E7378" s="10">
        <v>2831403</v>
      </c>
      <c r="F7378" s="4" t="str">
        <f>IF(B7378=B7377,"",B7378)</f>
        <v>Sömmerda</v>
      </c>
    </row>
    <row r="7379" spans="1:6" ht="15.75" customHeight="1">
      <c r="A7379" s="5" t="s">
        <v>15509</v>
      </c>
      <c r="B7379" s="6" t="s">
        <v>15509</v>
      </c>
      <c r="C7379" s="5" t="s">
        <v>14891</v>
      </c>
      <c r="D7379" s="5" t="s">
        <v>14896</v>
      </c>
      <c r="E7379" s="2">
        <v>3166404</v>
      </c>
      <c r="F7379" s="4" t="str">
        <f>IF(B7379=B7378,"",B7379)</f>
        <v>Somma Vesuviana</v>
      </c>
    </row>
    <row r="7380" spans="1:6" ht="15.75" customHeight="1">
      <c r="A7380" s="5" t="str">
        <f ca="1">IFERROR(__xludf.DUMMYFUNCTION("GOOGLETRANSLATE(B34679,""en"",""pt"")"),"Somma Vesuviana")</f>
        <v>Somma Vesuviana</v>
      </c>
      <c r="B7380" s="17" t="s">
        <v>15509</v>
      </c>
      <c r="C7380" s="17" t="s">
        <v>14891</v>
      </c>
      <c r="D7380" s="17" t="s">
        <v>14896</v>
      </c>
      <c r="E7380" s="10">
        <v>3166404</v>
      </c>
      <c r="F7380" s="4" t="str">
        <f>IF(B7380=B7379,"",B7380)</f>
        <v/>
      </c>
    </row>
    <row r="7381" spans="1:6" ht="15.75" customHeight="1">
      <c r="A7381" s="5" t="s">
        <v>13419</v>
      </c>
      <c r="B7381" s="6" t="s">
        <v>13419</v>
      </c>
      <c r="C7381" s="5" t="s">
        <v>10178</v>
      </c>
      <c r="D7381" s="5" t="s">
        <v>10252</v>
      </c>
      <c r="E7381" s="2">
        <v>1255823</v>
      </c>
      <c r="F7381" s="4" t="str">
        <f>IF(B7381=B7380,"",B7381)</f>
        <v>Someshwar</v>
      </c>
    </row>
    <row r="7382" spans="1:6" ht="15.75" customHeight="1">
      <c r="A7382" s="5" t="str">
        <f ca="1">IFERROR(__xludf.DUMMYFUNCTION("GOOGLETRANSLATE(B32098,""en"",""pt"")"),"Someshwar")</f>
        <v>Someshwar</v>
      </c>
      <c r="B7382" s="17" t="s">
        <v>13419</v>
      </c>
      <c r="C7382" s="17" t="s">
        <v>10178</v>
      </c>
      <c r="D7382" s="17" t="s">
        <v>10252</v>
      </c>
      <c r="E7382" s="10">
        <v>1255823</v>
      </c>
      <c r="F7382" s="4" t="str">
        <f>IF(B7382=B7381,"",B7382)</f>
        <v/>
      </c>
    </row>
    <row r="7383" spans="1:6" ht="15.75" customHeight="1">
      <c r="A7383" s="5" t="s">
        <v>30012</v>
      </c>
      <c r="B7383" s="6" t="s">
        <v>30012</v>
      </c>
      <c r="C7383" s="5" t="s">
        <v>27788</v>
      </c>
      <c r="D7383" s="5" t="s">
        <v>27794</v>
      </c>
      <c r="E7383" s="2">
        <v>4951257</v>
      </c>
      <c r="F7383" s="4" t="str">
        <f>IF(B7383=B7382,"",B7383)</f>
        <v>Somerville</v>
      </c>
    </row>
    <row r="7384" spans="1:6" ht="15.75" customHeight="1">
      <c r="A7384" s="5" t="str">
        <f ca="1">IFERROR(__xludf.DUMMYFUNCTION("GOOGLETRANSLATE(B44024,""en"",""pt"")"),"Somerville")</f>
        <v>Somerville</v>
      </c>
      <c r="B7384" s="17" t="s">
        <v>30012</v>
      </c>
      <c r="C7384" s="17" t="s">
        <v>27788</v>
      </c>
      <c r="D7384" s="17" t="s">
        <v>27794</v>
      </c>
      <c r="E7384" s="10">
        <v>4951257</v>
      </c>
      <c r="F7384" s="4" t="str">
        <f>IF(B7384=B7383,"",B7384)</f>
        <v/>
      </c>
    </row>
    <row r="7385" spans="1:6" ht="15.75" customHeight="1">
      <c r="A7385" s="5" t="s">
        <v>23980</v>
      </c>
      <c r="B7385" s="6" t="s">
        <v>23980</v>
      </c>
      <c r="C7385" s="5" t="s">
        <v>23842</v>
      </c>
      <c r="D7385" s="5" t="s">
        <v>23843</v>
      </c>
      <c r="E7385" s="2">
        <v>954161</v>
      </c>
      <c r="F7385" s="4" t="str">
        <f>IF(B7385=B7384,"",B7385)</f>
        <v>Somerset East</v>
      </c>
    </row>
    <row r="7386" spans="1:6" ht="15.75" customHeight="1">
      <c r="A7386" s="5" t="str">
        <f ca="1">IFERROR(__xludf.DUMMYFUNCTION("GOOGLETRANSLATE(B45875,""en"",""pt"")"),"Somerset East")</f>
        <v>Somerset East</v>
      </c>
      <c r="B7386" s="17" t="s">
        <v>23980</v>
      </c>
      <c r="C7386" s="17" t="s">
        <v>23842</v>
      </c>
      <c r="D7386" s="17" t="s">
        <v>23843</v>
      </c>
      <c r="E7386" s="10">
        <v>954161</v>
      </c>
      <c r="F7386" s="4" t="str">
        <f>IF(B7386=B7385,"",B7386)</f>
        <v/>
      </c>
    </row>
    <row r="7387" spans="1:6" ht="15.75" customHeight="1">
      <c r="A7387" s="6" t="s">
        <v>30011</v>
      </c>
      <c r="B7387" s="6" t="s">
        <v>30011</v>
      </c>
      <c r="C7387" s="6" t="s">
        <v>27788</v>
      </c>
      <c r="D7387" s="6" t="s">
        <v>27794</v>
      </c>
      <c r="E7387" s="2">
        <v>4951248</v>
      </c>
      <c r="F7387" s="4" t="str">
        <f>IF(B7387=B7386,"",B7387)</f>
        <v>Somerset</v>
      </c>
    </row>
    <row r="7388" spans="1:6" ht="15.75" customHeight="1">
      <c r="A7388" s="6" t="s">
        <v>30011</v>
      </c>
      <c r="B7388" s="6" t="s">
        <v>30011</v>
      </c>
      <c r="C7388" s="6" t="s">
        <v>27788</v>
      </c>
      <c r="D7388" s="6" t="s">
        <v>27905</v>
      </c>
      <c r="E7388" s="2">
        <v>5104755</v>
      </c>
      <c r="F7388" s="4" t="str">
        <f>IF(B7388=B7387,"",B7388)</f>
        <v/>
      </c>
    </row>
    <row r="7389" spans="1:6" ht="15.75" customHeight="1">
      <c r="A7389" s="5" t="str">
        <f ca="1">IFERROR(__xludf.DUMMYFUNCTION("GOOGLETRANSLATE(B44023,""en"",""pt"")"),"Somerset")</f>
        <v>Somerset</v>
      </c>
      <c r="B7389" s="17" t="s">
        <v>30011</v>
      </c>
      <c r="C7389" s="17" t="s">
        <v>27788</v>
      </c>
      <c r="D7389" s="17" t="s">
        <v>27794</v>
      </c>
      <c r="E7389" s="10">
        <v>4951248</v>
      </c>
      <c r="F7389" s="4" t="str">
        <f>IF(B7389=B7388,"",B7389)</f>
        <v/>
      </c>
    </row>
    <row r="7390" spans="1:6" ht="15.75" customHeight="1">
      <c r="A7390" s="5" t="str">
        <f ca="1">IFERROR(__xludf.DUMMYFUNCTION("GOOGLETRANSLATE(B44311,""en"",""pt"")"),"Somerset")</f>
        <v>Somerset</v>
      </c>
      <c r="B7390" s="17" t="s">
        <v>30011</v>
      </c>
      <c r="C7390" s="17" t="s">
        <v>27788</v>
      </c>
      <c r="D7390" s="17" t="s">
        <v>27905</v>
      </c>
      <c r="E7390" s="10">
        <v>5104755</v>
      </c>
      <c r="F7390" s="4" t="str">
        <f>IF(B7390=B7389,"",B7390)</f>
        <v/>
      </c>
    </row>
    <row r="7391" spans="1:6" ht="15.75" customHeight="1">
      <c r="A7391" s="6" t="s">
        <v>19092</v>
      </c>
      <c r="B7391" s="6" t="s">
        <v>19092</v>
      </c>
      <c r="C7391" s="6" t="s">
        <v>18862</v>
      </c>
      <c r="D7391" s="6" t="s">
        <v>18888</v>
      </c>
      <c r="E7391" s="2">
        <v>2747021</v>
      </c>
      <c r="F7391" s="4" t="str">
        <f>IF(B7391=B7390,"",B7391)</f>
        <v>Someren</v>
      </c>
    </row>
    <row r="7392" spans="1:6" ht="15.75" customHeight="1">
      <c r="A7392" s="5" t="str">
        <f ca="1">IFERROR(__xludf.DUMMYFUNCTION("GOOGLETRANSLATE(B37950,""en"",""pt"")"),"Someren")</f>
        <v>Someren</v>
      </c>
      <c r="B7392" s="17" t="s">
        <v>19092</v>
      </c>
      <c r="C7392" s="17" t="s">
        <v>18862</v>
      </c>
      <c r="D7392" s="17" t="s">
        <v>18888</v>
      </c>
      <c r="E7392" s="10">
        <v>2747021</v>
      </c>
      <c r="F7392" s="4" t="str">
        <f>IF(B7392=B7391,"",B7392)</f>
        <v/>
      </c>
    </row>
    <row r="7393" spans="1:6" ht="15.75" customHeight="1">
      <c r="A7393" s="6" t="s">
        <v>18292</v>
      </c>
      <c r="B7393" s="6" t="s">
        <v>18293</v>
      </c>
      <c r="C7393" s="6" t="s">
        <v>17707</v>
      </c>
      <c r="D7393" s="6" t="s">
        <v>17943</v>
      </c>
      <c r="E7393" s="2">
        <v>3982887</v>
      </c>
      <c r="F7393" s="4" t="str">
        <f>IF(B7393=B7392,"",B7393)</f>
        <v>Sombrerete</v>
      </c>
    </row>
    <row r="7394" spans="1:6" ht="15.75" customHeight="1">
      <c r="A7394" s="5" t="str">
        <f ca="1">IFERROR(__xludf.DUMMYFUNCTION("GOOGLETRANSLATE(B37178,""en"",""pt"")"),"Sombrete")</f>
        <v>Sombrete</v>
      </c>
      <c r="B7394" s="17" t="s">
        <v>18293</v>
      </c>
      <c r="C7394" s="17" t="s">
        <v>17707</v>
      </c>
      <c r="D7394" s="17" t="s">
        <v>17943</v>
      </c>
      <c r="E7394" s="10">
        <v>3982887</v>
      </c>
      <c r="F7394" s="4" t="str">
        <f>IF(B7394=B7393,"",B7394)</f>
        <v/>
      </c>
    </row>
    <row r="7395" spans="1:6" ht="15.75" customHeight="1">
      <c r="A7395" s="6" t="s">
        <v>23653</v>
      </c>
      <c r="B7395" s="6" t="s">
        <v>23654</v>
      </c>
      <c r="C7395" s="6" t="s">
        <v>23602</v>
      </c>
      <c r="D7395" s="6" t="s">
        <v>23610</v>
      </c>
      <c r="E7395" s="2">
        <v>3190342</v>
      </c>
      <c r="F7395" s="4" t="str">
        <f>IF(B7395=B7394,"",B7395)</f>
        <v>Sombor</v>
      </c>
    </row>
    <row r="7396" spans="1:6" ht="15.75" customHeight="1">
      <c r="A7396" s="5" t="str">
        <f ca="1">IFERROR(__xludf.DUMMYFUNCTION("GOOGLETRANSLATE(B39897,""en"",""pt"")"),"Somor")</f>
        <v>Somor</v>
      </c>
      <c r="B7396" s="17" t="s">
        <v>23654</v>
      </c>
      <c r="C7396" s="17" t="s">
        <v>23602</v>
      </c>
      <c r="D7396" s="17" t="s">
        <v>23610</v>
      </c>
      <c r="E7396" s="10">
        <v>3190342</v>
      </c>
      <c r="F7396" s="4" t="str">
        <f>IF(B7396=B7395,"",B7396)</f>
        <v/>
      </c>
    </row>
    <row r="7397" spans="1:6" ht="15.75" customHeight="1">
      <c r="A7397" s="6" t="s">
        <v>25744</v>
      </c>
      <c r="B7397" s="6" t="s">
        <v>25744</v>
      </c>
      <c r="C7397" s="6" t="s">
        <v>25560</v>
      </c>
      <c r="D7397" s="6" t="s">
        <v>25566</v>
      </c>
      <c r="E7397" s="2">
        <v>149792</v>
      </c>
      <c r="F7397" s="4" t="str">
        <f>IF(B7397=B7396,"",B7397)</f>
        <v>Somanda</v>
      </c>
    </row>
    <row r="7398" spans="1:6" ht="15.75" customHeight="1">
      <c r="A7398" s="5" t="str">
        <f ca="1">IFERROR(__xludf.DUMMYFUNCTION("GOOGLETRANSLATE(B42301,""en"",""pt"")"),"Somanda")</f>
        <v>Somanda</v>
      </c>
      <c r="B7398" s="17" t="s">
        <v>25744</v>
      </c>
      <c r="C7398" s="17" t="s">
        <v>25560</v>
      </c>
      <c r="D7398" s="17" t="s">
        <v>25566</v>
      </c>
      <c r="E7398" s="10">
        <v>149792</v>
      </c>
      <c r="F7398" s="4" t="str">
        <f>IF(B7398=B7397,"",B7398)</f>
        <v/>
      </c>
    </row>
    <row r="7399" spans="1:6" ht="15.75" customHeight="1">
      <c r="A7399" s="6" t="s">
        <v>26704</v>
      </c>
      <c r="B7399" s="6" t="s">
        <v>26704</v>
      </c>
      <c r="C7399" s="6" t="s">
        <v>26201</v>
      </c>
      <c r="D7399" s="6" t="s">
        <v>26299</v>
      </c>
      <c r="E7399" s="2">
        <v>300371</v>
      </c>
      <c r="F7399" s="4" t="str">
        <f>IF(B7399=B7398,"",B7399)</f>
        <v>Soma</v>
      </c>
    </row>
    <row r="7400" spans="1:6" ht="15.75" customHeight="1">
      <c r="A7400" s="5" t="str">
        <f ca="1">IFERROR(__xludf.DUMMYFUNCTION("GOOGLETRANSLATE(B41892,""en"",""pt"")"),"Soma")</f>
        <v>Soma</v>
      </c>
      <c r="B7400" s="17" t="s">
        <v>26704</v>
      </c>
      <c r="C7400" s="17" t="s">
        <v>26201</v>
      </c>
      <c r="D7400" s="17" t="s">
        <v>26299</v>
      </c>
      <c r="E7400" s="10">
        <v>300371</v>
      </c>
      <c r="F7400" s="4" t="str">
        <f>IF(B7400=B7399,"",B7400)</f>
        <v/>
      </c>
    </row>
    <row r="7401" spans="1:6" ht="15.75" customHeight="1">
      <c r="A7401" s="6" t="s">
        <v>9144</v>
      </c>
      <c r="B7401" s="6" t="s">
        <v>9144</v>
      </c>
      <c r="C7401" s="6" t="s">
        <v>8028</v>
      </c>
      <c r="D7401" s="6" t="s">
        <v>8034</v>
      </c>
      <c r="E7401" s="2">
        <v>2831486</v>
      </c>
      <c r="F7401" s="4" t="str">
        <f>IF(B7401=B7400,"",B7401)</f>
        <v>Soltau</v>
      </c>
    </row>
    <row r="7402" spans="1:6" ht="15.75" customHeight="1">
      <c r="A7402" s="5" t="str">
        <f ca="1">IFERROR(__xludf.DUMMYFUNCTION("GOOGLETRANSLATE(B27519,""en"",""pt"")"),"Soltau")</f>
        <v>Soltau</v>
      </c>
      <c r="B7402" s="17" t="s">
        <v>9144</v>
      </c>
      <c r="C7402" s="17" t="s">
        <v>8028</v>
      </c>
      <c r="D7402" s="17" t="s">
        <v>8034</v>
      </c>
      <c r="E7402" s="10">
        <v>2831486</v>
      </c>
      <c r="F7402" s="4" t="str">
        <f>IF(B7402=B7401,"",B7402)</f>
        <v/>
      </c>
    </row>
    <row r="7403" spans="1:6" ht="15.75" customHeight="1">
      <c r="A7403" s="6" t="s">
        <v>30010</v>
      </c>
      <c r="B7403" s="6" t="s">
        <v>30010</v>
      </c>
      <c r="C7403" s="6" t="s">
        <v>27788</v>
      </c>
      <c r="D7403" s="6" t="s">
        <v>27813</v>
      </c>
      <c r="E7403" s="2">
        <v>5172387</v>
      </c>
      <c r="F7403" s="4" t="str">
        <f>IF(B7403=B7402,"",B7403)</f>
        <v>Solon</v>
      </c>
    </row>
    <row r="7404" spans="1:6" ht="15.75" customHeight="1">
      <c r="A7404" s="5" t="str">
        <f ca="1">IFERROR(__xludf.DUMMYFUNCTION("GOOGLETRANSLATE(B44541,""en"",""pt"")"),"Solon")</f>
        <v>Solon</v>
      </c>
      <c r="B7404" s="17" t="s">
        <v>30010</v>
      </c>
      <c r="C7404" s="17" t="s">
        <v>27788</v>
      </c>
      <c r="D7404" s="17" t="s">
        <v>27813</v>
      </c>
      <c r="E7404" s="10">
        <v>5172387</v>
      </c>
      <c r="F7404" s="4" t="str">
        <f>IF(B7404=B7403,"",B7404)</f>
        <v/>
      </c>
    </row>
    <row r="7405" spans="1:6" ht="15.75" customHeight="1">
      <c r="A7405" s="6" t="s">
        <v>9813</v>
      </c>
      <c r="B7405" s="6" t="s">
        <v>9759</v>
      </c>
      <c r="C7405" s="6" t="s">
        <v>9700</v>
      </c>
      <c r="D7405" s="6" t="s">
        <v>9759</v>
      </c>
      <c r="E7405" s="2">
        <v>3588698</v>
      </c>
      <c r="F7405" s="4" t="str">
        <f>IF(B7405=B7404,"",B7405)</f>
        <v>SololÃ¡</v>
      </c>
    </row>
    <row r="7406" spans="1:6" ht="15.75" customHeight="1">
      <c r="A7406" s="5" t="str">
        <f ca="1">IFERROR(__xludf.DUMMYFUNCTION("GOOGLETRANSLATE(B31070,""en"",""pt"")"),"Sololá")</f>
        <v>Sololá</v>
      </c>
      <c r="B7406" s="17" t="s">
        <v>32768</v>
      </c>
      <c r="C7406" s="17" t="s">
        <v>9700</v>
      </c>
      <c r="D7406" s="17" t="s">
        <v>32768</v>
      </c>
      <c r="E7406" s="10">
        <v>3588698</v>
      </c>
      <c r="F7406" s="4" t="str">
        <f>IF(B7406=B7405,"",B7406)</f>
        <v>Sololá</v>
      </c>
    </row>
    <row r="7407" spans="1:6" ht="15.75" customHeight="1">
      <c r="A7407" s="6" t="s">
        <v>14169</v>
      </c>
      <c r="B7407" s="6" t="s">
        <v>14169</v>
      </c>
      <c r="C7407" s="6" t="s">
        <v>13800</v>
      </c>
      <c r="D7407" s="6" t="s">
        <v>13872</v>
      </c>
      <c r="E7407" s="2">
        <v>1626649</v>
      </c>
      <c r="F7407" s="4" t="str">
        <f>IF(B7407=B7406,"",B7407)</f>
        <v>Solok</v>
      </c>
    </row>
    <row r="7408" spans="1:6" ht="15.75" customHeight="1">
      <c r="A7408" s="5" t="str">
        <f ca="1">IFERROR(__xludf.DUMMYFUNCTION("GOOGLETRANSLATE(B31439,""en"",""pt"")"),"Solok")</f>
        <v>Solok</v>
      </c>
      <c r="B7408" s="17" t="s">
        <v>14169</v>
      </c>
      <c r="C7408" s="17" t="s">
        <v>13800</v>
      </c>
      <c r="D7408" s="17" t="s">
        <v>13872</v>
      </c>
      <c r="E7408" s="10">
        <v>1626649</v>
      </c>
      <c r="F7408" s="4" t="str">
        <f>IF(B7408=B7407,"",B7408)</f>
        <v/>
      </c>
    </row>
    <row r="7409" spans="1:6" ht="15.75" customHeight="1">
      <c r="A7409" s="6" t="s">
        <v>23112</v>
      </c>
      <c r="B7409" s="6" t="s">
        <v>23112</v>
      </c>
      <c r="C7409" s="6" t="s">
        <v>22070</v>
      </c>
      <c r="D7409" s="6" t="s">
        <v>22127</v>
      </c>
      <c r="E7409" s="2">
        <v>490971</v>
      </c>
      <c r="F7409" s="4" t="str">
        <f>IF(B7409=B7408,"",B7409)</f>
        <v>Solntsevo</v>
      </c>
    </row>
    <row r="7410" spans="1:6" ht="15.75" customHeight="1">
      <c r="A7410" s="5" t="str">
        <f ca="1">IFERROR(__xludf.DUMMYFUNCTION("GOOGLETRANSLATE(B40078,""en"",""pt"")"),"Solntsevo")</f>
        <v>Solntsevo</v>
      </c>
      <c r="B7410" s="17" t="s">
        <v>23112</v>
      </c>
      <c r="C7410" s="17" t="s">
        <v>22070</v>
      </c>
      <c r="D7410" s="17" t="s">
        <v>22127</v>
      </c>
      <c r="E7410" s="10">
        <v>490971</v>
      </c>
      <c r="F7410" s="4" t="str">
        <f>IF(B7410=B7409,"",B7410)</f>
        <v/>
      </c>
    </row>
    <row r="7411" spans="1:6" ht="15.75" customHeight="1">
      <c r="A7411" s="5" t="s">
        <v>23111</v>
      </c>
      <c r="B7411" s="6" t="s">
        <v>23111</v>
      </c>
      <c r="C7411" s="5" t="s">
        <v>22070</v>
      </c>
      <c r="D7411" s="5" t="s">
        <v>22119</v>
      </c>
      <c r="E7411" s="2">
        <v>490996</v>
      </c>
      <c r="F7411" s="4" t="str">
        <f>IF(B7411=B7410,"",B7411)</f>
        <v>Solnechnogorsk</v>
      </c>
    </row>
    <row r="7412" spans="1:6" ht="15.75" customHeight="1">
      <c r="A7412" s="5" t="str">
        <f ca="1">IFERROR(__xludf.DUMMYFUNCTION("GOOGLETRANSLATE(B40079,""en"",""pt"")"),"Solnechnogorsk")</f>
        <v>Solnechnogorsk</v>
      </c>
      <c r="B7412" s="17" t="s">
        <v>23111</v>
      </c>
      <c r="C7412" s="17" t="s">
        <v>22070</v>
      </c>
      <c r="D7412" s="17" t="s">
        <v>22119</v>
      </c>
      <c r="E7412" s="10">
        <v>490996</v>
      </c>
      <c r="F7412" s="4" t="str">
        <f>IF(B7412=B7411,"",B7412)</f>
        <v/>
      </c>
    </row>
    <row r="7413" spans="1:6" ht="15.75" customHeight="1">
      <c r="A7413" s="6" t="s">
        <v>25204</v>
      </c>
      <c r="B7413" s="6" t="s">
        <v>25204</v>
      </c>
      <c r="C7413" s="6" t="s">
        <v>25077</v>
      </c>
      <c r="D7413" s="6" t="s">
        <v>25081</v>
      </c>
      <c r="E7413" s="2">
        <v>2675397</v>
      </c>
      <c r="F7413" s="4" t="str">
        <f>IF(B7413=B7412,"",B7413)</f>
        <v>Solna</v>
      </c>
    </row>
    <row r="7414" spans="1:6" ht="15.75" customHeight="1">
      <c r="A7414" s="5" t="str">
        <f ca="1">IFERROR(__xludf.DUMMYFUNCTION("GOOGLETRANSLATE(B41143,""en"",""pt"")"),"Solna")</f>
        <v>Solna</v>
      </c>
      <c r="B7414" s="17" t="s">
        <v>25204</v>
      </c>
      <c r="C7414" s="17" t="s">
        <v>25077</v>
      </c>
      <c r="D7414" s="17" t="s">
        <v>25081</v>
      </c>
      <c r="E7414" s="10">
        <v>2675397</v>
      </c>
      <c r="F7414" s="4" t="str">
        <f>IF(B7414=B7413,"",B7414)</f>
        <v/>
      </c>
    </row>
    <row r="7415" spans="1:6" ht="15.75" customHeight="1">
      <c r="A7415" s="5" t="s">
        <v>25203</v>
      </c>
      <c r="B7415" s="6" t="s">
        <v>25203</v>
      </c>
      <c r="C7415" s="5" t="s">
        <v>25077</v>
      </c>
      <c r="D7415" s="5" t="s">
        <v>25081</v>
      </c>
      <c r="E7415" s="2">
        <v>2675408</v>
      </c>
      <c r="F7415" s="4" t="str">
        <f>IF(B7415=B7414,"",B7415)</f>
        <v>Sollentuna</v>
      </c>
    </row>
    <row r="7416" spans="1:6" ht="15.75" customHeight="1">
      <c r="A7416" s="5" t="str">
        <f ca="1">IFERROR(__xludf.DUMMYFUNCTION("GOOGLETRANSLATE(B41144,""en"",""pt"")"),"Sollentuna")</f>
        <v>Sollentuna</v>
      </c>
      <c r="B7416" s="17" t="s">
        <v>25203</v>
      </c>
      <c r="C7416" s="17" t="s">
        <v>25077</v>
      </c>
      <c r="D7416" s="17" t="s">
        <v>25081</v>
      </c>
      <c r="E7416" s="10">
        <v>2675408</v>
      </c>
      <c r="F7416" s="4" t="str">
        <f>IF(B7416=B7415,"",B7416)</f>
        <v/>
      </c>
    </row>
    <row r="7417" spans="1:6" ht="15.75" customHeight="1">
      <c r="A7417" s="6" t="s">
        <v>9143</v>
      </c>
      <c r="B7417" s="6" t="s">
        <v>9143</v>
      </c>
      <c r="C7417" s="6" t="s">
        <v>8028</v>
      </c>
      <c r="D7417" s="6" t="s">
        <v>8029</v>
      </c>
      <c r="E7417" s="2">
        <v>2831580</v>
      </c>
      <c r="F7417" s="4" t="str">
        <f>IF(B7417=B7416,"",B7417)</f>
        <v>Solingen</v>
      </c>
    </row>
    <row r="7418" spans="1:6" ht="15.75" customHeight="1">
      <c r="A7418" s="5" t="str">
        <f ca="1">IFERROR(__xludf.DUMMYFUNCTION("GOOGLETRANSLATE(B27520,""en"",""pt"")"),"Solingen")</f>
        <v>Solingen</v>
      </c>
      <c r="B7418" s="17" t="s">
        <v>9143</v>
      </c>
      <c r="C7418" s="17" t="s">
        <v>8028</v>
      </c>
      <c r="D7418" s="17" t="s">
        <v>8029</v>
      </c>
      <c r="E7418" s="10">
        <v>2831580</v>
      </c>
      <c r="F7418" s="4" t="str">
        <f>IF(B7418=B7417,"",B7418)</f>
        <v/>
      </c>
    </row>
    <row r="7419" spans="1:6" ht="15.75" customHeight="1">
      <c r="A7419" s="6" t="s">
        <v>5741</v>
      </c>
      <c r="B7419" s="6" t="s">
        <v>5741</v>
      </c>
      <c r="C7419" s="6" t="s">
        <v>5711</v>
      </c>
      <c r="D7419" s="6" t="s">
        <v>5742</v>
      </c>
      <c r="E7419" s="2">
        <v>3190359</v>
      </c>
      <c r="F7419" s="4" t="str">
        <f>IF(B7419=B7418,"",B7419)</f>
        <v>Solin</v>
      </c>
    </row>
    <row r="7420" spans="1:6" ht="15.75" customHeight="1">
      <c r="A7420" s="5" t="str">
        <f ca="1">IFERROR(__xludf.DUMMYFUNCTION("GOOGLETRANSLATE(B31196,""en"",""pt"")"),"Solin")</f>
        <v>Solin</v>
      </c>
      <c r="B7420" s="17" t="s">
        <v>5741</v>
      </c>
      <c r="C7420" s="17" t="s">
        <v>5711</v>
      </c>
      <c r="D7420" s="17" t="s">
        <v>5742</v>
      </c>
      <c r="E7420" s="10">
        <v>3190359</v>
      </c>
      <c r="F7420" s="4" t="str">
        <f>IF(B7420=B7419,"",B7420)</f>
        <v/>
      </c>
    </row>
    <row r="7421" spans="1:6" ht="15.75" customHeight="1">
      <c r="A7421" s="5" t="s">
        <v>23110</v>
      </c>
      <c r="B7421" s="6" t="s">
        <v>23110</v>
      </c>
      <c r="C7421" s="5" t="s">
        <v>22070</v>
      </c>
      <c r="D7421" s="5" t="s">
        <v>22115</v>
      </c>
      <c r="E7421" s="2">
        <v>491023</v>
      </c>
      <c r="F7421" s="4" t="str">
        <f>IF(B7421=B7420,"",B7421)</f>
        <v>Solikamsk</v>
      </c>
    </row>
    <row r="7422" spans="1:6" ht="15.75" customHeight="1">
      <c r="A7422" s="5" t="str">
        <f ca="1">IFERROR(__xludf.DUMMYFUNCTION("GOOGLETRANSLATE(B40081,""en"",""pt"")"),"Solikamsk")</f>
        <v>Solikamsk</v>
      </c>
      <c r="B7422" s="17" t="s">
        <v>23110</v>
      </c>
      <c r="C7422" s="17" t="s">
        <v>22070</v>
      </c>
      <c r="D7422" s="17" t="s">
        <v>22115</v>
      </c>
      <c r="E7422" s="10">
        <v>491023</v>
      </c>
      <c r="F7422" s="4" t="str">
        <f>IF(B7422=B7421,"",B7422)</f>
        <v/>
      </c>
    </row>
    <row r="7423" spans="1:6" ht="15.75" customHeight="1">
      <c r="A7423" s="6" t="s">
        <v>27681</v>
      </c>
      <c r="B7423" s="6" t="s">
        <v>27681</v>
      </c>
      <c r="C7423" s="6" t="s">
        <v>27234</v>
      </c>
      <c r="D7423" s="6" t="s">
        <v>27241</v>
      </c>
      <c r="E7423" s="2">
        <v>2637546</v>
      </c>
      <c r="F7423" s="4" t="str">
        <f>IF(B7423=B7422,"",B7423)</f>
        <v>Solihull</v>
      </c>
    </row>
    <row r="7424" spans="1:6" ht="15.75" customHeight="1">
      <c r="A7424" s="5" t="str">
        <f ca="1">IFERROR(__xludf.DUMMYFUNCTION("GOOGLETRANSLATE(B30400,""en"",""pt"")"),"Solihull")</f>
        <v>Solihull</v>
      </c>
      <c r="B7424" s="17" t="s">
        <v>27681</v>
      </c>
      <c r="C7424" s="17" t="s">
        <v>27234</v>
      </c>
      <c r="D7424" s="17" t="s">
        <v>27241</v>
      </c>
      <c r="E7424" s="10">
        <v>2637546</v>
      </c>
      <c r="F7424" s="4" t="str">
        <f>IF(B7424=B7423,"",B7424)</f>
        <v/>
      </c>
    </row>
    <row r="7425" spans="1:6" ht="15.75" customHeight="1">
      <c r="A7425" s="6" t="s">
        <v>26703</v>
      </c>
      <c r="B7425" s="6" t="s">
        <v>26703</v>
      </c>
      <c r="C7425" s="6" t="s">
        <v>26201</v>
      </c>
      <c r="D7425" s="6" t="s">
        <v>26405</v>
      </c>
      <c r="E7425" s="2">
        <v>300377</v>
      </c>
      <c r="F7425" s="4" t="str">
        <f>IF(B7425=B7424,"",B7425)</f>
        <v>Solhan</v>
      </c>
    </row>
    <row r="7426" spans="1:6" ht="15.75" customHeight="1">
      <c r="A7426" s="5" t="str">
        <f ca="1">IFERROR(__xludf.DUMMYFUNCTION("GOOGLETRANSLATE(B41893,""en"",""pt"")"),"Solhan")</f>
        <v>Solhan</v>
      </c>
      <c r="B7426" s="17" t="s">
        <v>26703</v>
      </c>
      <c r="C7426" s="17" t="s">
        <v>26201</v>
      </c>
      <c r="D7426" s="17" t="s">
        <v>35832</v>
      </c>
      <c r="E7426" s="10">
        <v>300377</v>
      </c>
      <c r="F7426" s="4" t="str">
        <f>IF(B7426=B7425,"",B7426)</f>
        <v/>
      </c>
    </row>
    <row r="7427" spans="1:6" ht="15.75" customHeight="1">
      <c r="A7427" s="6" t="s">
        <v>3497</v>
      </c>
      <c r="B7427" s="6" t="s">
        <v>3497</v>
      </c>
      <c r="C7427" s="6" t="s">
        <v>1905</v>
      </c>
      <c r="D7427" s="6" t="s">
        <v>1951</v>
      </c>
      <c r="E7427" s="2">
        <v>3447423</v>
      </c>
      <c r="F7427" s="4" t="str">
        <f>IF(B7427=B7426,"",B7427)</f>
        <v>Soledade</v>
      </c>
    </row>
    <row r="7428" spans="1:6" ht="15.75" customHeight="1">
      <c r="A7428" s="5" t="str">
        <f ca="1">IFERROR(__xludf.DUMMYFUNCTION("GOOGLETRANSLATE(B24514,""en"",""pt"")"),"Soledade")</f>
        <v>Soledade</v>
      </c>
      <c r="B7428" s="17" t="s">
        <v>3497</v>
      </c>
      <c r="C7428" s="17" t="s">
        <v>1905</v>
      </c>
      <c r="D7428" s="17" t="s">
        <v>1951</v>
      </c>
      <c r="E7428" s="10">
        <v>3447423</v>
      </c>
      <c r="F7428" s="4" t="str">
        <f>IF(B7428=B7427,"",B7428)</f>
        <v/>
      </c>
    </row>
    <row r="7429" spans="1:6" ht="15.75" customHeight="1">
      <c r="A7429" s="5" t="str">
        <f ca="1">IFERROR(__xludf.DUMMYFUNCTION("GOOGLETRANSLATE(B37179,""en"",""pt"")"),"Soledad Díez Gutiérrez")</f>
        <v>Soledad Díez Gutiérrez</v>
      </c>
      <c r="B7429" s="17" t="s">
        <v>34738</v>
      </c>
      <c r="C7429" s="17" t="s">
        <v>17707</v>
      </c>
      <c r="D7429" s="17" t="s">
        <v>34674</v>
      </c>
      <c r="E7429" s="10">
        <v>3982912</v>
      </c>
      <c r="F7429" s="4" t="str">
        <f>IF(B7429=B7428,"",B7429)</f>
        <v>Soledad Díez Gutiérrez</v>
      </c>
    </row>
    <row r="7430" spans="1:6" ht="15.75" customHeight="1">
      <c r="A7430" s="5" t="str">
        <f ca="1">IFERROR(__xludf.DUMMYFUNCTION("GOOGLETRANSLATE(B37359,""en"",""pt"")"),"Soledad de Graciano Sánchez")</f>
        <v>Soledad de Graciano Sánchez</v>
      </c>
      <c r="B7430" s="17" t="s">
        <v>34786</v>
      </c>
      <c r="C7430" s="17" t="s">
        <v>17707</v>
      </c>
      <c r="D7430" s="17" t="s">
        <v>34674</v>
      </c>
      <c r="E7430" s="10">
        <v>8858078</v>
      </c>
      <c r="F7430" s="4" t="str">
        <f>IF(B7430=B7429,"",B7430)</f>
        <v>Soledad de Graciano Sánchez</v>
      </c>
    </row>
    <row r="7431" spans="1:6" ht="15.75" customHeight="1">
      <c r="A7431" s="5" t="s">
        <v>18290</v>
      </c>
      <c r="B7431" s="6" t="s">
        <v>18291</v>
      </c>
      <c r="C7431" s="5" t="s">
        <v>17707</v>
      </c>
      <c r="D7431" s="5" t="s">
        <v>17802</v>
      </c>
      <c r="E7431" s="2">
        <v>8858078</v>
      </c>
      <c r="F7431" s="4" t="str">
        <f>IF(B7431=B7430,"",B7431)</f>
        <v>Soledad de Graciano SÃ¡nchez</v>
      </c>
    </row>
    <row r="7432" spans="1:6" ht="15.75" customHeight="1">
      <c r="A7432" s="5" t="s">
        <v>18288</v>
      </c>
      <c r="B7432" s="6" t="s">
        <v>18289</v>
      </c>
      <c r="C7432" s="5" t="s">
        <v>17707</v>
      </c>
      <c r="D7432" s="5" t="s">
        <v>17802</v>
      </c>
      <c r="E7432" s="2">
        <v>3982912</v>
      </c>
      <c r="F7432" s="4" t="str">
        <f>IF(B7432=B7431,"",B7432)</f>
        <v>Soledad DÃ­ez GutiÃ©rrez</v>
      </c>
    </row>
    <row r="7433" spans="1:6" ht="15.75" customHeight="1">
      <c r="A7433" s="6" t="s">
        <v>5621</v>
      </c>
      <c r="B7433" s="6" t="s">
        <v>5621</v>
      </c>
      <c r="C7433" s="6" t="s">
        <v>5348</v>
      </c>
      <c r="D7433" s="6" t="s">
        <v>5378</v>
      </c>
      <c r="E7433" s="2">
        <v>3667849</v>
      </c>
      <c r="F7433" s="4" t="str">
        <f>IF(B7433=B7432,"",B7433)</f>
        <v>Soledad</v>
      </c>
    </row>
    <row r="7434" spans="1:6" ht="15.75" customHeight="1">
      <c r="A7434" s="6" t="s">
        <v>5621</v>
      </c>
      <c r="B7434" s="6" t="s">
        <v>5621</v>
      </c>
      <c r="C7434" s="6" t="s">
        <v>27788</v>
      </c>
      <c r="D7434" s="6" t="s">
        <v>27801</v>
      </c>
      <c r="E7434" s="2">
        <v>5397018</v>
      </c>
      <c r="F7434" s="4" t="str">
        <f>IF(B7434=B7433,"",B7434)</f>
        <v/>
      </c>
    </row>
    <row r="7435" spans="1:6" ht="15.75" customHeight="1">
      <c r="A7435" s="5" t="str">
        <f ca="1">IFERROR(__xludf.DUMMYFUNCTION("GOOGLETRANSLATE(B26870,""en"",""pt"")"),"Soledad")</f>
        <v>Soledad</v>
      </c>
      <c r="B7435" s="17" t="s">
        <v>5621</v>
      </c>
      <c r="C7435" s="17" t="s">
        <v>5348</v>
      </c>
      <c r="D7435" s="17" t="s">
        <v>31843</v>
      </c>
      <c r="E7435" s="10">
        <v>3667849</v>
      </c>
      <c r="F7435" s="4" t="str">
        <f>IF(B7435=B7434,"",B7435)</f>
        <v/>
      </c>
    </row>
    <row r="7436" spans="1:6" ht="15.75" customHeight="1">
      <c r="A7436" s="5" t="str">
        <f ca="1">IFERROR(__xludf.DUMMYFUNCTION("GOOGLETRANSLATE(B45038,""en"",""pt"")"),"Soledad")</f>
        <v>Soledad</v>
      </c>
      <c r="B7436" s="17" t="s">
        <v>5621</v>
      </c>
      <c r="C7436" s="17" t="s">
        <v>27788</v>
      </c>
      <c r="D7436" s="17" t="s">
        <v>27801</v>
      </c>
      <c r="E7436" s="10">
        <v>5397018</v>
      </c>
      <c r="F7436" s="4" t="str">
        <f>IF(B7436=B7435,"",B7436)</f>
        <v/>
      </c>
    </row>
    <row r="7437" spans="1:6" ht="15.75" customHeight="1">
      <c r="A7437" s="5" t="s">
        <v>21500</v>
      </c>
      <c r="B7437" s="6" t="s">
        <v>21500</v>
      </c>
      <c r="C7437" s="5" t="s">
        <v>21064</v>
      </c>
      <c r="D7437" s="5" t="s">
        <v>21125</v>
      </c>
      <c r="E7437" s="2">
        <v>3085172</v>
      </c>
      <c r="F7437" s="4" t="str">
        <f>IF(B7437=B7436,"",B7437)</f>
        <v>Solec Kujawski</v>
      </c>
    </row>
    <row r="7438" spans="1:6" ht="15.75" customHeight="1">
      <c r="A7438" s="5" t="str">
        <f ca="1">IFERROR(__xludf.DUMMYFUNCTION("GOOGLETRANSLATE(B39352,""en"",""pt"")"),"Solec Kujawski")</f>
        <v>Solec Kujawski</v>
      </c>
      <c r="B7438" s="17" t="s">
        <v>21500</v>
      </c>
      <c r="C7438" s="17" t="s">
        <v>21064</v>
      </c>
      <c r="D7438" s="17" t="s">
        <v>21125</v>
      </c>
      <c r="E7438" s="10">
        <v>3085172</v>
      </c>
      <c r="F7438" s="4" t="str">
        <f>IF(B7438=B7437,"",B7438)</f>
        <v/>
      </c>
    </row>
    <row r="7439" spans="1:6" ht="15.75" customHeight="1">
      <c r="A7439" s="5" t="str">
        <f ca="1">IFERROR(__xludf.DUMMYFUNCTION("GOOGLETRANSLATE(B32163,""en"",""pt"")"),"Solāpur")</f>
        <v>Solāpur</v>
      </c>
      <c r="B7439" s="17" t="s">
        <v>33081</v>
      </c>
      <c r="C7439" s="17" t="s">
        <v>10178</v>
      </c>
      <c r="D7439" s="17" t="s">
        <v>10214</v>
      </c>
      <c r="E7439" s="10">
        <v>1256436</v>
      </c>
      <c r="F7439" s="4" t="str">
        <f>IF(B7439=B7438,"",B7439)</f>
        <v>Solāpur</v>
      </c>
    </row>
    <row r="7440" spans="1:6" ht="15.75" customHeight="1">
      <c r="A7440" s="6" t="s">
        <v>21015</v>
      </c>
      <c r="B7440" s="6" t="s">
        <v>21015</v>
      </c>
      <c r="C7440" s="6" t="s">
        <v>20598</v>
      </c>
      <c r="D7440" s="6" t="s">
        <v>20611</v>
      </c>
      <c r="E7440" s="2">
        <v>1685875</v>
      </c>
      <c r="F7440" s="4" t="str">
        <f>IF(B7440=B7439,"",B7440)</f>
        <v>Solano</v>
      </c>
    </row>
    <row r="7441" spans="1:6" ht="15.75" customHeight="1">
      <c r="A7441" s="5" t="str">
        <f ca="1">IFERROR(__xludf.DUMMYFUNCTION("GOOGLETRANSLATE(B38473,""en"",""pt"")"),"Solano")</f>
        <v>Solano</v>
      </c>
      <c r="B7441" s="17" t="s">
        <v>21015</v>
      </c>
      <c r="C7441" s="17" t="s">
        <v>20598</v>
      </c>
      <c r="D7441" s="17" t="s">
        <v>20611</v>
      </c>
      <c r="E7441" s="10">
        <v>1685875</v>
      </c>
      <c r="F7441" s="4" t="str">
        <f>IF(B7441=B7440,"",B7441)</f>
        <v/>
      </c>
    </row>
    <row r="7442" spans="1:6" ht="15.75" customHeight="1">
      <c r="A7442" s="5" t="str">
        <f ca="1">IFERROR(__xludf.DUMMYFUNCTION("GOOGLETRANSLATE(B24175,""en"",""pt"")"),"Solânea")</f>
        <v>Solânea</v>
      </c>
      <c r="B7442" s="17" t="s">
        <v>31356</v>
      </c>
      <c r="C7442" s="17" t="s">
        <v>1905</v>
      </c>
      <c r="D7442" s="17" t="s">
        <v>31343</v>
      </c>
      <c r="E7442" s="10">
        <v>3387266</v>
      </c>
      <c r="F7442" s="4" t="str">
        <f>IF(B7442=B7441,"",B7442)</f>
        <v>Solânea</v>
      </c>
    </row>
    <row r="7443" spans="1:6" ht="15.75" customHeight="1">
      <c r="A7443" s="6" t="s">
        <v>21014</v>
      </c>
      <c r="B7443" s="6" t="s">
        <v>21014</v>
      </c>
      <c r="C7443" s="6" t="s">
        <v>20598</v>
      </c>
      <c r="D7443" s="6" t="s">
        <v>20611</v>
      </c>
      <c r="E7443" s="2">
        <v>1685880</v>
      </c>
      <c r="F7443" s="4" t="str">
        <f>IF(B7443=B7442,"",B7443)</f>
        <v>Solana</v>
      </c>
    </row>
    <row r="7444" spans="1:6" ht="15.75" customHeight="1">
      <c r="A7444" s="5" t="str">
        <f ca="1">IFERROR(__xludf.DUMMYFUNCTION("GOOGLETRANSLATE(B38474,""en"",""pt"")"),"Solana")</f>
        <v>Solana</v>
      </c>
      <c r="B7444" s="17" t="s">
        <v>21014</v>
      </c>
      <c r="C7444" s="17" t="s">
        <v>20598</v>
      </c>
      <c r="D7444" s="17" t="s">
        <v>20611</v>
      </c>
      <c r="E7444" s="10">
        <v>1685880</v>
      </c>
      <c r="F7444" s="4" t="str">
        <f>IF(B7444=B7443,"",B7444)</f>
        <v/>
      </c>
    </row>
    <row r="7445" spans="1:6" ht="15.75" customHeight="1">
      <c r="A7445" s="6" t="s">
        <v>13418</v>
      </c>
      <c r="B7445" s="6" t="s">
        <v>13418</v>
      </c>
      <c r="C7445" s="6" t="s">
        <v>10178</v>
      </c>
      <c r="D7445" s="6" t="s">
        <v>10538</v>
      </c>
      <c r="E7445" s="2">
        <v>1255850</v>
      </c>
      <c r="F7445" s="4" t="str">
        <f>IF(B7445=B7444,"",B7445)</f>
        <v>Solan</v>
      </c>
    </row>
    <row r="7446" spans="1:6" ht="15.75" customHeight="1">
      <c r="A7446" s="5" t="str">
        <f ca="1">IFERROR(__xludf.DUMMYFUNCTION("GOOGLETRANSLATE(B32099,""en"",""pt"")"),"Solan")</f>
        <v>Solan</v>
      </c>
      <c r="B7446" s="17" t="s">
        <v>13418</v>
      </c>
      <c r="C7446" s="17" t="s">
        <v>10178</v>
      </c>
      <c r="D7446" s="17" t="s">
        <v>10538</v>
      </c>
      <c r="E7446" s="10">
        <v>1255850</v>
      </c>
      <c r="F7446" s="4" t="str">
        <f>IF(B7446=B7445,"",B7446)</f>
        <v/>
      </c>
    </row>
    <row r="7447" spans="1:6" ht="15.75" customHeight="1">
      <c r="A7447" s="6" t="s">
        <v>13416</v>
      </c>
      <c r="B7447" s="6" t="s">
        <v>13417</v>
      </c>
      <c r="C7447" s="6" t="s">
        <v>10178</v>
      </c>
      <c r="D7447" s="6" t="s">
        <v>10214</v>
      </c>
      <c r="E7447" s="2">
        <v>1256436</v>
      </c>
      <c r="F7447" s="4" t="str">
        <f>IF(B7447=B7446,"",B7447)</f>
        <v>SolÄpur</v>
      </c>
    </row>
    <row r="7448" spans="1:6" ht="15.75" customHeight="1">
      <c r="A7448" s="5" t="s">
        <v>23108</v>
      </c>
      <c r="B7448" s="6" t="s">
        <v>23109</v>
      </c>
      <c r="C7448" s="5" t="s">
        <v>22070</v>
      </c>
      <c r="D7448" s="5" t="s">
        <v>22075</v>
      </c>
      <c r="E7448" s="2">
        <v>491019</v>
      </c>
      <c r="F7448" s="4" t="str">
        <f>IF(B7448=B7447,"",B7448)</f>
        <v>Solâ€™-Iletsk</v>
      </c>
    </row>
    <row r="7449" spans="1:6" ht="15.75" customHeight="1">
      <c r="A7449" s="6" t="s">
        <v>3495</v>
      </c>
      <c r="B7449" s="6" t="s">
        <v>3496</v>
      </c>
      <c r="C7449" s="6" t="s">
        <v>1905</v>
      </c>
      <c r="D7449" s="6" t="s">
        <v>1944</v>
      </c>
      <c r="E7449" s="2">
        <v>3387266</v>
      </c>
      <c r="F7449" s="4" t="str">
        <f>IF(B7449=B7448,"",B7449)</f>
        <v>SolÃ¢nea</v>
      </c>
    </row>
    <row r="7450" spans="1:6" ht="15.75" customHeight="1">
      <c r="A7450" s="5" t="str">
        <f ca="1">IFERROR(__xludf.DUMMYFUNCTION("GOOGLETRANSLATE(B40080,""en"",""pt"")"),"Sol'-iletsk")</f>
        <v>Sol'-iletsk</v>
      </c>
      <c r="B7450" s="17" t="s">
        <v>35452</v>
      </c>
      <c r="C7450" s="17" t="s">
        <v>22070</v>
      </c>
      <c r="D7450" s="17" t="s">
        <v>22075</v>
      </c>
      <c r="E7450" s="10">
        <v>491019</v>
      </c>
      <c r="F7450" s="4" t="str">
        <f>IF(B7450=B7449,"",B7450)</f>
        <v>Sol’-Iletsk</v>
      </c>
    </row>
    <row r="7451" spans="1:6" ht="15.75" customHeight="1">
      <c r="A7451" s="6" t="s">
        <v>19416</v>
      </c>
      <c r="B7451" s="6" t="s">
        <v>19416</v>
      </c>
      <c r="C7451" s="6" t="s">
        <v>19294</v>
      </c>
      <c r="D7451" s="6" t="s">
        <v>19416</v>
      </c>
      <c r="E7451" s="2">
        <v>2322911</v>
      </c>
      <c r="F7451" s="4" t="str">
        <f>IF(B7451=B7450,"",B7451)</f>
        <v>Sokoto</v>
      </c>
    </row>
    <row r="7452" spans="1:6" ht="15.75" customHeight="1">
      <c r="A7452" s="5" t="str">
        <f ca="1">IFERROR(__xludf.DUMMYFUNCTION("GOOGLETRANSLATE(B37628,""en"",""pt"")"),"Sokoto")</f>
        <v>Sokoto</v>
      </c>
      <c r="B7452" s="17" t="s">
        <v>19416</v>
      </c>
      <c r="C7452" s="17" t="s">
        <v>19294</v>
      </c>
      <c r="D7452" s="17" t="s">
        <v>19416</v>
      </c>
      <c r="E7452" s="10">
        <v>2322911</v>
      </c>
      <c r="F7452" s="4" t="str">
        <f>IF(B7452=B7451,"",B7452)</f>
        <v/>
      </c>
    </row>
    <row r="7453" spans="1:6" ht="15.75" customHeight="1">
      <c r="A7453" s="6" t="s">
        <v>25742</v>
      </c>
      <c r="B7453" s="6" t="s">
        <v>25742</v>
      </c>
      <c r="C7453" s="6" t="s">
        <v>25560</v>
      </c>
      <c r="D7453" s="6" t="s">
        <v>25743</v>
      </c>
      <c r="E7453" s="2">
        <v>149812</v>
      </c>
      <c r="F7453" s="4" t="str">
        <f>IF(B7453=B7452,"",B7453)</f>
        <v>Sokoni</v>
      </c>
    </row>
    <row r="7454" spans="1:6" ht="15.75" customHeight="1">
      <c r="A7454" s="5" t="str">
        <f ca="1">IFERROR(__xludf.DUMMYFUNCTION("GOOGLETRANSLATE(B42302,""en"",""pt"")"),"Sokoni")</f>
        <v>Sokoni</v>
      </c>
      <c r="B7454" s="17" t="s">
        <v>25742</v>
      </c>
      <c r="C7454" s="17" t="s">
        <v>25560</v>
      </c>
      <c r="D7454" s="17" t="s">
        <v>25743</v>
      </c>
      <c r="E7454" s="10">
        <v>149812</v>
      </c>
      <c r="F7454" s="4" t="str">
        <f>IF(B7454=B7453,"",B7454)</f>
        <v/>
      </c>
    </row>
    <row r="7455" spans="1:6" ht="15.75" customHeight="1">
      <c r="A7455" s="5" t="str">
        <f ca="1">IFERROR(__xludf.DUMMYFUNCTION("GOOGLETRANSLATE(B39203,""en"",""pt"")"),"Sokołów Podlaski")</f>
        <v>Sokołów Podlaski</v>
      </c>
      <c r="B7455" s="17" t="s">
        <v>35081</v>
      </c>
      <c r="C7455" s="17" t="s">
        <v>21064</v>
      </c>
      <c r="D7455" s="17" t="s">
        <v>21070</v>
      </c>
      <c r="E7455" s="10">
        <v>758626</v>
      </c>
      <c r="F7455" s="4" t="str">
        <f>IF(B7455=B7454,"",B7455)</f>
        <v>Sokołów Podlaski</v>
      </c>
    </row>
    <row r="7456" spans="1:6" ht="15.75" customHeight="1">
      <c r="A7456" s="6" t="s">
        <v>6100</v>
      </c>
      <c r="B7456" s="6" t="s">
        <v>6100</v>
      </c>
      <c r="C7456" s="6" t="s">
        <v>5947</v>
      </c>
      <c r="D7456" s="6" t="s">
        <v>5998</v>
      </c>
      <c r="E7456" s="2">
        <v>3065617</v>
      </c>
      <c r="F7456" s="4" t="str">
        <f>IF(B7456=B7455,"",B7456)</f>
        <v>Sokolov</v>
      </c>
    </row>
    <row r="7457" spans="1:6" ht="15.75" customHeight="1">
      <c r="A7457" s="5" t="str">
        <f ca="1">IFERROR(__xludf.DUMMYFUNCTION("GOOGLETRANSLATE(B27265,""en"",""pt"")"),"Sokolov")</f>
        <v>Sokolov</v>
      </c>
      <c r="B7457" s="17" t="s">
        <v>6100</v>
      </c>
      <c r="C7457" s="17" t="s">
        <v>5947</v>
      </c>
      <c r="D7457" s="17" t="s">
        <v>31959</v>
      </c>
      <c r="E7457" s="10">
        <v>3065617</v>
      </c>
      <c r="F7457" s="4" t="str">
        <f>IF(B7457=B7456,"",B7457)</f>
        <v/>
      </c>
    </row>
    <row r="7458" spans="1:6" ht="15.75" customHeight="1">
      <c r="A7458" s="5" t="str">
        <f ca="1">IFERROR(__xludf.DUMMYFUNCTION("GOOGLETRANSLATE(B39204,""en"",""pt"")"),"Sokółka")</f>
        <v>Sokółka</v>
      </c>
      <c r="B7458" s="17" t="s">
        <v>35082</v>
      </c>
      <c r="C7458" s="17" t="s">
        <v>21064</v>
      </c>
      <c r="D7458" s="17" t="s">
        <v>21086</v>
      </c>
      <c r="E7458" s="10">
        <v>758651</v>
      </c>
      <c r="F7458" s="4" t="str">
        <f>IF(B7458=B7457,"",B7458)</f>
        <v>Sokółka</v>
      </c>
    </row>
    <row r="7459" spans="1:6" ht="15.75" customHeight="1">
      <c r="A7459" s="5" t="s">
        <v>23106</v>
      </c>
      <c r="B7459" s="6" t="s">
        <v>23107</v>
      </c>
      <c r="C7459" s="5" t="s">
        <v>22070</v>
      </c>
      <c r="D7459" s="5" t="s">
        <v>22127</v>
      </c>
      <c r="E7459" s="2">
        <v>491250</v>
      </c>
      <c r="F7459" s="4" t="str">
        <f>IF(B7459=B7458,"",B7459)</f>
        <v>Sokolâ€™niki</v>
      </c>
    </row>
    <row r="7460" spans="1:6" ht="15.75" customHeight="1">
      <c r="A7460" s="5" t="str">
        <f ca="1">IFERROR(__xludf.DUMMYFUNCTION("GOOGLETRANSLATE(B40082,""en"",""pt"")"),"Sokol'niki")</f>
        <v>Sokol'niki</v>
      </c>
      <c r="B7460" s="17" t="s">
        <v>35453</v>
      </c>
      <c r="C7460" s="17" t="s">
        <v>22070</v>
      </c>
      <c r="D7460" s="17" t="s">
        <v>22127</v>
      </c>
      <c r="E7460" s="10">
        <v>491250</v>
      </c>
      <c r="F7460" s="4" t="str">
        <f>IF(B7460=B7459,"",B7460)</f>
        <v>Sokol’niki</v>
      </c>
    </row>
    <row r="7461" spans="1:6" ht="15.75" customHeight="1">
      <c r="A7461" s="6" t="s">
        <v>23105</v>
      </c>
      <c r="B7461" s="6" t="s">
        <v>23105</v>
      </c>
      <c r="C7461" s="6" t="s">
        <v>22070</v>
      </c>
      <c r="D7461" s="6" t="s">
        <v>22127</v>
      </c>
      <c r="E7461" s="2">
        <v>491280</v>
      </c>
      <c r="F7461" s="4" t="str">
        <f>IF(B7461=B7460,"",B7461)</f>
        <v>Sokol</v>
      </c>
    </row>
    <row r="7462" spans="1:6" ht="15.75" customHeight="1">
      <c r="A7462" s="6" t="s">
        <v>23105</v>
      </c>
      <c r="B7462" s="6" t="s">
        <v>23105</v>
      </c>
      <c r="C7462" s="6" t="s">
        <v>22070</v>
      </c>
      <c r="D7462" s="6" t="s">
        <v>22300</v>
      </c>
      <c r="E7462" s="2">
        <v>491281</v>
      </c>
      <c r="F7462" s="4" t="str">
        <f>IF(B7462=B7461,"",B7462)</f>
        <v/>
      </c>
    </row>
    <row r="7463" spans="1:6" ht="15.75" customHeight="1">
      <c r="A7463" s="5" t="str">
        <f ca="1">IFERROR(__xludf.DUMMYFUNCTION("GOOGLETRANSLATE(B40083,""en"",""pt"")"),"Sokol")</f>
        <v>Sokol</v>
      </c>
      <c r="B7463" s="17" t="s">
        <v>23105</v>
      </c>
      <c r="C7463" s="17" t="s">
        <v>22070</v>
      </c>
      <c r="D7463" s="17" t="s">
        <v>22127</v>
      </c>
      <c r="E7463" s="10">
        <v>491280</v>
      </c>
      <c r="F7463" s="4" t="str">
        <f>IF(B7463=B7462,"",B7463)</f>
        <v/>
      </c>
    </row>
    <row r="7464" spans="1:6" ht="15.75" customHeight="1">
      <c r="A7464" s="5" t="str">
        <f ca="1">IFERROR(__xludf.DUMMYFUNCTION("GOOGLETRANSLATE(B40084,""en"",""pt"")"),"Sokol")</f>
        <v>Sokol</v>
      </c>
      <c r="B7464" s="17" t="s">
        <v>23105</v>
      </c>
      <c r="C7464" s="17" t="s">
        <v>22070</v>
      </c>
      <c r="D7464" s="17" t="s">
        <v>22300</v>
      </c>
      <c r="E7464" s="10">
        <v>491281</v>
      </c>
      <c r="F7464" s="4" t="str">
        <f>IF(B7464=B7463,"",B7464)</f>
        <v/>
      </c>
    </row>
    <row r="7465" spans="1:6" ht="15.75" customHeight="1">
      <c r="A7465" s="5" t="str">
        <f ca="1">IFERROR(__xludf.DUMMYFUNCTION("GOOGLETRANSLATE(B41498,""en"",""pt"")"),"Sokodé")</f>
        <v>Sokodé</v>
      </c>
      <c r="B7465" s="17" t="s">
        <v>26057</v>
      </c>
      <c r="C7465" s="17" t="s">
        <v>26038</v>
      </c>
      <c r="D7465" s="17" t="s">
        <v>26059</v>
      </c>
      <c r="E7465" s="10">
        <v>2364104</v>
      </c>
      <c r="F7465" s="4" t="str">
        <f>IF(B7465=B7464,"",B7465)</f>
        <v>Sokodé</v>
      </c>
    </row>
    <row r="7466" spans="1:6" ht="15.75" customHeight="1">
      <c r="A7466" s="6" t="s">
        <v>26057</v>
      </c>
      <c r="B7466" s="6" t="s">
        <v>26058</v>
      </c>
      <c r="C7466" s="6" t="s">
        <v>26038</v>
      </c>
      <c r="D7466" s="6" t="s">
        <v>26059</v>
      </c>
      <c r="E7466" s="2">
        <v>2364104</v>
      </c>
      <c r="F7466" s="4" t="str">
        <f>IF(B7466=B7465,"",B7466)</f>
        <v>SokodÃ©</v>
      </c>
    </row>
    <row r="7467" spans="1:6" ht="15.75" customHeight="1">
      <c r="A7467" s="5" t="s">
        <v>21498</v>
      </c>
      <c r="B7467" s="6" t="s">
        <v>21499</v>
      </c>
      <c r="C7467" s="5" t="s">
        <v>21064</v>
      </c>
      <c r="D7467" s="5" t="s">
        <v>21070</v>
      </c>
      <c r="E7467" s="2">
        <v>758626</v>
      </c>
      <c r="F7467" s="4" t="str">
        <f>IF(B7467=B7466,"",B7467)</f>
        <v>SokoÅ‚Ã³w Podlaski</v>
      </c>
    </row>
    <row r="7468" spans="1:6" ht="15.75" customHeight="1">
      <c r="A7468" s="6" t="s">
        <v>14168</v>
      </c>
      <c r="B7468" s="6" t="s">
        <v>14168</v>
      </c>
      <c r="C7468" s="6" t="s">
        <v>13800</v>
      </c>
      <c r="D7468" s="6" t="s">
        <v>13816</v>
      </c>
      <c r="E7468" s="2">
        <v>1626673</v>
      </c>
      <c r="F7468" s="4" t="str">
        <f>IF(B7468=B7467,"",B7468)</f>
        <v>Soko</v>
      </c>
    </row>
    <row r="7469" spans="1:6" ht="15.75" customHeight="1">
      <c r="A7469" s="5" t="str">
        <f ca="1">IFERROR(__xludf.DUMMYFUNCTION("GOOGLETRANSLATE(B31440,""en"",""pt"")"),"Soko")</f>
        <v>Soko</v>
      </c>
      <c r="B7469" s="17" t="s">
        <v>14168</v>
      </c>
      <c r="C7469" s="17" t="s">
        <v>13800</v>
      </c>
      <c r="D7469" s="17" t="s">
        <v>13816</v>
      </c>
      <c r="E7469" s="10">
        <v>1626673</v>
      </c>
      <c r="F7469" s="4" t="str">
        <f>IF(B7469=B7468,"",B7469)</f>
        <v/>
      </c>
    </row>
    <row r="7470" spans="1:6" ht="15.75" customHeight="1">
      <c r="A7470" s="6" t="s">
        <v>8013</v>
      </c>
      <c r="B7470" s="6" t="s">
        <v>8013</v>
      </c>
      <c r="C7470" s="6" t="s">
        <v>7988</v>
      </c>
      <c r="D7470" s="6" t="s">
        <v>8002</v>
      </c>
      <c r="E7470" s="2">
        <v>611847</v>
      </c>
      <c r="F7470" s="4" t="str">
        <f>IF(B7470=B7469,"",B7470)</f>
        <v>Sokhumi</v>
      </c>
    </row>
    <row r="7471" spans="1:6" ht="15.75" customHeight="1">
      <c r="A7471" s="5" t="str">
        <f ca="1">IFERROR(__xludf.DUMMYFUNCTION("GOOGLETRANSLATE(B30834,""en"",""pt"")"),"Sokhumi")</f>
        <v>Sokhumi</v>
      </c>
      <c r="B7471" s="17" t="s">
        <v>8013</v>
      </c>
      <c r="C7471" s="17" t="s">
        <v>7988</v>
      </c>
      <c r="D7471" s="17" t="s">
        <v>8002</v>
      </c>
      <c r="E7471" s="10">
        <v>611847</v>
      </c>
      <c r="F7471" s="4" t="str">
        <f>IF(B7471=B7470,"",B7471)</f>
        <v/>
      </c>
    </row>
    <row r="7472" spans="1:6" ht="15.75" customHeight="1">
      <c r="A7472" s="5" t="str">
        <f ca="1">IFERROR(__xludf.DUMMYFUNCTION("GOOGLETRANSLATE(B41894,""en"",""pt"")"),"Söke")</f>
        <v>Söke</v>
      </c>
      <c r="B7472" s="17" t="s">
        <v>35833</v>
      </c>
      <c r="C7472" s="17" t="s">
        <v>26201</v>
      </c>
      <c r="D7472" s="17" t="s">
        <v>35816</v>
      </c>
      <c r="E7472" s="10">
        <v>300399</v>
      </c>
      <c r="F7472" s="4" t="str">
        <f>IF(B7472=B7471,"",B7472)</f>
        <v>Söke</v>
      </c>
    </row>
    <row r="7473" spans="1:6" ht="15.75" customHeight="1">
      <c r="A7473" s="6" t="s">
        <v>24144</v>
      </c>
      <c r="B7473" s="6" t="s">
        <v>24144</v>
      </c>
      <c r="C7473" s="6" t="s">
        <v>24024</v>
      </c>
      <c r="D7473" s="6" t="s">
        <v>24054</v>
      </c>
      <c r="E7473" s="2">
        <v>1836553</v>
      </c>
      <c r="F7473" s="4" t="str">
        <f>IF(B7473=B7472,"",B7473)</f>
        <v>Sokcho</v>
      </c>
    </row>
    <row r="7474" spans="1:6" ht="15.75" customHeight="1">
      <c r="A7474" s="5" t="str">
        <f ca="1">IFERROR(__xludf.DUMMYFUNCTION("GOOGLETRANSLATE(B36076,""en"",""pt"")"),"Sokcho")</f>
        <v>Sokcho</v>
      </c>
      <c r="B7474" s="17" t="s">
        <v>24144</v>
      </c>
      <c r="C7474" s="17" t="s">
        <v>24024</v>
      </c>
      <c r="D7474" s="17" t="s">
        <v>24054</v>
      </c>
      <c r="E7474" s="10">
        <v>1836553</v>
      </c>
      <c r="F7474" s="4" t="str">
        <f>IF(B7474=B7473,"",B7474)</f>
        <v/>
      </c>
    </row>
    <row r="7475" spans="1:6" ht="15.75" customHeight="1">
      <c r="A7475" s="6" t="s">
        <v>14167</v>
      </c>
      <c r="B7475" s="6" t="s">
        <v>14167</v>
      </c>
      <c r="C7475" s="6" t="s">
        <v>13800</v>
      </c>
      <c r="D7475" s="6" t="s">
        <v>13803</v>
      </c>
      <c r="E7475" s="2">
        <v>1626312</v>
      </c>
      <c r="F7475" s="4" t="str">
        <f>IF(B7475=B7474,"",B7475)</f>
        <v>Sokaraja</v>
      </c>
    </row>
    <row r="7476" spans="1:6" ht="15.75" customHeight="1">
      <c r="A7476" s="5" t="str">
        <f ca="1">IFERROR(__xludf.DUMMYFUNCTION("GOOGLETRANSLATE(B31432,""en"",""pt"")"),"Sokaraja")</f>
        <v>Sokaraja</v>
      </c>
      <c r="B7476" s="17" t="s">
        <v>14167</v>
      </c>
      <c r="C7476" s="17" t="s">
        <v>13800</v>
      </c>
      <c r="D7476" s="17" t="s">
        <v>13803</v>
      </c>
      <c r="E7476" s="10">
        <v>1626312</v>
      </c>
      <c r="F7476" s="4" t="str">
        <f>IF(B7476=B7475,"",B7476)</f>
        <v/>
      </c>
    </row>
    <row r="7477" spans="1:6" ht="15.75" customHeight="1">
      <c r="A7477" s="6" t="s">
        <v>27147</v>
      </c>
      <c r="B7477" s="6" t="s">
        <v>27148</v>
      </c>
      <c r="C7477" s="6" t="s">
        <v>26870</v>
      </c>
      <c r="D7477" s="6" t="s">
        <v>26916</v>
      </c>
      <c r="E7477" s="2">
        <v>693301</v>
      </c>
      <c r="F7477" s="4" t="str">
        <f>IF(B7477=B7476,"",B7477)</f>
        <v>Sokalâ€™</v>
      </c>
    </row>
    <row r="7478" spans="1:6" ht="15.75" customHeight="1">
      <c r="A7478" s="5" t="str">
        <f ca="1">IFERROR(__xludf.DUMMYFUNCTION("GOOGLETRANSLATE(B42517,""en"",""pt"")"),"Sokal '")</f>
        <v>Sokal '</v>
      </c>
      <c r="B7478" s="17" t="s">
        <v>35993</v>
      </c>
      <c r="C7478" s="17" t="s">
        <v>26870</v>
      </c>
      <c r="D7478" s="17" t="s">
        <v>26916</v>
      </c>
      <c r="E7478" s="10">
        <v>693301</v>
      </c>
      <c r="F7478" s="4" t="str">
        <f>IF(B7478=B7477,"",B7478)</f>
        <v>Sokal’</v>
      </c>
    </row>
    <row r="7479" spans="1:6" ht="15.75" customHeight="1">
      <c r="A7479" s="5" t="s">
        <v>21496</v>
      </c>
      <c r="B7479" s="6" t="s">
        <v>21497</v>
      </c>
      <c r="C7479" s="5" t="s">
        <v>21064</v>
      </c>
      <c r="D7479" s="5" t="s">
        <v>21086</v>
      </c>
      <c r="E7479" s="2">
        <v>758651</v>
      </c>
      <c r="F7479" s="4" t="str">
        <f>IF(B7479=B7478,"",B7479)</f>
        <v>SokÃ³Å‚ka</v>
      </c>
    </row>
    <row r="7480" spans="1:6" ht="15.75" customHeight="1">
      <c r="A7480" s="5" t="str">
        <f ca="1">IFERROR(__xludf.DUMMYFUNCTION("GOOGLETRANSLATE(B35283,""en"",""pt"")"),"Sōka")</f>
        <v>Sōka</v>
      </c>
      <c r="B7480" s="17" t="s">
        <v>34306</v>
      </c>
      <c r="C7480" s="17" t="s">
        <v>15704</v>
      </c>
      <c r="D7480" s="17" t="s">
        <v>15710</v>
      </c>
      <c r="E7480" s="10">
        <v>1851604</v>
      </c>
      <c r="F7480" s="4" t="str">
        <f>IF(B7480=B7479,"",B7480)</f>
        <v>Sōka</v>
      </c>
    </row>
    <row r="7481" spans="1:6" ht="15.75" customHeight="1">
      <c r="A7481" s="5" t="str">
        <f ca="1">IFERROR(__xludf.DUMMYFUNCTION("GOOGLETRANSLATE(B32100,""en"",""pt"")"),"Sojītra")</f>
        <v>Sojītra</v>
      </c>
      <c r="B7481" s="17" t="s">
        <v>33055</v>
      </c>
      <c r="C7481" s="17" t="s">
        <v>10178</v>
      </c>
      <c r="D7481" s="17" t="s">
        <v>10209</v>
      </c>
      <c r="E7481" s="10">
        <v>1255858</v>
      </c>
      <c r="F7481" s="4" t="str">
        <f>IF(B7481=B7480,"",B7481)</f>
        <v>Sojītra</v>
      </c>
    </row>
    <row r="7482" spans="1:6" ht="15.75" customHeight="1">
      <c r="A7482" s="6" t="s">
        <v>13415</v>
      </c>
      <c r="B7482" s="6" t="s">
        <v>13415</v>
      </c>
      <c r="C7482" s="6" t="s">
        <v>10178</v>
      </c>
      <c r="D7482" s="6" t="s">
        <v>10179</v>
      </c>
      <c r="E7482" s="2">
        <v>1255860</v>
      </c>
      <c r="F7482" s="4" t="str">
        <f>IF(B7482=B7481,"",B7482)</f>
        <v>Sojat</v>
      </c>
    </row>
    <row r="7483" spans="1:6" ht="15.75" customHeight="1">
      <c r="A7483" s="5" t="str">
        <f ca="1">IFERROR(__xludf.DUMMYFUNCTION("GOOGLETRANSLATE(B32101,""en"",""pt"")"),"Sojat")</f>
        <v>Sojat</v>
      </c>
      <c r="B7483" s="17" t="s">
        <v>13415</v>
      </c>
      <c r="C7483" s="17" t="s">
        <v>10178</v>
      </c>
      <c r="D7483" s="17" t="s">
        <v>10179</v>
      </c>
      <c r="E7483" s="10">
        <v>1255860</v>
      </c>
      <c r="F7483" s="4" t="str">
        <f>IF(B7483=B7482,"",B7483)</f>
        <v/>
      </c>
    </row>
    <row r="7484" spans="1:6" ht="15.75" customHeight="1">
      <c r="A7484" s="6" t="s">
        <v>13413</v>
      </c>
      <c r="B7484" s="6" t="s">
        <v>13414</v>
      </c>
      <c r="C7484" s="6" t="s">
        <v>10178</v>
      </c>
      <c r="D7484" s="6" t="s">
        <v>10209</v>
      </c>
      <c r="E7484" s="2">
        <v>1255858</v>
      </c>
      <c r="F7484" s="4" t="str">
        <f>IF(B7484=B7483,"",B7484)</f>
        <v>SojÄ«tra</v>
      </c>
    </row>
    <row r="7485" spans="1:6" ht="15.75" customHeight="1">
      <c r="A7485" s="5" t="str">
        <f ca="1">IFERROR(__xludf.DUMMYFUNCTION("GOOGLETRANSLATE(B35284,""en"",""pt"")"),"Sōja")</f>
        <v>Sōja</v>
      </c>
      <c r="B7485" s="17" t="s">
        <v>34307</v>
      </c>
      <c r="C7485" s="17" t="s">
        <v>15704</v>
      </c>
      <c r="D7485" s="17" t="s">
        <v>15981</v>
      </c>
      <c r="E7485" s="10">
        <v>1851606</v>
      </c>
      <c r="F7485" s="4" t="str">
        <f>IF(B7485=B7484,"",B7485)</f>
        <v>Sōja</v>
      </c>
    </row>
    <row r="7486" spans="1:6" ht="15.75" customHeight="1">
      <c r="A7486" s="5" t="s">
        <v>7829</v>
      </c>
      <c r="B7486" s="6" t="s">
        <v>7830</v>
      </c>
      <c r="C7486" s="5" t="s">
        <v>7052</v>
      </c>
      <c r="D7486" s="5" t="s">
        <v>7058</v>
      </c>
      <c r="E7486" s="2">
        <v>2974385</v>
      </c>
      <c r="F7486" s="4" t="str">
        <f>IF(B7486=B7485,"",B7486)</f>
        <v>Soisy-sous-Montmorency</v>
      </c>
    </row>
    <row r="7487" spans="1:6" ht="15.75" customHeight="1">
      <c r="A7487" s="5" t="str">
        <f ca="1">IFERROR(__xludf.DUMMYFUNCTION("GOOGLETRANSLATE(B29748,""en"",""pt"")"),"SOISY-SOUS-MONTMORANCE")</f>
        <v>SOISY-SOUS-MONTMORANCE</v>
      </c>
      <c r="B7487" s="17" t="s">
        <v>7830</v>
      </c>
      <c r="C7487" s="17" t="s">
        <v>7052</v>
      </c>
      <c r="D7487" s="17" t="s">
        <v>32531</v>
      </c>
      <c r="E7487" s="10">
        <v>2974385</v>
      </c>
      <c r="F7487" s="4" t="str">
        <f>IF(B7487=B7486,"",B7487)</f>
        <v/>
      </c>
    </row>
    <row r="7488" spans="1:6" ht="15.75" customHeight="1">
      <c r="A7488" s="5" t="s">
        <v>7827</v>
      </c>
      <c r="B7488" s="6" t="s">
        <v>7828</v>
      </c>
      <c r="C7488" s="5" t="s">
        <v>7052</v>
      </c>
      <c r="D7488" s="5" t="s">
        <v>7078</v>
      </c>
      <c r="E7488" s="2">
        <v>2974389</v>
      </c>
      <c r="F7488" s="4" t="str">
        <f>IF(B7488=B7487,"",B7488)</f>
        <v>Soissons</v>
      </c>
    </row>
    <row r="7489" spans="1:6" ht="15.75" customHeight="1">
      <c r="A7489" s="5" t="str">
        <f ca="1">IFERROR(__xludf.DUMMYFUNCTION("GOOGLETRANSLATE(B29749,""en"",""pt"")"),"SOISSONS")</f>
        <v>SOISSONS</v>
      </c>
      <c r="B7489" s="17" t="s">
        <v>7828</v>
      </c>
      <c r="C7489" s="17" t="s">
        <v>7052</v>
      </c>
      <c r="D7489" s="17" t="s">
        <v>7078</v>
      </c>
      <c r="E7489" s="10">
        <v>2974389</v>
      </c>
      <c r="F7489" s="4" t="str">
        <f>IF(B7489=B7488,"",B7489)</f>
        <v/>
      </c>
    </row>
    <row r="7490" spans="1:6" ht="15.75" customHeight="1">
      <c r="A7490" s="6" t="s">
        <v>543</v>
      </c>
      <c r="B7490" s="6" t="s">
        <v>543</v>
      </c>
      <c r="C7490" s="6" t="s">
        <v>507</v>
      </c>
      <c r="D7490" s="6" t="s">
        <v>533</v>
      </c>
      <c r="E7490" s="2">
        <v>2236967</v>
      </c>
      <c r="F7490" s="4" t="str">
        <f>IF(B7490=B7489,"",B7490)</f>
        <v>Soio</v>
      </c>
    </row>
    <row r="7491" spans="1:6" ht="15.75" customHeight="1">
      <c r="A7491" s="5" t="str">
        <f ca="1">IFERROR(__xludf.DUMMYFUNCTION("GOOGLETRANSLATE(B23145,""en"",""pt"")"),"Soio")</f>
        <v>Soio</v>
      </c>
      <c r="B7491" s="17" t="s">
        <v>543</v>
      </c>
      <c r="C7491" s="17" t="s">
        <v>507</v>
      </c>
      <c r="D7491" s="17" t="s">
        <v>533</v>
      </c>
      <c r="E7491" s="10">
        <v>2236967</v>
      </c>
      <c r="F7491" s="4" t="str">
        <f>IF(B7491=B7490,"",B7491)</f>
        <v/>
      </c>
    </row>
    <row r="7492" spans="1:6" ht="15.75" customHeight="1">
      <c r="A7492" s="6" t="s">
        <v>1691</v>
      </c>
      <c r="B7492" s="6" t="s">
        <v>1691</v>
      </c>
      <c r="C7492" s="6" t="s">
        <v>1512</v>
      </c>
      <c r="D7492" s="6" t="s">
        <v>1518</v>
      </c>
      <c r="E7492" s="2">
        <v>2786420</v>
      </c>
      <c r="F7492" s="4" t="str">
        <f>IF(B7492=B7491,"",B7492)</f>
        <v>Soignies</v>
      </c>
    </row>
    <row r="7493" spans="1:6" ht="15.75" customHeight="1">
      <c r="A7493" s="5" t="str">
        <f ca="1">IFERROR(__xludf.DUMMYFUNCTION("GOOGLETRANSLATE(B23826,""en"",""pt"")"),"Soignies")</f>
        <v>Soignies</v>
      </c>
      <c r="B7493" s="17" t="s">
        <v>1691</v>
      </c>
      <c r="C7493" s="17" t="s">
        <v>1512</v>
      </c>
      <c r="D7493" s="17" t="s">
        <v>1518</v>
      </c>
      <c r="E7493" s="10">
        <v>2786420</v>
      </c>
      <c r="F7493" s="4" t="str">
        <f>IF(B7493=B7492,"",B7493)</f>
        <v/>
      </c>
    </row>
    <row r="7494" spans="1:6" ht="15.75" customHeight="1">
      <c r="A7494" s="6" t="s">
        <v>13412</v>
      </c>
      <c r="B7494" s="6" t="s">
        <v>13412</v>
      </c>
      <c r="C7494" s="6" t="s">
        <v>10178</v>
      </c>
      <c r="D7494" s="6" t="s">
        <v>10224</v>
      </c>
      <c r="E7494" s="2">
        <v>1255870</v>
      </c>
      <c r="F7494" s="4" t="str">
        <f>IF(B7494=B7493,"",B7494)</f>
        <v>Sohna</v>
      </c>
    </row>
    <row r="7495" spans="1:6" ht="15.75" customHeight="1">
      <c r="A7495" s="5" t="str">
        <f ca="1">IFERROR(__xludf.DUMMYFUNCTION("GOOGLETRANSLATE(B32102,""en"",""pt"")"),"Sohna")</f>
        <v>Sohna</v>
      </c>
      <c r="B7495" s="17" t="s">
        <v>13412</v>
      </c>
      <c r="C7495" s="17" t="s">
        <v>10178</v>
      </c>
      <c r="D7495" s="17" t="s">
        <v>10224</v>
      </c>
      <c r="E7495" s="10">
        <v>1255870</v>
      </c>
      <c r="F7495" s="4" t="str">
        <f>IF(B7495=B7494,"",B7495)</f>
        <v/>
      </c>
    </row>
    <row r="7496" spans="1:6" ht="15.75" customHeight="1">
      <c r="A7496" s="6" t="s">
        <v>19800</v>
      </c>
      <c r="B7496" s="6" t="s">
        <v>19800</v>
      </c>
      <c r="C7496" s="6" t="s">
        <v>19755</v>
      </c>
      <c r="D7496" s="6" t="s">
        <v>19765</v>
      </c>
      <c r="E7496" s="2">
        <v>286282</v>
      </c>
      <c r="F7496" s="4" t="str">
        <f>IF(B7496=B7495,"",B7496)</f>
        <v>Sohar</v>
      </c>
    </row>
    <row r="7497" spans="1:6" ht="15.75" customHeight="1">
      <c r="A7497" s="5" t="str">
        <f ca="1">IFERROR(__xludf.DUMMYFUNCTION("GOOGLETRANSLATE(B38253,""en"",""pt"")"),"Sohar")</f>
        <v>Sohar</v>
      </c>
      <c r="B7497" s="17" t="s">
        <v>19800</v>
      </c>
      <c r="C7497" s="17" t="s">
        <v>19755</v>
      </c>
      <c r="D7497" s="17" t="s">
        <v>19765</v>
      </c>
      <c r="E7497" s="10">
        <v>286282</v>
      </c>
      <c r="F7497" s="4" t="str">
        <f>IF(B7497=B7496,"",B7497)</f>
        <v/>
      </c>
    </row>
    <row r="7498" spans="1:6" ht="15.75" customHeight="1">
      <c r="A7498" s="5" t="str">
        <f ca="1">IFERROR(__xludf.DUMMYFUNCTION("GOOGLETRANSLATE(B32103,""en"",""pt"")"),"Sohāgpur")</f>
        <v>Sohāgpur</v>
      </c>
      <c r="B7498" s="17" t="s">
        <v>33056</v>
      </c>
      <c r="C7498" s="17" t="s">
        <v>10178</v>
      </c>
      <c r="D7498" s="17" t="s">
        <v>10219</v>
      </c>
      <c r="E7498" s="10">
        <v>1255884</v>
      </c>
      <c r="F7498" s="4" t="str">
        <f>IF(B7498=B7497,"",B7498)</f>
        <v>Sohāgpur</v>
      </c>
    </row>
    <row r="7499" spans="1:6" ht="15.75" customHeight="1">
      <c r="A7499" s="6" t="s">
        <v>6715</v>
      </c>
      <c r="B7499" s="6" t="s">
        <v>6715</v>
      </c>
      <c r="C7499" s="6" t="s">
        <v>6495</v>
      </c>
      <c r="D7499" s="6" t="s">
        <v>6505</v>
      </c>
      <c r="E7499" s="2">
        <v>347796</v>
      </c>
      <c r="F7499" s="4" t="str">
        <f>IF(B7499=B7498,"",B7499)</f>
        <v>Sohag</v>
      </c>
    </row>
    <row r="7500" spans="1:6" ht="15.75" customHeight="1">
      <c r="A7500" s="5" t="str">
        <f ca="1">IFERROR(__xludf.DUMMYFUNCTION("GOOGLETRANSLATE(B28829,""en"",""pt"")"),"Sohag")</f>
        <v>Sohag</v>
      </c>
      <c r="B7500" s="17" t="s">
        <v>6715</v>
      </c>
      <c r="C7500" s="17" t="s">
        <v>6495</v>
      </c>
      <c r="D7500" s="17" t="s">
        <v>32254</v>
      </c>
      <c r="E7500" s="10">
        <v>347796</v>
      </c>
      <c r="F7500" s="4" t="str">
        <f>IF(B7500=B7499,"",B7500)</f>
        <v/>
      </c>
    </row>
    <row r="7501" spans="1:6" ht="15.75" customHeight="1">
      <c r="A7501" s="5" t="s">
        <v>13410</v>
      </c>
      <c r="B7501" s="6" t="s">
        <v>13411</v>
      </c>
      <c r="C7501" s="5" t="s">
        <v>10178</v>
      </c>
      <c r="D7501" s="5" t="s">
        <v>10219</v>
      </c>
      <c r="E7501" s="2">
        <v>1255884</v>
      </c>
      <c r="F7501" s="4" t="str">
        <f>IF(B7501=B7500,"",B7501)</f>
        <v>SohÄgpur</v>
      </c>
    </row>
    <row r="7502" spans="1:6" ht="15.75" customHeight="1">
      <c r="A7502" s="5" t="s">
        <v>5620</v>
      </c>
      <c r="B7502" s="6" t="s">
        <v>5620</v>
      </c>
      <c r="C7502" s="5" t="s">
        <v>5348</v>
      </c>
      <c r="D7502" s="5" t="s">
        <v>5433</v>
      </c>
      <c r="E7502" s="2">
        <v>3667873</v>
      </c>
      <c r="F7502" s="4" t="str">
        <f>IF(B7502=B7501,"",B7502)</f>
        <v>Sogamoso</v>
      </c>
    </row>
    <row r="7503" spans="1:6" ht="15.75" customHeight="1">
      <c r="A7503" s="5" t="str">
        <f ca="1">IFERROR(__xludf.DUMMYFUNCTION("GOOGLETRANSLATE(B26871,""en"",""pt"")"),"Sogamoso")</f>
        <v>Sogamoso</v>
      </c>
      <c r="B7503" s="17" t="s">
        <v>5620</v>
      </c>
      <c r="C7503" s="17" t="s">
        <v>5348</v>
      </c>
      <c r="D7503" s="17" t="s">
        <v>31839</v>
      </c>
      <c r="E7503" s="10">
        <v>3667873</v>
      </c>
      <c r="F7503" s="4" t="str">
        <f>IF(B7503=B7502,"",B7503)</f>
        <v/>
      </c>
    </row>
    <row r="7504" spans="1:6" ht="15.75" customHeight="1">
      <c r="A7504" s="6" t="s">
        <v>23104</v>
      </c>
      <c r="B7504" s="6" t="s">
        <v>23104</v>
      </c>
      <c r="C7504" s="6" t="s">
        <v>22070</v>
      </c>
      <c r="D7504" s="6" t="s">
        <v>22119</v>
      </c>
      <c r="E7504" s="2">
        <v>491352</v>
      </c>
      <c r="F7504" s="4" t="str">
        <f>IF(B7504=B7503,"",B7504)</f>
        <v>Sofrino</v>
      </c>
    </row>
    <row r="7505" spans="1:6" ht="15.75" customHeight="1">
      <c r="A7505" s="5" t="str">
        <f ca="1">IFERROR(__xludf.DUMMYFUNCTION("GOOGLETRANSLATE(B40085,""en"",""pt"")"),"Sofrino")</f>
        <v>Sofrino</v>
      </c>
      <c r="B7505" s="17" t="s">
        <v>23104</v>
      </c>
      <c r="C7505" s="17" t="s">
        <v>22070</v>
      </c>
      <c r="D7505" s="17" t="s">
        <v>22119</v>
      </c>
      <c r="E7505" s="10">
        <v>491352</v>
      </c>
      <c r="F7505" s="4" t="str">
        <f>IF(B7505=B7504,"",B7505)</f>
        <v/>
      </c>
    </row>
    <row r="7506" spans="1:6" ht="15.75" customHeight="1">
      <c r="A7506" s="5" t="s">
        <v>19562</v>
      </c>
      <c r="B7506" s="6" t="s">
        <v>19563</v>
      </c>
      <c r="C7506" s="5" t="s">
        <v>19294</v>
      </c>
      <c r="D7506" s="5" t="s">
        <v>19320</v>
      </c>
      <c r="E7506" s="2">
        <v>2347061</v>
      </c>
      <c r="F7506" s="4" t="str">
        <f>IF(B7506=B7505,"",B7506)</f>
        <v>Sofo-Birnin-Gwari</v>
      </c>
    </row>
    <row r="7507" spans="1:6" ht="15.75" customHeight="1">
      <c r="A7507" s="5" t="str">
        <f ca="1">IFERROR(__xludf.DUMMYFUNCTION("GOOGLETRANSLATE(B37814,""en"",""pt"")"),"Sofo-birnin-gwari")</f>
        <v>Sofo-birnin-gwari</v>
      </c>
      <c r="B7507" s="17" t="s">
        <v>19563</v>
      </c>
      <c r="C7507" s="17" t="s">
        <v>19294</v>
      </c>
      <c r="D7507" s="17" t="s">
        <v>19320</v>
      </c>
      <c r="E7507" s="10">
        <v>2347061</v>
      </c>
      <c r="F7507" s="4" t="str">
        <f>IF(B7507=B7506,"",B7507)</f>
        <v/>
      </c>
    </row>
    <row r="7508" spans="1:6" ht="15.75" customHeight="1">
      <c r="A7508" s="6" t="s">
        <v>14165</v>
      </c>
      <c r="B7508" s="6" t="s">
        <v>14165</v>
      </c>
      <c r="C7508" s="6" t="s">
        <v>13800</v>
      </c>
      <c r="D7508" s="6" t="s">
        <v>14166</v>
      </c>
      <c r="E7508" s="2">
        <v>1626698</v>
      </c>
      <c r="F7508" s="4" t="str">
        <f>IF(B7508=B7507,"",B7508)</f>
        <v>Sofifi</v>
      </c>
    </row>
    <row r="7509" spans="1:6" ht="15.75" customHeight="1">
      <c r="A7509" s="5" t="str">
        <f ca="1">IFERROR(__xludf.DUMMYFUNCTION("GOOGLETRANSLATE(B31441,""en"",""pt"")"),"Sofifi")</f>
        <v>Sofifi</v>
      </c>
      <c r="B7509" s="17" t="s">
        <v>14165</v>
      </c>
      <c r="C7509" s="17" t="s">
        <v>13800</v>
      </c>
      <c r="D7509" s="17" t="s">
        <v>14166</v>
      </c>
      <c r="E7509" s="10">
        <v>1626698</v>
      </c>
      <c r="F7509" s="4" t="str">
        <f>IF(B7509=B7508,"",B7509)</f>
        <v/>
      </c>
    </row>
    <row r="7510" spans="1:6" ht="15.75" customHeight="1">
      <c r="A7510" s="6" t="s">
        <v>3753</v>
      </c>
      <c r="B7510" s="6" t="s">
        <v>3753</v>
      </c>
      <c r="C7510" s="6" t="s">
        <v>3701</v>
      </c>
      <c r="D7510" s="6" t="s">
        <v>3754</v>
      </c>
      <c r="E7510" s="2">
        <v>727011</v>
      </c>
      <c r="F7510" s="4" t="str">
        <f>IF(B7510=B7509,"",B7510)</f>
        <v>Sofia</v>
      </c>
    </row>
    <row r="7511" spans="1:6" ht="15.75" customHeight="1">
      <c r="A7511" s="5" t="str">
        <f ca="1">IFERROR(__xludf.DUMMYFUNCTION("GOOGLETRANSLATE(B24020,""en"",""pt"")"),"Sofia")</f>
        <v>Sofia</v>
      </c>
      <c r="B7511" s="17" t="s">
        <v>3753</v>
      </c>
      <c r="C7511" s="17" t="s">
        <v>3701</v>
      </c>
      <c r="D7511" s="17" t="s">
        <v>3754</v>
      </c>
      <c r="E7511" s="10">
        <v>727011</v>
      </c>
      <c r="F7511" s="4" t="str">
        <f>IF(B7511=B7510,"",B7511)</f>
        <v/>
      </c>
    </row>
    <row r="7512" spans="1:6" ht="15.75" customHeight="1">
      <c r="A7512" s="6" t="s">
        <v>9142</v>
      </c>
      <c r="B7512" s="6" t="s">
        <v>9142</v>
      </c>
      <c r="C7512" s="6" t="s">
        <v>8028</v>
      </c>
      <c r="D7512" s="6" t="s">
        <v>8029</v>
      </c>
      <c r="E7512" s="2">
        <v>2831708</v>
      </c>
      <c r="F7512" s="4" t="str">
        <f>IF(B7512=B7511,"",B7512)</f>
        <v>Soest</v>
      </c>
    </row>
    <row r="7513" spans="1:6" ht="15.75" customHeight="1">
      <c r="A7513" s="6" t="s">
        <v>9142</v>
      </c>
      <c r="B7513" s="6" t="s">
        <v>9142</v>
      </c>
      <c r="C7513" s="6" t="s">
        <v>18862</v>
      </c>
      <c r="D7513" s="6" t="s">
        <v>18877</v>
      </c>
      <c r="E7513" s="2">
        <v>2747034</v>
      </c>
      <c r="F7513" s="4" t="str">
        <f>IF(B7513=B7512,"",B7513)</f>
        <v/>
      </c>
    </row>
    <row r="7514" spans="1:6" ht="15.75" customHeight="1">
      <c r="A7514" s="5" t="str">
        <f ca="1">IFERROR(__xludf.DUMMYFUNCTION("GOOGLETRANSLATE(B27521,""en"",""pt"")"),"Soest")</f>
        <v>Soest</v>
      </c>
      <c r="B7514" s="17" t="s">
        <v>9142</v>
      </c>
      <c r="C7514" s="17" t="s">
        <v>8028</v>
      </c>
      <c r="D7514" s="17" t="s">
        <v>8029</v>
      </c>
      <c r="E7514" s="10">
        <v>2831708</v>
      </c>
      <c r="F7514" s="4" t="str">
        <f>IF(B7514=B7513,"",B7514)</f>
        <v/>
      </c>
    </row>
    <row r="7515" spans="1:6" ht="15.75" customHeight="1">
      <c r="A7515" s="5" t="str">
        <f ca="1">IFERROR(__xludf.DUMMYFUNCTION("GOOGLETRANSLATE(B37951,""en"",""pt"")"),"Soest")</f>
        <v>Soest</v>
      </c>
      <c r="B7515" s="17" t="s">
        <v>9142</v>
      </c>
      <c r="C7515" s="17" t="s">
        <v>18862</v>
      </c>
      <c r="D7515" s="17" t="s">
        <v>18877</v>
      </c>
      <c r="E7515" s="10">
        <v>2747034</v>
      </c>
      <c r="F7515" s="4" t="str">
        <f>IF(B7515=B7514,"",B7515)</f>
        <v/>
      </c>
    </row>
    <row r="7516" spans="1:6" ht="15.75" customHeight="1">
      <c r="A7516" s="6" t="s">
        <v>14163</v>
      </c>
      <c r="B7516" s="6" t="s">
        <v>14164</v>
      </c>
      <c r="C7516" s="6" t="s">
        <v>13800</v>
      </c>
      <c r="D7516" s="6" t="s">
        <v>13814</v>
      </c>
      <c r="E7516" s="2">
        <v>1626703</v>
      </c>
      <c r="F7516" s="4" t="str">
        <f>IF(B7516=B7515,"",B7516)</f>
        <v>Soe</v>
      </c>
    </row>
    <row r="7517" spans="1:6" ht="15.75" customHeight="1">
      <c r="A7517" s="5" t="str">
        <f ca="1">IFERROR(__xludf.DUMMYFUNCTION("GOOGLETRANSLATE(B31442,""en"",""pt"")"),"SOE")</f>
        <v>SOE</v>
      </c>
      <c r="B7517" s="17" t="s">
        <v>14164</v>
      </c>
      <c r="C7517" s="17" t="s">
        <v>13800</v>
      </c>
      <c r="D7517" s="17" t="s">
        <v>13814</v>
      </c>
      <c r="E7517" s="10">
        <v>1626703</v>
      </c>
      <c r="F7517" s="4" t="str">
        <f>IF(B7517=B7516,"",B7517)</f>
        <v/>
      </c>
    </row>
    <row r="7518" spans="1:6" ht="15.75" customHeight="1">
      <c r="A7518" s="6" t="s">
        <v>20239</v>
      </c>
      <c r="B7518" s="6" t="s">
        <v>20239</v>
      </c>
      <c r="C7518" s="6" t="s">
        <v>19808</v>
      </c>
      <c r="D7518" s="6" t="s">
        <v>10184</v>
      </c>
      <c r="E7518" s="2">
        <v>1164679</v>
      </c>
      <c r="F7518" s="4" t="str">
        <f>IF(B7518=B7517,"",B7518)</f>
        <v>Sodhra</v>
      </c>
    </row>
    <row r="7519" spans="1:6" ht="15.75" customHeight="1">
      <c r="A7519" s="5" t="str">
        <f ca="1">IFERROR(__xludf.DUMMYFUNCTION("GOOGLETRANSLATE(B38903,""en"",""pt"")"),"Sodhra")</f>
        <v>Sodhra</v>
      </c>
      <c r="B7519" s="17" t="s">
        <v>20239</v>
      </c>
      <c r="C7519" s="17" t="s">
        <v>19808</v>
      </c>
      <c r="D7519" s="17" t="s">
        <v>10184</v>
      </c>
      <c r="E7519" s="10">
        <v>1164679</v>
      </c>
      <c r="F7519" s="4" t="str">
        <f>IF(B7519=B7518,"",B7519)</f>
        <v/>
      </c>
    </row>
    <row r="7520" spans="1:6" ht="15.75" customHeight="1">
      <c r="A7520" s="5" t="str">
        <f ca="1">IFERROR(__xludf.DUMMYFUNCTION("GOOGLETRANSLATE(B41145,""en"",""pt"")"),"Södertälje")</f>
        <v>Södertälje</v>
      </c>
      <c r="B7520" s="17" t="s">
        <v>35632</v>
      </c>
      <c r="C7520" s="17" t="s">
        <v>25077</v>
      </c>
      <c r="D7520" s="17" t="s">
        <v>25081</v>
      </c>
      <c r="E7520" s="10">
        <v>2676176</v>
      </c>
      <c r="F7520" s="4" t="str">
        <f>IF(B7520=B7519,"",B7520)</f>
        <v>Södertälje</v>
      </c>
    </row>
    <row r="7521" spans="1:6" ht="15.75" customHeight="1">
      <c r="A7521" s="5" t="s">
        <v>30008</v>
      </c>
      <c r="B7521" s="6" t="s">
        <v>30009</v>
      </c>
      <c r="C7521" s="5" t="s">
        <v>27788</v>
      </c>
      <c r="D7521" s="5" t="s">
        <v>27792</v>
      </c>
      <c r="E7521" s="2">
        <v>5530937</v>
      </c>
      <c r="F7521" s="4" t="str">
        <f>IF(B7521=B7520,"",B7521)</f>
        <v>Socorro Mission Number 1 Colonia</v>
      </c>
    </row>
    <row r="7522" spans="1:6" ht="15.75" customHeight="1">
      <c r="A7522" s="5" t="str">
        <f ca="1">IFERROR(__xludf.DUMMYFUNCTION("GOOGLETRANSLATE(B45170,""en"",""pt"")"),"Missão Socorro número 1 Colonia")</f>
        <v>Missão Socorro número 1 Colonia</v>
      </c>
      <c r="B7522" s="17" t="s">
        <v>30009</v>
      </c>
      <c r="C7522" s="17" t="s">
        <v>27788</v>
      </c>
      <c r="D7522" s="17" t="s">
        <v>27792</v>
      </c>
      <c r="E7522" s="10">
        <v>5530937</v>
      </c>
      <c r="F7522" s="4" t="str">
        <f>IF(B7522=B7521,"",B7522)</f>
        <v/>
      </c>
    </row>
    <row r="7523" spans="1:6" ht="15.75" customHeight="1">
      <c r="A7523" s="6" t="s">
        <v>3494</v>
      </c>
      <c r="B7523" s="6" t="s">
        <v>3494</v>
      </c>
      <c r="C7523" s="6" t="s">
        <v>1905</v>
      </c>
      <c r="D7523" s="6" t="s">
        <v>1914</v>
      </c>
      <c r="E7523" s="2">
        <v>3447437</v>
      </c>
      <c r="F7523" s="4" t="str">
        <f>IF(B7523=B7522,"",B7523)</f>
        <v>Socorro</v>
      </c>
    </row>
    <row r="7524" spans="1:6" ht="15.75" customHeight="1">
      <c r="A7524" s="6" t="s">
        <v>3494</v>
      </c>
      <c r="B7524" s="6" t="s">
        <v>3494</v>
      </c>
      <c r="C7524" s="6" t="s">
        <v>5348</v>
      </c>
      <c r="D7524" s="6" t="s">
        <v>5380</v>
      </c>
      <c r="E7524" s="2">
        <v>3667887</v>
      </c>
      <c r="F7524" s="4" t="str">
        <f>IF(B7524=B7523,"",B7524)</f>
        <v/>
      </c>
    </row>
    <row r="7525" spans="1:6" ht="15.75" customHeight="1">
      <c r="A7525" s="6" t="s">
        <v>3494</v>
      </c>
      <c r="B7525" s="6" t="s">
        <v>3494</v>
      </c>
      <c r="C7525" s="6" t="s">
        <v>27788</v>
      </c>
      <c r="D7525" s="6" t="s">
        <v>27792</v>
      </c>
      <c r="E7525" s="2">
        <v>5530932</v>
      </c>
      <c r="F7525" s="4" t="str">
        <f>IF(B7525=B7524,"",B7525)</f>
        <v/>
      </c>
    </row>
    <row r="7526" spans="1:6" ht="15.75" customHeight="1">
      <c r="A7526" s="5" t="str">
        <f ca="1">IFERROR(__xludf.DUMMYFUNCTION("GOOGLETRANSLATE(B24515,""en"",""pt"")"),"Socorro")</f>
        <v>Socorro</v>
      </c>
      <c r="B7526" s="17" t="s">
        <v>3494</v>
      </c>
      <c r="C7526" s="17" t="s">
        <v>1905</v>
      </c>
      <c r="D7526" s="17" t="s">
        <v>3354</v>
      </c>
      <c r="E7526" s="10">
        <v>3447437</v>
      </c>
      <c r="F7526" s="4" t="str">
        <f>IF(B7526=B7525,"",B7526)</f>
        <v/>
      </c>
    </row>
    <row r="7527" spans="1:6" ht="15.75" customHeight="1">
      <c r="A7527" s="5" t="str">
        <f ca="1">IFERROR(__xludf.DUMMYFUNCTION("GOOGLETRANSLATE(B26872,""en"",""pt"")"),"Socorro")</f>
        <v>Socorro</v>
      </c>
      <c r="B7527" s="17" t="s">
        <v>3494</v>
      </c>
      <c r="C7527" s="17" t="s">
        <v>5348</v>
      </c>
      <c r="D7527" s="17" t="s">
        <v>5380</v>
      </c>
      <c r="E7527" s="10">
        <v>3667887</v>
      </c>
      <c r="F7527" s="4" t="str">
        <f>IF(B7527=B7526,"",B7527)</f>
        <v/>
      </c>
    </row>
    <row r="7528" spans="1:6" ht="15.75" customHeight="1">
      <c r="A7528" s="5" t="str">
        <f ca="1">IFERROR(__xludf.DUMMYFUNCTION("GOOGLETRANSLATE(B45169,""en"",""pt"")"),"Socorro")</f>
        <v>Socorro</v>
      </c>
      <c r="B7528" s="17" t="s">
        <v>3494</v>
      </c>
      <c r="C7528" s="17" t="s">
        <v>27788</v>
      </c>
      <c r="D7528" s="17" t="s">
        <v>27792</v>
      </c>
      <c r="E7528" s="10">
        <v>5530932</v>
      </c>
      <c r="F7528" s="4" t="str">
        <f>IF(B7528=B7527,"",B7528)</f>
        <v/>
      </c>
    </row>
    <row r="7529" spans="1:6" ht="15.75" customHeight="1">
      <c r="A7529" s="6" t="s">
        <v>23103</v>
      </c>
      <c r="B7529" s="6" t="s">
        <v>23103</v>
      </c>
      <c r="C7529" s="6" t="s">
        <v>22070</v>
      </c>
      <c r="D7529" s="6" t="s">
        <v>22077</v>
      </c>
      <c r="E7529" s="2">
        <v>491422</v>
      </c>
      <c r="F7529" s="4" t="str">
        <f>IF(B7529=B7528,"",B7529)</f>
        <v>Sochi</v>
      </c>
    </row>
    <row r="7530" spans="1:6" ht="15.75" customHeight="1">
      <c r="A7530" s="5" t="str">
        <f ca="1">IFERROR(__xludf.DUMMYFUNCTION("GOOGLETRANSLATE(B40086,""en"",""pt"")"),"Sochi")</f>
        <v>Sochi</v>
      </c>
      <c r="B7530" s="17" t="s">
        <v>23103</v>
      </c>
      <c r="C7530" s="17" t="s">
        <v>22070</v>
      </c>
      <c r="D7530" s="17" t="s">
        <v>22077</v>
      </c>
      <c r="E7530" s="10">
        <v>491422</v>
      </c>
      <c r="F7530" s="4" t="str">
        <f>IF(B7530=B7529,"",B7530)</f>
        <v/>
      </c>
    </row>
    <row r="7531" spans="1:6" ht="15.75" customHeight="1">
      <c r="A7531" s="5" t="s">
        <v>21495</v>
      </c>
      <c r="B7531" s="6" t="s">
        <v>21495</v>
      </c>
      <c r="C7531" s="5" t="s">
        <v>21064</v>
      </c>
      <c r="D7531" s="5" t="s">
        <v>21070</v>
      </c>
      <c r="E7531" s="2">
        <v>758682</v>
      </c>
      <c r="F7531" s="4" t="str">
        <f>IF(B7531=B7530,"",B7531)</f>
        <v>Sochaczew</v>
      </c>
    </row>
    <row r="7532" spans="1:6" ht="15.75" customHeight="1">
      <c r="A7532" s="5" t="str">
        <f ca="1">IFERROR(__xludf.DUMMYFUNCTION("GOOGLETRANSLATE(B39205,""en"",""pt"")"),"Sochaczew")</f>
        <v>Sochaczew</v>
      </c>
      <c r="B7532" s="17" t="s">
        <v>21495</v>
      </c>
      <c r="C7532" s="17" t="s">
        <v>21064</v>
      </c>
      <c r="D7532" s="17" t="s">
        <v>21070</v>
      </c>
      <c r="E7532" s="10">
        <v>758682</v>
      </c>
      <c r="F7532" s="4" t="str">
        <f>IF(B7532=B7531,"",B7532)</f>
        <v/>
      </c>
    </row>
    <row r="7533" spans="1:6" ht="15.75" customHeight="1">
      <c r="A7533" s="5" t="s">
        <v>30006</v>
      </c>
      <c r="B7533" s="6" t="s">
        <v>30007</v>
      </c>
      <c r="C7533" s="5" t="s">
        <v>27788</v>
      </c>
      <c r="D7533" s="5" t="s">
        <v>27811</v>
      </c>
      <c r="E7533" s="2">
        <v>4596208</v>
      </c>
      <c r="F7533" s="4" t="str">
        <f>IF(B7533=B7532,"",B7533)</f>
        <v>Socastee</v>
      </c>
    </row>
    <row r="7534" spans="1:6" ht="15.75" customHeight="1">
      <c r="A7534" s="5" t="str">
        <f ca="1">IFERROR(__xludf.DUMMYFUNCTION("GOOGLETRANSLATE(B43601,""en"",""pt"")"),"SOCASTEE")</f>
        <v>SOCASTEE</v>
      </c>
      <c r="B7534" s="17" t="s">
        <v>30007</v>
      </c>
      <c r="C7534" s="17" t="s">
        <v>27788</v>
      </c>
      <c r="D7534" s="17" t="s">
        <v>27811</v>
      </c>
      <c r="E7534" s="10">
        <v>4596208</v>
      </c>
      <c r="F7534" s="4" t="str">
        <f>IF(B7534=B7533,"",B7534)</f>
        <v/>
      </c>
    </row>
    <row r="7535" spans="1:6" ht="15.75" customHeight="1">
      <c r="A7535" s="5" t="str">
        <f ca="1">IFERROR(__xludf.DUMMYFUNCTION("GOOGLETRANSLATE(B45732,""en"",""pt"")"),"SÓc Trăng")</f>
        <v>SÓc Trăng</v>
      </c>
      <c r="B7535" s="17" t="s">
        <v>36136</v>
      </c>
      <c r="C7535" s="17" t="s">
        <v>30784</v>
      </c>
      <c r="D7535" s="17" t="s">
        <v>36136</v>
      </c>
      <c r="E7535" s="10">
        <v>1567788</v>
      </c>
      <c r="F7535" s="4" t="str">
        <f>IF(B7535=B7534,"",B7535)</f>
        <v>Sóc Trăng</v>
      </c>
    </row>
    <row r="7536" spans="1:6" ht="15.75" customHeight="1">
      <c r="A7536" s="6" t="s">
        <v>16438</v>
      </c>
      <c r="B7536" s="6" t="s">
        <v>16438</v>
      </c>
      <c r="C7536" s="6" t="s">
        <v>15704</v>
      </c>
      <c r="D7536" s="6" t="s">
        <v>15729</v>
      </c>
      <c r="E7536" s="2">
        <v>1851622</v>
      </c>
      <c r="F7536" s="4" t="str">
        <f>IF(B7536=B7535,"",B7536)</f>
        <v>Sobue</v>
      </c>
    </row>
    <row r="7537" spans="1:6" ht="15.75" customHeight="1">
      <c r="A7537" s="5" t="str">
        <f ca="1">IFERROR(__xludf.DUMMYFUNCTION("GOOGLETRANSLATE(B35285,""en"",""pt"")"),"Sobue")</f>
        <v>Sobue</v>
      </c>
      <c r="B7537" s="17" t="s">
        <v>16438</v>
      </c>
      <c r="C7537" s="17" t="s">
        <v>15704</v>
      </c>
      <c r="D7537" s="17" t="s">
        <v>15729</v>
      </c>
      <c r="E7537" s="10">
        <v>1851622</v>
      </c>
      <c r="F7537" s="4" t="str">
        <f>IF(B7537=B7536,"",B7537)</f>
        <v/>
      </c>
    </row>
    <row r="7538" spans="1:6" ht="15.75" customHeight="1">
      <c r="A7538" s="6" t="s">
        <v>3493</v>
      </c>
      <c r="B7538" s="6" t="s">
        <v>3493</v>
      </c>
      <c r="C7538" s="6" t="s">
        <v>1905</v>
      </c>
      <c r="D7538" s="6" t="s">
        <v>1930</v>
      </c>
      <c r="E7538" s="2">
        <v>3387296</v>
      </c>
      <c r="F7538" s="4" t="str">
        <f>IF(B7538=B7537,"",B7538)</f>
        <v>Sobral</v>
      </c>
    </row>
    <row r="7539" spans="1:6" ht="15.75" customHeight="1">
      <c r="A7539" s="5" t="str">
        <f ca="1">IFERROR(__xludf.DUMMYFUNCTION("GOOGLETRANSLATE(B24176,""en"",""pt"")"),"Sobral")</f>
        <v>Sobral</v>
      </c>
      <c r="B7539" s="17" t="s">
        <v>3493</v>
      </c>
      <c r="C7539" s="17" t="s">
        <v>1905</v>
      </c>
      <c r="D7539" s="17" t="s">
        <v>31345</v>
      </c>
      <c r="E7539" s="10">
        <v>3387296</v>
      </c>
      <c r="F7539" s="4" t="str">
        <f>IF(B7539=B7538,"",B7539)</f>
        <v/>
      </c>
    </row>
    <row r="7540" spans="1:6" ht="15.75" customHeight="1">
      <c r="A7540" s="5" t="s">
        <v>3492</v>
      </c>
      <c r="B7540" s="6" t="s">
        <v>3492</v>
      </c>
      <c r="C7540" s="5" t="s">
        <v>1905</v>
      </c>
      <c r="D7540" s="5" t="s">
        <v>1947</v>
      </c>
      <c r="E7540" s="2">
        <v>3447473</v>
      </c>
      <c r="F7540" s="4" t="str">
        <f>IF(B7540=B7539,"",B7540)</f>
        <v>Sobradinho</v>
      </c>
    </row>
    <row r="7541" spans="1:6" ht="15.75" customHeight="1">
      <c r="A7541" s="5" t="str">
        <f ca="1">IFERROR(__xludf.DUMMYFUNCTION("GOOGLETRANSLATE(B24516,""en"",""pt"")"),"Sobradinho")</f>
        <v>Sobradinho</v>
      </c>
      <c r="B7541" s="17" t="s">
        <v>3492</v>
      </c>
      <c r="C7541" s="17" t="s">
        <v>1905</v>
      </c>
      <c r="D7541" s="17" t="s">
        <v>1947</v>
      </c>
      <c r="E7541" s="10">
        <v>3447473</v>
      </c>
      <c r="F7541" s="4" t="str">
        <f>IF(B7541=B7540,"",B7541)</f>
        <v/>
      </c>
    </row>
    <row r="7542" spans="1:6" ht="15.75" customHeight="1">
      <c r="A7542" s="6" t="s">
        <v>23102</v>
      </c>
      <c r="B7542" s="6" t="s">
        <v>23102</v>
      </c>
      <c r="C7542" s="6" t="s">
        <v>22070</v>
      </c>
      <c r="D7542" s="6" t="s">
        <v>22113</v>
      </c>
      <c r="E7542" s="2">
        <v>491480</v>
      </c>
      <c r="F7542" s="4" t="str">
        <f>IF(B7542=B7541,"",B7542)</f>
        <v>Sobinka</v>
      </c>
    </row>
    <row r="7543" spans="1:6" ht="15.75" customHeight="1">
      <c r="A7543" s="5" t="str">
        <f ca="1">IFERROR(__xludf.DUMMYFUNCTION("GOOGLETRANSLATE(B40087,""en"",""pt"")"),"Sobinka")</f>
        <v>Sobinka</v>
      </c>
      <c r="B7543" s="17" t="s">
        <v>23102</v>
      </c>
      <c r="C7543" s="17" t="s">
        <v>22070</v>
      </c>
      <c r="D7543" s="17" t="s">
        <v>22113</v>
      </c>
      <c r="E7543" s="10">
        <v>491480</v>
      </c>
      <c r="F7543" s="4" t="str">
        <f>IF(B7543=B7542,"",B7543)</f>
        <v/>
      </c>
    </row>
    <row r="7544" spans="1:6" ht="15.75" customHeight="1">
      <c r="A7544" s="6" t="s">
        <v>19561</v>
      </c>
      <c r="B7544" s="6" t="s">
        <v>19561</v>
      </c>
      <c r="C7544" s="6" t="s">
        <v>19294</v>
      </c>
      <c r="D7544" s="6" t="s">
        <v>19320</v>
      </c>
      <c r="E7544" s="2">
        <v>2322957</v>
      </c>
      <c r="F7544" s="4" t="str">
        <f>IF(B7544=B7543,"",B7544)</f>
        <v>Soba</v>
      </c>
    </row>
    <row r="7545" spans="1:6" ht="15.75" customHeight="1">
      <c r="A7545" s="5" t="str">
        <f ca="1">IFERROR(__xludf.DUMMYFUNCTION("GOOGLETRANSLATE(B37629,""en"",""pt"")"),"Soba")</f>
        <v>Soba</v>
      </c>
      <c r="B7545" s="17" t="s">
        <v>19561</v>
      </c>
      <c r="C7545" s="17" t="s">
        <v>19294</v>
      </c>
      <c r="D7545" s="17" t="s">
        <v>19320</v>
      </c>
      <c r="E7545" s="10">
        <v>2322957</v>
      </c>
      <c r="F7545" s="4" t="str">
        <f>IF(B7545=B7544,"",B7545)</f>
        <v/>
      </c>
    </row>
    <row r="7546" spans="1:6" ht="15.75" customHeight="1">
      <c r="A7546" s="5" t="s">
        <v>17396</v>
      </c>
      <c r="B7546" s="6" t="s">
        <v>17396</v>
      </c>
      <c r="C7546" s="5" t="s">
        <v>17292</v>
      </c>
      <c r="D7546" s="5" t="s">
        <v>17341</v>
      </c>
      <c r="E7546" s="2">
        <v>1056151</v>
      </c>
      <c r="F7546" s="4" t="str">
        <f>IF(B7546=B7545,"",B7546)</f>
        <v>Soavinandriana</v>
      </c>
    </row>
    <row r="7547" spans="1:6" ht="15.75" customHeight="1">
      <c r="A7547" s="5" t="str">
        <f ca="1">IFERROR(__xludf.DUMMYFUNCTION("GOOGLETRANSLATE(B36566,""en"",""pt"")"),"Soavinandriana")</f>
        <v>Soavinandriana</v>
      </c>
      <c r="B7547" s="17" t="s">
        <v>17396</v>
      </c>
      <c r="C7547" s="17" t="s">
        <v>17292</v>
      </c>
      <c r="D7547" s="17" t="s">
        <v>17341</v>
      </c>
      <c r="E7547" s="10">
        <v>1056151</v>
      </c>
      <c r="F7547" s="4" t="str">
        <f>IF(B7547=B7546,"",B7547)</f>
        <v/>
      </c>
    </row>
    <row r="7548" spans="1:6" ht="15.75" customHeight="1">
      <c r="A7548" s="5" t="s">
        <v>17395</v>
      </c>
      <c r="B7548" s="6" t="s">
        <v>17395</v>
      </c>
      <c r="C7548" s="5" t="s">
        <v>17292</v>
      </c>
      <c r="D7548" s="5" t="s">
        <v>17304</v>
      </c>
      <c r="E7548" s="2">
        <v>1056381</v>
      </c>
      <c r="F7548" s="4" t="str">
        <f>IF(B7548=B7547,"",B7548)</f>
        <v>Soanindrariny</v>
      </c>
    </row>
    <row r="7549" spans="1:6" ht="15.75" customHeight="1">
      <c r="A7549" s="5" t="str">
        <f ca="1">IFERROR(__xludf.DUMMYFUNCTION("GOOGLETRANSLATE(B36567,""en"",""pt"")"),"Soanindrariny")</f>
        <v>Soanindrariny</v>
      </c>
      <c r="B7549" s="17" t="s">
        <v>17395</v>
      </c>
      <c r="C7549" s="17" t="s">
        <v>17292</v>
      </c>
      <c r="D7549" s="17" t="s">
        <v>17304</v>
      </c>
      <c r="E7549" s="10">
        <v>1056381</v>
      </c>
      <c r="F7549" s="4" t="str">
        <f>IF(B7549=B7548,"",B7549)</f>
        <v/>
      </c>
    </row>
    <row r="7550" spans="1:6" ht="15.75" customHeight="1">
      <c r="A7550" s="5" t="s">
        <v>17394</v>
      </c>
      <c r="B7550" s="6" t="s">
        <v>17394</v>
      </c>
      <c r="C7550" s="5" t="s">
        <v>17292</v>
      </c>
      <c r="D7550" s="5" t="s">
        <v>17356</v>
      </c>
      <c r="E7550" s="2">
        <v>1056386</v>
      </c>
      <c r="F7550" s="4" t="str">
        <f>IF(B7550=B7549,"",B7550)</f>
        <v>Soanierana Ivongo</v>
      </c>
    </row>
    <row r="7551" spans="1:6" ht="15.75" customHeight="1">
      <c r="A7551" s="5" t="str">
        <f ca="1">IFERROR(__xludf.DUMMYFUNCTION("GOOGLETRANSLATE(B36568,""en"",""pt"")"),"Soanierana Ivongo")</f>
        <v>Soanierana Ivongo</v>
      </c>
      <c r="B7551" s="17" t="s">
        <v>17394</v>
      </c>
      <c r="C7551" s="17" t="s">
        <v>17292</v>
      </c>
      <c r="D7551" s="17" t="s">
        <v>17356</v>
      </c>
      <c r="E7551" s="10">
        <v>1056386</v>
      </c>
      <c r="F7551" s="4" t="str">
        <f>IF(B7551=B7550,"",B7551)</f>
        <v/>
      </c>
    </row>
    <row r="7552" spans="1:6" ht="15.75" customHeight="1">
      <c r="A7552" s="6" t="s">
        <v>5618</v>
      </c>
      <c r="B7552" s="6" t="s">
        <v>5619</v>
      </c>
      <c r="C7552" s="6" t="s">
        <v>5348</v>
      </c>
      <c r="D7552" s="6" t="s">
        <v>5400</v>
      </c>
      <c r="E7552" s="2">
        <v>3667905</v>
      </c>
      <c r="F7552" s="4" t="str">
        <f>IF(B7552=B7551,"",B7552)</f>
        <v>Soacha</v>
      </c>
    </row>
    <row r="7553" spans="1:6" ht="15.75" customHeight="1">
      <c r="A7553" s="5" t="str">
        <f ca="1">IFERROR(__xludf.DUMMYFUNCTION("GOOGLETRANSLATE(B26873,""en"",""pt"")"),"Sobacha")</f>
        <v>Sobacha</v>
      </c>
      <c r="B7553" s="17" t="s">
        <v>5619</v>
      </c>
      <c r="C7553" s="17" t="s">
        <v>5348</v>
      </c>
      <c r="D7553" s="17" t="s">
        <v>5400</v>
      </c>
      <c r="E7553" s="10">
        <v>3667905</v>
      </c>
      <c r="F7553" s="4" t="str">
        <f>IF(B7553=B7552,"",B7553)</f>
        <v/>
      </c>
    </row>
    <row r="7554" spans="1:6" ht="15.75" customHeight="1">
      <c r="A7554" s="6" t="s">
        <v>27146</v>
      </c>
      <c r="B7554" s="6" t="s">
        <v>27146</v>
      </c>
      <c r="C7554" s="6" t="s">
        <v>26870</v>
      </c>
      <c r="D7554" s="6" t="s">
        <v>22345</v>
      </c>
      <c r="E7554" s="2">
        <v>693381</v>
      </c>
      <c r="F7554" s="4" t="str">
        <f>IF(B7554=B7553,"",B7554)</f>
        <v>Snizhne</v>
      </c>
    </row>
    <row r="7555" spans="1:6" ht="15.75" customHeight="1">
      <c r="A7555" s="5" t="str">
        <f ca="1">IFERROR(__xludf.DUMMYFUNCTION("GOOGLETRANSLATE(B42518,""en"",""pt"")"),"Snizhne")</f>
        <v>Snizhne</v>
      </c>
      <c r="B7555" s="17" t="s">
        <v>27146</v>
      </c>
      <c r="C7555" s="17" t="s">
        <v>26870</v>
      </c>
      <c r="D7555" s="17" t="s">
        <v>22345</v>
      </c>
      <c r="E7555" s="10">
        <v>693381</v>
      </c>
      <c r="F7555" s="4" t="str">
        <f>IF(B7555=B7554,"",B7555)</f>
        <v/>
      </c>
    </row>
    <row r="7556" spans="1:6" ht="15.75" customHeight="1">
      <c r="A7556" s="6" t="s">
        <v>23769</v>
      </c>
      <c r="B7556" s="6" t="s">
        <v>23769</v>
      </c>
      <c r="C7556" s="6" t="s">
        <v>23694</v>
      </c>
      <c r="D7556" s="6" t="s">
        <v>23706</v>
      </c>
      <c r="E7556" s="2">
        <v>723559</v>
      </c>
      <c r="F7556" s="4" t="str">
        <f>IF(B7556=B7555,"",B7556)</f>
        <v>Snina</v>
      </c>
    </row>
    <row r="7557" spans="1:6" ht="15.75" customHeight="1">
      <c r="A7557" s="5" t="str">
        <f ca="1">IFERROR(__xludf.DUMMYFUNCTION("GOOGLETRANSLATE(B41225,""en"",""pt"")"),"Snina")</f>
        <v>Snina</v>
      </c>
      <c r="B7557" s="17" t="s">
        <v>23769</v>
      </c>
      <c r="C7557" s="17" t="s">
        <v>23694</v>
      </c>
      <c r="D7557" s="17" t="s">
        <v>35666</v>
      </c>
      <c r="E7557" s="10">
        <v>723559</v>
      </c>
      <c r="F7557" s="4" t="str">
        <f>IF(B7557=B7556,"",B7557)</f>
        <v/>
      </c>
    </row>
    <row r="7558" spans="1:6" ht="15.75" customHeight="1">
      <c r="A7558" s="5" t="s">
        <v>23101</v>
      </c>
      <c r="B7558" s="6" t="s">
        <v>23101</v>
      </c>
      <c r="C7558" s="5" t="s">
        <v>22070</v>
      </c>
      <c r="D7558" s="5" t="s">
        <v>22166</v>
      </c>
      <c r="E7558" s="2">
        <v>1536289</v>
      </c>
      <c r="F7558" s="4" t="str">
        <f>IF(B7558=B7557,"",B7558)</f>
        <v>Snezhinsk</v>
      </c>
    </row>
    <row r="7559" spans="1:6" ht="15.75" customHeight="1">
      <c r="A7559" s="5" t="str">
        <f ca="1">IFERROR(__xludf.DUMMYFUNCTION("GOOGLETRANSLATE(B40881,""en"",""pt"")"),"Snezhinsk")</f>
        <v>Snezhinsk</v>
      </c>
      <c r="B7559" s="17" t="s">
        <v>23101</v>
      </c>
      <c r="C7559" s="17" t="s">
        <v>22070</v>
      </c>
      <c r="D7559" s="17" t="s">
        <v>22166</v>
      </c>
      <c r="E7559" s="10">
        <v>1536289</v>
      </c>
      <c r="F7559" s="4" t="str">
        <f>IF(B7559=B7558,"",B7559)</f>
        <v/>
      </c>
    </row>
    <row r="7560" spans="1:6" ht="15.75" customHeight="1">
      <c r="A7560" s="6" t="s">
        <v>30005</v>
      </c>
      <c r="B7560" s="6" t="s">
        <v>30005</v>
      </c>
      <c r="C7560" s="6" t="s">
        <v>27788</v>
      </c>
      <c r="D7560" s="6" t="s">
        <v>7988</v>
      </c>
      <c r="E7560" s="2">
        <v>4223413</v>
      </c>
      <c r="F7560" s="4" t="str">
        <f>IF(B7560=B7559,"",B7560)</f>
        <v>Snellville</v>
      </c>
    </row>
    <row r="7561" spans="1:6" ht="15.75" customHeight="1">
      <c r="A7561" s="5" t="str">
        <f ca="1">IFERROR(__xludf.DUMMYFUNCTION("GOOGLETRANSLATE(B43110,""en"",""pt"")"),"Snellville")</f>
        <v>Snellville</v>
      </c>
      <c r="B7561" s="17" t="s">
        <v>30005</v>
      </c>
      <c r="C7561" s="17" t="s">
        <v>27788</v>
      </c>
      <c r="D7561" s="17" t="s">
        <v>7988</v>
      </c>
      <c r="E7561" s="10">
        <v>4223413</v>
      </c>
      <c r="F7561" s="4" t="str">
        <f>IF(B7561=B7560,"",B7561)</f>
        <v/>
      </c>
    </row>
    <row r="7562" spans="1:6" ht="15.75" customHeight="1">
      <c r="A7562" s="6" t="s">
        <v>19091</v>
      </c>
      <c r="B7562" s="6" t="s">
        <v>19091</v>
      </c>
      <c r="C7562" s="6" t="s">
        <v>18862</v>
      </c>
      <c r="D7562" s="6" t="s">
        <v>18943</v>
      </c>
      <c r="E7562" s="2">
        <v>2747063</v>
      </c>
      <c r="F7562" s="4" t="str">
        <f>IF(B7562=B7561,"",B7562)</f>
        <v>Sneek</v>
      </c>
    </row>
    <row r="7563" spans="1:6" ht="15.75" customHeight="1">
      <c r="A7563" s="5" t="str">
        <f ca="1">IFERROR(__xludf.DUMMYFUNCTION("GOOGLETRANSLATE(B37952,""en"",""pt"")"),"Sneek")</f>
        <v>Sneek</v>
      </c>
      <c r="B7563" s="17" t="s">
        <v>19091</v>
      </c>
      <c r="C7563" s="17" t="s">
        <v>18862</v>
      </c>
      <c r="D7563" s="17" t="s">
        <v>18943</v>
      </c>
      <c r="E7563" s="10">
        <v>2747063</v>
      </c>
      <c r="F7563" s="4" t="str">
        <f>IF(B7563=B7562,"",B7563)</f>
        <v/>
      </c>
    </row>
    <row r="7564" spans="1:6" ht="15.75" customHeight="1">
      <c r="A7564" s="6" t="s">
        <v>30004</v>
      </c>
      <c r="B7564" s="6" t="s">
        <v>30004</v>
      </c>
      <c r="C7564" s="6" t="s">
        <v>27788</v>
      </c>
      <c r="D7564" s="6" t="s">
        <v>7988</v>
      </c>
      <c r="E7564" s="2">
        <v>4223379</v>
      </c>
      <c r="F7564" s="4" t="str">
        <f>IF(B7564=B7563,"",B7564)</f>
        <v>Smyrna</v>
      </c>
    </row>
    <row r="7565" spans="1:6" ht="15.75" customHeight="1">
      <c r="A7565" s="6" t="s">
        <v>30004</v>
      </c>
      <c r="B7565" s="6" t="s">
        <v>30004</v>
      </c>
      <c r="C7565" s="6" t="s">
        <v>27788</v>
      </c>
      <c r="D7565" s="6" t="s">
        <v>27957</v>
      </c>
      <c r="E7565" s="2">
        <v>4658590</v>
      </c>
      <c r="F7565" s="4" t="str">
        <f>IF(B7565=B7564,"",B7565)</f>
        <v/>
      </c>
    </row>
    <row r="7566" spans="1:6" ht="15.75" customHeight="1">
      <c r="A7566" s="5" t="str">
        <f ca="1">IFERROR(__xludf.DUMMYFUNCTION("GOOGLETRANSLATE(B43109,""en"",""pt"")"),"Smyrna")</f>
        <v>Smyrna</v>
      </c>
      <c r="B7566" s="17" t="s">
        <v>30004</v>
      </c>
      <c r="C7566" s="17" t="s">
        <v>27788</v>
      </c>
      <c r="D7566" s="17" t="s">
        <v>7988</v>
      </c>
      <c r="E7566" s="10">
        <v>4223379</v>
      </c>
      <c r="F7566" s="4" t="str">
        <f>IF(B7566=B7565,"",B7566)</f>
        <v/>
      </c>
    </row>
    <row r="7567" spans="1:6" ht="15.75" customHeight="1">
      <c r="A7567" s="5" t="str">
        <f ca="1">IFERROR(__xludf.DUMMYFUNCTION("GOOGLETRANSLATE(B43643,""en"",""pt"")"),"Smyrna")</f>
        <v>Smyrna</v>
      </c>
      <c r="B7567" s="17" t="s">
        <v>30004</v>
      </c>
      <c r="C7567" s="17" t="s">
        <v>27788</v>
      </c>
      <c r="D7567" s="17" t="s">
        <v>27957</v>
      </c>
      <c r="E7567" s="10">
        <v>4658590</v>
      </c>
      <c r="F7567" s="4" t="str">
        <f>IF(B7567=B7566,"",B7567)</f>
        <v/>
      </c>
    </row>
    <row r="7568" spans="1:6" ht="15.75" customHeight="1">
      <c r="A7568" s="6" t="s">
        <v>3752</v>
      </c>
      <c r="B7568" s="6" t="s">
        <v>3752</v>
      </c>
      <c r="C7568" s="6" t="s">
        <v>3701</v>
      </c>
      <c r="D7568" s="6" t="s">
        <v>3752</v>
      </c>
      <c r="E7568" s="2">
        <v>727030</v>
      </c>
      <c r="F7568" s="4" t="str">
        <f>IF(B7568=B7567,"",B7568)</f>
        <v>Smolyan</v>
      </c>
    </row>
    <row r="7569" spans="1:6" ht="15.75" customHeight="1">
      <c r="A7569" s="5" t="str">
        <f ca="1">IFERROR(__xludf.DUMMYFUNCTION("GOOGLETRANSLATE(B24021,""en"",""pt"")"),"Smolyan")</f>
        <v>Smolyan</v>
      </c>
      <c r="B7569" s="17" t="s">
        <v>3752</v>
      </c>
      <c r="C7569" s="17" t="s">
        <v>3701</v>
      </c>
      <c r="D7569" s="17" t="s">
        <v>3752</v>
      </c>
      <c r="E7569" s="10">
        <v>727030</v>
      </c>
      <c r="F7569" s="4" t="str">
        <f>IF(B7569=B7568,"",B7569)</f>
        <v/>
      </c>
    </row>
    <row r="7570" spans="1:6" ht="15.75" customHeight="1">
      <c r="A7570" s="6" t="s">
        <v>22336</v>
      </c>
      <c r="B7570" s="6" t="s">
        <v>22336</v>
      </c>
      <c r="C7570" s="6" t="s">
        <v>22070</v>
      </c>
      <c r="D7570" s="6" t="s">
        <v>22336</v>
      </c>
      <c r="E7570" s="2">
        <v>491687</v>
      </c>
      <c r="F7570" s="4" t="str">
        <f>IF(B7570=B7569,"",B7570)</f>
        <v>Smolensk</v>
      </c>
    </row>
    <row r="7571" spans="1:6" ht="15.75" customHeight="1">
      <c r="A7571" s="5" t="str">
        <f ca="1">IFERROR(__xludf.DUMMYFUNCTION("GOOGLETRANSLATE(B40088,""en"",""pt"")"),"Smolensk")</f>
        <v>Smolensk</v>
      </c>
      <c r="B7571" s="17" t="s">
        <v>22336</v>
      </c>
      <c r="C7571" s="17" t="s">
        <v>22070</v>
      </c>
      <c r="D7571" s="17" t="s">
        <v>22336</v>
      </c>
      <c r="E7571" s="10">
        <v>491687</v>
      </c>
      <c r="F7571" s="4" t="str">
        <f>IF(B7571=B7570,"",B7571)</f>
        <v/>
      </c>
    </row>
    <row r="7572" spans="1:6" ht="15.75" customHeight="1">
      <c r="A7572" s="5" t="s">
        <v>30003</v>
      </c>
      <c r="B7572" s="6" t="s">
        <v>30003</v>
      </c>
      <c r="C7572" s="5" t="s">
        <v>27788</v>
      </c>
      <c r="D7572" s="5" t="s">
        <v>27819</v>
      </c>
      <c r="E7572" s="2">
        <v>5138539</v>
      </c>
      <c r="F7572" s="4" t="str">
        <f>IF(B7572=B7571,"",B7572)</f>
        <v>Smithtown</v>
      </c>
    </row>
    <row r="7573" spans="1:6" ht="15.75" customHeight="1">
      <c r="A7573" s="5" t="str">
        <f ca="1">IFERROR(__xludf.DUMMYFUNCTION("GOOGLETRANSLATE(B44453,""en"",""pt"")"),"Smithtown")</f>
        <v>Smithtown</v>
      </c>
      <c r="B7573" s="17" t="s">
        <v>30003</v>
      </c>
      <c r="C7573" s="17" t="s">
        <v>27788</v>
      </c>
      <c r="D7573" s="17" t="s">
        <v>27819</v>
      </c>
      <c r="E7573" s="10">
        <v>5138539</v>
      </c>
      <c r="F7573" s="4" t="str">
        <f>IF(B7573=B7572,"",B7573)</f>
        <v/>
      </c>
    </row>
    <row r="7574" spans="1:6" ht="15.75" customHeight="1">
      <c r="A7574" s="5" t="s">
        <v>30002</v>
      </c>
      <c r="B7574" s="6" t="s">
        <v>30002</v>
      </c>
      <c r="C7574" s="5" t="s">
        <v>27788</v>
      </c>
      <c r="D7574" s="5" t="s">
        <v>27951</v>
      </c>
      <c r="E7574" s="2">
        <v>5224949</v>
      </c>
      <c r="F7574" s="4" t="str">
        <f>IF(B7574=B7573,"",B7574)</f>
        <v>Smithfield</v>
      </c>
    </row>
    <row r="7575" spans="1:6" ht="15.75" customHeight="1">
      <c r="A7575" s="5" t="str">
        <f ca="1">IFERROR(__xludf.DUMMYFUNCTION("GOOGLETRANSLATE(B44618,""en"",""pt"")"),"Smithfield")</f>
        <v>Smithfield</v>
      </c>
      <c r="B7575" s="17" t="s">
        <v>30002</v>
      </c>
      <c r="C7575" s="17" t="s">
        <v>27788</v>
      </c>
      <c r="D7575" s="17" t="s">
        <v>27951</v>
      </c>
      <c r="E7575" s="10">
        <v>5224949</v>
      </c>
      <c r="F7575" s="4" t="str">
        <f>IF(B7575=B7574,"",B7575)</f>
        <v/>
      </c>
    </row>
    <row r="7576" spans="1:6" ht="15.75" customHeight="1">
      <c r="A7576" s="6" t="s">
        <v>27145</v>
      </c>
      <c r="B7576" s="6" t="s">
        <v>27145</v>
      </c>
      <c r="C7576" s="6" t="s">
        <v>26870</v>
      </c>
      <c r="D7576" s="6" t="s">
        <v>26925</v>
      </c>
      <c r="E7576" s="2">
        <v>693457</v>
      </c>
      <c r="F7576" s="4" t="str">
        <f>IF(B7576=B7575,"",B7576)</f>
        <v>Smila</v>
      </c>
    </row>
    <row r="7577" spans="1:6" ht="15.75" customHeight="1">
      <c r="A7577" s="5" t="str">
        <f ca="1">IFERROR(__xludf.DUMMYFUNCTION("GOOGLETRANSLATE(B42519,""en"",""pt"")"),"Smila")</f>
        <v>Smila</v>
      </c>
      <c r="B7577" s="17" t="s">
        <v>27145</v>
      </c>
      <c r="C7577" s="17" t="s">
        <v>26870</v>
      </c>
      <c r="D7577" s="17" t="s">
        <v>26925</v>
      </c>
      <c r="E7577" s="10">
        <v>693457</v>
      </c>
      <c r="F7577" s="4" t="str">
        <f>IF(B7577=B7576,"",B7577)</f>
        <v/>
      </c>
    </row>
    <row r="7578" spans="1:6" ht="15.75" customHeight="1">
      <c r="A7578" s="5" t="s">
        <v>23652</v>
      </c>
      <c r="B7578" s="6" t="s">
        <v>23652</v>
      </c>
      <c r="C7578" s="5" t="s">
        <v>23602</v>
      </c>
      <c r="D7578" s="5" t="s">
        <v>23603</v>
      </c>
      <c r="E7578" s="2">
        <v>785753</v>
      </c>
      <c r="F7578" s="4" t="str">
        <f>IF(B7578=B7577,"",B7578)</f>
        <v>Smederevska Palanka</v>
      </c>
    </row>
    <row r="7579" spans="1:6" ht="15.75" customHeight="1">
      <c r="A7579" s="5" t="str">
        <f ca="1">IFERROR(__xludf.DUMMYFUNCTION("GOOGLETRANSLATE(B39865,""en"",""pt"")"),"Smederevska Palanka")</f>
        <v>Smederevska Palanka</v>
      </c>
      <c r="B7579" s="17" t="s">
        <v>23652</v>
      </c>
      <c r="C7579" s="17" t="s">
        <v>23602</v>
      </c>
      <c r="D7579" s="17" t="s">
        <v>23603</v>
      </c>
      <c r="E7579" s="10">
        <v>785753</v>
      </c>
      <c r="F7579" s="4" t="str">
        <f>IF(B7579=B7578,"",B7579)</f>
        <v/>
      </c>
    </row>
    <row r="7580" spans="1:6" ht="15" customHeight="1">
      <c r="A7580" s="5" t="s">
        <v>23651</v>
      </c>
      <c r="B7580" s="6" t="s">
        <v>23651</v>
      </c>
      <c r="C7580" s="5" t="s">
        <v>23602</v>
      </c>
      <c r="D7580" s="5" t="s">
        <v>23603</v>
      </c>
      <c r="E7580" s="2">
        <v>785756</v>
      </c>
      <c r="F7580" s="4" t="str">
        <f>IF(B7580=B7579,"",B7580)</f>
        <v>Smederevo</v>
      </c>
    </row>
    <row r="7581" spans="1:6" ht="15.75" customHeight="1">
      <c r="A7581" s="5" t="str">
        <f ca="1">IFERROR(__xludf.DUMMYFUNCTION("GOOGLETRANSLATE(B39866,""en"",""pt"")"),"Smederevo")</f>
        <v>Smederevo</v>
      </c>
      <c r="B7581" s="17" t="s">
        <v>23651</v>
      </c>
      <c r="C7581" s="17" t="s">
        <v>23602</v>
      </c>
      <c r="D7581" s="17" t="s">
        <v>23603</v>
      </c>
      <c r="E7581" s="10">
        <v>785756</v>
      </c>
      <c r="F7581" s="4" t="str">
        <f>IF(B7581=B7580,"",B7581)</f>
        <v/>
      </c>
    </row>
    <row r="7582" spans="1:6" ht="15.75" customHeight="1">
      <c r="A7582" s="5" t="s">
        <v>1504</v>
      </c>
      <c r="B7582" s="6" t="s">
        <v>1505</v>
      </c>
      <c r="C7582" s="5" t="s">
        <v>1453</v>
      </c>
      <c r="D7582" s="5" t="s">
        <v>1470</v>
      </c>
      <c r="E7582" s="2">
        <v>621713</v>
      </c>
      <c r="F7582" s="4" t="str">
        <f>IF(B7582=B7581,"",B7582)</f>
        <v>Smarhonâ€™</v>
      </c>
    </row>
    <row r="7583" spans="1:6" ht="15.75" customHeight="1">
      <c r="A7583" s="5" t="str">
        <f ca="1">IFERROR(__xludf.DUMMYFUNCTION("GOOGLETRANSLATE(B25375,""en"",""pt"")"),"Smarhon '")</f>
        <v>Smarhon '</v>
      </c>
      <c r="B7583" s="17" t="s">
        <v>31749</v>
      </c>
      <c r="C7583" s="17" t="s">
        <v>1453</v>
      </c>
      <c r="D7583" s="17" t="s">
        <v>1470</v>
      </c>
      <c r="E7583" s="10">
        <v>621713</v>
      </c>
      <c r="F7583" s="4" t="str">
        <f>IF(B7583=B7582,"",B7583)</f>
        <v>Smarhon’</v>
      </c>
    </row>
    <row r="7584" spans="1:6" ht="15.75" customHeight="1">
      <c r="A7584" s="6" t="s">
        <v>30989</v>
      </c>
      <c r="B7584" s="6" t="s">
        <v>30990</v>
      </c>
      <c r="C7584" s="6" t="s">
        <v>30985</v>
      </c>
      <c r="D7584" s="6" t="s">
        <v>30986</v>
      </c>
      <c r="E7584" s="2">
        <v>2461874</v>
      </c>
      <c r="F7584" s="4" t="str">
        <f>IF(B7584=B7583,"",B7584)</f>
        <v>Smara</v>
      </c>
    </row>
    <row r="7585" spans="1:6" ht="15.75" customHeight="1">
      <c r="A7585" s="5" t="str">
        <f ca="1">IFERROR(__xludf.DUMMYFUNCTION("GOOGLETRANSLATE(B28941,""en"",""pt"")"),"SMARA")</f>
        <v>SMARA</v>
      </c>
      <c r="B7585" s="17" t="s">
        <v>30990</v>
      </c>
      <c r="C7585" s="17" t="s">
        <v>30985</v>
      </c>
      <c r="D7585" s="17" t="s">
        <v>30986</v>
      </c>
      <c r="E7585" s="10">
        <v>2461874</v>
      </c>
      <c r="F7585" s="4" t="str">
        <f>IF(B7585=B7584,"",B7585)</f>
        <v/>
      </c>
    </row>
    <row r="7586" spans="1:6" ht="15.75" customHeight="1">
      <c r="A7586" s="5" t="s">
        <v>3872</v>
      </c>
      <c r="B7586" s="6" t="s">
        <v>3873</v>
      </c>
      <c r="C7586" s="5" t="s">
        <v>3838</v>
      </c>
      <c r="D7586" s="5" t="s">
        <v>3846</v>
      </c>
      <c r="E7586" s="2">
        <v>8740221</v>
      </c>
      <c r="F7586" s="4" t="str">
        <f>IF(B7586=B7585,"",B7586)</f>
        <v>Smach Mean Chey</v>
      </c>
    </row>
    <row r="7587" spans="1:6" ht="15.75" customHeight="1">
      <c r="A7587" s="5" t="str">
        <f ca="1">IFERROR(__xludf.DUMMYFUNCTION("GOOGLETRANSLATE(B35984,""en"",""pt"")"),"Smach significa Chey")</f>
        <v>Smach significa Chey</v>
      </c>
      <c r="B7587" s="17" t="s">
        <v>3873</v>
      </c>
      <c r="C7587" s="17" t="s">
        <v>3838</v>
      </c>
      <c r="D7587" s="17" t="s">
        <v>3846</v>
      </c>
      <c r="E7587" s="10">
        <v>8740221</v>
      </c>
      <c r="F7587" s="4" t="str">
        <f>IF(B7587=B7586,"",B7587)</f>
        <v/>
      </c>
    </row>
    <row r="7588" spans="1:6" ht="15.75" customHeight="1">
      <c r="A7588" s="5" t="s">
        <v>23100</v>
      </c>
      <c r="B7588" s="6" t="s">
        <v>23100</v>
      </c>
      <c r="C7588" s="5" t="s">
        <v>22070</v>
      </c>
      <c r="D7588" s="5" t="s">
        <v>22135</v>
      </c>
      <c r="E7588" s="2">
        <v>2016422</v>
      </c>
      <c r="F7588" s="4" t="str">
        <f>IF(B7588=B7587,"",B7588)</f>
        <v>Slyudyanka</v>
      </c>
    </row>
    <row r="7589" spans="1:6" ht="15.75" customHeight="1">
      <c r="A7589" s="5" t="str">
        <f ca="1">IFERROR(__xludf.DUMMYFUNCTION("GOOGLETRANSLATE(B40910,""en"",""pt"")"),"Slyudyanka")</f>
        <v>Slyudyanka</v>
      </c>
      <c r="B7589" s="17" t="s">
        <v>23100</v>
      </c>
      <c r="C7589" s="17" t="s">
        <v>22070</v>
      </c>
      <c r="D7589" s="17" t="s">
        <v>22135</v>
      </c>
      <c r="E7589" s="10">
        <v>2016422</v>
      </c>
      <c r="F7589" s="4" t="str">
        <f>IF(B7589=B7588,"",B7589)</f>
        <v/>
      </c>
    </row>
    <row r="7590" spans="1:6" ht="15.75" customHeight="1">
      <c r="A7590" s="6" t="s">
        <v>1503</v>
      </c>
      <c r="B7590" s="6" t="s">
        <v>1503</v>
      </c>
      <c r="C7590" s="6" t="s">
        <v>1453</v>
      </c>
      <c r="D7590" s="6" t="s">
        <v>1463</v>
      </c>
      <c r="E7590" s="2">
        <v>621741</v>
      </c>
      <c r="F7590" s="4" t="str">
        <f>IF(B7590=B7589,"",B7590)</f>
        <v>Slutsk</v>
      </c>
    </row>
    <row r="7591" spans="1:6" ht="15.75" customHeight="1">
      <c r="A7591" s="5" t="str">
        <f ca="1">IFERROR(__xludf.DUMMYFUNCTION("GOOGLETRANSLATE(B25376,""en"",""pt"")"),"Slutsk")</f>
        <v>Slutsk</v>
      </c>
      <c r="B7591" s="17" t="s">
        <v>1503</v>
      </c>
      <c r="C7591" s="17" t="s">
        <v>1453</v>
      </c>
      <c r="D7591" s="17" t="s">
        <v>1463</v>
      </c>
      <c r="E7591" s="10">
        <v>621741</v>
      </c>
      <c r="F7591" s="4" t="str">
        <f>IF(B7591=B7590,"",B7591)</f>
        <v/>
      </c>
    </row>
    <row r="7592" spans="1:6" ht="15.75" customHeight="1">
      <c r="A7592" s="5" t="str">
        <f ca="1">IFERROR(__xludf.DUMMYFUNCTION("GOOGLETRANSLATE(B39353,""en"",""pt"")"),"Słupsk")</f>
        <v>Słupsk</v>
      </c>
      <c r="B7592" s="17" t="s">
        <v>35170</v>
      </c>
      <c r="C7592" s="17" t="s">
        <v>21064</v>
      </c>
      <c r="D7592" s="17" t="s">
        <v>21173</v>
      </c>
      <c r="E7592" s="10">
        <v>3085450</v>
      </c>
      <c r="F7592" s="4" t="str">
        <f>IF(B7592=B7591,"",B7592)</f>
        <v>Słupsk</v>
      </c>
    </row>
    <row r="7593" spans="1:6" ht="15.75" customHeight="1">
      <c r="A7593" s="5" t="str">
        <f ca="1">IFERROR(__xludf.DUMMYFUNCTION("GOOGLETRANSLATE(B39354,""en"",""pt"")"),"Słubice")</f>
        <v>Słubice</v>
      </c>
      <c r="B7593" s="17" t="s">
        <v>35171</v>
      </c>
      <c r="C7593" s="17" t="s">
        <v>21064</v>
      </c>
      <c r="D7593" s="17" t="s">
        <v>21065</v>
      </c>
      <c r="E7593" s="10">
        <v>3085495</v>
      </c>
      <c r="F7593" s="4" t="str">
        <f>IF(B7593=B7592,"",B7593)</f>
        <v>Słubice</v>
      </c>
    </row>
    <row r="7594" spans="1:6" ht="15.75" customHeight="1">
      <c r="A7594" s="5" t="s">
        <v>27143</v>
      </c>
      <c r="B7594" s="6" t="s">
        <v>27144</v>
      </c>
      <c r="C7594" s="5" t="s">
        <v>26870</v>
      </c>
      <c r="D7594" s="5" t="s">
        <v>22345</v>
      </c>
      <c r="E7594" s="2">
        <v>693468</v>
      </c>
      <c r="F7594" s="4" t="str">
        <f>IF(B7594=B7593,"",B7594)</f>
        <v>Sloviansk</v>
      </c>
    </row>
    <row r="7595" spans="1:6" ht="15.75" customHeight="1">
      <c r="A7595" s="5" t="str">
        <f ca="1">IFERROR(__xludf.DUMMYFUNCTION("GOOGLETRANSLATE(B42520,""en"",""pt"")"),"Esloviansk")</f>
        <v>Esloviansk</v>
      </c>
      <c r="B7595" s="17" t="s">
        <v>27144</v>
      </c>
      <c r="C7595" s="17" t="s">
        <v>26870</v>
      </c>
      <c r="D7595" s="17" t="s">
        <v>22345</v>
      </c>
      <c r="E7595" s="10">
        <v>693468</v>
      </c>
      <c r="F7595" s="4" t="str">
        <f>IF(B7595=B7594,"",B7595)</f>
        <v/>
      </c>
    </row>
    <row r="7596" spans="1:6" ht="15.75" customHeight="1">
      <c r="A7596" s="6" t="s">
        <v>27680</v>
      </c>
      <c r="B7596" s="6" t="s">
        <v>27680</v>
      </c>
      <c r="C7596" s="6" t="s">
        <v>27234</v>
      </c>
      <c r="D7596" s="6" t="s">
        <v>27241</v>
      </c>
      <c r="E7596" s="2">
        <v>2637627</v>
      </c>
      <c r="F7596" s="4" t="str">
        <f>IF(B7596=B7595,"",B7596)</f>
        <v>Slough</v>
      </c>
    </row>
    <row r="7597" spans="1:6" ht="15.75" customHeight="1">
      <c r="A7597" s="5" t="str">
        <f ca="1">IFERROR(__xludf.DUMMYFUNCTION("GOOGLETRANSLATE(B30401,""en"",""pt"")"),"Slough")</f>
        <v>Slough</v>
      </c>
      <c r="B7597" s="17" t="s">
        <v>27680</v>
      </c>
      <c r="C7597" s="17" t="s">
        <v>27234</v>
      </c>
      <c r="D7597" s="17" t="s">
        <v>27241</v>
      </c>
      <c r="E7597" s="10">
        <v>2637627</v>
      </c>
      <c r="F7597" s="4" t="str">
        <f>IF(B7597=B7596,"",B7597)</f>
        <v/>
      </c>
    </row>
    <row r="7598" spans="1:6" ht="15.75" customHeight="1">
      <c r="A7598" s="6" t="s">
        <v>1502</v>
      </c>
      <c r="B7598" s="6" t="s">
        <v>1502</v>
      </c>
      <c r="C7598" s="6" t="s">
        <v>1453</v>
      </c>
      <c r="D7598" s="6" t="s">
        <v>1470</v>
      </c>
      <c r="E7598" s="2">
        <v>621754</v>
      </c>
      <c r="F7598" s="4" t="str">
        <f>IF(B7598=B7597,"",B7598)</f>
        <v>Slonim</v>
      </c>
    </row>
    <row r="7599" spans="1:6" ht="15.75" customHeight="1">
      <c r="A7599" s="5" t="str">
        <f ca="1">IFERROR(__xludf.DUMMYFUNCTION("GOOGLETRANSLATE(B25377,""en"",""pt"")"),"Slonim")</f>
        <v>Slonim</v>
      </c>
      <c r="B7599" s="17" t="s">
        <v>1502</v>
      </c>
      <c r="C7599" s="17" t="s">
        <v>1453</v>
      </c>
      <c r="D7599" s="17" t="s">
        <v>1470</v>
      </c>
      <c r="E7599" s="10">
        <v>621754</v>
      </c>
      <c r="F7599" s="4" t="str">
        <f>IF(B7599=B7598,"",B7599)</f>
        <v/>
      </c>
    </row>
    <row r="7600" spans="1:6" ht="15.75" customHeight="1">
      <c r="A7600" s="6" t="s">
        <v>18482</v>
      </c>
      <c r="B7600" s="6" t="s">
        <v>18482</v>
      </c>
      <c r="C7600" s="6" t="s">
        <v>18455</v>
      </c>
      <c r="D7600" s="6" t="s">
        <v>18481</v>
      </c>
      <c r="E7600" s="2">
        <v>617381</v>
      </c>
      <c r="F7600" s="4" t="str">
        <f>IF(B7600=B7599,"",B7600)</f>
        <v>Slobozia</v>
      </c>
    </row>
    <row r="7601" spans="1:6" ht="15.75" customHeight="1">
      <c r="A7601" s="6" t="s">
        <v>18482</v>
      </c>
      <c r="B7601" s="6" t="s">
        <v>18482</v>
      </c>
      <c r="C7601" s="6" t="s">
        <v>21824</v>
      </c>
      <c r="D7601" s="6" t="s">
        <v>21925</v>
      </c>
      <c r="E7601" s="2">
        <v>8581467</v>
      </c>
      <c r="F7601" s="4" t="str">
        <f>IF(B7601=B7600,"",B7601)</f>
        <v/>
      </c>
    </row>
    <row r="7602" spans="1:6" ht="15.75" customHeight="1">
      <c r="A7602" s="5" t="str">
        <f ca="1">IFERROR(__xludf.DUMMYFUNCTION("GOOGLETRANSLATE(B36532,""en"",""pt"")"),"Slobozia")</f>
        <v>Slobozia</v>
      </c>
      <c r="B7602" s="17" t="s">
        <v>18482</v>
      </c>
      <c r="C7602" s="17" t="s">
        <v>18455</v>
      </c>
      <c r="D7602" s="17" t="s">
        <v>34599</v>
      </c>
      <c r="E7602" s="10">
        <v>617381</v>
      </c>
      <c r="F7602" s="4" t="str">
        <f>IF(B7602=B7601,"",B7602)</f>
        <v/>
      </c>
    </row>
    <row r="7603" spans="1:6" ht="15.75" customHeight="1">
      <c r="A7603" s="5" t="str">
        <f ca="1">IFERROR(__xludf.DUMMYFUNCTION("GOOGLETRANSLATE(B39850,""en"",""pt"")"),"Slobozia")</f>
        <v>Slobozia</v>
      </c>
      <c r="B7603" s="17" t="s">
        <v>18482</v>
      </c>
      <c r="C7603" s="17" t="s">
        <v>21824</v>
      </c>
      <c r="D7603" s="17" t="s">
        <v>35335</v>
      </c>
      <c r="E7603" s="10">
        <v>8581467</v>
      </c>
      <c r="F7603" s="4" t="str">
        <f>IF(B7603=B7602,"",B7603)</f>
        <v/>
      </c>
    </row>
    <row r="7604" spans="1:6" ht="15.75" customHeight="1">
      <c r="A7604" s="5" t="s">
        <v>23099</v>
      </c>
      <c r="B7604" s="6" t="s">
        <v>23099</v>
      </c>
      <c r="C7604" s="5" t="s">
        <v>22070</v>
      </c>
      <c r="D7604" s="5" t="s">
        <v>22524</v>
      </c>
      <c r="E7604" s="2">
        <v>491882</v>
      </c>
      <c r="F7604" s="4" t="str">
        <f>IF(B7604=B7603,"",B7604)</f>
        <v>Slobodskoy</v>
      </c>
    </row>
    <row r="7605" spans="1:6" ht="15.75" customHeight="1">
      <c r="A7605" s="5" t="str">
        <f ca="1">IFERROR(__xludf.DUMMYFUNCTION("GOOGLETRANSLATE(B40089,""en"",""pt"")"),"Slobodskoy")</f>
        <v>Slobodskoy</v>
      </c>
      <c r="B7605" s="17" t="s">
        <v>23099</v>
      </c>
      <c r="C7605" s="17" t="s">
        <v>22070</v>
      </c>
      <c r="D7605" s="17" t="s">
        <v>22524</v>
      </c>
      <c r="E7605" s="10">
        <v>491882</v>
      </c>
      <c r="F7605" s="4" t="str">
        <f>IF(B7605=B7604,"",B7605)</f>
        <v/>
      </c>
    </row>
    <row r="7606" spans="1:6" ht="15.75" customHeight="1">
      <c r="A7606" s="6" t="s">
        <v>23098</v>
      </c>
      <c r="B7606" s="6" t="s">
        <v>23098</v>
      </c>
      <c r="C7606" s="6" t="s">
        <v>22070</v>
      </c>
      <c r="D7606" s="6" t="s">
        <v>22127</v>
      </c>
      <c r="E7606" s="2">
        <v>491895</v>
      </c>
      <c r="F7606" s="4" t="str">
        <f>IF(B7606=B7605,"",B7606)</f>
        <v>Slobodka</v>
      </c>
    </row>
    <row r="7607" spans="1:6" ht="15.75" customHeight="1">
      <c r="A7607" s="5" t="str">
        <f ca="1">IFERROR(__xludf.DUMMYFUNCTION("GOOGLETRANSLATE(B40090,""en"",""pt"")"),"Slobodka")</f>
        <v>Slobodka</v>
      </c>
      <c r="B7607" s="17" t="s">
        <v>23098</v>
      </c>
      <c r="C7607" s="17" t="s">
        <v>22070</v>
      </c>
      <c r="D7607" s="17" t="s">
        <v>22127</v>
      </c>
      <c r="E7607" s="10">
        <v>491895</v>
      </c>
      <c r="F7607" s="4" t="str">
        <f>IF(B7607=B7606,"",B7607)</f>
        <v/>
      </c>
    </row>
    <row r="7608" spans="1:6" ht="15.75" customHeight="1">
      <c r="A7608" s="6" t="s">
        <v>3735</v>
      </c>
      <c r="B7608" s="6" t="s">
        <v>3735</v>
      </c>
      <c r="C7608" s="6" t="s">
        <v>3701</v>
      </c>
      <c r="D7608" s="6" t="s">
        <v>3735</v>
      </c>
      <c r="E7608" s="2">
        <v>727079</v>
      </c>
      <c r="F7608" s="4" t="str">
        <f>IF(B7608=B7607,"",B7608)</f>
        <v>Sliven</v>
      </c>
    </row>
    <row r="7609" spans="1:6" ht="15.75" customHeight="1">
      <c r="A7609" s="5" t="str">
        <f ca="1">IFERROR(__xludf.DUMMYFUNCTION("GOOGLETRANSLATE(B24022,""en"",""pt"")"),"Sliven")</f>
        <v>Sliven</v>
      </c>
      <c r="B7609" s="17" t="s">
        <v>3735</v>
      </c>
      <c r="C7609" s="17" t="s">
        <v>3701</v>
      </c>
      <c r="D7609" s="17" t="s">
        <v>3735</v>
      </c>
      <c r="E7609" s="10">
        <v>727079</v>
      </c>
      <c r="F7609" s="4" t="str">
        <f>IF(B7609=B7608,"",B7609)</f>
        <v/>
      </c>
    </row>
    <row r="7610" spans="1:6" ht="15.75" customHeight="1">
      <c r="A7610" s="6" t="s">
        <v>14762</v>
      </c>
      <c r="B7610" s="6" t="s">
        <v>14762</v>
      </c>
      <c r="C7610" s="6" t="s">
        <v>14728</v>
      </c>
      <c r="D7610" s="6" t="s">
        <v>14749</v>
      </c>
      <c r="E7610" s="2">
        <v>2961423</v>
      </c>
      <c r="F7610" s="4" t="str">
        <f>IF(B7610=B7609,"",B7610)</f>
        <v>Sligo</v>
      </c>
    </row>
    <row r="7611" spans="1:6" ht="15.75" customHeight="1">
      <c r="A7611" s="5" t="str">
        <f ca="1">IFERROR(__xludf.DUMMYFUNCTION("GOOGLETRANSLATE(B31729,""en"",""pt"")"),"Sligo")</f>
        <v>Sligo</v>
      </c>
      <c r="B7611" s="17" t="s">
        <v>14762</v>
      </c>
      <c r="C7611" s="17" t="s">
        <v>14728</v>
      </c>
      <c r="D7611" s="17" t="s">
        <v>14749</v>
      </c>
      <c r="E7611" s="10">
        <v>2961423</v>
      </c>
      <c r="F7611" s="4" t="str">
        <f>IF(B7611=B7610,"",B7611)</f>
        <v/>
      </c>
    </row>
    <row r="7612" spans="1:6" ht="15.75" customHeight="1">
      <c r="A7612" s="5" t="s">
        <v>19090</v>
      </c>
      <c r="B7612" s="6" t="s">
        <v>19090</v>
      </c>
      <c r="C7612" s="5" t="s">
        <v>18862</v>
      </c>
      <c r="D7612" s="5" t="s">
        <v>18868</v>
      </c>
      <c r="E7612" s="2">
        <v>2747169</v>
      </c>
      <c r="F7612" s="4" t="str">
        <f>IF(B7612=B7611,"",B7612)</f>
        <v>Sliedrecht</v>
      </c>
    </row>
    <row r="7613" spans="1:6" ht="15.75" customHeight="1">
      <c r="A7613" s="5" t="str">
        <f ca="1">IFERROR(__xludf.DUMMYFUNCTION("GOOGLETRANSLATE(B37953,""en"",""pt"")"),"Sliedrecht")</f>
        <v>Sliedrecht</v>
      </c>
      <c r="B7613" s="17" t="s">
        <v>19090</v>
      </c>
      <c r="C7613" s="17" t="s">
        <v>18862</v>
      </c>
      <c r="D7613" s="17" t="s">
        <v>18868</v>
      </c>
      <c r="E7613" s="10">
        <v>2747169</v>
      </c>
      <c r="F7613" s="4" t="str">
        <f>IF(B7613=B7612,"",B7613)</f>
        <v/>
      </c>
    </row>
    <row r="7614" spans="1:6" ht="15.75" customHeight="1">
      <c r="A7614" s="6" t="s">
        <v>30001</v>
      </c>
      <c r="B7614" s="6" t="s">
        <v>30001</v>
      </c>
      <c r="C7614" s="6" t="s">
        <v>27788</v>
      </c>
      <c r="D7614" s="6" t="s">
        <v>27827</v>
      </c>
      <c r="E7614" s="2">
        <v>4341727</v>
      </c>
      <c r="F7614" s="4" t="str">
        <f>IF(B7614=B7613,"",B7614)</f>
        <v>Slidell</v>
      </c>
    </row>
    <row r="7615" spans="1:6" ht="15.75" customHeight="1">
      <c r="A7615" s="5" t="str">
        <f ca="1">IFERROR(__xludf.DUMMYFUNCTION("GOOGLETRANSLATE(B43250,""en"",""pt"")"),"Slidell")</f>
        <v>Slidell</v>
      </c>
      <c r="B7615" s="17" t="s">
        <v>30001</v>
      </c>
      <c r="C7615" s="17" t="s">
        <v>27788</v>
      </c>
      <c r="D7615" s="17" t="s">
        <v>27827</v>
      </c>
      <c r="E7615" s="10">
        <v>4341727</v>
      </c>
      <c r="F7615" s="4" t="str">
        <f>IF(B7615=B7614,"",B7615)</f>
        <v/>
      </c>
    </row>
    <row r="7616" spans="1:6" ht="15.75" customHeight="1">
      <c r="A7616" s="6" t="s">
        <v>14162</v>
      </c>
      <c r="B7616" s="6" t="s">
        <v>14162</v>
      </c>
      <c r="C7616" s="6" t="s">
        <v>13800</v>
      </c>
      <c r="D7616" s="6" t="s">
        <v>13826</v>
      </c>
      <c r="E7616" s="2">
        <v>1626754</v>
      </c>
      <c r="F7616" s="4" t="str">
        <f>IF(B7616=B7615,"",B7616)</f>
        <v>Sleman</v>
      </c>
    </row>
    <row r="7617" spans="1:6" ht="15.75" customHeight="1">
      <c r="A7617" s="5" t="str">
        <f ca="1">IFERROR(__xludf.DUMMYFUNCTION("GOOGLETRANSLATE(B31443,""en"",""pt"")"),"Sleman")</f>
        <v>Sleman</v>
      </c>
      <c r="B7617" s="17" t="s">
        <v>14162</v>
      </c>
      <c r="C7617" s="17" t="s">
        <v>13800</v>
      </c>
      <c r="D7617" s="17" t="s">
        <v>13826</v>
      </c>
      <c r="E7617" s="10">
        <v>1626754</v>
      </c>
      <c r="F7617" s="4" t="str">
        <f>IF(B7617=B7616,"",B7617)</f>
        <v/>
      </c>
    </row>
    <row r="7618" spans="1:6" ht="15.75" customHeight="1">
      <c r="A7618" s="6" t="s">
        <v>27679</v>
      </c>
      <c r="B7618" s="6" t="s">
        <v>27679</v>
      </c>
      <c r="C7618" s="6" t="s">
        <v>27234</v>
      </c>
      <c r="D7618" s="6" t="s">
        <v>27241</v>
      </c>
      <c r="E7618" s="2">
        <v>2637659</v>
      </c>
      <c r="F7618" s="4" t="str">
        <f>IF(B7618=B7617,"",B7618)</f>
        <v>Sleaford</v>
      </c>
    </row>
    <row r="7619" spans="1:6" ht="15.75" customHeight="1">
      <c r="A7619" s="5" t="str">
        <f ca="1">IFERROR(__xludf.DUMMYFUNCTION("GOOGLETRANSLATE(B30402,""en"",""pt"")"),"Sleaford")</f>
        <v>Sleaford</v>
      </c>
      <c r="B7619" s="17" t="s">
        <v>27679</v>
      </c>
      <c r="C7619" s="17" t="s">
        <v>27234</v>
      </c>
      <c r="D7619" s="17" t="s">
        <v>27241</v>
      </c>
      <c r="E7619" s="10">
        <v>2637659</v>
      </c>
      <c r="F7619" s="4" t="str">
        <f>IF(B7619=B7618,"",B7619)</f>
        <v/>
      </c>
    </row>
    <row r="7620" spans="1:6" ht="15.75" customHeight="1">
      <c r="A7620" s="6" t="s">
        <v>14161</v>
      </c>
      <c r="B7620" s="6" t="s">
        <v>14161</v>
      </c>
      <c r="C7620" s="6" t="s">
        <v>13800</v>
      </c>
      <c r="D7620" s="6" t="s">
        <v>13803</v>
      </c>
      <c r="E7620" s="2">
        <v>1626758</v>
      </c>
      <c r="F7620" s="4" t="str">
        <f>IF(B7620=B7619,"",B7620)</f>
        <v>Slawi</v>
      </c>
    </row>
    <row r="7621" spans="1:6" ht="15.75" customHeight="1">
      <c r="A7621" s="5" t="str">
        <f ca="1">IFERROR(__xludf.DUMMYFUNCTION("GOOGLETRANSLATE(B31444,""en"",""pt"")"),"Slawi")</f>
        <v>Slawi</v>
      </c>
      <c r="B7621" s="17" t="s">
        <v>14161</v>
      </c>
      <c r="C7621" s="17" t="s">
        <v>13800</v>
      </c>
      <c r="D7621" s="17" t="s">
        <v>13803</v>
      </c>
      <c r="E7621" s="10">
        <v>1626758</v>
      </c>
      <c r="F7621" s="4" t="str">
        <f>IF(B7621=B7620,"",B7621)</f>
        <v/>
      </c>
    </row>
    <row r="7622" spans="1:6" ht="15.75" customHeight="1">
      <c r="A7622" s="5" t="s">
        <v>23096</v>
      </c>
      <c r="B7622" s="6" t="s">
        <v>23097</v>
      </c>
      <c r="C7622" s="5" t="s">
        <v>22070</v>
      </c>
      <c r="D7622" s="5" t="s">
        <v>22077</v>
      </c>
      <c r="E7622" s="2">
        <v>492094</v>
      </c>
      <c r="F7622" s="4" t="str">
        <f>IF(B7622=B7621,"",B7622)</f>
        <v>Slavyansk-na-Kubani</v>
      </c>
    </row>
    <row r="7623" spans="1:6" ht="15.75" customHeight="1">
      <c r="A7623" s="5" t="str">
        <f ca="1">IFERROR(__xludf.DUMMYFUNCTION("GOOGLETRANSLATE(B40091,""en"",""pt"")"),"Slavyansk-Na-Kubani")</f>
        <v>Slavyansk-Na-Kubani</v>
      </c>
      <c r="B7623" s="17" t="s">
        <v>23097</v>
      </c>
      <c r="C7623" s="17" t="s">
        <v>22070</v>
      </c>
      <c r="D7623" s="17" t="s">
        <v>22077</v>
      </c>
      <c r="E7623" s="10">
        <v>492094</v>
      </c>
      <c r="F7623" s="4" t="str">
        <f>IF(B7623=B7622,"",B7623)</f>
        <v/>
      </c>
    </row>
    <row r="7624" spans="1:6" ht="15.75" customHeight="1">
      <c r="A7624" s="6" t="s">
        <v>27142</v>
      </c>
      <c r="B7624" s="6" t="s">
        <v>27142</v>
      </c>
      <c r="C7624" s="6" t="s">
        <v>26870</v>
      </c>
      <c r="D7624" s="6" t="s">
        <v>26955</v>
      </c>
      <c r="E7624" s="2">
        <v>693581</v>
      </c>
      <c r="F7624" s="4" t="str">
        <f>IF(B7624=B7623,"",B7624)</f>
        <v>Slavuta</v>
      </c>
    </row>
    <row r="7625" spans="1:6" ht="15.75" customHeight="1">
      <c r="A7625" s="5" t="str">
        <f ca="1">IFERROR(__xludf.DUMMYFUNCTION("GOOGLETRANSLATE(B42521,""en"",""pt"")"),"Slavuta")</f>
        <v>Slavuta</v>
      </c>
      <c r="B7625" s="17" t="s">
        <v>27142</v>
      </c>
      <c r="C7625" s="17" t="s">
        <v>26870</v>
      </c>
      <c r="D7625" s="17" t="s">
        <v>26955</v>
      </c>
      <c r="E7625" s="10">
        <v>693581</v>
      </c>
      <c r="F7625" s="4" t="str">
        <f>IF(B7625=B7624,"",B7625)</f>
        <v/>
      </c>
    </row>
    <row r="7626" spans="1:6" ht="15.75" customHeight="1">
      <c r="A7626" s="5" t="s">
        <v>5739</v>
      </c>
      <c r="B7626" s="6" t="s">
        <v>5739</v>
      </c>
      <c r="C7626" s="5" t="s">
        <v>5711</v>
      </c>
      <c r="D7626" s="5" t="s">
        <v>5740</v>
      </c>
      <c r="E7626" s="2">
        <v>3190586</v>
      </c>
      <c r="F7626" s="4" t="str">
        <f>IF(B7626=B7625,"",B7626)</f>
        <v>Slavonski Brod</v>
      </c>
    </row>
    <row r="7627" spans="1:6" ht="15.75" customHeight="1">
      <c r="A7627" s="5" t="str">
        <f ca="1">IFERROR(__xludf.DUMMYFUNCTION("GOOGLETRANSLATE(B31197,""en"",""pt"")"),"Slavonski Brod")</f>
        <v>Slavonski Brod</v>
      </c>
      <c r="B7627" s="17" t="s">
        <v>5739</v>
      </c>
      <c r="C7627" s="17" t="s">
        <v>5711</v>
      </c>
      <c r="D7627" s="17" t="s">
        <v>5740</v>
      </c>
      <c r="E7627" s="10">
        <v>3190586</v>
      </c>
      <c r="F7627" s="4" t="str">
        <f>IF(B7627=B7626,"",B7627)</f>
        <v/>
      </c>
    </row>
    <row r="7628" spans="1:6" ht="15.75" customHeight="1">
      <c r="A7628" s="6" t="s">
        <v>23095</v>
      </c>
      <c r="B7628" s="6" t="s">
        <v>23095</v>
      </c>
      <c r="C7628" s="6" t="s">
        <v>22070</v>
      </c>
      <c r="D7628" s="6" t="s">
        <v>22124</v>
      </c>
      <c r="E7628" s="2">
        <v>1491706</v>
      </c>
      <c r="F7628" s="4" t="str">
        <f>IF(B7628=B7627,"",B7628)</f>
        <v>Slavgorod</v>
      </c>
    </row>
    <row r="7629" spans="1:6" ht="15.75" customHeight="1">
      <c r="A7629" s="5" t="str">
        <f ca="1">IFERROR(__xludf.DUMMYFUNCTION("GOOGLETRANSLATE(B40759,""en"",""pt"")"),"Slavgorod")</f>
        <v>Slavgorod</v>
      </c>
      <c r="B7629" s="17" t="s">
        <v>23095</v>
      </c>
      <c r="C7629" s="17" t="s">
        <v>22070</v>
      </c>
      <c r="D7629" s="17" t="s">
        <v>22124</v>
      </c>
      <c r="E7629" s="10">
        <v>1491706</v>
      </c>
      <c r="F7629" s="4" t="str">
        <f>IF(B7629=B7628,"",B7629)</f>
        <v/>
      </c>
    </row>
    <row r="7630" spans="1:6" ht="15.75" customHeight="1">
      <c r="A7630" s="6" t="s">
        <v>22036</v>
      </c>
      <c r="B7630" s="6" t="s">
        <v>22036</v>
      </c>
      <c r="C7630" s="6" t="s">
        <v>21824</v>
      </c>
      <c r="D7630" s="6" t="s">
        <v>21850</v>
      </c>
      <c r="E7630" s="2">
        <v>666767</v>
      </c>
      <c r="F7630" s="4" t="str">
        <f>IF(B7630=B7629,"",B7630)</f>
        <v>Slatina</v>
      </c>
    </row>
    <row r="7631" spans="1:6" ht="15.75" customHeight="1">
      <c r="A7631" s="5" t="str">
        <f ca="1">IFERROR(__xludf.DUMMYFUNCTION("GOOGLETRANSLATE(B39743,""en"",""pt"")"),"Slatina")</f>
        <v>Slatina</v>
      </c>
      <c r="B7631" s="17" t="s">
        <v>22036</v>
      </c>
      <c r="C7631" s="17" t="s">
        <v>21824</v>
      </c>
      <c r="D7631" s="17" t="s">
        <v>21850</v>
      </c>
      <c r="E7631" s="10">
        <v>666767</v>
      </c>
      <c r="F7631" s="4" t="str">
        <f>IF(B7631=B7630,"",B7631)</f>
        <v/>
      </c>
    </row>
    <row r="7632" spans="1:6" ht="15.75" customHeight="1">
      <c r="A7632" s="5" t="str">
        <f ca="1">IFERROR(__xludf.DUMMYFUNCTION("GOOGLETRANSLATE(B27266,""en"",""pt"")"),"Slaný")</f>
        <v>Slaný</v>
      </c>
      <c r="B7632" s="17" t="s">
        <v>31960</v>
      </c>
      <c r="C7632" s="17" t="s">
        <v>5947</v>
      </c>
      <c r="D7632" s="17" t="s">
        <v>5985</v>
      </c>
      <c r="E7632" s="10">
        <v>3065903</v>
      </c>
      <c r="F7632" s="4" t="str">
        <f>IF(B7632=B7631,"",B7632)</f>
        <v>Slaný</v>
      </c>
    </row>
    <row r="7633" spans="1:6" ht="15.75" customHeight="1">
      <c r="A7633" s="6" t="s">
        <v>23094</v>
      </c>
      <c r="B7633" s="6" t="s">
        <v>23094</v>
      </c>
      <c r="C7633" s="6" t="s">
        <v>22070</v>
      </c>
      <c r="D7633" s="6" t="s">
        <v>22094</v>
      </c>
      <c r="E7633" s="2">
        <v>492162</v>
      </c>
      <c r="F7633" s="4" t="str">
        <f>IF(B7633=B7632,"",B7633)</f>
        <v>Slantsy</v>
      </c>
    </row>
    <row r="7634" spans="1:6" ht="15.75" customHeight="1">
      <c r="A7634" s="5" t="str">
        <f ca="1">IFERROR(__xludf.DUMMYFUNCTION("GOOGLETRANSLATE(B40092,""en"",""pt"")"),"Slantsy")</f>
        <v>Slantsy</v>
      </c>
      <c r="B7634" s="17" t="s">
        <v>23094</v>
      </c>
      <c r="C7634" s="17" t="s">
        <v>22070</v>
      </c>
      <c r="D7634" s="17" t="s">
        <v>22094</v>
      </c>
      <c r="E7634" s="10">
        <v>492162</v>
      </c>
      <c r="F7634" s="4" t="str">
        <f>IF(B7634=B7633,"",B7634)</f>
        <v/>
      </c>
    </row>
    <row r="7635" spans="1:6" ht="15.75" customHeight="1">
      <c r="A7635" s="6" t="s">
        <v>6098</v>
      </c>
      <c r="B7635" s="6" t="s">
        <v>6099</v>
      </c>
      <c r="C7635" s="6" t="s">
        <v>5947</v>
      </c>
      <c r="D7635" s="6" t="s">
        <v>5985</v>
      </c>
      <c r="E7635" s="2">
        <v>3065903</v>
      </c>
      <c r="F7635" s="4" t="str">
        <f>IF(B7635=B7634,"",B7635)</f>
        <v>SlanÃ½</v>
      </c>
    </row>
    <row r="7636" spans="1:6" ht="15.75" customHeight="1">
      <c r="A7636" s="6" t="s">
        <v>6281</v>
      </c>
      <c r="B7636" s="6" t="s">
        <v>6281</v>
      </c>
      <c r="C7636" s="6" t="s">
        <v>6209</v>
      </c>
      <c r="D7636" s="6" t="s">
        <v>6232</v>
      </c>
      <c r="E7636" s="2">
        <v>2613460</v>
      </c>
      <c r="F7636" s="4" t="str">
        <f>IF(B7636=B7635,"",B7636)</f>
        <v>Slagelse</v>
      </c>
    </row>
    <row r="7637" spans="1:6" ht="15.75" customHeight="1">
      <c r="A7637" s="5" t="str">
        <f ca="1">IFERROR(__xludf.DUMMYFUNCTION("GOOGLETRANSLATE(B28409,""en"",""pt"")"),"Slagelse")</f>
        <v>Slagelse</v>
      </c>
      <c r="B7637" s="17" t="s">
        <v>6281</v>
      </c>
      <c r="C7637" s="17" t="s">
        <v>6209</v>
      </c>
      <c r="D7637" s="17" t="s">
        <v>6232</v>
      </c>
      <c r="E7637" s="10">
        <v>2613460</v>
      </c>
      <c r="F7637" s="4" t="str">
        <f>IF(B7637=B7636,"",B7637)</f>
        <v/>
      </c>
    </row>
    <row r="7638" spans="1:6" ht="15.75" customHeight="1">
      <c r="A7638" s="6" t="s">
        <v>27141</v>
      </c>
      <c r="B7638" s="6" t="s">
        <v>27141</v>
      </c>
      <c r="C7638" s="6" t="s">
        <v>26870</v>
      </c>
      <c r="D7638" s="6" t="s">
        <v>26905</v>
      </c>
      <c r="E7638" s="2">
        <v>693615</v>
      </c>
      <c r="F7638" s="4" t="str">
        <f>IF(B7638=B7637,"",B7638)</f>
        <v>Skvyra</v>
      </c>
    </row>
    <row r="7639" spans="1:6" ht="15.75" customHeight="1">
      <c r="A7639" s="5" t="str">
        <f ca="1">IFERROR(__xludf.DUMMYFUNCTION("GOOGLETRANSLATE(B42522,""en"",""pt"")"),"Skvyra")</f>
        <v>Skvyra</v>
      </c>
      <c r="B7639" s="17" t="s">
        <v>27141</v>
      </c>
      <c r="C7639" s="17" t="s">
        <v>26870</v>
      </c>
      <c r="D7639" s="17" t="s">
        <v>26905</v>
      </c>
      <c r="E7639" s="10">
        <v>693615</v>
      </c>
      <c r="F7639" s="4" t="str">
        <f>IF(B7639=B7638,"",B7639)</f>
        <v/>
      </c>
    </row>
    <row r="7640" spans="1:6" ht="15.75" customHeight="1">
      <c r="A7640" s="6" t="s">
        <v>17570</v>
      </c>
      <c r="B7640" s="6" t="s">
        <v>17570</v>
      </c>
      <c r="C7640" s="6" t="s">
        <v>17432</v>
      </c>
      <c r="D7640" s="6" t="s">
        <v>17442</v>
      </c>
      <c r="E7640" s="2">
        <v>1732745</v>
      </c>
      <c r="F7640" s="4" t="str">
        <f>IF(B7640=B7639,"",B7640)</f>
        <v>Skudai</v>
      </c>
    </row>
    <row r="7641" spans="1:6" ht="15.75" customHeight="1">
      <c r="A7641" s="5" t="str">
        <f ca="1">IFERROR(__xludf.DUMMYFUNCTION("GOOGLETRANSLATE(B37414,""en"",""pt"")"),"Skudai")</f>
        <v>Skudai</v>
      </c>
      <c r="B7641" s="17" t="s">
        <v>17570</v>
      </c>
      <c r="C7641" s="17" t="s">
        <v>17432</v>
      </c>
      <c r="D7641" s="17" t="s">
        <v>17442</v>
      </c>
      <c r="E7641" s="10">
        <v>1732745</v>
      </c>
      <c r="F7641" s="4" t="str">
        <f>IF(B7641=B7640,"",B7641)</f>
        <v/>
      </c>
    </row>
    <row r="7642" spans="1:6" ht="15.75" customHeight="1">
      <c r="A7642" s="5" t="str">
        <f ca="1">IFERROR(__xludf.DUMMYFUNCTION("GOOGLETRANSLATE(B41146,""en"",""pt"")"),"Skövde")</f>
        <v>Skövde</v>
      </c>
      <c r="B7642" s="17" t="s">
        <v>35633</v>
      </c>
      <c r="C7642" s="17" t="s">
        <v>25077</v>
      </c>
      <c r="D7642" s="17" t="s">
        <v>35628</v>
      </c>
      <c r="E7642" s="10">
        <v>2677234</v>
      </c>
      <c r="F7642" s="4" t="str">
        <f>IF(B7642=B7641,"",B7642)</f>
        <v>Skövde</v>
      </c>
    </row>
    <row r="7643" spans="1:6" ht="15.75" customHeight="1">
      <c r="A7643" s="6" t="s">
        <v>17282</v>
      </c>
      <c r="B7643" s="6" t="s">
        <v>17282</v>
      </c>
      <c r="C7643" s="6" t="s">
        <v>17221</v>
      </c>
      <c r="D7643" s="6" t="s">
        <v>17283</v>
      </c>
      <c r="E7643" s="2">
        <v>785842</v>
      </c>
      <c r="F7643" s="4" t="str">
        <f>IF(B7643=B7642,"",B7643)</f>
        <v>Skopje</v>
      </c>
    </row>
    <row r="7644" spans="1:6" ht="15.75" customHeight="1">
      <c r="A7644" s="5" t="str">
        <f ca="1">IFERROR(__xludf.DUMMYFUNCTION("GOOGLETRANSLATE(B36650,""en"",""pt"")"),"Skopje")</f>
        <v>Skopje</v>
      </c>
      <c r="B7644" s="17" t="s">
        <v>17282</v>
      </c>
      <c r="C7644" s="17" t="s">
        <v>17221</v>
      </c>
      <c r="D7644" s="17" t="s">
        <v>34620</v>
      </c>
      <c r="E7644" s="10">
        <v>785842</v>
      </c>
      <c r="F7644" s="4" t="str">
        <f>IF(B7644=B7643,"",B7644)</f>
        <v/>
      </c>
    </row>
    <row r="7645" spans="1:6" ht="15.75" customHeight="1">
      <c r="A7645" s="6" t="s">
        <v>23093</v>
      </c>
      <c r="B7645" s="6" t="s">
        <v>23093</v>
      </c>
      <c r="C7645" s="6" t="s">
        <v>22070</v>
      </c>
      <c r="D7645" s="6" t="s">
        <v>22486</v>
      </c>
      <c r="E7645" s="2">
        <v>492376</v>
      </c>
      <c r="F7645" s="4" t="str">
        <f>IF(B7645=B7644,"",B7645)</f>
        <v>Skopin</v>
      </c>
    </row>
    <row r="7646" spans="1:6" ht="15.75" customHeight="1">
      <c r="A7646" s="5" t="str">
        <f ca="1">IFERROR(__xludf.DUMMYFUNCTION("GOOGLETRANSLATE(B40093,""en"",""pt"")"),"Skopin")</f>
        <v>Skopin</v>
      </c>
      <c r="B7646" s="17" t="s">
        <v>23093</v>
      </c>
      <c r="C7646" s="17" t="s">
        <v>22070</v>
      </c>
      <c r="D7646" s="17" t="s">
        <v>22486</v>
      </c>
      <c r="E7646" s="10">
        <v>492376</v>
      </c>
      <c r="F7646" s="4" t="str">
        <f>IF(B7646=B7645,"",B7646)</f>
        <v/>
      </c>
    </row>
    <row r="7647" spans="1:6" ht="15.75" customHeight="1">
      <c r="A7647" s="6" t="s">
        <v>30000</v>
      </c>
      <c r="B7647" s="6" t="s">
        <v>30000</v>
      </c>
      <c r="C7647" s="6" t="s">
        <v>27788</v>
      </c>
      <c r="D7647" s="6" t="s">
        <v>27799</v>
      </c>
      <c r="E7647" s="2">
        <v>4911600</v>
      </c>
      <c r="F7647" s="4" t="str">
        <f>IF(B7647=B7646,"",B7647)</f>
        <v>Skokie</v>
      </c>
    </row>
    <row r="7648" spans="1:6" ht="15.75" customHeight="1">
      <c r="A7648" s="5" t="str">
        <f ca="1">IFERROR(__xludf.DUMMYFUNCTION("GOOGLETRANSLATE(B43884,""en"",""pt"")"),"Skokie")</f>
        <v>Skokie</v>
      </c>
      <c r="B7648" s="17" t="s">
        <v>30000</v>
      </c>
      <c r="C7648" s="17" t="s">
        <v>27788</v>
      </c>
      <c r="D7648" s="17" t="s">
        <v>27799</v>
      </c>
      <c r="E7648" s="10">
        <v>4911600</v>
      </c>
      <c r="F7648" s="4" t="str">
        <f>IF(B7648=B7647,"",B7648)</f>
        <v/>
      </c>
    </row>
    <row r="7649" spans="1:6" ht="15.75" customHeight="1">
      <c r="A7649" s="6" t="s">
        <v>6279</v>
      </c>
      <c r="B7649" s="6" t="s">
        <v>6280</v>
      </c>
      <c r="C7649" s="6" t="s">
        <v>6209</v>
      </c>
      <c r="D7649" s="6" t="s">
        <v>6210</v>
      </c>
      <c r="E7649" s="2">
        <v>2613731</v>
      </c>
      <c r="F7649" s="4" t="str">
        <f>IF(B7649=B7648,"",B7649)</f>
        <v>Skive</v>
      </c>
    </row>
    <row r="7650" spans="1:6" ht="15.75" customHeight="1">
      <c r="A7650" s="5" t="str">
        <f ca="1">IFERROR(__xludf.DUMMYFUNCTION("GOOGLETRANSLATE(B28410,""en"",""pt"")"),"Pisar")</f>
        <v>Pisar</v>
      </c>
      <c r="B7650" s="17" t="s">
        <v>6280</v>
      </c>
      <c r="C7650" s="17" t="s">
        <v>6209</v>
      </c>
      <c r="D7650" s="17" t="s">
        <v>6210</v>
      </c>
      <c r="E7650" s="10">
        <v>2613731</v>
      </c>
      <c r="F7650" s="4" t="str">
        <f>IF(B7650=B7649,"",B7650)</f>
        <v/>
      </c>
    </row>
    <row r="7651" spans="1:6" ht="15.75" customHeight="1">
      <c r="A7651" s="6" t="s">
        <v>235</v>
      </c>
      <c r="B7651" s="6" t="s">
        <v>235</v>
      </c>
      <c r="C7651" s="6" t="s">
        <v>153</v>
      </c>
      <c r="D7651" s="6" t="s">
        <v>235</v>
      </c>
      <c r="E7651" s="2">
        <v>2479536</v>
      </c>
      <c r="F7651" s="4" t="str">
        <f>IF(B7651=B7650,"",B7651)</f>
        <v>Skikda</v>
      </c>
    </row>
    <row r="7652" spans="1:6" ht="15.75" customHeight="1">
      <c r="A7652" s="5" t="str">
        <f ca="1">IFERROR(__xludf.DUMMYFUNCTION("GOOGLETRANSLATE(B28532,""en"",""pt"")"),"Skikda")</f>
        <v>Skikda</v>
      </c>
      <c r="B7652" s="17" t="s">
        <v>235</v>
      </c>
      <c r="C7652" s="17" t="s">
        <v>153</v>
      </c>
      <c r="D7652" s="17" t="s">
        <v>235</v>
      </c>
      <c r="E7652" s="10">
        <v>2479536</v>
      </c>
      <c r="F7652" s="4" t="str">
        <f>IF(B7652=B7651,"",B7652)</f>
        <v/>
      </c>
    </row>
    <row r="7653" spans="1:6" ht="15.75" customHeight="1">
      <c r="A7653" s="5" t="s">
        <v>21494</v>
      </c>
      <c r="B7653" s="6" t="s">
        <v>21494</v>
      </c>
      <c r="C7653" s="5" t="s">
        <v>21064</v>
      </c>
      <c r="D7653" s="5" t="s">
        <v>21080</v>
      </c>
      <c r="E7653" s="2">
        <v>759123</v>
      </c>
      <c r="F7653" s="4" t="str">
        <f>IF(B7653=B7652,"",B7653)</f>
        <v>Skierniewice</v>
      </c>
    </row>
    <row r="7654" spans="1:6" ht="15.75" customHeight="1">
      <c r="A7654" s="5" t="str">
        <f ca="1">IFERROR(__xludf.DUMMYFUNCTION("GOOGLETRANSLATE(B39206,""en"",""pt"")"),"Skierniewice")</f>
        <v>Skierniewice</v>
      </c>
      <c r="B7654" s="17" t="s">
        <v>21494</v>
      </c>
      <c r="C7654" s="17" t="s">
        <v>21064</v>
      </c>
      <c r="D7654" s="17" t="s">
        <v>35071</v>
      </c>
      <c r="E7654" s="10">
        <v>759123</v>
      </c>
      <c r="F7654" s="4" t="str">
        <f>IF(B7654=B7653,"",B7654)</f>
        <v/>
      </c>
    </row>
    <row r="7655" spans="1:6" ht="15.75" customHeight="1">
      <c r="A7655" s="6" t="s">
        <v>19740</v>
      </c>
      <c r="B7655" s="6" t="s">
        <v>19740</v>
      </c>
      <c r="C7655" s="6" t="s">
        <v>19695</v>
      </c>
      <c r="D7655" s="6" t="s">
        <v>19736</v>
      </c>
      <c r="E7655" s="2">
        <v>3139075</v>
      </c>
      <c r="F7655" s="4" t="str">
        <f>IF(B7655=B7654,"",B7655)</f>
        <v>Skien</v>
      </c>
    </row>
    <row r="7656" spans="1:6" ht="15.75" customHeight="1">
      <c r="A7656" s="5" t="str">
        <f ca="1">IFERROR(__xludf.DUMMYFUNCTION("GOOGLETRANSLATE(B38148,""en"",""pt"")"),"Skien")</f>
        <v>Skien</v>
      </c>
      <c r="B7656" s="17" t="s">
        <v>19740</v>
      </c>
      <c r="C7656" s="17" t="s">
        <v>19695</v>
      </c>
      <c r="D7656" s="17" t="s">
        <v>19736</v>
      </c>
      <c r="E7656" s="10">
        <v>3139075</v>
      </c>
      <c r="F7656" s="4" t="str">
        <f>IF(B7656=B7655,"",B7656)</f>
        <v/>
      </c>
    </row>
    <row r="7657" spans="1:6" ht="15.75" customHeight="1">
      <c r="A7657" s="6" t="s">
        <v>23092</v>
      </c>
      <c r="B7657" s="6" t="s">
        <v>23092</v>
      </c>
      <c r="C7657" s="6" t="s">
        <v>22070</v>
      </c>
      <c r="D7657" s="6" t="s">
        <v>22119</v>
      </c>
      <c r="E7657" s="2">
        <v>492448</v>
      </c>
      <c r="F7657" s="4" t="str">
        <f>IF(B7657=B7656,"",B7657)</f>
        <v>Skhodnya</v>
      </c>
    </row>
    <row r="7658" spans="1:6" ht="15.75" customHeight="1">
      <c r="A7658" s="5" t="str">
        <f ca="1">IFERROR(__xludf.DUMMYFUNCTION("GOOGLETRANSLATE(B40094,""en"",""pt"")"),"Skhodnya")</f>
        <v>Skhodnya</v>
      </c>
      <c r="B7658" s="17" t="s">
        <v>23092</v>
      </c>
      <c r="C7658" s="17" t="s">
        <v>22070</v>
      </c>
      <c r="D7658" s="17" t="s">
        <v>22119</v>
      </c>
      <c r="E7658" s="10">
        <v>492448</v>
      </c>
      <c r="F7658" s="4" t="str">
        <f>IF(B7658=B7657,"",B7658)</f>
        <v/>
      </c>
    </row>
    <row r="7659" spans="1:6" ht="15.75" customHeight="1">
      <c r="A7659" s="6" t="s">
        <v>18629</v>
      </c>
      <c r="B7659" s="6" t="s">
        <v>18629</v>
      </c>
      <c r="C7659" s="6" t="s">
        <v>18551</v>
      </c>
      <c r="D7659" s="6" t="s">
        <v>18598</v>
      </c>
      <c r="E7659" s="2">
        <v>2562055</v>
      </c>
      <c r="F7659" s="4" t="str">
        <f>IF(B7659=B7658,"",B7659)</f>
        <v>Skhirate</v>
      </c>
    </row>
    <row r="7660" spans="1:6" ht="15.75" customHeight="1">
      <c r="A7660" s="5" t="str">
        <f ca="1">IFERROR(__xludf.DUMMYFUNCTION("GOOGLETRANSLATE(B36521,""en"",""pt"")"),"Skhirate")</f>
        <v>Skhirate</v>
      </c>
      <c r="B7660" s="17" t="s">
        <v>18629</v>
      </c>
      <c r="C7660" s="17" t="s">
        <v>18551</v>
      </c>
      <c r="D7660" s="17" t="s">
        <v>34585</v>
      </c>
      <c r="E7660" s="10">
        <v>2562055</v>
      </c>
      <c r="F7660" s="4" t="str">
        <f>IF(B7660=B7659,"",B7660)</f>
        <v/>
      </c>
    </row>
    <row r="7661" spans="1:6" ht="15.75" customHeight="1">
      <c r="A7661" s="5" t="s">
        <v>27678</v>
      </c>
      <c r="B7661" s="6" t="s">
        <v>27678</v>
      </c>
      <c r="C7661" s="5" t="s">
        <v>27234</v>
      </c>
      <c r="D7661" s="5" t="s">
        <v>27241</v>
      </c>
      <c r="E7661" s="2">
        <v>2637752</v>
      </c>
      <c r="F7661" s="4" t="str">
        <f>IF(B7661=B7660,"",B7661)</f>
        <v>Skelmersdale</v>
      </c>
    </row>
    <row r="7662" spans="1:6" ht="15.75" customHeight="1">
      <c r="A7662" s="5" t="str">
        <f ca="1">IFERROR(__xludf.DUMMYFUNCTION("GOOGLETRANSLATE(B30403,""en"",""pt"")"),"Skelmersdale")</f>
        <v>Skelmersdale</v>
      </c>
      <c r="B7662" s="17" t="s">
        <v>27678</v>
      </c>
      <c r="C7662" s="17" t="s">
        <v>27234</v>
      </c>
      <c r="D7662" s="17" t="s">
        <v>27241</v>
      </c>
      <c r="E7662" s="10">
        <v>2637752</v>
      </c>
      <c r="F7662" s="4" t="str">
        <f>IF(B7662=B7661,"",B7662)</f>
        <v/>
      </c>
    </row>
    <row r="7663" spans="1:6" ht="15.75" customHeight="1">
      <c r="A7663" s="6" t="s">
        <v>25200</v>
      </c>
      <c r="B7663" s="6" t="s">
        <v>25201</v>
      </c>
      <c r="C7663" s="6" t="s">
        <v>25077</v>
      </c>
      <c r="D7663" s="6" t="s">
        <v>25202</v>
      </c>
      <c r="E7663" s="2">
        <v>602913</v>
      </c>
      <c r="F7663" s="4" t="str">
        <f>IF(B7663=B7662,"",B7663)</f>
        <v>SkellefteÃ¥</v>
      </c>
    </row>
    <row r="7664" spans="1:6" ht="15.75" customHeight="1">
      <c r="A7664" s="5" t="str">
        <f ca="1">IFERROR(__xludf.DUMMYFUNCTION("GOOGLETRANSLATE(B41118,""en"",""pt"")"),"Skellefteå")</f>
        <v>Skellefteå</v>
      </c>
      <c r="B7664" s="17" t="s">
        <v>35621</v>
      </c>
      <c r="C7664" s="17" t="s">
        <v>25077</v>
      </c>
      <c r="D7664" s="17" t="s">
        <v>35620</v>
      </c>
      <c r="E7664" s="10">
        <v>602913</v>
      </c>
      <c r="F7664" s="4" t="str">
        <f>IF(B7664=B7663,"",B7664)</f>
        <v>Skellefteå</v>
      </c>
    </row>
    <row r="7665" spans="1:6" ht="15.75" customHeight="1">
      <c r="A7665" s="6" t="s">
        <v>27677</v>
      </c>
      <c r="B7665" s="6" t="s">
        <v>27677</v>
      </c>
      <c r="C7665" s="6" t="s">
        <v>27234</v>
      </c>
      <c r="D7665" s="6" t="s">
        <v>27241</v>
      </c>
      <c r="E7665" s="2">
        <v>2637762</v>
      </c>
      <c r="F7665" s="4" t="str">
        <f>IF(B7665=B7664,"",B7665)</f>
        <v>Skegness</v>
      </c>
    </row>
    <row r="7666" spans="1:6" ht="15.75" customHeight="1">
      <c r="A7666" s="5" t="str">
        <f ca="1">IFERROR(__xludf.DUMMYFUNCTION("GOOGLETRANSLATE(B30404,""en"",""pt"")"),"Skegness")</f>
        <v>Skegness</v>
      </c>
      <c r="B7666" s="17" t="s">
        <v>27677</v>
      </c>
      <c r="C7666" s="17" t="s">
        <v>27234</v>
      </c>
      <c r="D7666" s="17" t="s">
        <v>27241</v>
      </c>
      <c r="E7666" s="10">
        <v>2637762</v>
      </c>
      <c r="F7666" s="4" t="str">
        <f>IF(B7666=B7665,"",B7666)</f>
        <v/>
      </c>
    </row>
    <row r="7667" spans="1:6" ht="15.75" customHeight="1">
      <c r="A7667" s="6" t="s">
        <v>21493</v>
      </c>
      <c r="B7667" s="6" t="s">
        <v>21493</v>
      </c>
      <c r="C7667" s="6" t="s">
        <v>21064</v>
      </c>
      <c r="D7667" s="6" t="s">
        <v>21108</v>
      </c>
      <c r="E7667" s="2">
        <v>3085807</v>
      </c>
      <c r="F7667" s="4" t="str">
        <f>IF(B7667=B7666,"",B7667)</f>
        <v>Skawina</v>
      </c>
    </row>
    <row r="7668" spans="1:6" ht="15.75" customHeight="1">
      <c r="A7668" s="5" t="str">
        <f ca="1">IFERROR(__xludf.DUMMYFUNCTION("GOOGLETRANSLATE(B39355,""en"",""pt"")"),"Skawina")</f>
        <v>Skawina</v>
      </c>
      <c r="B7668" s="17" t="s">
        <v>21493</v>
      </c>
      <c r="C7668" s="17" t="s">
        <v>21064</v>
      </c>
      <c r="D7668" s="17" t="s">
        <v>21108</v>
      </c>
      <c r="E7668" s="10">
        <v>3085807</v>
      </c>
      <c r="F7668" s="4" t="str">
        <f>IF(B7668=B7667,"",B7668)</f>
        <v/>
      </c>
    </row>
    <row r="7669" spans="1:6" ht="15.75" customHeight="1">
      <c r="A7669" s="5" t="str">
        <f ca="1">IFERROR(__xludf.DUMMYFUNCTION("GOOGLETRANSLATE(B39207,""en"",""pt"")"),"Skarżysko-kamienna")</f>
        <v>Skarżysko-kamienna</v>
      </c>
      <c r="B7669" s="17" t="s">
        <v>35083</v>
      </c>
      <c r="C7669" s="17" t="s">
        <v>21064</v>
      </c>
      <c r="D7669" s="17" t="s">
        <v>35079</v>
      </c>
      <c r="E7669" s="10">
        <v>759141</v>
      </c>
      <c r="F7669" s="4" t="str">
        <f>IF(B7669=B7668,"",B7669)</f>
        <v>Skarżysko-Kamienna</v>
      </c>
    </row>
    <row r="7670" spans="1:6" ht="15.75" customHeight="1">
      <c r="A7670" s="5" t="s">
        <v>21491</v>
      </c>
      <c r="B7670" s="6" t="s">
        <v>21492</v>
      </c>
      <c r="C7670" s="5" t="s">
        <v>21064</v>
      </c>
      <c r="D7670" s="5" t="s">
        <v>21169</v>
      </c>
      <c r="E7670" s="2">
        <v>759141</v>
      </c>
      <c r="F7670" s="4" t="str">
        <f>IF(B7670=B7669,"",B7670)</f>
        <v>SkarÅ¼ysko-Kamienna</v>
      </c>
    </row>
    <row r="7671" spans="1:6" ht="15.75" customHeight="1">
      <c r="A7671" s="6" t="s">
        <v>25199</v>
      </c>
      <c r="B7671" s="6" t="s">
        <v>25199</v>
      </c>
      <c r="C7671" s="6" t="s">
        <v>25077</v>
      </c>
      <c r="D7671" s="6" t="s">
        <v>25086</v>
      </c>
      <c r="E7671" s="2">
        <v>2678210</v>
      </c>
      <c r="F7671" s="4" t="str">
        <f>IF(B7671=B7670,"",B7671)</f>
        <v>Skara</v>
      </c>
    </row>
    <row r="7672" spans="1:6" ht="15.75" customHeight="1">
      <c r="A7672" s="5" t="str">
        <f ca="1">IFERROR(__xludf.DUMMYFUNCTION("GOOGLETRANSLATE(B41147,""en"",""pt"")"),"Skara")</f>
        <v>Skara</v>
      </c>
      <c r="B7672" s="17" t="s">
        <v>25199</v>
      </c>
      <c r="C7672" s="17" t="s">
        <v>25077</v>
      </c>
      <c r="D7672" s="17" t="s">
        <v>35628</v>
      </c>
      <c r="E7672" s="10">
        <v>2678210</v>
      </c>
      <c r="F7672" s="4" t="str">
        <f>IF(B7672=B7671,"",B7672)</f>
        <v/>
      </c>
    </row>
    <row r="7673" spans="1:6" ht="15.75" customHeight="1">
      <c r="A7673" s="6" t="s">
        <v>26188</v>
      </c>
      <c r="B7673" s="6" t="s">
        <v>26188</v>
      </c>
      <c r="C7673" s="6" t="s">
        <v>26090</v>
      </c>
      <c r="D7673" s="6" t="s">
        <v>26103</v>
      </c>
      <c r="E7673" s="2">
        <v>2467246</v>
      </c>
      <c r="F7673" s="4" t="str">
        <f>IF(B7673=B7672,"",B7673)</f>
        <v>Skanes</v>
      </c>
    </row>
    <row r="7674" spans="1:6" ht="15.75" customHeight="1">
      <c r="A7674" s="5" t="str">
        <f ca="1">IFERROR(__xludf.DUMMYFUNCTION("GOOGLETRANSLATE(B41801,""en"",""pt"")"),"Skanes")</f>
        <v>Skanes</v>
      </c>
      <c r="B7674" s="17" t="s">
        <v>26188</v>
      </c>
      <c r="C7674" s="17" t="s">
        <v>26090</v>
      </c>
      <c r="D7674" s="17" t="s">
        <v>35800</v>
      </c>
      <c r="E7674" s="10">
        <v>2467246</v>
      </c>
      <c r="F7674" s="4" t="str">
        <f>IF(B7674=B7673,"",B7674)</f>
        <v/>
      </c>
    </row>
    <row r="7675" spans="1:6" ht="15.75" customHeight="1">
      <c r="A7675" s="6" t="s">
        <v>23768</v>
      </c>
      <c r="B7675" s="6" t="s">
        <v>23768</v>
      </c>
      <c r="C7675" s="6" t="s">
        <v>23694</v>
      </c>
      <c r="D7675" s="6" t="s">
        <v>23718</v>
      </c>
      <c r="E7675" s="2">
        <v>3057630</v>
      </c>
      <c r="F7675" s="4" t="str">
        <f>IF(B7675=B7674,"",B7675)</f>
        <v>Skalica</v>
      </c>
    </row>
    <row r="7676" spans="1:6" ht="15.75" customHeight="1">
      <c r="A7676" s="5" t="str">
        <f ca="1">IFERROR(__xludf.DUMMYFUNCTION("GOOGLETRANSLATE(B41241,""en"",""pt"")"),"Skalica")</f>
        <v>Skalica</v>
      </c>
      <c r="B7676" s="17" t="s">
        <v>23768</v>
      </c>
      <c r="C7676" s="17" t="s">
        <v>23694</v>
      </c>
      <c r="D7676" s="17" t="s">
        <v>35680</v>
      </c>
      <c r="E7676" s="10">
        <v>3057630</v>
      </c>
      <c r="F7676" s="4" t="str">
        <f>IF(B7676=B7675,"",B7676)</f>
        <v/>
      </c>
    </row>
    <row r="7677" spans="1:6" ht="15.75" customHeight="1">
      <c r="A7677" s="5" t="s">
        <v>27139</v>
      </c>
      <c r="B7677" s="6" t="s">
        <v>27140</v>
      </c>
      <c r="C7677" s="5" t="s">
        <v>26870</v>
      </c>
      <c r="D7677" s="5" t="s">
        <v>26969</v>
      </c>
      <c r="E7677" s="2">
        <v>693709</v>
      </c>
      <c r="F7677" s="4" t="str">
        <f>IF(B7677=B7676,"",B7677)</f>
        <v>Skadovsâ€™k</v>
      </c>
    </row>
    <row r="7678" spans="1:6" ht="15.75" customHeight="1">
      <c r="A7678" s="5" t="str">
        <f ca="1">IFERROR(__xludf.DUMMYFUNCTION("GOOGLETRANSLATE(B42523,""en"",""pt"")"),"Skadovs'k")</f>
        <v>Skadovs'k</v>
      </c>
      <c r="B7678" s="17" t="s">
        <v>35994</v>
      </c>
      <c r="C7678" s="17" t="s">
        <v>26870</v>
      </c>
      <c r="D7678" s="17" t="s">
        <v>26969</v>
      </c>
      <c r="E7678" s="10">
        <v>693709</v>
      </c>
      <c r="F7678" s="4" t="str">
        <f>IF(B7678=B7677,"",B7678)</f>
        <v>Skadovs’k</v>
      </c>
    </row>
    <row r="7679" spans="1:6" ht="15.75" customHeight="1">
      <c r="A7679" s="6" t="s">
        <v>25197</v>
      </c>
      <c r="B7679" s="6" t="s">
        <v>25198</v>
      </c>
      <c r="C7679" s="6" t="s">
        <v>25077</v>
      </c>
      <c r="D7679" s="6" t="s">
        <v>25086</v>
      </c>
      <c r="E7679" s="2">
        <v>2677234</v>
      </c>
      <c r="F7679" s="4" t="str">
        <f>IF(B7679=B7678,"",B7679)</f>
        <v>SkÃ¶vde</v>
      </c>
    </row>
    <row r="7680" spans="1:6" ht="15.75" customHeight="1">
      <c r="A7680" s="5" t="s">
        <v>23979</v>
      </c>
      <c r="B7680" s="6" t="s">
        <v>23979</v>
      </c>
      <c r="C7680" s="5" t="s">
        <v>23842</v>
      </c>
      <c r="D7680" s="5" t="s">
        <v>23849</v>
      </c>
      <c r="E7680" s="2">
        <v>955313</v>
      </c>
      <c r="F7680" s="4" t="str">
        <f>IF(B7680=B7679,"",B7680)</f>
        <v>Siyabuswa</v>
      </c>
    </row>
    <row r="7681" spans="1:6" ht="15.75" customHeight="1">
      <c r="A7681" s="5" t="str">
        <f ca="1">IFERROR(__xludf.DUMMYFUNCTION("GOOGLETRANSLATE(B45876,""en"",""pt"")"),"Siyabuswa")</f>
        <v>Siyabuswa</v>
      </c>
      <c r="B7681" s="17" t="s">
        <v>23979</v>
      </c>
      <c r="C7681" s="17" t="s">
        <v>23842</v>
      </c>
      <c r="D7681" s="17" t="s">
        <v>23849</v>
      </c>
      <c r="E7681" s="10">
        <v>955313</v>
      </c>
      <c r="F7681" s="4" t="str">
        <f>IF(B7681=B7680,"",B7681)</f>
        <v/>
      </c>
    </row>
    <row r="7682" spans="1:6" ht="15.75" customHeight="1">
      <c r="A7682" s="5" t="s">
        <v>7825</v>
      </c>
      <c r="B7682" s="6" t="s">
        <v>7826</v>
      </c>
      <c r="C7682" s="5" t="s">
        <v>7052</v>
      </c>
      <c r="D7682" s="5" t="s">
        <v>7087</v>
      </c>
      <c r="E7682" s="2">
        <v>2974427</v>
      </c>
      <c r="F7682" s="4" t="str">
        <f>IF(B7682=B7681,"",B7682)</f>
        <v>Six-Fours-les-Plages</v>
      </c>
    </row>
    <row r="7683" spans="1:6" ht="15.75" customHeight="1">
      <c r="A7683" s="5" t="str">
        <f ca="1">IFERROR(__xludf.DUMMYFUNCTION("GOOGLETRANSLATE(B29750,""en"",""pt"")"),"Seis-quatro-les-plages")</f>
        <v>Seis-quatro-les-plages</v>
      </c>
      <c r="B7683" s="17" t="s">
        <v>7826</v>
      </c>
      <c r="C7683" s="17" t="s">
        <v>7052</v>
      </c>
      <c r="D7683" s="17" t="s">
        <v>32534</v>
      </c>
      <c r="E7683" s="10">
        <v>2974427</v>
      </c>
      <c r="F7683" s="4" t="str">
        <f>IF(B7683=B7682,"",B7683)</f>
        <v/>
      </c>
    </row>
    <row r="7684" spans="1:6" ht="15.75" customHeight="1">
      <c r="A7684" s="5" t="str">
        <f ca="1">IFERROR(__xludf.DUMMYFUNCTION("GOOGLETRANSLATE(B32104,""en"",""pt"")"),"Siwāna")</f>
        <v>Siwāna</v>
      </c>
      <c r="B7684" s="17" t="s">
        <v>33057</v>
      </c>
      <c r="C7684" s="17" t="s">
        <v>10178</v>
      </c>
      <c r="D7684" s="17" t="s">
        <v>10179</v>
      </c>
      <c r="E7684" s="10">
        <v>1255925</v>
      </c>
      <c r="F7684" s="4" t="str">
        <f>IF(B7684=B7683,"",B7684)</f>
        <v>Siwāna</v>
      </c>
    </row>
    <row r="7685" spans="1:6" ht="15.75" customHeight="1">
      <c r="A7685" s="5" t="str">
        <f ca="1">IFERROR(__xludf.DUMMYFUNCTION("GOOGLETRANSLATE(B32105,""en"",""pt"")"),"Siwān")</f>
        <v>Siwān</v>
      </c>
      <c r="B7685" s="17" t="s">
        <v>33058</v>
      </c>
      <c r="C7685" s="17" t="s">
        <v>10178</v>
      </c>
      <c r="D7685" s="17" t="s">
        <v>10317</v>
      </c>
      <c r="E7685" s="10">
        <v>1255927</v>
      </c>
      <c r="F7685" s="4" t="str">
        <f>IF(B7685=B7684,"",B7685)</f>
        <v>Siwān</v>
      </c>
    </row>
    <row r="7686" spans="1:6" ht="15.75" customHeight="1">
      <c r="A7686" s="6" t="s">
        <v>13408</v>
      </c>
      <c r="B7686" s="6" t="s">
        <v>13409</v>
      </c>
      <c r="C7686" s="6" t="s">
        <v>10178</v>
      </c>
      <c r="D7686" s="6" t="s">
        <v>10179</v>
      </c>
      <c r="E7686" s="2">
        <v>1255925</v>
      </c>
      <c r="F7686" s="4" t="str">
        <f>IF(B7686=B7685,"",B7686)</f>
        <v>SiwÄna</v>
      </c>
    </row>
    <row r="7687" spans="1:6" ht="15.75" customHeight="1">
      <c r="A7687" s="6" t="s">
        <v>13406</v>
      </c>
      <c r="B7687" s="6" t="s">
        <v>13407</v>
      </c>
      <c r="C7687" s="6" t="s">
        <v>10178</v>
      </c>
      <c r="D7687" s="6" t="s">
        <v>10317</v>
      </c>
      <c r="E7687" s="2">
        <v>1255927</v>
      </c>
      <c r="F7687" s="4" t="str">
        <f>IF(B7687=B7686,"",B7687)</f>
        <v>SiwÄn</v>
      </c>
    </row>
    <row r="7688" spans="1:6" ht="15.75" customHeight="1">
      <c r="A7688" s="6" t="s">
        <v>26702</v>
      </c>
      <c r="B7688" s="6" t="s">
        <v>26702</v>
      </c>
      <c r="C7688" s="6" t="s">
        <v>26201</v>
      </c>
      <c r="D7688" s="6" t="s">
        <v>26289</v>
      </c>
      <c r="E7688" s="2">
        <v>300614</v>
      </c>
      <c r="F7688" s="4" t="str">
        <f>IF(B7688=B7687,"",B7688)</f>
        <v>Siverek</v>
      </c>
    </row>
    <row r="7689" spans="1:6" ht="15.75" customHeight="1">
      <c r="A7689" s="5" t="str">
        <f ca="1">IFERROR(__xludf.DUMMYFUNCTION("GOOGLETRANSLATE(B41895,""en"",""pt"")"),"Siverek")</f>
        <v>Siverek</v>
      </c>
      <c r="B7689" s="17" t="s">
        <v>26702</v>
      </c>
      <c r="C7689" s="17" t="s">
        <v>26201</v>
      </c>
      <c r="D7689" s="17" t="s">
        <v>35822</v>
      </c>
      <c r="E7689" s="10">
        <v>300614</v>
      </c>
      <c r="F7689" s="4" t="str">
        <f>IF(B7689=B7688,"",B7689)</f>
        <v/>
      </c>
    </row>
    <row r="7690" spans="1:6" ht="15.75" customHeight="1">
      <c r="A7690" s="6" t="s">
        <v>26345</v>
      </c>
      <c r="B7690" s="6" t="s">
        <v>26345</v>
      </c>
      <c r="C7690" s="6" t="s">
        <v>26201</v>
      </c>
      <c r="D7690" s="6" t="s">
        <v>26345</v>
      </c>
      <c r="E7690" s="2">
        <v>300619</v>
      </c>
      <c r="F7690" s="4" t="str">
        <f>IF(B7690=B7689,"",B7690)</f>
        <v>Sivas</v>
      </c>
    </row>
    <row r="7691" spans="1:6" ht="15.75" customHeight="1">
      <c r="A7691" s="5" t="str">
        <f ca="1">IFERROR(__xludf.DUMMYFUNCTION("GOOGLETRANSLATE(B41896,""en"",""pt"")"),"Sivas")</f>
        <v>Sivas</v>
      </c>
      <c r="B7691" s="17" t="s">
        <v>26345</v>
      </c>
      <c r="C7691" s="17" t="s">
        <v>26201</v>
      </c>
      <c r="D7691" s="17" t="s">
        <v>26345</v>
      </c>
      <c r="E7691" s="10">
        <v>300619</v>
      </c>
      <c r="F7691" s="4" t="str">
        <f>IF(B7691=B7690,"",B7691)</f>
        <v/>
      </c>
    </row>
    <row r="7692" spans="1:6" ht="15.75" customHeight="1">
      <c r="A7692" s="6" t="s">
        <v>13405</v>
      </c>
      <c r="B7692" s="6" t="s">
        <v>13405</v>
      </c>
      <c r="C7692" s="6" t="s">
        <v>10178</v>
      </c>
      <c r="D7692" s="6" t="s">
        <v>10196</v>
      </c>
      <c r="E7692" s="2">
        <v>1255947</v>
      </c>
      <c r="F7692" s="4" t="str">
        <f>IF(B7692=B7691,"",B7692)</f>
        <v>Sivakasi</v>
      </c>
    </row>
    <row r="7693" spans="1:6" ht="15.75" customHeight="1">
      <c r="A7693" s="5" t="str">
        <f ca="1">IFERROR(__xludf.DUMMYFUNCTION("GOOGLETRANSLATE(B32106,""en"",""pt"")"),"Sivakasi")</f>
        <v>Sivakasi</v>
      </c>
      <c r="B7693" s="17" t="s">
        <v>13405</v>
      </c>
      <c r="C7693" s="17" t="s">
        <v>10178</v>
      </c>
      <c r="D7693" s="17" t="s">
        <v>10196</v>
      </c>
      <c r="E7693" s="10">
        <v>1255947</v>
      </c>
      <c r="F7693" s="4" t="str">
        <f>IF(B7693=B7692,"",B7693)</f>
        <v/>
      </c>
    </row>
    <row r="7694" spans="1:6" ht="15.75" customHeight="1">
      <c r="A7694" s="6" t="s">
        <v>13404</v>
      </c>
      <c r="B7694" s="6" t="s">
        <v>13404</v>
      </c>
      <c r="C7694" s="6" t="s">
        <v>10178</v>
      </c>
      <c r="D7694" s="6" t="s">
        <v>10196</v>
      </c>
      <c r="E7694" s="2">
        <v>1255950</v>
      </c>
      <c r="F7694" s="4" t="str">
        <f>IF(B7694=B7693,"",B7694)</f>
        <v>Sivagiri</v>
      </c>
    </row>
    <row r="7695" spans="1:6" ht="15.75" customHeight="1">
      <c r="A7695" s="6" t="s">
        <v>13404</v>
      </c>
      <c r="B7695" s="6" t="s">
        <v>13404</v>
      </c>
      <c r="C7695" s="6" t="s">
        <v>10178</v>
      </c>
      <c r="D7695" s="6" t="s">
        <v>10196</v>
      </c>
      <c r="E7695" s="2">
        <v>1255951</v>
      </c>
      <c r="F7695" s="4" t="str">
        <f>IF(B7695=B7694,"",B7695)</f>
        <v/>
      </c>
    </row>
    <row r="7696" spans="1:6" ht="15.75" customHeight="1">
      <c r="A7696" s="5" t="str">
        <f ca="1">IFERROR(__xludf.DUMMYFUNCTION("GOOGLETRANSLATE(B32107,""en"",""pt"")"),"Sivagiri")</f>
        <v>Sivagiri</v>
      </c>
      <c r="B7696" s="17" t="s">
        <v>13404</v>
      </c>
      <c r="C7696" s="17" t="s">
        <v>10178</v>
      </c>
      <c r="D7696" s="17" t="s">
        <v>10196</v>
      </c>
      <c r="E7696" s="10">
        <v>1255950</v>
      </c>
      <c r="F7696" s="4" t="str">
        <f>IF(B7696=B7695,"",B7696)</f>
        <v/>
      </c>
    </row>
    <row r="7697" spans="1:6" ht="15.75" customHeight="1">
      <c r="A7697" s="5" t="str">
        <f ca="1">IFERROR(__xludf.DUMMYFUNCTION("GOOGLETRANSLATE(B32108,""en"",""pt"")"),"Sivagiri")</f>
        <v>Sivagiri</v>
      </c>
      <c r="B7697" s="17" t="s">
        <v>13404</v>
      </c>
      <c r="C7697" s="17" t="s">
        <v>10178</v>
      </c>
      <c r="D7697" s="17" t="s">
        <v>10196</v>
      </c>
      <c r="E7697" s="10">
        <v>1255951</v>
      </c>
      <c r="F7697" s="4" t="str">
        <f>IF(B7697=B7696,"",B7697)</f>
        <v/>
      </c>
    </row>
    <row r="7698" spans="1:6" ht="15.75" customHeight="1">
      <c r="A7698" s="5" t="s">
        <v>13403</v>
      </c>
      <c r="B7698" s="6" t="s">
        <v>13403</v>
      </c>
      <c r="C7698" s="5" t="s">
        <v>10178</v>
      </c>
      <c r="D7698" s="5" t="s">
        <v>10196</v>
      </c>
      <c r="E7698" s="2">
        <v>1255953</v>
      </c>
      <c r="F7698" s="4" t="str">
        <f>IF(B7698=B7697,"",B7698)</f>
        <v>Sivaganga</v>
      </c>
    </row>
    <row r="7699" spans="1:6" ht="15.75" customHeight="1">
      <c r="A7699" s="5" t="str">
        <f ca="1">IFERROR(__xludf.DUMMYFUNCTION("GOOGLETRANSLATE(B32109,""en"",""pt"")"),"Sivaganga")</f>
        <v>Sivaganga</v>
      </c>
      <c r="B7699" s="17" t="s">
        <v>13403</v>
      </c>
      <c r="C7699" s="17" t="s">
        <v>10178</v>
      </c>
      <c r="D7699" s="17" t="s">
        <v>10196</v>
      </c>
      <c r="E7699" s="10">
        <v>1255953</v>
      </c>
      <c r="F7699" s="4" t="str">
        <f>IF(B7699=B7698,"",B7699)</f>
        <v/>
      </c>
    </row>
    <row r="7700" spans="1:6" ht="15.75" customHeight="1">
      <c r="A7700" s="6" t="s">
        <v>13402</v>
      </c>
      <c r="B7700" s="6" t="s">
        <v>13402</v>
      </c>
      <c r="C7700" s="6" t="s">
        <v>10178</v>
      </c>
      <c r="D7700" s="6" t="s">
        <v>10201</v>
      </c>
      <c r="E7700" s="2">
        <v>1255955</v>
      </c>
      <c r="F7700" s="4" t="str">
        <f>IF(B7700=B7699,"",B7700)</f>
        <v>Siuri</v>
      </c>
    </row>
    <row r="7701" spans="1:6" ht="15.75" customHeight="1">
      <c r="A7701" s="5" t="str">
        <f ca="1">IFERROR(__xludf.DUMMYFUNCTION("GOOGLETRANSLATE(B32110,""en"",""pt"")"),"Siuri")</f>
        <v>Siuri</v>
      </c>
      <c r="B7701" s="17" t="s">
        <v>13402</v>
      </c>
      <c r="C7701" s="17" t="s">
        <v>10178</v>
      </c>
      <c r="D7701" s="17" t="s">
        <v>10201</v>
      </c>
      <c r="E7701" s="10">
        <v>1255955</v>
      </c>
      <c r="F7701" s="4" t="str">
        <f>IF(B7701=B7700,"",B7701)</f>
        <v/>
      </c>
    </row>
    <row r="7702" spans="1:6" ht="15.75" customHeight="1">
      <c r="A7702" s="6" t="s">
        <v>19253</v>
      </c>
      <c r="B7702" s="6" t="s">
        <v>19253</v>
      </c>
      <c r="C7702" s="6" t="s">
        <v>19217</v>
      </c>
      <c r="D7702" s="6" t="s">
        <v>19249</v>
      </c>
      <c r="E7702" s="2">
        <v>3616253</v>
      </c>
      <c r="F7702" s="4" t="str">
        <f>IF(B7702=B7701,"",B7702)</f>
        <v>Siuna</v>
      </c>
    </row>
    <row r="7703" spans="1:6" ht="15.75" customHeight="1">
      <c r="A7703" s="5" t="str">
        <f ca="1">IFERROR(__xludf.DUMMYFUNCTION("GOOGLETRANSLATE(B37852,""en"",""pt"")"),"Siuna")</f>
        <v>Siuna</v>
      </c>
      <c r="B7703" s="17" t="s">
        <v>19253</v>
      </c>
      <c r="C7703" s="17" t="s">
        <v>19217</v>
      </c>
      <c r="D7703" s="17" t="s">
        <v>34807</v>
      </c>
      <c r="E7703" s="10">
        <v>3616253</v>
      </c>
      <c r="F7703" s="4" t="str">
        <f>IF(B7703=B7702,"",B7703)</f>
        <v/>
      </c>
    </row>
    <row r="7704" spans="1:6" ht="15.75" customHeight="1">
      <c r="A7704" s="5" t="s">
        <v>14160</v>
      </c>
      <c r="B7704" s="6" t="s">
        <v>14160</v>
      </c>
      <c r="C7704" s="5" t="s">
        <v>13800</v>
      </c>
      <c r="D7704" s="5" t="s">
        <v>13816</v>
      </c>
      <c r="E7704" s="2">
        <v>1626801</v>
      </c>
      <c r="F7704" s="4" t="str">
        <f>IF(B7704=B7703,"",B7704)</f>
        <v>Situbondo</v>
      </c>
    </row>
    <row r="7705" spans="1:6" ht="15.75" customHeight="1">
      <c r="A7705" s="5" t="str">
        <f ca="1">IFERROR(__xludf.DUMMYFUNCTION("GOOGLETRANSLATE(B31445,""en"",""pt"")"),"Situbondo")</f>
        <v>Situbondo</v>
      </c>
      <c r="B7705" s="17" t="s">
        <v>14160</v>
      </c>
      <c r="C7705" s="17" t="s">
        <v>13800</v>
      </c>
      <c r="D7705" s="17" t="s">
        <v>13816</v>
      </c>
      <c r="E7705" s="10">
        <v>1626801</v>
      </c>
      <c r="F7705" s="4" t="str">
        <f>IF(B7705=B7704,"",B7705)</f>
        <v/>
      </c>
    </row>
    <row r="7706" spans="1:6" ht="15.75" customHeight="1">
      <c r="A7706" s="6" t="s">
        <v>18755</v>
      </c>
      <c r="B7706" s="6" t="s">
        <v>18755</v>
      </c>
      <c r="C7706" s="6" t="s">
        <v>18696</v>
      </c>
      <c r="D7706" s="6" t="s">
        <v>18756</v>
      </c>
      <c r="E7706" s="2">
        <v>1295765</v>
      </c>
      <c r="F7706" s="4" t="str">
        <f>IF(B7706=B7705,"",B7706)</f>
        <v>Sittwe</v>
      </c>
    </row>
    <row r="7707" spans="1:6" ht="15.75" customHeight="1">
      <c r="A7707" s="5" t="str">
        <f ca="1">IFERROR(__xludf.DUMMYFUNCTION("GOOGLETRANSLATE(B36714,""en"",""pt"")"),"Sittwe")</f>
        <v>Sittwe</v>
      </c>
      <c r="B7707" s="17" t="s">
        <v>18755</v>
      </c>
      <c r="C7707" s="17" t="s">
        <v>18696</v>
      </c>
      <c r="D7707" s="17" t="s">
        <v>18756</v>
      </c>
      <c r="E7707" s="10">
        <v>1295765</v>
      </c>
      <c r="F7707" s="4" t="str">
        <f>IF(B7707=B7706,"",B7707)</f>
        <v/>
      </c>
    </row>
    <row r="7708" spans="1:6" ht="15.75" customHeight="1">
      <c r="A7708" s="5" t="s">
        <v>27676</v>
      </c>
      <c r="B7708" s="6" t="s">
        <v>27676</v>
      </c>
      <c r="C7708" s="5" t="s">
        <v>27234</v>
      </c>
      <c r="D7708" s="5" t="s">
        <v>27241</v>
      </c>
      <c r="E7708" s="2">
        <v>2637802</v>
      </c>
      <c r="F7708" s="4" t="str">
        <f>IF(B7708=B7707,"",B7708)</f>
        <v>Sittingbourne</v>
      </c>
    </row>
    <row r="7709" spans="1:6" ht="15.75" customHeight="1">
      <c r="A7709" s="5" t="str">
        <f ca="1">IFERROR(__xludf.DUMMYFUNCTION("GOOGLETRANSLATE(B30405,""en"",""pt"")"),"Sittingbourne")</f>
        <v>Sittingbourne</v>
      </c>
      <c r="B7709" s="17" t="s">
        <v>27676</v>
      </c>
      <c r="C7709" s="17" t="s">
        <v>27234</v>
      </c>
      <c r="D7709" s="17" t="s">
        <v>27241</v>
      </c>
      <c r="E7709" s="10">
        <v>2637802</v>
      </c>
      <c r="F7709" s="4" t="str">
        <f>IF(B7709=B7708,"",B7709)</f>
        <v/>
      </c>
    </row>
    <row r="7710" spans="1:6" ht="15.75" customHeight="1">
      <c r="A7710" s="6" t="s">
        <v>25311</v>
      </c>
      <c r="B7710" s="6" t="s">
        <v>25311</v>
      </c>
      <c r="C7710" s="6" t="s">
        <v>25237</v>
      </c>
      <c r="D7710" s="6" t="s">
        <v>25293</v>
      </c>
      <c r="E7710" s="2">
        <v>2658576</v>
      </c>
      <c r="F7710" s="4" t="str">
        <f>IF(B7710=B7709,"",B7710)</f>
        <v>Sitten</v>
      </c>
    </row>
    <row r="7711" spans="1:6" ht="15.75" customHeight="1">
      <c r="A7711" s="5" t="str">
        <f ca="1">IFERROR(__xludf.DUMMYFUNCTION("GOOGLETRANSLATE(B25753,""en"",""pt"")"),"Sitten")</f>
        <v>Sitten</v>
      </c>
      <c r="B7711" s="17" t="s">
        <v>25311</v>
      </c>
      <c r="C7711" s="17" t="s">
        <v>25237</v>
      </c>
      <c r="D7711" s="17" t="s">
        <v>25293</v>
      </c>
      <c r="E7711" s="10">
        <v>2658576</v>
      </c>
      <c r="F7711" s="4" t="str">
        <f>IF(B7711=B7710,"",B7711)</f>
        <v/>
      </c>
    </row>
    <row r="7712" spans="1:6" ht="15.75" customHeight="1">
      <c r="A7712" s="6" t="s">
        <v>19089</v>
      </c>
      <c r="B7712" s="6" t="s">
        <v>19089</v>
      </c>
      <c r="C7712" s="6" t="s">
        <v>18862</v>
      </c>
      <c r="D7712" s="6" t="s">
        <v>18893</v>
      </c>
      <c r="E7712" s="2">
        <v>2747203</v>
      </c>
      <c r="F7712" s="4" t="str">
        <f>IF(B7712=B7711,"",B7712)</f>
        <v>Sittard</v>
      </c>
    </row>
    <row r="7713" spans="1:6" ht="15.75" customHeight="1">
      <c r="A7713" s="5" t="str">
        <f ca="1">IFERROR(__xludf.DUMMYFUNCTION("GOOGLETRANSLATE(B37954,""en"",""pt"")"),"Sittard")</f>
        <v>Sittard</v>
      </c>
      <c r="B7713" s="17" t="s">
        <v>19089</v>
      </c>
      <c r="C7713" s="17" t="s">
        <v>18862</v>
      </c>
      <c r="D7713" s="17" t="s">
        <v>18893</v>
      </c>
      <c r="E7713" s="10">
        <v>2747203</v>
      </c>
      <c r="F7713" s="4" t="str">
        <f>IF(B7713=B7712,"",B7713)</f>
        <v/>
      </c>
    </row>
    <row r="7714" spans="1:6" ht="15.75" customHeight="1">
      <c r="A7714" s="6" t="s">
        <v>1294</v>
      </c>
      <c r="B7714" s="6" t="s">
        <v>1294</v>
      </c>
      <c r="C7714" s="6" t="s">
        <v>1279</v>
      </c>
      <c r="D7714" s="6" t="s">
        <v>1288</v>
      </c>
      <c r="E7714" s="2">
        <v>290104</v>
      </c>
      <c r="F7714" s="4" t="str">
        <f>IF(B7714=B7713,"",B7714)</f>
        <v>Sitrah</v>
      </c>
    </row>
    <row r="7715" spans="1:6" ht="15.75" customHeight="1">
      <c r="A7715" s="5" t="str">
        <f ca="1">IFERROR(__xludf.DUMMYFUNCTION("GOOGLETRANSLATE(B24062,""en"",""pt"")"),"Sitrah")</f>
        <v>Sitrah</v>
      </c>
      <c r="B7715" s="17" t="s">
        <v>1294</v>
      </c>
      <c r="C7715" s="17" t="s">
        <v>1279</v>
      </c>
      <c r="D7715" s="17" t="s">
        <v>1288</v>
      </c>
      <c r="E7715" s="10">
        <v>290104</v>
      </c>
      <c r="F7715" s="4" t="str">
        <f>IF(B7715=B7714,"",B7715)</f>
        <v/>
      </c>
    </row>
    <row r="7716" spans="1:6" ht="15.75" customHeight="1">
      <c r="A7716" s="6" t="s">
        <v>24826</v>
      </c>
      <c r="B7716" s="6" t="s">
        <v>24826</v>
      </c>
      <c r="C7716" s="6" t="s">
        <v>24200</v>
      </c>
      <c r="D7716" s="6" t="s">
        <v>24277</v>
      </c>
      <c r="E7716" s="2">
        <v>3108877</v>
      </c>
      <c r="F7716" s="4" t="str">
        <f>IF(B7716=B7715,"",B7716)</f>
        <v>Sitges</v>
      </c>
    </row>
    <row r="7717" spans="1:6" ht="15.75" customHeight="1">
      <c r="A7717" s="5" t="str">
        <f ca="1">IFERROR(__xludf.DUMMYFUNCTION("GOOGLETRANSLATE(B29272,""en"",""pt"")"),"Sitges")</f>
        <v>Sitges</v>
      </c>
      <c r="B7717" s="17" t="s">
        <v>24826</v>
      </c>
      <c r="C7717" s="17" t="s">
        <v>24200</v>
      </c>
      <c r="D7717" s="17" t="s">
        <v>24277</v>
      </c>
      <c r="E7717" s="10">
        <v>3108877</v>
      </c>
      <c r="F7717" s="4" t="str">
        <f>IF(B7717=B7716,"",B7717)</f>
        <v/>
      </c>
    </row>
    <row r="7718" spans="1:6" ht="15.75" customHeight="1">
      <c r="A7718" s="5" t="str">
        <f ca="1">IFERROR(__xludf.DUMMYFUNCTION("GOOGLETRANSLATE(B32111,""en"",""pt"")"),"Sitārganj")</f>
        <v>Sitārganj</v>
      </c>
      <c r="B7718" s="17" t="s">
        <v>33059</v>
      </c>
      <c r="C7718" s="17" t="s">
        <v>10178</v>
      </c>
      <c r="D7718" s="17" t="s">
        <v>10299</v>
      </c>
      <c r="E7718" s="10">
        <v>1255963</v>
      </c>
      <c r="F7718" s="4" t="str">
        <f>IF(B7718=B7717,"",B7718)</f>
        <v>Sitārganj</v>
      </c>
    </row>
    <row r="7719" spans="1:6" ht="15.75" customHeight="1">
      <c r="A7719" s="5" t="str">
        <f ca="1">IFERROR(__xludf.DUMMYFUNCTION("GOOGLETRANSLATE(B32112,""en"",""pt"")"),"Sītāpur")</f>
        <v>Sītāpur</v>
      </c>
      <c r="B7719" s="17" t="s">
        <v>33060</v>
      </c>
      <c r="C7719" s="17" t="s">
        <v>10178</v>
      </c>
      <c r="D7719" s="17" t="s">
        <v>10193</v>
      </c>
      <c r="E7719" s="10">
        <v>1255969</v>
      </c>
      <c r="F7719" s="4" t="str">
        <f>IF(B7719=B7718,"",B7719)</f>
        <v>Sītāpur</v>
      </c>
    </row>
    <row r="7720" spans="1:6" ht="15.75" customHeight="1">
      <c r="A7720" s="6" t="s">
        <v>21013</v>
      </c>
      <c r="B7720" s="6" t="s">
        <v>21013</v>
      </c>
      <c r="C7720" s="6" t="s">
        <v>20598</v>
      </c>
      <c r="D7720" s="6" t="s">
        <v>20683</v>
      </c>
      <c r="E7720" s="2">
        <v>1686004</v>
      </c>
      <c r="F7720" s="4" t="str">
        <f>IF(B7720=B7719,"",B7720)</f>
        <v>Sitangkai</v>
      </c>
    </row>
    <row r="7721" spans="1:6" ht="15.75" customHeight="1">
      <c r="A7721" s="5" t="str">
        <f ca="1">IFERROR(__xludf.DUMMYFUNCTION("GOOGLETRANSLATE(B38475,""en"",""pt"")"),"Sitangkai")</f>
        <v>Sitangkai</v>
      </c>
      <c r="B7721" s="17" t="s">
        <v>21013</v>
      </c>
      <c r="C7721" s="17" t="s">
        <v>20598</v>
      </c>
      <c r="D7721" s="17" t="s">
        <v>20683</v>
      </c>
      <c r="E7721" s="10">
        <v>1686004</v>
      </c>
      <c r="F7721" s="4" t="str">
        <f>IF(B7721=B7720,"",B7721)</f>
        <v/>
      </c>
    </row>
    <row r="7722" spans="1:6" ht="15.75" customHeight="1">
      <c r="A7722" s="6" t="s">
        <v>17393</v>
      </c>
      <c r="B7722" s="6" t="s">
        <v>17393</v>
      </c>
      <c r="C7722" s="6" t="s">
        <v>17292</v>
      </c>
      <c r="D7722" s="6" t="s">
        <v>17300</v>
      </c>
      <c r="E7722" s="2">
        <v>1056531</v>
      </c>
      <c r="F7722" s="4" t="str">
        <f>IF(B7722=B7721,"",B7722)</f>
        <v>Sitampiky</v>
      </c>
    </row>
    <row r="7723" spans="1:6" ht="15.75" customHeight="1">
      <c r="A7723" s="5" t="str">
        <f ca="1">IFERROR(__xludf.DUMMYFUNCTION("GOOGLETRANSLATE(B36569,""en"",""pt"")"),"Sitampiky")</f>
        <v>Sitampiky</v>
      </c>
      <c r="B7723" s="17" t="s">
        <v>17393</v>
      </c>
      <c r="C7723" s="17" t="s">
        <v>17292</v>
      </c>
      <c r="D7723" s="17" t="s">
        <v>17300</v>
      </c>
      <c r="E7723" s="10">
        <v>1056531</v>
      </c>
      <c r="F7723" s="4" t="str">
        <f>IF(B7723=B7722,"",B7723)</f>
        <v/>
      </c>
    </row>
    <row r="7724" spans="1:6" ht="15.75" customHeight="1">
      <c r="A7724" s="5" t="str">
        <f ca="1">IFERROR(__xludf.DUMMYFUNCTION("GOOGLETRANSLATE(B32113,""en"",""pt"")"),"Sītāmarhi")</f>
        <v>Sītāmarhi</v>
      </c>
      <c r="B7724" s="17" t="s">
        <v>33061</v>
      </c>
      <c r="C7724" s="17" t="s">
        <v>10178</v>
      </c>
      <c r="D7724" s="17" t="s">
        <v>10317</v>
      </c>
      <c r="E7724" s="10">
        <v>1255983</v>
      </c>
      <c r="F7724" s="4" t="str">
        <f>IF(B7724=B7723,"",B7724)</f>
        <v>Sītāmarhi</v>
      </c>
    </row>
    <row r="7725" spans="1:6" ht="15.75" customHeight="1">
      <c r="A7725" s="6" t="s">
        <v>13400</v>
      </c>
      <c r="B7725" s="6" t="s">
        <v>13401</v>
      </c>
      <c r="C7725" s="6" t="s">
        <v>10178</v>
      </c>
      <c r="D7725" s="6" t="s">
        <v>10299</v>
      </c>
      <c r="E7725" s="2">
        <v>1255963</v>
      </c>
      <c r="F7725" s="4" t="str">
        <f>IF(B7725=B7724,"",B7725)</f>
        <v>SitÄrganj</v>
      </c>
    </row>
    <row r="7726" spans="1:6" ht="15.75" customHeight="1">
      <c r="A7726" s="5" t="str">
        <f ca="1">IFERROR(__xludf.DUMMYFUNCTION("GOOGLETRANSLATE(B38904,""en"",""pt"")"),"Estrada Sīta")</f>
        <v>Estrada Sīta</v>
      </c>
      <c r="B7726" s="17" t="s">
        <v>34909</v>
      </c>
      <c r="C7726" s="17" t="s">
        <v>19808</v>
      </c>
      <c r="D7726" s="17" t="s">
        <v>19823</v>
      </c>
      <c r="E7726" s="10">
        <v>1164716</v>
      </c>
      <c r="F7726" s="4" t="str">
        <f>IF(B7726=B7725,"",B7726)</f>
        <v>Sīta Road</v>
      </c>
    </row>
    <row r="7727" spans="1:6" ht="15.75" customHeight="1">
      <c r="A7727" s="5" t="s">
        <v>13398</v>
      </c>
      <c r="B7727" s="6" t="s">
        <v>13399</v>
      </c>
      <c r="C7727" s="5" t="s">
        <v>10178</v>
      </c>
      <c r="D7727" s="5" t="s">
        <v>10193</v>
      </c>
      <c r="E7727" s="2">
        <v>1255995</v>
      </c>
      <c r="F7727" s="4" t="str">
        <f>IF(B7727=B7726,"",B7727)</f>
        <v>SiswÄ BÄzÄr</v>
      </c>
    </row>
    <row r="7728" spans="1:6" ht="15.75" customHeight="1">
      <c r="A7728" s="5" t="str">
        <f ca="1">IFERROR(__xludf.DUMMYFUNCTION("GOOGLETRANSLATE(B32114,""en"",""pt"")"),"Siswā Bāzār")</f>
        <v>Siswā Bāzār</v>
      </c>
      <c r="B7728" s="17" t="s">
        <v>33062</v>
      </c>
      <c r="C7728" s="17" t="s">
        <v>10178</v>
      </c>
      <c r="D7728" s="17" t="s">
        <v>10193</v>
      </c>
      <c r="E7728" s="10">
        <v>1255995</v>
      </c>
      <c r="F7728" s="4" t="str">
        <f>IF(B7728=B7727,"",B7728)</f>
        <v>Siswā Bāzār</v>
      </c>
    </row>
    <row r="7729" spans="1:6" ht="15.75" customHeight="1">
      <c r="A7729" s="5" t="str">
        <f ca="1">IFERROR(__xludf.DUMMYFUNCTION("GOOGLETRANSLATE(B35964,""en"",""pt"")"),"Sisŏphŏn")</f>
        <v>Sisŏphŏn</v>
      </c>
      <c r="B7729" s="17" t="s">
        <v>34424</v>
      </c>
      <c r="C7729" s="17" t="s">
        <v>3838</v>
      </c>
      <c r="D7729" s="17" t="s">
        <v>3854</v>
      </c>
      <c r="E7729" s="10">
        <v>1822207</v>
      </c>
      <c r="F7729" s="4" t="str">
        <f>IF(B7729=B7728,"",B7729)</f>
        <v>Sisŏphŏn</v>
      </c>
    </row>
    <row r="7730" spans="1:6" ht="15.75" customHeight="1">
      <c r="A7730" s="5" t="str">
        <f ca="1">IFERROR(__xludf.DUMMYFUNCTION("GOOGLETRANSLATE(B42116,""en"",""pt"")"),"Şişli")</f>
        <v>Şişli</v>
      </c>
      <c r="B7730" s="17" t="s">
        <v>35923</v>
      </c>
      <c r="C7730" s="17" t="s">
        <v>26201</v>
      </c>
      <c r="D7730" s="17" t="s">
        <v>26211</v>
      </c>
      <c r="E7730" s="10">
        <v>739549</v>
      </c>
      <c r="F7730" s="4" t="str">
        <f>IF(B7730=B7729,"",B7730)</f>
        <v>Şişli</v>
      </c>
    </row>
    <row r="7731" spans="1:6" ht="15.75" customHeight="1">
      <c r="A7731" s="6" t="s">
        <v>5094</v>
      </c>
      <c r="B7731" s="6" t="s">
        <v>5094</v>
      </c>
      <c r="C7731" s="6" t="s">
        <v>4487</v>
      </c>
      <c r="D7731" s="6" t="s">
        <v>4503</v>
      </c>
      <c r="E7731" s="2">
        <v>1794140</v>
      </c>
      <c r="F7731" s="4" t="str">
        <f>IF(B7731=B7730,"",B7731)</f>
        <v>Sishui</v>
      </c>
    </row>
    <row r="7732" spans="1:6" ht="15.75" customHeight="1">
      <c r="A7732" s="5" t="str">
        <f ca="1">IFERROR(__xludf.DUMMYFUNCTION("GOOGLETRANSLATE(B26257,""en"",""pt"")"),"Sishui")</f>
        <v>Sishui</v>
      </c>
      <c r="B7732" s="17" t="s">
        <v>5094</v>
      </c>
      <c r="C7732" s="17" t="s">
        <v>4487</v>
      </c>
      <c r="D7732" s="17" t="s">
        <v>4503</v>
      </c>
      <c r="E7732" s="10">
        <v>1794140</v>
      </c>
      <c r="F7732" s="4" t="str">
        <f>IF(B7732=B7731,"",B7732)</f>
        <v/>
      </c>
    </row>
    <row r="7733" spans="1:6" ht="15.75" customHeight="1">
      <c r="A7733" s="6" t="s">
        <v>13397</v>
      </c>
      <c r="B7733" s="6" t="s">
        <v>13397</v>
      </c>
      <c r="C7733" s="6" t="s">
        <v>10178</v>
      </c>
      <c r="D7733" s="6" t="s">
        <v>10193</v>
      </c>
      <c r="E7733" s="2">
        <v>1256003</v>
      </c>
      <c r="F7733" s="4" t="str">
        <f>IF(B7733=B7732,"",B7733)</f>
        <v>Sisauli</v>
      </c>
    </row>
    <row r="7734" spans="1:6" ht="15.75" customHeight="1">
      <c r="A7734" s="5" t="str">
        <f ca="1">IFERROR(__xludf.DUMMYFUNCTION("GOOGLETRANSLATE(B32115,""en"",""pt"")"),"Sisauli")</f>
        <v>Sisauli</v>
      </c>
      <c r="B7734" s="17" t="s">
        <v>13397</v>
      </c>
      <c r="C7734" s="17" t="s">
        <v>10178</v>
      </c>
      <c r="D7734" s="17" t="s">
        <v>10193</v>
      </c>
      <c r="E7734" s="10">
        <v>1256003</v>
      </c>
      <c r="F7734" s="4" t="str">
        <f>IF(B7734=B7733,"",B7734)</f>
        <v/>
      </c>
    </row>
    <row r="7735" spans="1:6" ht="15.75" customHeight="1">
      <c r="A7735" s="6" t="s">
        <v>5737</v>
      </c>
      <c r="B7735" s="6" t="s">
        <v>5737</v>
      </c>
      <c r="C7735" s="6" t="s">
        <v>5711</v>
      </c>
      <c r="D7735" s="6" t="s">
        <v>5738</v>
      </c>
      <c r="E7735" s="2">
        <v>3190813</v>
      </c>
      <c r="F7735" s="4" t="str">
        <f>IF(B7735=B7734,"",B7735)</f>
        <v>Sisak</v>
      </c>
    </row>
    <row r="7736" spans="1:6" ht="15.75" customHeight="1">
      <c r="A7736" s="5" t="str">
        <f ca="1">IFERROR(__xludf.DUMMYFUNCTION("GOOGLETRANSLATE(B31199,""en"",""pt"")"),"Sisak")</f>
        <v>Sisak</v>
      </c>
      <c r="B7736" s="17" t="s">
        <v>5737</v>
      </c>
      <c r="C7736" s="17" t="s">
        <v>5711</v>
      </c>
      <c r="D7736" s="17" t="s">
        <v>32809</v>
      </c>
      <c r="E7736" s="10">
        <v>3190813</v>
      </c>
      <c r="F7736" s="4" t="str">
        <f>IF(B7736=B7735,"",B7736)</f>
        <v/>
      </c>
    </row>
    <row r="7737" spans="1:6" ht="15.75" customHeight="1">
      <c r="A7737" s="5" t="s">
        <v>3870</v>
      </c>
      <c r="B7737" s="6" t="s">
        <v>3871</v>
      </c>
      <c r="C7737" s="5" t="s">
        <v>3838</v>
      </c>
      <c r="D7737" s="5" t="s">
        <v>3854</v>
      </c>
      <c r="E7737" s="2">
        <v>1822207</v>
      </c>
      <c r="F7737" s="4" t="str">
        <f>IF(B7737=B7736,"",B7737)</f>
        <v>SisÅphÅn</v>
      </c>
    </row>
    <row r="7738" spans="1:6" ht="15.75" customHeight="1">
      <c r="A7738" s="5" t="str">
        <f ca="1">IFERROR(__xludf.DUMMYFUNCTION("GOOGLETRANSLATE(B23629,""en"",""pt"")"),"Şirvan")</f>
        <v>Şirvan</v>
      </c>
      <c r="B7738" s="17" t="s">
        <v>31231</v>
      </c>
      <c r="C7738" s="17" t="s">
        <v>1170</v>
      </c>
      <c r="D7738" s="17" t="s">
        <v>1184</v>
      </c>
      <c r="E7738" s="10">
        <v>148565</v>
      </c>
      <c r="F7738" s="4" t="str">
        <f>IF(B7738=B7737,"",B7738)</f>
        <v>Şirvan</v>
      </c>
    </row>
    <row r="7739" spans="1:6" ht="15.75" customHeight="1">
      <c r="A7739" s="5" t="str">
        <f ca="1">IFERROR(__xludf.DUMMYFUNCTION("GOOGLETRANSLATE(B32116,""en"",""pt"")"),"Sirūr")</f>
        <v>Sirūr</v>
      </c>
      <c r="B7739" s="17" t="s">
        <v>33063</v>
      </c>
      <c r="C7739" s="17" t="s">
        <v>10178</v>
      </c>
      <c r="D7739" s="17" t="s">
        <v>10214</v>
      </c>
      <c r="E7739" s="10">
        <v>1256025</v>
      </c>
      <c r="F7739" s="4" t="str">
        <f>IF(B7739=B7738,"",B7739)</f>
        <v>Sirūr</v>
      </c>
    </row>
    <row r="7740" spans="1:6" ht="15.75" customHeight="1">
      <c r="A7740" s="5" t="s">
        <v>13396</v>
      </c>
      <c r="B7740" s="6" t="s">
        <v>13396</v>
      </c>
      <c r="C7740" s="5" t="s">
        <v>10178</v>
      </c>
      <c r="D7740" s="5" t="s">
        <v>10196</v>
      </c>
      <c r="E7740" s="2">
        <v>1256027</v>
      </c>
      <c r="F7740" s="4" t="str">
        <f>IF(B7740=B7739,"",B7740)</f>
        <v>Sirumugai</v>
      </c>
    </row>
    <row r="7741" spans="1:6" ht="15.75" customHeight="1">
      <c r="A7741" s="5" t="str">
        <f ca="1">IFERROR(__xludf.DUMMYFUNCTION("GOOGLETRANSLATE(B32117,""en"",""pt"")"),"Sirumugai")</f>
        <v>Sirumugai</v>
      </c>
      <c r="B7741" s="17" t="s">
        <v>13396</v>
      </c>
      <c r="C7741" s="17" t="s">
        <v>10178</v>
      </c>
      <c r="D7741" s="17" t="s">
        <v>10196</v>
      </c>
      <c r="E7741" s="10">
        <v>1256027</v>
      </c>
      <c r="F7741" s="4" t="str">
        <f>IF(B7741=B7740,"",B7741)</f>
        <v/>
      </c>
    </row>
    <row r="7742" spans="1:6" ht="15.75" customHeight="1">
      <c r="A7742" s="5" t="s">
        <v>13395</v>
      </c>
      <c r="B7742" s="6" t="s">
        <v>13395</v>
      </c>
      <c r="C7742" s="5" t="s">
        <v>10178</v>
      </c>
      <c r="D7742" s="5" t="s">
        <v>10252</v>
      </c>
      <c r="E7742" s="2">
        <v>1256029</v>
      </c>
      <c r="F7742" s="4" t="str">
        <f>IF(B7742=B7741,"",B7742)</f>
        <v>Siruguppa</v>
      </c>
    </row>
    <row r="7743" spans="1:6" ht="15.75" customHeight="1">
      <c r="A7743" s="5" t="str">
        <f ca="1">IFERROR(__xludf.DUMMYFUNCTION("GOOGLETRANSLATE(B32118,""en"",""pt"")"),"Siruguppa")</f>
        <v>Siruguppa</v>
      </c>
      <c r="B7743" s="17" t="s">
        <v>13395</v>
      </c>
      <c r="C7743" s="17" t="s">
        <v>10178</v>
      </c>
      <c r="D7743" s="17" t="s">
        <v>10252</v>
      </c>
      <c r="E7743" s="10">
        <v>1256029</v>
      </c>
      <c r="F7743" s="4" t="str">
        <f>IF(B7743=B7742,"",B7743)</f>
        <v/>
      </c>
    </row>
    <row r="7744" spans="1:6" ht="15.75" customHeight="1">
      <c r="A7744" s="6" t="s">
        <v>17130</v>
      </c>
      <c r="B7744" s="6" t="s">
        <v>17130</v>
      </c>
      <c r="C7744" s="6" t="s">
        <v>17074</v>
      </c>
      <c r="D7744" s="6" t="s">
        <v>17131</v>
      </c>
      <c r="E7744" s="2">
        <v>2210554</v>
      </c>
      <c r="F7744" s="4" t="str">
        <f>IF(B7744=B7743,"",B7744)</f>
        <v>Sirte</v>
      </c>
    </row>
    <row r="7745" spans="1:6" ht="15.75" customHeight="1">
      <c r="A7745" s="5" t="str">
        <f ca="1">IFERROR(__xludf.DUMMYFUNCTION("GOOGLETRANSLATE(B36433,""en"",""pt"")"),"Sirte")</f>
        <v>Sirte</v>
      </c>
      <c r="B7745" s="17" t="s">
        <v>17130</v>
      </c>
      <c r="C7745" s="17" t="s">
        <v>17074</v>
      </c>
      <c r="D7745" s="17" t="s">
        <v>17131</v>
      </c>
      <c r="E7745" s="10">
        <v>2210554</v>
      </c>
      <c r="F7745" s="4" t="str">
        <f>IF(B7745=B7744,"",B7745)</f>
        <v/>
      </c>
    </row>
    <row r="7746" spans="1:6" ht="15.75" customHeight="1">
      <c r="A7746" s="6" t="s">
        <v>13394</v>
      </c>
      <c r="B7746" s="6" t="s">
        <v>13394</v>
      </c>
      <c r="C7746" s="6" t="s">
        <v>10178</v>
      </c>
      <c r="D7746" s="6" t="s">
        <v>10187</v>
      </c>
      <c r="E7746" s="2">
        <v>1256039</v>
      </c>
      <c r="F7746" s="4" t="str">
        <f>IF(B7746=B7745,"",B7746)</f>
        <v>Sirsilla</v>
      </c>
    </row>
    <row r="7747" spans="1:6" ht="15.75" customHeight="1">
      <c r="A7747" s="5" t="str">
        <f ca="1">IFERROR(__xludf.DUMMYFUNCTION("GOOGLETRANSLATE(B32119,""en"",""pt"")"),"Sirsilla")</f>
        <v>Sirsilla</v>
      </c>
      <c r="B7747" s="17" t="s">
        <v>13394</v>
      </c>
      <c r="C7747" s="17" t="s">
        <v>10178</v>
      </c>
      <c r="D7747" s="17" t="s">
        <v>10187</v>
      </c>
      <c r="E7747" s="10">
        <v>1256039</v>
      </c>
      <c r="F7747" s="4" t="str">
        <f>IF(B7747=B7746,"",B7747)</f>
        <v/>
      </c>
    </row>
    <row r="7748" spans="1:6" ht="15.75" customHeight="1">
      <c r="A7748" s="6" t="s">
        <v>13393</v>
      </c>
      <c r="B7748" s="6" t="s">
        <v>13393</v>
      </c>
      <c r="C7748" s="6" t="s">
        <v>10178</v>
      </c>
      <c r="D7748" s="6" t="s">
        <v>10193</v>
      </c>
      <c r="E7748" s="2">
        <v>1256040</v>
      </c>
      <c r="F7748" s="4" t="str">
        <f>IF(B7748=B7747,"",B7748)</f>
        <v>Sirsi</v>
      </c>
    </row>
    <row r="7749" spans="1:6" ht="15.75" customHeight="1">
      <c r="A7749" s="6" t="s">
        <v>13393</v>
      </c>
      <c r="B7749" s="6" t="s">
        <v>13393</v>
      </c>
      <c r="C7749" s="6" t="s">
        <v>10178</v>
      </c>
      <c r="D7749" s="6" t="s">
        <v>10252</v>
      </c>
      <c r="E7749" s="2">
        <v>1256047</v>
      </c>
      <c r="F7749" s="4" t="str">
        <f>IF(B7749=B7748,"",B7749)</f>
        <v/>
      </c>
    </row>
    <row r="7750" spans="1:6" ht="15.75" customHeight="1">
      <c r="A7750" s="5" t="str">
        <f ca="1">IFERROR(__xludf.DUMMYFUNCTION("GOOGLETRANSLATE(B32120,""en"",""pt"")"),"Sirsi")</f>
        <v>Sirsi</v>
      </c>
      <c r="B7750" s="17" t="s">
        <v>13393</v>
      </c>
      <c r="C7750" s="17" t="s">
        <v>10178</v>
      </c>
      <c r="D7750" s="17" t="s">
        <v>10193</v>
      </c>
      <c r="E7750" s="10">
        <v>1256040</v>
      </c>
      <c r="F7750" s="4" t="str">
        <f>IF(B7750=B7749,"",B7750)</f>
        <v/>
      </c>
    </row>
    <row r="7751" spans="1:6" ht="15.75" customHeight="1">
      <c r="A7751" s="5" t="str">
        <f ca="1">IFERROR(__xludf.DUMMYFUNCTION("GOOGLETRANSLATE(B32121,""en"",""pt"")"),"Sirsi")</f>
        <v>Sirsi</v>
      </c>
      <c r="B7751" s="17" t="s">
        <v>13393</v>
      </c>
      <c r="C7751" s="17" t="s">
        <v>10178</v>
      </c>
      <c r="D7751" s="17" t="s">
        <v>10252</v>
      </c>
      <c r="E7751" s="10">
        <v>1256047</v>
      </c>
      <c r="F7751" s="4" t="str">
        <f>IF(B7751=B7750,"",B7751)</f>
        <v/>
      </c>
    </row>
    <row r="7752" spans="1:6" ht="15.75" customHeight="1">
      <c r="A7752" s="5" t="str">
        <f ca="1">IFERROR(__xludf.DUMMYFUNCTION("GOOGLETRANSLATE(B32122,""en"",""pt"")"),"Sirsāganj")</f>
        <v>Sirsāganj</v>
      </c>
      <c r="B7752" s="17" t="s">
        <v>33064</v>
      </c>
      <c r="C7752" s="17" t="s">
        <v>10178</v>
      </c>
      <c r="D7752" s="17" t="s">
        <v>10193</v>
      </c>
      <c r="E7752" s="10">
        <v>1256050</v>
      </c>
      <c r="F7752" s="4" t="str">
        <f>IF(B7752=B7751,"",B7752)</f>
        <v>Sirsāganj</v>
      </c>
    </row>
    <row r="7753" spans="1:6" ht="15.75" customHeight="1">
      <c r="A7753" s="5" t="s">
        <v>13391</v>
      </c>
      <c r="B7753" s="6" t="s">
        <v>13392</v>
      </c>
      <c r="C7753" s="5" t="s">
        <v>10178</v>
      </c>
      <c r="D7753" s="5" t="s">
        <v>10193</v>
      </c>
      <c r="E7753" s="2">
        <v>1256050</v>
      </c>
      <c r="F7753" s="4" t="str">
        <f>IF(B7753=B7752,"",B7753)</f>
        <v>SirsÄganj</v>
      </c>
    </row>
    <row r="7754" spans="1:6" ht="15.75" customHeight="1">
      <c r="A7754" s="6" t="s">
        <v>13390</v>
      </c>
      <c r="B7754" s="6" t="s">
        <v>13390</v>
      </c>
      <c r="C7754" s="6" t="s">
        <v>10178</v>
      </c>
      <c r="D7754" s="6" t="s">
        <v>10224</v>
      </c>
      <c r="E7754" s="2">
        <v>1256052</v>
      </c>
      <c r="F7754" s="4" t="str">
        <f>IF(B7754=B7753,"",B7754)</f>
        <v>Sirsa</v>
      </c>
    </row>
    <row r="7755" spans="1:6" ht="15.75" customHeight="1">
      <c r="A7755" s="5" t="str">
        <f ca="1">IFERROR(__xludf.DUMMYFUNCTION("GOOGLETRANSLATE(B32123,""en"",""pt"")"),"Sirsa")</f>
        <v>Sirsa</v>
      </c>
      <c r="B7755" s="17" t="s">
        <v>13390</v>
      </c>
      <c r="C7755" s="17" t="s">
        <v>10178</v>
      </c>
      <c r="D7755" s="17" t="s">
        <v>10224</v>
      </c>
      <c r="E7755" s="10">
        <v>1256052</v>
      </c>
      <c r="F7755" s="4" t="str">
        <f>IF(B7755=B7754,"",B7755)</f>
        <v/>
      </c>
    </row>
    <row r="7756" spans="1:6" ht="15.75" customHeight="1">
      <c r="A7756" s="6" t="s">
        <v>13388</v>
      </c>
      <c r="B7756" s="6" t="s">
        <v>13389</v>
      </c>
      <c r="C7756" s="6" t="s">
        <v>10178</v>
      </c>
      <c r="D7756" s="6" t="s">
        <v>10219</v>
      </c>
      <c r="E7756" s="2">
        <v>1256064</v>
      </c>
      <c r="F7756" s="4" t="str">
        <f>IF(B7756=B7755,"",B7756)</f>
        <v>Sironj</v>
      </c>
    </row>
    <row r="7757" spans="1:6" ht="15.75" customHeight="1">
      <c r="A7757" s="5" t="str">
        <f ca="1">IFERROR(__xludf.DUMMYFUNCTION("GOOGLETRANSLATE(B32124,""en"",""pt"")"),"SIRONJ")</f>
        <v>SIRONJ</v>
      </c>
      <c r="B7757" s="17" t="s">
        <v>13389</v>
      </c>
      <c r="C7757" s="17" t="s">
        <v>10178</v>
      </c>
      <c r="D7757" s="17" t="s">
        <v>10219</v>
      </c>
      <c r="E7757" s="10">
        <v>1256064</v>
      </c>
      <c r="F7757" s="4" t="str">
        <f>IF(B7757=B7756,"",B7757)</f>
        <v/>
      </c>
    </row>
    <row r="7758" spans="1:6" ht="15.75" customHeight="1">
      <c r="A7758" s="6" t="s">
        <v>13387</v>
      </c>
      <c r="B7758" s="6" t="s">
        <v>13387</v>
      </c>
      <c r="C7758" s="6" t="s">
        <v>10178</v>
      </c>
      <c r="D7758" s="6" t="s">
        <v>10179</v>
      </c>
      <c r="E7758" s="2">
        <v>1256067</v>
      </c>
      <c r="F7758" s="4" t="str">
        <f>IF(B7758=B7757,"",B7758)</f>
        <v>Sirohi</v>
      </c>
    </row>
    <row r="7759" spans="1:6" ht="15.75" customHeight="1">
      <c r="A7759" s="5" t="str">
        <f ca="1">IFERROR(__xludf.DUMMYFUNCTION("GOOGLETRANSLATE(B32125,""en"",""pt"")"),"Sirohi")</f>
        <v>Sirohi</v>
      </c>
      <c r="B7759" s="17" t="s">
        <v>13387</v>
      </c>
      <c r="C7759" s="17" t="s">
        <v>10178</v>
      </c>
      <c r="D7759" s="17" t="s">
        <v>10179</v>
      </c>
      <c r="E7759" s="10">
        <v>1256067</v>
      </c>
      <c r="F7759" s="4" t="str">
        <f>IF(B7759=B7758,"",B7759)</f>
        <v/>
      </c>
    </row>
    <row r="7760" spans="1:6" ht="15.75" customHeight="1">
      <c r="A7760" s="5" t="str">
        <f ca="1">IFERROR(__xludf.DUMMYFUNCTION("GOOGLETRANSLATE(B41897,""en"",""pt"")"),"Şırnak")</f>
        <v>Şırnak</v>
      </c>
      <c r="B7760" s="17" t="s">
        <v>35834</v>
      </c>
      <c r="C7760" s="17" t="s">
        <v>26201</v>
      </c>
      <c r="D7760" s="17" t="s">
        <v>35834</v>
      </c>
      <c r="E7760" s="10">
        <v>300640</v>
      </c>
      <c r="F7760" s="4" t="str">
        <f>IF(B7760=B7759,"",B7760)</f>
        <v>Şırnak</v>
      </c>
    </row>
    <row r="7761" spans="1:6" ht="15.75" customHeight="1">
      <c r="A7761" s="5" t="str">
        <f ca="1">IFERROR(__xludf.DUMMYFUNCTION("GOOGLETRANSLATE(B32126,""en"",""pt"")"),"Sīrkāzhi")</f>
        <v>Sīrkāzhi</v>
      </c>
      <c r="B7761" s="17" t="s">
        <v>33065</v>
      </c>
      <c r="C7761" s="17" t="s">
        <v>10178</v>
      </c>
      <c r="D7761" s="17" t="s">
        <v>10196</v>
      </c>
      <c r="E7761" s="10">
        <v>1256075</v>
      </c>
      <c r="F7761" s="4" t="str">
        <f>IF(B7761=B7760,"",B7761)</f>
        <v>Sīrkāzhi</v>
      </c>
    </row>
    <row r="7762" spans="1:6" ht="15.75" customHeight="1">
      <c r="A7762" s="6" t="s">
        <v>14564</v>
      </c>
      <c r="B7762" s="6" t="s">
        <v>14564</v>
      </c>
      <c r="C7762" s="6" t="s">
        <v>14240</v>
      </c>
      <c r="D7762" s="6" t="s">
        <v>14317</v>
      </c>
      <c r="E7762" s="2">
        <v>114259</v>
      </c>
      <c r="F7762" s="4" t="str">
        <f>IF(B7762=B7761,"",B7762)</f>
        <v>Sirjan</v>
      </c>
    </row>
    <row r="7763" spans="1:6" ht="15.75" customHeight="1">
      <c r="A7763" s="5" t="str">
        <f ca="1">IFERROR(__xludf.DUMMYFUNCTION("GOOGLETRANSLATE(B34363,""en"",""pt"")"),"Sirjan")</f>
        <v>Sirjan</v>
      </c>
      <c r="B7763" s="17" t="s">
        <v>14564</v>
      </c>
      <c r="C7763" s="17" t="s">
        <v>14240</v>
      </c>
      <c r="D7763" s="17" t="s">
        <v>14317</v>
      </c>
      <c r="E7763" s="10">
        <v>114259</v>
      </c>
      <c r="F7763" s="4" t="str">
        <f>IF(B7763=B7762,"",B7763)</f>
        <v/>
      </c>
    </row>
    <row r="7764" spans="1:6" ht="15.75" customHeight="1">
      <c r="A7764" s="5" t="str">
        <f ca="1">IFERROR(__xludf.DUMMYFUNCTION("GOOGLETRANSLATE(B24177,""en"",""pt"")"),"Sirinhama")</f>
        <v>Sirinhama</v>
      </c>
      <c r="B7764" s="17" t="s">
        <v>31357</v>
      </c>
      <c r="C7764" s="17" t="s">
        <v>1905</v>
      </c>
      <c r="D7764" s="17" t="s">
        <v>1909</v>
      </c>
      <c r="E7764" s="10">
        <v>3387604</v>
      </c>
      <c r="F7764" s="4" t="str">
        <f>IF(B7764=B7763,"",B7764)</f>
        <v>Sirinhaém</v>
      </c>
    </row>
    <row r="7765" spans="1:6" ht="15.75" customHeight="1">
      <c r="A7765" s="5" t="s">
        <v>3490</v>
      </c>
      <c r="B7765" s="6" t="s">
        <v>3491</v>
      </c>
      <c r="C7765" s="5" t="s">
        <v>1905</v>
      </c>
      <c r="D7765" s="5" t="s">
        <v>1909</v>
      </c>
      <c r="E7765" s="2">
        <v>3387604</v>
      </c>
      <c r="F7765" s="4" t="str">
        <f>IF(B7765=B7764,"",B7765)</f>
        <v>SirinhaÃ©m</v>
      </c>
    </row>
    <row r="7766" spans="1:6" ht="15.75" customHeight="1">
      <c r="A7766" s="6" t="s">
        <v>13386</v>
      </c>
      <c r="B7766" s="6" t="s">
        <v>13386</v>
      </c>
      <c r="C7766" s="6" t="s">
        <v>10178</v>
      </c>
      <c r="D7766" s="6" t="s">
        <v>10184</v>
      </c>
      <c r="E7766" s="2">
        <v>1256087</v>
      </c>
      <c r="F7766" s="4" t="str">
        <f>IF(B7766=B7765,"",B7766)</f>
        <v>Sirhind</v>
      </c>
    </row>
    <row r="7767" spans="1:6" ht="15.75" customHeight="1">
      <c r="A7767" s="5" t="str">
        <f ca="1">IFERROR(__xludf.DUMMYFUNCTION("GOOGLETRANSLATE(B32127,""en"",""pt"")"),"Sirhind")</f>
        <v>Sirhind</v>
      </c>
      <c r="B7767" s="17" t="s">
        <v>13386</v>
      </c>
      <c r="C7767" s="17" t="s">
        <v>10178</v>
      </c>
      <c r="D7767" s="17" t="s">
        <v>10184</v>
      </c>
      <c r="E7767" s="10">
        <v>1256087</v>
      </c>
      <c r="F7767" s="4" t="str">
        <f>IF(B7767=B7766,"",B7767)</f>
        <v/>
      </c>
    </row>
    <row r="7768" spans="1:6" ht="15.75" customHeight="1">
      <c r="A7768" s="6" t="s">
        <v>30543</v>
      </c>
      <c r="B7768" s="6" t="s">
        <v>30543</v>
      </c>
      <c r="C7768" s="6" t="s">
        <v>30502</v>
      </c>
      <c r="D7768" s="6" t="s">
        <v>30543</v>
      </c>
      <c r="E7768" s="2">
        <v>1512770</v>
      </c>
      <c r="F7768" s="4" t="str">
        <f>IF(B7768=B7767,"",B7768)</f>
        <v>Sirdaryo</v>
      </c>
    </row>
    <row r="7769" spans="1:6" ht="15.75" customHeight="1">
      <c r="A7769" s="5" t="str">
        <f ca="1">IFERROR(__xludf.DUMMYFUNCTION("GOOGLETRANSLATE(B45544,""en"",""pt"")"),"Sirdaryo")</f>
        <v>Sirdaryo</v>
      </c>
      <c r="B7769" s="17" t="s">
        <v>30543</v>
      </c>
      <c r="C7769" s="17" t="s">
        <v>30502</v>
      </c>
      <c r="D7769" s="17" t="s">
        <v>30543</v>
      </c>
      <c r="E7769" s="10">
        <v>1512770</v>
      </c>
      <c r="F7769" s="4" t="str">
        <f>IF(B7769=B7768,"",B7769)</f>
        <v/>
      </c>
    </row>
    <row r="7770" spans="1:6" ht="15.75" customHeight="1">
      <c r="A7770" s="6" t="s">
        <v>25740</v>
      </c>
      <c r="B7770" s="6" t="s">
        <v>25741</v>
      </c>
      <c r="C7770" s="6" t="s">
        <v>25560</v>
      </c>
      <c r="D7770" s="6" t="s">
        <v>25574</v>
      </c>
      <c r="E7770" s="2">
        <v>149854</v>
      </c>
      <c r="F7770" s="4" t="str">
        <f>IF(B7770=B7769,"",B7770)</f>
        <v>Sirari</v>
      </c>
    </row>
    <row r="7771" spans="1:6" ht="15.75" customHeight="1">
      <c r="A7771" s="5" t="str">
        <f ca="1">IFERROR(__xludf.DUMMYFUNCTION("GOOGLETRANSLATE(B42303,""en"",""pt"")"),"Siari")</f>
        <v>Siari</v>
      </c>
      <c r="B7771" s="17" t="s">
        <v>25741</v>
      </c>
      <c r="C7771" s="17" t="s">
        <v>25560</v>
      </c>
      <c r="D7771" s="17" t="s">
        <v>25574</v>
      </c>
      <c r="E7771" s="10">
        <v>149854</v>
      </c>
      <c r="F7771" s="4" t="str">
        <f>IF(B7771=B7770,"",B7771)</f>
        <v/>
      </c>
    </row>
    <row r="7772" spans="1:6" ht="15.75" customHeight="1">
      <c r="A7772" s="5" t="str">
        <f ca="1">IFERROR(__xludf.DUMMYFUNCTION("GOOGLETRANSLATE(B23701,""en"",""pt"")"),"Sirājganj")</f>
        <v>Sirājganj</v>
      </c>
      <c r="B7772" s="17" t="s">
        <v>31261</v>
      </c>
      <c r="C7772" s="17" t="s">
        <v>1296</v>
      </c>
      <c r="D7772" s="17" t="s">
        <v>31259</v>
      </c>
      <c r="E7772" s="10">
        <v>1185115</v>
      </c>
      <c r="F7772" s="4" t="str">
        <f>IF(B7772=B7771,"",B7772)</f>
        <v>Sirājganj</v>
      </c>
    </row>
    <row r="7773" spans="1:6" ht="15.75" customHeight="1">
      <c r="A7773" s="5" t="str">
        <f ca="1">IFERROR(__xludf.DUMMYFUNCTION("GOOGLETRANSLATE(B38180,""en"",""pt"")"),"Sirāhā")</f>
        <v>Sirāhā</v>
      </c>
      <c r="B7773" s="17" t="s">
        <v>34825</v>
      </c>
      <c r="C7773" s="17" t="s">
        <v>18800</v>
      </c>
      <c r="D7773" s="17" t="s">
        <v>18807</v>
      </c>
      <c r="E7773" s="10">
        <v>1282770</v>
      </c>
      <c r="F7773" s="4" t="str">
        <f>IF(B7773=B7772,"",B7773)</f>
        <v>Sirāhā</v>
      </c>
    </row>
    <row r="7774" spans="1:6" ht="15.75" customHeight="1">
      <c r="A7774" s="6" t="s">
        <v>15508</v>
      </c>
      <c r="B7774" s="6" t="s">
        <v>15508</v>
      </c>
      <c r="C7774" s="6" t="s">
        <v>14891</v>
      </c>
      <c r="D7774" s="6" t="s">
        <v>14899</v>
      </c>
      <c r="E7774" s="2">
        <v>2523083</v>
      </c>
      <c r="F7774" s="4" t="str">
        <f>IF(B7774=B7773,"",B7774)</f>
        <v>Siracusa</v>
      </c>
    </row>
    <row r="7775" spans="1:6" ht="15.75" customHeight="1">
      <c r="A7775" s="5" t="str">
        <f ca="1">IFERROR(__xludf.DUMMYFUNCTION("GOOGLETRANSLATE(B34544,""en"",""pt"")"),"Siracusa")</f>
        <v>Siracusa</v>
      </c>
      <c r="B7775" s="17" t="s">
        <v>15508</v>
      </c>
      <c r="C7775" s="17" t="s">
        <v>14891</v>
      </c>
      <c r="D7775" s="17" t="s">
        <v>14899</v>
      </c>
      <c r="E7775" s="10">
        <v>2523083</v>
      </c>
      <c r="F7775" s="4" t="str">
        <f>IF(B7775=B7774,"",B7775)</f>
        <v/>
      </c>
    </row>
    <row r="7776" spans="1:6" ht="15.75" customHeight="1">
      <c r="A7776" s="6" t="s">
        <v>1437</v>
      </c>
      <c r="B7776" s="6" t="s">
        <v>1438</v>
      </c>
      <c r="C7776" s="6" t="s">
        <v>1296</v>
      </c>
      <c r="D7776" s="6" t="s">
        <v>1310</v>
      </c>
      <c r="E7776" s="2">
        <v>1185115</v>
      </c>
      <c r="F7776" s="4" t="str">
        <f>IF(B7776=B7775,"",B7776)</f>
        <v>SirÄjganj</v>
      </c>
    </row>
    <row r="7777" spans="1:6" ht="15.75" customHeight="1">
      <c r="A7777" s="6" t="s">
        <v>18853</v>
      </c>
      <c r="B7777" s="6" t="s">
        <v>18854</v>
      </c>
      <c r="C7777" s="6" t="s">
        <v>18800</v>
      </c>
      <c r="D7777" s="6" t="s">
        <v>18807</v>
      </c>
      <c r="E7777" s="2">
        <v>1282770</v>
      </c>
      <c r="F7777" s="4" t="str">
        <f>IF(B7777=B7776,"",B7777)</f>
        <v>SirÄhÄ</v>
      </c>
    </row>
    <row r="7778" spans="1:6" ht="15.75" customHeight="1">
      <c r="A7778" s="6" t="s">
        <v>13384</v>
      </c>
      <c r="B7778" s="6" t="s">
        <v>13385</v>
      </c>
      <c r="C7778" s="6" t="s">
        <v>10178</v>
      </c>
      <c r="D7778" s="6" t="s">
        <v>10214</v>
      </c>
      <c r="E7778" s="2">
        <v>1256025</v>
      </c>
      <c r="F7778" s="4" t="str">
        <f>IF(B7778=B7777,"",B7778)</f>
        <v>SirÅ«r</v>
      </c>
    </row>
    <row r="7779" spans="1:6" ht="15.75" customHeight="1">
      <c r="A7779" s="5" t="str">
        <f ca="1">IFERROR(__xludf.DUMMYFUNCTION("GOOGLETRANSLATE(B32128,""en"",""pt"")"),"Sīra")</f>
        <v>Sīra</v>
      </c>
      <c r="B7779" s="17" t="s">
        <v>33066</v>
      </c>
      <c r="C7779" s="17" t="s">
        <v>10178</v>
      </c>
      <c r="D7779" s="17" t="s">
        <v>10252</v>
      </c>
      <c r="E7779" s="10">
        <v>1256104</v>
      </c>
      <c r="F7779" s="4" t="str">
        <f>IF(B7779=B7778,"",B7779)</f>
        <v>Sīra</v>
      </c>
    </row>
    <row r="7780" spans="1:6" ht="15.75" customHeight="1">
      <c r="A7780" s="6" t="s">
        <v>5705</v>
      </c>
      <c r="B7780" s="6" t="s">
        <v>5706</v>
      </c>
      <c r="C7780" s="6" t="s">
        <v>5665</v>
      </c>
      <c r="D7780" s="6" t="s">
        <v>5681</v>
      </c>
      <c r="E7780" s="2">
        <v>3621440</v>
      </c>
      <c r="F7780" s="4" t="str">
        <f>IF(B7780=B7779,"",B7780)</f>
        <v>Siquirres</v>
      </c>
    </row>
    <row r="7781" spans="1:6" ht="15.75" customHeight="1">
      <c r="A7781" s="5" t="str">
        <f ca="1">IFERROR(__xludf.DUMMYFUNCTION("GOOGLETRANSLATE(B27062,""en"",""pt"")"),"SiquiRres")</f>
        <v>SiquiRres</v>
      </c>
      <c r="B7781" s="17" t="s">
        <v>5706</v>
      </c>
      <c r="C7781" s="17" t="s">
        <v>5665</v>
      </c>
      <c r="D7781" s="17" t="s">
        <v>31895</v>
      </c>
      <c r="E7781" s="10">
        <v>3621440</v>
      </c>
      <c r="F7781" s="4" t="str">
        <f>IF(B7781=B7780,"",B7781)</f>
        <v/>
      </c>
    </row>
    <row r="7782" spans="1:6" ht="15.75" customHeight="1">
      <c r="A7782" s="6" t="s">
        <v>5092</v>
      </c>
      <c r="B7782" s="6" t="s">
        <v>5093</v>
      </c>
      <c r="C7782" s="6" t="s">
        <v>4487</v>
      </c>
      <c r="D7782" s="6" t="s">
        <v>4518</v>
      </c>
      <c r="E7782" s="2">
        <v>2034714</v>
      </c>
      <c r="F7782" s="4" t="str">
        <f>IF(B7782=B7781,"",B7782)</f>
        <v>Siping</v>
      </c>
    </row>
    <row r="7783" spans="1:6" ht="15.75" customHeight="1">
      <c r="A7783" s="5" t="str">
        <f ca="1">IFERROR(__xludf.DUMMYFUNCTION("GOOGLETRANSLATE(B26688,""en"",""pt"")"),"Bebendo")</f>
        <v>Bebendo</v>
      </c>
      <c r="B7783" s="17" t="s">
        <v>5093</v>
      </c>
      <c r="C7783" s="17" t="s">
        <v>4487</v>
      </c>
      <c r="D7783" s="17" t="s">
        <v>4518</v>
      </c>
      <c r="E7783" s="10">
        <v>2034714</v>
      </c>
      <c r="F7783" s="4" t="str">
        <f>IF(B7783=B7782,"",B7783)</f>
        <v/>
      </c>
    </row>
    <row r="7784" spans="1:6" ht="15.75" customHeight="1">
      <c r="A7784" s="6" t="s">
        <v>21012</v>
      </c>
      <c r="B7784" s="6" t="s">
        <v>21012</v>
      </c>
      <c r="C7784" s="6" t="s">
        <v>20598</v>
      </c>
      <c r="D7784" s="6" t="s">
        <v>20627</v>
      </c>
      <c r="E7784" s="2">
        <v>1686102</v>
      </c>
      <c r="F7784" s="4" t="str">
        <f>IF(B7784=B7783,"",B7784)</f>
        <v>Sipalay</v>
      </c>
    </row>
    <row r="7785" spans="1:6" ht="15.75" customHeight="1">
      <c r="A7785" s="5" t="str">
        <f ca="1">IFERROR(__xludf.DUMMYFUNCTION("GOOGLETRANSLATE(B38476,""en"",""pt"")"),"Sipalay")</f>
        <v>Sipalay</v>
      </c>
      <c r="B7785" s="17" t="s">
        <v>21012</v>
      </c>
      <c r="C7785" s="17" t="s">
        <v>20598</v>
      </c>
      <c r="D7785" s="17" t="s">
        <v>20627</v>
      </c>
      <c r="E7785" s="10">
        <v>1686102</v>
      </c>
      <c r="F7785" s="4" t="str">
        <f>IF(B7785=B7784,"",B7785)</f>
        <v/>
      </c>
    </row>
    <row r="7786" spans="1:6" ht="15.75" customHeight="1">
      <c r="A7786" s="6" t="s">
        <v>29998</v>
      </c>
      <c r="B7786" s="6" t="s">
        <v>29999</v>
      </c>
      <c r="C7786" s="6" t="s">
        <v>27788</v>
      </c>
      <c r="D7786" s="6" t="s">
        <v>27790</v>
      </c>
      <c r="E7786" s="2">
        <v>5231851</v>
      </c>
      <c r="F7786" s="4" t="str">
        <f>IF(B7786=B7785,"",B7786)</f>
        <v>Sioux Falls</v>
      </c>
    </row>
    <row r="7787" spans="1:6" ht="15.75" customHeight="1">
      <c r="A7787" s="5" t="str">
        <f ca="1">IFERROR(__xludf.DUMMYFUNCTION("GOOGLETRANSLATE(B44626,""en"",""pt"")"),"Sioux cai")</f>
        <v>Sioux cai</v>
      </c>
      <c r="B7787" s="17" t="s">
        <v>29999</v>
      </c>
      <c r="C7787" s="17" t="s">
        <v>27788</v>
      </c>
      <c r="D7787" s="17" t="s">
        <v>27790</v>
      </c>
      <c r="E7787" s="10">
        <v>5231851</v>
      </c>
      <c r="F7787" s="4" t="str">
        <f>IF(B7787=B7786,"",B7787)</f>
        <v/>
      </c>
    </row>
    <row r="7788" spans="1:6" ht="15.75" customHeight="1">
      <c r="A7788" s="5" t="s">
        <v>29996</v>
      </c>
      <c r="B7788" s="6" t="s">
        <v>29997</v>
      </c>
      <c r="C7788" s="5" t="s">
        <v>27788</v>
      </c>
      <c r="D7788" s="5" t="s">
        <v>27859</v>
      </c>
      <c r="E7788" s="2">
        <v>4876523</v>
      </c>
      <c r="F7788" s="4" t="str">
        <f>IF(B7788=B7787,"",B7788)</f>
        <v>Sioux City</v>
      </c>
    </row>
    <row r="7789" spans="1:6" ht="15.75" customHeight="1">
      <c r="A7789" s="5" t="str">
        <f ca="1">IFERROR(__xludf.DUMMYFUNCTION("GOOGLETRANSLATE(B43756,""en"",""pt"")"),"Cidade de Sioux")</f>
        <v>Cidade de Sioux</v>
      </c>
      <c r="B7789" s="17" t="s">
        <v>29997</v>
      </c>
      <c r="C7789" s="17" t="s">
        <v>27788</v>
      </c>
      <c r="D7789" s="17" t="s">
        <v>27859</v>
      </c>
      <c r="E7789" s="10">
        <v>4876523</v>
      </c>
      <c r="F7789" s="4" t="str">
        <f>IF(B7789=B7788,"",B7789)</f>
        <v/>
      </c>
    </row>
    <row r="7790" spans="1:6" ht="15.75" customHeight="1">
      <c r="A7790" s="5" t="str">
        <f ca="1">IFERROR(__xludf.DUMMYFUNCTION("GOOGLETRANSLATE(B31287,""en"",""pt"")"),"Siófok")</f>
        <v>Siófok</v>
      </c>
      <c r="B7790" s="17" t="s">
        <v>32859</v>
      </c>
      <c r="C7790" s="17" t="s">
        <v>9955</v>
      </c>
      <c r="D7790" s="17" t="s">
        <v>10075</v>
      </c>
      <c r="E7790" s="10">
        <v>3045332</v>
      </c>
      <c r="F7790" s="4" t="str">
        <f>IF(B7790=B7789,"",B7790)</f>
        <v>Siófok</v>
      </c>
    </row>
    <row r="7791" spans="1:6" ht="15.75" customHeight="1">
      <c r="A7791" s="6" t="s">
        <v>9141</v>
      </c>
      <c r="B7791" s="6" t="s">
        <v>9141</v>
      </c>
      <c r="C7791" s="6" t="s">
        <v>8028</v>
      </c>
      <c r="D7791" s="6" t="s">
        <v>8065</v>
      </c>
      <c r="E7791" s="2">
        <v>2831852</v>
      </c>
      <c r="F7791" s="4" t="str">
        <f>IF(B7791=B7790,"",B7791)</f>
        <v>Sinzig</v>
      </c>
    </row>
    <row r="7792" spans="1:6" ht="15.75" customHeight="1">
      <c r="A7792" s="5" t="str">
        <f ca="1">IFERROR(__xludf.DUMMYFUNCTION("GOOGLETRANSLATE(B27522,""en"",""pt"")"),"Sinzig")</f>
        <v>Sinzig</v>
      </c>
      <c r="B7792" s="17" t="s">
        <v>9141</v>
      </c>
      <c r="C7792" s="17" t="s">
        <v>8028</v>
      </c>
      <c r="D7792" s="17" t="s">
        <v>8065</v>
      </c>
      <c r="E7792" s="10">
        <v>2831852</v>
      </c>
      <c r="F7792" s="4" t="str">
        <f>IF(B7792=B7791,"",B7792)</f>
        <v/>
      </c>
    </row>
    <row r="7793" spans="1:6" ht="15.75" customHeight="1">
      <c r="A7793" s="5" t="str">
        <f ca="1">IFERROR(__xludf.DUMMYFUNCTION("GOOGLETRANSLATE(B36027,""en"",""pt"")"),"Sinŭiju")</f>
        <v>Sinŭiju</v>
      </c>
      <c r="B7793" s="17" t="s">
        <v>34458</v>
      </c>
      <c r="C7793" s="17" t="s">
        <v>19589</v>
      </c>
      <c r="D7793" s="17" t="s">
        <v>34443</v>
      </c>
      <c r="E7793" s="10">
        <v>2040893</v>
      </c>
      <c r="F7793" s="4" t="str">
        <f>IF(B7793=B7792,"",B7793)</f>
        <v>Sinŭiju</v>
      </c>
    </row>
    <row r="7794" spans="1:6" ht="15.75" customHeight="1">
      <c r="A7794" s="5" t="s">
        <v>1690</v>
      </c>
      <c r="B7794" s="6" t="s">
        <v>1690</v>
      </c>
      <c r="C7794" s="5" t="s">
        <v>1512</v>
      </c>
      <c r="D7794" s="5" t="s">
        <v>1513</v>
      </c>
      <c r="E7794" s="2">
        <v>2786545</v>
      </c>
      <c r="F7794" s="4" t="str">
        <f>IF(B7794=B7793,"",B7794)</f>
        <v>Sint-Truiden</v>
      </c>
    </row>
    <row r="7795" spans="1:6" ht="15.75" customHeight="1">
      <c r="A7795" s="5" t="str">
        <f ca="1">IFERROR(__xludf.DUMMYFUNCTION("GOOGLETRANSLATE(B23827,""en"",""pt"")"),"Sint-Truiden")</f>
        <v>Sint-Truiden</v>
      </c>
      <c r="B7795" s="17" t="s">
        <v>1690</v>
      </c>
      <c r="C7795" s="17" t="s">
        <v>1512</v>
      </c>
      <c r="D7795" s="17" t="s">
        <v>1513</v>
      </c>
      <c r="E7795" s="10">
        <v>2786545</v>
      </c>
      <c r="F7795" s="4" t="str">
        <f>IF(B7795=B7794,"",B7795)</f>
        <v/>
      </c>
    </row>
    <row r="7796" spans="1:6" ht="15.75" customHeight="1">
      <c r="A7796" s="6" t="s">
        <v>21738</v>
      </c>
      <c r="B7796" s="6" t="s">
        <v>21738</v>
      </c>
      <c r="C7796" s="6" t="s">
        <v>21606</v>
      </c>
      <c r="D7796" s="6" t="s">
        <v>21616</v>
      </c>
      <c r="E7796" s="2">
        <v>2262912</v>
      </c>
      <c r="F7796" s="4" t="str">
        <f>IF(B7796=B7795,"",B7796)</f>
        <v>Sintra</v>
      </c>
    </row>
    <row r="7797" spans="1:6" ht="15.75" customHeight="1">
      <c r="A7797" s="5" t="str">
        <f ca="1">IFERROR(__xludf.DUMMYFUNCTION("GOOGLETRANSLATE(B39568,""en"",""pt"")"),"Sintra")</f>
        <v>Sintra</v>
      </c>
      <c r="B7797" s="17" t="s">
        <v>21738</v>
      </c>
      <c r="C7797" s="17" t="s">
        <v>21606</v>
      </c>
      <c r="D7797" s="17" t="s">
        <v>21616</v>
      </c>
      <c r="E7797" s="10">
        <v>2262912</v>
      </c>
      <c r="F7797" s="4" t="str">
        <f>IF(B7797=B7796,"",B7797)</f>
        <v/>
      </c>
    </row>
    <row r="7798" spans="1:6" ht="15.75" customHeight="1">
      <c r="A7798" s="5" t="s">
        <v>1689</v>
      </c>
      <c r="B7798" s="6" t="s">
        <v>1689</v>
      </c>
      <c r="C7798" s="5" t="s">
        <v>1512</v>
      </c>
      <c r="D7798" s="5" t="s">
        <v>1513</v>
      </c>
      <c r="E7798" s="2">
        <v>2786559</v>
      </c>
      <c r="F7798" s="4" t="str">
        <f>IF(B7798=B7797,"",B7798)</f>
        <v>Sint-Pieters-Leeuw</v>
      </c>
    </row>
    <row r="7799" spans="1:6" ht="15.75" customHeight="1">
      <c r="A7799" s="5" t="str">
        <f ca="1">IFERROR(__xludf.DUMMYFUNCTION("GOOGLETRANSLATE(B23828,""en"",""pt"")"),"Sint-Pieters-Leeuw")</f>
        <v>Sint-Pieters-Leeuw</v>
      </c>
      <c r="B7799" s="17" t="s">
        <v>1689</v>
      </c>
      <c r="C7799" s="17" t="s">
        <v>1512</v>
      </c>
      <c r="D7799" s="17" t="s">
        <v>1513</v>
      </c>
      <c r="E7799" s="10">
        <v>2786559</v>
      </c>
      <c r="F7799" s="4" t="str">
        <f>IF(B7799=B7798,"",B7799)</f>
        <v/>
      </c>
    </row>
    <row r="7800" spans="1:6" ht="15.75" customHeight="1">
      <c r="A7800" s="5" t="s">
        <v>19088</v>
      </c>
      <c r="B7800" s="6" t="s">
        <v>19088</v>
      </c>
      <c r="C7800" s="5" t="s">
        <v>18862</v>
      </c>
      <c r="D7800" s="5" t="s">
        <v>18888</v>
      </c>
      <c r="E7800" s="2">
        <v>2747227</v>
      </c>
      <c r="F7800" s="4" t="str">
        <f>IF(B7800=B7799,"",B7800)</f>
        <v>Sint-Oedenrode</v>
      </c>
    </row>
    <row r="7801" spans="1:6" ht="15.75" customHeight="1">
      <c r="A7801" s="5" t="str">
        <f ca="1">IFERROR(__xludf.DUMMYFUNCTION("GOOGLETRANSLATE(B37955,""en"",""pt"")"),"Sint-Oedenrode")</f>
        <v>Sint-Oedenrode</v>
      </c>
      <c r="B7801" s="17" t="s">
        <v>19088</v>
      </c>
      <c r="C7801" s="17" t="s">
        <v>18862</v>
      </c>
      <c r="D7801" s="17" t="s">
        <v>18888</v>
      </c>
      <c r="E7801" s="10">
        <v>2747227</v>
      </c>
      <c r="F7801" s="4" t="str">
        <f>IF(B7801=B7800,"",B7801)</f>
        <v/>
      </c>
    </row>
    <row r="7802" spans="1:6" ht="15.75" customHeight="1">
      <c r="A7802" s="5" t="s">
        <v>1688</v>
      </c>
      <c r="B7802" s="6" t="s">
        <v>1688</v>
      </c>
      <c r="C7802" s="5" t="s">
        <v>1512</v>
      </c>
      <c r="D7802" s="5" t="s">
        <v>1513</v>
      </c>
      <c r="E7802" s="2">
        <v>2786578</v>
      </c>
      <c r="F7802" s="4" t="str">
        <f>IF(B7802=B7801,"",B7802)</f>
        <v>Sint-Niklaas</v>
      </c>
    </row>
    <row r="7803" spans="1:6" ht="15.75" customHeight="1">
      <c r="A7803" s="5" t="str">
        <f ca="1">IFERROR(__xludf.DUMMYFUNCTION("GOOGLETRANSLATE(B23829,""en"",""pt"")"),"Sint-Niklaas")</f>
        <v>Sint-Niklaas</v>
      </c>
      <c r="B7803" s="17" t="s">
        <v>1688</v>
      </c>
      <c r="C7803" s="17" t="s">
        <v>1512</v>
      </c>
      <c r="D7803" s="17" t="s">
        <v>1513</v>
      </c>
      <c r="E7803" s="10">
        <v>2786578</v>
      </c>
      <c r="F7803" s="4" t="str">
        <f>IF(B7803=B7802,"",B7803)</f>
        <v/>
      </c>
    </row>
    <row r="7804" spans="1:6" ht="15.75" customHeight="1">
      <c r="A7804" s="6" t="s">
        <v>1687</v>
      </c>
      <c r="B7804" s="6" t="s">
        <v>1687</v>
      </c>
      <c r="C7804" s="6" t="s">
        <v>1512</v>
      </c>
      <c r="D7804" s="6" t="s">
        <v>1513</v>
      </c>
      <c r="E7804" s="2">
        <v>2786634</v>
      </c>
      <c r="F7804" s="4" t="str">
        <f>IF(B7804=B7803,"",B7804)</f>
        <v>Sint-Kruis</v>
      </c>
    </row>
    <row r="7805" spans="1:6" ht="15.75" customHeight="1">
      <c r="A7805" s="5" t="str">
        <f ca="1">IFERROR(__xludf.DUMMYFUNCTION("GOOGLETRANSLATE(B23830,""en"",""pt"")"),"Sint-Kruis")</f>
        <v>Sint-Kruis</v>
      </c>
      <c r="B7805" s="17" t="s">
        <v>1687</v>
      </c>
      <c r="C7805" s="17" t="s">
        <v>1512</v>
      </c>
      <c r="D7805" s="17" t="s">
        <v>1513</v>
      </c>
      <c r="E7805" s="10">
        <v>2786634</v>
      </c>
      <c r="F7805" s="4" t="str">
        <f>IF(B7805=B7804,"",B7805)</f>
        <v/>
      </c>
    </row>
    <row r="7806" spans="1:6" ht="15.75" customHeight="1">
      <c r="A7806" s="5" t="s">
        <v>1686</v>
      </c>
      <c r="B7806" s="6" t="s">
        <v>1686</v>
      </c>
      <c r="C7806" s="5" t="s">
        <v>1512</v>
      </c>
      <c r="D7806" s="5" t="s">
        <v>1513</v>
      </c>
      <c r="E7806" s="2">
        <v>2786641</v>
      </c>
      <c r="F7806" s="4" t="str">
        <f>IF(B7806=B7805,"",B7806)</f>
        <v>Sint-Katelijne-Waver</v>
      </c>
    </row>
    <row r="7807" spans="1:6" ht="15.75" customHeight="1">
      <c r="A7807" s="5" t="str">
        <f ca="1">IFERROR(__xludf.DUMMYFUNCTION("GOOGLETRANSLATE(B23831,""en"",""pt"")"),"Sint-Katelijne-Waver")</f>
        <v>Sint-Katelijne-Waver</v>
      </c>
      <c r="B7807" s="17" t="s">
        <v>1686</v>
      </c>
      <c r="C7807" s="17" t="s">
        <v>1512</v>
      </c>
      <c r="D7807" s="17" t="s">
        <v>1513</v>
      </c>
      <c r="E7807" s="10">
        <v>2786641</v>
      </c>
      <c r="F7807" s="4" t="str">
        <f>IF(B7807=B7806,"",B7807)</f>
        <v/>
      </c>
    </row>
    <row r="7808" spans="1:6" ht="15.75" customHeight="1">
      <c r="A7808" s="5" t="s">
        <v>1685</v>
      </c>
      <c r="B7808" s="6" t="s">
        <v>1685</v>
      </c>
      <c r="C7808" s="5" t="s">
        <v>1512</v>
      </c>
      <c r="D7808" s="5" t="s">
        <v>1513</v>
      </c>
      <c r="E7808" s="2">
        <v>2786694</v>
      </c>
      <c r="F7808" s="4" t="str">
        <f>IF(B7808=B7807,"",B7808)</f>
        <v>Sint-Gillis-Waas</v>
      </c>
    </row>
    <row r="7809" spans="1:6" ht="15.75" customHeight="1">
      <c r="A7809" s="5" t="str">
        <f ca="1">IFERROR(__xludf.DUMMYFUNCTION("GOOGLETRANSLATE(B23832,""en"",""pt"")"),"Sint-Gillis-Waas")</f>
        <v>Sint-Gillis-Waas</v>
      </c>
      <c r="B7809" s="17" t="s">
        <v>1685</v>
      </c>
      <c r="C7809" s="17" t="s">
        <v>1512</v>
      </c>
      <c r="D7809" s="17" t="s">
        <v>1513</v>
      </c>
      <c r="E7809" s="10">
        <v>2786694</v>
      </c>
      <c r="F7809" s="4" t="str">
        <f>IF(B7809=B7808,"",B7809)</f>
        <v/>
      </c>
    </row>
    <row r="7810" spans="1:6" ht="15.75" customHeight="1">
      <c r="A7810" s="5" t="s">
        <v>1683</v>
      </c>
      <c r="B7810" s="6" t="s">
        <v>1684</v>
      </c>
      <c r="C7810" s="5" t="s">
        <v>1512</v>
      </c>
      <c r="D7810" s="5" t="s">
        <v>1513</v>
      </c>
      <c r="E7810" s="2">
        <v>2786700</v>
      </c>
      <c r="F7810" s="4" t="str">
        <f>IF(B7810=B7809,"",B7810)</f>
        <v>Sint-Genesius-Rode</v>
      </c>
    </row>
    <row r="7811" spans="1:6" ht="15.75" customHeight="1">
      <c r="A7811" s="5" t="str">
        <f ca="1">IFERROR(__xludf.DUMMYFUNCTION("GOOGLETRANSLATE(B23833,""en"",""pt"")"),"Sint-genesius-rode")</f>
        <v>Sint-genesius-rode</v>
      </c>
      <c r="B7811" s="17" t="s">
        <v>1684</v>
      </c>
      <c r="C7811" s="17" t="s">
        <v>1512</v>
      </c>
      <c r="D7811" s="17" t="s">
        <v>1513</v>
      </c>
      <c r="E7811" s="10">
        <v>2786700</v>
      </c>
      <c r="F7811" s="4" t="str">
        <f>IF(B7811=B7810,"",B7811)</f>
        <v/>
      </c>
    </row>
    <row r="7812" spans="1:6" ht="15.75" customHeight="1">
      <c r="A7812" s="6" t="s">
        <v>9140</v>
      </c>
      <c r="B7812" s="6" t="s">
        <v>9140</v>
      </c>
      <c r="C7812" s="6" t="s">
        <v>8028</v>
      </c>
      <c r="D7812" s="6" t="s">
        <v>8031</v>
      </c>
      <c r="E7812" s="2">
        <v>2831872</v>
      </c>
      <c r="F7812" s="4" t="str">
        <f>IF(B7812=B7811,"",B7812)</f>
        <v>Sinsheim</v>
      </c>
    </row>
    <row r="7813" spans="1:6" ht="15.75" customHeight="1">
      <c r="A7813" s="5" t="str">
        <f ca="1">IFERROR(__xludf.DUMMYFUNCTION("GOOGLETRANSLATE(B27523,""en"",""pt"")"),"Sinsheim")</f>
        <v>Sinsheim</v>
      </c>
      <c r="B7813" s="17" t="s">
        <v>9140</v>
      </c>
      <c r="C7813" s="17" t="s">
        <v>8028</v>
      </c>
      <c r="D7813" s="17" t="s">
        <v>32013</v>
      </c>
      <c r="E7813" s="10">
        <v>2831872</v>
      </c>
      <c r="F7813" s="4" t="str">
        <f>IF(B7813=B7812,"",B7813)</f>
        <v/>
      </c>
    </row>
    <row r="7814" spans="1:6" ht="15.75" customHeight="1">
      <c r="A7814" s="6" t="s">
        <v>3489</v>
      </c>
      <c r="B7814" s="6" t="s">
        <v>3489</v>
      </c>
      <c r="C7814" s="6" t="s">
        <v>1905</v>
      </c>
      <c r="D7814" s="6" t="s">
        <v>2036</v>
      </c>
      <c r="E7814" s="2">
        <v>6318696</v>
      </c>
      <c r="F7814" s="4" t="str">
        <f>IF(B7814=B7813,"",B7814)</f>
        <v>Sinop</v>
      </c>
    </row>
    <row r="7815" spans="1:6" ht="15.75" customHeight="1">
      <c r="A7815" s="6" t="s">
        <v>3489</v>
      </c>
      <c r="B7815" s="6" t="s">
        <v>3489</v>
      </c>
      <c r="C7815" s="6" t="s">
        <v>26201</v>
      </c>
      <c r="D7815" s="6" t="s">
        <v>3489</v>
      </c>
      <c r="E7815" s="2">
        <v>739600</v>
      </c>
      <c r="F7815" s="4" t="str">
        <f>IF(B7815=B7814,"",B7815)</f>
        <v/>
      </c>
    </row>
    <row r="7816" spans="1:6" ht="15.75" customHeight="1">
      <c r="A7816" s="5" t="str">
        <f ca="1">IFERROR(__xludf.DUMMYFUNCTION("GOOGLETRANSLATE(B25339,""en"",""pt"")"),"Sinop")</f>
        <v>Sinop</v>
      </c>
      <c r="B7816" s="17" t="s">
        <v>3489</v>
      </c>
      <c r="C7816" s="17" t="s">
        <v>1905</v>
      </c>
      <c r="D7816" s="17" t="s">
        <v>2036</v>
      </c>
      <c r="E7816" s="10">
        <v>6318696</v>
      </c>
      <c r="F7816" s="4" t="str">
        <f>IF(B7816=B7815,"",B7816)</f>
        <v/>
      </c>
    </row>
    <row r="7817" spans="1:6" ht="15.75" customHeight="1">
      <c r="A7817" s="5" t="str">
        <f ca="1">IFERROR(__xludf.DUMMYFUNCTION("GOOGLETRANSLATE(B42117,""en"",""pt"")"),"Sinop")</f>
        <v>Sinop</v>
      </c>
      <c r="B7817" s="17" t="s">
        <v>3489</v>
      </c>
      <c r="C7817" s="17" t="s">
        <v>26201</v>
      </c>
      <c r="D7817" s="17" t="s">
        <v>3489</v>
      </c>
      <c r="E7817" s="10">
        <v>739600</v>
      </c>
      <c r="F7817" s="4" t="str">
        <f>IF(B7817=B7816,"",B7817)</f>
        <v/>
      </c>
    </row>
    <row r="7818" spans="1:6" ht="15.75" customHeight="1">
      <c r="A7818" s="6" t="s">
        <v>13383</v>
      </c>
      <c r="B7818" s="6" t="s">
        <v>13383</v>
      </c>
      <c r="C7818" s="6" t="s">
        <v>10178</v>
      </c>
      <c r="D7818" s="6" t="s">
        <v>10214</v>
      </c>
      <c r="E7818" s="2">
        <v>1256119</v>
      </c>
      <c r="F7818" s="4" t="str">
        <f>IF(B7818=B7817,"",B7818)</f>
        <v>Sinnar</v>
      </c>
    </row>
    <row r="7819" spans="1:6" ht="15.75" customHeight="1">
      <c r="A7819" s="6" t="s">
        <v>13383</v>
      </c>
      <c r="B7819" s="6" t="s">
        <v>13383</v>
      </c>
      <c r="C7819" s="6" t="s">
        <v>24987</v>
      </c>
      <c r="D7819" s="6" t="s">
        <v>24992</v>
      </c>
      <c r="E7819" s="2">
        <v>367644</v>
      </c>
      <c r="F7819" s="4" t="str">
        <f>IF(B7819=B7818,"",B7819)</f>
        <v/>
      </c>
    </row>
    <row r="7820" spans="1:6" ht="15.75" customHeight="1">
      <c r="A7820" s="5" t="str">
        <f ca="1">IFERROR(__xludf.DUMMYFUNCTION("GOOGLETRANSLATE(B32129,""en"",""pt"")"),"Sinnar")</f>
        <v>Sinnar</v>
      </c>
      <c r="B7820" s="17" t="s">
        <v>13383</v>
      </c>
      <c r="C7820" s="17" t="s">
        <v>10178</v>
      </c>
      <c r="D7820" s="17" t="s">
        <v>10214</v>
      </c>
      <c r="E7820" s="10">
        <v>1256119</v>
      </c>
      <c r="F7820" s="4" t="str">
        <f>IF(B7820=B7819,"",B7820)</f>
        <v/>
      </c>
    </row>
    <row r="7821" spans="1:6" ht="15.75" customHeight="1">
      <c r="A7821" s="5" t="str">
        <f ca="1">IFERROR(__xludf.DUMMYFUNCTION("GOOGLETRANSLATE(B41080,""en"",""pt"")"),"Sinnar")</f>
        <v>Sinnar</v>
      </c>
      <c r="B7821" s="17" t="s">
        <v>13383</v>
      </c>
      <c r="C7821" s="17" t="s">
        <v>24987</v>
      </c>
      <c r="D7821" s="17" t="s">
        <v>35607</v>
      </c>
      <c r="E7821" s="10">
        <v>367644</v>
      </c>
      <c r="F7821" s="4" t="str">
        <f>IF(B7821=B7820,"",B7821)</f>
        <v/>
      </c>
    </row>
    <row r="7822" spans="1:6" ht="15.75" customHeight="1">
      <c r="A7822" s="6" t="s">
        <v>15507</v>
      </c>
      <c r="B7822" s="6" t="s">
        <v>15507</v>
      </c>
      <c r="C7822" s="6" t="s">
        <v>14891</v>
      </c>
      <c r="D7822" s="6" t="s">
        <v>14925</v>
      </c>
      <c r="E7822" s="2">
        <v>2523087</v>
      </c>
      <c r="F7822" s="4" t="str">
        <f>IF(B7822=B7821,"",B7822)</f>
        <v>Sinnai</v>
      </c>
    </row>
    <row r="7823" spans="1:6" ht="15.75" customHeight="1">
      <c r="A7823" s="5" t="str">
        <f ca="1">IFERROR(__xludf.DUMMYFUNCTION("GOOGLETRANSLATE(B34545,""en"",""pt"")"),"Sinnai")</f>
        <v>Sinnai</v>
      </c>
      <c r="B7823" s="17" t="s">
        <v>15507</v>
      </c>
      <c r="C7823" s="17" t="s">
        <v>14891</v>
      </c>
      <c r="D7823" s="17" t="s">
        <v>14925</v>
      </c>
      <c r="E7823" s="10">
        <v>2523087</v>
      </c>
      <c r="F7823" s="4" t="str">
        <f>IF(B7823=B7822,"",B7823)</f>
        <v/>
      </c>
    </row>
    <row r="7824" spans="1:6" ht="15.75" customHeight="1">
      <c r="A7824" s="6" t="s">
        <v>19679</v>
      </c>
      <c r="B7824" s="6" t="s">
        <v>19679</v>
      </c>
      <c r="C7824" s="6" t="s">
        <v>19589</v>
      </c>
      <c r="D7824" s="6" t="s">
        <v>19592</v>
      </c>
      <c r="E7824" s="2">
        <v>1870434</v>
      </c>
      <c r="F7824" s="4" t="str">
        <f>IF(B7824=B7823,"",B7824)</f>
        <v>Sinmak</v>
      </c>
    </row>
    <row r="7825" spans="1:6" ht="15.75" customHeight="1">
      <c r="A7825" s="5" t="str">
        <f ca="1">IFERROR(__xludf.DUMMYFUNCTION("GOOGLETRANSLATE(B35996,""en"",""pt"")"),"Sinmak")</f>
        <v>Sinmak</v>
      </c>
      <c r="B7825" s="17" t="s">
        <v>19679</v>
      </c>
      <c r="C7825" s="17" t="s">
        <v>19589</v>
      </c>
      <c r="D7825" s="17" t="s">
        <v>19592</v>
      </c>
      <c r="E7825" s="10">
        <v>1870434</v>
      </c>
      <c r="F7825" s="4" t="str">
        <f>IF(B7825=B7824,"",B7825)</f>
        <v/>
      </c>
    </row>
    <row r="7826" spans="1:6" ht="15.75" customHeight="1">
      <c r="A7826" s="5" t="s">
        <v>7824</v>
      </c>
      <c r="B7826" s="6" t="s">
        <v>7824</v>
      </c>
      <c r="C7826" s="5" t="s">
        <v>7052</v>
      </c>
      <c r="D7826" s="5" t="s">
        <v>7078</v>
      </c>
      <c r="E7826" s="2">
        <v>2974494</v>
      </c>
      <c r="F7826" s="4" t="str">
        <f>IF(B7826=B7825,"",B7826)</f>
        <v>Sin-le-Noble</v>
      </c>
    </row>
    <row r="7827" spans="1:6" ht="15.75" customHeight="1">
      <c r="A7827" s="5" t="str">
        <f ca="1">IFERROR(__xludf.DUMMYFUNCTION("GOOGLETRANSLATE(B29751,""en"",""pt"")"),"Sin-le-Noble")</f>
        <v>Sin-le-Noble</v>
      </c>
      <c r="B7827" s="17" t="s">
        <v>7824</v>
      </c>
      <c r="C7827" s="17" t="s">
        <v>7052</v>
      </c>
      <c r="D7827" s="17" t="s">
        <v>7078</v>
      </c>
      <c r="E7827" s="10">
        <v>2974494</v>
      </c>
      <c r="F7827" s="4" t="str">
        <f>IF(B7827=B7826,"",B7827)</f>
        <v/>
      </c>
    </row>
    <row r="7828" spans="1:6" ht="15.75" customHeight="1">
      <c r="A7828" s="6" t="s">
        <v>20238</v>
      </c>
      <c r="B7828" s="6" t="s">
        <v>20238</v>
      </c>
      <c r="C7828" s="6" t="s">
        <v>19808</v>
      </c>
      <c r="D7828" s="6" t="s">
        <v>19823</v>
      </c>
      <c r="E7828" s="2">
        <v>1164776</v>
      </c>
      <c r="F7828" s="4" t="str">
        <f>IF(B7828=B7827,"",B7828)</f>
        <v>Sinjhoro</v>
      </c>
    </row>
    <row r="7829" spans="1:6" ht="15.75" customHeight="1">
      <c r="A7829" s="5" t="str">
        <f ca="1">IFERROR(__xludf.DUMMYFUNCTION("GOOGLETRANSLATE(B38905,""en"",""pt"")"),"Sinjhoro")</f>
        <v>Sinjhoro</v>
      </c>
      <c r="B7829" s="17" t="s">
        <v>20238</v>
      </c>
      <c r="C7829" s="17" t="s">
        <v>19808</v>
      </c>
      <c r="D7829" s="17" t="s">
        <v>19823</v>
      </c>
      <c r="E7829" s="10">
        <v>1164776</v>
      </c>
      <c r="F7829" s="4" t="str">
        <f>IF(B7829=B7828,"",B7829)</f>
        <v/>
      </c>
    </row>
    <row r="7830" spans="1:6" ht="15.75" customHeight="1">
      <c r="A7830" s="5" t="str">
        <f ca="1">IFERROR(__xludf.DUMMYFUNCTION("GOOGLETRANSLATE(B34339,""en"",""pt"")"),"Sinjār")</f>
        <v>Sinjār</v>
      </c>
      <c r="B7830" s="17" t="s">
        <v>34116</v>
      </c>
      <c r="C7830" s="17" t="s">
        <v>14594</v>
      </c>
      <c r="D7830" s="17" t="s">
        <v>34069</v>
      </c>
      <c r="E7830" s="10">
        <v>448149</v>
      </c>
      <c r="F7830" s="4" t="str">
        <f>IF(B7830=B7829,"",B7830)</f>
        <v>Sinjār</v>
      </c>
    </row>
    <row r="7831" spans="1:6" ht="15.75" customHeight="1">
      <c r="A7831" s="6" t="s">
        <v>14159</v>
      </c>
      <c r="B7831" s="6" t="s">
        <v>14159</v>
      </c>
      <c r="C7831" s="6" t="s">
        <v>13800</v>
      </c>
      <c r="D7831" s="6" t="s">
        <v>13918</v>
      </c>
      <c r="E7831" s="2">
        <v>1626895</v>
      </c>
      <c r="F7831" s="4" t="str">
        <f>IF(B7831=B7830,"",B7831)</f>
        <v>Sinjai</v>
      </c>
    </row>
    <row r="7832" spans="1:6" ht="15.75" customHeight="1">
      <c r="A7832" s="5" t="str">
        <f ca="1">IFERROR(__xludf.DUMMYFUNCTION("GOOGLETRANSLATE(B31446,""en"",""pt"")"),"Sinjai")</f>
        <v>Sinjai</v>
      </c>
      <c r="B7832" s="17" t="s">
        <v>14159</v>
      </c>
      <c r="C7832" s="17" t="s">
        <v>13800</v>
      </c>
      <c r="D7832" s="17" t="s">
        <v>13918</v>
      </c>
      <c r="E7832" s="10">
        <v>1626895</v>
      </c>
      <c r="F7832" s="4" t="str">
        <f>IF(B7832=B7831,"",B7832)</f>
        <v/>
      </c>
    </row>
    <row r="7833" spans="1:6" ht="15.75" customHeight="1">
      <c r="A7833" s="6" t="s">
        <v>14717</v>
      </c>
      <c r="B7833" s="6" t="s">
        <v>14718</v>
      </c>
      <c r="C7833" s="6" t="s">
        <v>14594</v>
      </c>
      <c r="D7833" s="6" t="s">
        <v>14609</v>
      </c>
      <c r="E7833" s="2">
        <v>448149</v>
      </c>
      <c r="F7833" s="4" t="str">
        <f>IF(B7833=B7832,"",B7833)</f>
        <v>SinjÄr</v>
      </c>
    </row>
    <row r="7834" spans="1:6" ht="15.75" customHeight="1">
      <c r="A7834" s="6" t="s">
        <v>24143</v>
      </c>
      <c r="B7834" s="6" t="s">
        <v>24143</v>
      </c>
      <c r="C7834" s="6" t="s">
        <v>24024</v>
      </c>
      <c r="D7834" s="6" t="s">
        <v>24040</v>
      </c>
      <c r="E7834" s="2">
        <v>1882056</v>
      </c>
      <c r="F7834" s="4" t="str">
        <f>IF(B7834=B7833,"",B7834)</f>
        <v>Sinhyeon</v>
      </c>
    </row>
    <row r="7835" spans="1:6" ht="15.75" customHeight="1">
      <c r="A7835" s="5" t="str">
        <f ca="1">IFERROR(__xludf.DUMMYFUNCTION("GOOGLETRANSLATE(B36148,""en"",""pt"")"),"Sinhyeon")</f>
        <v>Sinhyeon</v>
      </c>
      <c r="B7835" s="17" t="s">
        <v>24143</v>
      </c>
      <c r="C7835" s="17" t="s">
        <v>24024</v>
      </c>
      <c r="D7835" s="17" t="s">
        <v>24040</v>
      </c>
      <c r="E7835" s="10">
        <v>1882056</v>
      </c>
      <c r="F7835" s="4" t="str">
        <f>IF(B7835=B7834,"",B7835)</f>
        <v/>
      </c>
    </row>
    <row r="7836" spans="1:6" ht="15.75" customHeight="1">
      <c r="A7836" s="6" t="s">
        <v>13382</v>
      </c>
      <c r="B7836" s="6" t="s">
        <v>13382</v>
      </c>
      <c r="C7836" s="6" t="s">
        <v>10178</v>
      </c>
      <c r="D7836" s="6" t="s">
        <v>10201</v>
      </c>
      <c r="E7836" s="2">
        <v>1256124</v>
      </c>
      <c r="F7836" s="4" t="str">
        <f>IF(B7836=B7835,"",B7836)</f>
        <v>Singur</v>
      </c>
    </row>
    <row r="7837" spans="1:6" ht="15.75" customHeight="1">
      <c r="A7837" s="5" t="str">
        <f ca="1">IFERROR(__xludf.DUMMYFUNCTION("GOOGLETRANSLATE(B32130,""en"",""pt"")"),"Singur")</f>
        <v>Singur</v>
      </c>
      <c r="B7837" s="17" t="s">
        <v>13382</v>
      </c>
      <c r="C7837" s="17" t="s">
        <v>10178</v>
      </c>
      <c r="D7837" s="17" t="s">
        <v>10201</v>
      </c>
      <c r="E7837" s="10">
        <v>1256124</v>
      </c>
      <c r="F7837" s="4" t="str">
        <f>IF(B7837=B7836,"",B7837)</f>
        <v/>
      </c>
    </row>
    <row r="7838" spans="1:6" ht="15.75" customHeight="1">
      <c r="A7838" s="6" t="s">
        <v>13381</v>
      </c>
      <c r="B7838" s="6" t="s">
        <v>13381</v>
      </c>
      <c r="C7838" s="6" t="s">
        <v>10178</v>
      </c>
      <c r="D7838" s="6" t="s">
        <v>10219</v>
      </c>
      <c r="E7838" s="2">
        <v>7279754</v>
      </c>
      <c r="F7838" s="4" t="str">
        <f>IF(B7838=B7837,"",B7838)</f>
        <v>Singrauli</v>
      </c>
    </row>
    <row r="7839" spans="1:6" ht="15.75" customHeight="1">
      <c r="A7839" s="5" t="str">
        <f ca="1">IFERROR(__xludf.DUMMYFUNCTION("GOOGLETRANSLATE(B34223,""en"",""pt"")"),"Singrauli")</f>
        <v>Singrauli</v>
      </c>
      <c r="B7839" s="17" t="s">
        <v>13381</v>
      </c>
      <c r="C7839" s="17" t="s">
        <v>10178</v>
      </c>
      <c r="D7839" s="17" t="s">
        <v>10219</v>
      </c>
      <c r="E7839" s="10">
        <v>7279754</v>
      </c>
      <c r="F7839" s="4" t="str">
        <f>IF(B7839=B7838,"",B7839)</f>
        <v/>
      </c>
    </row>
    <row r="7840" spans="1:6" ht="15.75" customHeight="1">
      <c r="A7840" s="5" t="s">
        <v>14157</v>
      </c>
      <c r="B7840" s="6" t="s">
        <v>14158</v>
      </c>
      <c r="C7840" s="5" t="s">
        <v>13800</v>
      </c>
      <c r="D7840" s="5" t="s">
        <v>13816</v>
      </c>
      <c r="E7840" s="2">
        <v>1626899</v>
      </c>
      <c r="F7840" s="4" t="str">
        <f>IF(B7840=B7839,"",B7840)</f>
        <v>Singosari</v>
      </c>
    </row>
    <row r="7841" spans="1:6" ht="15.75" customHeight="1">
      <c r="A7841" s="5" t="str">
        <f ca="1">IFERROR(__xludf.DUMMYFUNCTION("GOOGLETRANSLATE(B31447,""en"",""pt"")"),"SINGOSARI")</f>
        <v>SINGOSARI</v>
      </c>
      <c r="B7841" s="17" t="s">
        <v>14158</v>
      </c>
      <c r="C7841" s="17" t="s">
        <v>13800</v>
      </c>
      <c r="D7841" s="17" t="s">
        <v>13816</v>
      </c>
      <c r="E7841" s="10">
        <v>1626899</v>
      </c>
      <c r="F7841" s="4" t="str">
        <f>IF(B7841=B7840,"",B7841)</f>
        <v/>
      </c>
    </row>
    <row r="7842" spans="1:6" ht="15.75" customHeight="1">
      <c r="A7842" s="5" t="s">
        <v>14156</v>
      </c>
      <c r="B7842" s="6" t="s">
        <v>14156</v>
      </c>
      <c r="C7842" s="5" t="s">
        <v>13800</v>
      </c>
      <c r="D7842" s="5" t="s">
        <v>13816</v>
      </c>
      <c r="E7842" s="2">
        <v>1626903</v>
      </c>
      <c r="F7842" s="4" t="str">
        <f>IF(B7842=B7841,"",B7842)</f>
        <v>Singojuruh</v>
      </c>
    </row>
    <row r="7843" spans="1:6" ht="15.75" customHeight="1">
      <c r="A7843" s="5" t="str">
        <f ca="1">IFERROR(__xludf.DUMMYFUNCTION("GOOGLETRANSLATE(B31448,""en"",""pt"")"),"Singojuruh")</f>
        <v>Singojuruh</v>
      </c>
      <c r="B7843" s="17" t="s">
        <v>14156</v>
      </c>
      <c r="C7843" s="17" t="s">
        <v>13800</v>
      </c>
      <c r="D7843" s="17" t="s">
        <v>13816</v>
      </c>
      <c r="E7843" s="10">
        <v>1626903</v>
      </c>
      <c r="F7843" s="4" t="str">
        <f>IF(B7843=B7842,"",B7843)</f>
        <v/>
      </c>
    </row>
    <row r="7844" spans="1:6" ht="15.75" customHeight="1">
      <c r="A7844" s="6" t="s">
        <v>14155</v>
      </c>
      <c r="B7844" s="6" t="s">
        <v>14155</v>
      </c>
      <c r="C7844" s="6" t="s">
        <v>13800</v>
      </c>
      <c r="D7844" s="6" t="s">
        <v>13828</v>
      </c>
      <c r="E7844" s="2">
        <v>1213713</v>
      </c>
      <c r="F7844" s="4" t="str">
        <f>IF(B7844=B7843,"",B7844)</f>
        <v>Singkil</v>
      </c>
    </row>
    <row r="7845" spans="1:6" ht="15.75" customHeight="1">
      <c r="A7845" s="5" t="str">
        <f ca="1">IFERROR(__xludf.DUMMYFUNCTION("GOOGLETRANSLATE(B31359,""en"",""pt"")"),"Singkil")</f>
        <v>Singkil</v>
      </c>
      <c r="B7845" s="17" t="s">
        <v>14155</v>
      </c>
      <c r="C7845" s="17" t="s">
        <v>13800</v>
      </c>
      <c r="D7845" s="17" t="s">
        <v>13828</v>
      </c>
      <c r="E7845" s="10">
        <v>1213713</v>
      </c>
      <c r="F7845" s="4" t="str">
        <f>IF(B7845=B7844,"",B7845)</f>
        <v/>
      </c>
    </row>
    <row r="7846" spans="1:6" ht="15.75" customHeight="1">
      <c r="A7846" s="5" t="s">
        <v>14154</v>
      </c>
      <c r="B7846" s="6" t="s">
        <v>14154</v>
      </c>
      <c r="C7846" s="5" t="s">
        <v>13800</v>
      </c>
      <c r="D7846" s="5" t="s">
        <v>14028</v>
      </c>
      <c r="E7846" s="2">
        <v>1626916</v>
      </c>
      <c r="F7846" s="4" t="str">
        <f>IF(B7846=B7845,"",B7846)</f>
        <v>Singkawang</v>
      </c>
    </row>
    <row r="7847" spans="1:6" ht="15.75" customHeight="1">
      <c r="A7847" s="5" t="str">
        <f ca="1">IFERROR(__xludf.DUMMYFUNCTION("GOOGLETRANSLATE(B31449,""en"",""pt"")"),"Singkawang")</f>
        <v>Singkawang</v>
      </c>
      <c r="B7847" s="17" t="s">
        <v>14154</v>
      </c>
      <c r="C7847" s="17" t="s">
        <v>13800</v>
      </c>
      <c r="D7847" s="17" t="s">
        <v>14028</v>
      </c>
      <c r="E7847" s="10">
        <v>1626916</v>
      </c>
      <c r="F7847" s="4" t="str">
        <f>IF(B7847=B7846,"",B7847)</f>
        <v/>
      </c>
    </row>
    <row r="7848" spans="1:6" ht="15.75" customHeight="1">
      <c r="A7848" s="6" t="s">
        <v>25602</v>
      </c>
      <c r="B7848" s="6" t="s">
        <v>25602</v>
      </c>
      <c r="C7848" s="6" t="s">
        <v>25560</v>
      </c>
      <c r="D7848" s="6" t="s">
        <v>25602</v>
      </c>
      <c r="E7848" s="2">
        <v>149879</v>
      </c>
      <c r="F7848" s="4" t="str">
        <f>IF(B7848=B7847,"",B7848)</f>
        <v>Singida</v>
      </c>
    </row>
    <row r="7849" spans="1:6" ht="15.75" customHeight="1">
      <c r="A7849" s="5" t="str">
        <f ca="1">IFERROR(__xludf.DUMMYFUNCTION("GOOGLETRANSLATE(B42304,""en"",""pt"")"),"Singida")</f>
        <v>Singida</v>
      </c>
      <c r="B7849" s="17" t="s">
        <v>25602</v>
      </c>
      <c r="C7849" s="17" t="s">
        <v>25560</v>
      </c>
      <c r="D7849" s="17" t="s">
        <v>25602</v>
      </c>
      <c r="E7849" s="10">
        <v>149879</v>
      </c>
      <c r="F7849" s="4" t="str">
        <f>IF(B7849=B7848,"",B7849)</f>
        <v/>
      </c>
    </row>
    <row r="7850" spans="1:6" ht="15.75" customHeight="1">
      <c r="A7850" s="6" t="s">
        <v>9139</v>
      </c>
      <c r="B7850" s="6" t="s">
        <v>9139</v>
      </c>
      <c r="C7850" s="6" t="s">
        <v>8028</v>
      </c>
      <c r="D7850" s="6" t="s">
        <v>8031</v>
      </c>
      <c r="E7850" s="2">
        <v>2831924</v>
      </c>
      <c r="F7850" s="4" t="str">
        <f>IF(B7850=B7849,"",B7850)</f>
        <v>Singen</v>
      </c>
    </row>
    <row r="7851" spans="1:6" ht="15.75" customHeight="1">
      <c r="A7851" s="5" t="str">
        <f ca="1">IFERROR(__xludf.DUMMYFUNCTION("GOOGLETRANSLATE(B27524,""en"",""pt"")"),"Singen")</f>
        <v>Singen</v>
      </c>
      <c r="B7851" s="17" t="s">
        <v>9139</v>
      </c>
      <c r="C7851" s="17" t="s">
        <v>8028</v>
      </c>
      <c r="D7851" s="17" t="s">
        <v>32013</v>
      </c>
      <c r="E7851" s="10">
        <v>2831924</v>
      </c>
      <c r="F7851" s="4" t="str">
        <f>IF(B7851=B7850,"",B7851)</f>
        <v/>
      </c>
    </row>
    <row r="7852" spans="1:6" ht="15.75" customHeight="1">
      <c r="A7852" s="5" t="str">
        <f ca="1">IFERROR(__xludf.DUMMYFUNCTION("GOOGLETRANSLATE(B32131,""en"",""pt"")"),"Singarāyakonda")</f>
        <v>Singarāyakonda</v>
      </c>
      <c r="B7852" s="17" t="s">
        <v>33067</v>
      </c>
      <c r="C7852" s="17" t="s">
        <v>10178</v>
      </c>
      <c r="D7852" s="17" t="s">
        <v>10190</v>
      </c>
      <c r="E7852" s="10">
        <v>1256176</v>
      </c>
      <c r="F7852" s="4" t="str">
        <f>IF(B7852=B7851,"",B7852)</f>
        <v>Singarāyakonda</v>
      </c>
    </row>
    <row r="7853" spans="1:6" ht="15.75" customHeight="1">
      <c r="A7853" s="6" t="s">
        <v>14153</v>
      </c>
      <c r="B7853" s="6" t="s">
        <v>14153</v>
      </c>
      <c r="C7853" s="6" t="s">
        <v>13800</v>
      </c>
      <c r="D7853" s="6" t="s">
        <v>3894</v>
      </c>
      <c r="E7853" s="2">
        <v>1626932</v>
      </c>
      <c r="F7853" s="4" t="str">
        <f>IF(B7853=B7852,"",B7853)</f>
        <v>Singaraja</v>
      </c>
    </row>
    <row r="7854" spans="1:6" ht="15.75" customHeight="1">
      <c r="A7854" s="5" t="str">
        <f ca="1">IFERROR(__xludf.DUMMYFUNCTION("GOOGLETRANSLATE(B31451,""en"",""pt"")"),"Singaraja")</f>
        <v>Singaraja</v>
      </c>
      <c r="B7854" s="17" t="s">
        <v>14153</v>
      </c>
      <c r="C7854" s="17" t="s">
        <v>13800</v>
      </c>
      <c r="D7854" s="17" t="s">
        <v>3894</v>
      </c>
      <c r="E7854" s="10">
        <v>1626932</v>
      </c>
      <c r="F7854" s="4" t="str">
        <f>IF(B7854=B7853,"",B7854)</f>
        <v/>
      </c>
    </row>
    <row r="7855" spans="1:6" ht="15.75" customHeight="1">
      <c r="A7855" s="5" t="s">
        <v>13379</v>
      </c>
      <c r="B7855" s="6" t="s">
        <v>13380</v>
      </c>
      <c r="C7855" s="5" t="s">
        <v>10178</v>
      </c>
      <c r="D7855" s="5" t="s">
        <v>10190</v>
      </c>
      <c r="E7855" s="2">
        <v>1256176</v>
      </c>
      <c r="F7855" s="4" t="str">
        <f>IF(B7855=B7854,"",B7855)</f>
        <v>SingarÄyakonda</v>
      </c>
    </row>
    <row r="7856" spans="1:6" ht="15.75" customHeight="1">
      <c r="A7856" s="5" t="str">
        <f ca="1">IFERROR(__xludf.DUMMYFUNCTION("GOOGLETRANSLATE(B34197,""en"",""pt"")"),"Singāpur")</f>
        <v>Singāpur</v>
      </c>
      <c r="B7856" s="17" t="s">
        <v>34064</v>
      </c>
      <c r="C7856" s="17" t="s">
        <v>10178</v>
      </c>
      <c r="D7856" s="17" t="s">
        <v>10187</v>
      </c>
      <c r="E7856" s="10">
        <v>1445156</v>
      </c>
      <c r="F7856" s="4" t="str">
        <f>IF(B7856=B7855,"",B7856)</f>
        <v>Singāpur</v>
      </c>
    </row>
    <row r="7857" spans="1:6" ht="15.75" customHeight="1">
      <c r="A7857" s="5" t="s">
        <v>23687</v>
      </c>
      <c r="B7857" s="6" t="s">
        <v>23688</v>
      </c>
      <c r="C7857" s="5" t="s">
        <v>23688</v>
      </c>
      <c r="D7857" s="5" t="s">
        <v>23689</v>
      </c>
      <c r="E7857" s="2">
        <v>1880252</v>
      </c>
      <c r="F7857" s="4" t="str">
        <f>IF(B7857=B7856,"",B7857)</f>
        <v>Singapore</v>
      </c>
    </row>
    <row r="7858" spans="1:6" ht="15.75" customHeight="1">
      <c r="A7858" s="5" t="str">
        <f ca="1">IFERROR(__xludf.DUMMYFUNCTION("GOOGLETRANSLATE(B41209,""en"",""pt"")"),"Cingapura")</f>
        <v>Cingapura</v>
      </c>
      <c r="B7858" s="17" t="s">
        <v>23688</v>
      </c>
      <c r="C7858" s="17" t="s">
        <v>23688</v>
      </c>
      <c r="D7858" s="17" t="s">
        <v>23689</v>
      </c>
      <c r="E7858" s="10">
        <v>1880252</v>
      </c>
      <c r="F7858" s="4" t="str">
        <f>IF(B7858=B7857,"",B7858)</f>
        <v/>
      </c>
    </row>
    <row r="7859" spans="1:6" ht="15.75" customHeight="1">
      <c r="A7859" s="5" t="s">
        <v>14152</v>
      </c>
      <c r="B7859" s="6" t="s">
        <v>14152</v>
      </c>
      <c r="C7859" s="5" t="s">
        <v>13800</v>
      </c>
      <c r="D7859" s="5" t="s">
        <v>13811</v>
      </c>
      <c r="E7859" s="2">
        <v>1626936</v>
      </c>
      <c r="F7859" s="4" t="str">
        <f>IF(B7859=B7858,"",B7859)</f>
        <v>Singaparna</v>
      </c>
    </row>
    <row r="7860" spans="1:6" ht="15.75" customHeight="1">
      <c r="A7860" s="5" t="str">
        <f ca="1">IFERROR(__xludf.DUMMYFUNCTION("GOOGLETRANSLATE(B31452,""en"",""pt"")"),"Singaparna")</f>
        <v>Singaparna</v>
      </c>
      <c r="B7860" s="17" t="s">
        <v>14152</v>
      </c>
      <c r="C7860" s="17" t="s">
        <v>13800</v>
      </c>
      <c r="D7860" s="17" t="s">
        <v>13811</v>
      </c>
      <c r="E7860" s="10">
        <v>1626936</v>
      </c>
      <c r="F7860" s="4" t="str">
        <f>IF(B7860=B7859,"",B7860)</f>
        <v/>
      </c>
    </row>
    <row r="7861" spans="1:6" ht="15.75" customHeight="1">
      <c r="A7861" s="5" t="str">
        <f ca="1">IFERROR(__xludf.DUMMYFUNCTION("GOOGLETRANSLATE(B32132,""en"",""pt"")"),"Singānallūr")</f>
        <v>Singānallūr</v>
      </c>
      <c r="B7861" s="17" t="s">
        <v>33068</v>
      </c>
      <c r="C7861" s="17" t="s">
        <v>10178</v>
      </c>
      <c r="D7861" s="17" t="s">
        <v>10196</v>
      </c>
      <c r="E7861" s="10">
        <v>1256184</v>
      </c>
      <c r="F7861" s="4" t="str">
        <f>IF(B7861=B7860,"",B7861)</f>
        <v>Singānallūr</v>
      </c>
    </row>
    <row r="7862" spans="1:6" ht="15.75" customHeight="1">
      <c r="A7862" s="6" t="s">
        <v>13377</v>
      </c>
      <c r="B7862" s="6" t="s">
        <v>13378</v>
      </c>
      <c r="C7862" s="6" t="s">
        <v>10178</v>
      </c>
      <c r="D7862" s="6" t="s">
        <v>10187</v>
      </c>
      <c r="E7862" s="2">
        <v>1445156</v>
      </c>
      <c r="F7862" s="4" t="str">
        <f>IF(B7862=B7861,"",B7862)</f>
        <v>SingÄpur</v>
      </c>
    </row>
    <row r="7863" spans="1:6" ht="15.75" customHeight="1">
      <c r="A7863" s="5" t="s">
        <v>13375</v>
      </c>
      <c r="B7863" s="6" t="s">
        <v>13376</v>
      </c>
      <c r="C7863" s="5" t="s">
        <v>10178</v>
      </c>
      <c r="D7863" s="5" t="s">
        <v>10196</v>
      </c>
      <c r="E7863" s="2">
        <v>1256184</v>
      </c>
      <c r="F7863" s="4" t="str">
        <f>IF(B7863=B7862,"",B7863)</f>
        <v>SingÄnallÅ«r</v>
      </c>
    </row>
    <row r="7864" spans="1:6" ht="15.75" customHeight="1">
      <c r="A7864" s="6" t="s">
        <v>25053</v>
      </c>
      <c r="B7864" s="6" t="s">
        <v>25053</v>
      </c>
      <c r="C7864" s="6" t="s">
        <v>24987</v>
      </c>
      <c r="D7864" s="6" t="s">
        <v>24992</v>
      </c>
      <c r="E7864" s="2">
        <v>366847</v>
      </c>
      <c r="F7864" s="4" t="str">
        <f>IF(B7864=B7863,"",B7864)</f>
        <v>Singa</v>
      </c>
    </row>
    <row r="7865" spans="1:6" ht="15.75" customHeight="1">
      <c r="A7865" s="5" t="str">
        <f ca="1">IFERROR(__xludf.DUMMYFUNCTION("GOOGLETRANSLATE(B41077,""en"",""pt"")"),"Singa")</f>
        <v>Singa</v>
      </c>
      <c r="B7865" s="17" t="s">
        <v>25053</v>
      </c>
      <c r="C7865" s="17" t="s">
        <v>24987</v>
      </c>
      <c r="D7865" s="17" t="s">
        <v>35607</v>
      </c>
      <c r="E7865" s="10">
        <v>366847</v>
      </c>
      <c r="F7865" s="4" t="str">
        <f>IF(B7865=B7864,"",B7865)</f>
        <v/>
      </c>
    </row>
    <row r="7866" spans="1:6" ht="15.75" customHeight="1">
      <c r="A7866" s="5" t="s">
        <v>26000</v>
      </c>
      <c r="B7866" s="6" t="s">
        <v>25843</v>
      </c>
      <c r="C7866" s="5" t="s">
        <v>25771</v>
      </c>
      <c r="D7866" s="5" t="s">
        <v>25843</v>
      </c>
      <c r="E7866" s="2">
        <v>1606270</v>
      </c>
      <c r="F7866" s="4" t="str">
        <f>IF(B7866=B7865,"",B7866)</f>
        <v>Sing Buri</v>
      </c>
    </row>
    <row r="7867" spans="1:6" ht="15.75" customHeight="1">
      <c r="A7867" s="5" t="str">
        <f ca="1">IFERROR(__xludf.DUMMYFUNCTION("GOOGLETRANSLATE(B41605,""en"",""pt"")"),"Cante Buri")</f>
        <v>Cante Buri</v>
      </c>
      <c r="B7867" s="17" t="s">
        <v>25843</v>
      </c>
      <c r="C7867" s="17" t="s">
        <v>25771</v>
      </c>
      <c r="D7867" s="17" t="s">
        <v>25843</v>
      </c>
      <c r="E7867" s="10">
        <v>1606270</v>
      </c>
      <c r="F7867" s="4" t="str">
        <f>IF(B7867=B7866,"",B7867)</f>
        <v/>
      </c>
    </row>
    <row r="7868" spans="1:6" ht="15.75" customHeight="1">
      <c r="A7868" s="6" t="s">
        <v>15666</v>
      </c>
      <c r="B7868" s="6" t="s">
        <v>15666</v>
      </c>
      <c r="C7868" s="6" t="s">
        <v>15586</v>
      </c>
      <c r="D7868" s="6" t="s">
        <v>15617</v>
      </c>
      <c r="E7868" s="2">
        <v>2281606</v>
      </c>
      <c r="F7868" s="4" t="str">
        <f>IF(B7868=B7867,"",B7868)</f>
        <v>Sinfra</v>
      </c>
    </row>
    <row r="7869" spans="1:6" ht="15.75" customHeight="1">
      <c r="A7869" s="5" t="str">
        <f ca="1">IFERROR(__xludf.DUMMYFUNCTION("GOOGLETRANSLATE(B25834,""en"",""pt"")"),"Sinfra")</f>
        <v>Sinfra</v>
      </c>
      <c r="B7869" s="17" t="s">
        <v>15666</v>
      </c>
      <c r="C7869" s="17" t="s">
        <v>15586</v>
      </c>
      <c r="D7869" s="17" t="s">
        <v>15617</v>
      </c>
      <c r="E7869" s="10">
        <v>2281606</v>
      </c>
      <c r="F7869" s="4" t="str">
        <f>IF(B7869=B7868,"",B7869)</f>
        <v/>
      </c>
    </row>
    <row r="7870" spans="1:6" ht="15.75" customHeight="1">
      <c r="A7870" s="5" t="str">
        <f ca="1">IFERROR(__xludf.DUMMYFUNCTION("GOOGLETRANSLATE(B32133,""en"",""pt"")"),"Sindhnūr")</f>
        <v>Sindhnūr</v>
      </c>
      <c r="B7870" s="17" t="s">
        <v>33069</v>
      </c>
      <c r="C7870" s="17" t="s">
        <v>10178</v>
      </c>
      <c r="D7870" s="17" t="s">
        <v>10252</v>
      </c>
      <c r="E7870" s="10">
        <v>1256207</v>
      </c>
      <c r="F7870" s="4" t="str">
        <f>IF(B7870=B7869,"",B7870)</f>
        <v>Sindhnūr</v>
      </c>
    </row>
    <row r="7871" spans="1:6" ht="15.75" customHeight="1">
      <c r="A7871" s="5" t="s">
        <v>13373</v>
      </c>
      <c r="B7871" s="6" t="s">
        <v>13374</v>
      </c>
      <c r="C7871" s="5" t="s">
        <v>10178</v>
      </c>
      <c r="D7871" s="5" t="s">
        <v>10252</v>
      </c>
      <c r="E7871" s="2">
        <v>1256207</v>
      </c>
      <c r="F7871" s="4" t="str">
        <f>IF(B7871=B7870,"",B7871)</f>
        <v>SindhnÅ«r</v>
      </c>
    </row>
    <row r="7872" spans="1:6" ht="15.75" customHeight="1">
      <c r="A7872" s="6" t="s">
        <v>13372</v>
      </c>
      <c r="B7872" s="6" t="s">
        <v>13372</v>
      </c>
      <c r="C7872" s="6" t="s">
        <v>10178</v>
      </c>
      <c r="D7872" s="6" t="s">
        <v>10252</v>
      </c>
      <c r="E7872" s="2">
        <v>1256214</v>
      </c>
      <c r="F7872" s="4" t="str">
        <f>IF(B7872=B7871,"",B7872)</f>
        <v>Sindgi</v>
      </c>
    </row>
    <row r="7873" spans="1:6" ht="15.75" customHeight="1">
      <c r="A7873" s="5" t="str">
        <f ca="1">IFERROR(__xludf.DUMMYFUNCTION("GOOGLETRANSLATE(B32134,""en"",""pt"")"),"Sindgi")</f>
        <v>Sindgi</v>
      </c>
      <c r="B7873" s="17" t="s">
        <v>13372</v>
      </c>
      <c r="C7873" s="17" t="s">
        <v>10178</v>
      </c>
      <c r="D7873" s="17" t="s">
        <v>10252</v>
      </c>
      <c r="E7873" s="10">
        <v>1256214</v>
      </c>
      <c r="F7873" s="4" t="str">
        <f>IF(B7873=B7872,"",B7873)</f>
        <v/>
      </c>
    </row>
    <row r="7874" spans="1:6" ht="15.75" customHeight="1">
      <c r="A7874" s="5" t="s">
        <v>9138</v>
      </c>
      <c r="B7874" s="6" t="s">
        <v>9138</v>
      </c>
      <c r="C7874" s="5" t="s">
        <v>8028</v>
      </c>
      <c r="D7874" s="5" t="s">
        <v>8031</v>
      </c>
      <c r="E7874" s="2">
        <v>2831948</v>
      </c>
      <c r="F7874" s="4" t="str">
        <f>IF(B7874=B7873,"",B7874)</f>
        <v>Sindelfingen</v>
      </c>
    </row>
    <row r="7875" spans="1:6" ht="15.75" customHeight="1">
      <c r="A7875" s="5" t="str">
        <f ca="1">IFERROR(__xludf.DUMMYFUNCTION("GOOGLETRANSLATE(B27525,""en"",""pt"")"),"Sindelfingen")</f>
        <v>Sindelfingen</v>
      </c>
      <c r="B7875" s="17" t="s">
        <v>9138</v>
      </c>
      <c r="C7875" s="17" t="s">
        <v>8028</v>
      </c>
      <c r="D7875" s="17" t="s">
        <v>32013</v>
      </c>
      <c r="E7875" s="10">
        <v>2831948</v>
      </c>
      <c r="F7875" s="4" t="str">
        <f>IF(B7875=B7874,"",B7875)</f>
        <v/>
      </c>
    </row>
    <row r="7876" spans="1:6" ht="15.75" customHeight="1">
      <c r="A7876" s="6" t="s">
        <v>5617</v>
      </c>
      <c r="B7876" s="6" t="s">
        <v>5617</v>
      </c>
      <c r="C7876" s="6" t="s">
        <v>5348</v>
      </c>
      <c r="D7876" s="6" t="s">
        <v>1829</v>
      </c>
      <c r="E7876" s="2">
        <v>3667983</v>
      </c>
      <c r="F7876" s="4" t="str">
        <f>IF(B7876=B7875,"",B7876)</f>
        <v>Sincelejo</v>
      </c>
    </row>
    <row r="7877" spans="1:6" ht="15.75" customHeight="1">
      <c r="A7877" s="5" t="str">
        <f ca="1">IFERROR(__xludf.DUMMYFUNCTION("GOOGLETRANSLATE(B26874,""en"",""pt"")"),"Sincelejo")</f>
        <v>Sincelejo</v>
      </c>
      <c r="B7877" s="17" t="s">
        <v>5617</v>
      </c>
      <c r="C7877" s="17" t="s">
        <v>5348</v>
      </c>
      <c r="D7877" s="17" t="s">
        <v>1829</v>
      </c>
      <c r="E7877" s="10">
        <v>3667983</v>
      </c>
      <c r="F7877" s="4" t="str">
        <f>IF(B7877=B7876,"",B7877)</f>
        <v/>
      </c>
    </row>
    <row r="7878" spans="1:6" ht="15.75" customHeight="1">
      <c r="A7878" s="5" t="str">
        <f ca="1">IFERROR(__xludf.DUMMYFUNCTION("GOOGLETRANSLATE(B26875,""en"",""pt"")"),"Desde")</f>
        <v>Desde</v>
      </c>
      <c r="B7878" s="17" t="s">
        <v>5615</v>
      </c>
      <c r="C7878" s="17" t="s">
        <v>5348</v>
      </c>
      <c r="D7878" s="17" t="s">
        <v>1829</v>
      </c>
      <c r="E7878" s="10">
        <v>3667991</v>
      </c>
      <c r="F7878" s="4" t="str">
        <f>IF(B7878=B7877,"",B7878)</f>
        <v>Sincé</v>
      </c>
    </row>
    <row r="7879" spans="1:6" ht="15.75" customHeight="1">
      <c r="A7879" s="6" t="s">
        <v>5615</v>
      </c>
      <c r="B7879" s="6" t="s">
        <v>5616</v>
      </c>
      <c r="C7879" s="6" t="s">
        <v>5348</v>
      </c>
      <c r="D7879" s="6" t="s">
        <v>1829</v>
      </c>
      <c r="E7879" s="2">
        <v>3667991</v>
      </c>
      <c r="F7879" s="4" t="str">
        <f>IF(B7879=B7878,"",B7879)</f>
        <v>SincÃ©</v>
      </c>
    </row>
    <row r="7880" spans="1:6" ht="15.75" customHeight="1">
      <c r="A7880" s="6" t="s">
        <v>19678</v>
      </c>
      <c r="B7880" s="6" t="s">
        <v>19678</v>
      </c>
      <c r="C7880" s="6" t="s">
        <v>19589</v>
      </c>
      <c r="D7880" s="6" t="s">
        <v>19597</v>
      </c>
      <c r="E7880" s="2">
        <v>1870742</v>
      </c>
      <c r="F7880" s="4" t="str">
        <f>IF(B7880=B7879,"",B7880)</f>
        <v>Sinanju</v>
      </c>
    </row>
    <row r="7881" spans="1:6" ht="15.75" customHeight="1">
      <c r="A7881" s="5" t="str">
        <f ca="1">IFERROR(__xludf.DUMMYFUNCTION("GOOGLETRANSLATE(B35997,""en"",""pt"")"),"Sinanju")</f>
        <v>Sinanju</v>
      </c>
      <c r="B7881" s="17" t="s">
        <v>19678</v>
      </c>
      <c r="C7881" s="17" t="s">
        <v>19589</v>
      </c>
      <c r="D7881" s="17" t="s">
        <v>34437</v>
      </c>
      <c r="E7881" s="10">
        <v>1870742</v>
      </c>
      <c r="F7881" s="4" t="str">
        <f>IF(B7881=B7880,"",B7881)</f>
        <v/>
      </c>
    </row>
    <row r="7882" spans="1:6" ht="15.75" customHeight="1">
      <c r="A7882" s="6" t="s">
        <v>24142</v>
      </c>
      <c r="B7882" s="6" t="s">
        <v>24142</v>
      </c>
      <c r="C7882" s="6" t="s">
        <v>24024</v>
      </c>
      <c r="D7882" s="6" t="s">
        <v>24035</v>
      </c>
      <c r="E7882" s="2">
        <v>6395804</v>
      </c>
      <c r="F7882" s="4" t="str">
        <f>IF(B7882=B7881,"",B7882)</f>
        <v>Sinan</v>
      </c>
    </row>
    <row r="7883" spans="1:6" ht="15.75" customHeight="1">
      <c r="A7883" s="5" t="str">
        <f ca="1">IFERROR(__xludf.DUMMYFUNCTION("GOOGLETRANSLATE(B36162,""en"",""pt"")"),"Sinan")</f>
        <v>Sinan</v>
      </c>
      <c r="B7883" s="17" t="s">
        <v>24142</v>
      </c>
      <c r="C7883" s="17" t="s">
        <v>24024</v>
      </c>
      <c r="D7883" s="17" t="s">
        <v>24035</v>
      </c>
      <c r="E7883" s="10">
        <v>6395804</v>
      </c>
      <c r="F7883" s="4" t="str">
        <f>IF(B7883=B7882,"",B7883)</f>
        <v/>
      </c>
    </row>
    <row r="7884" spans="1:6" ht="15.75" customHeight="1">
      <c r="A7884" s="6" t="s">
        <v>19676</v>
      </c>
      <c r="B7884" s="6" t="s">
        <v>19677</v>
      </c>
      <c r="C7884" s="6" t="s">
        <v>19589</v>
      </c>
      <c r="D7884" s="6" t="s">
        <v>19590</v>
      </c>
      <c r="E7884" s="2">
        <v>2040893</v>
      </c>
      <c r="F7884" s="4" t="str">
        <f>IF(B7884=B7883,"",B7884)</f>
        <v>SinÅ­iju</v>
      </c>
    </row>
    <row r="7885" spans="1:6" ht="15.75" customHeight="1">
      <c r="A7885" s="5" t="str">
        <f ca="1">IFERROR(__xludf.DUMMYFUNCTION("GOOGLETRANSLATE(B34277,""en"",""pt"")"),"Sīnah")</f>
        <v>Sīnah</v>
      </c>
      <c r="B7885" s="17" t="s">
        <v>34070</v>
      </c>
      <c r="C7885" s="17" t="s">
        <v>14594</v>
      </c>
      <c r="D7885" s="17" t="s">
        <v>34066</v>
      </c>
      <c r="E7885" s="10">
        <v>90708</v>
      </c>
      <c r="F7885" s="4" t="str">
        <f>IF(B7885=B7884,"",B7885)</f>
        <v>Sīnah</v>
      </c>
    </row>
    <row r="7886" spans="1:6" ht="15.75" customHeight="1">
      <c r="A7886" s="5" t="s">
        <v>29995</v>
      </c>
      <c r="B7886" s="6" t="s">
        <v>29995</v>
      </c>
      <c r="C7886" s="5" t="s">
        <v>27788</v>
      </c>
      <c r="D7886" s="5" t="s">
        <v>27811</v>
      </c>
      <c r="E7886" s="2">
        <v>4595864</v>
      </c>
      <c r="F7886" s="4" t="str">
        <f>IF(B7886=B7885,"",B7886)</f>
        <v>Simpsonville</v>
      </c>
    </row>
    <row r="7887" spans="1:6" ht="15.75" customHeight="1">
      <c r="A7887" s="5" t="str">
        <f ca="1">IFERROR(__xludf.DUMMYFUNCTION("GOOGLETRANSLATE(B43600,""en"",""pt"")"),"Simpsonville")</f>
        <v>Simpsonville</v>
      </c>
      <c r="B7887" s="17" t="s">
        <v>29995</v>
      </c>
      <c r="C7887" s="17" t="s">
        <v>27788</v>
      </c>
      <c r="D7887" s="17" t="s">
        <v>27811</v>
      </c>
      <c r="E7887" s="10">
        <v>4595864</v>
      </c>
      <c r="F7887" s="4" t="str">
        <f>IF(B7887=B7886,"",B7887)</f>
        <v/>
      </c>
    </row>
    <row r="7888" spans="1:6" ht="15.75" customHeight="1">
      <c r="A7888" s="5" t="s">
        <v>17569</v>
      </c>
      <c r="B7888" s="6" t="s">
        <v>17569</v>
      </c>
      <c r="C7888" s="5" t="s">
        <v>17432</v>
      </c>
      <c r="D7888" s="5" t="s">
        <v>17438</v>
      </c>
      <c r="E7888" s="2">
        <v>1734576</v>
      </c>
      <c r="F7888" s="4" t="str">
        <f>IF(B7888=B7887,"",B7888)</f>
        <v>Simpang Empat</v>
      </c>
    </row>
    <row r="7889" spans="1:6" ht="15.75" customHeight="1">
      <c r="A7889" s="5" t="str">
        <f ca="1">IFERROR(__xludf.DUMMYFUNCTION("GOOGLETRANSLATE(B37449,""en"",""pt"")"),"Simpang Empat")</f>
        <v>Simpang Empat</v>
      </c>
      <c r="B7889" s="17" t="s">
        <v>17569</v>
      </c>
      <c r="C7889" s="17" t="s">
        <v>17432</v>
      </c>
      <c r="D7889" s="17" t="s">
        <v>17438</v>
      </c>
      <c r="E7889" s="10">
        <v>1734576</v>
      </c>
      <c r="F7889" s="4" t="str">
        <f>IF(B7889=B7888,"",B7889)</f>
        <v/>
      </c>
    </row>
    <row r="7890" spans="1:6" ht="15.75" customHeight="1">
      <c r="A7890" s="6" t="s">
        <v>14151</v>
      </c>
      <c r="B7890" s="6" t="s">
        <v>14151</v>
      </c>
      <c r="C7890" s="6" t="s">
        <v>13800</v>
      </c>
      <c r="D7890" s="6" t="s">
        <v>13940</v>
      </c>
      <c r="E7890" s="2">
        <v>1627035</v>
      </c>
      <c r="F7890" s="4" t="str">
        <f>IF(B7890=B7889,"",B7890)</f>
        <v>Simpang</v>
      </c>
    </row>
    <row r="7891" spans="1:6" ht="15.75" customHeight="1">
      <c r="A7891" s="5" t="str">
        <f ca="1">IFERROR(__xludf.DUMMYFUNCTION("GOOGLETRANSLATE(B31453,""en"",""pt"")"),"Simpang")</f>
        <v>Simpang</v>
      </c>
      <c r="B7891" s="17" t="s">
        <v>14151</v>
      </c>
      <c r="C7891" s="17" t="s">
        <v>13800</v>
      </c>
      <c r="D7891" s="17" t="s">
        <v>13940</v>
      </c>
      <c r="E7891" s="10">
        <v>1627035</v>
      </c>
      <c r="F7891" s="4" t="str">
        <f>IF(B7891=B7890,"",B7891)</f>
        <v/>
      </c>
    </row>
    <row r="7892" spans="1:6" ht="15.75" customHeight="1">
      <c r="A7892" s="5" t="str">
        <f ca="1">IFERROR(__xludf.DUMMYFUNCTION("GOOGLETRANSLATE(B25338,""en"",""pt"")"),"Simões filho")</f>
        <v>Simões filho</v>
      </c>
      <c r="B7892" s="17" t="s">
        <v>31747</v>
      </c>
      <c r="C7892" s="17" t="s">
        <v>1905</v>
      </c>
      <c r="D7892" s="17" t="s">
        <v>1947</v>
      </c>
      <c r="E7892" s="10">
        <v>6318694</v>
      </c>
      <c r="F7892" s="4" t="str">
        <f>IF(B7892=B7891,"",B7892)</f>
        <v>Simões Filho</v>
      </c>
    </row>
    <row r="7893" spans="1:6" ht="15.75" customHeight="1">
      <c r="A7893" s="5" t="s">
        <v>9137</v>
      </c>
      <c r="B7893" s="6" t="s">
        <v>9137</v>
      </c>
      <c r="C7893" s="5" t="s">
        <v>8028</v>
      </c>
      <c r="D7893" s="5" t="s">
        <v>8029</v>
      </c>
      <c r="E7893" s="2">
        <v>2832023</v>
      </c>
      <c r="F7893" s="4" t="str">
        <f>IF(B7893=B7892,"",B7893)</f>
        <v>Simmerath</v>
      </c>
    </row>
    <row r="7894" spans="1:6" ht="15.75" customHeight="1">
      <c r="A7894" s="5" t="str">
        <f ca="1">IFERROR(__xludf.DUMMYFUNCTION("GOOGLETRANSLATE(B27526,""en"",""pt"")"),"Simmerath")</f>
        <v>Simmerath</v>
      </c>
      <c r="B7894" s="17" t="s">
        <v>9137</v>
      </c>
      <c r="C7894" s="17" t="s">
        <v>8028</v>
      </c>
      <c r="D7894" s="17" t="s">
        <v>8029</v>
      </c>
      <c r="E7894" s="10">
        <v>2832023</v>
      </c>
      <c r="F7894" s="4" t="str">
        <f>IF(B7894=B7893,"",B7894)</f>
        <v/>
      </c>
    </row>
    <row r="7895" spans="1:6" ht="15.75" customHeight="1">
      <c r="A7895" s="5" t="str">
        <f ca="1">IFERROR(__xludf.DUMMYFUNCTION("GOOGLETRANSLATE(B39744,""en"",""pt"")"),"Şimleu Silvaniei")</f>
        <v>Şimleu Silvaniei</v>
      </c>
      <c r="B7895" s="17" t="s">
        <v>35349</v>
      </c>
      <c r="C7895" s="17" t="s">
        <v>21824</v>
      </c>
      <c r="D7895" s="17" t="s">
        <v>35332</v>
      </c>
      <c r="E7895" s="10">
        <v>667101</v>
      </c>
      <c r="F7895" s="4" t="str">
        <f>IF(B7895=B7894,"",B7895)</f>
        <v>Şimleu Silvaniei</v>
      </c>
    </row>
    <row r="7896" spans="1:6" ht="15.75" customHeight="1">
      <c r="A7896" s="6" t="s">
        <v>29993</v>
      </c>
      <c r="B7896" s="6" t="s">
        <v>29994</v>
      </c>
      <c r="C7896" s="6" t="s">
        <v>27788</v>
      </c>
      <c r="D7896" s="6" t="s">
        <v>27801</v>
      </c>
      <c r="E7896" s="2">
        <v>5396003</v>
      </c>
      <c r="F7896" s="4" t="str">
        <f>IF(B7896=B7895,"",B7896)</f>
        <v>Simi Valley</v>
      </c>
    </row>
    <row r="7897" spans="1:6" ht="15.75" customHeight="1">
      <c r="A7897" s="5" t="str">
        <f ca="1">IFERROR(__xludf.DUMMYFUNCTION("GOOGLETRANSLATE(B45037,""en"",""pt"")"),"Vale Simi")</f>
        <v>Vale Simi</v>
      </c>
      <c r="B7897" s="17" t="s">
        <v>29994</v>
      </c>
      <c r="C7897" s="17" t="s">
        <v>27788</v>
      </c>
      <c r="D7897" s="17" t="s">
        <v>27801</v>
      </c>
      <c r="E7897" s="10">
        <v>5396003</v>
      </c>
      <c r="F7897" s="4" t="str">
        <f>IF(B7897=B7896,"",B7897)</f>
        <v/>
      </c>
    </row>
    <row r="7898" spans="1:6" ht="15.75" customHeight="1">
      <c r="A7898" s="5" t="s">
        <v>27138</v>
      </c>
      <c r="B7898" s="6" t="s">
        <v>27138</v>
      </c>
      <c r="C7898" s="5" t="s">
        <v>26870</v>
      </c>
      <c r="D7898" s="5" t="s">
        <v>26873</v>
      </c>
      <c r="E7898" s="2">
        <v>693805</v>
      </c>
      <c r="F7898" s="4" t="str">
        <f>IF(B7898=B7897,"",B7898)</f>
        <v>Simferopol</v>
      </c>
    </row>
    <row r="7899" spans="1:6" ht="15.75" customHeight="1">
      <c r="A7899" s="5" t="str">
        <f ca="1">IFERROR(__xludf.DUMMYFUNCTION("GOOGLETRANSLATE(B42525,""en"",""pt"")"),"Simferopol")</f>
        <v>Simferopol</v>
      </c>
      <c r="B7899" s="17" t="s">
        <v>27138</v>
      </c>
      <c r="C7899" s="17" t="s">
        <v>26870</v>
      </c>
      <c r="D7899" s="17" t="s">
        <v>26873</v>
      </c>
      <c r="E7899" s="10">
        <v>693805</v>
      </c>
      <c r="F7899" s="4" t="str">
        <f>IF(B7899=B7898,"",B7899)</f>
        <v/>
      </c>
    </row>
    <row r="7900" spans="1:6" ht="15.75" customHeight="1">
      <c r="A7900" s="6" t="s">
        <v>13371</v>
      </c>
      <c r="B7900" s="6" t="s">
        <v>13371</v>
      </c>
      <c r="C7900" s="6" t="s">
        <v>10178</v>
      </c>
      <c r="D7900" s="6" t="s">
        <v>10430</v>
      </c>
      <c r="E7900" s="2">
        <v>1256246</v>
      </c>
      <c r="F7900" s="4" t="str">
        <f>IF(B7900=B7899,"",B7900)</f>
        <v>Simdega</v>
      </c>
    </row>
    <row r="7901" spans="1:6" ht="15.75" customHeight="1">
      <c r="A7901" s="5" t="str">
        <f ca="1">IFERROR(__xludf.DUMMYFUNCTION("GOOGLETRANSLATE(B32136,""en"",""pt"")"),"Simdega")</f>
        <v>Simdega</v>
      </c>
      <c r="B7901" s="17" t="s">
        <v>13371</v>
      </c>
      <c r="C7901" s="17" t="s">
        <v>10178</v>
      </c>
      <c r="D7901" s="17" t="s">
        <v>10430</v>
      </c>
      <c r="E7901" s="10">
        <v>1256246</v>
      </c>
      <c r="F7901" s="4" t="str">
        <f>IF(B7901=B7900,"",B7901)</f>
        <v/>
      </c>
    </row>
    <row r="7902" spans="1:6" ht="15.75" customHeight="1">
      <c r="A7902" s="6" t="s">
        <v>26701</v>
      </c>
      <c r="B7902" s="6" t="s">
        <v>26701</v>
      </c>
      <c r="C7902" s="6" t="s">
        <v>26201</v>
      </c>
      <c r="D7902" s="6" t="s">
        <v>26468</v>
      </c>
      <c r="E7902" s="2">
        <v>300791</v>
      </c>
      <c r="F7902" s="4" t="str">
        <f>IF(B7902=B7901,"",B7902)</f>
        <v>Simav</v>
      </c>
    </row>
    <row r="7903" spans="1:6" ht="15.75" customHeight="1">
      <c r="A7903" s="5" t="str">
        <f ca="1">IFERROR(__xludf.DUMMYFUNCTION("GOOGLETRANSLATE(B41898,""en"",""pt"")"),"Simav")</f>
        <v>Simav</v>
      </c>
      <c r="B7903" s="17" t="s">
        <v>26701</v>
      </c>
      <c r="C7903" s="17" t="s">
        <v>26201</v>
      </c>
      <c r="D7903" s="17" t="s">
        <v>26567</v>
      </c>
      <c r="E7903" s="10">
        <v>300791</v>
      </c>
      <c r="F7903" s="4" t="str">
        <f>IF(B7903=B7902,"",B7903)</f>
        <v/>
      </c>
    </row>
    <row r="7904" spans="1:6" ht="15.75" customHeight="1">
      <c r="A7904" s="5" t="str">
        <f ca="1">IFERROR(__xludf.DUMMYFUNCTION("GOOGLETRANSLATE(B24517,""en"",""pt"")"),"Simão Dias")</f>
        <v>Simão Dias</v>
      </c>
      <c r="B7904" s="17" t="s">
        <v>31463</v>
      </c>
      <c r="C7904" s="17" t="s">
        <v>1905</v>
      </c>
      <c r="D7904" s="17" t="s">
        <v>2002</v>
      </c>
      <c r="E7904" s="10">
        <v>3447562</v>
      </c>
      <c r="F7904" s="4" t="str">
        <f>IF(B7904=B7903,"",B7904)</f>
        <v>Simão Dias</v>
      </c>
    </row>
    <row r="7905" spans="1:6" ht="15.75" customHeight="1">
      <c r="A7905" s="5" t="s">
        <v>17568</v>
      </c>
      <c r="B7905" s="6" t="s">
        <v>17568</v>
      </c>
      <c r="C7905" s="5" t="s">
        <v>17432</v>
      </c>
      <c r="D7905" s="5" t="s">
        <v>17459</v>
      </c>
      <c r="E7905" s="2">
        <v>1735799</v>
      </c>
      <c r="F7905" s="4" t="str">
        <f>IF(B7905=B7904,"",B7905)</f>
        <v>Simanggang</v>
      </c>
    </row>
    <row r="7906" spans="1:6" ht="15.75" customHeight="1">
      <c r="A7906" s="5" t="str">
        <f ca="1">IFERROR(__xludf.DUMMYFUNCTION("GOOGLETRANSLATE(B37497,""en"",""pt"")"),"Simanggang")</f>
        <v>Simanggang</v>
      </c>
      <c r="B7906" s="17" t="s">
        <v>17568</v>
      </c>
      <c r="C7906" s="17" t="s">
        <v>17432</v>
      </c>
      <c r="D7906" s="17" t="s">
        <v>17459</v>
      </c>
      <c r="E7906" s="10">
        <v>1735799</v>
      </c>
      <c r="F7906" s="4" t="str">
        <f>IF(B7906=B7905,"",B7906)</f>
        <v/>
      </c>
    </row>
    <row r="7907" spans="1:6" ht="15.75" customHeight="1">
      <c r="A7907" s="5" t="s">
        <v>3487</v>
      </c>
      <c r="B7907" s="6" t="s">
        <v>3488</v>
      </c>
      <c r="C7907" s="5" t="s">
        <v>1905</v>
      </c>
      <c r="D7907" s="5" t="s">
        <v>1947</v>
      </c>
      <c r="E7907" s="2">
        <v>6318694</v>
      </c>
      <c r="F7907" s="4" t="str">
        <f>IF(B7907=B7906,"",B7907)</f>
        <v>SimÃµes Filho</v>
      </c>
    </row>
    <row r="7908" spans="1:6" ht="15.75" customHeight="1">
      <c r="A7908" s="5" t="s">
        <v>3485</v>
      </c>
      <c r="B7908" s="6" t="s">
        <v>3486</v>
      </c>
      <c r="C7908" s="5" t="s">
        <v>1905</v>
      </c>
      <c r="D7908" s="5" t="s">
        <v>2002</v>
      </c>
      <c r="E7908" s="2">
        <v>3447562</v>
      </c>
      <c r="F7908" s="4" t="str">
        <f>IF(B7908=B7907,"",B7908)</f>
        <v>SimÃ£o Dias</v>
      </c>
    </row>
    <row r="7909" spans="1:6" ht="15.75" customHeight="1">
      <c r="A7909" s="6" t="s">
        <v>23091</v>
      </c>
      <c r="B7909" s="6" t="s">
        <v>23091</v>
      </c>
      <c r="C7909" s="6" t="s">
        <v>22070</v>
      </c>
      <c r="D7909" s="6" t="s">
        <v>22166</v>
      </c>
      <c r="E7909" s="2">
        <v>492944</v>
      </c>
      <c r="F7909" s="4" t="str">
        <f>IF(B7909=B7908,"",B7909)</f>
        <v>Sim</v>
      </c>
    </row>
    <row r="7910" spans="1:6" ht="15.75" customHeight="1">
      <c r="A7910" s="5" t="str">
        <f ca="1">IFERROR(__xludf.DUMMYFUNCTION("GOOGLETRANSLATE(B40095,""en"",""pt"")"),"Sim")</f>
        <v>Sim</v>
      </c>
      <c r="B7910" s="17" t="s">
        <v>23091</v>
      </c>
      <c r="C7910" s="17" t="s">
        <v>22070</v>
      </c>
      <c r="D7910" s="17" t="s">
        <v>22166</v>
      </c>
      <c r="E7910" s="10">
        <v>492944</v>
      </c>
      <c r="F7910" s="4" t="str">
        <f>IF(B7910=B7909,"",B7910)</f>
        <v/>
      </c>
    </row>
    <row r="7911" spans="1:6" ht="15.75" customHeight="1">
      <c r="A7911" s="6" t="s">
        <v>29992</v>
      </c>
      <c r="B7911" s="6" t="s">
        <v>29992</v>
      </c>
      <c r="C7911" s="6" t="s">
        <v>27788</v>
      </c>
      <c r="D7911" s="6" t="s">
        <v>27733</v>
      </c>
      <c r="E7911" s="2">
        <v>5810490</v>
      </c>
      <c r="F7911" s="4" t="str">
        <f>IF(B7911=B7910,"",B7911)</f>
        <v>Silverdale</v>
      </c>
    </row>
    <row r="7912" spans="1:6" ht="15.75" customHeight="1">
      <c r="A7912" s="5" t="str">
        <f ca="1">IFERROR(__xludf.DUMMYFUNCTION("GOOGLETRANSLATE(B45376,""en"",""pt"")"),"Silverdale")</f>
        <v>Silverdale</v>
      </c>
      <c r="B7912" s="17" t="s">
        <v>29992</v>
      </c>
      <c r="C7912" s="17" t="s">
        <v>27788</v>
      </c>
      <c r="D7912" s="17" t="s">
        <v>27733</v>
      </c>
      <c r="E7912" s="10">
        <v>5810490</v>
      </c>
      <c r="F7912" s="4" t="str">
        <f>IF(B7912=B7911,"",B7912)</f>
        <v/>
      </c>
    </row>
    <row r="7913" spans="1:6" ht="15.75" customHeight="1">
      <c r="A7913" s="5" t="s">
        <v>29990</v>
      </c>
      <c r="B7913" s="6" t="s">
        <v>29991</v>
      </c>
      <c r="C7913" s="5" t="s">
        <v>27788</v>
      </c>
      <c r="D7913" s="5" t="s">
        <v>17061</v>
      </c>
      <c r="E7913" s="2">
        <v>4369596</v>
      </c>
      <c r="F7913" s="4" t="str">
        <f>IF(B7913=B7912,"",B7913)</f>
        <v>Silver Spring</v>
      </c>
    </row>
    <row r="7914" spans="1:6" ht="15.75" customHeight="1">
      <c r="A7914" s="5" t="str">
        <f ca="1">IFERROR(__xludf.DUMMYFUNCTION("GOOGLETRANSLATE(B43334,""en"",""pt"")"),"Primavera de prata")</f>
        <v>Primavera de prata</v>
      </c>
      <c r="B7914" s="17" t="s">
        <v>29991</v>
      </c>
      <c r="C7914" s="17" t="s">
        <v>27788</v>
      </c>
      <c r="D7914" s="17" t="s">
        <v>17061</v>
      </c>
      <c r="E7914" s="10">
        <v>4369596</v>
      </c>
      <c r="F7914" s="4" t="str">
        <f>IF(B7914=B7913,"",B7914)</f>
        <v/>
      </c>
    </row>
    <row r="7915" spans="1:6" ht="15.75" customHeight="1">
      <c r="A7915" s="5" t="s">
        <v>29988</v>
      </c>
      <c r="B7915" s="6" t="s">
        <v>29989</v>
      </c>
      <c r="C7915" s="5" t="s">
        <v>27788</v>
      </c>
      <c r="D7915" s="5" t="s">
        <v>27801</v>
      </c>
      <c r="E7915" s="2">
        <v>10104153</v>
      </c>
      <c r="F7915" s="4" t="str">
        <f>IF(B7915=B7914,"",B7915)</f>
        <v>Silver Lake</v>
      </c>
    </row>
    <row r="7916" spans="1:6" ht="15.75" customHeight="1">
      <c r="A7916" s="5" t="str">
        <f ca="1">IFERROR(__xludf.DUMMYFUNCTION("GOOGLETRANSLATE(B45467,""en"",""pt"")"),"Lago prateado")</f>
        <v>Lago prateado</v>
      </c>
      <c r="B7916" s="17" t="s">
        <v>29989</v>
      </c>
      <c r="C7916" s="17" t="s">
        <v>27788</v>
      </c>
      <c r="D7916" s="17" t="s">
        <v>27801</v>
      </c>
      <c r="E7916" s="10">
        <v>10104153</v>
      </c>
      <c r="F7916" s="4" t="str">
        <f>IF(B7916=B7915,"",B7916)</f>
        <v/>
      </c>
    </row>
    <row r="7917" spans="1:6" ht="15.75" customHeight="1">
      <c r="A7917" s="5" t="s">
        <v>29986</v>
      </c>
      <c r="B7917" s="6" t="s">
        <v>29987</v>
      </c>
      <c r="C7917" s="5" t="s">
        <v>27788</v>
      </c>
      <c r="D7917" s="5" t="s">
        <v>27733</v>
      </c>
      <c r="E7917" s="2">
        <v>7176035</v>
      </c>
      <c r="F7917" s="4" t="str">
        <f>IF(B7917=B7916,"",B7917)</f>
        <v>Silver Firs</v>
      </c>
    </row>
    <row r="7918" spans="1:6" ht="15.75" customHeight="1">
      <c r="A7918" s="5" t="str">
        <f ca="1">IFERROR(__xludf.DUMMYFUNCTION("GOOGLETRANSLATE(B45425,""en"",""pt"")"),"FIRS de prata")</f>
        <v>FIRS de prata</v>
      </c>
      <c r="B7918" s="17" t="s">
        <v>29987</v>
      </c>
      <c r="C7918" s="17" t="s">
        <v>27788</v>
      </c>
      <c r="D7918" s="17" t="s">
        <v>27733</v>
      </c>
      <c r="E7918" s="10">
        <v>7176035</v>
      </c>
      <c r="F7918" s="4" t="str">
        <f>IF(B7918=B7917,"",B7918)</f>
        <v/>
      </c>
    </row>
    <row r="7919" spans="1:6" ht="15.75" customHeight="1">
      <c r="A7919" s="6" t="s">
        <v>13370</v>
      </c>
      <c r="B7919" s="6" t="s">
        <v>13370</v>
      </c>
      <c r="C7919" s="6" t="s">
        <v>10178</v>
      </c>
      <c r="D7919" s="6" t="s">
        <v>10204</v>
      </c>
      <c r="E7919" s="2">
        <v>1256259</v>
      </c>
      <c r="F7919" s="4" t="str">
        <f>IF(B7919=B7918,"",B7919)</f>
        <v>Silvassa</v>
      </c>
    </row>
    <row r="7920" spans="1:6" ht="15.75" customHeight="1">
      <c r="A7920" s="5" t="str">
        <f ca="1">IFERROR(__xludf.DUMMYFUNCTION("GOOGLETRANSLATE(B32137,""en"",""pt"")"),"Silvassa")</f>
        <v>Silvassa</v>
      </c>
      <c r="B7920" s="17" t="s">
        <v>13370</v>
      </c>
      <c r="C7920" s="17" t="s">
        <v>10178</v>
      </c>
      <c r="D7920" s="17" t="s">
        <v>10204</v>
      </c>
      <c r="E7920" s="10">
        <v>1256259</v>
      </c>
      <c r="F7920" s="4" t="str">
        <f>IF(B7920=B7919,"",B7920)</f>
        <v/>
      </c>
    </row>
    <row r="7921" spans="1:6" ht="15.75" customHeight="1">
      <c r="A7921" s="6" t="s">
        <v>26700</v>
      </c>
      <c r="B7921" s="6" t="s">
        <v>26700</v>
      </c>
      <c r="C7921" s="6" t="s">
        <v>26201</v>
      </c>
      <c r="D7921" s="6" t="s">
        <v>26254</v>
      </c>
      <c r="E7921" s="2">
        <v>300796</v>
      </c>
      <c r="F7921" s="4" t="str">
        <f>IF(B7921=B7920,"",B7921)</f>
        <v>Silvan</v>
      </c>
    </row>
    <row r="7922" spans="1:6" ht="15.75" customHeight="1">
      <c r="A7922" s="5" t="str">
        <f ca="1">IFERROR(__xludf.DUMMYFUNCTION("GOOGLETRANSLATE(B41899,""en"",""pt"")"),"Silvan")</f>
        <v>Silvan</v>
      </c>
      <c r="B7922" s="17" t="s">
        <v>26700</v>
      </c>
      <c r="C7922" s="17" t="s">
        <v>26201</v>
      </c>
      <c r="D7922" s="17" t="s">
        <v>35835</v>
      </c>
      <c r="E7922" s="10">
        <v>300796</v>
      </c>
      <c r="F7922" s="4" t="str">
        <f>IF(B7922=B7921,"",B7922)</f>
        <v/>
      </c>
    </row>
    <row r="7923" spans="1:6" ht="15.75" customHeight="1">
      <c r="A7923" s="5" t="s">
        <v>3484</v>
      </c>
      <c r="B7923" s="6" t="s">
        <v>3484</v>
      </c>
      <c r="C7923" s="5" t="s">
        <v>1905</v>
      </c>
      <c r="D7923" s="5" t="s">
        <v>1978</v>
      </c>
      <c r="E7923" s="2">
        <v>3447591</v>
      </c>
      <c r="F7923" s="4" t="str">
        <f>IF(B7923=B7922,"",B7923)</f>
        <v>Silva Jardim</v>
      </c>
    </row>
    <row r="7924" spans="1:6" ht="15.75" customHeight="1">
      <c r="A7924" s="5" t="str">
        <f ca="1">IFERROR(__xludf.DUMMYFUNCTION("GOOGLETRANSLATE(B24518,""en"",""pt"")"),"Silva Jardim")</f>
        <v>Silva Jardim</v>
      </c>
      <c r="B7924" s="17" t="s">
        <v>3484</v>
      </c>
      <c r="C7924" s="17" t="s">
        <v>1905</v>
      </c>
      <c r="D7924" s="17" t="s">
        <v>1978</v>
      </c>
      <c r="E7924" s="10">
        <v>3447591</v>
      </c>
      <c r="F7924" s="4" t="str">
        <f>IF(B7924=B7923,"",B7924)</f>
        <v/>
      </c>
    </row>
    <row r="7925" spans="1:6" ht="15.75" customHeight="1">
      <c r="A7925" s="6" t="s">
        <v>17201</v>
      </c>
      <c r="B7925" s="6" t="s">
        <v>17202</v>
      </c>
      <c r="C7925" s="6" t="s">
        <v>17154</v>
      </c>
      <c r="D7925" s="6" t="s">
        <v>17172</v>
      </c>
      <c r="E7925" s="2">
        <v>594656</v>
      </c>
      <c r="F7925" s="4" t="str">
        <f>IF(B7925=B7924,"",B7925)</f>
        <v>Silute</v>
      </c>
    </row>
    <row r="7926" spans="1:6" ht="15.75" customHeight="1">
      <c r="A7926" s="5" t="str">
        <f ca="1">IFERROR(__xludf.DUMMYFUNCTION("GOOGLETRANSLATE(B36366,""en"",""pt"")"),"Siluto")</f>
        <v>Siluto</v>
      </c>
      <c r="B7926" s="17" t="s">
        <v>17202</v>
      </c>
      <c r="C7926" s="17" t="s">
        <v>17154</v>
      </c>
      <c r="D7926" s="17" t="s">
        <v>34527</v>
      </c>
      <c r="E7926" s="10">
        <v>594656</v>
      </c>
      <c r="F7926" s="4" t="str">
        <f>IF(B7926=B7925,"",B7926)</f>
        <v/>
      </c>
    </row>
    <row r="7927" spans="1:6" ht="15.75" customHeight="1">
      <c r="A7927" s="6" t="s">
        <v>26699</v>
      </c>
      <c r="B7927" s="6" t="s">
        <v>26699</v>
      </c>
      <c r="C7927" s="6" t="s">
        <v>26201</v>
      </c>
      <c r="D7927" s="6" t="s">
        <v>26202</v>
      </c>
      <c r="E7927" s="2">
        <v>300797</v>
      </c>
      <c r="F7927" s="4" t="str">
        <f>IF(B7927=B7926,"",B7927)</f>
        <v>Silopi</v>
      </c>
    </row>
    <row r="7928" spans="1:6" ht="15.75" customHeight="1">
      <c r="A7928" s="5" t="str">
        <f ca="1">IFERROR(__xludf.DUMMYFUNCTION("GOOGLETRANSLATE(B41900,""en"",""pt"")"),"Silopi")</f>
        <v>Silopi</v>
      </c>
      <c r="B7928" s="17" t="s">
        <v>26699</v>
      </c>
      <c r="C7928" s="17" t="s">
        <v>26201</v>
      </c>
      <c r="D7928" s="17" t="s">
        <v>35834</v>
      </c>
      <c r="E7928" s="10">
        <v>300797</v>
      </c>
      <c r="F7928" s="4" t="str">
        <f>IF(B7928=B7927,"",B7928)</f>
        <v/>
      </c>
    </row>
    <row r="7929" spans="1:6" ht="15.75" customHeight="1">
      <c r="A7929" s="5" t="s">
        <v>29985</v>
      </c>
      <c r="B7929" s="6" t="s">
        <v>29985</v>
      </c>
      <c r="C7929" s="5" t="s">
        <v>27788</v>
      </c>
      <c r="D7929" s="5" t="s">
        <v>27991</v>
      </c>
      <c r="E7929" s="2">
        <v>4131116</v>
      </c>
      <c r="F7929" s="4" t="str">
        <f>IF(B7929=B7928,"",B7929)</f>
        <v>Siloam Springs</v>
      </c>
    </row>
    <row r="7930" spans="1:6" ht="15.75" customHeight="1">
      <c r="A7930" s="5" t="str">
        <f ca="1">IFERROR(__xludf.DUMMYFUNCTION("GOOGLETRANSLATE(B42828,""en"",""pt"")"),"Siloam Springs")</f>
        <v>Siloam Springs</v>
      </c>
      <c r="B7930" s="17" t="s">
        <v>29985</v>
      </c>
      <c r="C7930" s="17" t="s">
        <v>27788</v>
      </c>
      <c r="D7930" s="17" t="s">
        <v>27991</v>
      </c>
      <c r="E7930" s="10">
        <v>4131116</v>
      </c>
      <c r="F7930" s="4" t="str">
        <f>IF(B7930=B7929,"",B7930)</f>
        <v/>
      </c>
    </row>
    <row r="7931" spans="1:6" ht="15.75" customHeight="1">
      <c r="A7931" s="6" t="s">
        <v>13369</v>
      </c>
      <c r="B7931" s="6" t="s">
        <v>13369</v>
      </c>
      <c r="C7931" s="6" t="s">
        <v>10178</v>
      </c>
      <c r="D7931" s="6" t="s">
        <v>10214</v>
      </c>
      <c r="E7931" s="2">
        <v>1256269</v>
      </c>
      <c r="F7931" s="4" t="str">
        <f>IF(B7931=B7930,"",B7931)</f>
        <v>Sillod</v>
      </c>
    </row>
    <row r="7932" spans="1:6" ht="15.75" customHeight="1">
      <c r="A7932" s="5" t="str">
        <f ca="1">IFERROR(__xludf.DUMMYFUNCTION("GOOGLETRANSLATE(B32138,""en"",""pt"")"),"Sillod")</f>
        <v>Sillod</v>
      </c>
      <c r="B7932" s="17" t="s">
        <v>13369</v>
      </c>
      <c r="C7932" s="17" t="s">
        <v>10178</v>
      </c>
      <c r="D7932" s="17" t="s">
        <v>10214</v>
      </c>
      <c r="E7932" s="10">
        <v>1256269</v>
      </c>
      <c r="F7932" s="4" t="str">
        <f>IF(B7932=B7931,"",B7932)</f>
        <v/>
      </c>
    </row>
    <row r="7933" spans="1:6" ht="15.75" customHeight="1">
      <c r="A7933" s="6" t="s">
        <v>19674</v>
      </c>
      <c r="B7933" s="6" t="s">
        <v>19675</v>
      </c>
      <c r="C7933" s="6" t="s">
        <v>19589</v>
      </c>
      <c r="D7933" s="6" t="s">
        <v>19597</v>
      </c>
      <c r="E7933" s="2">
        <v>1870413</v>
      </c>
      <c r="F7933" s="4" t="str">
        <f>IF(B7933=B7932,"",B7933)</f>
        <v>Sil-li</v>
      </c>
    </row>
    <row r="7934" spans="1:6" ht="15.75" customHeight="1">
      <c r="A7934" s="5" t="str">
        <f ca="1">IFERROR(__xludf.DUMMYFUNCTION("GOOGLETRANSLATE(B35995,""en"",""pt"")"),"Sil-Li")</f>
        <v>Sil-Li</v>
      </c>
      <c r="B7934" s="17" t="s">
        <v>19675</v>
      </c>
      <c r="C7934" s="17" t="s">
        <v>19589</v>
      </c>
      <c r="D7934" s="17" t="s">
        <v>34437</v>
      </c>
      <c r="E7934" s="10">
        <v>1870413</v>
      </c>
      <c r="F7934" s="4" t="str">
        <f>IF(B7934=B7933,"",B7934)</f>
        <v/>
      </c>
    </row>
    <row r="7935" spans="1:6" ht="15.75" customHeight="1">
      <c r="A7935" s="5" t="str">
        <f ca="1">IFERROR(__xludf.DUMMYFUNCTION("GOOGLETRANSLATE(B38906,""en"",""pt"")"),"Sillānwāli")</f>
        <v>Sillānwāli</v>
      </c>
      <c r="B7935" s="17" t="s">
        <v>34910</v>
      </c>
      <c r="C7935" s="17" t="s">
        <v>19808</v>
      </c>
      <c r="D7935" s="17" t="s">
        <v>10184</v>
      </c>
      <c r="E7935" s="10">
        <v>1164825</v>
      </c>
      <c r="F7935" s="4" t="str">
        <f>IF(B7935=B7934,"",B7935)</f>
        <v>Sillānwāli</v>
      </c>
    </row>
    <row r="7936" spans="1:6" ht="15.75" customHeight="1">
      <c r="A7936" s="5" t="str">
        <f ca="1">IFERROR(__xludf.DUMMYFUNCTION("GOOGLETRANSLATE(B28815,""en"",""pt"")"),"Sillamäe")</f>
        <v>Sillamäe</v>
      </c>
      <c r="B7936" s="17" t="s">
        <v>32241</v>
      </c>
      <c r="C7936" s="17" t="s">
        <v>6789</v>
      </c>
      <c r="D7936" s="17" t="s">
        <v>6790</v>
      </c>
      <c r="E7936" s="10">
        <v>588686</v>
      </c>
      <c r="F7936" s="4" t="str">
        <f>IF(B7936=B7935,"",B7936)</f>
        <v>Sillamäe</v>
      </c>
    </row>
    <row r="7937" spans="1:6" ht="15.75" customHeight="1">
      <c r="A7937" s="6" t="s">
        <v>6799</v>
      </c>
      <c r="B7937" s="6" t="s">
        <v>6800</v>
      </c>
      <c r="C7937" s="6" t="s">
        <v>6789</v>
      </c>
      <c r="D7937" s="6" t="s">
        <v>6790</v>
      </c>
      <c r="E7937" s="2">
        <v>588686</v>
      </c>
      <c r="F7937" s="4" t="str">
        <f>IF(B7937=B7936,"",B7937)</f>
        <v>SillamÃ¤e</v>
      </c>
    </row>
    <row r="7938" spans="1:6" ht="15.75" customHeight="1">
      <c r="A7938" s="5" t="s">
        <v>20236</v>
      </c>
      <c r="B7938" s="6" t="s">
        <v>20237</v>
      </c>
      <c r="C7938" s="5" t="s">
        <v>19808</v>
      </c>
      <c r="D7938" s="5" t="s">
        <v>10184</v>
      </c>
      <c r="E7938" s="2">
        <v>1164825</v>
      </c>
      <c r="F7938" s="4" t="str">
        <f>IF(B7938=B7937,"",B7938)</f>
        <v>SillÄnwÄli</v>
      </c>
    </row>
    <row r="7939" spans="1:6" ht="15.75" customHeight="1">
      <c r="A7939" s="6" t="s">
        <v>24825</v>
      </c>
      <c r="B7939" s="6" t="s">
        <v>24825</v>
      </c>
      <c r="C7939" s="6" t="s">
        <v>24200</v>
      </c>
      <c r="D7939" s="6" t="s">
        <v>21053</v>
      </c>
      <c r="E7939" s="2">
        <v>2510880</v>
      </c>
      <c r="F7939" s="4" t="str">
        <f>IF(B7939=B7938,"",B7939)</f>
        <v>Silla</v>
      </c>
    </row>
    <row r="7940" spans="1:6" ht="15.75" customHeight="1">
      <c r="A7940" s="5" t="str">
        <f ca="1">IFERROR(__xludf.DUMMYFUNCTION("GOOGLETRANSLATE(B28982,""en"",""pt"")"),"Silla")</f>
        <v>Silla</v>
      </c>
      <c r="B7940" s="17" t="s">
        <v>24825</v>
      </c>
      <c r="C7940" s="17" t="s">
        <v>24200</v>
      </c>
      <c r="D7940" s="17" t="s">
        <v>21053</v>
      </c>
      <c r="E7940" s="10">
        <v>2510880</v>
      </c>
      <c r="F7940" s="4" t="str">
        <f>IF(B7940=B7939,"",B7940)</f>
        <v/>
      </c>
    </row>
    <row r="7941" spans="1:6" ht="15.75" customHeight="1">
      <c r="A7941" s="6" t="s">
        <v>6278</v>
      </c>
      <c r="B7941" s="6" t="s">
        <v>6278</v>
      </c>
      <c r="C7941" s="6" t="s">
        <v>6209</v>
      </c>
      <c r="D7941" s="6" t="s">
        <v>6210</v>
      </c>
      <c r="E7941" s="2">
        <v>2614030</v>
      </c>
      <c r="F7941" s="4" t="str">
        <f>IF(B7941=B7940,"",B7941)</f>
        <v>Silkeborg</v>
      </c>
    </row>
    <row r="7942" spans="1:6" ht="15.75" customHeight="1">
      <c r="A7942" s="5" t="str">
        <f ca="1">IFERROR(__xludf.DUMMYFUNCTION("GOOGLETRANSLATE(B28411,""en"",""pt"")"),"Silkeborg")</f>
        <v>Silkeborg</v>
      </c>
      <c r="B7942" s="17" t="s">
        <v>6278</v>
      </c>
      <c r="C7942" s="17" t="s">
        <v>6209</v>
      </c>
      <c r="D7942" s="17" t="s">
        <v>6210</v>
      </c>
      <c r="E7942" s="10">
        <v>2614030</v>
      </c>
      <c r="F7942" s="4" t="str">
        <f>IF(B7942=B7941,"",B7942)</f>
        <v/>
      </c>
    </row>
    <row r="7943" spans="1:6" ht="15.75" customHeight="1">
      <c r="A7943" s="6" t="s">
        <v>26698</v>
      </c>
      <c r="B7943" s="6" t="s">
        <v>26698</v>
      </c>
      <c r="C7943" s="6" t="s">
        <v>26201</v>
      </c>
      <c r="D7943" s="6" t="s">
        <v>26211</v>
      </c>
      <c r="E7943" s="2">
        <v>739634</v>
      </c>
      <c r="F7943" s="4" t="str">
        <f>IF(B7943=B7942,"",B7943)</f>
        <v>Silivri</v>
      </c>
    </row>
    <row r="7944" spans="1:6" ht="15.75" customHeight="1">
      <c r="A7944" s="5" t="str">
        <f ca="1">IFERROR(__xludf.DUMMYFUNCTION("GOOGLETRANSLATE(B42118,""en"",""pt"")"),"Silivri")</f>
        <v>Silivri</v>
      </c>
      <c r="B7944" s="17" t="s">
        <v>26698</v>
      </c>
      <c r="C7944" s="17" t="s">
        <v>26201</v>
      </c>
      <c r="D7944" s="17" t="s">
        <v>26211</v>
      </c>
      <c r="E7944" s="10">
        <v>739634</v>
      </c>
      <c r="F7944" s="4" t="str">
        <f>IF(B7944=B7943,"",B7944)</f>
        <v/>
      </c>
    </row>
    <row r="7945" spans="1:6" ht="15.75" customHeight="1">
      <c r="A7945" s="6" t="s">
        <v>3751</v>
      </c>
      <c r="B7945" s="6" t="s">
        <v>3751</v>
      </c>
      <c r="C7945" s="6" t="s">
        <v>3701</v>
      </c>
      <c r="D7945" s="6" t="s">
        <v>3751</v>
      </c>
      <c r="E7945" s="2">
        <v>727221</v>
      </c>
      <c r="F7945" s="4" t="str">
        <f>IF(B7945=B7944,"",B7945)</f>
        <v>Silistra</v>
      </c>
    </row>
    <row r="7946" spans="1:6" ht="15.75" customHeight="1">
      <c r="A7946" s="5" t="str">
        <f ca="1">IFERROR(__xludf.DUMMYFUNCTION("GOOGLETRANSLATE(B24023,""en"",""pt"")"),"Silistra")</f>
        <v>Silistra</v>
      </c>
      <c r="B7946" s="17" t="s">
        <v>3751</v>
      </c>
      <c r="C7946" s="17" t="s">
        <v>3701</v>
      </c>
      <c r="D7946" s="17" t="s">
        <v>3751</v>
      </c>
      <c r="E7946" s="10">
        <v>727221</v>
      </c>
      <c r="F7946" s="4" t="str">
        <f>IF(B7946=B7945,"",B7946)</f>
        <v/>
      </c>
    </row>
    <row r="7947" spans="1:6" ht="15.75" customHeight="1">
      <c r="A7947" s="6" t="s">
        <v>26697</v>
      </c>
      <c r="B7947" s="6" t="s">
        <v>26697</v>
      </c>
      <c r="C7947" s="6" t="s">
        <v>26201</v>
      </c>
      <c r="D7947" s="6" t="s">
        <v>26315</v>
      </c>
      <c r="E7947" s="2">
        <v>300808</v>
      </c>
      <c r="F7947" s="4" t="str">
        <f>IF(B7947=B7946,"",B7947)</f>
        <v>Silifke</v>
      </c>
    </row>
    <row r="7948" spans="1:6" ht="15.75" customHeight="1">
      <c r="A7948" s="5" t="str">
        <f ca="1">IFERROR(__xludf.DUMMYFUNCTION("GOOGLETRANSLATE(B41901,""en"",""pt"")"),"Silifke")</f>
        <v>Silifke</v>
      </c>
      <c r="B7948" s="17" t="s">
        <v>26697</v>
      </c>
      <c r="C7948" s="17" t="s">
        <v>26201</v>
      </c>
      <c r="D7948" s="17" t="s">
        <v>26315</v>
      </c>
      <c r="E7948" s="10">
        <v>300808</v>
      </c>
      <c r="F7948" s="4" t="str">
        <f>IF(B7948=B7947,"",B7948)</f>
        <v/>
      </c>
    </row>
    <row r="7949" spans="1:6" ht="15.75" customHeight="1">
      <c r="A7949" s="6" t="s">
        <v>26186</v>
      </c>
      <c r="B7949" s="6" t="s">
        <v>26186</v>
      </c>
      <c r="C7949" s="6" t="s">
        <v>26090</v>
      </c>
      <c r="D7949" s="6" t="s">
        <v>26187</v>
      </c>
      <c r="E7949" s="2">
        <v>2465030</v>
      </c>
      <c r="F7949" s="4" t="str">
        <f>IF(B7949=B7948,"",B7949)</f>
        <v>Siliana</v>
      </c>
    </row>
    <row r="7950" spans="1:6" ht="15.75" customHeight="1">
      <c r="A7950" s="5" t="str">
        <f ca="1">IFERROR(__xludf.DUMMYFUNCTION("GOOGLETRANSLATE(B41799,""en"",""pt"")"),"Siliana")</f>
        <v>Siliana</v>
      </c>
      <c r="B7950" s="17" t="s">
        <v>26186</v>
      </c>
      <c r="C7950" s="17" t="s">
        <v>26090</v>
      </c>
      <c r="D7950" s="17" t="s">
        <v>35798</v>
      </c>
      <c r="E7950" s="10">
        <v>2465030</v>
      </c>
      <c r="F7950" s="4" t="str">
        <f>IF(B7950=B7949,"",B7950)</f>
        <v/>
      </c>
    </row>
    <row r="7951" spans="1:6" ht="15.75" customHeight="1">
      <c r="A7951" s="6" t="s">
        <v>13368</v>
      </c>
      <c r="B7951" s="6" t="s">
        <v>13368</v>
      </c>
      <c r="C7951" s="6" t="s">
        <v>10178</v>
      </c>
      <c r="D7951" s="6" t="s">
        <v>10239</v>
      </c>
      <c r="E7951" s="2">
        <v>1256287</v>
      </c>
      <c r="F7951" s="4" t="str">
        <f>IF(B7951=B7950,"",B7951)</f>
        <v>Silchar</v>
      </c>
    </row>
    <row r="7952" spans="1:6" ht="15.75" customHeight="1">
      <c r="A7952" s="5" t="str">
        <f ca="1">IFERROR(__xludf.DUMMYFUNCTION("GOOGLETRANSLATE(B32139,""en"",""pt"")"),"Silchar")</f>
        <v>Silchar</v>
      </c>
      <c r="B7952" s="17" t="s">
        <v>13368</v>
      </c>
      <c r="C7952" s="17" t="s">
        <v>10178</v>
      </c>
      <c r="D7952" s="17" t="s">
        <v>10239</v>
      </c>
      <c r="E7952" s="10">
        <v>1256287</v>
      </c>
      <c r="F7952" s="4" t="str">
        <f>IF(B7952=B7951,"",B7952)</f>
        <v/>
      </c>
    </row>
    <row r="7953" spans="1:6" ht="15.75" customHeight="1">
      <c r="A7953" s="5" t="s">
        <v>13367</v>
      </c>
      <c r="B7953" s="6" t="s">
        <v>13367</v>
      </c>
      <c r="C7953" s="5" t="s">
        <v>10178</v>
      </c>
      <c r="D7953" s="5" t="s">
        <v>10239</v>
      </c>
      <c r="E7953" s="2">
        <v>7302857</v>
      </c>
      <c r="F7953" s="4" t="str">
        <f>IF(B7953=B7952,"",B7953)</f>
        <v>Silapathar</v>
      </c>
    </row>
    <row r="7954" spans="1:6" ht="15.75" customHeight="1">
      <c r="A7954" s="5" t="str">
        <f ca="1">IFERROR(__xludf.DUMMYFUNCTION("GOOGLETRANSLATE(B34250,""en"",""pt"")"),"Silapathar")</f>
        <v>Silapathar</v>
      </c>
      <c r="B7954" s="17" t="s">
        <v>13367</v>
      </c>
      <c r="C7954" s="17" t="s">
        <v>10178</v>
      </c>
      <c r="D7954" s="17" t="s">
        <v>10239</v>
      </c>
      <c r="E7954" s="10">
        <v>7302857</v>
      </c>
      <c r="F7954" s="4" t="str">
        <f>IF(B7954=B7953,"",B7954)</f>
        <v/>
      </c>
    </row>
    <row r="7955" spans="1:6" ht="15.75" customHeight="1">
      <c r="A7955" s="6" t="s">
        <v>13366</v>
      </c>
      <c r="B7955" s="6" t="s">
        <v>13366</v>
      </c>
      <c r="C7955" s="6" t="s">
        <v>10178</v>
      </c>
      <c r="D7955" s="6" t="s">
        <v>10317</v>
      </c>
      <c r="E7955" s="2">
        <v>1256295</v>
      </c>
      <c r="F7955" s="4" t="str">
        <f>IF(B7955=B7954,"",B7955)</f>
        <v>Silao</v>
      </c>
    </row>
    <row r="7956" spans="1:6" ht="15.75" customHeight="1">
      <c r="A7956" s="6" t="s">
        <v>13366</v>
      </c>
      <c r="B7956" s="6" t="s">
        <v>13366</v>
      </c>
      <c r="C7956" s="6" t="s">
        <v>17707</v>
      </c>
      <c r="D7956" s="6" t="s">
        <v>17713</v>
      </c>
      <c r="E7956" s="2">
        <v>3983058</v>
      </c>
      <c r="F7956" s="4" t="str">
        <f>IF(B7956=B7955,"",B7956)</f>
        <v/>
      </c>
    </row>
    <row r="7957" spans="1:6" ht="15.75" customHeight="1">
      <c r="A7957" s="5" t="str">
        <f ca="1">IFERROR(__xludf.DUMMYFUNCTION("GOOGLETRANSLATE(B32140,""en"",""pt"")"),"Silao")</f>
        <v>Silao</v>
      </c>
      <c r="B7957" s="17" t="s">
        <v>13366</v>
      </c>
      <c r="C7957" s="17" t="s">
        <v>10178</v>
      </c>
      <c r="D7957" s="17" t="s">
        <v>10317</v>
      </c>
      <c r="E7957" s="10">
        <v>1256295</v>
      </c>
      <c r="F7957" s="4" t="str">
        <f>IF(B7957=B7956,"",B7957)</f>
        <v/>
      </c>
    </row>
    <row r="7958" spans="1:6" ht="15.75" customHeight="1">
      <c r="A7958" s="5" t="str">
        <f ca="1">IFERROR(__xludf.DUMMYFUNCTION("GOOGLETRANSLATE(B37180,""en"",""pt"")"),"Silao")</f>
        <v>Silao</v>
      </c>
      <c r="B7958" s="17" t="s">
        <v>13366</v>
      </c>
      <c r="C7958" s="17" t="s">
        <v>17707</v>
      </c>
      <c r="D7958" s="17" t="s">
        <v>17713</v>
      </c>
      <c r="E7958" s="10">
        <v>3983058</v>
      </c>
      <c r="F7958" s="4" t="str">
        <f>IF(B7958=B7957,"",B7958)</f>
        <v/>
      </c>
    </row>
    <row r="7959" spans="1:6" ht="15.75" customHeight="1">
      <c r="A7959" s="6" t="s">
        <v>21011</v>
      </c>
      <c r="B7959" s="6" t="s">
        <v>21011</v>
      </c>
      <c r="C7959" s="6" t="s">
        <v>20598</v>
      </c>
      <c r="D7959" s="6" t="s">
        <v>20608</v>
      </c>
      <c r="E7959" s="2">
        <v>1686547</v>
      </c>
      <c r="F7959" s="4" t="str">
        <f>IF(B7959=B7958,"",B7959)</f>
        <v>Silang</v>
      </c>
    </row>
    <row r="7960" spans="1:6" ht="15.75" customHeight="1">
      <c r="A7960" s="5" t="str">
        <f ca="1">IFERROR(__xludf.DUMMYFUNCTION("GOOGLETRANSLATE(B38477,""en"",""pt"")"),"Silang")</f>
        <v>Silang</v>
      </c>
      <c r="B7960" s="17" t="s">
        <v>21011</v>
      </c>
      <c r="C7960" s="17" t="s">
        <v>20598</v>
      </c>
      <c r="D7960" s="17" t="s">
        <v>20608</v>
      </c>
      <c r="E7960" s="10">
        <v>1686547</v>
      </c>
      <c r="F7960" s="4" t="str">
        <f>IF(B7960=B7959,"",B7960)</f>
        <v/>
      </c>
    </row>
    <row r="7961" spans="1:6" ht="15.75" customHeight="1">
      <c r="A7961" s="5" t="str">
        <f ca="1">IFERROR(__xludf.DUMMYFUNCTION("GOOGLETRANSLATE(B36386,""en"",""pt"")"),"Šilainiai")</f>
        <v>Šilainiai</v>
      </c>
      <c r="B7961" s="17" t="s">
        <v>34538</v>
      </c>
      <c r="C7961" s="17" t="s">
        <v>17154</v>
      </c>
      <c r="D7961" s="17" t="s">
        <v>17161</v>
      </c>
      <c r="E7961" s="10">
        <v>9610004</v>
      </c>
      <c r="F7961" s="4" t="str">
        <f>IF(B7961=B7960,"",B7961)</f>
        <v>Šilainiai</v>
      </c>
    </row>
    <row r="7962" spans="1:6" ht="15.75" customHeight="1">
      <c r="A7962" s="6" t="s">
        <v>25739</v>
      </c>
      <c r="B7962" s="6" t="s">
        <v>25739</v>
      </c>
      <c r="C7962" s="6" t="s">
        <v>25560</v>
      </c>
      <c r="D7962" s="6" t="s">
        <v>25604</v>
      </c>
      <c r="E7962" s="2">
        <v>149929</v>
      </c>
      <c r="F7962" s="4" t="str">
        <f>IF(B7962=B7961,"",B7962)</f>
        <v>Sikonge</v>
      </c>
    </row>
    <row r="7963" spans="1:6" ht="15.75" customHeight="1">
      <c r="A7963" s="5" t="str">
        <f ca="1">IFERROR(__xludf.DUMMYFUNCTION("GOOGLETRANSLATE(B42305,""en"",""pt"")"),"Sikonge")</f>
        <v>Sikonge</v>
      </c>
      <c r="B7963" s="17" t="s">
        <v>25739</v>
      </c>
      <c r="C7963" s="17" t="s">
        <v>25560</v>
      </c>
      <c r="D7963" s="17" t="s">
        <v>25604</v>
      </c>
      <c r="E7963" s="10">
        <v>149929</v>
      </c>
      <c r="F7963" s="4" t="str">
        <f>IF(B7963=B7962,"",B7963)</f>
        <v/>
      </c>
    </row>
    <row r="7964" spans="1:6" ht="15.75" customHeight="1">
      <c r="A7964" s="6" t="s">
        <v>13365</v>
      </c>
      <c r="B7964" s="6" t="s">
        <v>13365</v>
      </c>
      <c r="C7964" s="6" t="s">
        <v>10178</v>
      </c>
      <c r="D7964" s="6" t="s">
        <v>10209</v>
      </c>
      <c r="E7964" s="2">
        <v>1256333</v>
      </c>
      <c r="F7964" s="4" t="str">
        <f>IF(B7964=B7963,"",B7964)</f>
        <v>Sikka</v>
      </c>
    </row>
    <row r="7965" spans="1:6" ht="15.75" customHeight="1">
      <c r="A7965" s="5" t="str">
        <f ca="1">IFERROR(__xludf.DUMMYFUNCTION("GOOGLETRANSLATE(B32145,""en"",""pt"")"),"Sikka")</f>
        <v>Sikka</v>
      </c>
      <c r="B7965" s="17" t="s">
        <v>13365</v>
      </c>
      <c r="C7965" s="17" t="s">
        <v>10178</v>
      </c>
      <c r="D7965" s="17" t="s">
        <v>10209</v>
      </c>
      <c r="E7965" s="10">
        <v>1256333</v>
      </c>
      <c r="F7965" s="4" t="str">
        <f>IF(B7965=B7964,"",B7965)</f>
        <v/>
      </c>
    </row>
    <row r="7966" spans="1:6" ht="15.75" customHeight="1">
      <c r="A7966" s="6" t="s">
        <v>29984</v>
      </c>
      <c r="B7966" s="6" t="s">
        <v>29984</v>
      </c>
      <c r="C7966" s="6" t="s">
        <v>27788</v>
      </c>
      <c r="D7966" s="6" t="s">
        <v>27806</v>
      </c>
      <c r="E7966" s="2">
        <v>4408672</v>
      </c>
      <c r="F7966" s="4" t="str">
        <f>IF(B7966=B7965,"",B7966)</f>
        <v>Sikeston</v>
      </c>
    </row>
    <row r="7967" spans="1:6" ht="15.75" customHeight="1">
      <c r="A7967" s="5" t="str">
        <f ca="1">IFERROR(__xludf.DUMMYFUNCTION("GOOGLETRANSLATE(B43391,""en"",""pt"")"),"Sikeston")</f>
        <v>Sikeston</v>
      </c>
      <c r="B7967" s="17" t="s">
        <v>29984</v>
      </c>
      <c r="C7967" s="17" t="s">
        <v>27788</v>
      </c>
      <c r="D7967" s="17" t="s">
        <v>27806</v>
      </c>
      <c r="E7967" s="10">
        <v>4408672</v>
      </c>
      <c r="F7967" s="4" t="str">
        <f>IF(B7967=B7966,"",B7967)</f>
        <v/>
      </c>
    </row>
    <row r="7968" spans="1:6" ht="15.75" customHeight="1">
      <c r="A7968" s="6" t="s">
        <v>17602</v>
      </c>
      <c r="B7968" s="6" t="s">
        <v>17602</v>
      </c>
      <c r="C7968" s="6" t="s">
        <v>17596</v>
      </c>
      <c r="D7968" s="6" t="s">
        <v>17602</v>
      </c>
      <c r="E7968" s="2">
        <v>2451185</v>
      </c>
      <c r="F7968" s="4" t="str">
        <f>IF(B7968=B7967,"",B7968)</f>
        <v>Sikasso</v>
      </c>
    </row>
    <row r="7969" spans="1:6" ht="15.75" customHeight="1">
      <c r="A7969" s="5" t="str">
        <f ca="1">IFERROR(__xludf.DUMMYFUNCTION("GOOGLETRANSLATE(B36680,""en"",""pt"")"),"Sikasso")</f>
        <v>Sikasso</v>
      </c>
      <c r="B7969" s="17" t="s">
        <v>17602</v>
      </c>
      <c r="C7969" s="17" t="s">
        <v>17596</v>
      </c>
      <c r="D7969" s="17" t="s">
        <v>17602</v>
      </c>
      <c r="E7969" s="10">
        <v>2451185</v>
      </c>
      <c r="F7969" s="4" t="str">
        <f>IF(B7969=B7968,"",B7969)</f>
        <v/>
      </c>
    </row>
    <row r="7970" spans="1:6" ht="15.75" customHeight="1">
      <c r="A7970" s="5" t="str">
        <f ca="1">IFERROR(__xludf.DUMMYFUNCTION("GOOGLETRANSLATE(B32141,""en"",""pt"")"),"Sīkar")</f>
        <v>Sīkar</v>
      </c>
      <c r="B7970" s="17" t="s">
        <v>33070</v>
      </c>
      <c r="C7970" s="17" t="s">
        <v>10178</v>
      </c>
      <c r="D7970" s="17" t="s">
        <v>10179</v>
      </c>
      <c r="E7970" s="10">
        <v>1256320</v>
      </c>
      <c r="F7970" s="4" t="str">
        <f>IF(B7970=B7969,"",B7970)</f>
        <v>Sīkar</v>
      </c>
    </row>
    <row r="7971" spans="1:6" ht="15.75" customHeight="1">
      <c r="A7971" s="5" t="s">
        <v>13364</v>
      </c>
      <c r="B7971" s="6" t="s">
        <v>13364</v>
      </c>
      <c r="C7971" s="5" t="s">
        <v>10178</v>
      </c>
      <c r="D7971" s="5" t="s">
        <v>10193</v>
      </c>
      <c r="E7971" s="2">
        <v>1256322</v>
      </c>
      <c r="F7971" s="4" t="str">
        <f>IF(B7971=B7970,"",B7971)</f>
        <v>Sikandra Rao</v>
      </c>
    </row>
    <row r="7972" spans="1:6" ht="15.75" customHeight="1">
      <c r="A7972" s="5" t="str">
        <f ca="1">IFERROR(__xludf.DUMMYFUNCTION("GOOGLETRANSLATE(B32142,""en"",""pt"")"),"Sikandra Rao")</f>
        <v>Sikandra Rao</v>
      </c>
      <c r="B7972" s="17" t="s">
        <v>13364</v>
      </c>
      <c r="C7972" s="17" t="s">
        <v>10178</v>
      </c>
      <c r="D7972" s="17" t="s">
        <v>10193</v>
      </c>
      <c r="E7972" s="10">
        <v>1256322</v>
      </c>
      <c r="F7972" s="4" t="str">
        <f>IF(B7972=B7971,"",B7972)</f>
        <v/>
      </c>
    </row>
    <row r="7973" spans="1:6" ht="15.75" customHeight="1">
      <c r="A7973" s="5" t="s">
        <v>13363</v>
      </c>
      <c r="B7973" s="6" t="s">
        <v>13363</v>
      </c>
      <c r="C7973" s="5" t="s">
        <v>10178</v>
      </c>
      <c r="D7973" s="5" t="s">
        <v>10193</v>
      </c>
      <c r="E7973" s="2">
        <v>1256328</v>
      </c>
      <c r="F7973" s="4" t="str">
        <f>IF(B7973=B7972,"",B7973)</f>
        <v>Sikandarpur</v>
      </c>
    </row>
    <row r="7974" spans="1:6" ht="15.75" customHeight="1">
      <c r="A7974" s="5" t="str">
        <f ca="1">IFERROR(__xludf.DUMMYFUNCTION("GOOGLETRANSLATE(B32143,""en"",""pt"")"),"Sikandarpur")</f>
        <v>Sikandarpur</v>
      </c>
      <c r="B7974" s="17" t="s">
        <v>13363</v>
      </c>
      <c r="C7974" s="17" t="s">
        <v>10178</v>
      </c>
      <c r="D7974" s="17" t="s">
        <v>10193</v>
      </c>
      <c r="E7974" s="10">
        <v>1256328</v>
      </c>
      <c r="F7974" s="4" t="str">
        <f>IF(B7974=B7973,"",B7974)</f>
        <v/>
      </c>
    </row>
    <row r="7975" spans="1:6" ht="15.75" customHeight="1">
      <c r="A7975" s="5" t="str">
        <f ca="1">IFERROR(__xludf.DUMMYFUNCTION("GOOGLETRANSLATE(B32144,""en"",""pt"")"),"Sikandarābād")</f>
        <v>Sikandarābād</v>
      </c>
      <c r="B7975" s="17" t="s">
        <v>33071</v>
      </c>
      <c r="C7975" s="17" t="s">
        <v>10178</v>
      </c>
      <c r="D7975" s="17" t="s">
        <v>10193</v>
      </c>
      <c r="E7975" s="10">
        <v>1256329</v>
      </c>
      <c r="F7975" s="4" t="str">
        <f>IF(B7975=B7974,"",B7975)</f>
        <v>Sikandarābād</v>
      </c>
    </row>
    <row r="7976" spans="1:6" ht="15.75" customHeight="1">
      <c r="A7976" s="5" t="s">
        <v>13361</v>
      </c>
      <c r="B7976" s="6" t="s">
        <v>13362</v>
      </c>
      <c r="C7976" s="5" t="s">
        <v>10178</v>
      </c>
      <c r="D7976" s="5" t="s">
        <v>10193</v>
      </c>
      <c r="E7976" s="2">
        <v>1256329</v>
      </c>
      <c r="F7976" s="4" t="str">
        <f>IF(B7976=B7975,"",B7976)</f>
        <v>SikandarÄbÄd</v>
      </c>
    </row>
    <row r="7977" spans="1:6" ht="15.75" customHeight="1">
      <c r="A7977" s="6" t="s">
        <v>14150</v>
      </c>
      <c r="B7977" s="6" t="s">
        <v>14150</v>
      </c>
      <c r="C7977" s="6" t="s">
        <v>13800</v>
      </c>
      <c r="D7977" s="6" t="s">
        <v>13872</v>
      </c>
      <c r="E7977" s="2">
        <v>1627185</v>
      </c>
      <c r="F7977" s="4" t="str">
        <f>IF(B7977=B7976,"",B7977)</f>
        <v>Sijunjung</v>
      </c>
    </row>
    <row r="7978" spans="1:6" ht="15.75" customHeight="1">
      <c r="A7978" s="5" t="str">
        <f ca="1">IFERROR(__xludf.DUMMYFUNCTION("GOOGLETRANSLATE(B31454,""en"",""pt"")"),"Sijunjung")</f>
        <v>Sijunjung</v>
      </c>
      <c r="B7978" s="17" t="s">
        <v>14150</v>
      </c>
      <c r="C7978" s="17" t="s">
        <v>13800</v>
      </c>
      <c r="D7978" s="17" t="s">
        <v>13872</v>
      </c>
      <c r="E7978" s="10">
        <v>1627185</v>
      </c>
      <c r="F7978" s="4" t="str">
        <f>IF(B7978=B7977,"",B7978)</f>
        <v/>
      </c>
    </row>
    <row r="7979" spans="1:6" ht="15.75" customHeight="1">
      <c r="A7979" s="6" t="s">
        <v>13360</v>
      </c>
      <c r="B7979" s="6" t="s">
        <v>13360</v>
      </c>
      <c r="C7979" s="6" t="s">
        <v>10178</v>
      </c>
      <c r="D7979" s="6" t="s">
        <v>10430</v>
      </c>
      <c r="E7979" s="2">
        <v>1256335</v>
      </c>
      <c r="F7979" s="4" t="str">
        <f>IF(B7979=B7978,"",B7979)</f>
        <v>Sijua</v>
      </c>
    </row>
    <row r="7980" spans="1:6" ht="15.75" customHeight="1">
      <c r="A7980" s="5" t="str">
        <f ca="1">IFERROR(__xludf.DUMMYFUNCTION("GOOGLETRANSLATE(B32146,""en"",""pt"")"),"Sijua")</f>
        <v>Sijua</v>
      </c>
      <c r="B7980" s="17" t="s">
        <v>13360</v>
      </c>
      <c r="C7980" s="17" t="s">
        <v>10178</v>
      </c>
      <c r="D7980" s="17" t="s">
        <v>10430</v>
      </c>
      <c r="E7980" s="10">
        <v>1256335</v>
      </c>
      <c r="F7980" s="4" t="str">
        <f>IF(B7980=B7979,"",B7980)</f>
        <v/>
      </c>
    </row>
    <row r="7981" spans="1:6" ht="15.75" customHeight="1">
      <c r="A7981" s="6" t="s">
        <v>26616</v>
      </c>
      <c r="B7981" s="6" t="s">
        <v>26616</v>
      </c>
      <c r="C7981" s="6" t="s">
        <v>26201</v>
      </c>
      <c r="D7981" s="6" t="s">
        <v>26616</v>
      </c>
      <c r="E7981" s="2">
        <v>300822</v>
      </c>
      <c r="F7981" s="4" t="str">
        <f>IF(B7981=B7980,"",B7981)</f>
        <v>Siirt</v>
      </c>
    </row>
    <row r="7982" spans="1:6" ht="15.75" customHeight="1">
      <c r="A7982" s="5" t="str">
        <f ca="1">IFERROR(__xludf.DUMMYFUNCTION("GOOGLETRANSLATE(B41902,""en"",""pt"")"),"Siirt")</f>
        <v>Siirt</v>
      </c>
      <c r="B7982" s="17" t="s">
        <v>26616</v>
      </c>
      <c r="C7982" s="17" t="s">
        <v>26201</v>
      </c>
      <c r="D7982" s="17" t="s">
        <v>26616</v>
      </c>
      <c r="E7982" s="10">
        <v>300822</v>
      </c>
      <c r="F7982" s="4" t="str">
        <f>IF(B7982=B7981,"",B7982)</f>
        <v/>
      </c>
    </row>
    <row r="7983" spans="1:6" ht="15.75" customHeight="1">
      <c r="A7983" s="5" t="str">
        <f ca="1">IFERROR(__xludf.DUMMYFUNCTION("GOOGLETRANSLATE(B29608,""en"",""pt"")"),"Siilinjärvi")</f>
        <v>Siilinjärvi</v>
      </c>
      <c r="B7983" s="17" t="s">
        <v>7036</v>
      </c>
      <c r="C7983" s="17" t="s">
        <v>6948</v>
      </c>
      <c r="D7983" s="17" t="s">
        <v>6967</v>
      </c>
      <c r="E7983" s="10">
        <v>636947</v>
      </c>
      <c r="F7983" s="4" t="str">
        <f>IF(B7983=B7982,"",B7983)</f>
        <v>Siilinjärvi</v>
      </c>
    </row>
    <row r="7984" spans="1:6" ht="15.75" customHeight="1">
      <c r="A7984" s="6" t="s">
        <v>7036</v>
      </c>
      <c r="B7984" s="6" t="s">
        <v>7037</v>
      </c>
      <c r="C7984" s="6" t="s">
        <v>6948</v>
      </c>
      <c r="D7984" s="6" t="s">
        <v>6967</v>
      </c>
      <c r="E7984" s="2">
        <v>636947</v>
      </c>
      <c r="F7984" s="4" t="str">
        <f>IF(B7984=B7983,"",B7984)</f>
        <v>SiilinjÃ¤rvi</v>
      </c>
    </row>
    <row r="7985" spans="1:6" ht="15.75" customHeight="1">
      <c r="A7985" s="6" t="s">
        <v>13358</v>
      </c>
      <c r="B7985" s="6" t="s">
        <v>13359</v>
      </c>
      <c r="C7985" s="6" t="s">
        <v>10178</v>
      </c>
      <c r="D7985" s="6" t="s">
        <v>10219</v>
      </c>
      <c r="E7985" s="2">
        <v>1256340</v>
      </c>
      <c r="F7985" s="4" t="str">
        <f>IF(B7985=B7984,"",B7985)</f>
        <v>SihorÄ</v>
      </c>
    </row>
    <row r="7986" spans="1:6" ht="15.75" customHeight="1">
      <c r="A7986" s="5" t="str">
        <f ca="1">IFERROR(__xludf.DUMMYFUNCTION("GOOGLETRANSLATE(B32147,""en"",""pt"")"),"Sihorā")</f>
        <v>Sihorā</v>
      </c>
      <c r="B7986" s="17" t="s">
        <v>33072</v>
      </c>
      <c r="C7986" s="17" t="s">
        <v>10178</v>
      </c>
      <c r="D7986" s="17" t="s">
        <v>10219</v>
      </c>
      <c r="E7986" s="10">
        <v>1256340</v>
      </c>
      <c r="F7986" s="4" t="str">
        <f>IF(B7986=B7985,"",B7986)</f>
        <v>Sihorā</v>
      </c>
    </row>
    <row r="7987" spans="1:6" ht="15.75" customHeight="1">
      <c r="A7987" s="6" t="s">
        <v>13357</v>
      </c>
      <c r="B7987" s="6" t="s">
        <v>13357</v>
      </c>
      <c r="C7987" s="6" t="s">
        <v>10178</v>
      </c>
      <c r="D7987" s="6" t="s">
        <v>10209</v>
      </c>
      <c r="E7987" s="2">
        <v>1256343</v>
      </c>
      <c r="F7987" s="4" t="str">
        <f>IF(B7987=B7986,"",B7987)</f>
        <v>Sihor</v>
      </c>
    </row>
    <row r="7988" spans="1:6" ht="15.75" customHeight="1">
      <c r="A7988" s="5" t="str">
        <f ca="1">IFERROR(__xludf.DUMMYFUNCTION("GOOGLETRANSLATE(B32148,""en"",""pt"")"),"Sihor")</f>
        <v>Sihor</v>
      </c>
      <c r="B7988" s="17" t="s">
        <v>13357</v>
      </c>
      <c r="C7988" s="17" t="s">
        <v>10178</v>
      </c>
      <c r="D7988" s="17" t="s">
        <v>10209</v>
      </c>
      <c r="E7988" s="10">
        <v>1256343</v>
      </c>
      <c r="F7988" s="4" t="str">
        <f>IF(B7988=B7987,"",B7988)</f>
        <v/>
      </c>
    </row>
    <row r="7989" spans="1:6" ht="15.75" customHeight="1">
      <c r="A7989" s="5" t="s">
        <v>3868</v>
      </c>
      <c r="B7989" s="6" t="s">
        <v>3868</v>
      </c>
      <c r="C7989" s="5" t="s">
        <v>3838</v>
      </c>
      <c r="D7989" s="5" t="s">
        <v>3869</v>
      </c>
      <c r="E7989" s="2">
        <v>1831142</v>
      </c>
      <c r="F7989" s="4" t="str">
        <f>IF(B7989=B7988,"",B7989)</f>
        <v>Sihanoukville</v>
      </c>
    </row>
    <row r="7990" spans="1:6" ht="15.75" customHeight="1">
      <c r="A7990" s="5" t="str">
        <f ca="1">IFERROR(__xludf.DUMMYFUNCTION("GOOGLETRANSLATE(B35979,""en"",""pt"")"),"Sihanoukville")</f>
        <v>Sihanoukville</v>
      </c>
      <c r="B7990" s="17" t="s">
        <v>3868</v>
      </c>
      <c r="C7990" s="17" t="s">
        <v>3838</v>
      </c>
      <c r="D7990" s="17" t="s">
        <v>3869</v>
      </c>
      <c r="E7990" s="10">
        <v>1831142</v>
      </c>
      <c r="F7990" s="4" t="str">
        <f>IF(B7990=B7989,"",B7990)</f>
        <v/>
      </c>
    </row>
    <row r="7991" spans="1:6" ht="15.75" customHeight="1">
      <c r="A7991" s="6" t="s">
        <v>9848</v>
      </c>
      <c r="B7991" s="6" t="s">
        <v>9848</v>
      </c>
      <c r="C7991" s="6" t="s">
        <v>9826</v>
      </c>
      <c r="D7991" s="6" t="s">
        <v>9836</v>
      </c>
      <c r="E7991" s="2">
        <v>2415703</v>
      </c>
      <c r="F7991" s="4" t="str">
        <f>IF(B7991=B7990,"",B7991)</f>
        <v>Siguiri</v>
      </c>
    </row>
    <row r="7992" spans="1:6" ht="15.75" customHeight="1">
      <c r="A7992" s="5" t="str">
        <f ca="1">IFERROR(__xludf.DUMMYFUNCTION("GOOGLETRANSLATE(B30924,""en"",""pt"")"),"Siguiri")</f>
        <v>Siguiri</v>
      </c>
      <c r="B7992" s="17" t="s">
        <v>9848</v>
      </c>
      <c r="C7992" s="17" t="s">
        <v>9826</v>
      </c>
      <c r="D7992" s="17" t="s">
        <v>9836</v>
      </c>
      <c r="E7992" s="10">
        <v>2415703</v>
      </c>
      <c r="F7992" s="4" t="str">
        <f>IF(B7992=B7991,"",B7992)</f>
        <v/>
      </c>
    </row>
    <row r="7993" spans="1:6" ht="15.75" customHeight="1">
      <c r="A7993" s="5" t="s">
        <v>9935</v>
      </c>
      <c r="B7993" s="6" t="s">
        <v>9935</v>
      </c>
      <c r="C7993" s="5" t="s">
        <v>9907</v>
      </c>
      <c r="D7993" s="5" t="s">
        <v>9913</v>
      </c>
      <c r="E7993" s="2">
        <v>3601311</v>
      </c>
      <c r="F7993" s="4" t="str">
        <f>IF(B7993=B7992,"",B7993)</f>
        <v>Siguatepeque</v>
      </c>
    </row>
    <row r="7994" spans="1:6" ht="15.75" customHeight="1">
      <c r="A7994" s="5" t="str">
        <f ca="1">IFERROR(__xludf.DUMMYFUNCTION("GOOGLETRANSLATE(B31169,""en"",""pt"")"),"Siguatepeque")</f>
        <v>Siguatepeque</v>
      </c>
      <c r="B7994" s="17" t="s">
        <v>9935</v>
      </c>
      <c r="C7994" s="17" t="s">
        <v>9907</v>
      </c>
      <c r="D7994" s="17" t="s">
        <v>9913</v>
      </c>
      <c r="E7994" s="10">
        <v>3601311</v>
      </c>
      <c r="F7994" s="4" t="str">
        <f>IF(B7994=B7993,"",B7994)</f>
        <v/>
      </c>
    </row>
    <row r="7995" spans="1:6" ht="15.75" customHeight="1">
      <c r="A7995" s="5" t="s">
        <v>9136</v>
      </c>
      <c r="B7995" s="6" t="s">
        <v>9136</v>
      </c>
      <c r="C7995" s="5" t="s">
        <v>8028</v>
      </c>
      <c r="D7995" s="5" t="s">
        <v>8031</v>
      </c>
      <c r="E7995" s="2">
        <v>2832232</v>
      </c>
      <c r="F7995" s="4" t="str">
        <f>IF(B7995=B7994,"",B7995)</f>
        <v>Sigmaringen</v>
      </c>
    </row>
    <row r="7996" spans="1:6" ht="15.75" customHeight="1">
      <c r="A7996" s="5" t="str">
        <f ca="1">IFERROR(__xludf.DUMMYFUNCTION("GOOGLETRANSLATE(B27527,""en"",""pt"")"),"Sigmaringen")</f>
        <v>Sigmaringen</v>
      </c>
      <c r="B7996" s="17" t="s">
        <v>9136</v>
      </c>
      <c r="C7996" s="17" t="s">
        <v>8028</v>
      </c>
      <c r="D7996" s="17" t="s">
        <v>32013</v>
      </c>
      <c r="E7996" s="10">
        <v>2832232</v>
      </c>
      <c r="F7996" s="4" t="str">
        <f>IF(B7996=B7995,"",B7996)</f>
        <v/>
      </c>
    </row>
    <row r="7997" spans="1:6" ht="15.75" customHeight="1">
      <c r="A7997" s="6" t="s">
        <v>14149</v>
      </c>
      <c r="B7997" s="6" t="s">
        <v>14149</v>
      </c>
      <c r="C7997" s="6" t="s">
        <v>13800</v>
      </c>
      <c r="D7997" s="6" t="s">
        <v>13828</v>
      </c>
      <c r="E7997" s="2">
        <v>1213821</v>
      </c>
      <c r="F7997" s="4" t="str">
        <f>IF(B7997=B7996,"",B7997)</f>
        <v>Sigli</v>
      </c>
    </row>
    <row r="7998" spans="1:6" ht="15.75" customHeight="1">
      <c r="A7998" s="5" t="str">
        <f ca="1">IFERROR(__xludf.DUMMYFUNCTION("GOOGLETRANSLATE(B31360,""en"",""pt"")"),"Sigli")</f>
        <v>Sigli</v>
      </c>
      <c r="B7998" s="17" t="s">
        <v>14149</v>
      </c>
      <c r="C7998" s="17" t="s">
        <v>13800</v>
      </c>
      <c r="D7998" s="17" t="s">
        <v>13828</v>
      </c>
      <c r="E7998" s="10">
        <v>1213821</v>
      </c>
      <c r="F7998" s="4" t="str">
        <f>IF(B7998=B7997,"",B7998)</f>
        <v/>
      </c>
    </row>
    <row r="7999" spans="1:6" ht="15.75" customHeight="1">
      <c r="A7999" s="5" t="str">
        <f ca="1">IFERROR(__xludf.DUMMYFUNCTION("GOOGLETRANSLATE(B39849,""en"",""pt"")"),"Sighișoara")</f>
        <v>Sighișoara</v>
      </c>
      <c r="B7999" s="17" t="s">
        <v>35411</v>
      </c>
      <c r="C7999" s="17" t="s">
        <v>21824</v>
      </c>
      <c r="D7999" s="17" t="s">
        <v>35338</v>
      </c>
      <c r="E7999" s="10">
        <v>8436351</v>
      </c>
      <c r="F7999" s="4" t="str">
        <f>IF(B7999=B7998,"",B7999)</f>
        <v>Sighișoara</v>
      </c>
    </row>
    <row r="8000" spans="1:6" ht="15.75" customHeight="1">
      <c r="A8000" s="5" t="s">
        <v>22034</v>
      </c>
      <c r="B8000" s="6" t="s">
        <v>22035</v>
      </c>
      <c r="C8000" s="5" t="s">
        <v>21824</v>
      </c>
      <c r="D8000" s="5" t="s">
        <v>21949</v>
      </c>
      <c r="E8000" s="2">
        <v>8436351</v>
      </c>
      <c r="F8000" s="4" t="str">
        <f>IF(B8000=B7999,"",B8000)</f>
        <v>SighiÈ™oara</v>
      </c>
    </row>
    <row r="8001" spans="1:6" ht="15.75" customHeight="1">
      <c r="A8001" s="5" t="str">
        <f ca="1">IFERROR(__xludf.DUMMYFUNCTION("GOOGLETRANSLATE(B39745,""en"",""pt"")"),"SIGETU MARMAţIEI")</f>
        <v>SIGETU MARMAţIEI</v>
      </c>
      <c r="B8001" s="17" t="s">
        <v>35350</v>
      </c>
      <c r="C8001" s="17" t="s">
        <v>21824</v>
      </c>
      <c r="D8001" s="17" t="s">
        <v>35334</v>
      </c>
      <c r="E8001" s="10">
        <v>667227</v>
      </c>
      <c r="F8001" s="4" t="str">
        <f>IF(B8001=B8000,"",B8001)</f>
        <v>Sighetu Marmaţiei</v>
      </c>
    </row>
    <row r="8002" spans="1:6" ht="15.75" customHeight="1">
      <c r="A8002" s="5" t="s">
        <v>22032</v>
      </c>
      <c r="B8002" s="6" t="s">
        <v>22033</v>
      </c>
      <c r="C8002" s="5" t="s">
        <v>21824</v>
      </c>
      <c r="D8002" s="5" t="s">
        <v>21845</v>
      </c>
      <c r="E8002" s="2">
        <v>667227</v>
      </c>
      <c r="F8002" s="4" t="str">
        <f>IF(B8002=B8001,"",B8002)</f>
        <v>Sighetu MarmaÅ£iei</v>
      </c>
    </row>
    <row r="8003" spans="1:6" ht="15.75" customHeight="1">
      <c r="A8003" s="6" t="s">
        <v>463</v>
      </c>
      <c r="B8003" s="6" t="s">
        <v>463</v>
      </c>
      <c r="C8003" s="6" t="s">
        <v>153</v>
      </c>
      <c r="D8003" s="6" t="s">
        <v>281</v>
      </c>
      <c r="E8003" s="2">
        <v>2479609</v>
      </c>
      <c r="F8003" s="4" t="str">
        <f>IF(B8003=B8002,"",B8003)</f>
        <v>Sig</v>
      </c>
    </row>
    <row r="8004" spans="1:6" ht="15.75" customHeight="1">
      <c r="A8004" s="5" t="str">
        <f ca="1">IFERROR(__xludf.DUMMYFUNCTION("GOOGLETRANSLATE(B28533,""en"",""pt"")"),"Sig")</f>
        <v>Sig</v>
      </c>
      <c r="B8004" s="17" t="s">
        <v>463</v>
      </c>
      <c r="C8004" s="17" t="s">
        <v>153</v>
      </c>
      <c r="D8004" s="17" t="s">
        <v>281</v>
      </c>
      <c r="E8004" s="10">
        <v>2479609</v>
      </c>
      <c r="F8004" s="4" t="str">
        <f>IF(B8004=B8003,"",B8004)</f>
        <v/>
      </c>
    </row>
    <row r="8005" spans="1:6" ht="15.75" customHeight="1">
      <c r="A8005" s="6" t="s">
        <v>25310</v>
      </c>
      <c r="B8005" s="6" t="s">
        <v>25310</v>
      </c>
      <c r="C8005" s="6" t="s">
        <v>25237</v>
      </c>
      <c r="D8005" s="6" t="s">
        <v>25293</v>
      </c>
      <c r="E8005" s="2">
        <v>2658606</v>
      </c>
      <c r="F8005" s="4" t="str">
        <f>IF(B8005=B8004,"",B8005)</f>
        <v>Sierre</v>
      </c>
    </row>
    <row r="8006" spans="1:6" ht="15.75" customHeight="1">
      <c r="A8006" s="5" t="str">
        <f ca="1">IFERROR(__xludf.DUMMYFUNCTION("GOOGLETRANSLATE(B25754,""en"",""pt"")"),"Sierre")</f>
        <v>Sierre</v>
      </c>
      <c r="B8006" s="17" t="s">
        <v>25310</v>
      </c>
      <c r="C8006" s="17" t="s">
        <v>25237</v>
      </c>
      <c r="D8006" s="17" t="s">
        <v>25293</v>
      </c>
      <c r="E8006" s="10">
        <v>2658606</v>
      </c>
      <c r="F8006" s="4" t="str">
        <f>IF(B8006=B8005,"",B8006)</f>
        <v/>
      </c>
    </row>
    <row r="8007" spans="1:6" ht="15.75" customHeight="1">
      <c r="A8007" s="5" t="s">
        <v>29983</v>
      </c>
      <c r="B8007" s="6" t="s">
        <v>29983</v>
      </c>
      <c r="C8007" s="5" t="s">
        <v>27788</v>
      </c>
      <c r="D8007" s="5" t="s">
        <v>27880</v>
      </c>
      <c r="E8007" s="2">
        <v>5314328</v>
      </c>
      <c r="F8007" s="4" t="str">
        <f>IF(B8007=B8006,"",B8007)</f>
        <v>Sierra Vista</v>
      </c>
    </row>
    <row r="8008" spans="1:6" ht="15.75" customHeight="1">
      <c r="A8008" s="5" t="str">
        <f ca="1">IFERROR(__xludf.DUMMYFUNCTION("GOOGLETRANSLATE(B44728,""en"",""pt"")"),"Sierra Vista")</f>
        <v>Sierra Vista</v>
      </c>
      <c r="B8008" s="17" t="s">
        <v>29983</v>
      </c>
      <c r="C8008" s="17" t="s">
        <v>27788</v>
      </c>
      <c r="D8008" s="17" t="s">
        <v>27880</v>
      </c>
      <c r="E8008" s="10">
        <v>5314328</v>
      </c>
      <c r="F8008" s="4" t="str">
        <f>IF(B8008=B8007,"",B8008)</f>
        <v/>
      </c>
    </row>
    <row r="8009" spans="1:6" ht="15.75" customHeight="1">
      <c r="A8009" s="6" t="s">
        <v>21490</v>
      </c>
      <c r="B8009" s="6" t="s">
        <v>21490</v>
      </c>
      <c r="C8009" s="6" t="s">
        <v>21064</v>
      </c>
      <c r="D8009" s="6" t="s">
        <v>21070</v>
      </c>
      <c r="E8009" s="2">
        <v>3085941</v>
      </c>
      <c r="F8009" s="4" t="str">
        <f>IF(B8009=B8008,"",B8009)</f>
        <v>Sierpc</v>
      </c>
    </row>
    <row r="8010" spans="1:6" ht="15.75" customHeight="1">
      <c r="A8010" s="5" t="str">
        <f ca="1">IFERROR(__xludf.DUMMYFUNCTION("GOOGLETRANSLATE(B39356,""en"",""pt"")"),"Sierpc")</f>
        <v>Sierpc</v>
      </c>
      <c r="B8010" s="17" t="s">
        <v>21490</v>
      </c>
      <c r="C8010" s="17" t="s">
        <v>21064</v>
      </c>
      <c r="D8010" s="17" t="s">
        <v>21070</v>
      </c>
      <c r="E8010" s="10">
        <v>3085941</v>
      </c>
      <c r="F8010" s="4" t="str">
        <f>IF(B8010=B8009,"",B8010)</f>
        <v/>
      </c>
    </row>
    <row r="8011" spans="1:6" ht="15.75" customHeight="1">
      <c r="A8011" s="6" t="s">
        <v>21489</v>
      </c>
      <c r="B8011" s="6" t="s">
        <v>21489</v>
      </c>
      <c r="C8011" s="6" t="s">
        <v>21064</v>
      </c>
      <c r="D8011" s="6" t="s">
        <v>21080</v>
      </c>
      <c r="E8011" s="2">
        <v>3085978</v>
      </c>
      <c r="F8011" s="4" t="str">
        <f>IF(B8011=B8010,"",B8011)</f>
        <v>Sieradz</v>
      </c>
    </row>
    <row r="8012" spans="1:6" ht="15.75" customHeight="1">
      <c r="A8012" s="5" t="str">
        <f ca="1">IFERROR(__xludf.DUMMYFUNCTION("GOOGLETRANSLATE(B39357,""en"",""pt"")"),"Sieradz")</f>
        <v>Sieradz</v>
      </c>
      <c r="B8012" s="17" t="s">
        <v>21489</v>
      </c>
      <c r="C8012" s="17" t="s">
        <v>21064</v>
      </c>
      <c r="D8012" s="17" t="s">
        <v>35071</v>
      </c>
      <c r="E8012" s="10">
        <v>3085978</v>
      </c>
      <c r="F8012" s="4" t="str">
        <f>IF(B8012=B8011,"",B8012)</f>
        <v/>
      </c>
    </row>
    <row r="8013" spans="1:6" ht="15.75" customHeight="1">
      <c r="A8013" s="6" t="s">
        <v>15506</v>
      </c>
      <c r="B8013" s="6" t="s">
        <v>15506</v>
      </c>
      <c r="C8013" s="6" t="s">
        <v>14891</v>
      </c>
      <c r="D8013" s="6" t="s">
        <v>14943</v>
      </c>
      <c r="E8013" s="2">
        <v>3166548</v>
      </c>
      <c r="F8013" s="4" t="str">
        <f>IF(B8013=B8012,"",B8013)</f>
        <v>Siena</v>
      </c>
    </row>
    <row r="8014" spans="1:6" ht="15.75" customHeight="1">
      <c r="A8014" s="5" t="str">
        <f ca="1">IFERROR(__xludf.DUMMYFUNCTION("GOOGLETRANSLATE(B34680,""en"",""pt"")"),"Siena")</f>
        <v>Siena</v>
      </c>
      <c r="B8014" s="17" t="s">
        <v>15506</v>
      </c>
      <c r="C8014" s="17" t="s">
        <v>14891</v>
      </c>
      <c r="D8014" s="17" t="s">
        <v>14943</v>
      </c>
      <c r="E8014" s="10">
        <v>3166548</v>
      </c>
      <c r="F8014" s="4" t="str">
        <f>IF(B8014=B8013,"",B8014)</f>
        <v/>
      </c>
    </row>
    <row r="8015" spans="1:6" ht="15.75" customHeight="1">
      <c r="A8015" s="5" t="s">
        <v>21487</v>
      </c>
      <c r="B8015" s="6" t="s">
        <v>21488</v>
      </c>
      <c r="C8015" s="5" t="s">
        <v>21064</v>
      </c>
      <c r="D8015" s="5" t="s">
        <v>21086</v>
      </c>
      <c r="E8015" s="2">
        <v>759320</v>
      </c>
      <c r="F8015" s="4" t="str">
        <f>IF(B8015=B8014,"",B8015)</f>
        <v>Siemiatycze</v>
      </c>
    </row>
    <row r="8016" spans="1:6" ht="15.75" customHeight="1">
      <c r="A8016" s="5" t="str">
        <f ca="1">IFERROR(__xludf.DUMMYFUNCTION("GOOGLETRANSLATE(B39208,""en"",""pt"")"),"SiemiTycze")</f>
        <v>SiemiTycze</v>
      </c>
      <c r="B8016" s="17" t="s">
        <v>21488</v>
      </c>
      <c r="C8016" s="17" t="s">
        <v>21064</v>
      </c>
      <c r="D8016" s="17" t="s">
        <v>21086</v>
      </c>
      <c r="E8016" s="10">
        <v>759320</v>
      </c>
      <c r="F8016" s="4" t="str">
        <f>IF(B8016=B8015,"",B8016)</f>
        <v/>
      </c>
    </row>
    <row r="8017" spans="1:6" ht="15.75" customHeight="1">
      <c r="A8017" s="5" t="str">
        <f ca="1">IFERROR(__xludf.DUMMYFUNCTION("GOOGLETRANSLATE(B39358,""en"",""pt"")"),"Siemianowice śląskie")</f>
        <v>Siemianowice śląskie</v>
      </c>
      <c r="B8017" s="17" t="s">
        <v>35172</v>
      </c>
      <c r="C8017" s="17" t="s">
        <v>21064</v>
      </c>
      <c r="D8017" s="17" t="s">
        <v>21073</v>
      </c>
      <c r="E8017" s="10">
        <v>3086024</v>
      </c>
      <c r="F8017" s="4" t="str">
        <f>IF(B8017=B8016,"",B8017)</f>
        <v>Siemianowice Śląskie</v>
      </c>
    </row>
    <row r="8018" spans="1:6" ht="15.75" customHeight="1">
      <c r="A8018" s="5" t="s">
        <v>21485</v>
      </c>
      <c r="B8018" s="6" t="s">
        <v>21486</v>
      </c>
      <c r="C8018" s="5" t="s">
        <v>21064</v>
      </c>
      <c r="D8018" s="5" t="s">
        <v>21073</v>
      </c>
      <c r="E8018" s="2">
        <v>3086024</v>
      </c>
      <c r="F8018" s="4" t="str">
        <f>IF(B8018=B8017,"",B8018)</f>
        <v>Siemianowice ÅšlÄ…skie</v>
      </c>
    </row>
    <row r="8019" spans="1:6" ht="15.75" customHeight="1">
      <c r="A8019" s="5" t="s">
        <v>3867</v>
      </c>
      <c r="B8019" s="6" t="s">
        <v>3867</v>
      </c>
      <c r="C8019" s="5" t="s">
        <v>3838</v>
      </c>
      <c r="D8019" s="5" t="s">
        <v>3867</v>
      </c>
      <c r="E8019" s="2">
        <v>1822214</v>
      </c>
      <c r="F8019" s="4" t="str">
        <f>IF(B8019=B8018,"",B8019)</f>
        <v>Siem Reap</v>
      </c>
    </row>
    <row r="8020" spans="1:6" ht="15.75" customHeight="1">
      <c r="A8020" s="5" t="str">
        <f ca="1">IFERROR(__xludf.DUMMYFUNCTION("GOOGLETRANSLATE(B35965,""en"",""pt"")"),"Siem Reap")</f>
        <v>Siem Reap</v>
      </c>
      <c r="B8020" s="17" t="s">
        <v>3867</v>
      </c>
      <c r="C8020" s="17" t="s">
        <v>3838</v>
      </c>
      <c r="D8020" s="17" t="s">
        <v>3867</v>
      </c>
      <c r="E8020" s="10">
        <v>1822214</v>
      </c>
      <c r="F8020" s="4" t="str">
        <f>IF(B8020=B8019,"",B8020)</f>
        <v/>
      </c>
    </row>
    <row r="8021" spans="1:6" ht="15.75" customHeight="1">
      <c r="A8021" s="6" t="s">
        <v>9135</v>
      </c>
      <c r="B8021" s="6" t="s">
        <v>9135</v>
      </c>
      <c r="C8021" s="6" t="s">
        <v>8028</v>
      </c>
      <c r="D8021" s="6" t="s">
        <v>8029</v>
      </c>
      <c r="E8021" s="2">
        <v>2832495</v>
      </c>
      <c r="F8021" s="4" t="str">
        <f>IF(B8021=B8020,"",B8021)</f>
        <v>Siegen</v>
      </c>
    </row>
    <row r="8022" spans="1:6" ht="15.75" customHeight="1">
      <c r="A8022" s="5" t="str">
        <f ca="1">IFERROR(__xludf.DUMMYFUNCTION("GOOGLETRANSLATE(B27528,""en"",""pt"")"),"Siegen")</f>
        <v>Siegen</v>
      </c>
      <c r="B8022" s="17" t="s">
        <v>9135</v>
      </c>
      <c r="C8022" s="17" t="s">
        <v>8028</v>
      </c>
      <c r="D8022" s="17" t="s">
        <v>8029</v>
      </c>
      <c r="E8022" s="10">
        <v>2832495</v>
      </c>
      <c r="F8022" s="4" t="str">
        <f>IF(B8022=B8021,"",B8022)</f>
        <v/>
      </c>
    </row>
    <row r="8023" spans="1:6" ht="15.75" customHeight="1">
      <c r="A8023" s="6" t="s">
        <v>9134</v>
      </c>
      <c r="B8023" s="6" t="s">
        <v>9134</v>
      </c>
      <c r="C8023" s="6" t="s">
        <v>8028</v>
      </c>
      <c r="D8023" s="6" t="s">
        <v>8029</v>
      </c>
      <c r="E8023" s="2">
        <v>2832521</v>
      </c>
      <c r="F8023" s="4" t="str">
        <f>IF(B8023=B8022,"",B8023)</f>
        <v>Siegburg</v>
      </c>
    </row>
    <row r="8024" spans="1:6" ht="15.75" customHeight="1">
      <c r="A8024" s="5" t="str">
        <f ca="1">IFERROR(__xludf.DUMMYFUNCTION("GOOGLETRANSLATE(B27529,""en"",""pt"")"),"Siegburg")</f>
        <v>Siegburg</v>
      </c>
      <c r="B8024" s="17" t="s">
        <v>9134</v>
      </c>
      <c r="C8024" s="17" t="s">
        <v>8028</v>
      </c>
      <c r="D8024" s="17" t="s">
        <v>8029</v>
      </c>
      <c r="E8024" s="10">
        <v>2832521</v>
      </c>
      <c r="F8024" s="4" t="str">
        <f>IF(B8024=B8023,"",B8024)</f>
        <v/>
      </c>
    </row>
    <row r="8025" spans="1:6" ht="15.75" customHeight="1">
      <c r="A8025" s="6" t="s">
        <v>21484</v>
      </c>
      <c r="B8025" s="6" t="s">
        <v>21484</v>
      </c>
      <c r="C8025" s="6" t="s">
        <v>21064</v>
      </c>
      <c r="D8025" s="6" t="s">
        <v>21070</v>
      </c>
      <c r="E8025" s="2">
        <v>759412</v>
      </c>
      <c r="F8025" s="4" t="str">
        <f>IF(B8025=B8024,"",B8025)</f>
        <v>Siedlce</v>
      </c>
    </row>
    <row r="8026" spans="1:6" ht="15.75" customHeight="1">
      <c r="A8026" s="5" t="str">
        <f ca="1">IFERROR(__xludf.DUMMYFUNCTION("GOOGLETRANSLATE(B39209,""en"",""pt"")"),"Siedlce")</f>
        <v>Siedlce</v>
      </c>
      <c r="B8026" s="17" t="s">
        <v>21484</v>
      </c>
      <c r="C8026" s="17" t="s">
        <v>21064</v>
      </c>
      <c r="D8026" s="17" t="s">
        <v>21070</v>
      </c>
      <c r="E8026" s="10">
        <v>759412</v>
      </c>
      <c r="F8026" s="4" t="str">
        <f>IF(B8026=B8025,"",B8026)</f>
        <v/>
      </c>
    </row>
    <row r="8027" spans="1:6" ht="15.75" customHeight="1">
      <c r="A8027" s="5" t="str">
        <f ca="1">IFERROR(__xludf.DUMMYFUNCTION("GOOGLETRANSLATE(B24519,""en"",""pt"")"),"Sidrolândia")</f>
        <v>Sidrolândia</v>
      </c>
      <c r="B8027" s="17" t="s">
        <v>31464</v>
      </c>
      <c r="C8027" s="17" t="s">
        <v>1905</v>
      </c>
      <c r="D8027" s="17" t="s">
        <v>1973</v>
      </c>
      <c r="E8027" s="10">
        <v>3447597</v>
      </c>
      <c r="F8027" s="4" t="str">
        <f>IF(B8027=B8026,"",B8027)</f>
        <v>Sidrolândia</v>
      </c>
    </row>
    <row r="8028" spans="1:6" ht="15.75" customHeight="1">
      <c r="A8028" s="5" t="s">
        <v>3482</v>
      </c>
      <c r="B8028" s="6" t="s">
        <v>3483</v>
      </c>
      <c r="C8028" s="5" t="s">
        <v>1905</v>
      </c>
      <c r="D8028" s="5" t="s">
        <v>1973</v>
      </c>
      <c r="E8028" s="2">
        <v>3447597</v>
      </c>
      <c r="F8028" s="4" t="str">
        <f>IF(B8028=B8027,"",B8028)</f>
        <v>SidrolÃ¢ndia</v>
      </c>
    </row>
    <row r="8029" spans="1:6" ht="15.75" customHeight="1">
      <c r="A8029" s="6" t="s">
        <v>17030</v>
      </c>
      <c r="B8029" s="6" t="s">
        <v>17030</v>
      </c>
      <c r="C8029" s="6" t="s">
        <v>17008</v>
      </c>
      <c r="D8029" s="6" t="s">
        <v>17020</v>
      </c>
      <c r="E8029" s="2">
        <v>268064</v>
      </c>
      <c r="F8029" s="4" t="str">
        <f>IF(B8029=B8028,"",B8029)</f>
        <v>Sidon</v>
      </c>
    </row>
    <row r="8030" spans="1:6" ht="15.75" customHeight="1">
      <c r="A8030" s="5" t="str">
        <f ca="1">IFERROR(__xludf.DUMMYFUNCTION("GOOGLETRANSLATE(B36278,""en"",""pt"")"),"Sidon")</f>
        <v>Sidon</v>
      </c>
      <c r="B8030" s="17" t="s">
        <v>17030</v>
      </c>
      <c r="C8030" s="17" t="s">
        <v>17008</v>
      </c>
      <c r="D8030" s="17" t="s">
        <v>17020</v>
      </c>
      <c r="E8030" s="10">
        <v>268064</v>
      </c>
      <c r="F8030" s="4" t="str">
        <f>IF(B8030=B8029,"",B8030)</f>
        <v/>
      </c>
    </row>
    <row r="8031" spans="1:6" ht="15.75" customHeight="1">
      <c r="A8031" s="6" t="s">
        <v>14147</v>
      </c>
      <c r="B8031" s="6" t="s">
        <v>14148</v>
      </c>
      <c r="C8031" s="6" t="s">
        <v>13800</v>
      </c>
      <c r="D8031" s="6" t="s">
        <v>13816</v>
      </c>
      <c r="E8031" s="2">
        <v>1627253</v>
      </c>
      <c r="F8031" s="4" t="str">
        <f>IF(B8031=B8030,"",B8031)</f>
        <v>Sidoarjo</v>
      </c>
    </row>
    <row r="8032" spans="1:6" ht="15.75" customHeight="1">
      <c r="A8032" s="5" t="str">
        <f ca="1">IFERROR(__xludf.DUMMYFUNCTION("GOOGLETRANSLATE(B31455,""en"",""pt"")"),"Sindoarjo")</f>
        <v>Sindoarjo</v>
      </c>
      <c r="B8032" s="17" t="s">
        <v>14148</v>
      </c>
      <c r="C8032" s="17" t="s">
        <v>13800</v>
      </c>
      <c r="D8032" s="17" t="s">
        <v>13816</v>
      </c>
      <c r="E8032" s="10">
        <v>1627253</v>
      </c>
      <c r="F8032" s="4" t="str">
        <f>IF(B8032=B8031,"",B8032)</f>
        <v/>
      </c>
    </row>
    <row r="8033" spans="1:6" ht="15.75" customHeight="1">
      <c r="A8033" s="6" t="s">
        <v>29982</v>
      </c>
      <c r="B8033" s="6" t="s">
        <v>29982</v>
      </c>
      <c r="C8033" s="6" t="s">
        <v>27788</v>
      </c>
      <c r="D8033" s="6" t="s">
        <v>27813</v>
      </c>
      <c r="E8033" s="2">
        <v>5172078</v>
      </c>
      <c r="F8033" s="4" t="str">
        <f>IF(B8033=B8032,"",B8033)</f>
        <v>Sidney</v>
      </c>
    </row>
    <row r="8034" spans="1:6" ht="15.75" customHeight="1">
      <c r="A8034" s="5" t="str">
        <f ca="1">IFERROR(__xludf.DUMMYFUNCTION("GOOGLETRANSLATE(B44540,""en"",""pt"")"),"Sidney")</f>
        <v>Sidney</v>
      </c>
      <c r="B8034" s="17" t="s">
        <v>29982</v>
      </c>
      <c r="C8034" s="17" t="s">
        <v>27788</v>
      </c>
      <c r="D8034" s="17" t="s">
        <v>27813</v>
      </c>
      <c r="E8034" s="10">
        <v>5172078</v>
      </c>
      <c r="F8034" s="4" t="str">
        <f>IF(B8034=B8033,"",B8034)</f>
        <v/>
      </c>
    </row>
    <row r="8035" spans="1:6" ht="15.75" customHeight="1">
      <c r="A8035" s="5" t="s">
        <v>13356</v>
      </c>
      <c r="B8035" s="6" t="s">
        <v>13356</v>
      </c>
      <c r="C8035" s="5" t="s">
        <v>10178</v>
      </c>
      <c r="D8035" s="5" t="s">
        <v>10252</v>
      </c>
      <c r="E8035" s="2">
        <v>1256363</v>
      </c>
      <c r="F8035" s="4" t="str">
        <f>IF(B8035=B8034,"",B8035)</f>
        <v>Sidlaghatta</v>
      </c>
    </row>
    <row r="8036" spans="1:6" ht="15.75" customHeight="1">
      <c r="A8036" s="5" t="str">
        <f ca="1">IFERROR(__xludf.DUMMYFUNCTION("GOOGLETRANSLATE(B32149,""en"",""pt"")"),"Sidlaghatta")</f>
        <v>Sidlaghatta</v>
      </c>
      <c r="B8036" s="17" t="s">
        <v>13356</v>
      </c>
      <c r="C8036" s="17" t="s">
        <v>10178</v>
      </c>
      <c r="D8036" s="17" t="s">
        <v>10252</v>
      </c>
      <c r="E8036" s="10">
        <v>1256363</v>
      </c>
      <c r="F8036" s="4" t="str">
        <f>IF(B8036=B8035,"",B8036)</f>
        <v/>
      </c>
    </row>
    <row r="8037" spans="1:6" ht="15.75" customHeight="1">
      <c r="A8037" s="5" t="s">
        <v>18628</v>
      </c>
      <c r="B8037" s="6" t="s">
        <v>18628</v>
      </c>
      <c r="C8037" s="5" t="s">
        <v>18551</v>
      </c>
      <c r="D8037" s="5" t="s">
        <v>18596</v>
      </c>
      <c r="E8037" s="2">
        <v>2532822</v>
      </c>
      <c r="F8037" s="4" t="str">
        <f>IF(B8037=B8036,"",B8037)</f>
        <v>Sidi Yahia El Gharb</v>
      </c>
    </row>
    <row r="8038" spans="1:6" ht="15.75" customHeight="1">
      <c r="A8038" s="5" t="str">
        <f ca="1">IFERROR(__xludf.DUMMYFUNCTION("GOOGLETRANSLATE(B36469,""en"",""pt"")"),"Sidi Yahia El Gharb")</f>
        <v>Sidi Yahia El Gharb</v>
      </c>
      <c r="B8038" s="17" t="s">
        <v>18628</v>
      </c>
      <c r="C8038" s="17" t="s">
        <v>18551</v>
      </c>
      <c r="D8038" s="17" t="s">
        <v>18596</v>
      </c>
      <c r="E8038" s="10">
        <v>2532822</v>
      </c>
      <c r="F8038" s="4" t="str">
        <f>IF(B8038=B8037,"",B8038)</f>
        <v/>
      </c>
    </row>
    <row r="8039" spans="1:6" ht="15.75" customHeight="1">
      <c r="A8039" s="5" t="s">
        <v>18627</v>
      </c>
      <c r="B8039" s="6" t="s">
        <v>18627</v>
      </c>
      <c r="C8039" s="5" t="s">
        <v>18551</v>
      </c>
      <c r="D8039" s="5" t="s">
        <v>18596</v>
      </c>
      <c r="E8039" s="2">
        <v>2532945</v>
      </c>
      <c r="F8039" s="4" t="str">
        <f>IF(B8039=B8038,"",B8039)</f>
        <v>Sidi Slimane</v>
      </c>
    </row>
    <row r="8040" spans="1:6" ht="15.75" customHeight="1">
      <c r="A8040" s="5" t="str">
        <f ca="1">IFERROR(__xludf.DUMMYFUNCTION("GOOGLETRANSLATE(B36470,""en"",""pt"")"),"Sidi Slimane")</f>
        <v>Sidi Slimane</v>
      </c>
      <c r="B8040" s="17" t="s">
        <v>18627</v>
      </c>
      <c r="C8040" s="17" t="s">
        <v>18551</v>
      </c>
      <c r="D8040" s="17" t="s">
        <v>18596</v>
      </c>
      <c r="E8040" s="10">
        <v>2532945</v>
      </c>
      <c r="F8040" s="4" t="str">
        <f>IF(B8040=B8039,"",B8040)</f>
        <v/>
      </c>
    </row>
    <row r="8041" spans="1:6" ht="15.75" customHeight="1">
      <c r="A8041" s="5" t="str">
        <f ca="1">IFERROR(__xludf.DUMMYFUNCTION("GOOGLETRANSLATE(B28830,""en"",""pt"")"),"Sīdī Sālim")</f>
        <v>Sīdī Sālim</v>
      </c>
      <c r="B8041" s="17" t="s">
        <v>32257</v>
      </c>
      <c r="C8041" s="17" t="s">
        <v>6495</v>
      </c>
      <c r="D8041" s="17" t="s">
        <v>6536</v>
      </c>
      <c r="E8041" s="10">
        <v>348112</v>
      </c>
      <c r="F8041" s="4" t="str">
        <f>IF(B8041=B8040,"",B8041)</f>
        <v>Sīdī Sālim</v>
      </c>
    </row>
    <row r="8042" spans="1:6" ht="15.75" customHeight="1">
      <c r="A8042" s="5" t="s">
        <v>18626</v>
      </c>
      <c r="B8042" s="6" t="s">
        <v>18626</v>
      </c>
      <c r="C8042" s="5" t="s">
        <v>18551</v>
      </c>
      <c r="D8042" s="5" t="s">
        <v>18596</v>
      </c>
      <c r="E8042" s="2">
        <v>2533191</v>
      </c>
      <c r="F8042" s="4" t="str">
        <f>IF(B8042=B8041,"",B8042)</f>
        <v>Sidi Qacem</v>
      </c>
    </row>
    <row r="8043" spans="1:6" ht="15.75" customHeight="1">
      <c r="A8043" s="5" t="str">
        <f ca="1">IFERROR(__xludf.DUMMYFUNCTION("GOOGLETRANSLATE(B36471,""en"",""pt"")"),"Sidi Qacem")</f>
        <v>Sidi Qacem</v>
      </c>
      <c r="B8043" s="17" t="s">
        <v>18626</v>
      </c>
      <c r="C8043" s="17" t="s">
        <v>18551</v>
      </c>
      <c r="D8043" s="17" t="s">
        <v>18596</v>
      </c>
      <c r="E8043" s="10">
        <v>2533191</v>
      </c>
      <c r="F8043" s="4" t="str">
        <f>IF(B8043=B8042,"",B8043)</f>
        <v/>
      </c>
    </row>
    <row r="8044" spans="1:6" ht="15.75" customHeight="1">
      <c r="A8044" s="6" t="s">
        <v>462</v>
      </c>
      <c r="B8044" s="6" t="s">
        <v>462</v>
      </c>
      <c r="C8044" s="6" t="s">
        <v>153</v>
      </c>
      <c r="D8044" s="6" t="s">
        <v>269</v>
      </c>
      <c r="E8044" s="2">
        <v>2479916</v>
      </c>
      <c r="F8044" s="4" t="str">
        <f>IF(B8044=B8043,"",B8044)</f>
        <v>Sidi Okba</v>
      </c>
    </row>
    <row r="8045" spans="1:6" ht="15.75" customHeight="1">
      <c r="A8045" s="5" t="str">
        <f ca="1">IFERROR(__xludf.DUMMYFUNCTION("GOOGLETRANSLATE(B28534,""en"",""pt"")"),"Sidi Okba")</f>
        <v>Sidi Okba</v>
      </c>
      <c r="B8045" s="17" t="s">
        <v>462</v>
      </c>
      <c r="C8045" s="17" t="s">
        <v>153</v>
      </c>
      <c r="D8045" s="17" t="s">
        <v>269</v>
      </c>
      <c r="E8045" s="10">
        <v>2479916</v>
      </c>
      <c r="F8045" s="4" t="str">
        <f>IF(B8045=B8044,"",B8045)</f>
        <v/>
      </c>
    </row>
    <row r="8046" spans="1:6" ht="15.75" customHeight="1">
      <c r="A8046" s="5" t="s">
        <v>461</v>
      </c>
      <c r="B8046" s="6" t="s">
        <v>461</v>
      </c>
      <c r="C8046" s="5" t="s">
        <v>153</v>
      </c>
      <c r="D8046" s="5" t="s">
        <v>250</v>
      </c>
      <c r="E8046" s="2">
        <v>2479966</v>
      </c>
      <c r="F8046" s="4" t="str">
        <f>IF(B8046=B8045,"",B8046)</f>
        <v>Sidi Moussa</v>
      </c>
    </row>
    <row r="8047" spans="1:6" ht="15.75" customHeight="1">
      <c r="A8047" s="5" t="str">
        <f ca="1">IFERROR(__xludf.DUMMYFUNCTION("GOOGLETRANSLATE(B28535,""en"",""pt"")"),"Sidi Moussa")</f>
        <v>Sidi Moussa</v>
      </c>
      <c r="B8047" s="17" t="s">
        <v>461</v>
      </c>
      <c r="C8047" s="17" t="s">
        <v>153</v>
      </c>
      <c r="D8047" s="17" t="s">
        <v>250</v>
      </c>
      <c r="E8047" s="10">
        <v>2479966</v>
      </c>
      <c r="F8047" s="4" t="str">
        <f>IF(B8047=B8046,"",B8047)</f>
        <v/>
      </c>
    </row>
    <row r="8048" spans="1:6" ht="15.75" customHeight="1">
      <c r="A8048" s="5" t="str">
        <f ca="1">IFERROR(__xludf.DUMMYFUNCTION("GOOGLETRANSLATE(B28536,""en"",""pt"")"),"Sidi Mérouane")</f>
        <v>Sidi Mérouane</v>
      </c>
      <c r="B8048" s="17" t="s">
        <v>32186</v>
      </c>
      <c r="C8048" s="17" t="s">
        <v>153</v>
      </c>
      <c r="D8048" s="17" t="s">
        <v>306</v>
      </c>
      <c r="E8048" s="10">
        <v>2480198</v>
      </c>
      <c r="F8048" s="4" t="str">
        <f>IF(B8048=B8047,"",B8048)</f>
        <v>Sidi Mérouane</v>
      </c>
    </row>
    <row r="8049" spans="1:6" ht="15.75" customHeight="1">
      <c r="A8049" s="5" t="s">
        <v>459</v>
      </c>
      <c r="B8049" s="6" t="s">
        <v>460</v>
      </c>
      <c r="C8049" s="5" t="s">
        <v>153</v>
      </c>
      <c r="D8049" s="5" t="s">
        <v>306</v>
      </c>
      <c r="E8049" s="2">
        <v>2480198</v>
      </c>
      <c r="F8049" s="4" t="str">
        <f>IF(B8049=B8048,"",B8049)</f>
        <v>Sidi MÃ©rouane</v>
      </c>
    </row>
    <row r="8050" spans="1:6" ht="15.75" customHeight="1">
      <c r="A8050" s="5" t="s">
        <v>458</v>
      </c>
      <c r="B8050" s="6" t="s">
        <v>458</v>
      </c>
      <c r="C8050" s="5" t="s">
        <v>153</v>
      </c>
      <c r="D8050" s="5" t="s">
        <v>269</v>
      </c>
      <c r="E8050" s="2">
        <v>2480368</v>
      </c>
      <c r="F8050" s="4" t="str">
        <f>IF(B8050=B8049,"",B8050)</f>
        <v>Sidi Khaled</v>
      </c>
    </row>
    <row r="8051" spans="1:6" ht="15.75" customHeight="1">
      <c r="A8051" s="5" t="str">
        <f ca="1">IFERROR(__xludf.DUMMYFUNCTION("GOOGLETRANSLATE(B28537,""en"",""pt"")"),"Sidi Khaled")</f>
        <v>Sidi Khaled</v>
      </c>
      <c r="B8051" s="17" t="s">
        <v>458</v>
      </c>
      <c r="C8051" s="17" t="s">
        <v>153</v>
      </c>
      <c r="D8051" s="17" t="s">
        <v>269</v>
      </c>
      <c r="E8051" s="10">
        <v>2480368</v>
      </c>
      <c r="F8051" s="4" t="str">
        <f>IF(B8051=B8050,"",B8051)</f>
        <v/>
      </c>
    </row>
    <row r="8052" spans="1:6" ht="15.75" customHeight="1">
      <c r="A8052" s="6" t="s">
        <v>18625</v>
      </c>
      <c r="B8052" s="6" t="s">
        <v>18625</v>
      </c>
      <c r="C8052" s="6" t="s">
        <v>18551</v>
      </c>
      <c r="D8052" s="6" t="s">
        <v>18552</v>
      </c>
      <c r="E8052" s="2">
        <v>2534515</v>
      </c>
      <c r="F8052" s="4" t="str">
        <f>IF(B8052=B8051,"",B8052)</f>
        <v>Sidi Ifni</v>
      </c>
    </row>
    <row r="8053" spans="1:6" ht="15.75" customHeight="1">
      <c r="A8053" s="5" t="str">
        <f ca="1">IFERROR(__xludf.DUMMYFUNCTION("GOOGLETRANSLATE(B36472,""en"",""pt"")"),"Sidi Ifni")</f>
        <v>Sidi Ifni</v>
      </c>
      <c r="B8053" s="17" t="s">
        <v>18625</v>
      </c>
      <c r="C8053" s="17" t="s">
        <v>18551</v>
      </c>
      <c r="D8053" s="17" t="s">
        <v>34583</v>
      </c>
      <c r="E8053" s="10">
        <v>2534515</v>
      </c>
      <c r="F8053" s="4" t="str">
        <f>IF(B8053=B8052,"",B8053)</f>
        <v/>
      </c>
    </row>
    <row r="8054" spans="1:6" ht="15.75" customHeight="1">
      <c r="A8054" s="5" t="s">
        <v>456</v>
      </c>
      <c r="B8054" s="6" t="s">
        <v>457</v>
      </c>
      <c r="C8054" s="5" t="s">
        <v>153</v>
      </c>
      <c r="D8054" s="5" t="s">
        <v>177</v>
      </c>
      <c r="E8054" s="2">
        <v>2480618</v>
      </c>
      <c r="F8054" s="4" t="str">
        <f>IF(B8054=B8053,"",B8054)</f>
        <v>Sidi ech Chahmi</v>
      </c>
    </row>
    <row r="8055" spans="1:6" ht="15.75" customHeight="1">
      <c r="A8055" s="5" t="str">
        <f ca="1">IFERROR(__xludf.DUMMYFUNCTION("GOOGLETRANSLATE(B28538,""en"",""pt"")"),"Sidi Ech Chahmi")</f>
        <v>Sidi Ech Chahmi</v>
      </c>
      <c r="B8055" s="17" t="s">
        <v>457</v>
      </c>
      <c r="C8055" s="17" t="s">
        <v>153</v>
      </c>
      <c r="D8055" s="17" t="s">
        <v>177</v>
      </c>
      <c r="E8055" s="10">
        <v>2480618</v>
      </c>
      <c r="F8055" s="4" t="str">
        <f>IF(B8055=B8054,"",B8055)</f>
        <v/>
      </c>
    </row>
    <row r="8056" spans="1:6" ht="15.75" customHeight="1">
      <c r="A8056" s="5" t="s">
        <v>26184</v>
      </c>
      <c r="B8056" s="6" t="s">
        <v>26184</v>
      </c>
      <c r="C8056" s="5" t="s">
        <v>26090</v>
      </c>
      <c r="D8056" s="5" t="s">
        <v>26185</v>
      </c>
      <c r="E8056" s="2">
        <v>2465840</v>
      </c>
      <c r="F8056" s="4" t="str">
        <f>IF(B8056=B8055,"",B8056)</f>
        <v>Sidi Bouzid</v>
      </c>
    </row>
    <row r="8057" spans="1:6" ht="15.75" customHeight="1">
      <c r="A8057" s="5" t="str">
        <f ca="1">IFERROR(__xludf.DUMMYFUNCTION("GOOGLETRANSLATE(B41800,""en"",""pt"")"),"Sidi Bouzid")</f>
        <v>Sidi Bouzid</v>
      </c>
      <c r="B8057" s="17" t="s">
        <v>26184</v>
      </c>
      <c r="C8057" s="17" t="s">
        <v>26090</v>
      </c>
      <c r="D8057" s="17" t="s">
        <v>35799</v>
      </c>
      <c r="E8057" s="10">
        <v>2465840</v>
      </c>
      <c r="F8057" s="4" t="str">
        <f>IF(B8057=B8056,"",B8057)</f>
        <v/>
      </c>
    </row>
    <row r="8058" spans="1:6" ht="15.75" customHeight="1">
      <c r="A8058" s="5" t="s">
        <v>18624</v>
      </c>
      <c r="B8058" s="6" t="s">
        <v>18624</v>
      </c>
      <c r="C8058" s="5" t="s">
        <v>18551</v>
      </c>
      <c r="D8058" s="5" t="s">
        <v>18561</v>
      </c>
      <c r="E8058" s="2">
        <v>2536074</v>
      </c>
      <c r="F8058" s="4" t="str">
        <f>IF(B8058=B8057,"",B8058)</f>
        <v>Sidi Bennour</v>
      </c>
    </row>
    <row r="8059" spans="1:6" ht="15.75" customHeight="1">
      <c r="A8059" s="5" t="str">
        <f ca="1">IFERROR(__xludf.DUMMYFUNCTION("GOOGLETRANSLATE(B36473,""en"",""pt"")"),"Sidi Bennour")</f>
        <v>Sidi Bennour</v>
      </c>
      <c r="B8059" s="17" t="s">
        <v>18624</v>
      </c>
      <c r="C8059" s="17" t="s">
        <v>18551</v>
      </c>
      <c r="D8059" s="17" t="s">
        <v>18561</v>
      </c>
      <c r="E8059" s="10">
        <v>2536074</v>
      </c>
      <c r="F8059" s="4" t="str">
        <f>IF(B8059=B8058,"",B8059)</f>
        <v/>
      </c>
    </row>
    <row r="8060" spans="1:6" ht="15.75" customHeight="1">
      <c r="A8060" s="5" t="str">
        <f ca="1">IFERROR(__xludf.DUMMYFUNCTION("GOOGLETRANSLATE(B28539,""en"",""pt"")"),"Sidi Bel Abbès")</f>
        <v>Sidi Bel Abbès</v>
      </c>
      <c r="B8060" s="17" t="s">
        <v>32187</v>
      </c>
      <c r="C8060" s="17" t="s">
        <v>153</v>
      </c>
      <c r="D8060" s="17" t="s">
        <v>32187</v>
      </c>
      <c r="E8060" s="10">
        <v>2481007</v>
      </c>
      <c r="F8060" s="4" t="str">
        <f>IF(B8060=B8059,"",B8060)</f>
        <v>Sidi Bel Abbès</v>
      </c>
    </row>
    <row r="8061" spans="1:6" ht="15.75" customHeight="1">
      <c r="A8061" s="5" t="s">
        <v>455</v>
      </c>
      <c r="B8061" s="6" t="s">
        <v>169</v>
      </c>
      <c r="C8061" s="5" t="s">
        <v>153</v>
      </c>
      <c r="D8061" s="5" t="s">
        <v>169</v>
      </c>
      <c r="E8061" s="2">
        <v>2481007</v>
      </c>
      <c r="F8061" s="4" t="str">
        <f>IF(B8061=B8060,"",B8061)</f>
        <v>Sidi Bel AbbÃ¨s</v>
      </c>
    </row>
    <row r="8062" spans="1:6" ht="15.75" customHeight="1">
      <c r="A8062" s="5" t="s">
        <v>454</v>
      </c>
      <c r="B8062" s="6" t="s">
        <v>454</v>
      </c>
      <c r="C8062" s="5" t="s">
        <v>153</v>
      </c>
      <c r="D8062" s="5" t="s">
        <v>323</v>
      </c>
      <c r="E8062" s="2">
        <v>2481058</v>
      </c>
      <c r="F8062" s="4" t="str">
        <f>IF(B8062=B8061,"",B8062)</f>
        <v>Sidi Amrane</v>
      </c>
    </row>
    <row r="8063" spans="1:6" ht="15.75" customHeight="1">
      <c r="A8063" s="5" t="str">
        <f ca="1">IFERROR(__xludf.DUMMYFUNCTION("GOOGLETRANSLATE(B28540,""en"",""pt"")"),"Sidi Amrane")</f>
        <v>Sidi Amrane</v>
      </c>
      <c r="B8063" s="17" t="s">
        <v>454</v>
      </c>
      <c r="C8063" s="17" t="s">
        <v>153</v>
      </c>
      <c r="D8063" s="17" t="s">
        <v>323</v>
      </c>
      <c r="E8063" s="10">
        <v>2481058</v>
      </c>
      <c r="F8063" s="4" t="str">
        <f>IF(B8063=B8062,"",B8063)</f>
        <v/>
      </c>
    </row>
    <row r="8064" spans="1:6" ht="15.75" customHeight="1">
      <c r="A8064" s="5" t="s">
        <v>453</v>
      </c>
      <c r="B8064" s="6" t="s">
        <v>453</v>
      </c>
      <c r="C8064" s="5" t="s">
        <v>153</v>
      </c>
      <c r="D8064" s="5" t="s">
        <v>215</v>
      </c>
      <c r="E8064" s="2">
        <v>2481207</v>
      </c>
      <c r="F8064" s="4" t="str">
        <f>IF(B8064=B8063,"",B8064)</f>
        <v>Sidi Akkacha</v>
      </c>
    </row>
    <row r="8065" spans="1:6" ht="15.75" customHeight="1">
      <c r="A8065" s="5" t="str">
        <f ca="1">IFERROR(__xludf.DUMMYFUNCTION("GOOGLETRANSLATE(B28541,""en"",""pt"")"),"Sidi Akkacha")</f>
        <v>Sidi Akkacha</v>
      </c>
      <c r="B8065" s="17" t="s">
        <v>453</v>
      </c>
      <c r="C8065" s="17" t="s">
        <v>153</v>
      </c>
      <c r="D8065" s="17" t="s">
        <v>215</v>
      </c>
      <c r="E8065" s="10">
        <v>2481207</v>
      </c>
      <c r="F8065" s="4" t="str">
        <f>IF(B8065=B8064,"",B8065)</f>
        <v/>
      </c>
    </row>
    <row r="8066" spans="1:6" ht="15.75" customHeight="1">
      <c r="A8066" s="5" t="str">
        <f ca="1">IFERROR(__xludf.DUMMYFUNCTION("GOOGLETRANSLATE(B28542,""en"",""pt"")"),"Sidi Aïssa")</f>
        <v>Sidi Aïssa</v>
      </c>
      <c r="B8066" s="17" t="s">
        <v>32188</v>
      </c>
      <c r="C8066" s="17" t="s">
        <v>153</v>
      </c>
      <c r="D8066" s="17" t="s">
        <v>32189</v>
      </c>
      <c r="E8066" s="10">
        <v>2481246</v>
      </c>
      <c r="F8066" s="4" t="str">
        <f>IF(B8066=B8065,"",B8066)</f>
        <v>Sidi Aïssa</v>
      </c>
    </row>
    <row r="8067" spans="1:6" ht="15.75" customHeight="1">
      <c r="A8067" s="5" t="s">
        <v>452</v>
      </c>
      <c r="B8067" s="6" t="s">
        <v>452</v>
      </c>
      <c r="C8067" s="5" t="s">
        <v>153</v>
      </c>
      <c r="D8067" s="5" t="s">
        <v>253</v>
      </c>
      <c r="E8067" s="2">
        <v>2481389</v>
      </c>
      <c r="F8067" s="4" t="str">
        <f>IF(B8067=B8066,"",B8067)</f>
        <v>Sidi Abdelli</v>
      </c>
    </row>
    <row r="8068" spans="1:6" ht="15.75" customHeight="1">
      <c r="A8068" s="5" t="str">
        <f ca="1">IFERROR(__xludf.DUMMYFUNCTION("GOOGLETRANSLATE(B28543,""en"",""pt"")"),"Sidi Abdelli")</f>
        <v>Sidi Abdelli</v>
      </c>
      <c r="B8068" s="17" t="s">
        <v>452</v>
      </c>
      <c r="C8068" s="17" t="s">
        <v>153</v>
      </c>
      <c r="D8068" s="17" t="s">
        <v>253</v>
      </c>
      <c r="E8068" s="10">
        <v>2481389</v>
      </c>
      <c r="F8068" s="4" t="str">
        <f>IF(B8068=B8067,"",B8068)</f>
        <v/>
      </c>
    </row>
    <row r="8069" spans="1:6" ht="15.75" customHeight="1">
      <c r="A8069" s="5" t="s">
        <v>450</v>
      </c>
      <c r="B8069" s="6" t="s">
        <v>451</v>
      </c>
      <c r="C8069" s="5" t="s">
        <v>153</v>
      </c>
      <c r="D8069" s="5" t="s">
        <v>154</v>
      </c>
      <c r="E8069" s="2">
        <v>2481246</v>
      </c>
      <c r="F8069" s="4" t="str">
        <f>IF(B8069=B8068,"",B8069)</f>
        <v>Sidi AÃ¯ssa</v>
      </c>
    </row>
    <row r="8070" spans="1:6" ht="15.75" customHeight="1">
      <c r="A8070" s="6" t="s">
        <v>13355</v>
      </c>
      <c r="B8070" s="6" t="s">
        <v>13355</v>
      </c>
      <c r="C8070" s="6" t="s">
        <v>10178</v>
      </c>
      <c r="D8070" s="6" t="s">
        <v>10219</v>
      </c>
      <c r="E8070" s="2">
        <v>1256369</v>
      </c>
      <c r="F8070" s="4" t="str">
        <f>IF(B8070=B8069,"",B8070)</f>
        <v>Sidhi</v>
      </c>
    </row>
    <row r="8071" spans="1:6" ht="15.75" customHeight="1">
      <c r="A8071" s="5" t="str">
        <f ca="1">IFERROR(__xludf.DUMMYFUNCTION("GOOGLETRANSLATE(B32150,""en"",""pt"")"),"Sidhi")</f>
        <v>Sidhi</v>
      </c>
      <c r="B8071" s="17" t="s">
        <v>13355</v>
      </c>
      <c r="C8071" s="17" t="s">
        <v>10178</v>
      </c>
      <c r="D8071" s="17" t="s">
        <v>10219</v>
      </c>
      <c r="E8071" s="10">
        <v>1256369</v>
      </c>
      <c r="F8071" s="4" t="str">
        <f>IF(B8071=B8070,"",B8071)</f>
        <v/>
      </c>
    </row>
    <row r="8072" spans="1:6" ht="15.75" customHeight="1">
      <c r="A8072" s="5" t="str">
        <f ca="1">IFERROR(__xludf.DUMMYFUNCTION("GOOGLETRANSLATE(B32151,""en"",""pt"")"),"Sidhaulī")</f>
        <v>Sidhaulī</v>
      </c>
      <c r="B8072" s="17" t="s">
        <v>33073</v>
      </c>
      <c r="C8072" s="17" t="s">
        <v>10178</v>
      </c>
      <c r="D8072" s="17" t="s">
        <v>10193</v>
      </c>
      <c r="E8072" s="10">
        <v>1256372</v>
      </c>
      <c r="F8072" s="4" t="str">
        <f>IF(B8072=B8071,"",B8072)</f>
        <v>Sidhaulī</v>
      </c>
    </row>
    <row r="8073" spans="1:6" ht="15.75" customHeight="1">
      <c r="A8073" s="5" t="s">
        <v>13353</v>
      </c>
      <c r="B8073" s="6" t="s">
        <v>13354</v>
      </c>
      <c r="C8073" s="5" t="s">
        <v>10178</v>
      </c>
      <c r="D8073" s="5" t="s">
        <v>10193</v>
      </c>
      <c r="E8073" s="2">
        <v>1256372</v>
      </c>
      <c r="F8073" s="4" t="str">
        <f>IF(B8073=B8072,"",B8073)</f>
        <v>SidhaulÄ«</v>
      </c>
    </row>
    <row r="8074" spans="1:6" ht="15.75" customHeight="1">
      <c r="A8074" s="6" t="s">
        <v>15504</v>
      </c>
      <c r="B8074" s="6" t="s">
        <v>15505</v>
      </c>
      <c r="C8074" s="6" t="s">
        <v>14891</v>
      </c>
      <c r="D8074" s="6" t="s">
        <v>14929</v>
      </c>
      <c r="E8074" s="2">
        <v>2523113</v>
      </c>
      <c r="F8074" s="4" t="str">
        <f>IF(B8074=B8073,"",B8074)</f>
        <v>Siderno</v>
      </c>
    </row>
    <row r="8075" spans="1:6" ht="15.75" customHeight="1">
      <c r="A8075" s="5" t="str">
        <f ca="1">IFERROR(__xludf.DUMMYFUNCTION("GOOGLETRANSLATE(B34546,""en"",""pt"")"),"SIDERNO")</f>
        <v>SIDERNO</v>
      </c>
      <c r="B8075" s="17" t="s">
        <v>15505</v>
      </c>
      <c r="C8075" s="17" t="s">
        <v>14891</v>
      </c>
      <c r="D8075" s="17" t="s">
        <v>14929</v>
      </c>
      <c r="E8075" s="10">
        <v>2523113</v>
      </c>
      <c r="F8075" s="4" t="str">
        <f>IF(B8075=B8074,"",B8075)</f>
        <v/>
      </c>
    </row>
    <row r="8076" spans="1:6" ht="15.75" customHeight="1">
      <c r="A8076" s="6" t="s">
        <v>13352</v>
      </c>
      <c r="B8076" s="6" t="s">
        <v>13352</v>
      </c>
      <c r="C8076" s="6" t="s">
        <v>10178</v>
      </c>
      <c r="D8076" s="6" t="s">
        <v>10187</v>
      </c>
      <c r="E8076" s="2">
        <v>1256377</v>
      </c>
      <c r="F8076" s="4" t="str">
        <f>IF(B8076=B8075,"",B8076)</f>
        <v>Siddipet</v>
      </c>
    </row>
    <row r="8077" spans="1:6" ht="15.75" customHeight="1">
      <c r="A8077" s="5" t="str">
        <f ca="1">IFERROR(__xludf.DUMMYFUNCTION("GOOGLETRANSLATE(B32152,""en"",""pt"")"),"Siddipet")</f>
        <v>Siddipet</v>
      </c>
      <c r="B8077" s="17" t="s">
        <v>13352</v>
      </c>
      <c r="C8077" s="17" t="s">
        <v>10178</v>
      </c>
      <c r="D8077" s="17" t="s">
        <v>10187</v>
      </c>
      <c r="E8077" s="10">
        <v>1256377</v>
      </c>
      <c r="F8077" s="4" t="str">
        <f>IF(B8077=B8076,"",B8077)</f>
        <v/>
      </c>
    </row>
    <row r="8078" spans="1:6" ht="15.75" customHeight="1">
      <c r="A8078" s="5" t="s">
        <v>13351</v>
      </c>
      <c r="B8078" s="6" t="s">
        <v>13351</v>
      </c>
      <c r="C8078" s="5" t="s">
        <v>10178</v>
      </c>
      <c r="D8078" s="5" t="s">
        <v>10209</v>
      </c>
      <c r="E8078" s="2">
        <v>1256382</v>
      </c>
      <c r="F8078" s="4" t="str">
        <f>IF(B8078=B8077,"",B8078)</f>
        <v>Siddhapur</v>
      </c>
    </row>
    <row r="8079" spans="1:6" ht="15.75" customHeight="1">
      <c r="A8079" s="5" t="str">
        <f ca="1">IFERROR(__xludf.DUMMYFUNCTION("GOOGLETRANSLATE(B32153,""en"",""pt"")"),"Siddhapur")</f>
        <v>Siddhapur</v>
      </c>
      <c r="B8079" s="17" t="s">
        <v>13351</v>
      </c>
      <c r="C8079" s="17" t="s">
        <v>10178</v>
      </c>
      <c r="D8079" s="17" t="s">
        <v>10209</v>
      </c>
      <c r="E8079" s="10">
        <v>1256382</v>
      </c>
      <c r="F8079" s="4" t="str">
        <f>IF(B8079=B8078,"",B8079)</f>
        <v/>
      </c>
    </row>
    <row r="8080" spans="1:6" ht="15.75" customHeight="1">
      <c r="A8080" s="6" t="s">
        <v>14146</v>
      </c>
      <c r="B8080" s="6" t="s">
        <v>14146</v>
      </c>
      <c r="C8080" s="6" t="s">
        <v>13800</v>
      </c>
      <c r="D8080" s="6" t="s">
        <v>13803</v>
      </c>
      <c r="E8080" s="2">
        <v>1627267</v>
      </c>
      <c r="F8080" s="4" t="str">
        <f>IF(B8080=B8079,"",B8080)</f>
        <v>Sidareja</v>
      </c>
    </row>
    <row r="8081" spans="1:6" ht="15.75" customHeight="1">
      <c r="A8081" s="5" t="str">
        <f ca="1">IFERROR(__xludf.DUMMYFUNCTION("GOOGLETRANSLATE(B31456,""en"",""pt"")"),"Sidareja")</f>
        <v>Sidareja</v>
      </c>
      <c r="B8081" s="17" t="s">
        <v>14146</v>
      </c>
      <c r="C8081" s="17" t="s">
        <v>13800</v>
      </c>
      <c r="D8081" s="17" t="s">
        <v>13803</v>
      </c>
      <c r="E8081" s="10">
        <v>1627267</v>
      </c>
      <c r="F8081" s="4" t="str">
        <f>IF(B8081=B8080,"",B8081)</f>
        <v/>
      </c>
    </row>
    <row r="8082" spans="1:6" ht="15.75" customHeight="1">
      <c r="A8082" s="6" t="s">
        <v>20578</v>
      </c>
      <c r="B8082" s="6" t="s">
        <v>20578</v>
      </c>
      <c r="C8082" s="6" t="s">
        <v>20470</v>
      </c>
      <c r="D8082" s="6" t="s">
        <v>20505</v>
      </c>
      <c r="E8082" s="2">
        <v>3928679</v>
      </c>
      <c r="F8082" s="4" t="str">
        <f>IF(B8082=B8081,"",B8082)</f>
        <v>Sicuani</v>
      </c>
    </row>
    <row r="8083" spans="1:6" ht="15.75" customHeight="1">
      <c r="A8083" s="5" t="str">
        <f ca="1">IFERROR(__xludf.DUMMYFUNCTION("GOOGLETRANSLATE(B38360,""en"",""pt"")"),"Sicuani")</f>
        <v>Sicuani</v>
      </c>
      <c r="B8083" s="17" t="s">
        <v>20578</v>
      </c>
      <c r="C8083" s="17" t="s">
        <v>20470</v>
      </c>
      <c r="D8083" s="17" t="s">
        <v>20505</v>
      </c>
      <c r="E8083" s="10">
        <v>3928679</v>
      </c>
      <c r="F8083" s="4" t="str">
        <f>IF(B8083=B8082,"",B8083)</f>
        <v/>
      </c>
    </row>
    <row r="8084" spans="1:6" ht="15.75" customHeight="1">
      <c r="A8084" s="5" t="s">
        <v>29981</v>
      </c>
      <c r="B8084" s="6" t="s">
        <v>29981</v>
      </c>
      <c r="C8084" s="5" t="s">
        <v>27788</v>
      </c>
      <c r="D8084" s="5" t="s">
        <v>27905</v>
      </c>
      <c r="E8084" s="2">
        <v>4504118</v>
      </c>
      <c r="F8084" s="4" t="str">
        <f>IF(B8084=B8083,"",B8084)</f>
        <v>Sicklerville</v>
      </c>
    </row>
    <row r="8085" spans="1:6" ht="15.75" customHeight="1">
      <c r="A8085" s="5" t="str">
        <f ca="1">IFERROR(__xludf.DUMMYFUNCTION("GOOGLETRANSLATE(B43499,""en"",""pt"")"),"Sicklerville")</f>
        <v>Sicklerville</v>
      </c>
      <c r="B8085" s="17" t="s">
        <v>29981</v>
      </c>
      <c r="C8085" s="17" t="s">
        <v>27788</v>
      </c>
      <c r="D8085" s="17" t="s">
        <v>27905</v>
      </c>
      <c r="E8085" s="10">
        <v>4504118</v>
      </c>
      <c r="F8085" s="4" t="str">
        <f>IF(B8085=B8084,"",B8085)</f>
        <v/>
      </c>
    </row>
    <row r="8086" spans="1:6" ht="15.75" customHeight="1">
      <c r="A8086" s="6" t="s">
        <v>4300</v>
      </c>
      <c r="B8086" s="6" t="s">
        <v>4301</v>
      </c>
      <c r="C8086" s="6" t="s">
        <v>4264</v>
      </c>
      <c r="D8086" s="6" t="s">
        <v>4302</v>
      </c>
      <c r="E8086" s="2">
        <v>2383119</v>
      </c>
      <c r="F8086" s="4" t="str">
        <f>IF(B8086=B8085,"",B8086)</f>
        <v>Sibut</v>
      </c>
    </row>
    <row r="8087" spans="1:6" ht="15.75" customHeight="1">
      <c r="A8087" s="5" t="str">
        <f ca="1">IFERROR(__xludf.DUMMYFUNCTION("GOOGLETRANSLATE(B25715,""en"",""pt"")"),"SIBT")</f>
        <v>SIBT</v>
      </c>
      <c r="B8087" s="17" t="s">
        <v>4301</v>
      </c>
      <c r="C8087" s="17" t="s">
        <v>4264</v>
      </c>
      <c r="D8087" s="17" t="s">
        <v>31767</v>
      </c>
      <c r="E8087" s="10">
        <v>2383119</v>
      </c>
      <c r="F8087" s="4" t="str">
        <f>IF(B8087=B8086,"",B8087)</f>
        <v/>
      </c>
    </row>
    <row r="8088" spans="1:6" ht="15.75" customHeight="1">
      <c r="A8088" s="6" t="s">
        <v>21010</v>
      </c>
      <c r="B8088" s="6" t="s">
        <v>21010</v>
      </c>
      <c r="C8088" s="6" t="s">
        <v>20598</v>
      </c>
      <c r="D8088" s="6" t="s">
        <v>20622</v>
      </c>
      <c r="E8088" s="2">
        <v>1686728</v>
      </c>
      <c r="F8088" s="4" t="str">
        <f>IF(B8088=B8087,"",B8088)</f>
        <v>Sibulan</v>
      </c>
    </row>
    <row r="8089" spans="1:6" ht="15.75" customHeight="1">
      <c r="A8089" s="5" t="str">
        <f ca="1">IFERROR(__xludf.DUMMYFUNCTION("GOOGLETRANSLATE(B38478,""en"",""pt"")"),"Sibulan")</f>
        <v>Sibulan</v>
      </c>
      <c r="B8089" s="17" t="s">
        <v>21010</v>
      </c>
      <c r="C8089" s="17" t="s">
        <v>20598</v>
      </c>
      <c r="D8089" s="17" t="s">
        <v>20622</v>
      </c>
      <c r="E8089" s="10">
        <v>1686728</v>
      </c>
      <c r="F8089" s="4" t="str">
        <f>IF(B8089=B8088,"",B8089)</f>
        <v/>
      </c>
    </row>
    <row r="8090" spans="1:6" ht="15.75" customHeight="1">
      <c r="A8090" s="6" t="s">
        <v>17567</v>
      </c>
      <c r="B8090" s="6" t="s">
        <v>17567</v>
      </c>
      <c r="C8090" s="6" t="s">
        <v>17432</v>
      </c>
      <c r="D8090" s="6" t="s">
        <v>17459</v>
      </c>
      <c r="E8090" s="2">
        <v>1735902</v>
      </c>
      <c r="F8090" s="4" t="str">
        <f>IF(B8090=B8089,"",B8090)</f>
        <v>Sibu</v>
      </c>
    </row>
    <row r="8091" spans="1:6" ht="15.75" customHeight="1">
      <c r="A8091" s="5" t="str">
        <f ca="1">IFERROR(__xludf.DUMMYFUNCTION("GOOGLETRANSLATE(B37499,""en"",""pt"")"),"Sibu")</f>
        <v>Sibu</v>
      </c>
      <c r="B8091" s="17" t="s">
        <v>17567</v>
      </c>
      <c r="C8091" s="17" t="s">
        <v>17432</v>
      </c>
      <c r="D8091" s="17" t="s">
        <v>17459</v>
      </c>
      <c r="E8091" s="10">
        <v>1735902</v>
      </c>
      <c r="F8091" s="4" t="str">
        <f>IF(B8091=B8090,"",B8091)</f>
        <v/>
      </c>
    </row>
    <row r="8092" spans="1:6" ht="15.75" customHeight="1">
      <c r="A8092" s="5" t="str">
        <f ca="1">IFERROR(__xludf.DUMMYFUNCTION("GOOGLETRANSLATE(B32154,""en"",""pt"")"),"Sibsāgar")</f>
        <v>Sibsāgar</v>
      </c>
      <c r="B8092" s="17" t="s">
        <v>33074</v>
      </c>
      <c r="C8092" s="17" t="s">
        <v>10178</v>
      </c>
      <c r="D8092" s="17" t="s">
        <v>10239</v>
      </c>
      <c r="E8092" s="10">
        <v>1256388</v>
      </c>
      <c r="F8092" s="4" t="str">
        <f>IF(B8092=B8091,"",B8092)</f>
        <v>Sibsāgar</v>
      </c>
    </row>
    <row r="8093" spans="1:6" ht="15.75" customHeight="1">
      <c r="A8093" s="6" t="s">
        <v>13349</v>
      </c>
      <c r="B8093" s="6" t="s">
        <v>13350</v>
      </c>
      <c r="C8093" s="6" t="s">
        <v>10178</v>
      </c>
      <c r="D8093" s="6" t="s">
        <v>10239</v>
      </c>
      <c r="E8093" s="2">
        <v>1256388</v>
      </c>
      <c r="F8093" s="4" t="str">
        <f>IF(B8093=B8092,"",B8093)</f>
        <v>SibsÄgar</v>
      </c>
    </row>
    <row r="8094" spans="1:6" ht="15.75" customHeight="1">
      <c r="A8094" s="6" t="s">
        <v>14145</v>
      </c>
      <c r="B8094" s="6" t="s">
        <v>14145</v>
      </c>
      <c r="C8094" s="6" t="s">
        <v>13800</v>
      </c>
      <c r="D8094" s="6" t="s">
        <v>13830</v>
      </c>
      <c r="E8094" s="2">
        <v>1213855</v>
      </c>
      <c r="F8094" s="4" t="str">
        <f>IF(B8094=B8093,"",B8094)</f>
        <v>Sibolga</v>
      </c>
    </row>
    <row r="8095" spans="1:6" ht="15.75" customHeight="1">
      <c r="A8095" s="5" t="str">
        <f ca="1">IFERROR(__xludf.DUMMYFUNCTION("GOOGLETRANSLATE(B31361,""en"",""pt"")"),"Sibolga")</f>
        <v>Sibolga</v>
      </c>
      <c r="B8095" s="17" t="s">
        <v>14145</v>
      </c>
      <c r="C8095" s="17" t="s">
        <v>13800</v>
      </c>
      <c r="D8095" s="17" t="s">
        <v>13830</v>
      </c>
      <c r="E8095" s="10">
        <v>1213855</v>
      </c>
      <c r="F8095" s="4" t="str">
        <f>IF(B8095=B8094,"",B8095)</f>
        <v/>
      </c>
    </row>
    <row r="8096" spans="1:6" ht="15.75" customHeight="1">
      <c r="A8096" s="6" t="s">
        <v>21896</v>
      </c>
      <c r="B8096" s="6" t="s">
        <v>21896</v>
      </c>
      <c r="C8096" s="6" t="s">
        <v>21824</v>
      </c>
      <c r="D8096" s="6" t="s">
        <v>21896</v>
      </c>
      <c r="E8096" s="2">
        <v>667268</v>
      </c>
      <c r="F8096" s="4" t="str">
        <f>IF(B8096=B8095,"",B8096)</f>
        <v>Sibiu</v>
      </c>
    </row>
    <row r="8097" spans="1:6" ht="15.75" customHeight="1">
      <c r="A8097" s="5" t="str">
        <f ca="1">IFERROR(__xludf.DUMMYFUNCTION("GOOGLETRANSLATE(B39746,""en"",""pt"")"),"Sibiu")</f>
        <v>Sibiu</v>
      </c>
      <c r="B8097" s="17" t="s">
        <v>21896</v>
      </c>
      <c r="C8097" s="17" t="s">
        <v>21824</v>
      </c>
      <c r="D8097" s="17" t="s">
        <v>21896</v>
      </c>
      <c r="E8097" s="10">
        <v>667268</v>
      </c>
      <c r="F8097" s="4" t="str">
        <f>IF(B8097=B8096,"",B8097)</f>
        <v/>
      </c>
    </row>
    <row r="8098" spans="1:6" ht="15.75" customHeight="1">
      <c r="A8098" s="6" t="s">
        <v>21806</v>
      </c>
      <c r="B8098" s="6" t="s">
        <v>21806</v>
      </c>
      <c r="C8098" s="6" t="s">
        <v>21788</v>
      </c>
      <c r="D8098" s="6" t="s">
        <v>21807</v>
      </c>
      <c r="E8098" s="2">
        <v>2255285</v>
      </c>
      <c r="F8098" s="4" t="str">
        <f>IF(B8098=B8097,"",B8098)</f>
        <v>Sibiti</v>
      </c>
    </row>
    <row r="8099" spans="1:6" ht="15.75" customHeight="1">
      <c r="A8099" s="5" t="str">
        <f ca="1">IFERROR(__xludf.DUMMYFUNCTION("GOOGLETRANSLATE(B25730,""en"",""pt"")"),"Sibiti")</f>
        <v>Sibiti</v>
      </c>
      <c r="B8099" s="17" t="s">
        <v>21806</v>
      </c>
      <c r="C8099" s="17" t="s">
        <v>21788</v>
      </c>
      <c r="D8099" s="17" t="s">
        <v>31773</v>
      </c>
      <c r="E8099" s="10">
        <v>2255285</v>
      </c>
      <c r="F8099" s="4" t="str">
        <f>IF(B8099=B8098,"",B8099)</f>
        <v/>
      </c>
    </row>
    <row r="8100" spans="1:6" ht="15.75" customHeight="1">
      <c r="A8100" s="6" t="s">
        <v>20235</v>
      </c>
      <c r="B8100" s="6" t="s">
        <v>20235</v>
      </c>
      <c r="C8100" s="6" t="s">
        <v>19808</v>
      </c>
      <c r="D8100" s="6" t="s">
        <v>19833</v>
      </c>
      <c r="E8100" s="2">
        <v>1164896</v>
      </c>
      <c r="F8100" s="4" t="str">
        <f>IF(B8100=B8099,"",B8100)</f>
        <v>Sibi</v>
      </c>
    </row>
    <row r="8101" spans="1:6" ht="15.75" customHeight="1">
      <c r="A8101" s="5" t="str">
        <f ca="1">IFERROR(__xludf.DUMMYFUNCTION("GOOGLETRANSLATE(B38907,""en"",""pt"")"),"Sibi")</f>
        <v>Sibi</v>
      </c>
      <c r="B8101" s="17" t="s">
        <v>20235</v>
      </c>
      <c r="C8101" s="17" t="s">
        <v>19808</v>
      </c>
      <c r="D8101" s="17" t="s">
        <v>34892</v>
      </c>
      <c r="E8101" s="10">
        <v>1164896</v>
      </c>
      <c r="F8101" s="4" t="str">
        <f>IF(B8101=B8100,"",B8101)</f>
        <v/>
      </c>
    </row>
    <row r="8102" spans="1:6" ht="15.75" customHeight="1">
      <c r="A8102" s="5" t="str">
        <f ca="1">IFERROR(__xludf.DUMMYFUNCTION("GOOGLETRANSLATE(B31200,""en"",""pt"")"),"Šibenik")</f>
        <v>Šibenik</v>
      </c>
      <c r="B8102" s="17" t="s">
        <v>32810</v>
      </c>
      <c r="C8102" s="17" t="s">
        <v>5711</v>
      </c>
      <c r="D8102" s="17" t="s">
        <v>32811</v>
      </c>
      <c r="E8102" s="10">
        <v>3190941</v>
      </c>
      <c r="F8102" s="4" t="str">
        <f>IF(B8102=B8101,"",B8102)</f>
        <v>Šibenik</v>
      </c>
    </row>
    <row r="8103" spans="1:6" ht="15.75" customHeight="1">
      <c r="A8103" s="6" t="s">
        <v>7035</v>
      </c>
      <c r="B8103" s="6" t="s">
        <v>7035</v>
      </c>
      <c r="C8103" s="6" t="s">
        <v>6948</v>
      </c>
      <c r="D8103" s="6" t="s">
        <v>6951</v>
      </c>
      <c r="E8103" s="2">
        <v>637067</v>
      </c>
      <c r="F8103" s="4" t="str">
        <f>IF(B8103=B8102,"",B8103)</f>
        <v>Sibbo</v>
      </c>
    </row>
    <row r="8104" spans="1:6" ht="15.75" customHeight="1">
      <c r="A8104" s="5" t="str">
        <f ca="1">IFERROR(__xludf.DUMMYFUNCTION("GOOGLETRANSLATE(B29609,""en"",""pt"")"),"Sibbo")</f>
        <v>Sibbo</v>
      </c>
      <c r="B8104" s="17" t="s">
        <v>7035</v>
      </c>
      <c r="C8104" s="17" t="s">
        <v>6948</v>
      </c>
      <c r="D8104" s="17" t="s">
        <v>6951</v>
      </c>
      <c r="E8104" s="10">
        <v>637067</v>
      </c>
      <c r="F8104" s="4" t="str">
        <f>IF(B8104=B8103,"",B8104)</f>
        <v/>
      </c>
    </row>
    <row r="8105" spans="1:6" ht="15.75" customHeight="1">
      <c r="A8105" s="6" t="s">
        <v>23090</v>
      </c>
      <c r="B8105" s="6" t="s">
        <v>23090</v>
      </c>
      <c r="C8105" s="6" t="s">
        <v>22070</v>
      </c>
      <c r="D8105" s="6" t="s">
        <v>22088</v>
      </c>
      <c r="E8105" s="2">
        <v>493160</v>
      </c>
      <c r="F8105" s="4" t="str">
        <f>IF(B8105=B8104,"",B8105)</f>
        <v>Sibay</v>
      </c>
    </row>
    <row r="8106" spans="1:6" ht="15.75" customHeight="1">
      <c r="A8106" s="5" t="str">
        <f ca="1">IFERROR(__xludf.DUMMYFUNCTION("GOOGLETRANSLATE(B40096,""en"",""pt"")"),"Sibay")</f>
        <v>Sibay</v>
      </c>
      <c r="B8106" s="17" t="s">
        <v>23090</v>
      </c>
      <c r="C8106" s="17" t="s">
        <v>22070</v>
      </c>
      <c r="D8106" s="17" t="s">
        <v>22088</v>
      </c>
      <c r="E8106" s="10">
        <v>493160</v>
      </c>
      <c r="F8106" s="4" t="str">
        <f>IF(B8106=B8105,"",B8106)</f>
        <v/>
      </c>
    </row>
    <row r="8107" spans="1:6" ht="15.75" customHeight="1">
      <c r="A8107" s="5" t="str">
        <f ca="1">IFERROR(__xludf.DUMMYFUNCTION("GOOGLETRANSLATE(B26876,""en"",""pt"")"),"Sibaté")</f>
        <v>Sibaté</v>
      </c>
      <c r="B8107" s="17" t="s">
        <v>5613</v>
      </c>
      <c r="C8107" s="17" t="s">
        <v>5348</v>
      </c>
      <c r="D8107" s="17" t="s">
        <v>5400</v>
      </c>
      <c r="E8107" s="10">
        <v>3668087</v>
      </c>
      <c r="F8107" s="4" t="str">
        <f>IF(B8107=B8106,"",B8107)</f>
        <v>Sibaté</v>
      </c>
    </row>
    <row r="8108" spans="1:6" ht="15.75" customHeight="1">
      <c r="A8108" s="6" t="s">
        <v>5613</v>
      </c>
      <c r="B8108" s="6" t="s">
        <v>5614</v>
      </c>
      <c r="C8108" s="6" t="s">
        <v>5348</v>
      </c>
      <c r="D8108" s="6" t="s">
        <v>5400</v>
      </c>
      <c r="E8108" s="2">
        <v>3668087</v>
      </c>
      <c r="F8108" s="4" t="str">
        <f>IF(B8108=B8107,"",B8108)</f>
        <v>SibatÃ©</v>
      </c>
    </row>
    <row r="8109" spans="1:6" ht="15.75" customHeight="1">
      <c r="A8109" s="5" t="str">
        <f ca="1">IFERROR(__xludf.DUMMYFUNCTION("GOOGLETRANSLATE(B27111,""en"",""pt"")"),"Sibanicú")</f>
        <v>Sibanicú</v>
      </c>
      <c r="B8109" s="17" t="s">
        <v>31909</v>
      </c>
      <c r="C8109" s="17" t="s">
        <v>5764</v>
      </c>
      <c r="D8109" s="17" t="s">
        <v>31904</v>
      </c>
      <c r="E8109" s="10">
        <v>3536259</v>
      </c>
      <c r="F8109" s="4" t="str">
        <f>IF(B8109=B8108,"",B8109)</f>
        <v>Sibanicú</v>
      </c>
    </row>
    <row r="8110" spans="1:6" ht="15.75" customHeight="1">
      <c r="A8110" s="6" t="s">
        <v>5918</v>
      </c>
      <c r="B8110" s="6" t="s">
        <v>5919</v>
      </c>
      <c r="C8110" s="6" t="s">
        <v>5764</v>
      </c>
      <c r="D8110" s="6" t="s">
        <v>5806</v>
      </c>
      <c r="E8110" s="2">
        <v>3536259</v>
      </c>
      <c r="F8110" s="4" t="str">
        <f>IF(B8110=B8109,"",B8110)</f>
        <v>SibanicÃº</v>
      </c>
    </row>
    <row r="8111" spans="1:6" ht="15.75" customHeight="1">
      <c r="A8111" s="6" t="s">
        <v>16841</v>
      </c>
      <c r="B8111" s="6" t="s">
        <v>16841</v>
      </c>
      <c r="C8111" s="6" t="s">
        <v>16781</v>
      </c>
      <c r="D8111" s="6" t="s">
        <v>16841</v>
      </c>
      <c r="E8111" s="2">
        <v>383388</v>
      </c>
      <c r="F8111" s="4" t="str">
        <f>IF(B8111=B8110,"",B8111)</f>
        <v>Siaya</v>
      </c>
    </row>
    <row r="8112" spans="1:6" ht="15.75" customHeight="1">
      <c r="A8112" s="5" t="str">
        <f ca="1">IFERROR(__xludf.DUMMYFUNCTION("GOOGLETRANSLATE(B35934,""en"",""pt"")"),"Siaya")</f>
        <v>Siaya</v>
      </c>
      <c r="B8112" s="17" t="s">
        <v>16841</v>
      </c>
      <c r="C8112" s="17" t="s">
        <v>16781</v>
      </c>
      <c r="D8112" s="17" t="s">
        <v>16841</v>
      </c>
      <c r="E8112" s="10">
        <v>383388</v>
      </c>
      <c r="F8112" s="4" t="str">
        <f>IF(B8112=B8111,"",B8112)</f>
        <v/>
      </c>
    </row>
    <row r="8113" spans="1:6" ht="15.75" customHeight="1">
      <c r="A8113" s="6" t="s">
        <v>31070</v>
      </c>
      <c r="B8113" s="6" t="s">
        <v>31070</v>
      </c>
      <c r="C8113" s="6" t="s">
        <v>31038</v>
      </c>
      <c r="D8113" s="6" t="s">
        <v>1884</v>
      </c>
      <c r="E8113" s="2">
        <v>898188</v>
      </c>
      <c r="F8113" s="4" t="str">
        <f>IF(B8113=B8112,"",B8113)</f>
        <v>Siavonga</v>
      </c>
    </row>
    <row r="8114" spans="1:6" ht="15.75" customHeight="1">
      <c r="A8114" s="5" t="str">
        <f ca="1">IFERROR(__xludf.DUMMYFUNCTION("GOOGLETRANSLATE(B46005,""en"",""pt"")"),"Siavonga")</f>
        <v>Siavonga</v>
      </c>
      <c r="B8114" s="17" t="s">
        <v>31070</v>
      </c>
      <c r="C8114" s="17" t="s">
        <v>31038</v>
      </c>
      <c r="D8114" s="17" t="s">
        <v>1884</v>
      </c>
      <c r="E8114" s="10">
        <v>898188</v>
      </c>
      <c r="F8114" s="4" t="str">
        <f>IF(B8114=B8113,"",B8114)</f>
        <v/>
      </c>
    </row>
    <row r="8115" spans="1:6" ht="15.75" customHeight="1">
      <c r="A8115" s="5" t="str">
        <f ca="1">IFERROR(__xludf.DUMMYFUNCTION("GOOGLETRANSLATE(B36367,""en"",""pt"")"),"Šiauliai")</f>
        <v>Šiauliai</v>
      </c>
      <c r="B8115" s="17" t="s">
        <v>34528</v>
      </c>
      <c r="C8115" s="17" t="s">
        <v>17154</v>
      </c>
      <c r="D8115" s="17" t="s">
        <v>34529</v>
      </c>
      <c r="E8115" s="10">
        <v>594739</v>
      </c>
      <c r="F8115" s="4" t="str">
        <f>IF(B8115=B8114,"",B8115)</f>
        <v>Šiauliai</v>
      </c>
    </row>
    <row r="8116" spans="1:6" ht="15.75" customHeight="1">
      <c r="A8116" s="6" t="s">
        <v>20234</v>
      </c>
      <c r="B8116" s="6" t="s">
        <v>20234</v>
      </c>
      <c r="C8116" s="6" t="s">
        <v>19808</v>
      </c>
      <c r="D8116" s="6" t="s">
        <v>10184</v>
      </c>
      <c r="E8116" s="2">
        <v>1164909</v>
      </c>
      <c r="F8116" s="4" t="str">
        <f>IF(B8116=B8115,"",B8116)</f>
        <v>Sialkot</v>
      </c>
    </row>
    <row r="8117" spans="1:6" ht="15.75" customHeight="1">
      <c r="A8117" s="5" t="str">
        <f ca="1">IFERROR(__xludf.DUMMYFUNCTION("GOOGLETRANSLATE(B38908,""en"",""pt"")"),"Sialkot")</f>
        <v>Sialkot</v>
      </c>
      <c r="B8117" s="17" t="s">
        <v>20234</v>
      </c>
      <c r="C8117" s="17" t="s">
        <v>19808</v>
      </c>
      <c r="D8117" s="17" t="s">
        <v>10184</v>
      </c>
      <c r="E8117" s="10">
        <v>1164909</v>
      </c>
      <c r="F8117" s="4" t="str">
        <f>IF(B8117=B8116,"",B8117)</f>
        <v/>
      </c>
    </row>
    <row r="8118" spans="1:6" ht="15.75" customHeight="1">
      <c r="A8118" s="6" t="s">
        <v>10133</v>
      </c>
      <c r="B8118" s="6" t="s">
        <v>10134</v>
      </c>
      <c r="C8118" s="6" t="s">
        <v>9955</v>
      </c>
      <c r="D8118" s="6" t="s">
        <v>10075</v>
      </c>
      <c r="E8118" s="2">
        <v>3045332</v>
      </c>
      <c r="F8118" s="4" t="str">
        <f>IF(B8118=B8117,"",B8118)</f>
        <v>SiÃ³fok</v>
      </c>
    </row>
    <row r="8119" spans="1:6" ht="15.75" customHeight="1">
      <c r="A8119" s="5" t="s">
        <v>25999</v>
      </c>
      <c r="B8119" s="6" t="s">
        <v>25999</v>
      </c>
      <c r="C8119" s="5" t="s">
        <v>25771</v>
      </c>
      <c r="D8119" s="5" t="s">
        <v>25800</v>
      </c>
      <c r="E8119" s="2">
        <v>1150624</v>
      </c>
      <c r="F8119" s="4" t="str">
        <f>IF(B8119=B8118,"",B8119)</f>
        <v>Si Satchanalai</v>
      </c>
    </row>
    <row r="8120" spans="1:6" ht="15.75" customHeight="1">
      <c r="A8120" s="5" t="str">
        <f ca="1">IFERROR(__xludf.DUMMYFUNCTION("GOOGLETRANSLATE(B41524,""en"",""pt"")"),"Si Satchanalai")</f>
        <v>Si Satchanalai</v>
      </c>
      <c r="B8120" s="17" t="s">
        <v>25999</v>
      </c>
      <c r="C8120" s="17" t="s">
        <v>25771</v>
      </c>
      <c r="D8120" s="17" t="s">
        <v>25800</v>
      </c>
      <c r="E8120" s="10">
        <v>1150624</v>
      </c>
      <c r="F8120" s="4" t="str">
        <f>IF(B8120=B8119,"",B8120)</f>
        <v/>
      </c>
    </row>
    <row r="8121" spans="1:6" ht="15.75" customHeight="1">
      <c r="A8121" s="6" t="s">
        <v>25997</v>
      </c>
      <c r="B8121" s="6" t="s">
        <v>25998</v>
      </c>
      <c r="C8121" s="6" t="s">
        <v>25771</v>
      </c>
      <c r="D8121" s="6" t="s">
        <v>25897</v>
      </c>
      <c r="E8121" s="2">
        <v>1606239</v>
      </c>
      <c r="F8121" s="4" t="str">
        <f>IF(B8121=B8120,"",B8121)</f>
        <v>Si Sa Ket</v>
      </c>
    </row>
    <row r="8122" spans="1:6" ht="15.75" customHeight="1">
      <c r="A8122" s="5" t="str">
        <f ca="1">IFERROR(__xludf.DUMMYFUNCTION("GOOGLETRANSLATE(B41603,""en"",""pt"")"),"Si sa ket")</f>
        <v>Si sa ket</v>
      </c>
      <c r="B8122" s="17" t="s">
        <v>25998</v>
      </c>
      <c r="C8122" s="17" t="s">
        <v>25771</v>
      </c>
      <c r="D8122" s="17" t="s">
        <v>25897</v>
      </c>
      <c r="E8122" s="10">
        <v>1606239</v>
      </c>
      <c r="F8122" s="4" t="str">
        <f>IF(B8122=B8121,"",B8122)</f>
        <v/>
      </c>
    </row>
    <row r="8123" spans="1:6" ht="15.75" customHeight="1">
      <c r="A8123" s="6" t="s">
        <v>25996</v>
      </c>
      <c r="B8123" s="6" t="s">
        <v>25996</v>
      </c>
      <c r="C8123" s="6" t="s">
        <v>25771</v>
      </c>
      <c r="D8123" s="6" t="s">
        <v>25780</v>
      </c>
      <c r="E8123" s="2">
        <v>1606250</v>
      </c>
      <c r="F8123" s="4" t="str">
        <f>IF(B8123=B8122,"",B8123)</f>
        <v>Si Racha</v>
      </c>
    </row>
    <row r="8124" spans="1:6" ht="15.75" customHeight="1">
      <c r="A8124" s="5" t="str">
        <f ca="1">IFERROR(__xludf.DUMMYFUNCTION("GOOGLETRANSLATE(B41604,""en"",""pt"")"),"Si Racha")</f>
        <v>Si Racha</v>
      </c>
      <c r="B8124" s="17" t="s">
        <v>25996</v>
      </c>
      <c r="C8124" s="17" t="s">
        <v>25771</v>
      </c>
      <c r="D8124" s="17" t="s">
        <v>25780</v>
      </c>
      <c r="E8124" s="10">
        <v>1606250</v>
      </c>
      <c r="F8124" s="4" t="str">
        <f>IF(B8124=B8123,"",B8124)</f>
        <v/>
      </c>
    </row>
    <row r="8125" spans="1:6" ht="15.75" customHeight="1">
      <c r="A8125" s="6" t="s">
        <v>16752</v>
      </c>
      <c r="B8125" s="6" t="s">
        <v>16752</v>
      </c>
      <c r="C8125" s="6" t="s">
        <v>16671</v>
      </c>
      <c r="D8125" s="6" t="s">
        <v>16678</v>
      </c>
      <c r="E8125" s="2">
        <v>1518980</v>
      </c>
      <c r="F8125" s="4" t="str">
        <f>IF(B8125=B8124,"",B8125)</f>
        <v>Shymkent</v>
      </c>
    </row>
    <row r="8126" spans="1:6" ht="15.75" customHeight="1">
      <c r="A8126" s="5" t="str">
        <f ca="1">IFERROR(__xludf.DUMMYFUNCTION("GOOGLETRANSLATE(B36216,""en"",""pt"")"),"Shymkent")</f>
        <v>Shymkent</v>
      </c>
      <c r="B8126" s="17" t="s">
        <v>16752</v>
      </c>
      <c r="C8126" s="17" t="s">
        <v>16671</v>
      </c>
      <c r="D8126" s="17" t="s">
        <v>34499</v>
      </c>
      <c r="E8126" s="10">
        <v>1518980</v>
      </c>
      <c r="F8126" s="4" t="str">
        <f>IF(B8126=B8125,"",B8126)</f>
        <v/>
      </c>
    </row>
    <row r="8127" spans="1:6" ht="15.75" customHeight="1">
      <c r="A8127" s="5" t="s">
        <v>13348</v>
      </c>
      <c r="B8127" s="6" t="s">
        <v>13348</v>
      </c>
      <c r="C8127" s="5" t="s">
        <v>10178</v>
      </c>
      <c r="D8127" s="5" t="s">
        <v>10201</v>
      </c>
      <c r="E8127" s="2">
        <v>1256409</v>
      </c>
      <c r="F8127" s="4" t="str">
        <f>IF(B8127=B8126,"",B8127)</f>
        <v>Shyamnagar</v>
      </c>
    </row>
    <row r="8128" spans="1:6" ht="15.75" customHeight="1">
      <c r="A8128" s="5" t="str">
        <f ca="1">IFERROR(__xludf.DUMMYFUNCTION("GOOGLETRANSLATE(B32155,""en"",""pt"")"),"Shyamnagar")</f>
        <v>Shyamnagar</v>
      </c>
      <c r="B8128" s="17" t="s">
        <v>13348</v>
      </c>
      <c r="C8128" s="17" t="s">
        <v>10178</v>
      </c>
      <c r="D8128" s="17" t="s">
        <v>10201</v>
      </c>
      <c r="E8128" s="10">
        <v>1256409</v>
      </c>
      <c r="F8128" s="4" t="str">
        <f>IF(B8128=B8127,"",B8128)</f>
        <v/>
      </c>
    </row>
    <row r="8129" spans="1:6" ht="15.75" customHeight="1">
      <c r="A8129" s="6" t="s">
        <v>18754</v>
      </c>
      <c r="B8129" s="6" t="s">
        <v>18754</v>
      </c>
      <c r="C8129" s="6" t="s">
        <v>18696</v>
      </c>
      <c r="D8129" s="6" t="s">
        <v>18727</v>
      </c>
      <c r="E8129" s="2">
        <v>1296736</v>
      </c>
      <c r="F8129" s="4" t="str">
        <f>IF(B8129=B8128,"",B8129)</f>
        <v>Shwebo</v>
      </c>
    </row>
    <row r="8130" spans="1:6" ht="15.75" customHeight="1">
      <c r="A8130" s="5" t="str">
        <f ca="1">IFERROR(__xludf.DUMMYFUNCTION("GOOGLETRANSLATE(B36715,""en"",""pt"")"),"Shwebo")</f>
        <v>Shwebo</v>
      </c>
      <c r="B8130" s="17" t="s">
        <v>18754</v>
      </c>
      <c r="C8130" s="17" t="s">
        <v>18696</v>
      </c>
      <c r="D8130" s="17" t="s">
        <v>18727</v>
      </c>
      <c r="E8130" s="10">
        <v>1296736</v>
      </c>
      <c r="F8130" s="4" t="str">
        <f>IF(B8130=B8129,"",B8130)</f>
        <v/>
      </c>
    </row>
    <row r="8131" spans="1:6" ht="15.75" customHeight="1">
      <c r="A8131" s="6" t="s">
        <v>23089</v>
      </c>
      <c r="B8131" s="6" t="s">
        <v>23089</v>
      </c>
      <c r="C8131" s="6" t="s">
        <v>22070</v>
      </c>
      <c r="D8131" s="6" t="s">
        <v>22382</v>
      </c>
      <c r="E8131" s="2">
        <v>493231</v>
      </c>
      <c r="F8131" s="4" t="str">
        <f>IF(B8131=B8130,"",B8131)</f>
        <v>Shuya</v>
      </c>
    </row>
    <row r="8132" spans="1:6" ht="15.75" customHeight="1">
      <c r="A8132" s="5" t="str">
        <f ca="1">IFERROR(__xludf.DUMMYFUNCTION("GOOGLETRANSLATE(B40097,""en"",""pt"")"),"Shuya")</f>
        <v>Shuya</v>
      </c>
      <c r="B8132" s="17" t="s">
        <v>23089</v>
      </c>
      <c r="C8132" s="17" t="s">
        <v>22070</v>
      </c>
      <c r="D8132" s="17" t="s">
        <v>22382</v>
      </c>
      <c r="E8132" s="10">
        <v>493231</v>
      </c>
      <c r="F8132" s="4" t="str">
        <f>IF(B8132=B8131,"",B8132)</f>
        <v/>
      </c>
    </row>
    <row r="8133" spans="1:6" ht="15.75" customHeight="1">
      <c r="A8133" s="5" t="str">
        <f ca="1">IFERROR(__xludf.DUMMYFUNCTION("GOOGLETRANSLATE(B34364,""en"",""pt"")"),"Shūshtar")</f>
        <v>Shūshtar</v>
      </c>
      <c r="B8133" s="17" t="s">
        <v>34138</v>
      </c>
      <c r="C8133" s="17" t="s">
        <v>14240</v>
      </c>
      <c r="D8133" s="17" t="s">
        <v>14271</v>
      </c>
      <c r="E8133" s="10">
        <v>114584</v>
      </c>
      <c r="F8133" s="4" t="str">
        <f>IF(B8133=B8132,"",B8133)</f>
        <v>Shūshtar</v>
      </c>
    </row>
    <row r="8134" spans="1:6" ht="15.75" customHeight="1">
      <c r="A8134" s="6" t="s">
        <v>1252</v>
      </c>
      <c r="B8134" s="6" t="s">
        <v>1252</v>
      </c>
      <c r="C8134" s="6" t="s">
        <v>1170</v>
      </c>
      <c r="D8134" s="6" t="s">
        <v>1253</v>
      </c>
      <c r="E8134" s="2">
        <v>147105</v>
      </c>
      <c r="F8134" s="4" t="str">
        <f>IF(B8134=B8133,"",B8134)</f>
        <v>Shushi</v>
      </c>
    </row>
    <row r="8135" spans="1:6" ht="15.75" customHeight="1">
      <c r="A8135" s="5" t="str">
        <f ca="1">IFERROR(__xludf.DUMMYFUNCTION("GOOGLETRANSLATE(B23617,""en"",""pt"")"),"Shushi")</f>
        <v>Shushi</v>
      </c>
      <c r="B8135" s="17" t="s">
        <v>1252</v>
      </c>
      <c r="C8135" s="17" t="s">
        <v>1170</v>
      </c>
      <c r="D8135" s="17" t="s">
        <v>31228</v>
      </c>
      <c r="E8135" s="10">
        <v>147105</v>
      </c>
      <c r="F8135" s="4" t="str">
        <f>IF(B8135=B8134,"",B8135)</f>
        <v/>
      </c>
    </row>
    <row r="8136" spans="1:6" ht="15.75" customHeight="1">
      <c r="A8136" s="5" t="s">
        <v>23088</v>
      </c>
      <c r="B8136" s="6" t="s">
        <v>23088</v>
      </c>
      <c r="C8136" s="5" t="s">
        <v>22070</v>
      </c>
      <c r="D8136" s="5" t="s">
        <v>22079</v>
      </c>
      <c r="E8136" s="2">
        <v>1491953</v>
      </c>
      <c r="F8136" s="4" t="str">
        <f>IF(B8136=B8135,"",B8136)</f>
        <v>Shushenskoye</v>
      </c>
    </row>
    <row r="8137" spans="1:6" ht="15.75" customHeight="1">
      <c r="A8137" s="5" t="str">
        <f ca="1">IFERROR(__xludf.DUMMYFUNCTION("GOOGLETRANSLATE(B40760,""en"",""pt"")"),"Shushenskoye")</f>
        <v>Shushenskoye</v>
      </c>
      <c r="B8137" s="17" t="s">
        <v>23088</v>
      </c>
      <c r="C8137" s="17" t="s">
        <v>22070</v>
      </c>
      <c r="D8137" s="17" t="s">
        <v>22079</v>
      </c>
      <c r="E8137" s="10">
        <v>1491953</v>
      </c>
      <c r="F8137" s="4" t="str">
        <f>IF(B8137=B8136,"",B8137)</f>
        <v/>
      </c>
    </row>
    <row r="8138" spans="1:6" ht="15.75" customHeight="1">
      <c r="A8138" s="6" t="s">
        <v>23087</v>
      </c>
      <c r="B8138" s="6" t="s">
        <v>23087</v>
      </c>
      <c r="C8138" s="6" t="s">
        <v>22070</v>
      </c>
      <c r="D8138" s="6" t="s">
        <v>22084</v>
      </c>
      <c r="E8138" s="2">
        <v>493316</v>
      </c>
      <c r="F8138" s="4" t="str">
        <f>IF(B8138=B8137,"",B8138)</f>
        <v>Shushary</v>
      </c>
    </row>
    <row r="8139" spans="1:6" ht="15.75" customHeight="1">
      <c r="A8139" s="5" t="str">
        <f ca="1">IFERROR(__xludf.DUMMYFUNCTION("GOOGLETRANSLATE(B40098,""en"",""pt"")"),"Shushary")</f>
        <v>Shushary</v>
      </c>
      <c r="B8139" s="17" t="s">
        <v>23087</v>
      </c>
      <c r="C8139" s="17" t="s">
        <v>22070</v>
      </c>
      <c r="D8139" s="17" t="s">
        <v>22084</v>
      </c>
      <c r="E8139" s="10">
        <v>493316</v>
      </c>
      <c r="F8139" s="4" t="str">
        <f>IF(B8139=B8138,"",B8139)</f>
        <v/>
      </c>
    </row>
    <row r="8140" spans="1:6" ht="15.75" customHeight="1">
      <c r="A8140" s="5" t="str">
        <f ca="1">IFERROR(__xludf.DUMMYFUNCTION("GOOGLETRANSLATE(B34365,""en"",""pt"")"),"Shūsh")</f>
        <v>Shūsh</v>
      </c>
      <c r="B8140" s="17" t="s">
        <v>34139</v>
      </c>
      <c r="C8140" s="17" t="s">
        <v>14240</v>
      </c>
      <c r="D8140" s="17" t="s">
        <v>14271</v>
      </c>
      <c r="E8140" s="10">
        <v>114593</v>
      </c>
      <c r="F8140" s="4" t="str">
        <f>IF(B8140=B8139,"",B8140)</f>
        <v>Shūsh</v>
      </c>
    </row>
    <row r="8141" spans="1:6" ht="15.75" customHeight="1">
      <c r="A8141" s="6" t="s">
        <v>31100</v>
      </c>
      <c r="B8141" s="6" t="s">
        <v>31100</v>
      </c>
      <c r="C8141" s="6" t="s">
        <v>31072</v>
      </c>
      <c r="D8141" s="6" t="s">
        <v>31088</v>
      </c>
      <c r="E8141" s="2">
        <v>881164</v>
      </c>
      <c r="F8141" s="4" t="str">
        <f>IF(B8141=B8140,"",B8141)</f>
        <v>Shurugwi</v>
      </c>
    </row>
    <row r="8142" spans="1:6" ht="15.75" customHeight="1">
      <c r="A8142" s="5" t="str">
        <f ca="1">IFERROR(__xludf.DUMMYFUNCTION("GOOGLETRANSLATE(B46033,""en"",""pt"")"),"Shurugwi")</f>
        <v>Shurugwi</v>
      </c>
      <c r="B8142" s="17" t="s">
        <v>31100</v>
      </c>
      <c r="C8142" s="17" t="s">
        <v>31072</v>
      </c>
      <c r="D8142" s="17" t="s">
        <v>31088</v>
      </c>
      <c r="E8142" s="10">
        <v>881164</v>
      </c>
      <c r="F8142" s="4" t="str">
        <f>IF(B8142=B8141,"",B8142)</f>
        <v/>
      </c>
    </row>
    <row r="8143" spans="1:6" ht="15.75" customHeight="1">
      <c r="A8143" s="6" t="s">
        <v>5091</v>
      </c>
      <c r="B8143" s="6" t="s">
        <v>5091</v>
      </c>
      <c r="C8143" s="6" t="s">
        <v>4487</v>
      </c>
      <c r="D8143" s="6" t="s">
        <v>4546</v>
      </c>
      <c r="E8143" s="2">
        <v>2034754</v>
      </c>
      <c r="F8143" s="4" t="str">
        <f>IF(B8143=B8142,"",B8143)</f>
        <v>Shunyi</v>
      </c>
    </row>
    <row r="8144" spans="1:6" ht="15.75" customHeight="1">
      <c r="A8144" s="5" t="str">
        <f ca="1">IFERROR(__xludf.DUMMYFUNCTION("GOOGLETRANSLATE(B26689,""en"",""pt"")"),"Shunyi")</f>
        <v>Shunyi</v>
      </c>
      <c r="B8144" s="17" t="s">
        <v>5091</v>
      </c>
      <c r="C8144" s="17" t="s">
        <v>4487</v>
      </c>
      <c r="D8144" s="17" t="s">
        <v>4546</v>
      </c>
      <c r="E8144" s="10">
        <v>2034754</v>
      </c>
      <c r="F8144" s="4" t="str">
        <f>IF(B8144=B8143,"",B8144)</f>
        <v/>
      </c>
    </row>
    <row r="8145" spans="1:6" ht="15.75" customHeight="1">
      <c r="A8145" s="5" t="s">
        <v>23086</v>
      </c>
      <c r="B8145" s="6" t="s">
        <v>23086</v>
      </c>
      <c r="C8145" s="5" t="s">
        <v>22070</v>
      </c>
      <c r="D8145" s="5" t="s">
        <v>22493</v>
      </c>
      <c r="E8145" s="2">
        <v>1491999</v>
      </c>
      <c r="F8145" s="4" t="str">
        <f>IF(B8145=B8144,"",B8145)</f>
        <v>Shumikha</v>
      </c>
    </row>
    <row r="8146" spans="1:6" ht="15.75" customHeight="1">
      <c r="A8146" s="5" t="str">
        <f ca="1">IFERROR(__xludf.DUMMYFUNCTION("GOOGLETRANSLATE(B40761,""en"",""pt"")"),"Shumikha")</f>
        <v>Shumikha</v>
      </c>
      <c r="B8146" s="17" t="s">
        <v>23086</v>
      </c>
      <c r="C8146" s="17" t="s">
        <v>22070</v>
      </c>
      <c r="D8146" s="17" t="s">
        <v>22493</v>
      </c>
      <c r="E8146" s="10">
        <v>1491999</v>
      </c>
      <c r="F8146" s="4" t="str">
        <f>IF(B8146=B8145,"",B8146)</f>
        <v/>
      </c>
    </row>
    <row r="8147" spans="1:6" ht="15.75" customHeight="1">
      <c r="A8147" s="5" t="s">
        <v>23085</v>
      </c>
      <c r="B8147" s="6" t="s">
        <v>23085</v>
      </c>
      <c r="C8147" s="5" t="s">
        <v>22070</v>
      </c>
      <c r="D8147" s="5" t="s">
        <v>22109</v>
      </c>
      <c r="E8147" s="2">
        <v>493463</v>
      </c>
      <c r="F8147" s="4" t="str">
        <f>IF(B8147=B8146,"",B8147)</f>
        <v>Shumerlya</v>
      </c>
    </row>
    <row r="8148" spans="1:6" ht="15.75" customHeight="1">
      <c r="A8148" s="5" t="str">
        <f ca="1">IFERROR(__xludf.DUMMYFUNCTION("GOOGLETRANSLATE(B40099,""en"",""pt"")"),"Shumerlya")</f>
        <v>Shumerlya</v>
      </c>
      <c r="B8148" s="17" t="s">
        <v>23085</v>
      </c>
      <c r="C8148" s="17" t="s">
        <v>22070</v>
      </c>
      <c r="D8148" s="17" t="s">
        <v>22109</v>
      </c>
      <c r="E8148" s="10">
        <v>493463</v>
      </c>
      <c r="F8148" s="4" t="str">
        <f>IF(B8148=B8147,"",B8148)</f>
        <v/>
      </c>
    </row>
    <row r="8149" spans="1:6" ht="15.75" customHeight="1">
      <c r="A8149" s="6" t="s">
        <v>3750</v>
      </c>
      <c r="B8149" s="6" t="s">
        <v>3750</v>
      </c>
      <c r="C8149" s="6" t="s">
        <v>3701</v>
      </c>
      <c r="D8149" s="6" t="s">
        <v>3750</v>
      </c>
      <c r="E8149" s="2">
        <v>727233</v>
      </c>
      <c r="F8149" s="4" t="str">
        <f>IF(B8149=B8148,"",B8149)</f>
        <v>Shumen</v>
      </c>
    </row>
    <row r="8150" spans="1:6" ht="15.75" customHeight="1">
      <c r="A8150" s="5" t="str">
        <f ca="1">IFERROR(__xludf.DUMMYFUNCTION("GOOGLETRANSLATE(B24024,""en"",""pt"")"),"Shumen")</f>
        <v>Shumen</v>
      </c>
      <c r="B8150" s="17" t="s">
        <v>3750</v>
      </c>
      <c r="C8150" s="17" t="s">
        <v>3701</v>
      </c>
      <c r="D8150" s="17" t="s">
        <v>3750</v>
      </c>
      <c r="E8150" s="10">
        <v>727233</v>
      </c>
      <c r="F8150" s="4" t="str">
        <f>IF(B8150=B8149,"",B8150)</f>
        <v/>
      </c>
    </row>
    <row r="8151" spans="1:6" ht="15.75" customHeight="1">
      <c r="A8151" s="6" t="s">
        <v>5090</v>
      </c>
      <c r="B8151" s="6" t="s">
        <v>5090</v>
      </c>
      <c r="C8151" s="6" t="s">
        <v>4487</v>
      </c>
      <c r="D8151" s="6" t="s">
        <v>4518</v>
      </c>
      <c r="E8151" s="2">
        <v>2034761</v>
      </c>
      <c r="F8151" s="4" t="str">
        <f>IF(B8151=B8150,"",B8151)</f>
        <v>Shulan</v>
      </c>
    </row>
    <row r="8152" spans="1:6" ht="15.75" customHeight="1">
      <c r="A8152" s="5" t="str">
        <f ca="1">IFERROR(__xludf.DUMMYFUNCTION("GOOGLETRANSLATE(B26690,""en"",""pt"")"),"Shulan")</f>
        <v>Shulan</v>
      </c>
      <c r="B8152" s="17" t="s">
        <v>5090</v>
      </c>
      <c r="C8152" s="17" t="s">
        <v>4487</v>
      </c>
      <c r="D8152" s="17" t="s">
        <v>4518</v>
      </c>
      <c r="E8152" s="10">
        <v>2034761</v>
      </c>
      <c r="F8152" s="4" t="str">
        <f>IF(B8152=B8151,"",B8152)</f>
        <v/>
      </c>
    </row>
    <row r="8153" spans="1:6" ht="15.75" customHeight="1">
      <c r="A8153" s="5" t="str">
        <f ca="1">IFERROR(__xludf.DUMMYFUNCTION("GOOGLETRANSLATE(B32156,""en"",""pt"")"),"Shujālpur")</f>
        <v>Shujālpur</v>
      </c>
      <c r="B8153" s="17" t="s">
        <v>33075</v>
      </c>
      <c r="C8153" s="17" t="s">
        <v>10178</v>
      </c>
      <c r="D8153" s="17" t="s">
        <v>10219</v>
      </c>
      <c r="E8153" s="10">
        <v>1256418</v>
      </c>
      <c r="F8153" s="4" t="str">
        <f>IF(B8153=B8152,"",B8153)</f>
        <v>Shujālpur</v>
      </c>
    </row>
    <row r="8154" spans="1:6" ht="15.75" customHeight="1">
      <c r="A8154" s="5" t="str">
        <f ca="1">IFERROR(__xludf.DUMMYFUNCTION("GOOGLETRANSLATE(B38909,""en"",""pt"")"),"Shujāābād")</f>
        <v>Shujāābād</v>
      </c>
      <c r="B8154" s="17" t="s">
        <v>34911</v>
      </c>
      <c r="C8154" s="17" t="s">
        <v>19808</v>
      </c>
      <c r="D8154" s="17" t="s">
        <v>10184</v>
      </c>
      <c r="E8154" s="10">
        <v>1164970</v>
      </c>
      <c r="F8154" s="4" t="str">
        <f>IF(B8154=B8153,"",B8154)</f>
        <v>Shujāābād</v>
      </c>
    </row>
    <row r="8155" spans="1:6" ht="15.75" customHeight="1">
      <c r="A8155" s="5" t="s">
        <v>13346</v>
      </c>
      <c r="B8155" s="6" t="s">
        <v>13347</v>
      </c>
      <c r="C8155" s="5" t="s">
        <v>10178</v>
      </c>
      <c r="D8155" s="5" t="s">
        <v>10219</v>
      </c>
      <c r="E8155" s="2">
        <v>1256418</v>
      </c>
      <c r="F8155" s="4" t="str">
        <f>IF(B8155=B8154,"",B8155)</f>
        <v>ShujÄlpur</v>
      </c>
    </row>
    <row r="8156" spans="1:6" ht="15.75" customHeight="1">
      <c r="A8156" s="5" t="s">
        <v>20232</v>
      </c>
      <c r="B8156" s="6" t="s">
        <v>20233</v>
      </c>
      <c r="C8156" s="5" t="s">
        <v>19808</v>
      </c>
      <c r="D8156" s="5" t="s">
        <v>10184</v>
      </c>
      <c r="E8156" s="2">
        <v>1164970</v>
      </c>
      <c r="F8156" s="4" t="str">
        <f>IF(B8156=B8155,"",B8156)</f>
        <v>ShujÄÄbÄd</v>
      </c>
    </row>
    <row r="8157" spans="1:6" ht="15.75" customHeight="1">
      <c r="A8157" s="5" t="s">
        <v>5089</v>
      </c>
      <c r="B8157" s="6" t="s">
        <v>5089</v>
      </c>
      <c r="C8157" s="5" t="s">
        <v>4487</v>
      </c>
      <c r="D8157" s="5" t="s">
        <v>4488</v>
      </c>
      <c r="E8157" s="2">
        <v>2034786</v>
      </c>
      <c r="F8157" s="4" t="str">
        <f>IF(B8157=B8156,"",B8157)</f>
        <v>Shuangyashan</v>
      </c>
    </row>
    <row r="8158" spans="1:6" ht="15.75" customHeight="1">
      <c r="A8158" s="5" t="str">
        <f ca="1">IFERROR(__xludf.DUMMYFUNCTION("GOOGLETRANSLATE(B26691,""en"",""pt"")"),"Shuangyashan")</f>
        <v>Shuangyashan</v>
      </c>
      <c r="B8158" s="17" t="s">
        <v>5089</v>
      </c>
      <c r="C8158" s="17" t="s">
        <v>4487</v>
      </c>
      <c r="D8158" s="17" t="s">
        <v>4488</v>
      </c>
      <c r="E8158" s="10">
        <v>2034786</v>
      </c>
      <c r="F8158" s="4" t="str">
        <f>IF(B8158=B8157,"",B8158)</f>
        <v/>
      </c>
    </row>
    <row r="8159" spans="1:6" ht="15.75" customHeight="1">
      <c r="A8159" s="5" t="s">
        <v>5088</v>
      </c>
      <c r="B8159" s="6" t="s">
        <v>5088</v>
      </c>
      <c r="C8159" s="5" t="s">
        <v>4487</v>
      </c>
      <c r="D8159" s="5" t="s">
        <v>4518</v>
      </c>
      <c r="E8159" s="2">
        <v>2034791</v>
      </c>
      <c r="F8159" s="4" t="str">
        <f>IF(B8159=B8158,"",B8159)</f>
        <v>Shuangyang</v>
      </c>
    </row>
    <row r="8160" spans="1:6" ht="15.75" customHeight="1">
      <c r="A8160" s="5" t="str">
        <f ca="1">IFERROR(__xludf.DUMMYFUNCTION("GOOGLETRANSLATE(B26692,""en"",""pt"")"),"Shuangyang")</f>
        <v>Shuangyang</v>
      </c>
      <c r="B8160" s="17" t="s">
        <v>5088</v>
      </c>
      <c r="C8160" s="17" t="s">
        <v>4487</v>
      </c>
      <c r="D8160" s="17" t="s">
        <v>4518</v>
      </c>
      <c r="E8160" s="10">
        <v>2034791</v>
      </c>
      <c r="F8160" s="4" t="str">
        <f>IF(B8160=B8159,"",B8160)</f>
        <v/>
      </c>
    </row>
    <row r="8161" spans="1:6" ht="15.75" customHeight="1">
      <c r="A8161" s="5" t="s">
        <v>5087</v>
      </c>
      <c r="B8161" s="6" t="s">
        <v>5087</v>
      </c>
      <c r="C8161" s="5" t="s">
        <v>4487</v>
      </c>
      <c r="D8161" s="5" t="s">
        <v>4488</v>
      </c>
      <c r="E8161" s="2">
        <v>2034834</v>
      </c>
      <c r="F8161" s="4" t="str">
        <f>IF(B8161=B8160,"",B8161)</f>
        <v>Shuangcheng</v>
      </c>
    </row>
    <row r="8162" spans="1:6" ht="15.75" customHeight="1">
      <c r="A8162" s="5" t="str">
        <f ca="1">IFERROR(__xludf.DUMMYFUNCTION("GOOGLETRANSLATE(B26693,""en"",""pt"")"),"Shuangcheng")</f>
        <v>Shuangcheng</v>
      </c>
      <c r="B8162" s="17" t="s">
        <v>5087</v>
      </c>
      <c r="C8162" s="17" t="s">
        <v>4487</v>
      </c>
      <c r="D8162" s="17" t="s">
        <v>4488</v>
      </c>
      <c r="E8162" s="10">
        <v>2034834</v>
      </c>
      <c r="F8162" s="4" t="str">
        <f>IF(B8162=B8161,"",B8162)</f>
        <v/>
      </c>
    </row>
    <row r="8163" spans="1:6" ht="15.75" customHeight="1">
      <c r="A8163" s="6" t="s">
        <v>17280</v>
      </c>
      <c r="B8163" s="6" t="s">
        <v>17280</v>
      </c>
      <c r="C8163" s="6" t="s">
        <v>17221</v>
      </c>
      <c r="D8163" s="6" t="s">
        <v>17281</v>
      </c>
      <c r="E8163" s="2">
        <v>785482</v>
      </c>
      <c r="F8163" s="4" t="str">
        <f>IF(B8163=B8162,"",B8163)</f>
        <v>Shtip</v>
      </c>
    </row>
    <row r="8164" spans="1:6" ht="15.75" customHeight="1">
      <c r="A8164" s="5" t="str">
        <f ca="1">IFERROR(__xludf.DUMMYFUNCTION("GOOGLETRANSLATE(B36649,""en"",""pt"")"),"Shtip")</f>
        <v>Shtip</v>
      </c>
      <c r="B8164" s="17" t="s">
        <v>17280</v>
      </c>
      <c r="C8164" s="17" t="s">
        <v>17221</v>
      </c>
      <c r="D8164" s="17" t="s">
        <v>34619</v>
      </c>
      <c r="E8164" s="10">
        <v>785482</v>
      </c>
      <c r="F8164" s="4" t="str">
        <f>IF(B8164=B8163,"",B8164)</f>
        <v/>
      </c>
    </row>
    <row r="8165" spans="1:6" ht="15.75" customHeight="1">
      <c r="A8165" s="6" t="s">
        <v>16876</v>
      </c>
      <c r="B8165" s="6" t="s">
        <v>16876</v>
      </c>
      <c r="C8165" s="6" t="s">
        <v>16852</v>
      </c>
      <c r="D8165" s="6" t="s">
        <v>16856</v>
      </c>
      <c r="E8165" s="2">
        <v>785485</v>
      </c>
      <c r="F8165" s="4" t="str">
        <f>IF(B8165=B8164,"",B8165)</f>
        <v>Shtime</v>
      </c>
    </row>
    <row r="8166" spans="1:6" ht="15.75" customHeight="1">
      <c r="A8166" s="5" t="str">
        <f ca="1">IFERROR(__xludf.DUMMYFUNCTION("GOOGLETRANSLATE(B45800,""en"",""pt"")"),"Shtime")</f>
        <v>Shtime</v>
      </c>
      <c r="B8166" s="17" t="s">
        <v>16876</v>
      </c>
      <c r="C8166" s="17" t="s">
        <v>16852</v>
      </c>
      <c r="D8166" s="17" t="s">
        <v>16856</v>
      </c>
      <c r="E8166" s="10">
        <v>785485</v>
      </c>
      <c r="F8166" s="4" t="str">
        <f>IF(B8166=B8165,"",B8166)</f>
        <v/>
      </c>
    </row>
    <row r="8167" spans="1:6" ht="15.75" customHeight="1">
      <c r="A8167" s="5" t="str">
        <f ca="1">IFERROR(__xludf.DUMMYFUNCTION("GOOGLETRANSLATE(B32157,""en"",""pt"")"),"Shrīrangapattana")</f>
        <v>Shrīrangapattana</v>
      </c>
      <c r="B8167" s="17" t="s">
        <v>33076</v>
      </c>
      <c r="C8167" s="17" t="s">
        <v>10178</v>
      </c>
      <c r="D8167" s="17" t="s">
        <v>10252</v>
      </c>
      <c r="E8167" s="10">
        <v>1256421</v>
      </c>
      <c r="F8167" s="4" t="str">
        <f>IF(B8167=B8166,"",B8167)</f>
        <v>Shrīrangapattana</v>
      </c>
    </row>
    <row r="8168" spans="1:6" ht="15.75" customHeight="1">
      <c r="A8168" s="5" t="str">
        <f ca="1">IFERROR(__xludf.DUMMYFUNCTION("GOOGLETRANSLATE(B32158,""en"",""pt"")"),"Shrīrāmpur")</f>
        <v>Shrīrāmpur</v>
      </c>
      <c r="B8168" s="17" t="s">
        <v>33077</v>
      </c>
      <c r="C8168" s="17" t="s">
        <v>10178</v>
      </c>
      <c r="D8168" s="17" t="s">
        <v>10201</v>
      </c>
      <c r="E8168" s="10">
        <v>1256422</v>
      </c>
      <c r="F8168" s="4" t="str">
        <f>IF(B8168=B8167,"",B8168)</f>
        <v>Shrīrāmpur</v>
      </c>
    </row>
    <row r="8169" spans="1:6" ht="15.75" customHeight="1">
      <c r="A8169" s="5" t="str">
        <f ca="1">IFERROR(__xludf.DUMMYFUNCTION("GOOGLETRANSLATE(B32159,""en"",""pt"")"),"Shrīgonda")</f>
        <v>Shrīgonda</v>
      </c>
      <c r="B8169" s="17" t="s">
        <v>33078</v>
      </c>
      <c r="C8169" s="17" t="s">
        <v>10178</v>
      </c>
      <c r="D8169" s="17" t="s">
        <v>10214</v>
      </c>
      <c r="E8169" s="10">
        <v>1256426</v>
      </c>
      <c r="F8169" s="4" t="str">
        <f>IF(B8169=B8168,"",B8169)</f>
        <v>Shrīgonda</v>
      </c>
    </row>
    <row r="8170" spans="1:6" ht="15.75" customHeight="1">
      <c r="A8170" s="5" t="s">
        <v>27675</v>
      </c>
      <c r="B8170" s="6" t="s">
        <v>27675</v>
      </c>
      <c r="C8170" s="5" t="s">
        <v>27234</v>
      </c>
      <c r="D8170" s="5" t="s">
        <v>27241</v>
      </c>
      <c r="E8170" s="2">
        <v>2637891</v>
      </c>
      <c r="F8170" s="4" t="str">
        <f>IF(B8170=B8169,"",B8170)</f>
        <v>Shrewsbury</v>
      </c>
    </row>
    <row r="8171" spans="1:6" ht="15.75" customHeight="1">
      <c r="A8171" s="5" t="s">
        <v>27675</v>
      </c>
      <c r="B8171" s="6" t="s">
        <v>27675</v>
      </c>
      <c r="C8171" s="5" t="s">
        <v>27788</v>
      </c>
      <c r="D8171" s="5" t="s">
        <v>27794</v>
      </c>
      <c r="E8171" s="2">
        <v>4950898</v>
      </c>
      <c r="F8171" s="4" t="str">
        <f>IF(B8171=B8170,"",B8171)</f>
        <v/>
      </c>
    </row>
    <row r="8172" spans="1:6" ht="15.75" customHeight="1">
      <c r="A8172" s="5" t="str">
        <f ca="1">IFERROR(__xludf.DUMMYFUNCTION("GOOGLETRANSLATE(B30406,""en"",""pt"")"),"Shrewsbury")</f>
        <v>Shrewsbury</v>
      </c>
      <c r="B8172" s="17" t="s">
        <v>27675</v>
      </c>
      <c r="C8172" s="17" t="s">
        <v>27234</v>
      </c>
      <c r="D8172" s="17" t="s">
        <v>27241</v>
      </c>
      <c r="E8172" s="10">
        <v>2637891</v>
      </c>
      <c r="F8172" s="4" t="str">
        <f>IF(B8172=B8171,"",B8172)</f>
        <v/>
      </c>
    </row>
    <row r="8173" spans="1:6" ht="15.75" customHeight="1">
      <c r="A8173" s="5" t="str">
        <f ca="1">IFERROR(__xludf.DUMMYFUNCTION("GOOGLETRANSLATE(B44022,""en"",""pt"")"),"Shrewsbury")</f>
        <v>Shrewsbury</v>
      </c>
      <c r="B8173" s="17" t="s">
        <v>27675</v>
      </c>
      <c r="C8173" s="17" t="s">
        <v>27788</v>
      </c>
      <c r="D8173" s="17" t="s">
        <v>27794</v>
      </c>
      <c r="E8173" s="10">
        <v>4950898</v>
      </c>
      <c r="F8173" s="4" t="str">
        <f>IF(B8173=B8172,"",B8173)</f>
        <v/>
      </c>
    </row>
    <row r="8174" spans="1:6" ht="15.75" customHeight="1">
      <c r="A8174" s="5" t="s">
        <v>29980</v>
      </c>
      <c r="B8174" s="6" t="s">
        <v>29980</v>
      </c>
      <c r="C8174" s="5" t="s">
        <v>27788</v>
      </c>
      <c r="D8174" s="5" t="s">
        <v>27827</v>
      </c>
      <c r="E8174" s="2">
        <v>4341513</v>
      </c>
      <c r="F8174" s="4" t="str">
        <f>IF(B8174=B8173,"",B8174)</f>
        <v>Shreveport</v>
      </c>
    </row>
    <row r="8175" spans="1:6" ht="15.75" customHeight="1">
      <c r="A8175" s="5" t="str">
        <f ca="1">IFERROR(__xludf.DUMMYFUNCTION("GOOGLETRANSLATE(B43249,""en"",""pt"")"),"Shreveport")</f>
        <v>Shreveport</v>
      </c>
      <c r="B8175" s="17" t="s">
        <v>29980</v>
      </c>
      <c r="C8175" s="17" t="s">
        <v>27788</v>
      </c>
      <c r="D8175" s="17" t="s">
        <v>27827</v>
      </c>
      <c r="E8175" s="10">
        <v>4341513</v>
      </c>
      <c r="F8175" s="4" t="str">
        <f>IF(B8175=B8174,"",B8175)</f>
        <v/>
      </c>
    </row>
    <row r="8176" spans="1:6" ht="15.75" customHeight="1">
      <c r="A8176" s="5" t="s">
        <v>13344</v>
      </c>
      <c r="B8176" s="6" t="s">
        <v>13345</v>
      </c>
      <c r="C8176" s="5" t="s">
        <v>10178</v>
      </c>
      <c r="D8176" s="5" t="s">
        <v>10252</v>
      </c>
      <c r="E8176" s="2">
        <v>1256421</v>
      </c>
      <c r="F8176" s="4" t="str">
        <f>IF(B8176=B8175,"",B8176)</f>
        <v>ShrÄ«rangapattana</v>
      </c>
    </row>
    <row r="8177" spans="1:6" ht="15.75" customHeight="1">
      <c r="A8177" s="5" t="s">
        <v>13342</v>
      </c>
      <c r="B8177" s="6" t="s">
        <v>13343</v>
      </c>
      <c r="C8177" s="5" t="s">
        <v>10178</v>
      </c>
      <c r="D8177" s="5" t="s">
        <v>10201</v>
      </c>
      <c r="E8177" s="2">
        <v>1256422</v>
      </c>
      <c r="F8177" s="4" t="str">
        <f>IF(B8177=B8176,"",B8177)</f>
        <v>ShrÄ«rÄmpur</v>
      </c>
    </row>
    <row r="8178" spans="1:6" ht="15.75" customHeight="1">
      <c r="A8178" s="5" t="s">
        <v>13340</v>
      </c>
      <c r="B8178" s="6" t="s">
        <v>13341</v>
      </c>
      <c r="C8178" s="5" t="s">
        <v>10178</v>
      </c>
      <c r="D8178" s="5" t="s">
        <v>10214</v>
      </c>
      <c r="E8178" s="2">
        <v>1256426</v>
      </c>
      <c r="F8178" s="4" t="str">
        <f>IF(B8178=B8177,"",B8178)</f>
        <v>ShrÄ«gonda</v>
      </c>
    </row>
    <row r="8179" spans="1:6" ht="15.75" customHeight="1">
      <c r="A8179" s="6" t="s">
        <v>27137</v>
      </c>
      <c r="B8179" s="6" t="s">
        <v>27137</v>
      </c>
      <c r="C8179" s="6" t="s">
        <v>26870</v>
      </c>
      <c r="D8179" s="6" t="s">
        <v>26925</v>
      </c>
      <c r="E8179" s="2">
        <v>693920</v>
      </c>
      <c r="F8179" s="4" t="str">
        <f>IF(B8179=B8178,"",B8179)</f>
        <v>Shpola</v>
      </c>
    </row>
    <row r="8180" spans="1:6" ht="15.75" customHeight="1">
      <c r="A8180" s="5" t="str">
        <f ca="1">IFERROR(__xludf.DUMMYFUNCTION("GOOGLETRANSLATE(B42526,""en"",""pt"")"),"Shpola")</f>
        <v>Shpola</v>
      </c>
      <c r="B8180" s="17" t="s">
        <v>27137</v>
      </c>
      <c r="C8180" s="17" t="s">
        <v>26870</v>
      </c>
      <c r="D8180" s="17" t="s">
        <v>26925</v>
      </c>
      <c r="E8180" s="10">
        <v>693920</v>
      </c>
      <c r="F8180" s="4" t="str">
        <f>IF(B8180=B8179,"",B8180)</f>
        <v/>
      </c>
    </row>
    <row r="8181" spans="1:6" ht="15.75" customHeight="1">
      <c r="A8181" s="6" t="s">
        <v>30599</v>
      </c>
      <c r="B8181" s="6" t="s">
        <v>30599</v>
      </c>
      <c r="C8181" s="6" t="s">
        <v>30502</v>
      </c>
      <c r="D8181" s="6" t="s">
        <v>30545</v>
      </c>
      <c r="E8181" s="2">
        <v>1512790</v>
      </c>
      <c r="F8181" s="4" t="str">
        <f>IF(B8181=B8180,"",B8181)</f>
        <v>Showot</v>
      </c>
    </row>
    <row r="8182" spans="1:6" ht="15.75" customHeight="1">
      <c r="A8182" s="5" t="str">
        <f ca="1">IFERROR(__xludf.DUMMYFUNCTION("GOOGLETRANSLATE(B45545,""en"",""pt"")"),"Showot")</f>
        <v>Showot</v>
      </c>
      <c r="B8182" s="17" t="s">
        <v>30599</v>
      </c>
      <c r="C8182" s="17" t="s">
        <v>30502</v>
      </c>
      <c r="D8182" s="17" t="s">
        <v>30545</v>
      </c>
      <c r="E8182" s="10">
        <v>1512790</v>
      </c>
      <c r="F8182" s="4" t="str">
        <f>IF(B8182=B8181,"",B8182)</f>
        <v/>
      </c>
    </row>
    <row r="8183" spans="1:6" ht="15.75" customHeight="1">
      <c r="A8183" s="5" t="s">
        <v>5086</v>
      </c>
      <c r="B8183" s="6" t="s">
        <v>5086</v>
      </c>
      <c r="C8183" s="5" t="s">
        <v>4487</v>
      </c>
      <c r="D8183" s="5" t="s">
        <v>4503</v>
      </c>
      <c r="E8183" s="2">
        <v>1794794</v>
      </c>
      <c r="F8183" s="4" t="str">
        <f>IF(B8183=B8182,"",B8183)</f>
        <v>Shouguang</v>
      </c>
    </row>
    <row r="8184" spans="1:6" ht="15.75" customHeight="1">
      <c r="A8184" s="5" t="str">
        <f ca="1">IFERROR(__xludf.DUMMYFUNCTION("GOOGLETRANSLATE(B26259,""en"",""pt"")"),"Shouguang")</f>
        <v>Shouguang</v>
      </c>
      <c r="B8184" s="17" t="s">
        <v>5086</v>
      </c>
      <c r="C8184" s="17" t="s">
        <v>4487</v>
      </c>
      <c r="D8184" s="17" t="s">
        <v>4503</v>
      </c>
      <c r="E8184" s="10">
        <v>1794794</v>
      </c>
      <c r="F8184" s="4" t="str">
        <f>IF(B8184=B8183,"",B8184)</f>
        <v/>
      </c>
    </row>
    <row r="8185" spans="1:6" ht="15.75" customHeight="1">
      <c r="A8185" s="6" t="s">
        <v>27136</v>
      </c>
      <c r="B8185" s="6" t="s">
        <v>27136</v>
      </c>
      <c r="C8185" s="6" t="s">
        <v>26870</v>
      </c>
      <c r="D8185" s="6" t="s">
        <v>26911</v>
      </c>
      <c r="E8185" s="2">
        <v>693942</v>
      </c>
      <c r="F8185" s="4" t="str">
        <f>IF(B8185=B8184,"",B8185)</f>
        <v>Shostka</v>
      </c>
    </row>
    <row r="8186" spans="1:6" ht="15.75" customHeight="1">
      <c r="A8186" s="5" t="str">
        <f ca="1">IFERROR(__xludf.DUMMYFUNCTION("GOOGLETRANSLATE(B42527,""en"",""pt"")"),"Shostka")</f>
        <v>Shostka</v>
      </c>
      <c r="B8186" s="17" t="s">
        <v>27136</v>
      </c>
      <c r="C8186" s="17" t="s">
        <v>26870</v>
      </c>
      <c r="D8186" s="17" t="s">
        <v>26911</v>
      </c>
      <c r="E8186" s="10">
        <v>693942</v>
      </c>
      <c r="F8186" s="4" t="str">
        <f>IF(B8186=B8185,"",B8186)</f>
        <v/>
      </c>
    </row>
    <row r="8187" spans="1:6" ht="15.75" customHeight="1">
      <c r="A8187" s="6" t="s">
        <v>20231</v>
      </c>
      <c r="B8187" s="6" t="s">
        <v>20231</v>
      </c>
      <c r="C8187" s="6" t="s">
        <v>19808</v>
      </c>
      <c r="D8187" s="6" t="s">
        <v>19811</v>
      </c>
      <c r="E8187" s="2">
        <v>1164987</v>
      </c>
      <c r="F8187" s="4" t="str">
        <f>IF(B8187=B8186,"",B8187)</f>
        <v>Shorko</v>
      </c>
    </row>
    <row r="8188" spans="1:6" ht="15.75" customHeight="1">
      <c r="A8188" s="5" t="str">
        <f ca="1">IFERROR(__xludf.DUMMYFUNCTION("GOOGLETRANSLATE(B38910,""en"",""pt"")"),"Shorko")</f>
        <v>Shorko</v>
      </c>
      <c r="B8188" s="17" t="s">
        <v>20231</v>
      </c>
      <c r="C8188" s="17" t="s">
        <v>19808</v>
      </c>
      <c r="D8188" s="17" t="s">
        <v>19811</v>
      </c>
      <c r="E8188" s="10">
        <v>1164987</v>
      </c>
      <c r="F8188" s="4" t="str">
        <f>IF(B8188=B8187,"",B8188)</f>
        <v/>
      </c>
    </row>
    <row r="8189" spans="1:6" ht="15.75" customHeight="1">
      <c r="A8189" s="5" t="s">
        <v>29979</v>
      </c>
      <c r="B8189" s="6" t="s">
        <v>29979</v>
      </c>
      <c r="C8189" s="5" t="s">
        <v>27788</v>
      </c>
      <c r="D8189" s="5" t="s">
        <v>27799</v>
      </c>
      <c r="E8189" s="2">
        <v>4911418</v>
      </c>
      <c r="F8189" s="4" t="str">
        <f>IF(B8189=B8188,"",B8189)</f>
        <v>Shorewood</v>
      </c>
    </row>
    <row r="8190" spans="1:6" ht="15.75" customHeight="1">
      <c r="A8190" s="5" t="str">
        <f ca="1">IFERROR(__xludf.DUMMYFUNCTION("GOOGLETRANSLATE(B43883,""en"",""pt"")"),"Shorewood")</f>
        <v>Shorewood</v>
      </c>
      <c r="B8190" s="17" t="s">
        <v>29979</v>
      </c>
      <c r="C8190" s="17" t="s">
        <v>27788</v>
      </c>
      <c r="D8190" s="17" t="s">
        <v>27799</v>
      </c>
      <c r="E8190" s="10">
        <v>4911418</v>
      </c>
      <c r="F8190" s="4" t="str">
        <f>IF(B8190=B8189,"",B8190)</f>
        <v/>
      </c>
    </row>
    <row r="8191" spans="1:6" ht="15.75" customHeight="1">
      <c r="A8191" s="5" t="s">
        <v>29978</v>
      </c>
      <c r="B8191" s="6" t="s">
        <v>29978</v>
      </c>
      <c r="C8191" s="5" t="s">
        <v>27788</v>
      </c>
      <c r="D8191" s="5" t="s">
        <v>27824</v>
      </c>
      <c r="E8191" s="2">
        <v>5047234</v>
      </c>
      <c r="F8191" s="4" t="str">
        <f>IF(B8191=B8190,"",B8191)</f>
        <v>Shoreview</v>
      </c>
    </row>
    <row r="8192" spans="1:6" ht="15.75" customHeight="1">
      <c r="A8192" s="5" t="str">
        <f ca="1">IFERROR(__xludf.DUMMYFUNCTION("GOOGLETRANSLATE(B44200,""en"",""pt"")"),"Shoreview")</f>
        <v>Shoreview</v>
      </c>
      <c r="B8192" s="17" t="s">
        <v>29978</v>
      </c>
      <c r="C8192" s="17" t="s">
        <v>27788</v>
      </c>
      <c r="D8192" s="17" t="s">
        <v>27824</v>
      </c>
      <c r="E8192" s="10">
        <v>5047234</v>
      </c>
      <c r="F8192" s="4" t="str">
        <f>IF(B8192=B8191,"",B8192)</f>
        <v/>
      </c>
    </row>
    <row r="8193" spans="1:6" ht="15.75" customHeight="1">
      <c r="A8193" s="6" t="s">
        <v>29976</v>
      </c>
      <c r="B8193" s="6" t="s">
        <v>29977</v>
      </c>
      <c r="C8193" s="6" t="s">
        <v>27788</v>
      </c>
      <c r="D8193" s="6" t="s">
        <v>27733</v>
      </c>
      <c r="E8193" s="2">
        <v>5810301</v>
      </c>
      <c r="F8193" s="4" t="str">
        <f>IF(B8193=B8192,"",B8193)</f>
        <v>Shoreline</v>
      </c>
    </row>
    <row r="8194" spans="1:6" ht="15.75" customHeight="1">
      <c r="A8194" s="5" t="str">
        <f ca="1">IFERROR(__xludf.DUMMYFUNCTION("GOOGLETRANSLATE(B45375,""en"",""pt"")"),"Costa")</f>
        <v>Costa</v>
      </c>
      <c r="B8194" s="17" t="s">
        <v>29977</v>
      </c>
      <c r="C8194" s="17" t="s">
        <v>27788</v>
      </c>
      <c r="D8194" s="17" t="s">
        <v>27733</v>
      </c>
      <c r="E8194" s="10">
        <v>5810301</v>
      </c>
      <c r="F8194" s="4" t="str">
        <f>IF(B8194=B8193,"",B8194)</f>
        <v/>
      </c>
    </row>
    <row r="8195" spans="1:6" ht="15.75" customHeight="1">
      <c r="A8195" s="5" t="s">
        <v>27674</v>
      </c>
      <c r="B8195" s="6" t="s">
        <v>27674</v>
      </c>
      <c r="C8195" s="5" t="s">
        <v>27234</v>
      </c>
      <c r="D8195" s="5" t="s">
        <v>27241</v>
      </c>
      <c r="E8195" s="2">
        <v>2637916</v>
      </c>
      <c r="F8195" s="4" t="str">
        <f>IF(B8195=B8194,"",B8195)</f>
        <v>Shoreham-by-Sea</v>
      </c>
    </row>
    <row r="8196" spans="1:6" ht="15.75" customHeight="1">
      <c r="A8196" s="5" t="str">
        <f ca="1">IFERROR(__xludf.DUMMYFUNCTION("GOOGLETRANSLATE(B30407,""en"",""pt"")"),"Shoreham-by-Sea")</f>
        <v>Shoreham-by-Sea</v>
      </c>
      <c r="B8196" s="17" t="s">
        <v>27674</v>
      </c>
      <c r="C8196" s="17" t="s">
        <v>27234</v>
      </c>
      <c r="D8196" s="17" t="s">
        <v>27241</v>
      </c>
      <c r="E8196" s="10">
        <v>2637916</v>
      </c>
      <c r="F8196" s="4" t="str">
        <f>IF(B8196=B8195,"",B8196)</f>
        <v/>
      </c>
    </row>
    <row r="8197" spans="1:6" ht="15.75" customHeight="1">
      <c r="A8197" s="5" t="s">
        <v>27673</v>
      </c>
      <c r="B8197" s="6" t="s">
        <v>27673</v>
      </c>
      <c r="C8197" s="5" t="s">
        <v>27234</v>
      </c>
      <c r="D8197" s="5" t="s">
        <v>27241</v>
      </c>
      <c r="E8197" s="2">
        <v>2637917</v>
      </c>
      <c r="F8197" s="4" t="str">
        <f>IF(B8197=B8196,"",B8197)</f>
        <v>Shoreham</v>
      </c>
    </row>
    <row r="8198" spans="1:6" ht="15.75" customHeight="1">
      <c r="A8198" s="5" t="str">
        <f ca="1">IFERROR(__xludf.DUMMYFUNCTION("GOOGLETRANSLATE(B30408,""en"",""pt"")"),"Shoreham")</f>
        <v>Shoreham</v>
      </c>
      <c r="B8198" s="17" t="s">
        <v>27673</v>
      </c>
      <c r="C8198" s="17" t="s">
        <v>27234</v>
      </c>
      <c r="D8198" s="17" t="s">
        <v>27241</v>
      </c>
      <c r="E8198" s="10">
        <v>2637917</v>
      </c>
      <c r="F8198" s="4" t="str">
        <f>IF(B8198=B8197,"",B8198)</f>
        <v/>
      </c>
    </row>
    <row r="8199" spans="1:6" ht="15.75" customHeight="1">
      <c r="A8199" s="5" t="str">
        <f ca="1">IFERROR(__xludf.DUMMYFUNCTION("GOOGLETRANSLATE(B32160,""en"",""pt"")"),"Shorāpur")</f>
        <v>Shorāpur</v>
      </c>
      <c r="B8199" s="17" t="s">
        <v>33079</v>
      </c>
      <c r="C8199" s="17" t="s">
        <v>10178</v>
      </c>
      <c r="D8199" s="17" t="s">
        <v>10252</v>
      </c>
      <c r="E8199" s="10">
        <v>1256431</v>
      </c>
      <c r="F8199" s="4" t="str">
        <f>IF(B8199=B8198,"",B8199)</f>
        <v>Shorāpur</v>
      </c>
    </row>
    <row r="8200" spans="1:6" ht="15.75" customHeight="1">
      <c r="A8200" s="5" t="str">
        <f ca="1">IFERROR(__xludf.DUMMYFUNCTION("GOOGLETRANSLATE(B32161,""en"",""pt"")"),"Shoranūr")</f>
        <v>Shoranūr</v>
      </c>
      <c r="B8200" s="17" t="s">
        <v>33080</v>
      </c>
      <c r="C8200" s="17" t="s">
        <v>10178</v>
      </c>
      <c r="D8200" s="17" t="s">
        <v>10246</v>
      </c>
      <c r="E8200" s="10">
        <v>1256432</v>
      </c>
      <c r="F8200" s="4" t="str">
        <f>IF(B8200=B8199,"",B8200)</f>
        <v>Shoranūr</v>
      </c>
    </row>
    <row r="8201" spans="1:6" ht="15.75" customHeight="1">
      <c r="A8201" s="5" t="s">
        <v>13338</v>
      </c>
      <c r="B8201" s="6" t="s">
        <v>13339</v>
      </c>
      <c r="C8201" s="5" t="s">
        <v>10178</v>
      </c>
      <c r="D8201" s="5" t="s">
        <v>10246</v>
      </c>
      <c r="E8201" s="2">
        <v>1256432</v>
      </c>
      <c r="F8201" s="4" t="str">
        <f>IF(B8201=B8200,"",B8201)</f>
        <v>ShoranÅ«r</v>
      </c>
    </row>
    <row r="8202" spans="1:6" ht="15.75" customHeight="1">
      <c r="A8202" s="6" t="s">
        <v>13336</v>
      </c>
      <c r="B8202" s="6" t="s">
        <v>13337</v>
      </c>
      <c r="C8202" s="6" t="s">
        <v>10178</v>
      </c>
      <c r="D8202" s="6" t="s">
        <v>10252</v>
      </c>
      <c r="E8202" s="2">
        <v>1256431</v>
      </c>
      <c r="F8202" s="4" t="str">
        <f>IF(B8202=B8201,"",B8202)</f>
        <v>ShorÄpur</v>
      </c>
    </row>
    <row r="8203" spans="1:6" ht="15.75" customHeight="1">
      <c r="A8203" s="5" t="s">
        <v>13335</v>
      </c>
      <c r="B8203" s="6" t="s">
        <v>13335</v>
      </c>
      <c r="C8203" s="5" t="s">
        <v>10178</v>
      </c>
      <c r="D8203" s="5" t="s">
        <v>10196</v>
      </c>
      <c r="E8203" s="2">
        <v>1256435</v>
      </c>
      <c r="F8203" s="4" t="str">
        <f>IF(B8203=B8202,"",B8203)</f>
        <v>Sholinghur</v>
      </c>
    </row>
    <row r="8204" spans="1:6" ht="15.75" customHeight="1">
      <c r="A8204" s="5" t="str">
        <f ca="1">IFERROR(__xludf.DUMMYFUNCTION("GOOGLETRANSLATE(B32162,""en"",""pt"")"),"Sholinghur")</f>
        <v>Sholinghur</v>
      </c>
      <c r="B8204" s="17" t="s">
        <v>13335</v>
      </c>
      <c r="C8204" s="17" t="s">
        <v>10178</v>
      </c>
      <c r="D8204" s="17" t="s">
        <v>10196</v>
      </c>
      <c r="E8204" s="10">
        <v>1256435</v>
      </c>
      <c r="F8204" s="4" t="str">
        <f>IF(B8204=B8203,"",B8204)</f>
        <v/>
      </c>
    </row>
    <row r="8205" spans="1:6" ht="15.75" customHeight="1">
      <c r="A8205" s="6" t="s">
        <v>30598</v>
      </c>
      <c r="B8205" s="6" t="s">
        <v>30598</v>
      </c>
      <c r="C8205" s="6" t="s">
        <v>30502</v>
      </c>
      <c r="D8205" s="6" t="s">
        <v>30519</v>
      </c>
      <c r="E8205" s="2">
        <v>1512838</v>
      </c>
      <c r="F8205" s="4" t="str">
        <f>IF(B8205=B8204,"",B8205)</f>
        <v>Shofirkon</v>
      </c>
    </row>
    <row r="8206" spans="1:6" ht="15.75" customHeight="1">
      <c r="A8206" s="5" t="str">
        <f ca="1">IFERROR(__xludf.DUMMYFUNCTION("GOOGLETRANSLATE(B45546,""en"",""pt"")"),"Shofirkon")</f>
        <v>Shofirkon</v>
      </c>
      <c r="B8206" s="17" t="s">
        <v>30598</v>
      </c>
      <c r="C8206" s="17" t="s">
        <v>30502</v>
      </c>
      <c r="D8206" s="17" t="s">
        <v>30519</v>
      </c>
      <c r="E8206" s="10">
        <v>1512838</v>
      </c>
      <c r="F8206" s="4" t="str">
        <f>IF(B8206=B8205,"",B8206)</f>
        <v/>
      </c>
    </row>
    <row r="8207" spans="1:6" ht="15.75" customHeight="1">
      <c r="A8207" s="5" t="str">
        <f ca="1">IFERROR(__xludf.DUMMYFUNCTION("GOOGLETRANSLATE(B35286,""en"",""pt"")"),"Shōbu")</f>
        <v>Shōbu</v>
      </c>
      <c r="B8207" s="17" t="s">
        <v>34308</v>
      </c>
      <c r="C8207" s="17" t="s">
        <v>15704</v>
      </c>
      <c r="D8207" s="17" t="s">
        <v>15710</v>
      </c>
      <c r="E8207" s="10">
        <v>1851711</v>
      </c>
      <c r="F8207" s="4" t="str">
        <f>IF(B8207=B8206,"",B8207)</f>
        <v>Shōbu</v>
      </c>
    </row>
    <row r="8208" spans="1:6" ht="15.75" customHeight="1">
      <c r="A8208" s="5" t="str">
        <f ca="1">IFERROR(__xludf.DUMMYFUNCTION("GOOGLETRANSLATE(B35287,""en"",""pt"")"),"Shōbara")</f>
        <v>Shōbara</v>
      </c>
      <c r="B8208" s="17" t="s">
        <v>34309</v>
      </c>
      <c r="C8208" s="17" t="s">
        <v>15704</v>
      </c>
      <c r="D8208" s="17" t="s">
        <v>15789</v>
      </c>
      <c r="E8208" s="10">
        <v>1851713</v>
      </c>
      <c r="F8208" s="4" t="str">
        <f>IF(B8208=B8207,"",B8208)</f>
        <v>Shōbara</v>
      </c>
    </row>
    <row r="8209" spans="1:6" ht="15.75" customHeight="1">
      <c r="A8209" s="5" t="s">
        <v>30596</v>
      </c>
      <c r="B8209" s="6" t="s">
        <v>30597</v>
      </c>
      <c r="C8209" s="5" t="s">
        <v>30502</v>
      </c>
      <c r="D8209" s="5" t="s">
        <v>30518</v>
      </c>
      <c r="E8209" s="2">
        <v>1216115</v>
      </c>
      <c r="F8209" s="4" t="str">
        <f>IF(B8209=B8208,"",B8209)</f>
        <v>Shoâ€™rchi</v>
      </c>
    </row>
    <row r="8210" spans="1:6" ht="15.75" customHeight="1">
      <c r="A8210" s="5" t="str">
        <f ca="1">IFERROR(__xludf.DUMMYFUNCTION("GOOGLETRANSLATE(B45506,""en"",""pt"")"),"Sho'rchi")</f>
        <v>Sho'rchi</v>
      </c>
      <c r="B8210" s="17" t="s">
        <v>36061</v>
      </c>
      <c r="C8210" s="17" t="s">
        <v>30502</v>
      </c>
      <c r="D8210" s="17" t="s">
        <v>30518</v>
      </c>
      <c r="E8210" s="10">
        <v>1216115</v>
      </c>
      <c r="F8210" s="4" t="str">
        <f>IF(B8210=B8209,"",B8210)</f>
        <v>Sho’rchi</v>
      </c>
    </row>
    <row r="8211" spans="1:6" ht="15.75" customHeight="1">
      <c r="A8211" s="5" t="str">
        <f ca="1">IFERROR(__xludf.DUMMYFUNCTION("GOOGLETRANSLATE(B23112,""en"",""pt"")"),"Shkodër")</f>
        <v>Shkodër</v>
      </c>
      <c r="B8211" s="17" t="s">
        <v>31150</v>
      </c>
      <c r="C8211" s="17" t="s">
        <v>113</v>
      </c>
      <c r="D8211" s="17" t="s">
        <v>31150</v>
      </c>
      <c r="E8211" s="10">
        <v>3184081</v>
      </c>
      <c r="F8211" s="4" t="str">
        <f>IF(B8211=B8210,"",B8211)</f>
        <v>Shkodër</v>
      </c>
    </row>
    <row r="8212" spans="1:6" ht="15.75" customHeight="1">
      <c r="A8212" s="6" t="s">
        <v>147</v>
      </c>
      <c r="B8212" s="6" t="s">
        <v>148</v>
      </c>
      <c r="C8212" s="6" t="s">
        <v>113</v>
      </c>
      <c r="D8212" s="6" t="s">
        <v>148</v>
      </c>
      <c r="E8212" s="2">
        <v>3184081</v>
      </c>
      <c r="F8212" s="4" t="str">
        <f>IF(B8212=B8211,"",B8212)</f>
        <v>ShkodÃ«r</v>
      </c>
    </row>
    <row r="8213" spans="1:6" ht="15.75" customHeight="1">
      <c r="A8213" s="6" t="s">
        <v>15809</v>
      </c>
      <c r="B8213" s="6" t="s">
        <v>15809</v>
      </c>
      <c r="C8213" s="6" t="s">
        <v>15704</v>
      </c>
      <c r="D8213" s="6" t="s">
        <v>15809</v>
      </c>
      <c r="E8213" s="2">
        <v>1851717</v>
      </c>
      <c r="F8213" s="4" t="str">
        <f>IF(B8213=B8212,"",B8213)</f>
        <v>Shizuoka</v>
      </c>
    </row>
    <row r="8214" spans="1:6" ht="15.75" customHeight="1">
      <c r="A8214" s="5" t="str">
        <f ca="1">IFERROR(__xludf.DUMMYFUNCTION("GOOGLETRANSLATE(B35288,""en"",""pt"")"),"Shizuoka")</f>
        <v>Shizuoka</v>
      </c>
      <c r="B8214" s="17" t="s">
        <v>15809</v>
      </c>
      <c r="C8214" s="17" t="s">
        <v>15704</v>
      </c>
      <c r="D8214" s="17" t="s">
        <v>15809</v>
      </c>
      <c r="E8214" s="10">
        <v>1851717</v>
      </c>
      <c r="F8214" s="4" t="str">
        <f>IF(B8214=B8213,"",B8214)</f>
        <v/>
      </c>
    </row>
    <row r="8215" spans="1:6" ht="15.75" customHeight="1">
      <c r="A8215" s="5" t="str">
        <f ca="1">IFERROR(__xludf.DUMMYFUNCTION("GOOGLETRANSLATE(B35823,""en"",""pt"")"),"Shizunai-Furukawachō")</f>
        <v>Shizunai-Furukawachō</v>
      </c>
      <c r="B8215" s="17" t="s">
        <v>34417</v>
      </c>
      <c r="C8215" s="17" t="s">
        <v>15704</v>
      </c>
      <c r="D8215" s="17" t="s">
        <v>15705</v>
      </c>
      <c r="E8215" s="10">
        <v>2128025</v>
      </c>
      <c r="F8215" s="4" t="str">
        <f>IF(B8215=B8214,"",B8215)</f>
        <v>Shizunai-furukawachō</v>
      </c>
    </row>
    <row r="8216" spans="1:6" ht="15.75" customHeight="1">
      <c r="A8216" s="5" t="s">
        <v>16436</v>
      </c>
      <c r="B8216" s="6" t="s">
        <v>16437</v>
      </c>
      <c r="C8216" s="5" t="s">
        <v>15704</v>
      </c>
      <c r="D8216" s="5" t="s">
        <v>15705</v>
      </c>
      <c r="E8216" s="2">
        <v>2128025</v>
      </c>
      <c r="F8216" s="4" t="str">
        <f>IF(B8216=B8215,"",B8216)</f>
        <v>Shizunai-furukawachÅ</v>
      </c>
    </row>
    <row r="8217" spans="1:6" ht="15.75" customHeight="1">
      <c r="A8217" s="5" t="s">
        <v>16435</v>
      </c>
      <c r="B8217" s="6" t="s">
        <v>16435</v>
      </c>
      <c r="C8217" s="5" t="s">
        <v>15704</v>
      </c>
      <c r="D8217" s="5" t="s">
        <v>15745</v>
      </c>
      <c r="E8217" s="2">
        <v>2110994</v>
      </c>
      <c r="F8217" s="4" t="str">
        <f>IF(B8217=B8216,"",B8217)</f>
        <v>Shizukuishi</v>
      </c>
    </row>
    <row r="8218" spans="1:6" ht="15.75" customHeight="1">
      <c r="A8218" s="5" t="str">
        <f ca="1">IFERROR(__xludf.DUMMYFUNCTION("GOOGLETRANSLATE(B35729,""en"",""pt"")"),"Shizukuishi")</f>
        <v>Shizukuishi</v>
      </c>
      <c r="B8218" s="17" t="s">
        <v>16435</v>
      </c>
      <c r="C8218" s="17" t="s">
        <v>15704</v>
      </c>
      <c r="D8218" s="17" t="s">
        <v>15745</v>
      </c>
      <c r="E8218" s="10">
        <v>2110994</v>
      </c>
      <c r="F8218" s="4" t="str">
        <f>IF(B8218=B8217,"",B8218)</f>
        <v/>
      </c>
    </row>
    <row r="8219" spans="1:6" ht="15.75" customHeight="1">
      <c r="A8219" s="5" t="s">
        <v>5085</v>
      </c>
      <c r="B8219" s="6" t="s">
        <v>5085</v>
      </c>
      <c r="C8219" s="5" t="s">
        <v>4487</v>
      </c>
      <c r="D8219" s="5" t="s">
        <v>4622</v>
      </c>
      <c r="E8219" s="2">
        <v>1794806</v>
      </c>
      <c r="F8219" s="4" t="str">
        <f>IF(B8219=B8218,"",B8219)</f>
        <v>Shizuishan</v>
      </c>
    </row>
    <row r="8220" spans="1:6" ht="15.75" customHeight="1">
      <c r="A8220" s="5" t="str">
        <f ca="1">IFERROR(__xludf.DUMMYFUNCTION("GOOGLETRANSLATE(B26260,""en"",""pt"")"),"Shizuishan")</f>
        <v>Shizuishan</v>
      </c>
      <c r="B8220" s="17" t="s">
        <v>5085</v>
      </c>
      <c r="C8220" s="17" t="s">
        <v>4487</v>
      </c>
      <c r="D8220" s="17" t="s">
        <v>4622</v>
      </c>
      <c r="E8220" s="10">
        <v>1794806</v>
      </c>
      <c r="F8220" s="4" t="str">
        <f>IF(B8220=B8219,"",B8220)</f>
        <v/>
      </c>
    </row>
    <row r="8221" spans="1:6" ht="15.75" customHeight="1">
      <c r="A8221" s="6" t="s">
        <v>5084</v>
      </c>
      <c r="B8221" s="6" t="s">
        <v>5084</v>
      </c>
      <c r="C8221" s="6" t="s">
        <v>4487</v>
      </c>
      <c r="D8221" s="6" t="s">
        <v>4503</v>
      </c>
      <c r="E8221" s="2">
        <v>1794825</v>
      </c>
      <c r="F8221" s="4" t="str">
        <f>IF(B8221=B8220,"",B8221)</f>
        <v>Shizilu</v>
      </c>
    </row>
    <row r="8222" spans="1:6" ht="15.75" customHeight="1">
      <c r="A8222" s="5" t="str">
        <f ca="1">IFERROR(__xludf.DUMMYFUNCTION("GOOGLETRANSLATE(B26261,""en"",""pt"")"),"Shizilu")</f>
        <v>Shizilu</v>
      </c>
      <c r="B8222" s="17" t="s">
        <v>5084</v>
      </c>
      <c r="C8222" s="17" t="s">
        <v>4487</v>
      </c>
      <c r="D8222" s="17" t="s">
        <v>4503</v>
      </c>
      <c r="E8222" s="10">
        <v>1794825</v>
      </c>
      <c r="F8222" s="4" t="str">
        <f>IF(B8222=B8221,"",B8222)</f>
        <v/>
      </c>
    </row>
    <row r="8223" spans="1:6" ht="15.75" customHeight="1">
      <c r="A8223" s="6" t="s">
        <v>5083</v>
      </c>
      <c r="B8223" s="6" t="s">
        <v>5083</v>
      </c>
      <c r="C8223" s="6" t="s">
        <v>4487</v>
      </c>
      <c r="D8223" s="6" t="s">
        <v>4499</v>
      </c>
      <c r="E8223" s="2">
        <v>1794903</v>
      </c>
      <c r="F8223" s="4" t="str">
        <f>IF(B8223=B8222,"",B8223)</f>
        <v>Shiyan</v>
      </c>
    </row>
    <row r="8224" spans="1:6" ht="15.75" customHeight="1">
      <c r="A8224" s="6" t="s">
        <v>5083</v>
      </c>
      <c r="B8224" s="6" t="s">
        <v>5083</v>
      </c>
      <c r="C8224" s="6" t="s">
        <v>4487</v>
      </c>
      <c r="D8224" s="6" t="s">
        <v>4499</v>
      </c>
      <c r="E8224" s="2">
        <v>1794904</v>
      </c>
      <c r="F8224" s="4" t="str">
        <f>IF(B8224=B8223,"",B8224)</f>
        <v/>
      </c>
    </row>
    <row r="8225" spans="1:6" ht="15.75" customHeight="1">
      <c r="A8225" s="5" t="str">
        <f ca="1">IFERROR(__xludf.DUMMYFUNCTION("GOOGLETRANSLATE(B26262,""en"",""pt"")"),"Shiyan")</f>
        <v>Shiyan</v>
      </c>
      <c r="B8225" s="17" t="s">
        <v>5083</v>
      </c>
      <c r="C8225" s="17" t="s">
        <v>4487</v>
      </c>
      <c r="D8225" s="17" t="s">
        <v>4499</v>
      </c>
      <c r="E8225" s="10">
        <v>1794903</v>
      </c>
      <c r="F8225" s="4" t="str">
        <f>IF(B8225=B8224,"",B8225)</f>
        <v/>
      </c>
    </row>
    <row r="8226" spans="1:6" ht="15.75" customHeight="1">
      <c r="A8226" s="5" t="str">
        <f ca="1">IFERROR(__xludf.DUMMYFUNCTION("GOOGLETRANSLATE(B26263,""en"",""pt"")"),"Shiyan")</f>
        <v>Shiyan</v>
      </c>
      <c r="B8226" s="17" t="s">
        <v>5083</v>
      </c>
      <c r="C8226" s="17" t="s">
        <v>4487</v>
      </c>
      <c r="D8226" s="17" t="s">
        <v>4499</v>
      </c>
      <c r="E8226" s="10">
        <v>1794904</v>
      </c>
      <c r="F8226" s="4" t="str">
        <f>IF(B8226=B8225,"",B8226)</f>
        <v/>
      </c>
    </row>
    <row r="8227" spans="1:6" ht="15.75" customHeight="1">
      <c r="A8227" s="6" t="s">
        <v>5082</v>
      </c>
      <c r="B8227" s="6" t="s">
        <v>5082</v>
      </c>
      <c r="C8227" s="6" t="s">
        <v>4487</v>
      </c>
      <c r="D8227" s="6" t="s">
        <v>4492</v>
      </c>
      <c r="E8227" s="2">
        <v>7290013</v>
      </c>
      <c r="F8227" s="4" t="str">
        <f>IF(B8227=B8226,"",B8227)</f>
        <v>Shixing</v>
      </c>
    </row>
    <row r="8228" spans="1:6" ht="15.75" customHeight="1">
      <c r="A8228" s="5" t="str">
        <f ca="1">IFERROR(__xludf.DUMMYFUNCTION("GOOGLETRANSLATE(B26835,""en"",""pt"")"),"Shixing")</f>
        <v>Shixing</v>
      </c>
      <c r="B8228" s="17" t="s">
        <v>5082</v>
      </c>
      <c r="C8228" s="17" t="s">
        <v>4487</v>
      </c>
      <c r="D8228" s="17" t="s">
        <v>4492</v>
      </c>
      <c r="E8228" s="10">
        <v>7290013</v>
      </c>
      <c r="F8228" s="4" t="str">
        <f>IF(B8228=B8227,"",B8228)</f>
        <v/>
      </c>
    </row>
    <row r="8229" spans="1:6" ht="15.75" customHeight="1">
      <c r="A8229" s="6" t="s">
        <v>5081</v>
      </c>
      <c r="B8229" s="6" t="s">
        <v>5081</v>
      </c>
      <c r="C8229" s="6" t="s">
        <v>4487</v>
      </c>
      <c r="D8229" s="6" t="s">
        <v>4492</v>
      </c>
      <c r="E8229" s="2">
        <v>1794947</v>
      </c>
      <c r="F8229" s="4" t="str">
        <f>IF(B8229=B8228,"",B8229)</f>
        <v>Shiwan</v>
      </c>
    </row>
    <row r="8230" spans="1:6" ht="15.75" customHeight="1">
      <c r="A8230" s="5" t="str">
        <f ca="1">IFERROR(__xludf.DUMMYFUNCTION("GOOGLETRANSLATE(B26264,""en"",""pt"")"),"Shiwan")</f>
        <v>Shiwan</v>
      </c>
      <c r="B8230" s="17" t="s">
        <v>5081</v>
      </c>
      <c r="C8230" s="17" t="s">
        <v>4487</v>
      </c>
      <c r="D8230" s="17" t="s">
        <v>4492</v>
      </c>
      <c r="E8230" s="10">
        <v>1794947</v>
      </c>
      <c r="F8230" s="4" t="str">
        <f>IF(B8230=B8229,"",B8230)</f>
        <v/>
      </c>
    </row>
    <row r="8231" spans="1:6" ht="15.75" customHeight="1">
      <c r="A8231" s="6" t="s">
        <v>13334</v>
      </c>
      <c r="B8231" s="6" t="s">
        <v>13334</v>
      </c>
      <c r="C8231" s="6" t="s">
        <v>10178</v>
      </c>
      <c r="D8231" s="6" t="s">
        <v>10219</v>
      </c>
      <c r="E8231" s="2">
        <v>1256451</v>
      </c>
      <c r="F8231" s="4" t="str">
        <f>IF(B8231=B8230,"",B8231)</f>
        <v>Shivpuri</v>
      </c>
    </row>
    <row r="8232" spans="1:6" ht="15.75" customHeight="1">
      <c r="A8232" s="5" t="str">
        <f ca="1">IFERROR(__xludf.DUMMYFUNCTION("GOOGLETRANSLATE(B32164,""en"",""pt"")"),"Shivpuri")</f>
        <v>Shivpuri</v>
      </c>
      <c r="B8232" s="17" t="s">
        <v>13334</v>
      </c>
      <c r="C8232" s="17" t="s">
        <v>10178</v>
      </c>
      <c r="D8232" s="17" t="s">
        <v>10219</v>
      </c>
      <c r="E8232" s="10">
        <v>1256451</v>
      </c>
      <c r="F8232" s="4" t="str">
        <f>IF(B8232=B8231,"",B8232)</f>
        <v/>
      </c>
    </row>
    <row r="8233" spans="1:6" ht="15.75" customHeight="1">
      <c r="A8233" s="6" t="s">
        <v>29975</v>
      </c>
      <c r="B8233" s="6" t="s">
        <v>29975</v>
      </c>
      <c r="C8233" s="6" t="s">
        <v>27788</v>
      </c>
      <c r="D8233" s="6" t="s">
        <v>27909</v>
      </c>
      <c r="E8233" s="2">
        <v>4308225</v>
      </c>
      <c r="F8233" s="4" t="str">
        <f>IF(B8233=B8232,"",B8233)</f>
        <v>Shively</v>
      </c>
    </row>
    <row r="8234" spans="1:6" ht="15.75" customHeight="1">
      <c r="A8234" s="5" t="str">
        <f ca="1">IFERROR(__xludf.DUMMYFUNCTION("GOOGLETRANSLATE(B43220,""en"",""pt"")"),"Shively")</f>
        <v>Shively</v>
      </c>
      <c r="B8234" s="17" t="s">
        <v>29975</v>
      </c>
      <c r="C8234" s="17" t="s">
        <v>27788</v>
      </c>
      <c r="D8234" s="17" t="s">
        <v>27909</v>
      </c>
      <c r="E8234" s="10">
        <v>4308225</v>
      </c>
      <c r="F8234" s="4" t="str">
        <f>IF(B8234=B8233,"",B8234)</f>
        <v/>
      </c>
    </row>
    <row r="8235" spans="1:6" ht="15.75" customHeight="1">
      <c r="A8235" s="5" t="s">
        <v>13333</v>
      </c>
      <c r="B8235" s="6" t="s">
        <v>13333</v>
      </c>
      <c r="C8235" s="5" t="s">
        <v>10178</v>
      </c>
      <c r="D8235" s="5" t="s">
        <v>10214</v>
      </c>
      <c r="E8235" s="2">
        <v>6943660</v>
      </c>
      <c r="F8235" s="4" t="str">
        <f>IF(B8235=B8234,"",B8235)</f>
        <v>Shivaji Nagar</v>
      </c>
    </row>
    <row r="8236" spans="1:6" ht="15.75" customHeight="1">
      <c r="A8236" s="5" t="str">
        <f ca="1">IFERROR(__xludf.DUMMYFUNCTION("GOOGLETRANSLATE(B34208,""en"",""pt"")"),"Shivaji Nagar")</f>
        <v>Shivaji Nagar</v>
      </c>
      <c r="B8236" s="17" t="s">
        <v>13333</v>
      </c>
      <c r="C8236" s="17" t="s">
        <v>10178</v>
      </c>
      <c r="D8236" s="17" t="s">
        <v>10214</v>
      </c>
      <c r="E8236" s="10">
        <v>6943660</v>
      </c>
      <c r="F8236" s="4" t="str">
        <f>IF(B8236=B8235,"",B8236)</f>
        <v/>
      </c>
    </row>
    <row r="8237" spans="1:6" ht="15.75" customHeight="1">
      <c r="A8237" s="5" t="s">
        <v>5080</v>
      </c>
      <c r="B8237" s="6" t="s">
        <v>5080</v>
      </c>
      <c r="C8237" s="5" t="s">
        <v>4487</v>
      </c>
      <c r="D8237" s="5" t="s">
        <v>4622</v>
      </c>
      <c r="E8237" s="2">
        <v>1794971</v>
      </c>
      <c r="F8237" s="4" t="str">
        <f>IF(B8237=B8236,"",B8237)</f>
        <v>Shitanjing</v>
      </c>
    </row>
    <row r="8238" spans="1:6" ht="15.75" customHeight="1">
      <c r="A8238" s="5" t="str">
        <f ca="1">IFERROR(__xludf.DUMMYFUNCTION("GOOGLETRANSLATE(B26265,""en"",""pt"")"),"Shitanjing")</f>
        <v>Shitanjing</v>
      </c>
      <c r="B8238" s="17" t="s">
        <v>5080</v>
      </c>
      <c r="C8238" s="17" t="s">
        <v>4487</v>
      </c>
      <c r="D8238" s="17" t="s">
        <v>4622</v>
      </c>
      <c r="E8238" s="10">
        <v>1794971</v>
      </c>
      <c r="F8238" s="4" t="str">
        <f>IF(B8238=B8237,"",B8238)</f>
        <v/>
      </c>
    </row>
    <row r="8239" spans="1:6" ht="15.75" customHeight="1">
      <c r="A8239" s="6" t="s">
        <v>16434</v>
      </c>
      <c r="B8239" s="6" t="s">
        <v>16434</v>
      </c>
      <c r="C8239" s="6" t="s">
        <v>15704</v>
      </c>
      <c r="D8239" s="6" t="s">
        <v>15707</v>
      </c>
      <c r="E8239" s="2">
        <v>2111008</v>
      </c>
      <c r="F8239" s="4" t="str">
        <f>IF(B8239=B8238,"",B8239)</f>
        <v>Shisui</v>
      </c>
    </row>
    <row r="8240" spans="1:6" ht="15.75" customHeight="1">
      <c r="A8240" s="5" t="str">
        <f ca="1">IFERROR(__xludf.DUMMYFUNCTION("GOOGLETRANSLATE(B35730,""en"",""pt"")"),"Shisui")</f>
        <v>Shisui</v>
      </c>
      <c r="B8240" s="17" t="s">
        <v>16434</v>
      </c>
      <c r="C8240" s="17" t="s">
        <v>15704</v>
      </c>
      <c r="D8240" s="17" t="s">
        <v>15707</v>
      </c>
      <c r="E8240" s="10">
        <v>2111008</v>
      </c>
      <c r="F8240" s="4" t="str">
        <f>IF(B8240=B8239,"",B8240)</f>
        <v/>
      </c>
    </row>
    <row r="8241" spans="1:6" ht="15.75" customHeight="1">
      <c r="A8241" s="5" t="str">
        <f ca="1">IFERROR(__xludf.DUMMYFUNCTION("GOOGLETRANSLATE(B32165,""en"",""pt"")"),"Shīshgarh")</f>
        <v>Shīshgarh</v>
      </c>
      <c r="B8241" s="17" t="s">
        <v>33082</v>
      </c>
      <c r="C8241" s="17" t="s">
        <v>10178</v>
      </c>
      <c r="D8241" s="17" t="s">
        <v>10193</v>
      </c>
      <c r="E8241" s="10">
        <v>1256468</v>
      </c>
      <c r="F8241" s="4" t="str">
        <f>IF(B8241=B8240,"",B8241)</f>
        <v>Shīshgarh</v>
      </c>
    </row>
    <row r="8242" spans="1:6" ht="15.75" customHeight="1">
      <c r="A8242" s="5" t="str">
        <f ca="1">IFERROR(__xludf.DUMMYFUNCTION("GOOGLETRANSLATE(B34366,""en"",""pt"")"),"Shīrvān")</f>
        <v>Shīrvān</v>
      </c>
      <c r="B8242" s="17" t="s">
        <v>34140</v>
      </c>
      <c r="C8242" s="17" t="s">
        <v>14240</v>
      </c>
      <c r="D8242" s="17" t="s">
        <v>34141</v>
      </c>
      <c r="E8242" s="10">
        <v>114930</v>
      </c>
      <c r="F8242" s="4" t="str">
        <f>IF(B8242=B8241,"",B8242)</f>
        <v>Shīrvān</v>
      </c>
    </row>
    <row r="8243" spans="1:6" ht="15.75" customHeight="1">
      <c r="A8243" s="6" t="s">
        <v>13332</v>
      </c>
      <c r="B8243" s="6" t="s">
        <v>13332</v>
      </c>
      <c r="C8243" s="6" t="s">
        <v>10178</v>
      </c>
      <c r="D8243" s="6" t="s">
        <v>10214</v>
      </c>
      <c r="E8243" s="2">
        <v>1256475</v>
      </c>
      <c r="F8243" s="4" t="str">
        <f>IF(B8243=B8242,"",B8243)</f>
        <v>Shirpur</v>
      </c>
    </row>
    <row r="8244" spans="1:6" ht="15.75" customHeight="1">
      <c r="A8244" s="5" t="str">
        <f ca="1">IFERROR(__xludf.DUMMYFUNCTION("GOOGLETRANSLATE(B32166,""en"",""pt"")"),"Shirpur")</f>
        <v>Shirpur</v>
      </c>
      <c r="B8244" s="17" t="s">
        <v>13332</v>
      </c>
      <c r="C8244" s="17" t="s">
        <v>10178</v>
      </c>
      <c r="D8244" s="17" t="s">
        <v>10214</v>
      </c>
      <c r="E8244" s="10">
        <v>1256475</v>
      </c>
      <c r="F8244" s="4" t="str">
        <f>IF(B8244=B8243,"",B8244)</f>
        <v/>
      </c>
    </row>
    <row r="8245" spans="1:6" ht="15.75" customHeight="1">
      <c r="A8245" s="6" t="s">
        <v>16433</v>
      </c>
      <c r="B8245" s="6" t="s">
        <v>16433</v>
      </c>
      <c r="C8245" s="6" t="s">
        <v>15704</v>
      </c>
      <c r="D8245" s="6" t="s">
        <v>15818</v>
      </c>
      <c r="E8245" s="2">
        <v>1851813</v>
      </c>
      <c r="F8245" s="4" t="str">
        <f>IF(B8245=B8244,"",B8245)</f>
        <v>Shirone</v>
      </c>
    </row>
    <row r="8246" spans="1:6" ht="15.75" customHeight="1">
      <c r="A8246" s="5" t="str">
        <f ca="1">IFERROR(__xludf.DUMMYFUNCTION("GOOGLETRANSLATE(B35289,""en"",""pt"")"),"Shirone")</f>
        <v>Shirone</v>
      </c>
      <c r="B8246" s="17" t="s">
        <v>16433</v>
      </c>
      <c r="C8246" s="17" t="s">
        <v>15704</v>
      </c>
      <c r="D8246" s="17" t="s">
        <v>15818</v>
      </c>
      <c r="E8246" s="10">
        <v>1851813</v>
      </c>
      <c r="F8246" s="4" t="str">
        <f>IF(B8246=B8245,"",B8246)</f>
        <v/>
      </c>
    </row>
    <row r="8247" spans="1:6" ht="15.75" customHeight="1">
      <c r="A8247" s="6" t="s">
        <v>16432</v>
      </c>
      <c r="B8247" s="6" t="s">
        <v>16432</v>
      </c>
      <c r="C8247" s="6" t="s">
        <v>15704</v>
      </c>
      <c r="D8247" s="6" t="s">
        <v>15764</v>
      </c>
      <c r="E8247" s="2">
        <v>2111016</v>
      </c>
      <c r="F8247" s="4" t="str">
        <f>IF(B8247=B8246,"",B8247)</f>
        <v>Shiroishi</v>
      </c>
    </row>
    <row r="8248" spans="1:6" ht="15.75" customHeight="1">
      <c r="A8248" s="5" t="str">
        <f ca="1">IFERROR(__xludf.DUMMYFUNCTION("GOOGLETRANSLATE(B35731,""en"",""pt"")"),"Shiroishi")</f>
        <v>Shiroishi</v>
      </c>
      <c r="B8248" s="17" t="s">
        <v>16432</v>
      </c>
      <c r="C8248" s="17" t="s">
        <v>15704</v>
      </c>
      <c r="D8248" s="17" t="s">
        <v>15764</v>
      </c>
      <c r="E8248" s="10">
        <v>2111016</v>
      </c>
      <c r="F8248" s="4" t="str">
        <f>IF(B8248=B8247,"",B8248)</f>
        <v/>
      </c>
    </row>
    <row r="8249" spans="1:6" ht="15.75" customHeight="1">
      <c r="A8249" s="6" t="s">
        <v>16431</v>
      </c>
      <c r="B8249" s="6" t="s">
        <v>16431</v>
      </c>
      <c r="C8249" s="6" t="s">
        <v>15704</v>
      </c>
      <c r="D8249" s="6" t="s">
        <v>15707</v>
      </c>
      <c r="E8249" s="2">
        <v>2111018</v>
      </c>
      <c r="F8249" s="4" t="str">
        <f>IF(B8249=B8248,"",B8249)</f>
        <v>Shiroi</v>
      </c>
    </row>
    <row r="8250" spans="1:6" ht="15.75" customHeight="1">
      <c r="A8250" s="5" t="str">
        <f ca="1">IFERROR(__xludf.DUMMYFUNCTION("GOOGLETRANSLATE(B35732,""en"",""pt"")"),"Shiroi")</f>
        <v>Shiroi</v>
      </c>
      <c r="B8250" s="17" t="s">
        <v>16431</v>
      </c>
      <c r="C8250" s="17" t="s">
        <v>15704</v>
      </c>
      <c r="D8250" s="17" t="s">
        <v>15707</v>
      </c>
      <c r="E8250" s="10">
        <v>2111018</v>
      </c>
      <c r="F8250" s="4" t="str">
        <f>IF(B8250=B8249,"",B8250)</f>
        <v/>
      </c>
    </row>
    <row r="8251" spans="1:6" ht="15.75" customHeight="1">
      <c r="A8251" s="6" t="s">
        <v>27672</v>
      </c>
      <c r="B8251" s="6" t="s">
        <v>27672</v>
      </c>
      <c r="C8251" s="6" t="s">
        <v>27234</v>
      </c>
      <c r="D8251" s="6" t="s">
        <v>27241</v>
      </c>
      <c r="E8251" s="2">
        <v>8224782</v>
      </c>
      <c r="F8251" s="4" t="str">
        <f>IF(B8251=B8250,"",B8251)</f>
        <v>Shirley</v>
      </c>
    </row>
    <row r="8252" spans="1:6" ht="15.75" customHeight="1">
      <c r="A8252" s="6" t="s">
        <v>27672</v>
      </c>
      <c r="B8252" s="6" t="s">
        <v>27672</v>
      </c>
      <c r="C8252" s="6" t="s">
        <v>27788</v>
      </c>
      <c r="D8252" s="6" t="s">
        <v>27819</v>
      </c>
      <c r="E8252" s="2">
        <v>5138022</v>
      </c>
      <c r="F8252" s="4" t="str">
        <f>IF(B8252=B8251,"",B8252)</f>
        <v/>
      </c>
    </row>
    <row r="8253" spans="1:6" ht="15.75" customHeight="1">
      <c r="A8253" s="5" t="str">
        <f ca="1">IFERROR(__xludf.DUMMYFUNCTION("GOOGLETRANSLATE(B30815,""en"",""pt"")"),"Shirley")</f>
        <v>Shirley</v>
      </c>
      <c r="B8253" s="17" t="s">
        <v>27672</v>
      </c>
      <c r="C8253" s="17" t="s">
        <v>27234</v>
      </c>
      <c r="D8253" s="17" t="s">
        <v>27241</v>
      </c>
      <c r="E8253" s="10">
        <v>8224782</v>
      </c>
      <c r="F8253" s="4" t="str">
        <f>IF(B8253=B8252,"",B8253)</f>
        <v/>
      </c>
    </row>
    <row r="8254" spans="1:6" ht="15.75" customHeight="1">
      <c r="A8254" s="5" t="str">
        <f ca="1">IFERROR(__xludf.DUMMYFUNCTION("GOOGLETRANSLATE(B44452,""en"",""pt"")"),"Shirley")</f>
        <v>Shirley</v>
      </c>
      <c r="B8254" s="17" t="s">
        <v>27672</v>
      </c>
      <c r="C8254" s="17" t="s">
        <v>27788</v>
      </c>
      <c r="D8254" s="17" t="s">
        <v>27819</v>
      </c>
      <c r="E8254" s="10">
        <v>5138022</v>
      </c>
      <c r="F8254" s="4" t="str">
        <f>IF(B8254=B8253,"",B8254)</f>
        <v/>
      </c>
    </row>
    <row r="8255" spans="1:6" ht="15.75" customHeight="1">
      <c r="A8255" s="6" t="s">
        <v>13331</v>
      </c>
      <c r="B8255" s="6" t="s">
        <v>13331</v>
      </c>
      <c r="C8255" s="6" t="s">
        <v>10178</v>
      </c>
      <c r="D8255" s="6" t="s">
        <v>10252</v>
      </c>
      <c r="E8255" s="2">
        <v>1256483</v>
      </c>
      <c r="F8255" s="4" t="str">
        <f>IF(B8255=B8254,"",B8255)</f>
        <v>Shirhatti</v>
      </c>
    </row>
    <row r="8256" spans="1:6" ht="15.75" customHeight="1">
      <c r="A8256" s="5" t="str">
        <f ca="1">IFERROR(__xludf.DUMMYFUNCTION("GOOGLETRANSLATE(B32167,""en"",""pt"")"),"Shirhatti")</f>
        <v>Shirhatti</v>
      </c>
      <c r="B8256" s="17" t="s">
        <v>13331</v>
      </c>
      <c r="C8256" s="17" t="s">
        <v>10178</v>
      </c>
      <c r="D8256" s="17" t="s">
        <v>10252</v>
      </c>
      <c r="E8256" s="10">
        <v>1256483</v>
      </c>
      <c r="F8256" s="4" t="str">
        <f>IF(B8256=B8255,"",B8256)</f>
        <v/>
      </c>
    </row>
    <row r="8257" spans="1:6" ht="15.75" customHeight="1">
      <c r="A8257" s="6" t="s">
        <v>13330</v>
      </c>
      <c r="B8257" s="6" t="s">
        <v>13330</v>
      </c>
      <c r="C8257" s="6" t="s">
        <v>10178</v>
      </c>
      <c r="D8257" s="6" t="s">
        <v>10214</v>
      </c>
      <c r="E8257" s="2">
        <v>1256489</v>
      </c>
      <c r="F8257" s="4" t="str">
        <f>IF(B8257=B8256,"",B8257)</f>
        <v>Shirdi</v>
      </c>
    </row>
    <row r="8258" spans="1:6" ht="15.75" customHeight="1">
      <c r="A8258" s="5" t="str">
        <f ca="1">IFERROR(__xludf.DUMMYFUNCTION("GOOGLETRANSLATE(B32168,""en"",""pt"")"),"Shirdi")</f>
        <v>Shirdi</v>
      </c>
      <c r="B8258" s="17" t="s">
        <v>13330</v>
      </c>
      <c r="C8258" s="17" t="s">
        <v>10178</v>
      </c>
      <c r="D8258" s="17" t="s">
        <v>10214</v>
      </c>
      <c r="E8258" s="10">
        <v>1256489</v>
      </c>
      <c r="F8258" s="4" t="str">
        <f>IF(B8258=B8257,"",B8258)</f>
        <v/>
      </c>
    </row>
    <row r="8259" spans="1:6" ht="15.75" customHeight="1">
      <c r="A8259" s="5" t="str">
        <f ca="1">IFERROR(__xludf.DUMMYFUNCTION("GOOGLETRANSLATE(B28831,""en"",""pt"")"),"Shirbīn")</f>
        <v>Shirbīn</v>
      </c>
      <c r="B8259" s="17" t="s">
        <v>32258</v>
      </c>
      <c r="C8259" s="17" t="s">
        <v>6495</v>
      </c>
      <c r="D8259" s="17" t="s">
        <v>32250</v>
      </c>
      <c r="E8259" s="10">
        <v>349114</v>
      </c>
      <c r="F8259" s="4" t="str">
        <f>IF(B8259=B8258,"",B8259)</f>
        <v>Shirbīn</v>
      </c>
    </row>
    <row r="8260" spans="1:6" ht="15.75" customHeight="1">
      <c r="A8260" s="6" t="s">
        <v>6713</v>
      </c>
      <c r="B8260" s="6" t="s">
        <v>6714</v>
      </c>
      <c r="C8260" s="6" t="s">
        <v>6495</v>
      </c>
      <c r="D8260" s="6" t="s">
        <v>6508</v>
      </c>
      <c r="E8260" s="2">
        <v>349114</v>
      </c>
      <c r="F8260" s="4" t="str">
        <f>IF(B8260=B8259,"",B8260)</f>
        <v>ShirbÄ«n</v>
      </c>
    </row>
    <row r="8261" spans="1:6" ht="15.75" customHeight="1">
      <c r="A8261" s="6" t="s">
        <v>14563</v>
      </c>
      <c r="B8261" s="6" t="s">
        <v>14563</v>
      </c>
      <c r="C8261" s="6" t="s">
        <v>14240</v>
      </c>
      <c r="D8261" s="6" t="s">
        <v>14244</v>
      </c>
      <c r="E8261" s="2">
        <v>115019</v>
      </c>
      <c r="F8261" s="4" t="str">
        <f>IF(B8261=B8260,"",B8261)</f>
        <v>Shiraz</v>
      </c>
    </row>
    <row r="8262" spans="1:6" ht="15.75" customHeight="1">
      <c r="A8262" s="5" t="str">
        <f ca="1">IFERROR(__xludf.DUMMYFUNCTION("GOOGLETRANSLATE(B34367,""en"",""pt"")"),"Shiraz")</f>
        <v>Shiraz</v>
      </c>
      <c r="B8262" s="17" t="s">
        <v>14563</v>
      </c>
      <c r="C8262" s="17" t="s">
        <v>14240</v>
      </c>
      <c r="D8262" s="17" t="s">
        <v>14244</v>
      </c>
      <c r="E8262" s="10">
        <v>115019</v>
      </c>
      <c r="F8262" s="4" t="str">
        <f>IF(B8262=B8261,"",B8262)</f>
        <v/>
      </c>
    </row>
    <row r="8263" spans="1:6" ht="15.75" customHeight="1">
      <c r="A8263" s="6" t="s">
        <v>16430</v>
      </c>
      <c r="B8263" s="6" t="s">
        <v>16430</v>
      </c>
      <c r="C8263" s="6" t="s">
        <v>15704</v>
      </c>
      <c r="D8263" s="6" t="s">
        <v>15710</v>
      </c>
      <c r="E8263" s="2">
        <v>1851883</v>
      </c>
      <c r="F8263" s="4" t="str">
        <f>IF(B8263=B8262,"",B8263)</f>
        <v>Shiraoka</v>
      </c>
    </row>
    <row r="8264" spans="1:6" ht="15.75" customHeight="1">
      <c r="A8264" s="5" t="str">
        <f ca="1">IFERROR(__xludf.DUMMYFUNCTION("GOOGLETRANSLATE(B35290,""en"",""pt"")"),"Shiraoka")</f>
        <v>Shiraoka</v>
      </c>
      <c r="B8264" s="17" t="s">
        <v>16430</v>
      </c>
      <c r="C8264" s="17" t="s">
        <v>15704</v>
      </c>
      <c r="D8264" s="17" t="s">
        <v>15710</v>
      </c>
      <c r="E8264" s="10">
        <v>1851883</v>
      </c>
      <c r="F8264" s="4" t="str">
        <f>IF(B8264=B8263,"",B8264)</f>
        <v/>
      </c>
    </row>
    <row r="8265" spans="1:6" ht="15.75" customHeight="1">
      <c r="A8265" s="6" t="s">
        <v>16429</v>
      </c>
      <c r="B8265" s="6" t="s">
        <v>16429</v>
      </c>
      <c r="C8265" s="6" t="s">
        <v>15704</v>
      </c>
      <c r="D8265" s="6" t="s">
        <v>15705</v>
      </c>
      <c r="E8265" s="2">
        <v>2128072</v>
      </c>
      <c r="F8265" s="4" t="str">
        <f>IF(B8265=B8264,"",B8265)</f>
        <v>Shiraoi</v>
      </c>
    </row>
    <row r="8266" spans="1:6" ht="15.75" customHeight="1">
      <c r="A8266" s="5" t="str">
        <f ca="1">IFERROR(__xludf.DUMMYFUNCTION("GOOGLETRANSLATE(B35824,""en"",""pt"")"),"Shiraoi")</f>
        <v>Shiraoi</v>
      </c>
      <c r="B8266" s="17" t="s">
        <v>16429</v>
      </c>
      <c r="C8266" s="17" t="s">
        <v>15704</v>
      </c>
      <c r="D8266" s="17" t="s">
        <v>15705</v>
      </c>
      <c r="E8266" s="10">
        <v>2128072</v>
      </c>
      <c r="F8266" s="4" t="str">
        <f>IF(B8266=B8265,"",B8266)</f>
        <v/>
      </c>
    </row>
    <row r="8267" spans="1:6" ht="15.75" customHeight="1">
      <c r="A8267" s="5" t="str">
        <f ca="1">IFERROR(__xludf.DUMMYFUNCTION("GOOGLETRANSLATE(B35291,""en"",""pt"")"),"Shirahamachō-Usazakiminami")</f>
        <v>Shirahamachō-Usazakiminami</v>
      </c>
      <c r="B8267" s="17" t="s">
        <v>34310</v>
      </c>
      <c r="C8267" s="17" t="s">
        <v>15704</v>
      </c>
      <c r="D8267" s="17" t="s">
        <v>34291</v>
      </c>
      <c r="E8267" s="10">
        <v>1851935</v>
      </c>
      <c r="F8267" s="4" t="str">
        <f>IF(B8267=B8266,"",B8267)</f>
        <v>Shirahamachō-usazakiminami</v>
      </c>
    </row>
    <row r="8268" spans="1:6" ht="15.75" customHeight="1">
      <c r="A8268" s="5" t="s">
        <v>16427</v>
      </c>
      <c r="B8268" s="6" t="s">
        <v>16428</v>
      </c>
      <c r="C8268" s="5" t="s">
        <v>15704</v>
      </c>
      <c r="D8268" s="5" t="s">
        <v>15712</v>
      </c>
      <c r="E8268" s="2">
        <v>1851935</v>
      </c>
      <c r="F8268" s="4" t="str">
        <f>IF(B8268=B8267,"",B8268)</f>
        <v>ShirahamachÅ-usazakiminami</v>
      </c>
    </row>
    <row r="8269" spans="1:6" ht="15.75" customHeight="1">
      <c r="A8269" s="5" t="s">
        <v>13329</v>
      </c>
      <c r="B8269" s="6" t="s">
        <v>13329</v>
      </c>
      <c r="C8269" s="5" t="s">
        <v>10178</v>
      </c>
      <c r="D8269" s="5" t="s">
        <v>10214</v>
      </c>
      <c r="E8269" s="2">
        <v>8714565</v>
      </c>
      <c r="F8269" s="4" t="str">
        <f>IF(B8269=B8268,"",B8269)</f>
        <v>Shiraguppi</v>
      </c>
    </row>
    <row r="8270" spans="1:6" ht="15.75" customHeight="1">
      <c r="A8270" s="5" t="str">
        <f ca="1">IFERROR(__xludf.DUMMYFUNCTION("GOOGLETRANSLATE(B34260,""en"",""pt"")"),"Shiraguppi")</f>
        <v>Shiraguppi</v>
      </c>
      <c r="B8270" s="17" t="s">
        <v>13329</v>
      </c>
      <c r="C8270" s="17" t="s">
        <v>10178</v>
      </c>
      <c r="D8270" s="17" t="s">
        <v>10214</v>
      </c>
      <c r="E8270" s="10">
        <v>8714565</v>
      </c>
      <c r="F8270" s="4" t="str">
        <f>IF(B8270=B8269,"",B8270)</f>
        <v/>
      </c>
    </row>
    <row r="8271" spans="1:6" ht="15.75" customHeight="1">
      <c r="A8271" s="6" t="s">
        <v>5079</v>
      </c>
      <c r="B8271" s="6" t="s">
        <v>5079</v>
      </c>
      <c r="C8271" s="6" t="s">
        <v>4487</v>
      </c>
      <c r="D8271" s="6" t="s">
        <v>4492</v>
      </c>
      <c r="E8271" s="2">
        <v>1795055</v>
      </c>
      <c r="F8271" s="4" t="str">
        <f>IF(B8271=B8270,"",B8271)</f>
        <v>Shiqiao</v>
      </c>
    </row>
    <row r="8272" spans="1:6" ht="15.75" customHeight="1">
      <c r="A8272" s="5" t="str">
        <f ca="1">IFERROR(__xludf.DUMMYFUNCTION("GOOGLETRANSLATE(B26266,""en"",""pt"")"),"Shiqiao")</f>
        <v>Shiqiao</v>
      </c>
      <c r="B8272" s="17" t="s">
        <v>5079</v>
      </c>
      <c r="C8272" s="17" t="s">
        <v>4487</v>
      </c>
      <c r="D8272" s="17" t="s">
        <v>4492</v>
      </c>
      <c r="E8272" s="10">
        <v>1795055</v>
      </c>
      <c r="F8272" s="4" t="str">
        <f>IF(B8272=B8271,"",B8272)</f>
        <v/>
      </c>
    </row>
    <row r="8273" spans="1:6" ht="15.75" customHeight="1">
      <c r="A8273" s="6" t="s">
        <v>5078</v>
      </c>
      <c r="B8273" s="6" t="s">
        <v>5078</v>
      </c>
      <c r="C8273" s="6" t="s">
        <v>4487</v>
      </c>
      <c r="D8273" s="6" t="s">
        <v>4492</v>
      </c>
      <c r="E8273" s="2">
        <v>1795060</v>
      </c>
      <c r="F8273" s="4" t="str">
        <f>IF(B8273=B8272,"",B8273)</f>
        <v>Shiqi</v>
      </c>
    </row>
    <row r="8274" spans="1:6" ht="15.75" customHeight="1">
      <c r="A8274" s="5" t="str">
        <f ca="1">IFERROR(__xludf.DUMMYFUNCTION("GOOGLETRANSLATE(B26267,""en"",""pt"")"),"Shiqi")</f>
        <v>Shiqi</v>
      </c>
      <c r="B8274" s="17" t="s">
        <v>5078</v>
      </c>
      <c r="C8274" s="17" t="s">
        <v>4487</v>
      </c>
      <c r="D8274" s="17" t="s">
        <v>4492</v>
      </c>
      <c r="E8274" s="10">
        <v>1795060</v>
      </c>
      <c r="F8274" s="4" t="str">
        <f>IF(B8274=B8273,"",B8274)</f>
        <v/>
      </c>
    </row>
    <row r="8275" spans="1:6" ht="15.75" customHeight="1">
      <c r="A8275" s="6" t="s">
        <v>27671</v>
      </c>
      <c r="B8275" s="6" t="s">
        <v>27671</v>
      </c>
      <c r="C8275" s="6" t="s">
        <v>27234</v>
      </c>
      <c r="D8275" s="6" t="s">
        <v>27241</v>
      </c>
      <c r="E8275" s="2">
        <v>2637958</v>
      </c>
      <c r="F8275" s="4" t="str">
        <f>IF(B8275=B8274,"",B8275)</f>
        <v>Shipley</v>
      </c>
    </row>
    <row r="8276" spans="1:6" ht="15.75" customHeight="1">
      <c r="A8276" s="5" t="str">
        <f ca="1">IFERROR(__xludf.DUMMYFUNCTION("GOOGLETRANSLATE(B30409,""en"",""pt"")"),"Shipley")</f>
        <v>Shipley</v>
      </c>
      <c r="B8276" s="17" t="s">
        <v>27671</v>
      </c>
      <c r="C8276" s="17" t="s">
        <v>27234</v>
      </c>
      <c r="D8276" s="17" t="s">
        <v>27241</v>
      </c>
      <c r="E8276" s="10">
        <v>2637958</v>
      </c>
      <c r="F8276" s="4" t="str">
        <f>IF(B8276=B8275,"",B8276)</f>
        <v/>
      </c>
    </row>
    <row r="8277" spans="1:6" ht="15.75" customHeight="1">
      <c r="A8277" s="6" t="s">
        <v>16426</v>
      </c>
      <c r="B8277" s="6" t="s">
        <v>16426</v>
      </c>
      <c r="C8277" s="6" t="s">
        <v>15704</v>
      </c>
      <c r="D8277" s="6" t="s">
        <v>15818</v>
      </c>
      <c r="E8277" s="2">
        <v>1851952</v>
      </c>
      <c r="F8277" s="4" t="str">
        <f>IF(B8277=B8276,"",B8277)</f>
        <v>Shiozawa</v>
      </c>
    </row>
    <row r="8278" spans="1:6" ht="15.75" customHeight="1">
      <c r="A8278" s="5" t="str">
        <f ca="1">IFERROR(__xludf.DUMMYFUNCTION("GOOGLETRANSLATE(B35292,""en"",""pt"")"),"Shiozawa")</f>
        <v>Shiozawa</v>
      </c>
      <c r="B8278" s="17" t="s">
        <v>16426</v>
      </c>
      <c r="C8278" s="17" t="s">
        <v>15704</v>
      </c>
      <c r="D8278" s="17" t="s">
        <v>15818</v>
      </c>
      <c r="E8278" s="10">
        <v>1851952</v>
      </c>
      <c r="F8278" s="4" t="str">
        <f>IF(B8278=B8277,"",B8278)</f>
        <v/>
      </c>
    </row>
    <row r="8279" spans="1:6" ht="15.75" customHeight="1">
      <c r="A8279" s="6" t="s">
        <v>16425</v>
      </c>
      <c r="B8279" s="6" t="s">
        <v>16425</v>
      </c>
      <c r="C8279" s="6" t="s">
        <v>15704</v>
      </c>
      <c r="D8279" s="6" t="s">
        <v>15769</v>
      </c>
      <c r="E8279" s="2">
        <v>1852003</v>
      </c>
      <c r="F8279" s="4" t="str">
        <f>IF(B8279=B8278,"",B8279)</f>
        <v>Shiojiri</v>
      </c>
    </row>
    <row r="8280" spans="1:6" ht="15.75" customHeight="1">
      <c r="A8280" s="5" t="str">
        <f ca="1">IFERROR(__xludf.DUMMYFUNCTION("GOOGLETRANSLATE(B35293,""en"",""pt"")"),"Shiojiri")</f>
        <v>Shiojiri</v>
      </c>
      <c r="B8280" s="17" t="s">
        <v>16425</v>
      </c>
      <c r="C8280" s="17" t="s">
        <v>15704</v>
      </c>
      <c r="D8280" s="17" t="s">
        <v>15769</v>
      </c>
      <c r="E8280" s="10">
        <v>1852003</v>
      </c>
      <c r="F8280" s="4" t="str">
        <f>IF(B8280=B8279,"",B8280)</f>
        <v/>
      </c>
    </row>
    <row r="8281" spans="1:6" ht="15.75" customHeight="1">
      <c r="A8281" s="6" t="s">
        <v>16424</v>
      </c>
      <c r="B8281" s="6" t="s">
        <v>16424</v>
      </c>
      <c r="C8281" s="6" t="s">
        <v>15704</v>
      </c>
      <c r="D8281" s="6" t="s">
        <v>15764</v>
      </c>
      <c r="E8281" s="2">
        <v>2111049</v>
      </c>
      <c r="F8281" s="4" t="str">
        <f>IF(B8281=B8280,"",B8281)</f>
        <v>Shiogama</v>
      </c>
    </row>
    <row r="8282" spans="1:6" ht="15.75" customHeight="1">
      <c r="A8282" s="5" t="str">
        <f ca="1">IFERROR(__xludf.DUMMYFUNCTION("GOOGLETRANSLATE(B35733,""en"",""pt"")"),"Shiogama")</f>
        <v>Shiogama</v>
      </c>
      <c r="B8282" s="17" t="s">
        <v>16424</v>
      </c>
      <c r="C8282" s="17" t="s">
        <v>15704</v>
      </c>
      <c r="D8282" s="17" t="s">
        <v>15764</v>
      </c>
      <c r="E8282" s="10">
        <v>2111049</v>
      </c>
      <c r="F8282" s="4" t="str">
        <f>IF(B8282=B8281,"",B8282)</f>
        <v/>
      </c>
    </row>
    <row r="8283" spans="1:6" ht="15.75" customHeight="1">
      <c r="A8283" s="5" t="s">
        <v>25615</v>
      </c>
      <c r="B8283" s="6" t="s">
        <v>25615</v>
      </c>
      <c r="C8283" s="5" t="s">
        <v>25560</v>
      </c>
      <c r="D8283" s="5" t="s">
        <v>25615</v>
      </c>
      <c r="E8283" s="2">
        <v>150006</v>
      </c>
      <c r="F8283" s="4" t="str">
        <f>IF(B8283=B8282,"",B8283)</f>
        <v>Shinyanga</v>
      </c>
    </row>
    <row r="8284" spans="1:6" ht="15.75" customHeight="1">
      <c r="A8284" s="5" t="str">
        <f ca="1">IFERROR(__xludf.DUMMYFUNCTION("GOOGLETRANSLATE(B42306,""en"",""pt"")"),"Shinyanga")</f>
        <v>Shinyanga</v>
      </c>
      <c r="B8284" s="17" t="s">
        <v>25615</v>
      </c>
      <c r="C8284" s="17" t="s">
        <v>25560</v>
      </c>
      <c r="D8284" s="17" t="s">
        <v>25615</v>
      </c>
      <c r="E8284" s="10">
        <v>150006</v>
      </c>
      <c r="F8284" s="4" t="str">
        <f>IF(B8284=B8283,"",B8284)</f>
        <v/>
      </c>
    </row>
    <row r="8285" spans="1:6" ht="15.75" customHeight="1">
      <c r="A8285" s="6" t="s">
        <v>16423</v>
      </c>
      <c r="B8285" s="6" t="s">
        <v>16423</v>
      </c>
      <c r="C8285" s="6" t="s">
        <v>15704</v>
      </c>
      <c r="D8285" s="6" t="s">
        <v>15729</v>
      </c>
      <c r="E8285" s="2">
        <v>1852046</v>
      </c>
      <c r="F8285" s="4" t="str">
        <f>IF(B8285=B8284,"",B8285)</f>
        <v>Shinshiro</v>
      </c>
    </row>
    <row r="8286" spans="1:6" ht="15.75" customHeight="1">
      <c r="A8286" s="5" t="str">
        <f ca="1">IFERROR(__xludf.DUMMYFUNCTION("GOOGLETRANSLATE(B35294,""en"",""pt"")"),"Shinshiro")</f>
        <v>Shinshiro</v>
      </c>
      <c r="B8286" s="17" t="s">
        <v>16423</v>
      </c>
      <c r="C8286" s="17" t="s">
        <v>15704</v>
      </c>
      <c r="D8286" s="17" t="s">
        <v>15729</v>
      </c>
      <c r="E8286" s="10">
        <v>1852046</v>
      </c>
      <c r="F8286" s="4" t="str">
        <f>IF(B8286=B8285,"",B8286)</f>
        <v/>
      </c>
    </row>
    <row r="8287" spans="1:6" ht="15.75" customHeight="1">
      <c r="A8287" s="5" t="str">
        <f ca="1">IFERROR(__xludf.DUMMYFUNCTION("GOOGLETRANSLATE(B35734,""en"",""pt"")"),"Shinjō")</f>
        <v>Shinjō</v>
      </c>
      <c r="B8287" s="17" t="s">
        <v>34403</v>
      </c>
      <c r="C8287" s="17" t="s">
        <v>15704</v>
      </c>
      <c r="D8287" s="17" t="s">
        <v>15951</v>
      </c>
      <c r="E8287" s="10">
        <v>2111065</v>
      </c>
      <c r="F8287" s="4" t="str">
        <f>IF(B8287=B8286,"",B8287)</f>
        <v>Shinjō</v>
      </c>
    </row>
    <row r="8288" spans="1:6" ht="15.75" customHeight="1">
      <c r="A8288" s="6" t="s">
        <v>16421</v>
      </c>
      <c r="B8288" s="6" t="s">
        <v>16422</v>
      </c>
      <c r="C8288" s="6" t="s">
        <v>15704</v>
      </c>
      <c r="D8288" s="6" t="s">
        <v>15951</v>
      </c>
      <c r="E8288" s="2">
        <v>2111065</v>
      </c>
      <c r="F8288" s="4" t="str">
        <f>IF(B8288=B8287,"",B8288)</f>
        <v>ShinjÅ</v>
      </c>
    </row>
    <row r="8289" spans="1:6" ht="15.75" customHeight="1">
      <c r="A8289" s="5" t="str">
        <f ca="1">IFERROR(__xludf.DUMMYFUNCTION("GOOGLETRANSLATE(B35148,""en"",""pt"")"),"Shingū")</f>
        <v>Shingū</v>
      </c>
      <c r="B8289" s="17" t="s">
        <v>34290</v>
      </c>
      <c r="C8289" s="17" t="s">
        <v>15704</v>
      </c>
      <c r="D8289" s="17" t="s">
        <v>15902</v>
      </c>
      <c r="E8289" s="10">
        <v>1847947</v>
      </c>
      <c r="F8289" s="4" t="str">
        <f>IF(B8289=B8288,"",B8289)</f>
        <v>Shingū</v>
      </c>
    </row>
    <row r="8290" spans="1:6" ht="15.75" customHeight="1">
      <c r="A8290" s="5" t="str">
        <f ca="1">IFERROR(__xludf.DUMMYFUNCTION("GOOGLETRANSLATE(B35296,""en"",""pt"")"),"Shingū")</f>
        <v>Shingū</v>
      </c>
      <c r="B8290" s="17" t="s">
        <v>34290</v>
      </c>
      <c r="C8290" s="17" t="s">
        <v>15704</v>
      </c>
      <c r="D8290" s="17" t="s">
        <v>15722</v>
      </c>
      <c r="E8290" s="10">
        <v>1852109</v>
      </c>
      <c r="F8290" s="4" t="str">
        <f>IF(B8290=B8289,"",B8290)</f>
        <v/>
      </c>
    </row>
    <row r="8291" spans="1:6" ht="15.75" customHeight="1">
      <c r="A8291" s="6" t="s">
        <v>16419</v>
      </c>
      <c r="B8291" s="6" t="s">
        <v>16420</v>
      </c>
      <c r="C8291" s="6" t="s">
        <v>15704</v>
      </c>
      <c r="D8291" s="6" t="s">
        <v>15902</v>
      </c>
      <c r="E8291" s="2">
        <v>1847947</v>
      </c>
      <c r="F8291" s="4" t="str">
        <f>IF(B8291=B8290,"",B8291)</f>
        <v>ShingÅ«</v>
      </c>
    </row>
    <row r="8292" spans="1:6" ht="15.75" customHeight="1">
      <c r="A8292" s="6" t="s">
        <v>16419</v>
      </c>
      <c r="B8292" s="6" t="s">
        <v>16420</v>
      </c>
      <c r="C8292" s="6" t="s">
        <v>15704</v>
      </c>
      <c r="D8292" s="6" t="s">
        <v>15722</v>
      </c>
      <c r="E8292" s="2">
        <v>1852109</v>
      </c>
      <c r="F8292" s="4" t="str">
        <f>IF(B8292=B8291,"",B8292)</f>
        <v/>
      </c>
    </row>
    <row r="8293" spans="1:6" ht="15.75" customHeight="1">
      <c r="A8293" s="5" t="str">
        <f ca="1">IFERROR(__xludf.DUMMYFUNCTION("GOOGLETRANSLATE(B23056,""en"",""pt"")"),"Shīnḏanḏ")</f>
        <v>Shīnḏanḏ</v>
      </c>
      <c r="B8293" s="17" t="s">
        <v>31109</v>
      </c>
      <c r="C8293" s="17" t="s">
        <v>8</v>
      </c>
      <c r="D8293" s="17" t="s">
        <v>51</v>
      </c>
      <c r="E8293" s="10">
        <v>1125155</v>
      </c>
      <c r="F8293" s="4" t="str">
        <f>IF(B8293=B8292,"",B8293)</f>
        <v>Shīnḏanḏ</v>
      </c>
    </row>
    <row r="8294" spans="1:6" ht="15.75" customHeight="1">
      <c r="A8294" s="5" t="str">
        <f ca="1">IFERROR(__xludf.DUMMYFUNCTION("GOOGLETRANSLATE(B38255,""en"",""pt"")"),"Shināş")</f>
        <v>Shināş</v>
      </c>
      <c r="B8294" s="17" t="s">
        <v>34844</v>
      </c>
      <c r="C8294" s="17" t="s">
        <v>19755</v>
      </c>
      <c r="D8294" s="17" t="s">
        <v>19765</v>
      </c>
      <c r="E8294" s="10">
        <v>286402</v>
      </c>
      <c r="F8294" s="4" t="str">
        <f>IF(B8294=B8293,"",B8294)</f>
        <v>Shināş</v>
      </c>
    </row>
    <row r="8295" spans="1:6" ht="15.75" customHeight="1">
      <c r="A8295" s="5" t="s">
        <v>19798</v>
      </c>
      <c r="B8295" s="6" t="s">
        <v>19799</v>
      </c>
      <c r="C8295" s="5" t="s">
        <v>19755</v>
      </c>
      <c r="D8295" s="5" t="s">
        <v>19765</v>
      </c>
      <c r="E8295" s="2">
        <v>286402</v>
      </c>
      <c r="F8295" s="4" t="str">
        <f>IF(B8295=B8294,"",B8295)</f>
        <v>ShinÄÅŸ</v>
      </c>
    </row>
    <row r="8296" spans="1:6" ht="15.75" customHeight="1">
      <c r="A8296" s="6" t="s">
        <v>16417</v>
      </c>
      <c r="B8296" s="6" t="s">
        <v>16418</v>
      </c>
      <c r="C8296" s="6" t="s">
        <v>15704</v>
      </c>
      <c r="D8296" s="6" t="s">
        <v>15789</v>
      </c>
      <c r="E8296" s="2">
        <v>1852102</v>
      </c>
      <c r="F8296" s="4" t="str">
        <f>IF(B8296=B8295,"",B8296)</f>
        <v>Shinâ€™ichi</v>
      </c>
    </row>
    <row r="8297" spans="1:6" ht="15.75" customHeight="1">
      <c r="A8297" s="5" t="str">
        <f ca="1">IFERROR(__xludf.DUMMYFUNCTION("GOOGLETRANSLATE(B35295,""en"",""pt"")"),"Shin'ichi")</f>
        <v>Shin'ichi</v>
      </c>
      <c r="B8297" s="17" t="s">
        <v>34311</v>
      </c>
      <c r="C8297" s="17" t="s">
        <v>15704</v>
      </c>
      <c r="D8297" s="17" t="s">
        <v>15789</v>
      </c>
      <c r="E8297" s="10">
        <v>1852102</v>
      </c>
      <c r="F8297" s="4" t="str">
        <f>IF(B8297=B8296,"",B8297)</f>
        <v>Shin’ichi</v>
      </c>
    </row>
    <row r="8298" spans="1:6" ht="15.75" customHeight="1">
      <c r="A8298" s="5" t="s">
        <v>16416</v>
      </c>
      <c r="B8298" s="6" t="s">
        <v>16416</v>
      </c>
      <c r="C8298" s="5" t="s">
        <v>15704</v>
      </c>
      <c r="D8298" s="5" t="s">
        <v>15710</v>
      </c>
      <c r="E8298" s="2">
        <v>1907301</v>
      </c>
      <c r="F8298" s="4" t="str">
        <f>IF(B8298=B8297,"",B8298)</f>
        <v>Shimotoda</v>
      </c>
    </row>
    <row r="8299" spans="1:6" ht="15.75" customHeight="1">
      <c r="A8299" s="5" t="str">
        <f ca="1">IFERROR(__xludf.DUMMYFUNCTION("GOOGLETRANSLATE(B35694,""en"",""pt"")"),"Shimotoda")</f>
        <v>Shimotoda</v>
      </c>
      <c r="B8299" s="17" t="s">
        <v>16416</v>
      </c>
      <c r="C8299" s="17" t="s">
        <v>15704</v>
      </c>
      <c r="D8299" s="17" t="s">
        <v>15710</v>
      </c>
      <c r="E8299" s="10">
        <v>1907301</v>
      </c>
      <c r="F8299" s="4" t="str">
        <f>IF(B8299=B8298,"",B8299)</f>
        <v/>
      </c>
    </row>
    <row r="8300" spans="1:6" ht="15.75" customHeight="1">
      <c r="A8300" s="5" t="s">
        <v>16415</v>
      </c>
      <c r="B8300" s="6" t="s">
        <v>16415</v>
      </c>
      <c r="C8300" s="5" t="s">
        <v>15704</v>
      </c>
      <c r="D8300" s="5" t="s">
        <v>15796</v>
      </c>
      <c r="E8300" s="2">
        <v>1852225</v>
      </c>
      <c r="F8300" s="4" t="str">
        <f>IF(B8300=B8299,"",B8300)</f>
        <v>Shimonoseki</v>
      </c>
    </row>
    <row r="8301" spans="1:6" ht="15.75" customHeight="1">
      <c r="A8301" s="5" t="str">
        <f ca="1">IFERROR(__xludf.DUMMYFUNCTION("GOOGLETRANSLATE(B35297,""en"",""pt"")"),"Shimonoseki")</f>
        <v>Shimonoseki</v>
      </c>
      <c r="B8301" s="17" t="s">
        <v>16415</v>
      </c>
      <c r="C8301" s="17" t="s">
        <v>15704</v>
      </c>
      <c r="D8301" s="17" t="s">
        <v>15796</v>
      </c>
      <c r="E8301" s="10">
        <v>1852225</v>
      </c>
      <c r="F8301" s="4" t="str">
        <f>IF(B8301=B8300,"",B8301)</f>
        <v/>
      </c>
    </row>
    <row r="8302" spans="1:6" ht="15.75" customHeight="1">
      <c r="A8302" s="5" t="s">
        <v>16414</v>
      </c>
      <c r="B8302" s="6" t="s">
        <v>16414</v>
      </c>
      <c r="C8302" s="5" t="s">
        <v>15704</v>
      </c>
      <c r="D8302" s="5" t="s">
        <v>15815</v>
      </c>
      <c r="E8302" s="2">
        <v>2129513</v>
      </c>
      <c r="F8302" s="4" t="str">
        <f>IF(B8302=B8301,"",B8302)</f>
        <v>Shimokizukuri</v>
      </c>
    </row>
    <row r="8303" spans="1:6" ht="15.75" customHeight="1">
      <c r="A8303" s="5" t="str">
        <f ca="1">IFERROR(__xludf.DUMMYFUNCTION("GOOGLETRANSLATE(B35845,""en"",""pt"")"),"Shimokizukuri")</f>
        <v>Shimokizukuri</v>
      </c>
      <c r="B8303" s="17" t="s">
        <v>16414</v>
      </c>
      <c r="C8303" s="17" t="s">
        <v>15704</v>
      </c>
      <c r="D8303" s="17" t="s">
        <v>15815</v>
      </c>
      <c r="E8303" s="10">
        <v>2129513</v>
      </c>
      <c r="F8303" s="4" t="str">
        <f>IF(B8303=B8302,"",B8303)</f>
        <v/>
      </c>
    </row>
    <row r="8304" spans="1:6" ht="15.75" customHeight="1">
      <c r="A8304" s="6" t="s">
        <v>13328</v>
      </c>
      <c r="B8304" s="6" t="s">
        <v>13328</v>
      </c>
      <c r="C8304" s="6" t="s">
        <v>10178</v>
      </c>
      <c r="D8304" s="6" t="s">
        <v>10252</v>
      </c>
      <c r="E8304" s="2">
        <v>1256515</v>
      </c>
      <c r="F8304" s="4" t="str">
        <f>IF(B8304=B8303,"",B8304)</f>
        <v>Shimoga</v>
      </c>
    </row>
    <row r="8305" spans="1:6" ht="15.75" customHeight="1">
      <c r="A8305" s="5" t="str">
        <f ca="1">IFERROR(__xludf.DUMMYFUNCTION("GOOGLETRANSLATE(B32169,""en"",""pt"")"),"Shimoga")</f>
        <v>Shimoga</v>
      </c>
      <c r="B8305" s="17" t="s">
        <v>13328</v>
      </c>
      <c r="C8305" s="17" t="s">
        <v>10178</v>
      </c>
      <c r="D8305" s="17" t="s">
        <v>10252</v>
      </c>
      <c r="E8305" s="10">
        <v>1256515</v>
      </c>
      <c r="F8305" s="4" t="str">
        <f>IF(B8305=B8304,"",B8305)</f>
        <v/>
      </c>
    </row>
    <row r="8306" spans="1:6" ht="15.75" customHeight="1">
      <c r="A8306" s="5" t="s">
        <v>16412</v>
      </c>
      <c r="B8306" s="6" t="s">
        <v>16413</v>
      </c>
      <c r="C8306" s="5" t="s">
        <v>15704</v>
      </c>
      <c r="D8306" s="5" t="s">
        <v>15705</v>
      </c>
      <c r="E8306" s="2">
        <v>2128147</v>
      </c>
      <c r="F8306" s="4" t="str">
        <f>IF(B8306=B8305,"",B8306)</f>
        <v>Shimo-furano</v>
      </c>
    </row>
    <row r="8307" spans="1:6" ht="15.75" customHeight="1">
      <c r="A8307" s="5" t="str">
        <f ca="1">IFERROR(__xludf.DUMMYFUNCTION("GOOGLETRANSLATE(B35825,""en"",""pt"")"),"Shimo-Furano")</f>
        <v>Shimo-Furano</v>
      </c>
      <c r="B8307" s="17" t="s">
        <v>16413</v>
      </c>
      <c r="C8307" s="17" t="s">
        <v>15704</v>
      </c>
      <c r="D8307" s="17" t="s">
        <v>15705</v>
      </c>
      <c r="E8307" s="10">
        <v>2128147</v>
      </c>
      <c r="F8307" s="4" t="str">
        <f>IF(B8307=B8306,"",B8307)</f>
        <v/>
      </c>
    </row>
    <row r="8308" spans="1:6" ht="15.75" customHeight="1">
      <c r="A8308" s="5" t="s">
        <v>16411</v>
      </c>
      <c r="B8308" s="6" t="s">
        <v>16411</v>
      </c>
      <c r="C8308" s="5" t="s">
        <v>15704</v>
      </c>
      <c r="D8308" s="5" t="s">
        <v>15724</v>
      </c>
      <c r="E8308" s="2">
        <v>1852347</v>
      </c>
      <c r="F8308" s="4" t="str">
        <f>IF(B8308=B8307,"",B8308)</f>
        <v>Shimodate</v>
      </c>
    </row>
    <row r="8309" spans="1:6" ht="15.75" customHeight="1">
      <c r="A8309" s="5" t="str">
        <f ca="1">IFERROR(__xludf.DUMMYFUNCTION("GOOGLETRANSLATE(B35298,""en"",""pt"")"),"Shimodate")</f>
        <v>Shimodate</v>
      </c>
      <c r="B8309" s="17" t="s">
        <v>16411</v>
      </c>
      <c r="C8309" s="17" t="s">
        <v>15704</v>
      </c>
      <c r="D8309" s="17" t="s">
        <v>15724</v>
      </c>
      <c r="E8309" s="10">
        <v>1852347</v>
      </c>
      <c r="F8309" s="4" t="str">
        <f>IF(B8309=B8308,"",B8309)</f>
        <v/>
      </c>
    </row>
    <row r="8310" spans="1:6" ht="15.75" customHeight="1">
      <c r="A8310" s="6" t="s">
        <v>16410</v>
      </c>
      <c r="B8310" s="6" t="s">
        <v>16410</v>
      </c>
      <c r="C8310" s="6" t="s">
        <v>15704</v>
      </c>
      <c r="D8310" s="6" t="s">
        <v>15809</v>
      </c>
      <c r="E8310" s="2">
        <v>1852357</v>
      </c>
      <c r="F8310" s="4" t="str">
        <f>IF(B8310=B8309,"",B8310)</f>
        <v>Shimoda</v>
      </c>
    </row>
    <row r="8311" spans="1:6" ht="15.75" customHeight="1">
      <c r="A8311" s="5" t="str">
        <f ca="1">IFERROR(__xludf.DUMMYFUNCTION("GOOGLETRANSLATE(B35299,""en"",""pt"")"),"Shimoda")</f>
        <v>Shimoda</v>
      </c>
      <c r="B8311" s="17" t="s">
        <v>16410</v>
      </c>
      <c r="C8311" s="17" t="s">
        <v>15704</v>
      </c>
      <c r="D8311" s="17" t="s">
        <v>15809</v>
      </c>
      <c r="E8311" s="10">
        <v>1852357</v>
      </c>
      <c r="F8311" s="4" t="str">
        <f>IF(B8311=B8310,"",B8311)</f>
        <v/>
      </c>
    </row>
    <row r="8312" spans="1:6" ht="15.75" customHeight="1">
      <c r="A8312" s="6" t="s">
        <v>13327</v>
      </c>
      <c r="B8312" s="6" t="s">
        <v>13327</v>
      </c>
      <c r="C8312" s="6" t="s">
        <v>10178</v>
      </c>
      <c r="D8312" s="6" t="s">
        <v>10538</v>
      </c>
      <c r="E8312" s="2">
        <v>1256237</v>
      </c>
      <c r="F8312" s="4" t="str">
        <f>IF(B8312=B8311,"",B8312)</f>
        <v>Shimla</v>
      </c>
    </row>
    <row r="8313" spans="1:6" ht="15.75" customHeight="1">
      <c r="A8313" s="5" t="str">
        <f ca="1">IFERROR(__xludf.DUMMYFUNCTION("GOOGLETRANSLATE(B32135,""en"",""pt"")"),"Shimla")</f>
        <v>Shimla</v>
      </c>
      <c r="B8313" s="17" t="s">
        <v>13327</v>
      </c>
      <c r="C8313" s="17" t="s">
        <v>10178</v>
      </c>
      <c r="D8313" s="17" t="s">
        <v>10538</v>
      </c>
      <c r="E8313" s="10">
        <v>1256237</v>
      </c>
      <c r="F8313" s="4" t="str">
        <f>IF(B8313=B8312,"",B8313)</f>
        <v/>
      </c>
    </row>
    <row r="8314" spans="1:6" ht="15.75" customHeight="1">
      <c r="A8314" s="5" t="s">
        <v>23084</v>
      </c>
      <c r="B8314" s="6" t="s">
        <v>23084</v>
      </c>
      <c r="C8314" s="5" t="s">
        <v>22070</v>
      </c>
      <c r="D8314" s="5" t="s">
        <v>22210</v>
      </c>
      <c r="E8314" s="2">
        <v>2016701</v>
      </c>
      <c r="F8314" s="4" t="str">
        <f>IF(B8314=B8313,"",B8314)</f>
        <v>Shimanovsk</v>
      </c>
    </row>
    <row r="8315" spans="1:6" ht="15.75" customHeight="1">
      <c r="A8315" s="5" t="str">
        <f ca="1">IFERROR(__xludf.DUMMYFUNCTION("GOOGLETRANSLATE(B40911,""en"",""pt"")"),"Shimanovsk")</f>
        <v>Shimanovsk</v>
      </c>
      <c r="B8315" s="17" t="s">
        <v>23084</v>
      </c>
      <c r="C8315" s="17" t="s">
        <v>22070</v>
      </c>
      <c r="D8315" s="17" t="s">
        <v>22210</v>
      </c>
      <c r="E8315" s="10">
        <v>2016701</v>
      </c>
      <c r="F8315" s="4" t="str">
        <f>IF(B8315=B8314,"",B8315)</f>
        <v/>
      </c>
    </row>
    <row r="8316" spans="1:6" ht="15.75" customHeight="1">
      <c r="A8316" s="6" t="s">
        <v>16409</v>
      </c>
      <c r="B8316" s="6" t="s">
        <v>16409</v>
      </c>
      <c r="C8316" s="6" t="s">
        <v>15704</v>
      </c>
      <c r="D8316" s="6" t="s">
        <v>15809</v>
      </c>
      <c r="E8316" s="2">
        <v>1852472</v>
      </c>
      <c r="F8316" s="4" t="str">
        <f>IF(B8316=B8315,"",B8316)</f>
        <v>Shimada</v>
      </c>
    </row>
    <row r="8317" spans="1:6" ht="15.75" customHeight="1">
      <c r="A8317" s="5" t="str">
        <f ca="1">IFERROR(__xludf.DUMMYFUNCTION("GOOGLETRANSLATE(B35302,""en"",""pt"")"),"Shimada")</f>
        <v>Shimada</v>
      </c>
      <c r="B8317" s="17" t="s">
        <v>16409</v>
      </c>
      <c r="C8317" s="17" t="s">
        <v>15704</v>
      </c>
      <c r="D8317" s="17" t="s">
        <v>15809</v>
      </c>
      <c r="E8317" s="10">
        <v>1852472</v>
      </c>
      <c r="F8317" s="4" t="str">
        <f>IF(B8317=B8316,"",B8317)</f>
        <v/>
      </c>
    </row>
    <row r="8318" spans="1:6" ht="15.75" customHeight="1">
      <c r="A8318" s="5" t="s">
        <v>16408</v>
      </c>
      <c r="B8318" s="6" t="s">
        <v>16408</v>
      </c>
      <c r="C8318" s="5" t="s">
        <v>15704</v>
      </c>
      <c r="D8318" s="5" t="s">
        <v>15784</v>
      </c>
      <c r="E8318" s="2">
        <v>1852479</v>
      </c>
      <c r="F8318" s="4" t="str">
        <f>IF(B8318=B8317,"",B8318)</f>
        <v>Shimabara</v>
      </c>
    </row>
    <row r="8319" spans="1:6" ht="15.75" customHeight="1">
      <c r="A8319" s="5" t="str">
        <f ca="1">IFERROR(__xludf.DUMMYFUNCTION("GOOGLETRANSLATE(B35303,""en"",""pt"")"),"Shimabara")</f>
        <v>Shimabara</v>
      </c>
      <c r="B8319" s="17" t="s">
        <v>16408</v>
      </c>
      <c r="C8319" s="17" t="s">
        <v>15704</v>
      </c>
      <c r="D8319" s="17" t="s">
        <v>15784</v>
      </c>
      <c r="E8319" s="10">
        <v>1852479</v>
      </c>
      <c r="F8319" s="4" t="str">
        <f>IF(B8319=B8318,"",B8319)</f>
        <v/>
      </c>
    </row>
    <row r="8320" spans="1:6" ht="15.75" customHeight="1">
      <c r="A8320" s="6" t="s">
        <v>5077</v>
      </c>
      <c r="B8320" s="6" t="s">
        <v>5077</v>
      </c>
      <c r="C8320" s="6" t="s">
        <v>4487</v>
      </c>
      <c r="D8320" s="6" t="s">
        <v>4591</v>
      </c>
      <c r="E8320" s="2">
        <v>1795166</v>
      </c>
      <c r="F8320" s="4" t="str">
        <f>IF(B8320=B8319,"",B8320)</f>
        <v>Shima</v>
      </c>
    </row>
    <row r="8321" spans="1:6" ht="15.75" customHeight="1">
      <c r="A8321" s="5" t="str">
        <f ca="1">IFERROR(__xludf.DUMMYFUNCTION("GOOGLETRANSLATE(B26268,""en"",""pt"")"),"Shima")</f>
        <v>Shima</v>
      </c>
      <c r="B8321" s="17" t="s">
        <v>5077</v>
      </c>
      <c r="C8321" s="17" t="s">
        <v>4487</v>
      </c>
      <c r="D8321" s="17" t="s">
        <v>4591</v>
      </c>
      <c r="E8321" s="10">
        <v>1795166</v>
      </c>
      <c r="F8321" s="4" t="str">
        <f>IF(B8321=B8320,"",B8321)</f>
        <v/>
      </c>
    </row>
    <row r="8322" spans="1:6" ht="15.75" customHeight="1">
      <c r="A8322" s="6" t="s">
        <v>23083</v>
      </c>
      <c r="B8322" s="6" t="s">
        <v>23083</v>
      </c>
      <c r="C8322" s="6" t="s">
        <v>22070</v>
      </c>
      <c r="D8322" s="6" t="s">
        <v>22486</v>
      </c>
      <c r="E8322" s="2">
        <v>494427</v>
      </c>
      <c r="F8322" s="4" t="str">
        <f>IF(B8322=B8321,"",B8322)</f>
        <v>Shilovo</v>
      </c>
    </row>
    <row r="8323" spans="1:6" ht="15.75" customHeight="1">
      <c r="A8323" s="5" t="str">
        <f ca="1">IFERROR(__xludf.DUMMYFUNCTION("GOOGLETRANSLATE(B40101,""en"",""pt"")"),"Shilovo")</f>
        <v>Shilovo</v>
      </c>
      <c r="B8323" s="17" t="s">
        <v>23083</v>
      </c>
      <c r="C8323" s="17" t="s">
        <v>22070</v>
      </c>
      <c r="D8323" s="17" t="s">
        <v>22486</v>
      </c>
      <c r="E8323" s="10">
        <v>494427</v>
      </c>
      <c r="F8323" s="4" t="str">
        <f>IF(B8323=B8322,"",B8323)</f>
        <v/>
      </c>
    </row>
    <row r="8324" spans="1:6" ht="15.75" customHeight="1">
      <c r="A8324" s="6" t="s">
        <v>5076</v>
      </c>
      <c r="B8324" s="6" t="s">
        <v>5076</v>
      </c>
      <c r="C8324" s="6" t="s">
        <v>4487</v>
      </c>
      <c r="D8324" s="6" t="s">
        <v>4492</v>
      </c>
      <c r="E8324" s="2">
        <v>1795184</v>
      </c>
      <c r="F8324" s="4" t="str">
        <f>IF(B8324=B8323,"",B8324)</f>
        <v>Shilong</v>
      </c>
    </row>
    <row r="8325" spans="1:6" ht="15.75" customHeight="1">
      <c r="A8325" s="5" t="str">
        <f ca="1">IFERROR(__xludf.DUMMYFUNCTION("GOOGLETRANSLATE(B26269,""en"",""pt"")"),"Shilong")</f>
        <v>Shilong</v>
      </c>
      <c r="B8325" s="17" t="s">
        <v>5076</v>
      </c>
      <c r="C8325" s="17" t="s">
        <v>4487</v>
      </c>
      <c r="D8325" s="17" t="s">
        <v>4492</v>
      </c>
      <c r="E8325" s="10">
        <v>1795184</v>
      </c>
      <c r="F8325" s="4" t="str">
        <f>IF(B8325=B8324,"",B8325)</f>
        <v/>
      </c>
    </row>
    <row r="8326" spans="1:6" ht="15.75" customHeight="1">
      <c r="A8326" s="6" t="s">
        <v>13326</v>
      </c>
      <c r="B8326" s="6" t="s">
        <v>13326</v>
      </c>
      <c r="C8326" s="6" t="s">
        <v>10178</v>
      </c>
      <c r="D8326" s="6" t="s">
        <v>12353</v>
      </c>
      <c r="E8326" s="2">
        <v>1256523</v>
      </c>
      <c r="F8326" s="4" t="str">
        <f>IF(B8326=B8325,"",B8326)</f>
        <v>Shillong</v>
      </c>
    </row>
    <row r="8327" spans="1:6" ht="15.75" customHeight="1">
      <c r="A8327" s="5" t="str">
        <f ca="1">IFERROR(__xludf.DUMMYFUNCTION("GOOGLETRANSLATE(B32170,""en"",""pt"")"),"Shillong")</f>
        <v>Shillong</v>
      </c>
      <c r="B8327" s="17" t="s">
        <v>13326</v>
      </c>
      <c r="C8327" s="17" t="s">
        <v>10178</v>
      </c>
      <c r="D8327" s="17" t="s">
        <v>12353</v>
      </c>
      <c r="E8327" s="10">
        <v>1256523</v>
      </c>
      <c r="F8327" s="4" t="str">
        <f>IF(B8327=B8326,"",B8327)</f>
        <v/>
      </c>
    </row>
    <row r="8328" spans="1:6" ht="15.75" customHeight="1">
      <c r="A8328" s="6" t="s">
        <v>5075</v>
      </c>
      <c r="B8328" s="6" t="s">
        <v>5075</v>
      </c>
      <c r="C8328" s="6" t="s">
        <v>4487</v>
      </c>
      <c r="D8328" s="6" t="s">
        <v>4607</v>
      </c>
      <c r="E8328" s="2">
        <v>6825277</v>
      </c>
      <c r="F8328" s="4" t="str">
        <f>IF(B8328=B8327,"",B8328)</f>
        <v>Shilin</v>
      </c>
    </row>
    <row r="8329" spans="1:6" ht="15.75" customHeight="1">
      <c r="A8329" s="5" t="str">
        <f ca="1">IFERROR(__xludf.DUMMYFUNCTION("GOOGLETRANSLATE(B26833,""en"",""pt"")"),"Shilin")</f>
        <v>Shilin</v>
      </c>
      <c r="B8329" s="17" t="s">
        <v>5075</v>
      </c>
      <c r="C8329" s="17" t="s">
        <v>4487</v>
      </c>
      <c r="D8329" s="17" t="s">
        <v>4607</v>
      </c>
      <c r="E8329" s="10">
        <v>6825277</v>
      </c>
      <c r="F8329" s="4" t="str">
        <f>IF(B8329=B8328,"",B8329)</f>
        <v/>
      </c>
    </row>
    <row r="8330" spans="1:6" ht="15.75" customHeight="1">
      <c r="A8330" s="6" t="s">
        <v>13325</v>
      </c>
      <c r="B8330" s="6" t="s">
        <v>13325</v>
      </c>
      <c r="C8330" s="6" t="s">
        <v>10178</v>
      </c>
      <c r="D8330" s="6" t="s">
        <v>10201</v>
      </c>
      <c r="E8330" s="2">
        <v>1256525</v>
      </c>
      <c r="F8330" s="4" t="str">
        <f>IF(B8330=B8329,"",B8330)</f>
        <v>Shiliguri</v>
      </c>
    </row>
    <row r="8331" spans="1:6" ht="15.75" customHeight="1">
      <c r="A8331" s="5" t="str">
        <f ca="1">IFERROR(__xludf.DUMMYFUNCTION("GOOGLETRANSLATE(B32171,""en"",""pt"")"),"Shiliguri")</f>
        <v>Shiliguri</v>
      </c>
      <c r="B8331" s="17" t="s">
        <v>13325</v>
      </c>
      <c r="C8331" s="17" t="s">
        <v>10178</v>
      </c>
      <c r="D8331" s="17" t="s">
        <v>10201</v>
      </c>
      <c r="E8331" s="10">
        <v>1256525</v>
      </c>
      <c r="F8331" s="4" t="str">
        <f>IF(B8331=B8330,"",B8331)</f>
        <v/>
      </c>
    </row>
    <row r="8332" spans="1:6" ht="15.75" customHeight="1">
      <c r="A8332" s="5" t="str">
        <f ca="1">IFERROR(__xludf.DUMMYFUNCTION("GOOGLETRANSLATE(B32172,""en"",""pt"")"),"Shikohābād")</f>
        <v>Shikohābād</v>
      </c>
      <c r="B8332" s="17" t="s">
        <v>33083</v>
      </c>
      <c r="C8332" s="17" t="s">
        <v>10178</v>
      </c>
      <c r="D8332" s="17" t="s">
        <v>10193</v>
      </c>
      <c r="E8332" s="10">
        <v>1256529</v>
      </c>
      <c r="F8332" s="4" t="str">
        <f>IF(B8332=B8331,"",B8332)</f>
        <v>Shikohābād</v>
      </c>
    </row>
    <row r="8333" spans="1:6" ht="15.75" customHeight="1">
      <c r="A8333" s="5" t="s">
        <v>13323</v>
      </c>
      <c r="B8333" s="6" t="s">
        <v>13324</v>
      </c>
      <c r="C8333" s="5" t="s">
        <v>10178</v>
      </c>
      <c r="D8333" s="5" t="s">
        <v>10193</v>
      </c>
      <c r="E8333" s="2">
        <v>1256529</v>
      </c>
      <c r="F8333" s="4" t="str">
        <f>IF(B8333=B8332,"",B8333)</f>
        <v>ShikohÄbÄd</v>
      </c>
    </row>
    <row r="8334" spans="1:6" ht="15.75" customHeight="1">
      <c r="A8334" s="6" t="s">
        <v>16407</v>
      </c>
      <c r="B8334" s="6" t="s">
        <v>16407</v>
      </c>
      <c r="C8334" s="6" t="s">
        <v>15704</v>
      </c>
      <c r="D8334" s="6" t="s">
        <v>15710</v>
      </c>
      <c r="E8334" s="2">
        <v>1852502</v>
      </c>
      <c r="F8334" s="4" t="str">
        <f>IF(B8334=B8333,"",B8334)</f>
        <v>Shiki</v>
      </c>
    </row>
    <row r="8335" spans="1:6" ht="15.75" customHeight="1">
      <c r="A8335" s="5" t="str">
        <f ca="1">IFERROR(__xludf.DUMMYFUNCTION("GOOGLETRANSLATE(B35304,""en"",""pt"")"),"Shiki")</f>
        <v>Shiki</v>
      </c>
      <c r="B8335" s="17" t="s">
        <v>16407</v>
      </c>
      <c r="C8335" s="17" t="s">
        <v>15704</v>
      </c>
      <c r="D8335" s="17" t="s">
        <v>15710</v>
      </c>
      <c r="E8335" s="10">
        <v>1852502</v>
      </c>
      <c r="F8335" s="4" t="str">
        <f>IF(B8335=B8334,"",B8335)</f>
        <v/>
      </c>
    </row>
    <row r="8336" spans="1:6" ht="15.75" customHeight="1">
      <c r="A8336" s="5" t="str">
        <f ca="1">IFERROR(__xludf.DUMMYFUNCTION("GOOGLETRANSLATE(B32173,""en"",""pt"")"),"Shikārpūr")</f>
        <v>Shikārpūr</v>
      </c>
      <c r="B8336" s="17" t="s">
        <v>33084</v>
      </c>
      <c r="C8336" s="17" t="s">
        <v>10178</v>
      </c>
      <c r="D8336" s="17" t="s">
        <v>10193</v>
      </c>
      <c r="E8336" s="10">
        <v>1256532</v>
      </c>
      <c r="F8336" s="4" t="str">
        <f>IF(B8336=B8335,"",B8336)</f>
        <v>Shikārpūr</v>
      </c>
    </row>
    <row r="8337" spans="1:6" ht="15.75" customHeight="1">
      <c r="A8337" s="5" t="str">
        <f ca="1">IFERROR(__xludf.DUMMYFUNCTION("GOOGLETRANSLATE(B32174,""en"",""pt"")"),"Shikārpur")</f>
        <v>Shikārpur</v>
      </c>
      <c r="B8337" s="17" t="s">
        <v>33085</v>
      </c>
      <c r="C8337" s="17" t="s">
        <v>10178</v>
      </c>
      <c r="D8337" s="17" t="s">
        <v>10252</v>
      </c>
      <c r="E8337" s="10">
        <v>1256537</v>
      </c>
      <c r="F8337" s="4" t="str">
        <f>IF(B8337=B8336,"",B8337)</f>
        <v>Shikārpur</v>
      </c>
    </row>
    <row r="8338" spans="1:6" ht="15.75" customHeight="1">
      <c r="A8338" s="5" t="str">
        <f ca="1">IFERROR(__xludf.DUMMYFUNCTION("GOOGLETRANSLATE(B38911,""en"",""pt"")"),"Shikārpur")</f>
        <v>Shikārpur</v>
      </c>
      <c r="B8338" s="17" t="s">
        <v>33085</v>
      </c>
      <c r="C8338" s="17" t="s">
        <v>19808</v>
      </c>
      <c r="D8338" s="17" t="s">
        <v>19823</v>
      </c>
      <c r="E8338" s="10">
        <v>1165108</v>
      </c>
      <c r="F8338" s="4" t="str">
        <f>IF(B8338=B8337,"",B8338)</f>
        <v/>
      </c>
    </row>
    <row r="8339" spans="1:6" ht="15.75" customHeight="1">
      <c r="A8339" s="5" t="s">
        <v>13321</v>
      </c>
      <c r="B8339" s="6" t="s">
        <v>13322</v>
      </c>
      <c r="C8339" s="5" t="s">
        <v>10178</v>
      </c>
      <c r="D8339" s="5" t="s">
        <v>10252</v>
      </c>
      <c r="E8339" s="2">
        <v>1256537</v>
      </c>
      <c r="F8339" s="4" t="str">
        <f>IF(B8339=B8338,"",B8339)</f>
        <v>ShikÄrpur</v>
      </c>
    </row>
    <row r="8340" spans="1:6" ht="15.75" customHeight="1">
      <c r="A8340" s="5" t="s">
        <v>13321</v>
      </c>
      <c r="B8340" s="6" t="s">
        <v>13322</v>
      </c>
      <c r="C8340" s="5" t="s">
        <v>19808</v>
      </c>
      <c r="D8340" s="5" t="s">
        <v>19823</v>
      </c>
      <c r="E8340" s="2">
        <v>1165108</v>
      </c>
      <c r="F8340" s="4" t="str">
        <f>IF(B8340=B8339,"",B8340)</f>
        <v/>
      </c>
    </row>
    <row r="8341" spans="1:6" ht="15.75" customHeight="1">
      <c r="A8341" s="5" t="s">
        <v>13319</v>
      </c>
      <c r="B8341" s="6" t="s">
        <v>13320</v>
      </c>
      <c r="C8341" s="5" t="s">
        <v>10178</v>
      </c>
      <c r="D8341" s="5" t="s">
        <v>10193</v>
      </c>
      <c r="E8341" s="2">
        <v>1256532</v>
      </c>
      <c r="F8341" s="4" t="str">
        <f>IF(B8341=B8340,"",B8341)</f>
        <v>ShikÄrpÅ«r</v>
      </c>
    </row>
    <row r="8342" spans="1:6" ht="15.75" customHeight="1">
      <c r="A8342" s="5" t="s">
        <v>5074</v>
      </c>
      <c r="B8342" s="6" t="s">
        <v>5074</v>
      </c>
      <c r="C8342" s="5" t="s">
        <v>4487</v>
      </c>
      <c r="D8342" s="5" t="s">
        <v>4529</v>
      </c>
      <c r="E8342" s="2">
        <v>1795270</v>
      </c>
      <c r="F8342" s="4" t="str">
        <f>IF(B8342=B8341,"",B8342)</f>
        <v>Shijiazhuang</v>
      </c>
    </row>
    <row r="8343" spans="1:6" ht="15.75" customHeight="1">
      <c r="A8343" s="5" t="str">
        <f ca="1">IFERROR(__xludf.DUMMYFUNCTION("GOOGLETRANSLATE(B26271,""en"",""pt"")"),"Shijiazhuang")</f>
        <v>Shijiazhuang</v>
      </c>
      <c r="B8343" s="17" t="s">
        <v>5074</v>
      </c>
      <c r="C8343" s="17" t="s">
        <v>4487</v>
      </c>
      <c r="D8343" s="17" t="s">
        <v>4529</v>
      </c>
      <c r="E8343" s="10">
        <v>1795270</v>
      </c>
      <c r="F8343" s="4" t="str">
        <f>IF(B8343=B8342,"",B8343)</f>
        <v/>
      </c>
    </row>
    <row r="8344" spans="1:6" ht="15.75" customHeight="1">
      <c r="A8344" s="6" t="s">
        <v>5073</v>
      </c>
      <c r="B8344" s="6" t="s">
        <v>5073</v>
      </c>
      <c r="C8344" s="6" t="s">
        <v>4487</v>
      </c>
      <c r="D8344" s="6" t="s">
        <v>4490</v>
      </c>
      <c r="E8344" s="2">
        <v>1529195</v>
      </c>
      <c r="F8344" s="4" t="str">
        <f>IF(B8344=B8343,"",B8344)</f>
        <v>Shihezi</v>
      </c>
    </row>
    <row r="8345" spans="1:6" ht="15.75" customHeight="1">
      <c r="A8345" s="5" t="str">
        <f ca="1">IFERROR(__xludf.DUMMYFUNCTION("GOOGLETRANSLATE(B26057,""en"",""pt"")"),"Shihezi")</f>
        <v>Shihezi</v>
      </c>
      <c r="B8345" s="17" t="s">
        <v>5073</v>
      </c>
      <c r="C8345" s="17" t="s">
        <v>4487</v>
      </c>
      <c r="D8345" s="17" t="s">
        <v>4490</v>
      </c>
      <c r="E8345" s="10">
        <v>1529195</v>
      </c>
      <c r="F8345" s="4" t="str">
        <f>IF(B8345=B8344,"",B8345)</f>
        <v/>
      </c>
    </row>
    <row r="8346" spans="1:6" ht="15.75" customHeight="1">
      <c r="A8346" s="6" t="s">
        <v>5072</v>
      </c>
      <c r="B8346" s="6" t="s">
        <v>5072</v>
      </c>
      <c r="C8346" s="6" t="s">
        <v>4487</v>
      </c>
      <c r="D8346" s="6" t="s">
        <v>4533</v>
      </c>
      <c r="E8346" s="2">
        <v>2034918</v>
      </c>
      <c r="F8346" s="4" t="str">
        <f>IF(B8346=B8345,"",B8346)</f>
        <v>Shiguai</v>
      </c>
    </row>
    <row r="8347" spans="1:6" ht="15.75" customHeight="1">
      <c r="A8347" s="5" t="str">
        <f ca="1">IFERROR(__xludf.DUMMYFUNCTION("GOOGLETRANSLATE(B26694,""en"",""pt"")"),"Shiguai")</f>
        <v>Shiguai</v>
      </c>
      <c r="B8347" s="17" t="s">
        <v>5072</v>
      </c>
      <c r="C8347" s="17" t="s">
        <v>4487</v>
      </c>
      <c r="D8347" s="17" t="s">
        <v>4533</v>
      </c>
      <c r="E8347" s="10">
        <v>2034918</v>
      </c>
      <c r="F8347" s="4" t="str">
        <f>IF(B8347=B8346,"",B8347)</f>
        <v/>
      </c>
    </row>
    <row r="8348" spans="1:6" ht="15.75" customHeight="1">
      <c r="A8348" s="6" t="s">
        <v>13318</v>
      </c>
      <c r="B8348" s="6" t="s">
        <v>13318</v>
      </c>
      <c r="C8348" s="6" t="s">
        <v>10178</v>
      </c>
      <c r="D8348" s="6" t="s">
        <v>10252</v>
      </c>
      <c r="E8348" s="2">
        <v>1256539</v>
      </c>
      <c r="F8348" s="4" t="str">
        <f>IF(B8348=B8347,"",B8348)</f>
        <v>Shiggaon</v>
      </c>
    </row>
    <row r="8349" spans="1:6" ht="15.75" customHeight="1">
      <c r="A8349" s="5" t="str">
        <f ca="1">IFERROR(__xludf.DUMMYFUNCTION("GOOGLETRANSLATE(B32175,""en"",""pt"")"),"Shiggaon")</f>
        <v>Shiggaon</v>
      </c>
      <c r="B8349" s="17" t="s">
        <v>13318</v>
      </c>
      <c r="C8349" s="17" t="s">
        <v>10178</v>
      </c>
      <c r="D8349" s="17" t="s">
        <v>10252</v>
      </c>
      <c r="E8349" s="10">
        <v>1256539</v>
      </c>
      <c r="F8349" s="4" t="str">
        <f>IF(B8349=B8348,"",B8349)</f>
        <v/>
      </c>
    </row>
    <row r="8350" spans="1:6" ht="15.75" customHeight="1">
      <c r="A8350" s="5" t="str">
        <f ca="1">IFERROR(__xludf.DUMMYFUNCTION("GOOGLETRANSLATE(B36247,""en"",""pt"")"),"Shīeli")</f>
        <v>Shīeli</v>
      </c>
      <c r="B8350" s="17" t="s">
        <v>34506</v>
      </c>
      <c r="C8350" s="17" t="s">
        <v>16671</v>
      </c>
      <c r="D8350" s="17" t="s">
        <v>16687</v>
      </c>
      <c r="E8350" s="10">
        <v>1524801</v>
      </c>
      <c r="F8350" s="4" t="str">
        <f>IF(B8350=B8349,"",B8350)</f>
        <v>Shīeli</v>
      </c>
    </row>
    <row r="8351" spans="1:6" ht="15.75" customHeight="1">
      <c r="A8351" s="6" t="s">
        <v>16406</v>
      </c>
      <c r="B8351" s="6" t="s">
        <v>16406</v>
      </c>
      <c r="C8351" s="6" t="s">
        <v>15704</v>
      </c>
      <c r="D8351" s="6" t="s">
        <v>16087</v>
      </c>
      <c r="E8351" s="2">
        <v>1852561</v>
      </c>
      <c r="F8351" s="4" t="str">
        <f>IF(B8351=B8350,"",B8351)</f>
        <v>Shido</v>
      </c>
    </row>
    <row r="8352" spans="1:6" ht="15.75" customHeight="1">
      <c r="A8352" s="5" t="str">
        <f ca="1">IFERROR(__xludf.DUMMYFUNCTION("GOOGLETRANSLATE(B35305,""en"",""pt"")"),"Shido")</f>
        <v>Shido</v>
      </c>
      <c r="B8352" s="17" t="s">
        <v>16406</v>
      </c>
      <c r="C8352" s="17" t="s">
        <v>15704</v>
      </c>
      <c r="D8352" s="17" t="s">
        <v>16087</v>
      </c>
      <c r="E8352" s="10">
        <v>1852561</v>
      </c>
      <c r="F8352" s="4" t="str">
        <f>IF(B8352=B8351,"",B8352)</f>
        <v/>
      </c>
    </row>
    <row r="8353" spans="1:6" ht="15.75" customHeight="1">
      <c r="A8353" s="6" t="s">
        <v>16405</v>
      </c>
      <c r="B8353" s="6" t="s">
        <v>16405</v>
      </c>
      <c r="C8353" s="6" t="s">
        <v>15704</v>
      </c>
      <c r="D8353" s="6" t="s">
        <v>15719</v>
      </c>
      <c r="E8353" s="2">
        <v>1852588</v>
      </c>
      <c r="F8353" s="4" t="str">
        <f>IF(B8353=B8352,"",B8353)</f>
        <v>Shibushi</v>
      </c>
    </row>
    <row r="8354" spans="1:6" ht="15.75" customHeight="1">
      <c r="A8354" s="5" t="str">
        <f ca="1">IFERROR(__xludf.DUMMYFUNCTION("GOOGLETRANSLATE(B35306,""en"",""pt"")"),"Shibushi")</f>
        <v>Shibushi</v>
      </c>
      <c r="B8354" s="17" t="s">
        <v>16405</v>
      </c>
      <c r="C8354" s="17" t="s">
        <v>15704</v>
      </c>
      <c r="D8354" s="17" t="s">
        <v>15719</v>
      </c>
      <c r="E8354" s="10">
        <v>1852588</v>
      </c>
      <c r="F8354" s="4" t="str">
        <f>IF(B8354=B8353,"",B8354)</f>
        <v/>
      </c>
    </row>
    <row r="8355" spans="1:6" ht="15.75" customHeight="1">
      <c r="A8355" s="5" t="s">
        <v>16404</v>
      </c>
      <c r="B8355" s="6" t="s">
        <v>16404</v>
      </c>
      <c r="C8355" s="5" t="s">
        <v>15704</v>
      </c>
      <c r="D8355" s="5" t="s">
        <v>15731</v>
      </c>
      <c r="E8355" s="2">
        <v>1852595</v>
      </c>
      <c r="F8355" s="4" t="str">
        <f>IF(B8355=B8354,"",B8355)</f>
        <v>Shibukawa</v>
      </c>
    </row>
    <row r="8356" spans="1:6" ht="15.75" customHeight="1">
      <c r="A8356" s="5" t="str">
        <f ca="1">IFERROR(__xludf.DUMMYFUNCTION("GOOGLETRANSLATE(B35307,""en"",""pt"")"),"Shibukawa")</f>
        <v>Shibukawa</v>
      </c>
      <c r="B8356" s="17" t="s">
        <v>16404</v>
      </c>
      <c r="C8356" s="17" t="s">
        <v>15704</v>
      </c>
      <c r="D8356" s="17" t="s">
        <v>15731</v>
      </c>
      <c r="E8356" s="10">
        <v>1852595</v>
      </c>
      <c r="F8356" s="4" t="str">
        <f>IF(B8356=B8355,"",B8356)</f>
        <v/>
      </c>
    </row>
    <row r="8357" spans="1:6" ht="15.75" customHeight="1">
      <c r="A8357" s="5" t="str">
        <f ca="1">IFERROR(__xludf.DUMMYFUNCTION("GOOGLETRANSLATE(B23057,""en"",""pt"")"),"Shibirghān")</f>
        <v>Shibirghān</v>
      </c>
      <c r="B8357" s="17" t="s">
        <v>31110</v>
      </c>
      <c r="C8357" s="17" t="s">
        <v>8</v>
      </c>
      <c r="D8357" s="17" t="s">
        <v>31111</v>
      </c>
      <c r="E8357" s="10">
        <v>1125444</v>
      </c>
      <c r="F8357" s="4" t="str">
        <f>IF(B8357=B8356,"",B8357)</f>
        <v>Shibirghān</v>
      </c>
    </row>
    <row r="8358" spans="1:6" ht="15.75" customHeight="1">
      <c r="A8358" s="5" t="s">
        <v>105</v>
      </c>
      <c r="B8358" s="6" t="s">
        <v>106</v>
      </c>
      <c r="C8358" s="5" t="s">
        <v>8</v>
      </c>
      <c r="D8358" s="5" t="s">
        <v>94</v>
      </c>
      <c r="E8358" s="2">
        <v>1125444</v>
      </c>
      <c r="F8358" s="4" t="str">
        <f>IF(B8358=B8357,"",B8358)</f>
        <v>ShibirghÄn</v>
      </c>
    </row>
    <row r="8359" spans="1:6" ht="15.75" customHeight="1">
      <c r="A8359" s="5" t="str">
        <f ca="1">IFERROR(__xludf.DUMMYFUNCTION("GOOGLETRANSLATE(B28832,""en"",""pt"")"),"Shibīn al Qanāţir")</f>
        <v>Shibīn al Qanāţir</v>
      </c>
      <c r="B8359" s="17" t="s">
        <v>32259</v>
      </c>
      <c r="C8359" s="17" t="s">
        <v>6495</v>
      </c>
      <c r="D8359" s="17" t="s">
        <v>32246</v>
      </c>
      <c r="E8359" s="10">
        <v>349156</v>
      </c>
      <c r="F8359" s="4" t="str">
        <f>IF(B8359=B8358,"",B8359)</f>
        <v>Shibīn al Qanāţir</v>
      </c>
    </row>
    <row r="8360" spans="1:6" ht="15.75" customHeight="1">
      <c r="A8360" s="5" t="str">
        <f ca="1">IFERROR(__xludf.DUMMYFUNCTION("GOOGLETRANSLATE(B28833,""en"",""pt"")"),"Shibīn Al Kawm")</f>
        <v>Shibīn Al Kawm</v>
      </c>
      <c r="B8360" s="17" t="s">
        <v>32260</v>
      </c>
      <c r="C8360" s="17" t="s">
        <v>6495</v>
      </c>
      <c r="D8360" s="17" t="s">
        <v>32252</v>
      </c>
      <c r="E8360" s="10">
        <v>349158</v>
      </c>
      <c r="F8360" s="4" t="str">
        <f>IF(B8360=B8359,"",B8360)</f>
        <v>Shibīn al Kawm</v>
      </c>
    </row>
    <row r="8361" spans="1:6" ht="15.75" customHeight="1">
      <c r="A8361" s="6" t="s">
        <v>1436</v>
      </c>
      <c r="B8361" s="6" t="s">
        <v>1436</v>
      </c>
      <c r="C8361" s="6" t="s">
        <v>1296</v>
      </c>
      <c r="D8361" s="6" t="s">
        <v>1310</v>
      </c>
      <c r="E8361" s="2">
        <v>1185108</v>
      </c>
      <c r="F8361" s="4" t="str">
        <f>IF(B8361=B8360,"",B8361)</f>
        <v>Shibganj</v>
      </c>
    </row>
    <row r="8362" spans="1:6" ht="15.75" customHeight="1">
      <c r="A8362" s="5" t="str">
        <f ca="1">IFERROR(__xludf.DUMMYFUNCTION("GOOGLETRANSLATE(B23699,""en"",""pt"")"),"Shibganj")</f>
        <v>Shibganj</v>
      </c>
      <c r="B8362" s="17" t="s">
        <v>1436</v>
      </c>
      <c r="C8362" s="17" t="s">
        <v>1296</v>
      </c>
      <c r="D8362" s="17" t="s">
        <v>31259</v>
      </c>
      <c r="E8362" s="10">
        <v>1185108</v>
      </c>
      <c r="F8362" s="4" t="str">
        <f>IF(B8362=B8361,"",B8362)</f>
        <v/>
      </c>
    </row>
    <row r="8363" spans="1:6" ht="15.75" customHeight="1">
      <c r="A8363" s="6" t="s">
        <v>16403</v>
      </c>
      <c r="B8363" s="6" t="s">
        <v>16403</v>
      </c>
      <c r="C8363" s="6" t="s">
        <v>15704</v>
      </c>
      <c r="D8363" s="6" t="s">
        <v>15705</v>
      </c>
      <c r="E8363" s="2">
        <v>2128206</v>
      </c>
      <c r="F8363" s="4" t="str">
        <f>IF(B8363=B8362,"",B8363)</f>
        <v>Shibetsu</v>
      </c>
    </row>
    <row r="8364" spans="1:6" ht="15.75" customHeight="1">
      <c r="A8364" s="5" t="str">
        <f ca="1">IFERROR(__xludf.DUMMYFUNCTION("GOOGLETRANSLATE(B35826,""en"",""pt"")"),"Shibetsu")</f>
        <v>Shibetsu</v>
      </c>
      <c r="B8364" s="17" t="s">
        <v>16403</v>
      </c>
      <c r="C8364" s="17" t="s">
        <v>15704</v>
      </c>
      <c r="D8364" s="17" t="s">
        <v>15705</v>
      </c>
      <c r="E8364" s="10">
        <v>2128206</v>
      </c>
      <c r="F8364" s="4" t="str">
        <f>IF(B8364=B8363,"",B8364)</f>
        <v/>
      </c>
    </row>
    <row r="8365" spans="1:6" ht="15.75" customHeight="1">
      <c r="A8365" s="6" t="s">
        <v>16402</v>
      </c>
      <c r="B8365" s="6" t="s">
        <v>16402</v>
      </c>
      <c r="C8365" s="6" t="s">
        <v>15704</v>
      </c>
      <c r="D8365" s="6" t="s">
        <v>15818</v>
      </c>
      <c r="E8365" s="2">
        <v>1852607</v>
      </c>
      <c r="F8365" s="4" t="str">
        <f>IF(B8365=B8364,"",B8365)</f>
        <v>Shibata</v>
      </c>
    </row>
    <row r="8366" spans="1:6" ht="15.75" customHeight="1">
      <c r="A8366" s="5" t="str">
        <f ca="1">IFERROR(__xludf.DUMMYFUNCTION("GOOGLETRANSLATE(B35308,""en"",""pt"")"),"Shibata")</f>
        <v>Shibata</v>
      </c>
      <c r="B8366" s="17" t="s">
        <v>16402</v>
      </c>
      <c r="C8366" s="17" t="s">
        <v>15704</v>
      </c>
      <c r="D8366" s="17" t="s">
        <v>15818</v>
      </c>
      <c r="E8366" s="10">
        <v>1852607</v>
      </c>
      <c r="F8366" s="4" t="str">
        <f>IF(B8366=B8365,"",B8366)</f>
        <v/>
      </c>
    </row>
    <row r="8367" spans="1:6" ht="15.75" customHeight="1">
      <c r="A8367" s="5" t="s">
        <v>6711</v>
      </c>
      <c r="B8367" s="6" t="s">
        <v>6712</v>
      </c>
      <c r="C8367" s="5" t="s">
        <v>6495</v>
      </c>
      <c r="D8367" s="5" t="s">
        <v>6561</v>
      </c>
      <c r="E8367" s="2">
        <v>349156</v>
      </c>
      <c r="F8367" s="4" t="str">
        <f>IF(B8367=B8366,"",B8367)</f>
        <v>ShibÄ«n al QanÄÅ£ir</v>
      </c>
    </row>
    <row r="8368" spans="1:6" ht="15.75" customHeight="1">
      <c r="A8368" s="5" t="s">
        <v>6709</v>
      </c>
      <c r="B8368" s="6" t="s">
        <v>6710</v>
      </c>
      <c r="C8368" s="5" t="s">
        <v>6495</v>
      </c>
      <c r="D8368" s="5" t="s">
        <v>6543</v>
      </c>
      <c r="E8368" s="2">
        <v>349158</v>
      </c>
      <c r="F8368" s="4" t="str">
        <f>IF(B8368=B8367,"",B8368)</f>
        <v>ShibÄ«n al Kawm</v>
      </c>
    </row>
    <row r="8369" spans="1:6" ht="15.75" customHeight="1">
      <c r="A8369" s="6" t="s">
        <v>27670</v>
      </c>
      <c r="B8369" s="6" t="s">
        <v>27670</v>
      </c>
      <c r="C8369" s="6" t="s">
        <v>27234</v>
      </c>
      <c r="D8369" s="6" t="s">
        <v>27237</v>
      </c>
      <c r="E8369" s="2">
        <v>8299621</v>
      </c>
      <c r="F8369" s="4" t="str">
        <f>IF(B8369=B8368,"",B8369)</f>
        <v>Shetland</v>
      </c>
    </row>
    <row r="8370" spans="1:6" ht="15.75" customHeight="1">
      <c r="A8370" s="5" t="str">
        <f ca="1">IFERROR(__xludf.DUMMYFUNCTION("GOOGLETRANSLATE(B30823,""en"",""pt"")"),"Shetland")</f>
        <v>Shetland</v>
      </c>
      <c r="B8370" s="17" t="s">
        <v>27670</v>
      </c>
      <c r="C8370" s="17" t="s">
        <v>27234</v>
      </c>
      <c r="D8370" s="17" t="s">
        <v>27237</v>
      </c>
      <c r="E8370" s="10">
        <v>8299621</v>
      </c>
      <c r="F8370" s="4" t="str">
        <f>IF(B8370=B8369,"",B8370)</f>
        <v/>
      </c>
    </row>
    <row r="8371" spans="1:6" ht="15.75" customHeight="1">
      <c r="A8371" s="5" t="s">
        <v>4203</v>
      </c>
      <c r="B8371" s="6" t="s">
        <v>4203</v>
      </c>
      <c r="C8371" s="5" t="s">
        <v>3975</v>
      </c>
      <c r="D8371" s="5" t="s">
        <v>3978</v>
      </c>
      <c r="E8371" s="2">
        <v>6146279</v>
      </c>
      <c r="F8371" s="4" t="str">
        <f>IF(B8371=B8370,"",B8371)</f>
        <v>Sherwood Park</v>
      </c>
    </row>
    <row r="8372" spans="1:6" ht="15.75" customHeight="1">
      <c r="A8372" s="5" t="str">
        <f ca="1">IFERROR(__xludf.DUMMYFUNCTION("GOOGLETRANSLATE(B25585,""en"",""pt"")"),"Sherwood Park")</f>
        <v>Sherwood Park</v>
      </c>
      <c r="B8372" s="17" t="s">
        <v>4203</v>
      </c>
      <c r="C8372" s="17" t="s">
        <v>3975</v>
      </c>
      <c r="D8372" s="17" t="s">
        <v>3978</v>
      </c>
      <c r="E8372" s="10">
        <v>6146279</v>
      </c>
      <c r="F8372" s="4" t="str">
        <f>IF(B8372=B8371,"",B8372)</f>
        <v/>
      </c>
    </row>
    <row r="8373" spans="1:6" ht="15.75" customHeight="1">
      <c r="A8373" s="5" t="s">
        <v>29974</v>
      </c>
      <c r="B8373" s="6" t="s">
        <v>29974</v>
      </c>
      <c r="C8373" s="5" t="s">
        <v>27788</v>
      </c>
      <c r="D8373" s="5" t="s">
        <v>27820</v>
      </c>
      <c r="E8373" s="2">
        <v>5751632</v>
      </c>
      <c r="F8373" s="4" t="str">
        <f>IF(B8373=B8372,"",B8373)</f>
        <v>Sherwood</v>
      </c>
    </row>
    <row r="8374" spans="1:6" ht="15.75" customHeight="1">
      <c r="A8374" s="5" t="str">
        <f ca="1">IFERROR(__xludf.DUMMYFUNCTION("GOOGLETRANSLATE(B45258,""en"",""pt"")"),"Sherwood")</f>
        <v>Sherwood</v>
      </c>
      <c r="B8374" s="17" t="s">
        <v>29974</v>
      </c>
      <c r="C8374" s="17" t="s">
        <v>27788</v>
      </c>
      <c r="D8374" s="17" t="s">
        <v>27820</v>
      </c>
      <c r="E8374" s="10">
        <v>5751632</v>
      </c>
      <c r="F8374" s="4" t="str">
        <f>IF(B8374=B8373,"",B8374)</f>
        <v/>
      </c>
    </row>
    <row r="8375" spans="1:6" ht="15.75" customHeight="1">
      <c r="A8375" s="5" t="s">
        <v>19086</v>
      </c>
      <c r="B8375" s="6" t="s">
        <v>19087</v>
      </c>
      <c r="C8375" s="5" t="s">
        <v>18862</v>
      </c>
      <c r="D8375" s="5" t="s">
        <v>18888</v>
      </c>
      <c r="E8375" s="2">
        <v>2747351</v>
      </c>
      <c r="F8375" s="4" t="str">
        <f>IF(B8375=B8374,"",B8375)</f>
        <v>'s-Hertogenbosch</v>
      </c>
    </row>
    <row r="8376" spans="1:6" ht="15.75" customHeight="1">
      <c r="A8376" s="5" t="str">
        <f ca="1">IFERROR(__xludf.DUMMYFUNCTION("GOOGLETRANSLATE(B37956,""en"",""pt"")"),"S-Hertogenbosch")</f>
        <v>S-Hertogenbosch</v>
      </c>
      <c r="B8376" s="19" t="s">
        <v>34810</v>
      </c>
      <c r="C8376" s="17" t="s">
        <v>18862</v>
      </c>
      <c r="D8376" s="17" t="s">
        <v>18888</v>
      </c>
      <c r="E8376" s="10">
        <v>2747351</v>
      </c>
      <c r="F8376" s="4" t="str">
        <f>IF(B8376=B8375,"",B8376)</f>
        <v>s-Hertogenbosch</v>
      </c>
    </row>
    <row r="8377" spans="1:6" ht="15.75" customHeight="1">
      <c r="A8377" s="6" t="s">
        <v>13317</v>
      </c>
      <c r="B8377" s="6" t="s">
        <v>13317</v>
      </c>
      <c r="C8377" s="6" t="s">
        <v>10178</v>
      </c>
      <c r="D8377" s="6" t="s">
        <v>10246</v>
      </c>
      <c r="E8377" s="2">
        <v>1256558</v>
      </c>
      <c r="F8377" s="4" t="str">
        <f>IF(B8377=B8376,"",B8377)</f>
        <v>Shertallai</v>
      </c>
    </row>
    <row r="8378" spans="1:6" ht="15.75" customHeight="1">
      <c r="A8378" s="5" t="str">
        <f ca="1">IFERROR(__xludf.DUMMYFUNCTION("GOOGLETRANSLATE(B32176,""en"",""pt"")"),"Shertallai")</f>
        <v>Shertallai</v>
      </c>
      <c r="B8378" s="17" t="s">
        <v>13317</v>
      </c>
      <c r="C8378" s="17" t="s">
        <v>10178</v>
      </c>
      <c r="D8378" s="17" t="s">
        <v>10246</v>
      </c>
      <c r="E8378" s="10">
        <v>1256558</v>
      </c>
      <c r="F8378" s="4" t="str">
        <f>IF(B8378=B8377,"",B8378)</f>
        <v/>
      </c>
    </row>
    <row r="8379" spans="1:6" ht="15.75" customHeight="1">
      <c r="A8379" s="5" t="s">
        <v>29973</v>
      </c>
      <c r="B8379" s="6" t="s">
        <v>29973</v>
      </c>
      <c r="C8379" s="5" t="s">
        <v>27788</v>
      </c>
      <c r="D8379" s="5" t="s">
        <v>2341</v>
      </c>
      <c r="E8379" s="2">
        <v>5438567</v>
      </c>
      <c r="F8379" s="4" t="str">
        <f>IF(B8379=B8378,"",B8379)</f>
        <v>Sherrelwood</v>
      </c>
    </row>
    <row r="8380" spans="1:6" ht="15.75" customHeight="1">
      <c r="A8380" s="5" t="str">
        <f ca="1">IFERROR(__xludf.DUMMYFUNCTION("GOOGLETRANSLATE(B45118,""en"",""pt"")"),"Sherrelwood")</f>
        <v>Sherrelwood</v>
      </c>
      <c r="B8380" s="17" t="s">
        <v>29973</v>
      </c>
      <c r="C8380" s="17" t="s">
        <v>27788</v>
      </c>
      <c r="D8380" s="17" t="s">
        <v>2341</v>
      </c>
      <c r="E8380" s="10">
        <v>5438567</v>
      </c>
      <c r="F8380" s="4" t="str">
        <f>IF(B8380=B8379,"",B8380)</f>
        <v/>
      </c>
    </row>
    <row r="8381" spans="1:6" ht="15.75" customHeight="1">
      <c r="A8381" s="6" t="s">
        <v>1435</v>
      </c>
      <c r="B8381" s="6" t="s">
        <v>1435</v>
      </c>
      <c r="C8381" s="6" t="s">
        <v>1296</v>
      </c>
      <c r="D8381" s="6" t="s">
        <v>1297</v>
      </c>
      <c r="E8381" s="2">
        <v>1337248</v>
      </c>
      <c r="F8381" s="4" t="str">
        <f>IF(B8381=B8380,"",B8381)</f>
        <v>Sherpur</v>
      </c>
    </row>
    <row r="8382" spans="1:6" ht="15.75" customHeight="1">
      <c r="A8382" s="5" t="str">
        <f ca="1">IFERROR(__xludf.DUMMYFUNCTION("GOOGLETRANSLATE(B23783,""en"",""pt"")"),"Sherpur")</f>
        <v>Sherpur</v>
      </c>
      <c r="B8382" s="17" t="s">
        <v>1435</v>
      </c>
      <c r="C8382" s="17" t="s">
        <v>1296</v>
      </c>
      <c r="D8382" s="17" t="s">
        <v>1297</v>
      </c>
      <c r="E8382" s="10">
        <v>1337248</v>
      </c>
      <c r="F8382" s="4" t="str">
        <f>IF(B8382=B8381,"",B8382)</f>
        <v/>
      </c>
    </row>
    <row r="8383" spans="1:6" ht="15.75" customHeight="1">
      <c r="A8383" s="5" t="s">
        <v>29972</v>
      </c>
      <c r="B8383" s="6" t="s">
        <v>29972</v>
      </c>
      <c r="C8383" s="5" t="s">
        <v>27788</v>
      </c>
      <c r="D8383" s="5" t="s">
        <v>27801</v>
      </c>
      <c r="E8383" s="2">
        <v>5395244</v>
      </c>
      <c r="F8383" s="4" t="str">
        <f>IF(B8383=B8382,"",B8383)</f>
        <v>Sherman Oaks</v>
      </c>
    </row>
    <row r="8384" spans="1:6" ht="15.75" customHeight="1">
      <c r="A8384" s="5" t="str">
        <f ca="1">IFERROR(__xludf.DUMMYFUNCTION("GOOGLETRANSLATE(B45036,""en"",""pt"")"),"Sherman Oaks")</f>
        <v>Sherman Oaks</v>
      </c>
      <c r="B8384" s="17" t="s">
        <v>29972</v>
      </c>
      <c r="C8384" s="17" t="s">
        <v>27788</v>
      </c>
      <c r="D8384" s="17" t="s">
        <v>27801</v>
      </c>
      <c r="E8384" s="10">
        <v>5395244</v>
      </c>
      <c r="F8384" s="4" t="str">
        <f>IF(B8384=B8383,"",B8384)</f>
        <v/>
      </c>
    </row>
    <row r="8385" spans="1:6" ht="15.75" customHeight="1">
      <c r="A8385" s="6" t="s">
        <v>13316</v>
      </c>
      <c r="B8385" s="6" t="s">
        <v>13316</v>
      </c>
      <c r="C8385" s="6" t="s">
        <v>10178</v>
      </c>
      <c r="D8385" s="6" t="s">
        <v>10193</v>
      </c>
      <c r="E8385" s="2">
        <v>1256569</v>
      </c>
      <c r="F8385" s="4" t="str">
        <f>IF(B8385=B8384,"",B8385)</f>
        <v>Sherkot</v>
      </c>
    </row>
    <row r="8386" spans="1:6" ht="15.75" customHeight="1">
      <c r="A8386" s="5" t="str">
        <f ca="1">IFERROR(__xludf.DUMMYFUNCTION("GOOGLETRANSLATE(B32177,""en"",""pt"")"),"Sherkot")</f>
        <v>Sherkot</v>
      </c>
      <c r="B8386" s="17" t="s">
        <v>13316</v>
      </c>
      <c r="C8386" s="17" t="s">
        <v>10178</v>
      </c>
      <c r="D8386" s="17" t="s">
        <v>10193</v>
      </c>
      <c r="E8386" s="10">
        <v>1256569</v>
      </c>
      <c r="F8386" s="4" t="str">
        <f>IF(B8386=B8385,"",B8386)</f>
        <v/>
      </c>
    </row>
    <row r="8387" spans="1:6" ht="15.75" customHeight="1">
      <c r="A8387" s="6" t="s">
        <v>29971</v>
      </c>
      <c r="B8387" s="6" t="s">
        <v>29971</v>
      </c>
      <c r="C8387" s="6" t="s">
        <v>27788</v>
      </c>
      <c r="D8387" s="6" t="s">
        <v>28189</v>
      </c>
      <c r="E8387" s="2">
        <v>5838198</v>
      </c>
      <c r="F8387" s="4" t="str">
        <f>IF(B8387=B8386,"",B8387)</f>
        <v>Sheridan</v>
      </c>
    </row>
    <row r="8388" spans="1:6" ht="15.75" customHeight="1">
      <c r="A8388" s="5" t="str">
        <f ca="1">IFERROR(__xludf.DUMMYFUNCTION("GOOGLETRANSLATE(B45398,""en"",""pt"")"),"Sheridan")</f>
        <v>Sheridan</v>
      </c>
      <c r="B8388" s="17" t="s">
        <v>29971</v>
      </c>
      <c r="C8388" s="17" t="s">
        <v>27788</v>
      </c>
      <c r="D8388" s="17" t="s">
        <v>28189</v>
      </c>
      <c r="E8388" s="10">
        <v>5838198</v>
      </c>
      <c r="F8388" s="4" t="str">
        <f>IF(B8388=B8387,"",B8388)</f>
        <v/>
      </c>
    </row>
    <row r="8389" spans="1:6" ht="15.75" customHeight="1">
      <c r="A8389" s="5" t="str">
        <f ca="1">IFERROR(__xludf.DUMMYFUNCTION("GOOGLETRANSLATE(B32178,""en"",""pt"")"),"Sherghāti")</f>
        <v>Sherghāti</v>
      </c>
      <c r="B8389" s="17" t="s">
        <v>33086</v>
      </c>
      <c r="C8389" s="17" t="s">
        <v>10178</v>
      </c>
      <c r="D8389" s="17" t="s">
        <v>10317</v>
      </c>
      <c r="E8389" s="10">
        <v>1256572</v>
      </c>
      <c r="F8389" s="4" t="str">
        <f>IF(B8389=B8388,"",B8389)</f>
        <v>Sherghāti</v>
      </c>
    </row>
    <row r="8390" spans="1:6" ht="15.75" customHeight="1">
      <c r="A8390" s="5" t="s">
        <v>13314</v>
      </c>
      <c r="B8390" s="6" t="s">
        <v>13315</v>
      </c>
      <c r="C8390" s="5" t="s">
        <v>10178</v>
      </c>
      <c r="D8390" s="5" t="s">
        <v>10317</v>
      </c>
      <c r="E8390" s="2">
        <v>1256572</v>
      </c>
      <c r="F8390" s="4" t="str">
        <f>IF(B8390=B8389,"",B8390)</f>
        <v>SherghÄti</v>
      </c>
    </row>
    <row r="8391" spans="1:6" ht="15.75" customHeight="1">
      <c r="A8391" s="5" t="s">
        <v>4202</v>
      </c>
      <c r="B8391" s="6" t="s">
        <v>4202</v>
      </c>
      <c r="C8391" s="5" t="s">
        <v>3975</v>
      </c>
      <c r="D8391" s="5" t="s">
        <v>3982</v>
      </c>
      <c r="E8391" s="2">
        <v>6146143</v>
      </c>
      <c r="F8391" s="4" t="str">
        <f>IF(B8391=B8390,"",B8391)</f>
        <v>Sherbrooke</v>
      </c>
    </row>
    <row r="8392" spans="1:6" ht="15.75" customHeight="1">
      <c r="A8392" s="5" t="str">
        <f ca="1">IFERROR(__xludf.DUMMYFUNCTION("GOOGLETRANSLATE(B25584,""en"",""pt"")"),"Sherbrooke")</f>
        <v>Sherbrooke</v>
      </c>
      <c r="B8392" s="17" t="s">
        <v>4202</v>
      </c>
      <c r="C8392" s="17" t="s">
        <v>3975</v>
      </c>
      <c r="D8392" s="17" t="s">
        <v>3982</v>
      </c>
      <c r="E8392" s="10">
        <v>6146143</v>
      </c>
      <c r="F8392" s="4" t="str">
        <f>IF(B8392=B8391,"",B8392)</f>
        <v/>
      </c>
    </row>
    <row r="8393" spans="1:6" ht="15.75" customHeight="1">
      <c r="A8393" s="5" t="s">
        <v>1078</v>
      </c>
      <c r="B8393" s="6" t="s">
        <v>1078</v>
      </c>
      <c r="C8393" s="5" t="s">
        <v>885</v>
      </c>
      <c r="D8393" s="5" t="s">
        <v>827</v>
      </c>
      <c r="E8393" s="2">
        <v>2149645</v>
      </c>
      <c r="F8393" s="4" t="str">
        <f>IF(B8393=B8392,"",B8393)</f>
        <v>Shepparton</v>
      </c>
    </row>
    <row r="8394" spans="1:6" ht="15.75" customHeight="1">
      <c r="A8394" s="5" t="str">
        <f ca="1">IFERROR(__xludf.DUMMYFUNCTION("GOOGLETRANSLATE(B23452,""en"",""pt"")"),"Shepparton")</f>
        <v>Shepparton</v>
      </c>
      <c r="B8394" s="17" t="s">
        <v>1078</v>
      </c>
      <c r="C8394" s="17" t="s">
        <v>885</v>
      </c>
      <c r="D8394" s="17" t="s">
        <v>827</v>
      </c>
      <c r="E8394" s="10">
        <v>2149645</v>
      </c>
      <c r="F8394" s="4" t="str">
        <f>IF(B8394=B8393,"",B8394)</f>
        <v/>
      </c>
    </row>
    <row r="8395" spans="1:6" ht="15.75" customHeight="1">
      <c r="A8395" s="5" t="s">
        <v>27135</v>
      </c>
      <c r="B8395" s="6" t="s">
        <v>27135</v>
      </c>
      <c r="C8395" s="5" t="s">
        <v>26870</v>
      </c>
      <c r="D8395" s="5" t="s">
        <v>26955</v>
      </c>
      <c r="E8395" s="2">
        <v>694216</v>
      </c>
      <c r="F8395" s="4" t="str">
        <f>IF(B8395=B8394,"",B8395)</f>
        <v>Shepetivka</v>
      </c>
    </row>
    <row r="8396" spans="1:6" ht="15.75" customHeight="1">
      <c r="A8396" s="5" t="str">
        <f ca="1">IFERROR(__xludf.DUMMYFUNCTION("GOOGLETRANSLATE(B42528,""en"",""pt"")"),"Shepetivka")</f>
        <v>Shepetivka</v>
      </c>
      <c r="B8396" s="17" t="s">
        <v>27135</v>
      </c>
      <c r="C8396" s="17" t="s">
        <v>26870</v>
      </c>
      <c r="D8396" s="17" t="s">
        <v>26955</v>
      </c>
      <c r="E8396" s="10">
        <v>694216</v>
      </c>
      <c r="F8396" s="4" t="str">
        <f>IF(B8396=B8395,"",B8396)</f>
        <v/>
      </c>
    </row>
    <row r="8397" spans="1:6" ht="15.75" customHeight="1">
      <c r="A8397" s="6" t="s">
        <v>13313</v>
      </c>
      <c r="B8397" s="6" t="s">
        <v>13313</v>
      </c>
      <c r="C8397" s="6" t="s">
        <v>10178</v>
      </c>
      <c r="D8397" s="6" t="s">
        <v>10219</v>
      </c>
      <c r="E8397" s="2">
        <v>1256593</v>
      </c>
      <c r="F8397" s="4" t="str">
        <f>IF(B8397=B8396,"",B8397)</f>
        <v>Sheopur</v>
      </c>
    </row>
    <row r="8398" spans="1:6" ht="15.75" customHeight="1">
      <c r="A8398" s="5" t="str">
        <f ca="1">IFERROR(__xludf.DUMMYFUNCTION("GOOGLETRANSLATE(B32179,""en"",""pt"")"),"Sheopur")</f>
        <v>Sheopur</v>
      </c>
      <c r="B8398" s="17" t="s">
        <v>13313</v>
      </c>
      <c r="C8398" s="17" t="s">
        <v>10178</v>
      </c>
      <c r="D8398" s="17" t="s">
        <v>10219</v>
      </c>
      <c r="E8398" s="10">
        <v>1256593</v>
      </c>
      <c r="F8398" s="4" t="str">
        <f>IF(B8398=B8397,"",B8398)</f>
        <v/>
      </c>
    </row>
    <row r="8399" spans="1:6" ht="15.75" customHeight="1">
      <c r="A8399" s="6" t="s">
        <v>13312</v>
      </c>
      <c r="B8399" s="6" t="s">
        <v>13312</v>
      </c>
      <c r="C8399" s="6" t="s">
        <v>10178</v>
      </c>
      <c r="D8399" s="6" t="s">
        <v>10317</v>
      </c>
      <c r="E8399" s="2">
        <v>1256597</v>
      </c>
      <c r="F8399" s="4" t="str">
        <f>IF(B8399=B8398,"",B8399)</f>
        <v>Sheohar</v>
      </c>
    </row>
    <row r="8400" spans="1:6" ht="15.75" customHeight="1">
      <c r="A8400" s="5" t="str">
        <f ca="1">IFERROR(__xludf.DUMMYFUNCTION("GOOGLETRANSLATE(B32180,""en"",""pt"")"),"Sheohar")</f>
        <v>Sheohar</v>
      </c>
      <c r="B8400" s="17" t="s">
        <v>13312</v>
      </c>
      <c r="C8400" s="17" t="s">
        <v>10178</v>
      </c>
      <c r="D8400" s="17" t="s">
        <v>10317</v>
      </c>
      <c r="E8400" s="10">
        <v>1256597</v>
      </c>
      <c r="F8400" s="4" t="str">
        <f>IF(B8400=B8399,"",B8400)</f>
        <v/>
      </c>
    </row>
    <row r="8401" spans="1:6" ht="15.75" customHeight="1">
      <c r="A8401" s="6" t="s">
        <v>13311</v>
      </c>
      <c r="B8401" s="6" t="s">
        <v>13311</v>
      </c>
      <c r="C8401" s="6" t="s">
        <v>10178</v>
      </c>
      <c r="D8401" s="6" t="s">
        <v>10179</v>
      </c>
      <c r="E8401" s="2">
        <v>1256598</v>
      </c>
      <c r="F8401" s="4" t="str">
        <f>IF(B8401=B8400,"",B8401)</f>
        <v>Sheoganj</v>
      </c>
    </row>
    <row r="8402" spans="1:6" ht="15.75" customHeight="1">
      <c r="A8402" s="5" t="str">
        <f ca="1">IFERROR(__xludf.DUMMYFUNCTION("GOOGLETRANSLATE(B32181,""en"",""pt"")"),"Sheoganj")</f>
        <v>Sheoganj</v>
      </c>
      <c r="B8402" s="17" t="s">
        <v>13311</v>
      </c>
      <c r="C8402" s="17" t="s">
        <v>10178</v>
      </c>
      <c r="D8402" s="17" t="s">
        <v>10179</v>
      </c>
      <c r="E8402" s="10">
        <v>1256598</v>
      </c>
      <c r="F8402" s="4" t="str">
        <f>IF(B8402=B8401,"",B8402)</f>
        <v/>
      </c>
    </row>
    <row r="8403" spans="1:6" ht="15.75" customHeight="1">
      <c r="A8403" s="6" t="s">
        <v>5071</v>
      </c>
      <c r="B8403" s="6" t="s">
        <v>5071</v>
      </c>
      <c r="C8403" s="6" t="s">
        <v>4487</v>
      </c>
      <c r="D8403" s="6" t="s">
        <v>4492</v>
      </c>
      <c r="E8403" s="2">
        <v>1795565</v>
      </c>
      <c r="F8403" s="4" t="str">
        <f>IF(B8403=B8402,"",B8403)</f>
        <v>Shenzhen</v>
      </c>
    </row>
    <row r="8404" spans="1:6" ht="15.75" customHeight="1">
      <c r="A8404" s="5" t="str">
        <f ca="1">IFERROR(__xludf.DUMMYFUNCTION("GOOGLETRANSLATE(B26272,""en"",""pt"")"),"Shenzhen")</f>
        <v>Shenzhen</v>
      </c>
      <c r="B8404" s="17" t="s">
        <v>5071</v>
      </c>
      <c r="C8404" s="17" t="s">
        <v>4487</v>
      </c>
      <c r="D8404" s="17" t="s">
        <v>4492</v>
      </c>
      <c r="E8404" s="10">
        <v>1795565</v>
      </c>
      <c r="F8404" s="4" t="str">
        <f>IF(B8404=B8403,"",B8404)</f>
        <v/>
      </c>
    </row>
    <row r="8405" spans="1:6" ht="15.75" customHeight="1">
      <c r="A8405" s="6" t="s">
        <v>5070</v>
      </c>
      <c r="B8405" s="6" t="s">
        <v>5070</v>
      </c>
      <c r="C8405" s="6" t="s">
        <v>4487</v>
      </c>
      <c r="D8405" s="6" t="s">
        <v>4505</v>
      </c>
      <c r="E8405" s="2">
        <v>2034937</v>
      </c>
      <c r="F8405" s="4" t="str">
        <f>IF(B8405=B8404,"",B8405)</f>
        <v>Shenyang</v>
      </c>
    </row>
    <row r="8406" spans="1:6" ht="15.75" customHeight="1">
      <c r="A8406" s="5" t="str">
        <f ca="1">IFERROR(__xludf.DUMMYFUNCTION("GOOGLETRANSLATE(B26695,""en"",""pt"")"),"Shenyang")</f>
        <v>Shenyang</v>
      </c>
      <c r="B8406" s="17" t="s">
        <v>5070</v>
      </c>
      <c r="C8406" s="17" t="s">
        <v>4487</v>
      </c>
      <c r="D8406" s="17" t="s">
        <v>4505</v>
      </c>
      <c r="E8406" s="10">
        <v>2034937</v>
      </c>
      <c r="F8406" s="4" t="str">
        <f>IF(B8406=B8405,"",B8406)</f>
        <v/>
      </c>
    </row>
    <row r="8407" spans="1:6" ht="15.75" customHeight="1">
      <c r="A8407" s="5" t="s">
        <v>5069</v>
      </c>
      <c r="B8407" s="6" t="s">
        <v>5069</v>
      </c>
      <c r="C8407" s="5" t="s">
        <v>4487</v>
      </c>
      <c r="D8407" s="5" t="s">
        <v>4631</v>
      </c>
      <c r="E8407" s="2">
        <v>1795632</v>
      </c>
      <c r="F8407" s="4" t="str">
        <f>IF(B8407=B8406,"",B8407)</f>
        <v>Shenjiamen</v>
      </c>
    </row>
    <row r="8408" spans="1:6" ht="15.75" customHeight="1">
      <c r="A8408" s="5" t="str">
        <f ca="1">IFERROR(__xludf.DUMMYFUNCTION("GOOGLETRANSLATE(B26274,""en"",""pt"")"),"Shenjiamen")</f>
        <v>Shenjiamen</v>
      </c>
      <c r="B8408" s="17" t="s">
        <v>5069</v>
      </c>
      <c r="C8408" s="17" t="s">
        <v>4487</v>
      </c>
      <c r="D8408" s="17" t="s">
        <v>4631</v>
      </c>
      <c r="E8408" s="10">
        <v>1795632</v>
      </c>
      <c r="F8408" s="4" t="str">
        <f>IF(B8408=B8407,"",B8408)</f>
        <v/>
      </c>
    </row>
    <row r="8409" spans="1:6" ht="15.75" customHeight="1">
      <c r="A8409" s="6" t="s">
        <v>5068</v>
      </c>
      <c r="B8409" s="6" t="s">
        <v>5068</v>
      </c>
      <c r="C8409" s="6" t="s">
        <v>4487</v>
      </c>
      <c r="D8409" s="6" t="s">
        <v>4503</v>
      </c>
      <c r="E8409" s="2">
        <v>1812101</v>
      </c>
      <c r="F8409" s="4" t="str">
        <f>IF(B8409=B8408,"",B8409)</f>
        <v>Shengli</v>
      </c>
    </row>
    <row r="8410" spans="1:6" ht="15.75" customHeight="1">
      <c r="A8410" s="5" t="str">
        <f ca="1">IFERROR(__xludf.DUMMYFUNCTION("GOOGLETRANSLATE(B26549,""en"",""pt"")"),"Shengli")</f>
        <v>Shengli</v>
      </c>
      <c r="B8410" s="17" t="s">
        <v>5068</v>
      </c>
      <c r="C8410" s="17" t="s">
        <v>4487</v>
      </c>
      <c r="D8410" s="17" t="s">
        <v>4503</v>
      </c>
      <c r="E8410" s="10">
        <v>1812101</v>
      </c>
      <c r="F8410" s="4" t="str">
        <f>IF(B8410=B8409,"",B8410)</f>
        <v/>
      </c>
    </row>
    <row r="8411" spans="1:6" ht="15.75" customHeight="1">
      <c r="A8411" s="6" t="s">
        <v>25052</v>
      </c>
      <c r="B8411" s="6" t="s">
        <v>25052</v>
      </c>
      <c r="C8411" s="6" t="s">
        <v>24987</v>
      </c>
      <c r="D8411" s="6" t="s">
        <v>25021</v>
      </c>
      <c r="E8411" s="2">
        <v>367308</v>
      </c>
      <c r="F8411" s="4" t="str">
        <f>IF(B8411=B8410,"",B8411)</f>
        <v>Shendi</v>
      </c>
    </row>
    <row r="8412" spans="1:6" ht="15.75" customHeight="1">
      <c r="A8412" s="5" t="str">
        <f ca="1">IFERROR(__xludf.DUMMYFUNCTION("GOOGLETRANSLATE(B41078,""en"",""pt"")"),"Shendi")</f>
        <v>Shendi</v>
      </c>
      <c r="B8412" s="17" t="s">
        <v>25052</v>
      </c>
      <c r="C8412" s="17" t="s">
        <v>24987</v>
      </c>
      <c r="D8412" s="17" t="s">
        <v>25021</v>
      </c>
      <c r="E8412" s="10">
        <v>367308</v>
      </c>
      <c r="F8412" s="4" t="str">
        <f>IF(B8412=B8411,"",B8412)</f>
        <v/>
      </c>
    </row>
    <row r="8413" spans="1:6" ht="15.75" customHeight="1">
      <c r="A8413" s="5" t="s">
        <v>29970</v>
      </c>
      <c r="B8413" s="6" t="s">
        <v>29970</v>
      </c>
      <c r="C8413" s="5" t="s">
        <v>27788</v>
      </c>
      <c r="D8413" s="5" t="s">
        <v>27827</v>
      </c>
      <c r="E8413" s="2">
        <v>4341378</v>
      </c>
      <c r="F8413" s="4" t="str">
        <f>IF(B8413=B8412,"",B8413)</f>
        <v>Shenandoah</v>
      </c>
    </row>
    <row r="8414" spans="1:6" ht="15.75" customHeight="1">
      <c r="A8414" s="5" t="str">
        <f ca="1">IFERROR(__xludf.DUMMYFUNCTION("GOOGLETRANSLATE(B43248,""en"",""pt"")"),"Shenandoah")</f>
        <v>Shenandoah</v>
      </c>
      <c r="B8414" s="17" t="s">
        <v>29970</v>
      </c>
      <c r="C8414" s="17" t="s">
        <v>27788</v>
      </c>
      <c r="D8414" s="17" t="s">
        <v>27827</v>
      </c>
      <c r="E8414" s="10">
        <v>4341378</v>
      </c>
      <c r="F8414" s="4" t="str">
        <f>IF(B8414=B8413,"",B8414)</f>
        <v/>
      </c>
    </row>
    <row r="8415" spans="1:6" ht="15.75" customHeight="1">
      <c r="A8415" s="5" t="str">
        <f ca="1">IFERROR(__xludf.DUMMYFUNCTION("GOOGLETRANSLATE(B36218,""en"",""pt"")"),"Shemanaīkha")</f>
        <v>Shemanaīkha</v>
      </c>
      <c r="B8415" s="17" t="s">
        <v>34501</v>
      </c>
      <c r="C8415" s="17" t="s">
        <v>16671</v>
      </c>
      <c r="D8415" s="17" t="s">
        <v>16697</v>
      </c>
      <c r="E8415" s="10">
        <v>1519226</v>
      </c>
      <c r="F8415" s="4" t="str">
        <f>IF(B8415=B8414,"",B8415)</f>
        <v>Shemonaīkha</v>
      </c>
    </row>
    <row r="8416" spans="1:6" ht="15.75" customHeight="1">
      <c r="A8416" s="5" t="s">
        <v>16750</v>
      </c>
      <c r="B8416" s="6" t="s">
        <v>16751</v>
      </c>
      <c r="C8416" s="5" t="s">
        <v>16671</v>
      </c>
      <c r="D8416" s="5" t="s">
        <v>16697</v>
      </c>
      <c r="E8416" s="2">
        <v>1519226</v>
      </c>
      <c r="F8416" s="4" t="str">
        <f>IF(B8416=B8415,"",B8416)</f>
        <v>ShemonaÄ«kha</v>
      </c>
    </row>
    <row r="8417" spans="1:6" ht="15.75" customHeight="1">
      <c r="A8417" s="6" t="s">
        <v>25738</v>
      </c>
      <c r="B8417" s="6" t="s">
        <v>25738</v>
      </c>
      <c r="C8417" s="6" t="s">
        <v>25560</v>
      </c>
      <c r="D8417" s="6" t="s">
        <v>25602</v>
      </c>
      <c r="E8417" s="2">
        <v>150037</v>
      </c>
      <c r="F8417" s="4" t="str">
        <f>IF(B8417=B8416,"",B8417)</f>
        <v>Shelui</v>
      </c>
    </row>
    <row r="8418" spans="1:6" ht="15.75" customHeight="1">
      <c r="A8418" s="5" t="str">
        <f ca="1">IFERROR(__xludf.DUMMYFUNCTION("GOOGLETRANSLATE(B42307,""en"",""pt"")"),"Shelui")</f>
        <v>Shelui</v>
      </c>
      <c r="B8418" s="17" t="s">
        <v>25738</v>
      </c>
      <c r="C8418" s="17" t="s">
        <v>25560</v>
      </c>
      <c r="D8418" s="17" t="s">
        <v>25602</v>
      </c>
      <c r="E8418" s="10">
        <v>150037</v>
      </c>
      <c r="F8418" s="4" t="str">
        <f>IF(B8418=B8417,"",B8418)</f>
        <v/>
      </c>
    </row>
    <row r="8419" spans="1:6" ht="15.75" customHeight="1">
      <c r="A8419" s="5" t="s">
        <v>23082</v>
      </c>
      <c r="B8419" s="6" t="s">
        <v>23082</v>
      </c>
      <c r="C8419" s="5" t="s">
        <v>22070</v>
      </c>
      <c r="D8419" s="5" t="s">
        <v>22135</v>
      </c>
      <c r="E8419" s="2">
        <v>2016764</v>
      </c>
      <c r="F8419" s="4" t="str">
        <f>IF(B8419=B8418,"",B8419)</f>
        <v>Shelekhov</v>
      </c>
    </row>
    <row r="8420" spans="1:6" ht="15.75" customHeight="1">
      <c r="A8420" s="5" t="str">
        <f ca="1">IFERROR(__xludf.DUMMYFUNCTION("GOOGLETRANSLATE(B40912,""en"",""pt"")"),"Shelekhov")</f>
        <v>Shelekhov</v>
      </c>
      <c r="B8420" s="17" t="s">
        <v>23082</v>
      </c>
      <c r="C8420" s="17" t="s">
        <v>22070</v>
      </c>
      <c r="D8420" s="17" t="s">
        <v>22135</v>
      </c>
      <c r="E8420" s="10">
        <v>2016764</v>
      </c>
      <c r="F8420" s="4" t="str">
        <f>IF(B8420=B8419,"",B8420)</f>
        <v/>
      </c>
    </row>
    <row r="8421" spans="1:6" ht="15.75" customHeight="1">
      <c r="A8421" s="5" t="s">
        <v>29969</v>
      </c>
      <c r="B8421" s="6" t="s">
        <v>29969</v>
      </c>
      <c r="C8421" s="5" t="s">
        <v>27788</v>
      </c>
      <c r="D8421" s="5" t="s">
        <v>27869</v>
      </c>
      <c r="E8421" s="2">
        <v>4264688</v>
      </c>
      <c r="F8421" s="4" t="str">
        <f>IF(B8421=B8420,"",B8421)</f>
        <v>Shelbyville</v>
      </c>
    </row>
    <row r="8422" spans="1:6" ht="15.75" customHeight="1">
      <c r="A8422" s="5" t="s">
        <v>29969</v>
      </c>
      <c r="B8422" s="6" t="s">
        <v>29969</v>
      </c>
      <c r="C8422" s="5" t="s">
        <v>27788</v>
      </c>
      <c r="D8422" s="5" t="s">
        <v>27957</v>
      </c>
      <c r="E8422" s="2">
        <v>4657077</v>
      </c>
      <c r="F8422" s="4" t="str">
        <f>IF(B8422=B8421,"",B8422)</f>
        <v/>
      </c>
    </row>
    <row r="8423" spans="1:6" ht="15.75" customHeight="1">
      <c r="A8423" s="5" t="str">
        <f ca="1">IFERROR(__xludf.DUMMYFUNCTION("GOOGLETRANSLATE(B43162,""en"",""pt"")"),"Shelbyville")</f>
        <v>Shelbyville</v>
      </c>
      <c r="B8423" s="17" t="s">
        <v>29969</v>
      </c>
      <c r="C8423" s="17" t="s">
        <v>27788</v>
      </c>
      <c r="D8423" s="17" t="s">
        <v>27869</v>
      </c>
      <c r="E8423" s="10">
        <v>4264688</v>
      </c>
      <c r="F8423" s="4" t="str">
        <f>IF(B8423=B8422,"",B8423)</f>
        <v/>
      </c>
    </row>
    <row r="8424" spans="1:6" ht="15.75" customHeight="1">
      <c r="A8424" s="5" t="str">
        <f ca="1">IFERROR(__xludf.DUMMYFUNCTION("GOOGLETRANSLATE(B43642,""en"",""pt"")"),"Shelbyville")</f>
        <v>Shelbyville</v>
      </c>
      <c r="B8424" s="17" t="s">
        <v>29969</v>
      </c>
      <c r="C8424" s="17" t="s">
        <v>27788</v>
      </c>
      <c r="D8424" s="17" t="s">
        <v>27957</v>
      </c>
      <c r="E8424" s="10">
        <v>4657077</v>
      </c>
      <c r="F8424" s="4" t="str">
        <f>IF(B8424=B8423,"",B8424)</f>
        <v/>
      </c>
    </row>
    <row r="8425" spans="1:6" ht="15.75" customHeight="1">
      <c r="A8425" s="6" t="s">
        <v>29968</v>
      </c>
      <c r="B8425" s="6" t="s">
        <v>29968</v>
      </c>
      <c r="C8425" s="6" t="s">
        <v>27788</v>
      </c>
      <c r="D8425" s="6" t="s">
        <v>27822</v>
      </c>
      <c r="E8425" s="2">
        <v>4491180</v>
      </c>
      <c r="F8425" s="4" t="str">
        <f>IF(B8425=B8424,"",B8425)</f>
        <v>Shelby</v>
      </c>
    </row>
    <row r="8426" spans="1:6" ht="15.75" customHeight="1">
      <c r="A8426" s="6" t="s">
        <v>29968</v>
      </c>
      <c r="B8426" s="6" t="s">
        <v>29968</v>
      </c>
      <c r="C8426" s="6" t="s">
        <v>27788</v>
      </c>
      <c r="D8426" s="6" t="s">
        <v>27804</v>
      </c>
      <c r="E8426" s="2">
        <v>5009586</v>
      </c>
      <c r="F8426" s="4" t="str">
        <f>IF(B8426=B8425,"",B8426)</f>
        <v/>
      </c>
    </row>
    <row r="8427" spans="1:6" ht="15.75" customHeight="1">
      <c r="A8427" s="5" t="str">
        <f ca="1">IFERROR(__xludf.DUMMYFUNCTION("GOOGLETRANSLATE(B43478,""en"",""pt"")"),"Shelby")</f>
        <v>Shelby</v>
      </c>
      <c r="B8427" s="17" t="s">
        <v>29968</v>
      </c>
      <c r="C8427" s="17" t="s">
        <v>27788</v>
      </c>
      <c r="D8427" s="17" t="s">
        <v>27822</v>
      </c>
      <c r="E8427" s="10">
        <v>4491180</v>
      </c>
      <c r="F8427" s="4" t="str">
        <f>IF(B8427=B8426,"",B8427)</f>
        <v/>
      </c>
    </row>
    <row r="8428" spans="1:6" ht="15.75" customHeight="1">
      <c r="A8428" s="5" t="str">
        <f ca="1">IFERROR(__xludf.DUMMYFUNCTION("GOOGLETRANSLATE(B44121,""en"",""pt"")"),"Shelby")</f>
        <v>Shelby</v>
      </c>
      <c r="B8428" s="17" t="s">
        <v>29968</v>
      </c>
      <c r="C8428" s="17" t="s">
        <v>27788</v>
      </c>
      <c r="D8428" s="17" t="s">
        <v>27804</v>
      </c>
      <c r="E8428" s="10">
        <v>5009586</v>
      </c>
      <c r="F8428" s="4" t="str">
        <f>IF(B8428=B8427,"",B8428)</f>
        <v/>
      </c>
    </row>
    <row r="8429" spans="1:6" ht="15.75" customHeight="1">
      <c r="A8429" s="6" t="s">
        <v>23081</v>
      </c>
      <c r="B8429" s="6" t="s">
        <v>23081</v>
      </c>
      <c r="C8429" s="6" t="s">
        <v>22070</v>
      </c>
      <c r="D8429" s="6" t="s">
        <v>22300</v>
      </c>
      <c r="E8429" s="2">
        <v>495062</v>
      </c>
      <c r="F8429" s="4" t="str">
        <f>IF(B8429=B8428,"",B8429)</f>
        <v>Sheksna</v>
      </c>
    </row>
    <row r="8430" spans="1:6" ht="15.75" customHeight="1">
      <c r="A8430" s="5" t="str">
        <f ca="1">IFERROR(__xludf.DUMMYFUNCTION("GOOGLETRANSLATE(B40102,""en"",""pt"")"),"Sheksna")</f>
        <v>Sheksna</v>
      </c>
      <c r="B8430" s="17" t="s">
        <v>23081</v>
      </c>
      <c r="C8430" s="17" t="s">
        <v>22070</v>
      </c>
      <c r="D8430" s="17" t="s">
        <v>22300</v>
      </c>
      <c r="E8430" s="10">
        <v>495062</v>
      </c>
      <c r="F8430" s="4" t="str">
        <f>IF(B8430=B8429,"",B8430)</f>
        <v/>
      </c>
    </row>
    <row r="8431" spans="1:6" ht="15.75" customHeight="1">
      <c r="A8431" s="6" t="s">
        <v>1250</v>
      </c>
      <c r="B8431" s="6" t="s">
        <v>1250</v>
      </c>
      <c r="C8431" s="6" t="s">
        <v>1170</v>
      </c>
      <c r="D8431" s="6" t="s">
        <v>1251</v>
      </c>
      <c r="E8431" s="2">
        <v>585170</v>
      </c>
      <c r="F8431" s="4" t="str">
        <f>IF(B8431=B8430,"",B8431)</f>
        <v>Sheki</v>
      </c>
    </row>
    <row r="8432" spans="1:6" ht="15.75" customHeight="1">
      <c r="A8432" s="5" t="str">
        <f ca="1">IFERROR(__xludf.DUMMYFUNCTION("GOOGLETRANSLATE(B23642,""en"",""pt"")"),"Sheki")</f>
        <v>Sheki</v>
      </c>
      <c r="B8432" s="17" t="s">
        <v>1250</v>
      </c>
      <c r="C8432" s="17" t="s">
        <v>1170</v>
      </c>
      <c r="D8432" s="17" t="s">
        <v>1251</v>
      </c>
      <c r="E8432" s="10">
        <v>585170</v>
      </c>
      <c r="F8432" s="4" t="str">
        <f>IF(B8432=B8431,"",B8432)</f>
        <v/>
      </c>
    </row>
    <row r="8433" spans="1:6" ht="15.75" customHeight="1">
      <c r="A8433" s="5" t="s">
        <v>20230</v>
      </c>
      <c r="B8433" s="6" t="s">
        <v>20230</v>
      </c>
      <c r="C8433" s="5" t="s">
        <v>19808</v>
      </c>
      <c r="D8433" s="5" t="s">
        <v>10184</v>
      </c>
      <c r="E8433" s="2">
        <v>1165221</v>
      </c>
      <c r="F8433" s="4" t="str">
        <f>IF(B8433=B8432,"",B8433)</f>
        <v>Sheikhupura</v>
      </c>
    </row>
    <row r="8434" spans="1:6" ht="15.75" customHeight="1">
      <c r="A8434" s="5" t="str">
        <f ca="1">IFERROR(__xludf.DUMMYFUNCTION("GOOGLETRANSLATE(B38912,""en"",""pt"")"),"Sheikhupura")</f>
        <v>Sheikhupura</v>
      </c>
      <c r="B8434" s="17" t="s">
        <v>20230</v>
      </c>
      <c r="C8434" s="17" t="s">
        <v>19808</v>
      </c>
      <c r="D8434" s="17" t="s">
        <v>10184</v>
      </c>
      <c r="E8434" s="10">
        <v>1165221</v>
      </c>
      <c r="F8434" s="4" t="str">
        <f>IF(B8434=B8433,"",B8434)</f>
        <v/>
      </c>
    </row>
    <row r="8435" spans="1:6" ht="15.75" customHeight="1">
      <c r="A8435" s="5" t="s">
        <v>13310</v>
      </c>
      <c r="B8435" s="6" t="s">
        <v>13310</v>
      </c>
      <c r="C8435" s="5" t="s">
        <v>10178</v>
      </c>
      <c r="D8435" s="5" t="s">
        <v>10317</v>
      </c>
      <c r="E8435" s="2">
        <v>1256698</v>
      </c>
      <c r="F8435" s="4" t="str">
        <f>IF(B8435=B8434,"",B8435)</f>
        <v>Sheikhpura</v>
      </c>
    </row>
    <row r="8436" spans="1:6" ht="15.75" customHeight="1">
      <c r="A8436" s="5" t="str">
        <f ca="1">IFERROR(__xludf.DUMMYFUNCTION("GOOGLETRANSLATE(B32189,""en"",""pt"")"),"Sheikhpura")</f>
        <v>Sheikhpura</v>
      </c>
      <c r="B8436" s="17" t="s">
        <v>13310</v>
      </c>
      <c r="C8436" s="17" t="s">
        <v>10178</v>
      </c>
      <c r="D8436" s="17" t="s">
        <v>10317</v>
      </c>
      <c r="E8436" s="10">
        <v>1256698</v>
      </c>
      <c r="F8436" s="4" t="str">
        <f>IF(B8436=B8435,"",B8436)</f>
        <v/>
      </c>
    </row>
    <row r="8437" spans="1:6" ht="15.75" customHeight="1">
      <c r="A8437" s="6" t="s">
        <v>13309</v>
      </c>
      <c r="B8437" s="6" t="s">
        <v>13309</v>
      </c>
      <c r="C8437" s="6" t="s">
        <v>10178</v>
      </c>
      <c r="D8437" s="6" t="s">
        <v>10214</v>
      </c>
      <c r="E8437" s="2">
        <v>1256620</v>
      </c>
      <c r="F8437" s="4" t="str">
        <f>IF(B8437=B8436,"",B8437)</f>
        <v>Shegaon</v>
      </c>
    </row>
    <row r="8438" spans="1:6" ht="15.75" customHeight="1">
      <c r="A8438" s="5" t="str">
        <f ca="1">IFERROR(__xludf.DUMMYFUNCTION("GOOGLETRANSLATE(B32182,""en"",""pt"")"),"Shegaon")</f>
        <v>Shegaon</v>
      </c>
      <c r="B8438" s="17" t="s">
        <v>13309</v>
      </c>
      <c r="C8438" s="17" t="s">
        <v>10178</v>
      </c>
      <c r="D8438" s="17" t="s">
        <v>10214</v>
      </c>
      <c r="E8438" s="10">
        <v>1256620</v>
      </c>
      <c r="F8438" s="4" t="str">
        <f>IF(B8438=B8437,"",B8438)</f>
        <v/>
      </c>
    </row>
    <row r="8439" spans="1:6" ht="15.75" customHeight="1">
      <c r="A8439" s="6" t="s">
        <v>27669</v>
      </c>
      <c r="B8439" s="6" t="s">
        <v>27669</v>
      </c>
      <c r="C8439" s="6" t="s">
        <v>27234</v>
      </c>
      <c r="D8439" s="6" t="s">
        <v>27241</v>
      </c>
      <c r="E8439" s="2">
        <v>2638077</v>
      </c>
      <c r="F8439" s="4" t="str">
        <f>IF(B8439=B8438,"",B8439)</f>
        <v>Sheffield</v>
      </c>
    </row>
    <row r="8440" spans="1:6" ht="15.75" customHeight="1">
      <c r="A8440" s="5" t="str">
        <f ca="1">IFERROR(__xludf.DUMMYFUNCTION("GOOGLETRANSLATE(B30410,""en"",""pt"")"),"Sheffield")</f>
        <v>Sheffield</v>
      </c>
      <c r="B8440" s="17" t="s">
        <v>27669</v>
      </c>
      <c r="C8440" s="17" t="s">
        <v>27234</v>
      </c>
      <c r="D8440" s="17" t="s">
        <v>27241</v>
      </c>
      <c r="E8440" s="10">
        <v>2638077</v>
      </c>
      <c r="F8440" s="4" t="str">
        <f>IF(B8440=B8439,"",B8440)</f>
        <v/>
      </c>
    </row>
    <row r="8441" spans="1:6" ht="15.75" customHeight="1">
      <c r="A8441" s="5" t="s">
        <v>29967</v>
      </c>
      <c r="B8441" s="6" t="s">
        <v>29967</v>
      </c>
      <c r="C8441" s="5" t="s">
        <v>27788</v>
      </c>
      <c r="D8441" s="5" t="s">
        <v>27890</v>
      </c>
      <c r="E8441" s="2">
        <v>5272893</v>
      </c>
      <c r="F8441" s="4" t="str">
        <f>IF(B8441=B8440,"",B8441)</f>
        <v>Sheboygan</v>
      </c>
    </row>
    <row r="8442" spans="1:6" ht="15.75" customHeight="1">
      <c r="A8442" s="5" t="str">
        <f ca="1">IFERROR(__xludf.DUMMYFUNCTION("GOOGLETRANSLATE(B44671,""en"",""pt"")"),"Sheboygan")</f>
        <v>Sheboygan</v>
      </c>
      <c r="B8442" s="17" t="s">
        <v>29967</v>
      </c>
      <c r="C8442" s="17" t="s">
        <v>27788</v>
      </c>
      <c r="D8442" s="17" t="s">
        <v>27890</v>
      </c>
      <c r="E8442" s="10">
        <v>5272893</v>
      </c>
      <c r="F8442" s="4" t="str">
        <f>IF(B8442=B8441,"",B8442)</f>
        <v/>
      </c>
    </row>
    <row r="8443" spans="1:6" ht="15.75" customHeight="1">
      <c r="A8443" s="5" t="s">
        <v>23080</v>
      </c>
      <c r="B8443" s="6" t="s">
        <v>23080</v>
      </c>
      <c r="C8443" s="5" t="s">
        <v>22070</v>
      </c>
      <c r="D8443" s="5" t="s">
        <v>22120</v>
      </c>
      <c r="E8443" s="2">
        <v>495112</v>
      </c>
      <c r="F8443" s="4" t="str">
        <f>IF(B8443=B8442,"",B8443)</f>
        <v>Shebekino</v>
      </c>
    </row>
    <row r="8444" spans="1:6" ht="15.75" customHeight="1">
      <c r="A8444" s="5" t="str">
        <f ca="1">IFERROR(__xludf.DUMMYFUNCTION("GOOGLETRANSLATE(B40103,""en"",""pt"")"),"Shebekino")</f>
        <v>Shebekino</v>
      </c>
      <c r="B8444" s="17" t="s">
        <v>23080</v>
      </c>
      <c r="C8444" s="17" t="s">
        <v>22070</v>
      </c>
      <c r="D8444" s="17" t="s">
        <v>22120</v>
      </c>
      <c r="E8444" s="10">
        <v>495112</v>
      </c>
      <c r="F8444" s="4" t="str">
        <f>IF(B8444=B8443,"",B8444)</f>
        <v/>
      </c>
    </row>
    <row r="8445" spans="1:6" ht="15.75" customHeight="1">
      <c r="A8445" s="5" t="s">
        <v>23079</v>
      </c>
      <c r="B8445" s="6" t="s">
        <v>23079</v>
      </c>
      <c r="C8445" s="5" t="s">
        <v>22070</v>
      </c>
      <c r="D8445" s="5" t="s">
        <v>22127</v>
      </c>
      <c r="E8445" s="2">
        <v>495136</v>
      </c>
      <c r="F8445" s="4" t="str">
        <f>IF(B8445=B8444,"",B8445)</f>
        <v>Shchukino</v>
      </c>
    </row>
    <row r="8446" spans="1:6" ht="15.75" customHeight="1">
      <c r="A8446" s="5" t="str">
        <f ca="1">IFERROR(__xludf.DUMMYFUNCTION("GOOGLETRANSLATE(B40104,""en"",""pt"")"),"Shchukino")</f>
        <v>Shchukino</v>
      </c>
      <c r="B8446" s="17" t="s">
        <v>23079</v>
      </c>
      <c r="C8446" s="17" t="s">
        <v>22070</v>
      </c>
      <c r="D8446" s="17" t="s">
        <v>22127</v>
      </c>
      <c r="E8446" s="10">
        <v>495136</v>
      </c>
      <c r="F8446" s="4" t="str">
        <f>IF(B8446=B8445,"",B8446)</f>
        <v/>
      </c>
    </row>
    <row r="8447" spans="1:6" ht="15.75" customHeight="1">
      <c r="A8447" s="5" t="str">
        <f ca="1">IFERROR(__xludf.DUMMYFUNCTION("GOOGLETRANSLATE(B36219,""en"",""pt"")"),"Shchūchīnsk")</f>
        <v>Shchūchīnsk</v>
      </c>
      <c r="B8447" s="17" t="s">
        <v>34502</v>
      </c>
      <c r="C8447" s="17" t="s">
        <v>16671</v>
      </c>
      <c r="D8447" s="17" t="s">
        <v>34503</v>
      </c>
      <c r="E8447" s="10">
        <v>1519244</v>
      </c>
      <c r="F8447" s="4" t="str">
        <f>IF(B8447=B8446,"",B8447)</f>
        <v>Shchūchīnsk</v>
      </c>
    </row>
    <row r="8448" spans="1:6" ht="15.75" customHeight="1">
      <c r="A8448" s="5" t="s">
        <v>1501</v>
      </c>
      <c r="B8448" s="6" t="s">
        <v>1501</v>
      </c>
      <c r="C8448" s="5" t="s">
        <v>1453</v>
      </c>
      <c r="D8448" s="5" t="s">
        <v>1470</v>
      </c>
      <c r="E8448" s="2">
        <v>622113</v>
      </c>
      <c r="F8448" s="4" t="str">
        <f>IF(B8448=B8447,"",B8448)</f>
        <v>Shchuchin</v>
      </c>
    </row>
    <row r="8449" spans="1:6" ht="15.75" customHeight="1">
      <c r="A8449" s="5" t="str">
        <f ca="1">IFERROR(__xludf.DUMMYFUNCTION("GOOGLETRANSLATE(B25378,""en"",""pt"")"),"Shchuchin")</f>
        <v>Shchuchin</v>
      </c>
      <c r="B8449" s="17" t="s">
        <v>1501</v>
      </c>
      <c r="C8449" s="17" t="s">
        <v>1453</v>
      </c>
      <c r="D8449" s="17" t="s">
        <v>1470</v>
      </c>
      <c r="E8449" s="10">
        <v>622113</v>
      </c>
      <c r="F8449" s="4" t="str">
        <f>IF(B8449=B8448,"",B8449)</f>
        <v/>
      </c>
    </row>
    <row r="8450" spans="1:6" ht="15.75" customHeight="1">
      <c r="A8450" s="6" t="s">
        <v>23078</v>
      </c>
      <c r="B8450" s="6" t="s">
        <v>23078</v>
      </c>
      <c r="C8450" s="6" t="s">
        <v>22070</v>
      </c>
      <c r="D8450" s="6" t="s">
        <v>22634</v>
      </c>
      <c r="E8450" s="2">
        <v>495206</v>
      </c>
      <c r="F8450" s="4" t="str">
        <f>IF(B8450=B8449,"",B8450)</f>
        <v>Shchigry</v>
      </c>
    </row>
    <row r="8451" spans="1:6" ht="15.75" customHeight="1">
      <c r="A8451" s="5" t="str">
        <f ca="1">IFERROR(__xludf.DUMMYFUNCTION("GOOGLETRANSLATE(B40105,""en"",""pt"")"),"Shchigry")</f>
        <v>Shchigry</v>
      </c>
      <c r="B8451" s="17" t="s">
        <v>23078</v>
      </c>
      <c r="C8451" s="17" t="s">
        <v>22070</v>
      </c>
      <c r="D8451" s="17" t="s">
        <v>22634</v>
      </c>
      <c r="E8451" s="10">
        <v>495206</v>
      </c>
      <c r="F8451" s="4" t="str">
        <f>IF(B8451=B8450,"",B8451)</f>
        <v/>
      </c>
    </row>
    <row r="8452" spans="1:6" ht="15.75" customHeight="1">
      <c r="A8452" s="5" t="s">
        <v>23077</v>
      </c>
      <c r="B8452" s="6" t="s">
        <v>23077</v>
      </c>
      <c r="C8452" s="5" t="s">
        <v>22070</v>
      </c>
      <c r="D8452" s="5" t="s">
        <v>22127</v>
      </c>
      <c r="E8452" s="2">
        <v>495260</v>
      </c>
      <c r="F8452" s="4" t="str">
        <f>IF(B8452=B8451,"",B8452)</f>
        <v>Shcherbinka</v>
      </c>
    </row>
    <row r="8453" spans="1:6" ht="15.75" customHeight="1">
      <c r="A8453" s="5" t="str">
        <f ca="1">IFERROR(__xludf.DUMMYFUNCTION("GOOGLETRANSLATE(B40106,""en"",""pt"")"),"Shcherbinka")</f>
        <v>Shcherbinka</v>
      </c>
      <c r="B8453" s="17" t="s">
        <v>23077</v>
      </c>
      <c r="C8453" s="17" t="s">
        <v>22070</v>
      </c>
      <c r="D8453" s="17" t="s">
        <v>22127</v>
      </c>
      <c r="E8453" s="10">
        <v>495260</v>
      </c>
      <c r="F8453" s="4" t="str">
        <f>IF(B8453=B8452,"",B8453)</f>
        <v/>
      </c>
    </row>
    <row r="8454" spans="1:6" ht="15.75" customHeight="1">
      <c r="A8454" s="5" t="s">
        <v>23076</v>
      </c>
      <c r="B8454" s="6" t="s">
        <v>23076</v>
      </c>
      <c r="C8454" s="5" t="s">
        <v>22070</v>
      </c>
      <c r="D8454" s="5" t="s">
        <v>22119</v>
      </c>
      <c r="E8454" s="2">
        <v>495344</v>
      </c>
      <c r="F8454" s="4" t="str">
        <f>IF(B8454=B8453,"",B8454)</f>
        <v>Shchelkovo</v>
      </c>
    </row>
    <row r="8455" spans="1:6" ht="15.75" customHeight="1">
      <c r="A8455" s="5" t="str">
        <f ca="1">IFERROR(__xludf.DUMMYFUNCTION("GOOGLETRANSLATE(B40107,""en"",""pt"")"),"Shchelkovo")</f>
        <v>Shchelkovo</v>
      </c>
      <c r="B8455" s="17" t="s">
        <v>23076</v>
      </c>
      <c r="C8455" s="17" t="s">
        <v>22070</v>
      </c>
      <c r="D8455" s="17" t="s">
        <v>22119</v>
      </c>
      <c r="E8455" s="10">
        <v>495344</v>
      </c>
      <c r="F8455" s="4" t="str">
        <f>IF(B8455=B8454,"",B8455)</f>
        <v/>
      </c>
    </row>
    <row r="8456" spans="1:6" ht="15.75" customHeight="1">
      <c r="A8456" s="5" t="str">
        <f ca="1">IFERROR(__xludf.DUMMYFUNCTION("GOOGLETRANSLATE(B40108,""en"",""pt"")"),"Shchëkino")</f>
        <v>Shchëkino</v>
      </c>
      <c r="B8456" s="17" t="s">
        <v>35454</v>
      </c>
      <c r="C8456" s="17" t="s">
        <v>22070</v>
      </c>
      <c r="D8456" s="17" t="s">
        <v>22122</v>
      </c>
      <c r="E8456" s="10">
        <v>495394</v>
      </c>
      <c r="F8456" s="4" t="str">
        <f>IF(B8456=B8455,"",B8456)</f>
        <v>Shchëkino</v>
      </c>
    </row>
    <row r="8457" spans="1:6" ht="15.75" customHeight="1">
      <c r="A8457" s="5" t="s">
        <v>23074</v>
      </c>
      <c r="B8457" s="6" t="s">
        <v>23075</v>
      </c>
      <c r="C8457" s="5" t="s">
        <v>22070</v>
      </c>
      <c r="D8457" s="5" t="s">
        <v>22122</v>
      </c>
      <c r="E8457" s="2">
        <v>495394</v>
      </c>
      <c r="F8457" s="4" t="str">
        <f>IF(B8457=B8456,"",B8457)</f>
        <v>ShchÃ«kino</v>
      </c>
    </row>
    <row r="8458" spans="1:6" ht="15.75" customHeight="1">
      <c r="A8458" s="5" t="s">
        <v>16748</v>
      </c>
      <c r="B8458" s="6" t="s">
        <v>16749</v>
      </c>
      <c r="C8458" s="5" t="s">
        <v>16671</v>
      </c>
      <c r="D8458" s="5" t="s">
        <v>16734</v>
      </c>
      <c r="E8458" s="2">
        <v>1519244</v>
      </c>
      <c r="F8458" s="4" t="str">
        <f>IF(B8458=B8457,"",B8458)</f>
        <v>ShchÅ«chÄ«nsk</v>
      </c>
    </row>
    <row r="8459" spans="1:6" ht="15.75" customHeight="1">
      <c r="A8459" s="6" t="s">
        <v>29966</v>
      </c>
      <c r="B8459" s="6" t="s">
        <v>29966</v>
      </c>
      <c r="C8459" s="6" t="s">
        <v>27788</v>
      </c>
      <c r="D8459" s="6" t="s">
        <v>28419</v>
      </c>
      <c r="E8459" s="2">
        <v>4279247</v>
      </c>
      <c r="F8459" s="4" t="str">
        <f>IF(B8459=B8458,"",B8459)</f>
        <v>Shawnee</v>
      </c>
    </row>
    <row r="8460" spans="1:6" ht="15.75" customHeight="1">
      <c r="A8460" s="6" t="s">
        <v>29966</v>
      </c>
      <c r="B8460" s="6" t="s">
        <v>29966</v>
      </c>
      <c r="C8460" s="6" t="s">
        <v>27788</v>
      </c>
      <c r="D8460" s="6" t="s">
        <v>27797</v>
      </c>
      <c r="E8460" s="2">
        <v>4551177</v>
      </c>
      <c r="F8460" s="4" t="str">
        <f>IF(B8460=B8459,"",B8460)</f>
        <v/>
      </c>
    </row>
    <row r="8461" spans="1:6" ht="15.75" customHeight="1">
      <c r="A8461" s="5" t="str">
        <f ca="1">IFERROR(__xludf.DUMMYFUNCTION("GOOGLETRANSLATE(B43184,""en"",""pt"")"),"Shawnee")</f>
        <v>Shawnee</v>
      </c>
      <c r="B8461" s="17" t="s">
        <v>29966</v>
      </c>
      <c r="C8461" s="17" t="s">
        <v>27788</v>
      </c>
      <c r="D8461" s="17" t="s">
        <v>28419</v>
      </c>
      <c r="E8461" s="10">
        <v>4279247</v>
      </c>
      <c r="F8461" s="4" t="str">
        <f>IF(B8461=B8460,"",B8461)</f>
        <v/>
      </c>
    </row>
    <row r="8462" spans="1:6" ht="15.75" customHeight="1">
      <c r="A8462" s="5" t="str">
        <f ca="1">IFERROR(__xludf.DUMMYFUNCTION("GOOGLETRANSLATE(B43565,""en"",""pt"")"),"Shawnee")</f>
        <v>Shawnee</v>
      </c>
      <c r="B8462" s="17" t="s">
        <v>29966</v>
      </c>
      <c r="C8462" s="17" t="s">
        <v>27788</v>
      </c>
      <c r="D8462" s="17" t="s">
        <v>27797</v>
      </c>
      <c r="E8462" s="10">
        <v>4551177</v>
      </c>
      <c r="F8462" s="4" t="str">
        <f>IF(B8462=B8461,"",B8462)</f>
        <v/>
      </c>
    </row>
    <row r="8463" spans="1:6" ht="15.75" customHeight="1">
      <c r="A8463" s="5" t="s">
        <v>4201</v>
      </c>
      <c r="B8463" s="6" t="s">
        <v>4201</v>
      </c>
      <c r="C8463" s="5" t="s">
        <v>3975</v>
      </c>
      <c r="D8463" s="5" t="s">
        <v>3982</v>
      </c>
      <c r="E8463" s="2">
        <v>6145489</v>
      </c>
      <c r="F8463" s="4" t="str">
        <f>IF(B8463=B8462,"",B8463)</f>
        <v>Shawinigan</v>
      </c>
    </row>
    <row r="8464" spans="1:6" ht="15.75" customHeight="1">
      <c r="A8464" s="5" t="str">
        <f ca="1">IFERROR(__xludf.DUMMYFUNCTION("GOOGLETRANSLATE(B25583,""en"",""pt"")"),"Shawinigan")</f>
        <v>Shawinigan</v>
      </c>
      <c r="B8464" s="17" t="s">
        <v>4201</v>
      </c>
      <c r="C8464" s="17" t="s">
        <v>3975</v>
      </c>
      <c r="D8464" s="17" t="s">
        <v>3982</v>
      </c>
      <c r="E8464" s="10">
        <v>6145489</v>
      </c>
      <c r="F8464" s="4" t="str">
        <f>IF(B8464=B8463,"",B8464)</f>
        <v/>
      </c>
    </row>
    <row r="8465" spans="1:6" ht="15.75" customHeight="1">
      <c r="A8465" s="6" t="s">
        <v>23073</v>
      </c>
      <c r="B8465" s="6" t="s">
        <v>23073</v>
      </c>
      <c r="C8465" s="6" t="s">
        <v>22070</v>
      </c>
      <c r="D8465" s="6" t="s">
        <v>22119</v>
      </c>
      <c r="E8465" s="2">
        <v>495518</v>
      </c>
      <c r="F8465" s="4" t="str">
        <f>IF(B8465=B8464,"",B8465)</f>
        <v>Shatura</v>
      </c>
    </row>
    <row r="8466" spans="1:6" ht="15.75" customHeight="1">
      <c r="A8466" s="5" t="str">
        <f ca="1">IFERROR(__xludf.DUMMYFUNCTION("GOOGLETRANSLATE(B40109,""en"",""pt"")"),"Shatura")</f>
        <v>Shatura</v>
      </c>
      <c r="B8466" s="17" t="s">
        <v>23073</v>
      </c>
      <c r="C8466" s="17" t="s">
        <v>22070</v>
      </c>
      <c r="D8466" s="17" t="s">
        <v>22119</v>
      </c>
      <c r="E8466" s="10">
        <v>495518</v>
      </c>
      <c r="F8466" s="4" t="str">
        <f>IF(B8466=B8465,"",B8466)</f>
        <v/>
      </c>
    </row>
    <row r="8467" spans="1:6" ht="15.75" customHeight="1">
      <c r="A8467" s="6" t="s">
        <v>5067</v>
      </c>
      <c r="B8467" s="6" t="s">
        <v>5067</v>
      </c>
      <c r="C8467" s="6" t="s">
        <v>4487</v>
      </c>
      <c r="D8467" s="6" t="s">
        <v>4499</v>
      </c>
      <c r="E8467" s="2">
        <v>1795816</v>
      </c>
      <c r="F8467" s="4" t="str">
        <f>IF(B8467=B8466,"",B8467)</f>
        <v>Shashi</v>
      </c>
    </row>
    <row r="8468" spans="1:6" ht="15.75" customHeight="1">
      <c r="A8468" s="5" t="str">
        <f ca="1">IFERROR(__xludf.DUMMYFUNCTION("GOOGLETRANSLATE(B26275,""en"",""pt"")"),"Shashi")</f>
        <v>Shashi</v>
      </c>
      <c r="B8468" s="17" t="s">
        <v>5067</v>
      </c>
      <c r="C8468" s="17" t="s">
        <v>4487</v>
      </c>
      <c r="D8468" s="17" t="s">
        <v>4499</v>
      </c>
      <c r="E8468" s="10">
        <v>1795816</v>
      </c>
      <c r="F8468" s="4" t="str">
        <f>IF(B8468=B8467,"",B8468)</f>
        <v/>
      </c>
    </row>
    <row r="8469" spans="1:6" ht="15.75" customHeight="1">
      <c r="A8469" s="5" t="str">
        <f ca="1">IFERROR(__xludf.DUMMYFUNCTION("GOOGLETRANSLATE(B29525,""en"",""pt"")"),"Shashemenē")</f>
        <v>Shashemenē</v>
      </c>
      <c r="B8469" s="17" t="s">
        <v>32487</v>
      </c>
      <c r="C8469" s="17" t="s">
        <v>6807</v>
      </c>
      <c r="D8469" s="17" t="s">
        <v>6814</v>
      </c>
      <c r="E8469" s="10">
        <v>328689</v>
      </c>
      <c r="F8469" s="4" t="str">
        <f>IF(B8469=B8468,"",B8469)</f>
        <v>Shashemenē</v>
      </c>
    </row>
    <row r="8470" spans="1:6" ht="15.75" customHeight="1">
      <c r="A8470" s="5" t="s">
        <v>6922</v>
      </c>
      <c r="B8470" s="6" t="s">
        <v>6923</v>
      </c>
      <c r="C8470" s="5" t="s">
        <v>6807</v>
      </c>
      <c r="D8470" s="5" t="s">
        <v>6814</v>
      </c>
      <c r="E8470" s="2">
        <v>328689</v>
      </c>
      <c r="F8470" s="4" t="str">
        <f>IF(B8470=B8469,"",B8470)</f>
        <v>ShashemenÄ“</v>
      </c>
    </row>
    <row r="8471" spans="1:6" ht="15.75" customHeight="1">
      <c r="A8471" s="5" t="s">
        <v>23072</v>
      </c>
      <c r="B8471" s="6" t="s">
        <v>23072</v>
      </c>
      <c r="C8471" s="5" t="s">
        <v>22070</v>
      </c>
      <c r="D8471" s="5" t="s">
        <v>22079</v>
      </c>
      <c r="E8471" s="2">
        <v>1492401</v>
      </c>
      <c r="F8471" s="4" t="str">
        <f>IF(B8471=B8470,"",B8471)</f>
        <v>Sharypovo</v>
      </c>
    </row>
    <row r="8472" spans="1:6" ht="15.75" customHeight="1">
      <c r="A8472" s="5" t="str">
        <f ca="1">IFERROR(__xludf.DUMMYFUNCTION("GOOGLETRANSLATE(B40762,""en"",""pt"")"),"Sharypovo")</f>
        <v>Sharypovo</v>
      </c>
      <c r="B8472" s="17" t="s">
        <v>23072</v>
      </c>
      <c r="C8472" s="17" t="s">
        <v>22070</v>
      </c>
      <c r="D8472" s="17" t="s">
        <v>22079</v>
      </c>
      <c r="E8472" s="10">
        <v>1492401</v>
      </c>
      <c r="F8472" s="4" t="str">
        <f>IF(B8472=B8471,"",B8472)</f>
        <v/>
      </c>
    </row>
    <row r="8473" spans="1:6" ht="15.75" customHeight="1">
      <c r="A8473" s="6" t="s">
        <v>20229</v>
      </c>
      <c r="B8473" s="6" t="s">
        <v>20229</v>
      </c>
      <c r="C8473" s="6" t="s">
        <v>19808</v>
      </c>
      <c r="D8473" s="6" t="s">
        <v>10184</v>
      </c>
      <c r="E8473" s="2">
        <v>1165260</v>
      </c>
      <c r="F8473" s="4" t="str">
        <f>IF(B8473=B8472,"",B8473)</f>
        <v>Sharqpur</v>
      </c>
    </row>
    <row r="8474" spans="1:6" ht="15.75" customHeight="1">
      <c r="A8474" s="5" t="str">
        <f ca="1">IFERROR(__xludf.DUMMYFUNCTION("GOOGLETRANSLATE(B38913,""en"",""pt"")"),"Sharqpur")</f>
        <v>Sharqpur</v>
      </c>
      <c r="B8474" s="17" t="s">
        <v>20229</v>
      </c>
      <c r="C8474" s="17" t="s">
        <v>19808</v>
      </c>
      <c r="D8474" s="17" t="s">
        <v>10184</v>
      </c>
      <c r="E8474" s="10">
        <v>1165260</v>
      </c>
      <c r="F8474" s="4" t="str">
        <f>IF(B8474=B8473,"",B8474)</f>
        <v/>
      </c>
    </row>
    <row r="8475" spans="1:6" ht="15.75" customHeight="1">
      <c r="A8475" s="6" t="s">
        <v>27231</v>
      </c>
      <c r="B8475" s="6" t="s">
        <v>27231</v>
      </c>
      <c r="C8475" s="6" t="s">
        <v>27213</v>
      </c>
      <c r="D8475" s="6" t="s">
        <v>27216</v>
      </c>
      <c r="E8475" s="2">
        <v>292672</v>
      </c>
      <c r="F8475" s="4" t="str">
        <f>IF(B8475=B8474,"",B8475)</f>
        <v>Sharjah</v>
      </c>
    </row>
    <row r="8476" spans="1:6" ht="15.75" customHeight="1">
      <c r="A8476" s="5" t="str">
        <f ca="1">IFERROR(__xludf.DUMMYFUNCTION("GOOGLETRANSLATE(B23047,""en"",""pt"")"),"Sharjah")</f>
        <v>Sharjah</v>
      </c>
      <c r="B8476" s="17" t="s">
        <v>27231</v>
      </c>
      <c r="C8476" s="17" t="s">
        <v>27213</v>
      </c>
      <c r="D8476" s="17" t="s">
        <v>31106</v>
      </c>
      <c r="E8476" s="10">
        <v>292672</v>
      </c>
      <c r="F8476" s="4" t="str">
        <f>IF(B8476=B8475,"",B8476)</f>
        <v/>
      </c>
    </row>
    <row r="8477" spans="1:6" ht="15.75" customHeight="1">
      <c r="A8477" s="6" t="s">
        <v>16747</v>
      </c>
      <c r="B8477" s="6" t="s">
        <v>16747</v>
      </c>
      <c r="C8477" s="6" t="s">
        <v>16671</v>
      </c>
      <c r="D8477" s="6" t="s">
        <v>16678</v>
      </c>
      <c r="E8477" s="2">
        <v>1524889</v>
      </c>
      <c r="F8477" s="4" t="str">
        <f>IF(B8477=B8476,"",B8477)</f>
        <v>Shardara</v>
      </c>
    </row>
    <row r="8478" spans="1:6" ht="15.75" customHeight="1">
      <c r="A8478" s="5" t="str">
        <f ca="1">IFERROR(__xludf.DUMMYFUNCTION("GOOGLETRANSLATE(B36248,""en"",""pt"")"),"Shardara")</f>
        <v>Shardara</v>
      </c>
      <c r="B8478" s="17" t="s">
        <v>16747</v>
      </c>
      <c r="C8478" s="17" t="s">
        <v>16671</v>
      </c>
      <c r="D8478" s="17" t="s">
        <v>34499</v>
      </c>
      <c r="E8478" s="10">
        <v>1524889</v>
      </c>
      <c r="F8478" s="4" t="str">
        <f>IF(B8478=B8477,"",B8478)</f>
        <v/>
      </c>
    </row>
    <row r="8479" spans="1:6" ht="15.75" customHeight="1">
      <c r="A8479" s="5" t="s">
        <v>23070</v>
      </c>
      <c r="B8479" s="6" t="s">
        <v>23071</v>
      </c>
      <c r="C8479" s="5" t="s">
        <v>22070</v>
      </c>
      <c r="D8479" s="5" t="s">
        <v>22284</v>
      </c>
      <c r="E8479" s="2">
        <v>495619</v>
      </c>
      <c r="F8479" s="4" t="str">
        <f>IF(B8479=B8478,"",B8479)</f>
        <v>Sharâ€™ya</v>
      </c>
    </row>
    <row r="8480" spans="1:6" ht="15.75" customHeight="1">
      <c r="A8480" s="5" t="str">
        <f ca="1">IFERROR(__xludf.DUMMYFUNCTION("GOOGLETRANSLATE(B40110,""en"",""pt"")"),"Shar'ya")</f>
        <v>Shar'ya</v>
      </c>
      <c r="B8480" s="17" t="s">
        <v>35455</v>
      </c>
      <c r="C8480" s="17" t="s">
        <v>22070</v>
      </c>
      <c r="D8480" s="17" t="s">
        <v>22284</v>
      </c>
      <c r="E8480" s="10">
        <v>495619</v>
      </c>
      <c r="F8480" s="4" t="str">
        <f>IF(B8480=B8479,"",B8480)</f>
        <v>Shar’ya</v>
      </c>
    </row>
    <row r="8481" spans="1:6" ht="15.75" customHeight="1">
      <c r="A8481" s="5" t="s">
        <v>5065</v>
      </c>
      <c r="B8481" s="6" t="s">
        <v>5066</v>
      </c>
      <c r="C8481" s="5" t="s">
        <v>4487</v>
      </c>
      <c r="D8481" s="5" t="s">
        <v>4492</v>
      </c>
      <c r="E8481" s="2">
        <v>1795842</v>
      </c>
      <c r="F8481" s="4" t="str">
        <f>IF(B8481=B8480,"",B8481)</f>
        <v>Shaping</v>
      </c>
    </row>
    <row r="8482" spans="1:6" ht="15.75" customHeight="1">
      <c r="A8482" s="5" t="str">
        <f ca="1">IFERROR(__xludf.DUMMYFUNCTION("GOOGLETRANSLATE(B26276,""en"",""pt"")"),"Modelagem")</f>
        <v>Modelagem</v>
      </c>
      <c r="B8482" s="17" t="s">
        <v>5066</v>
      </c>
      <c r="C8482" s="17" t="s">
        <v>4487</v>
      </c>
      <c r="D8482" s="17" t="s">
        <v>4492</v>
      </c>
      <c r="E8482" s="10">
        <v>1795842</v>
      </c>
      <c r="F8482" s="4" t="str">
        <f>IF(B8482=B8481,"",B8482)</f>
        <v/>
      </c>
    </row>
    <row r="8483" spans="1:6" ht="15.75" customHeight="1">
      <c r="A8483" s="6" t="s">
        <v>5064</v>
      </c>
      <c r="B8483" s="6" t="s">
        <v>5064</v>
      </c>
      <c r="C8483" s="6" t="s">
        <v>4487</v>
      </c>
      <c r="D8483" s="6" t="s">
        <v>4631</v>
      </c>
      <c r="E8483" s="2">
        <v>1795855</v>
      </c>
      <c r="F8483" s="4" t="str">
        <f>IF(B8483=B8482,"",B8483)</f>
        <v>Shaoxing</v>
      </c>
    </row>
    <row r="8484" spans="1:6" ht="15.75" customHeight="1">
      <c r="A8484" s="5" t="str">
        <f ca="1">IFERROR(__xludf.DUMMYFUNCTION("GOOGLETRANSLATE(B26277,""en"",""pt"")"),"Shaoxing")</f>
        <v>Shaoxing</v>
      </c>
      <c r="B8484" s="17" t="s">
        <v>5064</v>
      </c>
      <c r="C8484" s="17" t="s">
        <v>4487</v>
      </c>
      <c r="D8484" s="17" t="s">
        <v>4631</v>
      </c>
      <c r="E8484" s="10">
        <v>1795855</v>
      </c>
      <c r="F8484" s="4" t="str">
        <f>IF(B8484=B8483,"",B8484)</f>
        <v/>
      </c>
    </row>
    <row r="8485" spans="1:6" ht="15.75" customHeight="1">
      <c r="A8485" s="6" t="s">
        <v>5063</v>
      </c>
      <c r="B8485" s="6" t="s">
        <v>5063</v>
      </c>
      <c r="C8485" s="6" t="s">
        <v>4487</v>
      </c>
      <c r="D8485" s="6" t="s">
        <v>4591</v>
      </c>
      <c r="E8485" s="2">
        <v>1795857</v>
      </c>
      <c r="F8485" s="4" t="str">
        <f>IF(B8485=B8484,"",B8485)</f>
        <v>Shaowu</v>
      </c>
    </row>
    <row r="8486" spans="1:6" ht="15.75" customHeight="1">
      <c r="A8486" s="5" t="str">
        <f ca="1">IFERROR(__xludf.DUMMYFUNCTION("GOOGLETRANSLATE(B26278,""en"",""pt"")"),"Shaowu")</f>
        <v>Shaowu</v>
      </c>
      <c r="B8486" s="17" t="s">
        <v>5063</v>
      </c>
      <c r="C8486" s="17" t="s">
        <v>4487</v>
      </c>
      <c r="D8486" s="17" t="s">
        <v>4591</v>
      </c>
      <c r="E8486" s="10">
        <v>1795857</v>
      </c>
      <c r="F8486" s="4" t="str">
        <f>IF(B8486=B8485,"",B8486)</f>
        <v/>
      </c>
    </row>
    <row r="8487" spans="1:6" ht="15.75" customHeight="1">
      <c r="A8487" s="5" t="s">
        <v>5062</v>
      </c>
      <c r="B8487" s="6" t="s">
        <v>5062</v>
      </c>
      <c r="C8487" s="5" t="s">
        <v>4487</v>
      </c>
      <c r="D8487" s="5" t="s">
        <v>4492</v>
      </c>
      <c r="E8487" s="2">
        <v>1795874</v>
      </c>
      <c r="F8487" s="4" t="str">
        <f>IF(B8487=B8486,"",B8487)</f>
        <v>Shaoguan</v>
      </c>
    </row>
    <row r="8488" spans="1:6" ht="15.75" customHeight="1">
      <c r="A8488" s="5" t="str">
        <f ca="1">IFERROR(__xludf.DUMMYFUNCTION("GOOGLETRANSLATE(B26279,""en"",""pt"")"),"Shaoguan")</f>
        <v>Shaoguan</v>
      </c>
      <c r="B8488" s="17" t="s">
        <v>5062</v>
      </c>
      <c r="C8488" s="17" t="s">
        <v>4487</v>
      </c>
      <c r="D8488" s="17" t="s">
        <v>4492</v>
      </c>
      <c r="E8488" s="10">
        <v>1795874</v>
      </c>
      <c r="F8488" s="4" t="str">
        <f>IF(B8488=B8487,"",B8488)</f>
        <v/>
      </c>
    </row>
    <row r="8489" spans="1:6" ht="15.75" customHeight="1">
      <c r="A8489" s="6" t="s">
        <v>5061</v>
      </c>
      <c r="B8489" s="6" t="s">
        <v>5061</v>
      </c>
      <c r="C8489" s="6" t="s">
        <v>4487</v>
      </c>
      <c r="D8489" s="6" t="s">
        <v>4492</v>
      </c>
      <c r="E8489" s="2">
        <v>1795928</v>
      </c>
      <c r="F8489" s="4" t="str">
        <f>IF(B8489=B8488,"",B8489)</f>
        <v>Shanwei</v>
      </c>
    </row>
    <row r="8490" spans="1:6" ht="15.75" customHeight="1">
      <c r="A8490" s="5" t="str">
        <f ca="1">IFERROR(__xludf.DUMMYFUNCTION("GOOGLETRANSLATE(B26281,""en"",""pt"")"),"Shanwei")</f>
        <v>Shanwei</v>
      </c>
      <c r="B8490" s="17" t="s">
        <v>5061</v>
      </c>
      <c r="C8490" s="17" t="s">
        <v>4487</v>
      </c>
      <c r="D8490" s="17" t="s">
        <v>4492</v>
      </c>
      <c r="E8490" s="10">
        <v>1795928</v>
      </c>
      <c r="F8490" s="4" t="str">
        <f>IF(B8490=B8489,"",B8490)</f>
        <v/>
      </c>
    </row>
    <row r="8491" spans="1:6" ht="15.75" customHeight="1">
      <c r="A8491" s="6" t="s">
        <v>5060</v>
      </c>
      <c r="B8491" s="6" t="s">
        <v>5060</v>
      </c>
      <c r="C8491" s="6" t="s">
        <v>4487</v>
      </c>
      <c r="D8491" s="6" t="s">
        <v>4492</v>
      </c>
      <c r="E8491" s="2">
        <v>1795940</v>
      </c>
      <c r="F8491" s="4" t="str">
        <f>IF(B8491=B8490,"",B8491)</f>
        <v>Shantou</v>
      </c>
    </row>
    <row r="8492" spans="1:6" ht="15.75" customHeight="1">
      <c r="A8492" s="5" t="str">
        <f ca="1">IFERROR(__xludf.DUMMYFUNCTION("GOOGLETRANSLATE(B26282,""en"",""pt"")"),"Shantou")</f>
        <v>Shantou</v>
      </c>
      <c r="B8492" s="17" t="s">
        <v>5060</v>
      </c>
      <c r="C8492" s="17" t="s">
        <v>4487</v>
      </c>
      <c r="D8492" s="17" t="s">
        <v>4492</v>
      </c>
      <c r="E8492" s="10">
        <v>1795940</v>
      </c>
      <c r="F8492" s="4" t="str">
        <f>IF(B8492=B8491,"",B8492)</f>
        <v/>
      </c>
    </row>
    <row r="8493" spans="1:6" ht="15.75" customHeight="1">
      <c r="A8493" s="5" t="str">
        <f ca="1">IFERROR(__xludf.DUMMYFUNCTION("GOOGLETRANSLATE(B32183,""en"",""pt"")"),"Shāntipur")</f>
        <v>Shāntipur</v>
      </c>
      <c r="B8493" s="17" t="s">
        <v>33087</v>
      </c>
      <c r="C8493" s="17" t="s">
        <v>10178</v>
      </c>
      <c r="D8493" s="17" t="s">
        <v>10201</v>
      </c>
      <c r="E8493" s="10">
        <v>1256639</v>
      </c>
      <c r="F8493" s="4" t="str">
        <f>IF(B8493=B8492,"",B8493)</f>
        <v>Shāntipur</v>
      </c>
    </row>
    <row r="8494" spans="1:6" ht="15.75" customHeight="1">
      <c r="A8494" s="6" t="s">
        <v>5059</v>
      </c>
      <c r="B8494" s="6" t="s">
        <v>5059</v>
      </c>
      <c r="C8494" s="6" t="s">
        <v>4487</v>
      </c>
      <c r="D8494" s="6" t="s">
        <v>4503</v>
      </c>
      <c r="E8494" s="2">
        <v>1795941</v>
      </c>
      <c r="F8494" s="4" t="str">
        <f>IF(B8494=B8493,"",B8494)</f>
        <v>Shanting</v>
      </c>
    </row>
    <row r="8495" spans="1:6" ht="15.75" customHeight="1">
      <c r="A8495" s="5" t="str">
        <f ca="1">IFERROR(__xludf.DUMMYFUNCTION("GOOGLETRANSLATE(B26283,""en"",""pt"")"),"Shanting")</f>
        <v>Shanting</v>
      </c>
      <c r="B8495" s="17" t="s">
        <v>5059</v>
      </c>
      <c r="C8495" s="17" t="s">
        <v>4487</v>
      </c>
      <c r="D8495" s="17" t="s">
        <v>4503</v>
      </c>
      <c r="E8495" s="10">
        <v>1795941</v>
      </c>
      <c r="F8495" s="4" t="str">
        <f>IF(B8495=B8494,"",B8495)</f>
        <v/>
      </c>
    </row>
    <row r="8496" spans="1:6" ht="15.75" customHeight="1">
      <c r="A8496" s="5" t="s">
        <v>24976</v>
      </c>
      <c r="B8496" s="6" t="s">
        <v>24976</v>
      </c>
      <c r="C8496" s="5" t="s">
        <v>24924</v>
      </c>
      <c r="D8496" s="5" t="s">
        <v>6128</v>
      </c>
      <c r="E8496" s="2">
        <v>8260318</v>
      </c>
      <c r="F8496" s="4" t="str">
        <f>IF(B8496=B8495,"",B8496)</f>
        <v>Shanjeev Home</v>
      </c>
    </row>
    <row r="8497" spans="1:6" ht="15.75" customHeight="1">
      <c r="A8497" s="5" t="str">
        <f ca="1">IFERROR(__xludf.DUMMYFUNCTION("GOOGLETRANSLATE(B36340,""en"",""pt"")"),"Shanjeev Home")</f>
        <v>Shanjeev Home</v>
      </c>
      <c r="B8497" s="17" t="s">
        <v>24976</v>
      </c>
      <c r="C8497" s="17" t="s">
        <v>24924</v>
      </c>
      <c r="D8497" s="17" t="s">
        <v>6128</v>
      </c>
      <c r="E8497" s="10">
        <v>8260318</v>
      </c>
      <c r="F8497" s="4" t="str">
        <f>IF(B8497=B8496,"",B8497)</f>
        <v/>
      </c>
    </row>
    <row r="8498" spans="1:6" ht="15.75" customHeight="1">
      <c r="A8498" s="5" t="s">
        <v>5058</v>
      </c>
      <c r="B8498" s="6" t="s">
        <v>5058</v>
      </c>
      <c r="C8498" s="5" t="s">
        <v>4487</v>
      </c>
      <c r="D8498" s="5" t="s">
        <v>4488</v>
      </c>
      <c r="E8498" s="2">
        <v>2034995</v>
      </c>
      <c r="F8498" s="4" t="str">
        <f>IF(B8498=B8497,"",B8498)</f>
        <v>Shanhetun</v>
      </c>
    </row>
    <row r="8499" spans="1:6" ht="15.75" customHeight="1">
      <c r="A8499" s="5" t="str">
        <f ca="1">IFERROR(__xludf.DUMMYFUNCTION("GOOGLETRANSLATE(B26696,""en"",""pt"")"),"Shanhetun")</f>
        <v>Shanhetun</v>
      </c>
      <c r="B8499" s="17" t="s">
        <v>5058</v>
      </c>
      <c r="C8499" s="17" t="s">
        <v>4487</v>
      </c>
      <c r="D8499" s="17" t="s">
        <v>4488</v>
      </c>
      <c r="E8499" s="10">
        <v>2034995</v>
      </c>
      <c r="F8499" s="4" t="str">
        <f>IF(B8499=B8498,"",B8499)</f>
        <v/>
      </c>
    </row>
    <row r="8500" spans="1:6" ht="15.75" customHeight="1">
      <c r="A8500" s="5" t="s">
        <v>5056</v>
      </c>
      <c r="B8500" s="6" t="s">
        <v>5057</v>
      </c>
      <c r="C8500" s="5" t="s">
        <v>4487</v>
      </c>
      <c r="D8500" s="5" t="s">
        <v>4529</v>
      </c>
      <c r="E8500" s="2">
        <v>2034996</v>
      </c>
      <c r="F8500" s="4" t="str">
        <f>IF(B8500=B8499,"",B8500)</f>
        <v>Shanhaiguan</v>
      </c>
    </row>
    <row r="8501" spans="1:6" ht="15.75" customHeight="1">
      <c r="A8501" s="5" t="str">
        <f ca="1">IFERROR(__xludf.DUMMYFUNCTION("GOOGLETRANSLATE(B26697,""en"",""pt"")"),"SHANHAIGUAN")</f>
        <v>SHANHAIGUAN</v>
      </c>
      <c r="B8501" s="17" t="s">
        <v>5057</v>
      </c>
      <c r="C8501" s="17" t="s">
        <v>4487</v>
      </c>
      <c r="D8501" s="17" t="s">
        <v>4529</v>
      </c>
      <c r="E8501" s="10">
        <v>2034996</v>
      </c>
      <c r="F8501" s="4" t="str">
        <f>IF(B8501=B8500,"",B8501)</f>
        <v/>
      </c>
    </row>
    <row r="8502" spans="1:6" ht="15.75" customHeight="1">
      <c r="A8502" s="6" t="s">
        <v>5055</v>
      </c>
      <c r="B8502" s="6" t="s">
        <v>5055</v>
      </c>
      <c r="C8502" s="6" t="s">
        <v>4487</v>
      </c>
      <c r="D8502" s="6" t="s">
        <v>4488</v>
      </c>
      <c r="E8502" s="2">
        <v>2035002</v>
      </c>
      <c r="F8502" s="4" t="str">
        <f>IF(B8502=B8501,"",B8502)</f>
        <v>Shangzhi</v>
      </c>
    </row>
    <row r="8503" spans="1:6" ht="15.75" customHeight="1">
      <c r="A8503" s="5" t="str">
        <f ca="1">IFERROR(__xludf.DUMMYFUNCTION("GOOGLETRANSLATE(B26698,""en"",""pt"")"),"Shangzhi")</f>
        <v>Shangzhi</v>
      </c>
      <c r="B8503" s="17" t="s">
        <v>5055</v>
      </c>
      <c r="C8503" s="17" t="s">
        <v>4487</v>
      </c>
      <c r="D8503" s="17" t="s">
        <v>4488</v>
      </c>
      <c r="E8503" s="10">
        <v>2035002</v>
      </c>
      <c r="F8503" s="4" t="str">
        <f>IF(B8503=B8502,"",B8503)</f>
        <v/>
      </c>
    </row>
    <row r="8504" spans="1:6" ht="15.75" customHeight="1">
      <c r="A8504" s="6" t="s">
        <v>5054</v>
      </c>
      <c r="B8504" s="6" t="s">
        <v>5054</v>
      </c>
      <c r="C8504" s="6" t="s">
        <v>4487</v>
      </c>
      <c r="D8504" s="6" t="s">
        <v>4631</v>
      </c>
      <c r="E8504" s="2">
        <v>1817720</v>
      </c>
      <c r="F8504" s="4" t="str">
        <f>IF(B8504=B8503,"",B8504)</f>
        <v>Shangyu</v>
      </c>
    </row>
    <row r="8505" spans="1:6" ht="15.75" customHeight="1">
      <c r="A8505" s="5" t="str">
        <f ca="1">IFERROR(__xludf.DUMMYFUNCTION("GOOGLETRANSLATE(B26624,""en"",""pt"")"),"Shangyu")</f>
        <v>Shangyu</v>
      </c>
      <c r="B8505" s="17" t="s">
        <v>5054</v>
      </c>
      <c r="C8505" s="17" t="s">
        <v>4487</v>
      </c>
      <c r="D8505" s="17" t="s">
        <v>4631</v>
      </c>
      <c r="E8505" s="10">
        <v>1817720</v>
      </c>
      <c r="F8505" s="4" t="str">
        <f>IF(B8505=B8504,"",B8505)</f>
        <v/>
      </c>
    </row>
    <row r="8506" spans="1:6" ht="15.75" customHeight="1">
      <c r="A8506" s="5" t="s">
        <v>5053</v>
      </c>
      <c r="B8506" s="6" t="s">
        <v>5053</v>
      </c>
      <c r="C8506" s="5" t="s">
        <v>4487</v>
      </c>
      <c r="D8506" s="5" t="s">
        <v>4607</v>
      </c>
      <c r="E8506" s="2">
        <v>7910932</v>
      </c>
      <c r="F8506" s="4" t="str">
        <f>IF(B8506=B8505,"",B8506)</f>
        <v>Shangri-La</v>
      </c>
    </row>
    <row r="8507" spans="1:6" ht="15.75" customHeight="1">
      <c r="A8507" s="5" t="str">
        <f ca="1">IFERROR(__xludf.DUMMYFUNCTION("GOOGLETRANSLATE(B26839,""en"",""pt"")"),"Shangri-La")</f>
        <v>Shangri-La</v>
      </c>
      <c r="B8507" s="17" t="s">
        <v>5053</v>
      </c>
      <c r="C8507" s="17" t="s">
        <v>4487</v>
      </c>
      <c r="D8507" s="17" t="s">
        <v>4607</v>
      </c>
      <c r="E8507" s="10">
        <v>7910932</v>
      </c>
      <c r="F8507" s="4" t="str">
        <f>IF(B8507=B8506,"",B8507)</f>
        <v/>
      </c>
    </row>
    <row r="8508" spans="1:6" ht="15.75" customHeight="1">
      <c r="A8508" s="6" t="s">
        <v>5052</v>
      </c>
      <c r="B8508" s="6" t="s">
        <v>5052</v>
      </c>
      <c r="C8508" s="6" t="s">
        <v>4487</v>
      </c>
      <c r="D8508" s="6" t="s">
        <v>4569</v>
      </c>
      <c r="E8508" s="2">
        <v>1787858</v>
      </c>
      <c r="F8508" s="4" t="str">
        <f>IF(B8508=B8507,"",B8508)</f>
        <v>Shangrao</v>
      </c>
    </row>
    <row r="8509" spans="1:6" ht="15.75" customHeight="1">
      <c r="A8509" s="5" t="str">
        <f ca="1">IFERROR(__xludf.DUMMYFUNCTION("GOOGLETRANSLATE(B26150,""en"",""pt"")"),"Shangrao")</f>
        <v>Shangrao</v>
      </c>
      <c r="B8509" s="17" t="s">
        <v>5052</v>
      </c>
      <c r="C8509" s="17" t="s">
        <v>4487</v>
      </c>
      <c r="D8509" s="17" t="s">
        <v>4569</v>
      </c>
      <c r="E8509" s="10">
        <v>1787858</v>
      </c>
      <c r="F8509" s="4" t="str">
        <f>IF(B8509=B8508,"",B8509)</f>
        <v/>
      </c>
    </row>
    <row r="8510" spans="1:6" ht="15.75" customHeight="1">
      <c r="A8510" s="6" t="s">
        <v>5051</v>
      </c>
      <c r="B8510" s="6" t="s">
        <v>5051</v>
      </c>
      <c r="C8510" s="6" t="s">
        <v>4487</v>
      </c>
      <c r="D8510" s="6" t="s">
        <v>4511</v>
      </c>
      <c r="E8510" s="2">
        <v>1783934</v>
      </c>
      <c r="F8510" s="4" t="str">
        <f>IF(B8510=B8509,"",B8510)</f>
        <v>Shangqiu</v>
      </c>
    </row>
    <row r="8511" spans="1:6" ht="15.75" customHeight="1">
      <c r="A8511" s="5" t="str">
        <f ca="1">IFERROR(__xludf.DUMMYFUNCTION("GOOGLETRANSLATE(B26074,""en"",""pt"")"),"Shangqiu")</f>
        <v>Shangqiu</v>
      </c>
      <c r="B8511" s="17" t="s">
        <v>5051</v>
      </c>
      <c r="C8511" s="17" t="s">
        <v>4487</v>
      </c>
      <c r="D8511" s="17" t="s">
        <v>4511</v>
      </c>
      <c r="E8511" s="10">
        <v>1783934</v>
      </c>
      <c r="F8511" s="4" t="str">
        <f>IF(B8511=B8510,"",B8511)</f>
        <v/>
      </c>
    </row>
    <row r="8512" spans="1:6" ht="15.75" customHeight="1">
      <c r="A8512" s="6" t="s">
        <v>5050</v>
      </c>
      <c r="B8512" s="6" t="s">
        <v>5050</v>
      </c>
      <c r="C8512" s="6" t="s">
        <v>4487</v>
      </c>
      <c r="D8512" s="6" t="s">
        <v>4495</v>
      </c>
      <c r="E8512" s="2">
        <v>1788869</v>
      </c>
      <c r="F8512" s="4" t="str">
        <f>IF(B8512=B8511,"",B8512)</f>
        <v>Shangmei</v>
      </c>
    </row>
    <row r="8513" spans="1:6" ht="15.75" customHeight="1">
      <c r="A8513" s="5" t="str">
        <f ca="1">IFERROR(__xludf.DUMMYFUNCTION("GOOGLETRANSLATE(B26171,""en"",""pt"")"),"Shangmei")</f>
        <v>Shangmei</v>
      </c>
      <c r="B8513" s="17" t="s">
        <v>5050</v>
      </c>
      <c r="C8513" s="17" t="s">
        <v>4487</v>
      </c>
      <c r="D8513" s="17" t="s">
        <v>4495</v>
      </c>
      <c r="E8513" s="10">
        <v>1788869</v>
      </c>
      <c r="F8513" s="4" t="str">
        <f>IF(B8513=B8512,"",B8513)</f>
        <v/>
      </c>
    </row>
    <row r="8514" spans="1:6" ht="15.75" customHeight="1">
      <c r="A8514" s="6" t="s">
        <v>5047</v>
      </c>
      <c r="B8514" s="6" t="s">
        <v>5048</v>
      </c>
      <c r="C8514" s="6" t="s">
        <v>4487</v>
      </c>
      <c r="D8514" s="6" t="s">
        <v>5049</v>
      </c>
      <c r="E8514" s="2">
        <v>1796236</v>
      </c>
      <c r="F8514" s="4" t="str">
        <f>IF(B8514=B8513,"",B8514)</f>
        <v>Shanghai</v>
      </c>
    </row>
    <row r="8515" spans="1:6" ht="15.75" customHeight="1">
      <c r="A8515" s="5" t="str">
        <f ca="1">IFERROR(__xludf.DUMMYFUNCTION("GOOGLETRANSLATE(B26284,""en"",""pt"")"),"Xangai")</f>
        <v>Xangai</v>
      </c>
      <c r="B8515" s="17" t="s">
        <v>5048</v>
      </c>
      <c r="C8515" s="17" t="s">
        <v>4487</v>
      </c>
      <c r="D8515" s="17" t="s">
        <v>5049</v>
      </c>
      <c r="E8515" s="10">
        <v>1796236</v>
      </c>
      <c r="F8515" s="4" t="str">
        <f>IF(B8515=B8514,"",B8515)</f>
        <v/>
      </c>
    </row>
    <row r="8516" spans="1:6" ht="15.75" customHeight="1">
      <c r="A8516" s="5" t="s">
        <v>5046</v>
      </c>
      <c r="B8516" s="6" t="s">
        <v>5046</v>
      </c>
      <c r="C8516" s="5" t="s">
        <v>4487</v>
      </c>
      <c r="D8516" s="5" t="s">
        <v>4503</v>
      </c>
      <c r="E8516" s="2">
        <v>1795919</v>
      </c>
      <c r="F8516" s="4" t="str">
        <f>IF(B8516=B8515,"",B8516)</f>
        <v>Shancheng</v>
      </c>
    </row>
    <row r="8517" spans="1:6" ht="15.75" customHeight="1">
      <c r="A8517" s="5" t="str">
        <f ca="1">IFERROR(__xludf.DUMMYFUNCTION("GOOGLETRANSLATE(B26280,""en"",""pt"")"),"Shancheng")</f>
        <v>Shancheng</v>
      </c>
      <c r="B8517" s="17" t="s">
        <v>5046</v>
      </c>
      <c r="C8517" s="17" t="s">
        <v>4487</v>
      </c>
      <c r="D8517" s="17" t="s">
        <v>4503</v>
      </c>
      <c r="E8517" s="10">
        <v>1795919</v>
      </c>
      <c r="F8517" s="4" t="str">
        <f>IF(B8517=B8516,"",B8517)</f>
        <v/>
      </c>
    </row>
    <row r="8518" spans="1:6" ht="15.75" customHeight="1">
      <c r="A8518" s="5" t="str">
        <f ca="1">IFERROR(__xludf.DUMMYFUNCTION("GOOGLETRANSLATE(B32184,""en"",""pt"")"),"Shamsābād")</f>
        <v>Shamsābād</v>
      </c>
      <c r="B8518" s="17" t="s">
        <v>33088</v>
      </c>
      <c r="C8518" s="17" t="s">
        <v>10178</v>
      </c>
      <c r="D8518" s="17" t="s">
        <v>10193</v>
      </c>
      <c r="E8518" s="10">
        <v>1256659</v>
      </c>
      <c r="F8518" s="4" t="str">
        <f>IF(B8518=B8517,"",B8518)</f>
        <v>Shamsābād</v>
      </c>
    </row>
    <row r="8519" spans="1:6" ht="15.75" customHeight="1">
      <c r="A8519" s="5" t="str">
        <f ca="1">IFERROR(__xludf.DUMMYFUNCTION("GOOGLETRANSLATE(B32185,""en"",""pt"")"),"Shamsābād")</f>
        <v>Shamsābād</v>
      </c>
      <c r="B8519" s="17" t="s">
        <v>33088</v>
      </c>
      <c r="C8519" s="17" t="s">
        <v>10178</v>
      </c>
      <c r="D8519" s="17" t="s">
        <v>10193</v>
      </c>
      <c r="E8519" s="10">
        <v>1256660</v>
      </c>
      <c r="F8519" s="4" t="str">
        <f>IF(B8519=B8518,"",B8519)</f>
        <v/>
      </c>
    </row>
    <row r="8520" spans="1:6" ht="15.75" customHeight="1">
      <c r="A8520" s="5" t="s">
        <v>13307</v>
      </c>
      <c r="B8520" s="6" t="s">
        <v>13308</v>
      </c>
      <c r="C8520" s="5" t="s">
        <v>10178</v>
      </c>
      <c r="D8520" s="5" t="s">
        <v>10193</v>
      </c>
      <c r="E8520" s="2">
        <v>1256659</v>
      </c>
      <c r="F8520" s="4" t="str">
        <f>IF(B8520=B8519,"",B8520)</f>
        <v>ShamsÄbÄd</v>
      </c>
    </row>
    <row r="8521" spans="1:6" ht="15.75" customHeight="1">
      <c r="A8521" s="5" t="s">
        <v>13307</v>
      </c>
      <c r="B8521" s="6" t="s">
        <v>13308</v>
      </c>
      <c r="C8521" s="5" t="s">
        <v>10178</v>
      </c>
      <c r="D8521" s="5" t="s">
        <v>10193</v>
      </c>
      <c r="E8521" s="2">
        <v>1256660</v>
      </c>
      <c r="F8521" s="4" t="str">
        <f>IF(B8521=B8520,"",B8521)</f>
        <v/>
      </c>
    </row>
    <row r="8522" spans="1:6" ht="15.75" customHeight="1">
      <c r="A8522" s="5" t="str">
        <f ca="1">IFERROR(__xludf.DUMMYFUNCTION("GOOGLETRANSLATE(B32186,""en"",""pt"")"),"Shāmli")</f>
        <v>Shāmli</v>
      </c>
      <c r="B8522" s="17" t="s">
        <v>33089</v>
      </c>
      <c r="C8522" s="17" t="s">
        <v>10178</v>
      </c>
      <c r="D8522" s="17" t="s">
        <v>10193</v>
      </c>
      <c r="E8522" s="10">
        <v>1256671</v>
      </c>
      <c r="F8522" s="4" t="str">
        <f>IF(B8522=B8521,"",B8522)</f>
        <v>Shāmli</v>
      </c>
    </row>
    <row r="8523" spans="1:6" ht="15.75" customHeight="1">
      <c r="A8523" s="5" t="s">
        <v>1248</v>
      </c>
      <c r="B8523" s="6" t="s">
        <v>1248</v>
      </c>
      <c r="C8523" s="5" t="s">
        <v>1170</v>
      </c>
      <c r="D8523" s="5" t="s">
        <v>1249</v>
      </c>
      <c r="E8523" s="2">
        <v>585152</v>
      </c>
      <c r="F8523" s="4" t="str">
        <f>IF(B8523=B8522,"",B8523)</f>
        <v>Shamkhor</v>
      </c>
    </row>
    <row r="8524" spans="1:6" ht="15.75" customHeight="1">
      <c r="A8524" s="5" t="str">
        <f ca="1">IFERROR(__xludf.DUMMYFUNCTION("GOOGLETRANSLATE(B23640,""en"",""pt"")"),"Shamkhor")</f>
        <v>Shamkhor</v>
      </c>
      <c r="B8524" s="17" t="s">
        <v>1248</v>
      </c>
      <c r="C8524" s="17" t="s">
        <v>1170</v>
      </c>
      <c r="D8524" s="17" t="s">
        <v>31237</v>
      </c>
      <c r="E8524" s="10">
        <v>585152</v>
      </c>
      <c r="F8524" s="4" t="str">
        <f>IF(B8524=B8523,"",B8524)</f>
        <v/>
      </c>
    </row>
    <row r="8525" spans="1:6" ht="15.75" customHeight="1">
      <c r="A8525" s="5" t="str">
        <f ca="1">IFERROR(__xludf.DUMMYFUNCTION("GOOGLETRANSLATE(B32187,""en"",""pt"")"),"Shāmgarh")</f>
        <v>Shāmgarh</v>
      </c>
      <c r="B8525" s="17" t="s">
        <v>33090</v>
      </c>
      <c r="C8525" s="17" t="s">
        <v>10178</v>
      </c>
      <c r="D8525" s="17" t="s">
        <v>10219</v>
      </c>
      <c r="E8525" s="10">
        <v>1256673</v>
      </c>
      <c r="F8525" s="4" t="str">
        <f>IF(B8525=B8524,"",B8525)</f>
        <v>Shāmgarh</v>
      </c>
    </row>
    <row r="8526" spans="1:6" ht="15.75" customHeight="1">
      <c r="A8526" s="6" t="s">
        <v>6921</v>
      </c>
      <c r="B8526" s="6" t="s">
        <v>6921</v>
      </c>
      <c r="C8526" s="6" t="s">
        <v>6807</v>
      </c>
      <c r="D8526" s="6" t="s">
        <v>6814</v>
      </c>
      <c r="E8526" s="2">
        <v>328709</v>
      </c>
      <c r="F8526" s="4" t="str">
        <f>IF(B8526=B8525,"",B8526)</f>
        <v>Shambu</v>
      </c>
    </row>
    <row r="8527" spans="1:6" ht="15.75" customHeight="1">
      <c r="A8527" s="5" t="str">
        <f ca="1">IFERROR(__xludf.DUMMYFUNCTION("GOOGLETRANSLATE(B29526,""en"",""pt"")"),"Shambu")</f>
        <v>Shambu</v>
      </c>
      <c r="B8527" s="17" t="s">
        <v>6921</v>
      </c>
      <c r="C8527" s="17" t="s">
        <v>6807</v>
      </c>
      <c r="D8527" s="17" t="s">
        <v>6814</v>
      </c>
      <c r="E8527" s="10">
        <v>328709</v>
      </c>
      <c r="F8527" s="4" t="str">
        <f>IF(B8527=B8526,"",B8527)</f>
        <v/>
      </c>
    </row>
    <row r="8528" spans="1:6" ht="15.75" customHeight="1">
      <c r="A8528" s="6" t="s">
        <v>1246</v>
      </c>
      <c r="B8528" s="6" t="s">
        <v>1246</v>
      </c>
      <c r="C8528" s="6" t="s">
        <v>1170</v>
      </c>
      <c r="D8528" s="6" t="s">
        <v>1247</v>
      </c>
      <c r="E8528" s="2">
        <v>585156</v>
      </c>
      <c r="F8528" s="4" t="str">
        <f>IF(B8528=B8527,"",B8528)</f>
        <v>Shamakhi</v>
      </c>
    </row>
    <row r="8529" spans="1:6" ht="15.75" customHeight="1">
      <c r="A8529" s="5" t="str">
        <f ca="1">IFERROR(__xludf.DUMMYFUNCTION("GOOGLETRANSLATE(B23641,""en"",""pt"")"),"Shamakhi")</f>
        <v>Shamakhi</v>
      </c>
      <c r="B8529" s="17" t="s">
        <v>1246</v>
      </c>
      <c r="C8529" s="17" t="s">
        <v>1170</v>
      </c>
      <c r="D8529" s="17" t="s">
        <v>31238</v>
      </c>
      <c r="E8529" s="10">
        <v>585156</v>
      </c>
      <c r="F8529" s="4" t="str">
        <f>IF(B8529=B8528,"",B8529)</f>
        <v/>
      </c>
    </row>
    <row r="8530" spans="1:6" ht="15.75" customHeight="1">
      <c r="A8530" s="5" t="s">
        <v>9419</v>
      </c>
      <c r="B8530" s="6" t="s">
        <v>9420</v>
      </c>
      <c r="C8530" s="5" t="s">
        <v>9365</v>
      </c>
      <c r="D8530" s="5" t="s">
        <v>6944</v>
      </c>
      <c r="E8530" s="2">
        <v>2295385</v>
      </c>
      <c r="F8530" s="4" t="str">
        <f>IF(B8530=B8529,"",B8530)</f>
        <v>Shama Junction</v>
      </c>
    </row>
    <row r="8531" spans="1:6" ht="15.75" customHeight="1">
      <c r="A8531" s="5" t="str">
        <f ca="1">IFERROR(__xludf.DUMMYFUNCTION("GOOGLETRANSLATE(B30870,""en"",""pt"")"),"Junção Shama")</f>
        <v>Junção Shama</v>
      </c>
      <c r="B8531" s="17" t="s">
        <v>9420</v>
      </c>
      <c r="C8531" s="17" t="s">
        <v>9365</v>
      </c>
      <c r="D8531" s="17" t="s">
        <v>6944</v>
      </c>
      <c r="E8531" s="10">
        <v>2295385</v>
      </c>
      <c r="F8531" s="4" t="str">
        <f>IF(B8531=B8530,"",B8531)</f>
        <v/>
      </c>
    </row>
    <row r="8532" spans="1:6" ht="15.75" customHeight="1">
      <c r="A8532" s="6" t="s">
        <v>16746</v>
      </c>
      <c r="B8532" s="6" t="s">
        <v>16746</v>
      </c>
      <c r="C8532" s="6" t="s">
        <v>16671</v>
      </c>
      <c r="D8532" s="6" t="s">
        <v>16686</v>
      </c>
      <c r="E8532" s="2">
        <v>608359</v>
      </c>
      <c r="F8532" s="4" t="str">
        <f>IF(B8532=B8531,"",B8532)</f>
        <v>Shalqar</v>
      </c>
    </row>
    <row r="8533" spans="1:6" ht="15.75" customHeight="1">
      <c r="A8533" s="5" t="str">
        <f ca="1">IFERROR(__xludf.DUMMYFUNCTION("GOOGLETRANSLATE(B36185,""en"",""pt"")"),"Shalqar")</f>
        <v>Shalqar</v>
      </c>
      <c r="B8533" s="17" t="s">
        <v>16746</v>
      </c>
      <c r="C8533" s="17" t="s">
        <v>16671</v>
      </c>
      <c r="D8533" s="17" t="s">
        <v>34497</v>
      </c>
      <c r="E8533" s="10">
        <v>608359</v>
      </c>
      <c r="F8533" s="4" t="str">
        <f>IF(B8533=B8532,"",B8533)</f>
        <v/>
      </c>
    </row>
    <row r="8534" spans="1:6" ht="15.75" customHeight="1">
      <c r="A8534" s="6" t="s">
        <v>16745</v>
      </c>
      <c r="B8534" s="6" t="s">
        <v>16745</v>
      </c>
      <c r="C8534" s="6" t="s">
        <v>16671</v>
      </c>
      <c r="D8534" s="6" t="s">
        <v>16695</v>
      </c>
      <c r="E8534" s="2">
        <v>608362</v>
      </c>
      <c r="F8534" s="4" t="str">
        <f>IF(B8534=B8533,"",B8534)</f>
        <v>Shalkar</v>
      </c>
    </row>
    <row r="8535" spans="1:6" ht="15.75" customHeight="1">
      <c r="A8535" s="5" t="str">
        <f ca="1">IFERROR(__xludf.DUMMYFUNCTION("GOOGLETRANSLATE(B36186,""en"",""pt"")"),"Shalkar")</f>
        <v>Shalkar</v>
      </c>
      <c r="B8535" s="17" t="s">
        <v>16745</v>
      </c>
      <c r="C8535" s="17" t="s">
        <v>16671</v>
      </c>
      <c r="D8535" s="17" t="s">
        <v>34498</v>
      </c>
      <c r="E8535" s="10">
        <v>608362</v>
      </c>
      <c r="F8535" s="4" t="str">
        <f>IF(B8535=B8534,"",B8535)</f>
        <v/>
      </c>
    </row>
    <row r="8536" spans="1:6" ht="15.75" customHeight="1">
      <c r="A8536" s="6" t="s">
        <v>23069</v>
      </c>
      <c r="B8536" s="6" t="s">
        <v>23069</v>
      </c>
      <c r="C8536" s="6" t="s">
        <v>22070</v>
      </c>
      <c r="D8536" s="6" t="s">
        <v>22081</v>
      </c>
      <c r="E8536" s="2">
        <v>495957</v>
      </c>
      <c r="F8536" s="4" t="str">
        <f>IF(B8536=B8535,"",B8536)</f>
        <v>Shali</v>
      </c>
    </row>
    <row r="8537" spans="1:6" ht="15.75" customHeight="1">
      <c r="A8537" s="5" t="str">
        <f ca="1">IFERROR(__xludf.DUMMYFUNCTION("GOOGLETRANSLATE(B40111,""en"",""pt"")"),"Shali")</f>
        <v>Shali</v>
      </c>
      <c r="B8537" s="17" t="s">
        <v>23069</v>
      </c>
      <c r="C8537" s="17" t="s">
        <v>22070</v>
      </c>
      <c r="D8537" s="17" t="s">
        <v>22081</v>
      </c>
      <c r="E8537" s="10">
        <v>495957</v>
      </c>
      <c r="F8537" s="4" t="str">
        <f>IF(B8537=B8536,"",B8537)</f>
        <v/>
      </c>
    </row>
    <row r="8538" spans="1:6" ht="15.75" customHeight="1">
      <c r="A8538" s="6" t="s">
        <v>29965</v>
      </c>
      <c r="B8538" s="6" t="s">
        <v>29965</v>
      </c>
      <c r="C8538" s="6" t="s">
        <v>27788</v>
      </c>
      <c r="D8538" s="6" t="s">
        <v>27824</v>
      </c>
      <c r="E8538" s="2">
        <v>5046997</v>
      </c>
      <c r="F8538" s="4" t="str">
        <f>IF(B8538=B8537,"",B8538)</f>
        <v>Shakopee</v>
      </c>
    </row>
    <row r="8539" spans="1:6" ht="15.75" customHeight="1">
      <c r="A8539" s="5" t="str">
        <f ca="1">IFERROR(__xludf.DUMMYFUNCTION("GOOGLETRANSLATE(B44199,""en"",""pt"")"),"Shakopee")</f>
        <v>Shakopee</v>
      </c>
      <c r="B8539" s="17" t="s">
        <v>29965</v>
      </c>
      <c r="C8539" s="17" t="s">
        <v>27788</v>
      </c>
      <c r="D8539" s="17" t="s">
        <v>27824</v>
      </c>
      <c r="E8539" s="10">
        <v>5046997</v>
      </c>
      <c r="F8539" s="4" t="str">
        <f>IF(B8539=B8538,"",B8539)</f>
        <v/>
      </c>
    </row>
    <row r="8540" spans="1:6" ht="15.75" customHeight="1">
      <c r="A8540" s="5" t="str">
        <f ca="1">IFERROR(__xludf.DUMMYFUNCTION("GOOGLETRANSLATE(B29527,""en"",""pt"")"),"Shakīso")</f>
        <v>Shakīso</v>
      </c>
      <c r="B8540" s="17" t="s">
        <v>32488</v>
      </c>
      <c r="C8540" s="17" t="s">
        <v>6807</v>
      </c>
      <c r="D8540" s="17" t="s">
        <v>6814</v>
      </c>
      <c r="E8540" s="10">
        <v>328716</v>
      </c>
      <c r="F8540" s="4" t="str">
        <f>IF(B8540=B8539,"",B8540)</f>
        <v>Shakīso</v>
      </c>
    </row>
    <row r="8541" spans="1:6" ht="15.75" customHeight="1">
      <c r="A8541" s="6" t="s">
        <v>23067</v>
      </c>
      <c r="B8541" s="6" t="s">
        <v>23068</v>
      </c>
      <c r="C8541" s="6" t="s">
        <v>22070</v>
      </c>
      <c r="D8541" s="6" t="s">
        <v>22161</v>
      </c>
      <c r="E8541" s="2">
        <v>496012</v>
      </c>
      <c r="F8541" s="4" t="str">
        <f>IF(B8541=B8540,"",B8541)</f>
        <v>Shakhunâ€™ya</v>
      </c>
    </row>
    <row r="8542" spans="1:6" ht="15.75" customHeight="1">
      <c r="A8542" s="5" t="str">
        <f ca="1">IFERROR(__xludf.DUMMYFUNCTION("GOOGLETRANSLATE(B40112,""en"",""pt"")"),"Shakhun'ya")</f>
        <v>Shakhun'ya</v>
      </c>
      <c r="B8542" s="17" t="s">
        <v>35456</v>
      </c>
      <c r="C8542" s="17" t="s">
        <v>22070</v>
      </c>
      <c r="D8542" s="17" t="s">
        <v>22161</v>
      </c>
      <c r="E8542" s="10">
        <v>496012</v>
      </c>
      <c r="F8542" s="4" t="str">
        <f>IF(B8542=B8541,"",B8542)</f>
        <v>Shakhun’ya</v>
      </c>
    </row>
    <row r="8543" spans="1:6" ht="15.75" customHeight="1">
      <c r="A8543" s="6" t="s">
        <v>23066</v>
      </c>
      <c r="B8543" s="6" t="s">
        <v>23066</v>
      </c>
      <c r="C8543" s="6" t="s">
        <v>22070</v>
      </c>
      <c r="D8543" s="6" t="s">
        <v>22099</v>
      </c>
      <c r="E8543" s="2">
        <v>496015</v>
      </c>
      <c r="F8543" s="4" t="str">
        <f>IF(B8543=B8542,"",B8543)</f>
        <v>Shakhty</v>
      </c>
    </row>
    <row r="8544" spans="1:6" ht="15.75" customHeight="1">
      <c r="A8544" s="5" t="str">
        <f ca="1">IFERROR(__xludf.DUMMYFUNCTION("GOOGLETRANSLATE(B40113,""en"",""pt"")"),"Shakhty")</f>
        <v>Shakhty</v>
      </c>
      <c r="B8544" s="17" t="s">
        <v>23066</v>
      </c>
      <c r="C8544" s="17" t="s">
        <v>22070</v>
      </c>
      <c r="D8544" s="17" t="s">
        <v>22099</v>
      </c>
      <c r="E8544" s="10">
        <v>496015</v>
      </c>
      <c r="F8544" s="4" t="str">
        <f>IF(B8544=B8543,"",B8544)</f>
        <v/>
      </c>
    </row>
    <row r="8545" spans="1:6" ht="15.75" customHeight="1">
      <c r="A8545" s="5" t="s">
        <v>27133</v>
      </c>
      <c r="B8545" s="6" t="s">
        <v>27134</v>
      </c>
      <c r="C8545" s="5" t="s">
        <v>26870</v>
      </c>
      <c r="D8545" s="5" t="s">
        <v>22345</v>
      </c>
      <c r="E8545" s="2">
        <v>694382</v>
      </c>
      <c r="F8545" s="4" t="str">
        <f>IF(B8545=B8544,"",B8545)</f>
        <v>Shakhtarsâ€™k</v>
      </c>
    </row>
    <row r="8546" spans="1:6" ht="15.75" customHeight="1">
      <c r="A8546" s="5" t="str">
        <f ca="1">IFERROR(__xludf.DUMMYFUNCTION("GOOGLETRANSLATE(B42529,""en"",""pt"")"),"Shakhtars'k")</f>
        <v>Shakhtars'k</v>
      </c>
      <c r="B8546" s="17" t="s">
        <v>35996</v>
      </c>
      <c r="C8546" s="17" t="s">
        <v>26870</v>
      </c>
      <c r="D8546" s="17" t="s">
        <v>22345</v>
      </c>
      <c r="E8546" s="10">
        <v>694382</v>
      </c>
      <c r="F8546" s="4" t="str">
        <f>IF(B8546=B8545,"",B8546)</f>
        <v>Shakhtars’k</v>
      </c>
    </row>
    <row r="8547" spans="1:6" ht="15.75" customHeight="1">
      <c r="A8547" s="5" t="s">
        <v>29964</v>
      </c>
      <c r="B8547" s="6" t="s">
        <v>29964</v>
      </c>
      <c r="C8547" s="5" t="s">
        <v>27788</v>
      </c>
      <c r="D8547" s="5" t="s">
        <v>27813</v>
      </c>
      <c r="E8547" s="2">
        <v>5171728</v>
      </c>
      <c r="F8547" s="4" t="str">
        <f>IF(B8547=B8546,"",B8547)</f>
        <v>Shaker Heights</v>
      </c>
    </row>
    <row r="8548" spans="1:6" ht="15.75" customHeight="1">
      <c r="A8548" s="5" t="str">
        <f ca="1">IFERROR(__xludf.DUMMYFUNCTION("GOOGLETRANSLATE(B44539,""en"",""pt"")"),"Shaker Heights")</f>
        <v>Shaker Heights</v>
      </c>
      <c r="B8548" s="17" t="s">
        <v>29964</v>
      </c>
      <c r="C8548" s="17" t="s">
        <v>27788</v>
      </c>
      <c r="D8548" s="17" t="s">
        <v>27813</v>
      </c>
      <c r="E8548" s="10">
        <v>5171728</v>
      </c>
      <c r="F8548" s="4" t="str">
        <f>IF(B8548=B8547,"",B8548)</f>
        <v/>
      </c>
    </row>
    <row r="8549" spans="1:6" ht="15.75" customHeight="1">
      <c r="A8549" s="5" t="s">
        <v>20228</v>
      </c>
      <c r="B8549" s="6" t="s">
        <v>20228</v>
      </c>
      <c r="C8549" s="5" t="s">
        <v>19808</v>
      </c>
      <c r="D8549" s="5" t="s">
        <v>10184</v>
      </c>
      <c r="E8549" s="2">
        <v>1165388</v>
      </c>
      <c r="F8549" s="4" t="str">
        <f>IF(B8549=B8548,"",B8549)</f>
        <v>Shakargarr</v>
      </c>
    </row>
    <row r="8550" spans="1:6" ht="15.75" customHeight="1">
      <c r="A8550" s="5" t="str">
        <f ca="1">IFERROR(__xludf.DUMMYFUNCTION("GOOGLETRANSLATE(B38914,""en"",""pt"")"),"Shakargarr")</f>
        <v>Shakargarr</v>
      </c>
      <c r="B8550" s="17" t="s">
        <v>20228</v>
      </c>
      <c r="C8550" s="17" t="s">
        <v>19808</v>
      </c>
      <c r="D8550" s="17" t="s">
        <v>10184</v>
      </c>
      <c r="E8550" s="10">
        <v>1165388</v>
      </c>
      <c r="F8550" s="4" t="str">
        <f>IF(B8550=B8549,"",B8550)</f>
        <v/>
      </c>
    </row>
    <row r="8551" spans="1:6" ht="15.75" customHeight="1">
      <c r="A8551" s="5" t="s">
        <v>6919</v>
      </c>
      <c r="B8551" s="6" t="s">
        <v>6920</v>
      </c>
      <c r="C8551" s="5" t="s">
        <v>6807</v>
      </c>
      <c r="D8551" s="5" t="s">
        <v>6814</v>
      </c>
      <c r="E8551" s="2">
        <v>328716</v>
      </c>
      <c r="F8551" s="4" t="str">
        <f>IF(B8551=B8550,"",B8551)</f>
        <v>ShakÄ«so</v>
      </c>
    </row>
    <row r="8552" spans="1:6" ht="15.75" customHeight="1">
      <c r="A8552" s="5" t="str">
        <f ca="1">IFERROR(__xludf.DUMMYFUNCTION("GOOGLETRANSLATE(B32188,""en"",""pt"")"),"Shājāpur")</f>
        <v>Shājāpur</v>
      </c>
      <c r="B8552" s="17" t="s">
        <v>33091</v>
      </c>
      <c r="C8552" s="17" t="s">
        <v>10178</v>
      </c>
      <c r="D8552" s="17" t="s">
        <v>10219</v>
      </c>
      <c r="E8552" s="10">
        <v>1256693</v>
      </c>
      <c r="F8552" s="4" t="str">
        <f>IF(B8552=B8551,"",B8552)</f>
        <v>Shājāpur</v>
      </c>
    </row>
    <row r="8553" spans="1:6" ht="15.75" customHeight="1">
      <c r="A8553" s="5" t="str">
        <f ca="1">IFERROR(__xludf.DUMMYFUNCTION("GOOGLETRANSLATE(B23705,""en"",""pt"")"),"Shāhzādpur")</f>
        <v>Shāhzādpur</v>
      </c>
      <c r="B8553" s="17" t="s">
        <v>31263</v>
      </c>
      <c r="C8553" s="17" t="s">
        <v>1296</v>
      </c>
      <c r="D8553" s="17" t="s">
        <v>31259</v>
      </c>
      <c r="E8553" s="10">
        <v>1185121</v>
      </c>
      <c r="F8553" s="4" t="str">
        <f>IF(B8553=B8552,"",B8553)</f>
        <v>Shāhzādpur</v>
      </c>
    </row>
    <row r="8554" spans="1:6" ht="15.75" customHeight="1">
      <c r="A8554" s="6" t="s">
        <v>14562</v>
      </c>
      <c r="B8554" s="6" t="s">
        <v>14562</v>
      </c>
      <c r="C8554" s="6" t="s">
        <v>14240</v>
      </c>
      <c r="D8554" s="6" t="s">
        <v>14269</v>
      </c>
      <c r="E8554" s="2">
        <v>135423</v>
      </c>
      <c r="F8554" s="4" t="str">
        <f>IF(B8554=B8553,"",B8554)</f>
        <v>Shahrud</v>
      </c>
    </row>
    <row r="8555" spans="1:6" ht="15.75" customHeight="1">
      <c r="A8555" s="5" t="str">
        <f ca="1">IFERROR(__xludf.DUMMYFUNCTION("GOOGLETRANSLATE(B34457,""en"",""pt"")"),"Shahrud")</f>
        <v>Shahrud</v>
      </c>
      <c r="B8555" s="17" t="s">
        <v>14562</v>
      </c>
      <c r="C8555" s="17" t="s">
        <v>14240</v>
      </c>
      <c r="D8555" s="17" t="s">
        <v>34124</v>
      </c>
      <c r="E8555" s="10">
        <v>135423</v>
      </c>
      <c r="F8555" s="4" t="str">
        <f>IF(B8555=B8554,"",B8555)</f>
        <v/>
      </c>
    </row>
    <row r="8556" spans="1:6" ht="15.75" customHeight="1">
      <c r="A8556" s="5" t="s">
        <v>30595</v>
      </c>
      <c r="B8556" s="6" t="s">
        <v>30595</v>
      </c>
      <c r="C8556" s="5" t="s">
        <v>30502</v>
      </c>
      <c r="D8556" s="5" t="s">
        <v>30515</v>
      </c>
      <c r="E8556" s="2">
        <v>1216187</v>
      </c>
      <c r="F8556" s="4" t="str">
        <f>IF(B8556=B8555,"",B8556)</f>
        <v>Shahrisabz</v>
      </c>
    </row>
    <row r="8557" spans="1:6" ht="15.75" customHeight="1">
      <c r="A8557" s="5" t="str">
        <f ca="1">IFERROR(__xludf.DUMMYFUNCTION("GOOGLETRANSLATE(B45507,""en"",""pt"")"),"Shahrisabz")</f>
        <v>Shahrisabz</v>
      </c>
      <c r="B8557" s="17" t="s">
        <v>30595</v>
      </c>
      <c r="C8557" s="17" t="s">
        <v>30502</v>
      </c>
      <c r="D8557" s="17" t="s">
        <v>30515</v>
      </c>
      <c r="E8557" s="10">
        <v>1216187</v>
      </c>
      <c r="F8557" s="4" t="str">
        <f>IF(B8557=B8556,"",B8557)</f>
        <v/>
      </c>
    </row>
    <row r="8558" spans="1:6" ht="15.75" customHeight="1">
      <c r="A8558" s="5" t="str">
        <f ca="1">IFERROR(__xludf.DUMMYFUNCTION("GOOGLETRANSLATE(B34500,""en"",""pt"")"),"Shahrīār")</f>
        <v>Shahrīār</v>
      </c>
      <c r="B8558" s="17" t="s">
        <v>34241</v>
      </c>
      <c r="C8558" s="17" t="s">
        <v>14240</v>
      </c>
      <c r="D8558" s="17" t="s">
        <v>34125</v>
      </c>
      <c r="E8558" s="10">
        <v>143860</v>
      </c>
      <c r="F8558" s="4" t="str">
        <f>IF(B8558=B8557,"",B8558)</f>
        <v>Shahrīār</v>
      </c>
    </row>
    <row r="8559" spans="1:6" ht="15.75" customHeight="1">
      <c r="A8559" s="5" t="str">
        <f ca="1">IFERROR(__xludf.DUMMYFUNCTION("GOOGLETRANSLATE(B34514,""en"",""pt"")"),"Shāhreẕā")</f>
        <v>Shāhreẕā</v>
      </c>
      <c r="B8559" s="17" t="s">
        <v>34249</v>
      </c>
      <c r="C8559" s="17" t="s">
        <v>14240</v>
      </c>
      <c r="D8559" s="17" t="s">
        <v>14294</v>
      </c>
      <c r="E8559" s="10">
        <v>417594</v>
      </c>
      <c r="F8559" s="4" t="str">
        <f>IF(B8559=B8558,"",B8559)</f>
        <v>Shāhreẕā</v>
      </c>
    </row>
    <row r="8560" spans="1:6" ht="15.75" customHeight="1">
      <c r="A8560" s="5" t="s">
        <v>14561</v>
      </c>
      <c r="B8560" s="6" t="s">
        <v>14561</v>
      </c>
      <c r="C8560" s="5" t="s">
        <v>14240</v>
      </c>
      <c r="D8560" s="5" t="s">
        <v>14341</v>
      </c>
      <c r="E8560" s="2">
        <v>115770</v>
      </c>
      <c r="F8560" s="4" t="str">
        <f>IF(B8560=B8559,"",B8560)</f>
        <v>Shahr-e Kord</v>
      </c>
    </row>
    <row r="8561" spans="1:6" ht="15.75" customHeight="1">
      <c r="A8561" s="5" t="str">
        <f ca="1">IFERROR(__xludf.DUMMYFUNCTION("GOOGLETRANSLATE(B34368,""en"",""pt"")"),"Shahr-e Kord")</f>
        <v>Shahr-e Kord</v>
      </c>
      <c r="B8561" s="17" t="s">
        <v>14561</v>
      </c>
      <c r="C8561" s="17" t="s">
        <v>14240</v>
      </c>
      <c r="D8561" s="17" t="s">
        <v>34142</v>
      </c>
      <c r="E8561" s="10">
        <v>115770</v>
      </c>
      <c r="F8561" s="4" t="str">
        <f>IF(B8561=B8560,"",B8561)</f>
        <v/>
      </c>
    </row>
    <row r="8562" spans="1:6" ht="15.75" customHeight="1">
      <c r="A8562" s="5" t="s">
        <v>14559</v>
      </c>
      <c r="B8562" s="6" t="s">
        <v>14560</v>
      </c>
      <c r="C8562" s="5" t="s">
        <v>14240</v>
      </c>
      <c r="D8562" s="5" t="s">
        <v>14358</v>
      </c>
      <c r="E8562" s="2">
        <v>32909</v>
      </c>
      <c r="F8562" s="4" t="str">
        <f>IF(B8562=B8561,"",B8562)</f>
        <v>Shahre Jadide Andisheh</v>
      </c>
    </row>
    <row r="8563" spans="1:6" ht="15.75" customHeight="1">
      <c r="A8563" s="5" t="str">
        <f ca="1">IFERROR(__xludf.DUMMYFUNCTION("GOOGLETRANSLATE(B34345,""en"",""pt"")"),"Shahre Jadide eisheh")</f>
        <v>Shahre Jadide eisheh</v>
      </c>
      <c r="B8563" s="17" t="s">
        <v>14560</v>
      </c>
      <c r="C8563" s="17" t="s">
        <v>14240</v>
      </c>
      <c r="D8563" s="17" t="s">
        <v>34125</v>
      </c>
      <c r="E8563" s="10">
        <v>32909</v>
      </c>
      <c r="F8563" s="4" t="str">
        <f>IF(B8563=B8562,"",B8563)</f>
        <v/>
      </c>
    </row>
    <row r="8564" spans="1:6" ht="15.75" customHeight="1">
      <c r="A8564" s="5" t="str">
        <f ca="1">IFERROR(__xludf.DUMMYFUNCTION("GOOGLETRANSLATE(B34369,""en"",""pt"")"),"Shahr-e Bābak")</f>
        <v>Shahr-e Bābak</v>
      </c>
      <c r="B8564" s="17" t="s">
        <v>34143</v>
      </c>
      <c r="C8564" s="17" t="s">
        <v>14240</v>
      </c>
      <c r="D8564" s="17" t="s">
        <v>14317</v>
      </c>
      <c r="E8564" s="10">
        <v>115781</v>
      </c>
      <c r="F8564" s="4" t="str">
        <f>IF(B8564=B8563,"",B8564)</f>
        <v>Shahr-e Bābak</v>
      </c>
    </row>
    <row r="8565" spans="1:6" ht="15.75" customHeight="1">
      <c r="A8565" s="5" t="s">
        <v>14557</v>
      </c>
      <c r="B8565" s="6" t="s">
        <v>14558</v>
      </c>
      <c r="C8565" s="5" t="s">
        <v>14240</v>
      </c>
      <c r="D8565" s="5" t="s">
        <v>14317</v>
      </c>
      <c r="E8565" s="2">
        <v>115781</v>
      </c>
      <c r="F8565" s="4" t="str">
        <f>IF(B8565=B8564,"",B8565)</f>
        <v>Shahr-e BÄbak</v>
      </c>
    </row>
    <row r="8566" spans="1:6" ht="15.75" customHeight="1">
      <c r="A8566" s="6" t="s">
        <v>103</v>
      </c>
      <c r="B8566" s="6" t="s">
        <v>103</v>
      </c>
      <c r="C8566" s="6" t="s">
        <v>8</v>
      </c>
      <c r="D8566" s="6" t="s">
        <v>104</v>
      </c>
      <c r="E8566" s="2">
        <v>1125896</v>
      </c>
      <c r="F8566" s="4" t="str">
        <f>IF(B8566=B8565,"",B8566)</f>
        <v>Shahrak</v>
      </c>
    </row>
    <row r="8567" spans="1:6" ht="15.75" customHeight="1">
      <c r="A8567" s="5" t="str">
        <f ca="1">IFERROR(__xludf.DUMMYFUNCTION("GOOGLETRANSLATE(B23058,""en"",""pt"")"),"Shahrak")</f>
        <v>Shahrak</v>
      </c>
      <c r="B8567" s="17" t="s">
        <v>103</v>
      </c>
      <c r="C8567" s="17" t="s">
        <v>8</v>
      </c>
      <c r="D8567" s="17" t="s">
        <v>104</v>
      </c>
      <c r="E8567" s="10">
        <v>1125896</v>
      </c>
      <c r="F8567" s="4" t="str">
        <f>IF(B8567=B8566,"",B8567)</f>
        <v/>
      </c>
    </row>
    <row r="8568" spans="1:6" ht="15.75" customHeight="1">
      <c r="A8568" s="5" t="s">
        <v>14555</v>
      </c>
      <c r="B8568" s="6" t="s">
        <v>14556</v>
      </c>
      <c r="C8568" s="5" t="s">
        <v>14240</v>
      </c>
      <c r="D8568" s="5" t="s">
        <v>14358</v>
      </c>
      <c r="E8568" s="2">
        <v>143860</v>
      </c>
      <c r="F8568" s="4" t="str">
        <f>IF(B8568=B8567,"",B8568)</f>
        <v>ShahrÄ«Är</v>
      </c>
    </row>
    <row r="8569" spans="1:6" ht="15.75" customHeight="1">
      <c r="A8569" s="5" t="str">
        <f ca="1">IFERROR(__xludf.DUMMYFUNCTION("GOOGLETRANSLATE(B38915,""en"",""pt"")"),"Shahr Sultān")</f>
        <v>Shahr Sultān</v>
      </c>
      <c r="B8569" s="17" t="s">
        <v>34912</v>
      </c>
      <c r="C8569" s="17" t="s">
        <v>19808</v>
      </c>
      <c r="D8569" s="17" t="s">
        <v>10184</v>
      </c>
      <c r="E8569" s="10">
        <v>1165486</v>
      </c>
      <c r="F8569" s="4" t="str">
        <f>IF(B8569=B8568,"",B8569)</f>
        <v>Shahr Sultān</v>
      </c>
    </row>
    <row r="8570" spans="1:6" ht="15.75" customHeight="1">
      <c r="A8570" s="5" t="s">
        <v>20226</v>
      </c>
      <c r="B8570" s="6" t="s">
        <v>20227</v>
      </c>
      <c r="C8570" s="5" t="s">
        <v>19808</v>
      </c>
      <c r="D8570" s="5" t="s">
        <v>10184</v>
      </c>
      <c r="E8570" s="2">
        <v>1165486</v>
      </c>
      <c r="F8570" s="4" t="str">
        <f>IF(B8570=B8569,"",B8570)</f>
        <v>Shahr SultÄn</v>
      </c>
    </row>
    <row r="8571" spans="1:6" ht="15.75" customHeight="1">
      <c r="A8571" s="5" t="str">
        <f ca="1">IFERROR(__xludf.DUMMYFUNCTION("GOOGLETRANSLATE(B32190,""en"",""pt"")"),"Shāhpura")</f>
        <v>Shāhpura</v>
      </c>
      <c r="B8571" s="17" t="s">
        <v>33092</v>
      </c>
      <c r="C8571" s="17" t="s">
        <v>10178</v>
      </c>
      <c r="D8571" s="17" t="s">
        <v>10179</v>
      </c>
      <c r="E8571" s="10">
        <v>1256705</v>
      </c>
      <c r="F8571" s="4" t="str">
        <f>IF(B8571=B8570,"",B8571)</f>
        <v>Shāhpura</v>
      </c>
    </row>
    <row r="8572" spans="1:6" ht="15.75" customHeight="1">
      <c r="A8572" s="5" t="str">
        <f ca="1">IFERROR(__xludf.DUMMYFUNCTION("GOOGLETRANSLATE(B32191,""en"",""pt"")"),"Shāhpura")</f>
        <v>Shāhpura</v>
      </c>
      <c r="B8572" s="17" t="s">
        <v>33092</v>
      </c>
      <c r="C8572" s="17" t="s">
        <v>10178</v>
      </c>
      <c r="D8572" s="17" t="s">
        <v>10179</v>
      </c>
      <c r="E8572" s="10">
        <v>1256706</v>
      </c>
      <c r="F8572" s="4" t="str">
        <f>IF(B8572=B8571,"",B8572)</f>
        <v/>
      </c>
    </row>
    <row r="8573" spans="1:6" ht="15.75" customHeight="1">
      <c r="A8573" s="5" t="str">
        <f ca="1">IFERROR(__xludf.DUMMYFUNCTION("GOOGLETRANSLATE(B38916,""en"",""pt"")"),"Shāhpur Chākar")</f>
        <v>Shāhpur Chākar</v>
      </c>
      <c r="B8573" s="17" t="s">
        <v>34913</v>
      </c>
      <c r="C8573" s="17" t="s">
        <v>19808</v>
      </c>
      <c r="D8573" s="17" t="s">
        <v>19823</v>
      </c>
      <c r="E8573" s="10">
        <v>1165507</v>
      </c>
      <c r="F8573" s="4" t="str">
        <f>IF(B8573=B8572,"",B8573)</f>
        <v>Shāhpur Chākar</v>
      </c>
    </row>
    <row r="8574" spans="1:6" ht="15.75" customHeight="1">
      <c r="A8574" s="5" t="str">
        <f ca="1">IFERROR(__xludf.DUMMYFUNCTION("GOOGLETRANSLATE(B32192,""en"",""pt"")"),"Shāhpur")</f>
        <v>Shāhpur</v>
      </c>
      <c r="B8574" s="17" t="s">
        <v>33093</v>
      </c>
      <c r="C8574" s="17" t="s">
        <v>10178</v>
      </c>
      <c r="D8574" s="17" t="s">
        <v>10193</v>
      </c>
      <c r="E8574" s="10">
        <v>1256713</v>
      </c>
      <c r="F8574" s="4" t="str">
        <f>IF(B8574=B8573,"",B8574)</f>
        <v>Shāhpur</v>
      </c>
    </row>
    <row r="8575" spans="1:6" ht="15.75" customHeight="1">
      <c r="A8575" s="5" t="str">
        <f ca="1">IFERROR(__xludf.DUMMYFUNCTION("GOOGLETRANSLATE(B32193,""en"",""pt"")"),"Shāhpur")</f>
        <v>Shāhpur</v>
      </c>
      <c r="B8575" s="17" t="s">
        <v>33093</v>
      </c>
      <c r="C8575" s="17" t="s">
        <v>10178</v>
      </c>
      <c r="D8575" s="17" t="s">
        <v>10317</v>
      </c>
      <c r="E8575" s="10">
        <v>1256715</v>
      </c>
      <c r="F8575" s="4" t="str">
        <f>IF(B8575=B8574,"",B8575)</f>
        <v/>
      </c>
    </row>
    <row r="8576" spans="1:6" ht="15.75" customHeight="1">
      <c r="A8576" s="5" t="str">
        <f ca="1">IFERROR(__xludf.DUMMYFUNCTION("GOOGLETRANSLATE(B32194,""en"",""pt"")"),"Shāhpur")</f>
        <v>Shāhpur</v>
      </c>
      <c r="B8576" s="17" t="s">
        <v>33093</v>
      </c>
      <c r="C8576" s="17" t="s">
        <v>10178</v>
      </c>
      <c r="D8576" s="17" t="s">
        <v>10219</v>
      </c>
      <c r="E8576" s="10">
        <v>1256720</v>
      </c>
      <c r="F8576" s="4" t="str">
        <f>IF(B8576=B8575,"",B8576)</f>
        <v/>
      </c>
    </row>
    <row r="8577" spans="1:6" ht="15.75" customHeight="1">
      <c r="A8577" s="5" t="str">
        <f ca="1">IFERROR(__xludf.DUMMYFUNCTION("GOOGLETRANSLATE(B32195,""en"",""pt"")"),"Shāhpur")</f>
        <v>Shāhpur</v>
      </c>
      <c r="B8577" s="17" t="s">
        <v>33093</v>
      </c>
      <c r="C8577" s="17" t="s">
        <v>10178</v>
      </c>
      <c r="D8577" s="17" t="s">
        <v>10252</v>
      </c>
      <c r="E8577" s="10">
        <v>1256722</v>
      </c>
      <c r="F8577" s="4" t="str">
        <f>IF(B8577=B8576,"",B8577)</f>
        <v/>
      </c>
    </row>
    <row r="8578" spans="1:6" ht="15.75" customHeight="1">
      <c r="A8578" s="6" t="s">
        <v>20225</v>
      </c>
      <c r="B8578" s="6" t="s">
        <v>20225</v>
      </c>
      <c r="C8578" s="6" t="s">
        <v>19808</v>
      </c>
      <c r="D8578" s="6" t="s">
        <v>10184</v>
      </c>
      <c r="E8578" s="2">
        <v>1165569</v>
      </c>
      <c r="F8578" s="4" t="str">
        <f>IF(B8578=B8577,"",B8578)</f>
        <v>Shahkot</v>
      </c>
    </row>
    <row r="8579" spans="1:6" ht="15.75" customHeight="1">
      <c r="A8579" s="5" t="str">
        <f ca="1">IFERROR(__xludf.DUMMYFUNCTION("GOOGLETRANSLATE(B38917,""en"",""pt"")"),"Shahkot")</f>
        <v>Shahkot</v>
      </c>
      <c r="B8579" s="17" t="s">
        <v>20225</v>
      </c>
      <c r="C8579" s="17" t="s">
        <v>19808</v>
      </c>
      <c r="D8579" s="17" t="s">
        <v>10184</v>
      </c>
      <c r="E8579" s="10">
        <v>1165569</v>
      </c>
      <c r="F8579" s="4" t="str">
        <f>IF(B8579=B8578,"",B8579)</f>
        <v/>
      </c>
    </row>
    <row r="8580" spans="1:6" ht="15.75" customHeight="1">
      <c r="A8580" s="5" t="str">
        <f ca="1">IFERROR(__xludf.DUMMYFUNCTION("GOOGLETRANSLATE(B32196,""en"",""pt"")"),"Shāhjānpur")</f>
        <v>Shāhjānpur</v>
      </c>
      <c r="B8580" s="17" t="s">
        <v>33094</v>
      </c>
      <c r="C8580" s="17" t="s">
        <v>10178</v>
      </c>
      <c r="D8580" s="17" t="s">
        <v>10193</v>
      </c>
      <c r="E8580" s="10">
        <v>1256728</v>
      </c>
      <c r="F8580" s="4" t="str">
        <f>IF(B8580=B8579,"",B8580)</f>
        <v>Shāhjānpur</v>
      </c>
    </row>
    <row r="8581" spans="1:6" ht="15.75" customHeight="1">
      <c r="A8581" s="5" t="str">
        <f ca="1">IFERROR(__xludf.DUMMYFUNCTION("GOOGLETRANSLATE(B34378,""en"",""pt"")"),"Shāhīn Dezh")</f>
        <v>Shāhīn Dezh</v>
      </c>
      <c r="B8581" s="17" t="s">
        <v>34149</v>
      </c>
      <c r="C8581" s="17" t="s">
        <v>14240</v>
      </c>
      <c r="D8581" s="17" t="s">
        <v>34137</v>
      </c>
      <c r="E8581" s="10">
        <v>117793</v>
      </c>
      <c r="F8581" s="4" t="str">
        <f>IF(B8581=B8580,"",B8581)</f>
        <v>Shāhīn Dezh</v>
      </c>
    </row>
    <row r="8582" spans="1:6" ht="15.75" customHeight="1">
      <c r="A8582" s="5" t="str">
        <f ca="1">IFERROR(__xludf.DUMMYFUNCTION("GOOGLETRANSLATE(B32197,""en"",""pt"")"),"Shāhi")</f>
        <v>Shāhi</v>
      </c>
      <c r="B8582" s="17" t="s">
        <v>33095</v>
      </c>
      <c r="C8582" s="17" t="s">
        <v>10178</v>
      </c>
      <c r="D8582" s="17" t="s">
        <v>10193</v>
      </c>
      <c r="E8582" s="10">
        <v>1256731</v>
      </c>
      <c r="F8582" s="4" t="str">
        <f>IF(B8582=B8581,"",B8582)</f>
        <v>Shāhi</v>
      </c>
    </row>
    <row r="8583" spans="1:6" ht="15.75" customHeight="1">
      <c r="A8583" s="5" t="str">
        <f ca="1">IFERROR(__xludf.DUMMYFUNCTION("GOOGLETRANSLATE(B32198,""en"",""pt"")"),"Shāhganj")</f>
        <v>Shāhganj</v>
      </c>
      <c r="B8583" s="17" t="s">
        <v>33096</v>
      </c>
      <c r="C8583" s="17" t="s">
        <v>10178</v>
      </c>
      <c r="D8583" s="17" t="s">
        <v>10193</v>
      </c>
      <c r="E8583" s="10">
        <v>1256735</v>
      </c>
      <c r="F8583" s="4" t="str">
        <f>IF(B8583=B8582,"",B8583)</f>
        <v>Shāhganj</v>
      </c>
    </row>
    <row r="8584" spans="1:6" ht="15.75" customHeight="1">
      <c r="A8584" s="5" t="s">
        <v>5045</v>
      </c>
      <c r="B8584" s="6" t="s">
        <v>5045</v>
      </c>
      <c r="C8584" s="5" t="s">
        <v>4487</v>
      </c>
      <c r="D8584" s="5" t="s">
        <v>4529</v>
      </c>
      <c r="E8584" s="2">
        <v>1796421</v>
      </c>
      <c r="F8584" s="4" t="str">
        <f>IF(B8584=B8583,"",B8584)</f>
        <v>Shahecheng</v>
      </c>
    </row>
    <row r="8585" spans="1:6" ht="15.75" customHeight="1">
      <c r="A8585" s="5" t="str">
        <f ca="1">IFERROR(__xludf.DUMMYFUNCTION("GOOGLETRANSLATE(B26285,""en"",""pt"")"),"Shahecheng")</f>
        <v>Shahecheng</v>
      </c>
      <c r="B8585" s="17" t="s">
        <v>5045</v>
      </c>
      <c r="C8585" s="17" t="s">
        <v>4487</v>
      </c>
      <c r="D8585" s="17" t="s">
        <v>4529</v>
      </c>
      <c r="E8585" s="10">
        <v>1796421</v>
      </c>
      <c r="F8585" s="4" t="str">
        <f>IF(B8585=B8584,"",B8585)</f>
        <v/>
      </c>
    </row>
    <row r="8586" spans="1:6" ht="15.75" customHeight="1">
      <c r="A8586" s="6" t="s">
        <v>13306</v>
      </c>
      <c r="B8586" s="6" t="s">
        <v>13306</v>
      </c>
      <c r="C8586" s="6" t="s">
        <v>10178</v>
      </c>
      <c r="D8586" s="6" t="s">
        <v>10219</v>
      </c>
      <c r="E8586" s="2">
        <v>1256739</v>
      </c>
      <c r="F8586" s="4" t="str">
        <f>IF(B8586=B8585,"",B8586)</f>
        <v>Shahdol</v>
      </c>
    </row>
    <row r="8587" spans="1:6" ht="15.75" customHeight="1">
      <c r="A8587" s="5" t="str">
        <f ca="1">IFERROR(__xludf.DUMMYFUNCTION("GOOGLETRANSLATE(B32199,""en"",""pt"")"),"Shahdol")</f>
        <v>Shahdol</v>
      </c>
      <c r="B8587" s="17" t="s">
        <v>13306</v>
      </c>
      <c r="C8587" s="17" t="s">
        <v>10178</v>
      </c>
      <c r="D8587" s="17" t="s">
        <v>10219</v>
      </c>
      <c r="E8587" s="10">
        <v>1256739</v>
      </c>
      <c r="F8587" s="4" t="str">
        <f>IF(B8587=B8586,"",B8587)</f>
        <v/>
      </c>
    </row>
    <row r="8588" spans="1:6" ht="15.75" customHeight="1">
      <c r="A8588" s="5" t="str">
        <f ca="1">IFERROR(__xludf.DUMMYFUNCTION("GOOGLETRANSLATE(B38918,""en"",""pt"")"),"Shāhdādpur")</f>
        <v>Shāhdādpur</v>
      </c>
      <c r="B8588" s="17" t="s">
        <v>34914</v>
      </c>
      <c r="C8588" s="17" t="s">
        <v>19808</v>
      </c>
      <c r="D8588" s="17" t="s">
        <v>19823</v>
      </c>
      <c r="E8588" s="10">
        <v>1165635</v>
      </c>
      <c r="F8588" s="4" t="str">
        <f>IF(B8588=B8587,"",B8588)</f>
        <v>Shāhdādpur</v>
      </c>
    </row>
    <row r="8589" spans="1:6" ht="15.75" customHeight="1">
      <c r="A8589" s="5" t="str">
        <f ca="1">IFERROR(__xludf.DUMMYFUNCTION("GOOGLETRANSLATE(B38919,""en"",""pt"")"),"Shāhdādkot")</f>
        <v>Shāhdādkot</v>
      </c>
      <c r="B8589" s="17" t="s">
        <v>34915</v>
      </c>
      <c r="C8589" s="17" t="s">
        <v>19808</v>
      </c>
      <c r="D8589" s="17" t="s">
        <v>19823</v>
      </c>
      <c r="E8589" s="10">
        <v>1165638</v>
      </c>
      <c r="F8589" s="4" t="str">
        <f>IF(B8589=B8588,"",B8589)</f>
        <v>Shāhdādkot</v>
      </c>
    </row>
    <row r="8590" spans="1:6" ht="15.75" customHeight="1">
      <c r="A8590" s="5" t="s">
        <v>13305</v>
      </c>
      <c r="B8590" s="6" t="s">
        <v>13305</v>
      </c>
      <c r="C8590" s="5" t="s">
        <v>10178</v>
      </c>
      <c r="D8590" s="5" t="s">
        <v>10317</v>
      </c>
      <c r="E8590" s="2">
        <v>9794300</v>
      </c>
      <c r="F8590" s="4" t="str">
        <f>IF(B8590=B8589,"",B8590)</f>
        <v>Shahbazpur</v>
      </c>
    </row>
    <row r="8591" spans="1:6" ht="15.75" customHeight="1">
      <c r="A8591" s="5" t="str">
        <f ca="1">IFERROR(__xludf.DUMMYFUNCTION("GOOGLETRANSLATE(B34265,""en"",""pt"")"),"Shahbazpur")</f>
        <v>Shahbazpur</v>
      </c>
      <c r="B8591" s="17" t="s">
        <v>13305</v>
      </c>
      <c r="C8591" s="17" t="s">
        <v>10178</v>
      </c>
      <c r="D8591" s="17" t="s">
        <v>10317</v>
      </c>
      <c r="E8591" s="10">
        <v>9794300</v>
      </c>
      <c r="F8591" s="4" t="str">
        <f>IF(B8591=B8590,"",B8591)</f>
        <v/>
      </c>
    </row>
    <row r="8592" spans="1:6" ht="15.75" customHeight="1">
      <c r="A8592" s="5" t="str">
        <f ca="1">IFERROR(__xludf.DUMMYFUNCTION("GOOGLETRANSLATE(B32200,""en"",""pt"")"),"Shāhāda")</f>
        <v>Shāhāda</v>
      </c>
      <c r="B8592" s="17" t="s">
        <v>33097</v>
      </c>
      <c r="C8592" s="17" t="s">
        <v>10178</v>
      </c>
      <c r="D8592" s="17" t="s">
        <v>10214</v>
      </c>
      <c r="E8592" s="10">
        <v>1256750</v>
      </c>
      <c r="F8592" s="4" t="str">
        <f>IF(B8592=B8591,"",B8592)</f>
        <v>Shāhāda</v>
      </c>
    </row>
    <row r="8593" spans="1:6" ht="15.75" customHeight="1">
      <c r="A8593" s="5" t="str">
        <f ca="1">IFERROR(__xludf.DUMMYFUNCTION("GOOGLETRANSLATE(B32201,""en"",""pt"")"),"Shāhābād")</f>
        <v>Shāhābād</v>
      </c>
      <c r="B8593" s="17" t="s">
        <v>33098</v>
      </c>
      <c r="C8593" s="17" t="s">
        <v>10178</v>
      </c>
      <c r="D8593" s="17" t="s">
        <v>10224</v>
      </c>
      <c r="E8593" s="10">
        <v>1256752</v>
      </c>
      <c r="F8593" s="4" t="str">
        <f>IF(B8593=B8592,"",B8593)</f>
        <v>Shāhābād</v>
      </c>
    </row>
    <row r="8594" spans="1:6" ht="15.75" customHeight="1">
      <c r="A8594" s="5" t="str">
        <f ca="1">IFERROR(__xludf.DUMMYFUNCTION("GOOGLETRANSLATE(B32202,""en"",""pt"")"),"Shāhābād")</f>
        <v>Shāhābād</v>
      </c>
      <c r="B8594" s="17" t="s">
        <v>33098</v>
      </c>
      <c r="C8594" s="17" t="s">
        <v>10178</v>
      </c>
      <c r="D8594" s="17" t="s">
        <v>10193</v>
      </c>
      <c r="E8594" s="10">
        <v>1256753</v>
      </c>
      <c r="F8594" s="4" t="str">
        <f>IF(B8594=B8593,"",B8594)</f>
        <v/>
      </c>
    </row>
    <row r="8595" spans="1:6" ht="15.75" customHeight="1">
      <c r="A8595" s="5" t="str">
        <f ca="1">IFERROR(__xludf.DUMMYFUNCTION("GOOGLETRANSLATE(B32203,""en"",""pt"")"),"Shāhābād")</f>
        <v>Shāhābād</v>
      </c>
      <c r="B8595" s="17" t="s">
        <v>33098</v>
      </c>
      <c r="C8595" s="17" t="s">
        <v>10178</v>
      </c>
      <c r="D8595" s="17" t="s">
        <v>10193</v>
      </c>
      <c r="E8595" s="10">
        <v>1256755</v>
      </c>
      <c r="F8595" s="4" t="str">
        <f>IF(B8595=B8594,"",B8595)</f>
        <v/>
      </c>
    </row>
    <row r="8596" spans="1:6" ht="15.75" customHeight="1">
      <c r="A8596" s="5" t="str">
        <f ca="1">IFERROR(__xludf.DUMMYFUNCTION("GOOGLETRANSLATE(B32204,""en"",""pt"")"),"Shāhābād")</f>
        <v>Shāhābād</v>
      </c>
      <c r="B8596" s="17" t="s">
        <v>33098</v>
      </c>
      <c r="C8596" s="17" t="s">
        <v>10178</v>
      </c>
      <c r="D8596" s="17" t="s">
        <v>10252</v>
      </c>
      <c r="E8596" s="10">
        <v>1256759</v>
      </c>
      <c r="F8596" s="4" t="str">
        <f>IF(B8596=B8595,"",B8596)</f>
        <v/>
      </c>
    </row>
    <row r="8597" spans="1:6" ht="15.75" customHeight="1">
      <c r="A8597" s="5" t="s">
        <v>17566</v>
      </c>
      <c r="B8597" s="6" t="s">
        <v>17566</v>
      </c>
      <c r="C8597" s="5" t="s">
        <v>17432</v>
      </c>
      <c r="D8597" s="5" t="s">
        <v>17446</v>
      </c>
      <c r="E8597" s="2">
        <v>1732903</v>
      </c>
      <c r="F8597" s="4" t="str">
        <f>IF(B8597=B8596,"",B8597)</f>
        <v>Shah Alam</v>
      </c>
    </row>
    <row r="8598" spans="1:6" ht="15.75" customHeight="1">
      <c r="A8598" s="5" t="str">
        <f ca="1">IFERROR(__xludf.DUMMYFUNCTION("GOOGLETRANSLATE(B37427,""en"",""pt"")"),"Shah Alam")</f>
        <v>Shah Alam</v>
      </c>
      <c r="B8598" s="17" t="s">
        <v>17566</v>
      </c>
      <c r="C8598" s="17" t="s">
        <v>17432</v>
      </c>
      <c r="D8598" s="17" t="s">
        <v>17446</v>
      </c>
      <c r="E8598" s="10">
        <v>1732903</v>
      </c>
      <c r="F8598" s="4" t="str">
        <f>IF(B8598=B8597,"",B8598)</f>
        <v/>
      </c>
    </row>
    <row r="8599" spans="1:6" ht="15.75" customHeight="1">
      <c r="A8599" s="6" t="s">
        <v>19560</v>
      </c>
      <c r="B8599" s="6" t="s">
        <v>19560</v>
      </c>
      <c r="C8599" s="6" t="s">
        <v>19294</v>
      </c>
      <c r="D8599" s="6" t="s">
        <v>19299</v>
      </c>
      <c r="E8599" s="2">
        <v>2323411</v>
      </c>
      <c r="F8599" s="4" t="str">
        <f>IF(B8599=B8598,"",B8599)</f>
        <v>Shagamu</v>
      </c>
    </row>
    <row r="8600" spans="1:6" ht="15.75" customHeight="1">
      <c r="A8600" s="5" t="str">
        <f ca="1">IFERROR(__xludf.DUMMYFUNCTION("GOOGLETRANSLATE(B37631,""en"",""pt"")"),"Shagamu")</f>
        <v>Shagamu</v>
      </c>
      <c r="B8600" s="17" t="s">
        <v>19560</v>
      </c>
      <c r="C8600" s="17" t="s">
        <v>19294</v>
      </c>
      <c r="D8600" s="17" t="s">
        <v>19299</v>
      </c>
      <c r="E8600" s="10">
        <v>2323411</v>
      </c>
      <c r="F8600" s="4" t="str">
        <f>IF(B8600=B8599,"",B8600)</f>
        <v/>
      </c>
    </row>
    <row r="8601" spans="1:6" ht="15.75" customHeight="1">
      <c r="A8601" s="6" t="s">
        <v>29963</v>
      </c>
      <c r="B8601" s="6" t="s">
        <v>29963</v>
      </c>
      <c r="C8601" s="6" t="s">
        <v>27788</v>
      </c>
      <c r="D8601" s="6" t="s">
        <v>27801</v>
      </c>
      <c r="E8601" s="2">
        <v>5394842</v>
      </c>
      <c r="F8601" s="4" t="str">
        <f>IF(B8601=B8600,"",B8601)</f>
        <v>Shafter</v>
      </c>
    </row>
    <row r="8602" spans="1:6" ht="15.75" customHeight="1">
      <c r="A8602" s="5" t="str">
        <f ca="1">IFERROR(__xludf.DUMMYFUNCTION("GOOGLETRANSLATE(B45035,""en"",""pt"")"),"Shafter")</f>
        <v>Shafter</v>
      </c>
      <c r="B8602" s="17" t="s">
        <v>29963</v>
      </c>
      <c r="C8602" s="17" t="s">
        <v>27788</v>
      </c>
      <c r="D8602" s="17" t="s">
        <v>27801</v>
      </c>
      <c r="E8602" s="10">
        <v>5394842</v>
      </c>
      <c r="F8602" s="4" t="str">
        <f>IF(B8602=B8601,"",B8602)</f>
        <v/>
      </c>
    </row>
    <row r="8603" spans="1:6" ht="15.75" customHeight="1">
      <c r="A8603" s="6" t="s">
        <v>23065</v>
      </c>
      <c r="B8603" s="6" t="s">
        <v>23065</v>
      </c>
      <c r="C8603" s="6" t="s">
        <v>22070</v>
      </c>
      <c r="D8603" s="6" t="s">
        <v>22493</v>
      </c>
      <c r="E8603" s="2">
        <v>1492517</v>
      </c>
      <c r="F8603" s="4" t="str">
        <f>IF(B8603=B8602,"",B8603)</f>
        <v>Shadrinsk</v>
      </c>
    </row>
    <row r="8604" spans="1:6" ht="15.75" customHeight="1">
      <c r="A8604" s="5" t="str">
        <f ca="1">IFERROR(__xludf.DUMMYFUNCTION("GOOGLETRANSLATE(B40763,""en"",""pt"")"),"Shadrinsk")</f>
        <v>Shadrinsk</v>
      </c>
      <c r="B8604" s="17" t="s">
        <v>23065</v>
      </c>
      <c r="C8604" s="17" t="s">
        <v>22070</v>
      </c>
      <c r="D8604" s="17" t="s">
        <v>22493</v>
      </c>
      <c r="E8604" s="10">
        <v>1492517</v>
      </c>
      <c r="F8604" s="4" t="str">
        <f>IF(B8604=B8603,"",B8604)</f>
        <v/>
      </c>
    </row>
    <row r="8605" spans="1:6" ht="15.75" customHeight="1">
      <c r="A8605" s="5" t="str">
        <f ca="1">IFERROR(__xludf.DUMMYFUNCTION("GOOGLETRANSLATE(B34370,""en"",""pt"")"),"Shādegān")</f>
        <v>Shādegān</v>
      </c>
      <c r="B8605" s="17" t="s">
        <v>34144</v>
      </c>
      <c r="C8605" s="17" t="s">
        <v>14240</v>
      </c>
      <c r="D8605" s="17" t="s">
        <v>14271</v>
      </c>
      <c r="E8605" s="10">
        <v>116102</v>
      </c>
      <c r="F8605" s="4" t="str">
        <f>IF(B8605=B8604,"",B8605)</f>
        <v>Shādegān</v>
      </c>
    </row>
    <row r="8606" spans="1:6" ht="15.75" customHeight="1">
      <c r="A8606" s="6" t="s">
        <v>5044</v>
      </c>
      <c r="B8606" s="6" t="s">
        <v>5044</v>
      </c>
      <c r="C8606" s="6" t="s">
        <v>4487</v>
      </c>
      <c r="D8606" s="6" t="s">
        <v>4490</v>
      </c>
      <c r="E8606" s="2">
        <v>1280037</v>
      </c>
      <c r="F8606" s="4" t="str">
        <f>IF(B8606=B8605,"",B8606)</f>
        <v>Shache</v>
      </c>
    </row>
    <row r="8607" spans="1:6" ht="15.75" customHeight="1">
      <c r="A8607" s="5" t="str">
        <f ca="1">IFERROR(__xludf.DUMMYFUNCTION("GOOGLETRANSLATE(B26046,""en"",""pt"")"),"Shache")</f>
        <v>Shache</v>
      </c>
      <c r="B8607" s="17" t="s">
        <v>5044</v>
      </c>
      <c r="C8607" s="17" t="s">
        <v>4487</v>
      </c>
      <c r="D8607" s="17" t="s">
        <v>4490</v>
      </c>
      <c r="E8607" s="10">
        <v>1280037</v>
      </c>
      <c r="F8607" s="4" t="str">
        <f>IF(B8607=B8606,"",B8607)</f>
        <v/>
      </c>
    </row>
    <row r="8608" spans="1:6" ht="15.75" customHeight="1">
      <c r="A8608" s="5" t="s">
        <v>20224</v>
      </c>
      <c r="B8608" s="6" t="s">
        <v>20224</v>
      </c>
      <c r="C8608" s="5" t="s">
        <v>19808</v>
      </c>
      <c r="D8608" s="5" t="s">
        <v>19811</v>
      </c>
      <c r="E8608" s="2">
        <v>1165744</v>
      </c>
      <c r="F8608" s="4" t="str">
        <f>IF(B8608=B8607,"",B8608)</f>
        <v>Shabqadar</v>
      </c>
    </row>
    <row r="8609" spans="1:6" ht="15.75" customHeight="1">
      <c r="A8609" s="5" t="str">
        <f ca="1">IFERROR(__xludf.DUMMYFUNCTION("GOOGLETRANSLATE(B38920,""en"",""pt"")"),"Shabqadar")</f>
        <v>Shabqadar</v>
      </c>
      <c r="B8609" s="17" t="s">
        <v>20224</v>
      </c>
      <c r="C8609" s="17" t="s">
        <v>19808</v>
      </c>
      <c r="D8609" s="17" t="s">
        <v>19811</v>
      </c>
      <c r="E8609" s="10">
        <v>1165744</v>
      </c>
      <c r="F8609" s="4" t="str">
        <f>IF(B8609=B8608,"",B8609)</f>
        <v/>
      </c>
    </row>
    <row r="8610" spans="1:6" ht="15.75" customHeight="1">
      <c r="A8610" s="5" t="s">
        <v>13303</v>
      </c>
      <c r="B8610" s="6" t="s">
        <v>13304</v>
      </c>
      <c r="C8610" s="5" t="s">
        <v>10178</v>
      </c>
      <c r="D8610" s="5" t="s">
        <v>10201</v>
      </c>
      <c r="E8610" s="2">
        <v>1256639</v>
      </c>
      <c r="F8610" s="4" t="str">
        <f>IF(B8610=B8609,"",B8610)</f>
        <v>ShÄntipur</v>
      </c>
    </row>
    <row r="8611" spans="1:6" ht="15.75" customHeight="1">
      <c r="A8611" s="6" t="s">
        <v>13301</v>
      </c>
      <c r="B8611" s="6" t="s">
        <v>13302</v>
      </c>
      <c r="C8611" s="6" t="s">
        <v>10178</v>
      </c>
      <c r="D8611" s="6" t="s">
        <v>10193</v>
      </c>
      <c r="E8611" s="2">
        <v>1256671</v>
      </c>
      <c r="F8611" s="4" t="str">
        <f>IF(B8611=B8610,"",B8611)</f>
        <v>ShÄmli</v>
      </c>
    </row>
    <row r="8612" spans="1:6" ht="15.75" customHeight="1">
      <c r="A8612" s="5" t="s">
        <v>13299</v>
      </c>
      <c r="B8612" s="6" t="s">
        <v>13300</v>
      </c>
      <c r="C8612" s="5" t="s">
        <v>10178</v>
      </c>
      <c r="D8612" s="5" t="s">
        <v>10219</v>
      </c>
      <c r="E8612" s="2">
        <v>1256673</v>
      </c>
      <c r="F8612" s="4" t="str">
        <f>IF(B8612=B8611,"",B8612)</f>
        <v>ShÄmgarh</v>
      </c>
    </row>
    <row r="8613" spans="1:6" ht="15.75" customHeight="1">
      <c r="A8613" s="5" t="s">
        <v>13297</v>
      </c>
      <c r="B8613" s="6" t="s">
        <v>13298</v>
      </c>
      <c r="C8613" s="5" t="s">
        <v>10178</v>
      </c>
      <c r="D8613" s="5" t="s">
        <v>10219</v>
      </c>
      <c r="E8613" s="2">
        <v>1256693</v>
      </c>
      <c r="F8613" s="4" t="str">
        <f>IF(B8613=B8612,"",B8613)</f>
        <v>ShÄjÄpur</v>
      </c>
    </row>
    <row r="8614" spans="1:6" ht="15.75" customHeight="1">
      <c r="A8614" s="5" t="s">
        <v>1433</v>
      </c>
      <c r="B8614" s="6" t="s">
        <v>1434</v>
      </c>
      <c r="C8614" s="5" t="s">
        <v>1296</v>
      </c>
      <c r="D8614" s="5" t="s">
        <v>1310</v>
      </c>
      <c r="E8614" s="2">
        <v>1185121</v>
      </c>
      <c r="F8614" s="4" t="str">
        <f>IF(B8614=B8613,"",B8614)</f>
        <v>ShÄhzÄdpur</v>
      </c>
    </row>
    <row r="8615" spans="1:6" ht="15.75" customHeight="1">
      <c r="A8615" s="5" t="s">
        <v>14553</v>
      </c>
      <c r="B8615" s="6" t="s">
        <v>14554</v>
      </c>
      <c r="C8615" s="5" t="s">
        <v>14240</v>
      </c>
      <c r="D8615" s="5" t="s">
        <v>14294</v>
      </c>
      <c r="E8615" s="2">
        <v>417594</v>
      </c>
      <c r="F8615" s="4" t="str">
        <f>IF(B8615=B8614,"",B8615)</f>
        <v>ShÄhreáº•Ä</v>
      </c>
    </row>
    <row r="8616" spans="1:6" ht="15.75" customHeight="1">
      <c r="A8616" s="5" t="s">
        <v>13295</v>
      </c>
      <c r="B8616" s="6" t="s">
        <v>13296</v>
      </c>
      <c r="C8616" s="5" t="s">
        <v>10178</v>
      </c>
      <c r="D8616" s="5" t="s">
        <v>10179</v>
      </c>
      <c r="E8616" s="2">
        <v>1256705</v>
      </c>
      <c r="F8616" s="4" t="str">
        <f>IF(B8616=B8615,"",B8616)</f>
        <v>ShÄhpura</v>
      </c>
    </row>
    <row r="8617" spans="1:6" ht="15.75" customHeight="1">
      <c r="A8617" s="5" t="s">
        <v>13295</v>
      </c>
      <c r="B8617" s="6" t="s">
        <v>13296</v>
      </c>
      <c r="C8617" s="5" t="s">
        <v>10178</v>
      </c>
      <c r="D8617" s="5" t="s">
        <v>10179</v>
      </c>
      <c r="E8617" s="2">
        <v>1256706</v>
      </c>
      <c r="F8617" s="4" t="str">
        <f>IF(B8617=B8616,"",B8617)</f>
        <v/>
      </c>
    </row>
    <row r="8618" spans="1:6" ht="15.75" customHeight="1">
      <c r="A8618" s="5" t="s">
        <v>20222</v>
      </c>
      <c r="B8618" s="6" t="s">
        <v>20223</v>
      </c>
      <c r="C8618" s="5" t="s">
        <v>19808</v>
      </c>
      <c r="D8618" s="5" t="s">
        <v>19823</v>
      </c>
      <c r="E8618" s="2">
        <v>1165507</v>
      </c>
      <c r="F8618" s="4" t="str">
        <f>IF(B8618=B8617,"",B8618)</f>
        <v>ShÄhpur ChÄkar</v>
      </c>
    </row>
    <row r="8619" spans="1:6" ht="15.75" customHeight="1">
      <c r="A8619" s="6" t="s">
        <v>13293</v>
      </c>
      <c r="B8619" s="6" t="s">
        <v>13294</v>
      </c>
      <c r="C8619" s="6" t="s">
        <v>10178</v>
      </c>
      <c r="D8619" s="6" t="s">
        <v>10193</v>
      </c>
      <c r="E8619" s="2">
        <v>1256713</v>
      </c>
      <c r="F8619" s="4" t="str">
        <f>IF(B8619=B8618,"",B8619)</f>
        <v>ShÄhpur</v>
      </c>
    </row>
    <row r="8620" spans="1:6" ht="15.75" customHeight="1">
      <c r="A8620" s="6" t="s">
        <v>13293</v>
      </c>
      <c r="B8620" s="6" t="s">
        <v>13294</v>
      </c>
      <c r="C8620" s="6" t="s">
        <v>10178</v>
      </c>
      <c r="D8620" s="6" t="s">
        <v>10317</v>
      </c>
      <c r="E8620" s="2">
        <v>1256715</v>
      </c>
      <c r="F8620" s="4" t="str">
        <f>IF(B8620=B8619,"",B8620)</f>
        <v/>
      </c>
    </row>
    <row r="8621" spans="1:6" ht="15.75" customHeight="1">
      <c r="A8621" s="6" t="s">
        <v>13293</v>
      </c>
      <c r="B8621" s="6" t="s">
        <v>13294</v>
      </c>
      <c r="C8621" s="6" t="s">
        <v>10178</v>
      </c>
      <c r="D8621" s="6" t="s">
        <v>10219</v>
      </c>
      <c r="E8621" s="2">
        <v>1256720</v>
      </c>
      <c r="F8621" s="4" t="str">
        <f>IF(B8621=B8620,"",B8621)</f>
        <v/>
      </c>
    </row>
    <row r="8622" spans="1:6" ht="15.75" customHeight="1">
      <c r="A8622" s="6" t="s">
        <v>13293</v>
      </c>
      <c r="B8622" s="6" t="s">
        <v>13294</v>
      </c>
      <c r="C8622" s="6" t="s">
        <v>10178</v>
      </c>
      <c r="D8622" s="6" t="s">
        <v>10252</v>
      </c>
      <c r="E8622" s="2">
        <v>1256722</v>
      </c>
      <c r="F8622" s="4" t="str">
        <f>IF(B8622=B8621,"",B8622)</f>
        <v/>
      </c>
    </row>
    <row r="8623" spans="1:6" ht="15.75" customHeight="1">
      <c r="A8623" s="5" t="s">
        <v>13291</v>
      </c>
      <c r="B8623" s="6" t="s">
        <v>13292</v>
      </c>
      <c r="C8623" s="5" t="s">
        <v>10178</v>
      </c>
      <c r="D8623" s="5" t="s">
        <v>10193</v>
      </c>
      <c r="E8623" s="2">
        <v>1256728</v>
      </c>
      <c r="F8623" s="4" t="str">
        <f>IF(B8623=B8622,"",B8623)</f>
        <v>ShÄhjÄnpur</v>
      </c>
    </row>
    <row r="8624" spans="1:6" ht="15.75" customHeight="1">
      <c r="A8624" s="6" t="s">
        <v>13289</v>
      </c>
      <c r="B8624" s="6" t="s">
        <v>13290</v>
      </c>
      <c r="C8624" s="6" t="s">
        <v>10178</v>
      </c>
      <c r="D8624" s="6" t="s">
        <v>10193</v>
      </c>
      <c r="E8624" s="2">
        <v>1256731</v>
      </c>
      <c r="F8624" s="4" t="str">
        <f>IF(B8624=B8623,"",B8624)</f>
        <v>ShÄhi</v>
      </c>
    </row>
    <row r="8625" spans="1:6" ht="15.75" customHeight="1">
      <c r="A8625" s="5" t="s">
        <v>13287</v>
      </c>
      <c r="B8625" s="6" t="s">
        <v>13288</v>
      </c>
      <c r="C8625" s="5" t="s">
        <v>10178</v>
      </c>
      <c r="D8625" s="5" t="s">
        <v>10193</v>
      </c>
      <c r="E8625" s="2">
        <v>1256735</v>
      </c>
      <c r="F8625" s="4" t="str">
        <f>IF(B8625=B8624,"",B8625)</f>
        <v>ShÄhganj</v>
      </c>
    </row>
    <row r="8626" spans="1:6" ht="15.75" customHeight="1">
      <c r="A8626" s="5" t="s">
        <v>20220</v>
      </c>
      <c r="B8626" s="6" t="s">
        <v>20221</v>
      </c>
      <c r="C8626" s="5" t="s">
        <v>19808</v>
      </c>
      <c r="D8626" s="5" t="s">
        <v>19823</v>
      </c>
      <c r="E8626" s="2">
        <v>1165635</v>
      </c>
      <c r="F8626" s="4" t="str">
        <f>IF(B8626=B8625,"",B8626)</f>
        <v>ShÄhdÄdpur</v>
      </c>
    </row>
    <row r="8627" spans="1:6" ht="15.75" customHeight="1">
      <c r="A8627" s="5" t="s">
        <v>20218</v>
      </c>
      <c r="B8627" s="6" t="s">
        <v>20219</v>
      </c>
      <c r="C8627" s="5" t="s">
        <v>19808</v>
      </c>
      <c r="D8627" s="5" t="s">
        <v>19823</v>
      </c>
      <c r="E8627" s="2">
        <v>1165638</v>
      </c>
      <c r="F8627" s="4" t="str">
        <f>IF(B8627=B8626,"",B8627)</f>
        <v>ShÄhdÄdkot</v>
      </c>
    </row>
    <row r="8628" spans="1:6" ht="15.75" customHeight="1">
      <c r="A8628" s="6" t="s">
        <v>13285</v>
      </c>
      <c r="B8628" s="6" t="s">
        <v>13286</v>
      </c>
      <c r="C8628" s="6" t="s">
        <v>10178</v>
      </c>
      <c r="D8628" s="6" t="s">
        <v>10214</v>
      </c>
      <c r="E8628" s="2">
        <v>1256750</v>
      </c>
      <c r="F8628" s="4" t="str">
        <f>IF(B8628=B8627,"",B8628)</f>
        <v>ShÄhÄda</v>
      </c>
    </row>
    <row r="8629" spans="1:6" ht="15.75" customHeight="1">
      <c r="A8629" s="5" t="s">
        <v>13283</v>
      </c>
      <c r="B8629" s="6" t="s">
        <v>13284</v>
      </c>
      <c r="C8629" s="5" t="s">
        <v>10178</v>
      </c>
      <c r="D8629" s="5" t="s">
        <v>10224</v>
      </c>
      <c r="E8629" s="2">
        <v>1256752</v>
      </c>
      <c r="F8629" s="4" t="str">
        <f>IF(B8629=B8628,"",B8629)</f>
        <v>ShÄhÄbÄd</v>
      </c>
    </row>
    <row r="8630" spans="1:6" ht="15.75" customHeight="1">
      <c r="A8630" s="5" t="s">
        <v>13283</v>
      </c>
      <c r="B8630" s="6" t="s">
        <v>13284</v>
      </c>
      <c r="C8630" s="5" t="s">
        <v>10178</v>
      </c>
      <c r="D8630" s="5" t="s">
        <v>10193</v>
      </c>
      <c r="E8630" s="2">
        <v>1256753</v>
      </c>
      <c r="F8630" s="4" t="str">
        <f>IF(B8630=B8629,"",B8630)</f>
        <v/>
      </c>
    </row>
    <row r="8631" spans="1:6" ht="15.75" customHeight="1">
      <c r="A8631" s="5" t="s">
        <v>13283</v>
      </c>
      <c r="B8631" s="6" t="s">
        <v>13284</v>
      </c>
      <c r="C8631" s="5" t="s">
        <v>10178</v>
      </c>
      <c r="D8631" s="5" t="s">
        <v>10193</v>
      </c>
      <c r="E8631" s="2">
        <v>1256755</v>
      </c>
      <c r="F8631" s="4" t="str">
        <f>IF(B8631=B8630,"",B8631)</f>
        <v/>
      </c>
    </row>
    <row r="8632" spans="1:6" ht="15.75" customHeight="1">
      <c r="A8632" s="5" t="s">
        <v>13283</v>
      </c>
      <c r="B8632" s="6" t="s">
        <v>13284</v>
      </c>
      <c r="C8632" s="5" t="s">
        <v>10178</v>
      </c>
      <c r="D8632" s="5" t="s">
        <v>10252</v>
      </c>
      <c r="E8632" s="2">
        <v>1256759</v>
      </c>
      <c r="F8632" s="4" t="str">
        <f>IF(B8632=B8631,"",B8632)</f>
        <v/>
      </c>
    </row>
    <row r="8633" spans="1:6" ht="15.75" customHeight="1">
      <c r="A8633" s="5" t="s">
        <v>14551</v>
      </c>
      <c r="B8633" s="6" t="s">
        <v>14552</v>
      </c>
      <c r="C8633" s="5" t="s">
        <v>14240</v>
      </c>
      <c r="D8633" s="5" t="s">
        <v>14302</v>
      </c>
      <c r="E8633" s="2">
        <v>117793</v>
      </c>
      <c r="F8633" s="4" t="str">
        <f>IF(B8633=B8632,"",B8633)</f>
        <v>ShÄhÄ«n Dezh</v>
      </c>
    </row>
    <row r="8634" spans="1:6" ht="15.75" customHeight="1">
      <c r="A8634" s="5" t="s">
        <v>14549</v>
      </c>
      <c r="B8634" s="6" t="s">
        <v>14550</v>
      </c>
      <c r="C8634" s="5" t="s">
        <v>14240</v>
      </c>
      <c r="D8634" s="5" t="s">
        <v>14271</v>
      </c>
      <c r="E8634" s="2">
        <v>116102</v>
      </c>
      <c r="F8634" s="4" t="str">
        <f>IF(B8634=B8633,"",B8634)</f>
        <v>ShÄdegÄn</v>
      </c>
    </row>
    <row r="8635" spans="1:6" ht="15.75" customHeight="1">
      <c r="A8635" s="6" t="s">
        <v>16400</v>
      </c>
      <c r="B8635" s="6" t="s">
        <v>16401</v>
      </c>
      <c r="C8635" s="6" t="s">
        <v>15704</v>
      </c>
      <c r="D8635" s="6" t="s">
        <v>15710</v>
      </c>
      <c r="E8635" s="2">
        <v>1851711</v>
      </c>
      <c r="F8635" s="4" t="str">
        <f>IF(B8635=B8634,"",B8635)</f>
        <v>ShÅbu</v>
      </c>
    </row>
    <row r="8636" spans="1:6" ht="15.75" customHeight="1">
      <c r="A8636" s="6" t="s">
        <v>16398</v>
      </c>
      <c r="B8636" s="6" t="s">
        <v>16399</v>
      </c>
      <c r="C8636" s="6" t="s">
        <v>15704</v>
      </c>
      <c r="D8636" s="6" t="s">
        <v>15789</v>
      </c>
      <c r="E8636" s="2">
        <v>1851713</v>
      </c>
      <c r="F8636" s="4" t="str">
        <f>IF(B8636=B8635,"",B8636)</f>
        <v>ShÅbara</v>
      </c>
    </row>
    <row r="8637" spans="1:6" ht="15.75" customHeight="1">
      <c r="A8637" s="5" t="s">
        <v>14547</v>
      </c>
      <c r="B8637" s="6" t="s">
        <v>14548</v>
      </c>
      <c r="C8637" s="5" t="s">
        <v>14240</v>
      </c>
      <c r="D8637" s="5" t="s">
        <v>14271</v>
      </c>
      <c r="E8637" s="2">
        <v>114584</v>
      </c>
      <c r="F8637" s="4" t="str">
        <f>IF(B8637=B8636,"",B8637)</f>
        <v>ShÅ«shtar</v>
      </c>
    </row>
    <row r="8638" spans="1:6" ht="15.75" customHeight="1">
      <c r="A8638" s="5" t="s">
        <v>13281</v>
      </c>
      <c r="B8638" s="6" t="s">
        <v>13282</v>
      </c>
      <c r="C8638" s="5" t="s">
        <v>10178</v>
      </c>
      <c r="D8638" s="5" t="s">
        <v>10193</v>
      </c>
      <c r="E8638" s="2">
        <v>1256468</v>
      </c>
      <c r="F8638" s="4" t="str">
        <f>IF(B8638=B8637,"",B8638)</f>
        <v>ShÄ«shgarh</v>
      </c>
    </row>
    <row r="8639" spans="1:6" ht="15.75" customHeight="1">
      <c r="A8639" s="6" t="s">
        <v>14545</v>
      </c>
      <c r="B8639" s="6" t="s">
        <v>14546</v>
      </c>
      <c r="C8639" s="6" t="s">
        <v>14240</v>
      </c>
      <c r="D8639" s="6" t="s">
        <v>14271</v>
      </c>
      <c r="E8639" s="2">
        <v>114593</v>
      </c>
      <c r="F8639" s="4" t="str">
        <f>IF(B8639=B8638,"",B8639)</f>
        <v>ShÅ«sh</v>
      </c>
    </row>
    <row r="8640" spans="1:6" ht="15.75" customHeight="1">
      <c r="A8640" s="5" t="s">
        <v>14543</v>
      </c>
      <c r="B8640" s="6" t="s">
        <v>14544</v>
      </c>
      <c r="C8640" s="5" t="s">
        <v>14240</v>
      </c>
      <c r="D8640" s="5" t="s">
        <v>14336</v>
      </c>
      <c r="E8640" s="2">
        <v>114930</v>
      </c>
      <c r="F8640" s="4" t="str">
        <f>IF(B8640=B8639,"",B8640)</f>
        <v>ShÄ«rvÄn</v>
      </c>
    </row>
    <row r="8641" spans="1:6" ht="15.75" customHeight="1">
      <c r="A8641" s="5" t="s">
        <v>101</v>
      </c>
      <c r="B8641" s="6" t="s">
        <v>102</v>
      </c>
      <c r="C8641" s="5" t="s">
        <v>8</v>
      </c>
      <c r="D8641" s="5" t="s">
        <v>51</v>
      </c>
      <c r="E8641" s="2">
        <v>1125155</v>
      </c>
      <c r="F8641" s="4" t="str">
        <f>IF(B8641=B8640,"",B8641)</f>
        <v>ShÄ«ná¸aná¸</v>
      </c>
    </row>
    <row r="8642" spans="1:6" ht="15.75" customHeight="1">
      <c r="A8642" s="6" t="s">
        <v>16743</v>
      </c>
      <c r="B8642" s="6" t="s">
        <v>16744</v>
      </c>
      <c r="C8642" s="6" t="s">
        <v>16671</v>
      </c>
      <c r="D8642" s="6" t="s">
        <v>16687</v>
      </c>
      <c r="E8642" s="2">
        <v>1524801</v>
      </c>
      <c r="F8642" s="4" t="str">
        <f>IF(B8642=B8641,"",B8642)</f>
        <v>ShÄ«eli</v>
      </c>
    </row>
    <row r="8643" spans="1:6" ht="15.75" customHeight="1">
      <c r="A8643" s="6" t="s">
        <v>9945</v>
      </c>
      <c r="B8643" s="6" t="s">
        <v>9946</v>
      </c>
      <c r="C8643" s="6" t="s">
        <v>9941</v>
      </c>
      <c r="D8643" s="6" t="s">
        <v>9946</v>
      </c>
      <c r="E8643" s="2">
        <v>1818920</v>
      </c>
      <c r="F8643" s="4" t="str">
        <f>IF(B8643=B8642,"",B8643)</f>
        <v>Sha Tin</v>
      </c>
    </row>
    <row r="8644" spans="1:6" ht="15.75" customHeight="1">
      <c r="A8644" s="5" t="str">
        <f ca="1">IFERROR(__xludf.DUMMYFUNCTION("GOOGLETRANSLATE(B31160,""en"",""pt"")"),"Sha lin")</f>
        <v>Sha lin</v>
      </c>
      <c r="B8644" s="17" t="s">
        <v>9946</v>
      </c>
      <c r="C8644" s="17" t="s">
        <v>9941</v>
      </c>
      <c r="D8644" s="17" t="s">
        <v>9946</v>
      </c>
      <c r="E8644" s="10">
        <v>1818920</v>
      </c>
      <c r="F8644" s="4" t="str">
        <f>IF(B8644=B8643,"",B8644)</f>
        <v/>
      </c>
    </row>
    <row r="8645" spans="1:6" ht="15.75" customHeight="1">
      <c r="A8645" s="5" t="s">
        <v>19084</v>
      </c>
      <c r="B8645" s="6" t="s">
        <v>19085</v>
      </c>
      <c r="C8645" s="5" t="s">
        <v>18862</v>
      </c>
      <c r="D8645" s="5" t="s">
        <v>18868</v>
      </c>
      <c r="E8645" s="2">
        <v>2747364</v>
      </c>
      <c r="F8645" s="4" t="str">
        <f>IF(B8645=B8644,"",B8645)</f>
        <v>'s-Gravenzande</v>
      </c>
    </row>
    <row r="8646" spans="1:6" ht="15.75" customHeight="1">
      <c r="A8646" s="5" t="str">
        <f ca="1">IFERROR(__xludf.DUMMYFUNCTION("GOOGLETRANSLATE(B37957,""en"",""pt"")"),"S-Gravenzande")</f>
        <v>S-Gravenzande</v>
      </c>
      <c r="B8646" s="19" t="s">
        <v>34811</v>
      </c>
      <c r="C8646" s="17" t="s">
        <v>18862</v>
      </c>
      <c r="D8646" s="17" t="s">
        <v>18868</v>
      </c>
      <c r="E8646" s="10">
        <v>2747364</v>
      </c>
      <c r="F8646" s="4" t="str">
        <f>IF(B8646=B8645,"",B8646)</f>
        <v>s-Gravenzande</v>
      </c>
    </row>
    <row r="8647" spans="1:6" ht="15.75" customHeight="1">
      <c r="A8647" s="6" t="s">
        <v>449</v>
      </c>
      <c r="B8647" s="6" t="s">
        <v>449</v>
      </c>
      <c r="C8647" s="6" t="s">
        <v>153</v>
      </c>
      <c r="D8647" s="6" t="s">
        <v>169</v>
      </c>
      <c r="E8647" s="2">
        <v>2481639</v>
      </c>
      <c r="F8647" s="4" t="str">
        <f>IF(B8647=B8646,"",B8647)</f>
        <v>Sfizef</v>
      </c>
    </row>
    <row r="8648" spans="1:6" ht="15.75" customHeight="1">
      <c r="A8648" s="5" t="str">
        <f ca="1">IFERROR(__xludf.DUMMYFUNCTION("GOOGLETRANSLATE(B28544,""en"",""pt"")"),"Sfizef")</f>
        <v>Sfizef</v>
      </c>
      <c r="B8648" s="17" t="s">
        <v>449</v>
      </c>
      <c r="C8648" s="17" t="s">
        <v>153</v>
      </c>
      <c r="D8648" s="17" t="s">
        <v>32187</v>
      </c>
      <c r="E8648" s="10">
        <v>2481639</v>
      </c>
      <c r="F8648" s="4" t="str">
        <f>IF(B8648=B8647,"",B8648)</f>
        <v/>
      </c>
    </row>
    <row r="8649" spans="1:6" ht="15.75" customHeight="1">
      <c r="A8649" s="6" t="s">
        <v>26183</v>
      </c>
      <c r="B8649" s="6" t="s">
        <v>26183</v>
      </c>
      <c r="C8649" s="6" t="s">
        <v>26090</v>
      </c>
      <c r="D8649" s="6" t="s">
        <v>26135</v>
      </c>
      <c r="E8649" s="2">
        <v>2467454</v>
      </c>
      <c r="F8649" s="4" t="str">
        <f>IF(B8649=B8648,"",B8649)</f>
        <v>Sfax</v>
      </c>
    </row>
    <row r="8650" spans="1:6" ht="15.75" customHeight="1">
      <c r="A8650" s="5" t="str">
        <f ca="1">IFERROR(__xludf.DUMMYFUNCTION("GOOGLETRANSLATE(B41802,""en"",""pt"")"),"Sfax")</f>
        <v>Sfax</v>
      </c>
      <c r="B8650" s="17" t="s">
        <v>26183</v>
      </c>
      <c r="C8650" s="17" t="s">
        <v>26090</v>
      </c>
      <c r="D8650" s="17" t="s">
        <v>35801</v>
      </c>
      <c r="E8650" s="10">
        <v>2467454</v>
      </c>
      <c r="F8650" s="4" t="str">
        <f>IF(B8650=B8649,"",B8650)</f>
        <v/>
      </c>
    </row>
    <row r="8651" spans="1:6" ht="15.75" customHeight="1">
      <c r="A8651" s="5" t="str">
        <f ca="1">IFERROR(__xludf.DUMMYFUNCTION("GOOGLETRANSLATE(B39747,""en"",""pt"")"),"Sfântu-gheorghe")</f>
        <v>Sfântu-gheorghe</v>
      </c>
      <c r="B8651" s="17" t="s">
        <v>35351</v>
      </c>
      <c r="C8651" s="17" t="s">
        <v>21824</v>
      </c>
      <c r="D8651" s="17" t="s">
        <v>22031</v>
      </c>
      <c r="E8651" s="10">
        <v>667303</v>
      </c>
      <c r="F8651" s="4" t="str">
        <f>IF(B8651=B8650,"",B8651)</f>
        <v>Sfântu-Gheorghe</v>
      </c>
    </row>
    <row r="8652" spans="1:6" ht="15.75" customHeight="1">
      <c r="A8652" s="5" t="s">
        <v>22029</v>
      </c>
      <c r="B8652" s="6" t="s">
        <v>22030</v>
      </c>
      <c r="C8652" s="5" t="s">
        <v>21824</v>
      </c>
      <c r="D8652" s="5" t="s">
        <v>22031</v>
      </c>
      <c r="E8652" s="2">
        <v>667303</v>
      </c>
      <c r="F8652" s="4" t="str">
        <f>IF(B8652=B8651,"",B8652)</f>
        <v>SfÃ¢ntu-Gheorghe</v>
      </c>
    </row>
    <row r="8653" spans="1:6" ht="15.75" customHeight="1">
      <c r="A8653" s="6" t="s">
        <v>15503</v>
      </c>
      <c r="B8653" s="6" t="s">
        <v>15503</v>
      </c>
      <c r="C8653" s="6" t="s">
        <v>14891</v>
      </c>
      <c r="D8653" s="6" t="s">
        <v>14904</v>
      </c>
      <c r="E8653" s="2">
        <v>3166571</v>
      </c>
      <c r="F8653" s="4" t="str">
        <f>IF(B8653=B8652,"",B8653)</f>
        <v>Sezze</v>
      </c>
    </row>
    <row r="8654" spans="1:6" ht="15.75" customHeight="1">
      <c r="A8654" s="5" t="str">
        <f ca="1">IFERROR(__xludf.DUMMYFUNCTION("GOOGLETRANSLATE(B34681,""en"",""pt"")"),"Sezze")</f>
        <v>Sezze</v>
      </c>
      <c r="B8654" s="17" t="s">
        <v>15503</v>
      </c>
      <c r="C8654" s="17" t="s">
        <v>14891</v>
      </c>
      <c r="D8654" s="17" t="s">
        <v>14904</v>
      </c>
      <c r="E8654" s="10">
        <v>3166571</v>
      </c>
      <c r="F8654" s="4" t="str">
        <f>IF(B8654=B8653,"",B8654)</f>
        <v/>
      </c>
    </row>
    <row r="8655" spans="1:6" ht="15.75" customHeight="1">
      <c r="A8655" s="6" t="s">
        <v>7823</v>
      </c>
      <c r="B8655" s="6" t="s">
        <v>7823</v>
      </c>
      <c r="C8655" s="6" t="s">
        <v>7052</v>
      </c>
      <c r="D8655" s="6" t="s">
        <v>7053</v>
      </c>
      <c r="E8655" s="2">
        <v>2974655</v>
      </c>
      <c r="F8655" s="4" t="str">
        <f>IF(B8655=B8654,"",B8655)</f>
        <v>Seynod</v>
      </c>
    </row>
    <row r="8656" spans="1:6" ht="15.75" customHeight="1">
      <c r="A8656" s="5" t="str">
        <f ca="1">IFERROR(__xludf.DUMMYFUNCTION("GOOGLETRANSLATE(B29752,""en"",""pt"")"),"Seynod")</f>
        <v>Seynod</v>
      </c>
      <c r="B8656" s="17" t="s">
        <v>7823</v>
      </c>
      <c r="C8656" s="17" t="s">
        <v>7052</v>
      </c>
      <c r="D8656" s="17" t="s">
        <v>32532</v>
      </c>
      <c r="E8656" s="10">
        <v>2974655</v>
      </c>
      <c r="F8656" s="4" t="str">
        <f>IF(B8656=B8655,"",B8656)</f>
        <v/>
      </c>
    </row>
    <row r="8657" spans="1:6" ht="15.75" customHeight="1">
      <c r="A8657" s="6" t="s">
        <v>29962</v>
      </c>
      <c r="B8657" s="6" t="s">
        <v>29962</v>
      </c>
      <c r="C8657" s="6" t="s">
        <v>27788</v>
      </c>
      <c r="D8657" s="6" t="s">
        <v>27869</v>
      </c>
      <c r="E8657" s="2">
        <v>4264617</v>
      </c>
      <c r="F8657" s="4" t="str">
        <f>IF(B8657=B8656,"",B8657)</f>
        <v>Seymour</v>
      </c>
    </row>
    <row r="8658" spans="1:6" ht="15.75" customHeight="1">
      <c r="A8658" s="5" t="str">
        <f ca="1">IFERROR(__xludf.DUMMYFUNCTION("GOOGLETRANSLATE(B43161,""en"",""pt"")"),"Seymour")</f>
        <v>Seymour</v>
      </c>
      <c r="B8658" s="17" t="s">
        <v>29962</v>
      </c>
      <c r="C8658" s="17" t="s">
        <v>27788</v>
      </c>
      <c r="D8658" s="17" t="s">
        <v>27869</v>
      </c>
      <c r="E8658" s="10">
        <v>4264617</v>
      </c>
      <c r="F8658" s="4" t="str">
        <f>IF(B8658=B8657,"",B8658)</f>
        <v/>
      </c>
    </row>
    <row r="8659" spans="1:6" ht="15.75" customHeight="1">
      <c r="A8659" s="5" t="str">
        <f ca="1">IFERROR(__xludf.DUMMYFUNCTION("GOOGLETRANSLATE(B41903,""en"",""pt"")"),"Seydişehir")</f>
        <v>Seydişehir</v>
      </c>
      <c r="B8659" s="17" t="s">
        <v>35836</v>
      </c>
      <c r="C8659" s="17" t="s">
        <v>26201</v>
      </c>
      <c r="D8659" s="17" t="s">
        <v>26265</v>
      </c>
      <c r="E8659" s="10">
        <v>301010</v>
      </c>
      <c r="F8659" s="4" t="str">
        <f>IF(B8659=B8658,"",B8659)</f>
        <v>Seydişehir</v>
      </c>
    </row>
    <row r="8660" spans="1:6" ht="15.75" customHeight="1">
      <c r="A8660" s="5" t="s">
        <v>26695</v>
      </c>
      <c r="B8660" s="6" t="s">
        <v>26696</v>
      </c>
      <c r="C8660" s="5" t="s">
        <v>26201</v>
      </c>
      <c r="D8660" s="5" t="s">
        <v>26265</v>
      </c>
      <c r="E8660" s="2">
        <v>301010</v>
      </c>
      <c r="F8660" s="4" t="str">
        <f>IF(B8660=B8659,"",B8660)</f>
        <v>SeydiÅŸehir</v>
      </c>
    </row>
    <row r="8661" spans="1:6" ht="15.75" customHeight="1">
      <c r="A8661" s="6" t="s">
        <v>26798</v>
      </c>
      <c r="B8661" s="6" t="s">
        <v>26798</v>
      </c>
      <c r="C8661" s="6" t="s">
        <v>26774</v>
      </c>
      <c r="D8661" s="6" t="s">
        <v>26785</v>
      </c>
      <c r="E8661" s="2">
        <v>1218420</v>
      </c>
      <c r="F8661" s="4" t="str">
        <f>IF(B8661=B8660,"",B8661)</f>
        <v>Seydi</v>
      </c>
    </row>
    <row r="8662" spans="1:6" ht="15.75" customHeight="1">
      <c r="A8662" s="5" t="str">
        <f ca="1">IFERROR(__xludf.DUMMYFUNCTION("GOOGLETRANSLATE(B41782,""en"",""pt"")"),"Seydi")</f>
        <v>Seydi</v>
      </c>
      <c r="B8662" s="17" t="s">
        <v>26798</v>
      </c>
      <c r="C8662" s="17" t="s">
        <v>26774</v>
      </c>
      <c r="D8662" s="17" t="s">
        <v>26785</v>
      </c>
      <c r="E8662" s="10">
        <v>1218420</v>
      </c>
      <c r="F8662" s="4" t="str">
        <f>IF(B8662=B8661,"",B8662)</f>
        <v/>
      </c>
    </row>
    <row r="8663" spans="1:6" ht="15.75" customHeight="1">
      <c r="A8663" s="6" t="s">
        <v>21009</v>
      </c>
      <c r="B8663" s="6" t="s">
        <v>21009</v>
      </c>
      <c r="C8663" s="6" t="s">
        <v>20598</v>
      </c>
      <c r="D8663" s="6" t="s">
        <v>20599</v>
      </c>
      <c r="E8663" s="2">
        <v>1686933</v>
      </c>
      <c r="F8663" s="4" t="str">
        <f>IF(B8663=B8662,"",B8663)</f>
        <v>Sexmoan</v>
      </c>
    </row>
    <row r="8664" spans="1:6" ht="15.75" customHeight="1">
      <c r="A8664" s="5" t="str">
        <f ca="1">IFERROR(__xludf.DUMMYFUNCTION("GOOGLETRANSLATE(B38479,""en"",""pt"")"),"Sexmoan")</f>
        <v>Sexmoan</v>
      </c>
      <c r="B8664" s="17" t="s">
        <v>21009</v>
      </c>
      <c r="C8664" s="17" t="s">
        <v>20598</v>
      </c>
      <c r="D8664" s="17" t="s">
        <v>20599</v>
      </c>
      <c r="E8664" s="10">
        <v>1686933</v>
      </c>
      <c r="F8664" s="4" t="str">
        <f>IF(B8664=B8663,"",B8664)</f>
        <v/>
      </c>
    </row>
    <row r="8665" spans="1:6" ht="15.75" customHeight="1">
      <c r="A8665" s="5" t="s">
        <v>14143</v>
      </c>
      <c r="B8665" s="6" t="s">
        <v>14144</v>
      </c>
      <c r="C8665" s="5" t="s">
        <v>13800</v>
      </c>
      <c r="D8665" s="5" t="s">
        <v>13826</v>
      </c>
      <c r="E8665" s="2">
        <v>1627357</v>
      </c>
      <c r="F8665" s="4" t="str">
        <f>IF(B8665=B8664,"",B8665)</f>
        <v>Sewon</v>
      </c>
    </row>
    <row r="8666" spans="1:6" ht="15.75" customHeight="1">
      <c r="A8666" s="5" t="str">
        <f ca="1">IFERROR(__xludf.DUMMYFUNCTION("GOOGLETRANSLATE(B31457,""en"",""pt"")"),"Costurar em")</f>
        <v>Costurar em</v>
      </c>
      <c r="B8666" s="17" t="s">
        <v>14144</v>
      </c>
      <c r="C8666" s="17" t="s">
        <v>13800</v>
      </c>
      <c r="D8666" s="17" t="s">
        <v>13826</v>
      </c>
      <c r="E8666" s="10">
        <v>1627357</v>
      </c>
      <c r="F8666" s="4" t="str">
        <f>IF(B8666=B8665,"",B8666)</f>
        <v/>
      </c>
    </row>
    <row r="8667" spans="1:6" ht="15.75" customHeight="1">
      <c r="A8667" s="5" t="str">
        <f ca="1">IFERROR(__xludf.DUMMYFUNCTION("GOOGLETRANSLATE(B29753,""en"",""pt"")"),"Sèvres")</f>
        <v>Sèvres</v>
      </c>
      <c r="B8667" s="17" t="s">
        <v>32549</v>
      </c>
      <c r="C8667" s="17" t="s">
        <v>7052</v>
      </c>
      <c r="D8667" s="17" t="s">
        <v>32531</v>
      </c>
      <c r="E8667" s="10">
        <v>2974678</v>
      </c>
      <c r="F8667" s="4" t="str">
        <f>IF(B8667=B8666,"",B8667)</f>
        <v>Sèvres</v>
      </c>
    </row>
    <row r="8668" spans="1:6" ht="15.75" customHeight="1">
      <c r="A8668" s="6" t="s">
        <v>7822</v>
      </c>
      <c r="B8668" s="6" t="s">
        <v>7822</v>
      </c>
      <c r="C8668" s="6" t="s">
        <v>7052</v>
      </c>
      <c r="D8668" s="6" t="s">
        <v>7058</v>
      </c>
      <c r="E8668" s="2">
        <v>2974681</v>
      </c>
      <c r="F8668" s="4" t="str">
        <f>IF(B8668=B8667,"",B8668)</f>
        <v>Sevran</v>
      </c>
    </row>
    <row r="8669" spans="1:6" ht="15.75" customHeight="1">
      <c r="A8669" s="5" t="str">
        <f ca="1">IFERROR(__xludf.DUMMYFUNCTION("GOOGLETRANSLATE(B29754,""en"",""pt"")"),"Sevran")</f>
        <v>Sevran</v>
      </c>
      <c r="B8669" s="17" t="s">
        <v>7822</v>
      </c>
      <c r="C8669" s="17" t="s">
        <v>7052</v>
      </c>
      <c r="D8669" s="17" t="s">
        <v>32531</v>
      </c>
      <c r="E8669" s="10">
        <v>2974681</v>
      </c>
      <c r="F8669" s="4" t="str">
        <f>IF(B8669=B8668,"",B8669)</f>
        <v/>
      </c>
    </row>
    <row r="8670" spans="1:6" ht="15.75" customHeight="1">
      <c r="A8670" s="6" t="s">
        <v>3749</v>
      </c>
      <c r="B8670" s="6" t="s">
        <v>3749</v>
      </c>
      <c r="C8670" s="6" t="s">
        <v>3701</v>
      </c>
      <c r="D8670" s="6" t="s">
        <v>3719</v>
      </c>
      <c r="E8670" s="2">
        <v>727337</v>
      </c>
      <c r="F8670" s="4" t="str">
        <f>IF(B8670=B8669,"",B8670)</f>
        <v>Sevlievo</v>
      </c>
    </row>
    <row r="8671" spans="1:6" ht="15.75" customHeight="1">
      <c r="A8671" s="5" t="str">
        <f ca="1">IFERROR(__xludf.DUMMYFUNCTION("GOOGLETRANSLATE(B24025,""en"",""pt"")"),"Sevlievo")</f>
        <v>Sevlievo</v>
      </c>
      <c r="B8671" s="17" t="s">
        <v>3749</v>
      </c>
      <c r="C8671" s="17" t="s">
        <v>3701</v>
      </c>
      <c r="D8671" s="17" t="s">
        <v>3719</v>
      </c>
      <c r="E8671" s="10">
        <v>727337</v>
      </c>
      <c r="F8671" s="4" t="str">
        <f>IF(B8671=B8670,"",B8671)</f>
        <v/>
      </c>
    </row>
    <row r="8672" spans="1:6" ht="15.75" customHeight="1">
      <c r="A8672" s="6" t="s">
        <v>5611</v>
      </c>
      <c r="B8672" s="6" t="s">
        <v>5612</v>
      </c>
      <c r="C8672" s="6" t="s">
        <v>5348</v>
      </c>
      <c r="D8672" s="6" t="s">
        <v>5360</v>
      </c>
      <c r="E8672" s="2">
        <v>3668132</v>
      </c>
      <c r="F8672" s="4" t="str">
        <f>IF(B8672=B8671,"",B8672)</f>
        <v>Sevilla</v>
      </c>
    </row>
    <row r="8673" spans="1:6" ht="15.75" customHeight="1">
      <c r="A8673" s="6" t="s">
        <v>5611</v>
      </c>
      <c r="B8673" s="6" t="s">
        <v>5612</v>
      </c>
      <c r="C8673" s="6" t="s">
        <v>24200</v>
      </c>
      <c r="D8673" s="6" t="s">
        <v>24205</v>
      </c>
      <c r="E8673" s="2">
        <v>2510911</v>
      </c>
      <c r="F8673" s="4" t="str">
        <f>IF(B8673=B8672,"",B8673)</f>
        <v/>
      </c>
    </row>
    <row r="8674" spans="1:6" ht="15.75" customHeight="1">
      <c r="A8674" s="5" t="str">
        <f ca="1">IFERROR(__xludf.DUMMYFUNCTION("GOOGLETRANSLATE(B26877,""en"",""pt"")"),"Sevilha")</f>
        <v>Sevilha</v>
      </c>
      <c r="B8674" s="17" t="s">
        <v>5612</v>
      </c>
      <c r="C8674" s="17" t="s">
        <v>5348</v>
      </c>
      <c r="D8674" s="17" t="s">
        <v>5360</v>
      </c>
      <c r="E8674" s="10">
        <v>3668132</v>
      </c>
      <c r="F8674" s="4" t="str">
        <f>IF(B8674=B8673,"",B8674)</f>
        <v/>
      </c>
    </row>
    <row r="8675" spans="1:6" ht="15.75" customHeight="1">
      <c r="A8675" s="5" t="str">
        <f ca="1">IFERROR(__xludf.DUMMYFUNCTION("GOOGLETRANSLATE(B28983,""en"",""pt"")"),"Sevilha")</f>
        <v>Sevilha</v>
      </c>
      <c r="B8675" s="17" t="s">
        <v>5612</v>
      </c>
      <c r="C8675" s="17" t="s">
        <v>24200</v>
      </c>
      <c r="D8675" s="17" t="s">
        <v>24205</v>
      </c>
      <c r="E8675" s="10">
        <v>2510911</v>
      </c>
      <c r="F8675" s="4" t="str">
        <f>IF(B8675=B8674,"",B8675)</f>
        <v/>
      </c>
    </row>
    <row r="8676" spans="1:6" ht="15.75" customHeight="1">
      <c r="A8676" s="6" t="s">
        <v>15502</v>
      </c>
      <c r="B8676" s="6" t="s">
        <v>15502</v>
      </c>
      <c r="C8676" s="6" t="s">
        <v>14891</v>
      </c>
      <c r="D8676" s="6" t="s">
        <v>14894</v>
      </c>
      <c r="E8676" s="2">
        <v>3166574</v>
      </c>
      <c r="F8676" s="4" t="str">
        <f>IF(B8676=B8675,"",B8676)</f>
        <v>Seveso</v>
      </c>
    </row>
    <row r="8677" spans="1:6" ht="15.75" customHeight="1">
      <c r="A8677" s="5" t="str">
        <f ca="1">IFERROR(__xludf.DUMMYFUNCTION("GOOGLETRANSLATE(B34682,""en"",""pt"")"),"Seveso")</f>
        <v>Seveso</v>
      </c>
      <c r="B8677" s="17" t="s">
        <v>15502</v>
      </c>
      <c r="C8677" s="17" t="s">
        <v>14891</v>
      </c>
      <c r="D8677" s="17" t="s">
        <v>14894</v>
      </c>
      <c r="E8677" s="10">
        <v>3166574</v>
      </c>
      <c r="F8677" s="4" t="str">
        <f>IF(B8677=B8676,"",B8677)</f>
        <v/>
      </c>
    </row>
    <row r="8678" spans="1:6" ht="15.75" customHeight="1">
      <c r="A8678" s="5" t="s">
        <v>23064</v>
      </c>
      <c r="B8678" s="6" t="s">
        <v>23064</v>
      </c>
      <c r="C8678" s="5" t="s">
        <v>22070</v>
      </c>
      <c r="D8678" s="5" t="s">
        <v>22077</v>
      </c>
      <c r="E8678" s="2">
        <v>496267</v>
      </c>
      <c r="F8678" s="4" t="str">
        <f>IF(B8678=B8677,"",B8678)</f>
        <v>Severskaya</v>
      </c>
    </row>
    <row r="8679" spans="1:6" ht="15.75" customHeight="1">
      <c r="A8679" s="5" t="str">
        <f ca="1">IFERROR(__xludf.DUMMYFUNCTION("GOOGLETRANSLATE(B40114,""en"",""pt"")"),"Severskaya")</f>
        <v>Severskaya</v>
      </c>
      <c r="B8679" s="17" t="s">
        <v>23064</v>
      </c>
      <c r="C8679" s="17" t="s">
        <v>22070</v>
      </c>
      <c r="D8679" s="17" t="s">
        <v>22077</v>
      </c>
      <c r="E8679" s="10">
        <v>496267</v>
      </c>
      <c r="F8679" s="4" t="str">
        <f>IF(B8679=B8678,"",B8679)</f>
        <v/>
      </c>
    </row>
    <row r="8680" spans="1:6" ht="15.75" customHeight="1">
      <c r="A8680" s="6" t="s">
        <v>23063</v>
      </c>
      <c r="B8680" s="6" t="s">
        <v>23063</v>
      </c>
      <c r="C8680" s="6" t="s">
        <v>22070</v>
      </c>
      <c r="D8680" s="6" t="s">
        <v>22168</v>
      </c>
      <c r="E8680" s="2">
        <v>1538637</v>
      </c>
      <c r="F8680" s="4" t="str">
        <f>IF(B8680=B8679,"",B8680)</f>
        <v>Seversk</v>
      </c>
    </row>
    <row r="8681" spans="1:6" ht="15.75" customHeight="1">
      <c r="A8681" s="5" t="str">
        <f ca="1">IFERROR(__xludf.DUMMYFUNCTION("GOOGLETRANSLATE(B40885,""en"",""pt"")"),"Seversk")</f>
        <v>Seversk</v>
      </c>
      <c r="B8681" s="17" t="s">
        <v>23063</v>
      </c>
      <c r="C8681" s="17" t="s">
        <v>22070</v>
      </c>
      <c r="D8681" s="17" t="s">
        <v>22168</v>
      </c>
      <c r="E8681" s="10">
        <v>1538637</v>
      </c>
      <c r="F8681" s="4" t="str">
        <f>IF(B8681=B8680,"",B8681)</f>
        <v/>
      </c>
    </row>
    <row r="8682" spans="1:6" ht="15.75" customHeight="1">
      <c r="A8682" s="5" t="s">
        <v>23062</v>
      </c>
      <c r="B8682" s="6" t="s">
        <v>23062</v>
      </c>
      <c r="C8682" s="5" t="s">
        <v>22070</v>
      </c>
      <c r="D8682" s="5" t="s">
        <v>22122</v>
      </c>
      <c r="E8682" s="2">
        <v>496269</v>
      </c>
      <c r="F8682" s="4" t="str">
        <f>IF(B8682=B8681,"",B8682)</f>
        <v>Severo-Zadonsk</v>
      </c>
    </row>
    <row r="8683" spans="1:6" ht="15.75" customHeight="1">
      <c r="A8683" s="5" t="str">
        <f ca="1">IFERROR(__xludf.DUMMYFUNCTION("GOOGLETRANSLATE(B40115,""en"",""pt"")"),"Severo-Zadonsk")</f>
        <v>Severo-Zadonsk</v>
      </c>
      <c r="B8683" s="17" t="s">
        <v>23062</v>
      </c>
      <c r="C8683" s="17" t="s">
        <v>22070</v>
      </c>
      <c r="D8683" s="17" t="s">
        <v>22122</v>
      </c>
      <c r="E8683" s="10">
        <v>496269</v>
      </c>
      <c r="F8683" s="4" t="str">
        <f>IF(B8683=B8682,"",B8683)</f>
        <v/>
      </c>
    </row>
    <row r="8684" spans="1:6" ht="15.75" customHeight="1">
      <c r="A8684" s="5" t="s">
        <v>23060</v>
      </c>
      <c r="B8684" s="6" t="s">
        <v>23061</v>
      </c>
      <c r="C8684" s="5" t="s">
        <v>22070</v>
      </c>
      <c r="D8684" s="5" t="s">
        <v>22106</v>
      </c>
      <c r="E8684" s="2">
        <v>496275</v>
      </c>
      <c r="F8684" s="4" t="str">
        <f>IF(B8684=B8683,"",B8684)</f>
        <v>Severouralâ€™sk</v>
      </c>
    </row>
    <row r="8685" spans="1:6" ht="15.75" customHeight="1">
      <c r="A8685" s="5" t="str">
        <f ca="1">IFERROR(__xludf.DUMMYFUNCTION("GOOGLETRANSLATE(B40116,""en"",""pt"")"),"SeveRoural'sk")</f>
        <v>SeveRoural'sk</v>
      </c>
      <c r="B8685" s="17" t="s">
        <v>35457</v>
      </c>
      <c r="C8685" s="17" t="s">
        <v>22070</v>
      </c>
      <c r="D8685" s="17" t="s">
        <v>22106</v>
      </c>
      <c r="E8685" s="10">
        <v>496275</v>
      </c>
      <c r="F8685" s="4" t="str">
        <f>IF(B8685=B8684,"",B8685)</f>
        <v>Severoural’sk</v>
      </c>
    </row>
    <row r="8686" spans="1:6" ht="15.75" customHeight="1">
      <c r="A8686" s="5" t="s">
        <v>23059</v>
      </c>
      <c r="B8686" s="6" t="s">
        <v>23059</v>
      </c>
      <c r="C8686" s="5" t="s">
        <v>22070</v>
      </c>
      <c r="D8686" s="5" t="s">
        <v>22143</v>
      </c>
      <c r="E8686" s="2">
        <v>496278</v>
      </c>
      <c r="F8686" s="4" t="str">
        <f>IF(B8686=B8685,"",B8686)</f>
        <v>Severomorsk</v>
      </c>
    </row>
    <row r="8687" spans="1:6" ht="15.75" customHeight="1">
      <c r="A8687" s="5" t="str">
        <f ca="1">IFERROR(__xludf.DUMMYFUNCTION("GOOGLETRANSLATE(B40117,""en"",""pt"")"),"Severomorsk")</f>
        <v>Severomorsk</v>
      </c>
      <c r="B8687" s="17" t="s">
        <v>23059</v>
      </c>
      <c r="C8687" s="17" t="s">
        <v>22070</v>
      </c>
      <c r="D8687" s="17" t="s">
        <v>22143</v>
      </c>
      <c r="E8687" s="10">
        <v>496278</v>
      </c>
      <c r="F8687" s="4" t="str">
        <f>IF(B8687=B8686,"",B8687)</f>
        <v/>
      </c>
    </row>
    <row r="8688" spans="1:6" ht="15.75" customHeight="1">
      <c r="A8688" s="5" t="s">
        <v>23058</v>
      </c>
      <c r="B8688" s="6" t="s">
        <v>23058</v>
      </c>
      <c r="C8688" s="5" t="s">
        <v>22070</v>
      </c>
      <c r="D8688" s="5" t="s">
        <v>22151</v>
      </c>
      <c r="E8688" s="2">
        <v>496285</v>
      </c>
      <c r="F8688" s="4" t="str">
        <f>IF(B8688=B8687,"",B8688)</f>
        <v>Severodvinsk</v>
      </c>
    </row>
    <row r="8689" spans="1:6" ht="15.75" customHeight="1">
      <c r="A8689" s="5" t="str">
        <f ca="1">IFERROR(__xludf.DUMMYFUNCTION("GOOGLETRANSLATE(B40118,""en"",""pt"")"),"Severodvinsk")</f>
        <v>Severodvinsk</v>
      </c>
      <c r="B8689" s="17" t="s">
        <v>23058</v>
      </c>
      <c r="C8689" s="17" t="s">
        <v>22070</v>
      </c>
      <c r="D8689" s="17" t="s">
        <v>22151</v>
      </c>
      <c r="E8689" s="10">
        <v>496285</v>
      </c>
      <c r="F8689" s="4" t="str">
        <f>IF(B8689=B8688,"",B8689)</f>
        <v/>
      </c>
    </row>
    <row r="8690" spans="1:6" ht="15.75" customHeight="1">
      <c r="A8690" s="5" t="s">
        <v>23056</v>
      </c>
      <c r="B8690" s="6" t="s">
        <v>23057</v>
      </c>
      <c r="C8690" s="5" t="s">
        <v>22070</v>
      </c>
      <c r="D8690" s="5" t="s">
        <v>22425</v>
      </c>
      <c r="E8690" s="2">
        <v>2016910</v>
      </c>
      <c r="F8690" s="4" t="str">
        <f>IF(B8690=B8689,"",B8690)</f>
        <v>Severobaykalâ€™sk</v>
      </c>
    </row>
    <row r="8691" spans="1:6" ht="15.75" customHeight="1">
      <c r="A8691" s="5" t="str">
        <f ca="1">IFERROR(__xludf.DUMMYFUNCTION("GOOGLETRANSLATE(B40913,""en"",""pt"")"),"SeveroBaykal'sk")</f>
        <v>SeveroBaykal'sk</v>
      </c>
      <c r="B8691" s="17" t="s">
        <v>35558</v>
      </c>
      <c r="C8691" s="17" t="s">
        <v>22070</v>
      </c>
      <c r="D8691" s="17" t="s">
        <v>22425</v>
      </c>
      <c r="E8691" s="10">
        <v>2016910</v>
      </c>
      <c r="F8691" s="4" t="str">
        <f>IF(B8691=B8690,"",B8691)</f>
        <v>Severobaykal’sk</v>
      </c>
    </row>
    <row r="8692" spans="1:6" ht="15.75" customHeight="1">
      <c r="A8692" s="6" t="s">
        <v>23055</v>
      </c>
      <c r="B8692" s="6" t="s">
        <v>23055</v>
      </c>
      <c r="C8692" s="6" t="s">
        <v>22070</v>
      </c>
      <c r="D8692" s="6" t="s">
        <v>22127</v>
      </c>
      <c r="E8692" s="2">
        <v>496348</v>
      </c>
      <c r="F8692" s="4" t="str">
        <f>IF(B8692=B8691,"",B8692)</f>
        <v>Severnyy</v>
      </c>
    </row>
    <row r="8693" spans="1:6" ht="15.75" customHeight="1">
      <c r="A8693" s="5" t="str">
        <f ca="1">IFERROR(__xludf.DUMMYFUNCTION("GOOGLETRANSLATE(B40119,""en"",""pt"")"),"Severnyy")</f>
        <v>Severnyy</v>
      </c>
      <c r="B8693" s="17" t="s">
        <v>23055</v>
      </c>
      <c r="C8693" s="17" t="s">
        <v>22070</v>
      </c>
      <c r="D8693" s="17" t="s">
        <v>22127</v>
      </c>
      <c r="E8693" s="10">
        <v>496348</v>
      </c>
      <c r="F8693" s="4" t="str">
        <f>IF(B8693=B8692,"",B8693)</f>
        <v/>
      </c>
    </row>
    <row r="8694" spans="1:6" ht="15.75" customHeight="1">
      <c r="A8694" s="5" t="s">
        <v>29961</v>
      </c>
      <c r="B8694" s="6" t="s">
        <v>29961</v>
      </c>
      <c r="C8694" s="5" t="s">
        <v>27788</v>
      </c>
      <c r="D8694" s="5" t="s">
        <v>17061</v>
      </c>
      <c r="E8694" s="2">
        <v>4369224</v>
      </c>
      <c r="F8694" s="4" t="str">
        <f>IF(B8694=B8693,"",B8694)</f>
        <v>Severna Park</v>
      </c>
    </row>
    <row r="8695" spans="1:6" ht="15.75" customHeight="1">
      <c r="A8695" s="5" t="str">
        <f ca="1">IFERROR(__xludf.DUMMYFUNCTION("GOOGLETRANSLATE(B43333,""en"",""pt"")"),"Severna Park")</f>
        <v>Severna Park</v>
      </c>
      <c r="B8695" s="17" t="s">
        <v>29961</v>
      </c>
      <c r="C8695" s="17" t="s">
        <v>27788</v>
      </c>
      <c r="D8695" s="17" t="s">
        <v>17061</v>
      </c>
      <c r="E8695" s="10">
        <v>4369224</v>
      </c>
      <c r="F8695" s="4" t="str">
        <f>IF(B8695=B8694,"",B8695)</f>
        <v/>
      </c>
    </row>
    <row r="8696" spans="1:6" ht="15.75" customHeight="1">
      <c r="A8696" s="6" t="s">
        <v>29960</v>
      </c>
      <c r="B8696" s="6" t="s">
        <v>29960</v>
      </c>
      <c r="C8696" s="6" t="s">
        <v>27788</v>
      </c>
      <c r="D8696" s="6" t="s">
        <v>17061</v>
      </c>
      <c r="E8696" s="2">
        <v>4369190</v>
      </c>
      <c r="F8696" s="4" t="str">
        <f>IF(B8696=B8695,"",B8696)</f>
        <v>Severn</v>
      </c>
    </row>
    <row r="8697" spans="1:6" ht="15.75" customHeight="1">
      <c r="A8697" s="5" t="str">
        <f ca="1">IFERROR(__xludf.DUMMYFUNCTION("GOOGLETRANSLATE(B43332,""en"",""pt"")"),"Severn")</f>
        <v>Severn</v>
      </c>
      <c r="B8697" s="17" t="s">
        <v>29960</v>
      </c>
      <c r="C8697" s="17" t="s">
        <v>27788</v>
      </c>
      <c r="D8697" s="17" t="s">
        <v>17061</v>
      </c>
      <c r="E8697" s="10">
        <v>4369190</v>
      </c>
      <c r="F8697" s="4" t="str">
        <f>IF(B8697=B8696,"",B8697)</f>
        <v/>
      </c>
    </row>
    <row r="8698" spans="1:6" ht="15.75" customHeight="1">
      <c r="A8698" s="5" t="s">
        <v>27668</v>
      </c>
      <c r="B8698" s="6" t="s">
        <v>27668</v>
      </c>
      <c r="C8698" s="5" t="s">
        <v>27234</v>
      </c>
      <c r="D8698" s="5" t="s">
        <v>27241</v>
      </c>
      <c r="E8698" s="2">
        <v>2638187</v>
      </c>
      <c r="F8698" s="4" t="str">
        <f>IF(B8698=B8697,"",B8698)</f>
        <v>Sevenoaks</v>
      </c>
    </row>
    <row r="8699" spans="1:6" ht="15.75" customHeight="1">
      <c r="A8699" s="5" t="str">
        <f ca="1">IFERROR(__xludf.DUMMYFUNCTION("GOOGLETRANSLATE(B30411,""en"",""pt"")"),"Sevenoaks")</f>
        <v>Sevenoaks</v>
      </c>
      <c r="B8699" s="17" t="s">
        <v>27668</v>
      </c>
      <c r="C8699" s="17" t="s">
        <v>27234</v>
      </c>
      <c r="D8699" s="17" t="s">
        <v>27241</v>
      </c>
      <c r="E8699" s="10">
        <v>2638187</v>
      </c>
      <c r="F8699" s="4" t="str">
        <f>IF(B8699=B8698,"",B8699)</f>
        <v/>
      </c>
    </row>
    <row r="8700" spans="1:6" ht="15.75" customHeight="1">
      <c r="A8700" s="6" t="s">
        <v>29958</v>
      </c>
      <c r="B8700" s="6" t="s">
        <v>29959</v>
      </c>
      <c r="C8700" s="6" t="s">
        <v>27788</v>
      </c>
      <c r="D8700" s="6" t="s">
        <v>27811</v>
      </c>
      <c r="E8700" s="2">
        <v>4595374</v>
      </c>
      <c r="F8700" s="4" t="str">
        <f>IF(B8700=B8699,"",B8700)</f>
        <v>Seven Oaks</v>
      </c>
    </row>
    <row r="8701" spans="1:6" ht="15.75" customHeight="1">
      <c r="A8701" s="5" t="str">
        <f ca="1">IFERROR(__xludf.DUMMYFUNCTION("GOOGLETRANSLATE(B43599,""en"",""pt"")"),"Sete Oaks")</f>
        <v>Sete Oaks</v>
      </c>
      <c r="B8701" s="17" t="s">
        <v>29959</v>
      </c>
      <c r="C8701" s="17" t="s">
        <v>27788</v>
      </c>
      <c r="D8701" s="17" t="s">
        <v>27811</v>
      </c>
      <c r="E8701" s="10">
        <v>4595374</v>
      </c>
      <c r="F8701" s="4" t="str">
        <f>IF(B8701=B8700,"",B8701)</f>
        <v/>
      </c>
    </row>
    <row r="8702" spans="1:6" ht="15.75" customHeight="1">
      <c r="A8702" s="5" t="s">
        <v>27132</v>
      </c>
      <c r="B8702" s="6" t="s">
        <v>27132</v>
      </c>
      <c r="C8702" s="5" t="s">
        <v>26870</v>
      </c>
      <c r="D8702" s="5" t="s">
        <v>26891</v>
      </c>
      <c r="E8702" s="2">
        <v>694423</v>
      </c>
      <c r="F8702" s="4" t="str">
        <f>IF(B8702=B8701,"",B8702)</f>
        <v>Sevastopol</v>
      </c>
    </row>
    <row r="8703" spans="1:6" ht="15.75" customHeight="1">
      <c r="A8703" s="5" t="str">
        <f ca="1">IFERROR(__xludf.DUMMYFUNCTION("GOOGLETRANSLATE(B42530,""en"",""pt"")"),"Sevastopol")</f>
        <v>Sevastopol</v>
      </c>
      <c r="B8703" s="17" t="s">
        <v>27132</v>
      </c>
      <c r="C8703" s="17" t="s">
        <v>26870</v>
      </c>
      <c r="D8703" s="17" t="s">
        <v>35997</v>
      </c>
      <c r="E8703" s="10">
        <v>694423</v>
      </c>
      <c r="F8703" s="4" t="str">
        <f>IF(B8703=B8702,"",B8703)</f>
        <v/>
      </c>
    </row>
    <row r="8704" spans="1:6" ht="15.75" customHeight="1">
      <c r="A8704" s="6" t="s">
        <v>875</v>
      </c>
      <c r="B8704" s="6" t="s">
        <v>875</v>
      </c>
      <c r="C8704" s="6" t="s">
        <v>853</v>
      </c>
      <c r="D8704" s="6" t="s">
        <v>865</v>
      </c>
      <c r="E8704" s="2">
        <v>616250</v>
      </c>
      <c r="F8704" s="4" t="str">
        <f>IF(B8704=B8703,"",B8704)</f>
        <v>Sevan</v>
      </c>
    </row>
    <row r="8705" spans="1:6" ht="15.75" customHeight="1">
      <c r="A8705" s="5" t="str">
        <f ca="1">IFERROR(__xludf.DUMMYFUNCTION("GOOGLETRANSLATE(B23132,""en"",""pt"")"),"Sevan")</f>
        <v>Sevan</v>
      </c>
      <c r="B8705" s="17" t="s">
        <v>875</v>
      </c>
      <c r="C8705" s="17" t="s">
        <v>853</v>
      </c>
      <c r="D8705" s="17" t="s">
        <v>865</v>
      </c>
      <c r="E8705" s="10">
        <v>616250</v>
      </c>
      <c r="F8705" s="4" t="str">
        <f>IF(B8705=B8704,"",B8705)</f>
        <v/>
      </c>
    </row>
    <row r="8706" spans="1:6" ht="15.75" customHeight="1">
      <c r="A8706" s="6" t="s">
        <v>23053</v>
      </c>
      <c r="B8706" s="6" t="s">
        <v>23054</v>
      </c>
      <c r="C8706" s="6" t="s">
        <v>22070</v>
      </c>
      <c r="D8706" s="6" t="s">
        <v>22127</v>
      </c>
      <c r="E8706" s="2">
        <v>496456</v>
      </c>
      <c r="F8706" s="4" t="str">
        <f>IF(B8706=B8705,"",B8706)</f>
        <v>Setunâ€™</v>
      </c>
    </row>
    <row r="8707" spans="1:6" ht="15.75" customHeight="1">
      <c r="A8707" s="5" t="str">
        <f ca="1">IFERROR(__xludf.DUMMYFUNCTION("GOOGLETRANSLATE(B40120,""en"",""pt"")"),"Setun '")</f>
        <v>Setun '</v>
      </c>
      <c r="B8707" s="17" t="s">
        <v>35458</v>
      </c>
      <c r="C8707" s="17" t="s">
        <v>22070</v>
      </c>
      <c r="D8707" s="17" t="s">
        <v>22127</v>
      </c>
      <c r="E8707" s="10">
        <v>496456</v>
      </c>
      <c r="F8707" s="4" t="str">
        <f>IF(B8707=B8706,"",B8707)</f>
        <v>Setun’</v>
      </c>
    </row>
    <row r="8708" spans="1:6" ht="15.75" customHeight="1">
      <c r="A8708" s="5" t="str">
        <f ca="1">IFERROR(__xludf.DUMMYFUNCTION("GOOGLETRANSLATE(B39570,""en"",""pt"")"),"Setúbal")</f>
        <v>Setúbal</v>
      </c>
      <c r="B8708" s="17" t="s">
        <v>35287</v>
      </c>
      <c r="C8708" s="17" t="s">
        <v>21606</v>
      </c>
      <c r="D8708" s="17" t="s">
        <v>35287</v>
      </c>
      <c r="E8708" s="10">
        <v>2262963</v>
      </c>
      <c r="F8708" s="4" t="str">
        <f>IF(B8708=B8707,"",B8708)</f>
        <v>Setúbal</v>
      </c>
    </row>
    <row r="8709" spans="1:6" ht="15.75" customHeight="1">
      <c r="A8709" s="5" t="s">
        <v>15501</v>
      </c>
      <c r="B8709" s="6" t="s">
        <v>15501</v>
      </c>
      <c r="C8709" s="5" t="s">
        <v>14891</v>
      </c>
      <c r="D8709" s="5" t="s">
        <v>14911</v>
      </c>
      <c r="E8709" s="2">
        <v>3166576</v>
      </c>
      <c r="F8709" s="4" t="str">
        <f>IF(B8709=B8708,"",B8709)</f>
        <v>Settimo Torinese</v>
      </c>
    </row>
    <row r="8710" spans="1:6" ht="15.75" customHeight="1">
      <c r="A8710" s="5" t="str">
        <f ca="1">IFERROR(__xludf.DUMMYFUNCTION("GOOGLETRANSLATE(B34683,""en"",""pt"")"),"Settimo Torinese")</f>
        <v>Settimo Torinese</v>
      </c>
      <c r="B8710" s="17" t="s">
        <v>15501</v>
      </c>
      <c r="C8710" s="17" t="s">
        <v>14891</v>
      </c>
      <c r="D8710" s="17" t="s">
        <v>14911</v>
      </c>
      <c r="E8710" s="10">
        <v>3166576</v>
      </c>
      <c r="F8710" s="4" t="str">
        <f>IF(B8710=B8709,"",B8710)</f>
        <v/>
      </c>
    </row>
    <row r="8711" spans="1:6" ht="15.75" customHeight="1">
      <c r="A8711" s="6" t="s">
        <v>18623</v>
      </c>
      <c r="B8711" s="6" t="s">
        <v>18623</v>
      </c>
      <c r="C8711" s="6" t="s">
        <v>18551</v>
      </c>
      <c r="D8711" s="6" t="s">
        <v>18568</v>
      </c>
      <c r="E8711" s="2">
        <v>2537406</v>
      </c>
      <c r="F8711" s="4" t="str">
        <f>IF(B8711=B8710,"",B8711)</f>
        <v>Settat</v>
      </c>
    </row>
    <row r="8712" spans="1:6" ht="15.75" customHeight="1">
      <c r="A8712" s="5" t="str">
        <f ca="1">IFERROR(__xludf.DUMMYFUNCTION("GOOGLETRANSLATE(B36474,""en"",""pt"")"),"Settat")</f>
        <v>Settat</v>
      </c>
      <c r="B8712" s="17" t="s">
        <v>18623</v>
      </c>
      <c r="C8712" s="17" t="s">
        <v>18551</v>
      </c>
      <c r="D8712" s="17" t="s">
        <v>18568</v>
      </c>
      <c r="E8712" s="10">
        <v>2537406</v>
      </c>
      <c r="F8712" s="4" t="str">
        <f>IF(B8712=B8711,"",B8712)</f>
        <v/>
      </c>
    </row>
    <row r="8713" spans="1:6" ht="15.75" customHeight="1">
      <c r="A8713" s="6" t="s">
        <v>16396</v>
      </c>
      <c r="B8713" s="6" t="s">
        <v>16397</v>
      </c>
      <c r="C8713" s="6" t="s">
        <v>15704</v>
      </c>
      <c r="D8713" s="6" t="s">
        <v>15729</v>
      </c>
      <c r="E8713" s="2">
        <v>1852663</v>
      </c>
      <c r="F8713" s="4" t="str">
        <f>IF(B8713=B8712,"",B8713)</f>
        <v>Seto</v>
      </c>
    </row>
    <row r="8714" spans="1:6" ht="15.75" customHeight="1">
      <c r="A8714" s="5" t="str">
        <f ca="1">IFERROR(__xludf.DUMMYFUNCTION("GOOGLETRANSLATE(B35309,""en"",""pt"")"),"SETO")</f>
        <v>SETO</v>
      </c>
      <c r="B8714" s="17" t="s">
        <v>16397</v>
      </c>
      <c r="C8714" s="17" t="s">
        <v>15704</v>
      </c>
      <c r="D8714" s="17" t="s">
        <v>15729</v>
      </c>
      <c r="E8714" s="10">
        <v>1852663</v>
      </c>
      <c r="F8714" s="4" t="str">
        <f>IF(B8714=B8713,"",B8714)</f>
        <v/>
      </c>
    </row>
    <row r="8715" spans="1:6" ht="15.75" customHeight="1">
      <c r="A8715" s="5" t="str">
        <f ca="1">IFERROR(__xludf.DUMMYFUNCTION("GOOGLETRANSLATE(B28545,""en"",""pt"")"),"Sétif")</f>
        <v>Sétif</v>
      </c>
      <c r="B8715" s="17" t="s">
        <v>32190</v>
      </c>
      <c r="C8715" s="17" t="s">
        <v>153</v>
      </c>
      <c r="D8715" s="17" t="s">
        <v>32190</v>
      </c>
      <c r="E8715" s="10">
        <v>2481700</v>
      </c>
      <c r="F8715" s="4" t="str">
        <f>IF(B8715=B8714,"",B8715)</f>
        <v>Sétif</v>
      </c>
    </row>
    <row r="8716" spans="1:6" ht="15.75" customHeight="1">
      <c r="A8716" s="5" t="str">
        <f ca="1">IFERROR(__xludf.DUMMYFUNCTION("GOOGLETRANSLATE(B39172,""en"",""pt"")"),"Sethārja Old")</f>
        <v>Sethārja Old</v>
      </c>
      <c r="B8716" s="17" t="s">
        <v>35059</v>
      </c>
      <c r="C8716" s="17" t="s">
        <v>19808</v>
      </c>
      <c r="D8716" s="17" t="s">
        <v>19823</v>
      </c>
      <c r="E8716" s="10">
        <v>1412008</v>
      </c>
      <c r="F8716" s="4" t="str">
        <f>IF(B8716=B8715,"",B8716)</f>
        <v>Sethārja Old</v>
      </c>
    </row>
    <row r="8717" spans="1:6" ht="15.75" customHeight="1">
      <c r="A8717" s="5" t="s">
        <v>20216</v>
      </c>
      <c r="B8717" s="6" t="s">
        <v>20217</v>
      </c>
      <c r="C8717" s="5" t="s">
        <v>19808</v>
      </c>
      <c r="D8717" s="5" t="s">
        <v>19823</v>
      </c>
      <c r="E8717" s="2">
        <v>1412008</v>
      </c>
      <c r="F8717" s="4" t="str">
        <f>IF(B8717=B8716,"",B8717)</f>
        <v>SethÄrja Old</v>
      </c>
    </row>
    <row r="8718" spans="1:6" ht="15.75" customHeight="1">
      <c r="A8718" s="5" t="s">
        <v>3481</v>
      </c>
      <c r="B8718" s="6" t="s">
        <v>3481</v>
      </c>
      <c r="C8718" s="5" t="s">
        <v>1905</v>
      </c>
      <c r="D8718" s="5" t="s">
        <v>1917</v>
      </c>
      <c r="E8718" s="2">
        <v>3447624</v>
      </c>
      <c r="F8718" s="4" t="str">
        <f>IF(B8718=B8717,"",B8718)</f>
        <v>Sete Lagoas</v>
      </c>
    </row>
    <row r="8719" spans="1:6" ht="15.75" customHeight="1">
      <c r="A8719" s="5" t="str">
        <f ca="1">IFERROR(__xludf.DUMMYFUNCTION("GOOGLETRANSLATE(B24520,""en"",""pt"")"),"Sete Lagoas")</f>
        <v>Sete Lagoas</v>
      </c>
      <c r="B8719" s="17" t="s">
        <v>3481</v>
      </c>
      <c r="C8719" s="17" t="s">
        <v>1905</v>
      </c>
      <c r="D8719" s="17" t="s">
        <v>1917</v>
      </c>
      <c r="E8719" s="10">
        <v>3447624</v>
      </c>
      <c r="F8719" s="4" t="str">
        <f>IF(B8719=B8718,"",B8719)</f>
        <v/>
      </c>
    </row>
    <row r="8720" spans="1:6" ht="15.75" customHeight="1">
      <c r="A8720" s="5" t="str">
        <f ca="1">IFERROR(__xludf.DUMMYFUNCTION("GOOGLETRANSLATE(B29755,""en"",""pt"")"),"Sète")</f>
        <v>Sète</v>
      </c>
      <c r="B8720" s="17" t="s">
        <v>32550</v>
      </c>
      <c r="C8720" s="17" t="s">
        <v>7052</v>
      </c>
      <c r="D8720" s="17" t="s">
        <v>32547</v>
      </c>
      <c r="E8720" s="10">
        <v>2974733</v>
      </c>
      <c r="F8720" s="4" t="str">
        <f>IF(B8720=B8719,"",B8720)</f>
        <v>Sète</v>
      </c>
    </row>
    <row r="8721" spans="1:6" ht="15.75" customHeight="1">
      <c r="A8721" s="5" t="s">
        <v>29956</v>
      </c>
      <c r="B8721" s="6" t="s">
        <v>29957</v>
      </c>
      <c r="C8721" s="5" t="s">
        <v>27788</v>
      </c>
      <c r="D8721" s="5" t="s">
        <v>27819</v>
      </c>
      <c r="E8721" s="2">
        <v>7258965</v>
      </c>
      <c r="F8721" s="4" t="str">
        <f>IF(B8721=B8720,"",B8721)</f>
        <v>Setauket-East Setauket</v>
      </c>
    </row>
    <row r="8722" spans="1:6" ht="15.75" customHeight="1">
      <c r="A8722" s="5" t="str">
        <f ca="1">IFERROR(__xludf.DUMMYFUNCTION("GOOGLETRANSLATE(B45430,""en"",""pt"")"),"Setauket-leste setauket")</f>
        <v>Setauket-leste setauket</v>
      </c>
      <c r="B8722" s="17" t="s">
        <v>29957</v>
      </c>
      <c r="C8722" s="17" t="s">
        <v>27788</v>
      </c>
      <c r="D8722" s="17" t="s">
        <v>27819</v>
      </c>
      <c r="E8722" s="10">
        <v>7258965</v>
      </c>
      <c r="F8722" s="4" t="str">
        <f>IF(B8722=B8721,"",B8722)</f>
        <v/>
      </c>
    </row>
    <row r="8723" spans="1:6" ht="15.75" customHeight="1">
      <c r="A8723" s="6" t="s">
        <v>21737</v>
      </c>
      <c r="B8723" s="6" t="s">
        <v>21620</v>
      </c>
      <c r="C8723" s="6" t="s">
        <v>21606</v>
      </c>
      <c r="D8723" s="6" t="s">
        <v>21620</v>
      </c>
      <c r="E8723" s="2">
        <v>2262963</v>
      </c>
      <c r="F8723" s="4" t="str">
        <f>IF(B8723=B8722,"",B8723)</f>
        <v>SetÃºbal</v>
      </c>
    </row>
    <row r="8724" spans="1:6" ht="15.75" customHeight="1">
      <c r="A8724" s="5" t="s">
        <v>16395</v>
      </c>
      <c r="B8724" s="6" t="s">
        <v>16395</v>
      </c>
      <c r="C8724" s="5" t="s">
        <v>15704</v>
      </c>
      <c r="D8724" s="5" t="s">
        <v>15722</v>
      </c>
      <c r="E8724" s="2">
        <v>1852673</v>
      </c>
      <c r="F8724" s="4" t="str">
        <f>IF(B8724=B8723,"",B8724)</f>
        <v>Setakamachi-takayanagi</v>
      </c>
    </row>
    <row r="8725" spans="1:6" ht="15.75" customHeight="1">
      <c r="A8725" s="5" t="str">
        <f ca="1">IFERROR(__xludf.DUMMYFUNCTION("GOOGLETRANSLATE(B35310,""en"",""pt"")"),"Setakamachi-takayanagi")</f>
        <v>Setakamachi-takayanagi</v>
      </c>
      <c r="B8725" s="17" t="s">
        <v>16395</v>
      </c>
      <c r="C8725" s="17" t="s">
        <v>15704</v>
      </c>
      <c r="D8725" s="17" t="s">
        <v>15722</v>
      </c>
      <c r="E8725" s="10">
        <v>1852673</v>
      </c>
      <c r="F8725" s="4" t="str">
        <f>IF(B8725=B8724,"",B8725)</f>
        <v/>
      </c>
    </row>
    <row r="8726" spans="1:6" ht="15.75" customHeight="1">
      <c r="A8726" s="6" t="s">
        <v>5735</v>
      </c>
      <c r="B8726" s="6" t="s">
        <v>5735</v>
      </c>
      <c r="C8726" s="6" t="s">
        <v>5711</v>
      </c>
      <c r="D8726" s="6" t="s">
        <v>5736</v>
      </c>
      <c r="E8726" s="2">
        <v>3190966</v>
      </c>
      <c r="F8726" s="4" t="str">
        <f>IF(B8726=B8725,"",B8726)</f>
        <v>Sesvete</v>
      </c>
    </row>
    <row r="8727" spans="1:6" ht="15.75" customHeight="1">
      <c r="A8727" s="5" t="str">
        <f ca="1">IFERROR(__xludf.DUMMYFUNCTION("GOOGLETRANSLATE(B31201,""en"",""pt"")"),"Sesvete")</f>
        <v>Sesvete</v>
      </c>
      <c r="B8727" s="17" t="s">
        <v>5735</v>
      </c>
      <c r="C8727" s="17" t="s">
        <v>5711</v>
      </c>
      <c r="D8727" s="17" t="s">
        <v>5736</v>
      </c>
      <c r="E8727" s="10">
        <v>3190966</v>
      </c>
      <c r="F8727" s="4" t="str">
        <f>IF(B8727=B8726,"",B8727)</f>
        <v/>
      </c>
    </row>
    <row r="8728" spans="1:6" ht="15.75" customHeight="1">
      <c r="A8728" s="6" t="s">
        <v>15500</v>
      </c>
      <c r="B8728" s="6" t="s">
        <v>15500</v>
      </c>
      <c r="C8728" s="6" t="s">
        <v>14891</v>
      </c>
      <c r="D8728" s="6" t="s">
        <v>14925</v>
      </c>
      <c r="E8728" s="2">
        <v>2523136</v>
      </c>
      <c r="F8728" s="4" t="str">
        <f>IF(B8728=B8727,"",B8728)</f>
        <v>Sestu</v>
      </c>
    </row>
    <row r="8729" spans="1:6" ht="15.75" customHeight="1">
      <c r="A8729" s="5" t="str">
        <f ca="1">IFERROR(__xludf.DUMMYFUNCTION("GOOGLETRANSLATE(B34547,""en"",""pt"")"),"Sestu")</f>
        <v>Sestu</v>
      </c>
      <c r="B8729" s="17" t="s">
        <v>15500</v>
      </c>
      <c r="C8729" s="17" t="s">
        <v>14891</v>
      </c>
      <c r="D8729" s="17" t="s">
        <v>14925</v>
      </c>
      <c r="E8729" s="10">
        <v>2523136</v>
      </c>
      <c r="F8729" s="4" t="str">
        <f>IF(B8729=B8728,"",B8729)</f>
        <v/>
      </c>
    </row>
    <row r="8730" spans="1:6" ht="15.75" customHeight="1">
      <c r="A8730" s="5" t="s">
        <v>23052</v>
      </c>
      <c r="B8730" s="6" t="s">
        <v>23052</v>
      </c>
      <c r="C8730" s="5" t="s">
        <v>22070</v>
      </c>
      <c r="D8730" s="5" t="s">
        <v>22084</v>
      </c>
      <c r="E8730" s="2">
        <v>496478</v>
      </c>
      <c r="F8730" s="4" t="str">
        <f>IF(B8730=B8729,"",B8730)</f>
        <v>Sestroretsk</v>
      </c>
    </row>
    <row r="8731" spans="1:6" ht="15.75" customHeight="1">
      <c r="A8731" s="5" t="str">
        <f ca="1">IFERROR(__xludf.DUMMYFUNCTION("GOOGLETRANSLATE(B40121,""en"",""pt"")"),"Sestroretsk")</f>
        <v>Sestroretsk</v>
      </c>
      <c r="B8731" s="17" t="s">
        <v>23052</v>
      </c>
      <c r="C8731" s="17" t="s">
        <v>22070</v>
      </c>
      <c r="D8731" s="17" t="s">
        <v>22084</v>
      </c>
      <c r="E8731" s="10">
        <v>496478</v>
      </c>
      <c r="F8731" s="4" t="str">
        <f>IF(B8731=B8730,"",B8731)</f>
        <v/>
      </c>
    </row>
    <row r="8732" spans="1:6" ht="15.75" customHeight="1">
      <c r="A8732" s="5" t="s">
        <v>15499</v>
      </c>
      <c r="B8732" s="6" t="s">
        <v>15499</v>
      </c>
      <c r="C8732" s="5" t="s">
        <v>14891</v>
      </c>
      <c r="D8732" s="5" t="s">
        <v>14920</v>
      </c>
      <c r="E8732" s="2">
        <v>3166595</v>
      </c>
      <c r="F8732" s="4" t="str">
        <f>IF(B8732=B8731,"",B8732)</f>
        <v>Sestri Levante</v>
      </c>
    </row>
    <row r="8733" spans="1:6" ht="15.75" customHeight="1">
      <c r="A8733" s="5" t="str">
        <f ca="1">IFERROR(__xludf.DUMMYFUNCTION("GOOGLETRANSLATE(B34684,""en"",""pt"")"),"Sestri Levante")</f>
        <v>Sestri Levante</v>
      </c>
      <c r="B8733" s="17" t="s">
        <v>15499</v>
      </c>
      <c r="C8733" s="17" t="s">
        <v>14891</v>
      </c>
      <c r="D8733" s="17" t="s">
        <v>14920</v>
      </c>
      <c r="E8733" s="10">
        <v>3166595</v>
      </c>
      <c r="F8733" s="4" t="str">
        <f>IF(B8733=B8732,"",B8733)</f>
        <v/>
      </c>
    </row>
    <row r="8734" spans="1:6" ht="15.75" customHeight="1">
      <c r="A8734" s="5" t="s">
        <v>15498</v>
      </c>
      <c r="B8734" s="6" t="s">
        <v>15498</v>
      </c>
      <c r="C8734" s="5" t="s">
        <v>14891</v>
      </c>
      <c r="D8734" s="5" t="s">
        <v>14894</v>
      </c>
      <c r="E8734" s="2">
        <v>3166598</v>
      </c>
      <c r="F8734" s="4" t="str">
        <f>IF(B8734=B8733,"",B8734)</f>
        <v>Sesto San Giovanni</v>
      </c>
    </row>
    <row r="8735" spans="1:6" ht="15.75" customHeight="1">
      <c r="A8735" s="5" t="str">
        <f ca="1">IFERROR(__xludf.DUMMYFUNCTION("GOOGLETRANSLATE(B34685,""en"",""pt"")"),"Sesto San Giovanni")</f>
        <v>Sesto San Giovanni</v>
      </c>
      <c r="B8735" s="17" t="s">
        <v>15498</v>
      </c>
      <c r="C8735" s="17" t="s">
        <v>14891</v>
      </c>
      <c r="D8735" s="17" t="s">
        <v>14894</v>
      </c>
      <c r="E8735" s="10">
        <v>3166598</v>
      </c>
      <c r="F8735" s="4" t="str">
        <f>IF(B8735=B8734,"",B8735)</f>
        <v/>
      </c>
    </row>
    <row r="8736" spans="1:6" ht="15.75" customHeight="1">
      <c r="A8736" s="5" t="s">
        <v>15496</v>
      </c>
      <c r="B8736" s="6" t="s">
        <v>15497</v>
      </c>
      <c r="C8736" s="5" t="s">
        <v>14891</v>
      </c>
      <c r="D8736" s="5" t="s">
        <v>14943</v>
      </c>
      <c r="E8736" s="2">
        <v>3166601</v>
      </c>
      <c r="F8736" s="4" t="str">
        <f>IF(B8736=B8735,"",B8736)</f>
        <v>Sesto Fiorentino</v>
      </c>
    </row>
    <row r="8737" spans="1:6" ht="15.75" customHeight="1">
      <c r="A8737" s="5" t="str">
        <f ca="1">IFERROR(__xludf.DUMMYFUNCTION("GOOGLETRANSLATE(B34686,""en"",""pt"")"),"Sesto fiorentino")</f>
        <v>Sesto fiorentino</v>
      </c>
      <c r="B8737" s="17" t="s">
        <v>15497</v>
      </c>
      <c r="C8737" s="17" t="s">
        <v>14891</v>
      </c>
      <c r="D8737" s="17" t="s">
        <v>14943</v>
      </c>
      <c r="E8737" s="10">
        <v>3166601</v>
      </c>
      <c r="F8737" s="4" t="str">
        <f>IF(B8737=B8736,"",B8737)</f>
        <v/>
      </c>
    </row>
    <row r="8738" spans="1:6" ht="15.75" customHeight="1">
      <c r="A8738" s="6" t="s">
        <v>24824</v>
      </c>
      <c r="B8738" s="6" t="s">
        <v>24824</v>
      </c>
      <c r="C8738" s="6" t="s">
        <v>24200</v>
      </c>
      <c r="D8738" s="6" t="s">
        <v>24249</v>
      </c>
      <c r="E8738" s="2">
        <v>3109041</v>
      </c>
      <c r="F8738" s="4" t="str">
        <f>IF(B8738=B8737,"",B8738)</f>
        <v>Sestao</v>
      </c>
    </row>
    <row r="8739" spans="1:6" ht="15.75" customHeight="1">
      <c r="A8739" s="5" t="str">
        <f ca="1">IFERROR(__xludf.DUMMYFUNCTION("GOOGLETRANSLATE(B29273,""en"",""pt"")"),"Sestao")</f>
        <v>Sestao</v>
      </c>
      <c r="B8739" s="17" t="s">
        <v>24824</v>
      </c>
      <c r="C8739" s="17" t="s">
        <v>24200</v>
      </c>
      <c r="D8739" s="17" t="s">
        <v>24249</v>
      </c>
      <c r="E8739" s="10">
        <v>3109041</v>
      </c>
      <c r="F8739" s="4" t="str">
        <f>IF(B8739=B8738,"",B8739)</f>
        <v/>
      </c>
    </row>
    <row r="8740" spans="1:6" ht="15.75" customHeight="1">
      <c r="A8740" s="5" t="str">
        <f ca="1">IFERROR(__xludf.DUMMYFUNCTION("GOOGLETRANSLATE(B36391,""en"",""pt"")"),"Šeškinė")</f>
        <v>Šeškinė</v>
      </c>
      <c r="B8740" s="17" t="s">
        <v>34542</v>
      </c>
      <c r="C8740" s="17" t="s">
        <v>17154</v>
      </c>
      <c r="D8740" s="17" t="s">
        <v>17155</v>
      </c>
      <c r="E8740" s="10">
        <v>10062602</v>
      </c>
      <c r="F8740" s="4" t="str">
        <f>IF(B8740=B8739,"",B8740)</f>
        <v>Šeškinė</v>
      </c>
    </row>
    <row r="8741" spans="1:6" ht="15.75" customHeight="1">
      <c r="A8741" s="6" t="s">
        <v>21736</v>
      </c>
      <c r="B8741" s="6" t="s">
        <v>21736</v>
      </c>
      <c r="C8741" s="6" t="s">
        <v>21606</v>
      </c>
      <c r="D8741" s="6" t="s">
        <v>21620</v>
      </c>
      <c r="E8741" s="2">
        <v>2262957</v>
      </c>
      <c r="F8741" s="4" t="str">
        <f>IF(B8741=B8740,"",B8741)</f>
        <v>Sesimbra</v>
      </c>
    </row>
    <row r="8742" spans="1:6" ht="15.75" customHeight="1">
      <c r="A8742" s="5" t="str">
        <f ca="1">IFERROR(__xludf.DUMMYFUNCTION("GOOGLETRANSLATE(B39569,""en"",""pt"")"),"Sesimbra")</f>
        <v>Sesimbra</v>
      </c>
      <c r="B8742" s="17" t="s">
        <v>21736</v>
      </c>
      <c r="C8742" s="17" t="s">
        <v>21606</v>
      </c>
      <c r="D8742" s="17" t="s">
        <v>35287</v>
      </c>
      <c r="E8742" s="10">
        <v>2262957</v>
      </c>
      <c r="F8742" s="4" t="str">
        <f>IF(B8742=B8741,"",B8742)</f>
        <v/>
      </c>
    </row>
    <row r="8743" spans="1:6" ht="15.75" customHeight="1">
      <c r="A8743" s="6" t="s">
        <v>31069</v>
      </c>
      <c r="B8743" s="6" t="s">
        <v>31069</v>
      </c>
      <c r="C8743" s="6" t="s">
        <v>31038</v>
      </c>
      <c r="D8743" s="6" t="s">
        <v>6944</v>
      </c>
      <c r="E8743" s="2">
        <v>898905</v>
      </c>
      <c r="F8743" s="4" t="str">
        <f>IF(B8743=B8742,"",B8743)</f>
        <v>Sesheke</v>
      </c>
    </row>
    <row r="8744" spans="1:6" ht="15.75" customHeight="1">
      <c r="A8744" s="5" t="str">
        <f ca="1">IFERROR(__xludf.DUMMYFUNCTION("GOOGLETRANSLATE(B46006,""en"",""pt"")"),"Sesheke")</f>
        <v>Sesheke</v>
      </c>
      <c r="B8744" s="17" t="s">
        <v>31069</v>
      </c>
      <c r="C8744" s="17" t="s">
        <v>31038</v>
      </c>
      <c r="D8744" s="17" t="s">
        <v>6944</v>
      </c>
      <c r="E8744" s="10">
        <v>898905</v>
      </c>
      <c r="F8744" s="4" t="str">
        <f>IF(B8744=B8743,"",B8744)</f>
        <v/>
      </c>
    </row>
    <row r="8745" spans="1:6" ht="15.75" customHeight="1">
      <c r="A8745" s="5" t="str">
        <f ca="1">IFERROR(__xludf.DUMMYFUNCTION("GOOGLETRANSLATE(B29274,""en"",""pt"")"),"Seseña")</f>
        <v>Seseña</v>
      </c>
      <c r="B8745" s="17" t="s">
        <v>32424</v>
      </c>
      <c r="C8745" s="17" t="s">
        <v>24200</v>
      </c>
      <c r="D8745" s="17" t="s">
        <v>24218</v>
      </c>
      <c r="E8745" s="10">
        <v>3109050</v>
      </c>
      <c r="F8745" s="4" t="str">
        <f>IF(B8745=B8744,"",B8745)</f>
        <v>Seseña</v>
      </c>
    </row>
    <row r="8746" spans="1:6" ht="15.75" customHeight="1">
      <c r="A8746" s="6" t="s">
        <v>24822</v>
      </c>
      <c r="B8746" s="6" t="s">
        <v>24823</v>
      </c>
      <c r="C8746" s="6" t="s">
        <v>24200</v>
      </c>
      <c r="D8746" s="6" t="s">
        <v>24218</v>
      </c>
      <c r="E8746" s="2">
        <v>3109050</v>
      </c>
      <c r="F8746" s="4" t="str">
        <f>IF(B8746=B8745,"",B8746)</f>
        <v>SeseÃ±a</v>
      </c>
    </row>
    <row r="8747" spans="1:6" ht="15.75" customHeight="1">
      <c r="A8747" s="6" t="s">
        <v>23051</v>
      </c>
      <c r="B8747" s="6" t="s">
        <v>23051</v>
      </c>
      <c r="C8747" s="6" t="s">
        <v>22070</v>
      </c>
      <c r="D8747" s="6" t="s">
        <v>22094</v>
      </c>
      <c r="E8747" s="2">
        <v>496519</v>
      </c>
      <c r="F8747" s="4" t="str">
        <f>IF(B8747=B8746,"",B8747)</f>
        <v>Sertolovo</v>
      </c>
    </row>
    <row r="8748" spans="1:6" ht="15.75" customHeight="1">
      <c r="A8748" s="5" t="str">
        <f ca="1">IFERROR(__xludf.DUMMYFUNCTION("GOOGLETRANSLATE(B40122,""en"",""pt"")"),"Sertolovo")</f>
        <v>Sertolovo</v>
      </c>
      <c r="B8748" s="17" t="s">
        <v>23051</v>
      </c>
      <c r="C8748" s="17" t="s">
        <v>22070</v>
      </c>
      <c r="D8748" s="17" t="s">
        <v>22094</v>
      </c>
      <c r="E8748" s="10">
        <v>496519</v>
      </c>
      <c r="F8748" s="4" t="str">
        <f>IF(B8748=B8747,"",B8748)</f>
        <v/>
      </c>
    </row>
    <row r="8749" spans="1:6" ht="15.75" customHeight="1">
      <c r="A8749" s="5" t="str">
        <f ca="1">IFERROR(__xludf.DUMMYFUNCTION("GOOGLETRANSLATE(B24521,""en"",""pt"")"),"Sertão")</f>
        <v>Sertão</v>
      </c>
      <c r="B8749" s="17" t="s">
        <v>31465</v>
      </c>
      <c r="C8749" s="17" t="s">
        <v>1905</v>
      </c>
      <c r="D8749" s="17" t="s">
        <v>3354</v>
      </c>
      <c r="E8749" s="10">
        <v>3447651</v>
      </c>
      <c r="F8749" s="4" t="str">
        <f>IF(B8749=B8748,"",B8749)</f>
        <v>Sertãozinho</v>
      </c>
    </row>
    <row r="8750" spans="1:6" ht="15.75" customHeight="1">
      <c r="A8750" s="5" t="str">
        <f ca="1">IFERROR(__xludf.DUMMYFUNCTION("GOOGLETRANSLATE(B24178,""en"",""pt"")"),"Sertânia")</f>
        <v>Sertânia</v>
      </c>
      <c r="B8750" s="17" t="s">
        <v>31358</v>
      </c>
      <c r="C8750" s="17" t="s">
        <v>1905</v>
      </c>
      <c r="D8750" s="17" t="s">
        <v>1909</v>
      </c>
      <c r="E8750" s="10">
        <v>3387663</v>
      </c>
      <c r="F8750" s="4" t="str">
        <f>IF(B8750=B8749,"",B8750)</f>
        <v>Sertânia</v>
      </c>
    </row>
    <row r="8751" spans="1:6" ht="15.75" customHeight="1">
      <c r="A8751" s="5" t="s">
        <v>3479</v>
      </c>
      <c r="B8751" s="6" t="s">
        <v>3480</v>
      </c>
      <c r="C8751" s="5" t="s">
        <v>1905</v>
      </c>
      <c r="D8751" s="5" t="s">
        <v>1914</v>
      </c>
      <c r="E8751" s="2">
        <v>3447651</v>
      </c>
      <c r="F8751" s="4" t="str">
        <f>IF(B8751=B8750,"",B8751)</f>
        <v>SertÃ£ozinho</v>
      </c>
    </row>
    <row r="8752" spans="1:6" ht="15.75" customHeight="1">
      <c r="A8752" s="6" t="s">
        <v>3477</v>
      </c>
      <c r="B8752" s="6" t="s">
        <v>3478</v>
      </c>
      <c r="C8752" s="6" t="s">
        <v>1905</v>
      </c>
      <c r="D8752" s="6" t="s">
        <v>1909</v>
      </c>
      <c r="E8752" s="2">
        <v>3387663</v>
      </c>
      <c r="F8752" s="4" t="str">
        <f>IF(B8752=B8751,"",B8752)</f>
        <v>SertÃ¢nia</v>
      </c>
    </row>
    <row r="8753" spans="1:6" ht="15.75" customHeight="1">
      <c r="A8753" s="6" t="s">
        <v>3476</v>
      </c>
      <c r="B8753" s="6" t="s">
        <v>3476</v>
      </c>
      <c r="C8753" s="6" t="s">
        <v>1905</v>
      </c>
      <c r="D8753" s="6" t="s">
        <v>1947</v>
      </c>
      <c r="E8753" s="2">
        <v>3447690</v>
      </c>
      <c r="F8753" s="4" t="str">
        <f>IF(B8753=B8752,"",B8753)</f>
        <v>Serrinha</v>
      </c>
    </row>
    <row r="8754" spans="1:6" ht="15.75" customHeight="1">
      <c r="A8754" s="5" t="str">
        <f ca="1">IFERROR(__xludf.DUMMYFUNCTION("GOOGLETRANSLATE(B24522,""en"",""pt"")"),"Serrinha")</f>
        <v>Serrinha</v>
      </c>
      <c r="B8754" s="17" t="s">
        <v>3476</v>
      </c>
      <c r="C8754" s="17" t="s">
        <v>1905</v>
      </c>
      <c r="D8754" s="17" t="s">
        <v>1947</v>
      </c>
      <c r="E8754" s="10">
        <v>3447690</v>
      </c>
      <c r="F8754" s="4" t="str">
        <f>IF(B8754=B8753,"",B8754)</f>
        <v/>
      </c>
    </row>
    <row r="8755" spans="1:6" ht="15.75" customHeight="1">
      <c r="A8755" s="5" t="str">
        <f ca="1">IFERROR(__xludf.DUMMYFUNCTION("GOOGLETRANSLATE(B31033,""en"",""pt"")"),"Sérres")</f>
        <v>Sérres</v>
      </c>
      <c r="B8755" s="17" t="s">
        <v>32739</v>
      </c>
      <c r="C8755" s="17" t="s">
        <v>9441</v>
      </c>
      <c r="D8755" s="17" t="s">
        <v>9442</v>
      </c>
      <c r="E8755" s="10">
        <v>734330</v>
      </c>
      <c r="F8755" s="4" t="str">
        <f>IF(B8755=B8754,"",B8755)</f>
        <v>Sérres</v>
      </c>
    </row>
    <row r="8756" spans="1:6" ht="15.75" customHeight="1">
      <c r="A8756" s="6" t="s">
        <v>3475</v>
      </c>
      <c r="B8756" s="6" t="s">
        <v>3475</v>
      </c>
      <c r="C8756" s="6" t="s">
        <v>1905</v>
      </c>
      <c r="D8756" s="6" t="s">
        <v>1914</v>
      </c>
      <c r="E8756" s="2">
        <v>3447720</v>
      </c>
      <c r="F8756" s="4" t="str">
        <f>IF(B8756=B8755,"",B8756)</f>
        <v>Serrana</v>
      </c>
    </row>
    <row r="8757" spans="1:6" ht="15.75" customHeight="1">
      <c r="A8757" s="5" t="str">
        <f ca="1">IFERROR(__xludf.DUMMYFUNCTION("GOOGLETRANSLATE(B24524,""en"",""pt"")"),"Serrana")</f>
        <v>Serrana</v>
      </c>
      <c r="B8757" s="17" t="s">
        <v>3475</v>
      </c>
      <c r="C8757" s="17" t="s">
        <v>1905</v>
      </c>
      <c r="D8757" s="17" t="s">
        <v>3354</v>
      </c>
      <c r="E8757" s="10">
        <v>3447720</v>
      </c>
      <c r="F8757" s="4" t="str">
        <f>IF(B8757=B8756,"",B8757)</f>
        <v/>
      </c>
    </row>
    <row r="8758" spans="1:6" ht="15.75" customHeight="1">
      <c r="A8758" s="5" t="s">
        <v>3473</v>
      </c>
      <c r="B8758" s="6" t="s">
        <v>3474</v>
      </c>
      <c r="C8758" s="5" t="s">
        <v>1905</v>
      </c>
      <c r="D8758" s="5" t="s">
        <v>1909</v>
      </c>
      <c r="E8758" s="2">
        <v>3387786</v>
      </c>
      <c r="F8758" s="4" t="str">
        <f>IF(B8758=B8757,"",B8758)</f>
        <v>Serra Talhada</v>
      </c>
    </row>
    <row r="8759" spans="1:6" ht="15.75" customHeight="1">
      <c r="A8759" s="5" t="str">
        <f ca="1">IFERROR(__xludf.DUMMYFUNCTION("GOOGLETRANSLATE(B24179,""en"",""pt"")"),"Serra Tanhada")</f>
        <v>Serra Tanhada</v>
      </c>
      <c r="B8759" s="17" t="s">
        <v>3474</v>
      </c>
      <c r="C8759" s="17" t="s">
        <v>1905</v>
      </c>
      <c r="D8759" s="17" t="s">
        <v>1909</v>
      </c>
      <c r="E8759" s="10">
        <v>3387786</v>
      </c>
      <c r="F8759" s="4" t="str">
        <f>IF(B8759=B8758,"",B8759)</f>
        <v/>
      </c>
    </row>
    <row r="8760" spans="1:6" ht="15.75" customHeight="1">
      <c r="A8760" s="5" t="s">
        <v>3472</v>
      </c>
      <c r="B8760" s="6" t="s">
        <v>3472</v>
      </c>
      <c r="C8760" s="5" t="s">
        <v>1905</v>
      </c>
      <c r="D8760" s="5" t="s">
        <v>1914</v>
      </c>
      <c r="E8760" s="2">
        <v>3447718</v>
      </c>
      <c r="F8760" s="4" t="str">
        <f>IF(B8760=B8759,"",B8760)</f>
        <v>Serra Negra</v>
      </c>
    </row>
    <row r="8761" spans="1:6" ht="15.75" customHeight="1">
      <c r="A8761" s="5" t="str">
        <f ca="1">IFERROR(__xludf.DUMMYFUNCTION("GOOGLETRANSLATE(B24523,""en"",""pt"")"),"Serra Negra")</f>
        <v>Serra Negra</v>
      </c>
      <c r="B8761" s="17" t="s">
        <v>3472</v>
      </c>
      <c r="C8761" s="17" t="s">
        <v>1905</v>
      </c>
      <c r="D8761" s="17" t="s">
        <v>3354</v>
      </c>
      <c r="E8761" s="10">
        <v>3447718</v>
      </c>
      <c r="F8761" s="4" t="str">
        <f>IF(B8761=B8760,"",B8761)</f>
        <v/>
      </c>
    </row>
    <row r="8762" spans="1:6" ht="15.75" customHeight="1">
      <c r="A8762" s="6" t="s">
        <v>3471</v>
      </c>
      <c r="B8762" s="6" t="s">
        <v>3471</v>
      </c>
      <c r="C8762" s="6" t="s">
        <v>1905</v>
      </c>
      <c r="D8762" s="6" t="s">
        <v>1949</v>
      </c>
      <c r="E8762" s="2">
        <v>3447779</v>
      </c>
      <c r="F8762" s="4" t="str">
        <f>IF(B8762=B8761,"",B8762)</f>
        <v>Serra</v>
      </c>
    </row>
    <row r="8763" spans="1:6" ht="15.75" customHeight="1">
      <c r="A8763" s="5" t="str">
        <f ca="1">IFERROR(__xludf.DUMMYFUNCTION("GOOGLETRANSLATE(B24525,""en"",""pt"")"),"Serra")</f>
        <v>Serra</v>
      </c>
      <c r="B8763" s="17" t="s">
        <v>3471</v>
      </c>
      <c r="C8763" s="17" t="s">
        <v>1905</v>
      </c>
      <c r="D8763" s="17" t="s">
        <v>31426</v>
      </c>
      <c r="E8763" s="10">
        <v>3447779</v>
      </c>
      <c r="F8763" s="4" t="str">
        <f>IF(B8763=B8762,"",B8763)</f>
        <v/>
      </c>
    </row>
    <row r="8764" spans="1:6" ht="15.75" customHeight="1">
      <c r="A8764" s="5" t="s">
        <v>23050</v>
      </c>
      <c r="B8764" s="6" t="s">
        <v>23050</v>
      </c>
      <c r="C8764" s="5" t="s">
        <v>22070</v>
      </c>
      <c r="D8764" s="5" t="s">
        <v>22119</v>
      </c>
      <c r="E8764" s="2">
        <v>496527</v>
      </c>
      <c r="F8764" s="4" t="str">
        <f>IF(B8764=B8763,"",B8764)</f>
        <v>Serpukhov</v>
      </c>
    </row>
    <row r="8765" spans="1:6" ht="15.75" customHeight="1">
      <c r="A8765" s="5" t="str">
        <f ca="1">IFERROR(__xludf.DUMMYFUNCTION("GOOGLETRANSLATE(B40123,""en"",""pt"")"),"Serpukhov")</f>
        <v>Serpukhov</v>
      </c>
      <c r="B8765" s="17" t="s">
        <v>23050</v>
      </c>
      <c r="C8765" s="17" t="s">
        <v>22070</v>
      </c>
      <c r="D8765" s="17" t="s">
        <v>22119</v>
      </c>
      <c r="E8765" s="10">
        <v>496527</v>
      </c>
      <c r="F8765" s="4" t="str">
        <f>IF(B8765=B8764,"",B8765)</f>
        <v/>
      </c>
    </row>
    <row r="8766" spans="1:6" ht="15.75" customHeight="1">
      <c r="A8766" s="6" t="s">
        <v>14142</v>
      </c>
      <c r="B8766" s="6" t="s">
        <v>14142</v>
      </c>
      <c r="C8766" s="6" t="s">
        <v>13800</v>
      </c>
      <c r="D8766" s="6" t="s">
        <v>13811</v>
      </c>
      <c r="E8766" s="2">
        <v>1627459</v>
      </c>
      <c r="F8766" s="4" t="str">
        <f>IF(B8766=B8765,"",B8766)</f>
        <v>Serpong</v>
      </c>
    </row>
    <row r="8767" spans="1:6" ht="15.75" customHeight="1">
      <c r="A8767" s="5" t="str">
        <f ca="1">IFERROR(__xludf.DUMMYFUNCTION("GOOGLETRANSLATE(B31458,""en"",""pt"")"),"Serpong")</f>
        <v>Serpong</v>
      </c>
      <c r="B8767" s="17" t="s">
        <v>14142</v>
      </c>
      <c r="C8767" s="17" t="s">
        <v>13800</v>
      </c>
      <c r="D8767" s="17" t="s">
        <v>13811</v>
      </c>
      <c r="E8767" s="10">
        <v>1627459</v>
      </c>
      <c r="F8767" s="4" t="str">
        <f>IF(B8767=B8766,"",B8767)</f>
        <v/>
      </c>
    </row>
    <row r="8768" spans="1:6" ht="15.75" customHeight="1">
      <c r="A8768" s="6" t="s">
        <v>1900</v>
      </c>
      <c r="B8768" s="6" t="s">
        <v>1900</v>
      </c>
      <c r="C8768" s="6" t="s">
        <v>1878</v>
      </c>
      <c r="D8768" s="6" t="s">
        <v>1886</v>
      </c>
      <c r="E8768" s="2">
        <v>933088</v>
      </c>
      <c r="F8768" s="4" t="str">
        <f>IF(B8768=B8767,"",B8768)</f>
        <v>Serowe</v>
      </c>
    </row>
    <row r="8769" spans="1:6" ht="15.75" customHeight="1">
      <c r="A8769" s="5" t="str">
        <f ca="1">IFERROR(__xludf.DUMMYFUNCTION("GOOGLETRANSLATE(B25352,""en"",""pt"")"),"Serowe")</f>
        <v>Serowe</v>
      </c>
      <c r="B8769" s="17" t="s">
        <v>1900</v>
      </c>
      <c r="C8769" s="17" t="s">
        <v>1878</v>
      </c>
      <c r="D8769" s="17" t="s">
        <v>1886</v>
      </c>
      <c r="E8769" s="10">
        <v>933088</v>
      </c>
      <c r="F8769" s="4" t="str">
        <f>IF(B8769=B8768,"",B8769)</f>
        <v/>
      </c>
    </row>
    <row r="8770" spans="1:6" ht="15.75" customHeight="1">
      <c r="A8770" s="6" t="s">
        <v>23049</v>
      </c>
      <c r="B8770" s="6" t="s">
        <v>23049</v>
      </c>
      <c r="C8770" s="6" t="s">
        <v>22070</v>
      </c>
      <c r="D8770" s="6" t="s">
        <v>22106</v>
      </c>
      <c r="E8770" s="2">
        <v>1492663</v>
      </c>
      <c r="F8770" s="4" t="str">
        <f>IF(B8770=B8769,"",B8770)</f>
        <v>Serov</v>
      </c>
    </row>
    <row r="8771" spans="1:6" ht="15.75" customHeight="1">
      <c r="A8771" s="5" t="str">
        <f ca="1">IFERROR(__xludf.DUMMYFUNCTION("GOOGLETRANSLATE(B40764,""en"",""pt"")"),"Serov")</f>
        <v>Serov</v>
      </c>
      <c r="B8771" s="17" t="s">
        <v>23049</v>
      </c>
      <c r="C8771" s="17" t="s">
        <v>22070</v>
      </c>
      <c r="D8771" s="17" t="s">
        <v>22106</v>
      </c>
      <c r="E8771" s="10">
        <v>1492663</v>
      </c>
      <c r="F8771" s="4" t="str">
        <f>IF(B8771=B8770,"",B8771)</f>
        <v/>
      </c>
    </row>
    <row r="8772" spans="1:6" ht="15.75" customHeight="1">
      <c r="A8772" s="5" t="str">
        <f ca="1">IFERROR(__xludf.DUMMYFUNCTION("GOOGLETRANSLATE(B24526,""en"",""pt"")"),"Seropédica")</f>
        <v>Seropédica</v>
      </c>
      <c r="B8772" s="17" t="s">
        <v>31466</v>
      </c>
      <c r="C8772" s="17" t="s">
        <v>1905</v>
      </c>
      <c r="D8772" s="17" t="s">
        <v>1978</v>
      </c>
      <c r="E8772" s="10">
        <v>3447785</v>
      </c>
      <c r="F8772" s="4" t="str">
        <f>IF(B8772=B8771,"",B8772)</f>
        <v>Seropédica</v>
      </c>
    </row>
    <row r="8773" spans="1:6" ht="15.75" customHeight="1">
      <c r="A8773" s="5" t="s">
        <v>3469</v>
      </c>
      <c r="B8773" s="6" t="s">
        <v>3470</v>
      </c>
      <c r="C8773" s="5" t="s">
        <v>1905</v>
      </c>
      <c r="D8773" s="5" t="s">
        <v>1978</v>
      </c>
      <c r="E8773" s="2">
        <v>3447785</v>
      </c>
      <c r="F8773" s="4" t="str">
        <f>IF(B8773=B8772,"",B8773)</f>
        <v>SeropÃ©dica</v>
      </c>
    </row>
    <row r="8774" spans="1:6" ht="15.75" customHeight="1">
      <c r="A8774" s="6" t="s">
        <v>14140</v>
      </c>
      <c r="B8774" s="6" t="s">
        <v>14141</v>
      </c>
      <c r="C8774" s="6" t="s">
        <v>13800</v>
      </c>
      <c r="D8774" s="6" t="s">
        <v>3894</v>
      </c>
      <c r="E8774" s="2">
        <v>7084521</v>
      </c>
      <c r="F8774" s="4" t="str">
        <f>IF(B8774=B8773,"",B8774)</f>
        <v>Seririt</v>
      </c>
    </row>
    <row r="8775" spans="1:6" ht="15.75" customHeight="1">
      <c r="A8775" s="5" t="str">
        <f ca="1">IFERROR(__xludf.DUMMYFUNCTION("GOOGLETRANSLATE(B31720,""en"",""pt"")"),"Ser")</f>
        <v>Ser</v>
      </c>
      <c r="B8775" s="17" t="s">
        <v>14141</v>
      </c>
      <c r="C8775" s="17" t="s">
        <v>13800</v>
      </c>
      <c r="D8775" s="17" t="s">
        <v>3894</v>
      </c>
      <c r="E8775" s="10">
        <v>7084521</v>
      </c>
      <c r="F8775" s="4" t="str">
        <f>IF(B8775=B8774,"",B8775)</f>
        <v/>
      </c>
    </row>
    <row r="8776" spans="1:6" ht="15.75" customHeight="1">
      <c r="A8776" s="6" t="s">
        <v>26694</v>
      </c>
      <c r="B8776" s="6" t="s">
        <v>26694</v>
      </c>
      <c r="C8776" s="6" t="s">
        <v>26201</v>
      </c>
      <c r="D8776" s="6" t="s">
        <v>26318</v>
      </c>
      <c r="E8776" s="2">
        <v>301089</v>
      </c>
      <c r="F8776" s="4" t="str">
        <f>IF(B8776=B8775,"",B8776)</f>
        <v>Serinyol</v>
      </c>
    </row>
    <row r="8777" spans="1:6" ht="15.75" customHeight="1">
      <c r="A8777" s="5" t="str">
        <f ca="1">IFERROR(__xludf.DUMMYFUNCTION("GOOGLETRANSLATE(B41904,""en"",""pt"")"),"Serinyol")</f>
        <v>Serinyol</v>
      </c>
      <c r="B8777" s="17" t="s">
        <v>26694</v>
      </c>
      <c r="C8777" s="17" t="s">
        <v>26201</v>
      </c>
      <c r="D8777" s="17" t="s">
        <v>26318</v>
      </c>
      <c r="E8777" s="10">
        <v>301089</v>
      </c>
      <c r="F8777" s="4" t="str">
        <f>IF(B8777=B8776,"",B8777)</f>
        <v/>
      </c>
    </row>
    <row r="8778" spans="1:6" ht="15.75" customHeight="1">
      <c r="A8778" s="5" t="s">
        <v>26693</v>
      </c>
      <c r="B8778" s="6" t="s">
        <v>26693</v>
      </c>
      <c r="C8778" s="5" t="s">
        <v>26201</v>
      </c>
      <c r="D8778" s="5" t="s">
        <v>26443</v>
      </c>
      <c r="E8778" s="2">
        <v>307211</v>
      </c>
      <c r="F8778" s="4" t="str">
        <f>IF(B8778=B8777,"",B8778)</f>
        <v>Serinhisar</v>
      </c>
    </row>
    <row r="8779" spans="1:6" ht="15.75" customHeight="1">
      <c r="A8779" s="5" t="str">
        <f ca="1">IFERROR(__xludf.DUMMYFUNCTION("GOOGLETRANSLATE(B41959,""en"",""pt"")"),"Serinhisar")</f>
        <v>Serinhisar</v>
      </c>
      <c r="B8779" s="17" t="s">
        <v>26693</v>
      </c>
      <c r="C8779" s="17" t="s">
        <v>26201</v>
      </c>
      <c r="D8779" s="17" t="s">
        <v>26443</v>
      </c>
      <c r="E8779" s="10">
        <v>307211</v>
      </c>
      <c r="F8779" s="4" t="str">
        <f>IF(B8779=B8778,"",B8779)</f>
        <v/>
      </c>
    </row>
    <row r="8780" spans="1:6" ht="15.75" customHeight="1">
      <c r="A8780" s="5" t="s">
        <v>13280</v>
      </c>
      <c r="B8780" s="6" t="s">
        <v>13280</v>
      </c>
      <c r="C8780" s="5" t="s">
        <v>10178</v>
      </c>
      <c r="D8780" s="5" t="s">
        <v>10187</v>
      </c>
      <c r="E8780" s="2">
        <v>7302856</v>
      </c>
      <c r="F8780" s="4" t="str">
        <f>IF(B8780=B8779,"",B8780)</f>
        <v>Serilingampalle</v>
      </c>
    </row>
    <row r="8781" spans="1:6" ht="15.75" customHeight="1">
      <c r="A8781" s="5" t="str">
        <f ca="1">IFERROR(__xludf.DUMMYFUNCTION("GOOGLETRANSLATE(B34249,""en"",""pt"")"),"Serilingampalle")</f>
        <v>Serilingampalle</v>
      </c>
      <c r="B8781" s="17" t="s">
        <v>13280</v>
      </c>
      <c r="C8781" s="17" t="s">
        <v>10178</v>
      </c>
      <c r="D8781" s="17" t="s">
        <v>10187</v>
      </c>
      <c r="E8781" s="10">
        <v>7302856</v>
      </c>
      <c r="F8781" s="4" t="str">
        <f>IF(B8781=B8780,"",B8781)</f>
        <v/>
      </c>
    </row>
    <row r="8782" spans="1:6" ht="15.75" customHeight="1">
      <c r="A8782" s="6" t="s">
        <v>26692</v>
      </c>
      <c r="B8782" s="6" t="s">
        <v>26692</v>
      </c>
      <c r="C8782" s="6" t="s">
        <v>26201</v>
      </c>
      <c r="D8782" s="6" t="s">
        <v>26308</v>
      </c>
      <c r="E8782" s="2">
        <v>301101</v>
      </c>
      <c r="F8782" s="4" t="str">
        <f>IF(B8782=B8781,"",B8782)</f>
        <v>Serik</v>
      </c>
    </row>
    <row r="8783" spans="1:6" ht="15.75" customHeight="1">
      <c r="A8783" s="5" t="str">
        <f ca="1">IFERROR(__xludf.DUMMYFUNCTION("GOOGLETRANSLATE(B41905,""en"",""pt"")"),"Serik")</f>
        <v>Serik</v>
      </c>
      <c r="B8783" s="17" t="s">
        <v>26692</v>
      </c>
      <c r="C8783" s="17" t="s">
        <v>26201</v>
      </c>
      <c r="D8783" s="17" t="s">
        <v>26308</v>
      </c>
      <c r="E8783" s="10">
        <v>301101</v>
      </c>
      <c r="F8783" s="4" t="str">
        <f>IF(B8783=B8782,"",B8783)</f>
        <v/>
      </c>
    </row>
    <row r="8784" spans="1:6" ht="15.75" customHeight="1">
      <c r="A8784" s="6" t="s">
        <v>15494</v>
      </c>
      <c r="B8784" s="6" t="s">
        <v>15495</v>
      </c>
      <c r="C8784" s="6" t="s">
        <v>14891</v>
      </c>
      <c r="D8784" s="6" t="s">
        <v>14894</v>
      </c>
      <c r="E8784" s="2">
        <v>3166706</v>
      </c>
      <c r="F8784" s="4" t="str">
        <f>IF(B8784=B8783,"",B8784)</f>
        <v>Seriate</v>
      </c>
    </row>
    <row r="8785" spans="1:6" ht="15.75" customHeight="1">
      <c r="A8785" s="5" t="str">
        <f ca="1">IFERROR(__xludf.DUMMYFUNCTION("GOOGLETRANSLATE(B34687,""en"",""pt"")"),"Seriado")</f>
        <v>Seriado</v>
      </c>
      <c r="B8785" s="17" t="s">
        <v>15495</v>
      </c>
      <c r="C8785" s="17" t="s">
        <v>14891</v>
      </c>
      <c r="D8785" s="17" t="s">
        <v>14894</v>
      </c>
      <c r="E8785" s="10">
        <v>3166706</v>
      </c>
      <c r="F8785" s="4" t="str">
        <f>IF(B8785=B8784,"",B8785)</f>
        <v/>
      </c>
    </row>
    <row r="8786" spans="1:6" ht="15.75" customHeight="1">
      <c r="A8786" s="6" t="s">
        <v>3698</v>
      </c>
      <c r="B8786" s="6" t="s">
        <v>3698</v>
      </c>
      <c r="C8786" s="6" t="s">
        <v>3693</v>
      </c>
      <c r="D8786" s="6" t="s">
        <v>3697</v>
      </c>
      <c r="E8786" s="2">
        <v>1820187</v>
      </c>
      <c r="F8786" s="4" t="str">
        <f>IF(B8786=B8785,"",B8786)</f>
        <v>Seria</v>
      </c>
    </row>
    <row r="8787" spans="1:6" ht="15.75" customHeight="1">
      <c r="A8787" s="5" t="str">
        <f ca="1">IFERROR(__xludf.DUMMYFUNCTION("GOOGLETRANSLATE(B24112,""en"",""pt"")"),"Seria")</f>
        <v>Seria</v>
      </c>
      <c r="B8787" s="17" t="s">
        <v>3698</v>
      </c>
      <c r="C8787" s="17" t="s">
        <v>3693</v>
      </c>
      <c r="D8787" s="17" t="s">
        <v>3697</v>
      </c>
      <c r="E8787" s="10">
        <v>1820187</v>
      </c>
      <c r="F8787" s="4" t="str">
        <f>IF(B8787=B8786,"",B8787)</f>
        <v/>
      </c>
    </row>
    <row r="8788" spans="1:6" ht="15.75" customHeight="1">
      <c r="A8788" s="5" t="s">
        <v>23048</v>
      </c>
      <c r="B8788" s="6" t="s">
        <v>23048</v>
      </c>
      <c r="C8788" s="5" t="s">
        <v>22070</v>
      </c>
      <c r="D8788" s="5" t="s">
        <v>22119</v>
      </c>
      <c r="E8788" s="2">
        <v>496638</v>
      </c>
      <c r="F8788" s="4" t="str">
        <f>IF(B8788=B8787,"",B8788)</f>
        <v>Sergiyev Posad</v>
      </c>
    </row>
    <row r="8789" spans="1:6" ht="15.75" customHeight="1">
      <c r="A8789" s="5" t="str">
        <f ca="1">IFERROR(__xludf.DUMMYFUNCTION("GOOGLETRANSLATE(B40124,""en"",""pt"")"),"Sergiyev Posad")</f>
        <v>Sergiyev Posad</v>
      </c>
      <c r="B8789" s="17" t="s">
        <v>23048</v>
      </c>
      <c r="C8789" s="17" t="s">
        <v>22070</v>
      </c>
      <c r="D8789" s="17" t="s">
        <v>22119</v>
      </c>
      <c r="E8789" s="10">
        <v>496638</v>
      </c>
      <c r="F8789" s="4" t="str">
        <f>IF(B8789=B8788,"",B8789)</f>
        <v/>
      </c>
    </row>
    <row r="8790" spans="1:6" ht="15.75" customHeight="1">
      <c r="A8790" s="6" t="s">
        <v>23047</v>
      </c>
      <c r="B8790" s="6" t="s">
        <v>23047</v>
      </c>
      <c r="C8790" s="6" t="s">
        <v>22070</v>
      </c>
      <c r="D8790" s="6" t="s">
        <v>22161</v>
      </c>
      <c r="E8790" s="2">
        <v>496802</v>
      </c>
      <c r="F8790" s="4" t="str">
        <f>IF(B8790=B8789,"",B8790)</f>
        <v>Sergach</v>
      </c>
    </row>
    <row r="8791" spans="1:6" ht="15.75" customHeight="1">
      <c r="A8791" s="5" t="str">
        <f ca="1">IFERROR(__xludf.DUMMYFUNCTION("GOOGLETRANSLATE(B40125,""en"",""pt"")"),"Sergach")</f>
        <v>Sergach</v>
      </c>
      <c r="B8791" s="17" t="s">
        <v>23047</v>
      </c>
      <c r="C8791" s="17" t="s">
        <v>22070</v>
      </c>
      <c r="D8791" s="17" t="s">
        <v>22161</v>
      </c>
      <c r="E8791" s="10">
        <v>496802</v>
      </c>
      <c r="F8791" s="4" t="str">
        <f>IF(B8791=B8790,"",B8791)</f>
        <v/>
      </c>
    </row>
    <row r="8792" spans="1:6" ht="15.75" customHeight="1">
      <c r="A8792" s="6" t="s">
        <v>17565</v>
      </c>
      <c r="B8792" s="6" t="s">
        <v>17565</v>
      </c>
      <c r="C8792" s="6" t="s">
        <v>17432</v>
      </c>
      <c r="D8792" s="6" t="s">
        <v>17446</v>
      </c>
      <c r="E8792" s="2">
        <v>1735148</v>
      </c>
      <c r="F8792" s="4" t="str">
        <f>IF(B8792=B8791,"",B8792)</f>
        <v>Serendah</v>
      </c>
    </row>
    <row r="8793" spans="1:6" ht="15.75" customHeight="1">
      <c r="A8793" s="5" t="str">
        <f ca="1">IFERROR(__xludf.DUMMYFUNCTION("GOOGLETRANSLATE(B37479,""en"",""pt"")"),"Serendah")</f>
        <v>Serendah</v>
      </c>
      <c r="B8793" s="17" t="s">
        <v>17565</v>
      </c>
      <c r="C8793" s="17" t="s">
        <v>17432</v>
      </c>
      <c r="D8793" s="17" t="s">
        <v>17446</v>
      </c>
      <c r="E8793" s="10">
        <v>1735148</v>
      </c>
      <c r="F8793" s="4" t="str">
        <f>IF(B8793=B8792,"",B8793)</f>
        <v/>
      </c>
    </row>
    <row r="8794" spans="1:6" ht="15.75" customHeight="1">
      <c r="A8794" s="5" t="s">
        <v>17564</v>
      </c>
      <c r="B8794" s="6" t="s">
        <v>17564</v>
      </c>
      <c r="C8794" s="5" t="s">
        <v>17432</v>
      </c>
      <c r="D8794" s="5" t="s">
        <v>17440</v>
      </c>
      <c r="E8794" s="2">
        <v>1734810</v>
      </c>
      <c r="F8794" s="4" t="str">
        <f>IF(B8794=B8793,"",B8794)</f>
        <v>Seremban</v>
      </c>
    </row>
    <row r="8795" spans="1:6" ht="15.75" customHeight="1">
      <c r="A8795" s="5" t="str">
        <f ca="1">IFERROR(__xludf.DUMMYFUNCTION("GOOGLETRANSLATE(B37464,""en"",""pt"")"),"Seremban")</f>
        <v>Seremban</v>
      </c>
      <c r="B8795" s="17" t="s">
        <v>17564</v>
      </c>
      <c r="C8795" s="17" t="s">
        <v>17432</v>
      </c>
      <c r="D8795" s="17" t="s">
        <v>17440</v>
      </c>
      <c r="E8795" s="10">
        <v>1734810</v>
      </c>
      <c r="F8795" s="4" t="str">
        <f>IF(B8795=B8794,"",B8795)</f>
        <v/>
      </c>
    </row>
    <row r="8796" spans="1:6" ht="15.75" customHeight="1">
      <c r="A8796" s="6" t="s">
        <v>15493</v>
      </c>
      <c r="B8796" s="6" t="s">
        <v>15493</v>
      </c>
      <c r="C8796" s="6" t="s">
        <v>14891</v>
      </c>
      <c r="D8796" s="6" t="s">
        <v>14894</v>
      </c>
      <c r="E8796" s="2">
        <v>3166711</v>
      </c>
      <c r="F8796" s="4" t="str">
        <f>IF(B8796=B8795,"",B8796)</f>
        <v>Seregno</v>
      </c>
    </row>
    <row r="8797" spans="1:6" ht="15.75" customHeight="1">
      <c r="A8797" s="5" t="str">
        <f ca="1">IFERROR(__xludf.DUMMYFUNCTION("GOOGLETRANSLATE(B34688,""en"",""pt"")"),"Seregno")</f>
        <v>Seregno</v>
      </c>
      <c r="B8797" s="17" t="s">
        <v>15493</v>
      </c>
      <c r="C8797" s="17" t="s">
        <v>14891</v>
      </c>
      <c r="D8797" s="17" t="s">
        <v>14894</v>
      </c>
      <c r="E8797" s="10">
        <v>3166711</v>
      </c>
      <c r="F8797" s="4" t="str">
        <f>IF(B8797=B8796,"",B8797)</f>
        <v/>
      </c>
    </row>
    <row r="8798" spans="1:6" ht="15.75" customHeight="1">
      <c r="A8798" s="5" t="str">
        <f ca="1">IFERROR(__xludf.DUMMYFUNCTION("GOOGLETRANSLATE(B41906,""en"",""pt"")"),"Şereflikoçhisar")</f>
        <v>Şereflikoçhisar</v>
      </c>
      <c r="B8798" s="17" t="s">
        <v>35837</v>
      </c>
      <c r="C8798" s="17" t="s">
        <v>26201</v>
      </c>
      <c r="D8798" s="17" t="s">
        <v>26229</v>
      </c>
      <c r="E8798" s="10">
        <v>301116</v>
      </c>
      <c r="F8798" s="4" t="str">
        <f>IF(B8798=B8797,"",B8798)</f>
        <v>Şereflikoçhisar</v>
      </c>
    </row>
    <row r="8799" spans="1:6" ht="15.75" customHeight="1">
      <c r="A8799" s="6" t="s">
        <v>23046</v>
      </c>
      <c r="B8799" s="6" t="s">
        <v>23046</v>
      </c>
      <c r="C8799" s="6" t="s">
        <v>22070</v>
      </c>
      <c r="D8799" s="6" t="s">
        <v>22649</v>
      </c>
      <c r="E8799" s="2">
        <v>496934</v>
      </c>
      <c r="F8799" s="4" t="str">
        <f>IF(B8799=B8798,"",B8799)</f>
        <v>Serdobsk</v>
      </c>
    </row>
    <row r="8800" spans="1:6" ht="15.75" customHeight="1">
      <c r="A8800" s="5" t="str">
        <f ca="1">IFERROR(__xludf.DUMMYFUNCTION("GOOGLETRANSLATE(B40126,""en"",""pt"")"),"Serdobsk")</f>
        <v>Serdobsk</v>
      </c>
      <c r="B8800" s="17" t="s">
        <v>23046</v>
      </c>
      <c r="C8800" s="17" t="s">
        <v>22070</v>
      </c>
      <c r="D8800" s="17" t="s">
        <v>22649</v>
      </c>
      <c r="E8800" s="10">
        <v>496934</v>
      </c>
      <c r="F8800" s="4" t="str">
        <f>IF(B8800=B8799,"",B8800)</f>
        <v/>
      </c>
    </row>
    <row r="8801" spans="1:6" ht="15.75" customHeight="1">
      <c r="A8801" s="5" t="str">
        <f ca="1">IFERROR(__xludf.DUMMYFUNCTION("GOOGLETRANSLATE(B32205,""en"",""pt"")"),"Serchhīp")</f>
        <v>Serchhīp</v>
      </c>
      <c r="B8801" s="17" t="s">
        <v>33099</v>
      </c>
      <c r="C8801" s="17" t="s">
        <v>10178</v>
      </c>
      <c r="D8801" s="17" t="s">
        <v>10263</v>
      </c>
      <c r="E8801" s="10">
        <v>1256812</v>
      </c>
      <c r="F8801" s="4" t="str">
        <f>IF(B8801=B8800,"",B8801)</f>
        <v>Serchhīp</v>
      </c>
    </row>
    <row r="8802" spans="1:6" ht="15.75" customHeight="1">
      <c r="A8802" s="5" t="s">
        <v>13278</v>
      </c>
      <c r="B8802" s="6" t="s">
        <v>13279</v>
      </c>
      <c r="C8802" s="5" t="s">
        <v>10178</v>
      </c>
      <c r="D8802" s="5" t="s">
        <v>10263</v>
      </c>
      <c r="E8802" s="2">
        <v>1256812</v>
      </c>
      <c r="F8802" s="4" t="str">
        <f>IF(B8802=B8801,"",B8802)</f>
        <v>SerchhÄ«p</v>
      </c>
    </row>
    <row r="8803" spans="1:6" ht="15.75" customHeight="1">
      <c r="A8803" s="6" t="s">
        <v>14139</v>
      </c>
      <c r="B8803" s="6" t="s">
        <v>14139</v>
      </c>
      <c r="C8803" s="6" t="s">
        <v>13800</v>
      </c>
      <c r="D8803" s="6" t="s">
        <v>13901</v>
      </c>
      <c r="E8803" s="2">
        <v>1627549</v>
      </c>
      <c r="F8803" s="4" t="str">
        <f>IF(B8803=B8802,"",B8803)</f>
        <v>Serang</v>
      </c>
    </row>
    <row r="8804" spans="1:6" ht="15.75" customHeight="1">
      <c r="A8804" s="5" t="str">
        <f ca="1">IFERROR(__xludf.DUMMYFUNCTION("GOOGLETRANSLATE(B31459,""en"",""pt"")"),"Serang")</f>
        <v>Serang</v>
      </c>
      <c r="B8804" s="17" t="s">
        <v>14139</v>
      </c>
      <c r="C8804" s="17" t="s">
        <v>13800</v>
      </c>
      <c r="D8804" s="17" t="s">
        <v>13901</v>
      </c>
      <c r="E8804" s="10">
        <v>1627549</v>
      </c>
      <c r="F8804" s="4" t="str">
        <f>IF(B8804=B8803,"",B8804)</f>
        <v/>
      </c>
    </row>
    <row r="8805" spans="1:6" ht="15.75" customHeight="1">
      <c r="A8805" s="6" t="s">
        <v>13277</v>
      </c>
      <c r="B8805" s="6" t="s">
        <v>13277</v>
      </c>
      <c r="C8805" s="6" t="s">
        <v>10178</v>
      </c>
      <c r="D8805" s="6" t="s">
        <v>10252</v>
      </c>
      <c r="E8805" s="2">
        <v>1256814</v>
      </c>
      <c r="F8805" s="4" t="str">
        <f>IF(B8805=B8804,"",B8805)</f>
        <v>Seram</v>
      </c>
    </row>
    <row r="8806" spans="1:6" ht="15.75" customHeight="1">
      <c r="A8806" s="5" t="str">
        <f ca="1">IFERROR(__xludf.DUMMYFUNCTION("GOOGLETRANSLATE(B32206,""en"",""pt"")"),"Seram")</f>
        <v>Seram</v>
      </c>
      <c r="B8806" s="17" t="s">
        <v>13277</v>
      </c>
      <c r="C8806" s="17" t="s">
        <v>10178</v>
      </c>
      <c r="D8806" s="17" t="s">
        <v>10252</v>
      </c>
      <c r="E8806" s="10">
        <v>1256814</v>
      </c>
      <c r="F8806" s="4" t="str">
        <f>IF(B8806=B8805,"",B8806)</f>
        <v/>
      </c>
    </row>
    <row r="8807" spans="1:6" ht="15.75" customHeight="1">
      <c r="A8807" s="6" t="s">
        <v>1681</v>
      </c>
      <c r="B8807" s="6" t="s">
        <v>1682</v>
      </c>
      <c r="C8807" s="6" t="s">
        <v>1512</v>
      </c>
      <c r="D8807" s="6" t="s">
        <v>1518</v>
      </c>
      <c r="E8807" s="2">
        <v>2786824</v>
      </c>
      <c r="F8807" s="4" t="str">
        <f>IF(B8807=B8806,"",B8807)</f>
        <v>Seraing</v>
      </c>
    </row>
    <row r="8808" spans="1:6" ht="15.75" customHeight="1">
      <c r="A8808" s="5" t="str">
        <f ca="1">IFERROR(__xludf.DUMMYFUNCTION("GOOGLETRANSLATE(B23834,""en"",""pt"")"),"Soro")</f>
        <v>Soro</v>
      </c>
      <c r="B8808" s="17" t="s">
        <v>1682</v>
      </c>
      <c r="C8808" s="17" t="s">
        <v>1512</v>
      </c>
      <c r="D8808" s="17" t="s">
        <v>1518</v>
      </c>
      <c r="E8808" s="10">
        <v>2786824</v>
      </c>
      <c r="F8808" s="4" t="str">
        <f>IF(B8808=B8807,"",B8808)</f>
        <v/>
      </c>
    </row>
    <row r="8809" spans="1:6" ht="15.75" customHeight="1">
      <c r="A8809" s="6" t="s">
        <v>21735</v>
      </c>
      <c r="B8809" s="6" t="s">
        <v>21735</v>
      </c>
      <c r="C8809" s="6" t="s">
        <v>21606</v>
      </c>
      <c r="D8809" s="6" t="s">
        <v>21656</v>
      </c>
      <c r="E8809" s="2">
        <v>2734106</v>
      </c>
      <c r="F8809" s="4" t="str">
        <f>IF(B8809=B8808,"",B8809)</f>
        <v>Sequeira</v>
      </c>
    </row>
    <row r="8810" spans="1:6" ht="15.75" customHeight="1">
      <c r="A8810" s="5" t="str">
        <f ca="1">IFERROR(__xludf.DUMMYFUNCTION("GOOGLETRANSLATE(B39638,""en"",""pt"")"),"Sequeira")</f>
        <v>Sequeira</v>
      </c>
      <c r="B8810" s="17" t="s">
        <v>21735</v>
      </c>
      <c r="C8810" s="17" t="s">
        <v>21606</v>
      </c>
      <c r="D8810" s="17" t="s">
        <v>21656</v>
      </c>
      <c r="E8810" s="10">
        <v>2734106</v>
      </c>
      <c r="F8810" s="4" t="str">
        <f>IF(B8810=B8809,"",B8810)</f>
        <v/>
      </c>
    </row>
    <row r="8811" spans="1:6" ht="15.75" customHeight="1">
      <c r="A8811" s="6" t="s">
        <v>25737</v>
      </c>
      <c r="B8811" s="6" t="s">
        <v>25737</v>
      </c>
      <c r="C8811" s="6" t="s">
        <v>25560</v>
      </c>
      <c r="D8811" s="6" t="s">
        <v>25602</v>
      </c>
      <c r="E8811" s="2">
        <v>150099</v>
      </c>
      <c r="F8811" s="4" t="str">
        <f>IF(B8811=B8810,"",B8811)</f>
        <v>Sepuka</v>
      </c>
    </row>
    <row r="8812" spans="1:6" ht="15.75" customHeight="1">
      <c r="A8812" s="5" t="str">
        <f ca="1">IFERROR(__xludf.DUMMYFUNCTION("GOOGLETRANSLATE(B42308,""en"",""pt"")"),"Sepuka")</f>
        <v>Sepuka</v>
      </c>
      <c r="B8812" s="17" t="s">
        <v>25737</v>
      </c>
      <c r="C8812" s="17" t="s">
        <v>25560</v>
      </c>
      <c r="D8812" s="17" t="s">
        <v>25602</v>
      </c>
      <c r="E8812" s="10">
        <v>150099</v>
      </c>
      <c r="F8812" s="4" t="str">
        <f>IF(B8812=B8811,"",B8812)</f>
        <v/>
      </c>
    </row>
    <row r="8813" spans="1:6" ht="15.75" customHeight="1">
      <c r="A8813" s="5" t="str">
        <f ca="1">IFERROR(__xludf.DUMMYFUNCTION("GOOGLETRANSLATE(B25582,""en"",""pt"")"),"Setembro-les")</f>
        <v>Setembro-les</v>
      </c>
      <c r="B8813" s="17" t="s">
        <v>31758</v>
      </c>
      <c r="C8813" s="17" t="s">
        <v>3975</v>
      </c>
      <c r="D8813" s="17" t="s">
        <v>3982</v>
      </c>
      <c r="E8813" s="10">
        <v>6144312</v>
      </c>
      <c r="F8813" s="4" t="str">
        <f>IF(B8813=B8812,"",B8813)</f>
        <v>Sept-Îles</v>
      </c>
    </row>
    <row r="8814" spans="1:6" ht="15.75" customHeight="1">
      <c r="A8814" s="5" t="s">
        <v>4199</v>
      </c>
      <c r="B8814" s="6" t="s">
        <v>4200</v>
      </c>
      <c r="C8814" s="5" t="s">
        <v>3975</v>
      </c>
      <c r="D8814" s="5" t="s">
        <v>3982</v>
      </c>
      <c r="E8814" s="2">
        <v>6144312</v>
      </c>
      <c r="F8814" s="4" t="str">
        <f>IF(B8814=B8813,"",B8814)</f>
        <v>Sept-ÃŽles</v>
      </c>
    </row>
    <row r="8815" spans="1:6" ht="15.75" customHeight="1">
      <c r="A8815" s="6" t="s">
        <v>14138</v>
      </c>
      <c r="B8815" s="6" t="s">
        <v>14138</v>
      </c>
      <c r="C8815" s="6" t="s">
        <v>13800</v>
      </c>
      <c r="D8815" s="6" t="s">
        <v>13811</v>
      </c>
      <c r="E8815" s="2">
        <v>1627610</v>
      </c>
      <c r="F8815" s="4" t="str">
        <f>IF(B8815=B8814,"",B8815)</f>
        <v>Sepatan</v>
      </c>
    </row>
    <row r="8816" spans="1:6" ht="15.75" customHeight="1">
      <c r="A8816" s="5" t="str">
        <f ca="1">IFERROR(__xludf.DUMMYFUNCTION("GOOGLETRANSLATE(B31460,""en"",""pt"")"),"Sepatan")</f>
        <v>Sepatan</v>
      </c>
      <c r="B8816" s="17" t="s">
        <v>14138</v>
      </c>
      <c r="C8816" s="17" t="s">
        <v>13800</v>
      </c>
      <c r="D8816" s="17" t="s">
        <v>13811</v>
      </c>
      <c r="E8816" s="10">
        <v>1627610</v>
      </c>
      <c r="F8816" s="4" t="str">
        <f>IF(B8816=B8815,"",B8816)</f>
        <v/>
      </c>
    </row>
    <row r="8817" spans="1:6" ht="15.75" customHeight="1">
      <c r="A8817" s="6" t="s">
        <v>17563</v>
      </c>
      <c r="B8817" s="6" t="s">
        <v>17563</v>
      </c>
      <c r="C8817" s="6" t="s">
        <v>17432</v>
      </c>
      <c r="D8817" s="6" t="s">
        <v>17446</v>
      </c>
      <c r="E8817" s="2">
        <v>1734821</v>
      </c>
      <c r="F8817" s="4" t="str">
        <f>IF(B8817=B8816,"",B8817)</f>
        <v>Sepang</v>
      </c>
    </row>
    <row r="8818" spans="1:6" ht="15.75" customHeight="1">
      <c r="A8818" s="5" t="str">
        <f ca="1">IFERROR(__xludf.DUMMYFUNCTION("GOOGLETRANSLATE(B37466,""en"",""pt"")"),"Sepang")</f>
        <v>Sepang</v>
      </c>
      <c r="B8818" s="17" t="s">
        <v>17563</v>
      </c>
      <c r="C8818" s="17" t="s">
        <v>17432</v>
      </c>
      <c r="D8818" s="17" t="s">
        <v>17446</v>
      </c>
      <c r="E8818" s="10">
        <v>1734821</v>
      </c>
      <c r="F8818" s="4" t="str">
        <f>IF(B8818=B8817,"",B8818)</f>
        <v/>
      </c>
    </row>
    <row r="8819" spans="1:6" ht="15.75" customHeight="1">
      <c r="A8819" s="6" t="s">
        <v>24140</v>
      </c>
      <c r="B8819" s="6" t="s">
        <v>24141</v>
      </c>
      <c r="C8819" s="6" t="s">
        <v>24024</v>
      </c>
      <c r="D8819" s="6" t="s">
        <v>24141</v>
      </c>
      <c r="E8819" s="2">
        <v>1835848</v>
      </c>
      <c r="F8819" s="4" t="str">
        <f>IF(B8819=B8818,"",B8819)</f>
        <v>Seoul</v>
      </c>
    </row>
    <row r="8820" spans="1:6" ht="15.75" customHeight="1">
      <c r="A8820" s="5" t="str">
        <f ca="1">IFERROR(__xludf.DUMMYFUNCTION("GOOGLETRANSLATE(B36072,""en"",""pt"")"),"Seul")</f>
        <v>Seul</v>
      </c>
      <c r="B8820" s="17" t="s">
        <v>24141</v>
      </c>
      <c r="C8820" s="17" t="s">
        <v>24024</v>
      </c>
      <c r="D8820" s="17" t="s">
        <v>24141</v>
      </c>
      <c r="E8820" s="10">
        <v>1835848</v>
      </c>
      <c r="F8820" s="4" t="str">
        <f>IF(B8820=B8819,"",B8820)</f>
        <v/>
      </c>
    </row>
    <row r="8821" spans="1:6" ht="15.75" customHeight="1">
      <c r="A8821" s="5" t="str">
        <f ca="1">IFERROR(__xludf.DUMMYFUNCTION("GOOGLETRANSLATE(B32207,""en"",""pt"")"),"Seoni Mālwa")</f>
        <v>Seoni Mālwa</v>
      </c>
      <c r="B8821" s="17" t="s">
        <v>33100</v>
      </c>
      <c r="C8821" s="17" t="s">
        <v>10178</v>
      </c>
      <c r="D8821" s="17" t="s">
        <v>10219</v>
      </c>
      <c r="E8821" s="10">
        <v>1256823</v>
      </c>
      <c r="F8821" s="4" t="str">
        <f>IF(B8821=B8820,"",B8821)</f>
        <v>Seoni Mālwa</v>
      </c>
    </row>
    <row r="8822" spans="1:6" ht="15.75" customHeight="1">
      <c r="A8822" s="5" t="s">
        <v>13275</v>
      </c>
      <c r="B8822" s="6" t="s">
        <v>13276</v>
      </c>
      <c r="C8822" s="5" t="s">
        <v>10178</v>
      </c>
      <c r="D8822" s="5" t="s">
        <v>10219</v>
      </c>
      <c r="E8822" s="2">
        <v>1256823</v>
      </c>
      <c r="F8822" s="4" t="str">
        <f>IF(B8822=B8821,"",B8822)</f>
        <v>Seoni MÄlwa</v>
      </c>
    </row>
    <row r="8823" spans="1:6" ht="15.75" customHeight="1">
      <c r="A8823" s="6" t="s">
        <v>13274</v>
      </c>
      <c r="B8823" s="6" t="s">
        <v>13274</v>
      </c>
      <c r="C8823" s="6" t="s">
        <v>10178</v>
      </c>
      <c r="D8823" s="6" t="s">
        <v>10219</v>
      </c>
      <c r="E8823" s="2">
        <v>1256826</v>
      </c>
      <c r="F8823" s="4" t="str">
        <f>IF(B8823=B8822,"",B8823)</f>
        <v>Seoni</v>
      </c>
    </row>
    <row r="8824" spans="1:6" ht="15.75" customHeight="1">
      <c r="A8824" s="5" t="str">
        <f ca="1">IFERROR(__xludf.DUMMYFUNCTION("GOOGLETRANSLATE(B32208,""en"",""pt"")"),"Seoni")</f>
        <v>Seoni</v>
      </c>
      <c r="B8824" s="17" t="s">
        <v>13274</v>
      </c>
      <c r="C8824" s="17" t="s">
        <v>10178</v>
      </c>
      <c r="D8824" s="17" t="s">
        <v>10219</v>
      </c>
      <c r="E8824" s="10">
        <v>1256826</v>
      </c>
      <c r="F8824" s="4" t="str">
        <f>IF(B8824=B8823,"",B8824)</f>
        <v/>
      </c>
    </row>
    <row r="8825" spans="1:6" ht="15.75" customHeight="1">
      <c r="A8825" s="5" t="s">
        <v>24138</v>
      </c>
      <c r="B8825" s="6" t="s">
        <v>24139</v>
      </c>
      <c r="C8825" s="5" t="s">
        <v>24024</v>
      </c>
      <c r="D8825" s="5" t="s">
        <v>24028</v>
      </c>
      <c r="E8825" s="2">
        <v>1897000</v>
      </c>
      <c r="F8825" s="4" t="str">
        <f>IF(B8825=B8824,"",B8825)</f>
        <v>Seongnam-si</v>
      </c>
    </row>
    <row r="8826" spans="1:6" ht="15.75" customHeight="1">
      <c r="A8826" s="5" t="str">
        <f ca="1">IFERROR(__xludf.DUMMYFUNCTION("GOOGLETRANSLATE(B36153,""en"",""pt"")"),"Seongnam-Si")</f>
        <v>Seongnam-Si</v>
      </c>
      <c r="B8826" s="17" t="s">
        <v>24139</v>
      </c>
      <c r="C8826" s="17" t="s">
        <v>24024</v>
      </c>
      <c r="D8826" s="17" t="s">
        <v>24028</v>
      </c>
      <c r="E8826" s="10">
        <v>1897000</v>
      </c>
      <c r="F8826" s="4" t="str">
        <f>IF(B8826=B8825,"",B8826)</f>
        <v/>
      </c>
    </row>
    <row r="8827" spans="1:6" ht="15.75" customHeight="1">
      <c r="A8827" s="5" t="s">
        <v>24137</v>
      </c>
      <c r="B8827" s="6" t="s">
        <v>24137</v>
      </c>
      <c r="C8827" s="5" t="s">
        <v>24024</v>
      </c>
      <c r="D8827" s="5" t="s">
        <v>24033</v>
      </c>
      <c r="E8827" s="2">
        <v>1836208</v>
      </c>
      <c r="F8827" s="4" t="str">
        <f>IF(B8827=B8826,"",B8827)</f>
        <v>Seonghwan</v>
      </c>
    </row>
    <row r="8828" spans="1:6" ht="15.75" customHeight="1">
      <c r="A8828" s="5" t="str">
        <f ca="1">IFERROR(__xludf.DUMMYFUNCTION("GOOGLETRANSLATE(B36075,""en"",""pt"")"),"Seonghwan")</f>
        <v>Seonghwan</v>
      </c>
      <c r="B8828" s="17" t="s">
        <v>24137</v>
      </c>
      <c r="C8828" s="17" t="s">
        <v>24024</v>
      </c>
      <c r="D8828" s="17" t="s">
        <v>24033</v>
      </c>
      <c r="E8828" s="10">
        <v>1836208</v>
      </c>
      <c r="F8828" s="4" t="str">
        <f>IF(B8828=B8827,"",B8828)</f>
        <v/>
      </c>
    </row>
    <row r="8829" spans="1:6" ht="15.75" customHeight="1">
      <c r="A8829" s="6" t="s">
        <v>13273</v>
      </c>
      <c r="B8829" s="6" t="s">
        <v>13273</v>
      </c>
      <c r="C8829" s="6" t="s">
        <v>10178</v>
      </c>
      <c r="D8829" s="6" t="s">
        <v>10219</v>
      </c>
      <c r="E8829" s="2">
        <v>1256828</v>
      </c>
      <c r="F8829" s="4" t="str">
        <f>IF(B8829=B8828,"",B8829)</f>
        <v>Seondha</v>
      </c>
    </row>
    <row r="8830" spans="1:6" ht="15.75" customHeight="1">
      <c r="A8830" s="5" t="str">
        <f ca="1">IFERROR(__xludf.DUMMYFUNCTION("GOOGLETRANSLATE(B32209,""en"",""pt"")"),"Seondha")</f>
        <v>Seondha</v>
      </c>
      <c r="B8830" s="17" t="s">
        <v>13273</v>
      </c>
      <c r="C8830" s="17" t="s">
        <v>10178</v>
      </c>
      <c r="D8830" s="17" t="s">
        <v>10219</v>
      </c>
      <c r="E8830" s="10">
        <v>1256828</v>
      </c>
      <c r="F8830" s="4" t="str">
        <f>IF(B8830=B8829,"",B8830)</f>
        <v/>
      </c>
    </row>
    <row r="8831" spans="1:6" ht="15.75" customHeight="1">
      <c r="A8831" s="5" t="str">
        <f ca="1">IFERROR(__xludf.DUMMYFUNCTION("GOOGLETRANSLATE(B32210,""en"",""pt"")"),"Seohāra")</f>
        <v>Seohāra</v>
      </c>
      <c r="B8831" s="17" t="s">
        <v>33101</v>
      </c>
      <c r="C8831" s="17" t="s">
        <v>10178</v>
      </c>
      <c r="D8831" s="17" t="s">
        <v>10193</v>
      </c>
      <c r="E8831" s="10">
        <v>1256832</v>
      </c>
      <c r="F8831" s="4" t="str">
        <f>IF(B8831=B8830,"",B8831)</f>
        <v>Seohāra</v>
      </c>
    </row>
    <row r="8832" spans="1:6" ht="15.75" customHeight="1">
      <c r="A8832" s="6" t="s">
        <v>13271</v>
      </c>
      <c r="B8832" s="6" t="s">
        <v>13272</v>
      </c>
      <c r="C8832" s="6" t="s">
        <v>10178</v>
      </c>
      <c r="D8832" s="6" t="s">
        <v>10193</v>
      </c>
      <c r="E8832" s="2">
        <v>1256832</v>
      </c>
      <c r="F8832" s="4" t="str">
        <f>IF(B8832=B8831,"",B8832)</f>
        <v>SeohÄra</v>
      </c>
    </row>
    <row r="8833" spans="1:6" ht="15.75" customHeight="1">
      <c r="A8833" s="6" t="s">
        <v>24136</v>
      </c>
      <c r="B8833" s="6" t="s">
        <v>24136</v>
      </c>
      <c r="C8833" s="6" t="s">
        <v>24024</v>
      </c>
      <c r="D8833" s="6" t="s">
        <v>24062</v>
      </c>
      <c r="E8833" s="2">
        <v>6621166</v>
      </c>
      <c r="F8833" s="4" t="str">
        <f>IF(B8833=B8832,"",B8833)</f>
        <v>Seogwipo</v>
      </c>
    </row>
    <row r="8834" spans="1:6" ht="15.75" customHeight="1">
      <c r="A8834" s="5" t="str">
        <f ca="1">IFERROR(__xludf.DUMMYFUNCTION("GOOGLETRANSLATE(B36163,""en"",""pt"")"),"Seogwipo")</f>
        <v>Seogwipo</v>
      </c>
      <c r="B8834" s="17" t="s">
        <v>24136</v>
      </c>
      <c r="C8834" s="17" t="s">
        <v>24024</v>
      </c>
      <c r="D8834" s="17" t="s">
        <v>24062</v>
      </c>
      <c r="E8834" s="10">
        <v>6621166</v>
      </c>
      <c r="F8834" s="4" t="str">
        <f>IF(B8834=B8833,"",B8834)</f>
        <v/>
      </c>
    </row>
    <row r="8835" spans="1:6" ht="15.75" customHeight="1">
      <c r="A8835" s="6" t="s">
        <v>23650</v>
      </c>
      <c r="B8835" s="6" t="s">
        <v>23650</v>
      </c>
      <c r="C8835" s="6" t="s">
        <v>23602</v>
      </c>
      <c r="D8835" s="6" t="s">
        <v>23610</v>
      </c>
      <c r="E8835" s="2">
        <v>785965</v>
      </c>
      <c r="F8835" s="4" t="str">
        <f>IF(B8835=B8834,"",B8835)</f>
        <v>Senta</v>
      </c>
    </row>
    <row r="8836" spans="1:6" ht="15.75" customHeight="1">
      <c r="A8836" s="5" t="str">
        <f ca="1">IFERROR(__xludf.DUMMYFUNCTION("GOOGLETRANSLATE(B39867,""en"",""pt"")"),"Senta")</f>
        <v>Senta</v>
      </c>
      <c r="B8836" s="17" t="s">
        <v>23650</v>
      </c>
      <c r="C8836" s="17" t="s">
        <v>23602</v>
      </c>
      <c r="D8836" s="17" t="s">
        <v>23610</v>
      </c>
      <c r="E8836" s="10">
        <v>785965</v>
      </c>
      <c r="F8836" s="4" t="str">
        <f>IF(B8836=B8835,"",B8836)</f>
        <v/>
      </c>
    </row>
    <row r="8837" spans="1:6" ht="15.75" customHeight="1">
      <c r="A8837" s="5" t="s">
        <v>6758</v>
      </c>
      <c r="B8837" s="6" t="s">
        <v>6759</v>
      </c>
      <c r="C8837" s="5" t="s">
        <v>6727</v>
      </c>
      <c r="D8837" s="5" t="s">
        <v>6760</v>
      </c>
      <c r="E8837" s="2">
        <v>3583158</v>
      </c>
      <c r="F8837" s="4" t="str">
        <f>IF(B8837=B8836,"",B8837)</f>
        <v>Sensuntepeque</v>
      </c>
    </row>
    <row r="8838" spans="1:6" ht="15.75" customHeight="1">
      <c r="A8838" s="5" t="str">
        <f ca="1">IFERROR(__xludf.DUMMYFUNCTION("GOOGLETRANSLATE(B41360,""en"",""pt"")"),"Sensepepeque")</f>
        <v>Sensepepeque</v>
      </c>
      <c r="B8838" s="17" t="s">
        <v>6759</v>
      </c>
      <c r="C8838" s="17" t="s">
        <v>6727</v>
      </c>
      <c r="D8838" s="17" t="s">
        <v>35715</v>
      </c>
      <c r="E8838" s="10">
        <v>3583158</v>
      </c>
      <c r="F8838" s="4" t="str">
        <f>IF(B8838=B8837,"",B8838)</f>
        <v/>
      </c>
    </row>
    <row r="8839" spans="1:6" ht="15.75" customHeight="1">
      <c r="A8839" s="6" t="s">
        <v>7821</v>
      </c>
      <c r="B8839" s="6" t="s">
        <v>7821</v>
      </c>
      <c r="C8839" s="6" t="s">
        <v>7052</v>
      </c>
      <c r="D8839" s="6" t="s">
        <v>7128</v>
      </c>
      <c r="E8839" s="2">
        <v>2975050</v>
      </c>
      <c r="F8839" s="4" t="str">
        <f>IF(B8839=B8838,"",B8839)</f>
        <v>Sens</v>
      </c>
    </row>
    <row r="8840" spans="1:6" ht="15.75" customHeight="1">
      <c r="A8840" s="5" t="str">
        <f ca="1">IFERROR(__xludf.DUMMYFUNCTION("GOOGLETRANSLATE(B29756,""en"",""pt"")"),"Sens")</f>
        <v>Sens</v>
      </c>
      <c r="B8840" s="17" t="s">
        <v>7821</v>
      </c>
      <c r="C8840" s="17" t="s">
        <v>7052</v>
      </c>
      <c r="D8840" s="17" t="s">
        <v>32540</v>
      </c>
      <c r="E8840" s="10">
        <v>2975050</v>
      </c>
      <c r="F8840" s="4" t="str">
        <f>IF(B8840=B8839,"",B8840)</f>
        <v/>
      </c>
    </row>
    <row r="8841" spans="1:6" ht="15.75" customHeight="1">
      <c r="A8841" s="6" t="s">
        <v>7820</v>
      </c>
      <c r="B8841" s="6" t="s">
        <v>7820</v>
      </c>
      <c r="C8841" s="6" t="s">
        <v>7052</v>
      </c>
      <c r="D8841" s="6" t="s">
        <v>7078</v>
      </c>
      <c r="E8841" s="2">
        <v>2975088</v>
      </c>
      <c r="F8841" s="4" t="str">
        <f>IF(B8841=B8840,"",B8841)</f>
        <v>Senlis</v>
      </c>
    </row>
    <row r="8842" spans="1:6" ht="15.75" customHeight="1">
      <c r="A8842" s="5" t="str">
        <f ca="1">IFERROR(__xludf.DUMMYFUNCTION("GOOGLETRANSLATE(B29757,""en"",""pt"")"),"Senlis")</f>
        <v>Senlis</v>
      </c>
      <c r="B8842" s="17" t="s">
        <v>7820</v>
      </c>
      <c r="C8842" s="17" t="s">
        <v>7052</v>
      </c>
      <c r="D8842" s="17" t="s">
        <v>7078</v>
      </c>
      <c r="E8842" s="10">
        <v>2975088</v>
      </c>
      <c r="F8842" s="4" t="str">
        <f>IF(B8842=B8841,"",B8842)</f>
        <v/>
      </c>
    </row>
    <row r="8843" spans="1:6" ht="15.75" customHeight="1">
      <c r="A8843" s="6" t="s">
        <v>26691</v>
      </c>
      <c r="B8843" s="6" t="s">
        <v>26691</v>
      </c>
      <c r="C8843" s="6" t="s">
        <v>26201</v>
      </c>
      <c r="D8843" s="6" t="s">
        <v>26348</v>
      </c>
      <c r="E8843" s="2">
        <v>301172</v>
      </c>
      <c r="F8843" s="4" t="str">
        <f>IF(B8843=B8842,"",B8843)</f>
        <v>Senirkent</v>
      </c>
    </row>
    <row r="8844" spans="1:6" ht="15.75" customHeight="1">
      <c r="A8844" s="5" t="str">
        <f ca="1">IFERROR(__xludf.DUMMYFUNCTION("GOOGLETRANSLATE(B41907,""en"",""pt"")"),"Senirkent")</f>
        <v>Senirkent</v>
      </c>
      <c r="B8844" s="17" t="s">
        <v>26691</v>
      </c>
      <c r="C8844" s="17" t="s">
        <v>26201</v>
      </c>
      <c r="D8844" s="17" t="s">
        <v>26348</v>
      </c>
      <c r="E8844" s="10">
        <v>301172</v>
      </c>
      <c r="F8844" s="4" t="str">
        <f>IF(B8844=B8843,"",B8844)</f>
        <v/>
      </c>
    </row>
    <row r="8845" spans="1:6" ht="15.75" customHeight="1">
      <c r="A8845" s="6" t="s">
        <v>15492</v>
      </c>
      <c r="B8845" s="6" t="s">
        <v>15492</v>
      </c>
      <c r="C8845" s="6" t="s">
        <v>14891</v>
      </c>
      <c r="D8845" s="6" t="s">
        <v>14931</v>
      </c>
      <c r="E8845" s="2">
        <v>3166740</v>
      </c>
      <c r="F8845" s="4" t="str">
        <f>IF(B8845=B8844,"",B8845)</f>
        <v>Senigallia</v>
      </c>
    </row>
    <row r="8846" spans="1:6" ht="15.75" customHeight="1">
      <c r="A8846" s="5" t="str">
        <f ca="1">IFERROR(__xludf.DUMMYFUNCTION("GOOGLETRANSLATE(B34689,""en"",""pt"")"),"Senigallia")</f>
        <v>Senigallia</v>
      </c>
      <c r="B8846" s="17" t="s">
        <v>15492</v>
      </c>
      <c r="C8846" s="17" t="s">
        <v>14891</v>
      </c>
      <c r="D8846" s="17" t="s">
        <v>14931</v>
      </c>
      <c r="E8846" s="10">
        <v>3166740</v>
      </c>
      <c r="F8846" s="4" t="str">
        <f>IF(B8846=B8845,"",B8846)</f>
        <v/>
      </c>
    </row>
    <row r="8847" spans="1:6" ht="15.75" customHeight="1">
      <c r="A8847" s="6" t="s">
        <v>23767</v>
      </c>
      <c r="B8847" s="6" t="s">
        <v>23767</v>
      </c>
      <c r="C8847" s="6" t="s">
        <v>23694</v>
      </c>
      <c r="D8847" s="6" t="s">
        <v>23718</v>
      </c>
      <c r="E8847" s="2">
        <v>3057691</v>
      </c>
      <c r="F8847" s="4" t="str">
        <f>IF(B8847=B8846,"",B8847)</f>
        <v>Senica</v>
      </c>
    </row>
    <row r="8848" spans="1:6" ht="15.75" customHeight="1">
      <c r="A8848" s="5" t="str">
        <f ca="1">IFERROR(__xludf.DUMMYFUNCTION("GOOGLETRANSLATE(B41242,""en"",""pt"")"),"Senica")</f>
        <v>Senica</v>
      </c>
      <c r="B8848" s="17" t="s">
        <v>23767</v>
      </c>
      <c r="C8848" s="17" t="s">
        <v>23694</v>
      </c>
      <c r="D8848" s="17" t="s">
        <v>35680</v>
      </c>
      <c r="E8848" s="10">
        <v>3057691</v>
      </c>
      <c r="F8848" s="4" t="str">
        <f>IF(B8848=B8847,"",B8848)</f>
        <v/>
      </c>
    </row>
    <row r="8849" spans="1:6" ht="15.75" customHeight="1">
      <c r="A8849" s="5" t="s">
        <v>21734</v>
      </c>
      <c r="B8849" s="6" t="s">
        <v>21734</v>
      </c>
      <c r="C8849" s="5" t="s">
        <v>21606</v>
      </c>
      <c r="D8849" s="5" t="s">
        <v>21609</v>
      </c>
      <c r="E8849" s="2">
        <v>2734140</v>
      </c>
      <c r="F8849" s="4" t="str">
        <f>IF(B8849=B8848,"",B8849)</f>
        <v>Senhora da Hora</v>
      </c>
    </row>
    <row r="8850" spans="1:6" ht="15.75" customHeight="1">
      <c r="A8850" s="5" t="str">
        <f ca="1">IFERROR(__xludf.DUMMYFUNCTION("GOOGLETRANSLATE(B39639,""en"",""pt"")"),"Senhora da Hora")</f>
        <v>Senhora da Hora</v>
      </c>
      <c r="B8850" s="17" t="s">
        <v>21734</v>
      </c>
      <c r="C8850" s="17" t="s">
        <v>21606</v>
      </c>
      <c r="D8850" s="17" t="s">
        <v>21609</v>
      </c>
      <c r="E8850" s="10">
        <v>2734140</v>
      </c>
      <c r="F8850" s="4" t="str">
        <f>IF(B8850=B8849,"",B8850)</f>
        <v/>
      </c>
    </row>
    <row r="8851" spans="1:6" ht="15.75" customHeight="1">
      <c r="A8851" s="5" t="s">
        <v>3468</v>
      </c>
      <c r="B8851" s="6" t="s">
        <v>3468</v>
      </c>
      <c r="C8851" s="5" t="s">
        <v>1905</v>
      </c>
      <c r="D8851" s="5" t="s">
        <v>1947</v>
      </c>
      <c r="E8851" s="2">
        <v>3447839</v>
      </c>
      <c r="F8851" s="4" t="str">
        <f>IF(B8851=B8850,"",B8851)</f>
        <v>Senhor do Bonfim</v>
      </c>
    </row>
    <row r="8852" spans="1:6" ht="15.75" customHeight="1">
      <c r="A8852" s="5" t="str">
        <f ca="1">IFERROR(__xludf.DUMMYFUNCTION("GOOGLETRANSLATE(B24527,""en"",""pt"")"),"Senhor do Bonfim")</f>
        <v>Senhor do Bonfim</v>
      </c>
      <c r="B8852" s="17" t="s">
        <v>3468</v>
      </c>
      <c r="C8852" s="17" t="s">
        <v>1905</v>
      </c>
      <c r="D8852" s="17" t="s">
        <v>1947</v>
      </c>
      <c r="E8852" s="10">
        <v>3447839</v>
      </c>
      <c r="F8852" s="4" t="str">
        <f>IF(B8852=B8851,"",B8852)</f>
        <v/>
      </c>
    </row>
    <row r="8853" spans="1:6" ht="15.75" customHeight="1">
      <c r="A8853" s="6" t="s">
        <v>14137</v>
      </c>
      <c r="B8853" s="6" t="s">
        <v>14137</v>
      </c>
      <c r="C8853" s="6" t="s">
        <v>13800</v>
      </c>
      <c r="D8853" s="6" t="s">
        <v>13918</v>
      </c>
      <c r="E8853" s="2">
        <v>1626921</v>
      </c>
      <c r="F8853" s="4" t="str">
        <f>IF(B8853=B8852,"",B8853)</f>
        <v>Sengkang</v>
      </c>
    </row>
    <row r="8854" spans="1:6" ht="15.75" customHeight="1">
      <c r="A8854" s="5" t="str">
        <f ca="1">IFERROR(__xludf.DUMMYFUNCTION("GOOGLETRANSLATE(B31450,""en"",""pt"")"),"Sengkang")</f>
        <v>Sengkang</v>
      </c>
      <c r="B8854" s="17" t="s">
        <v>14137</v>
      </c>
      <c r="C8854" s="17" t="s">
        <v>13800</v>
      </c>
      <c r="D8854" s="17" t="s">
        <v>13918</v>
      </c>
      <c r="E8854" s="10">
        <v>1626921</v>
      </c>
      <c r="F8854" s="4" t="str">
        <f>IF(B8854=B8853,"",B8854)</f>
        <v/>
      </c>
    </row>
    <row r="8855" spans="1:6" ht="15.75" customHeight="1">
      <c r="A8855" s="5" t="s">
        <v>9133</v>
      </c>
      <c r="B8855" s="6" t="s">
        <v>9133</v>
      </c>
      <c r="C8855" s="5" t="s">
        <v>8028</v>
      </c>
      <c r="D8855" s="5" t="s">
        <v>8070</v>
      </c>
      <c r="E8855" s="2">
        <v>2833073</v>
      </c>
      <c r="F8855" s="4" t="str">
        <f>IF(B8855=B8854,"",B8855)</f>
        <v>Senftenberg</v>
      </c>
    </row>
    <row r="8856" spans="1:6" ht="15.75" customHeight="1">
      <c r="A8856" s="5" t="str">
        <f ca="1">IFERROR(__xludf.DUMMYFUNCTION("GOOGLETRANSLATE(B27530,""en"",""pt"")"),"Senftenberg")</f>
        <v>Senftenberg</v>
      </c>
      <c r="B8856" s="17" t="s">
        <v>9133</v>
      </c>
      <c r="C8856" s="17" t="s">
        <v>8028</v>
      </c>
      <c r="D8856" s="17" t="s">
        <v>8070</v>
      </c>
      <c r="E8856" s="10">
        <v>2833073</v>
      </c>
      <c r="F8856" s="4" t="str">
        <f>IF(B8856=B8855,"",B8856)</f>
        <v/>
      </c>
    </row>
    <row r="8857" spans="1:6" ht="15.75" customHeight="1">
      <c r="A8857" s="6" t="s">
        <v>23978</v>
      </c>
      <c r="B8857" s="6" t="s">
        <v>23978</v>
      </c>
      <c r="C8857" s="6" t="s">
        <v>23842</v>
      </c>
      <c r="D8857" s="6" t="s">
        <v>23845</v>
      </c>
      <c r="E8857" s="2">
        <v>956507</v>
      </c>
      <c r="F8857" s="4" t="str">
        <f>IF(B8857=B8856,"",B8857)</f>
        <v>Senekal</v>
      </c>
    </row>
    <row r="8858" spans="1:6" ht="15.75" customHeight="1">
      <c r="A8858" s="5" t="str">
        <f ca="1">IFERROR(__xludf.DUMMYFUNCTION("GOOGLETRANSLATE(B45877,""en"",""pt"")"),"Senekal")</f>
        <v>Senekal</v>
      </c>
      <c r="B8858" s="17" t="s">
        <v>23978</v>
      </c>
      <c r="C8858" s="17" t="s">
        <v>23842</v>
      </c>
      <c r="D8858" s="17" t="s">
        <v>23845</v>
      </c>
      <c r="E8858" s="10">
        <v>956507</v>
      </c>
      <c r="F8858" s="4" t="str">
        <f>IF(B8858=B8857,"",B8858)</f>
        <v/>
      </c>
    </row>
    <row r="8859" spans="1:6" ht="15.75" customHeight="1">
      <c r="A8859" s="6" t="s">
        <v>13270</v>
      </c>
      <c r="B8859" s="6" t="s">
        <v>13270</v>
      </c>
      <c r="C8859" s="6" t="s">
        <v>10178</v>
      </c>
      <c r="D8859" s="6" t="s">
        <v>10219</v>
      </c>
      <c r="E8859" s="2">
        <v>1256854</v>
      </c>
      <c r="F8859" s="4" t="str">
        <f>IF(B8859=B8858,"",B8859)</f>
        <v>Sendhwa</v>
      </c>
    </row>
    <row r="8860" spans="1:6" ht="15.75" customHeight="1">
      <c r="A8860" s="5" t="str">
        <f ca="1">IFERROR(__xludf.DUMMYFUNCTION("GOOGLETRANSLATE(B32211,""en"",""pt"")"),"Sendhwa")</f>
        <v>Sendhwa</v>
      </c>
      <c r="B8860" s="17" t="s">
        <v>13270</v>
      </c>
      <c r="C8860" s="17" t="s">
        <v>10178</v>
      </c>
      <c r="D8860" s="17" t="s">
        <v>10219</v>
      </c>
      <c r="E8860" s="10">
        <v>1256854</v>
      </c>
      <c r="F8860" s="4" t="str">
        <f>IF(B8860=B8859,"",B8860)</f>
        <v/>
      </c>
    </row>
    <row r="8861" spans="1:6" ht="15.75" customHeight="1">
      <c r="A8861" s="6" t="s">
        <v>9132</v>
      </c>
      <c r="B8861" s="6" t="s">
        <v>9132</v>
      </c>
      <c r="C8861" s="6" t="s">
        <v>8028</v>
      </c>
      <c r="D8861" s="6" t="s">
        <v>8029</v>
      </c>
      <c r="E8861" s="2">
        <v>2833079</v>
      </c>
      <c r="F8861" s="4" t="str">
        <f>IF(B8861=B8860,"",B8861)</f>
        <v>Senden</v>
      </c>
    </row>
    <row r="8862" spans="1:6" ht="15.75" customHeight="1">
      <c r="A8862" s="6" t="s">
        <v>9132</v>
      </c>
      <c r="B8862" s="6" t="s">
        <v>9132</v>
      </c>
      <c r="C8862" s="6" t="s">
        <v>8028</v>
      </c>
      <c r="D8862" s="6" t="s">
        <v>8044</v>
      </c>
      <c r="E8862" s="2">
        <v>2833080</v>
      </c>
      <c r="F8862" s="4" t="str">
        <f>IF(B8862=B8861,"",B8862)</f>
        <v/>
      </c>
    </row>
    <row r="8863" spans="1:6" ht="15.75" customHeight="1">
      <c r="A8863" s="5" t="str">
        <f ca="1">IFERROR(__xludf.DUMMYFUNCTION("GOOGLETRANSLATE(B27531,""en"",""pt"")"),"Senden")</f>
        <v>Senden</v>
      </c>
      <c r="B8863" s="17" t="s">
        <v>9132</v>
      </c>
      <c r="C8863" s="17" t="s">
        <v>8028</v>
      </c>
      <c r="D8863" s="17" t="s">
        <v>8029</v>
      </c>
      <c r="E8863" s="10">
        <v>2833079</v>
      </c>
      <c r="F8863" s="4" t="str">
        <f>IF(B8863=B8862,"",B8863)</f>
        <v/>
      </c>
    </row>
    <row r="8864" spans="1:6" ht="15.75" customHeight="1">
      <c r="A8864" s="5" t="str">
        <f ca="1">IFERROR(__xludf.DUMMYFUNCTION("GOOGLETRANSLATE(B27532,""en"",""pt"")"),"Senden")</f>
        <v>Senden</v>
      </c>
      <c r="B8864" s="17" t="s">
        <v>9132</v>
      </c>
      <c r="C8864" s="17" t="s">
        <v>8028</v>
      </c>
      <c r="D8864" s="17" t="s">
        <v>8044</v>
      </c>
      <c r="E8864" s="10">
        <v>2833080</v>
      </c>
      <c r="F8864" s="4" t="str">
        <f>IF(B8864=B8863,"",B8864)</f>
        <v/>
      </c>
    </row>
    <row r="8865" spans="1:6" ht="15.75" customHeight="1">
      <c r="A8865" s="6" t="s">
        <v>16394</v>
      </c>
      <c r="B8865" s="6" t="s">
        <v>16394</v>
      </c>
      <c r="C8865" s="6" t="s">
        <v>15704</v>
      </c>
      <c r="D8865" s="6" t="s">
        <v>15764</v>
      </c>
      <c r="E8865" s="2">
        <v>2111149</v>
      </c>
      <c r="F8865" s="4" t="str">
        <f>IF(B8865=B8864,"",B8865)</f>
        <v>Sendai</v>
      </c>
    </row>
    <row r="8866" spans="1:6" ht="15.75" customHeight="1">
      <c r="A8866" s="6" t="s">
        <v>16394</v>
      </c>
      <c r="B8866" s="6" t="s">
        <v>16394</v>
      </c>
      <c r="C8866" s="6" t="s">
        <v>15704</v>
      </c>
      <c r="D8866" s="6" t="s">
        <v>15764</v>
      </c>
      <c r="E8866" s="2">
        <v>8555918</v>
      </c>
      <c r="F8866" s="4" t="str">
        <f>IF(B8866=B8865,"",B8866)</f>
        <v/>
      </c>
    </row>
    <row r="8867" spans="1:6" ht="15.75" customHeight="1">
      <c r="A8867" s="5" t="str">
        <f ca="1">IFERROR(__xludf.DUMMYFUNCTION("GOOGLETRANSLATE(B35735,""en"",""pt"")"),"Sendai")</f>
        <v>Sendai</v>
      </c>
      <c r="B8867" s="17" t="s">
        <v>16394</v>
      </c>
      <c r="C8867" s="17" t="s">
        <v>15704</v>
      </c>
      <c r="D8867" s="17" t="s">
        <v>15764</v>
      </c>
      <c r="E8867" s="10">
        <v>2111149</v>
      </c>
      <c r="F8867" s="4" t="str">
        <f>IF(B8867=B8866,"",B8867)</f>
        <v/>
      </c>
    </row>
    <row r="8868" spans="1:6" ht="15.75" customHeight="1">
      <c r="A8868" s="5" t="str">
        <f ca="1">IFERROR(__xludf.DUMMYFUNCTION("GOOGLETRANSLATE(B35883,""en"",""pt"")"),"Sendai")</f>
        <v>Sendai</v>
      </c>
      <c r="B8868" s="17" t="s">
        <v>16394</v>
      </c>
      <c r="C8868" s="17" t="s">
        <v>15704</v>
      </c>
      <c r="D8868" s="17" t="s">
        <v>15764</v>
      </c>
      <c r="E8868" s="10">
        <v>8555918</v>
      </c>
      <c r="F8868" s="4" t="str">
        <f>IF(B8868=B8867,"",B8868)</f>
        <v/>
      </c>
    </row>
    <row r="8869" spans="1:6" ht="15.75" customHeight="1">
      <c r="A8869" s="6" t="s">
        <v>8011</v>
      </c>
      <c r="B8869" s="6" t="s">
        <v>8012</v>
      </c>
      <c r="C8869" s="6" t="s">
        <v>7988</v>
      </c>
      <c r="D8869" s="6" t="s">
        <v>8007</v>
      </c>
      <c r="E8869" s="2">
        <v>612053</v>
      </c>
      <c r="F8869" s="4" t="str">
        <f>IF(B8869=B8868,"",B8869)</f>
        <v>Senakâ€™i</v>
      </c>
    </row>
    <row r="8870" spans="1:6" ht="15.75" customHeight="1">
      <c r="A8870" s="5" t="str">
        <f ca="1">IFERROR(__xludf.DUMMYFUNCTION("GOOGLETRANSLATE(B30835,""en"",""pt"")"),"Senak'i")</f>
        <v>Senak'i</v>
      </c>
      <c r="B8870" s="17" t="s">
        <v>32658</v>
      </c>
      <c r="C8870" s="17" t="s">
        <v>7988</v>
      </c>
      <c r="D8870" s="17" t="s">
        <v>8007</v>
      </c>
      <c r="E8870" s="10">
        <v>612053</v>
      </c>
      <c r="F8870" s="4" t="str">
        <f>IF(B8870=B8869,"",B8870)</f>
        <v>Senak’i</v>
      </c>
    </row>
    <row r="8871" spans="1:6" ht="15.75" customHeight="1">
      <c r="A8871" s="6" t="s">
        <v>15491</v>
      </c>
      <c r="B8871" s="6" t="s">
        <v>15491</v>
      </c>
      <c r="C8871" s="6" t="s">
        <v>14891</v>
      </c>
      <c r="D8871" s="6" t="s">
        <v>14894</v>
      </c>
      <c r="E8871" s="2">
        <v>3166753</v>
      </c>
      <c r="F8871" s="4" t="str">
        <f>IF(B8871=B8870,"",B8871)</f>
        <v>Senago</v>
      </c>
    </row>
    <row r="8872" spans="1:6" ht="15.75" customHeight="1">
      <c r="A8872" s="5" t="str">
        <f ca="1">IFERROR(__xludf.DUMMYFUNCTION("GOOGLETRANSLATE(B34690,""en"",""pt"")"),"Senago")</f>
        <v>Senago</v>
      </c>
      <c r="B8872" s="17" t="s">
        <v>15491</v>
      </c>
      <c r="C8872" s="17" t="s">
        <v>14891</v>
      </c>
      <c r="D8872" s="17" t="s">
        <v>14894</v>
      </c>
      <c r="E8872" s="10">
        <v>3166753</v>
      </c>
      <c r="F8872" s="4" t="str">
        <f>IF(B8872=B8871,"",B8872)</f>
        <v/>
      </c>
    </row>
    <row r="8873" spans="1:6" ht="15.75" customHeight="1">
      <c r="A8873" s="5" t="s">
        <v>3467</v>
      </c>
      <c r="B8873" s="6" t="s">
        <v>3467</v>
      </c>
      <c r="C8873" s="5" t="s">
        <v>1905</v>
      </c>
      <c r="D8873" s="5" t="s">
        <v>1930</v>
      </c>
      <c r="E8873" s="2">
        <v>3387926</v>
      </c>
      <c r="F8873" s="4" t="str">
        <f>IF(B8873=B8872,"",B8873)</f>
        <v>Senador Pompeu</v>
      </c>
    </row>
    <row r="8874" spans="1:6" ht="15.75" customHeight="1">
      <c r="A8874" s="5" t="str">
        <f ca="1">IFERROR(__xludf.DUMMYFUNCTION("GOOGLETRANSLATE(B24180,""en"",""pt"")"),"Senador Pompeu")</f>
        <v>Senador Pompeu</v>
      </c>
      <c r="B8874" s="17" t="s">
        <v>3467</v>
      </c>
      <c r="C8874" s="17" t="s">
        <v>1905</v>
      </c>
      <c r="D8874" s="17" t="s">
        <v>31345</v>
      </c>
      <c r="E8874" s="10">
        <v>3387926</v>
      </c>
      <c r="F8874" s="4" t="str">
        <f>IF(B8874=B8873,"",B8874)</f>
        <v/>
      </c>
    </row>
    <row r="8875" spans="1:6" ht="15.75" customHeight="1">
      <c r="A8875" s="5" t="s">
        <v>3466</v>
      </c>
      <c r="B8875" s="6" t="s">
        <v>3466</v>
      </c>
      <c r="C8875" s="5" t="s">
        <v>1905</v>
      </c>
      <c r="D8875" s="5" t="s">
        <v>1969</v>
      </c>
      <c r="E8875" s="2">
        <v>3447854</v>
      </c>
      <c r="F8875" s="4" t="str">
        <f>IF(B8875=B8874,"",B8875)</f>
        <v>Senador Canedo</v>
      </c>
    </row>
    <row r="8876" spans="1:6" ht="15.75" customHeight="1">
      <c r="A8876" s="5" t="str">
        <f ca="1">IFERROR(__xludf.DUMMYFUNCTION("GOOGLETRANSLATE(B24528,""en"",""pt"")"),"Senador Canedo")</f>
        <v>Senador Canedo</v>
      </c>
      <c r="B8876" s="17" t="s">
        <v>3466</v>
      </c>
      <c r="C8876" s="17" t="s">
        <v>1905</v>
      </c>
      <c r="D8876" s="17" t="s">
        <v>31436</v>
      </c>
      <c r="E8876" s="10">
        <v>3447854</v>
      </c>
      <c r="F8876" s="4" t="str">
        <f>IF(B8876=B8875,"",B8876)</f>
        <v/>
      </c>
    </row>
    <row r="8877" spans="1:6" ht="15.75" customHeight="1">
      <c r="A8877" s="5" t="s">
        <v>3465</v>
      </c>
      <c r="B8877" s="6" t="s">
        <v>3465</v>
      </c>
      <c r="C8877" s="5" t="s">
        <v>1905</v>
      </c>
      <c r="D8877" s="5" t="s">
        <v>2396</v>
      </c>
      <c r="E8877" s="2">
        <v>3662155</v>
      </c>
      <c r="F8877" s="4" t="str">
        <f>IF(B8877=B8876,"",B8877)</f>
        <v>Sena Madureira</v>
      </c>
    </row>
    <row r="8878" spans="1:6" ht="15.75" customHeight="1">
      <c r="A8878" s="5" t="str">
        <f ca="1">IFERROR(__xludf.DUMMYFUNCTION("GOOGLETRANSLATE(B25309,""en"",""pt"")"),"Sena Madureira")</f>
        <v>Sena Madureira</v>
      </c>
      <c r="B8878" s="17" t="s">
        <v>3465</v>
      </c>
      <c r="C8878" s="17" t="s">
        <v>1905</v>
      </c>
      <c r="D8878" s="17" t="s">
        <v>2396</v>
      </c>
      <c r="E8878" s="10">
        <v>3662155</v>
      </c>
      <c r="F8878" s="4" t="str">
        <f>IF(B8878=B8877,"",B8878)</f>
        <v/>
      </c>
    </row>
    <row r="8879" spans="1:6" ht="15.75" customHeight="1">
      <c r="A8879" s="5" t="s">
        <v>17562</v>
      </c>
      <c r="B8879" s="6" t="s">
        <v>17562</v>
      </c>
      <c r="C8879" s="5" t="s">
        <v>17432</v>
      </c>
      <c r="D8879" s="5" t="s">
        <v>17444</v>
      </c>
      <c r="E8879" s="2">
        <v>1733697</v>
      </c>
      <c r="F8879" s="4" t="str">
        <f>IF(B8879=B8878,"",B8879)</f>
        <v>Semporna</v>
      </c>
    </row>
    <row r="8880" spans="1:6" ht="15.75" customHeight="1">
      <c r="A8880" s="5" t="str">
        <f ca="1">IFERROR(__xludf.DUMMYFUNCTION("GOOGLETRANSLATE(B37437,""en"",""pt"")"),"Semporna")</f>
        <v>Semporna</v>
      </c>
      <c r="B8880" s="17" t="s">
        <v>17562</v>
      </c>
      <c r="C8880" s="17" t="s">
        <v>17432</v>
      </c>
      <c r="D8880" s="17" t="s">
        <v>17444</v>
      </c>
      <c r="E8880" s="10">
        <v>1733697</v>
      </c>
      <c r="F8880" s="4" t="str">
        <f>IF(B8880=B8879,"",B8880)</f>
        <v/>
      </c>
    </row>
    <row r="8881" spans="1:6" ht="15.75" customHeight="1">
      <c r="A8881" s="5" t="str">
        <f ca="1">IFERROR(__xludf.DUMMYFUNCTION("GOOGLETRANSLATE(B34371,""en"",""pt"")"),"Semnān")</f>
        <v>Semnān</v>
      </c>
      <c r="B8881" s="17" t="s">
        <v>34124</v>
      </c>
      <c r="C8881" s="17" t="s">
        <v>14240</v>
      </c>
      <c r="D8881" s="17" t="s">
        <v>34124</v>
      </c>
      <c r="E8881" s="10">
        <v>116402</v>
      </c>
      <c r="F8881" s="4" t="str">
        <f>IF(B8881=B8880,"",B8881)</f>
        <v>Semnān</v>
      </c>
    </row>
    <row r="8882" spans="1:6" ht="15.75" customHeight="1">
      <c r="A8882" s="6" t="s">
        <v>14542</v>
      </c>
      <c r="B8882" s="6" t="s">
        <v>14269</v>
      </c>
      <c r="C8882" s="6" t="s">
        <v>14240</v>
      </c>
      <c r="D8882" s="6" t="s">
        <v>14269</v>
      </c>
      <c r="E8882" s="2">
        <v>116402</v>
      </c>
      <c r="F8882" s="4" t="str">
        <f>IF(B8882=B8881,"",B8882)</f>
        <v>SemnÄn</v>
      </c>
    </row>
    <row r="8883" spans="1:6" ht="15.75" customHeight="1">
      <c r="A8883" s="5" t="str">
        <f ca="1">IFERROR(__xludf.DUMMYFUNCTION("GOOGLETRANSLATE(B34372,""en"",""pt"")"),"Semīrom")</f>
        <v>Semīrom</v>
      </c>
      <c r="B8883" s="17" t="s">
        <v>34145</v>
      </c>
      <c r="C8883" s="17" t="s">
        <v>14240</v>
      </c>
      <c r="D8883" s="17" t="s">
        <v>14294</v>
      </c>
      <c r="E8883" s="10">
        <v>116406</v>
      </c>
      <c r="F8883" s="4" t="str">
        <f>IF(B8883=B8882,"",B8883)</f>
        <v>Semīrom</v>
      </c>
    </row>
    <row r="8884" spans="1:6" ht="15.75" customHeight="1">
      <c r="A8884" s="6" t="s">
        <v>29955</v>
      </c>
      <c r="B8884" s="6" t="s">
        <v>29955</v>
      </c>
      <c r="C8884" s="6" t="s">
        <v>27788</v>
      </c>
      <c r="D8884" s="6" t="s">
        <v>5468</v>
      </c>
      <c r="E8884" s="2">
        <v>4172434</v>
      </c>
      <c r="F8884" s="4" t="str">
        <f>IF(B8884=B8883,"",B8884)</f>
        <v>Seminole</v>
      </c>
    </row>
    <row r="8885" spans="1:6" ht="15.75" customHeight="1">
      <c r="A8885" s="5" t="str">
        <f ca="1">IFERROR(__xludf.DUMMYFUNCTION("GOOGLETRANSLATE(B43015,""en"",""pt"")"),"Seminole")</f>
        <v>Seminole</v>
      </c>
      <c r="B8885" s="17" t="s">
        <v>29955</v>
      </c>
      <c r="C8885" s="17" t="s">
        <v>27788</v>
      </c>
      <c r="D8885" s="17" t="s">
        <v>5468</v>
      </c>
      <c r="E8885" s="10">
        <v>4172434</v>
      </c>
      <c r="F8885" s="4" t="str">
        <f>IF(B8885=B8884,"",B8885)</f>
        <v/>
      </c>
    </row>
    <row r="8886" spans="1:6" ht="15.75" customHeight="1">
      <c r="A8886" s="6" t="s">
        <v>23045</v>
      </c>
      <c r="B8886" s="6" t="s">
        <v>23045</v>
      </c>
      <c r="C8886" s="6" t="s">
        <v>22070</v>
      </c>
      <c r="D8886" s="6" t="s">
        <v>22137</v>
      </c>
      <c r="E8886" s="2">
        <v>497206</v>
      </c>
      <c r="F8886" s="4" t="str">
        <f>IF(B8886=B8885,"",B8886)</f>
        <v>Semiluki</v>
      </c>
    </row>
    <row r="8887" spans="1:6" ht="15.75" customHeight="1">
      <c r="A8887" s="5" t="str">
        <f ca="1">IFERROR(__xludf.DUMMYFUNCTION("GOOGLETRANSLATE(B40127,""en"",""pt"")"),"Semiluki")</f>
        <v>Semiluki</v>
      </c>
      <c r="B8887" s="17" t="s">
        <v>23045</v>
      </c>
      <c r="C8887" s="17" t="s">
        <v>22070</v>
      </c>
      <c r="D8887" s="17" t="s">
        <v>22137</v>
      </c>
      <c r="E8887" s="10">
        <v>497206</v>
      </c>
      <c r="F8887" s="4" t="str">
        <f>IF(B8887=B8886,"",B8887)</f>
        <v/>
      </c>
    </row>
    <row r="8888" spans="1:6" ht="15.75" customHeight="1">
      <c r="A8888" s="5" t="s">
        <v>23044</v>
      </c>
      <c r="B8888" s="6" t="s">
        <v>23044</v>
      </c>
      <c r="C8888" s="5" t="s">
        <v>22070</v>
      </c>
      <c r="D8888" s="5" t="s">
        <v>22099</v>
      </c>
      <c r="E8888" s="2">
        <v>497218</v>
      </c>
      <c r="F8888" s="4" t="str">
        <f>IF(B8888=B8887,"",B8888)</f>
        <v>Semikarakorsk</v>
      </c>
    </row>
    <row r="8889" spans="1:6" ht="15.75" customHeight="1">
      <c r="A8889" s="5" t="str">
        <f ca="1">IFERROR(__xludf.DUMMYFUNCTION("GOOGLETRANSLATE(B40128,""en"",""pt"")"),"Semikarakorsk")</f>
        <v>Semikarakorsk</v>
      </c>
      <c r="B8889" s="17" t="s">
        <v>23044</v>
      </c>
      <c r="C8889" s="17" t="s">
        <v>22070</v>
      </c>
      <c r="D8889" s="17" t="s">
        <v>22099</v>
      </c>
      <c r="E8889" s="10">
        <v>497218</v>
      </c>
      <c r="F8889" s="4" t="str">
        <f>IF(B8889=B8888,"",B8889)</f>
        <v/>
      </c>
    </row>
    <row r="8890" spans="1:6" ht="15.75" customHeight="1">
      <c r="A8890" s="6" t="s">
        <v>16742</v>
      </c>
      <c r="B8890" s="6" t="s">
        <v>16742</v>
      </c>
      <c r="C8890" s="6" t="s">
        <v>16671</v>
      </c>
      <c r="D8890" s="6" t="s">
        <v>16697</v>
      </c>
      <c r="E8890" s="2">
        <v>1519422</v>
      </c>
      <c r="F8890" s="4" t="str">
        <f>IF(B8890=B8889,"",B8890)</f>
        <v>Semey</v>
      </c>
    </row>
    <row r="8891" spans="1:6" ht="15.75" customHeight="1">
      <c r="A8891" s="5" t="str">
        <f ca="1">IFERROR(__xludf.DUMMYFUNCTION("GOOGLETRANSLATE(B36220,""en"",""pt"")"),"Semey")</f>
        <v>Semey</v>
      </c>
      <c r="B8891" s="17" t="s">
        <v>16742</v>
      </c>
      <c r="C8891" s="17" t="s">
        <v>16671</v>
      </c>
      <c r="D8891" s="17" t="s">
        <v>16697</v>
      </c>
      <c r="E8891" s="10">
        <v>1519422</v>
      </c>
      <c r="F8891" s="4" t="str">
        <f>IF(B8891=B8890,"",B8891)</f>
        <v/>
      </c>
    </row>
    <row r="8892" spans="1:6" ht="15.75" customHeight="1">
      <c r="A8892" s="6" t="s">
        <v>17561</v>
      </c>
      <c r="B8892" s="6" t="s">
        <v>17561</v>
      </c>
      <c r="C8892" s="6" t="s">
        <v>17432</v>
      </c>
      <c r="D8892" s="6" t="s">
        <v>17446</v>
      </c>
      <c r="E8892" s="2">
        <v>1734798</v>
      </c>
      <c r="F8892" s="4" t="str">
        <f>IF(B8892=B8891,"",B8892)</f>
        <v>Semenyih</v>
      </c>
    </row>
    <row r="8893" spans="1:6" ht="15.75" customHeight="1">
      <c r="A8893" s="5" t="str">
        <f ca="1">IFERROR(__xludf.DUMMYFUNCTION("GOOGLETRANSLATE(B37463,""en"",""pt"")"),"Semenyih")</f>
        <v>Semenyih</v>
      </c>
      <c r="B8893" s="17" t="s">
        <v>17561</v>
      </c>
      <c r="C8893" s="17" t="s">
        <v>17432</v>
      </c>
      <c r="D8893" s="17" t="s">
        <v>17446</v>
      </c>
      <c r="E8893" s="10">
        <v>1734798</v>
      </c>
      <c r="F8893" s="4" t="str">
        <f>IF(B8893=B8892,"",B8893)</f>
        <v/>
      </c>
    </row>
    <row r="8894" spans="1:6" ht="15.75" customHeight="1">
      <c r="A8894" s="5" t="str">
        <f ca="1">IFERROR(__xludf.DUMMYFUNCTION("GOOGLETRANSLATE(B40129,""en"",""pt"")"),"Semënovskoye")</f>
        <v>Semënovskoye</v>
      </c>
      <c r="B8894" s="17" t="s">
        <v>35459</v>
      </c>
      <c r="C8894" s="17" t="s">
        <v>22070</v>
      </c>
      <c r="D8894" s="17" t="s">
        <v>22119</v>
      </c>
      <c r="E8894" s="10">
        <v>497271</v>
      </c>
      <c r="F8894" s="4" t="str">
        <f>IF(B8894=B8893,"",B8894)</f>
        <v>Semënovskoye</v>
      </c>
    </row>
    <row r="8895" spans="1:6" ht="15.75" customHeight="1">
      <c r="A8895" s="5" t="str">
        <f ca="1">IFERROR(__xludf.DUMMYFUNCTION("GOOGLETRANSLATE(B40130,""en"",""pt"")"),"Semënov")</f>
        <v>Semënov</v>
      </c>
      <c r="B8895" s="17" t="s">
        <v>35460</v>
      </c>
      <c r="C8895" s="17" t="s">
        <v>22070</v>
      </c>
      <c r="D8895" s="17" t="s">
        <v>22161</v>
      </c>
      <c r="E8895" s="10">
        <v>497450</v>
      </c>
      <c r="F8895" s="4" t="str">
        <f>IF(B8895=B8894,"",B8895)</f>
        <v>Semënov</v>
      </c>
    </row>
    <row r="8896" spans="1:6" ht="15.75" customHeight="1">
      <c r="A8896" s="5" t="str">
        <f ca="1">IFERROR(__xludf.DUMMYFUNCTION("GOOGLETRANSLATE(B41908,""en"",""pt"")"),"Şemdinli")</f>
        <v>Şemdinli</v>
      </c>
      <c r="B8896" s="17" t="s">
        <v>35838</v>
      </c>
      <c r="C8896" s="17" t="s">
        <v>26201</v>
      </c>
      <c r="D8896" s="17" t="s">
        <v>35813</v>
      </c>
      <c r="E8896" s="10">
        <v>301209</v>
      </c>
      <c r="F8896" s="4" t="str">
        <f>IF(B8896=B8895,"",B8896)</f>
        <v>Şemdinli</v>
      </c>
    </row>
    <row r="8897" spans="1:6" ht="15.75" customHeight="1">
      <c r="A8897" s="5" t="s">
        <v>14136</v>
      </c>
      <c r="B8897" s="6" t="s">
        <v>14136</v>
      </c>
      <c r="C8897" s="5" t="s">
        <v>13800</v>
      </c>
      <c r="D8897" s="5" t="s">
        <v>13803</v>
      </c>
      <c r="E8897" s="2">
        <v>1627896</v>
      </c>
      <c r="F8897" s="4" t="str">
        <f>IF(B8897=B8896,"",B8897)</f>
        <v>Semarang</v>
      </c>
    </row>
    <row r="8898" spans="1:6" ht="15.75" customHeight="1">
      <c r="A8898" s="5" t="str">
        <f ca="1">IFERROR(__xludf.DUMMYFUNCTION("GOOGLETRANSLATE(B31461,""en"",""pt"")"),"Semarang")</f>
        <v>Semarang</v>
      </c>
      <c r="B8898" s="17" t="s">
        <v>14136</v>
      </c>
      <c r="C8898" s="17" t="s">
        <v>13800</v>
      </c>
      <c r="D8898" s="17" t="s">
        <v>13803</v>
      </c>
      <c r="E8898" s="10">
        <v>1627896</v>
      </c>
      <c r="F8898" s="4" t="str">
        <f>IF(B8898=B8897,"",B8898)</f>
        <v/>
      </c>
    </row>
    <row r="8899" spans="1:6" ht="15.75" customHeight="1">
      <c r="A8899" s="5" t="s">
        <v>14540</v>
      </c>
      <c r="B8899" s="6" t="s">
        <v>14541</v>
      </c>
      <c r="C8899" s="5" t="s">
        <v>14240</v>
      </c>
      <c r="D8899" s="5" t="s">
        <v>14294</v>
      </c>
      <c r="E8899" s="2">
        <v>116406</v>
      </c>
      <c r="F8899" s="4" t="str">
        <f>IF(B8899=B8898,"",B8899)</f>
        <v>SemÄ«rom</v>
      </c>
    </row>
    <row r="8900" spans="1:6" ht="15.75" customHeight="1">
      <c r="A8900" s="5" t="s">
        <v>23042</v>
      </c>
      <c r="B8900" s="6" t="s">
        <v>23043</v>
      </c>
      <c r="C8900" s="5" t="s">
        <v>22070</v>
      </c>
      <c r="D8900" s="5" t="s">
        <v>22119</v>
      </c>
      <c r="E8900" s="2">
        <v>497271</v>
      </c>
      <c r="F8900" s="4" t="str">
        <f>IF(B8900=B8899,"",B8900)</f>
        <v>SemÃ«novskoye</v>
      </c>
    </row>
    <row r="8901" spans="1:6" ht="15.75" customHeight="1">
      <c r="A8901" s="5" t="s">
        <v>23040</v>
      </c>
      <c r="B8901" s="6" t="s">
        <v>23041</v>
      </c>
      <c r="C8901" s="5" t="s">
        <v>22070</v>
      </c>
      <c r="D8901" s="5" t="s">
        <v>22161</v>
      </c>
      <c r="E8901" s="2">
        <v>497450</v>
      </c>
      <c r="F8901" s="4" t="str">
        <f>IF(B8901=B8900,"",B8901)</f>
        <v>SemÃ«nov</v>
      </c>
    </row>
    <row r="8902" spans="1:6" ht="15.75" customHeight="1">
      <c r="A8902" s="6" t="s">
        <v>27131</v>
      </c>
      <c r="B8902" s="6" t="s">
        <v>27131</v>
      </c>
      <c r="C8902" s="6" t="s">
        <v>26870</v>
      </c>
      <c r="D8902" s="6" t="s">
        <v>22345</v>
      </c>
      <c r="E8902" s="2">
        <v>694677</v>
      </c>
      <c r="F8902" s="4" t="str">
        <f>IF(B8902=B8901,"",B8902)</f>
        <v>Selydove</v>
      </c>
    </row>
    <row r="8903" spans="1:6" ht="15.75" customHeight="1">
      <c r="A8903" s="5" t="str">
        <f ca="1">IFERROR(__xludf.DUMMYFUNCTION("GOOGLETRANSLATE(B42531,""en"",""pt"")"),"Selydove")</f>
        <v>Selydove</v>
      </c>
      <c r="B8903" s="17" t="s">
        <v>27131</v>
      </c>
      <c r="C8903" s="17" t="s">
        <v>26870</v>
      </c>
      <c r="D8903" s="17" t="s">
        <v>22345</v>
      </c>
      <c r="E8903" s="10">
        <v>694677</v>
      </c>
      <c r="F8903" s="4" t="str">
        <f>IF(B8903=B8902,"",B8903)</f>
        <v/>
      </c>
    </row>
    <row r="8904" spans="1:6" ht="15.75" customHeight="1">
      <c r="A8904" s="6" t="s">
        <v>13269</v>
      </c>
      <c r="B8904" s="6" t="s">
        <v>13269</v>
      </c>
      <c r="C8904" s="6" t="s">
        <v>10178</v>
      </c>
      <c r="D8904" s="6" t="s">
        <v>10214</v>
      </c>
      <c r="E8904" s="2">
        <v>1257762</v>
      </c>
      <c r="F8904" s="4" t="str">
        <f>IF(B8904=B8903,"",B8904)</f>
        <v>Selu</v>
      </c>
    </row>
    <row r="8905" spans="1:6" ht="15.75" customHeight="1">
      <c r="A8905" s="5" t="str">
        <f ca="1">IFERROR(__xludf.DUMMYFUNCTION("GOOGLETRANSLATE(B32274,""en"",""pt"")"),"Selu")</f>
        <v>Selu</v>
      </c>
      <c r="B8905" s="17" t="s">
        <v>13269</v>
      </c>
      <c r="C8905" s="17" t="s">
        <v>10178</v>
      </c>
      <c r="D8905" s="17" t="s">
        <v>10214</v>
      </c>
      <c r="E8905" s="10">
        <v>1257762</v>
      </c>
      <c r="F8905" s="4" t="str">
        <f>IF(B8905=B8904,"",B8905)</f>
        <v/>
      </c>
    </row>
    <row r="8906" spans="1:6" ht="15.75" customHeight="1">
      <c r="A8906" s="6" t="s">
        <v>14135</v>
      </c>
      <c r="B8906" s="6" t="s">
        <v>14135</v>
      </c>
      <c r="C8906" s="6" t="s">
        <v>13800</v>
      </c>
      <c r="D8906" s="6" t="s">
        <v>13803</v>
      </c>
      <c r="E8906" s="2">
        <v>1627969</v>
      </c>
      <c r="F8906" s="4" t="str">
        <f>IF(B8906=B8905,"",B8906)</f>
        <v>Selogiri</v>
      </c>
    </row>
    <row r="8907" spans="1:6" ht="15.75" customHeight="1">
      <c r="A8907" s="5" t="str">
        <f ca="1">IFERROR(__xludf.DUMMYFUNCTION("GOOGLETRANSLATE(B31462,""en"",""pt"")"),"Selogiri")</f>
        <v>Selogiri</v>
      </c>
      <c r="B8907" s="17" t="s">
        <v>14135</v>
      </c>
      <c r="C8907" s="17" t="s">
        <v>13800</v>
      </c>
      <c r="D8907" s="17" t="s">
        <v>13803</v>
      </c>
      <c r="E8907" s="10">
        <v>1627969</v>
      </c>
      <c r="F8907" s="4" t="str">
        <f>IF(B8907=B8906,"",B8907)</f>
        <v/>
      </c>
    </row>
    <row r="8908" spans="1:6" ht="15.75" customHeight="1">
      <c r="A8908" s="6" t="s">
        <v>29954</v>
      </c>
      <c r="B8908" s="6" t="s">
        <v>29954</v>
      </c>
      <c r="C8908" s="6" t="s">
        <v>27788</v>
      </c>
      <c r="D8908" s="6" t="s">
        <v>28023</v>
      </c>
      <c r="E8908" s="2">
        <v>4089114</v>
      </c>
      <c r="F8908" s="4" t="str">
        <f>IF(B8908=B8907,"",B8908)</f>
        <v>Selma</v>
      </c>
    </row>
    <row r="8909" spans="1:6" ht="15.75" customHeight="1">
      <c r="A8909" s="6" t="s">
        <v>29954</v>
      </c>
      <c r="B8909" s="6" t="s">
        <v>29954</v>
      </c>
      <c r="C8909" s="6" t="s">
        <v>27788</v>
      </c>
      <c r="D8909" s="6" t="s">
        <v>27801</v>
      </c>
      <c r="E8909" s="2">
        <v>5394329</v>
      </c>
      <c r="F8909" s="4" t="str">
        <f>IF(B8909=B8908,"",B8909)</f>
        <v/>
      </c>
    </row>
    <row r="8910" spans="1:6" ht="15.75" customHeight="1">
      <c r="A8910" s="5" t="str">
        <f ca="1">IFERROR(__xludf.DUMMYFUNCTION("GOOGLETRANSLATE(B42799,""en"",""pt"")"),"Selma")</f>
        <v>Selma</v>
      </c>
      <c r="B8910" s="17" t="s">
        <v>29954</v>
      </c>
      <c r="C8910" s="17" t="s">
        <v>27788</v>
      </c>
      <c r="D8910" s="17" t="s">
        <v>28023</v>
      </c>
      <c r="E8910" s="10">
        <v>4089114</v>
      </c>
      <c r="F8910" s="4" t="str">
        <f>IF(B8910=B8909,"",B8910)</f>
        <v/>
      </c>
    </row>
    <row r="8911" spans="1:6" ht="15.75" customHeight="1">
      <c r="A8911" s="5" t="str">
        <f ca="1">IFERROR(__xludf.DUMMYFUNCTION("GOOGLETRANSLATE(B45034,""en"",""pt"")"),"Selma")</f>
        <v>Selma</v>
      </c>
      <c r="B8911" s="17" t="s">
        <v>29954</v>
      </c>
      <c r="C8911" s="17" t="s">
        <v>27788</v>
      </c>
      <c r="D8911" s="17" t="s">
        <v>27801</v>
      </c>
      <c r="E8911" s="10">
        <v>5394329</v>
      </c>
      <c r="F8911" s="4" t="str">
        <f>IF(B8911=B8910,"",B8911)</f>
        <v/>
      </c>
    </row>
    <row r="8912" spans="1:6" ht="15.75" customHeight="1">
      <c r="A8912" s="6" t="s">
        <v>9131</v>
      </c>
      <c r="B8912" s="6" t="s">
        <v>9131</v>
      </c>
      <c r="C8912" s="6" t="s">
        <v>8028</v>
      </c>
      <c r="D8912" s="6" t="s">
        <v>8029</v>
      </c>
      <c r="E8912" s="2">
        <v>2833170</v>
      </c>
      <c r="F8912" s="4" t="str">
        <f>IF(B8912=B8911,"",B8912)</f>
        <v>Selm</v>
      </c>
    </row>
    <row r="8913" spans="1:6" ht="15.75" customHeight="1">
      <c r="A8913" s="5" t="str">
        <f ca="1">IFERROR(__xludf.DUMMYFUNCTION("GOOGLETRANSLATE(B27533,""en"",""pt"")"),"Selm")</f>
        <v>Selm</v>
      </c>
      <c r="B8913" s="17" t="s">
        <v>9131</v>
      </c>
      <c r="C8913" s="17" t="s">
        <v>8028</v>
      </c>
      <c r="D8913" s="17" t="s">
        <v>8029</v>
      </c>
      <c r="E8913" s="10">
        <v>2833170</v>
      </c>
      <c r="F8913" s="4" t="str">
        <f>IF(B8913=B8912,"",B8913)</f>
        <v/>
      </c>
    </row>
    <row r="8914" spans="1:6" ht="15.75" customHeight="1">
      <c r="A8914" s="6" t="s">
        <v>23766</v>
      </c>
      <c r="B8914" s="6" t="s">
        <v>23766</v>
      </c>
      <c r="C8914" s="6" t="s">
        <v>23694</v>
      </c>
      <c r="D8914" s="6" t="s">
        <v>23715</v>
      </c>
      <c r="E8914" s="2">
        <v>3057769</v>
      </c>
      <c r="F8914" s="4" t="str">
        <f>IF(B8914=B8913,"",B8914)</f>
        <v>Sellye</v>
      </c>
    </row>
    <row r="8915" spans="1:6" ht="15.75" customHeight="1">
      <c r="A8915" s="5" t="str">
        <f ca="1">IFERROR(__xludf.DUMMYFUNCTION("GOOGLETRANSLATE(B41243,""en"",""pt"")"),"Sellye")</f>
        <v>Sellye</v>
      </c>
      <c r="B8915" s="17" t="s">
        <v>23766</v>
      </c>
      <c r="C8915" s="17" t="s">
        <v>23694</v>
      </c>
      <c r="D8915" s="17" t="s">
        <v>23715</v>
      </c>
      <c r="E8915" s="10">
        <v>3057769</v>
      </c>
      <c r="F8915" s="4" t="str">
        <f>IF(B8915=B8914,"",B8915)</f>
        <v/>
      </c>
    </row>
    <row r="8916" spans="1:6" ht="15.75" customHeight="1">
      <c r="A8916" s="5" t="s">
        <v>9130</v>
      </c>
      <c r="B8916" s="6" t="s">
        <v>9130</v>
      </c>
      <c r="C8916" s="5" t="s">
        <v>8028</v>
      </c>
      <c r="D8916" s="5" t="s">
        <v>8050</v>
      </c>
      <c r="E8916" s="2">
        <v>2833242</v>
      </c>
      <c r="F8916" s="4" t="str">
        <f>IF(B8916=B8915,"",B8916)</f>
        <v>Seligenstadt</v>
      </c>
    </row>
    <row r="8917" spans="1:6" ht="15.75" customHeight="1">
      <c r="A8917" s="5" t="str">
        <f ca="1">IFERROR(__xludf.DUMMYFUNCTION("GOOGLETRANSLATE(B27534,""en"",""pt"")"),"Seligenstadt")</f>
        <v>Seligenstadt</v>
      </c>
      <c r="B8917" s="17" t="s">
        <v>9130</v>
      </c>
      <c r="C8917" s="17" t="s">
        <v>8028</v>
      </c>
      <c r="D8917" s="17" t="s">
        <v>8050</v>
      </c>
      <c r="E8917" s="10">
        <v>2833242</v>
      </c>
      <c r="F8917" s="4" t="str">
        <f>IF(B8917=B8916,"",B8917)</f>
        <v/>
      </c>
    </row>
    <row r="8918" spans="1:6" ht="15.75" customHeight="1">
      <c r="A8918" s="5" t="str">
        <f ca="1">IFERROR(__xludf.DUMMYFUNCTION("GOOGLETRANSLATE(B36796,""en"",""pt"")"),"Sélibaby")</f>
        <v>Sélibaby</v>
      </c>
      <c r="B8918" s="17" t="s">
        <v>34646</v>
      </c>
      <c r="C8918" s="17" t="s">
        <v>17650</v>
      </c>
      <c r="D8918" s="17" t="s">
        <v>17670</v>
      </c>
      <c r="E8918" s="10">
        <v>2376719</v>
      </c>
      <c r="F8918" s="4" t="str">
        <f>IF(B8918=B8917,"",B8918)</f>
        <v>Sélibaby</v>
      </c>
    </row>
    <row r="8919" spans="1:6" ht="15.75" customHeight="1">
      <c r="A8919" s="5" t="str">
        <f ca="1">IFERROR(__xludf.DUMMYFUNCTION("GOOGLETRANSLATE(B29758,""en"",""pt"")"),"Sélestat")</f>
        <v>Sélestat</v>
      </c>
      <c r="B8919" s="17" t="s">
        <v>32551</v>
      </c>
      <c r="C8919" s="17" t="s">
        <v>7052</v>
      </c>
      <c r="D8919" s="17" t="s">
        <v>7061</v>
      </c>
      <c r="E8919" s="10">
        <v>2975233</v>
      </c>
      <c r="F8919" s="4" t="str">
        <f>IF(B8919=B8918,"",B8919)</f>
        <v>Sélestat</v>
      </c>
    </row>
    <row r="8920" spans="1:6" ht="15.75" customHeight="1">
      <c r="A8920" s="5" t="s">
        <v>1899</v>
      </c>
      <c r="B8920" s="6" t="s">
        <v>1899</v>
      </c>
      <c r="C8920" s="5" t="s">
        <v>1878</v>
      </c>
      <c r="D8920" s="5" t="s">
        <v>1886</v>
      </c>
      <c r="E8920" s="2">
        <v>933099</v>
      </c>
      <c r="F8920" s="4" t="str">
        <f>IF(B8920=B8919,"",B8920)</f>
        <v>Selebi-Phikwe</v>
      </c>
    </row>
    <row r="8921" spans="1:6" ht="15.75" customHeight="1">
      <c r="A8921" s="5" t="str">
        <f ca="1">IFERROR(__xludf.DUMMYFUNCTION("GOOGLETRANSLATE(B25353,""en"",""pt"")"),"Selebi-Phikwe")</f>
        <v>Selebi-Phikwe</v>
      </c>
      <c r="B8921" s="17" t="s">
        <v>1899</v>
      </c>
      <c r="C8921" s="17" t="s">
        <v>1878</v>
      </c>
      <c r="D8921" s="17" t="s">
        <v>1886</v>
      </c>
      <c r="E8921" s="10">
        <v>933099</v>
      </c>
      <c r="F8921" s="4" t="str">
        <f>IF(B8921=B8920,"",B8921)</f>
        <v/>
      </c>
    </row>
    <row r="8922" spans="1:6" ht="15.75" customHeight="1">
      <c r="A8922" s="6" t="s">
        <v>29953</v>
      </c>
      <c r="B8922" s="6" t="s">
        <v>29953</v>
      </c>
      <c r="C8922" s="6" t="s">
        <v>27788</v>
      </c>
      <c r="D8922" s="6" t="s">
        <v>27819</v>
      </c>
      <c r="E8922" s="2">
        <v>5137600</v>
      </c>
      <c r="F8922" s="4" t="str">
        <f>IF(B8922=B8921,"",B8922)</f>
        <v>Selden</v>
      </c>
    </row>
    <row r="8923" spans="1:6" ht="15.75" customHeight="1">
      <c r="A8923" s="5" t="str">
        <f ca="1">IFERROR(__xludf.DUMMYFUNCTION("GOOGLETRANSLATE(B44451,""en"",""pt"")"),"Selden")</f>
        <v>Selden</v>
      </c>
      <c r="B8923" s="17" t="s">
        <v>29953</v>
      </c>
      <c r="C8923" s="17" t="s">
        <v>27788</v>
      </c>
      <c r="D8923" s="17" t="s">
        <v>27819</v>
      </c>
      <c r="E8923" s="10">
        <v>5137600</v>
      </c>
      <c r="F8923" s="4" t="str">
        <f>IF(B8923=B8922,"",B8923)</f>
        <v/>
      </c>
    </row>
    <row r="8924" spans="1:6" ht="15.75" customHeight="1">
      <c r="A8924" s="5" t="str">
        <f ca="1">IFERROR(__xludf.DUMMYFUNCTION("GOOGLETRANSLATE(B41909,""en"",""pt"")"),"Selçuk")</f>
        <v>Selçuk</v>
      </c>
      <c r="B8924" s="17" t="s">
        <v>35839</v>
      </c>
      <c r="C8924" s="17" t="s">
        <v>26201</v>
      </c>
      <c r="D8924" s="17" t="s">
        <v>35825</v>
      </c>
      <c r="E8924" s="10">
        <v>301256</v>
      </c>
      <c r="F8924" s="4" t="str">
        <f>IF(B8924=B8923,"",B8924)</f>
        <v>Selçuk</v>
      </c>
    </row>
    <row r="8925" spans="1:6" ht="15.75" customHeight="1">
      <c r="A8925" s="6" t="s">
        <v>27667</v>
      </c>
      <c r="B8925" s="6" t="s">
        <v>27667</v>
      </c>
      <c r="C8925" s="6" t="s">
        <v>27234</v>
      </c>
      <c r="D8925" s="6" t="s">
        <v>27241</v>
      </c>
      <c r="E8925" s="2">
        <v>2638235</v>
      </c>
      <c r="F8925" s="4" t="str">
        <f>IF(B8925=B8924,"",B8925)</f>
        <v>Selby</v>
      </c>
    </row>
    <row r="8926" spans="1:6" ht="15.75" customHeight="1">
      <c r="A8926" s="5" t="str">
        <f ca="1">IFERROR(__xludf.DUMMYFUNCTION("GOOGLETRANSLATE(B30412,""en"",""pt"")"),"Selby")</f>
        <v>Selby</v>
      </c>
      <c r="B8926" s="17" t="s">
        <v>27667</v>
      </c>
      <c r="C8926" s="17" t="s">
        <v>27234</v>
      </c>
      <c r="D8926" s="17" t="s">
        <v>27241</v>
      </c>
      <c r="E8926" s="10">
        <v>2638235</v>
      </c>
      <c r="F8926" s="4" t="str">
        <f>IF(B8926=B8925,"",B8926)</f>
        <v/>
      </c>
    </row>
    <row r="8927" spans="1:6" ht="15.75" customHeight="1">
      <c r="A8927" s="6" t="s">
        <v>9129</v>
      </c>
      <c r="B8927" s="6" t="s">
        <v>9129</v>
      </c>
      <c r="C8927" s="6" t="s">
        <v>8028</v>
      </c>
      <c r="D8927" s="6" t="s">
        <v>8044</v>
      </c>
      <c r="E8927" s="2">
        <v>2833296</v>
      </c>
      <c r="F8927" s="4" t="str">
        <f>IF(B8927=B8926,"",B8927)</f>
        <v>Selb</v>
      </c>
    </row>
    <row r="8928" spans="1:6" ht="15.75" customHeight="1">
      <c r="A8928" s="5" t="str">
        <f ca="1">IFERROR(__xludf.DUMMYFUNCTION("GOOGLETRANSLATE(B27535,""en"",""pt"")"),"Selb")</f>
        <v>Selb</v>
      </c>
      <c r="B8928" s="17" t="s">
        <v>9129</v>
      </c>
      <c r="C8928" s="17" t="s">
        <v>8028</v>
      </c>
      <c r="D8928" s="17" t="s">
        <v>8044</v>
      </c>
      <c r="E8928" s="10">
        <v>2833296</v>
      </c>
      <c r="F8928" s="4" t="str">
        <f>IF(B8928=B8927,"",B8928)</f>
        <v/>
      </c>
    </row>
    <row r="8929" spans="1:6" ht="15.75" customHeight="1">
      <c r="A8929" s="6" t="s">
        <v>15490</v>
      </c>
      <c r="B8929" s="6" t="s">
        <v>15490</v>
      </c>
      <c r="C8929" s="6" t="s">
        <v>14891</v>
      </c>
      <c r="D8929" s="6" t="s">
        <v>14925</v>
      </c>
      <c r="E8929" s="2">
        <v>2523166</v>
      </c>
      <c r="F8929" s="4" t="str">
        <f>IF(B8929=B8928,"",B8929)</f>
        <v>Selargius</v>
      </c>
    </row>
    <row r="8930" spans="1:6" ht="15.75" customHeight="1">
      <c r="A8930" s="5" t="str">
        <f ca="1">IFERROR(__xludf.DUMMYFUNCTION("GOOGLETRANSLATE(B34548,""en"",""pt"")"),"Selargius")</f>
        <v>Selargius</v>
      </c>
      <c r="B8930" s="17" t="s">
        <v>15490</v>
      </c>
      <c r="C8930" s="17" t="s">
        <v>14891</v>
      </c>
      <c r="D8930" s="17" t="s">
        <v>14925</v>
      </c>
      <c r="E8930" s="10">
        <v>2523166</v>
      </c>
      <c r="F8930" s="4" t="str">
        <f>IF(B8930=B8929,"",B8930)</f>
        <v/>
      </c>
    </row>
    <row r="8931" spans="1:6" ht="15.75" customHeight="1">
      <c r="A8931" s="6" t="s">
        <v>26689</v>
      </c>
      <c r="B8931" s="6" t="s">
        <v>26690</v>
      </c>
      <c r="C8931" s="6" t="s">
        <v>26201</v>
      </c>
      <c r="D8931" s="6" t="s">
        <v>26213</v>
      </c>
      <c r="E8931" s="2">
        <v>301256</v>
      </c>
      <c r="F8931" s="4" t="str">
        <f>IF(B8931=B8930,"",B8931)</f>
        <v>SelÃ§uk</v>
      </c>
    </row>
    <row r="8932" spans="1:6" ht="15.75" customHeight="1">
      <c r="A8932" s="5" t="s">
        <v>23038</v>
      </c>
      <c r="B8932" s="6" t="s">
        <v>23039</v>
      </c>
      <c r="C8932" s="5" t="s">
        <v>22070</v>
      </c>
      <c r="D8932" s="5" t="s">
        <v>22272</v>
      </c>
      <c r="E8932" s="2">
        <v>497610</v>
      </c>
      <c r="F8932" s="4" t="str">
        <f>IF(B8932=B8931,"",B8932)</f>
        <v>Selâ€™tso</v>
      </c>
    </row>
    <row r="8933" spans="1:6" ht="15.75" customHeight="1">
      <c r="A8933" s="5" t="str">
        <f ca="1">IFERROR(__xludf.DUMMYFUNCTION("GOOGLETRANSLATE(B40131,""en"",""pt"")"),"SelSo")</f>
        <v>SelSo</v>
      </c>
      <c r="B8933" s="17" t="s">
        <v>35461</v>
      </c>
      <c r="C8933" s="17" t="s">
        <v>22070</v>
      </c>
      <c r="D8933" s="17" t="s">
        <v>22272</v>
      </c>
      <c r="E8933" s="10">
        <v>497610</v>
      </c>
      <c r="F8933" s="4" t="str">
        <f>IF(B8933=B8932,"",B8933)</f>
        <v>Sel’tso</v>
      </c>
    </row>
    <row r="8934" spans="1:6" ht="15.75" customHeight="1">
      <c r="A8934" s="5" t="s">
        <v>9417</v>
      </c>
      <c r="B8934" s="6" t="s">
        <v>9418</v>
      </c>
      <c r="C8934" s="5" t="s">
        <v>9365</v>
      </c>
      <c r="D8934" s="5" t="s">
        <v>6944</v>
      </c>
      <c r="E8934" s="2">
        <v>2295458</v>
      </c>
      <c r="F8934" s="4" t="str">
        <f>IF(B8934=B8933,"",B8934)</f>
        <v>Sekondi-Takoradi</v>
      </c>
    </row>
    <row r="8935" spans="1:6" ht="15.75" customHeight="1">
      <c r="A8935" s="5" t="str">
        <f ca="1">IFERROR(__xludf.DUMMYFUNCTION("GOOGLETRANSLATE(B30871,""en"",""pt"")"),"Sekondi-takoradi")</f>
        <v>Sekondi-takoradi</v>
      </c>
      <c r="B8935" s="17" t="s">
        <v>9418</v>
      </c>
      <c r="C8935" s="17" t="s">
        <v>9365</v>
      </c>
      <c r="D8935" s="17" t="s">
        <v>6944</v>
      </c>
      <c r="E8935" s="10">
        <v>2295458</v>
      </c>
      <c r="F8935" s="4" t="str">
        <f>IF(B8935=B8934,"",B8935)</f>
        <v/>
      </c>
    </row>
    <row r="8936" spans="1:6" ht="15.75" customHeight="1">
      <c r="A8936" s="6" t="s">
        <v>25994</v>
      </c>
      <c r="B8936" s="6" t="s">
        <v>25994</v>
      </c>
      <c r="C8936" s="6" t="s">
        <v>25771</v>
      </c>
      <c r="D8936" s="6" t="s">
        <v>25995</v>
      </c>
      <c r="E8936" s="2">
        <v>1606343</v>
      </c>
      <c r="F8936" s="4" t="str">
        <f>IF(B8936=B8935,"",B8936)</f>
        <v>Seka</v>
      </c>
    </row>
    <row r="8937" spans="1:6" ht="15.75" customHeight="1">
      <c r="A8937" s="5" t="str">
        <f ca="1">IFERROR(__xludf.DUMMYFUNCTION("GOOGLETRANSLATE(B41606,""en"",""pt"")"),"Seka")</f>
        <v>Seka</v>
      </c>
      <c r="B8937" s="17" t="s">
        <v>25994</v>
      </c>
      <c r="C8937" s="17" t="s">
        <v>25771</v>
      </c>
      <c r="D8937" s="17" t="s">
        <v>25995</v>
      </c>
      <c r="E8937" s="10">
        <v>1606343</v>
      </c>
      <c r="F8937" s="4" t="str">
        <f>IF(B8937=B8936,"",B8937)</f>
        <v/>
      </c>
    </row>
    <row r="8938" spans="1:6" ht="15.75" customHeight="1">
      <c r="A8938" s="5" t="str">
        <f ca="1">IFERROR(__xludf.DUMMYFUNCTION("GOOGLETRANSLATE(B29610,""en"",""pt"")"),"Seinäjoki")</f>
        <v>Seinäjoki</v>
      </c>
      <c r="B8938" s="17" t="s">
        <v>7032</v>
      </c>
      <c r="C8938" s="17" t="s">
        <v>6948</v>
      </c>
      <c r="D8938" s="17" t="s">
        <v>7034</v>
      </c>
      <c r="E8938" s="10">
        <v>637219</v>
      </c>
      <c r="F8938" s="4" t="str">
        <f>IF(B8938=B8937,"",B8938)</f>
        <v>Seinäjoki</v>
      </c>
    </row>
    <row r="8939" spans="1:6" ht="15.75" customHeight="1">
      <c r="A8939" s="6" t="s">
        <v>7032</v>
      </c>
      <c r="B8939" s="6" t="s">
        <v>7033</v>
      </c>
      <c r="C8939" s="6" t="s">
        <v>6948</v>
      </c>
      <c r="D8939" s="6" t="s">
        <v>7034</v>
      </c>
      <c r="E8939" s="2">
        <v>637219</v>
      </c>
      <c r="F8939" s="4" t="str">
        <f>IF(B8939=B8938,"",B8939)</f>
        <v>SeinÃ¤joki</v>
      </c>
    </row>
    <row r="8940" spans="1:6" ht="15.75" customHeight="1">
      <c r="A8940" s="5" t="str">
        <f ca="1">IFERROR(__xludf.DUMMYFUNCTION("GOOGLETRANSLATE(B38921,""en"",""pt"")"),"Sehwān")</f>
        <v>Sehwān</v>
      </c>
      <c r="B8940" s="17" t="s">
        <v>34916</v>
      </c>
      <c r="C8940" s="17" t="s">
        <v>19808</v>
      </c>
      <c r="D8940" s="17" t="s">
        <v>19823</v>
      </c>
      <c r="E8940" s="10">
        <v>1165789</v>
      </c>
      <c r="F8940" s="4" t="str">
        <f>IF(B8940=B8939,"",B8940)</f>
        <v>Sehwān</v>
      </c>
    </row>
    <row r="8941" spans="1:6" ht="15.75" customHeight="1">
      <c r="A8941" s="6" t="s">
        <v>20214</v>
      </c>
      <c r="B8941" s="6" t="s">
        <v>20215</v>
      </c>
      <c r="C8941" s="6" t="s">
        <v>19808</v>
      </c>
      <c r="D8941" s="6" t="s">
        <v>19823</v>
      </c>
      <c r="E8941" s="2">
        <v>1165789</v>
      </c>
      <c r="F8941" s="4" t="str">
        <f>IF(B8941=B8940,"",B8941)</f>
        <v>SehwÄn</v>
      </c>
    </row>
    <row r="8942" spans="1:6" ht="15.75" customHeight="1">
      <c r="A8942" s="6" t="s">
        <v>13268</v>
      </c>
      <c r="B8942" s="6" t="s">
        <v>13268</v>
      </c>
      <c r="C8942" s="6" t="s">
        <v>10178</v>
      </c>
      <c r="D8942" s="6" t="s">
        <v>10219</v>
      </c>
      <c r="E8942" s="2">
        <v>1256913</v>
      </c>
      <c r="F8942" s="4" t="str">
        <f>IF(B8942=B8941,"",B8942)</f>
        <v>Sehore</v>
      </c>
    </row>
    <row r="8943" spans="1:6" ht="15.75" customHeight="1">
      <c r="A8943" s="5" t="str">
        <f ca="1">IFERROR(__xludf.DUMMYFUNCTION("GOOGLETRANSLATE(B32212,""en"",""pt"")"),"Sehore")</f>
        <v>Sehore</v>
      </c>
      <c r="B8943" s="17" t="s">
        <v>13268</v>
      </c>
      <c r="C8943" s="17" t="s">
        <v>10178</v>
      </c>
      <c r="D8943" s="17" t="s">
        <v>10219</v>
      </c>
      <c r="E8943" s="10">
        <v>1256913</v>
      </c>
      <c r="F8943" s="4" t="str">
        <f>IF(B8943=B8942,"",B8943)</f>
        <v/>
      </c>
    </row>
    <row r="8944" spans="1:6" ht="15.75" customHeight="1">
      <c r="A8944" s="6" t="s">
        <v>9128</v>
      </c>
      <c r="B8944" s="6" t="s">
        <v>9128</v>
      </c>
      <c r="C8944" s="6" t="s">
        <v>8028</v>
      </c>
      <c r="D8944" s="6" t="s">
        <v>8034</v>
      </c>
      <c r="E8944" s="2">
        <v>2833475</v>
      </c>
      <c r="F8944" s="4" t="str">
        <f>IF(B8944=B8943,"",B8944)</f>
        <v>Sehnde</v>
      </c>
    </row>
    <row r="8945" spans="1:6" ht="15.75" customHeight="1">
      <c r="A8945" s="5" t="str">
        <f ca="1">IFERROR(__xludf.DUMMYFUNCTION("GOOGLETRANSLATE(B27536,""en"",""pt"")"),"Sehnde")</f>
        <v>Sehnde</v>
      </c>
      <c r="B8945" s="17" t="s">
        <v>9128</v>
      </c>
      <c r="C8945" s="17" t="s">
        <v>8028</v>
      </c>
      <c r="D8945" s="17" t="s">
        <v>8034</v>
      </c>
      <c r="E8945" s="10">
        <v>2833475</v>
      </c>
      <c r="F8945" s="4" t="str">
        <f>IF(B8945=B8944,"",B8945)</f>
        <v/>
      </c>
    </row>
    <row r="8946" spans="1:6" ht="15.75" customHeight="1">
      <c r="A8946" s="5" t="s">
        <v>24821</v>
      </c>
      <c r="B8946" s="6" t="s">
        <v>24821</v>
      </c>
      <c r="C8946" s="5" t="s">
        <v>24200</v>
      </c>
      <c r="D8946" s="5" t="s">
        <v>24320</v>
      </c>
      <c r="E8946" s="2">
        <v>8050889</v>
      </c>
      <c r="F8946" s="4" t="str">
        <f>IF(B8946=B8945,"",B8946)</f>
        <v>Segundo Ensanche</v>
      </c>
    </row>
    <row r="8947" spans="1:6" ht="15.75" customHeight="1">
      <c r="A8947" s="5" t="str">
        <f ca="1">IFERROR(__xludf.DUMMYFUNCTION("GOOGLETRANSLATE(B29515,""en"",""pt"")"),"Segundo ensanche")</f>
        <v>Segundo ensanche</v>
      </c>
      <c r="B8947" s="17" t="s">
        <v>24821</v>
      </c>
      <c r="C8947" s="17" t="s">
        <v>24200</v>
      </c>
      <c r="D8947" s="17" t="s">
        <v>24320</v>
      </c>
      <c r="E8947" s="10">
        <v>8050889</v>
      </c>
      <c r="F8947" s="4" t="str">
        <f>IF(B8947=B8946,"",B8947)</f>
        <v/>
      </c>
    </row>
    <row r="8948" spans="1:6" ht="15.75" customHeight="1">
      <c r="A8948" s="5" t="str">
        <f ca="1">IFERROR(__xludf.DUMMYFUNCTION("GOOGLETRANSLATE(B25880,""en"",""pt"")"),"Ségula")</f>
        <v>Ségula</v>
      </c>
      <c r="B8948" s="17" t="s">
        <v>31792</v>
      </c>
      <c r="C8948" s="17" t="s">
        <v>15586</v>
      </c>
      <c r="D8948" s="17" t="s">
        <v>15653</v>
      </c>
      <c r="E8948" s="10">
        <v>2596934</v>
      </c>
      <c r="F8948" s="4" t="str">
        <f>IF(B8948=B8947,"",B8948)</f>
        <v>Séguéla</v>
      </c>
    </row>
    <row r="8949" spans="1:6" ht="15.75" customHeight="1">
      <c r="A8949" s="6" t="s">
        <v>15489</v>
      </c>
      <c r="B8949" s="6" t="s">
        <v>15489</v>
      </c>
      <c r="C8949" s="6" t="s">
        <v>14891</v>
      </c>
      <c r="D8949" s="6" t="s">
        <v>14894</v>
      </c>
      <c r="E8949" s="2">
        <v>3166808</v>
      </c>
      <c r="F8949" s="4" t="str">
        <f>IF(B8949=B8948,"",B8949)</f>
        <v>Segrate</v>
      </c>
    </row>
    <row r="8950" spans="1:6" ht="15.75" customHeight="1">
      <c r="A8950" s="5" t="str">
        <f ca="1">IFERROR(__xludf.DUMMYFUNCTION("GOOGLETRANSLATE(B34691,""en"",""pt"")"),"Segrate")</f>
        <v>Segrate</v>
      </c>
      <c r="B8950" s="17" t="s">
        <v>15489</v>
      </c>
      <c r="C8950" s="17" t="s">
        <v>14891</v>
      </c>
      <c r="D8950" s="17" t="s">
        <v>14894</v>
      </c>
      <c r="E8950" s="10">
        <v>3166808</v>
      </c>
      <c r="F8950" s="4" t="str">
        <f>IF(B8950=B8949,"",B8950)</f>
        <v/>
      </c>
    </row>
    <row r="8951" spans="1:6" ht="15.75" customHeight="1">
      <c r="A8951" s="6" t="s">
        <v>5610</v>
      </c>
      <c r="B8951" s="6" t="s">
        <v>5610</v>
      </c>
      <c r="C8951" s="6" t="s">
        <v>5348</v>
      </c>
      <c r="D8951" s="6" t="s">
        <v>5362</v>
      </c>
      <c r="E8951" s="2">
        <v>3668175</v>
      </c>
      <c r="F8951" s="4" t="str">
        <f>IF(B8951=B8950,"",B8951)</f>
        <v>Segovia</v>
      </c>
    </row>
    <row r="8952" spans="1:6" ht="15.75" customHeight="1">
      <c r="A8952" s="6" t="s">
        <v>5610</v>
      </c>
      <c r="B8952" s="6" t="s">
        <v>5610</v>
      </c>
      <c r="C8952" s="6" t="s">
        <v>24200</v>
      </c>
      <c r="D8952" s="6" t="s">
        <v>24210</v>
      </c>
      <c r="E8952" s="2">
        <v>3109256</v>
      </c>
      <c r="F8952" s="4" t="str">
        <f>IF(B8952=B8951,"",B8952)</f>
        <v/>
      </c>
    </row>
    <row r="8953" spans="1:6" ht="15.75" customHeight="1">
      <c r="A8953" s="5" t="str">
        <f ca="1">IFERROR(__xludf.DUMMYFUNCTION("GOOGLETRANSLATE(B26878,""en"",""pt"")"),"Segovia")</f>
        <v>Segovia</v>
      </c>
      <c r="B8953" s="17" t="s">
        <v>5610</v>
      </c>
      <c r="C8953" s="17" t="s">
        <v>5348</v>
      </c>
      <c r="D8953" s="17" t="s">
        <v>5362</v>
      </c>
      <c r="E8953" s="10">
        <v>3668175</v>
      </c>
      <c r="F8953" s="4" t="str">
        <f>IF(B8953=B8952,"",B8953)</f>
        <v/>
      </c>
    </row>
    <row r="8954" spans="1:6" ht="15.75" customHeight="1">
      <c r="A8954" s="5" t="str">
        <f ca="1">IFERROR(__xludf.DUMMYFUNCTION("GOOGLETRANSLATE(B29275,""en"",""pt"")"),"Segovia")</f>
        <v>Segovia</v>
      </c>
      <c r="B8954" s="17" t="s">
        <v>5610</v>
      </c>
      <c r="C8954" s="17" t="s">
        <v>24200</v>
      </c>
      <c r="D8954" s="17" t="s">
        <v>32412</v>
      </c>
      <c r="E8954" s="10">
        <v>3109256</v>
      </c>
      <c r="F8954" s="4" t="str">
        <f>IF(B8954=B8953,"",B8954)</f>
        <v/>
      </c>
    </row>
    <row r="8955" spans="1:6" ht="15.75" customHeight="1">
      <c r="A8955" s="5" t="str">
        <f ca="1">IFERROR(__xludf.DUMMYFUNCTION("GOOGLETRANSLATE(B36681,""en"",""pt"")"),"Ségou")</f>
        <v>Ségou</v>
      </c>
      <c r="B8955" s="17" t="s">
        <v>34634</v>
      </c>
      <c r="C8955" s="17" t="s">
        <v>17596</v>
      </c>
      <c r="D8955" s="17" t="s">
        <v>34634</v>
      </c>
      <c r="E8955" s="10">
        <v>2451478</v>
      </c>
      <c r="F8955" s="4" t="str">
        <f>IF(B8955=B8954,"",B8955)</f>
        <v>Ségou</v>
      </c>
    </row>
    <row r="8956" spans="1:6" ht="15.75" customHeight="1">
      <c r="A8956" s="6" t="s">
        <v>23037</v>
      </c>
      <c r="B8956" s="6" t="s">
        <v>23037</v>
      </c>
      <c r="C8956" s="6" t="s">
        <v>22070</v>
      </c>
      <c r="D8956" s="6" t="s">
        <v>22559</v>
      </c>
      <c r="E8956" s="2">
        <v>497927</v>
      </c>
      <c r="F8956" s="4" t="str">
        <f>IF(B8956=B8955,"",B8956)</f>
        <v>Segezha</v>
      </c>
    </row>
    <row r="8957" spans="1:6" ht="15.75" customHeight="1">
      <c r="A8957" s="5" t="str">
        <f ca="1">IFERROR(__xludf.DUMMYFUNCTION("GOOGLETRANSLATE(B40132,""en"",""pt"")"),"Segezha")</f>
        <v>Segezha</v>
      </c>
      <c r="B8957" s="17" t="s">
        <v>23037</v>
      </c>
      <c r="C8957" s="17" t="s">
        <v>22070</v>
      </c>
      <c r="D8957" s="17" t="s">
        <v>22559</v>
      </c>
      <c r="E8957" s="10">
        <v>497927</v>
      </c>
      <c r="F8957" s="4" t="str">
        <f>IF(B8957=B8956,"",B8957)</f>
        <v/>
      </c>
    </row>
    <row r="8958" spans="1:6" ht="15.75" customHeight="1">
      <c r="A8958" s="5" t="s">
        <v>23686</v>
      </c>
      <c r="B8958" s="6" t="s">
        <v>23686</v>
      </c>
      <c r="C8958" s="5" t="s">
        <v>23676</v>
      </c>
      <c r="D8958" s="5" t="s">
        <v>6128</v>
      </c>
      <c r="E8958" s="2">
        <v>2404041</v>
      </c>
      <c r="F8958" s="4" t="str">
        <f>IF(B8958=B8957,"",B8958)</f>
        <v>Segbwema</v>
      </c>
    </row>
    <row r="8959" spans="1:6" ht="15.75" customHeight="1">
      <c r="A8959" s="5" t="str">
        <f ca="1">IFERROR(__xludf.DUMMYFUNCTION("GOOGLETRANSLATE(B41274,""en"",""pt"")"),"Segbwema")</f>
        <v>Segbwema</v>
      </c>
      <c r="B8959" s="17" t="s">
        <v>23686</v>
      </c>
      <c r="C8959" s="17" t="s">
        <v>23676</v>
      </c>
      <c r="D8959" s="17" t="s">
        <v>6128</v>
      </c>
      <c r="E8959" s="10">
        <v>2404041</v>
      </c>
      <c r="F8959" s="4" t="str">
        <f>IF(B8959=B8958,"",B8959)</f>
        <v/>
      </c>
    </row>
    <row r="8960" spans="1:6" ht="15.75" customHeight="1">
      <c r="A8960" s="6" t="s">
        <v>17560</v>
      </c>
      <c r="B8960" s="6" t="s">
        <v>17560</v>
      </c>
      <c r="C8960" s="6" t="s">
        <v>17432</v>
      </c>
      <c r="D8960" s="6" t="s">
        <v>17442</v>
      </c>
      <c r="E8960" s="2">
        <v>1732846</v>
      </c>
      <c r="F8960" s="4" t="str">
        <f>IF(B8960=B8959,"",B8960)</f>
        <v>Segamat</v>
      </c>
    </row>
    <row r="8961" spans="1:6" ht="15.75" customHeight="1">
      <c r="A8961" s="5" t="str">
        <f ca="1">IFERROR(__xludf.DUMMYFUNCTION("GOOGLETRANSLATE(B37419,""en"",""pt"")"),"Segamat")</f>
        <v>Segamat</v>
      </c>
      <c r="B8961" s="17" t="s">
        <v>17560</v>
      </c>
      <c r="C8961" s="17" t="s">
        <v>17432</v>
      </c>
      <c r="D8961" s="17" t="s">
        <v>17442</v>
      </c>
      <c r="E8961" s="10">
        <v>1732846</v>
      </c>
      <c r="F8961" s="4" t="str">
        <f>IF(B8961=B8960,"",B8961)</f>
        <v/>
      </c>
    </row>
    <row r="8962" spans="1:6" ht="15.75" customHeight="1">
      <c r="A8962" s="6" t="s">
        <v>18622</v>
      </c>
      <c r="B8962" s="6" t="s">
        <v>18622</v>
      </c>
      <c r="C8962" s="6" t="s">
        <v>18551</v>
      </c>
      <c r="D8962" s="6" t="s">
        <v>18585</v>
      </c>
      <c r="E8962" s="2">
        <v>2537545</v>
      </c>
      <c r="F8962" s="4" t="str">
        <f>IF(B8962=B8961,"",B8962)</f>
        <v>Sefrou</v>
      </c>
    </row>
    <row r="8963" spans="1:6" ht="15.75" customHeight="1">
      <c r="A8963" s="5" t="str">
        <f ca="1">IFERROR(__xludf.DUMMYFUNCTION("GOOGLETRANSLATE(B36475,""en"",""pt"")"),"Sefrou")</f>
        <v>Sefrou</v>
      </c>
      <c r="B8963" s="17" t="s">
        <v>18622</v>
      </c>
      <c r="C8963" s="17" t="s">
        <v>18551</v>
      </c>
      <c r="D8963" s="17" t="s">
        <v>34589</v>
      </c>
      <c r="E8963" s="10">
        <v>2537545</v>
      </c>
      <c r="F8963" s="4" t="str">
        <f>IF(B8963=B8962,"",B8963)</f>
        <v/>
      </c>
    </row>
    <row r="8964" spans="1:6" ht="15.75" customHeight="1">
      <c r="A8964" s="5" t="s">
        <v>26688</v>
      </c>
      <c r="B8964" s="6" t="s">
        <v>26688</v>
      </c>
      <c r="C8964" s="5" t="s">
        <v>26201</v>
      </c>
      <c r="D8964" s="5" t="s">
        <v>26213</v>
      </c>
      <c r="E8964" s="2">
        <v>301350</v>
      </c>
      <c r="F8964" s="4" t="str">
        <f>IF(B8964=B8963,"",B8964)</f>
        <v>Seferhisar</v>
      </c>
    </row>
    <row r="8965" spans="1:6" ht="15.75" customHeight="1">
      <c r="A8965" s="5" t="str">
        <f ca="1">IFERROR(__xludf.DUMMYFUNCTION("GOOGLETRANSLATE(B41910,""en"",""pt"")"),"Seferhisar")</f>
        <v>Seferhisar</v>
      </c>
      <c r="B8965" s="17" t="s">
        <v>26688</v>
      </c>
      <c r="C8965" s="17" t="s">
        <v>26201</v>
      </c>
      <c r="D8965" s="17" t="s">
        <v>35825</v>
      </c>
      <c r="E8965" s="10">
        <v>301350</v>
      </c>
      <c r="F8965" s="4" t="str">
        <f>IF(B8965=B8964,"",B8965)</f>
        <v/>
      </c>
    </row>
    <row r="8966" spans="1:6" ht="15.75" customHeight="1">
      <c r="A8966" s="6" t="s">
        <v>9127</v>
      </c>
      <c r="B8966" s="6" t="s">
        <v>9127</v>
      </c>
      <c r="C8966" s="6" t="s">
        <v>8028</v>
      </c>
      <c r="D8966" s="6" t="s">
        <v>8034</v>
      </c>
      <c r="E8966" s="2">
        <v>2833564</v>
      </c>
      <c r="F8966" s="4" t="str">
        <f>IF(B8966=B8965,"",B8966)</f>
        <v>Seevetal</v>
      </c>
    </row>
    <row r="8967" spans="1:6" ht="15.75" customHeight="1">
      <c r="A8967" s="5" t="str">
        <f ca="1">IFERROR(__xludf.DUMMYFUNCTION("GOOGLETRANSLATE(B27537,""en"",""pt"")"),"Seevetal")</f>
        <v>Seevetal</v>
      </c>
      <c r="B8967" s="17" t="s">
        <v>9127</v>
      </c>
      <c r="C8967" s="17" t="s">
        <v>8028</v>
      </c>
      <c r="D8967" s="17" t="s">
        <v>8034</v>
      </c>
      <c r="E8967" s="10">
        <v>2833564</v>
      </c>
      <c r="F8967" s="4" t="str">
        <f>IF(B8967=B8966,"",B8967)</f>
        <v/>
      </c>
    </row>
    <row r="8968" spans="1:6" ht="15.75" customHeight="1">
      <c r="A8968" s="6" t="s">
        <v>9126</v>
      </c>
      <c r="B8968" s="6" t="s">
        <v>9126</v>
      </c>
      <c r="C8968" s="6" t="s">
        <v>8028</v>
      </c>
      <c r="D8968" s="6" t="s">
        <v>8034</v>
      </c>
      <c r="E8968" s="2">
        <v>2833592</v>
      </c>
      <c r="F8968" s="4" t="str">
        <f>IF(B8968=B8967,"",B8968)</f>
        <v>Seesen</v>
      </c>
    </row>
    <row r="8969" spans="1:6" ht="15.75" customHeight="1">
      <c r="A8969" s="5" t="str">
        <f ca="1">IFERROR(__xludf.DUMMYFUNCTION("GOOGLETRANSLATE(B27538,""en"",""pt"")"),"Seesen")</f>
        <v>Seesen</v>
      </c>
      <c r="B8969" s="17" t="s">
        <v>9126</v>
      </c>
      <c r="C8969" s="17" t="s">
        <v>8028</v>
      </c>
      <c r="D8969" s="17" t="s">
        <v>8034</v>
      </c>
      <c r="E8969" s="10">
        <v>2833592</v>
      </c>
      <c r="F8969" s="4" t="str">
        <f>IF(B8969=B8968,"",B8969)</f>
        <v/>
      </c>
    </row>
    <row r="8970" spans="1:6" ht="15.75" customHeight="1">
      <c r="A8970" s="5" t="s">
        <v>25308</v>
      </c>
      <c r="B8970" s="6" t="s">
        <v>25309</v>
      </c>
      <c r="C8970" s="5" t="s">
        <v>25237</v>
      </c>
      <c r="D8970" s="5" t="s">
        <v>25240</v>
      </c>
      <c r="E8970" s="2">
        <v>6295531</v>
      </c>
      <c r="F8970" s="4" t="str">
        <f>IF(B8970=B8969,"",B8970)</f>
        <v>Seen (Kreis 3)</v>
      </c>
    </row>
    <row r="8971" spans="1:6" ht="15.75" customHeight="1">
      <c r="A8971" s="5" t="str">
        <f ca="1">IFERROR(__xludf.DUMMYFUNCTION("GOOGLETRANSLATE(B25814,""en"",""pt"")"),"Visto (Kreis 3)")</f>
        <v>Visto (Kreis 3)</v>
      </c>
      <c r="B8971" s="17" t="s">
        <v>25309</v>
      </c>
      <c r="C8971" s="17" t="s">
        <v>25237</v>
      </c>
      <c r="D8971" s="17" t="s">
        <v>25240</v>
      </c>
      <c r="E8971" s="10">
        <v>6295531</v>
      </c>
      <c r="F8971" s="4" t="str">
        <f>IF(B8971=B8970,"",B8971)</f>
        <v/>
      </c>
    </row>
    <row r="8972" spans="1:6" ht="15.75" customHeight="1">
      <c r="A8972" s="6" t="s">
        <v>9125</v>
      </c>
      <c r="B8972" s="6" t="s">
        <v>9125</v>
      </c>
      <c r="C8972" s="6" t="s">
        <v>8028</v>
      </c>
      <c r="D8972" s="6" t="s">
        <v>8034</v>
      </c>
      <c r="E8972" s="2">
        <v>2833641</v>
      </c>
      <c r="F8972" s="4" t="str">
        <f>IF(B8972=B8971,"",B8972)</f>
        <v>Seelze</v>
      </c>
    </row>
    <row r="8973" spans="1:6" ht="15.75" customHeight="1">
      <c r="A8973" s="5" t="str">
        <f ca="1">IFERROR(__xludf.DUMMYFUNCTION("GOOGLETRANSLATE(B27539,""en"",""pt"")"),"Seelze")</f>
        <v>Seelze</v>
      </c>
      <c r="B8973" s="17" t="s">
        <v>9125</v>
      </c>
      <c r="C8973" s="17" t="s">
        <v>8028</v>
      </c>
      <c r="D8973" s="17" t="s">
        <v>8034</v>
      </c>
      <c r="E8973" s="10">
        <v>2833641</v>
      </c>
      <c r="F8973" s="4" t="str">
        <f>IF(B8973=B8972,"",B8973)</f>
        <v/>
      </c>
    </row>
    <row r="8974" spans="1:6" ht="15.75" customHeight="1">
      <c r="A8974" s="5" t="s">
        <v>9124</v>
      </c>
      <c r="B8974" s="6" t="s">
        <v>9124</v>
      </c>
      <c r="C8974" s="5" t="s">
        <v>8028</v>
      </c>
      <c r="D8974" s="5" t="s">
        <v>8050</v>
      </c>
      <c r="E8974" s="2">
        <v>3337504</v>
      </c>
      <c r="F8974" s="4" t="str">
        <f>IF(B8974=B8973,"",B8974)</f>
        <v>Seeheim-Jugenheim</v>
      </c>
    </row>
    <row r="8975" spans="1:6" ht="15.75" customHeight="1">
      <c r="A8975" s="5" t="str">
        <f ca="1">IFERROR(__xludf.DUMMYFUNCTION("GOOGLETRANSLATE(B28364,""en"",""pt"")"),"Seeheim-Jugenheim")</f>
        <v>Seeheim-Jugenheim</v>
      </c>
      <c r="B8975" s="17" t="s">
        <v>9124</v>
      </c>
      <c r="C8975" s="17" t="s">
        <v>8028</v>
      </c>
      <c r="D8975" s="17" t="s">
        <v>8050</v>
      </c>
      <c r="E8975" s="10">
        <v>3337504</v>
      </c>
      <c r="F8975" s="4" t="str">
        <f>IF(B8975=B8974,"",B8975)</f>
        <v/>
      </c>
    </row>
    <row r="8976" spans="1:6" ht="15.75" customHeight="1">
      <c r="A8976" s="6" t="s">
        <v>19797</v>
      </c>
      <c r="B8976" s="6" t="s">
        <v>19797</v>
      </c>
      <c r="C8976" s="6" t="s">
        <v>19755</v>
      </c>
      <c r="D8976" s="6" t="s">
        <v>19785</v>
      </c>
      <c r="E8976" s="2">
        <v>288967</v>
      </c>
      <c r="F8976" s="4" t="str">
        <f>IF(B8976=B8975,"",B8976)</f>
        <v>Seeb</v>
      </c>
    </row>
    <row r="8977" spans="1:6" ht="15.75" customHeight="1">
      <c r="A8977" s="5" t="str">
        <f ca="1">IFERROR(__xludf.DUMMYFUNCTION("GOOGLETRANSLATE(B38270,""en"",""pt"")"),"Seeb")</f>
        <v>Seeb</v>
      </c>
      <c r="B8977" s="17" t="s">
        <v>19797</v>
      </c>
      <c r="C8977" s="17" t="s">
        <v>19755</v>
      </c>
      <c r="D8977" s="17" t="s">
        <v>34849</v>
      </c>
      <c r="E8977" s="10">
        <v>288967</v>
      </c>
      <c r="F8977" s="4" t="str">
        <f>IF(B8977=B8976,"",B8977)</f>
        <v/>
      </c>
    </row>
    <row r="8978" spans="1:6" ht="15.75" customHeight="1">
      <c r="A8978" s="6" t="s">
        <v>447</v>
      </c>
      <c r="B8978" s="6" t="s">
        <v>447</v>
      </c>
      <c r="C8978" s="6" t="s">
        <v>153</v>
      </c>
      <c r="D8978" s="6" t="s">
        <v>448</v>
      </c>
      <c r="E8978" s="2">
        <v>2482090</v>
      </c>
      <c r="F8978" s="4" t="str">
        <f>IF(B8978=B8977,"",B8978)</f>
        <v>Sedrata</v>
      </c>
    </row>
    <row r="8979" spans="1:6" ht="15.75" customHeight="1">
      <c r="A8979" s="5" t="str">
        <f ca="1">IFERROR(__xludf.DUMMYFUNCTION("GOOGLETRANSLATE(B28546,""en"",""pt"")"),"Sedrata")</f>
        <v>Sedrata</v>
      </c>
      <c r="B8979" s="17" t="s">
        <v>447</v>
      </c>
      <c r="C8979" s="17" t="s">
        <v>153</v>
      </c>
      <c r="D8979" s="17" t="s">
        <v>448</v>
      </c>
      <c r="E8979" s="10">
        <v>2482090</v>
      </c>
      <c r="F8979" s="4" t="str">
        <f>IF(B8979=B8978,"",B8979)</f>
        <v/>
      </c>
    </row>
    <row r="8980" spans="1:6" ht="15.75" customHeight="1">
      <c r="A8980" s="5" t="str">
        <f ca="1">IFERROR(__xludf.DUMMYFUNCTION("GOOGLETRANSLATE(B41290,""en"",""pt"")"),"Sédhiou")</f>
        <v>Sédhiou</v>
      </c>
      <c r="B8980" s="17" t="s">
        <v>35706</v>
      </c>
      <c r="C8980" s="17" t="s">
        <v>23559</v>
      </c>
      <c r="D8980" s="17" t="s">
        <v>35706</v>
      </c>
      <c r="E8980" s="10">
        <v>2245704</v>
      </c>
      <c r="F8980" s="4" t="str">
        <f>IF(B8980=B8979,"",B8980)</f>
        <v>Sédhiou</v>
      </c>
    </row>
    <row r="8981" spans="1:6" ht="15.75" customHeight="1">
      <c r="A8981" s="6" t="s">
        <v>14874</v>
      </c>
      <c r="B8981" s="6" t="s">
        <v>14874</v>
      </c>
      <c r="C8981" s="6" t="s">
        <v>14773</v>
      </c>
      <c r="D8981" s="6" t="s">
        <v>14779</v>
      </c>
      <c r="E8981" s="2">
        <v>293619</v>
      </c>
      <c r="F8981" s="4" t="str">
        <f>IF(B8981=B8980,"",B8981)</f>
        <v>Sederot</v>
      </c>
    </row>
    <row r="8982" spans="1:6" ht="15.75" customHeight="1">
      <c r="A8982" s="5" t="str">
        <f ca="1">IFERROR(__xludf.DUMMYFUNCTION("GOOGLETRANSLATE(B31767,""en"",""pt"")"),"Sederot")</f>
        <v>Sederot</v>
      </c>
      <c r="B8982" s="17" t="s">
        <v>14874</v>
      </c>
      <c r="C8982" s="17" t="s">
        <v>14773</v>
      </c>
      <c r="D8982" s="17" t="s">
        <v>14779</v>
      </c>
      <c r="E8982" s="10">
        <v>293619</v>
      </c>
      <c r="F8982" s="4" t="str">
        <f>IF(B8982=B8981,"",B8982)</f>
        <v/>
      </c>
    </row>
    <row r="8983" spans="1:6" ht="15.75" customHeight="1">
      <c r="A8983" s="6" t="s">
        <v>446</v>
      </c>
      <c r="B8983" s="6" t="s">
        <v>446</v>
      </c>
      <c r="C8983" s="6" t="s">
        <v>153</v>
      </c>
      <c r="D8983" s="6" t="s">
        <v>221</v>
      </c>
      <c r="E8983" s="2">
        <v>2482159</v>
      </c>
      <c r="F8983" s="4" t="str">
        <f>IF(B8983=B8982,"",B8983)</f>
        <v>Seddouk</v>
      </c>
    </row>
    <row r="8984" spans="1:6" ht="15.75" customHeight="1">
      <c r="A8984" s="5" t="str">
        <f ca="1">IFERROR(__xludf.DUMMYFUNCTION("GOOGLETRANSLATE(B28547,""en"",""pt"")"),"Seddouk")</f>
        <v>Seddouk</v>
      </c>
      <c r="B8984" s="17" t="s">
        <v>446</v>
      </c>
      <c r="C8984" s="17" t="s">
        <v>153</v>
      </c>
      <c r="D8984" s="17" t="s">
        <v>32182</v>
      </c>
      <c r="E8984" s="10">
        <v>2482159</v>
      </c>
      <c r="F8984" s="4" t="str">
        <f>IF(B8984=B8983,"",B8984)</f>
        <v/>
      </c>
    </row>
    <row r="8985" spans="1:6" ht="15.75" customHeight="1">
      <c r="A8985" s="6" t="s">
        <v>7819</v>
      </c>
      <c r="B8985" s="6" t="s">
        <v>7819</v>
      </c>
      <c r="C8985" s="6" t="s">
        <v>7052</v>
      </c>
      <c r="D8985" s="6" t="s">
        <v>7061</v>
      </c>
      <c r="E8985" s="2">
        <v>2975349</v>
      </c>
      <c r="F8985" s="4" t="str">
        <f>IF(B8985=B8984,"",B8985)</f>
        <v>Sedan</v>
      </c>
    </row>
    <row r="8986" spans="1:6" ht="15.75" customHeight="1">
      <c r="A8986" s="5" t="str">
        <f ca="1">IFERROR(__xludf.DUMMYFUNCTION("GOOGLETRANSLATE(B29759,""en"",""pt"")"),"Sedan")</f>
        <v>Sedan</v>
      </c>
      <c r="B8986" s="17" t="s">
        <v>7819</v>
      </c>
      <c r="C8986" s="17" t="s">
        <v>7052</v>
      </c>
      <c r="D8986" s="17" t="s">
        <v>7061</v>
      </c>
      <c r="E8986" s="10">
        <v>2975349</v>
      </c>
      <c r="F8986" s="4" t="str">
        <f>IF(B8986=B8985,"",B8986)</f>
        <v/>
      </c>
    </row>
    <row r="8987" spans="1:6" ht="15.75" customHeight="1">
      <c r="A8987" s="6" t="s">
        <v>29952</v>
      </c>
      <c r="B8987" s="6" t="s">
        <v>29952</v>
      </c>
      <c r="C8987" s="6" t="s">
        <v>27788</v>
      </c>
      <c r="D8987" s="6" t="s">
        <v>27806</v>
      </c>
      <c r="E8987" s="2">
        <v>4408000</v>
      </c>
      <c r="F8987" s="4" t="str">
        <f>IF(B8987=B8986,"",B8987)</f>
        <v>Sedalia</v>
      </c>
    </row>
    <row r="8988" spans="1:6" ht="15.75" customHeight="1">
      <c r="A8988" s="5" t="str">
        <f ca="1">IFERROR(__xludf.DUMMYFUNCTION("GOOGLETRANSLATE(B43390,""en"",""pt"")"),"Sedalia")</f>
        <v>Sedalia</v>
      </c>
      <c r="B8988" s="17" t="s">
        <v>29952</v>
      </c>
      <c r="C8988" s="17" t="s">
        <v>27788</v>
      </c>
      <c r="D8988" s="17" t="s">
        <v>27806</v>
      </c>
      <c r="E8988" s="10">
        <v>4408000</v>
      </c>
      <c r="F8988" s="4" t="str">
        <f>IF(B8988=B8987,"",B8988)</f>
        <v/>
      </c>
    </row>
    <row r="8989" spans="1:6" ht="15.75" customHeight="1">
      <c r="A8989" s="5" t="s">
        <v>29950</v>
      </c>
      <c r="B8989" s="6" t="s">
        <v>29951</v>
      </c>
      <c r="C8989" s="5" t="s">
        <v>27788</v>
      </c>
      <c r="D8989" s="5" t="s">
        <v>2341</v>
      </c>
      <c r="E8989" s="2">
        <v>7262349</v>
      </c>
      <c r="F8989" s="4" t="str">
        <f>IF(B8989=B8988,"",B8989)</f>
        <v>Security-Widefield</v>
      </c>
    </row>
    <row r="8990" spans="1:6" ht="15.75" customHeight="1">
      <c r="A8990" s="5" t="str">
        <f ca="1">IFERROR(__xludf.DUMMYFUNCTION("GOOGLETRANSLATE(B45450,""en"",""pt"")"),"Em todo o campo")</f>
        <v>Em todo o campo</v>
      </c>
      <c r="B8990" s="17" t="s">
        <v>29951</v>
      </c>
      <c r="C8990" s="17" t="s">
        <v>27788</v>
      </c>
      <c r="D8990" s="17" t="s">
        <v>2341</v>
      </c>
      <c r="E8990" s="10">
        <v>7262349</v>
      </c>
      <c r="F8990" s="4" t="str">
        <f>IF(B8990=B8989,"",B8990)</f>
        <v/>
      </c>
    </row>
    <row r="8991" spans="1:6" ht="15.75" customHeight="1">
      <c r="A8991" s="5" t="s">
        <v>13267</v>
      </c>
      <c r="B8991" s="6" t="s">
        <v>13267</v>
      </c>
      <c r="C8991" s="5" t="s">
        <v>10178</v>
      </c>
      <c r="D8991" s="5" t="s">
        <v>10187</v>
      </c>
      <c r="E8991" s="2">
        <v>1256922</v>
      </c>
      <c r="F8991" s="4" t="str">
        <f>IF(B8991=B8990,"",B8991)</f>
        <v>Secunderabad</v>
      </c>
    </row>
    <row r="8992" spans="1:6" ht="15.75" customHeight="1">
      <c r="A8992" s="5" t="str">
        <f ca="1">IFERROR(__xludf.DUMMYFUNCTION("GOOGLETRANSLATE(B32213,""en"",""pt"")"),"Secunderabad")</f>
        <v>Secunderabad</v>
      </c>
      <c r="B8992" s="17" t="s">
        <v>13267</v>
      </c>
      <c r="C8992" s="17" t="s">
        <v>10178</v>
      </c>
      <c r="D8992" s="17" t="s">
        <v>10187</v>
      </c>
      <c r="E8992" s="10">
        <v>1256922</v>
      </c>
      <c r="F8992" s="4" t="str">
        <f>IF(B8992=B8991,"",B8992)</f>
        <v/>
      </c>
    </row>
    <row r="8993" spans="1:6" ht="15.75" customHeight="1">
      <c r="A8993" s="6" t="s">
        <v>23977</v>
      </c>
      <c r="B8993" s="6" t="s">
        <v>23977</v>
      </c>
      <c r="C8993" s="6" t="s">
        <v>23842</v>
      </c>
      <c r="D8993" s="6" t="s">
        <v>23849</v>
      </c>
      <c r="E8993" s="2">
        <v>956767</v>
      </c>
      <c r="F8993" s="4" t="str">
        <f>IF(B8993=B8992,"",B8993)</f>
        <v>Secunda</v>
      </c>
    </row>
    <row r="8994" spans="1:6" ht="15.75" customHeight="1">
      <c r="A8994" s="5" t="str">
        <f ca="1">IFERROR(__xludf.DUMMYFUNCTION("GOOGLETRANSLATE(B45878,""en"",""pt"")"),"Secunda")</f>
        <v>Secunda</v>
      </c>
      <c r="B8994" s="17" t="s">
        <v>23977</v>
      </c>
      <c r="C8994" s="17" t="s">
        <v>23842</v>
      </c>
      <c r="D8994" s="17" t="s">
        <v>23849</v>
      </c>
      <c r="E8994" s="10">
        <v>956767</v>
      </c>
      <c r="F8994" s="4" t="str">
        <f>IF(B8994=B8993,"",B8994)</f>
        <v/>
      </c>
    </row>
    <row r="8995" spans="1:6" ht="15.75" customHeight="1">
      <c r="A8995" s="6" t="s">
        <v>22027</v>
      </c>
      <c r="B8995" s="6" t="s">
        <v>22028</v>
      </c>
      <c r="C8995" s="6" t="s">
        <v>21824</v>
      </c>
      <c r="D8995" s="6" t="s">
        <v>21871</v>
      </c>
      <c r="E8995" s="2">
        <v>11048323</v>
      </c>
      <c r="F8995" s="4" t="str">
        <f>IF(B8995=B8994,"",B8995)</f>
        <v>Sector 6</v>
      </c>
    </row>
    <row r="8996" spans="1:6" ht="15.75" customHeight="1">
      <c r="A8996" s="5" t="str">
        <f ca="1">IFERROR(__xludf.DUMMYFUNCTION("GOOGLETRANSLATE(B39856,""en"",""pt"")"),"Setor 6")</f>
        <v>Setor 6</v>
      </c>
      <c r="B8996" s="17" t="s">
        <v>22028</v>
      </c>
      <c r="C8996" s="17" t="s">
        <v>21824</v>
      </c>
      <c r="D8996" s="17" t="s">
        <v>35400</v>
      </c>
      <c r="E8996" s="10">
        <v>11048323</v>
      </c>
      <c r="F8996" s="4" t="str">
        <f>IF(B8996=B8995,"",B8996)</f>
        <v/>
      </c>
    </row>
    <row r="8997" spans="1:6" ht="15.75" customHeight="1">
      <c r="A8997" s="6" t="s">
        <v>22025</v>
      </c>
      <c r="B8997" s="6" t="s">
        <v>22026</v>
      </c>
      <c r="C8997" s="6" t="s">
        <v>21824</v>
      </c>
      <c r="D8997" s="6" t="s">
        <v>21871</v>
      </c>
      <c r="E8997" s="2">
        <v>11048322</v>
      </c>
      <c r="F8997" s="4" t="str">
        <f>IF(B8997=B8996,"",B8997)</f>
        <v>Sector 5</v>
      </c>
    </row>
    <row r="8998" spans="1:6" ht="15.75" customHeight="1">
      <c r="A8998" s="5" t="str">
        <f ca="1">IFERROR(__xludf.DUMMYFUNCTION("GOOGLETRANSLATE(B39855,""en"",""pt"")"),"Setor 5")</f>
        <v>Setor 5</v>
      </c>
      <c r="B8998" s="17" t="s">
        <v>22026</v>
      </c>
      <c r="C8998" s="17" t="s">
        <v>21824</v>
      </c>
      <c r="D8998" s="17" t="s">
        <v>35400</v>
      </c>
      <c r="E8998" s="10">
        <v>11048322</v>
      </c>
      <c r="F8998" s="4" t="str">
        <f>IF(B8998=B8997,"",B8998)</f>
        <v/>
      </c>
    </row>
    <row r="8999" spans="1:6" ht="15.75" customHeight="1">
      <c r="A8999" s="6" t="s">
        <v>22023</v>
      </c>
      <c r="B8999" s="6" t="s">
        <v>22024</v>
      </c>
      <c r="C8999" s="6" t="s">
        <v>21824</v>
      </c>
      <c r="D8999" s="6" t="s">
        <v>21871</v>
      </c>
      <c r="E8999" s="2">
        <v>11048320</v>
      </c>
      <c r="F8999" s="4" t="str">
        <f>IF(B8999=B8998,"",B8999)</f>
        <v>Sector 4</v>
      </c>
    </row>
    <row r="9000" spans="1:6" ht="15.75" customHeight="1">
      <c r="A9000" s="5" t="str">
        <f ca="1">IFERROR(__xludf.DUMMYFUNCTION("GOOGLETRANSLATE(B39854,""en"",""pt"")"),"Setor 4")</f>
        <v>Setor 4</v>
      </c>
      <c r="B9000" s="17" t="s">
        <v>22024</v>
      </c>
      <c r="C9000" s="17" t="s">
        <v>21824</v>
      </c>
      <c r="D9000" s="17" t="s">
        <v>35400</v>
      </c>
      <c r="E9000" s="10">
        <v>11048320</v>
      </c>
      <c r="F9000" s="4" t="str">
        <f>IF(B9000=B8999,"",B9000)</f>
        <v/>
      </c>
    </row>
    <row r="9001" spans="1:6" ht="15.75" customHeight="1">
      <c r="A9001" s="6" t="s">
        <v>22021</v>
      </c>
      <c r="B9001" s="6" t="s">
        <v>22022</v>
      </c>
      <c r="C9001" s="6" t="s">
        <v>21824</v>
      </c>
      <c r="D9001" s="6" t="s">
        <v>21871</v>
      </c>
      <c r="E9001" s="2">
        <v>11048319</v>
      </c>
      <c r="F9001" s="4" t="str">
        <f>IF(B9001=B9000,"",B9001)</f>
        <v>Sector 3</v>
      </c>
    </row>
    <row r="9002" spans="1:6" ht="15.75" customHeight="1">
      <c r="A9002" s="5" t="str">
        <f ca="1">IFERROR(__xludf.DUMMYFUNCTION("GOOGLETRANSLATE(B39853,""en"",""pt"")"),"Setor 3")</f>
        <v>Setor 3</v>
      </c>
      <c r="B9002" s="17" t="s">
        <v>22022</v>
      </c>
      <c r="C9002" s="17" t="s">
        <v>21824</v>
      </c>
      <c r="D9002" s="17" t="s">
        <v>35400</v>
      </c>
      <c r="E9002" s="10">
        <v>11048319</v>
      </c>
      <c r="F9002" s="4" t="str">
        <f>IF(B9002=B9001,"",B9002)</f>
        <v/>
      </c>
    </row>
    <row r="9003" spans="1:6" ht="15.75" customHeight="1">
      <c r="A9003" s="6" t="s">
        <v>22019</v>
      </c>
      <c r="B9003" s="6" t="s">
        <v>22020</v>
      </c>
      <c r="C9003" s="6" t="s">
        <v>21824</v>
      </c>
      <c r="D9003" s="6" t="s">
        <v>21871</v>
      </c>
      <c r="E9003" s="2">
        <v>11048318</v>
      </c>
      <c r="F9003" s="4" t="str">
        <f>IF(B9003=B9002,"",B9003)</f>
        <v>Sector 2</v>
      </c>
    </row>
    <row r="9004" spans="1:6" ht="15.75" customHeight="1">
      <c r="A9004" s="5" t="str">
        <f ca="1">IFERROR(__xludf.DUMMYFUNCTION("GOOGLETRANSLATE(B39852,""en"",""pt"")"),"Setor 2")</f>
        <v>Setor 2</v>
      </c>
      <c r="B9004" s="17" t="s">
        <v>22020</v>
      </c>
      <c r="C9004" s="17" t="s">
        <v>21824</v>
      </c>
      <c r="D9004" s="17" t="s">
        <v>35400</v>
      </c>
      <c r="E9004" s="10">
        <v>11048318</v>
      </c>
      <c r="F9004" s="4" t="str">
        <f>IF(B9004=B9003,"",B9004)</f>
        <v/>
      </c>
    </row>
    <row r="9005" spans="1:6" ht="15.75" customHeight="1">
      <c r="A9005" s="6" t="s">
        <v>22017</v>
      </c>
      <c r="B9005" s="6" t="s">
        <v>22018</v>
      </c>
      <c r="C9005" s="6" t="s">
        <v>21824</v>
      </c>
      <c r="D9005" s="6" t="s">
        <v>21871</v>
      </c>
      <c r="E9005" s="2">
        <v>11048317</v>
      </c>
      <c r="F9005" s="4" t="str">
        <f>IF(B9005=B9004,"",B9005)</f>
        <v>Sector 1</v>
      </c>
    </row>
    <row r="9006" spans="1:6" ht="15.75" customHeight="1">
      <c r="A9006" s="5" t="str">
        <f ca="1">IFERROR(__xludf.DUMMYFUNCTION("GOOGLETRANSLATE(B39851,""en"",""pt"")"),"Setor 1")</f>
        <v>Setor 1</v>
      </c>
      <c r="B9006" s="17" t="s">
        <v>22018</v>
      </c>
      <c r="C9006" s="17" t="s">
        <v>21824</v>
      </c>
      <c r="D9006" s="17" t="s">
        <v>35400</v>
      </c>
      <c r="E9006" s="10">
        <v>11048317</v>
      </c>
      <c r="F9006" s="4" t="str">
        <f>IF(B9006=B9005,"",B9006)</f>
        <v/>
      </c>
    </row>
    <row r="9007" spans="1:6" ht="15.75" customHeight="1">
      <c r="A9007" s="6" t="s">
        <v>20577</v>
      </c>
      <c r="B9007" s="6" t="s">
        <v>20577</v>
      </c>
      <c r="C9007" s="6" t="s">
        <v>20470</v>
      </c>
      <c r="D9007" s="6" t="s">
        <v>20486</v>
      </c>
      <c r="E9007" s="2">
        <v>3691954</v>
      </c>
      <c r="F9007" s="4" t="str">
        <f>IF(B9007=B9006,"",B9007)</f>
        <v>Sechura</v>
      </c>
    </row>
    <row r="9008" spans="1:6" ht="15.75" customHeight="1">
      <c r="A9008" s="5" t="str">
        <f ca="1">IFERROR(__xludf.DUMMYFUNCTION("GOOGLETRANSLATE(B38311,""en"",""pt"")"),"Sechura")</f>
        <v>Sechura</v>
      </c>
      <c r="B9008" s="17" t="s">
        <v>20577</v>
      </c>
      <c r="C9008" s="17" t="s">
        <v>20470</v>
      </c>
      <c r="D9008" s="17" t="s">
        <v>20486</v>
      </c>
      <c r="E9008" s="10">
        <v>3691954</v>
      </c>
      <c r="F9008" s="4" t="str">
        <f>IF(B9008=B9007,"",B9008)</f>
        <v/>
      </c>
    </row>
    <row r="9009" spans="1:6" ht="15.75" customHeight="1">
      <c r="A9009" s="6" t="s">
        <v>29949</v>
      </c>
      <c r="B9009" s="6" t="s">
        <v>29949</v>
      </c>
      <c r="C9009" s="6" t="s">
        <v>27788</v>
      </c>
      <c r="D9009" s="6" t="s">
        <v>27905</v>
      </c>
      <c r="E9009" s="2">
        <v>5104504</v>
      </c>
      <c r="F9009" s="4" t="str">
        <f>IF(B9009=B9008,"",B9009)</f>
        <v>Secaucus</v>
      </c>
    </row>
    <row r="9010" spans="1:6" ht="15.75" customHeight="1">
      <c r="A9010" s="5" t="str">
        <f ca="1">IFERROR(__xludf.DUMMYFUNCTION("GOOGLETRANSLATE(B44310,""en"",""pt"")"),"Secaucus")</f>
        <v>Secaucus</v>
      </c>
      <c r="B9010" s="17" t="s">
        <v>29949</v>
      </c>
      <c r="C9010" s="17" t="s">
        <v>27788</v>
      </c>
      <c r="D9010" s="17" t="s">
        <v>27905</v>
      </c>
      <c r="E9010" s="10">
        <v>5104504</v>
      </c>
      <c r="F9010" s="4" t="str">
        <f>IF(B9010=B9009,"",B9010)</f>
        <v/>
      </c>
    </row>
    <row r="9011" spans="1:6" ht="15.75" customHeight="1">
      <c r="A9011" s="6" t="s">
        <v>21008</v>
      </c>
      <c r="B9011" s="6" t="s">
        <v>21008</v>
      </c>
      <c r="C9011" s="6" t="s">
        <v>20598</v>
      </c>
      <c r="D9011" s="6" t="s">
        <v>20606</v>
      </c>
      <c r="E9011" s="2">
        <v>1687029</v>
      </c>
      <c r="F9011" s="4" t="str">
        <f>IF(B9011=B9010,"",B9011)</f>
        <v>Sebu</v>
      </c>
    </row>
    <row r="9012" spans="1:6" ht="15.75" customHeight="1">
      <c r="A9012" s="5" t="str">
        <f ca="1">IFERROR(__xludf.DUMMYFUNCTION("GOOGLETRANSLATE(B38480,""en"",""pt"")"),"Sebu")</f>
        <v>Sebu</v>
      </c>
      <c r="B9012" s="17" t="s">
        <v>21008</v>
      </c>
      <c r="C9012" s="17" t="s">
        <v>20598</v>
      </c>
      <c r="D9012" s="17" t="s">
        <v>20606</v>
      </c>
      <c r="E9012" s="10">
        <v>1687029</v>
      </c>
      <c r="F9012" s="4" t="str">
        <f>IF(B9012=B9011,"",B9012)</f>
        <v/>
      </c>
    </row>
    <row r="9013" spans="1:6" ht="15.75" customHeight="1">
      <c r="A9013" s="5" t="str">
        <f ca="1">IFERROR(__xludf.DUMMYFUNCTION("GOOGLETRANSLATE(B42119,""en"",""pt"")"),"Şebin Karahisar")</f>
        <v>Şebin Karahisar</v>
      </c>
      <c r="B9013" s="17" t="s">
        <v>35924</v>
      </c>
      <c r="C9013" s="17" t="s">
        <v>26201</v>
      </c>
      <c r="D9013" s="17" t="s">
        <v>26350</v>
      </c>
      <c r="E9013" s="10">
        <v>739914</v>
      </c>
      <c r="F9013" s="4" t="str">
        <f>IF(B9013=B9012,"",B9013)</f>
        <v>Şebin Karahisar</v>
      </c>
    </row>
    <row r="9014" spans="1:6" ht="15.75" customHeight="1">
      <c r="A9014" s="6" t="s">
        <v>6917</v>
      </c>
      <c r="B9014" s="6" t="s">
        <v>6918</v>
      </c>
      <c r="C9014" s="6" t="s">
        <v>6807</v>
      </c>
      <c r="D9014" s="6" t="s">
        <v>6814</v>
      </c>
      <c r="E9014" s="2">
        <v>329114</v>
      </c>
      <c r="F9014" s="4" t="str">
        <f>IF(B9014=B9013,"",B9014)</f>
        <v>Sebeta</v>
      </c>
    </row>
    <row r="9015" spans="1:6" ht="15.75" customHeight="1">
      <c r="A9015" s="5" t="str">
        <f ca="1">IFERROR(__xludf.DUMMYFUNCTION("GOOGLETRANSLATE(B29528,""en"",""pt"")"),"Sebera")</f>
        <v>Sebera</v>
      </c>
      <c r="B9015" s="17" t="s">
        <v>6918</v>
      </c>
      <c r="C9015" s="17" t="s">
        <v>6807</v>
      </c>
      <c r="D9015" s="17" t="s">
        <v>6814</v>
      </c>
      <c r="E9015" s="10">
        <v>329114</v>
      </c>
      <c r="F9015" s="4" t="str">
        <f>IF(B9015=B9014,"",B9015)</f>
        <v/>
      </c>
    </row>
    <row r="9016" spans="1:6" ht="15.75" customHeight="1">
      <c r="A9016" s="5" t="str">
        <f ca="1">IFERROR(__xludf.DUMMYFUNCTION("GOOGLETRANSLATE(B39748,""en"",""pt"")"),"Sebeş")</f>
        <v>Sebeş</v>
      </c>
      <c r="B9016" s="17" t="s">
        <v>35352</v>
      </c>
      <c r="C9016" s="17" t="s">
        <v>21824</v>
      </c>
      <c r="D9016" s="17" t="s">
        <v>14917</v>
      </c>
      <c r="E9016" s="10">
        <v>667526</v>
      </c>
      <c r="F9016" s="4" t="str">
        <f>IF(B9016=B9015,"",B9016)</f>
        <v>Sebeş</v>
      </c>
    </row>
    <row r="9017" spans="1:6" ht="15.75" customHeight="1">
      <c r="A9017" s="6" t="s">
        <v>22015</v>
      </c>
      <c r="B9017" s="6" t="s">
        <v>22016</v>
      </c>
      <c r="C9017" s="6" t="s">
        <v>21824</v>
      </c>
      <c r="D9017" s="6" t="s">
        <v>14917</v>
      </c>
      <c r="E9017" s="2">
        <v>667526</v>
      </c>
      <c r="F9017" s="4" t="str">
        <f>IF(B9017=B9016,"",B9017)</f>
        <v>SebeÅŸ</v>
      </c>
    </row>
    <row r="9018" spans="1:6" ht="15.75" customHeight="1">
      <c r="A9018" s="6" t="s">
        <v>445</v>
      </c>
      <c r="B9018" s="6" t="s">
        <v>445</v>
      </c>
      <c r="C9018" s="6" t="s">
        <v>153</v>
      </c>
      <c r="D9018" s="6" t="s">
        <v>253</v>
      </c>
      <c r="E9018" s="2">
        <v>2482211</v>
      </c>
      <c r="F9018" s="4" t="str">
        <f>IF(B9018=B9017,"",B9018)</f>
        <v>Sebdou</v>
      </c>
    </row>
    <row r="9019" spans="1:6" ht="15.75" customHeight="1">
      <c r="A9019" s="5" t="str">
        <f ca="1">IFERROR(__xludf.DUMMYFUNCTION("GOOGLETRANSLATE(B28548,""en"",""pt"")"),"Sebdou")</f>
        <v>Sebdou</v>
      </c>
      <c r="B9019" s="17" t="s">
        <v>445</v>
      </c>
      <c r="C9019" s="17" t="s">
        <v>153</v>
      </c>
      <c r="D9019" s="17" t="s">
        <v>253</v>
      </c>
      <c r="E9019" s="10">
        <v>2482211</v>
      </c>
      <c r="F9019" s="4" t="str">
        <f>IF(B9019=B9018,"",B9019)</f>
        <v/>
      </c>
    </row>
    <row r="9020" spans="1:6" ht="15.75" customHeight="1">
      <c r="A9020" s="6" t="s">
        <v>29948</v>
      </c>
      <c r="B9020" s="6" t="s">
        <v>29948</v>
      </c>
      <c r="C9020" s="6" t="s">
        <v>27788</v>
      </c>
      <c r="D9020" s="6" t="s">
        <v>5468</v>
      </c>
      <c r="E9020" s="2">
        <v>4172372</v>
      </c>
      <c r="F9020" s="4" t="str">
        <f>IF(B9020=B9019,"",B9020)</f>
        <v>Sebastian</v>
      </c>
    </row>
    <row r="9021" spans="1:6" ht="15.75" customHeight="1">
      <c r="A9021" s="5" t="str">
        <f ca="1">IFERROR(__xludf.DUMMYFUNCTION("GOOGLETRANSLATE(B43014,""en"",""pt"")"),"Sebastian")</f>
        <v>Sebastian</v>
      </c>
      <c r="B9021" s="17" t="s">
        <v>29948</v>
      </c>
      <c r="C9021" s="17" t="s">
        <v>27788</v>
      </c>
      <c r="D9021" s="17" t="s">
        <v>5468</v>
      </c>
      <c r="E9021" s="10">
        <v>4172372</v>
      </c>
      <c r="F9021" s="4" t="str">
        <f>IF(B9021=B9020,"",B9021)</f>
        <v/>
      </c>
    </row>
    <row r="9022" spans="1:6" ht="15.75" customHeight="1">
      <c r="A9022" s="6" t="s">
        <v>29947</v>
      </c>
      <c r="B9022" s="6" t="s">
        <v>29947</v>
      </c>
      <c r="C9022" s="6" t="s">
        <v>27788</v>
      </c>
      <c r="D9022" s="6" t="s">
        <v>27733</v>
      </c>
      <c r="E9022" s="2">
        <v>5809844</v>
      </c>
      <c r="F9022" s="4" t="str">
        <f>IF(B9022=B9021,"",B9022)</f>
        <v>Seattle</v>
      </c>
    </row>
    <row r="9023" spans="1:6" ht="15.75" customHeight="1">
      <c r="A9023" s="5" t="str">
        <f ca="1">IFERROR(__xludf.DUMMYFUNCTION("GOOGLETRANSLATE(B45374,""en"",""pt"")"),"Seattle")</f>
        <v>Seattle</v>
      </c>
      <c r="B9023" s="17" t="s">
        <v>29947</v>
      </c>
      <c r="C9023" s="17" t="s">
        <v>27788</v>
      </c>
      <c r="D9023" s="17" t="s">
        <v>27733</v>
      </c>
      <c r="E9023" s="10">
        <v>5809844</v>
      </c>
      <c r="F9023" s="4" t="str">
        <f>IF(B9023=B9022,"",B9023)</f>
        <v/>
      </c>
    </row>
    <row r="9024" spans="1:6" ht="15.75" customHeight="1">
      <c r="A9024" s="6" t="s">
        <v>29945</v>
      </c>
      <c r="B9024" s="6" t="s">
        <v>29946</v>
      </c>
      <c r="C9024" s="6" t="s">
        <v>27788</v>
      </c>
      <c r="D9024" s="6" t="s">
        <v>27733</v>
      </c>
      <c r="E9024" s="2">
        <v>5809805</v>
      </c>
      <c r="F9024" s="4" t="str">
        <f>IF(B9024=B9023,"",B9024)</f>
        <v>SeaTac</v>
      </c>
    </row>
    <row r="9025" spans="1:6" ht="15.75" customHeight="1">
      <c r="A9025" s="5" t="str">
        <f ca="1">IFERROR(__xludf.DUMMYFUNCTION("GOOGLETRANSLATE(B45373,""en"",""pt"")"),"Seatac")</f>
        <v>Seatac</v>
      </c>
      <c r="B9025" s="17" t="s">
        <v>29946</v>
      </c>
      <c r="C9025" s="17" t="s">
        <v>27788</v>
      </c>
      <c r="D9025" s="17" t="s">
        <v>27733</v>
      </c>
      <c r="E9025" s="10">
        <v>5809805</v>
      </c>
      <c r="F9025" s="4" t="str">
        <f>IF(B9025=B9024,"",B9025)</f>
        <v/>
      </c>
    </row>
    <row r="9026" spans="1:6" ht="15.75" customHeight="1">
      <c r="A9026" s="6" t="s">
        <v>6768</v>
      </c>
      <c r="B9026" s="6" t="s">
        <v>29944</v>
      </c>
      <c r="C9026" s="6" t="s">
        <v>27788</v>
      </c>
      <c r="D9026" s="6" t="s">
        <v>27801</v>
      </c>
      <c r="E9026" s="2">
        <v>5394136</v>
      </c>
      <c r="F9026" s="4" t="str">
        <f>IF(B9026=B9025,"",B9026)</f>
        <v>Seaside</v>
      </c>
    </row>
    <row r="9027" spans="1:6" ht="15.75" customHeight="1">
      <c r="A9027" s="5" t="str">
        <f ca="1">IFERROR(__xludf.DUMMYFUNCTION("GOOGLETRANSLATE(B45033,""en"",""pt"")"),"Litoral")</f>
        <v>Litoral</v>
      </c>
      <c r="B9027" s="17" t="s">
        <v>29944</v>
      </c>
      <c r="C9027" s="17" t="s">
        <v>27788</v>
      </c>
      <c r="D9027" s="17" t="s">
        <v>27801</v>
      </c>
      <c r="E9027" s="10">
        <v>5394136</v>
      </c>
      <c r="F9027" s="4" t="str">
        <f>IF(B9027=B9026,"",B9027)</f>
        <v/>
      </c>
    </row>
    <row r="9028" spans="1:6" ht="15.75" customHeight="1">
      <c r="A9028" s="6" t="s">
        <v>29943</v>
      </c>
      <c r="B9028" s="6" t="s">
        <v>29943</v>
      </c>
      <c r="C9028" s="6" t="s">
        <v>27788</v>
      </c>
      <c r="D9028" s="6" t="s">
        <v>27991</v>
      </c>
      <c r="E9028" s="2">
        <v>4130430</v>
      </c>
      <c r="F9028" s="4" t="str">
        <f>IF(B9028=B9027,"",B9028)</f>
        <v>Searcy</v>
      </c>
    </row>
    <row r="9029" spans="1:6" ht="15.75" customHeight="1">
      <c r="A9029" s="5" t="str">
        <f ca="1">IFERROR(__xludf.DUMMYFUNCTION("GOOGLETRANSLATE(B42827,""en"",""pt"")"),"Searcy")</f>
        <v>Searcy</v>
      </c>
      <c r="B9029" s="17" t="s">
        <v>29943</v>
      </c>
      <c r="C9029" s="17" t="s">
        <v>27788</v>
      </c>
      <c r="D9029" s="17" t="s">
        <v>27991</v>
      </c>
      <c r="E9029" s="10">
        <v>4130430</v>
      </c>
      <c r="F9029" s="4" t="str">
        <f>IF(B9029=B9028,"",B9029)</f>
        <v/>
      </c>
    </row>
    <row r="9030" spans="1:6" ht="15.75" customHeight="1">
      <c r="A9030" s="5" t="s">
        <v>29942</v>
      </c>
      <c r="B9030" s="6" t="s">
        <v>29942</v>
      </c>
      <c r="C9030" s="5" t="s">
        <v>27788</v>
      </c>
      <c r="D9030" s="5" t="s">
        <v>27801</v>
      </c>
      <c r="E9030" s="2">
        <v>5394086</v>
      </c>
      <c r="F9030" s="4" t="str">
        <f>IF(B9030=B9029,"",B9030)</f>
        <v>Seal Beach</v>
      </c>
    </row>
    <row r="9031" spans="1:6" ht="15.75" customHeight="1">
      <c r="A9031" s="5" t="str">
        <f ca="1">IFERROR(__xludf.DUMMYFUNCTION("GOOGLETRANSLATE(B45032,""en"",""pt"")"),"Seal Beach")</f>
        <v>Seal Beach</v>
      </c>
      <c r="B9031" s="17" t="s">
        <v>29942</v>
      </c>
      <c r="C9031" s="17" t="s">
        <v>27788</v>
      </c>
      <c r="D9031" s="17" t="s">
        <v>27801</v>
      </c>
      <c r="E9031" s="10">
        <v>5394086</v>
      </c>
      <c r="F9031" s="4" t="str">
        <f>IF(B9031=B9030,"",B9031)</f>
        <v/>
      </c>
    </row>
    <row r="9032" spans="1:6" ht="15.75" customHeight="1">
      <c r="A9032" s="6" t="s">
        <v>27666</v>
      </c>
      <c r="B9032" s="6" t="s">
        <v>27666</v>
      </c>
      <c r="C9032" s="6" t="s">
        <v>27234</v>
      </c>
      <c r="D9032" s="6" t="s">
        <v>27241</v>
      </c>
      <c r="E9032" s="2">
        <v>2638302</v>
      </c>
      <c r="F9032" s="4" t="str">
        <f>IF(B9032=B9031,"",B9032)</f>
        <v>Seaham</v>
      </c>
    </row>
    <row r="9033" spans="1:6" ht="15.75" customHeight="1">
      <c r="A9033" s="5" t="str">
        <f ca="1">IFERROR(__xludf.DUMMYFUNCTION("GOOGLETRANSLATE(B30413,""en"",""pt"")"),"Seaham")</f>
        <v>Seaham</v>
      </c>
      <c r="B9033" s="17" t="s">
        <v>27666</v>
      </c>
      <c r="C9033" s="17" t="s">
        <v>27234</v>
      </c>
      <c r="D9033" s="17" t="s">
        <v>27241</v>
      </c>
      <c r="E9033" s="10">
        <v>2638302</v>
      </c>
      <c r="F9033" s="4" t="str">
        <f>IF(B9033=B9032,"",B9033)</f>
        <v/>
      </c>
    </row>
    <row r="9034" spans="1:6" ht="15.75" customHeight="1">
      <c r="A9034" s="6" t="s">
        <v>1077</v>
      </c>
      <c r="B9034" s="6" t="s">
        <v>1077</v>
      </c>
      <c r="C9034" s="6" t="s">
        <v>885</v>
      </c>
      <c r="D9034" s="6" t="s">
        <v>827</v>
      </c>
      <c r="E9034" s="2">
        <v>2149975</v>
      </c>
      <c r="F9034" s="4" t="str">
        <f>IF(B9034=B9033,"",B9034)</f>
        <v>Seaford</v>
      </c>
    </row>
    <row r="9035" spans="1:6" ht="15.75" customHeight="1">
      <c r="A9035" s="6" t="s">
        <v>1077</v>
      </c>
      <c r="B9035" s="6" t="s">
        <v>1077</v>
      </c>
      <c r="C9035" s="6" t="s">
        <v>27234</v>
      </c>
      <c r="D9035" s="6" t="s">
        <v>27241</v>
      </c>
      <c r="E9035" s="2">
        <v>2638311</v>
      </c>
      <c r="F9035" s="4" t="str">
        <f>IF(B9035=B9034,"",B9035)</f>
        <v/>
      </c>
    </row>
    <row r="9036" spans="1:6" ht="15.75" customHeight="1">
      <c r="A9036" s="6" t="s">
        <v>1077</v>
      </c>
      <c r="B9036" s="6" t="s">
        <v>1077</v>
      </c>
      <c r="C9036" s="6" t="s">
        <v>27788</v>
      </c>
      <c r="D9036" s="6" t="s">
        <v>27819</v>
      </c>
      <c r="E9036" s="2">
        <v>5137507</v>
      </c>
      <c r="F9036" s="4" t="str">
        <f>IF(B9036=B9035,"",B9036)</f>
        <v/>
      </c>
    </row>
    <row r="9037" spans="1:6" ht="15.75" customHeight="1">
      <c r="A9037" s="5" t="str">
        <f ca="1">IFERROR(__xludf.DUMMYFUNCTION("GOOGLETRANSLATE(B23453,""en"",""pt"")"),"Seaford")</f>
        <v>Seaford</v>
      </c>
      <c r="B9037" s="17" t="s">
        <v>1077</v>
      </c>
      <c r="C9037" s="17" t="s">
        <v>885</v>
      </c>
      <c r="D9037" s="17" t="s">
        <v>827</v>
      </c>
      <c r="E9037" s="10">
        <v>2149975</v>
      </c>
      <c r="F9037" s="4" t="str">
        <f>IF(B9037=B9036,"",B9037)</f>
        <v/>
      </c>
    </row>
    <row r="9038" spans="1:6" ht="15.75" customHeight="1">
      <c r="A9038" s="5" t="str">
        <f ca="1">IFERROR(__xludf.DUMMYFUNCTION("GOOGLETRANSLATE(B30414,""en"",""pt"")"),"Seaford")</f>
        <v>Seaford</v>
      </c>
      <c r="B9038" s="17" t="s">
        <v>1077</v>
      </c>
      <c r="C9038" s="17" t="s">
        <v>27234</v>
      </c>
      <c r="D9038" s="17" t="s">
        <v>27241</v>
      </c>
      <c r="E9038" s="10">
        <v>2638311</v>
      </c>
      <c r="F9038" s="4" t="str">
        <f>IF(B9038=B9037,"",B9038)</f>
        <v/>
      </c>
    </row>
    <row r="9039" spans="1:6" ht="15.75" customHeight="1">
      <c r="A9039" s="5" t="str">
        <f ca="1">IFERROR(__xludf.DUMMYFUNCTION("GOOGLETRANSLATE(B44450,""en"",""pt"")"),"Seaford")</f>
        <v>Seaford</v>
      </c>
      <c r="B9039" s="17" t="s">
        <v>1077</v>
      </c>
      <c r="C9039" s="17" t="s">
        <v>27788</v>
      </c>
      <c r="D9039" s="17" t="s">
        <v>27819</v>
      </c>
      <c r="E9039" s="10">
        <v>5137507</v>
      </c>
      <c r="F9039" s="4" t="str">
        <f>IF(B9039=B9038,"",B9039)</f>
        <v/>
      </c>
    </row>
    <row r="9040" spans="1:6" ht="15.75" customHeight="1">
      <c r="A9040" s="6" t="s">
        <v>29941</v>
      </c>
      <c r="B9040" s="6" t="s">
        <v>29941</v>
      </c>
      <c r="C9040" s="6" t="s">
        <v>27788</v>
      </c>
      <c r="D9040" s="6" t="s">
        <v>17061</v>
      </c>
      <c r="E9040" s="2">
        <v>4369076</v>
      </c>
      <c r="F9040" s="4" t="str">
        <f>IF(B9040=B9039,"",B9040)</f>
        <v>Seabrook</v>
      </c>
    </row>
    <row r="9041" spans="1:6" ht="15.75" customHeight="1">
      <c r="A9041" s="5" t="str">
        <f ca="1">IFERROR(__xludf.DUMMYFUNCTION("GOOGLETRANSLATE(B43331,""en"",""pt"")"),"Seabrook")</f>
        <v>Seabrook</v>
      </c>
      <c r="B9041" s="17" t="s">
        <v>29941</v>
      </c>
      <c r="C9041" s="17" t="s">
        <v>27788</v>
      </c>
      <c r="D9041" s="17" t="s">
        <v>17061</v>
      </c>
      <c r="E9041" s="10">
        <v>4369076</v>
      </c>
      <c r="F9041" s="4" t="str">
        <f>IF(B9041=B9040,"",B9041)</f>
        <v/>
      </c>
    </row>
    <row r="9042" spans="1:6" ht="15.75" customHeight="1">
      <c r="A9042" s="6" t="s">
        <v>3464</v>
      </c>
      <c r="B9042" s="6" t="s">
        <v>3464</v>
      </c>
      <c r="C9042" s="6" t="s">
        <v>1905</v>
      </c>
      <c r="D9042" s="6" t="s">
        <v>1947</v>
      </c>
      <c r="E9042" s="2">
        <v>3447928</v>
      </c>
      <c r="F9042" s="4" t="str">
        <f>IF(B9042=B9041,"",B9042)</f>
        <v>Seabra</v>
      </c>
    </row>
    <row r="9043" spans="1:6" ht="15.75" customHeight="1">
      <c r="A9043" s="5" t="str">
        <f ca="1">IFERROR(__xludf.DUMMYFUNCTION("GOOGLETRANSLATE(B24529,""en"",""pt"")"),"Seabra")</f>
        <v>Seabra</v>
      </c>
      <c r="B9043" s="17" t="s">
        <v>3464</v>
      </c>
      <c r="C9043" s="17" t="s">
        <v>1905</v>
      </c>
      <c r="D9043" s="17" t="s">
        <v>1947</v>
      </c>
      <c r="E9043" s="10">
        <v>3447928</v>
      </c>
      <c r="F9043" s="4" t="str">
        <f>IF(B9043=B9042,"",B9043)</f>
        <v/>
      </c>
    </row>
    <row r="9044" spans="1:6" ht="15.75" customHeight="1">
      <c r="A9044" s="5" t="s">
        <v>27665</v>
      </c>
      <c r="B9044" s="6" t="s">
        <v>27665</v>
      </c>
      <c r="C9044" s="5" t="s">
        <v>27234</v>
      </c>
      <c r="D9044" s="5" t="s">
        <v>27241</v>
      </c>
      <c r="E9044" s="2">
        <v>2638324</v>
      </c>
      <c r="F9044" s="4" t="str">
        <f>IF(B9044=B9043,"",B9044)</f>
        <v>Scunthorpe</v>
      </c>
    </row>
    <row r="9045" spans="1:6" ht="15.75" customHeight="1">
      <c r="A9045" s="5" t="str">
        <f ca="1">IFERROR(__xludf.DUMMYFUNCTION("GOOGLETRANSLATE(B30415,""en"",""pt"")"),"Scunthorpe")</f>
        <v>Scunthorpe</v>
      </c>
      <c r="B9045" s="17" t="s">
        <v>27665</v>
      </c>
      <c r="C9045" s="17" t="s">
        <v>27234</v>
      </c>
      <c r="D9045" s="17" t="s">
        <v>27241</v>
      </c>
      <c r="E9045" s="10">
        <v>2638324</v>
      </c>
      <c r="F9045" s="4" t="str">
        <f>IF(B9045=B9044,"",B9045)</f>
        <v/>
      </c>
    </row>
    <row r="9046" spans="1:6" ht="15.75" customHeight="1">
      <c r="A9046" s="6" t="s">
        <v>29940</v>
      </c>
      <c r="B9046" s="6" t="s">
        <v>29940</v>
      </c>
      <c r="C9046" s="6" t="s">
        <v>27788</v>
      </c>
      <c r="D9046" s="6" t="s">
        <v>27836</v>
      </c>
      <c r="E9046" s="2">
        <v>5211303</v>
      </c>
      <c r="F9046" s="4" t="str">
        <f>IF(B9046=B9045,"",B9046)</f>
        <v>Scranton</v>
      </c>
    </row>
    <row r="9047" spans="1:6" ht="15.75" customHeight="1">
      <c r="A9047" s="5" t="str">
        <f ca="1">IFERROR(__xludf.DUMMYFUNCTION("GOOGLETRANSLATE(B44594,""en"",""pt"")"),"Scranton")</f>
        <v>Scranton</v>
      </c>
      <c r="B9047" s="17" t="s">
        <v>29940</v>
      </c>
      <c r="C9047" s="17" t="s">
        <v>27788</v>
      </c>
      <c r="D9047" s="17" t="s">
        <v>27836</v>
      </c>
      <c r="E9047" s="10">
        <v>5211303</v>
      </c>
      <c r="F9047" s="4" t="str">
        <f>IF(B9047=B9046,"",B9047)</f>
        <v/>
      </c>
    </row>
    <row r="9048" spans="1:6" ht="15.75" customHeight="1">
      <c r="A9048" s="5" t="s">
        <v>29939</v>
      </c>
      <c r="B9048" s="6" t="s">
        <v>29939</v>
      </c>
      <c r="C9048" s="5" t="s">
        <v>27788</v>
      </c>
      <c r="D9048" s="5" t="s">
        <v>27880</v>
      </c>
      <c r="E9048" s="2">
        <v>5313457</v>
      </c>
      <c r="F9048" s="4" t="str">
        <f>IF(B9048=B9047,"",B9048)</f>
        <v>Scottsdale</v>
      </c>
    </row>
    <row r="9049" spans="1:6" ht="15.75" customHeight="1">
      <c r="A9049" s="5" t="str">
        <f ca="1">IFERROR(__xludf.DUMMYFUNCTION("GOOGLETRANSLATE(B44727,""en"",""pt"")"),"Scottsdale")</f>
        <v>Scottsdale</v>
      </c>
      <c r="B9049" s="17" t="s">
        <v>29939</v>
      </c>
      <c r="C9049" s="17" t="s">
        <v>27788</v>
      </c>
      <c r="D9049" s="17" t="s">
        <v>27880</v>
      </c>
      <c r="E9049" s="10">
        <v>5313457</v>
      </c>
      <c r="F9049" s="4" t="str">
        <f>IF(B9049=B9048,"",B9049)</f>
        <v/>
      </c>
    </row>
    <row r="9050" spans="1:6" ht="15.75" customHeight="1">
      <c r="A9050" s="5" t="s">
        <v>29938</v>
      </c>
      <c r="B9050" s="6" t="s">
        <v>29938</v>
      </c>
      <c r="C9050" s="5" t="s">
        <v>27788</v>
      </c>
      <c r="D9050" s="5" t="s">
        <v>27995</v>
      </c>
      <c r="E9050" s="2">
        <v>5699404</v>
      </c>
      <c r="F9050" s="4" t="str">
        <f>IF(B9050=B9049,"",B9050)</f>
        <v>Scottsbluff</v>
      </c>
    </row>
    <row r="9051" spans="1:6" ht="15.75" customHeight="1">
      <c r="A9051" s="5" t="str">
        <f ca="1">IFERROR(__xludf.DUMMYFUNCTION("GOOGLETRANSLATE(B45221,""en"",""pt"")"),"Scottsbluff")</f>
        <v>Scottsbluff</v>
      </c>
      <c r="B9051" s="17" t="s">
        <v>29938</v>
      </c>
      <c r="C9051" s="17" t="s">
        <v>27788</v>
      </c>
      <c r="D9051" s="17" t="s">
        <v>27995</v>
      </c>
      <c r="E9051" s="10">
        <v>5699404</v>
      </c>
      <c r="F9051" s="4" t="str">
        <f>IF(B9051=B9050,"",B9051)</f>
        <v/>
      </c>
    </row>
    <row r="9052" spans="1:6" ht="15.75" customHeight="1">
      <c r="A9052" s="5" t="s">
        <v>23976</v>
      </c>
      <c r="B9052" s="6" t="s">
        <v>23976</v>
      </c>
      <c r="C9052" s="5" t="s">
        <v>23842</v>
      </c>
      <c r="D9052" s="5" t="s">
        <v>23851</v>
      </c>
      <c r="E9052" s="2">
        <v>956878</v>
      </c>
      <c r="F9052" s="4" t="str">
        <f>IF(B9052=B9051,"",B9052)</f>
        <v>Scottburgh</v>
      </c>
    </row>
    <row r="9053" spans="1:6" ht="15.75" customHeight="1">
      <c r="A9053" s="5" t="str">
        <f ca="1">IFERROR(__xludf.DUMMYFUNCTION("GOOGLETRANSLATE(B45879,""en"",""pt"")"),"Scottburgh")</f>
        <v>Scottburgh</v>
      </c>
      <c r="B9053" s="17" t="s">
        <v>23976</v>
      </c>
      <c r="C9053" s="17" t="s">
        <v>23842</v>
      </c>
      <c r="D9053" s="17" t="s">
        <v>23851</v>
      </c>
      <c r="E9053" s="10">
        <v>956878</v>
      </c>
      <c r="F9053" s="4" t="str">
        <f>IF(B9053=B9052,"",B9053)</f>
        <v/>
      </c>
    </row>
    <row r="9054" spans="1:6" ht="15.75" customHeight="1">
      <c r="A9054" s="5" t="s">
        <v>29936</v>
      </c>
      <c r="B9054" s="6" t="s">
        <v>29937</v>
      </c>
      <c r="C9054" s="5" t="s">
        <v>27788</v>
      </c>
      <c r="D9054" s="5" t="s">
        <v>27905</v>
      </c>
      <c r="E9054" s="2">
        <v>5104473</v>
      </c>
      <c r="F9054" s="4" t="str">
        <f>IF(B9054=B9053,"",B9054)</f>
        <v>Scotch Plains</v>
      </c>
    </row>
    <row r="9055" spans="1:6" ht="15.75" customHeight="1">
      <c r="A9055" s="5" t="str">
        <f ca="1">IFERROR(__xludf.DUMMYFUNCTION("GOOGLETRANSLATE(B44309,""en"",""pt"")"),"Planície escocesa")</f>
        <v>Planície escocesa</v>
      </c>
      <c r="B9055" s="17" t="s">
        <v>29937</v>
      </c>
      <c r="C9055" s="17" t="s">
        <v>27788</v>
      </c>
      <c r="D9055" s="17" t="s">
        <v>27905</v>
      </c>
      <c r="E9055" s="10">
        <v>5104473</v>
      </c>
      <c r="F9055" s="4" t="str">
        <f>IF(B9055=B9054,"",B9055)</f>
        <v/>
      </c>
    </row>
    <row r="9056" spans="1:6" ht="15.75" customHeight="1">
      <c r="A9056" s="6" t="s">
        <v>15487</v>
      </c>
      <c r="B9056" s="6" t="s">
        <v>15488</v>
      </c>
      <c r="C9056" s="6" t="s">
        <v>14891</v>
      </c>
      <c r="D9056" s="6" t="s">
        <v>14899</v>
      </c>
      <c r="E9056" s="2">
        <v>2523180</v>
      </c>
      <c r="F9056" s="4" t="str">
        <f>IF(B9056=B9055,"",B9056)</f>
        <v>Scordia</v>
      </c>
    </row>
    <row r="9057" spans="1:6" ht="15.75" customHeight="1">
      <c r="A9057" s="5" t="str">
        <f ca="1">IFERROR(__xludf.DUMMYFUNCTION("GOOGLETRANSLATE(B34549,""en"",""pt"")"),"Escordia")</f>
        <v>Escordia</v>
      </c>
      <c r="B9057" s="17" t="s">
        <v>15488</v>
      </c>
      <c r="C9057" s="17" t="s">
        <v>14891</v>
      </c>
      <c r="D9057" s="17" t="s">
        <v>14899</v>
      </c>
      <c r="E9057" s="10">
        <v>2523180</v>
      </c>
      <c r="F9057" s="4" t="str">
        <f>IF(B9057=B9056,"",B9057)</f>
        <v/>
      </c>
    </row>
    <row r="9058" spans="1:6" ht="15.75" customHeight="1">
      <c r="A9058" s="6" t="s">
        <v>15486</v>
      </c>
      <c r="B9058" s="6" t="s">
        <v>15486</v>
      </c>
      <c r="C9058" s="6" t="s">
        <v>14891</v>
      </c>
      <c r="D9058" s="6" t="s">
        <v>14899</v>
      </c>
      <c r="E9058" s="2">
        <v>2523192</v>
      </c>
      <c r="F9058" s="4" t="str">
        <f>IF(B9058=B9057,"",B9058)</f>
        <v>Scicli</v>
      </c>
    </row>
    <row r="9059" spans="1:6" ht="15.75" customHeight="1">
      <c r="A9059" s="5" t="str">
        <f ca="1">IFERROR(__xludf.DUMMYFUNCTION("GOOGLETRANSLATE(B34550,""en"",""pt"")"),"Scicli")</f>
        <v>Scicli</v>
      </c>
      <c r="B9059" s="17" t="s">
        <v>15486</v>
      </c>
      <c r="C9059" s="17" t="s">
        <v>14891</v>
      </c>
      <c r="D9059" s="17" t="s">
        <v>14899</v>
      </c>
      <c r="E9059" s="10">
        <v>2523192</v>
      </c>
      <c r="F9059" s="4" t="str">
        <f>IF(B9059=B9058,"",B9059)</f>
        <v/>
      </c>
    </row>
    <row r="9060" spans="1:6" ht="15.75" customHeight="1">
      <c r="A9060" s="6" t="s">
        <v>15485</v>
      </c>
      <c r="B9060" s="6" t="s">
        <v>15485</v>
      </c>
      <c r="C9060" s="6" t="s">
        <v>14891</v>
      </c>
      <c r="D9060" s="6" t="s">
        <v>14899</v>
      </c>
      <c r="E9060" s="2">
        <v>2523194</v>
      </c>
      <c r="F9060" s="4" t="str">
        <f>IF(B9060=B9059,"",B9060)</f>
        <v>Sciacca</v>
      </c>
    </row>
    <row r="9061" spans="1:6" ht="15.75" customHeight="1">
      <c r="A9061" s="5" t="str">
        <f ca="1">IFERROR(__xludf.DUMMYFUNCTION("GOOGLETRANSLATE(B34551,""en"",""pt"")"),"Sciacca")</f>
        <v>Sciacca</v>
      </c>
      <c r="B9061" s="17" t="s">
        <v>15485</v>
      </c>
      <c r="C9061" s="17" t="s">
        <v>14891</v>
      </c>
      <c r="D9061" s="17" t="s">
        <v>14899</v>
      </c>
      <c r="E9061" s="10">
        <v>2523194</v>
      </c>
      <c r="F9061" s="4" t="str">
        <f>IF(B9061=B9060,"",B9061)</f>
        <v/>
      </c>
    </row>
    <row r="9062" spans="1:6" ht="15.75" customHeight="1">
      <c r="A9062" s="5" t="s">
        <v>9123</v>
      </c>
      <c r="B9062" s="6" t="s">
        <v>9123</v>
      </c>
      <c r="C9062" s="5" t="s">
        <v>8028</v>
      </c>
      <c r="D9062" s="5" t="s">
        <v>8031</v>
      </c>
      <c r="E9062" s="2">
        <v>2834240</v>
      </c>
      <c r="F9062" s="4" t="str">
        <f>IF(B9062=B9061,"",B9062)</f>
        <v>Schwetzingen</v>
      </c>
    </row>
    <row r="9063" spans="1:6" ht="15.75" customHeight="1">
      <c r="A9063" s="5" t="str">
        <f ca="1">IFERROR(__xludf.DUMMYFUNCTION("GOOGLETRANSLATE(B27540,""en"",""pt"")"),"Schwetzingen")</f>
        <v>Schwetzingen</v>
      </c>
      <c r="B9063" s="17" t="s">
        <v>9123</v>
      </c>
      <c r="C9063" s="17" t="s">
        <v>8028</v>
      </c>
      <c r="D9063" s="17" t="s">
        <v>32013</v>
      </c>
      <c r="E9063" s="10">
        <v>2834240</v>
      </c>
      <c r="F9063" s="4" t="str">
        <f>IF(B9063=B9062,"",B9063)</f>
        <v/>
      </c>
    </row>
    <row r="9064" spans="1:6" ht="15.75" customHeight="1">
      <c r="A9064" s="6" t="s">
        <v>9122</v>
      </c>
      <c r="B9064" s="6" t="s">
        <v>9122</v>
      </c>
      <c r="C9064" s="6" t="s">
        <v>8028</v>
      </c>
      <c r="D9064" s="6" t="s">
        <v>8029</v>
      </c>
      <c r="E9064" s="2">
        <v>2834265</v>
      </c>
      <c r="F9064" s="4" t="str">
        <f>IF(B9064=B9063,"",B9064)</f>
        <v>Schwerte</v>
      </c>
    </row>
    <row r="9065" spans="1:6" ht="15.75" customHeight="1">
      <c r="A9065" s="5" t="str">
        <f ca="1">IFERROR(__xludf.DUMMYFUNCTION("GOOGLETRANSLATE(B27541,""en"",""pt"")"),"Schwerte")</f>
        <v>Schwerte</v>
      </c>
      <c r="B9065" s="17" t="s">
        <v>9122</v>
      </c>
      <c r="C9065" s="17" t="s">
        <v>8028</v>
      </c>
      <c r="D9065" s="17" t="s">
        <v>8029</v>
      </c>
      <c r="E9065" s="10">
        <v>2834265</v>
      </c>
      <c r="F9065" s="4" t="str">
        <f>IF(B9065=B9064,"",B9065)</f>
        <v/>
      </c>
    </row>
    <row r="9066" spans="1:6" ht="15.75" customHeight="1">
      <c r="A9066" s="6" t="s">
        <v>9121</v>
      </c>
      <c r="B9066" s="6" t="s">
        <v>9121</v>
      </c>
      <c r="C9066" s="6" t="s">
        <v>8028</v>
      </c>
      <c r="D9066" s="6" t="s">
        <v>8436</v>
      </c>
      <c r="E9066" s="2">
        <v>2834282</v>
      </c>
      <c r="F9066" s="4" t="str">
        <f>IF(B9066=B9065,"",B9066)</f>
        <v>Schwerin</v>
      </c>
    </row>
    <row r="9067" spans="1:6" ht="15.75" customHeight="1">
      <c r="A9067" s="5" t="str">
        <f ca="1">IFERROR(__xludf.DUMMYFUNCTION("GOOGLETRANSLATE(B27542,""en"",""pt"")"),"Schwerin")</f>
        <v>Schwerin</v>
      </c>
      <c r="B9067" s="17" t="s">
        <v>9121</v>
      </c>
      <c r="C9067" s="17" t="s">
        <v>8028</v>
      </c>
      <c r="D9067" s="17" t="s">
        <v>8436</v>
      </c>
      <c r="E9067" s="10">
        <v>2834282</v>
      </c>
      <c r="F9067" s="4" t="str">
        <f>IF(B9067=B9066,"",B9067)</f>
        <v/>
      </c>
    </row>
    <row r="9068" spans="1:6" ht="15.75" customHeight="1">
      <c r="A9068" s="6" t="s">
        <v>9120</v>
      </c>
      <c r="B9068" s="6" t="s">
        <v>9120</v>
      </c>
      <c r="C9068" s="6" t="s">
        <v>8028</v>
      </c>
      <c r="D9068" s="6" t="s">
        <v>8029</v>
      </c>
      <c r="E9068" s="2">
        <v>2834372</v>
      </c>
      <c r="F9068" s="4" t="str">
        <f>IF(B9068=B9067,"",B9068)</f>
        <v>Schwelm</v>
      </c>
    </row>
    <row r="9069" spans="1:6" ht="15.75" customHeight="1">
      <c r="A9069" s="5" t="str">
        <f ca="1">IFERROR(__xludf.DUMMYFUNCTION("GOOGLETRANSLATE(B27543,""en"",""pt"")"),"Schwelm")</f>
        <v>Schwelm</v>
      </c>
      <c r="B9069" s="17" t="s">
        <v>9120</v>
      </c>
      <c r="C9069" s="17" t="s">
        <v>8028</v>
      </c>
      <c r="D9069" s="17" t="s">
        <v>8029</v>
      </c>
      <c r="E9069" s="10">
        <v>2834372</v>
      </c>
      <c r="F9069" s="4" t="str">
        <f>IF(B9069=B9068,"",B9069)</f>
        <v/>
      </c>
    </row>
    <row r="9070" spans="1:6" ht="15.75" customHeight="1">
      <c r="A9070" s="5" t="s">
        <v>23975</v>
      </c>
      <c r="B9070" s="6" t="s">
        <v>23975</v>
      </c>
      <c r="C9070" s="5" t="s">
        <v>23842</v>
      </c>
      <c r="D9070" s="5" t="s">
        <v>23860</v>
      </c>
      <c r="E9070" s="2">
        <v>956907</v>
      </c>
      <c r="F9070" s="4" t="str">
        <f>IF(B9070=B9069,"",B9070)</f>
        <v>Schweizer-Reneke</v>
      </c>
    </row>
    <row r="9071" spans="1:6" ht="15.75" customHeight="1">
      <c r="A9071" s="5" t="str">
        <f ca="1">IFERROR(__xludf.DUMMYFUNCTION("GOOGLETRANSLATE(B45880,""en"",""pt"")"),"Schweizer-Reneke")</f>
        <v>Schweizer-Reneke</v>
      </c>
      <c r="B9071" s="17" t="s">
        <v>23975</v>
      </c>
      <c r="C9071" s="17" t="s">
        <v>23842</v>
      </c>
      <c r="D9071" s="17" t="s">
        <v>23860</v>
      </c>
      <c r="E9071" s="10">
        <v>956907</v>
      </c>
      <c r="F9071" s="4" t="str">
        <f>IF(B9071=B9070,"",B9071)</f>
        <v/>
      </c>
    </row>
    <row r="9072" spans="1:6" ht="15.75" customHeight="1">
      <c r="A9072" s="5" t="s">
        <v>9119</v>
      </c>
      <c r="B9072" s="6" t="s">
        <v>9119</v>
      </c>
      <c r="C9072" s="5" t="s">
        <v>8028</v>
      </c>
      <c r="D9072" s="5" t="s">
        <v>8044</v>
      </c>
      <c r="E9072" s="2">
        <v>2834498</v>
      </c>
      <c r="F9072" s="4" t="str">
        <f>IF(B9072=B9071,"",B9072)</f>
        <v>Schweinfurt</v>
      </c>
    </row>
    <row r="9073" spans="1:6" ht="15.75" customHeight="1">
      <c r="A9073" s="5" t="str">
        <f ca="1">IFERROR(__xludf.DUMMYFUNCTION("GOOGLETRANSLATE(B27544,""en"",""pt"")"),"Schweinfurt")</f>
        <v>Schweinfurt</v>
      </c>
      <c r="B9073" s="17" t="s">
        <v>9119</v>
      </c>
      <c r="C9073" s="17" t="s">
        <v>8028</v>
      </c>
      <c r="D9073" s="17" t="s">
        <v>8044</v>
      </c>
      <c r="E9073" s="10">
        <v>2834498</v>
      </c>
      <c r="F9073" s="4" t="str">
        <f>IF(B9073=B9072,"",B9073)</f>
        <v/>
      </c>
    </row>
    <row r="9074" spans="1:6" ht="15.75" customHeight="1">
      <c r="A9074" s="5" t="s">
        <v>9117</v>
      </c>
      <c r="B9074" s="6" t="s">
        <v>9118</v>
      </c>
      <c r="C9074" s="5" t="s">
        <v>8028</v>
      </c>
      <c r="D9074" s="5" t="s">
        <v>8070</v>
      </c>
      <c r="E9074" s="2">
        <v>2834629</v>
      </c>
      <c r="F9074" s="4" t="str">
        <f>IF(B9074=B9073,"",B9074)</f>
        <v>Schwedt (Oder)</v>
      </c>
    </row>
    <row r="9075" spans="1:6" ht="15.75" customHeight="1">
      <c r="A9075" s="5" t="str">
        <f ca="1">IFERROR(__xludf.DUMMYFUNCTION("GOOGLETRANSLATE(B27545,""en"",""pt"")"),"Schwedt (oder)")</f>
        <v>Schwedt (oder)</v>
      </c>
      <c r="B9075" s="17" t="s">
        <v>9118</v>
      </c>
      <c r="C9075" s="17" t="s">
        <v>8028</v>
      </c>
      <c r="D9075" s="17" t="s">
        <v>8070</v>
      </c>
      <c r="E9075" s="10">
        <v>2834629</v>
      </c>
      <c r="F9075" s="4" t="str">
        <f>IF(B9075=B9074,"",B9075)</f>
        <v/>
      </c>
    </row>
    <row r="9076" spans="1:6" ht="15.75" customHeight="1">
      <c r="A9076" s="5" t="s">
        <v>1153</v>
      </c>
      <c r="B9076" s="6" t="s">
        <v>1153</v>
      </c>
      <c r="C9076" s="5" t="s">
        <v>1117</v>
      </c>
      <c r="D9076" s="5" t="s">
        <v>1118</v>
      </c>
      <c r="E9076" s="2">
        <v>2765388</v>
      </c>
      <c r="F9076" s="4" t="str">
        <f>IF(B9076=B9075,"",B9076)</f>
        <v>Schwechat</v>
      </c>
    </row>
    <row r="9077" spans="1:6" ht="15.75" customHeight="1">
      <c r="A9077" s="5" t="str">
        <f ca="1">IFERROR(__xludf.DUMMYFUNCTION("GOOGLETRANSLATE(B23383,""en"",""pt"")"),"Schwechat")</f>
        <v>Schwechat</v>
      </c>
      <c r="B9077" s="17" t="s">
        <v>1153</v>
      </c>
      <c r="C9077" s="17" t="s">
        <v>1117</v>
      </c>
      <c r="D9077" s="17" t="s">
        <v>1118</v>
      </c>
      <c r="E9077" s="10">
        <v>2765388</v>
      </c>
      <c r="F9077" s="4" t="str">
        <f>IF(B9077=B9076,"",B9077)</f>
        <v/>
      </c>
    </row>
    <row r="9078" spans="1:6" ht="15.75" customHeight="1">
      <c r="A9078" s="5" t="s">
        <v>9116</v>
      </c>
      <c r="B9078" s="6" t="s">
        <v>9116</v>
      </c>
      <c r="C9078" s="5" t="s">
        <v>8028</v>
      </c>
      <c r="D9078" s="5" t="s">
        <v>8072</v>
      </c>
      <c r="E9078" s="2">
        <v>2834978</v>
      </c>
      <c r="F9078" s="4" t="str">
        <f>IF(B9078=B9077,"",B9078)</f>
        <v>Schwarzenberg</v>
      </c>
    </row>
    <row r="9079" spans="1:6" ht="15.75" customHeight="1">
      <c r="A9079" s="5" t="str">
        <f ca="1">IFERROR(__xludf.DUMMYFUNCTION("GOOGLETRANSLATE(B27546,""en"",""pt"")"),"Schwarzenberg")</f>
        <v>Schwarzenberg</v>
      </c>
      <c r="B9079" s="17" t="s">
        <v>9116</v>
      </c>
      <c r="C9079" s="17" t="s">
        <v>8028</v>
      </c>
      <c r="D9079" s="17" t="s">
        <v>8072</v>
      </c>
      <c r="E9079" s="10">
        <v>2834978</v>
      </c>
      <c r="F9079" s="4" t="str">
        <f>IF(B9079=B9078,"",B9079)</f>
        <v/>
      </c>
    </row>
    <row r="9080" spans="1:6" ht="15.75" customHeight="1">
      <c r="A9080" s="5" t="s">
        <v>9115</v>
      </c>
      <c r="B9080" s="6" t="s">
        <v>9115</v>
      </c>
      <c r="C9080" s="5" t="s">
        <v>8028</v>
      </c>
      <c r="D9080" s="5" t="s">
        <v>8034</v>
      </c>
      <c r="E9080" s="2">
        <v>2835260</v>
      </c>
      <c r="F9080" s="4" t="str">
        <f>IF(B9080=B9079,"",B9080)</f>
        <v>Schwanewede</v>
      </c>
    </row>
    <row r="9081" spans="1:6" ht="15.75" customHeight="1">
      <c r="A9081" s="5" t="str">
        <f ca="1">IFERROR(__xludf.DUMMYFUNCTION("GOOGLETRANSLATE(B27547,""en"",""pt"")"),"Schwanewede")</f>
        <v>Schwanewede</v>
      </c>
      <c r="B9081" s="17" t="s">
        <v>9115</v>
      </c>
      <c r="C9081" s="17" t="s">
        <v>8028</v>
      </c>
      <c r="D9081" s="17" t="s">
        <v>8034</v>
      </c>
      <c r="E9081" s="10">
        <v>2835260</v>
      </c>
      <c r="F9081" s="4" t="str">
        <f>IF(B9081=B9080,"",B9081)</f>
        <v/>
      </c>
    </row>
    <row r="9082" spans="1:6" ht="15.75" customHeight="1">
      <c r="A9082" s="5" t="s">
        <v>9113</v>
      </c>
      <c r="B9082" s="6" t="s">
        <v>9114</v>
      </c>
      <c r="C9082" s="5" t="s">
        <v>8028</v>
      </c>
      <c r="D9082" s="5" t="s">
        <v>8044</v>
      </c>
      <c r="E9082" s="2">
        <v>2835297</v>
      </c>
      <c r="F9082" s="4" t="str">
        <f>IF(B9082=B9081,"",B9082)</f>
        <v>Schwandorf in Bayern</v>
      </c>
    </row>
    <row r="9083" spans="1:6" ht="15.75" customHeight="1">
      <c r="A9083" s="5" t="str">
        <f ca="1">IFERROR(__xludf.DUMMYFUNCTION("GOOGLETRANSLATE(B27548,""en"",""pt"")"),"Schwandorf em Bayern")</f>
        <v>Schwandorf em Bayern</v>
      </c>
      <c r="B9083" s="17" t="s">
        <v>9114</v>
      </c>
      <c r="C9083" s="17" t="s">
        <v>8028</v>
      </c>
      <c r="D9083" s="17" t="s">
        <v>8044</v>
      </c>
      <c r="E9083" s="10">
        <v>2835297</v>
      </c>
      <c r="F9083" s="4" t="str">
        <f>IF(B9083=B9082,"",B9083)</f>
        <v/>
      </c>
    </row>
    <row r="9084" spans="1:6" ht="15.75" customHeight="1">
      <c r="A9084" s="5" t="s">
        <v>9112</v>
      </c>
      <c r="B9084" s="6" t="s">
        <v>9112</v>
      </c>
      <c r="C9084" s="5" t="s">
        <v>8028</v>
      </c>
      <c r="D9084" s="5" t="s">
        <v>8029</v>
      </c>
      <c r="E9084" s="2">
        <v>2835342</v>
      </c>
      <c r="F9084" s="4" t="str">
        <f>IF(B9084=B9083,"",B9084)</f>
        <v>Schwalmtal</v>
      </c>
    </row>
    <row r="9085" spans="1:6" ht="15.75" customHeight="1">
      <c r="A9085" s="5" t="str">
        <f ca="1">IFERROR(__xludf.DUMMYFUNCTION("GOOGLETRANSLATE(B27549,""en"",""pt"")"),"Schwalmtal")</f>
        <v>Schwalmtal</v>
      </c>
      <c r="B9085" s="17" t="s">
        <v>9112</v>
      </c>
      <c r="C9085" s="17" t="s">
        <v>8028</v>
      </c>
      <c r="D9085" s="17" t="s">
        <v>8029</v>
      </c>
      <c r="E9085" s="10">
        <v>2835342</v>
      </c>
      <c r="F9085" s="4" t="str">
        <f>IF(B9085=B9084,"",B9085)</f>
        <v/>
      </c>
    </row>
    <row r="9086" spans="1:6" ht="15.75" customHeight="1">
      <c r="A9086" s="5" t="s">
        <v>9111</v>
      </c>
      <c r="B9086" s="6" t="s">
        <v>9111</v>
      </c>
      <c r="C9086" s="5" t="s">
        <v>8028</v>
      </c>
      <c r="D9086" s="5" t="s">
        <v>8050</v>
      </c>
      <c r="E9086" s="2">
        <v>2835345</v>
      </c>
      <c r="F9086" s="4" t="str">
        <f>IF(B9086=B9085,"",B9086)</f>
        <v>Schwalmstadt</v>
      </c>
    </row>
    <row r="9087" spans="1:6" ht="15.75" customHeight="1">
      <c r="A9087" s="5" t="str">
        <f ca="1">IFERROR(__xludf.DUMMYFUNCTION("GOOGLETRANSLATE(B27550,""en"",""pt"")"),"Schwalmstadt")</f>
        <v>Schwalmstadt</v>
      </c>
      <c r="B9087" s="17" t="s">
        <v>9111</v>
      </c>
      <c r="C9087" s="17" t="s">
        <v>8028</v>
      </c>
      <c r="D9087" s="17" t="s">
        <v>8050</v>
      </c>
      <c r="E9087" s="10">
        <v>2835345</v>
      </c>
      <c r="F9087" s="4" t="str">
        <f>IF(B9087=B9086,"",B9087)</f>
        <v/>
      </c>
    </row>
    <row r="9088" spans="1:6" ht="15.75" customHeight="1">
      <c r="A9088" s="5" t="s">
        <v>9110</v>
      </c>
      <c r="B9088" s="6" t="s">
        <v>9110</v>
      </c>
      <c r="C9088" s="5" t="s">
        <v>8028</v>
      </c>
      <c r="D9088" s="5" t="s">
        <v>8177</v>
      </c>
      <c r="E9088" s="2">
        <v>2835382</v>
      </c>
      <c r="F9088" s="4" t="str">
        <f>IF(B9088=B9087,"",B9088)</f>
        <v>Schwalbach</v>
      </c>
    </row>
    <row r="9089" spans="1:6" ht="15.75" customHeight="1">
      <c r="A9089" s="5" t="str">
        <f ca="1">IFERROR(__xludf.DUMMYFUNCTION("GOOGLETRANSLATE(B27551,""en"",""pt"")"),"Schwalbach")</f>
        <v>Schwalbach</v>
      </c>
      <c r="B9089" s="17" t="s">
        <v>9110</v>
      </c>
      <c r="C9089" s="17" t="s">
        <v>8028</v>
      </c>
      <c r="D9089" s="17" t="s">
        <v>8177</v>
      </c>
      <c r="E9089" s="10">
        <v>2835382</v>
      </c>
      <c r="F9089" s="4" t="str">
        <f>IF(B9089=B9088,"",B9089)</f>
        <v/>
      </c>
    </row>
    <row r="9090" spans="1:6" ht="15.75" customHeight="1">
      <c r="A9090" s="5" t="str">
        <f ca="1">IFERROR(__xludf.DUMMYFUNCTION("GOOGLETRANSLATE(B27552,""en"",""pt"")"),"Schwäbisch Hall")</f>
        <v>Schwäbisch Hall</v>
      </c>
      <c r="B9090" s="17" t="s">
        <v>32030</v>
      </c>
      <c r="C9090" s="17" t="s">
        <v>8028</v>
      </c>
      <c r="D9090" s="17" t="s">
        <v>32013</v>
      </c>
      <c r="E9090" s="10">
        <v>2835481</v>
      </c>
      <c r="F9090" s="4" t="str">
        <f>IF(B9090=B9089,"",B9090)</f>
        <v>Schwäbisch Hall</v>
      </c>
    </row>
    <row r="9091" spans="1:6" ht="15.75" customHeight="1">
      <c r="A9091" s="5" t="str">
        <f ca="1">IFERROR(__xludf.DUMMYFUNCTION("GOOGLETRANSLATE(B27553,""en"",""pt"")"),"Schwäbisch Gmünd")</f>
        <v>Schwäbisch Gmünd</v>
      </c>
      <c r="B9091" s="17" t="s">
        <v>32031</v>
      </c>
      <c r="C9091" s="17" t="s">
        <v>8028</v>
      </c>
      <c r="D9091" s="17" t="s">
        <v>32013</v>
      </c>
      <c r="E9091" s="10">
        <v>2835482</v>
      </c>
      <c r="F9091" s="4" t="str">
        <f>IF(B9091=B9090,"",B9091)</f>
        <v>Schwäbisch Gmünd</v>
      </c>
    </row>
    <row r="9092" spans="1:6" ht="15.75" customHeight="1">
      <c r="A9092" s="5" t="s">
        <v>9109</v>
      </c>
      <c r="B9092" s="6" t="s">
        <v>9109</v>
      </c>
      <c r="C9092" s="5" t="s">
        <v>8028</v>
      </c>
      <c r="D9092" s="5" t="s">
        <v>8044</v>
      </c>
      <c r="E9092" s="2">
        <v>2835537</v>
      </c>
      <c r="F9092" s="4" t="str">
        <f>IF(B9092=B9091,"",B9092)</f>
        <v>Schwabach</v>
      </c>
    </row>
    <row r="9093" spans="1:6" ht="15.75" customHeight="1">
      <c r="A9093" s="5" t="str">
        <f ca="1">IFERROR(__xludf.DUMMYFUNCTION("GOOGLETRANSLATE(B27554,""en"",""pt"")"),"Schwabach")</f>
        <v>Schwabach</v>
      </c>
      <c r="B9093" s="17" t="s">
        <v>9109</v>
      </c>
      <c r="C9093" s="17" t="s">
        <v>8028</v>
      </c>
      <c r="D9093" s="17" t="s">
        <v>8044</v>
      </c>
      <c r="E9093" s="10">
        <v>2835537</v>
      </c>
      <c r="F9093" s="4" t="str">
        <f>IF(B9093=B9092,"",B9093)</f>
        <v/>
      </c>
    </row>
    <row r="9094" spans="1:6" ht="15.75" customHeight="1">
      <c r="A9094" s="5" t="s">
        <v>9107</v>
      </c>
      <c r="B9094" s="6" t="s">
        <v>9108</v>
      </c>
      <c r="C9094" s="5" t="s">
        <v>8028</v>
      </c>
      <c r="D9094" s="5" t="s">
        <v>8031</v>
      </c>
      <c r="E9094" s="2">
        <v>2835481</v>
      </c>
      <c r="F9094" s="4" t="str">
        <f>IF(B9094=B9093,"",B9094)</f>
        <v>SchwÃ¤bisch Hall</v>
      </c>
    </row>
    <row r="9095" spans="1:6" ht="15.75" customHeight="1">
      <c r="A9095" s="5" t="s">
        <v>9105</v>
      </c>
      <c r="B9095" s="6" t="s">
        <v>9106</v>
      </c>
      <c r="C9095" s="5" t="s">
        <v>8028</v>
      </c>
      <c r="D9095" s="5" t="s">
        <v>8031</v>
      </c>
      <c r="E9095" s="2">
        <v>2835482</v>
      </c>
      <c r="F9095" s="4" t="str">
        <f>IF(B9095=B9094,"",B9095)</f>
        <v>SchwÃ¤bisch GmÃ¼nd</v>
      </c>
    </row>
    <row r="9096" spans="1:6" ht="15.75" customHeight="1">
      <c r="A9096" s="5" t="s">
        <v>3463</v>
      </c>
      <c r="B9096" s="6" t="s">
        <v>3463</v>
      </c>
      <c r="C9096" s="5" t="s">
        <v>1905</v>
      </c>
      <c r="D9096" s="5" t="s">
        <v>2020</v>
      </c>
      <c r="E9096" s="2">
        <v>3447929</v>
      </c>
      <c r="F9096" s="4" t="str">
        <f>IF(B9096=B9095,"",B9096)</f>
        <v>Schroeder</v>
      </c>
    </row>
    <row r="9097" spans="1:6" ht="15.75" customHeight="1">
      <c r="A9097" s="5" t="str">
        <f ca="1">IFERROR(__xludf.DUMMYFUNCTION("GOOGLETRANSLATE(B24530,""en"",""pt"")"),"Schroeder")</f>
        <v>Schroeder</v>
      </c>
      <c r="B9097" s="17" t="s">
        <v>3463</v>
      </c>
      <c r="C9097" s="17" t="s">
        <v>1905</v>
      </c>
      <c r="D9097" s="17" t="s">
        <v>2020</v>
      </c>
      <c r="E9097" s="10">
        <v>3447929</v>
      </c>
      <c r="F9097" s="4" t="str">
        <f>IF(B9097=B9096,"",B9097)</f>
        <v/>
      </c>
    </row>
    <row r="9098" spans="1:6" ht="15.75" customHeight="1">
      <c r="A9098" s="5" t="s">
        <v>9104</v>
      </c>
      <c r="B9098" s="6" t="s">
        <v>9104</v>
      </c>
      <c r="C9098" s="5" t="s">
        <v>8028</v>
      </c>
      <c r="D9098" s="5" t="s">
        <v>8044</v>
      </c>
      <c r="E9098" s="2">
        <v>2836084</v>
      </c>
      <c r="F9098" s="4" t="str">
        <f>IF(B9098=B9097,"",B9098)</f>
        <v>Schrobenhausen</v>
      </c>
    </row>
    <row r="9099" spans="1:6" ht="15.75" customHeight="1">
      <c r="A9099" s="5" t="str">
        <f ca="1">IFERROR(__xludf.DUMMYFUNCTION("GOOGLETRANSLATE(B27555,""en"",""pt"")"),"Schrobenhausen")</f>
        <v>Schrobenhausen</v>
      </c>
      <c r="B9099" s="17" t="s">
        <v>9104</v>
      </c>
      <c r="C9099" s="17" t="s">
        <v>8028</v>
      </c>
      <c r="D9099" s="17" t="s">
        <v>8044</v>
      </c>
      <c r="E9099" s="10">
        <v>2836084</v>
      </c>
      <c r="F9099" s="4" t="str">
        <f>IF(B9099=B9098,"",B9099)</f>
        <v/>
      </c>
    </row>
    <row r="9100" spans="1:6" ht="15.75" customHeight="1">
      <c r="A9100" s="5" t="s">
        <v>9103</v>
      </c>
      <c r="B9100" s="6" t="s">
        <v>9103</v>
      </c>
      <c r="C9100" s="5" t="s">
        <v>8028</v>
      </c>
      <c r="D9100" s="5" t="s">
        <v>8031</v>
      </c>
      <c r="E9100" s="2">
        <v>2836203</v>
      </c>
      <c r="F9100" s="4" t="str">
        <f>IF(B9100=B9099,"",B9100)</f>
        <v>Schramberg</v>
      </c>
    </row>
    <row r="9101" spans="1:6" ht="15.75" customHeight="1">
      <c r="A9101" s="5" t="str">
        <f ca="1">IFERROR(__xludf.DUMMYFUNCTION("GOOGLETRANSLATE(B27556,""en"",""pt"")"),"Schramberg")</f>
        <v>Schramberg</v>
      </c>
      <c r="B9101" s="17" t="s">
        <v>9103</v>
      </c>
      <c r="C9101" s="17" t="s">
        <v>8028</v>
      </c>
      <c r="D9101" s="17" t="s">
        <v>32013</v>
      </c>
      <c r="E9101" s="10">
        <v>2836203</v>
      </c>
      <c r="F9101" s="4" t="str">
        <f>IF(B9101=B9100,"",B9101)</f>
        <v/>
      </c>
    </row>
    <row r="9102" spans="1:6" ht="15.75" customHeight="1">
      <c r="A9102" s="6" t="s">
        <v>1680</v>
      </c>
      <c r="B9102" s="6" t="s">
        <v>1680</v>
      </c>
      <c r="C9102" s="6" t="s">
        <v>1512</v>
      </c>
      <c r="D9102" s="6" t="s">
        <v>1513</v>
      </c>
      <c r="E9102" s="2">
        <v>2786963</v>
      </c>
      <c r="F9102" s="4" t="str">
        <f>IF(B9102=B9101,"",B9102)</f>
        <v>Schoten</v>
      </c>
    </row>
    <row r="9103" spans="1:6" ht="15.75" customHeight="1">
      <c r="A9103" s="5" t="str">
        <f ca="1">IFERROR(__xludf.DUMMYFUNCTION("GOOGLETRANSLATE(B23835,""en"",""pt"")"),"Schoten")</f>
        <v>Schoten</v>
      </c>
      <c r="B9103" s="17" t="s">
        <v>1680</v>
      </c>
      <c r="C9103" s="17" t="s">
        <v>1512</v>
      </c>
      <c r="D9103" s="17" t="s">
        <v>1513</v>
      </c>
      <c r="E9103" s="10">
        <v>2786963</v>
      </c>
      <c r="F9103" s="4" t="str">
        <f>IF(B9103=B9102,"",B9103)</f>
        <v/>
      </c>
    </row>
    <row r="9104" spans="1:6" ht="15.75" customHeight="1">
      <c r="A9104" s="5" t="s">
        <v>9102</v>
      </c>
      <c r="B9104" s="6" t="s">
        <v>9102</v>
      </c>
      <c r="C9104" s="5" t="s">
        <v>8028</v>
      </c>
      <c r="D9104" s="5" t="s">
        <v>8034</v>
      </c>
      <c r="E9104" s="2">
        <v>2836282</v>
      </c>
      <c r="F9104" s="4" t="str">
        <f>IF(B9104=B9103,"",B9104)</f>
        <v>Schortens</v>
      </c>
    </row>
    <row r="9105" spans="1:6" ht="15.75" customHeight="1">
      <c r="A9105" s="5" t="str">
        <f ca="1">IFERROR(__xludf.DUMMYFUNCTION("GOOGLETRANSLATE(B27557,""en"",""pt"")"),"Schortens")</f>
        <v>Schortens</v>
      </c>
      <c r="B9105" s="17" t="s">
        <v>9102</v>
      </c>
      <c r="C9105" s="17" t="s">
        <v>8028</v>
      </c>
      <c r="D9105" s="17" t="s">
        <v>8034</v>
      </c>
      <c r="E9105" s="10">
        <v>2836282</v>
      </c>
      <c r="F9105" s="4" t="str">
        <f>IF(B9105=B9104,"",B9105)</f>
        <v/>
      </c>
    </row>
    <row r="9106" spans="1:6" ht="15.75" customHeight="1">
      <c r="A9106" s="5" t="s">
        <v>9101</v>
      </c>
      <c r="B9106" s="6" t="s">
        <v>9101</v>
      </c>
      <c r="C9106" s="5" t="s">
        <v>8028</v>
      </c>
      <c r="D9106" s="5" t="s">
        <v>8031</v>
      </c>
      <c r="E9106" s="2">
        <v>2836320</v>
      </c>
      <c r="F9106" s="4" t="str">
        <f>IF(B9106=B9105,"",B9106)</f>
        <v>Schorndorf</v>
      </c>
    </row>
    <row r="9107" spans="1:6" ht="15.75" customHeight="1">
      <c r="A9107" s="5" t="str">
        <f ca="1">IFERROR(__xludf.DUMMYFUNCTION("GOOGLETRANSLATE(B27558,""en"",""pt"")"),"Schorndorf")</f>
        <v>Schorndorf</v>
      </c>
      <c r="B9107" s="17" t="s">
        <v>9101</v>
      </c>
      <c r="C9107" s="17" t="s">
        <v>8028</v>
      </c>
      <c r="D9107" s="17" t="s">
        <v>32013</v>
      </c>
      <c r="E9107" s="10">
        <v>2836320</v>
      </c>
      <c r="F9107" s="4" t="str">
        <f>IF(B9107=B9106,"",B9107)</f>
        <v/>
      </c>
    </row>
    <row r="9108" spans="1:6" ht="15.75" customHeight="1">
      <c r="A9108" s="5" t="s">
        <v>9100</v>
      </c>
      <c r="B9108" s="6" t="s">
        <v>9100</v>
      </c>
      <c r="C9108" s="5" t="s">
        <v>8028</v>
      </c>
      <c r="D9108" s="5" t="s">
        <v>8031</v>
      </c>
      <c r="E9108" s="2">
        <v>2836413</v>
      </c>
      <c r="F9108" s="4" t="str">
        <f>IF(B9108=B9107,"",B9108)</f>
        <v>Schopfheim</v>
      </c>
    </row>
    <row r="9109" spans="1:6" ht="15.75" customHeight="1">
      <c r="A9109" s="5" t="str">
        <f ca="1">IFERROR(__xludf.DUMMYFUNCTION("GOOGLETRANSLATE(B27559,""en"",""pt"")"),"Schopfheim")</f>
        <v>Schopfheim</v>
      </c>
      <c r="B9109" s="17" t="s">
        <v>9100</v>
      </c>
      <c r="C9109" s="17" t="s">
        <v>8028</v>
      </c>
      <c r="D9109" s="17" t="s">
        <v>32013</v>
      </c>
      <c r="E9109" s="10">
        <v>2836413</v>
      </c>
      <c r="F9109" s="4" t="str">
        <f>IF(B9109=B9108,"",B9109)</f>
        <v/>
      </c>
    </row>
    <row r="9110" spans="1:6" ht="15.75" customHeight="1">
      <c r="A9110" s="5" t="str">
        <f ca="1">IFERROR(__xludf.DUMMYFUNCTION("GOOGLETRANSLATE(B27560,""en"",""pt"")"),"Schöneberg")</f>
        <v>Schöneberg</v>
      </c>
      <c r="B9110" s="17" t="s">
        <v>32032</v>
      </c>
      <c r="C9110" s="17" t="s">
        <v>8028</v>
      </c>
      <c r="D9110" s="17" t="s">
        <v>8036</v>
      </c>
      <c r="E9110" s="10">
        <v>2836788</v>
      </c>
      <c r="F9110" s="4" t="str">
        <f>IF(B9110=B9109,"",B9110)</f>
        <v>Schöneberg</v>
      </c>
    </row>
    <row r="9111" spans="1:6" ht="15.75" customHeight="1">
      <c r="A9111" s="5" t="str">
        <f ca="1">IFERROR(__xludf.DUMMYFUNCTION("GOOGLETRANSLATE(B27561,""en"",""pt"")"),"Schönebeck")</f>
        <v>Schönebeck</v>
      </c>
      <c r="B9111" s="17" t="s">
        <v>32033</v>
      </c>
      <c r="C9111" s="17" t="s">
        <v>8028</v>
      </c>
      <c r="D9111" s="17" t="s">
        <v>8085</v>
      </c>
      <c r="E9111" s="10">
        <v>2836809</v>
      </c>
      <c r="F9111" s="4" t="str">
        <f>IF(B9111=B9110,"",B9111)</f>
        <v>Schönebeck</v>
      </c>
    </row>
    <row r="9112" spans="1:6" ht="15.75" customHeight="1">
      <c r="A9112" s="5" t="s">
        <v>29934</v>
      </c>
      <c r="B9112" s="6" t="s">
        <v>29935</v>
      </c>
      <c r="C9112" s="5" t="s">
        <v>27788</v>
      </c>
      <c r="D9112" s="5" t="s">
        <v>27789</v>
      </c>
      <c r="E9112" s="2">
        <v>7262790</v>
      </c>
      <c r="F9112" s="4" t="str">
        <f>IF(B9112=B9111,"",B9112)</f>
        <v>Schofield Barracks</v>
      </c>
    </row>
    <row r="9113" spans="1:6" ht="15.75" customHeight="1">
      <c r="A9113" s="5" t="str">
        <f ca="1">IFERROR(__xludf.DUMMYFUNCTION("GOOGLETRANSLATE(B45455,""en"",""pt"")"),"Quartéis de schofield")</f>
        <v>Quartéis de schofield</v>
      </c>
      <c r="B9113" s="17" t="s">
        <v>29935</v>
      </c>
      <c r="C9113" s="17" t="s">
        <v>27788</v>
      </c>
      <c r="D9113" s="17" t="s">
        <v>27789</v>
      </c>
      <c r="E9113" s="10">
        <v>7262790</v>
      </c>
      <c r="F9113" s="4" t="str">
        <f>IF(B9113=B9112,"",B9113)</f>
        <v/>
      </c>
    </row>
    <row r="9114" spans="1:6" ht="15.75" customHeight="1">
      <c r="A9114" s="5" t="s">
        <v>9099</v>
      </c>
      <c r="B9114" s="6" t="s">
        <v>9099</v>
      </c>
      <c r="C9114" s="5" t="s">
        <v>8028</v>
      </c>
      <c r="D9114" s="5" t="s">
        <v>8034</v>
      </c>
      <c r="E9114" s="2">
        <v>2837291</v>
      </c>
      <c r="F9114" s="4" t="str">
        <f>IF(B9114=B9113,"",B9114)</f>
        <v>Schneverdingen</v>
      </c>
    </row>
    <row r="9115" spans="1:6" ht="15.75" customHeight="1">
      <c r="A9115" s="5" t="str">
        <f ca="1">IFERROR(__xludf.DUMMYFUNCTION("GOOGLETRANSLATE(B27562,""en"",""pt"")"),"Schneverdingen")</f>
        <v>Schneverdingen</v>
      </c>
      <c r="B9115" s="17" t="s">
        <v>9099</v>
      </c>
      <c r="C9115" s="17" t="s">
        <v>8028</v>
      </c>
      <c r="D9115" s="17" t="s">
        <v>8034</v>
      </c>
      <c r="E9115" s="10">
        <v>2837291</v>
      </c>
      <c r="F9115" s="4" t="str">
        <f>IF(B9115=B9114,"",B9115)</f>
        <v/>
      </c>
    </row>
    <row r="9116" spans="1:6" ht="15.75" customHeight="1">
      <c r="A9116" s="5" t="s">
        <v>9098</v>
      </c>
      <c r="B9116" s="6" t="s">
        <v>9098</v>
      </c>
      <c r="C9116" s="5" t="s">
        <v>8028</v>
      </c>
      <c r="D9116" s="5" t="s">
        <v>8072</v>
      </c>
      <c r="E9116" s="2">
        <v>2837470</v>
      </c>
      <c r="F9116" s="4" t="str">
        <f>IF(B9116=B9115,"",B9116)</f>
        <v>Schneeberg</v>
      </c>
    </row>
    <row r="9117" spans="1:6" ht="15.75" customHeight="1">
      <c r="A9117" s="5" t="str">
        <f ca="1">IFERROR(__xludf.DUMMYFUNCTION("GOOGLETRANSLATE(B27563,""en"",""pt"")"),"Schneeberg")</f>
        <v>Schneeberg</v>
      </c>
      <c r="B9117" s="17" t="s">
        <v>9098</v>
      </c>
      <c r="C9117" s="17" t="s">
        <v>8028</v>
      </c>
      <c r="D9117" s="17" t="s">
        <v>8072</v>
      </c>
      <c r="E9117" s="10">
        <v>2837470</v>
      </c>
      <c r="F9117" s="4" t="str">
        <f>IF(B9117=B9116,"",B9117)</f>
        <v/>
      </c>
    </row>
    <row r="9118" spans="1:6" ht="15.75" customHeight="1">
      <c r="A9118" s="6" t="s">
        <v>9097</v>
      </c>
      <c r="B9118" s="6" t="s">
        <v>9097</v>
      </c>
      <c r="C9118" s="6" t="s">
        <v>8028</v>
      </c>
      <c r="D9118" s="6" t="s">
        <v>8177</v>
      </c>
      <c r="E9118" s="2">
        <v>2837954</v>
      </c>
      <c r="F9118" s="4" t="str">
        <f>IF(B9118=B9117,"",B9118)</f>
        <v>Schmelz</v>
      </c>
    </row>
    <row r="9119" spans="1:6" ht="15.75" customHeight="1">
      <c r="A9119" s="5" t="str">
        <f ca="1">IFERROR(__xludf.DUMMYFUNCTION("GOOGLETRANSLATE(B27564,""en"",""pt"")"),"Schmelz")</f>
        <v>Schmelz</v>
      </c>
      <c r="B9119" s="17" t="s">
        <v>9097</v>
      </c>
      <c r="C9119" s="17" t="s">
        <v>8028</v>
      </c>
      <c r="D9119" s="17" t="s">
        <v>8177</v>
      </c>
      <c r="E9119" s="10">
        <v>2837954</v>
      </c>
      <c r="F9119" s="4" t="str">
        <f>IF(B9119=B9118,"",B9119)</f>
        <v/>
      </c>
    </row>
    <row r="9120" spans="1:6" ht="15.75" customHeight="1">
      <c r="A9120" s="5" t="s">
        <v>9096</v>
      </c>
      <c r="B9120" s="6" t="s">
        <v>9096</v>
      </c>
      <c r="C9120" s="5" t="s">
        <v>8028</v>
      </c>
      <c r="D9120" s="5" t="s">
        <v>8036</v>
      </c>
      <c r="E9120" s="2">
        <v>2838009</v>
      </c>
      <c r="F9120" s="4" t="str">
        <f>IF(B9120=B9119,"",B9120)</f>
        <v>Schmargendorf</v>
      </c>
    </row>
    <row r="9121" spans="1:6" ht="15.75" customHeight="1">
      <c r="A9121" s="5" t="str">
        <f ca="1">IFERROR(__xludf.DUMMYFUNCTION("GOOGLETRANSLATE(B27565,""en"",""pt"")"),"Schmargendorf")</f>
        <v>Schmargendorf</v>
      </c>
      <c r="B9121" s="17" t="s">
        <v>9096</v>
      </c>
      <c r="C9121" s="17" t="s">
        <v>8028</v>
      </c>
      <c r="D9121" s="17" t="s">
        <v>8036</v>
      </c>
      <c r="E9121" s="10">
        <v>2838009</v>
      </c>
      <c r="F9121" s="4" t="str">
        <f>IF(B9121=B9120,"",B9121)</f>
        <v/>
      </c>
    </row>
    <row r="9122" spans="1:6" ht="15.75" customHeight="1">
      <c r="A9122" s="5" t="s">
        <v>9095</v>
      </c>
      <c r="B9122" s="6" t="s">
        <v>9095</v>
      </c>
      <c r="C9122" s="5" t="s">
        <v>8028</v>
      </c>
      <c r="D9122" s="5" t="s">
        <v>8029</v>
      </c>
      <c r="E9122" s="2">
        <v>2838053</v>
      </c>
      <c r="F9122" s="4" t="str">
        <f>IF(B9122=B9121,"",B9122)</f>
        <v>Schmallenberg</v>
      </c>
    </row>
    <row r="9123" spans="1:6" ht="15.75" customHeight="1">
      <c r="A9123" s="5" t="str">
        <f ca="1">IFERROR(__xludf.DUMMYFUNCTION("GOOGLETRANSLATE(B27566,""en"",""pt"")"),"Schmallenberg")</f>
        <v>Schmallenberg</v>
      </c>
      <c r="B9123" s="17" t="s">
        <v>9095</v>
      </c>
      <c r="C9123" s="17" t="s">
        <v>8028</v>
      </c>
      <c r="D9123" s="17" t="s">
        <v>8029</v>
      </c>
      <c r="E9123" s="10">
        <v>2838053</v>
      </c>
      <c r="F9123" s="4" t="str">
        <f>IF(B9123=B9122,"",B9123)</f>
        <v/>
      </c>
    </row>
    <row r="9124" spans="1:6" ht="15.75" customHeight="1">
      <c r="A9124" s="5" t="s">
        <v>9094</v>
      </c>
      <c r="B9124" s="6" t="s">
        <v>9094</v>
      </c>
      <c r="C9124" s="5" t="s">
        <v>8028</v>
      </c>
      <c r="D9124" s="5" t="s">
        <v>8054</v>
      </c>
      <c r="E9124" s="2">
        <v>2838059</v>
      </c>
      <c r="F9124" s="4" t="str">
        <f>IF(B9124=B9123,"",B9124)</f>
        <v>Schmalkalden</v>
      </c>
    </row>
    <row r="9125" spans="1:6" ht="15.75" customHeight="1">
      <c r="A9125" s="5" t="str">
        <f ca="1">IFERROR(__xludf.DUMMYFUNCTION("GOOGLETRANSLATE(B27567,""en"",""pt"")"),"Schmalkalden")</f>
        <v>Schmalkalden</v>
      </c>
      <c r="B9125" s="17" t="s">
        <v>9094</v>
      </c>
      <c r="C9125" s="17" t="s">
        <v>8028</v>
      </c>
      <c r="D9125" s="17" t="s">
        <v>8054</v>
      </c>
      <c r="E9125" s="10">
        <v>2838059</v>
      </c>
      <c r="F9125" s="4" t="str">
        <f>IF(B9125=B9124,"",B9125)</f>
        <v/>
      </c>
    </row>
    <row r="9126" spans="1:6" ht="15.75" customHeight="1">
      <c r="A9126" s="5" t="str">
        <f ca="1">IFERROR(__xludf.DUMMYFUNCTION("GOOGLETRANSLATE(B27568,""en"",""pt"")"),"Schlüchtern")</f>
        <v>Schlüchtern</v>
      </c>
      <c r="B9126" s="17" t="s">
        <v>32034</v>
      </c>
      <c r="C9126" s="17" t="s">
        <v>8028</v>
      </c>
      <c r="D9126" s="17" t="s">
        <v>8050</v>
      </c>
      <c r="E9126" s="10">
        <v>2838201</v>
      </c>
      <c r="F9126" s="4" t="str">
        <f>IF(B9126=B9125,"",B9126)</f>
        <v>Schlüchtern</v>
      </c>
    </row>
    <row r="9127" spans="1:6" ht="15.75" customHeight="1">
      <c r="A9127" s="6" t="s">
        <v>9093</v>
      </c>
      <c r="B9127" s="6" t="s">
        <v>9093</v>
      </c>
      <c r="C9127" s="6" t="s">
        <v>8028</v>
      </c>
      <c r="D9127" s="6" t="s">
        <v>8040</v>
      </c>
      <c r="E9127" s="2">
        <v>2838634</v>
      </c>
      <c r="F9127" s="4" t="str">
        <f>IF(B9127=B9126,"",B9127)</f>
        <v>Schleswig</v>
      </c>
    </row>
    <row r="9128" spans="1:6" ht="15.75" customHeight="1">
      <c r="A9128" s="5" t="str">
        <f ca="1">IFERROR(__xludf.DUMMYFUNCTION("GOOGLETRANSLATE(B27569,""en"",""pt"")"),"Schleswig")</f>
        <v>Schleswig</v>
      </c>
      <c r="B9128" s="17" t="s">
        <v>9093</v>
      </c>
      <c r="C9128" s="17" t="s">
        <v>8028</v>
      </c>
      <c r="D9128" s="17" t="s">
        <v>8040</v>
      </c>
      <c r="E9128" s="10">
        <v>2838634</v>
      </c>
      <c r="F9128" s="4" t="str">
        <f>IF(B9128=B9127,"",B9128)</f>
        <v/>
      </c>
    </row>
    <row r="9129" spans="1:6" ht="15.75" customHeight="1">
      <c r="A9129" s="5" t="s">
        <v>9091</v>
      </c>
      <c r="B9129" s="6" t="s">
        <v>9092</v>
      </c>
      <c r="C9129" s="5" t="s">
        <v>8028</v>
      </c>
      <c r="D9129" s="5" t="s">
        <v>8050</v>
      </c>
      <c r="E9129" s="2">
        <v>2838201</v>
      </c>
      <c r="F9129" s="4" t="str">
        <f>IF(B9129=B9128,"",B9129)</f>
        <v>SchlÃ¼chtern</v>
      </c>
    </row>
    <row r="9130" spans="1:6" ht="15.75" customHeight="1">
      <c r="A9130" s="5" t="s">
        <v>9090</v>
      </c>
      <c r="B9130" s="6" t="s">
        <v>9090</v>
      </c>
      <c r="C9130" s="5" t="s">
        <v>8028</v>
      </c>
      <c r="D9130" s="5" t="s">
        <v>8072</v>
      </c>
      <c r="E9130" s="2">
        <v>2839050</v>
      </c>
      <c r="F9130" s="4" t="str">
        <f>IF(B9130=B9129,"",B9130)</f>
        <v>Schkeuditz</v>
      </c>
    </row>
    <row r="9131" spans="1:6" ht="15.75" customHeight="1">
      <c r="A9131" s="5" t="str">
        <f ca="1">IFERROR(__xludf.DUMMYFUNCTION("GOOGLETRANSLATE(B27570,""en"",""pt"")"),"Schkeuditz")</f>
        <v>Schkeuditz</v>
      </c>
      <c r="B9131" s="17" t="s">
        <v>9090</v>
      </c>
      <c r="C9131" s="17" t="s">
        <v>8028</v>
      </c>
      <c r="D9131" s="17" t="s">
        <v>8072</v>
      </c>
      <c r="E9131" s="10">
        <v>2839050</v>
      </c>
      <c r="F9131" s="4" t="str">
        <f>IF(B9131=B9130,"",B9131)</f>
        <v/>
      </c>
    </row>
    <row r="9132" spans="1:6" ht="15.75" customHeight="1">
      <c r="A9132" s="6" t="s">
        <v>15484</v>
      </c>
      <c r="B9132" s="6" t="s">
        <v>15484</v>
      </c>
      <c r="C9132" s="6" t="s">
        <v>14891</v>
      </c>
      <c r="D9132" s="6" t="s">
        <v>14892</v>
      </c>
      <c r="E9132" s="2">
        <v>3166917</v>
      </c>
      <c r="F9132" s="4" t="str">
        <f>IF(B9132=B9131,"",B9132)</f>
        <v>Schio</v>
      </c>
    </row>
    <row r="9133" spans="1:6" ht="15.75" customHeight="1">
      <c r="A9133" s="5" t="str">
        <f ca="1">IFERROR(__xludf.DUMMYFUNCTION("GOOGLETRANSLATE(B34692,""en"",""pt"")"),"Schio")</f>
        <v>Schio</v>
      </c>
      <c r="B9133" s="17" t="s">
        <v>15484</v>
      </c>
      <c r="C9133" s="17" t="s">
        <v>14891</v>
      </c>
      <c r="D9133" s="17" t="s">
        <v>14892</v>
      </c>
      <c r="E9133" s="10">
        <v>3166917</v>
      </c>
      <c r="F9133" s="4" t="str">
        <f>IF(B9133=B9132,"",B9133)</f>
        <v/>
      </c>
    </row>
    <row r="9134" spans="1:6" ht="15.75" customHeight="1">
      <c r="A9134" s="5" t="s">
        <v>7818</v>
      </c>
      <c r="B9134" s="6" t="s">
        <v>7818</v>
      </c>
      <c r="C9134" s="5" t="s">
        <v>7052</v>
      </c>
      <c r="D9134" s="5" t="s">
        <v>7061</v>
      </c>
      <c r="E9134" s="2">
        <v>2975446</v>
      </c>
      <c r="F9134" s="4" t="str">
        <f>IF(B9134=B9133,"",B9134)</f>
        <v>Schiltigheim</v>
      </c>
    </row>
    <row r="9135" spans="1:6" ht="15.75" customHeight="1">
      <c r="A9135" s="5" t="str">
        <f ca="1">IFERROR(__xludf.DUMMYFUNCTION("GOOGLETRANSLATE(B29760,""en"",""pt"")"),"Schiltigheim")</f>
        <v>Schiltigheim</v>
      </c>
      <c r="B9135" s="17" t="s">
        <v>7818</v>
      </c>
      <c r="C9135" s="17" t="s">
        <v>7052</v>
      </c>
      <c r="D9135" s="17" t="s">
        <v>7061</v>
      </c>
      <c r="E9135" s="10">
        <v>2975446</v>
      </c>
      <c r="F9135" s="4" t="str">
        <f>IF(B9135=B9134,"",B9135)</f>
        <v/>
      </c>
    </row>
    <row r="9136" spans="1:6" ht="15.75" customHeight="1">
      <c r="A9136" s="6" t="s">
        <v>1679</v>
      </c>
      <c r="B9136" s="6" t="s">
        <v>1679</v>
      </c>
      <c r="C9136" s="6" t="s">
        <v>1512</v>
      </c>
      <c r="D9136" s="6" t="s">
        <v>1513</v>
      </c>
      <c r="E9136" s="2">
        <v>2787048</v>
      </c>
      <c r="F9136" s="4" t="str">
        <f>IF(B9136=B9135,"",B9136)</f>
        <v>Schilde</v>
      </c>
    </row>
    <row r="9137" spans="1:6" ht="15.75" customHeight="1">
      <c r="A9137" s="5" t="str">
        <f ca="1">IFERROR(__xludf.DUMMYFUNCTION("GOOGLETRANSLATE(B23836,""en"",""pt"")"),"Schilde")</f>
        <v>Schilde</v>
      </c>
      <c r="B9137" s="17" t="s">
        <v>1679</v>
      </c>
      <c r="C9137" s="17" t="s">
        <v>1512</v>
      </c>
      <c r="D9137" s="17" t="s">
        <v>1513</v>
      </c>
      <c r="E9137" s="10">
        <v>2787048</v>
      </c>
      <c r="F9137" s="4" t="str">
        <f>IF(B9137=B9136,"",B9137)</f>
        <v/>
      </c>
    </row>
    <row r="9138" spans="1:6" ht="15.75" customHeight="1">
      <c r="A9138" s="6" t="s">
        <v>19083</v>
      </c>
      <c r="B9138" s="6" t="s">
        <v>19083</v>
      </c>
      <c r="C9138" s="6" t="s">
        <v>18862</v>
      </c>
      <c r="D9138" s="6" t="s">
        <v>18888</v>
      </c>
      <c r="E9138" s="2">
        <v>2747584</v>
      </c>
      <c r="F9138" s="4" t="str">
        <f>IF(B9138=B9137,"",B9138)</f>
        <v>Schijndel</v>
      </c>
    </row>
    <row r="9139" spans="1:6" ht="15.75" customHeight="1">
      <c r="A9139" s="5" t="str">
        <f ca="1">IFERROR(__xludf.DUMMYFUNCTION("GOOGLETRANSLATE(B37959,""en"",""pt"")"),"Schijndel")</f>
        <v>Schijndel</v>
      </c>
      <c r="B9139" s="17" t="s">
        <v>19083</v>
      </c>
      <c r="C9139" s="17" t="s">
        <v>18862</v>
      </c>
      <c r="D9139" s="17" t="s">
        <v>18888</v>
      </c>
      <c r="E9139" s="10">
        <v>2747584</v>
      </c>
      <c r="F9139" s="4" t="str">
        <f>IF(B9139=B9138,"",B9139)</f>
        <v/>
      </c>
    </row>
    <row r="9140" spans="1:6" ht="15.75" customHeight="1">
      <c r="A9140" s="5" t="s">
        <v>9089</v>
      </c>
      <c r="B9140" s="6" t="s">
        <v>9089</v>
      </c>
      <c r="C9140" s="5" t="s">
        <v>8028</v>
      </c>
      <c r="D9140" s="5" t="s">
        <v>8177</v>
      </c>
      <c r="E9140" s="2">
        <v>2839316</v>
      </c>
      <c r="F9140" s="4" t="str">
        <f>IF(B9140=B9139,"",B9140)</f>
        <v>Schiffweiler</v>
      </c>
    </row>
    <row r="9141" spans="1:6" ht="15.75" customHeight="1">
      <c r="A9141" s="5" t="str">
        <f ca="1">IFERROR(__xludf.DUMMYFUNCTION("GOOGLETRANSLATE(B27571,""en"",""pt"")"),"Schiffweiler")</f>
        <v>Schiffweiler</v>
      </c>
      <c r="B9141" s="17" t="s">
        <v>9089</v>
      </c>
      <c r="C9141" s="17" t="s">
        <v>8028</v>
      </c>
      <c r="D9141" s="17" t="s">
        <v>8177</v>
      </c>
      <c r="E9141" s="10">
        <v>2839316</v>
      </c>
      <c r="F9141" s="4" t="str">
        <f>IF(B9141=B9140,"",B9141)</f>
        <v/>
      </c>
    </row>
    <row r="9142" spans="1:6" ht="15.75" customHeight="1">
      <c r="A9142" s="5" t="s">
        <v>9087</v>
      </c>
      <c r="B9142" s="6" t="s">
        <v>9088</v>
      </c>
      <c r="C9142" s="5" t="s">
        <v>8028</v>
      </c>
      <c r="D9142" s="5" t="s">
        <v>8065</v>
      </c>
      <c r="E9142" s="2">
        <v>2839335</v>
      </c>
      <c r="F9142" s="4" t="str">
        <f>IF(B9142=B9141,"",B9142)</f>
        <v>Schifferstadt</v>
      </c>
    </row>
    <row r="9143" spans="1:6" ht="15.75" customHeight="1">
      <c r="A9143" s="5" t="str">
        <f ca="1">IFERROR(__xludf.DUMMYFUNCTION("GOOGLETRANSLATE(B27572,""en"",""pt"")"),"Schiffestadt")</f>
        <v>Schiffestadt</v>
      </c>
      <c r="B9143" s="17" t="s">
        <v>9088</v>
      </c>
      <c r="C9143" s="17" t="s">
        <v>8028</v>
      </c>
      <c r="D9143" s="17" t="s">
        <v>8065</v>
      </c>
      <c r="E9143" s="10">
        <v>2839335</v>
      </c>
      <c r="F9143" s="4" t="str">
        <f>IF(B9143=B9142,"",B9143)</f>
        <v/>
      </c>
    </row>
    <row r="9144" spans="1:6" ht="15.75" customHeight="1">
      <c r="A9144" s="6" t="s">
        <v>19082</v>
      </c>
      <c r="B9144" s="6" t="s">
        <v>19082</v>
      </c>
      <c r="C9144" s="6" t="s">
        <v>18862</v>
      </c>
      <c r="D9144" s="6" t="s">
        <v>18868</v>
      </c>
      <c r="E9144" s="2">
        <v>2747596</v>
      </c>
      <c r="F9144" s="4" t="str">
        <f>IF(B9144=B9143,"",B9144)</f>
        <v>Schiedam</v>
      </c>
    </row>
    <row r="9145" spans="1:6" ht="15.75" customHeight="1">
      <c r="A9145" s="5" t="str">
        <f ca="1">IFERROR(__xludf.DUMMYFUNCTION("GOOGLETRANSLATE(B37960,""en"",""pt"")"),"Schiedam")</f>
        <v>Schiedam</v>
      </c>
      <c r="B9145" s="17" t="s">
        <v>19082</v>
      </c>
      <c r="C9145" s="17" t="s">
        <v>18862</v>
      </c>
      <c r="D9145" s="17" t="s">
        <v>18868</v>
      </c>
      <c r="E9145" s="10">
        <v>2747596</v>
      </c>
      <c r="F9145" s="4" t="str">
        <f>IF(B9145=B9144,"",B9145)</f>
        <v/>
      </c>
    </row>
    <row r="9146" spans="1:6" ht="15.75" customHeight="1">
      <c r="A9146" s="5" t="s">
        <v>19081</v>
      </c>
      <c r="B9146" s="6" t="s">
        <v>19081</v>
      </c>
      <c r="C9146" s="5" t="s">
        <v>18862</v>
      </c>
      <c r="D9146" s="5" t="s">
        <v>18868</v>
      </c>
      <c r="E9146" s="2">
        <v>2747599</v>
      </c>
      <c r="F9146" s="4" t="str">
        <f>IF(B9146=B9145,"",B9146)</f>
        <v>Scheveningen</v>
      </c>
    </row>
    <row r="9147" spans="1:6" ht="15.75" customHeight="1">
      <c r="A9147" s="5" t="str">
        <f ca="1">IFERROR(__xludf.DUMMYFUNCTION("GOOGLETRANSLATE(B37961,""en"",""pt"")"),"Scheveningen")</f>
        <v>Scheveningen</v>
      </c>
      <c r="B9147" s="17" t="s">
        <v>19081</v>
      </c>
      <c r="C9147" s="17" t="s">
        <v>18862</v>
      </c>
      <c r="D9147" s="17" t="s">
        <v>18868</v>
      </c>
      <c r="E9147" s="10">
        <v>2747599</v>
      </c>
      <c r="F9147" s="4" t="str">
        <f>IF(B9147=B9146,"",B9147)</f>
        <v/>
      </c>
    </row>
    <row r="9148" spans="1:6" ht="15.75" customHeight="1">
      <c r="A9148" s="5" t="s">
        <v>29933</v>
      </c>
      <c r="B9148" s="6" t="s">
        <v>29933</v>
      </c>
      <c r="C9148" s="5" t="s">
        <v>27788</v>
      </c>
      <c r="D9148" s="5" t="s">
        <v>27869</v>
      </c>
      <c r="E9148" s="2">
        <v>4926170</v>
      </c>
      <c r="F9148" s="4" t="str">
        <f>IF(B9148=B9147,"",B9148)</f>
        <v>Schererville</v>
      </c>
    </row>
    <row r="9149" spans="1:6" ht="15.75" customHeight="1">
      <c r="A9149" s="5" t="str">
        <f ca="1">IFERROR(__xludf.DUMMYFUNCTION("GOOGLETRANSLATE(B43936,""en"",""pt"")"),"Schererville")</f>
        <v>Schererville</v>
      </c>
      <c r="B9149" s="17" t="s">
        <v>29933</v>
      </c>
      <c r="C9149" s="17" t="s">
        <v>27788</v>
      </c>
      <c r="D9149" s="17" t="s">
        <v>27869</v>
      </c>
      <c r="E9149" s="10">
        <v>4926170</v>
      </c>
      <c r="F9149" s="4" t="str">
        <f>IF(B9149=B9148,"",B9149)</f>
        <v/>
      </c>
    </row>
    <row r="9150" spans="1:6" ht="15.75" customHeight="1">
      <c r="A9150" s="5" t="s">
        <v>29932</v>
      </c>
      <c r="B9150" s="6" t="s">
        <v>29932</v>
      </c>
      <c r="C9150" s="5" t="s">
        <v>27788</v>
      </c>
      <c r="D9150" s="5" t="s">
        <v>27819</v>
      </c>
      <c r="E9150" s="2">
        <v>5136454</v>
      </c>
      <c r="F9150" s="4" t="str">
        <f>IF(B9150=B9149,"",B9150)</f>
        <v>Schenectady</v>
      </c>
    </row>
    <row r="9151" spans="1:6" ht="15.75" customHeight="1">
      <c r="A9151" s="5" t="str">
        <f ca="1">IFERROR(__xludf.DUMMYFUNCTION("GOOGLETRANSLATE(B44449,""en"",""pt"")"),"Schenectady")</f>
        <v>Schenectady</v>
      </c>
      <c r="B9151" s="17" t="s">
        <v>29932</v>
      </c>
      <c r="C9151" s="17" t="s">
        <v>27788</v>
      </c>
      <c r="D9151" s="17" t="s">
        <v>27819</v>
      </c>
      <c r="E9151" s="10">
        <v>5136454</v>
      </c>
      <c r="F9151" s="4" t="str">
        <f>IF(B9151=B9150,"",B9151)</f>
        <v/>
      </c>
    </row>
    <row r="9152" spans="1:6" ht="15.75" customHeight="1">
      <c r="A9152" s="5" t="s">
        <v>29931</v>
      </c>
      <c r="B9152" s="6" t="s">
        <v>29931</v>
      </c>
      <c r="C9152" s="5" t="s">
        <v>27788</v>
      </c>
      <c r="D9152" s="5" t="s">
        <v>27799</v>
      </c>
      <c r="E9152" s="2">
        <v>4910713</v>
      </c>
      <c r="F9152" s="4" t="str">
        <f>IF(B9152=B9151,"",B9152)</f>
        <v>Schaumburg</v>
      </c>
    </row>
    <row r="9153" spans="1:6" ht="15.75" customHeight="1">
      <c r="A9153" s="5" t="str">
        <f ca="1">IFERROR(__xludf.DUMMYFUNCTION("GOOGLETRANSLATE(B43882,""en"",""pt"")"),"Schaumburg")</f>
        <v>Schaumburg</v>
      </c>
      <c r="B9153" s="17" t="s">
        <v>29931</v>
      </c>
      <c r="C9153" s="17" t="s">
        <v>27788</v>
      </c>
      <c r="D9153" s="17" t="s">
        <v>27799</v>
      </c>
      <c r="E9153" s="10">
        <v>4910713</v>
      </c>
      <c r="F9153" s="4" t="str">
        <f>IF(B9153=B9152,"",B9153)</f>
        <v/>
      </c>
    </row>
    <row r="9154" spans="1:6" ht="15.75" customHeight="1">
      <c r="A9154" s="6" t="s">
        <v>19080</v>
      </c>
      <c r="B9154" s="6" t="s">
        <v>19080</v>
      </c>
      <c r="C9154" s="6" t="s">
        <v>18862</v>
      </c>
      <c r="D9154" s="6" t="s">
        <v>18863</v>
      </c>
      <c r="E9154" s="2">
        <v>2747720</v>
      </c>
      <c r="F9154" s="4" t="str">
        <f>IF(B9154=B9153,"",B9154)</f>
        <v>Schagen</v>
      </c>
    </row>
    <row r="9155" spans="1:6" ht="15.75" customHeight="1">
      <c r="A9155" s="5" t="str">
        <f ca="1">IFERROR(__xludf.DUMMYFUNCTION("GOOGLETRANSLATE(B37962,""en"",""pt"")"),"Schagen")</f>
        <v>Schagen</v>
      </c>
      <c r="B9155" s="17" t="s">
        <v>19080</v>
      </c>
      <c r="C9155" s="17" t="s">
        <v>18862</v>
      </c>
      <c r="D9155" s="17" t="s">
        <v>18863</v>
      </c>
      <c r="E9155" s="10">
        <v>2747720</v>
      </c>
      <c r="F9155" s="4" t="str">
        <f>IF(B9155=B9154,"",B9155)</f>
        <v/>
      </c>
    </row>
    <row r="9156" spans="1:6" ht="15.75" customHeight="1">
      <c r="A9156" s="5" t="s">
        <v>25307</v>
      </c>
      <c r="B9156" s="6" t="s">
        <v>25307</v>
      </c>
      <c r="C9156" s="5" t="s">
        <v>25237</v>
      </c>
      <c r="D9156" s="5" t="s">
        <v>25307</v>
      </c>
      <c r="E9156" s="2">
        <v>2658761</v>
      </c>
      <c r="F9156" s="4" t="str">
        <f>IF(B9156=B9155,"",B9156)</f>
        <v>Schaffhausen</v>
      </c>
    </row>
    <row r="9157" spans="1:6" ht="15.75" customHeight="1">
      <c r="A9157" s="5" t="str">
        <f ca="1">IFERROR(__xludf.DUMMYFUNCTION("GOOGLETRANSLATE(B25756,""en"",""pt"")"),"Schaffhausen")</f>
        <v>Schaffhausen</v>
      </c>
      <c r="B9157" s="17" t="s">
        <v>25307</v>
      </c>
      <c r="C9157" s="17" t="s">
        <v>25237</v>
      </c>
      <c r="D9157" s="17" t="s">
        <v>25307</v>
      </c>
      <c r="E9157" s="10">
        <v>2658761</v>
      </c>
      <c r="F9157" s="4" t="str">
        <f>IF(B9157=B9156,"",B9157)</f>
        <v/>
      </c>
    </row>
    <row r="9158" spans="1:6" ht="15.75" customHeight="1">
      <c r="A9158" s="5" t="s">
        <v>9085</v>
      </c>
      <c r="B9158" s="6" t="s">
        <v>9086</v>
      </c>
      <c r="C9158" s="5" t="s">
        <v>8028</v>
      </c>
      <c r="D9158" s="5" t="s">
        <v>8036</v>
      </c>
      <c r="E9158" s="2">
        <v>2836788</v>
      </c>
      <c r="F9158" s="4" t="str">
        <f>IF(B9158=B9157,"",B9158)</f>
        <v>SchÃ¶neberg</v>
      </c>
    </row>
    <row r="9159" spans="1:6" ht="15.75" customHeight="1">
      <c r="A9159" s="5" t="s">
        <v>9083</v>
      </c>
      <c r="B9159" s="6" t="s">
        <v>9084</v>
      </c>
      <c r="C9159" s="5" t="s">
        <v>8028</v>
      </c>
      <c r="D9159" s="5" t="s">
        <v>8085</v>
      </c>
      <c r="E9159" s="2">
        <v>2836809</v>
      </c>
      <c r="F9159" s="4" t="str">
        <f>IF(B9159=B9158,"",B9159)</f>
        <v>SchÃ¶nebeck</v>
      </c>
    </row>
    <row r="9160" spans="1:6" ht="15.75" customHeight="1">
      <c r="A9160" s="6" t="s">
        <v>7817</v>
      </c>
      <c r="B9160" s="6" t="s">
        <v>7817</v>
      </c>
      <c r="C9160" s="6" t="s">
        <v>7052</v>
      </c>
      <c r="D9160" s="6" t="s">
        <v>7058</v>
      </c>
      <c r="E9160" s="2">
        <v>2975469</v>
      </c>
      <c r="F9160" s="4" t="str">
        <f>IF(B9160=B9159,"",B9160)</f>
        <v>Sceaux</v>
      </c>
    </row>
    <row r="9161" spans="1:6" ht="15.75" customHeight="1">
      <c r="A9161" s="5" t="str">
        <f ca="1">IFERROR(__xludf.DUMMYFUNCTION("GOOGLETRANSLATE(B29761,""en"",""pt"")"),"Sceaux")</f>
        <v>Sceaux</v>
      </c>
      <c r="B9161" s="17" t="s">
        <v>7817</v>
      </c>
      <c r="C9161" s="17" t="s">
        <v>7052</v>
      </c>
      <c r="D9161" s="17" t="s">
        <v>32531</v>
      </c>
      <c r="E9161" s="10">
        <v>2975469</v>
      </c>
      <c r="F9161" s="4" t="str">
        <f>IF(B9161=B9160,"",B9161)</f>
        <v/>
      </c>
    </row>
    <row r="9162" spans="1:6" ht="15.75" customHeight="1">
      <c r="A9162" s="6" t="s">
        <v>29930</v>
      </c>
      <c r="B9162" s="6" t="s">
        <v>29930</v>
      </c>
      <c r="C9162" s="6" t="s">
        <v>27788</v>
      </c>
      <c r="D9162" s="6" t="s">
        <v>27819</v>
      </c>
      <c r="E9162" s="2">
        <v>5136433</v>
      </c>
      <c r="F9162" s="4" t="str">
        <f>IF(B9162=B9161,"",B9162)</f>
        <v>Scarsdale</v>
      </c>
    </row>
    <row r="9163" spans="1:6" ht="15.75" customHeight="1">
      <c r="A9163" s="5" t="str">
        <f ca="1">IFERROR(__xludf.DUMMYFUNCTION("GOOGLETRANSLATE(B44448,""en"",""pt"")"),"Scarsdale")</f>
        <v>Scarsdale</v>
      </c>
      <c r="B9163" s="17" t="s">
        <v>29930</v>
      </c>
      <c r="C9163" s="17" t="s">
        <v>27788</v>
      </c>
      <c r="D9163" s="17" t="s">
        <v>27819</v>
      </c>
      <c r="E9163" s="10">
        <v>5136433</v>
      </c>
      <c r="F9163" s="4" t="str">
        <f>IF(B9163=B9162,"",B9163)</f>
        <v/>
      </c>
    </row>
    <row r="9164" spans="1:6" ht="15.75" customHeight="1">
      <c r="A9164" s="5" t="s">
        <v>4198</v>
      </c>
      <c r="B9164" s="6" t="s">
        <v>4198</v>
      </c>
      <c r="C9164" s="5" t="s">
        <v>3975</v>
      </c>
      <c r="D9164" s="5" t="s">
        <v>3980</v>
      </c>
      <c r="E9164" s="2">
        <v>6948711</v>
      </c>
      <c r="F9164" s="4" t="str">
        <f>IF(B9164=B9163,"",B9164)</f>
        <v>Scarborough</v>
      </c>
    </row>
    <row r="9165" spans="1:6" ht="15.75" customHeight="1">
      <c r="A9165" s="5" t="s">
        <v>4198</v>
      </c>
      <c r="B9165" s="6" t="s">
        <v>4198</v>
      </c>
      <c r="C9165" s="5" t="s">
        <v>26070</v>
      </c>
      <c r="D9165" s="5" t="s">
        <v>26087</v>
      </c>
      <c r="E9165" s="2">
        <v>3573703</v>
      </c>
      <c r="F9165" s="4" t="str">
        <f>IF(B9165=B9164,"",B9165)</f>
        <v/>
      </c>
    </row>
    <row r="9166" spans="1:6" ht="15.75" customHeight="1">
      <c r="A9166" s="5" t="s">
        <v>4198</v>
      </c>
      <c r="B9166" s="6" t="s">
        <v>4198</v>
      </c>
      <c r="C9166" s="5" t="s">
        <v>27234</v>
      </c>
      <c r="D9166" s="5" t="s">
        <v>27241</v>
      </c>
      <c r="E9166" s="2">
        <v>2638419</v>
      </c>
      <c r="F9166" s="4" t="str">
        <f>IF(B9166=B9165,"",B9166)</f>
        <v/>
      </c>
    </row>
    <row r="9167" spans="1:6" ht="15.75" customHeight="1">
      <c r="A9167" s="5" t="str">
        <f ca="1">IFERROR(__xludf.DUMMYFUNCTION("GOOGLETRANSLATE(B25630,""en"",""pt"")"),"Scarborough")</f>
        <v>Scarborough</v>
      </c>
      <c r="B9167" s="17" t="s">
        <v>4198</v>
      </c>
      <c r="C9167" s="17" t="s">
        <v>3975</v>
      </c>
      <c r="D9167" s="17" t="s">
        <v>3980</v>
      </c>
      <c r="E9167" s="10">
        <v>6948711</v>
      </c>
      <c r="F9167" s="4" t="str">
        <f>IF(B9167=B9166,"",B9167)</f>
        <v/>
      </c>
    </row>
    <row r="9168" spans="1:6" ht="15.75" customHeight="1">
      <c r="A9168" s="5" t="str">
        <f ca="1">IFERROR(__xludf.DUMMYFUNCTION("GOOGLETRANSLATE(B30416,""en"",""pt"")"),"Scarborough")</f>
        <v>Scarborough</v>
      </c>
      <c r="B9168" s="17" t="s">
        <v>4198</v>
      </c>
      <c r="C9168" s="17" t="s">
        <v>27234</v>
      </c>
      <c r="D9168" s="17" t="s">
        <v>27241</v>
      </c>
      <c r="E9168" s="10">
        <v>2638419</v>
      </c>
      <c r="F9168" s="4" t="str">
        <f>IF(B9168=B9167,"",B9168)</f>
        <v/>
      </c>
    </row>
    <row r="9169" spans="1:6" ht="15.75" customHeight="1">
      <c r="A9169" s="5" t="str">
        <f ca="1">IFERROR(__xludf.DUMMYFUNCTION("GOOGLETRANSLATE(B42247,""en"",""pt"")"),"Scarborough")</f>
        <v>Scarborough</v>
      </c>
      <c r="B9169" s="17" t="s">
        <v>4198</v>
      </c>
      <c r="C9169" s="17" t="s">
        <v>26070</v>
      </c>
      <c r="D9169" s="17" t="s">
        <v>26087</v>
      </c>
      <c r="E9169" s="10">
        <v>3573703</v>
      </c>
      <c r="F9169" s="4" t="str">
        <f>IF(B9169=B9168,"",B9169)</f>
        <v/>
      </c>
    </row>
    <row r="9170" spans="1:6" ht="15.75" customHeight="1">
      <c r="A9170" s="6" t="s">
        <v>15483</v>
      </c>
      <c r="B9170" s="6" t="s">
        <v>15483</v>
      </c>
      <c r="C9170" s="6" t="s">
        <v>14891</v>
      </c>
      <c r="D9170" s="6" t="s">
        <v>14943</v>
      </c>
      <c r="E9170" s="2">
        <v>3166988</v>
      </c>
      <c r="F9170" s="4" t="str">
        <f>IF(B9170=B9169,"",B9170)</f>
        <v>Scandicci</v>
      </c>
    </row>
    <row r="9171" spans="1:6" ht="15.75" customHeight="1">
      <c r="A9171" s="5" t="str">
        <f ca="1">IFERROR(__xludf.DUMMYFUNCTION("GOOGLETRANSLATE(B34693,""en"",""pt"")"),"Scandicci")</f>
        <v>Scandicci</v>
      </c>
      <c r="B9171" s="17" t="s">
        <v>15483</v>
      </c>
      <c r="C9171" s="17" t="s">
        <v>14891</v>
      </c>
      <c r="D9171" s="17" t="s">
        <v>14943</v>
      </c>
      <c r="E9171" s="10">
        <v>3166988</v>
      </c>
      <c r="F9171" s="4" t="str">
        <f>IF(B9171=B9170,"",B9171)</f>
        <v/>
      </c>
    </row>
    <row r="9172" spans="1:6" ht="15.75" customHeight="1">
      <c r="A9172" s="6" t="s">
        <v>15482</v>
      </c>
      <c r="B9172" s="6" t="s">
        <v>15482</v>
      </c>
      <c r="C9172" s="6" t="s">
        <v>14891</v>
      </c>
      <c r="D9172" s="6" t="s">
        <v>14896</v>
      </c>
      <c r="E9172" s="2">
        <v>3167010</v>
      </c>
      <c r="F9172" s="4" t="str">
        <f>IF(B9172=B9171,"",B9172)</f>
        <v>Scafati</v>
      </c>
    </row>
    <row r="9173" spans="1:6" ht="15.75" customHeight="1">
      <c r="A9173" s="5" t="str">
        <f ca="1">IFERROR(__xludf.DUMMYFUNCTION("GOOGLETRANSLATE(B34694,""en"",""pt"")"),"Scafati")</f>
        <v>Scafati</v>
      </c>
      <c r="B9173" s="17" t="s">
        <v>15482</v>
      </c>
      <c r="C9173" s="17" t="s">
        <v>14891</v>
      </c>
      <c r="D9173" s="17" t="s">
        <v>14896</v>
      </c>
      <c r="E9173" s="10">
        <v>3167010</v>
      </c>
      <c r="F9173" s="4" t="str">
        <f>IF(B9173=B9172,"",B9173)</f>
        <v/>
      </c>
    </row>
    <row r="9174" spans="1:6" ht="15.75" customHeight="1">
      <c r="A9174" s="5" t="str">
        <f ca="1">IFERROR(__xludf.DUMMYFUNCTION("GOOGLETRANSLATE(B45820,""en"",""pt"")"),"Sayyān")</f>
        <v>Sayyān</v>
      </c>
      <c r="B9174" s="17" t="s">
        <v>36216</v>
      </c>
      <c r="C9174" s="17" t="s">
        <v>30993</v>
      </c>
      <c r="D9174" s="17" t="s">
        <v>31023</v>
      </c>
      <c r="E9174" s="10">
        <v>70979</v>
      </c>
      <c r="F9174" s="4" t="str">
        <f>IF(B9174=B9173,"",B9174)</f>
        <v>Sayyān</v>
      </c>
    </row>
    <row r="9175" spans="1:6" ht="15.75" customHeight="1">
      <c r="A9175" s="6" t="s">
        <v>31026</v>
      </c>
      <c r="B9175" s="6" t="s">
        <v>31027</v>
      </c>
      <c r="C9175" s="6" t="s">
        <v>30993</v>
      </c>
      <c r="D9175" s="6" t="s">
        <v>31023</v>
      </c>
      <c r="E9175" s="2">
        <v>70979</v>
      </c>
      <c r="F9175" s="4" t="str">
        <f>IF(B9175=B9174,"",B9175)</f>
        <v>SayyÄn</v>
      </c>
    </row>
    <row r="9176" spans="1:6" ht="15.75" customHeight="1">
      <c r="A9176" s="6" t="s">
        <v>29929</v>
      </c>
      <c r="B9176" s="6" t="s">
        <v>29929</v>
      </c>
      <c r="C9176" s="6" t="s">
        <v>27788</v>
      </c>
      <c r="D9176" s="6" t="s">
        <v>27819</v>
      </c>
      <c r="E9176" s="2">
        <v>5136421</v>
      </c>
      <c r="F9176" s="4" t="str">
        <f>IF(B9176=B9175,"",B9176)</f>
        <v>Sayville</v>
      </c>
    </row>
    <row r="9177" spans="1:6" ht="15.75" customHeight="1">
      <c r="A9177" s="5" t="str">
        <f ca="1">IFERROR(__xludf.DUMMYFUNCTION("GOOGLETRANSLATE(B44447,""en"",""pt"")"),"Sayville")</f>
        <v>Sayville</v>
      </c>
      <c r="B9177" s="17" t="s">
        <v>29929</v>
      </c>
      <c r="C9177" s="17" t="s">
        <v>27788</v>
      </c>
      <c r="D9177" s="17" t="s">
        <v>27819</v>
      </c>
      <c r="E9177" s="10">
        <v>5136421</v>
      </c>
      <c r="F9177" s="4" t="str">
        <f>IF(B9177=B9176,"",B9177)</f>
        <v/>
      </c>
    </row>
    <row r="9178" spans="1:6" ht="15.75" customHeight="1">
      <c r="A9178" s="6" t="s">
        <v>18287</v>
      </c>
      <c r="B9178" s="6" t="s">
        <v>18287</v>
      </c>
      <c r="C9178" s="6" t="s">
        <v>17707</v>
      </c>
      <c r="D9178" s="6" t="s">
        <v>17746</v>
      </c>
      <c r="E9178" s="2">
        <v>3983216</v>
      </c>
      <c r="F9178" s="4" t="str">
        <f>IF(B9178=B9177,"",B9178)</f>
        <v>Sayula</v>
      </c>
    </row>
    <row r="9179" spans="1:6" ht="15.75" customHeight="1">
      <c r="A9179" s="5" t="str">
        <f ca="1">IFERROR(__xludf.DUMMYFUNCTION("GOOGLETRANSLATE(B37181,""en"",""pt"")"),"Sayula")</f>
        <v>Sayula</v>
      </c>
      <c r="B9179" s="17" t="s">
        <v>18287</v>
      </c>
      <c r="C9179" s="17" t="s">
        <v>17707</v>
      </c>
      <c r="D9179" s="17" t="s">
        <v>17746</v>
      </c>
      <c r="E9179" s="10">
        <v>3983216</v>
      </c>
      <c r="F9179" s="4" t="str">
        <f>IF(B9179=B9178,"",B9179)</f>
        <v/>
      </c>
    </row>
    <row r="9180" spans="1:6" ht="15.75" customHeight="1">
      <c r="A9180" s="5" t="s">
        <v>29927</v>
      </c>
      <c r="B9180" s="6" t="s">
        <v>29928</v>
      </c>
      <c r="C9180" s="5" t="s">
        <v>27788</v>
      </c>
      <c r="D9180" s="5" t="s">
        <v>27905</v>
      </c>
      <c r="E9180" s="2">
        <v>5104405</v>
      </c>
      <c r="F9180" s="4" t="str">
        <f>IF(B9180=B9179,"",B9180)</f>
        <v>Sayreville Junction</v>
      </c>
    </row>
    <row r="9181" spans="1:6" ht="15.75" customHeight="1">
      <c r="A9181" s="5" t="str">
        <f ca="1">IFERROR(__xludf.DUMMYFUNCTION("GOOGLETRANSLATE(B44308,""en"",""pt"")"),"Junção de Sayreville")</f>
        <v>Junção de Sayreville</v>
      </c>
      <c r="B9181" s="17" t="s">
        <v>29928</v>
      </c>
      <c r="C9181" s="17" t="s">
        <v>27788</v>
      </c>
      <c r="D9181" s="17" t="s">
        <v>27905</v>
      </c>
      <c r="E9181" s="10">
        <v>5104405</v>
      </c>
      <c r="F9181" s="4" t="str">
        <f>IF(B9181=B9180,"",B9181)</f>
        <v/>
      </c>
    </row>
    <row r="9182" spans="1:6" ht="15.75" customHeight="1">
      <c r="A9182" s="6" t="s">
        <v>29926</v>
      </c>
      <c r="B9182" s="6" t="s">
        <v>29926</v>
      </c>
      <c r="C9182" s="6" t="s">
        <v>27788</v>
      </c>
      <c r="D9182" s="6" t="s">
        <v>27905</v>
      </c>
      <c r="E9182" s="2">
        <v>5104404</v>
      </c>
      <c r="F9182" s="4" t="str">
        <f>IF(B9182=B9181,"",B9182)</f>
        <v>Sayreville</v>
      </c>
    </row>
    <row r="9183" spans="1:6" ht="15.75" customHeight="1">
      <c r="A9183" s="5" t="str">
        <f ca="1">IFERROR(__xludf.DUMMYFUNCTION("GOOGLETRANSLATE(B44307,""en"",""pt"")"),"Sayreville")</f>
        <v>Sayreville</v>
      </c>
      <c r="B9183" s="17" t="s">
        <v>29926</v>
      </c>
      <c r="C9183" s="17" t="s">
        <v>27788</v>
      </c>
      <c r="D9183" s="17" t="s">
        <v>27905</v>
      </c>
      <c r="E9183" s="10">
        <v>5104404</v>
      </c>
      <c r="F9183" s="4" t="str">
        <f>IF(B9183=B9182,"",B9183)</f>
        <v/>
      </c>
    </row>
    <row r="9184" spans="1:6" ht="15.75" customHeight="1">
      <c r="A9184" s="5" t="s">
        <v>18526</v>
      </c>
      <c r="B9184" s="6" t="s">
        <v>18526</v>
      </c>
      <c r="C9184" s="5" t="s">
        <v>18496</v>
      </c>
      <c r="D9184" s="5" t="s">
        <v>18527</v>
      </c>
      <c r="E9184" s="2">
        <v>2032081</v>
      </c>
      <c r="F9184" s="4" t="str">
        <f>IF(B9184=B9183,"",B9184)</f>
        <v>Saynshand</v>
      </c>
    </row>
    <row r="9185" spans="1:6" ht="15.75" customHeight="1">
      <c r="A9185" s="5" t="str">
        <f ca="1">IFERROR(__xludf.DUMMYFUNCTION("GOOGLETRANSLATE(B36776,""en"",""pt"")"),"Saynshand")</f>
        <v>Saynshand</v>
      </c>
      <c r="B9185" s="17" t="s">
        <v>18526</v>
      </c>
      <c r="C9185" s="17" t="s">
        <v>18496</v>
      </c>
      <c r="D9185" s="17" t="s">
        <v>18527</v>
      </c>
      <c r="E9185" s="10">
        <v>2032081</v>
      </c>
      <c r="F9185" s="4" t="str">
        <f>IF(B9185=B9184,"",B9185)</f>
        <v/>
      </c>
    </row>
    <row r="9186" spans="1:6" ht="15.75" customHeight="1">
      <c r="A9186" s="5" t="str">
        <f ca="1">IFERROR(__xludf.DUMMYFUNCTION("GOOGLETRANSLATE(B32214,""en"",""pt"")"),"Sāyla")</f>
        <v>Sāyla</v>
      </c>
      <c r="B9186" s="17" t="s">
        <v>33102</v>
      </c>
      <c r="C9186" s="17" t="s">
        <v>10178</v>
      </c>
      <c r="D9186" s="17" t="s">
        <v>10209</v>
      </c>
      <c r="E9186" s="10">
        <v>1256929</v>
      </c>
      <c r="F9186" s="4" t="str">
        <f>IF(B9186=B9185,"",B9186)</f>
        <v>Sāyla</v>
      </c>
    </row>
    <row r="9187" spans="1:6" ht="15.75" customHeight="1">
      <c r="A9187" s="6" t="s">
        <v>5043</v>
      </c>
      <c r="B9187" s="6" t="s">
        <v>5043</v>
      </c>
      <c r="C9187" s="6" t="s">
        <v>4487</v>
      </c>
      <c r="D9187" s="6" t="s">
        <v>4490</v>
      </c>
      <c r="E9187" s="2">
        <v>1529376</v>
      </c>
      <c r="F9187" s="4" t="str">
        <f>IF(B9187=B9186,"",B9187)</f>
        <v>Sayibage</v>
      </c>
    </row>
    <row r="9188" spans="1:6" ht="15.75" customHeight="1">
      <c r="A9188" s="5" t="str">
        <f ca="1">IFERROR(__xludf.DUMMYFUNCTION("GOOGLETRANSLATE(B26059,""en"",""pt"")"),"Sayibage")</f>
        <v>Sayibage</v>
      </c>
      <c r="B9188" s="17" t="s">
        <v>5043</v>
      </c>
      <c r="C9188" s="17" t="s">
        <v>4487</v>
      </c>
      <c r="D9188" s="17" t="s">
        <v>4490</v>
      </c>
      <c r="E9188" s="10">
        <v>1529376</v>
      </c>
      <c r="F9188" s="4" t="str">
        <f>IF(B9188=B9187,"",B9188)</f>
        <v/>
      </c>
    </row>
    <row r="9189" spans="1:6" ht="15.75" customHeight="1">
      <c r="A9189" s="5" t="str">
        <f ca="1">IFERROR(__xludf.DUMMYFUNCTION("GOOGLETRANSLATE(B41017,""en"",""pt"")"),"Sayhāt")</f>
        <v>Sayhāt</v>
      </c>
      <c r="B9189" s="17" t="s">
        <v>35574</v>
      </c>
      <c r="C9189" s="17" t="s">
        <v>23454</v>
      </c>
      <c r="D9189" s="17" t="s">
        <v>6128</v>
      </c>
      <c r="E9189" s="10">
        <v>102318</v>
      </c>
      <c r="F9189" s="4" t="str">
        <f>IF(B9189=B9188,"",B9189)</f>
        <v>Sayhāt</v>
      </c>
    </row>
    <row r="9190" spans="1:6" ht="15.75" customHeight="1">
      <c r="A9190" s="6" t="s">
        <v>23545</v>
      </c>
      <c r="B9190" s="6" t="s">
        <v>23546</v>
      </c>
      <c r="C9190" s="6" t="s">
        <v>23454</v>
      </c>
      <c r="D9190" s="6" t="s">
        <v>6128</v>
      </c>
      <c r="E9190" s="2">
        <v>102318</v>
      </c>
      <c r="F9190" s="4" t="str">
        <f>IF(B9190=B9189,"",B9190)</f>
        <v>SayhÄt</v>
      </c>
    </row>
    <row r="9191" spans="1:6" ht="15.75" customHeight="1">
      <c r="A9191" s="5" t="str">
        <f ca="1">IFERROR(__xludf.DUMMYFUNCTION("GOOGLETRANSLATE(B41783,""en"",""pt"")"),"Saýat")</f>
        <v>Saýat</v>
      </c>
      <c r="B9191" s="17" t="s">
        <v>35791</v>
      </c>
      <c r="C9191" s="17" t="s">
        <v>26774</v>
      </c>
      <c r="D9191" s="17" t="s">
        <v>26780</v>
      </c>
      <c r="E9191" s="10">
        <v>1218436</v>
      </c>
      <c r="F9191" s="4" t="str">
        <f>IF(B9191=B9190,"",B9191)</f>
        <v>Saýat</v>
      </c>
    </row>
    <row r="9192" spans="1:6" ht="15.75" customHeight="1">
      <c r="A9192" s="6" t="s">
        <v>23036</v>
      </c>
      <c r="B9192" s="6" t="s">
        <v>23036</v>
      </c>
      <c r="C9192" s="6" t="s">
        <v>22070</v>
      </c>
      <c r="D9192" s="6" t="s">
        <v>22135</v>
      </c>
      <c r="E9192" s="2">
        <v>2055166</v>
      </c>
      <c r="F9192" s="4" t="str">
        <f>IF(B9192=B9191,"",B9192)</f>
        <v>Sayansk</v>
      </c>
    </row>
    <row r="9193" spans="1:6" ht="15.75" customHeight="1">
      <c r="A9193" s="5" t="str">
        <f ca="1">IFERROR(__xludf.DUMMYFUNCTION("GOOGLETRANSLATE(B40950,""en"",""pt"")"),"Sayansk")</f>
        <v>Sayansk</v>
      </c>
      <c r="B9193" s="17" t="s">
        <v>23036</v>
      </c>
      <c r="C9193" s="17" t="s">
        <v>22070</v>
      </c>
      <c r="D9193" s="17" t="s">
        <v>22135</v>
      </c>
      <c r="E9193" s="10">
        <v>2055166</v>
      </c>
      <c r="F9193" s="4" t="str">
        <f>IF(B9193=B9192,"",B9193)</f>
        <v/>
      </c>
    </row>
    <row r="9194" spans="1:6" ht="15.75" customHeight="1">
      <c r="A9194" s="5" t="s">
        <v>23035</v>
      </c>
      <c r="B9194" s="6" t="s">
        <v>23035</v>
      </c>
      <c r="C9194" s="5" t="s">
        <v>22070</v>
      </c>
      <c r="D9194" s="5" t="s">
        <v>22071</v>
      </c>
      <c r="E9194" s="2">
        <v>1492893</v>
      </c>
      <c r="F9194" s="4" t="str">
        <f>IF(B9194=B9193,"",B9194)</f>
        <v>Sayanogorsk</v>
      </c>
    </row>
    <row r="9195" spans="1:6" ht="15.75" customHeight="1">
      <c r="A9195" s="5" t="str">
        <f ca="1">IFERROR(__xludf.DUMMYFUNCTION("GOOGLETRANSLATE(B40765,""en"",""pt"")"),"Sayanogorsk")</f>
        <v>Sayanogorsk</v>
      </c>
      <c r="B9195" s="17" t="s">
        <v>23035</v>
      </c>
      <c r="C9195" s="17" t="s">
        <v>22070</v>
      </c>
      <c r="D9195" s="17" t="s">
        <v>22071</v>
      </c>
      <c r="E9195" s="10">
        <v>1492893</v>
      </c>
      <c r="F9195" s="4" t="str">
        <f>IF(B9195=B9194,"",B9195)</f>
        <v/>
      </c>
    </row>
    <row r="9196" spans="1:6" ht="15.75" customHeight="1">
      <c r="A9196" s="6" t="s">
        <v>16393</v>
      </c>
      <c r="B9196" s="6" t="s">
        <v>16393</v>
      </c>
      <c r="C9196" s="6" t="s">
        <v>15704</v>
      </c>
      <c r="D9196" s="6" t="s">
        <v>15710</v>
      </c>
      <c r="E9196" s="2">
        <v>1907146</v>
      </c>
      <c r="F9196" s="4" t="str">
        <f>IF(B9196=B9195,"",B9196)</f>
        <v>Sayama</v>
      </c>
    </row>
    <row r="9197" spans="1:6" ht="15.75" customHeight="1">
      <c r="A9197" s="5" t="str">
        <f ca="1">IFERROR(__xludf.DUMMYFUNCTION("GOOGLETRANSLATE(B35690,""en"",""pt"")"),"Sayama")</f>
        <v>Sayama</v>
      </c>
      <c r="B9197" s="17" t="s">
        <v>16393</v>
      </c>
      <c r="C9197" s="17" t="s">
        <v>15704</v>
      </c>
      <c r="D9197" s="17" t="s">
        <v>15710</v>
      </c>
      <c r="E9197" s="10">
        <v>1907146</v>
      </c>
      <c r="F9197" s="4" t="str">
        <f>IF(B9197=B9196,"",B9197)</f>
        <v/>
      </c>
    </row>
    <row r="9198" spans="1:6" ht="15.75" customHeight="1">
      <c r="A9198" s="6" t="s">
        <v>16392</v>
      </c>
      <c r="B9198" s="6" t="s">
        <v>16392</v>
      </c>
      <c r="C9198" s="6" t="s">
        <v>15704</v>
      </c>
      <c r="D9198" s="6" t="s">
        <v>15707</v>
      </c>
      <c r="E9198" s="2">
        <v>2111173</v>
      </c>
      <c r="F9198" s="4" t="str">
        <f>IF(B9198=B9197,"",B9198)</f>
        <v>Sawara</v>
      </c>
    </row>
    <row r="9199" spans="1:6" ht="15.75" customHeight="1">
      <c r="A9199" s="5" t="str">
        <f ca="1">IFERROR(__xludf.DUMMYFUNCTION("GOOGLETRANSLATE(B35736,""en"",""pt"")"),"Sawara")</f>
        <v>Sawara</v>
      </c>
      <c r="B9199" s="17" t="s">
        <v>16392</v>
      </c>
      <c r="C9199" s="17" t="s">
        <v>15704</v>
      </c>
      <c r="D9199" s="17" t="s">
        <v>15707</v>
      </c>
      <c r="E9199" s="10">
        <v>2111173</v>
      </c>
      <c r="F9199" s="4" t="str">
        <f>IF(B9199=B9198,"",B9199)</f>
        <v/>
      </c>
    </row>
    <row r="9200" spans="1:6" ht="15.75" customHeight="1">
      <c r="A9200" s="5" t="s">
        <v>25993</v>
      </c>
      <c r="B9200" s="6" t="s">
        <v>25993</v>
      </c>
      <c r="C9200" s="5" t="s">
        <v>25771</v>
      </c>
      <c r="D9200" s="5" t="s">
        <v>25800</v>
      </c>
      <c r="E9200" s="2">
        <v>1150681</v>
      </c>
      <c r="F9200" s="4" t="str">
        <f>IF(B9200=B9199,"",B9200)</f>
        <v>Sawankhalok</v>
      </c>
    </row>
    <row r="9201" spans="1:6" ht="15.75" customHeight="1">
      <c r="A9201" s="5" t="str">
        <f ca="1">IFERROR(__xludf.DUMMYFUNCTION("GOOGLETRANSLATE(B41525,""en"",""pt"")"),"Sawankhalok")</f>
        <v>Sawankhalok</v>
      </c>
      <c r="B9201" s="17" t="s">
        <v>25993</v>
      </c>
      <c r="C9201" s="17" t="s">
        <v>25771</v>
      </c>
      <c r="D9201" s="17" t="s">
        <v>25800</v>
      </c>
      <c r="E9201" s="10">
        <v>1150681</v>
      </c>
      <c r="F9201" s="4" t="str">
        <f>IF(B9201=B9200,"",B9201)</f>
        <v/>
      </c>
    </row>
    <row r="9202" spans="1:6" ht="15.75" customHeight="1">
      <c r="A9202" s="5" t="s">
        <v>14134</v>
      </c>
      <c r="B9202" s="6" t="s">
        <v>14134</v>
      </c>
      <c r="C9202" s="5" t="s">
        <v>13800</v>
      </c>
      <c r="D9202" s="5" t="s">
        <v>13811</v>
      </c>
      <c r="E9202" s="2">
        <v>1628453</v>
      </c>
      <c r="F9202" s="4" t="str">
        <f>IF(B9202=B9201,"",B9202)</f>
        <v>Sawangan</v>
      </c>
    </row>
    <row r="9203" spans="1:6" ht="15.75" customHeight="1">
      <c r="A9203" s="5" t="str">
        <f ca="1">IFERROR(__xludf.DUMMYFUNCTION("GOOGLETRANSLATE(B31463,""en"",""pt"")"),"Sawangan")</f>
        <v>Sawangan</v>
      </c>
      <c r="B9203" s="17" t="s">
        <v>14134</v>
      </c>
      <c r="C9203" s="17" t="s">
        <v>13800</v>
      </c>
      <c r="D9203" s="17" t="s">
        <v>13811</v>
      </c>
      <c r="E9203" s="10">
        <v>1628453</v>
      </c>
      <c r="F9203" s="4" t="str">
        <f>IF(B9203=B9202,"",B9203)</f>
        <v/>
      </c>
    </row>
    <row r="9204" spans="1:6" ht="15.75" customHeight="1">
      <c r="A9204" s="5" t="s">
        <v>25992</v>
      </c>
      <c r="B9204" s="6" t="s">
        <v>25992</v>
      </c>
      <c r="C9204" s="5" t="s">
        <v>25771</v>
      </c>
      <c r="D9204" s="5" t="s">
        <v>25982</v>
      </c>
      <c r="E9204" s="2">
        <v>1606350</v>
      </c>
      <c r="F9204" s="4" t="str">
        <f>IF(B9204=B9203,"",B9204)</f>
        <v>Sawang Daen Din</v>
      </c>
    </row>
    <row r="9205" spans="1:6" ht="15.75" customHeight="1">
      <c r="A9205" s="5" t="str">
        <f ca="1">IFERROR(__xludf.DUMMYFUNCTION("GOOGLETRANSLATE(B41607,""en"",""pt"")"),"Sawang Daen Din")</f>
        <v>Sawang Daen Din</v>
      </c>
      <c r="B9205" s="17" t="s">
        <v>25992</v>
      </c>
      <c r="C9205" s="17" t="s">
        <v>25771</v>
      </c>
      <c r="D9205" s="17" t="s">
        <v>25982</v>
      </c>
      <c r="E9205" s="10">
        <v>1606350</v>
      </c>
      <c r="F9205" s="4" t="str">
        <f>IF(B9205=B9204,"",B9205)</f>
        <v/>
      </c>
    </row>
    <row r="9206" spans="1:6" ht="15.75" customHeight="1">
      <c r="A9206" s="5" t="str">
        <f ca="1">IFERROR(__xludf.DUMMYFUNCTION("GOOGLETRANSLATE(B41079,""en"",""pt"")"),"Sawākin")</f>
        <v>Sawākin</v>
      </c>
      <c r="B9206" s="17" t="s">
        <v>35608</v>
      </c>
      <c r="C9206" s="17" t="s">
        <v>24987</v>
      </c>
      <c r="D9206" s="17" t="s">
        <v>6584</v>
      </c>
      <c r="E9206" s="10">
        <v>367544</v>
      </c>
      <c r="F9206" s="4" t="str">
        <f>IF(B9206=B9205,"",B9206)</f>
        <v>Sawākin</v>
      </c>
    </row>
    <row r="9207" spans="1:6" ht="15.75" customHeight="1">
      <c r="A9207" s="5" t="str">
        <f ca="1">IFERROR(__xludf.DUMMYFUNCTION("GOOGLETRANSLATE(B32215,""en"",""pt"")"),"Sawāi Mādhopur")</f>
        <v>Sawāi Mādhopur</v>
      </c>
      <c r="B9207" s="17" t="s">
        <v>33103</v>
      </c>
      <c r="C9207" s="17" t="s">
        <v>10178</v>
      </c>
      <c r="D9207" s="17" t="s">
        <v>10179</v>
      </c>
      <c r="E9207" s="10">
        <v>1256949</v>
      </c>
      <c r="F9207" s="4" t="str">
        <f>IF(B9207=B9206,"",B9207)</f>
        <v>Sawāi Mādhopur</v>
      </c>
    </row>
    <row r="9208" spans="1:6" ht="15.75" customHeight="1">
      <c r="A9208" s="6" t="s">
        <v>25050</v>
      </c>
      <c r="B9208" s="6" t="s">
        <v>25051</v>
      </c>
      <c r="C9208" s="6" t="s">
        <v>24987</v>
      </c>
      <c r="D9208" s="6" t="s">
        <v>6584</v>
      </c>
      <c r="E9208" s="2">
        <v>367544</v>
      </c>
      <c r="F9208" s="4" t="str">
        <f>IF(B9208=B9207,"",B9208)</f>
        <v>SawÄkin</v>
      </c>
    </row>
    <row r="9209" spans="1:6" ht="15.75" customHeight="1">
      <c r="A9209" s="5" t="s">
        <v>13265</v>
      </c>
      <c r="B9209" s="6" t="s">
        <v>13266</v>
      </c>
      <c r="C9209" s="5" t="s">
        <v>10178</v>
      </c>
      <c r="D9209" s="5" t="s">
        <v>10179</v>
      </c>
      <c r="E9209" s="2">
        <v>1256949</v>
      </c>
      <c r="F9209" s="4" t="str">
        <f>IF(B9209=B9208,"",B9209)</f>
        <v>SawÄi MÄdhopur</v>
      </c>
    </row>
    <row r="9210" spans="1:6" ht="15.75" customHeight="1">
      <c r="A9210" s="5" t="s">
        <v>7031</v>
      </c>
      <c r="B9210" s="6" t="s">
        <v>7031</v>
      </c>
      <c r="C9210" s="5" t="s">
        <v>6948</v>
      </c>
      <c r="D9210" s="5" t="s">
        <v>7015</v>
      </c>
      <c r="E9210" s="2">
        <v>637292</v>
      </c>
      <c r="F9210" s="4" t="str">
        <f>IF(B9210=B9209,"",B9210)</f>
        <v>Savonlinna</v>
      </c>
    </row>
    <row r="9211" spans="1:6" ht="15.75" customHeight="1">
      <c r="A9211" s="5" t="str">
        <f ca="1">IFERROR(__xludf.DUMMYFUNCTION("GOOGLETRANSLATE(B29611,""en"",""pt"")"),"Savonlinna")</f>
        <v>Savonlinna</v>
      </c>
      <c r="B9211" s="17" t="s">
        <v>7031</v>
      </c>
      <c r="C9211" s="17" t="s">
        <v>6948</v>
      </c>
      <c r="D9211" s="17" t="s">
        <v>7015</v>
      </c>
      <c r="E9211" s="10">
        <v>637292</v>
      </c>
      <c r="F9211" s="4" t="str">
        <f>IF(B9211=B9210,"",B9211)</f>
        <v/>
      </c>
    </row>
    <row r="9212" spans="1:6" ht="15.75" customHeight="1">
      <c r="A9212" s="6" t="s">
        <v>15481</v>
      </c>
      <c r="B9212" s="6" t="s">
        <v>15481</v>
      </c>
      <c r="C9212" s="6" t="s">
        <v>14891</v>
      </c>
      <c r="D9212" s="6" t="s">
        <v>14920</v>
      </c>
      <c r="E9212" s="2">
        <v>3167022</v>
      </c>
      <c r="F9212" s="4" t="str">
        <f>IF(B9212=B9211,"",B9212)</f>
        <v>Savona</v>
      </c>
    </row>
    <row r="9213" spans="1:6" ht="15.75" customHeight="1">
      <c r="A9213" s="5" t="str">
        <f ca="1">IFERROR(__xludf.DUMMYFUNCTION("GOOGLETRANSLATE(B34695,""en"",""pt"")"),"Savona")</f>
        <v>Savona</v>
      </c>
      <c r="B9213" s="17" t="s">
        <v>15481</v>
      </c>
      <c r="C9213" s="17" t="s">
        <v>14891</v>
      </c>
      <c r="D9213" s="17" t="s">
        <v>14920</v>
      </c>
      <c r="E9213" s="10">
        <v>3167022</v>
      </c>
      <c r="F9213" s="4" t="str">
        <f>IF(B9213=B9212,"",B9213)</f>
        <v/>
      </c>
    </row>
    <row r="9214" spans="1:6" ht="15.75" customHeight="1">
      <c r="A9214" s="5" t="s">
        <v>7815</v>
      </c>
      <c r="B9214" s="6" t="s">
        <v>7816</v>
      </c>
      <c r="C9214" s="5" t="s">
        <v>7052</v>
      </c>
      <c r="D9214" s="5" t="s">
        <v>7058</v>
      </c>
      <c r="E9214" s="2">
        <v>2975525</v>
      </c>
      <c r="F9214" s="4" t="str">
        <f>IF(B9214=B9213,"",B9214)</f>
        <v>Savigny-sur-Orge</v>
      </c>
    </row>
    <row r="9215" spans="1:6" ht="15.75" customHeight="1">
      <c r="A9215" s="5" t="str">
        <f ca="1">IFERROR(__xludf.DUMMYFUNCTION("GOOGLETRANSLATE(B29762,""en"",""pt"")"),"Savigny-Sur-Morge")</f>
        <v>Savigny-Sur-Morge</v>
      </c>
      <c r="B9215" s="17" t="s">
        <v>7816</v>
      </c>
      <c r="C9215" s="17" t="s">
        <v>7052</v>
      </c>
      <c r="D9215" s="17" t="s">
        <v>32531</v>
      </c>
      <c r="E9215" s="10">
        <v>2975525</v>
      </c>
      <c r="F9215" s="4" t="str">
        <f>IF(B9215=B9214,"",B9215)</f>
        <v/>
      </c>
    </row>
    <row r="9216" spans="1:6" ht="15.75" customHeight="1">
      <c r="A9216" s="5" t="s">
        <v>7814</v>
      </c>
      <c r="B9216" s="6" t="s">
        <v>7814</v>
      </c>
      <c r="C9216" s="5" t="s">
        <v>7052</v>
      </c>
      <c r="D9216" s="5" t="s">
        <v>7058</v>
      </c>
      <c r="E9216" s="2">
        <v>2975536</v>
      </c>
      <c r="F9216" s="4" t="str">
        <f>IF(B9216=B9215,"",B9216)</f>
        <v>Savigny-le-Temple</v>
      </c>
    </row>
    <row r="9217" spans="1:6" ht="15.75" customHeight="1">
      <c r="A9217" s="5" t="str">
        <f ca="1">IFERROR(__xludf.DUMMYFUNCTION("GOOGLETRANSLATE(B29763,""en"",""pt"")"),"Savigny-le-Temple")</f>
        <v>Savigny-le-Temple</v>
      </c>
      <c r="B9217" s="17" t="s">
        <v>7814</v>
      </c>
      <c r="C9217" s="17" t="s">
        <v>7052</v>
      </c>
      <c r="D9217" s="17" t="s">
        <v>32531</v>
      </c>
      <c r="E9217" s="10">
        <v>2975536</v>
      </c>
      <c r="F9217" s="4" t="str">
        <f>IF(B9217=B9216,"",B9217)</f>
        <v/>
      </c>
    </row>
    <row r="9218" spans="1:6" ht="15.75" customHeight="1">
      <c r="A9218" s="5" t="s">
        <v>15480</v>
      </c>
      <c r="B9218" s="6" t="s">
        <v>15480</v>
      </c>
      <c r="C9218" s="5" t="s">
        <v>14891</v>
      </c>
      <c r="D9218" s="5" t="s">
        <v>14911</v>
      </c>
      <c r="E9218" s="2">
        <v>3167034</v>
      </c>
      <c r="F9218" s="4" t="str">
        <f>IF(B9218=B9217,"",B9218)</f>
        <v>Savigliano</v>
      </c>
    </row>
    <row r="9219" spans="1:6" ht="15.75" customHeight="1">
      <c r="A9219" s="5" t="str">
        <f ca="1">IFERROR(__xludf.DUMMYFUNCTION("GOOGLETRANSLATE(B34696,""en"",""pt"")"),"Savigliano")</f>
        <v>Savigliano</v>
      </c>
      <c r="B9219" s="17" t="s">
        <v>15480</v>
      </c>
      <c r="C9219" s="17" t="s">
        <v>14891</v>
      </c>
      <c r="D9219" s="17" t="s">
        <v>14911</v>
      </c>
      <c r="E9219" s="10">
        <v>3167034</v>
      </c>
      <c r="F9219" s="4" t="str">
        <f>IF(B9219=B9218,"",B9219)</f>
        <v/>
      </c>
    </row>
    <row r="9220" spans="1:6" ht="15.75" customHeight="1">
      <c r="A9220" s="6" t="s">
        <v>9416</v>
      </c>
      <c r="B9220" s="6" t="s">
        <v>9416</v>
      </c>
      <c r="C9220" s="6" t="s">
        <v>9365</v>
      </c>
      <c r="D9220" s="6" t="s">
        <v>6942</v>
      </c>
      <c r="E9220" s="2">
        <v>2295517</v>
      </c>
      <c r="F9220" s="4" t="str">
        <f>IF(B9220=B9219,"",B9220)</f>
        <v>Savelugu</v>
      </c>
    </row>
    <row r="9221" spans="1:6" ht="15.75" customHeight="1">
      <c r="A9221" s="5" t="str">
        <f ca="1">IFERROR(__xludf.DUMMYFUNCTION("GOOGLETRANSLATE(B30872,""en"",""pt"")"),"Savelugu")</f>
        <v>Savelugu</v>
      </c>
      <c r="B9221" s="17" t="s">
        <v>9416</v>
      </c>
      <c r="C9221" s="17" t="s">
        <v>9365</v>
      </c>
      <c r="D9221" s="17" t="s">
        <v>6942</v>
      </c>
      <c r="E9221" s="10">
        <v>2295517</v>
      </c>
      <c r="F9221" s="4" t="str">
        <f>IF(B9221=B9220,"",B9221)</f>
        <v/>
      </c>
    </row>
    <row r="9222" spans="1:6" ht="15.75" customHeight="1">
      <c r="A9222" s="5" t="str">
        <f ca="1">IFERROR(__xludf.DUMMYFUNCTION("GOOGLETRANSLATE(B34373,""en"",""pt"")"),"Sāveh")</f>
        <v>Sāveh</v>
      </c>
      <c r="B9222" s="17" t="s">
        <v>34146</v>
      </c>
      <c r="C9222" s="17" t="s">
        <v>14240</v>
      </c>
      <c r="D9222" s="17" t="s">
        <v>14250</v>
      </c>
      <c r="E9222" s="10">
        <v>116667</v>
      </c>
      <c r="F9222" s="4" t="str">
        <f>IF(B9222=B9221,"",B9222)</f>
        <v>Sāveh</v>
      </c>
    </row>
    <row r="9223" spans="1:6" ht="15.75" customHeight="1">
      <c r="A9223" s="5" t="str">
        <f ca="1">IFERROR(__xludf.DUMMYFUNCTION("GOOGLETRANSLATE(B24082,""en"",""pt"")"),"Salvar")</f>
        <v>Salvar</v>
      </c>
      <c r="B9223" s="17" t="s">
        <v>31330</v>
      </c>
      <c r="C9223" s="17" t="s">
        <v>1741</v>
      </c>
      <c r="D9223" s="17" t="s">
        <v>1766</v>
      </c>
      <c r="E9223" s="10">
        <v>2391893</v>
      </c>
      <c r="F9223" s="4" t="str">
        <f>IF(B9223=B9222,"",B9223)</f>
        <v>Savé</v>
      </c>
    </row>
    <row r="9224" spans="1:6" ht="15.75" customHeight="1">
      <c r="A9224" s="5" t="str">
        <f ca="1">IFERROR(__xludf.DUMMYFUNCTION("GOOGLETRANSLATE(B32216,""en"",""pt"")"),"Sāvda")</f>
        <v>Sāvda</v>
      </c>
      <c r="B9224" s="17" t="s">
        <v>33104</v>
      </c>
      <c r="C9224" s="17" t="s">
        <v>10178</v>
      </c>
      <c r="D9224" s="17" t="s">
        <v>10214</v>
      </c>
      <c r="E9224" s="10">
        <v>1256959</v>
      </c>
      <c r="F9224" s="4" t="str">
        <f>IF(B9224=B9223,"",B9224)</f>
        <v>Sāvda</v>
      </c>
    </row>
    <row r="9225" spans="1:6" ht="15.75" customHeight="1">
      <c r="A9225" s="5" t="str">
        <f ca="1">IFERROR(__xludf.DUMMYFUNCTION("GOOGLETRANSLATE(B32217,""en"",""pt"")"),"Savanūr")</f>
        <v>Savanūr</v>
      </c>
      <c r="B9225" s="17" t="s">
        <v>33105</v>
      </c>
      <c r="C9225" s="17" t="s">
        <v>10178</v>
      </c>
      <c r="D9225" s="17" t="s">
        <v>10252</v>
      </c>
      <c r="E9225" s="10">
        <v>1256967</v>
      </c>
      <c r="F9225" s="4" t="str">
        <f>IF(B9225=B9224,"",B9225)</f>
        <v>Savanūr</v>
      </c>
    </row>
    <row r="9226" spans="1:6" ht="15.75" customHeight="1">
      <c r="A9226" s="5" t="str">
        <f ca="1">IFERROR(__xludf.DUMMYFUNCTION("GOOGLETRANSLATE(B32218,""en"",""pt"")"),"Sāvantvādi")</f>
        <v>Sāvantvādi</v>
      </c>
      <c r="B9226" s="17" t="s">
        <v>33106</v>
      </c>
      <c r="C9226" s="17" t="s">
        <v>10178</v>
      </c>
      <c r="D9226" s="17" t="s">
        <v>10214</v>
      </c>
      <c r="E9226" s="10">
        <v>1256968</v>
      </c>
      <c r="F9226" s="4" t="str">
        <f>IF(B9226=B9225,"",B9226)</f>
        <v>Sāvantvādi</v>
      </c>
    </row>
    <row r="9227" spans="1:6" ht="15.75" customHeight="1">
      <c r="A9227" s="5" t="s">
        <v>15698</v>
      </c>
      <c r="B9227" s="6" t="s">
        <v>15699</v>
      </c>
      <c r="C9227" s="5" t="s">
        <v>15682</v>
      </c>
      <c r="D9227" s="5" t="s">
        <v>15700</v>
      </c>
      <c r="E9227" s="2">
        <v>3488613</v>
      </c>
      <c r="F9227" s="4" t="str">
        <f>IF(B9227=B9226,"",B9227)</f>
        <v>Savanna-la-Mar</v>
      </c>
    </row>
    <row r="9228" spans="1:6" ht="15.75" customHeight="1">
      <c r="A9228" s="5" t="str">
        <f ca="1">IFERROR(__xludf.DUMMYFUNCTION("GOOGLETRANSLATE(B35112,""en"",""pt"")"),"Savanna-La-Mar")</f>
        <v>Savanna-La-Mar</v>
      </c>
      <c r="B9228" s="17" t="s">
        <v>15699</v>
      </c>
      <c r="C9228" s="17" t="s">
        <v>15682</v>
      </c>
      <c r="D9228" s="17" t="s">
        <v>15700</v>
      </c>
      <c r="E9228" s="10">
        <v>3488613</v>
      </c>
      <c r="F9228" s="4" t="str">
        <f>IF(B9228=B9227,"",B9228)</f>
        <v/>
      </c>
    </row>
    <row r="9229" spans="1:6" ht="15.75" customHeight="1">
      <c r="A9229" s="5" t="str">
        <f ca="1">IFERROR(__xludf.DUMMYFUNCTION("GOOGLETRANSLATE(B36265,""en"",""pt"")"),"Savannakhét")</f>
        <v>Savannakhét</v>
      </c>
      <c r="B9229" s="17" t="s">
        <v>34508</v>
      </c>
      <c r="C9229" s="17" t="s">
        <v>16954</v>
      </c>
      <c r="D9229" s="17" t="s">
        <v>34509</v>
      </c>
      <c r="E9229" s="10">
        <v>1653316</v>
      </c>
      <c r="F9229" s="4" t="str">
        <f>IF(B9229=B9228,"",B9229)</f>
        <v>Savannakhét</v>
      </c>
    </row>
    <row r="9230" spans="1:6" ht="15.75" customHeight="1">
      <c r="A9230" s="5" t="s">
        <v>16969</v>
      </c>
      <c r="B9230" s="6" t="s">
        <v>16970</v>
      </c>
      <c r="C9230" s="5" t="s">
        <v>16954</v>
      </c>
      <c r="D9230" s="5" t="s">
        <v>16971</v>
      </c>
      <c r="E9230" s="2">
        <v>1653316</v>
      </c>
      <c r="F9230" s="4" t="str">
        <f>IF(B9230=B9229,"",B9230)</f>
        <v>SavannakhÃ©t</v>
      </c>
    </row>
    <row r="9231" spans="1:6" ht="15.75" customHeight="1">
      <c r="A9231" s="6" t="s">
        <v>29924</v>
      </c>
      <c r="B9231" s="6" t="s">
        <v>29925</v>
      </c>
      <c r="C9231" s="6" t="s">
        <v>27788</v>
      </c>
      <c r="D9231" s="6" t="s">
        <v>7988</v>
      </c>
      <c r="E9231" s="2">
        <v>4221552</v>
      </c>
      <c r="F9231" s="4" t="str">
        <f>IF(B9231=B9230,"",B9231)</f>
        <v>Savannah</v>
      </c>
    </row>
    <row r="9232" spans="1:6" ht="15.75" customHeight="1">
      <c r="A9232" s="5" t="str">
        <f ca="1">IFERROR(__xludf.DUMMYFUNCTION("GOOGLETRANSLATE(B43108,""en"",""pt"")"),"Savana")</f>
        <v>Savana</v>
      </c>
      <c r="B9232" s="17" t="s">
        <v>29925</v>
      </c>
      <c r="C9232" s="17" t="s">
        <v>27788</v>
      </c>
      <c r="D9232" s="17" t="s">
        <v>7988</v>
      </c>
      <c r="E9232" s="10">
        <v>4221552</v>
      </c>
      <c r="F9232" s="4" t="str">
        <f>IF(B9232=B9231,"",B9232)</f>
        <v/>
      </c>
    </row>
    <row r="9233" spans="1:6" ht="15.75" customHeight="1">
      <c r="A9233" s="6" t="s">
        <v>13263</v>
      </c>
      <c r="B9233" s="6" t="s">
        <v>13264</v>
      </c>
      <c r="C9233" s="6" t="s">
        <v>10178</v>
      </c>
      <c r="D9233" s="6" t="s">
        <v>10252</v>
      </c>
      <c r="E9233" s="2">
        <v>1256967</v>
      </c>
      <c r="F9233" s="4" t="str">
        <f>IF(B9233=B9232,"",B9233)</f>
        <v>SavanÅ«r</v>
      </c>
    </row>
    <row r="9234" spans="1:6" ht="15.75" customHeight="1">
      <c r="A9234" s="6" t="s">
        <v>1789</v>
      </c>
      <c r="B9234" s="6" t="s">
        <v>1789</v>
      </c>
      <c r="C9234" s="6" t="s">
        <v>1741</v>
      </c>
      <c r="D9234" s="6" t="s">
        <v>1766</v>
      </c>
      <c r="E9234" s="2">
        <v>2391895</v>
      </c>
      <c r="F9234" s="4" t="str">
        <f>IF(B9234=B9233,"",B9234)</f>
        <v>Savalou</v>
      </c>
    </row>
    <row r="9235" spans="1:6" ht="15.75" customHeight="1">
      <c r="A9235" s="5" t="str">
        <f ca="1">IFERROR(__xludf.DUMMYFUNCTION("GOOGLETRANSLATE(B24083,""en"",""pt"")"),"Savalou")</f>
        <v>Savalou</v>
      </c>
      <c r="B9235" s="17" t="s">
        <v>1789</v>
      </c>
      <c r="C9235" s="17" t="s">
        <v>1741</v>
      </c>
      <c r="D9235" s="17" t="s">
        <v>1766</v>
      </c>
      <c r="E9235" s="10">
        <v>2391895</v>
      </c>
      <c r="F9235" s="4" t="str">
        <f>IF(B9235=B9234,"",B9235)</f>
        <v/>
      </c>
    </row>
    <row r="9236" spans="1:6" ht="15.75" customHeight="1">
      <c r="A9236" s="6" t="s">
        <v>29922</v>
      </c>
      <c r="B9236" s="6" t="s">
        <v>29923</v>
      </c>
      <c r="C9236" s="6" t="s">
        <v>27788</v>
      </c>
      <c r="D9236" s="6" t="s">
        <v>27824</v>
      </c>
      <c r="E9236" s="2">
        <v>5046063</v>
      </c>
      <c r="F9236" s="4" t="str">
        <f>IF(B9236=B9235,"",B9236)</f>
        <v>Savage</v>
      </c>
    </row>
    <row r="9237" spans="1:6" ht="15.75" customHeight="1">
      <c r="A9237" s="5" t="str">
        <f ca="1">IFERROR(__xludf.DUMMYFUNCTION("GOOGLETRANSLATE(B44198,""en"",""pt"")"),"Selvagem")</f>
        <v>Selvagem</v>
      </c>
      <c r="B9237" s="17" t="s">
        <v>29923</v>
      </c>
      <c r="C9237" s="17" t="s">
        <v>27788</v>
      </c>
      <c r="D9237" s="17" t="s">
        <v>27824</v>
      </c>
      <c r="E9237" s="10">
        <v>5046063</v>
      </c>
      <c r="F9237" s="4" t="str">
        <f>IF(B9237=B9236,"",B9237)</f>
        <v/>
      </c>
    </row>
    <row r="9238" spans="1:6" ht="15.75" customHeight="1">
      <c r="A9238" s="6" t="s">
        <v>1787</v>
      </c>
      <c r="B9238" s="6" t="s">
        <v>1788</v>
      </c>
      <c r="C9238" s="6" t="s">
        <v>1741</v>
      </c>
      <c r="D9238" s="6" t="s">
        <v>1766</v>
      </c>
      <c r="E9238" s="2">
        <v>2391893</v>
      </c>
      <c r="F9238" s="4" t="str">
        <f>IF(B9238=B9237,"",B9238)</f>
        <v>SavÃ©</v>
      </c>
    </row>
    <row r="9239" spans="1:6" ht="15.75" customHeight="1">
      <c r="A9239" s="6" t="s">
        <v>15479</v>
      </c>
      <c r="B9239" s="6" t="s">
        <v>1486</v>
      </c>
      <c r="C9239" s="6" t="s">
        <v>14891</v>
      </c>
      <c r="D9239" s="6" t="s">
        <v>14908</v>
      </c>
      <c r="E9239" s="2">
        <v>3167044</v>
      </c>
      <c r="F9239" s="4" t="str">
        <f>IF(B9239=B9238,"",B9239)</f>
        <v>Sava</v>
      </c>
    </row>
    <row r="9240" spans="1:6" ht="15.75" customHeight="1">
      <c r="A9240" s="5" t="str">
        <f ca="1">IFERROR(__xludf.DUMMYFUNCTION("GOOGLETRANSLATE(B34697,""en"",""pt"")"),"Como vai")</f>
        <v>Como vai</v>
      </c>
      <c r="B9240" s="17" t="s">
        <v>1486</v>
      </c>
      <c r="C9240" s="17" t="s">
        <v>14891</v>
      </c>
      <c r="D9240" s="17" t="s">
        <v>14908</v>
      </c>
      <c r="E9240" s="10">
        <v>3167044</v>
      </c>
      <c r="F9240" s="4" t="str">
        <f>IF(B9240=B9239,"",B9240)</f>
        <v/>
      </c>
    </row>
    <row r="9241" spans="1:6" ht="15.75" customHeight="1">
      <c r="A9241" s="6" t="s">
        <v>13262</v>
      </c>
      <c r="B9241" s="6" t="s">
        <v>13262</v>
      </c>
      <c r="C9241" s="6" t="s">
        <v>10178</v>
      </c>
      <c r="D9241" s="6" t="s">
        <v>10219</v>
      </c>
      <c r="E9241" s="2">
        <v>1256974</v>
      </c>
      <c r="F9241" s="4" t="str">
        <f>IF(B9241=B9240,"",B9241)</f>
        <v>Sausar</v>
      </c>
    </row>
    <row r="9242" spans="1:6" ht="15.75" customHeight="1">
      <c r="A9242" s="5" t="str">
        <f ca="1">IFERROR(__xludf.DUMMYFUNCTION("GOOGLETRANSLATE(B32219,""en"",""pt"")"),"Sausar")</f>
        <v>Sausar</v>
      </c>
      <c r="B9242" s="17" t="s">
        <v>13262</v>
      </c>
      <c r="C9242" s="17" t="s">
        <v>10178</v>
      </c>
      <c r="D9242" s="17" t="s">
        <v>10219</v>
      </c>
      <c r="E9242" s="10">
        <v>1256974</v>
      </c>
      <c r="F9242" s="4" t="str">
        <f>IF(B9242=B9241,"",B9242)</f>
        <v/>
      </c>
    </row>
    <row r="9243" spans="1:6" ht="15.75" customHeight="1">
      <c r="A9243" s="6" t="s">
        <v>541</v>
      </c>
      <c r="B9243" s="6" t="s">
        <v>541</v>
      </c>
      <c r="C9243" s="6" t="s">
        <v>507</v>
      </c>
      <c r="D9243" s="6" t="s">
        <v>542</v>
      </c>
      <c r="E9243" s="2">
        <v>145531</v>
      </c>
      <c r="F9243" s="4" t="str">
        <f>IF(B9243=B9242,"",B9243)</f>
        <v>Saurimo</v>
      </c>
    </row>
    <row r="9244" spans="1:6" ht="15.75" customHeight="1">
      <c r="A9244" s="5" t="str">
        <f ca="1">IFERROR(__xludf.DUMMYFUNCTION("GOOGLETRANSLATE(B23141,""en"",""pt"")"),"Saurimo")</f>
        <v>Saurimo</v>
      </c>
      <c r="B9244" s="17" t="s">
        <v>541</v>
      </c>
      <c r="C9244" s="17" t="s">
        <v>507</v>
      </c>
      <c r="D9244" s="17" t="s">
        <v>542</v>
      </c>
      <c r="E9244" s="10">
        <v>145531</v>
      </c>
      <c r="F9244" s="4" t="str">
        <f>IF(B9244=B9243,"",B9244)</f>
        <v/>
      </c>
    </row>
    <row r="9245" spans="1:6" ht="15.75" customHeight="1">
      <c r="A9245" s="6" t="s">
        <v>13261</v>
      </c>
      <c r="B9245" s="6" t="s">
        <v>13261</v>
      </c>
      <c r="C9245" s="6" t="s">
        <v>10178</v>
      </c>
      <c r="D9245" s="6" t="s">
        <v>10252</v>
      </c>
      <c r="E9245" s="2">
        <v>1256983</v>
      </c>
      <c r="F9245" s="4" t="str">
        <f>IF(B9245=B9244,"",B9245)</f>
        <v>Saundatti</v>
      </c>
    </row>
    <row r="9246" spans="1:6" ht="15.75" customHeight="1">
      <c r="A9246" s="5" t="str">
        <f ca="1">IFERROR(__xludf.DUMMYFUNCTION("GOOGLETRANSLATE(B32220,""en"",""pt"")"),"Saundatti")</f>
        <v>Saundatti</v>
      </c>
      <c r="B9246" s="17" t="s">
        <v>13261</v>
      </c>
      <c r="C9246" s="17" t="s">
        <v>10178</v>
      </c>
      <c r="D9246" s="17" t="s">
        <v>10252</v>
      </c>
      <c r="E9246" s="10">
        <v>1256983</v>
      </c>
      <c r="F9246" s="4" t="str">
        <f>IF(B9246=B9245,"",B9246)</f>
        <v/>
      </c>
    </row>
    <row r="9247" spans="1:6" ht="15.75" customHeight="1">
      <c r="A9247" s="6" t="s">
        <v>7813</v>
      </c>
      <c r="B9247" s="6" t="s">
        <v>7813</v>
      </c>
      <c r="C9247" s="6" t="s">
        <v>7052</v>
      </c>
      <c r="D9247" s="6" t="s">
        <v>7102</v>
      </c>
      <c r="E9247" s="2">
        <v>2975758</v>
      </c>
      <c r="F9247" s="4" t="str">
        <f>IF(B9247=B9246,"",B9247)</f>
        <v>Saumur</v>
      </c>
    </row>
    <row r="9248" spans="1:6" ht="15.75" customHeight="1">
      <c r="A9248" s="5" t="str">
        <f ca="1">IFERROR(__xludf.DUMMYFUNCTION("GOOGLETRANSLATE(B29764,""en"",""pt"")"),"Saumur")</f>
        <v>Saumur</v>
      </c>
      <c r="B9248" s="17" t="s">
        <v>7813</v>
      </c>
      <c r="C9248" s="17" t="s">
        <v>7052</v>
      </c>
      <c r="D9248" s="17" t="s">
        <v>7102</v>
      </c>
      <c r="E9248" s="10">
        <v>2975758</v>
      </c>
      <c r="F9248" s="4" t="str">
        <f>IF(B9248=B9247,"",B9248)</f>
        <v/>
      </c>
    </row>
    <row r="9249" spans="1:6" ht="15.75" customHeight="1">
      <c r="A9249" s="5" t="s">
        <v>4197</v>
      </c>
      <c r="B9249" s="6" t="s">
        <v>4197</v>
      </c>
      <c r="C9249" s="5" t="s">
        <v>3975</v>
      </c>
      <c r="D9249" s="5" t="s">
        <v>3980</v>
      </c>
      <c r="E9249" s="2">
        <v>6141439</v>
      </c>
      <c r="F9249" s="4" t="str">
        <f>IF(B9249=B9248,"",B9249)</f>
        <v>Sault Ste. Marie</v>
      </c>
    </row>
    <row r="9250" spans="1:6" ht="15.75" customHeight="1">
      <c r="A9250" s="5" t="str">
        <f ca="1">IFERROR(__xludf.DUMMYFUNCTION("GOOGLETRANSLATE(B25581,""en"",""pt"")"),"Sault Ste. Marie")</f>
        <v>Sault Ste. Marie</v>
      </c>
      <c r="B9250" s="17" t="s">
        <v>4197</v>
      </c>
      <c r="C9250" s="17" t="s">
        <v>3975</v>
      </c>
      <c r="D9250" s="17" t="s">
        <v>3980</v>
      </c>
      <c r="E9250" s="10">
        <v>6141439</v>
      </c>
      <c r="F9250" s="4" t="str">
        <f>IF(B9250=B9249,"",B9250)</f>
        <v/>
      </c>
    </row>
    <row r="9251" spans="1:6" ht="15.75" customHeight="1">
      <c r="A9251" s="6" t="s">
        <v>9082</v>
      </c>
      <c r="B9251" s="6" t="s">
        <v>9082</v>
      </c>
      <c r="C9251" s="6" t="s">
        <v>8028</v>
      </c>
      <c r="D9251" s="6" t="s">
        <v>8031</v>
      </c>
      <c r="E9251" s="2">
        <v>2841125</v>
      </c>
      <c r="F9251" s="4" t="str">
        <f>IF(B9251=B9250,"",B9251)</f>
        <v>Saulgau</v>
      </c>
    </row>
    <row r="9252" spans="1:6" ht="15.75" customHeight="1">
      <c r="A9252" s="5" t="str">
        <f ca="1">IFERROR(__xludf.DUMMYFUNCTION("GOOGLETRANSLATE(B27573,""en"",""pt"")"),"Saulgau")</f>
        <v>Saulgau</v>
      </c>
      <c r="B9252" s="17" t="s">
        <v>9082</v>
      </c>
      <c r="C9252" s="17" t="s">
        <v>8028</v>
      </c>
      <c r="D9252" s="17" t="s">
        <v>32013</v>
      </c>
      <c r="E9252" s="10">
        <v>2841125</v>
      </c>
      <c r="F9252" s="4" t="str">
        <f>IF(B9252=B9251,"",B9252)</f>
        <v/>
      </c>
    </row>
    <row r="9253" spans="1:6" ht="15.75" customHeight="1">
      <c r="A9253" s="6" t="s">
        <v>29921</v>
      </c>
      <c r="B9253" s="6" t="s">
        <v>29921</v>
      </c>
      <c r="C9253" s="6" t="s">
        <v>27788</v>
      </c>
      <c r="D9253" s="6" t="s">
        <v>27794</v>
      </c>
      <c r="E9253" s="2">
        <v>4950267</v>
      </c>
      <c r="F9253" s="4" t="str">
        <f>IF(B9253=B9252,"",B9253)</f>
        <v>Saugus</v>
      </c>
    </row>
    <row r="9254" spans="1:6" ht="15.75" customHeight="1">
      <c r="A9254" s="5" t="str">
        <f ca="1">IFERROR(__xludf.DUMMYFUNCTION("GOOGLETRANSLATE(B44021,""en"",""pt"")"),"Saugus")</f>
        <v>Saugus</v>
      </c>
      <c r="B9254" s="17" t="s">
        <v>29921</v>
      </c>
      <c r="C9254" s="17" t="s">
        <v>27788</v>
      </c>
      <c r="D9254" s="17" t="s">
        <v>27794</v>
      </c>
      <c r="E9254" s="10">
        <v>4950267</v>
      </c>
      <c r="F9254" s="4" t="str">
        <f>IF(B9254=B9253,"",B9254)</f>
        <v/>
      </c>
    </row>
    <row r="9255" spans="1:6" ht="15.75" customHeight="1">
      <c r="A9255" s="6" t="s">
        <v>13260</v>
      </c>
      <c r="B9255" s="6" t="s">
        <v>13260</v>
      </c>
      <c r="C9255" s="6" t="s">
        <v>10178</v>
      </c>
      <c r="D9255" s="6" t="s">
        <v>10219</v>
      </c>
      <c r="E9255" s="2">
        <v>1257845</v>
      </c>
      <c r="F9255" s="4" t="str">
        <f>IF(B9255=B9254,"",B9255)</f>
        <v>Saugor</v>
      </c>
    </row>
    <row r="9256" spans="1:6" ht="15.75" customHeight="1">
      <c r="A9256" s="5" t="str">
        <f ca="1">IFERROR(__xludf.DUMMYFUNCTION("GOOGLETRANSLATE(B32284,""en"",""pt"")"),"Saugor")</f>
        <v>Saugor</v>
      </c>
      <c r="B9256" s="17" t="s">
        <v>13260</v>
      </c>
      <c r="C9256" s="17" t="s">
        <v>10178</v>
      </c>
      <c r="D9256" s="17" t="s">
        <v>10219</v>
      </c>
      <c r="E9256" s="10">
        <v>1257845</v>
      </c>
      <c r="F9256" s="4" t="str">
        <f>IF(B9256=B9255,"",B9256)</f>
        <v/>
      </c>
    </row>
    <row r="9257" spans="1:6" ht="15.75" customHeight="1">
      <c r="A9257" s="6" t="s">
        <v>3462</v>
      </c>
      <c r="B9257" s="6" t="s">
        <v>3462</v>
      </c>
      <c r="C9257" s="6" t="s">
        <v>1905</v>
      </c>
      <c r="D9257" s="6" t="s">
        <v>1947</v>
      </c>
      <c r="E9257" s="2">
        <v>3447961</v>
      </c>
      <c r="F9257" s="4" t="str">
        <f>IF(B9257=B9256,"",B9257)</f>
        <v>Saubara</v>
      </c>
    </row>
    <row r="9258" spans="1:6" ht="15.75" customHeight="1">
      <c r="A9258" s="5" t="str">
        <f ca="1">IFERROR(__xludf.DUMMYFUNCTION("GOOGLETRANSLATE(B24531,""en"",""pt"")"),"Saubara")</f>
        <v>Saubara</v>
      </c>
      <c r="B9258" s="17" t="s">
        <v>3462</v>
      </c>
      <c r="C9258" s="17" t="s">
        <v>1905</v>
      </c>
      <c r="D9258" s="17" t="s">
        <v>1947</v>
      </c>
      <c r="E9258" s="10">
        <v>3447961</v>
      </c>
      <c r="F9258" s="4" t="str">
        <f>IF(B9258=B9257,"",B9258)</f>
        <v/>
      </c>
    </row>
    <row r="9259" spans="1:6" ht="15.75" customHeight="1">
      <c r="A9259" s="6" t="s">
        <v>25991</v>
      </c>
      <c r="B9259" s="6" t="s">
        <v>25991</v>
      </c>
      <c r="C9259" s="6" t="s">
        <v>25771</v>
      </c>
      <c r="D9259" s="6" t="s">
        <v>25991</v>
      </c>
      <c r="E9259" s="2">
        <v>1606376</v>
      </c>
      <c r="F9259" s="4" t="str">
        <f>IF(B9259=B9258,"",B9259)</f>
        <v>Satun</v>
      </c>
    </row>
    <row r="9260" spans="1:6" ht="15.75" customHeight="1">
      <c r="A9260" s="5" t="str">
        <f ca="1">IFERROR(__xludf.DUMMYFUNCTION("GOOGLETRANSLATE(B41608,""en"",""pt"")"),"Satun")</f>
        <v>Satun</v>
      </c>
      <c r="B9260" s="17" t="s">
        <v>25991</v>
      </c>
      <c r="C9260" s="17" t="s">
        <v>25771</v>
      </c>
      <c r="D9260" s="17" t="s">
        <v>25991</v>
      </c>
      <c r="E9260" s="10">
        <v>1606376</v>
      </c>
      <c r="F9260" s="4" t="str">
        <f>IF(B9260=B9259,"",B9260)</f>
        <v/>
      </c>
    </row>
    <row r="9261" spans="1:6" ht="15.75" customHeight="1">
      <c r="A9261" s="6" t="s">
        <v>3460</v>
      </c>
      <c r="B9261" s="6" t="s">
        <v>3461</v>
      </c>
      <c r="C9261" s="6" t="s">
        <v>1905</v>
      </c>
      <c r="D9261" s="6" t="s">
        <v>2015</v>
      </c>
      <c r="E9261" s="2">
        <v>3387987</v>
      </c>
      <c r="F9261" s="4" t="str">
        <f>IF(B9261=B9260,"",B9261)</f>
        <v>Satuba</v>
      </c>
    </row>
    <row r="9262" spans="1:6" ht="15.75" customHeight="1">
      <c r="A9262" s="5" t="str">
        <f ca="1">IFERROR(__xludf.DUMMYFUNCTION("GOOGLETRANSLATE(B24181,""en"",""pt"")"),"SATUBA")</f>
        <v>SATUBA</v>
      </c>
      <c r="B9262" s="17" t="s">
        <v>3461</v>
      </c>
      <c r="C9262" s="17" t="s">
        <v>1905</v>
      </c>
      <c r="D9262" s="17" t="s">
        <v>2015</v>
      </c>
      <c r="E9262" s="10">
        <v>3387987</v>
      </c>
      <c r="F9262" s="4" t="str">
        <f>IF(B9262=B9261,"",B9262)</f>
        <v/>
      </c>
    </row>
    <row r="9263" spans="1:6" ht="15.75" customHeight="1">
      <c r="A9263" s="5" t="s">
        <v>22014</v>
      </c>
      <c r="B9263" s="6" t="s">
        <v>21846</v>
      </c>
      <c r="C9263" s="5" t="s">
        <v>21824</v>
      </c>
      <c r="D9263" s="5" t="s">
        <v>21846</v>
      </c>
      <c r="E9263" s="2">
        <v>667873</v>
      </c>
      <c r="F9263" s="4" t="str">
        <f>IF(B9263=B9262,"",B9263)</f>
        <v>Satu Mare</v>
      </c>
    </row>
    <row r="9264" spans="1:6" ht="15.75" customHeight="1">
      <c r="A9264" s="5" t="str">
        <f ca="1">IFERROR(__xludf.DUMMYFUNCTION("GOOGLETRANSLATE(B39749,""en"",""pt"")"),"Satu Mare")</f>
        <v>Satu Mare</v>
      </c>
      <c r="B9264" s="17" t="s">
        <v>21846</v>
      </c>
      <c r="C9264" s="17" t="s">
        <v>21824</v>
      </c>
      <c r="D9264" s="17" t="s">
        <v>21846</v>
      </c>
      <c r="E9264" s="10">
        <v>667873</v>
      </c>
      <c r="F9264" s="4" t="str">
        <f>IF(B9264=B9263,"",B9264)</f>
        <v/>
      </c>
    </row>
    <row r="9265" spans="1:6" ht="15.75" customHeight="1">
      <c r="A9265" s="6" t="s">
        <v>13259</v>
      </c>
      <c r="B9265" s="6" t="s">
        <v>13259</v>
      </c>
      <c r="C9265" s="6" t="s">
        <v>10178</v>
      </c>
      <c r="D9265" s="6" t="s">
        <v>10196</v>
      </c>
      <c r="E9265" s="2">
        <v>1256995</v>
      </c>
      <c r="F9265" s="4" t="str">
        <f>IF(B9265=B9264,"",B9265)</f>
        <v>Sattur</v>
      </c>
    </row>
    <row r="9266" spans="1:6" ht="15.75" customHeight="1">
      <c r="A9266" s="5" t="str">
        <f ca="1">IFERROR(__xludf.DUMMYFUNCTION("GOOGLETRANSLATE(B32222,""en"",""pt"")"),"Sattur")</f>
        <v>Sattur</v>
      </c>
      <c r="B9266" s="17" t="s">
        <v>13259</v>
      </c>
      <c r="C9266" s="17" t="s">
        <v>10178</v>
      </c>
      <c r="D9266" s="17" t="s">
        <v>10196</v>
      </c>
      <c r="E9266" s="10">
        <v>1256995</v>
      </c>
      <c r="F9266" s="4" t="str">
        <f>IF(B9266=B9265,"",B9266)</f>
        <v/>
      </c>
    </row>
    <row r="9267" spans="1:6" ht="15.75" customHeight="1">
      <c r="A9267" s="5" t="s">
        <v>13258</v>
      </c>
      <c r="B9267" s="6" t="s">
        <v>13258</v>
      </c>
      <c r="C9267" s="5" t="s">
        <v>10178</v>
      </c>
      <c r="D9267" s="5" t="s">
        <v>10190</v>
      </c>
      <c r="E9267" s="2">
        <v>1257001</v>
      </c>
      <c r="F9267" s="4" t="str">
        <f>IF(B9267=B9266,"",B9267)</f>
        <v>Sattenapalle</v>
      </c>
    </row>
    <row r="9268" spans="1:6" ht="15.75" customHeight="1">
      <c r="A9268" s="5" t="str">
        <f ca="1">IFERROR(__xludf.DUMMYFUNCTION("GOOGLETRANSLATE(B32223,""en"",""pt"")"),"Sattenapalle")</f>
        <v>Sattenapalle</v>
      </c>
      <c r="B9268" s="17" t="s">
        <v>13258</v>
      </c>
      <c r="C9268" s="17" t="s">
        <v>10178</v>
      </c>
      <c r="D9268" s="17" t="s">
        <v>10190</v>
      </c>
      <c r="E9268" s="10">
        <v>1257001</v>
      </c>
      <c r="F9268" s="4" t="str">
        <f>IF(B9268=B9267,"",B9268)</f>
        <v/>
      </c>
    </row>
    <row r="9269" spans="1:6" ht="15.75" customHeight="1">
      <c r="A9269" s="6" t="s">
        <v>16390</v>
      </c>
      <c r="B9269" s="6" t="s">
        <v>16391</v>
      </c>
      <c r="C9269" s="6" t="s">
        <v>15704</v>
      </c>
      <c r="D9269" s="6" t="s">
        <v>15710</v>
      </c>
      <c r="E9269" s="2">
        <v>1852849</v>
      </c>
      <c r="F9269" s="4" t="str">
        <f>IF(B9269=B9268,"",B9269)</f>
        <v>Satte</v>
      </c>
    </row>
    <row r="9270" spans="1:6" ht="15.75" customHeight="1">
      <c r="A9270" s="5" t="str">
        <f ca="1">IFERROR(__xludf.DUMMYFUNCTION("GOOGLETRANSLATE(B35312,""en"",""pt"")"),"SATTE")</f>
        <v>SATTE</v>
      </c>
      <c r="B9270" s="17" t="s">
        <v>16391</v>
      </c>
      <c r="C9270" s="17" t="s">
        <v>15704</v>
      </c>
      <c r="D9270" s="17" t="s">
        <v>15710</v>
      </c>
      <c r="E9270" s="10">
        <v>1852849</v>
      </c>
      <c r="F9270" s="4" t="str">
        <f>IF(B9270=B9269,"",B9270)</f>
        <v/>
      </c>
    </row>
    <row r="9271" spans="1:6" ht="15.75" customHeight="1">
      <c r="A9271" s="6" t="s">
        <v>25989</v>
      </c>
      <c r="B9271" s="6" t="s">
        <v>25990</v>
      </c>
      <c r="C9271" s="6" t="s">
        <v>25771</v>
      </c>
      <c r="D9271" s="6" t="s">
        <v>25780</v>
      </c>
      <c r="E9271" s="2">
        <v>1606386</v>
      </c>
      <c r="F9271" s="4" t="str">
        <f>IF(B9271=B9270,"",B9271)</f>
        <v>Sattahip</v>
      </c>
    </row>
    <row r="9272" spans="1:6" ht="15.75" customHeight="1">
      <c r="A9272" s="5" t="str">
        <f ca="1">IFERROR(__xludf.DUMMYFUNCTION("GOOGLETRANSLATE(B41609,""en"",""pt"")"),"Sathahip")</f>
        <v>Sathahip</v>
      </c>
      <c r="B9272" s="17" t="s">
        <v>25990</v>
      </c>
      <c r="C9272" s="17" t="s">
        <v>25771</v>
      </c>
      <c r="D9272" s="17" t="s">
        <v>25780</v>
      </c>
      <c r="E9272" s="10">
        <v>1606386</v>
      </c>
      <c r="F9272" s="4" t="str">
        <f>IF(B9272=B9271,"",B9272)</f>
        <v/>
      </c>
    </row>
    <row r="9273" spans="1:6" ht="15.75" customHeight="1">
      <c r="A9273" s="5" t="s">
        <v>16389</v>
      </c>
      <c r="B9273" s="6" t="s">
        <v>16389</v>
      </c>
      <c r="C9273" s="5" t="s">
        <v>15704</v>
      </c>
      <c r="D9273" s="5" t="s">
        <v>15719</v>
      </c>
      <c r="E9273" s="2">
        <v>1852736</v>
      </c>
      <c r="F9273" s="4" t="str">
        <f>IF(B9273=B9272,"",B9273)</f>
        <v>Satsumasendai</v>
      </c>
    </row>
    <row r="9274" spans="1:6" ht="15.75" customHeight="1">
      <c r="A9274" s="5" t="str">
        <f ca="1">IFERROR(__xludf.DUMMYFUNCTION("GOOGLETRANSLATE(B35311,""en"",""pt"")"),"Satsumasendai")</f>
        <v>Satsumasendai</v>
      </c>
      <c r="B9274" s="17" t="s">
        <v>16389</v>
      </c>
      <c r="C9274" s="17" t="s">
        <v>15704</v>
      </c>
      <c r="D9274" s="17" t="s">
        <v>15719</v>
      </c>
      <c r="E9274" s="10">
        <v>1852736</v>
      </c>
      <c r="F9274" s="4" t="str">
        <f>IF(B9274=B9273,"",B9274)</f>
        <v/>
      </c>
    </row>
    <row r="9275" spans="1:6" ht="15.75" customHeight="1">
      <c r="A9275" s="5" t="str">
        <f ca="1">IFERROR(__xludf.DUMMYFUNCTION("GOOGLETRANSLATE(B31245,""en"",""pt"")"),"Sátoraljaújhely")</f>
        <v>Sátoraljaújhely</v>
      </c>
      <c r="B9275" s="17" t="s">
        <v>32826</v>
      </c>
      <c r="C9275" s="17" t="s">
        <v>9955</v>
      </c>
      <c r="D9275" s="17" t="s">
        <v>32824</v>
      </c>
      <c r="E9275" s="10">
        <v>715839</v>
      </c>
      <c r="F9275" s="4" t="str">
        <f>IF(B9275=B9274,"",B9275)</f>
        <v>Sátoraljaújhely</v>
      </c>
    </row>
    <row r="9276" spans="1:6" ht="15.75" customHeight="1">
      <c r="A9276" s="6" t="s">
        <v>13257</v>
      </c>
      <c r="B9276" s="6" t="s">
        <v>13257</v>
      </c>
      <c r="C9276" s="6" t="s">
        <v>10178</v>
      </c>
      <c r="D9276" s="6" t="s">
        <v>10219</v>
      </c>
      <c r="E9276" s="2">
        <v>1257022</v>
      </c>
      <c r="F9276" s="4" t="str">
        <f>IF(B9276=B9275,"",B9276)</f>
        <v>Satna</v>
      </c>
    </row>
    <row r="9277" spans="1:6" ht="15.75" customHeight="1">
      <c r="A9277" s="5" t="str">
        <f ca="1">IFERROR(__xludf.DUMMYFUNCTION("GOOGLETRANSLATE(B32224,""en"",""pt"")"),"Satna")</f>
        <v>Satna</v>
      </c>
      <c r="B9277" s="17" t="s">
        <v>13257</v>
      </c>
      <c r="C9277" s="17" t="s">
        <v>10178</v>
      </c>
      <c r="D9277" s="17" t="s">
        <v>10219</v>
      </c>
      <c r="E9277" s="10">
        <v>1257022</v>
      </c>
      <c r="F9277" s="4" t="str">
        <f>IF(B9277=B9276,"",B9277)</f>
        <v/>
      </c>
    </row>
    <row r="9278" spans="1:6" ht="15.75" customHeight="1">
      <c r="A9278" s="5" t="str">
        <f ca="1">IFERROR(__xludf.DUMMYFUNCTION("GOOGLETRANSLATE(B23700,""en"",""pt"")"),"Sātkhira")</f>
        <v>Sātkhira</v>
      </c>
      <c r="B9278" s="17" t="s">
        <v>31260</v>
      </c>
      <c r="C9278" s="17" t="s">
        <v>1296</v>
      </c>
      <c r="D9278" s="17" t="s">
        <v>1315</v>
      </c>
      <c r="E9278" s="10">
        <v>1185111</v>
      </c>
      <c r="F9278" s="4" t="str">
        <f>IF(B9278=B9277,"",B9278)</f>
        <v>Sātkhira</v>
      </c>
    </row>
    <row r="9279" spans="1:6" ht="15.75" customHeight="1">
      <c r="A9279" s="5" t="str">
        <f ca="1">IFERROR(__xludf.DUMMYFUNCTION("GOOGLETRANSLATE(B23771,""en"",""pt"")"),"Sātkania")</f>
        <v>Sātkania</v>
      </c>
      <c r="B9279" s="17" t="s">
        <v>31299</v>
      </c>
      <c r="C9279" s="17" t="s">
        <v>1296</v>
      </c>
      <c r="D9279" s="17" t="s">
        <v>1302</v>
      </c>
      <c r="E9279" s="10">
        <v>1336133</v>
      </c>
      <c r="F9279" s="4" t="str">
        <f>IF(B9279=B9278,"",B9279)</f>
        <v>Sātkania</v>
      </c>
    </row>
    <row r="9280" spans="1:6" ht="15.75" customHeight="1">
      <c r="A9280" s="6" t="s">
        <v>23034</v>
      </c>
      <c r="B9280" s="6" t="s">
        <v>23034</v>
      </c>
      <c r="C9280" s="6" t="s">
        <v>22070</v>
      </c>
      <c r="D9280" s="6" t="s">
        <v>22166</v>
      </c>
      <c r="E9280" s="2">
        <v>498418</v>
      </c>
      <c r="F9280" s="4" t="str">
        <f>IF(B9280=B9279,"",B9280)</f>
        <v>Satka</v>
      </c>
    </row>
    <row r="9281" spans="1:6" ht="15.75" customHeight="1">
      <c r="A9281" s="5" t="str">
        <f ca="1">IFERROR(__xludf.DUMMYFUNCTION("GOOGLETRANSLATE(B40133,""en"",""pt"")"),"Satka")</f>
        <v>Satka</v>
      </c>
      <c r="B9281" s="17" t="s">
        <v>23034</v>
      </c>
      <c r="C9281" s="17" t="s">
        <v>22070</v>
      </c>
      <c r="D9281" s="17" t="s">
        <v>22166</v>
      </c>
      <c r="E9281" s="10">
        <v>498418</v>
      </c>
      <c r="F9281" s="4" t="str">
        <f>IF(B9281=B9280,"",B9281)</f>
        <v/>
      </c>
    </row>
    <row r="9282" spans="1:6" ht="15.75" customHeight="1">
      <c r="A9282" s="6" t="s">
        <v>25485</v>
      </c>
      <c r="B9282" s="6" t="s">
        <v>25485</v>
      </c>
      <c r="C9282" s="6" t="s">
        <v>25366</v>
      </c>
      <c r="D9282" s="6" t="s">
        <v>25434</v>
      </c>
      <c r="E9282" s="2">
        <v>165060</v>
      </c>
      <c r="F9282" s="4" t="str">
        <f>IF(B9282=B9281,"",B9282)</f>
        <v>Satita</v>
      </c>
    </row>
    <row r="9283" spans="1:6" ht="15.75" customHeight="1">
      <c r="A9283" s="5" t="str">
        <f ca="1">IFERROR(__xludf.DUMMYFUNCTION("GOOGLETRANSLATE(B41406,""en"",""pt"")"),"Satita")</f>
        <v>Satita</v>
      </c>
      <c r="B9283" s="17" t="s">
        <v>25485</v>
      </c>
      <c r="C9283" s="17" t="s">
        <v>25366</v>
      </c>
      <c r="D9283" s="17" t="s">
        <v>25434</v>
      </c>
      <c r="E9283" s="10">
        <v>165060</v>
      </c>
      <c r="F9283" s="4" t="str">
        <f>IF(B9283=B9282,"",B9283)</f>
        <v/>
      </c>
    </row>
    <row r="9284" spans="1:6" ht="15.75" customHeight="1">
      <c r="A9284" s="6" t="s">
        <v>20576</v>
      </c>
      <c r="B9284" s="6" t="s">
        <v>20576</v>
      </c>
      <c r="C9284" s="6" t="s">
        <v>20470</v>
      </c>
      <c r="D9284" s="6" t="s">
        <v>688</v>
      </c>
      <c r="E9284" s="2">
        <v>3928924</v>
      </c>
      <c r="F9284" s="4" t="str">
        <f>IF(B9284=B9283,"",B9284)</f>
        <v>Satipo</v>
      </c>
    </row>
    <row r="9285" spans="1:6" ht="15.75" customHeight="1">
      <c r="A9285" s="5" t="str">
        <f ca="1">IFERROR(__xludf.DUMMYFUNCTION("GOOGLETRANSLATE(B38361,""en"",""pt"")"),"Satipo")</f>
        <v>Satipo</v>
      </c>
      <c r="B9285" s="17" t="s">
        <v>20576</v>
      </c>
      <c r="C9285" s="17" t="s">
        <v>20470</v>
      </c>
      <c r="D9285" s="17" t="s">
        <v>31203</v>
      </c>
      <c r="E9285" s="10">
        <v>3928924</v>
      </c>
      <c r="F9285" s="4" t="str">
        <f>IF(B9285=B9284,"",B9285)</f>
        <v/>
      </c>
    </row>
    <row r="9286" spans="1:6" ht="15.75" customHeight="1">
      <c r="A9286" s="5" t="s">
        <v>13256</v>
      </c>
      <c r="B9286" s="6" t="s">
        <v>13256</v>
      </c>
      <c r="C9286" s="5" t="s">
        <v>10178</v>
      </c>
      <c r="D9286" s="5" t="s">
        <v>10196</v>
      </c>
      <c r="E9286" s="2">
        <v>1256989</v>
      </c>
      <c r="F9286" s="4" t="str">
        <f>IF(B9286=B9285,"",B9286)</f>
        <v>Sathyamangalam</v>
      </c>
    </row>
    <row r="9287" spans="1:6" ht="15.75" customHeight="1">
      <c r="A9287" s="5" t="str">
        <f ca="1">IFERROR(__xludf.DUMMYFUNCTION("GOOGLETRANSLATE(B32221,""en"",""pt"")"),"Sathyamangalam")</f>
        <v>Sathyamangalam</v>
      </c>
      <c r="B9287" s="17" t="s">
        <v>13256</v>
      </c>
      <c r="C9287" s="17" t="s">
        <v>10178</v>
      </c>
      <c r="D9287" s="17" t="s">
        <v>10196</v>
      </c>
      <c r="E9287" s="10">
        <v>1256989</v>
      </c>
      <c r="F9287" s="4" t="str">
        <f>IF(B9287=B9286,"",B9287)</f>
        <v/>
      </c>
    </row>
    <row r="9288" spans="1:6" ht="15.75" customHeight="1">
      <c r="A9288" s="5" t="s">
        <v>13255</v>
      </c>
      <c r="B9288" s="6" t="s">
        <v>13255</v>
      </c>
      <c r="C9288" s="5" t="s">
        <v>10178</v>
      </c>
      <c r="D9288" s="5" t="s">
        <v>10187</v>
      </c>
      <c r="E9288" s="2">
        <v>7302851</v>
      </c>
      <c r="F9288" s="4" t="str">
        <f>IF(B9288=B9287,"",B9288)</f>
        <v>Sathupalli</v>
      </c>
    </row>
    <row r="9289" spans="1:6" ht="15.75" customHeight="1">
      <c r="A9289" s="5" t="str">
        <f ca="1">IFERROR(__xludf.DUMMYFUNCTION("GOOGLETRANSLATE(B34245,""en"",""pt"")"),"Sathupalli")</f>
        <v>Sathupalli</v>
      </c>
      <c r="B9289" s="17" t="s">
        <v>13255</v>
      </c>
      <c r="C9289" s="17" t="s">
        <v>10178</v>
      </c>
      <c r="D9289" s="17" t="s">
        <v>10187</v>
      </c>
      <c r="E9289" s="10">
        <v>7302851</v>
      </c>
      <c r="F9289" s="4" t="str">
        <f>IF(B9289=B9288,"",B9289)</f>
        <v/>
      </c>
    </row>
    <row r="9290" spans="1:6" ht="15.75" customHeight="1">
      <c r="A9290" s="5" t="str">
        <f ca="1">IFERROR(__xludf.DUMMYFUNCTION("GOOGLETRANSLATE(B32225,""en"",""pt"")"),"Sātāra")</f>
        <v>Sātāra</v>
      </c>
      <c r="B9290" s="17" t="s">
        <v>33107</v>
      </c>
      <c r="C9290" s="17" t="s">
        <v>10178</v>
      </c>
      <c r="D9290" s="17" t="s">
        <v>10214</v>
      </c>
      <c r="E9290" s="10">
        <v>1257055</v>
      </c>
      <c r="F9290" s="4" t="str">
        <f>IF(B9290=B9289,"",B9290)</f>
        <v>Sātāra</v>
      </c>
    </row>
    <row r="9291" spans="1:6" ht="15.75" customHeight="1">
      <c r="A9291" s="5" t="str">
        <f ca="1">IFERROR(__xludf.DUMMYFUNCTION("GOOGLETRANSLATE(B32226,""en"",""pt"")"),"Satānā")</f>
        <v>Satānā</v>
      </c>
      <c r="B9291" s="17" t="s">
        <v>33108</v>
      </c>
      <c r="C9291" s="17" t="s">
        <v>10178</v>
      </c>
      <c r="D9291" s="17" t="s">
        <v>10214</v>
      </c>
      <c r="E9291" s="10">
        <v>1257060</v>
      </c>
      <c r="F9291" s="4" t="str">
        <f>IF(B9291=B9290,"",B9291)</f>
        <v>Satānā</v>
      </c>
    </row>
    <row r="9292" spans="1:6" ht="15.75" customHeight="1">
      <c r="A9292" s="6" t="s">
        <v>13253</v>
      </c>
      <c r="B9292" s="6" t="s">
        <v>13254</v>
      </c>
      <c r="C9292" s="6" t="s">
        <v>10178</v>
      </c>
      <c r="D9292" s="6" t="s">
        <v>10214</v>
      </c>
      <c r="E9292" s="2">
        <v>1257060</v>
      </c>
      <c r="F9292" s="4" t="str">
        <f>IF(B9292=B9291,"",B9292)</f>
        <v>SatÄnÄ</v>
      </c>
    </row>
    <row r="9293" spans="1:6" ht="15.75" customHeight="1">
      <c r="A9293" s="5" t="str">
        <f ca="1">IFERROR(__xludf.DUMMYFUNCTION("GOOGLETRANSLATE(B32227,""en"",""pt"")"),"Sāsvad")</f>
        <v>Sāsvad</v>
      </c>
      <c r="B9293" s="17" t="s">
        <v>33109</v>
      </c>
      <c r="C9293" s="17" t="s">
        <v>10178</v>
      </c>
      <c r="D9293" s="17" t="s">
        <v>10214</v>
      </c>
      <c r="E9293" s="10">
        <v>1257066</v>
      </c>
      <c r="F9293" s="4" t="str">
        <f>IF(B9293=B9292,"",B9293)</f>
        <v>Sāsvad</v>
      </c>
    </row>
    <row r="9294" spans="1:6" ht="15.75" customHeight="1">
      <c r="A9294" s="6" t="s">
        <v>15478</v>
      </c>
      <c r="B9294" s="6" t="s">
        <v>15478</v>
      </c>
      <c r="C9294" s="6" t="s">
        <v>14891</v>
      </c>
      <c r="D9294" s="6" t="s">
        <v>14973</v>
      </c>
      <c r="E9294" s="2">
        <v>3167053</v>
      </c>
      <c r="F9294" s="4" t="str">
        <f>IF(B9294=B9293,"",B9294)</f>
        <v>Sassuolo</v>
      </c>
    </row>
    <row r="9295" spans="1:6" ht="15.75" customHeight="1">
      <c r="A9295" s="5" t="str">
        <f ca="1">IFERROR(__xludf.DUMMYFUNCTION("GOOGLETRANSLATE(B34698,""en"",""pt"")"),"Sassuolo")</f>
        <v>Sassuolo</v>
      </c>
      <c r="B9295" s="17" t="s">
        <v>15478</v>
      </c>
      <c r="C9295" s="17" t="s">
        <v>14891</v>
      </c>
      <c r="D9295" s="17" t="s">
        <v>14973</v>
      </c>
      <c r="E9295" s="10">
        <v>3167053</v>
      </c>
      <c r="F9295" s="4" t="str">
        <f>IF(B9295=B9294,"",B9295)</f>
        <v/>
      </c>
    </row>
    <row r="9296" spans="1:6" ht="15.75" customHeight="1">
      <c r="A9296" s="6" t="s">
        <v>15477</v>
      </c>
      <c r="B9296" s="6" t="s">
        <v>15477</v>
      </c>
      <c r="C9296" s="6" t="s">
        <v>14891</v>
      </c>
      <c r="D9296" s="6" t="s">
        <v>14925</v>
      </c>
      <c r="E9296" s="2">
        <v>3167096</v>
      </c>
      <c r="F9296" s="4" t="str">
        <f>IF(B9296=B9295,"",B9296)</f>
        <v>Sassari</v>
      </c>
    </row>
    <row r="9297" spans="1:6" ht="15.75" customHeight="1">
      <c r="A9297" s="5" t="str">
        <f ca="1">IFERROR(__xludf.DUMMYFUNCTION("GOOGLETRANSLATE(B34699,""en"",""pt"")"),"Sassari")</f>
        <v>Sassari</v>
      </c>
      <c r="B9297" s="17" t="s">
        <v>15477</v>
      </c>
      <c r="C9297" s="17" t="s">
        <v>14891</v>
      </c>
      <c r="D9297" s="17" t="s">
        <v>14925</v>
      </c>
      <c r="E9297" s="10">
        <v>3167096</v>
      </c>
      <c r="F9297" s="4" t="str">
        <f>IF(B9297=B9296,"",B9297)</f>
        <v/>
      </c>
    </row>
    <row r="9298" spans="1:6" ht="15.75" customHeight="1">
      <c r="A9298" s="5" t="s">
        <v>15665</v>
      </c>
      <c r="B9298" s="6" t="s">
        <v>15665</v>
      </c>
      <c r="C9298" s="5" t="s">
        <v>15586</v>
      </c>
      <c r="D9298" s="5" t="s">
        <v>15664</v>
      </c>
      <c r="E9298" s="2">
        <v>2281951</v>
      </c>
      <c r="F9298" s="4" t="str">
        <f>IF(B9298=B9297,"",B9298)</f>
        <v>Sassandra</v>
      </c>
    </row>
    <row r="9299" spans="1:6" ht="15.75" customHeight="1">
      <c r="A9299" s="5" t="str">
        <f ca="1">IFERROR(__xludf.DUMMYFUNCTION("GOOGLETRANSLATE(B25835,""en"",""pt"")"),"Sassandra")</f>
        <v>Sassandra</v>
      </c>
      <c r="B9299" s="17" t="s">
        <v>15665</v>
      </c>
      <c r="C9299" s="17" t="s">
        <v>15586</v>
      </c>
      <c r="D9299" s="17" t="s">
        <v>15664</v>
      </c>
      <c r="E9299" s="10">
        <v>2281951</v>
      </c>
      <c r="F9299" s="4" t="str">
        <f>IF(B9299=B9298,"",B9299)</f>
        <v/>
      </c>
    </row>
    <row r="9300" spans="1:6" ht="15.75" customHeight="1">
      <c r="A9300" s="6" t="s">
        <v>23033</v>
      </c>
      <c r="B9300" s="6" t="s">
        <v>23033</v>
      </c>
      <c r="C9300" s="6" t="s">
        <v>22070</v>
      </c>
      <c r="D9300" s="6" t="s">
        <v>22486</v>
      </c>
      <c r="E9300" s="2">
        <v>461699</v>
      </c>
      <c r="F9300" s="4" t="str">
        <f>IF(B9300=B9299,"",B9300)</f>
        <v>Sasovo</v>
      </c>
    </row>
    <row r="9301" spans="1:6" ht="15.75" customHeight="1">
      <c r="A9301" s="5" t="str">
        <f ca="1">IFERROR(__xludf.DUMMYFUNCTION("GOOGLETRANSLATE(B39907,""en"",""pt"")"),"Sasovo")</f>
        <v>Sasovo</v>
      </c>
      <c r="B9301" s="17" t="s">
        <v>23033</v>
      </c>
      <c r="C9301" s="17" t="s">
        <v>22070</v>
      </c>
      <c r="D9301" s="17" t="s">
        <v>22486</v>
      </c>
      <c r="E9301" s="10">
        <v>461699</v>
      </c>
      <c r="F9301" s="4" t="str">
        <f>IF(B9301=B9300,"",B9301)</f>
        <v/>
      </c>
    </row>
    <row r="9302" spans="1:6" ht="15.75" customHeight="1">
      <c r="A9302" s="6" t="s">
        <v>23974</v>
      </c>
      <c r="B9302" s="6" t="s">
        <v>23974</v>
      </c>
      <c r="C9302" s="6" t="s">
        <v>23842</v>
      </c>
      <c r="D9302" s="6" t="s">
        <v>23845</v>
      </c>
      <c r="E9302" s="2">
        <v>957487</v>
      </c>
      <c r="F9302" s="4" t="str">
        <f>IF(B9302=B9301,"",B9302)</f>
        <v>Sasolburg</v>
      </c>
    </row>
    <row r="9303" spans="1:6" ht="15.75" customHeight="1">
      <c r="A9303" s="5" t="str">
        <f ca="1">IFERROR(__xludf.DUMMYFUNCTION("GOOGLETRANSLATE(B45881,""en"",""pt"")"),"Sasolburg")</f>
        <v>Sasolburg</v>
      </c>
      <c r="B9303" s="17" t="s">
        <v>23974</v>
      </c>
      <c r="C9303" s="17" t="s">
        <v>23842</v>
      </c>
      <c r="D9303" s="17" t="s">
        <v>23845</v>
      </c>
      <c r="E9303" s="10">
        <v>957487</v>
      </c>
      <c r="F9303" s="4" t="str">
        <f>IF(B9303=B9302,"",B9303)</f>
        <v/>
      </c>
    </row>
    <row r="9304" spans="1:6" ht="15.75" customHeight="1">
      <c r="A9304" s="5" t="s">
        <v>4196</v>
      </c>
      <c r="B9304" s="6" t="s">
        <v>4196</v>
      </c>
      <c r="C9304" s="5" t="s">
        <v>3975</v>
      </c>
      <c r="D9304" s="5" t="s">
        <v>4087</v>
      </c>
      <c r="E9304" s="2">
        <v>6141256</v>
      </c>
      <c r="F9304" s="4" t="str">
        <f>IF(B9304=B9303,"",B9304)</f>
        <v>Saskatoon</v>
      </c>
    </row>
    <row r="9305" spans="1:6" ht="15.75" customHeight="1">
      <c r="A9305" s="5" t="str">
        <f ca="1">IFERROR(__xludf.DUMMYFUNCTION("GOOGLETRANSLATE(B25580,""en"",""pt"")"),"Saskatoon")</f>
        <v>Saskatoon</v>
      </c>
      <c r="B9305" s="17" t="s">
        <v>4196</v>
      </c>
      <c r="C9305" s="17" t="s">
        <v>3975</v>
      </c>
      <c r="D9305" s="17" t="s">
        <v>4087</v>
      </c>
      <c r="E9305" s="10">
        <v>6141256</v>
      </c>
      <c r="F9305" s="4" t="str">
        <f>IF(B9305=B9304,"",B9305)</f>
        <v/>
      </c>
    </row>
    <row r="9306" spans="1:6" ht="15.75" customHeight="1">
      <c r="A9306" s="6" t="s">
        <v>9081</v>
      </c>
      <c r="B9306" s="6" t="s">
        <v>9081</v>
      </c>
      <c r="C9306" s="6" t="s">
        <v>8028</v>
      </c>
      <c r="D9306" s="6" t="s">
        <v>8059</v>
      </c>
      <c r="E9306" s="2">
        <v>2841374</v>
      </c>
      <c r="F9306" s="4" t="str">
        <f>IF(B9306=B9305,"",B9306)</f>
        <v>Sasel</v>
      </c>
    </row>
    <row r="9307" spans="1:6" ht="15.75" customHeight="1">
      <c r="A9307" s="5" t="str">
        <f ca="1">IFERROR(__xludf.DUMMYFUNCTION("GOOGLETRANSLATE(B27574,""en"",""pt"")"),"Sasel")</f>
        <v>Sasel</v>
      </c>
      <c r="B9307" s="17" t="s">
        <v>9081</v>
      </c>
      <c r="C9307" s="17" t="s">
        <v>8028</v>
      </c>
      <c r="D9307" s="17" t="s">
        <v>8059</v>
      </c>
      <c r="E9307" s="10">
        <v>2841374</v>
      </c>
      <c r="F9307" s="4" t="str">
        <f>IF(B9307=B9306,"",B9307)</f>
        <v/>
      </c>
    </row>
    <row r="9308" spans="1:6" ht="15.75" customHeight="1">
      <c r="A9308" s="6" t="s">
        <v>16388</v>
      </c>
      <c r="B9308" s="6" t="s">
        <v>16388</v>
      </c>
      <c r="C9308" s="6" t="s">
        <v>15704</v>
      </c>
      <c r="D9308" s="6" t="s">
        <v>15784</v>
      </c>
      <c r="E9308" s="2">
        <v>1852899</v>
      </c>
      <c r="F9308" s="4" t="str">
        <f>IF(B9308=B9307,"",B9308)</f>
        <v>Sasebo</v>
      </c>
    </row>
    <row r="9309" spans="1:6" ht="15.75" customHeight="1">
      <c r="A9309" s="5" t="str">
        <f ca="1">IFERROR(__xludf.DUMMYFUNCTION("GOOGLETRANSLATE(B35313,""en"",""pt"")"),"Sasebo")</f>
        <v>Sasebo</v>
      </c>
      <c r="B9309" s="17" t="s">
        <v>16388</v>
      </c>
      <c r="C9309" s="17" t="s">
        <v>15704</v>
      </c>
      <c r="D9309" s="17" t="s">
        <v>15784</v>
      </c>
      <c r="E9309" s="10">
        <v>1852899</v>
      </c>
      <c r="F9309" s="4" t="str">
        <f>IF(B9309=B9308,"",B9309)</f>
        <v/>
      </c>
    </row>
    <row r="9310" spans="1:6" ht="15.75" customHeight="1">
      <c r="A9310" s="6" t="s">
        <v>16387</v>
      </c>
      <c r="B9310" s="6" t="s">
        <v>16387</v>
      </c>
      <c r="C9310" s="6" t="s">
        <v>15704</v>
      </c>
      <c r="D9310" s="6" t="s">
        <v>15712</v>
      </c>
      <c r="E9310" s="2">
        <v>1852901</v>
      </c>
      <c r="F9310" s="4" t="str">
        <f>IF(B9310=B9309,"",B9310)</f>
        <v>Sasayama</v>
      </c>
    </row>
    <row r="9311" spans="1:6" ht="15.75" customHeight="1">
      <c r="A9311" s="5" t="str">
        <f ca="1">IFERROR(__xludf.DUMMYFUNCTION("GOOGLETRANSLATE(B35314,""en"",""pt"")"),"Sasayama")</f>
        <v>Sasayama</v>
      </c>
      <c r="B9311" s="17" t="s">
        <v>16387</v>
      </c>
      <c r="C9311" s="17" t="s">
        <v>15704</v>
      </c>
      <c r="D9311" s="17" t="s">
        <v>34291</v>
      </c>
      <c r="E9311" s="10">
        <v>1852901</v>
      </c>
      <c r="F9311" s="4" t="str">
        <f>IF(B9311=B9310,"",B9311)</f>
        <v/>
      </c>
    </row>
    <row r="9312" spans="1:6" ht="15.75" customHeight="1">
      <c r="A9312" s="6" t="s">
        <v>16386</v>
      </c>
      <c r="B9312" s="6" t="s">
        <v>16386</v>
      </c>
      <c r="C9312" s="6" t="s">
        <v>15704</v>
      </c>
      <c r="D9312" s="6" t="s">
        <v>15722</v>
      </c>
      <c r="E9312" s="2">
        <v>1852915</v>
      </c>
      <c r="F9312" s="4" t="str">
        <f>IF(B9312=B9311,"",B9312)</f>
        <v>Sasaguri</v>
      </c>
    </row>
    <row r="9313" spans="1:6" ht="15.75" customHeight="1">
      <c r="A9313" s="5" t="str">
        <f ca="1">IFERROR(__xludf.DUMMYFUNCTION("GOOGLETRANSLATE(B35315,""en"",""pt"")"),"Sasaguri")</f>
        <v>Sasaguri</v>
      </c>
      <c r="B9313" s="17" t="s">
        <v>16386</v>
      </c>
      <c r="C9313" s="17" t="s">
        <v>15704</v>
      </c>
      <c r="D9313" s="17" t="s">
        <v>15722</v>
      </c>
      <c r="E9313" s="10">
        <v>1852915</v>
      </c>
      <c r="F9313" s="4" t="str">
        <f>IF(B9313=B9312,"",B9313)</f>
        <v/>
      </c>
    </row>
    <row r="9314" spans="1:6" ht="15.75" customHeight="1">
      <c r="A9314" s="6" t="s">
        <v>3459</v>
      </c>
      <c r="B9314" s="6" t="s">
        <v>3459</v>
      </c>
      <c r="C9314" s="6" t="s">
        <v>1905</v>
      </c>
      <c r="D9314" s="6" t="s">
        <v>1917</v>
      </c>
      <c r="E9314" s="2">
        <v>3447969</v>
      </c>
      <c r="F9314" s="4" t="str">
        <f>IF(B9314=B9313,"",B9314)</f>
        <v>Sarzedo</v>
      </c>
    </row>
    <row r="9315" spans="1:6" ht="15.75" customHeight="1">
      <c r="A9315" s="5" t="str">
        <f ca="1">IFERROR(__xludf.DUMMYFUNCTION("GOOGLETRANSLATE(B24532,""en"",""pt"")"),"Sarzedo")</f>
        <v>Sarzedo</v>
      </c>
      <c r="B9315" s="17" t="s">
        <v>3459</v>
      </c>
      <c r="C9315" s="17" t="s">
        <v>1905</v>
      </c>
      <c r="D9315" s="17" t="s">
        <v>1917</v>
      </c>
      <c r="E9315" s="10">
        <v>3447969</v>
      </c>
      <c r="F9315" s="4" t="str">
        <f>IF(B9315=B9314,"",B9315)</f>
        <v/>
      </c>
    </row>
    <row r="9316" spans="1:6" ht="15.75" customHeight="1">
      <c r="A9316" s="6" t="s">
        <v>15476</v>
      </c>
      <c r="B9316" s="6" t="s">
        <v>15476</v>
      </c>
      <c r="C9316" s="6" t="s">
        <v>14891</v>
      </c>
      <c r="D9316" s="6" t="s">
        <v>14920</v>
      </c>
      <c r="E9316" s="2">
        <v>3167104</v>
      </c>
      <c r="F9316" s="4" t="str">
        <f>IF(B9316=B9315,"",B9316)</f>
        <v>Sarzana</v>
      </c>
    </row>
    <row r="9317" spans="1:6" ht="15.75" customHeight="1">
      <c r="A9317" s="5" t="str">
        <f ca="1">IFERROR(__xludf.DUMMYFUNCTION("GOOGLETRANSLATE(B34700,""en"",""pt"")"),"Sarzana")</f>
        <v>Sarzana</v>
      </c>
      <c r="B9317" s="17" t="s">
        <v>15476</v>
      </c>
      <c r="C9317" s="17" t="s">
        <v>14891</v>
      </c>
      <c r="D9317" s="17" t="s">
        <v>14920</v>
      </c>
      <c r="E9317" s="10">
        <v>3167104</v>
      </c>
      <c r="F9317" s="4" t="str">
        <f>IF(B9317=B9316,"",B9317)</f>
        <v/>
      </c>
    </row>
    <row r="9318" spans="1:6" ht="15.75" customHeight="1">
      <c r="A9318" s="5" t="s">
        <v>16741</v>
      </c>
      <c r="B9318" s="6" t="s">
        <v>16741</v>
      </c>
      <c r="C9318" s="5" t="s">
        <v>16671</v>
      </c>
      <c r="D9318" s="5" t="s">
        <v>16707</v>
      </c>
      <c r="E9318" s="2">
        <v>1520947</v>
      </c>
      <c r="F9318" s="4" t="str">
        <f>IF(B9318=B9317,"",B9318)</f>
        <v>Sarykemer</v>
      </c>
    </row>
    <row r="9319" spans="1:6" ht="15.75" customHeight="1">
      <c r="A9319" s="5" t="str">
        <f ca="1">IFERROR(__xludf.DUMMYFUNCTION("GOOGLETRANSLATE(B36233,""en"",""pt"")"),"Sarykemer")</f>
        <v>Sarykemer</v>
      </c>
      <c r="B9319" s="17" t="s">
        <v>16741</v>
      </c>
      <c r="C9319" s="17" t="s">
        <v>16671</v>
      </c>
      <c r="D9319" s="17" t="s">
        <v>16707</v>
      </c>
      <c r="E9319" s="10">
        <v>1520947</v>
      </c>
      <c r="F9319" s="4" t="str">
        <f>IF(B9319=B9318,"",B9319)</f>
        <v/>
      </c>
    </row>
    <row r="9320" spans="1:6" ht="15.75" customHeight="1">
      <c r="A9320" s="5" t="s">
        <v>16740</v>
      </c>
      <c r="B9320" s="6" t="s">
        <v>16740</v>
      </c>
      <c r="C9320" s="5" t="s">
        <v>16671</v>
      </c>
      <c r="D9320" s="5" t="s">
        <v>16678</v>
      </c>
      <c r="E9320" s="2">
        <v>1519673</v>
      </c>
      <c r="F9320" s="4" t="str">
        <f>IF(B9320=B9319,"",B9320)</f>
        <v>Saryaghash</v>
      </c>
    </row>
    <row r="9321" spans="1:6" ht="15.75" customHeight="1">
      <c r="A9321" s="5" t="str">
        <f ca="1">IFERROR(__xludf.DUMMYFUNCTION("GOOGLETRANSLATE(B36221,""en"",""pt"")"),"Saryaghash")</f>
        <v>Saryaghash</v>
      </c>
      <c r="B9321" s="17" t="s">
        <v>16740</v>
      </c>
      <c r="C9321" s="17" t="s">
        <v>16671</v>
      </c>
      <c r="D9321" s="17" t="s">
        <v>34499</v>
      </c>
      <c r="E9321" s="10">
        <v>1519673</v>
      </c>
      <c r="F9321" s="4" t="str">
        <f>IF(B9321=B9320,"",B9321)</f>
        <v/>
      </c>
    </row>
    <row r="9322" spans="1:6" ht="15.75" customHeight="1">
      <c r="A9322" s="5" t="str">
        <f ca="1">IFERROR(__xludf.DUMMYFUNCTION("GOOGLETRANSLATE(B32228,""en"",""pt"")"),"Sarwār")</f>
        <v>Sarwār</v>
      </c>
      <c r="B9322" s="17" t="s">
        <v>33110</v>
      </c>
      <c r="C9322" s="17" t="s">
        <v>10178</v>
      </c>
      <c r="D9322" s="17" t="s">
        <v>10179</v>
      </c>
      <c r="E9322" s="10">
        <v>1257093</v>
      </c>
      <c r="F9322" s="4" t="str">
        <f>IF(B9322=B9321,"",B9322)</f>
        <v>Sarwār</v>
      </c>
    </row>
    <row r="9323" spans="1:6" ht="15.75" customHeight="1">
      <c r="A9323" s="6" t="s">
        <v>13251</v>
      </c>
      <c r="B9323" s="6" t="s">
        <v>13252</v>
      </c>
      <c r="C9323" s="6" t="s">
        <v>10178</v>
      </c>
      <c r="D9323" s="6" t="s">
        <v>10179</v>
      </c>
      <c r="E9323" s="2">
        <v>1257093</v>
      </c>
      <c r="F9323" s="4" t="str">
        <f>IF(B9323=B9322,"",B9323)</f>
        <v>SarwÄr</v>
      </c>
    </row>
    <row r="9324" spans="1:6" ht="15.75" customHeight="1">
      <c r="A9324" s="5" t="str">
        <f ca="1">IFERROR(__xludf.DUMMYFUNCTION("GOOGLETRANSLATE(B31288,""en"",""pt"")"),"Sárvár")</f>
        <v>Sárvár</v>
      </c>
      <c r="B9324" s="17" t="s">
        <v>32860</v>
      </c>
      <c r="C9324" s="17" t="s">
        <v>9955</v>
      </c>
      <c r="D9324" s="17" t="s">
        <v>10129</v>
      </c>
      <c r="E9324" s="10">
        <v>3045487</v>
      </c>
      <c r="F9324" s="4" t="str">
        <f>IF(B9324=B9323,"",B9324)</f>
        <v>Sárvár</v>
      </c>
    </row>
    <row r="9325" spans="1:6" ht="15.75" customHeight="1">
      <c r="A9325" s="5" t="s">
        <v>7812</v>
      </c>
      <c r="B9325" s="6" t="s">
        <v>7812</v>
      </c>
      <c r="C9325" s="5" t="s">
        <v>7052</v>
      </c>
      <c r="D9325" s="5" t="s">
        <v>7058</v>
      </c>
      <c r="E9325" s="2">
        <v>2975921</v>
      </c>
      <c r="F9325" s="4" t="str">
        <f>IF(B9325=B9324,"",B9325)</f>
        <v>Sartrouville</v>
      </c>
    </row>
    <row r="9326" spans="1:6" ht="15.75" customHeight="1">
      <c r="A9326" s="5" t="str">
        <f ca="1">IFERROR(__xludf.DUMMYFUNCTION("GOOGLETRANSLATE(B29765,""en"",""pt"")"),"Sartrouville")</f>
        <v>Sartrouville</v>
      </c>
      <c r="B9326" s="17" t="s">
        <v>7812</v>
      </c>
      <c r="C9326" s="17" t="s">
        <v>7052</v>
      </c>
      <c r="D9326" s="17" t="s">
        <v>32531</v>
      </c>
      <c r="E9326" s="10">
        <v>2975921</v>
      </c>
      <c r="F9326" s="4" t="str">
        <f>IF(B9326=B9325,"",B9326)</f>
        <v/>
      </c>
    </row>
    <row r="9327" spans="1:6" ht="15.75" customHeight="1">
      <c r="A9327" s="6" t="s">
        <v>29920</v>
      </c>
      <c r="B9327" s="6" t="s">
        <v>29920</v>
      </c>
      <c r="C9327" s="6" t="s">
        <v>27788</v>
      </c>
      <c r="D9327" s="6" t="s">
        <v>27824</v>
      </c>
      <c r="E9327" s="2">
        <v>5046001</v>
      </c>
      <c r="F9327" s="4" t="str">
        <f>IF(B9327=B9326,"",B9327)</f>
        <v>Sartell</v>
      </c>
    </row>
    <row r="9328" spans="1:6" ht="15.75" customHeight="1">
      <c r="A9328" s="5" t="str">
        <f ca="1">IFERROR(__xludf.DUMMYFUNCTION("GOOGLETRANSLATE(B44197,""en"",""pt"")"),"Sartell")</f>
        <v>Sartell</v>
      </c>
      <c r="B9328" s="17" t="s">
        <v>29920</v>
      </c>
      <c r="C9328" s="17" t="s">
        <v>27788</v>
      </c>
      <c r="D9328" s="17" t="s">
        <v>27824</v>
      </c>
      <c r="E9328" s="10">
        <v>5046001</v>
      </c>
      <c r="F9328" s="4" t="str">
        <f>IF(B9328=B9327,"",B9328)</f>
        <v/>
      </c>
    </row>
    <row r="9329" spans="1:6" ht="15.75" customHeight="1">
      <c r="A9329" s="6" t="s">
        <v>9080</v>
      </c>
      <c r="B9329" s="6" t="s">
        <v>9080</v>
      </c>
      <c r="C9329" s="6" t="s">
        <v>8028</v>
      </c>
      <c r="D9329" s="6" t="s">
        <v>8034</v>
      </c>
      <c r="E9329" s="2">
        <v>2841386</v>
      </c>
      <c r="F9329" s="4" t="str">
        <f>IF(B9329=B9328,"",B9329)</f>
        <v>Sarstedt</v>
      </c>
    </row>
    <row r="9330" spans="1:6" ht="15.75" customHeight="1">
      <c r="A9330" s="5" t="str">
        <f ca="1">IFERROR(__xludf.DUMMYFUNCTION("GOOGLETRANSLATE(B27575,""en"",""pt"")"),"Sarstedt")</f>
        <v>Sarstedt</v>
      </c>
      <c r="B9330" s="17" t="s">
        <v>9080</v>
      </c>
      <c r="C9330" s="17" t="s">
        <v>8028</v>
      </c>
      <c r="D9330" s="17" t="s">
        <v>8034</v>
      </c>
      <c r="E9330" s="10">
        <v>2841386</v>
      </c>
      <c r="F9330" s="4" t="str">
        <f>IF(B9330=B9329,"",B9330)</f>
        <v/>
      </c>
    </row>
    <row r="9331" spans="1:6" ht="15.75" customHeight="1">
      <c r="A9331" s="5" t="str">
        <f ca="1">IFERROR(__xludf.DUMMYFUNCTION("GOOGLETRANSLATE(B29485,""en"",""pt"")"),"Sarrià-Sant Gervasi")</f>
        <v>Sarrià-Sant Gervasi</v>
      </c>
      <c r="B9331" s="17" t="s">
        <v>32476</v>
      </c>
      <c r="C9331" s="17" t="s">
        <v>24200</v>
      </c>
      <c r="D9331" s="17" t="s">
        <v>24277</v>
      </c>
      <c r="E9331" s="10">
        <v>6544102</v>
      </c>
      <c r="F9331" s="4" t="str">
        <f>IF(B9331=B9330,"",B9331)</f>
        <v>Sarrià-Sant Gervasi</v>
      </c>
    </row>
    <row r="9332" spans="1:6" ht="15.75" customHeight="1">
      <c r="A9332" s="5" t="s">
        <v>24819</v>
      </c>
      <c r="B9332" s="6" t="s">
        <v>24820</v>
      </c>
      <c r="C9332" s="5" t="s">
        <v>24200</v>
      </c>
      <c r="D9332" s="5" t="s">
        <v>24277</v>
      </c>
      <c r="E9332" s="2">
        <v>6544102</v>
      </c>
      <c r="F9332" s="4" t="str">
        <f>IF(B9332=B9331,"",B9332)</f>
        <v>SarriÃ -Sant Gervasi</v>
      </c>
    </row>
    <row r="9333" spans="1:6" ht="15.75" customHeight="1">
      <c r="A9333" s="5" t="s">
        <v>7811</v>
      </c>
      <c r="B9333" s="6" t="s">
        <v>7811</v>
      </c>
      <c r="C9333" s="5" t="s">
        <v>7052</v>
      </c>
      <c r="D9333" s="5" t="s">
        <v>7061</v>
      </c>
      <c r="E9333" s="2">
        <v>2975964</v>
      </c>
      <c r="F9333" s="4" t="str">
        <f>IF(B9333=B9332,"",B9333)</f>
        <v>Sarreguemines</v>
      </c>
    </row>
    <row r="9334" spans="1:6" ht="15.75" customHeight="1">
      <c r="A9334" s="5" t="str">
        <f ca="1">IFERROR(__xludf.DUMMYFUNCTION("GOOGLETRANSLATE(B29766,""en"",""pt"")"),"Sarreguemines")</f>
        <v>Sarreguemines</v>
      </c>
      <c r="B9334" s="17" t="s">
        <v>7811</v>
      </c>
      <c r="C9334" s="17" t="s">
        <v>7052</v>
      </c>
      <c r="D9334" s="17" t="s">
        <v>7061</v>
      </c>
      <c r="E9334" s="10">
        <v>2975964</v>
      </c>
      <c r="F9334" s="4" t="str">
        <f>IF(B9334=B9333,"",B9334)</f>
        <v/>
      </c>
    </row>
    <row r="9335" spans="1:6" ht="15.75" customHeight="1">
      <c r="A9335" s="5" t="s">
        <v>19739</v>
      </c>
      <c r="B9335" s="6" t="s">
        <v>19739</v>
      </c>
      <c r="C9335" s="5" t="s">
        <v>19695</v>
      </c>
      <c r="D9335" s="5" t="s">
        <v>19709</v>
      </c>
      <c r="E9335" s="2">
        <v>3140084</v>
      </c>
      <c r="F9335" s="4" t="str">
        <f>IF(B9335=B9334,"",B9335)</f>
        <v>Sarpsborg</v>
      </c>
    </row>
    <row r="9336" spans="1:6" ht="15.75" customHeight="1">
      <c r="A9336" s="5" t="str">
        <f ca="1">IFERROR(__xludf.DUMMYFUNCTION("GOOGLETRANSLATE(B38149,""en"",""pt"")"),"Sarpsborg")</f>
        <v>Sarpsborg</v>
      </c>
      <c r="B9336" s="17" t="s">
        <v>19739</v>
      </c>
      <c r="C9336" s="17" t="s">
        <v>19695</v>
      </c>
      <c r="D9336" s="17" t="s">
        <v>34816</v>
      </c>
      <c r="E9336" s="10">
        <v>3140084</v>
      </c>
      <c r="F9336" s="4" t="str">
        <f>IF(B9336=B9335,"",B9336)</f>
        <v/>
      </c>
    </row>
    <row r="9337" spans="1:6" ht="15.75" customHeight="1">
      <c r="A9337" s="5" t="s">
        <v>14538</v>
      </c>
      <c r="B9337" s="6" t="s">
        <v>14539</v>
      </c>
      <c r="C9337" s="5" t="s">
        <v>14240</v>
      </c>
      <c r="D9337" s="5" t="s">
        <v>14401</v>
      </c>
      <c r="E9337" s="2">
        <v>120931</v>
      </c>
      <c r="F9337" s="4" t="str">
        <f>IF(B9337=B9336,"",B9337)</f>
        <v>Sarpol-e ZÌ„ahÄb</v>
      </c>
    </row>
    <row r="9338" spans="1:6" ht="15.75" customHeight="1">
      <c r="A9338" s="5" t="str">
        <f ca="1">IFERROR(__xludf.DUMMYFUNCTION("GOOGLETRANSLATE(B34395,""en"",""pt"")"),"Sarpol-e Z̄ahāb")</f>
        <v>Sarpol-e Z̄ahāb</v>
      </c>
      <c r="B9338" s="17" t="s">
        <v>34160</v>
      </c>
      <c r="C9338" s="17" t="s">
        <v>14240</v>
      </c>
      <c r="D9338" s="17" t="s">
        <v>34120</v>
      </c>
      <c r="E9338" s="10">
        <v>120931</v>
      </c>
      <c r="F9338" s="4" t="str">
        <f>IF(B9338=B9337,"",B9338)</f>
        <v>Sarpol-e Z̄ahāb</v>
      </c>
    </row>
    <row r="9339" spans="1:6" ht="15.75" customHeight="1">
      <c r="A9339" s="6" t="s">
        <v>23032</v>
      </c>
      <c r="B9339" s="6" t="s">
        <v>23032</v>
      </c>
      <c r="C9339" s="6" t="s">
        <v>22070</v>
      </c>
      <c r="D9339" s="6" t="s">
        <v>22161</v>
      </c>
      <c r="E9339" s="2">
        <v>498525</v>
      </c>
      <c r="F9339" s="4" t="str">
        <f>IF(B9339=B9338,"",B9339)</f>
        <v>Sarov</v>
      </c>
    </row>
    <row r="9340" spans="1:6" ht="15.75" customHeight="1">
      <c r="A9340" s="5" t="str">
        <f ca="1">IFERROR(__xludf.DUMMYFUNCTION("GOOGLETRANSLATE(B40134,""en"",""pt"")"),"Sarov")</f>
        <v>Sarov</v>
      </c>
      <c r="B9340" s="17" t="s">
        <v>23032</v>
      </c>
      <c r="C9340" s="17" t="s">
        <v>22070</v>
      </c>
      <c r="D9340" s="17" t="s">
        <v>22161</v>
      </c>
      <c r="E9340" s="10">
        <v>498525</v>
      </c>
      <c r="F9340" s="4" t="str">
        <f>IF(B9340=B9339,"",B9340)</f>
        <v/>
      </c>
    </row>
    <row r="9341" spans="1:6" ht="15.75" customHeight="1">
      <c r="A9341" s="6" t="s">
        <v>15475</v>
      </c>
      <c r="B9341" s="6" t="s">
        <v>15475</v>
      </c>
      <c r="C9341" s="6" t="s">
        <v>14891</v>
      </c>
      <c r="D9341" s="6" t="s">
        <v>14894</v>
      </c>
      <c r="E9341" s="2">
        <v>3167113</v>
      </c>
      <c r="F9341" s="4" t="str">
        <f>IF(B9341=B9340,"",B9341)</f>
        <v>Saronno</v>
      </c>
    </row>
    <row r="9342" spans="1:6" ht="15.75" customHeight="1">
      <c r="A9342" s="5" t="str">
        <f ca="1">IFERROR(__xludf.DUMMYFUNCTION("GOOGLETRANSLATE(B34701,""en"",""pt"")"),"Saronno")</f>
        <v>Saronno</v>
      </c>
      <c r="B9342" s="17" t="s">
        <v>15475</v>
      </c>
      <c r="C9342" s="17" t="s">
        <v>14891</v>
      </c>
      <c r="D9342" s="17" t="s">
        <v>14894</v>
      </c>
      <c r="E9342" s="10">
        <v>3167113</v>
      </c>
      <c r="F9342" s="4" t="str">
        <f>IF(B9342=B9341,"",B9342)</f>
        <v/>
      </c>
    </row>
    <row r="9343" spans="1:6" ht="15.75" customHeight="1">
      <c r="A9343" s="6" t="s">
        <v>27130</v>
      </c>
      <c r="B9343" s="6" t="s">
        <v>27130</v>
      </c>
      <c r="C9343" s="6" t="s">
        <v>26870</v>
      </c>
      <c r="D9343" s="6" t="s">
        <v>26953</v>
      </c>
      <c r="E9343" s="2">
        <v>694792</v>
      </c>
      <c r="F9343" s="4" t="str">
        <f>IF(B9343=B9342,"",B9343)</f>
        <v>Sarny</v>
      </c>
    </row>
    <row r="9344" spans="1:6" ht="15.75" customHeight="1">
      <c r="A9344" s="5" t="str">
        <f ca="1">IFERROR(__xludf.DUMMYFUNCTION("GOOGLETRANSLATE(B42532,""en"",""pt"")"),"Sarny")</f>
        <v>Sarny</v>
      </c>
      <c r="B9344" s="17" t="s">
        <v>27130</v>
      </c>
      <c r="C9344" s="17" t="s">
        <v>26870</v>
      </c>
      <c r="D9344" s="17" t="s">
        <v>26953</v>
      </c>
      <c r="E9344" s="10">
        <v>694792</v>
      </c>
      <c r="F9344" s="4" t="str">
        <f>IF(B9344=B9343,"",B9344)</f>
        <v/>
      </c>
    </row>
    <row r="9345" spans="1:6" ht="15.75" customHeight="1">
      <c r="A9345" s="6" t="s">
        <v>15474</v>
      </c>
      <c r="B9345" s="6" t="s">
        <v>15474</v>
      </c>
      <c r="C9345" s="6" t="s">
        <v>14891</v>
      </c>
      <c r="D9345" s="6" t="s">
        <v>14896</v>
      </c>
      <c r="E9345" s="2">
        <v>3167116</v>
      </c>
      <c r="F9345" s="4" t="str">
        <f>IF(B9345=B9344,"",B9345)</f>
        <v>Sarno</v>
      </c>
    </row>
    <row r="9346" spans="1:6" ht="15.75" customHeight="1">
      <c r="A9346" s="5" t="str">
        <f ca="1">IFERROR(__xludf.DUMMYFUNCTION("GOOGLETRANSLATE(B34702,""en"",""pt"")"),"Sarno")</f>
        <v>Sarno</v>
      </c>
      <c r="B9346" s="17" t="s">
        <v>15474</v>
      </c>
      <c r="C9346" s="17" t="s">
        <v>14891</v>
      </c>
      <c r="D9346" s="17" t="s">
        <v>14896</v>
      </c>
      <c r="E9346" s="10">
        <v>3167116</v>
      </c>
      <c r="F9346" s="4" t="str">
        <f>IF(B9346=B9345,"",B9346)</f>
        <v/>
      </c>
    </row>
    <row r="9347" spans="1:6" ht="15.75" customHeight="1">
      <c r="A9347" s="6" t="s">
        <v>4195</v>
      </c>
      <c r="B9347" s="6" t="s">
        <v>4195</v>
      </c>
      <c r="C9347" s="6" t="s">
        <v>3975</v>
      </c>
      <c r="D9347" s="6" t="s">
        <v>3980</v>
      </c>
      <c r="E9347" s="2">
        <v>6141190</v>
      </c>
      <c r="F9347" s="4" t="str">
        <f>IF(B9347=B9346,"",B9347)</f>
        <v>Sarnia</v>
      </c>
    </row>
    <row r="9348" spans="1:6" ht="15.75" customHeight="1">
      <c r="A9348" s="5" t="str">
        <f ca="1">IFERROR(__xludf.DUMMYFUNCTION("GOOGLETRANSLATE(B25579,""en"",""pt"")"),"Sarnia")</f>
        <v>Sarnia</v>
      </c>
      <c r="B9348" s="17" t="s">
        <v>4195</v>
      </c>
      <c r="C9348" s="17" t="s">
        <v>3975</v>
      </c>
      <c r="D9348" s="17" t="s">
        <v>3980</v>
      </c>
      <c r="E9348" s="10">
        <v>6141190</v>
      </c>
      <c r="F9348" s="4" t="str">
        <f>IF(B9348=B9347,"",B9348)</f>
        <v/>
      </c>
    </row>
    <row r="9349" spans="1:6" ht="15.75" customHeight="1">
      <c r="A9349" s="5" t="str">
        <f ca="1">IFERROR(__xludf.DUMMYFUNCTION("GOOGLETRANSLATE(B41911,""en"",""pt"")"),"Şarkışla")</f>
        <v>Şarkışla</v>
      </c>
      <c r="B9349" s="17" t="s">
        <v>35840</v>
      </c>
      <c r="C9349" s="17" t="s">
        <v>26201</v>
      </c>
      <c r="D9349" s="17" t="s">
        <v>26345</v>
      </c>
      <c r="E9349" s="10">
        <v>301537</v>
      </c>
      <c r="F9349" s="4" t="str">
        <f>IF(B9349=B9348,"",B9349)</f>
        <v>Şarkışla</v>
      </c>
    </row>
    <row r="9350" spans="1:6" ht="15.75" customHeight="1">
      <c r="A9350" s="5" t="str">
        <f ca="1">IFERROR(__xludf.DUMMYFUNCTION("GOOGLETRANSLATE(B41912,""en"",""pt"")"),"Şarkîkaraağaç")</f>
        <v>Şarkîkaraağaç</v>
      </c>
      <c r="B9350" s="17" t="s">
        <v>35841</v>
      </c>
      <c r="C9350" s="17" t="s">
        <v>26201</v>
      </c>
      <c r="D9350" s="17" t="s">
        <v>26348</v>
      </c>
      <c r="E9350" s="10">
        <v>301539</v>
      </c>
      <c r="F9350" s="4" t="str">
        <f>IF(B9350=B9349,"",B9350)</f>
        <v>Şarkîkaraağaç</v>
      </c>
    </row>
    <row r="9351" spans="1:6" ht="15.75" customHeight="1">
      <c r="A9351" s="6" t="s">
        <v>13250</v>
      </c>
      <c r="B9351" s="6" t="s">
        <v>13250</v>
      </c>
      <c r="C9351" s="6" t="s">
        <v>10178</v>
      </c>
      <c r="D9351" s="6" t="s">
        <v>10209</v>
      </c>
      <c r="E9351" s="2">
        <v>1257149</v>
      </c>
      <c r="F9351" s="4" t="str">
        <f>IF(B9351=B9350,"",B9351)</f>
        <v>Sarkhej</v>
      </c>
    </row>
    <row r="9352" spans="1:6" ht="15.75" customHeight="1">
      <c r="A9352" s="5" t="str">
        <f ca="1">IFERROR(__xludf.DUMMYFUNCTION("GOOGLETRANSLATE(B32229,""en"",""pt"")"),"Sarkhej")</f>
        <v>Sarkhej</v>
      </c>
      <c r="B9352" s="17" t="s">
        <v>13250</v>
      </c>
      <c r="C9352" s="17" t="s">
        <v>10178</v>
      </c>
      <c r="D9352" s="17" t="s">
        <v>10209</v>
      </c>
      <c r="E9352" s="10">
        <v>1257149</v>
      </c>
      <c r="F9352" s="4" t="str">
        <f>IF(B9352=B9351,"",B9352)</f>
        <v/>
      </c>
    </row>
    <row r="9353" spans="1:6" ht="15.75" customHeight="1">
      <c r="A9353" s="6" t="s">
        <v>16739</v>
      </c>
      <c r="B9353" s="6" t="s">
        <v>16739</v>
      </c>
      <c r="C9353" s="6" t="s">
        <v>16671</v>
      </c>
      <c r="D9353" s="6" t="s">
        <v>16705</v>
      </c>
      <c r="E9353" s="2">
        <v>1519691</v>
      </c>
      <c r="F9353" s="4" t="str">
        <f>IF(B9353=B9352,"",B9353)</f>
        <v>Sarkand</v>
      </c>
    </row>
    <row r="9354" spans="1:6" ht="15.75" customHeight="1">
      <c r="A9354" s="5" t="str">
        <f ca="1">IFERROR(__xludf.DUMMYFUNCTION("GOOGLETRANSLATE(B36222,""en"",""pt"")"),"Sarkand")</f>
        <v>Sarkand</v>
      </c>
      <c r="B9354" s="17" t="s">
        <v>16739</v>
      </c>
      <c r="C9354" s="17" t="s">
        <v>16671</v>
      </c>
      <c r="D9354" s="17" t="s">
        <v>16705</v>
      </c>
      <c r="E9354" s="10">
        <v>1519691</v>
      </c>
      <c r="F9354" s="4" t="str">
        <f>IF(B9354=B9353,"",B9354)</f>
        <v/>
      </c>
    </row>
    <row r="9355" spans="1:6" ht="15.75" customHeight="1">
      <c r="A9355" s="5" t="str">
        <f ca="1">IFERROR(__xludf.DUMMYFUNCTION("GOOGLETRANSLATE(B35998,""en"",""pt"")"),"Sariwŏn")</f>
        <v>Sariwŏn</v>
      </c>
      <c r="B9355" s="17" t="s">
        <v>34438</v>
      </c>
      <c r="C9355" s="17" t="s">
        <v>19589</v>
      </c>
      <c r="D9355" s="17" t="s">
        <v>19592</v>
      </c>
      <c r="E9355" s="10">
        <v>1870883</v>
      </c>
      <c r="F9355" s="4" t="str">
        <f>IF(B9355=B9354,"",B9355)</f>
        <v>Sariwŏn</v>
      </c>
    </row>
    <row r="9356" spans="1:6" ht="15.75" customHeight="1">
      <c r="A9356" s="6" t="s">
        <v>19672</v>
      </c>
      <c r="B9356" s="6" t="s">
        <v>19673</v>
      </c>
      <c r="C9356" s="6" t="s">
        <v>19589</v>
      </c>
      <c r="D9356" s="6" t="s">
        <v>19592</v>
      </c>
      <c r="E9356" s="2">
        <v>1870883</v>
      </c>
      <c r="F9356" s="4" t="str">
        <f>IF(B9356=B9355,"",B9356)</f>
        <v>SariwÅn</v>
      </c>
    </row>
    <row r="9357" spans="1:6" ht="15.75" customHeight="1">
      <c r="A9357" s="5" t="str">
        <f ca="1">IFERROR(__xludf.DUMMYFUNCTION("GOOGLETRANSLATE(B23754,""en"",""pt"")"),"Sarishābāri")</f>
        <v>Sarishābāri</v>
      </c>
      <c r="B9357" s="17" t="s">
        <v>31288</v>
      </c>
      <c r="C9357" s="17" t="s">
        <v>1296</v>
      </c>
      <c r="D9357" s="17" t="s">
        <v>1297</v>
      </c>
      <c r="E9357" s="10">
        <v>1188569</v>
      </c>
      <c r="F9357" s="4" t="str">
        <f>IF(B9357=B9356,"",B9357)</f>
        <v>Sarishābāri</v>
      </c>
    </row>
    <row r="9358" spans="1:6" ht="15.75" customHeight="1">
      <c r="A9358" s="5" t="s">
        <v>1431</v>
      </c>
      <c r="B9358" s="6" t="s">
        <v>1432</v>
      </c>
      <c r="C9358" s="5" t="s">
        <v>1296</v>
      </c>
      <c r="D9358" s="5" t="s">
        <v>1297</v>
      </c>
      <c r="E9358" s="2">
        <v>1188569</v>
      </c>
      <c r="F9358" s="4" t="str">
        <f>IF(B9358=B9357,"",B9358)</f>
        <v>SarishÄbÄri</v>
      </c>
    </row>
    <row r="9359" spans="1:6" ht="15.75" customHeight="1">
      <c r="A9359" s="6" t="s">
        <v>17559</v>
      </c>
      <c r="B9359" s="6" t="s">
        <v>17559</v>
      </c>
      <c r="C9359" s="6" t="s">
        <v>17432</v>
      </c>
      <c r="D9359" s="6" t="s">
        <v>17459</v>
      </c>
      <c r="E9359" s="2">
        <v>1735837</v>
      </c>
      <c r="F9359" s="4" t="str">
        <f>IF(B9359=B9358,"",B9359)</f>
        <v>Sarikei</v>
      </c>
    </row>
    <row r="9360" spans="1:6" ht="15.75" customHeight="1">
      <c r="A9360" s="5" t="str">
        <f ca="1">IFERROR(__xludf.DUMMYFUNCTION("GOOGLETRANSLATE(B37498,""en"",""pt"")"),"Sarikei")</f>
        <v>Sarikei</v>
      </c>
      <c r="B9360" s="17" t="s">
        <v>17559</v>
      </c>
      <c r="C9360" s="17" t="s">
        <v>17432</v>
      </c>
      <c r="D9360" s="17" t="s">
        <v>17459</v>
      </c>
      <c r="E9360" s="10">
        <v>1735837</v>
      </c>
      <c r="F9360" s="4" t="str">
        <f>IF(B9360=B9359,"",B9360)</f>
        <v/>
      </c>
    </row>
    <row r="9361" spans="1:6" ht="15.75" customHeight="1">
      <c r="A9361" s="5" t="str">
        <f ca="1">IFERROR(__xludf.DUMMYFUNCTION("GOOGLETRANSLATE(B42120,""en"",""pt"")"),"Sarıkamış")</f>
        <v>Sarıkamış</v>
      </c>
      <c r="B9361" s="17" t="s">
        <v>35925</v>
      </c>
      <c r="C9361" s="17" t="s">
        <v>26201</v>
      </c>
      <c r="D9361" s="17" t="s">
        <v>26570</v>
      </c>
      <c r="E9361" s="10">
        <v>740088</v>
      </c>
      <c r="F9361" s="4" t="str">
        <f>IF(B9361=B9360,"",B9361)</f>
        <v>Sarıkamış</v>
      </c>
    </row>
    <row r="9362" spans="1:6" ht="15.75" customHeight="1">
      <c r="A9362" s="5" t="s">
        <v>26687</v>
      </c>
      <c r="B9362" s="6" t="s">
        <v>26687</v>
      </c>
      <c r="C9362" s="5" t="s">
        <v>26201</v>
      </c>
      <c r="D9362" s="5" t="s">
        <v>26409</v>
      </c>
      <c r="E9362" s="2">
        <v>6692524</v>
      </c>
      <c r="F9362" s="4" t="str">
        <f>IF(B9362=B9361,"",B9362)</f>
        <v>Sarigerme</v>
      </c>
    </row>
    <row r="9363" spans="1:6" ht="15.75" customHeight="1">
      <c r="A9363" s="5" t="str">
        <f ca="1">IFERROR(__xludf.DUMMYFUNCTION("GOOGLETRANSLATE(B42234,""en"",""pt"")"),"Sarigerme")</f>
        <v>Sarigerme</v>
      </c>
      <c r="B9363" s="17" t="s">
        <v>26687</v>
      </c>
      <c r="C9363" s="17" t="s">
        <v>26201</v>
      </c>
      <c r="D9363" s="17" t="s">
        <v>35818</v>
      </c>
      <c r="E9363" s="10">
        <v>6692524</v>
      </c>
      <c r="F9363" s="4" t="str">
        <f>IF(B9363=B9362,"",B9363)</f>
        <v/>
      </c>
    </row>
    <row r="9364" spans="1:6" ht="15.75" customHeight="1">
      <c r="A9364" s="6" t="s">
        <v>21007</v>
      </c>
      <c r="B9364" s="6" t="s">
        <v>21007</v>
      </c>
      <c r="C9364" s="6" t="s">
        <v>20598</v>
      </c>
      <c r="D9364" s="6" t="s">
        <v>20608</v>
      </c>
      <c r="E9364" s="2">
        <v>1687164</v>
      </c>
      <c r="F9364" s="4" t="str">
        <f>IF(B9364=B9363,"",B9364)</f>
        <v>Sariaya</v>
      </c>
    </row>
    <row r="9365" spans="1:6" ht="15.75" customHeight="1">
      <c r="A9365" s="5" t="str">
        <f ca="1">IFERROR(__xludf.DUMMYFUNCTION("GOOGLETRANSLATE(B38481,""en"",""pt"")"),"Sariaya")</f>
        <v>Sariaya</v>
      </c>
      <c r="B9365" s="17" t="s">
        <v>21007</v>
      </c>
      <c r="C9365" s="17" t="s">
        <v>20598</v>
      </c>
      <c r="D9365" s="17" t="s">
        <v>20608</v>
      </c>
      <c r="E9365" s="10">
        <v>1687164</v>
      </c>
      <c r="F9365" s="4" t="str">
        <f>IF(B9365=B9364,"",B9365)</f>
        <v/>
      </c>
    </row>
    <row r="9366" spans="1:6" ht="15.75" customHeight="1">
      <c r="A9366" s="6" t="s">
        <v>14537</v>
      </c>
      <c r="B9366" s="6" t="s">
        <v>14537</v>
      </c>
      <c r="C9366" s="6" t="s">
        <v>14240</v>
      </c>
      <c r="D9366" s="6" t="s">
        <v>14253</v>
      </c>
      <c r="E9366" s="2">
        <v>116996</v>
      </c>
      <c r="F9366" s="4" t="str">
        <f>IF(B9366=B9365,"",B9366)</f>
        <v>Sari</v>
      </c>
    </row>
    <row r="9367" spans="1:6" ht="15.75" customHeight="1">
      <c r="A9367" s="5" t="str">
        <f ca="1">IFERROR(__xludf.DUMMYFUNCTION("GOOGLETRANSLATE(B34374,""en"",""pt"")"),"Sari")</f>
        <v>Sari</v>
      </c>
      <c r="B9367" s="17" t="s">
        <v>14537</v>
      </c>
      <c r="C9367" s="17" t="s">
        <v>14240</v>
      </c>
      <c r="D9367" s="17" t="s">
        <v>34132</v>
      </c>
      <c r="E9367" s="10">
        <v>116996</v>
      </c>
      <c r="F9367" s="4" t="str">
        <f>IF(B9367=B9366,"",B9367)</f>
        <v/>
      </c>
    </row>
    <row r="9368" spans="1:6" ht="15.75" customHeight="1">
      <c r="A9368" s="6" t="s">
        <v>20213</v>
      </c>
      <c r="B9368" s="6" t="s">
        <v>20213</v>
      </c>
      <c r="C9368" s="6" t="s">
        <v>19808</v>
      </c>
      <c r="D9368" s="6" t="s">
        <v>10184</v>
      </c>
      <c r="E9368" s="2">
        <v>1166000</v>
      </c>
      <c r="F9368" s="4" t="str">
        <f>IF(B9368=B9367,"",B9368)</f>
        <v>Sargodha</v>
      </c>
    </row>
    <row r="9369" spans="1:6" ht="15.75" customHeight="1">
      <c r="A9369" s="5" t="str">
        <f ca="1">IFERROR(__xludf.DUMMYFUNCTION("GOOGLETRANSLATE(B38922,""en"",""pt"")"),"Sargodha")</f>
        <v>Sargodha</v>
      </c>
      <c r="B9369" s="17" t="s">
        <v>20213</v>
      </c>
      <c r="C9369" s="17" t="s">
        <v>19808</v>
      </c>
      <c r="D9369" s="17" t="s">
        <v>10184</v>
      </c>
      <c r="E9369" s="10">
        <v>1166000</v>
      </c>
      <c r="F9369" s="4" t="str">
        <f>IF(B9369=B9368,"",B9369)</f>
        <v/>
      </c>
    </row>
    <row r="9370" spans="1:6" ht="15.75" customHeight="1">
      <c r="A9370" s="6" t="s">
        <v>100</v>
      </c>
      <c r="B9370" s="6" t="s">
        <v>100</v>
      </c>
      <c r="C9370" s="6" t="s">
        <v>8</v>
      </c>
      <c r="D9370" s="6" t="s">
        <v>99</v>
      </c>
      <c r="E9370" s="2">
        <v>1127110</v>
      </c>
      <c r="F9370" s="4" t="str">
        <f>IF(B9370=B9369,"",B9370)</f>
        <v>Sar-e Pul</v>
      </c>
    </row>
    <row r="9371" spans="1:6" ht="15.75" customHeight="1">
      <c r="A9371" s="5" t="str">
        <f ca="1">IFERROR(__xludf.DUMMYFUNCTION("GOOGLETRANSLATE(B23059,""en"",""pt"")"),"Sar-e Pul")</f>
        <v>Sar-e Pul</v>
      </c>
      <c r="B9371" s="17" t="s">
        <v>100</v>
      </c>
      <c r="C9371" s="17" t="s">
        <v>8</v>
      </c>
      <c r="D9371" s="17" t="s">
        <v>99</v>
      </c>
      <c r="E9371" s="10">
        <v>1127110</v>
      </c>
      <c r="F9371" s="4" t="str">
        <f>IF(B9371=B9370,"",B9371)</f>
        <v/>
      </c>
    </row>
    <row r="9372" spans="1:6" ht="15.75" customHeight="1">
      <c r="A9372" s="5" t="s">
        <v>13249</v>
      </c>
      <c r="B9372" s="6" t="s">
        <v>13249</v>
      </c>
      <c r="C9372" s="5" t="s">
        <v>10178</v>
      </c>
      <c r="D9372" s="5" t="s">
        <v>10184</v>
      </c>
      <c r="E9372" s="2">
        <v>1257191</v>
      </c>
      <c r="F9372" s="4" t="str">
        <f>IF(B9372=B9371,"",B9372)</f>
        <v>Sardulgarh</v>
      </c>
    </row>
    <row r="9373" spans="1:6" ht="15.75" customHeight="1">
      <c r="A9373" s="5" t="str">
        <f ca="1">IFERROR(__xludf.DUMMYFUNCTION("GOOGLETRANSLATE(B32230,""en"",""pt"")"),"Sardulgarh")</f>
        <v>Sardulgarh</v>
      </c>
      <c r="B9373" s="17" t="s">
        <v>13249</v>
      </c>
      <c r="C9373" s="17" t="s">
        <v>10178</v>
      </c>
      <c r="D9373" s="17" t="s">
        <v>10184</v>
      </c>
      <c r="E9373" s="10">
        <v>1257191</v>
      </c>
      <c r="F9373" s="4" t="str">
        <f>IF(B9373=B9372,"",B9373)</f>
        <v/>
      </c>
    </row>
    <row r="9374" spans="1:6" ht="15.75" customHeight="1">
      <c r="A9374" s="6" t="s">
        <v>13248</v>
      </c>
      <c r="B9374" s="6" t="s">
        <v>13248</v>
      </c>
      <c r="C9374" s="6" t="s">
        <v>10178</v>
      </c>
      <c r="D9374" s="6" t="s">
        <v>10193</v>
      </c>
      <c r="E9374" s="2">
        <v>1257196</v>
      </c>
      <c r="F9374" s="4" t="str">
        <f>IF(B9374=B9373,"",B9374)</f>
        <v>Sardhana</v>
      </c>
    </row>
    <row r="9375" spans="1:6" ht="15.75" customHeight="1">
      <c r="A9375" s="5" t="str">
        <f ca="1">IFERROR(__xludf.DUMMYFUNCTION("GOOGLETRANSLATE(B32231,""en"",""pt"")"),"Sardhana")</f>
        <v>Sardhana</v>
      </c>
      <c r="B9375" s="17" t="s">
        <v>13248</v>
      </c>
      <c r="C9375" s="17" t="s">
        <v>10178</v>
      </c>
      <c r="D9375" s="17" t="s">
        <v>10193</v>
      </c>
      <c r="E9375" s="10">
        <v>1257196</v>
      </c>
      <c r="F9375" s="4" t="str">
        <f>IF(B9375=B9374,"",B9375)</f>
        <v/>
      </c>
    </row>
    <row r="9376" spans="1:6" ht="15.75" customHeight="1">
      <c r="A9376" s="5" t="str">
        <f ca="1">IFERROR(__xludf.DUMMYFUNCTION("GOOGLETRANSLATE(B32232,""en"",""pt"")"),"Sardārshahr")</f>
        <v>Sardārshahr</v>
      </c>
      <c r="B9376" s="17" t="s">
        <v>33111</v>
      </c>
      <c r="C9376" s="17" t="s">
        <v>10178</v>
      </c>
      <c r="D9376" s="17" t="s">
        <v>10179</v>
      </c>
      <c r="E9376" s="10">
        <v>1257198</v>
      </c>
      <c r="F9376" s="4" t="str">
        <f>IF(B9376=B9375,"",B9376)</f>
        <v>Sardārshahr</v>
      </c>
    </row>
    <row r="9377" spans="1:6" ht="15.75" customHeight="1">
      <c r="A9377" s="5" t="s">
        <v>13246</v>
      </c>
      <c r="B9377" s="6" t="s">
        <v>13247</v>
      </c>
      <c r="C9377" s="5" t="s">
        <v>10178</v>
      </c>
      <c r="D9377" s="5" t="s">
        <v>10179</v>
      </c>
      <c r="E9377" s="2">
        <v>1257198</v>
      </c>
      <c r="F9377" s="4" t="str">
        <f>IF(B9377=B9376,"",B9377)</f>
        <v>SardÄrshahr</v>
      </c>
    </row>
    <row r="9378" spans="1:6" ht="15.75" customHeight="1">
      <c r="A9378" s="6" t="s">
        <v>7810</v>
      </c>
      <c r="B9378" s="6" t="s">
        <v>7810</v>
      </c>
      <c r="C9378" s="6" t="s">
        <v>7052</v>
      </c>
      <c r="D9378" s="6" t="s">
        <v>7058</v>
      </c>
      <c r="E9378" s="2">
        <v>2976043</v>
      </c>
      <c r="F9378" s="4" t="str">
        <f>IF(B9378=B9377,"",B9378)</f>
        <v>Sarcelles</v>
      </c>
    </row>
    <row r="9379" spans="1:6" ht="15.75" customHeight="1">
      <c r="A9379" s="5" t="str">
        <f ca="1">IFERROR(__xludf.DUMMYFUNCTION("GOOGLETRANSLATE(B29767,""en"",""pt"")"),"Sarcelles")</f>
        <v>Sarcelles</v>
      </c>
      <c r="B9379" s="17" t="s">
        <v>7810</v>
      </c>
      <c r="C9379" s="17" t="s">
        <v>7052</v>
      </c>
      <c r="D9379" s="17" t="s">
        <v>32531</v>
      </c>
      <c r="E9379" s="10">
        <v>2976043</v>
      </c>
      <c r="F9379" s="4" t="str">
        <f>IF(B9379=B9378,"",B9379)</f>
        <v/>
      </c>
    </row>
    <row r="9380" spans="1:6" ht="15.75" customHeight="1">
      <c r="A9380" s="5" t="str">
        <f ca="1">IFERROR(__xludf.DUMMYFUNCTION("GOOGLETRANSLATE(B41913,""en"",""pt"")"),"Sarayköy")</f>
        <v>Sarayköy</v>
      </c>
      <c r="B9380" s="17" t="s">
        <v>35842</v>
      </c>
      <c r="C9380" s="17" t="s">
        <v>26201</v>
      </c>
      <c r="D9380" s="17" t="s">
        <v>26443</v>
      </c>
      <c r="E9380" s="10">
        <v>301827</v>
      </c>
      <c r="F9380" s="4" t="str">
        <f>IF(B9380=B9379,"",B9380)</f>
        <v>Sarayköy</v>
      </c>
    </row>
    <row r="9381" spans="1:6" ht="15.75" customHeight="1">
      <c r="A9381" s="6" t="s">
        <v>26685</v>
      </c>
      <c r="B9381" s="6" t="s">
        <v>26686</v>
      </c>
      <c r="C9381" s="6" t="s">
        <v>26201</v>
      </c>
      <c r="D9381" s="6" t="s">
        <v>26443</v>
      </c>
      <c r="E9381" s="2">
        <v>301827</v>
      </c>
      <c r="F9381" s="4" t="str">
        <f>IF(B9381=B9380,"",B9381)</f>
        <v>SaraykÃ¶y</v>
      </c>
    </row>
    <row r="9382" spans="1:6" ht="15.75" customHeight="1">
      <c r="A9382" s="6" t="s">
        <v>21006</v>
      </c>
      <c r="B9382" s="6" t="s">
        <v>21006</v>
      </c>
      <c r="C9382" s="6" t="s">
        <v>20598</v>
      </c>
      <c r="D9382" s="6" t="s">
        <v>20627</v>
      </c>
      <c r="E9382" s="2">
        <v>1713857</v>
      </c>
      <c r="F9382" s="4" t="str">
        <f>IF(B9382=B9381,"",B9382)</f>
        <v>Saravia</v>
      </c>
    </row>
    <row r="9383" spans="1:6" ht="15.75" customHeight="1">
      <c r="A9383" s="5" t="str">
        <f ca="1">IFERROR(__xludf.DUMMYFUNCTION("GOOGLETRANSLATE(B38725,""en"",""pt"")"),"Saravia")</f>
        <v>Saravia</v>
      </c>
      <c r="B9383" s="17" t="s">
        <v>21006</v>
      </c>
      <c r="C9383" s="17" t="s">
        <v>20598</v>
      </c>
      <c r="D9383" s="17" t="s">
        <v>20627</v>
      </c>
      <c r="E9383" s="10">
        <v>1713857</v>
      </c>
      <c r="F9383" s="4" t="str">
        <f>IF(B9383=B9382,"",B9383)</f>
        <v/>
      </c>
    </row>
    <row r="9384" spans="1:6" ht="15.75" customHeight="1">
      <c r="A9384" s="6" t="s">
        <v>13245</v>
      </c>
      <c r="B9384" s="6" t="s">
        <v>13245</v>
      </c>
      <c r="C9384" s="6" t="s">
        <v>10178</v>
      </c>
      <c r="D9384" s="6" t="s">
        <v>10193</v>
      </c>
      <c r="E9384" s="2">
        <v>1257219</v>
      </c>
      <c r="F9384" s="4" t="str">
        <f>IF(B9384=B9383,"",B9384)</f>
        <v>Sarauli</v>
      </c>
    </row>
    <row r="9385" spans="1:6" ht="15.75" customHeight="1">
      <c r="A9385" s="5" t="str">
        <f ca="1">IFERROR(__xludf.DUMMYFUNCTION("GOOGLETRANSLATE(B32233,""en"",""pt"")"),"Sarauli")</f>
        <v>Sarauli</v>
      </c>
      <c r="B9385" s="17" t="s">
        <v>13245</v>
      </c>
      <c r="C9385" s="17" t="s">
        <v>10178</v>
      </c>
      <c r="D9385" s="17" t="s">
        <v>10193</v>
      </c>
      <c r="E9385" s="10">
        <v>1257219</v>
      </c>
      <c r="F9385" s="4" t="str">
        <f>IF(B9385=B9384,"",B9385)</f>
        <v/>
      </c>
    </row>
    <row r="9386" spans="1:6" ht="15.75" customHeight="1">
      <c r="A9386" s="6" t="s">
        <v>22171</v>
      </c>
      <c r="B9386" s="6" t="s">
        <v>22171</v>
      </c>
      <c r="C9386" s="6" t="s">
        <v>22070</v>
      </c>
      <c r="D9386" s="6" t="s">
        <v>22171</v>
      </c>
      <c r="E9386" s="2">
        <v>498677</v>
      </c>
      <c r="F9386" s="4" t="str">
        <f>IF(B9386=B9385,"",B9386)</f>
        <v>Saratov</v>
      </c>
    </row>
    <row r="9387" spans="1:6" ht="15.75" customHeight="1">
      <c r="A9387" s="5" t="str">
        <f ca="1">IFERROR(__xludf.DUMMYFUNCTION("GOOGLETRANSLATE(B40135,""en"",""pt"")"),"Saratov")</f>
        <v>Saratov</v>
      </c>
      <c r="B9387" s="17" t="s">
        <v>22171</v>
      </c>
      <c r="C9387" s="17" t="s">
        <v>22070</v>
      </c>
      <c r="D9387" s="17" t="s">
        <v>22171</v>
      </c>
      <c r="E9387" s="10">
        <v>498677</v>
      </c>
      <c r="F9387" s="4" t="str">
        <f>IF(B9387=B9386,"",B9387)</f>
        <v/>
      </c>
    </row>
    <row r="9388" spans="1:6" ht="15.75" customHeight="1">
      <c r="A9388" s="5" t="s">
        <v>29919</v>
      </c>
      <c r="B9388" s="6" t="s">
        <v>29919</v>
      </c>
      <c r="C9388" s="5" t="s">
        <v>27788</v>
      </c>
      <c r="D9388" s="5" t="s">
        <v>27819</v>
      </c>
      <c r="E9388" s="2">
        <v>5136334</v>
      </c>
      <c r="F9388" s="4" t="str">
        <f>IF(B9388=B9387,"",B9388)</f>
        <v>Saratoga Springs</v>
      </c>
    </row>
    <row r="9389" spans="1:6" ht="15.75" customHeight="1">
      <c r="A9389" s="5" t="s">
        <v>29919</v>
      </c>
      <c r="B9389" s="6" t="s">
        <v>29919</v>
      </c>
      <c r="C9389" s="5" t="s">
        <v>27788</v>
      </c>
      <c r="D9389" s="5" t="s">
        <v>27856</v>
      </c>
      <c r="E9389" s="2">
        <v>5781087</v>
      </c>
      <c r="F9389" s="4" t="str">
        <f>IF(B9389=B9388,"",B9389)</f>
        <v/>
      </c>
    </row>
    <row r="9390" spans="1:6" ht="15.75" customHeight="1">
      <c r="A9390" s="5" t="str">
        <f ca="1">IFERROR(__xludf.DUMMYFUNCTION("GOOGLETRANSLATE(B44446,""en"",""pt"")"),"Saratoga Springs")</f>
        <v>Saratoga Springs</v>
      </c>
      <c r="B9390" s="17" t="s">
        <v>29919</v>
      </c>
      <c r="C9390" s="17" t="s">
        <v>27788</v>
      </c>
      <c r="D9390" s="17" t="s">
        <v>27819</v>
      </c>
      <c r="E9390" s="10">
        <v>5136334</v>
      </c>
      <c r="F9390" s="4" t="str">
        <f>IF(B9390=B9389,"",B9390)</f>
        <v/>
      </c>
    </row>
    <row r="9391" spans="1:6" ht="15.75" customHeight="1">
      <c r="A9391" s="5" t="str">
        <f ca="1">IFERROR(__xludf.DUMMYFUNCTION("GOOGLETRANSLATE(B45301,""en"",""pt"")"),"Saratoga Springs")</f>
        <v>Saratoga Springs</v>
      </c>
      <c r="B9391" s="17" t="s">
        <v>29919</v>
      </c>
      <c r="C9391" s="17" t="s">
        <v>27788</v>
      </c>
      <c r="D9391" s="17" t="s">
        <v>27856</v>
      </c>
      <c r="E9391" s="10">
        <v>5781087</v>
      </c>
      <c r="F9391" s="4" t="str">
        <f>IF(B9391=B9390,"",B9391)</f>
        <v/>
      </c>
    </row>
    <row r="9392" spans="1:6" ht="15.75" customHeight="1">
      <c r="A9392" s="6" t="s">
        <v>29918</v>
      </c>
      <c r="B9392" s="6" t="s">
        <v>29918</v>
      </c>
      <c r="C9392" s="6" t="s">
        <v>27788</v>
      </c>
      <c r="D9392" s="6" t="s">
        <v>27801</v>
      </c>
      <c r="E9392" s="2">
        <v>5393485</v>
      </c>
      <c r="F9392" s="4" t="str">
        <f>IF(B9392=B9391,"",B9392)</f>
        <v>Saratoga</v>
      </c>
    </row>
    <row r="9393" spans="1:6" ht="15.75" customHeight="1">
      <c r="A9393" s="5" t="str">
        <f ca="1">IFERROR(__xludf.DUMMYFUNCTION("GOOGLETRANSLATE(B45031,""en"",""pt"")"),"Saratoga")</f>
        <v>Saratoga</v>
      </c>
      <c r="B9393" s="17" t="s">
        <v>29918</v>
      </c>
      <c r="C9393" s="17" t="s">
        <v>27788</v>
      </c>
      <c r="D9393" s="17" t="s">
        <v>27801</v>
      </c>
      <c r="E9393" s="10">
        <v>5393485</v>
      </c>
      <c r="F9393" s="4" t="str">
        <f>IF(B9393=B9392,"",B9393)</f>
        <v/>
      </c>
    </row>
    <row r="9394" spans="1:6" ht="15.75" customHeight="1">
      <c r="A9394" s="6" t="s">
        <v>29917</v>
      </c>
      <c r="B9394" s="6" t="s">
        <v>29917</v>
      </c>
      <c r="C9394" s="6" t="s">
        <v>27788</v>
      </c>
      <c r="D9394" s="6" t="s">
        <v>5468</v>
      </c>
      <c r="E9394" s="2">
        <v>4172131</v>
      </c>
      <c r="F9394" s="4" t="str">
        <f>IF(B9394=B9393,"",B9394)</f>
        <v>Sarasota</v>
      </c>
    </row>
    <row r="9395" spans="1:6" ht="15.75" customHeight="1">
      <c r="A9395" s="5" t="str">
        <f ca="1">IFERROR(__xludf.DUMMYFUNCTION("GOOGLETRANSLATE(B43013,""en"",""pt"")"),"Sarasota")</f>
        <v>Sarasota</v>
      </c>
      <c r="B9395" s="17" t="s">
        <v>29917</v>
      </c>
      <c r="C9395" s="17" t="s">
        <v>27788</v>
      </c>
      <c r="D9395" s="17" t="s">
        <v>5468</v>
      </c>
      <c r="E9395" s="10">
        <v>4172131</v>
      </c>
      <c r="F9395" s="4" t="str">
        <f>IF(B9395=B9394,"",B9395)</f>
        <v/>
      </c>
    </row>
    <row r="9396" spans="1:6" ht="15.75" customHeight="1">
      <c r="A9396" s="5" t="str">
        <f ca="1">IFERROR(__xludf.DUMMYFUNCTION("GOOGLETRANSLATE(B41403,""en"",""pt"")"),"Sarāqib")</f>
        <v>Sarāqib</v>
      </c>
      <c r="B9396" s="17" t="s">
        <v>35730</v>
      </c>
      <c r="C9396" s="17" t="s">
        <v>25366</v>
      </c>
      <c r="D9396" s="17" t="s">
        <v>25392</v>
      </c>
      <c r="E9396" s="10">
        <v>164816</v>
      </c>
      <c r="F9396" s="4" t="str">
        <f>IF(B9396=B9395,"",B9396)</f>
        <v>Sarāqib</v>
      </c>
    </row>
    <row r="9397" spans="1:6" ht="15.75" customHeight="1">
      <c r="A9397" s="6" t="s">
        <v>23031</v>
      </c>
      <c r="B9397" s="6" t="s">
        <v>23031</v>
      </c>
      <c r="C9397" s="6" t="s">
        <v>22070</v>
      </c>
      <c r="D9397" s="6" t="s">
        <v>22189</v>
      </c>
      <c r="E9397" s="2">
        <v>498687</v>
      </c>
      <c r="F9397" s="4" t="str">
        <f>IF(B9397=B9396,"",B9397)</f>
        <v>Sarapul</v>
      </c>
    </row>
    <row r="9398" spans="1:6" ht="15.75" customHeight="1">
      <c r="A9398" s="5" t="str">
        <f ca="1">IFERROR(__xludf.DUMMYFUNCTION("GOOGLETRANSLATE(B40136,""en"",""pt"")"),"Sarapul")</f>
        <v>Sarapul</v>
      </c>
      <c r="B9398" s="17" t="s">
        <v>23031</v>
      </c>
      <c r="C9398" s="17" t="s">
        <v>22070</v>
      </c>
      <c r="D9398" s="17" t="s">
        <v>22189</v>
      </c>
      <c r="E9398" s="10">
        <v>498687</v>
      </c>
      <c r="F9398" s="4" t="str">
        <f>IF(B9398=B9397,"",B9398)</f>
        <v/>
      </c>
    </row>
    <row r="9399" spans="1:6" ht="15.75" customHeight="1">
      <c r="A9399" s="6" t="s">
        <v>23030</v>
      </c>
      <c r="B9399" s="6" t="s">
        <v>23030</v>
      </c>
      <c r="C9399" s="6" t="s">
        <v>22070</v>
      </c>
      <c r="D9399" s="6" t="s">
        <v>22585</v>
      </c>
      <c r="E9399" s="2">
        <v>498698</v>
      </c>
      <c r="F9399" s="4" t="str">
        <f>IF(B9399=B9398,"",B9399)</f>
        <v>Saransk</v>
      </c>
    </row>
    <row r="9400" spans="1:6" ht="15.75" customHeight="1">
      <c r="A9400" s="5" t="str">
        <f ca="1">IFERROR(__xludf.DUMMYFUNCTION("GOOGLETRANSLATE(B40137,""en"",""pt"")"),"Saransk")</f>
        <v>Saransk</v>
      </c>
      <c r="B9400" s="17" t="s">
        <v>23030</v>
      </c>
      <c r="C9400" s="17" t="s">
        <v>22070</v>
      </c>
      <c r="D9400" s="17" t="s">
        <v>22585</v>
      </c>
      <c r="E9400" s="10">
        <v>498698</v>
      </c>
      <c r="F9400" s="4" t="str">
        <f>IF(B9400=B9399,"",B9400)</f>
        <v/>
      </c>
    </row>
    <row r="9401" spans="1:6" ht="15.75" customHeight="1">
      <c r="A9401" s="5" t="s">
        <v>1430</v>
      </c>
      <c r="B9401" s="6" t="s">
        <v>1430</v>
      </c>
      <c r="C9401" s="5" t="s">
        <v>1296</v>
      </c>
      <c r="D9401" s="5" t="s">
        <v>1315</v>
      </c>
      <c r="E9401" s="2">
        <v>1185239</v>
      </c>
      <c r="F9401" s="4" t="str">
        <f>IF(B9401=B9400,"",B9401)</f>
        <v>Sarankhola</v>
      </c>
    </row>
    <row r="9402" spans="1:6" ht="15.75" customHeight="1">
      <c r="A9402" s="5" t="str">
        <f ca="1">IFERROR(__xludf.DUMMYFUNCTION("GOOGLETRANSLATE(B23737,""en"",""pt"")"),"Sarankhola")</f>
        <v>Sarankhola</v>
      </c>
      <c r="B9402" s="17" t="s">
        <v>1430</v>
      </c>
      <c r="C9402" s="17" t="s">
        <v>1296</v>
      </c>
      <c r="D9402" s="17" t="s">
        <v>1315</v>
      </c>
      <c r="E9402" s="10">
        <v>1185239</v>
      </c>
      <c r="F9402" s="4" t="str">
        <f>IF(B9402=B9401,"",B9402)</f>
        <v/>
      </c>
    </row>
    <row r="9403" spans="1:6" ht="15.75" customHeight="1">
      <c r="A9403" s="5" t="str">
        <f ca="1">IFERROR(__xludf.DUMMYFUNCTION("GOOGLETRANSLATE(B32234,""en"",""pt"")"),"Sārangpur")</f>
        <v>Sārangpur</v>
      </c>
      <c r="B9403" s="17" t="s">
        <v>33112</v>
      </c>
      <c r="C9403" s="17" t="s">
        <v>10178</v>
      </c>
      <c r="D9403" s="17" t="s">
        <v>10219</v>
      </c>
      <c r="E9403" s="10">
        <v>1257237</v>
      </c>
      <c r="F9403" s="4" t="str">
        <f>IF(B9403=B9402,"",B9403)</f>
        <v>Sārangpur</v>
      </c>
    </row>
    <row r="9404" spans="1:6" ht="15.75" customHeight="1">
      <c r="A9404" s="6" t="s">
        <v>3458</v>
      </c>
      <c r="B9404" s="6" t="s">
        <v>3458</v>
      </c>
      <c r="C9404" s="6" t="s">
        <v>1905</v>
      </c>
      <c r="D9404" s="6" t="s">
        <v>1951</v>
      </c>
      <c r="E9404" s="2">
        <v>3447997</v>
      </c>
      <c r="F9404" s="4" t="str">
        <f>IF(B9404=B9403,"",B9404)</f>
        <v>Sarandi</v>
      </c>
    </row>
    <row r="9405" spans="1:6" ht="15.75" customHeight="1">
      <c r="A9405" s="6" t="s">
        <v>3458</v>
      </c>
      <c r="B9405" s="6" t="s">
        <v>3458</v>
      </c>
      <c r="C9405" s="6" t="s">
        <v>1905</v>
      </c>
      <c r="D9405" s="6" t="s">
        <v>728</v>
      </c>
      <c r="E9405" s="2">
        <v>3447998</v>
      </c>
      <c r="F9405" s="4" t="str">
        <f>IF(B9405=B9404,"",B9405)</f>
        <v/>
      </c>
    </row>
    <row r="9406" spans="1:6" ht="15.75" customHeight="1">
      <c r="A9406" s="5" t="str">
        <f ca="1">IFERROR(__xludf.DUMMYFUNCTION("GOOGLETRANSLATE(B24533,""en"",""pt"")"),"Sarandi")</f>
        <v>Sarandi</v>
      </c>
      <c r="B9406" s="17" t="s">
        <v>3458</v>
      </c>
      <c r="C9406" s="17" t="s">
        <v>1905</v>
      </c>
      <c r="D9406" s="17" t="s">
        <v>1951</v>
      </c>
      <c r="E9406" s="10">
        <v>3447997</v>
      </c>
      <c r="F9406" s="4" t="str">
        <f>IF(B9406=B9405,"",B9406)</f>
        <v/>
      </c>
    </row>
    <row r="9407" spans="1:6" ht="15.75" customHeight="1">
      <c r="A9407" s="5" t="str">
        <f ca="1">IFERROR(__xludf.DUMMYFUNCTION("GOOGLETRANSLATE(B24534,""en"",""pt"")"),"Sarandi")</f>
        <v>Sarandi</v>
      </c>
      <c r="B9407" s="17" t="s">
        <v>3458</v>
      </c>
      <c r="C9407" s="17" t="s">
        <v>1905</v>
      </c>
      <c r="D9407" s="17" t="s">
        <v>727</v>
      </c>
      <c r="E9407" s="10">
        <v>3447998</v>
      </c>
      <c r="F9407" s="4" t="str">
        <f>IF(B9407=B9406,"",B9407)</f>
        <v/>
      </c>
    </row>
    <row r="9408" spans="1:6" ht="15.75" customHeight="1">
      <c r="A9408" s="5" t="str">
        <f ca="1">IFERROR(__xludf.DUMMYFUNCTION("GOOGLETRANSLATE(B23104,""en"",""pt"")"),"Sarandë")</f>
        <v>Sarandë</v>
      </c>
      <c r="B9408" s="17" t="s">
        <v>31144</v>
      </c>
      <c r="C9408" s="17" t="s">
        <v>113</v>
      </c>
      <c r="D9408" s="17" t="s">
        <v>31145</v>
      </c>
      <c r="E9408" s="10">
        <v>363243</v>
      </c>
      <c r="F9408" s="4" t="str">
        <f>IF(B9408=B9407,"",B9408)</f>
        <v>Sarandë</v>
      </c>
    </row>
    <row r="9409" spans="1:6" ht="15.75" customHeight="1">
      <c r="A9409" s="5" t="s">
        <v>144</v>
      </c>
      <c r="B9409" s="6" t="s">
        <v>145</v>
      </c>
      <c r="C9409" s="5" t="s">
        <v>113</v>
      </c>
      <c r="D9409" s="5" t="s">
        <v>146</v>
      </c>
      <c r="E9409" s="2">
        <v>363243</v>
      </c>
      <c r="F9409" s="4" t="str">
        <f>IF(B9409=B9408,"",B9409)</f>
        <v>SarandÃ«</v>
      </c>
    </row>
    <row r="9410" spans="1:6" ht="15.75" customHeight="1">
      <c r="A9410" s="6" t="s">
        <v>7809</v>
      </c>
      <c r="B9410" s="6" t="s">
        <v>7809</v>
      </c>
      <c r="C9410" s="6" t="s">
        <v>7052</v>
      </c>
      <c r="D9410" s="6" t="s">
        <v>3813</v>
      </c>
      <c r="E9410" s="2">
        <v>2976050</v>
      </c>
      <c r="F9410" s="4" t="str">
        <f>IF(B9410=B9409,"",B9410)</f>
        <v>Saran</v>
      </c>
    </row>
    <row r="9411" spans="1:6" ht="15.75" customHeight="1">
      <c r="A9411" s="5" t="str">
        <f ca="1">IFERROR(__xludf.DUMMYFUNCTION("GOOGLETRANSLATE(B29768,""en"",""pt"")"),"Saran")</f>
        <v>Saran</v>
      </c>
      <c r="B9411" s="17" t="s">
        <v>7809</v>
      </c>
      <c r="C9411" s="17" t="s">
        <v>7052</v>
      </c>
      <c r="D9411" s="17" t="s">
        <v>3813</v>
      </c>
      <c r="E9411" s="10">
        <v>2976050</v>
      </c>
      <c r="F9411" s="4" t="str">
        <f>IF(B9411=B9410,"",B9411)</f>
        <v/>
      </c>
    </row>
    <row r="9412" spans="1:6" ht="15.75" customHeight="1">
      <c r="A9412" s="6" t="s">
        <v>23029</v>
      </c>
      <c r="B9412" s="6" t="s">
        <v>23029</v>
      </c>
      <c r="C9412" s="6" t="s">
        <v>22070</v>
      </c>
      <c r="D9412" s="6" t="s">
        <v>22075</v>
      </c>
      <c r="E9412" s="2">
        <v>498708</v>
      </c>
      <c r="F9412" s="4" t="str">
        <f>IF(B9412=B9411,"",B9412)</f>
        <v>Saraktash</v>
      </c>
    </row>
    <row r="9413" spans="1:6" ht="15.75" customHeight="1">
      <c r="A9413" s="5" t="str">
        <f ca="1">IFERROR(__xludf.DUMMYFUNCTION("GOOGLETRANSLATE(B40138,""en"",""pt"")"),"Saraktash")</f>
        <v>Saraktash</v>
      </c>
      <c r="B9413" s="17" t="s">
        <v>23029</v>
      </c>
      <c r="C9413" s="17" t="s">
        <v>22070</v>
      </c>
      <c r="D9413" s="17" t="s">
        <v>22075</v>
      </c>
      <c r="E9413" s="10">
        <v>498708</v>
      </c>
      <c r="F9413" s="4" t="str">
        <f>IF(B9413=B9412,"",B9413)</f>
        <v/>
      </c>
    </row>
    <row r="9414" spans="1:6" ht="15.75" customHeight="1">
      <c r="A9414" s="6" t="s">
        <v>14536</v>
      </c>
      <c r="B9414" s="6" t="s">
        <v>14536</v>
      </c>
      <c r="C9414" s="6" t="s">
        <v>14240</v>
      </c>
      <c r="D9414" s="6" t="s">
        <v>14351</v>
      </c>
      <c r="E9414" s="2">
        <v>1159716</v>
      </c>
      <c r="F9414" s="4" t="str">
        <f>IF(B9414=B9413,"",B9414)</f>
        <v>Sarakhs</v>
      </c>
    </row>
    <row r="9415" spans="1:6" ht="15.75" customHeight="1">
      <c r="A9415" s="5" t="str">
        <f ca="1">IFERROR(__xludf.DUMMYFUNCTION("GOOGLETRANSLATE(B34528,""en"",""pt"")"),"Sarakhs")</f>
        <v>Sarakhs</v>
      </c>
      <c r="B9415" s="17" t="s">
        <v>14536</v>
      </c>
      <c r="C9415" s="17" t="s">
        <v>14240</v>
      </c>
      <c r="D9415" s="17" t="s">
        <v>14351</v>
      </c>
      <c r="E9415" s="10">
        <v>1159716</v>
      </c>
      <c r="F9415" s="4" t="str">
        <f>IF(B9415=B9414,"",B9415)</f>
        <v/>
      </c>
    </row>
    <row r="9416" spans="1:6" ht="15.75" customHeight="1">
      <c r="A9416" s="6" t="s">
        <v>1868</v>
      </c>
      <c r="B9416" s="6" t="s">
        <v>1868</v>
      </c>
      <c r="C9416" s="6" t="s">
        <v>1845</v>
      </c>
      <c r="D9416" s="6" t="s">
        <v>1849</v>
      </c>
      <c r="E9416" s="2">
        <v>3191281</v>
      </c>
      <c r="F9416" s="4" t="str">
        <f>IF(B9416=B9415,"",B9416)</f>
        <v>Sarajevo</v>
      </c>
    </row>
    <row r="9417" spans="1:6" ht="15.75" customHeight="1">
      <c r="A9417" s="5" t="str">
        <f ca="1">IFERROR(__xludf.DUMMYFUNCTION("GOOGLETRANSLATE(B23677,""en"",""pt"")"),"Sarajevo")</f>
        <v>Sarajevo</v>
      </c>
      <c r="B9417" s="17" t="s">
        <v>1868</v>
      </c>
      <c r="C9417" s="17" t="s">
        <v>1845</v>
      </c>
      <c r="D9417" s="17" t="s">
        <v>1849</v>
      </c>
      <c r="E9417" s="10">
        <v>3191281</v>
      </c>
      <c r="F9417" s="4" t="str">
        <f>IF(B9417=B9416,"",B9417)</f>
        <v/>
      </c>
    </row>
    <row r="9418" spans="1:6" ht="15.75" customHeight="1">
      <c r="A9418" s="6" t="s">
        <v>13244</v>
      </c>
      <c r="B9418" s="6" t="s">
        <v>13244</v>
      </c>
      <c r="C9418" s="6" t="s">
        <v>10178</v>
      </c>
      <c r="D9418" s="6" t="s">
        <v>10272</v>
      </c>
      <c r="E9418" s="2">
        <v>1257259</v>
      </c>
      <c r="F9418" s="4" t="str">
        <f>IF(B9418=B9417,"",B9418)</f>
        <v>Saraipali</v>
      </c>
    </row>
    <row r="9419" spans="1:6" ht="15.75" customHeight="1">
      <c r="A9419" s="5" t="str">
        <f ca="1">IFERROR(__xludf.DUMMYFUNCTION("GOOGLETRANSLATE(B32235,""en"",""pt"")"),"Saraipali")</f>
        <v>Saraipali</v>
      </c>
      <c r="B9419" s="17" t="s">
        <v>13244</v>
      </c>
      <c r="C9419" s="17" t="s">
        <v>10178</v>
      </c>
      <c r="D9419" s="17" t="s">
        <v>10272</v>
      </c>
      <c r="E9419" s="10">
        <v>1257259</v>
      </c>
      <c r="F9419" s="4" t="str">
        <f>IF(B9419=B9418,"",B9419)</f>
        <v/>
      </c>
    </row>
    <row r="9420" spans="1:6" ht="15.75" customHeight="1">
      <c r="A9420" s="5" t="str">
        <f ca="1">IFERROR(__xludf.DUMMYFUNCTION("GOOGLETRANSLATE(B38923,""en"",""pt"")"),"Sarāi Sidhu")</f>
        <v>Sarāi Sidhu</v>
      </c>
      <c r="B9420" s="17" t="s">
        <v>34917</v>
      </c>
      <c r="C9420" s="17" t="s">
        <v>19808</v>
      </c>
      <c r="D9420" s="17" t="s">
        <v>10184</v>
      </c>
      <c r="E9420" s="10">
        <v>1166062</v>
      </c>
      <c r="F9420" s="4" t="str">
        <f>IF(B9420=B9419,"",B9420)</f>
        <v>Sarāi Sidhu</v>
      </c>
    </row>
    <row r="9421" spans="1:6" ht="15.75" customHeight="1">
      <c r="A9421" s="5" t="str">
        <f ca="1">IFERROR(__xludf.DUMMYFUNCTION("GOOGLETRANSLATE(B38924,""en"",""pt"")"),"Sarāi Naurang")</f>
        <v>Sarāi Naurang</v>
      </c>
      <c r="B9421" s="17" t="s">
        <v>34918</v>
      </c>
      <c r="C9421" s="17" t="s">
        <v>19808</v>
      </c>
      <c r="D9421" s="17" t="s">
        <v>19811</v>
      </c>
      <c r="E9421" s="10">
        <v>1166066</v>
      </c>
      <c r="F9421" s="4" t="str">
        <f>IF(B9421=B9420,"",B9421)</f>
        <v>Sarāi Naurang</v>
      </c>
    </row>
    <row r="9422" spans="1:6" ht="15.75" customHeight="1">
      <c r="A9422" s="5" t="str">
        <f ca="1">IFERROR(__xludf.DUMMYFUNCTION("GOOGLETRANSLATE(B32236,""en"",""pt"")"),"Sarāi Mīr")</f>
        <v>Sarāi Mīr</v>
      </c>
      <c r="B9422" s="17" t="s">
        <v>33113</v>
      </c>
      <c r="C9422" s="17" t="s">
        <v>10178</v>
      </c>
      <c r="D9422" s="17" t="s">
        <v>10193</v>
      </c>
      <c r="E9422" s="10">
        <v>1257260</v>
      </c>
      <c r="F9422" s="4" t="str">
        <f>IF(B9422=B9421,"",B9422)</f>
        <v>Sarāi Mīr</v>
      </c>
    </row>
    <row r="9423" spans="1:6" ht="15.75" customHeight="1">
      <c r="A9423" s="5" t="str">
        <f ca="1">IFERROR(__xludf.DUMMYFUNCTION("GOOGLETRANSLATE(B38925,""en"",""pt"")"),"Sarāi ālamgīr")</f>
        <v>Sarāi ālamgīr</v>
      </c>
      <c r="B9423" s="17" t="s">
        <v>34919</v>
      </c>
      <c r="C9423" s="17" t="s">
        <v>19808</v>
      </c>
      <c r="D9423" s="17" t="s">
        <v>10184</v>
      </c>
      <c r="E9423" s="10">
        <v>1166073</v>
      </c>
      <c r="F9423" s="4" t="str">
        <f>IF(B9423=B9422,"",B9423)</f>
        <v>Sarāi Ālamgīr</v>
      </c>
    </row>
    <row r="9424" spans="1:6" ht="15.75" customHeight="1">
      <c r="A9424" s="5" t="str">
        <f ca="1">IFERROR(__xludf.DUMMYFUNCTION("GOOGLETRANSLATE(B32237,""en"",""pt"")"),"Sarāi ākil")</f>
        <v>Sarāi ākil</v>
      </c>
      <c r="B9424" s="17" t="s">
        <v>33114</v>
      </c>
      <c r="C9424" s="17" t="s">
        <v>10178</v>
      </c>
      <c r="D9424" s="17" t="s">
        <v>10193</v>
      </c>
      <c r="E9424" s="10">
        <v>1257268</v>
      </c>
      <c r="F9424" s="4" t="str">
        <f>IF(B9424=B9423,"",B9424)</f>
        <v>Sarāi Ākil</v>
      </c>
    </row>
    <row r="9425" spans="1:6" ht="15.75" customHeight="1">
      <c r="A9425" s="6" t="s">
        <v>25988</v>
      </c>
      <c r="B9425" s="6" t="s">
        <v>25988</v>
      </c>
      <c r="C9425" s="6" t="s">
        <v>25771</v>
      </c>
      <c r="D9425" s="6" t="s">
        <v>25797</v>
      </c>
      <c r="E9425" s="2">
        <v>1606418</v>
      </c>
      <c r="F9425" s="4" t="str">
        <f>IF(B9425=B9424,"",B9425)</f>
        <v>Saraburi</v>
      </c>
    </row>
    <row r="9426" spans="1:6" ht="15.75" customHeight="1">
      <c r="A9426" s="5" t="str">
        <f ca="1">IFERROR(__xludf.DUMMYFUNCTION("GOOGLETRANSLATE(B41610,""en"",""pt"")"),"Saraburi")</f>
        <v>Saraburi</v>
      </c>
      <c r="B9426" s="17" t="s">
        <v>25988</v>
      </c>
      <c r="C9426" s="17" t="s">
        <v>25771</v>
      </c>
      <c r="D9426" s="17" t="s">
        <v>25797</v>
      </c>
      <c r="E9426" s="10">
        <v>1606418</v>
      </c>
      <c r="F9426" s="4" t="str">
        <f>IF(B9426=B9425,"",B9426)</f>
        <v/>
      </c>
    </row>
    <row r="9427" spans="1:6" ht="15.75" customHeight="1">
      <c r="A9427" s="6" t="s">
        <v>25483</v>
      </c>
      <c r="B9427" s="6" t="s">
        <v>25484</v>
      </c>
      <c r="C9427" s="6" t="s">
        <v>25366</v>
      </c>
      <c r="D9427" s="6" t="s">
        <v>25392</v>
      </c>
      <c r="E9427" s="2">
        <v>164816</v>
      </c>
      <c r="F9427" s="4" t="str">
        <f>IF(B9427=B9426,"",B9427)</f>
        <v>SarÄqib</v>
      </c>
    </row>
    <row r="9428" spans="1:6" ht="15.75" customHeight="1">
      <c r="A9428" s="5" t="s">
        <v>20211</v>
      </c>
      <c r="B9428" s="6" t="s">
        <v>20212</v>
      </c>
      <c r="C9428" s="5" t="s">
        <v>19808</v>
      </c>
      <c r="D9428" s="5" t="s">
        <v>10184</v>
      </c>
      <c r="E9428" s="2">
        <v>1166062</v>
      </c>
      <c r="F9428" s="4" t="str">
        <f>IF(B9428=B9427,"",B9428)</f>
        <v>SarÄi Sidhu</v>
      </c>
    </row>
    <row r="9429" spans="1:6" ht="15.75" customHeight="1">
      <c r="A9429" s="5" t="s">
        <v>20209</v>
      </c>
      <c r="B9429" s="6" t="s">
        <v>20210</v>
      </c>
      <c r="C9429" s="5" t="s">
        <v>19808</v>
      </c>
      <c r="D9429" s="5" t="s">
        <v>19811</v>
      </c>
      <c r="E9429" s="2">
        <v>1166066</v>
      </c>
      <c r="F9429" s="4" t="str">
        <f>IF(B9429=B9428,"",B9429)</f>
        <v>SarÄi Naurang</v>
      </c>
    </row>
    <row r="9430" spans="1:6" ht="15.75" customHeight="1">
      <c r="A9430" s="5" t="s">
        <v>13242</v>
      </c>
      <c r="B9430" s="6" t="s">
        <v>13243</v>
      </c>
      <c r="C9430" s="5" t="s">
        <v>10178</v>
      </c>
      <c r="D9430" s="5" t="s">
        <v>10193</v>
      </c>
      <c r="E9430" s="2">
        <v>1257260</v>
      </c>
      <c r="F9430" s="4" t="str">
        <f>IF(B9430=B9429,"",B9430)</f>
        <v>SarÄi MÄ«r</v>
      </c>
    </row>
    <row r="9431" spans="1:6" ht="15.75" customHeight="1">
      <c r="A9431" s="5" t="s">
        <v>20207</v>
      </c>
      <c r="B9431" s="6" t="s">
        <v>20208</v>
      </c>
      <c r="C9431" s="5" t="s">
        <v>19808</v>
      </c>
      <c r="D9431" s="5" t="s">
        <v>10184</v>
      </c>
      <c r="E9431" s="2">
        <v>1166073</v>
      </c>
      <c r="F9431" s="4" t="str">
        <f>IF(B9431=B9430,"",B9431)</f>
        <v>SarÄi Ä€lamgÄ«r</v>
      </c>
    </row>
    <row r="9432" spans="1:6" ht="15.75" customHeight="1">
      <c r="A9432" s="5" t="s">
        <v>13240</v>
      </c>
      <c r="B9432" s="6" t="s">
        <v>13241</v>
      </c>
      <c r="C9432" s="5" t="s">
        <v>10178</v>
      </c>
      <c r="D9432" s="5" t="s">
        <v>10193</v>
      </c>
      <c r="E9432" s="2">
        <v>1257268</v>
      </c>
      <c r="F9432" s="4" t="str">
        <f>IF(B9432=B9431,"",B9432)</f>
        <v>SarÄi Ä€kil</v>
      </c>
    </row>
    <row r="9433" spans="1:6" ht="15.75" customHeight="1">
      <c r="A9433" s="5" t="s">
        <v>26683</v>
      </c>
      <c r="B9433" s="6" t="s">
        <v>26684</v>
      </c>
      <c r="C9433" s="5" t="s">
        <v>26201</v>
      </c>
      <c r="D9433" s="5" t="s">
        <v>26570</v>
      </c>
      <c r="E9433" s="2">
        <v>740088</v>
      </c>
      <c r="F9433" s="4" t="str">
        <f>IF(B9433=B9432,"",B9433)</f>
        <v>SarÄ±kamÄ±ÅŸ</v>
      </c>
    </row>
    <row r="9434" spans="1:6" ht="15.75" customHeight="1">
      <c r="A9434" s="5" t="s">
        <v>3457</v>
      </c>
      <c r="B9434" s="6" t="s">
        <v>3457</v>
      </c>
      <c r="C9434" s="5" t="s">
        <v>1905</v>
      </c>
      <c r="D9434" s="5" t="s">
        <v>1978</v>
      </c>
      <c r="E9434" s="2">
        <v>3448011</v>
      </c>
      <c r="F9434" s="4" t="str">
        <f>IF(B9434=B9433,"",B9434)</f>
        <v>Saquarema</v>
      </c>
    </row>
    <row r="9435" spans="1:6" ht="15.75" customHeight="1">
      <c r="A9435" s="5" t="str">
        <f ca="1">IFERROR(__xludf.DUMMYFUNCTION("GOOGLETRANSLATE(B24535,""en"",""pt"")"),"Saquarema")</f>
        <v>Saquarema</v>
      </c>
      <c r="B9435" s="17" t="s">
        <v>3457</v>
      </c>
      <c r="C9435" s="17" t="s">
        <v>1905</v>
      </c>
      <c r="D9435" s="17" t="s">
        <v>1978</v>
      </c>
      <c r="E9435" s="10">
        <v>3448011</v>
      </c>
      <c r="F9435" s="4" t="str">
        <f>IF(B9435=B9434,"",B9435)</f>
        <v/>
      </c>
    </row>
    <row r="9436" spans="1:6" ht="15.75" customHeight="1">
      <c r="A9436" s="6" t="s">
        <v>14535</v>
      </c>
      <c r="B9436" s="6" t="s">
        <v>14535</v>
      </c>
      <c r="C9436" s="6" t="s">
        <v>14240</v>
      </c>
      <c r="D9436" s="6" t="s">
        <v>14299</v>
      </c>
      <c r="E9436" s="2">
        <v>117392</v>
      </c>
      <c r="F9436" s="4" t="str">
        <f>IF(B9436=B9435,"",B9436)</f>
        <v>Saqqez</v>
      </c>
    </row>
    <row r="9437" spans="1:6" ht="15.75" customHeight="1">
      <c r="A9437" s="5" t="str">
        <f ca="1">IFERROR(__xludf.DUMMYFUNCTION("GOOGLETRANSLATE(B34375,""en"",""pt"")"),"Saqqez")</f>
        <v>Saqqez</v>
      </c>
      <c r="B9437" s="17" t="s">
        <v>14535</v>
      </c>
      <c r="C9437" s="17" t="s">
        <v>14240</v>
      </c>
      <c r="D9437" s="17" t="s">
        <v>34147</v>
      </c>
      <c r="E9437" s="10">
        <v>117392</v>
      </c>
      <c r="F9437" s="4" t="str">
        <f>IF(B9437=B9436,"",B9437)</f>
        <v/>
      </c>
    </row>
    <row r="9438" spans="1:6" ht="15.75" customHeight="1">
      <c r="A9438" s="6" t="s">
        <v>29916</v>
      </c>
      <c r="B9438" s="6" t="s">
        <v>29916</v>
      </c>
      <c r="C9438" s="6" t="s">
        <v>27788</v>
      </c>
      <c r="D9438" s="6" t="s">
        <v>27797</v>
      </c>
      <c r="E9438" s="2">
        <v>4550881</v>
      </c>
      <c r="F9438" s="4" t="str">
        <f>IF(B9438=B9437,"",B9438)</f>
        <v>Sapulpa</v>
      </c>
    </row>
    <row r="9439" spans="1:6" ht="15.75" customHeight="1">
      <c r="A9439" s="5" t="str">
        <f ca="1">IFERROR(__xludf.DUMMYFUNCTION("GOOGLETRANSLATE(B43564,""en"",""pt"")"),"Sapulpa")</f>
        <v>Sapulpa</v>
      </c>
      <c r="B9439" s="17" t="s">
        <v>29916</v>
      </c>
      <c r="C9439" s="17" t="s">
        <v>27788</v>
      </c>
      <c r="D9439" s="17" t="s">
        <v>27797</v>
      </c>
      <c r="E9439" s="10">
        <v>4550881</v>
      </c>
      <c r="F9439" s="4" t="str">
        <f>IF(B9439=B9438,"",B9439)</f>
        <v/>
      </c>
    </row>
    <row r="9440" spans="1:6" ht="15.75" customHeight="1">
      <c r="A9440" s="5" t="s">
        <v>3455</v>
      </c>
      <c r="B9440" s="6" t="s">
        <v>3456</v>
      </c>
      <c r="C9440" s="5" t="s">
        <v>1905</v>
      </c>
      <c r="D9440" s="5" t="s">
        <v>1951</v>
      </c>
      <c r="E9440" s="2">
        <v>3448031</v>
      </c>
      <c r="F9440" s="4" t="str">
        <f>IF(B9440=B9439,"",B9440)</f>
        <v>Sapucaia</v>
      </c>
    </row>
    <row r="9441" spans="1:6" ht="15.75" customHeight="1">
      <c r="A9441" s="5" t="str">
        <f ca="1">IFERROR(__xludf.DUMMYFUNCTION("GOOGLETRANSLATE(B24536,""en"",""pt"")"),"SAPUCAIA")</f>
        <v>SAPUCAIA</v>
      </c>
      <c r="B9441" s="17" t="s">
        <v>3456</v>
      </c>
      <c r="C9441" s="17" t="s">
        <v>1905</v>
      </c>
      <c r="D9441" s="17" t="s">
        <v>1951</v>
      </c>
      <c r="E9441" s="10">
        <v>3448031</v>
      </c>
      <c r="F9441" s="4" t="str">
        <f>IF(B9441=B9440,"",B9441)</f>
        <v/>
      </c>
    </row>
    <row r="9442" spans="1:6" ht="15.75" customHeight="1">
      <c r="A9442" s="6" t="s">
        <v>16385</v>
      </c>
      <c r="B9442" s="6" t="s">
        <v>16385</v>
      </c>
      <c r="C9442" s="6" t="s">
        <v>15704</v>
      </c>
      <c r="D9442" s="6" t="s">
        <v>15705</v>
      </c>
      <c r="E9442" s="2">
        <v>2128295</v>
      </c>
      <c r="F9442" s="4" t="str">
        <f>IF(B9442=B9441,"",B9442)</f>
        <v>Sapporo</v>
      </c>
    </row>
    <row r="9443" spans="1:6" ht="15.75" customHeight="1">
      <c r="A9443" s="5" t="str">
        <f ca="1">IFERROR(__xludf.DUMMYFUNCTION("GOOGLETRANSLATE(B35827,""en"",""pt"")"),"Sapporo")</f>
        <v>Sapporo</v>
      </c>
      <c r="B9443" s="17" t="s">
        <v>16385</v>
      </c>
      <c r="C9443" s="17" t="s">
        <v>15704</v>
      </c>
      <c r="D9443" s="17" t="s">
        <v>15705</v>
      </c>
      <c r="E9443" s="10">
        <v>2128295</v>
      </c>
      <c r="F9443" s="4" t="str">
        <f>IF(B9443=B9442,"",B9443)</f>
        <v/>
      </c>
    </row>
    <row r="9444" spans="1:6" ht="15.75" customHeight="1">
      <c r="A9444" s="6" t="s">
        <v>3454</v>
      </c>
      <c r="B9444" s="6" t="s">
        <v>3454</v>
      </c>
      <c r="C9444" s="6" t="s">
        <v>1905</v>
      </c>
      <c r="D9444" s="6" t="s">
        <v>1951</v>
      </c>
      <c r="E9444" s="2">
        <v>3448063</v>
      </c>
      <c r="F9444" s="4" t="str">
        <f>IF(B9444=B9443,"",B9444)</f>
        <v>Sapiranga</v>
      </c>
    </row>
    <row r="9445" spans="1:6" ht="15.75" customHeight="1">
      <c r="A9445" s="5" t="str">
        <f ca="1">IFERROR(__xludf.DUMMYFUNCTION("GOOGLETRANSLATE(B24537,""en"",""pt"")"),"Sapiranga")</f>
        <v>Sapiranga</v>
      </c>
      <c r="B9445" s="17" t="s">
        <v>3454</v>
      </c>
      <c r="C9445" s="17" t="s">
        <v>1905</v>
      </c>
      <c r="D9445" s="17" t="s">
        <v>1951</v>
      </c>
      <c r="E9445" s="10">
        <v>3448063</v>
      </c>
      <c r="F9445" s="4" t="str">
        <f>IF(B9445=B9444,"",B9445)</f>
        <v/>
      </c>
    </row>
    <row r="9446" spans="1:6" ht="15.75" customHeight="1">
      <c r="A9446" s="6" t="s">
        <v>19559</v>
      </c>
      <c r="B9446" s="6" t="s">
        <v>19559</v>
      </c>
      <c r="C9446" s="6" t="s">
        <v>19294</v>
      </c>
      <c r="D9446" s="6" t="s">
        <v>4039</v>
      </c>
      <c r="E9446" s="2">
        <v>2323675</v>
      </c>
      <c r="F9446" s="4" t="str">
        <f>IF(B9446=B9445,"",B9446)</f>
        <v>Sapele</v>
      </c>
    </row>
    <row r="9447" spans="1:6" ht="15.75" customHeight="1">
      <c r="A9447" s="5" t="str">
        <f ca="1">IFERROR(__xludf.DUMMYFUNCTION("GOOGLETRANSLATE(B37632,""en"",""pt"")"),"Sapele")</f>
        <v>Sapele</v>
      </c>
      <c r="B9447" s="17" t="s">
        <v>19559</v>
      </c>
      <c r="C9447" s="17" t="s">
        <v>19294</v>
      </c>
      <c r="D9447" s="17" t="s">
        <v>4039</v>
      </c>
      <c r="E9447" s="10">
        <v>2323675</v>
      </c>
      <c r="F9447" s="4" t="str">
        <f>IF(B9447=B9446,"",B9447)</f>
        <v/>
      </c>
    </row>
    <row r="9448" spans="1:6" ht="15.75" customHeight="1">
      <c r="A9448" s="6" t="s">
        <v>26682</v>
      </c>
      <c r="B9448" s="6" t="s">
        <v>26682</v>
      </c>
      <c r="C9448" s="6" t="s">
        <v>26201</v>
      </c>
      <c r="D9448" s="6" t="s">
        <v>26276</v>
      </c>
      <c r="E9448" s="2">
        <v>740230</v>
      </c>
      <c r="F9448" s="4" t="str">
        <f>IF(B9448=B9447,"",B9448)</f>
        <v>Sapanca</v>
      </c>
    </row>
    <row r="9449" spans="1:6" ht="15.75" customHeight="1">
      <c r="A9449" s="5" t="str">
        <f ca="1">IFERROR(__xludf.DUMMYFUNCTION("GOOGLETRANSLATE(B42121,""en"",""pt"")"),"Sapanca")</f>
        <v>Sapanca</v>
      </c>
      <c r="B9449" s="17" t="s">
        <v>26682</v>
      </c>
      <c r="C9449" s="17" t="s">
        <v>26201</v>
      </c>
      <c r="D9449" s="17" t="s">
        <v>26276</v>
      </c>
      <c r="E9449" s="10">
        <v>740230</v>
      </c>
      <c r="F9449" s="4" t="str">
        <f>IF(B9449=B9448,"",B9449)</f>
        <v/>
      </c>
    </row>
    <row r="9450" spans="1:6" ht="15.75" customHeight="1">
      <c r="A9450" s="6" t="s">
        <v>444</v>
      </c>
      <c r="B9450" s="6" t="s">
        <v>444</v>
      </c>
      <c r="C9450" s="6" t="s">
        <v>153</v>
      </c>
      <c r="D9450" s="6" t="s">
        <v>160</v>
      </c>
      <c r="E9450" s="2">
        <v>2482390</v>
      </c>
      <c r="F9450" s="4" t="str">
        <f>IF(B9450=B9449,"",B9450)</f>
        <v>Saoula</v>
      </c>
    </row>
    <row r="9451" spans="1:6" ht="15.75" customHeight="1">
      <c r="A9451" s="5" t="str">
        <f ca="1">IFERROR(__xludf.DUMMYFUNCTION("GOOGLETRANSLATE(B28549,""en"",""pt"")"),"Saoula")</f>
        <v>Saoula</v>
      </c>
      <c r="B9451" s="17" t="s">
        <v>444</v>
      </c>
      <c r="C9451" s="17" t="s">
        <v>153</v>
      </c>
      <c r="D9451" s="17" t="s">
        <v>160</v>
      </c>
      <c r="E9451" s="10">
        <v>2482390</v>
      </c>
      <c r="F9451" s="4" t="str">
        <f>IF(B9451=B9450,"",B9451)</f>
        <v/>
      </c>
    </row>
    <row r="9452" spans="1:6" ht="15.75" customHeight="1">
      <c r="A9452" s="6" t="s">
        <v>13239</v>
      </c>
      <c r="B9452" s="6" t="s">
        <v>13239</v>
      </c>
      <c r="C9452" s="6" t="s">
        <v>10178</v>
      </c>
      <c r="D9452" s="6" t="s">
        <v>10214</v>
      </c>
      <c r="E9452" s="2">
        <v>1257307</v>
      </c>
      <c r="F9452" s="4" t="str">
        <f>IF(B9452=B9451,"",B9452)</f>
        <v>Saoner</v>
      </c>
    </row>
    <row r="9453" spans="1:6" ht="15.75" customHeight="1">
      <c r="A9453" s="5" t="str">
        <f ca="1">IFERROR(__xludf.DUMMYFUNCTION("GOOGLETRANSLATE(B32238,""en"",""pt"")"),"Saoner")</f>
        <v>Saoner</v>
      </c>
      <c r="B9453" s="17" t="s">
        <v>13239</v>
      </c>
      <c r="C9453" s="17" t="s">
        <v>10178</v>
      </c>
      <c r="D9453" s="17" t="s">
        <v>10214</v>
      </c>
      <c r="E9453" s="10">
        <v>1257307</v>
      </c>
      <c r="F9453" s="4" t="str">
        <f>IF(B9453=B9452,"",B9453)</f>
        <v/>
      </c>
    </row>
    <row r="9454" spans="1:6" ht="15.75" customHeight="1">
      <c r="A9454" s="5" t="str">
        <f ca="1">IFERROR(__xludf.DUMMYFUNCTION("GOOGLETRANSLATE(B24538,""en"",""pt"")"),"São Vicente")</f>
        <v>São Vicente</v>
      </c>
      <c r="B9454" s="17" t="s">
        <v>31467</v>
      </c>
      <c r="C9454" s="17" t="s">
        <v>1905</v>
      </c>
      <c r="D9454" s="17" t="s">
        <v>3354</v>
      </c>
      <c r="E9454" s="10">
        <v>3448136</v>
      </c>
      <c r="F9454" s="4" t="str">
        <f>IF(B9454=B9453,"",B9454)</f>
        <v>São Vicente</v>
      </c>
    </row>
    <row r="9455" spans="1:6" ht="15.75" customHeight="1">
      <c r="A9455" s="5" t="str">
        <f ca="1">IFERROR(__xludf.DUMMYFUNCTION("GOOGLETRANSLATE(B41354,""en"",""pt"")"),"São Tomé")</f>
        <v>São Tomé</v>
      </c>
      <c r="B9455" s="17" t="s">
        <v>35712</v>
      </c>
      <c r="C9455" s="17" t="s">
        <v>23450</v>
      </c>
      <c r="D9455" s="17" t="s">
        <v>35713</v>
      </c>
      <c r="E9455" s="10">
        <v>2410763</v>
      </c>
      <c r="F9455" s="4" t="str">
        <f>IF(B9455=B9454,"",B9455)</f>
        <v>São Tomé</v>
      </c>
    </row>
    <row r="9456" spans="1:6" ht="15.75" customHeight="1">
      <c r="A9456" s="5" t="str">
        <f ca="1">IFERROR(__xludf.DUMMYFUNCTION("GOOGLETRANSLATE(B24539,""en"",""pt"")"),"São Sepé")</f>
        <v>São Sepé</v>
      </c>
      <c r="B9456" s="17" t="s">
        <v>31468</v>
      </c>
      <c r="C9456" s="17" t="s">
        <v>1905</v>
      </c>
      <c r="D9456" s="17" t="s">
        <v>1951</v>
      </c>
      <c r="E9456" s="10">
        <v>3448207</v>
      </c>
      <c r="F9456" s="4" t="str">
        <f>IF(B9456=B9455,"",B9456)</f>
        <v>São Sepé</v>
      </c>
    </row>
    <row r="9457" spans="1:6" ht="15.75" customHeight="1">
      <c r="A9457" s="5" t="str">
        <f ca="1">IFERROR(__xludf.DUMMYFUNCTION("GOOGLETRANSLATE(B24540,""en"",""pt"")"),"São Sebastião do Passé")</f>
        <v>São Sebastião do Passé</v>
      </c>
      <c r="B9457" s="17" t="s">
        <v>31469</v>
      </c>
      <c r="C9457" s="17" t="s">
        <v>1905</v>
      </c>
      <c r="D9457" s="17" t="s">
        <v>1947</v>
      </c>
      <c r="E9457" s="10">
        <v>3448219</v>
      </c>
      <c r="F9457" s="4" t="str">
        <f>IF(B9457=B9456,"",B9457)</f>
        <v>São Sebastião do Passé</v>
      </c>
    </row>
    <row r="9458" spans="1:6" ht="15.75" customHeight="1">
      <c r="A9458" s="5" t="str">
        <f ca="1">IFERROR(__xludf.DUMMYFUNCTION("GOOGLETRANSLATE(B24541,""en"",""pt"")"),"São sebastião do para o paraíso")</f>
        <v>São sebastião do para o paraíso</v>
      </c>
      <c r="B9458" s="17" t="s">
        <v>31470</v>
      </c>
      <c r="C9458" s="17" t="s">
        <v>1905</v>
      </c>
      <c r="D9458" s="17" t="s">
        <v>1917</v>
      </c>
      <c r="E9458" s="10">
        <v>3448221</v>
      </c>
      <c r="F9458" s="4" t="str">
        <f>IF(B9458=B9457,"",B9458)</f>
        <v>São Sebastião do Paraíso</v>
      </c>
    </row>
    <row r="9459" spans="1:6" ht="15.75" customHeight="1">
      <c r="A9459" s="5" t="str">
        <f ca="1">IFERROR(__xludf.DUMMYFUNCTION("GOOGLETRANSLATE(B24542,""en"",""pt"")"),"São Sebastião do Caí")</f>
        <v>São Sebastião do Caí</v>
      </c>
      <c r="B9459" s="17" t="s">
        <v>31471</v>
      </c>
      <c r="C9459" s="17" t="s">
        <v>1905</v>
      </c>
      <c r="D9459" s="17" t="s">
        <v>1951</v>
      </c>
      <c r="E9459" s="10">
        <v>3448227</v>
      </c>
      <c r="F9459" s="4" t="str">
        <f>IF(B9459=B9458,"",B9459)</f>
        <v>São Sebastião do Caí</v>
      </c>
    </row>
    <row r="9460" spans="1:6" ht="15.75" customHeight="1">
      <c r="A9460" s="5" t="str">
        <f ca="1">IFERROR(__xludf.DUMMYFUNCTION("GOOGLETRANSLATE(B24543,""en"",""pt"")"),"São Sebastião")</f>
        <v>São Sebastião</v>
      </c>
      <c r="B9460" s="17" t="s">
        <v>31472</v>
      </c>
      <c r="C9460" s="17" t="s">
        <v>1905</v>
      </c>
      <c r="D9460" s="17" t="s">
        <v>3354</v>
      </c>
      <c r="E9460" s="10">
        <v>3448257</v>
      </c>
      <c r="F9460" s="4" t="str">
        <f>IF(B9460=B9459,"",B9460)</f>
        <v>São Sebastião</v>
      </c>
    </row>
    <row r="9461" spans="1:6" ht="15.75" customHeight="1">
      <c r="A9461" s="5" t="str">
        <f ca="1">IFERROR(__xludf.DUMMYFUNCTION("GOOGLETRANSLATE(B24544,""en"",""pt"")"),"São Roque")</f>
        <v>São Roque</v>
      </c>
      <c r="B9461" s="17" t="s">
        <v>31473</v>
      </c>
      <c r="C9461" s="17" t="s">
        <v>1905</v>
      </c>
      <c r="D9461" s="17" t="s">
        <v>3354</v>
      </c>
      <c r="E9461" s="10">
        <v>3448300</v>
      </c>
      <c r="F9461" s="4" t="str">
        <f>IF(B9461=B9460,"",B9461)</f>
        <v>São Roque</v>
      </c>
    </row>
    <row r="9462" spans="1:6" ht="15.75" customHeight="1">
      <c r="A9462" s="5" t="str">
        <f ca="1">IFERROR(__xludf.DUMMYFUNCTION("GOOGLETRANSLATE(B24182,""en"",""pt"")"),"São Raimundo Nonato")</f>
        <v>São Raimundo Nonato</v>
      </c>
      <c r="B9462" s="17" t="s">
        <v>31359</v>
      </c>
      <c r="C9462" s="17" t="s">
        <v>1905</v>
      </c>
      <c r="D9462" s="17" t="s">
        <v>31349</v>
      </c>
      <c r="E9462" s="10">
        <v>3388145</v>
      </c>
      <c r="F9462" s="4" t="str">
        <f>IF(B9462=B9461,"",B9462)</f>
        <v>São Raimundo Nonato</v>
      </c>
    </row>
    <row r="9463" spans="1:6" ht="15.75" customHeight="1">
      <c r="A9463" s="5" t="str">
        <f ca="1">IFERROR(__xludf.DUMMYFUNCTION("GOOGLETRANSLATE(B39640,""en"",""pt"")"),"São Pedro da Cova")</f>
        <v>São Pedro da Cova</v>
      </c>
      <c r="B9463" s="17" t="s">
        <v>35301</v>
      </c>
      <c r="C9463" s="17" t="s">
        <v>21606</v>
      </c>
      <c r="D9463" s="17" t="s">
        <v>21609</v>
      </c>
      <c r="E9463" s="10">
        <v>2734363</v>
      </c>
      <c r="F9463" s="4" t="str">
        <f>IF(B9463=B9462,"",B9463)</f>
        <v>São Pedro da Cova</v>
      </c>
    </row>
    <row r="9464" spans="1:6" ht="15.75" customHeight="1">
      <c r="A9464" s="5" t="str">
        <f ca="1">IFERROR(__xludf.DUMMYFUNCTION("GOOGLETRANSLATE(B24545,""en"",""pt"")"),"São Pedro da Aldeia")</f>
        <v>São Pedro da Aldeia</v>
      </c>
      <c r="B9464" s="17" t="s">
        <v>31474</v>
      </c>
      <c r="C9464" s="17" t="s">
        <v>1905</v>
      </c>
      <c r="D9464" s="17" t="s">
        <v>1978</v>
      </c>
      <c r="E9464" s="10">
        <v>3448351</v>
      </c>
      <c r="F9464" s="4" t="str">
        <f>IF(B9464=B9463,"",B9464)</f>
        <v>São Pedro da Aldeia</v>
      </c>
    </row>
    <row r="9465" spans="1:6" ht="15.75" customHeight="1">
      <c r="A9465" s="5" t="str">
        <f ca="1">IFERROR(__xludf.DUMMYFUNCTION("GOOGLETRANSLATE(B24546,""en"",""pt"")"),"São Pedro")</f>
        <v>São Pedro</v>
      </c>
      <c r="B9465" s="17" t="s">
        <v>31475</v>
      </c>
      <c r="C9465" s="17" t="s">
        <v>1905</v>
      </c>
      <c r="D9465" s="17" t="s">
        <v>3354</v>
      </c>
      <c r="E9465" s="10">
        <v>3448403</v>
      </c>
      <c r="F9465" s="4" t="str">
        <f>IF(B9465=B9464,"",B9465)</f>
        <v>São Pedro</v>
      </c>
    </row>
    <row r="9466" spans="1:6" ht="15.75" customHeight="1">
      <c r="A9466" s="5" t="s">
        <v>3354</v>
      </c>
      <c r="B9466" s="6" t="s">
        <v>3354</v>
      </c>
      <c r="C9466" s="5" t="s">
        <v>1905</v>
      </c>
      <c r="D9466" s="5" t="s">
        <v>1914</v>
      </c>
      <c r="E9466" s="3">
        <v>9999999</v>
      </c>
      <c r="F9466" s="4" t="str">
        <f>IF(B9466=B9465,"",B9466)</f>
        <v>São Paulo</v>
      </c>
    </row>
    <row r="9467" spans="1:6" ht="15.75" customHeight="1">
      <c r="A9467" s="5" t="str">
        <f ca="1">IFERROR(__xludf.DUMMYFUNCTION("GOOGLETRANSLATE(B24547,""en"",""pt"")"),"São Paulo")</f>
        <v>São Paulo</v>
      </c>
      <c r="B9467" s="17" t="s">
        <v>3354</v>
      </c>
      <c r="C9467" s="17" t="s">
        <v>1905</v>
      </c>
      <c r="D9467" s="17" t="s">
        <v>3354</v>
      </c>
      <c r="E9467" s="10">
        <v>3448439</v>
      </c>
      <c r="F9467" s="4" t="str">
        <f>IF(B9467=B9466,"",B9467)</f>
        <v/>
      </c>
    </row>
    <row r="9468" spans="1:6" ht="15.75" customHeight="1">
      <c r="A9468" s="5" t="str">
        <f ca="1">IFERROR(__xludf.DUMMYFUNCTION("GOOGLETRANSLATE(B24183,""en"",""pt"")"),"São Miguel dos Campos")</f>
        <v>São Miguel dos Campos</v>
      </c>
      <c r="B9468" s="17" t="s">
        <v>31360</v>
      </c>
      <c r="C9468" s="17" t="s">
        <v>1905</v>
      </c>
      <c r="D9468" s="17" t="s">
        <v>2015</v>
      </c>
      <c r="E9468" s="10">
        <v>3388269</v>
      </c>
      <c r="F9468" s="4" t="str">
        <f>IF(B9468=B9467,"",B9468)</f>
        <v>São Miguel dos Campos</v>
      </c>
    </row>
    <row r="9469" spans="1:6" ht="15.75" customHeight="1">
      <c r="A9469" s="5" t="str">
        <f ca="1">IFERROR(__xludf.DUMMYFUNCTION("GOOGLETRANSLATE(B24548,""en"",""pt"")"),"São Miguel do Iguaçu")</f>
        <v>São Miguel do Iguaçu</v>
      </c>
      <c r="B9469" s="17" t="s">
        <v>31476</v>
      </c>
      <c r="C9469" s="17" t="s">
        <v>1905</v>
      </c>
      <c r="D9469" s="17" t="s">
        <v>727</v>
      </c>
      <c r="E9469" s="10">
        <v>3448453</v>
      </c>
      <c r="F9469" s="4" t="str">
        <f>IF(B9469=B9468,"",B9469)</f>
        <v>São Miguel do Iguaçu</v>
      </c>
    </row>
    <row r="9470" spans="1:6" ht="15.75" customHeight="1">
      <c r="A9470" s="5" t="str">
        <f ca="1">IFERROR(__xludf.DUMMYFUNCTION("GOOGLETRANSLATE(B24184,""en"",""pt"")"),"São Miguel do Guamá")</f>
        <v>São Miguel do Guamá</v>
      </c>
      <c r="B9470" s="17" t="s">
        <v>31361</v>
      </c>
      <c r="C9470" s="17" t="s">
        <v>1905</v>
      </c>
      <c r="D9470" s="17" t="s">
        <v>31342</v>
      </c>
      <c r="E9470" s="10">
        <v>3388270</v>
      </c>
      <c r="F9470" s="4" t="str">
        <f>IF(B9470=B9469,"",B9470)</f>
        <v>São Miguel do Guamá</v>
      </c>
    </row>
    <row r="9471" spans="1:6" ht="15.75" customHeight="1">
      <c r="A9471" s="5" t="str">
        <f ca="1">IFERROR(__xludf.DUMMYFUNCTION("GOOGLETRANSLATE(B24549,""en"",""pt"")"),"São Miguel do Aragaia")</f>
        <v>São Miguel do Aragaia</v>
      </c>
      <c r="B9471" s="17" t="s">
        <v>31477</v>
      </c>
      <c r="C9471" s="17" t="s">
        <v>1905</v>
      </c>
      <c r="D9471" s="17" t="s">
        <v>31436</v>
      </c>
      <c r="E9471" s="10">
        <v>3448455</v>
      </c>
      <c r="F9471" s="4" t="str">
        <f>IF(B9471=B9470,"",B9471)</f>
        <v>São Miguel do Araguaia</v>
      </c>
    </row>
    <row r="9472" spans="1:6" ht="15.75" customHeight="1">
      <c r="A9472" s="5" t="str">
        <f ca="1">IFERROR(__xludf.DUMMYFUNCTION("GOOGLETRANSLATE(B24550,""en"",""pt"")"),"São mateus do sul")</f>
        <v>São mateus do sul</v>
      </c>
      <c r="B9472" s="17" t="s">
        <v>31478</v>
      </c>
      <c r="C9472" s="17" t="s">
        <v>1905</v>
      </c>
      <c r="D9472" s="17" t="s">
        <v>727</v>
      </c>
      <c r="E9472" s="10">
        <v>3448502</v>
      </c>
      <c r="F9472" s="4" t="str">
        <f>IF(B9472=B9471,"",B9472)</f>
        <v>São Mateus do Sul</v>
      </c>
    </row>
    <row r="9473" spans="1:6" ht="15.75" customHeight="1">
      <c r="A9473" s="5" t="str">
        <f ca="1">IFERROR(__xludf.DUMMYFUNCTION("GOOGLETRANSLATE(B24185,""en"",""pt"")"),"São mateus do maranhão")</f>
        <v>São mateus do maranhão</v>
      </c>
      <c r="B9473" s="17" t="s">
        <v>31362</v>
      </c>
      <c r="C9473" s="17" t="s">
        <v>1905</v>
      </c>
      <c r="D9473" s="17" t="s">
        <v>31340</v>
      </c>
      <c r="E9473" s="10">
        <v>3388318</v>
      </c>
      <c r="F9473" s="4" t="str">
        <f>IF(B9473=B9472,"",B9473)</f>
        <v>São Mateus do Maranhão</v>
      </c>
    </row>
    <row r="9474" spans="1:6" ht="15.75" customHeight="1">
      <c r="A9474" s="5" t="str">
        <f ca="1">IFERROR(__xludf.DUMMYFUNCTION("GOOGLETRANSLATE(B24551,""en"",""pt"")"),"São mateus")</f>
        <v>São mateus</v>
      </c>
      <c r="B9474" s="17" t="s">
        <v>31479</v>
      </c>
      <c r="C9474" s="17" t="s">
        <v>1905</v>
      </c>
      <c r="D9474" s="17" t="s">
        <v>31426</v>
      </c>
      <c r="E9474" s="10">
        <v>3448519</v>
      </c>
      <c r="F9474" s="4" t="str">
        <f>IF(B9474=B9473,"",B9474)</f>
        <v>São Mateus</v>
      </c>
    </row>
    <row r="9475" spans="1:6" ht="15.75" customHeight="1">
      <c r="A9475" s="5" t="str">
        <f ca="1">IFERROR(__xludf.DUMMYFUNCTION("GOOGLETRANSLATE(B24552,""en"",""pt"")"),"São Marcos")</f>
        <v>São Marcos</v>
      </c>
      <c r="B9475" s="17" t="s">
        <v>31480</v>
      </c>
      <c r="C9475" s="17" t="s">
        <v>1905</v>
      </c>
      <c r="D9475" s="17" t="s">
        <v>1951</v>
      </c>
      <c r="E9475" s="10">
        <v>3448533</v>
      </c>
      <c r="F9475" s="4" t="str">
        <f>IF(B9475=B9474,"",B9475)</f>
        <v>São Marcos</v>
      </c>
    </row>
    <row r="9476" spans="1:6" ht="15.75" customHeight="1">
      <c r="A9476" s="5" t="str">
        <f ca="1">IFERROR(__xludf.DUMMYFUNCTION("GOOGLETRANSLATE(B24553,""en"",""pt"")"),"São Manuel")</f>
        <v>São Manuel</v>
      </c>
      <c r="B9476" s="17" t="s">
        <v>31481</v>
      </c>
      <c r="C9476" s="17" t="s">
        <v>1905</v>
      </c>
      <c r="D9476" s="17" t="s">
        <v>3354</v>
      </c>
      <c r="E9476" s="10">
        <v>3448545</v>
      </c>
      <c r="F9476" s="4" t="str">
        <f>IF(B9476=B9475,"",B9476)</f>
        <v>São Manuel</v>
      </c>
    </row>
    <row r="9477" spans="1:6" ht="15.75" customHeight="1">
      <c r="A9477" s="5" t="str">
        <f ca="1">IFERROR(__xludf.DUMMYFUNCTION("GOOGLETRANSLATE(B39641,""en"",""pt"")"),"São Mamede de Infesta")</f>
        <v>São Mamede de Infesta</v>
      </c>
      <c r="B9477" s="17" t="s">
        <v>35302</v>
      </c>
      <c r="C9477" s="17" t="s">
        <v>21606</v>
      </c>
      <c r="D9477" s="17" t="s">
        <v>21609</v>
      </c>
      <c r="E9477" s="10">
        <v>2734434</v>
      </c>
      <c r="F9477" s="4" t="str">
        <f>IF(B9477=B9476,"",B9477)</f>
        <v>São Mamede de Infesta</v>
      </c>
    </row>
    <row r="9478" spans="1:6" ht="15.75" customHeight="1">
      <c r="A9478" s="5" t="str">
        <f ca="1">IFERROR(__xludf.DUMMYFUNCTION("GOOGLETRANSLATE(B24554,""en"",""pt"")"),"São Luiz Gonzaga")</f>
        <v>São Luiz Gonzaga</v>
      </c>
      <c r="B9478" s="17" t="s">
        <v>31482</v>
      </c>
      <c r="C9478" s="17" t="s">
        <v>1905</v>
      </c>
      <c r="D9478" s="17" t="s">
        <v>1951</v>
      </c>
      <c r="E9478" s="10">
        <v>3448552</v>
      </c>
      <c r="F9478" s="4" t="str">
        <f>IF(B9478=B9477,"",B9478)</f>
        <v>São Luiz Gonzaga</v>
      </c>
    </row>
    <row r="9479" spans="1:6" ht="15.75" customHeight="1">
      <c r="A9479" s="5" t="str">
        <f ca="1">IFERROR(__xludf.DUMMYFUNCTION("GOOGLETRANSLATE(B24186,""en"",""pt"")"),"São luis do parto")</f>
        <v>São luis do parto</v>
      </c>
      <c r="B9479" s="17" t="s">
        <v>31363</v>
      </c>
      <c r="C9479" s="17" t="s">
        <v>1905</v>
      </c>
      <c r="D9479" s="17" t="s">
        <v>2015</v>
      </c>
      <c r="E9479" s="10">
        <v>3388341</v>
      </c>
      <c r="F9479" s="4" t="str">
        <f>IF(B9479=B9478,"",B9479)</f>
        <v>São Luís do Quitunde</v>
      </c>
    </row>
    <row r="9480" spans="1:6" ht="15.75" customHeight="1">
      <c r="A9480" s="5" t="str">
        <f ca="1">IFERROR(__xludf.DUMMYFUNCTION("GOOGLETRANSLATE(B24555,""en"",""pt"")"),"São Luís de Montes Belos")</f>
        <v>São Luís de Montes Belos</v>
      </c>
      <c r="B9480" s="17" t="s">
        <v>31483</v>
      </c>
      <c r="C9480" s="17" t="s">
        <v>1905</v>
      </c>
      <c r="D9480" s="17" t="s">
        <v>31436</v>
      </c>
      <c r="E9480" s="10">
        <v>3448558</v>
      </c>
      <c r="F9480" s="4" t="str">
        <f>IF(B9480=B9479,"",B9480)</f>
        <v>São Luís de Montes Belos</v>
      </c>
    </row>
    <row r="9481" spans="1:6" ht="15.75" customHeight="1">
      <c r="A9481" s="5" t="str">
        <f ca="1">IFERROR(__xludf.DUMMYFUNCTION("GOOGLETRANSLATE(B24187,""en"",""pt"")"),"São Luís")</f>
        <v>São Luís</v>
      </c>
      <c r="B9481" s="17" t="s">
        <v>30087</v>
      </c>
      <c r="C9481" s="17" t="s">
        <v>1905</v>
      </c>
      <c r="D9481" s="17" t="s">
        <v>31340</v>
      </c>
      <c r="E9481" s="10">
        <v>3388368</v>
      </c>
      <c r="F9481" s="4" t="str">
        <f>IF(B9481=B9480,"",B9481)</f>
        <v>São Luís</v>
      </c>
    </row>
    <row r="9482" spans="1:6" ht="15.75" customHeight="1">
      <c r="A9482" s="5" t="str">
        <f ca="1">IFERROR(__xludf.DUMMYFUNCTION("GOOGLETRANSLATE(B24556,""en"",""pt"")"),"São Lourenço do Sul")</f>
        <v>São Lourenço do Sul</v>
      </c>
      <c r="B9482" s="17" t="s">
        <v>31484</v>
      </c>
      <c r="C9482" s="17" t="s">
        <v>1905</v>
      </c>
      <c r="D9482" s="17" t="s">
        <v>1951</v>
      </c>
      <c r="E9482" s="10">
        <v>3448596</v>
      </c>
      <c r="F9482" s="4" t="str">
        <f>IF(B9482=B9481,"",B9482)</f>
        <v>São Lourenço do Sul</v>
      </c>
    </row>
    <row r="9483" spans="1:6" ht="15.75" customHeight="1">
      <c r="A9483" s="5" t="str">
        <f ca="1">IFERROR(__xludf.DUMMYFUNCTION("GOOGLETRANSLATE(B24188,""en"",""pt"")"),"São Lourenço da Mata")</f>
        <v>São Lourenço da Mata</v>
      </c>
      <c r="B9483" s="17" t="s">
        <v>31364</v>
      </c>
      <c r="C9483" s="17" t="s">
        <v>1905</v>
      </c>
      <c r="D9483" s="17" t="s">
        <v>1909</v>
      </c>
      <c r="E9483" s="10">
        <v>3388376</v>
      </c>
      <c r="F9483" s="4" t="str">
        <f>IF(B9483=B9482,"",B9483)</f>
        <v>São Lourenço da Mata</v>
      </c>
    </row>
    <row r="9484" spans="1:6" ht="15.75" customHeight="1">
      <c r="A9484" s="5" t="str">
        <f ca="1">IFERROR(__xludf.DUMMYFUNCTION("GOOGLETRANSLATE(B24557,""en"",""pt"")"),"São Lourenço")</f>
        <v>São Lourenço</v>
      </c>
      <c r="B9484" s="17" t="s">
        <v>4188</v>
      </c>
      <c r="C9484" s="17" t="s">
        <v>1905</v>
      </c>
      <c r="D9484" s="17" t="s">
        <v>1917</v>
      </c>
      <c r="E9484" s="10">
        <v>3448616</v>
      </c>
      <c r="F9484" s="4" t="str">
        <f>IF(B9484=B9483,"",B9484)</f>
        <v>São Lourenço</v>
      </c>
    </row>
    <row r="9485" spans="1:6" ht="15.75" customHeight="1">
      <c r="A9485" s="5" t="str">
        <f ca="1">IFERROR(__xludf.DUMMYFUNCTION("GOOGLETRANSLATE(B24558,""en"",""pt"")"),"São Leopoldo")</f>
        <v>São Leopoldo</v>
      </c>
      <c r="B9485" s="17" t="s">
        <v>31485</v>
      </c>
      <c r="C9485" s="17" t="s">
        <v>1905</v>
      </c>
      <c r="D9485" s="17" t="s">
        <v>1951</v>
      </c>
      <c r="E9485" s="10">
        <v>3448622</v>
      </c>
      <c r="F9485" s="4" t="str">
        <f>IF(B9485=B9484,"",B9485)</f>
        <v>São Leopoldo</v>
      </c>
    </row>
    <row r="9486" spans="1:6" ht="15.75" customHeight="1">
      <c r="A9486" s="5" t="str">
        <f ca="1">IFERROR(__xludf.DUMMYFUNCTION("GOOGLETRANSLATE(B24559,""en"",""pt"")"),"São José dos Pinhis")</f>
        <v>São José dos Pinhis</v>
      </c>
      <c r="B9486" s="17" t="s">
        <v>31486</v>
      </c>
      <c r="C9486" s="17" t="s">
        <v>1905</v>
      </c>
      <c r="D9486" s="17" t="s">
        <v>727</v>
      </c>
      <c r="E9486" s="10">
        <v>3448632</v>
      </c>
      <c r="F9486" s="4" t="str">
        <f>IF(B9486=B9485,"",B9486)</f>
        <v>São José dos Pinhais</v>
      </c>
    </row>
    <row r="9487" spans="1:6" ht="15.75" customHeight="1">
      <c r="A9487" s="5" t="str">
        <f ca="1">IFERROR(__xludf.DUMMYFUNCTION("GOOGLETRANSLATE(B24560,""en"",""pt"")"),"São José dos Campos")</f>
        <v>São José dos Campos</v>
      </c>
      <c r="B9487" s="17" t="s">
        <v>31487</v>
      </c>
      <c r="C9487" s="17" t="s">
        <v>1905</v>
      </c>
      <c r="D9487" s="17" t="s">
        <v>3354</v>
      </c>
      <c r="E9487" s="10">
        <v>3448636</v>
      </c>
      <c r="F9487" s="4" t="str">
        <f>IF(B9487=B9486,"",B9487)</f>
        <v>São José dos Campos</v>
      </c>
    </row>
    <row r="9488" spans="1:6" ht="15.75" customHeight="1">
      <c r="A9488" s="5" t="str">
        <f ca="1">IFERROR(__xludf.DUMMYFUNCTION("GOOGLETRANSLATE(B24561,""en"",""pt"")"),"São José do Rio Preto")</f>
        <v>São José do Rio Preto</v>
      </c>
      <c r="B9488" s="17" t="s">
        <v>31488</v>
      </c>
      <c r="C9488" s="17" t="s">
        <v>1905</v>
      </c>
      <c r="D9488" s="17" t="s">
        <v>3354</v>
      </c>
      <c r="E9488" s="10">
        <v>3448639</v>
      </c>
      <c r="F9488" s="4" t="str">
        <f>IF(B9488=B9487,"",B9488)</f>
        <v>São José do Rio Preto</v>
      </c>
    </row>
    <row r="9489" spans="1:6" ht="15.75" customHeight="1">
      <c r="A9489" s="5" t="str">
        <f ca="1">IFERROR(__xludf.DUMMYFUNCTION("GOOGLETRANSLATE(B24562,""en"",""pt"")"),"São José do Rio Pardo")</f>
        <v>São José do Rio Pardo</v>
      </c>
      <c r="B9489" s="17" t="s">
        <v>31489</v>
      </c>
      <c r="C9489" s="17" t="s">
        <v>1905</v>
      </c>
      <c r="D9489" s="17" t="s">
        <v>3354</v>
      </c>
      <c r="E9489" s="10">
        <v>3448640</v>
      </c>
      <c r="F9489" s="4" t="str">
        <f>IF(B9489=B9488,"",B9489)</f>
        <v>São José do Rio Pardo</v>
      </c>
    </row>
    <row r="9490" spans="1:6" ht="15.75" customHeight="1">
      <c r="A9490" s="5" t="str">
        <f ca="1">IFERROR(__xludf.DUMMYFUNCTION("GOOGLETRANSLATE(B24189,""en"",""pt"")"),"São José do Egito")</f>
        <v>São José do Egito</v>
      </c>
      <c r="B9490" s="17" t="s">
        <v>31365</v>
      </c>
      <c r="C9490" s="17" t="s">
        <v>1905</v>
      </c>
      <c r="D9490" s="17" t="s">
        <v>1909</v>
      </c>
      <c r="E9490" s="10">
        <v>3388435</v>
      </c>
      <c r="F9490" s="4" t="str">
        <f>IF(B9490=B9489,"",B9490)</f>
        <v>São José do Egito</v>
      </c>
    </row>
    <row r="9491" spans="1:6" ht="15.75" customHeight="1">
      <c r="A9491" s="5" t="str">
        <f ca="1">IFERROR(__xludf.DUMMYFUNCTION("GOOGLETRANSLATE(B24190,""en"",""pt"")"),"São José de Ribamar")</f>
        <v>São José de Ribamar</v>
      </c>
      <c r="B9491" s="17" t="s">
        <v>31366</v>
      </c>
      <c r="C9491" s="17" t="s">
        <v>1905</v>
      </c>
      <c r="D9491" s="17" t="s">
        <v>31340</v>
      </c>
      <c r="E9491" s="10">
        <v>3388441</v>
      </c>
      <c r="F9491" s="4" t="str">
        <f>IF(B9491=B9490,"",B9491)</f>
        <v>São José de Ribamar</v>
      </c>
    </row>
    <row r="9492" spans="1:6" ht="15.75" customHeight="1">
      <c r="A9492" s="5" t="str">
        <f ca="1">IFERROR(__xludf.DUMMYFUNCTION("GOOGLETRANSLATE(B24191,""en"",""pt"")"),"São José de Mipibu")</f>
        <v>São José de Mipibu</v>
      </c>
      <c r="B9492" s="17" t="s">
        <v>31367</v>
      </c>
      <c r="C9492" s="17" t="s">
        <v>1905</v>
      </c>
      <c r="D9492" s="17" t="s">
        <v>1922</v>
      </c>
      <c r="E9492" s="10">
        <v>3388443</v>
      </c>
      <c r="F9492" s="4" t="str">
        <f>IF(B9492=B9491,"",B9492)</f>
        <v>São José de Mipibu</v>
      </c>
    </row>
    <row r="9493" spans="1:6" ht="15.75" customHeight="1">
      <c r="A9493" s="5" t="str">
        <f ca="1">IFERROR(__xludf.DUMMYFUNCTION("GOOGLETRANSLATE(B24563,""en"",""pt"")"),"São José")</f>
        <v>São José</v>
      </c>
      <c r="B9493" s="17" t="s">
        <v>17646</v>
      </c>
      <c r="C9493" s="17" t="s">
        <v>1905</v>
      </c>
      <c r="D9493" s="17" t="s">
        <v>2020</v>
      </c>
      <c r="E9493" s="10">
        <v>3448742</v>
      </c>
      <c r="F9493" s="4" t="str">
        <f>IF(B9493=B9492,"",B9493)</f>
        <v>São José</v>
      </c>
    </row>
    <row r="9494" spans="1:6" ht="15.75" customHeight="1">
      <c r="A9494" s="5" t="str">
        <f ca="1">IFERROR(__xludf.DUMMYFUNCTION("GOOGLETRANSLATE(B24564,""en"",""pt"")"),"São Joaquim da Barra")</f>
        <v>São Joaquim da Barra</v>
      </c>
      <c r="B9494" s="17" t="s">
        <v>31490</v>
      </c>
      <c r="C9494" s="17" t="s">
        <v>1905</v>
      </c>
      <c r="D9494" s="17" t="s">
        <v>3354</v>
      </c>
      <c r="E9494" s="10">
        <v>3448825</v>
      </c>
      <c r="F9494" s="4" t="str">
        <f>IF(B9494=B9493,"",B9494)</f>
        <v>São Joaquim da Barra</v>
      </c>
    </row>
    <row r="9495" spans="1:6" ht="15.75" customHeight="1">
      <c r="A9495" s="5" t="str">
        <f ca="1">IFERROR(__xludf.DUMMYFUNCTION("GOOGLETRANSLATE(B24565,""en"",""pt"")"),"São Joaquim")</f>
        <v>São Joaquim</v>
      </c>
      <c r="B9495" s="17" t="s">
        <v>31491</v>
      </c>
      <c r="C9495" s="17" t="s">
        <v>1905</v>
      </c>
      <c r="D9495" s="17" t="s">
        <v>2020</v>
      </c>
      <c r="E9495" s="10">
        <v>3448828</v>
      </c>
      <c r="F9495" s="4" t="str">
        <f>IF(B9495=B9494,"",B9495)</f>
        <v>São Joaquim</v>
      </c>
    </row>
    <row r="9496" spans="1:6" ht="15.75" customHeight="1">
      <c r="A9496" s="5" t="str">
        <f ca="1">IFERROR(__xludf.DUMMYFUNCTION("GOOGLETRANSLATE(B24566,""en"",""pt"")"),"São João Nepomuceno")</f>
        <v>São João Nepomuceno</v>
      </c>
      <c r="B9496" s="17" t="s">
        <v>31492</v>
      </c>
      <c r="C9496" s="17" t="s">
        <v>1905</v>
      </c>
      <c r="D9496" s="17" t="s">
        <v>1917</v>
      </c>
      <c r="E9496" s="10">
        <v>3448846</v>
      </c>
      <c r="F9496" s="4" t="str">
        <f>IF(B9496=B9495,"",B9496)</f>
        <v>São João Nepomuceno</v>
      </c>
    </row>
    <row r="9497" spans="1:6" ht="15.75" customHeight="1">
      <c r="A9497" s="5" t="str">
        <f ca="1">IFERROR(__xludf.DUMMYFUNCTION("GOOGLETRANSLATE(B24192,""en"",""pt"")"),"São João dos Patos")</f>
        <v>São João dos Patos</v>
      </c>
      <c r="B9497" s="17" t="s">
        <v>31368</v>
      </c>
      <c r="C9497" s="17" t="s">
        <v>1905</v>
      </c>
      <c r="D9497" s="17" t="s">
        <v>31340</v>
      </c>
      <c r="E9497" s="10">
        <v>3388615</v>
      </c>
      <c r="F9497" s="4" t="str">
        <f>IF(B9497=B9496,"",B9497)</f>
        <v>São João dos Patos</v>
      </c>
    </row>
    <row r="9498" spans="1:6" ht="15.75" customHeight="1">
      <c r="A9498" s="5" t="str">
        <f ca="1">IFERROR(__xludf.DUMMYFUNCTION("GOOGLETRANSLATE(B24169,""en"",""pt"")"),"São João Dos Inamuns")</f>
        <v>São João Dos Inamuns</v>
      </c>
      <c r="B9498" s="17" t="s">
        <v>31355</v>
      </c>
      <c r="C9498" s="17" t="s">
        <v>1905</v>
      </c>
      <c r="D9498" s="17" t="s">
        <v>31345</v>
      </c>
      <c r="E9498" s="10">
        <v>3386567</v>
      </c>
      <c r="F9498" s="4" t="str">
        <f>IF(B9498=B9497,"",B9498)</f>
        <v>São João dos Inhamuns</v>
      </c>
    </row>
    <row r="9499" spans="1:6" ht="15.75" customHeight="1">
      <c r="A9499" s="5" t="str">
        <f ca="1">IFERROR(__xludf.DUMMYFUNCTION("GOOGLETRANSLATE(B24568,""en"",""pt"")"),"São João del Rei")</f>
        <v>São João del Rei</v>
      </c>
      <c r="B9499" s="17" t="s">
        <v>31494</v>
      </c>
      <c r="C9499" s="17" t="s">
        <v>1905</v>
      </c>
      <c r="D9499" s="17" t="s">
        <v>1917</v>
      </c>
      <c r="E9499" s="10">
        <v>3448879</v>
      </c>
      <c r="F9499" s="4" t="str">
        <f>IF(B9499=B9498,"",B9499)</f>
        <v>São João del Rei</v>
      </c>
    </row>
    <row r="9500" spans="1:6" ht="15.75" customHeight="1">
      <c r="A9500" s="5" t="str">
        <f ca="1">IFERROR(__xludf.DUMMYFUNCTION("GOOGLETRANSLATE(B24567,""en"",""pt"")"),"São João de Meriti")</f>
        <v>São João de Meriti</v>
      </c>
      <c r="B9500" s="17" t="s">
        <v>31493</v>
      </c>
      <c r="C9500" s="17" t="s">
        <v>1905</v>
      </c>
      <c r="D9500" s="17" t="s">
        <v>1978</v>
      </c>
      <c r="E9500" s="10">
        <v>3448877</v>
      </c>
      <c r="F9500" s="4" t="str">
        <f>IF(B9500=B9499,"",B9500)</f>
        <v>São João de Meriti</v>
      </c>
    </row>
    <row r="9501" spans="1:6" ht="15.75" customHeight="1">
      <c r="A9501" s="5" t="str">
        <f ca="1">IFERROR(__xludf.DUMMYFUNCTION("GOOGLETRANSLATE(B39571,""en"",""pt"")"),"São João da Talha")</f>
        <v>São João da Talha</v>
      </c>
      <c r="B9501" s="17" t="s">
        <v>35288</v>
      </c>
      <c r="C9501" s="17" t="s">
        <v>21606</v>
      </c>
      <c r="D9501" s="17" t="s">
        <v>21616</v>
      </c>
      <c r="E9501" s="10">
        <v>2263326</v>
      </c>
      <c r="F9501" s="4" t="str">
        <f>IF(B9501=B9500,"",B9501)</f>
        <v>São João da Talha</v>
      </c>
    </row>
    <row r="9502" spans="1:6" ht="15.75" customHeight="1">
      <c r="A9502" s="5" t="str">
        <f ca="1">IFERROR(__xludf.DUMMYFUNCTION("GOOGLETRANSLATE(B39642,""en"",""pt"")"),"São João da Madeira")</f>
        <v>São João da Madeira</v>
      </c>
      <c r="B9502" s="17" t="s">
        <v>35303</v>
      </c>
      <c r="C9502" s="17" t="s">
        <v>21606</v>
      </c>
      <c r="D9502" s="17" t="s">
        <v>21612</v>
      </c>
      <c r="E9502" s="10">
        <v>2734484</v>
      </c>
      <c r="F9502" s="4" t="str">
        <f>IF(B9502=B9501,"",B9502)</f>
        <v>São João da Madeira</v>
      </c>
    </row>
    <row r="9503" spans="1:6" ht="15.75" customHeight="1">
      <c r="A9503" s="5" t="str">
        <f ca="1">IFERROR(__xludf.DUMMYFUNCTION("GOOGLETRANSLATE(B24569,""en"",""pt"")"),"São João da Boa Vista")</f>
        <v>São João da Boa Vista</v>
      </c>
      <c r="B9503" s="17" t="s">
        <v>31495</v>
      </c>
      <c r="C9503" s="17" t="s">
        <v>1905</v>
      </c>
      <c r="D9503" s="17" t="s">
        <v>3354</v>
      </c>
      <c r="E9503" s="10">
        <v>3448902</v>
      </c>
      <c r="F9503" s="4" t="str">
        <f>IF(B9503=B9502,"",B9503)</f>
        <v>São João da Boa Vista</v>
      </c>
    </row>
    <row r="9504" spans="1:6" ht="15.75" customHeight="1">
      <c r="A9504" s="5" t="str">
        <f ca="1">IFERROR(__xludf.DUMMYFUNCTION("GOOGLETRANSLATE(B24570,""en"",""pt"")"),"São João da Barra")</f>
        <v>São João da Barra</v>
      </c>
      <c r="B9504" s="17" t="s">
        <v>31496</v>
      </c>
      <c r="C9504" s="17" t="s">
        <v>1905</v>
      </c>
      <c r="D9504" s="17" t="s">
        <v>1978</v>
      </c>
      <c r="E9504" s="10">
        <v>3448903</v>
      </c>
      <c r="F9504" s="4" t="str">
        <f>IF(B9504=B9503,"",B9504)</f>
        <v>São João da Barra</v>
      </c>
    </row>
    <row r="9505" spans="1:6" ht="15.75" customHeight="1">
      <c r="A9505" s="5" t="str">
        <f ca="1">IFERROR(__xludf.DUMMYFUNCTION("GOOGLETRANSLATE(B24571,""en"",""pt"")"),"São Jerônimo")</f>
        <v>São Jerônimo</v>
      </c>
      <c r="B9505" s="17" t="s">
        <v>31497</v>
      </c>
      <c r="C9505" s="17" t="s">
        <v>1905</v>
      </c>
      <c r="D9505" s="17" t="s">
        <v>1951</v>
      </c>
      <c r="E9505" s="10">
        <v>3449045</v>
      </c>
      <c r="F9505" s="4" t="str">
        <f>IF(B9505=B9504,"",B9505)</f>
        <v>São Jerônimo</v>
      </c>
    </row>
    <row r="9506" spans="1:6" ht="15.75" customHeight="1">
      <c r="A9506" s="5" t="str">
        <f ca="1">IFERROR(__xludf.DUMMYFUNCTION("GOOGLETRANSLATE(B24572,""en"",""pt"")"),"São Gotardo")</f>
        <v>São Gotardo</v>
      </c>
      <c r="B9506" s="17" t="s">
        <v>31498</v>
      </c>
      <c r="C9506" s="17" t="s">
        <v>1905</v>
      </c>
      <c r="D9506" s="17" t="s">
        <v>1917</v>
      </c>
      <c r="E9506" s="10">
        <v>3449053</v>
      </c>
      <c r="F9506" s="4" t="str">
        <f>IF(B9506=B9505,"",B9506)</f>
        <v>São Gotardo</v>
      </c>
    </row>
    <row r="9507" spans="1:6" ht="15.75" customHeight="1">
      <c r="A9507" s="5" t="str">
        <f ca="1">IFERROR(__xludf.DUMMYFUNCTION("GOOGLETRANSLATE(B24573,""en"",""pt"")"),"São Gonçalo do Sapucaí")</f>
        <v>São Gonçalo do Sapucaí</v>
      </c>
      <c r="B9507" s="17" t="s">
        <v>31499</v>
      </c>
      <c r="C9507" s="17" t="s">
        <v>1905</v>
      </c>
      <c r="D9507" s="17" t="s">
        <v>1917</v>
      </c>
      <c r="E9507" s="10">
        <v>3449056</v>
      </c>
      <c r="F9507" s="4" t="str">
        <f>IF(B9507=B9506,"",B9507)</f>
        <v>São Gonçalo do Sapucaí</v>
      </c>
    </row>
    <row r="9508" spans="1:6" ht="15.75" customHeight="1">
      <c r="A9508" s="5" t="str">
        <f ca="1">IFERROR(__xludf.DUMMYFUNCTION("GOOGLETRANSLATE(B24193,""en"",""pt"")"),"São Gonçalo do Amante")</f>
        <v>São Gonçalo do Amante</v>
      </c>
      <c r="B9508" s="17" t="s">
        <v>31369</v>
      </c>
      <c r="C9508" s="17" t="s">
        <v>1905</v>
      </c>
      <c r="D9508" s="17" t="s">
        <v>31345</v>
      </c>
      <c r="E9508" s="10">
        <v>3388714</v>
      </c>
      <c r="F9508" s="4" t="str">
        <f>IF(B9508=B9507,"",B9508)</f>
        <v>São Gonçalo do Amarante</v>
      </c>
    </row>
    <row r="9509" spans="1:6" ht="15.75" customHeight="1">
      <c r="A9509" s="5" t="str">
        <f ca="1">IFERROR(__xludf.DUMMYFUNCTION("GOOGLETRANSLATE(B25310,""en"",""pt"")"),"São Gabriel da Cachoeira")</f>
        <v>São Gabriel da Cachoeira</v>
      </c>
      <c r="B9509" s="17" t="s">
        <v>31740</v>
      </c>
      <c r="C9509" s="17" t="s">
        <v>1905</v>
      </c>
      <c r="D9509" s="17" t="s">
        <v>2287</v>
      </c>
      <c r="E9509" s="10">
        <v>3662342</v>
      </c>
      <c r="F9509" s="4" t="str">
        <f>IF(B9509=B9508,"",B9509)</f>
        <v>São Gabriel da Cachoeira</v>
      </c>
    </row>
    <row r="9510" spans="1:6" ht="15.75" customHeight="1">
      <c r="A9510" s="5" t="str">
        <f ca="1">IFERROR(__xludf.DUMMYFUNCTION("GOOGLETRANSLATE(B24574,""en"",""pt"")"),"São Gabriel")</f>
        <v>São Gabriel</v>
      </c>
      <c r="B9510" s="17" t="s">
        <v>31500</v>
      </c>
      <c r="C9510" s="17" t="s">
        <v>1905</v>
      </c>
      <c r="D9510" s="17" t="s">
        <v>1951</v>
      </c>
      <c r="E9510" s="10">
        <v>3449099</v>
      </c>
      <c r="F9510" s="4" t="str">
        <f>IF(B9510=B9509,"",B9510)</f>
        <v>São Gabriel</v>
      </c>
    </row>
    <row r="9511" spans="1:6" ht="15.75" customHeight="1">
      <c r="A9511" s="5" t="str">
        <f ca="1">IFERROR(__xludf.DUMMYFUNCTION("GOOGLETRANSLATE(B24575,""en"",""pt"")"),"São Francisco do Sul")</f>
        <v>São Francisco do Sul</v>
      </c>
      <c r="B9511" s="17" t="s">
        <v>30049</v>
      </c>
      <c r="C9511" s="17" t="s">
        <v>1905</v>
      </c>
      <c r="D9511" s="17" t="s">
        <v>2020</v>
      </c>
      <c r="E9511" s="10">
        <v>3449112</v>
      </c>
      <c r="F9511" s="4" t="str">
        <f>IF(B9511=B9510,"",B9511)</f>
        <v>São Francisco do Sul</v>
      </c>
    </row>
    <row r="9512" spans="1:6" ht="15.75" customHeight="1">
      <c r="A9512" s="5" t="str">
        <f ca="1">IFERROR(__xludf.DUMMYFUNCTION("GOOGLETRANSLATE(B24576,""en"",""pt"")"),"São Francisco Do Conde")</f>
        <v>São Francisco Do Conde</v>
      </c>
      <c r="B9512" s="17" t="s">
        <v>31501</v>
      </c>
      <c r="C9512" s="17" t="s">
        <v>1905</v>
      </c>
      <c r="D9512" s="17" t="s">
        <v>1947</v>
      </c>
      <c r="E9512" s="10">
        <v>3449116</v>
      </c>
      <c r="F9512" s="4" t="str">
        <f>IF(B9512=B9511,"",B9512)</f>
        <v>São Francisco do Conde</v>
      </c>
    </row>
    <row r="9513" spans="1:6" ht="15.75" customHeight="1">
      <c r="A9513" s="5" t="str">
        <f ca="1">IFERROR(__xludf.DUMMYFUNCTION("GOOGLETRANSLATE(B24577,""en"",""pt"")"),"São Francisco")</f>
        <v>São Francisco</v>
      </c>
      <c r="B9513" s="17" t="s">
        <v>775</v>
      </c>
      <c r="C9513" s="17" t="s">
        <v>1905</v>
      </c>
      <c r="D9513" s="17" t="s">
        <v>1917</v>
      </c>
      <c r="E9513" s="10">
        <v>3449176</v>
      </c>
      <c r="F9513" s="4" t="str">
        <f>IF(B9513=B9512,"",B9513)</f>
        <v>São Francisco</v>
      </c>
    </row>
    <row r="9514" spans="1:6" ht="15.75" customHeight="1">
      <c r="A9514" s="5" t="str">
        <f ca="1">IFERROR(__xludf.DUMMYFUNCTION("GOOGLETRANSLATE(B24578,""en"",""pt"")"),"São Fidélis")</f>
        <v>São Fidélis</v>
      </c>
      <c r="B9514" s="17" t="s">
        <v>31502</v>
      </c>
      <c r="C9514" s="17" t="s">
        <v>1905</v>
      </c>
      <c r="D9514" s="17" t="s">
        <v>1978</v>
      </c>
      <c r="E9514" s="10">
        <v>3449195</v>
      </c>
      <c r="F9514" s="4" t="str">
        <f>IF(B9514=B9513,"",B9514)</f>
        <v>São Fidélis</v>
      </c>
    </row>
    <row r="9515" spans="1:6" ht="15.75" customHeight="1">
      <c r="A9515" s="5" t="str">
        <f ca="1">IFERROR(__xludf.DUMMYFUNCTION("GOOGLETRANSLATE(B24194,""en"",""pt"")"),"São Félix do Xingu")</f>
        <v>São Félix do Xingu</v>
      </c>
      <c r="B9515" s="17" t="s">
        <v>31370</v>
      </c>
      <c r="C9515" s="17" t="s">
        <v>1905</v>
      </c>
      <c r="D9515" s="17" t="s">
        <v>31342</v>
      </c>
      <c r="E9515" s="10">
        <v>3388847</v>
      </c>
      <c r="F9515" s="4" t="str">
        <f>IF(B9515=B9514,"",B9515)</f>
        <v>São Félix do Xingu</v>
      </c>
    </row>
    <row r="9516" spans="1:6" ht="15.75" customHeight="1">
      <c r="A9516" s="5" t="str">
        <f ca="1">IFERROR(__xludf.DUMMYFUNCTION("GOOGLETRANSLATE(B24195,""en"",""pt"")"),"São Domingos do Maranhão")</f>
        <v>São Domingos do Maranhão</v>
      </c>
      <c r="B9516" s="17" t="s">
        <v>31371</v>
      </c>
      <c r="C9516" s="17" t="s">
        <v>1905</v>
      </c>
      <c r="D9516" s="17" t="s">
        <v>31340</v>
      </c>
      <c r="E9516" s="10">
        <v>3388868</v>
      </c>
      <c r="F9516" s="4" t="str">
        <f>IF(B9516=B9515,"",B9516)</f>
        <v>São Domingos do Maranhão</v>
      </c>
    </row>
    <row r="9517" spans="1:6" ht="15.75" customHeight="1">
      <c r="A9517" s="5" t="str">
        <f ca="1">IFERROR(__xludf.DUMMYFUNCTION("GOOGLETRANSLATE(B39572,""en"",""pt"")"),"São Domingos de Rana")</f>
        <v>São Domingos de Rana</v>
      </c>
      <c r="B9517" s="17" t="s">
        <v>35289</v>
      </c>
      <c r="C9517" s="17" t="s">
        <v>21606</v>
      </c>
      <c r="D9517" s="17" t="s">
        <v>21616</v>
      </c>
      <c r="E9517" s="10">
        <v>2263352</v>
      </c>
      <c r="F9517" s="4" t="str">
        <f>IF(B9517=B9516,"",B9517)</f>
        <v>São Domingos de Rana</v>
      </c>
    </row>
    <row r="9518" spans="1:6" ht="15.75" customHeight="1">
      <c r="A9518" s="5" t="str">
        <f ca="1">IFERROR(__xludf.DUMMYFUNCTION("GOOGLETRANSLATE(B24579,""en"",""pt"")"),"São Cristóvão")</f>
        <v>São Cristóvão</v>
      </c>
      <c r="B9518" s="17" t="s">
        <v>31503</v>
      </c>
      <c r="C9518" s="17" t="s">
        <v>1905</v>
      </c>
      <c r="D9518" s="17" t="s">
        <v>2002</v>
      </c>
      <c r="E9518" s="10">
        <v>3449310</v>
      </c>
      <c r="F9518" s="4" t="str">
        <f>IF(B9518=B9517,"",B9518)</f>
        <v>São Cristóvão</v>
      </c>
    </row>
    <row r="9519" spans="1:6" ht="15.75" customHeight="1">
      <c r="A9519" s="5" t="str">
        <f ca="1">IFERROR(__xludf.DUMMYFUNCTION("GOOGLETRANSLATE(B24580,""en"",""pt"")"),"São Carlos")</f>
        <v>São Carlos</v>
      </c>
      <c r="B9519" s="17" t="s">
        <v>31504</v>
      </c>
      <c r="C9519" s="17" t="s">
        <v>1905</v>
      </c>
      <c r="D9519" s="17" t="s">
        <v>3354</v>
      </c>
      <c r="E9519" s="10">
        <v>3449319</v>
      </c>
      <c r="F9519" s="4" t="str">
        <f>IF(B9519=B9518,"",B9519)</f>
        <v>São Carlos</v>
      </c>
    </row>
    <row r="9520" spans="1:6" ht="15.75" customHeight="1">
      <c r="A9520" s="5" t="str">
        <f ca="1">IFERROR(__xludf.DUMMYFUNCTION("GOOGLETRANSLATE(B24581,""en"",""pt"")"),"São caetano do sul")</f>
        <v>São caetano do sul</v>
      </c>
      <c r="B9520" s="17" t="s">
        <v>31505</v>
      </c>
      <c r="C9520" s="17" t="s">
        <v>1905</v>
      </c>
      <c r="D9520" s="17" t="s">
        <v>3354</v>
      </c>
      <c r="E9520" s="10">
        <v>3449324</v>
      </c>
      <c r="F9520" s="4" t="str">
        <f>IF(B9520=B9519,"",B9520)</f>
        <v>São Caetano do Sul</v>
      </c>
    </row>
    <row r="9521" spans="1:6" ht="15.75" customHeight="1">
      <c r="A9521" s="5" t="str">
        <f ca="1">IFERROR(__xludf.DUMMYFUNCTION("GOOGLETRANSLATE(B24582,""en"",""pt"")"),"São Borja")</f>
        <v>São Borja</v>
      </c>
      <c r="B9521" s="17" t="s">
        <v>31506</v>
      </c>
      <c r="C9521" s="17" t="s">
        <v>1905</v>
      </c>
      <c r="D9521" s="17" t="s">
        <v>1951</v>
      </c>
      <c r="E9521" s="10">
        <v>3449340</v>
      </c>
      <c r="F9521" s="4" t="str">
        <f>IF(B9521=B9520,"",B9521)</f>
        <v>São Borja</v>
      </c>
    </row>
    <row r="9522" spans="1:6" ht="15.75" customHeight="1">
      <c r="A9522" s="5" t="str">
        <f ca="1">IFERROR(__xludf.DUMMYFUNCTION("GOOGLETRANSLATE(B24583,""en"",""pt"")"),"São Bernardo do Campo")</f>
        <v>São Bernardo do Campo</v>
      </c>
      <c r="B9522" s="17" t="s">
        <v>31507</v>
      </c>
      <c r="C9522" s="17" t="s">
        <v>1905</v>
      </c>
      <c r="D9522" s="17" t="s">
        <v>3354</v>
      </c>
      <c r="E9522" s="10">
        <v>3449344</v>
      </c>
      <c r="F9522" s="4" t="str">
        <f>IF(B9522=B9521,"",B9522)</f>
        <v>São Bernardo do Campo</v>
      </c>
    </row>
    <row r="9523" spans="1:6" ht="15.75" customHeight="1">
      <c r="A9523" s="5" t="str">
        <f ca="1">IFERROR(__xludf.DUMMYFUNCTION("GOOGLETRANSLATE(B24584,""en"",""pt"")"),"São Bento do Sul")</f>
        <v>São Bento do Sul</v>
      </c>
      <c r="B9523" s="17" t="s">
        <v>31508</v>
      </c>
      <c r="C9523" s="17" t="s">
        <v>1905</v>
      </c>
      <c r="D9523" s="17" t="s">
        <v>2020</v>
      </c>
      <c r="E9523" s="10">
        <v>3449350</v>
      </c>
      <c r="F9523" s="4" t="str">
        <f>IF(B9523=B9522,"",B9523)</f>
        <v>São Bento do Sul</v>
      </c>
    </row>
    <row r="9524" spans="1:6" ht="15.75" customHeight="1">
      <c r="A9524" s="5" t="str">
        <f ca="1">IFERROR(__xludf.DUMMYFUNCTION("GOOGLETRANSLATE(B24196,""en"",""pt"")"),"São Bento")</f>
        <v>São Bento</v>
      </c>
      <c r="B9524" s="17" t="s">
        <v>31372</v>
      </c>
      <c r="C9524" s="17" t="s">
        <v>1905</v>
      </c>
      <c r="D9524" s="17" t="s">
        <v>31343</v>
      </c>
      <c r="E9524" s="10">
        <v>3388991</v>
      </c>
      <c r="F9524" s="4" t="str">
        <f>IF(B9524=B9523,"",B9524)</f>
        <v>São Bento</v>
      </c>
    </row>
    <row r="9525" spans="1:6" ht="15.75" customHeight="1">
      <c r="A9525" s="5" t="str">
        <f ca="1">IFERROR(__xludf.DUMMYFUNCTION("GOOGLETRANSLATE(B24197,""en"",""pt"")"),"São Bento")</f>
        <v>São Bento</v>
      </c>
      <c r="B9525" s="17" t="s">
        <v>31372</v>
      </c>
      <c r="C9525" s="17" t="s">
        <v>1905</v>
      </c>
      <c r="D9525" s="17" t="s">
        <v>31340</v>
      </c>
      <c r="E9525" s="10">
        <v>3389006</v>
      </c>
      <c r="F9525" s="4" t="str">
        <f>IF(B9525=B9524,"",B9525)</f>
        <v/>
      </c>
    </row>
    <row r="9526" spans="1:6" ht="15.75" customHeight="1">
      <c r="A9526" s="6" t="s">
        <v>5042</v>
      </c>
      <c r="B9526" s="6" t="s">
        <v>5042</v>
      </c>
      <c r="C9526" s="6" t="s">
        <v>4487</v>
      </c>
      <c r="D9526" s="6" t="s">
        <v>4715</v>
      </c>
      <c r="E9526" s="2">
        <v>1796556</v>
      </c>
      <c r="F9526" s="4" t="str">
        <f>IF(B9526=B9525,"",B9526)</f>
        <v>Sanya</v>
      </c>
    </row>
    <row r="9527" spans="1:6" ht="15.75" customHeight="1">
      <c r="A9527" s="5" t="str">
        <f ca="1">IFERROR(__xludf.DUMMYFUNCTION("GOOGLETRANSLATE(B26286,""en"",""pt"")"),"Sanya")</f>
        <v>Sanya</v>
      </c>
      <c r="B9527" s="17" t="s">
        <v>5042</v>
      </c>
      <c r="C9527" s="17" t="s">
        <v>4487</v>
      </c>
      <c r="D9527" s="17" t="s">
        <v>4715</v>
      </c>
      <c r="E9527" s="10">
        <v>1796556</v>
      </c>
      <c r="F9527" s="4" t="str">
        <f>IF(B9527=B9526,"",B9527)</f>
        <v/>
      </c>
    </row>
    <row r="9528" spans="1:6" ht="15.75" customHeight="1">
      <c r="A9528" s="6" t="s">
        <v>24818</v>
      </c>
      <c r="B9528" s="6" t="s">
        <v>24818</v>
      </c>
      <c r="C9528" s="6" t="s">
        <v>24200</v>
      </c>
      <c r="D9528" s="6" t="s">
        <v>24201</v>
      </c>
      <c r="E9528" s="2">
        <v>3110610</v>
      </c>
      <c r="F9528" s="4" t="str">
        <f>IF(B9528=B9527,"",B9528)</f>
        <v>Sanxenxo</v>
      </c>
    </row>
    <row r="9529" spans="1:6" ht="15.75" customHeight="1">
      <c r="A9529" s="5" t="str">
        <f ca="1">IFERROR(__xludf.DUMMYFUNCTION("GOOGLETRANSLATE(B29294,""en"",""pt"")"),"Sanxenxo")</f>
        <v>Sanxenxo</v>
      </c>
      <c r="B9529" s="17" t="s">
        <v>24818</v>
      </c>
      <c r="C9529" s="17" t="s">
        <v>24200</v>
      </c>
      <c r="D9529" s="17" t="s">
        <v>24201</v>
      </c>
      <c r="E9529" s="10">
        <v>3110610</v>
      </c>
      <c r="F9529" s="4" t="str">
        <f>IF(B9529=B9528,"",B9529)</f>
        <v/>
      </c>
    </row>
    <row r="9530" spans="1:6" ht="15.75" customHeight="1">
      <c r="A9530" s="6" t="s">
        <v>24135</v>
      </c>
      <c r="B9530" s="6" t="s">
        <v>24135</v>
      </c>
      <c r="C9530" s="6" t="s">
        <v>24024</v>
      </c>
      <c r="D9530" s="6" t="s">
        <v>24054</v>
      </c>
      <c r="E9530" s="2">
        <v>1838069</v>
      </c>
      <c r="F9530" s="4" t="str">
        <f>IF(B9530=B9529,"",B9530)</f>
        <v>Santyoku</v>
      </c>
    </row>
    <row r="9531" spans="1:6" ht="15.75" customHeight="1">
      <c r="A9531" s="5" t="str">
        <f ca="1">IFERROR(__xludf.DUMMYFUNCTION("GOOGLETRANSLATE(B36078,""en"",""pt"")"),"Santyoku")</f>
        <v>Santyoku</v>
      </c>
      <c r="B9531" s="17" t="s">
        <v>24135</v>
      </c>
      <c r="C9531" s="17" t="s">
        <v>24024</v>
      </c>
      <c r="D9531" s="17" t="s">
        <v>24054</v>
      </c>
      <c r="E9531" s="10">
        <v>1838069</v>
      </c>
      <c r="F9531" s="4" t="str">
        <f>IF(B9531=B9530,"",B9531)</f>
        <v/>
      </c>
    </row>
    <row r="9532" spans="1:6" ht="15.75" customHeight="1">
      <c r="A9532" s="6" t="s">
        <v>24817</v>
      </c>
      <c r="B9532" s="6" t="s">
        <v>24817</v>
      </c>
      <c r="C9532" s="6" t="s">
        <v>24200</v>
      </c>
      <c r="D9532" s="6" t="s">
        <v>24249</v>
      </c>
      <c r="E9532" s="2">
        <v>6618856</v>
      </c>
      <c r="F9532" s="4" t="str">
        <f>IF(B9532=B9531,"",B9532)</f>
        <v>Santutxu</v>
      </c>
    </row>
    <row r="9533" spans="1:6" ht="15.75" customHeight="1">
      <c r="A9533" s="5" t="str">
        <f ca="1">IFERROR(__xludf.DUMMYFUNCTION("GOOGLETRANSLATE(B29505,""en"",""pt"")"),"Santutxu")</f>
        <v>Santutxu</v>
      </c>
      <c r="B9533" s="17" t="s">
        <v>24817</v>
      </c>
      <c r="C9533" s="17" t="s">
        <v>24200</v>
      </c>
      <c r="D9533" s="17" t="s">
        <v>24249</v>
      </c>
      <c r="E9533" s="10">
        <v>6618856</v>
      </c>
      <c r="F9533" s="4" t="str">
        <f>IF(B9533=B9532,"",B9533)</f>
        <v/>
      </c>
    </row>
    <row r="9534" spans="1:6" ht="15.75" customHeight="1">
      <c r="A9534" s="6" t="s">
        <v>24816</v>
      </c>
      <c r="B9534" s="6" t="s">
        <v>24816</v>
      </c>
      <c r="C9534" s="6" t="s">
        <v>24200</v>
      </c>
      <c r="D9534" s="6" t="s">
        <v>24249</v>
      </c>
      <c r="E9534" s="2">
        <v>3109481</v>
      </c>
      <c r="F9534" s="4" t="str">
        <f>IF(B9534=B9533,"",B9534)</f>
        <v>Santurtzi</v>
      </c>
    </row>
    <row r="9535" spans="1:6" ht="15.75" customHeight="1">
      <c r="A9535" s="5" t="str">
        <f ca="1">IFERROR(__xludf.DUMMYFUNCTION("GOOGLETRANSLATE(B29279,""en"",""pt"")"),"Santurtzi")</f>
        <v>Santurtzi</v>
      </c>
      <c r="B9535" s="17" t="s">
        <v>24816</v>
      </c>
      <c r="C9535" s="17" t="s">
        <v>24200</v>
      </c>
      <c r="D9535" s="17" t="s">
        <v>24249</v>
      </c>
      <c r="E9535" s="10">
        <v>3109481</v>
      </c>
      <c r="F9535" s="4" t="str">
        <f>IF(B9535=B9534,"",B9535)</f>
        <v/>
      </c>
    </row>
    <row r="9536" spans="1:6" ht="15.75" customHeight="1">
      <c r="A9536" s="6" t="s">
        <v>5609</v>
      </c>
      <c r="B9536" s="6" t="s">
        <v>5609</v>
      </c>
      <c r="C9536" s="6" t="s">
        <v>5348</v>
      </c>
      <c r="D9536" s="6" t="s">
        <v>5362</v>
      </c>
      <c r="E9536" s="2">
        <v>3668323</v>
      </c>
      <c r="F9536" s="4" t="str">
        <f>IF(B9536=B9535,"",B9536)</f>
        <v>Santuario</v>
      </c>
    </row>
    <row r="9537" spans="1:6" ht="15.75" customHeight="1">
      <c r="A9537" s="5" t="str">
        <f ca="1">IFERROR(__xludf.DUMMYFUNCTION("GOOGLETRANSLATE(B26879,""en"",""pt"")"),"Santuario")</f>
        <v>Santuario</v>
      </c>
      <c r="B9537" s="17" t="s">
        <v>5609</v>
      </c>
      <c r="C9537" s="17" t="s">
        <v>5348</v>
      </c>
      <c r="D9537" s="17" t="s">
        <v>5362</v>
      </c>
      <c r="E9537" s="10">
        <v>3668323</v>
      </c>
      <c r="F9537" s="4" t="str">
        <f>IF(B9537=B9536,"",B9537)</f>
        <v/>
      </c>
    </row>
    <row r="9538" spans="1:6" ht="15.75" customHeight="1">
      <c r="A9538" s="5" t="str">
        <f ca="1">IFERROR(__xludf.DUMMYFUNCTION("GOOGLETRANSLATE(B29487,""en"",""pt"")"),"SANTS-MONTJUïc")</f>
        <v>SANTS-MONTJUïc</v>
      </c>
      <c r="B9538" s="17" t="s">
        <v>32478</v>
      </c>
      <c r="C9538" s="17" t="s">
        <v>24200</v>
      </c>
      <c r="D9538" s="17" t="s">
        <v>24277</v>
      </c>
      <c r="E9538" s="10">
        <v>6544104</v>
      </c>
      <c r="F9538" s="4" t="str">
        <f>IF(B9538=B9537,"",B9538)</f>
        <v>Sants-Montjuïc</v>
      </c>
    </row>
    <row r="9539" spans="1:6" ht="15.75" customHeight="1">
      <c r="A9539" s="5" t="s">
        <v>24814</v>
      </c>
      <c r="B9539" s="6" t="s">
        <v>24815</v>
      </c>
      <c r="C9539" s="5" t="s">
        <v>24200</v>
      </c>
      <c r="D9539" s="5" t="s">
        <v>24277</v>
      </c>
      <c r="E9539" s="2">
        <v>6544104</v>
      </c>
      <c r="F9539" s="4" t="str">
        <f>IF(B9539=B9538,"",B9539)</f>
        <v>Sants-MontjuÃ¯c</v>
      </c>
    </row>
    <row r="9540" spans="1:6" ht="15.75" customHeight="1">
      <c r="A9540" s="5" t="s">
        <v>3453</v>
      </c>
      <c r="B9540" s="6" t="s">
        <v>3453</v>
      </c>
      <c r="C9540" s="5" t="s">
        <v>1905</v>
      </c>
      <c r="D9540" s="5" t="s">
        <v>1917</v>
      </c>
      <c r="E9540" s="2">
        <v>3449427</v>
      </c>
      <c r="F9540" s="4" t="str">
        <f>IF(B9540=B9539,"",B9540)</f>
        <v>Santos Dumont</v>
      </c>
    </row>
    <row r="9541" spans="1:6" ht="15.75" customHeight="1">
      <c r="A9541" s="5" t="str">
        <f ca="1">IFERROR(__xludf.DUMMYFUNCTION("GOOGLETRANSLATE(B24585,""en"",""pt"")"),"Santos Dumont")</f>
        <v>Santos Dumont</v>
      </c>
      <c r="B9541" s="17" t="s">
        <v>3453</v>
      </c>
      <c r="C9541" s="17" t="s">
        <v>1905</v>
      </c>
      <c r="D9541" s="17" t="s">
        <v>1917</v>
      </c>
      <c r="E9541" s="10">
        <v>3449427</v>
      </c>
      <c r="F9541" s="4" t="str">
        <f>IF(B9541=B9540,"",B9541)</f>
        <v/>
      </c>
    </row>
    <row r="9542" spans="1:6" ht="15.75" customHeight="1">
      <c r="A9542" s="6" t="s">
        <v>3452</v>
      </c>
      <c r="B9542" s="6" t="s">
        <v>3452</v>
      </c>
      <c r="C9542" s="6" t="s">
        <v>1905</v>
      </c>
      <c r="D9542" s="6" t="s">
        <v>1914</v>
      </c>
      <c r="E9542" s="2">
        <v>3449433</v>
      </c>
      <c r="F9542" s="4" t="str">
        <f>IF(B9542=B9541,"",B9542)</f>
        <v>Santos</v>
      </c>
    </row>
    <row r="9543" spans="1:6" ht="15.75" customHeight="1">
      <c r="A9543" s="5" t="str">
        <f ca="1">IFERROR(__xludf.DUMMYFUNCTION("GOOGLETRANSLATE(B24586,""en"",""pt"")"),"Santos")</f>
        <v>Santos</v>
      </c>
      <c r="B9543" s="17" t="s">
        <v>3452</v>
      </c>
      <c r="C9543" s="17" t="s">
        <v>1905</v>
      </c>
      <c r="D9543" s="17" t="s">
        <v>3354</v>
      </c>
      <c r="E9543" s="10">
        <v>3449433</v>
      </c>
      <c r="F9543" s="4" t="str">
        <f>IF(B9543=B9542,"",B9543)</f>
        <v/>
      </c>
    </row>
    <row r="9544" spans="1:6" ht="15.75" customHeight="1">
      <c r="A9544" s="5" t="s">
        <v>24813</v>
      </c>
      <c r="B9544" s="6" t="s">
        <v>24813</v>
      </c>
      <c r="C9544" s="5" t="s">
        <v>24200</v>
      </c>
      <c r="D9544" s="5" t="s">
        <v>20912</v>
      </c>
      <c r="E9544" s="2">
        <v>2511050</v>
      </c>
      <c r="F9544" s="4" t="str">
        <f>IF(B9544=B9543,"",B9544)</f>
        <v>Santomera</v>
      </c>
    </row>
    <row r="9545" spans="1:6" ht="15.75" customHeight="1">
      <c r="A9545" s="5" t="str">
        <f ca="1">IFERROR(__xludf.DUMMYFUNCTION("GOOGLETRANSLATE(B28985,""en"",""pt"")"),"Santomera")</f>
        <v>Santomera</v>
      </c>
      <c r="B9545" s="17" t="s">
        <v>24813</v>
      </c>
      <c r="C9545" s="17" t="s">
        <v>24200</v>
      </c>
      <c r="D9545" s="17" t="s">
        <v>20912</v>
      </c>
      <c r="E9545" s="10">
        <v>2511050</v>
      </c>
      <c r="F9545" s="4" t="str">
        <f>IF(B9545=B9544,"",B9545)</f>
        <v/>
      </c>
    </row>
    <row r="9546" spans="1:6" ht="15.75" customHeight="1">
      <c r="A9546" s="6" t="s">
        <v>21005</v>
      </c>
      <c r="B9546" s="6" t="s">
        <v>21005</v>
      </c>
      <c r="C9546" s="6" t="s">
        <v>20598</v>
      </c>
      <c r="D9546" s="6" t="s">
        <v>20599</v>
      </c>
      <c r="E9546" s="2">
        <v>1687687</v>
      </c>
      <c r="F9546" s="4" t="str">
        <f>IF(B9546=B9545,"",B9546)</f>
        <v>Santol</v>
      </c>
    </row>
    <row r="9547" spans="1:6" ht="15.75" customHeight="1">
      <c r="A9547" s="5" t="str">
        <f ca="1">IFERROR(__xludf.DUMMYFUNCTION("GOOGLETRANSLATE(B38484,""en"",""pt"")"),"Santol")</f>
        <v>Santol</v>
      </c>
      <c r="B9547" s="17" t="s">
        <v>21005</v>
      </c>
      <c r="C9547" s="17" t="s">
        <v>20598</v>
      </c>
      <c r="D9547" s="17" t="s">
        <v>20599</v>
      </c>
      <c r="E9547" s="10">
        <v>1687687</v>
      </c>
      <c r="F9547" s="4" t="str">
        <f>IF(B9547=B9546,"",B9547)</f>
        <v/>
      </c>
    </row>
    <row r="9548" spans="1:6" ht="15.75" customHeight="1">
      <c r="A9548" s="5" t="str">
        <f ca="1">IFERROR(__xludf.DUMMYFUNCTION("GOOGLETRANSLATE(B23176,""en"",""pt"")"),"Santo Tomé")</f>
        <v>Santo Tomé</v>
      </c>
      <c r="B9548" s="17" t="s">
        <v>806</v>
      </c>
      <c r="C9548" s="17" t="s">
        <v>558</v>
      </c>
      <c r="D9548" s="17" t="s">
        <v>629</v>
      </c>
      <c r="E9548" s="10">
        <v>3428071</v>
      </c>
      <c r="F9548" s="4" t="str">
        <f>IF(B9548=B9547,"",B9548)</f>
        <v>Santo Tomé</v>
      </c>
    </row>
    <row r="9549" spans="1:6" ht="15.75" customHeight="1">
      <c r="A9549" s="5" t="str">
        <f ca="1">IFERROR(__xludf.DUMMYFUNCTION("GOOGLETRANSLATE(B23257,""en"",""pt"")"),"Santo Tomé")</f>
        <v>Santo Tomé</v>
      </c>
      <c r="B9549" s="17" t="s">
        <v>806</v>
      </c>
      <c r="C9549" s="17" t="s">
        <v>558</v>
      </c>
      <c r="D9549" s="17" t="s">
        <v>579</v>
      </c>
      <c r="E9549" s="10">
        <v>3835793</v>
      </c>
      <c r="F9549" s="4" t="str">
        <f>IF(B9549=B9548,"",B9549)</f>
        <v/>
      </c>
    </row>
    <row r="9550" spans="1:6" ht="15.75" customHeight="1">
      <c r="A9550" s="5" t="str">
        <f ca="1">IFERROR(__xludf.DUMMYFUNCTION("GOOGLETRANSLATE(B26880,""en"",""pt"")"),"Santo Tomás")</f>
        <v>Santo Tomás</v>
      </c>
      <c r="B9550" s="17" t="s">
        <v>31844</v>
      </c>
      <c r="C9550" s="17" t="s">
        <v>5348</v>
      </c>
      <c r="D9550" s="17" t="s">
        <v>31843</v>
      </c>
      <c r="E9550" s="10">
        <v>3668332</v>
      </c>
      <c r="F9550" s="4" t="str">
        <f>IF(B9550=B9549,"",B9550)</f>
        <v>Santo Tomás</v>
      </c>
    </row>
    <row r="9551" spans="1:6" ht="15.75" customHeight="1">
      <c r="A9551" s="5" t="s">
        <v>21004</v>
      </c>
      <c r="B9551" s="6" t="s">
        <v>21004</v>
      </c>
      <c r="C9551" s="5" t="s">
        <v>20598</v>
      </c>
      <c r="D9551" s="5" t="s">
        <v>20608</v>
      </c>
      <c r="E9551" s="2">
        <v>1687534</v>
      </c>
      <c r="F9551" s="4" t="str">
        <f>IF(B9551=B9550,"",B9551)</f>
        <v>Santo Tomas</v>
      </c>
    </row>
    <row r="9552" spans="1:6" ht="15.75" customHeight="1">
      <c r="A9552" s="5" t="str">
        <f ca="1">IFERROR(__xludf.DUMMYFUNCTION("GOOGLETRANSLATE(B38483,""en"",""pt"")"),"Santo Tomas")</f>
        <v>Santo Tomas</v>
      </c>
      <c r="B9552" s="17" t="s">
        <v>21004</v>
      </c>
      <c r="C9552" s="17" t="s">
        <v>20598</v>
      </c>
      <c r="D9552" s="17" t="s">
        <v>20608</v>
      </c>
      <c r="E9552" s="10">
        <v>1687534</v>
      </c>
      <c r="F9552" s="4" t="str">
        <f>IF(B9552=B9551,"",B9552)</f>
        <v/>
      </c>
    </row>
    <row r="9553" spans="1:6" ht="15.75" customHeight="1">
      <c r="A9553" s="5" t="s">
        <v>806</v>
      </c>
      <c r="B9553" s="6" t="s">
        <v>807</v>
      </c>
      <c r="C9553" s="5" t="s">
        <v>558</v>
      </c>
      <c r="D9553" s="5" t="s">
        <v>629</v>
      </c>
      <c r="E9553" s="2">
        <v>3428071</v>
      </c>
      <c r="F9553" s="4" t="str">
        <f>IF(B9553=B9552,"",B9553)</f>
        <v>Santo TomÃ©</v>
      </c>
    </row>
    <row r="9554" spans="1:6" ht="15.75" customHeight="1">
      <c r="A9554" s="5" t="s">
        <v>806</v>
      </c>
      <c r="B9554" s="6" t="s">
        <v>807</v>
      </c>
      <c r="C9554" s="5" t="s">
        <v>558</v>
      </c>
      <c r="D9554" s="5" t="s">
        <v>579</v>
      </c>
      <c r="E9554" s="2">
        <v>3835793</v>
      </c>
      <c r="F9554" s="4" t="str">
        <f>IF(B9554=B9553,"",B9554)</f>
        <v/>
      </c>
    </row>
    <row r="9555" spans="1:6" ht="15.75" customHeight="1">
      <c r="A9555" s="5" t="s">
        <v>5607</v>
      </c>
      <c r="B9555" s="6" t="s">
        <v>5608</v>
      </c>
      <c r="C9555" s="5" t="s">
        <v>5348</v>
      </c>
      <c r="D9555" s="5" t="s">
        <v>5378</v>
      </c>
      <c r="E9555" s="2">
        <v>3668332</v>
      </c>
      <c r="F9555" s="4" t="str">
        <f>IF(B9555=B9554,"",B9555)</f>
        <v>Santo TomÃ¡s</v>
      </c>
    </row>
    <row r="9556" spans="1:6" ht="15.75" customHeight="1">
      <c r="A9556" s="5" t="str">
        <f ca="1">IFERROR(__xludf.DUMMYFUNCTION("GOOGLETRANSLATE(B24587,""en"",""pt"")"),"Santo Estêvão")</f>
        <v>Santo Estêvão</v>
      </c>
      <c r="B9556" s="17" t="s">
        <v>31509</v>
      </c>
      <c r="C9556" s="17" t="s">
        <v>1905</v>
      </c>
      <c r="D9556" s="17" t="s">
        <v>1947</v>
      </c>
      <c r="E9556" s="10">
        <v>3449467</v>
      </c>
      <c r="F9556" s="4" t="str">
        <f>IF(B9556=B9555,"",B9556)</f>
        <v>Santo Estêvão</v>
      </c>
    </row>
    <row r="9557" spans="1:6" ht="15.75" customHeight="1">
      <c r="A9557" s="5" t="s">
        <v>3450</v>
      </c>
      <c r="B9557" s="6" t="s">
        <v>3451</v>
      </c>
      <c r="C9557" s="5" t="s">
        <v>1905</v>
      </c>
      <c r="D9557" s="5" t="s">
        <v>1947</v>
      </c>
      <c r="E9557" s="2">
        <v>3449467</v>
      </c>
      <c r="F9557" s="4" t="str">
        <f>IF(B9557=B9556,"",B9557)</f>
        <v>Santo EstÃªvÃ£o</v>
      </c>
    </row>
    <row r="9558" spans="1:6" ht="15.75" customHeight="1">
      <c r="A9558" s="5" t="s">
        <v>18286</v>
      </c>
      <c r="B9558" s="6" t="s">
        <v>18286</v>
      </c>
      <c r="C9558" s="5" t="s">
        <v>17707</v>
      </c>
      <c r="D9558" s="5" t="s">
        <v>17844</v>
      </c>
      <c r="E9558" s="2">
        <v>3516843</v>
      </c>
      <c r="F9558" s="4" t="str">
        <f>IF(B9558=B9557,"",B9558)</f>
        <v>Santo Domingo Tehuantepec</v>
      </c>
    </row>
    <row r="9559" spans="1:6" ht="15.75" customHeight="1">
      <c r="A9559" s="5" t="str">
        <f ca="1">IFERROR(__xludf.DUMMYFUNCTION("GOOGLETRANSLATE(B36911,""en"",""pt"")"),"Santo Domingo Tehuantepec")</f>
        <v>Santo Domingo Tehuantepec</v>
      </c>
      <c r="B9559" s="17" t="s">
        <v>18286</v>
      </c>
      <c r="C9559" s="17" t="s">
        <v>17707</v>
      </c>
      <c r="D9559" s="17" t="s">
        <v>17844</v>
      </c>
      <c r="E9559" s="10">
        <v>3516843</v>
      </c>
      <c r="F9559" s="4" t="str">
        <f>IF(B9559=B9558,"",B9559)</f>
        <v/>
      </c>
    </row>
    <row r="9560" spans="1:6" ht="15.75" customHeight="1">
      <c r="A9560" s="5" t="s">
        <v>6372</v>
      </c>
      <c r="B9560" s="6" t="s">
        <v>6372</v>
      </c>
      <c r="C9560" s="5" t="s">
        <v>6303</v>
      </c>
      <c r="D9560" s="5" t="s">
        <v>5917</v>
      </c>
      <c r="E9560" s="2">
        <v>7874116</v>
      </c>
      <c r="F9560" s="4" t="str">
        <f>IF(B9560=B9559,"",B9560)</f>
        <v>Santo Domingo Oeste</v>
      </c>
    </row>
    <row r="9561" spans="1:6" ht="15.75" customHeight="1">
      <c r="A9561" s="5" t="str">
        <f ca="1">IFERROR(__xludf.DUMMYFUNCTION("GOOGLETRANSLATE(B28498,""en"",""pt"")"),"Santo Domingo Oeste")</f>
        <v>Santo Domingo Oeste</v>
      </c>
      <c r="B9561" s="17" t="s">
        <v>6372</v>
      </c>
      <c r="C9561" s="17" t="s">
        <v>6303</v>
      </c>
      <c r="D9561" s="17" t="s">
        <v>5917</v>
      </c>
      <c r="E9561" s="10">
        <v>7874116</v>
      </c>
      <c r="F9561" s="4" t="str">
        <f>IF(B9561=B9560,"",B9561)</f>
        <v/>
      </c>
    </row>
    <row r="9562" spans="1:6" ht="15.75" customHeight="1">
      <c r="A9562" s="5" t="s">
        <v>6477</v>
      </c>
      <c r="B9562" s="6" t="s">
        <v>6478</v>
      </c>
      <c r="C9562" s="5" t="s">
        <v>6398</v>
      </c>
      <c r="D9562" s="5" t="s">
        <v>6479</v>
      </c>
      <c r="E9562" s="2">
        <v>3651297</v>
      </c>
      <c r="F9562" s="4" t="str">
        <f>IF(B9562=B9561,"",B9562)</f>
        <v>Santo Domingo de los Colorados</v>
      </c>
    </row>
    <row r="9563" spans="1:6" ht="15.75" customHeight="1">
      <c r="A9563" s="5" t="str">
        <f ca="1">IFERROR(__xludf.DUMMYFUNCTION("GOOGLETRANSLATE(B28754,""en"",""pt"")"),"Santo Domingo de Los Colorados")</f>
        <v>Santo Domingo de Los Colorados</v>
      </c>
      <c r="B9563" s="17" t="s">
        <v>6478</v>
      </c>
      <c r="C9563" s="17" t="s">
        <v>6398</v>
      </c>
      <c r="D9563" s="17" t="s">
        <v>32235</v>
      </c>
      <c r="E9563" s="10">
        <v>3651297</v>
      </c>
      <c r="F9563" s="4" t="str">
        <f>IF(B9563=B9562,"",B9563)</f>
        <v/>
      </c>
    </row>
    <row r="9564" spans="1:6" ht="15.75" customHeight="1">
      <c r="A9564" s="5" t="s">
        <v>5917</v>
      </c>
      <c r="B9564" s="6" t="s">
        <v>5917</v>
      </c>
      <c r="C9564" s="5" t="s">
        <v>5764</v>
      </c>
      <c r="D9564" s="5" t="s">
        <v>5803</v>
      </c>
      <c r="E9564" s="2">
        <v>3536640</v>
      </c>
      <c r="F9564" s="4" t="str">
        <f>IF(B9564=B9563,"",B9564)</f>
        <v>Santo Domingo</v>
      </c>
    </row>
    <row r="9565" spans="1:6" ht="15.75" customHeight="1">
      <c r="A9565" s="5" t="s">
        <v>5917</v>
      </c>
      <c r="B9565" s="6" t="s">
        <v>5917</v>
      </c>
      <c r="C9565" s="5" t="s">
        <v>6303</v>
      </c>
      <c r="D9565" s="5" t="s">
        <v>6311</v>
      </c>
      <c r="E9565" s="2">
        <v>3492908</v>
      </c>
      <c r="F9565" s="4" t="str">
        <f>IF(B9565=B9564,"",B9565)</f>
        <v/>
      </c>
    </row>
    <row r="9566" spans="1:6" ht="15.75" customHeight="1">
      <c r="A9566" s="5" t="str">
        <f ca="1">IFERROR(__xludf.DUMMYFUNCTION("GOOGLETRANSLATE(B27112,""en"",""pt"")"),"Santo Domingo")</f>
        <v>Santo Domingo</v>
      </c>
      <c r="B9566" s="17" t="s">
        <v>5917</v>
      </c>
      <c r="C9566" s="17" t="s">
        <v>5764</v>
      </c>
      <c r="D9566" s="17" t="s">
        <v>5803</v>
      </c>
      <c r="E9566" s="10">
        <v>3536640</v>
      </c>
      <c r="F9566" s="4" t="str">
        <f>IF(B9566=B9565,"",B9566)</f>
        <v/>
      </c>
    </row>
    <row r="9567" spans="1:6" ht="15.75" customHeight="1">
      <c r="A9567" s="5" t="str">
        <f ca="1">IFERROR(__xludf.DUMMYFUNCTION("GOOGLETRANSLATE(B28458,""en"",""pt"")"),"Santo Domingo")</f>
        <v>Santo Domingo</v>
      </c>
      <c r="B9567" s="17" t="s">
        <v>5917</v>
      </c>
      <c r="C9567" s="17" t="s">
        <v>6303</v>
      </c>
      <c r="D9567" s="17" t="s">
        <v>6311</v>
      </c>
      <c r="E9567" s="10">
        <v>3492908</v>
      </c>
      <c r="F9567" s="4" t="str">
        <f>IF(B9567=B9566,"",B9567)</f>
        <v/>
      </c>
    </row>
    <row r="9568" spans="1:6" ht="15.75" customHeight="1">
      <c r="A9568" s="5" t="str">
        <f ca="1">IFERROR(__xludf.DUMMYFUNCTION("GOOGLETRANSLATE(B24588,""en"",""pt"")"),"Santo Antônio do Monte")</f>
        <v>Santo Antônio do Monte</v>
      </c>
      <c r="B9568" s="17" t="s">
        <v>31510</v>
      </c>
      <c r="C9568" s="17" t="s">
        <v>1905</v>
      </c>
      <c r="D9568" s="17" t="s">
        <v>1917</v>
      </c>
      <c r="E9568" s="10">
        <v>3449500</v>
      </c>
      <c r="F9568" s="4" t="str">
        <f>IF(B9568=B9567,"",B9568)</f>
        <v>Santo Antônio do Monte</v>
      </c>
    </row>
    <row r="9569" spans="1:6" ht="15.75" customHeight="1">
      <c r="A9569" s="5" t="str">
        <f ca="1">IFERROR(__xludf.DUMMYFUNCTION("GOOGLETRANSLATE(B24589,""en"",""pt"")"),"Santo Antônio do Amparo")</f>
        <v>Santo Antônio do Amparo</v>
      </c>
      <c r="B9569" s="17" t="s">
        <v>31511</v>
      </c>
      <c r="C9569" s="17" t="s">
        <v>1905</v>
      </c>
      <c r="D9569" s="17" t="s">
        <v>1917</v>
      </c>
      <c r="E9569" s="10">
        <v>3449516</v>
      </c>
      <c r="F9569" s="4" t="str">
        <f>IF(B9569=B9568,"",B9569)</f>
        <v>Santo Antônio do Amparo</v>
      </c>
    </row>
    <row r="9570" spans="1:6" ht="15.75" customHeight="1">
      <c r="A9570" s="5" t="str">
        <f ca="1">IFERROR(__xludf.DUMMYFUNCTION("GOOGLETRANSLATE(B24590,""en"",""pt"")"),"Santo Antônio de Posse")</f>
        <v>Santo Antônio de Posse</v>
      </c>
      <c r="B9570" s="17" t="s">
        <v>31512</v>
      </c>
      <c r="C9570" s="17" t="s">
        <v>1905</v>
      </c>
      <c r="D9570" s="17" t="s">
        <v>3354</v>
      </c>
      <c r="E9570" s="10">
        <v>3449518</v>
      </c>
      <c r="F9570" s="4" t="str">
        <f>IF(B9570=B9569,"",B9570)</f>
        <v>Santo Antônio de Posse</v>
      </c>
    </row>
    <row r="9571" spans="1:6" ht="15.75" customHeight="1">
      <c r="A9571" s="5" t="str">
        <f ca="1">IFERROR(__xludf.DUMMYFUNCTION("GOOGLETRANSLATE(B24591,""en"",""pt"")"),"Santo Antônio de Pádua")</f>
        <v>Santo Antônio de Pádua</v>
      </c>
      <c r="B9571" s="17" t="s">
        <v>31513</v>
      </c>
      <c r="C9571" s="17" t="s">
        <v>1905</v>
      </c>
      <c r="D9571" s="17" t="s">
        <v>1978</v>
      </c>
      <c r="E9571" s="10">
        <v>3449519</v>
      </c>
      <c r="F9571" s="4" t="str">
        <f>IF(B9571=B9570,"",B9571)</f>
        <v>Santo Antônio de Pádua</v>
      </c>
    </row>
    <row r="9572" spans="1:6" ht="15.75" customHeight="1">
      <c r="A9572" s="5" t="str">
        <f ca="1">IFERROR(__xludf.DUMMYFUNCTION("GOOGLETRANSLATE(B24592,""en"",""pt"")"),"Santo Antônio de Jesus")</f>
        <v>Santo Antônio de Jesus</v>
      </c>
      <c r="B9572" s="17" t="s">
        <v>31514</v>
      </c>
      <c r="C9572" s="17" t="s">
        <v>1905</v>
      </c>
      <c r="D9572" s="17" t="s">
        <v>1947</v>
      </c>
      <c r="E9572" s="10">
        <v>3449521</v>
      </c>
      <c r="F9572" s="4" t="str">
        <f>IF(B9572=B9571,"",B9572)</f>
        <v>Santo Antônio de Jesus</v>
      </c>
    </row>
    <row r="9573" spans="1:6" ht="15.75" customHeight="1">
      <c r="A9573" s="5" t="str">
        <f ca="1">IFERROR(__xludf.DUMMYFUNCTION("GOOGLETRANSLATE(B24593,""en"",""pt"")"),"Santo Antônio da Platina")</f>
        <v>Santo Antônio da Platina</v>
      </c>
      <c r="B9573" s="17" t="s">
        <v>31515</v>
      </c>
      <c r="C9573" s="17" t="s">
        <v>1905</v>
      </c>
      <c r="D9573" s="17" t="s">
        <v>727</v>
      </c>
      <c r="E9573" s="10">
        <v>3449529</v>
      </c>
      <c r="F9573" s="4" t="str">
        <f>IF(B9573=B9572,"",B9573)</f>
        <v>Santo Antônio da Platina</v>
      </c>
    </row>
    <row r="9574" spans="1:6" ht="15.75" customHeight="1">
      <c r="A9574" s="5" t="s">
        <v>3448</v>
      </c>
      <c r="B9574" s="6" t="s">
        <v>3449</v>
      </c>
      <c r="C9574" s="5" t="s">
        <v>1905</v>
      </c>
      <c r="D9574" s="5" t="s">
        <v>1917</v>
      </c>
      <c r="E9574" s="2">
        <v>3449500</v>
      </c>
      <c r="F9574" s="4" t="str">
        <f>IF(B9574=B9573,"",B9574)</f>
        <v>Santo AntÃ´nio do Monte</v>
      </c>
    </row>
    <row r="9575" spans="1:6" ht="15.75" customHeight="1">
      <c r="A9575" s="5" t="s">
        <v>3446</v>
      </c>
      <c r="B9575" s="6" t="s">
        <v>3447</v>
      </c>
      <c r="C9575" s="5" t="s">
        <v>1905</v>
      </c>
      <c r="D9575" s="5" t="s">
        <v>1917</v>
      </c>
      <c r="E9575" s="2">
        <v>3449516</v>
      </c>
      <c r="F9575" s="4" t="str">
        <f>IF(B9575=B9574,"",B9575)</f>
        <v>Santo AntÃ´nio do Amparo</v>
      </c>
    </row>
    <row r="9576" spans="1:6" ht="15.75" customHeight="1">
      <c r="A9576" s="5" t="s">
        <v>3444</v>
      </c>
      <c r="B9576" s="6" t="s">
        <v>3445</v>
      </c>
      <c r="C9576" s="5" t="s">
        <v>1905</v>
      </c>
      <c r="D9576" s="5" t="s">
        <v>1914</v>
      </c>
      <c r="E9576" s="2">
        <v>3449518</v>
      </c>
      <c r="F9576" s="4" t="str">
        <f>IF(B9576=B9575,"",B9576)</f>
        <v>Santo AntÃ´nio de Posse</v>
      </c>
    </row>
    <row r="9577" spans="1:6" ht="15.75" customHeight="1">
      <c r="A9577" s="5" t="s">
        <v>3442</v>
      </c>
      <c r="B9577" s="6" t="s">
        <v>3443</v>
      </c>
      <c r="C9577" s="5" t="s">
        <v>1905</v>
      </c>
      <c r="D9577" s="5" t="s">
        <v>1978</v>
      </c>
      <c r="E9577" s="2">
        <v>3449519</v>
      </c>
      <c r="F9577" s="4" t="str">
        <f>IF(B9577=B9576,"",B9577)</f>
        <v>Santo AntÃ´nio de PÃ¡dua</v>
      </c>
    </row>
    <row r="9578" spans="1:6" ht="15.75" customHeight="1">
      <c r="A9578" s="5" t="s">
        <v>3440</v>
      </c>
      <c r="B9578" s="6" t="s">
        <v>3441</v>
      </c>
      <c r="C9578" s="5" t="s">
        <v>1905</v>
      </c>
      <c r="D9578" s="5" t="s">
        <v>1947</v>
      </c>
      <c r="E9578" s="2">
        <v>3449521</v>
      </c>
      <c r="F9578" s="4" t="str">
        <f>IF(B9578=B9577,"",B9578)</f>
        <v>Santo AntÃ´nio de Jesus</v>
      </c>
    </row>
    <row r="9579" spans="1:6" ht="15.75" customHeight="1">
      <c r="A9579" s="5" t="s">
        <v>3438</v>
      </c>
      <c r="B9579" s="6" t="s">
        <v>3439</v>
      </c>
      <c r="C9579" s="5" t="s">
        <v>1905</v>
      </c>
      <c r="D9579" s="5" t="s">
        <v>728</v>
      </c>
      <c r="E9579" s="2">
        <v>3449529</v>
      </c>
      <c r="F9579" s="4" t="str">
        <f>IF(B9579=B9578,"",B9579)</f>
        <v>Santo AntÃ´nio da Platina</v>
      </c>
    </row>
    <row r="9580" spans="1:6" ht="15.75" customHeight="1">
      <c r="A9580" s="5" t="str">
        <f ca="1">IFERROR(__xludf.DUMMYFUNCTION("GOOGLETRANSLATE(B24594,""en"",""pt"")"),"Santo ângelo")</f>
        <v>Santo ângelo</v>
      </c>
      <c r="B9580" s="17" t="s">
        <v>31516</v>
      </c>
      <c r="C9580" s="17" t="s">
        <v>1905</v>
      </c>
      <c r="D9580" s="17" t="s">
        <v>1951</v>
      </c>
      <c r="E9580" s="10">
        <v>3449696</v>
      </c>
      <c r="F9580" s="4" t="str">
        <f>IF(B9580=B9579,"",B9580)</f>
        <v>Santo Ângelo</v>
      </c>
    </row>
    <row r="9581" spans="1:6" ht="15.75" customHeight="1">
      <c r="A9581" s="5" t="str">
        <f ca="1">IFERROR(__xludf.DUMMYFUNCTION("GOOGLETRANSLATE(B24595,""en"",""pt"")"),"Santo André")</f>
        <v>Santo André</v>
      </c>
      <c r="B9581" s="17" t="s">
        <v>3436</v>
      </c>
      <c r="C9581" s="17" t="s">
        <v>1905</v>
      </c>
      <c r="D9581" s="17" t="s">
        <v>3354</v>
      </c>
      <c r="E9581" s="10">
        <v>3449701</v>
      </c>
      <c r="F9581" s="4" t="str">
        <f>IF(B9581=B9580,"",B9581)</f>
        <v>Santo André</v>
      </c>
    </row>
    <row r="9582" spans="1:6" ht="15.75" customHeight="1">
      <c r="A9582" s="5" t="s">
        <v>3436</v>
      </c>
      <c r="B9582" s="6" t="s">
        <v>3437</v>
      </c>
      <c r="C9582" s="5" t="s">
        <v>1905</v>
      </c>
      <c r="D9582" s="5" t="s">
        <v>1914</v>
      </c>
      <c r="E9582" s="2">
        <v>3449701</v>
      </c>
      <c r="F9582" s="4" t="str">
        <f>IF(B9582=B9581,"",B9582)</f>
        <v>Santo AndrÃ©</v>
      </c>
    </row>
    <row r="9583" spans="1:6" ht="15.75" customHeight="1">
      <c r="A9583" s="5" t="str">
        <f ca="1">IFERROR(__xludf.DUMMYFUNCTION("GOOGLETRANSLATE(B24596,""en"",""pt"")"),"Santo Anastácio")</f>
        <v>Santo Anastácio</v>
      </c>
      <c r="B9583" s="17" t="s">
        <v>31517</v>
      </c>
      <c r="C9583" s="17" t="s">
        <v>1905</v>
      </c>
      <c r="D9583" s="17" t="s">
        <v>3354</v>
      </c>
      <c r="E9583" s="10">
        <v>3449707</v>
      </c>
      <c r="F9583" s="4" t="str">
        <f>IF(B9583=B9582,"",B9583)</f>
        <v>Santo Anastácio</v>
      </c>
    </row>
    <row r="9584" spans="1:6" ht="15.75" customHeight="1">
      <c r="A9584" s="5" t="s">
        <v>3434</v>
      </c>
      <c r="B9584" s="6" t="s">
        <v>3435</v>
      </c>
      <c r="C9584" s="5" t="s">
        <v>1905</v>
      </c>
      <c r="D9584" s="5" t="s">
        <v>1914</v>
      </c>
      <c r="E9584" s="2">
        <v>3449707</v>
      </c>
      <c r="F9584" s="4" t="str">
        <f>IF(B9584=B9583,"",B9584)</f>
        <v>Santo AnastÃ¡cio</v>
      </c>
    </row>
    <row r="9585" spans="1:6" ht="15.75" customHeight="1">
      <c r="A9585" s="5" t="s">
        <v>3433</v>
      </c>
      <c r="B9585" s="6" t="s">
        <v>3433</v>
      </c>
      <c r="C9585" s="5" t="s">
        <v>1905</v>
      </c>
      <c r="D9585" s="5" t="s">
        <v>2020</v>
      </c>
      <c r="E9585" s="2">
        <v>3449711</v>
      </c>
      <c r="F9585" s="4" t="str">
        <f>IF(B9585=B9584,"",B9585)</f>
        <v>Santo Amaro da Imperatriz</v>
      </c>
    </row>
    <row r="9586" spans="1:6" ht="15.75" customHeight="1">
      <c r="A9586" s="5" t="str">
        <f ca="1">IFERROR(__xludf.DUMMYFUNCTION("GOOGLETRANSLATE(B24597,""en"",""pt"")"),"Santo Amaro da Imperatriz")</f>
        <v>Santo Amaro da Imperatriz</v>
      </c>
      <c r="B9586" s="17" t="s">
        <v>3433</v>
      </c>
      <c r="C9586" s="17" t="s">
        <v>1905</v>
      </c>
      <c r="D9586" s="17" t="s">
        <v>2020</v>
      </c>
      <c r="E9586" s="10">
        <v>3449711</v>
      </c>
      <c r="F9586" s="4" t="str">
        <f>IF(B9586=B9585,"",B9586)</f>
        <v/>
      </c>
    </row>
    <row r="9587" spans="1:6" ht="15.75" customHeight="1">
      <c r="A9587" s="5" t="s">
        <v>3432</v>
      </c>
      <c r="B9587" s="6" t="s">
        <v>3432</v>
      </c>
      <c r="C9587" s="5" t="s">
        <v>1905</v>
      </c>
      <c r="D9587" s="5" t="s">
        <v>1947</v>
      </c>
      <c r="E9587" s="2">
        <v>3449720</v>
      </c>
      <c r="F9587" s="4" t="str">
        <f>IF(B9587=B9586,"",B9587)</f>
        <v>Santo Amaro</v>
      </c>
    </row>
    <row r="9588" spans="1:6" ht="15.75" customHeight="1">
      <c r="A9588" s="5" t="str">
        <f ca="1">IFERROR(__xludf.DUMMYFUNCTION("GOOGLETRANSLATE(B24598,""en"",""pt"")"),"Santo Amaro")</f>
        <v>Santo Amaro</v>
      </c>
      <c r="B9588" s="17" t="s">
        <v>3432</v>
      </c>
      <c r="C9588" s="17" t="s">
        <v>1905</v>
      </c>
      <c r="D9588" s="17" t="s">
        <v>1947</v>
      </c>
      <c r="E9588" s="10">
        <v>3449720</v>
      </c>
      <c r="F9588" s="4" t="str">
        <f>IF(B9588=B9587,"",B9588)</f>
        <v/>
      </c>
    </row>
    <row r="9589" spans="1:6" ht="15.75" customHeight="1">
      <c r="A9589" s="5" t="s">
        <v>3430</v>
      </c>
      <c r="B9589" s="6" t="s">
        <v>3431</v>
      </c>
      <c r="C9589" s="5" t="s">
        <v>1905</v>
      </c>
      <c r="D9589" s="5" t="s">
        <v>1951</v>
      </c>
      <c r="E9589" s="2">
        <v>3449696</v>
      </c>
      <c r="F9589" s="4" t="str">
        <f>IF(B9589=B9588,"",B9589)</f>
        <v>Santo Ã‚ngelo</v>
      </c>
    </row>
    <row r="9590" spans="1:6" ht="15.75" customHeight="1">
      <c r="A9590" s="5" t="s">
        <v>18285</v>
      </c>
      <c r="B9590" s="6" t="s">
        <v>18285</v>
      </c>
      <c r="C9590" s="5" t="s">
        <v>17707</v>
      </c>
      <c r="D9590" s="5" t="s">
        <v>17708</v>
      </c>
      <c r="E9590" s="2">
        <v>3516912</v>
      </c>
      <c r="F9590" s="4" t="str">
        <f>IF(B9590=B9589,"",B9590)</f>
        <v>Santiago Tuxtla</v>
      </c>
    </row>
    <row r="9591" spans="1:6" ht="15.75" customHeight="1">
      <c r="A9591" s="5" t="str">
        <f ca="1">IFERROR(__xludf.DUMMYFUNCTION("GOOGLETRANSLATE(B36912,""en"",""pt"")"),"Santiago Tuxtla")</f>
        <v>Santiago Tuxtla</v>
      </c>
      <c r="B9591" s="17" t="s">
        <v>18285</v>
      </c>
      <c r="C9591" s="17" t="s">
        <v>17707</v>
      </c>
      <c r="D9591" s="17" t="s">
        <v>17708</v>
      </c>
      <c r="E9591" s="10">
        <v>3516912</v>
      </c>
      <c r="F9591" s="4" t="str">
        <f>IF(B9591=B9590,"",B9591)</f>
        <v/>
      </c>
    </row>
    <row r="9592" spans="1:6" ht="15.75" customHeight="1">
      <c r="A9592" s="5" t="s">
        <v>18283</v>
      </c>
      <c r="B9592" s="6" t="s">
        <v>18284</v>
      </c>
      <c r="C9592" s="5" t="s">
        <v>17707</v>
      </c>
      <c r="D9592" s="5" t="s">
        <v>17729</v>
      </c>
      <c r="E9592" s="2">
        <v>3516982</v>
      </c>
      <c r="F9592" s="4" t="str">
        <f>IF(B9592=B9591,"",B9592)</f>
        <v>Santiago Tulantepec</v>
      </c>
    </row>
    <row r="9593" spans="1:6" ht="15.75" customHeight="1">
      <c r="A9593" s="5" t="str">
        <f ca="1">IFERROR(__xludf.DUMMYFUNCTION("GOOGLETRANSLATE(B36914,""en"",""pt"")"),"SANTIAGO TULANTEPEC")</f>
        <v>SANTIAGO TULANTEPEC</v>
      </c>
      <c r="B9593" s="17" t="s">
        <v>18284</v>
      </c>
      <c r="C9593" s="17" t="s">
        <v>17707</v>
      </c>
      <c r="D9593" s="17" t="s">
        <v>17729</v>
      </c>
      <c r="E9593" s="10">
        <v>3516982</v>
      </c>
      <c r="F9593" s="4" t="str">
        <f>IF(B9593=B9592,"",B9593)</f>
        <v/>
      </c>
    </row>
    <row r="9594" spans="1:6" ht="15.75" customHeight="1">
      <c r="A9594" s="5" t="str">
        <f ca="1">IFERROR(__xludf.DUMMYFUNCTION("GOOGLETRANSLATE(B36884,""en"",""pt"")"),"Santiago Tíangustenco")</f>
        <v>Santiago Tíangustenco</v>
      </c>
      <c r="B9594" s="17" t="s">
        <v>34666</v>
      </c>
      <c r="C9594" s="17" t="s">
        <v>17707</v>
      </c>
      <c r="D9594" s="17" t="s">
        <v>20902</v>
      </c>
      <c r="E9594" s="10">
        <v>3515679</v>
      </c>
      <c r="F9594" s="4" t="str">
        <f>IF(B9594=B9593,"",B9594)</f>
        <v>Santiago Tíanguistenco</v>
      </c>
    </row>
    <row r="9595" spans="1:6" ht="15.75" customHeight="1">
      <c r="A9595" s="5" t="s">
        <v>18282</v>
      </c>
      <c r="B9595" s="6" t="s">
        <v>18282</v>
      </c>
      <c r="C9595" s="5" t="s">
        <v>17707</v>
      </c>
      <c r="D9595" s="5" t="s">
        <v>17736</v>
      </c>
      <c r="E9595" s="2">
        <v>3827596</v>
      </c>
      <c r="F9595" s="4" t="str">
        <f>IF(B9595=B9594,"",B9595)</f>
        <v>Santiago Teyahualco</v>
      </c>
    </row>
    <row r="9596" spans="1:6" ht="15.75" customHeight="1">
      <c r="A9596" s="5" t="str">
        <f ca="1">IFERROR(__xludf.DUMMYFUNCTION("GOOGLETRANSLATE(B37134,""en"",""pt"")"),"Santiago Teyahualco")</f>
        <v>Santiago Teyahualco</v>
      </c>
      <c r="B9596" s="17" t="s">
        <v>18282</v>
      </c>
      <c r="C9596" s="17" t="s">
        <v>17707</v>
      </c>
      <c r="D9596" s="17" t="s">
        <v>20902</v>
      </c>
      <c r="E9596" s="10">
        <v>3827596</v>
      </c>
      <c r="F9596" s="4" t="str">
        <f>IF(B9596=B9595,"",B9596)</f>
        <v/>
      </c>
    </row>
    <row r="9597" spans="1:6" ht="15.75" customHeight="1">
      <c r="A9597" s="5" t="s">
        <v>18280</v>
      </c>
      <c r="B9597" s="6" t="s">
        <v>18281</v>
      </c>
      <c r="C9597" s="5" t="s">
        <v>17707</v>
      </c>
      <c r="D9597" s="5" t="s">
        <v>17736</v>
      </c>
      <c r="E9597" s="2">
        <v>3515679</v>
      </c>
      <c r="F9597" s="4" t="str">
        <f>IF(B9597=B9596,"",B9597)</f>
        <v>Santiago TÃ­anguistenco</v>
      </c>
    </row>
    <row r="9598" spans="1:6" ht="15.75" customHeight="1">
      <c r="A9598" s="5" t="str">
        <f ca="1">IFERROR(__xludf.DUMMYFUNCTION("GOOGLETRANSLATE(B31071,""en"",""pt"")"),"Santiago Sacatepéquez")</f>
        <v>Santiago Sacatepéquez</v>
      </c>
      <c r="B9598" s="17" t="s">
        <v>32769</v>
      </c>
      <c r="C9598" s="17" t="s">
        <v>9700</v>
      </c>
      <c r="D9598" s="17" t="s">
        <v>32767</v>
      </c>
      <c r="E9598" s="10">
        <v>3589101</v>
      </c>
      <c r="F9598" s="4" t="str">
        <f>IF(B9598=B9597,"",B9598)</f>
        <v>Santiago Sacatepéquez</v>
      </c>
    </row>
    <row r="9599" spans="1:6" ht="15.75" customHeight="1">
      <c r="A9599" s="5" t="s">
        <v>9811</v>
      </c>
      <c r="B9599" s="6" t="s">
        <v>9812</v>
      </c>
      <c r="C9599" s="5" t="s">
        <v>9700</v>
      </c>
      <c r="D9599" s="5" t="s">
        <v>9701</v>
      </c>
      <c r="E9599" s="2">
        <v>3589101</v>
      </c>
      <c r="F9599" s="4" t="str">
        <f>IF(B9599=B9598,"",B9599)</f>
        <v>Santiago SacatepÃ©quez</v>
      </c>
    </row>
    <row r="9600" spans="1:6" ht="15.75" customHeight="1">
      <c r="A9600" s="5" t="s">
        <v>18279</v>
      </c>
      <c r="B9600" s="6" t="s">
        <v>18279</v>
      </c>
      <c r="C9600" s="5" t="s">
        <v>17707</v>
      </c>
      <c r="D9600" s="5" t="s">
        <v>17844</v>
      </c>
      <c r="E9600" s="2">
        <v>3516926</v>
      </c>
      <c r="F9600" s="4" t="str">
        <f>IF(B9600=B9599,"",B9600)</f>
        <v>Santiago Pinotepa Nacional</v>
      </c>
    </row>
    <row r="9601" spans="1:6" ht="15.75" customHeight="1">
      <c r="A9601" s="5" t="str">
        <f ca="1">IFERROR(__xludf.DUMMYFUNCTION("GOOGLETRANSLATE(B36913,""en"",""pt"")"),"Santiago Pinotepa Nacional")</f>
        <v>Santiago Pinotepa Nacional</v>
      </c>
      <c r="B9601" s="17" t="s">
        <v>18279</v>
      </c>
      <c r="C9601" s="17" t="s">
        <v>17707</v>
      </c>
      <c r="D9601" s="17" t="s">
        <v>17844</v>
      </c>
      <c r="E9601" s="10">
        <v>3516926</v>
      </c>
      <c r="F9601" s="4" t="str">
        <f>IF(B9601=B9600,"",B9601)</f>
        <v/>
      </c>
    </row>
    <row r="9602" spans="1:6" ht="15.75" customHeight="1">
      <c r="A9602" s="5" t="s">
        <v>18278</v>
      </c>
      <c r="B9602" s="6" t="s">
        <v>18278</v>
      </c>
      <c r="C9602" s="5" t="s">
        <v>17707</v>
      </c>
      <c r="D9602" s="5" t="s">
        <v>17954</v>
      </c>
      <c r="E9602" s="2">
        <v>3983631</v>
      </c>
      <c r="F9602" s="4" t="str">
        <f>IF(B9602=B9601,"",B9602)</f>
        <v>Santiago Papasquiaro</v>
      </c>
    </row>
    <row r="9603" spans="1:6" ht="15.75" customHeight="1">
      <c r="A9603" s="5" t="str">
        <f ca="1">IFERROR(__xludf.DUMMYFUNCTION("GOOGLETRANSLATE(B37182,""en"",""pt"")"),"Santiago Papasquiaro")</f>
        <v>Santiago Papasquiaro</v>
      </c>
      <c r="B9603" s="17" t="s">
        <v>18278</v>
      </c>
      <c r="C9603" s="17" t="s">
        <v>17707</v>
      </c>
      <c r="D9603" s="17" t="s">
        <v>17954</v>
      </c>
      <c r="E9603" s="10">
        <v>3983631</v>
      </c>
      <c r="F9603" s="4" t="str">
        <f>IF(B9603=B9602,"",B9603)</f>
        <v/>
      </c>
    </row>
    <row r="9604" spans="1:6" ht="15.75" customHeight="1">
      <c r="A9604" s="5" t="s">
        <v>18277</v>
      </c>
      <c r="B9604" s="6" t="s">
        <v>18277</v>
      </c>
      <c r="C9604" s="5" t="s">
        <v>17707</v>
      </c>
      <c r="D9604" s="5" t="s">
        <v>17717</v>
      </c>
      <c r="E9604" s="2">
        <v>3523061</v>
      </c>
      <c r="F9604" s="4" t="str">
        <f>IF(B9604=B9603,"",B9604)</f>
        <v>Santiago Momoxpan</v>
      </c>
    </row>
    <row r="9605" spans="1:6" ht="15.75" customHeight="1">
      <c r="A9605" s="5" t="str">
        <f ca="1">IFERROR(__xludf.DUMMYFUNCTION("GOOGLETRANSLATE(B36975,""en"",""pt"")"),"Santiago Momoxpan")</f>
        <v>Santiago Momoxpan</v>
      </c>
      <c r="B9605" s="17" t="s">
        <v>18277</v>
      </c>
      <c r="C9605" s="17" t="s">
        <v>17707</v>
      </c>
      <c r="D9605" s="17" t="s">
        <v>17717</v>
      </c>
      <c r="E9605" s="10">
        <v>3523061</v>
      </c>
      <c r="F9605" s="4" t="str">
        <f>IF(B9605=B9604,"",B9605)</f>
        <v/>
      </c>
    </row>
    <row r="9606" spans="1:6" ht="15.75" customHeight="1">
      <c r="A9606" s="5" t="s">
        <v>18276</v>
      </c>
      <c r="B9606" s="6" t="s">
        <v>18276</v>
      </c>
      <c r="C9606" s="5" t="s">
        <v>17707</v>
      </c>
      <c r="D9606" s="5" t="s">
        <v>17720</v>
      </c>
      <c r="E9606" s="2">
        <v>3983636</v>
      </c>
      <c r="F9606" s="4" t="str">
        <f>IF(B9606=B9605,"",B9606)</f>
        <v>Santiago Ixcuintla</v>
      </c>
    </row>
    <row r="9607" spans="1:6" ht="15.75" customHeight="1">
      <c r="A9607" s="5" t="str">
        <f ca="1">IFERROR(__xludf.DUMMYFUNCTION("GOOGLETRANSLATE(B37183,""en"",""pt"")"),"Santiago Ixcuintla")</f>
        <v>Santiago Ixcuintla</v>
      </c>
      <c r="B9607" s="17" t="s">
        <v>18276</v>
      </c>
      <c r="C9607" s="17" t="s">
        <v>17707</v>
      </c>
      <c r="D9607" s="17" t="s">
        <v>17720</v>
      </c>
      <c r="E9607" s="10">
        <v>3983636</v>
      </c>
      <c r="F9607" s="4" t="str">
        <f>IF(B9607=B9606,"",B9607)</f>
        <v/>
      </c>
    </row>
    <row r="9608" spans="1:6" ht="15.75" customHeight="1">
      <c r="A9608" s="5" t="s">
        <v>1827</v>
      </c>
      <c r="B9608" s="6" t="s">
        <v>1827</v>
      </c>
      <c r="C9608" s="5" t="s">
        <v>1806</v>
      </c>
      <c r="D9608" s="5" t="s">
        <v>595</v>
      </c>
      <c r="E9608" s="2">
        <v>3904666</v>
      </c>
      <c r="F9608" s="4" t="str">
        <f>IF(B9608=B9607,"",B9608)</f>
        <v>Santiago del Torno</v>
      </c>
    </row>
    <row r="9609" spans="1:6" ht="15.75" customHeight="1">
      <c r="A9609" s="5" t="str">
        <f ca="1">IFERROR(__xludf.DUMMYFUNCTION("GOOGLETRANSLATE(B24124,""en"",""pt"")"),"Santiago del Torno")</f>
        <v>Santiago del Torno</v>
      </c>
      <c r="B9609" s="17" t="s">
        <v>1827</v>
      </c>
      <c r="C9609" s="17" t="s">
        <v>1806</v>
      </c>
      <c r="D9609" s="17" t="s">
        <v>595</v>
      </c>
      <c r="E9609" s="10">
        <v>3904666</v>
      </c>
      <c r="F9609" s="4" t="str">
        <f>IF(B9609=B9608,"",B9609)</f>
        <v/>
      </c>
    </row>
    <row r="9610" spans="1:6" ht="15.75" customHeight="1">
      <c r="A9610" s="5" t="s">
        <v>559</v>
      </c>
      <c r="B9610" s="6" t="s">
        <v>559</v>
      </c>
      <c r="C9610" s="5" t="s">
        <v>558</v>
      </c>
      <c r="D9610" s="5" t="s">
        <v>559</v>
      </c>
      <c r="E9610" s="2">
        <v>3835869</v>
      </c>
      <c r="F9610" s="4" t="str">
        <f>IF(B9610=B9609,"",B9610)</f>
        <v>Santiago del Estero</v>
      </c>
    </row>
    <row r="9611" spans="1:6" ht="15.75" customHeight="1">
      <c r="A9611" s="5" t="str">
        <f ca="1">IFERROR(__xludf.DUMMYFUNCTION("GOOGLETRANSLATE(B23258,""en"",""pt"")"),"Santiago del Estero")</f>
        <v>Santiago del Estero</v>
      </c>
      <c r="B9611" s="17" t="s">
        <v>559</v>
      </c>
      <c r="C9611" s="17" t="s">
        <v>558</v>
      </c>
      <c r="D9611" s="17" t="s">
        <v>559</v>
      </c>
      <c r="E9611" s="10">
        <v>3835869</v>
      </c>
      <c r="F9611" s="4" t="str">
        <f>IF(B9611=B9610,"",B9611)</f>
        <v/>
      </c>
    </row>
    <row r="9612" spans="1:6" ht="15.75" customHeight="1">
      <c r="A9612" s="5" t="s">
        <v>20401</v>
      </c>
      <c r="B9612" s="6" t="s">
        <v>20401</v>
      </c>
      <c r="C9612" s="5" t="s">
        <v>20370</v>
      </c>
      <c r="D9612" s="5" t="s">
        <v>20402</v>
      </c>
      <c r="E9612" s="2">
        <v>3701117</v>
      </c>
      <c r="F9612" s="4" t="str">
        <f>IF(B9612=B9611,"",B9612)</f>
        <v>Santiago de Veraguas</v>
      </c>
    </row>
    <row r="9613" spans="1:6" ht="15.75" customHeight="1">
      <c r="A9613" s="5" t="str">
        <f ca="1">IFERROR(__xludf.DUMMYFUNCTION("GOOGLETRANSLATE(B38280,""en"",""pt"")"),"Santiago de Veraguas")</f>
        <v>Santiago de Veraguas</v>
      </c>
      <c r="B9613" s="17" t="s">
        <v>20401</v>
      </c>
      <c r="C9613" s="17" t="s">
        <v>20370</v>
      </c>
      <c r="D9613" s="17" t="s">
        <v>20402</v>
      </c>
      <c r="E9613" s="10">
        <v>3701117</v>
      </c>
      <c r="F9613" s="4" t="str">
        <f>IF(B9613=B9612,"",B9613)</f>
        <v/>
      </c>
    </row>
    <row r="9614" spans="1:6" ht="15.75" customHeight="1">
      <c r="A9614" s="5" t="s">
        <v>20575</v>
      </c>
      <c r="B9614" s="6" t="s">
        <v>20575</v>
      </c>
      <c r="C9614" s="5" t="s">
        <v>20470</v>
      </c>
      <c r="D9614" s="5" t="s">
        <v>20479</v>
      </c>
      <c r="E9614" s="2">
        <v>3928245</v>
      </c>
      <c r="F9614" s="4" t="str">
        <f>IF(B9614=B9613,"",B9614)</f>
        <v>Santiago de Surco</v>
      </c>
    </row>
    <row r="9615" spans="1:6" ht="15.75" customHeight="1">
      <c r="A9615" s="5" t="str">
        <f ca="1">IFERROR(__xludf.DUMMYFUNCTION("GOOGLETRANSLATE(B38359,""en"",""pt"")"),"Santiago de Surco")</f>
        <v>Santiago de Surco</v>
      </c>
      <c r="B9615" s="17" t="s">
        <v>20575</v>
      </c>
      <c r="C9615" s="17" t="s">
        <v>20470</v>
      </c>
      <c r="D9615" s="17" t="s">
        <v>20479</v>
      </c>
      <c r="E9615" s="10">
        <v>3928245</v>
      </c>
      <c r="F9615" s="4" t="str">
        <f>IF(B9615=B9614,"",B9615)</f>
        <v/>
      </c>
    </row>
    <row r="9616" spans="1:6" ht="15.75" customHeight="1">
      <c r="A9616" s="5" t="str">
        <f ca="1">IFERROR(__xludf.DUMMYFUNCTION("GOOGLETRANSLATE(B37218,""en"",""pt"")"),"Santiago de Querétaro")</f>
        <v>Santiago de Querétaro</v>
      </c>
      <c r="B9616" s="17" t="s">
        <v>34746</v>
      </c>
      <c r="C9616" s="17" t="s">
        <v>17707</v>
      </c>
      <c r="D9616" s="17" t="s">
        <v>34667</v>
      </c>
      <c r="E9616" s="10">
        <v>3991164</v>
      </c>
      <c r="F9616" s="4" t="str">
        <f>IF(B9616=B9615,"",B9616)</f>
        <v>Santiago de Querétaro</v>
      </c>
    </row>
    <row r="9617" spans="1:6" ht="15.75" customHeight="1">
      <c r="A9617" s="5" t="s">
        <v>18274</v>
      </c>
      <c r="B9617" s="6" t="s">
        <v>18275</v>
      </c>
      <c r="C9617" s="5" t="s">
        <v>17707</v>
      </c>
      <c r="D9617" s="5" t="s">
        <v>17925</v>
      </c>
      <c r="E9617" s="2">
        <v>3991164</v>
      </c>
      <c r="F9617" s="4" t="str">
        <f>IF(B9617=B9616,"",B9617)</f>
        <v>Santiago de QuerÃ©taro</v>
      </c>
    </row>
    <row r="9618" spans="1:6" ht="15.75" customHeight="1">
      <c r="A9618" s="5" t="str">
        <f ca="1">IFERROR(__xludf.DUMMYFUNCTION("GOOGLETRANSLATE(B41362,""en"",""pt"")"),"Santiago de María")</f>
        <v>Santiago de María</v>
      </c>
      <c r="B9618" s="17" t="s">
        <v>35716</v>
      </c>
      <c r="C9618" s="17" t="s">
        <v>6727</v>
      </c>
      <c r="D9618" s="17" t="s">
        <v>35714</v>
      </c>
      <c r="E9618" s="10">
        <v>3583199</v>
      </c>
      <c r="F9618" s="4" t="str">
        <f>IF(B9618=B9617,"",B9618)</f>
        <v>Santiago de María</v>
      </c>
    </row>
    <row r="9619" spans="1:6" ht="15.75" customHeight="1">
      <c r="A9619" s="5" t="s">
        <v>6756</v>
      </c>
      <c r="B9619" s="6" t="s">
        <v>6757</v>
      </c>
      <c r="C9619" s="5" t="s">
        <v>6727</v>
      </c>
      <c r="D9619" s="5" t="s">
        <v>6749</v>
      </c>
      <c r="E9619" s="2">
        <v>3583199</v>
      </c>
      <c r="F9619" s="4" t="str">
        <f>IF(B9619=B9618,"",B9619)</f>
        <v>Santiago de MarÃ­a</v>
      </c>
    </row>
    <row r="9620" spans="1:6" ht="15.75" customHeight="1">
      <c r="A9620" s="5" t="s">
        <v>6370</v>
      </c>
      <c r="B9620" s="6" t="s">
        <v>6371</v>
      </c>
      <c r="C9620" s="5" t="s">
        <v>6303</v>
      </c>
      <c r="D9620" s="5" t="s">
        <v>3429</v>
      </c>
      <c r="E9620" s="2">
        <v>3492914</v>
      </c>
      <c r="F9620" s="4" t="str">
        <f>IF(B9620=B9619,"",B9620)</f>
        <v>Santiago de los Caballeros</v>
      </c>
    </row>
    <row r="9621" spans="1:6" ht="15.75" customHeight="1">
      <c r="A9621" s="5" t="str">
        <f ca="1">IFERROR(__xludf.DUMMYFUNCTION("GOOGLETRANSLATE(B28459,""en"",""pt"")"),"Santiago de Los Caballeros")</f>
        <v>Santiago de Los Caballeros</v>
      </c>
      <c r="B9621" s="17" t="s">
        <v>6371</v>
      </c>
      <c r="C9621" s="17" t="s">
        <v>6303</v>
      </c>
      <c r="D9621" s="17" t="s">
        <v>3429</v>
      </c>
      <c r="E9621" s="10">
        <v>3492914</v>
      </c>
      <c r="F9621" s="4" t="str">
        <f>IF(B9621=B9620,"",B9621)</f>
        <v/>
      </c>
    </row>
    <row r="9622" spans="1:6" ht="15.75" customHeight="1">
      <c r="A9622" s="5" t="s">
        <v>5915</v>
      </c>
      <c r="B9622" s="6" t="s">
        <v>5916</v>
      </c>
      <c r="C9622" s="5" t="s">
        <v>5764</v>
      </c>
      <c r="D9622" s="5" t="s">
        <v>5768</v>
      </c>
      <c r="E9622" s="2">
        <v>3536724</v>
      </c>
      <c r="F9622" s="4" t="str">
        <f>IF(B9622=B9621,"",B9622)</f>
        <v>Santiago de las Vegas</v>
      </c>
    </row>
    <row r="9623" spans="1:6" ht="15.75" customHeight="1">
      <c r="A9623" s="5" t="str">
        <f ca="1">IFERROR(__xludf.DUMMYFUNCTION("GOOGLETRANSLATE(B27113,""en"",""pt"")"),"Santiago de Las Vegas")</f>
        <v>Santiago de Las Vegas</v>
      </c>
      <c r="B9623" s="17" t="s">
        <v>5916</v>
      </c>
      <c r="C9623" s="17" t="s">
        <v>5764</v>
      </c>
      <c r="D9623" s="17" t="s">
        <v>5768</v>
      </c>
      <c r="E9623" s="10">
        <v>3536724</v>
      </c>
      <c r="F9623" s="4" t="str">
        <f>IF(B9623=B9622,"",B9623)</f>
        <v/>
      </c>
    </row>
    <row r="9624" spans="1:6" ht="15.75" customHeight="1">
      <c r="A9624" s="5" t="s">
        <v>5827</v>
      </c>
      <c r="B9624" s="6" t="s">
        <v>5827</v>
      </c>
      <c r="C9624" s="5" t="s">
        <v>5764</v>
      </c>
      <c r="D9624" s="5" t="s">
        <v>5827</v>
      </c>
      <c r="E9624" s="2">
        <v>3536729</v>
      </c>
      <c r="F9624" s="4" t="str">
        <f>IF(B9624=B9623,"",B9624)</f>
        <v>Santiago de Cuba</v>
      </c>
    </row>
    <row r="9625" spans="1:6" ht="15.75" customHeight="1">
      <c r="A9625" s="5" t="str">
        <f ca="1">IFERROR(__xludf.DUMMYFUNCTION("GOOGLETRANSLATE(B27114,""en"",""pt"")"),"Santiago de Cuba")</f>
        <v>Santiago de Cuba</v>
      </c>
      <c r="B9625" s="17" t="s">
        <v>5827</v>
      </c>
      <c r="C9625" s="17" t="s">
        <v>5764</v>
      </c>
      <c r="D9625" s="17" t="s">
        <v>5827</v>
      </c>
      <c r="E9625" s="10">
        <v>3536729</v>
      </c>
      <c r="F9625" s="4" t="str">
        <f>IF(B9625=B9624,"",B9625)</f>
        <v/>
      </c>
    </row>
    <row r="9626" spans="1:6" ht="15.75" customHeight="1">
      <c r="A9626" s="5" t="s">
        <v>24812</v>
      </c>
      <c r="B9626" s="6" t="s">
        <v>24812</v>
      </c>
      <c r="C9626" s="5" t="s">
        <v>24200</v>
      </c>
      <c r="D9626" s="5" t="s">
        <v>24201</v>
      </c>
      <c r="E9626" s="2">
        <v>3109642</v>
      </c>
      <c r="F9626" s="4" t="str">
        <f>IF(B9626=B9625,"",B9626)</f>
        <v>Santiago de Compostela</v>
      </c>
    </row>
    <row r="9627" spans="1:6" ht="15.75" customHeight="1">
      <c r="A9627" s="5" t="str">
        <f ca="1">IFERROR(__xludf.DUMMYFUNCTION("GOOGLETRANSLATE(B29281,""en"",""pt"")"),"Santiago de Compostela")</f>
        <v>Santiago de Compostela</v>
      </c>
      <c r="B9627" s="17" t="s">
        <v>24812</v>
      </c>
      <c r="C9627" s="17" t="s">
        <v>24200</v>
      </c>
      <c r="D9627" s="17" t="s">
        <v>24201</v>
      </c>
      <c r="E9627" s="10">
        <v>3109642</v>
      </c>
      <c r="F9627" s="4" t="str">
        <f>IF(B9627=B9626,"",B9627)</f>
        <v/>
      </c>
    </row>
    <row r="9628" spans="1:6" ht="15.75" customHeight="1">
      <c r="A9628" s="5" t="s">
        <v>20574</v>
      </c>
      <c r="B9628" s="6" t="s">
        <v>20574</v>
      </c>
      <c r="C9628" s="5" t="s">
        <v>20470</v>
      </c>
      <c r="D9628" s="5" t="s">
        <v>6435</v>
      </c>
      <c r="E9628" s="2">
        <v>3692073</v>
      </c>
      <c r="F9628" s="4" t="str">
        <f>IF(B9628=B9627,"",B9628)</f>
        <v>Santiago de Cao</v>
      </c>
    </row>
    <row r="9629" spans="1:6" ht="15.75" customHeight="1">
      <c r="A9629" s="5" t="str">
        <f ca="1">IFERROR(__xludf.DUMMYFUNCTION("GOOGLETRANSLATE(B38312,""en"",""pt"")"),"Santiago de Cao")</f>
        <v>Santiago de Cao</v>
      </c>
      <c r="B9629" s="17" t="s">
        <v>20574</v>
      </c>
      <c r="C9629" s="17" t="s">
        <v>20470</v>
      </c>
      <c r="D9629" s="17" t="s">
        <v>6435</v>
      </c>
      <c r="E9629" s="10">
        <v>3692073</v>
      </c>
      <c r="F9629" s="4" t="str">
        <f>IF(B9629=B9628,"",B9629)</f>
        <v/>
      </c>
    </row>
    <row r="9630" spans="1:6" ht="15.75" customHeight="1">
      <c r="A9630" s="5" t="str">
        <f ca="1">IFERROR(__xludf.DUMMYFUNCTION("GOOGLETRANSLATE(B31072,""en"",""pt"")"),"Santiago Atitlán")</f>
        <v>Santiago Atitlán</v>
      </c>
      <c r="B9630" s="17" t="s">
        <v>32770</v>
      </c>
      <c r="C9630" s="17" t="s">
        <v>9700</v>
      </c>
      <c r="D9630" s="17" t="s">
        <v>32768</v>
      </c>
      <c r="E9630" s="10">
        <v>3589105</v>
      </c>
      <c r="F9630" s="4" t="str">
        <f>IF(B9630=B9629,"",B9630)</f>
        <v>Santiago Atitlán</v>
      </c>
    </row>
    <row r="9631" spans="1:6" ht="15.75" customHeight="1">
      <c r="A9631" s="5" t="s">
        <v>9809</v>
      </c>
      <c r="B9631" s="6" t="s">
        <v>9810</v>
      </c>
      <c r="C9631" s="5" t="s">
        <v>9700</v>
      </c>
      <c r="D9631" s="5" t="s">
        <v>9759</v>
      </c>
      <c r="E9631" s="2">
        <v>3589105</v>
      </c>
      <c r="F9631" s="4" t="str">
        <f>IF(B9631=B9630,"",B9631)</f>
        <v>Santiago AtitlÃ¡n</v>
      </c>
    </row>
    <row r="9632" spans="1:6" ht="15.75" customHeight="1">
      <c r="A9632" s="6" t="s">
        <v>3429</v>
      </c>
      <c r="B9632" s="6" t="s">
        <v>3429</v>
      </c>
      <c r="C9632" s="6" t="s">
        <v>1905</v>
      </c>
      <c r="D9632" s="6" t="s">
        <v>1951</v>
      </c>
      <c r="E9632" s="2">
        <v>3449741</v>
      </c>
      <c r="F9632" s="4" t="str">
        <f>IF(B9632=B9631,"",B9632)</f>
        <v>Santiago</v>
      </c>
    </row>
    <row r="9633" spans="1:6" ht="15.75" customHeight="1">
      <c r="A9633" s="6" t="s">
        <v>3429</v>
      </c>
      <c r="B9633" s="6" t="s">
        <v>3429</v>
      </c>
      <c r="C9633" s="6" t="s">
        <v>4355</v>
      </c>
      <c r="D9633" s="6" t="s">
        <v>4366</v>
      </c>
      <c r="E9633" s="2">
        <v>3871336</v>
      </c>
      <c r="F9633" s="4" t="str">
        <f>IF(B9633=B9632,"",B9633)</f>
        <v/>
      </c>
    </row>
    <row r="9634" spans="1:6" ht="15.75" customHeight="1">
      <c r="A9634" s="6" t="s">
        <v>3429</v>
      </c>
      <c r="B9634" s="6" t="s">
        <v>3429</v>
      </c>
      <c r="C9634" s="6" t="s">
        <v>17707</v>
      </c>
      <c r="D9634" s="6" t="s">
        <v>17739</v>
      </c>
      <c r="E9634" s="2">
        <v>3983671</v>
      </c>
      <c r="F9634" s="4" t="str">
        <f>IF(B9634=B9633,"",B9634)</f>
        <v/>
      </c>
    </row>
    <row r="9635" spans="1:6" ht="15.75" customHeight="1">
      <c r="A9635" s="6" t="s">
        <v>3429</v>
      </c>
      <c r="B9635" s="6" t="s">
        <v>3429</v>
      </c>
      <c r="C9635" s="6" t="s">
        <v>20598</v>
      </c>
      <c r="D9635" s="6" t="s">
        <v>20611</v>
      </c>
      <c r="E9635" s="2">
        <v>1687801</v>
      </c>
      <c r="F9635" s="4" t="str">
        <f>IF(B9635=B9634,"",B9635)</f>
        <v/>
      </c>
    </row>
    <row r="9636" spans="1:6" ht="15.75" customHeight="1">
      <c r="A9636" s="5" t="str">
        <f ca="1">IFERROR(__xludf.DUMMYFUNCTION("GOOGLETRANSLATE(B24599,""en"",""pt"")"),"Santiago")</f>
        <v>Santiago</v>
      </c>
      <c r="B9636" s="17" t="s">
        <v>3429</v>
      </c>
      <c r="C9636" s="17" t="s">
        <v>1905</v>
      </c>
      <c r="D9636" s="17" t="s">
        <v>1951</v>
      </c>
      <c r="E9636" s="10">
        <v>3449741</v>
      </c>
      <c r="F9636" s="4" t="str">
        <f>IF(B9636=B9635,"",B9636)</f>
        <v/>
      </c>
    </row>
    <row r="9637" spans="1:6" ht="15.75" customHeight="1">
      <c r="A9637" s="5" t="str">
        <f ca="1">IFERROR(__xludf.DUMMYFUNCTION("GOOGLETRANSLATE(B25898,""en"",""pt"")"),"Santiago")</f>
        <v>Santiago</v>
      </c>
      <c r="B9637" s="17" t="s">
        <v>3429</v>
      </c>
      <c r="C9637" s="17" t="s">
        <v>4355</v>
      </c>
      <c r="D9637" s="17" t="s">
        <v>4366</v>
      </c>
      <c r="E9637" s="10">
        <v>3871336</v>
      </c>
      <c r="F9637" s="4" t="str">
        <f>IF(B9637=B9636,"",B9637)</f>
        <v/>
      </c>
    </row>
    <row r="9638" spans="1:6" ht="15.75" customHeight="1">
      <c r="A9638" s="5" t="str">
        <f ca="1">IFERROR(__xludf.DUMMYFUNCTION("GOOGLETRANSLATE(B37184,""en"",""pt"")"),"Santiago")</f>
        <v>Santiago</v>
      </c>
      <c r="B9638" s="17" t="s">
        <v>3429</v>
      </c>
      <c r="C9638" s="17" t="s">
        <v>17707</v>
      </c>
      <c r="D9638" s="17" t="s">
        <v>34689</v>
      </c>
      <c r="E9638" s="10">
        <v>3983671</v>
      </c>
      <c r="F9638" s="4" t="str">
        <f>IF(B9638=B9637,"",B9638)</f>
        <v/>
      </c>
    </row>
    <row r="9639" spans="1:6" ht="15.75" customHeight="1">
      <c r="A9639" s="5" t="str">
        <f ca="1">IFERROR(__xludf.DUMMYFUNCTION("GOOGLETRANSLATE(B38485,""en"",""pt"")"),"Santiago")</f>
        <v>Santiago</v>
      </c>
      <c r="B9639" s="17" t="s">
        <v>3429</v>
      </c>
      <c r="C9639" s="17" t="s">
        <v>20598</v>
      </c>
      <c r="D9639" s="17" t="s">
        <v>20611</v>
      </c>
      <c r="E9639" s="10">
        <v>1687801</v>
      </c>
      <c r="F9639" s="4" t="str">
        <f>IF(B9639=B9638,"",B9639)</f>
        <v/>
      </c>
    </row>
    <row r="9640" spans="1:6" ht="15.75" customHeight="1">
      <c r="A9640" s="5" t="s">
        <v>15472</v>
      </c>
      <c r="B9640" s="6" t="s">
        <v>15473</v>
      </c>
      <c r="C9640" s="5" t="s">
        <v>14891</v>
      </c>
      <c r="D9640" s="5" t="s">
        <v>14908</v>
      </c>
      <c r="E9640" s="2">
        <v>3167327</v>
      </c>
      <c r="F9640" s="4" t="str">
        <f>IF(B9640=B9639,"",B9640)</f>
        <v>Santeramo in Colle</v>
      </c>
    </row>
    <row r="9641" spans="1:6" ht="15.75" customHeight="1">
      <c r="A9641" s="5" t="str">
        <f ca="1">IFERROR(__xludf.DUMMYFUNCTION("GOOGLETRANSLATE(B34704,""en"",""pt"")"),"Santeramo em Colle")</f>
        <v>Santeramo em Colle</v>
      </c>
      <c r="B9641" s="17" t="s">
        <v>15473</v>
      </c>
      <c r="C9641" s="17" t="s">
        <v>14891</v>
      </c>
      <c r="D9641" s="17" t="s">
        <v>14908</v>
      </c>
      <c r="E9641" s="10">
        <v>3167327</v>
      </c>
      <c r="F9641" s="4" t="str">
        <f>IF(B9641=B9640,"",B9641)</f>
        <v/>
      </c>
    </row>
    <row r="9642" spans="1:6" ht="15.75" customHeight="1">
      <c r="A9642" s="6" t="s">
        <v>29915</v>
      </c>
      <c r="B9642" s="6" t="s">
        <v>29915</v>
      </c>
      <c r="C9642" s="6" t="s">
        <v>27788</v>
      </c>
      <c r="D9642" s="6" t="s">
        <v>27801</v>
      </c>
      <c r="E9642" s="2">
        <v>5393429</v>
      </c>
      <c r="F9642" s="4" t="str">
        <f>IF(B9642=B9641,"",B9642)</f>
        <v>Santee</v>
      </c>
    </row>
    <row r="9643" spans="1:6" ht="15.75" customHeight="1">
      <c r="A9643" s="5" t="str">
        <f ca="1">IFERROR(__xludf.DUMMYFUNCTION("GOOGLETRANSLATE(B45030,""en"",""pt"")"),"Santee")</f>
        <v>Santee</v>
      </c>
      <c r="B9643" s="17" t="s">
        <v>29915</v>
      </c>
      <c r="C9643" s="17" t="s">
        <v>27788</v>
      </c>
      <c r="D9643" s="17" t="s">
        <v>27801</v>
      </c>
      <c r="E9643" s="10">
        <v>5393429</v>
      </c>
      <c r="F9643" s="4" t="str">
        <f>IF(B9643=B9642,"",B9643)</f>
        <v/>
      </c>
    </row>
    <row r="9644" spans="1:6" ht="15.75" customHeight="1">
      <c r="A9644" s="5" t="str">
        <f ca="1">IFERROR(__xludf.DUMMYFUNCTION("GOOGLETRANSLATE(B24199,""en"",""pt"")"),"Santarém")</f>
        <v>Santarém</v>
      </c>
      <c r="B9644" s="17" t="s">
        <v>31373</v>
      </c>
      <c r="C9644" s="17" t="s">
        <v>1905</v>
      </c>
      <c r="D9644" s="17" t="s">
        <v>31342</v>
      </c>
      <c r="E9644" s="10">
        <v>3389353</v>
      </c>
      <c r="F9644" s="4" t="str">
        <f>IF(B9644=B9643,"",B9644)</f>
        <v>Santarém</v>
      </c>
    </row>
    <row r="9645" spans="1:6" ht="15.75" customHeight="1">
      <c r="A9645" s="5" t="str">
        <f ca="1">IFERROR(__xludf.DUMMYFUNCTION("GOOGLETRANSLATE(B39573,""en"",""pt"")"),"Santarém")</f>
        <v>Santarém</v>
      </c>
      <c r="B9645" s="17" t="s">
        <v>31373</v>
      </c>
      <c r="C9645" s="17" t="s">
        <v>21606</v>
      </c>
      <c r="D9645" s="17" t="s">
        <v>31373</v>
      </c>
      <c r="E9645" s="10">
        <v>2263480</v>
      </c>
      <c r="F9645" s="4" t="str">
        <f>IF(B9645=B9644,"",B9645)</f>
        <v/>
      </c>
    </row>
    <row r="9646" spans="1:6" ht="15.75" customHeight="1">
      <c r="A9646" s="5" t="s">
        <v>3427</v>
      </c>
      <c r="B9646" s="6" t="s">
        <v>3428</v>
      </c>
      <c r="C9646" s="5" t="s">
        <v>1905</v>
      </c>
      <c r="D9646" s="5" t="s">
        <v>1906</v>
      </c>
      <c r="E9646" s="2">
        <v>3389353</v>
      </c>
      <c r="F9646" s="4" t="str">
        <f>IF(B9646=B9645,"",B9646)</f>
        <v>SantarÃ©m</v>
      </c>
    </row>
    <row r="9647" spans="1:6" ht="15.75" customHeight="1">
      <c r="A9647" s="5" t="s">
        <v>3427</v>
      </c>
      <c r="B9647" s="6" t="s">
        <v>3428</v>
      </c>
      <c r="C9647" s="5" t="s">
        <v>21606</v>
      </c>
      <c r="D9647" s="5" t="s">
        <v>3428</v>
      </c>
      <c r="E9647" s="2">
        <v>2263480</v>
      </c>
      <c r="F9647" s="4" t="str">
        <f>IF(B9647=B9646,"",B9647)</f>
        <v/>
      </c>
    </row>
    <row r="9648" spans="1:6" ht="15.75" customHeight="1">
      <c r="A9648" s="5" t="s">
        <v>15470</v>
      </c>
      <c r="B9648" s="6" t="s">
        <v>15471</v>
      </c>
      <c r="C9648" s="5" t="s">
        <v>14891</v>
      </c>
      <c r="D9648" s="5" t="s">
        <v>14896</v>
      </c>
      <c r="E9648" s="2">
        <v>3167393</v>
      </c>
      <c r="F9648" s="4" t="str">
        <f>IF(B9648=B9647,"",B9648)</f>
        <v>Sant'Antonio Abate</v>
      </c>
    </row>
    <row r="9649" spans="1:6" ht="15.75" customHeight="1">
      <c r="A9649" s="5" t="str">
        <f ca="1">IFERROR(__xludf.DUMMYFUNCTION("GOOGLETRANSLATE(B34705,""en"",""pt"")"),"Sant'Antonio abate")</f>
        <v>Sant'Antonio abate</v>
      </c>
      <c r="B9649" s="17" t="s">
        <v>15471</v>
      </c>
      <c r="C9649" s="17" t="s">
        <v>14891</v>
      </c>
      <c r="D9649" s="17" t="s">
        <v>14896</v>
      </c>
      <c r="E9649" s="10">
        <v>3167393</v>
      </c>
      <c r="F9649" s="4" t="str">
        <f>IF(B9649=B9648,"",B9649)</f>
        <v/>
      </c>
    </row>
    <row r="9650" spans="1:6" ht="15.75" customHeight="1">
      <c r="A9650" s="5" t="s">
        <v>15469</v>
      </c>
      <c r="B9650" s="6" t="s">
        <v>15469</v>
      </c>
      <c r="C9650" s="5" t="s">
        <v>14891</v>
      </c>
      <c r="D9650" s="5" t="s">
        <v>14896</v>
      </c>
      <c r="E9650" s="2">
        <v>3167419</v>
      </c>
      <c r="F9650" s="4" t="str">
        <f>IF(B9650=B9649,"",B9650)</f>
        <v>Sant'Antimo</v>
      </c>
    </row>
    <row r="9651" spans="1:6" ht="15.75" customHeight="1">
      <c r="A9651" s="5" t="str">
        <f ca="1">IFERROR(__xludf.DUMMYFUNCTION("GOOGLETRANSLATE(B34706,""en"",""pt"")"),"Sant'Antimo")</f>
        <v>Sant'Antimo</v>
      </c>
      <c r="B9651" s="17" t="s">
        <v>15469</v>
      </c>
      <c r="C9651" s="17" t="s">
        <v>14891</v>
      </c>
      <c r="D9651" s="17" t="s">
        <v>14896</v>
      </c>
      <c r="E9651" s="10">
        <v>3167419</v>
      </c>
      <c r="F9651" s="4" t="str">
        <f>IF(B9651=B9650,"",B9651)</f>
        <v/>
      </c>
    </row>
    <row r="9652" spans="1:6" ht="15.75" customHeight="1">
      <c r="A9652" s="5" t="s">
        <v>5606</v>
      </c>
      <c r="B9652" s="6" t="s">
        <v>5606</v>
      </c>
      <c r="C9652" s="5" t="s">
        <v>5348</v>
      </c>
      <c r="D9652" s="5" t="s">
        <v>5388</v>
      </c>
      <c r="E9652" s="2">
        <v>3668572</v>
      </c>
      <c r="F9652" s="4" t="str">
        <f>IF(B9652=B9651,"",B9652)</f>
        <v>Santander de Quilichao</v>
      </c>
    </row>
    <row r="9653" spans="1:6" ht="15.75" customHeight="1">
      <c r="A9653" s="5" t="str">
        <f ca="1">IFERROR(__xludf.DUMMYFUNCTION("GOOGLETRANSLATE(B26882,""en"",""pt"")"),"Santander de Quilichao")</f>
        <v>Santander de Quilichao</v>
      </c>
      <c r="B9653" s="17" t="s">
        <v>5606</v>
      </c>
      <c r="C9653" s="17" t="s">
        <v>5348</v>
      </c>
      <c r="D9653" s="17" t="s">
        <v>5388</v>
      </c>
      <c r="E9653" s="10">
        <v>3668572</v>
      </c>
      <c r="F9653" s="4" t="str">
        <f>IF(B9653=B9652,"",B9653)</f>
        <v/>
      </c>
    </row>
    <row r="9654" spans="1:6" ht="15.75" customHeight="1">
      <c r="A9654" s="5" t="s">
        <v>5380</v>
      </c>
      <c r="B9654" s="6" t="s">
        <v>5380</v>
      </c>
      <c r="C9654" s="5" t="s">
        <v>24200</v>
      </c>
      <c r="D9654" s="5" t="s">
        <v>24367</v>
      </c>
      <c r="E9654" s="2">
        <v>3109718</v>
      </c>
      <c r="F9654" s="4" t="str">
        <f>IF(B9654=B9653,"",B9654)</f>
        <v>Santander</v>
      </c>
    </row>
    <row r="9655" spans="1:6" ht="15.75" customHeight="1">
      <c r="A9655" s="5" t="str">
        <f ca="1">IFERROR(__xludf.DUMMYFUNCTION("GOOGLETRANSLATE(B29283,""en"",""pt"")"),"Santander")</f>
        <v>Santander</v>
      </c>
      <c r="B9655" s="17" t="s">
        <v>5380</v>
      </c>
      <c r="C9655" s="17" t="s">
        <v>24200</v>
      </c>
      <c r="D9655" s="17" t="s">
        <v>24367</v>
      </c>
      <c r="E9655" s="10">
        <v>3109718</v>
      </c>
      <c r="F9655" s="4" t="str">
        <f>IF(B9655=B9654,"",B9655)</f>
        <v/>
      </c>
    </row>
    <row r="9656" spans="1:6" ht="15.75" customHeight="1">
      <c r="A9656" s="5" t="s">
        <v>15467</v>
      </c>
      <c r="B9656" s="6" t="s">
        <v>15468</v>
      </c>
      <c r="C9656" s="5" t="s">
        <v>14891</v>
      </c>
      <c r="D9656" s="5" t="s">
        <v>14896</v>
      </c>
      <c r="E9656" s="2">
        <v>3167509</v>
      </c>
      <c r="F9656" s="4" t="str">
        <f>IF(B9656=B9655,"",B9656)</f>
        <v>Sant'Anastasia</v>
      </c>
    </row>
    <row r="9657" spans="1:6" ht="15.75" customHeight="1">
      <c r="A9657" s="5" t="str">
        <f ca="1">IFERROR(__xludf.DUMMYFUNCTION("GOOGLETRANSLATE(B34707,""en"",""pt"")"),"Sant'anastasia")</f>
        <v>Sant'anastasia</v>
      </c>
      <c r="B9657" s="17" t="s">
        <v>15468</v>
      </c>
      <c r="C9657" s="17" t="s">
        <v>14891</v>
      </c>
      <c r="D9657" s="17" t="s">
        <v>14896</v>
      </c>
      <c r="E9657" s="10">
        <v>3167509</v>
      </c>
      <c r="F9657" s="4" t="str">
        <f>IF(B9657=B9656,"",B9657)</f>
        <v/>
      </c>
    </row>
    <row r="9658" spans="1:6" ht="15.75" customHeight="1">
      <c r="A9658" s="5" t="str">
        <f ca="1">IFERROR(__xludf.DUMMYFUNCTION("GOOGLETRANSLATE(B24605,""en"",""pt"")"),"Santana do Paraíso")</f>
        <v>Santana do Paraíso</v>
      </c>
      <c r="B9658" s="17" t="s">
        <v>31520</v>
      </c>
      <c r="C9658" s="17" t="s">
        <v>1905</v>
      </c>
      <c r="D9658" s="17" t="s">
        <v>1917</v>
      </c>
      <c r="E9658" s="10">
        <v>3449933</v>
      </c>
      <c r="F9658" s="4" t="str">
        <f>IF(B9658=B9657,"",B9658)</f>
        <v>Santana do Paraíso</v>
      </c>
    </row>
    <row r="9659" spans="1:6" ht="15.75" customHeight="1">
      <c r="A9659" s="5" t="s">
        <v>3425</v>
      </c>
      <c r="B9659" s="6" t="s">
        <v>3426</v>
      </c>
      <c r="C9659" s="5" t="s">
        <v>1905</v>
      </c>
      <c r="D9659" s="5" t="s">
        <v>1917</v>
      </c>
      <c r="E9659" s="2">
        <v>3449933</v>
      </c>
      <c r="F9659" s="4" t="str">
        <f>IF(B9659=B9658,"",B9659)</f>
        <v>Santana do ParaÃ­so</v>
      </c>
    </row>
    <row r="9660" spans="1:6" ht="15.75" customHeight="1">
      <c r="A9660" s="5" t="s">
        <v>3424</v>
      </c>
      <c r="B9660" s="6" t="s">
        <v>3424</v>
      </c>
      <c r="C9660" s="5" t="s">
        <v>1905</v>
      </c>
      <c r="D9660" s="5" t="s">
        <v>1951</v>
      </c>
      <c r="E9660" s="2">
        <v>3449936</v>
      </c>
      <c r="F9660" s="4" t="str">
        <f>IF(B9660=B9659,"",B9660)</f>
        <v>Santana do Livramento</v>
      </c>
    </row>
    <row r="9661" spans="1:6" ht="15.75" customHeight="1">
      <c r="A9661" s="5" t="str">
        <f ca="1">IFERROR(__xludf.DUMMYFUNCTION("GOOGLETRANSLATE(B24606,""en"",""pt"")"),"Santana do Livramento")</f>
        <v>Santana do Livramento</v>
      </c>
      <c r="B9661" s="17" t="s">
        <v>3424</v>
      </c>
      <c r="C9661" s="17" t="s">
        <v>1905</v>
      </c>
      <c r="D9661" s="17" t="s">
        <v>1951</v>
      </c>
      <c r="E9661" s="10">
        <v>3449936</v>
      </c>
      <c r="F9661" s="4" t="str">
        <f>IF(B9661=B9660,"",B9661)</f>
        <v/>
      </c>
    </row>
    <row r="9662" spans="1:6" ht="15.75" customHeight="1">
      <c r="A9662" s="5" t="s">
        <v>3422</v>
      </c>
      <c r="B9662" s="6" t="s">
        <v>3423</v>
      </c>
      <c r="C9662" s="5" t="s">
        <v>1905</v>
      </c>
      <c r="D9662" s="5" t="s">
        <v>2015</v>
      </c>
      <c r="E9662" s="2">
        <v>3389384</v>
      </c>
      <c r="F9662" s="4" t="str">
        <f>IF(B9662=B9661,"",B9662)</f>
        <v>Santana do Ipanema</v>
      </c>
    </row>
    <row r="9663" spans="1:6" ht="15.75" customHeight="1">
      <c r="A9663" s="5" t="str">
        <f ca="1">IFERROR(__xludf.DUMMYFUNCTION("GOOGLETRANSLATE(B24202,""en"",""pt"")"),"Santana do ipanema")</f>
        <v>Santana do ipanema</v>
      </c>
      <c r="B9663" s="17" t="s">
        <v>3423</v>
      </c>
      <c r="C9663" s="17" t="s">
        <v>1905</v>
      </c>
      <c r="D9663" s="17" t="s">
        <v>2015</v>
      </c>
      <c r="E9663" s="10">
        <v>3389384</v>
      </c>
      <c r="F9663" s="4" t="str">
        <f>IF(B9663=B9662,"",B9663)</f>
        <v/>
      </c>
    </row>
    <row r="9664" spans="1:6" ht="15.75" customHeight="1">
      <c r="A9664" s="5" t="str">
        <f ca="1">IFERROR(__xludf.DUMMYFUNCTION("GOOGLETRANSLATE(B24607,""en"",""pt"")"),"Santana de Parnaíba")</f>
        <v>Santana de Parnaíba</v>
      </c>
      <c r="B9664" s="17" t="s">
        <v>31521</v>
      </c>
      <c r="C9664" s="17" t="s">
        <v>1905</v>
      </c>
      <c r="D9664" s="17" t="s">
        <v>3354</v>
      </c>
      <c r="E9664" s="10">
        <v>3449948</v>
      </c>
      <c r="F9664" s="4" t="str">
        <f>IF(B9664=B9663,"",B9664)</f>
        <v>Santana de Parnaíba</v>
      </c>
    </row>
    <row r="9665" spans="1:6" ht="15.75" customHeight="1">
      <c r="A9665" s="5" t="s">
        <v>3420</v>
      </c>
      <c r="B9665" s="6" t="s">
        <v>3421</v>
      </c>
      <c r="C9665" s="5" t="s">
        <v>1905</v>
      </c>
      <c r="D9665" s="5" t="s">
        <v>1914</v>
      </c>
      <c r="E9665" s="2">
        <v>3449948</v>
      </c>
      <c r="F9665" s="4" t="str">
        <f>IF(B9665=B9664,"",B9665)</f>
        <v>Santana de ParnaÃ­ba</v>
      </c>
    </row>
    <row r="9666" spans="1:6" ht="15.75" customHeight="1">
      <c r="A9666" s="6" t="s">
        <v>3419</v>
      </c>
      <c r="B9666" s="6" t="s">
        <v>3419</v>
      </c>
      <c r="C9666" s="6" t="s">
        <v>1905</v>
      </c>
      <c r="D9666" s="6" t="s">
        <v>2832</v>
      </c>
      <c r="E9666" s="2">
        <v>3391360</v>
      </c>
      <c r="F9666" s="4" t="str">
        <f>IF(B9666=B9665,"",B9666)</f>
        <v>Santana</v>
      </c>
    </row>
    <row r="9667" spans="1:6" ht="15.75" customHeight="1">
      <c r="A9667" s="5" t="str">
        <f ca="1">IFERROR(__xludf.DUMMYFUNCTION("GOOGLETRANSLATE(B24218,""en"",""pt"")"),"Santana")</f>
        <v>Santana</v>
      </c>
      <c r="B9667" s="17" t="s">
        <v>3419</v>
      </c>
      <c r="C9667" s="17" t="s">
        <v>1905</v>
      </c>
      <c r="D9667" s="17" t="s">
        <v>31379</v>
      </c>
      <c r="E9667" s="10">
        <v>3391360</v>
      </c>
      <c r="F9667" s="4" t="str">
        <f>IF(B9667=B9666,"",B9667)</f>
        <v/>
      </c>
    </row>
    <row r="9668" spans="1:6" ht="15.75" customHeight="1">
      <c r="A9668" s="6" t="s">
        <v>3418</v>
      </c>
      <c r="B9668" s="6" t="s">
        <v>3418</v>
      </c>
      <c r="C9668" s="6" t="s">
        <v>1905</v>
      </c>
      <c r="D9668" s="6" t="s">
        <v>1947</v>
      </c>
      <c r="E9668" s="2">
        <v>3450157</v>
      </c>
      <c r="F9668" s="4" t="str">
        <f>IF(B9668=B9667,"",B9668)</f>
        <v>Santaluz</v>
      </c>
    </row>
    <row r="9669" spans="1:6" ht="15.75" customHeight="1">
      <c r="A9669" s="5" t="str">
        <f ca="1">IFERROR(__xludf.DUMMYFUNCTION("GOOGLETRANSLATE(B24611,""en"",""pt"")"),"Santaluz")</f>
        <v>Santaluz</v>
      </c>
      <c r="B9669" s="17" t="s">
        <v>3418</v>
      </c>
      <c r="C9669" s="17" t="s">
        <v>1905</v>
      </c>
      <c r="D9669" s="17" t="s">
        <v>1947</v>
      </c>
      <c r="E9669" s="10">
        <v>3450157</v>
      </c>
      <c r="F9669" s="4" t="str">
        <f>IF(B9669=B9668,"",B9669)</f>
        <v/>
      </c>
    </row>
    <row r="9670" spans="1:6" ht="15.75" customHeight="1">
      <c r="A9670" s="5" t="str">
        <f ca="1">IFERROR(__xludf.DUMMYFUNCTION("GOOGLETRANSLATE(B28988,""en"",""pt"")"),"Santa Fé")</f>
        <v>Santa Fé</v>
      </c>
      <c r="B9670" s="17" t="s">
        <v>24810</v>
      </c>
      <c r="C9670" s="17" t="s">
        <v>24200</v>
      </c>
      <c r="D9670" s="17" t="s">
        <v>24205</v>
      </c>
      <c r="E9670" s="10">
        <v>2511160</v>
      </c>
      <c r="F9670" s="4" t="str">
        <f>IF(B9670=B9669,"",B9670)</f>
        <v>Santafé</v>
      </c>
    </row>
    <row r="9671" spans="1:6" ht="15.75" customHeight="1">
      <c r="A9671" s="6" t="s">
        <v>24810</v>
      </c>
      <c r="B9671" s="6" t="s">
        <v>24811</v>
      </c>
      <c r="C9671" s="6" t="s">
        <v>24200</v>
      </c>
      <c r="D9671" s="6" t="s">
        <v>24205</v>
      </c>
      <c r="E9671" s="2">
        <v>2511160</v>
      </c>
      <c r="F9671" s="4" t="str">
        <f>IF(B9671=B9670,"",B9671)</f>
        <v>SantafÃ©</v>
      </c>
    </row>
    <row r="9672" spans="1:6" ht="15.75" customHeight="1">
      <c r="A9672" s="5" t="str">
        <f ca="1">IFERROR(__xludf.DUMMYFUNCTION("GOOGLETRANSLATE(B24600,""en"",""pt"")"),"Santa Vitória do Palmar")</f>
        <v>Santa Vitória do Palmar</v>
      </c>
      <c r="B9672" s="17" t="s">
        <v>31518</v>
      </c>
      <c r="C9672" s="17" t="s">
        <v>1905</v>
      </c>
      <c r="D9672" s="17" t="s">
        <v>1951</v>
      </c>
      <c r="E9672" s="10">
        <v>3449747</v>
      </c>
      <c r="F9672" s="4" t="str">
        <f>IF(B9672=B9671,"",B9672)</f>
        <v>Santa Vitória do Palmar</v>
      </c>
    </row>
    <row r="9673" spans="1:6" ht="15.75" customHeight="1">
      <c r="A9673" s="5" t="s">
        <v>3416</v>
      </c>
      <c r="B9673" s="6" t="s">
        <v>3417</v>
      </c>
      <c r="C9673" s="5" t="s">
        <v>1905</v>
      </c>
      <c r="D9673" s="5" t="s">
        <v>1951</v>
      </c>
      <c r="E9673" s="2">
        <v>3449747</v>
      </c>
      <c r="F9673" s="4" t="str">
        <f>IF(B9673=B9672,"",B9673)</f>
        <v>Santa VitÃ³ria do Palmar</v>
      </c>
    </row>
    <row r="9674" spans="1:6" ht="15.75" customHeight="1">
      <c r="A9674" s="5" t="s">
        <v>30765</v>
      </c>
      <c r="B9674" s="6" t="s">
        <v>30765</v>
      </c>
      <c r="C9674" s="5" t="s">
        <v>5923</v>
      </c>
      <c r="D9674" s="5" t="s">
        <v>30647</v>
      </c>
      <c r="E9674" s="2">
        <v>3627047</v>
      </c>
      <c r="F9674" s="4" t="str">
        <f>IF(B9674=B9673,"",B9674)</f>
        <v>Santa Teresa</v>
      </c>
    </row>
    <row r="9675" spans="1:6" ht="15.75" customHeight="1">
      <c r="A9675" s="5" t="str">
        <f ca="1">IFERROR(__xludf.DUMMYFUNCTION("GOOGLETRANSLATE(B45615,""en"",""pt"")"),"Santa Teresa")</f>
        <v>Santa Teresa</v>
      </c>
      <c r="B9675" s="17" t="s">
        <v>30765</v>
      </c>
      <c r="C9675" s="17" t="s">
        <v>5923</v>
      </c>
      <c r="D9675" s="17" t="s">
        <v>30647</v>
      </c>
      <c r="E9675" s="10">
        <v>3627047</v>
      </c>
      <c r="F9675" s="4" t="str">
        <f>IF(B9675=B9674,"",B9675)</f>
        <v/>
      </c>
    </row>
    <row r="9676" spans="1:6" ht="15.75" customHeight="1">
      <c r="A9676" s="5" t="s">
        <v>6755</v>
      </c>
      <c r="B9676" s="6" t="s">
        <v>6755</v>
      </c>
      <c r="C9676" s="5" t="s">
        <v>6727</v>
      </c>
      <c r="D9676" s="5" t="s">
        <v>6435</v>
      </c>
      <c r="E9676" s="2">
        <v>3584257</v>
      </c>
      <c r="F9676" s="4" t="str">
        <f>IF(B9676=B9675,"",B9676)</f>
        <v>Santa Tecla</v>
      </c>
    </row>
    <row r="9677" spans="1:6" ht="15.75" customHeight="1">
      <c r="A9677" s="5" t="str">
        <f ca="1">IFERROR(__xludf.DUMMYFUNCTION("GOOGLETRANSLATE(B41372,""en"",""pt"")"),"Santa Tecla")</f>
        <v>Santa Tecla</v>
      </c>
      <c r="B9677" s="17" t="s">
        <v>6755</v>
      </c>
      <c r="C9677" s="17" t="s">
        <v>6727</v>
      </c>
      <c r="D9677" s="17" t="s">
        <v>6435</v>
      </c>
      <c r="E9677" s="10">
        <v>3584257</v>
      </c>
      <c r="F9677" s="4" t="str">
        <f>IF(B9677=B9676,"",B9677)</f>
        <v/>
      </c>
    </row>
    <row r="9678" spans="1:6" ht="15.75" customHeight="1">
      <c r="A9678" s="5" t="s">
        <v>18273</v>
      </c>
      <c r="B9678" s="6" t="s">
        <v>18273</v>
      </c>
      <c r="C9678" s="5" t="s">
        <v>17707</v>
      </c>
      <c r="D9678" s="5" t="s">
        <v>17925</v>
      </c>
      <c r="E9678" s="2">
        <v>3983820</v>
      </c>
      <c r="F9678" s="4" t="str">
        <f>IF(B9678=B9677,"",B9678)</f>
        <v>Santa Rosa Jauregui</v>
      </c>
    </row>
    <row r="9679" spans="1:6" ht="15.75" customHeight="1">
      <c r="A9679" s="5" t="str">
        <f ca="1">IFERROR(__xludf.DUMMYFUNCTION("GOOGLETRANSLATE(B37185,""en"",""pt"")"),"Santa Rosa Jauregui")</f>
        <v>Santa Rosa Jauregui</v>
      </c>
      <c r="B9679" s="17" t="s">
        <v>18273</v>
      </c>
      <c r="C9679" s="17" t="s">
        <v>17707</v>
      </c>
      <c r="D9679" s="17" t="s">
        <v>34667</v>
      </c>
      <c r="E9679" s="10">
        <v>3983820</v>
      </c>
      <c r="F9679" s="4" t="str">
        <f>IF(B9679=B9678,"",B9679)</f>
        <v/>
      </c>
    </row>
    <row r="9680" spans="1:6" ht="15.75" customHeight="1">
      <c r="A9680" s="5" t="s">
        <v>3415</v>
      </c>
      <c r="B9680" s="6" t="s">
        <v>3415</v>
      </c>
      <c r="C9680" s="5" t="s">
        <v>1905</v>
      </c>
      <c r="D9680" s="5" t="s">
        <v>1914</v>
      </c>
      <c r="E9680" s="2">
        <v>3449793</v>
      </c>
      <c r="F9680" s="4" t="str">
        <f>IF(B9680=B9679,"",B9680)</f>
        <v>Santa Rosa de Viterbo</v>
      </c>
    </row>
    <row r="9681" spans="1:6" ht="15.75" customHeight="1">
      <c r="A9681" s="5" t="str">
        <f ca="1">IFERROR(__xludf.DUMMYFUNCTION("GOOGLETRANSLATE(B24601,""en"",""pt"")"),"Santa Rosa de Viterbo")</f>
        <v>Santa Rosa de Viterbo</v>
      </c>
      <c r="B9681" s="17" t="s">
        <v>3415</v>
      </c>
      <c r="C9681" s="17" t="s">
        <v>1905</v>
      </c>
      <c r="D9681" s="17" t="s">
        <v>3354</v>
      </c>
      <c r="E9681" s="10">
        <v>3449793</v>
      </c>
      <c r="F9681" s="4" t="str">
        <f>IF(B9681=B9680,"",B9681)</f>
        <v/>
      </c>
    </row>
    <row r="9682" spans="1:6" ht="15.75" customHeight="1">
      <c r="A9682" s="5" t="str">
        <f ca="1">IFERROR(__xludf.DUMMYFUNCTION("GOOGLETRANSLATE(B31170,""en"",""pt"")"),"Santa Rosa de Copán")</f>
        <v>Santa Rosa de Copán</v>
      </c>
      <c r="B9682" s="17" t="s">
        <v>32796</v>
      </c>
      <c r="C9682" s="17" t="s">
        <v>9907</v>
      </c>
      <c r="D9682" s="17" t="s">
        <v>32797</v>
      </c>
      <c r="E9682" s="10">
        <v>3601494</v>
      </c>
      <c r="F9682" s="4" t="str">
        <f>IF(B9682=B9681,"",B9682)</f>
        <v>Santa Rosa de Copán</v>
      </c>
    </row>
    <row r="9683" spans="1:6" ht="15.75" customHeight="1">
      <c r="A9683" s="5" t="s">
        <v>9932</v>
      </c>
      <c r="B9683" s="6" t="s">
        <v>9933</v>
      </c>
      <c r="C9683" s="5" t="s">
        <v>9907</v>
      </c>
      <c r="D9683" s="5" t="s">
        <v>9934</v>
      </c>
      <c r="E9683" s="2">
        <v>3601494</v>
      </c>
      <c r="F9683" s="4" t="str">
        <f>IF(B9683=B9682,"",B9683)</f>
        <v>Santa Rosa de CopÃ¡n</v>
      </c>
    </row>
    <row r="9684" spans="1:6" ht="15.75" customHeight="1">
      <c r="A9684" s="5" t="s">
        <v>5605</v>
      </c>
      <c r="B9684" s="6" t="s">
        <v>5605</v>
      </c>
      <c r="C9684" s="5" t="s">
        <v>5348</v>
      </c>
      <c r="D9684" s="5" t="s">
        <v>5364</v>
      </c>
      <c r="E9684" s="2">
        <v>3668454</v>
      </c>
      <c r="F9684" s="4" t="str">
        <f>IF(B9684=B9683,"",B9684)</f>
        <v>Santa Rosa de Cabal</v>
      </c>
    </row>
    <row r="9685" spans="1:6" ht="15.75" customHeight="1">
      <c r="A9685" s="5" t="str">
        <f ca="1">IFERROR(__xludf.DUMMYFUNCTION("GOOGLETRANSLATE(B26881,""en"",""pt"")"),"Santa Rosa de Cabal")</f>
        <v>Santa Rosa de Cabal</v>
      </c>
      <c r="B9685" s="17" t="s">
        <v>5605</v>
      </c>
      <c r="C9685" s="17" t="s">
        <v>5348</v>
      </c>
      <c r="D9685" s="17" t="s">
        <v>5364</v>
      </c>
      <c r="E9685" s="10">
        <v>3668454</v>
      </c>
      <c r="F9685" s="4" t="str">
        <f>IF(B9685=B9684,"",B9685)</f>
        <v/>
      </c>
    </row>
    <row r="9686" spans="1:6" ht="15.75" customHeight="1">
      <c r="A9686" s="5" t="s">
        <v>805</v>
      </c>
      <c r="B9686" s="6" t="s">
        <v>805</v>
      </c>
      <c r="C9686" s="5" t="s">
        <v>558</v>
      </c>
      <c r="D9686" s="5" t="s">
        <v>668</v>
      </c>
      <c r="E9686" s="2">
        <v>3835994</v>
      </c>
      <c r="F9686" s="4" t="str">
        <f>IF(B9686=B9685,"",B9686)</f>
        <v>Santa Rosa</v>
      </c>
    </row>
    <row r="9687" spans="1:6" ht="15.75" customHeight="1">
      <c r="A9687" s="5" t="s">
        <v>805</v>
      </c>
      <c r="B9687" s="6" t="s">
        <v>805</v>
      </c>
      <c r="C9687" s="5" t="s">
        <v>1905</v>
      </c>
      <c r="D9687" s="5" t="s">
        <v>1951</v>
      </c>
      <c r="E9687" s="2">
        <v>3449822</v>
      </c>
      <c r="F9687" s="4" t="str">
        <f>IF(B9687=B9686,"",B9687)</f>
        <v/>
      </c>
    </row>
    <row r="9688" spans="1:6" ht="15.75" customHeight="1">
      <c r="A9688" s="5" t="s">
        <v>805</v>
      </c>
      <c r="B9688" s="6" t="s">
        <v>805</v>
      </c>
      <c r="C9688" s="5" t="s">
        <v>6398</v>
      </c>
      <c r="D9688" s="5" t="s">
        <v>6432</v>
      </c>
      <c r="E9688" s="2">
        <v>3651356</v>
      </c>
      <c r="F9688" s="4" t="str">
        <f>IF(B9688=B9687,"",B9688)</f>
        <v/>
      </c>
    </row>
    <row r="9689" spans="1:6" ht="15.75" customHeight="1">
      <c r="A9689" s="5" t="s">
        <v>805</v>
      </c>
      <c r="B9689" s="6" t="s">
        <v>805</v>
      </c>
      <c r="C9689" s="5" t="s">
        <v>20598</v>
      </c>
      <c r="D9689" s="5" t="s">
        <v>20608</v>
      </c>
      <c r="E9689" s="2">
        <v>1687894</v>
      </c>
      <c r="F9689" s="4" t="str">
        <f>IF(B9689=B9688,"",B9689)</f>
        <v/>
      </c>
    </row>
    <row r="9690" spans="1:6" ht="15.75" customHeight="1">
      <c r="A9690" s="5" t="s">
        <v>805</v>
      </c>
      <c r="B9690" s="6" t="s">
        <v>805</v>
      </c>
      <c r="C9690" s="5" t="s">
        <v>27788</v>
      </c>
      <c r="D9690" s="5" t="s">
        <v>27801</v>
      </c>
      <c r="E9690" s="2">
        <v>5393287</v>
      </c>
      <c r="F9690" s="4" t="str">
        <f>IF(B9690=B9689,"",B9690)</f>
        <v/>
      </c>
    </row>
    <row r="9691" spans="1:6" ht="15.75" customHeight="1">
      <c r="A9691" s="5" t="str">
        <f ca="1">IFERROR(__xludf.DUMMYFUNCTION("GOOGLETRANSLATE(B23259,""en"",""pt"")"),"Santa Rosa")</f>
        <v>Santa Rosa</v>
      </c>
      <c r="B9691" s="17" t="s">
        <v>805</v>
      </c>
      <c r="C9691" s="17" t="s">
        <v>558</v>
      </c>
      <c r="D9691" s="17" t="s">
        <v>668</v>
      </c>
      <c r="E9691" s="10">
        <v>3835994</v>
      </c>
      <c r="F9691" s="4" t="str">
        <f>IF(B9691=B9690,"",B9691)</f>
        <v/>
      </c>
    </row>
    <row r="9692" spans="1:6" ht="15.75" customHeight="1">
      <c r="A9692" s="5" t="str">
        <f ca="1">IFERROR(__xludf.DUMMYFUNCTION("GOOGLETRANSLATE(B24602,""en"",""pt"")"),"Santa Rosa")</f>
        <v>Santa Rosa</v>
      </c>
      <c r="B9692" s="17" t="s">
        <v>805</v>
      </c>
      <c r="C9692" s="17" t="s">
        <v>1905</v>
      </c>
      <c r="D9692" s="17" t="s">
        <v>1951</v>
      </c>
      <c r="E9692" s="10">
        <v>3449822</v>
      </c>
      <c r="F9692" s="4" t="str">
        <f>IF(B9692=B9691,"",B9692)</f>
        <v/>
      </c>
    </row>
    <row r="9693" spans="1:6" ht="15.75" customHeight="1">
      <c r="A9693" s="5" t="str">
        <f ca="1">IFERROR(__xludf.DUMMYFUNCTION("GOOGLETRANSLATE(B28755,""en"",""pt"")"),"Santa Rosa")</f>
        <v>Santa Rosa</v>
      </c>
      <c r="B9693" s="17" t="s">
        <v>805</v>
      </c>
      <c r="C9693" s="17" t="s">
        <v>6398</v>
      </c>
      <c r="D9693" s="17" t="s">
        <v>6432</v>
      </c>
      <c r="E9693" s="10">
        <v>3651356</v>
      </c>
      <c r="F9693" s="4" t="str">
        <f>IF(B9693=B9692,"",B9693)</f>
        <v/>
      </c>
    </row>
    <row r="9694" spans="1:6" ht="15.75" customHeight="1">
      <c r="A9694" s="5" t="str">
        <f ca="1">IFERROR(__xludf.DUMMYFUNCTION("GOOGLETRANSLATE(B38486,""en"",""pt"")"),"Santa Rosa")</f>
        <v>Santa Rosa</v>
      </c>
      <c r="B9694" s="17" t="s">
        <v>805</v>
      </c>
      <c r="C9694" s="17" t="s">
        <v>20598</v>
      </c>
      <c r="D9694" s="17" t="s">
        <v>20608</v>
      </c>
      <c r="E9694" s="10">
        <v>1687894</v>
      </c>
      <c r="F9694" s="4" t="str">
        <f>IF(B9694=B9693,"",B9694)</f>
        <v/>
      </c>
    </row>
    <row r="9695" spans="1:6" ht="15.75" customHeight="1">
      <c r="A9695" s="5" t="str">
        <f ca="1">IFERROR(__xludf.DUMMYFUNCTION("GOOGLETRANSLATE(B45029,""en"",""pt"")"),"Santa Rosa")</f>
        <v>Santa Rosa</v>
      </c>
      <c r="B9695" s="17" t="s">
        <v>805</v>
      </c>
      <c r="C9695" s="17" t="s">
        <v>27788</v>
      </c>
      <c r="D9695" s="17" t="s">
        <v>27801</v>
      </c>
      <c r="E9695" s="10">
        <v>5393287</v>
      </c>
      <c r="F9695" s="4" t="str">
        <f>IF(B9695=B9694,"",B9695)</f>
        <v/>
      </c>
    </row>
    <row r="9696" spans="1:6" ht="15.75" customHeight="1">
      <c r="A9696" s="5" t="str">
        <f ca="1">IFERROR(__xludf.DUMMYFUNCTION("GOOGLETRANSLATE(B24603,""en"",""pt"")"),"Santa Rita do Sapucaí")</f>
        <v>Santa Rita do Sapucaí</v>
      </c>
      <c r="B9696" s="17" t="s">
        <v>31519</v>
      </c>
      <c r="C9696" s="17" t="s">
        <v>1905</v>
      </c>
      <c r="D9696" s="17" t="s">
        <v>1917</v>
      </c>
      <c r="E9696" s="10">
        <v>3449847</v>
      </c>
      <c r="F9696" s="4" t="str">
        <f>IF(B9696=B9695,"",B9696)</f>
        <v>Santa Rita do Sapucaí</v>
      </c>
    </row>
    <row r="9697" spans="1:6" ht="15.75" customHeight="1">
      <c r="A9697" s="5" t="s">
        <v>3413</v>
      </c>
      <c r="B9697" s="6" t="s">
        <v>3414</v>
      </c>
      <c r="C9697" s="5" t="s">
        <v>1905</v>
      </c>
      <c r="D9697" s="5" t="s">
        <v>1917</v>
      </c>
      <c r="E9697" s="2">
        <v>3449847</v>
      </c>
      <c r="F9697" s="4" t="str">
        <f>IF(B9697=B9696,"",B9697)</f>
        <v>Santa Rita do SapucaÃ­</v>
      </c>
    </row>
    <row r="9698" spans="1:6" ht="15.75" customHeight="1">
      <c r="A9698" s="5" t="s">
        <v>3412</v>
      </c>
      <c r="B9698" s="6" t="s">
        <v>3412</v>
      </c>
      <c r="C9698" s="5" t="s">
        <v>1905</v>
      </c>
      <c r="D9698" s="5" t="s">
        <v>1914</v>
      </c>
      <c r="E9698" s="2">
        <v>3449851</v>
      </c>
      <c r="F9698" s="4" t="str">
        <f>IF(B9698=B9697,"",B9698)</f>
        <v>Santa Rita do Passa Quatro</v>
      </c>
    </row>
    <row r="9699" spans="1:6" ht="15.75" customHeight="1">
      <c r="A9699" s="5" t="str">
        <f ca="1">IFERROR(__xludf.DUMMYFUNCTION("GOOGLETRANSLATE(B24604,""en"",""pt"")"),"Santa Rita do Passa Quatro")</f>
        <v>Santa Rita do Passa Quatro</v>
      </c>
      <c r="B9699" s="17" t="s">
        <v>3412</v>
      </c>
      <c r="C9699" s="17" t="s">
        <v>1905</v>
      </c>
      <c r="D9699" s="17" t="s">
        <v>3354</v>
      </c>
      <c r="E9699" s="10">
        <v>3449851</v>
      </c>
      <c r="F9699" s="4" t="str">
        <f>IF(B9699=B9698,"",B9699)</f>
        <v/>
      </c>
    </row>
    <row r="9700" spans="1:6" ht="15.75" customHeight="1">
      <c r="A9700" s="5" t="s">
        <v>3411</v>
      </c>
      <c r="B9700" s="6" t="s">
        <v>3411</v>
      </c>
      <c r="C9700" s="5" t="s">
        <v>1905</v>
      </c>
      <c r="D9700" s="5" t="s">
        <v>1944</v>
      </c>
      <c r="E9700" s="2">
        <v>3389321</v>
      </c>
      <c r="F9700" s="4" t="str">
        <f>IF(B9700=B9699,"",B9700)</f>
        <v>Santa Rita</v>
      </c>
    </row>
    <row r="9701" spans="1:6" ht="15.75" customHeight="1">
      <c r="A9701" s="5" t="s">
        <v>3411</v>
      </c>
      <c r="B9701" s="6" t="s">
        <v>3411</v>
      </c>
      <c r="C9701" s="5" t="s">
        <v>5923</v>
      </c>
      <c r="D9701" s="5" t="s">
        <v>30649</v>
      </c>
      <c r="E9701" s="2">
        <v>3627186</v>
      </c>
      <c r="F9701" s="4" t="str">
        <f>IF(B9701=B9700,"",B9701)</f>
        <v/>
      </c>
    </row>
    <row r="9702" spans="1:6" ht="15.75" customHeight="1">
      <c r="A9702" s="5" t="str">
        <f ca="1">IFERROR(__xludf.DUMMYFUNCTION("GOOGLETRANSLATE(B24198,""en"",""pt"")"),"Santa Rita")</f>
        <v>Santa Rita</v>
      </c>
      <c r="B9702" s="17" t="s">
        <v>3411</v>
      </c>
      <c r="C9702" s="17" t="s">
        <v>1905</v>
      </c>
      <c r="D9702" s="17" t="s">
        <v>31343</v>
      </c>
      <c r="E9702" s="10">
        <v>3389321</v>
      </c>
      <c r="F9702" s="4" t="str">
        <f>IF(B9702=B9701,"",B9702)</f>
        <v/>
      </c>
    </row>
    <row r="9703" spans="1:6" ht="15.75" customHeight="1">
      <c r="A9703" s="5" t="str">
        <f ca="1">IFERROR(__xludf.DUMMYFUNCTION("GOOGLETRANSLATE(B45616,""en"",""pt"")"),"Santa Rita")</f>
        <v>Santa Rita</v>
      </c>
      <c r="B9703" s="17" t="s">
        <v>3411</v>
      </c>
      <c r="C9703" s="17" t="s">
        <v>5923</v>
      </c>
      <c r="D9703" s="17" t="s">
        <v>30649</v>
      </c>
      <c r="E9703" s="10">
        <v>3627186</v>
      </c>
      <c r="F9703" s="4" t="str">
        <f>IF(B9703=B9702,"",B9703)</f>
        <v/>
      </c>
    </row>
    <row r="9704" spans="1:6" ht="15.75" customHeight="1">
      <c r="A9704" s="5" t="str">
        <f ca="1">IFERROR(__xludf.DUMMYFUNCTION("GOOGLETRANSLATE(B24200,""en"",""pt"")"),"Santa Quitélria do Maranhão")</f>
        <v>Santa Quitélria do Maranhão</v>
      </c>
      <c r="B9704" s="17" t="s">
        <v>31374</v>
      </c>
      <c r="C9704" s="17" t="s">
        <v>1905</v>
      </c>
      <c r="D9704" s="17" t="s">
        <v>31340</v>
      </c>
      <c r="E9704" s="10">
        <v>3389358</v>
      </c>
      <c r="F9704" s="4" t="str">
        <f>IF(B9704=B9703,"",B9704)</f>
        <v>Santa Quitéria do Maranhão</v>
      </c>
    </row>
    <row r="9705" spans="1:6" ht="15.75" customHeight="1">
      <c r="A9705" s="5" t="str">
        <f ca="1">IFERROR(__xludf.DUMMYFUNCTION("GOOGLETRANSLATE(B24201,""en"",""pt"")"),"Santa Quiteria")</f>
        <v>Santa Quiteria</v>
      </c>
      <c r="B9705" s="17" t="s">
        <v>31375</v>
      </c>
      <c r="C9705" s="17" t="s">
        <v>1905</v>
      </c>
      <c r="D9705" s="17" t="s">
        <v>31345</v>
      </c>
      <c r="E9705" s="10">
        <v>3389361</v>
      </c>
      <c r="F9705" s="4" t="str">
        <f>IF(B9705=B9704,"",B9705)</f>
        <v>Santa Quitéria</v>
      </c>
    </row>
    <row r="9706" spans="1:6" ht="15.75" customHeight="1">
      <c r="A9706" s="5" t="s">
        <v>3409</v>
      </c>
      <c r="B9706" s="6" t="s">
        <v>3410</v>
      </c>
      <c r="C9706" s="5" t="s">
        <v>1905</v>
      </c>
      <c r="D9706" s="5" t="s">
        <v>2024</v>
      </c>
      <c r="E9706" s="2">
        <v>3389358</v>
      </c>
      <c r="F9706" s="4" t="str">
        <f>IF(B9706=B9705,"",B9706)</f>
        <v>Santa QuitÃ©ria do MaranhÃ£o</v>
      </c>
    </row>
    <row r="9707" spans="1:6" ht="15.75" customHeight="1">
      <c r="A9707" s="5" t="s">
        <v>3407</v>
      </c>
      <c r="B9707" s="6" t="s">
        <v>3408</v>
      </c>
      <c r="C9707" s="5" t="s">
        <v>1905</v>
      </c>
      <c r="D9707" s="5" t="s">
        <v>1930</v>
      </c>
      <c r="E9707" s="2">
        <v>3389361</v>
      </c>
      <c r="F9707" s="4" t="str">
        <f>IF(B9707=B9706,"",B9707)</f>
        <v>Santa QuitÃ©ria</v>
      </c>
    </row>
    <row r="9708" spans="1:6" ht="15.75" customHeight="1">
      <c r="A9708" s="5" t="s">
        <v>24809</v>
      </c>
      <c r="B9708" s="6" t="s">
        <v>24809</v>
      </c>
      <c r="C9708" s="5" t="s">
        <v>24200</v>
      </c>
      <c r="D9708" s="5" t="s">
        <v>21053</v>
      </c>
      <c r="E9708" s="2">
        <v>2511102</v>
      </c>
      <c r="F9708" s="4" t="str">
        <f>IF(B9708=B9707,"",B9708)</f>
        <v>Santa Pola</v>
      </c>
    </row>
    <row r="9709" spans="1:6" ht="15.75" customHeight="1">
      <c r="A9709" s="5" t="str">
        <f ca="1">IFERROR(__xludf.DUMMYFUNCTION("GOOGLETRANSLATE(B28986,""en"",""pt"")"),"Santa Pola")</f>
        <v>Santa Pola</v>
      </c>
      <c r="B9709" s="17" t="s">
        <v>24809</v>
      </c>
      <c r="C9709" s="17" t="s">
        <v>24200</v>
      </c>
      <c r="D9709" s="17" t="s">
        <v>21053</v>
      </c>
      <c r="E9709" s="10">
        <v>2511102</v>
      </c>
      <c r="F9709" s="4" t="str">
        <f>IF(B9709=B9708,"",B9709)</f>
        <v/>
      </c>
    </row>
    <row r="9710" spans="1:6" ht="15.75" customHeight="1">
      <c r="A9710" s="5" t="str">
        <f ca="1">IFERROR(__xludf.DUMMYFUNCTION("GOOGLETRANSLATE(B29282,""en"",""pt"")"),"Santa Perpètua de Mogoda")</f>
        <v>Santa Perpètua de Mogoda</v>
      </c>
      <c r="B9710" s="17" t="s">
        <v>32427</v>
      </c>
      <c r="C9710" s="17" t="s">
        <v>24200</v>
      </c>
      <c r="D9710" s="17" t="s">
        <v>24277</v>
      </c>
      <c r="E9710" s="10">
        <v>3109689</v>
      </c>
      <c r="F9710" s="4" t="str">
        <f>IF(B9710=B9709,"",B9710)</f>
        <v>Santa Perpètua de Mogoda</v>
      </c>
    </row>
    <row r="9711" spans="1:6" ht="15.75" customHeight="1">
      <c r="A9711" s="5" t="s">
        <v>24807</v>
      </c>
      <c r="B9711" s="6" t="s">
        <v>24808</v>
      </c>
      <c r="C9711" s="5" t="s">
        <v>24200</v>
      </c>
      <c r="D9711" s="5" t="s">
        <v>24277</v>
      </c>
      <c r="E9711" s="2">
        <v>3109689</v>
      </c>
      <c r="F9711" s="4" t="str">
        <f>IF(B9711=B9710,"",B9711)</f>
        <v>Santa PerpÃ¨tua de Mogoda</v>
      </c>
    </row>
    <row r="9712" spans="1:6" ht="15.75" customHeight="1">
      <c r="A9712" s="5" t="s">
        <v>29914</v>
      </c>
      <c r="B9712" s="6" t="s">
        <v>29914</v>
      </c>
      <c r="C9712" s="5" t="s">
        <v>27788</v>
      </c>
      <c r="D9712" s="5" t="s">
        <v>27801</v>
      </c>
      <c r="E9712" s="2">
        <v>5393245</v>
      </c>
      <c r="F9712" s="4" t="str">
        <f>IF(B9712=B9711,"",B9712)</f>
        <v>Santa Paula</v>
      </c>
    </row>
    <row r="9713" spans="1:6" ht="15.75" customHeight="1">
      <c r="A9713" s="5" t="str">
        <f ca="1">IFERROR(__xludf.DUMMYFUNCTION("GOOGLETRANSLATE(B45028,""en"",""pt"")"),"Santa Paula")</f>
        <v>Santa Paula</v>
      </c>
      <c r="B9713" s="17" t="s">
        <v>29914</v>
      </c>
      <c r="C9713" s="17" t="s">
        <v>27788</v>
      </c>
      <c r="D9713" s="17" t="s">
        <v>27801</v>
      </c>
      <c r="E9713" s="10">
        <v>5393245</v>
      </c>
      <c r="F9713" s="4" t="str">
        <f>IF(B9713=B9712,"",B9713)</f>
        <v/>
      </c>
    </row>
    <row r="9714" spans="1:6" ht="15.75" customHeight="1">
      <c r="A9714" s="5" t="s">
        <v>29912</v>
      </c>
      <c r="B9714" s="6" t="s">
        <v>29913</v>
      </c>
      <c r="C9714" s="5" t="s">
        <v>27788</v>
      </c>
      <c r="D9714" s="5" t="s">
        <v>27801</v>
      </c>
      <c r="E9714" s="2">
        <v>5393212</v>
      </c>
      <c r="F9714" s="4" t="str">
        <f>IF(B9714=B9713,"",B9714)</f>
        <v>Santa Monica</v>
      </c>
    </row>
    <row r="9715" spans="1:6" ht="15.75" customHeight="1">
      <c r="A9715" s="5" t="str">
        <f ca="1">IFERROR(__xludf.DUMMYFUNCTION("GOOGLETRANSLATE(B45027,""en"",""pt"")"),"Santa Mônica")</f>
        <v>Santa Mônica</v>
      </c>
      <c r="B9715" s="17" t="s">
        <v>29913</v>
      </c>
      <c r="C9715" s="17" t="s">
        <v>27788</v>
      </c>
      <c r="D9715" s="17" t="s">
        <v>27801</v>
      </c>
      <c r="E9715" s="10">
        <v>5393212</v>
      </c>
      <c r="F9715" s="4" t="str">
        <f>IF(B9715=B9714,"",B9715)</f>
        <v/>
      </c>
    </row>
    <row r="9716" spans="1:6" ht="15.75" customHeight="1">
      <c r="A9716" s="5" t="s">
        <v>5604</v>
      </c>
      <c r="B9716" s="6" t="s">
        <v>5604</v>
      </c>
      <c r="C9716" s="5" t="s">
        <v>5348</v>
      </c>
      <c r="D9716" s="5" t="s">
        <v>5368</v>
      </c>
      <c r="E9716" s="2">
        <v>3668605</v>
      </c>
      <c r="F9716" s="4" t="str">
        <f>IF(B9716=B9715,"",B9716)</f>
        <v>Santa Marta</v>
      </c>
    </row>
    <row r="9717" spans="1:6" ht="15.75" customHeight="1">
      <c r="A9717" s="5" t="str">
        <f ca="1">IFERROR(__xludf.DUMMYFUNCTION("GOOGLETRANSLATE(B26883,""en"",""pt"")"),"Santa Marta")</f>
        <v>Santa Marta</v>
      </c>
      <c r="B9717" s="17" t="s">
        <v>5604</v>
      </c>
      <c r="C9717" s="17" t="s">
        <v>5348</v>
      </c>
      <c r="D9717" s="17" t="s">
        <v>5368</v>
      </c>
      <c r="E9717" s="10">
        <v>3668605</v>
      </c>
      <c r="F9717" s="4" t="str">
        <f>IF(B9717=B9716,"",B9717)</f>
        <v/>
      </c>
    </row>
    <row r="9718" spans="1:6" ht="15.75" customHeight="1">
      <c r="A9718" s="5" t="str">
        <f ca="1">IFERROR(__xludf.DUMMYFUNCTION("GOOGLETRANSLATE(B37125,""en"",""pt"")"),"Santa María TotoltePec")</f>
        <v>Santa María TotoltePec</v>
      </c>
      <c r="B9718" s="17" t="s">
        <v>34723</v>
      </c>
      <c r="C9718" s="17" t="s">
        <v>17707</v>
      </c>
      <c r="D9718" s="17" t="s">
        <v>20902</v>
      </c>
      <c r="E9718" s="10">
        <v>3827256</v>
      </c>
      <c r="F9718" s="4" t="str">
        <f>IF(B9718=B9717,"",B9718)</f>
        <v>Santa María Totoltepec</v>
      </c>
    </row>
    <row r="9719" spans="1:6" ht="15.75" customHeight="1">
      <c r="A9719" s="5" t="str">
        <f ca="1">IFERROR(__xludf.DUMMYFUNCTION("GOOGLETRANSLATE(B31073,""en"",""pt"")"),"Santa María de Jesús")</f>
        <v>Santa María de Jesús</v>
      </c>
      <c r="B9719" s="17" t="s">
        <v>32771</v>
      </c>
      <c r="C9719" s="17" t="s">
        <v>9700</v>
      </c>
      <c r="D9719" s="17" t="s">
        <v>32767</v>
      </c>
      <c r="E9719" s="10">
        <v>3589253</v>
      </c>
      <c r="F9719" s="4" t="str">
        <f>IF(B9719=B9718,"",B9719)</f>
        <v>Santa María de Jesús</v>
      </c>
    </row>
    <row r="9720" spans="1:6" ht="15.75" customHeight="1">
      <c r="A9720" s="5" t="str">
        <f ca="1">IFERROR(__xludf.DUMMYFUNCTION("GOOGLETRANSLATE(B24608,""en"",""pt"")"),"Santa Maria da Vitória")</f>
        <v>Santa Maria da Vitória</v>
      </c>
      <c r="B9720" s="17" t="s">
        <v>31522</v>
      </c>
      <c r="C9720" s="17" t="s">
        <v>1905</v>
      </c>
      <c r="D9720" s="17" t="s">
        <v>1947</v>
      </c>
      <c r="E9720" s="10">
        <v>3450063</v>
      </c>
      <c r="F9720" s="4" t="str">
        <f>IF(B9720=B9719,"",B9720)</f>
        <v>Santa Maria da Vitória</v>
      </c>
    </row>
    <row r="9721" spans="1:6" ht="15.75" customHeight="1">
      <c r="A9721" s="5" t="s">
        <v>3405</v>
      </c>
      <c r="B9721" s="6" t="s">
        <v>3406</v>
      </c>
      <c r="C9721" s="5" t="s">
        <v>1905</v>
      </c>
      <c r="D9721" s="5" t="s">
        <v>1947</v>
      </c>
      <c r="E9721" s="2">
        <v>3450063</v>
      </c>
      <c r="F9721" s="4" t="str">
        <f>IF(B9721=B9720,"",B9721)</f>
        <v>Santa Maria da VitÃ³ria</v>
      </c>
    </row>
    <row r="9722" spans="1:6" ht="15.75" customHeight="1">
      <c r="A9722" s="5" t="str">
        <f ca="1">IFERROR(__xludf.DUMMYFUNCTION("GOOGLETRANSLATE(B36916,""en"",""pt"")"),"Santa María Chimalhuacán")</f>
        <v>Santa María Chimalhuacán</v>
      </c>
      <c r="B9722" s="17" t="s">
        <v>34675</v>
      </c>
      <c r="C9722" s="17" t="s">
        <v>17707</v>
      </c>
      <c r="D9722" s="17" t="s">
        <v>20902</v>
      </c>
      <c r="E9722" s="10">
        <v>3517270</v>
      </c>
      <c r="F9722" s="4" t="str">
        <f>IF(B9722=B9721,"",B9722)</f>
        <v>Santa María Chimalhuacán</v>
      </c>
    </row>
    <row r="9723" spans="1:6" ht="15.75" customHeight="1">
      <c r="A9723" s="5" t="s">
        <v>15466</v>
      </c>
      <c r="B9723" s="6" t="s">
        <v>15466</v>
      </c>
      <c r="C9723" s="5" t="s">
        <v>14891</v>
      </c>
      <c r="D9723" s="5" t="s">
        <v>14896</v>
      </c>
      <c r="E9723" s="2">
        <v>3167561</v>
      </c>
      <c r="F9723" s="4" t="str">
        <f>IF(B9723=B9722,"",B9723)</f>
        <v>Santa Maria Capua Vetere</v>
      </c>
    </row>
    <row r="9724" spans="1:6" ht="15.75" customHeight="1">
      <c r="A9724" s="5" t="str">
        <f ca="1">IFERROR(__xludf.DUMMYFUNCTION("GOOGLETRANSLATE(B34708,""en"",""pt"")"),"Santa Maria Capua Vetere")</f>
        <v>Santa Maria Capua Vetere</v>
      </c>
      <c r="B9724" s="17" t="s">
        <v>15466</v>
      </c>
      <c r="C9724" s="17" t="s">
        <v>14891</v>
      </c>
      <c r="D9724" s="17" t="s">
        <v>14896</v>
      </c>
      <c r="E9724" s="10">
        <v>3167561</v>
      </c>
      <c r="F9724" s="4" t="str">
        <f>IF(B9724=B9723,"",B9724)</f>
        <v/>
      </c>
    </row>
    <row r="9725" spans="1:6" ht="15.75" customHeight="1">
      <c r="A9725" s="5" t="s">
        <v>3404</v>
      </c>
      <c r="B9725" s="6" t="s">
        <v>3404</v>
      </c>
      <c r="C9725" s="5" t="s">
        <v>1905</v>
      </c>
      <c r="D9725" s="5" t="s">
        <v>1951</v>
      </c>
      <c r="E9725" s="2">
        <v>3450083</v>
      </c>
      <c r="F9725" s="4" t="str">
        <f>IF(B9725=B9724,"",B9725)</f>
        <v>Santa Maria</v>
      </c>
    </row>
    <row r="9726" spans="1:6" ht="15.75" customHeight="1">
      <c r="A9726" s="5" t="s">
        <v>3404</v>
      </c>
      <c r="B9726" s="6" t="s">
        <v>3404</v>
      </c>
      <c r="C9726" s="5" t="s">
        <v>4256</v>
      </c>
      <c r="D9726" s="5" t="s">
        <v>4260</v>
      </c>
      <c r="E9726" s="2">
        <v>3374218</v>
      </c>
      <c r="F9726" s="4" t="str">
        <f>IF(B9726=B9725,"",B9726)</f>
        <v/>
      </c>
    </row>
    <row r="9727" spans="1:6" ht="15.75" customHeight="1">
      <c r="A9727" s="5" t="s">
        <v>3404</v>
      </c>
      <c r="B9727" s="6" t="s">
        <v>3404</v>
      </c>
      <c r="C9727" s="5" t="s">
        <v>20598</v>
      </c>
      <c r="D9727" s="5" t="s">
        <v>20603</v>
      </c>
      <c r="E9727" s="2">
        <v>1688017</v>
      </c>
      <c r="F9727" s="4" t="str">
        <f>IF(B9727=B9726,"",B9727)</f>
        <v/>
      </c>
    </row>
    <row r="9728" spans="1:6" ht="15.75" customHeight="1">
      <c r="A9728" s="5" t="s">
        <v>3404</v>
      </c>
      <c r="B9728" s="6" t="s">
        <v>3404</v>
      </c>
      <c r="C9728" s="5" t="s">
        <v>20598</v>
      </c>
      <c r="D9728" s="5" t="s">
        <v>20658</v>
      </c>
      <c r="E9728" s="2">
        <v>1688058</v>
      </c>
      <c r="F9728" s="4" t="str">
        <f>IF(B9728=B9727,"",B9728)</f>
        <v/>
      </c>
    </row>
    <row r="9729" spans="1:6" ht="15.75" customHeight="1">
      <c r="A9729" s="5" t="s">
        <v>3404</v>
      </c>
      <c r="B9729" s="6" t="s">
        <v>3404</v>
      </c>
      <c r="C9729" s="5" t="s">
        <v>27788</v>
      </c>
      <c r="D9729" s="5" t="s">
        <v>27801</v>
      </c>
      <c r="E9729" s="2">
        <v>5393180</v>
      </c>
      <c r="F9729" s="4" t="str">
        <f>IF(B9729=B9728,"",B9729)</f>
        <v/>
      </c>
    </row>
    <row r="9730" spans="1:6" ht="15.75" customHeight="1">
      <c r="A9730" s="5" t="str">
        <f ca="1">IFERROR(__xludf.DUMMYFUNCTION("GOOGLETRANSLATE(B24609,""en"",""pt"")"),"Santa Maria")</f>
        <v>Santa Maria</v>
      </c>
      <c r="B9730" s="17" t="s">
        <v>3404</v>
      </c>
      <c r="C9730" s="17" t="s">
        <v>1905</v>
      </c>
      <c r="D9730" s="17" t="s">
        <v>1951</v>
      </c>
      <c r="E9730" s="10">
        <v>3450083</v>
      </c>
      <c r="F9730" s="4" t="str">
        <f>IF(B9730=B9729,"",B9730)</f>
        <v/>
      </c>
    </row>
    <row r="9731" spans="1:6" ht="15.75" customHeight="1">
      <c r="A9731" s="5" t="str">
        <f ca="1">IFERROR(__xludf.DUMMYFUNCTION("GOOGLETRANSLATE(B27229,""en"",""pt"")"),"Santa Maria")</f>
        <v>Santa Maria</v>
      </c>
      <c r="B9731" s="17" t="s">
        <v>3404</v>
      </c>
      <c r="C9731" s="17" t="s">
        <v>4256</v>
      </c>
      <c r="D9731" s="17" t="s">
        <v>4260</v>
      </c>
      <c r="E9731" s="10">
        <v>3374218</v>
      </c>
      <c r="F9731" s="4" t="str">
        <f>IF(B9731=B9730,"",B9731)</f>
        <v/>
      </c>
    </row>
    <row r="9732" spans="1:6" ht="15.75" customHeight="1">
      <c r="A9732" s="5" t="str">
        <f ca="1">IFERROR(__xludf.DUMMYFUNCTION("GOOGLETRANSLATE(B38487,""en"",""pt"")"),"Santa Maria")</f>
        <v>Santa Maria</v>
      </c>
      <c r="B9732" s="17" t="s">
        <v>3404</v>
      </c>
      <c r="C9732" s="17" t="s">
        <v>20598</v>
      </c>
      <c r="D9732" s="17" t="s">
        <v>20603</v>
      </c>
      <c r="E9732" s="10">
        <v>1688017</v>
      </c>
      <c r="F9732" s="4" t="str">
        <f>IF(B9732=B9731,"",B9732)</f>
        <v/>
      </c>
    </row>
    <row r="9733" spans="1:6" ht="15.75" customHeight="1">
      <c r="A9733" s="5" t="str">
        <f ca="1">IFERROR(__xludf.DUMMYFUNCTION("GOOGLETRANSLATE(B38488,""en"",""pt"")"),"Santa Maria")</f>
        <v>Santa Maria</v>
      </c>
      <c r="B9733" s="17" t="s">
        <v>3404</v>
      </c>
      <c r="C9733" s="17" t="s">
        <v>20598</v>
      </c>
      <c r="D9733" s="17" t="s">
        <v>20658</v>
      </c>
      <c r="E9733" s="10">
        <v>1688058</v>
      </c>
      <c r="F9733" s="4" t="str">
        <f>IF(B9733=B9732,"",B9733)</f>
        <v/>
      </c>
    </row>
    <row r="9734" spans="1:6" ht="15.75" customHeight="1">
      <c r="A9734" s="5" t="str">
        <f ca="1">IFERROR(__xludf.DUMMYFUNCTION("GOOGLETRANSLATE(B45026,""en"",""pt"")"),"Santa Maria")</f>
        <v>Santa Maria</v>
      </c>
      <c r="B9734" s="17" t="s">
        <v>3404</v>
      </c>
      <c r="C9734" s="17" t="s">
        <v>27788</v>
      </c>
      <c r="D9734" s="17" t="s">
        <v>27801</v>
      </c>
      <c r="E9734" s="10">
        <v>5393180</v>
      </c>
      <c r="F9734" s="4" t="str">
        <f>IF(B9734=B9733,"",B9734)</f>
        <v/>
      </c>
    </row>
    <row r="9735" spans="1:6" ht="15.75" customHeight="1">
      <c r="A9735" s="5" t="s">
        <v>18271</v>
      </c>
      <c r="B9735" s="6" t="s">
        <v>18272</v>
      </c>
      <c r="C9735" s="5" t="s">
        <v>17707</v>
      </c>
      <c r="D9735" s="5" t="s">
        <v>17736</v>
      </c>
      <c r="E9735" s="2">
        <v>3827256</v>
      </c>
      <c r="F9735" s="4" t="str">
        <f>IF(B9735=B9734,"",B9735)</f>
        <v>Santa MarÃ­a Totoltepec</v>
      </c>
    </row>
    <row r="9736" spans="1:6" ht="15.75" customHeight="1">
      <c r="A9736" s="5" t="s">
        <v>9807</v>
      </c>
      <c r="B9736" s="6" t="s">
        <v>9808</v>
      </c>
      <c r="C9736" s="5" t="s">
        <v>9700</v>
      </c>
      <c r="D9736" s="5" t="s">
        <v>9701</v>
      </c>
      <c r="E9736" s="2">
        <v>3589253</v>
      </c>
      <c r="F9736" s="4" t="str">
        <f>IF(B9736=B9735,"",B9736)</f>
        <v>Santa MarÃ­a de JesÃºs</v>
      </c>
    </row>
    <row r="9737" spans="1:6" ht="15.75" customHeight="1">
      <c r="A9737" s="5" t="s">
        <v>18269</v>
      </c>
      <c r="B9737" s="6" t="s">
        <v>18270</v>
      </c>
      <c r="C9737" s="5" t="s">
        <v>17707</v>
      </c>
      <c r="D9737" s="5" t="s">
        <v>17736</v>
      </c>
      <c r="E9737" s="2">
        <v>3517270</v>
      </c>
      <c r="F9737" s="4" t="str">
        <f>IF(B9737=B9736,"",B9737)</f>
        <v>Santa MarÃ­a ChimalhuacÃ¡n</v>
      </c>
    </row>
    <row r="9738" spans="1:6" ht="15.75" customHeight="1">
      <c r="A9738" s="5" t="s">
        <v>3403</v>
      </c>
      <c r="B9738" s="6" t="s">
        <v>3403</v>
      </c>
      <c r="C9738" s="5" t="s">
        <v>1905</v>
      </c>
      <c r="D9738" s="5" t="s">
        <v>2024</v>
      </c>
      <c r="E9738" s="2">
        <v>3389557</v>
      </c>
      <c r="F9738" s="4" t="str">
        <f>IF(B9738=B9737,"",B9738)</f>
        <v>Santa Luzia</v>
      </c>
    </row>
    <row r="9739" spans="1:6" ht="15.75" customHeight="1">
      <c r="A9739" s="5" t="s">
        <v>3403</v>
      </c>
      <c r="B9739" s="6" t="s">
        <v>3403</v>
      </c>
      <c r="C9739" s="5" t="s">
        <v>1905</v>
      </c>
      <c r="D9739" s="5" t="s">
        <v>1917</v>
      </c>
      <c r="E9739" s="2">
        <v>3450144</v>
      </c>
      <c r="F9739" s="4" t="str">
        <f>IF(B9739=B9738,"",B9739)</f>
        <v/>
      </c>
    </row>
    <row r="9740" spans="1:6" ht="15.75" customHeight="1">
      <c r="A9740" s="5" t="str">
        <f ca="1">IFERROR(__xludf.DUMMYFUNCTION("GOOGLETRANSLATE(B24203,""en"",""pt"")"),"Santa Luzia")</f>
        <v>Santa Luzia</v>
      </c>
      <c r="B9740" s="17" t="s">
        <v>3403</v>
      </c>
      <c r="C9740" s="17" t="s">
        <v>1905</v>
      </c>
      <c r="D9740" s="17" t="s">
        <v>31340</v>
      </c>
      <c r="E9740" s="10">
        <v>3389557</v>
      </c>
      <c r="F9740" s="4" t="str">
        <f>IF(B9740=B9739,"",B9740)</f>
        <v/>
      </c>
    </row>
    <row r="9741" spans="1:6" ht="15.75" customHeight="1">
      <c r="A9741" s="5" t="str">
        <f ca="1">IFERROR(__xludf.DUMMYFUNCTION("GOOGLETRANSLATE(B24610,""en"",""pt"")"),"Santa Luzia")</f>
        <v>Santa Luzia</v>
      </c>
      <c r="B9741" s="17" t="s">
        <v>3403</v>
      </c>
      <c r="C9741" s="17" t="s">
        <v>1905</v>
      </c>
      <c r="D9741" s="17" t="s">
        <v>1917</v>
      </c>
      <c r="E9741" s="10">
        <v>3450144</v>
      </c>
      <c r="F9741" s="4" t="str">
        <f>IF(B9741=B9740,"",B9741)</f>
        <v/>
      </c>
    </row>
    <row r="9742" spans="1:6" ht="15.75" customHeight="1">
      <c r="A9742" s="5" t="str">
        <f ca="1">IFERROR(__xludf.DUMMYFUNCTION("GOOGLETRANSLATE(B31074,""en"",""pt"")"),"Santa Lucía Cotzumalguapa")</f>
        <v>Santa Lucía Cotzumalguapa</v>
      </c>
      <c r="B9742" s="17" t="s">
        <v>32772</v>
      </c>
      <c r="C9742" s="17" t="s">
        <v>9700</v>
      </c>
      <c r="D9742" s="17" t="s">
        <v>9735</v>
      </c>
      <c r="E9742" s="10">
        <v>3589289</v>
      </c>
      <c r="F9742" s="4" t="str">
        <f>IF(B9742=B9741,"",B9742)</f>
        <v>Santa Lucía Cotzumalguapa</v>
      </c>
    </row>
    <row r="9743" spans="1:6" ht="15.75" customHeight="1">
      <c r="A9743" s="5" t="str">
        <f ca="1">IFERROR(__xludf.DUMMYFUNCTION("GOOGLETRANSLATE(B23260,""en"",""pt"")"),"Santa Lucía")</f>
        <v>Santa Lucía</v>
      </c>
      <c r="B9743" s="17" t="s">
        <v>31183</v>
      </c>
      <c r="C9743" s="17" t="s">
        <v>558</v>
      </c>
      <c r="D9743" s="17" t="s">
        <v>568</v>
      </c>
      <c r="E9743" s="10">
        <v>3836194</v>
      </c>
      <c r="F9743" s="4" t="str">
        <f>IF(B9743=B9742,"",B9743)</f>
        <v>Santa Lucía</v>
      </c>
    </row>
    <row r="9744" spans="1:6" ht="15.75" customHeight="1">
      <c r="A9744" s="5" t="str">
        <f ca="1">IFERROR(__xludf.DUMMYFUNCTION("GOOGLETRANSLATE(B26884,""en"",""pt"")"),"Santa Lucía")</f>
        <v>Santa Lucía</v>
      </c>
      <c r="B9744" s="17" t="s">
        <v>31183</v>
      </c>
      <c r="C9744" s="17" t="s">
        <v>5348</v>
      </c>
      <c r="D9744" s="17" t="s">
        <v>31843</v>
      </c>
      <c r="E9744" s="10">
        <v>3668655</v>
      </c>
      <c r="F9744" s="4" t="str">
        <f>IF(B9744=B9743,"",B9744)</f>
        <v/>
      </c>
    </row>
    <row r="9745" spans="1:6" ht="15.75" customHeight="1">
      <c r="A9745" s="5" t="str">
        <f ca="1">IFERROR(__xludf.DUMMYFUNCTION("GOOGLETRANSLATE(B28987,""en"",""pt"")"),"Santa Lucía")</f>
        <v>Santa Lucía</v>
      </c>
      <c r="B9745" s="17" t="s">
        <v>31183</v>
      </c>
      <c r="C9745" s="17" t="s">
        <v>24200</v>
      </c>
      <c r="D9745" s="17" t="s">
        <v>24212</v>
      </c>
      <c r="E9745" s="10">
        <v>2511150</v>
      </c>
      <c r="F9745" s="4" t="str">
        <f>IF(B9745=B9744,"",B9745)</f>
        <v/>
      </c>
    </row>
    <row r="9746" spans="1:6" ht="15.75" customHeight="1">
      <c r="A9746" s="5" t="str">
        <f ca="1">IFERROR(__xludf.DUMMYFUNCTION("GOOGLETRANSLATE(B45474,""en"",""pt"")"),"Santa Lucía")</f>
        <v>Santa Lucía</v>
      </c>
      <c r="B9746" s="17" t="s">
        <v>31183</v>
      </c>
      <c r="C9746" s="17" t="s">
        <v>30472</v>
      </c>
      <c r="D9746" s="17" t="s">
        <v>30473</v>
      </c>
      <c r="E9746" s="10">
        <v>3440571</v>
      </c>
      <c r="F9746" s="4" t="str">
        <f>IF(B9746=B9745,"",B9746)</f>
        <v/>
      </c>
    </row>
    <row r="9747" spans="1:6" ht="15.75" customHeight="1">
      <c r="A9747" s="5" t="s">
        <v>9805</v>
      </c>
      <c r="B9747" s="6" t="s">
        <v>9806</v>
      </c>
      <c r="C9747" s="5" t="s">
        <v>9700</v>
      </c>
      <c r="D9747" s="5" t="s">
        <v>9735</v>
      </c>
      <c r="E9747" s="2">
        <v>3589289</v>
      </c>
      <c r="F9747" s="4" t="str">
        <f>IF(B9747=B9746,"",B9747)</f>
        <v>Santa LucÃ­a Cotzumalguapa</v>
      </c>
    </row>
    <row r="9748" spans="1:6" ht="15.75" customHeight="1">
      <c r="A9748" s="5" t="s">
        <v>803</v>
      </c>
      <c r="B9748" s="6" t="s">
        <v>804</v>
      </c>
      <c r="C9748" s="5" t="s">
        <v>558</v>
      </c>
      <c r="D9748" s="5" t="s">
        <v>568</v>
      </c>
      <c r="E9748" s="2">
        <v>3836194</v>
      </c>
      <c r="F9748" s="4" t="str">
        <f>IF(B9748=B9747,"",B9748)</f>
        <v>Santa LucÃ­a</v>
      </c>
    </row>
    <row r="9749" spans="1:6" ht="15.75" customHeight="1">
      <c r="A9749" s="5" t="s">
        <v>803</v>
      </c>
      <c r="B9749" s="6" t="s">
        <v>804</v>
      </c>
      <c r="C9749" s="5" t="s">
        <v>5348</v>
      </c>
      <c r="D9749" s="5" t="s">
        <v>5378</v>
      </c>
      <c r="E9749" s="2">
        <v>3668655</v>
      </c>
      <c r="F9749" s="4" t="str">
        <f>IF(B9749=B9748,"",B9749)</f>
        <v/>
      </c>
    </row>
    <row r="9750" spans="1:6" ht="15.75" customHeight="1">
      <c r="A9750" s="5" t="s">
        <v>803</v>
      </c>
      <c r="B9750" s="6" t="s">
        <v>804</v>
      </c>
      <c r="C9750" s="5" t="s">
        <v>24200</v>
      </c>
      <c r="D9750" s="5" t="s">
        <v>24212</v>
      </c>
      <c r="E9750" s="2">
        <v>2511150</v>
      </c>
      <c r="F9750" s="4" t="str">
        <f>IF(B9750=B9749,"",B9750)</f>
        <v/>
      </c>
    </row>
    <row r="9751" spans="1:6" ht="15.75" customHeight="1">
      <c r="A9751" s="5" t="s">
        <v>803</v>
      </c>
      <c r="B9751" s="6" t="s">
        <v>804</v>
      </c>
      <c r="C9751" s="5" t="s">
        <v>30472</v>
      </c>
      <c r="D9751" s="5" t="s">
        <v>30473</v>
      </c>
      <c r="E9751" s="2">
        <v>3440571</v>
      </c>
      <c r="F9751" s="4" t="str">
        <f>IF(B9751=B9750,"",B9751)</f>
        <v/>
      </c>
    </row>
    <row r="9752" spans="1:6" ht="15.75" customHeight="1">
      <c r="A9752" s="5" t="s">
        <v>3402</v>
      </c>
      <c r="B9752" s="6" t="s">
        <v>3402</v>
      </c>
      <c r="C9752" s="5" t="s">
        <v>1905</v>
      </c>
      <c r="D9752" s="5" t="s">
        <v>1914</v>
      </c>
      <c r="E9752" s="2">
        <v>3450188</v>
      </c>
      <c r="F9752" s="4" t="str">
        <f>IF(B9752=B9751,"",B9752)</f>
        <v>Santa Isabel</v>
      </c>
    </row>
    <row r="9753" spans="1:6" ht="15.75" customHeight="1">
      <c r="A9753" s="5" t="str">
        <f ca="1">IFERROR(__xludf.DUMMYFUNCTION("GOOGLETRANSLATE(B24612,""en"",""pt"")"),"Santa Isabel")</f>
        <v>Santa Isabel</v>
      </c>
      <c r="B9753" s="17" t="s">
        <v>3402</v>
      </c>
      <c r="C9753" s="17" t="s">
        <v>1905</v>
      </c>
      <c r="D9753" s="17" t="s">
        <v>3354</v>
      </c>
      <c r="E9753" s="10">
        <v>3450188</v>
      </c>
      <c r="F9753" s="4" t="str">
        <f>IF(B9753=B9752,"",B9753)</f>
        <v/>
      </c>
    </row>
    <row r="9754" spans="1:6" ht="15.75" customHeight="1">
      <c r="A9754" s="5" t="str">
        <f ca="1">IFERROR(__xludf.DUMMYFUNCTION("GOOGLETRANSLATE(B39574,""en"",""pt"")"),"Santa Iria da Azóia")</f>
        <v>Santa Iria da Azóia</v>
      </c>
      <c r="B9754" s="17" t="s">
        <v>35290</v>
      </c>
      <c r="C9754" s="17" t="s">
        <v>21606</v>
      </c>
      <c r="D9754" s="17" t="s">
        <v>21616</v>
      </c>
      <c r="E9754" s="10">
        <v>2263523</v>
      </c>
      <c r="F9754" s="4" t="str">
        <f>IF(B9754=B9753,"",B9754)</f>
        <v>Santa Iria da Azóia</v>
      </c>
    </row>
    <row r="9755" spans="1:6" ht="15.75" customHeight="1">
      <c r="A9755" s="5" t="s">
        <v>21732</v>
      </c>
      <c r="B9755" s="6" t="s">
        <v>21733</v>
      </c>
      <c r="C9755" s="5" t="s">
        <v>21606</v>
      </c>
      <c r="D9755" s="5" t="s">
        <v>21616</v>
      </c>
      <c r="E9755" s="2">
        <v>2263523</v>
      </c>
      <c r="F9755" s="4" t="str">
        <f>IF(B9755=B9754,"",B9755)</f>
        <v>Santa Iria da AzÃ³ia</v>
      </c>
    </row>
    <row r="9756" spans="1:6" ht="15.75" customHeight="1">
      <c r="A9756" s="5" t="str">
        <f ca="1">IFERROR(__xludf.DUMMYFUNCTION("GOOGLETRANSLATE(B24204,""en"",""pt"")"),"Papai Noel")</f>
        <v>Papai Noel</v>
      </c>
      <c r="B9756" s="17" t="s">
        <v>31376</v>
      </c>
      <c r="C9756" s="17" t="s">
        <v>1905</v>
      </c>
      <c r="D9756" s="17" t="s">
        <v>31340</v>
      </c>
      <c r="E9756" s="10">
        <v>3389609</v>
      </c>
      <c r="F9756" s="4" t="str">
        <f>IF(B9756=B9755,"",B9756)</f>
        <v>Santa Inês</v>
      </c>
    </row>
    <row r="9757" spans="1:6" ht="15.75" customHeight="1">
      <c r="A9757" s="5" t="s">
        <v>3400</v>
      </c>
      <c r="B9757" s="6" t="s">
        <v>3401</v>
      </c>
      <c r="C9757" s="5" t="s">
        <v>1905</v>
      </c>
      <c r="D9757" s="5" t="s">
        <v>2024</v>
      </c>
      <c r="E9757" s="2">
        <v>3389609</v>
      </c>
      <c r="F9757" s="4" t="str">
        <f>IF(B9757=B9756,"",B9757)</f>
        <v>Santa InÃªs</v>
      </c>
    </row>
    <row r="9758" spans="1:6" ht="15.75" customHeight="1">
      <c r="A9758" s="5" t="str">
        <f ca="1">IFERROR(__xludf.DUMMYFUNCTION("GOOGLETRANSLATE(B24613,""en"",""pt"")"),"Santa Helena de Goiás")</f>
        <v>Santa Helena de Goiás</v>
      </c>
      <c r="B9758" s="17" t="s">
        <v>31523</v>
      </c>
      <c r="C9758" s="17" t="s">
        <v>1905</v>
      </c>
      <c r="D9758" s="17" t="s">
        <v>31436</v>
      </c>
      <c r="E9758" s="10">
        <v>3450206</v>
      </c>
      <c r="F9758" s="4" t="str">
        <f>IF(B9758=B9757,"",B9758)</f>
        <v>Santa Helena de Goiás</v>
      </c>
    </row>
    <row r="9759" spans="1:6" ht="15.75" customHeight="1">
      <c r="A9759" s="5" t="s">
        <v>3398</v>
      </c>
      <c r="B9759" s="6" t="s">
        <v>3399</v>
      </c>
      <c r="C9759" s="5" t="s">
        <v>1905</v>
      </c>
      <c r="D9759" s="5" t="s">
        <v>1969</v>
      </c>
      <c r="E9759" s="2">
        <v>3450206</v>
      </c>
      <c r="F9759" s="4" t="str">
        <f>IF(B9759=B9758,"",B9759)</f>
        <v>Santa Helena de GoiÃ¡s</v>
      </c>
    </row>
    <row r="9760" spans="1:6" ht="15.75" customHeight="1">
      <c r="A9760" s="5" t="s">
        <v>3397</v>
      </c>
      <c r="B9760" s="6" t="s">
        <v>3397</v>
      </c>
      <c r="C9760" s="5" t="s">
        <v>1905</v>
      </c>
      <c r="D9760" s="5" t="s">
        <v>2024</v>
      </c>
      <c r="E9760" s="2">
        <v>3389622</v>
      </c>
      <c r="F9760" s="4" t="str">
        <f>IF(B9760=B9759,"",B9760)</f>
        <v>Santa Helena</v>
      </c>
    </row>
    <row r="9761" spans="1:6" ht="15.75" customHeight="1">
      <c r="A9761" s="5" t="str">
        <f ca="1">IFERROR(__xludf.DUMMYFUNCTION("GOOGLETRANSLATE(B24205,""en"",""pt"")"),"Santa Helena")</f>
        <v>Santa Helena</v>
      </c>
      <c r="B9761" s="17" t="s">
        <v>3397</v>
      </c>
      <c r="C9761" s="17" t="s">
        <v>1905</v>
      </c>
      <c r="D9761" s="17" t="s">
        <v>31340</v>
      </c>
      <c r="E9761" s="10">
        <v>3389622</v>
      </c>
      <c r="F9761" s="4" t="str">
        <f>IF(B9761=B9760,"",B9761)</f>
        <v/>
      </c>
    </row>
    <row r="9762" spans="1:6" ht="15.75" customHeight="1">
      <c r="A9762" s="5" t="s">
        <v>3396</v>
      </c>
      <c r="B9762" s="6" t="s">
        <v>3396</v>
      </c>
      <c r="C9762" s="5" t="s">
        <v>1905</v>
      </c>
      <c r="D9762" s="5" t="s">
        <v>1914</v>
      </c>
      <c r="E9762" s="2">
        <v>3450225</v>
      </c>
      <c r="F9762" s="4" t="str">
        <f>IF(B9762=B9761,"",B9762)</f>
        <v>Santa Gertrudes</v>
      </c>
    </row>
    <row r="9763" spans="1:6" ht="15.75" customHeight="1">
      <c r="A9763" s="5" t="str">
        <f ca="1">IFERROR(__xludf.DUMMYFUNCTION("GOOGLETRANSLATE(B24614,""en"",""pt"")"),"Santa Gertrudes")</f>
        <v>Santa Gertrudes</v>
      </c>
      <c r="B9763" s="17" t="s">
        <v>3396</v>
      </c>
      <c r="C9763" s="17" t="s">
        <v>1905</v>
      </c>
      <c r="D9763" s="17" t="s">
        <v>3354</v>
      </c>
      <c r="E9763" s="10">
        <v>3450225</v>
      </c>
      <c r="F9763" s="4" t="str">
        <f>IF(B9763=B9762,"",B9763)</f>
        <v/>
      </c>
    </row>
    <row r="9764" spans="1:6" ht="15.75" customHeight="1">
      <c r="A9764" s="5" t="s">
        <v>29911</v>
      </c>
      <c r="B9764" s="6" t="s">
        <v>29911</v>
      </c>
      <c r="C9764" s="5" t="s">
        <v>27788</v>
      </c>
      <c r="D9764" s="5" t="s">
        <v>27801</v>
      </c>
      <c r="E9764" s="2">
        <v>5393128</v>
      </c>
      <c r="F9764" s="4" t="str">
        <f>IF(B9764=B9763,"",B9764)</f>
        <v>Santa Fe Springs</v>
      </c>
    </row>
    <row r="9765" spans="1:6" ht="15.75" customHeight="1">
      <c r="A9765" s="5" t="str">
        <f ca="1">IFERROR(__xludf.DUMMYFUNCTION("GOOGLETRANSLATE(B45025,""en"",""pt"")"),"Santa Fe Springs")</f>
        <v>Santa Fe Springs</v>
      </c>
      <c r="B9765" s="17" t="s">
        <v>29911</v>
      </c>
      <c r="C9765" s="17" t="s">
        <v>27788</v>
      </c>
      <c r="D9765" s="17" t="s">
        <v>27801</v>
      </c>
      <c r="E9765" s="10">
        <v>5393128</v>
      </c>
      <c r="F9765" s="4" t="str">
        <f>IF(B9765=B9764,"",B9765)</f>
        <v/>
      </c>
    </row>
    <row r="9766" spans="1:6" ht="15.75" customHeight="1">
      <c r="A9766" s="5" t="str">
        <f ca="1">IFERROR(__xludf.DUMMYFUNCTION("GOOGLETRANSLATE(B24615,""en"",""pt"")"),"Santa Fé do Sul")</f>
        <v>Santa Fé do Sul</v>
      </c>
      <c r="B9766" s="17" t="s">
        <v>31524</v>
      </c>
      <c r="C9766" s="17" t="s">
        <v>1905</v>
      </c>
      <c r="D9766" s="17" t="s">
        <v>3354</v>
      </c>
      <c r="E9766" s="10">
        <v>3450232</v>
      </c>
      <c r="F9766" s="4" t="str">
        <f>IF(B9766=B9765,"",B9766)</f>
        <v>Santa Fé do Sul</v>
      </c>
    </row>
    <row r="9767" spans="1:6" ht="15.75" customHeight="1">
      <c r="A9767" s="5" t="s">
        <v>802</v>
      </c>
      <c r="B9767" s="6" t="s">
        <v>802</v>
      </c>
      <c r="C9767" s="5" t="s">
        <v>558</v>
      </c>
      <c r="D9767" s="5" t="s">
        <v>579</v>
      </c>
      <c r="E9767" s="2">
        <v>3836277</v>
      </c>
      <c r="F9767" s="4" t="str">
        <f>IF(B9767=B9766,"",B9767)</f>
        <v>Santa Fe de la Vera Cruz</v>
      </c>
    </row>
    <row r="9768" spans="1:6" ht="15.75" customHeight="1">
      <c r="A9768" s="5" t="str">
        <f ca="1">IFERROR(__xludf.DUMMYFUNCTION("GOOGLETRANSLATE(B23261,""en"",""pt"")"),"Santa Fe de la Vera Cruz")</f>
        <v>Santa Fe de la Vera Cruz</v>
      </c>
      <c r="B9768" s="17" t="s">
        <v>802</v>
      </c>
      <c r="C9768" s="17" t="s">
        <v>558</v>
      </c>
      <c r="D9768" s="17" t="s">
        <v>579</v>
      </c>
      <c r="E9768" s="10">
        <v>3836277</v>
      </c>
      <c r="F9768" s="4" t="str">
        <f>IF(B9768=B9767,"",B9768)</f>
        <v/>
      </c>
    </row>
    <row r="9769" spans="1:6" ht="15.75" customHeight="1">
      <c r="A9769" s="6" t="s">
        <v>29910</v>
      </c>
      <c r="B9769" s="6" t="s">
        <v>579</v>
      </c>
      <c r="C9769" s="6" t="s">
        <v>27788</v>
      </c>
      <c r="D9769" s="6" t="s">
        <v>27818</v>
      </c>
      <c r="E9769" s="2">
        <v>5490263</v>
      </c>
      <c r="F9769" s="4" t="str">
        <f>IF(B9769=B9768,"",B9769)</f>
        <v>Santa Fe</v>
      </c>
    </row>
    <row r="9770" spans="1:6" ht="15.75" customHeight="1">
      <c r="A9770" s="5" t="str">
        <f ca="1">IFERROR(__xludf.DUMMYFUNCTION("GOOGLETRANSLATE(B45136,""en"",""pt"")"),"Santa Fé")</f>
        <v>Santa Fé</v>
      </c>
      <c r="B9770" s="17" t="s">
        <v>579</v>
      </c>
      <c r="C9770" s="17" t="s">
        <v>27788</v>
      </c>
      <c r="D9770" s="17" t="s">
        <v>27818</v>
      </c>
      <c r="E9770" s="10">
        <v>5490263</v>
      </c>
      <c r="F9770" s="4" t="str">
        <f>IF(B9770=B9769,"",B9770)</f>
        <v/>
      </c>
    </row>
    <row r="9771" spans="1:6" ht="15.75" customHeight="1">
      <c r="A9771" s="5" t="s">
        <v>3394</v>
      </c>
      <c r="B9771" s="6" t="s">
        <v>3395</v>
      </c>
      <c r="C9771" s="5" t="s">
        <v>1905</v>
      </c>
      <c r="D9771" s="5" t="s">
        <v>1914</v>
      </c>
      <c r="E9771" s="2">
        <v>3450232</v>
      </c>
      <c r="F9771" s="4" t="str">
        <f>IF(B9771=B9770,"",B9771)</f>
        <v>Santa FÃ© do Sul</v>
      </c>
    </row>
    <row r="9772" spans="1:6" ht="15.75" customHeight="1">
      <c r="A9772" s="5" t="str">
        <f ca="1">IFERROR(__xludf.DUMMYFUNCTION("GOOGLETRANSLATE(B28989,""en"",""pt"")"),"Santa Eulària des Riu")</f>
        <v>Santa Eulària des Riu</v>
      </c>
      <c r="B9772" s="17" t="s">
        <v>32356</v>
      </c>
      <c r="C9772" s="17" t="s">
        <v>24200</v>
      </c>
      <c r="D9772" s="17" t="s">
        <v>24236</v>
      </c>
      <c r="E9772" s="10">
        <v>2511162</v>
      </c>
      <c r="F9772" s="4" t="str">
        <f>IF(B9772=B9771,"",B9772)</f>
        <v>Santa Eulària des Riu</v>
      </c>
    </row>
    <row r="9773" spans="1:6" ht="15.75" customHeight="1">
      <c r="A9773" s="5" t="s">
        <v>24805</v>
      </c>
      <c r="B9773" s="6" t="s">
        <v>24806</v>
      </c>
      <c r="C9773" s="5" t="s">
        <v>24200</v>
      </c>
      <c r="D9773" s="5" t="s">
        <v>24236</v>
      </c>
      <c r="E9773" s="2">
        <v>2511162</v>
      </c>
      <c r="F9773" s="4" t="str">
        <f>IF(B9773=B9772,"",B9773)</f>
        <v>Santa EulÃ ria des Riu</v>
      </c>
    </row>
    <row r="9774" spans="1:6" ht="15.75" customHeight="1">
      <c r="A9774" s="5" t="str">
        <f ca="1">IFERROR(__xludf.DUMMYFUNCTION("GOOGLETRANSLATE(B45617,""en"",""pt"")"),"Santa Elena de Uairén")</f>
        <v>Santa Elena de Uairén</v>
      </c>
      <c r="B9774" s="17" t="s">
        <v>36085</v>
      </c>
      <c r="C9774" s="17" t="s">
        <v>5923</v>
      </c>
      <c r="D9774" s="17" t="s">
        <v>31836</v>
      </c>
      <c r="E9774" s="10">
        <v>3627382</v>
      </c>
      <c r="F9774" s="4" t="str">
        <f>IF(B9774=B9773,"",B9774)</f>
        <v>Santa Elena de Uairén</v>
      </c>
    </row>
    <row r="9775" spans="1:6" ht="15.75" customHeight="1">
      <c r="A9775" s="5" t="s">
        <v>30763</v>
      </c>
      <c r="B9775" s="6" t="s">
        <v>30764</v>
      </c>
      <c r="C9775" s="5" t="s">
        <v>5923</v>
      </c>
      <c r="D9775" s="5" t="s">
        <v>5373</v>
      </c>
      <c r="E9775" s="2">
        <v>3627382</v>
      </c>
      <c r="F9775" s="4" t="str">
        <f>IF(B9775=B9774,"",B9775)</f>
        <v>Santa Elena de UairÃ©n</v>
      </c>
    </row>
    <row r="9776" spans="1:6" ht="15.75" customHeight="1">
      <c r="A9776" s="5" t="s">
        <v>801</v>
      </c>
      <c r="B9776" s="6" t="s">
        <v>801</v>
      </c>
      <c r="C9776" s="5" t="s">
        <v>558</v>
      </c>
      <c r="D9776" s="5" t="s">
        <v>611</v>
      </c>
      <c r="E9776" s="2">
        <v>3428359</v>
      </c>
      <c r="F9776" s="4" t="str">
        <f>IF(B9776=B9775,"",B9776)</f>
        <v>Santa Elena</v>
      </c>
    </row>
    <row r="9777" spans="1:6" ht="15.75" customHeight="1">
      <c r="A9777" s="5" t="s">
        <v>801</v>
      </c>
      <c r="B9777" s="6" t="s">
        <v>801</v>
      </c>
      <c r="C9777" s="5" t="s">
        <v>6398</v>
      </c>
      <c r="D9777" s="5" t="s">
        <v>801</v>
      </c>
      <c r="E9777" s="2">
        <v>3651438</v>
      </c>
      <c r="F9777" s="4" t="str">
        <f>IF(B9777=B9776,"",B9777)</f>
        <v/>
      </c>
    </row>
    <row r="9778" spans="1:6" ht="15.75" customHeight="1">
      <c r="A9778" s="5" t="str">
        <f ca="1">IFERROR(__xludf.DUMMYFUNCTION("GOOGLETRANSLATE(B23177,""en"",""pt"")"),"Santa Elena")</f>
        <v>Santa Elena</v>
      </c>
      <c r="B9778" s="17" t="s">
        <v>801</v>
      </c>
      <c r="C9778" s="17" t="s">
        <v>558</v>
      </c>
      <c r="D9778" s="17" t="s">
        <v>611</v>
      </c>
      <c r="E9778" s="10">
        <v>3428359</v>
      </c>
      <c r="F9778" s="4" t="str">
        <f>IF(B9778=B9777,"",B9778)</f>
        <v/>
      </c>
    </row>
    <row r="9779" spans="1:6" ht="15.75" customHeight="1">
      <c r="A9779" s="5" t="str">
        <f ca="1">IFERROR(__xludf.DUMMYFUNCTION("GOOGLETRANSLATE(B28756,""en"",""pt"")"),"Santa Elena")</f>
        <v>Santa Elena</v>
      </c>
      <c r="B9779" s="17" t="s">
        <v>801</v>
      </c>
      <c r="C9779" s="17" t="s">
        <v>6398</v>
      </c>
      <c r="D9779" s="17" t="s">
        <v>801</v>
      </c>
      <c r="E9779" s="10">
        <v>3651438</v>
      </c>
      <c r="F9779" s="4" t="str">
        <f>IF(B9779=B9778,"",B9779)</f>
        <v/>
      </c>
    </row>
    <row r="9780" spans="1:6" ht="15.75" customHeight="1">
      <c r="A9780" s="5" t="str">
        <f ca="1">IFERROR(__xludf.DUMMYFUNCTION("GOOGLETRANSLATE(B36917,""en"",""pt"")"),"Santa Cruz Xoxocotlán")</f>
        <v>Santa Cruz Xoxocotlán</v>
      </c>
      <c r="B9780" s="17" t="s">
        <v>34676</v>
      </c>
      <c r="C9780" s="17" t="s">
        <v>17707</v>
      </c>
      <c r="D9780" s="17" t="s">
        <v>17844</v>
      </c>
      <c r="E9780" s="10">
        <v>3517517</v>
      </c>
      <c r="F9780" s="4" t="str">
        <f>IF(B9780=B9779,"",B9780)</f>
        <v>Santa Cruz Xoxocotlán</v>
      </c>
    </row>
    <row r="9781" spans="1:6" ht="15.75" customHeight="1">
      <c r="A9781" s="5" t="s">
        <v>18267</v>
      </c>
      <c r="B9781" s="6" t="s">
        <v>18268</v>
      </c>
      <c r="C9781" s="5" t="s">
        <v>17707</v>
      </c>
      <c r="D9781" s="5" t="s">
        <v>17844</v>
      </c>
      <c r="E9781" s="2">
        <v>3517517</v>
      </c>
      <c r="F9781" s="4" t="str">
        <f>IF(B9781=B9780,"",B9781)</f>
        <v>Santa Cruz XoxocotlÃ¡n</v>
      </c>
    </row>
    <row r="9782" spans="1:6" ht="15.75" customHeight="1">
      <c r="A9782" s="5" t="s">
        <v>3393</v>
      </c>
      <c r="B9782" s="6" t="s">
        <v>3393</v>
      </c>
      <c r="C9782" s="5" t="s">
        <v>1905</v>
      </c>
      <c r="D9782" s="5" t="s">
        <v>1951</v>
      </c>
      <c r="E9782" s="2">
        <v>3450269</v>
      </c>
      <c r="F9782" s="4" t="str">
        <f>IF(B9782=B9781,"",B9782)</f>
        <v>Santa Cruz do Sul</v>
      </c>
    </row>
    <row r="9783" spans="1:6" ht="15.75" customHeight="1">
      <c r="A9783" s="5" t="str">
        <f ca="1">IFERROR(__xludf.DUMMYFUNCTION("GOOGLETRANSLATE(B24616,""en"",""pt"")"),"Santa Cruz do Sul")</f>
        <v>Santa Cruz do Sul</v>
      </c>
      <c r="B9783" s="17" t="s">
        <v>3393</v>
      </c>
      <c r="C9783" s="17" t="s">
        <v>1905</v>
      </c>
      <c r="D9783" s="17" t="s">
        <v>1951</v>
      </c>
      <c r="E9783" s="10">
        <v>3450269</v>
      </c>
      <c r="F9783" s="4" t="str">
        <f>IF(B9783=B9782,"",B9783)</f>
        <v/>
      </c>
    </row>
    <row r="9784" spans="1:6" ht="15.75" customHeight="1">
      <c r="A9784" s="5" t="s">
        <v>3392</v>
      </c>
      <c r="B9784" s="6" t="s">
        <v>3392</v>
      </c>
      <c r="C9784" s="5" t="s">
        <v>1905</v>
      </c>
      <c r="D9784" s="5" t="s">
        <v>1914</v>
      </c>
      <c r="E9784" s="2">
        <v>3450272</v>
      </c>
      <c r="F9784" s="4" t="str">
        <f>IF(B9784=B9783,"",B9784)</f>
        <v>Santa Cruz do Rio Pardo</v>
      </c>
    </row>
    <row r="9785" spans="1:6" ht="15.75" customHeight="1">
      <c r="A9785" s="5" t="str">
        <f ca="1">IFERROR(__xludf.DUMMYFUNCTION("GOOGLETRANSLATE(B24617,""en"",""pt"")"),"Santa Cruz do Rio Pardo")</f>
        <v>Santa Cruz do Rio Pardo</v>
      </c>
      <c r="B9785" s="17" t="s">
        <v>3392</v>
      </c>
      <c r="C9785" s="17" t="s">
        <v>1905</v>
      </c>
      <c r="D9785" s="17" t="s">
        <v>3354</v>
      </c>
      <c r="E9785" s="10">
        <v>3450272</v>
      </c>
      <c r="F9785" s="4" t="str">
        <f>IF(B9785=B9784,"",B9785)</f>
        <v/>
      </c>
    </row>
    <row r="9786" spans="1:6" ht="15.75" customHeight="1">
      <c r="A9786" s="5" t="s">
        <v>3391</v>
      </c>
      <c r="B9786" s="6" t="s">
        <v>3391</v>
      </c>
      <c r="C9786" s="5" t="s">
        <v>1905</v>
      </c>
      <c r="D9786" s="5" t="s">
        <v>1909</v>
      </c>
      <c r="E9786" s="2">
        <v>3389652</v>
      </c>
      <c r="F9786" s="4" t="str">
        <f>IF(B9786=B9785,"",B9786)</f>
        <v>Santa Cruz do Capibaribe</v>
      </c>
    </row>
    <row r="9787" spans="1:6" ht="15.75" customHeight="1">
      <c r="A9787" s="5" t="str">
        <f ca="1">IFERROR(__xludf.DUMMYFUNCTION("GOOGLETRANSLATE(B24206,""en"",""pt"")"),"Santa Cruz do Capibaribe")</f>
        <v>Santa Cruz do Capibaribe</v>
      </c>
      <c r="B9787" s="17" t="s">
        <v>3391</v>
      </c>
      <c r="C9787" s="17" t="s">
        <v>1905</v>
      </c>
      <c r="D9787" s="17" t="s">
        <v>1909</v>
      </c>
      <c r="E9787" s="10">
        <v>3389652</v>
      </c>
      <c r="F9787" s="4" t="str">
        <f>IF(B9787=B9786,"",B9787)</f>
        <v/>
      </c>
    </row>
    <row r="9788" spans="1:6" ht="15.75" customHeight="1">
      <c r="A9788" s="5" t="s">
        <v>5914</v>
      </c>
      <c r="B9788" s="6" t="s">
        <v>5914</v>
      </c>
      <c r="C9788" s="5" t="s">
        <v>5764</v>
      </c>
      <c r="D9788" s="5" t="s">
        <v>5806</v>
      </c>
      <c r="E9788" s="2">
        <v>3537840</v>
      </c>
      <c r="F9788" s="4" t="str">
        <f>IF(B9788=B9787,"",B9788)</f>
        <v>Santa Cruz del Sur</v>
      </c>
    </row>
    <row r="9789" spans="1:6" ht="15.75" customHeight="1">
      <c r="A9789" s="5" t="str">
        <f ca="1">IFERROR(__xludf.DUMMYFUNCTION("GOOGLETRANSLATE(B27115,""en"",""pt"")"),"Santa Cruz del Sur")</f>
        <v>Santa Cruz del Sur</v>
      </c>
      <c r="B9789" s="17" t="s">
        <v>5914</v>
      </c>
      <c r="C9789" s="17" t="s">
        <v>5764</v>
      </c>
      <c r="D9789" s="17" t="s">
        <v>31904</v>
      </c>
      <c r="E9789" s="10">
        <v>3537840</v>
      </c>
      <c r="F9789" s="4" t="str">
        <f>IF(B9789=B9788,"",B9789)</f>
        <v/>
      </c>
    </row>
    <row r="9790" spans="1:6" ht="15.75" customHeight="1">
      <c r="A9790" s="5" t="str">
        <f ca="1">IFERROR(__xludf.DUMMYFUNCTION("GOOGLETRANSLATE(B31075,""en"",""pt"")"),"Santa Cruz del Quiché")</f>
        <v>Santa Cruz del Quiché</v>
      </c>
      <c r="B9790" s="17" t="s">
        <v>9803</v>
      </c>
      <c r="C9790" s="17" t="s">
        <v>9700</v>
      </c>
      <c r="D9790" s="17" t="s">
        <v>32773</v>
      </c>
      <c r="E9790" s="10">
        <v>3589404</v>
      </c>
      <c r="F9790" s="4" t="str">
        <f>IF(B9790=B9789,"",B9790)</f>
        <v>Santa Cruz del Quiché</v>
      </c>
    </row>
    <row r="9791" spans="1:6" ht="15.75" customHeight="1">
      <c r="A9791" s="5" t="s">
        <v>9803</v>
      </c>
      <c r="B9791" s="6" t="s">
        <v>9804</v>
      </c>
      <c r="C9791" s="5" t="s">
        <v>9700</v>
      </c>
      <c r="D9791" s="5" t="s">
        <v>9716</v>
      </c>
      <c r="E9791" s="2">
        <v>3589404</v>
      </c>
      <c r="F9791" s="4" t="str">
        <f>IF(B9791=B9790,"",B9791)</f>
        <v>Santa Cruz del QuichÃ©</v>
      </c>
    </row>
    <row r="9792" spans="1:6" ht="15.75" customHeight="1">
      <c r="A9792" s="5" t="s">
        <v>5913</v>
      </c>
      <c r="B9792" s="6" t="s">
        <v>5913</v>
      </c>
      <c r="C9792" s="5" t="s">
        <v>5764</v>
      </c>
      <c r="D9792" s="5" t="s">
        <v>5792</v>
      </c>
      <c r="E9792" s="2">
        <v>3537845</v>
      </c>
      <c r="F9792" s="4" t="str">
        <f>IF(B9792=B9791,"",B9792)</f>
        <v>Santa Cruz del Norte</v>
      </c>
    </row>
    <row r="9793" spans="1:6" ht="15.75" customHeight="1">
      <c r="A9793" s="5" t="str">
        <f ca="1">IFERROR(__xludf.DUMMYFUNCTION("GOOGLETRANSLATE(B27116,""en"",""pt"")"),"Santa Cruz del Norte")</f>
        <v>Santa Cruz del Norte</v>
      </c>
      <c r="B9793" s="17" t="s">
        <v>5913</v>
      </c>
      <c r="C9793" s="17" t="s">
        <v>5764</v>
      </c>
      <c r="D9793" s="17" t="s">
        <v>5792</v>
      </c>
      <c r="E9793" s="10">
        <v>3537845</v>
      </c>
      <c r="F9793" s="4" t="str">
        <f>IF(B9793=B9792,"",B9793)</f>
        <v/>
      </c>
    </row>
    <row r="9794" spans="1:6" ht="15.75" customHeight="1">
      <c r="A9794" s="5" t="s">
        <v>24804</v>
      </c>
      <c r="B9794" s="6" t="s">
        <v>24804</v>
      </c>
      <c r="C9794" s="5" t="s">
        <v>24200</v>
      </c>
      <c r="D9794" s="5" t="s">
        <v>24212</v>
      </c>
      <c r="E9794" s="2">
        <v>2511174</v>
      </c>
      <c r="F9794" s="4" t="str">
        <f>IF(B9794=B9793,"",B9794)</f>
        <v>Santa Cruz de Tenerife</v>
      </c>
    </row>
    <row r="9795" spans="1:6" ht="15.75" customHeight="1">
      <c r="A9795" s="5" t="str">
        <f ca="1">IFERROR(__xludf.DUMMYFUNCTION("GOOGLETRANSLATE(B28990,""en"",""pt"")"),"Santa Cruz de Tenerife")</f>
        <v>Santa Cruz de Tenerife</v>
      </c>
      <c r="B9795" s="17" t="s">
        <v>24804</v>
      </c>
      <c r="C9795" s="17" t="s">
        <v>24200</v>
      </c>
      <c r="D9795" s="17" t="s">
        <v>24212</v>
      </c>
      <c r="E9795" s="10">
        <v>2511174</v>
      </c>
      <c r="F9795" s="4" t="str">
        <f>IF(B9795=B9794,"",B9795)</f>
        <v/>
      </c>
    </row>
    <row r="9796" spans="1:6" ht="15.75" customHeight="1">
      <c r="A9796" s="5" t="s">
        <v>1826</v>
      </c>
      <c r="B9796" s="6" t="s">
        <v>1826</v>
      </c>
      <c r="C9796" s="5" t="s">
        <v>1806</v>
      </c>
      <c r="D9796" s="5" t="s">
        <v>595</v>
      </c>
      <c r="E9796" s="2">
        <v>3904906</v>
      </c>
      <c r="F9796" s="4" t="str">
        <f>IF(B9796=B9795,"",B9796)</f>
        <v>Santa Cruz de la Sierra</v>
      </c>
    </row>
    <row r="9797" spans="1:6" ht="15.75" customHeight="1">
      <c r="A9797" s="5" t="str">
        <f ca="1">IFERROR(__xludf.DUMMYFUNCTION("GOOGLETRANSLATE(B24125,""en"",""pt"")"),"Santa Cruz de la Sierra")</f>
        <v>Santa Cruz de la Sierra</v>
      </c>
      <c r="B9797" s="17" t="s">
        <v>1826</v>
      </c>
      <c r="C9797" s="17" t="s">
        <v>1806</v>
      </c>
      <c r="D9797" s="17" t="s">
        <v>595</v>
      </c>
      <c r="E9797" s="10">
        <v>3904906</v>
      </c>
      <c r="F9797" s="4" t="str">
        <f>IF(B9797=B9796,"",B9797)</f>
        <v/>
      </c>
    </row>
    <row r="9798" spans="1:6" ht="15.75" customHeight="1">
      <c r="A9798" s="5" t="s">
        <v>24803</v>
      </c>
      <c r="B9798" s="6" t="s">
        <v>24803</v>
      </c>
      <c r="C9798" s="5" t="s">
        <v>24200</v>
      </c>
      <c r="D9798" s="5" t="s">
        <v>24212</v>
      </c>
      <c r="E9798" s="2">
        <v>2511180</v>
      </c>
      <c r="F9798" s="4" t="str">
        <f>IF(B9798=B9797,"",B9798)</f>
        <v>Santa Cruz de la Palma</v>
      </c>
    </row>
    <row r="9799" spans="1:6" ht="15.75" customHeight="1">
      <c r="A9799" s="5" t="str">
        <f ca="1">IFERROR(__xludf.DUMMYFUNCTION("GOOGLETRANSLATE(B28991,""en"",""pt"")"),"Santa Cruz de la Palma")</f>
        <v>Santa Cruz de la Palma</v>
      </c>
      <c r="B9799" s="17" t="s">
        <v>24803</v>
      </c>
      <c r="C9799" s="17" t="s">
        <v>24200</v>
      </c>
      <c r="D9799" s="17" t="s">
        <v>24212</v>
      </c>
      <c r="E9799" s="10">
        <v>2511180</v>
      </c>
      <c r="F9799" s="4" t="str">
        <f>IF(B9799=B9798,"",B9799)</f>
        <v/>
      </c>
    </row>
    <row r="9800" spans="1:6" ht="15.75" customHeight="1">
      <c r="A9800" s="5" t="s">
        <v>18266</v>
      </c>
      <c r="B9800" s="6" t="s">
        <v>18266</v>
      </c>
      <c r="C9800" s="5" t="s">
        <v>17707</v>
      </c>
      <c r="D9800" s="5" t="s">
        <v>17713</v>
      </c>
      <c r="E9800" s="2">
        <v>4003662</v>
      </c>
      <c r="F9800" s="4" t="str">
        <f>IF(B9800=B9799,"",B9800)</f>
        <v>Santa Cruz de Juventino Rosas</v>
      </c>
    </row>
    <row r="9801" spans="1:6" ht="15.75" customHeight="1">
      <c r="A9801" s="5" t="str">
        <f ca="1">IFERROR(__xludf.DUMMYFUNCTION("GOOGLETRANSLATE(B37266,""en"",""pt"")"),"Santa Cruz de Juventino Rosas")</f>
        <v>Santa Cruz de Juventino Rosas</v>
      </c>
      <c r="B9801" s="17" t="s">
        <v>18266</v>
      </c>
      <c r="C9801" s="17" t="s">
        <v>17707</v>
      </c>
      <c r="D9801" s="17" t="s">
        <v>17713</v>
      </c>
      <c r="E9801" s="10">
        <v>4003662</v>
      </c>
      <c r="F9801" s="4" t="str">
        <f>IF(B9801=B9800,"",B9801)</f>
        <v/>
      </c>
    </row>
    <row r="9802" spans="1:6" ht="15.75" customHeight="1">
      <c r="A9802" s="5" t="s">
        <v>6368</v>
      </c>
      <c r="B9802" s="6" t="s">
        <v>6368</v>
      </c>
      <c r="C9802" s="5" t="s">
        <v>6303</v>
      </c>
      <c r="D9802" s="5" t="s">
        <v>6369</v>
      </c>
      <c r="E9802" s="2">
        <v>3492984</v>
      </c>
      <c r="F9802" s="4" t="str">
        <f>IF(B9802=B9801,"",B9802)</f>
        <v>Santa Cruz de El Seibo</v>
      </c>
    </row>
    <row r="9803" spans="1:6" ht="15.75" customHeight="1">
      <c r="A9803" s="5" t="str">
        <f ca="1">IFERROR(__xludf.DUMMYFUNCTION("GOOGLETRANSLATE(B28460,""en"",""pt"")"),"Santa Cruz de El Seibo")</f>
        <v>Santa Cruz de El Seibo</v>
      </c>
      <c r="B9803" s="17" t="s">
        <v>6368</v>
      </c>
      <c r="C9803" s="17" t="s">
        <v>6303</v>
      </c>
      <c r="D9803" s="17" t="s">
        <v>32168</v>
      </c>
      <c r="E9803" s="10">
        <v>3492984</v>
      </c>
      <c r="F9803" s="4" t="str">
        <f>IF(B9803=B9802,"",B9803)</f>
        <v/>
      </c>
    </row>
    <row r="9804" spans="1:6" ht="15.75" customHeight="1">
      <c r="A9804" s="5" t="s">
        <v>6366</v>
      </c>
      <c r="B9804" s="6" t="s">
        <v>6366</v>
      </c>
      <c r="C9804" s="5" t="s">
        <v>6303</v>
      </c>
      <c r="D9804" s="5" t="s">
        <v>6367</v>
      </c>
      <c r="E9804" s="2">
        <v>3492985</v>
      </c>
      <c r="F9804" s="4" t="str">
        <f>IF(B9804=B9803,"",B9804)</f>
        <v>Santa Cruz de Barahona</v>
      </c>
    </row>
    <row r="9805" spans="1:6" ht="15.75" customHeight="1">
      <c r="A9805" s="5" t="str">
        <f ca="1">IFERROR(__xludf.DUMMYFUNCTION("GOOGLETRANSLATE(B28461,""en"",""pt"")"),"Santa Cruz de Barahona")</f>
        <v>Santa Cruz de Barahona</v>
      </c>
      <c r="B9805" s="17" t="s">
        <v>6366</v>
      </c>
      <c r="C9805" s="17" t="s">
        <v>6303</v>
      </c>
      <c r="D9805" s="17" t="s">
        <v>6367</v>
      </c>
      <c r="E9805" s="10">
        <v>3492985</v>
      </c>
      <c r="F9805" s="4" t="str">
        <f>IF(B9805=B9804,"",B9805)</f>
        <v/>
      </c>
    </row>
    <row r="9806" spans="1:6" ht="15.75" customHeight="1">
      <c r="A9806" s="5" t="s">
        <v>3389</v>
      </c>
      <c r="B9806" s="6" t="s">
        <v>3390</v>
      </c>
      <c r="C9806" s="5" t="s">
        <v>1905</v>
      </c>
      <c r="D9806" s="5" t="s">
        <v>1914</v>
      </c>
      <c r="E9806" s="2">
        <v>3450283</v>
      </c>
      <c r="F9806" s="4" t="str">
        <f>IF(B9806=B9805,"",B9806)</f>
        <v>Santa Cruz das Palmeiras</v>
      </c>
    </row>
    <row r="9807" spans="1:6" ht="15.75" customHeight="1">
      <c r="A9807" s="5" t="str">
        <f ca="1">IFERROR(__xludf.DUMMYFUNCTION("GOOGLETRANSLATE(B24618,""en"",""pt"")"),"Santa Cruz Das Palmeiras")</f>
        <v>Santa Cruz Das Palmeiras</v>
      </c>
      <c r="B9807" s="17" t="s">
        <v>3390</v>
      </c>
      <c r="C9807" s="17" t="s">
        <v>1905</v>
      </c>
      <c r="D9807" s="17" t="s">
        <v>3354</v>
      </c>
      <c r="E9807" s="10">
        <v>3450283</v>
      </c>
      <c r="F9807" s="4" t="str">
        <f>IF(B9807=B9806,"",B9807)</f>
        <v/>
      </c>
    </row>
    <row r="9808" spans="1:6" ht="15.75" customHeight="1">
      <c r="A9808" s="5" t="str">
        <f ca="1">IFERROR(__xludf.DUMMYFUNCTION("GOOGLETRANSLATE(B24619,""en"",""pt"")"),"Santa Cruz Cabrália")</f>
        <v>Santa Cruz Cabrália</v>
      </c>
      <c r="B9808" s="17" t="s">
        <v>31525</v>
      </c>
      <c r="C9808" s="17" t="s">
        <v>1905</v>
      </c>
      <c r="D9808" s="17" t="s">
        <v>1947</v>
      </c>
      <c r="E9808" s="10">
        <v>3450288</v>
      </c>
      <c r="F9808" s="4" t="str">
        <f>IF(B9808=B9807,"",B9808)</f>
        <v>Santa Cruz Cabrália</v>
      </c>
    </row>
    <row r="9809" spans="1:6" ht="15.75" customHeight="1">
      <c r="A9809" s="5" t="s">
        <v>3387</v>
      </c>
      <c r="B9809" s="6" t="s">
        <v>3388</v>
      </c>
      <c r="C9809" s="5" t="s">
        <v>1905</v>
      </c>
      <c r="D9809" s="5" t="s">
        <v>1947</v>
      </c>
      <c r="E9809" s="2">
        <v>3450288</v>
      </c>
      <c r="F9809" s="4" t="str">
        <f>IF(B9809=B9808,"",B9809)</f>
        <v>Santa Cruz CabrÃ¡lia</v>
      </c>
    </row>
    <row r="9810" spans="1:6" ht="15.75" customHeight="1">
      <c r="A9810" s="5" t="s">
        <v>595</v>
      </c>
      <c r="B9810" s="6" t="s">
        <v>595</v>
      </c>
      <c r="C9810" s="5" t="s">
        <v>1905</v>
      </c>
      <c r="D9810" s="5" t="s">
        <v>1922</v>
      </c>
      <c r="E9810" s="2">
        <v>3389673</v>
      </c>
      <c r="F9810" s="4" t="str">
        <f>IF(B9810=B9809,"",B9810)</f>
        <v>Santa Cruz</v>
      </c>
    </row>
    <row r="9811" spans="1:6" ht="15.75" customHeight="1">
      <c r="A9811" s="5" t="s">
        <v>595</v>
      </c>
      <c r="B9811" s="6" t="s">
        <v>595</v>
      </c>
      <c r="C9811" s="5" t="s">
        <v>4355</v>
      </c>
      <c r="D9811" s="5" t="s">
        <v>4379</v>
      </c>
      <c r="E9811" s="2">
        <v>3871616</v>
      </c>
      <c r="F9811" s="4" t="str">
        <f>IF(B9811=B9810,"",B9811)</f>
        <v/>
      </c>
    </row>
    <row r="9812" spans="1:6" ht="15.75" customHeight="1">
      <c r="A9812" s="5" t="s">
        <v>595</v>
      </c>
      <c r="B9812" s="6" t="s">
        <v>595</v>
      </c>
      <c r="C9812" s="5" t="s">
        <v>20598</v>
      </c>
      <c r="D9812" s="5" t="s">
        <v>20599</v>
      </c>
      <c r="E9812" s="2">
        <v>1688232</v>
      </c>
      <c r="F9812" s="4" t="str">
        <f>IF(B9812=B9811,"",B9812)</f>
        <v/>
      </c>
    </row>
    <row r="9813" spans="1:6" ht="15.75" customHeight="1">
      <c r="A9813" s="5" t="s">
        <v>595</v>
      </c>
      <c r="B9813" s="6" t="s">
        <v>595</v>
      </c>
      <c r="C9813" s="5" t="s">
        <v>20598</v>
      </c>
      <c r="D9813" s="5" t="s">
        <v>20599</v>
      </c>
      <c r="E9813" s="2">
        <v>1688248</v>
      </c>
      <c r="F9813" s="4" t="str">
        <f>IF(B9813=B9812,"",B9813)</f>
        <v/>
      </c>
    </row>
    <row r="9814" spans="1:6" ht="15.75" customHeight="1">
      <c r="A9814" s="5" t="s">
        <v>595</v>
      </c>
      <c r="B9814" s="6" t="s">
        <v>595</v>
      </c>
      <c r="C9814" s="5" t="s">
        <v>20598</v>
      </c>
      <c r="D9814" s="5" t="s">
        <v>20608</v>
      </c>
      <c r="E9814" s="2">
        <v>1688253</v>
      </c>
      <c r="F9814" s="4" t="str">
        <f>IF(B9814=B9813,"",B9814)</f>
        <v/>
      </c>
    </row>
    <row r="9815" spans="1:6" ht="15.75" customHeight="1">
      <c r="A9815" s="5" t="s">
        <v>595</v>
      </c>
      <c r="B9815" s="6" t="s">
        <v>595</v>
      </c>
      <c r="C9815" s="5" t="s">
        <v>27788</v>
      </c>
      <c r="D9815" s="5" t="s">
        <v>27801</v>
      </c>
      <c r="E9815" s="2">
        <v>5393052</v>
      </c>
      <c r="F9815" s="4" t="str">
        <f>IF(B9815=B9814,"",B9815)</f>
        <v/>
      </c>
    </row>
    <row r="9816" spans="1:6" ht="15.75" customHeight="1">
      <c r="A9816" s="5" t="str">
        <f ca="1">IFERROR(__xludf.DUMMYFUNCTION("GOOGLETRANSLATE(B24207,""en"",""pt"")"),"Santa Cruz")</f>
        <v>Santa Cruz</v>
      </c>
      <c r="B9816" s="17" t="s">
        <v>595</v>
      </c>
      <c r="C9816" s="17" t="s">
        <v>1905</v>
      </c>
      <c r="D9816" s="17" t="s">
        <v>1922</v>
      </c>
      <c r="E9816" s="10">
        <v>3389673</v>
      </c>
      <c r="F9816" s="4" t="str">
        <f>IF(B9816=B9815,"",B9816)</f>
        <v/>
      </c>
    </row>
    <row r="9817" spans="1:6" ht="15.75" customHeight="1">
      <c r="A9817" s="5" t="str">
        <f ca="1">IFERROR(__xludf.DUMMYFUNCTION("GOOGLETRANSLATE(B25899,""en"",""pt"")"),"Santa Cruz")</f>
        <v>Santa Cruz</v>
      </c>
      <c r="B9817" s="17" t="s">
        <v>595</v>
      </c>
      <c r="C9817" s="17" t="s">
        <v>4355</v>
      </c>
      <c r="D9817" s="17" t="s">
        <v>4379</v>
      </c>
      <c r="E9817" s="10">
        <v>3871616</v>
      </c>
      <c r="F9817" s="4" t="str">
        <f>IF(B9817=B9816,"",B9817)</f>
        <v/>
      </c>
    </row>
    <row r="9818" spans="1:6" ht="15.75" customHeight="1">
      <c r="A9818" s="5" t="str">
        <f ca="1">IFERROR(__xludf.DUMMYFUNCTION("GOOGLETRANSLATE(B38489,""en"",""pt"")"),"Santa Cruz")</f>
        <v>Santa Cruz</v>
      </c>
      <c r="B9818" s="17" t="s">
        <v>595</v>
      </c>
      <c r="C9818" s="17" t="s">
        <v>20598</v>
      </c>
      <c r="D9818" s="17" t="s">
        <v>20599</v>
      </c>
      <c r="E9818" s="10">
        <v>1688232</v>
      </c>
      <c r="F9818" s="4" t="str">
        <f>IF(B9818=B9817,"",B9818)</f>
        <v/>
      </c>
    </row>
    <row r="9819" spans="1:6" ht="15.75" customHeight="1">
      <c r="A9819" s="5" t="str">
        <f ca="1">IFERROR(__xludf.DUMMYFUNCTION("GOOGLETRANSLATE(B38490,""en"",""pt"")"),"Santa Cruz")</f>
        <v>Santa Cruz</v>
      </c>
      <c r="B9819" s="17" t="s">
        <v>595</v>
      </c>
      <c r="C9819" s="17" t="s">
        <v>20598</v>
      </c>
      <c r="D9819" s="17" t="s">
        <v>20599</v>
      </c>
      <c r="E9819" s="10">
        <v>1688248</v>
      </c>
      <c r="F9819" s="4" t="str">
        <f>IF(B9819=B9818,"",B9819)</f>
        <v/>
      </c>
    </row>
    <row r="9820" spans="1:6" ht="15.75" customHeight="1">
      <c r="A9820" s="5" t="str">
        <f ca="1">IFERROR(__xludf.DUMMYFUNCTION("GOOGLETRANSLATE(B38491,""en"",""pt"")"),"Santa Cruz")</f>
        <v>Santa Cruz</v>
      </c>
      <c r="B9820" s="17" t="s">
        <v>595</v>
      </c>
      <c r="C9820" s="17" t="s">
        <v>20598</v>
      </c>
      <c r="D9820" s="17" t="s">
        <v>20608</v>
      </c>
      <c r="E9820" s="10">
        <v>1688253</v>
      </c>
      <c r="F9820" s="4" t="str">
        <f>IF(B9820=B9819,"",B9820)</f>
        <v/>
      </c>
    </row>
    <row r="9821" spans="1:6" ht="15.75" customHeight="1">
      <c r="A9821" s="5" t="str">
        <f ca="1">IFERROR(__xludf.DUMMYFUNCTION("GOOGLETRANSLATE(B45024,""en"",""pt"")"),"Santa Cruz")</f>
        <v>Santa Cruz</v>
      </c>
      <c r="B9821" s="17" t="s">
        <v>595</v>
      </c>
      <c r="C9821" s="17" t="s">
        <v>27788</v>
      </c>
      <c r="D9821" s="17" t="s">
        <v>27801</v>
      </c>
      <c r="E9821" s="10">
        <v>5393052</v>
      </c>
      <c r="F9821" s="4" t="str">
        <f>IF(B9821=B9820,"",B9821)</f>
        <v/>
      </c>
    </row>
    <row r="9822" spans="1:6" ht="15.75" customHeight="1">
      <c r="A9822" s="5" t="s">
        <v>24802</v>
      </c>
      <c r="B9822" s="6" t="s">
        <v>24802</v>
      </c>
      <c r="C9822" s="5" t="s">
        <v>24200</v>
      </c>
      <c r="D9822" s="5" t="s">
        <v>24277</v>
      </c>
      <c r="E9822" s="2">
        <v>3109981</v>
      </c>
      <c r="F9822" s="4" t="str">
        <f>IF(B9822=B9821,"",B9822)</f>
        <v>Santa Coloma de Gramenet</v>
      </c>
    </row>
    <row r="9823" spans="1:6" ht="15.75" customHeight="1">
      <c r="A9823" s="5" t="str">
        <f ca="1">IFERROR(__xludf.DUMMYFUNCTION("GOOGLETRANSLATE(B29285,""en"",""pt"")"),"Santa Coloma de Gramenet")</f>
        <v>Santa Coloma de Gramenet</v>
      </c>
      <c r="B9823" s="17" t="s">
        <v>24802</v>
      </c>
      <c r="C9823" s="17" t="s">
        <v>24200</v>
      </c>
      <c r="D9823" s="17" t="s">
        <v>24277</v>
      </c>
      <c r="E9823" s="10">
        <v>3109981</v>
      </c>
      <c r="F9823" s="4" t="str">
        <f>IF(B9823=B9822,"",B9823)</f>
        <v/>
      </c>
    </row>
    <row r="9824" spans="1:6" ht="15.75" customHeight="1">
      <c r="A9824" s="5" t="s">
        <v>29909</v>
      </c>
      <c r="B9824" s="6" t="s">
        <v>29909</v>
      </c>
      <c r="C9824" s="5" t="s">
        <v>27788</v>
      </c>
      <c r="D9824" s="5" t="s">
        <v>27801</v>
      </c>
      <c r="E9824" s="2">
        <v>5393049</v>
      </c>
      <c r="F9824" s="4" t="str">
        <f>IF(B9824=B9823,"",B9824)</f>
        <v>Santa Clarita</v>
      </c>
    </row>
    <row r="9825" spans="1:6" ht="15.75" customHeight="1">
      <c r="A9825" s="5" t="str">
        <f ca="1">IFERROR(__xludf.DUMMYFUNCTION("GOOGLETRANSLATE(B45023,""en"",""pt"")"),"Santa Clarita")</f>
        <v>Santa Clarita</v>
      </c>
      <c r="B9825" s="17" t="s">
        <v>29909</v>
      </c>
      <c r="C9825" s="17" t="s">
        <v>27788</v>
      </c>
      <c r="D9825" s="17" t="s">
        <v>27801</v>
      </c>
      <c r="E9825" s="10">
        <v>5393049</v>
      </c>
      <c r="F9825" s="4" t="str">
        <f>IF(B9825=B9824,"",B9825)</f>
        <v/>
      </c>
    </row>
    <row r="9826" spans="1:6" ht="15.75" customHeight="1">
      <c r="A9826" s="5" t="s">
        <v>5912</v>
      </c>
      <c r="B9826" s="6" t="s">
        <v>5912</v>
      </c>
      <c r="C9826" s="5" t="s">
        <v>5764</v>
      </c>
      <c r="D9826" s="5" t="s">
        <v>5803</v>
      </c>
      <c r="E9826" s="2">
        <v>3537906</v>
      </c>
      <c r="F9826" s="4" t="str">
        <f>IF(B9826=B9825,"",B9826)</f>
        <v>Santa Clara</v>
      </c>
    </row>
    <row r="9827" spans="1:6" ht="15.75" customHeight="1">
      <c r="A9827" s="5" t="s">
        <v>5912</v>
      </c>
      <c r="B9827" s="6" t="s">
        <v>5912</v>
      </c>
      <c r="C9827" s="5" t="s">
        <v>27788</v>
      </c>
      <c r="D9827" s="5" t="s">
        <v>27801</v>
      </c>
      <c r="E9827" s="2">
        <v>5393015</v>
      </c>
      <c r="F9827" s="4" t="str">
        <f>IF(B9827=B9826,"",B9827)</f>
        <v/>
      </c>
    </row>
    <row r="9828" spans="1:6" ht="15.75" customHeight="1">
      <c r="A9828" s="5" t="str">
        <f ca="1">IFERROR(__xludf.DUMMYFUNCTION("GOOGLETRANSLATE(B27117,""en"",""pt"")"),"Santa Clara")</f>
        <v>Santa Clara</v>
      </c>
      <c r="B9828" s="17" t="s">
        <v>5912</v>
      </c>
      <c r="C9828" s="17" t="s">
        <v>5764</v>
      </c>
      <c r="D9828" s="17" t="s">
        <v>5803</v>
      </c>
      <c r="E9828" s="10">
        <v>3537906</v>
      </c>
      <c r="F9828" s="4" t="str">
        <f>IF(B9828=B9827,"",B9828)</f>
        <v/>
      </c>
    </row>
    <row r="9829" spans="1:6" ht="15.75" customHeight="1">
      <c r="A9829" s="5" t="str">
        <f ca="1">IFERROR(__xludf.DUMMYFUNCTION("GOOGLETRANSLATE(B45022,""en"",""pt"")"),"Santa Clara")</f>
        <v>Santa Clara</v>
      </c>
      <c r="B9829" s="17" t="s">
        <v>5912</v>
      </c>
      <c r="C9829" s="17" t="s">
        <v>27788</v>
      </c>
      <c r="D9829" s="17" t="s">
        <v>27801</v>
      </c>
      <c r="E9829" s="10">
        <v>5393015</v>
      </c>
      <c r="F9829" s="4" t="str">
        <f>IF(B9829=B9828,"",B9829)</f>
        <v/>
      </c>
    </row>
    <row r="9830" spans="1:6" ht="15.75" customHeight="1">
      <c r="A9830" s="5" t="str">
        <f ca="1">IFERROR(__xludf.DUMMYFUNCTION("GOOGLETRANSLATE(B24620,""en"",""pt"")"),"Santa Cecília")</f>
        <v>Santa Cecília</v>
      </c>
      <c r="B9830" s="17" t="s">
        <v>31526</v>
      </c>
      <c r="C9830" s="17" t="s">
        <v>1905</v>
      </c>
      <c r="D9830" s="17" t="s">
        <v>2020</v>
      </c>
      <c r="E9830" s="10">
        <v>3450376</v>
      </c>
      <c r="F9830" s="4" t="str">
        <f>IF(B9830=B9829,"",B9830)</f>
        <v>Santa Cecília</v>
      </c>
    </row>
    <row r="9831" spans="1:6" ht="15.75" customHeight="1">
      <c r="A9831" s="5" t="s">
        <v>3385</v>
      </c>
      <c r="B9831" s="6" t="s">
        <v>3386</v>
      </c>
      <c r="C9831" s="5" t="s">
        <v>1905</v>
      </c>
      <c r="D9831" s="5" t="s">
        <v>2020</v>
      </c>
      <c r="E9831" s="2">
        <v>3450376</v>
      </c>
      <c r="F9831" s="4" t="str">
        <f>IF(B9831=B9830,"",B9831)</f>
        <v>Santa CecÃ­lia</v>
      </c>
    </row>
    <row r="9832" spans="1:6" ht="15.75" customHeight="1">
      <c r="A9832" s="5" t="s">
        <v>9802</v>
      </c>
      <c r="B9832" s="6" t="s">
        <v>9802</v>
      </c>
      <c r="C9832" s="5" t="s">
        <v>9700</v>
      </c>
      <c r="D9832" s="5" t="s">
        <v>9700</v>
      </c>
      <c r="E9832" s="2">
        <v>3589452</v>
      </c>
      <c r="F9832" s="4" t="str">
        <f>IF(B9832=B9831,"",B9832)</f>
        <v>Santa Catarina Pinula</v>
      </c>
    </row>
    <row r="9833" spans="1:6" ht="15.75" customHeight="1">
      <c r="A9833" s="5" t="str">
        <f ca="1">IFERROR(__xludf.DUMMYFUNCTION("GOOGLETRANSLATE(B31076,""en"",""pt"")"),"Santa Catarina Pinula")</f>
        <v>Santa Catarina Pinula</v>
      </c>
      <c r="B9833" s="17" t="s">
        <v>9802</v>
      </c>
      <c r="C9833" s="17" t="s">
        <v>9700</v>
      </c>
      <c r="D9833" s="17" t="s">
        <v>9700</v>
      </c>
      <c r="E9833" s="10">
        <v>3589452</v>
      </c>
      <c r="F9833" s="4" t="str">
        <f>IF(B9833=B9832,"",B9833)</f>
        <v/>
      </c>
    </row>
    <row r="9834" spans="1:6" ht="15.75" customHeight="1">
      <c r="A9834" s="5" t="s">
        <v>2020</v>
      </c>
      <c r="B9834" s="6" t="s">
        <v>2020</v>
      </c>
      <c r="C9834" s="5" t="s">
        <v>17707</v>
      </c>
      <c r="D9834" s="5" t="s">
        <v>17739</v>
      </c>
      <c r="E9834" s="2">
        <v>3984583</v>
      </c>
      <c r="F9834" s="4" t="str">
        <f>IF(B9834=B9833,"",B9834)</f>
        <v>Santa Catarina</v>
      </c>
    </row>
    <row r="9835" spans="1:6" ht="15.75" customHeight="1">
      <c r="A9835" s="5" t="str">
        <f ca="1">IFERROR(__xludf.DUMMYFUNCTION("GOOGLETRANSLATE(B37186,""en"",""pt"")"),"Santa Catarina")</f>
        <v>Santa Catarina</v>
      </c>
      <c r="B9835" s="17" t="s">
        <v>2020</v>
      </c>
      <c r="C9835" s="17" t="s">
        <v>17707</v>
      </c>
      <c r="D9835" s="17" t="s">
        <v>34689</v>
      </c>
      <c r="E9835" s="10">
        <v>3984583</v>
      </c>
      <c r="F9835" s="4" t="str">
        <f>IF(B9835=B9834,"",B9835)</f>
        <v/>
      </c>
    </row>
    <row r="9836" spans="1:6" ht="15.75" customHeight="1">
      <c r="A9836" s="5" t="s">
        <v>21003</v>
      </c>
      <c r="B9836" s="6" t="s">
        <v>21003</v>
      </c>
      <c r="C9836" s="5" t="s">
        <v>20598</v>
      </c>
      <c r="D9836" s="5" t="s">
        <v>20622</v>
      </c>
      <c r="E9836" s="2">
        <v>1688363</v>
      </c>
      <c r="F9836" s="4" t="str">
        <f>IF(B9836=B9835,"",B9836)</f>
        <v>Santa Catalina</v>
      </c>
    </row>
    <row r="9837" spans="1:6" ht="15.75" customHeight="1">
      <c r="A9837" s="5" t="str">
        <f ca="1">IFERROR(__xludf.DUMMYFUNCTION("GOOGLETRANSLATE(B38492,""en"",""pt"")"),"Santa Catalina")</f>
        <v>Santa Catalina</v>
      </c>
      <c r="B9837" s="17" t="s">
        <v>21003</v>
      </c>
      <c r="C9837" s="17" t="s">
        <v>20598</v>
      </c>
      <c r="D9837" s="17" t="s">
        <v>20622</v>
      </c>
      <c r="E9837" s="10">
        <v>1688363</v>
      </c>
      <c r="F9837" s="4" t="str">
        <f>IF(B9837=B9836,"",B9837)</f>
        <v/>
      </c>
    </row>
    <row r="9838" spans="1:6" ht="15.75" customHeight="1">
      <c r="A9838" s="5" t="str">
        <f ca="1">IFERROR(__xludf.DUMMYFUNCTION("GOOGLETRANSLATE(B28992,""en"",""pt"")"),"Santa Brígida")</f>
        <v>Santa Brígida</v>
      </c>
      <c r="B9838" s="17" t="s">
        <v>32357</v>
      </c>
      <c r="C9838" s="17" t="s">
        <v>24200</v>
      </c>
      <c r="D9838" s="17" t="s">
        <v>24212</v>
      </c>
      <c r="E9838" s="10">
        <v>2511202</v>
      </c>
      <c r="F9838" s="4" t="str">
        <f>IF(B9838=B9837,"",B9838)</f>
        <v>Santa Brígida</v>
      </c>
    </row>
    <row r="9839" spans="1:6" ht="15.75" customHeight="1">
      <c r="A9839" s="5" t="s">
        <v>24800</v>
      </c>
      <c r="B9839" s="6" t="s">
        <v>24801</v>
      </c>
      <c r="C9839" s="5" t="s">
        <v>24200</v>
      </c>
      <c r="D9839" s="5" t="s">
        <v>24212</v>
      </c>
      <c r="E9839" s="2">
        <v>2511202</v>
      </c>
      <c r="F9839" s="4" t="str">
        <f>IF(B9839=B9838,"",B9839)</f>
        <v>Santa BrÃ­gida</v>
      </c>
    </row>
    <row r="9840" spans="1:6" ht="15.75" customHeight="1">
      <c r="A9840" s="5" t="str">
        <f ca="1">IFERROR(__xludf.DUMMYFUNCTION("GOOGLETRANSLATE(B24621,""en"",""pt"")"),"Santa Bárbara d'Oeste")</f>
        <v>Santa Bárbara d'Oeste</v>
      </c>
      <c r="B9840" s="17" t="s">
        <v>31527</v>
      </c>
      <c r="C9840" s="17" t="s">
        <v>1905</v>
      </c>
      <c r="D9840" s="17" t="s">
        <v>3354</v>
      </c>
      <c r="E9840" s="10">
        <v>3450404</v>
      </c>
      <c r="F9840" s="4" t="str">
        <f>IF(B9840=B9839,"",B9840)</f>
        <v>Santa Bárbara d'Oeste</v>
      </c>
    </row>
    <row r="9841" spans="1:6" ht="15.75" customHeight="1">
      <c r="A9841" s="5" t="str">
        <f ca="1">IFERROR(__xludf.DUMMYFUNCTION("GOOGLETRANSLATE(B31171,""en"",""pt"")"),"Santa Barbara")</f>
        <v>Santa Barbara</v>
      </c>
      <c r="B9841" s="17" t="s">
        <v>32798</v>
      </c>
      <c r="C9841" s="17" t="s">
        <v>9907</v>
      </c>
      <c r="D9841" s="17" t="s">
        <v>32798</v>
      </c>
      <c r="E9841" s="10">
        <v>3601691</v>
      </c>
      <c r="F9841" s="4" t="str">
        <f>IF(B9841=B9840,"",B9841)</f>
        <v>Santa Bárbara</v>
      </c>
    </row>
    <row r="9842" spans="1:6" ht="15.75" customHeight="1">
      <c r="A9842" s="5" t="s">
        <v>9930</v>
      </c>
      <c r="B9842" s="6" t="s">
        <v>9930</v>
      </c>
      <c r="C9842" s="5" t="s">
        <v>20598</v>
      </c>
      <c r="D9842" s="5" t="s">
        <v>20603</v>
      </c>
      <c r="E9842" s="2">
        <v>1688372</v>
      </c>
      <c r="F9842" s="4" t="str">
        <f>IF(B9842=B9841,"",B9842)</f>
        <v>Santa Barbara</v>
      </c>
    </row>
    <row r="9843" spans="1:6" ht="15.75" customHeight="1">
      <c r="A9843" s="5" t="s">
        <v>9930</v>
      </c>
      <c r="B9843" s="6" t="s">
        <v>9930</v>
      </c>
      <c r="C9843" s="5" t="s">
        <v>27788</v>
      </c>
      <c r="D9843" s="5" t="s">
        <v>27801</v>
      </c>
      <c r="E9843" s="2">
        <v>5392952</v>
      </c>
      <c r="F9843" s="4" t="str">
        <f>IF(B9843=B9842,"",B9843)</f>
        <v/>
      </c>
    </row>
    <row r="9844" spans="1:6" ht="15.75" customHeight="1">
      <c r="A9844" s="5" t="str">
        <f ca="1">IFERROR(__xludf.DUMMYFUNCTION("GOOGLETRANSLATE(B38493,""en"",""pt"")"),"Santa Barbara")</f>
        <v>Santa Barbara</v>
      </c>
      <c r="B9844" s="17" t="s">
        <v>9930</v>
      </c>
      <c r="C9844" s="17" t="s">
        <v>20598</v>
      </c>
      <c r="D9844" s="17" t="s">
        <v>20603</v>
      </c>
      <c r="E9844" s="10">
        <v>1688372</v>
      </c>
      <c r="F9844" s="4" t="str">
        <f>IF(B9844=B9843,"",B9844)</f>
        <v/>
      </c>
    </row>
    <row r="9845" spans="1:6" ht="15.75" customHeight="1">
      <c r="A9845" s="5" t="str">
        <f ca="1">IFERROR(__xludf.DUMMYFUNCTION("GOOGLETRANSLATE(B45021,""en"",""pt"")"),"Santa Barbara")</f>
        <v>Santa Barbara</v>
      </c>
      <c r="B9845" s="17" t="s">
        <v>9930</v>
      </c>
      <c r="C9845" s="17" t="s">
        <v>27788</v>
      </c>
      <c r="D9845" s="17" t="s">
        <v>27801</v>
      </c>
      <c r="E9845" s="10">
        <v>5392952</v>
      </c>
      <c r="F9845" s="4" t="str">
        <f>IF(B9845=B9844,"",B9845)</f>
        <v/>
      </c>
    </row>
    <row r="9846" spans="1:6" ht="15.75" customHeight="1">
      <c r="A9846" s="5" t="s">
        <v>3383</v>
      </c>
      <c r="B9846" s="6" t="s">
        <v>3384</v>
      </c>
      <c r="C9846" s="5" t="s">
        <v>1905</v>
      </c>
      <c r="D9846" s="5" t="s">
        <v>1914</v>
      </c>
      <c r="E9846" s="2">
        <v>3450404</v>
      </c>
      <c r="F9846" s="4" t="str">
        <f>IF(B9846=B9845,"",B9846)</f>
        <v>Santa BÃ¡rbara d'Oeste</v>
      </c>
    </row>
    <row r="9847" spans="1:6" ht="15.75" customHeight="1">
      <c r="A9847" s="5" t="s">
        <v>9930</v>
      </c>
      <c r="B9847" s="6" t="s">
        <v>9931</v>
      </c>
      <c r="C9847" s="5" t="s">
        <v>9907</v>
      </c>
      <c r="D9847" s="5" t="s">
        <v>9931</v>
      </c>
      <c r="E9847" s="2">
        <v>3601691</v>
      </c>
      <c r="F9847" s="4" t="str">
        <f>IF(B9847=B9846,"",B9847)</f>
        <v>Santa BÃ¡rbara</v>
      </c>
    </row>
    <row r="9848" spans="1:6" ht="15.75" customHeight="1">
      <c r="A9848" s="5" t="s">
        <v>18265</v>
      </c>
      <c r="B9848" s="6" t="s">
        <v>18265</v>
      </c>
      <c r="C9848" s="5" t="s">
        <v>17707</v>
      </c>
      <c r="D9848" s="5" t="s">
        <v>17746</v>
      </c>
      <c r="E9848" s="2">
        <v>3984680</v>
      </c>
      <c r="F9848" s="4" t="str">
        <f>IF(B9848=B9847,"",B9848)</f>
        <v>Santa Anita</v>
      </c>
    </row>
    <row r="9849" spans="1:6" ht="15.75" customHeight="1">
      <c r="A9849" s="5" t="str">
        <f ca="1">IFERROR(__xludf.DUMMYFUNCTION("GOOGLETRANSLATE(B37187,""en"",""pt"")"),"Santa Anita")</f>
        <v>Santa Anita</v>
      </c>
      <c r="B9849" s="17" t="s">
        <v>18265</v>
      </c>
      <c r="C9849" s="17" t="s">
        <v>17707</v>
      </c>
      <c r="D9849" s="17" t="s">
        <v>17746</v>
      </c>
      <c r="E9849" s="10">
        <v>3984680</v>
      </c>
      <c r="F9849" s="4" t="str">
        <f>IF(B9849=B9848,"",B9849)</f>
        <v/>
      </c>
    </row>
    <row r="9850" spans="1:6" ht="15.75" customHeight="1">
      <c r="A9850" s="6" t="s">
        <v>6754</v>
      </c>
      <c r="B9850" s="6" t="s">
        <v>6738</v>
      </c>
      <c r="C9850" s="6" t="s">
        <v>6727</v>
      </c>
      <c r="D9850" s="6" t="s">
        <v>6738</v>
      </c>
      <c r="E9850" s="2">
        <v>3583334</v>
      </c>
      <c r="F9850" s="4" t="str">
        <f>IF(B9850=B9849,"",B9850)</f>
        <v>Santa Ana</v>
      </c>
    </row>
    <row r="9851" spans="1:6" ht="15.75" customHeight="1">
      <c r="A9851" s="6" t="s">
        <v>6754</v>
      </c>
      <c r="B9851" s="6" t="s">
        <v>6738</v>
      </c>
      <c r="C9851" s="6" t="s">
        <v>20470</v>
      </c>
      <c r="D9851" s="6" t="s">
        <v>20505</v>
      </c>
      <c r="E9851" s="2">
        <v>3929295</v>
      </c>
      <c r="F9851" s="4" t="str">
        <f>IF(B9851=B9850,"",B9851)</f>
        <v/>
      </c>
    </row>
    <row r="9852" spans="1:6" ht="15.75" customHeight="1">
      <c r="A9852" s="6" t="s">
        <v>6754</v>
      </c>
      <c r="B9852" s="6" t="s">
        <v>6738</v>
      </c>
      <c r="C9852" s="6" t="s">
        <v>20598</v>
      </c>
      <c r="D9852" s="6" t="s">
        <v>20599</v>
      </c>
      <c r="E9852" s="2">
        <v>1688398</v>
      </c>
      <c r="F9852" s="4" t="str">
        <f>IF(B9852=B9851,"",B9852)</f>
        <v/>
      </c>
    </row>
    <row r="9853" spans="1:6" ht="15.75" customHeight="1">
      <c r="A9853" s="6" t="s">
        <v>6754</v>
      </c>
      <c r="B9853" s="6" t="s">
        <v>6738</v>
      </c>
      <c r="C9853" s="6" t="s">
        <v>27788</v>
      </c>
      <c r="D9853" s="6" t="s">
        <v>27801</v>
      </c>
      <c r="E9853" s="2">
        <v>5392900</v>
      </c>
      <c r="F9853" s="4" t="str">
        <f>IF(B9853=B9852,"",B9853)</f>
        <v/>
      </c>
    </row>
    <row r="9854" spans="1:6" ht="15.75" customHeight="1">
      <c r="A9854" s="5" t="str">
        <f ca="1">IFERROR(__xludf.DUMMYFUNCTION("GOOGLETRANSLATE(B38363,""en"",""pt"")"),"Santa ana")</f>
        <v>Santa ana</v>
      </c>
      <c r="B9854" s="17" t="s">
        <v>6738</v>
      </c>
      <c r="C9854" s="17" t="s">
        <v>20470</v>
      </c>
      <c r="D9854" s="17" t="s">
        <v>20505</v>
      </c>
      <c r="E9854" s="10">
        <v>3929295</v>
      </c>
      <c r="F9854" s="4" t="str">
        <f>IF(B9854=B9853,"",B9854)</f>
        <v/>
      </c>
    </row>
    <row r="9855" spans="1:6" ht="15.75" customHeight="1">
      <c r="A9855" s="5" t="str">
        <f ca="1">IFERROR(__xludf.DUMMYFUNCTION("GOOGLETRANSLATE(B38494,""en"",""pt"")"),"Santa ana")</f>
        <v>Santa ana</v>
      </c>
      <c r="B9855" s="17" t="s">
        <v>6738</v>
      </c>
      <c r="C9855" s="17" t="s">
        <v>20598</v>
      </c>
      <c r="D9855" s="17" t="s">
        <v>20599</v>
      </c>
      <c r="E9855" s="10">
        <v>1688398</v>
      </c>
      <c r="F9855" s="4" t="str">
        <f>IF(B9855=B9854,"",B9855)</f>
        <v/>
      </c>
    </row>
    <row r="9856" spans="1:6" ht="15.75" customHeight="1">
      <c r="A9856" s="5" t="str">
        <f ca="1">IFERROR(__xludf.DUMMYFUNCTION("GOOGLETRANSLATE(B41363,""en"",""pt"")"),"Santa ana")</f>
        <v>Santa ana</v>
      </c>
      <c r="B9856" s="17" t="s">
        <v>6738</v>
      </c>
      <c r="C9856" s="17" t="s">
        <v>6727</v>
      </c>
      <c r="D9856" s="17" t="s">
        <v>6738</v>
      </c>
      <c r="E9856" s="10">
        <v>3583334</v>
      </c>
      <c r="F9856" s="4" t="str">
        <f>IF(B9856=B9855,"",B9856)</f>
        <v/>
      </c>
    </row>
    <row r="9857" spans="1:6" ht="15.75" customHeight="1">
      <c r="A9857" s="5" t="str">
        <f ca="1">IFERROR(__xludf.DUMMYFUNCTION("GOOGLETRANSLATE(B45020,""en"",""pt"")"),"Santa ana")</f>
        <v>Santa ana</v>
      </c>
      <c r="B9857" s="17" t="s">
        <v>6738</v>
      </c>
      <c r="C9857" s="17" t="s">
        <v>27788</v>
      </c>
      <c r="D9857" s="17" t="s">
        <v>27801</v>
      </c>
      <c r="E9857" s="10">
        <v>5392900</v>
      </c>
      <c r="F9857" s="4" t="str">
        <f>IF(B9857=B9856,"",B9857)</f>
        <v/>
      </c>
    </row>
    <row r="9858" spans="1:6" ht="15.75" customHeight="1">
      <c r="A9858" s="5" t="str">
        <f ca="1">IFERROR(__xludf.DUMMYFUNCTION("GOOGLETRANSLATE(B29277,""en"",""pt"")"),"Sant Vicenç dels Horts")</f>
        <v>Sant Vicenç dels Horts</v>
      </c>
      <c r="B9858" s="17" t="s">
        <v>32426</v>
      </c>
      <c r="C9858" s="17" t="s">
        <v>24200</v>
      </c>
      <c r="D9858" s="17" t="s">
        <v>24277</v>
      </c>
      <c r="E9858" s="10">
        <v>3109442</v>
      </c>
      <c r="F9858" s="4" t="str">
        <f>IF(B9858=B9857,"",B9858)</f>
        <v>Sant Vicenç dels Horts</v>
      </c>
    </row>
    <row r="9859" spans="1:6" ht="15.75" customHeight="1">
      <c r="A9859" s="5" t="s">
        <v>24798</v>
      </c>
      <c r="B9859" s="6" t="s">
        <v>24799</v>
      </c>
      <c r="C9859" s="5" t="s">
        <v>24200</v>
      </c>
      <c r="D9859" s="5" t="s">
        <v>24277</v>
      </c>
      <c r="E9859" s="2">
        <v>3109442</v>
      </c>
      <c r="F9859" s="4" t="str">
        <f>IF(B9859=B9858,"",B9859)</f>
        <v>Sant VicenÃ§ dels Horts</v>
      </c>
    </row>
    <row r="9860" spans="1:6" ht="15.75" customHeight="1">
      <c r="A9860" s="5" t="str">
        <f ca="1">IFERROR(__xludf.DUMMYFUNCTION("GOOGLETRANSLATE(B29288,""en"",""pt"")"),"Sant Quirze del Vallès")</f>
        <v>Sant Quirze del Vallès</v>
      </c>
      <c r="B9860" s="17" t="s">
        <v>32431</v>
      </c>
      <c r="C9860" s="17" t="s">
        <v>24200</v>
      </c>
      <c r="D9860" s="17" t="s">
        <v>24277</v>
      </c>
      <c r="E9860" s="10">
        <v>3110101</v>
      </c>
      <c r="F9860" s="4" t="str">
        <f>IF(B9860=B9859,"",B9860)</f>
        <v>Sant Quirze del Vallès</v>
      </c>
    </row>
    <row r="9861" spans="1:6" ht="15.75" customHeight="1">
      <c r="A9861" s="5" t="s">
        <v>24796</v>
      </c>
      <c r="B9861" s="6" t="s">
        <v>24797</v>
      </c>
      <c r="C9861" s="5" t="s">
        <v>24200</v>
      </c>
      <c r="D9861" s="5" t="s">
        <v>24277</v>
      </c>
      <c r="E9861" s="2">
        <v>3110101</v>
      </c>
      <c r="F9861" s="4" t="str">
        <f>IF(B9861=B9860,"",B9861)</f>
        <v>Sant Quirze del VallÃ¨s</v>
      </c>
    </row>
    <row r="9862" spans="1:6" ht="15.75" customHeight="1">
      <c r="A9862" s="5" t="s">
        <v>24795</v>
      </c>
      <c r="B9862" s="6" t="s">
        <v>24795</v>
      </c>
      <c r="C9862" s="5" t="s">
        <v>24200</v>
      </c>
      <c r="D9862" s="5" t="s">
        <v>24277</v>
      </c>
      <c r="E9862" s="2">
        <v>3110143</v>
      </c>
      <c r="F9862" s="4" t="str">
        <f>IF(B9862=B9861,"",B9862)</f>
        <v>Sant Pere de Ribes</v>
      </c>
    </row>
    <row r="9863" spans="1:6" ht="15.75" customHeight="1">
      <c r="A9863" s="5" t="str">
        <f ca="1">IFERROR(__xludf.DUMMYFUNCTION("GOOGLETRANSLATE(B29289,""en"",""pt"")"),"Sant Pere de Ribes")</f>
        <v>Sant Pere de Ribes</v>
      </c>
      <c r="B9863" s="17" t="s">
        <v>24795</v>
      </c>
      <c r="C9863" s="17" t="s">
        <v>24200</v>
      </c>
      <c r="D9863" s="17" t="s">
        <v>24277</v>
      </c>
      <c r="E9863" s="10">
        <v>3110143</v>
      </c>
      <c r="F9863" s="4" t="str">
        <f>IF(B9863=B9862,"",B9863)</f>
        <v/>
      </c>
    </row>
    <row r="9864" spans="1:6" ht="15.75" customHeight="1">
      <c r="A9864" s="5" t="str">
        <f ca="1">IFERROR(__xludf.DUMMYFUNCTION("GOOGLETRANSLATE(B29488,""en"",""pt"")"),"Sant Martí")</f>
        <v>Sant Martí</v>
      </c>
      <c r="B9864" s="17" t="s">
        <v>32479</v>
      </c>
      <c r="C9864" s="17" t="s">
        <v>24200</v>
      </c>
      <c r="D9864" s="17" t="s">
        <v>24277</v>
      </c>
      <c r="E9864" s="10">
        <v>6544105</v>
      </c>
      <c r="F9864" s="4" t="str">
        <f>IF(B9864=B9863,"",B9864)</f>
        <v>Sant Martí</v>
      </c>
    </row>
    <row r="9865" spans="1:6" ht="15.75" customHeight="1">
      <c r="A9865" s="5" t="s">
        <v>24793</v>
      </c>
      <c r="B9865" s="6" t="s">
        <v>24794</v>
      </c>
      <c r="C9865" s="5" t="s">
        <v>24200</v>
      </c>
      <c r="D9865" s="5" t="s">
        <v>24277</v>
      </c>
      <c r="E9865" s="2">
        <v>6544105</v>
      </c>
      <c r="F9865" s="4" t="str">
        <f>IF(B9865=B9864,"",B9865)</f>
        <v>Sant MartÃ­</v>
      </c>
    </row>
    <row r="9866" spans="1:6" ht="15.75" customHeight="1">
      <c r="A9866" s="5" t="s">
        <v>24791</v>
      </c>
      <c r="B9866" s="6" t="s">
        <v>24792</v>
      </c>
      <c r="C9866" s="5" t="s">
        <v>24200</v>
      </c>
      <c r="D9866" s="5" t="s">
        <v>24277</v>
      </c>
      <c r="E9866" s="2">
        <v>3109546</v>
      </c>
      <c r="F9866" s="4" t="str">
        <f>IF(B9866=B9865,"",B9866)</f>
        <v>Sant Just Desvern</v>
      </c>
    </row>
    <row r="9867" spans="1:6" ht="15.75" customHeight="1">
      <c r="A9867" s="5" t="str">
        <f ca="1">IFERROR(__xludf.DUMMYFUNCTION("GOOGLETRANSLATE(B29280,""en"",""pt"")"),"Sant apenas Desvern")</f>
        <v>Sant apenas Desvern</v>
      </c>
      <c r="B9867" s="17" t="s">
        <v>24792</v>
      </c>
      <c r="C9867" s="17" t="s">
        <v>24200</v>
      </c>
      <c r="D9867" s="17" t="s">
        <v>24277</v>
      </c>
      <c r="E9867" s="10">
        <v>3109546</v>
      </c>
      <c r="F9867" s="4" t="str">
        <f>IF(B9867=B9866,"",B9867)</f>
        <v/>
      </c>
    </row>
    <row r="9868" spans="1:6" ht="15.75" customHeight="1">
      <c r="A9868" s="5" t="str">
        <f ca="1">IFERROR(__xludf.DUMMYFUNCTION("GOOGLETRANSLATE(B29293,""en"",""pt"")"),"Sant Joan Despi")</f>
        <v>Sant Joan Despi</v>
      </c>
      <c r="B9868" s="17" t="s">
        <v>32433</v>
      </c>
      <c r="C9868" s="17" t="s">
        <v>24200</v>
      </c>
      <c r="D9868" s="17" t="s">
        <v>24277</v>
      </c>
      <c r="E9868" s="10">
        <v>3110519</v>
      </c>
      <c r="F9868" s="4" t="str">
        <f>IF(B9868=B9867,"",B9868)</f>
        <v>Sant Joan Despí</v>
      </c>
    </row>
    <row r="9869" spans="1:6" ht="15.75" customHeight="1">
      <c r="A9869" s="5" t="s">
        <v>24789</v>
      </c>
      <c r="B9869" s="6" t="s">
        <v>24790</v>
      </c>
      <c r="C9869" s="5" t="s">
        <v>24200</v>
      </c>
      <c r="D9869" s="5" t="s">
        <v>24277</v>
      </c>
      <c r="E9869" s="2">
        <v>3110519</v>
      </c>
      <c r="F9869" s="4" t="str">
        <f>IF(B9869=B9868,"",B9869)</f>
        <v>Sant Joan DespÃ­</v>
      </c>
    </row>
    <row r="9870" spans="1:6" ht="15.75" customHeight="1">
      <c r="A9870" s="5" t="s">
        <v>24788</v>
      </c>
      <c r="B9870" s="6" t="s">
        <v>24788</v>
      </c>
      <c r="C9870" s="5" t="s">
        <v>24200</v>
      </c>
      <c r="D9870" s="5" t="s">
        <v>24277</v>
      </c>
      <c r="E9870" s="2">
        <v>3110642</v>
      </c>
      <c r="F9870" s="4" t="str">
        <f>IF(B9870=B9869,"",B9870)</f>
        <v>Sant Feliu de Llobregat</v>
      </c>
    </row>
    <row r="9871" spans="1:6" ht="15.75" customHeight="1">
      <c r="A9871" s="5" t="str">
        <f ca="1">IFERROR(__xludf.DUMMYFUNCTION("GOOGLETRANSLATE(B29296,""en"",""pt"")"),"Sant Feliu de Llobregat")</f>
        <v>Sant Feliu de Llobregat</v>
      </c>
      <c r="B9871" s="17" t="s">
        <v>24788</v>
      </c>
      <c r="C9871" s="17" t="s">
        <v>24200</v>
      </c>
      <c r="D9871" s="17" t="s">
        <v>24277</v>
      </c>
      <c r="E9871" s="10">
        <v>3110642</v>
      </c>
      <c r="F9871" s="4" t="str">
        <f>IF(B9871=B9870,"",B9871)</f>
        <v/>
      </c>
    </row>
    <row r="9872" spans="1:6" ht="15.75" customHeight="1">
      <c r="A9872" s="5" t="str">
        <f ca="1">IFERROR(__xludf.DUMMYFUNCTION("GOOGLETRANSLATE(B29297,""en"",""pt"")"),"Sant Feliu de Guíxols")</f>
        <v>Sant Feliu de Guíxols</v>
      </c>
      <c r="B9872" s="17" t="s">
        <v>32434</v>
      </c>
      <c r="C9872" s="17" t="s">
        <v>24200</v>
      </c>
      <c r="D9872" s="17" t="s">
        <v>24277</v>
      </c>
      <c r="E9872" s="10">
        <v>3110643</v>
      </c>
      <c r="F9872" s="4" t="str">
        <f>IF(B9872=B9871,"",B9872)</f>
        <v>Sant Feliu de Guíxols</v>
      </c>
    </row>
    <row r="9873" spans="1:6" ht="15.75" customHeight="1">
      <c r="A9873" s="5" t="s">
        <v>24786</v>
      </c>
      <c r="B9873" s="6" t="s">
        <v>24787</v>
      </c>
      <c r="C9873" s="5" t="s">
        <v>24200</v>
      </c>
      <c r="D9873" s="5" t="s">
        <v>24277</v>
      </c>
      <c r="E9873" s="2">
        <v>3110643</v>
      </c>
      <c r="F9873" s="4" t="str">
        <f>IF(B9873=B9872,"",B9873)</f>
        <v>Sant Feliu de GuÃ­xols</v>
      </c>
    </row>
    <row r="9874" spans="1:6" ht="15.75" customHeight="1">
      <c r="A9874" s="5" t="str">
        <f ca="1">IFERROR(__xludf.DUMMYFUNCTION("GOOGLETRANSLATE(B29298,""en"",""pt"")"),"Sant Cugat del Vallès")</f>
        <v>Sant Cugat del Vallès</v>
      </c>
      <c r="B9874" s="17" t="s">
        <v>32435</v>
      </c>
      <c r="C9874" s="17" t="s">
        <v>24200</v>
      </c>
      <c r="D9874" s="17" t="s">
        <v>24277</v>
      </c>
      <c r="E9874" s="10">
        <v>3110718</v>
      </c>
      <c r="F9874" s="4" t="str">
        <f>IF(B9874=B9873,"",B9874)</f>
        <v>Sant Cugat del Vallès</v>
      </c>
    </row>
    <row r="9875" spans="1:6" ht="15.75" customHeight="1">
      <c r="A9875" s="5" t="s">
        <v>24784</v>
      </c>
      <c r="B9875" s="6" t="s">
        <v>24785</v>
      </c>
      <c r="C9875" s="5" t="s">
        <v>24200</v>
      </c>
      <c r="D9875" s="5" t="s">
        <v>24277</v>
      </c>
      <c r="E9875" s="2">
        <v>3110718</v>
      </c>
      <c r="F9875" s="4" t="str">
        <f>IF(B9875=B9874,"",B9875)</f>
        <v>Sant Cugat del VallÃ¨s</v>
      </c>
    </row>
    <row r="9876" spans="1:6" ht="15.75" customHeight="1">
      <c r="A9876" s="5" t="s">
        <v>24783</v>
      </c>
      <c r="B9876" s="6" t="s">
        <v>24783</v>
      </c>
      <c r="C9876" s="5" t="s">
        <v>24200</v>
      </c>
      <c r="D9876" s="5" t="s">
        <v>24277</v>
      </c>
      <c r="E9876" s="2">
        <v>3110813</v>
      </c>
      <c r="F9876" s="4" t="str">
        <f>IF(B9876=B9875,"",B9876)</f>
        <v>Sant Celoni</v>
      </c>
    </row>
    <row r="9877" spans="1:6" ht="15.75" customHeight="1">
      <c r="A9877" s="5" t="str">
        <f ca="1">IFERROR(__xludf.DUMMYFUNCTION("GOOGLETRANSLATE(B29299,""en"",""pt"")"),"Sant Celoni")</f>
        <v>Sant Celoni</v>
      </c>
      <c r="B9877" s="17" t="s">
        <v>24783</v>
      </c>
      <c r="C9877" s="17" t="s">
        <v>24200</v>
      </c>
      <c r="D9877" s="17" t="s">
        <v>24277</v>
      </c>
      <c r="E9877" s="10">
        <v>3110813</v>
      </c>
      <c r="F9877" s="4" t="str">
        <f>IF(B9877=B9876,"",B9877)</f>
        <v/>
      </c>
    </row>
    <row r="9878" spans="1:6" ht="15.75" customHeight="1">
      <c r="A9878" s="5" t="str">
        <f ca="1">IFERROR(__xludf.DUMMYFUNCTION("GOOGLETRANSLATE(B29300,""en"",""pt"")"),"Sant Carles de la Ràpita")</f>
        <v>Sant Carles de la Ràpita</v>
      </c>
      <c r="B9878" s="17" t="s">
        <v>32436</v>
      </c>
      <c r="C9878" s="17" t="s">
        <v>24200</v>
      </c>
      <c r="D9878" s="17" t="s">
        <v>24277</v>
      </c>
      <c r="E9878" s="10">
        <v>3110821</v>
      </c>
      <c r="F9878" s="4" t="str">
        <f>IF(B9878=B9877,"",B9878)</f>
        <v>Sant Carles de la Ràpita</v>
      </c>
    </row>
    <row r="9879" spans="1:6" ht="15.75" customHeight="1">
      <c r="A9879" s="5" t="s">
        <v>24781</v>
      </c>
      <c r="B9879" s="6" t="s">
        <v>24782</v>
      </c>
      <c r="C9879" s="5" t="s">
        <v>24200</v>
      </c>
      <c r="D9879" s="5" t="s">
        <v>24277</v>
      </c>
      <c r="E9879" s="2">
        <v>3110821</v>
      </c>
      <c r="F9879" s="4" t="str">
        <f>IF(B9879=B9878,"",B9879)</f>
        <v>Sant Carles de la RÃ pita</v>
      </c>
    </row>
    <row r="9880" spans="1:6" ht="15.75" customHeight="1">
      <c r="A9880" s="5" t="s">
        <v>24780</v>
      </c>
      <c r="B9880" s="6" t="s">
        <v>24780</v>
      </c>
      <c r="C9880" s="5" t="s">
        <v>24200</v>
      </c>
      <c r="D9880" s="5" t="s">
        <v>24277</v>
      </c>
      <c r="E9880" s="2">
        <v>3110834</v>
      </c>
      <c r="F9880" s="4" t="str">
        <f>IF(B9880=B9879,"",B9880)</f>
        <v>Sant Boi de Llobregat</v>
      </c>
    </row>
    <row r="9881" spans="1:6" ht="15.75" customHeight="1">
      <c r="A9881" s="5" t="str">
        <f ca="1">IFERROR(__xludf.DUMMYFUNCTION("GOOGLETRANSLATE(B29301,""en"",""pt"")"),"Sant Boi de Llobregat")</f>
        <v>Sant Boi de Llobregat</v>
      </c>
      <c r="B9881" s="17" t="s">
        <v>24780</v>
      </c>
      <c r="C9881" s="17" t="s">
        <v>24200</v>
      </c>
      <c r="D9881" s="17" t="s">
        <v>24277</v>
      </c>
      <c r="E9881" s="10">
        <v>3110834</v>
      </c>
      <c r="F9881" s="4" t="str">
        <f>IF(B9881=B9880,"",B9881)</f>
        <v/>
      </c>
    </row>
    <row r="9882" spans="1:6" ht="15.75" customHeight="1">
      <c r="A9882" s="5" t="s">
        <v>24779</v>
      </c>
      <c r="B9882" s="6" t="s">
        <v>24779</v>
      </c>
      <c r="C9882" s="5" t="s">
        <v>24200</v>
      </c>
      <c r="D9882" s="5" t="s">
        <v>24236</v>
      </c>
      <c r="E9882" s="2">
        <v>2511448</v>
      </c>
      <c r="F9882" s="4" t="str">
        <f>IF(B9882=B9881,"",B9882)</f>
        <v>Sant Antoni de Portmany</v>
      </c>
    </row>
    <row r="9883" spans="1:6" ht="15.75" customHeight="1">
      <c r="A9883" s="5" t="str">
        <f ca="1">IFERROR(__xludf.DUMMYFUNCTION("GOOGLETRANSLATE(B29006,""en"",""pt"")"),"Sant Antoni de Portmany")</f>
        <v>Sant Antoni de Portmany</v>
      </c>
      <c r="B9883" s="17" t="s">
        <v>24779</v>
      </c>
      <c r="C9883" s="17" t="s">
        <v>24200</v>
      </c>
      <c r="D9883" s="17" t="s">
        <v>24236</v>
      </c>
      <c r="E9883" s="10">
        <v>2511448</v>
      </c>
      <c r="F9883" s="4" t="str">
        <f>IF(B9883=B9882,"",B9883)</f>
        <v/>
      </c>
    </row>
    <row r="9884" spans="1:6" ht="15.75" customHeight="1">
      <c r="A9884" s="5" t="s">
        <v>24778</v>
      </c>
      <c r="B9884" s="6" t="s">
        <v>24778</v>
      </c>
      <c r="C9884" s="5" t="s">
        <v>24200</v>
      </c>
      <c r="D9884" s="5" t="s">
        <v>24277</v>
      </c>
      <c r="E9884" s="2">
        <v>3110876</v>
      </c>
      <c r="F9884" s="4" t="str">
        <f>IF(B9884=B9883,"",B9884)</f>
        <v>Sant Andreu de Palomar</v>
      </c>
    </row>
    <row r="9885" spans="1:6" ht="15.75" customHeight="1">
      <c r="A9885" s="5" t="str">
        <f ca="1">IFERROR(__xludf.DUMMYFUNCTION("GOOGLETRANSLATE(B29302,""en"",""pt"")"),"Sant Andreu de Palomar")</f>
        <v>Sant Andreu de Palomar</v>
      </c>
      <c r="B9885" s="17" t="s">
        <v>24778</v>
      </c>
      <c r="C9885" s="17" t="s">
        <v>24200</v>
      </c>
      <c r="D9885" s="17" t="s">
        <v>24277</v>
      </c>
      <c r="E9885" s="10">
        <v>3110876</v>
      </c>
      <c r="F9885" s="4" t="str">
        <f>IF(B9885=B9884,"",B9885)</f>
        <v/>
      </c>
    </row>
    <row r="9886" spans="1:6" ht="15.75" customHeight="1">
      <c r="A9886" s="5" t="s">
        <v>24777</v>
      </c>
      <c r="B9886" s="6" t="s">
        <v>24777</v>
      </c>
      <c r="C9886" s="5" t="s">
        <v>24200</v>
      </c>
      <c r="D9886" s="5" t="s">
        <v>24277</v>
      </c>
      <c r="E9886" s="2">
        <v>3110885</v>
      </c>
      <c r="F9886" s="4" t="str">
        <f>IF(B9886=B9885,"",B9886)</f>
        <v>Sant Andreu de la Barca</v>
      </c>
    </row>
    <row r="9887" spans="1:6" ht="15.75" customHeight="1">
      <c r="A9887" s="5" t="str">
        <f ca="1">IFERROR(__xludf.DUMMYFUNCTION("GOOGLETRANSLATE(B29304,""en"",""pt"")"),"Sant Andreu de la Barca")</f>
        <v>Sant Andreu de la Barca</v>
      </c>
      <c r="B9887" s="17" t="s">
        <v>24777</v>
      </c>
      <c r="C9887" s="17" t="s">
        <v>24200</v>
      </c>
      <c r="D9887" s="17" t="s">
        <v>24277</v>
      </c>
      <c r="E9887" s="10">
        <v>3110885</v>
      </c>
      <c r="F9887" s="4" t="str">
        <f>IF(B9887=B9886,"",B9887)</f>
        <v/>
      </c>
    </row>
    <row r="9888" spans="1:6" ht="15.75" customHeight="1">
      <c r="A9888" s="5" t="s">
        <v>24775</v>
      </c>
      <c r="B9888" s="6" t="s">
        <v>24776</v>
      </c>
      <c r="C9888" s="5" t="s">
        <v>24200</v>
      </c>
      <c r="D9888" s="5" t="s">
        <v>24277</v>
      </c>
      <c r="E9888" s="2">
        <v>3110921</v>
      </c>
      <c r="F9888" s="4" t="str">
        <f>IF(B9888=B9887,"",B9888)</f>
        <v>Sant AdriÃ  de BesÃ²s</v>
      </c>
    </row>
    <row r="9889" spans="1:6" ht="15.75" customHeight="1">
      <c r="A9889" s="5" t="str">
        <f ca="1">IFERROR(__xludf.DUMMYFUNCTION("GOOGLETRANSLATE(B29305,""en"",""pt"")"),"Sant Adrià de Besòs")</f>
        <v>Sant Adrià de Besòs</v>
      </c>
      <c r="B9889" s="17" t="s">
        <v>32438</v>
      </c>
      <c r="C9889" s="17" t="s">
        <v>24200</v>
      </c>
      <c r="D9889" s="17" t="s">
        <v>24277</v>
      </c>
      <c r="E9889" s="10">
        <v>3110921</v>
      </c>
      <c r="F9889" s="4" t="str">
        <f>IF(B9889=B9888,"",B9889)</f>
        <v>Sant Adrià de Besòs</v>
      </c>
    </row>
    <row r="9890" spans="1:6" ht="15.75" customHeight="1">
      <c r="A9890" s="6" t="s">
        <v>5041</v>
      </c>
      <c r="B9890" s="6" t="s">
        <v>5041</v>
      </c>
      <c r="C9890" s="6" t="s">
        <v>4487</v>
      </c>
      <c r="D9890" s="6" t="s">
        <v>4492</v>
      </c>
      <c r="E9890" s="2">
        <v>1789273</v>
      </c>
      <c r="F9890" s="4" t="str">
        <f>IF(B9890=B9889,"",B9890)</f>
        <v>Sanshui</v>
      </c>
    </row>
    <row r="9891" spans="1:6" ht="15.75" customHeight="1">
      <c r="A9891" s="5" t="str">
        <f ca="1">IFERROR(__xludf.DUMMYFUNCTION("GOOGLETRANSLATE(B26177,""en"",""pt"")"),"Sanshui")</f>
        <v>Sanshui</v>
      </c>
      <c r="B9891" s="17" t="s">
        <v>5041</v>
      </c>
      <c r="C9891" s="17" t="s">
        <v>4487</v>
      </c>
      <c r="D9891" s="17" t="s">
        <v>4492</v>
      </c>
      <c r="E9891" s="10">
        <v>1789273</v>
      </c>
      <c r="F9891" s="4" t="str">
        <f>IF(B9891=B9890,"",B9891)</f>
        <v/>
      </c>
    </row>
    <row r="9892" spans="1:6" ht="15.75" customHeight="1">
      <c r="A9892" s="5" t="str">
        <f ca="1">IFERROR(__xludf.DUMMYFUNCTION("GOOGLETRANSLATE(B41501,""en"",""pt"")"),"Sansanné-Mango")</f>
        <v>Sansanné-Mango</v>
      </c>
      <c r="B9892" s="17" t="s">
        <v>35779</v>
      </c>
      <c r="C9892" s="17" t="s">
        <v>26038</v>
      </c>
      <c r="D9892" s="17" t="s">
        <v>15627</v>
      </c>
      <c r="E9892" s="10">
        <v>2365190</v>
      </c>
      <c r="F9892" s="4" t="str">
        <f>IF(B9892=B9891,"",B9892)</f>
        <v>Sansanné-Mango</v>
      </c>
    </row>
    <row r="9893" spans="1:6" ht="15.75" customHeight="1">
      <c r="A9893" s="5" t="s">
        <v>26055</v>
      </c>
      <c r="B9893" s="6" t="s">
        <v>26056</v>
      </c>
      <c r="C9893" s="5" t="s">
        <v>26038</v>
      </c>
      <c r="D9893" s="5" t="s">
        <v>15627</v>
      </c>
      <c r="E9893" s="2">
        <v>2365190</v>
      </c>
      <c r="F9893" s="4" t="str">
        <f>IF(B9893=B9892,"",B9893)</f>
        <v>SansannÃ©-Mango</v>
      </c>
    </row>
    <row r="9894" spans="1:6" ht="15.75" customHeight="1">
      <c r="A9894" s="5" t="str">
        <f ca="1">IFERROR(__xludf.DUMMYFUNCTION("GOOGLETRANSLATE(B25836,""en"",""pt"")"),"Sao Pedro")</f>
        <v>Sao Pedro</v>
      </c>
      <c r="B9894" s="17" t="s">
        <v>31783</v>
      </c>
      <c r="C9894" s="17" t="s">
        <v>15586</v>
      </c>
      <c r="D9894" s="17" t="s">
        <v>15664</v>
      </c>
      <c r="E9894" s="10">
        <v>2282006</v>
      </c>
      <c r="F9894" s="4" t="str">
        <f>IF(B9894=B9893,"",B9894)</f>
        <v>San-Pédro</v>
      </c>
    </row>
    <row r="9895" spans="1:6" ht="15.75" customHeight="1">
      <c r="A9895" s="5" t="s">
        <v>15662</v>
      </c>
      <c r="B9895" s="6" t="s">
        <v>15663</v>
      </c>
      <c r="C9895" s="5" t="s">
        <v>15586</v>
      </c>
      <c r="D9895" s="5" t="s">
        <v>15664</v>
      </c>
      <c r="E9895" s="2">
        <v>2282006</v>
      </c>
      <c r="F9895" s="4" t="str">
        <f>IF(B9895=B9894,"",B9895)</f>
        <v>San-PÃ©dro</v>
      </c>
    </row>
    <row r="9896" spans="1:6" ht="15.75" customHeight="1">
      <c r="A9896" s="6" t="s">
        <v>21483</v>
      </c>
      <c r="B9896" s="6" t="s">
        <v>21483</v>
      </c>
      <c r="C9896" s="6" t="s">
        <v>21064</v>
      </c>
      <c r="D9896" s="6" t="s">
        <v>21083</v>
      </c>
      <c r="E9896" s="2">
        <v>759591</v>
      </c>
      <c r="F9896" s="4" t="str">
        <f>IF(B9896=B9895,"",B9896)</f>
        <v>Sanok</v>
      </c>
    </row>
    <row r="9897" spans="1:6" ht="15.75" customHeight="1">
      <c r="A9897" s="5" t="str">
        <f ca="1">IFERROR(__xludf.DUMMYFUNCTION("GOOGLETRANSLATE(B39210,""en"",""pt"")"),"Sanok")</f>
        <v>Sanok</v>
      </c>
      <c r="B9897" s="17" t="s">
        <v>21483</v>
      </c>
      <c r="C9897" s="17" t="s">
        <v>21064</v>
      </c>
      <c r="D9897" s="17" t="s">
        <v>21083</v>
      </c>
      <c r="E9897" s="10">
        <v>759591</v>
      </c>
      <c r="F9897" s="4" t="str">
        <f>IF(B9897=B9896,"",B9897)</f>
        <v/>
      </c>
    </row>
    <row r="9898" spans="1:6" ht="15.75" customHeight="1">
      <c r="A9898" s="6" t="s">
        <v>16384</v>
      </c>
      <c r="B9898" s="6" t="s">
        <v>16384</v>
      </c>
      <c r="C9898" s="6" t="s">
        <v>15704</v>
      </c>
      <c r="D9898" s="6" t="s">
        <v>15799</v>
      </c>
      <c r="E9898" s="2">
        <v>1852964</v>
      </c>
      <c r="F9898" s="4" t="str">
        <f>IF(B9898=B9897,"",B9898)</f>
        <v>Sano</v>
      </c>
    </row>
    <row r="9899" spans="1:6" ht="15.75" customHeight="1">
      <c r="A9899" s="5" t="str">
        <f ca="1">IFERROR(__xludf.DUMMYFUNCTION("GOOGLETRANSLATE(B35316,""en"",""pt"")"),"Sano")</f>
        <v>Sano</v>
      </c>
      <c r="B9899" s="17" t="s">
        <v>16384</v>
      </c>
      <c r="C9899" s="17" t="s">
        <v>15704</v>
      </c>
      <c r="D9899" s="17" t="s">
        <v>15799</v>
      </c>
      <c r="E9899" s="10">
        <v>1852964</v>
      </c>
      <c r="F9899" s="4" t="str">
        <f>IF(B9899=B9898,"",B9899)</f>
        <v/>
      </c>
    </row>
    <row r="9900" spans="1:6" ht="15.75" customHeight="1">
      <c r="A9900" s="6" t="s">
        <v>7808</v>
      </c>
      <c r="B9900" s="6" t="s">
        <v>7808</v>
      </c>
      <c r="C9900" s="6" t="s">
        <v>7052</v>
      </c>
      <c r="D9900" s="6" t="s">
        <v>7058</v>
      </c>
      <c r="E9900" s="2">
        <v>2976179</v>
      </c>
      <c r="F9900" s="4" t="str">
        <f>IF(B9900=B9899,"",B9900)</f>
        <v>Sannois</v>
      </c>
    </row>
    <row r="9901" spans="1:6" ht="15.75" customHeight="1">
      <c r="A9901" s="5" t="str">
        <f ca="1">IFERROR(__xludf.DUMMYFUNCTION("GOOGLETRANSLATE(B29769,""en"",""pt"")"),"Sannois")</f>
        <v>Sannois</v>
      </c>
      <c r="B9901" s="17" t="s">
        <v>7808</v>
      </c>
      <c r="C9901" s="17" t="s">
        <v>7052</v>
      </c>
      <c r="D9901" s="17" t="s">
        <v>32531</v>
      </c>
      <c r="E9901" s="10">
        <v>2976179</v>
      </c>
      <c r="F9901" s="4" t="str">
        <f>IF(B9901=B9900,"",B9901)</f>
        <v/>
      </c>
    </row>
    <row r="9902" spans="1:6" ht="15.75" customHeight="1">
      <c r="A9902" s="5" t="s">
        <v>15465</v>
      </c>
      <c r="B9902" s="6" t="s">
        <v>15465</v>
      </c>
      <c r="C9902" s="5" t="s">
        <v>14891</v>
      </c>
      <c r="D9902" s="5" t="s">
        <v>14908</v>
      </c>
      <c r="E9902" s="2">
        <v>3167940</v>
      </c>
      <c r="F9902" s="4" t="str">
        <f>IF(B9902=B9901,"",B9902)</f>
        <v>Sannicandro Garganico</v>
      </c>
    </row>
    <row r="9903" spans="1:6" ht="15.75" customHeight="1">
      <c r="A9903" s="5" t="str">
        <f ca="1">IFERROR(__xludf.DUMMYFUNCTION("GOOGLETRANSLATE(B34713,""en"",""pt"")"),"Sannicandro Garganico")</f>
        <v>Sannicandro Garganico</v>
      </c>
      <c r="B9903" s="17" t="s">
        <v>15465</v>
      </c>
      <c r="C9903" s="17" t="s">
        <v>14891</v>
      </c>
      <c r="D9903" s="17" t="s">
        <v>14908</v>
      </c>
      <c r="E9903" s="10">
        <v>3167940</v>
      </c>
      <c r="F9903" s="4" t="str">
        <f>IF(B9903=B9902,"",B9903)</f>
        <v/>
      </c>
    </row>
    <row r="9904" spans="1:6" ht="15.75" customHeight="1">
      <c r="A9904" s="6" t="s">
        <v>5040</v>
      </c>
      <c r="B9904" s="6" t="s">
        <v>5040</v>
      </c>
      <c r="C9904" s="6" t="s">
        <v>4487</v>
      </c>
      <c r="D9904" s="6" t="s">
        <v>4591</v>
      </c>
      <c r="E9904" s="2">
        <v>1796663</v>
      </c>
      <c r="F9904" s="4" t="str">
        <f>IF(B9904=B9903,"",B9904)</f>
        <v>Sanming</v>
      </c>
    </row>
    <row r="9905" spans="1:6" ht="15.75" customHeight="1">
      <c r="A9905" s="5" t="str">
        <f ca="1">IFERROR(__xludf.DUMMYFUNCTION("GOOGLETRANSLATE(B26287,""en"",""pt"")"),"Sanming")</f>
        <v>Sanming</v>
      </c>
      <c r="B9905" s="17" t="s">
        <v>5040</v>
      </c>
      <c r="C9905" s="17" t="s">
        <v>4487</v>
      </c>
      <c r="D9905" s="17" t="s">
        <v>4591</v>
      </c>
      <c r="E9905" s="10">
        <v>1796663</v>
      </c>
      <c r="F9905" s="4" t="str">
        <f>IF(B9905=B9904,"",B9905)</f>
        <v/>
      </c>
    </row>
    <row r="9906" spans="1:6" ht="15.75" customHeight="1">
      <c r="A9906" s="5" t="str">
        <f ca="1">IFERROR(__xludf.DUMMYFUNCTION("GOOGLETRANSLATE(B28997,""en"",""pt"")"),"Sanlúcar de Barreda")</f>
        <v>Sanlúcar de Barreda</v>
      </c>
      <c r="B9906" s="17" t="s">
        <v>32359</v>
      </c>
      <c r="C9906" s="17" t="s">
        <v>24200</v>
      </c>
      <c r="D9906" s="17" t="s">
        <v>24205</v>
      </c>
      <c r="E9906" s="10">
        <v>2511306</v>
      </c>
      <c r="F9906" s="4" t="str">
        <f>IF(B9906=B9905,"",B9906)</f>
        <v>Sanlúcar de Barrameda</v>
      </c>
    </row>
    <row r="9907" spans="1:6" ht="15.75" customHeight="1">
      <c r="A9907" s="5" t="str">
        <f ca="1">IFERROR(__xludf.DUMMYFUNCTION("GOOGLETRANSLATE(B41879,""en"",""pt"")"),"Şanlıurfa")</f>
        <v>Şanlıurfa</v>
      </c>
      <c r="B9907" s="17" t="s">
        <v>35822</v>
      </c>
      <c r="C9907" s="17" t="s">
        <v>26201</v>
      </c>
      <c r="D9907" s="17" t="s">
        <v>35822</v>
      </c>
      <c r="E9907" s="10">
        <v>298333</v>
      </c>
      <c r="F9907" s="4" t="str">
        <f>IF(B9907=B9906,"",B9907)</f>
        <v>Şanlıurfa</v>
      </c>
    </row>
    <row r="9908" spans="1:6" ht="15.75" customHeight="1">
      <c r="A9908" s="5" t="s">
        <v>24773</v>
      </c>
      <c r="B9908" s="6" t="s">
        <v>24774</v>
      </c>
      <c r="C9908" s="5" t="s">
        <v>24200</v>
      </c>
      <c r="D9908" s="5" t="s">
        <v>24205</v>
      </c>
      <c r="E9908" s="2">
        <v>2511306</v>
      </c>
      <c r="F9908" s="4" t="str">
        <f>IF(B9908=B9907,"",B9908)</f>
        <v>SanlÃºcar de Barrameda</v>
      </c>
    </row>
    <row r="9909" spans="1:6" ht="15.75" customHeight="1">
      <c r="A9909" s="5" t="s">
        <v>9079</v>
      </c>
      <c r="B9909" s="6" t="s">
        <v>9079</v>
      </c>
      <c r="C9909" s="5" t="s">
        <v>8028</v>
      </c>
      <c r="D9909" s="5" t="s">
        <v>8177</v>
      </c>
      <c r="E9909" s="2">
        <v>2841463</v>
      </c>
      <c r="F9909" s="4" t="str">
        <f>IF(B9909=B9908,"",B9909)</f>
        <v>Sankt Wendel</v>
      </c>
    </row>
    <row r="9910" spans="1:6" ht="15.75" customHeight="1">
      <c r="A9910" s="5" t="str">
        <f ca="1">IFERROR(__xludf.DUMMYFUNCTION("GOOGLETRANSLATE(B27576,""en"",""pt"")"),"Sankt Wendel")</f>
        <v>Sankt Wendel</v>
      </c>
      <c r="B9910" s="17" t="s">
        <v>9079</v>
      </c>
      <c r="C9910" s="17" t="s">
        <v>8028</v>
      </c>
      <c r="D9910" s="17" t="s">
        <v>8177</v>
      </c>
      <c r="E9910" s="10">
        <v>2841463</v>
      </c>
      <c r="F9910" s="4" t="str">
        <f>IF(B9910=B9909,"",B9910)</f>
        <v/>
      </c>
    </row>
    <row r="9911" spans="1:6" ht="15.75" customHeight="1">
      <c r="A9911" s="5" t="str">
        <f ca="1">IFERROR(__xludf.DUMMYFUNCTION("GOOGLETRANSLATE(B23384,""en"",""pt"")"),"Sankt Pölten")</f>
        <v>Sankt Pölten</v>
      </c>
      <c r="B9911" s="17" t="s">
        <v>31222</v>
      </c>
      <c r="C9911" s="17" t="s">
        <v>1117</v>
      </c>
      <c r="D9911" s="17" t="s">
        <v>1118</v>
      </c>
      <c r="E9911" s="10">
        <v>2766429</v>
      </c>
      <c r="F9911" s="4" t="str">
        <f>IF(B9911=B9910,"",B9911)</f>
        <v>Sankt Pölten</v>
      </c>
    </row>
    <row r="9912" spans="1:6" ht="15.75" customHeight="1">
      <c r="A9912" s="5" t="s">
        <v>1151</v>
      </c>
      <c r="B9912" s="6" t="s">
        <v>1152</v>
      </c>
      <c r="C9912" s="5" t="s">
        <v>1117</v>
      </c>
      <c r="D9912" s="5" t="s">
        <v>1118</v>
      </c>
      <c r="E9912" s="2">
        <v>2766429</v>
      </c>
      <c r="F9912" s="4" t="str">
        <f>IF(B9912=B9911,"",B9912)</f>
        <v>Sankt PÃ¶lten</v>
      </c>
    </row>
    <row r="9913" spans="1:6" ht="15.75" customHeight="1">
      <c r="A9913" s="5" t="s">
        <v>9078</v>
      </c>
      <c r="B9913" s="6" t="s">
        <v>9078</v>
      </c>
      <c r="C9913" s="5" t="s">
        <v>8028</v>
      </c>
      <c r="D9913" s="5" t="s">
        <v>8177</v>
      </c>
      <c r="E9913" s="2">
        <v>2841590</v>
      </c>
      <c r="F9913" s="4" t="str">
        <f>IF(B9913=B9912,"",B9913)</f>
        <v>Sankt Ingbert</v>
      </c>
    </row>
    <row r="9914" spans="1:6" ht="15.75" customHeight="1">
      <c r="A9914" s="5" t="str">
        <f ca="1">IFERROR(__xludf.DUMMYFUNCTION("GOOGLETRANSLATE(B27577,""en"",""pt"")"),"Sankt Ingbert")</f>
        <v>Sankt Ingbert</v>
      </c>
      <c r="B9914" s="17" t="s">
        <v>9078</v>
      </c>
      <c r="C9914" s="17" t="s">
        <v>8028</v>
      </c>
      <c r="D9914" s="17" t="s">
        <v>8177</v>
      </c>
      <c r="E9914" s="10">
        <v>2841590</v>
      </c>
      <c r="F9914" s="4" t="str">
        <f>IF(B9914=B9913,"",B9914)</f>
        <v/>
      </c>
    </row>
    <row r="9915" spans="1:6" ht="15.75" customHeight="1">
      <c r="A9915" s="5" t="s">
        <v>25306</v>
      </c>
      <c r="B9915" s="6" t="s">
        <v>25306</v>
      </c>
      <c r="C9915" s="5" t="s">
        <v>25237</v>
      </c>
      <c r="D9915" s="5" t="s">
        <v>25268</v>
      </c>
      <c r="E9915" s="2">
        <v>2658822</v>
      </c>
      <c r="F9915" s="4" t="str">
        <f>IF(B9915=B9914,"",B9915)</f>
        <v>Sankt Gallen</v>
      </c>
    </row>
    <row r="9916" spans="1:6" ht="15.75" customHeight="1">
      <c r="A9916" s="5" t="str">
        <f ca="1">IFERROR(__xludf.DUMMYFUNCTION("GOOGLETRANSLATE(B25757,""en"",""pt"")"),"Sankt Gallen")</f>
        <v>Sankt Gallen</v>
      </c>
      <c r="B9916" s="17" t="s">
        <v>25306</v>
      </c>
      <c r="C9916" s="17" t="s">
        <v>25237</v>
      </c>
      <c r="D9916" s="17" t="s">
        <v>25268</v>
      </c>
      <c r="E9916" s="10">
        <v>2658822</v>
      </c>
      <c r="F9916" s="4" t="str">
        <f>IF(B9916=B9915,"",B9916)</f>
        <v/>
      </c>
    </row>
    <row r="9917" spans="1:6" ht="15.75" customHeight="1">
      <c r="A9917" s="5" t="s">
        <v>9077</v>
      </c>
      <c r="B9917" s="6" t="s">
        <v>9077</v>
      </c>
      <c r="C9917" s="5" t="s">
        <v>8028</v>
      </c>
      <c r="D9917" s="5" t="s">
        <v>8029</v>
      </c>
      <c r="E9917" s="2">
        <v>2841648</v>
      </c>
      <c r="F9917" s="4" t="str">
        <f>IF(B9917=B9916,"",B9917)</f>
        <v>Sankt Augustin</v>
      </c>
    </row>
    <row r="9918" spans="1:6" ht="15.75" customHeight="1">
      <c r="A9918" s="5" t="str">
        <f ca="1">IFERROR(__xludf.DUMMYFUNCTION("GOOGLETRANSLATE(B27578,""en"",""pt"")"),"Sankt Augustin")</f>
        <v>Sankt Augustin</v>
      </c>
      <c r="B9918" s="17" t="s">
        <v>9077</v>
      </c>
      <c r="C9918" s="17" t="s">
        <v>8028</v>
      </c>
      <c r="D9918" s="17" t="s">
        <v>8029</v>
      </c>
      <c r="E9918" s="10">
        <v>2841648</v>
      </c>
      <c r="F9918" s="4" t="str">
        <f>IF(B9918=B9917,"",B9918)</f>
        <v/>
      </c>
    </row>
    <row r="9919" spans="1:6" ht="15.75" customHeight="1">
      <c r="A9919" s="5" t="str">
        <f ca="1">IFERROR(__xludf.DUMMYFUNCTION("GOOGLETRANSLATE(B32239,""en"",""pt"")"),"Sānkrāil")</f>
        <v>Sānkrāil</v>
      </c>
      <c r="B9919" s="17" t="s">
        <v>33115</v>
      </c>
      <c r="C9919" s="17" t="s">
        <v>10178</v>
      </c>
      <c r="D9919" s="17" t="s">
        <v>10201</v>
      </c>
      <c r="E9919" s="10">
        <v>1257354</v>
      </c>
      <c r="F9919" s="4" t="str">
        <f>IF(B9919=B9918,"",B9919)</f>
        <v>Sānkrāil</v>
      </c>
    </row>
    <row r="9920" spans="1:6" ht="15.75" customHeight="1">
      <c r="A9920" s="5" t="s">
        <v>13238</v>
      </c>
      <c r="B9920" s="6" t="s">
        <v>13238</v>
      </c>
      <c r="C9920" s="5" t="s">
        <v>10178</v>
      </c>
      <c r="D9920" s="5" t="s">
        <v>10252</v>
      </c>
      <c r="E9920" s="2">
        <v>1257369</v>
      </c>
      <c r="F9920" s="4" t="str">
        <f>IF(B9920=B9919,"",B9920)</f>
        <v>Sankeshwar</v>
      </c>
    </row>
    <row r="9921" spans="1:6" ht="15.75" customHeight="1">
      <c r="A9921" s="5" t="str">
        <f ca="1">IFERROR(__xludf.DUMMYFUNCTION("GOOGLETRANSLATE(B32240,""en"",""pt"")"),"Sankeshwar")</f>
        <v>Sankeshwar</v>
      </c>
      <c r="B9921" s="17" t="s">
        <v>13238</v>
      </c>
      <c r="C9921" s="17" t="s">
        <v>10178</v>
      </c>
      <c r="D9921" s="17" t="s">
        <v>10252</v>
      </c>
      <c r="E9921" s="10">
        <v>1257369</v>
      </c>
      <c r="F9921" s="4" t="str">
        <f>IF(B9921=B9920,"",B9921)</f>
        <v/>
      </c>
    </row>
    <row r="9922" spans="1:6" ht="15.75" customHeight="1">
      <c r="A9922" s="5" t="str">
        <f ca="1">IFERROR(__xludf.DUMMYFUNCTION("GOOGLETRANSLATE(B35317,""en"",""pt"")"),"Sanjō")</f>
        <v>Sanjō</v>
      </c>
      <c r="B9922" s="17" t="s">
        <v>34312</v>
      </c>
      <c r="C9922" s="17" t="s">
        <v>15704</v>
      </c>
      <c r="D9922" s="17" t="s">
        <v>15818</v>
      </c>
      <c r="E9922" s="10">
        <v>1852984</v>
      </c>
      <c r="F9922" s="4" t="str">
        <f>IF(B9922=B9921,"",B9922)</f>
        <v>Sanjō</v>
      </c>
    </row>
    <row r="9923" spans="1:6" ht="15.75" customHeight="1">
      <c r="A9923" s="6" t="s">
        <v>16382</v>
      </c>
      <c r="B9923" s="6" t="s">
        <v>16383</v>
      </c>
      <c r="C9923" s="6" t="s">
        <v>15704</v>
      </c>
      <c r="D9923" s="6" t="s">
        <v>15818</v>
      </c>
      <c r="E9923" s="2">
        <v>1852984</v>
      </c>
      <c r="F9923" s="4" t="str">
        <f>IF(B9923=B9922,"",B9923)</f>
        <v>SanjÅ</v>
      </c>
    </row>
    <row r="9924" spans="1:6" ht="15.75" customHeight="1">
      <c r="A9924" s="5" t="str">
        <f ca="1">IFERROR(__xludf.DUMMYFUNCTION("GOOGLETRANSLATE(B32241,""en"",""pt"")"),"Sannrūr")</f>
        <v>Sannrūr</v>
      </c>
      <c r="B9924" s="17" t="s">
        <v>33116</v>
      </c>
      <c r="C9924" s="17" t="s">
        <v>10178</v>
      </c>
      <c r="D9924" s="17" t="s">
        <v>10184</v>
      </c>
      <c r="E9924" s="10">
        <v>1257402</v>
      </c>
      <c r="F9924" s="4" t="str">
        <f>IF(B9924=B9923,"",B9924)</f>
        <v>Sangrūr</v>
      </c>
    </row>
    <row r="9925" spans="1:6" ht="15.75" customHeight="1">
      <c r="A9925" s="5" t="s">
        <v>26086</v>
      </c>
      <c r="B9925" s="6" t="s">
        <v>26086</v>
      </c>
      <c r="C9925" s="5" t="s">
        <v>26070</v>
      </c>
      <c r="D9925" s="5" t="s">
        <v>26086</v>
      </c>
      <c r="E9925" s="2">
        <v>3573732</v>
      </c>
      <c r="F9925" s="4" t="str">
        <f>IF(B9925=B9924,"",B9925)</f>
        <v>Sangre Grande</v>
      </c>
    </row>
    <row r="9926" spans="1:6" ht="15.75" customHeight="1">
      <c r="A9926" s="5" t="str">
        <f ca="1">IFERROR(__xludf.DUMMYFUNCTION("GOOGLETRANSLATE(B42248,""en"",""pt"")"),"Sangre Grande")</f>
        <v>Sangre Grande</v>
      </c>
      <c r="B9926" s="17" t="s">
        <v>26086</v>
      </c>
      <c r="C9926" s="17" t="s">
        <v>26070</v>
      </c>
      <c r="D9926" s="17" t="s">
        <v>26086</v>
      </c>
      <c r="E9926" s="10">
        <v>3573732</v>
      </c>
      <c r="F9926" s="4" t="str">
        <f>IF(B9926=B9925,"",B9926)</f>
        <v/>
      </c>
    </row>
    <row r="9927" spans="1:6" ht="15.75" customHeight="1">
      <c r="A9927" s="6" t="s">
        <v>13236</v>
      </c>
      <c r="B9927" s="6" t="s">
        <v>13237</v>
      </c>
      <c r="C9927" s="6" t="s">
        <v>10178</v>
      </c>
      <c r="D9927" s="6" t="s">
        <v>10184</v>
      </c>
      <c r="E9927" s="2">
        <v>1257402</v>
      </c>
      <c r="F9927" s="4" t="str">
        <f>IF(B9927=B9926,"",B9927)</f>
        <v>SangrÅ«r</v>
      </c>
    </row>
    <row r="9928" spans="1:6" ht="15.75" customHeight="1">
      <c r="A9928" s="5" t="str">
        <f ca="1">IFERROR(__xludf.DUMMYFUNCTION("GOOGLETRANSLATE(B32242,""en"",""pt"")"),"Sāngola")</f>
        <v>Sāngola</v>
      </c>
      <c r="B9928" s="17" t="s">
        <v>33117</v>
      </c>
      <c r="C9928" s="17" t="s">
        <v>10178</v>
      </c>
      <c r="D9928" s="17" t="s">
        <v>10214</v>
      </c>
      <c r="E9928" s="10">
        <v>1257409</v>
      </c>
      <c r="F9928" s="4" t="str">
        <f>IF(B9928=B9927,"",B9928)</f>
        <v>Sāngola</v>
      </c>
    </row>
    <row r="9929" spans="1:6" ht="15.75" customHeight="1">
      <c r="A9929" s="6" t="s">
        <v>13235</v>
      </c>
      <c r="B9929" s="6" t="s">
        <v>13235</v>
      </c>
      <c r="C9929" s="6" t="s">
        <v>10178</v>
      </c>
      <c r="D9929" s="6" t="s">
        <v>10179</v>
      </c>
      <c r="E9929" s="2">
        <v>1257410</v>
      </c>
      <c r="F9929" s="4" t="str">
        <f>IF(B9929=B9928,"",B9929)</f>
        <v>Sangod</v>
      </c>
    </row>
    <row r="9930" spans="1:6" ht="15.75" customHeight="1">
      <c r="A9930" s="5" t="str">
        <f ca="1">IFERROR(__xludf.DUMMYFUNCTION("GOOGLETRANSLATE(B32243,""en"",""pt"")"),"Sangod")</f>
        <v>Sangod</v>
      </c>
      <c r="B9930" s="17" t="s">
        <v>13235</v>
      </c>
      <c r="C9930" s="17" t="s">
        <v>10178</v>
      </c>
      <c r="D9930" s="17" t="s">
        <v>10179</v>
      </c>
      <c r="E9930" s="10">
        <v>1257410</v>
      </c>
      <c r="F9930" s="4" t="str">
        <f>IF(B9930=B9929,"",B9930)</f>
        <v/>
      </c>
    </row>
    <row r="9931" spans="1:6" ht="15.75" customHeight="1">
      <c r="A9931" s="5" t="str">
        <f ca="1">IFERROR(__xludf.DUMMYFUNCTION("GOOGLETRANSLATE(B25987,""en"",""pt"")"),"Sangmélima")</f>
        <v>Sangmélima</v>
      </c>
      <c r="B9931" s="17" t="s">
        <v>31814</v>
      </c>
      <c r="C9931" s="17" t="s">
        <v>3884</v>
      </c>
      <c r="D9931" s="17" t="s">
        <v>3885</v>
      </c>
      <c r="E9931" s="10">
        <v>2222230</v>
      </c>
      <c r="F9931" s="4" t="str">
        <f>IF(B9931=B9930,"",B9931)</f>
        <v>Sangmélima</v>
      </c>
    </row>
    <row r="9932" spans="1:6" ht="15.75" customHeight="1">
      <c r="A9932" s="5" t="s">
        <v>3962</v>
      </c>
      <c r="B9932" s="6" t="s">
        <v>3963</v>
      </c>
      <c r="C9932" s="5" t="s">
        <v>3884</v>
      </c>
      <c r="D9932" s="5" t="s">
        <v>3885</v>
      </c>
      <c r="E9932" s="2">
        <v>2222230</v>
      </c>
      <c r="F9932" s="4" t="str">
        <f>IF(B9932=B9931,"",B9932)</f>
        <v>SangmÃ©lima</v>
      </c>
    </row>
    <row r="9933" spans="1:6" ht="15.75" customHeight="1">
      <c r="A9933" s="5" t="str">
        <f ca="1">IFERROR(__xludf.DUMMYFUNCTION("GOOGLETRANSLATE(B32244,""en"",""pt"")"),"Sāngli")</f>
        <v>Sāngli</v>
      </c>
      <c r="B9933" s="17" t="s">
        <v>33118</v>
      </c>
      <c r="C9933" s="17" t="s">
        <v>10178</v>
      </c>
      <c r="D9933" s="17" t="s">
        <v>10214</v>
      </c>
      <c r="E9933" s="10">
        <v>1257416</v>
      </c>
      <c r="F9933" s="4" t="str">
        <f>IF(B9933=B9932,"",B9933)</f>
        <v>Sāngli</v>
      </c>
    </row>
    <row r="9934" spans="1:6" ht="15.75" customHeight="1">
      <c r="A9934" s="5" t="s">
        <v>20205</v>
      </c>
      <c r="B9934" s="6" t="s">
        <v>20206</v>
      </c>
      <c r="C9934" s="5" t="s">
        <v>19808</v>
      </c>
      <c r="D9934" s="5" t="s">
        <v>10184</v>
      </c>
      <c r="E9934" s="2">
        <v>1166146</v>
      </c>
      <c r="F9934" s="4" t="str">
        <f>IF(B9934=B9933,"",B9934)</f>
        <v>Sangla Hill</v>
      </c>
    </row>
    <row r="9935" spans="1:6" ht="15.75" customHeight="1">
      <c r="A9935" s="5" t="str">
        <f ca="1">IFERROR(__xludf.DUMMYFUNCTION("GOOGLETRANSLATE(B38926,""en"",""pt"")"),"Hill Sangla")</f>
        <v>Hill Sangla</v>
      </c>
      <c r="B9935" s="17" t="s">
        <v>20206</v>
      </c>
      <c r="C9935" s="17" t="s">
        <v>19808</v>
      </c>
      <c r="D9935" s="17" t="s">
        <v>10184</v>
      </c>
      <c r="E9935" s="10">
        <v>1166146</v>
      </c>
      <c r="F9935" s="4" t="str">
        <f>IF(B9935=B9934,"",B9935)</f>
        <v/>
      </c>
    </row>
    <row r="9936" spans="1:6" ht="15.75" customHeight="1">
      <c r="A9936" s="6" t="s">
        <v>24134</v>
      </c>
      <c r="B9936" s="6" t="s">
        <v>24134</v>
      </c>
      <c r="C9936" s="6" t="s">
        <v>24024</v>
      </c>
      <c r="D9936" s="6" t="s">
        <v>24025</v>
      </c>
      <c r="E9936" s="2">
        <v>1837706</v>
      </c>
      <c r="F9936" s="4" t="str">
        <f>IF(B9936=B9935,"",B9936)</f>
        <v>Sangju</v>
      </c>
    </row>
    <row r="9937" spans="1:6" ht="15.75" customHeight="1">
      <c r="A9937" s="5" t="str">
        <f ca="1">IFERROR(__xludf.DUMMYFUNCTION("GOOGLETRANSLATE(B36077,""en"",""pt"")"),"Sangju")</f>
        <v>Sangju</v>
      </c>
      <c r="B9937" s="17" t="s">
        <v>24134</v>
      </c>
      <c r="C9937" s="17" t="s">
        <v>24024</v>
      </c>
      <c r="D9937" s="17" t="s">
        <v>24025</v>
      </c>
      <c r="E9937" s="10">
        <v>1837706</v>
      </c>
      <c r="F9937" s="4" t="str">
        <f>IF(B9937=B9936,"",B9937)</f>
        <v/>
      </c>
    </row>
    <row r="9938" spans="1:6" ht="15.75" customHeight="1">
      <c r="A9938" s="5" t="s">
        <v>19670</v>
      </c>
      <c r="B9938" s="6" t="s">
        <v>19671</v>
      </c>
      <c r="C9938" s="5" t="s">
        <v>19589</v>
      </c>
      <c r="D9938" s="5" t="s">
        <v>19610</v>
      </c>
      <c r="E9938" s="2">
        <v>1868998</v>
      </c>
      <c r="F9938" s="4" t="str">
        <f>IF(B9938=B9937,"",B9938)</f>
        <v>SÅ­ngho 1-tong</v>
      </c>
    </row>
    <row r="9939" spans="1:6" ht="15.75" customHeight="1">
      <c r="A9939" s="5" t="str">
        <f ca="1">IFERROR(__xludf.DUMMYFUNCTION("GOOGLETRANSLATE(B38927,""en"",""pt"")"),"Sānghar")</f>
        <v>Sānghar</v>
      </c>
      <c r="B9939" s="17" t="s">
        <v>34920</v>
      </c>
      <c r="C9939" s="17" t="s">
        <v>19808</v>
      </c>
      <c r="D9939" s="17" t="s">
        <v>19823</v>
      </c>
      <c r="E9939" s="10">
        <v>1166164</v>
      </c>
      <c r="F9939" s="4" t="str">
        <f>IF(B9939=B9938,"",B9939)</f>
        <v>Sānghar</v>
      </c>
    </row>
    <row r="9940" spans="1:6" ht="15.75" customHeight="1">
      <c r="A9940" s="5" t="s">
        <v>9076</v>
      </c>
      <c r="B9940" s="6" t="s">
        <v>9076</v>
      </c>
      <c r="C9940" s="5" t="s">
        <v>8028</v>
      </c>
      <c r="D9940" s="5" t="s">
        <v>8085</v>
      </c>
      <c r="E9940" s="2">
        <v>2841693</v>
      </c>
      <c r="F9940" s="4" t="str">
        <f>IF(B9940=B9939,"",B9940)</f>
        <v>Sangerhausen</v>
      </c>
    </row>
    <row r="9941" spans="1:6" ht="15.75" customHeight="1">
      <c r="A9941" s="5" t="str">
        <f ca="1">IFERROR(__xludf.DUMMYFUNCTION("GOOGLETRANSLATE(B27579,""en"",""pt"")"),"Sangerhausen")</f>
        <v>Sangerhausen</v>
      </c>
      <c r="B9941" s="17" t="s">
        <v>9076</v>
      </c>
      <c r="C9941" s="17" t="s">
        <v>8028</v>
      </c>
      <c r="D9941" s="17" t="s">
        <v>8085</v>
      </c>
      <c r="E9941" s="10">
        <v>2841693</v>
      </c>
      <c r="F9941" s="4" t="str">
        <f>IF(B9941=B9940,"",B9941)</f>
        <v/>
      </c>
    </row>
    <row r="9942" spans="1:6" ht="15.75" customHeight="1">
      <c r="A9942" s="6" t="s">
        <v>29908</v>
      </c>
      <c r="B9942" s="6" t="s">
        <v>29908</v>
      </c>
      <c r="C9942" s="6" t="s">
        <v>27788</v>
      </c>
      <c r="D9942" s="6" t="s">
        <v>27801</v>
      </c>
      <c r="E9942" s="2">
        <v>5392868</v>
      </c>
      <c r="F9942" s="4" t="str">
        <f>IF(B9942=B9941,"",B9942)</f>
        <v>Sanger</v>
      </c>
    </row>
    <row r="9943" spans="1:6" ht="15.75" customHeight="1">
      <c r="A9943" s="5" t="str">
        <f ca="1">IFERROR(__xludf.DUMMYFUNCTION("GOOGLETRANSLATE(B45019,""en"",""pt"")"),"Sanger")</f>
        <v>Sanger</v>
      </c>
      <c r="B9943" s="17" t="s">
        <v>29908</v>
      </c>
      <c r="C9943" s="17" t="s">
        <v>27788</v>
      </c>
      <c r="D9943" s="17" t="s">
        <v>27801</v>
      </c>
      <c r="E9943" s="10">
        <v>5392868</v>
      </c>
      <c r="F9943" s="4" t="str">
        <f>IF(B9943=B9942,"",B9943)</f>
        <v/>
      </c>
    </row>
    <row r="9944" spans="1:6" ht="15.75" customHeight="1">
      <c r="A9944" s="5" t="str">
        <f ca="1">IFERROR(__xludf.DUMMYFUNCTION("GOOGLETRANSLATE(B23060,""en"",""pt"")"),"Sang-e Chārak")</f>
        <v>Sang-e Chārak</v>
      </c>
      <c r="B9944" s="17" t="s">
        <v>31112</v>
      </c>
      <c r="C9944" s="17" t="s">
        <v>8</v>
      </c>
      <c r="D9944" s="17" t="s">
        <v>99</v>
      </c>
      <c r="E9944" s="10">
        <v>1127628</v>
      </c>
      <c r="F9944" s="4" t="str">
        <f>IF(B9944=B9943,"",B9944)</f>
        <v>Sang-e Chārak</v>
      </c>
    </row>
    <row r="9945" spans="1:6" ht="15.75" customHeight="1">
      <c r="A9945" s="5" t="s">
        <v>97</v>
      </c>
      <c r="B9945" s="6" t="s">
        <v>98</v>
      </c>
      <c r="C9945" s="5" t="s">
        <v>8</v>
      </c>
      <c r="D9945" s="5" t="s">
        <v>99</v>
      </c>
      <c r="E9945" s="2">
        <v>1127628</v>
      </c>
      <c r="F9945" s="4" t="str">
        <f>IF(B9945=B9944,"",B9945)</f>
        <v>Sang-e ChÄrak</v>
      </c>
    </row>
    <row r="9946" spans="1:6" ht="15.75" customHeight="1">
      <c r="A9946" s="6" t="s">
        <v>13233</v>
      </c>
      <c r="B9946" s="6" t="s">
        <v>13234</v>
      </c>
      <c r="C9946" s="6" t="s">
        <v>10178</v>
      </c>
      <c r="D9946" s="6" t="s">
        <v>10179</v>
      </c>
      <c r="E9946" s="2">
        <v>1257429</v>
      </c>
      <c r="F9946" s="4" t="str">
        <f>IF(B9946=B9945,"",B9946)</f>
        <v>SangariÄ</v>
      </c>
    </row>
    <row r="9947" spans="1:6" ht="15.75" customHeight="1">
      <c r="A9947" s="5" t="str">
        <f ca="1">IFERROR(__xludf.DUMMYFUNCTION("GOOGLETRANSLATE(B32245,""en"",""pt"")"),"Sangariā")</f>
        <v>Sangariā</v>
      </c>
      <c r="B9947" s="17" t="s">
        <v>33119</v>
      </c>
      <c r="C9947" s="17" t="s">
        <v>10178</v>
      </c>
      <c r="D9947" s="17" t="s">
        <v>10179</v>
      </c>
      <c r="E9947" s="10">
        <v>1257429</v>
      </c>
      <c r="F9947" s="4" t="str">
        <f>IF(B9947=B9946,"",B9947)</f>
        <v>Sangariā</v>
      </c>
    </row>
    <row r="9948" spans="1:6" ht="15.75" customHeight="1">
      <c r="A9948" s="5" t="str">
        <f ca="1">IFERROR(__xludf.DUMMYFUNCTION("GOOGLETRANSLATE(B32246,""en"",""pt"")"),"Sangāreddi")</f>
        <v>Sangāreddi</v>
      </c>
      <c r="B9948" s="17" t="s">
        <v>33120</v>
      </c>
      <c r="C9948" s="17" t="s">
        <v>10178</v>
      </c>
      <c r="D9948" s="17" t="s">
        <v>10187</v>
      </c>
      <c r="E9948" s="10">
        <v>1257431</v>
      </c>
      <c r="F9948" s="4" t="str">
        <f>IF(B9948=B9947,"",B9948)</f>
        <v>Sangāreddi</v>
      </c>
    </row>
    <row r="9949" spans="1:6" ht="15.75" customHeight="1">
      <c r="A9949" s="5" t="s">
        <v>13232</v>
      </c>
      <c r="B9949" s="6" t="s">
        <v>13232</v>
      </c>
      <c r="C9949" s="5" t="s">
        <v>10178</v>
      </c>
      <c r="D9949" s="5" t="s">
        <v>10214</v>
      </c>
      <c r="E9949" s="2">
        <v>1257436</v>
      </c>
      <c r="F9949" s="4" t="str">
        <f>IF(B9949=B9948,"",B9949)</f>
        <v>Sangamner</v>
      </c>
    </row>
    <row r="9950" spans="1:6" ht="15.75" customHeight="1">
      <c r="A9950" s="5" t="str">
        <f ca="1">IFERROR(__xludf.DUMMYFUNCTION("GOOGLETRANSLATE(B32247,""en"",""pt"")"),"Sangamner")</f>
        <v>Sangamner</v>
      </c>
      <c r="B9950" s="17" t="s">
        <v>13232</v>
      </c>
      <c r="C9950" s="17" t="s">
        <v>10178</v>
      </c>
      <c r="D9950" s="17" t="s">
        <v>10214</v>
      </c>
      <c r="E9950" s="10">
        <v>1257436</v>
      </c>
      <c r="F9950" s="4" t="str">
        <f>IF(B9950=B9949,"",B9950)</f>
        <v/>
      </c>
    </row>
    <row r="9951" spans="1:6" ht="15.75" customHeight="1">
      <c r="A9951" s="5" t="s">
        <v>13230</v>
      </c>
      <c r="B9951" s="6" t="s">
        <v>13231</v>
      </c>
      <c r="C9951" s="5" t="s">
        <v>10178</v>
      </c>
      <c r="D9951" s="5" t="s">
        <v>10187</v>
      </c>
      <c r="E9951" s="2">
        <v>1257431</v>
      </c>
      <c r="F9951" s="4" t="str">
        <f>IF(B9951=B9950,"",B9951)</f>
        <v>SangÄreddi</v>
      </c>
    </row>
    <row r="9952" spans="1:6" ht="15.75" customHeight="1">
      <c r="A9952" s="6" t="s">
        <v>29907</v>
      </c>
      <c r="B9952" s="6" t="s">
        <v>29907</v>
      </c>
      <c r="C9952" s="6" t="s">
        <v>27788</v>
      </c>
      <c r="D9952" s="6" t="s">
        <v>5468</v>
      </c>
      <c r="E9952" s="2">
        <v>4172086</v>
      </c>
      <c r="F9952" s="4" t="str">
        <f>IF(B9952=B9951,"",B9952)</f>
        <v>Sanford</v>
      </c>
    </row>
    <row r="9953" spans="1:6" ht="15.75" customHeight="1">
      <c r="A9953" s="6" t="s">
        <v>29907</v>
      </c>
      <c r="B9953" s="6" t="s">
        <v>29907</v>
      </c>
      <c r="C9953" s="6" t="s">
        <v>27788</v>
      </c>
      <c r="D9953" s="6" t="s">
        <v>27822</v>
      </c>
      <c r="E9953" s="2">
        <v>4490329</v>
      </c>
      <c r="F9953" s="4" t="str">
        <f>IF(B9953=B9952,"",B9953)</f>
        <v/>
      </c>
    </row>
    <row r="9954" spans="1:6" ht="15.75" customHeight="1">
      <c r="A9954" s="5" t="str">
        <f ca="1">IFERROR(__xludf.DUMMYFUNCTION("GOOGLETRANSLATE(B43012,""en"",""pt"")"),"Sanford")</f>
        <v>Sanford</v>
      </c>
      <c r="B9954" s="17" t="s">
        <v>29907</v>
      </c>
      <c r="C9954" s="17" t="s">
        <v>27788</v>
      </c>
      <c r="D9954" s="17" t="s">
        <v>5468</v>
      </c>
      <c r="E9954" s="10">
        <v>4172086</v>
      </c>
      <c r="F9954" s="4" t="str">
        <f>IF(B9954=B9953,"",B9954)</f>
        <v/>
      </c>
    </row>
    <row r="9955" spans="1:6" ht="15.75" customHeight="1">
      <c r="A9955" s="5" t="str">
        <f ca="1">IFERROR(__xludf.DUMMYFUNCTION("GOOGLETRANSLATE(B43477,""en"",""pt"")"),"Sanford")</f>
        <v>Sanford</v>
      </c>
      <c r="B9955" s="17" t="s">
        <v>29907</v>
      </c>
      <c r="C9955" s="17" t="s">
        <v>27788</v>
      </c>
      <c r="D9955" s="17" t="s">
        <v>27822</v>
      </c>
      <c r="E9955" s="10">
        <v>4490329</v>
      </c>
      <c r="F9955" s="4" t="str">
        <f>IF(B9955=B9954,"",B9955)</f>
        <v/>
      </c>
    </row>
    <row r="9956" spans="1:6" ht="15.75" customHeight="1">
      <c r="A9956" s="5" t="s">
        <v>14761</v>
      </c>
      <c r="B9956" s="6" t="s">
        <v>14761</v>
      </c>
      <c r="C9956" s="5" t="s">
        <v>14728</v>
      </c>
      <c r="D9956" s="5" t="s">
        <v>14729</v>
      </c>
      <c r="E9956" s="2">
        <v>3315278</v>
      </c>
      <c r="F9956" s="4" t="str">
        <f>IF(B9956=B9955,"",B9956)</f>
        <v>Sandyford</v>
      </c>
    </row>
    <row r="9957" spans="1:6" ht="15.75" customHeight="1">
      <c r="A9957" s="5" t="str">
        <f ca="1">IFERROR(__xludf.DUMMYFUNCTION("GOOGLETRANSLATE(B31754,""en"",""pt"")"),"Sandyford")</f>
        <v>Sandyford</v>
      </c>
      <c r="B9957" s="17" t="s">
        <v>14761</v>
      </c>
      <c r="C9957" s="17" t="s">
        <v>14728</v>
      </c>
      <c r="D9957" s="17" t="s">
        <v>14729</v>
      </c>
      <c r="E9957" s="10">
        <v>3315278</v>
      </c>
      <c r="F9957" s="4" t="str">
        <f>IF(B9957=B9956,"",B9957)</f>
        <v/>
      </c>
    </row>
    <row r="9958" spans="1:6" ht="15.75" customHeight="1">
      <c r="A9958" s="5" t="s">
        <v>29906</v>
      </c>
      <c r="B9958" s="6" t="s">
        <v>29906</v>
      </c>
      <c r="C9958" s="5" t="s">
        <v>27788</v>
      </c>
      <c r="D9958" s="5" t="s">
        <v>7988</v>
      </c>
      <c r="E9958" s="2">
        <v>4221333</v>
      </c>
      <c r="F9958" s="4" t="str">
        <f>IF(B9958=B9957,"",B9958)</f>
        <v>Sandy Springs</v>
      </c>
    </row>
    <row r="9959" spans="1:6" ht="15.75" customHeight="1">
      <c r="A9959" s="5" t="str">
        <f ca="1">IFERROR(__xludf.DUMMYFUNCTION("GOOGLETRANSLATE(B43107,""en"",""pt"")"),"Sandy Springs")</f>
        <v>Sandy Springs</v>
      </c>
      <c r="B9959" s="17" t="s">
        <v>29906</v>
      </c>
      <c r="C9959" s="17" t="s">
        <v>27788</v>
      </c>
      <c r="D9959" s="17" t="s">
        <v>7988</v>
      </c>
      <c r="E9959" s="10">
        <v>4221333</v>
      </c>
      <c r="F9959" s="4" t="str">
        <f>IF(B9959=B9958,"",B9959)</f>
        <v/>
      </c>
    </row>
    <row r="9960" spans="1:6" ht="15.75" customHeight="1">
      <c r="A9960" s="5" t="s">
        <v>29905</v>
      </c>
      <c r="B9960" s="6" t="s">
        <v>29905</v>
      </c>
      <c r="C9960" s="5" t="s">
        <v>27788</v>
      </c>
      <c r="D9960" s="5" t="s">
        <v>27856</v>
      </c>
      <c r="E9960" s="2">
        <v>5781070</v>
      </c>
      <c r="F9960" s="4" t="str">
        <f>IF(B9960=B9959,"",B9960)</f>
        <v>Sandy Hills</v>
      </c>
    </row>
    <row r="9961" spans="1:6" ht="15.75" customHeight="1">
      <c r="A9961" s="5" t="str">
        <f ca="1">IFERROR(__xludf.DUMMYFUNCTION("GOOGLETRANSLATE(B45300,""en"",""pt"")"),"Sandy Hills")</f>
        <v>Sandy Hills</v>
      </c>
      <c r="B9961" s="17" t="s">
        <v>29905</v>
      </c>
      <c r="C9961" s="17" t="s">
        <v>27788</v>
      </c>
      <c r="D9961" s="17" t="s">
        <v>27856</v>
      </c>
      <c r="E9961" s="10">
        <v>5781070</v>
      </c>
      <c r="F9961" s="4" t="str">
        <f>IF(B9961=B9960,"",B9961)</f>
        <v/>
      </c>
    </row>
    <row r="9962" spans="1:6" ht="15.75" customHeight="1">
      <c r="A9962" s="5" t="s">
        <v>29903</v>
      </c>
      <c r="B9962" s="6" t="s">
        <v>29904</v>
      </c>
      <c r="C9962" s="5" t="s">
        <v>27788</v>
      </c>
      <c r="D9962" s="5" t="s">
        <v>27856</v>
      </c>
      <c r="E9962" s="2">
        <v>5781061</v>
      </c>
      <c r="F9962" s="4" t="str">
        <f>IF(B9962=B9961,"",B9962)</f>
        <v>Sandy City</v>
      </c>
    </row>
    <row r="9963" spans="1:6" ht="15.75" customHeight="1">
      <c r="A9963" s="5" t="str">
        <f ca="1">IFERROR(__xludf.DUMMYFUNCTION("GOOGLETRANSLATE(B45299,""en"",""pt"")"),"Cidade arenosa")</f>
        <v>Cidade arenosa</v>
      </c>
      <c r="B9963" s="17" t="s">
        <v>29904</v>
      </c>
      <c r="C9963" s="17" t="s">
        <v>27788</v>
      </c>
      <c r="D9963" s="17" t="s">
        <v>27856</v>
      </c>
      <c r="E9963" s="10">
        <v>5781061</v>
      </c>
      <c r="F9963" s="4" t="str">
        <f>IF(B9963=B9962,"",B9963)</f>
        <v/>
      </c>
    </row>
    <row r="9964" spans="1:6" ht="15.75" customHeight="1">
      <c r="A9964" s="5" t="str">
        <f ca="1">IFERROR(__xludf.DUMMYFUNCTION("GOOGLETRANSLATE(B23704,""en"",""pt"")"),"Sandwīp")</f>
        <v>Sandwīp</v>
      </c>
      <c r="B9964" s="17" t="s">
        <v>31262</v>
      </c>
      <c r="C9964" s="17" t="s">
        <v>1296</v>
      </c>
      <c r="D9964" s="17" t="s">
        <v>1302</v>
      </c>
      <c r="E9964" s="10">
        <v>1185120</v>
      </c>
      <c r="F9964" s="4" t="str">
        <f>IF(B9964=B9963,"",B9964)</f>
        <v>Sandwīp</v>
      </c>
    </row>
    <row r="9965" spans="1:6" ht="15.75" customHeight="1">
      <c r="A9965" s="5" t="s">
        <v>1428</v>
      </c>
      <c r="B9965" s="6" t="s">
        <v>1429</v>
      </c>
      <c r="C9965" s="5" t="s">
        <v>1296</v>
      </c>
      <c r="D9965" s="5" t="s">
        <v>1302</v>
      </c>
      <c r="E9965" s="2">
        <v>1185120</v>
      </c>
      <c r="F9965" s="4" t="str">
        <f>IF(B9965=B9964,"",B9965)</f>
        <v>SandwÄ«p</v>
      </c>
    </row>
    <row r="9966" spans="1:6" ht="15.75" customHeight="1">
      <c r="A9966" s="5" t="s">
        <v>25196</v>
      </c>
      <c r="B9966" s="6" t="s">
        <v>25196</v>
      </c>
      <c r="C9966" s="5" t="s">
        <v>25077</v>
      </c>
      <c r="D9966" s="5" t="s">
        <v>25123</v>
      </c>
      <c r="E9966" s="2">
        <v>2680075</v>
      </c>
      <c r="F9966" s="4" t="str">
        <f>IF(B9966=B9965,"",B9966)</f>
        <v>Sandviken</v>
      </c>
    </row>
    <row r="9967" spans="1:6" ht="15.75" customHeight="1">
      <c r="A9967" s="5" t="str">
        <f ca="1">IFERROR(__xludf.DUMMYFUNCTION("GOOGLETRANSLATE(B41148,""en"",""pt"")"),"Sandviken")</f>
        <v>Sandviken</v>
      </c>
      <c r="B9967" s="17" t="s">
        <v>25196</v>
      </c>
      <c r="C9967" s="17" t="s">
        <v>25077</v>
      </c>
      <c r="D9967" s="17" t="s">
        <v>35634</v>
      </c>
      <c r="E9967" s="10">
        <v>2680075</v>
      </c>
      <c r="F9967" s="4" t="str">
        <f>IF(B9967=B9966,"",B9967)</f>
        <v/>
      </c>
    </row>
    <row r="9968" spans="1:6" ht="15.75" customHeight="1">
      <c r="A9968" s="6" t="s">
        <v>29902</v>
      </c>
      <c r="B9968" s="6" t="s">
        <v>29902</v>
      </c>
      <c r="C9968" s="6" t="s">
        <v>27788</v>
      </c>
      <c r="D9968" s="6" t="s">
        <v>27813</v>
      </c>
      <c r="E9968" s="2">
        <v>5170691</v>
      </c>
      <c r="F9968" s="4" t="str">
        <f>IF(B9968=B9967,"",B9968)</f>
        <v>Sandusky</v>
      </c>
    </row>
    <row r="9969" spans="1:6" ht="15.75" customHeight="1">
      <c r="A9969" s="5" t="str">
        <f ca="1">IFERROR(__xludf.DUMMYFUNCTION("GOOGLETRANSLATE(B44538,""en"",""pt"")"),"Sandusky")</f>
        <v>Sandusky</v>
      </c>
      <c r="B9969" s="17" t="s">
        <v>29902</v>
      </c>
      <c r="C9969" s="17" t="s">
        <v>27788</v>
      </c>
      <c r="D9969" s="17" t="s">
        <v>27813</v>
      </c>
      <c r="E9969" s="10">
        <v>5170691</v>
      </c>
      <c r="F9969" s="4" t="str">
        <f>IF(B9969=B9968,"",B9969)</f>
        <v/>
      </c>
    </row>
    <row r="9970" spans="1:6" ht="15.75" customHeight="1">
      <c r="A9970" s="5" t="str">
        <f ca="1">IFERROR(__xludf.DUMMYFUNCTION("GOOGLETRANSLATE(B32248,""en"",""pt"")"),"Sandūr")</f>
        <v>Sandūr</v>
      </c>
      <c r="B9970" s="17" t="s">
        <v>33121</v>
      </c>
      <c r="C9970" s="17" t="s">
        <v>10178</v>
      </c>
      <c r="D9970" s="17" t="s">
        <v>10252</v>
      </c>
      <c r="E9970" s="10">
        <v>1257456</v>
      </c>
      <c r="F9970" s="4" t="str">
        <f>IF(B9970=B9969,"",B9970)</f>
        <v>Sandūr</v>
      </c>
    </row>
    <row r="9971" spans="1:6" ht="15.75" customHeight="1">
      <c r="A9971" s="6" t="s">
        <v>27664</v>
      </c>
      <c r="B9971" s="6" t="s">
        <v>27664</v>
      </c>
      <c r="C9971" s="6" t="s">
        <v>27234</v>
      </c>
      <c r="D9971" s="6" t="s">
        <v>27241</v>
      </c>
      <c r="E9971" s="2">
        <v>2638568</v>
      </c>
      <c r="F9971" s="4" t="str">
        <f>IF(B9971=B9970,"",B9971)</f>
        <v>Sandown</v>
      </c>
    </row>
    <row r="9972" spans="1:6" ht="15.75" customHeight="1">
      <c r="A9972" s="5" t="str">
        <f ca="1">IFERROR(__xludf.DUMMYFUNCTION("GOOGLETRANSLATE(B30417,""en"",""pt"")"),"Sandown")</f>
        <v>Sandown</v>
      </c>
      <c r="B9972" s="17" t="s">
        <v>27664</v>
      </c>
      <c r="C9972" s="17" t="s">
        <v>27234</v>
      </c>
      <c r="D9972" s="17" t="s">
        <v>27241</v>
      </c>
      <c r="E9972" s="10">
        <v>2638568</v>
      </c>
      <c r="F9972" s="4" t="str">
        <f>IF(B9972=B9971,"",B9972)</f>
        <v/>
      </c>
    </row>
    <row r="9973" spans="1:6" ht="15.75" customHeight="1">
      <c r="A9973" s="5" t="s">
        <v>21482</v>
      </c>
      <c r="B9973" s="6" t="s">
        <v>21482</v>
      </c>
      <c r="C9973" s="5" t="s">
        <v>21064</v>
      </c>
      <c r="D9973" s="5" t="s">
        <v>21169</v>
      </c>
      <c r="E9973" s="2">
        <v>759603</v>
      </c>
      <c r="F9973" s="4" t="str">
        <f>IF(B9973=B9972,"",B9973)</f>
        <v>Sandomierz</v>
      </c>
    </row>
    <row r="9974" spans="1:6" ht="15.75" customHeight="1">
      <c r="A9974" s="5" t="str">
        <f ca="1">IFERROR(__xludf.DUMMYFUNCTION("GOOGLETRANSLATE(B39211,""en"",""pt"")"),"Sandomierz")</f>
        <v>Sandomierz</v>
      </c>
      <c r="B9974" s="17" t="s">
        <v>21482</v>
      </c>
      <c r="C9974" s="17" t="s">
        <v>21064</v>
      </c>
      <c r="D9974" s="17" t="s">
        <v>35079</v>
      </c>
      <c r="E9974" s="10">
        <v>759603</v>
      </c>
      <c r="F9974" s="4" t="str">
        <f>IF(B9974=B9973,"",B9974)</f>
        <v/>
      </c>
    </row>
    <row r="9975" spans="1:6" ht="15.75" customHeight="1">
      <c r="A9975" s="6" t="s">
        <v>19738</v>
      </c>
      <c r="B9975" s="6" t="s">
        <v>19738</v>
      </c>
      <c r="C9975" s="6" t="s">
        <v>19695</v>
      </c>
      <c r="D9975" s="6" t="s">
        <v>19720</v>
      </c>
      <c r="E9975" s="2">
        <v>3140321</v>
      </c>
      <c r="F9975" s="4" t="str">
        <f>IF(B9975=B9974,"",B9975)</f>
        <v>Sandnes</v>
      </c>
    </row>
    <row r="9976" spans="1:6" ht="15.75" customHeight="1">
      <c r="A9976" s="5" t="str">
        <f ca="1">IFERROR(__xludf.DUMMYFUNCTION("GOOGLETRANSLATE(B38150,""en"",""pt"")"),"Sandnes")</f>
        <v>Sandnes</v>
      </c>
      <c r="B9976" s="17" t="s">
        <v>19738</v>
      </c>
      <c r="C9976" s="17" t="s">
        <v>19695</v>
      </c>
      <c r="D9976" s="17" t="s">
        <v>19720</v>
      </c>
      <c r="E9976" s="10">
        <v>3140321</v>
      </c>
      <c r="F9976" s="4" t="str">
        <f>IF(B9976=B9975,"",B9976)</f>
        <v/>
      </c>
    </row>
    <row r="9977" spans="1:6" ht="15.75" customHeight="1">
      <c r="A9977" s="5" t="str">
        <f ca="1">IFERROR(__xludf.DUMMYFUNCTION("GOOGLETRANSLATE(B32249,""en"",""pt"")"),"Sandīla")</f>
        <v>Sandīla</v>
      </c>
      <c r="B9977" s="17" t="s">
        <v>33122</v>
      </c>
      <c r="C9977" s="17" t="s">
        <v>10178</v>
      </c>
      <c r="D9977" s="17" t="s">
        <v>10193</v>
      </c>
      <c r="E9977" s="10">
        <v>1257459</v>
      </c>
      <c r="F9977" s="4" t="str">
        <f>IF(B9977=B9976,"",B9977)</f>
        <v>Sandīla</v>
      </c>
    </row>
    <row r="9978" spans="1:6" ht="15.75" customHeight="1">
      <c r="A9978" s="5" t="str">
        <f ca="1">IFERROR(__xludf.DUMMYFUNCTION("GOOGLETRANSLATE(B41914,""en"",""pt"")"),"Sandıklı")</f>
        <v>Sandıklı</v>
      </c>
      <c r="B9978" s="17" t="s">
        <v>35843</v>
      </c>
      <c r="C9978" s="17" t="s">
        <v>26201</v>
      </c>
      <c r="D9978" s="17" t="s">
        <v>26237</v>
      </c>
      <c r="E9978" s="10">
        <v>301911</v>
      </c>
      <c r="F9978" s="4" t="str">
        <f>IF(B9978=B9977,"",B9978)</f>
        <v>Sandıklı</v>
      </c>
    </row>
    <row r="9979" spans="1:6" ht="15.75" customHeight="1">
      <c r="A9979" s="5" t="str">
        <f ca="1">IFERROR(__xludf.DUMMYFUNCTION("GOOGLETRANSLATE(B32250,""en"",""pt"")"),"Sāndi")</f>
        <v>Sāndi</v>
      </c>
      <c r="B9979" s="17" t="s">
        <v>33123</v>
      </c>
      <c r="C9979" s="17" t="s">
        <v>10178</v>
      </c>
      <c r="D9979" s="17" t="s">
        <v>10193</v>
      </c>
      <c r="E9979" s="10">
        <v>1257461</v>
      </c>
      <c r="F9979" s="4" t="str">
        <f>IF(B9979=B9978,"",B9979)</f>
        <v>Sāndi</v>
      </c>
    </row>
    <row r="9980" spans="1:6" ht="15.75" customHeight="1">
      <c r="A9980" s="5" t="s">
        <v>19737</v>
      </c>
      <c r="B9980" s="6" t="s">
        <v>19737</v>
      </c>
      <c r="C9980" s="5" t="s">
        <v>19695</v>
      </c>
      <c r="D9980" s="5" t="s">
        <v>19722</v>
      </c>
      <c r="E9980" s="2">
        <v>3140390</v>
      </c>
      <c r="F9980" s="4" t="str">
        <f>IF(B9980=B9979,"",B9980)</f>
        <v>Sandefjord</v>
      </c>
    </row>
    <row r="9981" spans="1:6" ht="15.75" customHeight="1">
      <c r="A9981" s="5" t="str">
        <f ca="1">IFERROR(__xludf.DUMMYFUNCTION("GOOGLETRANSLATE(B38151,""en"",""pt"")"),"Sandefjord")</f>
        <v>Sandefjord</v>
      </c>
      <c r="B9981" s="17" t="s">
        <v>19737</v>
      </c>
      <c r="C9981" s="17" t="s">
        <v>19695</v>
      </c>
      <c r="D9981" s="17" t="s">
        <v>19722</v>
      </c>
      <c r="E9981" s="10">
        <v>3140390</v>
      </c>
      <c r="F9981" s="4" t="str">
        <f>IF(B9981=B9980,"",B9981)</f>
        <v/>
      </c>
    </row>
    <row r="9982" spans="1:6" ht="15.75" customHeight="1">
      <c r="A9982" s="6" t="s">
        <v>27663</v>
      </c>
      <c r="B9982" s="6" t="s">
        <v>27663</v>
      </c>
      <c r="C9982" s="6" t="s">
        <v>27234</v>
      </c>
      <c r="D9982" s="6" t="s">
        <v>27241</v>
      </c>
      <c r="E9982" s="2">
        <v>2638600</v>
      </c>
      <c r="F9982" s="4" t="str">
        <f>IF(B9982=B9981,"",B9982)</f>
        <v>Sandbach</v>
      </c>
    </row>
    <row r="9983" spans="1:6" ht="15.75" customHeight="1">
      <c r="A9983" s="5" t="str">
        <f ca="1">IFERROR(__xludf.DUMMYFUNCTION("GOOGLETRANSLATE(B30418,""en"",""pt"")"),"Sandbach")</f>
        <v>Sandbach</v>
      </c>
      <c r="B9983" s="17" t="s">
        <v>27663</v>
      </c>
      <c r="C9983" s="17" t="s">
        <v>27234</v>
      </c>
      <c r="D9983" s="17" t="s">
        <v>27241</v>
      </c>
      <c r="E9983" s="10">
        <v>2638600</v>
      </c>
      <c r="F9983" s="4" t="str">
        <f>IF(B9983=B9982,"",B9983)</f>
        <v/>
      </c>
    </row>
    <row r="9984" spans="1:6" ht="15.75" customHeight="1">
      <c r="A9984" s="5" t="s">
        <v>3748</v>
      </c>
      <c r="B9984" s="6" t="s">
        <v>3748</v>
      </c>
      <c r="C9984" s="5" t="s">
        <v>3701</v>
      </c>
      <c r="D9984" s="5" t="s">
        <v>3707</v>
      </c>
      <c r="E9984" s="2">
        <v>727447</v>
      </c>
      <c r="F9984" s="4" t="str">
        <f>IF(B9984=B9983,"",B9984)</f>
        <v>Sandanski</v>
      </c>
    </row>
    <row r="9985" spans="1:6" ht="15.75" customHeight="1">
      <c r="A9985" s="5" t="str">
        <f ca="1">IFERROR(__xludf.DUMMYFUNCTION("GOOGLETRANSLATE(B24026,""en"",""pt"")"),"Sandanski")</f>
        <v>Sandanski</v>
      </c>
      <c r="B9985" s="17" t="s">
        <v>3748</v>
      </c>
      <c r="C9985" s="17" t="s">
        <v>3701</v>
      </c>
      <c r="D9985" s="17" t="s">
        <v>3707</v>
      </c>
      <c r="E9985" s="10">
        <v>727447</v>
      </c>
      <c r="F9985" s="4" t="str">
        <f>IF(B9985=B9984,"",B9985)</f>
        <v/>
      </c>
    </row>
    <row r="9986" spans="1:6" ht="15.75" customHeight="1">
      <c r="A9986" s="6" t="s">
        <v>17558</v>
      </c>
      <c r="B9986" s="6" t="s">
        <v>17558</v>
      </c>
      <c r="C9986" s="6" t="s">
        <v>17432</v>
      </c>
      <c r="D9986" s="6" t="s">
        <v>17444</v>
      </c>
      <c r="E9986" s="2">
        <v>1734052</v>
      </c>
      <c r="F9986" s="4" t="str">
        <f>IF(B9986=B9985,"",B9986)</f>
        <v>Sandakan</v>
      </c>
    </row>
    <row r="9987" spans="1:6" ht="15.75" customHeight="1">
      <c r="A9987" s="5" t="str">
        <f ca="1">IFERROR(__xludf.DUMMYFUNCTION("GOOGLETRANSLATE(B37441,""en"",""pt"")"),"Sandakan")</f>
        <v>Sandakan</v>
      </c>
      <c r="B9987" s="17" t="s">
        <v>17558</v>
      </c>
      <c r="C9987" s="17" t="s">
        <v>17432</v>
      </c>
      <c r="D9987" s="17" t="s">
        <v>17444</v>
      </c>
      <c r="E9987" s="10">
        <v>1734052</v>
      </c>
      <c r="F9987" s="4" t="str">
        <f>IF(B9987=B9986,"",B9987)</f>
        <v/>
      </c>
    </row>
    <row r="9988" spans="1:6" ht="15.75" customHeight="1">
      <c r="A9988" s="5" t="str">
        <f ca="1">IFERROR(__xludf.DUMMYFUNCTION("GOOGLETRANSLATE(B35318,""en"",""pt"")"),"Sandachō")</f>
        <v>Sandachō</v>
      </c>
      <c r="B9988" s="17" t="s">
        <v>34313</v>
      </c>
      <c r="C9988" s="17" t="s">
        <v>15704</v>
      </c>
      <c r="D9988" s="17" t="s">
        <v>34291</v>
      </c>
      <c r="E9988" s="10">
        <v>1853008</v>
      </c>
      <c r="F9988" s="4" t="str">
        <f>IF(B9988=B9987,"",B9988)</f>
        <v>Sandachō</v>
      </c>
    </row>
    <row r="9989" spans="1:6" ht="15.75" customHeight="1">
      <c r="A9989" s="6" t="s">
        <v>16380</v>
      </c>
      <c r="B9989" s="6" t="s">
        <v>16381</v>
      </c>
      <c r="C9989" s="6" t="s">
        <v>15704</v>
      </c>
      <c r="D9989" s="6" t="s">
        <v>15712</v>
      </c>
      <c r="E9989" s="2">
        <v>1853008</v>
      </c>
      <c r="F9989" s="4" t="str">
        <f>IF(B9989=B9988,"",B9989)</f>
        <v>SandachÅ</v>
      </c>
    </row>
    <row r="9990" spans="1:6" ht="15.75" customHeight="1">
      <c r="A9990" s="6" t="s">
        <v>13228</v>
      </c>
      <c r="B9990" s="6" t="s">
        <v>13229</v>
      </c>
      <c r="C9990" s="6" t="s">
        <v>10178</v>
      </c>
      <c r="D9990" s="6" t="s">
        <v>10252</v>
      </c>
      <c r="E9990" s="2">
        <v>1257456</v>
      </c>
      <c r="F9990" s="4" t="str">
        <f>IF(B9990=B9989,"",B9990)</f>
        <v>SandÅ«r</v>
      </c>
    </row>
    <row r="9991" spans="1:6" ht="15.75" customHeight="1">
      <c r="A9991" s="6" t="s">
        <v>13226</v>
      </c>
      <c r="B9991" s="6" t="s">
        <v>13227</v>
      </c>
      <c r="C9991" s="6" t="s">
        <v>10178</v>
      </c>
      <c r="D9991" s="6" t="s">
        <v>10193</v>
      </c>
      <c r="E9991" s="2">
        <v>1257459</v>
      </c>
      <c r="F9991" s="4" t="str">
        <f>IF(B9991=B9990,"",B9991)</f>
        <v>SandÄ«la</v>
      </c>
    </row>
    <row r="9992" spans="1:6" ht="15.75" customHeight="1">
      <c r="A9992" s="5" t="s">
        <v>26680</v>
      </c>
      <c r="B9992" s="6" t="s">
        <v>26681</v>
      </c>
      <c r="C9992" s="5" t="s">
        <v>26201</v>
      </c>
      <c r="D9992" s="5" t="s">
        <v>26237</v>
      </c>
      <c r="E9992" s="2">
        <v>301911</v>
      </c>
      <c r="F9992" s="4" t="str">
        <f>IF(B9992=B9991,"",B9992)</f>
        <v>SandÄ±klÄ±</v>
      </c>
    </row>
    <row r="9993" spans="1:6" ht="15.75" customHeight="1">
      <c r="A9993" s="5" t="s">
        <v>29900</v>
      </c>
      <c r="B9993" s="6" t="s">
        <v>29901</v>
      </c>
      <c r="C9993" s="5" t="s">
        <v>27788</v>
      </c>
      <c r="D9993" s="5" t="s">
        <v>27797</v>
      </c>
      <c r="E9993" s="2">
        <v>4550659</v>
      </c>
      <c r="F9993" s="4" t="str">
        <f>IF(B9993=B9992,"",B9993)</f>
        <v>Sand Springs</v>
      </c>
    </row>
    <row r="9994" spans="1:6" ht="15.75" customHeight="1">
      <c r="A9994" s="5" t="str">
        <f ca="1">IFERROR(__xludf.DUMMYFUNCTION("GOOGLETRANSLATE(B43563,""en"",""pt"")"),"Molas de areia")</f>
        <v>Molas de areia</v>
      </c>
      <c r="B9994" s="17" t="s">
        <v>29901</v>
      </c>
      <c r="C9994" s="17" t="s">
        <v>27788</v>
      </c>
      <c r="D9994" s="17" t="s">
        <v>27797</v>
      </c>
      <c r="E9994" s="10">
        <v>4550659</v>
      </c>
      <c r="F9994" s="4" t="str">
        <f>IF(B9994=B9993,"",B9994)</f>
        <v/>
      </c>
    </row>
    <row r="9995" spans="1:6" ht="15.75" customHeight="1">
      <c r="A9995" s="5" t="s">
        <v>18264</v>
      </c>
      <c r="B9995" s="6" t="s">
        <v>18264</v>
      </c>
      <c r="C9995" s="5" t="s">
        <v>17707</v>
      </c>
      <c r="D9995" s="5" t="s">
        <v>17717</v>
      </c>
      <c r="E9995" s="2">
        <v>3519531</v>
      </c>
      <c r="F9995" s="4" t="str">
        <f>IF(B9995=B9994,"",B9995)</f>
        <v>Sanctorum</v>
      </c>
    </row>
    <row r="9996" spans="1:6" ht="15.75" customHeight="1">
      <c r="A9996" s="5" t="str">
        <f ca="1">IFERROR(__xludf.DUMMYFUNCTION("GOOGLETRANSLATE(B36933,""en"",""pt"")"),"Sanctorum")</f>
        <v>Sanctorum</v>
      </c>
      <c r="B9996" s="17" t="s">
        <v>18264</v>
      </c>
      <c r="C9996" s="17" t="s">
        <v>17707</v>
      </c>
      <c r="D9996" s="17" t="s">
        <v>17717</v>
      </c>
      <c r="E9996" s="10">
        <v>3519531</v>
      </c>
      <c r="F9996" s="4" t="str">
        <f>IF(B9996=B9995,"",B9996)</f>
        <v/>
      </c>
    </row>
    <row r="9997" spans="1:6" ht="15.75" customHeight="1">
      <c r="A9997" s="5" t="str">
        <f ca="1">IFERROR(__xludf.DUMMYFUNCTION("GOOGLETRANSLATE(B27121,""en"",""pt"")"),"Santi spíritus")</f>
        <v>Santi spíritus</v>
      </c>
      <c r="B9997" s="17" t="s">
        <v>31901</v>
      </c>
      <c r="C9997" s="17" t="s">
        <v>5764</v>
      </c>
      <c r="D9997" s="17" t="s">
        <v>31901</v>
      </c>
      <c r="E9997" s="10">
        <v>3540667</v>
      </c>
      <c r="F9997" s="4" t="str">
        <f>IF(B9997=B9996,"",B9997)</f>
        <v>Sancti Spíritus</v>
      </c>
    </row>
    <row r="9998" spans="1:6" ht="15.75" customHeight="1">
      <c r="A9998" s="5" t="s">
        <v>5911</v>
      </c>
      <c r="B9998" s="6" t="s">
        <v>5799</v>
      </c>
      <c r="C9998" s="5" t="s">
        <v>5764</v>
      </c>
      <c r="D9998" s="5" t="s">
        <v>5799</v>
      </c>
      <c r="E9998" s="2">
        <v>3540667</v>
      </c>
      <c r="F9998" s="4" t="str">
        <f>IF(B9998=B9997,"",B9998)</f>
        <v>Sancti SpÃ­ritus</v>
      </c>
    </row>
    <row r="9999" spans="1:6" ht="15.75" customHeight="1">
      <c r="A9999" s="6" t="s">
        <v>13225</v>
      </c>
      <c r="B9999" s="6" t="s">
        <v>13225</v>
      </c>
      <c r="C9999" s="6" t="s">
        <v>10178</v>
      </c>
      <c r="D9999" s="6" t="s">
        <v>10856</v>
      </c>
      <c r="E9999" s="2">
        <v>1257476</v>
      </c>
      <c r="F9999" s="4" t="str">
        <f>IF(B9999=B9998,"",B9999)</f>
        <v>Sancoale</v>
      </c>
    </row>
    <row r="10000" spans="1:6" ht="15.75" customHeight="1">
      <c r="A10000" s="5" t="str">
        <f ca="1">IFERROR(__xludf.DUMMYFUNCTION("GOOGLETRANSLATE(B32251,""en"",""pt"")"),"Sancoale")</f>
        <v>Sancoale</v>
      </c>
      <c r="B10000" s="17" t="s">
        <v>13225</v>
      </c>
      <c r="C10000" s="17" t="s">
        <v>10178</v>
      </c>
      <c r="D10000" s="17" t="s">
        <v>10856</v>
      </c>
      <c r="E10000" s="10">
        <v>1257476</v>
      </c>
      <c r="F10000" s="4" t="str">
        <f>IF(B10000=B9999,"",B10000)</f>
        <v/>
      </c>
    </row>
    <row r="10001" spans="1:6" ht="15.75" customHeight="1">
      <c r="A10001" s="5" t="str">
        <f ca="1">IFERROR(__xludf.DUMMYFUNCTION("GOOGLETRANSLATE(B32252,""en"",""pt"")"),"Sānchor")</f>
        <v>Sānchor</v>
      </c>
      <c r="B10001" s="17" t="s">
        <v>33124</v>
      </c>
      <c r="C10001" s="17" t="s">
        <v>10178</v>
      </c>
      <c r="D10001" s="17" t="s">
        <v>10179</v>
      </c>
      <c r="E10001" s="10">
        <v>1257477</v>
      </c>
      <c r="F10001" s="4" t="str">
        <f>IF(B10001=B10000,"",B10001)</f>
        <v>Sānchor</v>
      </c>
    </row>
    <row r="10002" spans="1:6" ht="15.75" customHeight="1">
      <c r="A10002" s="6" t="s">
        <v>5039</v>
      </c>
      <c r="B10002" s="6" t="s">
        <v>5039</v>
      </c>
      <c r="C10002" s="6" t="s">
        <v>4487</v>
      </c>
      <c r="D10002" s="6" t="s">
        <v>4518</v>
      </c>
      <c r="E10002" s="2">
        <v>2035182</v>
      </c>
      <c r="F10002" s="4" t="str">
        <f>IF(B10002=B10001,"",B10002)</f>
        <v>Sanchazi</v>
      </c>
    </row>
    <row r="10003" spans="1:6" ht="15.75" customHeight="1">
      <c r="A10003" s="5" t="str">
        <f ca="1">IFERROR(__xludf.DUMMYFUNCTION("GOOGLETRANSLATE(B26699,""en"",""pt"")"),"Sanchazi")</f>
        <v>Sanchazi</v>
      </c>
      <c r="B10003" s="17" t="s">
        <v>5039</v>
      </c>
      <c r="C10003" s="17" t="s">
        <v>4487</v>
      </c>
      <c r="D10003" s="17" t="s">
        <v>4518</v>
      </c>
      <c r="E10003" s="10">
        <v>2035182</v>
      </c>
      <c r="F10003" s="4" t="str">
        <f>IF(B10003=B10002,"",B10003)</f>
        <v/>
      </c>
    </row>
    <row r="10004" spans="1:6" ht="15.75" customHeight="1">
      <c r="A10004" s="5" t="s">
        <v>26678</v>
      </c>
      <c r="B10004" s="6" t="s">
        <v>26679</v>
      </c>
      <c r="C10004" s="5" t="s">
        <v>26201</v>
      </c>
      <c r="D10004" s="5" t="s">
        <v>26211</v>
      </c>
      <c r="E10004" s="2">
        <v>7628420</v>
      </c>
      <c r="F10004" s="4" t="str">
        <f>IF(B10004=B10003,"",B10004)</f>
        <v>Sancaktepe</v>
      </c>
    </row>
    <row r="10005" spans="1:6" ht="15.75" customHeight="1">
      <c r="A10005" s="5" t="str">
        <f ca="1">IFERROR(__xludf.DUMMYFUNCTION("GOOGLETRANSLATE(B42243,""en"",""pt"")"),"Santaktepe")</f>
        <v>Santaktepe</v>
      </c>
      <c r="B10005" s="17" t="s">
        <v>26679</v>
      </c>
      <c r="C10005" s="17" t="s">
        <v>26201</v>
      </c>
      <c r="D10005" s="17" t="s">
        <v>26211</v>
      </c>
      <c r="E10005" s="10">
        <v>7628420</v>
      </c>
      <c r="F10005" s="4" t="str">
        <f>IF(B10005=B10004,"",B10005)</f>
        <v/>
      </c>
    </row>
    <row r="10006" spans="1:6" ht="15.75" customHeight="1">
      <c r="A10006" s="5" t="str">
        <f ca="1">IFERROR(__xludf.DUMMYFUNCTION("GOOGLETRANSLATE(B32253,""en"",""pt"")"),"Sanāwad")</f>
        <v>Sanāwad</v>
      </c>
      <c r="B10006" s="17" t="s">
        <v>33125</v>
      </c>
      <c r="C10006" s="17" t="s">
        <v>10178</v>
      </c>
      <c r="D10006" s="17" t="s">
        <v>10219</v>
      </c>
      <c r="E10006" s="10">
        <v>1257481</v>
      </c>
      <c r="F10006" s="4" t="str">
        <f>IF(B10006=B10005,"",B10006)</f>
        <v>Sanāwad</v>
      </c>
    </row>
    <row r="10007" spans="1:6" ht="15.75" customHeight="1">
      <c r="A10007" s="6" t="s">
        <v>13224</v>
      </c>
      <c r="B10007" s="6" t="s">
        <v>13224</v>
      </c>
      <c r="C10007" s="6" t="s">
        <v>10178</v>
      </c>
      <c r="D10007" s="6" t="s">
        <v>10184</v>
      </c>
      <c r="E10007" s="2">
        <v>1257482</v>
      </c>
      <c r="F10007" s="4" t="str">
        <f>IF(B10007=B10006,"",B10007)</f>
        <v>Sanaur</v>
      </c>
    </row>
    <row r="10008" spans="1:6" ht="15.75" customHeight="1">
      <c r="A10008" s="5" t="str">
        <f ca="1">IFERROR(__xludf.DUMMYFUNCTION("GOOGLETRANSLATE(B32254,""en"",""pt"")"),"Sanaur")</f>
        <v>Sanaur</v>
      </c>
      <c r="B10008" s="17" t="s">
        <v>13224</v>
      </c>
      <c r="C10008" s="17" t="s">
        <v>10178</v>
      </c>
      <c r="D10008" s="17" t="s">
        <v>10184</v>
      </c>
      <c r="E10008" s="10">
        <v>1257482</v>
      </c>
      <c r="F10008" s="4" t="str">
        <f>IF(B10008=B10007,"",B10008)</f>
        <v/>
      </c>
    </row>
    <row r="10009" spans="1:6" ht="15.75" customHeight="1">
      <c r="A10009" s="5" t="s">
        <v>7807</v>
      </c>
      <c r="B10009" s="6" t="s">
        <v>7807</v>
      </c>
      <c r="C10009" s="5" t="s">
        <v>7052</v>
      </c>
      <c r="D10009" s="5" t="s">
        <v>7087</v>
      </c>
      <c r="E10009" s="2">
        <v>2976258</v>
      </c>
      <c r="F10009" s="4" t="str">
        <f>IF(B10009=B10008,"",B10009)</f>
        <v>Sanary-sur-Mer</v>
      </c>
    </row>
    <row r="10010" spans="1:6" ht="15.75" customHeight="1">
      <c r="A10010" s="5" t="str">
        <f ca="1">IFERROR(__xludf.DUMMYFUNCTION("GOOGLETRANSLATE(B29770,""en"",""pt"")"),"Sanary-sur-Mer")</f>
        <v>Sanary-sur-Mer</v>
      </c>
      <c r="B10010" s="17" t="s">
        <v>7807</v>
      </c>
      <c r="C10010" s="17" t="s">
        <v>7052</v>
      </c>
      <c r="D10010" s="17" t="s">
        <v>32534</v>
      </c>
      <c r="E10010" s="10">
        <v>2976258</v>
      </c>
      <c r="F10010" s="4" t="str">
        <f>IF(B10010=B10009,"",B10010)</f>
        <v/>
      </c>
    </row>
    <row r="10011" spans="1:6" ht="15.75" customHeight="1">
      <c r="A10011" s="6" t="s">
        <v>9800</v>
      </c>
      <c r="B10011" s="6" t="s">
        <v>9800</v>
      </c>
      <c r="C10011" s="6" t="s">
        <v>9700</v>
      </c>
      <c r="D10011" s="6" t="s">
        <v>9801</v>
      </c>
      <c r="E10011" s="2">
        <v>3590406</v>
      </c>
      <c r="F10011" s="4" t="str">
        <f>IF(B10011=B10010,"",B10011)</f>
        <v>Sanarate</v>
      </c>
    </row>
    <row r="10012" spans="1:6" ht="15.75" customHeight="1">
      <c r="A10012" s="5" t="str">
        <f ca="1">IFERROR(__xludf.DUMMYFUNCTION("GOOGLETRANSLATE(B31087,""en"",""pt"")"),"Sanarate")</f>
        <v>Sanarate</v>
      </c>
      <c r="B10012" s="17" t="s">
        <v>9800</v>
      </c>
      <c r="C10012" s="17" t="s">
        <v>9700</v>
      </c>
      <c r="D10012" s="17" t="s">
        <v>9801</v>
      </c>
      <c r="E10012" s="10">
        <v>3590406</v>
      </c>
      <c r="F10012" s="4" t="str">
        <f>IF(B10012=B10011,"",B10012)</f>
        <v/>
      </c>
    </row>
    <row r="10013" spans="1:6" ht="15.75" customHeight="1">
      <c r="A10013" s="6" t="s">
        <v>14534</v>
      </c>
      <c r="B10013" s="6" t="s">
        <v>14534</v>
      </c>
      <c r="C10013" s="6" t="s">
        <v>14240</v>
      </c>
      <c r="D10013" s="6" t="s">
        <v>14299</v>
      </c>
      <c r="E10013" s="2">
        <v>117574</v>
      </c>
      <c r="F10013" s="4" t="str">
        <f>IF(B10013=B10012,"",B10013)</f>
        <v>Sanandaj</v>
      </c>
    </row>
    <row r="10014" spans="1:6" ht="15.75" customHeight="1">
      <c r="A10014" s="5" t="str">
        <f ca="1">IFERROR(__xludf.DUMMYFUNCTION("GOOGLETRANSLATE(B34376,""en"",""pt"")"),"Sanandaj")</f>
        <v>Sanandaj</v>
      </c>
      <c r="B10014" s="17" t="s">
        <v>14534</v>
      </c>
      <c r="C10014" s="17" t="s">
        <v>14240</v>
      </c>
      <c r="D10014" s="17" t="s">
        <v>34147</v>
      </c>
      <c r="E10014" s="10">
        <v>117574</v>
      </c>
      <c r="F10014" s="4" t="str">
        <f>IF(B10014=B10013,"",B10014)</f>
        <v/>
      </c>
    </row>
    <row r="10015" spans="1:6" ht="15.75" customHeight="1">
      <c r="A10015" s="5" t="str">
        <f ca="1">IFERROR(__xludf.DUMMYFUNCTION("GOOGLETRANSLATE(B32255,""en"",""pt"")"),"Sānand")</f>
        <v>Sānand</v>
      </c>
      <c r="B10015" s="17" t="s">
        <v>33126</v>
      </c>
      <c r="C10015" s="17" t="s">
        <v>10178</v>
      </c>
      <c r="D10015" s="17" t="s">
        <v>10209</v>
      </c>
      <c r="E10015" s="10">
        <v>1257486</v>
      </c>
      <c r="F10015" s="4" t="str">
        <f>IF(B10015=B10014,"",B10015)</f>
        <v>Sānand</v>
      </c>
    </row>
    <row r="10016" spans="1:6" ht="15.75" customHeight="1">
      <c r="A10016" s="6" t="s">
        <v>31023</v>
      </c>
      <c r="B10016" s="6" t="s">
        <v>31023</v>
      </c>
      <c r="C10016" s="6" t="s">
        <v>30993</v>
      </c>
      <c r="D10016" s="6" t="s">
        <v>31023</v>
      </c>
      <c r="E10016" s="2">
        <v>71137</v>
      </c>
      <c r="F10016" s="4" t="str">
        <f>IF(B10016=B10015,"",B10016)</f>
        <v>Sanaa</v>
      </c>
    </row>
    <row r="10017" spans="1:6" ht="15.75" customHeight="1">
      <c r="A10017" s="5" t="str">
        <f ca="1">IFERROR(__xludf.DUMMYFUNCTION("GOOGLETRANSLATE(B45821,""en"",""pt"")"),"Sanaa")</f>
        <v>Sanaa</v>
      </c>
      <c r="B10017" s="17" t="s">
        <v>31023</v>
      </c>
      <c r="C10017" s="17" t="s">
        <v>30993</v>
      </c>
      <c r="D10017" s="17" t="s">
        <v>31023</v>
      </c>
      <c r="E10017" s="10">
        <v>71137</v>
      </c>
      <c r="F10017" s="4" t="str">
        <f>IF(B10017=B10016,"",B10017)</f>
        <v/>
      </c>
    </row>
    <row r="10018" spans="1:6" ht="15.75" customHeight="1">
      <c r="A10018" s="5" t="s">
        <v>13222</v>
      </c>
      <c r="B10018" s="6" t="s">
        <v>13223</v>
      </c>
      <c r="C10018" s="5" t="s">
        <v>10178</v>
      </c>
      <c r="D10018" s="5" t="s">
        <v>10219</v>
      </c>
      <c r="E10018" s="2">
        <v>1257481</v>
      </c>
      <c r="F10018" s="4" t="str">
        <f>IF(B10018=B10017,"",B10018)</f>
        <v>SanÄwad</v>
      </c>
    </row>
    <row r="10019" spans="1:6" ht="15.75" customHeight="1">
      <c r="A10019" s="5" t="str">
        <f ca="1">IFERROR(__xludf.DUMMYFUNCTION("GOOGLETRANSLATE(B38314,""en"",""pt"")"),"Saña")</f>
        <v>Saña</v>
      </c>
      <c r="B10019" s="17" t="s">
        <v>34870</v>
      </c>
      <c r="C10019" s="17" t="s">
        <v>20470</v>
      </c>
      <c r="D10019" s="17" t="s">
        <v>20495</v>
      </c>
      <c r="E10019" s="10">
        <v>3692667</v>
      </c>
      <c r="F10019" s="4" t="str">
        <f>IF(B10019=B10018,"",B10019)</f>
        <v>Saña</v>
      </c>
    </row>
    <row r="10020" spans="1:6" ht="15.75" customHeight="1">
      <c r="A10020" s="5" t="s">
        <v>15463</v>
      </c>
      <c r="B10020" s="6" t="s">
        <v>15464</v>
      </c>
      <c r="C10020" s="5" t="s">
        <v>14891</v>
      </c>
      <c r="D10020" s="5" t="s">
        <v>14908</v>
      </c>
      <c r="E10020" s="2">
        <v>3167184</v>
      </c>
      <c r="F10020" s="4" t="str">
        <f>IF(B10020=B10019,"",B10020)</f>
        <v>San Vito dei Normanni</v>
      </c>
    </row>
    <row r="10021" spans="1:6" ht="15.75" customHeight="1">
      <c r="A10021" s="5" t="str">
        <f ca="1">IFERROR(__xludf.DUMMYFUNCTION("GOOGLETRANSLATE(B34703,""en"",""pt"")"),"San Vito Dei Normanni")</f>
        <v>San Vito Dei Normanni</v>
      </c>
      <c r="B10021" s="17" t="s">
        <v>15464</v>
      </c>
      <c r="C10021" s="17" t="s">
        <v>14891</v>
      </c>
      <c r="D10021" s="17" t="s">
        <v>14908</v>
      </c>
      <c r="E10021" s="10">
        <v>3167184</v>
      </c>
      <c r="F10021" s="4" t="str">
        <f>IF(B10021=B10020,"",B10021)</f>
        <v/>
      </c>
    </row>
    <row r="10022" spans="1:6" ht="15.75" customHeight="1">
      <c r="A10022" s="5" t="s">
        <v>4471</v>
      </c>
      <c r="B10022" s="6" t="s">
        <v>4471</v>
      </c>
      <c r="C10022" s="5" t="s">
        <v>4355</v>
      </c>
      <c r="D10022" s="5" t="s">
        <v>4379</v>
      </c>
      <c r="E10022" s="2">
        <v>3871276</v>
      </c>
      <c r="F10022" s="4" t="str">
        <f>IF(B10022=B10021,"",B10022)</f>
        <v>San Vicente de Tagua Tagua</v>
      </c>
    </row>
    <row r="10023" spans="1:6" ht="15.75" customHeight="1">
      <c r="A10023" s="5" t="str">
        <f ca="1">IFERROR(__xludf.DUMMYFUNCTION("GOOGLETRANSLATE(B25896,""en"",""pt"")"),"San Vicente de Tagua Tagua")</f>
        <v>San Vicente de Tagua Tagua</v>
      </c>
      <c r="B10023" s="17" t="s">
        <v>4471</v>
      </c>
      <c r="C10023" s="17" t="s">
        <v>4355</v>
      </c>
      <c r="D10023" s="17" t="s">
        <v>4379</v>
      </c>
      <c r="E10023" s="10">
        <v>3871276</v>
      </c>
      <c r="F10023" s="4" t="str">
        <f>IF(B10023=B10022,"",B10023)</f>
        <v/>
      </c>
    </row>
    <row r="10024" spans="1:6" ht="15.75" customHeight="1">
      <c r="A10024" s="5" t="s">
        <v>5704</v>
      </c>
      <c r="B10024" s="6" t="s">
        <v>5704</v>
      </c>
      <c r="C10024" s="5" t="s">
        <v>5665</v>
      </c>
      <c r="D10024" s="5" t="s">
        <v>5668</v>
      </c>
      <c r="E10024" s="2">
        <v>6612154</v>
      </c>
      <c r="F10024" s="4" t="str">
        <f>IF(B10024=B10023,"",B10024)</f>
        <v>San Vicente de Moravia</v>
      </c>
    </row>
    <row r="10025" spans="1:6" ht="15.75" customHeight="1">
      <c r="A10025" s="5" t="str">
        <f ca="1">IFERROR(__xludf.DUMMYFUNCTION("GOOGLETRANSLATE(B27101,""en"",""pt"")"),"San Vicente de Moravia")</f>
        <v>San Vicente de Moravia</v>
      </c>
      <c r="B10025" s="17" t="s">
        <v>5704</v>
      </c>
      <c r="C10025" s="17" t="s">
        <v>5665</v>
      </c>
      <c r="D10025" s="17" t="s">
        <v>5697</v>
      </c>
      <c r="E10025" s="10">
        <v>6612154</v>
      </c>
      <c r="F10025" s="4" t="str">
        <f>IF(B10025=B10024,"",B10025)</f>
        <v/>
      </c>
    </row>
    <row r="10026" spans="1:6" ht="15.75" customHeight="1">
      <c r="A10026" s="5" t="str">
        <f ca="1">IFERROR(__xludf.DUMMYFUNCTION("GOOGLETRANSLATE(B38362,""en"",""pt"")"),"San Vicente de Cañete")</f>
        <v>San Vicente de Cañete</v>
      </c>
      <c r="B10026" s="17" t="s">
        <v>34877</v>
      </c>
      <c r="C10026" s="17" t="s">
        <v>20470</v>
      </c>
      <c r="D10026" s="17" t="s">
        <v>20479</v>
      </c>
      <c r="E10026" s="10">
        <v>3928993</v>
      </c>
      <c r="F10026" s="4" t="str">
        <f>IF(B10026=B10025,"",B10026)</f>
        <v>San Vicente de Cañete</v>
      </c>
    </row>
    <row r="10027" spans="1:6" ht="15.75" customHeight="1">
      <c r="A10027" s="5" t="s">
        <v>20572</v>
      </c>
      <c r="B10027" s="6" t="s">
        <v>20573</v>
      </c>
      <c r="C10027" s="5" t="s">
        <v>20470</v>
      </c>
      <c r="D10027" s="5" t="s">
        <v>20479</v>
      </c>
      <c r="E10027" s="2">
        <v>3928993</v>
      </c>
      <c r="F10027" s="4" t="str">
        <f>IF(B10027=B10026,"",B10027)</f>
        <v>San Vicente de CaÃ±ete</v>
      </c>
    </row>
    <row r="10028" spans="1:6" ht="15.75" customHeight="1">
      <c r="A10028" s="5" t="s">
        <v>18263</v>
      </c>
      <c r="B10028" s="6" t="s">
        <v>18263</v>
      </c>
      <c r="C10028" s="5" t="s">
        <v>17707</v>
      </c>
      <c r="D10028" s="5" t="s">
        <v>17736</v>
      </c>
      <c r="E10028" s="2">
        <v>3530937</v>
      </c>
      <c r="F10028" s="4" t="str">
        <f>IF(B10028=B10027,"",B10028)</f>
        <v>San Vicente Chicoloapan</v>
      </c>
    </row>
    <row r="10029" spans="1:6" ht="15.75" customHeight="1">
      <c r="A10029" s="5" t="str">
        <f ca="1">IFERROR(__xludf.DUMMYFUNCTION("GOOGLETRANSLATE(B37069,""en"",""pt"")"),"San Vicente Chicoloapan")</f>
        <v>San Vicente Chicoloapan</v>
      </c>
      <c r="B10029" s="17" t="s">
        <v>18263</v>
      </c>
      <c r="C10029" s="17" t="s">
        <v>17707</v>
      </c>
      <c r="D10029" s="17" t="s">
        <v>20902</v>
      </c>
      <c r="E10029" s="10">
        <v>3530937</v>
      </c>
      <c r="F10029" s="4" t="str">
        <f>IF(B10029=B10028,"",B10029)</f>
        <v/>
      </c>
    </row>
    <row r="10030" spans="1:6" ht="15.75" customHeight="1">
      <c r="A10030" s="5" t="s">
        <v>800</v>
      </c>
      <c r="B10030" s="6" t="s">
        <v>800</v>
      </c>
      <c r="C10030" s="5" t="s">
        <v>558</v>
      </c>
      <c r="D10030" s="5" t="s">
        <v>576</v>
      </c>
      <c r="E10030" s="2">
        <v>3428068</v>
      </c>
      <c r="F10030" s="4" t="str">
        <f>IF(B10030=B10029,"",B10030)</f>
        <v>San Vicente</v>
      </c>
    </row>
    <row r="10031" spans="1:6" ht="15.75" customHeight="1">
      <c r="A10031" s="5" t="s">
        <v>800</v>
      </c>
      <c r="B10031" s="6" t="s">
        <v>800</v>
      </c>
      <c r="C10031" s="5" t="s">
        <v>4355</v>
      </c>
      <c r="D10031" s="5" t="s">
        <v>4379</v>
      </c>
      <c r="E10031" s="2">
        <v>3871286</v>
      </c>
      <c r="F10031" s="4" t="str">
        <f>IF(B10031=B10030,"",B10031)</f>
        <v/>
      </c>
    </row>
    <row r="10032" spans="1:6" ht="15.75" customHeight="1">
      <c r="A10032" s="5" t="s">
        <v>800</v>
      </c>
      <c r="B10032" s="6" t="s">
        <v>800</v>
      </c>
      <c r="C10032" s="5" t="s">
        <v>5665</v>
      </c>
      <c r="D10032" s="5" t="s">
        <v>5668</v>
      </c>
      <c r="E10032" s="2">
        <v>3621505</v>
      </c>
      <c r="F10032" s="4" t="str">
        <f>IF(B10032=B10031,"",B10032)</f>
        <v/>
      </c>
    </row>
    <row r="10033" spans="1:6" ht="15.75" customHeight="1">
      <c r="A10033" s="5" t="s">
        <v>800</v>
      </c>
      <c r="B10033" s="6" t="s">
        <v>800</v>
      </c>
      <c r="C10033" s="5" t="s">
        <v>6727</v>
      </c>
      <c r="D10033" s="5" t="s">
        <v>800</v>
      </c>
      <c r="E10033" s="2">
        <v>3583178</v>
      </c>
      <c r="F10033" s="4" t="str">
        <f>IF(B10033=B10032,"",B10033)</f>
        <v/>
      </c>
    </row>
    <row r="10034" spans="1:6" ht="15.75" customHeight="1">
      <c r="A10034" s="5" t="s">
        <v>800</v>
      </c>
      <c r="B10034" s="6" t="s">
        <v>800</v>
      </c>
      <c r="C10034" s="5" t="s">
        <v>20598</v>
      </c>
      <c r="D10034" s="5" t="s">
        <v>20599</v>
      </c>
      <c r="E10034" s="2">
        <v>1687409</v>
      </c>
      <c r="F10034" s="4" t="str">
        <f>IF(B10034=B10033,"",B10034)</f>
        <v/>
      </c>
    </row>
    <row r="10035" spans="1:6" ht="15.75" customHeight="1">
      <c r="A10035" s="5" t="str">
        <f ca="1">IFERROR(__xludf.DUMMYFUNCTION("GOOGLETRANSLATE(B23175,""en"",""pt"")"),"San Vicente")</f>
        <v>San Vicente</v>
      </c>
      <c r="B10035" s="17" t="s">
        <v>800</v>
      </c>
      <c r="C10035" s="17" t="s">
        <v>558</v>
      </c>
      <c r="D10035" s="17" t="s">
        <v>576</v>
      </c>
      <c r="E10035" s="10">
        <v>3428068</v>
      </c>
      <c r="F10035" s="4" t="str">
        <f>IF(B10035=B10034,"",B10035)</f>
        <v/>
      </c>
    </row>
    <row r="10036" spans="1:6" ht="15.75" customHeight="1">
      <c r="A10036" s="5" t="str">
        <f ca="1">IFERROR(__xludf.DUMMYFUNCTION("GOOGLETRANSLATE(B25897,""en"",""pt"")"),"San Vicente")</f>
        <v>San Vicente</v>
      </c>
      <c r="B10036" s="17" t="s">
        <v>800</v>
      </c>
      <c r="C10036" s="17" t="s">
        <v>4355</v>
      </c>
      <c r="D10036" s="17" t="s">
        <v>4379</v>
      </c>
      <c r="E10036" s="10">
        <v>3871286</v>
      </c>
      <c r="F10036" s="4" t="str">
        <f>IF(B10036=B10035,"",B10036)</f>
        <v/>
      </c>
    </row>
    <row r="10037" spans="1:6" ht="15.75" customHeight="1">
      <c r="A10037" s="5" t="str">
        <f ca="1">IFERROR(__xludf.DUMMYFUNCTION("GOOGLETRANSLATE(B27063,""en"",""pt"")"),"San Vicente")</f>
        <v>San Vicente</v>
      </c>
      <c r="B10037" s="17" t="s">
        <v>800</v>
      </c>
      <c r="C10037" s="17" t="s">
        <v>5665</v>
      </c>
      <c r="D10037" s="17" t="s">
        <v>5697</v>
      </c>
      <c r="E10037" s="10">
        <v>3621505</v>
      </c>
      <c r="F10037" s="4" t="str">
        <f>IF(B10037=B10036,"",B10037)</f>
        <v/>
      </c>
    </row>
    <row r="10038" spans="1:6" ht="15.75" customHeight="1">
      <c r="A10038" s="5" t="str">
        <f ca="1">IFERROR(__xludf.DUMMYFUNCTION("GOOGLETRANSLATE(B38482,""en"",""pt"")"),"San Vicente")</f>
        <v>San Vicente</v>
      </c>
      <c r="B10038" s="17" t="s">
        <v>800</v>
      </c>
      <c r="C10038" s="17" t="s">
        <v>20598</v>
      </c>
      <c r="D10038" s="17" t="s">
        <v>20599</v>
      </c>
      <c r="E10038" s="10">
        <v>1687409</v>
      </c>
      <c r="F10038" s="4" t="str">
        <f>IF(B10038=B10037,"",B10038)</f>
        <v/>
      </c>
    </row>
    <row r="10039" spans="1:6" ht="15.75" customHeight="1">
      <c r="A10039" s="5" t="str">
        <f ca="1">IFERROR(__xludf.DUMMYFUNCTION("GOOGLETRANSLATE(B41361,""en"",""pt"")"),"San Vicente")</f>
        <v>San Vicente</v>
      </c>
      <c r="B10039" s="17" t="s">
        <v>800</v>
      </c>
      <c r="C10039" s="17" t="s">
        <v>6727</v>
      </c>
      <c r="D10039" s="17" t="s">
        <v>800</v>
      </c>
      <c r="E10039" s="10">
        <v>3583178</v>
      </c>
      <c r="F10039" s="4" t="str">
        <f>IF(B10039=B10038,"",B10039)</f>
        <v/>
      </c>
    </row>
    <row r="10040" spans="1:6" ht="15.75" customHeight="1">
      <c r="A10040" s="5" t="s">
        <v>24772</v>
      </c>
      <c r="B10040" s="6" t="s">
        <v>24772</v>
      </c>
      <c r="C10040" s="5" t="s">
        <v>24200</v>
      </c>
      <c r="D10040" s="5" t="s">
        <v>21053</v>
      </c>
      <c r="E10040" s="2">
        <v>2511032</v>
      </c>
      <c r="F10040" s="4" t="str">
        <f>IF(B10040=B10039,"",B10040)</f>
        <v>San Vicent del Raspeig</v>
      </c>
    </row>
    <row r="10041" spans="1:6" ht="15.75" customHeight="1">
      <c r="A10041" s="5" t="str">
        <f ca="1">IFERROR(__xludf.DUMMYFUNCTION("GOOGLETRANSLATE(B28984,""en"",""pt"")"),"San Vicent Del Raspeig")</f>
        <v>San Vicent Del Raspeig</v>
      </c>
      <c r="B10041" s="17" t="s">
        <v>24772</v>
      </c>
      <c r="C10041" s="17" t="s">
        <v>24200</v>
      </c>
      <c r="D10041" s="17" t="s">
        <v>21053</v>
      </c>
      <c r="E10041" s="10">
        <v>2511032</v>
      </c>
      <c r="F10041" s="4" t="str">
        <f>IF(B10041=B10040,"",B10041)</f>
        <v/>
      </c>
    </row>
    <row r="10042" spans="1:6" ht="15.75" customHeight="1">
      <c r="A10042" s="5" t="s">
        <v>29898</v>
      </c>
      <c r="B10042" s="6" t="s">
        <v>29899</v>
      </c>
      <c r="C10042" s="5" t="s">
        <v>27788</v>
      </c>
      <c r="D10042" s="5" t="s">
        <v>27880</v>
      </c>
      <c r="E10042" s="2">
        <v>7310164</v>
      </c>
      <c r="F10042" s="4" t="str">
        <f>IF(B10042=B10041,"",B10042)</f>
        <v>San Tan Valley</v>
      </c>
    </row>
    <row r="10043" spans="1:6" ht="15.75" customHeight="1">
      <c r="A10043" s="5" t="str">
        <f ca="1">IFERROR(__xludf.DUMMYFUNCTION("GOOGLETRANSLATE(B45456,""en"",""pt"")"),"Vale de San Tan")</f>
        <v>Vale de San Tan</v>
      </c>
      <c r="B10043" s="17" t="s">
        <v>29899</v>
      </c>
      <c r="C10043" s="17" t="s">
        <v>27788</v>
      </c>
      <c r="D10043" s="17" t="s">
        <v>27880</v>
      </c>
      <c r="E10043" s="10">
        <v>7310164</v>
      </c>
      <c r="F10043" s="4" t="str">
        <f>IF(B10043=B10042,"",B10043)</f>
        <v/>
      </c>
    </row>
    <row r="10044" spans="1:6" ht="15.75" customHeight="1">
      <c r="A10044" s="5" t="s">
        <v>21002</v>
      </c>
      <c r="B10044" s="6" t="s">
        <v>21002</v>
      </c>
      <c r="C10044" s="5" t="s">
        <v>20598</v>
      </c>
      <c r="D10044" s="5" t="s">
        <v>20599</v>
      </c>
      <c r="E10044" s="2">
        <v>1688425</v>
      </c>
      <c r="F10044" s="4" t="str">
        <f>IF(B10044=B10043,"",B10044)</f>
        <v>San Simon</v>
      </c>
    </row>
    <row r="10045" spans="1:6" ht="15.75" customHeight="1">
      <c r="A10045" s="5" t="str">
        <f ca="1">IFERROR(__xludf.DUMMYFUNCTION("GOOGLETRANSLATE(B38495,""en"",""pt"")"),"San Simon")</f>
        <v>San Simon</v>
      </c>
      <c r="B10045" s="17" t="s">
        <v>21002</v>
      </c>
      <c r="C10045" s="17" t="s">
        <v>20598</v>
      </c>
      <c r="D10045" s="17" t="s">
        <v>20599</v>
      </c>
      <c r="E10045" s="10">
        <v>1688425</v>
      </c>
      <c r="F10045" s="4" t="str">
        <f>IF(B10045=B10044,"",B10045)</f>
        <v/>
      </c>
    </row>
    <row r="10046" spans="1:6" ht="15.75" customHeight="1">
      <c r="A10046" s="5" t="s">
        <v>15462</v>
      </c>
      <c r="B10046" s="6" t="s">
        <v>15462</v>
      </c>
      <c r="C10046" s="5" t="s">
        <v>14891</v>
      </c>
      <c r="D10046" s="5" t="s">
        <v>14908</v>
      </c>
      <c r="E10046" s="2">
        <v>3167731</v>
      </c>
      <c r="F10046" s="4" t="str">
        <f>IF(B10046=B10045,"",B10046)</f>
        <v>San Severo</v>
      </c>
    </row>
    <row r="10047" spans="1:6" ht="15.75" customHeight="1">
      <c r="A10047" s="5" t="str">
        <f ca="1">IFERROR(__xludf.DUMMYFUNCTION("GOOGLETRANSLATE(B34709,""en"",""pt"")"),"San Severo")</f>
        <v>San Severo</v>
      </c>
      <c r="B10047" s="17" t="s">
        <v>15462</v>
      </c>
      <c r="C10047" s="17" t="s">
        <v>14891</v>
      </c>
      <c r="D10047" s="17" t="s">
        <v>14908</v>
      </c>
      <c r="E10047" s="10">
        <v>3167731</v>
      </c>
      <c r="F10047" s="4" t="str">
        <f>IF(B10047=B10046,"",B10047)</f>
        <v/>
      </c>
    </row>
    <row r="10048" spans="1:6" ht="15.75" customHeight="1">
      <c r="A10048" s="5" t="s">
        <v>15461</v>
      </c>
      <c r="B10048" s="6" t="s">
        <v>15461</v>
      </c>
      <c r="C10048" s="5" t="s">
        <v>14891</v>
      </c>
      <c r="D10048" s="5" t="s">
        <v>14894</v>
      </c>
      <c r="E10048" s="2">
        <v>3167744</v>
      </c>
      <c r="F10048" s="4" t="str">
        <f>IF(B10048=B10047,"",B10048)</f>
        <v>San Sebastiano</v>
      </c>
    </row>
    <row r="10049" spans="1:6" ht="15.75" customHeight="1">
      <c r="A10049" s="5" t="str">
        <f ca="1">IFERROR(__xludf.DUMMYFUNCTION("GOOGLETRANSLATE(B34710,""en"",""pt"")"),"San Sebastiano")</f>
        <v>San Sebastiano</v>
      </c>
      <c r="B10049" s="17" t="s">
        <v>15461</v>
      </c>
      <c r="C10049" s="17" t="s">
        <v>14891</v>
      </c>
      <c r="D10049" s="17" t="s">
        <v>14894</v>
      </c>
      <c r="E10049" s="10">
        <v>3167744</v>
      </c>
      <c r="F10049" s="4" t="str">
        <f>IF(B10049=B10048,"",B10049)</f>
        <v/>
      </c>
    </row>
    <row r="10050" spans="1:6" ht="15.75" customHeight="1">
      <c r="A10050" s="5" t="str">
        <f ca="1">IFERROR(__xludf.DUMMYFUNCTION("GOOGLETRANSLATE(B37188,""en"",""pt"")"),"San Sebastián El Grande")</f>
        <v>San Sebastián El Grande</v>
      </c>
      <c r="B10050" s="17" t="s">
        <v>34739</v>
      </c>
      <c r="C10050" s="17" t="s">
        <v>17707</v>
      </c>
      <c r="D10050" s="17" t="s">
        <v>17746</v>
      </c>
      <c r="E10050" s="10">
        <v>3984791</v>
      </c>
      <c r="F10050" s="4" t="str">
        <f>IF(B10050=B10049,"",B10050)</f>
        <v>San Sebastián el Grande</v>
      </c>
    </row>
    <row r="10051" spans="1:6" ht="15.75" customHeight="1">
      <c r="A10051" s="5" t="str">
        <f ca="1">IFERROR(__xludf.DUMMYFUNCTION("GOOGLETRANSLATE(B29286,""en"",""pt"")"),"San Sebastián de Los Reyes")</f>
        <v>San Sebastián de Los Reyes</v>
      </c>
      <c r="B10051" s="17" t="s">
        <v>32429</v>
      </c>
      <c r="C10051" s="17" t="s">
        <v>24200</v>
      </c>
      <c r="D10051" s="17" t="s">
        <v>5513</v>
      </c>
      <c r="E10051" s="10">
        <v>3110040</v>
      </c>
      <c r="F10051" s="4" t="str">
        <f>IF(B10051=B10050,"",B10051)</f>
        <v>San Sebastián de los Reyes</v>
      </c>
    </row>
    <row r="10052" spans="1:6" ht="15.75" customHeight="1">
      <c r="A10052" s="5" t="s">
        <v>18261</v>
      </c>
      <c r="B10052" s="6" t="s">
        <v>18262</v>
      </c>
      <c r="C10052" s="5" t="s">
        <v>17707</v>
      </c>
      <c r="D10052" s="5" t="s">
        <v>17746</v>
      </c>
      <c r="E10052" s="2">
        <v>3984791</v>
      </c>
      <c r="F10052" s="4" t="str">
        <f>IF(B10052=B10051,"",B10052)</f>
        <v>San SebastiÃ¡n el Grande</v>
      </c>
    </row>
    <row r="10053" spans="1:6" ht="15.75" customHeight="1">
      <c r="A10053" s="5" t="s">
        <v>24770</v>
      </c>
      <c r="B10053" s="6" t="s">
        <v>24771</v>
      </c>
      <c r="C10053" s="5" t="s">
        <v>24200</v>
      </c>
      <c r="D10053" s="5" t="s">
        <v>5513</v>
      </c>
      <c r="E10053" s="2">
        <v>3110040</v>
      </c>
      <c r="F10053" s="4" t="str">
        <f>IF(B10053=B10052,"",B10053)</f>
        <v>San SebastiÃ¡n de los Reyes</v>
      </c>
    </row>
    <row r="10054" spans="1:6" ht="15.75" customHeight="1">
      <c r="A10054" s="6" t="s">
        <v>15460</v>
      </c>
      <c r="B10054" s="6" t="s">
        <v>15460</v>
      </c>
      <c r="C10054" s="6" t="s">
        <v>14891</v>
      </c>
      <c r="D10054" s="6" t="s">
        <v>14957</v>
      </c>
      <c r="E10054" s="2">
        <v>3167751</v>
      </c>
      <c r="F10054" s="4" t="str">
        <f>IF(B10054=B10053,"",B10054)</f>
        <v>San Salvo</v>
      </c>
    </row>
    <row r="10055" spans="1:6" ht="15.75" customHeight="1">
      <c r="A10055" s="5" t="str">
        <f ca="1">IFERROR(__xludf.DUMMYFUNCTION("GOOGLETRANSLATE(B34711,""en"",""pt"")"),"San Salvo")</f>
        <v>San Salvo</v>
      </c>
      <c r="B10055" s="17" t="s">
        <v>15460</v>
      </c>
      <c r="C10055" s="17" t="s">
        <v>14891</v>
      </c>
      <c r="D10055" s="17" t="s">
        <v>14957</v>
      </c>
      <c r="E10055" s="10">
        <v>3167751</v>
      </c>
      <c r="F10055" s="4" t="str">
        <f>IF(B10055=B10054,"",B10055)</f>
        <v/>
      </c>
    </row>
    <row r="10056" spans="1:6" ht="15.75" customHeight="1">
      <c r="A10056" s="5" t="s">
        <v>18260</v>
      </c>
      <c r="B10056" s="6" t="s">
        <v>18260</v>
      </c>
      <c r="C10056" s="5" t="s">
        <v>17707</v>
      </c>
      <c r="D10056" s="5" t="s">
        <v>17736</v>
      </c>
      <c r="E10056" s="2">
        <v>8858087</v>
      </c>
      <c r="F10056" s="4" t="str">
        <f>IF(B10056=B10055,"",B10056)</f>
        <v>San Salvador Tizatlalli</v>
      </c>
    </row>
    <row r="10057" spans="1:6" ht="15.75" customHeight="1">
      <c r="A10057" s="5" t="str">
        <f ca="1">IFERROR(__xludf.DUMMYFUNCTION("GOOGLETRANSLATE(B37364,""en"",""pt"")"),"San Salvador Tizatlalli")</f>
        <v>San Salvador Tizatlalli</v>
      </c>
      <c r="B10057" s="17" t="s">
        <v>18260</v>
      </c>
      <c r="C10057" s="17" t="s">
        <v>17707</v>
      </c>
      <c r="D10057" s="17" t="s">
        <v>20902</v>
      </c>
      <c r="E10057" s="10">
        <v>8858087</v>
      </c>
      <c r="F10057" s="4" t="str">
        <f>IF(B10057=B10056,"",B10057)</f>
        <v/>
      </c>
    </row>
    <row r="10058" spans="1:6" ht="15.75" customHeight="1">
      <c r="A10058" s="5" t="s">
        <v>18259</v>
      </c>
      <c r="B10058" s="6" t="s">
        <v>18259</v>
      </c>
      <c r="C10058" s="5" t="s">
        <v>17707</v>
      </c>
      <c r="D10058" s="5" t="s">
        <v>17717</v>
      </c>
      <c r="E10058" s="2">
        <v>3517831</v>
      </c>
      <c r="F10058" s="4" t="str">
        <f>IF(B10058=B10057,"",B10058)</f>
        <v>San Salvador El Seco</v>
      </c>
    </row>
    <row r="10059" spans="1:6" ht="15.75" customHeight="1">
      <c r="A10059" s="5" t="str">
        <f ca="1">IFERROR(__xludf.DUMMYFUNCTION("GOOGLETRANSLATE(B36920,""en"",""pt"")"),"San Salvador El Seco")</f>
        <v>San Salvador El Seco</v>
      </c>
      <c r="B10059" s="17" t="s">
        <v>18259</v>
      </c>
      <c r="C10059" s="17" t="s">
        <v>17707</v>
      </c>
      <c r="D10059" s="17" t="s">
        <v>17717</v>
      </c>
      <c r="E10059" s="10">
        <v>3517831</v>
      </c>
      <c r="F10059" s="4" t="str">
        <f>IF(B10059=B10058,"",B10059)</f>
        <v/>
      </c>
    </row>
    <row r="10060" spans="1:6" ht="15.75" customHeight="1">
      <c r="A10060" s="5" t="s">
        <v>799</v>
      </c>
      <c r="B10060" s="6" t="s">
        <v>799</v>
      </c>
      <c r="C10060" s="5" t="s">
        <v>558</v>
      </c>
      <c r="D10060" s="5" t="s">
        <v>699</v>
      </c>
      <c r="E10060" s="2">
        <v>3836564</v>
      </c>
      <c r="F10060" s="4" t="str">
        <f>IF(B10060=B10059,"",B10060)</f>
        <v>San Salvador de Jujuy</v>
      </c>
    </row>
    <row r="10061" spans="1:6" ht="15.75" customHeight="1">
      <c r="A10061" s="5" t="str">
        <f ca="1">IFERROR(__xludf.DUMMYFUNCTION("GOOGLETRANSLATE(B23262,""en"",""pt"")"),"San Salvador de Jujuy")</f>
        <v>San Salvador de Jujuy</v>
      </c>
      <c r="B10061" s="17" t="s">
        <v>799</v>
      </c>
      <c r="C10061" s="17" t="s">
        <v>558</v>
      </c>
      <c r="D10061" s="17" t="s">
        <v>699</v>
      </c>
      <c r="E10061" s="10">
        <v>3836564</v>
      </c>
      <c r="F10061" s="4" t="str">
        <f>IF(B10061=B10060,"",B10061)</f>
        <v/>
      </c>
    </row>
    <row r="10062" spans="1:6" ht="15.75" customHeight="1">
      <c r="A10062" s="5" t="s">
        <v>18258</v>
      </c>
      <c r="B10062" s="6" t="s">
        <v>18258</v>
      </c>
      <c r="C10062" s="5" t="s">
        <v>17707</v>
      </c>
      <c r="D10062" s="5" t="s">
        <v>17736</v>
      </c>
      <c r="E10062" s="2">
        <v>3517832</v>
      </c>
      <c r="F10062" s="4" t="str">
        <f>IF(B10062=B10061,"",B10062)</f>
        <v>San Salvador Atenco</v>
      </c>
    </row>
    <row r="10063" spans="1:6" ht="15.75" customHeight="1">
      <c r="A10063" s="5" t="str">
        <f ca="1">IFERROR(__xludf.DUMMYFUNCTION("GOOGLETRANSLATE(B36921,""en"",""pt"")"),"San Salvador Atenco")</f>
        <v>San Salvador Atenco</v>
      </c>
      <c r="B10063" s="17" t="s">
        <v>18258</v>
      </c>
      <c r="C10063" s="17" t="s">
        <v>17707</v>
      </c>
      <c r="D10063" s="17" t="s">
        <v>20902</v>
      </c>
      <c r="E10063" s="10">
        <v>3517832</v>
      </c>
      <c r="F10063" s="4" t="str">
        <f>IF(B10063=B10062,"",B10063)</f>
        <v/>
      </c>
    </row>
    <row r="10064" spans="1:6" ht="15.75" customHeight="1">
      <c r="A10064" s="5" t="s">
        <v>6753</v>
      </c>
      <c r="B10064" s="6" t="s">
        <v>6729</v>
      </c>
      <c r="C10064" s="5" t="s">
        <v>6727</v>
      </c>
      <c r="D10064" s="5" t="s">
        <v>6729</v>
      </c>
      <c r="E10064" s="2">
        <v>3583361</v>
      </c>
      <c r="F10064" s="4" t="str">
        <f>IF(B10064=B10063,"",B10064)</f>
        <v>San Salvador</v>
      </c>
    </row>
    <row r="10065" spans="1:6" ht="15.75" customHeight="1">
      <c r="A10065" s="5" t="str">
        <f ca="1">IFERROR(__xludf.DUMMYFUNCTION("GOOGLETRANSLATE(B41364,""en"",""pt"")"),"são Salvador")</f>
        <v>são Salvador</v>
      </c>
      <c r="B10065" s="17" t="s">
        <v>6729</v>
      </c>
      <c r="C10065" s="17" t="s">
        <v>6727</v>
      </c>
      <c r="D10065" s="17" t="s">
        <v>6729</v>
      </c>
      <c r="E10065" s="10">
        <v>3583361</v>
      </c>
      <c r="F10065" s="4" t="str">
        <f>IF(B10065=B10064,"",B10065)</f>
        <v/>
      </c>
    </row>
    <row r="10066" spans="1:6" ht="15.75" customHeight="1">
      <c r="A10066" s="5" t="s">
        <v>24769</v>
      </c>
      <c r="B10066" s="6" t="s">
        <v>24769</v>
      </c>
      <c r="C10066" s="5" t="s">
        <v>24200</v>
      </c>
      <c r="D10066" s="5" t="s">
        <v>24205</v>
      </c>
      <c r="E10066" s="2">
        <v>2511239</v>
      </c>
      <c r="F10066" s="4" t="str">
        <f>IF(B10066=B10065,"",B10066)</f>
        <v>San Roque</v>
      </c>
    </row>
    <row r="10067" spans="1:6" ht="15.75" customHeight="1">
      <c r="A10067" s="5" t="str">
        <f ca="1">IFERROR(__xludf.DUMMYFUNCTION("GOOGLETRANSLATE(B28993,""en"",""pt"")"),"San Roque")</f>
        <v>San Roque</v>
      </c>
      <c r="B10067" s="17" t="s">
        <v>24769</v>
      </c>
      <c r="C10067" s="17" t="s">
        <v>24200</v>
      </c>
      <c r="D10067" s="17" t="s">
        <v>24205</v>
      </c>
      <c r="E10067" s="10">
        <v>2511239</v>
      </c>
      <c r="F10067" s="4" t="str">
        <f>IF(B10067=B10066,"",B10067)</f>
        <v/>
      </c>
    </row>
    <row r="10068" spans="1:6" ht="15.75" customHeight="1">
      <c r="A10068" s="5" t="s">
        <v>15459</v>
      </c>
      <c r="B10068" s="6" t="s">
        <v>15459</v>
      </c>
      <c r="C10068" s="5" t="s">
        <v>14891</v>
      </c>
      <c r="D10068" s="5" t="s">
        <v>14920</v>
      </c>
      <c r="E10068" s="2">
        <v>3167777</v>
      </c>
      <c r="F10068" s="4" t="str">
        <f>IF(B10068=B10067,"",B10068)</f>
        <v>San Remo</v>
      </c>
    </row>
    <row r="10069" spans="1:6" ht="15.75" customHeight="1">
      <c r="A10069" s="5" t="str">
        <f ca="1">IFERROR(__xludf.DUMMYFUNCTION("GOOGLETRANSLATE(B34712,""en"",""pt"")"),"San Remo")</f>
        <v>San Remo</v>
      </c>
      <c r="B10069" s="17" t="s">
        <v>15459</v>
      </c>
      <c r="C10069" s="17" t="s">
        <v>14891</v>
      </c>
      <c r="D10069" s="17" t="s">
        <v>14920</v>
      </c>
      <c r="E10069" s="10">
        <v>3167777</v>
      </c>
      <c r="F10069" s="4" t="str">
        <f>IF(B10069=B10068,"",B10069)</f>
        <v/>
      </c>
    </row>
    <row r="10070" spans="1:6" ht="15.75" customHeight="1">
      <c r="A10070" s="5" t="str">
        <f ca="1">IFERROR(__xludf.DUMMYFUNCTION("GOOGLETRANSLATE(B23263,""en"",""pt"")"),"San Ramón de la Nueva Orán")</f>
        <v>San Ramón de la Nueva Orán</v>
      </c>
      <c r="B10070" s="17" t="s">
        <v>31184</v>
      </c>
      <c r="C10070" s="17" t="s">
        <v>558</v>
      </c>
      <c r="D10070" s="17" t="s">
        <v>649</v>
      </c>
      <c r="E10070" s="10">
        <v>3836620</v>
      </c>
      <c r="F10070" s="4" t="str">
        <f>IF(B10070=B10069,"",B10070)</f>
        <v>San Ramón de la Nueva Orán</v>
      </c>
    </row>
    <row r="10071" spans="1:6" ht="15.75" customHeight="1">
      <c r="A10071" s="5" t="s">
        <v>29897</v>
      </c>
      <c r="B10071" s="6" t="s">
        <v>29897</v>
      </c>
      <c r="C10071" s="5" t="s">
        <v>27788</v>
      </c>
      <c r="D10071" s="5" t="s">
        <v>27801</v>
      </c>
      <c r="E10071" s="2">
        <v>5392593</v>
      </c>
      <c r="F10071" s="4" t="str">
        <f>IF(B10071=B10070,"",B10071)</f>
        <v>San Ramon</v>
      </c>
    </row>
    <row r="10072" spans="1:6" ht="15.75" customHeight="1">
      <c r="A10072" s="5" t="str">
        <f ca="1">IFERROR(__xludf.DUMMYFUNCTION("GOOGLETRANSLATE(B45018,""en"",""pt"")"),"San Ramon")</f>
        <v>San Ramon</v>
      </c>
      <c r="B10072" s="17" t="s">
        <v>29897</v>
      </c>
      <c r="C10072" s="17" t="s">
        <v>27788</v>
      </c>
      <c r="D10072" s="17" t="s">
        <v>27801</v>
      </c>
      <c r="E10072" s="10">
        <v>5392593</v>
      </c>
      <c r="F10072" s="4" t="str">
        <f>IF(B10072=B10071,"",B10072)</f>
        <v/>
      </c>
    </row>
    <row r="10073" spans="1:6" ht="15.75" customHeight="1">
      <c r="A10073" s="5" t="s">
        <v>797</v>
      </c>
      <c r="B10073" s="6" t="s">
        <v>798</v>
      </c>
      <c r="C10073" s="5" t="s">
        <v>558</v>
      </c>
      <c r="D10073" s="5" t="s">
        <v>649</v>
      </c>
      <c r="E10073" s="2">
        <v>3836620</v>
      </c>
      <c r="F10073" s="4" t="str">
        <f>IF(B10073=B10072,"",B10073)</f>
        <v>San RamÃ³n de la Nueva OrÃ¡n</v>
      </c>
    </row>
    <row r="10074" spans="1:6" ht="15.75" customHeight="1">
      <c r="A10074" s="5" t="s">
        <v>18257</v>
      </c>
      <c r="B10074" s="6" t="s">
        <v>18257</v>
      </c>
      <c r="C10074" s="5" t="s">
        <v>17707</v>
      </c>
      <c r="D10074" s="5" t="s">
        <v>17717</v>
      </c>
      <c r="E10074" s="2">
        <v>8858120</v>
      </c>
      <c r="F10074" s="4" t="str">
        <f>IF(B10074=B10073,"",B10074)</f>
        <v>San Rafael Tlanalapan</v>
      </c>
    </row>
    <row r="10075" spans="1:6" ht="15.75" customHeight="1">
      <c r="A10075" s="5" t="str">
        <f ca="1">IFERROR(__xludf.DUMMYFUNCTION("GOOGLETRANSLATE(B37397,""en"",""pt"")"),"San Rafael Tlanalapan")</f>
        <v>San Rafael Tlanalapan</v>
      </c>
      <c r="B10075" s="17" t="s">
        <v>18257</v>
      </c>
      <c r="C10075" s="17" t="s">
        <v>17707</v>
      </c>
      <c r="D10075" s="17" t="s">
        <v>17717</v>
      </c>
      <c r="E10075" s="10">
        <v>8858120</v>
      </c>
      <c r="F10075" s="4" t="str">
        <f>IF(B10075=B10074,"",B10075)</f>
        <v/>
      </c>
    </row>
    <row r="10076" spans="1:6" ht="15.75" customHeight="1">
      <c r="A10076" s="5" t="s">
        <v>6752</v>
      </c>
      <c r="B10076" s="6" t="s">
        <v>6752</v>
      </c>
      <c r="C10076" s="5" t="s">
        <v>6727</v>
      </c>
      <c r="D10076" s="5" t="s">
        <v>5700</v>
      </c>
      <c r="E10076" s="2">
        <v>3583379</v>
      </c>
      <c r="F10076" s="4" t="str">
        <f>IF(B10076=B10075,"",B10076)</f>
        <v>San Rafael Oriente</v>
      </c>
    </row>
    <row r="10077" spans="1:6" ht="15.75" customHeight="1">
      <c r="A10077" s="5" t="str">
        <f ca="1">IFERROR(__xludf.DUMMYFUNCTION("GOOGLETRANSLATE(B41365,""en"",""pt"")"),"San Rafael Oriente")</f>
        <v>San Rafael Oriente</v>
      </c>
      <c r="B10077" s="17" t="s">
        <v>6752</v>
      </c>
      <c r="C10077" s="17" t="s">
        <v>6727</v>
      </c>
      <c r="D10077" s="17" t="s">
        <v>5700</v>
      </c>
      <c r="E10077" s="10">
        <v>3583379</v>
      </c>
      <c r="F10077" s="4" t="str">
        <f>IF(B10077=B10076,"",B10077)</f>
        <v/>
      </c>
    </row>
    <row r="10078" spans="1:6" ht="15.75" customHeight="1">
      <c r="A10078" s="5" t="s">
        <v>19252</v>
      </c>
      <c r="B10078" s="6" t="s">
        <v>19252</v>
      </c>
      <c r="C10078" s="5" t="s">
        <v>19217</v>
      </c>
      <c r="D10078" s="5" t="s">
        <v>19224</v>
      </c>
      <c r="E10078" s="2">
        <v>3616594</v>
      </c>
      <c r="F10078" s="4" t="str">
        <f>IF(B10078=B10077,"",B10078)</f>
        <v>San Rafael del Sur</v>
      </c>
    </row>
    <row r="10079" spans="1:6" ht="15.75" customHeight="1">
      <c r="A10079" s="5" t="str">
        <f ca="1">IFERROR(__xludf.DUMMYFUNCTION("GOOGLETRANSLATE(B37853,""en"",""pt"")"),"San Rafael del Sur")</f>
        <v>San Rafael del Sur</v>
      </c>
      <c r="B10079" s="17" t="s">
        <v>19252</v>
      </c>
      <c r="C10079" s="17" t="s">
        <v>19217</v>
      </c>
      <c r="D10079" s="17" t="s">
        <v>19224</v>
      </c>
      <c r="E10079" s="10">
        <v>3616594</v>
      </c>
      <c r="F10079" s="4" t="str">
        <f>IF(B10079=B10078,"",B10079)</f>
        <v/>
      </c>
    </row>
    <row r="10080" spans="1:6" ht="15.75" customHeight="1">
      <c r="A10080" s="5" t="s">
        <v>5703</v>
      </c>
      <c r="B10080" s="6" t="s">
        <v>5703</v>
      </c>
      <c r="C10080" s="5" t="s">
        <v>5665</v>
      </c>
      <c r="D10080" s="5" t="s">
        <v>5668</v>
      </c>
      <c r="E10080" s="2">
        <v>3621655</v>
      </c>
      <c r="F10080" s="4" t="str">
        <f>IF(B10080=B10079,"",B10080)</f>
        <v>San Rafael Arriba</v>
      </c>
    </row>
    <row r="10081" spans="1:6" ht="15.75" customHeight="1">
      <c r="A10081" s="5" t="str">
        <f ca="1">IFERROR(__xludf.DUMMYFUNCTION("GOOGLETRANSLATE(B27064,""en"",""pt"")"),"San Rafael Arriba")</f>
        <v>San Rafael Arriba</v>
      </c>
      <c r="B10081" s="17" t="s">
        <v>5703</v>
      </c>
      <c r="C10081" s="17" t="s">
        <v>5665</v>
      </c>
      <c r="D10081" s="17" t="s">
        <v>5697</v>
      </c>
      <c r="E10081" s="10">
        <v>3621655</v>
      </c>
      <c r="F10081" s="4" t="str">
        <f>IF(B10081=B10080,"",B10081)</f>
        <v/>
      </c>
    </row>
    <row r="10082" spans="1:6" ht="15.75" customHeight="1">
      <c r="A10082" s="5" t="s">
        <v>5702</v>
      </c>
      <c r="B10082" s="6" t="s">
        <v>5702</v>
      </c>
      <c r="C10082" s="5" t="s">
        <v>5665</v>
      </c>
      <c r="D10082" s="5" t="s">
        <v>5668</v>
      </c>
      <c r="E10082" s="2">
        <v>3621659</v>
      </c>
      <c r="F10082" s="4" t="str">
        <f>IF(B10082=B10081,"",B10082)</f>
        <v>San Rafael Abajo</v>
      </c>
    </row>
    <row r="10083" spans="1:6" ht="15.75" customHeight="1">
      <c r="A10083" s="5" t="str">
        <f ca="1">IFERROR(__xludf.DUMMYFUNCTION("GOOGLETRANSLATE(B27065,""en"",""pt"")"),"San Rafael Abajo")</f>
        <v>San Rafael Abajo</v>
      </c>
      <c r="B10083" s="17" t="s">
        <v>5702</v>
      </c>
      <c r="C10083" s="17" t="s">
        <v>5665</v>
      </c>
      <c r="D10083" s="17" t="s">
        <v>5697</v>
      </c>
      <c r="E10083" s="10">
        <v>3621659</v>
      </c>
      <c r="F10083" s="4" t="str">
        <f>IF(B10083=B10082,"",B10083)</f>
        <v/>
      </c>
    </row>
    <row r="10084" spans="1:6" ht="15.75" customHeight="1">
      <c r="A10084" s="5" t="s">
        <v>796</v>
      </c>
      <c r="B10084" s="6" t="s">
        <v>796</v>
      </c>
      <c r="C10084" s="5" t="s">
        <v>558</v>
      </c>
      <c r="D10084" s="5" t="s">
        <v>707</v>
      </c>
      <c r="E10084" s="2">
        <v>3836669</v>
      </c>
      <c r="F10084" s="4" t="str">
        <f>IF(B10084=B10083,"",B10084)</f>
        <v>San Rafael</v>
      </c>
    </row>
    <row r="10085" spans="1:6" ht="15.75" customHeight="1">
      <c r="A10085" s="5" t="s">
        <v>796</v>
      </c>
      <c r="B10085" s="6" t="s">
        <v>796</v>
      </c>
      <c r="C10085" s="5" t="s">
        <v>5665</v>
      </c>
      <c r="D10085" s="5" t="s">
        <v>5664</v>
      </c>
      <c r="E10085" s="2">
        <v>3621687</v>
      </c>
      <c r="F10085" s="4" t="str">
        <f>IF(B10085=B10084,"",B10085)</f>
        <v/>
      </c>
    </row>
    <row r="10086" spans="1:6" ht="15.75" customHeight="1">
      <c r="A10086" s="5" t="s">
        <v>796</v>
      </c>
      <c r="B10086" s="6" t="s">
        <v>796</v>
      </c>
      <c r="C10086" s="5" t="s">
        <v>5665</v>
      </c>
      <c r="D10086" s="5" t="s">
        <v>5668</v>
      </c>
      <c r="E10086" s="2">
        <v>3621689</v>
      </c>
      <c r="F10086" s="4" t="str">
        <f>IF(B10086=B10085,"",B10086)</f>
        <v/>
      </c>
    </row>
    <row r="10087" spans="1:6" ht="15.75" customHeight="1">
      <c r="A10087" s="5" t="s">
        <v>796</v>
      </c>
      <c r="B10087" s="6" t="s">
        <v>796</v>
      </c>
      <c r="C10087" s="5" t="s">
        <v>27788</v>
      </c>
      <c r="D10087" s="5" t="s">
        <v>27801</v>
      </c>
      <c r="E10087" s="2">
        <v>5392567</v>
      </c>
      <c r="F10087" s="4" t="str">
        <f>IF(B10087=B10086,"",B10087)</f>
        <v/>
      </c>
    </row>
    <row r="10088" spans="1:6" ht="15.75" customHeight="1">
      <c r="A10088" s="5" t="str">
        <f ca="1">IFERROR(__xludf.DUMMYFUNCTION("GOOGLETRANSLATE(B23264,""en"",""pt"")"),"San Rafael")</f>
        <v>San Rafael</v>
      </c>
      <c r="B10088" s="17" t="s">
        <v>796</v>
      </c>
      <c r="C10088" s="17" t="s">
        <v>558</v>
      </c>
      <c r="D10088" s="17" t="s">
        <v>707</v>
      </c>
      <c r="E10088" s="10">
        <v>3836669</v>
      </c>
      <c r="F10088" s="4" t="str">
        <f>IF(B10088=B10087,"",B10088)</f>
        <v/>
      </c>
    </row>
    <row r="10089" spans="1:6" ht="15.75" customHeight="1">
      <c r="A10089" s="5" t="str">
        <f ca="1">IFERROR(__xludf.DUMMYFUNCTION("GOOGLETRANSLATE(B27066,""en"",""pt"")"),"San Rafael")</f>
        <v>San Rafael</v>
      </c>
      <c r="B10089" s="17" t="s">
        <v>796</v>
      </c>
      <c r="C10089" s="17" t="s">
        <v>5665</v>
      </c>
      <c r="D10089" s="17" t="s">
        <v>5664</v>
      </c>
      <c r="E10089" s="10">
        <v>3621687</v>
      </c>
      <c r="F10089" s="4" t="str">
        <f>IF(B10089=B10088,"",B10089)</f>
        <v/>
      </c>
    </row>
    <row r="10090" spans="1:6" ht="15.75" customHeight="1">
      <c r="A10090" s="5" t="str">
        <f ca="1">IFERROR(__xludf.DUMMYFUNCTION("GOOGLETRANSLATE(B27067,""en"",""pt"")"),"San Rafael")</f>
        <v>San Rafael</v>
      </c>
      <c r="B10090" s="17" t="s">
        <v>796</v>
      </c>
      <c r="C10090" s="17" t="s">
        <v>5665</v>
      </c>
      <c r="D10090" s="17" t="s">
        <v>5697</v>
      </c>
      <c r="E10090" s="10">
        <v>3621689</v>
      </c>
      <c r="F10090" s="4" t="str">
        <f>IF(B10090=B10089,"",B10090)</f>
        <v/>
      </c>
    </row>
    <row r="10091" spans="1:6" ht="15.75" customHeight="1">
      <c r="A10091" s="5" t="str">
        <f ca="1">IFERROR(__xludf.DUMMYFUNCTION("GOOGLETRANSLATE(B45017,""en"",""pt"")"),"San Rafael")</f>
        <v>San Rafael</v>
      </c>
      <c r="B10091" s="17" t="s">
        <v>796</v>
      </c>
      <c r="C10091" s="17" t="s">
        <v>27788</v>
      </c>
      <c r="D10091" s="17" t="s">
        <v>27801</v>
      </c>
      <c r="E10091" s="10">
        <v>5392567</v>
      </c>
      <c r="F10091" s="4" t="str">
        <f>IF(B10091=B10090,"",B10091)</f>
        <v/>
      </c>
    </row>
    <row r="10092" spans="1:6" ht="15.75" customHeight="1">
      <c r="A10092" s="5" t="s">
        <v>9929</v>
      </c>
      <c r="B10092" s="6" t="s">
        <v>9929</v>
      </c>
      <c r="C10092" s="5" t="s">
        <v>9907</v>
      </c>
      <c r="D10092" s="5" t="s">
        <v>9908</v>
      </c>
      <c r="E10092" s="2">
        <v>3601782</v>
      </c>
      <c r="F10092" s="4" t="str">
        <f>IF(B10092=B10091,"",B10092)</f>
        <v>San Pedro Sula</v>
      </c>
    </row>
    <row r="10093" spans="1:6" ht="15.75" customHeight="1">
      <c r="A10093" s="5" t="str">
        <f ca="1">IFERROR(__xludf.DUMMYFUNCTION("GOOGLETRANSLATE(B31172,""en"",""pt"")"),"San Pedro Sula")</f>
        <v>San Pedro Sula</v>
      </c>
      <c r="B10093" s="17" t="s">
        <v>9929</v>
      </c>
      <c r="C10093" s="17" t="s">
        <v>9907</v>
      </c>
      <c r="D10093" s="17" t="s">
        <v>32793</v>
      </c>
      <c r="E10093" s="10">
        <v>3601782</v>
      </c>
      <c r="F10093" s="4" t="str">
        <f>IF(B10093=B10092,"",B10093)</f>
        <v/>
      </c>
    </row>
    <row r="10094" spans="1:6" ht="15.75" customHeight="1">
      <c r="A10094" s="5" t="str">
        <f ca="1">IFERROR(__xludf.DUMMYFUNCTION("GOOGLETRANSLATE(B31077,""en"",""pt"")"),"San Pedro Sacatepéquez")</f>
        <v>San Pedro Sacatepéquez</v>
      </c>
      <c r="B10094" s="17" t="s">
        <v>32774</v>
      </c>
      <c r="C10094" s="17" t="s">
        <v>9700</v>
      </c>
      <c r="D10094" s="17" t="s">
        <v>5602</v>
      </c>
      <c r="E10094" s="10">
        <v>3589626</v>
      </c>
      <c r="F10094" s="4" t="str">
        <f>IF(B10094=B10093,"",B10094)</f>
        <v>San Pedro Sacatepéquez</v>
      </c>
    </row>
    <row r="10095" spans="1:6" ht="15.75" customHeight="1">
      <c r="A10095" s="5" t="s">
        <v>9798</v>
      </c>
      <c r="B10095" s="6" t="s">
        <v>9799</v>
      </c>
      <c r="C10095" s="5" t="s">
        <v>9700</v>
      </c>
      <c r="D10095" s="5" t="s">
        <v>5602</v>
      </c>
      <c r="E10095" s="2">
        <v>3589626</v>
      </c>
      <c r="F10095" s="4" t="str">
        <f>IF(B10095=B10094,"",B10095)</f>
        <v>San Pedro SacatepÃ©quez</v>
      </c>
    </row>
    <row r="10096" spans="1:6" ht="15.75" customHeight="1">
      <c r="A10096" s="5" t="s">
        <v>18256</v>
      </c>
      <c r="B10096" s="6" t="s">
        <v>18256</v>
      </c>
      <c r="C10096" s="5" t="s">
        <v>17707</v>
      </c>
      <c r="D10096" s="5" t="s">
        <v>17826</v>
      </c>
      <c r="E10096" s="2">
        <v>3996956</v>
      </c>
      <c r="F10096" s="4" t="str">
        <f>IF(B10096=B10095,"",B10096)</f>
        <v>San Pedro Madera</v>
      </c>
    </row>
    <row r="10097" spans="1:6" ht="15.75" customHeight="1">
      <c r="A10097" s="5" t="str">
        <f ca="1">IFERROR(__xludf.DUMMYFUNCTION("GOOGLETRANSLATE(B37255,""en"",""pt"")"),"San Pedro Madera")</f>
        <v>San Pedro Madera</v>
      </c>
      <c r="B10097" s="17" t="s">
        <v>18256</v>
      </c>
      <c r="C10097" s="17" t="s">
        <v>17707</v>
      </c>
      <c r="D10097" s="17" t="s">
        <v>17826</v>
      </c>
      <c r="E10097" s="10">
        <v>3996956</v>
      </c>
      <c r="F10097" s="4" t="str">
        <f>IF(B10097=B10096,"",B10097)</f>
        <v/>
      </c>
    </row>
    <row r="10098" spans="1:6" ht="15.75" customHeight="1">
      <c r="A10098" s="5" t="s">
        <v>18255</v>
      </c>
      <c r="B10098" s="6" t="s">
        <v>18255</v>
      </c>
      <c r="C10098" s="5" t="s">
        <v>17707</v>
      </c>
      <c r="D10098" s="5" t="s">
        <v>17739</v>
      </c>
      <c r="E10098" s="2">
        <v>8617692</v>
      </c>
      <c r="F10098" s="4" t="str">
        <f>IF(B10098=B10097,"",B10098)</f>
        <v>San Pedro Garza Garcia</v>
      </c>
    </row>
    <row r="10099" spans="1:6" ht="15.75" customHeight="1">
      <c r="A10099" s="5" t="str">
        <f ca="1">IFERROR(__xludf.DUMMYFUNCTION("GOOGLETRANSLATE(B37358,""en"",""pt"")"),"San Pedro Garza Garcia")</f>
        <v>San Pedro Garza Garcia</v>
      </c>
      <c r="B10099" s="17" t="s">
        <v>18255</v>
      </c>
      <c r="C10099" s="17" t="s">
        <v>17707</v>
      </c>
      <c r="D10099" s="17" t="s">
        <v>34689</v>
      </c>
      <c r="E10099" s="10">
        <v>8617692</v>
      </c>
      <c r="F10099" s="4" t="str">
        <f>IF(B10099=B10098,"",B10099)</f>
        <v/>
      </c>
    </row>
    <row r="10100" spans="1:6" ht="15.75" customHeight="1">
      <c r="A10100" s="5" t="s">
        <v>24768</v>
      </c>
      <c r="B10100" s="6" t="s">
        <v>24768</v>
      </c>
      <c r="C10100" s="5" t="s">
        <v>24200</v>
      </c>
      <c r="D10100" s="5" t="s">
        <v>20912</v>
      </c>
      <c r="E10100" s="2">
        <v>2511247</v>
      </c>
      <c r="F10100" s="4" t="str">
        <f>IF(B10100=B10099,"",B10100)</f>
        <v>San Pedro del Pinatar</v>
      </c>
    </row>
    <row r="10101" spans="1:6" ht="15.75" customHeight="1">
      <c r="A10101" s="5" t="str">
        <f ca="1">IFERROR(__xludf.DUMMYFUNCTION("GOOGLETRANSLATE(B28994,""en"",""pt"")"),"San Pedro del Pinatar")</f>
        <v>San Pedro del Pinatar</v>
      </c>
      <c r="B10101" s="17" t="s">
        <v>24768</v>
      </c>
      <c r="C10101" s="17" t="s">
        <v>24200</v>
      </c>
      <c r="D10101" s="17" t="s">
        <v>20912</v>
      </c>
      <c r="E10101" s="10">
        <v>2511247</v>
      </c>
      <c r="F10101" s="4" t="str">
        <f>IF(B10101=B10100,"",B10101)</f>
        <v/>
      </c>
    </row>
    <row r="10102" spans="1:6" ht="15.75" customHeight="1">
      <c r="A10102" s="5" t="str">
        <f ca="1">IFERROR(__xludf.DUMMYFUNCTION("GOOGLETRANSLATE(B28462,""en"",""pt"")"),"San Pedro de Macor.")</f>
        <v>San Pedro de Macor.</v>
      </c>
      <c r="B10102" s="17" t="s">
        <v>32169</v>
      </c>
      <c r="C10102" s="17" t="s">
        <v>6303</v>
      </c>
      <c r="D10102" s="17" t="s">
        <v>32169</v>
      </c>
      <c r="E10102" s="10">
        <v>3493032</v>
      </c>
      <c r="F10102" s="4" t="str">
        <f>IF(B10102=B10101,"",B10102)</f>
        <v>San Pedro de Macorís</v>
      </c>
    </row>
    <row r="10103" spans="1:6" ht="15.75" customHeight="1">
      <c r="A10103" s="5" t="s">
        <v>6365</v>
      </c>
      <c r="B10103" s="6" t="s">
        <v>6346</v>
      </c>
      <c r="C10103" s="5" t="s">
        <v>6303</v>
      </c>
      <c r="D10103" s="5" t="s">
        <v>6346</v>
      </c>
      <c r="E10103" s="2">
        <v>3493032</v>
      </c>
      <c r="F10103" s="4" t="str">
        <f>IF(B10103=B10102,"",B10103)</f>
        <v>San Pedro de MacorÃ­s</v>
      </c>
    </row>
    <row r="10104" spans="1:6" ht="15.75" customHeight="1">
      <c r="A10104" s="5" t="s">
        <v>20571</v>
      </c>
      <c r="B10104" s="6" t="s">
        <v>20571</v>
      </c>
      <c r="C10104" s="5" t="s">
        <v>20470</v>
      </c>
      <c r="D10104" s="5" t="s">
        <v>6435</v>
      </c>
      <c r="E10104" s="2">
        <v>3692310</v>
      </c>
      <c r="F10104" s="4" t="str">
        <f>IF(B10104=B10103,"",B10104)</f>
        <v>San Pedro de Lloc</v>
      </c>
    </row>
    <row r="10105" spans="1:6" ht="15.75" customHeight="1">
      <c r="A10105" s="5" t="str">
        <f ca="1">IFERROR(__xludf.DUMMYFUNCTION("GOOGLETRANSLATE(B38313,""en"",""pt"")"),"San Pedro de Lloc")</f>
        <v>San Pedro de Lloc</v>
      </c>
      <c r="B10105" s="17" t="s">
        <v>20571</v>
      </c>
      <c r="C10105" s="17" t="s">
        <v>20470</v>
      </c>
      <c r="D10105" s="17" t="s">
        <v>6435</v>
      </c>
      <c r="E10105" s="10">
        <v>3692310</v>
      </c>
      <c r="F10105" s="4" t="str">
        <f>IF(B10105=B10104,"",B10105)</f>
        <v/>
      </c>
    </row>
    <row r="10106" spans="1:6" ht="15.75" customHeight="1">
      <c r="A10106" s="5" t="str">
        <f ca="1">IFERROR(__xludf.DUMMYFUNCTION("GOOGLETRANSLATE(B28995,""en"",""pt"")"),"San Pedro de Alcántara")</f>
        <v>San Pedro de Alcántara</v>
      </c>
      <c r="B10106" s="17" t="s">
        <v>32358</v>
      </c>
      <c r="C10106" s="17" t="s">
        <v>24200</v>
      </c>
      <c r="D10106" s="17" t="s">
        <v>24205</v>
      </c>
      <c r="E10106" s="10">
        <v>2511250</v>
      </c>
      <c r="F10106" s="4" t="str">
        <f>IF(B10106=B10105,"",B10106)</f>
        <v>San Pedro de Alcántara</v>
      </c>
    </row>
    <row r="10107" spans="1:6" ht="15.75" customHeight="1">
      <c r="A10107" s="5" t="s">
        <v>24766</v>
      </c>
      <c r="B10107" s="6" t="s">
        <v>24767</v>
      </c>
      <c r="C10107" s="5" t="s">
        <v>24200</v>
      </c>
      <c r="D10107" s="5" t="s">
        <v>24205</v>
      </c>
      <c r="E10107" s="2">
        <v>2511250</v>
      </c>
      <c r="F10107" s="4" t="str">
        <f>IF(B10107=B10106,"",B10107)</f>
        <v>San Pedro de AlcÃ¡ntara</v>
      </c>
    </row>
    <row r="10108" spans="1:6" ht="15.75" customHeight="1">
      <c r="A10108" s="5" t="s">
        <v>9797</v>
      </c>
      <c r="B10108" s="6" t="s">
        <v>9797</v>
      </c>
      <c r="C10108" s="5" t="s">
        <v>9700</v>
      </c>
      <c r="D10108" s="5" t="s">
        <v>9700</v>
      </c>
      <c r="E10108" s="2">
        <v>3589646</v>
      </c>
      <c r="F10108" s="4" t="str">
        <f>IF(B10108=B10107,"",B10108)</f>
        <v>San Pedro Ayampuc</v>
      </c>
    </row>
    <row r="10109" spans="1:6" ht="15.75" customHeight="1">
      <c r="A10109" s="5" t="str">
        <f ca="1">IFERROR(__xludf.DUMMYFUNCTION("GOOGLETRANSLATE(B31078,""en"",""pt"")"),"San Pedro Ayampuc")</f>
        <v>San Pedro Ayampuc</v>
      </c>
      <c r="B10109" s="17" t="s">
        <v>9797</v>
      </c>
      <c r="C10109" s="17" t="s">
        <v>9700</v>
      </c>
      <c r="D10109" s="17" t="s">
        <v>9700</v>
      </c>
      <c r="E10109" s="10">
        <v>3589646</v>
      </c>
      <c r="F10109" s="4" t="str">
        <f>IF(B10109=B10108,"",B10109)</f>
        <v/>
      </c>
    </row>
    <row r="10110" spans="1:6" ht="15.75" customHeight="1">
      <c r="A10110" s="5" t="s">
        <v>794</v>
      </c>
      <c r="B10110" s="6" t="s">
        <v>795</v>
      </c>
      <c r="C10110" s="5" t="s">
        <v>558</v>
      </c>
      <c r="D10110" s="5" t="s">
        <v>576</v>
      </c>
      <c r="E10110" s="2">
        <v>3428577</v>
      </c>
      <c r="F10110" s="4" t="str">
        <f>IF(B10110=B10109,"",B10110)</f>
        <v>San Pedro</v>
      </c>
    </row>
    <row r="10111" spans="1:6" ht="15.75" customHeight="1">
      <c r="A10111" s="5" t="s">
        <v>794</v>
      </c>
      <c r="B10111" s="6" t="s">
        <v>795</v>
      </c>
      <c r="C10111" s="5" t="s">
        <v>558</v>
      </c>
      <c r="D10111" s="5" t="s">
        <v>699</v>
      </c>
      <c r="E10111" s="2">
        <v>3836772</v>
      </c>
      <c r="F10111" s="4" t="str">
        <f>IF(B10111=B10110,"",B10111)</f>
        <v/>
      </c>
    </row>
    <row r="10112" spans="1:6" ht="15.75" customHeight="1">
      <c r="A10112" s="5" t="s">
        <v>794</v>
      </c>
      <c r="B10112" s="6" t="s">
        <v>795</v>
      </c>
      <c r="C10112" s="5" t="s">
        <v>5665</v>
      </c>
      <c r="D10112" s="5" t="s">
        <v>5668</v>
      </c>
      <c r="E10112" s="2">
        <v>3621717</v>
      </c>
      <c r="F10112" s="4" t="str">
        <f>IF(B10112=B10111,"",B10112)</f>
        <v/>
      </c>
    </row>
    <row r="10113" spans="1:6" ht="15.75" customHeight="1">
      <c r="A10113" s="5" t="s">
        <v>794</v>
      </c>
      <c r="B10113" s="6" t="s">
        <v>795</v>
      </c>
      <c r="C10113" s="5" t="s">
        <v>17707</v>
      </c>
      <c r="D10113" s="5" t="s">
        <v>17738</v>
      </c>
      <c r="E10113" s="2">
        <v>3985129</v>
      </c>
      <c r="F10113" s="4" t="str">
        <f>IF(B10113=B10112,"",B10113)</f>
        <v/>
      </c>
    </row>
    <row r="10114" spans="1:6" ht="15.75" customHeight="1">
      <c r="A10114" s="5" t="s">
        <v>794</v>
      </c>
      <c r="B10114" s="6" t="s">
        <v>795</v>
      </c>
      <c r="C10114" s="5" t="s">
        <v>20598</v>
      </c>
      <c r="D10114" s="5" t="s">
        <v>20608</v>
      </c>
      <c r="E10114" s="2">
        <v>1688749</v>
      </c>
      <c r="F10114" s="4" t="str">
        <f>IF(B10114=B10113,"",B10114)</f>
        <v/>
      </c>
    </row>
    <row r="10115" spans="1:6" ht="15.75" customHeight="1">
      <c r="A10115" s="5" t="s">
        <v>794</v>
      </c>
      <c r="B10115" s="6" t="s">
        <v>795</v>
      </c>
      <c r="C10115" s="5" t="s">
        <v>27788</v>
      </c>
      <c r="D10115" s="5" t="s">
        <v>27801</v>
      </c>
      <c r="E10115" s="2">
        <v>5392528</v>
      </c>
      <c r="F10115" s="4" t="str">
        <f>IF(B10115=B10114,"",B10115)</f>
        <v/>
      </c>
    </row>
    <row r="10116" spans="1:6" ht="15.75" customHeight="1">
      <c r="A10116" s="5" t="str">
        <f ca="1">IFERROR(__xludf.DUMMYFUNCTION("GOOGLETRANSLATE(B23178,""en"",""pt"")"),"Sao Pedro")</f>
        <v>Sao Pedro</v>
      </c>
      <c r="B10116" s="17" t="s">
        <v>795</v>
      </c>
      <c r="C10116" s="17" t="s">
        <v>558</v>
      </c>
      <c r="D10116" s="17" t="s">
        <v>576</v>
      </c>
      <c r="E10116" s="10">
        <v>3428577</v>
      </c>
      <c r="F10116" s="4" t="str">
        <f>IF(B10116=B10115,"",B10116)</f>
        <v/>
      </c>
    </row>
    <row r="10117" spans="1:6" ht="15.75" customHeight="1">
      <c r="A10117" s="5" t="str">
        <f ca="1">IFERROR(__xludf.DUMMYFUNCTION("GOOGLETRANSLATE(B23265,""en"",""pt"")"),"Sao Pedro")</f>
        <v>Sao Pedro</v>
      </c>
      <c r="B10117" s="17" t="s">
        <v>795</v>
      </c>
      <c r="C10117" s="17" t="s">
        <v>558</v>
      </c>
      <c r="D10117" s="17" t="s">
        <v>699</v>
      </c>
      <c r="E10117" s="10">
        <v>3836772</v>
      </c>
      <c r="F10117" s="4" t="str">
        <f>IF(B10117=B10116,"",B10117)</f>
        <v/>
      </c>
    </row>
    <row r="10118" spans="1:6" ht="15.75" customHeight="1">
      <c r="A10118" s="5" t="str">
        <f ca="1">IFERROR(__xludf.DUMMYFUNCTION("GOOGLETRANSLATE(B27068,""en"",""pt"")"),"Sao Pedro")</f>
        <v>Sao Pedro</v>
      </c>
      <c r="B10118" s="17" t="s">
        <v>795</v>
      </c>
      <c r="C10118" s="17" t="s">
        <v>5665</v>
      </c>
      <c r="D10118" s="17" t="s">
        <v>5697</v>
      </c>
      <c r="E10118" s="10">
        <v>3621717</v>
      </c>
      <c r="F10118" s="4" t="str">
        <f>IF(B10118=B10117,"",B10118)</f>
        <v/>
      </c>
    </row>
    <row r="10119" spans="1:6" ht="15.75" customHeight="1">
      <c r="A10119" s="5" t="str">
        <f ca="1">IFERROR(__xludf.DUMMYFUNCTION("GOOGLETRANSLATE(B37189,""en"",""pt"")"),"Sao Pedro")</f>
        <v>Sao Pedro</v>
      </c>
      <c r="B10119" s="17" t="s">
        <v>795</v>
      </c>
      <c r="C10119" s="17" t="s">
        <v>17707</v>
      </c>
      <c r="D10119" s="17" t="s">
        <v>17738</v>
      </c>
      <c r="E10119" s="10">
        <v>3985129</v>
      </c>
      <c r="F10119" s="4" t="str">
        <f>IF(B10119=B10118,"",B10119)</f>
        <v/>
      </c>
    </row>
    <row r="10120" spans="1:6" ht="15.75" customHeight="1">
      <c r="A10120" s="5" t="str">
        <f ca="1">IFERROR(__xludf.DUMMYFUNCTION("GOOGLETRANSLATE(B38496,""en"",""pt"")"),"Sao Pedro")</f>
        <v>Sao Pedro</v>
      </c>
      <c r="B10120" s="17" t="s">
        <v>795</v>
      </c>
      <c r="C10120" s="17" t="s">
        <v>20598</v>
      </c>
      <c r="D10120" s="17" t="s">
        <v>20608</v>
      </c>
      <c r="E10120" s="10">
        <v>1688749</v>
      </c>
      <c r="F10120" s="4" t="str">
        <f>IF(B10120=B10119,"",B10120)</f>
        <v/>
      </c>
    </row>
    <row r="10121" spans="1:6" ht="15.75" customHeight="1">
      <c r="A10121" s="5" t="str">
        <f ca="1">IFERROR(__xludf.DUMMYFUNCTION("GOOGLETRANSLATE(B45016,""en"",""pt"")"),"Sao Pedro")</f>
        <v>Sao Pedro</v>
      </c>
      <c r="B10121" s="17" t="s">
        <v>795</v>
      </c>
      <c r="C10121" s="17" t="s">
        <v>27788</v>
      </c>
      <c r="D10121" s="17" t="s">
        <v>27801</v>
      </c>
      <c r="E10121" s="10">
        <v>5392528</v>
      </c>
      <c r="F10121" s="4" t="str">
        <f>IF(B10121=B10120,"",B10121)</f>
        <v/>
      </c>
    </row>
    <row r="10122" spans="1:6" ht="15.75" customHeight="1">
      <c r="A10122" s="5" t="s">
        <v>21001</v>
      </c>
      <c r="B10122" s="6" t="s">
        <v>21001</v>
      </c>
      <c r="C10122" s="5" t="s">
        <v>20598</v>
      </c>
      <c r="D10122" s="5" t="s">
        <v>20608</v>
      </c>
      <c r="E10122" s="2">
        <v>1688795</v>
      </c>
      <c r="F10122" s="4" t="str">
        <f>IF(B10122=B10121,"",B10122)</f>
        <v>San Pascual</v>
      </c>
    </row>
    <row r="10123" spans="1:6" ht="15.75" customHeight="1">
      <c r="A10123" s="5" t="str">
        <f ca="1">IFERROR(__xludf.DUMMYFUNCTION("GOOGLETRANSLATE(B38497,""en"",""pt"")"),"San Pascual")</f>
        <v>San Pascual</v>
      </c>
      <c r="B10123" s="17" t="s">
        <v>21001</v>
      </c>
      <c r="C10123" s="17" t="s">
        <v>20598</v>
      </c>
      <c r="D10123" s="17" t="s">
        <v>20608</v>
      </c>
      <c r="E10123" s="10">
        <v>1688795</v>
      </c>
      <c r="F10123" s="4" t="str">
        <f>IF(B10123=B10122,"",B10123)</f>
        <v/>
      </c>
    </row>
    <row r="10124" spans="1:6" ht="15.75" customHeight="1">
      <c r="A10124" s="6" t="s">
        <v>15458</v>
      </c>
      <c r="B10124" s="6" t="s">
        <v>15458</v>
      </c>
      <c r="C10124" s="6" t="s">
        <v>14891</v>
      </c>
      <c r="D10124" s="6" t="s">
        <v>14908</v>
      </c>
      <c r="E10124" s="2">
        <v>8948703</v>
      </c>
      <c r="F10124" s="4" t="str">
        <f>IF(B10124=B10123,"",B10124)</f>
        <v>San Paolo</v>
      </c>
    </row>
    <row r="10125" spans="1:6" ht="15.75" customHeight="1">
      <c r="A10125" s="5" t="str">
        <f ca="1">IFERROR(__xludf.DUMMYFUNCTION("GOOGLETRANSLATE(B35103,""en"",""pt"")"),"San Paolo")</f>
        <v>San Paolo</v>
      </c>
      <c r="B10125" s="17" t="s">
        <v>15458</v>
      </c>
      <c r="C10125" s="17" t="s">
        <v>14891</v>
      </c>
      <c r="D10125" s="17" t="s">
        <v>14908</v>
      </c>
      <c r="E10125" s="10">
        <v>8948703</v>
      </c>
      <c r="F10125" s="4" t="str">
        <f>IF(B10125=B10124,"",B10125)</f>
        <v/>
      </c>
    </row>
    <row r="10126" spans="1:6" ht="15.75" customHeight="1">
      <c r="A10126" s="5" t="s">
        <v>9796</v>
      </c>
      <c r="B10126" s="6" t="s">
        <v>9796</v>
      </c>
      <c r="C10126" s="5" t="s">
        <v>9700</v>
      </c>
      <c r="D10126" s="5" t="s">
        <v>9714</v>
      </c>
      <c r="E10126" s="2">
        <v>3589671</v>
      </c>
      <c r="F10126" s="4" t="str">
        <f>IF(B10126=B10125,"",B10126)</f>
        <v>San Pablo Jocopilas</v>
      </c>
    </row>
    <row r="10127" spans="1:6" ht="15.75" customHeight="1">
      <c r="A10127" s="5" t="str">
        <f ca="1">IFERROR(__xludf.DUMMYFUNCTION("GOOGLETRANSLATE(B31079,""en"",""pt"")"),"San Pablo Jocopilas")</f>
        <v>San Pablo Jocopilas</v>
      </c>
      <c r="B10127" s="17" t="s">
        <v>9796</v>
      </c>
      <c r="C10127" s="17" t="s">
        <v>9700</v>
      </c>
      <c r="D10127" s="17" t="s">
        <v>9714</v>
      </c>
      <c r="E10127" s="10">
        <v>3589671</v>
      </c>
      <c r="F10127" s="4" t="str">
        <f>IF(B10127=B10126,"",B10127)</f>
        <v/>
      </c>
    </row>
    <row r="10128" spans="1:6" ht="15.75" customHeight="1">
      <c r="A10128" s="5" t="s">
        <v>18253</v>
      </c>
      <c r="B10128" s="6" t="s">
        <v>18254</v>
      </c>
      <c r="C10128" s="5" t="s">
        <v>17707</v>
      </c>
      <c r="D10128" s="5" t="s">
        <v>17736</v>
      </c>
      <c r="E10128" s="2">
        <v>3518135</v>
      </c>
      <c r="F10128" s="4" t="str">
        <f>IF(B10128=B10127,"",B10128)</f>
        <v>San Pablo de las Salinas</v>
      </c>
    </row>
    <row r="10129" spans="1:6" ht="15.75" customHeight="1">
      <c r="A10129" s="5" t="str">
        <f ca="1">IFERROR(__xludf.DUMMYFUNCTION("GOOGLETRANSLATE(B36922,""en"",""pt"")"),"San Pablo de Las Salinas")</f>
        <v>San Pablo de Las Salinas</v>
      </c>
      <c r="B10129" s="17" t="s">
        <v>18254</v>
      </c>
      <c r="C10129" s="17" t="s">
        <v>17707</v>
      </c>
      <c r="D10129" s="17" t="s">
        <v>20902</v>
      </c>
      <c r="E10129" s="10">
        <v>3518135</v>
      </c>
      <c r="F10129" s="4" t="str">
        <f>IF(B10129=B10128,"",B10129)</f>
        <v/>
      </c>
    </row>
    <row r="10130" spans="1:6" ht="15.75" customHeight="1">
      <c r="A10130" s="5" t="s">
        <v>18252</v>
      </c>
      <c r="B10130" s="6" t="s">
        <v>18252</v>
      </c>
      <c r="C10130" s="5" t="s">
        <v>17707</v>
      </c>
      <c r="D10130" s="5" t="s">
        <v>17780</v>
      </c>
      <c r="E10130" s="2">
        <v>3518138</v>
      </c>
      <c r="F10130" s="4" t="str">
        <f>IF(B10130=B10129,"",B10130)</f>
        <v>San Pablo Autopan</v>
      </c>
    </row>
    <row r="10131" spans="1:6" ht="15.75" customHeight="1">
      <c r="A10131" s="5" t="str">
        <f ca="1">IFERROR(__xludf.DUMMYFUNCTION("GOOGLETRANSLATE(B36923,""en"",""pt"")"),"San Pablo Autopan")</f>
        <v>San Pablo Autopan</v>
      </c>
      <c r="B10131" s="17" t="s">
        <v>18252</v>
      </c>
      <c r="C10131" s="17" t="s">
        <v>17707</v>
      </c>
      <c r="D10131" s="17" t="s">
        <v>17780</v>
      </c>
      <c r="E10131" s="10">
        <v>3518138</v>
      </c>
      <c r="F10131" s="4" t="str">
        <f>IF(B10131=B10130,"",B10131)</f>
        <v/>
      </c>
    </row>
    <row r="10132" spans="1:6" ht="15.75" customHeight="1">
      <c r="A10132" s="6" t="s">
        <v>5701</v>
      </c>
      <c r="B10132" s="6" t="s">
        <v>5701</v>
      </c>
      <c r="C10132" s="6" t="s">
        <v>5665</v>
      </c>
      <c r="D10132" s="6" t="s">
        <v>5683</v>
      </c>
      <c r="E10132" s="2">
        <v>3621729</v>
      </c>
      <c r="F10132" s="4" t="str">
        <f>IF(B10132=B10131,"",B10132)</f>
        <v>San Pablo</v>
      </c>
    </row>
    <row r="10133" spans="1:6" ht="15.75" customHeight="1">
      <c r="A10133" s="6" t="s">
        <v>5701</v>
      </c>
      <c r="B10133" s="6" t="s">
        <v>5701</v>
      </c>
      <c r="C10133" s="6" t="s">
        <v>20598</v>
      </c>
      <c r="D10133" s="6" t="s">
        <v>20608</v>
      </c>
      <c r="E10133" s="2">
        <v>1688830</v>
      </c>
      <c r="F10133" s="4" t="str">
        <f>IF(B10133=B10132,"",B10133)</f>
        <v/>
      </c>
    </row>
    <row r="10134" spans="1:6" ht="15.75" customHeight="1">
      <c r="A10134" s="6" t="s">
        <v>5701</v>
      </c>
      <c r="B10134" s="6" t="s">
        <v>5701</v>
      </c>
      <c r="C10134" s="6" t="s">
        <v>27788</v>
      </c>
      <c r="D10134" s="6" t="s">
        <v>27801</v>
      </c>
      <c r="E10134" s="2">
        <v>5392508</v>
      </c>
      <c r="F10134" s="4" t="str">
        <f>IF(B10134=B10133,"",B10134)</f>
        <v/>
      </c>
    </row>
    <row r="10135" spans="1:6" ht="15.75" customHeight="1">
      <c r="A10135" s="5" t="str">
        <f ca="1">IFERROR(__xludf.DUMMYFUNCTION("GOOGLETRANSLATE(B27069,""en"",""pt"")"),"San Pablo")</f>
        <v>San Pablo</v>
      </c>
      <c r="B10135" s="17" t="s">
        <v>5701</v>
      </c>
      <c r="C10135" s="17" t="s">
        <v>5665</v>
      </c>
      <c r="D10135" s="17" t="s">
        <v>5683</v>
      </c>
      <c r="E10135" s="10">
        <v>3621729</v>
      </c>
      <c r="F10135" s="4" t="str">
        <f>IF(B10135=B10134,"",B10135)</f>
        <v/>
      </c>
    </row>
    <row r="10136" spans="1:6" ht="15.75" customHeight="1">
      <c r="A10136" s="5" t="str">
        <f ca="1">IFERROR(__xludf.DUMMYFUNCTION("GOOGLETRANSLATE(B38498,""en"",""pt"")"),"San Pablo")</f>
        <v>San Pablo</v>
      </c>
      <c r="B10136" s="17" t="s">
        <v>5701</v>
      </c>
      <c r="C10136" s="17" t="s">
        <v>20598</v>
      </c>
      <c r="D10136" s="17" t="s">
        <v>20608</v>
      </c>
      <c r="E10136" s="10">
        <v>1688830</v>
      </c>
      <c r="F10136" s="4" t="str">
        <f>IF(B10136=B10135,"",B10136)</f>
        <v/>
      </c>
    </row>
    <row r="10137" spans="1:6" ht="15.75" customHeight="1">
      <c r="A10137" s="5" t="str">
        <f ca="1">IFERROR(__xludf.DUMMYFUNCTION("GOOGLETRANSLATE(B45015,""en"",""pt"")"),"San Pablo")</f>
        <v>San Pablo</v>
      </c>
      <c r="B10137" s="17" t="s">
        <v>5701</v>
      </c>
      <c r="C10137" s="17" t="s">
        <v>27788</v>
      </c>
      <c r="D10137" s="17" t="s">
        <v>27801</v>
      </c>
      <c r="E10137" s="10">
        <v>5392508</v>
      </c>
      <c r="F10137" s="4" t="str">
        <f>IF(B10137=B10136,"",B10137)</f>
        <v/>
      </c>
    </row>
    <row r="10138" spans="1:6" ht="15.75" customHeight="1">
      <c r="A10138" s="5" t="s">
        <v>25987</v>
      </c>
      <c r="B10138" s="6" t="s">
        <v>25987</v>
      </c>
      <c r="C10138" s="5" t="s">
        <v>25771</v>
      </c>
      <c r="D10138" s="5" t="s">
        <v>25861</v>
      </c>
      <c r="E10138" s="2">
        <v>1150728</v>
      </c>
      <c r="F10138" s="4" t="str">
        <f>IF(B10138=B10137,"",B10138)</f>
        <v>San Pa Tong</v>
      </c>
    </row>
    <row r="10139" spans="1:6" ht="15.75" customHeight="1">
      <c r="A10139" s="5" t="str">
        <f ca="1">IFERROR(__xludf.DUMMYFUNCTION("GOOGLETRANSLATE(B41526,""en"",""pt"")"),"San Pa Tong")</f>
        <v>San Pa Tong</v>
      </c>
      <c r="B10139" s="17" t="s">
        <v>25987</v>
      </c>
      <c r="C10139" s="17" t="s">
        <v>25771</v>
      </c>
      <c r="D10139" s="17" t="s">
        <v>25861</v>
      </c>
      <c r="E10139" s="10">
        <v>1150728</v>
      </c>
      <c r="F10139" s="4" t="str">
        <f>IF(B10139=B10138,"",B10139)</f>
        <v/>
      </c>
    </row>
    <row r="10140" spans="1:6" ht="15.75" customHeight="1">
      <c r="A10140" s="5" t="s">
        <v>5603</v>
      </c>
      <c r="B10140" s="6" t="s">
        <v>5603</v>
      </c>
      <c r="C10140" s="5" t="s">
        <v>5348</v>
      </c>
      <c r="D10140" s="5" t="s">
        <v>1829</v>
      </c>
      <c r="E10140" s="2">
        <v>3669218</v>
      </c>
      <c r="F10140" s="4" t="str">
        <f>IF(B10140=B10139,"",B10140)</f>
        <v>San Onofre</v>
      </c>
    </row>
    <row r="10141" spans="1:6" ht="15.75" customHeight="1">
      <c r="A10141" s="5" t="str">
        <f ca="1">IFERROR(__xludf.DUMMYFUNCTION("GOOGLETRANSLATE(B26885,""en"",""pt"")"),"San Onofre")</f>
        <v>San Onofre</v>
      </c>
      <c r="B10141" s="17" t="s">
        <v>5603</v>
      </c>
      <c r="C10141" s="17" t="s">
        <v>5348</v>
      </c>
      <c r="D10141" s="17" t="s">
        <v>1829</v>
      </c>
      <c r="E10141" s="10">
        <v>3669218</v>
      </c>
      <c r="F10141" s="4" t="str">
        <f>IF(B10141=B10140,"",B10141)</f>
        <v/>
      </c>
    </row>
    <row r="10142" spans="1:6" ht="15.75" customHeight="1">
      <c r="A10142" s="5" t="str">
        <f ca="1">IFERROR(__xludf.DUMMYFUNCTION("GOOGLETRANSLATE(B37190,""en"",""pt"")"),"San Nicolás de Los Garza")</f>
        <v>San Nicolás de Los Garza</v>
      </c>
      <c r="B10142" s="17" t="s">
        <v>34740</v>
      </c>
      <c r="C10142" s="17" t="s">
        <v>17707</v>
      </c>
      <c r="D10142" s="17" t="s">
        <v>34689</v>
      </c>
      <c r="E10142" s="10">
        <v>3985241</v>
      </c>
      <c r="F10142" s="4" t="str">
        <f>IF(B10142=B10141,"",B10142)</f>
        <v>San Nicolás de los Garza</v>
      </c>
    </row>
    <row r="10143" spans="1:6" ht="15.75" customHeight="1">
      <c r="A10143" s="5" t="str">
        <f ca="1">IFERROR(__xludf.DUMMYFUNCTION("GOOGLETRANSLATE(B23266,""en"",""pt"")"),"San Nicolás de Los Arroyos")</f>
        <v>San Nicolás de Los Arroyos</v>
      </c>
      <c r="B10143" s="17" t="s">
        <v>31185</v>
      </c>
      <c r="C10143" s="17" t="s">
        <v>558</v>
      </c>
      <c r="D10143" s="17" t="s">
        <v>562</v>
      </c>
      <c r="E10143" s="10">
        <v>3836846</v>
      </c>
      <c r="F10143" s="4" t="str">
        <f>IF(B10143=B10142,"",B10143)</f>
        <v>San Nicolás de los Arroyos</v>
      </c>
    </row>
    <row r="10144" spans="1:6" ht="15.75" customHeight="1">
      <c r="A10144" s="5" t="s">
        <v>21000</v>
      </c>
      <c r="B10144" s="6" t="s">
        <v>21000</v>
      </c>
      <c r="C10144" s="5" t="s">
        <v>20598</v>
      </c>
      <c r="D10144" s="5" t="s">
        <v>20603</v>
      </c>
      <c r="E10144" s="2">
        <v>1688859</v>
      </c>
      <c r="F10144" s="4" t="str">
        <f>IF(B10144=B10143,"",B10144)</f>
        <v>San Nicolas</v>
      </c>
    </row>
    <row r="10145" spans="1:6" ht="15.75" customHeight="1">
      <c r="A10145" s="5" t="str">
        <f ca="1">IFERROR(__xludf.DUMMYFUNCTION("GOOGLETRANSLATE(B38499,""en"",""pt"")"),"San Nicolas")</f>
        <v>San Nicolas</v>
      </c>
      <c r="B10145" s="17" t="s">
        <v>21000</v>
      </c>
      <c r="C10145" s="17" t="s">
        <v>20598</v>
      </c>
      <c r="D10145" s="17" t="s">
        <v>20603</v>
      </c>
      <c r="E10145" s="10">
        <v>1688859</v>
      </c>
      <c r="F10145" s="4" t="str">
        <f>IF(B10145=B10144,"",B10145)</f>
        <v/>
      </c>
    </row>
    <row r="10146" spans="1:6" ht="15.75" customHeight="1">
      <c r="A10146" s="5" t="s">
        <v>18250</v>
      </c>
      <c r="B10146" s="6" t="s">
        <v>18251</v>
      </c>
      <c r="C10146" s="5" t="s">
        <v>17707</v>
      </c>
      <c r="D10146" s="5" t="s">
        <v>17739</v>
      </c>
      <c r="E10146" s="2">
        <v>3985241</v>
      </c>
      <c r="F10146" s="4" t="str">
        <f>IF(B10146=B10145,"",B10146)</f>
        <v>San NicolÃ¡s de los Garza</v>
      </c>
    </row>
    <row r="10147" spans="1:6" ht="15.75" customHeight="1">
      <c r="A10147" s="5" t="s">
        <v>792</v>
      </c>
      <c r="B10147" s="6" t="s">
        <v>793</v>
      </c>
      <c r="C10147" s="5" t="s">
        <v>558</v>
      </c>
      <c r="D10147" s="5" t="s">
        <v>562</v>
      </c>
      <c r="E10147" s="2">
        <v>3836846</v>
      </c>
      <c r="F10147" s="4" t="str">
        <f>IF(B10147=B10146,"",B10147)</f>
        <v>San NicolÃ¡s de los Arroyos</v>
      </c>
    </row>
    <row r="10148" spans="1:6" ht="15.75" customHeight="1">
      <c r="A10148" s="5" t="s">
        <v>15456</v>
      </c>
      <c r="B10148" s="6" t="s">
        <v>15457</v>
      </c>
      <c r="C10148" s="5" t="s">
        <v>14891</v>
      </c>
      <c r="D10148" s="5" t="s">
        <v>14896</v>
      </c>
      <c r="E10148" s="2">
        <v>6534253</v>
      </c>
      <c r="F10148" s="4" t="str">
        <f>IF(B10148=B10147,"",B10148)</f>
        <v>San Nicola la Strada</v>
      </c>
    </row>
    <row r="10149" spans="1:6" ht="15.75" customHeight="1">
      <c r="A10149" s="5" t="str">
        <f ca="1">IFERROR(__xludf.DUMMYFUNCTION("GOOGLETRANSLATE(B35091,""en"",""pt"")"),"San Nicola La Strada")</f>
        <v>San Nicola La Strada</v>
      </c>
      <c r="B10149" s="17" t="s">
        <v>15457</v>
      </c>
      <c r="C10149" s="17" t="s">
        <v>14891</v>
      </c>
      <c r="D10149" s="17" t="s">
        <v>14896</v>
      </c>
      <c r="E10149" s="10">
        <v>6534253</v>
      </c>
      <c r="F10149" s="4" t="str">
        <f>IF(B10149=B10148,"",B10149)</f>
        <v/>
      </c>
    </row>
    <row r="10150" spans="1:6" ht="15.75" customHeight="1">
      <c r="A10150" s="5" t="s">
        <v>20999</v>
      </c>
      <c r="B10150" s="6" t="s">
        <v>20999</v>
      </c>
      <c r="C10150" s="5" t="s">
        <v>20598</v>
      </c>
      <c r="D10150" s="5" t="s">
        <v>20599</v>
      </c>
      <c r="E10150" s="2">
        <v>1688912</v>
      </c>
      <c r="F10150" s="4" t="str">
        <f>IF(B10150=B10149,"",B10150)</f>
        <v>San Narciso</v>
      </c>
    </row>
    <row r="10151" spans="1:6" ht="15.75" customHeight="1">
      <c r="A10151" s="5" t="str">
        <f ca="1">IFERROR(__xludf.DUMMYFUNCTION("GOOGLETRANSLATE(B38500,""en"",""pt"")"),"San Narciso")</f>
        <v>San Narciso</v>
      </c>
      <c r="B10151" s="17" t="s">
        <v>20999</v>
      </c>
      <c r="C10151" s="17" t="s">
        <v>20598</v>
      </c>
      <c r="D10151" s="17" t="s">
        <v>20599</v>
      </c>
      <c r="E10151" s="10">
        <v>1688912</v>
      </c>
      <c r="F10151" s="4" t="str">
        <f>IF(B10151=B10150,"",B10151)</f>
        <v/>
      </c>
    </row>
    <row r="10152" spans="1:6" ht="15.75" customHeight="1">
      <c r="A10152" s="5" t="s">
        <v>15455</v>
      </c>
      <c r="B10152" s="6" t="s">
        <v>15455</v>
      </c>
      <c r="C10152" s="5" t="s">
        <v>14891</v>
      </c>
      <c r="D10152" s="5" t="s">
        <v>14943</v>
      </c>
      <c r="E10152" s="2">
        <v>3167954</v>
      </c>
      <c r="F10152" s="4" t="str">
        <f>IF(B10152=B10151,"",B10152)</f>
        <v>San Miniato Basso</v>
      </c>
    </row>
    <row r="10153" spans="1:6" ht="15.75" customHeight="1">
      <c r="A10153" s="5" t="str">
        <f ca="1">IFERROR(__xludf.DUMMYFUNCTION("GOOGLETRANSLATE(B34715,""en"",""pt"")"),"San Miniato Basso")</f>
        <v>San Miniato Basso</v>
      </c>
      <c r="B10153" s="17" t="s">
        <v>15455</v>
      </c>
      <c r="C10153" s="17" t="s">
        <v>14891</v>
      </c>
      <c r="D10153" s="17" t="s">
        <v>14943</v>
      </c>
      <c r="E10153" s="10">
        <v>3167954</v>
      </c>
      <c r="F10153" s="4" t="str">
        <f>IF(B10153=B10152,"",B10153)</f>
        <v/>
      </c>
    </row>
    <row r="10154" spans="1:6" ht="15.75" customHeight="1">
      <c r="A10154" s="5" t="s">
        <v>15454</v>
      </c>
      <c r="B10154" s="6" t="s">
        <v>15454</v>
      </c>
      <c r="C10154" s="5" t="s">
        <v>14891</v>
      </c>
      <c r="D10154" s="5" t="s">
        <v>14943</v>
      </c>
      <c r="E10154" s="2">
        <v>3167953</v>
      </c>
      <c r="F10154" s="4" t="str">
        <f>IF(B10154=B10153,"",B10154)</f>
        <v>San Miniato</v>
      </c>
    </row>
    <row r="10155" spans="1:6" ht="15.75" customHeight="1">
      <c r="A10155" s="5" t="str">
        <f ca="1">IFERROR(__xludf.DUMMYFUNCTION("GOOGLETRANSLATE(B34714,""en"",""pt"")"),"San Miniato")</f>
        <v>San Miniato</v>
      </c>
      <c r="B10155" s="17" t="s">
        <v>15454</v>
      </c>
      <c r="C10155" s="17" t="s">
        <v>14891</v>
      </c>
      <c r="D10155" s="17" t="s">
        <v>14943</v>
      </c>
      <c r="E10155" s="10">
        <v>3167953</v>
      </c>
      <c r="F10155" s="4" t="str">
        <f>IF(B10155=B10154,"",B10155)</f>
        <v/>
      </c>
    </row>
    <row r="10156" spans="1:6" ht="15.75" customHeight="1">
      <c r="A10156" s="5" t="s">
        <v>20400</v>
      </c>
      <c r="B10156" s="6" t="s">
        <v>20400</v>
      </c>
      <c r="C10156" s="5" t="s">
        <v>20370</v>
      </c>
      <c r="D10156" s="5" t="s">
        <v>20374</v>
      </c>
      <c r="E10156" s="2">
        <v>3701329</v>
      </c>
      <c r="F10156" s="4" t="str">
        <f>IF(B10156=B10155,"",B10156)</f>
        <v>San Miguelito</v>
      </c>
    </row>
    <row r="10157" spans="1:6" ht="15.75" customHeight="1">
      <c r="A10157" s="5" t="str">
        <f ca="1">IFERROR(__xludf.DUMMYFUNCTION("GOOGLETRANSLATE(B38281,""en"",""pt"")"),"San Miguelito")</f>
        <v>San Miguelito</v>
      </c>
      <c r="B10157" s="17" t="s">
        <v>20400</v>
      </c>
      <c r="C10157" s="17" t="s">
        <v>20370</v>
      </c>
      <c r="D10157" s="17" t="s">
        <v>20397</v>
      </c>
      <c r="E10157" s="10">
        <v>3701329</v>
      </c>
      <c r="F10157" s="4" t="str">
        <f>IF(B10157=B10156,"",B10157)</f>
        <v/>
      </c>
    </row>
    <row r="10158" spans="1:6" ht="15.75" customHeight="1">
      <c r="A10158" s="5" t="s">
        <v>18249</v>
      </c>
      <c r="B10158" s="6" t="s">
        <v>18249</v>
      </c>
      <c r="C10158" s="5" t="s">
        <v>17707</v>
      </c>
      <c r="D10158" s="5" t="s">
        <v>17736</v>
      </c>
      <c r="E10158" s="2">
        <v>3518221</v>
      </c>
      <c r="F10158" s="4" t="str">
        <f>IF(B10158=B10157,"",B10158)</f>
        <v>San Miguel Zinacantepec</v>
      </c>
    </row>
    <row r="10159" spans="1:6" ht="15.75" customHeight="1">
      <c r="A10159" s="5" t="str">
        <f ca="1">IFERROR(__xludf.DUMMYFUNCTION("GOOGLETRANSLATE(B36924,""en"",""pt"")"),"San Miguel Zinacantepec")</f>
        <v>San Miguel Zinacantepec</v>
      </c>
      <c r="B10159" s="17" t="s">
        <v>18249</v>
      </c>
      <c r="C10159" s="17" t="s">
        <v>17707</v>
      </c>
      <c r="D10159" s="17" t="s">
        <v>20902</v>
      </c>
      <c r="E10159" s="10">
        <v>3518221</v>
      </c>
      <c r="F10159" s="4" t="str">
        <f>IF(B10159=B10158,"",B10159)</f>
        <v/>
      </c>
    </row>
    <row r="10160" spans="1:6" ht="15.75" customHeight="1">
      <c r="A10160" s="5" t="s">
        <v>18248</v>
      </c>
      <c r="B10160" s="6" t="s">
        <v>18248</v>
      </c>
      <c r="C10160" s="5" t="s">
        <v>17707</v>
      </c>
      <c r="D10160" s="5" t="s">
        <v>17736</v>
      </c>
      <c r="E10160" s="2">
        <v>3514519</v>
      </c>
      <c r="F10160" s="4" t="str">
        <f>IF(B10160=B10159,"",B10160)</f>
        <v>San Miguel Xico Viejo</v>
      </c>
    </row>
    <row r="10161" spans="1:6" ht="15.75" customHeight="1">
      <c r="A10161" s="5" t="str">
        <f ca="1">IFERROR(__xludf.DUMMYFUNCTION("GOOGLETRANSLATE(B36856,""en"",""pt"")"),"San Miguel Xico Viejo")</f>
        <v>San Miguel Xico Viejo</v>
      </c>
      <c r="B10161" s="17" t="s">
        <v>18248</v>
      </c>
      <c r="C10161" s="17" t="s">
        <v>17707</v>
      </c>
      <c r="D10161" s="17" t="s">
        <v>20902</v>
      </c>
      <c r="E10161" s="10">
        <v>3514519</v>
      </c>
      <c r="F10161" s="4" t="str">
        <f>IF(B10161=B10160,"",B10161)</f>
        <v/>
      </c>
    </row>
    <row r="10162" spans="1:6" ht="15.75" customHeight="1">
      <c r="A10162" s="5" t="s">
        <v>18246</v>
      </c>
      <c r="B10162" s="6" t="s">
        <v>18247</v>
      </c>
      <c r="C10162" s="5" t="s">
        <v>17707</v>
      </c>
      <c r="D10162" s="5" t="s">
        <v>17746</v>
      </c>
      <c r="E10162" s="2">
        <v>3985323</v>
      </c>
      <c r="F10162" s="4" t="str">
        <f>IF(B10162=B10161,"",B10162)</f>
        <v>San Miguel el Alto</v>
      </c>
    </row>
    <row r="10163" spans="1:6" ht="15.75" customHeight="1">
      <c r="A10163" s="5" t="str">
        <f ca="1">IFERROR(__xludf.DUMMYFUNCTION("GOOGLETRANSLATE(B37191,""en"",""pt"")"),"San Miguel El Alto")</f>
        <v>San Miguel El Alto</v>
      </c>
      <c r="B10163" s="17" t="s">
        <v>18247</v>
      </c>
      <c r="C10163" s="17" t="s">
        <v>17707</v>
      </c>
      <c r="D10163" s="17" t="s">
        <v>17746</v>
      </c>
      <c r="E10163" s="10">
        <v>3985323</v>
      </c>
      <c r="F10163" s="4" t="str">
        <f>IF(B10163=B10162,"",B10163)</f>
        <v/>
      </c>
    </row>
    <row r="10164" spans="1:6" ht="15.75" customHeight="1">
      <c r="A10164" s="5" t="str">
        <f ca="1">IFERROR(__xludf.DUMMYFUNCTION("GOOGLETRANSLATE(B27118,""en"",""pt"")"),"San Miguel del Padrón")</f>
        <v>San Miguel del Padrón</v>
      </c>
      <c r="B10164" s="17" t="s">
        <v>31910</v>
      </c>
      <c r="C10164" s="17" t="s">
        <v>5764</v>
      </c>
      <c r="D10164" s="17" t="s">
        <v>5768</v>
      </c>
      <c r="E10164" s="10">
        <v>3538803</v>
      </c>
      <c r="F10164" s="4" t="str">
        <f>IF(B10164=B10163,"",B10164)</f>
        <v>San Miguel del Padrón</v>
      </c>
    </row>
    <row r="10165" spans="1:6" ht="15.75" customHeight="1">
      <c r="A10165" s="5" t="s">
        <v>5909</v>
      </c>
      <c r="B10165" s="6" t="s">
        <v>5910</v>
      </c>
      <c r="C10165" s="5" t="s">
        <v>5764</v>
      </c>
      <c r="D10165" s="5" t="s">
        <v>5768</v>
      </c>
      <c r="E10165" s="2">
        <v>3538803</v>
      </c>
      <c r="F10165" s="4" t="str">
        <f>IF(B10165=B10164,"",B10165)</f>
        <v>San Miguel del PadrÃ³n</v>
      </c>
    </row>
    <row r="10166" spans="1:6" ht="15.75" customHeight="1">
      <c r="A10166" s="5" t="str">
        <f ca="1">IFERROR(__xludf.DUMMYFUNCTION("GOOGLETRANSLATE(B23267,""en"",""pt"")"),"San Miguel de Tucumán")</f>
        <v>San Miguel de Tucumán</v>
      </c>
      <c r="B10166" s="17" t="s">
        <v>31186</v>
      </c>
      <c r="C10166" s="17" t="s">
        <v>558</v>
      </c>
      <c r="D10166" s="17" t="s">
        <v>31177</v>
      </c>
      <c r="E10166" s="10">
        <v>3836873</v>
      </c>
      <c r="F10166" s="4" t="str">
        <f>IF(B10166=B10165,"",B10166)</f>
        <v>San Miguel de Tucumán</v>
      </c>
    </row>
    <row r="10167" spans="1:6" ht="15.75" customHeight="1">
      <c r="A10167" s="5" t="s">
        <v>790</v>
      </c>
      <c r="B10167" s="6" t="s">
        <v>791</v>
      </c>
      <c r="C10167" s="5" t="s">
        <v>558</v>
      </c>
      <c r="D10167" s="5" t="s">
        <v>565</v>
      </c>
      <c r="E10167" s="2">
        <v>3836873</v>
      </c>
      <c r="F10167" s="4" t="str">
        <f>IF(B10167=B10166,"",B10167)</f>
        <v>San Miguel de TucumÃ¡n</v>
      </c>
    </row>
    <row r="10168" spans="1:6" ht="15.75" customHeight="1">
      <c r="A10168" s="5" t="s">
        <v>18245</v>
      </c>
      <c r="B10168" s="6" t="s">
        <v>18245</v>
      </c>
      <c r="C10168" s="5" t="s">
        <v>17707</v>
      </c>
      <c r="D10168" s="5" t="s">
        <v>17954</v>
      </c>
      <c r="E10168" s="2">
        <v>3985327</v>
      </c>
      <c r="F10168" s="4" t="str">
        <f>IF(B10168=B10167,"",B10168)</f>
        <v>San Miguel de Papasquiaro</v>
      </c>
    </row>
    <row r="10169" spans="1:6" ht="15.75" customHeight="1">
      <c r="A10169" s="5" t="str">
        <f ca="1">IFERROR(__xludf.DUMMYFUNCTION("GOOGLETRANSLATE(B37192,""en"",""pt"")"),"San Miguel de Papasquiaro")</f>
        <v>San Miguel de Papasquiaro</v>
      </c>
      <c r="B10169" s="17" t="s">
        <v>18245</v>
      </c>
      <c r="C10169" s="17" t="s">
        <v>17707</v>
      </c>
      <c r="D10169" s="17" t="s">
        <v>17954</v>
      </c>
      <c r="E10169" s="10">
        <v>3985327</v>
      </c>
      <c r="F10169" s="4" t="str">
        <f>IF(B10169=B10168,"",B10169)</f>
        <v/>
      </c>
    </row>
    <row r="10170" spans="1:6" ht="15.75" customHeight="1">
      <c r="A10170" s="5" t="s">
        <v>18244</v>
      </c>
      <c r="B10170" s="6" t="s">
        <v>18244</v>
      </c>
      <c r="C10170" s="5" t="s">
        <v>17707</v>
      </c>
      <c r="D10170" s="5" t="s">
        <v>17799</v>
      </c>
      <c r="E10170" s="2">
        <v>3530103</v>
      </c>
      <c r="F10170" s="4" t="str">
        <f>IF(B10170=B10169,"",B10170)</f>
        <v>San Miguel de Cozumel</v>
      </c>
    </row>
    <row r="10171" spans="1:6" ht="15.75" customHeight="1">
      <c r="A10171" s="5" t="str">
        <f ca="1">IFERROR(__xludf.DUMMYFUNCTION("GOOGLETRANSLATE(B37039,""en"",""pt"")"),"San Miguel de Cozumel")</f>
        <v>San Miguel de Cozumel</v>
      </c>
      <c r="B10171" s="17" t="s">
        <v>18244</v>
      </c>
      <c r="C10171" s="17" t="s">
        <v>17707</v>
      </c>
      <c r="D10171" s="17" t="s">
        <v>17799</v>
      </c>
      <c r="E10171" s="10">
        <v>3530103</v>
      </c>
      <c r="F10171" s="4" t="str">
        <f>IF(B10171=B10170,"",B10171)</f>
        <v/>
      </c>
    </row>
    <row r="10172" spans="1:6" ht="15.75" customHeight="1">
      <c r="A10172" s="5" t="s">
        <v>18243</v>
      </c>
      <c r="B10172" s="6" t="s">
        <v>18243</v>
      </c>
      <c r="C10172" s="5" t="s">
        <v>17707</v>
      </c>
      <c r="D10172" s="5" t="s">
        <v>17713</v>
      </c>
      <c r="E10172" s="2">
        <v>3985344</v>
      </c>
      <c r="F10172" s="4" t="str">
        <f>IF(B10172=B10171,"",B10172)</f>
        <v>San Miguel de Allende</v>
      </c>
    </row>
    <row r="10173" spans="1:6" ht="15.75" customHeight="1">
      <c r="A10173" s="5" t="str">
        <f ca="1">IFERROR(__xludf.DUMMYFUNCTION("GOOGLETRANSLATE(B37193,""en"",""pt"")"),"San Miguel de Allende")</f>
        <v>San Miguel de Allende</v>
      </c>
      <c r="B10173" s="17" t="s">
        <v>18243</v>
      </c>
      <c r="C10173" s="17" t="s">
        <v>17707</v>
      </c>
      <c r="D10173" s="17" t="s">
        <v>17713</v>
      </c>
      <c r="E10173" s="10">
        <v>3985344</v>
      </c>
      <c r="F10173" s="4" t="str">
        <f>IF(B10173=B10172,"",B10173)</f>
        <v/>
      </c>
    </row>
    <row r="10174" spans="1:6" ht="15.75" customHeight="1">
      <c r="A10174" s="5" t="s">
        <v>24764</v>
      </c>
      <c r="B10174" s="6" t="s">
        <v>24765</v>
      </c>
      <c r="C10174" s="5" t="s">
        <v>24200</v>
      </c>
      <c r="D10174" s="5" t="s">
        <v>24212</v>
      </c>
      <c r="E10174" s="2">
        <v>2511287</v>
      </c>
      <c r="F10174" s="4" t="str">
        <f>IF(B10174=B10173,"",B10174)</f>
        <v>San Miguel De Abona</v>
      </c>
    </row>
    <row r="10175" spans="1:6" ht="15.75" customHeight="1">
      <c r="A10175" s="5" t="str">
        <f ca="1">IFERROR(__xludf.DUMMYFUNCTION("GOOGLETRANSLATE(B28996,""en"",""pt"")"),"San Miguel de Abona")</f>
        <v>San Miguel de Abona</v>
      </c>
      <c r="B10175" s="17" t="s">
        <v>24765</v>
      </c>
      <c r="C10175" s="17" t="s">
        <v>24200</v>
      </c>
      <c r="D10175" s="17" t="s">
        <v>24212</v>
      </c>
      <c r="E10175" s="10">
        <v>2511287</v>
      </c>
      <c r="F10175" s="4" t="str">
        <f>IF(B10175=B10174,"",B10175)</f>
        <v/>
      </c>
    </row>
    <row r="10176" spans="1:6" ht="15.75" customHeight="1">
      <c r="A10176" s="5" t="s">
        <v>5699</v>
      </c>
      <c r="B10176" s="6" t="s">
        <v>5700</v>
      </c>
      <c r="C10176" s="5" t="s">
        <v>5665</v>
      </c>
      <c r="D10176" s="5" t="s">
        <v>5668</v>
      </c>
      <c r="E10176" s="2">
        <v>3621753</v>
      </c>
      <c r="F10176" s="4" t="str">
        <f>IF(B10176=B10175,"",B10176)</f>
        <v>San Miguel</v>
      </c>
    </row>
    <row r="10177" spans="1:6" ht="15.75" customHeight="1">
      <c r="A10177" s="5" t="s">
        <v>5699</v>
      </c>
      <c r="B10177" s="6" t="s">
        <v>5700</v>
      </c>
      <c r="C10177" s="5" t="s">
        <v>6727</v>
      </c>
      <c r="D10177" s="5" t="s">
        <v>5700</v>
      </c>
      <c r="E10177" s="2">
        <v>3583446</v>
      </c>
      <c r="F10177" s="4" t="str">
        <f>IF(B10177=B10176,"",B10177)</f>
        <v/>
      </c>
    </row>
    <row r="10178" spans="1:6" ht="15.75" customHeight="1">
      <c r="A10178" s="5" t="s">
        <v>5699</v>
      </c>
      <c r="B10178" s="6" t="s">
        <v>5700</v>
      </c>
      <c r="C10178" s="5" t="s">
        <v>20598</v>
      </c>
      <c r="D10178" s="5" t="s">
        <v>20599</v>
      </c>
      <c r="E10178" s="2">
        <v>1688949</v>
      </c>
      <c r="F10178" s="4" t="str">
        <f>IF(B10178=B10177,"",B10178)</f>
        <v/>
      </c>
    </row>
    <row r="10179" spans="1:6" ht="15.75" customHeight="1">
      <c r="A10179" s="5" t="s">
        <v>5699</v>
      </c>
      <c r="B10179" s="6" t="s">
        <v>5700</v>
      </c>
      <c r="C10179" s="5" t="s">
        <v>20598</v>
      </c>
      <c r="D10179" s="5" t="s">
        <v>20599</v>
      </c>
      <c r="E10179" s="2">
        <v>1688954</v>
      </c>
      <c r="F10179" s="4" t="str">
        <f>IF(B10179=B10178,"",B10179)</f>
        <v/>
      </c>
    </row>
    <row r="10180" spans="1:6" ht="15.75" customHeight="1">
      <c r="A10180" s="5" t="str">
        <f ca="1">IFERROR(__xludf.DUMMYFUNCTION("GOOGLETRANSLATE(B27070,""en"",""pt"")"),"São Miguel")</f>
        <v>São Miguel</v>
      </c>
      <c r="B10180" s="17" t="s">
        <v>5700</v>
      </c>
      <c r="C10180" s="17" t="s">
        <v>5665</v>
      </c>
      <c r="D10180" s="17" t="s">
        <v>5697</v>
      </c>
      <c r="E10180" s="10">
        <v>3621753</v>
      </c>
      <c r="F10180" s="4" t="str">
        <f>IF(B10180=B10179,"",B10180)</f>
        <v/>
      </c>
    </row>
    <row r="10181" spans="1:6" ht="15.75" customHeight="1">
      <c r="A10181" s="5" t="str">
        <f ca="1">IFERROR(__xludf.DUMMYFUNCTION("GOOGLETRANSLATE(B38501,""en"",""pt"")"),"São Miguel")</f>
        <v>São Miguel</v>
      </c>
      <c r="B10181" s="17" t="s">
        <v>5700</v>
      </c>
      <c r="C10181" s="17" t="s">
        <v>20598</v>
      </c>
      <c r="D10181" s="17" t="s">
        <v>20599</v>
      </c>
      <c r="E10181" s="10">
        <v>1688949</v>
      </c>
      <c r="F10181" s="4" t="str">
        <f>IF(B10181=B10180,"",B10181)</f>
        <v/>
      </c>
    </row>
    <row r="10182" spans="1:6" ht="15.75" customHeight="1">
      <c r="A10182" s="5" t="str">
        <f ca="1">IFERROR(__xludf.DUMMYFUNCTION("GOOGLETRANSLATE(B38502,""en"",""pt"")"),"São Miguel")</f>
        <v>São Miguel</v>
      </c>
      <c r="B10182" s="17" t="s">
        <v>5700</v>
      </c>
      <c r="C10182" s="17" t="s">
        <v>20598</v>
      </c>
      <c r="D10182" s="17" t="s">
        <v>20599</v>
      </c>
      <c r="E10182" s="10">
        <v>1688954</v>
      </c>
      <c r="F10182" s="4" t="str">
        <f>IF(B10182=B10181,"",B10182)</f>
        <v/>
      </c>
    </row>
    <row r="10183" spans="1:6" ht="15.75" customHeight="1">
      <c r="A10183" s="5" t="str">
        <f ca="1">IFERROR(__xludf.DUMMYFUNCTION("GOOGLETRANSLATE(B41366,""en"",""pt"")"),"São Miguel")</f>
        <v>São Miguel</v>
      </c>
      <c r="B10183" s="17" t="s">
        <v>5700</v>
      </c>
      <c r="C10183" s="17" t="s">
        <v>6727</v>
      </c>
      <c r="D10183" s="17" t="s">
        <v>5700</v>
      </c>
      <c r="E10183" s="10">
        <v>3583446</v>
      </c>
      <c r="F10183" s="4" t="str">
        <f>IF(B10183=B10182,"",B10183)</f>
        <v/>
      </c>
    </row>
    <row r="10184" spans="1:6" ht="15.75" customHeight="1">
      <c r="A10184" s="5" t="s">
        <v>15453</v>
      </c>
      <c r="B10184" s="6" t="s">
        <v>15453</v>
      </c>
      <c r="C10184" s="5" t="s">
        <v>14891</v>
      </c>
      <c r="D10184" s="5" t="s">
        <v>14911</v>
      </c>
      <c r="E10184" s="2">
        <v>3167978</v>
      </c>
      <c r="F10184" s="4" t="str">
        <f>IF(B10184=B10183,"",B10184)</f>
        <v>San Mauro Torinese</v>
      </c>
    </row>
    <row r="10185" spans="1:6" ht="15.75" customHeight="1">
      <c r="A10185" s="5" t="str">
        <f ca="1">IFERROR(__xludf.DUMMYFUNCTION("GOOGLETRANSLATE(B34716,""en"",""pt"")"),"San Mauro Torinese")</f>
        <v>San Mauro Torinese</v>
      </c>
      <c r="B10185" s="17" t="s">
        <v>15453</v>
      </c>
      <c r="C10185" s="17" t="s">
        <v>14891</v>
      </c>
      <c r="D10185" s="17" t="s">
        <v>14911</v>
      </c>
      <c r="E10185" s="10">
        <v>3167978</v>
      </c>
      <c r="F10185" s="4" t="str">
        <f>IF(B10185=B10184,"",B10185)</f>
        <v/>
      </c>
    </row>
    <row r="10186" spans="1:6" ht="15.75" customHeight="1">
      <c r="A10186" s="5" t="s">
        <v>18242</v>
      </c>
      <c r="B10186" s="6" t="s">
        <v>18242</v>
      </c>
      <c r="C10186" s="5" t="s">
        <v>17707</v>
      </c>
      <c r="D10186" s="5" t="s">
        <v>17780</v>
      </c>
      <c r="E10186" s="2">
        <v>3827254</v>
      </c>
      <c r="F10186" s="4" t="str">
        <f>IF(B10186=B10185,"",B10186)</f>
        <v>San Mateo Otzacatipan</v>
      </c>
    </row>
    <row r="10187" spans="1:6" ht="15.75" customHeight="1">
      <c r="A10187" s="5" t="str">
        <f ca="1">IFERROR(__xludf.DUMMYFUNCTION("GOOGLETRANSLATE(B37124,""en"",""pt"")"),"San Mateo Otzacatipan")</f>
        <v>San Mateo Otzacatipan</v>
      </c>
      <c r="B10187" s="17" t="s">
        <v>18242</v>
      </c>
      <c r="C10187" s="17" t="s">
        <v>17707</v>
      </c>
      <c r="D10187" s="17" t="s">
        <v>17780</v>
      </c>
      <c r="E10187" s="10">
        <v>3827254</v>
      </c>
      <c r="F10187" s="4" t="str">
        <f>IF(B10187=B10186,"",B10187)</f>
        <v/>
      </c>
    </row>
    <row r="10188" spans="1:6" ht="15.75" customHeight="1">
      <c r="A10188" s="5" t="s">
        <v>18241</v>
      </c>
      <c r="B10188" s="6" t="s">
        <v>18241</v>
      </c>
      <c r="C10188" s="5" t="s">
        <v>17707</v>
      </c>
      <c r="D10188" s="5" t="s">
        <v>17780</v>
      </c>
      <c r="E10188" s="2">
        <v>3518387</v>
      </c>
      <c r="F10188" s="4" t="str">
        <f>IF(B10188=B10187,"",B10188)</f>
        <v>San Mateo Atenco</v>
      </c>
    </row>
    <row r="10189" spans="1:6" ht="15.75" customHeight="1">
      <c r="A10189" s="5" t="str">
        <f ca="1">IFERROR(__xludf.DUMMYFUNCTION("GOOGLETRANSLATE(B36926,""en"",""pt"")"),"San Mateo Atenco")</f>
        <v>San Mateo Atenco</v>
      </c>
      <c r="B10189" s="17" t="s">
        <v>18241</v>
      </c>
      <c r="C10189" s="17" t="s">
        <v>17707</v>
      </c>
      <c r="D10189" s="17" t="s">
        <v>17780</v>
      </c>
      <c r="E10189" s="10">
        <v>3518387</v>
      </c>
      <c r="F10189" s="4" t="str">
        <f>IF(B10189=B10188,"",B10189)</f>
        <v/>
      </c>
    </row>
    <row r="10190" spans="1:6" ht="15.75" customHeight="1">
      <c r="A10190" s="5" t="s">
        <v>20998</v>
      </c>
      <c r="B10190" s="6" t="s">
        <v>20998</v>
      </c>
      <c r="C10190" s="5" t="s">
        <v>20598</v>
      </c>
      <c r="D10190" s="5" t="s">
        <v>20611</v>
      </c>
      <c r="E10190" s="2">
        <v>1689052</v>
      </c>
      <c r="F10190" s="4" t="str">
        <f>IF(B10190=B10189,"",B10190)</f>
        <v>San Mateo</v>
      </c>
    </row>
    <row r="10191" spans="1:6" ht="15.75" customHeight="1">
      <c r="A10191" s="5" t="s">
        <v>20998</v>
      </c>
      <c r="B10191" s="6" t="s">
        <v>20998</v>
      </c>
      <c r="C10191" s="5" t="s">
        <v>20598</v>
      </c>
      <c r="D10191" s="5" t="s">
        <v>20608</v>
      </c>
      <c r="E10191" s="2">
        <v>1689056</v>
      </c>
      <c r="F10191" s="4" t="str">
        <f>IF(B10191=B10190,"",B10191)</f>
        <v/>
      </c>
    </row>
    <row r="10192" spans="1:6" ht="15.75" customHeight="1">
      <c r="A10192" s="5" t="s">
        <v>20998</v>
      </c>
      <c r="B10192" s="6" t="s">
        <v>20998</v>
      </c>
      <c r="C10192" s="5" t="s">
        <v>27788</v>
      </c>
      <c r="D10192" s="5" t="s">
        <v>27801</v>
      </c>
      <c r="E10192" s="2">
        <v>5392423</v>
      </c>
      <c r="F10192" s="4" t="str">
        <f>IF(B10192=B10191,"",B10192)</f>
        <v/>
      </c>
    </row>
    <row r="10193" spans="1:6" ht="15.75" customHeight="1">
      <c r="A10193" s="5" t="s">
        <v>20998</v>
      </c>
      <c r="B10193" s="6" t="s">
        <v>20998</v>
      </c>
      <c r="C10193" s="5" t="s">
        <v>5923</v>
      </c>
      <c r="D10193" s="5" t="s">
        <v>30652</v>
      </c>
      <c r="E10193" s="2">
        <v>3627968</v>
      </c>
      <c r="F10193" s="4" t="str">
        <f>IF(B10193=B10192,"",B10193)</f>
        <v/>
      </c>
    </row>
    <row r="10194" spans="1:6" ht="15.75" customHeight="1">
      <c r="A10194" s="5" t="str">
        <f ca="1">IFERROR(__xludf.DUMMYFUNCTION("GOOGLETRANSLATE(B38503,""en"",""pt"")"),"San Mateo")</f>
        <v>San Mateo</v>
      </c>
      <c r="B10194" s="17" t="s">
        <v>20998</v>
      </c>
      <c r="C10194" s="17" t="s">
        <v>20598</v>
      </c>
      <c r="D10194" s="17" t="s">
        <v>20611</v>
      </c>
      <c r="E10194" s="10">
        <v>1689052</v>
      </c>
      <c r="F10194" s="4" t="str">
        <f>IF(B10194=B10193,"",B10194)</f>
        <v/>
      </c>
    </row>
    <row r="10195" spans="1:6" ht="15.75" customHeight="1">
      <c r="A10195" s="5" t="str">
        <f ca="1">IFERROR(__xludf.DUMMYFUNCTION("GOOGLETRANSLATE(B38504,""en"",""pt"")"),"San Mateo")</f>
        <v>San Mateo</v>
      </c>
      <c r="B10195" s="17" t="s">
        <v>20998</v>
      </c>
      <c r="C10195" s="17" t="s">
        <v>20598</v>
      </c>
      <c r="D10195" s="17" t="s">
        <v>20608</v>
      </c>
      <c r="E10195" s="10">
        <v>1689056</v>
      </c>
      <c r="F10195" s="4" t="str">
        <f>IF(B10195=B10194,"",B10195)</f>
        <v/>
      </c>
    </row>
    <row r="10196" spans="1:6" ht="15.75" customHeight="1">
      <c r="A10196" s="5" t="str">
        <f ca="1">IFERROR(__xludf.DUMMYFUNCTION("GOOGLETRANSLATE(B45014,""en"",""pt"")"),"San Mateo")</f>
        <v>San Mateo</v>
      </c>
      <c r="B10196" s="17" t="s">
        <v>20998</v>
      </c>
      <c r="C10196" s="17" t="s">
        <v>27788</v>
      </c>
      <c r="D10196" s="17" t="s">
        <v>27801</v>
      </c>
      <c r="E10196" s="10">
        <v>5392423</v>
      </c>
      <c r="F10196" s="4" t="str">
        <f>IF(B10196=B10195,"",B10196)</f>
        <v/>
      </c>
    </row>
    <row r="10197" spans="1:6" ht="15.75" customHeight="1">
      <c r="A10197" s="5" t="str">
        <f ca="1">IFERROR(__xludf.DUMMYFUNCTION("GOOGLETRANSLATE(B45618,""en"",""pt"")"),"San Mateo")</f>
        <v>San Mateo</v>
      </c>
      <c r="B10197" s="17" t="s">
        <v>20998</v>
      </c>
      <c r="C10197" s="17" t="s">
        <v>5923</v>
      </c>
      <c r="D10197" s="17" t="s">
        <v>30652</v>
      </c>
      <c r="E10197" s="10">
        <v>3627968</v>
      </c>
      <c r="F10197" s="4" t="str">
        <f>IF(B10197=B10196,"",B10197)</f>
        <v/>
      </c>
    </row>
    <row r="10198" spans="1:6" ht="15.75" customHeight="1">
      <c r="A10198" s="5" t="s">
        <v>18240</v>
      </c>
      <c r="B10198" s="6" t="s">
        <v>18240</v>
      </c>
      <c r="C10198" s="5" t="s">
        <v>17707</v>
      </c>
      <c r="D10198" s="5" t="s">
        <v>17717</v>
      </c>
      <c r="E10198" s="2">
        <v>3518407</v>
      </c>
      <c r="F10198" s="4" t="str">
        <f>IF(B10198=B10197,"",B10198)</f>
        <v>San Martin Texmelucan de Labastida</v>
      </c>
    </row>
    <row r="10199" spans="1:6" ht="15.75" customHeight="1">
      <c r="A10199" s="5" t="str">
        <f ca="1">IFERROR(__xludf.DUMMYFUNCTION("GOOGLETRANSLATE(B36927,""en"",""pt"")"),"San Martin Texmelucan de Labastida")</f>
        <v>San Martin Texmelucan de Labastida</v>
      </c>
      <c r="B10199" s="17" t="s">
        <v>18240</v>
      </c>
      <c r="C10199" s="17" t="s">
        <v>17707</v>
      </c>
      <c r="D10199" s="17" t="s">
        <v>17717</v>
      </c>
      <c r="E10199" s="10">
        <v>3518407</v>
      </c>
      <c r="F10199" s="4" t="str">
        <f>IF(B10199=B10198,"",B10199)</f>
        <v/>
      </c>
    </row>
    <row r="10200" spans="1:6" ht="15.75" customHeight="1">
      <c r="A10200" s="5" t="str">
        <f ca="1">IFERROR(__xludf.DUMMYFUNCTION("GOOGLETRANSLATE(B23268,""en"",""pt"")"),"San Martín de Los Andes")</f>
        <v>San Martín de Los Andes</v>
      </c>
      <c r="B10200" s="17" t="s">
        <v>31187</v>
      </c>
      <c r="C10200" s="17" t="s">
        <v>558</v>
      </c>
      <c r="D10200" s="17" t="s">
        <v>607</v>
      </c>
      <c r="E10200" s="10">
        <v>3836951</v>
      </c>
      <c r="F10200" s="4" t="str">
        <f>IF(B10200=B10199,"",B10200)</f>
        <v>San Martín de los Andes</v>
      </c>
    </row>
    <row r="10201" spans="1:6" ht="15.75" customHeight="1">
      <c r="A10201" s="5" t="str">
        <f ca="1">IFERROR(__xludf.DUMMYFUNCTION("GOOGLETRANSLATE(B29290,""en"",""pt"")"),"San Martín de la Vega")</f>
        <v>San Martín de la Vega</v>
      </c>
      <c r="B10201" s="17" t="s">
        <v>32432</v>
      </c>
      <c r="C10201" s="17" t="s">
        <v>24200</v>
      </c>
      <c r="D10201" s="17" t="s">
        <v>5513</v>
      </c>
      <c r="E10201" s="10">
        <v>3110360</v>
      </c>
      <c r="F10201" s="4" t="str">
        <f>IF(B10201=B10200,"",B10201)</f>
        <v>San Martín de la Vega</v>
      </c>
    </row>
    <row r="10202" spans="1:6" ht="15.75" customHeight="1">
      <c r="A10202" s="5" t="str">
        <f ca="1">IFERROR(__xludf.DUMMYFUNCTION("GOOGLETRANSLATE(B37369,""en"",""pt"")"),"San Martín Azcatepec")</f>
        <v>San Martín Azcatepec</v>
      </c>
      <c r="B10202" s="17" t="s">
        <v>34788</v>
      </c>
      <c r="C10202" s="17" t="s">
        <v>17707</v>
      </c>
      <c r="D10202" s="17" t="s">
        <v>20902</v>
      </c>
      <c r="E10202" s="10">
        <v>8858092</v>
      </c>
      <c r="F10202" s="4" t="str">
        <f>IF(B10202=B10201,"",B10202)</f>
        <v>San Martín Azcatepec</v>
      </c>
    </row>
    <row r="10203" spans="1:6" ht="15.75" customHeight="1">
      <c r="A10203" s="5" t="str">
        <f ca="1">IFERROR(__xludf.DUMMYFUNCTION("GOOGLETRANSLATE(B23269,""en"",""pt"")"),"San Martín")</f>
        <v>San Martín</v>
      </c>
      <c r="B10203" s="17" t="s">
        <v>31188</v>
      </c>
      <c r="C10203" s="17" t="s">
        <v>558</v>
      </c>
      <c r="D10203" s="17" t="s">
        <v>707</v>
      </c>
      <c r="E10203" s="10">
        <v>3836992</v>
      </c>
      <c r="F10203" s="4" t="str">
        <f>IF(B10203=B10202,"",B10203)</f>
        <v>San Martín</v>
      </c>
    </row>
    <row r="10204" spans="1:6" ht="15.75" customHeight="1">
      <c r="A10204" s="5" t="str">
        <f ca="1">IFERROR(__xludf.DUMMYFUNCTION("GOOGLETRANSLATE(B26886,""en"",""pt"")"),"San Martín")</f>
        <v>San Martín</v>
      </c>
      <c r="B10204" s="17" t="s">
        <v>31188</v>
      </c>
      <c r="C10204" s="17" t="s">
        <v>5348</v>
      </c>
      <c r="D10204" s="17" t="s">
        <v>5349</v>
      </c>
      <c r="E10204" s="10">
        <v>3669332</v>
      </c>
      <c r="F10204" s="4" t="str">
        <f>IF(B10204=B10203,"",B10204)</f>
        <v/>
      </c>
    </row>
    <row r="10205" spans="1:6" ht="15.75" customHeight="1">
      <c r="A10205" s="5" t="str">
        <f ca="1">IFERROR(__xludf.DUMMYFUNCTION("GOOGLETRANSLATE(B41367,""en"",""pt"")"),"San Martín")</f>
        <v>San Martín</v>
      </c>
      <c r="B10205" s="17" t="s">
        <v>31188</v>
      </c>
      <c r="C10205" s="17" t="s">
        <v>6727</v>
      </c>
      <c r="D10205" s="17" t="s">
        <v>35717</v>
      </c>
      <c r="E10205" s="10">
        <v>3583471</v>
      </c>
      <c r="F10205" s="4" t="str">
        <f>IF(B10205=B10204,"",B10205)</f>
        <v/>
      </c>
    </row>
    <row r="10206" spans="1:6" ht="15.75" customHeight="1">
      <c r="A10206" s="5" t="s">
        <v>788</v>
      </c>
      <c r="B10206" s="6" t="s">
        <v>789</v>
      </c>
      <c r="C10206" s="5" t="s">
        <v>558</v>
      </c>
      <c r="D10206" s="5" t="s">
        <v>607</v>
      </c>
      <c r="E10206" s="2">
        <v>3836951</v>
      </c>
      <c r="F10206" s="4" t="str">
        <f>IF(B10206=B10205,"",B10206)</f>
        <v>San MartÃ­n de los Andes</v>
      </c>
    </row>
    <row r="10207" spans="1:6" ht="15.75" customHeight="1">
      <c r="A10207" s="5" t="s">
        <v>24762</v>
      </c>
      <c r="B10207" s="6" t="s">
        <v>24763</v>
      </c>
      <c r="C10207" s="5" t="s">
        <v>24200</v>
      </c>
      <c r="D10207" s="5" t="s">
        <v>5513</v>
      </c>
      <c r="E10207" s="2">
        <v>3110360</v>
      </c>
      <c r="F10207" s="4" t="str">
        <f>IF(B10207=B10206,"",B10207)</f>
        <v>San MartÃ­n de la Vega</v>
      </c>
    </row>
    <row r="10208" spans="1:6" ht="15.75" customHeight="1">
      <c r="A10208" s="5" t="s">
        <v>18238</v>
      </c>
      <c r="B10208" s="6" t="s">
        <v>18239</v>
      </c>
      <c r="C10208" s="5" t="s">
        <v>17707</v>
      </c>
      <c r="D10208" s="5" t="s">
        <v>17736</v>
      </c>
      <c r="E10208" s="2">
        <v>8858092</v>
      </c>
      <c r="F10208" s="4" t="str">
        <f>IF(B10208=B10207,"",B10208)</f>
        <v>San MartÃ­n Azcatepec</v>
      </c>
    </row>
    <row r="10209" spans="1:6" ht="15.75" customHeight="1">
      <c r="A10209" s="5" t="s">
        <v>786</v>
      </c>
      <c r="B10209" s="6" t="s">
        <v>787</v>
      </c>
      <c r="C10209" s="5" t="s">
        <v>558</v>
      </c>
      <c r="D10209" s="5" t="s">
        <v>707</v>
      </c>
      <c r="E10209" s="2">
        <v>3836992</v>
      </c>
      <c r="F10209" s="4" t="str">
        <f>IF(B10209=B10208,"",B10209)</f>
        <v>San MartÃ­n</v>
      </c>
    </row>
    <row r="10210" spans="1:6" ht="15.75" customHeight="1">
      <c r="A10210" s="5" t="s">
        <v>786</v>
      </c>
      <c r="B10210" s="6" t="s">
        <v>787</v>
      </c>
      <c r="C10210" s="5" t="s">
        <v>5348</v>
      </c>
      <c r="D10210" s="5" t="s">
        <v>5349</v>
      </c>
      <c r="E10210" s="2">
        <v>3669332</v>
      </c>
      <c r="F10210" s="4" t="str">
        <f>IF(B10210=B10209,"",B10210)</f>
        <v/>
      </c>
    </row>
    <row r="10211" spans="1:6" ht="15.75" customHeight="1">
      <c r="A10211" s="5" t="s">
        <v>786</v>
      </c>
      <c r="B10211" s="6" t="s">
        <v>787</v>
      </c>
      <c r="C10211" s="5" t="s">
        <v>6727</v>
      </c>
      <c r="D10211" s="5" t="s">
        <v>6740</v>
      </c>
      <c r="E10211" s="2">
        <v>3583471</v>
      </c>
      <c r="F10211" s="4" t="str">
        <f>IF(B10211=B10210,"",B10211)</f>
        <v/>
      </c>
    </row>
    <row r="10212" spans="1:6" ht="15.75" customHeight="1">
      <c r="A10212" s="5" t="s">
        <v>23447</v>
      </c>
      <c r="B10212" s="6" t="s">
        <v>23447</v>
      </c>
      <c r="C10212" s="5" t="s">
        <v>23447</v>
      </c>
      <c r="D10212" s="5" t="s">
        <v>23447</v>
      </c>
      <c r="E10212" s="2">
        <v>3168070</v>
      </c>
      <c r="F10212" s="4" t="str">
        <f>IF(B10212=B10211,"",B10212)</f>
        <v>San Marino</v>
      </c>
    </row>
    <row r="10213" spans="1:6" ht="15.75" customHeight="1">
      <c r="A10213" s="5" t="str">
        <f ca="1">IFERROR(__xludf.DUMMYFUNCTION("GOOGLETRANSLATE(B41283,""en"",""pt"")"),"San Marino")</f>
        <v>San Marino</v>
      </c>
      <c r="B10213" s="17" t="s">
        <v>23447</v>
      </c>
      <c r="C10213" s="17" t="s">
        <v>23447</v>
      </c>
      <c r="D10213" s="17" t="s">
        <v>23447</v>
      </c>
      <c r="E10213" s="10">
        <v>3168070</v>
      </c>
      <c r="F10213" s="4" t="str">
        <f>IF(B10213=B10212,"",B10213)</f>
        <v/>
      </c>
    </row>
    <row r="10214" spans="1:6" ht="15.75" customHeight="1">
      <c r="A10214" s="5" t="s">
        <v>20997</v>
      </c>
      <c r="B10214" s="6" t="s">
        <v>20997</v>
      </c>
      <c r="C10214" s="5" t="s">
        <v>20598</v>
      </c>
      <c r="D10214" s="5" t="s">
        <v>20658</v>
      </c>
      <c r="E10214" s="2">
        <v>1689087</v>
      </c>
      <c r="F10214" s="4" t="str">
        <f>IF(B10214=B10213,"",B10214)</f>
        <v>San Mariano</v>
      </c>
    </row>
    <row r="10215" spans="1:6" ht="15.75" customHeight="1">
      <c r="A10215" s="5" t="str">
        <f ca="1">IFERROR(__xludf.DUMMYFUNCTION("GOOGLETRANSLATE(B38505,""en"",""pt"")"),"San Mariano")</f>
        <v>San Mariano</v>
      </c>
      <c r="B10215" s="17" t="s">
        <v>20997</v>
      </c>
      <c r="C10215" s="17" t="s">
        <v>20598</v>
      </c>
      <c r="D10215" s="17" t="s">
        <v>20658</v>
      </c>
      <c r="E10215" s="10">
        <v>1689087</v>
      </c>
      <c r="F10215" s="4" t="str">
        <f>IF(B10215=B10214,"",B10215)</f>
        <v/>
      </c>
    </row>
    <row r="10216" spans="1:6" ht="15.75" customHeight="1">
      <c r="A10216" s="5" t="s">
        <v>5602</v>
      </c>
      <c r="B10216" s="6" t="s">
        <v>5602</v>
      </c>
      <c r="C10216" s="5" t="s">
        <v>5348</v>
      </c>
      <c r="D10216" s="5" t="s">
        <v>1829</v>
      </c>
      <c r="E10216" s="2">
        <v>3669346</v>
      </c>
      <c r="F10216" s="4" t="str">
        <f>IF(B10216=B10215,"",B10216)</f>
        <v>San Marcos</v>
      </c>
    </row>
    <row r="10217" spans="1:6" ht="15.75" customHeight="1">
      <c r="A10217" s="5" t="s">
        <v>5602</v>
      </c>
      <c r="B10217" s="6" t="s">
        <v>5602</v>
      </c>
      <c r="C10217" s="5" t="s">
        <v>6727</v>
      </c>
      <c r="D10217" s="5" t="s">
        <v>6729</v>
      </c>
      <c r="E10217" s="2">
        <v>3583480</v>
      </c>
      <c r="F10217" s="4" t="str">
        <f>IF(B10217=B10216,"",B10217)</f>
        <v/>
      </c>
    </row>
    <row r="10218" spans="1:6" ht="15.75" customHeight="1">
      <c r="A10218" s="5" t="s">
        <v>5602</v>
      </c>
      <c r="B10218" s="6" t="s">
        <v>5602</v>
      </c>
      <c r="C10218" s="5" t="s">
        <v>9700</v>
      </c>
      <c r="D10218" s="5" t="s">
        <v>5602</v>
      </c>
      <c r="E10218" s="2">
        <v>3589805</v>
      </c>
      <c r="F10218" s="4" t="str">
        <f>IF(B10218=B10217,"",B10218)</f>
        <v/>
      </c>
    </row>
    <row r="10219" spans="1:6" ht="15.75" customHeight="1">
      <c r="A10219" s="5" t="s">
        <v>5602</v>
      </c>
      <c r="B10219" s="6" t="s">
        <v>5602</v>
      </c>
      <c r="C10219" s="5" t="s">
        <v>19217</v>
      </c>
      <c r="D10219" s="5" t="s">
        <v>19226</v>
      </c>
      <c r="E10219" s="2">
        <v>3616682</v>
      </c>
      <c r="F10219" s="4" t="str">
        <f>IF(B10219=B10218,"",B10219)</f>
        <v/>
      </c>
    </row>
    <row r="10220" spans="1:6" ht="15.75" customHeight="1">
      <c r="A10220" s="5" t="s">
        <v>5602</v>
      </c>
      <c r="B10220" s="6" t="s">
        <v>5602</v>
      </c>
      <c r="C10220" s="5" t="s">
        <v>27788</v>
      </c>
      <c r="D10220" s="5" t="s">
        <v>27801</v>
      </c>
      <c r="E10220" s="2">
        <v>5392368</v>
      </c>
      <c r="F10220" s="4" t="str">
        <f>IF(B10220=B10219,"",B10220)</f>
        <v/>
      </c>
    </row>
    <row r="10221" spans="1:6" ht="15.75" customHeight="1">
      <c r="A10221" s="5" t="str">
        <f ca="1">IFERROR(__xludf.DUMMYFUNCTION("GOOGLETRANSLATE(B26887,""en"",""pt"")"),"San Marcos")</f>
        <v>San Marcos</v>
      </c>
      <c r="B10221" s="17" t="s">
        <v>5602</v>
      </c>
      <c r="C10221" s="17" t="s">
        <v>5348</v>
      </c>
      <c r="D10221" s="17" t="s">
        <v>1829</v>
      </c>
      <c r="E10221" s="10">
        <v>3669346</v>
      </c>
      <c r="F10221" s="4" t="str">
        <f>IF(B10221=B10220,"",B10221)</f>
        <v/>
      </c>
    </row>
    <row r="10222" spans="1:6" ht="15.75" customHeight="1">
      <c r="A10222" s="5" t="str">
        <f ca="1">IFERROR(__xludf.DUMMYFUNCTION("GOOGLETRANSLATE(B31080,""en"",""pt"")"),"San Marcos")</f>
        <v>San Marcos</v>
      </c>
      <c r="B10222" s="17" t="s">
        <v>5602</v>
      </c>
      <c r="C10222" s="17" t="s">
        <v>9700</v>
      </c>
      <c r="D10222" s="17" t="s">
        <v>5602</v>
      </c>
      <c r="E10222" s="10">
        <v>3589805</v>
      </c>
      <c r="F10222" s="4" t="str">
        <f>IF(B10222=B10221,"",B10222)</f>
        <v/>
      </c>
    </row>
    <row r="10223" spans="1:6" ht="15.75" customHeight="1">
      <c r="A10223" s="5" t="str">
        <f ca="1">IFERROR(__xludf.DUMMYFUNCTION("GOOGLETRANSLATE(B37854,""en"",""pt"")"),"San Marcos")</f>
        <v>San Marcos</v>
      </c>
      <c r="B10223" s="17" t="s">
        <v>5602</v>
      </c>
      <c r="C10223" s="17" t="s">
        <v>19217</v>
      </c>
      <c r="D10223" s="17" t="s">
        <v>19226</v>
      </c>
      <c r="E10223" s="10">
        <v>3616682</v>
      </c>
      <c r="F10223" s="4" t="str">
        <f>IF(B10223=B10222,"",B10223)</f>
        <v/>
      </c>
    </row>
    <row r="10224" spans="1:6" ht="15.75" customHeight="1">
      <c r="A10224" s="5" t="str">
        <f ca="1">IFERROR(__xludf.DUMMYFUNCTION("GOOGLETRANSLATE(B41368,""en"",""pt"")"),"San Marcos")</f>
        <v>San Marcos</v>
      </c>
      <c r="B10224" s="17" t="s">
        <v>5602</v>
      </c>
      <c r="C10224" s="17" t="s">
        <v>6727</v>
      </c>
      <c r="D10224" s="17" t="s">
        <v>6729</v>
      </c>
      <c r="E10224" s="10">
        <v>3583480</v>
      </c>
      <c r="F10224" s="4" t="str">
        <f>IF(B10224=B10223,"",B10224)</f>
        <v/>
      </c>
    </row>
    <row r="10225" spans="1:6" ht="15.75" customHeight="1">
      <c r="A10225" s="5" t="str">
        <f ca="1">IFERROR(__xludf.DUMMYFUNCTION("GOOGLETRANSLATE(B45013,""en"",""pt"")"),"San Marcos")</f>
        <v>San Marcos</v>
      </c>
      <c r="B10225" s="17" t="s">
        <v>5602</v>
      </c>
      <c r="C10225" s="17" t="s">
        <v>27788</v>
      </c>
      <c r="D10225" s="17" t="s">
        <v>27801</v>
      </c>
      <c r="E10225" s="10">
        <v>5392368</v>
      </c>
      <c r="F10225" s="4" t="str">
        <f>IF(B10225=B10224,"",B10225)</f>
        <v/>
      </c>
    </row>
    <row r="10226" spans="1:6" ht="15.75" customHeight="1">
      <c r="A10226" s="5" t="s">
        <v>20996</v>
      </c>
      <c r="B10226" s="6" t="s">
        <v>20996</v>
      </c>
      <c r="C10226" s="5" t="s">
        <v>20598</v>
      </c>
      <c r="D10226" s="5" t="s">
        <v>20599</v>
      </c>
      <c r="E10226" s="2">
        <v>1689099</v>
      </c>
      <c r="F10226" s="4" t="str">
        <f>IF(B10226=B10225,"",B10226)</f>
        <v>San Marcelino</v>
      </c>
    </row>
    <row r="10227" spans="1:6" ht="15.75" customHeight="1">
      <c r="A10227" s="5" t="str">
        <f ca="1">IFERROR(__xludf.DUMMYFUNCTION("GOOGLETRANSLATE(B38506,""en"",""pt"")"),"San Marcelino")</f>
        <v>San Marcelino</v>
      </c>
      <c r="B10227" s="17" t="s">
        <v>20996</v>
      </c>
      <c r="C10227" s="17" t="s">
        <v>20598</v>
      </c>
      <c r="D10227" s="17" t="s">
        <v>20599</v>
      </c>
      <c r="E10227" s="10">
        <v>1689099</v>
      </c>
      <c r="F10227" s="4" t="str">
        <f>IF(B10227=B10226,"",B10227)</f>
        <v/>
      </c>
    </row>
    <row r="10228" spans="1:6" ht="15.75" customHeight="1">
      <c r="A10228" s="5" t="str">
        <f ca="1">IFERROR(__xludf.DUMMYFUNCTION("GOOGLETRANSLATE(B37194,""en"",""pt"")"),"San Luis Rio Colorado")</f>
        <v>San Luis Rio Colorado</v>
      </c>
      <c r="B10228" s="17" t="s">
        <v>34741</v>
      </c>
      <c r="C10228" s="17" t="s">
        <v>17707</v>
      </c>
      <c r="D10228" s="17" t="s">
        <v>17732</v>
      </c>
      <c r="E10228" s="10">
        <v>3985604</v>
      </c>
      <c r="F10228" s="4" t="str">
        <f>IF(B10228=B10227,"",B10228)</f>
        <v>San Luis Río Colorado</v>
      </c>
    </row>
    <row r="10229" spans="1:6" ht="15.75" customHeight="1">
      <c r="A10229" s="5" t="s">
        <v>18236</v>
      </c>
      <c r="B10229" s="6" t="s">
        <v>18237</v>
      </c>
      <c r="C10229" s="5" t="s">
        <v>17707</v>
      </c>
      <c r="D10229" s="5" t="s">
        <v>17732</v>
      </c>
      <c r="E10229" s="2">
        <v>3985604</v>
      </c>
      <c r="F10229" s="4" t="str">
        <f>IF(B10229=B10228,"",B10229)</f>
        <v>San Luis RÃ­o Colorado</v>
      </c>
    </row>
    <row r="10230" spans="1:6" ht="15.75" customHeight="1">
      <c r="A10230" s="5" t="str">
        <f ca="1">IFERROR(__xludf.DUMMYFUNCTION("GOOGLETRANSLATE(B37195,""en"",""pt"")"),"San Luis Potosí")</f>
        <v>San Luis Potosí</v>
      </c>
      <c r="B10230" s="17" t="s">
        <v>34674</v>
      </c>
      <c r="C10230" s="17" t="s">
        <v>17707</v>
      </c>
      <c r="D10230" s="17" t="s">
        <v>34674</v>
      </c>
      <c r="E10230" s="10">
        <v>3985606</v>
      </c>
      <c r="F10230" s="4" t="str">
        <f>IF(B10230=B10229,"",B10230)</f>
        <v>San Luis Potosí</v>
      </c>
    </row>
    <row r="10231" spans="1:6" ht="15.75" customHeight="1">
      <c r="A10231" s="5" t="s">
        <v>18235</v>
      </c>
      <c r="B10231" s="6" t="s">
        <v>17802</v>
      </c>
      <c r="C10231" s="5" t="s">
        <v>17707</v>
      </c>
      <c r="D10231" s="5" t="s">
        <v>17802</v>
      </c>
      <c r="E10231" s="2">
        <v>3985606</v>
      </c>
      <c r="F10231" s="4" t="str">
        <f>IF(B10231=B10230,"",B10231)</f>
        <v>San Luis PotosÃ­</v>
      </c>
    </row>
    <row r="10232" spans="1:6" ht="15.75" customHeight="1">
      <c r="A10232" s="5" t="s">
        <v>29896</v>
      </c>
      <c r="B10232" s="6" t="s">
        <v>29896</v>
      </c>
      <c r="C10232" s="5" t="s">
        <v>27788</v>
      </c>
      <c r="D10232" s="5" t="s">
        <v>27801</v>
      </c>
      <c r="E10232" s="2">
        <v>5392323</v>
      </c>
      <c r="F10232" s="4" t="str">
        <f>IF(B10232=B10231,"",B10232)</f>
        <v>San Luis Obispo</v>
      </c>
    </row>
    <row r="10233" spans="1:6" ht="15.75" customHeight="1">
      <c r="A10233" s="5" t="str">
        <f ca="1">IFERROR(__xludf.DUMMYFUNCTION("GOOGLETRANSLATE(B45012,""en"",""pt"")"),"San Luis Obispo")</f>
        <v>San Luis Obispo</v>
      </c>
      <c r="B10233" s="17" t="s">
        <v>29896</v>
      </c>
      <c r="C10233" s="17" t="s">
        <v>27788</v>
      </c>
      <c r="D10233" s="17" t="s">
        <v>27801</v>
      </c>
      <c r="E10233" s="10">
        <v>5392323</v>
      </c>
      <c r="F10233" s="4" t="str">
        <f>IF(B10233=B10232,"",B10233)</f>
        <v/>
      </c>
    </row>
    <row r="10234" spans="1:6" ht="15.75" customHeight="1">
      <c r="A10234" s="5" t="s">
        <v>785</v>
      </c>
      <c r="B10234" s="6" t="s">
        <v>785</v>
      </c>
      <c r="C10234" s="5" t="s">
        <v>558</v>
      </c>
      <c r="D10234" s="5" t="s">
        <v>629</v>
      </c>
      <c r="E10234" s="2">
        <v>3428708</v>
      </c>
      <c r="F10234" s="4" t="str">
        <f>IF(B10234=B10233,"",B10234)</f>
        <v>San Luis del Palmar</v>
      </c>
    </row>
    <row r="10235" spans="1:6" ht="15.75" customHeight="1">
      <c r="A10235" s="5" t="str">
        <f ca="1">IFERROR(__xludf.DUMMYFUNCTION("GOOGLETRANSLATE(B23179,""en"",""pt"")"),"San Luis del Palmar")</f>
        <v>San Luis del Palmar</v>
      </c>
      <c r="B10235" s="17" t="s">
        <v>785</v>
      </c>
      <c r="C10235" s="17" t="s">
        <v>558</v>
      </c>
      <c r="D10235" s="17" t="s">
        <v>629</v>
      </c>
      <c r="E10235" s="10">
        <v>3428708</v>
      </c>
      <c r="F10235" s="4" t="str">
        <f>IF(B10235=B10234,"",B10235)</f>
        <v/>
      </c>
    </row>
    <row r="10236" spans="1:6" ht="15.75" customHeight="1">
      <c r="A10236" s="5" t="s">
        <v>18234</v>
      </c>
      <c r="B10236" s="6" t="s">
        <v>18234</v>
      </c>
      <c r="C10236" s="5" t="s">
        <v>17707</v>
      </c>
      <c r="D10236" s="5" t="s">
        <v>17713</v>
      </c>
      <c r="E10236" s="2">
        <v>3985620</v>
      </c>
      <c r="F10236" s="4" t="str">
        <f>IF(B10236=B10235,"",B10236)</f>
        <v>San Luis de la Paz</v>
      </c>
    </row>
    <row r="10237" spans="1:6" ht="15.75" customHeight="1">
      <c r="A10237" s="5" t="s">
        <v>18234</v>
      </c>
      <c r="B10237" s="6" t="s">
        <v>18234</v>
      </c>
      <c r="C10237" s="5" t="s">
        <v>17707</v>
      </c>
      <c r="D10237" s="5" t="s">
        <v>17723</v>
      </c>
      <c r="E10237" s="2">
        <v>3985621</v>
      </c>
      <c r="F10237" s="4" t="str">
        <f>IF(B10237=B10236,"",B10237)</f>
        <v/>
      </c>
    </row>
    <row r="10238" spans="1:6" ht="15.75" customHeight="1">
      <c r="A10238" s="5" t="str">
        <f ca="1">IFERROR(__xludf.DUMMYFUNCTION("GOOGLETRANSLATE(B37196,""en"",""pt"")"),"San Luis de la Paz")</f>
        <v>San Luis de la Paz</v>
      </c>
      <c r="B10238" s="17" t="s">
        <v>18234</v>
      </c>
      <c r="C10238" s="17" t="s">
        <v>17707</v>
      </c>
      <c r="D10238" s="17" t="s">
        <v>17713</v>
      </c>
      <c r="E10238" s="10">
        <v>3985620</v>
      </c>
      <c r="F10238" s="4" t="str">
        <f>IF(B10238=B10237,"",B10238)</f>
        <v/>
      </c>
    </row>
    <row r="10239" spans="1:6" ht="15.75" customHeight="1">
      <c r="A10239" s="5" t="str">
        <f ca="1">IFERROR(__xludf.DUMMYFUNCTION("GOOGLETRANSLATE(B37197,""en"",""pt"")"),"San Luis de la Paz")</f>
        <v>San Luis de la Paz</v>
      </c>
      <c r="B10239" s="17" t="s">
        <v>18234</v>
      </c>
      <c r="C10239" s="17" t="s">
        <v>17707</v>
      </c>
      <c r="D10239" s="17" t="s">
        <v>17723</v>
      </c>
      <c r="E10239" s="10">
        <v>3985621</v>
      </c>
      <c r="F10239" s="4" t="str">
        <f>IF(B10239=B10238,"",B10239)</f>
        <v/>
      </c>
    </row>
    <row r="10240" spans="1:6" ht="15.75" customHeight="1">
      <c r="A10240" s="6" t="s">
        <v>784</v>
      </c>
      <c r="B10240" s="6" t="s">
        <v>784</v>
      </c>
      <c r="C10240" s="6" t="s">
        <v>558</v>
      </c>
      <c r="D10240" s="6" t="s">
        <v>784</v>
      </c>
      <c r="E10240" s="2">
        <v>3837056</v>
      </c>
      <c r="F10240" s="4" t="str">
        <f>IF(B10240=B10239,"",B10240)</f>
        <v>San Luis</v>
      </c>
    </row>
    <row r="10241" spans="1:6" ht="15.75" customHeight="1">
      <c r="A10241" s="6" t="s">
        <v>784</v>
      </c>
      <c r="B10241" s="6" t="s">
        <v>784</v>
      </c>
      <c r="C10241" s="6" t="s">
        <v>5764</v>
      </c>
      <c r="D10241" s="6" t="s">
        <v>5827</v>
      </c>
      <c r="E10241" s="2">
        <v>3539093</v>
      </c>
      <c r="F10241" s="4" t="str">
        <f>IF(B10241=B10240,"",B10241)</f>
        <v/>
      </c>
    </row>
    <row r="10242" spans="1:6" ht="15.75" customHeight="1">
      <c r="A10242" s="6" t="s">
        <v>784</v>
      </c>
      <c r="B10242" s="6" t="s">
        <v>784</v>
      </c>
      <c r="C10242" s="6" t="s">
        <v>20598</v>
      </c>
      <c r="D10242" s="6" t="s">
        <v>20599</v>
      </c>
      <c r="E10242" s="2">
        <v>1689129</v>
      </c>
      <c r="F10242" s="4" t="str">
        <f>IF(B10242=B10241,"",B10242)</f>
        <v/>
      </c>
    </row>
    <row r="10243" spans="1:6" ht="15.75" customHeight="1">
      <c r="A10243" s="6" t="s">
        <v>784</v>
      </c>
      <c r="B10243" s="6" t="s">
        <v>784</v>
      </c>
      <c r="C10243" s="6" t="s">
        <v>27788</v>
      </c>
      <c r="D10243" s="6" t="s">
        <v>27880</v>
      </c>
      <c r="E10243" s="2">
        <v>5312913</v>
      </c>
      <c r="F10243" s="4" t="str">
        <f>IF(B10243=B10242,"",B10243)</f>
        <v/>
      </c>
    </row>
    <row r="10244" spans="1:6" ht="15.75" customHeight="1">
      <c r="A10244" s="5" t="str">
        <f ca="1">IFERROR(__xludf.DUMMYFUNCTION("GOOGLETRANSLATE(B23270,""en"",""pt"")"),"San Luis")</f>
        <v>San Luis</v>
      </c>
      <c r="B10244" s="17" t="s">
        <v>784</v>
      </c>
      <c r="C10244" s="17" t="s">
        <v>558</v>
      </c>
      <c r="D10244" s="17" t="s">
        <v>784</v>
      </c>
      <c r="E10244" s="10">
        <v>3837056</v>
      </c>
      <c r="F10244" s="4" t="str">
        <f>IF(B10244=B10243,"",B10244)</f>
        <v/>
      </c>
    </row>
    <row r="10245" spans="1:6" ht="15.75" customHeight="1">
      <c r="A10245" s="5" t="str">
        <f ca="1">IFERROR(__xludf.DUMMYFUNCTION("GOOGLETRANSLATE(B27119,""en"",""pt"")"),"San Luis")</f>
        <v>San Luis</v>
      </c>
      <c r="B10245" s="17" t="s">
        <v>784</v>
      </c>
      <c r="C10245" s="17" t="s">
        <v>5764</v>
      </c>
      <c r="D10245" s="17" t="s">
        <v>5827</v>
      </c>
      <c r="E10245" s="10">
        <v>3539093</v>
      </c>
      <c r="F10245" s="4" t="str">
        <f>IF(B10245=B10244,"",B10245)</f>
        <v/>
      </c>
    </row>
    <row r="10246" spans="1:6" ht="15.75" customHeight="1">
      <c r="A10246" s="5" t="str">
        <f ca="1">IFERROR(__xludf.DUMMYFUNCTION("GOOGLETRANSLATE(B38507,""en"",""pt"")"),"San Luis")</f>
        <v>San Luis</v>
      </c>
      <c r="B10246" s="17" t="s">
        <v>784</v>
      </c>
      <c r="C10246" s="17" t="s">
        <v>20598</v>
      </c>
      <c r="D10246" s="17" t="s">
        <v>20599</v>
      </c>
      <c r="E10246" s="10">
        <v>1689129</v>
      </c>
      <c r="F10246" s="4" t="str">
        <f>IF(B10246=B10245,"",B10246)</f>
        <v/>
      </c>
    </row>
    <row r="10247" spans="1:6" ht="15.75" customHeight="1">
      <c r="A10247" s="5" t="str">
        <f ca="1">IFERROR(__xludf.DUMMYFUNCTION("GOOGLETRANSLATE(B44726,""en"",""pt"")"),"San Luis")</f>
        <v>San Luis</v>
      </c>
      <c r="B10247" s="17" t="s">
        <v>784</v>
      </c>
      <c r="C10247" s="17" t="s">
        <v>27788</v>
      </c>
      <c r="D10247" s="17" t="s">
        <v>27880</v>
      </c>
      <c r="E10247" s="10">
        <v>5312913</v>
      </c>
      <c r="F10247" s="4" t="str">
        <f>IF(B10247=B10246,"",B10247)</f>
        <v/>
      </c>
    </row>
    <row r="10248" spans="1:6" ht="15.75" customHeight="1">
      <c r="A10248" s="5" t="str">
        <f ca="1">IFERROR(__xludf.DUMMYFUNCTION("GOOGLETRANSLATE(B31081,""en"",""pt"")"),"San Lucas Sacatepéquez")</f>
        <v>San Lucas Sacatepéquez</v>
      </c>
      <c r="B10248" s="17" t="s">
        <v>32775</v>
      </c>
      <c r="C10248" s="17" t="s">
        <v>9700</v>
      </c>
      <c r="D10248" s="17" t="s">
        <v>32767</v>
      </c>
      <c r="E10248" s="10">
        <v>3589852</v>
      </c>
      <c r="F10248" s="4" t="str">
        <f>IF(B10248=B10247,"",B10248)</f>
        <v>San Lucas Sacatepéquez</v>
      </c>
    </row>
    <row r="10249" spans="1:6" ht="15.75" customHeight="1">
      <c r="A10249" s="5" t="s">
        <v>9794</v>
      </c>
      <c r="B10249" s="6" t="s">
        <v>9795</v>
      </c>
      <c r="C10249" s="5" t="s">
        <v>9700</v>
      </c>
      <c r="D10249" s="5" t="s">
        <v>9701</v>
      </c>
      <c r="E10249" s="2">
        <v>3589852</v>
      </c>
      <c r="F10249" s="4" t="str">
        <f>IF(B10249=B10248,"",B10249)</f>
        <v>San Lucas SacatepÃ©quez</v>
      </c>
    </row>
    <row r="10250" spans="1:6" ht="15.75" customHeight="1">
      <c r="A10250" s="5" t="s">
        <v>6476</v>
      </c>
      <c r="B10250" s="6" t="s">
        <v>6476</v>
      </c>
      <c r="C10250" s="5" t="s">
        <v>6398</v>
      </c>
      <c r="D10250" s="5" t="s">
        <v>2438</v>
      </c>
      <c r="E10250" s="2">
        <v>3651694</v>
      </c>
      <c r="F10250" s="4" t="str">
        <f>IF(B10250=B10249,"",B10250)</f>
        <v>San Lorenzo de Esmeraldas</v>
      </c>
    </row>
    <row r="10251" spans="1:6" ht="15.75" customHeight="1">
      <c r="A10251" s="5" t="str">
        <f ca="1">IFERROR(__xludf.DUMMYFUNCTION("GOOGLETRANSLATE(B28757,""en"",""pt"")"),"San Lorenzo de Esmeraldas")</f>
        <v>San Lorenzo de Esmeraldas</v>
      </c>
      <c r="B10251" s="17" t="s">
        <v>6476</v>
      </c>
      <c r="C10251" s="17" t="s">
        <v>6398</v>
      </c>
      <c r="D10251" s="17" t="s">
        <v>2438</v>
      </c>
      <c r="E10251" s="10">
        <v>3651694</v>
      </c>
      <c r="F10251" s="4" t="str">
        <f>IF(B10251=B10250,"",B10251)</f>
        <v/>
      </c>
    </row>
    <row r="10252" spans="1:6" ht="15.75" customHeight="1">
      <c r="A10252" s="5" t="s">
        <v>24761</v>
      </c>
      <c r="B10252" s="6" t="s">
        <v>24761</v>
      </c>
      <c r="C10252" s="5" t="s">
        <v>24200</v>
      </c>
      <c r="D10252" s="5" t="s">
        <v>5513</v>
      </c>
      <c r="E10252" s="2">
        <v>3110458</v>
      </c>
      <c r="F10252" s="4" t="str">
        <f>IF(B10252=B10251,"",B10252)</f>
        <v>San Lorenzo de El Escorial</v>
      </c>
    </row>
    <row r="10253" spans="1:6" ht="15.75" customHeight="1">
      <c r="A10253" s="5" t="str">
        <f ca="1">IFERROR(__xludf.DUMMYFUNCTION("GOOGLETRANSLATE(B29291,""en"",""pt"")"),"San Lorenzo de El Escorial")</f>
        <v>San Lorenzo de El Escorial</v>
      </c>
      <c r="B10253" s="17" t="s">
        <v>24761</v>
      </c>
      <c r="C10253" s="17" t="s">
        <v>24200</v>
      </c>
      <c r="D10253" s="17" t="s">
        <v>5513</v>
      </c>
      <c r="E10253" s="10">
        <v>3110458</v>
      </c>
      <c r="F10253" s="4" t="str">
        <f>IF(B10253=B10252,"",B10253)</f>
        <v/>
      </c>
    </row>
    <row r="10254" spans="1:6" ht="15.75" customHeight="1">
      <c r="A10254" s="5" t="s">
        <v>18233</v>
      </c>
      <c r="B10254" s="6" t="s">
        <v>18233</v>
      </c>
      <c r="C10254" s="5" t="s">
        <v>17707</v>
      </c>
      <c r="D10254" s="5" t="s">
        <v>17711</v>
      </c>
      <c r="E10254" s="2">
        <v>3827403</v>
      </c>
      <c r="F10254" s="4" t="str">
        <f>IF(B10254=B10253,"",B10254)</f>
        <v>San Lorenzo Acopilco</v>
      </c>
    </row>
    <row r="10255" spans="1:6" ht="15.75" customHeight="1">
      <c r="A10255" s="5" t="str">
        <f ca="1">IFERROR(__xludf.DUMMYFUNCTION("GOOGLETRANSLATE(B37126,""en"",""pt"")"),"San Lorenzo Acopilco")</f>
        <v>San Lorenzo Acopilco</v>
      </c>
      <c r="B10255" s="17" t="s">
        <v>18233</v>
      </c>
      <c r="C10255" s="17" t="s">
        <v>17707</v>
      </c>
      <c r="D10255" s="17" t="s">
        <v>17711</v>
      </c>
      <c r="E10255" s="10">
        <v>3827403</v>
      </c>
      <c r="F10255" s="4" t="str">
        <f>IF(B10255=B10254,"",B10255)</f>
        <v/>
      </c>
    </row>
    <row r="10256" spans="1:6" ht="15.75" customHeight="1">
      <c r="A10256" s="5" t="s">
        <v>783</v>
      </c>
      <c r="B10256" s="6" t="s">
        <v>783</v>
      </c>
      <c r="C10256" s="5" t="s">
        <v>558</v>
      </c>
      <c r="D10256" s="5" t="s">
        <v>629</v>
      </c>
      <c r="E10256" s="2">
        <v>3428759</v>
      </c>
      <c r="F10256" s="4" t="str">
        <f>IF(B10256=B10255,"",B10256)</f>
        <v>San Lorenzo</v>
      </c>
    </row>
    <row r="10257" spans="1:6" ht="15.75" customHeight="1">
      <c r="A10257" s="5" t="s">
        <v>783</v>
      </c>
      <c r="B10257" s="6" t="s">
        <v>783</v>
      </c>
      <c r="C10257" s="5" t="s">
        <v>9907</v>
      </c>
      <c r="D10257" s="5" t="s">
        <v>9928</v>
      </c>
      <c r="E10257" s="2">
        <v>3601977</v>
      </c>
      <c r="F10257" s="4" t="str">
        <f>IF(B10257=B10256,"",B10257)</f>
        <v/>
      </c>
    </row>
    <row r="10258" spans="1:6" ht="15.75" customHeight="1">
      <c r="A10258" s="5" t="s">
        <v>783</v>
      </c>
      <c r="B10258" s="6" t="s">
        <v>783</v>
      </c>
      <c r="C10258" s="5" t="s">
        <v>20433</v>
      </c>
      <c r="D10258" s="5" t="s">
        <v>1886</v>
      </c>
      <c r="E10258" s="2">
        <v>3437056</v>
      </c>
      <c r="F10258" s="4" t="str">
        <f>IF(B10258=B10257,"",B10258)</f>
        <v/>
      </c>
    </row>
    <row r="10259" spans="1:6" ht="15.75" customHeight="1">
      <c r="A10259" s="5" t="s">
        <v>783</v>
      </c>
      <c r="B10259" s="6" t="s">
        <v>783</v>
      </c>
      <c r="C10259" s="5" t="s">
        <v>27788</v>
      </c>
      <c r="D10259" s="5" t="s">
        <v>27801</v>
      </c>
      <c r="E10259" s="2">
        <v>5392281</v>
      </c>
      <c r="F10259" s="4" t="str">
        <f>IF(B10259=B10258,"",B10259)</f>
        <v/>
      </c>
    </row>
    <row r="10260" spans="1:6" ht="15.75" customHeight="1">
      <c r="A10260" s="5" t="str">
        <f ca="1">IFERROR(__xludf.DUMMYFUNCTION("GOOGLETRANSLATE(B23180,""en"",""pt"")"),"San Lorenzo")</f>
        <v>San Lorenzo</v>
      </c>
      <c r="B10260" s="17" t="s">
        <v>783</v>
      </c>
      <c r="C10260" s="17" t="s">
        <v>558</v>
      </c>
      <c r="D10260" s="17" t="s">
        <v>629</v>
      </c>
      <c r="E10260" s="10">
        <v>3428759</v>
      </c>
      <c r="F10260" s="4" t="str">
        <f>IF(B10260=B10259,"",B10260)</f>
        <v/>
      </c>
    </row>
    <row r="10261" spans="1:6" ht="15.75" customHeight="1">
      <c r="A10261" s="5" t="str">
        <f ca="1">IFERROR(__xludf.DUMMYFUNCTION("GOOGLETRANSLATE(B31173,""en"",""pt"")"),"San Lorenzo")</f>
        <v>San Lorenzo</v>
      </c>
      <c r="B10261" s="17" t="s">
        <v>783</v>
      </c>
      <c r="C10261" s="17" t="s">
        <v>9907</v>
      </c>
      <c r="D10261" s="17" t="s">
        <v>9928</v>
      </c>
      <c r="E10261" s="10">
        <v>3601977</v>
      </c>
      <c r="F10261" s="4" t="str">
        <f>IF(B10261=B10260,"",B10261)</f>
        <v/>
      </c>
    </row>
    <row r="10262" spans="1:6" ht="15.75" customHeight="1">
      <c r="A10262" s="5" t="str">
        <f ca="1">IFERROR(__xludf.DUMMYFUNCTION("GOOGLETRANSLATE(B39681,""en"",""pt"")"),"San Lorenzo")</f>
        <v>San Lorenzo</v>
      </c>
      <c r="B10262" s="17" t="s">
        <v>783</v>
      </c>
      <c r="C10262" s="17" t="s">
        <v>20433</v>
      </c>
      <c r="D10262" s="17" t="s">
        <v>1886</v>
      </c>
      <c r="E10262" s="10">
        <v>3437056</v>
      </c>
      <c r="F10262" s="4" t="str">
        <f>IF(B10262=B10261,"",B10262)</f>
        <v/>
      </c>
    </row>
    <row r="10263" spans="1:6" ht="15.75" customHeight="1">
      <c r="A10263" s="5" t="str">
        <f ca="1">IFERROR(__xludf.DUMMYFUNCTION("GOOGLETRANSLATE(B45011,""en"",""pt"")"),"San Lorenzo")</f>
        <v>San Lorenzo</v>
      </c>
      <c r="B10263" s="17" t="s">
        <v>783</v>
      </c>
      <c r="C10263" s="17" t="s">
        <v>27788</v>
      </c>
      <c r="D10263" s="17" t="s">
        <v>27801</v>
      </c>
      <c r="E10263" s="10">
        <v>5392281</v>
      </c>
      <c r="F10263" s="4" t="str">
        <f>IF(B10263=B10262,"",B10263)</f>
        <v/>
      </c>
    </row>
    <row r="10264" spans="1:6" ht="15.75" customHeight="1">
      <c r="A10264" s="5" t="s">
        <v>20995</v>
      </c>
      <c r="B10264" s="6" t="s">
        <v>20995</v>
      </c>
      <c r="C10264" s="5" t="s">
        <v>20598</v>
      </c>
      <c r="D10264" s="5" t="s">
        <v>20599</v>
      </c>
      <c r="E10264" s="2">
        <v>1689171</v>
      </c>
      <c r="F10264" s="4" t="str">
        <f>IF(B10264=B10263,"",B10264)</f>
        <v>San Leonardo</v>
      </c>
    </row>
    <row r="10265" spans="1:6" ht="15.75" customHeight="1">
      <c r="A10265" s="5" t="str">
        <f ca="1">IFERROR(__xludf.DUMMYFUNCTION("GOOGLETRANSLATE(B38508,""en"",""pt"")"),"San Leonardo")</f>
        <v>San Leonardo</v>
      </c>
      <c r="B10265" s="17" t="s">
        <v>20995</v>
      </c>
      <c r="C10265" s="17" t="s">
        <v>20598</v>
      </c>
      <c r="D10265" s="17" t="s">
        <v>20599</v>
      </c>
      <c r="E10265" s="10">
        <v>1689171</v>
      </c>
      <c r="F10265" s="4" t="str">
        <f>IF(B10265=B10264,"",B10265)</f>
        <v/>
      </c>
    </row>
    <row r="10266" spans="1:6" ht="15.75" customHeight="1">
      <c r="A10266" s="5" t="s">
        <v>29895</v>
      </c>
      <c r="B10266" s="6" t="s">
        <v>29895</v>
      </c>
      <c r="C10266" s="5" t="s">
        <v>27788</v>
      </c>
      <c r="D10266" s="5" t="s">
        <v>27801</v>
      </c>
      <c r="E10266" s="2">
        <v>5392263</v>
      </c>
      <c r="F10266" s="4" t="str">
        <f>IF(B10266=B10265,"",B10266)</f>
        <v>San Leandro</v>
      </c>
    </row>
    <row r="10267" spans="1:6" ht="15.75" customHeight="1">
      <c r="A10267" s="5" t="str">
        <f ca="1">IFERROR(__xludf.DUMMYFUNCTION("GOOGLETRANSLATE(B45010,""en"",""pt"")"),"San Leandro")</f>
        <v>San Leandro</v>
      </c>
      <c r="B10267" s="17" t="s">
        <v>29895</v>
      </c>
      <c r="C10267" s="17" t="s">
        <v>27788</v>
      </c>
      <c r="D10267" s="17" t="s">
        <v>27801</v>
      </c>
      <c r="E10267" s="10">
        <v>5392263</v>
      </c>
      <c r="F10267" s="4" t="str">
        <f>IF(B10267=B10266,"",B10267)</f>
        <v/>
      </c>
    </row>
    <row r="10268" spans="1:6" ht="15.75" customHeight="1">
      <c r="A10268" s="5" t="s">
        <v>15452</v>
      </c>
      <c r="B10268" s="6" t="s">
        <v>15452</v>
      </c>
      <c r="C10268" s="5" t="s">
        <v>14891</v>
      </c>
      <c r="D10268" s="5" t="s">
        <v>14973</v>
      </c>
      <c r="E10268" s="2">
        <v>3168175</v>
      </c>
      <c r="F10268" s="4" t="str">
        <f>IF(B10268=B10267,"",B10268)</f>
        <v>San Lazzaro</v>
      </c>
    </row>
    <row r="10269" spans="1:6" ht="15.75" customHeight="1">
      <c r="A10269" s="5" t="str">
        <f ca="1">IFERROR(__xludf.DUMMYFUNCTION("GOOGLETRANSLATE(B34717,""en"",""pt"")"),"San Lazzaro")</f>
        <v>San Lazzaro</v>
      </c>
      <c r="B10269" s="17" t="s">
        <v>15452</v>
      </c>
      <c r="C10269" s="17" t="s">
        <v>14891</v>
      </c>
      <c r="D10269" s="17" t="s">
        <v>14973</v>
      </c>
      <c r="E10269" s="10">
        <v>3168175</v>
      </c>
      <c r="F10269" s="4" t="str">
        <f>IF(B10269=B10268,"",B10269)</f>
        <v/>
      </c>
    </row>
    <row r="10270" spans="1:6" ht="15.75" customHeight="1">
      <c r="A10270" s="5" t="s">
        <v>25986</v>
      </c>
      <c r="B10270" s="6" t="s">
        <v>25986</v>
      </c>
      <c r="C10270" s="5" t="s">
        <v>25771</v>
      </c>
      <c r="D10270" s="5" t="s">
        <v>25861</v>
      </c>
      <c r="E10270" s="2">
        <v>1150732</v>
      </c>
      <c r="F10270" s="4" t="str">
        <f>IF(B10270=B10269,"",B10270)</f>
        <v>San Kamphaeng</v>
      </c>
    </row>
    <row r="10271" spans="1:6" ht="15.75" customHeight="1">
      <c r="A10271" s="5" t="str">
        <f ca="1">IFERROR(__xludf.DUMMYFUNCTION("GOOGLETRANSLATE(B41527,""en"",""pt"")"),"San Kamphaeng")</f>
        <v>San Kamphaeng</v>
      </c>
      <c r="B10271" s="17" t="s">
        <v>25986</v>
      </c>
      <c r="C10271" s="17" t="s">
        <v>25771</v>
      </c>
      <c r="D10271" s="17" t="s">
        <v>25861</v>
      </c>
      <c r="E10271" s="10">
        <v>1150732</v>
      </c>
      <c r="F10271" s="4" t="str">
        <f>IF(B10271=B10270,"",B10271)</f>
        <v/>
      </c>
    </row>
    <row r="10272" spans="1:6" ht="15.75" customHeight="1">
      <c r="A10272" s="6" t="s">
        <v>782</v>
      </c>
      <c r="B10272" s="6" t="s">
        <v>782</v>
      </c>
      <c r="C10272" s="6" t="s">
        <v>558</v>
      </c>
      <c r="D10272" s="6" t="s">
        <v>579</v>
      </c>
      <c r="E10272" s="2">
        <v>3837124</v>
      </c>
      <c r="F10272" s="4" t="str">
        <f>IF(B10272=B10271,"",B10272)</f>
        <v>San Justo</v>
      </c>
    </row>
    <row r="10273" spans="1:6" ht="15.75" customHeight="1">
      <c r="A10273" s="5" t="str">
        <f ca="1">IFERROR(__xludf.DUMMYFUNCTION("GOOGLETRANSLATE(B23271,""en"",""pt"")"),"San Justo")</f>
        <v>San Justo</v>
      </c>
      <c r="B10273" s="17" t="s">
        <v>782</v>
      </c>
      <c r="C10273" s="17" t="s">
        <v>558</v>
      </c>
      <c r="D10273" s="17" t="s">
        <v>579</v>
      </c>
      <c r="E10273" s="10">
        <v>3837124</v>
      </c>
      <c r="F10273" s="4" t="str">
        <f>IF(B10273=B10272,"",B10273)</f>
        <v/>
      </c>
    </row>
    <row r="10274" spans="1:6" ht="15.75" customHeight="1">
      <c r="A10274" s="5" t="str">
        <f ca="1">IFERROR(__xludf.DUMMYFUNCTION("GOOGLETRANSLATE(B31082,""en"",""pt"")"),"San Juan Sacatepéquez")</f>
        <v>San Juan Sacatepéquez</v>
      </c>
      <c r="B10274" s="17" t="s">
        <v>32776</v>
      </c>
      <c r="C10274" s="17" t="s">
        <v>9700</v>
      </c>
      <c r="D10274" s="17" t="s">
        <v>9700</v>
      </c>
      <c r="E10274" s="10">
        <v>3589885</v>
      </c>
      <c r="F10274" s="4" t="str">
        <f>IF(B10274=B10273,"",B10274)</f>
        <v>San Juan Sacatepéquez</v>
      </c>
    </row>
    <row r="10275" spans="1:6" ht="15.75" customHeight="1">
      <c r="A10275" s="5" t="s">
        <v>9792</v>
      </c>
      <c r="B10275" s="6" t="s">
        <v>9793</v>
      </c>
      <c r="C10275" s="5" t="s">
        <v>9700</v>
      </c>
      <c r="D10275" s="5" t="s">
        <v>9700</v>
      </c>
      <c r="E10275" s="2">
        <v>3589885</v>
      </c>
      <c r="F10275" s="4" t="str">
        <f>IF(B10275=B10274,"",B10275)</f>
        <v>San Juan SacatepÃ©quez</v>
      </c>
    </row>
    <row r="10276" spans="1:6" ht="15.75" customHeight="1">
      <c r="A10276" s="5" t="s">
        <v>5601</v>
      </c>
      <c r="B10276" s="6" t="s">
        <v>5601</v>
      </c>
      <c r="C10276" s="5" t="s">
        <v>5348</v>
      </c>
      <c r="D10276" s="5" t="s">
        <v>5373</v>
      </c>
      <c r="E10276" s="2">
        <v>3669454</v>
      </c>
      <c r="F10276" s="4" t="str">
        <f>IF(B10276=B10275,"",B10276)</f>
        <v>San Juan Nepomuceno</v>
      </c>
    </row>
    <row r="10277" spans="1:6" ht="15.75" customHeight="1">
      <c r="A10277" s="5" t="str">
        <f ca="1">IFERROR(__xludf.DUMMYFUNCTION("GOOGLETRANSLATE(B26888,""en"",""pt"")"),"San Juan Nepomuceno")</f>
        <v>San Juan Nepomuceno</v>
      </c>
      <c r="B10277" s="17" t="s">
        <v>5601</v>
      </c>
      <c r="C10277" s="17" t="s">
        <v>5348</v>
      </c>
      <c r="D10277" s="17" t="s">
        <v>31836</v>
      </c>
      <c r="E10277" s="10">
        <v>3669454</v>
      </c>
      <c r="F10277" s="4" t="str">
        <f>IF(B10277=B10276,"",B10277)</f>
        <v/>
      </c>
    </row>
    <row r="10278" spans="1:6" ht="15.75" customHeight="1">
      <c r="A10278" s="5" t="str">
        <f ca="1">IFERROR(__xludf.DUMMYFUNCTION("GOOGLETRANSLATE(B36930,""en"",""pt"")"),"San Juan del Río")</f>
        <v>San Juan del Río</v>
      </c>
      <c r="B10278" s="17" t="s">
        <v>34679</v>
      </c>
      <c r="C10278" s="17" t="s">
        <v>17707</v>
      </c>
      <c r="D10278" s="17" t="s">
        <v>34667</v>
      </c>
      <c r="E10278" s="10">
        <v>3518692</v>
      </c>
      <c r="F10278" s="4" t="str">
        <f>IF(B10278=B10277,"",B10278)</f>
        <v>San Juan del Río</v>
      </c>
    </row>
    <row r="10279" spans="1:6" ht="15.75" customHeight="1">
      <c r="A10279" s="5" t="s">
        <v>18231</v>
      </c>
      <c r="B10279" s="6" t="s">
        <v>18232</v>
      </c>
      <c r="C10279" s="5" t="s">
        <v>17707</v>
      </c>
      <c r="D10279" s="5" t="s">
        <v>17925</v>
      </c>
      <c r="E10279" s="2">
        <v>3518692</v>
      </c>
      <c r="F10279" s="4" t="str">
        <f>IF(B10279=B10278,"",B10279)</f>
        <v>San Juan del RÃ­o</v>
      </c>
    </row>
    <row r="10280" spans="1:6" ht="15.75" customHeight="1">
      <c r="A10280" s="5" t="s">
        <v>5600</v>
      </c>
      <c r="B10280" s="6" t="s">
        <v>5600</v>
      </c>
      <c r="C10280" s="5" t="s">
        <v>5348</v>
      </c>
      <c r="D10280" s="5" t="s">
        <v>5383</v>
      </c>
      <c r="E10280" s="2">
        <v>3669469</v>
      </c>
      <c r="F10280" s="4" t="str">
        <f>IF(B10280=B10279,"",B10280)</f>
        <v>San Juan del Cesar</v>
      </c>
    </row>
    <row r="10281" spans="1:6" ht="15.75" customHeight="1">
      <c r="A10281" s="5" t="str">
        <f ca="1">IFERROR(__xludf.DUMMYFUNCTION("GOOGLETRANSLATE(B26889,""en"",""pt"")"),"San Juan del Cesar")</f>
        <v>San Juan del Cesar</v>
      </c>
      <c r="B10281" s="17" t="s">
        <v>5600</v>
      </c>
      <c r="C10281" s="17" t="s">
        <v>5348</v>
      </c>
      <c r="D10281" s="17" t="s">
        <v>5383</v>
      </c>
      <c r="E10281" s="10">
        <v>3669469</v>
      </c>
      <c r="F10281" s="4" t="str">
        <f>IF(B10281=B10280,"",B10281)</f>
        <v/>
      </c>
    </row>
    <row r="10282" spans="1:6" ht="15.75" customHeight="1">
      <c r="A10282" s="5" t="s">
        <v>30761</v>
      </c>
      <c r="B10282" s="6" t="s">
        <v>30762</v>
      </c>
      <c r="C10282" s="5" t="s">
        <v>5923</v>
      </c>
      <c r="D10282" s="5" t="s">
        <v>30637</v>
      </c>
      <c r="E10282" s="2">
        <v>3628053</v>
      </c>
      <c r="F10282" s="4" t="str">
        <f>IF(B10282=B10281,"",B10282)</f>
        <v>San Juan de los Morros</v>
      </c>
    </row>
    <row r="10283" spans="1:6" ht="15.75" customHeight="1">
      <c r="A10283" s="5" t="str">
        <f ca="1">IFERROR(__xludf.DUMMYFUNCTION("GOOGLETRANSLATE(B45619,""en"",""pt"")"),"San Juan de Los Morros")</f>
        <v>San Juan de Los Morros</v>
      </c>
      <c r="B10283" s="17" t="s">
        <v>30762</v>
      </c>
      <c r="C10283" s="17" t="s">
        <v>5923</v>
      </c>
      <c r="D10283" s="17" t="s">
        <v>36082</v>
      </c>
      <c r="E10283" s="10">
        <v>3628053</v>
      </c>
      <c r="F10283" s="4" t="str">
        <f>IF(B10283=B10282,"",B10283)</f>
        <v/>
      </c>
    </row>
    <row r="10284" spans="1:6" ht="15.75" customHeight="1">
      <c r="A10284" s="5" t="s">
        <v>18229</v>
      </c>
      <c r="B10284" s="6" t="s">
        <v>18230</v>
      </c>
      <c r="C10284" s="5" t="s">
        <v>17707</v>
      </c>
      <c r="D10284" s="5" t="s">
        <v>17746</v>
      </c>
      <c r="E10284" s="2">
        <v>3985865</v>
      </c>
      <c r="F10284" s="4" t="str">
        <f>IF(B10284=B10283,"",B10284)</f>
        <v>San Juan de los Lagos</v>
      </c>
    </row>
    <row r="10285" spans="1:6" ht="15.75" customHeight="1">
      <c r="A10285" s="5" t="str">
        <f ca="1">IFERROR(__xludf.DUMMYFUNCTION("GOOGLETRANSLATE(B37199,""en"",""pt"")"),"San Juan de Los Lagos")</f>
        <v>San Juan de Los Lagos</v>
      </c>
      <c r="B10285" s="17" t="s">
        <v>18230</v>
      </c>
      <c r="C10285" s="17" t="s">
        <v>17707</v>
      </c>
      <c r="D10285" s="17" t="s">
        <v>17746</v>
      </c>
      <c r="E10285" s="10">
        <v>3985865</v>
      </c>
      <c r="F10285" s="4" t="str">
        <f>IF(B10285=B10284,"",B10285)</f>
        <v/>
      </c>
    </row>
    <row r="10286" spans="1:6" ht="15.75" customHeight="1">
      <c r="A10286" s="5" t="s">
        <v>6364</v>
      </c>
      <c r="B10286" s="6" t="s">
        <v>6364</v>
      </c>
      <c r="C10286" s="5" t="s">
        <v>6303</v>
      </c>
      <c r="D10286" s="5" t="s">
        <v>568</v>
      </c>
      <c r="E10286" s="2">
        <v>3493081</v>
      </c>
      <c r="F10286" s="4" t="str">
        <f>IF(B10286=B10285,"",B10286)</f>
        <v>San Juan de la Maguana</v>
      </c>
    </row>
    <row r="10287" spans="1:6" ht="15.75" customHeight="1">
      <c r="A10287" s="5" t="str">
        <f ca="1">IFERROR(__xludf.DUMMYFUNCTION("GOOGLETRANSLATE(B28463,""en"",""pt"")"),"San Juan de la Maguana")</f>
        <v>San Juan de la Maguana</v>
      </c>
      <c r="B10287" s="17" t="s">
        <v>6364</v>
      </c>
      <c r="C10287" s="17" t="s">
        <v>6303</v>
      </c>
      <c r="D10287" s="17" t="s">
        <v>568</v>
      </c>
      <c r="E10287" s="10">
        <v>3493081</v>
      </c>
      <c r="F10287" s="4" t="str">
        <f>IF(B10287=B10286,"",B10287)</f>
        <v/>
      </c>
    </row>
    <row r="10288" spans="1:6" ht="15.75" customHeight="1">
      <c r="A10288" s="5" t="s">
        <v>5698</v>
      </c>
      <c r="B10288" s="6" t="s">
        <v>5698</v>
      </c>
      <c r="C10288" s="5" t="s">
        <v>5665</v>
      </c>
      <c r="D10288" s="5" t="s">
        <v>5668</v>
      </c>
      <c r="E10288" s="2">
        <v>3621804</v>
      </c>
      <c r="F10288" s="4" t="str">
        <f>IF(B10288=B10287,"",B10288)</f>
        <v>San Juan de Dios</v>
      </c>
    </row>
    <row r="10289" spans="1:6" ht="15.75" customHeight="1">
      <c r="A10289" s="5" t="str">
        <f ca="1">IFERROR(__xludf.DUMMYFUNCTION("GOOGLETRANSLATE(B27071,""en"",""pt"")"),"San Juan de Dios")</f>
        <v>San Juan de Dios</v>
      </c>
      <c r="B10289" s="17" t="s">
        <v>5698</v>
      </c>
      <c r="C10289" s="17" t="s">
        <v>5665</v>
      </c>
      <c r="D10289" s="17" t="s">
        <v>5697</v>
      </c>
      <c r="E10289" s="10">
        <v>3621804</v>
      </c>
      <c r="F10289" s="4" t="str">
        <f>IF(B10289=B10288,"",B10289)</f>
        <v/>
      </c>
    </row>
    <row r="10290" spans="1:6" ht="15.75" customHeight="1">
      <c r="A10290" s="5" t="str">
        <f ca="1">IFERROR(__xludf.DUMMYFUNCTION("GOOGLETRANSLATE(B45620,""en"",""pt"")"),"San Juan de Colón")</f>
        <v>San Juan de Colón</v>
      </c>
      <c r="B10290" s="17" t="s">
        <v>36086</v>
      </c>
      <c r="C10290" s="17" t="s">
        <v>5923</v>
      </c>
      <c r="D10290" s="17" t="s">
        <v>36084</v>
      </c>
      <c r="E10290" s="10">
        <v>3628060</v>
      </c>
      <c r="F10290" s="4" t="str">
        <f>IF(B10290=B10289,"",B10290)</f>
        <v>San Juan de Colón</v>
      </c>
    </row>
    <row r="10291" spans="1:6" ht="15.75" customHeight="1">
      <c r="A10291" s="5" t="s">
        <v>30759</v>
      </c>
      <c r="B10291" s="6" t="s">
        <v>30760</v>
      </c>
      <c r="C10291" s="5" t="s">
        <v>5923</v>
      </c>
      <c r="D10291" s="5" t="s">
        <v>30711</v>
      </c>
      <c r="E10291" s="2">
        <v>3628060</v>
      </c>
      <c r="F10291" s="4" t="str">
        <f>IF(B10291=B10290,"",B10291)</f>
        <v>San Juan de ColÃ³n</v>
      </c>
    </row>
    <row r="10292" spans="1:6" ht="15.75" customHeight="1">
      <c r="A10292" s="5" t="s">
        <v>24760</v>
      </c>
      <c r="B10292" s="6" t="s">
        <v>24760</v>
      </c>
      <c r="C10292" s="5" t="s">
        <v>24200</v>
      </c>
      <c r="D10292" s="5" t="s">
        <v>24205</v>
      </c>
      <c r="E10292" s="2">
        <v>2511329</v>
      </c>
      <c r="F10292" s="4" t="str">
        <f>IF(B10292=B10291,"",B10292)</f>
        <v>San Juan de Aznalfarache</v>
      </c>
    </row>
    <row r="10293" spans="1:6" ht="15.75" customHeight="1">
      <c r="A10293" s="5" t="str">
        <f ca="1">IFERROR(__xludf.DUMMYFUNCTION("GOOGLETRANSLATE(B28998,""en"",""pt"")"),"San Juan de Aznalfarache")</f>
        <v>San Juan de Aznalfarache</v>
      </c>
      <c r="B10293" s="17" t="s">
        <v>24760</v>
      </c>
      <c r="C10293" s="17" t="s">
        <v>24200</v>
      </c>
      <c r="D10293" s="17" t="s">
        <v>24205</v>
      </c>
      <c r="E10293" s="10">
        <v>2511329</v>
      </c>
      <c r="F10293" s="4" t="str">
        <f>IF(B10293=B10292,"",B10293)</f>
        <v/>
      </c>
    </row>
    <row r="10294" spans="1:6" ht="15.75" customHeight="1">
      <c r="A10294" s="5" t="s">
        <v>24759</v>
      </c>
      <c r="B10294" s="6" t="s">
        <v>24759</v>
      </c>
      <c r="C10294" s="5" t="s">
        <v>24200</v>
      </c>
      <c r="D10294" s="5" t="s">
        <v>21053</v>
      </c>
      <c r="E10294" s="2">
        <v>2511330</v>
      </c>
      <c r="F10294" s="4" t="str">
        <f>IF(B10294=B10293,"",B10294)</f>
        <v>San Juan de Alicante</v>
      </c>
    </row>
    <row r="10295" spans="1:6" ht="15.75" customHeight="1">
      <c r="A10295" s="5" t="str">
        <f ca="1">IFERROR(__xludf.DUMMYFUNCTION("GOOGLETRANSLATE(B28999,""en"",""pt"")"),"San Juan de Alicante")</f>
        <v>San Juan de Alicante</v>
      </c>
      <c r="B10295" s="17" t="s">
        <v>24759</v>
      </c>
      <c r="C10295" s="17" t="s">
        <v>24200</v>
      </c>
      <c r="D10295" s="17" t="s">
        <v>21053</v>
      </c>
      <c r="E10295" s="10">
        <v>2511330</v>
      </c>
      <c r="F10295" s="4" t="str">
        <f>IF(B10295=B10294,"",B10295)</f>
        <v/>
      </c>
    </row>
    <row r="10296" spans="1:6" ht="15.75" customHeight="1">
      <c r="A10296" s="5" t="s">
        <v>29894</v>
      </c>
      <c r="B10296" s="6" t="s">
        <v>29894</v>
      </c>
      <c r="C10296" s="5" t="s">
        <v>27788</v>
      </c>
      <c r="D10296" s="5" t="s">
        <v>27801</v>
      </c>
      <c r="E10296" s="2">
        <v>5392229</v>
      </c>
      <c r="F10296" s="4" t="str">
        <f>IF(B10296=B10295,"",B10296)</f>
        <v>San Juan Capistrano</v>
      </c>
    </row>
    <row r="10297" spans="1:6" ht="15.75" customHeight="1">
      <c r="A10297" s="5" t="str">
        <f ca="1">IFERROR(__xludf.DUMMYFUNCTION("GOOGLETRANSLATE(B45009,""en"",""pt"")"),"San Juan Capistrano")</f>
        <v>San Juan Capistrano</v>
      </c>
      <c r="B10297" s="17" t="s">
        <v>29894</v>
      </c>
      <c r="C10297" s="17" t="s">
        <v>27788</v>
      </c>
      <c r="D10297" s="17" t="s">
        <v>27801</v>
      </c>
      <c r="E10297" s="10">
        <v>5392229</v>
      </c>
      <c r="F10297" s="4" t="str">
        <f>IF(B10297=B10296,"",B10297)</f>
        <v/>
      </c>
    </row>
    <row r="10298" spans="1:6" ht="15.75" customHeight="1">
      <c r="A10298" s="5" t="s">
        <v>20463</v>
      </c>
      <c r="B10298" s="6" t="s">
        <v>20463</v>
      </c>
      <c r="C10298" s="5" t="s">
        <v>20433</v>
      </c>
      <c r="D10298" s="5" t="s">
        <v>576</v>
      </c>
      <c r="E10298" s="2">
        <v>3437063</v>
      </c>
      <c r="F10298" s="4" t="str">
        <f>IF(B10298=B10297,"",B10298)</f>
        <v>San Juan Bautista</v>
      </c>
    </row>
    <row r="10299" spans="1:6" ht="15.75" customHeight="1">
      <c r="A10299" s="5" t="str">
        <f ca="1">IFERROR(__xludf.DUMMYFUNCTION("GOOGLETRANSLATE(B39682,""en"",""pt"")"),"San Juan Bautista")</f>
        <v>San Juan Bautista</v>
      </c>
      <c r="B10299" s="17" t="s">
        <v>20463</v>
      </c>
      <c r="C10299" s="17" t="s">
        <v>20433</v>
      </c>
      <c r="D10299" s="17" t="s">
        <v>576</v>
      </c>
      <c r="E10299" s="10">
        <v>3437063</v>
      </c>
      <c r="F10299" s="4" t="str">
        <f>IF(B10299=B10298,"",B10299)</f>
        <v/>
      </c>
    </row>
    <row r="10300" spans="1:6" ht="15.75" customHeight="1">
      <c r="A10300" s="6" t="s">
        <v>568</v>
      </c>
      <c r="B10300" s="6" t="s">
        <v>568</v>
      </c>
      <c r="C10300" s="6" t="s">
        <v>558</v>
      </c>
      <c r="D10300" s="6" t="s">
        <v>568</v>
      </c>
      <c r="E10300" s="2">
        <v>3837213</v>
      </c>
      <c r="F10300" s="4" t="str">
        <f>IF(B10300=B10299,"",B10300)</f>
        <v>San Juan</v>
      </c>
    </row>
    <row r="10301" spans="1:6" ht="15.75" customHeight="1">
      <c r="A10301" s="6" t="s">
        <v>568</v>
      </c>
      <c r="B10301" s="6" t="s">
        <v>568</v>
      </c>
      <c r="C10301" s="6" t="s">
        <v>5665</v>
      </c>
      <c r="D10301" s="6" t="s">
        <v>5668</v>
      </c>
      <c r="E10301" s="2">
        <v>3621819</v>
      </c>
      <c r="F10301" s="4" t="str">
        <f>IF(B10301=B10300,"",B10301)</f>
        <v/>
      </c>
    </row>
    <row r="10302" spans="1:6" ht="15.75" customHeight="1">
      <c r="A10302" s="6" t="s">
        <v>568</v>
      </c>
      <c r="B10302" s="6" t="s">
        <v>568</v>
      </c>
      <c r="C10302" s="6" t="s">
        <v>20598</v>
      </c>
      <c r="D10302" s="6" t="s">
        <v>20723</v>
      </c>
      <c r="E10302" s="2">
        <v>1689286</v>
      </c>
      <c r="F10302" s="4" t="str">
        <f>IF(B10302=B10301,"",B10302)</f>
        <v/>
      </c>
    </row>
    <row r="10303" spans="1:6" ht="15.75" customHeight="1">
      <c r="A10303" s="6" t="s">
        <v>568</v>
      </c>
      <c r="B10303" s="6" t="s">
        <v>568</v>
      </c>
      <c r="C10303" s="6" t="s">
        <v>747</v>
      </c>
      <c r="D10303" s="6" t="s">
        <v>568</v>
      </c>
      <c r="E10303" s="2">
        <v>4568127</v>
      </c>
      <c r="F10303" s="4" t="str">
        <f>IF(B10303=B10302,"",B10303)</f>
        <v/>
      </c>
    </row>
    <row r="10304" spans="1:6" ht="15.75" customHeight="1">
      <c r="A10304" s="5" t="str">
        <f ca="1">IFERROR(__xludf.DUMMYFUNCTION("GOOGLETRANSLATE(B23272,""en"",""pt"")"),"San Juan")</f>
        <v>San Juan</v>
      </c>
      <c r="B10304" s="17" t="s">
        <v>568</v>
      </c>
      <c r="C10304" s="17" t="s">
        <v>558</v>
      </c>
      <c r="D10304" s="17" t="s">
        <v>568</v>
      </c>
      <c r="E10304" s="10">
        <v>3837213</v>
      </c>
      <c r="F10304" s="4" t="str">
        <f>IF(B10304=B10303,"",B10304)</f>
        <v/>
      </c>
    </row>
    <row r="10305" spans="1:6" ht="15.75" customHeight="1">
      <c r="A10305" s="5" t="str">
        <f ca="1">IFERROR(__xludf.DUMMYFUNCTION("GOOGLETRANSLATE(B27072,""en"",""pt"")"),"San Juan")</f>
        <v>San Juan</v>
      </c>
      <c r="B10305" s="17" t="s">
        <v>568</v>
      </c>
      <c r="C10305" s="17" t="s">
        <v>5665</v>
      </c>
      <c r="D10305" s="17" t="s">
        <v>5697</v>
      </c>
      <c r="E10305" s="10">
        <v>3621819</v>
      </c>
      <c r="F10305" s="4" t="str">
        <f>IF(B10305=B10304,"",B10305)</f>
        <v/>
      </c>
    </row>
    <row r="10306" spans="1:6" ht="15.75" customHeight="1">
      <c r="A10306" s="5" t="str">
        <f ca="1">IFERROR(__xludf.DUMMYFUNCTION("GOOGLETRANSLATE(B38509,""en"",""pt"")"),"San Juan")</f>
        <v>San Juan</v>
      </c>
      <c r="B10306" s="17" t="s">
        <v>568</v>
      </c>
      <c r="C10306" s="17" t="s">
        <v>20598</v>
      </c>
      <c r="D10306" s="17" t="s">
        <v>20723</v>
      </c>
      <c r="E10306" s="10">
        <v>1689286</v>
      </c>
      <c r="F10306" s="4" t="str">
        <f>IF(B10306=B10305,"",B10306)</f>
        <v/>
      </c>
    </row>
    <row r="10307" spans="1:6" ht="15.75" customHeight="1">
      <c r="A10307" s="5" t="str">
        <f ca="1">IFERROR(__xludf.DUMMYFUNCTION("GOOGLETRANSLATE(B39521,""en"",""pt"")"),"San Juan")</f>
        <v>San Juan</v>
      </c>
      <c r="B10307" s="17" t="s">
        <v>568</v>
      </c>
      <c r="C10307" s="17" t="s">
        <v>747</v>
      </c>
      <c r="D10307" s="17" t="s">
        <v>568</v>
      </c>
      <c r="E10307" s="10">
        <v>4568127</v>
      </c>
      <c r="F10307" s="4" t="str">
        <f>IF(B10307=B10306,"",B10307)</f>
        <v/>
      </c>
    </row>
    <row r="10308" spans="1:6" ht="15.75" customHeight="1">
      <c r="A10308" s="5" t="str">
        <f ca="1">IFERROR(__xludf.DUMMYFUNCTION("GOOGLETRANSLATE(B31083,""en"",""pt"")"),"San José Pinula")</f>
        <v>San José Pinula</v>
      </c>
      <c r="B10308" s="17" t="s">
        <v>9790</v>
      </c>
      <c r="C10308" s="17" t="s">
        <v>9700</v>
      </c>
      <c r="D10308" s="17" t="s">
        <v>9700</v>
      </c>
      <c r="E10308" s="10">
        <v>3589977</v>
      </c>
      <c r="F10308" s="4" t="str">
        <f>IF(B10308=B10307,"",B10308)</f>
        <v>San José Pinula</v>
      </c>
    </row>
    <row r="10309" spans="1:6" ht="15.75" customHeight="1">
      <c r="A10309" s="5" t="str">
        <f ca="1">IFERROR(__xludf.DUMMYFUNCTION("GOOGLETRANSLATE(B37200,""en"",""pt"")"),"San José Iturbide")</f>
        <v>San José Iturbide</v>
      </c>
      <c r="B10309" s="17" t="s">
        <v>18227</v>
      </c>
      <c r="C10309" s="17" t="s">
        <v>17707</v>
      </c>
      <c r="D10309" s="17" t="s">
        <v>17713</v>
      </c>
      <c r="E10309" s="10">
        <v>3986088</v>
      </c>
      <c r="F10309" s="4" t="str">
        <f>IF(B10309=B10308,"",B10309)</f>
        <v>San José Iturbide</v>
      </c>
    </row>
    <row r="10310" spans="1:6" ht="15.75" customHeight="1">
      <c r="A10310" s="5" t="str">
        <f ca="1">IFERROR(__xludf.DUMMYFUNCTION("GOOGLETRANSLATE(B37374,""en"",""pt"")"),"San José Guadalupe Otzacatipan")</f>
        <v>San José Guadalupe Otzacatipan</v>
      </c>
      <c r="B10310" s="17" t="s">
        <v>18225</v>
      </c>
      <c r="C10310" s="17" t="s">
        <v>17707</v>
      </c>
      <c r="D10310" s="17" t="s">
        <v>20902</v>
      </c>
      <c r="E10310" s="10">
        <v>8858097</v>
      </c>
      <c r="F10310" s="4" t="str">
        <f>IF(B10310=B10309,"",B10310)</f>
        <v>San José Guadalupe Otzacatipan</v>
      </c>
    </row>
    <row r="10311" spans="1:6" ht="15.75" customHeight="1">
      <c r="A10311" s="5" t="s">
        <v>20994</v>
      </c>
      <c r="B10311" s="6" t="s">
        <v>20994</v>
      </c>
      <c r="C10311" s="5" t="s">
        <v>20598</v>
      </c>
      <c r="D10311" s="5" t="s">
        <v>20599</v>
      </c>
      <c r="E10311" s="2">
        <v>1689395</v>
      </c>
      <c r="F10311" s="4" t="str">
        <f>IF(B10311=B10310,"",B10311)</f>
        <v>San Jose del Monte</v>
      </c>
    </row>
    <row r="10312" spans="1:6" ht="15.75" customHeight="1">
      <c r="A10312" s="5" t="str">
        <f ca="1">IFERROR(__xludf.DUMMYFUNCTION("GOOGLETRANSLATE(B38510,""en"",""pt"")"),"San Jose del Monte")</f>
        <v>San Jose del Monte</v>
      </c>
      <c r="B10312" s="17" t="s">
        <v>20994</v>
      </c>
      <c r="C10312" s="17" t="s">
        <v>20598</v>
      </c>
      <c r="D10312" s="17" t="s">
        <v>20599</v>
      </c>
      <c r="E10312" s="10">
        <v>1689395</v>
      </c>
      <c r="F10312" s="4" t="str">
        <f>IF(B10312=B10311,"",B10312)</f>
        <v/>
      </c>
    </row>
    <row r="10313" spans="1:6" ht="15.75" customHeight="1">
      <c r="A10313" s="5" t="str">
        <f ca="1">IFERROR(__xludf.DUMMYFUNCTION("GOOGLETRANSLATE(B27059,""en"",""pt"")"),"San José del Guaviare")</f>
        <v>San José del Guaviare</v>
      </c>
      <c r="B10313" s="17" t="s">
        <v>31894</v>
      </c>
      <c r="C10313" s="17" t="s">
        <v>5348</v>
      </c>
      <c r="D10313" s="17" t="s">
        <v>5599</v>
      </c>
      <c r="E10313" s="10">
        <v>3828545</v>
      </c>
      <c r="F10313" s="4" t="str">
        <f>IF(B10313=B10312,"",B10313)</f>
        <v>San José del Guaviare</v>
      </c>
    </row>
    <row r="10314" spans="1:6" ht="15.75" customHeight="1">
      <c r="A10314" s="5" t="str">
        <f ca="1">IFERROR(__xludf.DUMMYFUNCTION("GOOGLETRANSLATE(B37201,""en"",""pt"")"),"San José del Cabo")</f>
        <v>San José del Cabo</v>
      </c>
      <c r="B10314" s="17" t="s">
        <v>34742</v>
      </c>
      <c r="C10314" s="17" t="s">
        <v>17707</v>
      </c>
      <c r="D10314" s="17" t="s">
        <v>17790</v>
      </c>
      <c r="E10314" s="10">
        <v>3986172</v>
      </c>
      <c r="F10314" s="4" t="str">
        <f>IF(B10314=B10313,"",B10314)</f>
        <v>San José del Cabo</v>
      </c>
    </row>
    <row r="10315" spans="1:6" ht="15.75" customHeight="1">
      <c r="A10315" s="5" t="str">
        <f ca="1">IFERROR(__xludf.DUMMYFUNCTION("GOOGLETRANSLATE(B28464,""en"",""pt"")"),"San José de Ocoa")</f>
        <v>San José de Ocoa</v>
      </c>
      <c r="B10315" s="17" t="s">
        <v>6362</v>
      </c>
      <c r="C10315" s="17" t="s">
        <v>6303</v>
      </c>
      <c r="D10315" s="17" t="s">
        <v>6362</v>
      </c>
      <c r="E10315" s="10">
        <v>3493100</v>
      </c>
      <c r="F10315" s="4" t="str">
        <f>IF(B10315=B10314,"",B10315)</f>
        <v>San José de Ocoa</v>
      </c>
    </row>
    <row r="10316" spans="1:6" ht="15.75" customHeight="1">
      <c r="A10316" s="5" t="str">
        <f ca="1">IFERROR(__xludf.DUMMYFUNCTION("GOOGLETRANSLATE(B45475,""en"",""pt"")"),"San José de Mayo")</f>
        <v>San José de Mayo</v>
      </c>
      <c r="B10316" s="17" t="s">
        <v>30494</v>
      </c>
      <c r="C10316" s="17" t="s">
        <v>30472</v>
      </c>
      <c r="D10316" s="17" t="s">
        <v>5697</v>
      </c>
      <c r="E10316" s="10">
        <v>3440639</v>
      </c>
      <c r="F10316" s="4" t="str">
        <f>IF(B10316=B10315,"",B10316)</f>
        <v>San José de Mayo</v>
      </c>
    </row>
    <row r="10317" spans="1:6" ht="15.75" customHeight="1">
      <c r="A10317" s="5" t="str">
        <f ca="1">IFERROR(__xludf.DUMMYFUNCTION("GOOGLETRANSLATE(B27120,""en"",""pt"")"),"San José de Las Lajas")</f>
        <v>San José de Las Lajas</v>
      </c>
      <c r="B10317" s="17" t="s">
        <v>31911</v>
      </c>
      <c r="C10317" s="17" t="s">
        <v>5764</v>
      </c>
      <c r="D10317" s="17" t="s">
        <v>5792</v>
      </c>
      <c r="E10317" s="10">
        <v>3539560</v>
      </c>
      <c r="F10317" s="4" t="str">
        <f>IF(B10317=B10316,"",B10317)</f>
        <v>San José de las Lajas</v>
      </c>
    </row>
    <row r="10318" spans="1:6" ht="15.75" customHeight="1">
      <c r="A10318" s="5" t="str">
        <f ca="1">IFERROR(__xludf.DUMMYFUNCTION("GOOGLETRANSLATE(B23273,""en"",""pt"")"),"San José de Jác.")</f>
        <v>San José de Jác.</v>
      </c>
      <c r="B10318" s="17" t="s">
        <v>31189</v>
      </c>
      <c r="C10318" s="17" t="s">
        <v>558</v>
      </c>
      <c r="D10318" s="17" t="s">
        <v>568</v>
      </c>
      <c r="E10318" s="10">
        <v>3837240</v>
      </c>
      <c r="F10318" s="4" t="str">
        <f>IF(B10318=B10317,"",B10318)</f>
        <v>San José de Jáchal</v>
      </c>
    </row>
    <row r="10319" spans="1:6" ht="15.75" customHeight="1">
      <c r="A10319" s="5" t="str">
        <f ca="1">IFERROR(__xludf.DUMMYFUNCTION("GOOGLETRANSLATE(B45621,""en"",""pt"")"),"San José de Guanipa")</f>
        <v>San José de Guanipa</v>
      </c>
      <c r="B10319" s="17" t="s">
        <v>30757</v>
      </c>
      <c r="C10319" s="17" t="s">
        <v>5923</v>
      </c>
      <c r="D10319" s="17" t="s">
        <v>36081</v>
      </c>
      <c r="E10319" s="10">
        <v>3628142</v>
      </c>
      <c r="F10319" s="4" t="str">
        <f>IF(B10319=B10318,"",B10319)</f>
        <v>San José de Guanipa</v>
      </c>
    </row>
    <row r="10320" spans="1:6" ht="15.75" customHeight="1">
      <c r="A10320" s="5" t="str">
        <f ca="1">IFERROR(__xludf.DUMMYFUNCTION("GOOGLETRANSLATE(B27073,""en"",""pt"")"),"São José")</f>
        <v>São José</v>
      </c>
      <c r="B10320" s="17" t="s">
        <v>5697</v>
      </c>
      <c r="C10320" s="17" t="s">
        <v>5665</v>
      </c>
      <c r="D10320" s="17" t="s">
        <v>5664</v>
      </c>
      <c r="E10320" s="10">
        <v>3621841</v>
      </c>
      <c r="F10320" s="4" t="str">
        <f>IF(B10320=B10319,"",B10320)</f>
        <v>San José</v>
      </c>
    </row>
    <row r="10321" spans="1:6" ht="15.75" customHeight="1">
      <c r="A10321" s="5" t="str">
        <f ca="1">IFERROR(__xludf.DUMMYFUNCTION("GOOGLETRANSLATE(B27074,""en"",""pt"")"),"São José")</f>
        <v>São José</v>
      </c>
      <c r="B10321" s="17" t="s">
        <v>5697</v>
      </c>
      <c r="C10321" s="17" t="s">
        <v>5665</v>
      </c>
      <c r="D10321" s="17" t="s">
        <v>5697</v>
      </c>
      <c r="E10321" s="10">
        <v>3621849</v>
      </c>
      <c r="F10321" s="4" t="str">
        <f>IF(B10321=B10320,"",B10321)</f>
        <v/>
      </c>
    </row>
    <row r="10322" spans="1:6" ht="15.75" customHeight="1">
      <c r="A10322" s="6" t="s">
        <v>17646</v>
      </c>
      <c r="B10322" s="6" t="s">
        <v>20993</v>
      </c>
      <c r="C10322" s="6" t="s">
        <v>20598</v>
      </c>
      <c r="D10322" s="6" t="s">
        <v>20634</v>
      </c>
      <c r="E10322" s="2">
        <v>1689498</v>
      </c>
      <c r="F10322" s="4" t="str">
        <f>IF(B10322=B10321,"",B10322)</f>
        <v>San Jose</v>
      </c>
    </row>
    <row r="10323" spans="1:6" ht="15.75" customHeight="1">
      <c r="A10323" s="6" t="s">
        <v>17646</v>
      </c>
      <c r="B10323" s="6" t="s">
        <v>20993</v>
      </c>
      <c r="C10323" s="6" t="s">
        <v>20598</v>
      </c>
      <c r="D10323" s="6" t="s">
        <v>20715</v>
      </c>
      <c r="E10323" s="2">
        <v>1689510</v>
      </c>
      <c r="F10323" s="4" t="str">
        <f>IF(B10323=B10322,"",B10323)</f>
        <v/>
      </c>
    </row>
    <row r="10324" spans="1:6" ht="15.75" customHeight="1">
      <c r="A10324" s="6" t="s">
        <v>17646</v>
      </c>
      <c r="B10324" s="6" t="s">
        <v>20993</v>
      </c>
      <c r="C10324" s="6" t="s">
        <v>27788</v>
      </c>
      <c r="D10324" s="6" t="s">
        <v>27801</v>
      </c>
      <c r="E10324" s="2">
        <v>5392171</v>
      </c>
      <c r="F10324" s="4" t="str">
        <f>IF(B10324=B10323,"",B10324)</f>
        <v/>
      </c>
    </row>
    <row r="10325" spans="1:6" ht="15.75" customHeight="1">
      <c r="A10325" s="5" t="str">
        <f ca="1">IFERROR(__xludf.DUMMYFUNCTION("GOOGLETRANSLATE(B38511,""en"",""pt"")"),"São José")</f>
        <v>São José</v>
      </c>
      <c r="B10325" s="17" t="s">
        <v>20993</v>
      </c>
      <c r="C10325" s="17" t="s">
        <v>20598</v>
      </c>
      <c r="D10325" s="17" t="s">
        <v>20634</v>
      </c>
      <c r="E10325" s="10">
        <v>1689498</v>
      </c>
      <c r="F10325" s="4" t="str">
        <f>IF(B10325=B10324,"",B10325)</f>
        <v/>
      </c>
    </row>
    <row r="10326" spans="1:6" ht="15.75" customHeight="1">
      <c r="A10326" s="5" t="str">
        <f ca="1">IFERROR(__xludf.DUMMYFUNCTION("GOOGLETRANSLATE(B38512,""en"",""pt"")"),"São José")</f>
        <v>São José</v>
      </c>
      <c r="B10326" s="17" t="s">
        <v>20993</v>
      </c>
      <c r="C10326" s="17" t="s">
        <v>20598</v>
      </c>
      <c r="D10326" s="17" t="s">
        <v>20715</v>
      </c>
      <c r="E10326" s="10">
        <v>1689510</v>
      </c>
      <c r="F10326" s="4" t="str">
        <f>IF(B10326=B10325,"",B10326)</f>
        <v/>
      </c>
    </row>
    <row r="10327" spans="1:6" ht="15.75" customHeight="1">
      <c r="A10327" s="5" t="str">
        <f ca="1">IFERROR(__xludf.DUMMYFUNCTION("GOOGLETRANSLATE(B45008,""en"",""pt"")"),"São José")</f>
        <v>São José</v>
      </c>
      <c r="B10327" s="17" t="s">
        <v>20993</v>
      </c>
      <c r="C10327" s="17" t="s">
        <v>27788</v>
      </c>
      <c r="D10327" s="17" t="s">
        <v>27801</v>
      </c>
      <c r="E10327" s="10">
        <v>5392171</v>
      </c>
      <c r="F10327" s="4" t="str">
        <f>IF(B10327=B10326,"",B10327)</f>
        <v/>
      </c>
    </row>
    <row r="10328" spans="1:6" ht="15.75" customHeight="1">
      <c r="A10328" s="5" t="s">
        <v>9790</v>
      </c>
      <c r="B10328" s="6" t="s">
        <v>9791</v>
      </c>
      <c r="C10328" s="5" t="s">
        <v>9700</v>
      </c>
      <c r="D10328" s="5" t="s">
        <v>9700</v>
      </c>
      <c r="E10328" s="2">
        <v>3589977</v>
      </c>
      <c r="F10328" s="4" t="str">
        <f>IF(B10328=B10327,"",B10328)</f>
        <v>San JosÃ© Pinula</v>
      </c>
    </row>
    <row r="10329" spans="1:6" ht="15.75" customHeight="1">
      <c r="A10329" s="5" t="s">
        <v>18227</v>
      </c>
      <c r="B10329" s="6" t="s">
        <v>18228</v>
      </c>
      <c r="C10329" s="5" t="s">
        <v>17707</v>
      </c>
      <c r="D10329" s="5" t="s">
        <v>17713</v>
      </c>
      <c r="E10329" s="2">
        <v>3986088</v>
      </c>
      <c r="F10329" s="4" t="str">
        <f>IF(B10329=B10328,"",B10329)</f>
        <v>San JosÃ© Iturbide</v>
      </c>
    </row>
    <row r="10330" spans="1:6" ht="15.75" customHeight="1">
      <c r="A10330" s="5" t="s">
        <v>18225</v>
      </c>
      <c r="B10330" s="6" t="s">
        <v>18226</v>
      </c>
      <c r="C10330" s="5" t="s">
        <v>17707</v>
      </c>
      <c r="D10330" s="5" t="s">
        <v>17736</v>
      </c>
      <c r="E10330" s="2">
        <v>8858097</v>
      </c>
      <c r="F10330" s="4" t="str">
        <f>IF(B10330=B10329,"",B10330)</f>
        <v>San JosÃ© Guadalupe Otzacatipan</v>
      </c>
    </row>
    <row r="10331" spans="1:6" ht="15.75" customHeight="1">
      <c r="A10331" s="5" t="s">
        <v>5597</v>
      </c>
      <c r="B10331" s="6" t="s">
        <v>5598</v>
      </c>
      <c r="C10331" s="5" t="s">
        <v>5348</v>
      </c>
      <c r="D10331" s="5" t="s">
        <v>5599</v>
      </c>
      <c r="E10331" s="2">
        <v>3828545</v>
      </c>
      <c r="F10331" s="4" t="str">
        <f>IF(B10331=B10330,"",B10331)</f>
        <v>San JosÃ© del Guaviare</v>
      </c>
    </row>
    <row r="10332" spans="1:6" ht="15.75" customHeight="1">
      <c r="A10332" s="5" t="s">
        <v>18223</v>
      </c>
      <c r="B10332" s="6" t="s">
        <v>18224</v>
      </c>
      <c r="C10332" s="5" t="s">
        <v>17707</v>
      </c>
      <c r="D10332" s="5" t="s">
        <v>17790</v>
      </c>
      <c r="E10332" s="2">
        <v>3986172</v>
      </c>
      <c r="F10332" s="4" t="str">
        <f>IF(B10332=B10331,"",B10332)</f>
        <v>San JosÃ© del Cabo</v>
      </c>
    </row>
    <row r="10333" spans="1:6" ht="15.75" customHeight="1">
      <c r="A10333" s="5" t="s">
        <v>6362</v>
      </c>
      <c r="B10333" s="6" t="s">
        <v>6363</v>
      </c>
      <c r="C10333" s="5" t="s">
        <v>6303</v>
      </c>
      <c r="D10333" s="5" t="s">
        <v>6363</v>
      </c>
      <c r="E10333" s="2">
        <v>3493100</v>
      </c>
      <c r="F10333" s="4" t="str">
        <f>IF(B10333=B10332,"",B10333)</f>
        <v>San JosÃ© de Ocoa</v>
      </c>
    </row>
    <row r="10334" spans="1:6" ht="15.75" customHeight="1">
      <c r="A10334" s="5" t="s">
        <v>30494</v>
      </c>
      <c r="B10334" s="6" t="s">
        <v>30495</v>
      </c>
      <c r="C10334" s="5" t="s">
        <v>30472</v>
      </c>
      <c r="D10334" s="5" t="s">
        <v>5668</v>
      </c>
      <c r="E10334" s="2">
        <v>3440639</v>
      </c>
      <c r="F10334" s="4" t="str">
        <f>IF(B10334=B10333,"",B10334)</f>
        <v>San JosÃ© de Mayo</v>
      </c>
    </row>
    <row r="10335" spans="1:6" ht="15.75" customHeight="1">
      <c r="A10335" s="5" t="s">
        <v>5907</v>
      </c>
      <c r="B10335" s="6" t="s">
        <v>5908</v>
      </c>
      <c r="C10335" s="5" t="s">
        <v>5764</v>
      </c>
      <c r="D10335" s="5" t="s">
        <v>5792</v>
      </c>
      <c r="E10335" s="2">
        <v>3539560</v>
      </c>
      <c r="F10335" s="4" t="str">
        <f>IF(B10335=B10334,"",B10335)</f>
        <v>San JosÃ© de las Lajas</v>
      </c>
    </row>
    <row r="10336" spans="1:6" ht="15.75" customHeight="1">
      <c r="A10336" s="5" t="s">
        <v>780</v>
      </c>
      <c r="B10336" s="6" t="s">
        <v>781</v>
      </c>
      <c r="C10336" s="5" t="s">
        <v>558</v>
      </c>
      <c r="D10336" s="5" t="s">
        <v>568</v>
      </c>
      <c r="E10336" s="2">
        <v>3837240</v>
      </c>
      <c r="F10336" s="4" t="str">
        <f>IF(B10336=B10335,"",B10336)</f>
        <v>San JosÃ© de JÃ¡chal</v>
      </c>
    </row>
    <row r="10337" spans="1:6" ht="15.75" customHeight="1">
      <c r="A10337" s="5" t="s">
        <v>30757</v>
      </c>
      <c r="B10337" s="6" t="s">
        <v>30758</v>
      </c>
      <c r="C10337" s="5" t="s">
        <v>5923</v>
      </c>
      <c r="D10337" s="5" t="s">
        <v>30641</v>
      </c>
      <c r="E10337" s="2">
        <v>3628142</v>
      </c>
      <c r="F10337" s="4" t="str">
        <f>IF(B10337=B10336,"",B10337)</f>
        <v>San JosÃ© de Guanipa</v>
      </c>
    </row>
    <row r="10338" spans="1:6" ht="15.75" customHeight="1">
      <c r="A10338" s="6" t="s">
        <v>5697</v>
      </c>
      <c r="B10338" s="6" t="s">
        <v>5668</v>
      </c>
      <c r="C10338" s="6" t="s">
        <v>5665</v>
      </c>
      <c r="D10338" s="6" t="s">
        <v>5664</v>
      </c>
      <c r="E10338" s="2">
        <v>3621841</v>
      </c>
      <c r="F10338" s="4" t="str">
        <f>IF(B10338=B10337,"",B10338)</f>
        <v>San JosÃ©</v>
      </c>
    </row>
    <row r="10339" spans="1:6" ht="15.75" customHeight="1">
      <c r="A10339" s="6" t="s">
        <v>5697</v>
      </c>
      <c r="B10339" s="6" t="s">
        <v>5668</v>
      </c>
      <c r="C10339" s="6" t="s">
        <v>5665</v>
      </c>
      <c r="D10339" s="6" t="s">
        <v>5668</v>
      </c>
      <c r="E10339" s="2">
        <v>3621849</v>
      </c>
      <c r="F10339" s="4" t="str">
        <f>IF(B10339=B10338,"",B10339)</f>
        <v/>
      </c>
    </row>
    <row r="10340" spans="1:6" ht="15.75" customHeight="1">
      <c r="A10340" s="5" t="s">
        <v>18222</v>
      </c>
      <c r="B10340" s="6" t="s">
        <v>18222</v>
      </c>
      <c r="C10340" s="5" t="s">
        <v>17707</v>
      </c>
      <c r="D10340" s="5" t="s">
        <v>17736</v>
      </c>
      <c r="E10340" s="2">
        <v>8858104</v>
      </c>
      <c r="F10340" s="4" t="str">
        <f>IF(B10340=B10339,"",B10340)</f>
        <v>San Jorge Pueblo Nuevo</v>
      </c>
    </row>
    <row r="10341" spans="1:6" ht="15.75" customHeight="1">
      <c r="A10341" s="5" t="str">
        <f ca="1">IFERROR(__xludf.DUMMYFUNCTION("GOOGLETRANSLATE(B37381,""en"",""pt"")"),"San Jorge Pueblo Nuevo")</f>
        <v>San Jorge Pueblo Nuevo</v>
      </c>
      <c r="B10341" s="17" t="s">
        <v>18222</v>
      </c>
      <c r="C10341" s="17" t="s">
        <v>17707</v>
      </c>
      <c r="D10341" s="17" t="s">
        <v>20902</v>
      </c>
      <c r="E10341" s="10">
        <v>8858104</v>
      </c>
      <c r="F10341" s="4" t="str">
        <f>IF(B10341=B10340,"",B10341)</f>
        <v/>
      </c>
    </row>
    <row r="10342" spans="1:6" ht="15.75" customHeight="1">
      <c r="A10342" s="6" t="s">
        <v>779</v>
      </c>
      <c r="B10342" s="6" t="s">
        <v>779</v>
      </c>
      <c r="C10342" s="6" t="s">
        <v>558</v>
      </c>
      <c r="D10342" s="6" t="s">
        <v>579</v>
      </c>
      <c r="E10342" s="2">
        <v>3837441</v>
      </c>
      <c r="F10342" s="4" t="str">
        <f>IF(B10342=B10341,"",B10342)</f>
        <v>San Jorge</v>
      </c>
    </row>
    <row r="10343" spans="1:6" ht="15.75" customHeight="1">
      <c r="A10343" s="5" t="str">
        <f ca="1">IFERROR(__xludf.DUMMYFUNCTION("GOOGLETRANSLATE(B23274,""en"",""pt"")"),"San Jorge")</f>
        <v>San Jorge</v>
      </c>
      <c r="B10343" s="17" t="s">
        <v>779</v>
      </c>
      <c r="C10343" s="17" t="s">
        <v>558</v>
      </c>
      <c r="D10343" s="17" t="s">
        <v>579</v>
      </c>
      <c r="E10343" s="10">
        <v>3837441</v>
      </c>
      <c r="F10343" s="4" t="str">
        <f>IF(B10343=B10342,"",B10343)</f>
        <v/>
      </c>
    </row>
    <row r="10344" spans="1:6" ht="15.75" customHeight="1">
      <c r="A10344" s="5" t="str">
        <f ca="1">IFERROR(__xludf.DUMMYFUNCTION("GOOGLETRANSLATE(B45622,""en"",""pt"")"),"San Joaquín")</f>
        <v>San Joaquín</v>
      </c>
      <c r="B10344" s="17" t="s">
        <v>36087</v>
      </c>
      <c r="C10344" s="17" t="s">
        <v>5923</v>
      </c>
      <c r="D10344" s="17" t="s">
        <v>30693</v>
      </c>
      <c r="E10344" s="10">
        <v>3628267</v>
      </c>
      <c r="F10344" s="4" t="str">
        <f>IF(B10344=B10343,"",B10344)</f>
        <v>San Joaquín</v>
      </c>
    </row>
    <row r="10345" spans="1:6" ht="15.75" customHeight="1">
      <c r="A10345" s="5" t="s">
        <v>30755</v>
      </c>
      <c r="B10345" s="6" t="s">
        <v>30756</v>
      </c>
      <c r="C10345" s="5" t="s">
        <v>5923</v>
      </c>
      <c r="D10345" s="5" t="s">
        <v>30693</v>
      </c>
      <c r="E10345" s="2">
        <v>3628267</v>
      </c>
      <c r="F10345" s="4" t="str">
        <f>IF(B10345=B10344,"",B10345)</f>
        <v>San JoaquÃ­n</v>
      </c>
    </row>
    <row r="10346" spans="1:6" ht="15.75" customHeight="1">
      <c r="A10346" s="5" t="str">
        <f ca="1">IFERROR(__xludf.DUMMYFUNCTION("GOOGLETRANSLATE(B37006,""en"",""pt"")"),"San Jerónimo ixtepec")</f>
        <v>San Jerónimo ixtepec</v>
      </c>
      <c r="B10346" s="17" t="s">
        <v>34698</v>
      </c>
      <c r="C10346" s="17" t="s">
        <v>17707</v>
      </c>
      <c r="D10346" s="17" t="s">
        <v>17844</v>
      </c>
      <c r="E10346" s="10">
        <v>3526674</v>
      </c>
      <c r="F10346" s="4" t="str">
        <f>IF(B10346=B10345,"",B10346)</f>
        <v>San Jerónimo Ixtepec</v>
      </c>
    </row>
    <row r="10347" spans="1:6" ht="15.75" customHeight="1">
      <c r="A10347" s="5" t="str">
        <f ca="1">IFERROR(__xludf.DUMMYFUNCTION("GOOGLETRANSLATE(B37368,""en"",""pt"")"),"San Jerónimo Cuatro Viências")</f>
        <v>San Jerónimo Cuatro Viências</v>
      </c>
      <c r="B10347" s="17" t="s">
        <v>34787</v>
      </c>
      <c r="C10347" s="17" t="s">
        <v>17707</v>
      </c>
      <c r="D10347" s="17" t="s">
        <v>20902</v>
      </c>
      <c r="E10347" s="10">
        <v>8858091</v>
      </c>
      <c r="F10347" s="4" t="str">
        <f>IF(B10347=B10346,"",B10347)</f>
        <v>San Jerónimo Cuatro Vientos</v>
      </c>
    </row>
    <row r="10348" spans="1:6" ht="15.75" customHeight="1">
      <c r="A10348" s="5" t="s">
        <v>18220</v>
      </c>
      <c r="B10348" s="6" t="s">
        <v>18221</v>
      </c>
      <c r="C10348" s="5" t="s">
        <v>17707</v>
      </c>
      <c r="D10348" s="5" t="s">
        <v>17844</v>
      </c>
      <c r="E10348" s="2">
        <v>3526674</v>
      </c>
      <c r="F10348" s="4" t="str">
        <f>IF(B10348=B10347,"",B10348)</f>
        <v>San JerÃ³nimo Ixtepec</v>
      </c>
    </row>
    <row r="10349" spans="1:6" ht="15.75" customHeight="1">
      <c r="A10349" s="5" t="s">
        <v>18218</v>
      </c>
      <c r="B10349" s="6" t="s">
        <v>18219</v>
      </c>
      <c r="C10349" s="5" t="s">
        <v>17707</v>
      </c>
      <c r="D10349" s="5" t="s">
        <v>17736</v>
      </c>
      <c r="E10349" s="2">
        <v>8858091</v>
      </c>
      <c r="F10349" s="4" t="str">
        <f>IF(B10349=B10348,"",B10349)</f>
        <v>San JerÃ³nimo Cuatro Vientos</v>
      </c>
    </row>
    <row r="10350" spans="1:6" ht="15.75" customHeight="1">
      <c r="A10350" s="5" t="s">
        <v>778</v>
      </c>
      <c r="B10350" s="6" t="s">
        <v>778</v>
      </c>
      <c r="C10350" s="5" t="s">
        <v>558</v>
      </c>
      <c r="D10350" s="5" t="s">
        <v>579</v>
      </c>
      <c r="E10350" s="2">
        <v>3428975</v>
      </c>
      <c r="F10350" s="4" t="str">
        <f>IF(B10350=B10349,"",B10350)</f>
        <v>San Javier</v>
      </c>
    </row>
    <row r="10351" spans="1:6" ht="15.75" customHeight="1">
      <c r="A10351" s="5" t="s">
        <v>778</v>
      </c>
      <c r="B10351" s="6" t="s">
        <v>778</v>
      </c>
      <c r="C10351" s="5" t="s">
        <v>4355</v>
      </c>
      <c r="D10351" s="5" t="s">
        <v>4373</v>
      </c>
      <c r="E10351" s="2">
        <v>3872154</v>
      </c>
      <c r="F10351" s="4" t="str">
        <f>IF(B10351=B10350,"",B10351)</f>
        <v/>
      </c>
    </row>
    <row r="10352" spans="1:6" ht="15.75" customHeight="1">
      <c r="A10352" s="5" t="s">
        <v>778</v>
      </c>
      <c r="B10352" s="6" t="s">
        <v>778</v>
      </c>
      <c r="C10352" s="5" t="s">
        <v>24200</v>
      </c>
      <c r="D10352" s="5" t="s">
        <v>20912</v>
      </c>
      <c r="E10352" s="2">
        <v>2511366</v>
      </c>
      <c r="F10352" s="4" t="str">
        <f>IF(B10352=B10351,"",B10352)</f>
        <v/>
      </c>
    </row>
    <row r="10353" spans="1:6" ht="15.75" customHeight="1">
      <c r="A10353" s="5" t="str">
        <f ca="1">IFERROR(__xludf.DUMMYFUNCTION("GOOGLETRANSLATE(B23181,""en"",""pt"")"),"San Javier")</f>
        <v>San Javier</v>
      </c>
      <c r="B10353" s="17" t="s">
        <v>778</v>
      </c>
      <c r="C10353" s="17" t="s">
        <v>558</v>
      </c>
      <c r="D10353" s="17" t="s">
        <v>579</v>
      </c>
      <c r="E10353" s="10">
        <v>3428975</v>
      </c>
      <c r="F10353" s="4" t="str">
        <f>IF(B10353=B10352,"",B10353)</f>
        <v/>
      </c>
    </row>
    <row r="10354" spans="1:6" ht="15.75" customHeight="1">
      <c r="A10354" s="5" t="str">
        <f ca="1">IFERROR(__xludf.DUMMYFUNCTION("GOOGLETRANSLATE(B25900,""en"",""pt"")"),"San Javier")</f>
        <v>San Javier</v>
      </c>
      <c r="B10354" s="17" t="s">
        <v>778</v>
      </c>
      <c r="C10354" s="17" t="s">
        <v>4355</v>
      </c>
      <c r="D10354" s="17" t="s">
        <v>4373</v>
      </c>
      <c r="E10354" s="10">
        <v>3872154</v>
      </c>
      <c r="F10354" s="4" t="str">
        <f>IF(B10354=B10353,"",B10354)</f>
        <v/>
      </c>
    </row>
    <row r="10355" spans="1:6" ht="15.75" customHeight="1">
      <c r="A10355" s="5" t="str">
        <f ca="1">IFERROR(__xludf.DUMMYFUNCTION("GOOGLETRANSLATE(B29000,""en"",""pt"")"),"San Javier")</f>
        <v>San Javier</v>
      </c>
      <c r="B10355" s="17" t="s">
        <v>778</v>
      </c>
      <c r="C10355" s="17" t="s">
        <v>24200</v>
      </c>
      <c r="D10355" s="17" t="s">
        <v>20912</v>
      </c>
      <c r="E10355" s="10">
        <v>2511366</v>
      </c>
      <c r="F10355" s="4" t="str">
        <f>IF(B10355=B10354,"",B10355)</f>
        <v/>
      </c>
    </row>
    <row r="10356" spans="1:6" ht="15.75" customHeight="1">
      <c r="A10356" s="5" t="s">
        <v>5596</v>
      </c>
      <c r="B10356" s="6" t="s">
        <v>5596</v>
      </c>
      <c r="C10356" s="5" t="s">
        <v>5348</v>
      </c>
      <c r="D10356" s="5" t="s">
        <v>5373</v>
      </c>
      <c r="E10356" s="2">
        <v>3669736</v>
      </c>
      <c r="F10356" s="4" t="str">
        <f>IF(B10356=B10355,"",B10356)</f>
        <v>San Jacinto</v>
      </c>
    </row>
    <row r="10357" spans="1:6" ht="15.75" customHeight="1">
      <c r="A10357" s="5" t="s">
        <v>5596</v>
      </c>
      <c r="B10357" s="6" t="s">
        <v>5596</v>
      </c>
      <c r="C10357" s="5" t="s">
        <v>27788</v>
      </c>
      <c r="D10357" s="5" t="s">
        <v>27801</v>
      </c>
      <c r="E10357" s="2">
        <v>5392090</v>
      </c>
      <c r="F10357" s="4" t="str">
        <f>IF(B10357=B10356,"",B10357)</f>
        <v/>
      </c>
    </row>
    <row r="10358" spans="1:6" ht="15.75" customHeight="1">
      <c r="A10358" s="5" t="str">
        <f ca="1">IFERROR(__xludf.DUMMYFUNCTION("GOOGLETRANSLATE(B26890,""en"",""pt"")"),"San Jacinto")</f>
        <v>San Jacinto</v>
      </c>
      <c r="B10358" s="17" t="s">
        <v>5596</v>
      </c>
      <c r="C10358" s="17" t="s">
        <v>5348</v>
      </c>
      <c r="D10358" s="17" t="s">
        <v>31836</v>
      </c>
      <c r="E10358" s="10">
        <v>3669736</v>
      </c>
      <c r="F10358" s="4" t="str">
        <f>IF(B10358=B10357,"",B10358)</f>
        <v/>
      </c>
    </row>
    <row r="10359" spans="1:6" ht="15.75" customHeight="1">
      <c r="A10359" s="5" t="str">
        <f ca="1">IFERROR(__xludf.DUMMYFUNCTION("GOOGLETRANSLATE(B45007,""en"",""pt"")"),"San Jacinto")</f>
        <v>San Jacinto</v>
      </c>
      <c r="B10359" s="17" t="s">
        <v>5596</v>
      </c>
      <c r="C10359" s="17" t="s">
        <v>27788</v>
      </c>
      <c r="D10359" s="17" t="s">
        <v>27801</v>
      </c>
      <c r="E10359" s="10">
        <v>5392090</v>
      </c>
      <c r="F10359" s="4" t="str">
        <f>IF(B10359=B10358,"",B10359)</f>
        <v/>
      </c>
    </row>
    <row r="10360" spans="1:6" ht="15.75" customHeight="1">
      <c r="A10360" s="6" t="s">
        <v>777</v>
      </c>
      <c r="B10360" s="6" t="s">
        <v>777</v>
      </c>
      <c r="C10360" s="6" t="s">
        <v>558</v>
      </c>
      <c r="D10360" s="6" t="s">
        <v>562</v>
      </c>
      <c r="E10360" s="2">
        <v>3428992</v>
      </c>
      <c r="F10360" s="4" t="str">
        <f>IF(B10360=B10359,"",B10360)</f>
        <v>San Isidro</v>
      </c>
    </row>
    <row r="10361" spans="1:6" ht="15.75" customHeight="1">
      <c r="A10361" s="6" t="s">
        <v>777</v>
      </c>
      <c r="B10361" s="6" t="s">
        <v>777</v>
      </c>
      <c r="C10361" s="6" t="s">
        <v>5665</v>
      </c>
      <c r="D10361" s="6" t="s">
        <v>5668</v>
      </c>
      <c r="E10361" s="2">
        <v>3621889</v>
      </c>
      <c r="F10361" s="4" t="str">
        <f>IF(B10361=B10360,"",B10361)</f>
        <v/>
      </c>
    </row>
    <row r="10362" spans="1:6" ht="15.75" customHeight="1">
      <c r="A10362" s="6" t="s">
        <v>777</v>
      </c>
      <c r="B10362" s="6" t="s">
        <v>777</v>
      </c>
      <c r="C10362" s="6" t="s">
        <v>17707</v>
      </c>
      <c r="D10362" s="6" t="s">
        <v>17736</v>
      </c>
      <c r="E10362" s="2">
        <v>8858095</v>
      </c>
      <c r="F10362" s="4" t="str">
        <f>IF(B10362=B10361,"",B10362)</f>
        <v/>
      </c>
    </row>
    <row r="10363" spans="1:6" ht="15.75" customHeight="1">
      <c r="A10363" s="6" t="s">
        <v>777</v>
      </c>
      <c r="B10363" s="6" t="s">
        <v>777</v>
      </c>
      <c r="C10363" s="6" t="s">
        <v>20470</v>
      </c>
      <c r="D10363" s="6" t="s">
        <v>20479</v>
      </c>
      <c r="E10363" s="2">
        <v>3929631</v>
      </c>
      <c r="F10363" s="4" t="str">
        <f>IF(B10363=B10362,"",B10363)</f>
        <v/>
      </c>
    </row>
    <row r="10364" spans="1:6" ht="15.75" customHeight="1">
      <c r="A10364" s="6" t="s">
        <v>777</v>
      </c>
      <c r="B10364" s="6" t="s">
        <v>777</v>
      </c>
      <c r="C10364" s="6" t="s">
        <v>24200</v>
      </c>
      <c r="D10364" s="6" t="s">
        <v>24212</v>
      </c>
      <c r="E10364" s="2">
        <v>2511371</v>
      </c>
      <c r="F10364" s="4" t="str">
        <f>IF(B10364=B10363,"",B10364)</f>
        <v/>
      </c>
    </row>
    <row r="10365" spans="1:6" ht="15.75" customHeight="1">
      <c r="A10365" s="5" t="str">
        <f ca="1">IFERROR(__xludf.DUMMYFUNCTION("GOOGLETRANSLATE(B23182,""en"",""pt"")"),"San Isidro")</f>
        <v>San Isidro</v>
      </c>
      <c r="B10365" s="17" t="s">
        <v>777</v>
      </c>
      <c r="C10365" s="17" t="s">
        <v>558</v>
      </c>
      <c r="D10365" s="17" t="s">
        <v>562</v>
      </c>
      <c r="E10365" s="10">
        <v>3428992</v>
      </c>
      <c r="F10365" s="4" t="str">
        <f>IF(B10365=B10364,"",B10365)</f>
        <v/>
      </c>
    </row>
    <row r="10366" spans="1:6" ht="15.75" customHeight="1">
      <c r="A10366" s="5" t="str">
        <f ca="1">IFERROR(__xludf.DUMMYFUNCTION("GOOGLETRANSLATE(B27075,""en"",""pt"")"),"San Isidro")</f>
        <v>San Isidro</v>
      </c>
      <c r="B10366" s="17" t="s">
        <v>777</v>
      </c>
      <c r="C10366" s="17" t="s">
        <v>5665</v>
      </c>
      <c r="D10366" s="17" t="s">
        <v>5697</v>
      </c>
      <c r="E10366" s="10">
        <v>3621889</v>
      </c>
      <c r="F10366" s="4" t="str">
        <f>IF(B10366=B10365,"",B10366)</f>
        <v/>
      </c>
    </row>
    <row r="10367" spans="1:6" ht="15.75" customHeight="1">
      <c r="A10367" s="5" t="str">
        <f ca="1">IFERROR(__xludf.DUMMYFUNCTION("GOOGLETRANSLATE(B29001,""en"",""pt"")"),"San Isidro")</f>
        <v>San Isidro</v>
      </c>
      <c r="B10367" s="17" t="s">
        <v>777</v>
      </c>
      <c r="C10367" s="17" t="s">
        <v>24200</v>
      </c>
      <c r="D10367" s="17" t="s">
        <v>24212</v>
      </c>
      <c r="E10367" s="10">
        <v>2511371</v>
      </c>
      <c r="F10367" s="4" t="str">
        <f>IF(B10367=B10366,"",B10367)</f>
        <v/>
      </c>
    </row>
    <row r="10368" spans="1:6" ht="15.75" customHeight="1">
      <c r="A10368" s="5" t="str">
        <f ca="1">IFERROR(__xludf.DUMMYFUNCTION("GOOGLETRANSLATE(B37372,""en"",""pt"")"),"San Isidro")</f>
        <v>San Isidro</v>
      </c>
      <c r="B10368" s="17" t="s">
        <v>777</v>
      </c>
      <c r="C10368" s="17" t="s">
        <v>17707</v>
      </c>
      <c r="D10368" s="17" t="s">
        <v>20902</v>
      </c>
      <c r="E10368" s="10">
        <v>8858095</v>
      </c>
      <c r="F10368" s="4" t="str">
        <f>IF(B10368=B10367,"",B10368)</f>
        <v/>
      </c>
    </row>
    <row r="10369" spans="1:6" ht="15.75" customHeight="1">
      <c r="A10369" s="5" t="str">
        <f ca="1">IFERROR(__xludf.DUMMYFUNCTION("GOOGLETRANSLATE(B38364,""en"",""pt"")"),"San Isidro")</f>
        <v>San Isidro</v>
      </c>
      <c r="B10369" s="17" t="s">
        <v>777</v>
      </c>
      <c r="C10369" s="17" t="s">
        <v>20470</v>
      </c>
      <c r="D10369" s="17" t="s">
        <v>20479</v>
      </c>
      <c r="E10369" s="10">
        <v>3929631</v>
      </c>
      <c r="F10369" s="4" t="str">
        <f>IF(B10369=B10368,"",B10369)</f>
        <v/>
      </c>
    </row>
    <row r="10370" spans="1:6" ht="15.75" customHeight="1">
      <c r="A10370" s="5" t="s">
        <v>20992</v>
      </c>
      <c r="B10370" s="6" t="s">
        <v>20992</v>
      </c>
      <c r="C10370" s="5" t="s">
        <v>20598</v>
      </c>
      <c r="D10370" s="5" t="s">
        <v>20599</v>
      </c>
      <c r="E10370" s="2">
        <v>1689832</v>
      </c>
      <c r="F10370" s="4" t="str">
        <f>IF(B10370=B10369,"",B10370)</f>
        <v>San Ildefonso</v>
      </c>
    </row>
    <row r="10371" spans="1:6" ht="15.75" customHeight="1">
      <c r="A10371" s="5" t="str">
        <f ca="1">IFERROR(__xludf.DUMMYFUNCTION("GOOGLETRANSLATE(B38513,""en"",""pt"")"),"San Ildefonso")</f>
        <v>San Ildefonso</v>
      </c>
      <c r="B10371" s="17" t="s">
        <v>20992</v>
      </c>
      <c r="C10371" s="17" t="s">
        <v>20598</v>
      </c>
      <c r="D10371" s="17" t="s">
        <v>20599</v>
      </c>
      <c r="E10371" s="10">
        <v>1689832</v>
      </c>
      <c r="F10371" s="4" t="str">
        <f>IF(B10371=B10370,"",B10371)</f>
        <v/>
      </c>
    </row>
    <row r="10372" spans="1:6" ht="15.75" customHeight="1">
      <c r="A10372" s="5" t="s">
        <v>1825</v>
      </c>
      <c r="B10372" s="6" t="s">
        <v>1825</v>
      </c>
      <c r="C10372" s="5" t="s">
        <v>1806</v>
      </c>
      <c r="D10372" s="5" t="s">
        <v>595</v>
      </c>
      <c r="E10372" s="2">
        <v>3905658</v>
      </c>
      <c r="F10372" s="4" t="str">
        <f>IF(B10372=B10371,"",B10372)</f>
        <v>San Ignacio de Velasco</v>
      </c>
    </row>
    <row r="10373" spans="1:6" ht="15.75" customHeight="1">
      <c r="A10373" s="5" t="str">
        <f ca="1">IFERROR(__xludf.DUMMYFUNCTION("GOOGLETRANSLATE(B24126,""en"",""pt"")"),"San Ignacio de Velasco")</f>
        <v>San Ignacio de Velasco</v>
      </c>
      <c r="B10373" s="17" t="s">
        <v>1825</v>
      </c>
      <c r="C10373" s="17" t="s">
        <v>1806</v>
      </c>
      <c r="D10373" s="17" t="s">
        <v>595</v>
      </c>
      <c r="E10373" s="10">
        <v>3905658</v>
      </c>
      <c r="F10373" s="4" t="str">
        <f>IF(B10373=B10372,"",B10373)</f>
        <v/>
      </c>
    </row>
    <row r="10374" spans="1:6" ht="15.75" customHeight="1">
      <c r="A10374" s="5" t="s">
        <v>1739</v>
      </c>
      <c r="B10374" s="6" t="s">
        <v>1739</v>
      </c>
      <c r="C10374" s="5" t="s">
        <v>1734</v>
      </c>
      <c r="D10374" s="5" t="s">
        <v>1736</v>
      </c>
      <c r="E10374" s="2">
        <v>3581194</v>
      </c>
      <c r="F10374" s="4" t="str">
        <f>IF(B10374=B10373,"",B10374)</f>
        <v>San Ignacio</v>
      </c>
    </row>
    <row r="10375" spans="1:6" ht="15.75" customHeight="1">
      <c r="A10375" s="5" t="str">
        <f ca="1">IFERROR(__xludf.DUMMYFUNCTION("GOOGLETRANSLATE(B25418,""en"",""pt"")"),"San Ignacio")</f>
        <v>San Ignacio</v>
      </c>
      <c r="B10375" s="17" t="s">
        <v>1739</v>
      </c>
      <c r="C10375" s="17" t="s">
        <v>1734</v>
      </c>
      <c r="D10375" s="17" t="s">
        <v>1736</v>
      </c>
      <c r="E10375" s="10">
        <v>3581194</v>
      </c>
      <c r="F10375" s="4" t="str">
        <f>IF(B10375=B10374,"",B10375)</f>
        <v/>
      </c>
    </row>
    <row r="10376" spans="1:6" ht="15.75" customHeight="1">
      <c r="A10376" s="5" t="s">
        <v>15451</v>
      </c>
      <c r="B10376" s="6" t="s">
        <v>15451</v>
      </c>
      <c r="C10376" s="5" t="s">
        <v>14891</v>
      </c>
      <c r="D10376" s="5" t="s">
        <v>14896</v>
      </c>
      <c r="E10376" s="2">
        <v>3168209</v>
      </c>
      <c r="F10376" s="4" t="str">
        <f>IF(B10376=B10375,"",B10376)</f>
        <v>San Giuseppe Vesuviano</v>
      </c>
    </row>
    <row r="10377" spans="1:6" ht="15.75" customHeight="1">
      <c r="A10377" s="5" t="str">
        <f ca="1">IFERROR(__xludf.DUMMYFUNCTION("GOOGLETRANSLATE(B34718,""en"",""pt"")"),"San Giuseppe Vesuviano")</f>
        <v>San Giuseppe Vesuviano</v>
      </c>
      <c r="B10377" s="17" t="s">
        <v>15451</v>
      </c>
      <c r="C10377" s="17" t="s">
        <v>14891</v>
      </c>
      <c r="D10377" s="17" t="s">
        <v>14896</v>
      </c>
      <c r="E10377" s="10">
        <v>3168209</v>
      </c>
      <c r="F10377" s="4" t="str">
        <f>IF(B10377=B10376,"",B10377)</f>
        <v/>
      </c>
    </row>
    <row r="10378" spans="1:6" ht="15.75" customHeight="1">
      <c r="A10378" s="5" t="s">
        <v>15449</v>
      </c>
      <c r="B10378" s="6" t="s">
        <v>15450</v>
      </c>
      <c r="C10378" s="5" t="s">
        <v>14891</v>
      </c>
      <c r="D10378" s="5" t="s">
        <v>14894</v>
      </c>
      <c r="E10378" s="2">
        <v>3168222</v>
      </c>
      <c r="F10378" s="4" t="str">
        <f>IF(B10378=B10377,"",B10378)</f>
        <v>San Giuliano Milanese</v>
      </c>
    </row>
    <row r="10379" spans="1:6" ht="15.75" customHeight="1">
      <c r="A10379" s="5" t="str">
        <f ca="1">IFERROR(__xludf.DUMMYFUNCTION("GOOGLETRANSLATE(B34719,""en"",""pt"")"),"San Giuliano Milanês")</f>
        <v>San Giuliano Milanês</v>
      </c>
      <c r="B10379" s="17" t="s">
        <v>15450</v>
      </c>
      <c r="C10379" s="17" t="s">
        <v>14891</v>
      </c>
      <c r="D10379" s="17" t="s">
        <v>14894</v>
      </c>
      <c r="E10379" s="10">
        <v>3168222</v>
      </c>
      <c r="F10379" s="4" t="str">
        <f>IF(B10379=B10378,"",B10379)</f>
        <v/>
      </c>
    </row>
    <row r="10380" spans="1:6" ht="15.75" customHeight="1">
      <c r="A10380" s="5" t="s">
        <v>15448</v>
      </c>
      <c r="B10380" s="6" t="s">
        <v>15448</v>
      </c>
      <c r="C10380" s="5" t="s">
        <v>14891</v>
      </c>
      <c r="D10380" s="5" t="s">
        <v>14943</v>
      </c>
      <c r="E10380" s="2">
        <v>3168231</v>
      </c>
      <c r="F10380" s="4" t="str">
        <f>IF(B10380=B10379,"",B10380)</f>
        <v>San Giovanni Valdarno</v>
      </c>
    </row>
    <row r="10381" spans="1:6" ht="15.75" customHeight="1">
      <c r="A10381" s="5" t="str">
        <f ca="1">IFERROR(__xludf.DUMMYFUNCTION("GOOGLETRANSLATE(B34720,""en"",""pt"")"),"San Giovanni Valdarno")</f>
        <v>San Giovanni Valdarno</v>
      </c>
      <c r="B10381" s="17" t="s">
        <v>15448</v>
      </c>
      <c r="C10381" s="17" t="s">
        <v>14891</v>
      </c>
      <c r="D10381" s="17" t="s">
        <v>14943</v>
      </c>
      <c r="E10381" s="10">
        <v>3168231</v>
      </c>
      <c r="F10381" s="4" t="str">
        <f>IF(B10381=B10380,"",B10381)</f>
        <v/>
      </c>
    </row>
    <row r="10382" spans="1:6" ht="15.75" customHeight="1">
      <c r="A10382" s="5" t="s">
        <v>15447</v>
      </c>
      <c r="B10382" s="6" t="s">
        <v>15447</v>
      </c>
      <c r="C10382" s="5" t="s">
        <v>14891</v>
      </c>
      <c r="D10382" s="5" t="s">
        <v>14908</v>
      </c>
      <c r="E10382" s="2">
        <v>3168234</v>
      </c>
      <c r="F10382" s="4" t="str">
        <f>IF(B10382=B10381,"",B10382)</f>
        <v>San Giovanni Rotondo</v>
      </c>
    </row>
    <row r="10383" spans="1:6" ht="15.75" customHeight="1">
      <c r="A10383" s="5" t="str">
        <f ca="1">IFERROR(__xludf.DUMMYFUNCTION("GOOGLETRANSLATE(B34721,""en"",""pt"")"),"San Giovanni Rotondo")</f>
        <v>San Giovanni Rotondo</v>
      </c>
      <c r="B10383" s="17" t="s">
        <v>15447</v>
      </c>
      <c r="C10383" s="17" t="s">
        <v>14891</v>
      </c>
      <c r="D10383" s="17" t="s">
        <v>14908</v>
      </c>
      <c r="E10383" s="10">
        <v>3168234</v>
      </c>
      <c r="F10383" s="4" t="str">
        <f>IF(B10383=B10382,"",B10383)</f>
        <v/>
      </c>
    </row>
    <row r="10384" spans="1:6" ht="15.75" customHeight="1">
      <c r="A10384" s="5" t="s">
        <v>15446</v>
      </c>
      <c r="B10384" s="6" t="s">
        <v>15446</v>
      </c>
      <c r="C10384" s="5" t="s">
        <v>14891</v>
      </c>
      <c r="D10384" s="5" t="s">
        <v>14892</v>
      </c>
      <c r="E10384" s="2">
        <v>3168236</v>
      </c>
      <c r="F10384" s="4" t="str">
        <f>IF(B10384=B10383,"",B10384)</f>
        <v>San Giovanni Lupatoto</v>
      </c>
    </row>
    <row r="10385" spans="1:6" ht="15.75" customHeight="1">
      <c r="A10385" s="5" t="str">
        <f ca="1">IFERROR(__xludf.DUMMYFUNCTION("GOOGLETRANSLATE(B34722,""en"",""pt"")"),"San Giovanni Lupatoto")</f>
        <v>San Giovanni Lupatoto</v>
      </c>
      <c r="B10385" s="17" t="s">
        <v>15446</v>
      </c>
      <c r="C10385" s="17" t="s">
        <v>14891</v>
      </c>
      <c r="D10385" s="17" t="s">
        <v>14892</v>
      </c>
      <c r="E10385" s="10">
        <v>3168236</v>
      </c>
      <c r="F10385" s="4" t="str">
        <f>IF(B10385=B10384,"",B10385)</f>
        <v/>
      </c>
    </row>
    <row r="10386" spans="1:6" ht="15.75" customHeight="1">
      <c r="A10386" s="5" t="s">
        <v>15445</v>
      </c>
      <c r="B10386" s="6" t="s">
        <v>15445</v>
      </c>
      <c r="C10386" s="5" t="s">
        <v>14891</v>
      </c>
      <c r="D10386" s="5" t="s">
        <v>14899</v>
      </c>
      <c r="E10386" s="2">
        <v>2523460</v>
      </c>
      <c r="F10386" s="4" t="str">
        <f>IF(B10386=B10385,"",B10386)</f>
        <v>San Giovanni la Punta</v>
      </c>
    </row>
    <row r="10387" spans="1:6" ht="15.75" customHeight="1">
      <c r="A10387" s="5" t="str">
        <f ca="1">IFERROR(__xludf.DUMMYFUNCTION("GOOGLETRANSLATE(B34552,""en"",""pt"")"),"San Giovanni la Punta")</f>
        <v>San Giovanni la Punta</v>
      </c>
      <c r="B10387" s="17" t="s">
        <v>15445</v>
      </c>
      <c r="C10387" s="17" t="s">
        <v>14891</v>
      </c>
      <c r="D10387" s="17" t="s">
        <v>14899</v>
      </c>
      <c r="E10387" s="10">
        <v>2523460</v>
      </c>
      <c r="F10387" s="4" t="str">
        <f>IF(B10387=B10386,"",B10387)</f>
        <v/>
      </c>
    </row>
    <row r="10388" spans="1:6" ht="15.75" customHeight="1">
      <c r="A10388" s="5" t="s">
        <v>15443</v>
      </c>
      <c r="B10388" s="6" t="s">
        <v>15444</v>
      </c>
      <c r="C10388" s="5" t="s">
        <v>14891</v>
      </c>
      <c r="D10388" s="5" t="s">
        <v>14973</v>
      </c>
      <c r="E10388" s="2">
        <v>3168239</v>
      </c>
      <c r="F10388" s="4" t="str">
        <f>IF(B10388=B10387,"",B10388)</f>
        <v>San Giovanni in Persiceto</v>
      </c>
    </row>
    <row r="10389" spans="1:6" ht="15.75" customHeight="1">
      <c r="A10389" s="5" t="str">
        <f ca="1">IFERROR(__xludf.DUMMYFUNCTION("GOOGLETRANSLATE(B34723,""en"",""pt"")"),"San Giovanni em Persiqueto")</f>
        <v>San Giovanni em Persiqueto</v>
      </c>
      <c r="B10389" s="17" t="s">
        <v>15444</v>
      </c>
      <c r="C10389" s="17" t="s">
        <v>14891</v>
      </c>
      <c r="D10389" s="17" t="s">
        <v>14973</v>
      </c>
      <c r="E10389" s="10">
        <v>3168239</v>
      </c>
      <c r="F10389" s="4" t="str">
        <f>IF(B10389=B10388,"",B10389)</f>
        <v/>
      </c>
    </row>
    <row r="10390" spans="1:6" ht="15.75" customHeight="1">
      <c r="A10390" s="5" t="s">
        <v>15441</v>
      </c>
      <c r="B10390" s="6" t="s">
        <v>15442</v>
      </c>
      <c r="C10390" s="5" t="s">
        <v>14891</v>
      </c>
      <c r="D10390" s="5" t="s">
        <v>14929</v>
      </c>
      <c r="E10390" s="2">
        <v>2523461</v>
      </c>
      <c r="F10390" s="4" t="str">
        <f>IF(B10390=B10389,"",B10390)</f>
        <v>San Giovanni in Fiore</v>
      </c>
    </row>
    <row r="10391" spans="1:6" ht="15.75" customHeight="1">
      <c r="A10391" s="5" t="str">
        <f ca="1">IFERROR(__xludf.DUMMYFUNCTION("GOOGLETRANSLATE(B34553,""en"",""pt"")"),"San Giovanni em Fiore")</f>
        <v>San Giovanni em Fiore</v>
      </c>
      <c r="B10391" s="17" t="s">
        <v>15442</v>
      </c>
      <c r="C10391" s="17" t="s">
        <v>14891</v>
      </c>
      <c r="D10391" s="17" t="s">
        <v>14929</v>
      </c>
      <c r="E10391" s="10">
        <v>2523461</v>
      </c>
      <c r="F10391" s="4" t="str">
        <f>IF(B10391=B10390,"",B10391)</f>
        <v/>
      </c>
    </row>
    <row r="10392" spans="1:6" ht="15.75" customHeight="1">
      <c r="A10392" s="5" t="s">
        <v>15439</v>
      </c>
      <c r="B10392" s="6" t="s">
        <v>15440</v>
      </c>
      <c r="C10392" s="5" t="s">
        <v>14891</v>
      </c>
      <c r="D10392" s="5" t="s">
        <v>14896</v>
      </c>
      <c r="E10392" s="2">
        <v>3168309</v>
      </c>
      <c r="F10392" s="4" t="str">
        <f>IF(B10392=B10391,"",B10392)</f>
        <v>San Giorgio a Cremano</v>
      </c>
    </row>
    <row r="10393" spans="1:6" ht="15.75" customHeight="1">
      <c r="A10393" s="5" t="str">
        <f ca="1">IFERROR(__xludf.DUMMYFUNCTION("GOOGLETRANSLATE(B34724,""en"",""pt"")"),"San Giorgio A Cremono")</f>
        <v>San Giorgio A Cremono</v>
      </c>
      <c r="B10393" s="17" t="s">
        <v>15440</v>
      </c>
      <c r="C10393" s="17" t="s">
        <v>14891</v>
      </c>
      <c r="D10393" s="17" t="s">
        <v>14896</v>
      </c>
      <c r="E10393" s="10">
        <v>3168309</v>
      </c>
      <c r="F10393" s="4" t="str">
        <f>IF(B10393=B10392,"",B10393)</f>
        <v/>
      </c>
    </row>
    <row r="10394" spans="1:6" ht="15.75" customHeight="1">
      <c r="A10394" s="6" t="s">
        <v>5595</v>
      </c>
      <c r="B10394" s="6" t="s">
        <v>5595</v>
      </c>
      <c r="C10394" s="6" t="s">
        <v>5348</v>
      </c>
      <c r="D10394" s="6" t="s">
        <v>5380</v>
      </c>
      <c r="E10394" s="2">
        <v>3669808</v>
      </c>
      <c r="F10394" s="4" t="str">
        <f>IF(B10394=B10393,"",B10394)</f>
        <v>San Gil</v>
      </c>
    </row>
    <row r="10395" spans="1:6" ht="15.75" customHeight="1">
      <c r="A10395" s="5" t="str">
        <f ca="1">IFERROR(__xludf.DUMMYFUNCTION("GOOGLETRANSLATE(B26891,""en"",""pt"")"),"San Gil")</f>
        <v>San Gil</v>
      </c>
      <c r="B10395" s="17" t="s">
        <v>5595</v>
      </c>
      <c r="C10395" s="17" t="s">
        <v>5348</v>
      </c>
      <c r="D10395" s="17" t="s">
        <v>5380</v>
      </c>
      <c r="E10395" s="10">
        <v>3669808</v>
      </c>
      <c r="F10395" s="4" t="str">
        <f>IF(B10395=B10394,"",B10395)</f>
        <v/>
      </c>
    </row>
    <row r="10396" spans="1:6" ht="15.75" customHeight="1">
      <c r="A10396" s="5" t="str">
        <f ca="1">IFERROR(__xludf.DUMMYFUNCTION("GOOGLETRANSLATE(B27108,""en"",""pt"")"),"San Germán")</f>
        <v>San Germán</v>
      </c>
      <c r="B10396" s="17" t="s">
        <v>31906</v>
      </c>
      <c r="C10396" s="17" t="s">
        <v>5764</v>
      </c>
      <c r="D10396" s="17" t="s">
        <v>31907</v>
      </c>
      <c r="E10396" s="10">
        <v>3534749</v>
      </c>
      <c r="F10396" s="4" t="str">
        <f>IF(B10396=B10395,"",B10396)</f>
        <v>San Germán</v>
      </c>
    </row>
    <row r="10397" spans="1:6" ht="15.75" customHeight="1">
      <c r="A10397" s="5" t="s">
        <v>5905</v>
      </c>
      <c r="B10397" s="6" t="s">
        <v>5906</v>
      </c>
      <c r="C10397" s="5" t="s">
        <v>5764</v>
      </c>
      <c r="D10397" s="5" t="s">
        <v>5777</v>
      </c>
      <c r="E10397" s="2">
        <v>3534749</v>
      </c>
      <c r="F10397" s="4" t="str">
        <f>IF(B10397=B10396,"",B10397)</f>
        <v>San GermÃ¡n</v>
      </c>
    </row>
    <row r="10398" spans="1:6" ht="15.75" customHeight="1">
      <c r="A10398" s="5" t="s">
        <v>6474</v>
      </c>
      <c r="B10398" s="6" t="s">
        <v>6474</v>
      </c>
      <c r="C10398" s="5" t="s">
        <v>6398</v>
      </c>
      <c r="D10398" s="5" t="s">
        <v>6475</v>
      </c>
      <c r="E10398" s="2">
        <v>3651868</v>
      </c>
      <c r="F10398" s="4" t="str">
        <f>IF(B10398=B10397,"",B10398)</f>
        <v>San Gabriel</v>
      </c>
    </row>
    <row r="10399" spans="1:6" ht="15.75" customHeight="1">
      <c r="A10399" s="5" t="s">
        <v>6474</v>
      </c>
      <c r="B10399" s="6" t="s">
        <v>6474</v>
      </c>
      <c r="C10399" s="5" t="s">
        <v>27788</v>
      </c>
      <c r="D10399" s="5" t="s">
        <v>27801</v>
      </c>
      <c r="E10399" s="2">
        <v>5392034</v>
      </c>
      <c r="F10399" s="4" t="str">
        <f>IF(B10399=B10398,"",B10399)</f>
        <v/>
      </c>
    </row>
    <row r="10400" spans="1:6" ht="15.75" customHeight="1">
      <c r="A10400" s="5" t="str">
        <f ca="1">IFERROR(__xludf.DUMMYFUNCTION("GOOGLETRANSLATE(B28758,""en"",""pt"")"),"San Gabriel")</f>
        <v>San Gabriel</v>
      </c>
      <c r="B10400" s="17" t="s">
        <v>6474</v>
      </c>
      <c r="C10400" s="17" t="s">
        <v>6398</v>
      </c>
      <c r="D10400" s="17" t="s">
        <v>6475</v>
      </c>
      <c r="E10400" s="10">
        <v>3651868</v>
      </c>
      <c r="F10400" s="4" t="str">
        <f>IF(B10400=B10399,"",B10400)</f>
        <v/>
      </c>
    </row>
    <row r="10401" spans="1:6" ht="15.75" customHeight="1">
      <c r="A10401" s="5" t="str">
        <f ca="1">IFERROR(__xludf.DUMMYFUNCTION("GOOGLETRANSLATE(B45006,""en"",""pt"")"),"San Gabriel")</f>
        <v>San Gabriel</v>
      </c>
      <c r="B10401" s="17" t="s">
        <v>6474</v>
      </c>
      <c r="C10401" s="17" t="s">
        <v>27788</v>
      </c>
      <c r="D10401" s="17" t="s">
        <v>27801</v>
      </c>
      <c r="E10401" s="10">
        <v>5392034</v>
      </c>
      <c r="F10401" s="4" t="str">
        <f>IF(B10401=B10400,"",B10401)</f>
        <v/>
      </c>
    </row>
    <row r="10402" spans="1:6" ht="15.75" customHeight="1">
      <c r="A10402" s="5" t="s">
        <v>9788</v>
      </c>
      <c r="B10402" s="6" t="s">
        <v>9789</v>
      </c>
      <c r="C10402" s="5" t="s">
        <v>9700</v>
      </c>
      <c r="D10402" s="5" t="s">
        <v>9756</v>
      </c>
      <c r="E10402" s="2">
        <v>3590219</v>
      </c>
      <c r="F10402" s="4" t="str">
        <f>IF(B10402=B10401,"",B10402)</f>
        <v>San Francisco El Alto</v>
      </c>
    </row>
    <row r="10403" spans="1:6" ht="15.75" customHeight="1">
      <c r="A10403" s="5" t="str">
        <f ca="1">IFERROR(__xludf.DUMMYFUNCTION("GOOGLETRANSLATE(B31084,""en"",""pt"")"),"São Francisco El Alto")</f>
        <v>São Francisco El Alto</v>
      </c>
      <c r="B10403" s="17" t="s">
        <v>9789</v>
      </c>
      <c r="C10403" s="17" t="s">
        <v>9700</v>
      </c>
      <c r="D10403" s="17" t="s">
        <v>32765</v>
      </c>
      <c r="E10403" s="10">
        <v>3590219</v>
      </c>
      <c r="F10403" s="4" t="str">
        <f>IF(B10403=B10402,"",B10403)</f>
        <v/>
      </c>
    </row>
    <row r="10404" spans="1:6" ht="15.75" customHeight="1">
      <c r="A10404" s="5" t="str">
        <f ca="1">IFERROR(__xludf.DUMMYFUNCTION("GOOGLETRANSLATE(B37202,""en"",""pt"")"),"São Francisco del Rincón")</f>
        <v>São Francisco del Rincón</v>
      </c>
      <c r="B10404" s="17" t="s">
        <v>34743</v>
      </c>
      <c r="C10404" s="17" t="s">
        <v>17707</v>
      </c>
      <c r="D10404" s="17" t="s">
        <v>17713</v>
      </c>
      <c r="E10404" s="10">
        <v>3986984</v>
      </c>
      <c r="F10404" s="4" t="str">
        <f>IF(B10404=B10403,"",B10404)</f>
        <v>San Francisco del Rincón</v>
      </c>
    </row>
    <row r="10405" spans="1:6" ht="15.75" customHeight="1">
      <c r="A10405" s="5" t="s">
        <v>18216</v>
      </c>
      <c r="B10405" s="6" t="s">
        <v>18217</v>
      </c>
      <c r="C10405" s="5" t="s">
        <v>17707</v>
      </c>
      <c r="D10405" s="5" t="s">
        <v>17713</v>
      </c>
      <c r="E10405" s="2">
        <v>3986984</v>
      </c>
      <c r="F10405" s="4" t="str">
        <f>IF(B10405=B10404,"",B10405)</f>
        <v>San Francisco del RincÃ³n</v>
      </c>
    </row>
    <row r="10406" spans="1:6" ht="15.75" customHeight="1">
      <c r="A10406" s="5" t="str">
        <f ca="1">IFERROR(__xludf.DUMMYFUNCTION("GOOGLETRANSLATE(B28465,""en"",""pt"")"),"São Francisco de Macor.")</f>
        <v>São Francisco de Macor.</v>
      </c>
      <c r="B10406" s="17" t="s">
        <v>32170</v>
      </c>
      <c r="C10406" s="17" t="s">
        <v>6303</v>
      </c>
      <c r="D10406" s="17" t="s">
        <v>6361</v>
      </c>
      <c r="E10406" s="10">
        <v>3493146</v>
      </c>
      <c r="F10406" s="4" t="str">
        <f>IF(B10406=B10405,"",B10406)</f>
        <v>San Francisco de Macorís</v>
      </c>
    </row>
    <row r="10407" spans="1:6" ht="15.75" customHeight="1">
      <c r="A10407" s="5" t="s">
        <v>6359</v>
      </c>
      <c r="B10407" s="6" t="s">
        <v>6360</v>
      </c>
      <c r="C10407" s="5" t="s">
        <v>6303</v>
      </c>
      <c r="D10407" s="5" t="s">
        <v>6361</v>
      </c>
      <c r="E10407" s="2">
        <v>3493146</v>
      </c>
      <c r="F10407" s="4" t="str">
        <f>IF(B10407=B10406,"",B10407)</f>
        <v>San Francisco de MacorÃ­s</v>
      </c>
    </row>
    <row r="10408" spans="1:6" ht="15.75" customHeight="1">
      <c r="A10408" s="5" t="s">
        <v>18214</v>
      </c>
      <c r="B10408" s="6" t="s">
        <v>18215</v>
      </c>
      <c r="C10408" s="5" t="s">
        <v>17707</v>
      </c>
      <c r="D10408" s="5" t="s">
        <v>17736</v>
      </c>
      <c r="E10408" s="2">
        <v>3519290</v>
      </c>
      <c r="F10408" s="4" t="str">
        <f>IF(B10408=B10407,"",B10408)</f>
        <v>San Francisco Acuautla</v>
      </c>
    </row>
    <row r="10409" spans="1:6" ht="15.75" customHeight="1">
      <c r="A10409" s="5" t="str">
        <f ca="1">IFERROR(__xludf.DUMMYFUNCTION("GOOGLETRANSLATE(B36932,""en"",""pt"")"),"São Francisco Acuautla")</f>
        <v>São Francisco Acuautla</v>
      </c>
      <c r="B10409" s="17" t="s">
        <v>18215</v>
      </c>
      <c r="C10409" s="17" t="s">
        <v>17707</v>
      </c>
      <c r="D10409" s="17" t="s">
        <v>20902</v>
      </c>
      <c r="E10409" s="10">
        <v>3519290</v>
      </c>
      <c r="F10409" s="4" t="str">
        <f>IF(B10409=B10408,"",B10409)</f>
        <v/>
      </c>
    </row>
    <row r="10410" spans="1:6" ht="15.75" customHeight="1">
      <c r="A10410" s="5" t="s">
        <v>775</v>
      </c>
      <c r="B10410" s="6" t="s">
        <v>776</v>
      </c>
      <c r="C10410" s="5" t="s">
        <v>558</v>
      </c>
      <c r="D10410" s="5" t="s">
        <v>573</v>
      </c>
      <c r="E10410" s="2">
        <v>3837675</v>
      </c>
      <c r="F10410" s="4" t="str">
        <f>IF(B10410=B10409,"",B10410)</f>
        <v>San Francisco</v>
      </c>
    </row>
    <row r="10411" spans="1:6" ht="15.75" customHeight="1">
      <c r="A10411" s="5" t="s">
        <v>775</v>
      </c>
      <c r="B10411" s="6" t="s">
        <v>776</v>
      </c>
      <c r="C10411" s="5" t="s">
        <v>5665</v>
      </c>
      <c r="D10411" s="5" t="s">
        <v>5683</v>
      </c>
      <c r="E10411" s="2">
        <v>3621911</v>
      </c>
      <c r="F10411" s="4" t="str">
        <f>IF(B10411=B10410,"",B10411)</f>
        <v/>
      </c>
    </row>
    <row r="10412" spans="1:6" ht="15.75" customHeight="1">
      <c r="A10412" s="5" t="s">
        <v>775</v>
      </c>
      <c r="B10412" s="6" t="s">
        <v>776</v>
      </c>
      <c r="C10412" s="5" t="s">
        <v>6727</v>
      </c>
      <c r="D10412" s="5" t="s">
        <v>6751</v>
      </c>
      <c r="E10412" s="2">
        <v>3583747</v>
      </c>
      <c r="F10412" s="4" t="str">
        <f>IF(B10412=B10411,"",B10412)</f>
        <v/>
      </c>
    </row>
    <row r="10413" spans="1:6" ht="15.75" customHeight="1">
      <c r="A10413" s="5" t="s">
        <v>775</v>
      </c>
      <c r="B10413" s="6" t="s">
        <v>776</v>
      </c>
      <c r="C10413" s="5" t="s">
        <v>20598</v>
      </c>
      <c r="D10413" s="5" t="s">
        <v>20599</v>
      </c>
      <c r="E10413" s="2">
        <v>1689973</v>
      </c>
      <c r="F10413" s="4" t="str">
        <f>IF(B10413=B10412,"",B10413)</f>
        <v/>
      </c>
    </row>
    <row r="10414" spans="1:6" ht="15.75" customHeight="1">
      <c r="A10414" s="5" t="s">
        <v>775</v>
      </c>
      <c r="B10414" s="6" t="s">
        <v>776</v>
      </c>
      <c r="C10414" s="5" t="s">
        <v>20598</v>
      </c>
      <c r="D10414" s="5" t="s">
        <v>20647</v>
      </c>
      <c r="E10414" s="2">
        <v>1690019</v>
      </c>
      <c r="F10414" s="4" t="str">
        <f>IF(B10414=B10413,"",B10414)</f>
        <v/>
      </c>
    </row>
    <row r="10415" spans="1:6" ht="15.75" customHeight="1">
      <c r="A10415" s="5" t="s">
        <v>775</v>
      </c>
      <c r="B10415" s="6" t="s">
        <v>776</v>
      </c>
      <c r="C10415" s="5" t="s">
        <v>27788</v>
      </c>
      <c r="D10415" s="5" t="s">
        <v>27801</v>
      </c>
      <c r="E10415" s="2">
        <v>5391959</v>
      </c>
      <c r="F10415" s="4" t="str">
        <f>IF(B10415=B10414,"",B10415)</f>
        <v/>
      </c>
    </row>
    <row r="10416" spans="1:6" ht="15.75" customHeight="1">
      <c r="A10416" s="5" t="str">
        <f ca="1">IFERROR(__xludf.DUMMYFUNCTION("GOOGLETRANSLATE(B23275,""en"",""pt"")"),"São Francisco")</f>
        <v>São Francisco</v>
      </c>
      <c r="B10416" s="17" t="s">
        <v>776</v>
      </c>
      <c r="C10416" s="17" t="s">
        <v>558</v>
      </c>
      <c r="D10416" s="17" t="s">
        <v>573</v>
      </c>
      <c r="E10416" s="10">
        <v>3837675</v>
      </c>
      <c r="F10416" s="4" t="str">
        <f>IF(B10416=B10415,"",B10416)</f>
        <v/>
      </c>
    </row>
    <row r="10417" spans="1:6" ht="15.75" customHeight="1">
      <c r="A10417" s="5" t="str">
        <f ca="1">IFERROR(__xludf.DUMMYFUNCTION("GOOGLETRANSLATE(B27076,""en"",""pt"")"),"São Francisco")</f>
        <v>São Francisco</v>
      </c>
      <c r="B10417" s="17" t="s">
        <v>776</v>
      </c>
      <c r="C10417" s="17" t="s">
        <v>5665</v>
      </c>
      <c r="D10417" s="17" t="s">
        <v>5683</v>
      </c>
      <c r="E10417" s="10">
        <v>3621911</v>
      </c>
      <c r="F10417" s="4" t="str">
        <f>IF(B10417=B10416,"",B10417)</f>
        <v/>
      </c>
    </row>
    <row r="10418" spans="1:6" ht="15.75" customHeight="1">
      <c r="A10418" s="5" t="str">
        <f ca="1">IFERROR(__xludf.DUMMYFUNCTION("GOOGLETRANSLATE(B38514,""en"",""pt"")"),"São Francisco")</f>
        <v>São Francisco</v>
      </c>
      <c r="B10418" s="17" t="s">
        <v>776</v>
      </c>
      <c r="C10418" s="17" t="s">
        <v>20598</v>
      </c>
      <c r="D10418" s="17" t="s">
        <v>20599</v>
      </c>
      <c r="E10418" s="10">
        <v>1689973</v>
      </c>
      <c r="F10418" s="4" t="str">
        <f>IF(B10418=B10417,"",B10418)</f>
        <v/>
      </c>
    </row>
    <row r="10419" spans="1:6" ht="15.75" customHeight="1">
      <c r="A10419" s="5" t="str">
        <f ca="1">IFERROR(__xludf.DUMMYFUNCTION("GOOGLETRANSLATE(B38516,""en"",""pt"")"),"São Francisco")</f>
        <v>São Francisco</v>
      </c>
      <c r="B10419" s="17" t="s">
        <v>776</v>
      </c>
      <c r="C10419" s="17" t="s">
        <v>20598</v>
      </c>
      <c r="D10419" s="17" t="s">
        <v>20647</v>
      </c>
      <c r="E10419" s="10">
        <v>1690019</v>
      </c>
      <c r="F10419" s="4" t="str">
        <f>IF(B10419=B10418,"",B10419)</f>
        <v/>
      </c>
    </row>
    <row r="10420" spans="1:6" ht="15.75" customHeight="1">
      <c r="A10420" s="5" t="str">
        <f ca="1">IFERROR(__xludf.DUMMYFUNCTION("GOOGLETRANSLATE(B41369,""en"",""pt"")"),"São Francisco")</f>
        <v>São Francisco</v>
      </c>
      <c r="B10420" s="17" t="s">
        <v>776</v>
      </c>
      <c r="C10420" s="17" t="s">
        <v>6727</v>
      </c>
      <c r="D10420" s="17" t="s">
        <v>35718</v>
      </c>
      <c r="E10420" s="10">
        <v>3583747</v>
      </c>
      <c r="F10420" s="4" t="str">
        <f>IF(B10420=B10419,"",B10420)</f>
        <v/>
      </c>
    </row>
    <row r="10421" spans="1:6" ht="15.75" customHeight="1">
      <c r="A10421" s="5" t="str">
        <f ca="1">IFERROR(__xludf.DUMMYFUNCTION("GOOGLETRANSLATE(B45005,""en"",""pt"")"),"São Francisco")</f>
        <v>São Francisco</v>
      </c>
      <c r="B10421" s="17" t="s">
        <v>776</v>
      </c>
      <c r="C10421" s="17" t="s">
        <v>27788</v>
      </c>
      <c r="D10421" s="17" t="s">
        <v>27801</v>
      </c>
      <c r="E10421" s="10">
        <v>5391959</v>
      </c>
      <c r="F10421" s="4" t="str">
        <f>IF(B10421=B10420,"",B10421)</f>
        <v/>
      </c>
    </row>
    <row r="10422" spans="1:6" ht="15.75" customHeight="1">
      <c r="A10422" s="5" t="s">
        <v>773</v>
      </c>
      <c r="B10422" s="6" t="s">
        <v>773</v>
      </c>
      <c r="C10422" s="5" t="s">
        <v>558</v>
      </c>
      <c r="D10422" s="5" t="s">
        <v>774</v>
      </c>
      <c r="E10422" s="2">
        <v>3837702</v>
      </c>
      <c r="F10422" s="4" t="str">
        <f>IF(B10422=B10421,"",B10422)</f>
        <v>San Fernando del Valle de Catamarca</v>
      </c>
    </row>
    <row r="10423" spans="1:6" ht="15.75" customHeight="1">
      <c r="A10423" s="5" t="str">
        <f ca="1">IFERROR(__xludf.DUMMYFUNCTION("GOOGLETRANSLATE(B23276,""en"",""pt"")"),"San Fernando del Valle de Catamarca")</f>
        <v>San Fernando del Valle de Catamarca</v>
      </c>
      <c r="B10423" s="17" t="s">
        <v>773</v>
      </c>
      <c r="C10423" s="17" t="s">
        <v>558</v>
      </c>
      <c r="D10423" s="17" t="s">
        <v>774</v>
      </c>
      <c r="E10423" s="10">
        <v>3837702</v>
      </c>
      <c r="F10423" s="4" t="str">
        <f>IF(B10423=B10422,"",B10423)</f>
        <v/>
      </c>
    </row>
    <row r="10424" spans="1:6" ht="15.75" customHeight="1">
      <c r="A10424" s="5" t="s">
        <v>6357</v>
      </c>
      <c r="B10424" s="6" t="s">
        <v>6357</v>
      </c>
      <c r="C10424" s="5" t="s">
        <v>6303</v>
      </c>
      <c r="D10424" s="5" t="s">
        <v>6358</v>
      </c>
      <c r="E10424" s="2">
        <v>3493174</v>
      </c>
      <c r="F10424" s="4" t="str">
        <f>IF(B10424=B10423,"",B10424)</f>
        <v>San Fernando de Monte Cristi</v>
      </c>
    </row>
    <row r="10425" spans="1:6" ht="15.75" customHeight="1">
      <c r="A10425" s="5" t="str">
        <f ca="1">IFERROR(__xludf.DUMMYFUNCTION("GOOGLETRANSLATE(B28466,""en"",""pt"")"),"San Fernando de Monte Cristi")</f>
        <v>San Fernando de Monte Cristi</v>
      </c>
      <c r="B10425" s="17" t="s">
        <v>6357</v>
      </c>
      <c r="C10425" s="17" t="s">
        <v>6303</v>
      </c>
      <c r="D10425" s="17" t="s">
        <v>6358</v>
      </c>
      <c r="E10425" s="10">
        <v>3493174</v>
      </c>
      <c r="F10425" s="4" t="str">
        <f>IF(B10425=B10424,"",B10425)</f>
        <v/>
      </c>
    </row>
    <row r="10426" spans="1:6" ht="15.75" customHeight="1">
      <c r="A10426" s="5" t="s">
        <v>24758</v>
      </c>
      <c r="B10426" s="6" t="s">
        <v>24758</v>
      </c>
      <c r="C10426" s="5" t="s">
        <v>24200</v>
      </c>
      <c r="D10426" s="5" t="s">
        <v>5513</v>
      </c>
      <c r="E10426" s="2">
        <v>3110627</v>
      </c>
      <c r="F10426" s="4" t="str">
        <f>IF(B10426=B10425,"",B10426)</f>
        <v>San Fernando de Henares</v>
      </c>
    </row>
    <row r="10427" spans="1:6" ht="15.75" customHeight="1">
      <c r="A10427" s="5" t="str">
        <f ca="1">IFERROR(__xludf.DUMMYFUNCTION("GOOGLETRANSLATE(B29295,""en"",""pt"")"),"San Fernando de Henares")</f>
        <v>San Fernando de Henares</v>
      </c>
      <c r="B10427" s="17" t="s">
        <v>24758</v>
      </c>
      <c r="C10427" s="17" t="s">
        <v>24200</v>
      </c>
      <c r="D10427" s="17" t="s">
        <v>5513</v>
      </c>
      <c r="E10427" s="10">
        <v>3110627</v>
      </c>
      <c r="F10427" s="4" t="str">
        <f>IF(B10427=B10426,"",B10427)</f>
        <v/>
      </c>
    </row>
    <row r="10428" spans="1:6" ht="15.75" customHeight="1">
      <c r="A10428" s="5" t="s">
        <v>30753</v>
      </c>
      <c r="B10428" s="6" t="s">
        <v>30754</v>
      </c>
      <c r="C10428" s="5" t="s">
        <v>5923</v>
      </c>
      <c r="D10428" s="5" t="s">
        <v>30700</v>
      </c>
      <c r="E10428" s="2">
        <v>3805673</v>
      </c>
      <c r="F10428" s="4" t="str">
        <f>IF(B10428=B10427,"",B10428)</f>
        <v>San Fernando de Apure</v>
      </c>
    </row>
    <row r="10429" spans="1:6" ht="15.75" customHeight="1">
      <c r="A10429" s="5" t="str">
        <f ca="1">IFERROR(__xludf.DUMMYFUNCTION("GOOGLETRANSLATE(B45704,""en"",""pt"")"),"San Fernando de apure")</f>
        <v>San Fernando de apure</v>
      </c>
      <c r="B10429" s="17" t="s">
        <v>30754</v>
      </c>
      <c r="C10429" s="17" t="s">
        <v>5923</v>
      </c>
      <c r="D10429" s="17" t="s">
        <v>30700</v>
      </c>
      <c r="E10429" s="10">
        <v>3805673</v>
      </c>
      <c r="F10429" s="4" t="str">
        <f>IF(B10429=B10428,"",B10429)</f>
        <v/>
      </c>
    </row>
    <row r="10430" spans="1:6" ht="15.75" customHeight="1">
      <c r="A10430" s="5" t="s">
        <v>18213</v>
      </c>
      <c r="B10430" s="6" t="s">
        <v>18213</v>
      </c>
      <c r="C10430" s="5" t="s">
        <v>17707</v>
      </c>
      <c r="D10430" s="5" t="s">
        <v>17740</v>
      </c>
      <c r="E10430" s="2">
        <v>3483197</v>
      </c>
      <c r="F10430" s="4" t="str">
        <f>IF(B10430=B10429,"",B10430)</f>
        <v>San Fernando</v>
      </c>
    </row>
    <row r="10431" spans="1:6" ht="15.75" customHeight="1">
      <c r="A10431" s="5" t="s">
        <v>18213</v>
      </c>
      <c r="B10431" s="6" t="s">
        <v>18213</v>
      </c>
      <c r="C10431" s="5" t="s">
        <v>20598</v>
      </c>
      <c r="D10431" s="5" t="s">
        <v>20603</v>
      </c>
      <c r="E10431" s="2">
        <v>1690033</v>
      </c>
      <c r="F10431" s="4" t="str">
        <f>IF(B10431=B10430,"",B10431)</f>
        <v/>
      </c>
    </row>
    <row r="10432" spans="1:6" ht="15.75" customHeight="1">
      <c r="A10432" s="5" t="s">
        <v>18213</v>
      </c>
      <c r="B10432" s="6" t="s">
        <v>18213</v>
      </c>
      <c r="C10432" s="5" t="s">
        <v>20598</v>
      </c>
      <c r="D10432" s="5" t="s">
        <v>20599</v>
      </c>
      <c r="E10432" s="2">
        <v>1690039</v>
      </c>
      <c r="F10432" s="4" t="str">
        <f>IF(B10432=B10431,"",B10432)</f>
        <v/>
      </c>
    </row>
    <row r="10433" spans="1:6" ht="15.75" customHeight="1">
      <c r="A10433" s="5" t="s">
        <v>18213</v>
      </c>
      <c r="B10433" s="6" t="s">
        <v>18213</v>
      </c>
      <c r="C10433" s="5" t="s">
        <v>20598</v>
      </c>
      <c r="D10433" s="5" t="s">
        <v>20622</v>
      </c>
      <c r="E10433" s="2">
        <v>1690060</v>
      </c>
      <c r="F10433" s="4" t="str">
        <f>IF(B10433=B10432,"",B10433)</f>
        <v/>
      </c>
    </row>
    <row r="10434" spans="1:6" ht="15.75" customHeight="1">
      <c r="A10434" s="5" t="s">
        <v>18213</v>
      </c>
      <c r="B10434" s="6" t="s">
        <v>18213</v>
      </c>
      <c r="C10434" s="5" t="s">
        <v>24200</v>
      </c>
      <c r="D10434" s="5" t="s">
        <v>24205</v>
      </c>
      <c r="E10434" s="2">
        <v>2511388</v>
      </c>
      <c r="F10434" s="4" t="str">
        <f>IF(B10434=B10433,"",B10434)</f>
        <v/>
      </c>
    </row>
    <row r="10435" spans="1:6" ht="15.75" customHeight="1">
      <c r="A10435" s="5" t="s">
        <v>18213</v>
      </c>
      <c r="B10435" s="6" t="s">
        <v>18213</v>
      </c>
      <c r="C10435" s="5" t="s">
        <v>26070</v>
      </c>
      <c r="D10435" s="5" t="s">
        <v>26076</v>
      </c>
      <c r="E10435" s="2">
        <v>3573738</v>
      </c>
      <c r="F10435" s="4" t="str">
        <f>IF(B10435=B10434,"",B10435)</f>
        <v/>
      </c>
    </row>
    <row r="10436" spans="1:6" ht="15.75" customHeight="1">
      <c r="A10436" s="5" t="s">
        <v>18213</v>
      </c>
      <c r="B10436" s="6" t="s">
        <v>18213</v>
      </c>
      <c r="C10436" s="5" t="s">
        <v>27788</v>
      </c>
      <c r="D10436" s="5" t="s">
        <v>27801</v>
      </c>
      <c r="E10436" s="2">
        <v>5391945</v>
      </c>
      <c r="F10436" s="4" t="str">
        <f>IF(B10436=B10435,"",B10436)</f>
        <v/>
      </c>
    </row>
    <row r="10437" spans="1:6" ht="15.75" customHeight="1">
      <c r="A10437" s="5" t="str">
        <f ca="1">IFERROR(__xludf.DUMMYFUNCTION("GOOGLETRANSLATE(B29002,""en"",""pt"")"),"San Fernando")</f>
        <v>San Fernando</v>
      </c>
      <c r="B10437" s="17" t="s">
        <v>18213</v>
      </c>
      <c r="C10437" s="17" t="s">
        <v>24200</v>
      </c>
      <c r="D10437" s="17" t="s">
        <v>24205</v>
      </c>
      <c r="E10437" s="10">
        <v>2511388</v>
      </c>
      <c r="F10437" s="4" t="str">
        <f>IF(B10437=B10436,"",B10437)</f>
        <v/>
      </c>
    </row>
    <row r="10438" spans="1:6" ht="15.75" customHeight="1">
      <c r="A10438" s="5" t="str">
        <f ca="1">IFERROR(__xludf.DUMMYFUNCTION("GOOGLETRANSLATE(B36842,""en"",""pt"")"),"San Fernando")</f>
        <v>San Fernando</v>
      </c>
      <c r="B10438" s="17" t="s">
        <v>18213</v>
      </c>
      <c r="C10438" s="17" t="s">
        <v>17707</v>
      </c>
      <c r="D10438" s="17" t="s">
        <v>17740</v>
      </c>
      <c r="E10438" s="10">
        <v>3483197</v>
      </c>
      <c r="F10438" s="4" t="str">
        <f>IF(B10438=B10437,"",B10438)</f>
        <v/>
      </c>
    </row>
    <row r="10439" spans="1:6" ht="15.75" customHeight="1">
      <c r="A10439" s="5" t="str">
        <f ca="1">IFERROR(__xludf.DUMMYFUNCTION("GOOGLETRANSLATE(B38517,""en"",""pt"")"),"San Fernando")</f>
        <v>San Fernando</v>
      </c>
      <c r="B10439" s="17" t="s">
        <v>18213</v>
      </c>
      <c r="C10439" s="17" t="s">
        <v>20598</v>
      </c>
      <c r="D10439" s="17" t="s">
        <v>20603</v>
      </c>
      <c r="E10439" s="10">
        <v>1690033</v>
      </c>
      <c r="F10439" s="4" t="str">
        <f>IF(B10439=B10438,"",B10439)</f>
        <v/>
      </c>
    </row>
    <row r="10440" spans="1:6" ht="15.75" customHeight="1">
      <c r="A10440" s="5" t="str">
        <f ca="1">IFERROR(__xludf.DUMMYFUNCTION("GOOGLETRANSLATE(B38518,""en"",""pt"")"),"San Fernando")</f>
        <v>San Fernando</v>
      </c>
      <c r="B10440" s="17" t="s">
        <v>18213</v>
      </c>
      <c r="C10440" s="17" t="s">
        <v>20598</v>
      </c>
      <c r="D10440" s="17" t="s">
        <v>20599</v>
      </c>
      <c r="E10440" s="10">
        <v>1690039</v>
      </c>
      <c r="F10440" s="4" t="str">
        <f>IF(B10440=B10439,"",B10440)</f>
        <v/>
      </c>
    </row>
    <row r="10441" spans="1:6" ht="15.75" customHeight="1">
      <c r="A10441" s="5" t="str">
        <f ca="1">IFERROR(__xludf.DUMMYFUNCTION("GOOGLETRANSLATE(B38519,""en"",""pt"")"),"San Fernando")</f>
        <v>San Fernando</v>
      </c>
      <c r="B10441" s="17" t="s">
        <v>18213</v>
      </c>
      <c r="C10441" s="17" t="s">
        <v>20598</v>
      </c>
      <c r="D10441" s="17" t="s">
        <v>20622</v>
      </c>
      <c r="E10441" s="10">
        <v>1690060</v>
      </c>
      <c r="F10441" s="4" t="str">
        <f>IF(B10441=B10440,"",B10441)</f>
        <v/>
      </c>
    </row>
    <row r="10442" spans="1:6" ht="15.75" customHeight="1">
      <c r="A10442" s="5" t="str">
        <f ca="1">IFERROR(__xludf.DUMMYFUNCTION("GOOGLETRANSLATE(B42249,""en"",""pt"")"),"San Fernando")</f>
        <v>San Fernando</v>
      </c>
      <c r="B10442" s="17" t="s">
        <v>18213</v>
      </c>
      <c r="C10442" s="17" t="s">
        <v>26070</v>
      </c>
      <c r="D10442" s="17" t="s">
        <v>26076</v>
      </c>
      <c r="E10442" s="10">
        <v>3573738</v>
      </c>
      <c r="F10442" s="4" t="str">
        <f>IF(B10442=B10441,"",B10442)</f>
        <v/>
      </c>
    </row>
    <row r="10443" spans="1:6" ht="15.75" customHeight="1">
      <c r="A10443" s="5" t="str">
        <f ca="1">IFERROR(__xludf.DUMMYFUNCTION("GOOGLETRANSLATE(B45004,""en"",""pt"")"),"San Fernando")</f>
        <v>San Fernando</v>
      </c>
      <c r="B10443" s="17" t="s">
        <v>18213</v>
      </c>
      <c r="C10443" s="17" t="s">
        <v>27788</v>
      </c>
      <c r="D10443" s="17" t="s">
        <v>27801</v>
      </c>
      <c r="E10443" s="10">
        <v>5391945</v>
      </c>
      <c r="F10443" s="4" t="str">
        <f>IF(B10443=B10442,"",B10443)</f>
        <v/>
      </c>
    </row>
    <row r="10444" spans="1:6" ht="15.75" customHeight="1">
      <c r="A10444" s="5" t="s">
        <v>4470</v>
      </c>
      <c r="B10444" s="6" t="s">
        <v>4470</v>
      </c>
      <c r="C10444" s="5" t="s">
        <v>4355</v>
      </c>
      <c r="D10444" s="5" t="s">
        <v>3642</v>
      </c>
      <c r="E10444" s="2">
        <v>3872255</v>
      </c>
      <c r="F10444" s="4" t="str">
        <f>IF(B10444=B10443,"",B10444)</f>
        <v>San Felipe</v>
      </c>
    </row>
    <row r="10445" spans="1:6" ht="15.75" customHeight="1">
      <c r="A10445" s="5" t="s">
        <v>4470</v>
      </c>
      <c r="B10445" s="6" t="s">
        <v>4470</v>
      </c>
      <c r="C10445" s="5" t="s">
        <v>5665</v>
      </c>
      <c r="D10445" s="5" t="s">
        <v>5668</v>
      </c>
      <c r="E10445" s="2">
        <v>3621922</v>
      </c>
      <c r="F10445" s="4" t="str">
        <f>IF(B10445=B10444,"",B10445)</f>
        <v/>
      </c>
    </row>
    <row r="10446" spans="1:6" ht="15.75" customHeight="1">
      <c r="A10446" s="5" t="s">
        <v>4470</v>
      </c>
      <c r="B10446" s="6" t="s">
        <v>4470</v>
      </c>
      <c r="C10446" s="5" t="s">
        <v>17707</v>
      </c>
      <c r="D10446" s="5" t="s">
        <v>17932</v>
      </c>
      <c r="E10446" s="2">
        <v>3987224</v>
      </c>
      <c r="F10446" s="4" t="str">
        <f>IF(B10446=B10445,"",B10446)</f>
        <v/>
      </c>
    </row>
    <row r="10447" spans="1:6" ht="15.75" customHeight="1">
      <c r="A10447" s="5" t="s">
        <v>4470</v>
      </c>
      <c r="B10447" s="6" t="s">
        <v>4470</v>
      </c>
      <c r="C10447" s="5" t="s">
        <v>17707</v>
      </c>
      <c r="D10447" s="5" t="s">
        <v>17713</v>
      </c>
      <c r="E10447" s="2">
        <v>3987246</v>
      </c>
      <c r="F10447" s="4" t="str">
        <f>IF(B10447=B10446,"",B10447)</f>
        <v/>
      </c>
    </row>
    <row r="10448" spans="1:6" ht="15.75" customHeight="1">
      <c r="A10448" s="5" t="s">
        <v>4470</v>
      </c>
      <c r="B10448" s="6" t="s">
        <v>4470</v>
      </c>
      <c r="C10448" s="5" t="s">
        <v>5923</v>
      </c>
      <c r="D10448" s="5" t="s">
        <v>30676</v>
      </c>
      <c r="E10448" s="2">
        <v>3628423</v>
      </c>
      <c r="F10448" s="4" t="str">
        <f>IF(B10448=B10447,"",B10448)</f>
        <v/>
      </c>
    </row>
    <row r="10449" spans="1:6" ht="15.75" customHeight="1">
      <c r="A10449" s="5" t="str">
        <f ca="1">IFERROR(__xludf.DUMMYFUNCTION("GOOGLETRANSLATE(B25901,""en"",""pt"")"),"San Felipe")</f>
        <v>San Felipe</v>
      </c>
      <c r="B10449" s="17" t="s">
        <v>4470</v>
      </c>
      <c r="C10449" s="17" t="s">
        <v>4355</v>
      </c>
      <c r="D10449" s="17" t="s">
        <v>30263</v>
      </c>
      <c r="E10449" s="10">
        <v>3872255</v>
      </c>
      <c r="F10449" s="4" t="str">
        <f>IF(B10449=B10448,"",B10449)</f>
        <v/>
      </c>
    </row>
    <row r="10450" spans="1:6" ht="15.75" customHeight="1">
      <c r="A10450" s="5" t="str">
        <f ca="1">IFERROR(__xludf.DUMMYFUNCTION("GOOGLETRANSLATE(B27077,""en"",""pt"")"),"San Felipe")</f>
        <v>San Felipe</v>
      </c>
      <c r="B10450" s="17" t="s">
        <v>4470</v>
      </c>
      <c r="C10450" s="17" t="s">
        <v>5665</v>
      </c>
      <c r="D10450" s="17" t="s">
        <v>5697</v>
      </c>
      <c r="E10450" s="10">
        <v>3621922</v>
      </c>
      <c r="F10450" s="4" t="str">
        <f>IF(B10450=B10449,"",B10450)</f>
        <v/>
      </c>
    </row>
    <row r="10451" spans="1:6" ht="15.75" customHeight="1">
      <c r="A10451" s="5" t="str">
        <f ca="1">IFERROR(__xludf.DUMMYFUNCTION("GOOGLETRANSLATE(B37203,""en"",""pt"")"),"San Felipe")</f>
        <v>San Felipe</v>
      </c>
      <c r="B10451" s="17" t="s">
        <v>4470</v>
      </c>
      <c r="C10451" s="17" t="s">
        <v>17707</v>
      </c>
      <c r="D10451" s="17" t="s">
        <v>17932</v>
      </c>
      <c r="E10451" s="10">
        <v>3987224</v>
      </c>
      <c r="F10451" s="4" t="str">
        <f>IF(B10451=B10450,"",B10451)</f>
        <v/>
      </c>
    </row>
    <row r="10452" spans="1:6" ht="15.75" customHeight="1">
      <c r="A10452" s="5" t="str">
        <f ca="1">IFERROR(__xludf.DUMMYFUNCTION("GOOGLETRANSLATE(B37204,""en"",""pt"")"),"San Felipe")</f>
        <v>San Felipe</v>
      </c>
      <c r="B10452" s="17" t="s">
        <v>4470</v>
      </c>
      <c r="C10452" s="17" t="s">
        <v>17707</v>
      </c>
      <c r="D10452" s="17" t="s">
        <v>17713</v>
      </c>
      <c r="E10452" s="10">
        <v>3987246</v>
      </c>
      <c r="F10452" s="4" t="str">
        <f>IF(B10452=B10451,"",B10452)</f>
        <v/>
      </c>
    </row>
    <row r="10453" spans="1:6" ht="15.75" customHeight="1">
      <c r="A10453" s="5" t="str">
        <f ca="1">IFERROR(__xludf.DUMMYFUNCTION("GOOGLETRANSLATE(B45623,""en"",""pt"")"),"San Felipe")</f>
        <v>San Felipe</v>
      </c>
      <c r="B10453" s="17" t="s">
        <v>4470</v>
      </c>
      <c r="C10453" s="17" t="s">
        <v>5923</v>
      </c>
      <c r="D10453" s="17" t="s">
        <v>30676</v>
      </c>
      <c r="E10453" s="10">
        <v>3628423</v>
      </c>
      <c r="F10453" s="4" t="str">
        <f>IF(B10453=B10452,"",B10453)</f>
        <v/>
      </c>
    </row>
    <row r="10454" spans="1:6" ht="15.75" customHeight="1">
      <c r="A10454" s="5" t="s">
        <v>15438</v>
      </c>
      <c r="B10454" s="6" t="s">
        <v>15438</v>
      </c>
      <c r="C10454" s="5" t="s">
        <v>14891</v>
      </c>
      <c r="D10454" s="5" t="s">
        <v>14896</v>
      </c>
      <c r="E10454" s="2">
        <v>6534252</v>
      </c>
      <c r="F10454" s="4" t="str">
        <f>IF(B10454=B10453,"",B10454)</f>
        <v>San Felice A Cancello</v>
      </c>
    </row>
    <row r="10455" spans="1:6" ht="15.75" customHeight="1">
      <c r="A10455" s="5" t="str">
        <f ca="1">IFERROR(__xludf.DUMMYFUNCTION("GOOGLETRANSLATE(B35090,""en"",""pt"")"),"San Felice A Cancello")</f>
        <v>San Felice A Cancello</v>
      </c>
      <c r="B10455" s="17" t="s">
        <v>15438</v>
      </c>
      <c r="C10455" s="17" t="s">
        <v>14891</v>
      </c>
      <c r="D10455" s="17" t="s">
        <v>14896</v>
      </c>
      <c r="E10455" s="10">
        <v>6534252</v>
      </c>
      <c r="F10455" s="4" t="str">
        <f>IF(B10455=B10454,"",B10455)</f>
        <v/>
      </c>
    </row>
    <row r="10456" spans="1:6" ht="15.75" customHeight="1">
      <c r="A10456" s="5" t="s">
        <v>15436</v>
      </c>
      <c r="B10456" s="6" t="s">
        <v>15437</v>
      </c>
      <c r="C10456" s="5" t="s">
        <v>14891</v>
      </c>
      <c r="D10456" s="5" t="s">
        <v>14894</v>
      </c>
      <c r="E10456" s="2">
        <v>3168414</v>
      </c>
      <c r="F10456" s="4" t="str">
        <f>IF(B10456=B10455,"",B10456)</f>
        <v>San Donato Milanese</v>
      </c>
    </row>
    <row r="10457" spans="1:6" ht="15.75" customHeight="1">
      <c r="A10457" s="5" t="str">
        <f ca="1">IFERROR(__xludf.DUMMYFUNCTION("GOOGLETRANSLATE(B34725,""en"",""pt"")"),"San Donato Milanês")</f>
        <v>San Donato Milanês</v>
      </c>
      <c r="B10457" s="17" t="s">
        <v>15437</v>
      </c>
      <c r="C10457" s="17" t="s">
        <v>14891</v>
      </c>
      <c r="D10457" s="17" t="s">
        <v>14894</v>
      </c>
      <c r="E10457" s="10">
        <v>3168414</v>
      </c>
      <c r="F10457" s="4" t="str">
        <f>IF(B10457=B10456,"",B10457)</f>
        <v/>
      </c>
    </row>
    <row r="10458" spans="1:6" ht="15.75" customHeight="1">
      <c r="A10458" s="5" t="s">
        <v>15434</v>
      </c>
      <c r="B10458" s="6" t="s">
        <v>15435</v>
      </c>
      <c r="C10458" s="5" t="s">
        <v>14891</v>
      </c>
      <c r="D10458" s="5" t="s">
        <v>14892</v>
      </c>
      <c r="E10458" s="2">
        <v>3168429</v>
      </c>
      <c r="F10458" s="4" t="str">
        <f>IF(B10458=B10457,"",B10458)</f>
        <v>San DonÃ  di Piave</v>
      </c>
    </row>
    <row r="10459" spans="1:6" ht="15.75" customHeight="1">
      <c r="A10459" s="5" t="str">
        <f ca="1">IFERROR(__xludf.DUMMYFUNCTION("GOOGLETRANSLATE(B34726,""en"",""pt"")"),"San Donà di Piave")</f>
        <v>San Donà di Piave</v>
      </c>
      <c r="B10459" s="17" t="s">
        <v>34268</v>
      </c>
      <c r="C10459" s="17" t="s">
        <v>14891</v>
      </c>
      <c r="D10459" s="17" t="s">
        <v>14892</v>
      </c>
      <c r="E10459" s="10">
        <v>3168429</v>
      </c>
      <c r="F10459" s="4" t="str">
        <f>IF(B10459=B10458,"",B10459)</f>
        <v>San Donà di Piave</v>
      </c>
    </row>
    <row r="10460" spans="1:6" ht="15.75" customHeight="1">
      <c r="A10460" s="5" t="s">
        <v>29893</v>
      </c>
      <c r="B10460" s="6" t="s">
        <v>29893</v>
      </c>
      <c r="C10460" s="5" t="s">
        <v>27788</v>
      </c>
      <c r="D10460" s="5" t="s">
        <v>27801</v>
      </c>
      <c r="E10460" s="2">
        <v>5391891</v>
      </c>
      <c r="F10460" s="4" t="str">
        <f>IF(B10460=B10459,"",B10460)</f>
        <v>San Dimas</v>
      </c>
    </row>
    <row r="10461" spans="1:6" ht="15.75" customHeight="1">
      <c r="A10461" s="5" t="str">
        <f ca="1">IFERROR(__xludf.DUMMYFUNCTION("GOOGLETRANSLATE(B45003,""en"",""pt"")"),"San Dimas")</f>
        <v>San Dimas</v>
      </c>
      <c r="B10461" s="17" t="s">
        <v>29893</v>
      </c>
      <c r="C10461" s="17" t="s">
        <v>27788</v>
      </c>
      <c r="D10461" s="17" t="s">
        <v>27801</v>
      </c>
      <c r="E10461" s="10">
        <v>5391891</v>
      </c>
      <c r="F10461" s="4" t="str">
        <f>IF(B10461=B10460,"",B10461)</f>
        <v/>
      </c>
    </row>
    <row r="10462" spans="1:6" ht="15.75" customHeight="1">
      <c r="A10462" s="5" t="s">
        <v>5696</v>
      </c>
      <c r="B10462" s="6" t="s">
        <v>5696</v>
      </c>
      <c r="C10462" s="5" t="s">
        <v>5665</v>
      </c>
      <c r="D10462" s="5" t="s">
        <v>5414</v>
      </c>
      <c r="E10462" s="2">
        <v>3621926</v>
      </c>
      <c r="F10462" s="4" t="str">
        <f>IF(B10462=B10461,"",B10462)</f>
        <v>San Diego</v>
      </c>
    </row>
    <row r="10463" spans="1:6" ht="15.75" customHeight="1">
      <c r="A10463" s="5" t="s">
        <v>5696</v>
      </c>
      <c r="B10463" s="6" t="s">
        <v>5696</v>
      </c>
      <c r="C10463" s="5" t="s">
        <v>27788</v>
      </c>
      <c r="D10463" s="5" t="s">
        <v>27801</v>
      </c>
      <c r="E10463" s="2">
        <v>5391811</v>
      </c>
      <c r="F10463" s="4" t="str">
        <f>IF(B10463=B10462,"",B10463)</f>
        <v/>
      </c>
    </row>
    <row r="10464" spans="1:6" ht="15.75" customHeight="1">
      <c r="A10464" s="5" t="str">
        <f ca="1">IFERROR(__xludf.DUMMYFUNCTION("GOOGLETRANSLATE(B27078,""en"",""pt"")"),"San Diego")</f>
        <v>San Diego</v>
      </c>
      <c r="B10464" s="17" t="s">
        <v>5696</v>
      </c>
      <c r="C10464" s="17" t="s">
        <v>5665</v>
      </c>
      <c r="D10464" s="17" t="s">
        <v>5414</v>
      </c>
      <c r="E10464" s="10">
        <v>3621926</v>
      </c>
      <c r="F10464" s="4" t="str">
        <f>IF(B10464=B10463,"",B10464)</f>
        <v/>
      </c>
    </row>
    <row r="10465" spans="1:6" ht="15.75" customHeight="1">
      <c r="A10465" s="5" t="str">
        <f ca="1">IFERROR(__xludf.DUMMYFUNCTION("GOOGLETRANSLATE(B45002,""en"",""pt"")"),"San Diego")</f>
        <v>San Diego</v>
      </c>
      <c r="B10465" s="17" t="s">
        <v>5696</v>
      </c>
      <c r="C10465" s="17" t="s">
        <v>27788</v>
      </c>
      <c r="D10465" s="17" t="s">
        <v>27801</v>
      </c>
      <c r="E10465" s="10">
        <v>5391811</v>
      </c>
      <c r="F10465" s="4" t="str">
        <f>IF(B10465=B10464,"",B10465)</f>
        <v/>
      </c>
    </row>
    <row r="10466" spans="1:6" ht="15.75" customHeight="1">
      <c r="A10466" s="5" t="str">
        <f ca="1">IFERROR(__xludf.DUMMYFUNCTION("GOOGLETRANSLATE(B31085,""en"",""pt"")"),"San Cristóbal Verapaz")</f>
        <v>San Cristóbal Verapaz</v>
      </c>
      <c r="B10466" s="17" t="s">
        <v>32777</v>
      </c>
      <c r="C10466" s="17" t="s">
        <v>9700</v>
      </c>
      <c r="D10466" s="17" t="s">
        <v>9721</v>
      </c>
      <c r="E10466" s="10">
        <v>3590316</v>
      </c>
      <c r="F10466" s="4" t="str">
        <f>IF(B10466=B10465,"",B10466)</f>
        <v>San Cristóbal Verapaz</v>
      </c>
    </row>
    <row r="10467" spans="1:6" ht="15.75" customHeight="1">
      <c r="A10467" s="5" t="str">
        <f ca="1">IFERROR(__xludf.DUMMYFUNCTION("GOOGLETRANSLATE(B36934,""en"",""pt"")"),"San Cristóbal de Las Casas")</f>
        <v>San Cristóbal de Las Casas</v>
      </c>
      <c r="B10467" s="17" t="s">
        <v>34680</v>
      </c>
      <c r="C10467" s="17" t="s">
        <v>17707</v>
      </c>
      <c r="D10467" s="17" t="s">
        <v>17770</v>
      </c>
      <c r="E10467" s="10">
        <v>3519537</v>
      </c>
      <c r="F10467" s="4" t="str">
        <f>IF(B10467=B10466,"",B10467)</f>
        <v>San Cristóbal de las Casas</v>
      </c>
    </row>
    <row r="10468" spans="1:6" ht="15.75" customHeight="1">
      <c r="A10468" s="5" t="str">
        <f ca="1">IFERROR(__xludf.DUMMYFUNCTION("GOOGLETRANSLATE(B28492,""en"",""pt"")"),"San Cristóbal")</f>
        <v>San Cristóbal</v>
      </c>
      <c r="B10468" s="17" t="s">
        <v>32167</v>
      </c>
      <c r="C10468" s="17" t="s">
        <v>6303</v>
      </c>
      <c r="D10468" s="17" t="s">
        <v>32167</v>
      </c>
      <c r="E10468" s="10">
        <v>3511540</v>
      </c>
      <c r="F10468" s="4" t="str">
        <f>IF(B10468=B10467,"",B10468)</f>
        <v>San Cristóbal</v>
      </c>
    </row>
    <row r="10469" spans="1:6" ht="15.75" customHeight="1">
      <c r="A10469" s="5" t="str">
        <f ca="1">IFERROR(__xludf.DUMMYFUNCTION("GOOGLETRANSLATE(B45624,""en"",""pt"")"),"San Cristóbal")</f>
        <v>San Cristóbal</v>
      </c>
      <c r="B10469" s="17" t="s">
        <v>32167</v>
      </c>
      <c r="C10469" s="17" t="s">
        <v>5923</v>
      </c>
      <c r="D10469" s="17" t="s">
        <v>36084</v>
      </c>
      <c r="E10469" s="10">
        <v>3628473</v>
      </c>
      <c r="F10469" s="4" t="str">
        <f>IF(B10469=B10468,"",B10469)</f>
        <v/>
      </c>
    </row>
    <row r="10470" spans="1:6" ht="15.75" customHeight="1">
      <c r="A10470" s="5" t="s">
        <v>5904</v>
      </c>
      <c r="B10470" s="6" t="s">
        <v>5904</v>
      </c>
      <c r="C10470" s="5" t="s">
        <v>5764</v>
      </c>
      <c r="D10470" s="5" t="s">
        <v>5771</v>
      </c>
      <c r="E10470" s="2">
        <v>3540680</v>
      </c>
      <c r="F10470" s="4" t="str">
        <f>IF(B10470=B10469,"",B10470)</f>
        <v>San Cristobal</v>
      </c>
    </row>
    <row r="10471" spans="1:6" ht="15.75" customHeight="1">
      <c r="A10471" s="5" t="str">
        <f ca="1">IFERROR(__xludf.DUMMYFUNCTION("GOOGLETRANSLATE(B27122,""en"",""pt"")"),"San Cristobal")</f>
        <v>San Cristobal</v>
      </c>
      <c r="B10471" s="17" t="s">
        <v>5904</v>
      </c>
      <c r="C10471" s="17" t="s">
        <v>5764</v>
      </c>
      <c r="D10471" s="17" t="s">
        <v>5771</v>
      </c>
      <c r="E10471" s="10">
        <v>3540680</v>
      </c>
      <c r="F10471" s="4" t="str">
        <f>IF(B10471=B10470,"",B10471)</f>
        <v/>
      </c>
    </row>
    <row r="10472" spans="1:6" ht="15.75" customHeight="1">
      <c r="A10472" s="5" t="s">
        <v>9786</v>
      </c>
      <c r="B10472" s="6" t="s">
        <v>9787</v>
      </c>
      <c r="C10472" s="5" t="s">
        <v>9700</v>
      </c>
      <c r="D10472" s="5" t="s">
        <v>9721</v>
      </c>
      <c r="E10472" s="2">
        <v>3590316</v>
      </c>
      <c r="F10472" s="4" t="str">
        <f>IF(B10472=B10471,"",B10472)</f>
        <v>San CristÃ³bal Verapaz</v>
      </c>
    </row>
    <row r="10473" spans="1:6" ht="15.75" customHeight="1">
      <c r="A10473" s="5" t="s">
        <v>18211</v>
      </c>
      <c r="B10473" s="6" t="s">
        <v>18212</v>
      </c>
      <c r="C10473" s="5" t="s">
        <v>17707</v>
      </c>
      <c r="D10473" s="5" t="s">
        <v>17770</v>
      </c>
      <c r="E10473" s="2">
        <v>3519537</v>
      </c>
      <c r="F10473" s="4" t="str">
        <f>IF(B10473=B10472,"",B10473)</f>
        <v>San CristÃ³bal de las Casas</v>
      </c>
    </row>
    <row r="10474" spans="1:6" ht="15.75" customHeight="1">
      <c r="A10474" s="5" t="s">
        <v>6356</v>
      </c>
      <c r="B10474" s="6" t="s">
        <v>6305</v>
      </c>
      <c r="C10474" s="5" t="s">
        <v>6303</v>
      </c>
      <c r="D10474" s="5" t="s">
        <v>6305</v>
      </c>
      <c r="E10474" s="2">
        <v>3511540</v>
      </c>
      <c r="F10474" s="4" t="str">
        <f>IF(B10474=B10473,"",B10474)</f>
        <v>San CristÃ³bal</v>
      </c>
    </row>
    <row r="10475" spans="1:6" ht="15.75" customHeight="1">
      <c r="A10475" s="5" t="s">
        <v>6356</v>
      </c>
      <c r="B10475" s="6" t="s">
        <v>6305</v>
      </c>
      <c r="C10475" s="5" t="s">
        <v>5923</v>
      </c>
      <c r="D10475" s="5" t="s">
        <v>30711</v>
      </c>
      <c r="E10475" s="2">
        <v>3628473</v>
      </c>
      <c r="F10475" s="4" t="str">
        <f>IF(B10475=B10474,"",B10475)</f>
        <v/>
      </c>
    </row>
    <row r="10476" spans="1:6" ht="15.75" customHeight="1">
      <c r="A10476" s="5" t="s">
        <v>20570</v>
      </c>
      <c r="B10476" s="6" t="s">
        <v>20570</v>
      </c>
      <c r="C10476" s="5" t="s">
        <v>20470</v>
      </c>
      <c r="D10476" s="5" t="s">
        <v>20499</v>
      </c>
      <c r="E10476" s="2">
        <v>3929768</v>
      </c>
      <c r="F10476" s="4" t="str">
        <f>IF(B10476=B10475,"",B10476)</f>
        <v>San Clemente</v>
      </c>
    </row>
    <row r="10477" spans="1:6" ht="15.75" customHeight="1">
      <c r="A10477" s="5" t="s">
        <v>20570</v>
      </c>
      <c r="B10477" s="6" t="s">
        <v>20570</v>
      </c>
      <c r="C10477" s="5" t="s">
        <v>27788</v>
      </c>
      <c r="D10477" s="5" t="s">
        <v>27801</v>
      </c>
      <c r="E10477" s="2">
        <v>5391791</v>
      </c>
      <c r="F10477" s="4" t="str">
        <f>IF(B10477=B10476,"",B10477)</f>
        <v/>
      </c>
    </row>
    <row r="10478" spans="1:6" ht="15.75" customHeight="1">
      <c r="A10478" s="5" t="str">
        <f ca="1">IFERROR(__xludf.DUMMYFUNCTION("GOOGLETRANSLATE(B38365,""en"",""pt"")"),"San Clemente")</f>
        <v>San Clemente</v>
      </c>
      <c r="B10478" s="17" t="s">
        <v>20570</v>
      </c>
      <c r="C10478" s="17" t="s">
        <v>20470</v>
      </c>
      <c r="D10478" s="17" t="s">
        <v>20499</v>
      </c>
      <c r="E10478" s="10">
        <v>3929768</v>
      </c>
      <c r="F10478" s="4" t="str">
        <f>IF(B10478=B10477,"",B10478)</f>
        <v/>
      </c>
    </row>
    <row r="10479" spans="1:6" ht="15.75" customHeight="1">
      <c r="A10479" s="5" t="str">
        <f ca="1">IFERROR(__xludf.DUMMYFUNCTION("GOOGLETRANSLATE(B45001,""en"",""pt"")"),"San Clemente")</f>
        <v>San Clemente</v>
      </c>
      <c r="B10479" s="17" t="s">
        <v>20570</v>
      </c>
      <c r="C10479" s="17" t="s">
        <v>27788</v>
      </c>
      <c r="D10479" s="17" t="s">
        <v>27801</v>
      </c>
      <c r="E10479" s="10">
        <v>5391791</v>
      </c>
      <c r="F10479" s="4" t="str">
        <f>IF(B10479=B10478,"",B10479)</f>
        <v/>
      </c>
    </row>
    <row r="10480" spans="1:6" ht="15.75" customHeight="1">
      <c r="A10480" s="5" t="s">
        <v>15433</v>
      </c>
      <c r="B10480" s="6" t="s">
        <v>15433</v>
      </c>
      <c r="C10480" s="5" t="s">
        <v>14891</v>
      </c>
      <c r="D10480" s="5" t="s">
        <v>14899</v>
      </c>
      <c r="E10480" s="2">
        <v>2523513</v>
      </c>
      <c r="F10480" s="4" t="str">
        <f>IF(B10480=B10479,"",B10480)</f>
        <v>San Cataldo</v>
      </c>
    </row>
    <row r="10481" spans="1:6" ht="15.75" customHeight="1">
      <c r="A10481" s="5" t="str">
        <f ca="1">IFERROR(__xludf.DUMMYFUNCTION("GOOGLETRANSLATE(B34554,""en"",""pt"")"),"San Cataldo")</f>
        <v>San Cataldo</v>
      </c>
      <c r="B10481" s="17" t="s">
        <v>15433</v>
      </c>
      <c r="C10481" s="17" t="s">
        <v>14891</v>
      </c>
      <c r="D10481" s="17" t="s">
        <v>14899</v>
      </c>
      <c r="E10481" s="10">
        <v>2523513</v>
      </c>
      <c r="F10481" s="4" t="str">
        <f>IF(B10481=B10480,"",B10481)</f>
        <v/>
      </c>
    </row>
    <row r="10482" spans="1:6" ht="15.75" customHeight="1">
      <c r="A10482" s="5" t="s">
        <v>29891</v>
      </c>
      <c r="B10482" s="6" t="s">
        <v>29892</v>
      </c>
      <c r="C10482" s="5" t="s">
        <v>27788</v>
      </c>
      <c r="D10482" s="5" t="s">
        <v>5468</v>
      </c>
      <c r="E10482" s="2">
        <v>4171782</v>
      </c>
      <c r="F10482" s="4" t="str">
        <f>IF(B10482=B10481,"",B10482)</f>
        <v>San Carlos Park</v>
      </c>
    </row>
    <row r="10483" spans="1:6" ht="15.75" customHeight="1">
      <c r="A10483" s="5" t="str">
        <f ca="1">IFERROR(__xludf.DUMMYFUNCTION("GOOGLETRANSLATE(B43011,""en"",""pt"")"),"Parque San Carlos")</f>
        <v>Parque San Carlos</v>
      </c>
      <c r="B10483" s="17" t="s">
        <v>29892</v>
      </c>
      <c r="C10483" s="17" t="s">
        <v>27788</v>
      </c>
      <c r="D10483" s="17" t="s">
        <v>5468</v>
      </c>
      <c r="E10483" s="10">
        <v>4171782</v>
      </c>
      <c r="F10483" s="4" t="str">
        <f>IF(B10483=B10482,"",B10483)</f>
        <v/>
      </c>
    </row>
    <row r="10484" spans="1:6" ht="15.75" customHeight="1">
      <c r="A10484" s="5" t="s">
        <v>30752</v>
      </c>
      <c r="B10484" s="6" t="s">
        <v>30752</v>
      </c>
      <c r="C10484" s="5" t="s">
        <v>5923</v>
      </c>
      <c r="D10484" s="5" t="s">
        <v>30649</v>
      </c>
      <c r="E10484" s="2">
        <v>3628489</v>
      </c>
      <c r="F10484" s="4" t="str">
        <f>IF(B10484=B10483,"",B10484)</f>
        <v>San Carlos del Zulia</v>
      </c>
    </row>
    <row r="10485" spans="1:6" ht="15.75" customHeight="1">
      <c r="A10485" s="5" t="str">
        <f ca="1">IFERROR(__xludf.DUMMYFUNCTION("GOOGLETRANSLATE(B45625,""en"",""pt"")"),"San Carlos del Zulia")</f>
        <v>San Carlos del Zulia</v>
      </c>
      <c r="B10485" s="17" t="s">
        <v>30752</v>
      </c>
      <c r="C10485" s="17" t="s">
        <v>5923</v>
      </c>
      <c r="D10485" s="17" t="s">
        <v>30649</v>
      </c>
      <c r="E10485" s="10">
        <v>3628489</v>
      </c>
      <c r="F10485" s="4" t="str">
        <f>IF(B10485=B10484,"",B10485)</f>
        <v/>
      </c>
    </row>
    <row r="10486" spans="1:6" ht="15.75" customHeight="1">
      <c r="A10486" s="5" t="s">
        <v>772</v>
      </c>
      <c r="B10486" s="6" t="s">
        <v>772</v>
      </c>
      <c r="C10486" s="5" t="s">
        <v>558</v>
      </c>
      <c r="D10486" s="5" t="s">
        <v>571</v>
      </c>
      <c r="E10486" s="2">
        <v>7647007</v>
      </c>
      <c r="F10486" s="4" t="str">
        <f>IF(B10486=B10485,"",B10486)</f>
        <v>San Carlos de Bariloche</v>
      </c>
    </row>
    <row r="10487" spans="1:6" ht="15.75" customHeight="1">
      <c r="A10487" s="5" t="str">
        <f ca="1">IFERROR(__xludf.DUMMYFUNCTION("GOOGLETRANSLATE(B23369,""en"",""pt"")"),"San Carlos de Bariloche")</f>
        <v>San Carlos de Bariloche</v>
      </c>
      <c r="B10487" s="17" t="s">
        <v>772</v>
      </c>
      <c r="C10487" s="17" t="s">
        <v>558</v>
      </c>
      <c r="D10487" s="17" t="s">
        <v>571</v>
      </c>
      <c r="E10487" s="10">
        <v>7647007</v>
      </c>
      <c r="F10487" s="4" t="str">
        <f>IF(B10487=B10486,"",B10487)</f>
        <v/>
      </c>
    </row>
    <row r="10488" spans="1:6" ht="15.75" customHeight="1">
      <c r="A10488" s="5" t="s">
        <v>4469</v>
      </c>
      <c r="B10488" s="6" t="s">
        <v>4469</v>
      </c>
      <c r="C10488" s="5" t="s">
        <v>4355</v>
      </c>
      <c r="D10488" s="5" t="s">
        <v>4361</v>
      </c>
      <c r="E10488" s="2">
        <v>3872326</v>
      </c>
      <c r="F10488" s="4" t="str">
        <f>IF(B10488=B10487,"",B10488)</f>
        <v>San Carlos</v>
      </c>
    </row>
    <row r="10489" spans="1:6" ht="15.75" customHeight="1">
      <c r="A10489" s="5" t="s">
        <v>4469</v>
      </c>
      <c r="B10489" s="6" t="s">
        <v>4469</v>
      </c>
      <c r="C10489" s="5" t="s">
        <v>5348</v>
      </c>
      <c r="D10489" s="5" t="s">
        <v>591</v>
      </c>
      <c r="E10489" s="2">
        <v>3669997</v>
      </c>
      <c r="F10489" s="4" t="str">
        <f>IF(B10489=B10488,"",B10489)</f>
        <v/>
      </c>
    </row>
    <row r="10490" spans="1:6" ht="15.75" customHeight="1">
      <c r="A10490" s="5" t="s">
        <v>4469</v>
      </c>
      <c r="B10490" s="6" t="s">
        <v>4469</v>
      </c>
      <c r="C10490" s="5" t="s">
        <v>5348</v>
      </c>
      <c r="D10490" s="5" t="s">
        <v>5362</v>
      </c>
      <c r="E10490" s="2">
        <v>3669998</v>
      </c>
      <c r="F10490" s="4" t="str">
        <f>IF(B10490=B10489,"",B10490)</f>
        <v/>
      </c>
    </row>
    <row r="10491" spans="1:6" ht="15.75" customHeight="1">
      <c r="A10491" s="5" t="s">
        <v>4469</v>
      </c>
      <c r="B10491" s="6" t="s">
        <v>4469</v>
      </c>
      <c r="C10491" s="5" t="s">
        <v>27788</v>
      </c>
      <c r="D10491" s="5" t="s">
        <v>27801</v>
      </c>
      <c r="E10491" s="2">
        <v>5391760</v>
      </c>
      <c r="F10491" s="4" t="str">
        <f>IF(B10491=B10490,"",B10491)</f>
        <v/>
      </c>
    </row>
    <row r="10492" spans="1:6" ht="15.75" customHeight="1">
      <c r="A10492" s="5" t="s">
        <v>4469</v>
      </c>
      <c r="B10492" s="6" t="s">
        <v>4469</v>
      </c>
      <c r="C10492" s="5" t="s">
        <v>30472</v>
      </c>
      <c r="D10492" s="5" t="s">
        <v>30482</v>
      </c>
      <c r="E10492" s="2">
        <v>3440696</v>
      </c>
      <c r="F10492" s="4" t="str">
        <f>IF(B10492=B10491,"",B10492)</f>
        <v/>
      </c>
    </row>
    <row r="10493" spans="1:6" ht="15.75" customHeight="1">
      <c r="A10493" s="5" t="s">
        <v>4469</v>
      </c>
      <c r="B10493" s="6" t="s">
        <v>4469</v>
      </c>
      <c r="C10493" s="5" t="s">
        <v>5923</v>
      </c>
      <c r="D10493" s="5" t="s">
        <v>30751</v>
      </c>
      <c r="E10493" s="2">
        <v>3628503</v>
      </c>
      <c r="F10493" s="4" t="str">
        <f>IF(B10493=B10492,"",B10493)</f>
        <v/>
      </c>
    </row>
    <row r="10494" spans="1:6" ht="15.75" customHeight="1">
      <c r="A10494" s="5" t="str">
        <f ca="1">IFERROR(__xludf.DUMMYFUNCTION("GOOGLETRANSLATE(B25902,""en"",""pt"")"),"San Carlos")</f>
        <v>San Carlos</v>
      </c>
      <c r="B10494" s="17" t="s">
        <v>4469</v>
      </c>
      <c r="C10494" s="17" t="s">
        <v>4355</v>
      </c>
      <c r="D10494" s="17" t="s">
        <v>31796</v>
      </c>
      <c r="E10494" s="10">
        <v>3872326</v>
      </c>
      <c r="F10494" s="4" t="str">
        <f>IF(B10494=B10493,"",B10494)</f>
        <v/>
      </c>
    </row>
    <row r="10495" spans="1:6" ht="15.75" customHeight="1">
      <c r="A10495" s="5" t="str">
        <f ca="1">IFERROR(__xludf.DUMMYFUNCTION("GOOGLETRANSLATE(B26892,""en"",""pt"")"),"San Carlos")</f>
        <v>San Carlos</v>
      </c>
      <c r="B10495" s="17" t="s">
        <v>4469</v>
      </c>
      <c r="C10495" s="17" t="s">
        <v>5348</v>
      </c>
      <c r="D10495" s="17" t="s">
        <v>31214</v>
      </c>
      <c r="E10495" s="10">
        <v>3669997</v>
      </c>
      <c r="F10495" s="4" t="str">
        <f>IF(B10495=B10494,"",B10495)</f>
        <v/>
      </c>
    </row>
    <row r="10496" spans="1:6" ht="15.75" customHeight="1">
      <c r="A10496" s="5" t="str">
        <f ca="1">IFERROR(__xludf.DUMMYFUNCTION("GOOGLETRANSLATE(B26893,""en"",""pt"")"),"San Carlos")</f>
        <v>San Carlos</v>
      </c>
      <c r="B10496" s="17" t="s">
        <v>4469</v>
      </c>
      <c r="C10496" s="17" t="s">
        <v>5348</v>
      </c>
      <c r="D10496" s="17" t="s">
        <v>5362</v>
      </c>
      <c r="E10496" s="10">
        <v>3669998</v>
      </c>
      <c r="F10496" s="4" t="str">
        <f>IF(B10496=B10495,"",B10496)</f>
        <v/>
      </c>
    </row>
    <row r="10497" spans="1:6" ht="15.75" customHeight="1">
      <c r="A10497" s="5" t="str">
        <f ca="1">IFERROR(__xludf.DUMMYFUNCTION("GOOGLETRANSLATE(B45000,""en"",""pt"")"),"San Carlos")</f>
        <v>San Carlos</v>
      </c>
      <c r="B10497" s="17" t="s">
        <v>4469</v>
      </c>
      <c r="C10497" s="17" t="s">
        <v>27788</v>
      </c>
      <c r="D10497" s="17" t="s">
        <v>27801</v>
      </c>
      <c r="E10497" s="10">
        <v>5391760</v>
      </c>
      <c r="F10497" s="4" t="str">
        <f>IF(B10497=B10496,"",B10497)</f>
        <v/>
      </c>
    </row>
    <row r="10498" spans="1:6" ht="15.75" customHeight="1">
      <c r="A10498" s="5" t="str">
        <f ca="1">IFERROR(__xludf.DUMMYFUNCTION("GOOGLETRANSLATE(B45476,""en"",""pt"")"),"San Carlos")</f>
        <v>San Carlos</v>
      </c>
      <c r="B10498" s="17" t="s">
        <v>4469</v>
      </c>
      <c r="C10498" s="17" t="s">
        <v>30472</v>
      </c>
      <c r="D10498" s="17" t="s">
        <v>30482</v>
      </c>
      <c r="E10498" s="10">
        <v>3440696</v>
      </c>
      <c r="F10498" s="4" t="str">
        <f>IF(B10498=B10497,"",B10498)</f>
        <v/>
      </c>
    </row>
    <row r="10499" spans="1:6" ht="15.75" customHeight="1">
      <c r="A10499" s="5" t="str">
        <f ca="1">IFERROR(__xludf.DUMMYFUNCTION("GOOGLETRANSLATE(B45626,""en"",""pt"")"),"San Carlos")</f>
        <v>San Carlos</v>
      </c>
      <c r="B10499" s="17" t="s">
        <v>4469</v>
      </c>
      <c r="C10499" s="17" t="s">
        <v>5923</v>
      </c>
      <c r="D10499" s="17" t="s">
        <v>30751</v>
      </c>
      <c r="E10499" s="10">
        <v>3628503</v>
      </c>
      <c r="F10499" s="4" t="str">
        <f>IF(B10499=B10498,"",B10499)</f>
        <v/>
      </c>
    </row>
    <row r="10500" spans="1:6" ht="15.75" customHeight="1">
      <c r="A10500" s="5" t="s">
        <v>18210</v>
      </c>
      <c r="B10500" s="6" t="s">
        <v>18210</v>
      </c>
      <c r="C10500" s="5" t="s">
        <v>17707</v>
      </c>
      <c r="D10500" s="5" t="s">
        <v>17738</v>
      </c>
      <c r="E10500" s="2">
        <v>3987500</v>
      </c>
      <c r="F10500" s="4" t="str">
        <f>IF(B10500=B10499,"",B10500)</f>
        <v>San Buenaventura</v>
      </c>
    </row>
    <row r="10501" spans="1:6" ht="15.75" customHeight="1">
      <c r="A10501" s="5" t="s">
        <v>18210</v>
      </c>
      <c r="B10501" s="6" t="s">
        <v>18210</v>
      </c>
      <c r="C10501" s="5" t="s">
        <v>17707</v>
      </c>
      <c r="D10501" s="5" t="s">
        <v>17736</v>
      </c>
      <c r="E10501" s="2">
        <v>8858089</v>
      </c>
      <c r="F10501" s="4" t="str">
        <f>IF(B10501=B10500,"",B10501)</f>
        <v/>
      </c>
    </row>
    <row r="10502" spans="1:6" ht="15.75" customHeight="1">
      <c r="A10502" s="5" t="str">
        <f ca="1">IFERROR(__xludf.DUMMYFUNCTION("GOOGLETRANSLATE(B37205,""en"",""pt"")"),"San Buenaventura")</f>
        <v>San Buenaventura</v>
      </c>
      <c r="B10502" s="17" t="s">
        <v>18210</v>
      </c>
      <c r="C10502" s="17" t="s">
        <v>17707</v>
      </c>
      <c r="D10502" s="17" t="s">
        <v>17738</v>
      </c>
      <c r="E10502" s="10">
        <v>3987500</v>
      </c>
      <c r="F10502" s="4" t="str">
        <f>IF(B10502=B10501,"",B10502)</f>
        <v/>
      </c>
    </row>
    <row r="10503" spans="1:6" ht="15.75" customHeight="1">
      <c r="A10503" s="5" t="str">
        <f ca="1">IFERROR(__xludf.DUMMYFUNCTION("GOOGLETRANSLATE(B37366,""en"",""pt"")"),"San Buenaventura")</f>
        <v>San Buenaventura</v>
      </c>
      <c r="B10503" s="17" t="s">
        <v>18210</v>
      </c>
      <c r="C10503" s="17" t="s">
        <v>17707</v>
      </c>
      <c r="D10503" s="17" t="s">
        <v>20902</v>
      </c>
      <c r="E10503" s="10">
        <v>8858089</v>
      </c>
      <c r="F10503" s="4" t="str">
        <f>IF(B10503=B10502,"",B10503)</f>
        <v/>
      </c>
    </row>
    <row r="10504" spans="1:6" ht="15.75" customHeight="1">
      <c r="A10504" s="5" t="s">
        <v>29890</v>
      </c>
      <c r="B10504" s="6" t="s">
        <v>29890</v>
      </c>
      <c r="C10504" s="5" t="s">
        <v>27788</v>
      </c>
      <c r="D10504" s="5" t="s">
        <v>27801</v>
      </c>
      <c r="E10504" s="2">
        <v>5391749</v>
      </c>
      <c r="F10504" s="4" t="str">
        <f>IF(B10504=B10503,"",B10504)</f>
        <v>San Bruno</v>
      </c>
    </row>
    <row r="10505" spans="1:6" ht="15.75" customHeight="1">
      <c r="A10505" s="5" t="str">
        <f ca="1">IFERROR(__xludf.DUMMYFUNCTION("GOOGLETRANSLATE(B44999,""en"",""pt"")"),"San Bruno")</f>
        <v>San Bruno</v>
      </c>
      <c r="B10505" s="17" t="s">
        <v>29890</v>
      </c>
      <c r="C10505" s="17" t="s">
        <v>27788</v>
      </c>
      <c r="D10505" s="17" t="s">
        <v>27801</v>
      </c>
      <c r="E10505" s="10">
        <v>5391749</v>
      </c>
      <c r="F10505" s="4" t="str">
        <f>IF(B10505=B10504,"",B10505)</f>
        <v/>
      </c>
    </row>
    <row r="10506" spans="1:6" ht="15.75" customHeight="1">
      <c r="A10506" s="6" t="s">
        <v>1824</v>
      </c>
      <c r="B10506" s="6" t="s">
        <v>1824</v>
      </c>
      <c r="C10506" s="6" t="s">
        <v>1806</v>
      </c>
      <c r="D10506" s="6" t="s">
        <v>1813</v>
      </c>
      <c r="E10506" s="2">
        <v>3905792</v>
      </c>
      <c r="F10506" s="4" t="str">
        <f>IF(B10506=B10505,"",B10506)</f>
        <v>San Borja</v>
      </c>
    </row>
    <row r="10507" spans="1:6" ht="15.75" customHeight="1">
      <c r="A10507" s="5" t="str">
        <f ca="1">IFERROR(__xludf.DUMMYFUNCTION("GOOGLETRANSLATE(B24127,""en"",""pt"")"),"San Borja")</f>
        <v>San Borja</v>
      </c>
      <c r="B10507" s="17" t="s">
        <v>1824</v>
      </c>
      <c r="C10507" s="17" t="s">
        <v>1806</v>
      </c>
      <c r="D10507" s="17" t="s">
        <v>1813</v>
      </c>
      <c r="E10507" s="10">
        <v>3905792</v>
      </c>
      <c r="F10507" s="4" t="str">
        <f>IF(B10507=B10506,"",B10507)</f>
        <v/>
      </c>
    </row>
    <row r="10508" spans="1:6" ht="15.75" customHeight="1">
      <c r="A10508" s="5" t="s">
        <v>15432</v>
      </c>
      <c r="B10508" s="6" t="s">
        <v>15432</v>
      </c>
      <c r="C10508" s="5" t="s">
        <v>14891</v>
      </c>
      <c r="D10508" s="5" t="s">
        <v>14892</v>
      </c>
      <c r="E10508" s="2">
        <v>3168514</v>
      </c>
      <c r="F10508" s="4" t="str">
        <f>IF(B10508=B10507,"",B10508)</f>
        <v>San Bonifacio</v>
      </c>
    </row>
    <row r="10509" spans="1:6" ht="15.75" customHeight="1">
      <c r="A10509" s="5" t="str">
        <f ca="1">IFERROR(__xludf.DUMMYFUNCTION("GOOGLETRANSLATE(B34727,""en"",""pt"")"),"San Bonifacio")</f>
        <v>San Bonifacio</v>
      </c>
      <c r="B10509" s="17" t="s">
        <v>15432</v>
      </c>
      <c r="C10509" s="17" t="s">
        <v>14891</v>
      </c>
      <c r="D10509" s="17" t="s">
        <v>14892</v>
      </c>
      <c r="E10509" s="10">
        <v>3168514</v>
      </c>
      <c r="F10509" s="4" t="str">
        <f>IF(B10509=B10508,"",B10509)</f>
        <v/>
      </c>
    </row>
    <row r="10510" spans="1:6" ht="15.75" customHeight="1">
      <c r="A10510" s="6" t="s">
        <v>24757</v>
      </c>
      <c r="B10510" s="6" t="s">
        <v>24757</v>
      </c>
      <c r="C10510" s="6" t="s">
        <v>24200</v>
      </c>
      <c r="D10510" s="6" t="s">
        <v>5513</v>
      </c>
      <c r="E10510" s="2">
        <v>6544488</v>
      </c>
      <c r="F10510" s="4" t="str">
        <f>IF(B10510=B10509,"",B10510)</f>
        <v>San Blas</v>
      </c>
    </row>
    <row r="10511" spans="1:6" ht="15.75" customHeight="1">
      <c r="A10511" s="5" t="str">
        <f ca="1">IFERROR(__xludf.DUMMYFUNCTION("GOOGLETRANSLATE(B29491,""en"",""pt"")"),"San Blas")</f>
        <v>San Blas</v>
      </c>
      <c r="B10511" s="17" t="s">
        <v>24757</v>
      </c>
      <c r="C10511" s="17" t="s">
        <v>24200</v>
      </c>
      <c r="D10511" s="17" t="s">
        <v>5513</v>
      </c>
      <c r="E10511" s="10">
        <v>6544488</v>
      </c>
      <c r="F10511" s="4" t="str">
        <f>IF(B10511=B10510,"",B10511)</f>
        <v/>
      </c>
    </row>
    <row r="10512" spans="1:6" ht="15.75" customHeight="1">
      <c r="A10512" s="5" t="s">
        <v>4468</v>
      </c>
      <c r="B10512" s="6" t="s">
        <v>4468</v>
      </c>
      <c r="C10512" s="5" t="s">
        <v>4355</v>
      </c>
      <c r="D10512" s="5" t="s">
        <v>4366</v>
      </c>
      <c r="E10512" s="2">
        <v>3872348</v>
      </c>
      <c r="F10512" s="4" t="str">
        <f>IF(B10512=B10511,"",B10512)</f>
        <v>San Bernardo</v>
      </c>
    </row>
    <row r="10513" spans="1:6" ht="15.75" customHeight="1">
      <c r="A10513" s="5" t="str">
        <f ca="1">IFERROR(__xludf.DUMMYFUNCTION("GOOGLETRANSLATE(B25903,""en"",""pt"")"),"San Bernardo")</f>
        <v>San Bernardo</v>
      </c>
      <c r="B10513" s="17" t="s">
        <v>4468</v>
      </c>
      <c r="C10513" s="17" t="s">
        <v>4355</v>
      </c>
      <c r="D10513" s="17" t="s">
        <v>4366</v>
      </c>
      <c r="E10513" s="10">
        <v>3872348</v>
      </c>
      <c r="F10513" s="4" t="str">
        <f>IF(B10513=B10512,"",B10513)</f>
        <v/>
      </c>
    </row>
    <row r="10514" spans="1:6" ht="15.75" customHeight="1">
      <c r="A10514" s="5" t="s">
        <v>18209</v>
      </c>
      <c r="B10514" s="6" t="s">
        <v>18209</v>
      </c>
      <c r="C10514" s="5" t="s">
        <v>17707</v>
      </c>
      <c r="D10514" s="5" t="s">
        <v>17763</v>
      </c>
      <c r="E10514" s="2">
        <v>3530276</v>
      </c>
      <c r="F10514" s="4" t="str">
        <f>IF(B10514=B10513,"",B10514)</f>
        <v>San Bernardino Contla</v>
      </c>
    </row>
    <row r="10515" spans="1:6" ht="15.75" customHeight="1">
      <c r="A10515" s="5" t="str">
        <f ca="1">IFERROR(__xludf.DUMMYFUNCTION("GOOGLETRANSLATE(B37045,""en"",""pt"")"),"San Bernardino Contla")</f>
        <v>San Bernardino Contla</v>
      </c>
      <c r="B10515" s="17" t="s">
        <v>18209</v>
      </c>
      <c r="C10515" s="17" t="s">
        <v>17707</v>
      </c>
      <c r="D10515" s="17" t="s">
        <v>17763</v>
      </c>
      <c r="E10515" s="10">
        <v>3530276</v>
      </c>
      <c r="F10515" s="4" t="str">
        <f>IF(B10515=B10514,"",B10515)</f>
        <v/>
      </c>
    </row>
    <row r="10516" spans="1:6" ht="15.75" customHeight="1">
      <c r="A10516" s="5" t="s">
        <v>29889</v>
      </c>
      <c r="B10516" s="6" t="s">
        <v>29889</v>
      </c>
      <c r="C10516" s="5" t="s">
        <v>27788</v>
      </c>
      <c r="D10516" s="5" t="s">
        <v>27801</v>
      </c>
      <c r="E10516" s="2">
        <v>5391710</v>
      </c>
      <c r="F10516" s="4" t="str">
        <f>IF(B10516=B10515,"",B10516)</f>
        <v>San Bernardino</v>
      </c>
    </row>
    <row r="10517" spans="1:6" ht="15.75" customHeight="1">
      <c r="A10517" s="5" t="str">
        <f ca="1">IFERROR(__xludf.DUMMYFUNCTION("GOOGLETRANSLATE(B44998,""en"",""pt"")"),"San Bernardino")</f>
        <v>San Bernardino</v>
      </c>
      <c r="B10517" s="17" t="s">
        <v>29889</v>
      </c>
      <c r="C10517" s="17" t="s">
        <v>27788</v>
      </c>
      <c r="D10517" s="17" t="s">
        <v>27801</v>
      </c>
      <c r="E10517" s="10">
        <v>5391710</v>
      </c>
      <c r="F10517" s="4" t="str">
        <f>IF(B10517=B10516,"",B10517)</f>
        <v/>
      </c>
    </row>
    <row r="10518" spans="1:6" ht="15.75" customHeight="1">
      <c r="A10518" s="5" t="s">
        <v>5594</v>
      </c>
      <c r="B10518" s="6" t="s">
        <v>5594</v>
      </c>
      <c r="C10518" s="5" t="s">
        <v>5348</v>
      </c>
      <c r="D10518" s="5" t="s">
        <v>1829</v>
      </c>
      <c r="E10518" s="2">
        <v>3670038</v>
      </c>
      <c r="F10518" s="4" t="str">
        <f>IF(B10518=B10517,"",B10518)</f>
        <v>San Benito Abad</v>
      </c>
    </row>
    <row r="10519" spans="1:6" ht="15.75" customHeight="1">
      <c r="A10519" s="5" t="str">
        <f ca="1">IFERROR(__xludf.DUMMYFUNCTION("GOOGLETRANSLATE(B26894,""en"",""pt"")"),"San Benito Abad")</f>
        <v>San Benito Abad</v>
      </c>
      <c r="B10519" s="17" t="s">
        <v>5594</v>
      </c>
      <c r="C10519" s="17" t="s">
        <v>5348</v>
      </c>
      <c r="D10519" s="17" t="s">
        <v>1829</v>
      </c>
      <c r="E10519" s="10">
        <v>3670038</v>
      </c>
      <c r="F10519" s="4" t="str">
        <f>IF(B10519=B10518,"",B10519)</f>
        <v/>
      </c>
    </row>
    <row r="10520" spans="1:6" ht="15.75" customHeight="1">
      <c r="A10520" s="5" t="s">
        <v>9785</v>
      </c>
      <c r="B10520" s="6" t="s">
        <v>9785</v>
      </c>
      <c r="C10520" s="5" t="s">
        <v>9700</v>
      </c>
      <c r="D10520" s="5" t="s">
        <v>9738</v>
      </c>
      <c r="E10520" s="2">
        <v>3590389</v>
      </c>
      <c r="F10520" s="4" t="str">
        <f>IF(B10520=B10519,"",B10520)</f>
        <v>San Benito</v>
      </c>
    </row>
    <row r="10521" spans="1:6" ht="15.75" customHeight="1">
      <c r="A10521" s="5" t="str">
        <f ca="1">IFERROR(__xludf.DUMMYFUNCTION("GOOGLETRANSLATE(B31086,""en"",""pt"")"),"San Benito")</f>
        <v>San Benito</v>
      </c>
      <c r="B10521" s="17" t="s">
        <v>9785</v>
      </c>
      <c r="C10521" s="17" t="s">
        <v>9700</v>
      </c>
      <c r="D10521" s="17" t="s">
        <v>32778</v>
      </c>
      <c r="E10521" s="10">
        <v>3590389</v>
      </c>
      <c r="F10521" s="4" t="str">
        <f>IF(B10521=B10520,"",B10521)</f>
        <v/>
      </c>
    </row>
    <row r="10522" spans="1:6" ht="15.75" customHeight="1">
      <c r="A10522" s="5" t="s">
        <v>15431</v>
      </c>
      <c r="B10522" s="6" t="s">
        <v>15431</v>
      </c>
      <c r="C10522" s="5" t="s">
        <v>14891</v>
      </c>
      <c r="D10522" s="5" t="s">
        <v>14931</v>
      </c>
      <c r="E10522" s="2">
        <v>3168550</v>
      </c>
      <c r="F10522" s="4" t="str">
        <f>IF(B10522=B10521,"",B10522)</f>
        <v>San Benedetto del Tronto</v>
      </c>
    </row>
    <row r="10523" spans="1:6" ht="15.75" customHeight="1">
      <c r="A10523" s="5" t="str">
        <f ca="1">IFERROR(__xludf.DUMMYFUNCTION("GOOGLETRANSLATE(B34728,""en"",""pt"")"),"San Benedetto del Tronto")</f>
        <v>San Benedetto del Tronto</v>
      </c>
      <c r="B10523" s="17" t="s">
        <v>15431</v>
      </c>
      <c r="C10523" s="17" t="s">
        <v>14891</v>
      </c>
      <c r="D10523" s="17" t="s">
        <v>14931</v>
      </c>
      <c r="E10523" s="10">
        <v>3168550</v>
      </c>
      <c r="F10523" s="4" t="str">
        <f>IF(B10523=B10522,"",B10523)</f>
        <v/>
      </c>
    </row>
    <row r="10524" spans="1:6" ht="15.75" customHeight="1">
      <c r="A10524" s="5" t="str">
        <f ca="1">IFERROR(__xludf.DUMMYFUNCTION("GOOGLETRANSLATE(B29004,""en"",""pt"")"),"San Bartolomé de Tirajana")</f>
        <v>San Bartolomé de Tirajana</v>
      </c>
      <c r="B10524" s="17" t="s">
        <v>24755</v>
      </c>
      <c r="C10524" s="17" t="s">
        <v>24200</v>
      </c>
      <c r="D10524" s="17" t="s">
        <v>24212</v>
      </c>
      <c r="E10524" s="10">
        <v>2511440</v>
      </c>
      <c r="F10524" s="4" t="str">
        <f>IF(B10524=B10523,"",B10524)</f>
        <v>San Bartolomé de Tirajana</v>
      </c>
    </row>
    <row r="10525" spans="1:6" ht="15.75" customHeight="1">
      <c r="A10525" s="5" t="str">
        <f ca="1">IFERROR(__xludf.DUMMYFUNCTION("GOOGLETRANSLATE(B29005,""en"",""pt"")"),"San Bartolomé")</f>
        <v>San Bartolomé</v>
      </c>
      <c r="B10525" s="17" t="s">
        <v>24753</v>
      </c>
      <c r="C10525" s="17" t="s">
        <v>24200</v>
      </c>
      <c r="D10525" s="17" t="s">
        <v>24212</v>
      </c>
      <c r="E10525" s="10">
        <v>2511447</v>
      </c>
      <c r="F10525" s="4" t="str">
        <f>IF(B10525=B10524,"",B10525)</f>
        <v>San Bartolomé</v>
      </c>
    </row>
    <row r="10526" spans="1:6" ht="15.75" customHeight="1">
      <c r="A10526" s="5" t="s">
        <v>24755</v>
      </c>
      <c r="B10526" s="6" t="s">
        <v>24756</v>
      </c>
      <c r="C10526" s="5" t="s">
        <v>24200</v>
      </c>
      <c r="D10526" s="5" t="s">
        <v>24212</v>
      </c>
      <c r="E10526" s="2">
        <v>2511440</v>
      </c>
      <c r="F10526" s="4" t="str">
        <f>IF(B10526=B10525,"",B10526)</f>
        <v>San BartolomÃ© de Tirajana</v>
      </c>
    </row>
    <row r="10527" spans="1:6" ht="15.75" customHeight="1">
      <c r="A10527" s="5" t="s">
        <v>24753</v>
      </c>
      <c r="B10527" s="6" t="s">
        <v>24754</v>
      </c>
      <c r="C10527" s="5" t="s">
        <v>24200</v>
      </c>
      <c r="D10527" s="5" t="s">
        <v>24212</v>
      </c>
      <c r="E10527" s="2">
        <v>2511447</v>
      </c>
      <c r="F10527" s="4" t="str">
        <f>IF(B10527=B10526,"",B10527)</f>
        <v>San BartolomÃ©</v>
      </c>
    </row>
    <row r="10528" spans="1:6" ht="15.75" customHeight="1">
      <c r="A10528" s="5" t="str">
        <f ca="1">IFERROR(__xludf.DUMMYFUNCTION("GOOGLETRANSLATE(B37377,""en"",""pt"")"),"San Antonio Tecómitl")</f>
        <v>San Antonio Tecómitl</v>
      </c>
      <c r="B10528" s="17" t="s">
        <v>34790</v>
      </c>
      <c r="C10528" s="17" t="s">
        <v>17707</v>
      </c>
      <c r="D10528" s="17" t="s">
        <v>17711</v>
      </c>
      <c r="E10528" s="10">
        <v>8858100</v>
      </c>
      <c r="F10528" s="4" t="str">
        <f>IF(B10528=B10527,"",B10528)</f>
        <v>San Antonio Tecómitl</v>
      </c>
    </row>
    <row r="10529" spans="1:6" ht="15.75" customHeight="1">
      <c r="A10529" s="5" t="s">
        <v>18207</v>
      </c>
      <c r="B10529" s="6" t="s">
        <v>18208</v>
      </c>
      <c r="C10529" s="5" t="s">
        <v>17707</v>
      </c>
      <c r="D10529" s="5" t="s">
        <v>17711</v>
      </c>
      <c r="E10529" s="2">
        <v>8858100</v>
      </c>
      <c r="F10529" s="4" t="str">
        <f>IF(B10529=B10528,"",B10529)</f>
        <v>San Antonio TecÃ³mitl</v>
      </c>
    </row>
    <row r="10530" spans="1:6" ht="15.75" customHeight="1">
      <c r="A10530" s="5" t="s">
        <v>771</v>
      </c>
      <c r="B10530" s="6" t="s">
        <v>771</v>
      </c>
      <c r="C10530" s="5" t="s">
        <v>558</v>
      </c>
      <c r="D10530" s="5" t="s">
        <v>571</v>
      </c>
      <c r="E10530" s="2">
        <v>3837980</v>
      </c>
      <c r="F10530" s="4" t="str">
        <f>IF(B10530=B10529,"",B10530)</f>
        <v>San Antonio Oeste</v>
      </c>
    </row>
    <row r="10531" spans="1:6" ht="15.75" customHeight="1">
      <c r="A10531" s="5" t="str">
        <f ca="1">IFERROR(__xludf.DUMMYFUNCTION("GOOGLETRANSLATE(B23277,""en"",""pt"")"),"San Antonio Oeste")</f>
        <v>San Antonio Oeste</v>
      </c>
      <c r="B10531" s="17" t="s">
        <v>771</v>
      </c>
      <c r="C10531" s="17" t="s">
        <v>558</v>
      </c>
      <c r="D10531" s="17" t="s">
        <v>571</v>
      </c>
      <c r="E10531" s="10">
        <v>3837980</v>
      </c>
      <c r="F10531" s="4" t="str">
        <f>IF(B10531=B10530,"",B10531)</f>
        <v/>
      </c>
    </row>
    <row r="10532" spans="1:6" ht="15.75" customHeight="1">
      <c r="A10532" s="5" t="str">
        <f ca="1">IFERROR(__xludf.DUMMYFUNCTION("GOOGLETRANSLATE(B45627,""en"",""pt"")"),"San Antonio del Tochira")</f>
        <v>San Antonio del Tochira</v>
      </c>
      <c r="B10532" s="17" t="s">
        <v>36088</v>
      </c>
      <c r="C10532" s="17" t="s">
        <v>5923</v>
      </c>
      <c r="D10532" s="17" t="s">
        <v>36084</v>
      </c>
      <c r="E10532" s="10">
        <v>3628549</v>
      </c>
      <c r="F10532" s="4" t="str">
        <f>IF(B10532=B10531,"",B10532)</f>
        <v>San Antonio del Táchira</v>
      </c>
    </row>
    <row r="10533" spans="1:6" ht="15.75" customHeight="1">
      <c r="A10533" s="5" t="s">
        <v>30749</v>
      </c>
      <c r="B10533" s="6" t="s">
        <v>30750</v>
      </c>
      <c r="C10533" s="5" t="s">
        <v>5923</v>
      </c>
      <c r="D10533" s="5" t="s">
        <v>30711</v>
      </c>
      <c r="E10533" s="2">
        <v>3628549</v>
      </c>
      <c r="F10533" s="4" t="str">
        <f>IF(B10533=B10532,"",B10533)</f>
        <v>San Antonio del TÃ¡chira</v>
      </c>
    </row>
    <row r="10534" spans="1:6" ht="15.75" customHeight="1">
      <c r="A10534" s="5" t="str">
        <f ca="1">IFERROR(__xludf.DUMMYFUNCTION("GOOGLETRANSLATE(B27123,""en"",""pt"")"),"San Antonio de Los Baños")</f>
        <v>San Antonio de Los Baños</v>
      </c>
      <c r="B10534" s="17" t="s">
        <v>31912</v>
      </c>
      <c r="C10534" s="17" t="s">
        <v>5764</v>
      </c>
      <c r="D10534" s="17" t="s">
        <v>5771</v>
      </c>
      <c r="E10534" s="10">
        <v>3540885</v>
      </c>
      <c r="F10534" s="4" t="str">
        <f>IF(B10534=B10533,"",B10534)</f>
        <v>San Antonio de los Baños</v>
      </c>
    </row>
    <row r="10535" spans="1:6" ht="15.75" customHeight="1">
      <c r="A10535" s="5" t="s">
        <v>5902</v>
      </c>
      <c r="B10535" s="6" t="s">
        <v>5903</v>
      </c>
      <c r="C10535" s="5" t="s">
        <v>5764</v>
      </c>
      <c r="D10535" s="5" t="s">
        <v>5771</v>
      </c>
      <c r="E10535" s="2">
        <v>3540885</v>
      </c>
      <c r="F10535" s="4" t="str">
        <f>IF(B10535=B10534,"",B10535)</f>
        <v>San Antonio de los BaÃ±os</v>
      </c>
    </row>
    <row r="10536" spans="1:6" ht="15.75" customHeight="1">
      <c r="A10536" s="5" t="s">
        <v>30748</v>
      </c>
      <c r="B10536" s="6" t="s">
        <v>30748</v>
      </c>
      <c r="C10536" s="5" t="s">
        <v>5923</v>
      </c>
      <c r="D10536" s="5" t="s">
        <v>30647</v>
      </c>
      <c r="E10536" s="2">
        <v>3628550</v>
      </c>
      <c r="F10536" s="4" t="str">
        <f>IF(B10536=B10535,"",B10536)</f>
        <v>San Antonio de Los Altos</v>
      </c>
    </row>
    <row r="10537" spans="1:6" ht="15.75" customHeight="1">
      <c r="A10537" s="5" t="str">
        <f ca="1">IFERROR(__xludf.DUMMYFUNCTION("GOOGLETRANSLATE(B45628,""en"",""pt"")"),"San Antonio de Los Altos")</f>
        <v>San Antonio de Los Altos</v>
      </c>
      <c r="B10537" s="17" t="s">
        <v>30748</v>
      </c>
      <c r="C10537" s="17" t="s">
        <v>5923</v>
      </c>
      <c r="D10537" s="17" t="s">
        <v>30647</v>
      </c>
      <c r="E10537" s="10">
        <v>3628550</v>
      </c>
      <c r="F10537" s="4" t="str">
        <f>IF(B10537=B10536,"",B10537)</f>
        <v/>
      </c>
    </row>
    <row r="10538" spans="1:6" ht="15.75" customHeight="1">
      <c r="A10538" s="5" t="s">
        <v>18206</v>
      </c>
      <c r="B10538" s="6" t="s">
        <v>18206</v>
      </c>
      <c r="C10538" s="5" t="s">
        <v>17707</v>
      </c>
      <c r="D10538" s="5" t="s">
        <v>17844</v>
      </c>
      <c r="E10538" s="2">
        <v>3762770</v>
      </c>
      <c r="F10538" s="4" t="str">
        <f>IF(B10538=B10537,"",B10538)</f>
        <v>San Antonio de la Cal</v>
      </c>
    </row>
    <row r="10539" spans="1:6" ht="15.75" customHeight="1">
      <c r="A10539" s="5" t="str">
        <f ca="1">IFERROR(__xludf.DUMMYFUNCTION("GOOGLETRANSLATE(B37111,""en"",""pt"")"),"San Antonio de la Cal")</f>
        <v>San Antonio de la Cal</v>
      </c>
      <c r="B10539" s="17" t="s">
        <v>18206</v>
      </c>
      <c r="C10539" s="17" t="s">
        <v>17707</v>
      </c>
      <c r="D10539" s="17" t="s">
        <v>17844</v>
      </c>
      <c r="E10539" s="10">
        <v>3762770</v>
      </c>
      <c r="F10539" s="4" t="str">
        <f>IF(B10539=B10538,"",B10539)</f>
        <v/>
      </c>
    </row>
    <row r="10540" spans="1:6" ht="15.75" customHeight="1">
      <c r="A10540" s="5" t="s">
        <v>4466</v>
      </c>
      <c r="B10540" s="6" t="s">
        <v>4467</v>
      </c>
      <c r="C10540" s="5" t="s">
        <v>4355</v>
      </c>
      <c r="D10540" s="5" t="s">
        <v>3642</v>
      </c>
      <c r="E10540" s="2">
        <v>3872395</v>
      </c>
      <c r="F10540" s="4" t="str">
        <f>IF(B10540=B10539,"",B10540)</f>
        <v>San Antonio</v>
      </c>
    </row>
    <row r="10541" spans="1:6" ht="15.75" customHeight="1">
      <c r="A10541" s="5" t="s">
        <v>4466</v>
      </c>
      <c r="B10541" s="6" t="s">
        <v>4467</v>
      </c>
      <c r="C10541" s="5" t="s">
        <v>20433</v>
      </c>
      <c r="D10541" s="5" t="s">
        <v>1886</v>
      </c>
      <c r="E10541" s="2">
        <v>3437127</v>
      </c>
      <c r="F10541" s="4" t="str">
        <f>IF(B10541=B10540,"",B10541)</f>
        <v/>
      </c>
    </row>
    <row r="10542" spans="1:6" ht="15.75" customHeight="1">
      <c r="A10542" s="5" t="s">
        <v>4466</v>
      </c>
      <c r="B10542" s="6" t="s">
        <v>4467</v>
      </c>
      <c r="C10542" s="5" t="s">
        <v>20598</v>
      </c>
      <c r="D10542" s="5" t="s">
        <v>20599</v>
      </c>
      <c r="E10542" s="2">
        <v>1690313</v>
      </c>
      <c r="F10542" s="4" t="str">
        <f>IF(B10542=B10541,"",B10542)</f>
        <v/>
      </c>
    </row>
    <row r="10543" spans="1:6" ht="15.75" customHeight="1">
      <c r="A10543" s="5" t="s">
        <v>4466</v>
      </c>
      <c r="B10543" s="6" t="s">
        <v>4467</v>
      </c>
      <c r="C10543" s="5" t="s">
        <v>20598</v>
      </c>
      <c r="D10543" s="5" t="s">
        <v>20599</v>
      </c>
      <c r="E10543" s="2">
        <v>1690315</v>
      </c>
      <c r="F10543" s="4" t="str">
        <f>IF(B10543=B10542,"",B10543)</f>
        <v/>
      </c>
    </row>
    <row r="10544" spans="1:6" ht="15.75" customHeight="1">
      <c r="A10544" s="5" t="s">
        <v>4466</v>
      </c>
      <c r="B10544" s="6" t="s">
        <v>4467</v>
      </c>
      <c r="C10544" s="5" t="s">
        <v>20598</v>
      </c>
      <c r="D10544" s="5" t="s">
        <v>20599</v>
      </c>
      <c r="E10544" s="2">
        <v>1690321</v>
      </c>
      <c r="F10544" s="4" t="str">
        <f>IF(B10544=B10543,"",B10544)</f>
        <v/>
      </c>
    </row>
    <row r="10545" spans="1:6" ht="15.75" customHeight="1">
      <c r="A10545" s="5" t="str">
        <f ca="1">IFERROR(__xludf.DUMMYFUNCTION("GOOGLETRANSLATE(B25904,""en"",""pt"")"),"Santo António")</f>
        <v>Santo António</v>
      </c>
      <c r="B10545" s="17" t="s">
        <v>4467</v>
      </c>
      <c r="C10545" s="17" t="s">
        <v>4355</v>
      </c>
      <c r="D10545" s="17" t="s">
        <v>30263</v>
      </c>
      <c r="E10545" s="10">
        <v>3872395</v>
      </c>
      <c r="F10545" s="4" t="str">
        <f>IF(B10545=B10544,"",B10545)</f>
        <v/>
      </c>
    </row>
    <row r="10546" spans="1:6" ht="15.75" customHeight="1">
      <c r="A10546" s="5" t="str">
        <f ca="1">IFERROR(__xludf.DUMMYFUNCTION("GOOGLETRANSLATE(B38520,""en"",""pt"")"),"Santo António")</f>
        <v>Santo António</v>
      </c>
      <c r="B10546" s="17" t="s">
        <v>4467</v>
      </c>
      <c r="C10546" s="17" t="s">
        <v>20598</v>
      </c>
      <c r="D10546" s="17" t="s">
        <v>20599</v>
      </c>
      <c r="E10546" s="10">
        <v>1690313</v>
      </c>
      <c r="F10546" s="4" t="str">
        <f>IF(B10546=B10545,"",B10546)</f>
        <v/>
      </c>
    </row>
    <row r="10547" spans="1:6" ht="15.75" customHeight="1">
      <c r="A10547" s="5" t="str">
        <f ca="1">IFERROR(__xludf.DUMMYFUNCTION("GOOGLETRANSLATE(B38521,""en"",""pt"")"),"Santo António")</f>
        <v>Santo António</v>
      </c>
      <c r="B10547" s="17" t="s">
        <v>4467</v>
      </c>
      <c r="C10547" s="17" t="s">
        <v>20598</v>
      </c>
      <c r="D10547" s="17" t="s">
        <v>20599</v>
      </c>
      <c r="E10547" s="10">
        <v>1690315</v>
      </c>
      <c r="F10547" s="4" t="str">
        <f>IF(B10547=B10546,"",B10547)</f>
        <v/>
      </c>
    </row>
    <row r="10548" spans="1:6" ht="15.75" customHeight="1">
      <c r="A10548" s="5" t="str">
        <f ca="1">IFERROR(__xludf.DUMMYFUNCTION("GOOGLETRANSLATE(B38522,""en"",""pt"")"),"Santo António")</f>
        <v>Santo António</v>
      </c>
      <c r="B10548" s="17" t="s">
        <v>4467</v>
      </c>
      <c r="C10548" s="17" t="s">
        <v>20598</v>
      </c>
      <c r="D10548" s="17" t="s">
        <v>20599</v>
      </c>
      <c r="E10548" s="10">
        <v>1690321</v>
      </c>
      <c r="F10548" s="4" t="str">
        <f>IF(B10548=B10547,"",B10548)</f>
        <v/>
      </c>
    </row>
    <row r="10549" spans="1:6" ht="15.75" customHeight="1">
      <c r="A10549" s="5" t="str">
        <f ca="1">IFERROR(__xludf.DUMMYFUNCTION("GOOGLETRANSLATE(B39683,""en"",""pt"")"),"Santo António")</f>
        <v>Santo António</v>
      </c>
      <c r="B10549" s="17" t="s">
        <v>4467</v>
      </c>
      <c r="C10549" s="17" t="s">
        <v>20433</v>
      </c>
      <c r="D10549" s="17" t="s">
        <v>1886</v>
      </c>
      <c r="E10549" s="10">
        <v>3437127</v>
      </c>
      <c r="F10549" s="4" t="str">
        <f>IF(B10549=B10548,"",B10549)</f>
        <v/>
      </c>
    </row>
    <row r="10550" spans="1:6" ht="15.75" customHeight="1">
      <c r="A10550" s="5" t="s">
        <v>29888</v>
      </c>
      <c r="B10550" s="6" t="s">
        <v>29888</v>
      </c>
      <c r="C10550" s="5" t="s">
        <v>27788</v>
      </c>
      <c r="D10550" s="5" t="s">
        <v>27792</v>
      </c>
      <c r="E10550" s="2">
        <v>5530022</v>
      </c>
      <c r="F10550" s="4" t="str">
        <f>IF(B10550=B10549,"",B10550)</f>
        <v>San Angelo</v>
      </c>
    </row>
    <row r="10551" spans="1:6" ht="15.75" customHeight="1">
      <c r="A10551" s="5" t="str">
        <f ca="1">IFERROR(__xludf.DUMMYFUNCTION("GOOGLETRANSLATE(B45168,""en"",""pt"")"),"San Angelo")</f>
        <v>San Angelo</v>
      </c>
      <c r="B10551" s="17" t="s">
        <v>29888</v>
      </c>
      <c r="C10551" s="17" t="s">
        <v>27788</v>
      </c>
      <c r="D10551" s="17" t="s">
        <v>27792</v>
      </c>
      <c r="E10551" s="10">
        <v>5530022</v>
      </c>
      <c r="F10551" s="4" t="str">
        <f>IF(B10551=B10550,"",B10551)</f>
        <v/>
      </c>
    </row>
    <row r="10552" spans="1:6" ht="15.75" customHeight="1">
      <c r="A10552" s="5" t="s">
        <v>18205</v>
      </c>
      <c r="B10552" s="6" t="s">
        <v>18205</v>
      </c>
      <c r="C10552" s="5" t="s">
        <v>17707</v>
      </c>
      <c r="D10552" s="5" t="s">
        <v>17708</v>
      </c>
      <c r="E10552" s="2">
        <v>3519907</v>
      </c>
      <c r="F10552" s="4" t="str">
        <f>IF(B10552=B10551,"",B10552)</f>
        <v>San Andres Tuxtla</v>
      </c>
    </row>
    <row r="10553" spans="1:6" ht="15.75" customHeight="1">
      <c r="A10553" s="5" t="str">
        <f ca="1">IFERROR(__xludf.DUMMYFUNCTION("GOOGLETRANSLATE(B36935,""en"",""pt"")"),"San Andres Tuxtla")</f>
        <v>San Andres Tuxtla</v>
      </c>
      <c r="B10553" s="17" t="s">
        <v>18205</v>
      </c>
      <c r="C10553" s="17" t="s">
        <v>17707</v>
      </c>
      <c r="D10553" s="17" t="s">
        <v>17708</v>
      </c>
      <c r="E10553" s="10">
        <v>3519907</v>
      </c>
      <c r="F10553" s="4" t="str">
        <f>IF(B10553=B10552,"",B10553)</f>
        <v/>
      </c>
    </row>
    <row r="10554" spans="1:6" ht="15.75" customHeight="1">
      <c r="A10554" s="5" t="str">
        <f ca="1">IFERROR(__xludf.DUMMYFUNCTION("GOOGLETRANSLATE(B31088,""en"",""pt"")"),"San Andrés Itzapa")</f>
        <v>San Andrés Itzapa</v>
      </c>
      <c r="B10554" s="17" t="s">
        <v>32779</v>
      </c>
      <c r="C10554" s="17" t="s">
        <v>9700</v>
      </c>
      <c r="D10554" s="17" t="s">
        <v>9717</v>
      </c>
      <c r="E10554" s="10">
        <v>3590529</v>
      </c>
      <c r="F10554" s="4" t="str">
        <f>IF(B10554=B10553,"",B10554)</f>
        <v>San Andrés Itzapa</v>
      </c>
    </row>
    <row r="10555" spans="1:6" ht="15.75" customHeight="1">
      <c r="A10555" s="5" t="str">
        <f ca="1">IFERROR(__xludf.DUMMYFUNCTION("GOOGLETRANSLATE(B29303,""en"",""pt"")"),"San Andrés del Rabanedo")</f>
        <v>San Andrés del Rabanedo</v>
      </c>
      <c r="B10555" s="17" t="s">
        <v>32437</v>
      </c>
      <c r="C10555" s="17" t="s">
        <v>24200</v>
      </c>
      <c r="D10555" s="17" t="s">
        <v>32412</v>
      </c>
      <c r="E10555" s="10">
        <v>3110880</v>
      </c>
      <c r="F10555" s="4" t="str">
        <f>IF(B10555=B10554,"",B10555)</f>
        <v>San Andrés del Rabanedo</v>
      </c>
    </row>
    <row r="10556" spans="1:6" ht="15.75" customHeight="1">
      <c r="A10556" s="5" t="str">
        <f ca="1">IFERROR(__xludf.DUMMYFUNCTION("GOOGLETRANSLATE(B37121,""en"",""pt"")"),"San Andrés Cholula")</f>
        <v>San Andrés Cholula</v>
      </c>
      <c r="B10556" s="17" t="s">
        <v>34722</v>
      </c>
      <c r="C10556" s="17" t="s">
        <v>17707</v>
      </c>
      <c r="D10556" s="17" t="s">
        <v>17717</v>
      </c>
      <c r="E10556" s="10">
        <v>3818742</v>
      </c>
      <c r="F10556" s="4" t="str">
        <f>IF(B10556=B10555,"",B10556)</f>
        <v>San Andrés Cholula</v>
      </c>
    </row>
    <row r="10557" spans="1:6" ht="15.75" customHeight="1">
      <c r="A10557" s="5" t="str">
        <f ca="1">IFERROR(__xludf.DUMMYFUNCTION("GOOGLETRANSLATE(B26895,""en"",""pt"")"),"San Andrés")</f>
        <v>San Andrés</v>
      </c>
      <c r="B10557" s="17" t="s">
        <v>31845</v>
      </c>
      <c r="C10557" s="17" t="s">
        <v>5348</v>
      </c>
      <c r="D10557" s="17" t="s">
        <v>31846</v>
      </c>
      <c r="E10557" s="10">
        <v>3670218</v>
      </c>
      <c r="F10557" s="4" t="str">
        <f>IF(B10557=B10556,"",B10557)</f>
        <v>San Andrés</v>
      </c>
    </row>
    <row r="10558" spans="1:6" ht="15.75" customHeight="1">
      <c r="A10558" s="5" t="s">
        <v>9783</v>
      </c>
      <c r="B10558" s="6" t="s">
        <v>9784</v>
      </c>
      <c r="C10558" s="5" t="s">
        <v>9700</v>
      </c>
      <c r="D10558" s="5" t="s">
        <v>9717</v>
      </c>
      <c r="E10558" s="2">
        <v>3590529</v>
      </c>
      <c r="F10558" s="4" t="str">
        <f>IF(B10558=B10557,"",B10558)</f>
        <v>San AndrÃ©s Itzapa</v>
      </c>
    </row>
    <row r="10559" spans="1:6" ht="15.75" customHeight="1">
      <c r="A10559" s="5" t="s">
        <v>24751</v>
      </c>
      <c r="B10559" s="6" t="s">
        <v>24752</v>
      </c>
      <c r="C10559" s="5" t="s">
        <v>24200</v>
      </c>
      <c r="D10559" s="5" t="s">
        <v>24210</v>
      </c>
      <c r="E10559" s="2">
        <v>3110880</v>
      </c>
      <c r="F10559" s="4" t="str">
        <f>IF(B10559=B10558,"",B10559)</f>
        <v>San AndrÃ©s del Rabanedo</v>
      </c>
    </row>
    <row r="10560" spans="1:6" ht="15.75" customHeight="1">
      <c r="A10560" s="5" t="s">
        <v>18203</v>
      </c>
      <c r="B10560" s="6" t="s">
        <v>18204</v>
      </c>
      <c r="C10560" s="5" t="s">
        <v>17707</v>
      </c>
      <c r="D10560" s="5" t="s">
        <v>17717</v>
      </c>
      <c r="E10560" s="2">
        <v>3818742</v>
      </c>
      <c r="F10560" s="4" t="str">
        <f>IF(B10560=B10559,"",B10560)</f>
        <v>San AndrÃ©s Cholula</v>
      </c>
    </row>
    <row r="10561" spans="1:6" ht="15.75" customHeight="1">
      <c r="A10561" s="5" t="s">
        <v>5591</v>
      </c>
      <c r="B10561" s="6" t="s">
        <v>5592</v>
      </c>
      <c r="C10561" s="5" t="s">
        <v>5348</v>
      </c>
      <c r="D10561" s="5" t="s">
        <v>5593</v>
      </c>
      <c r="E10561" s="2">
        <v>3670218</v>
      </c>
      <c r="F10561" s="4" t="str">
        <f>IF(B10561=B10560,"",B10561)</f>
        <v>San AndrÃ©s</v>
      </c>
    </row>
    <row r="10562" spans="1:6" ht="15.75" customHeight="1">
      <c r="A10562" s="6" t="s">
        <v>17615</v>
      </c>
      <c r="B10562" s="6" t="s">
        <v>17615</v>
      </c>
      <c r="C10562" s="6" t="s">
        <v>17596</v>
      </c>
      <c r="D10562" s="6" t="s">
        <v>17612</v>
      </c>
      <c r="E10562" s="2">
        <v>2451778</v>
      </c>
      <c r="F10562" s="4" t="str">
        <f>IF(B10562=B10561,"",B10562)</f>
        <v>San</v>
      </c>
    </row>
    <row r="10563" spans="1:6" ht="15.75" customHeight="1">
      <c r="A10563" s="5" t="str">
        <f ca="1">IFERROR(__xludf.DUMMYFUNCTION("GOOGLETRANSLATE(B36682,""en"",""pt"")"),"San")</f>
        <v>San</v>
      </c>
      <c r="B10563" s="17" t="s">
        <v>17615</v>
      </c>
      <c r="C10563" s="17" t="s">
        <v>17596</v>
      </c>
      <c r="D10563" s="17" t="s">
        <v>34634</v>
      </c>
      <c r="E10563" s="10">
        <v>2451778</v>
      </c>
      <c r="F10563" s="4" t="str">
        <f>IF(B10563=B10562,"",B10563)</f>
        <v/>
      </c>
    </row>
    <row r="10564" spans="1:6" ht="15.75" customHeight="1">
      <c r="A10564" s="5" t="s">
        <v>25985</v>
      </c>
      <c r="B10564" s="6" t="s">
        <v>25985</v>
      </c>
      <c r="C10564" s="5" t="s">
        <v>25771</v>
      </c>
      <c r="D10564" s="5" t="s">
        <v>25985</v>
      </c>
      <c r="E10564" s="2">
        <v>1606586</v>
      </c>
      <c r="F10564" s="4" t="str">
        <f>IF(B10564=B10563,"",B10564)</f>
        <v>Samut Songkhram</v>
      </c>
    </row>
    <row r="10565" spans="1:6" ht="15.75" customHeight="1">
      <c r="A10565" s="5" t="str">
        <f ca="1">IFERROR(__xludf.DUMMYFUNCTION("GOOGLETRANSLATE(B41611,""en"",""pt"")"),"Samut Songkhram")</f>
        <v>Samut Songkhram</v>
      </c>
      <c r="B10565" s="17" t="s">
        <v>25985</v>
      </c>
      <c r="C10565" s="17" t="s">
        <v>25771</v>
      </c>
      <c r="D10565" s="17" t="s">
        <v>25985</v>
      </c>
      <c r="E10565" s="10">
        <v>1606586</v>
      </c>
      <c r="F10565" s="4" t="str">
        <f>IF(B10565=B10564,"",B10565)</f>
        <v/>
      </c>
    </row>
    <row r="10566" spans="1:6" ht="15.75" customHeight="1">
      <c r="A10566" s="5" t="s">
        <v>25806</v>
      </c>
      <c r="B10566" s="6" t="s">
        <v>25806</v>
      </c>
      <c r="C10566" s="5" t="s">
        <v>25771</v>
      </c>
      <c r="D10566" s="5" t="s">
        <v>25806</v>
      </c>
      <c r="E10566" s="2">
        <v>1606588</v>
      </c>
      <c r="F10566" s="4" t="str">
        <f>IF(B10566=B10565,"",B10566)</f>
        <v>Samut Sakhon</v>
      </c>
    </row>
    <row r="10567" spans="1:6" ht="15.75" customHeight="1">
      <c r="A10567" s="5" t="str">
        <f ca="1">IFERROR(__xludf.DUMMYFUNCTION("GOOGLETRANSLATE(B41612,""en"",""pt"")"),"Samut Sakhon")</f>
        <v>Samut Sakhon</v>
      </c>
      <c r="B10567" s="17" t="s">
        <v>25806</v>
      </c>
      <c r="C10567" s="17" t="s">
        <v>25771</v>
      </c>
      <c r="D10567" s="17" t="s">
        <v>25806</v>
      </c>
      <c r="E10567" s="10">
        <v>1606588</v>
      </c>
      <c r="F10567" s="4" t="str">
        <f>IF(B10567=B10566,"",B10567)</f>
        <v/>
      </c>
    </row>
    <row r="10568" spans="1:6" ht="15.75" customHeight="1">
      <c r="A10568" s="5" t="s">
        <v>25790</v>
      </c>
      <c r="B10568" s="6" t="s">
        <v>25790</v>
      </c>
      <c r="C10568" s="5" t="s">
        <v>25771</v>
      </c>
      <c r="D10568" s="5" t="s">
        <v>25790</v>
      </c>
      <c r="E10568" s="2">
        <v>1606590</v>
      </c>
      <c r="F10568" s="4" t="str">
        <f>IF(B10568=B10567,"",B10568)</f>
        <v>Samut Prakan</v>
      </c>
    </row>
    <row r="10569" spans="1:6" ht="15.75" customHeight="1">
      <c r="A10569" s="5" t="str">
        <f ca="1">IFERROR(__xludf.DUMMYFUNCTION("GOOGLETRANSLATE(B41613,""en"",""pt"")"),"Samut Prakan")</f>
        <v>Samut Prakan</v>
      </c>
      <c r="B10569" s="17" t="s">
        <v>25790</v>
      </c>
      <c r="C10569" s="17" t="s">
        <v>25771</v>
      </c>
      <c r="D10569" s="17" t="s">
        <v>25790</v>
      </c>
      <c r="E10569" s="10">
        <v>1606590</v>
      </c>
      <c r="F10569" s="4" t="str">
        <f>IF(B10569=B10568,"",B10569)</f>
        <v/>
      </c>
    </row>
    <row r="10570" spans="1:6" ht="15.75" customHeight="1">
      <c r="A10570" s="5" t="s">
        <v>8010</v>
      </c>
      <c r="B10570" s="6" t="s">
        <v>8010</v>
      </c>
      <c r="C10570" s="5" t="s">
        <v>7988</v>
      </c>
      <c r="D10570" s="5" t="s">
        <v>7997</v>
      </c>
      <c r="E10570" s="2">
        <v>612126</v>
      </c>
      <c r="F10570" s="4" t="str">
        <f>IF(B10570=B10569,"",B10570)</f>
        <v>Samtredia</v>
      </c>
    </row>
    <row r="10571" spans="1:6" ht="15.75" customHeight="1">
      <c r="A10571" s="5" t="str">
        <f ca="1">IFERROR(__xludf.DUMMYFUNCTION("GOOGLETRANSLATE(B30836,""en"",""pt"")"),"Samtredia")</f>
        <v>Samtredia</v>
      </c>
      <c r="B10571" s="17" t="s">
        <v>8010</v>
      </c>
      <c r="C10571" s="17" t="s">
        <v>7988</v>
      </c>
      <c r="D10571" s="17" t="s">
        <v>7997</v>
      </c>
      <c r="E10571" s="10">
        <v>612126</v>
      </c>
      <c r="F10571" s="4" t="str">
        <f>IF(B10571=B10570,"",B10571)</f>
        <v/>
      </c>
    </row>
    <row r="10572" spans="1:6" ht="15.75" customHeight="1">
      <c r="A10572" s="6" t="s">
        <v>13221</v>
      </c>
      <c r="B10572" s="6" t="s">
        <v>13221</v>
      </c>
      <c r="C10572" s="6" t="s">
        <v>10178</v>
      </c>
      <c r="D10572" s="6" t="s">
        <v>10193</v>
      </c>
      <c r="E10572" s="2">
        <v>1257498</v>
      </c>
      <c r="F10572" s="4" t="str">
        <f>IF(B10572=B10571,"",B10572)</f>
        <v>Samthar</v>
      </c>
    </row>
    <row r="10573" spans="1:6" ht="15.75" customHeight="1">
      <c r="A10573" s="5" t="str">
        <f ca="1">IFERROR(__xludf.DUMMYFUNCTION("GOOGLETRANSLATE(B32256,""en"",""pt"")"),"Samthar")</f>
        <v>Samthar</v>
      </c>
      <c r="B10573" s="17" t="s">
        <v>13221</v>
      </c>
      <c r="C10573" s="17" t="s">
        <v>10178</v>
      </c>
      <c r="D10573" s="17" t="s">
        <v>10193</v>
      </c>
      <c r="E10573" s="10">
        <v>1257498</v>
      </c>
      <c r="F10573" s="4" t="str">
        <f>IF(B10573=B10572,"",B10573)</f>
        <v/>
      </c>
    </row>
    <row r="10574" spans="1:6" ht="15.75" customHeight="1">
      <c r="A10574" s="6" t="s">
        <v>26232</v>
      </c>
      <c r="B10574" s="6" t="s">
        <v>26232</v>
      </c>
      <c r="C10574" s="6" t="s">
        <v>26201</v>
      </c>
      <c r="D10574" s="6" t="s">
        <v>26232</v>
      </c>
      <c r="E10574" s="2">
        <v>740264</v>
      </c>
      <c r="F10574" s="4" t="str">
        <f>IF(B10574=B10573,"",B10574)</f>
        <v>Samsun</v>
      </c>
    </row>
    <row r="10575" spans="1:6" ht="15.75" customHeight="1">
      <c r="A10575" s="5" t="str">
        <f ca="1">IFERROR(__xludf.DUMMYFUNCTION("GOOGLETRANSLATE(B42122,""en"",""pt"")"),"Samsun")</f>
        <v>Samsun</v>
      </c>
      <c r="B10575" s="17" t="s">
        <v>26232</v>
      </c>
      <c r="C10575" s="17" t="s">
        <v>26201</v>
      </c>
      <c r="D10575" s="17" t="s">
        <v>26232</v>
      </c>
      <c r="E10575" s="10">
        <v>740264</v>
      </c>
      <c r="F10575" s="4" t="str">
        <f>IF(B10575=B10574,"",B10575)</f>
        <v/>
      </c>
    </row>
    <row r="10576" spans="1:6" ht="15.75" customHeight="1">
      <c r="A10576" s="5" t="str">
        <f ca="1">IFERROR(__xludf.DUMMYFUNCTION("GOOGLETRANSLATE(B35969,""en"",""pt"")"),"Sâmraông")</f>
        <v>Sâmraông</v>
      </c>
      <c r="B10576" s="17" t="s">
        <v>34426</v>
      </c>
      <c r="C10576" s="17" t="s">
        <v>3838</v>
      </c>
      <c r="D10576" s="17" t="s">
        <v>34427</v>
      </c>
      <c r="E10576" s="10">
        <v>1825093</v>
      </c>
      <c r="F10576" s="4" t="str">
        <f>IF(B10576=B10575,"",B10576)</f>
        <v>Sâmraông</v>
      </c>
    </row>
    <row r="10577" spans="1:6" ht="15.75" customHeight="1">
      <c r="A10577" s="5" t="str">
        <f ca="1">IFERROR(__xludf.DUMMYFUNCTION("GOOGLETRANSLATE(B32257,""en"",""pt"")"),"Samrāla")</f>
        <v>Samrāla</v>
      </c>
      <c r="B10577" s="17" t="s">
        <v>33127</v>
      </c>
      <c r="C10577" s="17" t="s">
        <v>10178</v>
      </c>
      <c r="D10577" s="17" t="s">
        <v>10184</v>
      </c>
      <c r="E10577" s="10">
        <v>1257503</v>
      </c>
      <c r="F10577" s="4" t="str">
        <f>IF(B10577=B10576,"",B10577)</f>
        <v>Samrāla</v>
      </c>
    </row>
    <row r="10578" spans="1:6" ht="15.75" customHeight="1">
      <c r="A10578" s="6" t="s">
        <v>13219</v>
      </c>
      <c r="B10578" s="6" t="s">
        <v>13220</v>
      </c>
      <c r="C10578" s="6" t="s">
        <v>10178</v>
      </c>
      <c r="D10578" s="6" t="s">
        <v>10184</v>
      </c>
      <c r="E10578" s="2">
        <v>1257503</v>
      </c>
      <c r="F10578" s="4" t="str">
        <f>IF(B10578=B10577,"",B10578)</f>
        <v>SamrÄla</v>
      </c>
    </row>
    <row r="10579" spans="1:6" ht="15.75" customHeight="1">
      <c r="A10579" s="5" t="str">
        <f ca="1">IFERROR(__xludf.DUMMYFUNCTION("GOOGLETRANSLATE(B26896,""en"",""pt"")"),"Sampués")</f>
        <v>Sampués</v>
      </c>
      <c r="B10579" s="17" t="s">
        <v>31847</v>
      </c>
      <c r="C10579" s="17" t="s">
        <v>5348</v>
      </c>
      <c r="D10579" s="17" t="s">
        <v>1829</v>
      </c>
      <c r="E10579" s="10">
        <v>3670280</v>
      </c>
      <c r="F10579" s="4" t="str">
        <f>IF(B10579=B10578,"",B10579)</f>
        <v>Sampués</v>
      </c>
    </row>
    <row r="10580" spans="1:6" ht="15.75" customHeight="1">
      <c r="A10580" s="6" t="s">
        <v>5589</v>
      </c>
      <c r="B10580" s="6" t="s">
        <v>5590</v>
      </c>
      <c r="C10580" s="6" t="s">
        <v>5348</v>
      </c>
      <c r="D10580" s="6" t="s">
        <v>1829</v>
      </c>
      <c r="E10580" s="2">
        <v>3670280</v>
      </c>
      <c r="F10580" s="4" t="str">
        <f>IF(B10580=B10579,"",B10580)</f>
        <v>SampuÃ©s</v>
      </c>
    </row>
    <row r="10581" spans="1:6" ht="15.75" customHeight="1">
      <c r="A10581" s="5" t="s">
        <v>23028</v>
      </c>
      <c r="B10581" s="6" t="s">
        <v>23028</v>
      </c>
      <c r="C10581" s="5" t="s">
        <v>22070</v>
      </c>
      <c r="D10581" s="5" t="s">
        <v>22094</v>
      </c>
      <c r="E10581" s="2">
        <v>8504965</v>
      </c>
      <c r="F10581" s="4" t="str">
        <f>IF(B10581=B10580,"",B10581)</f>
        <v>Sampsonievskiy</v>
      </c>
    </row>
    <row r="10582" spans="1:6" ht="15.75" customHeight="1">
      <c r="A10582" s="5" t="str">
        <f ca="1">IFERROR(__xludf.DUMMYFUNCTION("GOOGLETRANSLATE(B40996,""en"",""pt"")"),"Sampsonievskiy")</f>
        <v>Sampsonievskiy</v>
      </c>
      <c r="B10582" s="17" t="s">
        <v>23028</v>
      </c>
      <c r="C10582" s="17" t="s">
        <v>22070</v>
      </c>
      <c r="D10582" s="17" t="s">
        <v>22094</v>
      </c>
      <c r="E10582" s="10">
        <v>8504965</v>
      </c>
      <c r="F10582" s="4" t="str">
        <f>IF(B10582=B10581,"",B10582)</f>
        <v/>
      </c>
    </row>
    <row r="10583" spans="1:6" ht="15.75" customHeight="1">
      <c r="A10583" s="6" t="s">
        <v>14133</v>
      </c>
      <c r="B10583" s="6" t="s">
        <v>14133</v>
      </c>
      <c r="C10583" s="6" t="s">
        <v>13800</v>
      </c>
      <c r="D10583" s="6" t="s">
        <v>13991</v>
      </c>
      <c r="E10583" s="2">
        <v>1628884</v>
      </c>
      <c r="F10583" s="4" t="str">
        <f>IF(B10583=B10582,"",B10583)</f>
        <v>Sampit</v>
      </c>
    </row>
    <row r="10584" spans="1:6" ht="15.75" customHeight="1">
      <c r="A10584" s="5" t="str">
        <f ca="1">IFERROR(__xludf.DUMMYFUNCTION("GOOGLETRANSLATE(B31464,""en"",""pt"")"),"Sampit")</f>
        <v>Sampit</v>
      </c>
      <c r="B10584" s="17" t="s">
        <v>14133</v>
      </c>
      <c r="C10584" s="17" t="s">
        <v>13800</v>
      </c>
      <c r="D10584" s="17" t="s">
        <v>13991</v>
      </c>
      <c r="E10584" s="10">
        <v>1628884</v>
      </c>
      <c r="F10584" s="4" t="str">
        <f>IF(B10584=B10583,"",B10584)</f>
        <v/>
      </c>
    </row>
    <row r="10585" spans="1:6" ht="15.75" customHeight="1">
      <c r="A10585" s="6" t="s">
        <v>14132</v>
      </c>
      <c r="B10585" s="6" t="s">
        <v>14132</v>
      </c>
      <c r="C10585" s="6" t="s">
        <v>13800</v>
      </c>
      <c r="D10585" s="6" t="s">
        <v>13816</v>
      </c>
      <c r="E10585" s="2">
        <v>1628899</v>
      </c>
      <c r="F10585" s="4" t="str">
        <f>IF(B10585=B10584,"",B10585)</f>
        <v>Sampang</v>
      </c>
    </row>
    <row r="10586" spans="1:6" ht="15.75" customHeight="1">
      <c r="A10586" s="5" t="str">
        <f ca="1">IFERROR(__xludf.DUMMYFUNCTION("GOOGLETRANSLATE(B31465,""en"",""pt"")"),"Sampang")</f>
        <v>Sampang</v>
      </c>
      <c r="B10586" s="17" t="s">
        <v>14132</v>
      </c>
      <c r="C10586" s="17" t="s">
        <v>13800</v>
      </c>
      <c r="D10586" s="17" t="s">
        <v>13816</v>
      </c>
      <c r="E10586" s="10">
        <v>1628899</v>
      </c>
      <c r="F10586" s="4" t="str">
        <f>IF(B10586=B10585,"",B10586)</f>
        <v/>
      </c>
    </row>
    <row r="10587" spans="1:6" ht="15.75" customHeight="1">
      <c r="A10587" s="6" t="s">
        <v>20991</v>
      </c>
      <c r="B10587" s="6" t="s">
        <v>20991</v>
      </c>
      <c r="C10587" s="6" t="s">
        <v>20598</v>
      </c>
      <c r="D10587" s="6" t="s">
        <v>20608</v>
      </c>
      <c r="E10587" s="2">
        <v>1690570</v>
      </c>
      <c r="F10587" s="4" t="str">
        <f>IF(B10587=B10586,"",B10587)</f>
        <v>Sampaloc</v>
      </c>
    </row>
    <row r="10588" spans="1:6" ht="15.75" customHeight="1">
      <c r="A10588" s="5" t="str">
        <f ca="1">IFERROR(__xludf.DUMMYFUNCTION("GOOGLETRANSLATE(B38523,""en"",""pt"")"),"Sampaloc")</f>
        <v>Sampaloc</v>
      </c>
      <c r="B10588" s="18" t="s">
        <v>20991</v>
      </c>
      <c r="C10588" s="17" t="s">
        <v>20598</v>
      </c>
      <c r="D10588" s="17" t="s">
        <v>20608</v>
      </c>
      <c r="E10588" s="10">
        <v>1690570</v>
      </c>
      <c r="F10588" s="4" t="str">
        <f>IF(B10588=B10587,"",B10588)</f>
        <v/>
      </c>
    </row>
    <row r="10589" spans="1:6" ht="15.75" customHeight="1">
      <c r="A10589" s="6" t="s">
        <v>3747</v>
      </c>
      <c r="B10589" s="6" t="s">
        <v>3747</v>
      </c>
      <c r="C10589" s="6" t="s">
        <v>3701</v>
      </c>
      <c r="D10589" s="6" t="s">
        <v>3709</v>
      </c>
      <c r="E10589" s="2">
        <v>727462</v>
      </c>
      <c r="F10589" s="4" t="str">
        <f>IF(B10589=B10588,"",B10589)</f>
        <v>Samokov</v>
      </c>
    </row>
    <row r="10590" spans="1:6" ht="15.75" customHeight="1">
      <c r="A10590" s="5" t="str">
        <f ca="1">IFERROR(__xludf.DUMMYFUNCTION("GOOGLETRANSLATE(B24027,""en"",""pt"")"),"Samokov")</f>
        <v>Samokov</v>
      </c>
      <c r="B10590" s="17" t="s">
        <v>3747</v>
      </c>
      <c r="C10590" s="17" t="s">
        <v>3701</v>
      </c>
      <c r="D10590" s="17" t="s">
        <v>3709</v>
      </c>
      <c r="E10590" s="10">
        <v>727462</v>
      </c>
      <c r="F10590" s="4" t="str">
        <f>IF(B10590=B10589,"",B10590)</f>
        <v/>
      </c>
    </row>
    <row r="10591" spans="1:6" ht="15.75" customHeight="1">
      <c r="A10591" s="6" t="s">
        <v>5733</v>
      </c>
      <c r="B10591" s="6" t="s">
        <v>5733</v>
      </c>
      <c r="C10591" s="6" t="s">
        <v>5711</v>
      </c>
      <c r="D10591" s="6" t="s">
        <v>5734</v>
      </c>
      <c r="E10591" s="2">
        <v>3191316</v>
      </c>
      <c r="F10591" s="4" t="str">
        <f>IF(B10591=B10590,"",B10591)</f>
        <v>Samobor</v>
      </c>
    </row>
    <row r="10592" spans="1:6" ht="15.75" customHeight="1">
      <c r="A10592" s="5" t="str">
        <f ca="1">IFERROR(__xludf.DUMMYFUNCTION("GOOGLETRANSLATE(B31202,""en"",""pt"")"),"Samobor")</f>
        <v>Samobor</v>
      </c>
      <c r="B10592" s="17" t="s">
        <v>5733</v>
      </c>
      <c r="C10592" s="17" t="s">
        <v>5711</v>
      </c>
      <c r="D10592" s="17" t="s">
        <v>32803</v>
      </c>
      <c r="E10592" s="10">
        <v>3191316</v>
      </c>
      <c r="F10592" s="4" t="str">
        <f>IF(B10592=B10591,"",B10592)</f>
        <v/>
      </c>
    </row>
    <row r="10593" spans="1:6" ht="15.75" customHeight="1">
      <c r="A10593" s="5" t="s">
        <v>29887</v>
      </c>
      <c r="B10593" s="6" t="s">
        <v>29887</v>
      </c>
      <c r="C10593" s="5" t="s">
        <v>27788</v>
      </c>
      <c r="D10593" s="5" t="s">
        <v>27733</v>
      </c>
      <c r="E10593" s="2">
        <v>5809402</v>
      </c>
      <c r="F10593" s="4" t="str">
        <f>IF(B10593=B10592,"",B10593)</f>
        <v>Sammamish</v>
      </c>
    </row>
    <row r="10594" spans="1:6" ht="15.75" customHeight="1">
      <c r="A10594" s="5" t="str">
        <f ca="1">IFERROR(__xludf.DUMMYFUNCTION("GOOGLETRANSLATE(B45372,""en"",""pt"")"),"Sammamish")</f>
        <v>Sammamish</v>
      </c>
      <c r="B10594" s="17" t="s">
        <v>29887</v>
      </c>
      <c r="C10594" s="17" t="s">
        <v>27788</v>
      </c>
      <c r="D10594" s="17" t="s">
        <v>27733</v>
      </c>
      <c r="E10594" s="10">
        <v>5809402</v>
      </c>
      <c r="F10594" s="4" t="str">
        <f>IF(B10594=B10593,"",B10594)</f>
        <v/>
      </c>
    </row>
    <row r="10595" spans="1:6" ht="15.75" customHeight="1">
      <c r="A10595" s="5" t="str">
        <f ca="1">IFERROR(__xludf.DUMMYFUNCTION("GOOGLETRANSLATE(B41018,""en"",""pt"")"),"Şāmitah")</f>
        <v>Şāmitah</v>
      </c>
      <c r="B10595" s="17" t="s">
        <v>35575</v>
      </c>
      <c r="C10595" s="17" t="s">
        <v>23454</v>
      </c>
      <c r="D10595" s="17" t="s">
        <v>23467</v>
      </c>
      <c r="E10595" s="10">
        <v>102451</v>
      </c>
      <c r="F10595" s="4" t="str">
        <f>IF(B10595=B10594,"",B10595)</f>
        <v>Şāmitah</v>
      </c>
    </row>
    <row r="10596" spans="1:6" ht="15.75" customHeight="1">
      <c r="A10596" s="5" t="s">
        <v>19668</v>
      </c>
      <c r="B10596" s="6" t="s">
        <v>19669</v>
      </c>
      <c r="C10596" s="5" t="s">
        <v>19589</v>
      </c>
      <c r="D10596" s="5" t="s">
        <v>19616</v>
      </c>
      <c r="E10596" s="2">
        <v>1871484</v>
      </c>
      <c r="F10596" s="4" t="str">
        <f>IF(B10596=B10595,"",B10596)</f>
        <v>Samho-rodongjagu</v>
      </c>
    </row>
    <row r="10597" spans="1:6" ht="15.75" customHeight="1">
      <c r="A10597" s="5" t="str">
        <f ca="1">IFERROR(__xludf.DUMMYFUNCTION("GOOGLETRANSLATE(B35999,""en"",""pt"")"),"SAMHO-RODONGJAGU")</f>
        <v>SAMHO-RODONGJAGU</v>
      </c>
      <c r="B10597" s="17" t="s">
        <v>19669</v>
      </c>
      <c r="C10597" s="17" t="s">
        <v>19589</v>
      </c>
      <c r="D10597" s="17" t="s">
        <v>34439</v>
      </c>
      <c r="E10597" s="10">
        <v>1871484</v>
      </c>
      <c r="F10597" s="4" t="str">
        <f>IF(B10597=B10596,"",B10597)</f>
        <v/>
      </c>
    </row>
    <row r="10598" spans="1:6" ht="15.75" customHeight="1">
      <c r="A10598" s="6" t="s">
        <v>31068</v>
      </c>
      <c r="B10598" s="6" t="s">
        <v>31068</v>
      </c>
      <c r="C10598" s="6" t="s">
        <v>31038</v>
      </c>
      <c r="D10598" s="6" t="s">
        <v>31052</v>
      </c>
      <c r="E10598" s="2">
        <v>899274</v>
      </c>
      <c r="F10598" s="4" t="str">
        <f>IF(B10598=B10597,"",B10598)</f>
        <v>Samfya</v>
      </c>
    </row>
    <row r="10599" spans="1:6" ht="15.75" customHeight="1">
      <c r="A10599" s="5" t="str">
        <f ca="1">IFERROR(__xludf.DUMMYFUNCTION("GOOGLETRANSLATE(B46007,""en"",""pt"")"),"Samfya")</f>
        <v>Samfya</v>
      </c>
      <c r="B10599" s="17" t="s">
        <v>31068</v>
      </c>
      <c r="C10599" s="17" t="s">
        <v>31038</v>
      </c>
      <c r="D10599" s="17" t="s">
        <v>31052</v>
      </c>
      <c r="E10599" s="10">
        <v>899274</v>
      </c>
      <c r="F10599" s="4" t="str">
        <f>IF(B10599=B10598,"",B10599)</f>
        <v/>
      </c>
    </row>
    <row r="10600" spans="1:6" ht="15.75" customHeight="1">
      <c r="A10600" s="6" t="s">
        <v>6391</v>
      </c>
      <c r="B10600" s="6" t="s">
        <v>6392</v>
      </c>
      <c r="C10600" s="6" t="s">
        <v>6380</v>
      </c>
      <c r="D10600" s="6" t="s">
        <v>6393</v>
      </c>
      <c r="E10600" s="2">
        <v>1937031</v>
      </c>
      <c r="F10600" s="4" t="str">
        <f>IF(B10600=B10599,"",B10600)</f>
        <v>Same</v>
      </c>
    </row>
    <row r="10601" spans="1:6" ht="15.75" customHeight="1">
      <c r="A10601" s="6" t="s">
        <v>6391</v>
      </c>
      <c r="B10601" s="6" t="s">
        <v>6392</v>
      </c>
      <c r="C10601" s="6" t="s">
        <v>25560</v>
      </c>
      <c r="D10601" s="6" t="s">
        <v>25598</v>
      </c>
      <c r="E10601" s="2">
        <v>150276</v>
      </c>
      <c r="F10601" s="4" t="str">
        <f>IF(B10601=B10600,"",B10601)</f>
        <v/>
      </c>
    </row>
    <row r="10602" spans="1:6" ht="15.75" customHeight="1">
      <c r="A10602" s="5" t="str">
        <f ca="1">IFERROR(__xludf.DUMMYFUNCTION("GOOGLETRANSLATE(B41763,""en"",""pt"")"),"Mesmo")</f>
        <v>Mesmo</v>
      </c>
      <c r="B10602" s="17" t="s">
        <v>6392</v>
      </c>
      <c r="C10602" s="17" t="s">
        <v>6380</v>
      </c>
      <c r="D10602" s="17" t="s">
        <v>6393</v>
      </c>
      <c r="E10602" s="10">
        <v>1937031</v>
      </c>
      <c r="F10602" s="4" t="str">
        <f>IF(B10602=B10601,"",B10602)</f>
        <v/>
      </c>
    </row>
    <row r="10603" spans="1:6" ht="15.75" customHeight="1">
      <c r="A10603" s="5" t="str">
        <f ca="1">IFERROR(__xludf.DUMMYFUNCTION("GOOGLETRANSLATE(B42309,""en"",""pt"")"),"Mesmo")</f>
        <v>Mesmo</v>
      </c>
      <c r="B10603" s="17" t="s">
        <v>6392</v>
      </c>
      <c r="C10603" s="17" t="s">
        <v>25560</v>
      </c>
      <c r="D10603" s="17" t="s">
        <v>25598</v>
      </c>
      <c r="E10603" s="10">
        <v>150276</v>
      </c>
      <c r="F10603" s="4" t="str">
        <f>IF(B10603=B10602,"",B10603)</f>
        <v/>
      </c>
    </row>
    <row r="10604" spans="1:6" ht="15.75" customHeight="1">
      <c r="A10604" s="6" t="s">
        <v>13218</v>
      </c>
      <c r="B10604" s="6" t="s">
        <v>13218</v>
      </c>
      <c r="C10604" s="6" t="s">
        <v>10178</v>
      </c>
      <c r="D10604" s="6" t="s">
        <v>10179</v>
      </c>
      <c r="E10604" s="2">
        <v>1257528</v>
      </c>
      <c r="F10604" s="4" t="str">
        <f>IF(B10604=B10603,"",B10604)</f>
        <v>Samdari</v>
      </c>
    </row>
    <row r="10605" spans="1:6" ht="15.75" customHeight="1">
      <c r="A10605" s="5" t="str">
        <f ca="1">IFERROR(__xludf.DUMMYFUNCTION("GOOGLETRANSLATE(B32258,""en"",""pt"")"),"Samdari")</f>
        <v>Samdari</v>
      </c>
      <c r="B10605" s="17" t="s">
        <v>13218</v>
      </c>
      <c r="C10605" s="17" t="s">
        <v>10178</v>
      </c>
      <c r="D10605" s="17" t="s">
        <v>10179</v>
      </c>
      <c r="E10605" s="10">
        <v>1257528</v>
      </c>
      <c r="F10605" s="4" t="str">
        <f>IF(B10605=B10604,"",B10605)</f>
        <v/>
      </c>
    </row>
    <row r="10606" spans="1:6" ht="15.75" customHeight="1">
      <c r="A10606" s="5" t="str">
        <f ca="1">IFERROR(__xludf.DUMMYFUNCTION("GOOGLETRANSLATE(B38928,""en"",""pt"")"),"Sambriāl")</f>
        <v>Sambriāl</v>
      </c>
      <c r="B10606" s="17" t="s">
        <v>34921</v>
      </c>
      <c r="C10606" s="17" t="s">
        <v>19808</v>
      </c>
      <c r="D10606" s="17" t="s">
        <v>10184</v>
      </c>
      <c r="E10606" s="10">
        <v>1166265</v>
      </c>
      <c r="F10606" s="4" t="str">
        <f>IF(B10606=B10605,"",B10606)</f>
        <v>Sambriāl</v>
      </c>
    </row>
    <row r="10607" spans="1:6" ht="15.75" customHeight="1">
      <c r="A10607" s="6" t="s">
        <v>20203</v>
      </c>
      <c r="B10607" s="6" t="s">
        <v>20204</v>
      </c>
      <c r="C10607" s="6" t="s">
        <v>19808</v>
      </c>
      <c r="D10607" s="6" t="s">
        <v>10184</v>
      </c>
      <c r="E10607" s="2">
        <v>1166265</v>
      </c>
      <c r="F10607" s="4" t="str">
        <f>IF(B10607=B10606,"",B10607)</f>
        <v>SambriÄl</v>
      </c>
    </row>
    <row r="10608" spans="1:6" ht="15.75" customHeight="1">
      <c r="A10608" s="5" t="str">
        <f ca="1">IFERROR(__xludf.DUMMYFUNCTION("GOOGLETRANSLATE(B28759,""en"",""pt"")"),"Samborondón")</f>
        <v>Samborondón</v>
      </c>
      <c r="B10608" s="17" t="s">
        <v>32236</v>
      </c>
      <c r="C10608" s="17" t="s">
        <v>6398</v>
      </c>
      <c r="D10608" s="17" t="s">
        <v>6410</v>
      </c>
      <c r="E10608" s="10">
        <v>3652065</v>
      </c>
      <c r="F10608" s="4" t="str">
        <f>IF(B10608=B10607,"",B10608)</f>
        <v>Samborondón</v>
      </c>
    </row>
    <row r="10609" spans="1:6" ht="15.75" customHeight="1">
      <c r="A10609" s="5" t="s">
        <v>6472</v>
      </c>
      <c r="B10609" s="6" t="s">
        <v>6473</v>
      </c>
      <c r="C10609" s="5" t="s">
        <v>6398</v>
      </c>
      <c r="D10609" s="5" t="s">
        <v>6410</v>
      </c>
      <c r="E10609" s="2">
        <v>3652065</v>
      </c>
      <c r="F10609" s="4" t="str">
        <f>IF(B10609=B10608,"",B10609)</f>
        <v>SamborondÃ³n</v>
      </c>
    </row>
    <row r="10610" spans="1:6" ht="15.75" customHeight="1">
      <c r="A10610" s="6" t="s">
        <v>27129</v>
      </c>
      <c r="B10610" s="6" t="s">
        <v>27129</v>
      </c>
      <c r="C10610" s="6" t="s">
        <v>26870</v>
      </c>
      <c r="D10610" s="6" t="s">
        <v>26916</v>
      </c>
      <c r="E10610" s="2">
        <v>694864</v>
      </c>
      <c r="F10610" s="4" t="str">
        <f>IF(B10610=B10609,"",B10610)</f>
        <v>Sambir</v>
      </c>
    </row>
    <row r="10611" spans="1:6" ht="15.75" customHeight="1">
      <c r="A10611" s="5" t="str">
        <f ca="1">IFERROR(__xludf.DUMMYFUNCTION("GOOGLETRANSLATE(B42533,""en"",""pt"")"),"Sambir")</f>
        <v>Sambir</v>
      </c>
      <c r="B10611" s="17" t="s">
        <v>27129</v>
      </c>
      <c r="C10611" s="17" t="s">
        <v>26870</v>
      </c>
      <c r="D10611" s="17" t="s">
        <v>26916</v>
      </c>
      <c r="E10611" s="10">
        <v>694864</v>
      </c>
      <c r="F10611" s="4" t="str">
        <f>IF(B10611=B10610,"",B10611)</f>
        <v/>
      </c>
    </row>
    <row r="10612" spans="1:6" ht="15.75" customHeight="1">
      <c r="A10612" s="5" t="str">
        <f ca="1">IFERROR(__xludf.DUMMYFUNCTION("GOOGLETRANSLATE(B32259,""en"",""pt"")"),"Sāmbhar")</f>
        <v>Sāmbhar</v>
      </c>
      <c r="B10612" s="17" t="s">
        <v>33128</v>
      </c>
      <c r="C10612" s="17" t="s">
        <v>10178</v>
      </c>
      <c r="D10612" s="17" t="s">
        <v>10179</v>
      </c>
      <c r="E10612" s="10">
        <v>1257539</v>
      </c>
      <c r="F10612" s="4" t="str">
        <f>IF(B10612=B10611,"",B10612)</f>
        <v>Sāmbhar</v>
      </c>
    </row>
    <row r="10613" spans="1:6" ht="15.75" customHeight="1">
      <c r="A10613" s="6" t="s">
        <v>13217</v>
      </c>
      <c r="B10613" s="6" t="s">
        <v>13217</v>
      </c>
      <c r="C10613" s="6" t="s">
        <v>10178</v>
      </c>
      <c r="D10613" s="6" t="s">
        <v>10193</v>
      </c>
      <c r="E10613" s="2">
        <v>1257540</v>
      </c>
      <c r="F10613" s="4" t="str">
        <f>IF(B10613=B10612,"",B10613)</f>
        <v>Sambhal</v>
      </c>
    </row>
    <row r="10614" spans="1:6" ht="15.75" customHeight="1">
      <c r="A10614" s="5" t="str">
        <f ca="1">IFERROR(__xludf.DUMMYFUNCTION("GOOGLETRANSLATE(B32260,""en"",""pt"")"),"Sambhal")</f>
        <v>Sambhal</v>
      </c>
      <c r="B10614" s="17" t="s">
        <v>13217</v>
      </c>
      <c r="C10614" s="17" t="s">
        <v>10178</v>
      </c>
      <c r="D10614" s="17" t="s">
        <v>10193</v>
      </c>
      <c r="E10614" s="10">
        <v>1257540</v>
      </c>
      <c r="F10614" s="4" t="str">
        <f>IF(B10614=B10613,"",B10614)</f>
        <v/>
      </c>
    </row>
    <row r="10615" spans="1:6" ht="15.75" customHeight="1">
      <c r="A10615" s="6" t="s">
        <v>17392</v>
      </c>
      <c r="B10615" s="6" t="s">
        <v>17392</v>
      </c>
      <c r="C10615" s="6" t="s">
        <v>17292</v>
      </c>
      <c r="D10615" s="6" t="s">
        <v>1486</v>
      </c>
      <c r="E10615" s="2">
        <v>1056899</v>
      </c>
      <c r="F10615" s="4" t="str">
        <f>IF(B10615=B10614,"",B10615)</f>
        <v>Sambava</v>
      </c>
    </row>
    <row r="10616" spans="1:6" ht="15.75" customHeight="1">
      <c r="A10616" s="5" t="str">
        <f ca="1">IFERROR(__xludf.DUMMYFUNCTION("GOOGLETRANSLATE(B36570,""en"",""pt"")"),"Sambava")</f>
        <v>Sambava</v>
      </c>
      <c r="B10616" s="17" t="s">
        <v>17392</v>
      </c>
      <c r="C10616" s="17" t="s">
        <v>17292</v>
      </c>
      <c r="D10616" s="17" t="s">
        <v>1486</v>
      </c>
      <c r="E10616" s="10">
        <v>1056899</v>
      </c>
      <c r="F10616" s="4" t="str">
        <f>IF(B10616=B10615,"",B10616)</f>
        <v/>
      </c>
    </row>
    <row r="10617" spans="1:6" ht="15.75" customHeight="1">
      <c r="A10617" s="5" t="s">
        <v>13216</v>
      </c>
      <c r="B10617" s="6" t="s">
        <v>13216</v>
      </c>
      <c r="C10617" s="5" t="s">
        <v>10178</v>
      </c>
      <c r="D10617" s="5" t="s">
        <v>10229</v>
      </c>
      <c r="E10617" s="2">
        <v>1257542</v>
      </c>
      <c r="F10617" s="4" t="str">
        <f>IF(B10617=B10616,"",B10617)</f>
        <v>Sambalpur</v>
      </c>
    </row>
    <row r="10618" spans="1:6" ht="15.75" customHeight="1">
      <c r="A10618" s="5" t="str">
        <f ca="1">IFERROR(__xludf.DUMMYFUNCTION("GOOGLETRANSLATE(B32261,""en"",""pt"")"),"Sambalpur")</f>
        <v>Sambalpur</v>
      </c>
      <c r="B10618" s="17" t="s">
        <v>13216</v>
      </c>
      <c r="C10618" s="17" t="s">
        <v>10178</v>
      </c>
      <c r="D10618" s="17" t="s">
        <v>10229</v>
      </c>
      <c r="E10618" s="10">
        <v>1257542</v>
      </c>
      <c r="F10618" s="4" t="str">
        <f>IF(B10618=B10617,"",B10618)</f>
        <v/>
      </c>
    </row>
    <row r="10619" spans="1:6" ht="15.75" customHeight="1">
      <c r="A10619" s="5" t="str">
        <f ca="1">IFERROR(__xludf.DUMMYFUNCTION("GOOGLETRANSLATE(B32262,""en"",""pt"")"),"Samba")</f>
        <v>Samba</v>
      </c>
      <c r="B10619" s="17" t="s">
        <v>33129</v>
      </c>
      <c r="C10619" s="17" t="s">
        <v>10178</v>
      </c>
      <c r="D10619" s="17" t="s">
        <v>10355</v>
      </c>
      <c r="E10619" s="10">
        <v>1257545</v>
      </c>
      <c r="F10619" s="4" t="str">
        <f>IF(B10619=B10618,"",B10619)</f>
        <v>Sāmba</v>
      </c>
    </row>
    <row r="10620" spans="1:6" ht="15.75" customHeight="1">
      <c r="A10620" s="5" t="str">
        <f ca="1">IFERROR(__xludf.DUMMYFUNCTION("GOOGLETRANSLATE(B32263,""en"",""pt"")"),"Samāstipur")</f>
        <v>Samāstipur</v>
      </c>
      <c r="B10620" s="17" t="s">
        <v>33130</v>
      </c>
      <c r="C10620" s="17" t="s">
        <v>10178</v>
      </c>
      <c r="D10620" s="17" t="s">
        <v>10317</v>
      </c>
      <c r="E10620" s="10">
        <v>1257551</v>
      </c>
      <c r="F10620" s="4" t="str">
        <f>IF(B10620=B10619,"",B10620)</f>
        <v>Samāstipur</v>
      </c>
    </row>
    <row r="10621" spans="1:6" ht="15.75" customHeight="1">
      <c r="A10621" s="5" t="str">
        <f ca="1">IFERROR(__xludf.DUMMYFUNCTION("GOOGLETRANSLATE(B34278,""en"",""pt"")"),"Sāmarrā '")</f>
        <v>Sāmarrā '</v>
      </c>
      <c r="B10621" s="17" t="s">
        <v>34071</v>
      </c>
      <c r="C10621" s="17" t="s">
        <v>14594</v>
      </c>
      <c r="D10621" s="17" t="s">
        <v>14620</v>
      </c>
      <c r="E10621" s="10">
        <v>91597</v>
      </c>
      <c r="F10621" s="4" t="str">
        <f>IF(B10621=B10620,"",B10621)</f>
        <v>Sāmarrā’</v>
      </c>
    </row>
    <row r="10622" spans="1:6" ht="15.75" customHeight="1">
      <c r="A10622" s="5" t="s">
        <v>30522</v>
      </c>
      <c r="B10622" s="6" t="s">
        <v>30522</v>
      </c>
      <c r="C10622" s="5" t="s">
        <v>30502</v>
      </c>
      <c r="D10622" s="5" t="s">
        <v>30522</v>
      </c>
      <c r="E10622" s="2">
        <v>1216265</v>
      </c>
      <c r="F10622" s="4" t="str">
        <f>IF(B10622=B10621,"",B10622)</f>
        <v>Samarqand</v>
      </c>
    </row>
    <row r="10623" spans="1:6" ht="15.75" customHeight="1">
      <c r="A10623" s="5" t="str">
        <f ca="1">IFERROR(__xludf.DUMMYFUNCTION("GOOGLETRANSLATE(B45508,""en"",""pt"")"),"Samarqand")</f>
        <v>Samarqand</v>
      </c>
      <c r="B10623" s="17" t="s">
        <v>30522</v>
      </c>
      <c r="C10623" s="17" t="s">
        <v>30502</v>
      </c>
      <c r="D10623" s="17" t="s">
        <v>30522</v>
      </c>
      <c r="E10623" s="10">
        <v>1216265</v>
      </c>
      <c r="F10623" s="4" t="str">
        <f>IF(B10623=B10622,"",B10623)</f>
        <v/>
      </c>
    </row>
    <row r="10624" spans="1:6" ht="15.75" customHeight="1">
      <c r="A10624" s="5" t="s">
        <v>14131</v>
      </c>
      <c r="B10624" s="6" t="s">
        <v>14131</v>
      </c>
      <c r="C10624" s="5" t="s">
        <v>13800</v>
      </c>
      <c r="D10624" s="5" t="s">
        <v>13823</v>
      </c>
      <c r="E10624" s="2">
        <v>1629001</v>
      </c>
      <c r="F10624" s="4" t="str">
        <f>IF(B10624=B10623,"",B10624)</f>
        <v>Samarinda</v>
      </c>
    </row>
    <row r="10625" spans="1:6" ht="15.75" customHeight="1">
      <c r="A10625" s="5" t="str">
        <f ca="1">IFERROR(__xludf.DUMMYFUNCTION("GOOGLETRANSLATE(B31466,""en"",""pt"")"),"Samarinda")</f>
        <v>Samarinda</v>
      </c>
      <c r="B10625" s="17" t="s">
        <v>14131</v>
      </c>
      <c r="C10625" s="17" t="s">
        <v>13800</v>
      </c>
      <c r="D10625" s="17" t="s">
        <v>13823</v>
      </c>
      <c r="E10625" s="10">
        <v>1629001</v>
      </c>
      <c r="F10625" s="4" t="str">
        <f>IF(B10625=B10624,"",B10625)</f>
        <v/>
      </c>
    </row>
    <row r="10626" spans="1:6" ht="15.75" customHeight="1">
      <c r="A10626" s="6" t="s">
        <v>22227</v>
      </c>
      <c r="B10626" s="6" t="s">
        <v>22227</v>
      </c>
      <c r="C10626" s="6" t="s">
        <v>22070</v>
      </c>
      <c r="D10626" s="6" t="s">
        <v>22227</v>
      </c>
      <c r="E10626" s="2">
        <v>499099</v>
      </c>
      <c r="F10626" s="4" t="str">
        <f>IF(B10626=B10625,"",B10626)</f>
        <v>Samara</v>
      </c>
    </row>
    <row r="10627" spans="1:6" ht="15.75" customHeight="1">
      <c r="A10627" s="5" t="str">
        <f ca="1">IFERROR(__xludf.DUMMYFUNCTION("GOOGLETRANSLATE(B40140,""en"",""pt"")"),"Samara")</f>
        <v>Samara</v>
      </c>
      <c r="B10627" s="17" t="s">
        <v>22227</v>
      </c>
      <c r="C10627" s="17" t="s">
        <v>22070</v>
      </c>
      <c r="D10627" s="17" t="s">
        <v>22227</v>
      </c>
      <c r="E10627" s="10">
        <v>499099</v>
      </c>
      <c r="F10627" s="4" t="str">
        <f>IF(B10627=B10626,"",B10627)</f>
        <v/>
      </c>
    </row>
    <row r="10628" spans="1:6" ht="15.75" customHeight="1">
      <c r="A10628" s="5" t="str">
        <f ca="1">IFERROR(__xludf.DUMMYFUNCTION("GOOGLETRANSLATE(B28834,""en"",""pt"")"),"Samannūd")</f>
        <v>Samannūd</v>
      </c>
      <c r="B10628" s="17" t="s">
        <v>32261</v>
      </c>
      <c r="C10628" s="17" t="s">
        <v>6495</v>
      </c>
      <c r="D10628" s="17" t="s">
        <v>32245</v>
      </c>
      <c r="E10628" s="10">
        <v>349715</v>
      </c>
      <c r="F10628" s="4" t="str">
        <f>IF(B10628=B10627,"",B10628)</f>
        <v>Samannūd</v>
      </c>
    </row>
    <row r="10629" spans="1:6" ht="15.75" customHeight="1">
      <c r="A10629" s="5" t="s">
        <v>6707</v>
      </c>
      <c r="B10629" s="6" t="s">
        <v>6708</v>
      </c>
      <c r="C10629" s="5" t="s">
        <v>6495</v>
      </c>
      <c r="D10629" s="5" t="s">
        <v>6567</v>
      </c>
      <c r="E10629" s="2">
        <v>349715</v>
      </c>
      <c r="F10629" s="4" t="str">
        <f>IF(B10629=B10628,"",B10629)</f>
        <v>SamannÅ«d</v>
      </c>
    </row>
    <row r="10630" spans="1:6" ht="15.75" customHeight="1">
      <c r="A10630" s="5" t="str">
        <f ca="1">IFERROR(__xludf.DUMMYFUNCTION("GOOGLETRANSLATE(B28835,""en"",""pt"")"),"Samālūţ")</f>
        <v>Samālūţ</v>
      </c>
      <c r="B10630" s="17" t="s">
        <v>32262</v>
      </c>
      <c r="C10630" s="17" t="s">
        <v>6495</v>
      </c>
      <c r="D10630" s="17" t="s">
        <v>32263</v>
      </c>
      <c r="E10630" s="10">
        <v>349717</v>
      </c>
      <c r="F10630" s="4" t="str">
        <f>IF(B10630=B10629,"",B10630)</f>
        <v>Samālūţ</v>
      </c>
    </row>
    <row r="10631" spans="1:6" ht="15.75" customHeight="1">
      <c r="A10631" s="5" t="str">
        <f ca="1">IFERROR(__xludf.DUMMYFUNCTION("GOOGLETRANSLATE(B32264,""en"",""pt"")"),"Sāmalkot")</f>
        <v>Sāmalkot</v>
      </c>
      <c r="B10631" s="17" t="s">
        <v>33131</v>
      </c>
      <c r="C10631" s="17" t="s">
        <v>10178</v>
      </c>
      <c r="D10631" s="17" t="s">
        <v>10190</v>
      </c>
      <c r="E10631" s="10">
        <v>1257565</v>
      </c>
      <c r="F10631" s="4" t="str">
        <f>IF(B10631=B10630,"",B10631)</f>
        <v>Sāmalkot</v>
      </c>
    </row>
    <row r="10632" spans="1:6" ht="15.75" customHeight="1">
      <c r="A10632" s="5" t="str">
        <f ca="1">IFERROR(__xludf.DUMMYFUNCTION("GOOGLETRANSLATE(B32265,""en"",""pt"")"),"Samālkha")</f>
        <v>Samālkha</v>
      </c>
      <c r="B10632" s="17" t="s">
        <v>33132</v>
      </c>
      <c r="C10632" s="17" t="s">
        <v>10178</v>
      </c>
      <c r="D10632" s="17" t="s">
        <v>10224</v>
      </c>
      <c r="E10632" s="10">
        <v>1257566</v>
      </c>
      <c r="F10632" s="4" t="str">
        <f>IF(B10632=B10631,"",B10632)</f>
        <v>Samālkha</v>
      </c>
    </row>
    <row r="10633" spans="1:6" ht="15.75" customHeight="1">
      <c r="A10633" s="6" t="s">
        <v>20990</v>
      </c>
      <c r="B10633" s="6" t="s">
        <v>20990</v>
      </c>
      <c r="C10633" s="6" t="s">
        <v>20598</v>
      </c>
      <c r="D10633" s="6" t="s">
        <v>20599</v>
      </c>
      <c r="E10633" s="2">
        <v>1690664</v>
      </c>
      <c r="F10633" s="4" t="str">
        <f>IF(B10633=B10632,"",B10633)</f>
        <v>Samal</v>
      </c>
    </row>
    <row r="10634" spans="1:6" ht="15.75" customHeight="1">
      <c r="A10634" s="6" t="s">
        <v>20990</v>
      </c>
      <c r="B10634" s="6" t="s">
        <v>20990</v>
      </c>
      <c r="C10634" s="6" t="s">
        <v>20598</v>
      </c>
      <c r="D10634" s="6" t="s">
        <v>20658</v>
      </c>
      <c r="E10634" s="2">
        <v>1690666</v>
      </c>
      <c r="F10634" s="4" t="str">
        <f>IF(B10634=B10633,"",B10634)</f>
        <v/>
      </c>
    </row>
    <row r="10635" spans="1:6" ht="15.75" customHeight="1">
      <c r="A10635" s="5" t="str">
        <f ca="1">IFERROR(__xludf.DUMMYFUNCTION("GOOGLETRANSLATE(B38524,""en"",""pt"")"),"Samal")</f>
        <v>Samal</v>
      </c>
      <c r="B10635" s="17" t="s">
        <v>20990</v>
      </c>
      <c r="C10635" s="17" t="s">
        <v>20598</v>
      </c>
      <c r="D10635" s="17" t="s">
        <v>20599</v>
      </c>
      <c r="E10635" s="10">
        <v>1690664</v>
      </c>
      <c r="F10635" s="4" t="str">
        <f>IF(B10635=B10634,"",B10635)</f>
        <v/>
      </c>
    </row>
    <row r="10636" spans="1:6" ht="15.75" customHeight="1">
      <c r="A10636" s="5" t="str">
        <f ca="1">IFERROR(__xludf.DUMMYFUNCTION("GOOGLETRANSLATE(B38525,""en"",""pt"")"),"Samal")</f>
        <v>Samal</v>
      </c>
      <c r="B10636" s="17" t="s">
        <v>20990</v>
      </c>
      <c r="C10636" s="17" t="s">
        <v>20598</v>
      </c>
      <c r="D10636" s="17" t="s">
        <v>20658</v>
      </c>
      <c r="E10636" s="10">
        <v>1690666</v>
      </c>
      <c r="F10636" s="4" t="str">
        <f>IF(B10636=B10635,"",B10636)</f>
        <v/>
      </c>
    </row>
    <row r="10637" spans="1:6" ht="15.75" customHeight="1">
      <c r="A10637" s="5" t="s">
        <v>13214</v>
      </c>
      <c r="B10637" s="6" t="s">
        <v>13215</v>
      </c>
      <c r="C10637" s="5" t="s">
        <v>10178</v>
      </c>
      <c r="D10637" s="5" t="s">
        <v>10317</v>
      </c>
      <c r="E10637" s="2">
        <v>1257551</v>
      </c>
      <c r="F10637" s="4" t="str">
        <f>IF(B10637=B10636,"",B10637)</f>
        <v>SamÄstipur</v>
      </c>
    </row>
    <row r="10638" spans="1:6" ht="15.75" customHeight="1">
      <c r="A10638" s="5" t="s">
        <v>13212</v>
      </c>
      <c r="B10638" s="6" t="s">
        <v>13213</v>
      </c>
      <c r="C10638" s="5" t="s">
        <v>10178</v>
      </c>
      <c r="D10638" s="5" t="s">
        <v>10224</v>
      </c>
      <c r="E10638" s="2">
        <v>1257566</v>
      </c>
      <c r="F10638" s="4" t="str">
        <f>IF(B10638=B10637,"",B10638)</f>
        <v>SamÄlkha</v>
      </c>
    </row>
    <row r="10639" spans="1:6" ht="15.75" customHeight="1">
      <c r="A10639" s="5" t="s">
        <v>6705</v>
      </c>
      <c r="B10639" s="6" t="s">
        <v>6706</v>
      </c>
      <c r="C10639" s="5" t="s">
        <v>6495</v>
      </c>
      <c r="D10639" s="5" t="s">
        <v>6520</v>
      </c>
      <c r="E10639" s="2">
        <v>349717</v>
      </c>
      <c r="F10639" s="4" t="str">
        <f>IF(B10639=B10638,"",B10639)</f>
        <v>SamÄlÅ«Å£</v>
      </c>
    </row>
    <row r="10640" spans="1:6" ht="15.75" customHeight="1">
      <c r="A10640" s="6" t="s">
        <v>24750</v>
      </c>
      <c r="B10640" s="6" t="s">
        <v>24750</v>
      </c>
      <c r="C10640" s="6" t="s">
        <v>24200</v>
      </c>
      <c r="D10640" s="6" t="s">
        <v>24303</v>
      </c>
      <c r="E10640" s="2">
        <v>3110962</v>
      </c>
      <c r="F10640" s="4" t="str">
        <f>IF(B10640=B10639,"",B10640)</f>
        <v>Sama</v>
      </c>
    </row>
    <row r="10641" spans="1:6" ht="15.75" customHeight="1">
      <c r="A10641" s="5" t="str">
        <f ca="1">IFERROR(__xludf.DUMMYFUNCTION("GOOGLETRANSLATE(B29306,""en"",""pt"")"),"Sama")</f>
        <v>Sama</v>
      </c>
      <c r="B10641" s="17" t="s">
        <v>24750</v>
      </c>
      <c r="C10641" s="17" t="s">
        <v>24200</v>
      </c>
      <c r="D10641" s="17" t="s">
        <v>24303</v>
      </c>
      <c r="E10641" s="10">
        <v>3110962</v>
      </c>
      <c r="F10641" s="4" t="str">
        <f>IF(B10641=B10640,"",B10641)</f>
        <v/>
      </c>
    </row>
    <row r="10642" spans="1:6" ht="15.75" customHeight="1">
      <c r="A10642" s="5" t="s">
        <v>25984</v>
      </c>
      <c r="B10642" s="6" t="s">
        <v>25984</v>
      </c>
      <c r="C10642" s="5" t="s">
        <v>25771</v>
      </c>
      <c r="D10642" s="5" t="s">
        <v>25846</v>
      </c>
      <c r="E10642" s="2">
        <v>1117823</v>
      </c>
      <c r="F10642" s="4" t="str">
        <f>IF(B10642=B10641,"",B10642)</f>
        <v>Sam Roi Yot</v>
      </c>
    </row>
    <row r="10643" spans="1:6" ht="15.75" customHeight="1">
      <c r="A10643" s="5" t="str">
        <f ca="1">IFERROR(__xludf.DUMMYFUNCTION("GOOGLETRANSLATE(B41513,""en"",""pt"")"),"Sam Roi Yot")</f>
        <v>Sam Roi Yot</v>
      </c>
      <c r="B10643" s="17" t="s">
        <v>25984</v>
      </c>
      <c r="C10643" s="17" t="s">
        <v>25771</v>
      </c>
      <c r="D10643" s="17" t="s">
        <v>25846</v>
      </c>
      <c r="E10643" s="10">
        <v>1117823</v>
      </c>
      <c r="F10643" s="4" t="str">
        <f>IF(B10643=B10642,"",B10643)</f>
        <v/>
      </c>
    </row>
    <row r="10644" spans="1:6" ht="15.75" customHeight="1">
      <c r="A10644" s="5" t="s">
        <v>25983</v>
      </c>
      <c r="B10644" s="6" t="s">
        <v>25983</v>
      </c>
      <c r="C10644" s="5" t="s">
        <v>25771</v>
      </c>
      <c r="D10644" s="5" t="s">
        <v>25834</v>
      </c>
      <c r="E10644" s="2">
        <v>1606638</v>
      </c>
      <c r="F10644" s="4" t="str">
        <f>IF(B10644=B10643,"",B10644)</f>
        <v>Sam Phran</v>
      </c>
    </row>
    <row r="10645" spans="1:6" ht="15.75" customHeight="1">
      <c r="A10645" s="5" t="str">
        <f ca="1">IFERROR(__xludf.DUMMYFUNCTION("GOOGLETRANSLATE(B41614,""en"",""pt"")"),"Sam Phran")</f>
        <v>Sam Phran</v>
      </c>
      <c r="B10645" s="17" t="s">
        <v>25983</v>
      </c>
      <c r="C10645" s="17" t="s">
        <v>25771</v>
      </c>
      <c r="D10645" s="17" t="s">
        <v>25834</v>
      </c>
      <c r="E10645" s="10">
        <v>1606638</v>
      </c>
      <c r="F10645" s="4" t="str">
        <f>IF(B10645=B10644,"",B10645)</f>
        <v/>
      </c>
    </row>
    <row r="10646" spans="1:6" ht="15.75" customHeight="1">
      <c r="A10646" s="5" t="s">
        <v>9075</v>
      </c>
      <c r="B10646" s="6" t="s">
        <v>9075</v>
      </c>
      <c r="C10646" s="5" t="s">
        <v>8028</v>
      </c>
      <c r="D10646" s="5" t="s">
        <v>8085</v>
      </c>
      <c r="E10646" s="2">
        <v>2842112</v>
      </c>
      <c r="F10646" s="4" t="str">
        <f>IF(B10646=B10645,"",B10646)</f>
        <v>Salzwedel</v>
      </c>
    </row>
    <row r="10647" spans="1:6" ht="15.75" customHeight="1">
      <c r="A10647" s="5" t="str">
        <f ca="1">IFERROR(__xludf.DUMMYFUNCTION("GOOGLETRANSLATE(B27580,""en"",""pt"")"),"Salzwedel")</f>
        <v>Salzwedel</v>
      </c>
      <c r="B10647" s="17" t="s">
        <v>9075</v>
      </c>
      <c r="C10647" s="17" t="s">
        <v>8028</v>
      </c>
      <c r="D10647" s="17" t="s">
        <v>8085</v>
      </c>
      <c r="E10647" s="10">
        <v>2842112</v>
      </c>
      <c r="F10647" s="4" t="str">
        <f>IF(B10647=B10646,"",B10647)</f>
        <v/>
      </c>
    </row>
    <row r="10648" spans="1:6" ht="15.75" customHeight="1">
      <c r="A10648" s="5" t="s">
        <v>9074</v>
      </c>
      <c r="B10648" s="6" t="s">
        <v>9074</v>
      </c>
      <c r="C10648" s="5" t="s">
        <v>8028</v>
      </c>
      <c r="D10648" s="5" t="s">
        <v>8029</v>
      </c>
      <c r="E10648" s="2">
        <v>2842131</v>
      </c>
      <c r="F10648" s="4" t="str">
        <f>IF(B10648=B10647,"",B10648)</f>
        <v>Salzkotten</v>
      </c>
    </row>
    <row r="10649" spans="1:6" ht="15.75" customHeight="1">
      <c r="A10649" s="5" t="str">
        <f ca="1">IFERROR(__xludf.DUMMYFUNCTION("GOOGLETRANSLATE(B27581,""en"",""pt"")"),"Salzkotten")</f>
        <v>Salzkotten</v>
      </c>
      <c r="B10649" s="17" t="s">
        <v>9074</v>
      </c>
      <c r="C10649" s="17" t="s">
        <v>8028</v>
      </c>
      <c r="D10649" s="17" t="s">
        <v>8029</v>
      </c>
      <c r="E10649" s="10">
        <v>2842131</v>
      </c>
      <c r="F10649" s="4" t="str">
        <f>IF(B10649=B10648,"",B10649)</f>
        <v/>
      </c>
    </row>
    <row r="10650" spans="1:6" ht="15.75" customHeight="1">
      <c r="A10650" s="6" t="s">
        <v>1150</v>
      </c>
      <c r="B10650" s="6" t="s">
        <v>1120</v>
      </c>
      <c r="C10650" s="6" t="s">
        <v>1117</v>
      </c>
      <c r="D10650" s="6" t="s">
        <v>1120</v>
      </c>
      <c r="E10650" s="2">
        <v>2766824</v>
      </c>
      <c r="F10650" s="4" t="str">
        <f>IF(B10650=B10649,"",B10650)</f>
        <v>Salzburg</v>
      </c>
    </row>
    <row r="10651" spans="1:6" ht="15.75" customHeight="1">
      <c r="A10651" s="5" t="str">
        <f ca="1">IFERROR(__xludf.DUMMYFUNCTION("GOOGLETRANSLATE(B23385,""en"",""pt"")"),"Salzburgo")</f>
        <v>Salzburgo</v>
      </c>
      <c r="B10651" s="17" t="s">
        <v>1120</v>
      </c>
      <c r="C10651" s="17" t="s">
        <v>1117</v>
      </c>
      <c r="D10651" s="17" t="s">
        <v>1120</v>
      </c>
      <c r="E10651" s="10">
        <v>2766824</v>
      </c>
      <c r="F10651" s="4" t="str">
        <f>IF(B10651=B10650,"",B10651)</f>
        <v/>
      </c>
    </row>
    <row r="10652" spans="1:6" ht="15.75" customHeight="1">
      <c r="A10652" s="6" t="s">
        <v>1245</v>
      </c>
      <c r="B10652" s="6" t="s">
        <v>1245</v>
      </c>
      <c r="C10652" s="6" t="s">
        <v>1170</v>
      </c>
      <c r="D10652" s="6" t="s">
        <v>1245</v>
      </c>
      <c r="E10652" s="2">
        <v>147271</v>
      </c>
      <c r="F10652" s="4" t="str">
        <f>IF(B10652=B10651,"",B10652)</f>
        <v>Salyan</v>
      </c>
    </row>
    <row r="10653" spans="1:6" ht="15.75" customHeight="1">
      <c r="A10653" s="5" t="str">
        <f ca="1">IFERROR(__xludf.DUMMYFUNCTION("GOOGLETRANSLATE(B23618,""en"",""pt"")"),"Salyan")</f>
        <v>Salyan</v>
      </c>
      <c r="B10653" s="17" t="s">
        <v>1245</v>
      </c>
      <c r="C10653" s="17" t="s">
        <v>1170</v>
      </c>
      <c r="D10653" s="17" t="s">
        <v>1245</v>
      </c>
      <c r="E10653" s="10">
        <v>147271</v>
      </c>
      <c r="F10653" s="4" t="str">
        <f>IF(B10653=B10652,"",B10653)</f>
        <v/>
      </c>
    </row>
    <row r="10654" spans="1:6" ht="15.75" customHeight="1">
      <c r="A10654" s="6" t="s">
        <v>16920</v>
      </c>
      <c r="B10654" s="6" t="s">
        <v>16921</v>
      </c>
      <c r="C10654" s="6" t="s">
        <v>16884</v>
      </c>
      <c r="D10654" s="6" t="s">
        <v>16885</v>
      </c>
      <c r="E10654" s="2">
        <v>387958</v>
      </c>
      <c r="F10654" s="4" t="str">
        <f>IF(B10654=B10653,"",B10654)</f>
        <v>SalwÃ¡</v>
      </c>
    </row>
    <row r="10655" spans="1:6" ht="15.75" customHeight="1">
      <c r="A10655" s="5" t="str">
        <f ca="1">IFERROR(__xludf.DUMMYFUNCTION("GOOGLETRANSLATE(B36180,""en"",""pt"")"),"Salwá")</f>
        <v>Salwá</v>
      </c>
      <c r="B10655" s="17" t="s">
        <v>34492</v>
      </c>
      <c r="C10655" s="17" t="s">
        <v>16884</v>
      </c>
      <c r="D10655" s="17" t="s">
        <v>34481</v>
      </c>
      <c r="E10655" s="10">
        <v>387958</v>
      </c>
      <c r="F10655" s="4" t="str">
        <f>IF(B10655=B10654,"",B10655)</f>
        <v>Salwá</v>
      </c>
    </row>
    <row r="10656" spans="1:6" ht="15.75" customHeight="1">
      <c r="A10656" s="5" t="s">
        <v>18202</v>
      </c>
      <c r="B10656" s="6" t="s">
        <v>18202</v>
      </c>
      <c r="C10656" s="5" t="s">
        <v>17707</v>
      </c>
      <c r="D10656" s="5" t="s">
        <v>17713</v>
      </c>
      <c r="E10656" s="2">
        <v>3988050</v>
      </c>
      <c r="F10656" s="4" t="str">
        <f>IF(B10656=B10655,"",B10656)</f>
        <v>Salvatierra</v>
      </c>
    </row>
    <row r="10657" spans="1:6" ht="15.75" customHeight="1">
      <c r="A10657" s="5" t="str">
        <f ca="1">IFERROR(__xludf.DUMMYFUNCTION("GOOGLETRANSLATE(B37207,""en"",""pt"")"),"Salvatierra")</f>
        <v>Salvatierra</v>
      </c>
      <c r="B10657" s="17" t="s">
        <v>18202</v>
      </c>
      <c r="C10657" s="17" t="s">
        <v>17707</v>
      </c>
      <c r="D10657" s="17" t="s">
        <v>17713</v>
      </c>
      <c r="E10657" s="10">
        <v>3988050</v>
      </c>
      <c r="F10657" s="4" t="str">
        <f>IF(B10657=B10656,"",B10657)</f>
        <v/>
      </c>
    </row>
    <row r="10658" spans="1:6" ht="15.75" customHeight="1">
      <c r="A10658" s="5" t="str">
        <f ca="1">IFERROR(__xludf.DUMMYFUNCTION("GOOGLETRANSLATE(B28468,""en"",""pt"")"),"Salvaleón de Higüey")</f>
        <v>Salvaleón de Higüey</v>
      </c>
      <c r="B10658" s="17" t="s">
        <v>32171</v>
      </c>
      <c r="C10658" s="17" t="s">
        <v>6303</v>
      </c>
      <c r="D10658" s="17" t="s">
        <v>6343</v>
      </c>
      <c r="E10658" s="10">
        <v>3493240</v>
      </c>
      <c r="F10658" s="4" t="str">
        <f>IF(B10658=B10657,"",B10658)</f>
        <v>Salvaleón de Higüey</v>
      </c>
    </row>
    <row r="10659" spans="1:6" ht="15.75" customHeight="1">
      <c r="A10659" s="5" t="s">
        <v>6354</v>
      </c>
      <c r="B10659" s="6" t="s">
        <v>6355</v>
      </c>
      <c r="C10659" s="5" t="s">
        <v>6303</v>
      </c>
      <c r="D10659" s="5" t="s">
        <v>6343</v>
      </c>
      <c r="E10659" s="2">
        <v>3493240</v>
      </c>
      <c r="F10659" s="4" t="str">
        <f>IF(B10659=B10658,"",B10659)</f>
        <v>SalvaleÃ³n de HigÃ¼ey</v>
      </c>
    </row>
    <row r="10660" spans="1:6" ht="15.75" customHeight="1">
      <c r="A10660" s="6" t="s">
        <v>3382</v>
      </c>
      <c r="B10660" s="6" t="s">
        <v>3382</v>
      </c>
      <c r="C10660" s="6" t="s">
        <v>1905</v>
      </c>
      <c r="D10660" s="6" t="s">
        <v>1947</v>
      </c>
      <c r="E10660" s="2">
        <v>3450554</v>
      </c>
      <c r="F10660" s="4" t="str">
        <f>IF(B10660=B10659,"",B10660)</f>
        <v>Salvador</v>
      </c>
    </row>
    <row r="10661" spans="1:6" ht="15.75" customHeight="1">
      <c r="A10661" s="5" t="str">
        <f ca="1">IFERROR(__xludf.DUMMYFUNCTION("GOOGLETRANSLATE(B24622,""en"",""pt"")"),"Salvador")</f>
        <v>Salvador</v>
      </c>
      <c r="B10661" s="17" t="s">
        <v>3382</v>
      </c>
      <c r="C10661" s="17" t="s">
        <v>1905</v>
      </c>
      <c r="D10661" s="17" t="s">
        <v>1947</v>
      </c>
      <c r="E10661" s="10">
        <v>3450554</v>
      </c>
      <c r="F10661" s="4" t="str">
        <f>IF(B10661=B10660,"",B10661)</f>
        <v/>
      </c>
    </row>
    <row r="10662" spans="1:6" ht="15.75" customHeight="1">
      <c r="A10662" s="5" t="str">
        <f ca="1">IFERROR(__xludf.DUMMYFUNCTION("GOOGLETRANSLATE(B32266,""en"",""pt"")"),"Sālūr")</f>
        <v>Sālūr</v>
      </c>
      <c r="B10662" s="17" t="s">
        <v>33133</v>
      </c>
      <c r="C10662" s="17" t="s">
        <v>10178</v>
      </c>
      <c r="D10662" s="17" t="s">
        <v>10190</v>
      </c>
      <c r="E10662" s="10">
        <v>1257587</v>
      </c>
      <c r="F10662" s="4" t="str">
        <f>IF(B10662=B10661,"",B10662)</f>
        <v>Sālūr</v>
      </c>
    </row>
    <row r="10663" spans="1:6" ht="15.75" customHeight="1">
      <c r="A10663" s="5" t="str">
        <f ca="1">IFERROR(__xludf.DUMMYFUNCTION("GOOGLETRANSLATE(B32267,""en"",""pt"")"),"Sālūmbar")</f>
        <v>Sālūmbar</v>
      </c>
      <c r="B10663" s="17" t="s">
        <v>33134</v>
      </c>
      <c r="C10663" s="17" t="s">
        <v>10178</v>
      </c>
      <c r="D10663" s="17" t="s">
        <v>10179</v>
      </c>
      <c r="E10663" s="10">
        <v>1257588</v>
      </c>
      <c r="F10663" s="4" t="str">
        <f>IF(B10663=B10662,"",B10663)</f>
        <v>Sālūmbar</v>
      </c>
    </row>
    <row r="10664" spans="1:6" ht="15.75" customHeight="1">
      <c r="A10664" s="6" t="s">
        <v>9415</v>
      </c>
      <c r="B10664" s="6" t="s">
        <v>9415</v>
      </c>
      <c r="C10664" s="6" t="s">
        <v>9365</v>
      </c>
      <c r="D10664" s="6" t="s">
        <v>1886</v>
      </c>
      <c r="E10664" s="2">
        <v>2295672</v>
      </c>
      <c r="F10664" s="4" t="str">
        <f>IF(B10664=B10663,"",B10664)</f>
        <v>Saltpond</v>
      </c>
    </row>
    <row r="10665" spans="1:6" ht="15.75" customHeight="1">
      <c r="A10665" s="5" t="str">
        <f ca="1">IFERROR(__xludf.DUMMYFUNCTION("GOOGLETRANSLATE(B30873,""en"",""pt"")"),"Saltpond")</f>
        <v>Saltpond</v>
      </c>
      <c r="B10665" s="17" t="s">
        <v>9415</v>
      </c>
      <c r="C10665" s="17" t="s">
        <v>9365</v>
      </c>
      <c r="D10665" s="17" t="s">
        <v>1886</v>
      </c>
      <c r="E10665" s="10">
        <v>2295672</v>
      </c>
      <c r="F10665" s="4" t="str">
        <f>IF(B10665=B10664,"",B10665)</f>
        <v/>
      </c>
    </row>
    <row r="10666" spans="1:6" ht="15.75" customHeight="1">
      <c r="A10666" s="5" t="s">
        <v>3381</v>
      </c>
      <c r="B10666" s="6" t="s">
        <v>3381</v>
      </c>
      <c r="C10666" s="5" t="s">
        <v>1905</v>
      </c>
      <c r="D10666" s="5" t="s">
        <v>1914</v>
      </c>
      <c r="E10666" s="2">
        <v>3450563</v>
      </c>
      <c r="F10666" s="4" t="str">
        <f>IF(B10666=B10665,"",B10666)</f>
        <v>Salto de Pirapora</v>
      </c>
    </row>
    <row r="10667" spans="1:6" ht="15.75" customHeight="1">
      <c r="A10667" s="5" t="str">
        <f ca="1">IFERROR(__xludf.DUMMYFUNCTION("GOOGLETRANSLATE(B24623,""en"",""pt"")"),"Salto de Pirapora")</f>
        <v>Salto de Pirapora</v>
      </c>
      <c r="B10667" s="17" t="s">
        <v>3381</v>
      </c>
      <c r="C10667" s="17" t="s">
        <v>1905</v>
      </c>
      <c r="D10667" s="17" t="s">
        <v>3354</v>
      </c>
      <c r="E10667" s="10">
        <v>3450563</v>
      </c>
      <c r="F10667" s="4" t="str">
        <f>IF(B10667=B10666,"",B10667)</f>
        <v/>
      </c>
    </row>
    <row r="10668" spans="1:6" ht="15.75" customHeight="1">
      <c r="A10668" s="6" t="s">
        <v>3380</v>
      </c>
      <c r="B10668" s="6" t="s">
        <v>3380</v>
      </c>
      <c r="C10668" s="6" t="s">
        <v>1905</v>
      </c>
      <c r="D10668" s="6" t="s">
        <v>1914</v>
      </c>
      <c r="E10668" s="2">
        <v>3450594</v>
      </c>
      <c r="F10668" s="4" t="str">
        <f>IF(B10668=B10667,"",B10668)</f>
        <v>Salto</v>
      </c>
    </row>
    <row r="10669" spans="1:6" ht="15.75" customHeight="1">
      <c r="A10669" s="6" t="s">
        <v>3380</v>
      </c>
      <c r="B10669" s="6" t="s">
        <v>3380</v>
      </c>
      <c r="C10669" s="6" t="s">
        <v>30472</v>
      </c>
      <c r="D10669" s="6" t="s">
        <v>3380</v>
      </c>
      <c r="E10669" s="2">
        <v>3440714</v>
      </c>
      <c r="F10669" s="4" t="str">
        <f>IF(B10669=B10668,"",B10669)</f>
        <v/>
      </c>
    </row>
    <row r="10670" spans="1:6" ht="15.75" customHeight="1">
      <c r="A10670" s="5" t="str">
        <f ca="1">IFERROR(__xludf.DUMMYFUNCTION("GOOGLETRANSLATE(B24624,""en"",""pt"")"),"Salto")</f>
        <v>Salto</v>
      </c>
      <c r="B10670" s="17" t="s">
        <v>3380</v>
      </c>
      <c r="C10670" s="17" t="s">
        <v>1905</v>
      </c>
      <c r="D10670" s="17" t="s">
        <v>3354</v>
      </c>
      <c r="E10670" s="10">
        <v>3450594</v>
      </c>
      <c r="F10670" s="4" t="str">
        <f>IF(B10670=B10669,"",B10670)</f>
        <v/>
      </c>
    </row>
    <row r="10671" spans="1:6" ht="15.75" customHeight="1">
      <c r="A10671" s="5" t="str">
        <f ca="1">IFERROR(__xludf.DUMMYFUNCTION("GOOGLETRANSLATE(B45477,""en"",""pt"")"),"Salto")</f>
        <v>Salto</v>
      </c>
      <c r="B10671" s="17" t="s">
        <v>3380</v>
      </c>
      <c r="C10671" s="17" t="s">
        <v>30472</v>
      </c>
      <c r="D10671" s="17" t="s">
        <v>3380</v>
      </c>
      <c r="E10671" s="10">
        <v>3440714</v>
      </c>
      <c r="F10671" s="4" t="str">
        <f>IF(B10671=B10670,"",B10671)</f>
        <v/>
      </c>
    </row>
    <row r="10672" spans="1:6" ht="15.75" customHeight="1">
      <c r="A10672" s="6" t="s">
        <v>18201</v>
      </c>
      <c r="B10672" s="6" t="s">
        <v>18201</v>
      </c>
      <c r="C10672" s="6" t="s">
        <v>17707</v>
      </c>
      <c r="D10672" s="6" t="s">
        <v>17738</v>
      </c>
      <c r="E10672" s="2">
        <v>3988086</v>
      </c>
      <c r="F10672" s="4" t="str">
        <f>IF(B10672=B10671,"",B10672)</f>
        <v>Saltillo</v>
      </c>
    </row>
    <row r="10673" spans="1:6" ht="15.75" customHeight="1">
      <c r="A10673" s="5" t="str">
        <f ca="1">IFERROR(__xludf.DUMMYFUNCTION("GOOGLETRANSLATE(B37208,""en"",""pt"")"),"Saltillo")</f>
        <v>Saltillo</v>
      </c>
      <c r="B10673" s="17" t="s">
        <v>18201</v>
      </c>
      <c r="C10673" s="17" t="s">
        <v>17707</v>
      </c>
      <c r="D10673" s="17" t="s">
        <v>17738</v>
      </c>
      <c r="E10673" s="10">
        <v>3988086</v>
      </c>
      <c r="F10673" s="4" t="str">
        <f>IF(B10673=B10672,"",B10673)</f>
        <v/>
      </c>
    </row>
    <row r="10674" spans="1:6" ht="15.75" customHeight="1">
      <c r="A10674" s="6" t="s">
        <v>649</v>
      </c>
      <c r="B10674" s="6" t="s">
        <v>649</v>
      </c>
      <c r="C10674" s="6" t="s">
        <v>558</v>
      </c>
      <c r="D10674" s="6" t="s">
        <v>649</v>
      </c>
      <c r="E10674" s="2">
        <v>3838233</v>
      </c>
      <c r="F10674" s="4" t="str">
        <f>IF(B10674=B10673,"",B10674)</f>
        <v>Salta</v>
      </c>
    </row>
    <row r="10675" spans="1:6" ht="15.75" customHeight="1">
      <c r="A10675" s="5" t="str">
        <f ca="1">IFERROR(__xludf.DUMMYFUNCTION("GOOGLETRANSLATE(B23278,""en"",""pt"")"),"Salta")</f>
        <v>Salta</v>
      </c>
      <c r="B10675" s="17" t="s">
        <v>649</v>
      </c>
      <c r="C10675" s="17" t="s">
        <v>558</v>
      </c>
      <c r="D10675" s="17" t="s">
        <v>649</v>
      </c>
      <c r="E10675" s="10">
        <v>3838233</v>
      </c>
      <c r="F10675" s="4" t="str">
        <f>IF(B10675=B10674,"",B10675)</f>
        <v/>
      </c>
    </row>
    <row r="10676" spans="1:6" ht="15.75" customHeight="1">
      <c r="A10676" s="5" t="s">
        <v>29886</v>
      </c>
      <c r="B10676" s="6" t="s">
        <v>29886</v>
      </c>
      <c r="C10676" s="5" t="s">
        <v>27788</v>
      </c>
      <c r="D10676" s="5" t="s">
        <v>27856</v>
      </c>
      <c r="E10676" s="2">
        <v>5780993</v>
      </c>
      <c r="F10676" s="4" t="str">
        <f>IF(B10676=B10675,"",B10676)</f>
        <v>Salt Lake City</v>
      </c>
    </row>
    <row r="10677" spans="1:6" ht="15.75" customHeight="1">
      <c r="A10677" s="5" t="str">
        <f ca="1">IFERROR(__xludf.DUMMYFUNCTION("GOOGLETRANSLATE(B45298,""en"",""pt"")"),"Salt Lake City")</f>
        <v>Salt Lake City</v>
      </c>
      <c r="B10677" s="17" t="s">
        <v>29886</v>
      </c>
      <c r="C10677" s="17" t="s">
        <v>27788</v>
      </c>
      <c r="D10677" s="17" t="s">
        <v>27856</v>
      </c>
      <c r="E10677" s="10">
        <v>5780993</v>
      </c>
      <c r="F10677" s="4" t="str">
        <f>IF(B10677=B10676,"",B10677)</f>
        <v/>
      </c>
    </row>
    <row r="10678" spans="1:6" ht="15.75" customHeight="1">
      <c r="A10678" s="6" t="s">
        <v>4260</v>
      </c>
      <c r="B10678" s="6" t="s">
        <v>24749</v>
      </c>
      <c r="C10678" s="6" t="s">
        <v>24200</v>
      </c>
      <c r="D10678" s="6" t="s">
        <v>24277</v>
      </c>
      <c r="E10678" s="2">
        <v>3110983</v>
      </c>
      <c r="F10678" s="4" t="str">
        <f>IF(B10678=B10677,"",B10678)</f>
        <v>Salt</v>
      </c>
    </row>
    <row r="10679" spans="1:6" ht="15.75" customHeight="1">
      <c r="A10679" s="5" t="str">
        <f ca="1">IFERROR(__xludf.DUMMYFUNCTION("GOOGLETRANSLATE(B29307,""en"",""pt"")"),"Sal")</f>
        <v>Sal</v>
      </c>
      <c r="B10679" s="17" t="s">
        <v>24749</v>
      </c>
      <c r="C10679" s="17" t="s">
        <v>24200</v>
      </c>
      <c r="D10679" s="17" t="s">
        <v>24277</v>
      </c>
      <c r="E10679" s="10">
        <v>3110983</v>
      </c>
      <c r="F10679" s="4" t="str">
        <f>IF(B10679=B10678,"",B10679)</f>
        <v/>
      </c>
    </row>
    <row r="10680" spans="1:6" ht="15.75" customHeight="1">
      <c r="A10680" s="5" t="s">
        <v>15430</v>
      </c>
      <c r="B10680" s="6" t="s">
        <v>15430</v>
      </c>
      <c r="C10680" s="5" t="s">
        <v>14891</v>
      </c>
      <c r="D10680" s="5" t="s">
        <v>14973</v>
      </c>
      <c r="E10680" s="2">
        <v>3168627</v>
      </c>
      <c r="F10680" s="4" t="str">
        <f>IF(B10680=B10679,"",B10680)</f>
        <v>Salsomaggiore Terme</v>
      </c>
    </row>
    <row r="10681" spans="1:6" ht="15.75" customHeight="1">
      <c r="A10681" s="5" t="str">
        <f ca="1">IFERROR(__xludf.DUMMYFUNCTION("GOOGLETRANSLATE(B34729,""en"",""pt"")"),"Salsomaggiore Terme")</f>
        <v>Salsomaggiore Terme</v>
      </c>
      <c r="B10681" s="17" t="s">
        <v>15430</v>
      </c>
      <c r="C10681" s="17" t="s">
        <v>14891</v>
      </c>
      <c r="D10681" s="17" t="s">
        <v>14973</v>
      </c>
      <c r="E10681" s="10">
        <v>3168627</v>
      </c>
      <c r="F10681" s="4" t="str">
        <f>IF(B10681=B10680,"",B10681)</f>
        <v/>
      </c>
    </row>
    <row r="10682" spans="1:6" ht="15.75" customHeight="1">
      <c r="A10682" s="5" t="str">
        <f ca="1">IFERROR(__xludf.DUMMYFUNCTION("GOOGLETRANSLATE(B41404,""en"",""pt"")"),"Salqīn")</f>
        <v>Salqīn</v>
      </c>
      <c r="B10682" s="17" t="s">
        <v>35731</v>
      </c>
      <c r="C10682" s="17" t="s">
        <v>25366</v>
      </c>
      <c r="D10682" s="17" t="s">
        <v>25392</v>
      </c>
      <c r="E10682" s="10">
        <v>164898</v>
      </c>
      <c r="F10682" s="4" t="str">
        <f>IF(B10682=B10681,"",B10682)</f>
        <v>Salqīn</v>
      </c>
    </row>
    <row r="10683" spans="1:6" ht="15.75" customHeight="1">
      <c r="A10683" s="6" t="s">
        <v>25481</v>
      </c>
      <c r="B10683" s="6" t="s">
        <v>25482</v>
      </c>
      <c r="C10683" s="6" t="s">
        <v>25366</v>
      </c>
      <c r="D10683" s="6" t="s">
        <v>25392</v>
      </c>
      <c r="E10683" s="2">
        <v>164898</v>
      </c>
      <c r="F10683" s="4" t="str">
        <f>IF(B10683=B10682,"",B10683)</f>
        <v>SalqÄ«n</v>
      </c>
    </row>
    <row r="10684" spans="1:6" ht="15.75" customHeight="1">
      <c r="A10684" s="6" t="s">
        <v>24748</v>
      </c>
      <c r="B10684" s="6" t="s">
        <v>24748</v>
      </c>
      <c r="C10684" s="6" t="s">
        <v>24200</v>
      </c>
      <c r="D10684" s="6" t="s">
        <v>24277</v>
      </c>
      <c r="E10684" s="2">
        <v>3110986</v>
      </c>
      <c r="F10684" s="4" t="str">
        <f>IF(B10684=B10683,"",B10684)</f>
        <v>Salou</v>
      </c>
    </row>
    <row r="10685" spans="1:6" ht="15.75" customHeight="1">
      <c r="A10685" s="5" t="str">
        <f ca="1">IFERROR(__xludf.DUMMYFUNCTION("GOOGLETRANSLATE(B29308,""en"",""pt"")"),"Salou")</f>
        <v>Salou</v>
      </c>
      <c r="B10685" s="17" t="s">
        <v>24748</v>
      </c>
      <c r="C10685" s="17" t="s">
        <v>24200</v>
      </c>
      <c r="D10685" s="17" t="s">
        <v>24277</v>
      </c>
      <c r="E10685" s="10">
        <v>3110986</v>
      </c>
      <c r="F10685" s="4" t="str">
        <f>IF(B10685=B10684,"",B10685)</f>
        <v/>
      </c>
    </row>
    <row r="10686" spans="1:6" ht="15.75" customHeight="1">
      <c r="A10686" s="6" t="s">
        <v>30594</v>
      </c>
      <c r="B10686" s="6" t="s">
        <v>30594</v>
      </c>
      <c r="C10686" s="6" t="s">
        <v>30502</v>
      </c>
      <c r="D10686" s="6" t="s">
        <v>30504</v>
      </c>
      <c r="E10686" s="2">
        <v>1512934</v>
      </c>
      <c r="F10686" s="4" t="str">
        <f>IF(B10686=B10685,"",B10686)</f>
        <v>Salor</v>
      </c>
    </row>
    <row r="10687" spans="1:6" ht="15.75" customHeight="1">
      <c r="A10687" s="5" t="str">
        <f ca="1">IFERROR(__xludf.DUMMYFUNCTION("GOOGLETRANSLATE(B45547,""en"",""pt"")"),"Salor")</f>
        <v>Salor</v>
      </c>
      <c r="B10687" s="17" t="s">
        <v>30594</v>
      </c>
      <c r="C10687" s="17" t="s">
        <v>30502</v>
      </c>
      <c r="D10687" s="17" t="s">
        <v>30504</v>
      </c>
      <c r="E10687" s="10">
        <v>1512934</v>
      </c>
      <c r="F10687" s="4" t="str">
        <f>IF(B10687=B10686,"",B10687)</f>
        <v/>
      </c>
    </row>
    <row r="10688" spans="1:6" ht="15.75" customHeight="1">
      <c r="A10688" s="6" t="s">
        <v>22012</v>
      </c>
      <c r="B10688" s="6" t="s">
        <v>22013</v>
      </c>
      <c r="C10688" s="6" t="s">
        <v>21824</v>
      </c>
      <c r="D10688" s="6" t="s">
        <v>21977</v>
      </c>
      <c r="E10688" s="2">
        <v>668129</v>
      </c>
      <c r="F10688" s="4" t="str">
        <f>IF(B10688=B10687,"",B10688)</f>
        <v>Salonta</v>
      </c>
    </row>
    <row r="10689" spans="1:6" ht="15.75" customHeight="1">
      <c r="A10689" s="5" t="str">
        <f ca="1">IFERROR(__xludf.DUMMYFUNCTION("GOOGLETRANSLATE(B39750,""en"",""pt"")"),"SALONTA")</f>
        <v>SALONTA</v>
      </c>
      <c r="B10689" s="17" t="s">
        <v>22013</v>
      </c>
      <c r="C10689" s="17" t="s">
        <v>21824</v>
      </c>
      <c r="D10689" s="17" t="s">
        <v>21977</v>
      </c>
      <c r="E10689" s="10">
        <v>668129</v>
      </c>
      <c r="F10689" s="4" t="str">
        <f>IF(B10689=B10688,"",B10689)</f>
        <v/>
      </c>
    </row>
    <row r="10690" spans="1:6" ht="15.75" customHeight="1">
      <c r="A10690" s="5" t="s">
        <v>7805</v>
      </c>
      <c r="B10690" s="6" t="s">
        <v>7806</v>
      </c>
      <c r="C10690" s="5" t="s">
        <v>7052</v>
      </c>
      <c r="D10690" s="5" t="s">
        <v>7087</v>
      </c>
      <c r="E10690" s="2">
        <v>2976341</v>
      </c>
      <c r="F10690" s="4" t="str">
        <f>IF(B10690=B10689,"",B10690)</f>
        <v>Salon-de-Provence</v>
      </c>
    </row>
    <row r="10691" spans="1:6" ht="15.75" customHeight="1">
      <c r="A10691" s="5" t="str">
        <f ca="1">IFERROR(__xludf.DUMMYFUNCTION("GOOGLETRANSLATE(B29771,""en"",""pt"")"),"Salão-de-provenção")</f>
        <v>Salão-de-provenção</v>
      </c>
      <c r="B10691" s="17" t="s">
        <v>7806</v>
      </c>
      <c r="C10691" s="17" t="s">
        <v>7052</v>
      </c>
      <c r="D10691" s="17" t="s">
        <v>32534</v>
      </c>
      <c r="E10691" s="10">
        <v>2976341</v>
      </c>
      <c r="F10691" s="4" t="str">
        <f>IF(B10691=B10690,"",B10691)</f>
        <v/>
      </c>
    </row>
    <row r="10692" spans="1:6" ht="15.75" customHeight="1">
      <c r="A10692" s="6" t="s">
        <v>7030</v>
      </c>
      <c r="B10692" s="6" t="s">
        <v>7030</v>
      </c>
      <c r="C10692" s="6" t="s">
        <v>6948</v>
      </c>
      <c r="D10692" s="6" t="s">
        <v>6983</v>
      </c>
      <c r="E10692" s="2">
        <v>637948</v>
      </c>
      <c r="F10692" s="4" t="str">
        <f>IF(B10692=B10691,"",B10692)</f>
        <v>Salo</v>
      </c>
    </row>
    <row r="10693" spans="1:6" ht="15.75" customHeight="1">
      <c r="A10693" s="5" t="str">
        <f ca="1">IFERROR(__xludf.DUMMYFUNCTION("GOOGLETRANSLATE(B29612,""en"",""pt"")"),"Salo")</f>
        <v>Salo</v>
      </c>
      <c r="B10693" s="17" t="s">
        <v>7030</v>
      </c>
      <c r="C10693" s="17" t="s">
        <v>6948</v>
      </c>
      <c r="D10693" s="17" t="s">
        <v>6983</v>
      </c>
      <c r="E10693" s="10">
        <v>637948</v>
      </c>
      <c r="F10693" s="4" t="str">
        <f>IF(B10693=B10692,"",B10693)</f>
        <v/>
      </c>
    </row>
    <row r="10694" spans="1:6" ht="15.75" customHeight="1">
      <c r="A10694" s="5" t="s">
        <v>29885</v>
      </c>
      <c r="B10694" s="6" t="s">
        <v>29885</v>
      </c>
      <c r="C10694" s="5" t="s">
        <v>27788</v>
      </c>
      <c r="D10694" s="5" t="s">
        <v>27733</v>
      </c>
      <c r="E10694" s="2">
        <v>5809333</v>
      </c>
      <c r="F10694" s="4" t="str">
        <f>IF(B10694=B10693,"",B10694)</f>
        <v>Salmon Creek</v>
      </c>
    </row>
    <row r="10695" spans="1:6" ht="15.75" customHeight="1">
      <c r="A10695" s="5" t="str">
        <f ca="1">IFERROR(__xludf.DUMMYFUNCTION("GOOGLETRANSLATE(B45371,""en"",""pt"")"),"Salmon Creek")</f>
        <v>Salmon Creek</v>
      </c>
      <c r="B10695" s="17" t="s">
        <v>29885</v>
      </c>
      <c r="C10695" s="17" t="s">
        <v>27788</v>
      </c>
      <c r="D10695" s="17" t="s">
        <v>27733</v>
      </c>
      <c r="E10695" s="10">
        <v>5809333</v>
      </c>
      <c r="F10695" s="4" t="str">
        <f>IF(B10695=B10694,"",B10695)</f>
        <v/>
      </c>
    </row>
    <row r="10696" spans="1:6" ht="15.75" customHeight="1">
      <c r="A10696" s="5" t="s">
        <v>4193</v>
      </c>
      <c r="B10696" s="6" t="s">
        <v>4194</v>
      </c>
      <c r="C10696" s="5" t="s">
        <v>3975</v>
      </c>
      <c r="D10696" s="5" t="s">
        <v>3976</v>
      </c>
      <c r="E10696" s="2">
        <v>6139416</v>
      </c>
      <c r="F10696" s="4" t="str">
        <f>IF(B10696=B10695,"",B10696)</f>
        <v>Salmon Arm</v>
      </c>
    </row>
    <row r="10697" spans="1:6" ht="15.75" customHeight="1">
      <c r="A10697" s="5" t="str">
        <f ca="1">IFERROR(__xludf.DUMMYFUNCTION("GOOGLETRANSLATE(B25578,""en"",""pt"")"),"Braço de salmão")</f>
        <v>Braço de salmão</v>
      </c>
      <c r="B10697" s="17" t="s">
        <v>4194</v>
      </c>
      <c r="C10697" s="17" t="s">
        <v>3975</v>
      </c>
      <c r="D10697" s="17" t="s">
        <v>3976</v>
      </c>
      <c r="E10697" s="10">
        <v>6139416</v>
      </c>
      <c r="F10697" s="4" t="str">
        <f>IF(B10697=B10696,"",B10697)</f>
        <v/>
      </c>
    </row>
    <row r="10698" spans="1:6" ht="15.75" customHeight="1">
      <c r="A10698" s="5" t="str">
        <f ca="1">IFERROR(__xludf.DUMMYFUNCTION("GOOGLETRANSLATE(B34377,""en"",""pt"")"),"Salmās")</f>
        <v>Salmās</v>
      </c>
      <c r="B10698" s="17" t="s">
        <v>34148</v>
      </c>
      <c r="C10698" s="17" t="s">
        <v>14240</v>
      </c>
      <c r="D10698" s="17" t="s">
        <v>34137</v>
      </c>
      <c r="E10698" s="10">
        <v>117656</v>
      </c>
      <c r="F10698" s="4" t="str">
        <f>IF(B10698=B10697,"",B10698)</f>
        <v>Salmās</v>
      </c>
    </row>
    <row r="10699" spans="1:6" ht="15.75" customHeight="1">
      <c r="A10699" s="6" t="s">
        <v>14532</v>
      </c>
      <c r="B10699" s="6" t="s">
        <v>14533</v>
      </c>
      <c r="C10699" s="6" t="s">
        <v>14240</v>
      </c>
      <c r="D10699" s="6" t="s">
        <v>14302</v>
      </c>
      <c r="E10699" s="2">
        <v>117656</v>
      </c>
      <c r="F10699" s="4" t="str">
        <f>IF(B10699=B10698,"",B10699)</f>
        <v>SalmÄs</v>
      </c>
    </row>
    <row r="10700" spans="1:6" ht="15.75" customHeight="1">
      <c r="A10700" s="5" t="s">
        <v>7804</v>
      </c>
      <c r="B10700" s="6" t="s">
        <v>7804</v>
      </c>
      <c r="C10700" s="5" t="s">
        <v>7052</v>
      </c>
      <c r="D10700" s="5" t="s">
        <v>7053</v>
      </c>
      <c r="E10700" s="2">
        <v>2976406</v>
      </c>
      <c r="F10700" s="4" t="str">
        <f>IF(B10700=B10699,"",B10700)</f>
        <v>Sallanches</v>
      </c>
    </row>
    <row r="10701" spans="1:6" ht="15.75" customHeight="1">
      <c r="A10701" s="5" t="str">
        <f ca="1">IFERROR(__xludf.DUMMYFUNCTION("GOOGLETRANSLATE(B29772,""en"",""pt"")"),"Sallanches")</f>
        <v>Sallanches</v>
      </c>
      <c r="B10701" s="17" t="s">
        <v>7804</v>
      </c>
      <c r="C10701" s="17" t="s">
        <v>7052</v>
      </c>
      <c r="D10701" s="17" t="s">
        <v>32532</v>
      </c>
      <c r="E10701" s="10">
        <v>2976406</v>
      </c>
      <c r="F10701" s="4" t="str">
        <f>IF(B10701=B10700,"",B10701)</f>
        <v/>
      </c>
    </row>
    <row r="10702" spans="1:6" ht="15.75" customHeight="1">
      <c r="A10702" s="6" t="s">
        <v>27662</v>
      </c>
      <c r="B10702" s="6" t="s">
        <v>27662</v>
      </c>
      <c r="C10702" s="6" t="s">
        <v>27234</v>
      </c>
      <c r="D10702" s="6" t="s">
        <v>27241</v>
      </c>
      <c r="E10702" s="2">
        <v>2638664</v>
      </c>
      <c r="F10702" s="4" t="str">
        <f>IF(B10702=B10701,"",B10702)</f>
        <v>Salisbury</v>
      </c>
    </row>
    <row r="10703" spans="1:6" ht="15.75" customHeight="1">
      <c r="A10703" s="6" t="s">
        <v>27662</v>
      </c>
      <c r="B10703" s="6" t="s">
        <v>27662</v>
      </c>
      <c r="C10703" s="6" t="s">
        <v>27788</v>
      </c>
      <c r="D10703" s="6" t="s">
        <v>17061</v>
      </c>
      <c r="E10703" s="2">
        <v>4368711</v>
      </c>
      <c r="F10703" s="4" t="str">
        <f>IF(B10703=B10702,"",B10703)</f>
        <v/>
      </c>
    </row>
    <row r="10704" spans="1:6" ht="15.75" customHeight="1">
      <c r="A10704" s="6" t="s">
        <v>27662</v>
      </c>
      <c r="B10704" s="6" t="s">
        <v>27662</v>
      </c>
      <c r="C10704" s="6" t="s">
        <v>27788</v>
      </c>
      <c r="D10704" s="6" t="s">
        <v>27822</v>
      </c>
      <c r="E10704" s="2">
        <v>4489985</v>
      </c>
      <c r="F10704" s="4" t="str">
        <f>IF(B10704=B10703,"",B10704)</f>
        <v/>
      </c>
    </row>
    <row r="10705" spans="1:6" ht="15.75" customHeight="1">
      <c r="A10705" s="5" t="str">
        <f ca="1">IFERROR(__xludf.DUMMYFUNCTION("GOOGLETRANSLATE(B30419,""en"",""pt"")"),"Salisbury")</f>
        <v>Salisbury</v>
      </c>
      <c r="B10705" s="17" t="s">
        <v>27662</v>
      </c>
      <c r="C10705" s="17" t="s">
        <v>27234</v>
      </c>
      <c r="D10705" s="17" t="s">
        <v>27241</v>
      </c>
      <c r="E10705" s="10">
        <v>2638664</v>
      </c>
      <c r="F10705" s="4" t="str">
        <f>IF(B10705=B10704,"",B10705)</f>
        <v/>
      </c>
    </row>
    <row r="10706" spans="1:6" ht="15.75" customHeight="1">
      <c r="A10706" s="5" t="str">
        <f ca="1">IFERROR(__xludf.DUMMYFUNCTION("GOOGLETRANSLATE(B43330,""en"",""pt"")"),"Salisbury")</f>
        <v>Salisbury</v>
      </c>
      <c r="B10706" s="17" t="s">
        <v>27662</v>
      </c>
      <c r="C10706" s="17" t="s">
        <v>27788</v>
      </c>
      <c r="D10706" s="17" t="s">
        <v>17061</v>
      </c>
      <c r="E10706" s="10">
        <v>4368711</v>
      </c>
      <c r="F10706" s="4" t="str">
        <f>IF(B10706=B10705,"",B10706)</f>
        <v/>
      </c>
    </row>
    <row r="10707" spans="1:6" ht="15.75" customHeight="1">
      <c r="A10707" s="5" t="str">
        <f ca="1">IFERROR(__xludf.DUMMYFUNCTION("GOOGLETRANSLATE(B43476,""en"",""pt"")"),"Salisbury")</f>
        <v>Salisbury</v>
      </c>
      <c r="B10707" s="17" t="s">
        <v>27662</v>
      </c>
      <c r="C10707" s="17" t="s">
        <v>27788</v>
      </c>
      <c r="D10707" s="17" t="s">
        <v>27822</v>
      </c>
      <c r="E10707" s="10">
        <v>4489985</v>
      </c>
      <c r="F10707" s="4" t="str">
        <f>IF(B10707=B10706,"",B10707)</f>
        <v/>
      </c>
    </row>
    <row r="10708" spans="1:6" ht="15.75" customHeight="1">
      <c r="A10708" s="5" t="str">
        <f ca="1">IFERROR(__xludf.DUMMYFUNCTION("GOOGLETRANSLATE(B24208,""en"",""pt"")"),"Salinópolis")</f>
        <v>Salinópolis</v>
      </c>
      <c r="B10708" s="17" t="s">
        <v>31377</v>
      </c>
      <c r="C10708" s="17" t="s">
        <v>1905</v>
      </c>
      <c r="D10708" s="17" t="s">
        <v>31342</v>
      </c>
      <c r="E10708" s="10">
        <v>3389822</v>
      </c>
      <c r="F10708" s="4" t="str">
        <f>IF(B10708=B10707,"",B10708)</f>
        <v>Salinópolis</v>
      </c>
    </row>
    <row r="10709" spans="1:6" ht="15.75" customHeight="1">
      <c r="A10709" s="6" t="s">
        <v>3379</v>
      </c>
      <c r="B10709" s="6" t="s">
        <v>3379</v>
      </c>
      <c r="C10709" s="6" t="s">
        <v>1905</v>
      </c>
      <c r="D10709" s="6" t="s">
        <v>1917</v>
      </c>
      <c r="E10709" s="2">
        <v>3450671</v>
      </c>
      <c r="F10709" s="4" t="str">
        <f>IF(B10709=B10708,"",B10709)</f>
        <v>Salinas</v>
      </c>
    </row>
    <row r="10710" spans="1:6" ht="15.75" customHeight="1">
      <c r="A10710" s="6" t="s">
        <v>3379</v>
      </c>
      <c r="B10710" s="6" t="s">
        <v>3379</v>
      </c>
      <c r="C10710" s="6" t="s">
        <v>6398</v>
      </c>
      <c r="D10710" s="6" t="s">
        <v>801</v>
      </c>
      <c r="E10710" s="2">
        <v>3652100</v>
      </c>
      <c r="F10710" s="4" t="str">
        <f>IF(B10710=B10709,"",B10710)</f>
        <v/>
      </c>
    </row>
    <row r="10711" spans="1:6" ht="15.75" customHeight="1">
      <c r="A10711" s="6" t="s">
        <v>3379</v>
      </c>
      <c r="B10711" s="6" t="s">
        <v>3379</v>
      </c>
      <c r="C10711" s="6" t="s">
        <v>27788</v>
      </c>
      <c r="D10711" s="6" t="s">
        <v>27801</v>
      </c>
      <c r="E10711" s="2">
        <v>5391295</v>
      </c>
      <c r="F10711" s="4" t="str">
        <f>IF(B10711=B10710,"",B10711)</f>
        <v/>
      </c>
    </row>
    <row r="10712" spans="1:6" ht="15.75" customHeight="1">
      <c r="A10712" s="5" t="str">
        <f ca="1">IFERROR(__xludf.DUMMYFUNCTION("GOOGLETRANSLATE(B24625,""en"",""pt"")"),"Salinas")</f>
        <v>Salinas</v>
      </c>
      <c r="B10712" s="17" t="s">
        <v>3379</v>
      </c>
      <c r="C10712" s="17" t="s">
        <v>1905</v>
      </c>
      <c r="D10712" s="17" t="s">
        <v>1917</v>
      </c>
      <c r="E10712" s="10">
        <v>3450671</v>
      </c>
      <c r="F10712" s="4" t="str">
        <f>IF(B10712=B10711,"",B10712)</f>
        <v/>
      </c>
    </row>
    <row r="10713" spans="1:6" ht="15.75" customHeight="1">
      <c r="A10713" s="5" t="str">
        <f ca="1">IFERROR(__xludf.DUMMYFUNCTION("GOOGLETRANSLATE(B28760,""en"",""pt"")"),"Salinas")</f>
        <v>Salinas</v>
      </c>
      <c r="B10713" s="17" t="s">
        <v>3379</v>
      </c>
      <c r="C10713" s="17" t="s">
        <v>6398</v>
      </c>
      <c r="D10713" s="17" t="s">
        <v>801</v>
      </c>
      <c r="E10713" s="10">
        <v>3652100</v>
      </c>
      <c r="F10713" s="4" t="str">
        <f>IF(B10713=B10712,"",B10713)</f>
        <v/>
      </c>
    </row>
    <row r="10714" spans="1:6" ht="15.75" customHeight="1">
      <c r="A10714" s="5" t="str">
        <f ca="1">IFERROR(__xludf.DUMMYFUNCTION("GOOGLETRANSLATE(B44997,""en"",""pt"")"),"Salinas")</f>
        <v>Salinas</v>
      </c>
      <c r="B10714" s="17" t="s">
        <v>3379</v>
      </c>
      <c r="C10714" s="17" t="s">
        <v>27788</v>
      </c>
      <c r="D10714" s="17" t="s">
        <v>27801</v>
      </c>
      <c r="E10714" s="10">
        <v>5391295</v>
      </c>
      <c r="F10714" s="4" t="str">
        <f>IF(B10714=B10713,"",B10714)</f>
        <v/>
      </c>
    </row>
    <row r="10715" spans="1:6" ht="15.75" customHeight="1">
      <c r="A10715" s="5" t="s">
        <v>3377</v>
      </c>
      <c r="B10715" s="6" t="s">
        <v>3378</v>
      </c>
      <c r="C10715" s="5" t="s">
        <v>1905</v>
      </c>
      <c r="D10715" s="5" t="s">
        <v>1906</v>
      </c>
      <c r="E10715" s="2">
        <v>3389822</v>
      </c>
      <c r="F10715" s="4" t="str">
        <f>IF(B10715=B10714,"",B10715)</f>
        <v>SalinÃ³polis</v>
      </c>
    </row>
    <row r="10716" spans="1:6" ht="15.75" customHeight="1">
      <c r="A10716" s="5" t="s">
        <v>18200</v>
      </c>
      <c r="B10716" s="6" t="s">
        <v>18200</v>
      </c>
      <c r="C10716" s="5" t="s">
        <v>17707</v>
      </c>
      <c r="D10716" s="5" t="s">
        <v>17844</v>
      </c>
      <c r="E10716" s="2">
        <v>3520064</v>
      </c>
      <c r="F10716" s="4" t="str">
        <f>IF(B10716=B10715,"",B10716)</f>
        <v>Salina Cruz</v>
      </c>
    </row>
    <row r="10717" spans="1:6" ht="15.75" customHeight="1">
      <c r="A10717" s="5" t="str">
        <f ca="1">IFERROR(__xludf.DUMMYFUNCTION("GOOGLETRANSLATE(B36936,""en"",""pt"")"),"Salina Cruz")</f>
        <v>Salina Cruz</v>
      </c>
      <c r="B10717" s="17" t="s">
        <v>18200</v>
      </c>
      <c r="C10717" s="17" t="s">
        <v>17707</v>
      </c>
      <c r="D10717" s="17" t="s">
        <v>17844</v>
      </c>
      <c r="E10717" s="10">
        <v>3520064</v>
      </c>
      <c r="F10717" s="4" t="str">
        <f>IF(B10717=B10716,"",B10717)</f>
        <v/>
      </c>
    </row>
    <row r="10718" spans="1:6" ht="15.75" customHeight="1">
      <c r="A10718" s="6" t="s">
        <v>29884</v>
      </c>
      <c r="B10718" s="6" t="s">
        <v>29884</v>
      </c>
      <c r="C10718" s="6" t="s">
        <v>27788</v>
      </c>
      <c r="D10718" s="6" t="s">
        <v>28419</v>
      </c>
      <c r="E10718" s="2">
        <v>4278890</v>
      </c>
      <c r="F10718" s="4" t="str">
        <f>IF(B10718=B10717,"",B10718)</f>
        <v>Salina</v>
      </c>
    </row>
    <row r="10719" spans="1:6" ht="15.75" customHeight="1">
      <c r="A10719" s="5" t="str">
        <f ca="1">IFERROR(__xludf.DUMMYFUNCTION("GOOGLETRANSLATE(B43183,""en"",""pt"")"),"Salina")</f>
        <v>Salina</v>
      </c>
      <c r="B10719" s="17" t="s">
        <v>29884</v>
      </c>
      <c r="C10719" s="17" t="s">
        <v>27788</v>
      </c>
      <c r="D10719" s="17" t="s">
        <v>28419</v>
      </c>
      <c r="E10719" s="10">
        <v>4278890</v>
      </c>
      <c r="F10719" s="4" t="str">
        <f>IF(B10719=B10718,"",B10719)</f>
        <v/>
      </c>
    </row>
    <row r="10720" spans="1:6" ht="15.75" customHeight="1">
      <c r="A10720" s="6" t="s">
        <v>17429</v>
      </c>
      <c r="B10720" s="6" t="s">
        <v>17429</v>
      </c>
      <c r="C10720" s="6" t="s">
        <v>17410</v>
      </c>
      <c r="D10720" s="6" t="s">
        <v>17414</v>
      </c>
      <c r="E10720" s="2">
        <v>924055</v>
      </c>
      <c r="F10720" s="4" t="str">
        <f>IF(B10720=B10719,"",B10720)</f>
        <v>Salima</v>
      </c>
    </row>
    <row r="10721" spans="1:6" ht="15.75" customHeight="1">
      <c r="A10721" s="5" t="str">
        <f ca="1">IFERROR(__xludf.DUMMYFUNCTION("GOOGLETRANSLATE(B36826,""en"",""pt"")"),"Salima")</f>
        <v>Salima</v>
      </c>
      <c r="B10721" s="17" t="s">
        <v>17429</v>
      </c>
      <c r="C10721" s="17" t="s">
        <v>17410</v>
      </c>
      <c r="D10721" s="17" t="s">
        <v>17414</v>
      </c>
      <c r="E10721" s="10">
        <v>924055</v>
      </c>
      <c r="F10721" s="4" t="str">
        <f>IF(B10721=B10720,"",B10721)</f>
        <v/>
      </c>
    </row>
    <row r="10722" spans="1:6" ht="15.75" customHeight="1">
      <c r="A10722" s="6" t="s">
        <v>1500</v>
      </c>
      <c r="B10722" s="6" t="s">
        <v>1500</v>
      </c>
      <c r="C10722" s="6" t="s">
        <v>1453</v>
      </c>
      <c r="D10722" s="6" t="s">
        <v>1463</v>
      </c>
      <c r="E10722" s="2">
        <v>622428</v>
      </c>
      <c r="F10722" s="4" t="str">
        <f>IF(B10722=B10721,"",B10722)</f>
        <v>Salihorsk</v>
      </c>
    </row>
    <row r="10723" spans="1:6" ht="15.75" customHeight="1">
      <c r="A10723" s="5" t="str">
        <f ca="1">IFERROR(__xludf.DUMMYFUNCTION("GOOGLETRANSLATE(B25379,""en"",""pt"")"),"Salihorsk")</f>
        <v>Salihorsk</v>
      </c>
      <c r="B10723" s="17" t="s">
        <v>1500</v>
      </c>
      <c r="C10723" s="17" t="s">
        <v>1453</v>
      </c>
      <c r="D10723" s="17" t="s">
        <v>1463</v>
      </c>
      <c r="E10723" s="10">
        <v>622428</v>
      </c>
      <c r="F10723" s="4" t="str">
        <f>IF(B10723=B10722,"",B10723)</f>
        <v/>
      </c>
    </row>
    <row r="10724" spans="1:6" ht="15.75" customHeight="1">
      <c r="A10724" s="6" t="s">
        <v>26677</v>
      </c>
      <c r="B10724" s="6" t="s">
        <v>26677</v>
      </c>
      <c r="C10724" s="6" t="s">
        <v>26201</v>
      </c>
      <c r="D10724" s="6" t="s">
        <v>26299</v>
      </c>
      <c r="E10724" s="2">
        <v>302043</v>
      </c>
      <c r="F10724" s="4" t="str">
        <f>IF(B10724=B10723,"",B10724)</f>
        <v>Salihli</v>
      </c>
    </row>
    <row r="10725" spans="1:6" ht="15.75" customHeight="1">
      <c r="A10725" s="5" t="str">
        <f ca="1">IFERROR(__xludf.DUMMYFUNCTION("GOOGLETRANSLATE(B41915,""en"",""pt"")"),"Salihli")</f>
        <v>Salihli</v>
      </c>
      <c r="B10725" s="17" t="s">
        <v>26677</v>
      </c>
      <c r="C10725" s="17" t="s">
        <v>26201</v>
      </c>
      <c r="D10725" s="17" t="s">
        <v>26299</v>
      </c>
      <c r="E10725" s="10">
        <v>302043</v>
      </c>
      <c r="F10725" s="4" t="str">
        <f>IF(B10725=B10724,"",B10725)</f>
        <v/>
      </c>
    </row>
    <row r="10726" spans="1:6" ht="15.75" customHeight="1">
      <c r="A10726" s="6" t="s">
        <v>3376</v>
      </c>
      <c r="B10726" s="6" t="s">
        <v>3376</v>
      </c>
      <c r="C10726" s="6" t="s">
        <v>1905</v>
      </c>
      <c r="D10726" s="6" t="s">
        <v>1909</v>
      </c>
      <c r="E10726" s="2">
        <v>3389860</v>
      </c>
      <c r="F10726" s="4" t="str">
        <f>IF(B10726=B10725,"",B10726)</f>
        <v>Salgueiro</v>
      </c>
    </row>
    <row r="10727" spans="1:6" ht="15.75" customHeight="1">
      <c r="A10727" s="5" t="str">
        <f ca="1">IFERROR(__xludf.DUMMYFUNCTION("GOOGLETRANSLATE(B24209,""en"",""pt"")"),"Salgueiro")</f>
        <v>Salgueiro</v>
      </c>
      <c r="B10727" s="17" t="s">
        <v>3376</v>
      </c>
      <c r="C10727" s="17" t="s">
        <v>1905</v>
      </c>
      <c r="D10727" s="17" t="s">
        <v>1909</v>
      </c>
      <c r="E10727" s="10">
        <v>3389860</v>
      </c>
      <c r="F10727" s="4" t="str">
        <f>IF(B10727=B10726,"",B10727)</f>
        <v/>
      </c>
    </row>
    <row r="10728" spans="1:6" ht="15.75" customHeight="1">
      <c r="A10728" s="5" t="str">
        <f ca="1">IFERROR(__xludf.DUMMYFUNCTION("GOOGLETRANSLATE(B31289,""en"",""pt"")"),"Salgótarján")</f>
        <v>Salgótarján</v>
      </c>
      <c r="B10728" s="17" t="s">
        <v>32861</v>
      </c>
      <c r="C10728" s="17" t="s">
        <v>9955</v>
      </c>
      <c r="D10728" s="17" t="s">
        <v>32862</v>
      </c>
      <c r="E10728" s="10">
        <v>3045643</v>
      </c>
      <c r="F10728" s="4" t="str">
        <f>IF(B10728=B10727,"",B10728)</f>
        <v>Salgótarján</v>
      </c>
    </row>
    <row r="10729" spans="1:6" ht="15.75" customHeight="1">
      <c r="A10729" s="5" t="s">
        <v>10131</v>
      </c>
      <c r="B10729" s="6" t="s">
        <v>10132</v>
      </c>
      <c r="C10729" s="5" t="s">
        <v>9955</v>
      </c>
      <c r="D10729" s="5" t="s">
        <v>9972</v>
      </c>
      <c r="E10729" s="2">
        <v>3045643</v>
      </c>
      <c r="F10729" s="4" t="str">
        <f>IF(B10729=B10728,"",B10729)</f>
        <v>SalgÃ³tarjÃ¡n</v>
      </c>
    </row>
    <row r="10730" spans="1:6" ht="15.75" customHeight="1">
      <c r="A10730" s="6" t="s">
        <v>27661</v>
      </c>
      <c r="B10730" s="6" t="s">
        <v>27661</v>
      </c>
      <c r="C10730" s="6" t="s">
        <v>27234</v>
      </c>
      <c r="D10730" s="6" t="s">
        <v>27241</v>
      </c>
      <c r="E10730" s="2">
        <v>2638671</v>
      </c>
      <c r="F10730" s="4" t="str">
        <f>IF(B10730=B10729,"",B10730)</f>
        <v>Salford</v>
      </c>
    </row>
    <row r="10731" spans="1:6" ht="15.75" customHeight="1">
      <c r="A10731" s="5" t="str">
        <f ca="1">IFERROR(__xludf.DUMMYFUNCTION("GOOGLETRANSLATE(B30420,""en"",""pt"")"),"Salford")</f>
        <v>Salford</v>
      </c>
      <c r="B10731" s="17" t="s">
        <v>27661</v>
      </c>
      <c r="C10731" s="17" t="s">
        <v>27234</v>
      </c>
      <c r="D10731" s="17" t="s">
        <v>27241</v>
      </c>
      <c r="E10731" s="10">
        <v>2638671</v>
      </c>
      <c r="F10731" s="4" t="str">
        <f>IF(B10731=B10730,"",B10731)</f>
        <v/>
      </c>
    </row>
    <row r="10732" spans="1:6" ht="15.75" customHeight="1">
      <c r="A10732" s="6" t="s">
        <v>15429</v>
      </c>
      <c r="B10732" s="6" t="s">
        <v>15429</v>
      </c>
      <c r="C10732" s="6" t="s">
        <v>14891</v>
      </c>
      <c r="D10732" s="6" t="s">
        <v>14896</v>
      </c>
      <c r="E10732" s="2">
        <v>3168673</v>
      </c>
      <c r="F10732" s="4" t="str">
        <f>IF(B10732=B10731,"",B10732)</f>
        <v>Salerno</v>
      </c>
    </row>
    <row r="10733" spans="1:6" ht="15.75" customHeight="1">
      <c r="A10733" s="5" t="str">
        <f ca="1">IFERROR(__xludf.DUMMYFUNCTION("GOOGLETRANSLATE(B34730,""en"",""pt"")"),"Salerno")</f>
        <v>Salerno</v>
      </c>
      <c r="B10733" s="17" t="s">
        <v>15429</v>
      </c>
      <c r="C10733" s="17" t="s">
        <v>14891</v>
      </c>
      <c r="D10733" s="17" t="s">
        <v>14896</v>
      </c>
      <c r="E10733" s="10">
        <v>3168673</v>
      </c>
      <c r="F10733" s="4" t="str">
        <f>IF(B10733=B10732,"",B10733)</f>
        <v/>
      </c>
    </row>
    <row r="10734" spans="1:6" ht="15.75" customHeight="1">
      <c r="A10734" s="6" t="s">
        <v>13211</v>
      </c>
      <c r="B10734" s="6" t="s">
        <v>13211</v>
      </c>
      <c r="C10734" s="6" t="s">
        <v>10178</v>
      </c>
      <c r="D10734" s="6" t="s">
        <v>10196</v>
      </c>
      <c r="E10734" s="2">
        <v>1257629</v>
      </c>
      <c r="F10734" s="4" t="str">
        <f>IF(B10734=B10733,"",B10734)</f>
        <v>Salem</v>
      </c>
    </row>
    <row r="10735" spans="1:6" ht="15.75" customHeight="1">
      <c r="A10735" s="6" t="s">
        <v>13211</v>
      </c>
      <c r="B10735" s="6" t="s">
        <v>13211</v>
      </c>
      <c r="C10735" s="6" t="s">
        <v>27788</v>
      </c>
      <c r="D10735" s="6" t="s">
        <v>27794</v>
      </c>
      <c r="E10735" s="2">
        <v>4950065</v>
      </c>
      <c r="F10735" s="4" t="str">
        <f>IF(B10735=B10734,"",B10735)</f>
        <v/>
      </c>
    </row>
    <row r="10736" spans="1:6" ht="15.75" customHeight="1">
      <c r="A10736" s="6" t="s">
        <v>13211</v>
      </c>
      <c r="B10736" s="6" t="s">
        <v>13211</v>
      </c>
      <c r="C10736" s="6" t="s">
        <v>27788</v>
      </c>
      <c r="D10736" s="6" t="s">
        <v>27985</v>
      </c>
      <c r="E10736" s="2">
        <v>5092268</v>
      </c>
      <c r="F10736" s="4" t="str">
        <f>IF(B10736=B10735,"",B10736)</f>
        <v/>
      </c>
    </row>
    <row r="10737" spans="1:6" ht="15.75" customHeight="1">
      <c r="A10737" s="6" t="s">
        <v>13211</v>
      </c>
      <c r="B10737" s="6" t="s">
        <v>13211</v>
      </c>
      <c r="C10737" s="6" t="s">
        <v>27788</v>
      </c>
      <c r="D10737" s="6" t="s">
        <v>27820</v>
      </c>
      <c r="E10737" s="2">
        <v>5750162</v>
      </c>
      <c r="F10737" s="4" t="str">
        <f>IF(B10737=B10736,"",B10737)</f>
        <v/>
      </c>
    </row>
    <row r="10738" spans="1:6" ht="15.75" customHeight="1">
      <c r="A10738" s="5" t="str">
        <f ca="1">IFERROR(__xludf.DUMMYFUNCTION("GOOGLETRANSLATE(B32268,""en"",""pt"")"),"Salem")</f>
        <v>Salem</v>
      </c>
      <c r="B10738" s="17" t="s">
        <v>13211</v>
      </c>
      <c r="C10738" s="17" t="s">
        <v>10178</v>
      </c>
      <c r="D10738" s="17" t="s">
        <v>10196</v>
      </c>
      <c r="E10738" s="10">
        <v>1257629</v>
      </c>
      <c r="F10738" s="4" t="str">
        <f>IF(B10738=B10737,"",B10738)</f>
        <v/>
      </c>
    </row>
    <row r="10739" spans="1:6" ht="15.75" customHeight="1">
      <c r="A10739" s="5" t="str">
        <f ca="1">IFERROR(__xludf.DUMMYFUNCTION("GOOGLETRANSLATE(B44020,""en"",""pt"")"),"Salem")</f>
        <v>Salem</v>
      </c>
      <c r="B10739" s="17" t="s">
        <v>13211</v>
      </c>
      <c r="C10739" s="17" t="s">
        <v>27788</v>
      </c>
      <c r="D10739" s="17" t="s">
        <v>27794</v>
      </c>
      <c r="E10739" s="10">
        <v>4950065</v>
      </c>
      <c r="F10739" s="4" t="str">
        <f>IF(B10739=B10738,"",B10739)</f>
        <v/>
      </c>
    </row>
    <row r="10740" spans="1:6" ht="15.75" customHeight="1">
      <c r="A10740" s="5" t="str">
        <f ca="1">IFERROR(__xludf.DUMMYFUNCTION("GOOGLETRANSLATE(B44238,""en"",""pt"")"),"Salem")</f>
        <v>Salem</v>
      </c>
      <c r="B10740" s="17" t="s">
        <v>13211</v>
      </c>
      <c r="C10740" s="17" t="s">
        <v>27788</v>
      </c>
      <c r="D10740" s="17" t="s">
        <v>27985</v>
      </c>
      <c r="E10740" s="10">
        <v>5092268</v>
      </c>
      <c r="F10740" s="4" t="str">
        <f>IF(B10740=B10739,"",B10740)</f>
        <v/>
      </c>
    </row>
    <row r="10741" spans="1:6" ht="15.75" customHeight="1">
      <c r="A10741" s="5" t="str">
        <f ca="1">IFERROR(__xludf.DUMMYFUNCTION("GOOGLETRANSLATE(B45257,""en"",""pt"")"),"Salem")</f>
        <v>Salem</v>
      </c>
      <c r="B10741" s="17" t="s">
        <v>13211</v>
      </c>
      <c r="C10741" s="17" t="s">
        <v>27788</v>
      </c>
      <c r="D10741" s="17" t="s">
        <v>27820</v>
      </c>
      <c r="E10741" s="10">
        <v>5750162</v>
      </c>
      <c r="F10741" s="4" t="str">
        <f>IF(B10741=B10740,"",B10741)</f>
        <v/>
      </c>
    </row>
    <row r="10742" spans="1:6" ht="15.75" customHeight="1">
      <c r="A10742" s="6" t="s">
        <v>23027</v>
      </c>
      <c r="B10742" s="6" t="s">
        <v>23027</v>
      </c>
      <c r="C10742" s="6" t="s">
        <v>22070</v>
      </c>
      <c r="D10742" s="6" t="s">
        <v>22414</v>
      </c>
      <c r="E10742" s="2">
        <v>1493197</v>
      </c>
      <c r="F10742" s="4" t="str">
        <f>IF(B10742=B10741,"",B10742)</f>
        <v>Salekhard</v>
      </c>
    </row>
    <row r="10743" spans="1:6" ht="15.75" customHeight="1">
      <c r="A10743" s="5" t="str">
        <f ca="1">IFERROR(__xludf.DUMMYFUNCTION("GOOGLETRANSLATE(B40766,""en"",""pt"")"),"Salekhard")</f>
        <v>Salekhard</v>
      </c>
      <c r="B10743" s="17" t="s">
        <v>23027</v>
      </c>
      <c r="C10743" s="17" t="s">
        <v>22070</v>
      </c>
      <c r="D10743" s="17" t="s">
        <v>22414</v>
      </c>
      <c r="E10743" s="10">
        <v>1493197</v>
      </c>
      <c r="F10743" s="4" t="str">
        <f>IF(B10743=B10742,"",B10743)</f>
        <v/>
      </c>
    </row>
    <row r="10744" spans="1:6" ht="15.75" customHeight="1">
      <c r="A10744" s="6" t="s">
        <v>18620</v>
      </c>
      <c r="B10744" s="6" t="s">
        <v>18621</v>
      </c>
      <c r="C10744" s="6" t="s">
        <v>18551</v>
      </c>
      <c r="D10744" s="6" t="s">
        <v>18598</v>
      </c>
      <c r="E10744" s="2">
        <v>2537763</v>
      </c>
      <c r="F10744" s="4" t="str">
        <f>IF(B10744=B10743,"",B10744)</f>
        <v>Sale</v>
      </c>
    </row>
    <row r="10745" spans="1:6" ht="15.75" customHeight="1">
      <c r="A10745" s="6" t="s">
        <v>18620</v>
      </c>
      <c r="B10745" s="6" t="s">
        <v>18621</v>
      </c>
      <c r="C10745" s="6" t="s">
        <v>27234</v>
      </c>
      <c r="D10745" s="6" t="s">
        <v>27241</v>
      </c>
      <c r="E10745" s="2">
        <v>2638678</v>
      </c>
      <c r="F10745" s="4" t="str">
        <f>IF(B10745=B10744,"",B10745)</f>
        <v/>
      </c>
    </row>
    <row r="10746" spans="1:6" ht="15.75" customHeight="1">
      <c r="A10746" s="5" t="str">
        <f ca="1">IFERROR(__xludf.DUMMYFUNCTION("GOOGLETRANSLATE(B30421,""en"",""pt"")"),"Oferta")</f>
        <v>Oferta</v>
      </c>
      <c r="B10746" s="17" t="s">
        <v>18621</v>
      </c>
      <c r="C10746" s="17" t="s">
        <v>27234</v>
      </c>
      <c r="D10746" s="17" t="s">
        <v>27241</v>
      </c>
      <c r="E10746" s="10">
        <v>2638678</v>
      </c>
      <c r="F10746" s="4" t="str">
        <f>IF(B10746=B10745,"",B10746)</f>
        <v/>
      </c>
    </row>
    <row r="10747" spans="1:6" ht="15.75" customHeight="1">
      <c r="A10747" s="5" t="str">
        <f ca="1">IFERROR(__xludf.DUMMYFUNCTION("GOOGLETRANSLATE(B36476,""en"",""pt"")"),"Oferta")</f>
        <v>Oferta</v>
      </c>
      <c r="B10747" s="17" t="s">
        <v>18621</v>
      </c>
      <c r="C10747" s="17" t="s">
        <v>18551</v>
      </c>
      <c r="D10747" s="17" t="s">
        <v>34585</v>
      </c>
      <c r="E10747" s="10">
        <v>2537763</v>
      </c>
      <c r="F10747" s="4" t="str">
        <f>IF(B10747=B10746,"",B10747)</f>
        <v/>
      </c>
    </row>
    <row r="10748" spans="1:6" ht="15.75" customHeight="1">
      <c r="A10748" s="6" t="s">
        <v>23973</v>
      </c>
      <c r="B10748" s="6" t="s">
        <v>23973</v>
      </c>
      <c r="C10748" s="6" t="s">
        <v>23842</v>
      </c>
      <c r="D10748" s="6" t="s">
        <v>23847</v>
      </c>
      <c r="E10748" s="2">
        <v>3361934</v>
      </c>
      <c r="F10748" s="4" t="str">
        <f>IF(B10748=B10747,"",B10748)</f>
        <v>Saldanha</v>
      </c>
    </row>
    <row r="10749" spans="1:6" ht="15.75" customHeight="1">
      <c r="A10749" s="5" t="str">
        <f ca="1">IFERROR(__xludf.DUMMYFUNCTION("GOOGLETRANSLATE(B45989,""en"",""pt"")"),"Saldanha")</f>
        <v>Saldanha</v>
      </c>
      <c r="B10749" s="17" t="s">
        <v>23973</v>
      </c>
      <c r="C10749" s="17" t="s">
        <v>23842</v>
      </c>
      <c r="D10749" s="17" t="s">
        <v>23847</v>
      </c>
      <c r="E10749" s="10">
        <v>3361934</v>
      </c>
      <c r="F10749" s="4" t="str">
        <f>IF(B10749=B10748,"",B10749)</f>
        <v/>
      </c>
    </row>
    <row r="10750" spans="1:6" ht="15.75" customHeight="1">
      <c r="A10750" s="6" t="s">
        <v>6352</v>
      </c>
      <c r="B10750" s="6" t="s">
        <v>6352</v>
      </c>
      <c r="C10750" s="6" t="s">
        <v>6303</v>
      </c>
      <c r="D10750" s="6" t="s">
        <v>6353</v>
      </c>
      <c r="E10750" s="2">
        <v>3493283</v>
      </c>
      <c r="F10750" s="4" t="str">
        <f>IF(B10750=B10749,"",B10750)</f>
        <v>Salcedo</v>
      </c>
    </row>
    <row r="10751" spans="1:6" ht="15.75" customHeight="1">
      <c r="A10751" s="5" t="str">
        <f ca="1">IFERROR(__xludf.DUMMYFUNCTION("GOOGLETRANSLATE(B28469,""en"",""pt"")"),"Salcedo")</f>
        <v>Salcedo</v>
      </c>
      <c r="B10751" s="17" t="s">
        <v>6352</v>
      </c>
      <c r="C10751" s="17" t="s">
        <v>6303</v>
      </c>
      <c r="D10751" s="17" t="s">
        <v>6353</v>
      </c>
      <c r="E10751" s="10">
        <v>3493283</v>
      </c>
      <c r="F10751" s="4" t="str">
        <f>IF(B10751=B10750,"",B10751)</f>
        <v/>
      </c>
    </row>
    <row r="10752" spans="1:6" ht="15.75" customHeight="1">
      <c r="A10752" s="5" t="str">
        <f ca="1">IFERROR(__xludf.DUMMYFUNCTION("GOOGLETRANSLATE(B32269,""en"",""pt"")"),"Salāya")</f>
        <v>Salāya</v>
      </c>
      <c r="B10752" s="17" t="s">
        <v>33135</v>
      </c>
      <c r="C10752" s="17" t="s">
        <v>10178</v>
      </c>
      <c r="D10752" s="17" t="s">
        <v>10209</v>
      </c>
      <c r="E10752" s="10">
        <v>1257638</v>
      </c>
      <c r="F10752" s="4" t="str">
        <f>IF(B10752=B10751,"",B10752)</f>
        <v>Salāya</v>
      </c>
    </row>
    <row r="10753" spans="1:6" ht="15.75" customHeight="1">
      <c r="A10753" s="6" t="s">
        <v>23026</v>
      </c>
      <c r="B10753" s="6" t="s">
        <v>23026</v>
      </c>
      <c r="C10753" s="6" t="s">
        <v>22070</v>
      </c>
      <c r="D10753" s="6" t="s">
        <v>22088</v>
      </c>
      <c r="E10753" s="2">
        <v>499292</v>
      </c>
      <c r="F10753" s="4" t="str">
        <f>IF(B10753=B10752,"",B10753)</f>
        <v>Salavat</v>
      </c>
    </row>
    <row r="10754" spans="1:6" ht="15.75" customHeight="1">
      <c r="A10754" s="5" t="str">
        <f ca="1">IFERROR(__xludf.DUMMYFUNCTION("GOOGLETRANSLATE(B40142,""en"",""pt"")"),"Salavat")</f>
        <v>Salavat</v>
      </c>
      <c r="B10754" s="17" t="s">
        <v>23026</v>
      </c>
      <c r="C10754" s="17" t="s">
        <v>22070</v>
      </c>
      <c r="D10754" s="17" t="s">
        <v>22088</v>
      </c>
      <c r="E10754" s="10">
        <v>499292</v>
      </c>
      <c r="F10754" s="4" t="str">
        <f>IF(B10754=B10753,"",B10754)</f>
        <v/>
      </c>
    </row>
    <row r="10755" spans="1:6" ht="15.75" customHeight="1">
      <c r="A10755" s="6" t="s">
        <v>14130</v>
      </c>
      <c r="B10755" s="6" t="s">
        <v>14130</v>
      </c>
      <c r="C10755" s="6" t="s">
        <v>13800</v>
      </c>
      <c r="D10755" s="6" t="s">
        <v>13803</v>
      </c>
      <c r="E10755" s="2">
        <v>1629131</v>
      </c>
      <c r="F10755" s="4" t="str">
        <f>IF(B10755=B10754,"",B10755)</f>
        <v>Salatiga</v>
      </c>
    </row>
    <row r="10756" spans="1:6" ht="15.75" customHeight="1">
      <c r="A10756" s="5" t="str">
        <f ca="1">IFERROR(__xludf.DUMMYFUNCTION("GOOGLETRANSLATE(B31467,""en"",""pt"")"),"Salatiga")</f>
        <v>Salatiga</v>
      </c>
      <c r="B10756" s="17" t="s">
        <v>14130</v>
      </c>
      <c r="C10756" s="17" t="s">
        <v>13800</v>
      </c>
      <c r="D10756" s="17" t="s">
        <v>13803</v>
      </c>
      <c r="E10756" s="10">
        <v>1629131</v>
      </c>
      <c r="F10756" s="4" t="str">
        <f>IF(B10756=B10755,"",B10756)</f>
        <v/>
      </c>
    </row>
    <row r="10757" spans="1:6" ht="15.75" customHeight="1">
      <c r="A10757" s="6" t="s">
        <v>16999</v>
      </c>
      <c r="B10757" s="6" t="s">
        <v>16999</v>
      </c>
      <c r="C10757" s="6" t="s">
        <v>16982</v>
      </c>
      <c r="D10757" s="6" t="s">
        <v>16999</v>
      </c>
      <c r="E10757" s="2">
        <v>455898</v>
      </c>
      <c r="F10757" s="4" t="str">
        <f>IF(B10757=B10756,"",B10757)</f>
        <v>Salaspils</v>
      </c>
    </row>
    <row r="10758" spans="1:6" ht="15.75" customHeight="1">
      <c r="A10758" s="5" t="str">
        <f ca="1">IFERROR(__xludf.DUMMYFUNCTION("GOOGLETRANSLATE(B36402,""en"",""pt"")"),"Salaspils")</f>
        <v>Salaspils</v>
      </c>
      <c r="B10758" s="17" t="s">
        <v>16999</v>
      </c>
      <c r="C10758" s="17" t="s">
        <v>16982</v>
      </c>
      <c r="D10758" s="17" t="s">
        <v>16999</v>
      </c>
      <c r="E10758" s="10">
        <v>455898</v>
      </c>
      <c r="F10758" s="4" t="str">
        <f>IF(B10758=B10757,"",B10758)</f>
        <v/>
      </c>
    </row>
    <row r="10759" spans="1:6" ht="15.75" customHeight="1">
      <c r="A10759" s="6" t="s">
        <v>5038</v>
      </c>
      <c r="B10759" s="6" t="s">
        <v>5038</v>
      </c>
      <c r="C10759" s="6" t="s">
        <v>4487</v>
      </c>
      <c r="D10759" s="6" t="s">
        <v>4533</v>
      </c>
      <c r="E10759" s="2">
        <v>2035196</v>
      </c>
      <c r="F10759" s="4" t="str">
        <f>IF(B10759=B10758,"",B10759)</f>
        <v>Salaqi</v>
      </c>
    </row>
    <row r="10760" spans="1:6" ht="15.75" customHeight="1">
      <c r="A10760" s="5" t="str">
        <f ca="1">IFERROR(__xludf.DUMMYFUNCTION("GOOGLETRANSLATE(B26700,""en"",""pt"")"),"Salaqi")</f>
        <v>Salaqi</v>
      </c>
      <c r="B10760" s="17" t="s">
        <v>5038</v>
      </c>
      <c r="C10760" s="17" t="s">
        <v>4487</v>
      </c>
      <c r="D10760" s="17" t="s">
        <v>4533</v>
      </c>
      <c r="E10760" s="10">
        <v>2035196</v>
      </c>
      <c r="F10760" s="4" t="str">
        <f>IF(B10760=B10759,"",B10760)</f>
        <v/>
      </c>
    </row>
    <row r="10761" spans="1:6" ht="15.75" customHeight="1">
      <c r="A10761" s="5" t="str">
        <f ca="1">IFERROR(__xludf.DUMMYFUNCTION("GOOGLETRANSLATE(B30961,""en"",""pt"")"),"Salamína")</f>
        <v>Salamína</v>
      </c>
      <c r="B10761" s="17" t="s">
        <v>32674</v>
      </c>
      <c r="C10761" s="17" t="s">
        <v>9441</v>
      </c>
      <c r="D10761" s="17" t="s">
        <v>9445</v>
      </c>
      <c r="E10761" s="10">
        <v>254144</v>
      </c>
      <c r="F10761" s="4" t="str">
        <f>IF(B10761=B10760,"",B10761)</f>
        <v>Salamína</v>
      </c>
    </row>
    <row r="10762" spans="1:6" ht="15.75" customHeight="1">
      <c r="A10762" s="6" t="s">
        <v>5588</v>
      </c>
      <c r="B10762" s="6" t="s">
        <v>5588</v>
      </c>
      <c r="C10762" s="6" t="s">
        <v>5348</v>
      </c>
      <c r="D10762" s="6" t="s">
        <v>5353</v>
      </c>
      <c r="E10762" s="2">
        <v>3670370</v>
      </c>
      <c r="F10762" s="4" t="str">
        <f>IF(B10762=B10761,"",B10762)</f>
        <v>Salamina</v>
      </c>
    </row>
    <row r="10763" spans="1:6" ht="15.75" customHeight="1">
      <c r="A10763" s="5" t="str">
        <f ca="1">IFERROR(__xludf.DUMMYFUNCTION("GOOGLETRANSLATE(B26897,""en"",""pt"")"),"Salamina")</f>
        <v>Salamina</v>
      </c>
      <c r="B10763" s="17" t="s">
        <v>5588</v>
      </c>
      <c r="C10763" s="17" t="s">
        <v>5348</v>
      </c>
      <c r="D10763" s="17" t="s">
        <v>5353</v>
      </c>
      <c r="E10763" s="10">
        <v>3670370</v>
      </c>
      <c r="F10763" s="4" t="str">
        <f>IF(B10763=B10762,"",B10763)</f>
        <v/>
      </c>
    </row>
    <row r="10764" spans="1:6" ht="15.75" customHeight="1">
      <c r="A10764" s="5" t="s">
        <v>18199</v>
      </c>
      <c r="B10764" s="6" t="s">
        <v>18199</v>
      </c>
      <c r="C10764" s="5" t="s">
        <v>17707</v>
      </c>
      <c r="D10764" s="5" t="s">
        <v>17713</v>
      </c>
      <c r="E10764" s="2">
        <v>3988214</v>
      </c>
      <c r="F10764" s="4" t="str">
        <f>IF(B10764=B10763,"",B10764)</f>
        <v>Salamanca</v>
      </c>
    </row>
    <row r="10765" spans="1:6" ht="15.75" customHeight="1">
      <c r="A10765" s="5" t="s">
        <v>18199</v>
      </c>
      <c r="B10765" s="6" t="s">
        <v>18199</v>
      </c>
      <c r="C10765" s="5" t="s">
        <v>24200</v>
      </c>
      <c r="D10765" s="5" t="s">
        <v>24210</v>
      </c>
      <c r="E10765" s="2">
        <v>3111108</v>
      </c>
      <c r="F10765" s="4" t="str">
        <f>IF(B10765=B10764,"",B10765)</f>
        <v/>
      </c>
    </row>
    <row r="10766" spans="1:6" ht="15.75" customHeight="1">
      <c r="A10766" s="5" t="s">
        <v>18199</v>
      </c>
      <c r="B10766" s="6" t="s">
        <v>18199</v>
      </c>
      <c r="C10766" s="5" t="s">
        <v>24200</v>
      </c>
      <c r="D10766" s="5" t="s">
        <v>5513</v>
      </c>
      <c r="E10766" s="2">
        <v>6544491</v>
      </c>
      <c r="F10766" s="4" t="str">
        <f>IF(B10766=B10765,"",B10766)</f>
        <v/>
      </c>
    </row>
    <row r="10767" spans="1:6" ht="15.75" customHeight="1">
      <c r="A10767" s="5" t="str">
        <f ca="1">IFERROR(__xludf.DUMMYFUNCTION("GOOGLETRANSLATE(B29309,""en"",""pt"")"),"Salamanca")</f>
        <v>Salamanca</v>
      </c>
      <c r="B10767" s="17" t="s">
        <v>18199</v>
      </c>
      <c r="C10767" s="17" t="s">
        <v>24200</v>
      </c>
      <c r="D10767" s="17" t="s">
        <v>32412</v>
      </c>
      <c r="E10767" s="10">
        <v>3111108</v>
      </c>
      <c r="F10767" s="4" t="str">
        <f>IF(B10767=B10766,"",B10767)</f>
        <v/>
      </c>
    </row>
    <row r="10768" spans="1:6" ht="15.75" customHeight="1">
      <c r="A10768" s="5" t="str">
        <f ca="1">IFERROR(__xludf.DUMMYFUNCTION("GOOGLETRANSLATE(B29494,""en"",""pt"")"),"Salamanca")</f>
        <v>Salamanca</v>
      </c>
      <c r="B10768" s="17" t="s">
        <v>18199</v>
      </c>
      <c r="C10768" s="17" t="s">
        <v>24200</v>
      </c>
      <c r="D10768" s="17" t="s">
        <v>5513</v>
      </c>
      <c r="E10768" s="10">
        <v>6544491</v>
      </c>
      <c r="F10768" s="4" t="str">
        <f>IF(B10768=B10767,"",B10768)</f>
        <v/>
      </c>
    </row>
    <row r="10769" spans="1:6" ht="15.75" customHeight="1">
      <c r="A10769" s="5" t="str">
        <f ca="1">IFERROR(__xludf.DUMMYFUNCTION("GOOGLETRANSLATE(B37209,""en"",""pt"")"),"Salamanca")</f>
        <v>Salamanca</v>
      </c>
      <c r="B10769" s="17" t="s">
        <v>18199</v>
      </c>
      <c r="C10769" s="17" t="s">
        <v>17707</v>
      </c>
      <c r="D10769" s="17" t="s">
        <v>17713</v>
      </c>
      <c r="E10769" s="10">
        <v>3988214</v>
      </c>
      <c r="F10769" s="4" t="str">
        <f>IF(B10769=B10768,"",B10769)</f>
        <v/>
      </c>
    </row>
    <row r="10770" spans="1:6" ht="15.75" customHeight="1">
      <c r="A10770" s="6" t="s">
        <v>9635</v>
      </c>
      <c r="B10770" s="6" t="s">
        <v>9636</v>
      </c>
      <c r="C10770" s="6" t="s">
        <v>9441</v>
      </c>
      <c r="D10770" s="6" t="s">
        <v>9445</v>
      </c>
      <c r="E10770" s="2">
        <v>254144</v>
      </c>
      <c r="F10770" s="4" t="str">
        <f>IF(B10770=B10769,"",B10770)</f>
        <v>SalamÃ­na</v>
      </c>
    </row>
    <row r="10771" spans="1:6" ht="15.75" customHeight="1">
      <c r="A10771" s="6" t="s">
        <v>9780</v>
      </c>
      <c r="B10771" s="6" t="s">
        <v>9781</v>
      </c>
      <c r="C10771" s="6" t="s">
        <v>9700</v>
      </c>
      <c r="D10771" s="6" t="s">
        <v>9782</v>
      </c>
      <c r="E10771" s="2">
        <v>3590616</v>
      </c>
      <c r="F10771" s="4" t="str">
        <f>IF(B10771=B10770,"",B10771)</f>
        <v>SalamÃ¡</v>
      </c>
    </row>
    <row r="10772" spans="1:6" ht="15.75" customHeight="1">
      <c r="A10772" s="5" t="str">
        <f ca="1">IFERROR(__xludf.DUMMYFUNCTION("GOOGLETRANSLATE(B31089,""en"",""pt"")"),"Salamá")</f>
        <v>Salamá</v>
      </c>
      <c r="B10772" s="17" t="s">
        <v>32780</v>
      </c>
      <c r="C10772" s="17" t="s">
        <v>9700</v>
      </c>
      <c r="D10772" s="17" t="s">
        <v>9782</v>
      </c>
      <c r="E10772" s="10">
        <v>3590616</v>
      </c>
      <c r="F10772" s="4" t="str">
        <f>IF(B10772=B10771,"",B10772)</f>
        <v>Salamá</v>
      </c>
    </row>
    <row r="10773" spans="1:6" ht="15.75" customHeight="1">
      <c r="A10773" s="5" t="str">
        <f ca="1">IFERROR(__xludf.DUMMYFUNCTION("GOOGLETRANSLATE(B38256,""en"",""pt"")"),"Şalālah")</f>
        <v>Şalālah</v>
      </c>
      <c r="B10773" s="17" t="s">
        <v>34845</v>
      </c>
      <c r="C10773" s="17" t="s">
        <v>19755</v>
      </c>
      <c r="D10773" s="17" t="s">
        <v>34846</v>
      </c>
      <c r="E10773" s="10">
        <v>286621</v>
      </c>
      <c r="F10773" s="4" t="str">
        <f>IF(B10773=B10772,"",B10773)</f>
        <v>Şalālah</v>
      </c>
    </row>
    <row r="10774" spans="1:6" ht="15.75" customHeight="1">
      <c r="A10774" s="6" t="s">
        <v>443</v>
      </c>
      <c r="B10774" s="6" t="s">
        <v>443</v>
      </c>
      <c r="C10774" s="6" t="s">
        <v>153</v>
      </c>
      <c r="D10774" s="6" t="s">
        <v>183</v>
      </c>
      <c r="E10774" s="2">
        <v>2482447</v>
      </c>
      <c r="F10774" s="4" t="str">
        <f>IF(B10774=B10773,"",B10774)</f>
        <v>Salah Bey</v>
      </c>
    </row>
    <row r="10775" spans="1:6" ht="15.75" customHeight="1">
      <c r="A10775" s="5" t="str">
        <f ca="1">IFERROR(__xludf.DUMMYFUNCTION("GOOGLETRANSLATE(B28550,""en"",""pt"")"),"Salah Bey")</f>
        <v>Salah Bey</v>
      </c>
      <c r="B10775" s="17" t="s">
        <v>443</v>
      </c>
      <c r="C10775" s="17" t="s">
        <v>153</v>
      </c>
      <c r="D10775" s="17" t="s">
        <v>32190</v>
      </c>
      <c r="E10775" s="10">
        <v>2482447</v>
      </c>
      <c r="F10775" s="4" t="str">
        <f>IF(B10775=B10774,"",B10775)</f>
        <v/>
      </c>
    </row>
    <row r="10776" spans="1:6" ht="15.75" customHeight="1">
      <c r="A10776" s="6" t="s">
        <v>9414</v>
      </c>
      <c r="B10776" s="6" t="s">
        <v>9414</v>
      </c>
      <c r="C10776" s="6" t="s">
        <v>9365</v>
      </c>
      <c r="D10776" s="6" t="s">
        <v>6942</v>
      </c>
      <c r="E10776" s="2">
        <v>2295684</v>
      </c>
      <c r="F10776" s="4" t="str">
        <f>IF(B10776=B10775,"",B10776)</f>
        <v>Salaga</v>
      </c>
    </row>
    <row r="10777" spans="1:6" ht="15.75" customHeight="1">
      <c r="A10777" s="5" t="str">
        <f ca="1">IFERROR(__xludf.DUMMYFUNCTION("GOOGLETRANSLATE(B30874,""en"",""pt"")"),"Salaga")</f>
        <v>Salaga</v>
      </c>
      <c r="B10777" s="17" t="s">
        <v>9414</v>
      </c>
      <c r="C10777" s="17" t="s">
        <v>9365</v>
      </c>
      <c r="D10777" s="17" t="s">
        <v>6942</v>
      </c>
      <c r="E10777" s="10">
        <v>2295684</v>
      </c>
      <c r="F10777" s="4" t="str">
        <f>IF(B10777=B10776,"",B10777)</f>
        <v/>
      </c>
    </row>
    <row r="10778" spans="1:6" ht="15.75" customHeight="1">
      <c r="A10778" s="6" t="s">
        <v>770</v>
      </c>
      <c r="B10778" s="6" t="s">
        <v>770</v>
      </c>
      <c r="C10778" s="6" t="s">
        <v>558</v>
      </c>
      <c r="D10778" s="6" t="s">
        <v>629</v>
      </c>
      <c r="E10778" s="2">
        <v>3429403</v>
      </c>
      <c r="F10778" s="4" t="str">
        <f>IF(B10778=B10777,"",B10778)</f>
        <v>Saladas</v>
      </c>
    </row>
    <row r="10779" spans="1:6" ht="15.75" customHeight="1">
      <c r="A10779" s="5" t="str">
        <f ca="1">IFERROR(__xludf.DUMMYFUNCTION("GOOGLETRANSLATE(B23183,""en"",""pt"")"),"Saladas")</f>
        <v>Saladas</v>
      </c>
      <c r="B10779" s="17" t="s">
        <v>770</v>
      </c>
      <c r="C10779" s="17" t="s">
        <v>558</v>
      </c>
      <c r="D10779" s="17" t="s">
        <v>629</v>
      </c>
      <c r="E10779" s="10">
        <v>3429403</v>
      </c>
      <c r="F10779" s="4" t="str">
        <f>IF(B10779=B10778,"",B10779)</f>
        <v/>
      </c>
    </row>
    <row r="10780" spans="1:6" ht="15.75" customHeight="1">
      <c r="A10780" s="5" t="s">
        <v>4191</v>
      </c>
      <c r="B10780" s="6" t="s">
        <v>4192</v>
      </c>
      <c r="C10780" s="5" t="s">
        <v>3975</v>
      </c>
      <c r="D10780" s="5" t="s">
        <v>3982</v>
      </c>
      <c r="E10780" s="2">
        <v>6139289</v>
      </c>
      <c r="F10780" s="4" t="str">
        <f>IF(B10780=B10779,"",B10780)</f>
        <v>Salaberry-de-Valleyfield</v>
      </c>
    </row>
    <row r="10781" spans="1:6" ht="15.75" customHeight="1">
      <c r="A10781" s="5" t="str">
        <f ca="1">IFERROR(__xludf.DUMMYFUNCTION("GOOGLETRANSLATE(B25577,""en"",""pt"")"),"Salaberry-de Valleyfield")</f>
        <v>Salaberry-de Valleyfield</v>
      </c>
      <c r="B10781" s="17" t="s">
        <v>4192</v>
      </c>
      <c r="C10781" s="17" t="s">
        <v>3975</v>
      </c>
      <c r="D10781" s="17" t="s">
        <v>3982</v>
      </c>
      <c r="E10781" s="10">
        <v>6139289</v>
      </c>
      <c r="F10781" s="4" t="str">
        <f>IF(B10781=B10780,"",B10781)</f>
        <v/>
      </c>
    </row>
    <row r="10782" spans="1:6" ht="15.75" customHeight="1">
      <c r="A10782" s="6" t="s">
        <v>13209</v>
      </c>
      <c r="B10782" s="6" t="s">
        <v>13210</v>
      </c>
      <c r="C10782" s="6" t="s">
        <v>10178</v>
      </c>
      <c r="D10782" s="6" t="s">
        <v>10209</v>
      </c>
      <c r="E10782" s="2">
        <v>1257638</v>
      </c>
      <c r="F10782" s="4" t="str">
        <f>IF(B10782=B10781,"",B10782)</f>
        <v>SalÄya</v>
      </c>
    </row>
    <row r="10783" spans="1:6" ht="15.75" customHeight="1">
      <c r="A10783" s="6" t="s">
        <v>23024</v>
      </c>
      <c r="B10783" s="6" t="s">
        <v>23025</v>
      </c>
      <c r="C10783" s="6" t="s">
        <v>22070</v>
      </c>
      <c r="D10783" s="6" t="s">
        <v>22099</v>
      </c>
      <c r="E10783" s="2">
        <v>499161</v>
      </c>
      <c r="F10783" s="4" t="str">
        <f>IF(B10783=B10782,"",B10783)</f>
        <v>Salâ€™sk</v>
      </c>
    </row>
    <row r="10784" spans="1:6" ht="15.75" customHeight="1">
      <c r="A10784" s="5" t="str">
        <f ca="1">IFERROR(__xludf.DUMMYFUNCTION("GOOGLETRANSLATE(B40141,""en"",""pt"")"),"Sal'Sk")</f>
        <v>Sal'Sk</v>
      </c>
      <c r="B10784" s="17" t="s">
        <v>35462</v>
      </c>
      <c r="C10784" s="17" t="s">
        <v>22070</v>
      </c>
      <c r="D10784" s="17" t="s">
        <v>22099</v>
      </c>
      <c r="E10784" s="10">
        <v>499161</v>
      </c>
      <c r="F10784" s="4" t="str">
        <f>IF(B10784=B10783,"",B10784)</f>
        <v>Sal’sk</v>
      </c>
    </row>
    <row r="10785" spans="1:6" ht="15.75" customHeight="1">
      <c r="A10785" s="6" t="s">
        <v>27128</v>
      </c>
      <c r="B10785" s="6" t="s">
        <v>27128</v>
      </c>
      <c r="C10785" s="6" t="s">
        <v>26870</v>
      </c>
      <c r="D10785" s="6" t="s">
        <v>26873</v>
      </c>
      <c r="E10785" s="2">
        <v>694910</v>
      </c>
      <c r="F10785" s="4" t="str">
        <f>IF(B10785=B10784,"",B10785)</f>
        <v>Saky</v>
      </c>
    </row>
    <row r="10786" spans="1:6" ht="15.75" customHeight="1">
      <c r="A10786" s="5" t="str">
        <f ca="1">IFERROR(__xludf.DUMMYFUNCTION("GOOGLETRANSLATE(B42534,""en"",""pt"")"),"Saky")</f>
        <v>Saky</v>
      </c>
      <c r="B10786" s="17" t="s">
        <v>27128</v>
      </c>
      <c r="C10786" s="17" t="s">
        <v>26870</v>
      </c>
      <c r="D10786" s="17" t="s">
        <v>26873</v>
      </c>
      <c r="E10786" s="10">
        <v>694910</v>
      </c>
      <c r="F10786" s="4" t="str">
        <f>IF(B10786=B10785,"",B10786)</f>
        <v/>
      </c>
    </row>
    <row r="10787" spans="1:6" ht="15.75" customHeight="1">
      <c r="A10787" s="6" t="s">
        <v>16379</v>
      </c>
      <c r="B10787" s="6" t="s">
        <v>16379</v>
      </c>
      <c r="C10787" s="6" t="s">
        <v>15704</v>
      </c>
      <c r="D10787" s="6" t="s">
        <v>15905</v>
      </c>
      <c r="E10787" s="2">
        <v>1853066</v>
      </c>
      <c r="F10787" s="4" t="str">
        <f>IF(B10787=B10786,"",B10787)</f>
        <v>Sakurai</v>
      </c>
    </row>
    <row r="10788" spans="1:6" ht="15.75" customHeight="1">
      <c r="A10788" s="5" t="str">
        <f ca="1">IFERROR(__xludf.DUMMYFUNCTION("GOOGLETRANSLATE(B35319,""en"",""pt"")"),"Sakurai")</f>
        <v>Sakurai</v>
      </c>
      <c r="B10788" s="17" t="s">
        <v>16379</v>
      </c>
      <c r="C10788" s="17" t="s">
        <v>15704</v>
      </c>
      <c r="D10788" s="17" t="s">
        <v>15905</v>
      </c>
      <c r="E10788" s="10">
        <v>1853066</v>
      </c>
      <c r="F10788" s="4" t="str">
        <f>IF(B10788=B10787,"",B10788)</f>
        <v/>
      </c>
    </row>
    <row r="10789" spans="1:6" ht="15.75" customHeight="1">
      <c r="A10789" s="6" t="s">
        <v>16378</v>
      </c>
      <c r="B10789" s="6" t="s">
        <v>16378</v>
      </c>
      <c r="C10789" s="6" t="s">
        <v>15704</v>
      </c>
      <c r="D10789" s="6" t="s">
        <v>15707</v>
      </c>
      <c r="E10789" s="2">
        <v>2111220</v>
      </c>
      <c r="F10789" s="4" t="str">
        <f>IF(B10789=B10788,"",B10789)</f>
        <v>Sakura</v>
      </c>
    </row>
    <row r="10790" spans="1:6" ht="15.75" customHeight="1">
      <c r="A10790" s="5" t="str">
        <f ca="1">IFERROR(__xludf.DUMMYFUNCTION("GOOGLETRANSLATE(B35737,""en"",""pt"")"),"Sakura")</f>
        <v>Sakura</v>
      </c>
      <c r="B10790" s="17" t="s">
        <v>16378</v>
      </c>
      <c r="C10790" s="17" t="s">
        <v>15704</v>
      </c>
      <c r="D10790" s="17" t="s">
        <v>15707</v>
      </c>
      <c r="E10790" s="10">
        <v>2111220</v>
      </c>
      <c r="F10790" s="4" t="str">
        <f>IF(B10790=B10789,"",B10790)</f>
        <v/>
      </c>
    </row>
    <row r="10791" spans="1:6" ht="15.75" customHeight="1">
      <c r="A10791" s="6" t="s">
        <v>16377</v>
      </c>
      <c r="B10791" s="6" t="s">
        <v>16377</v>
      </c>
      <c r="C10791" s="6" t="s">
        <v>15704</v>
      </c>
      <c r="D10791" s="6" t="s">
        <v>15769</v>
      </c>
      <c r="E10791" s="2">
        <v>1853081</v>
      </c>
      <c r="F10791" s="4" t="str">
        <f>IF(B10791=B10790,"",B10791)</f>
        <v>Saku</v>
      </c>
    </row>
    <row r="10792" spans="1:6" ht="15.75" customHeight="1">
      <c r="A10792" s="5" t="str">
        <f ca="1">IFERROR(__xludf.DUMMYFUNCTION("GOOGLETRANSLATE(B35320,""en"",""pt"")"),"Saku")</f>
        <v>Saku</v>
      </c>
      <c r="B10792" s="17" t="s">
        <v>16377</v>
      </c>
      <c r="C10792" s="17" t="s">
        <v>15704</v>
      </c>
      <c r="D10792" s="17" t="s">
        <v>15769</v>
      </c>
      <c r="E10792" s="10">
        <v>1853081</v>
      </c>
      <c r="F10792" s="4" t="str">
        <f>IF(B10792=B10791,"",B10792)</f>
        <v/>
      </c>
    </row>
    <row r="10793" spans="1:6" ht="15.75" customHeight="1">
      <c r="A10793" s="5" t="str">
        <f ca="1">IFERROR(__xludf.DUMMYFUNCTION("GOOGLETRANSLATE(B32270,""en"",""pt"")"),"Saktī")</f>
        <v>Saktī</v>
      </c>
      <c r="B10793" s="17" t="s">
        <v>33136</v>
      </c>
      <c r="C10793" s="17" t="s">
        <v>10178</v>
      </c>
      <c r="D10793" s="17" t="s">
        <v>10272</v>
      </c>
      <c r="E10793" s="10">
        <v>1257673</v>
      </c>
      <c r="F10793" s="4" t="str">
        <f>IF(B10793=B10792,"",B10793)</f>
        <v>Saktī</v>
      </c>
    </row>
    <row r="10794" spans="1:6" ht="15.75" customHeight="1">
      <c r="A10794" s="6" t="s">
        <v>13207</v>
      </c>
      <c r="B10794" s="6" t="s">
        <v>13208</v>
      </c>
      <c r="C10794" s="6" t="s">
        <v>10178</v>
      </c>
      <c r="D10794" s="6" t="s">
        <v>10272</v>
      </c>
      <c r="E10794" s="2">
        <v>1257673</v>
      </c>
      <c r="F10794" s="4" t="str">
        <f>IF(B10794=B10793,"",B10794)</f>
        <v>SaktÄ«</v>
      </c>
    </row>
    <row r="10795" spans="1:6" ht="15.75" customHeight="1">
      <c r="A10795" s="6" t="s">
        <v>20202</v>
      </c>
      <c r="B10795" s="6" t="s">
        <v>20202</v>
      </c>
      <c r="C10795" s="6" t="s">
        <v>19808</v>
      </c>
      <c r="D10795" s="6" t="s">
        <v>19823</v>
      </c>
      <c r="E10795" s="2">
        <v>1166381</v>
      </c>
      <c r="F10795" s="4" t="str">
        <f>IF(B10795=B10794,"",B10795)</f>
        <v>Sakrand</v>
      </c>
    </row>
    <row r="10796" spans="1:6" ht="15.75" customHeight="1">
      <c r="A10796" s="5" t="str">
        <f ca="1">IFERROR(__xludf.DUMMYFUNCTION("GOOGLETRANSLATE(B38929,""en"",""pt"")"),"Sakrand")</f>
        <v>Sakrand</v>
      </c>
      <c r="B10796" s="17" t="s">
        <v>20202</v>
      </c>
      <c r="C10796" s="17" t="s">
        <v>19808</v>
      </c>
      <c r="D10796" s="17" t="s">
        <v>19823</v>
      </c>
      <c r="E10796" s="10">
        <v>1166381</v>
      </c>
      <c r="F10796" s="4" t="str">
        <f>IF(B10796=B10795,"",B10796)</f>
        <v/>
      </c>
    </row>
    <row r="10797" spans="1:6" ht="15.75" customHeight="1">
      <c r="A10797" s="5" t="s">
        <v>25982</v>
      </c>
      <c r="B10797" s="6" t="s">
        <v>25982</v>
      </c>
      <c r="C10797" s="5" t="s">
        <v>25771</v>
      </c>
      <c r="D10797" s="5" t="s">
        <v>25982</v>
      </c>
      <c r="E10797" s="2">
        <v>1606790</v>
      </c>
      <c r="F10797" s="4" t="str">
        <f>IF(B10797=B10796,"",B10797)</f>
        <v>Sakon Nakhon</v>
      </c>
    </row>
    <row r="10798" spans="1:6" ht="15.75" customHeight="1">
      <c r="A10798" s="5" t="str">
        <f ca="1">IFERROR(__xludf.DUMMYFUNCTION("GOOGLETRANSLATE(B41615,""en"",""pt"")"),"Sakon Nakhon")</f>
        <v>Sakon Nakhon</v>
      </c>
      <c r="B10798" s="17" t="s">
        <v>25982</v>
      </c>
      <c r="C10798" s="17" t="s">
        <v>25771</v>
      </c>
      <c r="D10798" s="17" t="s">
        <v>25982</v>
      </c>
      <c r="E10798" s="10">
        <v>1606790</v>
      </c>
      <c r="F10798" s="4" t="str">
        <f>IF(B10798=B10797,"",B10798)</f>
        <v/>
      </c>
    </row>
    <row r="10799" spans="1:6" ht="15.75" customHeight="1">
      <c r="A10799" s="5" t="s">
        <v>13206</v>
      </c>
      <c r="B10799" s="6" t="s">
        <v>13206</v>
      </c>
      <c r="C10799" s="5" t="s">
        <v>10178</v>
      </c>
      <c r="D10799" s="5" t="s">
        <v>10252</v>
      </c>
      <c r="E10799" s="2">
        <v>1257698</v>
      </c>
      <c r="F10799" s="4" t="str">
        <f>IF(B10799=B10798,"",B10799)</f>
        <v>Sakleshpur</v>
      </c>
    </row>
    <row r="10800" spans="1:6" ht="15.75" customHeight="1">
      <c r="A10800" s="5" t="str">
        <f ca="1">IFERROR(__xludf.DUMMYFUNCTION("GOOGLETRANSLATE(B32271,""en"",""pt"")"),"Sakleshpur")</f>
        <v>Sakleshpur</v>
      </c>
      <c r="B10800" s="17" t="s">
        <v>13206</v>
      </c>
      <c r="C10800" s="17" t="s">
        <v>10178</v>
      </c>
      <c r="D10800" s="17" t="s">
        <v>10252</v>
      </c>
      <c r="E10800" s="10">
        <v>1257698</v>
      </c>
      <c r="F10800" s="4" t="str">
        <f>IF(B10800=B10799,"",B10800)</f>
        <v/>
      </c>
    </row>
    <row r="10801" spans="1:6" ht="15.75" customHeight="1">
      <c r="A10801" s="6" t="s">
        <v>19558</v>
      </c>
      <c r="B10801" s="6" t="s">
        <v>19558</v>
      </c>
      <c r="C10801" s="6" t="s">
        <v>19294</v>
      </c>
      <c r="D10801" s="6" t="s">
        <v>19398</v>
      </c>
      <c r="E10801" s="2">
        <v>2323390</v>
      </c>
      <c r="F10801" s="4" t="str">
        <f>IF(B10801=B10800,"",B10801)</f>
        <v>Saki</v>
      </c>
    </row>
    <row r="10802" spans="1:6" ht="15.75" customHeight="1">
      <c r="A10802" s="5" t="str">
        <f ca="1">IFERROR(__xludf.DUMMYFUNCTION("GOOGLETRANSLATE(B37630,""en"",""pt"")"),"Saki")</f>
        <v>Saki</v>
      </c>
      <c r="B10802" s="17" t="s">
        <v>19558</v>
      </c>
      <c r="C10802" s="17" t="s">
        <v>19294</v>
      </c>
      <c r="D10802" s="17" t="s">
        <v>19398</v>
      </c>
      <c r="E10802" s="10">
        <v>2323390</v>
      </c>
      <c r="F10802" s="4" t="str">
        <f>IF(B10802=B10801,"",B10802)</f>
        <v/>
      </c>
    </row>
    <row r="10803" spans="1:6" ht="15.75" customHeight="1">
      <c r="A10803" s="5" t="str">
        <f ca="1">IFERROR(__xludf.DUMMYFUNCTION("GOOGLETRANSLATE(B31768,""en"",""pt"")"),"Sakhnīn")</f>
        <v>Sakhnīn</v>
      </c>
      <c r="B10803" s="17" t="s">
        <v>32915</v>
      </c>
      <c r="C10803" s="17" t="s">
        <v>14773</v>
      </c>
      <c r="D10803" s="17" t="s">
        <v>14774</v>
      </c>
      <c r="E10803" s="10">
        <v>293655</v>
      </c>
      <c r="F10803" s="4" t="str">
        <f>IF(B10803=B10802,"",B10803)</f>
        <v>Sakhnīn</v>
      </c>
    </row>
    <row r="10804" spans="1:6" ht="15.75" customHeight="1">
      <c r="A10804" s="5" t="s">
        <v>14872</v>
      </c>
      <c r="B10804" s="6" t="s">
        <v>14873</v>
      </c>
      <c r="C10804" s="5" t="s">
        <v>14773</v>
      </c>
      <c r="D10804" s="5" t="s">
        <v>14774</v>
      </c>
      <c r="E10804" s="2">
        <v>293655</v>
      </c>
      <c r="F10804" s="4" t="str">
        <f>IF(B10804=B10803,"",B10804)</f>
        <v>SakhnÄ«n</v>
      </c>
    </row>
    <row r="10805" spans="1:6" ht="15.75" customHeight="1">
      <c r="A10805" s="6" t="s">
        <v>1427</v>
      </c>
      <c r="B10805" s="6" t="s">
        <v>1427</v>
      </c>
      <c r="C10805" s="6" t="s">
        <v>1296</v>
      </c>
      <c r="D10805" s="6" t="s">
        <v>1297</v>
      </c>
      <c r="E10805" s="2">
        <v>1189056</v>
      </c>
      <c r="F10805" s="4" t="str">
        <f>IF(B10805=B10804,"",B10805)</f>
        <v>Sakhipur</v>
      </c>
    </row>
    <row r="10806" spans="1:6" ht="15.75" customHeight="1">
      <c r="A10806" s="5" t="str">
        <f ca="1">IFERROR(__xludf.DUMMYFUNCTION("GOOGLETRANSLATE(B23755,""en"",""pt"")"),"Sakhipur")</f>
        <v>Sakhipur</v>
      </c>
      <c r="B10806" s="17" t="s">
        <v>1427</v>
      </c>
      <c r="C10806" s="17" t="s">
        <v>1296</v>
      </c>
      <c r="D10806" s="17" t="s">
        <v>1297</v>
      </c>
      <c r="E10806" s="10">
        <v>1189056</v>
      </c>
      <c r="F10806" s="4" t="str">
        <f>IF(B10806=B10805,"",B10806)</f>
        <v/>
      </c>
    </row>
    <row r="10807" spans="1:6" ht="15.75" customHeight="1">
      <c r="A10807" s="5" t="str">
        <f ca="1">IFERROR(__xludf.DUMMYFUNCTION("GOOGLETRANSLATE(B24084,""en"",""pt"")"),"Sakété")</f>
        <v>Sakété</v>
      </c>
      <c r="B10807" s="17" t="s">
        <v>31331</v>
      </c>
      <c r="C10807" s="17" t="s">
        <v>1741</v>
      </c>
      <c r="D10807" s="17" t="s">
        <v>1771</v>
      </c>
      <c r="E10807" s="10">
        <v>2392009</v>
      </c>
      <c r="F10807" s="4" t="str">
        <f>IF(B10807=B10806,"",B10807)</f>
        <v>Sakété</v>
      </c>
    </row>
    <row r="10808" spans="1:6" ht="15.75" customHeight="1">
      <c r="A10808" s="6" t="s">
        <v>6199</v>
      </c>
      <c r="B10808" s="6" t="s">
        <v>6200</v>
      </c>
      <c r="C10808" s="6" t="s">
        <v>6127</v>
      </c>
      <c r="D10808" s="6" t="s">
        <v>6132</v>
      </c>
      <c r="E10808" s="2">
        <v>205970</v>
      </c>
      <c r="F10808" s="4" t="str">
        <f>IF(B10808=B10807,"",B10808)</f>
        <v>Sake</v>
      </c>
    </row>
    <row r="10809" spans="1:6" ht="15.75" customHeight="1">
      <c r="A10809" s="5" t="str">
        <f ca="1">IFERROR(__xludf.DUMMYFUNCTION("GOOGLETRANSLATE(B25649,""en"",""pt"")"),"Interesse")</f>
        <v>Interesse</v>
      </c>
      <c r="B10809" s="17" t="s">
        <v>6200</v>
      </c>
      <c r="C10809" s="17" t="s">
        <v>6127</v>
      </c>
      <c r="D10809" s="17" t="s">
        <v>6132</v>
      </c>
      <c r="E10809" s="10">
        <v>205970</v>
      </c>
      <c r="F10809" s="4" t="str">
        <f>IF(B10809=B10808,"",B10809)</f>
        <v/>
      </c>
    </row>
    <row r="10810" spans="1:6" ht="15.75" customHeight="1">
      <c r="A10810" s="5" t="str">
        <f ca="1">IFERROR(__xludf.DUMMYFUNCTION("GOOGLETRANSLATE(B36028,""en"",""pt"")"),"Sakchu-ŭp")</f>
        <v>Sakchu-ŭp</v>
      </c>
      <c r="B10810" s="17" t="s">
        <v>34459</v>
      </c>
      <c r="C10810" s="17" t="s">
        <v>19589</v>
      </c>
      <c r="D10810" s="17" t="s">
        <v>34443</v>
      </c>
      <c r="E10810" s="10">
        <v>2041533</v>
      </c>
      <c r="F10810" s="4" t="str">
        <f>IF(B10810=B10809,"",B10810)</f>
        <v>Sakchu-ŭp</v>
      </c>
    </row>
    <row r="10811" spans="1:6" ht="15.75" customHeight="1">
      <c r="A10811" s="5" t="s">
        <v>19666</v>
      </c>
      <c r="B10811" s="6" t="s">
        <v>19667</v>
      </c>
      <c r="C10811" s="5" t="s">
        <v>19589</v>
      </c>
      <c r="D10811" s="5" t="s">
        <v>19590</v>
      </c>
      <c r="E10811" s="2">
        <v>2041533</v>
      </c>
      <c r="F10811" s="4" t="str">
        <f>IF(B10811=B10810,"",B10811)</f>
        <v>Sakchu-Å­p</v>
      </c>
    </row>
    <row r="10812" spans="1:6" ht="15.75" customHeight="1">
      <c r="A10812" s="6" t="s">
        <v>16376</v>
      </c>
      <c r="B10812" s="6" t="s">
        <v>16376</v>
      </c>
      <c r="C10812" s="6" t="s">
        <v>15704</v>
      </c>
      <c r="D10812" s="6" t="s">
        <v>15951</v>
      </c>
      <c r="E10812" s="2">
        <v>1853140</v>
      </c>
      <c r="F10812" s="4" t="str">
        <f>IF(B10812=B10811,"",B10812)</f>
        <v>Sakata</v>
      </c>
    </row>
    <row r="10813" spans="1:6" ht="15.75" customHeight="1">
      <c r="A10813" s="5" t="str">
        <f ca="1">IFERROR(__xludf.DUMMYFUNCTION("GOOGLETRANSLATE(B35321,""en"",""pt"")"),"Sakata")</f>
        <v>Sakata</v>
      </c>
      <c r="B10813" s="17" t="s">
        <v>16376</v>
      </c>
      <c r="C10813" s="17" t="s">
        <v>15704</v>
      </c>
      <c r="D10813" s="17" t="s">
        <v>15951</v>
      </c>
      <c r="E10813" s="10">
        <v>1853140</v>
      </c>
      <c r="F10813" s="4" t="str">
        <f>IF(B10813=B10812,"",B10813)</f>
        <v/>
      </c>
    </row>
    <row r="10814" spans="1:6" ht="15.75" customHeight="1">
      <c r="A10814" s="6" t="s">
        <v>15661</v>
      </c>
      <c r="B10814" s="6" t="s">
        <v>15661</v>
      </c>
      <c r="C10814" s="6" t="s">
        <v>15586</v>
      </c>
      <c r="D10814" s="6" t="s">
        <v>15610</v>
      </c>
      <c r="E10814" s="2">
        <v>2282178</v>
      </c>
      <c r="F10814" s="4" t="str">
        <f>IF(B10814=B10813,"",B10814)</f>
        <v>Sakassou</v>
      </c>
    </row>
    <row r="10815" spans="1:6" ht="15.75" customHeight="1">
      <c r="A10815" s="5" t="str">
        <f ca="1">IFERROR(__xludf.DUMMYFUNCTION("GOOGLETRANSLATE(B25837,""en"",""pt"")"),"Sakassou")</f>
        <v>Sakassou</v>
      </c>
      <c r="B10815" s="17" t="s">
        <v>15661</v>
      </c>
      <c r="C10815" s="17" t="s">
        <v>15586</v>
      </c>
      <c r="D10815" s="17" t="s">
        <v>31784</v>
      </c>
      <c r="E10815" s="10">
        <v>2282178</v>
      </c>
      <c r="F10815" s="4" t="str">
        <f>IF(B10815=B10814,"",B10815)</f>
        <v/>
      </c>
    </row>
    <row r="10816" spans="1:6" ht="15.75" customHeight="1">
      <c r="A10816" s="6" t="s">
        <v>17391</v>
      </c>
      <c r="B10816" s="6" t="s">
        <v>17391</v>
      </c>
      <c r="C10816" s="6" t="s">
        <v>17292</v>
      </c>
      <c r="D10816" s="6" t="s">
        <v>17320</v>
      </c>
      <c r="E10816" s="2">
        <v>1057095</v>
      </c>
      <c r="F10816" s="4" t="str">
        <f>IF(B10816=B10815,"",B10816)</f>
        <v>Sakaraha</v>
      </c>
    </row>
    <row r="10817" spans="1:6" ht="15.75" customHeight="1">
      <c r="A10817" s="5" t="str">
        <f ca="1">IFERROR(__xludf.DUMMYFUNCTION("GOOGLETRANSLATE(B36571,""en"",""pt"")"),"Sakaraha")</f>
        <v>Sakaraha</v>
      </c>
      <c r="B10817" s="17" t="s">
        <v>17391</v>
      </c>
      <c r="C10817" s="17" t="s">
        <v>17292</v>
      </c>
      <c r="D10817" s="17" t="s">
        <v>17320</v>
      </c>
      <c r="E10817" s="10">
        <v>1057095</v>
      </c>
      <c r="F10817" s="4" t="str">
        <f>IF(B10817=B10816,"",B10817)</f>
        <v/>
      </c>
    </row>
    <row r="10818" spans="1:6" ht="15.75" customHeight="1">
      <c r="A10818" s="6" t="s">
        <v>23544</v>
      </c>
      <c r="B10818" s="6" t="s">
        <v>23544</v>
      </c>
      <c r="C10818" s="6" t="s">
        <v>23454</v>
      </c>
      <c r="D10818" s="6" t="s">
        <v>17085</v>
      </c>
      <c r="E10818" s="2">
        <v>102527</v>
      </c>
      <c r="F10818" s="4" t="str">
        <f>IF(B10818=B10817,"",B10818)</f>
        <v>Sakakah</v>
      </c>
    </row>
    <row r="10819" spans="1:6" ht="15.75" customHeight="1">
      <c r="A10819" s="5" t="str">
        <f ca="1">IFERROR(__xludf.DUMMYFUNCTION("GOOGLETRANSLATE(B41019,""en"",""pt"")"),"Sakakah")</f>
        <v>Sakakah</v>
      </c>
      <c r="B10819" s="17" t="s">
        <v>23544</v>
      </c>
      <c r="C10819" s="17" t="s">
        <v>23454</v>
      </c>
      <c r="D10819" s="17" t="s">
        <v>17085</v>
      </c>
      <c r="E10819" s="10">
        <v>102527</v>
      </c>
      <c r="F10819" s="4" t="str">
        <f>IF(B10819=B10818,"",B10819)</f>
        <v/>
      </c>
    </row>
    <row r="10820" spans="1:6" ht="15.75" customHeight="1">
      <c r="A10820" s="5" t="s">
        <v>16375</v>
      </c>
      <c r="B10820" s="6" t="s">
        <v>16375</v>
      </c>
      <c r="C10820" s="5" t="s">
        <v>15704</v>
      </c>
      <c r="D10820" s="5" t="s">
        <v>15731</v>
      </c>
      <c r="E10820" s="2">
        <v>1853192</v>
      </c>
      <c r="F10820" s="4" t="str">
        <f>IF(B10820=B10819,"",B10820)</f>
        <v>Sakai-nakajima</v>
      </c>
    </row>
    <row r="10821" spans="1:6" ht="15.75" customHeight="1">
      <c r="A10821" s="5" t="str">
        <f ca="1">IFERROR(__xludf.DUMMYFUNCTION("GOOGLETRANSLATE(B35324,""en"",""pt"")"),"Sakai-nakajima")</f>
        <v>Sakai-nakajima</v>
      </c>
      <c r="B10821" s="17" t="s">
        <v>16375</v>
      </c>
      <c r="C10821" s="17" t="s">
        <v>15704</v>
      </c>
      <c r="D10821" s="17" t="s">
        <v>15731</v>
      </c>
      <c r="E10821" s="10">
        <v>1853192</v>
      </c>
      <c r="F10821" s="4" t="str">
        <f>IF(B10821=B10820,"",B10821)</f>
        <v/>
      </c>
    </row>
    <row r="10822" spans="1:6" ht="15.75" customHeight="1">
      <c r="A10822" s="5" t="s">
        <v>16374</v>
      </c>
      <c r="B10822" s="6" t="s">
        <v>16374</v>
      </c>
      <c r="C10822" s="5" t="s">
        <v>15704</v>
      </c>
      <c r="D10822" s="5" t="s">
        <v>15740</v>
      </c>
      <c r="E10822" s="2">
        <v>1853174</v>
      </c>
      <c r="F10822" s="4" t="str">
        <f>IF(B10822=B10821,"",B10822)</f>
        <v>Sakaiminato</v>
      </c>
    </row>
    <row r="10823" spans="1:6" ht="15.75" customHeight="1">
      <c r="A10823" s="5" t="str">
        <f ca="1">IFERROR(__xludf.DUMMYFUNCTION("GOOGLETRANSLATE(B35322,""en"",""pt"")"),"Sakaiminato")</f>
        <v>Sakaiminato</v>
      </c>
      <c r="B10823" s="17" t="s">
        <v>16374</v>
      </c>
      <c r="C10823" s="17" t="s">
        <v>15704</v>
      </c>
      <c r="D10823" s="17" t="s">
        <v>15740</v>
      </c>
      <c r="E10823" s="10">
        <v>1853174</v>
      </c>
      <c r="F10823" s="4" t="str">
        <f>IF(B10823=B10822,"",B10823)</f>
        <v/>
      </c>
    </row>
    <row r="10824" spans="1:6" ht="15.75" customHeight="1">
      <c r="A10824" s="5" t="str">
        <f ca="1">IFERROR(__xludf.DUMMYFUNCTION("GOOGLETRANSLATE(B35323,""en"",""pt"")"),"Sakaidechō")</f>
        <v>Sakaidechō</v>
      </c>
      <c r="B10824" s="17" t="s">
        <v>34314</v>
      </c>
      <c r="C10824" s="17" t="s">
        <v>15704</v>
      </c>
      <c r="D10824" s="17" t="s">
        <v>16087</v>
      </c>
      <c r="E10824" s="10">
        <v>1853190</v>
      </c>
      <c r="F10824" s="4" t="str">
        <f>IF(B10824=B10823,"",B10824)</f>
        <v>Sakaidechō</v>
      </c>
    </row>
    <row r="10825" spans="1:6" ht="15.75" customHeight="1">
      <c r="A10825" s="5" t="s">
        <v>16372</v>
      </c>
      <c r="B10825" s="6" t="s">
        <v>16373</v>
      </c>
      <c r="C10825" s="5" t="s">
        <v>15704</v>
      </c>
      <c r="D10825" s="5" t="s">
        <v>16087</v>
      </c>
      <c r="E10825" s="2">
        <v>1853190</v>
      </c>
      <c r="F10825" s="4" t="str">
        <f>IF(B10825=B10824,"",B10825)</f>
        <v>SakaidechÅ</v>
      </c>
    </row>
    <row r="10826" spans="1:6" ht="15.75" customHeight="1">
      <c r="A10826" s="6" t="s">
        <v>16371</v>
      </c>
      <c r="B10826" s="6" t="s">
        <v>16371</v>
      </c>
      <c r="C10826" s="6" t="s">
        <v>15704</v>
      </c>
      <c r="D10826" s="6" t="s">
        <v>15724</v>
      </c>
      <c r="E10826" s="2">
        <v>1853193</v>
      </c>
      <c r="F10826" s="4" t="str">
        <f>IF(B10826=B10825,"",B10826)</f>
        <v>Sakai</v>
      </c>
    </row>
    <row r="10827" spans="1:6" ht="15.75" customHeight="1">
      <c r="A10827" s="6" t="s">
        <v>16371</v>
      </c>
      <c r="B10827" s="6" t="s">
        <v>16371</v>
      </c>
      <c r="C10827" s="6" t="s">
        <v>15704</v>
      </c>
      <c r="D10827" s="6" t="s">
        <v>15853</v>
      </c>
      <c r="E10827" s="2">
        <v>1853195</v>
      </c>
      <c r="F10827" s="4" t="str">
        <f>IF(B10827=B10826,"",B10827)</f>
        <v/>
      </c>
    </row>
    <row r="10828" spans="1:6" ht="15.75" customHeight="1">
      <c r="A10828" s="5" t="str">
        <f ca="1">IFERROR(__xludf.DUMMYFUNCTION("GOOGLETRANSLATE(B35325,""en"",""pt"")"),"Sakai")</f>
        <v>Sakai</v>
      </c>
      <c r="B10828" s="17" t="s">
        <v>16371</v>
      </c>
      <c r="C10828" s="17" t="s">
        <v>15704</v>
      </c>
      <c r="D10828" s="17" t="s">
        <v>15724</v>
      </c>
      <c r="E10828" s="10">
        <v>1853193</v>
      </c>
      <c r="F10828" s="4" t="str">
        <f>IF(B10828=B10827,"",B10828)</f>
        <v/>
      </c>
    </row>
    <row r="10829" spans="1:6" ht="15.75" customHeight="1">
      <c r="A10829" s="5" t="str">
        <f ca="1">IFERROR(__xludf.DUMMYFUNCTION("GOOGLETRANSLATE(B35326,""en"",""pt"")"),"Sakai")</f>
        <v>Sakai</v>
      </c>
      <c r="B10829" s="17" t="s">
        <v>16371</v>
      </c>
      <c r="C10829" s="17" t="s">
        <v>15704</v>
      </c>
      <c r="D10829" s="17" t="s">
        <v>34295</v>
      </c>
      <c r="E10829" s="10">
        <v>1853195</v>
      </c>
      <c r="F10829" s="4" t="str">
        <f>IF(B10829=B10828,"",B10829)</f>
        <v/>
      </c>
    </row>
    <row r="10830" spans="1:6" ht="15.75" customHeight="1">
      <c r="A10830" s="6" t="s">
        <v>16370</v>
      </c>
      <c r="B10830" s="6" t="s">
        <v>16370</v>
      </c>
      <c r="C10830" s="6" t="s">
        <v>15704</v>
      </c>
      <c r="D10830" s="6" t="s">
        <v>15710</v>
      </c>
      <c r="E10830" s="2">
        <v>1853209</v>
      </c>
      <c r="F10830" s="4" t="str">
        <f>IF(B10830=B10829,"",B10830)</f>
        <v>Sakado</v>
      </c>
    </row>
    <row r="10831" spans="1:6" ht="15.75" customHeight="1">
      <c r="A10831" s="5" t="str">
        <f ca="1">IFERROR(__xludf.DUMMYFUNCTION("GOOGLETRANSLATE(B35327,""en"",""pt"")"),"Sakado")</f>
        <v>Sakado</v>
      </c>
      <c r="B10831" s="17" t="s">
        <v>16370</v>
      </c>
      <c r="C10831" s="17" t="s">
        <v>15704</v>
      </c>
      <c r="D10831" s="17" t="s">
        <v>15710</v>
      </c>
      <c r="E10831" s="10">
        <v>1853209</v>
      </c>
      <c r="F10831" s="4" t="str">
        <f>IF(B10831=B10830,"",B10831)</f>
        <v/>
      </c>
    </row>
    <row r="10832" spans="1:6" ht="15.75" customHeight="1">
      <c r="A10832" s="6" t="s">
        <v>1785</v>
      </c>
      <c r="B10832" s="6" t="s">
        <v>1786</v>
      </c>
      <c r="C10832" s="6" t="s">
        <v>1741</v>
      </c>
      <c r="D10832" s="6" t="s">
        <v>1771</v>
      </c>
      <c r="E10832" s="2">
        <v>2392009</v>
      </c>
      <c r="F10832" s="4" t="str">
        <f>IF(B10832=B10831,"",B10832)</f>
        <v>SakÃ©tÃ©</v>
      </c>
    </row>
    <row r="10833" spans="1:6" ht="15.75" customHeight="1">
      <c r="A10833" s="6" t="s">
        <v>15710</v>
      </c>
      <c r="B10833" s="6" t="s">
        <v>15710</v>
      </c>
      <c r="C10833" s="6" t="s">
        <v>15704</v>
      </c>
      <c r="D10833" s="6" t="s">
        <v>15710</v>
      </c>
      <c r="E10833" s="2">
        <v>6940394</v>
      </c>
      <c r="F10833" s="4" t="str">
        <f>IF(B10833=B10832,"",B10833)</f>
        <v>Saitama</v>
      </c>
    </row>
    <row r="10834" spans="1:6" ht="15.75" customHeight="1">
      <c r="A10834" s="5" t="str">
        <f ca="1">IFERROR(__xludf.DUMMYFUNCTION("GOOGLETRANSLATE(B35877,""en"",""pt"")"),"Saitama")</f>
        <v>Saitama</v>
      </c>
      <c r="B10834" s="17" t="s">
        <v>15710</v>
      </c>
      <c r="C10834" s="17" t="s">
        <v>15704</v>
      </c>
      <c r="D10834" s="17" t="s">
        <v>15710</v>
      </c>
      <c r="E10834" s="10">
        <v>6940394</v>
      </c>
      <c r="F10834" s="4" t="str">
        <f>IF(B10834=B10833,"",B10834)</f>
        <v/>
      </c>
    </row>
    <row r="10835" spans="1:6" ht="15.75" customHeight="1">
      <c r="A10835" s="6" t="s">
        <v>19691</v>
      </c>
      <c r="B10835" s="6" t="s">
        <v>19691</v>
      </c>
      <c r="C10835" s="6" t="s">
        <v>19692</v>
      </c>
      <c r="D10835" s="6" t="s">
        <v>19691</v>
      </c>
      <c r="E10835" s="2">
        <v>7828758</v>
      </c>
      <c r="F10835" s="4" t="str">
        <f>IF(B10835=B10834,"",B10835)</f>
        <v>Saipan</v>
      </c>
    </row>
    <row r="10836" spans="1:6" ht="15.75" customHeight="1">
      <c r="A10836" s="5" t="str">
        <f ca="1">IFERROR(__xludf.DUMMYFUNCTION("GOOGLETRANSLATE(B36784,""en"",""pt"")"),"Saipan")</f>
        <v>Saipan</v>
      </c>
      <c r="B10836" s="17" t="s">
        <v>19691</v>
      </c>
      <c r="C10836" s="17" t="s">
        <v>19692</v>
      </c>
      <c r="D10836" s="17" t="s">
        <v>19691</v>
      </c>
      <c r="E10836" s="10">
        <v>7828758</v>
      </c>
      <c r="F10836" s="4" t="str">
        <f>IF(B10836=B10835,"",B10836)</f>
        <v/>
      </c>
    </row>
    <row r="10837" spans="1:6" ht="15.75" customHeight="1">
      <c r="A10837" s="5" t="str">
        <f ca="1">IFERROR(__xludf.DUMMYFUNCTION("GOOGLETRANSLATE(B29773,""en"",""pt"")"),"Saint-Sébastien-sur-loire")</f>
        <v>Saint-Sébastien-sur-loire</v>
      </c>
      <c r="B10837" s="17" t="s">
        <v>32552</v>
      </c>
      <c r="C10837" s="17" t="s">
        <v>7052</v>
      </c>
      <c r="D10837" s="17" t="s">
        <v>7102</v>
      </c>
      <c r="E10837" s="10">
        <v>2976984</v>
      </c>
      <c r="F10837" s="4" t="str">
        <f>IF(B10837=B10836,"",B10837)</f>
        <v>Saint-Sébastien-sur-Loire</v>
      </c>
    </row>
    <row r="10838" spans="1:6" ht="15.75" customHeight="1">
      <c r="A10838" s="5" t="s">
        <v>7802</v>
      </c>
      <c r="B10838" s="6" t="s">
        <v>7803</v>
      </c>
      <c r="C10838" s="5" t="s">
        <v>7052</v>
      </c>
      <c r="D10838" s="5" t="s">
        <v>7102</v>
      </c>
      <c r="E10838" s="2">
        <v>2976984</v>
      </c>
      <c r="F10838" s="4" t="str">
        <f>IF(B10838=B10837,"",B10838)</f>
        <v>Saint-SÃ©bastien-sur-Loire</v>
      </c>
    </row>
    <row r="10839" spans="1:6" ht="15.75" customHeight="1">
      <c r="A10839" s="5" t="str">
        <f ca="1">IFERROR(__xludf.DUMMYFUNCTION("GOOGLETRANSLATE(B29774,""en"",""pt"")"),"Saint-Raphaël")</f>
        <v>Saint-Raphaël</v>
      </c>
      <c r="B10839" s="17" t="s">
        <v>32553</v>
      </c>
      <c r="C10839" s="17" t="s">
        <v>7052</v>
      </c>
      <c r="D10839" s="17" t="s">
        <v>32534</v>
      </c>
      <c r="E10839" s="10">
        <v>2977246</v>
      </c>
      <c r="F10839" s="4" t="str">
        <f>IF(B10839=B10838,"",B10839)</f>
        <v>Saint-Raphaël</v>
      </c>
    </row>
    <row r="10840" spans="1:6" ht="15.75" customHeight="1">
      <c r="A10840" s="5" t="str">
        <f ca="1">IFERROR(__xludf.DUMMYFUNCTION("GOOGLETRANSLATE(B31215,""en"",""pt"")"),"Saint-Raphaël")</f>
        <v>Saint-Raphaël</v>
      </c>
      <c r="B10840" s="17" t="s">
        <v>32553</v>
      </c>
      <c r="C10840" s="17" t="s">
        <v>9866</v>
      </c>
      <c r="D10840" s="17" t="s">
        <v>3793</v>
      </c>
      <c r="E10840" s="10">
        <v>3717546</v>
      </c>
      <c r="F10840" s="4" t="str">
        <f>IF(B10840=B10839,"",B10840)</f>
        <v/>
      </c>
    </row>
    <row r="10841" spans="1:6" ht="15.75" customHeight="1">
      <c r="A10841" s="5" t="s">
        <v>7800</v>
      </c>
      <c r="B10841" s="6" t="s">
        <v>7801</v>
      </c>
      <c r="C10841" s="5" t="s">
        <v>7052</v>
      </c>
      <c r="D10841" s="5" t="s">
        <v>7087</v>
      </c>
      <c r="E10841" s="2">
        <v>2977246</v>
      </c>
      <c r="F10841" s="4" t="str">
        <f>IF(B10841=B10840,"",B10841)</f>
        <v>Saint-RaphaÃ«l</v>
      </c>
    </row>
    <row r="10842" spans="1:6" ht="15.75" customHeight="1">
      <c r="A10842" s="5" t="s">
        <v>7800</v>
      </c>
      <c r="B10842" s="6" t="s">
        <v>7801</v>
      </c>
      <c r="C10842" s="5" t="s">
        <v>9866</v>
      </c>
      <c r="D10842" s="5" t="s">
        <v>3793</v>
      </c>
      <c r="E10842" s="2">
        <v>3717546</v>
      </c>
      <c r="F10842" s="4" t="str">
        <f>IF(B10842=B10841,"",B10842)</f>
        <v/>
      </c>
    </row>
    <row r="10843" spans="1:6" ht="15.75" customHeight="1">
      <c r="A10843" s="5" t="s">
        <v>7798</v>
      </c>
      <c r="B10843" s="6" t="s">
        <v>7799</v>
      </c>
      <c r="C10843" s="5" t="s">
        <v>7052</v>
      </c>
      <c r="D10843" s="5" t="s">
        <v>7058</v>
      </c>
      <c r="E10843" s="2">
        <v>8533870</v>
      </c>
      <c r="F10843" s="4" t="str">
        <f>IF(B10843=B10842,"",B10843)</f>
        <v>Saint-Quentin-en-Yvelines</v>
      </c>
    </row>
    <row r="10844" spans="1:6" ht="15.75" customHeight="1">
      <c r="A10844" s="5" t="str">
        <f ca="1">IFERROR(__xludf.DUMMYFUNCTION("GOOGLETRANSLATE(B30303,""en"",""pt"")"),"Saint-Fentin-en-yvelines")</f>
        <v>Saint-Fentin-en-yvelines</v>
      </c>
      <c r="B10844" s="17" t="s">
        <v>7799</v>
      </c>
      <c r="C10844" s="17" t="s">
        <v>7052</v>
      </c>
      <c r="D10844" s="17" t="s">
        <v>32531</v>
      </c>
      <c r="E10844" s="10">
        <v>8533870</v>
      </c>
      <c r="F10844" s="4" t="str">
        <f>IF(B10844=B10843,"",B10844)</f>
        <v/>
      </c>
    </row>
    <row r="10845" spans="1:6" ht="15.75" customHeight="1">
      <c r="A10845" s="5" t="s">
        <v>7796</v>
      </c>
      <c r="B10845" s="6" t="s">
        <v>7797</v>
      </c>
      <c r="C10845" s="5" t="s">
        <v>7052</v>
      </c>
      <c r="D10845" s="5" t="s">
        <v>7078</v>
      </c>
      <c r="E10845" s="2">
        <v>2977295</v>
      </c>
      <c r="F10845" s="4" t="str">
        <f>IF(B10845=B10844,"",B10845)</f>
        <v>Saint-Quentin</v>
      </c>
    </row>
    <row r="10846" spans="1:6" ht="15.75" customHeight="1">
      <c r="A10846" s="5" t="str">
        <f ca="1">IFERROR(__xludf.DUMMYFUNCTION("GOOGLETRANSLATE(B29775,""en"",""pt"")"),"Saint-Quentin")</f>
        <v>Saint-Quentin</v>
      </c>
      <c r="B10846" s="17" t="s">
        <v>7797</v>
      </c>
      <c r="C10846" s="17" t="s">
        <v>7052</v>
      </c>
      <c r="D10846" s="17" t="s">
        <v>7078</v>
      </c>
      <c r="E10846" s="10">
        <v>2977295</v>
      </c>
      <c r="F10846" s="4" t="str">
        <f>IF(B10846=B10845,"",B10846)</f>
        <v/>
      </c>
    </row>
    <row r="10847" spans="1:6" ht="15.75" customHeight="1">
      <c r="A10847" s="5" t="s">
        <v>7795</v>
      </c>
      <c r="B10847" s="6" t="s">
        <v>7795</v>
      </c>
      <c r="C10847" s="5" t="s">
        <v>7052</v>
      </c>
      <c r="D10847" s="5" t="s">
        <v>7053</v>
      </c>
      <c r="E10847" s="2">
        <v>2977356</v>
      </c>
      <c r="F10847" s="4" t="str">
        <f>IF(B10847=B10846,"",B10847)</f>
        <v>Saint-Priest</v>
      </c>
    </row>
    <row r="10848" spans="1:6" ht="15.75" customHeight="1">
      <c r="A10848" s="5" t="str">
        <f ca="1">IFERROR(__xludf.DUMMYFUNCTION("GOOGLETRANSLATE(B29776,""en"",""pt"")"),"Saint-Priest")</f>
        <v>Saint-Priest</v>
      </c>
      <c r="B10848" s="17" t="s">
        <v>7795</v>
      </c>
      <c r="C10848" s="17" t="s">
        <v>7052</v>
      </c>
      <c r="D10848" s="17" t="s">
        <v>32532</v>
      </c>
      <c r="E10848" s="10">
        <v>2977356</v>
      </c>
      <c r="F10848" s="4" t="str">
        <f>IF(B10848=B10847,"",B10848)</f>
        <v/>
      </c>
    </row>
    <row r="10849" spans="1:6" ht="15.75" customHeight="1">
      <c r="A10849" s="5" t="s">
        <v>7794</v>
      </c>
      <c r="B10849" s="6" t="s">
        <v>7794</v>
      </c>
      <c r="C10849" s="5" t="s">
        <v>7052</v>
      </c>
      <c r="D10849" s="5" t="s">
        <v>7078</v>
      </c>
      <c r="E10849" s="2">
        <v>2977388</v>
      </c>
      <c r="F10849" s="4" t="str">
        <f>IF(B10849=B10848,"",B10849)</f>
        <v>Saint-Pol-sur-Mer</v>
      </c>
    </row>
    <row r="10850" spans="1:6" ht="15.75" customHeight="1">
      <c r="A10850" s="5" t="str">
        <f ca="1">IFERROR(__xludf.DUMMYFUNCTION("GOOGLETRANSLATE(B29777,""en"",""pt"")"),"Saint-Pol-sur-Mer")</f>
        <v>Saint-Pol-sur-Mer</v>
      </c>
      <c r="B10850" s="17" t="s">
        <v>7794</v>
      </c>
      <c r="C10850" s="17" t="s">
        <v>7052</v>
      </c>
      <c r="D10850" s="17" t="s">
        <v>7078</v>
      </c>
      <c r="E10850" s="10">
        <v>2977388</v>
      </c>
      <c r="F10850" s="4" t="str">
        <f>IF(B10850=B10849,"",B10850)</f>
        <v/>
      </c>
    </row>
    <row r="10851" spans="1:6" ht="15.75" customHeight="1">
      <c r="A10851" s="5" t="s">
        <v>7792</v>
      </c>
      <c r="B10851" s="6" t="s">
        <v>7793</v>
      </c>
      <c r="C10851" s="5" t="s">
        <v>7052</v>
      </c>
      <c r="D10851" s="5" t="s">
        <v>3813</v>
      </c>
      <c r="E10851" s="2">
        <v>2977491</v>
      </c>
      <c r="F10851" s="4" t="str">
        <f>IF(B10851=B10850,"",B10851)</f>
        <v>Saint-Pierre-des-Corps</v>
      </c>
    </row>
    <row r="10852" spans="1:6" ht="15.75" customHeight="1">
      <c r="A10852" s="5" t="str">
        <f ca="1">IFERROR(__xludf.DUMMYFUNCTION("GOOGLETRANSLATE(B29778,""en"",""pt"")"),"Saint-Pierre-de-Corps")</f>
        <v>Saint-Pierre-de-Corps</v>
      </c>
      <c r="B10852" s="17" t="s">
        <v>7793</v>
      </c>
      <c r="C10852" s="17" t="s">
        <v>7052</v>
      </c>
      <c r="D10852" s="17" t="s">
        <v>3813</v>
      </c>
      <c r="E10852" s="10">
        <v>2977491</v>
      </c>
      <c r="F10852" s="4" t="str">
        <f>IF(B10852=B10851,"",B10852)</f>
        <v/>
      </c>
    </row>
    <row r="10853" spans="1:6" ht="15.75" customHeight="1">
      <c r="A10853" s="5" t="s">
        <v>21821</v>
      </c>
      <c r="B10853" s="6" t="s">
        <v>21821</v>
      </c>
      <c r="C10853" s="5" t="s">
        <v>21810</v>
      </c>
      <c r="D10853" s="5" t="s">
        <v>21811</v>
      </c>
      <c r="E10853" s="2">
        <v>935214</v>
      </c>
      <c r="F10853" s="4" t="str">
        <f>IF(B10853=B10852,"",B10853)</f>
        <v>Saint-Pierre</v>
      </c>
    </row>
    <row r="10854" spans="1:6" ht="15.75" customHeight="1">
      <c r="A10854" s="5" t="s">
        <v>21821</v>
      </c>
      <c r="B10854" s="6" t="s">
        <v>21821</v>
      </c>
      <c r="C10854" s="5" t="s">
        <v>23439</v>
      </c>
      <c r="D10854" s="5" t="s">
        <v>21821</v>
      </c>
      <c r="E10854" s="2">
        <v>3424934</v>
      </c>
      <c r="F10854" s="4" t="str">
        <f>IF(B10854=B10853,"",B10854)</f>
        <v/>
      </c>
    </row>
    <row r="10855" spans="1:6" ht="15.75" customHeight="1">
      <c r="A10855" s="5" t="str">
        <f ca="1">IFERROR(__xludf.DUMMYFUNCTION("GOOGLETRANSLATE(B39502,""en"",""pt"")"),"Saint-Pierre")</f>
        <v>Saint-Pierre</v>
      </c>
      <c r="B10855" s="17" t="s">
        <v>21821</v>
      </c>
      <c r="C10855" s="17" t="s">
        <v>23439</v>
      </c>
      <c r="D10855" s="17" t="s">
        <v>21821</v>
      </c>
      <c r="E10855" s="10">
        <v>3424934</v>
      </c>
      <c r="F10855" s="4" t="str">
        <f>IF(B10855=B10854,"",B10855)</f>
        <v/>
      </c>
    </row>
    <row r="10856" spans="1:6" ht="15.75" customHeight="1">
      <c r="A10856" s="5" t="str">
        <f ca="1">IFERROR(__xludf.DUMMYFUNCTION("GOOGLETRANSLATE(B39708,""en"",""pt"")"),"Saint-Pierre")</f>
        <v>Saint-Pierre</v>
      </c>
      <c r="B10856" s="17" t="s">
        <v>21821</v>
      </c>
      <c r="C10856" s="17" t="s">
        <v>21810</v>
      </c>
      <c r="D10856" s="17" t="s">
        <v>35327</v>
      </c>
      <c r="E10856" s="10">
        <v>935214</v>
      </c>
      <c r="F10856" s="4" t="str">
        <f>IF(B10856=B10855,"",B10856)</f>
        <v/>
      </c>
    </row>
    <row r="10857" spans="1:6" ht="15.75" customHeight="1">
      <c r="A10857" s="5" t="s">
        <v>21820</v>
      </c>
      <c r="B10857" s="6" t="s">
        <v>21820</v>
      </c>
      <c r="C10857" s="5" t="s">
        <v>21810</v>
      </c>
      <c r="D10857" s="5" t="s">
        <v>21811</v>
      </c>
      <c r="E10857" s="2">
        <v>935221</v>
      </c>
      <c r="F10857" s="4" t="str">
        <f>IF(B10857=B10856,"",B10857)</f>
        <v>Saint-Paul</v>
      </c>
    </row>
    <row r="10858" spans="1:6" ht="15.75" customHeight="1">
      <c r="A10858" s="5" t="str">
        <f ca="1">IFERROR(__xludf.DUMMYFUNCTION("GOOGLETRANSLATE(B39709,""en"",""pt"")"),"Saint-Paul")</f>
        <v>Saint-Paul</v>
      </c>
      <c r="B10858" s="17" t="s">
        <v>21820</v>
      </c>
      <c r="C10858" s="17" t="s">
        <v>21810</v>
      </c>
      <c r="D10858" s="17" t="s">
        <v>35327</v>
      </c>
      <c r="E10858" s="10">
        <v>935221</v>
      </c>
      <c r="F10858" s="4" t="str">
        <f>IF(B10858=B10857,"",B10858)</f>
        <v/>
      </c>
    </row>
    <row r="10859" spans="1:6" ht="15.75" customHeight="1">
      <c r="A10859" s="5" t="s">
        <v>7790</v>
      </c>
      <c r="B10859" s="6" t="s">
        <v>7791</v>
      </c>
      <c r="C10859" s="5" t="s">
        <v>7052</v>
      </c>
      <c r="D10859" s="5" t="s">
        <v>7058</v>
      </c>
      <c r="E10859" s="2">
        <v>2977800</v>
      </c>
      <c r="F10859" s="4" t="str">
        <f>IF(B10859=B10858,"",B10859)</f>
        <v>Saint-Ouen-lâ€™AumÃ´ne</v>
      </c>
    </row>
    <row r="10860" spans="1:6" ht="15.75" customHeight="1">
      <c r="A10860" s="5" t="str">
        <f ca="1">IFERROR(__xludf.DUMMYFUNCTION("GOOGLETRANSLATE(B29779,""en"",""pt"")"),"Saint-Oen-l'aumône")</f>
        <v>Saint-Oen-l'aumône</v>
      </c>
      <c r="B10860" s="17" t="s">
        <v>32554</v>
      </c>
      <c r="C10860" s="17" t="s">
        <v>7052</v>
      </c>
      <c r="D10860" s="17" t="s">
        <v>32531</v>
      </c>
      <c r="E10860" s="10">
        <v>2977800</v>
      </c>
      <c r="F10860" s="4" t="str">
        <f>IF(B10860=B10859,"",B10860)</f>
        <v>Saint-Ouen-l’Aumône</v>
      </c>
    </row>
    <row r="10861" spans="1:6" ht="15.75" customHeight="1">
      <c r="A10861" s="5" t="s">
        <v>7788</v>
      </c>
      <c r="B10861" s="6" t="s">
        <v>7789</v>
      </c>
      <c r="C10861" s="5" t="s">
        <v>7052</v>
      </c>
      <c r="D10861" s="5" t="s">
        <v>7058</v>
      </c>
      <c r="E10861" s="2">
        <v>2977824</v>
      </c>
      <c r="F10861" s="4" t="str">
        <f>IF(B10861=B10860,"",B10861)</f>
        <v>Saint-Ouen</v>
      </c>
    </row>
    <row r="10862" spans="1:6" ht="15.75" customHeight="1">
      <c r="A10862" s="5" t="str">
        <f ca="1">IFERROR(__xludf.DUMMYFUNCTION("GOOGLETRANSLATE(B29780,""en"",""pt"")"),"Saint-ouen")</f>
        <v>Saint-ouen</v>
      </c>
      <c r="B10862" s="17" t="s">
        <v>7789</v>
      </c>
      <c r="C10862" s="17" t="s">
        <v>7052</v>
      </c>
      <c r="D10862" s="17" t="s">
        <v>32531</v>
      </c>
      <c r="E10862" s="10">
        <v>2977824</v>
      </c>
      <c r="F10862" s="4" t="str">
        <f>IF(B10862=B10861,"",B10862)</f>
        <v/>
      </c>
    </row>
    <row r="10863" spans="1:6" ht="15.75" customHeight="1">
      <c r="A10863" s="5" t="s">
        <v>7786</v>
      </c>
      <c r="B10863" s="6" t="s">
        <v>7787</v>
      </c>
      <c r="C10863" s="5" t="s">
        <v>7052</v>
      </c>
      <c r="D10863" s="5" t="s">
        <v>7078</v>
      </c>
      <c r="E10863" s="2">
        <v>2977845</v>
      </c>
      <c r="F10863" s="4" t="str">
        <f>IF(B10863=B10862,"",B10863)</f>
        <v>Saint-Omer</v>
      </c>
    </row>
    <row r="10864" spans="1:6" ht="15.75" customHeight="1">
      <c r="A10864" s="5" t="str">
        <f ca="1">IFERROR(__xludf.DUMMYFUNCTION("GOOGLETRANSLATE(B29781,""en"",""pt"")"),"Saint-omer")</f>
        <v>Saint-omer</v>
      </c>
      <c r="B10864" s="17" t="s">
        <v>7787</v>
      </c>
      <c r="C10864" s="17" t="s">
        <v>7052</v>
      </c>
      <c r="D10864" s="17" t="s">
        <v>7078</v>
      </c>
      <c r="E10864" s="10">
        <v>2977845</v>
      </c>
      <c r="F10864" s="4" t="str">
        <f>IF(B10864=B10863,"",B10864)</f>
        <v/>
      </c>
    </row>
    <row r="10865" spans="1:6" ht="15.75" customHeight="1">
      <c r="A10865" s="5" t="s">
        <v>1678</v>
      </c>
      <c r="B10865" s="6" t="s">
        <v>1678</v>
      </c>
      <c r="C10865" s="5" t="s">
        <v>1512</v>
      </c>
      <c r="D10865" s="5" t="s">
        <v>1518</v>
      </c>
      <c r="E10865" s="2">
        <v>2787356</v>
      </c>
      <c r="F10865" s="4" t="str">
        <f>IF(B10865=B10864,"",B10865)</f>
        <v>Saint-Nicolas</v>
      </c>
    </row>
    <row r="10866" spans="1:6" ht="15.75" customHeight="1">
      <c r="A10866" s="5" t="str">
        <f ca="1">IFERROR(__xludf.DUMMYFUNCTION("GOOGLETRANSLATE(B23837,""en"",""pt"")"),"Saint-Nicolas")</f>
        <v>Saint-Nicolas</v>
      </c>
      <c r="B10866" s="17" t="s">
        <v>1678</v>
      </c>
      <c r="C10866" s="17" t="s">
        <v>1512</v>
      </c>
      <c r="D10866" s="17" t="s">
        <v>1518</v>
      </c>
      <c r="E10866" s="10">
        <v>2787356</v>
      </c>
      <c r="F10866" s="4" t="str">
        <f>IF(B10866=B10865,"",B10866)</f>
        <v/>
      </c>
    </row>
    <row r="10867" spans="1:6" ht="15.75" customHeight="1">
      <c r="A10867" s="5" t="s">
        <v>7785</v>
      </c>
      <c r="B10867" s="6" t="s">
        <v>7785</v>
      </c>
      <c r="C10867" s="5" t="s">
        <v>7052</v>
      </c>
      <c r="D10867" s="5" t="s">
        <v>7102</v>
      </c>
      <c r="E10867" s="2">
        <v>2977921</v>
      </c>
      <c r="F10867" s="4" t="str">
        <f>IF(B10867=B10866,"",B10867)</f>
        <v>Saint-Nazaire</v>
      </c>
    </row>
    <row r="10868" spans="1:6" ht="15.75" customHeight="1">
      <c r="A10868" s="5" t="str">
        <f ca="1">IFERROR(__xludf.DUMMYFUNCTION("GOOGLETRANSLATE(B29782,""en"",""pt"")"),"Saint-Nazaire")</f>
        <v>Saint-Nazaire</v>
      </c>
      <c r="B10868" s="17" t="s">
        <v>7785</v>
      </c>
      <c r="C10868" s="17" t="s">
        <v>7052</v>
      </c>
      <c r="D10868" s="17" t="s">
        <v>7102</v>
      </c>
      <c r="E10868" s="10">
        <v>2977921</v>
      </c>
      <c r="F10868" s="4" t="str">
        <f>IF(B10868=B10867,"",B10868)</f>
        <v/>
      </c>
    </row>
    <row r="10869" spans="1:6" ht="15.75" customHeight="1">
      <c r="A10869" s="5" t="s">
        <v>7783</v>
      </c>
      <c r="B10869" s="6" t="s">
        <v>7784</v>
      </c>
      <c r="C10869" s="5" t="s">
        <v>7052</v>
      </c>
      <c r="D10869" s="5" t="s">
        <v>7058</v>
      </c>
      <c r="E10869" s="2">
        <v>2977952</v>
      </c>
      <c r="F10869" s="4" t="str">
        <f>IF(B10869=B10868,"",B10869)</f>
        <v>Saint-Michel-sur-Orge</v>
      </c>
    </row>
    <row r="10870" spans="1:6" ht="15.75" customHeight="1">
      <c r="A10870" s="5" t="str">
        <f ca="1">IFERROR(__xludf.DUMMYFUNCTION("GOOGLETRANSLATE(B29783,""en"",""pt"")"),"Saint-Michel-Sur-Morge")</f>
        <v>Saint-Michel-Sur-Morge</v>
      </c>
      <c r="B10870" s="17" t="s">
        <v>7784</v>
      </c>
      <c r="C10870" s="17" t="s">
        <v>7052</v>
      </c>
      <c r="D10870" s="17" t="s">
        <v>32531</v>
      </c>
      <c r="E10870" s="10">
        <v>2977952</v>
      </c>
      <c r="F10870" s="4" t="str">
        <f>IF(B10870=B10869,"",B10870)</f>
        <v/>
      </c>
    </row>
    <row r="10871" spans="1:6" ht="15.75" customHeight="1">
      <c r="A10871" s="5" t="str">
        <f ca="1">IFERROR(__xludf.DUMMYFUNCTION("GOOGLETRANSLATE(B29784,""en"",""pt"")"),"Saint-Médard-en-Jalles")</f>
        <v>Saint-Médard-en-Jalles</v>
      </c>
      <c r="B10871" s="17" t="s">
        <v>32555</v>
      </c>
      <c r="C10871" s="17" t="s">
        <v>7052</v>
      </c>
      <c r="D10871" s="17" t="s">
        <v>7084</v>
      </c>
      <c r="E10871" s="10">
        <v>2978072</v>
      </c>
      <c r="F10871" s="4" t="str">
        <f>IF(B10871=B10870,"",B10871)</f>
        <v>Saint-Médard-en-Jalles</v>
      </c>
    </row>
    <row r="10872" spans="1:6" ht="15.75" customHeight="1">
      <c r="A10872" s="5" t="s">
        <v>7781</v>
      </c>
      <c r="B10872" s="6" t="s">
        <v>7782</v>
      </c>
      <c r="C10872" s="5" t="s">
        <v>7052</v>
      </c>
      <c r="D10872" s="5" t="s">
        <v>7087</v>
      </c>
      <c r="E10872" s="2">
        <v>2978100</v>
      </c>
      <c r="F10872" s="4" t="str">
        <f>IF(B10872=B10871,"",B10872)</f>
        <v>Saint-Maximin-la-Sainte-Baume</v>
      </c>
    </row>
    <row r="10873" spans="1:6" ht="15.75" customHeight="1">
      <c r="A10873" s="5" t="str">
        <f ca="1">IFERROR(__xludf.DUMMYFUNCTION("GOOGLETRANSLATE(B29785,""en"",""pt"")"),"Saint-Maximin-La-Sainte-Baume")</f>
        <v>Saint-Maximin-La-Sainte-Baume</v>
      </c>
      <c r="B10873" s="17" t="s">
        <v>7782</v>
      </c>
      <c r="C10873" s="17" t="s">
        <v>7052</v>
      </c>
      <c r="D10873" s="17" t="s">
        <v>32534</v>
      </c>
      <c r="E10873" s="10">
        <v>2978100</v>
      </c>
      <c r="F10873" s="4" t="str">
        <f>IF(B10873=B10872,"",B10873)</f>
        <v/>
      </c>
    </row>
    <row r="10874" spans="1:6" ht="15.75" customHeight="1">
      <c r="A10874" s="5" t="str">
        <f ca="1">IFERROR(__xludf.DUMMYFUNCTION("GOOGLETRANSLATE(B29786,""en"",""pt"")"),"Saint-Maur-de-Fossés")</f>
        <v>Saint-Maur-de-Fossés</v>
      </c>
      <c r="B10874" s="17" t="s">
        <v>32556</v>
      </c>
      <c r="C10874" s="17" t="s">
        <v>7052</v>
      </c>
      <c r="D10874" s="17" t="s">
        <v>32531</v>
      </c>
      <c r="E10874" s="10">
        <v>2978179</v>
      </c>
      <c r="F10874" s="4" t="str">
        <f>IF(B10874=B10873,"",B10874)</f>
        <v>Saint-Maur-des-Fossés</v>
      </c>
    </row>
    <row r="10875" spans="1:6" ht="15.75" customHeight="1">
      <c r="A10875" s="5" t="s">
        <v>7779</v>
      </c>
      <c r="B10875" s="6" t="s">
        <v>7780</v>
      </c>
      <c r="C10875" s="5" t="s">
        <v>7052</v>
      </c>
      <c r="D10875" s="5" t="s">
        <v>7058</v>
      </c>
      <c r="E10875" s="2">
        <v>2978179</v>
      </c>
      <c r="F10875" s="4" t="str">
        <f>IF(B10875=B10874,"",B10875)</f>
        <v>Saint-Maur-des-FossÃ©s</v>
      </c>
    </row>
    <row r="10876" spans="1:6" ht="15.75" customHeight="1">
      <c r="A10876" s="5" t="s">
        <v>7777</v>
      </c>
      <c r="B10876" s="6" t="s">
        <v>7778</v>
      </c>
      <c r="C10876" s="5" t="s">
        <v>7052</v>
      </c>
      <c r="D10876" s="5" t="s">
        <v>7053</v>
      </c>
      <c r="E10876" s="2">
        <v>2978317</v>
      </c>
      <c r="F10876" s="4" t="str">
        <f>IF(B10876=B10875,"",B10876)</f>
        <v>Saint-Martin-dâ€™HÃ¨res</v>
      </c>
    </row>
    <row r="10877" spans="1:6" ht="15.75" customHeight="1">
      <c r="A10877" s="5" t="str">
        <f ca="1">IFERROR(__xludf.DUMMYFUNCTION("GOOGLETRANSLATE(B29787,""en"",""pt"")"),"Saint-Martin-d'Hères")</f>
        <v>Saint-Martin-d'Hères</v>
      </c>
      <c r="B10877" s="17" t="s">
        <v>32557</v>
      </c>
      <c r="C10877" s="17" t="s">
        <v>7052</v>
      </c>
      <c r="D10877" s="17" t="s">
        <v>32532</v>
      </c>
      <c r="E10877" s="10">
        <v>2978317</v>
      </c>
      <c r="F10877" s="4" t="str">
        <f>IF(B10877=B10876,"",B10877)</f>
        <v>Saint-Martin-d’Hères</v>
      </c>
    </row>
    <row r="10878" spans="1:6" ht="15.75" customHeight="1">
      <c r="A10878" s="5" t="s">
        <v>9900</v>
      </c>
      <c r="B10878" s="6" t="s">
        <v>9900</v>
      </c>
      <c r="C10878" s="5" t="s">
        <v>9866</v>
      </c>
      <c r="D10878" s="5" t="s">
        <v>9871</v>
      </c>
      <c r="E10878" s="2">
        <v>3717588</v>
      </c>
      <c r="F10878" s="4" t="str">
        <f>IF(B10878=B10877,"",B10878)</f>
        <v>Saint-Marc</v>
      </c>
    </row>
    <row r="10879" spans="1:6" ht="15.75" customHeight="1">
      <c r="A10879" s="5" t="str">
        <f ca="1">IFERROR(__xludf.DUMMYFUNCTION("GOOGLETRANSLATE(B31216,""en"",""pt"")"),"Saint-Marc")</f>
        <v>Saint-Marc</v>
      </c>
      <c r="B10879" s="17" t="s">
        <v>9900</v>
      </c>
      <c r="C10879" s="17" t="s">
        <v>9866</v>
      </c>
      <c r="D10879" s="17" t="s">
        <v>9871</v>
      </c>
      <c r="E10879" s="10">
        <v>3717588</v>
      </c>
      <c r="F10879" s="4" t="str">
        <f>IF(B10879=B10878,"",B10879)</f>
        <v/>
      </c>
    </row>
    <row r="10880" spans="1:6" ht="15.75" customHeight="1">
      <c r="A10880" s="5" t="str">
        <f ca="1">IFERROR(__xludf.DUMMYFUNCTION("GOOGLETRANSLATE(B29788,""en"",""pt"")"),"Saint-Mandé")</f>
        <v>Saint-Mandé</v>
      </c>
      <c r="B10880" s="17" t="s">
        <v>7775</v>
      </c>
      <c r="C10880" s="17" t="s">
        <v>7052</v>
      </c>
      <c r="D10880" s="17" t="s">
        <v>32531</v>
      </c>
      <c r="E10880" s="10">
        <v>2978621</v>
      </c>
      <c r="F10880" s="4" t="str">
        <f>IF(B10880=B10879,"",B10880)</f>
        <v>Saint-Mandé</v>
      </c>
    </row>
    <row r="10881" spans="1:6" ht="15.75" customHeight="1">
      <c r="A10881" s="5" t="s">
        <v>7775</v>
      </c>
      <c r="B10881" s="6" t="s">
        <v>7776</v>
      </c>
      <c r="C10881" s="5" t="s">
        <v>7052</v>
      </c>
      <c r="D10881" s="5" t="s">
        <v>7058</v>
      </c>
      <c r="E10881" s="2">
        <v>2978621</v>
      </c>
      <c r="F10881" s="4" t="str">
        <f>IF(B10881=B10880,"",B10881)</f>
        <v>Saint-MandÃ©</v>
      </c>
    </row>
    <row r="10882" spans="1:6" ht="15.75" customHeight="1">
      <c r="A10882" s="5" t="s">
        <v>7774</v>
      </c>
      <c r="B10882" s="6" t="s">
        <v>7774</v>
      </c>
      <c r="C10882" s="5" t="s">
        <v>7052</v>
      </c>
      <c r="D10882" s="5" t="s">
        <v>7190</v>
      </c>
      <c r="E10882" s="2">
        <v>2978640</v>
      </c>
      <c r="F10882" s="4" t="str">
        <f>IF(B10882=B10881,"",B10882)</f>
        <v>Saint-Malo</v>
      </c>
    </row>
    <row r="10883" spans="1:6" ht="15.75" customHeight="1">
      <c r="A10883" s="5" t="str">
        <f ca="1">IFERROR(__xludf.DUMMYFUNCTION("GOOGLETRANSLATE(B29789,""en"",""pt"")"),"Saint-Malo")</f>
        <v>Saint-Malo</v>
      </c>
      <c r="B10883" s="17" t="s">
        <v>7774</v>
      </c>
      <c r="C10883" s="17" t="s">
        <v>7052</v>
      </c>
      <c r="D10883" s="17" t="s">
        <v>7190</v>
      </c>
      <c r="E10883" s="10">
        <v>2978640</v>
      </c>
      <c r="F10883" s="4" t="str">
        <f>IF(B10883=B10882,"",B10883)</f>
        <v/>
      </c>
    </row>
    <row r="10884" spans="1:6" ht="15.75" customHeight="1">
      <c r="A10884" s="5" t="s">
        <v>7772</v>
      </c>
      <c r="B10884" s="6" t="s">
        <v>7773</v>
      </c>
      <c r="C10884" s="5" t="s">
        <v>7052</v>
      </c>
      <c r="D10884" s="5" t="s">
        <v>7084</v>
      </c>
      <c r="E10884" s="2">
        <v>2978072</v>
      </c>
      <c r="F10884" s="4" t="str">
        <f>IF(B10884=B10883,"",B10884)</f>
        <v>Saint-MÃ©dard-en-Jalles</v>
      </c>
    </row>
    <row r="10885" spans="1:6" ht="15.75" customHeight="1">
      <c r="A10885" s="5" t="s">
        <v>7771</v>
      </c>
      <c r="B10885" s="6" t="s">
        <v>7771</v>
      </c>
      <c r="C10885" s="5" t="s">
        <v>7052</v>
      </c>
      <c r="D10885" s="5" t="s">
        <v>7061</v>
      </c>
      <c r="E10885" s="2">
        <v>2978742</v>
      </c>
      <c r="F10885" s="4" t="str">
        <f>IF(B10885=B10884,"",B10885)</f>
        <v>Saint-Louis</v>
      </c>
    </row>
    <row r="10886" spans="1:6" ht="15.75" customHeight="1">
      <c r="A10886" s="5" t="s">
        <v>7771</v>
      </c>
      <c r="B10886" s="6" t="s">
        <v>7771</v>
      </c>
      <c r="C10886" s="5" t="s">
        <v>21810</v>
      </c>
      <c r="D10886" s="5" t="s">
        <v>21811</v>
      </c>
      <c r="E10886" s="2">
        <v>935223</v>
      </c>
      <c r="F10886" s="4" t="str">
        <f>IF(B10886=B10885,"",B10886)</f>
        <v/>
      </c>
    </row>
    <row r="10887" spans="1:6" ht="15.75" customHeight="1">
      <c r="A10887" s="5" t="s">
        <v>7771</v>
      </c>
      <c r="B10887" s="6" t="s">
        <v>7771</v>
      </c>
      <c r="C10887" s="5" t="s">
        <v>23559</v>
      </c>
      <c r="D10887" s="5" t="s">
        <v>7771</v>
      </c>
      <c r="E10887" s="2">
        <v>2246452</v>
      </c>
      <c r="F10887" s="4" t="str">
        <f>IF(B10887=B10886,"",B10887)</f>
        <v/>
      </c>
    </row>
    <row r="10888" spans="1:6" ht="15.75" customHeight="1">
      <c r="A10888" s="5" t="str">
        <f ca="1">IFERROR(__xludf.DUMMYFUNCTION("GOOGLETRANSLATE(B29790,""en"",""pt"")"),"Saint-Louis")</f>
        <v>Saint-Louis</v>
      </c>
      <c r="B10888" s="17" t="s">
        <v>7771</v>
      </c>
      <c r="C10888" s="17" t="s">
        <v>7052</v>
      </c>
      <c r="D10888" s="17" t="s">
        <v>7061</v>
      </c>
      <c r="E10888" s="10">
        <v>2978742</v>
      </c>
      <c r="F10888" s="4" t="str">
        <f>IF(B10888=B10887,"",B10888)</f>
        <v/>
      </c>
    </row>
    <row r="10889" spans="1:6" ht="15.75" customHeight="1">
      <c r="A10889" s="5" t="str">
        <f ca="1">IFERROR(__xludf.DUMMYFUNCTION("GOOGLETRANSLATE(B39710,""en"",""pt"")"),"Saint-Louis")</f>
        <v>Saint-Louis</v>
      </c>
      <c r="B10889" s="17" t="s">
        <v>7771</v>
      </c>
      <c r="C10889" s="17" t="s">
        <v>21810</v>
      </c>
      <c r="D10889" s="17" t="s">
        <v>35327</v>
      </c>
      <c r="E10889" s="10">
        <v>935223</v>
      </c>
      <c r="F10889" s="4" t="str">
        <f>IF(B10889=B10888,"",B10889)</f>
        <v/>
      </c>
    </row>
    <row r="10890" spans="1:6" ht="15.75" customHeight="1">
      <c r="A10890" s="5" t="str">
        <f ca="1">IFERROR(__xludf.DUMMYFUNCTION("GOOGLETRANSLATE(B41291,""en"",""pt"")"),"Saint-Louis")</f>
        <v>Saint-Louis</v>
      </c>
      <c r="B10890" s="17" t="s">
        <v>7771</v>
      </c>
      <c r="C10890" s="17" t="s">
        <v>23559</v>
      </c>
      <c r="D10890" s="17" t="s">
        <v>7771</v>
      </c>
      <c r="E10890" s="10">
        <v>2246452</v>
      </c>
      <c r="F10890" s="4" t="str">
        <f>IF(B10890=B10889,"",B10890)</f>
        <v/>
      </c>
    </row>
    <row r="10891" spans="1:6" ht="15.75" customHeight="1">
      <c r="A10891" s="5" t="str">
        <f ca="1">IFERROR(__xludf.DUMMYFUNCTION("GOOGLETRANSLATE(B29791,""en"",""pt"")"),"Saint-Lô")</f>
        <v>Saint-Lô</v>
      </c>
      <c r="B10891" s="17" t="s">
        <v>32558</v>
      </c>
      <c r="C10891" s="17" t="s">
        <v>7052</v>
      </c>
      <c r="D10891" s="17" t="s">
        <v>7068</v>
      </c>
      <c r="E10891" s="10">
        <v>2978758</v>
      </c>
      <c r="F10891" s="4" t="str">
        <f>IF(B10891=B10890,"",B10891)</f>
        <v>Saint-Lô</v>
      </c>
    </row>
    <row r="10892" spans="1:6" ht="15.75" customHeight="1">
      <c r="A10892" s="5" t="str">
        <f ca="1">IFERROR(__xludf.DUMMYFUNCTION("GOOGLETRANSLATE(B29792,""en"",""pt"")"),"Saint-Leu-La-Forêt")</f>
        <v>Saint-Leu-La-Forêt</v>
      </c>
      <c r="B10892" s="17" t="s">
        <v>32559</v>
      </c>
      <c r="C10892" s="17" t="s">
        <v>7052</v>
      </c>
      <c r="D10892" s="17" t="s">
        <v>32531</v>
      </c>
      <c r="E10892" s="10">
        <v>2978768</v>
      </c>
      <c r="F10892" s="4" t="str">
        <f>IF(B10892=B10891,"",B10892)</f>
        <v>Saint-Leu-la-Forêt</v>
      </c>
    </row>
    <row r="10893" spans="1:6" ht="15.75" customHeight="1">
      <c r="A10893" s="5" t="s">
        <v>7769</v>
      </c>
      <c r="B10893" s="6" t="s">
        <v>7770</v>
      </c>
      <c r="C10893" s="5" t="s">
        <v>7052</v>
      </c>
      <c r="D10893" s="5" t="s">
        <v>7058</v>
      </c>
      <c r="E10893" s="2">
        <v>2978768</v>
      </c>
      <c r="F10893" s="4" t="str">
        <f>IF(B10893=B10892,"",B10893)</f>
        <v>Saint-Leu-la-ForÃªt</v>
      </c>
    </row>
    <row r="10894" spans="1:6" ht="15.75" customHeight="1">
      <c r="A10894" s="6" t="s">
        <v>7768</v>
      </c>
      <c r="B10894" s="6" t="s">
        <v>7768</v>
      </c>
      <c r="C10894" s="6" t="s">
        <v>7052</v>
      </c>
      <c r="D10894" s="6" t="s">
        <v>7128</v>
      </c>
      <c r="E10894" s="2">
        <v>2978771</v>
      </c>
      <c r="F10894" s="4" t="str">
        <f>IF(B10894=B10893,"",B10894)</f>
        <v>Saint-Leu</v>
      </c>
    </row>
    <row r="10895" spans="1:6" ht="15.75" customHeight="1">
      <c r="A10895" s="6" t="s">
        <v>7768</v>
      </c>
      <c r="B10895" s="6" t="s">
        <v>7768</v>
      </c>
      <c r="C10895" s="6" t="s">
        <v>21810</v>
      </c>
      <c r="D10895" s="6" t="s">
        <v>21811</v>
      </c>
      <c r="E10895" s="2">
        <v>935225</v>
      </c>
      <c r="F10895" s="4" t="str">
        <f>IF(B10895=B10894,"",B10895)</f>
        <v/>
      </c>
    </row>
    <row r="10896" spans="1:6" ht="15.75" customHeight="1">
      <c r="A10896" s="5" t="str">
        <f ca="1">IFERROR(__xludf.DUMMYFUNCTION("GOOGLETRANSLATE(B29793,""en"",""pt"")"),"Saint-Leu")</f>
        <v>Saint-Leu</v>
      </c>
      <c r="B10896" s="17" t="s">
        <v>7768</v>
      </c>
      <c r="C10896" s="17" t="s">
        <v>7052</v>
      </c>
      <c r="D10896" s="17" t="s">
        <v>32540</v>
      </c>
      <c r="E10896" s="10">
        <v>2978771</v>
      </c>
      <c r="F10896" s="4" t="str">
        <f>IF(B10896=B10895,"",B10896)</f>
        <v/>
      </c>
    </row>
    <row r="10897" spans="1:6" ht="15.75" customHeight="1">
      <c r="A10897" s="5" t="str">
        <f ca="1">IFERROR(__xludf.DUMMYFUNCTION("GOOGLETRANSLATE(B39711,""en"",""pt"")"),"Saint-Leu")</f>
        <v>Saint-Leu</v>
      </c>
      <c r="B10897" s="17" t="s">
        <v>7768</v>
      </c>
      <c r="C10897" s="17" t="s">
        <v>21810</v>
      </c>
      <c r="D10897" s="17" t="s">
        <v>35327</v>
      </c>
      <c r="E10897" s="10">
        <v>935225</v>
      </c>
      <c r="F10897" s="4" t="str">
        <f>IF(B10897=B10896,"",B10897)</f>
        <v/>
      </c>
    </row>
    <row r="10898" spans="1:6" ht="15.75" customHeight="1">
      <c r="A10898" s="5" t="str">
        <f ca="1">IFERROR(__xludf.DUMMYFUNCTION("GOOGLETRANSLATE(B25576,""en"",""pt"")"),"Saint-Léonard")</f>
        <v>Saint-Léonard</v>
      </c>
      <c r="B10898" s="17" t="s">
        <v>31757</v>
      </c>
      <c r="C10898" s="17" t="s">
        <v>3975</v>
      </c>
      <c r="D10898" s="17" t="s">
        <v>3982</v>
      </c>
      <c r="E10898" s="10">
        <v>6138625</v>
      </c>
      <c r="F10898" s="4" t="str">
        <f>IF(B10898=B10897,"",B10898)</f>
        <v>Saint-Léonard</v>
      </c>
    </row>
    <row r="10899" spans="1:6" ht="15.75" customHeight="1">
      <c r="A10899" s="5" t="s">
        <v>4190</v>
      </c>
      <c r="B10899" s="6" t="s">
        <v>4190</v>
      </c>
      <c r="C10899" s="5" t="s">
        <v>3975</v>
      </c>
      <c r="D10899" s="5" t="s">
        <v>3982</v>
      </c>
      <c r="E10899" s="2">
        <v>6138617</v>
      </c>
      <c r="F10899" s="4" t="str">
        <f>IF(B10899=B10898,"",B10899)</f>
        <v>Saint-Lazare</v>
      </c>
    </row>
    <row r="10900" spans="1:6" ht="15.75" customHeight="1">
      <c r="A10900" s="5" t="str">
        <f ca="1">IFERROR(__xludf.DUMMYFUNCTION("GOOGLETRANSLATE(B25575,""en"",""pt"")"),"Saint-Lazare")</f>
        <v>Saint-Lazare</v>
      </c>
      <c r="B10900" s="17" t="s">
        <v>4190</v>
      </c>
      <c r="C10900" s="17" t="s">
        <v>3975</v>
      </c>
      <c r="D10900" s="17" t="s">
        <v>3982</v>
      </c>
      <c r="E10900" s="10">
        <v>6138617</v>
      </c>
      <c r="F10900" s="4" t="str">
        <f>IF(B10900=B10899,"",B10900)</f>
        <v/>
      </c>
    </row>
    <row r="10901" spans="1:6" ht="15.75" customHeight="1">
      <c r="A10901" s="5" t="s">
        <v>7766</v>
      </c>
      <c r="B10901" s="6" t="s">
        <v>7767</v>
      </c>
      <c r="C10901" s="5" t="s">
        <v>7052</v>
      </c>
      <c r="D10901" s="5" t="s">
        <v>7087</v>
      </c>
      <c r="E10901" s="2">
        <v>2978891</v>
      </c>
      <c r="F10901" s="4" t="str">
        <f>IF(B10901=B10900,"",B10901)</f>
        <v>Saint-Laurent-du-Var</v>
      </c>
    </row>
    <row r="10902" spans="1:6" ht="15.75" customHeight="1">
      <c r="A10902" s="5" t="str">
        <f ca="1">IFERROR(__xludf.DUMMYFUNCTION("GOOGLETRANSLATE(B29794,""en"",""pt"")"),"Saint-Laurent-Du-Var")</f>
        <v>Saint-Laurent-Du-Var</v>
      </c>
      <c r="B10902" s="17" t="s">
        <v>7767</v>
      </c>
      <c r="C10902" s="17" t="s">
        <v>7052</v>
      </c>
      <c r="D10902" s="17" t="s">
        <v>32534</v>
      </c>
      <c r="E10902" s="10">
        <v>2978891</v>
      </c>
      <c r="F10902" s="4" t="str">
        <f>IF(B10902=B10901,"",B10902)</f>
        <v/>
      </c>
    </row>
    <row r="10903" spans="1:6" ht="15.75" customHeight="1">
      <c r="A10903" s="5" t="s">
        <v>7948</v>
      </c>
      <c r="B10903" s="6" t="s">
        <v>7949</v>
      </c>
      <c r="C10903" s="5" t="s">
        <v>7942</v>
      </c>
      <c r="D10903" s="5" t="s">
        <v>7943</v>
      </c>
      <c r="E10903" s="2">
        <v>3380387</v>
      </c>
      <c r="F10903" s="4" t="str">
        <f>IF(B10903=B10902,"",B10903)</f>
        <v>Saint-Laurent-du-Maroni</v>
      </c>
    </row>
    <row r="10904" spans="1:6" ht="15.75" customHeight="1">
      <c r="A10904" s="5" t="str">
        <f ca="1">IFERROR(__xludf.DUMMYFUNCTION("GOOGLETRANSLATE(B30850,""en"",""pt"")"),"Saint-Laurent-Du-Maroni")</f>
        <v>Saint-Laurent-Du-Maroni</v>
      </c>
      <c r="B10904" s="17" t="s">
        <v>7949</v>
      </c>
      <c r="C10904" s="17" t="s">
        <v>7942</v>
      </c>
      <c r="D10904" s="17" t="s">
        <v>7943</v>
      </c>
      <c r="E10904" s="10">
        <v>3380387</v>
      </c>
      <c r="F10904" s="4" t="str">
        <f>IF(B10904=B10903,"",B10904)</f>
        <v/>
      </c>
    </row>
    <row r="10905" spans="1:6" ht="15.75" customHeight="1">
      <c r="A10905" s="5" t="s">
        <v>4188</v>
      </c>
      <c r="B10905" s="6" t="s">
        <v>4189</v>
      </c>
      <c r="C10905" s="5" t="s">
        <v>3975</v>
      </c>
      <c r="D10905" s="5" t="s">
        <v>3982</v>
      </c>
      <c r="E10905" s="2">
        <v>6138610</v>
      </c>
      <c r="F10905" s="4" t="str">
        <f>IF(B10905=B10904,"",B10905)</f>
        <v>Saint-Laurent</v>
      </c>
    </row>
    <row r="10906" spans="1:6" ht="15.75" customHeight="1">
      <c r="A10906" s="5" t="str">
        <f ca="1">IFERROR(__xludf.DUMMYFUNCTION("GOOGLETRANSLATE(B25574,""en"",""pt"")"),"São Lourenço")</f>
        <v>São Lourenço</v>
      </c>
      <c r="B10906" s="17" t="s">
        <v>4189</v>
      </c>
      <c r="C10906" s="17" t="s">
        <v>3975</v>
      </c>
      <c r="D10906" s="17" t="s">
        <v>3982</v>
      </c>
      <c r="E10906" s="10">
        <v>6138610</v>
      </c>
      <c r="F10906" s="4" t="str">
        <f>IF(B10906=B10905,"",B10906)</f>
        <v/>
      </c>
    </row>
    <row r="10907" spans="1:6" ht="15.75" customHeight="1">
      <c r="A10907" s="5" t="s">
        <v>4186</v>
      </c>
      <c r="B10907" s="6" t="s">
        <v>4187</v>
      </c>
      <c r="C10907" s="5" t="s">
        <v>3975</v>
      </c>
      <c r="D10907" s="5" t="s">
        <v>3982</v>
      </c>
      <c r="E10907" s="2">
        <v>6138625</v>
      </c>
      <c r="F10907" s="4" t="str">
        <f>IF(B10907=B10906,"",B10907)</f>
        <v>Saint-LÃ©onard</v>
      </c>
    </row>
    <row r="10908" spans="1:6" ht="15.75" customHeight="1">
      <c r="A10908" s="6" t="s">
        <v>7764</v>
      </c>
      <c r="B10908" s="6" t="s">
        <v>7765</v>
      </c>
      <c r="C10908" s="6" t="s">
        <v>7052</v>
      </c>
      <c r="D10908" s="6" t="s">
        <v>7068</v>
      </c>
      <c r="E10908" s="2">
        <v>2978758</v>
      </c>
      <c r="F10908" s="4" t="str">
        <f>IF(B10908=B10907,"",B10908)</f>
        <v>Saint-LÃ´</v>
      </c>
    </row>
    <row r="10909" spans="1:6" ht="15.75" customHeight="1">
      <c r="A10909" s="6" t="s">
        <v>17646</v>
      </c>
      <c r="B10909" s="6" t="s">
        <v>17647</v>
      </c>
      <c r="C10909" s="6" t="s">
        <v>17635</v>
      </c>
      <c r="D10909" s="6" t="s">
        <v>17635</v>
      </c>
      <c r="E10909" s="2">
        <v>3569915</v>
      </c>
      <c r="F10909" s="4" t="str">
        <f>IF(B10909=B10908,"",B10909)</f>
        <v>Saint-Joseph</v>
      </c>
    </row>
    <row r="10910" spans="1:6" ht="15.75" customHeight="1">
      <c r="A10910" s="6" t="s">
        <v>17646</v>
      </c>
      <c r="B10910" s="6" t="s">
        <v>17647</v>
      </c>
      <c r="C10910" s="6" t="s">
        <v>21810</v>
      </c>
      <c r="D10910" s="6" t="s">
        <v>21811</v>
      </c>
      <c r="E10910" s="2">
        <v>935227</v>
      </c>
      <c r="F10910" s="4" t="str">
        <f>IF(B10910=B10909,"",B10910)</f>
        <v/>
      </c>
    </row>
    <row r="10911" spans="1:6" ht="15.75" customHeight="1">
      <c r="A10911" s="5" t="str">
        <f ca="1">IFERROR(__xludf.DUMMYFUNCTION("GOOGLETRANSLATE(B36785,""en"",""pt"")"),"São José")</f>
        <v>São José</v>
      </c>
      <c r="B10911" s="17" t="s">
        <v>17647</v>
      </c>
      <c r="C10911" s="17" t="s">
        <v>17635</v>
      </c>
      <c r="D10911" s="17" t="s">
        <v>17635</v>
      </c>
      <c r="E10911" s="10">
        <v>3569915</v>
      </c>
      <c r="F10911" s="4" t="str">
        <f>IF(B10911=B10910,"",B10911)</f>
        <v/>
      </c>
    </row>
    <row r="10912" spans="1:6" ht="15.75" customHeight="1">
      <c r="A10912" s="5" t="str">
        <f ca="1">IFERROR(__xludf.DUMMYFUNCTION("GOOGLETRANSLATE(B39712,""en"",""pt"")"),"São José")</f>
        <v>São José</v>
      </c>
      <c r="B10912" s="17" t="s">
        <v>17647</v>
      </c>
      <c r="C10912" s="17" t="s">
        <v>21810</v>
      </c>
      <c r="D10912" s="17" t="s">
        <v>35327</v>
      </c>
      <c r="E10912" s="10">
        <v>935227</v>
      </c>
      <c r="F10912" s="4" t="str">
        <f>IF(B10912=B10911,"",B10912)</f>
        <v/>
      </c>
    </row>
    <row r="10913" spans="1:6" ht="15.75" customHeight="1">
      <c r="A10913" s="5" t="str">
        <f ca="1">IFERROR(__xludf.DUMMYFUNCTION("GOOGLETRANSLATE(B25572,""en"",""pt"")"),"Saint-Jérôme")</f>
        <v>Saint-Jérôme</v>
      </c>
      <c r="B10913" s="17" t="s">
        <v>31756</v>
      </c>
      <c r="C10913" s="17" t="s">
        <v>3975</v>
      </c>
      <c r="D10913" s="17" t="s">
        <v>3982</v>
      </c>
      <c r="E10913" s="10">
        <v>6138501</v>
      </c>
      <c r="F10913" s="4" t="str">
        <f>IF(B10913=B10912,"",B10913)</f>
        <v>Saint-Jérôme</v>
      </c>
    </row>
    <row r="10914" spans="1:6" ht="15.75" customHeight="1">
      <c r="A10914" s="5" t="s">
        <v>4185</v>
      </c>
      <c r="B10914" s="6" t="s">
        <v>4185</v>
      </c>
      <c r="C10914" s="5" t="s">
        <v>3975</v>
      </c>
      <c r="D10914" s="5" t="s">
        <v>3982</v>
      </c>
      <c r="E10914" s="2">
        <v>6138495</v>
      </c>
      <c r="F10914" s="4" t="str">
        <f>IF(B10914=B10913,"",B10914)</f>
        <v>Saint-Jean-sur-Richelieu</v>
      </c>
    </row>
    <row r="10915" spans="1:6" ht="15.75" customHeight="1">
      <c r="A10915" s="5" t="str">
        <f ca="1">IFERROR(__xludf.DUMMYFUNCTION("GOOGLETRANSLATE(B25571,""en"",""pt"")"),"Saint-Jean-sur-Richelieu")</f>
        <v>Saint-Jean-sur-Richelieu</v>
      </c>
      <c r="B10915" s="17" t="s">
        <v>4185</v>
      </c>
      <c r="C10915" s="17" t="s">
        <v>3975</v>
      </c>
      <c r="D10915" s="17" t="s">
        <v>3982</v>
      </c>
      <c r="E10915" s="10">
        <v>6138495</v>
      </c>
      <c r="F10915" s="4" t="str">
        <f>IF(B10915=B10914,"",B10915)</f>
        <v/>
      </c>
    </row>
    <row r="10916" spans="1:6" ht="15.75" customHeight="1">
      <c r="A10916" s="5" t="s">
        <v>7762</v>
      </c>
      <c r="B10916" s="6" t="s">
        <v>7763</v>
      </c>
      <c r="C10916" s="5" t="s">
        <v>7052</v>
      </c>
      <c r="D10916" s="5" t="s">
        <v>3813</v>
      </c>
      <c r="E10916" s="2">
        <v>2979316</v>
      </c>
      <c r="F10916" s="4" t="str">
        <f>IF(B10916=B10915,"",B10916)</f>
        <v>Saint-Jean-de-la-Ruelle</v>
      </c>
    </row>
    <row r="10917" spans="1:6" ht="15.75" customHeight="1">
      <c r="A10917" s="5" t="str">
        <f ca="1">IFERROR(__xludf.DUMMYFUNCTION("GOOGLETRANSLATE(B29795,""en"",""pt"")"),"Saint-Jean-de-La-Ruelle")</f>
        <v>Saint-Jean-de-La-Ruelle</v>
      </c>
      <c r="B10917" s="17" t="s">
        <v>7763</v>
      </c>
      <c r="C10917" s="17" t="s">
        <v>7052</v>
      </c>
      <c r="D10917" s="17" t="s">
        <v>3813</v>
      </c>
      <c r="E10917" s="10">
        <v>2979316</v>
      </c>
      <c r="F10917" s="4" t="str">
        <f>IF(B10917=B10916,"",B10917)</f>
        <v/>
      </c>
    </row>
    <row r="10918" spans="1:6" ht="15.75" customHeight="1">
      <c r="A10918" s="5" t="s">
        <v>7761</v>
      </c>
      <c r="B10918" s="6" t="s">
        <v>7761</v>
      </c>
      <c r="C10918" s="5" t="s">
        <v>7052</v>
      </c>
      <c r="D10918" s="5" t="s">
        <v>3813</v>
      </c>
      <c r="E10918" s="2">
        <v>2979341</v>
      </c>
      <c r="F10918" s="4" t="str">
        <f>IF(B10918=B10917,"",B10918)</f>
        <v>Saint-Jean-de-Braye</v>
      </c>
    </row>
    <row r="10919" spans="1:6" ht="15.75" customHeight="1">
      <c r="A10919" s="5" t="str">
        <f ca="1">IFERROR(__xludf.DUMMYFUNCTION("GOOGLETRANSLATE(B29796,""en"",""pt"")"),"Saint-Jean-de-Braye")</f>
        <v>Saint-Jean-de-Braye</v>
      </c>
      <c r="B10919" s="17" t="s">
        <v>7761</v>
      </c>
      <c r="C10919" s="17" t="s">
        <v>7052</v>
      </c>
      <c r="D10919" s="17" t="s">
        <v>3813</v>
      </c>
      <c r="E10919" s="10">
        <v>2979341</v>
      </c>
      <c r="F10919" s="4" t="str">
        <f>IF(B10919=B10918,"",B10919)</f>
        <v/>
      </c>
    </row>
    <row r="10920" spans="1:6" ht="15.75" customHeight="1">
      <c r="A10920" s="6" t="s">
        <v>4183</v>
      </c>
      <c r="B10920" s="6" t="s">
        <v>4184</v>
      </c>
      <c r="C10920" s="6" t="s">
        <v>3975</v>
      </c>
      <c r="D10920" s="6" t="s">
        <v>3982</v>
      </c>
      <c r="E10920" s="2">
        <v>6138501</v>
      </c>
      <c r="F10920" s="4" t="str">
        <f>IF(B10920=B10919,"",B10920)</f>
        <v>Saint-JÃ©rÃ´me</v>
      </c>
    </row>
    <row r="10921" spans="1:6" ht="15.75" customHeight="1">
      <c r="A10921" s="5" t="s">
        <v>4182</v>
      </c>
      <c r="B10921" s="6" t="s">
        <v>4182</v>
      </c>
      <c r="C10921" s="5" t="s">
        <v>3975</v>
      </c>
      <c r="D10921" s="5" t="s">
        <v>3982</v>
      </c>
      <c r="E10921" s="2">
        <v>6138374</v>
      </c>
      <c r="F10921" s="4" t="str">
        <f>IF(B10921=B10920,"",B10921)</f>
        <v>Saint-Hyacinthe</v>
      </c>
    </row>
    <row r="10922" spans="1:6" ht="15.75" customHeight="1">
      <c r="A10922" s="5" t="str">
        <f ca="1">IFERROR(__xludf.DUMMYFUNCTION("GOOGLETRANSLATE(B25570,""en"",""pt"")"),"Saint-Hyacinthe")</f>
        <v>Saint-Hyacinthe</v>
      </c>
      <c r="B10922" s="17" t="s">
        <v>4182</v>
      </c>
      <c r="C10922" s="17" t="s">
        <v>3975</v>
      </c>
      <c r="D10922" s="17" t="s">
        <v>3982</v>
      </c>
      <c r="E10922" s="10">
        <v>6138374</v>
      </c>
      <c r="F10922" s="4" t="str">
        <f>IF(B10922=B10921,"",B10922)</f>
        <v/>
      </c>
    </row>
    <row r="10923" spans="1:6" ht="15.75" customHeight="1">
      <c r="A10923" s="6" t="s">
        <v>13205</v>
      </c>
      <c r="B10923" s="6" t="s">
        <v>13205</v>
      </c>
      <c r="C10923" s="6" t="s">
        <v>10178</v>
      </c>
      <c r="D10923" s="6" t="s">
        <v>10201</v>
      </c>
      <c r="E10923" s="2">
        <v>1257751</v>
      </c>
      <c r="F10923" s="4" t="str">
        <f>IF(B10923=B10922,"",B10923)</f>
        <v>Sainthia</v>
      </c>
    </row>
    <row r="10924" spans="1:6" ht="15.75" customHeight="1">
      <c r="A10924" s="5" t="str">
        <f ca="1">IFERROR(__xludf.DUMMYFUNCTION("GOOGLETRANSLATE(B32273,""en"",""pt"")"),"Sainthia")</f>
        <v>Sainthia</v>
      </c>
      <c r="B10924" s="17" t="s">
        <v>13205</v>
      </c>
      <c r="C10924" s="17" t="s">
        <v>10178</v>
      </c>
      <c r="D10924" s="17" t="s">
        <v>10201</v>
      </c>
      <c r="E10924" s="10">
        <v>1257751</v>
      </c>
      <c r="F10924" s="4" t="str">
        <f>IF(B10924=B10923,"",B10924)</f>
        <v/>
      </c>
    </row>
    <row r="10925" spans="1:6" ht="15.75" customHeight="1">
      <c r="A10925" s="5" t="s">
        <v>7760</v>
      </c>
      <c r="B10925" s="6" t="s">
        <v>7760</v>
      </c>
      <c r="C10925" s="5" t="s">
        <v>7052</v>
      </c>
      <c r="D10925" s="5" t="s">
        <v>7102</v>
      </c>
      <c r="E10925" s="2">
        <v>2979590</v>
      </c>
      <c r="F10925" s="4" t="str">
        <f>IF(B10925=B10924,"",B10925)</f>
        <v>Saint-Herblain</v>
      </c>
    </row>
    <row r="10926" spans="1:6" ht="15.75" customHeight="1">
      <c r="A10926" s="5" t="str">
        <f ca="1">IFERROR(__xludf.DUMMYFUNCTION("GOOGLETRANSLATE(B29797,""en"",""pt"")"),"Saint-Herblain")</f>
        <v>Saint-Herblain</v>
      </c>
      <c r="B10926" s="17" t="s">
        <v>7760</v>
      </c>
      <c r="C10926" s="17" t="s">
        <v>7052</v>
      </c>
      <c r="D10926" s="17" t="s">
        <v>7102</v>
      </c>
      <c r="E10926" s="10">
        <v>2979590</v>
      </c>
      <c r="F10926" s="4" t="str">
        <f>IF(B10926=B10925,"",B10926)</f>
        <v/>
      </c>
    </row>
    <row r="10927" spans="1:6" ht="15.75" customHeight="1">
      <c r="A10927" s="5" t="s">
        <v>7759</v>
      </c>
      <c r="B10927" s="6" t="s">
        <v>7759</v>
      </c>
      <c r="C10927" s="5" t="s">
        <v>7052</v>
      </c>
      <c r="D10927" s="5" t="s">
        <v>7058</v>
      </c>
      <c r="E10927" s="2">
        <v>2979627</v>
      </c>
      <c r="F10927" s="4" t="str">
        <f>IF(B10927=B10926,"",B10927)</f>
        <v>Saint-Gratien</v>
      </c>
    </row>
    <row r="10928" spans="1:6" ht="15.75" customHeight="1">
      <c r="A10928" s="5" t="str">
        <f ca="1">IFERROR(__xludf.DUMMYFUNCTION("GOOGLETRANSLATE(B29798,""en"",""pt"")"),"Saint-Gratien")</f>
        <v>Saint-Gratien</v>
      </c>
      <c r="B10928" s="17" t="s">
        <v>7759</v>
      </c>
      <c r="C10928" s="17" t="s">
        <v>7052</v>
      </c>
      <c r="D10928" s="17" t="s">
        <v>32531</v>
      </c>
      <c r="E10928" s="10">
        <v>2979627</v>
      </c>
      <c r="F10928" s="4" t="str">
        <f>IF(B10928=B10927,"",B10928)</f>
        <v/>
      </c>
    </row>
    <row r="10929" spans="1:6" ht="15.75" customHeight="1">
      <c r="A10929" s="5" t="s">
        <v>1677</v>
      </c>
      <c r="B10929" s="6" t="s">
        <v>1677</v>
      </c>
      <c r="C10929" s="5" t="s">
        <v>1512</v>
      </c>
      <c r="D10929" s="5" t="s">
        <v>1518</v>
      </c>
      <c r="E10929" s="2">
        <v>2787416</v>
      </c>
      <c r="F10929" s="4" t="str">
        <f>IF(B10929=B10928,"",B10929)</f>
        <v>Saint-Ghislain</v>
      </c>
    </row>
    <row r="10930" spans="1:6" ht="15.75" customHeight="1">
      <c r="A10930" s="5" t="str">
        <f ca="1">IFERROR(__xludf.DUMMYFUNCTION("GOOGLETRANSLATE(B23838,""en"",""pt"")"),"Saint-Ghislain")</f>
        <v>Saint-Ghislain</v>
      </c>
      <c r="B10930" s="17" t="s">
        <v>1677</v>
      </c>
      <c r="C10930" s="17" t="s">
        <v>1512</v>
      </c>
      <c r="D10930" s="17" t="s">
        <v>1518</v>
      </c>
      <c r="E10930" s="10">
        <v>2787416</v>
      </c>
      <c r="F10930" s="4" t="str">
        <f>IF(B10930=B10929,"",B10930)</f>
        <v/>
      </c>
    </row>
    <row r="10931" spans="1:6" ht="15.75" customHeight="1">
      <c r="A10931" s="5" t="s">
        <v>7757</v>
      </c>
      <c r="B10931" s="6" t="s">
        <v>7758</v>
      </c>
      <c r="C10931" s="5" t="s">
        <v>7052</v>
      </c>
      <c r="D10931" s="5" t="s">
        <v>7058</v>
      </c>
      <c r="E10931" s="2">
        <v>2979783</v>
      </c>
      <c r="F10931" s="4" t="str">
        <f>IF(B10931=B10930,"",B10931)</f>
        <v>Saint-Germain-en-Laye</v>
      </c>
    </row>
    <row r="10932" spans="1:6" ht="15.75" customHeight="1">
      <c r="A10932" s="5" t="str">
        <f ca="1">IFERROR(__xludf.DUMMYFUNCTION("GOOGLETRANSLATE(B29799,""en"",""pt"")"),"Saint-Germain-en-laye")</f>
        <v>Saint-Germain-en-laye</v>
      </c>
      <c r="B10932" s="17" t="s">
        <v>7758</v>
      </c>
      <c r="C10932" s="17" t="s">
        <v>7052</v>
      </c>
      <c r="D10932" s="17" t="s">
        <v>32531</v>
      </c>
      <c r="E10932" s="10">
        <v>2979783</v>
      </c>
      <c r="F10932" s="4" t="str">
        <f>IF(B10932=B10931,"",B10932)</f>
        <v/>
      </c>
    </row>
    <row r="10933" spans="1:6" ht="15.75" customHeight="1">
      <c r="A10933" s="5" t="s">
        <v>7756</v>
      </c>
      <c r="B10933" s="6" t="s">
        <v>7756</v>
      </c>
      <c r="C10933" s="5" t="s">
        <v>7052</v>
      </c>
      <c r="D10933" s="5" t="s">
        <v>7053</v>
      </c>
      <c r="E10933" s="2">
        <v>2979985</v>
      </c>
      <c r="F10933" s="4" t="str">
        <f>IF(B10933=B10932,"",B10933)</f>
        <v>Saint-Genis-Laval</v>
      </c>
    </row>
    <row r="10934" spans="1:6" ht="15.75" customHeight="1">
      <c r="A10934" s="5" t="str">
        <f ca="1">IFERROR(__xludf.DUMMYFUNCTION("GOOGLETRANSLATE(B29800,""en"",""pt"")"),"Saint-Genis-Laval")</f>
        <v>Saint-Genis-Laval</v>
      </c>
      <c r="B10934" s="17" t="s">
        <v>7756</v>
      </c>
      <c r="C10934" s="17" t="s">
        <v>7052</v>
      </c>
      <c r="D10934" s="17" t="s">
        <v>32532</v>
      </c>
      <c r="E10934" s="10">
        <v>2979985</v>
      </c>
      <c r="F10934" s="4" t="str">
        <f>IF(B10934=B10933,"",B10934)</f>
        <v/>
      </c>
    </row>
    <row r="10935" spans="1:6" ht="15.75" customHeight="1">
      <c r="A10935" s="5" t="s">
        <v>7755</v>
      </c>
      <c r="B10935" s="6" t="s">
        <v>7755</v>
      </c>
      <c r="C10935" s="5" t="s">
        <v>7052</v>
      </c>
      <c r="D10935" s="5" t="s">
        <v>7053</v>
      </c>
      <c r="E10935" s="2">
        <v>2980097</v>
      </c>
      <c r="F10935" s="4" t="str">
        <f>IF(B10935=B10934,"",B10935)</f>
        <v>Saint-Fons</v>
      </c>
    </row>
    <row r="10936" spans="1:6" ht="15.75" customHeight="1">
      <c r="A10936" s="5" t="str">
        <f ca="1">IFERROR(__xludf.DUMMYFUNCTION("GOOGLETRANSLATE(B29801,""en"",""pt"")"),"Saint-Fons")</f>
        <v>Saint-Fons</v>
      </c>
      <c r="B10936" s="17" t="s">
        <v>7755</v>
      </c>
      <c r="C10936" s="17" t="s">
        <v>7052</v>
      </c>
      <c r="D10936" s="17" t="s">
        <v>32532</v>
      </c>
      <c r="E10936" s="10">
        <v>2980097</v>
      </c>
      <c r="F10936" s="4" t="str">
        <f>IF(B10936=B10935,"",B10936)</f>
        <v/>
      </c>
    </row>
    <row r="10937" spans="1:6" ht="15.75" customHeight="1">
      <c r="A10937" s="5" t="s">
        <v>4180</v>
      </c>
      <c r="B10937" s="6" t="s">
        <v>4181</v>
      </c>
      <c r="C10937" s="5" t="s">
        <v>3975</v>
      </c>
      <c r="D10937" s="5" t="s">
        <v>3982</v>
      </c>
      <c r="E10937" s="2">
        <v>6138175</v>
      </c>
      <c r="F10937" s="4" t="str">
        <f>IF(B10937=B10936,"",B10937)</f>
        <v>Saint-Eustache</v>
      </c>
    </row>
    <row r="10938" spans="1:6" ht="15.75" customHeight="1">
      <c r="A10938" s="5" t="str">
        <f ca="1">IFERROR(__xludf.DUMMYFUNCTION("GOOGLETRANSLATE(B25569,""en"",""pt"")"),"Saint-eustache")</f>
        <v>Saint-eustache</v>
      </c>
      <c r="B10938" s="17" t="s">
        <v>4181</v>
      </c>
      <c r="C10938" s="17" t="s">
        <v>3975</v>
      </c>
      <c r="D10938" s="17" t="s">
        <v>3982</v>
      </c>
      <c r="E10938" s="10">
        <v>6138175</v>
      </c>
      <c r="F10938" s="4" t="str">
        <f>IF(B10938=B10937,"",B10938)</f>
        <v/>
      </c>
    </row>
    <row r="10939" spans="1:6" ht="15.75" customHeight="1">
      <c r="A10939" s="5" t="str">
        <f ca="1">IFERROR(__xludf.DUMMYFUNCTION("GOOGLETRANSLATE(B29802,""en"",""pt"")"),"Saint-Étienne-du-Rouvray")</f>
        <v>Saint-Étienne-du-Rouvray</v>
      </c>
      <c r="B10939" s="17" t="s">
        <v>32560</v>
      </c>
      <c r="C10939" s="17" t="s">
        <v>7052</v>
      </c>
      <c r="D10939" s="17" t="s">
        <v>7068</v>
      </c>
      <c r="E10939" s="10">
        <v>2980236</v>
      </c>
      <c r="F10939" s="4" t="str">
        <f>IF(B10939=B10938,"",B10939)</f>
        <v>Saint-Étienne-du-Rouvray</v>
      </c>
    </row>
    <row r="10940" spans="1:6" ht="15.75" customHeight="1">
      <c r="A10940" s="5" t="str">
        <f ca="1">IFERROR(__xludf.DUMMYFUNCTION("GOOGLETRANSLATE(B29803,""en"",""pt"")"),"Saint-Étienne")</f>
        <v>Saint-Étienne</v>
      </c>
      <c r="B10940" s="17" t="s">
        <v>32561</v>
      </c>
      <c r="C10940" s="17" t="s">
        <v>7052</v>
      </c>
      <c r="D10940" s="17" t="s">
        <v>32532</v>
      </c>
      <c r="E10940" s="10">
        <v>2980291</v>
      </c>
      <c r="F10940" s="4" t="str">
        <f>IF(B10940=B10939,"",B10940)</f>
        <v>Saint-Étienne</v>
      </c>
    </row>
    <row r="10941" spans="1:6" ht="15.75" customHeight="1">
      <c r="A10941" s="5" t="str">
        <f ca="1">IFERROR(__xludf.DUMMYFUNCTION("GOOGLETRANSLATE(B25568,""en"",""pt"")"),"Sainte-Thérèse")</f>
        <v>Sainte-Thérèse</v>
      </c>
      <c r="B10941" s="17" t="s">
        <v>31755</v>
      </c>
      <c r="C10941" s="17" t="s">
        <v>3975</v>
      </c>
      <c r="D10941" s="17" t="s">
        <v>3982</v>
      </c>
      <c r="E10941" s="10">
        <v>6138121</v>
      </c>
      <c r="F10941" s="4" t="str">
        <f>IF(B10941=B10940,"",B10941)</f>
        <v>Sainte-Thérèse</v>
      </c>
    </row>
    <row r="10942" spans="1:6" ht="15.75" customHeight="1">
      <c r="A10942" s="5" t="s">
        <v>4178</v>
      </c>
      <c r="B10942" s="6" t="s">
        <v>4179</v>
      </c>
      <c r="C10942" s="5" t="s">
        <v>3975</v>
      </c>
      <c r="D10942" s="5" t="s">
        <v>3982</v>
      </c>
      <c r="E10942" s="2">
        <v>6138121</v>
      </c>
      <c r="F10942" s="4" t="str">
        <f>IF(B10942=B10941,"",B10942)</f>
        <v>Sainte-ThÃ©rÃ¨se</v>
      </c>
    </row>
    <row r="10943" spans="1:6" ht="15.75" customHeight="1">
      <c r="A10943" s="5" t="s">
        <v>21819</v>
      </c>
      <c r="B10943" s="6" t="s">
        <v>21819</v>
      </c>
      <c r="C10943" s="5" t="s">
        <v>21810</v>
      </c>
      <c r="D10943" s="5" t="s">
        <v>21811</v>
      </c>
      <c r="E10943" s="2">
        <v>935248</v>
      </c>
      <c r="F10943" s="4" t="str">
        <f>IF(B10943=B10942,"",B10943)</f>
        <v>Sainte-Suzanne</v>
      </c>
    </row>
    <row r="10944" spans="1:6" ht="15.75" customHeight="1">
      <c r="A10944" s="5" t="str">
        <f ca="1">IFERROR(__xludf.DUMMYFUNCTION("GOOGLETRANSLATE(B39713,""en"",""pt"")"),"Sainte-Suzanne")</f>
        <v>Sainte-Suzanne</v>
      </c>
      <c r="B10944" s="17" t="s">
        <v>21819</v>
      </c>
      <c r="C10944" s="17" t="s">
        <v>21810</v>
      </c>
      <c r="D10944" s="17" t="s">
        <v>35327</v>
      </c>
      <c r="E10944" s="10">
        <v>935248</v>
      </c>
      <c r="F10944" s="4" t="str">
        <f>IF(B10944=B10943,"",B10944)</f>
        <v/>
      </c>
    </row>
    <row r="10945" spans="1:6" ht="15.75" customHeight="1">
      <c r="A10945" s="6" t="s">
        <v>7753</v>
      </c>
      <c r="B10945" s="6" t="s">
        <v>7754</v>
      </c>
      <c r="C10945" s="6" t="s">
        <v>7052</v>
      </c>
      <c r="D10945" s="6" t="s">
        <v>7084</v>
      </c>
      <c r="E10945" s="2">
        <v>2980340</v>
      </c>
      <c r="F10945" s="4" t="str">
        <f>IF(B10945=B10944,"",B10945)</f>
        <v>Saintes</v>
      </c>
    </row>
    <row r="10946" spans="1:6" ht="15.75" customHeight="1">
      <c r="A10946" s="5" t="str">
        <f ca="1">IFERROR(__xludf.DUMMYFUNCTION("GOOGLETRANSLATE(B29804,""en"",""pt"")"),"SANTES")</f>
        <v>SANTES</v>
      </c>
      <c r="B10946" s="17" t="s">
        <v>7754</v>
      </c>
      <c r="C10946" s="17" t="s">
        <v>7052</v>
      </c>
      <c r="D10946" s="17" t="s">
        <v>7084</v>
      </c>
      <c r="E10946" s="10">
        <v>2980340</v>
      </c>
      <c r="F10946" s="4" t="str">
        <f>IF(B10946=B10945,"",B10946)</f>
        <v/>
      </c>
    </row>
    <row r="10947" spans="1:6" ht="15.75" customHeight="1">
      <c r="A10947" s="5" t="s">
        <v>9681</v>
      </c>
      <c r="B10947" s="6" t="s">
        <v>9681</v>
      </c>
      <c r="C10947" s="5" t="s">
        <v>9670</v>
      </c>
      <c r="D10947" s="5" t="s">
        <v>9670</v>
      </c>
      <c r="E10947" s="2">
        <v>3578447</v>
      </c>
      <c r="F10947" s="4" t="str">
        <f>IF(B10947=B10946,"",B10947)</f>
        <v>Sainte-Rose</v>
      </c>
    </row>
    <row r="10948" spans="1:6" ht="15.75" customHeight="1">
      <c r="A10948" s="5" t="str">
        <f ca="1">IFERROR(__xludf.DUMMYFUNCTION("GOOGLETRANSLATE(B30940,""en"",""pt"")"),"Sainte-Rose")</f>
        <v>Sainte-Rose</v>
      </c>
      <c r="B10948" s="17" t="s">
        <v>9681</v>
      </c>
      <c r="C10948" s="17" t="s">
        <v>9670</v>
      </c>
      <c r="D10948" s="17" t="s">
        <v>9670</v>
      </c>
      <c r="E10948" s="10">
        <v>3578447</v>
      </c>
      <c r="F10948" s="4" t="str">
        <f>IF(B10948=B10947,"",B10948)</f>
        <v/>
      </c>
    </row>
    <row r="10949" spans="1:6" ht="15.75" customHeight="1">
      <c r="A10949" s="5" t="s">
        <v>17645</v>
      </c>
      <c r="B10949" s="6" t="s">
        <v>17645</v>
      </c>
      <c r="C10949" s="5" t="s">
        <v>17635</v>
      </c>
      <c r="D10949" s="5" t="s">
        <v>17635</v>
      </c>
      <c r="E10949" s="2">
        <v>3569926</v>
      </c>
      <c r="F10949" s="4" t="str">
        <f>IF(B10949=B10948,"",B10949)</f>
        <v>Sainte-Marie</v>
      </c>
    </row>
    <row r="10950" spans="1:6" ht="15.75" customHeight="1">
      <c r="A10950" s="5" t="s">
        <v>17645</v>
      </c>
      <c r="B10950" s="6" t="s">
        <v>17645</v>
      </c>
      <c r="C10950" s="5" t="s">
        <v>21810</v>
      </c>
      <c r="D10950" s="5" t="s">
        <v>21811</v>
      </c>
      <c r="E10950" s="2">
        <v>935255</v>
      </c>
      <c r="F10950" s="4" t="str">
        <f>IF(B10950=B10949,"",B10950)</f>
        <v/>
      </c>
    </row>
    <row r="10951" spans="1:6" ht="15.75" customHeight="1">
      <c r="A10951" s="5" t="str">
        <f ca="1">IFERROR(__xludf.DUMMYFUNCTION("GOOGLETRANSLATE(B36786,""en"",""pt"")"),"Sainte-Marie")</f>
        <v>Sainte-Marie</v>
      </c>
      <c r="B10951" s="17" t="s">
        <v>17645</v>
      </c>
      <c r="C10951" s="17" t="s">
        <v>17635</v>
      </c>
      <c r="D10951" s="17" t="s">
        <v>17635</v>
      </c>
      <c r="E10951" s="10">
        <v>3569926</v>
      </c>
      <c r="F10951" s="4" t="str">
        <f>IF(B10951=B10950,"",B10951)</f>
        <v/>
      </c>
    </row>
    <row r="10952" spans="1:6" ht="15.75" customHeight="1">
      <c r="A10952" s="5" t="str">
        <f ca="1">IFERROR(__xludf.DUMMYFUNCTION("GOOGLETRANSLATE(B39714,""en"",""pt"")"),"Sainte-Marie")</f>
        <v>Sainte-Marie</v>
      </c>
      <c r="B10952" s="17" t="s">
        <v>17645</v>
      </c>
      <c r="C10952" s="17" t="s">
        <v>21810</v>
      </c>
      <c r="D10952" s="17" t="s">
        <v>35327</v>
      </c>
      <c r="E10952" s="10">
        <v>935255</v>
      </c>
      <c r="F10952" s="4" t="str">
        <f>IF(B10952=B10951,"",B10952)</f>
        <v/>
      </c>
    </row>
    <row r="10953" spans="1:6" ht="15.75" customHeight="1">
      <c r="A10953" s="5" t="s">
        <v>4177</v>
      </c>
      <c r="B10953" s="6" t="s">
        <v>4177</v>
      </c>
      <c r="C10953" s="5" t="s">
        <v>3975</v>
      </c>
      <c r="D10953" s="5" t="s">
        <v>3982</v>
      </c>
      <c r="E10953" s="2">
        <v>6137941</v>
      </c>
      <c r="F10953" s="4" t="str">
        <f>IF(B10953=B10952,"",B10953)</f>
        <v>Sainte-Julie</v>
      </c>
    </row>
    <row r="10954" spans="1:6" ht="15.75" customHeight="1">
      <c r="A10954" s="5" t="str">
        <f ca="1">IFERROR(__xludf.DUMMYFUNCTION("GOOGLETRANSLATE(B25567,""en"",""pt"")"),"Sainte-Julie")</f>
        <v>Sainte-Julie</v>
      </c>
      <c r="B10954" s="17" t="s">
        <v>4177</v>
      </c>
      <c r="C10954" s="17" t="s">
        <v>3975</v>
      </c>
      <c r="D10954" s="17" t="s">
        <v>3982</v>
      </c>
      <c r="E10954" s="10">
        <v>6137941</v>
      </c>
      <c r="F10954" s="4" t="str">
        <f>IF(B10954=B10953,"",B10954)</f>
        <v/>
      </c>
    </row>
    <row r="10955" spans="1:6" ht="15.75" customHeight="1">
      <c r="A10955" s="5" t="str">
        <f ca="1">IFERROR(__xludf.DUMMYFUNCTION("GOOGLETRANSLATE(B29807,""en"",""pt"")"),"Saint-égrève")</f>
        <v>Saint-égrève</v>
      </c>
      <c r="B10955" s="17" t="s">
        <v>32564</v>
      </c>
      <c r="C10955" s="17" t="s">
        <v>7052</v>
      </c>
      <c r="D10955" s="17" t="s">
        <v>32532</v>
      </c>
      <c r="E10955" s="10">
        <v>2980636</v>
      </c>
      <c r="F10955" s="4" t="str">
        <f>IF(B10955=B10954,"",B10955)</f>
        <v>Saint-Égrève</v>
      </c>
    </row>
    <row r="10956" spans="1:6" ht="15.75" customHeight="1">
      <c r="A10956" s="5" t="str">
        <f ca="1">IFERROR(__xludf.DUMMYFUNCTION("GOOGLETRANSLATE(B29805,""en"",""pt"")"),"Sainte-Geneviève-des-bois")</f>
        <v>Sainte-Geneviève-des-bois</v>
      </c>
      <c r="B10956" s="17" t="s">
        <v>32562</v>
      </c>
      <c r="C10956" s="17" t="s">
        <v>7052</v>
      </c>
      <c r="D10956" s="17" t="s">
        <v>32531</v>
      </c>
      <c r="E10956" s="10">
        <v>2980558</v>
      </c>
      <c r="F10956" s="4" t="str">
        <f>IF(B10956=B10955,"",B10956)</f>
        <v>Sainte-Geneviève-des-Bois</v>
      </c>
    </row>
    <row r="10957" spans="1:6" ht="15.75" customHeight="1">
      <c r="A10957" s="5" t="s">
        <v>7751</v>
      </c>
      <c r="B10957" s="6" t="s">
        <v>7752</v>
      </c>
      <c r="C10957" s="5" t="s">
        <v>7052</v>
      </c>
      <c r="D10957" s="5" t="s">
        <v>7058</v>
      </c>
      <c r="E10957" s="2">
        <v>2980558</v>
      </c>
      <c r="F10957" s="4" t="str">
        <f>IF(B10957=B10956,"",B10957)</f>
        <v>Sainte-GeneviÃ¨ve-des-Bois</v>
      </c>
    </row>
    <row r="10958" spans="1:6" ht="15.75" customHeight="1">
      <c r="A10958" s="5" t="str">
        <f ca="1">IFERROR(__xludf.DUMMYFUNCTION("GOOGLETRANSLATE(B29806,""en"",""pt"")"),"Sainte-Foy-Lès-Lyon")</f>
        <v>Sainte-Foy-Lès-Lyon</v>
      </c>
      <c r="B10958" s="17" t="s">
        <v>32563</v>
      </c>
      <c r="C10958" s="17" t="s">
        <v>7052</v>
      </c>
      <c r="D10958" s="17" t="s">
        <v>32532</v>
      </c>
      <c r="E10958" s="10">
        <v>2980586</v>
      </c>
      <c r="F10958" s="4" t="str">
        <f>IF(B10958=B10957,"",B10958)</f>
        <v>Sainte-Foy-lès-Lyon</v>
      </c>
    </row>
    <row r="10959" spans="1:6" ht="15.75" customHeight="1">
      <c r="A10959" s="5" t="s">
        <v>7749</v>
      </c>
      <c r="B10959" s="6" t="s">
        <v>7750</v>
      </c>
      <c r="C10959" s="5" t="s">
        <v>7052</v>
      </c>
      <c r="D10959" s="5" t="s">
        <v>7053</v>
      </c>
      <c r="E10959" s="2">
        <v>2980586</v>
      </c>
      <c r="F10959" s="4" t="str">
        <f>IF(B10959=B10958,"",B10959)</f>
        <v>Sainte-Foy-lÃ¨s-Lyon</v>
      </c>
    </row>
    <row r="10960" spans="1:6" ht="15.75" customHeight="1">
      <c r="A10960" s="5" t="s">
        <v>4176</v>
      </c>
      <c r="B10960" s="6" t="s">
        <v>4176</v>
      </c>
      <c r="C10960" s="5" t="s">
        <v>3975</v>
      </c>
      <c r="D10960" s="5" t="s">
        <v>3982</v>
      </c>
      <c r="E10960" s="2">
        <v>6137781</v>
      </c>
      <c r="F10960" s="4" t="str">
        <f>IF(B10960=B10959,"",B10960)</f>
        <v>Sainte-Catherine</v>
      </c>
    </row>
    <row r="10961" spans="1:6" ht="15.75" customHeight="1">
      <c r="A10961" s="5" t="str">
        <f ca="1">IFERROR(__xludf.DUMMYFUNCTION("GOOGLETRANSLATE(B25566,""en"",""pt"")"),"Sainte-Catherine")</f>
        <v>Sainte-Catherine</v>
      </c>
      <c r="B10961" s="17" t="s">
        <v>4176</v>
      </c>
      <c r="C10961" s="17" t="s">
        <v>3975</v>
      </c>
      <c r="D10961" s="17" t="s">
        <v>3982</v>
      </c>
      <c r="E10961" s="10">
        <v>6137781</v>
      </c>
      <c r="F10961" s="4" t="str">
        <f>IF(B10961=B10960,"",B10961)</f>
        <v/>
      </c>
    </row>
    <row r="10962" spans="1:6" ht="15.75" customHeight="1">
      <c r="A10962" s="5" t="s">
        <v>9680</v>
      </c>
      <c r="B10962" s="6" t="s">
        <v>9680</v>
      </c>
      <c r="C10962" s="5" t="s">
        <v>9670</v>
      </c>
      <c r="D10962" s="5" t="s">
        <v>9670</v>
      </c>
      <c r="E10962" s="2">
        <v>3578466</v>
      </c>
      <c r="F10962" s="4" t="str">
        <f>IF(B10962=B10961,"",B10962)</f>
        <v>Sainte-Anne</v>
      </c>
    </row>
    <row r="10963" spans="1:6" ht="15.75" customHeight="1">
      <c r="A10963" s="5" t="str">
        <f ca="1">IFERROR(__xludf.DUMMYFUNCTION("GOOGLETRANSLATE(B30941,""en"",""pt"")"),"Sainte-Anne")</f>
        <v>Sainte-Anne</v>
      </c>
      <c r="B10963" s="17" t="s">
        <v>9680</v>
      </c>
      <c r="C10963" s="17" t="s">
        <v>9670</v>
      </c>
      <c r="D10963" s="17" t="s">
        <v>9670</v>
      </c>
      <c r="E10963" s="10">
        <v>3578466</v>
      </c>
      <c r="F10963" s="4" t="str">
        <f>IF(B10963=B10962,"",B10963)</f>
        <v/>
      </c>
    </row>
    <row r="10964" spans="1:6" ht="15.75" customHeight="1">
      <c r="A10964" s="5" t="s">
        <v>7748</v>
      </c>
      <c r="B10964" s="6" t="s">
        <v>7748</v>
      </c>
      <c r="C10964" s="5" t="s">
        <v>7052</v>
      </c>
      <c r="D10964" s="5" t="s">
        <v>7061</v>
      </c>
      <c r="E10964" s="2">
        <v>2980816</v>
      </c>
      <c r="F10964" s="4" t="str">
        <f>IF(B10964=B10963,"",B10964)</f>
        <v>Saint-Dizier</v>
      </c>
    </row>
    <row r="10965" spans="1:6" ht="15.75" customHeight="1">
      <c r="A10965" s="5" t="str">
        <f ca="1">IFERROR(__xludf.DUMMYFUNCTION("GOOGLETRANSLATE(B29808,""en"",""pt"")"),"Saint-Dizier")</f>
        <v>Saint-Dizier</v>
      </c>
      <c r="B10965" s="17" t="s">
        <v>7748</v>
      </c>
      <c r="C10965" s="17" t="s">
        <v>7052</v>
      </c>
      <c r="D10965" s="17" t="s">
        <v>7061</v>
      </c>
      <c r="E10965" s="10">
        <v>2980816</v>
      </c>
      <c r="F10965" s="4" t="str">
        <f>IF(B10965=B10964,"",B10965)</f>
        <v/>
      </c>
    </row>
    <row r="10966" spans="1:6" ht="15.75" customHeight="1">
      <c r="A10966" s="5" t="str">
        <f ca="1">IFERROR(__xludf.DUMMYFUNCTION("GOOGLETRANSLATE(B29809,""en"",""pt"")"),"Saint-dié-des-Vosges")</f>
        <v>Saint-dié-des-Vosges</v>
      </c>
      <c r="B10966" s="17" t="s">
        <v>32565</v>
      </c>
      <c r="C10966" s="17" t="s">
        <v>7052</v>
      </c>
      <c r="D10966" s="17" t="s">
        <v>7061</v>
      </c>
      <c r="E10966" s="10">
        <v>2980827</v>
      </c>
      <c r="F10966" s="4" t="str">
        <f>IF(B10966=B10965,"",B10966)</f>
        <v>Saint-Dié-des-Vosges</v>
      </c>
    </row>
    <row r="10967" spans="1:6" ht="15.75" customHeight="1">
      <c r="A10967" s="5" t="s">
        <v>7746</v>
      </c>
      <c r="B10967" s="6" t="s">
        <v>7747</v>
      </c>
      <c r="C10967" s="5" t="s">
        <v>7052</v>
      </c>
      <c r="D10967" s="5" t="s">
        <v>7061</v>
      </c>
      <c r="E10967" s="2">
        <v>2980827</v>
      </c>
      <c r="F10967" s="4" t="str">
        <f>IF(B10967=B10966,"",B10967)</f>
        <v>Saint-DiÃ©-des-Vosges</v>
      </c>
    </row>
    <row r="10968" spans="1:6" ht="15.75" customHeight="1">
      <c r="A10968" s="5" t="s">
        <v>7744</v>
      </c>
      <c r="B10968" s="6" t="s">
        <v>7745</v>
      </c>
      <c r="C10968" s="5" t="s">
        <v>7052</v>
      </c>
      <c r="D10968" s="5" t="s">
        <v>7058</v>
      </c>
      <c r="E10968" s="2">
        <v>2980916</v>
      </c>
      <c r="F10968" s="4" t="str">
        <f>IF(B10968=B10967,"",B10968)</f>
        <v>Saint-Denis</v>
      </c>
    </row>
    <row r="10969" spans="1:6" ht="15.75" customHeight="1">
      <c r="A10969" s="5" t="s">
        <v>7744</v>
      </c>
      <c r="B10969" s="6" t="s">
        <v>7745</v>
      </c>
      <c r="C10969" s="5" t="s">
        <v>21810</v>
      </c>
      <c r="D10969" s="5" t="s">
        <v>21811</v>
      </c>
      <c r="E10969" s="2">
        <v>935264</v>
      </c>
      <c r="F10969" s="4" t="str">
        <f>IF(B10969=B10968,"",B10969)</f>
        <v/>
      </c>
    </row>
    <row r="10970" spans="1:6" ht="15.75" customHeight="1">
      <c r="A10970" s="5" t="str">
        <f ca="1">IFERROR(__xludf.DUMMYFUNCTION("GOOGLETRANSLATE(B29810,""en"",""pt"")"),"Saint-denis")</f>
        <v>Saint-denis</v>
      </c>
      <c r="B10970" s="17" t="s">
        <v>7745</v>
      </c>
      <c r="C10970" s="17" t="s">
        <v>7052</v>
      </c>
      <c r="D10970" s="17" t="s">
        <v>32531</v>
      </c>
      <c r="E10970" s="10">
        <v>2980916</v>
      </c>
      <c r="F10970" s="4" t="str">
        <f>IF(B10970=B10969,"",B10970)</f>
        <v/>
      </c>
    </row>
    <row r="10971" spans="1:6" ht="15.75" customHeight="1">
      <c r="A10971" s="5" t="str">
        <f ca="1">IFERROR(__xludf.DUMMYFUNCTION("GOOGLETRANSLATE(B39715,""en"",""pt"")"),"Saint-denis")</f>
        <v>Saint-denis</v>
      </c>
      <c r="B10971" s="17" t="s">
        <v>7745</v>
      </c>
      <c r="C10971" s="17" t="s">
        <v>21810</v>
      </c>
      <c r="D10971" s="17" t="s">
        <v>35327</v>
      </c>
      <c r="E10971" s="10">
        <v>935264</v>
      </c>
      <c r="F10971" s="4" t="str">
        <f>IF(B10971=B10970,"",B10971)</f>
        <v/>
      </c>
    </row>
    <row r="10972" spans="1:6" ht="15.75" customHeight="1">
      <c r="A10972" s="5" t="s">
        <v>7743</v>
      </c>
      <c r="B10972" s="6" t="s">
        <v>7743</v>
      </c>
      <c r="C10972" s="5" t="s">
        <v>7052</v>
      </c>
      <c r="D10972" s="5" t="s">
        <v>3813</v>
      </c>
      <c r="E10972" s="2">
        <v>2980935</v>
      </c>
      <c r="F10972" s="4" t="str">
        <f>IF(B10972=B10971,"",B10972)</f>
        <v>Saint-Cyr-sur-Loire</v>
      </c>
    </row>
    <row r="10973" spans="1:6" ht="15.75" customHeight="1">
      <c r="A10973" s="5" t="str">
        <f ca="1">IFERROR(__xludf.DUMMYFUNCTION("GOOGLETRANSLATE(B29811,""en"",""pt"")"),"Saint-Cyr-sur-Loire")</f>
        <v>Saint-Cyr-sur-Loire</v>
      </c>
      <c r="B10973" s="17" t="s">
        <v>7743</v>
      </c>
      <c r="C10973" s="17" t="s">
        <v>7052</v>
      </c>
      <c r="D10973" s="17" t="s">
        <v>3813</v>
      </c>
      <c r="E10973" s="10">
        <v>2980935</v>
      </c>
      <c r="F10973" s="4" t="str">
        <f>IF(B10973=B10972,"",B10973)</f>
        <v/>
      </c>
    </row>
    <row r="10974" spans="1:6" ht="15.75" customHeight="1">
      <c r="A10974" s="5" t="s">
        <v>7741</v>
      </c>
      <c r="B10974" s="6" t="s">
        <v>7742</v>
      </c>
      <c r="C10974" s="5" t="s">
        <v>7052</v>
      </c>
      <c r="D10974" s="5" t="s">
        <v>7058</v>
      </c>
      <c r="E10974" s="2">
        <v>2980942</v>
      </c>
      <c r="F10974" s="4" t="str">
        <f>IF(B10974=B10973,"",B10974)</f>
        <v>Saint-Cyr-lâ€™Ã‰cole</v>
      </c>
    </row>
    <row r="10975" spans="1:6" ht="15.75" customHeight="1">
      <c r="A10975" s="5" t="str">
        <f ca="1">IFERROR(__xludf.DUMMYFUNCTION("GOOGLETRANSLATE(B29812,""en"",""pt"")"),"Saint-Cyr-L'école")</f>
        <v>Saint-Cyr-L'école</v>
      </c>
      <c r="B10975" s="17" t="s">
        <v>32566</v>
      </c>
      <c r="C10975" s="17" t="s">
        <v>7052</v>
      </c>
      <c r="D10975" s="17" t="s">
        <v>32531</v>
      </c>
      <c r="E10975" s="10">
        <v>2980942</v>
      </c>
      <c r="F10975" s="4" t="str">
        <f>IF(B10975=B10974,"",B10975)</f>
        <v>Saint-Cyr-l’École</v>
      </c>
    </row>
    <row r="10976" spans="1:6" ht="15.75" customHeight="1">
      <c r="A10976" s="5" t="s">
        <v>4175</v>
      </c>
      <c r="B10976" s="6" t="s">
        <v>4175</v>
      </c>
      <c r="C10976" s="5" t="s">
        <v>3975</v>
      </c>
      <c r="D10976" s="5" t="s">
        <v>3982</v>
      </c>
      <c r="E10976" s="2">
        <v>6137633</v>
      </c>
      <c r="F10976" s="4" t="str">
        <f>IF(B10976=B10975,"",B10976)</f>
        <v>Saint-Constant</v>
      </c>
    </row>
    <row r="10977" spans="1:6" ht="15.75" customHeight="1">
      <c r="A10977" s="5" t="str">
        <f ca="1">IFERROR(__xludf.DUMMYFUNCTION("GOOGLETRANSLATE(B25565,""en"",""pt"")"),"Saint-Constant")</f>
        <v>Saint-Constant</v>
      </c>
      <c r="B10977" s="17" t="s">
        <v>4175</v>
      </c>
      <c r="C10977" s="17" t="s">
        <v>3975</v>
      </c>
      <c r="D10977" s="17" t="s">
        <v>3982</v>
      </c>
      <c r="E10977" s="10">
        <v>6137633</v>
      </c>
      <c r="F10977" s="4" t="str">
        <f>IF(B10977=B10976,"",B10977)</f>
        <v/>
      </c>
    </row>
    <row r="10978" spans="1:6" ht="15.75" customHeight="1">
      <c r="A10978" s="5" t="s">
        <v>7739</v>
      </c>
      <c r="B10978" s="6" t="s">
        <v>7740</v>
      </c>
      <c r="C10978" s="5" t="s">
        <v>7052</v>
      </c>
      <c r="D10978" s="5" t="s">
        <v>7058</v>
      </c>
      <c r="E10978" s="2">
        <v>2981041</v>
      </c>
      <c r="F10978" s="4" t="str">
        <f>IF(B10978=B10977,"",B10978)</f>
        <v>Saint-Cloud</v>
      </c>
    </row>
    <row r="10979" spans="1:6" ht="15.75" customHeight="1">
      <c r="A10979" s="5" t="str">
        <f ca="1">IFERROR(__xludf.DUMMYFUNCTION("GOOGLETRANSLATE(B29813,""en"",""pt"")"),"Saint-cloud")</f>
        <v>Saint-cloud</v>
      </c>
      <c r="B10979" s="17" t="s">
        <v>7740</v>
      </c>
      <c r="C10979" s="17" t="s">
        <v>7052</v>
      </c>
      <c r="D10979" s="17" t="s">
        <v>32531</v>
      </c>
      <c r="E10979" s="10">
        <v>2981041</v>
      </c>
      <c r="F10979" s="4" t="str">
        <f>IF(B10979=B10978,"",B10979)</f>
        <v/>
      </c>
    </row>
    <row r="10980" spans="1:6" ht="15.75" customHeight="1">
      <c r="A10980" s="5" t="s">
        <v>7738</v>
      </c>
      <c r="B10980" s="6" t="s">
        <v>7738</v>
      </c>
      <c r="C10980" s="5" t="s">
        <v>7052</v>
      </c>
      <c r="D10980" s="5" t="s">
        <v>7053</v>
      </c>
      <c r="E10980" s="2">
        <v>2981206</v>
      </c>
      <c r="F10980" s="4" t="str">
        <f>IF(B10980=B10979,"",B10980)</f>
        <v>Saint-Chamond</v>
      </c>
    </row>
    <row r="10981" spans="1:6" ht="15.75" customHeight="1">
      <c r="A10981" s="5" t="str">
        <f ca="1">IFERROR(__xludf.DUMMYFUNCTION("GOOGLETRANSLATE(B29814,""en"",""pt"")"),"Saint-Chamond")</f>
        <v>Saint-Chamond</v>
      </c>
      <c r="B10981" s="17" t="s">
        <v>7738</v>
      </c>
      <c r="C10981" s="17" t="s">
        <v>7052</v>
      </c>
      <c r="D10981" s="17" t="s">
        <v>32532</v>
      </c>
      <c r="E10981" s="10">
        <v>2981206</v>
      </c>
      <c r="F10981" s="4" t="str">
        <f>IF(B10981=B10980,"",B10981)</f>
        <v/>
      </c>
    </row>
    <row r="10982" spans="1:6" ht="15.75" customHeight="1">
      <c r="A10982" s="5" t="s">
        <v>4173</v>
      </c>
      <c r="B10982" s="6" t="s">
        <v>4174</v>
      </c>
      <c r="C10982" s="5" t="s">
        <v>3975</v>
      </c>
      <c r="D10982" s="5" t="s">
        <v>3982</v>
      </c>
      <c r="E10982" s="2">
        <v>6137540</v>
      </c>
      <c r="F10982" s="4" t="str">
        <f>IF(B10982=B10981,"",B10982)</f>
        <v>Saint-Bruno-de-Montarville</v>
      </c>
    </row>
    <row r="10983" spans="1:6" ht="15.75" customHeight="1">
      <c r="A10983" s="5" t="str">
        <f ca="1">IFERROR(__xludf.DUMMYFUNCTION("GOOGLETRANSLATE(B25564,""en"",""pt"")"),"Saint-Bruno-de Montarville")</f>
        <v>Saint-Bruno-de Montarville</v>
      </c>
      <c r="B10983" s="17" t="s">
        <v>4174</v>
      </c>
      <c r="C10983" s="17" t="s">
        <v>3975</v>
      </c>
      <c r="D10983" s="17" t="s">
        <v>3982</v>
      </c>
      <c r="E10983" s="10">
        <v>6137540</v>
      </c>
      <c r="F10983" s="4" t="str">
        <f>IF(B10983=B10982,"",B10983)</f>
        <v/>
      </c>
    </row>
    <row r="10984" spans="1:6" ht="15.75" customHeight="1">
      <c r="A10984" s="5" t="s">
        <v>7737</v>
      </c>
      <c r="B10984" s="6" t="s">
        <v>7737</v>
      </c>
      <c r="C10984" s="5" t="s">
        <v>7052</v>
      </c>
      <c r="D10984" s="5" t="s">
        <v>7190</v>
      </c>
      <c r="E10984" s="2">
        <v>2981280</v>
      </c>
      <c r="F10984" s="4" t="str">
        <f>IF(B10984=B10983,"",B10984)</f>
        <v>Saint-Brieuc</v>
      </c>
    </row>
    <row r="10985" spans="1:6" ht="15.75" customHeight="1">
      <c r="A10985" s="5" t="str">
        <f ca="1">IFERROR(__xludf.DUMMYFUNCTION("GOOGLETRANSLATE(B29815,""en"",""pt"")"),"Saint-Brieuc")</f>
        <v>Saint-Brieuc</v>
      </c>
      <c r="B10985" s="17" t="s">
        <v>7737</v>
      </c>
      <c r="C10985" s="17" t="s">
        <v>7052</v>
      </c>
      <c r="D10985" s="17" t="s">
        <v>7190</v>
      </c>
      <c r="E10985" s="10">
        <v>2981280</v>
      </c>
      <c r="F10985" s="4" t="str">
        <f>IF(B10985=B10984,"",B10985)</f>
        <v/>
      </c>
    </row>
    <row r="10986" spans="1:6" ht="15.75" customHeight="1">
      <c r="A10986" s="5" t="str">
        <f ca="1">IFERROR(__xludf.DUMMYFUNCTION("GOOGLETRANSLATE(B39716,""en"",""pt"")"),"Saint-benoît")</f>
        <v>Saint-benoît</v>
      </c>
      <c r="B10986" s="17" t="s">
        <v>35328</v>
      </c>
      <c r="C10986" s="17" t="s">
        <v>21810</v>
      </c>
      <c r="D10986" s="17" t="s">
        <v>35327</v>
      </c>
      <c r="E10986" s="10">
        <v>935267</v>
      </c>
      <c r="F10986" s="4" t="str">
        <f>IF(B10986=B10985,"",B10986)</f>
        <v>Saint-Benoît</v>
      </c>
    </row>
    <row r="10987" spans="1:6" ht="15.75" customHeight="1">
      <c r="A10987" s="5" t="s">
        <v>21817</v>
      </c>
      <c r="B10987" s="6" t="s">
        <v>21818</v>
      </c>
      <c r="C10987" s="5" t="s">
        <v>21810</v>
      </c>
      <c r="D10987" s="5" t="s">
        <v>21811</v>
      </c>
      <c r="E10987" s="2">
        <v>935267</v>
      </c>
      <c r="F10987" s="4" t="str">
        <f>IF(B10987=B10986,"",B10987)</f>
        <v>Saint-BenoÃ®t</v>
      </c>
    </row>
    <row r="10988" spans="1:6" ht="15.75" customHeight="1">
      <c r="A10988" s="5" t="s">
        <v>4171</v>
      </c>
      <c r="B10988" s="6" t="s">
        <v>4172</v>
      </c>
      <c r="C10988" s="5" t="s">
        <v>3975</v>
      </c>
      <c r="D10988" s="5" t="s">
        <v>3982</v>
      </c>
      <c r="E10988" s="2">
        <v>6137489</v>
      </c>
      <c r="F10988" s="4" t="str">
        <f>IF(B10988=B10987,"",B10988)</f>
        <v>Saint-Basile-le-Grand</v>
      </c>
    </row>
    <row r="10989" spans="1:6" ht="15.75" customHeight="1">
      <c r="A10989" s="5" t="str">
        <f ca="1">IFERROR(__xludf.DUMMYFUNCTION("GOOGLETRANSLATE(B25563,""en"",""pt"")"),"Saint-Basile-L-Grend")</f>
        <v>Saint-Basile-L-Grend</v>
      </c>
      <c r="B10989" s="17" t="s">
        <v>4172</v>
      </c>
      <c r="C10989" s="17" t="s">
        <v>3975</v>
      </c>
      <c r="D10989" s="17" t="s">
        <v>3982</v>
      </c>
      <c r="E10989" s="10">
        <v>6137489</v>
      </c>
      <c r="F10989" s="4" t="str">
        <f>IF(B10989=B10988,"",B10989)</f>
        <v/>
      </c>
    </row>
    <row r="10990" spans="1:6" ht="15.75" customHeight="1">
      <c r="A10990" s="5" t="s">
        <v>7736</v>
      </c>
      <c r="B10990" s="6" t="s">
        <v>7736</v>
      </c>
      <c r="C10990" s="5" t="s">
        <v>7052</v>
      </c>
      <c r="D10990" s="5" t="s">
        <v>7061</v>
      </c>
      <c r="E10990" s="2">
        <v>2981492</v>
      </c>
      <c r="F10990" s="4" t="str">
        <f>IF(B10990=B10989,"",B10990)</f>
        <v>Saint-Avold</v>
      </c>
    </row>
    <row r="10991" spans="1:6" ht="15.75" customHeight="1">
      <c r="A10991" s="5" t="str">
        <f ca="1">IFERROR(__xludf.DUMMYFUNCTION("GOOGLETRANSLATE(B29816,""en"",""pt"")"),"Saint-Avold")</f>
        <v>Saint-Avold</v>
      </c>
      <c r="B10991" s="17" t="s">
        <v>7736</v>
      </c>
      <c r="C10991" s="17" t="s">
        <v>7052</v>
      </c>
      <c r="D10991" s="17" t="s">
        <v>7061</v>
      </c>
      <c r="E10991" s="10">
        <v>2981492</v>
      </c>
      <c r="F10991" s="4" t="str">
        <f>IF(B10991=B10990,"",B10991)</f>
        <v/>
      </c>
    </row>
    <row r="10992" spans="1:6" ht="15.75" customHeight="1">
      <c r="A10992" s="5" t="s">
        <v>7735</v>
      </c>
      <c r="B10992" s="6" t="s">
        <v>7735</v>
      </c>
      <c r="C10992" s="5" t="s">
        <v>7052</v>
      </c>
      <c r="D10992" s="5" t="s">
        <v>3813</v>
      </c>
      <c r="E10992" s="2">
        <v>2981512</v>
      </c>
      <c r="F10992" s="4" t="str">
        <f>IF(B10992=B10991,"",B10992)</f>
        <v>Saint-Avertin</v>
      </c>
    </row>
    <row r="10993" spans="1:6" ht="15.75" customHeight="1">
      <c r="A10993" s="5" t="str">
        <f ca="1">IFERROR(__xludf.DUMMYFUNCTION("GOOGLETRANSLATE(B29817,""en"",""pt"")"),"Saint-Avertin")</f>
        <v>Saint-Avertin</v>
      </c>
      <c r="B10993" s="17" t="s">
        <v>7735</v>
      </c>
      <c r="C10993" s="17" t="s">
        <v>7052</v>
      </c>
      <c r="D10993" s="17" t="s">
        <v>3813</v>
      </c>
      <c r="E10993" s="10">
        <v>2981512</v>
      </c>
      <c r="F10993" s="4" t="str">
        <f>IF(B10993=B10992,"",B10993)</f>
        <v/>
      </c>
    </row>
    <row r="10994" spans="1:6" ht="15.75" customHeight="1">
      <c r="A10994" s="5" t="s">
        <v>4169</v>
      </c>
      <c r="B10994" s="6" t="s">
        <v>4170</v>
      </c>
      <c r="C10994" s="5" t="s">
        <v>3975</v>
      </c>
      <c r="D10994" s="5" t="s">
        <v>3982</v>
      </c>
      <c r="E10994" s="2">
        <v>7535681</v>
      </c>
      <c r="F10994" s="4" t="str">
        <f>IF(B10994=B10993,"",B10994)</f>
        <v>Saint-Augustin-de-Desmaures</v>
      </c>
    </row>
    <row r="10995" spans="1:6" ht="15.75" customHeight="1">
      <c r="A10995" s="5" t="str">
        <f ca="1">IFERROR(__xludf.DUMMYFUNCTION("GOOGLETRANSLATE(B25636,""en"",""pt"")"),"Saint-Augustin-De-DeSmaures")</f>
        <v>Saint-Augustin-De-DeSmaures</v>
      </c>
      <c r="B10995" s="17" t="s">
        <v>4170</v>
      </c>
      <c r="C10995" s="17" t="s">
        <v>3975</v>
      </c>
      <c r="D10995" s="17" t="s">
        <v>3982</v>
      </c>
      <c r="E10995" s="10">
        <v>7535681</v>
      </c>
      <c r="F10995" s="4" t="str">
        <f>IF(B10995=B10994,"",B10995)</f>
        <v/>
      </c>
    </row>
    <row r="10996" spans="1:6" ht="15.75" customHeight="1">
      <c r="A10996" s="5" t="str">
        <f ca="1">IFERROR(__xludf.DUMMYFUNCTION("GOOGLETRANSLATE(B39717,""en"",""pt"")"),"Saint-André")</f>
        <v>Saint-André</v>
      </c>
      <c r="B10996" s="17" t="s">
        <v>21815</v>
      </c>
      <c r="C10996" s="17" t="s">
        <v>21810</v>
      </c>
      <c r="D10996" s="17" t="s">
        <v>35327</v>
      </c>
      <c r="E10996" s="10">
        <v>935268</v>
      </c>
      <c r="F10996" s="4" t="str">
        <f>IF(B10996=B10995,"",B10996)</f>
        <v>Saint-André</v>
      </c>
    </row>
    <row r="10997" spans="1:6" ht="15.75" customHeight="1">
      <c r="A10997" s="5" t="s">
        <v>21815</v>
      </c>
      <c r="B10997" s="6" t="s">
        <v>21816</v>
      </c>
      <c r="C10997" s="5" t="s">
        <v>21810</v>
      </c>
      <c r="D10997" s="5" t="s">
        <v>21811</v>
      </c>
      <c r="E10997" s="2">
        <v>935268</v>
      </c>
      <c r="F10997" s="4" t="str">
        <f>IF(B10997=B10996,"",B10997)</f>
        <v>Saint-AndrÃ©</v>
      </c>
    </row>
    <row r="10998" spans="1:6" ht="15.75" customHeight="1">
      <c r="A10998" s="5" t="s">
        <v>7733</v>
      </c>
      <c r="B10998" s="6" t="s">
        <v>7734</v>
      </c>
      <c r="C10998" s="5" t="s">
        <v>7052</v>
      </c>
      <c r="D10998" s="5" t="s">
        <v>7078</v>
      </c>
      <c r="E10998" s="2">
        <v>2981839</v>
      </c>
      <c r="F10998" s="4" t="str">
        <f>IF(B10998=B10997,"",B10998)</f>
        <v>Saint-Amand-les-Eaux</v>
      </c>
    </row>
    <row r="10999" spans="1:6" ht="15.75" customHeight="1">
      <c r="A10999" s="5" t="str">
        <f ca="1">IFERROR(__xludf.DUMMYFUNCTION("GOOGLETRANSLATE(B29818,""en"",""pt"")"),"Saint-Amand-les-Eax")</f>
        <v>Saint-Amand-les-Eax</v>
      </c>
      <c r="B10999" s="17" t="s">
        <v>7734</v>
      </c>
      <c r="C10999" s="17" t="s">
        <v>7052</v>
      </c>
      <c r="D10999" s="17" t="s">
        <v>7078</v>
      </c>
      <c r="E10999" s="10">
        <v>2981839</v>
      </c>
      <c r="F10999" s="4" t="str">
        <f>IF(B10999=B10998,"",B10999)</f>
        <v/>
      </c>
    </row>
    <row r="11000" spans="1:6" ht="15.75" customHeight="1">
      <c r="A11000" s="5" t="s">
        <v>7731</v>
      </c>
      <c r="B11000" s="6" t="s">
        <v>7732</v>
      </c>
      <c r="C11000" s="5" t="s">
        <v>7052</v>
      </c>
      <c r="D11000" s="5" t="s">
        <v>7068</v>
      </c>
      <c r="E11000" s="2">
        <v>2980236</v>
      </c>
      <c r="F11000" s="4" t="str">
        <f>IF(B11000=B10999,"",B11000)</f>
        <v>Saint-Ã‰tienne-du-Rouvray</v>
      </c>
    </row>
    <row r="11001" spans="1:6" ht="15.75" customHeight="1">
      <c r="A11001" s="5" t="s">
        <v>7729</v>
      </c>
      <c r="B11001" s="6" t="s">
        <v>7730</v>
      </c>
      <c r="C11001" s="5" t="s">
        <v>7052</v>
      </c>
      <c r="D11001" s="5" t="s">
        <v>7053</v>
      </c>
      <c r="E11001" s="2">
        <v>2980291</v>
      </c>
      <c r="F11001" s="4" t="str">
        <f>IF(B11001=B11000,"",B11001)</f>
        <v>Saint-Ã‰tienne</v>
      </c>
    </row>
    <row r="11002" spans="1:6" ht="15.75" customHeight="1">
      <c r="A11002" s="6" t="s">
        <v>7727</v>
      </c>
      <c r="B11002" s="6" t="s">
        <v>7728</v>
      </c>
      <c r="C11002" s="6" t="s">
        <v>7052</v>
      </c>
      <c r="D11002" s="6" t="s">
        <v>7053</v>
      </c>
      <c r="E11002" s="2">
        <v>2980636</v>
      </c>
      <c r="F11002" s="4" t="str">
        <f>IF(B11002=B11001,"",B11002)</f>
        <v>Saint-Ã‰grÃ¨ve</v>
      </c>
    </row>
    <row r="11003" spans="1:6" ht="15.75" customHeight="1">
      <c r="A11003" s="5" t="s">
        <v>13204</v>
      </c>
      <c r="B11003" s="6" t="s">
        <v>13204</v>
      </c>
      <c r="C11003" s="5" t="s">
        <v>10178</v>
      </c>
      <c r="D11003" s="5" t="s">
        <v>10196</v>
      </c>
      <c r="E11003" s="2">
        <v>1257749</v>
      </c>
      <c r="F11003" s="4" t="str">
        <f>IF(B11003=B11002,"",B11003)</f>
        <v>Saint Thomas Mount</v>
      </c>
    </row>
    <row r="11004" spans="1:6" ht="15.75" customHeight="1">
      <c r="A11004" s="5" t="str">
        <f ca="1">IFERROR(__xludf.DUMMYFUNCTION("GOOGLETRANSLATE(B32272,""en"",""pt"")"),"Saint Thomas Monte")</f>
        <v>Saint Thomas Monte</v>
      </c>
      <c r="B11004" s="17" t="s">
        <v>13204</v>
      </c>
      <c r="C11004" s="17" t="s">
        <v>10178</v>
      </c>
      <c r="D11004" s="17" t="s">
        <v>10196</v>
      </c>
      <c r="E11004" s="10">
        <v>1257749</v>
      </c>
      <c r="F11004" s="4" t="str">
        <f>IF(B11004=B11003,"",B11004)</f>
        <v/>
      </c>
    </row>
    <row r="11005" spans="1:6" ht="15.75" customHeight="1">
      <c r="A11005" s="5" t="s">
        <v>17696</v>
      </c>
      <c r="B11005" s="6" t="s">
        <v>17696</v>
      </c>
      <c r="C11005" s="5" t="s">
        <v>17678</v>
      </c>
      <c r="D11005" s="5" t="s">
        <v>17697</v>
      </c>
      <c r="E11005" s="2">
        <v>934032</v>
      </c>
      <c r="F11005" s="4" t="str">
        <f>IF(B11005=B11004,"",B11005)</f>
        <v>Saint Pierre</v>
      </c>
    </row>
    <row r="11006" spans="1:6" ht="15.75" customHeight="1">
      <c r="A11006" s="5" t="str">
        <f ca="1">IFERROR(__xludf.DUMMYFUNCTION("GOOGLETRANSLATE(B36814,""en"",""pt"")"),"Saint Pierre")</f>
        <v>Saint Pierre</v>
      </c>
      <c r="B11006" s="17" t="s">
        <v>17696</v>
      </c>
      <c r="C11006" s="17" t="s">
        <v>17678</v>
      </c>
      <c r="D11006" s="17" t="s">
        <v>17697</v>
      </c>
      <c r="E11006" s="10">
        <v>934032</v>
      </c>
      <c r="F11006" s="4" t="str">
        <f>IF(B11006=B11005,"",B11006)</f>
        <v/>
      </c>
    </row>
    <row r="11007" spans="1:6" ht="15.75" customHeight="1">
      <c r="A11007" s="5" t="s">
        <v>23022</v>
      </c>
      <c r="B11007" s="6" t="s">
        <v>23023</v>
      </c>
      <c r="C11007" s="5" t="s">
        <v>22070</v>
      </c>
      <c r="D11007" s="5" t="s">
        <v>22084</v>
      </c>
      <c r="E11007" s="2">
        <v>498817</v>
      </c>
      <c r="F11007" s="4" t="str">
        <f>IF(B11007=B11006,"",B11007)</f>
        <v>Saint Petersburg</v>
      </c>
    </row>
    <row r="11008" spans="1:6" ht="15.75" customHeight="1">
      <c r="A11008" s="5" t="s">
        <v>23022</v>
      </c>
      <c r="B11008" s="6" t="s">
        <v>23023</v>
      </c>
      <c r="C11008" s="5" t="s">
        <v>27788</v>
      </c>
      <c r="D11008" s="5" t="s">
        <v>5468</v>
      </c>
      <c r="E11008" s="2">
        <v>4171563</v>
      </c>
      <c r="F11008" s="4" t="str">
        <f>IF(B11008=B11007,"",B11008)</f>
        <v/>
      </c>
    </row>
    <row r="11009" spans="1:6" ht="15.75" customHeight="1">
      <c r="A11009" s="5" t="str">
        <f ca="1">IFERROR(__xludf.DUMMYFUNCTION("GOOGLETRANSLATE(B40139,""en"",""pt"")"),"São Petersburgo")</f>
        <v>São Petersburgo</v>
      </c>
      <c r="B11009" s="17" t="s">
        <v>23023</v>
      </c>
      <c r="C11009" s="17" t="s">
        <v>22070</v>
      </c>
      <c r="D11009" s="17" t="s">
        <v>22084</v>
      </c>
      <c r="E11009" s="10">
        <v>498817</v>
      </c>
      <c r="F11009" s="4" t="str">
        <f>IF(B11009=B11008,"",B11009)</f>
        <v/>
      </c>
    </row>
    <row r="11010" spans="1:6" ht="15.75" customHeight="1">
      <c r="A11010" s="5" t="str">
        <f ca="1">IFERROR(__xludf.DUMMYFUNCTION("GOOGLETRANSLATE(B43010,""en"",""pt"")"),"São Petersburgo")</f>
        <v>São Petersburgo</v>
      </c>
      <c r="B11010" s="17" t="s">
        <v>23023</v>
      </c>
      <c r="C11010" s="17" t="s">
        <v>27788</v>
      </c>
      <c r="D11010" s="17" t="s">
        <v>5468</v>
      </c>
      <c r="E11010" s="10">
        <v>4171563</v>
      </c>
      <c r="F11010" s="4" t="str">
        <f>IF(B11010=B11009,"",B11010)</f>
        <v/>
      </c>
    </row>
    <row r="11011" spans="1:6" ht="15.75" customHeight="1">
      <c r="A11011" s="5" t="s">
        <v>29882</v>
      </c>
      <c r="B11011" s="6" t="s">
        <v>29883</v>
      </c>
      <c r="C11011" s="5" t="s">
        <v>27788</v>
      </c>
      <c r="D11011" s="5" t="s">
        <v>27806</v>
      </c>
      <c r="E11011" s="2">
        <v>4407237</v>
      </c>
      <c r="F11011" s="4" t="str">
        <f>IF(B11011=B11010,"",B11011)</f>
        <v>Saint Peters</v>
      </c>
    </row>
    <row r="11012" spans="1:6" ht="15.75" customHeight="1">
      <c r="A11012" s="5" t="str">
        <f ca="1">IFERROR(__xludf.DUMMYFUNCTION("GOOGLETRANSLATE(B43389,""en"",""pt"")"),"São Peters")</f>
        <v>São Peters</v>
      </c>
      <c r="B11012" s="17" t="s">
        <v>29883</v>
      </c>
      <c r="C11012" s="17" t="s">
        <v>27788</v>
      </c>
      <c r="D11012" s="17" t="s">
        <v>27806</v>
      </c>
      <c r="E11012" s="10">
        <v>4407237</v>
      </c>
      <c r="F11012" s="4" t="str">
        <f>IF(B11012=B11011,"",B11012)</f>
        <v/>
      </c>
    </row>
    <row r="11013" spans="1:6" ht="15.75" customHeight="1">
      <c r="A11013" s="5" t="s">
        <v>9821</v>
      </c>
      <c r="B11013" s="6" t="s">
        <v>9821</v>
      </c>
      <c r="C11013" s="5" t="s">
        <v>9822</v>
      </c>
      <c r="D11013" s="5" t="s">
        <v>9823</v>
      </c>
      <c r="E11013" s="2">
        <v>3042287</v>
      </c>
      <c r="F11013" s="4" t="str">
        <f>IF(B11013=B11012,"",B11013)</f>
        <v>Saint Peter Port</v>
      </c>
    </row>
    <row r="11014" spans="1:6" ht="15.75" customHeight="1">
      <c r="A11014" s="5" t="str">
        <f ca="1">IFERROR(__xludf.DUMMYFUNCTION("GOOGLETRANSLATE(B30855,""en"",""pt"")"),"Saint Peter Port")</f>
        <v>Saint Peter Port</v>
      </c>
      <c r="B11014" s="17" t="s">
        <v>9821</v>
      </c>
      <c r="C11014" s="17" t="s">
        <v>9822</v>
      </c>
      <c r="D11014" s="17" t="s">
        <v>9823</v>
      </c>
      <c r="E11014" s="10">
        <v>3042287</v>
      </c>
      <c r="F11014" s="4" t="str">
        <f>IF(B11014=B11013,"",B11014)</f>
        <v/>
      </c>
    </row>
    <row r="11015" spans="1:6" ht="15.75" customHeight="1">
      <c r="A11015" s="6" t="s">
        <v>3354</v>
      </c>
      <c r="B11015" s="6" t="s">
        <v>29881</v>
      </c>
      <c r="C11015" s="6" t="s">
        <v>27788</v>
      </c>
      <c r="D11015" s="6" t="s">
        <v>27824</v>
      </c>
      <c r="E11015" s="2">
        <v>5045360</v>
      </c>
      <c r="F11015" s="4" t="str">
        <f>IF(B11015=B11014,"",B11015)</f>
        <v>Saint Paul</v>
      </c>
    </row>
    <row r="11016" spans="1:6" ht="15.75" customHeight="1">
      <c r="A11016" s="5" t="str">
        <f ca="1">IFERROR(__xludf.DUMMYFUNCTION("GOOGLETRANSLATE(B44196,""en"",""pt"")"),"São Paulo")</f>
        <v>São Paulo</v>
      </c>
      <c r="B11016" s="17" t="s">
        <v>29881</v>
      </c>
      <c r="C11016" s="17" t="s">
        <v>27788</v>
      </c>
      <c r="D11016" s="17" t="s">
        <v>27824</v>
      </c>
      <c r="E11016" s="10">
        <v>5045360</v>
      </c>
      <c r="F11016" s="4" t="str">
        <f>IF(B11016=B11015,"",B11016)</f>
        <v/>
      </c>
    </row>
    <row r="11017" spans="1:6" ht="15.75" customHeight="1">
      <c r="A11017" s="5" t="s">
        <v>27660</v>
      </c>
      <c r="B11017" s="6" t="s">
        <v>27660</v>
      </c>
      <c r="C11017" s="5" t="s">
        <v>27234</v>
      </c>
      <c r="D11017" s="5" t="s">
        <v>27241</v>
      </c>
      <c r="E11017" s="2">
        <v>2638717</v>
      </c>
      <c r="F11017" s="4" t="str">
        <f>IF(B11017=B11016,"",B11017)</f>
        <v>Saint Neots</v>
      </c>
    </row>
    <row r="11018" spans="1:6" ht="15.75" customHeight="1">
      <c r="A11018" s="5" t="str">
        <f ca="1">IFERROR(__xludf.DUMMYFUNCTION("GOOGLETRANSLATE(B30422,""en"",""pt"")"),"Saint Neots")</f>
        <v>Saint Neots</v>
      </c>
      <c r="B11018" s="17" t="s">
        <v>27660</v>
      </c>
      <c r="C11018" s="17" t="s">
        <v>27234</v>
      </c>
      <c r="D11018" s="17" t="s">
        <v>27241</v>
      </c>
      <c r="E11018" s="10">
        <v>2638717</v>
      </c>
      <c r="F11018" s="4" t="str">
        <f>IF(B11018=B11017,"",B11018)</f>
        <v/>
      </c>
    </row>
    <row r="11019" spans="1:6" ht="15.75" customHeight="1">
      <c r="A11019" s="5" t="s">
        <v>29880</v>
      </c>
      <c r="B11019" s="6" t="s">
        <v>1451</v>
      </c>
      <c r="C11019" s="5" t="s">
        <v>27788</v>
      </c>
      <c r="D11019" s="5" t="s">
        <v>27824</v>
      </c>
      <c r="E11019" s="2">
        <v>5045258</v>
      </c>
      <c r="F11019" s="4" t="str">
        <f>IF(B11019=B11018,"",B11019)</f>
        <v>Saint Michael</v>
      </c>
    </row>
    <row r="11020" spans="1:6" ht="15.75" customHeight="1">
      <c r="A11020" s="5" t="str">
        <f ca="1">IFERROR(__xludf.DUMMYFUNCTION("GOOGLETRANSLATE(B44195,""en"",""pt"")"),"Santo Michael")</f>
        <v>Santo Michael</v>
      </c>
      <c r="B11020" s="17" t="s">
        <v>1451</v>
      </c>
      <c r="C11020" s="17" t="s">
        <v>27788</v>
      </c>
      <c r="D11020" s="17" t="s">
        <v>27824</v>
      </c>
      <c r="E11020" s="10">
        <v>5045258</v>
      </c>
      <c r="F11020" s="4" t="str">
        <f>IF(B11020=B11019,"",B11020)</f>
        <v/>
      </c>
    </row>
    <row r="11021" spans="1:6" ht="15.75" customHeight="1">
      <c r="A11021" s="5" t="s">
        <v>29879</v>
      </c>
      <c r="B11021" s="6" t="s">
        <v>29879</v>
      </c>
      <c r="C11021" s="5" t="s">
        <v>27788</v>
      </c>
      <c r="D11021" s="5" t="s">
        <v>27909</v>
      </c>
      <c r="E11021" s="2">
        <v>4307238</v>
      </c>
      <c r="F11021" s="4" t="str">
        <f>IF(B11021=B11020,"",B11021)</f>
        <v>Saint Matthews</v>
      </c>
    </row>
    <row r="11022" spans="1:6" ht="15.75" customHeight="1">
      <c r="A11022" s="5" t="str">
        <f ca="1">IFERROR(__xludf.DUMMYFUNCTION("GOOGLETRANSLATE(B43219,""en"",""pt"")"),"Saint Matthews")</f>
        <v>Saint Matthews</v>
      </c>
      <c r="B11022" s="17" t="s">
        <v>29879</v>
      </c>
      <c r="C11022" s="17" t="s">
        <v>27788</v>
      </c>
      <c r="D11022" s="17" t="s">
        <v>27909</v>
      </c>
      <c r="E11022" s="10">
        <v>4307238</v>
      </c>
      <c r="F11022" s="4" t="str">
        <f>IF(B11022=B11021,"",B11022)</f>
        <v/>
      </c>
    </row>
    <row r="11023" spans="1:6" ht="15.75" customHeight="1">
      <c r="A11023" s="5" t="s">
        <v>29878</v>
      </c>
      <c r="B11023" s="6" t="s">
        <v>29878</v>
      </c>
      <c r="C11023" s="5" t="s">
        <v>27788</v>
      </c>
      <c r="D11023" s="5" t="s">
        <v>27824</v>
      </c>
      <c r="E11023" s="2">
        <v>5045021</v>
      </c>
      <c r="F11023" s="4" t="str">
        <f>IF(B11023=B11022,"",B11023)</f>
        <v>Saint Louis Park</v>
      </c>
    </row>
    <row r="11024" spans="1:6" ht="15.75" customHeight="1">
      <c r="A11024" s="5" t="str">
        <f ca="1">IFERROR(__xludf.DUMMYFUNCTION("GOOGLETRANSLATE(B44194,""en"",""pt"")"),"Saint Louis Park")</f>
        <v>Saint Louis Park</v>
      </c>
      <c r="B11024" s="17" t="s">
        <v>29878</v>
      </c>
      <c r="C11024" s="17" t="s">
        <v>27788</v>
      </c>
      <c r="D11024" s="17" t="s">
        <v>27824</v>
      </c>
      <c r="E11024" s="10">
        <v>5045021</v>
      </c>
      <c r="F11024" s="4" t="str">
        <f>IF(B11024=B11023,"",B11024)</f>
        <v/>
      </c>
    </row>
    <row r="11025" spans="1:6" ht="15.75" customHeight="1">
      <c r="A11025" s="5" t="s">
        <v>1076</v>
      </c>
      <c r="B11025" s="6" t="s">
        <v>1076</v>
      </c>
      <c r="C11025" s="5" t="s">
        <v>885</v>
      </c>
      <c r="D11025" s="5" t="s">
        <v>827</v>
      </c>
      <c r="E11025" s="2">
        <v>2150660</v>
      </c>
      <c r="F11025" s="4" t="str">
        <f>IF(B11025=B11024,"",B11025)</f>
        <v>Saint Kilda</v>
      </c>
    </row>
    <row r="11026" spans="1:6" ht="15.75" customHeight="1">
      <c r="A11026" s="5" t="str">
        <f ca="1">IFERROR(__xludf.DUMMYFUNCTION("GOOGLETRANSLATE(B23454,""en"",""pt"")"),"Saint Kilda")</f>
        <v>Saint Kilda</v>
      </c>
      <c r="B11026" s="17" t="s">
        <v>1076</v>
      </c>
      <c r="C11026" s="17" t="s">
        <v>885</v>
      </c>
      <c r="D11026" s="17" t="s">
        <v>827</v>
      </c>
      <c r="E11026" s="10">
        <v>2150660</v>
      </c>
      <c r="F11026" s="4" t="str">
        <f>IF(B11026=B11025,"",B11026)</f>
        <v/>
      </c>
    </row>
    <row r="11027" spans="1:6" ht="15.75" customHeight="1">
      <c r="A11027" s="6" t="s">
        <v>29876</v>
      </c>
      <c r="B11027" s="6" t="s">
        <v>29877</v>
      </c>
      <c r="C11027" s="6" t="s">
        <v>27788</v>
      </c>
      <c r="D11027" s="6" t="s">
        <v>27806</v>
      </c>
      <c r="E11027" s="2">
        <v>4407010</v>
      </c>
      <c r="F11027" s="4" t="str">
        <f>IF(B11027=B11026,"",B11027)</f>
        <v>Saint Joseph</v>
      </c>
    </row>
    <row r="11028" spans="1:6" ht="15.75" customHeight="1">
      <c r="A11028" s="5" t="str">
        <f ca="1">IFERROR(__xludf.DUMMYFUNCTION("GOOGLETRANSLATE(B43387,""en"",""pt"")"),"são José")</f>
        <v>são José</v>
      </c>
      <c r="B11028" s="17" t="s">
        <v>29877</v>
      </c>
      <c r="C11028" s="17" t="s">
        <v>27788</v>
      </c>
      <c r="D11028" s="17" t="s">
        <v>27806</v>
      </c>
      <c r="E11028" s="10">
        <v>4407010</v>
      </c>
      <c r="F11028" s="4" t="str">
        <f>IF(B11028=B11027,"",B11028)</f>
        <v/>
      </c>
    </row>
    <row r="11029" spans="1:6" ht="15.75" customHeight="1">
      <c r="A11029" s="6" t="s">
        <v>552</v>
      </c>
      <c r="B11029" s="6" t="s">
        <v>553</v>
      </c>
      <c r="C11029" s="6" t="s">
        <v>554</v>
      </c>
      <c r="D11029" s="6" t="s">
        <v>555</v>
      </c>
      <c r="E11029" s="2">
        <v>3576022</v>
      </c>
      <c r="F11029" s="4" t="str">
        <f>IF(B11029=B11028,"",B11029)</f>
        <v>Saint Johnâ€™s</v>
      </c>
    </row>
    <row r="11030" spans="1:6" ht="15.75" customHeight="1">
      <c r="A11030" s="5" t="str">
        <f ca="1">IFERROR(__xludf.DUMMYFUNCTION("GOOGLETRANSLATE(B23102,""en"",""pt"")"),"Saint John's")</f>
        <v>Saint John's</v>
      </c>
      <c r="B11030" s="17" t="s">
        <v>31143</v>
      </c>
      <c r="C11030" s="17" t="s">
        <v>554</v>
      </c>
      <c r="D11030" s="17" t="s">
        <v>555</v>
      </c>
      <c r="E11030" s="10">
        <v>3576022</v>
      </c>
      <c r="F11030" s="4" t="str">
        <f>IF(B11030=B11029,"",B11030)</f>
        <v>Saint John’s</v>
      </c>
    </row>
    <row r="11031" spans="1:6" ht="15.75" customHeight="1">
      <c r="A11031" s="6" t="s">
        <v>4168</v>
      </c>
      <c r="B11031" s="6" t="s">
        <v>555</v>
      </c>
      <c r="C11031" s="6" t="s">
        <v>3975</v>
      </c>
      <c r="D11031" s="6" t="s">
        <v>4042</v>
      </c>
      <c r="E11031" s="2">
        <v>6138517</v>
      </c>
      <c r="F11031" s="4" t="str">
        <f>IF(B11031=B11030,"",B11031)</f>
        <v>Saint John</v>
      </c>
    </row>
    <row r="11032" spans="1:6" ht="15.75" customHeight="1">
      <c r="A11032" s="5" t="str">
        <f ca="1">IFERROR(__xludf.DUMMYFUNCTION("GOOGLETRANSLATE(B25573,""en"",""pt"")"),"São João")</f>
        <v>São João</v>
      </c>
      <c r="B11032" s="17" t="s">
        <v>555</v>
      </c>
      <c r="C11032" s="17" t="s">
        <v>3975</v>
      </c>
      <c r="D11032" s="17" t="s">
        <v>4042</v>
      </c>
      <c r="E11032" s="10">
        <v>6138517</v>
      </c>
      <c r="F11032" s="4" t="str">
        <f>IF(B11032=B11031,"",B11032)</f>
        <v/>
      </c>
    </row>
    <row r="11033" spans="1:6" ht="15.75" customHeight="1">
      <c r="A11033" s="5" t="s">
        <v>16619</v>
      </c>
      <c r="B11033" s="6" t="s">
        <v>16619</v>
      </c>
      <c r="C11033" s="5" t="s">
        <v>16620</v>
      </c>
      <c r="D11033" s="5" t="s">
        <v>16621</v>
      </c>
      <c r="E11033" s="2">
        <v>3042091</v>
      </c>
      <c r="F11033" s="4" t="str">
        <f>IF(B11033=B11032,"",B11033)</f>
        <v>Saint Helier</v>
      </c>
    </row>
    <row r="11034" spans="1:6" ht="15.75" customHeight="1">
      <c r="A11034" s="5" t="str">
        <f ca="1">IFERROR(__xludf.DUMMYFUNCTION("GOOGLETRANSLATE(B35110,""en"",""pt"")"),"Saint Helier")</f>
        <v>Saint Helier</v>
      </c>
      <c r="B11034" s="17" t="s">
        <v>16619</v>
      </c>
      <c r="C11034" s="17" t="s">
        <v>16620</v>
      </c>
      <c r="D11034" s="17" t="s">
        <v>16621</v>
      </c>
      <c r="E11034" s="10">
        <v>3042091</v>
      </c>
      <c r="F11034" s="4" t="str">
        <f>IF(B11034=B11033,"",B11034)</f>
        <v/>
      </c>
    </row>
    <row r="11035" spans="1:6" ht="15.75" customHeight="1">
      <c r="A11035" s="5" t="s">
        <v>9667</v>
      </c>
      <c r="B11035" s="6" t="s">
        <v>9667</v>
      </c>
      <c r="C11035" s="5" t="s">
        <v>9668</v>
      </c>
      <c r="D11035" s="5" t="s">
        <v>6301</v>
      </c>
      <c r="E11035" s="2">
        <v>3579925</v>
      </c>
      <c r="F11035" s="4" t="str">
        <f>IF(B11035=B11034,"",B11035)</f>
        <v>Saint George's</v>
      </c>
    </row>
    <row r="11036" spans="1:6" ht="15.75" customHeight="1">
      <c r="A11036" s="5" t="str">
        <f ca="1">IFERROR(__xludf.DUMMYFUNCTION("GOOGLETRANSLATE(B30827,""en"",""pt"")"),"Saint George's")</f>
        <v>Saint George's</v>
      </c>
      <c r="B11036" s="17" t="s">
        <v>9667</v>
      </c>
      <c r="C11036" s="17" t="s">
        <v>9668</v>
      </c>
      <c r="D11036" s="17" t="s">
        <v>6301</v>
      </c>
      <c r="E11036" s="10">
        <v>3579925</v>
      </c>
      <c r="F11036" s="4" t="str">
        <f>IF(B11036=B11035,"",B11036)</f>
        <v/>
      </c>
    </row>
    <row r="11037" spans="1:6" ht="15.75" customHeight="1">
      <c r="A11037" s="6" t="s">
        <v>29875</v>
      </c>
      <c r="B11037" s="6" t="s">
        <v>6301</v>
      </c>
      <c r="C11037" s="6" t="s">
        <v>27788</v>
      </c>
      <c r="D11037" s="6" t="s">
        <v>27856</v>
      </c>
      <c r="E11037" s="2">
        <v>5546220</v>
      </c>
      <c r="F11037" s="4" t="str">
        <f>IF(B11037=B11036,"",B11037)</f>
        <v>Saint George</v>
      </c>
    </row>
    <row r="11038" spans="1:6" ht="15.75" customHeight="1">
      <c r="A11038" s="5" t="str">
        <f ca="1">IFERROR(__xludf.DUMMYFUNCTION("GOOGLETRANSLATE(B45173,""en"",""pt"")"),"São Jorge")</f>
        <v>São Jorge</v>
      </c>
      <c r="B11038" s="17" t="s">
        <v>6301</v>
      </c>
      <c r="C11038" s="17" t="s">
        <v>27788</v>
      </c>
      <c r="D11038" s="17" t="s">
        <v>27856</v>
      </c>
      <c r="E11038" s="10">
        <v>5546220</v>
      </c>
      <c r="F11038" s="4" t="str">
        <f>IF(B11038=B11037,"",B11038)</f>
        <v/>
      </c>
    </row>
    <row r="11039" spans="1:6" ht="15.75" customHeight="1">
      <c r="A11039" s="5" t="s">
        <v>26817</v>
      </c>
      <c r="B11039" s="6" t="s">
        <v>26817</v>
      </c>
      <c r="C11039" s="5" t="s">
        <v>26815</v>
      </c>
      <c r="D11039" s="5" t="s">
        <v>26818</v>
      </c>
      <c r="E11039" s="2">
        <v>4796512</v>
      </c>
      <c r="F11039" s="4" t="str">
        <f>IF(B11039=B11038,"",B11039)</f>
        <v>Saint Croix</v>
      </c>
    </row>
    <row r="11040" spans="1:6" ht="15.75" customHeight="1">
      <c r="A11040" s="5" t="str">
        <f ca="1">IFERROR(__xludf.DUMMYFUNCTION("GOOGLETRANSLATE(B45708,""en"",""pt"")"),"Saint Croix")</f>
        <v>Saint Croix</v>
      </c>
      <c r="B11040" s="17" t="s">
        <v>26817</v>
      </c>
      <c r="C11040" s="17" t="s">
        <v>26815</v>
      </c>
      <c r="D11040" s="17" t="s">
        <v>26818</v>
      </c>
      <c r="E11040" s="10">
        <v>4796512</v>
      </c>
      <c r="F11040" s="4" t="str">
        <f>IF(B11040=B11039,"",B11040)</f>
        <v/>
      </c>
    </row>
    <row r="11041" spans="1:6" ht="15.75" customHeight="1">
      <c r="A11041" s="5" t="s">
        <v>29874</v>
      </c>
      <c r="B11041" s="6" t="s">
        <v>29874</v>
      </c>
      <c r="C11041" s="5" t="s">
        <v>27788</v>
      </c>
      <c r="D11041" s="5" t="s">
        <v>5468</v>
      </c>
      <c r="E11041" s="2">
        <v>4170965</v>
      </c>
      <c r="F11041" s="4" t="str">
        <f>IF(B11041=B11040,"",B11041)</f>
        <v>Saint Cloud</v>
      </c>
    </row>
    <row r="11042" spans="1:6" ht="15.75" customHeight="1">
      <c r="A11042" s="5" t="s">
        <v>29874</v>
      </c>
      <c r="B11042" s="6" t="s">
        <v>29874</v>
      </c>
      <c r="C11042" s="5" t="s">
        <v>27788</v>
      </c>
      <c r="D11042" s="5" t="s">
        <v>27824</v>
      </c>
      <c r="E11042" s="2">
        <v>5044407</v>
      </c>
      <c r="F11042" s="4" t="str">
        <f>IF(B11042=B11041,"",B11042)</f>
        <v/>
      </c>
    </row>
    <row r="11043" spans="1:6" ht="15.75" customHeight="1">
      <c r="A11043" s="5" t="str">
        <f ca="1">IFERROR(__xludf.DUMMYFUNCTION("GOOGLETRANSLATE(B43009,""en"",""pt"")"),"Saint Cloud")</f>
        <v>Saint Cloud</v>
      </c>
      <c r="B11043" s="17" t="s">
        <v>29874</v>
      </c>
      <c r="C11043" s="17" t="s">
        <v>27788</v>
      </c>
      <c r="D11043" s="17" t="s">
        <v>5468</v>
      </c>
      <c r="E11043" s="10">
        <v>4170965</v>
      </c>
      <c r="F11043" s="4" t="str">
        <f>IF(B11043=B11042,"",B11043)</f>
        <v/>
      </c>
    </row>
    <row r="11044" spans="1:6" ht="15.75" customHeight="1">
      <c r="A11044" s="5" t="str">
        <f ca="1">IFERROR(__xludf.DUMMYFUNCTION("GOOGLETRANSLATE(B44193,""en"",""pt"")"),"Saint Cloud")</f>
        <v>Saint Cloud</v>
      </c>
      <c r="B11044" s="17" t="s">
        <v>29874</v>
      </c>
      <c r="C11044" s="17" t="s">
        <v>27788</v>
      </c>
      <c r="D11044" s="17" t="s">
        <v>27824</v>
      </c>
      <c r="E11044" s="10">
        <v>5044407</v>
      </c>
      <c r="F11044" s="4" t="str">
        <f>IF(B11044=B11043,"",B11044)</f>
        <v/>
      </c>
    </row>
    <row r="11045" spans="1:6" ht="15.75" customHeight="1">
      <c r="A11045" s="5" t="s">
        <v>29873</v>
      </c>
      <c r="B11045" s="6" t="s">
        <v>29873</v>
      </c>
      <c r="C11045" s="5" t="s">
        <v>27788</v>
      </c>
      <c r="D11045" s="5" t="s">
        <v>27804</v>
      </c>
      <c r="E11045" s="2">
        <v>5010978</v>
      </c>
      <c r="F11045" s="4" t="str">
        <f>IF(B11045=B11044,"",B11045)</f>
        <v>Saint Clair Shores</v>
      </c>
    </row>
    <row r="11046" spans="1:6" ht="15.75" customHeight="1">
      <c r="A11046" s="5" t="str">
        <f ca="1">IFERROR(__xludf.DUMMYFUNCTION("GOOGLETRANSLATE(B44124,""en"",""pt"")"),"Saint Clair Shores")</f>
        <v>Saint Clair Shores</v>
      </c>
      <c r="B11046" s="17" t="s">
        <v>29873</v>
      </c>
      <c r="C11046" s="17" t="s">
        <v>27788</v>
      </c>
      <c r="D11046" s="17" t="s">
        <v>27804</v>
      </c>
      <c r="E11046" s="10">
        <v>5010978</v>
      </c>
      <c r="F11046" s="4" t="str">
        <f>IF(B11046=B11045,"",B11046)</f>
        <v/>
      </c>
    </row>
    <row r="11047" spans="1:6" ht="15.75" customHeight="1">
      <c r="A11047" s="5" t="s">
        <v>29871</v>
      </c>
      <c r="B11047" s="6" t="s">
        <v>29872</v>
      </c>
      <c r="C11047" s="5" t="s">
        <v>27788</v>
      </c>
      <c r="D11047" s="5" t="s">
        <v>17061</v>
      </c>
      <c r="E11047" s="2">
        <v>4367734</v>
      </c>
      <c r="F11047" s="4" t="str">
        <f>IF(B11047=B11046,"",B11047)</f>
        <v>Saint Charles</v>
      </c>
    </row>
    <row r="11048" spans="1:6" ht="15.75" customHeight="1">
      <c r="A11048" s="5" t="s">
        <v>29871</v>
      </c>
      <c r="B11048" s="6" t="s">
        <v>29872</v>
      </c>
      <c r="C11048" s="5" t="s">
        <v>27788</v>
      </c>
      <c r="D11048" s="5" t="s">
        <v>27806</v>
      </c>
      <c r="E11048" s="2">
        <v>4406831</v>
      </c>
      <c r="F11048" s="4" t="str">
        <f>IF(B11048=B11047,"",B11048)</f>
        <v/>
      </c>
    </row>
    <row r="11049" spans="1:6" ht="15.75" customHeight="1">
      <c r="A11049" s="5" t="s">
        <v>29871</v>
      </c>
      <c r="B11049" s="6" t="s">
        <v>29872</v>
      </c>
      <c r="C11049" s="5" t="s">
        <v>27788</v>
      </c>
      <c r="D11049" s="5" t="s">
        <v>27799</v>
      </c>
      <c r="E11049" s="2">
        <v>4908737</v>
      </c>
      <c r="F11049" s="4" t="str">
        <f>IF(B11049=B11048,"",B11049)</f>
        <v/>
      </c>
    </row>
    <row r="11050" spans="1:6" ht="15.75" customHeight="1">
      <c r="A11050" s="5" t="str">
        <f ca="1">IFERROR(__xludf.DUMMYFUNCTION("GOOGLETRANSLATE(B43329,""en"",""pt"")"),"São Charles")</f>
        <v>São Charles</v>
      </c>
      <c r="B11050" s="17" t="s">
        <v>29872</v>
      </c>
      <c r="C11050" s="17" t="s">
        <v>27788</v>
      </c>
      <c r="D11050" s="17" t="s">
        <v>17061</v>
      </c>
      <c r="E11050" s="10">
        <v>4367734</v>
      </c>
      <c r="F11050" s="4" t="str">
        <f>IF(B11050=B11049,"",B11050)</f>
        <v/>
      </c>
    </row>
    <row r="11051" spans="1:6" ht="15.75" customHeight="1">
      <c r="A11051" s="5" t="str">
        <f ca="1">IFERROR(__xludf.DUMMYFUNCTION("GOOGLETRANSLATE(B43386,""en"",""pt"")"),"São Charles")</f>
        <v>São Charles</v>
      </c>
      <c r="B11051" s="17" t="s">
        <v>29872</v>
      </c>
      <c r="C11051" s="17" t="s">
        <v>27788</v>
      </c>
      <c r="D11051" s="17" t="s">
        <v>27806</v>
      </c>
      <c r="E11051" s="10">
        <v>4406831</v>
      </c>
      <c r="F11051" s="4" t="str">
        <f>IF(B11051=B11050,"",B11051)</f>
        <v/>
      </c>
    </row>
    <row r="11052" spans="1:6" ht="15.75" customHeight="1">
      <c r="A11052" s="5" t="str">
        <f ca="1">IFERROR(__xludf.DUMMYFUNCTION("GOOGLETRANSLATE(B43881,""en"",""pt"")"),"São Charles")</f>
        <v>São Charles</v>
      </c>
      <c r="B11052" s="17" t="s">
        <v>29872</v>
      </c>
      <c r="C11052" s="17" t="s">
        <v>27788</v>
      </c>
      <c r="D11052" s="17" t="s">
        <v>27799</v>
      </c>
      <c r="E11052" s="10">
        <v>4908737</v>
      </c>
      <c r="F11052" s="4" t="str">
        <f>IF(B11052=B11051,"",B11052)</f>
        <v/>
      </c>
    </row>
    <row r="11053" spans="1:6" ht="15.75" customHeight="1">
      <c r="A11053" s="5" t="s">
        <v>27659</v>
      </c>
      <c r="B11053" s="6" t="s">
        <v>27659</v>
      </c>
      <c r="C11053" s="5" t="s">
        <v>27234</v>
      </c>
      <c r="D11053" s="5" t="s">
        <v>27237</v>
      </c>
      <c r="E11053" s="2">
        <v>2638864</v>
      </c>
      <c r="F11053" s="4" t="str">
        <f>IF(B11053=B11052,"",B11053)</f>
        <v>Saint Andrews</v>
      </c>
    </row>
    <row r="11054" spans="1:6" ht="15.75" customHeight="1">
      <c r="A11054" s="5" t="s">
        <v>27659</v>
      </c>
      <c r="B11054" s="6" t="s">
        <v>27659</v>
      </c>
      <c r="C11054" s="5" t="s">
        <v>27788</v>
      </c>
      <c r="D11054" s="5" t="s">
        <v>27811</v>
      </c>
      <c r="E11054" s="2">
        <v>4593724</v>
      </c>
      <c r="F11054" s="4" t="str">
        <f>IF(B11054=B11053,"",B11054)</f>
        <v/>
      </c>
    </row>
    <row r="11055" spans="1:6" ht="15.75" customHeight="1">
      <c r="A11055" s="5" t="str">
        <f ca="1">IFERROR(__xludf.DUMMYFUNCTION("GOOGLETRANSLATE(B30425,""en"",""pt"")"),"Saint Andrews")</f>
        <v>Saint Andrews</v>
      </c>
      <c r="B11055" s="17" t="s">
        <v>27659</v>
      </c>
      <c r="C11055" s="17" t="s">
        <v>27234</v>
      </c>
      <c r="D11055" s="17" t="s">
        <v>27237</v>
      </c>
      <c r="E11055" s="10">
        <v>2638864</v>
      </c>
      <c r="F11055" s="4" t="str">
        <f>IF(B11055=B11054,"",B11055)</f>
        <v/>
      </c>
    </row>
    <row r="11056" spans="1:6" ht="15.75" customHeight="1">
      <c r="A11056" s="5" t="str">
        <f ca="1">IFERROR(__xludf.DUMMYFUNCTION("GOOGLETRANSLATE(B43598,""en"",""pt"")"),"Saint Andrews")</f>
        <v>Saint Andrews</v>
      </c>
      <c r="B11056" s="17" t="s">
        <v>27659</v>
      </c>
      <c r="C11056" s="17" t="s">
        <v>27788</v>
      </c>
      <c r="D11056" s="17" t="s">
        <v>27811</v>
      </c>
      <c r="E11056" s="10">
        <v>4593724</v>
      </c>
      <c r="F11056" s="4" t="str">
        <f>IF(B11056=B11055,"",B11056)</f>
        <v/>
      </c>
    </row>
    <row r="11057" spans="1:6" ht="15.75" customHeight="1">
      <c r="A11057" s="5" t="s">
        <v>1075</v>
      </c>
      <c r="B11057" s="6" t="s">
        <v>1075</v>
      </c>
      <c r="C11057" s="5" t="s">
        <v>885</v>
      </c>
      <c r="D11057" s="5" t="s">
        <v>827</v>
      </c>
      <c r="E11057" s="2">
        <v>2150717</v>
      </c>
      <c r="F11057" s="4" t="str">
        <f>IF(B11057=B11056,"",B11057)</f>
        <v>Saint Albans</v>
      </c>
    </row>
    <row r="11058" spans="1:6" ht="15.75" customHeight="1">
      <c r="A11058" s="5" t="str">
        <f ca="1">IFERROR(__xludf.DUMMYFUNCTION("GOOGLETRANSLATE(B23455,""en"",""pt"")"),"Saint Albans")</f>
        <v>Saint Albans</v>
      </c>
      <c r="B11058" s="17" t="s">
        <v>1075</v>
      </c>
      <c r="C11058" s="17" t="s">
        <v>885</v>
      </c>
      <c r="D11058" s="17" t="s">
        <v>827</v>
      </c>
      <c r="E11058" s="10">
        <v>2150717</v>
      </c>
      <c r="F11058" s="4" t="str">
        <f>IF(B11058=B11057,"",B11058)</f>
        <v/>
      </c>
    </row>
    <row r="11059" spans="1:6" ht="15.75" customHeight="1">
      <c r="A11059" s="6" t="s">
        <v>16369</v>
      </c>
      <c r="B11059" s="6" t="s">
        <v>16369</v>
      </c>
      <c r="C11059" s="6" t="s">
        <v>15704</v>
      </c>
      <c r="D11059" s="6" t="s">
        <v>15758</v>
      </c>
      <c r="E11059" s="2">
        <v>1853237</v>
      </c>
      <c r="F11059" s="4" t="str">
        <f>IF(B11059=B11058,"",B11059)</f>
        <v>Saiki</v>
      </c>
    </row>
    <row r="11060" spans="1:6" ht="15.75" customHeight="1">
      <c r="A11060" s="5" t="str">
        <f ca="1">IFERROR(__xludf.DUMMYFUNCTION("GOOGLETRANSLATE(B35328,""en"",""pt"")"),"Saiki")</f>
        <v>Saiki</v>
      </c>
      <c r="B11060" s="17" t="s">
        <v>16369</v>
      </c>
      <c r="C11060" s="17" t="s">
        <v>15704</v>
      </c>
      <c r="D11060" s="17" t="s">
        <v>15758</v>
      </c>
      <c r="E11060" s="10">
        <v>1853237</v>
      </c>
      <c r="F11060" s="4" t="str">
        <f>IF(B11060=B11059,"",B11060)</f>
        <v/>
      </c>
    </row>
    <row r="11061" spans="1:6" ht="15.75" customHeight="1">
      <c r="A11061" s="5" t="str">
        <f ca="1">IFERROR(__xludf.DUMMYFUNCTION("GOOGLETRANSLATE(B35700,""en"",""pt"")"),"Saijō")</f>
        <v>Saijō</v>
      </c>
      <c r="B11061" s="17" t="s">
        <v>34393</v>
      </c>
      <c r="C11061" s="17" t="s">
        <v>15704</v>
      </c>
      <c r="D11061" s="17" t="s">
        <v>15813</v>
      </c>
      <c r="E11061" s="10">
        <v>1926054</v>
      </c>
      <c r="F11061" s="4" t="str">
        <f>IF(B11061=B11060,"",B11061)</f>
        <v>Saijō</v>
      </c>
    </row>
    <row r="11062" spans="1:6" ht="15.75" customHeight="1">
      <c r="A11062" s="6" t="s">
        <v>16367</v>
      </c>
      <c r="B11062" s="6" t="s">
        <v>16368</v>
      </c>
      <c r="C11062" s="6" t="s">
        <v>15704</v>
      </c>
      <c r="D11062" s="6" t="s">
        <v>15813</v>
      </c>
      <c r="E11062" s="2">
        <v>1926054</v>
      </c>
      <c r="F11062" s="4" t="str">
        <f>IF(B11062=B11061,"",B11062)</f>
        <v>SaijÅ</v>
      </c>
    </row>
    <row r="11063" spans="1:6" ht="15.75" customHeight="1">
      <c r="A11063" s="6" t="s">
        <v>13203</v>
      </c>
      <c r="B11063" s="6" t="s">
        <v>13203</v>
      </c>
      <c r="C11063" s="6" t="s">
        <v>10178</v>
      </c>
      <c r="D11063" s="6" t="s">
        <v>10263</v>
      </c>
      <c r="E11063" s="2">
        <v>1257771</v>
      </c>
      <c r="F11063" s="4" t="str">
        <f>IF(B11063=B11062,"",B11063)</f>
        <v>Saiha</v>
      </c>
    </row>
    <row r="11064" spans="1:6" ht="15.75" customHeight="1">
      <c r="A11064" s="5" t="str">
        <f ca="1">IFERROR(__xludf.DUMMYFUNCTION("GOOGLETRANSLATE(B32275,""en"",""pt"")"),"Saiha")</f>
        <v>Saiha</v>
      </c>
      <c r="B11064" s="17" t="s">
        <v>13203</v>
      </c>
      <c r="C11064" s="17" t="s">
        <v>10178</v>
      </c>
      <c r="D11064" s="17" t="s">
        <v>10263</v>
      </c>
      <c r="E11064" s="10">
        <v>1257771</v>
      </c>
      <c r="F11064" s="4" t="str">
        <f>IF(B11064=B11063,"",B11064)</f>
        <v/>
      </c>
    </row>
    <row r="11065" spans="1:6" ht="15.75" customHeight="1">
      <c r="A11065" s="6" t="s">
        <v>1426</v>
      </c>
      <c r="B11065" s="6" t="s">
        <v>1426</v>
      </c>
      <c r="C11065" s="6" t="s">
        <v>1296</v>
      </c>
      <c r="D11065" s="6" t="s">
        <v>1310</v>
      </c>
      <c r="E11065" s="2">
        <v>6545349</v>
      </c>
      <c r="F11065" s="4" t="str">
        <f>IF(B11065=B11064,"",B11065)</f>
        <v>Saidpur</v>
      </c>
    </row>
    <row r="11066" spans="1:6" ht="15.75" customHeight="1">
      <c r="A11066" s="6" t="s">
        <v>1426</v>
      </c>
      <c r="B11066" s="6" t="s">
        <v>1426</v>
      </c>
      <c r="C11066" s="6" t="s">
        <v>10178</v>
      </c>
      <c r="D11066" s="6" t="s">
        <v>10193</v>
      </c>
      <c r="E11066" s="2">
        <v>1257776</v>
      </c>
      <c r="F11066" s="4" t="str">
        <f>IF(B11066=B11065,"",B11066)</f>
        <v/>
      </c>
    </row>
    <row r="11067" spans="1:6" ht="15.75" customHeight="1">
      <c r="A11067" s="5" t="str">
        <f ca="1">IFERROR(__xludf.DUMMYFUNCTION("GOOGLETRANSLATE(B23788,""en"",""pt"")"),"Saidpur")</f>
        <v>Saidpur</v>
      </c>
      <c r="B11067" s="17" t="s">
        <v>1426</v>
      </c>
      <c r="C11067" s="17" t="s">
        <v>1296</v>
      </c>
      <c r="D11067" s="17" t="s">
        <v>31259</v>
      </c>
      <c r="E11067" s="10">
        <v>6545349</v>
      </c>
      <c r="F11067" s="4" t="str">
        <f>IF(B11067=B11066,"",B11067)</f>
        <v/>
      </c>
    </row>
    <row r="11068" spans="1:6" ht="15.75" customHeight="1">
      <c r="A11068" s="5" t="str">
        <f ca="1">IFERROR(__xludf.DUMMYFUNCTION("GOOGLETRANSLATE(B32276,""en"",""pt"")"),"Saidpur")</f>
        <v>Saidpur</v>
      </c>
      <c r="B11068" s="17" t="s">
        <v>1426</v>
      </c>
      <c r="C11068" s="17" t="s">
        <v>10178</v>
      </c>
      <c r="D11068" s="17" t="s">
        <v>10193</v>
      </c>
      <c r="E11068" s="10">
        <v>1257776</v>
      </c>
      <c r="F11068" s="4" t="str">
        <f>IF(B11068=B11067,"",B11068)</f>
        <v/>
      </c>
    </row>
    <row r="11069" spans="1:6" ht="15.75" customHeight="1">
      <c r="A11069" s="5" t="str">
        <f ca="1">IFERROR(__xludf.DUMMYFUNCTION("GOOGLETRANSLATE(B28551,""en"",""pt"")"),"Saïda")</f>
        <v>Saïda</v>
      </c>
      <c r="B11069" s="17" t="s">
        <v>32191</v>
      </c>
      <c r="C11069" s="17" t="s">
        <v>153</v>
      </c>
      <c r="D11069" s="17" t="s">
        <v>32191</v>
      </c>
      <c r="E11069" s="10">
        <v>2482572</v>
      </c>
      <c r="F11069" s="4" t="str">
        <f>IF(B11069=B11068,"",B11069)</f>
        <v>Saïda</v>
      </c>
    </row>
    <row r="11070" spans="1:6" ht="15.75" customHeight="1">
      <c r="A11070" s="5" t="s">
        <v>18198</v>
      </c>
      <c r="B11070" s="6" t="s">
        <v>18198</v>
      </c>
      <c r="C11070" s="5" t="s">
        <v>17707</v>
      </c>
      <c r="D11070" s="5" t="s">
        <v>17761</v>
      </c>
      <c r="E11070" s="2">
        <v>3988258</v>
      </c>
      <c r="F11070" s="4" t="str">
        <f>IF(B11070=B11069,"",B11070)</f>
        <v>Sahuayo de Morelos</v>
      </c>
    </row>
    <row r="11071" spans="1:6" ht="15.75" customHeight="1">
      <c r="A11071" s="5" t="str">
        <f ca="1">IFERROR(__xludf.DUMMYFUNCTION("GOOGLETRANSLATE(B37210,""en"",""pt"")"),"Sahuayo de Morelos")</f>
        <v>Sahuayo de Morelos</v>
      </c>
      <c r="B11071" s="17" t="s">
        <v>18198</v>
      </c>
      <c r="C11071" s="17" t="s">
        <v>17707</v>
      </c>
      <c r="D11071" s="17" t="s">
        <v>34727</v>
      </c>
      <c r="E11071" s="10">
        <v>3988258</v>
      </c>
      <c r="F11071" s="4" t="str">
        <f>IF(B11071=B11070,"",B11071)</f>
        <v/>
      </c>
    </row>
    <row r="11072" spans="1:6" ht="15.75" customHeight="1">
      <c r="A11072" s="6" t="s">
        <v>29870</v>
      </c>
      <c r="B11072" s="6" t="s">
        <v>29870</v>
      </c>
      <c r="C11072" s="6" t="s">
        <v>27788</v>
      </c>
      <c r="D11072" s="6" t="s">
        <v>27880</v>
      </c>
      <c r="E11072" s="2">
        <v>5312544</v>
      </c>
      <c r="F11072" s="4" t="str">
        <f>IF(B11072=B11071,"",B11072)</f>
        <v>Sahuarita</v>
      </c>
    </row>
    <row r="11073" spans="1:6" ht="15.75" customHeight="1">
      <c r="A11073" s="5" t="str">
        <f ca="1">IFERROR(__xludf.DUMMYFUNCTION("GOOGLETRANSLATE(B44725,""en"",""pt"")"),"Sahuarita")</f>
        <v>Sahuarita</v>
      </c>
      <c r="B11073" s="17" t="s">
        <v>29870</v>
      </c>
      <c r="C11073" s="17" t="s">
        <v>27788</v>
      </c>
      <c r="D11073" s="17" t="s">
        <v>27880</v>
      </c>
      <c r="E11073" s="10">
        <v>5312544</v>
      </c>
      <c r="F11073" s="4" t="str">
        <f>IF(B11073=B11072,"",B11073)</f>
        <v/>
      </c>
    </row>
    <row r="11074" spans="1:6" ht="15.75" customHeight="1">
      <c r="A11074" s="5" t="str">
        <f ca="1">IFERROR(__xludf.DUMMYFUNCTION("GOOGLETRANSLATE(B38930,""en"",""pt"")"),"Sāhīwāl")</f>
        <v>Sāhīwāl</v>
      </c>
      <c r="B11074" s="17" t="s">
        <v>34922</v>
      </c>
      <c r="C11074" s="17" t="s">
        <v>19808</v>
      </c>
      <c r="D11074" s="17" t="s">
        <v>10184</v>
      </c>
      <c r="E11074" s="10">
        <v>1166547</v>
      </c>
      <c r="F11074" s="4" t="str">
        <f>IF(B11074=B11073,"",B11074)</f>
        <v>Sāhīwāl</v>
      </c>
    </row>
    <row r="11075" spans="1:6" ht="15.75" customHeight="1">
      <c r="A11075" s="6" t="s">
        <v>20201</v>
      </c>
      <c r="B11075" s="6" t="s">
        <v>20201</v>
      </c>
      <c r="C11075" s="6" t="s">
        <v>19808</v>
      </c>
      <c r="D11075" s="6" t="s">
        <v>10184</v>
      </c>
      <c r="E11075" s="2">
        <v>1166548</v>
      </c>
      <c r="F11075" s="4" t="str">
        <f>IF(B11075=B11074,"",B11075)</f>
        <v>Sahiwal</v>
      </c>
    </row>
    <row r="11076" spans="1:6" ht="15.75" customHeight="1">
      <c r="A11076" s="5" t="str">
        <f ca="1">IFERROR(__xludf.DUMMYFUNCTION("GOOGLETRANSLATE(B38931,""en"",""pt"")"),"Sahiwal")</f>
        <v>Sahiwal</v>
      </c>
      <c r="B11076" s="17" t="s">
        <v>20201</v>
      </c>
      <c r="C11076" s="17" t="s">
        <v>19808</v>
      </c>
      <c r="D11076" s="17" t="s">
        <v>10184</v>
      </c>
      <c r="E11076" s="10">
        <v>1166548</v>
      </c>
      <c r="F11076" s="4" t="str">
        <f>IF(B11076=B11075,"",B11076)</f>
        <v/>
      </c>
    </row>
    <row r="11077" spans="1:6" ht="15.75" customHeight="1">
      <c r="A11077" s="5" t="str">
        <f ca="1">IFERROR(__xludf.DUMMYFUNCTION("GOOGLETRANSLATE(B32277,""en"",""pt"")"),"Sāibganj")</f>
        <v>Sāibganj</v>
      </c>
      <c r="B11077" s="17" t="s">
        <v>33137</v>
      </c>
      <c r="C11077" s="17" t="s">
        <v>10178</v>
      </c>
      <c r="D11077" s="17" t="s">
        <v>10430</v>
      </c>
      <c r="E11077" s="10">
        <v>1257794</v>
      </c>
      <c r="F11077" s="4" t="str">
        <f>IF(B11077=B11076,"",B11077)</f>
        <v>Sāhibganj</v>
      </c>
    </row>
    <row r="11078" spans="1:6" ht="15.75" customHeight="1">
      <c r="A11078" s="5" t="str">
        <f ca="1">IFERROR(__xludf.DUMMYFUNCTION("GOOGLETRANSLATE(B32278,""en"",""pt"")"),"Sahāwar")</f>
        <v>Sahāwar</v>
      </c>
      <c r="B11078" s="17" t="s">
        <v>33138</v>
      </c>
      <c r="C11078" s="17" t="s">
        <v>10178</v>
      </c>
      <c r="D11078" s="17" t="s">
        <v>10193</v>
      </c>
      <c r="E11078" s="10">
        <v>1257799</v>
      </c>
      <c r="F11078" s="4" t="str">
        <f>IF(B11078=B11077,"",B11078)</f>
        <v>Sahāwar</v>
      </c>
    </row>
    <row r="11079" spans="1:6" ht="15.75" customHeight="1">
      <c r="A11079" s="6" t="s">
        <v>17390</v>
      </c>
      <c r="B11079" s="6" t="s">
        <v>17390</v>
      </c>
      <c r="C11079" s="6" t="s">
        <v>17292</v>
      </c>
      <c r="D11079" s="6" t="s">
        <v>17310</v>
      </c>
      <c r="E11079" s="2">
        <v>1057277</v>
      </c>
      <c r="F11079" s="4" t="str">
        <f>IF(B11079=B11078,"",B11079)</f>
        <v>Sahavato</v>
      </c>
    </row>
    <row r="11080" spans="1:6" ht="15.75" customHeight="1">
      <c r="A11080" s="5" t="str">
        <f ca="1">IFERROR(__xludf.DUMMYFUNCTION("GOOGLETRANSLATE(B36572,""en"",""pt"")"),"Sahavato")</f>
        <v>Sahavato</v>
      </c>
      <c r="B11080" s="17" t="s">
        <v>17390</v>
      </c>
      <c r="C11080" s="17" t="s">
        <v>17292</v>
      </c>
      <c r="D11080" s="17" t="s">
        <v>17310</v>
      </c>
      <c r="E11080" s="10">
        <v>1057277</v>
      </c>
      <c r="F11080" s="4" t="str">
        <f>IF(B11080=B11079,"",B11080)</f>
        <v/>
      </c>
    </row>
    <row r="11081" spans="1:6" ht="15.75" customHeight="1">
      <c r="A11081" s="5" t="str">
        <f ca="1">IFERROR(__xludf.DUMMYFUNCTION("GOOGLETRANSLATE(B32279,""en"",""pt"")"),"Sahaswān")</f>
        <v>Sahaswān</v>
      </c>
      <c r="B11081" s="17" t="s">
        <v>33139</v>
      </c>
      <c r="C11081" s="17" t="s">
        <v>10178</v>
      </c>
      <c r="D11081" s="17" t="s">
        <v>10193</v>
      </c>
      <c r="E11081" s="10">
        <v>1257800</v>
      </c>
      <c r="F11081" s="4" t="str">
        <f>IF(B11081=B11080,"",B11081)</f>
        <v>Sahaswān</v>
      </c>
    </row>
    <row r="11082" spans="1:6" ht="15.75" customHeight="1">
      <c r="A11082" s="5" t="s">
        <v>13201</v>
      </c>
      <c r="B11082" s="6" t="s">
        <v>13202</v>
      </c>
      <c r="C11082" s="5" t="s">
        <v>10178</v>
      </c>
      <c r="D11082" s="5" t="s">
        <v>10193</v>
      </c>
      <c r="E11082" s="2">
        <v>1257800</v>
      </c>
      <c r="F11082" s="4" t="str">
        <f>IF(B11082=B11081,"",B11082)</f>
        <v>SahaswÄn</v>
      </c>
    </row>
    <row r="11083" spans="1:6" ht="15.75" customHeight="1">
      <c r="A11083" s="6" t="s">
        <v>13200</v>
      </c>
      <c r="B11083" s="6" t="s">
        <v>13200</v>
      </c>
      <c r="C11083" s="6" t="s">
        <v>10178</v>
      </c>
      <c r="D11083" s="6" t="s">
        <v>10193</v>
      </c>
      <c r="E11083" s="2">
        <v>1257802</v>
      </c>
      <c r="F11083" s="4" t="str">
        <f>IF(B11083=B11082,"",B11083)</f>
        <v>Sahaspur</v>
      </c>
    </row>
    <row r="11084" spans="1:6" ht="15.75" customHeight="1">
      <c r="A11084" s="5" t="str">
        <f ca="1">IFERROR(__xludf.DUMMYFUNCTION("GOOGLETRANSLATE(B32280,""en"",""pt"")"),"Sahaspur")</f>
        <v>Sahaspur</v>
      </c>
      <c r="B11084" s="17" t="s">
        <v>13200</v>
      </c>
      <c r="C11084" s="17" t="s">
        <v>10178</v>
      </c>
      <c r="D11084" s="17" t="s">
        <v>10193</v>
      </c>
      <c r="E11084" s="10">
        <v>1257802</v>
      </c>
      <c r="F11084" s="4" t="str">
        <f>IF(B11084=B11083,"",B11084)</f>
        <v/>
      </c>
    </row>
    <row r="11085" spans="1:6" ht="15.75" customHeight="1">
      <c r="A11085" s="6" t="s">
        <v>13199</v>
      </c>
      <c r="B11085" s="6" t="s">
        <v>13199</v>
      </c>
      <c r="C11085" s="6" t="s">
        <v>10178</v>
      </c>
      <c r="D11085" s="6" t="s">
        <v>10317</v>
      </c>
      <c r="E11085" s="2">
        <v>1257804</v>
      </c>
      <c r="F11085" s="4" t="str">
        <f>IF(B11085=B11084,"",B11085)</f>
        <v>Saharsa</v>
      </c>
    </row>
    <row r="11086" spans="1:6" ht="15.75" customHeight="1">
      <c r="A11086" s="5" t="str">
        <f ca="1">IFERROR(__xludf.DUMMYFUNCTION("GOOGLETRANSLATE(B32281,""en"",""pt"")"),"Saharsa")</f>
        <v>Saharsa</v>
      </c>
      <c r="B11086" s="17" t="s">
        <v>13199</v>
      </c>
      <c r="C11086" s="17" t="s">
        <v>10178</v>
      </c>
      <c r="D11086" s="17" t="s">
        <v>10317</v>
      </c>
      <c r="E11086" s="10">
        <v>1257804</v>
      </c>
      <c r="F11086" s="4" t="str">
        <f>IF(B11086=B11085,"",B11086)</f>
        <v/>
      </c>
    </row>
    <row r="11087" spans="1:6" ht="15.75" customHeight="1">
      <c r="A11087" s="5" t="str">
        <f ca="1">IFERROR(__xludf.DUMMYFUNCTION("GOOGLETRANSLATE(B32282,""en"",""pt"")"),"Sahāranpur")</f>
        <v>Sahāranpur</v>
      </c>
      <c r="B11087" s="17" t="s">
        <v>33140</v>
      </c>
      <c r="C11087" s="17" t="s">
        <v>10178</v>
      </c>
      <c r="D11087" s="17" t="s">
        <v>10193</v>
      </c>
      <c r="E11087" s="10">
        <v>1257806</v>
      </c>
      <c r="F11087" s="4" t="str">
        <f>IF(B11087=B11086,"",B11087)</f>
        <v>Sahāranpur</v>
      </c>
    </row>
    <row r="11088" spans="1:6" ht="15.75" customHeight="1">
      <c r="A11088" s="5" t="str">
        <f ca="1">IFERROR(__xludf.DUMMYFUNCTION("GOOGLETRANSLATE(B45822,""en"",""pt"")"),"Saḩar")</f>
        <v>Saḩar</v>
      </c>
      <c r="B11088" s="17" t="s">
        <v>36217</v>
      </c>
      <c r="C11088" s="17" t="s">
        <v>30993</v>
      </c>
      <c r="D11088" s="17" t="s">
        <v>31023</v>
      </c>
      <c r="E11088" s="10">
        <v>71273</v>
      </c>
      <c r="F11088" s="4" t="str">
        <f>IF(B11088=B11087,"",B11088)</f>
        <v>Saḩar</v>
      </c>
    </row>
    <row r="11089" spans="1:6" ht="15.75" customHeight="1">
      <c r="A11089" s="5" t="str">
        <f ca="1">IFERROR(__xludf.DUMMYFUNCTION("GOOGLETRANSLATE(B38257,""en"",""pt"")"),"Şaḩam")</f>
        <v>Şaḩam</v>
      </c>
      <c r="B11089" s="17" t="s">
        <v>34847</v>
      </c>
      <c r="C11089" s="17" t="s">
        <v>19755</v>
      </c>
      <c r="D11089" s="17" t="s">
        <v>19765</v>
      </c>
      <c r="E11089" s="10">
        <v>286647</v>
      </c>
      <c r="F11089" s="4" t="str">
        <f>IF(B11089=B11088,"",B11089)</f>
        <v>Şaḩam</v>
      </c>
    </row>
    <row r="11090" spans="1:6" ht="15.75" customHeight="1">
      <c r="A11090" s="5" t="str">
        <f ca="1">IFERROR(__xludf.DUMMYFUNCTION("GOOGLETRANSLATE(B26898,""en"",""pt"")"),"Sahagún")</f>
        <v>Sahagún</v>
      </c>
      <c r="B11090" s="17" t="s">
        <v>31848</v>
      </c>
      <c r="C11090" s="17" t="s">
        <v>5348</v>
      </c>
      <c r="D11090" s="17" t="s">
        <v>31214</v>
      </c>
      <c r="E11090" s="10">
        <v>3670419</v>
      </c>
      <c r="F11090" s="4" t="str">
        <f>IF(B11090=B11089,"",B11090)</f>
        <v>Sahagún</v>
      </c>
    </row>
    <row r="11091" spans="1:6" ht="15.75" customHeight="1">
      <c r="A11091" s="6" t="s">
        <v>5586</v>
      </c>
      <c r="B11091" s="6" t="s">
        <v>5587</v>
      </c>
      <c r="C11091" s="6" t="s">
        <v>5348</v>
      </c>
      <c r="D11091" s="6" t="s">
        <v>591</v>
      </c>
      <c r="E11091" s="2">
        <v>3670419</v>
      </c>
      <c r="F11091" s="4" t="str">
        <f>IF(B11091=B11090,"",B11091)</f>
        <v>SahagÃºn</v>
      </c>
    </row>
    <row r="11092" spans="1:6" ht="15.75" customHeight="1">
      <c r="A11092" s="5" t="str">
        <f ca="1">IFERROR(__xludf.DUMMYFUNCTION("GOOGLETRANSLATE(B35124,""en"",""pt"")"),"Saḩāb")</f>
        <v>Saḩāb</v>
      </c>
      <c r="B11092" s="17" t="s">
        <v>34279</v>
      </c>
      <c r="C11092" s="17" t="s">
        <v>16624</v>
      </c>
      <c r="D11092" s="17" t="s">
        <v>16635</v>
      </c>
      <c r="E11092" s="10">
        <v>247105</v>
      </c>
      <c r="F11092" s="4" t="str">
        <f>IF(B11092=B11091,"",B11092)</f>
        <v>Saḩāb</v>
      </c>
    </row>
    <row r="11093" spans="1:6" ht="15.75" customHeight="1">
      <c r="A11093" s="5" t="s">
        <v>13197</v>
      </c>
      <c r="B11093" s="6" t="s">
        <v>13198</v>
      </c>
      <c r="C11093" s="5" t="s">
        <v>10178</v>
      </c>
      <c r="D11093" s="5" t="s">
        <v>10193</v>
      </c>
      <c r="E11093" s="2">
        <v>1257799</v>
      </c>
      <c r="F11093" s="4" t="str">
        <f>IF(B11093=B11092,"",B11093)</f>
        <v>SahÄwar</v>
      </c>
    </row>
    <row r="11094" spans="1:6" ht="15.75" customHeight="1">
      <c r="A11094" s="5" t="s">
        <v>13195</v>
      </c>
      <c r="B11094" s="6" t="s">
        <v>13196</v>
      </c>
      <c r="C11094" s="5" t="s">
        <v>10178</v>
      </c>
      <c r="D11094" s="5" t="s">
        <v>10193</v>
      </c>
      <c r="E11094" s="2">
        <v>1257806</v>
      </c>
      <c r="F11094" s="4" t="str">
        <f>IF(B11094=B11093,"",B11094)</f>
        <v>SahÄranpur</v>
      </c>
    </row>
    <row r="11095" spans="1:6" ht="15.75" customHeight="1">
      <c r="A11095" s="6" t="s">
        <v>24746</v>
      </c>
      <c r="B11095" s="6" t="s">
        <v>24747</v>
      </c>
      <c r="C11095" s="6" t="s">
        <v>24200</v>
      </c>
      <c r="D11095" s="6" t="s">
        <v>21053</v>
      </c>
      <c r="E11095" s="2">
        <v>2511619</v>
      </c>
      <c r="F11095" s="4" t="str">
        <f>IF(B11095=B11094,"",B11095)</f>
        <v>Sagunto</v>
      </c>
    </row>
    <row r="11096" spans="1:6" ht="15.75" customHeight="1">
      <c r="A11096" s="5" t="str">
        <f ca="1">IFERROR(__xludf.DUMMYFUNCTION("GOOGLETRANSLATE(B29007,""en"",""pt"")"),"Saguu")</f>
        <v>Saguu</v>
      </c>
      <c r="B11096" s="17" t="s">
        <v>24747</v>
      </c>
      <c r="C11096" s="17" t="s">
        <v>24200</v>
      </c>
      <c r="D11096" s="17" t="s">
        <v>21053</v>
      </c>
      <c r="E11096" s="10">
        <v>2511619</v>
      </c>
      <c r="F11096" s="4" t="str">
        <f>IF(B11096=B11095,"",B11096)</f>
        <v/>
      </c>
    </row>
    <row r="11097" spans="1:6" ht="15.75" customHeight="1">
      <c r="A11097" s="6" t="s">
        <v>4167</v>
      </c>
      <c r="B11097" s="6" t="s">
        <v>4167</v>
      </c>
      <c r="C11097" s="6" t="s">
        <v>3975</v>
      </c>
      <c r="D11097" s="6" t="s">
        <v>3982</v>
      </c>
      <c r="E11097" s="2">
        <v>6137270</v>
      </c>
      <c r="F11097" s="4" t="str">
        <f>IF(B11097=B11096,"",B11097)</f>
        <v>Saguenay</v>
      </c>
    </row>
    <row r="11098" spans="1:6" ht="15.75" customHeight="1">
      <c r="A11098" s="5" t="str">
        <f ca="1">IFERROR(__xludf.DUMMYFUNCTION("GOOGLETRANSLATE(B25562,""en"",""pt"")"),"Saguenay")</f>
        <v>Saguenay</v>
      </c>
      <c r="B11098" s="17" t="s">
        <v>4167</v>
      </c>
      <c r="C11098" s="17" t="s">
        <v>3975</v>
      </c>
      <c r="D11098" s="17" t="s">
        <v>3982</v>
      </c>
      <c r="E11098" s="10">
        <v>6137270</v>
      </c>
      <c r="F11098" s="4" t="str">
        <f>IF(B11098=B11097,"",B11098)</f>
        <v/>
      </c>
    </row>
    <row r="11099" spans="1:6" ht="15.75" customHeight="1">
      <c r="A11099" s="5" t="s">
        <v>5901</v>
      </c>
      <c r="B11099" s="6" t="s">
        <v>5901</v>
      </c>
      <c r="C11099" s="5" t="s">
        <v>5764</v>
      </c>
      <c r="D11099" s="5" t="s">
        <v>5803</v>
      </c>
      <c r="E11099" s="2">
        <v>3541440</v>
      </c>
      <c r="F11099" s="4" t="str">
        <f>IF(B11099=B11098,"",B11099)</f>
        <v>Sagua la Grande</v>
      </c>
    </row>
    <row r="11100" spans="1:6" ht="15.75" customHeight="1">
      <c r="A11100" s="5" t="str">
        <f ca="1">IFERROR(__xludf.DUMMYFUNCTION("GOOGLETRANSLATE(B27124,""en"",""pt"")"),"Sagua la Grande")</f>
        <v>Sagua la Grande</v>
      </c>
      <c r="B11100" s="17" t="s">
        <v>5901</v>
      </c>
      <c r="C11100" s="17" t="s">
        <v>5764</v>
      </c>
      <c r="D11100" s="17" t="s">
        <v>5803</v>
      </c>
      <c r="E11100" s="10">
        <v>3541440</v>
      </c>
      <c r="F11100" s="4" t="str">
        <f>IF(B11100=B11099,"",B11100)</f>
        <v/>
      </c>
    </row>
    <row r="11101" spans="1:6" ht="15.75" customHeight="1">
      <c r="A11101" s="5" t="str">
        <f ca="1">IFERROR(__xludf.DUMMYFUNCTION("GOOGLETRANSLATE(B27125,""en"",""pt"")"),"Sagua de Tánamo")</f>
        <v>Sagua de Tánamo</v>
      </c>
      <c r="B11101" s="17" t="s">
        <v>31913</v>
      </c>
      <c r="C11101" s="17" t="s">
        <v>5764</v>
      </c>
      <c r="D11101" s="17" t="s">
        <v>31907</v>
      </c>
      <c r="E11101" s="10">
        <v>3541446</v>
      </c>
      <c r="F11101" s="4" t="str">
        <f>IF(B11101=B11100,"",B11101)</f>
        <v>Sagua de Tánamo</v>
      </c>
    </row>
    <row r="11102" spans="1:6" ht="15.75" customHeight="1">
      <c r="A11102" s="5" t="s">
        <v>5899</v>
      </c>
      <c r="B11102" s="6" t="s">
        <v>5900</v>
      </c>
      <c r="C11102" s="5" t="s">
        <v>5764</v>
      </c>
      <c r="D11102" s="5" t="s">
        <v>5777</v>
      </c>
      <c r="E11102" s="2">
        <v>3541446</v>
      </c>
      <c r="F11102" s="4" t="str">
        <f>IF(B11102=B11101,"",B11102)</f>
        <v>Sagua de TÃ¡namo</v>
      </c>
    </row>
    <row r="11103" spans="1:6" ht="15.75" customHeight="1">
      <c r="A11103" s="6" t="s">
        <v>29869</v>
      </c>
      <c r="B11103" s="6" t="s">
        <v>29869</v>
      </c>
      <c r="C11103" s="6" t="s">
        <v>27788</v>
      </c>
      <c r="D11103" s="6" t="s">
        <v>27804</v>
      </c>
      <c r="E11103" s="2">
        <v>5007989</v>
      </c>
      <c r="F11103" s="4" t="str">
        <f>IF(B11103=B11102,"",B11103)</f>
        <v>Saginaw</v>
      </c>
    </row>
    <row r="11104" spans="1:6" ht="15.75" customHeight="1">
      <c r="A11104" s="5" t="str">
        <f ca="1">IFERROR(__xludf.DUMMYFUNCTION("GOOGLETRANSLATE(B44120,""en"",""pt"")"),"Saginaw")</f>
        <v>Saginaw</v>
      </c>
      <c r="B11104" s="17" t="s">
        <v>29869</v>
      </c>
      <c r="C11104" s="17" t="s">
        <v>27788</v>
      </c>
      <c r="D11104" s="17" t="s">
        <v>27804</v>
      </c>
      <c r="E11104" s="10">
        <v>5007989</v>
      </c>
      <c r="F11104" s="4" t="str">
        <f>IF(B11104=B11103,"",B11104)</f>
        <v/>
      </c>
    </row>
    <row r="11105" spans="1:6" ht="15.75" customHeight="1">
      <c r="A11105" s="6" t="s">
        <v>4353</v>
      </c>
      <c r="B11105" s="6" t="s">
        <v>4353</v>
      </c>
      <c r="C11105" s="6" t="s">
        <v>4305</v>
      </c>
      <c r="D11105" s="6" t="s">
        <v>4333</v>
      </c>
      <c r="E11105" s="2">
        <v>2425791</v>
      </c>
      <c r="F11105" s="4" t="str">
        <f>IF(B11105=B11104,"",B11105)</f>
        <v>Sagh</v>
      </c>
    </row>
    <row r="11106" spans="1:6" ht="15.75" customHeight="1">
      <c r="A11106" s="5" t="str">
        <f ca="1">IFERROR(__xludf.DUMMYFUNCTION("GOOGLETRANSLATE(B41472,""en"",""pt"")"),"Sagh")</f>
        <v>Sagh</v>
      </c>
      <c r="B11106" s="17" t="s">
        <v>4353</v>
      </c>
      <c r="C11106" s="17" t="s">
        <v>4305</v>
      </c>
      <c r="D11106" s="17" t="s">
        <v>4333</v>
      </c>
      <c r="E11106" s="10">
        <v>2425791</v>
      </c>
      <c r="F11106" s="4" t="str">
        <f>IF(B11106=B11105,"",B11106)</f>
        <v/>
      </c>
    </row>
    <row r="11107" spans="1:6" ht="15.75" customHeight="1">
      <c r="A11107" s="6" t="s">
        <v>20989</v>
      </c>
      <c r="B11107" s="6" t="s">
        <v>20989</v>
      </c>
      <c r="C11107" s="6" t="s">
        <v>20598</v>
      </c>
      <c r="D11107" s="6" t="s">
        <v>20627</v>
      </c>
      <c r="E11107" s="2">
        <v>1691150</v>
      </c>
      <c r="F11107" s="4" t="str">
        <f>IF(B11107=B11106,"",B11107)</f>
        <v>Sagay</v>
      </c>
    </row>
    <row r="11108" spans="1:6" ht="15.75" customHeight="1">
      <c r="A11108" s="5" t="str">
        <f ca="1">IFERROR(__xludf.DUMMYFUNCTION("GOOGLETRANSLATE(B38526,""en"",""pt"")"),"Sagay")</f>
        <v>Sagay</v>
      </c>
      <c r="B11108" s="17" t="s">
        <v>20989</v>
      </c>
      <c r="C11108" s="17" t="s">
        <v>20598</v>
      </c>
      <c r="D11108" s="17" t="s">
        <v>20627</v>
      </c>
      <c r="E11108" s="10">
        <v>1691150</v>
      </c>
      <c r="F11108" s="4" t="str">
        <f>IF(B11108=B11107,"",B11108)</f>
        <v/>
      </c>
    </row>
    <row r="11109" spans="1:6" ht="15.75" customHeight="1">
      <c r="A11109" s="6" t="s">
        <v>13194</v>
      </c>
      <c r="B11109" s="6" t="s">
        <v>13194</v>
      </c>
      <c r="C11109" s="6" t="s">
        <v>10178</v>
      </c>
      <c r="D11109" s="6" t="s">
        <v>10317</v>
      </c>
      <c r="E11109" s="2">
        <v>1257830</v>
      </c>
      <c r="F11109" s="4" t="str">
        <f>IF(B11109=B11108,"",B11109)</f>
        <v>Sagauli</v>
      </c>
    </row>
    <row r="11110" spans="1:6" ht="15.75" customHeight="1">
      <c r="A11110" s="5" t="str">
        <f ca="1">IFERROR(__xludf.DUMMYFUNCTION("GOOGLETRANSLATE(B32283,""en"",""pt"")"),"Sagauli")</f>
        <v>Sagauli</v>
      </c>
      <c r="B11110" s="17" t="s">
        <v>13194</v>
      </c>
      <c r="C11110" s="17" t="s">
        <v>10178</v>
      </c>
      <c r="D11110" s="17" t="s">
        <v>10317</v>
      </c>
      <c r="E11110" s="10">
        <v>1257830</v>
      </c>
      <c r="F11110" s="4" t="str">
        <f>IF(B11110=B11109,"",B11110)</f>
        <v/>
      </c>
    </row>
    <row r="11111" spans="1:6" ht="15.75" customHeight="1">
      <c r="A11111" s="6" t="s">
        <v>16366</v>
      </c>
      <c r="B11111" s="6" t="s">
        <v>16366</v>
      </c>
      <c r="C11111" s="6" t="s">
        <v>15704</v>
      </c>
      <c r="D11111" s="6" t="s">
        <v>15809</v>
      </c>
      <c r="E11111" s="2">
        <v>1853280</v>
      </c>
      <c r="F11111" s="4" t="str">
        <f>IF(B11111=B11110,"",B11111)</f>
        <v>Sagara</v>
      </c>
    </row>
    <row r="11112" spans="1:6" ht="15.75" customHeight="1">
      <c r="A11112" s="5" t="str">
        <f ca="1">IFERROR(__xludf.DUMMYFUNCTION("GOOGLETRANSLATE(B35329,""en"",""pt"")"),"Sagara")</f>
        <v>Sagara</v>
      </c>
      <c r="B11112" s="17" t="s">
        <v>16366</v>
      </c>
      <c r="C11112" s="17" t="s">
        <v>15704</v>
      </c>
      <c r="D11112" s="17" t="s">
        <v>15809</v>
      </c>
      <c r="E11112" s="10">
        <v>1853280</v>
      </c>
      <c r="F11112" s="4" t="str">
        <f>IF(B11112=B11111,"",B11112)</f>
        <v/>
      </c>
    </row>
    <row r="11113" spans="1:6" ht="15.75" customHeight="1">
      <c r="A11113" s="5" t="str">
        <f ca="1">IFERROR(__xludf.DUMMYFUNCTION("GOOGLETRANSLATE(B32285,""en"",""pt"")"),"Sāgar")</f>
        <v>Sāgar</v>
      </c>
      <c r="B11113" s="17" t="s">
        <v>33141</v>
      </c>
      <c r="C11113" s="17" t="s">
        <v>10178</v>
      </c>
      <c r="D11113" s="17" t="s">
        <v>10252</v>
      </c>
      <c r="E11113" s="10">
        <v>1257851</v>
      </c>
      <c r="F11113" s="4" t="str">
        <f>IF(B11113=B11112,"",B11113)</f>
        <v>Sāgar</v>
      </c>
    </row>
    <row r="11114" spans="1:6" ht="15.75" customHeight="1">
      <c r="A11114" s="6" t="s">
        <v>17614</v>
      </c>
      <c r="B11114" s="6" t="s">
        <v>17614</v>
      </c>
      <c r="C11114" s="6" t="s">
        <v>17596</v>
      </c>
      <c r="D11114" s="6" t="s">
        <v>17597</v>
      </c>
      <c r="E11114" s="2">
        <v>2451935</v>
      </c>
      <c r="F11114" s="4" t="str">
        <f>IF(B11114=B11113,"",B11114)</f>
        <v>Sagalo</v>
      </c>
    </row>
    <row r="11115" spans="1:6" ht="15.75" customHeight="1">
      <c r="A11115" s="5" t="str">
        <f ca="1">IFERROR(__xludf.DUMMYFUNCTION("GOOGLETRANSLATE(B36683,""en"",""pt"")"),"Sagalo")</f>
        <v>Sagalo</v>
      </c>
      <c r="B11115" s="17" t="s">
        <v>17614</v>
      </c>
      <c r="C11115" s="17" t="s">
        <v>17596</v>
      </c>
      <c r="D11115" s="17" t="s">
        <v>17597</v>
      </c>
      <c r="E11115" s="10">
        <v>2451935</v>
      </c>
      <c r="F11115" s="4" t="str">
        <f>IF(B11115=B11114,"",B11115)</f>
        <v/>
      </c>
    </row>
    <row r="11116" spans="1:6" ht="15.75" customHeight="1">
      <c r="A11116" s="6" t="s">
        <v>18753</v>
      </c>
      <c r="B11116" s="6" t="s">
        <v>18753</v>
      </c>
      <c r="C11116" s="6" t="s">
        <v>18696</v>
      </c>
      <c r="D11116" s="6" t="s">
        <v>18727</v>
      </c>
      <c r="E11116" s="2">
        <v>1298482</v>
      </c>
      <c r="F11116" s="4" t="str">
        <f>IF(B11116=B11115,"",B11116)</f>
        <v>Sagaing</v>
      </c>
    </row>
    <row r="11117" spans="1:6" ht="15.75" customHeight="1">
      <c r="A11117" s="5" t="str">
        <f ca="1">IFERROR(__xludf.DUMMYFUNCTION("GOOGLETRANSLATE(B36716,""en"",""pt"")"),"Sagaing")</f>
        <v>Sagaing</v>
      </c>
      <c r="B11117" s="17" t="s">
        <v>18753</v>
      </c>
      <c r="C11117" s="17" t="s">
        <v>18696</v>
      </c>
      <c r="D11117" s="17" t="s">
        <v>18727</v>
      </c>
      <c r="E11117" s="10">
        <v>1298482</v>
      </c>
      <c r="F11117" s="4" t="str">
        <f>IF(B11117=B11116,"",B11117)</f>
        <v/>
      </c>
    </row>
    <row r="11118" spans="1:6" ht="15.75" customHeight="1">
      <c r="A11118" s="6" t="s">
        <v>16365</v>
      </c>
      <c r="B11118" s="6" t="s">
        <v>16365</v>
      </c>
      <c r="C11118" s="6" t="s">
        <v>15704</v>
      </c>
      <c r="D11118" s="6" t="s">
        <v>15951</v>
      </c>
      <c r="E11118" s="2">
        <v>2111248</v>
      </c>
      <c r="F11118" s="4" t="str">
        <f>IF(B11118=B11117,"",B11118)</f>
        <v>Sagae</v>
      </c>
    </row>
    <row r="11119" spans="1:6" ht="15.75" customHeight="1">
      <c r="A11119" s="5" t="str">
        <f ca="1">IFERROR(__xludf.DUMMYFUNCTION("GOOGLETRANSLATE(B35738,""en"",""pt"")"),"Sagae")</f>
        <v>Sagae</v>
      </c>
      <c r="B11119" s="17" t="s">
        <v>16365</v>
      </c>
      <c r="C11119" s="17" t="s">
        <v>15704</v>
      </c>
      <c r="D11119" s="17" t="s">
        <v>15951</v>
      </c>
      <c r="E11119" s="10">
        <v>2111248</v>
      </c>
      <c r="F11119" s="4" t="str">
        <f>IF(B11119=B11118,"",B11119)</f>
        <v/>
      </c>
    </row>
    <row r="11120" spans="1:6" ht="15.75" customHeight="1">
      <c r="A11120" s="6" t="s">
        <v>16364</v>
      </c>
      <c r="B11120" s="6" t="s">
        <v>16364</v>
      </c>
      <c r="C11120" s="6" t="s">
        <v>15704</v>
      </c>
      <c r="D11120" s="6" t="s">
        <v>15761</v>
      </c>
      <c r="E11120" s="2">
        <v>1853303</v>
      </c>
      <c r="F11120" s="4" t="str">
        <f>IF(B11120=B11119,"",B11120)</f>
        <v>Saga</v>
      </c>
    </row>
    <row r="11121" spans="1:6" ht="15.75" customHeight="1">
      <c r="A11121" s="5" t="str">
        <f ca="1">IFERROR(__xludf.DUMMYFUNCTION("GOOGLETRANSLATE(B35330,""en"",""pt"")"),"Saga")</f>
        <v>Saga</v>
      </c>
      <c r="B11121" s="17" t="s">
        <v>16364</v>
      </c>
      <c r="C11121" s="17" t="s">
        <v>15704</v>
      </c>
      <c r="D11121" s="17" t="s">
        <v>15761</v>
      </c>
      <c r="E11121" s="10">
        <v>1853303</v>
      </c>
      <c r="F11121" s="4" t="str">
        <f>IF(B11121=B11120,"",B11121)</f>
        <v/>
      </c>
    </row>
    <row r="11122" spans="1:6" ht="15.75" customHeight="1">
      <c r="A11122" s="5" t="str">
        <f ca="1">IFERROR(__xludf.DUMMYFUNCTION("GOOGLETRANSLATE(B41020,""en"",""pt"")"),"Şafwá")</f>
        <v>Şafwá</v>
      </c>
      <c r="B11122" s="17" t="s">
        <v>35576</v>
      </c>
      <c r="C11122" s="17" t="s">
        <v>23454</v>
      </c>
      <c r="D11122" s="17" t="s">
        <v>6128</v>
      </c>
      <c r="E11122" s="10">
        <v>102585</v>
      </c>
      <c r="F11122" s="4" t="str">
        <f>IF(B11122=B11121,"",B11122)</f>
        <v>Şafwá</v>
      </c>
    </row>
    <row r="11123" spans="1:6" ht="15.75" customHeight="1">
      <c r="A11123" s="5" t="s">
        <v>26676</v>
      </c>
      <c r="B11123" s="6" t="s">
        <v>26676</v>
      </c>
      <c r="C11123" s="5" t="s">
        <v>26201</v>
      </c>
      <c r="D11123" s="5" t="s">
        <v>26579</v>
      </c>
      <c r="E11123" s="2">
        <v>740430</v>
      </c>
      <c r="F11123" s="4" t="str">
        <f>IF(B11123=B11122,"",B11123)</f>
        <v>Safranbolu</v>
      </c>
    </row>
    <row r="11124" spans="1:6" ht="15.75" customHeight="1">
      <c r="A11124" s="5" t="str">
        <f ca="1">IFERROR(__xludf.DUMMYFUNCTION("GOOGLETRANSLATE(B42123,""en"",""pt"")"),"Safranbolu")</f>
        <v>Safranbolu</v>
      </c>
      <c r="B11124" s="17" t="s">
        <v>26676</v>
      </c>
      <c r="C11124" s="17" t="s">
        <v>26201</v>
      </c>
      <c r="D11124" s="17" t="s">
        <v>35926</v>
      </c>
      <c r="E11124" s="10">
        <v>740430</v>
      </c>
      <c r="F11124" s="4" t="str">
        <f>IF(B11124=B11123,"",B11124)</f>
        <v/>
      </c>
    </row>
    <row r="11125" spans="1:6" ht="15.75" customHeight="1">
      <c r="A11125" s="6" t="s">
        <v>23021</v>
      </c>
      <c r="B11125" s="6" t="s">
        <v>23021</v>
      </c>
      <c r="C11125" s="6" t="s">
        <v>22070</v>
      </c>
      <c r="D11125" s="6" t="s">
        <v>22336</v>
      </c>
      <c r="E11125" s="2">
        <v>499452</v>
      </c>
      <c r="F11125" s="4" t="str">
        <f>IF(B11125=B11124,"",B11125)</f>
        <v>Safonovo</v>
      </c>
    </row>
    <row r="11126" spans="1:6" ht="15.75" customHeight="1">
      <c r="A11126" s="5" t="str">
        <f ca="1">IFERROR(__xludf.DUMMYFUNCTION("GOOGLETRANSLATE(B40143,""en"",""pt"")"),"Safonovo")</f>
        <v>Safonovo</v>
      </c>
      <c r="B11126" s="17" t="s">
        <v>23021</v>
      </c>
      <c r="C11126" s="17" t="s">
        <v>22070</v>
      </c>
      <c r="D11126" s="17" t="s">
        <v>22336</v>
      </c>
      <c r="E11126" s="10">
        <v>499452</v>
      </c>
      <c r="F11126" s="4" t="str">
        <f>IF(B11126=B11125,"",B11126)</f>
        <v/>
      </c>
    </row>
    <row r="11127" spans="1:6" ht="15.75" customHeight="1">
      <c r="A11127" s="5" t="str">
        <f ca="1">IFERROR(__xludf.DUMMYFUNCTION("GOOGLETRANSLATE(B32286,""en"",""pt"")"),"Safīpur")</f>
        <v>Safīpur</v>
      </c>
      <c r="B11127" s="17" t="s">
        <v>33142</v>
      </c>
      <c r="C11127" s="17" t="s">
        <v>10178</v>
      </c>
      <c r="D11127" s="17" t="s">
        <v>10193</v>
      </c>
      <c r="E11127" s="10">
        <v>1257854</v>
      </c>
      <c r="F11127" s="4" t="str">
        <f>IF(B11127=B11126,"",B11127)</f>
        <v>Safīpur</v>
      </c>
    </row>
    <row r="11128" spans="1:6" ht="15.75" customHeight="1">
      <c r="A11128" s="6" t="s">
        <v>13193</v>
      </c>
      <c r="B11128" s="6" t="s">
        <v>13193</v>
      </c>
      <c r="C11128" s="6" t="s">
        <v>10178</v>
      </c>
      <c r="D11128" s="6" t="s">
        <v>10224</v>
      </c>
      <c r="E11128" s="2">
        <v>1257855</v>
      </c>
      <c r="F11128" s="4" t="str">
        <f>IF(B11128=B11127,"",B11128)</f>
        <v>Safidon</v>
      </c>
    </row>
    <row r="11129" spans="1:6" ht="15.75" customHeight="1">
      <c r="A11129" s="5" t="str">
        <f ca="1">IFERROR(__xludf.DUMMYFUNCTION("GOOGLETRANSLATE(B32287,""en"",""pt"")"),"Safidon")</f>
        <v>Safidon</v>
      </c>
      <c r="B11129" s="17" t="s">
        <v>13193</v>
      </c>
      <c r="C11129" s="17" t="s">
        <v>10178</v>
      </c>
      <c r="D11129" s="17" t="s">
        <v>10224</v>
      </c>
      <c r="E11129" s="10">
        <v>1257855</v>
      </c>
      <c r="F11129" s="4" t="str">
        <f>IF(B11129=B11128,"",B11129)</f>
        <v/>
      </c>
    </row>
    <row r="11130" spans="1:6" ht="15.75" customHeight="1">
      <c r="A11130" s="6" t="s">
        <v>16665</v>
      </c>
      <c r="B11130" s="6" t="s">
        <v>16665</v>
      </c>
      <c r="C11130" s="6" t="s">
        <v>16624</v>
      </c>
      <c r="D11130" s="6" t="s">
        <v>16630</v>
      </c>
      <c r="E11130" s="2">
        <v>250267</v>
      </c>
      <c r="F11130" s="4" t="str">
        <f>IF(B11130=B11129,"",B11130)</f>
        <v>Safi</v>
      </c>
    </row>
    <row r="11131" spans="1:6" ht="15.75" customHeight="1">
      <c r="A11131" s="6" t="s">
        <v>16665</v>
      </c>
      <c r="B11131" s="6" t="s">
        <v>16665</v>
      </c>
      <c r="C11131" s="6" t="s">
        <v>18551</v>
      </c>
      <c r="D11131" s="6" t="s">
        <v>18561</v>
      </c>
      <c r="E11131" s="2">
        <v>2537881</v>
      </c>
      <c r="F11131" s="4" t="str">
        <f>IF(B11131=B11130,"",B11131)</f>
        <v/>
      </c>
    </row>
    <row r="11132" spans="1:6" ht="15.75" customHeight="1">
      <c r="A11132" s="5" t="str">
        <f ca="1">IFERROR(__xludf.DUMMYFUNCTION("GOOGLETRANSLATE(B35136,""en"",""pt"")"),"Safi")</f>
        <v>Safi</v>
      </c>
      <c r="B11132" s="17" t="s">
        <v>16665</v>
      </c>
      <c r="C11132" s="17" t="s">
        <v>16624</v>
      </c>
      <c r="D11132" s="17" t="s">
        <v>16630</v>
      </c>
      <c r="E11132" s="10">
        <v>250267</v>
      </c>
      <c r="F11132" s="4" t="str">
        <f>IF(B11132=B11131,"",B11132)</f>
        <v/>
      </c>
    </row>
    <row r="11133" spans="1:6" ht="15.75" customHeight="1">
      <c r="A11133" s="5" t="str">
        <f ca="1">IFERROR(__xludf.DUMMYFUNCTION("GOOGLETRANSLATE(B36477,""en"",""pt"")"),"Safi")</f>
        <v>Safi</v>
      </c>
      <c r="B11133" s="17" t="s">
        <v>16665</v>
      </c>
      <c r="C11133" s="17" t="s">
        <v>18551</v>
      </c>
      <c r="D11133" s="17" t="s">
        <v>18561</v>
      </c>
      <c r="E11133" s="10">
        <v>2537881</v>
      </c>
      <c r="F11133" s="4" t="str">
        <f>IF(B11133=B11132,"",B11133)</f>
        <v/>
      </c>
    </row>
    <row r="11134" spans="1:6" ht="15.75" customHeight="1">
      <c r="A11134" s="5" t="s">
        <v>29867</v>
      </c>
      <c r="B11134" s="6" t="s">
        <v>29868</v>
      </c>
      <c r="C11134" s="5" t="s">
        <v>27788</v>
      </c>
      <c r="D11134" s="5" t="s">
        <v>5468</v>
      </c>
      <c r="E11134" s="2">
        <v>4170797</v>
      </c>
      <c r="F11134" s="4" t="str">
        <f>IF(B11134=B11133,"",B11134)</f>
        <v>Safety Harbor</v>
      </c>
    </row>
    <row r="11135" spans="1:6" ht="15.75" customHeight="1">
      <c r="A11135" s="5" t="str">
        <f ca="1">IFERROR(__xludf.DUMMYFUNCTION("GOOGLETRANSLATE(B43008,""en"",""pt"")"),"Porto de segurança")</f>
        <v>Porto de segurança</v>
      </c>
      <c r="B11135" s="17" t="s">
        <v>29868</v>
      </c>
      <c r="C11135" s="17" t="s">
        <v>27788</v>
      </c>
      <c r="D11135" s="17" t="s">
        <v>5468</v>
      </c>
      <c r="E11135" s="10">
        <v>4170797</v>
      </c>
      <c r="F11135" s="4" t="str">
        <f>IF(B11135=B11134,"",B11135)</f>
        <v/>
      </c>
    </row>
    <row r="11136" spans="1:6" ht="15.75" customHeight="1">
      <c r="A11136" s="6" t="s">
        <v>14871</v>
      </c>
      <c r="B11136" s="6" t="s">
        <v>14871</v>
      </c>
      <c r="C11136" s="6" t="s">
        <v>14773</v>
      </c>
      <c r="D11136" s="6" t="s">
        <v>14774</v>
      </c>
      <c r="E11136" s="2">
        <v>293100</v>
      </c>
      <c r="F11136" s="4" t="str">
        <f>IF(B11136=B11135,"",B11136)</f>
        <v>Safed</v>
      </c>
    </row>
    <row r="11137" spans="1:6" ht="15.75" customHeight="1">
      <c r="A11137" s="5" t="str">
        <f ca="1">IFERROR(__xludf.DUMMYFUNCTION("GOOGLETRANSLATE(B31757,""en"",""pt"")"),"Safed")</f>
        <v>Safed</v>
      </c>
      <c r="B11137" s="17" t="s">
        <v>14871</v>
      </c>
      <c r="C11137" s="17" t="s">
        <v>14773</v>
      </c>
      <c r="D11137" s="17" t="s">
        <v>14774</v>
      </c>
      <c r="E11137" s="10">
        <v>293100</v>
      </c>
      <c r="F11137" s="4" t="str">
        <f>IF(B11137=B11136,"",B11137)</f>
        <v/>
      </c>
    </row>
    <row r="11138" spans="1:6" ht="15.75" customHeight="1">
      <c r="A11138" s="6" t="s">
        <v>22010</v>
      </c>
      <c r="B11138" s="6" t="s">
        <v>22011</v>
      </c>
      <c r="C11138" s="6" t="s">
        <v>21824</v>
      </c>
      <c r="D11138" s="6" t="s">
        <v>21863</v>
      </c>
      <c r="E11138" s="2">
        <v>668314</v>
      </c>
      <c r="F11138" s="4" t="str">
        <f>IF(B11138=B11137,"",B11138)</f>
        <v>SÄƒcele</v>
      </c>
    </row>
    <row r="11139" spans="1:6" ht="15.75" customHeight="1">
      <c r="A11139" s="6" t="s">
        <v>13191</v>
      </c>
      <c r="B11139" s="6" t="s">
        <v>13192</v>
      </c>
      <c r="C11139" s="6" t="s">
        <v>10178</v>
      </c>
      <c r="D11139" s="6" t="s">
        <v>10193</v>
      </c>
      <c r="E11139" s="2">
        <v>1257854</v>
      </c>
      <c r="F11139" s="4" t="str">
        <f>IF(B11139=B11138,"",B11139)</f>
        <v>SafÄ«pur</v>
      </c>
    </row>
    <row r="11140" spans="1:6" ht="15.75" customHeight="1">
      <c r="A11140" s="5" t="s">
        <v>30906</v>
      </c>
      <c r="B11140" s="6" t="s">
        <v>30907</v>
      </c>
      <c r="C11140" s="5" t="s">
        <v>30784</v>
      </c>
      <c r="D11140" s="5" t="s">
        <v>30844</v>
      </c>
      <c r="E11140" s="2">
        <v>1567621</v>
      </c>
      <c r="F11140" s="4" t="str">
        <f>IF(B11140=B11139,"",B11140)</f>
        <v>SÆ¡n TÃ¢y</v>
      </c>
    </row>
    <row r="11141" spans="1:6" ht="15.75" customHeight="1">
      <c r="A11141" s="6" t="s">
        <v>30904</v>
      </c>
      <c r="B11141" s="6" t="s">
        <v>30905</v>
      </c>
      <c r="C11141" s="6" t="s">
        <v>30784</v>
      </c>
      <c r="D11141" s="6" t="s">
        <v>30905</v>
      </c>
      <c r="E11141" s="2">
        <v>1567681</v>
      </c>
      <c r="F11141" s="4" t="str">
        <f>IF(B11141=B11140,"",B11141)</f>
        <v>SÆ¡n La</v>
      </c>
    </row>
    <row r="11142" spans="1:6" ht="15.75" customHeight="1">
      <c r="A11142" s="5" t="str">
        <f ca="1">IFERROR(__xludf.DUMMYFUNCTION("GOOGLETRANSLATE(B32288,""en"",""pt"")"),"Sādri")</f>
        <v>Sādri</v>
      </c>
      <c r="B11142" s="17" t="s">
        <v>33143</v>
      </c>
      <c r="C11142" s="17" t="s">
        <v>10178</v>
      </c>
      <c r="D11142" s="17" t="s">
        <v>10179</v>
      </c>
      <c r="E11142" s="10">
        <v>1257865</v>
      </c>
      <c r="F11142" s="4" t="str">
        <f>IF(B11142=B11141,"",B11142)</f>
        <v>Sādri</v>
      </c>
    </row>
    <row r="11143" spans="1:6" ht="15.75" customHeight="1">
      <c r="A11143" s="5" t="str">
        <f ca="1">IFERROR(__xludf.DUMMYFUNCTION("GOOGLETRANSLATE(B38932,""en"",""pt"")"),"Sādiqābād")</f>
        <v>Sādiqābād</v>
      </c>
      <c r="B11143" s="17" t="s">
        <v>34923</v>
      </c>
      <c r="C11143" s="17" t="s">
        <v>19808</v>
      </c>
      <c r="D11143" s="17" t="s">
        <v>10184</v>
      </c>
      <c r="E11143" s="10">
        <v>1166652</v>
      </c>
      <c r="F11143" s="4" t="str">
        <f>IF(B11143=B11142,"",B11143)</f>
        <v>Sādiqābād</v>
      </c>
    </row>
    <row r="11144" spans="1:6" ht="15.75" customHeight="1">
      <c r="A11144" s="6" t="s">
        <v>30903</v>
      </c>
      <c r="B11144" s="6" t="s">
        <v>30903</v>
      </c>
      <c r="C11144" s="6" t="s">
        <v>30784</v>
      </c>
      <c r="D11144" s="6" t="s">
        <v>30823</v>
      </c>
      <c r="E11144" s="2">
        <v>1568212</v>
      </c>
      <c r="F11144" s="4" t="str">
        <f>IF(B11144=B11143,"",B11144)</f>
        <v>Sadek</v>
      </c>
    </row>
    <row r="11145" spans="1:6" ht="15.75" customHeight="1">
      <c r="A11145" s="5" t="str">
        <f ca="1">IFERROR(__xludf.DUMMYFUNCTION("GOOGLETRANSLATE(B45734,""en"",""pt"")"),"Sadek")</f>
        <v>Sadek</v>
      </c>
      <c r="B11145" s="17" t="s">
        <v>30903</v>
      </c>
      <c r="C11145" s="17" t="s">
        <v>30784</v>
      </c>
      <c r="D11145" s="17" t="s">
        <v>36139</v>
      </c>
      <c r="E11145" s="10">
        <v>1568212</v>
      </c>
      <c r="F11145" s="4" t="str">
        <f>IF(B11145=B11144,"",B11145)</f>
        <v/>
      </c>
    </row>
    <row r="11146" spans="1:6" ht="15.75" customHeight="1">
      <c r="A11146" s="5" t="str">
        <f ca="1">IFERROR(__xludf.DUMMYFUNCTION("GOOGLETRANSLATE(B32289,""en"",""pt"")"),"Sadāseopet")</f>
        <v>Sadāseopet</v>
      </c>
      <c r="B11146" s="17" t="s">
        <v>33144</v>
      </c>
      <c r="C11146" s="17" t="s">
        <v>10178</v>
      </c>
      <c r="D11146" s="17" t="s">
        <v>10187</v>
      </c>
      <c r="E11146" s="10">
        <v>1257890</v>
      </c>
      <c r="F11146" s="4" t="str">
        <f>IF(B11146=B11145,"",B11146)</f>
        <v>Sadāseopet</v>
      </c>
    </row>
    <row r="11147" spans="1:6" ht="15.75" customHeight="1">
      <c r="A11147" s="6" t="s">
        <v>25981</v>
      </c>
      <c r="B11147" s="6" t="s">
        <v>25981</v>
      </c>
      <c r="C11147" s="6" t="s">
        <v>25771</v>
      </c>
      <c r="D11147" s="6" t="s">
        <v>25794</v>
      </c>
      <c r="E11147" s="2">
        <v>1606939</v>
      </c>
      <c r="F11147" s="4" t="str">
        <f>IF(B11147=B11146,"",B11147)</f>
        <v>Sadao</v>
      </c>
    </row>
    <row r="11148" spans="1:6" ht="15.75" customHeight="1">
      <c r="A11148" s="5" t="str">
        <f ca="1">IFERROR(__xludf.DUMMYFUNCTION("GOOGLETRANSLATE(B41617,""en"",""pt"")"),"Sadao")</f>
        <v>Sadao</v>
      </c>
      <c r="B11148" s="17" t="s">
        <v>25981</v>
      </c>
      <c r="C11148" s="17" t="s">
        <v>25771</v>
      </c>
      <c r="D11148" s="17" t="s">
        <v>25794</v>
      </c>
      <c r="E11148" s="10">
        <v>1606939</v>
      </c>
      <c r="F11148" s="4" t="str">
        <f>IF(B11148=B11147,"",B11148)</f>
        <v/>
      </c>
    </row>
    <row r="11149" spans="1:6" ht="15.75" customHeight="1">
      <c r="A11149" s="6" t="s">
        <v>13190</v>
      </c>
      <c r="B11149" s="6" t="s">
        <v>13190</v>
      </c>
      <c r="C11149" s="6" t="s">
        <v>10178</v>
      </c>
      <c r="D11149" s="6" t="s">
        <v>10252</v>
      </c>
      <c r="E11149" s="2">
        <v>1257895</v>
      </c>
      <c r="F11149" s="4" t="str">
        <f>IF(B11149=B11148,"",B11149)</f>
        <v>Sadalgi</v>
      </c>
    </row>
    <row r="11150" spans="1:6" ht="15.75" customHeight="1">
      <c r="A11150" s="5" t="str">
        <f ca="1">IFERROR(__xludf.DUMMYFUNCTION("GOOGLETRANSLATE(B32290,""en"",""pt"")"),"Sadalgi")</f>
        <v>Sadalgi</v>
      </c>
      <c r="B11150" s="17" t="s">
        <v>13190</v>
      </c>
      <c r="C11150" s="17" t="s">
        <v>10178</v>
      </c>
      <c r="D11150" s="17" t="s">
        <v>10252</v>
      </c>
      <c r="E11150" s="10">
        <v>1257895</v>
      </c>
      <c r="F11150" s="4" t="str">
        <f>IF(B11150=B11149,"",B11150)</f>
        <v/>
      </c>
    </row>
    <row r="11151" spans="1:6" ht="15.75" customHeight="1">
      <c r="A11151" s="6" t="s">
        <v>31024</v>
      </c>
      <c r="B11151" s="6" t="s">
        <v>31024</v>
      </c>
      <c r="C11151" s="6" t="s">
        <v>30993</v>
      </c>
      <c r="D11151" s="6" t="s">
        <v>31025</v>
      </c>
      <c r="E11151" s="2">
        <v>71334</v>
      </c>
      <c r="F11151" s="4" t="str">
        <f>IF(B11151=B11150,"",B11151)</f>
        <v>Sa'dah</v>
      </c>
    </row>
    <row r="11152" spans="1:6" ht="15.75" customHeight="1">
      <c r="A11152" s="5" t="str">
        <f ca="1">IFERROR(__xludf.DUMMYFUNCTION("GOOGLETRANSLATE(B45823,""en"",""pt"")"),"Sa'dah")</f>
        <v>Sa'dah</v>
      </c>
      <c r="B11152" s="17" t="s">
        <v>31024</v>
      </c>
      <c r="C11152" s="17" t="s">
        <v>30993</v>
      </c>
      <c r="D11152" s="17" t="s">
        <v>36218</v>
      </c>
      <c r="E11152" s="10">
        <v>71334</v>
      </c>
      <c r="F11152" s="4" t="str">
        <f>IF(B11152=B11151,"",B11152)</f>
        <v/>
      </c>
    </row>
    <row r="11153" spans="1:6" ht="15.75" customHeight="1">
      <c r="A11153" s="6" t="s">
        <v>17389</v>
      </c>
      <c r="B11153" s="6" t="s">
        <v>17389</v>
      </c>
      <c r="C11153" s="6" t="s">
        <v>17292</v>
      </c>
      <c r="D11153" s="6" t="s">
        <v>17293</v>
      </c>
      <c r="E11153" s="2">
        <v>1057688</v>
      </c>
      <c r="F11153" s="4" t="str">
        <f>IF(B11153=B11152,"",B11153)</f>
        <v>Sadabe</v>
      </c>
    </row>
    <row r="11154" spans="1:6" ht="15.75" customHeight="1">
      <c r="A11154" s="5" t="str">
        <f ca="1">IFERROR(__xludf.DUMMYFUNCTION("GOOGLETRANSLATE(B36573,""en"",""pt"")"),"Sadabe")</f>
        <v>Sadabe</v>
      </c>
      <c r="B11154" s="17" t="s">
        <v>17389</v>
      </c>
      <c r="C11154" s="17" t="s">
        <v>17292</v>
      </c>
      <c r="D11154" s="17" t="s">
        <v>17293</v>
      </c>
      <c r="E11154" s="10">
        <v>1057688</v>
      </c>
      <c r="F11154" s="4" t="str">
        <f>IF(B11154=B11153,"",B11154)</f>
        <v/>
      </c>
    </row>
    <row r="11155" spans="1:6" ht="15.75" customHeight="1">
      <c r="A11155" s="5" t="str">
        <f ca="1">IFERROR(__xludf.DUMMYFUNCTION("GOOGLETRANSLATE(B32291,""en"",""pt"")"),"Sadābād")</f>
        <v>Sadābād</v>
      </c>
      <c r="B11155" s="17" t="s">
        <v>33145</v>
      </c>
      <c r="C11155" s="17" t="s">
        <v>10178</v>
      </c>
      <c r="D11155" s="17" t="s">
        <v>10193</v>
      </c>
      <c r="E11155" s="10">
        <v>1257896</v>
      </c>
      <c r="F11155" s="4" t="str">
        <f>IF(B11155=B11154,"",B11155)</f>
        <v>Sadābād</v>
      </c>
    </row>
    <row r="11156" spans="1:6" ht="15.75" customHeight="1">
      <c r="A11156" s="5" t="s">
        <v>13188</v>
      </c>
      <c r="B11156" s="6" t="s">
        <v>13189</v>
      </c>
      <c r="C11156" s="5" t="s">
        <v>10178</v>
      </c>
      <c r="D11156" s="5" t="s">
        <v>10187</v>
      </c>
      <c r="E11156" s="2">
        <v>1257890</v>
      </c>
      <c r="F11156" s="4" t="str">
        <f>IF(B11156=B11155,"",B11156)</f>
        <v>SadÄseopet</v>
      </c>
    </row>
    <row r="11157" spans="1:6" ht="15.75" customHeight="1">
      <c r="A11157" s="6" t="s">
        <v>13186</v>
      </c>
      <c r="B11157" s="6" t="s">
        <v>13187</v>
      </c>
      <c r="C11157" s="6" t="s">
        <v>10178</v>
      </c>
      <c r="D11157" s="6" t="s">
        <v>10193</v>
      </c>
      <c r="E11157" s="2">
        <v>1257896</v>
      </c>
      <c r="F11157" s="4" t="str">
        <f>IF(B11157=B11156,"",B11157)</f>
        <v>SadÄbÄd</v>
      </c>
    </row>
    <row r="11158" spans="1:6" ht="15.75" customHeight="1">
      <c r="A11158" s="5" t="s">
        <v>3375</v>
      </c>
      <c r="B11158" s="6" t="s">
        <v>3375</v>
      </c>
      <c r="C11158" s="5" t="s">
        <v>1905</v>
      </c>
      <c r="D11158" s="5" t="s">
        <v>1917</v>
      </c>
      <c r="E11158" s="2">
        <v>3450759</v>
      </c>
      <c r="F11158" s="4" t="str">
        <f>IF(B11158=B11157,"",B11158)</f>
        <v>Sacramento</v>
      </c>
    </row>
    <row r="11159" spans="1:6" ht="15.75" customHeight="1">
      <c r="A11159" s="5" t="s">
        <v>3375</v>
      </c>
      <c r="B11159" s="6" t="s">
        <v>3375</v>
      </c>
      <c r="C11159" s="5" t="s">
        <v>27788</v>
      </c>
      <c r="D11159" s="5" t="s">
        <v>27801</v>
      </c>
      <c r="E11159" s="2">
        <v>5389489</v>
      </c>
      <c r="F11159" s="4" t="str">
        <f>IF(B11159=B11158,"",B11159)</f>
        <v/>
      </c>
    </row>
    <row r="11160" spans="1:6" ht="15.75" customHeight="1">
      <c r="A11160" s="5" t="str">
        <f ca="1">IFERROR(__xludf.DUMMYFUNCTION("GOOGLETRANSLATE(B24626,""en"",""pt"")"),"Sacramento")</f>
        <v>Sacramento</v>
      </c>
      <c r="B11160" s="17" t="s">
        <v>3375</v>
      </c>
      <c r="C11160" s="17" t="s">
        <v>1905</v>
      </c>
      <c r="D11160" s="17" t="s">
        <v>1917</v>
      </c>
      <c r="E11160" s="10">
        <v>3450759</v>
      </c>
      <c r="F11160" s="4" t="str">
        <f>IF(B11160=B11159,"",B11160)</f>
        <v/>
      </c>
    </row>
    <row r="11161" spans="1:6" ht="15.75" customHeight="1">
      <c r="A11161" s="5" t="str">
        <f ca="1">IFERROR(__xludf.DUMMYFUNCTION("GOOGLETRANSLATE(B44996,""en"",""pt"")"),"Sacramento")</f>
        <v>Sacramento</v>
      </c>
      <c r="B11161" s="17" t="s">
        <v>3375</v>
      </c>
      <c r="C11161" s="17" t="s">
        <v>27788</v>
      </c>
      <c r="D11161" s="17" t="s">
        <v>27801</v>
      </c>
      <c r="E11161" s="10">
        <v>5389489</v>
      </c>
      <c r="F11161" s="4" t="str">
        <f>IF(B11161=B11160,"",B11161)</f>
        <v/>
      </c>
    </row>
    <row r="11162" spans="1:6" ht="15.75" customHeight="1">
      <c r="A11162" s="6" t="s">
        <v>29866</v>
      </c>
      <c r="B11162" s="6" t="s">
        <v>29866</v>
      </c>
      <c r="C11162" s="6" t="s">
        <v>27788</v>
      </c>
      <c r="D11162" s="6" t="s">
        <v>27920</v>
      </c>
      <c r="E11162" s="2">
        <v>4977222</v>
      </c>
      <c r="F11162" s="4" t="str">
        <f>IF(B11162=B11161,"",B11162)</f>
        <v>Saco</v>
      </c>
    </row>
    <row r="11163" spans="1:6" ht="15.75" customHeight="1">
      <c r="A11163" s="5" t="str">
        <f ca="1">IFERROR(__xludf.DUMMYFUNCTION("GOOGLETRANSLATE(B44057,""en"",""pt"")"),"Saco")</f>
        <v>Saco</v>
      </c>
      <c r="B11163" s="17" t="s">
        <v>29866</v>
      </c>
      <c r="C11163" s="17" t="s">
        <v>27788</v>
      </c>
      <c r="D11163" s="17" t="s">
        <v>27920</v>
      </c>
      <c r="E11163" s="10">
        <v>4977222</v>
      </c>
      <c r="F11163" s="4" t="str">
        <f>IF(B11163=B11162,"",B11163)</f>
        <v/>
      </c>
    </row>
    <row r="11164" spans="1:6" ht="15.75" customHeight="1">
      <c r="A11164" s="6" t="s">
        <v>15428</v>
      </c>
      <c r="B11164" s="6" t="s">
        <v>15428</v>
      </c>
      <c r="C11164" s="6" t="s">
        <v>14891</v>
      </c>
      <c r="D11164" s="6" t="s">
        <v>15105</v>
      </c>
      <c r="E11164" s="2">
        <v>3168730</v>
      </c>
      <c r="F11164" s="4" t="str">
        <f>IF(B11164=B11163,"",B11164)</f>
        <v>Sacile</v>
      </c>
    </row>
    <row r="11165" spans="1:6" ht="15.75" customHeight="1">
      <c r="A11165" s="5" t="str">
        <f ca="1">IFERROR(__xludf.DUMMYFUNCTION("GOOGLETRANSLATE(B34731,""en"",""pt"")"),"Sacile")</f>
        <v>Sacile</v>
      </c>
      <c r="B11165" s="17" t="s">
        <v>15428</v>
      </c>
      <c r="C11165" s="17" t="s">
        <v>14891</v>
      </c>
      <c r="D11165" s="17" t="s">
        <v>15105</v>
      </c>
      <c r="E11165" s="10">
        <v>3168730</v>
      </c>
      <c r="F11165" s="4" t="str">
        <f>IF(B11165=B11164,"",B11165)</f>
        <v/>
      </c>
    </row>
    <row r="11166" spans="1:6" ht="15.75" customHeight="1">
      <c r="A11166" s="5" t="str">
        <f ca="1">IFERROR(__xludf.DUMMYFUNCTION("GOOGLETRANSLATE(B39751,""en"",""pt"")"),"Săcele")</f>
        <v>Săcele</v>
      </c>
      <c r="B11166" s="17" t="s">
        <v>35353</v>
      </c>
      <c r="C11166" s="17" t="s">
        <v>21824</v>
      </c>
      <c r="D11166" s="17" t="s">
        <v>35330</v>
      </c>
      <c r="E11166" s="10">
        <v>668314</v>
      </c>
      <c r="F11166" s="4" t="str">
        <f>IF(B11166=B11165,"",B11166)</f>
        <v>Săcele</v>
      </c>
    </row>
    <row r="11167" spans="1:6" ht="15.75" customHeight="1">
      <c r="A11167" s="5" t="str">
        <f ca="1">IFERROR(__xludf.DUMMYFUNCTION("GOOGLETRANSLATE(B39575,""en"",""pt"")"),"Sacavém")</f>
        <v>Sacavém</v>
      </c>
      <c r="B11167" s="17" t="s">
        <v>35291</v>
      </c>
      <c r="C11167" s="17" t="s">
        <v>21606</v>
      </c>
      <c r="D11167" s="17" t="s">
        <v>21616</v>
      </c>
      <c r="E11167" s="10">
        <v>2263667</v>
      </c>
      <c r="F11167" s="4" t="str">
        <f>IF(B11167=B11166,"",B11167)</f>
        <v>Sacavém</v>
      </c>
    </row>
    <row r="11168" spans="1:6" ht="15.75" customHeight="1">
      <c r="A11168" s="6" t="s">
        <v>21730</v>
      </c>
      <c r="B11168" s="6" t="s">
        <v>21731</v>
      </c>
      <c r="C11168" s="6" t="s">
        <v>21606</v>
      </c>
      <c r="D11168" s="6" t="s">
        <v>21616</v>
      </c>
      <c r="E11168" s="2">
        <v>2263667</v>
      </c>
      <c r="F11168" s="4" t="str">
        <f>IF(B11168=B11167,"",B11168)</f>
        <v>SacavÃ©m</v>
      </c>
    </row>
    <row r="11169" spans="1:6" ht="15.75" customHeight="1">
      <c r="A11169" s="6" t="s">
        <v>14531</v>
      </c>
      <c r="B11169" s="6" t="s">
        <v>14531</v>
      </c>
      <c r="C11169" s="6" t="s">
        <v>14240</v>
      </c>
      <c r="D11169" s="6" t="s">
        <v>14351</v>
      </c>
      <c r="E11169" s="2">
        <v>118063</v>
      </c>
      <c r="F11169" s="4" t="str">
        <f>IF(B11169=B11168,"",B11169)</f>
        <v>Sabzevar</v>
      </c>
    </row>
    <row r="11170" spans="1:6" ht="15.75" customHeight="1">
      <c r="A11170" s="5" t="str">
        <f ca="1">IFERROR(__xludf.DUMMYFUNCTION("GOOGLETRANSLATE(B34379,""en"",""pt"")"),"Sabzevar")</f>
        <v>Sabzevar</v>
      </c>
      <c r="B11170" s="17" t="s">
        <v>14531</v>
      </c>
      <c r="C11170" s="17" t="s">
        <v>14240</v>
      </c>
      <c r="D11170" s="17" t="s">
        <v>14351</v>
      </c>
      <c r="E11170" s="10">
        <v>118063</v>
      </c>
      <c r="F11170" s="4" t="str">
        <f>IF(B11170=B11169,"",B11170)</f>
        <v/>
      </c>
    </row>
    <row r="11171" spans="1:6" ht="15.75" customHeight="1">
      <c r="A11171" s="5" t="str">
        <f ca="1">IFERROR(__xludf.DUMMYFUNCTION("GOOGLETRANSLATE(B41021,""en"",""pt"")"),"Şabyā")</f>
        <v>Şabyā</v>
      </c>
      <c r="B11171" s="17" t="s">
        <v>35577</v>
      </c>
      <c r="C11171" s="17" t="s">
        <v>23454</v>
      </c>
      <c r="D11171" s="17" t="s">
        <v>23467</v>
      </c>
      <c r="E11171" s="10">
        <v>102651</v>
      </c>
      <c r="F11171" s="4" t="str">
        <f>IF(B11171=B11170,"",B11171)</f>
        <v>Şabyā</v>
      </c>
    </row>
    <row r="11172" spans="1:6" ht="15.75" customHeight="1">
      <c r="A11172" s="5" t="str">
        <f ca="1">IFERROR(__xludf.DUMMYFUNCTION("GOOGLETRANSLATE(B23643,""en"",""pt"")"),"Sabunçu")</f>
        <v>Sabunçu</v>
      </c>
      <c r="B11172" s="17" t="s">
        <v>31239</v>
      </c>
      <c r="C11172" s="17" t="s">
        <v>1170</v>
      </c>
      <c r="D11172" s="17" t="s">
        <v>1181</v>
      </c>
      <c r="E11172" s="10">
        <v>585184</v>
      </c>
      <c r="F11172" s="4" t="str">
        <f>IF(B11172=B11171,"",B11172)</f>
        <v>Sabunçu</v>
      </c>
    </row>
    <row r="11173" spans="1:6" ht="15.75" customHeight="1">
      <c r="A11173" s="5" t="s">
        <v>1243</v>
      </c>
      <c r="B11173" s="6" t="s">
        <v>1244</v>
      </c>
      <c r="C11173" s="5" t="s">
        <v>1170</v>
      </c>
      <c r="D11173" s="5" t="s">
        <v>1181</v>
      </c>
      <c r="E11173" s="2">
        <v>585184</v>
      </c>
      <c r="F11173" s="4" t="str">
        <f>IF(B11173=B11172,"",B11173)</f>
        <v>SabunÃ§u</v>
      </c>
    </row>
    <row r="11174" spans="1:6" ht="15.75" customHeight="1">
      <c r="A11174" s="5" t="str">
        <f ca="1">IFERROR(__xludf.DUMMYFUNCTION("GOOGLETRANSLATE(B36435,""en"",""pt"")"),"Şabrātah")</f>
        <v>Şabrātah</v>
      </c>
      <c r="B11174" s="17" t="s">
        <v>34570</v>
      </c>
      <c r="C11174" s="17" t="s">
        <v>17074</v>
      </c>
      <c r="D11174" s="17" t="s">
        <v>34569</v>
      </c>
      <c r="E11174" s="10">
        <v>2212771</v>
      </c>
      <c r="F11174" s="4" t="str">
        <f>IF(B11174=B11173,"",B11174)</f>
        <v>Şabrātah</v>
      </c>
    </row>
    <row r="11175" spans="1:6" ht="15.75" customHeight="1">
      <c r="A11175" s="6" t="s">
        <v>20988</v>
      </c>
      <c r="B11175" s="6" t="s">
        <v>20988</v>
      </c>
      <c r="C11175" s="6" t="s">
        <v>20598</v>
      </c>
      <c r="D11175" s="6" t="s">
        <v>20715</v>
      </c>
      <c r="E11175" s="2">
        <v>1691280</v>
      </c>
      <c r="F11175" s="4" t="str">
        <f>IF(B11175=B11174,"",B11175)</f>
        <v>Sablayan</v>
      </c>
    </row>
    <row r="11176" spans="1:6" ht="15.75" customHeight="1">
      <c r="A11176" s="5" t="str">
        <f ca="1">IFERROR(__xludf.DUMMYFUNCTION("GOOGLETRANSLATE(B38527,""en"",""pt"")"),"Sablayan")</f>
        <v>Sablayan</v>
      </c>
      <c r="B11176" s="17" t="s">
        <v>20988</v>
      </c>
      <c r="C11176" s="17" t="s">
        <v>20598</v>
      </c>
      <c r="D11176" s="17" t="s">
        <v>20715</v>
      </c>
      <c r="E11176" s="10">
        <v>1691280</v>
      </c>
      <c r="F11176" s="4" t="str">
        <f>IF(B11176=B11175,"",B11176)</f>
        <v/>
      </c>
    </row>
    <row r="11177" spans="1:6" ht="15.75" customHeight="1">
      <c r="A11177" s="5" t="s">
        <v>1242</v>
      </c>
      <c r="B11177" s="6" t="s">
        <v>1242</v>
      </c>
      <c r="C11177" s="5" t="s">
        <v>1170</v>
      </c>
      <c r="D11177" s="5" t="s">
        <v>1242</v>
      </c>
      <c r="E11177" s="2">
        <v>585187</v>
      </c>
      <c r="F11177" s="4" t="str">
        <f>IF(B11177=B11176,"",B11177)</f>
        <v>Sabirabad</v>
      </c>
    </row>
    <row r="11178" spans="1:6" ht="15.75" customHeight="1">
      <c r="A11178" s="5" t="str">
        <f ca="1">IFERROR(__xludf.DUMMYFUNCTION("GOOGLETRANSLATE(B23644,""en"",""pt"")"),"Sabirabad")</f>
        <v>Sabirabad</v>
      </c>
      <c r="B11178" s="17" t="s">
        <v>1242</v>
      </c>
      <c r="C11178" s="17" t="s">
        <v>1170</v>
      </c>
      <c r="D11178" s="17" t="s">
        <v>1242</v>
      </c>
      <c r="E11178" s="10">
        <v>585187</v>
      </c>
      <c r="F11178" s="4" t="str">
        <f>IF(B11178=B11177,"",B11178)</f>
        <v/>
      </c>
    </row>
    <row r="11179" spans="1:6" ht="15.75" customHeight="1">
      <c r="A11179" s="5" t="s">
        <v>18197</v>
      </c>
      <c r="B11179" s="6" t="s">
        <v>18197</v>
      </c>
      <c r="C11179" s="5" t="s">
        <v>17707</v>
      </c>
      <c r="D11179" s="5" t="s">
        <v>17739</v>
      </c>
      <c r="E11179" s="2">
        <v>3988327</v>
      </c>
      <c r="F11179" s="4" t="str">
        <f>IF(B11179=B11178,"",B11179)</f>
        <v>Sabinas Hidalgo</v>
      </c>
    </row>
    <row r="11180" spans="1:6" ht="15.75" customHeight="1">
      <c r="A11180" s="5" t="str">
        <f ca="1">IFERROR(__xludf.DUMMYFUNCTION("GOOGLETRANSLATE(B37211,""en"",""pt"")"),"Sabinas Hidalgo")</f>
        <v>Sabinas Hidalgo</v>
      </c>
      <c r="B11180" s="17" t="s">
        <v>18197</v>
      </c>
      <c r="C11180" s="17" t="s">
        <v>17707</v>
      </c>
      <c r="D11180" s="17" t="s">
        <v>34689</v>
      </c>
      <c r="E11180" s="10">
        <v>3988327</v>
      </c>
      <c r="F11180" s="4" t="str">
        <f>IF(B11180=B11179,"",B11180)</f>
        <v/>
      </c>
    </row>
    <row r="11181" spans="1:6" ht="15.75" customHeight="1">
      <c r="A11181" s="6" t="s">
        <v>17129</v>
      </c>
      <c r="B11181" s="6" t="s">
        <v>17084</v>
      </c>
      <c r="C11181" s="6" t="s">
        <v>17074</v>
      </c>
      <c r="D11181" s="6" t="s">
        <v>17084</v>
      </c>
      <c r="E11181" s="2">
        <v>2212775</v>
      </c>
      <c r="F11181" s="4" t="str">
        <f>IF(B11181=B11180,"",B11181)</f>
        <v>SabhÄ</v>
      </c>
    </row>
    <row r="11182" spans="1:6" ht="15.75" customHeight="1">
      <c r="A11182" s="5" t="str">
        <f ca="1">IFERROR(__xludf.DUMMYFUNCTION("GOOGLETRANSLATE(B36436,""en"",""pt"")"),"Sabhā")</f>
        <v>Sabhā</v>
      </c>
      <c r="B11182" s="17" t="s">
        <v>34571</v>
      </c>
      <c r="C11182" s="17" t="s">
        <v>17074</v>
      </c>
      <c r="D11182" s="17" t="s">
        <v>34571</v>
      </c>
      <c r="E11182" s="10">
        <v>2212775</v>
      </c>
      <c r="F11182" s="4" t="str">
        <f>IF(B11182=B11181,"",B11182)</f>
        <v>Sabhā</v>
      </c>
    </row>
    <row r="11183" spans="1:6" ht="15.75" customHeight="1">
      <c r="A11183" s="6" t="s">
        <v>14129</v>
      </c>
      <c r="B11183" s="6" t="s">
        <v>14129</v>
      </c>
      <c r="C11183" s="6" t="s">
        <v>13800</v>
      </c>
      <c r="D11183" s="6" t="s">
        <v>13828</v>
      </c>
      <c r="E11183" s="2">
        <v>1214026</v>
      </c>
      <c r="F11183" s="4" t="str">
        <f>IF(B11183=B11182,"",B11183)</f>
        <v>Sabang</v>
      </c>
    </row>
    <row r="11184" spans="1:6" ht="15.75" customHeight="1">
      <c r="A11184" s="5" t="str">
        <f ca="1">IFERROR(__xludf.DUMMYFUNCTION("GOOGLETRANSLATE(B31362,""en"",""pt"")"),"Sabang")</f>
        <v>Sabang</v>
      </c>
      <c r="B11184" s="17" t="s">
        <v>14129</v>
      </c>
      <c r="C11184" s="17" t="s">
        <v>13800</v>
      </c>
      <c r="D11184" s="17" t="s">
        <v>13828</v>
      </c>
      <c r="E11184" s="10">
        <v>1214026</v>
      </c>
      <c r="F11184" s="4" t="str">
        <f>IF(B11184=B11183,"",B11184)</f>
        <v/>
      </c>
    </row>
    <row r="11185" spans="1:6" ht="15.75" customHeight="1">
      <c r="A11185" s="6" t="s">
        <v>5585</v>
      </c>
      <c r="B11185" s="6" t="s">
        <v>5585</v>
      </c>
      <c r="C11185" s="6" t="s">
        <v>5348</v>
      </c>
      <c r="D11185" s="6" t="s">
        <v>5362</v>
      </c>
      <c r="E11185" s="2">
        <v>3670475</v>
      </c>
      <c r="F11185" s="4" t="str">
        <f>IF(B11185=B11184,"",B11185)</f>
        <v>Sabaneta</v>
      </c>
    </row>
    <row r="11186" spans="1:6" ht="15.75" customHeight="1">
      <c r="A11186" s="6" t="s">
        <v>5585</v>
      </c>
      <c r="B11186" s="6" t="s">
        <v>5585</v>
      </c>
      <c r="C11186" s="6" t="s">
        <v>6303</v>
      </c>
      <c r="D11186" s="6" t="s">
        <v>6351</v>
      </c>
      <c r="E11186" s="2">
        <v>3493383</v>
      </c>
      <c r="F11186" s="4" t="str">
        <f>IF(B11186=B11185,"",B11186)</f>
        <v/>
      </c>
    </row>
    <row r="11187" spans="1:6" ht="15.75" customHeight="1">
      <c r="A11187" s="5" t="str">
        <f ca="1">IFERROR(__xludf.DUMMYFUNCTION("GOOGLETRANSLATE(B26899,""en"",""pt"")"),"Sabaneta")</f>
        <v>Sabaneta</v>
      </c>
      <c r="B11187" s="17" t="s">
        <v>5585</v>
      </c>
      <c r="C11187" s="17" t="s">
        <v>5348</v>
      </c>
      <c r="D11187" s="17" t="s">
        <v>5362</v>
      </c>
      <c r="E11187" s="10">
        <v>3670475</v>
      </c>
      <c r="F11187" s="4" t="str">
        <f>IF(B11187=B11186,"",B11187)</f>
        <v/>
      </c>
    </row>
    <row r="11188" spans="1:6" ht="15.75" customHeight="1">
      <c r="A11188" s="5" t="str">
        <f ca="1">IFERROR(__xludf.DUMMYFUNCTION("GOOGLETRANSLATE(B28470,""en"",""pt"")"),"Sabaneta")</f>
        <v>Sabaneta</v>
      </c>
      <c r="B11188" s="17" t="s">
        <v>5585</v>
      </c>
      <c r="C11188" s="17" t="s">
        <v>6303</v>
      </c>
      <c r="D11188" s="17" t="s">
        <v>32172</v>
      </c>
      <c r="E11188" s="10">
        <v>3493383</v>
      </c>
      <c r="F11188" s="4" t="str">
        <f>IF(B11188=B11187,"",B11188)</f>
        <v/>
      </c>
    </row>
    <row r="11189" spans="1:6" ht="15.75" customHeight="1">
      <c r="A11189" s="5" t="s">
        <v>5584</v>
      </c>
      <c r="B11189" s="6" t="s">
        <v>5584</v>
      </c>
      <c r="C11189" s="5" t="s">
        <v>5348</v>
      </c>
      <c r="D11189" s="5" t="s">
        <v>5378</v>
      </c>
      <c r="E11189" s="2">
        <v>3670502</v>
      </c>
      <c r="F11189" s="4" t="str">
        <f>IF(B11189=B11188,"",B11189)</f>
        <v>Sabanalarga</v>
      </c>
    </row>
    <row r="11190" spans="1:6" ht="15.75" customHeight="1">
      <c r="A11190" s="5" t="str">
        <f ca="1">IFERROR(__xludf.DUMMYFUNCTION("GOOGLETRANSLATE(B26900,""en"",""pt"")"),"Sabanalarga")</f>
        <v>Sabanalarga</v>
      </c>
      <c r="B11190" s="17" t="s">
        <v>5584</v>
      </c>
      <c r="C11190" s="17" t="s">
        <v>5348</v>
      </c>
      <c r="D11190" s="17" t="s">
        <v>31843</v>
      </c>
      <c r="E11190" s="10">
        <v>3670502</v>
      </c>
      <c r="F11190" s="4" t="str">
        <f>IF(B11190=B11189,"",B11190)</f>
        <v/>
      </c>
    </row>
    <row r="11191" spans="1:6" ht="15.75" customHeight="1">
      <c r="A11191" s="5" t="s">
        <v>5583</v>
      </c>
      <c r="B11191" s="6" t="s">
        <v>5583</v>
      </c>
      <c r="C11191" s="5" t="s">
        <v>5348</v>
      </c>
      <c r="D11191" s="5" t="s">
        <v>5378</v>
      </c>
      <c r="E11191" s="2">
        <v>3670513</v>
      </c>
      <c r="F11191" s="4" t="str">
        <f>IF(B11191=B11190,"",B11191)</f>
        <v>Sabanagrande</v>
      </c>
    </row>
    <row r="11192" spans="1:6" ht="15.75" customHeight="1">
      <c r="A11192" s="5" t="str">
        <f ca="1">IFERROR(__xludf.DUMMYFUNCTION("GOOGLETRANSLATE(B26901,""en"",""pt"")"),"Sabanagrande")</f>
        <v>Sabanagrande</v>
      </c>
      <c r="B11192" s="17" t="s">
        <v>5583</v>
      </c>
      <c r="C11192" s="17" t="s">
        <v>5348</v>
      </c>
      <c r="D11192" s="17" t="s">
        <v>31843</v>
      </c>
      <c r="E11192" s="10">
        <v>3670513</v>
      </c>
      <c r="F11192" s="4" t="str">
        <f>IF(B11192=B11191,"",B11192)</f>
        <v/>
      </c>
    </row>
    <row r="11193" spans="1:6" ht="15.75" customHeight="1">
      <c r="A11193" s="5" t="s">
        <v>6349</v>
      </c>
      <c r="B11193" s="6" t="s">
        <v>6350</v>
      </c>
      <c r="C11193" s="5" t="s">
        <v>6303</v>
      </c>
      <c r="D11193" s="5" t="s">
        <v>6310</v>
      </c>
      <c r="E11193" s="2">
        <v>3493482</v>
      </c>
      <c r="F11193" s="4" t="str">
        <f>IF(B11193=B11192,"",B11193)</f>
        <v>Sabana Grande de BoyÃ¡</v>
      </c>
    </row>
    <row r="11194" spans="1:6" ht="15.75" customHeight="1">
      <c r="A11194" s="5" t="str">
        <f ca="1">IFERROR(__xludf.DUMMYFUNCTION("GOOGLETRANSLATE(B28471,""en"",""pt"")"),"Sabana Grande de Boyá")</f>
        <v>Sabana Grande de Boyá</v>
      </c>
      <c r="B11194" s="17" t="s">
        <v>32173</v>
      </c>
      <c r="C11194" s="17" t="s">
        <v>6303</v>
      </c>
      <c r="D11194" s="17" t="s">
        <v>6310</v>
      </c>
      <c r="E11194" s="10">
        <v>3493482</v>
      </c>
      <c r="F11194" s="4" t="str">
        <f>IF(B11194=B11193,"",B11194)</f>
        <v>Sabana Grande de Boyá</v>
      </c>
    </row>
    <row r="11195" spans="1:6" ht="15.75" customHeight="1">
      <c r="A11195" s="6" t="s">
        <v>13185</v>
      </c>
      <c r="B11195" s="6" t="s">
        <v>13185</v>
      </c>
      <c r="C11195" s="6" t="s">
        <v>10178</v>
      </c>
      <c r="D11195" s="6" t="s">
        <v>10219</v>
      </c>
      <c r="E11195" s="2">
        <v>1257928</v>
      </c>
      <c r="F11195" s="4" t="str">
        <f>IF(B11195=B11194,"",B11195)</f>
        <v>Sabalgarh</v>
      </c>
    </row>
    <row r="11196" spans="1:6" ht="15.75" customHeight="1">
      <c r="A11196" s="5" t="str">
        <f ca="1">IFERROR(__xludf.DUMMYFUNCTION("GOOGLETRANSLATE(B32292,""en"",""pt"")"),"Sabalgarh")</f>
        <v>Sabalgarh</v>
      </c>
      <c r="B11196" s="17" t="s">
        <v>13185</v>
      </c>
      <c r="C11196" s="17" t="s">
        <v>10178</v>
      </c>
      <c r="D11196" s="17" t="s">
        <v>10219</v>
      </c>
      <c r="E11196" s="10">
        <v>1257928</v>
      </c>
      <c r="F11196" s="4" t="str">
        <f>IF(B11196=B11195,"",B11196)</f>
        <v/>
      </c>
    </row>
    <row r="11197" spans="1:6" ht="15.75" customHeight="1">
      <c r="A11197" s="5" t="s">
        <v>17557</v>
      </c>
      <c r="B11197" s="6" t="s">
        <v>17557</v>
      </c>
      <c r="C11197" s="5" t="s">
        <v>17432</v>
      </c>
      <c r="D11197" s="5" t="s">
        <v>17446</v>
      </c>
      <c r="E11197" s="2">
        <v>1735195</v>
      </c>
      <c r="F11197" s="4" t="str">
        <f>IF(B11197=B11196,"",B11197)</f>
        <v>Sabak Bernam</v>
      </c>
    </row>
    <row r="11198" spans="1:6" ht="15.75" customHeight="1">
      <c r="A11198" s="5" t="str">
        <f ca="1">IFERROR(__xludf.DUMMYFUNCTION("GOOGLETRANSLATE(B37483,""en"",""pt"")"),"Sabak Bernam")</f>
        <v>Sabak Bernam</v>
      </c>
      <c r="B11198" s="17" t="s">
        <v>17557</v>
      </c>
      <c r="C11198" s="17" t="s">
        <v>17432</v>
      </c>
      <c r="D11198" s="17" t="s">
        <v>17446</v>
      </c>
      <c r="E11198" s="10">
        <v>1735195</v>
      </c>
      <c r="F11198" s="4" t="str">
        <f>IF(B11198=B11197,"",B11198)</f>
        <v/>
      </c>
    </row>
    <row r="11199" spans="1:6" ht="15.75" customHeight="1">
      <c r="A11199" s="5" t="str">
        <f ca="1">IFERROR(__xludf.DUMMYFUNCTION("GOOGLETRANSLATE(B36182,""en"",""pt"")"),"Şabāḩ como sālim")</f>
        <v>Şabāḩ como sālim</v>
      </c>
      <c r="B11199" s="17" t="s">
        <v>34494</v>
      </c>
      <c r="C11199" s="17" t="s">
        <v>16884</v>
      </c>
      <c r="D11199" s="17" t="s">
        <v>34495</v>
      </c>
      <c r="E11199" s="10">
        <v>412800</v>
      </c>
      <c r="F11199" s="4" t="str">
        <f>IF(B11199=B11198,"",B11199)</f>
        <v>Şabāḩ as Sālim</v>
      </c>
    </row>
    <row r="11200" spans="1:6" ht="15.75" customHeight="1">
      <c r="A11200" s="6" t="s">
        <v>16363</v>
      </c>
      <c r="B11200" s="6" t="s">
        <v>16363</v>
      </c>
      <c r="C11200" s="6" t="s">
        <v>15704</v>
      </c>
      <c r="D11200" s="6" t="s">
        <v>15879</v>
      </c>
      <c r="E11200" s="2">
        <v>1853338</v>
      </c>
      <c r="F11200" s="4" t="str">
        <f>IF(B11200=B11199,"",B11200)</f>
        <v>Sabae</v>
      </c>
    </row>
    <row r="11201" spans="1:6" ht="15.75" customHeight="1">
      <c r="A11201" s="5" t="str">
        <f ca="1">IFERROR(__xludf.DUMMYFUNCTION("GOOGLETRANSLATE(B35331,""en"",""pt"")"),"Sabae")</f>
        <v>Sabae</v>
      </c>
      <c r="B11201" s="17" t="s">
        <v>16363</v>
      </c>
      <c r="C11201" s="17" t="s">
        <v>15704</v>
      </c>
      <c r="D11201" s="17" t="s">
        <v>15879</v>
      </c>
      <c r="E11201" s="10">
        <v>1853338</v>
      </c>
      <c r="F11201" s="4" t="str">
        <f>IF(B11201=B11200,"",B11201)</f>
        <v/>
      </c>
    </row>
    <row r="11202" spans="1:6" ht="15.75" customHeight="1">
      <c r="A11202" s="6" t="s">
        <v>24745</v>
      </c>
      <c r="B11202" s="6" t="s">
        <v>24745</v>
      </c>
      <c r="C11202" s="6" t="s">
        <v>24200</v>
      </c>
      <c r="D11202" s="6" t="s">
        <v>24277</v>
      </c>
      <c r="E11202" s="2">
        <v>3111199</v>
      </c>
      <c r="F11202" s="4" t="str">
        <f>IF(B11202=B11201,"",B11202)</f>
        <v>Sabadell</v>
      </c>
    </row>
    <row r="11203" spans="1:6" ht="15.75" customHeight="1">
      <c r="A11203" s="5" t="str">
        <f ca="1">IFERROR(__xludf.DUMMYFUNCTION("GOOGLETRANSLATE(B29310,""en"",""pt"")"),"Sabadell")</f>
        <v>Sabadell</v>
      </c>
      <c r="B11203" s="17" t="s">
        <v>24745</v>
      </c>
      <c r="C11203" s="17" t="s">
        <v>24200</v>
      </c>
      <c r="D11203" s="17" t="s">
        <v>24277</v>
      </c>
      <c r="E11203" s="10">
        <v>3111199</v>
      </c>
      <c r="F11203" s="4" t="str">
        <f>IF(B11203=B11202,"",B11203)</f>
        <v/>
      </c>
    </row>
    <row r="11204" spans="1:6" ht="15.75" customHeight="1">
      <c r="A11204" s="5" t="str">
        <f ca="1">IFERROR(__xludf.DUMMYFUNCTION("GOOGLETRANSLATE(B39898,""en"",""pt"")"),"ŠABAC")</f>
        <v>ŠABAC</v>
      </c>
      <c r="B11204" s="17" t="s">
        <v>35425</v>
      </c>
      <c r="C11204" s="17" t="s">
        <v>23602</v>
      </c>
      <c r="D11204" s="17" t="s">
        <v>23603</v>
      </c>
      <c r="E11204" s="10">
        <v>3191376</v>
      </c>
      <c r="F11204" s="4" t="str">
        <f>IF(B11204=B11203,"",B11204)</f>
        <v>Šabac</v>
      </c>
    </row>
    <row r="11205" spans="1:6" ht="15.75" customHeight="1">
      <c r="A11205" s="5" t="str">
        <f ca="1">IFERROR(__xludf.DUMMYFUNCTION("GOOGLETRANSLATE(B23619,""en"",""pt"")"),"Saatlı")</f>
        <v>Saatlı</v>
      </c>
      <c r="B11205" s="17" t="s">
        <v>31227</v>
      </c>
      <c r="C11205" s="17" t="s">
        <v>1170</v>
      </c>
      <c r="D11205" s="17" t="s">
        <v>31227</v>
      </c>
      <c r="E11205" s="10">
        <v>147288</v>
      </c>
      <c r="F11205" s="4" t="str">
        <f>IF(B11205=B11204,"",B11205)</f>
        <v>Saatlı</v>
      </c>
    </row>
    <row r="11206" spans="1:6" ht="15.75" customHeight="1">
      <c r="A11206" s="6" t="s">
        <v>1241</v>
      </c>
      <c r="B11206" s="6" t="s">
        <v>1175</v>
      </c>
      <c r="C11206" s="6" t="s">
        <v>1170</v>
      </c>
      <c r="D11206" s="6" t="s">
        <v>1175</v>
      </c>
      <c r="E11206" s="2">
        <v>147288</v>
      </c>
      <c r="F11206" s="4" t="str">
        <f>IF(B11206=B11205,"",B11206)</f>
        <v>SaatlÄ±</v>
      </c>
    </row>
    <row r="11207" spans="1:6" ht="15.75" customHeight="1">
      <c r="A11207" s="6" t="s">
        <v>9073</v>
      </c>
      <c r="B11207" s="6" t="s">
        <v>9073</v>
      </c>
      <c r="C11207" s="6" t="s">
        <v>8028</v>
      </c>
      <c r="D11207" s="6" t="s">
        <v>8177</v>
      </c>
      <c r="E11207" s="2">
        <v>2842632</v>
      </c>
      <c r="F11207" s="4" t="str">
        <f>IF(B11207=B11206,"",B11207)</f>
        <v>Saarlouis</v>
      </c>
    </row>
    <row r="11208" spans="1:6" ht="15.75" customHeight="1">
      <c r="A11208" s="5" t="str">
        <f ca="1">IFERROR(__xludf.DUMMYFUNCTION("GOOGLETRANSLATE(B27582,""en"",""pt"")"),"Saarlouis")</f>
        <v>Saarlouis</v>
      </c>
      <c r="B11208" s="17" t="s">
        <v>9073</v>
      </c>
      <c r="C11208" s="17" t="s">
        <v>8028</v>
      </c>
      <c r="D11208" s="17" t="s">
        <v>8177</v>
      </c>
      <c r="E11208" s="10">
        <v>2842632</v>
      </c>
      <c r="F11208" s="4" t="str">
        <f>IF(B11208=B11207,"",B11208)</f>
        <v/>
      </c>
    </row>
    <row r="11209" spans="1:6" ht="15.75" customHeight="1">
      <c r="A11209" s="5" t="str">
        <f ca="1">IFERROR(__xludf.DUMMYFUNCTION("GOOGLETRANSLATE(B27583,""en"",""pt"")"),"Saarbrücken")</f>
        <v>Saarbrücken</v>
      </c>
      <c r="B11209" s="17" t="s">
        <v>32035</v>
      </c>
      <c r="C11209" s="17" t="s">
        <v>8028</v>
      </c>
      <c r="D11209" s="17" t="s">
        <v>8177</v>
      </c>
      <c r="E11209" s="10">
        <v>2842647</v>
      </c>
      <c r="F11209" s="4" t="str">
        <f>IF(B11209=B11208,"",B11209)</f>
        <v>Saarbrücken</v>
      </c>
    </row>
    <row r="11210" spans="1:6" ht="15.75" customHeight="1">
      <c r="A11210" s="5" t="s">
        <v>9071</v>
      </c>
      <c r="B11210" s="6" t="s">
        <v>9072</v>
      </c>
      <c r="C11210" s="5" t="s">
        <v>8028</v>
      </c>
      <c r="D11210" s="5" t="s">
        <v>8177</v>
      </c>
      <c r="E11210" s="2">
        <v>2842647</v>
      </c>
      <c r="F11210" s="4" t="str">
        <f>IF(B11210=B11209,"",B11210)</f>
        <v>SaarbrÃ¼cken</v>
      </c>
    </row>
    <row r="11211" spans="1:6" ht="15.75" customHeight="1">
      <c r="A11211" s="5" t="s">
        <v>1149</v>
      </c>
      <c r="B11211" s="6" t="s">
        <v>1149</v>
      </c>
      <c r="C11211" s="5" t="s">
        <v>1117</v>
      </c>
      <c r="D11211" s="5" t="s">
        <v>1120</v>
      </c>
      <c r="E11211" s="2">
        <v>2766922</v>
      </c>
      <c r="F11211" s="4" t="str">
        <f>IF(B11211=B11210,"",B11211)</f>
        <v>Saalfelden am Steinernen Meer</v>
      </c>
    </row>
    <row r="11212" spans="1:6" ht="15.75" customHeight="1">
      <c r="A11212" s="5" t="str">
        <f ca="1">IFERROR(__xludf.DUMMYFUNCTION("GOOGLETRANSLATE(B23386,""en"",""pt"")"),"Saalfelden am Steinernen Meer")</f>
        <v>Saalfelden am Steinernen Meer</v>
      </c>
      <c r="B11212" s="17" t="s">
        <v>1149</v>
      </c>
      <c r="C11212" s="17" t="s">
        <v>1117</v>
      </c>
      <c r="D11212" s="17" t="s">
        <v>1120</v>
      </c>
      <c r="E11212" s="10">
        <v>2766922</v>
      </c>
      <c r="F11212" s="4" t="str">
        <f>IF(B11212=B11211,"",B11212)</f>
        <v/>
      </c>
    </row>
    <row r="11213" spans="1:6" ht="15.75" customHeight="1">
      <c r="A11213" s="6" t="s">
        <v>9070</v>
      </c>
      <c r="B11213" s="6" t="s">
        <v>9070</v>
      </c>
      <c r="C11213" s="6" t="s">
        <v>8028</v>
      </c>
      <c r="D11213" s="6" t="s">
        <v>8054</v>
      </c>
      <c r="E11213" s="2">
        <v>2842688</v>
      </c>
      <c r="F11213" s="4" t="str">
        <f>IF(B11213=B11212,"",B11213)</f>
        <v>Saalfeld</v>
      </c>
    </row>
    <row r="11214" spans="1:6" ht="15.75" customHeight="1">
      <c r="A11214" s="5" t="str">
        <f ca="1">IFERROR(__xludf.DUMMYFUNCTION("GOOGLETRANSLATE(B27584,""en"",""pt"")"),"Saalfeld")</f>
        <v>Saalfeld</v>
      </c>
      <c r="B11214" s="17" t="s">
        <v>9070</v>
      </c>
      <c r="C11214" s="17" t="s">
        <v>8028</v>
      </c>
      <c r="D11214" s="17" t="s">
        <v>8054</v>
      </c>
      <c r="E11214" s="10">
        <v>2842688</v>
      </c>
      <c r="F11214" s="4" t="str">
        <f>IF(B11214=B11213,"",B11214)</f>
        <v/>
      </c>
    </row>
    <row r="11215" spans="1:6" ht="15.75" customHeight="1">
      <c r="A11215" s="6" t="s">
        <v>26796</v>
      </c>
      <c r="B11215" s="6" t="s">
        <v>26797</v>
      </c>
      <c r="C11215" s="6" t="s">
        <v>26774</v>
      </c>
      <c r="D11215" s="6" t="s">
        <v>26780</v>
      </c>
      <c r="E11215" s="2">
        <v>1218436</v>
      </c>
      <c r="F11215" s="4" t="str">
        <f>IF(B11215=B11214,"",B11215)</f>
        <v>SaÃ½at</v>
      </c>
    </row>
    <row r="11216" spans="1:6" ht="15.75" customHeight="1">
      <c r="A11216" s="6" t="s">
        <v>20568</v>
      </c>
      <c r="B11216" s="6" t="s">
        <v>20569</v>
      </c>
      <c r="C11216" s="6" t="s">
        <v>20470</v>
      </c>
      <c r="D11216" s="6" t="s">
        <v>20495</v>
      </c>
      <c r="E11216" s="2">
        <v>3692667</v>
      </c>
      <c r="F11216" s="4" t="str">
        <f>IF(B11216=B11215,"",B11216)</f>
        <v>SaÃ±a</v>
      </c>
    </row>
    <row r="11217" spans="1:6" ht="15.75" customHeight="1">
      <c r="A11217" s="6" t="s">
        <v>20366</v>
      </c>
      <c r="B11217" s="6" t="s">
        <v>20367</v>
      </c>
      <c r="C11217" s="6" t="s">
        <v>20297</v>
      </c>
      <c r="D11217" s="6" t="s">
        <v>20298</v>
      </c>
      <c r="E11217" s="2">
        <v>281793</v>
      </c>
      <c r="F11217" s="4" t="str">
        <f>IF(B11217=B11216,"",B11217)</f>
        <v>Saâ€˜Ä«r</v>
      </c>
    </row>
    <row r="11218" spans="1:6" ht="15.75" customHeight="1">
      <c r="A11218" s="6" t="s">
        <v>31021</v>
      </c>
      <c r="B11218" s="6" t="s">
        <v>31022</v>
      </c>
      <c r="C11218" s="6" t="s">
        <v>30993</v>
      </c>
      <c r="D11218" s="6" t="s">
        <v>31023</v>
      </c>
      <c r="E11218" s="2">
        <v>71273</v>
      </c>
      <c r="F11218" s="4" t="str">
        <f>IF(B11218=B11217,"",B11218)</f>
        <v>Saá¸©ar</v>
      </c>
    </row>
    <row r="11219" spans="1:6" ht="15.75" customHeight="1">
      <c r="A11219" s="5" t="s">
        <v>16663</v>
      </c>
      <c r="B11219" s="6" t="s">
        <v>16664</v>
      </c>
      <c r="C11219" s="5" t="s">
        <v>16624</v>
      </c>
      <c r="D11219" s="5" t="s">
        <v>16635</v>
      </c>
      <c r="E11219" s="2">
        <v>247105</v>
      </c>
      <c r="F11219" s="4" t="str">
        <f>IF(B11219=B11218,"",B11219)</f>
        <v>Saá¸©Äb</v>
      </c>
    </row>
    <row r="11220" spans="1:6" ht="15.75" customHeight="1">
      <c r="A11220" s="6" t="s">
        <v>441</v>
      </c>
      <c r="B11220" s="6" t="s">
        <v>442</v>
      </c>
      <c r="C11220" s="6" t="s">
        <v>153</v>
      </c>
      <c r="D11220" s="6" t="s">
        <v>442</v>
      </c>
      <c r="E11220" s="2">
        <v>2482572</v>
      </c>
      <c r="F11220" s="4" t="str">
        <f>IF(B11220=B11219,"",B11220)</f>
        <v>SaÃ¯da</v>
      </c>
    </row>
    <row r="11221" spans="1:6" ht="15.75" customHeight="1">
      <c r="A11221" s="5" t="s">
        <v>30901</v>
      </c>
      <c r="B11221" s="6" t="s">
        <v>30902</v>
      </c>
      <c r="C11221" s="5" t="s">
        <v>30784</v>
      </c>
      <c r="D11221" s="5" t="s">
        <v>30902</v>
      </c>
      <c r="E11221" s="2">
        <v>1567788</v>
      </c>
      <c r="F11221" s="4" t="str">
        <f>IF(B11221=B11220,"",B11221)</f>
        <v>SÃ³c TrÄƒng</v>
      </c>
    </row>
    <row r="11222" spans="1:6" ht="15.75" customHeight="1">
      <c r="A11222" s="6" t="s">
        <v>26674</v>
      </c>
      <c r="B11222" s="6" t="s">
        <v>26675</v>
      </c>
      <c r="C11222" s="6" t="s">
        <v>26201</v>
      </c>
      <c r="D11222" s="6" t="s">
        <v>26286</v>
      </c>
      <c r="E11222" s="2">
        <v>739215</v>
      </c>
      <c r="F11222" s="4" t="str">
        <f>IF(B11222=B11221,"",B11222)</f>
        <v>SÃ¼rmene</v>
      </c>
    </row>
    <row r="11223" spans="1:6" ht="15.75" customHeight="1">
      <c r="A11223" s="5" t="s">
        <v>18525</v>
      </c>
      <c r="B11223" s="6" t="s">
        <v>18503</v>
      </c>
      <c r="C11223" s="5" t="s">
        <v>18496</v>
      </c>
      <c r="D11223" s="5" t="s">
        <v>18515</v>
      </c>
      <c r="E11223" s="2">
        <v>2029156</v>
      </c>
      <c r="F11223" s="4" t="str">
        <f>IF(B11223=B11222,"",B11223)</f>
        <v>SÃ¼hbaatar</v>
      </c>
    </row>
    <row r="11224" spans="1:6" ht="15.75" customHeight="1">
      <c r="A11224" s="6" t="s">
        <v>13183</v>
      </c>
      <c r="B11224" s="6" t="s">
        <v>13184</v>
      </c>
      <c r="C11224" s="6" t="s">
        <v>10178</v>
      </c>
      <c r="D11224" s="6" t="s">
        <v>10209</v>
      </c>
      <c r="E11224" s="2">
        <v>1256929</v>
      </c>
      <c r="F11224" s="4" t="str">
        <f>IF(B11224=B11223,"",B11224)</f>
        <v>SÄyla</v>
      </c>
    </row>
    <row r="11225" spans="1:6" ht="15.75" customHeight="1">
      <c r="A11225" s="6" t="s">
        <v>14529</v>
      </c>
      <c r="B11225" s="6" t="s">
        <v>14530</v>
      </c>
      <c r="C11225" s="6" t="s">
        <v>14240</v>
      </c>
      <c r="D11225" s="6" t="s">
        <v>14250</v>
      </c>
      <c r="E11225" s="2">
        <v>116667</v>
      </c>
      <c r="F11225" s="4" t="str">
        <f>IF(B11225=B11224,"",B11225)</f>
        <v>SÄveh</v>
      </c>
    </row>
    <row r="11226" spans="1:6" ht="15.75" customHeight="1">
      <c r="A11226" s="6" t="s">
        <v>13181</v>
      </c>
      <c r="B11226" s="6" t="s">
        <v>13182</v>
      </c>
      <c r="C11226" s="6" t="s">
        <v>10178</v>
      </c>
      <c r="D11226" s="6" t="s">
        <v>10214</v>
      </c>
      <c r="E11226" s="2">
        <v>1256959</v>
      </c>
      <c r="F11226" s="4" t="str">
        <f>IF(B11226=B11225,"",B11226)</f>
        <v>SÄvda</v>
      </c>
    </row>
    <row r="11227" spans="1:6" ht="15.75" customHeight="1">
      <c r="A11227" s="5" t="s">
        <v>13179</v>
      </c>
      <c r="B11227" s="6" t="s">
        <v>13180</v>
      </c>
      <c r="C11227" s="5" t="s">
        <v>10178</v>
      </c>
      <c r="D11227" s="5" t="s">
        <v>10214</v>
      </c>
      <c r="E11227" s="2">
        <v>1256968</v>
      </c>
      <c r="F11227" s="4" t="str">
        <f>IF(B11227=B11226,"",B11227)</f>
        <v>SÄvantvÄdi</v>
      </c>
    </row>
    <row r="11228" spans="1:6" ht="15.75" customHeight="1">
      <c r="A11228" s="6" t="s">
        <v>1424</v>
      </c>
      <c r="B11228" s="6" t="s">
        <v>1425</v>
      </c>
      <c r="C11228" s="6" t="s">
        <v>1296</v>
      </c>
      <c r="D11228" s="6" t="s">
        <v>1315</v>
      </c>
      <c r="E11228" s="2">
        <v>1185111</v>
      </c>
      <c r="F11228" s="4" t="str">
        <f>IF(B11228=B11227,"",B11228)</f>
        <v>SÄtkhira</v>
      </c>
    </row>
    <row r="11229" spans="1:6" ht="15.75" customHeight="1">
      <c r="A11229" s="6" t="s">
        <v>1422</v>
      </c>
      <c r="B11229" s="6" t="s">
        <v>1423</v>
      </c>
      <c r="C11229" s="6" t="s">
        <v>1296</v>
      </c>
      <c r="D11229" s="6" t="s">
        <v>1302</v>
      </c>
      <c r="E11229" s="2">
        <v>1336133</v>
      </c>
      <c r="F11229" s="4" t="str">
        <f>IF(B11229=B11228,"",B11229)</f>
        <v>SÄtkania</v>
      </c>
    </row>
    <row r="11230" spans="1:6" ht="15.75" customHeight="1">
      <c r="A11230" s="6" t="s">
        <v>13177</v>
      </c>
      <c r="B11230" s="6" t="s">
        <v>13178</v>
      </c>
      <c r="C11230" s="6" t="s">
        <v>10178</v>
      </c>
      <c r="D11230" s="6" t="s">
        <v>10214</v>
      </c>
      <c r="E11230" s="2">
        <v>1257055</v>
      </c>
      <c r="F11230" s="4" t="str">
        <f>IF(B11230=B11229,"",B11230)</f>
        <v>SÄtÄra</v>
      </c>
    </row>
    <row r="11231" spans="1:6" ht="15.75" customHeight="1">
      <c r="A11231" s="6" t="s">
        <v>13175</v>
      </c>
      <c r="B11231" s="6" t="s">
        <v>13176</v>
      </c>
      <c r="C11231" s="6" t="s">
        <v>10178</v>
      </c>
      <c r="D11231" s="6" t="s">
        <v>10214</v>
      </c>
      <c r="E11231" s="2">
        <v>1257066</v>
      </c>
      <c r="F11231" s="4" t="str">
        <f>IF(B11231=B11230,"",B11231)</f>
        <v>SÄsvad</v>
      </c>
    </row>
    <row r="11232" spans="1:6" ht="15.75" customHeight="1">
      <c r="A11232" s="5" t="s">
        <v>13173</v>
      </c>
      <c r="B11232" s="6" t="s">
        <v>13174</v>
      </c>
      <c r="C11232" s="5" t="s">
        <v>10178</v>
      </c>
      <c r="D11232" s="5" t="s">
        <v>10219</v>
      </c>
      <c r="E11232" s="2">
        <v>1257237</v>
      </c>
      <c r="F11232" s="4" t="str">
        <f>IF(B11232=B11231,"",B11232)</f>
        <v>SÄrangpur</v>
      </c>
    </row>
    <row r="11233" spans="1:6" ht="15.75" customHeight="1">
      <c r="A11233" s="6" t="s">
        <v>13171</v>
      </c>
      <c r="B11233" s="6" t="s">
        <v>13172</v>
      </c>
      <c r="C11233" s="6" t="s">
        <v>10178</v>
      </c>
      <c r="D11233" s="6" t="s">
        <v>10201</v>
      </c>
      <c r="E11233" s="2">
        <v>1257354</v>
      </c>
      <c r="F11233" s="4" t="str">
        <f>IF(B11233=B11232,"",B11233)</f>
        <v>SÄnkrÄil</v>
      </c>
    </row>
    <row r="11234" spans="1:6" ht="15.75" customHeight="1">
      <c r="A11234" s="6" t="s">
        <v>13169</v>
      </c>
      <c r="B11234" s="6" t="s">
        <v>13170</v>
      </c>
      <c r="C11234" s="6" t="s">
        <v>10178</v>
      </c>
      <c r="D11234" s="6" t="s">
        <v>10214</v>
      </c>
      <c r="E11234" s="2">
        <v>1257409</v>
      </c>
      <c r="F11234" s="4" t="str">
        <f>IF(B11234=B11233,"",B11234)</f>
        <v>SÄngola</v>
      </c>
    </row>
    <row r="11235" spans="1:6" ht="15.75" customHeight="1">
      <c r="A11235" s="6" t="s">
        <v>13167</v>
      </c>
      <c r="B11235" s="6" t="s">
        <v>13168</v>
      </c>
      <c r="C11235" s="6" t="s">
        <v>10178</v>
      </c>
      <c r="D11235" s="6" t="s">
        <v>10214</v>
      </c>
      <c r="E11235" s="2">
        <v>1257416</v>
      </c>
      <c r="F11235" s="4" t="str">
        <f>IF(B11235=B11234,"",B11235)</f>
        <v>SÄngli</v>
      </c>
    </row>
    <row r="11236" spans="1:6" ht="15.75" customHeight="1">
      <c r="A11236" s="6" t="s">
        <v>20199</v>
      </c>
      <c r="B11236" s="6" t="s">
        <v>20200</v>
      </c>
      <c r="C11236" s="6" t="s">
        <v>19808</v>
      </c>
      <c r="D11236" s="6" t="s">
        <v>19823</v>
      </c>
      <c r="E11236" s="2">
        <v>1166164</v>
      </c>
      <c r="F11236" s="4" t="str">
        <f>IF(B11236=B11235,"",B11236)</f>
        <v>SÄnghar</v>
      </c>
    </row>
    <row r="11237" spans="1:6" ht="15.75" customHeight="1">
      <c r="A11237" s="6" t="s">
        <v>13165</v>
      </c>
      <c r="B11237" s="6" t="s">
        <v>13166</v>
      </c>
      <c r="C11237" s="6" t="s">
        <v>10178</v>
      </c>
      <c r="D11237" s="6" t="s">
        <v>10193</v>
      </c>
      <c r="E11237" s="2">
        <v>1257461</v>
      </c>
      <c r="F11237" s="4" t="str">
        <f>IF(B11237=B11236,"",B11237)</f>
        <v>SÄndi</v>
      </c>
    </row>
    <row r="11238" spans="1:6" ht="15.75" customHeight="1">
      <c r="A11238" s="6" t="s">
        <v>13163</v>
      </c>
      <c r="B11238" s="6" t="s">
        <v>13164</v>
      </c>
      <c r="C11238" s="6" t="s">
        <v>10178</v>
      </c>
      <c r="D11238" s="6" t="s">
        <v>10179</v>
      </c>
      <c r="E11238" s="2">
        <v>1257477</v>
      </c>
      <c r="F11238" s="4" t="str">
        <f>IF(B11238=B11237,"",B11238)</f>
        <v>SÄnchor</v>
      </c>
    </row>
    <row r="11239" spans="1:6" ht="15.75" customHeight="1">
      <c r="A11239" s="6" t="s">
        <v>19664</v>
      </c>
      <c r="B11239" s="6" t="s">
        <v>19665</v>
      </c>
      <c r="C11239" s="6" t="s">
        <v>19589</v>
      </c>
      <c r="D11239" s="6" t="s">
        <v>19654</v>
      </c>
      <c r="E11239" s="2">
        <v>2040674</v>
      </c>
      <c r="F11239" s="4" t="str">
        <f>IF(B11239=B11238,"",B11239)</f>
        <v>SÅnbong</v>
      </c>
    </row>
    <row r="11240" spans="1:6" ht="15.75" customHeight="1">
      <c r="A11240" s="6" t="s">
        <v>13161</v>
      </c>
      <c r="B11240" s="6" t="s">
        <v>13162</v>
      </c>
      <c r="C11240" s="6" t="s">
        <v>10178</v>
      </c>
      <c r="D11240" s="6" t="s">
        <v>10209</v>
      </c>
      <c r="E11240" s="2">
        <v>1257486</v>
      </c>
      <c r="F11240" s="4" t="str">
        <f>IF(B11240=B11239,"",B11240)</f>
        <v>SÄnand</v>
      </c>
    </row>
    <row r="11241" spans="1:6" ht="15.75" customHeight="1">
      <c r="A11241" s="6" t="s">
        <v>13159</v>
      </c>
      <c r="B11241" s="6" t="s">
        <v>13160</v>
      </c>
      <c r="C11241" s="6" t="s">
        <v>10178</v>
      </c>
      <c r="D11241" s="6" t="s">
        <v>10179</v>
      </c>
      <c r="E11241" s="2">
        <v>1257539</v>
      </c>
      <c r="F11241" s="4" t="str">
        <f>IF(B11241=B11240,"",B11241)</f>
        <v>SÄmbhar</v>
      </c>
    </row>
    <row r="11242" spans="1:6" ht="15.75" customHeight="1">
      <c r="A11242" s="6" t="s">
        <v>13157</v>
      </c>
      <c r="B11242" s="6" t="s">
        <v>13158</v>
      </c>
      <c r="C11242" s="6" t="s">
        <v>10178</v>
      </c>
      <c r="D11242" s="6" t="s">
        <v>10355</v>
      </c>
      <c r="E11242" s="2">
        <v>1257545</v>
      </c>
      <c r="F11242" s="4" t="str">
        <f>IF(B11242=B11241,"",B11242)</f>
        <v>SÄmba</v>
      </c>
    </row>
    <row r="11243" spans="1:6" ht="15.75" customHeight="1">
      <c r="A11243" s="5" t="s">
        <v>14715</v>
      </c>
      <c r="B11243" s="6" t="s">
        <v>14716</v>
      </c>
      <c r="C11243" s="5" t="s">
        <v>14594</v>
      </c>
      <c r="D11243" s="5" t="s">
        <v>14620</v>
      </c>
      <c r="E11243" s="2">
        <v>91597</v>
      </c>
      <c r="F11243" s="4" t="str">
        <f>IF(B11243=B11242,"",B11243)</f>
        <v>SÄmarrÄâ€™</v>
      </c>
    </row>
    <row r="11244" spans="1:6" ht="15.75" customHeight="1">
      <c r="A11244" s="5" t="s">
        <v>13155</v>
      </c>
      <c r="B11244" s="6" t="s">
        <v>13156</v>
      </c>
      <c r="C11244" s="5" t="s">
        <v>10178</v>
      </c>
      <c r="D11244" s="5" t="s">
        <v>10190</v>
      </c>
      <c r="E11244" s="2">
        <v>1257565</v>
      </c>
      <c r="F11244" s="4" t="str">
        <f>IF(B11244=B11243,"",B11244)</f>
        <v>SÄmalkot</v>
      </c>
    </row>
    <row r="11245" spans="1:6" ht="15.75" customHeight="1">
      <c r="A11245" s="6" t="s">
        <v>13153</v>
      </c>
      <c r="B11245" s="6" t="s">
        <v>13154</v>
      </c>
      <c r="C11245" s="6" t="s">
        <v>10178</v>
      </c>
      <c r="D11245" s="6" t="s">
        <v>10190</v>
      </c>
      <c r="E11245" s="2">
        <v>1257587</v>
      </c>
      <c r="F11245" s="4" t="str">
        <f>IF(B11245=B11244,"",B11245)</f>
        <v>SÄlÅ«r</v>
      </c>
    </row>
    <row r="11246" spans="1:6" ht="15.75" customHeight="1">
      <c r="A11246" s="5" t="s">
        <v>13151</v>
      </c>
      <c r="B11246" s="6" t="s">
        <v>13152</v>
      </c>
      <c r="C11246" s="5" t="s">
        <v>10178</v>
      </c>
      <c r="D11246" s="5" t="s">
        <v>10179</v>
      </c>
      <c r="E11246" s="2">
        <v>1257588</v>
      </c>
      <c r="F11246" s="4" t="str">
        <f>IF(B11246=B11245,"",B11246)</f>
        <v>SÄlÅ«mbar</v>
      </c>
    </row>
    <row r="11247" spans="1:6" ht="15.75" customHeight="1">
      <c r="A11247" s="6" t="s">
        <v>16361</v>
      </c>
      <c r="B11247" s="6" t="s">
        <v>16362</v>
      </c>
      <c r="C11247" s="6" t="s">
        <v>15704</v>
      </c>
      <c r="D11247" s="6" t="s">
        <v>15710</v>
      </c>
      <c r="E11247" s="2">
        <v>1851604</v>
      </c>
      <c r="F11247" s="4" t="str">
        <f>IF(B11247=B11246,"",B11247)</f>
        <v>SÅka</v>
      </c>
    </row>
    <row r="11248" spans="1:6" ht="15.75" customHeight="1">
      <c r="A11248" s="6" t="s">
        <v>16359</v>
      </c>
      <c r="B11248" s="6" t="s">
        <v>16360</v>
      </c>
      <c r="C11248" s="6" t="s">
        <v>15704</v>
      </c>
      <c r="D11248" s="6" t="s">
        <v>15981</v>
      </c>
      <c r="E11248" s="2">
        <v>1851606</v>
      </c>
      <c r="F11248" s="4" t="str">
        <f>IF(B11248=B11247,"",B11248)</f>
        <v>SÅja</v>
      </c>
    </row>
    <row r="11249" spans="1:6" ht="15.75" customHeight="1">
      <c r="A11249" s="5" t="s">
        <v>13149</v>
      </c>
      <c r="B11249" s="6" t="s">
        <v>13150</v>
      </c>
      <c r="C11249" s="5" t="s">
        <v>10178</v>
      </c>
      <c r="D11249" s="5" t="s">
        <v>10430</v>
      </c>
      <c r="E11249" s="2">
        <v>1257794</v>
      </c>
      <c r="F11249" s="4" t="str">
        <f>IF(B11249=B11248,"",B11249)</f>
        <v>SÄhibganj</v>
      </c>
    </row>
    <row r="11250" spans="1:6" ht="15.75" customHeight="1">
      <c r="A11250" s="5" t="s">
        <v>20197</v>
      </c>
      <c r="B11250" s="6" t="s">
        <v>20198</v>
      </c>
      <c r="C11250" s="5" t="s">
        <v>19808</v>
      </c>
      <c r="D11250" s="5" t="s">
        <v>10184</v>
      </c>
      <c r="E11250" s="2">
        <v>1166547</v>
      </c>
      <c r="F11250" s="4" t="str">
        <f>IF(B11250=B11249,"",B11250)</f>
        <v>SÄhÄ«wÄl</v>
      </c>
    </row>
    <row r="11251" spans="1:6" ht="15.75" customHeight="1">
      <c r="A11251" s="6" t="s">
        <v>13147</v>
      </c>
      <c r="B11251" s="6" t="s">
        <v>13148</v>
      </c>
      <c r="C11251" s="6" t="s">
        <v>10178</v>
      </c>
      <c r="D11251" s="6" t="s">
        <v>10252</v>
      </c>
      <c r="E11251" s="2">
        <v>1257851</v>
      </c>
      <c r="F11251" s="4" t="str">
        <f>IF(B11251=B11250,"",B11251)</f>
        <v>SÄgar</v>
      </c>
    </row>
    <row r="11252" spans="1:6" ht="15.75" customHeight="1">
      <c r="A11252" s="6" t="s">
        <v>13145</v>
      </c>
      <c r="B11252" s="6" t="s">
        <v>13146</v>
      </c>
      <c r="C11252" s="6" t="s">
        <v>10178</v>
      </c>
      <c r="D11252" s="6" t="s">
        <v>10179</v>
      </c>
      <c r="E11252" s="2">
        <v>1257865</v>
      </c>
      <c r="F11252" s="4" t="str">
        <f>IF(B11252=B11251,"",B11252)</f>
        <v>SÄdri</v>
      </c>
    </row>
    <row r="11253" spans="1:6" ht="15.75" customHeight="1">
      <c r="A11253" s="5" t="s">
        <v>20195</v>
      </c>
      <c r="B11253" s="6" t="s">
        <v>20196</v>
      </c>
      <c r="C11253" s="5" t="s">
        <v>19808</v>
      </c>
      <c r="D11253" s="5" t="s">
        <v>10184</v>
      </c>
      <c r="E11253" s="2">
        <v>1166652</v>
      </c>
      <c r="F11253" s="4" t="str">
        <f>IF(B11253=B11252,"",B11253)</f>
        <v>SÄdiqÄbÄd</v>
      </c>
    </row>
    <row r="11254" spans="1:6" ht="15.75" customHeight="1">
      <c r="A11254" s="5" t="s">
        <v>9068</v>
      </c>
      <c r="B11254" s="6" t="s">
        <v>9069</v>
      </c>
      <c r="C11254" s="5" t="s">
        <v>8028</v>
      </c>
      <c r="D11254" s="5" t="s">
        <v>8054</v>
      </c>
      <c r="E11254" s="2">
        <v>2831403</v>
      </c>
      <c r="F11254" s="4" t="str">
        <f>IF(B11254=B11253,"",B11254)</f>
        <v>SÃ¶mmerda</v>
      </c>
    </row>
    <row r="11255" spans="1:6" ht="15.75" customHeight="1">
      <c r="A11255" s="6" t="s">
        <v>6199</v>
      </c>
      <c r="B11255" s="6" t="s">
        <v>26673</v>
      </c>
      <c r="C11255" s="6" t="s">
        <v>26201</v>
      </c>
      <c r="D11255" s="6" t="s">
        <v>26257</v>
      </c>
      <c r="E11255" s="2">
        <v>300399</v>
      </c>
      <c r="F11255" s="4" t="str">
        <f>IF(B11255=B11254,"",B11255)</f>
        <v>SÃ¶ke</v>
      </c>
    </row>
    <row r="11256" spans="1:6" ht="15.75" customHeight="1">
      <c r="A11256" s="5" t="s">
        <v>25194</v>
      </c>
      <c r="B11256" s="6" t="s">
        <v>25195</v>
      </c>
      <c r="C11256" s="5" t="s">
        <v>25077</v>
      </c>
      <c r="D11256" s="5" t="s">
        <v>25081</v>
      </c>
      <c r="E11256" s="2">
        <v>2676176</v>
      </c>
      <c r="F11256" s="4" t="str">
        <f>IF(B11256=B11255,"",B11256)</f>
        <v>SÃ¶dertÃ¤lje</v>
      </c>
    </row>
    <row r="11257" spans="1:6" ht="15.75" customHeight="1">
      <c r="A11257" s="6" t="s">
        <v>440</v>
      </c>
      <c r="B11257" s="6" t="s">
        <v>183</v>
      </c>
      <c r="C11257" s="6" t="s">
        <v>153</v>
      </c>
      <c r="D11257" s="6" t="s">
        <v>183</v>
      </c>
      <c r="E11257" s="2">
        <v>2481700</v>
      </c>
      <c r="F11257" s="4" t="str">
        <f>IF(B11257=B11256,"",B11257)</f>
        <v>SÃ©tif</v>
      </c>
    </row>
    <row r="11258" spans="1:6" ht="15.75" customHeight="1">
      <c r="A11258" s="6" t="s">
        <v>9633</v>
      </c>
      <c r="B11258" s="6" t="s">
        <v>9634</v>
      </c>
      <c r="C11258" s="6" t="s">
        <v>9441</v>
      </c>
      <c r="D11258" s="6" t="s">
        <v>9442</v>
      </c>
      <c r="E11258" s="2">
        <v>734330</v>
      </c>
      <c r="F11258" s="4" t="str">
        <f>IF(B11258=B11257,"",B11258)</f>
        <v>SÃ©rres</v>
      </c>
    </row>
    <row r="11259" spans="1:6" ht="15.75" customHeight="1">
      <c r="A11259" s="6" t="s">
        <v>17668</v>
      </c>
      <c r="B11259" s="6" t="s">
        <v>17669</v>
      </c>
      <c r="C11259" s="6" t="s">
        <v>17650</v>
      </c>
      <c r="D11259" s="6" t="s">
        <v>17670</v>
      </c>
      <c r="E11259" s="2">
        <v>2376719</v>
      </c>
      <c r="F11259" s="4" t="str">
        <f>IF(B11259=B11258,"",B11259)</f>
        <v>SÃ©libaby</v>
      </c>
    </row>
    <row r="11260" spans="1:6" ht="15.75" customHeight="1">
      <c r="A11260" s="6" t="s">
        <v>7725</v>
      </c>
      <c r="B11260" s="6" t="s">
        <v>7726</v>
      </c>
      <c r="C11260" s="6" t="s">
        <v>7052</v>
      </c>
      <c r="D11260" s="6" t="s">
        <v>7061</v>
      </c>
      <c r="E11260" s="2">
        <v>2975233</v>
      </c>
      <c r="F11260" s="4" t="str">
        <f>IF(B11260=B11259,"",B11260)</f>
        <v>SÃ©lestat</v>
      </c>
    </row>
    <row r="11261" spans="1:6" ht="15.75" customHeight="1">
      <c r="A11261" s="5" t="s">
        <v>15659</v>
      </c>
      <c r="B11261" s="6" t="s">
        <v>15660</v>
      </c>
      <c r="C11261" s="5" t="s">
        <v>15586</v>
      </c>
      <c r="D11261" s="5" t="s">
        <v>15653</v>
      </c>
      <c r="E11261" s="2">
        <v>2596934</v>
      </c>
      <c r="F11261" s="4" t="str">
        <f>IF(B11261=B11260,"",B11261)</f>
        <v>SÃ©guÃ©la</v>
      </c>
    </row>
    <row r="11262" spans="1:6" ht="15.75" customHeight="1">
      <c r="A11262" s="6" t="s">
        <v>17613</v>
      </c>
      <c r="B11262" s="6" t="s">
        <v>17612</v>
      </c>
      <c r="C11262" s="6" t="s">
        <v>17596</v>
      </c>
      <c r="D11262" s="6" t="s">
        <v>17612</v>
      </c>
      <c r="E11262" s="2">
        <v>2451478</v>
      </c>
      <c r="F11262" s="4" t="str">
        <f>IF(B11262=B11261,"",B11262)</f>
        <v>SÃ©gou</v>
      </c>
    </row>
    <row r="11263" spans="1:6" ht="15.75" customHeight="1">
      <c r="A11263" s="5" t="s">
        <v>23591</v>
      </c>
      <c r="B11263" s="6" t="s">
        <v>23592</v>
      </c>
      <c r="C11263" s="5" t="s">
        <v>23559</v>
      </c>
      <c r="D11263" s="5" t="s">
        <v>23592</v>
      </c>
      <c r="E11263" s="2">
        <v>2245704</v>
      </c>
      <c r="F11263" s="4" t="str">
        <f>IF(B11263=B11262,"",B11263)</f>
        <v>SÃ©dhiou</v>
      </c>
    </row>
    <row r="11264" spans="1:6" ht="15.75" customHeight="1">
      <c r="A11264" s="5" t="s">
        <v>13143</v>
      </c>
      <c r="B11264" s="6" t="s">
        <v>13144</v>
      </c>
      <c r="C11264" s="5" t="s">
        <v>10178</v>
      </c>
      <c r="D11264" s="5" t="s">
        <v>10193</v>
      </c>
      <c r="E11264" s="2">
        <v>1255969</v>
      </c>
      <c r="F11264" s="4" t="str">
        <f>IF(B11264=B11263,"",B11264)</f>
        <v>SÄ«tÄpur</v>
      </c>
    </row>
    <row r="11265" spans="1:6" ht="15.75" customHeight="1">
      <c r="A11265" s="5" t="s">
        <v>13141</v>
      </c>
      <c r="B11265" s="6" t="s">
        <v>13142</v>
      </c>
      <c r="C11265" s="5" t="s">
        <v>10178</v>
      </c>
      <c r="D11265" s="5" t="s">
        <v>10317</v>
      </c>
      <c r="E11265" s="2">
        <v>1255983</v>
      </c>
      <c r="F11265" s="4" t="str">
        <f>IF(B11265=B11264,"",B11265)</f>
        <v>SÄ«tÄmarhi</v>
      </c>
    </row>
    <row r="11266" spans="1:6" ht="15.75" customHeight="1">
      <c r="A11266" s="5" t="s">
        <v>20193</v>
      </c>
      <c r="B11266" s="6" t="s">
        <v>20194</v>
      </c>
      <c r="C11266" s="5" t="s">
        <v>19808</v>
      </c>
      <c r="D11266" s="5" t="s">
        <v>19823</v>
      </c>
      <c r="E11266" s="2">
        <v>1164716</v>
      </c>
      <c r="F11266" s="4" t="str">
        <f>IF(B11266=B11265,"",B11266)</f>
        <v>SÄ«ta Road</v>
      </c>
    </row>
    <row r="11267" spans="1:6" ht="15.75" customHeight="1">
      <c r="A11267" s="5" t="s">
        <v>14527</v>
      </c>
      <c r="B11267" s="6" t="s">
        <v>14528</v>
      </c>
      <c r="C11267" s="5" t="s">
        <v>14240</v>
      </c>
      <c r="D11267" s="5" t="s">
        <v>14271</v>
      </c>
      <c r="E11267" s="2">
        <v>137268</v>
      </c>
      <c r="F11267" s="4" t="str">
        <f>IF(B11267=B11266,"",B11267)</f>
        <v>SÅ«sangerd</v>
      </c>
    </row>
    <row r="11268" spans="1:6" ht="15.75" customHeight="1">
      <c r="A11268" s="5" t="s">
        <v>13139</v>
      </c>
      <c r="B11268" s="6" t="s">
        <v>13140</v>
      </c>
      <c r="C11268" s="5" t="s">
        <v>10178</v>
      </c>
      <c r="D11268" s="5" t="s">
        <v>10196</v>
      </c>
      <c r="E11268" s="2">
        <v>1256075</v>
      </c>
      <c r="F11268" s="4" t="str">
        <f>IF(B11268=B11267,"",B11268)</f>
        <v>SÄ«rkÄzhi</v>
      </c>
    </row>
    <row r="11269" spans="1:6" ht="15.75" customHeight="1">
      <c r="A11269" s="5" t="s">
        <v>13137</v>
      </c>
      <c r="B11269" s="6" t="s">
        <v>13138</v>
      </c>
      <c r="C11269" s="5" t="s">
        <v>10178</v>
      </c>
      <c r="D11269" s="5" t="s">
        <v>10179</v>
      </c>
      <c r="E11269" s="2">
        <v>1255361</v>
      </c>
      <c r="F11269" s="4" t="str">
        <f>IF(B11269=B11268,"",B11269)</f>
        <v>SÅ«ratgarh</v>
      </c>
    </row>
    <row r="11270" spans="1:6" ht="15.75" customHeight="1">
      <c r="A11270" s="6" t="s">
        <v>13135</v>
      </c>
      <c r="B11270" s="6" t="s">
        <v>13136</v>
      </c>
      <c r="C11270" s="6" t="s">
        <v>10178</v>
      </c>
      <c r="D11270" s="6" t="s">
        <v>10209</v>
      </c>
      <c r="E11270" s="2">
        <v>1255364</v>
      </c>
      <c r="F11270" s="4" t="str">
        <f>IF(B11270=B11269,"",B11270)</f>
        <v>SÅ«rat</v>
      </c>
    </row>
    <row r="11271" spans="1:6" ht="15.75" customHeight="1">
      <c r="A11271" s="5" t="s">
        <v>13133</v>
      </c>
      <c r="B11271" s="6" t="s">
        <v>13134</v>
      </c>
      <c r="C11271" s="5" t="s">
        <v>10178</v>
      </c>
      <c r="D11271" s="5" t="s">
        <v>10196</v>
      </c>
      <c r="E11271" s="2">
        <v>1255372</v>
      </c>
      <c r="F11271" s="4" t="str">
        <f>IF(B11271=B11270,"",B11271)</f>
        <v>SÅ«randai</v>
      </c>
    </row>
    <row r="11272" spans="1:6" ht="15.75" customHeight="1">
      <c r="A11272" s="5" t="s">
        <v>13131</v>
      </c>
      <c r="B11272" s="6" t="s">
        <v>13132</v>
      </c>
      <c r="C11272" s="5" t="s">
        <v>10178</v>
      </c>
      <c r="D11272" s="5" t="s">
        <v>10179</v>
      </c>
      <c r="E11272" s="2">
        <v>1255383</v>
      </c>
      <c r="F11272" s="4" t="str">
        <f>IF(B11272=B11271,"",B11272)</f>
        <v>SÅ«rajgarh</v>
      </c>
    </row>
    <row r="11273" spans="1:6" ht="15.75" customHeight="1">
      <c r="A11273" s="6" t="s">
        <v>13129</v>
      </c>
      <c r="B11273" s="6" t="s">
        <v>13130</v>
      </c>
      <c r="C11273" s="6" t="s">
        <v>10178</v>
      </c>
      <c r="D11273" s="6" t="s">
        <v>10252</v>
      </c>
      <c r="E11273" s="2">
        <v>1256104</v>
      </c>
      <c r="F11273" s="4" t="str">
        <f>IF(B11273=B11272,"",B11273)</f>
        <v>SÄ«ra</v>
      </c>
    </row>
    <row r="11274" spans="1:6" ht="15.75" customHeight="1">
      <c r="A11274" s="6" t="s">
        <v>14713</v>
      </c>
      <c r="B11274" s="6" t="s">
        <v>14714</v>
      </c>
      <c r="C11274" s="6" t="s">
        <v>14594</v>
      </c>
      <c r="D11274" s="6" t="s">
        <v>14680</v>
      </c>
      <c r="E11274" s="2">
        <v>90708</v>
      </c>
      <c r="F11274" s="4" t="str">
        <f>IF(B11274=B11273,"",B11274)</f>
        <v>SÄ«nah</v>
      </c>
    </row>
    <row r="11275" spans="1:6" ht="15.75" customHeight="1">
      <c r="A11275" s="5" t="s">
        <v>13127</v>
      </c>
      <c r="B11275" s="6" t="s">
        <v>13128</v>
      </c>
      <c r="C11275" s="5" t="s">
        <v>10178</v>
      </c>
      <c r="D11275" s="5" t="s">
        <v>10190</v>
      </c>
      <c r="E11275" s="2">
        <v>1255483</v>
      </c>
      <c r="F11275" s="4" t="str">
        <f>IF(B11275=B11274,"",B11275)</f>
        <v>SÅ«lÅ«ru</v>
      </c>
    </row>
    <row r="11276" spans="1:6" ht="15.75" customHeight="1">
      <c r="A11276" s="6" t="s">
        <v>13125</v>
      </c>
      <c r="B11276" s="6" t="s">
        <v>13126</v>
      </c>
      <c r="C11276" s="6" t="s">
        <v>10178</v>
      </c>
      <c r="D11276" s="6" t="s">
        <v>10179</v>
      </c>
      <c r="E11276" s="2">
        <v>1256320</v>
      </c>
      <c r="F11276" s="4" t="str">
        <f>IF(B11276=B11275,"",B11276)</f>
        <v>SÄ«kar</v>
      </c>
    </row>
    <row r="11277" spans="1:6" ht="15.75" customHeight="1">
      <c r="A11277" s="5" t="s">
        <v>13123</v>
      </c>
      <c r="B11277" s="6" t="s">
        <v>13124</v>
      </c>
      <c r="C11277" s="5" t="s">
        <v>10178</v>
      </c>
      <c r="D11277" s="5" t="s">
        <v>10179</v>
      </c>
      <c r="E11277" s="2">
        <v>1255560</v>
      </c>
      <c r="F11277" s="4" t="str">
        <f>IF(B11277=B11276,"",B11277)</f>
        <v>SÅ«jÄngarh</v>
      </c>
    </row>
    <row r="11278" spans="1:6" ht="15.75" customHeight="1">
      <c r="A11278" s="5" t="s">
        <v>6703</v>
      </c>
      <c r="B11278" s="6" t="s">
        <v>6704</v>
      </c>
      <c r="C11278" s="5" t="s">
        <v>6495</v>
      </c>
      <c r="D11278" s="5" t="s">
        <v>6536</v>
      </c>
      <c r="E11278" s="2">
        <v>348112</v>
      </c>
      <c r="F11278" s="4" t="str">
        <f>IF(B11278=B11277,"",B11278)</f>
        <v>SÄ«dÄ« SÄlim</v>
      </c>
    </row>
    <row r="11279" spans="1:6" ht="15.75" customHeight="1">
      <c r="A11279" s="6" t="s">
        <v>3373</v>
      </c>
      <c r="B11279" s="6" t="s">
        <v>3374</v>
      </c>
      <c r="C11279" s="6" t="s">
        <v>1905</v>
      </c>
      <c r="D11279" s="6" t="s">
        <v>1914</v>
      </c>
      <c r="E11279" s="2">
        <v>3448136</v>
      </c>
      <c r="F11279" s="4" t="str">
        <f>IF(B11279=B11278,"",B11279)</f>
        <v>SÃ£o Vicente</v>
      </c>
    </row>
    <row r="11280" spans="1:6" ht="15.75" customHeight="1">
      <c r="A11280" s="5" t="s">
        <v>23448</v>
      </c>
      <c r="B11280" s="6" t="s">
        <v>23449</v>
      </c>
      <c r="C11280" s="5" t="s">
        <v>23450</v>
      </c>
      <c r="D11280" s="5" t="s">
        <v>23451</v>
      </c>
      <c r="E11280" s="2">
        <v>2410763</v>
      </c>
      <c r="F11280" s="4" t="str">
        <f>IF(B11280=B11279,"",B11280)</f>
        <v>SÃ£o TomÃ©</v>
      </c>
    </row>
    <row r="11281" spans="1:6" ht="15.75" customHeight="1">
      <c r="A11281" s="6" t="s">
        <v>3371</v>
      </c>
      <c r="B11281" s="6" t="s">
        <v>3372</v>
      </c>
      <c r="C11281" s="6" t="s">
        <v>1905</v>
      </c>
      <c r="D11281" s="6" t="s">
        <v>1951</v>
      </c>
      <c r="E11281" s="2">
        <v>3448207</v>
      </c>
      <c r="F11281" s="4" t="str">
        <f>IF(B11281=B11280,"",B11281)</f>
        <v>SÃ£o SepÃ©</v>
      </c>
    </row>
    <row r="11282" spans="1:6" ht="15.75" customHeight="1">
      <c r="A11282" s="5" t="s">
        <v>3369</v>
      </c>
      <c r="B11282" s="6" t="s">
        <v>3370</v>
      </c>
      <c r="C11282" s="5" t="s">
        <v>1905</v>
      </c>
      <c r="D11282" s="5" t="s">
        <v>1947</v>
      </c>
      <c r="E11282" s="2">
        <v>3448219</v>
      </c>
      <c r="F11282" s="4" t="str">
        <f>IF(B11282=B11281,"",B11282)</f>
        <v>SÃ£o SebastiÃ£o do PassÃ©</v>
      </c>
    </row>
    <row r="11283" spans="1:6" ht="15.75" customHeight="1">
      <c r="A11283" s="5" t="s">
        <v>3367</v>
      </c>
      <c r="B11283" s="6" t="s">
        <v>3368</v>
      </c>
      <c r="C11283" s="5" t="s">
        <v>1905</v>
      </c>
      <c r="D11283" s="5" t="s">
        <v>1917</v>
      </c>
      <c r="E11283" s="2">
        <v>3448221</v>
      </c>
      <c r="F11283" s="4" t="str">
        <f>IF(B11283=B11282,"",B11283)</f>
        <v>SÃ£o SebastiÃ£o do ParaÃ­so</v>
      </c>
    </row>
    <row r="11284" spans="1:6" ht="15.75" customHeight="1">
      <c r="A11284" s="5" t="s">
        <v>3365</v>
      </c>
      <c r="B11284" s="6" t="s">
        <v>3366</v>
      </c>
      <c r="C11284" s="5" t="s">
        <v>1905</v>
      </c>
      <c r="D11284" s="5" t="s">
        <v>1951</v>
      </c>
      <c r="E11284" s="2">
        <v>3448227</v>
      </c>
      <c r="F11284" s="4" t="str">
        <f>IF(B11284=B11283,"",B11284)</f>
        <v>SÃ£o SebastiÃ£o do CaÃ­</v>
      </c>
    </row>
    <row r="11285" spans="1:6" ht="15.75" customHeight="1">
      <c r="A11285" s="5" t="s">
        <v>3363</v>
      </c>
      <c r="B11285" s="6" t="s">
        <v>3364</v>
      </c>
      <c r="C11285" s="5" t="s">
        <v>1905</v>
      </c>
      <c r="D11285" s="5" t="s">
        <v>1914</v>
      </c>
      <c r="E11285" s="2">
        <v>3448257</v>
      </c>
      <c r="F11285" s="4" t="str">
        <f>IF(B11285=B11284,"",B11285)</f>
        <v>SÃ£o SebastiÃ£o</v>
      </c>
    </row>
    <row r="11286" spans="1:6" ht="15.75" customHeight="1">
      <c r="A11286" s="5" t="s">
        <v>3361</v>
      </c>
      <c r="B11286" s="6" t="s">
        <v>3362</v>
      </c>
      <c r="C11286" s="5" t="s">
        <v>1905</v>
      </c>
      <c r="D11286" s="5" t="s">
        <v>1914</v>
      </c>
      <c r="E11286" s="2">
        <v>3448300</v>
      </c>
      <c r="F11286" s="4" t="str">
        <f>IF(B11286=B11285,"",B11286)</f>
        <v>SÃ£o Roque</v>
      </c>
    </row>
    <row r="11287" spans="1:6" ht="15.75" customHeight="1">
      <c r="A11287" s="5" t="s">
        <v>3359</v>
      </c>
      <c r="B11287" s="6" t="s">
        <v>3360</v>
      </c>
      <c r="C11287" s="5" t="s">
        <v>1905</v>
      </c>
      <c r="D11287" s="5" t="s">
        <v>1960</v>
      </c>
      <c r="E11287" s="2">
        <v>3388145</v>
      </c>
      <c r="F11287" s="4" t="str">
        <f>IF(B11287=B11286,"",B11287)</f>
        <v>SÃ£o Raimundo Nonato</v>
      </c>
    </row>
    <row r="11288" spans="1:6" ht="15.75" customHeight="1">
      <c r="A11288" s="5" t="s">
        <v>21728</v>
      </c>
      <c r="B11288" s="6" t="s">
        <v>21729</v>
      </c>
      <c r="C11288" s="5" t="s">
        <v>21606</v>
      </c>
      <c r="D11288" s="5" t="s">
        <v>21609</v>
      </c>
      <c r="E11288" s="2">
        <v>2734363</v>
      </c>
      <c r="F11288" s="4" t="str">
        <f>IF(B11288=B11287,"",B11288)</f>
        <v>SÃ£o Pedro da Cova</v>
      </c>
    </row>
    <row r="11289" spans="1:6" ht="15.75" customHeight="1">
      <c r="A11289" s="5" t="s">
        <v>3357</v>
      </c>
      <c r="B11289" s="6" t="s">
        <v>3358</v>
      </c>
      <c r="C11289" s="5" t="s">
        <v>1905</v>
      </c>
      <c r="D11289" s="5" t="s">
        <v>1978</v>
      </c>
      <c r="E11289" s="2">
        <v>3448351</v>
      </c>
      <c r="F11289" s="4" t="str">
        <f>IF(B11289=B11288,"",B11289)</f>
        <v>SÃ£o Pedro da Aldeia</v>
      </c>
    </row>
    <row r="11290" spans="1:6" ht="15.75" customHeight="1">
      <c r="A11290" s="5" t="s">
        <v>3355</v>
      </c>
      <c r="B11290" s="6" t="s">
        <v>3356</v>
      </c>
      <c r="C11290" s="5" t="s">
        <v>1905</v>
      </c>
      <c r="D11290" s="5" t="s">
        <v>1914</v>
      </c>
      <c r="E11290" s="2">
        <v>3448403</v>
      </c>
      <c r="F11290" s="4" t="str">
        <f>IF(B11290=B11289,"",B11290)</f>
        <v>SÃ£o Pedro</v>
      </c>
    </row>
    <row r="11291" spans="1:6" ht="15.75" customHeight="1">
      <c r="A11291" s="5" t="s">
        <v>3353</v>
      </c>
      <c r="B11291" s="6" t="s">
        <v>1914</v>
      </c>
      <c r="C11291" s="5" t="s">
        <v>1905</v>
      </c>
      <c r="D11291" s="5" t="s">
        <v>1914</v>
      </c>
      <c r="E11291" s="2">
        <v>3448439</v>
      </c>
      <c r="F11291" s="4" t="str">
        <f>IF(B11291=B11290,"",B11291)</f>
        <v>SÃ£o Paulo</v>
      </c>
    </row>
    <row r="11292" spans="1:6" ht="15.75" customHeight="1">
      <c r="A11292" s="5" t="s">
        <v>3351</v>
      </c>
      <c r="B11292" s="6" t="s">
        <v>3352</v>
      </c>
      <c r="C11292" s="5" t="s">
        <v>1905</v>
      </c>
      <c r="D11292" s="5" t="s">
        <v>2015</v>
      </c>
      <c r="E11292" s="2">
        <v>3388269</v>
      </c>
      <c r="F11292" s="4" t="str">
        <f>IF(B11292=B11291,"",B11292)</f>
        <v>SÃ£o Miguel dos Campos</v>
      </c>
    </row>
    <row r="11293" spans="1:6" ht="15.75" customHeight="1">
      <c r="A11293" s="5" t="s">
        <v>3349</v>
      </c>
      <c r="B11293" s="6" t="s">
        <v>3350</v>
      </c>
      <c r="C11293" s="5" t="s">
        <v>1905</v>
      </c>
      <c r="D11293" s="5" t="s">
        <v>728</v>
      </c>
      <c r="E11293" s="2">
        <v>3448453</v>
      </c>
      <c r="F11293" s="4" t="str">
        <f>IF(B11293=B11292,"",B11293)</f>
        <v>SÃ£o Miguel do IguaÃ§u</v>
      </c>
    </row>
    <row r="11294" spans="1:6" ht="15.75" customHeight="1">
      <c r="A11294" s="5" t="s">
        <v>3347</v>
      </c>
      <c r="B11294" s="6" t="s">
        <v>3348</v>
      </c>
      <c r="C11294" s="5" t="s">
        <v>1905</v>
      </c>
      <c r="D11294" s="5" t="s">
        <v>1906</v>
      </c>
      <c r="E11294" s="2">
        <v>3388270</v>
      </c>
      <c r="F11294" s="4" t="str">
        <f>IF(B11294=B11293,"",B11294)</f>
        <v>SÃ£o Miguel do GuamÃ¡</v>
      </c>
    </row>
    <row r="11295" spans="1:6" ht="15.75" customHeight="1">
      <c r="A11295" s="5" t="s">
        <v>3345</v>
      </c>
      <c r="B11295" s="6" t="s">
        <v>3346</v>
      </c>
      <c r="C11295" s="5" t="s">
        <v>1905</v>
      </c>
      <c r="D11295" s="5" t="s">
        <v>1969</v>
      </c>
      <c r="E11295" s="2">
        <v>3448455</v>
      </c>
      <c r="F11295" s="4" t="str">
        <f>IF(B11295=B11294,"",B11295)</f>
        <v>SÃ£o Miguel do Araguaia</v>
      </c>
    </row>
    <row r="11296" spans="1:6" ht="15.75" customHeight="1">
      <c r="A11296" s="5" t="s">
        <v>3343</v>
      </c>
      <c r="B11296" s="6" t="s">
        <v>3344</v>
      </c>
      <c r="C11296" s="5" t="s">
        <v>1905</v>
      </c>
      <c r="D11296" s="5" t="s">
        <v>728</v>
      </c>
      <c r="E11296" s="2">
        <v>3448502</v>
      </c>
      <c r="F11296" s="4" t="str">
        <f>IF(B11296=B11295,"",B11296)</f>
        <v>SÃ£o Mateus do Sul</v>
      </c>
    </row>
    <row r="11297" spans="1:6" ht="15.75" customHeight="1">
      <c r="A11297" s="5" t="s">
        <v>3341</v>
      </c>
      <c r="B11297" s="6" t="s">
        <v>3342</v>
      </c>
      <c r="C11297" s="5" t="s">
        <v>1905</v>
      </c>
      <c r="D11297" s="5" t="s">
        <v>2024</v>
      </c>
      <c r="E11297" s="2">
        <v>3388318</v>
      </c>
      <c r="F11297" s="4" t="str">
        <f>IF(B11297=B11296,"",B11297)</f>
        <v>SÃ£o Mateus do MaranhÃ£o</v>
      </c>
    </row>
    <row r="11298" spans="1:6" ht="15.75" customHeight="1">
      <c r="A11298" s="5" t="s">
        <v>3339</v>
      </c>
      <c r="B11298" s="6" t="s">
        <v>3340</v>
      </c>
      <c r="C11298" s="5" t="s">
        <v>1905</v>
      </c>
      <c r="D11298" s="5" t="s">
        <v>1949</v>
      </c>
      <c r="E11298" s="2">
        <v>3448519</v>
      </c>
      <c r="F11298" s="4" t="str">
        <f>IF(B11298=B11297,"",B11298)</f>
        <v>SÃ£o Mateus</v>
      </c>
    </row>
    <row r="11299" spans="1:6" ht="15.75" customHeight="1">
      <c r="A11299" s="5" t="s">
        <v>3337</v>
      </c>
      <c r="B11299" s="6" t="s">
        <v>3338</v>
      </c>
      <c r="C11299" s="5" t="s">
        <v>1905</v>
      </c>
      <c r="D11299" s="5" t="s">
        <v>1951</v>
      </c>
      <c r="E11299" s="2">
        <v>3448533</v>
      </c>
      <c r="F11299" s="4" t="str">
        <f>IF(B11299=B11298,"",B11299)</f>
        <v>SÃ£o Marcos</v>
      </c>
    </row>
    <row r="11300" spans="1:6" ht="15.75" customHeight="1">
      <c r="A11300" s="5" t="s">
        <v>3335</v>
      </c>
      <c r="B11300" s="6" t="s">
        <v>3336</v>
      </c>
      <c r="C11300" s="5" t="s">
        <v>1905</v>
      </c>
      <c r="D11300" s="5" t="s">
        <v>1914</v>
      </c>
      <c r="E11300" s="2">
        <v>3448545</v>
      </c>
      <c r="F11300" s="4" t="str">
        <f>IF(B11300=B11299,"",B11300)</f>
        <v>SÃ£o Manuel</v>
      </c>
    </row>
    <row r="11301" spans="1:6" ht="15.75" customHeight="1">
      <c r="A11301" s="5" t="s">
        <v>21726</v>
      </c>
      <c r="B11301" s="6" t="s">
        <v>21727</v>
      </c>
      <c r="C11301" s="5" t="s">
        <v>21606</v>
      </c>
      <c r="D11301" s="5" t="s">
        <v>21609</v>
      </c>
      <c r="E11301" s="2">
        <v>2734434</v>
      </c>
      <c r="F11301" s="4" t="str">
        <f>IF(B11301=B11300,"",B11301)</f>
        <v>SÃ£o Mamede de Infesta</v>
      </c>
    </row>
    <row r="11302" spans="1:6" ht="15.75" customHeight="1">
      <c r="A11302" s="5" t="s">
        <v>3333</v>
      </c>
      <c r="B11302" s="6" t="s">
        <v>3334</v>
      </c>
      <c r="C11302" s="5" t="s">
        <v>1905</v>
      </c>
      <c r="D11302" s="5" t="s">
        <v>1951</v>
      </c>
      <c r="E11302" s="2">
        <v>3448552</v>
      </c>
      <c r="F11302" s="4" t="str">
        <f>IF(B11302=B11301,"",B11302)</f>
        <v>SÃ£o Luiz Gonzaga</v>
      </c>
    </row>
    <row r="11303" spans="1:6" ht="15.75" customHeight="1">
      <c r="A11303" s="5" t="s">
        <v>3331</v>
      </c>
      <c r="B11303" s="6" t="s">
        <v>3332</v>
      </c>
      <c r="C11303" s="5" t="s">
        <v>1905</v>
      </c>
      <c r="D11303" s="5" t="s">
        <v>2015</v>
      </c>
      <c r="E11303" s="2">
        <v>3388341</v>
      </c>
      <c r="F11303" s="4" t="str">
        <f>IF(B11303=B11302,"",B11303)</f>
        <v>SÃ£o LuÃ­s do Quitunde</v>
      </c>
    </row>
    <row r="11304" spans="1:6" ht="15.75" customHeight="1">
      <c r="A11304" s="5" t="s">
        <v>3329</v>
      </c>
      <c r="B11304" s="6" t="s">
        <v>3330</v>
      </c>
      <c r="C11304" s="5" t="s">
        <v>1905</v>
      </c>
      <c r="D11304" s="5" t="s">
        <v>1969</v>
      </c>
      <c r="E11304" s="2">
        <v>3448558</v>
      </c>
      <c r="F11304" s="4" t="str">
        <f>IF(B11304=B11303,"",B11304)</f>
        <v>SÃ£o LuÃ­s de Montes Belos</v>
      </c>
    </row>
    <row r="11305" spans="1:6" ht="15.75" customHeight="1">
      <c r="A11305" s="6" t="s">
        <v>3327</v>
      </c>
      <c r="B11305" s="6" t="s">
        <v>3328</v>
      </c>
      <c r="C11305" s="6" t="s">
        <v>1905</v>
      </c>
      <c r="D11305" s="6" t="s">
        <v>2024</v>
      </c>
      <c r="E11305" s="2">
        <v>3388368</v>
      </c>
      <c r="F11305" s="4" t="str">
        <f>IF(B11305=B11304,"",B11305)</f>
        <v>SÃ£o LuÃ­s</v>
      </c>
    </row>
    <row r="11306" spans="1:6" ht="15.75" customHeight="1">
      <c r="A11306" s="5" t="s">
        <v>3325</v>
      </c>
      <c r="B11306" s="6" t="s">
        <v>3326</v>
      </c>
      <c r="C11306" s="5" t="s">
        <v>1905</v>
      </c>
      <c r="D11306" s="5" t="s">
        <v>1951</v>
      </c>
      <c r="E11306" s="2">
        <v>3448596</v>
      </c>
      <c r="F11306" s="4" t="str">
        <f>IF(B11306=B11305,"",B11306)</f>
        <v>SÃ£o LourenÃ§o do Sul</v>
      </c>
    </row>
    <row r="11307" spans="1:6" ht="15.75" customHeight="1">
      <c r="A11307" s="5" t="s">
        <v>3323</v>
      </c>
      <c r="B11307" s="6" t="s">
        <v>3324</v>
      </c>
      <c r="C11307" s="5" t="s">
        <v>1905</v>
      </c>
      <c r="D11307" s="5" t="s">
        <v>1909</v>
      </c>
      <c r="E11307" s="2">
        <v>3388376</v>
      </c>
      <c r="F11307" s="4" t="str">
        <f>IF(B11307=B11306,"",B11307)</f>
        <v>SÃ£o LourenÃ§o da Mata</v>
      </c>
    </row>
    <row r="11308" spans="1:6" ht="15.75" customHeight="1">
      <c r="A11308" s="5" t="s">
        <v>3321</v>
      </c>
      <c r="B11308" s="6" t="s">
        <v>3322</v>
      </c>
      <c r="C11308" s="5" t="s">
        <v>1905</v>
      </c>
      <c r="D11308" s="5" t="s">
        <v>1917</v>
      </c>
      <c r="E11308" s="2">
        <v>3448616</v>
      </c>
      <c r="F11308" s="4" t="str">
        <f>IF(B11308=B11307,"",B11308)</f>
        <v>SÃ£o LourenÃ§o</v>
      </c>
    </row>
    <row r="11309" spans="1:6" ht="15.75" customHeight="1">
      <c r="A11309" s="5" t="s">
        <v>3319</v>
      </c>
      <c r="B11309" s="6" t="s">
        <v>3320</v>
      </c>
      <c r="C11309" s="5" t="s">
        <v>1905</v>
      </c>
      <c r="D11309" s="5" t="s">
        <v>1951</v>
      </c>
      <c r="E11309" s="2">
        <v>3448622</v>
      </c>
      <c r="F11309" s="4" t="str">
        <f>IF(B11309=B11308,"",B11309)</f>
        <v>SÃ£o Leopoldo</v>
      </c>
    </row>
    <row r="11310" spans="1:6" ht="15.75" customHeight="1">
      <c r="A11310" s="5" t="s">
        <v>3317</v>
      </c>
      <c r="B11310" s="6" t="s">
        <v>3318</v>
      </c>
      <c r="C11310" s="5" t="s">
        <v>1905</v>
      </c>
      <c r="D11310" s="5" t="s">
        <v>728</v>
      </c>
      <c r="E11310" s="2">
        <v>3448632</v>
      </c>
      <c r="F11310" s="4" t="str">
        <f>IF(B11310=B11309,"",B11310)</f>
        <v>SÃ£o JosÃ© dos Pinhais</v>
      </c>
    </row>
    <row r="11311" spans="1:6" ht="15.75" customHeight="1">
      <c r="A11311" s="5" t="s">
        <v>3315</v>
      </c>
      <c r="B11311" s="6" t="s">
        <v>3316</v>
      </c>
      <c r="C11311" s="5" t="s">
        <v>1905</v>
      </c>
      <c r="D11311" s="5" t="s">
        <v>1914</v>
      </c>
      <c r="E11311" s="2">
        <v>3448636</v>
      </c>
      <c r="F11311" s="4" t="str">
        <f>IF(B11311=B11310,"",B11311)</f>
        <v>SÃ£o JosÃ© dos Campos</v>
      </c>
    </row>
    <row r="11312" spans="1:6" ht="15.75" customHeight="1">
      <c r="A11312" s="5" t="s">
        <v>3313</v>
      </c>
      <c r="B11312" s="6" t="s">
        <v>3314</v>
      </c>
      <c r="C11312" s="5" t="s">
        <v>1905</v>
      </c>
      <c r="D11312" s="5" t="s">
        <v>1914</v>
      </c>
      <c r="E11312" s="2">
        <v>3448639</v>
      </c>
      <c r="F11312" s="4" t="str">
        <f>IF(B11312=B11311,"",B11312)</f>
        <v>SÃ£o JosÃ© do Rio Preto</v>
      </c>
    </row>
    <row r="11313" spans="1:6" ht="15.75" customHeight="1">
      <c r="A11313" s="5" t="s">
        <v>3311</v>
      </c>
      <c r="B11313" s="6" t="s">
        <v>3312</v>
      </c>
      <c r="C11313" s="5" t="s">
        <v>1905</v>
      </c>
      <c r="D11313" s="5" t="s">
        <v>1914</v>
      </c>
      <c r="E11313" s="2">
        <v>3448640</v>
      </c>
      <c r="F11313" s="4" t="str">
        <f>IF(B11313=B11312,"",B11313)</f>
        <v>SÃ£o JosÃ© do Rio Pardo</v>
      </c>
    </row>
    <row r="11314" spans="1:6" ht="15.75" customHeight="1">
      <c r="A11314" s="5" t="s">
        <v>3309</v>
      </c>
      <c r="B11314" s="6" t="s">
        <v>3310</v>
      </c>
      <c r="C11314" s="5" t="s">
        <v>1905</v>
      </c>
      <c r="D11314" s="5" t="s">
        <v>1909</v>
      </c>
      <c r="E11314" s="2">
        <v>3388435</v>
      </c>
      <c r="F11314" s="4" t="str">
        <f>IF(B11314=B11313,"",B11314)</f>
        <v>SÃ£o JosÃ© do Egito</v>
      </c>
    </row>
    <row r="11315" spans="1:6" ht="15.75" customHeight="1">
      <c r="A11315" s="5" t="s">
        <v>3307</v>
      </c>
      <c r="B11315" s="6" t="s">
        <v>3308</v>
      </c>
      <c r="C11315" s="5" t="s">
        <v>1905</v>
      </c>
      <c r="D11315" s="5" t="s">
        <v>2024</v>
      </c>
      <c r="E11315" s="2">
        <v>3388441</v>
      </c>
      <c r="F11315" s="4" t="str">
        <f>IF(B11315=B11314,"",B11315)</f>
        <v>SÃ£o JosÃ© de Ribamar</v>
      </c>
    </row>
    <row r="11316" spans="1:6" ht="15.75" customHeight="1">
      <c r="A11316" s="5" t="s">
        <v>3305</v>
      </c>
      <c r="B11316" s="6" t="s">
        <v>3306</v>
      </c>
      <c r="C11316" s="5" t="s">
        <v>1905</v>
      </c>
      <c r="D11316" s="5" t="s">
        <v>1922</v>
      </c>
      <c r="E11316" s="2">
        <v>3388443</v>
      </c>
      <c r="F11316" s="4" t="str">
        <f>IF(B11316=B11315,"",B11316)</f>
        <v>SÃ£o JosÃ© de Mipibu</v>
      </c>
    </row>
    <row r="11317" spans="1:6" ht="15.75" customHeight="1">
      <c r="A11317" s="6" t="s">
        <v>3303</v>
      </c>
      <c r="B11317" s="6" t="s">
        <v>3304</v>
      </c>
      <c r="C11317" s="6" t="s">
        <v>1905</v>
      </c>
      <c r="D11317" s="6" t="s">
        <v>2020</v>
      </c>
      <c r="E11317" s="2">
        <v>3448742</v>
      </c>
      <c r="F11317" s="4" t="str">
        <f>IF(B11317=B11316,"",B11317)</f>
        <v>SÃ£o JosÃ©</v>
      </c>
    </row>
    <row r="11318" spans="1:6" ht="15.75" customHeight="1">
      <c r="A11318" s="5" t="s">
        <v>3301</v>
      </c>
      <c r="B11318" s="6" t="s">
        <v>3302</v>
      </c>
      <c r="C11318" s="5" t="s">
        <v>1905</v>
      </c>
      <c r="D11318" s="5" t="s">
        <v>1914</v>
      </c>
      <c r="E11318" s="2">
        <v>3448825</v>
      </c>
      <c r="F11318" s="4" t="str">
        <f>IF(B11318=B11317,"",B11318)</f>
        <v>SÃ£o Joaquim da Barra</v>
      </c>
    </row>
    <row r="11319" spans="1:6" ht="15.75" customHeight="1">
      <c r="A11319" s="5" t="s">
        <v>3299</v>
      </c>
      <c r="B11319" s="6" t="s">
        <v>3300</v>
      </c>
      <c r="C11319" s="5" t="s">
        <v>1905</v>
      </c>
      <c r="D11319" s="5" t="s">
        <v>2020</v>
      </c>
      <c r="E11319" s="2">
        <v>3448828</v>
      </c>
      <c r="F11319" s="4" t="str">
        <f>IF(B11319=B11318,"",B11319)</f>
        <v>SÃ£o Joaquim</v>
      </c>
    </row>
    <row r="11320" spans="1:6" ht="15.75" customHeight="1">
      <c r="A11320" s="5" t="s">
        <v>3297</v>
      </c>
      <c r="B11320" s="6" t="s">
        <v>3298</v>
      </c>
      <c r="C11320" s="5" t="s">
        <v>1905</v>
      </c>
      <c r="D11320" s="5" t="s">
        <v>1917</v>
      </c>
      <c r="E11320" s="2">
        <v>3448846</v>
      </c>
      <c r="F11320" s="4" t="str">
        <f>IF(B11320=B11319,"",B11320)</f>
        <v>SÃ£o JoÃ£o Nepomuceno</v>
      </c>
    </row>
    <row r="11321" spans="1:6" ht="15.75" customHeight="1">
      <c r="A11321" s="5" t="s">
        <v>3295</v>
      </c>
      <c r="B11321" s="6" t="s">
        <v>3296</v>
      </c>
      <c r="C11321" s="5" t="s">
        <v>1905</v>
      </c>
      <c r="D11321" s="5" t="s">
        <v>2024</v>
      </c>
      <c r="E11321" s="2">
        <v>3388615</v>
      </c>
      <c r="F11321" s="4" t="str">
        <f>IF(B11321=B11320,"",B11321)</f>
        <v>SÃ£o JoÃ£o dos Patos</v>
      </c>
    </row>
    <row r="11322" spans="1:6" ht="15.75" customHeight="1">
      <c r="A11322" s="5" t="s">
        <v>3293</v>
      </c>
      <c r="B11322" s="6" t="s">
        <v>3294</v>
      </c>
      <c r="C11322" s="5" t="s">
        <v>1905</v>
      </c>
      <c r="D11322" s="5" t="s">
        <v>1930</v>
      </c>
      <c r="E11322" s="2">
        <v>3386567</v>
      </c>
      <c r="F11322" s="4" t="str">
        <f>IF(B11322=B11321,"",B11322)</f>
        <v>SÃ£o JoÃ£o dos Inhamuns</v>
      </c>
    </row>
    <row r="11323" spans="1:6" ht="15.75" customHeight="1">
      <c r="A11323" s="5" t="s">
        <v>3291</v>
      </c>
      <c r="B11323" s="6" t="s">
        <v>3292</v>
      </c>
      <c r="C11323" s="5" t="s">
        <v>1905</v>
      </c>
      <c r="D11323" s="5" t="s">
        <v>1917</v>
      </c>
      <c r="E11323" s="2">
        <v>3448879</v>
      </c>
      <c r="F11323" s="4" t="str">
        <f>IF(B11323=B11322,"",B11323)</f>
        <v>SÃ£o JoÃ£o del Rei</v>
      </c>
    </row>
    <row r="11324" spans="1:6" ht="15.75" customHeight="1">
      <c r="A11324" s="5" t="s">
        <v>3289</v>
      </c>
      <c r="B11324" s="6" t="s">
        <v>3290</v>
      </c>
      <c r="C11324" s="5" t="s">
        <v>1905</v>
      </c>
      <c r="D11324" s="5" t="s">
        <v>1978</v>
      </c>
      <c r="E11324" s="2">
        <v>3448877</v>
      </c>
      <c r="F11324" s="4" t="str">
        <f>IF(B11324=B11323,"",B11324)</f>
        <v>SÃ£o JoÃ£o de Meriti</v>
      </c>
    </row>
    <row r="11325" spans="1:6" ht="15.75" customHeight="1">
      <c r="A11325" s="5" t="s">
        <v>21724</v>
      </c>
      <c r="B11325" s="6" t="s">
        <v>21725</v>
      </c>
      <c r="C11325" s="5" t="s">
        <v>21606</v>
      </c>
      <c r="D11325" s="5" t="s">
        <v>21616</v>
      </c>
      <c r="E11325" s="2">
        <v>2263326</v>
      </c>
      <c r="F11325" s="4" t="str">
        <f>IF(B11325=B11324,"",B11325)</f>
        <v>SÃ£o JoÃ£o da Talha</v>
      </c>
    </row>
    <row r="11326" spans="1:6" ht="15.75" customHeight="1">
      <c r="A11326" s="5" t="s">
        <v>21722</v>
      </c>
      <c r="B11326" s="6" t="s">
        <v>21723</v>
      </c>
      <c r="C11326" s="5" t="s">
        <v>21606</v>
      </c>
      <c r="D11326" s="5" t="s">
        <v>21612</v>
      </c>
      <c r="E11326" s="2">
        <v>2734484</v>
      </c>
      <c r="F11326" s="4" t="str">
        <f>IF(B11326=B11325,"",B11326)</f>
        <v>SÃ£o JoÃ£o da Madeira</v>
      </c>
    </row>
    <row r="11327" spans="1:6" ht="15.75" customHeight="1">
      <c r="A11327" s="5" t="s">
        <v>3287</v>
      </c>
      <c r="B11327" s="6" t="s">
        <v>3288</v>
      </c>
      <c r="C11327" s="5" t="s">
        <v>1905</v>
      </c>
      <c r="D11327" s="5" t="s">
        <v>1914</v>
      </c>
      <c r="E11327" s="2">
        <v>3448902</v>
      </c>
      <c r="F11327" s="4" t="str">
        <f>IF(B11327=B11326,"",B11327)</f>
        <v>SÃ£o JoÃ£o da Boa Vista</v>
      </c>
    </row>
    <row r="11328" spans="1:6" ht="15.75" customHeight="1">
      <c r="A11328" s="5" t="s">
        <v>3285</v>
      </c>
      <c r="B11328" s="6" t="s">
        <v>3286</v>
      </c>
      <c r="C11328" s="5" t="s">
        <v>1905</v>
      </c>
      <c r="D11328" s="5" t="s">
        <v>1978</v>
      </c>
      <c r="E11328" s="2">
        <v>3448903</v>
      </c>
      <c r="F11328" s="4" t="str">
        <f>IF(B11328=B11327,"",B11328)</f>
        <v>SÃ£o JoÃ£o da Barra</v>
      </c>
    </row>
    <row r="11329" spans="1:6" ht="15.75" customHeight="1">
      <c r="A11329" s="5" t="s">
        <v>3283</v>
      </c>
      <c r="B11329" s="6" t="s">
        <v>3284</v>
      </c>
      <c r="C11329" s="5" t="s">
        <v>1905</v>
      </c>
      <c r="D11329" s="5" t="s">
        <v>1951</v>
      </c>
      <c r="E11329" s="2">
        <v>3449045</v>
      </c>
      <c r="F11329" s="4" t="str">
        <f>IF(B11329=B11328,"",B11329)</f>
        <v>SÃ£o JerÃ´nimo</v>
      </c>
    </row>
    <row r="11330" spans="1:6" ht="15.75" customHeight="1">
      <c r="A11330" s="5" t="s">
        <v>3281</v>
      </c>
      <c r="B11330" s="6" t="s">
        <v>3282</v>
      </c>
      <c r="C11330" s="5" t="s">
        <v>1905</v>
      </c>
      <c r="D11330" s="5" t="s">
        <v>1917</v>
      </c>
      <c r="E11330" s="2">
        <v>3449053</v>
      </c>
      <c r="F11330" s="4" t="str">
        <f>IF(B11330=B11329,"",B11330)</f>
        <v>SÃ£o Gotardo</v>
      </c>
    </row>
    <row r="11331" spans="1:6" ht="15.75" customHeight="1">
      <c r="A11331" s="5" t="s">
        <v>3279</v>
      </c>
      <c r="B11331" s="6" t="s">
        <v>3280</v>
      </c>
      <c r="C11331" s="5" t="s">
        <v>1905</v>
      </c>
      <c r="D11331" s="5" t="s">
        <v>1917</v>
      </c>
      <c r="E11331" s="2">
        <v>3449056</v>
      </c>
      <c r="F11331" s="4" t="str">
        <f>IF(B11331=B11330,"",B11331)</f>
        <v>SÃ£o GonÃ§alo do SapucaÃ­</v>
      </c>
    </row>
    <row r="11332" spans="1:6" ht="15.75" customHeight="1">
      <c r="A11332" s="5" t="s">
        <v>3277</v>
      </c>
      <c r="B11332" s="6" t="s">
        <v>3278</v>
      </c>
      <c r="C11332" s="5" t="s">
        <v>1905</v>
      </c>
      <c r="D11332" s="5" t="s">
        <v>1930</v>
      </c>
      <c r="E11332" s="2">
        <v>3388714</v>
      </c>
      <c r="F11332" s="4" t="str">
        <f>IF(B11332=B11331,"",B11332)</f>
        <v>SÃ£o GonÃ§alo do Amarante</v>
      </c>
    </row>
    <row r="11333" spans="1:6" ht="15.75" customHeight="1">
      <c r="A11333" s="5" t="s">
        <v>3275</v>
      </c>
      <c r="B11333" s="6" t="s">
        <v>3276</v>
      </c>
      <c r="C11333" s="5" t="s">
        <v>1905</v>
      </c>
      <c r="D11333" s="5" t="s">
        <v>2287</v>
      </c>
      <c r="E11333" s="2">
        <v>3662342</v>
      </c>
      <c r="F11333" s="4" t="str">
        <f>IF(B11333=B11332,"",B11333)</f>
        <v>SÃ£o Gabriel da Cachoeira</v>
      </c>
    </row>
    <row r="11334" spans="1:6" ht="15.75" customHeight="1">
      <c r="A11334" s="6" t="s">
        <v>3273</v>
      </c>
      <c r="B11334" s="6" t="s">
        <v>3274</v>
      </c>
      <c r="C11334" s="6" t="s">
        <v>1905</v>
      </c>
      <c r="D11334" s="6" t="s">
        <v>1951</v>
      </c>
      <c r="E11334" s="2">
        <v>3449099</v>
      </c>
      <c r="F11334" s="4" t="str">
        <f>IF(B11334=B11333,"",B11334)</f>
        <v>SÃ£o Gabriel</v>
      </c>
    </row>
    <row r="11335" spans="1:6" ht="15.75" customHeight="1">
      <c r="A11335" s="5" t="s">
        <v>3271</v>
      </c>
      <c r="B11335" s="6" t="s">
        <v>3272</v>
      </c>
      <c r="C11335" s="5" t="s">
        <v>1905</v>
      </c>
      <c r="D11335" s="5" t="s">
        <v>2020</v>
      </c>
      <c r="E11335" s="2">
        <v>3449112</v>
      </c>
      <c r="F11335" s="4" t="str">
        <f>IF(B11335=B11334,"",B11335)</f>
        <v>SÃ£o Francisco do Sul</v>
      </c>
    </row>
    <row r="11336" spans="1:6" ht="15.75" customHeight="1">
      <c r="A11336" s="5" t="s">
        <v>3269</v>
      </c>
      <c r="B11336" s="6" t="s">
        <v>3270</v>
      </c>
      <c r="C11336" s="5" t="s">
        <v>1905</v>
      </c>
      <c r="D11336" s="5" t="s">
        <v>1947</v>
      </c>
      <c r="E11336" s="2">
        <v>3449116</v>
      </c>
      <c r="F11336" s="4" t="str">
        <f>IF(B11336=B11335,"",B11336)</f>
        <v>SÃ£o Francisco do Conde</v>
      </c>
    </row>
    <row r="11337" spans="1:6" ht="15.75" customHeight="1">
      <c r="A11337" s="5" t="s">
        <v>3267</v>
      </c>
      <c r="B11337" s="6" t="s">
        <v>3268</v>
      </c>
      <c r="C11337" s="5" t="s">
        <v>1905</v>
      </c>
      <c r="D11337" s="5" t="s">
        <v>1917</v>
      </c>
      <c r="E11337" s="2">
        <v>3449176</v>
      </c>
      <c r="F11337" s="4" t="str">
        <f>IF(B11337=B11336,"",B11337)</f>
        <v>SÃ£o Francisco</v>
      </c>
    </row>
    <row r="11338" spans="1:6" ht="15.75" customHeight="1">
      <c r="A11338" s="5" t="s">
        <v>3265</v>
      </c>
      <c r="B11338" s="6" t="s">
        <v>3266</v>
      </c>
      <c r="C11338" s="5" t="s">
        <v>1905</v>
      </c>
      <c r="D11338" s="5" t="s">
        <v>1978</v>
      </c>
      <c r="E11338" s="2">
        <v>3449195</v>
      </c>
      <c r="F11338" s="4" t="str">
        <f>IF(B11338=B11337,"",B11338)</f>
        <v>SÃ£o FidÃ©lis</v>
      </c>
    </row>
    <row r="11339" spans="1:6" ht="15.75" customHeight="1">
      <c r="A11339" s="5" t="s">
        <v>3263</v>
      </c>
      <c r="B11339" s="6" t="s">
        <v>3264</v>
      </c>
      <c r="C11339" s="5" t="s">
        <v>1905</v>
      </c>
      <c r="D11339" s="5" t="s">
        <v>1906</v>
      </c>
      <c r="E11339" s="2">
        <v>3388847</v>
      </c>
      <c r="F11339" s="4" t="str">
        <f>IF(B11339=B11338,"",B11339)</f>
        <v>SÃ£o FÃ©lix do Xingu</v>
      </c>
    </row>
    <row r="11340" spans="1:6" ht="15.75" customHeight="1">
      <c r="A11340" s="5" t="s">
        <v>3261</v>
      </c>
      <c r="B11340" s="6" t="s">
        <v>3262</v>
      </c>
      <c r="C11340" s="5" t="s">
        <v>1905</v>
      </c>
      <c r="D11340" s="5" t="s">
        <v>2024</v>
      </c>
      <c r="E11340" s="2">
        <v>3388868</v>
      </c>
      <c r="F11340" s="4" t="str">
        <f>IF(B11340=B11339,"",B11340)</f>
        <v>SÃ£o Domingos do MaranhÃ£o</v>
      </c>
    </row>
    <row r="11341" spans="1:6" ht="15.75" customHeight="1">
      <c r="A11341" s="5" t="s">
        <v>21720</v>
      </c>
      <c r="B11341" s="6" t="s">
        <v>21721</v>
      </c>
      <c r="C11341" s="5" t="s">
        <v>21606</v>
      </c>
      <c r="D11341" s="5" t="s">
        <v>21616</v>
      </c>
      <c r="E11341" s="2">
        <v>2263352</v>
      </c>
      <c r="F11341" s="4" t="str">
        <f>IF(B11341=B11340,"",B11341)</f>
        <v>SÃ£o Domingos de Rana</v>
      </c>
    </row>
    <row r="11342" spans="1:6" ht="15.75" customHeight="1">
      <c r="A11342" s="5" t="s">
        <v>3259</v>
      </c>
      <c r="B11342" s="6" t="s">
        <v>3260</v>
      </c>
      <c r="C11342" s="5" t="s">
        <v>1905</v>
      </c>
      <c r="D11342" s="5" t="s">
        <v>2002</v>
      </c>
      <c r="E11342" s="2">
        <v>3449310</v>
      </c>
      <c r="F11342" s="4" t="str">
        <f>IF(B11342=B11341,"",B11342)</f>
        <v>SÃ£o CristÃ³vÃ£o</v>
      </c>
    </row>
    <row r="11343" spans="1:6" ht="15.75" customHeight="1">
      <c r="A11343" s="5" t="s">
        <v>3257</v>
      </c>
      <c r="B11343" s="6" t="s">
        <v>3258</v>
      </c>
      <c r="C11343" s="5" t="s">
        <v>1905</v>
      </c>
      <c r="D11343" s="5" t="s">
        <v>1914</v>
      </c>
      <c r="E11343" s="2">
        <v>3449319</v>
      </c>
      <c r="F11343" s="4" t="str">
        <f>IF(B11343=B11342,"",B11343)</f>
        <v>SÃ£o Carlos</v>
      </c>
    </row>
    <row r="11344" spans="1:6" ht="15.75" customHeight="1">
      <c r="A11344" s="5" t="s">
        <v>3255</v>
      </c>
      <c r="B11344" s="6" t="s">
        <v>3256</v>
      </c>
      <c r="C11344" s="5" t="s">
        <v>1905</v>
      </c>
      <c r="D11344" s="5" t="s">
        <v>1914</v>
      </c>
      <c r="E11344" s="2">
        <v>3449324</v>
      </c>
      <c r="F11344" s="4" t="str">
        <f>IF(B11344=B11343,"",B11344)</f>
        <v>SÃ£o Caetano do Sul</v>
      </c>
    </row>
    <row r="11345" spans="1:6" ht="15.75" customHeight="1">
      <c r="A11345" s="5" t="s">
        <v>3253</v>
      </c>
      <c r="B11345" s="6" t="s">
        <v>3254</v>
      </c>
      <c r="C11345" s="5" t="s">
        <v>1905</v>
      </c>
      <c r="D11345" s="5" t="s">
        <v>1951</v>
      </c>
      <c r="E11345" s="2">
        <v>3449340</v>
      </c>
      <c r="F11345" s="4" t="str">
        <f>IF(B11345=B11344,"",B11345)</f>
        <v>SÃ£o Borja</v>
      </c>
    </row>
    <row r="11346" spans="1:6" ht="15.75" customHeight="1">
      <c r="A11346" s="5" t="s">
        <v>3251</v>
      </c>
      <c r="B11346" s="6" t="s">
        <v>3252</v>
      </c>
      <c r="C11346" s="5" t="s">
        <v>1905</v>
      </c>
      <c r="D11346" s="5" t="s">
        <v>1914</v>
      </c>
      <c r="E11346" s="2">
        <v>3449344</v>
      </c>
      <c r="F11346" s="4" t="str">
        <f>IF(B11346=B11345,"",B11346)</f>
        <v>SÃ£o Bernardo do Campo</v>
      </c>
    </row>
    <row r="11347" spans="1:6" ht="15.75" customHeight="1">
      <c r="A11347" s="5" t="s">
        <v>3249</v>
      </c>
      <c r="B11347" s="6" t="s">
        <v>3250</v>
      </c>
      <c r="C11347" s="5" t="s">
        <v>1905</v>
      </c>
      <c r="D11347" s="5" t="s">
        <v>2020</v>
      </c>
      <c r="E11347" s="2">
        <v>3449350</v>
      </c>
      <c r="F11347" s="4" t="str">
        <f>IF(B11347=B11346,"",B11347)</f>
        <v>SÃ£o Bento do Sul</v>
      </c>
    </row>
    <row r="11348" spans="1:6" ht="15.75" customHeight="1">
      <c r="A11348" s="5" t="s">
        <v>3247</v>
      </c>
      <c r="B11348" s="6" t="s">
        <v>3248</v>
      </c>
      <c r="C11348" s="5" t="s">
        <v>1905</v>
      </c>
      <c r="D11348" s="5" t="s">
        <v>1944</v>
      </c>
      <c r="E11348" s="2">
        <v>3388991</v>
      </c>
      <c r="F11348" s="4" t="str">
        <f>IF(B11348=B11347,"",B11348)</f>
        <v>SÃ£o Bento</v>
      </c>
    </row>
    <row r="11349" spans="1:6" ht="15.75" customHeight="1">
      <c r="A11349" s="5" t="s">
        <v>3247</v>
      </c>
      <c r="B11349" s="6" t="s">
        <v>3248</v>
      </c>
      <c r="C11349" s="5" t="s">
        <v>1905</v>
      </c>
      <c r="D11349" s="5" t="s">
        <v>2024</v>
      </c>
      <c r="E11349" s="2">
        <v>3389006</v>
      </c>
      <c r="F11349" s="4" t="str">
        <f>IF(B11349=B11348,"",B11349)</f>
        <v/>
      </c>
    </row>
    <row r="11350" spans="1:6" ht="15.75" customHeight="1">
      <c r="A11350" s="6" t="s">
        <v>3864</v>
      </c>
      <c r="B11350" s="6" t="s">
        <v>3865</v>
      </c>
      <c r="C11350" s="6" t="s">
        <v>3838</v>
      </c>
      <c r="D11350" s="6" t="s">
        <v>3866</v>
      </c>
      <c r="E11350" s="2">
        <v>1825093</v>
      </c>
      <c r="F11350" s="4" t="str">
        <f>IF(B11350=B11349,"",B11350)</f>
        <v>SÃ¢mraÃ´ng</v>
      </c>
    </row>
    <row r="11351" spans="1:6" ht="15.75" customHeight="1">
      <c r="A11351" s="6" t="s">
        <v>21480</v>
      </c>
      <c r="B11351" s="6" t="s">
        <v>21481</v>
      </c>
      <c r="C11351" s="6" t="s">
        <v>21064</v>
      </c>
      <c r="D11351" s="6" t="s">
        <v>21173</v>
      </c>
      <c r="E11351" s="2">
        <v>3085450</v>
      </c>
      <c r="F11351" s="4" t="str">
        <f>IF(B11351=B11350,"",B11351)</f>
        <v>SÅ‚upsk</v>
      </c>
    </row>
    <row r="11352" spans="1:6" ht="15.75" customHeight="1">
      <c r="A11352" s="6" t="s">
        <v>21478</v>
      </c>
      <c r="B11352" s="6" t="s">
        <v>21479</v>
      </c>
      <c r="C11352" s="6" t="s">
        <v>21064</v>
      </c>
      <c r="D11352" s="6" t="s">
        <v>21065</v>
      </c>
      <c r="E11352" s="2">
        <v>3085495</v>
      </c>
      <c r="F11352" s="4" t="str">
        <f>IF(B11352=B11351,"",B11352)</f>
        <v>SÅ‚ubice</v>
      </c>
    </row>
    <row r="11353" spans="1:6" ht="15.75" customHeight="1">
      <c r="A11353" s="5" t="str">
        <f ca="1">IFERROR(__xludf.DUMMYFUNCTION("GOOGLETRANSLATE(B39539,""en"",""pt"")"),"Sa‘īr")</f>
        <v>Sa‘īr</v>
      </c>
      <c r="B11353" s="17" t="s">
        <v>35269</v>
      </c>
      <c r="C11353" s="17" t="s">
        <v>20297</v>
      </c>
      <c r="D11353" s="17" t="s">
        <v>20298</v>
      </c>
      <c r="E11353" s="10">
        <v>281793</v>
      </c>
      <c r="F11353" s="4" t="str">
        <f>IF(B11353=B11352,"",B11353)</f>
        <v>Sa‘īr</v>
      </c>
    </row>
    <row r="11354" spans="1:6" ht="15.75" customHeight="1">
      <c r="A11354" s="5" t="s">
        <v>6276</v>
      </c>
      <c r="B11354" s="6" t="s">
        <v>6277</v>
      </c>
      <c r="C11354" s="5" t="s">
        <v>6209</v>
      </c>
      <c r="D11354" s="5" t="s">
        <v>6212</v>
      </c>
      <c r="E11354" s="2">
        <v>2613102</v>
      </c>
      <c r="F11354" s="4" t="str">
        <f>IF(B11354=B11353,"",B11354)</f>
        <v>SÃ¸nderborg</v>
      </c>
    </row>
    <row r="11355" spans="1:6" ht="15.75" customHeight="1">
      <c r="A11355" s="5" t="s">
        <v>30898</v>
      </c>
      <c r="B11355" s="6" t="s">
        <v>30899</v>
      </c>
      <c r="C11355" s="5" t="s">
        <v>30784</v>
      </c>
      <c r="D11355" s="5" t="s">
        <v>30900</v>
      </c>
      <c r="E11355" s="2">
        <v>1567723</v>
      </c>
      <c r="F11355" s="4" t="str">
        <f>IF(B11355=B11354,"",B11355)</f>
        <v>SÃ´ng Cáº§u</v>
      </c>
    </row>
    <row r="11356" spans="1:6" ht="15.75" customHeight="1">
      <c r="A11356" s="6" t="s">
        <v>7723</v>
      </c>
      <c r="B11356" s="6" t="s">
        <v>7724</v>
      </c>
      <c r="C11356" s="6" t="s">
        <v>7052</v>
      </c>
      <c r="D11356" s="6" t="s">
        <v>7058</v>
      </c>
      <c r="E11356" s="2">
        <v>2974678</v>
      </c>
      <c r="F11356" s="4" t="str">
        <f>IF(B11356=B11355,"",B11356)</f>
        <v>SÃ¨vres</v>
      </c>
    </row>
    <row r="11357" spans="1:6" ht="15.75" customHeight="1">
      <c r="A11357" s="6" t="s">
        <v>7721</v>
      </c>
      <c r="B11357" s="6" t="s">
        <v>7722</v>
      </c>
      <c r="C11357" s="6" t="s">
        <v>7052</v>
      </c>
      <c r="D11357" s="6" t="s">
        <v>7082</v>
      </c>
      <c r="E11357" s="2">
        <v>2974733</v>
      </c>
      <c r="F11357" s="4" t="str">
        <f>IF(B11357=B11356,"",B11357)</f>
        <v>SÃ¨te</v>
      </c>
    </row>
    <row r="11358" spans="1:6" ht="15.75" customHeight="1">
      <c r="A11358" s="6" t="s">
        <v>10127</v>
      </c>
      <c r="B11358" s="6" t="s">
        <v>10130</v>
      </c>
      <c r="C11358" s="6" t="s">
        <v>9955</v>
      </c>
      <c r="D11358" s="6" t="s">
        <v>9956</v>
      </c>
      <c r="E11358" s="2">
        <v>715839</v>
      </c>
      <c r="F11358" s="4" t="str">
        <f>IF(B11358=B11357,"",B11358)</f>
        <v>SÃ¡toraljaÃºjhely</v>
      </c>
    </row>
    <row r="11359" spans="1:6" ht="15.75" customHeight="1">
      <c r="A11359" s="6" t="s">
        <v>10127</v>
      </c>
      <c r="B11359" s="6" t="s">
        <v>10128</v>
      </c>
      <c r="C11359" s="6" t="s">
        <v>9955</v>
      </c>
      <c r="D11359" s="6" t="s">
        <v>10129</v>
      </c>
      <c r="E11359" s="2">
        <v>3045487</v>
      </c>
      <c r="F11359" s="4" t="str">
        <f>IF(B11359=B11358,"",B11359)</f>
        <v>SÃ¡rvÃ¡r</v>
      </c>
    </row>
    <row r="11360" spans="1:6" ht="15.75" customHeight="1">
      <c r="A11360" s="6" t="s">
        <v>30896</v>
      </c>
      <c r="B11360" s="6" t="s">
        <v>30897</v>
      </c>
      <c r="C11360" s="6" t="s">
        <v>30784</v>
      </c>
      <c r="D11360" s="6" t="s">
        <v>30869</v>
      </c>
      <c r="E11360" s="2">
        <v>1568043</v>
      </c>
      <c r="F11360" s="4" t="str">
        <f>IF(B11360=B11359,"",B11360)</f>
        <v>Sa PÃ¡</v>
      </c>
    </row>
    <row r="11361" spans="1:6" ht="15.75" customHeight="1">
      <c r="A11361" s="5" t="str">
        <f ca="1">IFERROR(__xludf.DUMMYFUNCTION("GOOGLETRANSLATE(B45733,""en"",""pt"")"),"Sa Pá")</f>
        <v>Sa Pá</v>
      </c>
      <c r="B11361" s="17" t="s">
        <v>36137</v>
      </c>
      <c r="C11361" s="17" t="s">
        <v>30784</v>
      </c>
      <c r="D11361" s="17" t="s">
        <v>36138</v>
      </c>
      <c r="E11361" s="10">
        <v>1568043</v>
      </c>
      <c r="F11361" s="4" t="str">
        <f>IF(B11361=B11360,"",B11361)</f>
        <v>Sa Pá</v>
      </c>
    </row>
    <row r="11362" spans="1:6" ht="15.75" customHeight="1">
      <c r="A11362" s="6" t="s">
        <v>25980</v>
      </c>
      <c r="B11362" s="6" t="s">
        <v>25776</v>
      </c>
      <c r="C11362" s="6" t="s">
        <v>25771</v>
      </c>
      <c r="D11362" s="6" t="s">
        <v>25776</v>
      </c>
      <c r="E11362" s="2">
        <v>1606807</v>
      </c>
      <c r="F11362" s="4" t="str">
        <f>IF(B11362=B11361,"",B11362)</f>
        <v>Sa Kaeo</v>
      </c>
    </row>
    <row r="11363" spans="1:6" ht="15.75" customHeight="1">
      <c r="A11363" s="5" t="str">
        <f ca="1">IFERROR(__xludf.DUMMYFUNCTION("GOOGLETRANSLATE(B41616,""en"",""pt"")"),"SA KAEO")</f>
        <v>SA KAEO</v>
      </c>
      <c r="B11363" s="17" t="s">
        <v>25776</v>
      </c>
      <c r="C11363" s="17" t="s">
        <v>25771</v>
      </c>
      <c r="D11363" s="17" t="s">
        <v>25776</v>
      </c>
      <c r="E11363" s="10">
        <v>1606807</v>
      </c>
      <c r="F11363" s="4" t="str">
        <f>IF(B11363=B11362,"",B11363)</f>
        <v/>
      </c>
    </row>
    <row r="11364" spans="1:6" ht="15.75" customHeight="1">
      <c r="A11364" s="6" t="s">
        <v>23020</v>
      </c>
      <c r="B11364" s="6" t="s">
        <v>23020</v>
      </c>
      <c r="C11364" s="6" t="s">
        <v>22070</v>
      </c>
      <c r="D11364" s="6" t="s">
        <v>22229</v>
      </c>
      <c r="E11364" s="2">
        <v>499717</v>
      </c>
      <c r="F11364" s="4" t="str">
        <f>IF(B11364=B11363,"",B11364)</f>
        <v>Rzhev</v>
      </c>
    </row>
    <row r="11365" spans="1:6" ht="15.75" customHeight="1">
      <c r="A11365" s="5" t="str">
        <f ca="1">IFERROR(__xludf.DUMMYFUNCTION("GOOGLETRANSLATE(B40144,""en"",""pt"")"),"Rzhev")</f>
        <v>Rzhev</v>
      </c>
      <c r="B11365" s="17" t="s">
        <v>23020</v>
      </c>
      <c r="C11365" s="17" t="s">
        <v>22070</v>
      </c>
      <c r="D11365" s="17" t="s">
        <v>22229</v>
      </c>
      <c r="E11365" s="10">
        <v>499717</v>
      </c>
      <c r="F11365" s="4" t="str">
        <f>IF(B11365=B11364,"",B11365)</f>
        <v/>
      </c>
    </row>
    <row r="11366" spans="1:6" ht="15.75" customHeight="1">
      <c r="A11366" s="5" t="str">
        <f ca="1">IFERROR(__xludf.DUMMYFUNCTION("GOOGLETRANSLATE(B39212,""en"",""pt"")"),"Rzeszów")</f>
        <v>Rzeszów</v>
      </c>
      <c r="B11366" s="17" t="s">
        <v>35084</v>
      </c>
      <c r="C11366" s="17" t="s">
        <v>21064</v>
      </c>
      <c r="D11366" s="17" t="s">
        <v>21083</v>
      </c>
      <c r="E11366" s="10">
        <v>759734</v>
      </c>
      <c r="F11366" s="4" t="str">
        <f>IF(B11366=B11365,"",B11366)</f>
        <v>Rzeszów</v>
      </c>
    </row>
    <row r="11367" spans="1:6" ht="15.75" customHeight="1">
      <c r="A11367" s="6" t="s">
        <v>21476</v>
      </c>
      <c r="B11367" s="6" t="s">
        <v>21477</v>
      </c>
      <c r="C11367" s="6" t="s">
        <v>21064</v>
      </c>
      <c r="D11367" s="6" t="s">
        <v>21083</v>
      </c>
      <c r="E11367" s="2">
        <v>759734</v>
      </c>
      <c r="F11367" s="4" t="str">
        <f>IF(B11367=B11366,"",B11367)</f>
        <v>RzeszÃ³w</v>
      </c>
    </row>
    <row r="11368" spans="1:6" ht="15.75" customHeight="1">
      <c r="A11368" s="5" t="str">
        <f ca="1">IFERROR(__xludf.DUMMYFUNCTION("GOOGLETRANSLATE(B35332,""en"",""pt"")"),"Ryūō")</f>
        <v>Ryūō</v>
      </c>
      <c r="B11368" s="17" t="s">
        <v>34315</v>
      </c>
      <c r="C11368" s="17" t="s">
        <v>15704</v>
      </c>
      <c r="D11368" s="17" t="s">
        <v>15806</v>
      </c>
      <c r="E11368" s="10">
        <v>1853354</v>
      </c>
      <c r="F11368" s="4" t="str">
        <f>IF(B11368=B11367,"",B11368)</f>
        <v>Ryūō</v>
      </c>
    </row>
    <row r="11369" spans="1:6" ht="15.75" customHeight="1">
      <c r="A11369" s="5" t="str">
        <f ca="1">IFERROR(__xludf.DUMMYFUNCTION("GOOGLETRANSLATE(B35739,""en"",""pt"")"),"Ryūgasaki")</f>
        <v>Ryūgasaki</v>
      </c>
      <c r="B11369" s="17" t="s">
        <v>34404</v>
      </c>
      <c r="C11369" s="17" t="s">
        <v>15704</v>
      </c>
      <c r="D11369" s="17" t="s">
        <v>15724</v>
      </c>
      <c r="E11369" s="10">
        <v>2111258</v>
      </c>
      <c r="F11369" s="4" t="str">
        <f>IF(B11369=B11368,"",B11369)</f>
        <v>Ryūgasaki</v>
      </c>
    </row>
    <row r="11370" spans="1:6" ht="15.75" customHeight="1">
      <c r="A11370" s="6" t="s">
        <v>27658</v>
      </c>
      <c r="B11370" s="6" t="s">
        <v>27658</v>
      </c>
      <c r="C11370" s="6" t="s">
        <v>27234</v>
      </c>
      <c r="D11370" s="6" t="s">
        <v>27241</v>
      </c>
      <c r="E11370" s="2">
        <v>2638894</v>
      </c>
      <c r="F11370" s="4" t="str">
        <f>IF(B11370=B11369,"",B11370)</f>
        <v>Ryton</v>
      </c>
    </row>
    <row r="11371" spans="1:6" ht="15.75" customHeight="1">
      <c r="A11371" s="5" t="str">
        <f ca="1">IFERROR(__xludf.DUMMYFUNCTION("GOOGLETRANSLATE(B30427,""en"",""pt"")"),"Ryton")</f>
        <v>Ryton</v>
      </c>
      <c r="B11371" s="17" t="s">
        <v>27658</v>
      </c>
      <c r="C11371" s="17" t="s">
        <v>27234</v>
      </c>
      <c r="D11371" s="17" t="s">
        <v>27241</v>
      </c>
      <c r="E11371" s="10">
        <v>2638894</v>
      </c>
      <c r="F11371" s="4" t="str">
        <f>IF(B11371=B11370,"",B11371)</f>
        <v/>
      </c>
    </row>
    <row r="11372" spans="1:6" ht="15.75" customHeight="1">
      <c r="A11372" s="6" t="s">
        <v>21475</v>
      </c>
      <c r="B11372" s="6" t="s">
        <v>21475</v>
      </c>
      <c r="C11372" s="6" t="s">
        <v>21064</v>
      </c>
      <c r="D11372" s="6" t="s">
        <v>21125</v>
      </c>
      <c r="E11372" s="2">
        <v>3086511</v>
      </c>
      <c r="F11372" s="4" t="str">
        <f>IF(B11372=B11371,"",B11372)</f>
        <v>Rypin</v>
      </c>
    </row>
    <row r="11373" spans="1:6" ht="15.75" customHeight="1">
      <c r="A11373" s="5" t="str">
        <f ca="1">IFERROR(__xludf.DUMMYFUNCTION("GOOGLETRANSLATE(B39359,""en"",""pt"")"),"Rypin")</f>
        <v>Rypin</v>
      </c>
      <c r="B11373" s="17" t="s">
        <v>21475</v>
      </c>
      <c r="C11373" s="17" t="s">
        <v>21064</v>
      </c>
      <c r="D11373" s="17" t="s">
        <v>21125</v>
      </c>
      <c r="E11373" s="10">
        <v>3086511</v>
      </c>
      <c r="F11373" s="4" t="str">
        <f>IF(B11373=B11372,"",B11373)</f>
        <v/>
      </c>
    </row>
    <row r="11374" spans="1:6" ht="15.75" customHeight="1">
      <c r="A11374" s="5" t="str">
        <f ca="1">IFERROR(__xludf.DUMMYFUNCTION("GOOGLETRANSLATE(B35333,""en"",""pt"")"),"Ryōtsu-Minato")</f>
        <v>Ryōtsu-Minato</v>
      </c>
      <c r="B11374" s="17" t="s">
        <v>34316</v>
      </c>
      <c r="C11374" s="17" t="s">
        <v>15704</v>
      </c>
      <c r="D11374" s="17" t="s">
        <v>15818</v>
      </c>
      <c r="E11374" s="10">
        <v>1853371</v>
      </c>
      <c r="F11374" s="4" t="str">
        <f>IF(B11374=B11373,"",B11374)</f>
        <v>Ryōtsu-minato</v>
      </c>
    </row>
    <row r="11375" spans="1:6" ht="15.75" customHeight="1">
      <c r="A11375" s="6" t="s">
        <v>23018</v>
      </c>
      <c r="B11375" s="6" t="s">
        <v>23019</v>
      </c>
      <c r="C11375" s="6" t="s">
        <v>22070</v>
      </c>
      <c r="D11375" s="6" t="s">
        <v>22634</v>
      </c>
      <c r="E11375" s="2">
        <v>695019</v>
      </c>
      <c r="F11375" s="4" t="str">
        <f>IF(B11375=B11374,"",B11375)</f>
        <v>Rylâ€™sk</v>
      </c>
    </row>
    <row r="11376" spans="1:6" ht="15.75" customHeight="1">
      <c r="A11376" s="5" t="str">
        <f ca="1">IFERROR(__xludf.DUMMYFUNCTION("GOOGLETRANSLATE(B40694,""en"",""pt"")"),"Ryl'Sk")</f>
        <v>Ryl'Sk</v>
      </c>
      <c r="B11376" s="17" t="s">
        <v>35530</v>
      </c>
      <c r="C11376" s="17" t="s">
        <v>22070</v>
      </c>
      <c r="D11376" s="17" t="s">
        <v>22634</v>
      </c>
      <c r="E11376" s="10">
        <v>695019</v>
      </c>
      <c r="F11376" s="4" t="str">
        <f>IF(B11376=B11375,"",B11376)</f>
        <v>Ryl’sk</v>
      </c>
    </row>
    <row r="11377" spans="1:6" ht="15.75" customHeight="1">
      <c r="A11377" s="6" t="s">
        <v>29864</v>
      </c>
      <c r="B11377" s="6" t="s">
        <v>29865</v>
      </c>
      <c r="C11377" s="6" t="s">
        <v>27788</v>
      </c>
      <c r="D11377" s="6" t="s">
        <v>27819</v>
      </c>
      <c r="E11377" s="2">
        <v>5134693</v>
      </c>
      <c r="F11377" s="4" t="str">
        <f>IF(B11377=B11376,"",B11377)</f>
        <v>Rye</v>
      </c>
    </row>
    <row r="11378" spans="1:6" ht="15.75" customHeight="1">
      <c r="A11378" s="5" t="str">
        <f ca="1">IFERROR(__xludf.DUMMYFUNCTION("GOOGLETRANSLATE(B44445,""en"",""pt"")"),"Centeio")</f>
        <v>Centeio</v>
      </c>
      <c r="B11378" s="17" t="s">
        <v>29865</v>
      </c>
      <c r="C11378" s="17" t="s">
        <v>27788</v>
      </c>
      <c r="D11378" s="17" t="s">
        <v>27819</v>
      </c>
      <c r="E11378" s="10">
        <v>5134693</v>
      </c>
      <c r="F11378" s="4" t="str">
        <f>IF(B11378=B11377,"",B11378)</f>
        <v/>
      </c>
    </row>
    <row r="11379" spans="1:6" ht="15.75" customHeight="1">
      <c r="A11379" s="5" t="str">
        <f ca="1">IFERROR(__xludf.DUMMYFUNCTION("GOOGLETRANSLATE(B39360,""en"",""pt"")"),"Rydułtowy")</f>
        <v>Rydułtowy</v>
      </c>
      <c r="B11379" s="17" t="s">
        <v>35173</v>
      </c>
      <c r="C11379" s="17" t="s">
        <v>21064</v>
      </c>
      <c r="D11379" s="17" t="s">
        <v>21073</v>
      </c>
      <c r="E11379" s="10">
        <v>3086531</v>
      </c>
      <c r="F11379" s="4" t="str">
        <f>IF(B11379=B11378,"",B11379)</f>
        <v>Rydułtowy</v>
      </c>
    </row>
    <row r="11380" spans="1:6" ht="15.75" customHeight="1">
      <c r="A11380" s="5" t="s">
        <v>21473</v>
      </c>
      <c r="B11380" s="6" t="s">
        <v>21474</v>
      </c>
      <c r="C11380" s="5" t="s">
        <v>21064</v>
      </c>
      <c r="D11380" s="5" t="s">
        <v>21073</v>
      </c>
      <c r="E11380" s="2">
        <v>3086531</v>
      </c>
      <c r="F11380" s="4" t="str">
        <f>IF(B11380=B11379,"",B11380)</f>
        <v>RyduÅ‚towy</v>
      </c>
    </row>
    <row r="11381" spans="1:6" ht="15.75" customHeight="1">
      <c r="A11381" s="6" t="s">
        <v>27657</v>
      </c>
      <c r="B11381" s="6" t="s">
        <v>27657</v>
      </c>
      <c r="C11381" s="6" t="s">
        <v>27234</v>
      </c>
      <c r="D11381" s="6" t="s">
        <v>27241</v>
      </c>
      <c r="E11381" s="2">
        <v>2638911</v>
      </c>
      <c r="F11381" s="4" t="str">
        <f>IF(B11381=B11380,"",B11381)</f>
        <v>Ryde</v>
      </c>
    </row>
    <row r="11382" spans="1:6" ht="15.75" customHeight="1">
      <c r="A11382" s="5" t="str">
        <f ca="1">IFERROR(__xludf.DUMMYFUNCTION("GOOGLETRANSLATE(B30428,""en"",""pt"")"),"Ryde")</f>
        <v>Ryde</v>
      </c>
      <c r="B11382" s="17" t="s">
        <v>27657</v>
      </c>
      <c r="C11382" s="17" t="s">
        <v>27234</v>
      </c>
      <c r="D11382" s="17" t="s">
        <v>27241</v>
      </c>
      <c r="E11382" s="10">
        <v>2638911</v>
      </c>
      <c r="F11382" s="4" t="str">
        <f>IF(B11382=B11381,"",B11382)</f>
        <v/>
      </c>
    </row>
    <row r="11383" spans="1:6" ht="15.75" customHeight="1">
      <c r="A11383" s="6" t="s">
        <v>23017</v>
      </c>
      <c r="B11383" s="6" t="s">
        <v>23017</v>
      </c>
      <c r="C11383" s="6" t="s">
        <v>22070</v>
      </c>
      <c r="D11383" s="6" t="s">
        <v>22486</v>
      </c>
      <c r="E11383" s="2">
        <v>499975</v>
      </c>
      <c r="F11383" s="4" t="str">
        <f>IF(B11383=B11382,"",B11383)</f>
        <v>Rybnoye</v>
      </c>
    </row>
    <row r="11384" spans="1:6" ht="15.75" customHeight="1">
      <c r="A11384" s="5" t="str">
        <f ca="1">IFERROR(__xludf.DUMMYFUNCTION("GOOGLETRANSLATE(B40145,""en"",""pt"")"),"Rybnoye")</f>
        <v>Rybnoye</v>
      </c>
      <c r="B11384" s="17" t="s">
        <v>23017</v>
      </c>
      <c r="C11384" s="17" t="s">
        <v>22070</v>
      </c>
      <c r="D11384" s="17" t="s">
        <v>22486</v>
      </c>
      <c r="E11384" s="10">
        <v>499975</v>
      </c>
      <c r="F11384" s="4" t="str">
        <f>IF(B11384=B11383,"",B11384)</f>
        <v/>
      </c>
    </row>
    <row r="11385" spans="1:6" ht="15.75" customHeight="1">
      <c r="A11385" s="6" t="s">
        <v>21472</v>
      </c>
      <c r="B11385" s="6" t="s">
        <v>21472</v>
      </c>
      <c r="C11385" s="6" t="s">
        <v>21064</v>
      </c>
      <c r="D11385" s="6" t="s">
        <v>21073</v>
      </c>
      <c r="E11385" s="2">
        <v>3086586</v>
      </c>
      <c r="F11385" s="4" t="str">
        <f>IF(B11385=B11384,"",B11385)</f>
        <v>Rybnik</v>
      </c>
    </row>
    <row r="11386" spans="1:6" ht="15.75" customHeight="1">
      <c r="A11386" s="5" t="str">
        <f ca="1">IFERROR(__xludf.DUMMYFUNCTION("GOOGLETRANSLATE(B39361,""en"",""pt"")"),"Rybnik")</f>
        <v>Rybnik</v>
      </c>
      <c r="B11386" s="17" t="s">
        <v>21472</v>
      </c>
      <c r="C11386" s="17" t="s">
        <v>21064</v>
      </c>
      <c r="D11386" s="17" t="s">
        <v>21073</v>
      </c>
      <c r="E11386" s="10">
        <v>3086586</v>
      </c>
      <c r="F11386" s="4" t="str">
        <f>IF(B11386=B11385,"",B11386)</f>
        <v/>
      </c>
    </row>
    <row r="11387" spans="1:6" ht="15.75" customHeight="1">
      <c r="A11387" s="6" t="s">
        <v>23016</v>
      </c>
      <c r="B11387" s="6" t="s">
        <v>23016</v>
      </c>
      <c r="C11387" s="6" t="s">
        <v>22070</v>
      </c>
      <c r="D11387" s="6" t="s">
        <v>22326</v>
      </c>
      <c r="E11387" s="2">
        <v>500004</v>
      </c>
      <c r="F11387" s="4" t="str">
        <f>IF(B11387=B11386,"",B11387)</f>
        <v>Rybinsk</v>
      </c>
    </row>
    <row r="11388" spans="1:6" ht="15.75" customHeight="1">
      <c r="A11388" s="5" t="str">
        <f ca="1">IFERROR(__xludf.DUMMYFUNCTION("GOOGLETRANSLATE(B40146,""en"",""pt"")"),"Rybinsk")</f>
        <v>Rybinsk</v>
      </c>
      <c r="B11388" s="17" t="s">
        <v>23016</v>
      </c>
      <c r="C11388" s="17" t="s">
        <v>22070</v>
      </c>
      <c r="D11388" s="17" t="s">
        <v>22326</v>
      </c>
      <c r="E11388" s="10">
        <v>500004</v>
      </c>
      <c r="F11388" s="4" t="str">
        <f>IF(B11388=B11387,"",B11388)</f>
        <v/>
      </c>
    </row>
    <row r="11389" spans="1:6" ht="15.75" customHeight="1">
      <c r="A11389" s="5" t="s">
        <v>23015</v>
      </c>
      <c r="B11389" s="6" t="s">
        <v>23015</v>
      </c>
      <c r="C11389" s="5" t="s">
        <v>22070</v>
      </c>
      <c r="D11389" s="5" t="s">
        <v>22094</v>
      </c>
      <c r="E11389" s="2">
        <v>500019</v>
      </c>
      <c r="F11389" s="4" t="str">
        <f>IF(B11389=B11388,"",B11389)</f>
        <v>Rybatskoye</v>
      </c>
    </row>
    <row r="11390" spans="1:6" ht="15.75" customHeight="1">
      <c r="A11390" s="5" t="str">
        <f ca="1">IFERROR(__xludf.DUMMYFUNCTION("GOOGLETRANSLATE(B40147,""en"",""pt"")"),"Rybatskoye")</f>
        <v>Rybatskoye</v>
      </c>
      <c r="B11390" s="17" t="s">
        <v>23015</v>
      </c>
      <c r="C11390" s="17" t="s">
        <v>22070</v>
      </c>
      <c r="D11390" s="17" t="s">
        <v>22094</v>
      </c>
      <c r="E11390" s="10">
        <v>500019</v>
      </c>
      <c r="F11390" s="4" t="str">
        <f>IF(B11390=B11389,"",B11390)</f>
        <v/>
      </c>
    </row>
    <row r="11391" spans="1:6" ht="15.75" customHeight="1">
      <c r="A11391" s="6" t="s">
        <v>23014</v>
      </c>
      <c r="B11391" s="6" t="s">
        <v>23014</v>
      </c>
      <c r="C11391" s="6" t="s">
        <v>22070</v>
      </c>
      <c r="D11391" s="6" t="s">
        <v>22486</v>
      </c>
      <c r="E11391" s="2">
        <v>500047</v>
      </c>
      <c r="F11391" s="4" t="str">
        <f>IF(B11391=B11390,"",B11391)</f>
        <v>Ryazhsk</v>
      </c>
    </row>
    <row r="11392" spans="1:6" ht="15.75" customHeight="1">
      <c r="A11392" s="5" t="str">
        <f ca="1">IFERROR(__xludf.DUMMYFUNCTION("GOOGLETRANSLATE(B40148,""en"",""pt"")"),"Ryazhsk")</f>
        <v>Ryazhsk</v>
      </c>
      <c r="B11392" s="17" t="s">
        <v>23014</v>
      </c>
      <c r="C11392" s="17" t="s">
        <v>22070</v>
      </c>
      <c r="D11392" s="17" t="s">
        <v>22486</v>
      </c>
      <c r="E11392" s="10">
        <v>500047</v>
      </c>
      <c r="F11392" s="4" t="str">
        <f>IF(B11392=B11391,"",B11392)</f>
        <v/>
      </c>
    </row>
    <row r="11393" spans="1:6" ht="15.75" customHeight="1">
      <c r="A11393" s="5" t="s">
        <v>23013</v>
      </c>
      <c r="B11393" s="6" t="s">
        <v>23013</v>
      </c>
      <c r="C11393" s="5" t="s">
        <v>22070</v>
      </c>
      <c r="D11393" s="5" t="s">
        <v>22127</v>
      </c>
      <c r="E11393" s="2">
        <v>508751</v>
      </c>
      <c r="F11393" s="4" t="str">
        <f>IF(B11393=B11392,"",B11393)</f>
        <v>Ryazanskiy</v>
      </c>
    </row>
    <row r="11394" spans="1:6" ht="15.75" customHeight="1">
      <c r="A11394" s="5" t="str">
        <f ca="1">IFERROR(__xludf.DUMMYFUNCTION("GOOGLETRANSLATE(B40193,""en"",""pt"")"),"Ryazanskiy")</f>
        <v>Ryazanskiy</v>
      </c>
      <c r="B11394" s="17" t="s">
        <v>23013</v>
      </c>
      <c r="C11394" s="17" t="s">
        <v>22070</v>
      </c>
      <c r="D11394" s="17" t="s">
        <v>22127</v>
      </c>
      <c r="E11394" s="10">
        <v>508751</v>
      </c>
      <c r="F11394" s="4" t="str">
        <f>IF(B11394=B11393,"",B11394)</f>
        <v/>
      </c>
    </row>
    <row r="11395" spans="1:6" ht="15.75" customHeight="1">
      <c r="A11395" s="6" t="s">
        <v>23011</v>
      </c>
      <c r="B11395" s="6" t="s">
        <v>23012</v>
      </c>
      <c r="C11395" s="6" t="s">
        <v>22070</v>
      </c>
      <c r="D11395" s="6" t="s">
        <v>22486</v>
      </c>
      <c r="E11395" s="2">
        <v>500096</v>
      </c>
      <c r="F11395" s="4" t="str">
        <f>IF(B11395=B11394,"",B11395)</f>
        <v>Ryazanâ€™</v>
      </c>
    </row>
    <row r="11396" spans="1:6" ht="15.75" customHeight="1">
      <c r="A11396" s="5" t="str">
        <f ca="1">IFERROR(__xludf.DUMMYFUNCTION("GOOGLETRANSLATE(B40149,""en"",""pt"")"),"Ryazan '")</f>
        <v>Ryazan '</v>
      </c>
      <c r="B11396" s="17" t="s">
        <v>35463</v>
      </c>
      <c r="C11396" s="17" t="s">
        <v>22070</v>
      </c>
      <c r="D11396" s="17" t="s">
        <v>22486</v>
      </c>
      <c r="E11396" s="10">
        <v>500096</v>
      </c>
      <c r="F11396" s="4" t="str">
        <f>IF(B11396=B11395,"",B11396)</f>
        <v>Ryazan’</v>
      </c>
    </row>
    <row r="11397" spans="1:6" ht="15.75" customHeight="1">
      <c r="A11397" s="5" t="s">
        <v>16357</v>
      </c>
      <c r="B11397" s="6" t="s">
        <v>16358</v>
      </c>
      <c r="C11397" s="5" t="s">
        <v>15704</v>
      </c>
      <c r="D11397" s="5" t="s">
        <v>15818</v>
      </c>
      <c r="E11397" s="2">
        <v>1853371</v>
      </c>
      <c r="F11397" s="4" t="str">
        <f>IF(B11397=B11396,"",B11397)</f>
        <v>RyÅtsu-minato</v>
      </c>
    </row>
    <row r="11398" spans="1:6" ht="15.75" customHeight="1">
      <c r="A11398" s="5" t="s">
        <v>16355</v>
      </c>
      <c r="B11398" s="6" t="s">
        <v>16356</v>
      </c>
      <c r="C11398" s="5" t="s">
        <v>15704</v>
      </c>
      <c r="D11398" s="5" t="s">
        <v>15724</v>
      </c>
      <c r="E11398" s="2">
        <v>2111258</v>
      </c>
      <c r="F11398" s="4" t="str">
        <f>IF(B11398=B11397,"",B11398)</f>
        <v>RyÅ«gasaki</v>
      </c>
    </row>
    <row r="11399" spans="1:6" ht="15.75" customHeight="1">
      <c r="A11399" s="6" t="s">
        <v>16353</v>
      </c>
      <c r="B11399" s="6" t="s">
        <v>16354</v>
      </c>
      <c r="C11399" s="6" t="s">
        <v>15704</v>
      </c>
      <c r="D11399" s="6" t="s">
        <v>15806</v>
      </c>
      <c r="E11399" s="2">
        <v>1853354</v>
      </c>
      <c r="F11399" s="4" t="str">
        <f>IF(B11399=B11398,"",B11399)</f>
        <v>RyÅ«Å</v>
      </c>
    </row>
    <row r="11400" spans="1:6" ht="15.75" customHeight="1">
      <c r="A11400" s="5" t="s">
        <v>23425</v>
      </c>
      <c r="B11400" s="6" t="s">
        <v>23425</v>
      </c>
      <c r="C11400" s="5" t="s">
        <v>23413</v>
      </c>
      <c r="D11400" s="5" t="s">
        <v>6128</v>
      </c>
      <c r="E11400" s="2">
        <v>201463</v>
      </c>
      <c r="F11400" s="4" t="str">
        <f>IF(B11400=B11399,"",B11400)</f>
        <v>Rwamagana</v>
      </c>
    </row>
    <row r="11401" spans="1:6" ht="15.75" customHeight="1">
      <c r="A11401" s="5" t="str">
        <f ca="1">IFERROR(__xludf.DUMMYFUNCTION("GOOGLETRANSLATE(B40998,""en"",""pt"")"),"Rwamagana")</f>
        <v>Rwamagana</v>
      </c>
      <c r="B11401" s="17" t="s">
        <v>23425</v>
      </c>
      <c r="C11401" s="17" t="s">
        <v>23413</v>
      </c>
      <c r="D11401" s="17" t="s">
        <v>6128</v>
      </c>
      <c r="E11401" s="10">
        <v>201463</v>
      </c>
      <c r="F11401" s="4" t="str">
        <f>IF(B11401=B11400,"",B11401)</f>
        <v/>
      </c>
    </row>
    <row r="11402" spans="1:6" ht="15.75" customHeight="1">
      <c r="A11402" s="5" t="str">
        <f ca="1">IFERROR(__xludf.DUMMYFUNCTION("GOOGLETRANSLATE(B41244,""en"",""pt"")"),"Ružomberok")</f>
        <v>Ružomberok</v>
      </c>
      <c r="B11402" s="17" t="s">
        <v>35683</v>
      </c>
      <c r="C11402" s="17" t="s">
        <v>23694</v>
      </c>
      <c r="D11402" s="17" t="s">
        <v>35678</v>
      </c>
      <c r="E11402" s="10">
        <v>3057789</v>
      </c>
      <c r="F11402" s="4" t="str">
        <f>IF(B11402=B11401,"",B11402)</f>
        <v>Ružomberok</v>
      </c>
    </row>
    <row r="11403" spans="1:6" ht="15.75" customHeight="1">
      <c r="A11403" s="5" t="s">
        <v>23009</v>
      </c>
      <c r="B11403" s="6" t="s">
        <v>23010</v>
      </c>
      <c r="C11403" s="5" t="s">
        <v>22070</v>
      </c>
      <c r="D11403" s="5" t="s">
        <v>22585</v>
      </c>
      <c r="E11403" s="2">
        <v>500299</v>
      </c>
      <c r="F11403" s="4" t="str">
        <f>IF(B11403=B11402,"",B11403)</f>
        <v>Ruzayevka</v>
      </c>
    </row>
    <row r="11404" spans="1:6" ht="15.75" customHeight="1">
      <c r="A11404" s="5" t="str">
        <f ca="1">IFERROR(__xludf.DUMMYFUNCTION("GOOGLETRANSLATE(B40150,""en"",""pt"")"),"RUZAYEVKA")</f>
        <v>RUZAYEVKA</v>
      </c>
      <c r="B11404" s="17" t="s">
        <v>23010</v>
      </c>
      <c r="C11404" s="17" t="s">
        <v>22070</v>
      </c>
      <c r="D11404" s="17" t="s">
        <v>22585</v>
      </c>
      <c r="E11404" s="10">
        <v>500299</v>
      </c>
      <c r="F11404" s="4" t="str">
        <f>IF(B11404=B11403,"",B11404)</f>
        <v/>
      </c>
    </row>
    <row r="11405" spans="1:6" ht="15.75" customHeight="1">
      <c r="A11405" s="6" t="s">
        <v>3835</v>
      </c>
      <c r="B11405" s="6" t="s">
        <v>3835</v>
      </c>
      <c r="C11405" s="6" t="s">
        <v>3825</v>
      </c>
      <c r="D11405" s="6" t="s">
        <v>3835</v>
      </c>
      <c r="E11405" s="2">
        <v>426700</v>
      </c>
      <c r="F11405" s="4" t="str">
        <f>IF(B11405=B11404,"",B11405)</f>
        <v>Ruyigi</v>
      </c>
    </row>
    <row r="11406" spans="1:6" ht="15.75" customHeight="1">
      <c r="A11406" s="5" t="str">
        <f ca="1">IFERROR(__xludf.DUMMYFUNCTION("GOOGLETRANSLATE(B24075,""en"",""pt"")"),"Ruyigi")</f>
        <v>Ruyigi</v>
      </c>
      <c r="B11406" s="17" t="s">
        <v>3835</v>
      </c>
      <c r="C11406" s="17" t="s">
        <v>3825</v>
      </c>
      <c r="D11406" s="17" t="s">
        <v>3835</v>
      </c>
      <c r="E11406" s="10">
        <v>426700</v>
      </c>
      <c r="F11406" s="4" t="str">
        <f>IF(B11406=B11405,"",B11406)</f>
        <v/>
      </c>
    </row>
    <row r="11407" spans="1:6" ht="15.75" customHeight="1">
      <c r="A11407" s="5" t="s">
        <v>3246</v>
      </c>
      <c r="B11407" s="6" t="s">
        <v>3246</v>
      </c>
      <c r="C11407" s="5" t="s">
        <v>1905</v>
      </c>
      <c r="D11407" s="5" t="s">
        <v>1947</v>
      </c>
      <c r="E11407" s="2">
        <v>3450832</v>
      </c>
      <c r="F11407" s="4" t="str">
        <f>IF(B11407=B11406,"",B11407)</f>
        <v>Ruy Barbosa</v>
      </c>
    </row>
    <row r="11408" spans="1:6" ht="15.75" customHeight="1">
      <c r="A11408" s="5" t="str">
        <f ca="1">IFERROR(__xludf.DUMMYFUNCTION("GOOGLETRANSLATE(B24627,""en"",""pt"")"),"Ruy Barbosa")</f>
        <v>Ruy Barbosa</v>
      </c>
      <c r="B11408" s="17" t="s">
        <v>3246</v>
      </c>
      <c r="C11408" s="17" t="s">
        <v>1905</v>
      </c>
      <c r="D11408" s="17" t="s">
        <v>1947</v>
      </c>
      <c r="E11408" s="10">
        <v>3450832</v>
      </c>
      <c r="F11408" s="4" t="str">
        <f>IF(B11408=B11407,"",B11408)</f>
        <v/>
      </c>
    </row>
    <row r="11409" spans="1:6" ht="15.75" customHeight="1">
      <c r="A11409" s="5" t="str">
        <f ca="1">IFERROR(__xludf.DUMMYFUNCTION("GOOGLETRANSLATE(B34280,""en"",""pt"")"),"Ruwāndiz")</f>
        <v>Ruwāndiz</v>
      </c>
      <c r="B11409" s="17" t="s">
        <v>34074</v>
      </c>
      <c r="C11409" s="17" t="s">
        <v>14594</v>
      </c>
      <c r="D11409" s="17" t="s">
        <v>34075</v>
      </c>
      <c r="E11409" s="10">
        <v>92002</v>
      </c>
      <c r="F11409" s="4" t="str">
        <f>IF(B11409=B11408,"",B11409)</f>
        <v>Ruwāndiz</v>
      </c>
    </row>
    <row r="11410" spans="1:6" ht="15.75" customHeight="1">
      <c r="A11410" s="5" t="s">
        <v>14711</v>
      </c>
      <c r="B11410" s="6" t="s">
        <v>14712</v>
      </c>
      <c r="C11410" s="5" t="s">
        <v>14594</v>
      </c>
      <c r="D11410" s="5" t="s">
        <v>14682</v>
      </c>
      <c r="E11410" s="2">
        <v>92002</v>
      </c>
      <c r="F11410" s="4" t="str">
        <f>IF(B11410=B11409,"",B11410)</f>
        <v>RuwÄndiz</v>
      </c>
    </row>
    <row r="11411" spans="1:6" ht="15.75" customHeight="1">
      <c r="A11411" s="5" t="s">
        <v>15427</v>
      </c>
      <c r="B11411" s="6" t="s">
        <v>15427</v>
      </c>
      <c r="C11411" s="5" t="s">
        <v>14891</v>
      </c>
      <c r="D11411" s="5" t="s">
        <v>14908</v>
      </c>
      <c r="E11411" s="2">
        <v>3168770</v>
      </c>
      <c r="F11411" s="4" t="str">
        <f>IF(B11411=B11410,"",B11411)</f>
        <v>Ruvo di Puglia</v>
      </c>
    </row>
    <row r="11412" spans="1:6" ht="15.75" customHeight="1">
      <c r="A11412" s="5" t="str">
        <f ca="1">IFERROR(__xludf.DUMMYFUNCTION("GOOGLETRANSLATE(B34732,""en"",""pt"")"),"Ruvo di Puglia")</f>
        <v>Ruvo di Puglia</v>
      </c>
      <c r="B11412" s="17" t="s">
        <v>15427</v>
      </c>
      <c r="C11412" s="17" t="s">
        <v>14891</v>
      </c>
      <c r="D11412" s="17" t="s">
        <v>14908</v>
      </c>
      <c r="E11412" s="10">
        <v>3168770</v>
      </c>
      <c r="F11412" s="4" t="str">
        <f>IF(B11412=B11411,"",B11412)</f>
        <v/>
      </c>
    </row>
    <row r="11413" spans="1:6" ht="15.75" customHeight="1">
      <c r="A11413" s="6" t="s">
        <v>29863</v>
      </c>
      <c r="B11413" s="6" t="s">
        <v>29863</v>
      </c>
      <c r="C11413" s="6" t="s">
        <v>27788</v>
      </c>
      <c r="D11413" s="6" t="s">
        <v>28130</v>
      </c>
      <c r="E11413" s="2">
        <v>5240509</v>
      </c>
      <c r="F11413" s="4" t="str">
        <f>IF(B11413=B11412,"",B11413)</f>
        <v>Rutland</v>
      </c>
    </row>
    <row r="11414" spans="1:6" ht="15.75" customHeight="1">
      <c r="A11414" s="5" t="str">
        <f ca="1">IFERROR(__xludf.DUMMYFUNCTION("GOOGLETRANSLATE(B44630,""en"",""pt"")"),"Rutland")</f>
        <v>Rutland</v>
      </c>
      <c r="B11414" s="17" t="s">
        <v>29863</v>
      </c>
      <c r="C11414" s="17" t="s">
        <v>27788</v>
      </c>
      <c r="D11414" s="17" t="s">
        <v>28130</v>
      </c>
      <c r="E11414" s="10">
        <v>5240509</v>
      </c>
      <c r="F11414" s="4" t="str">
        <f>IF(B11414=B11413,"",B11414)</f>
        <v/>
      </c>
    </row>
    <row r="11415" spans="1:6" ht="15.75" customHeight="1">
      <c r="A11415" s="5" t="s">
        <v>15426</v>
      </c>
      <c r="B11415" s="6" t="s">
        <v>15426</v>
      </c>
      <c r="C11415" s="5" t="s">
        <v>14891</v>
      </c>
      <c r="D11415" s="5" t="s">
        <v>14908</v>
      </c>
      <c r="E11415" s="2">
        <v>3168775</v>
      </c>
      <c r="F11415" s="4" t="str">
        <f>IF(B11415=B11414,"",B11415)</f>
        <v>Rutigliano</v>
      </c>
    </row>
    <row r="11416" spans="1:6" ht="15.75" customHeight="1">
      <c r="A11416" s="5" t="str">
        <f ca="1">IFERROR(__xludf.DUMMYFUNCTION("GOOGLETRANSLATE(B34733,""en"",""pt"")"),"Rutigliano")</f>
        <v>Rutigliano</v>
      </c>
      <c r="B11416" s="17" t="s">
        <v>15426</v>
      </c>
      <c r="C11416" s="17" t="s">
        <v>14891</v>
      </c>
      <c r="D11416" s="17" t="s">
        <v>14908</v>
      </c>
      <c r="E11416" s="10">
        <v>3168775</v>
      </c>
      <c r="F11416" s="4" t="str">
        <f>IF(B11416=B11415,"",B11416)</f>
        <v/>
      </c>
    </row>
    <row r="11417" spans="1:6" ht="15.75" customHeight="1">
      <c r="A11417" s="5" t="s">
        <v>27656</v>
      </c>
      <c r="B11417" s="6" t="s">
        <v>27656</v>
      </c>
      <c r="C11417" s="5" t="s">
        <v>27234</v>
      </c>
      <c r="D11417" s="5" t="s">
        <v>27237</v>
      </c>
      <c r="E11417" s="2">
        <v>2638926</v>
      </c>
      <c r="F11417" s="4" t="str">
        <f>IF(B11417=B11416,"",B11417)</f>
        <v>Rutherglen</v>
      </c>
    </row>
    <row r="11418" spans="1:6" ht="15.75" customHeight="1">
      <c r="A11418" s="5" t="str">
        <f ca="1">IFERROR(__xludf.DUMMYFUNCTION("GOOGLETRANSLATE(B30429,""en"",""pt"")"),"Rutherglen")</f>
        <v>Rutherglen</v>
      </c>
      <c r="B11418" s="17" t="s">
        <v>27656</v>
      </c>
      <c r="C11418" s="17" t="s">
        <v>27234</v>
      </c>
      <c r="D11418" s="17" t="s">
        <v>27237</v>
      </c>
      <c r="E11418" s="10">
        <v>2638926</v>
      </c>
      <c r="F11418" s="4" t="str">
        <f>IF(B11418=B11417,"",B11418)</f>
        <v/>
      </c>
    </row>
    <row r="11419" spans="1:6" ht="15.75" customHeight="1">
      <c r="A11419" s="5" t="s">
        <v>29862</v>
      </c>
      <c r="B11419" s="6" t="s">
        <v>29862</v>
      </c>
      <c r="C11419" s="5" t="s">
        <v>27788</v>
      </c>
      <c r="D11419" s="5" t="s">
        <v>27905</v>
      </c>
      <c r="E11419" s="2">
        <v>5103580</v>
      </c>
      <c r="F11419" s="4" t="str">
        <f>IF(B11419=B11418,"",B11419)</f>
        <v>Rutherford</v>
      </c>
    </row>
    <row r="11420" spans="1:6" ht="15.75" customHeight="1">
      <c r="A11420" s="5" t="str">
        <f ca="1">IFERROR(__xludf.DUMMYFUNCTION("GOOGLETRANSLATE(B44306,""en"",""pt"")"),"Rutherford")</f>
        <v>Rutherford</v>
      </c>
      <c r="B11420" s="17" t="s">
        <v>29862</v>
      </c>
      <c r="C11420" s="17" t="s">
        <v>27788</v>
      </c>
      <c r="D11420" s="17" t="s">
        <v>27905</v>
      </c>
      <c r="E11420" s="10">
        <v>5103580</v>
      </c>
      <c r="F11420" s="4" t="str">
        <f>IF(B11420=B11419,"",B11420)</f>
        <v/>
      </c>
    </row>
    <row r="11421" spans="1:6" ht="15.75" customHeight="1">
      <c r="A11421" s="6" t="s">
        <v>14128</v>
      </c>
      <c r="B11421" s="6" t="s">
        <v>14128</v>
      </c>
      <c r="C11421" s="6" t="s">
        <v>13800</v>
      </c>
      <c r="D11421" s="6" t="s">
        <v>13814</v>
      </c>
      <c r="E11421" s="2">
        <v>1629380</v>
      </c>
      <c r="F11421" s="4" t="str">
        <f>IF(B11421=B11420,"",B11421)</f>
        <v>Ruteng</v>
      </c>
    </row>
    <row r="11422" spans="1:6" ht="15.75" customHeight="1">
      <c r="A11422" s="5" t="str">
        <f ca="1">IFERROR(__xludf.DUMMYFUNCTION("GOOGLETRANSLATE(B31468,""en"",""pt"")"),"Ruteng")</f>
        <v>Ruteng</v>
      </c>
      <c r="B11422" s="17" t="s">
        <v>14128</v>
      </c>
      <c r="C11422" s="17" t="s">
        <v>13800</v>
      </c>
      <c r="D11422" s="17" t="s">
        <v>13814</v>
      </c>
      <c r="E11422" s="10">
        <v>1629380</v>
      </c>
      <c r="F11422" s="4" t="str">
        <f>IF(B11422=B11421,"",B11422)</f>
        <v/>
      </c>
    </row>
    <row r="11423" spans="1:6" ht="15.75" customHeight="1">
      <c r="A11423" s="6" t="s">
        <v>3834</v>
      </c>
      <c r="B11423" s="6" t="s">
        <v>3834</v>
      </c>
      <c r="C11423" s="6" t="s">
        <v>3825</v>
      </c>
      <c r="D11423" s="6" t="s">
        <v>3834</v>
      </c>
      <c r="E11423" s="2">
        <v>433635</v>
      </c>
      <c r="F11423" s="4" t="str">
        <f>IF(B11423=B11422,"",B11423)</f>
        <v>Rutana</v>
      </c>
    </row>
    <row r="11424" spans="1:6" ht="15.75" customHeight="1">
      <c r="A11424" s="5" t="str">
        <f ca="1">IFERROR(__xludf.DUMMYFUNCTION("GOOGLETRANSLATE(B24079,""en"",""pt"")"),"Rutana")</f>
        <v>Rutana</v>
      </c>
      <c r="B11424" s="17" t="s">
        <v>3834</v>
      </c>
      <c r="C11424" s="17" t="s">
        <v>3825</v>
      </c>
      <c r="D11424" s="17" t="s">
        <v>3834</v>
      </c>
      <c r="E11424" s="10">
        <v>433635</v>
      </c>
      <c r="F11424" s="4" t="str">
        <f>IF(B11424=B11423,"",B11424)</f>
        <v/>
      </c>
    </row>
    <row r="11425" spans="1:6" ht="15.75" customHeight="1">
      <c r="A11425" s="6" t="s">
        <v>29861</v>
      </c>
      <c r="B11425" s="6" t="s">
        <v>29861</v>
      </c>
      <c r="C11425" s="6" t="s">
        <v>27788</v>
      </c>
      <c r="D11425" s="6" t="s">
        <v>27827</v>
      </c>
      <c r="E11425" s="2">
        <v>4339348</v>
      </c>
      <c r="F11425" s="4" t="str">
        <f>IF(B11425=B11424,"",B11425)</f>
        <v>Ruston</v>
      </c>
    </row>
    <row r="11426" spans="1:6" ht="15.75" customHeight="1">
      <c r="A11426" s="5" t="str">
        <f ca="1">IFERROR(__xludf.DUMMYFUNCTION("GOOGLETRANSLATE(B43247,""en"",""pt"")"),"Ruston")</f>
        <v>Ruston</v>
      </c>
      <c r="B11426" s="17" t="s">
        <v>29861</v>
      </c>
      <c r="C11426" s="17" t="s">
        <v>27788</v>
      </c>
      <c r="D11426" s="17" t="s">
        <v>27827</v>
      </c>
      <c r="E11426" s="10">
        <v>4339348</v>
      </c>
      <c r="F11426" s="4" t="str">
        <f>IF(B11426=B11425,"",B11426)</f>
        <v/>
      </c>
    </row>
    <row r="11427" spans="1:6" ht="15.75" customHeight="1">
      <c r="A11427" s="5" t="s">
        <v>23972</v>
      </c>
      <c r="B11427" s="6" t="s">
        <v>23972</v>
      </c>
      <c r="C11427" s="5" t="s">
        <v>23842</v>
      </c>
      <c r="D11427" s="5" t="s">
        <v>23860</v>
      </c>
      <c r="E11427" s="2">
        <v>958724</v>
      </c>
      <c r="F11427" s="4" t="str">
        <f>IF(B11427=B11426,"",B11427)</f>
        <v>Rustenburg</v>
      </c>
    </row>
    <row r="11428" spans="1:6" ht="15.75" customHeight="1">
      <c r="A11428" s="5" t="str">
        <f ca="1">IFERROR(__xludf.DUMMYFUNCTION("GOOGLETRANSLATE(B45882,""en"",""pt"")"),"Rustenburg")</f>
        <v>Rustenburg</v>
      </c>
      <c r="B11428" s="17" t="s">
        <v>23972</v>
      </c>
      <c r="C11428" s="17" t="s">
        <v>23842</v>
      </c>
      <c r="D11428" s="17" t="s">
        <v>23860</v>
      </c>
      <c r="E11428" s="10">
        <v>958724</v>
      </c>
      <c r="F11428" s="4" t="str">
        <f>IF(B11428=B11427,"",B11428)</f>
        <v/>
      </c>
    </row>
    <row r="11429" spans="1:6" ht="15.75" customHeight="1">
      <c r="A11429" s="5" t="str">
        <f ca="1">IFERROR(__xludf.DUMMYFUNCTION("GOOGLETRANSLATE(B23062,""en"",""pt"")"),"Rustāq")</f>
        <v>Rustāq</v>
      </c>
      <c r="B11429" s="17" t="s">
        <v>31115</v>
      </c>
      <c r="C11429" s="17" t="s">
        <v>8</v>
      </c>
      <c r="D11429" s="17" t="s">
        <v>31108</v>
      </c>
      <c r="E11429" s="10">
        <v>1128265</v>
      </c>
      <c r="F11429" s="4" t="str">
        <f>IF(B11429=B11428,"",B11429)</f>
        <v>Rustāq</v>
      </c>
    </row>
    <row r="11430" spans="1:6" ht="15.75" customHeight="1">
      <c r="A11430" s="6" t="s">
        <v>19796</v>
      </c>
      <c r="B11430" s="6" t="s">
        <v>19796</v>
      </c>
      <c r="C11430" s="6" t="s">
        <v>19755</v>
      </c>
      <c r="D11430" s="6" t="s">
        <v>19782</v>
      </c>
      <c r="E11430" s="2">
        <v>289011</v>
      </c>
      <c r="F11430" s="4" t="str">
        <f>IF(B11430=B11429,"",B11430)</f>
        <v>Rustaq</v>
      </c>
    </row>
    <row r="11431" spans="1:6" ht="15.75" customHeight="1">
      <c r="A11431" s="5" t="str">
        <f ca="1">IFERROR(__xludf.DUMMYFUNCTION("GOOGLETRANSLATE(B38271,""en"",""pt"")"),"Rustaq")</f>
        <v>Rustaq</v>
      </c>
      <c r="B11431" s="17" t="s">
        <v>19796</v>
      </c>
      <c r="C11431" s="17" t="s">
        <v>19755</v>
      </c>
      <c r="D11431" s="17" t="s">
        <v>19782</v>
      </c>
      <c r="E11431" s="10">
        <v>289011</v>
      </c>
      <c r="F11431" s="4" t="str">
        <f>IF(B11431=B11430,"",B11431)</f>
        <v/>
      </c>
    </row>
    <row r="11432" spans="1:6" ht="15.75" customHeight="1">
      <c r="A11432" s="6" t="s">
        <v>95</v>
      </c>
      <c r="B11432" s="6" t="s">
        <v>96</v>
      </c>
      <c r="C11432" s="6" t="s">
        <v>8</v>
      </c>
      <c r="D11432" s="6" t="s">
        <v>9</v>
      </c>
      <c r="E11432" s="2">
        <v>1128265</v>
      </c>
      <c r="F11432" s="4" t="str">
        <f>IF(B11432=B11431,"",B11432)</f>
        <v>RustÄq</v>
      </c>
    </row>
    <row r="11433" spans="1:6" ht="15.75" customHeight="1">
      <c r="A11433" s="5" t="s">
        <v>8008</v>
      </c>
      <c r="B11433" s="6" t="s">
        <v>8009</v>
      </c>
      <c r="C11433" s="5" t="s">
        <v>7988</v>
      </c>
      <c r="D11433" s="5" t="s">
        <v>7999</v>
      </c>
      <c r="E11433" s="2">
        <v>612287</v>
      </c>
      <c r="F11433" s="4" t="str">
        <f>IF(B11433=B11432,"",B11433)</f>
        <v>Rustâ€™avi</v>
      </c>
    </row>
    <row r="11434" spans="1:6" ht="15.75" customHeight="1">
      <c r="A11434" s="5" t="str">
        <f ca="1">IFERROR(__xludf.DUMMYFUNCTION("GOOGLETRANSLATE(B30837,""en"",""pt"")"),"Rust'avi")</f>
        <v>Rust'avi</v>
      </c>
      <c r="B11434" s="17" t="s">
        <v>32659</v>
      </c>
      <c r="C11434" s="17" t="s">
        <v>7988</v>
      </c>
      <c r="D11434" s="17" t="s">
        <v>7999</v>
      </c>
      <c r="E11434" s="10">
        <v>612287</v>
      </c>
      <c r="F11434" s="4" t="str">
        <f>IF(B11434=B11433,"",B11434)</f>
        <v>Rust’avi</v>
      </c>
    </row>
    <row r="11435" spans="1:6" ht="15.75" customHeight="1">
      <c r="A11435" s="5" t="str">
        <f ca="1">IFERROR(__xludf.DUMMYFUNCTION("GOOGLETRANSLATE(B27585,""en"",""pt"")"),"Rüsselsheim")</f>
        <v>Rüsselsheim</v>
      </c>
      <c r="B11435" s="17" t="s">
        <v>32036</v>
      </c>
      <c r="C11435" s="17" t="s">
        <v>8028</v>
      </c>
      <c r="D11435" s="17" t="s">
        <v>8050</v>
      </c>
      <c r="E11435" s="10">
        <v>2842884</v>
      </c>
      <c r="F11435" s="4" t="str">
        <f>IF(B11435=B11434,"",B11435)</f>
        <v>Rüsselsheim</v>
      </c>
    </row>
    <row r="11436" spans="1:6" ht="15.75" customHeight="1">
      <c r="A11436" s="5" t="s">
        <v>29860</v>
      </c>
      <c r="B11436" s="6" t="s">
        <v>29860</v>
      </c>
      <c r="C11436" s="5" t="s">
        <v>27788</v>
      </c>
      <c r="D11436" s="5" t="s">
        <v>27991</v>
      </c>
      <c r="E11436" s="2">
        <v>4129397</v>
      </c>
      <c r="F11436" s="4" t="str">
        <f>IF(B11436=B11435,"",B11436)</f>
        <v>Russellville</v>
      </c>
    </row>
    <row r="11437" spans="1:6" ht="15.75" customHeight="1">
      <c r="A11437" s="5" t="str">
        <f ca="1">IFERROR(__xludf.DUMMYFUNCTION("GOOGLETRANSLATE(B42826,""en"",""pt"")"),"Russellville")</f>
        <v>Russellville</v>
      </c>
      <c r="B11437" s="17" t="s">
        <v>29860</v>
      </c>
      <c r="C11437" s="17" t="s">
        <v>27788</v>
      </c>
      <c r="D11437" s="17" t="s">
        <v>27991</v>
      </c>
      <c r="E11437" s="10">
        <v>4129397</v>
      </c>
      <c r="F11437" s="4" t="str">
        <f>IF(B11437=B11436,"",B11437)</f>
        <v/>
      </c>
    </row>
    <row r="11438" spans="1:6" ht="15.75" customHeight="1">
      <c r="A11438" s="6" t="s">
        <v>16661</v>
      </c>
      <c r="B11438" s="6" t="s">
        <v>16661</v>
      </c>
      <c r="C11438" s="6" t="s">
        <v>16624</v>
      </c>
      <c r="D11438" s="6" t="s">
        <v>16662</v>
      </c>
      <c r="E11438" s="2">
        <v>7838895</v>
      </c>
      <c r="F11438" s="4" t="str">
        <f>IF(B11438=B11437,"",B11438)</f>
        <v>Russeifa</v>
      </c>
    </row>
    <row r="11439" spans="1:6" ht="15.75" customHeight="1">
      <c r="A11439" s="5" t="str">
        <f ca="1">IFERROR(__xludf.DUMMYFUNCTION("GOOGLETRANSLATE(B35147,""en"",""pt"")"),"Russeifa")</f>
        <v>Russeifa</v>
      </c>
      <c r="B11439" s="17" t="s">
        <v>16661</v>
      </c>
      <c r="C11439" s="17" t="s">
        <v>16624</v>
      </c>
      <c r="D11439" s="17" t="s">
        <v>16662</v>
      </c>
      <c r="E11439" s="10">
        <v>7838895</v>
      </c>
      <c r="F11439" s="4" t="str">
        <f>IF(B11439=B11438,"",B11439)</f>
        <v/>
      </c>
    </row>
    <row r="11440" spans="1:6" ht="15.75" customHeight="1">
      <c r="A11440" s="6" t="s">
        <v>3244</v>
      </c>
      <c r="B11440" s="6" t="s">
        <v>3245</v>
      </c>
      <c r="C11440" s="6" t="s">
        <v>1905</v>
      </c>
      <c r="D11440" s="6" t="s">
        <v>1930</v>
      </c>
      <c r="E11440" s="2">
        <v>3390160</v>
      </c>
      <c r="F11440" s="4" t="str">
        <f>IF(B11440=B11439,"",B11440)</f>
        <v>Russas</v>
      </c>
    </row>
    <row r="11441" spans="1:6" ht="15.75" customHeight="1">
      <c r="A11441" s="5" t="str">
        <f ca="1">IFERROR(__xludf.DUMMYFUNCTION("GOOGLETRANSLATE(B24210,""en"",""pt"")"),"Russa")</f>
        <v>Russa</v>
      </c>
      <c r="B11441" s="17" t="s">
        <v>3245</v>
      </c>
      <c r="C11441" s="17" t="s">
        <v>1905</v>
      </c>
      <c r="D11441" s="17" t="s">
        <v>31345</v>
      </c>
      <c r="E11441" s="10">
        <v>3390160</v>
      </c>
      <c r="F11441" s="4" t="str">
        <f>IF(B11441=B11440,"",B11441)</f>
        <v/>
      </c>
    </row>
    <row r="11442" spans="1:6" ht="15.75" customHeight="1">
      <c r="A11442" s="6" t="s">
        <v>29859</v>
      </c>
      <c r="B11442" s="6" t="s">
        <v>29859</v>
      </c>
      <c r="C11442" s="6" t="s">
        <v>27788</v>
      </c>
      <c r="D11442" s="6" t="s">
        <v>5468</v>
      </c>
      <c r="E11442" s="2">
        <v>4170688</v>
      </c>
      <c r="F11442" s="4" t="str">
        <f>IF(B11442=B11441,"",B11442)</f>
        <v>Ruskin</v>
      </c>
    </row>
    <row r="11443" spans="1:6" ht="15.75" customHeight="1">
      <c r="A11443" s="5" t="str">
        <f ca="1">IFERROR(__xludf.DUMMYFUNCTION("GOOGLETRANSLATE(B43007,""en"",""pt"")"),"Ruskin")</f>
        <v>Ruskin</v>
      </c>
      <c r="B11443" s="17" t="s">
        <v>29859</v>
      </c>
      <c r="C11443" s="17" t="s">
        <v>27788</v>
      </c>
      <c r="D11443" s="17" t="s">
        <v>5468</v>
      </c>
      <c r="E11443" s="10">
        <v>4170688</v>
      </c>
      <c r="F11443" s="4" t="str">
        <f>IF(B11443=B11442,"",B11443)</f>
        <v/>
      </c>
    </row>
    <row r="11444" spans="1:6" ht="15.75" customHeight="1">
      <c r="A11444" s="6" t="s">
        <v>27655</v>
      </c>
      <c r="B11444" s="6" t="s">
        <v>27655</v>
      </c>
      <c r="C11444" s="6" t="s">
        <v>27234</v>
      </c>
      <c r="D11444" s="6" t="s">
        <v>27241</v>
      </c>
      <c r="E11444" s="2">
        <v>2638946</v>
      </c>
      <c r="F11444" s="4" t="str">
        <f>IF(B11444=B11443,"",B11444)</f>
        <v>Rushden</v>
      </c>
    </row>
    <row r="11445" spans="1:6" ht="15.75" customHeight="1">
      <c r="A11445" s="5" t="str">
        <f ca="1">IFERROR(__xludf.DUMMYFUNCTION("GOOGLETRANSLATE(B30430,""en"",""pt"")"),"Rushden")</f>
        <v>Rushden</v>
      </c>
      <c r="B11445" s="17" t="s">
        <v>27655</v>
      </c>
      <c r="C11445" s="17" t="s">
        <v>27234</v>
      </c>
      <c r="D11445" s="17" t="s">
        <v>27241</v>
      </c>
      <c r="E11445" s="10">
        <v>2638946</v>
      </c>
      <c r="F11445" s="4" t="str">
        <f>IF(B11445=B11444,"",B11445)</f>
        <v/>
      </c>
    </row>
    <row r="11446" spans="1:6" ht="15.75" customHeight="1">
      <c r="A11446" s="6" t="s">
        <v>13122</v>
      </c>
      <c r="B11446" s="6" t="s">
        <v>13122</v>
      </c>
      <c r="C11446" s="6" t="s">
        <v>10178</v>
      </c>
      <c r="D11446" s="6" t="s">
        <v>10317</v>
      </c>
      <c r="E11446" s="2">
        <v>1257936</v>
      </c>
      <c r="F11446" s="4" t="str">
        <f>IF(B11446=B11445,"",B11446)</f>
        <v>Rusera</v>
      </c>
    </row>
    <row r="11447" spans="1:6" ht="15.75" customHeight="1">
      <c r="A11447" s="5" t="str">
        <f ca="1">IFERROR(__xludf.DUMMYFUNCTION("GOOGLETRANSLATE(B32293,""en"",""pt"")"),"Rusera")</f>
        <v>Rusera</v>
      </c>
      <c r="B11447" s="17" t="s">
        <v>13122</v>
      </c>
      <c r="C11447" s="17" t="s">
        <v>10178</v>
      </c>
      <c r="D11447" s="17" t="s">
        <v>10317</v>
      </c>
      <c r="E11447" s="10">
        <v>1257936</v>
      </c>
      <c r="F11447" s="4" t="str">
        <f>IF(B11447=B11446,"",B11447)</f>
        <v/>
      </c>
    </row>
    <row r="11448" spans="1:6" ht="15.75" customHeight="1">
      <c r="A11448" s="6" t="s">
        <v>3745</v>
      </c>
      <c r="B11448" s="6" t="s">
        <v>3746</v>
      </c>
      <c r="C11448" s="6" t="s">
        <v>3701</v>
      </c>
      <c r="D11448" s="6" t="s">
        <v>3746</v>
      </c>
      <c r="E11448" s="2">
        <v>727523</v>
      </c>
      <c r="F11448" s="4" t="str">
        <f>IF(B11448=B11447,"",B11448)</f>
        <v>Ruse</v>
      </c>
    </row>
    <row r="11449" spans="1:6" ht="15.75" customHeight="1">
      <c r="A11449" s="5" t="str">
        <f ca="1">IFERROR(__xludf.DUMMYFUNCTION("GOOGLETRANSLATE(B24028,""en"",""pt"")"),"Ardil")</f>
        <v>Ardil</v>
      </c>
      <c r="B11449" s="17" t="s">
        <v>3746</v>
      </c>
      <c r="C11449" s="17" t="s">
        <v>3701</v>
      </c>
      <c r="D11449" s="17" t="s">
        <v>3746</v>
      </c>
      <c r="E11449" s="10">
        <v>727523</v>
      </c>
      <c r="F11449" s="4" t="str">
        <f>IF(B11449=B11448,"",B11449)</f>
        <v/>
      </c>
    </row>
    <row r="11450" spans="1:6" ht="15.75" customHeight="1">
      <c r="A11450" s="6" t="s">
        <v>31099</v>
      </c>
      <c r="B11450" s="6" t="s">
        <v>31099</v>
      </c>
      <c r="C11450" s="6" t="s">
        <v>31072</v>
      </c>
      <c r="D11450" s="6" t="s">
        <v>31081</v>
      </c>
      <c r="E11450" s="2">
        <v>882100</v>
      </c>
      <c r="F11450" s="4" t="str">
        <f>IF(B11450=B11449,"",B11450)</f>
        <v>Rusape</v>
      </c>
    </row>
    <row r="11451" spans="1:6" ht="15.75" customHeight="1">
      <c r="A11451" s="5" t="str">
        <f ca="1">IFERROR(__xludf.DUMMYFUNCTION("GOOGLETRANSLATE(B46034,""en"",""pt"")"),"Rusape")</f>
        <v>Rusape</v>
      </c>
      <c r="B11451" s="17" t="s">
        <v>31099</v>
      </c>
      <c r="C11451" s="17" t="s">
        <v>31072</v>
      </c>
      <c r="D11451" s="17" t="s">
        <v>31081</v>
      </c>
      <c r="E11451" s="10">
        <v>882100</v>
      </c>
      <c r="F11451" s="4" t="str">
        <f>IF(B11451=B11450,"",B11451)</f>
        <v/>
      </c>
    </row>
    <row r="11452" spans="1:6" ht="15.75" customHeight="1">
      <c r="A11452" s="6" t="s">
        <v>13121</v>
      </c>
      <c r="B11452" s="6" t="s">
        <v>13121</v>
      </c>
      <c r="C11452" s="6" t="s">
        <v>10178</v>
      </c>
      <c r="D11452" s="6" t="s">
        <v>10193</v>
      </c>
      <c r="E11452" s="2">
        <v>1257940</v>
      </c>
      <c r="F11452" s="4" t="str">
        <f>IF(B11452=B11451,"",B11452)</f>
        <v>Rura</v>
      </c>
    </row>
    <row r="11453" spans="1:6" ht="15.75" customHeight="1">
      <c r="A11453" s="5" t="str">
        <f ca="1">IFERROR(__xludf.DUMMYFUNCTION("GOOGLETRANSLATE(B32294,""en"",""pt"")"),"Rura")</f>
        <v>Rura</v>
      </c>
      <c r="B11453" s="17" t="s">
        <v>13121</v>
      </c>
      <c r="C11453" s="17" t="s">
        <v>10178</v>
      </c>
      <c r="D11453" s="17" t="s">
        <v>10193</v>
      </c>
      <c r="E11453" s="10">
        <v>1257940</v>
      </c>
      <c r="F11453" s="4" t="str">
        <f>IF(B11453=B11452,"",B11453)</f>
        <v/>
      </c>
    </row>
    <row r="11454" spans="1:6" ht="15.75" customHeight="1">
      <c r="A11454" s="6" t="s">
        <v>5036</v>
      </c>
      <c r="B11454" s="6" t="s">
        <v>5037</v>
      </c>
      <c r="C11454" s="6" t="s">
        <v>4487</v>
      </c>
      <c r="D11454" s="6" t="s">
        <v>4511</v>
      </c>
      <c r="E11454" s="2">
        <v>1797038</v>
      </c>
      <c r="F11454" s="4" t="str">
        <f>IF(B11454=B11453,"",B11454)</f>
        <v>Runing</v>
      </c>
    </row>
    <row r="11455" spans="1:6" ht="15.75" customHeight="1">
      <c r="A11455" s="5" t="str">
        <f ca="1">IFERROR(__xludf.DUMMYFUNCTION("GOOGLETRANSLATE(B26288,""en"",""pt"")"),"Execução")</f>
        <v>Execução</v>
      </c>
      <c r="B11455" s="17" t="s">
        <v>5037</v>
      </c>
      <c r="C11455" s="17" t="s">
        <v>4487</v>
      </c>
      <c r="D11455" s="17" t="s">
        <v>4511</v>
      </c>
      <c r="E11455" s="10">
        <v>1797038</v>
      </c>
      <c r="F11455" s="4" t="str">
        <f>IF(B11455=B11454,"",B11455)</f>
        <v/>
      </c>
    </row>
    <row r="11456" spans="1:6" ht="15.75" customHeight="1">
      <c r="A11456" s="6" t="s">
        <v>18789</v>
      </c>
      <c r="B11456" s="6" t="s">
        <v>18789</v>
      </c>
      <c r="C11456" s="6" t="s">
        <v>18773</v>
      </c>
      <c r="D11456" s="6" t="s">
        <v>18790</v>
      </c>
      <c r="E11456" s="2">
        <v>3353383</v>
      </c>
      <c r="F11456" s="4" t="str">
        <f>IF(B11456=B11455,"",B11456)</f>
        <v>Rundu</v>
      </c>
    </row>
    <row r="11457" spans="1:6" ht="15.75" customHeight="1">
      <c r="A11457" s="5" t="str">
        <f ca="1">IFERROR(__xludf.DUMMYFUNCTION("GOOGLETRANSLATE(B37568,""en"",""pt"")"),"Rundu")</f>
        <v>Rundu</v>
      </c>
      <c r="B11457" s="17" t="s">
        <v>18789</v>
      </c>
      <c r="C11457" s="17" t="s">
        <v>18773</v>
      </c>
      <c r="D11457" s="17" t="s">
        <v>18790</v>
      </c>
      <c r="E11457" s="10">
        <v>3353383</v>
      </c>
      <c r="F11457" s="4" t="str">
        <f>IF(B11457=B11456,"",B11457)</f>
        <v/>
      </c>
    </row>
    <row r="11458" spans="1:6" ht="15.75" customHeight="1">
      <c r="A11458" s="6" t="s">
        <v>27654</v>
      </c>
      <c r="B11458" s="6" t="s">
        <v>27654</v>
      </c>
      <c r="C11458" s="6" t="s">
        <v>27234</v>
      </c>
      <c r="D11458" s="6" t="s">
        <v>27241</v>
      </c>
      <c r="E11458" s="2">
        <v>2638960</v>
      </c>
      <c r="F11458" s="4" t="str">
        <f>IF(B11458=B11457,"",B11458)</f>
        <v>Runcorn</v>
      </c>
    </row>
    <row r="11459" spans="1:6" ht="15.75" customHeight="1">
      <c r="A11459" s="5" t="str">
        <f ca="1">IFERROR(__xludf.DUMMYFUNCTION("GOOGLETRANSLATE(B30431,""en"",""pt"")"),"Runcorn")</f>
        <v>Runcorn</v>
      </c>
      <c r="B11459" s="17" t="s">
        <v>27654</v>
      </c>
      <c r="C11459" s="17" t="s">
        <v>27234</v>
      </c>
      <c r="D11459" s="17" t="s">
        <v>27241</v>
      </c>
      <c r="E11459" s="10">
        <v>2638960</v>
      </c>
      <c r="F11459" s="4" t="str">
        <f>IF(B11459=B11458,"",B11459)</f>
        <v/>
      </c>
    </row>
    <row r="11460" spans="1:6" ht="15.75" customHeight="1">
      <c r="A11460" s="6" t="s">
        <v>17428</v>
      </c>
      <c r="B11460" s="6" t="s">
        <v>17428</v>
      </c>
      <c r="C11460" s="6" t="s">
        <v>17410</v>
      </c>
      <c r="D11460" s="6" t="s">
        <v>17416</v>
      </c>
      <c r="E11460" s="2">
        <v>924102</v>
      </c>
      <c r="F11460" s="4" t="str">
        <f>IF(B11460=B11459,"",B11460)</f>
        <v>Rumphi</v>
      </c>
    </row>
    <row r="11461" spans="1:6" ht="15.75" customHeight="1">
      <c r="A11461" s="5" t="str">
        <f ca="1">IFERROR(__xludf.DUMMYFUNCTION("GOOGLETRANSLATE(B36827,""en"",""pt"")"),"Rumphi")</f>
        <v>Rumphi</v>
      </c>
      <c r="B11461" s="17" t="s">
        <v>17428</v>
      </c>
      <c r="C11461" s="17" t="s">
        <v>17410</v>
      </c>
      <c r="D11461" s="17" t="s">
        <v>17416</v>
      </c>
      <c r="E11461" s="10">
        <v>924102</v>
      </c>
      <c r="F11461" s="4" t="str">
        <f>IF(B11461=B11460,"",B11461)</f>
        <v/>
      </c>
    </row>
    <row r="11462" spans="1:6" ht="15.75" customHeight="1">
      <c r="A11462" s="6" t="s">
        <v>16352</v>
      </c>
      <c r="B11462" s="6" t="s">
        <v>16352</v>
      </c>
      <c r="C11462" s="6" t="s">
        <v>15704</v>
      </c>
      <c r="D11462" s="6" t="s">
        <v>15705</v>
      </c>
      <c r="E11462" s="2">
        <v>2128382</v>
      </c>
      <c r="F11462" s="4" t="str">
        <f>IF(B11462=B11461,"",B11462)</f>
        <v>Rumoi</v>
      </c>
    </row>
    <row r="11463" spans="1:6" ht="15.75" customHeight="1">
      <c r="A11463" s="5" t="str">
        <f ca="1">IFERROR(__xludf.DUMMYFUNCTION("GOOGLETRANSLATE(B35828,""en"",""pt"")"),"RUMOI")</f>
        <v>RUMOI</v>
      </c>
      <c r="B11463" s="17" t="s">
        <v>16352</v>
      </c>
      <c r="C11463" s="17" t="s">
        <v>15704</v>
      </c>
      <c r="D11463" s="17" t="s">
        <v>15705</v>
      </c>
      <c r="E11463" s="10">
        <v>2128382</v>
      </c>
      <c r="F11463" s="4" t="str">
        <f>IF(B11463=B11462,"",B11463)</f>
        <v/>
      </c>
    </row>
    <row r="11464" spans="1:6" ht="15.75" customHeight="1">
      <c r="A11464" s="5" t="s">
        <v>9067</v>
      </c>
      <c r="B11464" s="6" t="s">
        <v>9067</v>
      </c>
      <c r="C11464" s="5" t="s">
        <v>8028</v>
      </c>
      <c r="D11464" s="5" t="s">
        <v>8036</v>
      </c>
      <c r="E11464" s="2">
        <v>2843106</v>
      </c>
      <c r="F11464" s="4" t="str">
        <f>IF(B11464=B11463,"",B11464)</f>
        <v>Rummelsburg</v>
      </c>
    </row>
    <row r="11465" spans="1:6" ht="15.75" customHeight="1">
      <c r="A11465" s="5" t="str">
        <f ca="1">IFERROR(__xludf.DUMMYFUNCTION("GOOGLETRANSLATE(B27586,""en"",""pt"")"),"Rummelsburg")</f>
        <v>Rummelsburg</v>
      </c>
      <c r="B11465" s="17" t="s">
        <v>9067</v>
      </c>
      <c r="C11465" s="17" t="s">
        <v>8028</v>
      </c>
      <c r="D11465" s="17" t="s">
        <v>8036</v>
      </c>
      <c r="E11465" s="10">
        <v>2843106</v>
      </c>
      <c r="F11465" s="4" t="str">
        <f>IF(B11465=B11464,"",B11465)</f>
        <v/>
      </c>
    </row>
    <row r="11466" spans="1:6" ht="15.75" customHeight="1">
      <c r="A11466" s="6" t="s">
        <v>21471</v>
      </c>
      <c r="B11466" s="6" t="s">
        <v>21471</v>
      </c>
      <c r="C11466" s="6" t="s">
        <v>21064</v>
      </c>
      <c r="D11466" s="6" t="s">
        <v>21173</v>
      </c>
      <c r="E11466" s="2">
        <v>3086706</v>
      </c>
      <c r="F11466" s="4" t="str">
        <f>IF(B11466=B11465,"",B11466)</f>
        <v>Rumia</v>
      </c>
    </row>
    <row r="11467" spans="1:6" ht="15.75" customHeight="1">
      <c r="A11467" s="5" t="str">
        <f ca="1">IFERROR(__xludf.DUMMYFUNCTION("GOOGLETRANSLATE(B39362,""en"",""pt"")"),"Rumia")</f>
        <v>Rumia</v>
      </c>
      <c r="B11467" s="17" t="s">
        <v>21471</v>
      </c>
      <c r="C11467" s="17" t="s">
        <v>21064</v>
      </c>
      <c r="D11467" s="17" t="s">
        <v>21173</v>
      </c>
      <c r="E11467" s="10">
        <v>3086706</v>
      </c>
      <c r="F11467" s="4" t="str">
        <f>IF(B11467=B11466,"",B11467)</f>
        <v/>
      </c>
    </row>
    <row r="11468" spans="1:6" ht="15.75" customHeight="1">
      <c r="A11468" s="6" t="s">
        <v>24187</v>
      </c>
      <c r="B11468" s="6" t="s">
        <v>24188</v>
      </c>
      <c r="C11468" s="6" t="s">
        <v>24176</v>
      </c>
      <c r="D11468" s="6" t="s">
        <v>24189</v>
      </c>
      <c r="E11468" s="2">
        <v>367927</v>
      </c>
      <c r="F11468" s="4" t="str">
        <f>IF(B11468=B11467,"",B11468)</f>
        <v>Rumbek</v>
      </c>
    </row>
    <row r="11469" spans="1:6" ht="15.75" customHeight="1">
      <c r="A11469" s="5" t="str">
        <f ca="1">IFERROR(__xludf.DUMMYFUNCTION("GOOGLETRANSLATE(B41348,""en"",""pt"")"),"RUMBEK")</f>
        <v>RUMBEK</v>
      </c>
      <c r="B11469" s="17" t="s">
        <v>24188</v>
      </c>
      <c r="C11469" s="17" t="s">
        <v>24176</v>
      </c>
      <c r="D11469" s="17" t="s">
        <v>24189</v>
      </c>
      <c r="E11469" s="10">
        <v>367927</v>
      </c>
      <c r="F11469" s="4" t="str">
        <f>IF(B11469=B11468,"",B11469)</f>
        <v/>
      </c>
    </row>
    <row r="11470" spans="1:6" ht="15.75" customHeight="1">
      <c r="A11470" s="6" t="s">
        <v>23649</v>
      </c>
      <c r="B11470" s="6" t="s">
        <v>23649</v>
      </c>
      <c r="C11470" s="6" t="s">
        <v>23602</v>
      </c>
      <c r="D11470" s="6" t="s">
        <v>23610</v>
      </c>
      <c r="E11470" s="2">
        <v>3191429</v>
      </c>
      <c r="F11470" s="4" t="str">
        <f>IF(B11470=B11469,"",B11470)</f>
        <v>Ruma</v>
      </c>
    </row>
    <row r="11471" spans="1:6" ht="15.75" customHeight="1">
      <c r="A11471" s="5" t="str">
        <f ca="1">IFERROR(__xludf.DUMMYFUNCTION("GOOGLETRANSLATE(B39899,""en"",""pt"")"),"Ruma")</f>
        <v>Ruma</v>
      </c>
      <c r="B11471" s="17" t="s">
        <v>23649</v>
      </c>
      <c r="C11471" s="17" t="s">
        <v>23602</v>
      </c>
      <c r="D11471" s="17" t="s">
        <v>23610</v>
      </c>
      <c r="E11471" s="10">
        <v>3191429</v>
      </c>
      <c r="F11471" s="4" t="str">
        <f>IF(B11471=B11470,"",B11471)</f>
        <v/>
      </c>
    </row>
    <row r="11472" spans="1:6" ht="15.75" customHeight="1">
      <c r="A11472" s="6" t="s">
        <v>25735</v>
      </c>
      <c r="B11472" s="6" t="s">
        <v>25736</v>
      </c>
      <c r="C11472" s="6" t="s">
        <v>25560</v>
      </c>
      <c r="D11472" s="6" t="s">
        <v>25570</v>
      </c>
      <c r="E11472" s="2">
        <v>150436</v>
      </c>
      <c r="F11472" s="4" t="str">
        <f>IF(B11472=B11471,"",B11472)</f>
        <v>Rulenge</v>
      </c>
    </row>
    <row r="11473" spans="1:6" ht="15.75" customHeight="1">
      <c r="A11473" s="5" t="str">
        <f ca="1">IFERROR(__xludf.DUMMYFUNCTION("GOOGLETRANSLATE(B42310,""en"",""pt"")"),"Rulge")</f>
        <v>Rulge</v>
      </c>
      <c r="B11473" s="17" t="s">
        <v>25736</v>
      </c>
      <c r="C11473" s="17" t="s">
        <v>25560</v>
      </c>
      <c r="D11473" s="17" t="s">
        <v>25570</v>
      </c>
      <c r="E11473" s="10">
        <v>150436</v>
      </c>
      <c r="F11473" s="4" t="str">
        <f>IF(B11473=B11472,"",B11473)</f>
        <v/>
      </c>
    </row>
    <row r="11474" spans="1:6" ht="15.75" customHeight="1">
      <c r="A11474" s="6" t="s">
        <v>25734</v>
      </c>
      <c r="B11474" s="6" t="s">
        <v>25734</v>
      </c>
      <c r="C11474" s="6" t="s">
        <v>25560</v>
      </c>
      <c r="D11474" s="6" t="s">
        <v>25589</v>
      </c>
      <c r="E11474" s="2">
        <v>150453</v>
      </c>
      <c r="F11474" s="4" t="str">
        <f>IF(B11474=B11473,"",B11474)</f>
        <v>Rujewa</v>
      </c>
    </row>
    <row r="11475" spans="1:6" ht="15.75" customHeight="1">
      <c r="A11475" s="5" t="str">
        <f ca="1">IFERROR(__xludf.DUMMYFUNCTION("GOOGLETRANSLATE(B42311,""en"",""pt"")"),"Rujewa")</f>
        <v>Rujewa</v>
      </c>
      <c r="B11475" s="17" t="s">
        <v>25734</v>
      </c>
      <c r="C11475" s="17" t="s">
        <v>25560</v>
      </c>
      <c r="D11475" s="17" t="s">
        <v>25589</v>
      </c>
      <c r="E11475" s="10">
        <v>150453</v>
      </c>
      <c r="F11475" s="4" t="str">
        <f>IF(B11475=B11474,"",B11475)</f>
        <v/>
      </c>
    </row>
    <row r="11476" spans="1:6" ht="15.75" customHeight="1">
      <c r="A11476" s="6" t="s">
        <v>27653</v>
      </c>
      <c r="B11476" s="6" t="s">
        <v>27653</v>
      </c>
      <c r="C11476" s="6" t="s">
        <v>27234</v>
      </c>
      <c r="D11476" s="6" t="s">
        <v>27241</v>
      </c>
      <c r="E11476" s="2">
        <v>2638976</v>
      </c>
      <c r="F11476" s="4" t="str">
        <f>IF(B11476=B11475,"",B11476)</f>
        <v>Ruislip</v>
      </c>
    </row>
    <row r="11477" spans="1:6" ht="15.75" customHeight="1">
      <c r="A11477" s="5" t="str">
        <f ca="1">IFERROR(__xludf.DUMMYFUNCTION("GOOGLETRANSLATE(B30432,""en"",""pt"")"),"Ruislip")</f>
        <v>Ruislip</v>
      </c>
      <c r="B11477" s="17" t="s">
        <v>27653</v>
      </c>
      <c r="C11477" s="17" t="s">
        <v>27234</v>
      </c>
      <c r="D11477" s="17" t="s">
        <v>27241</v>
      </c>
      <c r="E11477" s="10">
        <v>2638976</v>
      </c>
      <c r="F11477" s="4" t="str">
        <f>IF(B11477=B11476,"",B11477)</f>
        <v/>
      </c>
    </row>
    <row r="11478" spans="1:6" ht="15.75" customHeight="1">
      <c r="A11478" s="6" t="s">
        <v>27652</v>
      </c>
      <c r="B11478" s="6" t="s">
        <v>27652</v>
      </c>
      <c r="C11478" s="6" t="s">
        <v>27234</v>
      </c>
      <c r="D11478" s="6" t="s">
        <v>27241</v>
      </c>
      <c r="E11478" s="2">
        <v>2638977</v>
      </c>
      <c r="F11478" s="4" t="str">
        <f>IF(B11478=B11477,"",B11478)</f>
        <v>Rugeley</v>
      </c>
    </row>
    <row r="11479" spans="1:6" ht="15.75" customHeight="1">
      <c r="A11479" s="5" t="str">
        <f ca="1">IFERROR(__xludf.DUMMYFUNCTION("GOOGLETRANSLATE(B30433,""en"",""pt"")"),"Rugeley")</f>
        <v>Rugeley</v>
      </c>
      <c r="B11479" s="17" t="s">
        <v>27652</v>
      </c>
      <c r="C11479" s="17" t="s">
        <v>27234</v>
      </c>
      <c r="D11479" s="17" t="s">
        <v>27241</v>
      </c>
      <c r="E11479" s="10">
        <v>2638977</v>
      </c>
      <c r="F11479" s="4" t="str">
        <f>IF(B11479=B11478,"",B11479)</f>
        <v/>
      </c>
    </row>
    <row r="11480" spans="1:6" ht="15.75" customHeight="1">
      <c r="A11480" s="6" t="s">
        <v>27651</v>
      </c>
      <c r="B11480" s="6" t="s">
        <v>27651</v>
      </c>
      <c r="C11480" s="6" t="s">
        <v>27234</v>
      </c>
      <c r="D11480" s="6" t="s">
        <v>27241</v>
      </c>
      <c r="E11480" s="2">
        <v>2638978</v>
      </c>
      <c r="F11480" s="4" t="str">
        <f>IF(B11480=B11479,"",B11480)</f>
        <v>Rugby</v>
      </c>
    </row>
    <row r="11481" spans="1:6" ht="15.75" customHeight="1">
      <c r="A11481" s="5" t="str">
        <f ca="1">IFERROR(__xludf.DUMMYFUNCTION("GOOGLETRANSLATE(B30434,""en"",""pt"")"),"Rugby")</f>
        <v>Rugby</v>
      </c>
      <c r="B11481" s="17" t="s">
        <v>27651</v>
      </c>
      <c r="C11481" s="17" t="s">
        <v>27234</v>
      </c>
      <c r="D11481" s="17" t="s">
        <v>27241</v>
      </c>
      <c r="E11481" s="10">
        <v>2638978</v>
      </c>
      <c r="F11481" s="4" t="str">
        <f>IF(B11481=B11480,"",B11481)</f>
        <v/>
      </c>
    </row>
    <row r="11482" spans="1:6" ht="15.75" customHeight="1">
      <c r="A11482" s="6" t="s">
        <v>768</v>
      </c>
      <c r="B11482" s="6" t="s">
        <v>769</v>
      </c>
      <c r="C11482" s="6" t="s">
        <v>558</v>
      </c>
      <c r="D11482" s="6" t="s">
        <v>579</v>
      </c>
      <c r="E11482" s="2">
        <v>3838506</v>
      </c>
      <c r="F11482" s="4" t="str">
        <f>IF(B11482=B11481,"",B11482)</f>
        <v>Rufino</v>
      </c>
    </row>
    <row r="11483" spans="1:6" ht="15.75" customHeight="1">
      <c r="A11483" s="5" t="str">
        <f ca="1">IFERROR(__xludf.DUMMYFUNCTION("GOOGLETRANSLATE(B23279,""en"",""pt"")"),"RUFINO")</f>
        <v>RUFINO</v>
      </c>
      <c r="B11483" s="17" t="s">
        <v>769</v>
      </c>
      <c r="C11483" s="17" t="s">
        <v>558</v>
      </c>
      <c r="D11483" s="17" t="s">
        <v>579</v>
      </c>
      <c r="E11483" s="10">
        <v>3838506</v>
      </c>
      <c r="F11483" s="4" t="str">
        <f>IF(B11483=B11482,"",B11483)</f>
        <v/>
      </c>
    </row>
    <row r="11484" spans="1:6" ht="15.75" customHeight="1">
      <c r="A11484" s="5" t="s">
        <v>7720</v>
      </c>
      <c r="B11484" s="6" t="s">
        <v>7720</v>
      </c>
      <c r="C11484" s="5" t="s">
        <v>7052</v>
      </c>
      <c r="D11484" s="5" t="s">
        <v>7058</v>
      </c>
      <c r="E11484" s="2">
        <v>2982235</v>
      </c>
      <c r="F11484" s="4" t="str">
        <f>IF(B11484=B11483,"",B11484)</f>
        <v>Rueil-Malmaison</v>
      </c>
    </row>
    <row r="11485" spans="1:6" ht="15.75" customHeight="1">
      <c r="A11485" s="5" t="str">
        <f ca="1">IFERROR(__xludf.DUMMYFUNCTION("GOOGLETRANSLATE(B29819,""en"",""pt"")"),"Rueil-Malmaison")</f>
        <v>Rueil-Malmaison</v>
      </c>
      <c r="B11485" s="17" t="s">
        <v>7720</v>
      </c>
      <c r="C11485" s="17" t="s">
        <v>7052</v>
      </c>
      <c r="D11485" s="17" t="s">
        <v>32531</v>
      </c>
      <c r="E11485" s="10">
        <v>2982235</v>
      </c>
      <c r="F11485" s="4" t="str">
        <f>IF(B11485=B11484,"",B11485)</f>
        <v/>
      </c>
    </row>
    <row r="11486" spans="1:6" ht="15.75" customHeight="1">
      <c r="A11486" s="5" t="str">
        <f ca="1">IFERROR(__xludf.DUMMYFUNCTION("GOOGLETRANSLATE(B34380,""en"",""pt"")"),"Rūdsar")</f>
        <v>Rūdsar</v>
      </c>
      <c r="B11486" s="17" t="s">
        <v>34150</v>
      </c>
      <c r="C11486" s="17" t="s">
        <v>14240</v>
      </c>
      <c r="D11486" s="17" t="s">
        <v>34133</v>
      </c>
      <c r="E11486" s="10">
        <v>118191</v>
      </c>
      <c r="F11486" s="4" t="str">
        <f>IF(B11486=B11485,"",B11486)</f>
        <v>Rūdsar</v>
      </c>
    </row>
    <row r="11487" spans="1:6" ht="15.75" customHeight="1">
      <c r="A11487" s="6" t="s">
        <v>9065</v>
      </c>
      <c r="B11487" s="6" t="s">
        <v>9066</v>
      </c>
      <c r="C11487" s="6" t="s">
        <v>8028</v>
      </c>
      <c r="D11487" s="6" t="s">
        <v>8036</v>
      </c>
      <c r="E11487" s="2">
        <v>2843350</v>
      </c>
      <c r="F11487" s="4" t="str">
        <f>IF(B11487=B11486,"",B11487)</f>
        <v>Rudow</v>
      </c>
    </row>
    <row r="11488" spans="1:6" ht="15.75" customHeight="1">
      <c r="A11488" s="5" t="str">
        <f ca="1">IFERROR(__xludf.DUMMYFUNCTION("GOOGLETRANSLATE(B27587,""en"",""pt"")"),"RUDOW")</f>
        <v>RUDOW</v>
      </c>
      <c r="B11488" s="17" t="s">
        <v>9066</v>
      </c>
      <c r="C11488" s="17" t="s">
        <v>8028</v>
      </c>
      <c r="D11488" s="17" t="s">
        <v>8036</v>
      </c>
      <c r="E11488" s="10">
        <v>2843350</v>
      </c>
      <c r="F11488" s="4" t="str">
        <f>IF(B11488=B11487,"",B11488)</f>
        <v/>
      </c>
    </row>
    <row r="11489" spans="1:6" ht="15.75" customHeight="1">
      <c r="A11489" s="5" t="s">
        <v>9064</v>
      </c>
      <c r="B11489" s="6" t="s">
        <v>9064</v>
      </c>
      <c r="C11489" s="5" t="s">
        <v>8028</v>
      </c>
      <c r="D11489" s="5" t="s">
        <v>8054</v>
      </c>
      <c r="E11489" s="2">
        <v>2843355</v>
      </c>
      <c r="F11489" s="4" t="str">
        <f>IF(B11489=B11488,"",B11489)</f>
        <v>Rudolstadt</v>
      </c>
    </row>
    <row r="11490" spans="1:6" ht="15.75" customHeight="1">
      <c r="A11490" s="5" t="str">
        <f ca="1">IFERROR(__xludf.DUMMYFUNCTION("GOOGLETRANSLATE(B27588,""en"",""pt"")"),"Rudolstadt")</f>
        <v>Rudolstadt</v>
      </c>
      <c r="B11490" s="17" t="s">
        <v>9064</v>
      </c>
      <c r="C11490" s="17" t="s">
        <v>8028</v>
      </c>
      <c r="D11490" s="17" t="s">
        <v>8054</v>
      </c>
      <c r="E11490" s="10">
        <v>2843355</v>
      </c>
      <c r="F11490" s="4" t="str">
        <f>IF(B11490=B11489,"",B11490)</f>
        <v/>
      </c>
    </row>
    <row r="11491" spans="1:6" ht="15.75" customHeight="1">
      <c r="A11491" s="6" t="s">
        <v>16738</v>
      </c>
      <c r="B11491" s="6" t="s">
        <v>16738</v>
      </c>
      <c r="C11491" s="6" t="s">
        <v>16671</v>
      </c>
      <c r="D11491" s="6" t="s">
        <v>16689</v>
      </c>
      <c r="E11491" s="2">
        <v>1519843</v>
      </c>
      <c r="F11491" s="4" t="str">
        <f>IF(B11491=B11490,"",B11491)</f>
        <v>Rudnyy</v>
      </c>
    </row>
    <row r="11492" spans="1:6" ht="15.75" customHeight="1">
      <c r="A11492" s="5" t="str">
        <f ca="1">IFERROR(__xludf.DUMMYFUNCTION("GOOGLETRANSLATE(B36224,""en"",""pt"")"),"Rudnyy")</f>
        <v>Rudnyy</v>
      </c>
      <c r="B11492" s="17" t="s">
        <v>16738</v>
      </c>
      <c r="C11492" s="17" t="s">
        <v>16671</v>
      </c>
      <c r="D11492" s="17" t="s">
        <v>16689</v>
      </c>
      <c r="E11492" s="10">
        <v>1519843</v>
      </c>
      <c r="F11492" s="4" t="str">
        <f>IF(B11492=B11491,"",B11492)</f>
        <v/>
      </c>
    </row>
    <row r="11493" spans="1:6" ht="15.75" customHeight="1">
      <c r="A11493" s="5" t="str">
        <f ca="1">IFERROR(__xludf.DUMMYFUNCTION("GOOGLETRANSLATE(B32296,""en"",""pt"")"),"Rūdarpur")</f>
        <v>Rūdarpur</v>
      </c>
      <c r="B11493" s="17" t="s">
        <v>33146</v>
      </c>
      <c r="C11493" s="17" t="s">
        <v>10178</v>
      </c>
      <c r="D11493" s="17" t="s">
        <v>10193</v>
      </c>
      <c r="E11493" s="10">
        <v>1258012</v>
      </c>
      <c r="F11493" s="4" t="str">
        <f>IF(B11493=B11492,"",B11493)</f>
        <v>Rūdarpur</v>
      </c>
    </row>
    <row r="11494" spans="1:6" ht="15.75" customHeight="1">
      <c r="A11494" s="5" t="str">
        <f ca="1">IFERROR(__xludf.DUMMYFUNCTION("GOOGLETRANSLATE(B39363,""en"",""pt"")"),"Ruda śląska")</f>
        <v>Ruda śląska</v>
      </c>
      <c r="B11494" s="17" t="s">
        <v>35174</v>
      </c>
      <c r="C11494" s="17" t="s">
        <v>21064</v>
      </c>
      <c r="D11494" s="17" t="s">
        <v>21073</v>
      </c>
      <c r="E11494" s="10">
        <v>3086800</v>
      </c>
      <c r="F11494" s="4" t="str">
        <f>IF(B11494=B11493,"",B11494)</f>
        <v>Ruda Śląska</v>
      </c>
    </row>
    <row r="11495" spans="1:6" ht="15.75" customHeight="1">
      <c r="A11495" s="5" t="s">
        <v>21469</v>
      </c>
      <c r="B11495" s="6" t="s">
        <v>21470</v>
      </c>
      <c r="C11495" s="5" t="s">
        <v>21064</v>
      </c>
      <c r="D11495" s="5" t="s">
        <v>21073</v>
      </c>
      <c r="E11495" s="2">
        <v>3086800</v>
      </c>
      <c r="F11495" s="4" t="str">
        <f>IF(B11495=B11494,"",B11495)</f>
        <v>Ruda ÅšlÄ…ska</v>
      </c>
    </row>
    <row r="11496" spans="1:6" ht="15.75" customHeight="1">
      <c r="A11496" s="6" t="s">
        <v>19079</v>
      </c>
      <c r="B11496" s="6" t="s">
        <v>19079</v>
      </c>
      <c r="C11496" s="6" t="s">
        <v>18862</v>
      </c>
      <c r="D11496" s="6" t="s">
        <v>18888</v>
      </c>
      <c r="E11496" s="2">
        <v>2747858</v>
      </c>
      <c r="F11496" s="4" t="str">
        <f>IF(B11496=B11495,"",B11496)</f>
        <v>Rucphen</v>
      </c>
    </row>
    <row r="11497" spans="1:6" ht="15.75" customHeight="1">
      <c r="A11497" s="5" t="str">
        <f ca="1">IFERROR(__xludf.DUMMYFUNCTION("GOOGLETRANSLATE(B37963,""en"",""pt"")"),"Rucphen")</f>
        <v>Rucphen</v>
      </c>
      <c r="B11497" s="17" t="s">
        <v>19079</v>
      </c>
      <c r="C11497" s="17" t="s">
        <v>18862</v>
      </c>
      <c r="D11497" s="17" t="s">
        <v>18888</v>
      </c>
      <c r="E11497" s="10">
        <v>2747858</v>
      </c>
      <c r="F11497" s="4" t="str">
        <f>IF(B11497=B11496,"",B11497)</f>
        <v/>
      </c>
    </row>
    <row r="11498" spans="1:6" ht="15.75" customHeight="1">
      <c r="A11498" s="5" t="s">
        <v>23008</v>
      </c>
      <c r="B11498" s="6" t="s">
        <v>23008</v>
      </c>
      <c r="C11498" s="5" t="s">
        <v>22070</v>
      </c>
      <c r="D11498" s="5" t="s">
        <v>22124</v>
      </c>
      <c r="E11498" s="2">
        <v>1493467</v>
      </c>
      <c r="F11498" s="4" t="str">
        <f>IF(B11498=B11497,"",B11498)</f>
        <v>Rubtsovsk</v>
      </c>
    </row>
    <row r="11499" spans="1:6" ht="15.75" customHeight="1">
      <c r="A11499" s="5" t="str">
        <f ca="1">IFERROR(__xludf.DUMMYFUNCTION("GOOGLETRANSLATE(B40767,""en"",""pt"")"),"Rubtsovsk")</f>
        <v>Rubtsovsk</v>
      </c>
      <c r="B11499" s="17" t="s">
        <v>23008</v>
      </c>
      <c r="C11499" s="17" t="s">
        <v>22070</v>
      </c>
      <c r="D11499" s="17" t="s">
        <v>22124</v>
      </c>
      <c r="E11499" s="10">
        <v>1493467</v>
      </c>
      <c r="F11499" s="4" t="str">
        <f>IF(B11499=B11498,"",B11499)</f>
        <v/>
      </c>
    </row>
    <row r="11500" spans="1:6" ht="15.75" customHeight="1">
      <c r="A11500" s="5" t="str">
        <f ca="1">IFERROR(__xludf.DUMMYFUNCTION("GOOGLETRANSLATE(B40151,""en"",""pt"")"),"Rublëvo")</f>
        <v>Rublëvo</v>
      </c>
      <c r="B11500" s="17" t="s">
        <v>35464</v>
      </c>
      <c r="C11500" s="17" t="s">
        <v>22070</v>
      </c>
      <c r="D11500" s="17" t="s">
        <v>22127</v>
      </c>
      <c r="E11500" s="10">
        <v>500843</v>
      </c>
      <c r="F11500" s="4" t="str">
        <f>IF(B11500=B11499,"",B11500)</f>
        <v>Rublëvo</v>
      </c>
    </row>
    <row r="11501" spans="1:6" ht="15.75" customHeight="1">
      <c r="A11501" s="5" t="s">
        <v>23006</v>
      </c>
      <c r="B11501" s="6" t="s">
        <v>23007</v>
      </c>
      <c r="C11501" s="5" t="s">
        <v>22070</v>
      </c>
      <c r="D11501" s="5" t="s">
        <v>22127</v>
      </c>
      <c r="E11501" s="2">
        <v>500843</v>
      </c>
      <c r="F11501" s="4" t="str">
        <f>IF(B11501=B11500,"",B11501)</f>
        <v>RublÃ«vo</v>
      </c>
    </row>
    <row r="11502" spans="1:6" ht="15.75" customHeight="1">
      <c r="A11502" s="6" t="s">
        <v>27127</v>
      </c>
      <c r="B11502" s="6" t="s">
        <v>27127</v>
      </c>
      <c r="C11502" s="6" t="s">
        <v>26870</v>
      </c>
      <c r="D11502" s="6" t="s">
        <v>26871</v>
      </c>
      <c r="E11502" s="2">
        <v>695274</v>
      </c>
      <c r="F11502" s="4" t="str">
        <f>IF(B11502=B11501,"",B11502)</f>
        <v>Rubizhne</v>
      </c>
    </row>
    <row r="11503" spans="1:6" ht="15.75" customHeight="1">
      <c r="A11503" s="5" t="str">
        <f ca="1">IFERROR(__xludf.DUMMYFUNCTION("GOOGLETRANSLATE(B42535,""en"",""pt"")"),"Rubizhne")</f>
        <v>Rubizhne</v>
      </c>
      <c r="B11503" s="17" t="s">
        <v>27127</v>
      </c>
      <c r="C11503" s="17" t="s">
        <v>26870</v>
      </c>
      <c r="D11503" s="17" t="s">
        <v>26871</v>
      </c>
      <c r="E11503" s="10">
        <v>695274</v>
      </c>
      <c r="F11503" s="4" t="str">
        <f>IF(B11503=B11502,"",B11503)</f>
        <v/>
      </c>
    </row>
    <row r="11504" spans="1:6" ht="15.75" customHeight="1">
      <c r="A11504" s="6" t="s">
        <v>30747</v>
      </c>
      <c r="B11504" s="6" t="s">
        <v>30747</v>
      </c>
      <c r="C11504" s="6" t="s">
        <v>5923</v>
      </c>
      <c r="D11504" s="6" t="s">
        <v>30711</v>
      </c>
      <c r="E11504" s="2">
        <v>3628952</v>
      </c>
      <c r="F11504" s="4" t="str">
        <f>IF(B11504=B11503,"",B11504)</f>
        <v>Rubio</v>
      </c>
    </row>
    <row r="11505" spans="1:6" ht="15.75" customHeight="1">
      <c r="A11505" s="5" t="str">
        <f ca="1">IFERROR(__xludf.DUMMYFUNCTION("GOOGLETRANSLATE(B45629,""en"",""pt"")"),"Rubio")</f>
        <v>Rubio</v>
      </c>
      <c r="B11505" s="17" t="s">
        <v>30747</v>
      </c>
      <c r="C11505" s="17" t="s">
        <v>5923</v>
      </c>
      <c r="D11505" s="17" t="s">
        <v>36084</v>
      </c>
      <c r="E11505" s="10">
        <v>3628952</v>
      </c>
      <c r="F11505" s="4" t="str">
        <f>IF(B11505=B11504,"",B11505)</f>
        <v/>
      </c>
    </row>
    <row r="11506" spans="1:6" ht="15.75" customHeight="1">
      <c r="A11506" s="6" t="s">
        <v>29858</v>
      </c>
      <c r="B11506" s="6" t="s">
        <v>29858</v>
      </c>
      <c r="C11506" s="6" t="s">
        <v>27788</v>
      </c>
      <c r="D11506" s="6" t="s">
        <v>27801</v>
      </c>
      <c r="E11506" s="2">
        <v>5389213</v>
      </c>
      <c r="F11506" s="4" t="str">
        <f>IF(B11506=B11505,"",B11506)</f>
        <v>Rubidoux</v>
      </c>
    </row>
    <row r="11507" spans="1:6" ht="15.75" customHeight="1">
      <c r="A11507" s="5" t="str">
        <f ca="1">IFERROR(__xludf.DUMMYFUNCTION("GOOGLETRANSLATE(B44995,""en"",""pt"")"),"Rubidoux")</f>
        <v>Rubidoux</v>
      </c>
      <c r="B11507" s="17" t="s">
        <v>29858</v>
      </c>
      <c r="C11507" s="17" t="s">
        <v>27788</v>
      </c>
      <c r="D11507" s="17" t="s">
        <v>27801</v>
      </c>
      <c r="E11507" s="10">
        <v>5389213</v>
      </c>
      <c r="F11507" s="4" t="str">
        <f>IF(B11507=B11506,"",B11507)</f>
        <v/>
      </c>
    </row>
    <row r="11508" spans="1:6" ht="15.75" customHeight="1">
      <c r="A11508" s="5" t="s">
        <v>3243</v>
      </c>
      <c r="B11508" s="6" t="s">
        <v>3243</v>
      </c>
      <c r="C11508" s="5" t="s">
        <v>1905</v>
      </c>
      <c r="D11508" s="5" t="s">
        <v>1969</v>
      </c>
      <c r="E11508" s="2">
        <v>3450843</v>
      </c>
      <c r="F11508" s="4" t="str">
        <f>IF(B11508=B11507,"",B11508)</f>
        <v>Rubiataba</v>
      </c>
    </row>
    <row r="11509" spans="1:6" ht="15.75" customHeight="1">
      <c r="A11509" s="5" t="str">
        <f ca="1">IFERROR(__xludf.DUMMYFUNCTION("GOOGLETRANSLATE(B24628,""en"",""pt"")"),"Rubiataba")</f>
        <v>Rubiataba</v>
      </c>
      <c r="B11509" s="17" t="s">
        <v>3243</v>
      </c>
      <c r="C11509" s="17" t="s">
        <v>1905</v>
      </c>
      <c r="D11509" s="17" t="s">
        <v>31436</v>
      </c>
      <c r="E11509" s="10">
        <v>3450843</v>
      </c>
      <c r="F11509" s="4" t="str">
        <f>IF(B11509=B11508,"",B11509)</f>
        <v/>
      </c>
    </row>
    <row r="11510" spans="1:6" ht="15.75" customHeight="1">
      <c r="A11510" s="5" t="str">
        <f ca="1">IFERROR(__xludf.DUMMYFUNCTION("GOOGLETRANSLATE(B29311,""en"",""pt"")"),"Rubí")</f>
        <v>Rubí</v>
      </c>
      <c r="B11510" s="17" t="s">
        <v>32439</v>
      </c>
      <c r="C11510" s="17" t="s">
        <v>24200</v>
      </c>
      <c r="D11510" s="17" t="s">
        <v>24277</v>
      </c>
      <c r="E11510" s="10">
        <v>3111294</v>
      </c>
      <c r="F11510" s="4" t="str">
        <f>IF(B11510=B11509,"",B11510)</f>
        <v>Rubí</v>
      </c>
    </row>
    <row r="11511" spans="1:6" ht="15.75" customHeight="1">
      <c r="A11511" s="6" t="s">
        <v>24743</v>
      </c>
      <c r="B11511" s="6" t="s">
        <v>24744</v>
      </c>
      <c r="C11511" s="6" t="s">
        <v>24200</v>
      </c>
      <c r="D11511" s="6" t="s">
        <v>24277</v>
      </c>
      <c r="E11511" s="2">
        <v>3111294</v>
      </c>
      <c r="F11511" s="4" t="str">
        <f>IF(B11511=B11510,"",B11511)</f>
        <v>RubÃ­</v>
      </c>
    </row>
    <row r="11512" spans="1:6" ht="15.75" customHeight="1">
      <c r="A11512" s="5" t="s">
        <v>23764</v>
      </c>
      <c r="B11512" s="6" t="s">
        <v>23765</v>
      </c>
      <c r="C11512" s="5" t="s">
        <v>23694</v>
      </c>
      <c r="D11512" s="5" t="s">
        <v>23697</v>
      </c>
      <c r="E11512" s="2">
        <v>3057789</v>
      </c>
      <c r="F11512" s="4" t="str">
        <f>IF(B11512=B11511,"",B11512)</f>
        <v>RuÅ¾omberok</v>
      </c>
    </row>
    <row r="11513" spans="1:6" ht="15.75" customHeight="1">
      <c r="A11513" s="5" t="s">
        <v>23005</v>
      </c>
      <c r="B11513" s="6" t="s">
        <v>23005</v>
      </c>
      <c r="C11513" s="5" t="s">
        <v>22070</v>
      </c>
      <c r="D11513" s="5" t="s">
        <v>22171</v>
      </c>
      <c r="E11513" s="2">
        <v>500886</v>
      </c>
      <c r="F11513" s="4" t="str">
        <f>IF(B11513=B11512,"",B11513)</f>
        <v>Rtishchevo</v>
      </c>
    </row>
    <row r="11514" spans="1:6" ht="15.75" customHeight="1">
      <c r="A11514" s="5" t="str">
        <f ca="1">IFERROR(__xludf.DUMMYFUNCTION("GOOGLETRANSLATE(B40152,""en"",""pt"")"),"Rtishchevo")</f>
        <v>Rtishchevo</v>
      </c>
      <c r="B11514" s="17" t="s">
        <v>23005</v>
      </c>
      <c r="C11514" s="17" t="s">
        <v>22070</v>
      </c>
      <c r="D11514" s="17" t="s">
        <v>22171</v>
      </c>
      <c r="E11514" s="10">
        <v>500886</v>
      </c>
      <c r="F11514" s="4" t="str">
        <f>IF(B11514=B11513,"",B11514)</f>
        <v/>
      </c>
    </row>
    <row r="11515" spans="1:6" ht="15.75" customHeight="1">
      <c r="A11515" s="6" t="s">
        <v>15425</v>
      </c>
      <c r="B11515" s="6" t="s">
        <v>15425</v>
      </c>
      <c r="C11515" s="6" t="s">
        <v>14891</v>
      </c>
      <c r="D11515" s="6" t="s">
        <v>14894</v>
      </c>
      <c r="E11515" s="2">
        <v>3168837</v>
      </c>
      <c r="F11515" s="4" t="str">
        <f>IF(B11515=B11514,"",B11515)</f>
        <v>Rozzano</v>
      </c>
    </row>
    <row r="11516" spans="1:6" ht="15.75" customHeight="1">
      <c r="A11516" s="5" t="str">
        <f ca="1">IFERROR(__xludf.DUMMYFUNCTION("GOOGLETRANSLATE(B34734,""en"",""pt"")"),"Rozzano")</f>
        <v>Rozzano</v>
      </c>
      <c r="B11516" s="17" t="s">
        <v>15425</v>
      </c>
      <c r="C11516" s="17" t="s">
        <v>14891</v>
      </c>
      <c r="D11516" s="17" t="s">
        <v>14894</v>
      </c>
      <c r="E11516" s="10">
        <v>3168837</v>
      </c>
      <c r="F11516" s="4" t="str">
        <f>IF(B11516=B11515,"",B11516)</f>
        <v/>
      </c>
    </row>
    <row r="11517" spans="1:6" ht="15.75" customHeight="1">
      <c r="A11517" s="5" t="str">
        <f ca="1">IFERROR(__xludf.DUMMYFUNCTION("GOOGLETRANSLATE(B27267,""en"",""pt"")"),"Rožnov pod radhoštěm")</f>
        <v>Rožnov pod radhoštěm</v>
      </c>
      <c r="B11517" s="17" t="s">
        <v>31961</v>
      </c>
      <c r="C11517" s="17" t="s">
        <v>5947</v>
      </c>
      <c r="D11517" s="17" t="s">
        <v>31937</v>
      </c>
      <c r="E11517" s="10">
        <v>3066651</v>
      </c>
      <c r="F11517" s="4" t="str">
        <f>IF(B11517=B11516,"",B11517)</f>
        <v>Rožnov pod Radhoštěm</v>
      </c>
    </row>
    <row r="11518" spans="1:6" ht="15.75" customHeight="1">
      <c r="A11518" s="5" t="str">
        <f ca="1">IFERROR(__xludf.DUMMYFUNCTION("GOOGLETRANSLATE(B41226,""en"",""pt"")"),"Rožňava")</f>
        <v>Rožňava</v>
      </c>
      <c r="B11518" s="17" t="s">
        <v>35671</v>
      </c>
      <c r="C11518" s="17" t="s">
        <v>23694</v>
      </c>
      <c r="D11518" s="17" t="s">
        <v>35668</v>
      </c>
      <c r="E11518" s="10">
        <v>723713</v>
      </c>
      <c r="F11518" s="4" t="str">
        <f>IF(B11518=B11517,"",B11518)</f>
        <v>Rožňava</v>
      </c>
    </row>
    <row r="11519" spans="1:6" ht="15.75" customHeight="1">
      <c r="A11519" s="5" t="s">
        <v>27125</v>
      </c>
      <c r="B11519" s="6" t="s">
        <v>27126</v>
      </c>
      <c r="C11519" s="5" t="s">
        <v>26870</v>
      </c>
      <c r="D11519" s="5" t="s">
        <v>26884</v>
      </c>
      <c r="E11519" s="2">
        <v>695344</v>
      </c>
      <c r="F11519" s="4" t="str">
        <f>IF(B11519=B11518,"",B11519)</f>
        <v>Rozdilâ€™na</v>
      </c>
    </row>
    <row r="11520" spans="1:6" ht="15.75" customHeight="1">
      <c r="A11520" s="5" t="str">
        <f ca="1">IFERROR(__xludf.DUMMYFUNCTION("GOOGLETRANSLATE(B42536,""en"",""pt"")"),"Rozdil'na")</f>
        <v>Rozdil'na</v>
      </c>
      <c r="B11520" s="17" t="s">
        <v>35998</v>
      </c>
      <c r="C11520" s="17" t="s">
        <v>26870</v>
      </c>
      <c r="D11520" s="17" t="s">
        <v>26884</v>
      </c>
      <c r="E11520" s="10">
        <v>695344</v>
      </c>
      <c r="F11520" s="4" t="str">
        <f>IF(B11520=B11519,"",B11520)</f>
        <v>Rozdil’na</v>
      </c>
    </row>
    <row r="11521" spans="1:6" ht="15.75" customHeight="1">
      <c r="A11521" s="6" t="s">
        <v>27650</v>
      </c>
      <c r="B11521" s="6" t="s">
        <v>27650</v>
      </c>
      <c r="C11521" s="6" t="s">
        <v>27234</v>
      </c>
      <c r="D11521" s="6" t="s">
        <v>27241</v>
      </c>
      <c r="E11521" s="2">
        <v>2639015</v>
      </c>
      <c r="F11521" s="4" t="str">
        <f>IF(B11521=B11520,"",B11521)</f>
        <v>Royton</v>
      </c>
    </row>
    <row r="11522" spans="1:6" ht="15.75" customHeight="1">
      <c r="A11522" s="5" t="str">
        <f ca="1">IFERROR(__xludf.DUMMYFUNCTION("GOOGLETRANSLATE(B30435,""en"",""pt"")"),"Royton")</f>
        <v>Royton</v>
      </c>
      <c r="B11522" s="17" t="s">
        <v>27650</v>
      </c>
      <c r="C11522" s="17" t="s">
        <v>27234</v>
      </c>
      <c r="D11522" s="17" t="s">
        <v>27241</v>
      </c>
      <c r="E11522" s="10">
        <v>2639015</v>
      </c>
      <c r="F11522" s="4" t="str">
        <f>IF(B11522=B11521,"",B11522)</f>
        <v/>
      </c>
    </row>
    <row r="11523" spans="1:6" ht="15.75" customHeight="1">
      <c r="A11523" s="6" t="s">
        <v>7719</v>
      </c>
      <c r="B11523" s="6" t="s">
        <v>7719</v>
      </c>
      <c r="C11523" s="6" t="s">
        <v>7052</v>
      </c>
      <c r="D11523" s="6" t="s">
        <v>7084</v>
      </c>
      <c r="E11523" s="2">
        <v>2982343</v>
      </c>
      <c r="F11523" s="4" t="str">
        <f>IF(B11523=B11522,"",B11523)</f>
        <v>Royan</v>
      </c>
    </row>
    <row r="11524" spans="1:6" ht="15.75" customHeight="1">
      <c r="A11524" s="5" t="str">
        <f ca="1">IFERROR(__xludf.DUMMYFUNCTION("GOOGLETRANSLATE(B29820,""en"",""pt"")"),"Royan")</f>
        <v>Royan</v>
      </c>
      <c r="B11524" s="17" t="s">
        <v>7719</v>
      </c>
      <c r="C11524" s="17" t="s">
        <v>7052</v>
      </c>
      <c r="D11524" s="17" t="s">
        <v>7084</v>
      </c>
      <c r="E11524" s="10">
        <v>2982343</v>
      </c>
      <c r="F11524" s="4" t="str">
        <f>IF(B11524=B11523,"",B11524)</f>
        <v/>
      </c>
    </row>
    <row r="11525" spans="1:6" ht="15.75" customHeight="1">
      <c r="A11525" s="5" t="s">
        <v>27649</v>
      </c>
      <c r="B11525" s="6" t="s">
        <v>27649</v>
      </c>
      <c r="C11525" s="5" t="s">
        <v>27234</v>
      </c>
      <c r="D11525" s="5" t="s">
        <v>27241</v>
      </c>
      <c r="E11525" s="2">
        <v>2639022</v>
      </c>
      <c r="F11525" s="4" t="str">
        <f>IF(B11525=B11524,"",B11525)</f>
        <v>Royal Tunbridge Wells</v>
      </c>
    </row>
    <row r="11526" spans="1:6" ht="15.75" customHeight="1">
      <c r="A11526" s="5" t="str">
        <f ca="1">IFERROR(__xludf.DUMMYFUNCTION("GOOGLETRANSLATE(B30436,""en"",""pt"")"),"Royal Tunbridge Wells")</f>
        <v>Royal Tunbridge Wells</v>
      </c>
      <c r="B11526" s="17" t="s">
        <v>27649</v>
      </c>
      <c r="C11526" s="17" t="s">
        <v>27234</v>
      </c>
      <c r="D11526" s="17" t="s">
        <v>27241</v>
      </c>
      <c r="E11526" s="10">
        <v>2639022</v>
      </c>
      <c r="F11526" s="4" t="str">
        <f>IF(B11526=B11525,"",B11526)</f>
        <v/>
      </c>
    </row>
    <row r="11527" spans="1:6" ht="15.75" customHeight="1">
      <c r="A11527" s="5" t="s">
        <v>29857</v>
      </c>
      <c r="B11527" s="6" t="s">
        <v>29857</v>
      </c>
      <c r="C11527" s="5" t="s">
        <v>27788</v>
      </c>
      <c r="D11527" s="5" t="s">
        <v>5468</v>
      </c>
      <c r="E11527" s="2">
        <v>4170617</v>
      </c>
      <c r="F11527" s="4" t="str">
        <f>IF(B11527=B11526,"",B11527)</f>
        <v>Royal Palm Beach</v>
      </c>
    </row>
    <row r="11528" spans="1:6" ht="15.75" customHeight="1">
      <c r="A11528" s="5" t="str">
        <f ca="1">IFERROR(__xludf.DUMMYFUNCTION("GOOGLETRANSLATE(B43006,""en"",""pt"")"),"Royal Palm Beach")</f>
        <v>Royal Palm Beach</v>
      </c>
      <c r="B11528" s="17" t="s">
        <v>29857</v>
      </c>
      <c r="C11528" s="17" t="s">
        <v>27788</v>
      </c>
      <c r="D11528" s="17" t="s">
        <v>5468</v>
      </c>
      <c r="E11528" s="10">
        <v>4170617</v>
      </c>
      <c r="F11528" s="4" t="str">
        <f>IF(B11528=B11527,"",B11528)</f>
        <v/>
      </c>
    </row>
    <row r="11529" spans="1:6" ht="15.75" customHeight="1">
      <c r="A11529" s="5" t="s">
        <v>29856</v>
      </c>
      <c r="B11529" s="6" t="s">
        <v>29856</v>
      </c>
      <c r="C11529" s="5" t="s">
        <v>27788</v>
      </c>
      <c r="D11529" s="5" t="s">
        <v>27804</v>
      </c>
      <c r="E11529" s="2">
        <v>5007804</v>
      </c>
      <c r="F11529" s="4" t="str">
        <f>IF(B11529=B11528,"",B11529)</f>
        <v>Royal Oak</v>
      </c>
    </row>
    <row r="11530" spans="1:6" ht="15.75" customHeight="1">
      <c r="A11530" s="5" t="str">
        <f ca="1">IFERROR(__xludf.DUMMYFUNCTION("GOOGLETRANSLATE(B44119,""en"",""pt"")"),"Royal Oak")</f>
        <v>Royal Oak</v>
      </c>
      <c r="B11530" s="17" t="s">
        <v>29856</v>
      </c>
      <c r="C11530" s="17" t="s">
        <v>27788</v>
      </c>
      <c r="D11530" s="17" t="s">
        <v>27804</v>
      </c>
      <c r="E11530" s="10">
        <v>5007804</v>
      </c>
      <c r="F11530" s="4" t="str">
        <f>IF(B11530=B11529,"",B11530)</f>
        <v/>
      </c>
    </row>
    <row r="11531" spans="1:6" ht="15.75" customHeight="1">
      <c r="A11531" s="5" t="s">
        <v>27648</v>
      </c>
      <c r="B11531" s="6" t="s">
        <v>27648</v>
      </c>
      <c r="C11531" s="5" t="s">
        <v>27234</v>
      </c>
      <c r="D11531" s="5" t="s">
        <v>27241</v>
      </c>
      <c r="E11531" s="2">
        <v>2644737</v>
      </c>
      <c r="F11531" s="4" t="str">
        <f>IF(B11531=B11530,"",B11531)</f>
        <v>Royal Leamington Spa</v>
      </c>
    </row>
    <row r="11532" spans="1:6" ht="15.75" customHeight="1">
      <c r="A11532" s="5" t="str">
        <f ca="1">IFERROR(__xludf.DUMMYFUNCTION("GOOGLETRANSLATE(B30589,""en"",""pt"")"),"Royal Leamington Spa")</f>
        <v>Royal Leamington Spa</v>
      </c>
      <c r="B11532" s="17" t="s">
        <v>27648</v>
      </c>
      <c r="C11532" s="17" t="s">
        <v>27234</v>
      </c>
      <c r="D11532" s="17" t="s">
        <v>27241</v>
      </c>
      <c r="E11532" s="10">
        <v>2644737</v>
      </c>
      <c r="F11532" s="4" t="str">
        <f>IF(B11532=B11531,"",B11532)</f>
        <v/>
      </c>
    </row>
    <row r="11533" spans="1:6" ht="15.75" customHeight="1">
      <c r="A11533" s="6" t="s">
        <v>29855</v>
      </c>
      <c r="B11533" s="6" t="s">
        <v>29855</v>
      </c>
      <c r="C11533" s="6" t="s">
        <v>27788</v>
      </c>
      <c r="D11533" s="6" t="s">
        <v>27856</v>
      </c>
      <c r="E11533" s="2">
        <v>5780802</v>
      </c>
      <c r="F11533" s="4" t="str">
        <f>IF(B11533=B11532,"",B11533)</f>
        <v>Roy</v>
      </c>
    </row>
    <row r="11534" spans="1:6" ht="15.75" customHeight="1">
      <c r="A11534" s="5" t="str">
        <f ca="1">IFERROR(__xludf.DUMMYFUNCTION("GOOGLETRANSLATE(B45297,""en"",""pt"")"),"Roy")</f>
        <v>Roy</v>
      </c>
      <c r="B11534" s="17" t="s">
        <v>29855</v>
      </c>
      <c r="C11534" s="17" t="s">
        <v>27788</v>
      </c>
      <c r="D11534" s="17" t="s">
        <v>27856</v>
      </c>
      <c r="E11534" s="10">
        <v>5780802</v>
      </c>
      <c r="F11534" s="4" t="str">
        <f>IF(B11534=B11533,"",B11534)</f>
        <v/>
      </c>
    </row>
    <row r="11535" spans="1:6" ht="15.75" customHeight="1">
      <c r="A11535" s="5" t="s">
        <v>1074</v>
      </c>
      <c r="B11535" s="6" t="s">
        <v>1074</v>
      </c>
      <c r="C11535" s="5" t="s">
        <v>885</v>
      </c>
      <c r="D11535" s="5" t="s">
        <v>827</v>
      </c>
      <c r="E11535" s="2">
        <v>8347896</v>
      </c>
      <c r="F11535" s="4" t="str">
        <f>IF(B11535=B11534,"",B11535)</f>
        <v>Roxburgh Park</v>
      </c>
    </row>
    <row r="11536" spans="1:6" ht="15.75" customHeight="1">
      <c r="A11536" s="5" t="str">
        <f ca="1">IFERROR(__xludf.DUMMYFUNCTION("GOOGLETRANSLATE(B23596,""en"",""pt"")"),"Roxburgh Park")</f>
        <v>Roxburgh Park</v>
      </c>
      <c r="B11536" s="17" t="s">
        <v>1074</v>
      </c>
      <c r="C11536" s="17" t="s">
        <v>885</v>
      </c>
      <c r="D11536" s="17" t="s">
        <v>827</v>
      </c>
      <c r="E11536" s="10">
        <v>8347896</v>
      </c>
      <c r="F11536" s="4" t="str">
        <f>IF(B11536=B11535,"",B11536)</f>
        <v/>
      </c>
    </row>
    <row r="11537" spans="1:6" ht="15.75" customHeight="1">
      <c r="A11537" s="5" t="s">
        <v>20986</v>
      </c>
      <c r="B11537" s="6" t="s">
        <v>20987</v>
      </c>
      <c r="C11537" s="5" t="s">
        <v>20598</v>
      </c>
      <c r="D11537" s="5" t="s">
        <v>20627</v>
      </c>
      <c r="E11537" s="2">
        <v>1691444</v>
      </c>
      <c r="F11537" s="4" t="str">
        <f>IF(B11537=B11536,"",B11537)</f>
        <v>Roxas City</v>
      </c>
    </row>
    <row r="11538" spans="1:6" ht="15.75" customHeight="1">
      <c r="A11538" s="5" t="str">
        <f ca="1">IFERROR(__xludf.DUMMYFUNCTION("GOOGLETRANSLATE(B38529,""en"",""pt"")"),"Cidade de Roxas")</f>
        <v>Cidade de Roxas</v>
      </c>
      <c r="B11538" s="17" t="s">
        <v>20987</v>
      </c>
      <c r="C11538" s="17" t="s">
        <v>20598</v>
      </c>
      <c r="D11538" s="17" t="s">
        <v>20627</v>
      </c>
      <c r="E11538" s="10">
        <v>1691444</v>
      </c>
      <c r="F11538" s="4" t="str">
        <f>IF(B11538=B11537,"",B11538)</f>
        <v/>
      </c>
    </row>
    <row r="11539" spans="1:6" ht="15.75" customHeight="1">
      <c r="A11539" s="6" t="s">
        <v>20985</v>
      </c>
      <c r="B11539" s="6" t="s">
        <v>20985</v>
      </c>
      <c r="C11539" s="6" t="s">
        <v>20598</v>
      </c>
      <c r="D11539" s="6" t="s">
        <v>20611</v>
      </c>
      <c r="E11539" s="2">
        <v>1691441</v>
      </c>
      <c r="F11539" s="4" t="str">
        <f>IF(B11539=B11538,"",B11539)</f>
        <v>Roxas</v>
      </c>
    </row>
    <row r="11540" spans="1:6" ht="15.75" customHeight="1">
      <c r="A11540" s="6" t="s">
        <v>20985</v>
      </c>
      <c r="B11540" s="6" t="s">
        <v>20985</v>
      </c>
      <c r="C11540" s="6" t="s">
        <v>20598</v>
      </c>
      <c r="D11540" s="6" t="s">
        <v>20715</v>
      </c>
      <c r="E11540" s="2">
        <v>1691446</v>
      </c>
      <c r="F11540" s="4" t="str">
        <f>IF(B11540=B11539,"",B11540)</f>
        <v/>
      </c>
    </row>
    <row r="11541" spans="1:6" ht="15.75" customHeight="1">
      <c r="A11541" s="5" t="str">
        <f ca="1">IFERROR(__xludf.DUMMYFUNCTION("GOOGLETRANSLATE(B38528,""en"",""pt"")"),"Roxas")</f>
        <v>Roxas</v>
      </c>
      <c r="B11541" s="17" t="s">
        <v>20985</v>
      </c>
      <c r="C11541" s="17" t="s">
        <v>20598</v>
      </c>
      <c r="D11541" s="17" t="s">
        <v>20611</v>
      </c>
      <c r="E11541" s="10">
        <v>1691441</v>
      </c>
      <c r="F11541" s="4" t="str">
        <f>IF(B11541=B11540,"",B11541)</f>
        <v/>
      </c>
    </row>
    <row r="11542" spans="1:6" ht="15.75" customHeight="1">
      <c r="A11542" s="5" t="str">
        <f ca="1">IFERROR(__xludf.DUMMYFUNCTION("GOOGLETRANSLATE(B38530,""en"",""pt"")"),"Roxas")</f>
        <v>Roxas</v>
      </c>
      <c r="B11542" s="17" t="s">
        <v>20985</v>
      </c>
      <c r="C11542" s="17" t="s">
        <v>20598</v>
      </c>
      <c r="D11542" s="17" t="s">
        <v>20715</v>
      </c>
      <c r="E11542" s="10">
        <v>1691446</v>
      </c>
      <c r="F11542" s="4" t="str">
        <f>IF(B11542=B11541,"",B11542)</f>
        <v/>
      </c>
    </row>
    <row r="11543" spans="1:6" ht="15.75" customHeight="1">
      <c r="A11543" s="6" t="s">
        <v>1073</v>
      </c>
      <c r="B11543" s="6" t="s">
        <v>1073</v>
      </c>
      <c r="C11543" s="6" t="s">
        <v>885</v>
      </c>
      <c r="D11543" s="6" t="s">
        <v>827</v>
      </c>
      <c r="E11543" s="2">
        <v>2150894</v>
      </c>
      <c r="F11543" s="4" t="str">
        <f>IF(B11543=B11542,"",B11543)</f>
        <v>Rowville</v>
      </c>
    </row>
    <row r="11544" spans="1:6" ht="15.75" customHeight="1">
      <c r="A11544" s="5" t="str">
        <f ca="1">IFERROR(__xludf.DUMMYFUNCTION("GOOGLETRANSLATE(B23456,""en"",""pt"")"),"Rowville")</f>
        <v>Rowville</v>
      </c>
      <c r="B11544" s="17" t="s">
        <v>1073</v>
      </c>
      <c r="C11544" s="17" t="s">
        <v>885</v>
      </c>
      <c r="D11544" s="17" t="s">
        <v>827</v>
      </c>
      <c r="E11544" s="10">
        <v>2150894</v>
      </c>
      <c r="F11544" s="4" t="str">
        <f>IF(B11544=B11543,"",B11544)</f>
        <v/>
      </c>
    </row>
    <row r="11545" spans="1:6" ht="15.75" customHeight="1">
      <c r="A11545" s="5" t="s">
        <v>29854</v>
      </c>
      <c r="B11545" s="6" t="s">
        <v>29854</v>
      </c>
      <c r="C11545" s="5" t="s">
        <v>27788</v>
      </c>
      <c r="D11545" s="5" t="s">
        <v>27801</v>
      </c>
      <c r="E11545" s="2">
        <v>5389126</v>
      </c>
      <c r="F11545" s="4" t="str">
        <f>IF(B11545=B11544,"",B11545)</f>
        <v>Rowland Heights</v>
      </c>
    </row>
    <row r="11546" spans="1:6" ht="15.75" customHeight="1">
      <c r="A11546" s="5" t="str">
        <f ca="1">IFERROR(__xludf.DUMMYFUNCTION("GOOGLETRANSLATE(B44994,""en"",""pt"")"),"Rowland Heights")</f>
        <v>Rowland Heights</v>
      </c>
      <c r="B11546" s="17" t="s">
        <v>29854</v>
      </c>
      <c r="C11546" s="17" t="s">
        <v>27788</v>
      </c>
      <c r="D11546" s="17" t="s">
        <v>27801</v>
      </c>
      <c r="E11546" s="10">
        <v>5389126</v>
      </c>
      <c r="F11546" s="4" t="str">
        <f>IF(B11546=B11545,"",B11546)</f>
        <v/>
      </c>
    </row>
    <row r="11547" spans="1:6" ht="15.75" customHeight="1">
      <c r="A11547" s="6" t="s">
        <v>15424</v>
      </c>
      <c r="B11547" s="6" t="s">
        <v>15424</v>
      </c>
      <c r="C11547" s="6" t="s">
        <v>14891</v>
      </c>
      <c r="D11547" s="6" t="s">
        <v>14892</v>
      </c>
      <c r="E11547" s="2">
        <v>3168843</v>
      </c>
      <c r="F11547" s="4" t="str">
        <f>IF(B11547=B11546,"",B11547)</f>
        <v>Rovigo</v>
      </c>
    </row>
    <row r="11548" spans="1:6" ht="15.75" customHeight="1">
      <c r="A11548" s="5" t="str">
        <f ca="1">IFERROR(__xludf.DUMMYFUNCTION("GOOGLETRANSLATE(B34735,""en"",""pt"")"),"Rovigo")</f>
        <v>Rovigo</v>
      </c>
      <c r="B11548" s="17" t="s">
        <v>15424</v>
      </c>
      <c r="C11548" s="17" t="s">
        <v>14891</v>
      </c>
      <c r="D11548" s="17" t="s">
        <v>14892</v>
      </c>
      <c r="E11548" s="10">
        <v>3168843</v>
      </c>
      <c r="F11548" s="4" t="str">
        <f>IF(B11548=B11547,"",B11548)</f>
        <v/>
      </c>
    </row>
    <row r="11549" spans="1:6" ht="15.75" customHeight="1">
      <c r="A11549" s="6" t="s">
        <v>15423</v>
      </c>
      <c r="B11549" s="6" t="s">
        <v>15423</v>
      </c>
      <c r="C11549" s="6" t="s">
        <v>14891</v>
      </c>
      <c r="D11549" s="6" t="s">
        <v>14986</v>
      </c>
      <c r="E11549" s="2">
        <v>3168854</v>
      </c>
      <c r="F11549" s="4" t="str">
        <f>IF(B11549=B11548,"",B11549)</f>
        <v>Rovereto</v>
      </c>
    </row>
    <row r="11550" spans="1:6" ht="15.75" customHeight="1">
      <c r="A11550" s="5" t="str">
        <f ca="1">IFERROR(__xludf.DUMMYFUNCTION("GOOGLETRANSLATE(B34736,""en"",""pt"")"),"Rovereto")</f>
        <v>Rovereto</v>
      </c>
      <c r="B11550" s="17" t="s">
        <v>15423</v>
      </c>
      <c r="C11550" s="17" t="s">
        <v>14891</v>
      </c>
      <c r="D11550" s="17" t="s">
        <v>14986</v>
      </c>
      <c r="E11550" s="10">
        <v>3168854</v>
      </c>
      <c r="F11550" s="4" t="str">
        <f>IF(B11550=B11549,"",B11550)</f>
        <v/>
      </c>
    </row>
    <row r="11551" spans="1:6" ht="15.75" customHeight="1">
      <c r="A11551" s="5" t="s">
        <v>27123</v>
      </c>
      <c r="B11551" s="6" t="s">
        <v>27124</v>
      </c>
      <c r="C11551" s="5" t="s">
        <v>26870</v>
      </c>
      <c r="D11551" s="5" t="s">
        <v>26871</v>
      </c>
      <c r="E11551" s="2">
        <v>695379</v>
      </c>
      <c r="F11551" s="4" t="str">
        <f>IF(B11551=B11550,"",B11551)</f>
        <v>Rovenâ€™ky</v>
      </c>
    </row>
    <row r="11552" spans="1:6" ht="15.75" customHeight="1">
      <c r="A11552" s="5" t="str">
        <f ca="1">IFERROR(__xludf.DUMMYFUNCTION("GOOGLETRANSLATE(B42537,""en"",""pt"")"),"ROVEN'KY")</f>
        <v>ROVEN'KY</v>
      </c>
      <c r="B11552" s="17" t="s">
        <v>35999</v>
      </c>
      <c r="C11552" s="17" t="s">
        <v>26870</v>
      </c>
      <c r="D11552" s="17" t="s">
        <v>26871</v>
      </c>
      <c r="E11552" s="10">
        <v>695379</v>
      </c>
      <c r="F11552" s="4" t="str">
        <f>IF(B11552=B11551,"",B11552)</f>
        <v>Roven’ky</v>
      </c>
    </row>
    <row r="11553" spans="1:6" ht="15.75" customHeight="1">
      <c r="A11553" s="5" t="s">
        <v>7029</v>
      </c>
      <c r="B11553" s="6" t="s">
        <v>7029</v>
      </c>
      <c r="C11553" s="5" t="s">
        <v>6948</v>
      </c>
      <c r="D11553" s="5" t="s">
        <v>6990</v>
      </c>
      <c r="E11553" s="2">
        <v>638936</v>
      </c>
      <c r="F11553" s="4" t="str">
        <f>IF(B11553=B11552,"",B11553)</f>
        <v>Rovaniemi</v>
      </c>
    </row>
    <row r="11554" spans="1:6" ht="15.75" customHeight="1">
      <c r="A11554" s="5" t="str">
        <f ca="1">IFERROR(__xludf.DUMMYFUNCTION("GOOGLETRANSLATE(B29613,""en"",""pt"")"),"Rovaniemi")</f>
        <v>Rovaniemi</v>
      </c>
      <c r="B11554" s="17" t="s">
        <v>7029</v>
      </c>
      <c r="C11554" s="17" t="s">
        <v>6948</v>
      </c>
      <c r="D11554" s="17" t="s">
        <v>6990</v>
      </c>
      <c r="E11554" s="10">
        <v>638936</v>
      </c>
      <c r="F11554" s="4" t="str">
        <f>IF(B11554=B11553,"",B11554)</f>
        <v/>
      </c>
    </row>
    <row r="11555" spans="1:6" ht="15.75" customHeight="1">
      <c r="A11555" s="5" t="s">
        <v>4166</v>
      </c>
      <c r="B11555" s="6" t="s">
        <v>4166</v>
      </c>
      <c r="C11555" s="5" t="s">
        <v>3975</v>
      </c>
      <c r="D11555" s="5" t="s">
        <v>3982</v>
      </c>
      <c r="E11555" s="2">
        <v>6128577</v>
      </c>
      <c r="F11555" s="4" t="str">
        <f>IF(B11555=B11554,"",B11555)</f>
        <v>Rouyn-Noranda</v>
      </c>
    </row>
    <row r="11556" spans="1:6" ht="15.75" customHeight="1">
      <c r="A11556" s="5" t="str">
        <f ca="1">IFERROR(__xludf.DUMMYFUNCTION("GOOGLETRANSLATE(B25561,""en"",""pt"")"),"Rouyn-Noranda")</f>
        <v>Rouyn-Noranda</v>
      </c>
      <c r="B11556" s="17" t="s">
        <v>4166</v>
      </c>
      <c r="C11556" s="17" t="s">
        <v>3975</v>
      </c>
      <c r="D11556" s="17" t="s">
        <v>3982</v>
      </c>
      <c r="E11556" s="10">
        <v>6128577</v>
      </c>
      <c r="F11556" s="4" t="str">
        <f>IF(B11556=B11555,"",B11556)</f>
        <v/>
      </c>
    </row>
    <row r="11557" spans="1:6" ht="15.75" customHeight="1">
      <c r="A11557" s="5" t="s">
        <v>29853</v>
      </c>
      <c r="B11557" s="6" t="s">
        <v>29853</v>
      </c>
      <c r="C11557" s="5" t="s">
        <v>27788</v>
      </c>
      <c r="D11557" s="5" t="s">
        <v>27799</v>
      </c>
      <c r="E11557" s="2">
        <v>4908237</v>
      </c>
      <c r="F11557" s="4" t="str">
        <f>IF(B11557=B11556,"",B11557)</f>
        <v>Round Lake Beach</v>
      </c>
    </row>
    <row r="11558" spans="1:6" ht="15.75" customHeight="1">
      <c r="A11558" s="5" t="str">
        <f ca="1">IFERROR(__xludf.DUMMYFUNCTION("GOOGLETRANSLATE(B43880,""en"",""pt"")"),"Round Lake Beach")</f>
        <v>Round Lake Beach</v>
      </c>
      <c r="B11558" s="17" t="s">
        <v>29853</v>
      </c>
      <c r="C11558" s="17" t="s">
        <v>27788</v>
      </c>
      <c r="D11558" s="17" t="s">
        <v>27799</v>
      </c>
      <c r="E11558" s="10">
        <v>4908237</v>
      </c>
      <c r="F11558" s="4" t="str">
        <f>IF(B11558=B11557,"",B11558)</f>
        <v/>
      </c>
    </row>
    <row r="11559" spans="1:6" ht="15.75" customHeight="1">
      <c r="A11559" s="5" t="s">
        <v>29851</v>
      </c>
      <c r="B11559" s="6" t="s">
        <v>29852</v>
      </c>
      <c r="C11559" s="5" t="s">
        <v>27788</v>
      </c>
      <c r="D11559" s="5" t="s">
        <v>27799</v>
      </c>
      <c r="E11559" s="2">
        <v>4908236</v>
      </c>
      <c r="F11559" s="4" t="str">
        <f>IF(B11559=B11558,"",B11559)</f>
        <v>Round Lake</v>
      </c>
    </row>
    <row r="11560" spans="1:6" ht="15.75" customHeight="1">
      <c r="A11560" s="5" t="str">
        <f ca="1">IFERROR(__xludf.DUMMYFUNCTION("GOOGLETRANSLATE(B43879,""en"",""pt"")"),"Lago redondo")</f>
        <v>Lago redondo</v>
      </c>
      <c r="B11560" s="17" t="s">
        <v>29852</v>
      </c>
      <c r="C11560" s="17" t="s">
        <v>27788</v>
      </c>
      <c r="D11560" s="17" t="s">
        <v>27799</v>
      </c>
      <c r="E11560" s="10">
        <v>4908236</v>
      </c>
      <c r="F11560" s="4" t="str">
        <f>IF(B11560=B11559,"",B11560)</f>
        <v/>
      </c>
    </row>
    <row r="11561" spans="1:6" ht="15.75" customHeight="1">
      <c r="A11561" s="6" t="s">
        <v>439</v>
      </c>
      <c r="B11561" s="6" t="s">
        <v>439</v>
      </c>
      <c r="C11561" s="6" t="s">
        <v>153</v>
      </c>
      <c r="D11561" s="6" t="s">
        <v>323</v>
      </c>
      <c r="E11561" s="2">
        <v>2482886</v>
      </c>
      <c r="F11561" s="4" t="str">
        <f>IF(B11561=B11560,"",B11561)</f>
        <v>Rouissat</v>
      </c>
    </row>
    <row r="11562" spans="1:6" ht="15.75" customHeight="1">
      <c r="A11562" s="5" t="str">
        <f ca="1">IFERROR(__xludf.DUMMYFUNCTION("GOOGLETRANSLATE(B28552,""en"",""pt"")"),"Rouissat")</f>
        <v>Rouissat</v>
      </c>
      <c r="B11562" s="17" t="s">
        <v>439</v>
      </c>
      <c r="C11562" s="17" t="s">
        <v>153</v>
      </c>
      <c r="D11562" s="17" t="s">
        <v>323</v>
      </c>
      <c r="E11562" s="10">
        <v>2482886</v>
      </c>
      <c r="F11562" s="4" t="str">
        <f>IF(B11562=B11561,"",B11562)</f>
        <v/>
      </c>
    </row>
    <row r="11563" spans="1:6" ht="15.75" customHeight="1">
      <c r="A11563" s="6" t="s">
        <v>438</v>
      </c>
      <c r="B11563" s="6" t="s">
        <v>438</v>
      </c>
      <c r="C11563" s="6" t="s">
        <v>153</v>
      </c>
      <c r="D11563" s="6" t="s">
        <v>207</v>
      </c>
      <c r="E11563" s="2">
        <v>2482908</v>
      </c>
      <c r="F11563" s="4" t="str">
        <f>IF(B11563=B11562,"",B11563)</f>
        <v>Rouiba</v>
      </c>
    </row>
    <row r="11564" spans="1:6" ht="15.75" customHeight="1">
      <c r="A11564" s="5" t="str">
        <f ca="1">IFERROR(__xludf.DUMMYFUNCTION("GOOGLETRANSLATE(B28553,""en"",""pt"")"),"Rouiba")</f>
        <v>Rouiba</v>
      </c>
      <c r="B11564" s="17" t="s">
        <v>438</v>
      </c>
      <c r="C11564" s="17" t="s">
        <v>153</v>
      </c>
      <c r="D11564" s="17" t="s">
        <v>207</v>
      </c>
      <c r="E11564" s="10">
        <v>2482908</v>
      </c>
      <c r="F11564" s="4" t="str">
        <f>IF(B11564=B11563,"",B11564)</f>
        <v/>
      </c>
    </row>
    <row r="11565" spans="1:6" ht="15.75" customHeight="1">
      <c r="A11565" s="6" t="s">
        <v>7718</v>
      </c>
      <c r="B11565" s="6" t="s">
        <v>7718</v>
      </c>
      <c r="C11565" s="6" t="s">
        <v>7052</v>
      </c>
      <c r="D11565" s="6" t="s">
        <v>7068</v>
      </c>
      <c r="E11565" s="2">
        <v>2982652</v>
      </c>
      <c r="F11565" s="4" t="str">
        <f>IF(B11565=B11564,"",B11565)</f>
        <v>Rouen</v>
      </c>
    </row>
    <row r="11566" spans="1:6" ht="15.75" customHeight="1">
      <c r="A11566" s="5" t="str">
        <f ca="1">IFERROR(__xludf.DUMMYFUNCTION("GOOGLETRANSLATE(B29821,""en"",""pt"")"),"Rouen")</f>
        <v>Rouen</v>
      </c>
      <c r="B11566" s="17" t="s">
        <v>7718</v>
      </c>
      <c r="C11566" s="17" t="s">
        <v>7052</v>
      </c>
      <c r="D11566" s="17" t="s">
        <v>7068</v>
      </c>
      <c r="E11566" s="10">
        <v>2982652</v>
      </c>
      <c r="F11566" s="4" t="str">
        <f>IF(B11566=B11565,"",B11566)</f>
        <v/>
      </c>
    </row>
    <row r="11567" spans="1:6" ht="15.75" customHeight="1">
      <c r="A11567" s="6" t="s">
        <v>7716</v>
      </c>
      <c r="B11567" s="6" t="s">
        <v>7717</v>
      </c>
      <c r="C11567" s="6" t="s">
        <v>7052</v>
      </c>
      <c r="D11567" s="6" t="s">
        <v>7078</v>
      </c>
      <c r="E11567" s="2">
        <v>2982681</v>
      </c>
      <c r="F11567" s="4" t="str">
        <f>IF(B11567=B11566,"",B11567)</f>
        <v>Roubaix</v>
      </c>
    </row>
    <row r="11568" spans="1:6" ht="15.75" customHeight="1">
      <c r="A11568" s="5" t="str">
        <f ca="1">IFERROR(__xludf.DUMMYFUNCTION("GOOGLETRANSLATE(B29822,""en"",""pt"")"),"ROUBAIX")</f>
        <v>ROUBAIX</v>
      </c>
      <c r="B11568" s="17" t="s">
        <v>7717</v>
      </c>
      <c r="C11568" s="17" t="s">
        <v>7052</v>
      </c>
      <c r="D11568" s="17" t="s">
        <v>7078</v>
      </c>
      <c r="E11568" s="10">
        <v>2982681</v>
      </c>
      <c r="F11568" s="4" t="str">
        <f>IF(B11568=B11567,"",B11568)</f>
        <v/>
      </c>
    </row>
    <row r="11569" spans="1:6" ht="15.75" customHeight="1">
      <c r="A11569" s="5" t="s">
        <v>437</v>
      </c>
      <c r="B11569" s="6" t="s">
        <v>437</v>
      </c>
      <c r="C11569" s="5" t="s">
        <v>153</v>
      </c>
      <c r="D11569" s="5" t="s">
        <v>306</v>
      </c>
      <c r="E11569" s="2">
        <v>2482939</v>
      </c>
      <c r="F11569" s="4" t="str">
        <f>IF(B11569=B11568,"",B11569)</f>
        <v>Rouached</v>
      </c>
    </row>
    <row r="11570" spans="1:6" ht="15.75" customHeight="1">
      <c r="A11570" s="5" t="str">
        <f ca="1">IFERROR(__xludf.DUMMYFUNCTION("GOOGLETRANSLATE(B28554,""en"",""pt"")"),"Rouached")</f>
        <v>Rouached</v>
      </c>
      <c r="B11570" s="17" t="s">
        <v>437</v>
      </c>
      <c r="C11570" s="17" t="s">
        <v>153</v>
      </c>
      <c r="D11570" s="17" t="s">
        <v>306</v>
      </c>
      <c r="E11570" s="10">
        <v>2482939</v>
      </c>
      <c r="F11570" s="4" t="str">
        <f>IF(B11570=B11569,"",B11570)</f>
        <v/>
      </c>
    </row>
    <row r="11571" spans="1:6" ht="15.75" customHeight="1">
      <c r="A11571" s="6" t="s">
        <v>9063</v>
      </c>
      <c r="B11571" s="6" t="s">
        <v>9063</v>
      </c>
      <c r="C11571" s="6" t="s">
        <v>8028</v>
      </c>
      <c r="D11571" s="6" t="s">
        <v>8031</v>
      </c>
      <c r="E11571" s="2">
        <v>2843636</v>
      </c>
      <c r="F11571" s="4" t="str">
        <f>IF(B11571=B11570,"",B11571)</f>
        <v>Rottweil</v>
      </c>
    </row>
    <row r="11572" spans="1:6" ht="15.75" customHeight="1">
      <c r="A11572" s="5" t="str">
        <f ca="1">IFERROR(__xludf.DUMMYFUNCTION("GOOGLETRANSLATE(B27589,""en"",""pt"")"),"Rottweil")</f>
        <v>Rottweil</v>
      </c>
      <c r="B11572" s="17" t="s">
        <v>9063</v>
      </c>
      <c r="C11572" s="17" t="s">
        <v>8028</v>
      </c>
      <c r="D11572" s="17" t="s">
        <v>32013</v>
      </c>
      <c r="E11572" s="10">
        <v>2843636</v>
      </c>
      <c r="F11572" s="4" t="str">
        <f>IF(B11572=B11571,"",B11572)</f>
        <v/>
      </c>
    </row>
    <row r="11573" spans="1:6" ht="15.75" customHeight="1">
      <c r="A11573" s="5" t="s">
        <v>27646</v>
      </c>
      <c r="B11573" s="6" t="s">
        <v>27647</v>
      </c>
      <c r="C11573" s="5" t="s">
        <v>27234</v>
      </c>
      <c r="D11573" s="5" t="s">
        <v>27241</v>
      </c>
      <c r="E11573" s="2">
        <v>2639069</v>
      </c>
      <c r="F11573" s="4" t="str">
        <f>IF(B11573=B11572,"",B11573)</f>
        <v>Rottingdean</v>
      </c>
    </row>
    <row r="11574" spans="1:6" ht="15.75" customHeight="1">
      <c r="A11574" s="5" t="str">
        <f ca="1">IFERROR(__xludf.DUMMYFUNCTION("GOOGLETRANSLATE(B30437,""en"",""pt"")"),"RottingDean")</f>
        <v>RottingDean</v>
      </c>
      <c r="B11574" s="17" t="s">
        <v>27647</v>
      </c>
      <c r="C11574" s="17" t="s">
        <v>27234</v>
      </c>
      <c r="D11574" s="17" t="s">
        <v>27241</v>
      </c>
      <c r="E11574" s="10">
        <v>2639069</v>
      </c>
      <c r="F11574" s="4" t="str">
        <f>IF(B11574=B11573,"",B11574)</f>
        <v/>
      </c>
    </row>
    <row r="11575" spans="1:6" ht="15.75" customHeight="1">
      <c r="A11575" s="6" t="s">
        <v>19077</v>
      </c>
      <c r="B11575" s="6" t="s">
        <v>19078</v>
      </c>
      <c r="C11575" s="6" t="s">
        <v>18862</v>
      </c>
      <c r="D11575" s="6" t="s">
        <v>18868</v>
      </c>
      <c r="E11575" s="2">
        <v>2747891</v>
      </c>
      <c r="F11575" s="4" t="str">
        <f>IF(B11575=B11574,"",B11575)</f>
        <v>Rotterdam</v>
      </c>
    </row>
    <row r="11576" spans="1:6" ht="15.75" customHeight="1">
      <c r="A11576" s="6" t="s">
        <v>19077</v>
      </c>
      <c r="B11576" s="6" t="s">
        <v>19078</v>
      </c>
      <c r="C11576" s="6" t="s">
        <v>27788</v>
      </c>
      <c r="D11576" s="6" t="s">
        <v>27819</v>
      </c>
      <c r="E11576" s="2">
        <v>5134453</v>
      </c>
      <c r="F11576" s="4" t="str">
        <f>IF(B11576=B11575,"",B11576)</f>
        <v/>
      </c>
    </row>
    <row r="11577" spans="1:6" ht="15.75" customHeight="1">
      <c r="A11577" s="5" t="str">
        <f ca="1">IFERROR(__xludf.DUMMYFUNCTION("GOOGLETRANSLATE(B37964,""en"",""pt"")"),"Roterdã")</f>
        <v>Roterdã</v>
      </c>
      <c r="B11577" s="17" t="s">
        <v>19078</v>
      </c>
      <c r="C11577" s="17" t="s">
        <v>18862</v>
      </c>
      <c r="D11577" s="17" t="s">
        <v>18868</v>
      </c>
      <c r="E11577" s="10">
        <v>2747891</v>
      </c>
      <c r="F11577" s="4" t="str">
        <f>IF(B11577=B11576,"",B11577)</f>
        <v/>
      </c>
    </row>
    <row r="11578" spans="1:6" ht="15.75" customHeight="1">
      <c r="A11578" s="5" t="str">
        <f ca="1">IFERROR(__xludf.DUMMYFUNCTION("GOOGLETRANSLATE(B44444,""en"",""pt"")"),"Roterdã")</f>
        <v>Roterdã</v>
      </c>
      <c r="B11578" s="17" t="s">
        <v>19078</v>
      </c>
      <c r="C11578" s="17" t="s">
        <v>27788</v>
      </c>
      <c r="D11578" s="17" t="s">
        <v>27819</v>
      </c>
      <c r="E11578" s="10">
        <v>5134453</v>
      </c>
      <c r="F11578" s="4" t="str">
        <f>IF(B11578=B11577,"",B11578)</f>
        <v/>
      </c>
    </row>
    <row r="11579" spans="1:6" ht="15.75" customHeight="1">
      <c r="A11579" s="5" t="s">
        <v>9062</v>
      </c>
      <c r="B11579" s="6" t="s">
        <v>9062</v>
      </c>
      <c r="C11579" s="5" t="s">
        <v>8028</v>
      </c>
      <c r="D11579" s="5" t="s">
        <v>8031</v>
      </c>
      <c r="E11579" s="2">
        <v>2843729</v>
      </c>
      <c r="F11579" s="4" t="str">
        <f>IF(B11579=B11578,"",B11579)</f>
        <v>Rottenburg</v>
      </c>
    </row>
    <row r="11580" spans="1:6" ht="15.75" customHeight="1">
      <c r="A11580" s="5" t="str">
        <f ca="1">IFERROR(__xludf.DUMMYFUNCTION("GOOGLETRANSLATE(B27590,""en"",""pt"")"),"Rottenburg")</f>
        <v>Rottenburg</v>
      </c>
      <c r="B11580" s="17" t="s">
        <v>9062</v>
      </c>
      <c r="C11580" s="17" t="s">
        <v>8028</v>
      </c>
      <c r="D11580" s="17" t="s">
        <v>32013</v>
      </c>
      <c r="E11580" s="10">
        <v>2843729</v>
      </c>
      <c r="F11580" s="4" t="str">
        <f>IF(B11580=B11579,"",B11580)</f>
        <v/>
      </c>
    </row>
    <row r="11581" spans="1:6" ht="15.75" customHeight="1">
      <c r="A11581" s="6" t="s">
        <v>1676</v>
      </c>
      <c r="B11581" s="6" t="s">
        <v>1676</v>
      </c>
      <c r="C11581" s="6" t="s">
        <v>1512</v>
      </c>
      <c r="D11581" s="6" t="s">
        <v>1513</v>
      </c>
      <c r="E11581" s="2">
        <v>2787662</v>
      </c>
      <c r="F11581" s="4" t="str">
        <f>IF(B11581=B11580,"",B11581)</f>
        <v>Rotselaar</v>
      </c>
    </row>
    <row r="11582" spans="1:6" ht="15.75" customHeight="1">
      <c r="A11582" s="5" t="str">
        <f ca="1">IFERROR(__xludf.DUMMYFUNCTION("GOOGLETRANSLATE(B23839,""en"",""pt"")"),"Rotselaar")</f>
        <v>Rotselaar</v>
      </c>
      <c r="B11582" s="17" t="s">
        <v>1676</v>
      </c>
      <c r="C11582" s="17" t="s">
        <v>1512</v>
      </c>
      <c r="D11582" s="17" t="s">
        <v>1513</v>
      </c>
      <c r="E11582" s="10">
        <v>2787662</v>
      </c>
      <c r="F11582" s="4" t="str">
        <f>IF(B11582=B11581,"",B11582)</f>
        <v/>
      </c>
    </row>
    <row r="11583" spans="1:6" ht="15.75" customHeight="1">
      <c r="A11583" s="6" t="s">
        <v>19203</v>
      </c>
      <c r="B11583" s="6" t="s">
        <v>19203</v>
      </c>
      <c r="C11583" s="6" t="s">
        <v>19169</v>
      </c>
      <c r="D11583" s="6" t="s">
        <v>19204</v>
      </c>
      <c r="E11583" s="2">
        <v>6241325</v>
      </c>
      <c r="F11583" s="4" t="str">
        <f>IF(B11583=B11582,"",B11583)</f>
        <v>Rotorua</v>
      </c>
    </row>
    <row r="11584" spans="1:6" ht="15.75" customHeight="1">
      <c r="A11584" s="5" t="str">
        <f ca="1">IFERROR(__xludf.DUMMYFUNCTION("GOOGLETRANSLATE(B38247,""en"",""pt"")"),"Rotorua")</f>
        <v>Rotorua</v>
      </c>
      <c r="B11584" s="17" t="s">
        <v>19203</v>
      </c>
      <c r="C11584" s="17" t="s">
        <v>19169</v>
      </c>
      <c r="D11584" s="17" t="s">
        <v>19204</v>
      </c>
      <c r="E11584" s="10">
        <v>6241325</v>
      </c>
      <c r="F11584" s="4" t="str">
        <f>IF(B11584=B11583,"",B11584)</f>
        <v/>
      </c>
    </row>
    <row r="11585" spans="1:6" ht="15.75" customHeight="1">
      <c r="A11585" s="5" t="s">
        <v>27645</v>
      </c>
      <c r="B11585" s="6" t="s">
        <v>27645</v>
      </c>
      <c r="C11585" s="5" t="s">
        <v>27234</v>
      </c>
      <c r="D11585" s="5" t="s">
        <v>27241</v>
      </c>
      <c r="E11585" s="2">
        <v>2639093</v>
      </c>
      <c r="F11585" s="4" t="str">
        <f>IF(B11585=B11584,"",B11585)</f>
        <v>Rotherham</v>
      </c>
    </row>
    <row r="11586" spans="1:6" ht="15.75" customHeight="1">
      <c r="A11586" s="5" t="str">
        <f ca="1">IFERROR(__xludf.DUMMYFUNCTION("GOOGLETRANSLATE(B30438,""en"",""pt"")"),"Rotherham")</f>
        <v>Rotherham</v>
      </c>
      <c r="B11586" s="17" t="s">
        <v>27645</v>
      </c>
      <c r="C11586" s="17" t="s">
        <v>27234</v>
      </c>
      <c r="D11586" s="17" t="s">
        <v>27241</v>
      </c>
      <c r="E11586" s="10">
        <v>2639093</v>
      </c>
      <c r="F11586" s="4" t="str">
        <f>IF(B11586=B11585,"",B11586)</f>
        <v/>
      </c>
    </row>
    <row r="11587" spans="1:6" ht="15.75" customHeight="1">
      <c r="A11587" s="6" t="s">
        <v>9061</v>
      </c>
      <c r="B11587" s="6" t="s">
        <v>9061</v>
      </c>
      <c r="C11587" s="6" t="s">
        <v>8028</v>
      </c>
      <c r="D11587" s="6" t="s">
        <v>8044</v>
      </c>
      <c r="E11587" s="2">
        <v>2844265</v>
      </c>
      <c r="F11587" s="4" t="str">
        <f>IF(B11587=B11586,"",B11587)</f>
        <v>Roth</v>
      </c>
    </row>
    <row r="11588" spans="1:6" ht="15.75" customHeight="1">
      <c r="A11588" s="5" t="str">
        <f ca="1">IFERROR(__xludf.DUMMYFUNCTION("GOOGLETRANSLATE(B27591,""en"",""pt"")"),"Roth")</f>
        <v>Roth</v>
      </c>
      <c r="B11588" s="17" t="s">
        <v>9061</v>
      </c>
      <c r="C11588" s="17" t="s">
        <v>8028</v>
      </c>
      <c r="D11588" s="17" t="s">
        <v>8044</v>
      </c>
      <c r="E11588" s="10">
        <v>2844265</v>
      </c>
      <c r="F11588" s="4" t="str">
        <f>IF(B11588=B11587,"",B11588)</f>
        <v/>
      </c>
    </row>
    <row r="11589" spans="1:6" ht="15.75" customHeight="1">
      <c r="A11589" s="5" t="s">
        <v>9060</v>
      </c>
      <c r="B11589" s="6" t="s">
        <v>9060</v>
      </c>
      <c r="C11589" s="5" t="s">
        <v>8028</v>
      </c>
      <c r="D11589" s="5" t="s">
        <v>8034</v>
      </c>
      <c r="E11589" s="2">
        <v>2844437</v>
      </c>
      <c r="F11589" s="4" t="str">
        <f>IF(B11589=B11588,"",B11589)</f>
        <v>Rotenburg</v>
      </c>
    </row>
    <row r="11590" spans="1:6" ht="15.75" customHeight="1">
      <c r="A11590" s="5" t="str">
        <f ca="1">IFERROR(__xludf.DUMMYFUNCTION("GOOGLETRANSLATE(B27592,""en"",""pt"")"),"Rotenburg")</f>
        <v>Rotenburg</v>
      </c>
      <c r="B11590" s="17" t="s">
        <v>9060</v>
      </c>
      <c r="C11590" s="17" t="s">
        <v>8028</v>
      </c>
      <c r="D11590" s="17" t="s">
        <v>8034</v>
      </c>
      <c r="E11590" s="10">
        <v>2844437</v>
      </c>
      <c r="F11590" s="4" t="str">
        <f>IF(B11590=B11589,"",B11590)</f>
        <v/>
      </c>
    </row>
    <row r="11591" spans="1:6" ht="15.75" customHeight="1">
      <c r="A11591" s="6" t="s">
        <v>24742</v>
      </c>
      <c r="B11591" s="6" t="s">
        <v>24742</v>
      </c>
      <c r="C11591" s="6" t="s">
        <v>24200</v>
      </c>
      <c r="D11591" s="6" t="s">
        <v>24205</v>
      </c>
      <c r="E11591" s="2">
        <v>2511700</v>
      </c>
      <c r="F11591" s="4" t="str">
        <f>IF(B11591=B11590,"",B11591)</f>
        <v>Rota</v>
      </c>
    </row>
    <row r="11592" spans="1:6" ht="15.75" customHeight="1">
      <c r="A11592" s="5" t="str">
        <f ca="1">IFERROR(__xludf.DUMMYFUNCTION("GOOGLETRANSLATE(B29008,""en"",""pt"")"),"Rota")</f>
        <v>Rota</v>
      </c>
      <c r="B11592" s="17" t="s">
        <v>24742</v>
      </c>
      <c r="C11592" s="17" t="s">
        <v>24200</v>
      </c>
      <c r="D11592" s="17" t="s">
        <v>24205</v>
      </c>
      <c r="E11592" s="10">
        <v>2511700</v>
      </c>
      <c r="F11592" s="4" t="str">
        <f>IF(B11592=B11591,"",B11592)</f>
        <v/>
      </c>
    </row>
    <row r="11593" spans="1:6" ht="15.75" customHeight="1">
      <c r="A11593" s="6" t="s">
        <v>29850</v>
      </c>
      <c r="B11593" s="6" t="s">
        <v>29850</v>
      </c>
      <c r="C11593" s="6" t="s">
        <v>27788</v>
      </c>
      <c r="D11593" s="6" t="s">
        <v>7988</v>
      </c>
      <c r="E11593" s="2">
        <v>4219934</v>
      </c>
      <c r="F11593" s="4" t="str">
        <f>IF(B11593=B11592,"",B11593)</f>
        <v>Roswell</v>
      </c>
    </row>
    <row r="11594" spans="1:6" ht="15.75" customHeight="1">
      <c r="A11594" s="6" t="s">
        <v>29850</v>
      </c>
      <c r="B11594" s="6" t="s">
        <v>29850</v>
      </c>
      <c r="C11594" s="6" t="s">
        <v>27788</v>
      </c>
      <c r="D11594" s="6" t="s">
        <v>27818</v>
      </c>
      <c r="E11594" s="2">
        <v>5488441</v>
      </c>
      <c r="F11594" s="4" t="str">
        <f>IF(B11594=B11593,"",B11594)</f>
        <v/>
      </c>
    </row>
    <row r="11595" spans="1:6" ht="15.75" customHeight="1">
      <c r="A11595" s="5" t="str">
        <f ca="1">IFERROR(__xludf.DUMMYFUNCTION("GOOGLETRANSLATE(B43105,""en"",""pt"")"),"Roswell")</f>
        <v>Roswell</v>
      </c>
      <c r="B11595" s="17" t="s">
        <v>29850</v>
      </c>
      <c r="C11595" s="17" t="s">
        <v>27788</v>
      </c>
      <c r="D11595" s="17" t="s">
        <v>7988</v>
      </c>
      <c r="E11595" s="10">
        <v>4219934</v>
      </c>
      <c r="F11595" s="4" t="str">
        <f>IF(B11595=B11594,"",B11595)</f>
        <v/>
      </c>
    </row>
    <row r="11596" spans="1:6" ht="15.75" customHeight="1">
      <c r="A11596" s="5" t="str">
        <f ca="1">IFERROR(__xludf.DUMMYFUNCTION("GOOGLETRANSLATE(B45135,""en"",""pt"")"),"Roswell")</f>
        <v>Roswell</v>
      </c>
      <c r="B11596" s="17" t="s">
        <v>29850</v>
      </c>
      <c r="C11596" s="17" t="s">
        <v>27788</v>
      </c>
      <c r="D11596" s="17" t="s">
        <v>27818</v>
      </c>
      <c r="E11596" s="10">
        <v>5488441</v>
      </c>
      <c r="F11596" s="4" t="str">
        <f>IF(B11596=B11595,"",B11596)</f>
        <v/>
      </c>
    </row>
    <row r="11597" spans="1:6" ht="15.75" customHeight="1">
      <c r="A11597" s="5" t="s">
        <v>23003</v>
      </c>
      <c r="B11597" s="6" t="s">
        <v>23004</v>
      </c>
      <c r="C11597" s="5" t="s">
        <v>22070</v>
      </c>
      <c r="D11597" s="5" t="s">
        <v>22099</v>
      </c>
      <c r="E11597" s="2">
        <v>501175</v>
      </c>
      <c r="F11597" s="4" t="str">
        <f>IF(B11597=B11596,"",B11597)</f>
        <v>Rostov-na-Donu</v>
      </c>
    </row>
    <row r="11598" spans="1:6" ht="15.75" customHeight="1">
      <c r="A11598" s="5" t="str">
        <f ca="1">IFERROR(__xludf.DUMMYFUNCTION("GOOGLETRANSLATE(B40153,""en"",""pt"")"),"Rostov-na-donu")</f>
        <v>Rostov-na-donu</v>
      </c>
      <c r="B11598" s="17" t="s">
        <v>23004</v>
      </c>
      <c r="C11598" s="17" t="s">
        <v>22070</v>
      </c>
      <c r="D11598" s="17" t="s">
        <v>22099</v>
      </c>
      <c r="E11598" s="10">
        <v>501175</v>
      </c>
      <c r="F11598" s="4" t="str">
        <f>IF(B11598=B11597,"",B11598)</f>
        <v/>
      </c>
    </row>
    <row r="11599" spans="1:6" ht="15.75" customHeight="1">
      <c r="A11599" s="6" t="s">
        <v>22099</v>
      </c>
      <c r="B11599" s="6" t="s">
        <v>22099</v>
      </c>
      <c r="C11599" s="6" t="s">
        <v>22070</v>
      </c>
      <c r="D11599" s="6" t="s">
        <v>22326</v>
      </c>
      <c r="E11599" s="2">
        <v>501183</v>
      </c>
      <c r="F11599" s="4" t="str">
        <f>IF(B11599=B11598,"",B11599)</f>
        <v>Rostov</v>
      </c>
    </row>
    <row r="11600" spans="1:6" ht="15.75" customHeight="1">
      <c r="A11600" s="5" t="str">
        <f ca="1">IFERROR(__xludf.DUMMYFUNCTION("GOOGLETRANSLATE(B40154,""en"",""pt"")"),"Rostov")</f>
        <v>Rostov</v>
      </c>
      <c r="B11600" s="17" t="s">
        <v>22099</v>
      </c>
      <c r="C11600" s="17" t="s">
        <v>22070</v>
      </c>
      <c r="D11600" s="17" t="s">
        <v>22326</v>
      </c>
      <c r="E11600" s="10">
        <v>501183</v>
      </c>
      <c r="F11600" s="4" t="str">
        <f>IF(B11600=B11599,"",B11600)</f>
        <v/>
      </c>
    </row>
    <row r="11601" spans="1:6" ht="15.75" customHeight="1">
      <c r="A11601" s="5" t="s">
        <v>23002</v>
      </c>
      <c r="B11601" s="6" t="s">
        <v>23002</v>
      </c>
      <c r="C11601" s="5" t="s">
        <v>22070</v>
      </c>
      <c r="D11601" s="5" t="s">
        <v>22127</v>
      </c>
      <c r="E11601" s="2">
        <v>501187</v>
      </c>
      <c r="F11601" s="4" t="str">
        <f>IF(B11601=B11600,"",B11601)</f>
        <v>Rostokino</v>
      </c>
    </row>
    <row r="11602" spans="1:6" ht="15.75" customHeight="1">
      <c r="A11602" s="5" t="str">
        <f ca="1">IFERROR(__xludf.DUMMYFUNCTION("GOOGLETRANSLATE(B40155,""en"",""pt"")"),"Rostokino")</f>
        <v>Rostokino</v>
      </c>
      <c r="B11602" s="17" t="s">
        <v>23002</v>
      </c>
      <c r="C11602" s="17" t="s">
        <v>22070</v>
      </c>
      <c r="D11602" s="17" t="s">
        <v>22127</v>
      </c>
      <c r="E11602" s="10">
        <v>501187</v>
      </c>
      <c r="F11602" s="4" t="str">
        <f>IF(B11602=B11601,"",B11602)</f>
        <v/>
      </c>
    </row>
    <row r="11603" spans="1:6" ht="15.75" customHeight="1">
      <c r="A11603" s="6" t="s">
        <v>9059</v>
      </c>
      <c r="B11603" s="6" t="s">
        <v>9059</v>
      </c>
      <c r="C11603" s="6" t="s">
        <v>8028</v>
      </c>
      <c r="D11603" s="6" t="s">
        <v>8436</v>
      </c>
      <c r="E11603" s="2">
        <v>2844588</v>
      </c>
      <c r="F11603" s="4" t="str">
        <f>IF(B11603=B11602,"",B11603)</f>
        <v>Rostock</v>
      </c>
    </row>
    <row r="11604" spans="1:6" ht="15.75" customHeight="1">
      <c r="A11604" s="5" t="str">
        <f ca="1">IFERROR(__xludf.DUMMYFUNCTION("GOOGLETRANSLATE(B27593,""en"",""pt"")"),"Rostock")</f>
        <v>Rostock</v>
      </c>
      <c r="B11604" s="17" t="s">
        <v>9059</v>
      </c>
      <c r="C11604" s="17" t="s">
        <v>8028</v>
      </c>
      <c r="D11604" s="17" t="s">
        <v>8436</v>
      </c>
      <c r="E11604" s="10">
        <v>2844588</v>
      </c>
      <c r="F11604" s="4" t="str">
        <f>IF(B11604=B11603,"",B11604)</f>
        <v/>
      </c>
    </row>
    <row r="11605" spans="1:6" ht="15.75" customHeight="1">
      <c r="A11605" s="6" t="s">
        <v>29849</v>
      </c>
      <c r="B11605" s="6" t="s">
        <v>29849</v>
      </c>
      <c r="C11605" s="6" t="s">
        <v>27788</v>
      </c>
      <c r="D11605" s="6" t="s">
        <v>17061</v>
      </c>
      <c r="E11605" s="2">
        <v>4367419</v>
      </c>
      <c r="F11605" s="4" t="str">
        <f>IF(B11605=B11604,"",B11605)</f>
        <v>Rossville</v>
      </c>
    </row>
    <row r="11606" spans="1:6" ht="15.75" customHeight="1">
      <c r="A11606" s="5" t="str">
        <f ca="1">IFERROR(__xludf.DUMMYFUNCTION("GOOGLETRANSLATE(B43328,""en"",""pt"")"),"Rossville")</f>
        <v>Rossville</v>
      </c>
      <c r="B11606" s="17" t="s">
        <v>29849</v>
      </c>
      <c r="C11606" s="17" t="s">
        <v>27788</v>
      </c>
      <c r="D11606" s="17" t="s">
        <v>17061</v>
      </c>
      <c r="E11606" s="10">
        <v>4367419</v>
      </c>
      <c r="F11606" s="4" t="str">
        <f>IF(B11606=B11605,"",B11606)</f>
        <v/>
      </c>
    </row>
    <row r="11607" spans="1:6" ht="15.75" customHeight="1">
      <c r="A11607" s="6" t="s">
        <v>23000</v>
      </c>
      <c r="B11607" s="6" t="s">
        <v>23001</v>
      </c>
      <c r="C11607" s="6" t="s">
        <v>22070</v>
      </c>
      <c r="D11607" s="6" t="s">
        <v>22137</v>
      </c>
      <c r="E11607" s="2">
        <v>501215</v>
      </c>
      <c r="F11607" s="4" t="str">
        <f>IF(B11607=B11606,"",B11607)</f>
        <v>Rossoshâ€™</v>
      </c>
    </row>
    <row r="11608" spans="1:6" ht="15.75" customHeight="1">
      <c r="A11608" s="6" t="s">
        <v>23000</v>
      </c>
      <c r="B11608" s="6" t="s">
        <v>23001</v>
      </c>
      <c r="C11608" s="6" t="s">
        <v>22070</v>
      </c>
      <c r="D11608" s="6" t="s">
        <v>22137</v>
      </c>
      <c r="E11608" s="2">
        <v>501231</v>
      </c>
      <c r="F11608" s="4" t="str">
        <f>IF(B11608=B11607,"",B11608)</f>
        <v/>
      </c>
    </row>
    <row r="11609" spans="1:6" ht="15.75" customHeight="1">
      <c r="A11609" s="5" t="str">
        <f ca="1">IFERROR(__xludf.DUMMYFUNCTION("GOOGLETRANSLATE(B40156,""en"",""pt"")"),"ROSSOSH '")</f>
        <v>ROSSOSH '</v>
      </c>
      <c r="B11609" s="17" t="s">
        <v>35465</v>
      </c>
      <c r="C11609" s="17" t="s">
        <v>22070</v>
      </c>
      <c r="D11609" s="17" t="s">
        <v>22137</v>
      </c>
      <c r="E11609" s="10">
        <v>501215</v>
      </c>
      <c r="F11609" s="4" t="str">
        <f>IF(B11609=B11608,"",B11609)</f>
        <v>Rossosh’</v>
      </c>
    </row>
    <row r="11610" spans="1:6" ht="15.75" customHeight="1">
      <c r="A11610" s="5" t="str">
        <f ca="1">IFERROR(__xludf.DUMMYFUNCTION("GOOGLETRANSLATE(B40157,""en"",""pt"")"),"ROSSOSH '")</f>
        <v>ROSSOSH '</v>
      </c>
      <c r="B11610" s="17" t="s">
        <v>35465</v>
      </c>
      <c r="C11610" s="17" t="s">
        <v>22070</v>
      </c>
      <c r="D11610" s="17" t="s">
        <v>22137</v>
      </c>
      <c r="E11610" s="10">
        <v>501231</v>
      </c>
      <c r="F11610" s="4" t="str">
        <f>IF(B11610=B11609,"",B11610)</f>
        <v/>
      </c>
    </row>
    <row r="11611" spans="1:6" ht="15.75" customHeight="1">
      <c r="A11611" s="6" t="s">
        <v>17666</v>
      </c>
      <c r="B11611" s="6" t="s">
        <v>17666</v>
      </c>
      <c r="C11611" s="6" t="s">
        <v>17650</v>
      </c>
      <c r="D11611" s="6" t="s">
        <v>17667</v>
      </c>
      <c r="E11611" s="2">
        <v>2376898</v>
      </c>
      <c r="F11611" s="4" t="str">
        <f>IF(B11611=B11610,"",B11611)</f>
        <v>Rosso</v>
      </c>
    </row>
    <row r="11612" spans="1:6" ht="15.75" customHeight="1">
      <c r="A11612" s="5" t="str">
        <f ca="1">IFERROR(__xludf.DUMMYFUNCTION("GOOGLETRANSLATE(B36797,""en"",""pt"")"),"Rosso")</f>
        <v>Rosso</v>
      </c>
      <c r="B11612" s="17" t="s">
        <v>17666</v>
      </c>
      <c r="C11612" s="17" t="s">
        <v>17650</v>
      </c>
      <c r="D11612" s="17" t="s">
        <v>17667</v>
      </c>
      <c r="E11612" s="10">
        <v>2376898</v>
      </c>
      <c r="F11612" s="4" t="str">
        <f>IF(B11612=B11611,"",B11612)</f>
        <v/>
      </c>
    </row>
    <row r="11613" spans="1:6" ht="15.75" customHeight="1">
      <c r="A11613" s="5" t="s">
        <v>27644</v>
      </c>
      <c r="B11613" s="6" t="s">
        <v>27644</v>
      </c>
      <c r="C11613" s="5" t="s">
        <v>27234</v>
      </c>
      <c r="D11613" s="5" t="s">
        <v>27241</v>
      </c>
      <c r="E11613" s="2">
        <v>8299614</v>
      </c>
      <c r="F11613" s="4" t="str">
        <f>IF(B11613=B11612,"",B11613)</f>
        <v>Rossendale</v>
      </c>
    </row>
    <row r="11614" spans="1:6" ht="15.75" customHeight="1">
      <c r="A11614" s="5" t="str">
        <f ca="1">IFERROR(__xludf.DUMMYFUNCTION("GOOGLETRANSLATE(B30817,""en"",""pt"")"),"Rossendale")</f>
        <v>Rossendale</v>
      </c>
      <c r="B11614" s="17" t="s">
        <v>27644</v>
      </c>
      <c r="C11614" s="17" t="s">
        <v>27234</v>
      </c>
      <c r="D11614" s="17" t="s">
        <v>27241</v>
      </c>
      <c r="E11614" s="10">
        <v>8299614</v>
      </c>
      <c r="F11614" s="4" t="str">
        <f>IF(B11614=B11613,"",B11614)</f>
        <v/>
      </c>
    </row>
    <row r="11615" spans="1:6" ht="15.75" customHeight="1">
      <c r="A11615" s="5" t="s">
        <v>15422</v>
      </c>
      <c r="B11615" s="6" t="s">
        <v>15422</v>
      </c>
      <c r="C11615" s="5" t="s">
        <v>14891</v>
      </c>
      <c r="D11615" s="5" t="s">
        <v>14929</v>
      </c>
      <c r="E11615" s="2">
        <v>2523577</v>
      </c>
      <c r="F11615" s="4" t="str">
        <f>IF(B11615=B11614,"",B11615)</f>
        <v>Rossano Stazione</v>
      </c>
    </row>
    <row r="11616" spans="1:6" ht="15.75" customHeight="1">
      <c r="A11616" s="5" t="str">
        <f ca="1">IFERROR(__xludf.DUMMYFUNCTION("GOOGLETRANSLATE(B34555,""en"",""pt"")"),"Rossano Stazione")</f>
        <v>Rossano Stazione</v>
      </c>
      <c r="B11616" s="17" t="s">
        <v>15422</v>
      </c>
      <c r="C11616" s="17" t="s">
        <v>14891</v>
      </c>
      <c r="D11616" s="17" t="s">
        <v>14929</v>
      </c>
      <c r="E11616" s="10">
        <v>2523577</v>
      </c>
      <c r="F11616" s="4" t="str">
        <f>IF(B11616=B11615,"",B11616)</f>
        <v/>
      </c>
    </row>
    <row r="11617" spans="1:6" ht="15.75" customHeight="1">
      <c r="A11617" s="5" t="str">
        <f ca="1">IFERROR(__xludf.DUMMYFUNCTION("GOOGLETRANSLATE(B27594,""en"",""pt"")"),"Rösrath")</f>
        <v>Rösrath</v>
      </c>
      <c r="B11617" s="17" t="s">
        <v>32037</v>
      </c>
      <c r="C11617" s="17" t="s">
        <v>8028</v>
      </c>
      <c r="D11617" s="17" t="s">
        <v>8029</v>
      </c>
      <c r="E11617" s="10">
        <v>2844862</v>
      </c>
      <c r="F11617" s="4" t="str">
        <f>IF(B11617=B11616,"",B11617)</f>
        <v>Rösrath</v>
      </c>
    </row>
    <row r="11618" spans="1:6" ht="15.75" customHeight="1">
      <c r="A11618" s="6" t="s">
        <v>15421</v>
      </c>
      <c r="B11618" s="6" t="s">
        <v>15421</v>
      </c>
      <c r="C11618" s="6" t="s">
        <v>14891</v>
      </c>
      <c r="D11618" s="6" t="s">
        <v>14899</v>
      </c>
      <c r="E11618" s="2">
        <v>2523581</v>
      </c>
      <c r="F11618" s="4" t="str">
        <f>IF(B11618=B11617,"",B11618)</f>
        <v>Rosolini</v>
      </c>
    </row>
    <row r="11619" spans="1:6" ht="15.75" customHeight="1">
      <c r="A11619" s="5" t="str">
        <f ca="1">IFERROR(__xludf.DUMMYFUNCTION("GOOGLETRANSLATE(B34556,""en"",""pt"")"),"Rosolini")</f>
        <v>Rosolini</v>
      </c>
      <c r="B11619" s="17" t="s">
        <v>15421</v>
      </c>
      <c r="C11619" s="17" t="s">
        <v>14891</v>
      </c>
      <c r="D11619" s="17" t="s">
        <v>14899</v>
      </c>
      <c r="E11619" s="10">
        <v>2523581</v>
      </c>
      <c r="F11619" s="4" t="str">
        <f>IF(B11619=B11618,"",B11619)</f>
        <v/>
      </c>
    </row>
    <row r="11620" spans="1:6" ht="15.75" customHeight="1">
      <c r="A11620" s="5" t="s">
        <v>7714</v>
      </c>
      <c r="B11620" s="6" t="s">
        <v>7715</v>
      </c>
      <c r="C11620" s="5" t="s">
        <v>7052</v>
      </c>
      <c r="D11620" s="5" t="s">
        <v>7058</v>
      </c>
      <c r="E11620" s="2">
        <v>2982757</v>
      </c>
      <c r="F11620" s="4" t="str">
        <f>IF(B11620=B11619,"",B11620)</f>
        <v>Rosny-sous-Bois</v>
      </c>
    </row>
    <row r="11621" spans="1:6" ht="15.75" customHeight="1">
      <c r="A11621" s="5" t="str">
        <f ca="1">IFERROR(__xludf.DUMMYFUNCTION("GOOGLETRANSLATE(B29823,""en"",""pt"")"),"Rosny-Sous-bois")</f>
        <v>Rosny-Sous-bois</v>
      </c>
      <c r="B11621" s="17" t="s">
        <v>7715</v>
      </c>
      <c r="C11621" s="17" t="s">
        <v>7052</v>
      </c>
      <c r="D11621" s="17" t="s">
        <v>32531</v>
      </c>
      <c r="E11621" s="10">
        <v>2982757</v>
      </c>
      <c r="F11621" s="4" t="str">
        <f>IF(B11621=B11620,"",B11621)</f>
        <v/>
      </c>
    </row>
    <row r="11622" spans="1:6" ht="15.75" customHeight="1">
      <c r="A11622" s="5" t="s">
        <v>22998</v>
      </c>
      <c r="B11622" s="6" t="s">
        <v>22999</v>
      </c>
      <c r="C11622" s="5" t="s">
        <v>22070</v>
      </c>
      <c r="D11622" s="5" t="s">
        <v>22336</v>
      </c>
      <c r="E11622" s="2">
        <v>501283</v>
      </c>
      <c r="F11622" s="4" t="str">
        <f>IF(B11622=B11621,"",B11622)</f>
        <v>Roslavlâ€™</v>
      </c>
    </row>
    <row r="11623" spans="1:6" ht="15.75" customHeight="1">
      <c r="A11623" s="5" t="str">
        <f ca="1">IFERROR(__xludf.DUMMYFUNCTION("GOOGLETRANSLATE(B40158,""en"",""pt"")"),"Roslavl '")</f>
        <v>Roslavl '</v>
      </c>
      <c r="B11623" s="17" t="s">
        <v>35466</v>
      </c>
      <c r="C11623" s="17" t="s">
        <v>22070</v>
      </c>
      <c r="D11623" s="17" t="s">
        <v>22336</v>
      </c>
      <c r="E11623" s="10">
        <v>501283</v>
      </c>
      <c r="F11623" s="4" t="str">
        <f>IF(B11623=B11622,"",B11623)</f>
        <v>Roslavl’</v>
      </c>
    </row>
    <row r="11624" spans="1:6" ht="15.75" customHeight="1">
      <c r="A11624" s="6" t="s">
        <v>6275</v>
      </c>
      <c r="B11624" s="6" t="s">
        <v>6275</v>
      </c>
      <c r="C11624" s="6" t="s">
        <v>6209</v>
      </c>
      <c r="D11624" s="6" t="s">
        <v>6232</v>
      </c>
      <c r="E11624" s="2">
        <v>2614481</v>
      </c>
      <c r="F11624" s="4" t="str">
        <f>IF(B11624=B11623,"",B11624)</f>
        <v>Roskilde</v>
      </c>
    </row>
    <row r="11625" spans="1:6" ht="15.75" customHeight="1">
      <c r="A11625" s="5" t="str">
        <f ca="1">IFERROR(__xludf.DUMMYFUNCTION("GOOGLETRANSLATE(B28412,""en"",""pt"")"),"Roskilde")</f>
        <v>Roskilde</v>
      </c>
      <c r="B11625" s="17" t="s">
        <v>6275</v>
      </c>
      <c r="C11625" s="17" t="s">
        <v>6209</v>
      </c>
      <c r="D11625" s="17" t="s">
        <v>6232</v>
      </c>
      <c r="E11625" s="10">
        <v>2614481</v>
      </c>
      <c r="F11625" s="4" t="str">
        <f>IF(B11625=B11624,"",B11625)</f>
        <v/>
      </c>
    </row>
    <row r="11626" spans="1:6" ht="15.75" customHeight="1">
      <c r="A11626" s="5" t="str">
        <f ca="1">IFERROR(__xludf.DUMMYFUNCTION("GOOGLETRANSLATE(B39752,""en"",""pt"")"),"Roșiorii de Vede")</f>
        <v>Roșiorii de Vede</v>
      </c>
      <c r="B11626" s="17" t="s">
        <v>35354</v>
      </c>
      <c r="C11626" s="17" t="s">
        <v>21824</v>
      </c>
      <c r="D11626" s="17" t="s">
        <v>21828</v>
      </c>
      <c r="E11626" s="10">
        <v>668605</v>
      </c>
      <c r="F11626" s="4" t="str">
        <f>IF(B11626=B11625,"",B11626)</f>
        <v>Roșiorii de Vede</v>
      </c>
    </row>
    <row r="11627" spans="1:6" ht="15.75" customHeight="1">
      <c r="A11627" s="5" t="s">
        <v>15420</v>
      </c>
      <c r="B11627" s="6" t="s">
        <v>15420</v>
      </c>
      <c r="C11627" s="5" t="s">
        <v>14891</v>
      </c>
      <c r="D11627" s="5" t="s">
        <v>14943</v>
      </c>
      <c r="E11627" s="2">
        <v>3168930</v>
      </c>
      <c r="F11627" s="4" t="str">
        <f>IF(B11627=B11626,"",B11627)</f>
        <v>Rosignano Solvay-Castiglioncello</v>
      </c>
    </row>
    <row r="11628" spans="1:6" ht="15.75" customHeight="1">
      <c r="A11628" s="5" t="str">
        <f ca="1">IFERROR(__xludf.DUMMYFUNCTION("GOOGLETRANSLATE(B34737,""en"",""pt"")"),"Rosignano Solvay-Castiglioncello")</f>
        <v>Rosignano Solvay-Castiglioncello</v>
      </c>
      <c r="B11628" s="17" t="s">
        <v>15420</v>
      </c>
      <c r="C11628" s="17" t="s">
        <v>14891</v>
      </c>
      <c r="D11628" s="17" t="s">
        <v>14943</v>
      </c>
      <c r="E11628" s="10">
        <v>3168930</v>
      </c>
      <c r="F11628" s="4" t="str">
        <f>IF(B11628=B11627,"",B11628)</f>
        <v/>
      </c>
    </row>
    <row r="11629" spans="1:6" ht="15.75" customHeight="1">
      <c r="A11629" s="6" t="s">
        <v>22996</v>
      </c>
      <c r="B11629" s="6" t="s">
        <v>22997</v>
      </c>
      <c r="C11629" s="6" t="s">
        <v>22070</v>
      </c>
      <c r="D11629" s="6" t="s">
        <v>22119</v>
      </c>
      <c r="E11629" s="2">
        <v>501320</v>
      </c>
      <c r="F11629" s="4" t="str">
        <f>IF(B11629=B11628,"",B11629)</f>
        <v>Roshalâ€™</v>
      </c>
    </row>
    <row r="11630" spans="1:6" ht="15.75" customHeight="1">
      <c r="A11630" s="5" t="str">
        <f ca="1">IFERROR(__xludf.DUMMYFUNCTION("GOOGLETRANSLATE(B40159,""en"",""pt"")"),"Roshal '")</f>
        <v>Roshal '</v>
      </c>
      <c r="B11630" s="17" t="s">
        <v>35467</v>
      </c>
      <c r="C11630" s="17" t="s">
        <v>22070</v>
      </c>
      <c r="D11630" s="17" t="s">
        <v>22119</v>
      </c>
      <c r="E11630" s="10">
        <v>501320</v>
      </c>
      <c r="F11630" s="4" t="str">
        <f>IF(B11630=B11629,"",B11630)</f>
        <v>Roshal’</v>
      </c>
    </row>
    <row r="11631" spans="1:6" ht="15.75" customHeight="1">
      <c r="A11631" s="5" t="s">
        <v>14869</v>
      </c>
      <c r="B11631" s="6" t="s">
        <v>14870</v>
      </c>
      <c r="C11631" s="5" t="s">
        <v>14773</v>
      </c>
      <c r="D11631" s="5" t="s">
        <v>14800</v>
      </c>
      <c r="E11631" s="2">
        <v>293690</v>
      </c>
      <c r="F11631" s="4" t="str">
        <f>IF(B11631=B11630,"",B11631)</f>
        <v>Rosh Haâ€˜Ayin</v>
      </c>
    </row>
    <row r="11632" spans="1:6" ht="15.75" customHeight="1">
      <c r="A11632" s="5" t="str">
        <f ca="1">IFERROR(__xludf.DUMMYFUNCTION("GOOGLETRANSLATE(B31769,""en"",""pt"")"),"Rosh Ha‘ayin")</f>
        <v>Rosh Ha‘ayin</v>
      </c>
      <c r="B11632" s="17" t="s">
        <v>32916</v>
      </c>
      <c r="C11632" s="17" t="s">
        <v>14773</v>
      </c>
      <c r="D11632" s="17" t="s">
        <v>14800</v>
      </c>
      <c r="E11632" s="10">
        <v>293690</v>
      </c>
      <c r="F11632" s="4" t="str">
        <f>IF(B11632=B11631,"",B11632)</f>
        <v>Rosh Ha‘Ayin</v>
      </c>
    </row>
    <row r="11633" spans="1:6" ht="15.75" customHeight="1">
      <c r="A11633" s="6" t="s">
        <v>29848</v>
      </c>
      <c r="B11633" s="6" t="s">
        <v>29848</v>
      </c>
      <c r="C11633" s="6" t="s">
        <v>27788</v>
      </c>
      <c r="D11633" s="6" t="s">
        <v>27804</v>
      </c>
      <c r="E11633" s="2">
        <v>5007655</v>
      </c>
      <c r="F11633" s="4" t="str">
        <f>IF(B11633=B11632,"",B11633)</f>
        <v>Roseville</v>
      </c>
    </row>
    <row r="11634" spans="1:6" ht="15.75" customHeight="1">
      <c r="A11634" s="6" t="s">
        <v>29848</v>
      </c>
      <c r="B11634" s="6" t="s">
        <v>29848</v>
      </c>
      <c r="C11634" s="6" t="s">
        <v>27788</v>
      </c>
      <c r="D11634" s="6" t="s">
        <v>27824</v>
      </c>
      <c r="E11634" s="2">
        <v>5043799</v>
      </c>
      <c r="F11634" s="4" t="str">
        <f>IF(B11634=B11633,"",B11634)</f>
        <v/>
      </c>
    </row>
    <row r="11635" spans="1:6" ht="15.75" customHeight="1">
      <c r="A11635" s="6" t="s">
        <v>29848</v>
      </c>
      <c r="B11635" s="6" t="s">
        <v>29848</v>
      </c>
      <c r="C11635" s="6" t="s">
        <v>27788</v>
      </c>
      <c r="D11635" s="6" t="s">
        <v>27801</v>
      </c>
      <c r="E11635" s="2">
        <v>5388881</v>
      </c>
      <c r="F11635" s="4" t="str">
        <f>IF(B11635=B11634,"",B11635)</f>
        <v/>
      </c>
    </row>
    <row r="11636" spans="1:6" ht="15.75" customHeight="1">
      <c r="A11636" s="5" t="str">
        <f ca="1">IFERROR(__xludf.DUMMYFUNCTION("GOOGLETRANSLATE(B44118,""en"",""pt"")"),"Roseville")</f>
        <v>Roseville</v>
      </c>
      <c r="B11636" s="17" t="s">
        <v>29848</v>
      </c>
      <c r="C11636" s="17" t="s">
        <v>27788</v>
      </c>
      <c r="D11636" s="17" t="s">
        <v>27804</v>
      </c>
      <c r="E11636" s="10">
        <v>5007655</v>
      </c>
      <c r="F11636" s="4" t="str">
        <f>IF(B11636=B11635,"",B11636)</f>
        <v/>
      </c>
    </row>
    <row r="11637" spans="1:6" ht="15.75" customHeight="1">
      <c r="A11637" s="5" t="str">
        <f ca="1">IFERROR(__xludf.DUMMYFUNCTION("GOOGLETRANSLATE(B44192,""en"",""pt"")"),"Roseville")</f>
        <v>Roseville</v>
      </c>
      <c r="B11637" s="17" t="s">
        <v>29848</v>
      </c>
      <c r="C11637" s="17" t="s">
        <v>27788</v>
      </c>
      <c r="D11637" s="17" t="s">
        <v>27824</v>
      </c>
      <c r="E11637" s="10">
        <v>5043799</v>
      </c>
      <c r="F11637" s="4" t="str">
        <f>IF(B11637=B11636,"",B11637)</f>
        <v/>
      </c>
    </row>
    <row r="11638" spans="1:6" ht="15.75" customHeight="1">
      <c r="A11638" s="5" t="str">
        <f ca="1">IFERROR(__xludf.DUMMYFUNCTION("GOOGLETRANSLATE(B44993,""en"",""pt"")"),"Roseville")</f>
        <v>Roseville</v>
      </c>
      <c r="B11638" s="17" t="s">
        <v>29848</v>
      </c>
      <c r="C11638" s="17" t="s">
        <v>27788</v>
      </c>
      <c r="D11638" s="17" t="s">
        <v>27801</v>
      </c>
      <c r="E11638" s="10">
        <v>5388881</v>
      </c>
      <c r="F11638" s="4" t="str">
        <f>IF(B11638=B11637,"",B11638)</f>
        <v/>
      </c>
    </row>
    <row r="11639" spans="1:6" ht="15.75" customHeight="1">
      <c r="A11639" s="6" t="s">
        <v>6702</v>
      </c>
      <c r="B11639" s="6" t="s">
        <v>6702</v>
      </c>
      <c r="C11639" s="6" t="s">
        <v>6495</v>
      </c>
      <c r="D11639" s="6" t="s">
        <v>6499</v>
      </c>
      <c r="E11639" s="2">
        <v>350203</v>
      </c>
      <c r="F11639" s="4" t="str">
        <f>IF(B11639=B11638,"",B11639)</f>
        <v>Rosetta</v>
      </c>
    </row>
    <row r="11640" spans="1:6" ht="15.75" customHeight="1">
      <c r="A11640" s="5" t="str">
        <f ca="1">IFERROR(__xludf.DUMMYFUNCTION("GOOGLETRANSLATE(B28836,""en"",""pt"")"),"Rosetta")</f>
        <v>Rosetta</v>
      </c>
      <c r="B11640" s="17" t="s">
        <v>6702</v>
      </c>
      <c r="C11640" s="17" t="s">
        <v>6495</v>
      </c>
      <c r="D11640" s="17" t="s">
        <v>32264</v>
      </c>
      <c r="E11640" s="10">
        <v>350203</v>
      </c>
      <c r="F11640" s="4" t="str">
        <f>IF(B11640=B11639,"",B11640)</f>
        <v/>
      </c>
    </row>
    <row r="11641" spans="1:6" ht="15.75" customHeight="1">
      <c r="A11641" s="5" t="s">
        <v>15418</v>
      </c>
      <c r="B11641" s="6" t="s">
        <v>15419</v>
      </c>
      <c r="C11641" s="5" t="s">
        <v>14891</v>
      </c>
      <c r="D11641" s="5" t="s">
        <v>14957</v>
      </c>
      <c r="E11641" s="2">
        <v>3168936</v>
      </c>
      <c r="F11641" s="4" t="str">
        <f>IF(B11641=B11640,"",B11641)</f>
        <v>Roseto degli Abruzzi</v>
      </c>
    </row>
    <row r="11642" spans="1:6" ht="15.75" customHeight="1">
      <c r="A11642" s="5" t="str">
        <f ca="1">IFERROR(__xludf.DUMMYFUNCTION("GOOGLETRANSLATE(B34738,""en"",""pt"")"),"Roseto Degli Abruzzi")</f>
        <v>Roseto Degli Abruzzi</v>
      </c>
      <c r="B11642" s="17" t="s">
        <v>15419</v>
      </c>
      <c r="C11642" s="17" t="s">
        <v>14891</v>
      </c>
      <c r="D11642" s="17" t="s">
        <v>14957</v>
      </c>
      <c r="E11642" s="10">
        <v>3168936</v>
      </c>
      <c r="F11642" s="4" t="str">
        <f>IF(B11642=B11641,"",B11642)</f>
        <v/>
      </c>
    </row>
    <row r="11643" spans="1:6" ht="15.75" customHeight="1">
      <c r="A11643" s="6" t="s">
        <v>24740</v>
      </c>
      <c r="B11643" s="6" t="s">
        <v>24741</v>
      </c>
      <c r="C11643" s="6" t="s">
        <v>24200</v>
      </c>
      <c r="D11643" s="6" t="s">
        <v>24277</v>
      </c>
      <c r="E11643" s="2">
        <v>3111348</v>
      </c>
      <c r="F11643" s="4" t="str">
        <f>IF(B11643=B11642,"",B11643)</f>
        <v>Roses</v>
      </c>
    </row>
    <row r="11644" spans="1:6" ht="15.75" customHeight="1">
      <c r="A11644" s="5" t="str">
        <f ca="1">IFERROR(__xludf.DUMMYFUNCTION("GOOGLETRANSLATE(B29312,""en"",""pt"")"),"Rosas")</f>
        <v>Rosas</v>
      </c>
      <c r="B11644" s="17" t="s">
        <v>24741</v>
      </c>
      <c r="C11644" s="17" t="s">
        <v>24200</v>
      </c>
      <c r="D11644" s="17" t="s">
        <v>24277</v>
      </c>
      <c r="E11644" s="10">
        <v>3111348</v>
      </c>
      <c r="F11644" s="4" t="str">
        <f>IF(B11644=B11643,"",B11644)</f>
        <v/>
      </c>
    </row>
    <row r="11645" spans="1:6" ht="15.75" customHeight="1">
      <c r="A11645" s="5" t="s">
        <v>9058</v>
      </c>
      <c r="B11645" s="6" t="s">
        <v>9058</v>
      </c>
      <c r="C11645" s="5" t="s">
        <v>8028</v>
      </c>
      <c r="D11645" s="5" t="s">
        <v>8044</v>
      </c>
      <c r="E11645" s="2">
        <v>2844988</v>
      </c>
      <c r="F11645" s="4" t="str">
        <f>IF(B11645=B11644,"",B11645)</f>
        <v>Rosenheim</v>
      </c>
    </row>
    <row r="11646" spans="1:6" ht="15.75" customHeight="1">
      <c r="A11646" s="5" t="str">
        <f ca="1">IFERROR(__xludf.DUMMYFUNCTION("GOOGLETRANSLATE(B27595,""en"",""pt"")"),"Rosenheim")</f>
        <v>Rosenheim</v>
      </c>
      <c r="B11646" s="17" t="s">
        <v>9058</v>
      </c>
      <c r="C11646" s="17" t="s">
        <v>8028</v>
      </c>
      <c r="D11646" s="17" t="s">
        <v>8044</v>
      </c>
      <c r="E11646" s="10">
        <v>2844988</v>
      </c>
      <c r="F11646" s="4" t="str">
        <f>IF(B11646=B11645,"",B11646)</f>
        <v/>
      </c>
    </row>
    <row r="11647" spans="1:6" ht="15.75" customHeight="1">
      <c r="A11647" s="5" t="s">
        <v>29847</v>
      </c>
      <c r="B11647" s="6" t="s">
        <v>29847</v>
      </c>
      <c r="C11647" s="5" t="s">
        <v>27788</v>
      </c>
      <c r="D11647" s="5" t="s">
        <v>27824</v>
      </c>
      <c r="E11647" s="2">
        <v>5043779</v>
      </c>
      <c r="F11647" s="4" t="str">
        <f>IF(B11647=B11646,"",B11647)</f>
        <v>Rosemount</v>
      </c>
    </row>
    <row r="11648" spans="1:6" ht="15.75" customHeight="1">
      <c r="A11648" s="5" t="str">
        <f ca="1">IFERROR(__xludf.DUMMYFUNCTION("GOOGLETRANSLATE(B44191,""en"",""pt"")"),"Rosemount")</f>
        <v>Rosemount</v>
      </c>
      <c r="B11648" s="17" t="s">
        <v>29847</v>
      </c>
      <c r="C11648" s="17" t="s">
        <v>27788</v>
      </c>
      <c r="D11648" s="17" t="s">
        <v>27824</v>
      </c>
      <c r="E11648" s="10">
        <v>5043779</v>
      </c>
      <c r="F11648" s="4" t="str">
        <f>IF(B11648=B11647,"",B11648)</f>
        <v/>
      </c>
    </row>
    <row r="11649" spans="1:6" ht="15.75" customHeight="1">
      <c r="A11649" s="5" t="s">
        <v>29846</v>
      </c>
      <c r="B11649" s="6" t="s">
        <v>29846</v>
      </c>
      <c r="C11649" s="5" t="s">
        <v>27788</v>
      </c>
      <c r="D11649" s="5" t="s">
        <v>27801</v>
      </c>
      <c r="E11649" s="2">
        <v>5388873</v>
      </c>
      <c r="F11649" s="4" t="str">
        <f>IF(B11649=B11648,"",B11649)</f>
        <v>Rosemont</v>
      </c>
    </row>
    <row r="11650" spans="1:6" ht="15.75" customHeight="1">
      <c r="A11650" s="5" t="str">
        <f ca="1">IFERROR(__xludf.DUMMYFUNCTION("GOOGLETRANSLATE(B44992,""en"",""pt"")"),"Rosemont")</f>
        <v>Rosemont</v>
      </c>
      <c r="B11650" s="17" t="s">
        <v>29846</v>
      </c>
      <c r="C11650" s="17" t="s">
        <v>27788</v>
      </c>
      <c r="D11650" s="17" t="s">
        <v>27801</v>
      </c>
      <c r="E11650" s="10">
        <v>5388873</v>
      </c>
      <c r="F11650" s="4" t="str">
        <f>IF(B11650=B11649,"",B11650)</f>
        <v/>
      </c>
    </row>
    <row r="11651" spans="1:6" ht="15.75" customHeight="1">
      <c r="A11651" s="5" t="s">
        <v>29845</v>
      </c>
      <c r="B11651" s="6" t="s">
        <v>29845</v>
      </c>
      <c r="C11651" s="5" t="s">
        <v>27788</v>
      </c>
      <c r="D11651" s="5" t="s">
        <v>27801</v>
      </c>
      <c r="E11651" s="2">
        <v>5388867</v>
      </c>
      <c r="F11651" s="4" t="str">
        <f>IF(B11651=B11650,"",B11651)</f>
        <v>Rosemead</v>
      </c>
    </row>
    <row r="11652" spans="1:6" ht="15.75" customHeight="1">
      <c r="A11652" s="5" t="str">
        <f ca="1">IFERROR(__xludf.DUMMYFUNCTION("GOOGLETRANSLATE(B44991,""en"",""pt"")"),"Rosemead")</f>
        <v>Rosemead</v>
      </c>
      <c r="B11652" s="17" t="s">
        <v>29845</v>
      </c>
      <c r="C11652" s="17" t="s">
        <v>27788</v>
      </c>
      <c r="D11652" s="17" t="s">
        <v>27801</v>
      </c>
      <c r="E11652" s="10">
        <v>5388867</v>
      </c>
      <c r="F11652" s="4" t="str">
        <f>IF(B11652=B11651,"",B11652)</f>
        <v/>
      </c>
    </row>
    <row r="11653" spans="1:6" ht="15.75" customHeight="1">
      <c r="A11653" s="6" t="s">
        <v>29844</v>
      </c>
      <c r="B11653" s="6" t="s">
        <v>29844</v>
      </c>
      <c r="C11653" s="6" t="s">
        <v>27788</v>
      </c>
      <c r="D11653" s="6" t="s">
        <v>27799</v>
      </c>
      <c r="E11653" s="2">
        <v>4908173</v>
      </c>
      <c r="F11653" s="4" t="str">
        <f>IF(B11653=B11652,"",B11653)</f>
        <v>Roselle</v>
      </c>
    </row>
    <row r="11654" spans="1:6" ht="15.75" customHeight="1">
      <c r="A11654" s="6" t="s">
        <v>29844</v>
      </c>
      <c r="B11654" s="6" t="s">
        <v>29844</v>
      </c>
      <c r="C11654" s="6" t="s">
        <v>27788</v>
      </c>
      <c r="D11654" s="6" t="s">
        <v>27905</v>
      </c>
      <c r="E11654" s="2">
        <v>5103500</v>
      </c>
      <c r="F11654" s="4" t="str">
        <f>IF(B11654=B11653,"",B11654)</f>
        <v/>
      </c>
    </row>
    <row r="11655" spans="1:6" ht="15.75" customHeight="1">
      <c r="A11655" s="5" t="str">
        <f ca="1">IFERROR(__xludf.DUMMYFUNCTION("GOOGLETRANSLATE(B43878,""en"",""pt"")"),"Roselle")</f>
        <v>Roselle</v>
      </c>
      <c r="B11655" s="17" t="s">
        <v>29844</v>
      </c>
      <c r="C11655" s="17" t="s">
        <v>27788</v>
      </c>
      <c r="D11655" s="17" t="s">
        <v>27799</v>
      </c>
      <c r="E11655" s="10">
        <v>4908173</v>
      </c>
      <c r="F11655" s="4" t="str">
        <f>IF(B11655=B11654,"",B11655)</f>
        <v/>
      </c>
    </row>
    <row r="11656" spans="1:6" ht="15.75" customHeight="1">
      <c r="A11656" s="5" t="str">
        <f ca="1">IFERROR(__xludf.DUMMYFUNCTION("GOOGLETRANSLATE(B44305,""en"",""pt"")"),"Roselle")</f>
        <v>Roselle</v>
      </c>
      <c r="B11656" s="17" t="s">
        <v>29844</v>
      </c>
      <c r="C11656" s="17" t="s">
        <v>27788</v>
      </c>
      <c r="D11656" s="17" t="s">
        <v>27905</v>
      </c>
      <c r="E11656" s="10">
        <v>5103500</v>
      </c>
      <c r="F11656" s="4" t="str">
        <f>IF(B11656=B11655,"",B11656)</f>
        <v/>
      </c>
    </row>
    <row r="11657" spans="1:6" ht="15.75" customHeight="1">
      <c r="A11657" s="6" t="s">
        <v>29843</v>
      </c>
      <c r="B11657" s="6" t="s">
        <v>29843</v>
      </c>
      <c r="C11657" s="6" t="s">
        <v>27788</v>
      </c>
      <c r="D11657" s="6" t="s">
        <v>17061</v>
      </c>
      <c r="E11657" s="2">
        <v>4367372</v>
      </c>
      <c r="F11657" s="4" t="str">
        <f>IF(B11657=B11656,"",B11657)</f>
        <v>Rosedale</v>
      </c>
    </row>
    <row r="11658" spans="1:6" ht="15.75" customHeight="1">
      <c r="A11658" s="5" t="str">
        <f ca="1">IFERROR(__xludf.DUMMYFUNCTION("GOOGLETRANSLATE(B43327,""en"",""pt"")"),"Rosedale")</f>
        <v>Rosedale</v>
      </c>
      <c r="B11658" s="17" t="s">
        <v>29843</v>
      </c>
      <c r="C11658" s="17" t="s">
        <v>27788</v>
      </c>
      <c r="D11658" s="17" t="s">
        <v>17061</v>
      </c>
      <c r="E11658" s="10">
        <v>4367372</v>
      </c>
      <c r="F11658" s="4" t="str">
        <f>IF(B11658=B11657,"",B11658)</f>
        <v/>
      </c>
    </row>
    <row r="11659" spans="1:6" ht="15.75" customHeight="1">
      <c r="A11659" s="5" t="s">
        <v>29841</v>
      </c>
      <c r="B11659" s="6" t="s">
        <v>29842</v>
      </c>
      <c r="C11659" s="5" t="s">
        <v>27788</v>
      </c>
      <c r="D11659" s="5" t="s">
        <v>27820</v>
      </c>
      <c r="E11659" s="2">
        <v>5749352</v>
      </c>
      <c r="F11659" s="4" t="str">
        <f>IF(B11659=B11658,"",B11659)</f>
        <v>Roseburg</v>
      </c>
    </row>
    <row r="11660" spans="1:6" ht="15.75" customHeight="1">
      <c r="A11660" s="5" t="str">
        <f ca="1">IFERROR(__xludf.DUMMYFUNCTION("GOOGLETRANSLATE(B45256,""en"",""pt"")"),"Roseburgo")</f>
        <v>Roseburgo</v>
      </c>
      <c r="B11660" s="17" t="s">
        <v>29842</v>
      </c>
      <c r="C11660" s="17" t="s">
        <v>27788</v>
      </c>
      <c r="D11660" s="17" t="s">
        <v>27820</v>
      </c>
      <c r="E11660" s="10">
        <v>5749352</v>
      </c>
      <c r="F11660" s="4" t="str">
        <f>IF(B11660=B11659,"",B11660)</f>
        <v/>
      </c>
    </row>
    <row r="11661" spans="1:6" ht="15.75" customHeight="1">
      <c r="A11661" s="6" t="s">
        <v>6299</v>
      </c>
      <c r="B11661" s="6" t="s">
        <v>6299</v>
      </c>
      <c r="C11661" s="6" t="s">
        <v>6300</v>
      </c>
      <c r="D11661" s="6" t="s">
        <v>6301</v>
      </c>
      <c r="E11661" s="2">
        <v>3575635</v>
      </c>
      <c r="F11661" s="4" t="str">
        <f>IF(B11661=B11660,"",B11661)</f>
        <v>Roseau</v>
      </c>
    </row>
    <row r="11662" spans="1:6" ht="15.75" customHeight="1">
      <c r="A11662" s="5" t="str">
        <f ca="1">IFERROR(__xludf.DUMMYFUNCTION("GOOGLETRANSLATE(B28452,""en"",""pt"")"),"Roseau")</f>
        <v>Roseau</v>
      </c>
      <c r="B11662" s="17" t="s">
        <v>6299</v>
      </c>
      <c r="C11662" s="17" t="s">
        <v>6300</v>
      </c>
      <c r="D11662" s="17" t="s">
        <v>6301</v>
      </c>
      <c r="E11662" s="10">
        <v>3575635</v>
      </c>
      <c r="F11662" s="4" t="str">
        <f>IF(B11662=B11661,"",B11662)</f>
        <v/>
      </c>
    </row>
    <row r="11663" spans="1:6" ht="15.75" customHeight="1">
      <c r="A11663" s="6" t="s">
        <v>18196</v>
      </c>
      <c r="B11663" s="6" t="s">
        <v>18196</v>
      </c>
      <c r="C11663" s="6" t="s">
        <v>17707</v>
      </c>
      <c r="D11663" s="6" t="s">
        <v>17932</v>
      </c>
      <c r="E11663" s="2">
        <v>3988392</v>
      </c>
      <c r="F11663" s="4" t="str">
        <f>IF(B11663=B11662,"",B11663)</f>
        <v>Rosarito</v>
      </c>
    </row>
    <row r="11664" spans="1:6" ht="15.75" customHeight="1">
      <c r="A11664" s="5" t="str">
        <f ca="1">IFERROR(__xludf.DUMMYFUNCTION("GOOGLETRANSLATE(B37213,""en"",""pt"")"),"Rosarito")</f>
        <v>Rosarito</v>
      </c>
      <c r="B11664" s="17" t="s">
        <v>18196</v>
      </c>
      <c r="C11664" s="17" t="s">
        <v>17707</v>
      </c>
      <c r="D11664" s="17" t="s">
        <v>17932</v>
      </c>
      <c r="E11664" s="10">
        <v>3988392</v>
      </c>
      <c r="F11664" s="4" t="str">
        <f>IF(B11664=B11663,"",B11664)</f>
        <v/>
      </c>
    </row>
    <row r="11665" spans="1:6" ht="15.75" customHeight="1">
      <c r="A11665" s="5" t="str">
        <f ca="1">IFERROR(__xludf.DUMMYFUNCTION("GOOGLETRANSLATE(B24629,""en"",""pt"")"),"Rosário do sul")</f>
        <v>Rosário do sul</v>
      </c>
      <c r="B11665" s="17" t="s">
        <v>31528</v>
      </c>
      <c r="C11665" s="17" t="s">
        <v>1905</v>
      </c>
      <c r="D11665" s="17" t="s">
        <v>1951</v>
      </c>
      <c r="E11665" s="10">
        <v>3450873</v>
      </c>
      <c r="F11665" s="4" t="str">
        <f>IF(B11665=B11664,"",B11665)</f>
        <v>Rosário do Sul</v>
      </c>
    </row>
    <row r="11666" spans="1:6" ht="15.75" customHeight="1">
      <c r="A11666" s="6" t="s">
        <v>767</v>
      </c>
      <c r="B11666" s="6" t="s">
        <v>767</v>
      </c>
      <c r="C11666" s="6" t="s">
        <v>558</v>
      </c>
      <c r="D11666" s="6" t="s">
        <v>579</v>
      </c>
      <c r="E11666" s="2">
        <v>3838583</v>
      </c>
      <c r="F11666" s="4" t="str">
        <f>IF(B11666=B11665,"",B11666)</f>
        <v>Rosario</v>
      </c>
    </row>
    <row r="11667" spans="1:6" ht="15.75" customHeight="1">
      <c r="A11667" s="5" t="str">
        <f ca="1">IFERROR(__xludf.DUMMYFUNCTION("GOOGLETRANSLATE(B23280,""en"",""pt"")"),"Rosario")</f>
        <v>Rosario</v>
      </c>
      <c r="B11667" s="17" t="s">
        <v>767</v>
      </c>
      <c r="C11667" s="17" t="s">
        <v>558</v>
      </c>
      <c r="D11667" s="17" t="s">
        <v>579</v>
      </c>
      <c r="E11667" s="10">
        <v>3838583</v>
      </c>
      <c r="F11667" s="4" t="str">
        <f>IF(B11667=B11666,"",B11667)</f>
        <v/>
      </c>
    </row>
    <row r="11668" spans="1:6" ht="15.75" customHeight="1">
      <c r="A11668" s="5" t="s">
        <v>29840</v>
      </c>
      <c r="B11668" s="6" t="s">
        <v>29840</v>
      </c>
      <c r="C11668" s="5" t="s">
        <v>27788</v>
      </c>
      <c r="D11668" s="5" t="s">
        <v>27801</v>
      </c>
      <c r="E11668" s="2">
        <v>5388735</v>
      </c>
      <c r="F11668" s="4" t="str">
        <f>IF(B11668=B11667,"",B11668)</f>
        <v>Rosamond</v>
      </c>
    </row>
    <row r="11669" spans="1:6" ht="15.75" customHeight="1">
      <c r="A11669" s="5" t="str">
        <f ca="1">IFERROR(__xludf.DUMMYFUNCTION("GOOGLETRANSLATE(B44990,""en"",""pt"")"),"Rosamond")</f>
        <v>Rosamond</v>
      </c>
      <c r="B11669" s="17" t="s">
        <v>29840</v>
      </c>
      <c r="C11669" s="17" t="s">
        <v>27788</v>
      </c>
      <c r="D11669" s="17" t="s">
        <v>27801</v>
      </c>
      <c r="E11669" s="10">
        <v>5388735</v>
      </c>
      <c r="F11669" s="4" t="str">
        <f>IF(B11669=B11668,"",B11669)</f>
        <v/>
      </c>
    </row>
    <row r="11670" spans="1:6" ht="15.75" customHeight="1">
      <c r="A11670" s="5" t="s">
        <v>3241</v>
      </c>
      <c r="B11670" s="6" t="s">
        <v>3242</v>
      </c>
      <c r="C11670" s="5" t="s">
        <v>1905</v>
      </c>
      <c r="D11670" s="5" t="s">
        <v>1951</v>
      </c>
      <c r="E11670" s="2">
        <v>3450873</v>
      </c>
      <c r="F11670" s="4" t="str">
        <f>IF(B11670=B11669,"",B11670)</f>
        <v>RosÃ¡rio do Sul</v>
      </c>
    </row>
    <row r="11671" spans="1:6" ht="15.75" customHeight="1">
      <c r="A11671" s="5" t="s">
        <v>6471</v>
      </c>
      <c r="B11671" s="6" t="s">
        <v>6471</v>
      </c>
      <c r="C11671" s="5" t="s">
        <v>6398</v>
      </c>
      <c r="D11671" s="5" t="s">
        <v>2438</v>
      </c>
      <c r="E11671" s="2">
        <v>3652257</v>
      </c>
      <c r="F11671" s="4" t="str">
        <f>IF(B11671=B11670,"",B11671)</f>
        <v>Rosa Zarate</v>
      </c>
    </row>
    <row r="11672" spans="1:6" ht="15.75" customHeight="1">
      <c r="A11672" s="5" t="str">
        <f ca="1">IFERROR(__xludf.DUMMYFUNCTION("GOOGLETRANSLATE(B28761,""en"",""pt"")"),"Rosa Zarate")</f>
        <v>Rosa Zarate</v>
      </c>
      <c r="B11672" s="17" t="s">
        <v>6471</v>
      </c>
      <c r="C11672" s="17" t="s">
        <v>6398</v>
      </c>
      <c r="D11672" s="17" t="s">
        <v>2438</v>
      </c>
      <c r="E11672" s="10">
        <v>3652257</v>
      </c>
      <c r="F11672" s="4" t="str">
        <f>IF(B11672=B11671,"",B11672)</f>
        <v/>
      </c>
    </row>
    <row r="11673" spans="1:6" ht="15.75" customHeight="1">
      <c r="A11673" s="5" t="s">
        <v>24738</v>
      </c>
      <c r="B11673" s="6" t="s">
        <v>24739</v>
      </c>
      <c r="C11673" s="5" t="s">
        <v>24200</v>
      </c>
      <c r="D11673" s="5" t="s">
        <v>24205</v>
      </c>
      <c r="E11673" s="2">
        <v>2511716</v>
      </c>
      <c r="F11673" s="4" t="str">
        <f>IF(B11673=B11672,"",B11673)</f>
        <v>Roquetas de Mar</v>
      </c>
    </row>
    <row r="11674" spans="1:6" ht="15.75" customHeight="1">
      <c r="A11674" s="5" t="str">
        <f ca="1">IFERROR(__xludf.DUMMYFUNCTION("GOOGLETRANSLATE(B29009,""en"",""pt"")"),"Roquetas de Mar.")</f>
        <v>Roquetas de Mar.</v>
      </c>
      <c r="B11674" s="17" t="s">
        <v>24739</v>
      </c>
      <c r="C11674" s="17" t="s">
        <v>24200</v>
      </c>
      <c r="D11674" s="17" t="s">
        <v>24205</v>
      </c>
      <c r="E11674" s="10">
        <v>2511716</v>
      </c>
      <c r="F11674" s="4" t="str">
        <f>IF(B11674=B11673,"",B11674)</f>
        <v/>
      </c>
    </row>
    <row r="11675" spans="1:6" ht="15.75" customHeight="1">
      <c r="A11675" s="6" t="s">
        <v>21468</v>
      </c>
      <c r="B11675" s="6" t="s">
        <v>21468</v>
      </c>
      <c r="C11675" s="6" t="s">
        <v>21064</v>
      </c>
      <c r="D11675" s="6" t="s">
        <v>21083</v>
      </c>
      <c r="E11675" s="2">
        <v>760343</v>
      </c>
      <c r="F11675" s="4" t="str">
        <f>IF(B11675=B11674,"",B11675)</f>
        <v>Ropczyce</v>
      </c>
    </row>
    <row r="11676" spans="1:6" ht="15.75" customHeight="1">
      <c r="A11676" s="5" t="str">
        <f ca="1">IFERROR(__xludf.DUMMYFUNCTION("GOOGLETRANSLATE(B39213,""en"",""pt"")"),"Ropczyce")</f>
        <v>Ropczyce</v>
      </c>
      <c r="B11676" s="17" t="s">
        <v>21468</v>
      </c>
      <c r="C11676" s="17" t="s">
        <v>21064</v>
      </c>
      <c r="D11676" s="17" t="s">
        <v>21083</v>
      </c>
      <c r="E11676" s="10">
        <v>760343</v>
      </c>
      <c r="F11676" s="4" t="str">
        <f>IF(B11676=B11675,"",B11676)</f>
        <v/>
      </c>
    </row>
    <row r="11677" spans="1:6" ht="15.75" customHeight="1">
      <c r="A11677" s="6" t="s">
        <v>13120</v>
      </c>
      <c r="B11677" s="6" t="s">
        <v>13120</v>
      </c>
      <c r="C11677" s="6" t="s">
        <v>10178</v>
      </c>
      <c r="D11677" s="6" t="s">
        <v>10184</v>
      </c>
      <c r="E11677" s="2">
        <v>1257951</v>
      </c>
      <c r="F11677" s="4" t="str">
        <f>IF(B11677=B11676,"",B11677)</f>
        <v>Ropar</v>
      </c>
    </row>
    <row r="11678" spans="1:6" ht="15.75" customHeight="1">
      <c r="A11678" s="5" t="str">
        <f ca="1">IFERROR(__xludf.DUMMYFUNCTION("GOOGLETRANSLATE(B32295,""en"",""pt"")"),"Ropar")</f>
        <v>Ropar</v>
      </c>
      <c r="B11678" s="17" t="s">
        <v>13120</v>
      </c>
      <c r="C11678" s="17" t="s">
        <v>10178</v>
      </c>
      <c r="D11678" s="17" t="s">
        <v>10184</v>
      </c>
      <c r="E11678" s="10">
        <v>1257951</v>
      </c>
      <c r="F11678" s="4" t="str">
        <f>IF(B11678=B11677,"",B11678)</f>
        <v/>
      </c>
    </row>
    <row r="11679" spans="1:6" ht="15.75" customHeight="1">
      <c r="A11679" s="6" t="s">
        <v>29839</v>
      </c>
      <c r="B11679" s="6" t="s">
        <v>29839</v>
      </c>
      <c r="C11679" s="6" t="s">
        <v>27788</v>
      </c>
      <c r="D11679" s="6" t="s">
        <v>27819</v>
      </c>
      <c r="E11679" s="2">
        <v>5134323</v>
      </c>
      <c r="F11679" s="4" t="str">
        <f>IF(B11679=B11678,"",B11679)</f>
        <v>Roosevelt</v>
      </c>
    </row>
    <row r="11680" spans="1:6" ht="15.75" customHeight="1">
      <c r="A11680" s="5" t="str">
        <f ca="1">IFERROR(__xludf.DUMMYFUNCTION("GOOGLETRANSLATE(B44443,""en"",""pt"")"),"Roosevelt")</f>
        <v>Roosevelt</v>
      </c>
      <c r="B11680" s="17" t="s">
        <v>29839</v>
      </c>
      <c r="C11680" s="17" t="s">
        <v>27788</v>
      </c>
      <c r="D11680" s="17" t="s">
        <v>27819</v>
      </c>
      <c r="E11680" s="10">
        <v>5134323</v>
      </c>
      <c r="F11680" s="4" t="str">
        <f>IF(B11680=B11679,"",B11680)</f>
        <v/>
      </c>
    </row>
    <row r="11681" spans="1:6" ht="15.75" customHeight="1">
      <c r="A11681" s="5" t="s">
        <v>19076</v>
      </c>
      <c r="B11681" s="6" t="s">
        <v>19076</v>
      </c>
      <c r="C11681" s="5" t="s">
        <v>18862</v>
      </c>
      <c r="D11681" s="5" t="s">
        <v>18888</v>
      </c>
      <c r="E11681" s="2">
        <v>2747930</v>
      </c>
      <c r="F11681" s="4" t="str">
        <f>IF(B11681=B11680,"",B11681)</f>
        <v>Roosendaal</v>
      </c>
    </row>
    <row r="11682" spans="1:6" ht="15.75" customHeight="1">
      <c r="A11682" s="5" t="str">
        <f ca="1">IFERROR(__xludf.DUMMYFUNCTION("GOOGLETRANSLATE(B37965,""en"",""pt"")"),"Roosendaal")</f>
        <v>Roosendaal</v>
      </c>
      <c r="B11682" s="17" t="s">
        <v>19076</v>
      </c>
      <c r="C11682" s="17" t="s">
        <v>18862</v>
      </c>
      <c r="D11682" s="17" t="s">
        <v>18888</v>
      </c>
      <c r="E11682" s="10">
        <v>2747930</v>
      </c>
      <c r="F11682" s="4" t="str">
        <f>IF(B11682=B11681,"",B11682)</f>
        <v/>
      </c>
    </row>
    <row r="11683" spans="1:6" ht="15.75" customHeight="1">
      <c r="A11683" s="6" t="s">
        <v>13119</v>
      </c>
      <c r="B11683" s="6" t="s">
        <v>13119</v>
      </c>
      <c r="C11683" s="6" t="s">
        <v>10178</v>
      </c>
      <c r="D11683" s="6" t="s">
        <v>10299</v>
      </c>
      <c r="E11683" s="2">
        <v>1258044</v>
      </c>
      <c r="F11683" s="4" t="str">
        <f>IF(B11683=B11682,"",B11683)</f>
        <v>Roorkee</v>
      </c>
    </row>
    <row r="11684" spans="1:6" ht="15.75" customHeight="1">
      <c r="A11684" s="5" t="str">
        <f ca="1">IFERROR(__xludf.DUMMYFUNCTION("GOOGLETRANSLATE(B32297,""en"",""pt"")"),"Roorkee")</f>
        <v>Roorkee</v>
      </c>
      <c r="B11684" s="17" t="s">
        <v>13119</v>
      </c>
      <c r="C11684" s="17" t="s">
        <v>10178</v>
      </c>
      <c r="D11684" s="17" t="s">
        <v>10299</v>
      </c>
      <c r="E11684" s="10">
        <v>1258044</v>
      </c>
      <c r="F11684" s="4" t="str">
        <f>IF(B11684=B11683,"",B11684)</f>
        <v/>
      </c>
    </row>
    <row r="11685" spans="1:6" ht="15.75" customHeight="1">
      <c r="A11685" s="5" t="s">
        <v>23971</v>
      </c>
      <c r="B11685" s="6" t="s">
        <v>23971</v>
      </c>
      <c r="C11685" s="5" t="s">
        <v>23842</v>
      </c>
      <c r="D11685" s="5" t="s">
        <v>23855</v>
      </c>
      <c r="E11685" s="2">
        <v>936374</v>
      </c>
      <c r="F11685" s="4" t="str">
        <f>IF(B11685=B11684,"",B11685)</f>
        <v>Roodepoort</v>
      </c>
    </row>
    <row r="11686" spans="1:6" ht="15.75" customHeight="1">
      <c r="A11686" s="5" t="str">
        <f ca="1">IFERROR(__xludf.DUMMYFUNCTION("GOOGLETRANSLATE(B45842,""en"",""pt"")"),"Roodepoort")</f>
        <v>Roodepoort</v>
      </c>
      <c r="B11686" s="17" t="s">
        <v>23971</v>
      </c>
      <c r="C11686" s="17" t="s">
        <v>23842</v>
      </c>
      <c r="D11686" s="17" t="s">
        <v>23855</v>
      </c>
      <c r="E11686" s="10">
        <v>936374</v>
      </c>
      <c r="F11686" s="4" t="str">
        <f>IF(B11686=B11685,"",B11686)</f>
        <v/>
      </c>
    </row>
    <row r="11687" spans="1:6" ht="15.75" customHeight="1">
      <c r="A11687" s="6" t="s">
        <v>1674</v>
      </c>
      <c r="B11687" s="6" t="s">
        <v>1675</v>
      </c>
      <c r="C11687" s="6" t="s">
        <v>1512</v>
      </c>
      <c r="D11687" s="6" t="s">
        <v>1513</v>
      </c>
      <c r="E11687" s="2">
        <v>2787769</v>
      </c>
      <c r="F11687" s="4" t="str">
        <f>IF(B11687=B11686,"",B11687)</f>
        <v>Ronse</v>
      </c>
    </row>
    <row r="11688" spans="1:6" ht="15.75" customHeight="1">
      <c r="A11688" s="5" t="str">
        <f ca="1">IFERROR(__xludf.DUMMYFUNCTION("GOOGLETRANSLATE(B23840,""en"",""pt"")"),"ROnse")</f>
        <v>ROnse</v>
      </c>
      <c r="B11688" s="17" t="s">
        <v>1675</v>
      </c>
      <c r="C11688" s="17" t="s">
        <v>1512</v>
      </c>
      <c r="D11688" s="17" t="s">
        <v>1513</v>
      </c>
      <c r="E11688" s="10">
        <v>2787769</v>
      </c>
      <c r="F11688" s="4" t="str">
        <f>IF(B11688=B11687,"",B11688)</f>
        <v/>
      </c>
    </row>
    <row r="11689" spans="1:6" ht="15.75" customHeight="1">
      <c r="A11689" s="5" t="s">
        <v>9057</v>
      </c>
      <c r="B11689" s="6" t="s">
        <v>9057</v>
      </c>
      <c r="C11689" s="5" t="s">
        <v>8028</v>
      </c>
      <c r="D11689" s="5" t="s">
        <v>8034</v>
      </c>
      <c r="E11689" s="2">
        <v>2845222</v>
      </c>
      <c r="F11689" s="4" t="str">
        <f>IF(B11689=B11688,"",B11689)</f>
        <v>Ronnenberg</v>
      </c>
    </row>
    <row r="11690" spans="1:6" ht="15.75" customHeight="1">
      <c r="A11690" s="5" t="str">
        <f ca="1">IFERROR(__xludf.DUMMYFUNCTION("GOOGLETRANSLATE(B27596,""en"",""pt"")"),"Ronnenberg")</f>
        <v>Ronnenberg</v>
      </c>
      <c r="B11690" s="17" t="s">
        <v>9057</v>
      </c>
      <c r="C11690" s="17" t="s">
        <v>8028</v>
      </c>
      <c r="D11690" s="17" t="s">
        <v>8034</v>
      </c>
      <c r="E11690" s="10">
        <v>2845222</v>
      </c>
      <c r="F11690" s="4" t="str">
        <f>IF(B11690=B11689,"",B11690)</f>
        <v/>
      </c>
    </row>
    <row r="11691" spans="1:6" ht="15.75" customHeight="1">
      <c r="A11691" s="5" t="s">
        <v>29838</v>
      </c>
      <c r="B11691" s="6" t="s">
        <v>29838</v>
      </c>
      <c r="C11691" s="5" t="s">
        <v>27788</v>
      </c>
      <c r="D11691" s="5" t="s">
        <v>27819</v>
      </c>
      <c r="E11691" s="2">
        <v>5134316</v>
      </c>
      <c r="F11691" s="4" t="str">
        <f>IF(B11691=B11690,"",B11691)</f>
        <v>Ronkonkoma</v>
      </c>
    </row>
    <row r="11692" spans="1:6" ht="15.75" customHeight="1">
      <c r="A11692" s="5" t="str">
        <f ca="1">IFERROR(__xludf.DUMMYFUNCTION("GOOGLETRANSLATE(B44442,""en"",""pt"")"),"Ronkonkoma")</f>
        <v>Ronkonkoma</v>
      </c>
      <c r="B11692" s="17" t="s">
        <v>29838</v>
      </c>
      <c r="C11692" s="17" t="s">
        <v>27788</v>
      </c>
      <c r="D11692" s="17" t="s">
        <v>27819</v>
      </c>
      <c r="E11692" s="10">
        <v>5134316</v>
      </c>
      <c r="F11692" s="4" t="str">
        <f>IF(B11692=B11691,"",B11692)</f>
        <v/>
      </c>
    </row>
    <row r="11693" spans="1:6" ht="15.75" customHeight="1">
      <c r="A11693" s="6" t="s">
        <v>16840</v>
      </c>
      <c r="B11693" s="6" t="s">
        <v>16840</v>
      </c>
      <c r="C11693" s="6" t="s">
        <v>16781</v>
      </c>
      <c r="D11693" s="6" t="s">
        <v>16824</v>
      </c>
      <c r="E11693" s="2">
        <v>181135</v>
      </c>
      <c r="F11693" s="4" t="str">
        <f>IF(B11693=B11692,"",B11693)</f>
        <v>Rongai</v>
      </c>
    </row>
    <row r="11694" spans="1:6" ht="15.75" customHeight="1">
      <c r="A11694" s="5" t="str">
        <f ca="1">IFERROR(__xludf.DUMMYFUNCTION("GOOGLETRANSLATE(B35888,""en"",""pt"")"),"Rongai")</f>
        <v>Rongai</v>
      </c>
      <c r="B11694" s="17" t="s">
        <v>16840</v>
      </c>
      <c r="C11694" s="17" t="s">
        <v>16781</v>
      </c>
      <c r="D11694" s="17" t="s">
        <v>16824</v>
      </c>
      <c r="E11694" s="10">
        <v>181135</v>
      </c>
      <c r="F11694" s="4" t="str">
        <f>IF(B11694=B11693,"",B11694)</f>
        <v/>
      </c>
    </row>
    <row r="11695" spans="1:6" ht="15.75" customHeight="1">
      <c r="A11695" s="5" t="str">
        <f ca="1">IFERROR(__xludf.DUMMYFUNCTION("GOOGLETRANSLATE(B24630,""en"",""pt"")"),"Rondonópolis")</f>
        <v>Rondonópolis</v>
      </c>
      <c r="B11695" s="17" t="s">
        <v>31529</v>
      </c>
      <c r="C11695" s="17" t="s">
        <v>1905</v>
      </c>
      <c r="D11695" s="17" t="s">
        <v>2036</v>
      </c>
      <c r="E11695" s="10">
        <v>3450909</v>
      </c>
      <c r="F11695" s="4" t="str">
        <f>IF(B11695=B11694,"",B11695)</f>
        <v>Rondonópolis</v>
      </c>
    </row>
    <row r="11696" spans="1:6" ht="15.75" customHeight="1">
      <c r="A11696" s="5" t="s">
        <v>3239</v>
      </c>
      <c r="B11696" s="6" t="s">
        <v>3240</v>
      </c>
      <c r="C11696" s="5" t="s">
        <v>1905</v>
      </c>
      <c r="D11696" s="5" t="s">
        <v>2036</v>
      </c>
      <c r="E11696" s="2">
        <v>3450909</v>
      </c>
      <c r="F11696" s="4" t="str">
        <f>IF(B11696=B11695,"",B11696)</f>
        <v>RondonÃ³polis</v>
      </c>
    </row>
    <row r="11697" spans="1:6" ht="15.75" customHeight="1">
      <c r="A11697" s="5" t="s">
        <v>23970</v>
      </c>
      <c r="B11697" s="6" t="s">
        <v>23970</v>
      </c>
      <c r="C11697" s="5" t="s">
        <v>23842</v>
      </c>
      <c r="D11697" s="5" t="s">
        <v>23847</v>
      </c>
      <c r="E11697" s="2">
        <v>7302802</v>
      </c>
      <c r="F11697" s="4" t="str">
        <f>IF(B11697=B11696,"",B11697)</f>
        <v>Rondebosch</v>
      </c>
    </row>
    <row r="11698" spans="1:6" ht="15.75" customHeight="1">
      <c r="A11698" s="5" t="str">
        <f ca="1">IFERROR(__xludf.DUMMYFUNCTION("GOOGLETRANSLATE(B45999,""en"",""pt"")"),"Rondebosch")</f>
        <v>Rondebosch</v>
      </c>
      <c r="B11698" s="17" t="s">
        <v>23970</v>
      </c>
      <c r="C11698" s="17" t="s">
        <v>23842</v>
      </c>
      <c r="D11698" s="17" t="s">
        <v>23847</v>
      </c>
      <c r="E11698" s="10">
        <v>7302802</v>
      </c>
      <c r="F11698" s="4" t="str">
        <f>IF(B11698=B11697,"",B11698)</f>
        <v/>
      </c>
    </row>
    <row r="11699" spans="1:6" ht="15.75" customHeight="1">
      <c r="A11699" s="6" t="s">
        <v>24737</v>
      </c>
      <c r="B11699" s="6" t="s">
        <v>24737</v>
      </c>
      <c r="C11699" s="6" t="s">
        <v>24200</v>
      </c>
      <c r="D11699" s="6" t="s">
        <v>24205</v>
      </c>
      <c r="E11699" s="2">
        <v>2511730</v>
      </c>
      <c r="F11699" s="4" t="str">
        <f>IF(B11699=B11698,"",B11699)</f>
        <v>Ronda</v>
      </c>
    </row>
    <row r="11700" spans="1:6" ht="15.75" customHeight="1">
      <c r="A11700" s="5" t="str">
        <f ca="1">IFERROR(__xludf.DUMMYFUNCTION("GOOGLETRANSLATE(B29010,""en"",""pt"")"),"Ronda")</f>
        <v>Ronda</v>
      </c>
      <c r="B11700" s="17" t="s">
        <v>24737</v>
      </c>
      <c r="C11700" s="17" t="s">
        <v>24200</v>
      </c>
      <c r="D11700" s="17" t="s">
        <v>24205</v>
      </c>
      <c r="E11700" s="10">
        <v>2511730</v>
      </c>
      <c r="F11700" s="4" t="str">
        <f>IF(B11700=B11699,"",B11700)</f>
        <v/>
      </c>
    </row>
    <row r="11701" spans="1:6" ht="15.75" customHeight="1">
      <c r="A11701" s="6" t="s">
        <v>7713</v>
      </c>
      <c r="B11701" s="6" t="s">
        <v>7713</v>
      </c>
      <c r="C11701" s="6" t="s">
        <v>7052</v>
      </c>
      <c r="D11701" s="6" t="s">
        <v>7078</v>
      </c>
      <c r="E11701" s="2">
        <v>2982944</v>
      </c>
      <c r="F11701" s="4" t="str">
        <f>IF(B11701=B11700,"",B11701)</f>
        <v>Ronchin</v>
      </c>
    </row>
    <row r="11702" spans="1:6" ht="15.75" customHeight="1">
      <c r="A11702" s="5" t="str">
        <f ca="1">IFERROR(__xludf.DUMMYFUNCTION("GOOGLETRANSLATE(B29824,""en"",""pt"")"),"Ronchin")</f>
        <v>Ronchin</v>
      </c>
      <c r="B11702" s="17" t="s">
        <v>7713</v>
      </c>
      <c r="C11702" s="17" t="s">
        <v>7052</v>
      </c>
      <c r="D11702" s="17" t="s">
        <v>7078</v>
      </c>
      <c r="E11702" s="10">
        <v>2982944</v>
      </c>
      <c r="F11702" s="4" t="str">
        <f>IF(B11702=B11701,"",B11702)</f>
        <v/>
      </c>
    </row>
    <row r="11703" spans="1:6" ht="15.75" customHeight="1">
      <c r="A11703" s="5" t="s">
        <v>25979</v>
      </c>
      <c r="B11703" s="6" t="s">
        <v>25979</v>
      </c>
      <c r="C11703" s="5" t="s">
        <v>25771</v>
      </c>
      <c r="D11703" s="5" t="s">
        <v>25938</v>
      </c>
      <c r="E11703" s="2">
        <v>1150921</v>
      </c>
      <c r="F11703" s="4" t="str">
        <f>IF(B11703=B11702,"",B11703)</f>
        <v>Ron Phibun</v>
      </c>
    </row>
    <row r="11704" spans="1:6" ht="15.75" customHeight="1">
      <c r="A11704" s="5" t="str">
        <f ca="1">IFERROR(__xludf.DUMMYFUNCTION("GOOGLETRANSLATE(B41528,""en"",""pt"")"),"Ron Phibun")</f>
        <v>Ron Phibun</v>
      </c>
      <c r="B11704" s="17" t="s">
        <v>25979</v>
      </c>
      <c r="C11704" s="17" t="s">
        <v>25771</v>
      </c>
      <c r="D11704" s="17" t="s">
        <v>25938</v>
      </c>
      <c r="E11704" s="10">
        <v>1150921</v>
      </c>
      <c r="F11704" s="4" t="str">
        <f>IF(B11704=B11703,"",B11704)</f>
        <v/>
      </c>
    </row>
    <row r="11705" spans="1:6" ht="15.75" customHeight="1">
      <c r="A11705" s="6" t="s">
        <v>10217</v>
      </c>
      <c r="B11705" s="6" t="s">
        <v>10217</v>
      </c>
      <c r="C11705" s="6" t="s">
        <v>10178</v>
      </c>
      <c r="D11705" s="6" t="s">
        <v>10252</v>
      </c>
      <c r="E11705" s="2">
        <v>1258061</v>
      </c>
      <c r="F11705" s="4" t="str">
        <f>IF(B11705=B11704,"",B11705)</f>
        <v>Ron</v>
      </c>
    </row>
    <row r="11706" spans="1:6" ht="15.75" customHeight="1">
      <c r="A11706" s="5" t="str">
        <f ca="1">IFERROR(__xludf.DUMMYFUNCTION("GOOGLETRANSLATE(B32298,""en"",""pt"")"),"Ron")</f>
        <v>Ron</v>
      </c>
      <c r="B11706" s="17" t="s">
        <v>10217</v>
      </c>
      <c r="C11706" s="17" t="s">
        <v>10178</v>
      </c>
      <c r="D11706" s="17" t="s">
        <v>10252</v>
      </c>
      <c r="E11706" s="10">
        <v>1258061</v>
      </c>
      <c r="F11706" s="4" t="str">
        <f>IF(B11706=B11705,"",B11706)</f>
        <v/>
      </c>
    </row>
    <row r="11707" spans="1:6" ht="15.75" customHeight="1">
      <c r="A11707" s="6" t="s">
        <v>29837</v>
      </c>
      <c r="B11707" s="6" t="s">
        <v>29837</v>
      </c>
      <c r="C11707" s="6" t="s">
        <v>27788</v>
      </c>
      <c r="D11707" s="6" t="s">
        <v>27804</v>
      </c>
      <c r="E11707" s="2">
        <v>5007531</v>
      </c>
      <c r="F11707" s="4" t="str">
        <f>IF(B11707=B11706,"",B11707)</f>
        <v>Romulus</v>
      </c>
    </row>
    <row r="11708" spans="1:6" ht="15.75" customHeight="1">
      <c r="A11708" s="5" t="str">
        <f ca="1">IFERROR(__xludf.DUMMYFUNCTION("GOOGLETRANSLATE(B44117,""en"",""pt"")"),"Romulus")</f>
        <v>Romulus</v>
      </c>
      <c r="B11708" s="17" t="s">
        <v>29837</v>
      </c>
      <c r="C11708" s="17" t="s">
        <v>27788</v>
      </c>
      <c r="D11708" s="17" t="s">
        <v>27804</v>
      </c>
      <c r="E11708" s="10">
        <v>5007531</v>
      </c>
      <c r="F11708" s="4" t="str">
        <f>IF(B11708=B11707,"",B11708)</f>
        <v/>
      </c>
    </row>
    <row r="11709" spans="1:6" ht="15.75" customHeight="1">
      <c r="A11709" s="6" t="s">
        <v>27643</v>
      </c>
      <c r="B11709" s="6" t="s">
        <v>27643</v>
      </c>
      <c r="C11709" s="6" t="s">
        <v>27234</v>
      </c>
      <c r="D11709" s="6" t="s">
        <v>27241</v>
      </c>
      <c r="E11709" s="2">
        <v>2639189</v>
      </c>
      <c r="F11709" s="4" t="str">
        <f>IF(B11709=B11708,"",B11709)</f>
        <v>Romsey</v>
      </c>
    </row>
    <row r="11710" spans="1:6" ht="15.75" customHeight="1">
      <c r="A11710" s="5" t="str">
        <f ca="1">IFERROR(__xludf.DUMMYFUNCTION("GOOGLETRANSLATE(B30439,""en"",""pt"")"),"Romsey")</f>
        <v>Romsey</v>
      </c>
      <c r="B11710" s="17" t="s">
        <v>27643</v>
      </c>
      <c r="C11710" s="17" t="s">
        <v>27234</v>
      </c>
      <c r="D11710" s="17" t="s">
        <v>27241</v>
      </c>
      <c r="E11710" s="10">
        <v>2639189</v>
      </c>
      <c r="F11710" s="4" t="str">
        <f>IF(B11710=B11709,"",B11710)</f>
        <v/>
      </c>
    </row>
    <row r="11711" spans="1:6" ht="15.75" customHeight="1">
      <c r="A11711" s="5" t="s">
        <v>7712</v>
      </c>
      <c r="B11711" s="6" t="s">
        <v>7712</v>
      </c>
      <c r="C11711" s="5" t="s">
        <v>7052</v>
      </c>
      <c r="D11711" s="5" t="s">
        <v>3813</v>
      </c>
      <c r="E11711" s="2">
        <v>2982967</v>
      </c>
      <c r="F11711" s="4" t="str">
        <f>IF(B11711=B11710,"",B11711)</f>
        <v>Romorantin-Lanthenay</v>
      </c>
    </row>
    <row r="11712" spans="1:6" ht="15.75" customHeight="1">
      <c r="A11712" s="5" t="str">
        <f ca="1">IFERROR(__xludf.DUMMYFUNCTION("GOOGLETRANSLATE(B29825,""en"",""pt"")"),"Romorantin-Lanthenay")</f>
        <v>Romorantin-Lanthenay</v>
      </c>
      <c r="B11712" s="17" t="s">
        <v>7712</v>
      </c>
      <c r="C11712" s="17" t="s">
        <v>7052</v>
      </c>
      <c r="D11712" s="17" t="s">
        <v>3813</v>
      </c>
      <c r="E11712" s="10">
        <v>2982967</v>
      </c>
      <c r="F11712" s="4" t="str">
        <f>IF(B11712=B11711,"",B11712)</f>
        <v/>
      </c>
    </row>
    <row r="11713" spans="1:6" ht="15.75" customHeight="1">
      <c r="A11713" s="6" t="s">
        <v>27122</v>
      </c>
      <c r="B11713" s="6" t="s">
        <v>27122</v>
      </c>
      <c r="C11713" s="6" t="s">
        <v>26870</v>
      </c>
      <c r="D11713" s="6" t="s">
        <v>26911</v>
      </c>
      <c r="E11713" s="2">
        <v>695464</v>
      </c>
      <c r="F11713" s="4" t="str">
        <f>IF(B11713=B11712,"",B11713)</f>
        <v>Romny</v>
      </c>
    </row>
    <row r="11714" spans="1:6" ht="15.75" customHeight="1">
      <c r="A11714" s="5" t="str">
        <f ca="1">IFERROR(__xludf.DUMMYFUNCTION("GOOGLETRANSLATE(B42538,""en"",""pt"")"),"Romny")</f>
        <v>Romny</v>
      </c>
      <c r="B11714" s="17" t="s">
        <v>27122</v>
      </c>
      <c r="C11714" s="17" t="s">
        <v>26870</v>
      </c>
      <c r="D11714" s="17" t="s">
        <v>26911</v>
      </c>
      <c r="E11714" s="10">
        <v>695464</v>
      </c>
      <c r="F11714" s="4" t="str">
        <f>IF(B11714=B11713,"",B11714)</f>
        <v/>
      </c>
    </row>
    <row r="11715" spans="1:6" ht="15.75" customHeight="1">
      <c r="A11715" s="6" t="s">
        <v>18195</v>
      </c>
      <c r="B11715" s="6" t="s">
        <v>18195</v>
      </c>
      <c r="C11715" s="6" t="s">
        <v>17707</v>
      </c>
      <c r="D11715" s="6" t="s">
        <v>17713</v>
      </c>
      <c r="E11715" s="2">
        <v>3988462</v>
      </c>
      <c r="F11715" s="4" t="str">
        <f>IF(B11715=B11714,"",B11715)</f>
        <v>Romita</v>
      </c>
    </row>
    <row r="11716" spans="1:6" ht="15.75" customHeight="1">
      <c r="A11716" s="5" t="str">
        <f ca="1">IFERROR(__xludf.DUMMYFUNCTION("GOOGLETRANSLATE(B37214,""en"",""pt"")"),"Romita")</f>
        <v>Romita</v>
      </c>
      <c r="B11716" s="17" t="s">
        <v>18195</v>
      </c>
      <c r="C11716" s="17" t="s">
        <v>17707</v>
      </c>
      <c r="D11716" s="17" t="s">
        <v>17713</v>
      </c>
      <c r="E11716" s="10">
        <v>3988462</v>
      </c>
      <c r="F11716" s="4" t="str">
        <f>IF(B11716=B11715,"",B11716)</f>
        <v/>
      </c>
    </row>
    <row r="11717" spans="1:6" ht="15.75" customHeight="1">
      <c r="A11717" s="5" t="s">
        <v>29836</v>
      </c>
      <c r="B11717" s="6" t="s">
        <v>29836</v>
      </c>
      <c r="C11717" s="5" t="s">
        <v>27788</v>
      </c>
      <c r="D11717" s="5" t="s">
        <v>27799</v>
      </c>
      <c r="E11717" s="2">
        <v>4908068</v>
      </c>
      <c r="F11717" s="4" t="str">
        <f>IF(B11717=B11716,"",B11717)</f>
        <v>Romeoville</v>
      </c>
    </row>
    <row r="11718" spans="1:6" ht="15.75" customHeight="1">
      <c r="A11718" s="5" t="str">
        <f ca="1">IFERROR(__xludf.DUMMYFUNCTION("GOOGLETRANSLATE(B43877,""en"",""pt"")"),"Romeoville")</f>
        <v>Romeoville</v>
      </c>
      <c r="B11718" s="17" t="s">
        <v>29836</v>
      </c>
      <c r="C11718" s="17" t="s">
        <v>27788</v>
      </c>
      <c r="D11718" s="17" t="s">
        <v>27799</v>
      </c>
      <c r="E11718" s="10">
        <v>4908068</v>
      </c>
      <c r="F11718" s="4" t="str">
        <f>IF(B11718=B11717,"",B11718)</f>
        <v/>
      </c>
    </row>
    <row r="11719" spans="1:6" ht="15.75" customHeight="1">
      <c r="A11719" s="6" t="s">
        <v>15416</v>
      </c>
      <c r="B11719" s="6" t="s">
        <v>15417</v>
      </c>
      <c r="C11719" s="6" t="s">
        <v>14891</v>
      </c>
      <c r="D11719" s="6" t="s">
        <v>14904</v>
      </c>
      <c r="E11719" s="2">
        <v>3169070</v>
      </c>
      <c r="F11719" s="4" t="str">
        <f>IF(B11719=B11718,"",B11719)</f>
        <v>Rome</v>
      </c>
    </row>
    <row r="11720" spans="1:6" ht="15.75" customHeight="1">
      <c r="A11720" s="6" t="s">
        <v>15416</v>
      </c>
      <c r="B11720" s="6" t="s">
        <v>15417</v>
      </c>
      <c r="C11720" s="6" t="s">
        <v>27788</v>
      </c>
      <c r="D11720" s="6" t="s">
        <v>7988</v>
      </c>
      <c r="E11720" s="2">
        <v>4219762</v>
      </c>
      <c r="F11720" s="4" t="str">
        <f>IF(B11720=B11719,"",B11720)</f>
        <v/>
      </c>
    </row>
    <row r="11721" spans="1:6" ht="15.75" customHeight="1">
      <c r="A11721" s="6" t="s">
        <v>15416</v>
      </c>
      <c r="B11721" s="6" t="s">
        <v>15417</v>
      </c>
      <c r="C11721" s="6" t="s">
        <v>27788</v>
      </c>
      <c r="D11721" s="6" t="s">
        <v>27819</v>
      </c>
      <c r="E11721" s="2">
        <v>5134295</v>
      </c>
      <c r="F11721" s="4" t="str">
        <f>IF(B11721=B11720,"",B11721)</f>
        <v/>
      </c>
    </row>
    <row r="11722" spans="1:6" ht="15.75" customHeight="1">
      <c r="A11722" s="5" t="str">
        <f ca="1">IFERROR(__xludf.DUMMYFUNCTION("GOOGLETRANSLATE(B34740,""en"",""pt"")"),"Roma")</f>
        <v>Roma</v>
      </c>
      <c r="B11722" s="17" t="s">
        <v>15417</v>
      </c>
      <c r="C11722" s="17" t="s">
        <v>14891</v>
      </c>
      <c r="D11722" s="17" t="s">
        <v>14904</v>
      </c>
      <c r="E11722" s="10">
        <v>3169070</v>
      </c>
      <c r="F11722" s="4" t="str">
        <f>IF(B11722=B11721,"",B11722)</f>
        <v/>
      </c>
    </row>
    <row r="11723" spans="1:6" ht="15.75" customHeight="1">
      <c r="A11723" s="5" t="str">
        <f ca="1">IFERROR(__xludf.DUMMYFUNCTION("GOOGLETRANSLATE(B43104,""en"",""pt"")"),"Roma")</f>
        <v>Roma</v>
      </c>
      <c r="B11723" s="17" t="s">
        <v>15417</v>
      </c>
      <c r="C11723" s="17" t="s">
        <v>27788</v>
      </c>
      <c r="D11723" s="17" t="s">
        <v>7988</v>
      </c>
      <c r="E11723" s="10">
        <v>4219762</v>
      </c>
      <c r="F11723" s="4" t="str">
        <f>IF(B11723=B11722,"",B11723)</f>
        <v/>
      </c>
    </row>
    <row r="11724" spans="1:6" ht="15.75" customHeight="1">
      <c r="A11724" s="5" t="str">
        <f ca="1">IFERROR(__xludf.DUMMYFUNCTION("GOOGLETRANSLATE(B44441,""en"",""pt"")"),"Roma")</f>
        <v>Roma</v>
      </c>
      <c r="B11724" s="17" t="s">
        <v>15417</v>
      </c>
      <c r="C11724" s="17" t="s">
        <v>27788</v>
      </c>
      <c r="D11724" s="17" t="s">
        <v>27819</v>
      </c>
      <c r="E11724" s="10">
        <v>5134295</v>
      </c>
      <c r="F11724" s="4" t="str">
        <f>IF(B11724=B11723,"",B11724)</f>
        <v/>
      </c>
    </row>
    <row r="11725" spans="1:6" ht="15.75" customHeight="1">
      <c r="A11725" s="6" t="s">
        <v>20984</v>
      </c>
      <c r="B11725" s="6" t="s">
        <v>20984</v>
      </c>
      <c r="C11725" s="6" t="s">
        <v>20598</v>
      </c>
      <c r="D11725" s="6" t="s">
        <v>20715</v>
      </c>
      <c r="E11725" s="2">
        <v>1691538</v>
      </c>
      <c r="F11725" s="4" t="str">
        <f>IF(B11725=B11724,"",B11725)</f>
        <v>Romblon</v>
      </c>
    </row>
    <row r="11726" spans="1:6" ht="15.75" customHeight="1">
      <c r="A11726" s="5" t="str">
        <f ca="1">IFERROR(__xludf.DUMMYFUNCTION("GOOGLETRANSLATE(B38531,""en"",""pt"")"),"Romblon")</f>
        <v>Romblon</v>
      </c>
      <c r="B11726" s="17" t="s">
        <v>20984</v>
      </c>
      <c r="C11726" s="17" t="s">
        <v>20598</v>
      </c>
      <c r="D11726" s="17" t="s">
        <v>20715</v>
      </c>
      <c r="E11726" s="10">
        <v>1691538</v>
      </c>
      <c r="F11726" s="4" t="str">
        <f>IF(B11726=B11725,"",B11726)</f>
        <v/>
      </c>
    </row>
    <row r="11727" spans="1:6" ht="15.75" customHeight="1">
      <c r="A11727" s="5" t="str">
        <f ca="1">IFERROR(__xludf.DUMMYFUNCTION("GOOGLETRANSLATE(B29826,""en"",""pt"")"),"Romanos-sur-isère")</f>
        <v>Romanos-sur-isère</v>
      </c>
      <c r="B11727" s="17" t="s">
        <v>32567</v>
      </c>
      <c r="C11727" s="17" t="s">
        <v>7052</v>
      </c>
      <c r="D11727" s="17" t="s">
        <v>32532</v>
      </c>
      <c r="E11727" s="10">
        <v>2983011</v>
      </c>
      <c r="F11727" s="4" t="str">
        <f>IF(B11727=B11726,"",B11727)</f>
        <v>Romans-sur-Isère</v>
      </c>
    </row>
    <row r="11728" spans="1:6" ht="15.75" customHeight="1">
      <c r="A11728" s="5" t="s">
        <v>7710</v>
      </c>
      <c r="B11728" s="6" t="s">
        <v>7711</v>
      </c>
      <c r="C11728" s="5" t="s">
        <v>7052</v>
      </c>
      <c r="D11728" s="5" t="s">
        <v>7053</v>
      </c>
      <c r="E11728" s="2">
        <v>2983011</v>
      </c>
      <c r="F11728" s="4" t="str">
        <f>IF(B11728=B11727,"",B11728)</f>
        <v>Romans-sur-IsÃ¨re</v>
      </c>
    </row>
    <row r="11729" spans="1:6" ht="15.75" customHeight="1">
      <c r="A11729" s="5" t="s">
        <v>15415</v>
      </c>
      <c r="B11729" s="6" t="s">
        <v>15415</v>
      </c>
      <c r="C11729" s="5" t="s">
        <v>14891</v>
      </c>
      <c r="D11729" s="5" t="s">
        <v>14894</v>
      </c>
      <c r="E11729" s="2">
        <v>3169056</v>
      </c>
      <c r="F11729" s="4" t="str">
        <f>IF(B11729=B11728,"",B11729)</f>
        <v>Romano di Lombardia</v>
      </c>
    </row>
    <row r="11730" spans="1:6" ht="15.75" customHeight="1">
      <c r="A11730" s="5" t="str">
        <f ca="1">IFERROR(__xludf.DUMMYFUNCTION("GOOGLETRANSLATE(B34739,""en"",""pt"")"),"Romano di Lombardia")</f>
        <v>Romano di Lombardia</v>
      </c>
      <c r="B11730" s="17" t="s">
        <v>15415</v>
      </c>
      <c r="C11730" s="17" t="s">
        <v>14891</v>
      </c>
      <c r="D11730" s="17" t="s">
        <v>14894</v>
      </c>
      <c r="E11730" s="10">
        <v>3169056</v>
      </c>
      <c r="F11730" s="4" t="str">
        <f>IF(B11730=B11729,"",B11730)</f>
        <v/>
      </c>
    </row>
    <row r="11731" spans="1:6" ht="15.75" customHeight="1">
      <c r="A11731" s="5" t="s">
        <v>15414</v>
      </c>
      <c r="B11731" s="6" t="s">
        <v>15414</v>
      </c>
      <c r="C11731" s="5" t="s">
        <v>14891</v>
      </c>
      <c r="D11731" s="5" t="s">
        <v>14894</v>
      </c>
      <c r="E11731" s="2">
        <v>8948705</v>
      </c>
      <c r="F11731" s="4" t="str">
        <f>IF(B11731=B11730,"",B11731)</f>
        <v>Romano Banco</v>
      </c>
    </row>
    <row r="11732" spans="1:6" ht="15.75" customHeight="1">
      <c r="A11732" s="5" t="str">
        <f ca="1">IFERROR(__xludf.DUMMYFUNCTION("GOOGLETRANSLATE(B35105,""en"",""pt"")"),"Romano Banco")</f>
        <v>Romano Banco</v>
      </c>
      <c r="B11732" s="17" t="s">
        <v>15414</v>
      </c>
      <c r="C11732" s="17" t="s">
        <v>14891</v>
      </c>
      <c r="D11732" s="17" t="s">
        <v>14894</v>
      </c>
      <c r="E11732" s="10">
        <v>8948705</v>
      </c>
      <c r="F11732" s="4" t="str">
        <f>IF(B11732=B11731,"",B11732)</f>
        <v/>
      </c>
    </row>
    <row r="11733" spans="1:6" ht="15.75" customHeight="1">
      <c r="A11733" s="6" t="s">
        <v>22008</v>
      </c>
      <c r="B11733" s="6" t="s">
        <v>22009</v>
      </c>
      <c r="C11733" s="6" t="s">
        <v>21824</v>
      </c>
      <c r="D11733" s="6" t="s">
        <v>21988</v>
      </c>
      <c r="E11733" s="2">
        <v>668732</v>
      </c>
      <c r="F11733" s="4" t="str">
        <f>IF(B11733=B11732,"",B11733)</f>
        <v>Roman</v>
      </c>
    </row>
    <row r="11734" spans="1:6" ht="15.75" customHeight="1">
      <c r="A11734" s="5" t="str">
        <f ca="1">IFERROR(__xludf.DUMMYFUNCTION("GOOGLETRANSLATE(B39753,""en"",""pt"")"),"romano")</f>
        <v>romano</v>
      </c>
      <c r="B11734" s="17" t="s">
        <v>22009</v>
      </c>
      <c r="C11734" s="17" t="s">
        <v>21824</v>
      </c>
      <c r="D11734" s="17" t="s">
        <v>35341</v>
      </c>
      <c r="E11734" s="10">
        <v>668732</v>
      </c>
      <c r="F11734" s="4" t="str">
        <f>IF(B11734=B11733,"",B11734)</f>
        <v/>
      </c>
    </row>
    <row r="11735" spans="1:6" ht="15.75" customHeight="1">
      <c r="A11735" s="5" t="s">
        <v>7709</v>
      </c>
      <c r="B11735" s="6" t="s">
        <v>7709</v>
      </c>
      <c r="C11735" s="5" t="s">
        <v>7052</v>
      </c>
      <c r="D11735" s="5" t="s">
        <v>7058</v>
      </c>
      <c r="E11735" s="2">
        <v>2983026</v>
      </c>
      <c r="F11735" s="4" t="str">
        <f>IF(B11735=B11734,"",B11735)</f>
        <v>Romainville</v>
      </c>
    </row>
    <row r="11736" spans="1:6" ht="15.75" customHeight="1">
      <c r="A11736" s="5" t="str">
        <f ca="1">IFERROR(__xludf.DUMMYFUNCTION("GOOGLETRANSLATE(B29827,""en"",""pt"")"),"Romainville")</f>
        <v>Romainville</v>
      </c>
      <c r="B11736" s="17" t="s">
        <v>7709</v>
      </c>
      <c r="C11736" s="17" t="s">
        <v>7052</v>
      </c>
      <c r="D11736" s="17" t="s">
        <v>32531</v>
      </c>
      <c r="E11736" s="10">
        <v>2983026</v>
      </c>
      <c r="F11736" s="4" t="str">
        <f>IF(B11736=B11735,"",B11736)</f>
        <v/>
      </c>
    </row>
    <row r="11737" spans="1:6" ht="15.75" customHeight="1">
      <c r="A11737" s="5" t="s">
        <v>29834</v>
      </c>
      <c r="B11737" s="6" t="s">
        <v>29835</v>
      </c>
      <c r="C11737" s="5" t="s">
        <v>27788</v>
      </c>
      <c r="D11737" s="5" t="s">
        <v>27799</v>
      </c>
      <c r="E11737" s="2">
        <v>4908052</v>
      </c>
      <c r="F11737" s="4" t="str">
        <f>IF(B11737=B11736,"",B11737)</f>
        <v>Rolling Meadows</v>
      </c>
    </row>
    <row r="11738" spans="1:6" ht="15.75" customHeight="1">
      <c r="A11738" s="5" t="str">
        <f ca="1">IFERROR(__xludf.DUMMYFUNCTION("GOOGLETRANSLATE(B43876,""en"",""pt"")"),"Prados rolantes")</f>
        <v>Prados rolantes</v>
      </c>
      <c r="B11738" s="17" t="s">
        <v>29835</v>
      </c>
      <c r="C11738" s="17" t="s">
        <v>27788</v>
      </c>
      <c r="D11738" s="17" t="s">
        <v>27799</v>
      </c>
      <c r="E11738" s="10">
        <v>4908052</v>
      </c>
      <c r="F11738" s="4" t="str">
        <f>IF(B11738=B11737,"",B11738)</f>
        <v/>
      </c>
    </row>
    <row r="11739" spans="1:6" ht="15.75" customHeight="1">
      <c r="A11739" s="6" t="s">
        <v>29833</v>
      </c>
      <c r="B11739" s="6" t="s">
        <v>29833</v>
      </c>
      <c r="C11739" s="6" t="s">
        <v>27788</v>
      </c>
      <c r="D11739" s="6" t="s">
        <v>27806</v>
      </c>
      <c r="E11739" s="2">
        <v>4406282</v>
      </c>
      <c r="F11739" s="4" t="str">
        <f>IF(B11739=B11738,"",B11739)</f>
        <v>Rolla</v>
      </c>
    </row>
    <row r="11740" spans="1:6" ht="15.75" customHeight="1">
      <c r="A11740" s="5" t="str">
        <f ca="1">IFERROR(__xludf.DUMMYFUNCTION("GOOGLETRANSLATE(B43385,""en"",""pt"")"),"Rolla")</f>
        <v>Rolla</v>
      </c>
      <c r="B11740" s="17" t="s">
        <v>29833</v>
      </c>
      <c r="C11740" s="17" t="s">
        <v>27788</v>
      </c>
      <c r="D11740" s="17" t="s">
        <v>27806</v>
      </c>
      <c r="E11740" s="10">
        <v>4406282</v>
      </c>
      <c r="F11740" s="4" t="str">
        <f>IF(B11740=B11739,"",B11740)</f>
        <v/>
      </c>
    </row>
    <row r="11741" spans="1:6" ht="15.75" customHeight="1">
      <c r="A11741" s="5" t="s">
        <v>5582</v>
      </c>
      <c r="B11741" s="6" t="s">
        <v>5582</v>
      </c>
      <c r="C11741" s="5" t="s">
        <v>5348</v>
      </c>
      <c r="D11741" s="5" t="s">
        <v>5360</v>
      </c>
      <c r="E11741" s="2">
        <v>3670644</v>
      </c>
      <c r="F11741" s="4" t="str">
        <f>IF(B11741=B11740,"",B11741)</f>
        <v>Roldanillo</v>
      </c>
    </row>
    <row r="11742" spans="1:6" ht="15.75" customHeight="1">
      <c r="A11742" s="5" t="str">
        <f ca="1">IFERROR(__xludf.DUMMYFUNCTION("GOOGLETRANSLATE(B26902,""en"",""pt"")"),"Roldanillo")</f>
        <v>Roldanillo</v>
      </c>
      <c r="B11742" s="17" t="s">
        <v>5582</v>
      </c>
      <c r="C11742" s="17" t="s">
        <v>5348</v>
      </c>
      <c r="D11742" s="17" t="s">
        <v>5360</v>
      </c>
      <c r="E11742" s="10">
        <v>3670644</v>
      </c>
      <c r="F11742" s="4" t="str">
        <f>IF(B11742=B11741,"",B11742)</f>
        <v/>
      </c>
    </row>
    <row r="11743" spans="1:6" ht="15.75" customHeight="1">
      <c r="A11743" s="6" t="s">
        <v>3238</v>
      </c>
      <c r="B11743" s="6" t="s">
        <v>3238</v>
      </c>
      <c r="C11743" s="6" t="s">
        <v>1905</v>
      </c>
      <c r="D11743" s="6" t="s">
        <v>1951</v>
      </c>
      <c r="E11743" s="2">
        <v>3450963</v>
      </c>
      <c r="F11743" s="4" t="str">
        <f>IF(B11743=B11742,"",B11743)</f>
        <v>Rolante</v>
      </c>
    </row>
    <row r="11744" spans="1:6" ht="15.75" customHeight="1">
      <c r="A11744" s="5" t="str">
        <f ca="1">IFERROR(__xludf.DUMMYFUNCTION("GOOGLETRANSLATE(B24631,""en"",""pt"")"),"Rolante")</f>
        <v>Rolante</v>
      </c>
      <c r="B11744" s="17" t="s">
        <v>3238</v>
      </c>
      <c r="C11744" s="17" t="s">
        <v>1905</v>
      </c>
      <c r="D11744" s="17" t="s">
        <v>1951</v>
      </c>
      <c r="E11744" s="10">
        <v>3450963</v>
      </c>
      <c r="F11744" s="4" t="str">
        <f>IF(B11744=B11743,"",B11744)</f>
        <v/>
      </c>
    </row>
    <row r="11745" spans="1:6" ht="15.75" customHeight="1">
      <c r="A11745" s="5" t="str">
        <f ca="1">IFERROR(__xludf.DUMMYFUNCTION("GOOGLETRANSLATE(B24632,""en"",""pt"")"),"Rolândia")</f>
        <v>Rolândia</v>
      </c>
      <c r="B11745" s="17" t="s">
        <v>31530</v>
      </c>
      <c r="C11745" s="17" t="s">
        <v>1905</v>
      </c>
      <c r="D11745" s="17" t="s">
        <v>727</v>
      </c>
      <c r="E11745" s="10">
        <v>3450964</v>
      </c>
      <c r="F11745" s="4" t="str">
        <f>IF(B11745=B11744,"",B11745)</f>
        <v>Rolândia</v>
      </c>
    </row>
    <row r="11746" spans="1:6" ht="15.75" customHeight="1">
      <c r="A11746" s="6" t="s">
        <v>3236</v>
      </c>
      <c r="B11746" s="6" t="s">
        <v>3237</v>
      </c>
      <c r="C11746" s="6" t="s">
        <v>1905</v>
      </c>
      <c r="D11746" s="6" t="s">
        <v>728</v>
      </c>
      <c r="E11746" s="2">
        <v>3450964</v>
      </c>
      <c r="F11746" s="4" t="str">
        <f>IF(B11746=B11745,"",B11746)</f>
        <v>RolÃ¢ndia</v>
      </c>
    </row>
    <row r="11747" spans="1:6" ht="15.75" customHeight="1">
      <c r="A11747" s="5" t="str">
        <f ca="1">IFERROR(__xludf.DUMMYFUNCTION("GOOGLETRANSLATE(B36368,""en"",""pt"")"),"Rokiškis")</f>
        <v>Rokiškis</v>
      </c>
      <c r="B11747" s="17" t="s">
        <v>34530</v>
      </c>
      <c r="C11747" s="17" t="s">
        <v>17154</v>
      </c>
      <c r="D11747" s="17" t="s">
        <v>34531</v>
      </c>
      <c r="E11747" s="10">
        <v>595213</v>
      </c>
      <c r="F11747" s="4" t="str">
        <f>IF(B11747=B11746,"",B11747)</f>
        <v>Rokiškis</v>
      </c>
    </row>
    <row r="11748" spans="1:6" ht="15.75" customHeight="1">
      <c r="A11748" s="6" t="s">
        <v>17199</v>
      </c>
      <c r="B11748" s="6" t="s">
        <v>17200</v>
      </c>
      <c r="C11748" s="6" t="s">
        <v>17154</v>
      </c>
      <c r="D11748" s="6" t="s">
        <v>17193</v>
      </c>
      <c r="E11748" s="2">
        <v>595213</v>
      </c>
      <c r="F11748" s="4" t="str">
        <f>IF(B11748=B11747,"",B11748)</f>
        <v>RokiÅ¡kis</v>
      </c>
    </row>
    <row r="11749" spans="1:6" ht="15.75" customHeight="1">
      <c r="A11749" s="6" t="s">
        <v>24736</v>
      </c>
      <c r="B11749" s="6" t="s">
        <v>24736</v>
      </c>
      <c r="C11749" s="6" t="s">
        <v>24200</v>
      </c>
      <c r="D11749" s="6" t="s">
        <v>21053</v>
      </c>
      <c r="E11749" s="2">
        <v>2511752</v>
      </c>
      <c r="F11749" s="4" t="str">
        <f>IF(B11749=B11748,"",B11749)</f>
        <v>Rojales</v>
      </c>
    </row>
    <row r="11750" spans="1:6" ht="15.75" customHeight="1">
      <c r="A11750" s="5" t="str">
        <f ca="1">IFERROR(__xludf.DUMMYFUNCTION("GOOGLETRANSLATE(B29011,""en"",""pt"")"),"Rojales")</f>
        <v>Rojales</v>
      </c>
      <c r="B11750" s="17" t="s">
        <v>24736</v>
      </c>
      <c r="C11750" s="17" t="s">
        <v>24200</v>
      </c>
      <c r="D11750" s="17" t="s">
        <v>21053</v>
      </c>
      <c r="E11750" s="10">
        <v>2511752</v>
      </c>
      <c r="F11750" s="4" t="str">
        <f>IF(B11750=B11749,"",B11750)</f>
        <v/>
      </c>
    </row>
    <row r="11751" spans="1:6" ht="15.75" customHeight="1">
      <c r="A11751" s="5" t="s">
        <v>7708</v>
      </c>
      <c r="B11751" s="6" t="s">
        <v>7708</v>
      </c>
      <c r="C11751" s="5" t="s">
        <v>7052</v>
      </c>
      <c r="D11751" s="5" t="s">
        <v>7058</v>
      </c>
      <c r="E11751" s="2">
        <v>2983074</v>
      </c>
      <c r="F11751" s="4" t="str">
        <f>IF(B11751=B11750,"",B11751)</f>
        <v>Roissy-en-Brie</v>
      </c>
    </row>
    <row r="11752" spans="1:6" ht="15.75" customHeight="1">
      <c r="A11752" s="5" t="str">
        <f ca="1">IFERROR(__xludf.DUMMYFUNCTION("GOOGLETRANSLATE(B29828,""en"",""pt"")"),"Roissy-en-Brie")</f>
        <v>Roissy-en-Brie</v>
      </c>
      <c r="B11752" s="17" t="s">
        <v>7708</v>
      </c>
      <c r="C11752" s="17" t="s">
        <v>7052</v>
      </c>
      <c r="D11752" s="17" t="s">
        <v>32531</v>
      </c>
      <c r="E11752" s="10">
        <v>2983074</v>
      </c>
      <c r="F11752" s="4" t="str">
        <f>IF(B11752=B11751,"",B11752)</f>
        <v/>
      </c>
    </row>
    <row r="11753" spans="1:6" ht="15.75" customHeight="1">
      <c r="A11753" s="6" t="s">
        <v>25978</v>
      </c>
      <c r="B11753" s="6" t="s">
        <v>25815</v>
      </c>
      <c r="C11753" s="6" t="s">
        <v>25771</v>
      </c>
      <c r="D11753" s="6" t="s">
        <v>25815</v>
      </c>
      <c r="E11753" s="2">
        <v>1607001</v>
      </c>
      <c r="F11753" s="4" t="str">
        <f>IF(B11753=B11752,"",B11753)</f>
        <v>Roi Et</v>
      </c>
    </row>
    <row r="11754" spans="1:6" ht="15.75" customHeight="1">
      <c r="A11754" s="5" t="str">
        <f ca="1">IFERROR(__xludf.DUMMYFUNCTION("GOOGLETRANSLATE(B41618,""en"",""pt"")"),"ROI ET")</f>
        <v>ROI ET</v>
      </c>
      <c r="B11754" s="17" t="s">
        <v>25815</v>
      </c>
      <c r="C11754" s="17" t="s">
        <v>25771</v>
      </c>
      <c r="D11754" s="17" t="s">
        <v>25815</v>
      </c>
      <c r="E11754" s="10">
        <v>1607001</v>
      </c>
      <c r="F11754" s="4" t="str">
        <f>IF(B11754=B11753,"",B11754)</f>
        <v/>
      </c>
    </row>
    <row r="11755" spans="1:6" ht="15.75" customHeight="1">
      <c r="A11755" s="6" t="s">
        <v>13118</v>
      </c>
      <c r="B11755" s="6" t="s">
        <v>13118</v>
      </c>
      <c r="C11755" s="6" t="s">
        <v>10178</v>
      </c>
      <c r="D11755" s="6" t="s">
        <v>10224</v>
      </c>
      <c r="E11755" s="2">
        <v>1258076</v>
      </c>
      <c r="F11755" s="4" t="str">
        <f>IF(B11755=B11754,"",B11755)</f>
        <v>Rohtak</v>
      </c>
    </row>
    <row r="11756" spans="1:6" ht="15.75" customHeight="1">
      <c r="A11756" s="5" t="str">
        <f ca="1">IFERROR(__xludf.DUMMYFUNCTION("GOOGLETRANSLATE(B32299,""en"",""pt"")"),"Rohtak")</f>
        <v>Rohtak</v>
      </c>
      <c r="B11756" s="17" t="s">
        <v>13118</v>
      </c>
      <c r="C11756" s="17" t="s">
        <v>10178</v>
      </c>
      <c r="D11756" s="17" t="s">
        <v>10224</v>
      </c>
      <c r="E11756" s="10">
        <v>1258076</v>
      </c>
      <c r="F11756" s="4" t="str">
        <f>IF(B11756=B11755,"",B11756)</f>
        <v/>
      </c>
    </row>
    <row r="11757" spans="1:6" ht="15.75" customHeight="1">
      <c r="A11757" s="6" t="s">
        <v>20192</v>
      </c>
      <c r="B11757" s="6" t="s">
        <v>20192</v>
      </c>
      <c r="C11757" s="6" t="s">
        <v>19808</v>
      </c>
      <c r="D11757" s="6" t="s">
        <v>19823</v>
      </c>
      <c r="E11757" s="2">
        <v>1166827</v>
      </c>
      <c r="F11757" s="4" t="str">
        <f>IF(B11757=B11756,"",B11757)</f>
        <v>Rohri</v>
      </c>
    </row>
    <row r="11758" spans="1:6" ht="15.75" customHeight="1">
      <c r="A11758" s="5" t="str">
        <f ca="1">IFERROR(__xludf.DUMMYFUNCTION("GOOGLETRANSLATE(B38933,""en"",""pt"")"),"Rohri")</f>
        <v>Rohri</v>
      </c>
      <c r="B11758" s="17" t="s">
        <v>20192</v>
      </c>
      <c r="C11758" s="17" t="s">
        <v>19808</v>
      </c>
      <c r="D11758" s="17" t="s">
        <v>19823</v>
      </c>
      <c r="E11758" s="10">
        <v>1166827</v>
      </c>
      <c r="F11758" s="4" t="str">
        <f>IF(B11758=B11757,"",B11758)</f>
        <v/>
      </c>
    </row>
    <row r="11759" spans="1:6" ht="15.75" customHeight="1">
      <c r="A11759" s="5" t="s">
        <v>29832</v>
      </c>
      <c r="B11759" s="6" t="s">
        <v>29832</v>
      </c>
      <c r="C11759" s="5" t="s">
        <v>27788</v>
      </c>
      <c r="D11759" s="5" t="s">
        <v>27801</v>
      </c>
      <c r="E11759" s="2">
        <v>5388564</v>
      </c>
      <c r="F11759" s="4" t="str">
        <f>IF(B11759=B11758,"",B11759)</f>
        <v>Rohnert Park</v>
      </c>
    </row>
    <row r="11760" spans="1:6" ht="15.75" customHeight="1">
      <c r="A11760" s="5" t="str">
        <f ca="1">IFERROR(__xludf.DUMMYFUNCTION("GOOGLETRANSLATE(B44989,""en"",""pt"")"),"Rohnert Park")</f>
        <v>Rohnert Park</v>
      </c>
      <c r="B11760" s="17" t="s">
        <v>29832</v>
      </c>
      <c r="C11760" s="17" t="s">
        <v>27788</v>
      </c>
      <c r="D11760" s="17" t="s">
        <v>27801</v>
      </c>
      <c r="E11760" s="10">
        <v>5388564</v>
      </c>
      <c r="F11760" s="4" t="str">
        <f>IF(B11760=B11759,"",B11760)</f>
        <v/>
      </c>
    </row>
    <row r="11761" spans="1:6" ht="15.75" customHeight="1">
      <c r="A11761" s="6" t="s">
        <v>13117</v>
      </c>
      <c r="B11761" s="6" t="s">
        <v>13117</v>
      </c>
      <c r="C11761" s="6" t="s">
        <v>10178</v>
      </c>
      <c r="D11761" s="6" t="s">
        <v>10214</v>
      </c>
      <c r="E11761" s="2">
        <v>1258099</v>
      </c>
      <c r="F11761" s="4" t="str">
        <f>IF(B11761=B11760,"",B11761)</f>
        <v>Roha</v>
      </c>
    </row>
    <row r="11762" spans="1:6" ht="15.75" customHeight="1">
      <c r="A11762" s="5" t="str">
        <f ca="1">IFERROR(__xludf.DUMMYFUNCTION("GOOGLETRANSLATE(B32300,""en"",""pt"")"),"Roha")</f>
        <v>Roha</v>
      </c>
      <c r="B11762" s="17" t="s">
        <v>13117</v>
      </c>
      <c r="C11762" s="17" t="s">
        <v>10178</v>
      </c>
      <c r="D11762" s="17" t="s">
        <v>10214</v>
      </c>
      <c r="E11762" s="10">
        <v>1258099</v>
      </c>
      <c r="F11762" s="4" t="str">
        <f>IF(B11762=B11761,"",B11762)</f>
        <v/>
      </c>
    </row>
    <row r="11763" spans="1:6" ht="15.75" customHeight="1">
      <c r="A11763" s="6" t="s">
        <v>29831</v>
      </c>
      <c r="B11763" s="6" t="s">
        <v>29831</v>
      </c>
      <c r="C11763" s="6" t="s">
        <v>27788</v>
      </c>
      <c r="D11763" s="6" t="s">
        <v>27991</v>
      </c>
      <c r="E11763" s="2">
        <v>4128894</v>
      </c>
      <c r="F11763" s="4" t="str">
        <f>IF(B11763=B11762,"",B11763)</f>
        <v>Rogers</v>
      </c>
    </row>
    <row r="11764" spans="1:6" ht="15.75" customHeight="1">
      <c r="A11764" s="5" t="str">
        <f ca="1">IFERROR(__xludf.DUMMYFUNCTION("GOOGLETRANSLATE(B42825,""en"",""pt"")"),"Rogers")</f>
        <v>Rogers</v>
      </c>
      <c r="B11764" s="17" t="s">
        <v>29831</v>
      </c>
      <c r="C11764" s="17" t="s">
        <v>27788</v>
      </c>
      <c r="D11764" s="17" t="s">
        <v>27991</v>
      </c>
      <c r="E11764" s="10">
        <v>4128894</v>
      </c>
      <c r="F11764" s="4" t="str">
        <f>IF(B11764=B11763,"",B11764)</f>
        <v/>
      </c>
    </row>
    <row r="11765" spans="1:6" ht="15.75" customHeight="1">
      <c r="A11765" s="5" t="s">
        <v>22006</v>
      </c>
      <c r="B11765" s="6" t="s">
        <v>22007</v>
      </c>
      <c r="C11765" s="5" t="s">
        <v>21824</v>
      </c>
      <c r="D11765" s="5" t="s">
        <v>21828</v>
      </c>
      <c r="E11765" s="2">
        <v>668605</v>
      </c>
      <c r="F11765" s="4" t="str">
        <f>IF(B11765=B11764,"",B11765)</f>
        <v>RoÈ™iorii de Vede</v>
      </c>
    </row>
    <row r="11766" spans="1:6" ht="15.75" customHeight="1">
      <c r="A11766" s="6" t="s">
        <v>1673</v>
      </c>
      <c r="B11766" s="6" t="s">
        <v>1673</v>
      </c>
      <c r="C11766" s="6" t="s">
        <v>1512</v>
      </c>
      <c r="D11766" s="6" t="s">
        <v>1513</v>
      </c>
      <c r="E11766" s="2">
        <v>2787889</v>
      </c>
      <c r="F11766" s="4" t="str">
        <f>IF(B11766=B11765,"",B11766)</f>
        <v>Roeselare</v>
      </c>
    </row>
    <row r="11767" spans="1:6" ht="15.75" customHeight="1">
      <c r="A11767" s="5" t="str">
        <f ca="1">IFERROR(__xludf.DUMMYFUNCTION("GOOGLETRANSLATE(B23841,""en"",""pt"")"),"Roeselare")</f>
        <v>Roeselare</v>
      </c>
      <c r="B11767" s="17" t="s">
        <v>1673</v>
      </c>
      <c r="C11767" s="17" t="s">
        <v>1512</v>
      </c>
      <c r="D11767" s="17" t="s">
        <v>1513</v>
      </c>
      <c r="E11767" s="10">
        <v>2787889</v>
      </c>
      <c r="F11767" s="4" t="str">
        <f>IF(B11767=B11766,"",B11767)</f>
        <v/>
      </c>
    </row>
    <row r="11768" spans="1:6" ht="15.75" customHeight="1">
      <c r="A11768" s="5" t="s">
        <v>19075</v>
      </c>
      <c r="B11768" s="6" t="s">
        <v>19075</v>
      </c>
      <c r="C11768" s="5" t="s">
        <v>18862</v>
      </c>
      <c r="D11768" s="5" t="s">
        <v>18893</v>
      </c>
      <c r="E11768" s="2">
        <v>2748000</v>
      </c>
      <c r="F11768" s="4" t="str">
        <f>IF(B11768=B11767,"",B11768)</f>
        <v>Roermond</v>
      </c>
    </row>
    <row r="11769" spans="1:6" ht="15.75" customHeight="1">
      <c r="A11769" s="5" t="str">
        <f ca="1">IFERROR(__xludf.DUMMYFUNCTION("GOOGLETRANSLATE(B37966,""en"",""pt"")"),"Roermond")</f>
        <v>Roermond</v>
      </c>
      <c r="B11769" s="17" t="s">
        <v>19075</v>
      </c>
      <c r="C11769" s="17" t="s">
        <v>18862</v>
      </c>
      <c r="D11769" s="17" t="s">
        <v>18893</v>
      </c>
      <c r="E11769" s="10">
        <v>2748000</v>
      </c>
      <c r="F11769" s="4" t="str">
        <f>IF(B11769=B11768,"",B11769)</f>
        <v/>
      </c>
    </row>
    <row r="11770" spans="1:6" ht="15.75" customHeight="1">
      <c r="A11770" s="5" t="s">
        <v>20983</v>
      </c>
      <c r="B11770" s="6" t="s">
        <v>20983</v>
      </c>
      <c r="C11770" s="5" t="s">
        <v>20598</v>
      </c>
      <c r="D11770" s="5" t="s">
        <v>20608</v>
      </c>
      <c r="E11770" s="2">
        <v>1699296</v>
      </c>
      <c r="F11770" s="4" t="str">
        <f>IF(B11770=B11769,"",B11770)</f>
        <v>Rodriguez</v>
      </c>
    </row>
    <row r="11771" spans="1:6" ht="15.75" customHeight="1">
      <c r="A11771" s="5" t="str">
        <f ca="1">IFERROR(__xludf.DUMMYFUNCTION("GOOGLETRANSLATE(B38599,""en"",""pt"")"),"Rodriguez")</f>
        <v>Rodriguez</v>
      </c>
      <c r="B11771" s="17" t="s">
        <v>20983</v>
      </c>
      <c r="C11771" s="17" t="s">
        <v>20598</v>
      </c>
      <c r="D11771" s="17" t="s">
        <v>20608</v>
      </c>
      <c r="E11771" s="10">
        <v>1699296</v>
      </c>
      <c r="F11771" s="4" t="str">
        <f>IF(B11771=B11770,"",B11771)</f>
        <v/>
      </c>
    </row>
    <row r="11772" spans="1:6" ht="15.75" customHeight="1">
      <c r="A11772" s="5" t="str">
        <f ca="1">IFERROR(__xludf.DUMMYFUNCTION("GOOGLETRANSLATE(B28413,""en"",""pt"")"),"Rødovre")</f>
        <v>Rødovre</v>
      </c>
      <c r="B11772" s="17" t="s">
        <v>32152</v>
      </c>
      <c r="C11772" s="17" t="s">
        <v>6209</v>
      </c>
      <c r="D11772" s="17" t="s">
        <v>6216</v>
      </c>
      <c r="E11772" s="10">
        <v>2614600</v>
      </c>
      <c r="F11772" s="4" t="str">
        <f>IF(B11772=B11771,"",B11772)</f>
        <v>Rødovre</v>
      </c>
    </row>
    <row r="11773" spans="1:6" ht="15.75" customHeight="1">
      <c r="A11773" s="5" t="str">
        <f ca="1">IFERROR(__xludf.DUMMYFUNCTION("GOOGLETRANSLATE(B31027,""en"",""pt"")"),"Ród")</f>
        <v>Ród</v>
      </c>
      <c r="B11773" s="17" t="s">
        <v>32733</v>
      </c>
      <c r="C11773" s="17" t="s">
        <v>9441</v>
      </c>
      <c r="D11773" s="17" t="s">
        <v>9562</v>
      </c>
      <c r="E11773" s="10">
        <v>400666</v>
      </c>
      <c r="F11773" s="4" t="str">
        <f>IF(B11773=B11772,"",B11773)</f>
        <v>Ródos</v>
      </c>
    </row>
    <row r="11774" spans="1:6" ht="15.75" customHeight="1">
      <c r="A11774" s="5" t="str">
        <f ca="1">IFERROR(__xludf.DUMMYFUNCTION("GOOGLETRANSLATE(B37253,""en"",""pt"")"),"Rodolfo Sánchez Taboada")</f>
        <v>Rodolfo Sánchez Taboada</v>
      </c>
      <c r="B11774" s="17" t="s">
        <v>34759</v>
      </c>
      <c r="C11774" s="17" t="s">
        <v>17707</v>
      </c>
      <c r="D11774" s="17" t="s">
        <v>17932</v>
      </c>
      <c r="E11774" s="10">
        <v>3996737</v>
      </c>
      <c r="F11774" s="4" t="str">
        <f>IF(B11774=B11773,"",B11774)</f>
        <v>Rodolfo Sánchez Taboada</v>
      </c>
    </row>
    <row r="11775" spans="1:6" ht="15.75" customHeight="1">
      <c r="A11775" s="5" t="s">
        <v>18193</v>
      </c>
      <c r="B11775" s="6" t="s">
        <v>18194</v>
      </c>
      <c r="C11775" s="5" t="s">
        <v>17707</v>
      </c>
      <c r="D11775" s="5" t="s">
        <v>17932</v>
      </c>
      <c r="E11775" s="2">
        <v>3996737</v>
      </c>
      <c r="F11775" s="4" t="str">
        <f>IF(B11775=B11774,"",B11775)</f>
        <v>Rodolfo SÃ¡nchez Taboada</v>
      </c>
    </row>
    <row r="11776" spans="1:6" ht="15.75" customHeight="1">
      <c r="A11776" s="6" t="s">
        <v>22995</v>
      </c>
      <c r="B11776" s="6" t="s">
        <v>22995</v>
      </c>
      <c r="C11776" s="6" t="s">
        <v>22070</v>
      </c>
      <c r="D11776" s="6" t="s">
        <v>22382</v>
      </c>
      <c r="E11776" s="2">
        <v>501730</v>
      </c>
      <c r="F11776" s="4" t="str">
        <f>IF(B11776=B11775,"",B11776)</f>
        <v>Rodniki</v>
      </c>
    </row>
    <row r="11777" spans="1:6" ht="15.75" customHeight="1">
      <c r="A11777" s="5" t="str">
        <f ca="1">IFERROR(__xludf.DUMMYFUNCTION("GOOGLETRANSLATE(B40160,""en"",""pt"")"),"Rodniki")</f>
        <v>Rodniki</v>
      </c>
      <c r="B11777" s="17" t="s">
        <v>22995</v>
      </c>
      <c r="C11777" s="17" t="s">
        <v>22070</v>
      </c>
      <c r="D11777" s="17" t="s">
        <v>22382</v>
      </c>
      <c r="E11777" s="10">
        <v>501730</v>
      </c>
      <c r="F11777" s="4" t="str">
        <f>IF(B11777=B11776,"",B11777)</f>
        <v/>
      </c>
    </row>
    <row r="11778" spans="1:6" ht="15.75" customHeight="1">
      <c r="A11778" s="6" t="s">
        <v>9056</v>
      </c>
      <c r="B11778" s="6" t="s">
        <v>9056</v>
      </c>
      <c r="C11778" s="6" t="s">
        <v>8028</v>
      </c>
      <c r="D11778" s="6" t="s">
        <v>8050</v>
      </c>
      <c r="E11778" s="2">
        <v>3336893</v>
      </c>
      <c r="F11778" s="4" t="str">
        <f>IF(B11778=B11777,"",B11778)</f>
        <v>Rodgau</v>
      </c>
    </row>
    <row r="11779" spans="1:6" ht="15.75" customHeight="1">
      <c r="A11779" s="5" t="str">
        <f ca="1">IFERROR(__xludf.DUMMYFUNCTION("GOOGLETRANSLATE(B28362,""en"",""pt"")"),"Rodgau")</f>
        <v>Rodgau</v>
      </c>
      <c r="B11779" s="17" t="s">
        <v>9056</v>
      </c>
      <c r="C11779" s="17" t="s">
        <v>8028</v>
      </c>
      <c r="D11779" s="17" t="s">
        <v>8050</v>
      </c>
      <c r="E11779" s="10">
        <v>3336893</v>
      </c>
      <c r="F11779" s="4" t="str">
        <f>IF(B11779=B11778,"",B11779)</f>
        <v/>
      </c>
    </row>
    <row r="11780" spans="1:6" ht="15.75" customHeight="1">
      <c r="A11780" s="6" t="s">
        <v>7707</v>
      </c>
      <c r="B11780" s="6" t="s">
        <v>7707</v>
      </c>
      <c r="C11780" s="6" t="s">
        <v>7052</v>
      </c>
      <c r="D11780" s="6" t="s">
        <v>7082</v>
      </c>
      <c r="E11780" s="2">
        <v>2983154</v>
      </c>
      <c r="F11780" s="4" t="str">
        <f>IF(B11780=B11779,"",B11780)</f>
        <v>Rodez</v>
      </c>
    </row>
    <row r="11781" spans="1:6" ht="15.75" customHeight="1">
      <c r="A11781" s="5" t="str">
        <f ca="1">IFERROR(__xludf.DUMMYFUNCTION("GOOGLETRANSLATE(B29829,""en"",""pt"")"),"Rodez")</f>
        <v>Rodez</v>
      </c>
      <c r="B11781" s="17" t="s">
        <v>7707</v>
      </c>
      <c r="C11781" s="17" t="s">
        <v>7052</v>
      </c>
      <c r="D11781" s="17" t="s">
        <v>32547</v>
      </c>
      <c r="E11781" s="10">
        <v>2983154</v>
      </c>
      <c r="F11781" s="4" t="str">
        <f>IF(B11781=B11780,"",B11781)</f>
        <v/>
      </c>
    </row>
    <row r="11782" spans="1:6" ht="15.75" customHeight="1">
      <c r="A11782" s="6" t="s">
        <v>5898</v>
      </c>
      <c r="B11782" s="6" t="s">
        <v>5898</v>
      </c>
      <c r="C11782" s="6" t="s">
        <v>5764</v>
      </c>
      <c r="D11782" s="6" t="s">
        <v>5765</v>
      </c>
      <c r="E11782" s="2">
        <v>3541999</v>
      </c>
      <c r="F11782" s="4" t="str">
        <f>IF(B11782=B11781,"",B11782)</f>
        <v>Rodas</v>
      </c>
    </row>
    <row r="11783" spans="1:6" ht="15.75" customHeight="1">
      <c r="A11783" s="5" t="str">
        <f ca="1">IFERROR(__xludf.DUMMYFUNCTION("GOOGLETRANSLATE(B27126,""en"",""pt"")"),"Rodas")</f>
        <v>Rodas</v>
      </c>
      <c r="B11783" s="17" t="s">
        <v>5898</v>
      </c>
      <c r="C11783" s="17" t="s">
        <v>5764</v>
      </c>
      <c r="D11783" s="17" t="s">
        <v>5765</v>
      </c>
      <c r="E11783" s="10">
        <v>3541999</v>
      </c>
      <c r="F11783" s="4" t="str">
        <f>IF(B11783=B11782,"",B11783)</f>
        <v/>
      </c>
    </row>
    <row r="11784" spans="1:6" ht="15.75" customHeight="1">
      <c r="A11784" s="5" t="s">
        <v>29829</v>
      </c>
      <c r="B11784" s="6" t="s">
        <v>29830</v>
      </c>
      <c r="C11784" s="5" t="s">
        <v>27788</v>
      </c>
      <c r="D11784" s="5" t="s">
        <v>27813</v>
      </c>
      <c r="E11784" s="2">
        <v>5168491</v>
      </c>
      <c r="F11784" s="4" t="str">
        <f>IF(B11784=B11783,"",B11784)</f>
        <v>Rocky River</v>
      </c>
    </row>
    <row r="11785" spans="1:6" ht="15.75" customHeight="1">
      <c r="A11785" s="5" t="str">
        <f ca="1">IFERROR(__xludf.DUMMYFUNCTION("GOOGLETRANSLATE(B44537,""en"",""pt"")"),"Rio rochoso")</f>
        <v>Rio rochoso</v>
      </c>
      <c r="B11785" s="17" t="s">
        <v>29830</v>
      </c>
      <c r="C11785" s="17" t="s">
        <v>27788</v>
      </c>
      <c r="D11785" s="17" t="s">
        <v>27813</v>
      </c>
      <c r="E11785" s="10">
        <v>5168491</v>
      </c>
      <c r="F11785" s="4" t="str">
        <f>IF(B11785=B11784,"",B11785)</f>
        <v/>
      </c>
    </row>
    <row r="11786" spans="1:6" ht="15.75" customHeight="1">
      <c r="A11786" s="5" t="s">
        <v>29827</v>
      </c>
      <c r="B11786" s="6" t="s">
        <v>29828</v>
      </c>
      <c r="C11786" s="5" t="s">
        <v>27788</v>
      </c>
      <c r="D11786" s="5" t="s">
        <v>27822</v>
      </c>
      <c r="E11786" s="2">
        <v>4488762</v>
      </c>
      <c r="F11786" s="4" t="str">
        <f>IF(B11786=B11785,"",B11786)</f>
        <v>Rocky Mount</v>
      </c>
    </row>
    <row r="11787" spans="1:6" ht="15.75" customHeight="1">
      <c r="A11787" s="5" t="str">
        <f ca="1">IFERROR(__xludf.DUMMYFUNCTION("GOOGLETRANSLATE(B43475,""en"",""pt"")"),"Mount Rocky")</f>
        <v>Mount Rocky</v>
      </c>
      <c r="B11787" s="17" t="s">
        <v>29828</v>
      </c>
      <c r="C11787" s="17" t="s">
        <v>27788</v>
      </c>
      <c r="D11787" s="17" t="s">
        <v>27822</v>
      </c>
      <c r="E11787" s="10">
        <v>4488762</v>
      </c>
      <c r="F11787" s="4" t="str">
        <f>IF(B11787=B11786,"",B11787)</f>
        <v/>
      </c>
    </row>
    <row r="11788" spans="1:6" ht="15.75" customHeight="1">
      <c r="A11788" s="5" t="s">
        <v>29825</v>
      </c>
      <c r="B11788" s="6" t="s">
        <v>29826</v>
      </c>
      <c r="C11788" s="5" t="s">
        <v>27788</v>
      </c>
      <c r="D11788" s="5" t="s">
        <v>27819</v>
      </c>
      <c r="E11788" s="2">
        <v>5134203</v>
      </c>
      <c r="F11788" s="4" t="str">
        <f>IF(B11788=B11787,"",B11788)</f>
        <v>Rockville Centre</v>
      </c>
    </row>
    <row r="11789" spans="1:6" ht="15.75" customHeight="1">
      <c r="A11789" s="5" t="str">
        <f ca="1">IFERROR(__xludf.DUMMYFUNCTION("GOOGLETRANSLATE(B44440,""en"",""pt"")"),"Rockville Center")</f>
        <v>Rockville Center</v>
      </c>
      <c r="B11789" s="17" t="s">
        <v>29826</v>
      </c>
      <c r="C11789" s="17" t="s">
        <v>27788</v>
      </c>
      <c r="D11789" s="17" t="s">
        <v>27819</v>
      </c>
      <c r="E11789" s="10">
        <v>5134203</v>
      </c>
      <c r="F11789" s="4" t="str">
        <f>IF(B11789=B11788,"",B11789)</f>
        <v/>
      </c>
    </row>
    <row r="11790" spans="1:6" ht="15.75" customHeight="1">
      <c r="A11790" s="6" t="s">
        <v>29824</v>
      </c>
      <c r="B11790" s="6" t="s">
        <v>29824</v>
      </c>
      <c r="C11790" s="6" t="s">
        <v>27788</v>
      </c>
      <c r="D11790" s="6" t="s">
        <v>17061</v>
      </c>
      <c r="E11790" s="2">
        <v>4367175</v>
      </c>
      <c r="F11790" s="4" t="str">
        <f>IF(B11790=B11789,"",B11790)</f>
        <v>Rockville</v>
      </c>
    </row>
    <row r="11791" spans="1:6" ht="15.75" customHeight="1">
      <c r="A11791" s="5" t="str">
        <f ca="1">IFERROR(__xludf.DUMMYFUNCTION("GOOGLETRANSLATE(B43326,""en"",""pt"")"),"Rockville")</f>
        <v>Rockville</v>
      </c>
      <c r="B11791" s="17" t="s">
        <v>29824</v>
      </c>
      <c r="C11791" s="17" t="s">
        <v>27788</v>
      </c>
      <c r="D11791" s="17" t="s">
        <v>17061</v>
      </c>
      <c r="E11791" s="10">
        <v>4367175</v>
      </c>
      <c r="F11791" s="4" t="str">
        <f>IF(B11791=B11790,"",B11791)</f>
        <v/>
      </c>
    </row>
    <row r="11792" spans="1:6" ht="15.75" customHeight="1">
      <c r="A11792" s="6" t="s">
        <v>29823</v>
      </c>
      <c r="B11792" s="6" t="s">
        <v>29823</v>
      </c>
      <c r="C11792" s="6" t="s">
        <v>27788</v>
      </c>
      <c r="D11792" s="6" t="s">
        <v>27801</v>
      </c>
      <c r="E11792" s="2">
        <v>5388319</v>
      </c>
      <c r="F11792" s="4" t="str">
        <f>IF(B11792=B11791,"",B11792)</f>
        <v>Rocklin</v>
      </c>
    </row>
    <row r="11793" spans="1:6" ht="15.75" customHeight="1">
      <c r="A11793" s="5" t="str">
        <f ca="1">IFERROR(__xludf.DUMMYFUNCTION("GOOGLETRANSLATE(B44988,""en"",""pt"")"),"Rocklin")</f>
        <v>Rocklin</v>
      </c>
      <c r="B11793" s="17" t="s">
        <v>29823</v>
      </c>
      <c r="C11793" s="17" t="s">
        <v>27788</v>
      </c>
      <c r="D11793" s="17" t="s">
        <v>27801</v>
      </c>
      <c r="E11793" s="10">
        <v>5388319</v>
      </c>
      <c r="F11793" s="4" t="str">
        <f>IF(B11793=B11792,"",B11793)</f>
        <v/>
      </c>
    </row>
    <row r="11794" spans="1:6" ht="15.75" customHeight="1">
      <c r="A11794" s="5" t="s">
        <v>29822</v>
      </c>
      <c r="B11794" s="6" t="s">
        <v>29822</v>
      </c>
      <c r="C11794" s="5" t="s">
        <v>27788</v>
      </c>
      <c r="D11794" s="5" t="s">
        <v>5468</v>
      </c>
      <c r="E11794" s="2">
        <v>4170358</v>
      </c>
      <c r="F11794" s="4" t="str">
        <f>IF(B11794=B11793,"",B11794)</f>
        <v>Rockledge</v>
      </c>
    </row>
    <row r="11795" spans="1:6" ht="15.75" customHeight="1">
      <c r="A11795" s="5" t="str">
        <f ca="1">IFERROR(__xludf.DUMMYFUNCTION("GOOGLETRANSLATE(B43005,""en"",""pt"")"),"Rockledge")</f>
        <v>Rockledge</v>
      </c>
      <c r="B11795" s="17" t="s">
        <v>29822</v>
      </c>
      <c r="C11795" s="17" t="s">
        <v>27788</v>
      </c>
      <c r="D11795" s="17" t="s">
        <v>5468</v>
      </c>
      <c r="E11795" s="10">
        <v>4170358</v>
      </c>
      <c r="F11795" s="4" t="str">
        <f>IF(B11795=B11794,"",B11795)</f>
        <v/>
      </c>
    </row>
    <row r="11796" spans="1:6" ht="15.75" customHeight="1">
      <c r="A11796" s="6" t="s">
        <v>29821</v>
      </c>
      <c r="B11796" s="6" t="s">
        <v>29821</v>
      </c>
      <c r="C11796" s="6" t="s">
        <v>27788</v>
      </c>
      <c r="D11796" s="6" t="s">
        <v>27794</v>
      </c>
      <c r="E11796" s="2">
        <v>4948924</v>
      </c>
      <c r="F11796" s="4" t="str">
        <f>IF(B11796=B11795,"",B11796)</f>
        <v>Rockland</v>
      </c>
    </row>
    <row r="11797" spans="1:6" ht="15.75" customHeight="1">
      <c r="A11797" s="5" t="str">
        <f ca="1">IFERROR(__xludf.DUMMYFUNCTION("GOOGLETRANSLATE(B44019,""en"",""pt"")"),"Rockland")</f>
        <v>Rockland</v>
      </c>
      <c r="B11797" s="17" t="s">
        <v>29821</v>
      </c>
      <c r="C11797" s="17" t="s">
        <v>27788</v>
      </c>
      <c r="D11797" s="17" t="s">
        <v>27794</v>
      </c>
      <c r="E11797" s="10">
        <v>4948924</v>
      </c>
      <c r="F11797" s="4" t="str">
        <f>IF(B11797=B11796,"",B11797)</f>
        <v/>
      </c>
    </row>
    <row r="11798" spans="1:6" ht="15.75" customHeight="1">
      <c r="A11798" s="5" t="s">
        <v>1072</v>
      </c>
      <c r="B11798" s="6" t="s">
        <v>1072</v>
      </c>
      <c r="C11798" s="5" t="s">
        <v>885</v>
      </c>
      <c r="D11798" s="5" t="s">
        <v>889</v>
      </c>
      <c r="E11798" s="2">
        <v>2062338</v>
      </c>
      <c r="F11798" s="4" t="str">
        <f>IF(B11798=B11797,"",B11798)</f>
        <v>Rockingham</v>
      </c>
    </row>
    <row r="11799" spans="1:6" ht="15.75" customHeight="1">
      <c r="A11799" s="5" t="str">
        <f ca="1">IFERROR(__xludf.DUMMYFUNCTION("GOOGLETRANSLATE(B23408,""en"",""pt"")"),"Rockingham")</f>
        <v>Rockingham</v>
      </c>
      <c r="B11799" s="17" t="s">
        <v>1072</v>
      </c>
      <c r="C11799" s="17" t="s">
        <v>885</v>
      </c>
      <c r="D11799" s="17" t="s">
        <v>889</v>
      </c>
      <c r="E11799" s="10">
        <v>2062338</v>
      </c>
      <c r="F11799" s="4" t="str">
        <f>IF(B11799=B11798,"",B11799)</f>
        <v/>
      </c>
    </row>
    <row r="11800" spans="1:6" ht="15.75" customHeight="1">
      <c r="A11800" s="5" t="s">
        <v>1071</v>
      </c>
      <c r="B11800" s="6" t="s">
        <v>1071</v>
      </c>
      <c r="C11800" s="5" t="s">
        <v>885</v>
      </c>
      <c r="D11800" s="5" t="s">
        <v>910</v>
      </c>
      <c r="E11800" s="2">
        <v>2151437</v>
      </c>
      <c r="F11800" s="4" t="str">
        <f>IF(B11800=B11799,"",B11800)</f>
        <v>Rockhampton</v>
      </c>
    </row>
    <row r="11801" spans="1:6" ht="15.75" customHeight="1">
      <c r="A11801" s="5" t="str">
        <f ca="1">IFERROR(__xludf.DUMMYFUNCTION("GOOGLETRANSLATE(B23457,""en"",""pt"")"),"Rockhampton")</f>
        <v>Rockhampton</v>
      </c>
      <c r="B11801" s="17" t="s">
        <v>1071</v>
      </c>
      <c r="C11801" s="17" t="s">
        <v>885</v>
      </c>
      <c r="D11801" s="17" t="s">
        <v>910</v>
      </c>
      <c r="E11801" s="10">
        <v>2151437</v>
      </c>
      <c r="F11801" s="4" t="str">
        <f>IF(B11801=B11800,"",B11801)</f>
        <v/>
      </c>
    </row>
    <row r="11802" spans="1:6" ht="15.75" customHeight="1">
      <c r="A11802" s="6" t="s">
        <v>29820</v>
      </c>
      <c r="B11802" s="6" t="s">
        <v>29820</v>
      </c>
      <c r="C11802" s="6" t="s">
        <v>27788</v>
      </c>
      <c r="D11802" s="6" t="s">
        <v>27799</v>
      </c>
      <c r="E11802" s="2">
        <v>4907959</v>
      </c>
      <c r="F11802" s="4" t="str">
        <f>IF(B11802=B11801,"",B11802)</f>
        <v>Rockford</v>
      </c>
    </row>
    <row r="11803" spans="1:6" ht="15.75" customHeight="1">
      <c r="A11803" s="5" t="str">
        <f ca="1">IFERROR(__xludf.DUMMYFUNCTION("GOOGLETRANSLATE(B43875,""en"",""pt"")"),"Rockford")</f>
        <v>Rockford</v>
      </c>
      <c r="B11803" s="17" t="s">
        <v>29820</v>
      </c>
      <c r="C11803" s="17" t="s">
        <v>27788</v>
      </c>
      <c r="D11803" s="17" t="s">
        <v>27799</v>
      </c>
      <c r="E11803" s="10">
        <v>4907959</v>
      </c>
      <c r="F11803" s="4" t="str">
        <f>IF(B11803=B11802,"",B11803)</f>
        <v/>
      </c>
    </row>
    <row r="11804" spans="1:6" ht="15.75" customHeight="1">
      <c r="A11804" s="5" t="s">
        <v>29819</v>
      </c>
      <c r="B11804" s="6" t="s">
        <v>29819</v>
      </c>
      <c r="C11804" s="5" t="s">
        <v>27788</v>
      </c>
      <c r="D11804" s="5" t="s">
        <v>28189</v>
      </c>
      <c r="E11804" s="2">
        <v>5836898</v>
      </c>
      <c r="F11804" s="4" t="str">
        <f>IF(B11804=B11803,"",B11804)</f>
        <v>Rock Springs</v>
      </c>
    </row>
    <row r="11805" spans="1:6" ht="15.75" customHeight="1">
      <c r="A11805" s="5" t="str">
        <f ca="1">IFERROR(__xludf.DUMMYFUNCTION("GOOGLETRANSLATE(B45397,""en"",""pt"")"),"Rock Springs")</f>
        <v>Rock Springs</v>
      </c>
      <c r="B11805" s="17" t="s">
        <v>29819</v>
      </c>
      <c r="C11805" s="17" t="s">
        <v>27788</v>
      </c>
      <c r="D11805" s="17" t="s">
        <v>28189</v>
      </c>
      <c r="E11805" s="10">
        <v>5836898</v>
      </c>
      <c r="F11805" s="4" t="str">
        <f>IF(B11805=B11804,"",B11805)</f>
        <v/>
      </c>
    </row>
    <row r="11806" spans="1:6" ht="15.75" customHeight="1">
      <c r="A11806" s="6" t="s">
        <v>29817</v>
      </c>
      <c r="B11806" s="6" t="s">
        <v>29818</v>
      </c>
      <c r="C11806" s="6" t="s">
        <v>27788</v>
      </c>
      <c r="D11806" s="6" t="s">
        <v>27799</v>
      </c>
      <c r="E11806" s="2">
        <v>4907907</v>
      </c>
      <c r="F11806" s="4" t="str">
        <f>IF(B11806=B11805,"",B11806)</f>
        <v>Rock Island</v>
      </c>
    </row>
    <row r="11807" spans="1:6" ht="15.75" customHeight="1">
      <c r="A11807" s="5" t="str">
        <f ca="1">IFERROR(__xludf.DUMMYFUNCTION("GOOGLETRANSLATE(B43874,""en"",""pt"")"),"Ilha Rock")</f>
        <v>Ilha Rock</v>
      </c>
      <c r="B11807" s="17" t="s">
        <v>29818</v>
      </c>
      <c r="C11807" s="17" t="s">
        <v>27788</v>
      </c>
      <c r="D11807" s="17" t="s">
        <v>27799</v>
      </c>
      <c r="E11807" s="10">
        <v>4907907</v>
      </c>
      <c r="F11807" s="4" t="str">
        <f>IF(B11807=B11806,"",B11807)</f>
        <v/>
      </c>
    </row>
    <row r="11808" spans="1:6" ht="15.75" customHeight="1">
      <c r="A11808" s="6" t="s">
        <v>29816</v>
      </c>
      <c r="B11808" s="6" t="s">
        <v>29816</v>
      </c>
      <c r="C11808" s="6" t="s">
        <v>27788</v>
      </c>
      <c r="D11808" s="6" t="s">
        <v>27811</v>
      </c>
      <c r="E11808" s="2">
        <v>4593142</v>
      </c>
      <c r="F11808" s="4" t="str">
        <f>IF(B11808=B11807,"",B11808)</f>
        <v>Rock Hill</v>
      </c>
    </row>
    <row r="11809" spans="1:6" ht="15.75" customHeight="1">
      <c r="A11809" s="5" t="str">
        <f ca="1">IFERROR(__xludf.DUMMYFUNCTION("GOOGLETRANSLATE(B43597,""en"",""pt"")"),"Rock Hill")</f>
        <v>Rock Hill</v>
      </c>
      <c r="B11809" s="17" t="s">
        <v>29816</v>
      </c>
      <c r="C11809" s="17" t="s">
        <v>27788</v>
      </c>
      <c r="D11809" s="17" t="s">
        <v>27811</v>
      </c>
      <c r="E11809" s="10">
        <v>4593142</v>
      </c>
      <c r="F11809" s="4" t="str">
        <f>IF(B11809=B11808,"",B11809)</f>
        <v/>
      </c>
    </row>
    <row r="11810" spans="1:6" ht="15.75" customHeight="1">
      <c r="A11810" s="6" t="s">
        <v>27642</v>
      </c>
      <c r="B11810" s="6" t="s">
        <v>27642</v>
      </c>
      <c r="C11810" s="6" t="s">
        <v>27234</v>
      </c>
      <c r="D11810" s="6" t="s">
        <v>27241</v>
      </c>
      <c r="E11810" s="2">
        <v>2639265</v>
      </c>
      <c r="F11810" s="4" t="str">
        <f>IF(B11810=B11809,"",B11810)</f>
        <v>Rochford</v>
      </c>
    </row>
    <row r="11811" spans="1:6" ht="15.75" customHeight="1">
      <c r="A11811" s="5" t="str">
        <f ca="1">IFERROR(__xludf.DUMMYFUNCTION("GOOGLETRANSLATE(B30440,""en"",""pt"")"),"Rochford")</f>
        <v>Rochford</v>
      </c>
      <c r="B11811" s="17" t="s">
        <v>27642</v>
      </c>
      <c r="C11811" s="17" t="s">
        <v>27234</v>
      </c>
      <c r="D11811" s="17" t="s">
        <v>27241</v>
      </c>
      <c r="E11811" s="10">
        <v>2639265</v>
      </c>
      <c r="F11811" s="4" t="str">
        <f>IF(B11811=B11810,"",B11811)</f>
        <v/>
      </c>
    </row>
    <row r="11812" spans="1:6" ht="15.75" customHeight="1">
      <c r="A11812" s="5" t="s">
        <v>29815</v>
      </c>
      <c r="B11812" s="6" t="s">
        <v>29815</v>
      </c>
      <c r="C11812" s="5" t="s">
        <v>27788</v>
      </c>
      <c r="D11812" s="5" t="s">
        <v>27804</v>
      </c>
      <c r="E11812" s="2">
        <v>5007402</v>
      </c>
      <c r="F11812" s="4" t="str">
        <f>IF(B11812=B11811,"",B11812)</f>
        <v>Rochester Hills</v>
      </c>
    </row>
    <row r="11813" spans="1:6" ht="15.75" customHeight="1">
      <c r="A11813" s="5" t="str">
        <f ca="1">IFERROR(__xludf.DUMMYFUNCTION("GOOGLETRANSLATE(B44116,""en"",""pt"")"),"Rochester Hills")</f>
        <v>Rochester Hills</v>
      </c>
      <c r="B11813" s="17" t="s">
        <v>29815</v>
      </c>
      <c r="C11813" s="17" t="s">
        <v>27788</v>
      </c>
      <c r="D11813" s="17" t="s">
        <v>27804</v>
      </c>
      <c r="E11813" s="10">
        <v>5007402</v>
      </c>
      <c r="F11813" s="4" t="str">
        <f>IF(B11813=B11812,"",B11813)</f>
        <v/>
      </c>
    </row>
    <row r="11814" spans="1:6" ht="15.75" customHeight="1">
      <c r="A11814" s="5" t="s">
        <v>27641</v>
      </c>
      <c r="B11814" s="6" t="s">
        <v>27641</v>
      </c>
      <c r="C11814" s="5" t="s">
        <v>27234</v>
      </c>
      <c r="D11814" s="5" t="s">
        <v>27241</v>
      </c>
      <c r="E11814" s="2">
        <v>2639268</v>
      </c>
      <c r="F11814" s="4" t="str">
        <f>IF(B11814=B11813,"",B11814)</f>
        <v>Rochester</v>
      </c>
    </row>
    <row r="11815" spans="1:6" ht="15.75" customHeight="1">
      <c r="A11815" s="5" t="s">
        <v>27641</v>
      </c>
      <c r="B11815" s="6" t="s">
        <v>27641</v>
      </c>
      <c r="C11815" s="5" t="s">
        <v>27788</v>
      </c>
      <c r="D11815" s="5" t="s">
        <v>27824</v>
      </c>
      <c r="E11815" s="2">
        <v>5043473</v>
      </c>
      <c r="F11815" s="4" t="str">
        <f>IF(B11815=B11814,"",B11815)</f>
        <v/>
      </c>
    </row>
    <row r="11816" spans="1:6" ht="15.75" customHeight="1">
      <c r="A11816" s="5" t="s">
        <v>27641</v>
      </c>
      <c r="B11816" s="6" t="s">
        <v>27641</v>
      </c>
      <c r="C11816" s="5" t="s">
        <v>27788</v>
      </c>
      <c r="D11816" s="5" t="s">
        <v>27985</v>
      </c>
      <c r="E11816" s="2">
        <v>5091872</v>
      </c>
      <c r="F11816" s="4" t="str">
        <f>IF(B11816=B11815,"",B11816)</f>
        <v/>
      </c>
    </row>
    <row r="11817" spans="1:6" ht="15.75" customHeight="1">
      <c r="A11817" s="5" t="s">
        <v>27641</v>
      </c>
      <c r="B11817" s="6" t="s">
        <v>27641</v>
      </c>
      <c r="C11817" s="5" t="s">
        <v>27788</v>
      </c>
      <c r="D11817" s="5" t="s">
        <v>27819</v>
      </c>
      <c r="E11817" s="2">
        <v>5134086</v>
      </c>
      <c r="F11817" s="4" t="str">
        <f>IF(B11817=B11816,"",B11817)</f>
        <v/>
      </c>
    </row>
    <row r="11818" spans="1:6" ht="15.75" customHeight="1">
      <c r="A11818" s="5" t="str">
        <f ca="1">IFERROR(__xludf.DUMMYFUNCTION("GOOGLETRANSLATE(B30441,""en"",""pt"")"),"Rochester")</f>
        <v>Rochester</v>
      </c>
      <c r="B11818" s="17" t="s">
        <v>27641</v>
      </c>
      <c r="C11818" s="17" t="s">
        <v>27234</v>
      </c>
      <c r="D11818" s="17" t="s">
        <v>27241</v>
      </c>
      <c r="E11818" s="10">
        <v>2639268</v>
      </c>
      <c r="F11818" s="4" t="str">
        <f>IF(B11818=B11817,"",B11818)</f>
        <v/>
      </c>
    </row>
    <row r="11819" spans="1:6" ht="15.75" customHeight="1">
      <c r="A11819" s="5" t="str">
        <f ca="1">IFERROR(__xludf.DUMMYFUNCTION("GOOGLETRANSLATE(B44190,""en"",""pt"")"),"Rochester")</f>
        <v>Rochester</v>
      </c>
      <c r="B11819" s="17" t="s">
        <v>27641</v>
      </c>
      <c r="C11819" s="17" t="s">
        <v>27788</v>
      </c>
      <c r="D11819" s="17" t="s">
        <v>27824</v>
      </c>
      <c r="E11819" s="10">
        <v>5043473</v>
      </c>
      <c r="F11819" s="4" t="str">
        <f>IF(B11819=B11818,"",B11819)</f>
        <v/>
      </c>
    </row>
    <row r="11820" spans="1:6" ht="15.75" customHeight="1">
      <c r="A11820" s="5" t="str">
        <f ca="1">IFERROR(__xludf.DUMMYFUNCTION("GOOGLETRANSLATE(B44237,""en"",""pt"")"),"Rochester")</f>
        <v>Rochester</v>
      </c>
      <c r="B11820" s="17" t="s">
        <v>27641</v>
      </c>
      <c r="C11820" s="17" t="s">
        <v>27788</v>
      </c>
      <c r="D11820" s="17" t="s">
        <v>27985</v>
      </c>
      <c r="E11820" s="10">
        <v>5091872</v>
      </c>
      <c r="F11820" s="4" t="str">
        <f>IF(B11820=B11819,"",B11820)</f>
        <v/>
      </c>
    </row>
    <row r="11821" spans="1:6" ht="15.75" customHeight="1">
      <c r="A11821" s="5" t="str">
        <f ca="1">IFERROR(__xludf.DUMMYFUNCTION("GOOGLETRANSLATE(B44439,""en"",""pt"")"),"Rochester")</f>
        <v>Rochester</v>
      </c>
      <c r="B11821" s="17" t="s">
        <v>27641</v>
      </c>
      <c r="C11821" s="17" t="s">
        <v>27788</v>
      </c>
      <c r="D11821" s="17" t="s">
        <v>27819</v>
      </c>
      <c r="E11821" s="10">
        <v>5134086</v>
      </c>
      <c r="F11821" s="4" t="str">
        <f>IF(B11821=B11820,"",B11821)</f>
        <v/>
      </c>
    </row>
    <row r="11822" spans="1:6" ht="15.75" customHeight="1">
      <c r="A11822" s="6" t="s">
        <v>7706</v>
      </c>
      <c r="B11822" s="6" t="s">
        <v>7706</v>
      </c>
      <c r="C11822" s="6" t="s">
        <v>7052</v>
      </c>
      <c r="D11822" s="6" t="s">
        <v>7084</v>
      </c>
      <c r="E11822" s="2">
        <v>2983276</v>
      </c>
      <c r="F11822" s="4" t="str">
        <f>IF(B11822=B11821,"",B11822)</f>
        <v>Rochefort</v>
      </c>
    </row>
    <row r="11823" spans="1:6" ht="15.75" customHeight="1">
      <c r="A11823" s="5" t="str">
        <f ca="1">IFERROR(__xludf.DUMMYFUNCTION("GOOGLETRANSLATE(B29830,""en"",""pt"")"),"Rochefort")</f>
        <v>Rochefort</v>
      </c>
      <c r="B11823" s="17" t="s">
        <v>7706</v>
      </c>
      <c r="C11823" s="17" t="s">
        <v>7052</v>
      </c>
      <c r="D11823" s="17" t="s">
        <v>7084</v>
      </c>
      <c r="E11823" s="10">
        <v>2983276</v>
      </c>
      <c r="F11823" s="4" t="str">
        <f>IF(B11823=B11822,"",B11823)</f>
        <v/>
      </c>
    </row>
    <row r="11824" spans="1:6" ht="15.75" customHeight="1">
      <c r="A11824" s="6" t="s">
        <v>27640</v>
      </c>
      <c r="B11824" s="6" t="s">
        <v>27640</v>
      </c>
      <c r="C11824" s="6" t="s">
        <v>27234</v>
      </c>
      <c r="D11824" s="6" t="s">
        <v>27241</v>
      </c>
      <c r="E11824" s="2">
        <v>2639272</v>
      </c>
      <c r="F11824" s="4" t="str">
        <f>IF(B11824=B11823,"",B11824)</f>
        <v>Rochdale</v>
      </c>
    </row>
    <row r="11825" spans="1:6" ht="15.75" customHeight="1">
      <c r="A11825" s="5" t="str">
        <f ca="1">IFERROR(__xludf.DUMMYFUNCTION("GOOGLETRANSLATE(B30442,""en"",""pt"")"),"Rochdale")</f>
        <v>Rochdale</v>
      </c>
      <c r="B11825" s="17" t="s">
        <v>27640</v>
      </c>
      <c r="C11825" s="17" t="s">
        <v>27234</v>
      </c>
      <c r="D11825" s="17" t="s">
        <v>27241</v>
      </c>
      <c r="E11825" s="10">
        <v>2639272</v>
      </c>
      <c r="F11825" s="4" t="str">
        <f>IF(B11825=B11824,"",B11825)</f>
        <v/>
      </c>
    </row>
    <row r="11826" spans="1:6" ht="15.75" customHeight="1">
      <c r="A11826" s="6" t="s">
        <v>30493</v>
      </c>
      <c r="B11826" s="6" t="s">
        <v>30493</v>
      </c>
      <c r="C11826" s="6" t="s">
        <v>30472</v>
      </c>
      <c r="D11826" s="6" t="s">
        <v>30493</v>
      </c>
      <c r="E11826" s="2">
        <v>3440777</v>
      </c>
      <c r="F11826" s="4" t="str">
        <f>IF(B11826=B11825,"",B11826)</f>
        <v>Rocha</v>
      </c>
    </row>
    <row r="11827" spans="1:6" ht="15.75" customHeight="1">
      <c r="A11827" s="5" t="str">
        <f ca="1">IFERROR(__xludf.DUMMYFUNCTION("GOOGLETRANSLATE(B45478,""en"",""pt"")"),"Rocha")</f>
        <v>Rocha</v>
      </c>
      <c r="B11827" s="17" t="s">
        <v>30493</v>
      </c>
      <c r="C11827" s="17" t="s">
        <v>30472</v>
      </c>
      <c r="D11827" s="17" t="s">
        <v>30493</v>
      </c>
      <c r="E11827" s="10">
        <v>3440777</v>
      </c>
      <c r="F11827" s="4" t="str">
        <f>IF(B11827=B11826,"",B11827)</f>
        <v/>
      </c>
    </row>
    <row r="11828" spans="1:6" ht="15.75" customHeight="1">
      <c r="A11828" s="5" t="s">
        <v>15413</v>
      </c>
      <c r="B11828" s="6" t="s">
        <v>15413</v>
      </c>
      <c r="C11828" s="5" t="s">
        <v>14891</v>
      </c>
      <c r="D11828" s="5" t="s">
        <v>14904</v>
      </c>
      <c r="E11828" s="2">
        <v>3169181</v>
      </c>
      <c r="F11828" s="4" t="str">
        <f>IF(B11828=B11827,"",B11828)</f>
        <v>Rocca di Papa</v>
      </c>
    </row>
    <row r="11829" spans="1:6" ht="15.75" customHeight="1">
      <c r="A11829" s="5" t="str">
        <f ca="1">IFERROR(__xludf.DUMMYFUNCTION("GOOGLETRANSLATE(B34741,""en"",""pt"")"),"Rocca di Papa")</f>
        <v>Rocca di Papa</v>
      </c>
      <c r="B11829" s="17" t="s">
        <v>15413</v>
      </c>
      <c r="C11829" s="17" t="s">
        <v>14891</v>
      </c>
      <c r="D11829" s="17" t="s">
        <v>14904</v>
      </c>
      <c r="E11829" s="10">
        <v>3169181</v>
      </c>
      <c r="F11829" s="4" t="str">
        <f>IF(B11829=B11828,"",B11829)</f>
        <v/>
      </c>
    </row>
    <row r="11830" spans="1:6" ht="15.75" customHeight="1">
      <c r="A11830" s="5" t="str">
        <f ca="1">IFERROR(__xludf.DUMMYFUNCTION("GOOGLETRANSLATE(B29529,""en"",""pt"")"),"Robīt")</f>
        <v>Robīt</v>
      </c>
      <c r="B11830" s="17" t="s">
        <v>32489</v>
      </c>
      <c r="C11830" s="17" t="s">
        <v>6807</v>
      </c>
      <c r="D11830" s="17" t="s">
        <v>6811</v>
      </c>
      <c r="E11830" s="10">
        <v>329586</v>
      </c>
      <c r="F11830" s="4" t="str">
        <f>IF(B11830=B11829,"",B11830)</f>
        <v>Robīt</v>
      </c>
    </row>
    <row r="11831" spans="1:6" ht="15.75" customHeight="1">
      <c r="A11831" s="5" t="s">
        <v>13116</v>
      </c>
      <c r="B11831" s="6" t="s">
        <v>13116</v>
      </c>
      <c r="C11831" s="5" t="s">
        <v>10178</v>
      </c>
      <c r="D11831" s="5" t="s">
        <v>10252</v>
      </c>
      <c r="E11831" s="2">
        <v>1258109</v>
      </c>
      <c r="F11831" s="4" t="str">
        <f>IF(B11831=B11830,"",B11831)</f>
        <v>Robertsonpet</v>
      </c>
    </row>
    <row r="11832" spans="1:6" ht="15.75" customHeight="1">
      <c r="A11832" s="5" t="str">
        <f ca="1">IFERROR(__xludf.DUMMYFUNCTION("GOOGLETRANSLATE(B32301,""en"",""pt"")"),"Robertsonpet")</f>
        <v>Robertsonpet</v>
      </c>
      <c r="B11832" s="17" t="s">
        <v>13116</v>
      </c>
      <c r="C11832" s="17" t="s">
        <v>10178</v>
      </c>
      <c r="D11832" s="17" t="s">
        <v>10252</v>
      </c>
      <c r="E11832" s="10">
        <v>1258109</v>
      </c>
      <c r="F11832" s="4" t="str">
        <f>IF(B11832=B11831,"",B11832)</f>
        <v/>
      </c>
    </row>
    <row r="11833" spans="1:6" ht="15.75" customHeight="1">
      <c r="A11833" s="5" t="s">
        <v>13115</v>
      </c>
      <c r="B11833" s="6" t="s">
        <v>13115</v>
      </c>
      <c r="C11833" s="5" t="s">
        <v>10178</v>
      </c>
      <c r="D11833" s="5" t="s">
        <v>10193</v>
      </c>
      <c r="E11833" s="2">
        <v>1258111</v>
      </c>
      <c r="F11833" s="4" t="str">
        <f>IF(B11833=B11832,"",B11833)</f>
        <v>Robertsganj</v>
      </c>
    </row>
    <row r="11834" spans="1:6" ht="15.75" customHeight="1">
      <c r="A11834" s="5" t="str">
        <f ca="1">IFERROR(__xludf.DUMMYFUNCTION("GOOGLETRANSLATE(B32302,""en"",""pt"")"),"Robertsganj")</f>
        <v>Robertsganj</v>
      </c>
      <c r="B11834" s="17" t="s">
        <v>13115</v>
      </c>
      <c r="C11834" s="17" t="s">
        <v>10178</v>
      </c>
      <c r="D11834" s="17" t="s">
        <v>10193</v>
      </c>
      <c r="E11834" s="10">
        <v>1258111</v>
      </c>
      <c r="F11834" s="4" t="str">
        <f>IF(B11834=B11833,"",B11834)</f>
        <v/>
      </c>
    </row>
    <row r="11835" spans="1:6" ht="15.75" customHeight="1">
      <c r="A11835" s="6" t="s">
        <v>436</v>
      </c>
      <c r="B11835" s="6" t="s">
        <v>436</v>
      </c>
      <c r="C11835" s="6" t="s">
        <v>153</v>
      </c>
      <c r="D11835" s="6" t="s">
        <v>319</v>
      </c>
      <c r="E11835" s="2">
        <v>2483000</v>
      </c>
      <c r="F11835" s="4" t="str">
        <f>IF(B11835=B11834,"",B11835)</f>
        <v>Robbah</v>
      </c>
    </row>
    <row r="11836" spans="1:6" ht="15.75" customHeight="1">
      <c r="A11836" s="5" t="str">
        <f ca="1">IFERROR(__xludf.DUMMYFUNCTION("GOOGLETRANSLATE(B28555,""en"",""pt"")"),"Robbah")</f>
        <v>Robbah</v>
      </c>
      <c r="B11836" s="17" t="s">
        <v>436</v>
      </c>
      <c r="C11836" s="17" t="s">
        <v>153</v>
      </c>
      <c r="D11836" s="17" t="s">
        <v>319</v>
      </c>
      <c r="E11836" s="10">
        <v>2483000</v>
      </c>
      <c r="F11836" s="4" t="str">
        <f>IF(B11836=B11835,"",B11836)</f>
        <v/>
      </c>
    </row>
    <row r="11837" spans="1:6" ht="15.75" customHeight="1">
      <c r="A11837" s="5" t="str">
        <f ca="1">IFERROR(__xludf.DUMMYFUNCTION("GOOGLETRANSLATE(B34381,""en"",""pt"")"),"Robāţ Karīm")</f>
        <v>Robāţ Karīm</v>
      </c>
      <c r="B11837" s="17" t="s">
        <v>34151</v>
      </c>
      <c r="C11837" s="17" t="s">
        <v>14240</v>
      </c>
      <c r="D11837" s="17" t="s">
        <v>34125</v>
      </c>
      <c r="E11837" s="10">
        <v>118367</v>
      </c>
      <c r="F11837" s="4" t="str">
        <f>IF(B11837=B11836,"",B11837)</f>
        <v>Robāţ Karīm</v>
      </c>
    </row>
    <row r="11838" spans="1:6" ht="15.75" customHeight="1">
      <c r="A11838" s="5" t="s">
        <v>14525</v>
      </c>
      <c r="B11838" s="6" t="s">
        <v>14526</v>
      </c>
      <c r="C11838" s="5" t="s">
        <v>14240</v>
      </c>
      <c r="D11838" s="5" t="s">
        <v>14358</v>
      </c>
      <c r="E11838" s="2">
        <v>118367</v>
      </c>
      <c r="F11838" s="4" t="str">
        <f>IF(B11838=B11837,"",B11838)</f>
        <v>RobÄÅ£ KarÄ«m</v>
      </c>
    </row>
    <row r="11839" spans="1:6" ht="15.75" customHeight="1">
      <c r="A11839" s="6" t="s">
        <v>6915</v>
      </c>
      <c r="B11839" s="6" t="s">
        <v>6916</v>
      </c>
      <c r="C11839" s="6" t="s">
        <v>6807</v>
      </c>
      <c r="D11839" s="6" t="s">
        <v>6811</v>
      </c>
      <c r="E11839" s="2">
        <v>329586</v>
      </c>
      <c r="F11839" s="4" t="str">
        <f>IF(B11839=B11838,"",B11839)</f>
        <v>RobÄ«t</v>
      </c>
    </row>
    <row r="11840" spans="1:6" ht="15.75" customHeight="1">
      <c r="A11840" s="5" t="s">
        <v>29814</v>
      </c>
      <c r="B11840" s="6" t="s">
        <v>29814</v>
      </c>
      <c r="C11840" s="5" t="s">
        <v>27788</v>
      </c>
      <c r="D11840" s="5" t="s">
        <v>27822</v>
      </c>
      <c r="E11840" s="2">
        <v>4488232</v>
      </c>
      <c r="F11840" s="4" t="str">
        <f>IF(B11840=B11839,"",B11840)</f>
        <v>Roanoke Rapids</v>
      </c>
    </row>
    <row r="11841" spans="1:6" ht="15.75" customHeight="1">
      <c r="A11841" s="5" t="str">
        <f ca="1">IFERROR(__xludf.DUMMYFUNCTION("GOOGLETRANSLATE(B43474,""en"",""pt"")"),"Roanoke Rapids")</f>
        <v>Roanoke Rapids</v>
      </c>
      <c r="B11841" s="17" t="s">
        <v>29814</v>
      </c>
      <c r="C11841" s="17" t="s">
        <v>27788</v>
      </c>
      <c r="D11841" s="17" t="s">
        <v>27822</v>
      </c>
      <c r="E11841" s="10">
        <v>4488232</v>
      </c>
      <c r="F11841" s="4" t="str">
        <f>IF(B11841=B11840,"",B11841)</f>
        <v/>
      </c>
    </row>
    <row r="11842" spans="1:6" ht="15.75" customHeight="1">
      <c r="A11842" s="6" t="s">
        <v>7705</v>
      </c>
      <c r="B11842" s="6" t="s">
        <v>7705</v>
      </c>
      <c r="C11842" s="6" t="s">
        <v>7052</v>
      </c>
      <c r="D11842" s="6" t="s">
        <v>7053</v>
      </c>
      <c r="E11842" s="2">
        <v>2983362</v>
      </c>
      <c r="F11842" s="4" t="str">
        <f>IF(B11842=B11841,"",B11842)</f>
        <v>Roanne</v>
      </c>
    </row>
    <row r="11843" spans="1:6" ht="15.75" customHeight="1">
      <c r="A11843" s="5" t="str">
        <f ca="1">IFERROR(__xludf.DUMMYFUNCTION("GOOGLETRANSLATE(B29831,""en"",""pt"")"),"Roanne")</f>
        <v>Roanne</v>
      </c>
      <c r="B11843" s="17" t="s">
        <v>7705</v>
      </c>
      <c r="C11843" s="17" t="s">
        <v>7052</v>
      </c>
      <c r="D11843" s="17" t="s">
        <v>32532</v>
      </c>
      <c r="E11843" s="10">
        <v>2983362</v>
      </c>
      <c r="F11843" s="4" t="str">
        <f>IF(B11843=B11842,"",B11843)</f>
        <v/>
      </c>
    </row>
    <row r="11844" spans="1:6" ht="15.75" customHeight="1">
      <c r="A11844" s="5" t="s">
        <v>3688</v>
      </c>
      <c r="B11844" s="6" t="s">
        <v>3689</v>
      </c>
      <c r="C11844" s="5" t="s">
        <v>3690</v>
      </c>
      <c r="D11844" s="5" t="s">
        <v>551</v>
      </c>
      <c r="E11844" s="2">
        <v>3577430</v>
      </c>
      <c r="F11844" s="4" t="str">
        <f>IF(B11844=B11843,"",B11844)</f>
        <v>Road Town</v>
      </c>
    </row>
    <row r="11845" spans="1:6" ht="15.75" customHeight="1">
      <c r="A11845" s="5" t="str">
        <f ca="1">IFERROR(__xludf.DUMMYFUNCTION("GOOGLETRANSLATE(B45705,""en"",""pt"")"),"Cidade rodoviária")</f>
        <v>Cidade rodoviária</v>
      </c>
      <c r="B11845" s="17" t="s">
        <v>3689</v>
      </c>
      <c r="C11845" s="17" t="s">
        <v>3690</v>
      </c>
      <c r="D11845" s="17" t="s">
        <v>551</v>
      </c>
      <c r="E11845" s="10">
        <v>3577430</v>
      </c>
      <c r="F11845" s="4" t="str">
        <f>IF(B11845=B11844,"",B11845)</f>
        <v/>
      </c>
    </row>
    <row r="11846" spans="1:6" ht="15.75" customHeight="1">
      <c r="A11846" s="6" t="s">
        <v>6096</v>
      </c>
      <c r="B11846" s="6" t="s">
        <v>6097</v>
      </c>
      <c r="C11846" s="6" t="s">
        <v>5947</v>
      </c>
      <c r="D11846" s="6" t="s">
        <v>6045</v>
      </c>
      <c r="E11846" s="2">
        <v>3066651</v>
      </c>
      <c r="F11846" s="4" t="str">
        <f>IF(B11846=B11845,"",B11846)</f>
        <v>RoÅ¾nov pod RadhoÅ¡tÄ›m</v>
      </c>
    </row>
    <row r="11847" spans="1:6" ht="15.75" customHeight="1">
      <c r="A11847" s="6" t="s">
        <v>23762</v>
      </c>
      <c r="B11847" s="6" t="s">
        <v>23763</v>
      </c>
      <c r="C11847" s="6" t="s">
        <v>23694</v>
      </c>
      <c r="D11847" s="6" t="s">
        <v>23729</v>
      </c>
      <c r="E11847" s="2">
        <v>723713</v>
      </c>
      <c r="F11847" s="4" t="str">
        <f>IF(B11847=B11846,"",B11847)</f>
        <v>RoÅ¾Åˆava</v>
      </c>
    </row>
    <row r="11848" spans="1:6" ht="15.75" customHeight="1">
      <c r="A11848" s="5" t="s">
        <v>17633</v>
      </c>
      <c r="B11848" s="6" t="s">
        <v>17633</v>
      </c>
      <c r="C11848" s="5" t="s">
        <v>17631</v>
      </c>
      <c r="D11848" s="5" t="s">
        <v>17632</v>
      </c>
      <c r="E11848" s="2">
        <v>7874852</v>
      </c>
      <c r="F11848" s="4" t="str">
        <f>IF(B11848=B11847,"",B11848)</f>
        <v>RMI Capitol</v>
      </c>
    </row>
    <row r="11849" spans="1:6" ht="15.75" customHeight="1">
      <c r="A11849" s="5" t="str">
        <f ca="1">IFERROR(__xludf.DUMMYFUNCTION("GOOGLETRANSLATE(B36640,""en"",""pt"")"),"RMI Capitol")</f>
        <v>RMI Capitol</v>
      </c>
      <c r="B11849" s="17" t="s">
        <v>17633</v>
      </c>
      <c r="C11849" s="17" t="s">
        <v>17631</v>
      </c>
      <c r="D11849" s="17" t="s">
        <v>17632</v>
      </c>
      <c r="E11849" s="10">
        <v>7874852</v>
      </c>
      <c r="F11849" s="4" t="str">
        <f>IF(B11849=B11848,"",B11849)</f>
        <v/>
      </c>
    </row>
    <row r="11850" spans="1:6" ht="15.75" customHeight="1">
      <c r="A11850" s="6" t="s">
        <v>5035</v>
      </c>
      <c r="B11850" s="6" t="s">
        <v>5035</v>
      </c>
      <c r="C11850" s="6" t="s">
        <v>4487</v>
      </c>
      <c r="D11850" s="6" t="s">
        <v>4503</v>
      </c>
      <c r="E11850" s="2">
        <v>1797132</v>
      </c>
      <c r="F11850" s="4" t="str">
        <f>IF(B11850=B11849,"",B11850)</f>
        <v>Rizhao</v>
      </c>
    </row>
    <row r="11851" spans="1:6" ht="15.75" customHeight="1">
      <c r="A11851" s="5" t="str">
        <f ca="1">IFERROR(__xludf.DUMMYFUNCTION("GOOGLETRANSLATE(B26291,""en"",""pt"")"),"Rizhao")</f>
        <v>Rizhao</v>
      </c>
      <c r="B11851" s="17" t="s">
        <v>5035</v>
      </c>
      <c r="C11851" s="17" t="s">
        <v>4487</v>
      </c>
      <c r="D11851" s="17" t="s">
        <v>4503</v>
      </c>
      <c r="E11851" s="10">
        <v>1797132</v>
      </c>
      <c r="F11851" s="4" t="str">
        <f>IF(B11851=B11850,"",B11851)</f>
        <v/>
      </c>
    </row>
    <row r="11852" spans="1:6" ht="15.75" customHeight="1">
      <c r="A11852" s="6" t="s">
        <v>26243</v>
      </c>
      <c r="B11852" s="6" t="s">
        <v>26243</v>
      </c>
      <c r="C11852" s="6" t="s">
        <v>26201</v>
      </c>
      <c r="D11852" s="6" t="s">
        <v>26243</v>
      </c>
      <c r="E11852" s="2">
        <v>740483</v>
      </c>
      <c r="F11852" s="4" t="str">
        <f>IF(B11852=B11851,"",B11852)</f>
        <v>Rize</v>
      </c>
    </row>
    <row r="11853" spans="1:6" ht="15.75" customHeight="1">
      <c r="A11853" s="5" t="str">
        <f ca="1">IFERROR(__xludf.DUMMYFUNCTION("GOOGLETRANSLATE(B42124,""en"",""pt"")"),"Rize")</f>
        <v>Rize</v>
      </c>
      <c r="B11853" s="17" t="s">
        <v>26243</v>
      </c>
      <c r="C11853" s="17" t="s">
        <v>26201</v>
      </c>
      <c r="D11853" s="17" t="s">
        <v>26243</v>
      </c>
      <c r="E11853" s="10">
        <v>740483</v>
      </c>
      <c r="F11853" s="4" t="str">
        <f>IF(B11853=B11852,"",B11853)</f>
        <v/>
      </c>
    </row>
    <row r="11854" spans="1:6" ht="15.75" customHeight="1">
      <c r="A11854" s="6" t="s">
        <v>20982</v>
      </c>
      <c r="B11854" s="6" t="s">
        <v>20982</v>
      </c>
      <c r="C11854" s="6" t="s">
        <v>20598</v>
      </c>
      <c r="D11854" s="6" t="s">
        <v>20599</v>
      </c>
      <c r="E11854" s="2">
        <v>1691606</v>
      </c>
      <c r="F11854" s="4" t="str">
        <f>IF(B11854=B11853,"",B11854)</f>
        <v>Rizal</v>
      </c>
    </row>
    <row r="11855" spans="1:6" ht="15.75" customHeight="1">
      <c r="A11855" s="5" t="str">
        <f ca="1">IFERROR(__xludf.DUMMYFUNCTION("GOOGLETRANSLATE(B38532,""en"",""pt"")"),"Rizal")</f>
        <v>Rizal</v>
      </c>
      <c r="B11855" s="17" t="s">
        <v>20982</v>
      </c>
      <c r="C11855" s="17" t="s">
        <v>20598</v>
      </c>
      <c r="D11855" s="17" t="s">
        <v>20599</v>
      </c>
      <c r="E11855" s="10">
        <v>1691606</v>
      </c>
      <c r="F11855" s="4" t="str">
        <f>IF(B11855=B11854,"",B11855)</f>
        <v/>
      </c>
    </row>
    <row r="11856" spans="1:6" ht="15.75" customHeight="1">
      <c r="A11856" s="6" t="s">
        <v>23543</v>
      </c>
      <c r="B11856" s="6" t="s">
        <v>23543</v>
      </c>
      <c r="C11856" s="6" t="s">
        <v>23454</v>
      </c>
      <c r="D11856" s="6" t="s">
        <v>23460</v>
      </c>
      <c r="E11856" s="2">
        <v>108410</v>
      </c>
      <c r="F11856" s="4" t="str">
        <f>IF(B11856=B11855,"",B11856)</f>
        <v>Riyadh</v>
      </c>
    </row>
    <row r="11857" spans="1:6" ht="15.75" customHeight="1">
      <c r="A11857" s="5" t="str">
        <f ca="1">IFERROR(__xludf.DUMMYFUNCTION("GOOGLETRANSLATE(B41040,""en"",""pt"")"),"Riyadh")</f>
        <v>Riyadh</v>
      </c>
      <c r="B11857" s="17" t="s">
        <v>23543</v>
      </c>
      <c r="C11857" s="17" t="s">
        <v>23454</v>
      </c>
      <c r="D11857" s="17" t="s">
        <v>35584</v>
      </c>
      <c r="E11857" s="10">
        <v>108410</v>
      </c>
      <c r="F11857" s="4" t="str">
        <f>IF(B11857=B11856,"",B11857)</f>
        <v/>
      </c>
    </row>
    <row r="11858" spans="1:6" ht="15.75" customHeight="1">
      <c r="A11858" s="6" t="s">
        <v>1672</v>
      </c>
      <c r="B11858" s="6" t="s">
        <v>1672</v>
      </c>
      <c r="C11858" s="6" t="s">
        <v>1512</v>
      </c>
      <c r="D11858" s="6" t="s">
        <v>1518</v>
      </c>
      <c r="E11858" s="2">
        <v>2787989</v>
      </c>
      <c r="F11858" s="4" t="str">
        <f>IF(B11858=B11857,"",B11858)</f>
        <v>Rixensart</v>
      </c>
    </row>
    <row r="11859" spans="1:6" ht="15.75" customHeight="1">
      <c r="A11859" s="5" t="str">
        <f ca="1">IFERROR(__xludf.DUMMYFUNCTION("GOOGLETRANSLATE(B23842,""en"",""pt"")"),"Rixensart")</f>
        <v>Rixensart</v>
      </c>
      <c r="B11859" s="17" t="s">
        <v>1672</v>
      </c>
      <c r="C11859" s="17" t="s">
        <v>1512</v>
      </c>
      <c r="D11859" s="17" t="s">
        <v>1518</v>
      </c>
      <c r="E11859" s="10">
        <v>2787989</v>
      </c>
      <c r="F11859" s="4" t="str">
        <f>IF(B11859=B11858,"",B11859)</f>
        <v/>
      </c>
    </row>
    <row r="11860" spans="1:6" ht="15.75" customHeight="1">
      <c r="A11860" s="6" t="s">
        <v>15412</v>
      </c>
      <c r="B11860" s="6" t="s">
        <v>15412</v>
      </c>
      <c r="C11860" s="6" t="s">
        <v>14891</v>
      </c>
      <c r="D11860" s="6" t="s">
        <v>14911</v>
      </c>
      <c r="E11860" s="2">
        <v>3169231</v>
      </c>
      <c r="F11860" s="4" t="str">
        <f>IF(B11860=B11859,"",B11860)</f>
        <v>Rivoli</v>
      </c>
    </row>
    <row r="11861" spans="1:6" ht="15.75" customHeight="1">
      <c r="A11861" s="5" t="str">
        <f ca="1">IFERROR(__xludf.DUMMYFUNCTION("GOOGLETRANSLATE(B34742,""en"",""pt"")"),"Rivoli")</f>
        <v>Rivoli</v>
      </c>
      <c r="B11861" s="17" t="s">
        <v>15412</v>
      </c>
      <c r="C11861" s="17" t="s">
        <v>14891</v>
      </c>
      <c r="D11861" s="17" t="s">
        <v>14911</v>
      </c>
      <c r="E11861" s="10">
        <v>3169231</v>
      </c>
      <c r="F11861" s="4" t="str">
        <f>IF(B11861=B11860,"",B11861)</f>
        <v/>
      </c>
    </row>
    <row r="11862" spans="1:6" ht="15.75" customHeight="1">
      <c r="A11862" s="6" t="s">
        <v>26953</v>
      </c>
      <c r="B11862" s="6" t="s">
        <v>26953</v>
      </c>
      <c r="C11862" s="6" t="s">
        <v>26870</v>
      </c>
      <c r="D11862" s="6" t="s">
        <v>26953</v>
      </c>
      <c r="E11862" s="2">
        <v>695594</v>
      </c>
      <c r="F11862" s="4" t="str">
        <f>IF(B11862=B11861,"",B11862)</f>
        <v>Rivne</v>
      </c>
    </row>
    <row r="11863" spans="1:6" ht="15.75" customHeight="1">
      <c r="A11863" s="5" t="str">
        <f ca="1">IFERROR(__xludf.DUMMYFUNCTION("GOOGLETRANSLATE(B42539,""en"",""pt"")"),"Rivne")</f>
        <v>Rivne</v>
      </c>
      <c r="B11863" s="17" t="s">
        <v>26953</v>
      </c>
      <c r="C11863" s="17" t="s">
        <v>26870</v>
      </c>
      <c r="D11863" s="17" t="s">
        <v>26953</v>
      </c>
      <c r="E11863" s="10">
        <v>695594</v>
      </c>
      <c r="F11863" s="4" t="str">
        <f>IF(B11863=B11862,"",B11863)</f>
        <v/>
      </c>
    </row>
    <row r="11864" spans="1:6" ht="15.75" customHeight="1">
      <c r="A11864" s="5" t="str">
        <f ca="1">IFERROR(__xludf.DUMMYFUNCTION("GOOGLETRANSLATE(B25625,""en"",""pt"")"),"Rivière-du-Loup")</f>
        <v>Rivière-du-Loup</v>
      </c>
      <c r="B11864" s="17" t="s">
        <v>31762</v>
      </c>
      <c r="C11864" s="17" t="s">
        <v>3975</v>
      </c>
      <c r="D11864" s="17" t="s">
        <v>3982</v>
      </c>
      <c r="E11864" s="10">
        <v>6354897</v>
      </c>
      <c r="F11864" s="4" t="str">
        <f>IF(B11864=B11863,"",B11864)</f>
        <v>Rivière-du-Loup</v>
      </c>
    </row>
    <row r="11865" spans="1:6" ht="15.75" customHeight="1">
      <c r="A11865" s="5" t="s">
        <v>29812</v>
      </c>
      <c r="B11865" s="6" t="s">
        <v>29813</v>
      </c>
      <c r="C11865" s="5" t="s">
        <v>27788</v>
      </c>
      <c r="D11865" s="5" t="s">
        <v>5468</v>
      </c>
      <c r="E11865" s="2">
        <v>4170174</v>
      </c>
      <c r="F11865" s="4" t="str">
        <f>IF(B11865=B11864,"",B11865)</f>
        <v>Riviera Beach</v>
      </c>
    </row>
    <row r="11866" spans="1:6" ht="15.75" customHeight="1">
      <c r="A11866" s="5" t="str">
        <f ca="1">IFERROR(__xludf.DUMMYFUNCTION("GOOGLETRANSLATE(B43004,""en"",""pt"")"),"Praia de Riviera")</f>
        <v>Praia de Riviera</v>
      </c>
      <c r="B11866" s="17" t="s">
        <v>29813</v>
      </c>
      <c r="C11866" s="17" t="s">
        <v>27788</v>
      </c>
      <c r="D11866" s="17" t="s">
        <v>5468</v>
      </c>
      <c r="E11866" s="10">
        <v>4170174</v>
      </c>
      <c r="F11866" s="4" t="str">
        <f>IF(B11866=B11865,"",B11866)</f>
        <v/>
      </c>
    </row>
    <row r="11867" spans="1:6" ht="15.75" customHeight="1">
      <c r="A11867" s="5" t="s">
        <v>4164</v>
      </c>
      <c r="B11867" s="6" t="s">
        <v>4165</v>
      </c>
      <c r="C11867" s="5" t="s">
        <v>3975</v>
      </c>
      <c r="D11867" s="5" t="s">
        <v>3982</v>
      </c>
      <c r="E11867" s="2">
        <v>6354897</v>
      </c>
      <c r="F11867" s="4" t="str">
        <f>IF(B11867=B11866,"",B11867)</f>
        <v>RiviÃ¨re-du-Loup</v>
      </c>
    </row>
    <row r="11868" spans="1:6" ht="15.75" customHeight="1">
      <c r="A11868" s="5" t="s">
        <v>29810</v>
      </c>
      <c r="B11868" s="6" t="s">
        <v>29811</v>
      </c>
      <c r="C11868" s="5" t="s">
        <v>27788</v>
      </c>
      <c r="D11868" s="5" t="s">
        <v>5468</v>
      </c>
      <c r="E11868" s="2">
        <v>4170156</v>
      </c>
      <c r="F11868" s="4" t="str">
        <f>IF(B11868=B11867,"",B11868)</f>
        <v>Riverview</v>
      </c>
    </row>
    <row r="11869" spans="1:6" ht="15.75" customHeight="1">
      <c r="A11869" s="5" t="str">
        <f ca="1">IFERROR(__xludf.DUMMYFUNCTION("GOOGLETRANSLATE(B43003,""en"",""pt"")"),"Vista do rio")</f>
        <v>Vista do rio</v>
      </c>
      <c r="B11869" s="17" t="s">
        <v>29811</v>
      </c>
      <c r="C11869" s="17" t="s">
        <v>27788</v>
      </c>
      <c r="D11869" s="17" t="s">
        <v>5468</v>
      </c>
      <c r="E11869" s="10">
        <v>4170156</v>
      </c>
      <c r="F11869" s="4" t="str">
        <f>IF(B11869=B11868,"",B11869)</f>
        <v/>
      </c>
    </row>
    <row r="11870" spans="1:6" ht="15.75" customHeight="1">
      <c r="A11870" s="6" t="s">
        <v>29809</v>
      </c>
      <c r="B11870" s="6" t="s">
        <v>29809</v>
      </c>
      <c r="C11870" s="6" t="s">
        <v>27788</v>
      </c>
      <c r="D11870" s="6" t="s">
        <v>27856</v>
      </c>
      <c r="E11870" s="2">
        <v>5780557</v>
      </c>
      <c r="F11870" s="4" t="str">
        <f>IF(B11870=B11869,"",B11870)</f>
        <v>Riverton</v>
      </c>
    </row>
    <row r="11871" spans="1:6" ht="15.75" customHeight="1">
      <c r="A11871" s="5" t="str">
        <f ca="1">IFERROR(__xludf.DUMMYFUNCTION("GOOGLETRANSLATE(B45296,""en"",""pt"")"),"Riverton")</f>
        <v>Riverton</v>
      </c>
      <c r="B11871" s="17" t="s">
        <v>29809</v>
      </c>
      <c r="C11871" s="17" t="s">
        <v>27788</v>
      </c>
      <c r="D11871" s="17" t="s">
        <v>27856</v>
      </c>
      <c r="E11871" s="10">
        <v>5780557</v>
      </c>
      <c r="F11871" s="4" t="str">
        <f>IF(B11871=B11870,"",B11871)</f>
        <v/>
      </c>
    </row>
    <row r="11872" spans="1:6" ht="15.75" customHeight="1">
      <c r="A11872" s="6" t="s">
        <v>29808</v>
      </c>
      <c r="B11872" s="6" t="s">
        <v>29808</v>
      </c>
      <c r="C11872" s="6" t="s">
        <v>27788</v>
      </c>
      <c r="D11872" s="6" t="s">
        <v>27813</v>
      </c>
      <c r="E11872" s="2">
        <v>4522586</v>
      </c>
      <c r="F11872" s="4" t="str">
        <f>IF(B11872=B11871,"",B11872)</f>
        <v>Riverside</v>
      </c>
    </row>
    <row r="11873" spans="1:6" ht="15.75" customHeight="1">
      <c r="A11873" s="6" t="s">
        <v>29808</v>
      </c>
      <c r="B11873" s="6" t="s">
        <v>29808</v>
      </c>
      <c r="C11873" s="6" t="s">
        <v>27788</v>
      </c>
      <c r="D11873" s="6" t="s">
        <v>27801</v>
      </c>
      <c r="E11873" s="2">
        <v>5387877</v>
      </c>
      <c r="F11873" s="4" t="str">
        <f>IF(B11873=B11872,"",B11873)</f>
        <v/>
      </c>
    </row>
    <row r="11874" spans="1:6" ht="15.75" customHeight="1">
      <c r="A11874" s="5" t="str">
        <f ca="1">IFERROR(__xludf.DUMMYFUNCTION("GOOGLETRANSLATE(B43527,""en"",""pt"")"),"Riverside")</f>
        <v>Riverside</v>
      </c>
      <c r="B11874" s="17" t="s">
        <v>29808</v>
      </c>
      <c r="C11874" s="17" t="s">
        <v>27788</v>
      </c>
      <c r="D11874" s="17" t="s">
        <v>27813</v>
      </c>
      <c r="E11874" s="10">
        <v>4522586</v>
      </c>
      <c r="F11874" s="4" t="str">
        <f>IF(B11874=B11873,"",B11874)</f>
        <v/>
      </c>
    </row>
    <row r="11875" spans="1:6" ht="15.75" customHeight="1">
      <c r="A11875" s="5" t="str">
        <f ca="1">IFERROR(__xludf.DUMMYFUNCTION("GOOGLETRANSLATE(B44987,""en"",""pt"")"),"Riverside")</f>
        <v>Riverside</v>
      </c>
      <c r="B11875" s="17" t="s">
        <v>29808</v>
      </c>
      <c r="C11875" s="17" t="s">
        <v>27788</v>
      </c>
      <c r="D11875" s="17" t="s">
        <v>27801</v>
      </c>
      <c r="E11875" s="10">
        <v>5387877</v>
      </c>
      <c r="F11875" s="4" t="str">
        <f>IF(B11875=B11874,"",B11875)</f>
        <v/>
      </c>
    </row>
    <row r="11876" spans="1:6" ht="15.75" customHeight="1">
      <c r="A11876" s="6" t="s">
        <v>29807</v>
      </c>
      <c r="B11876" s="6" t="s">
        <v>29807</v>
      </c>
      <c r="C11876" s="6" t="s">
        <v>27788</v>
      </c>
      <c r="D11876" s="6" t="s">
        <v>7988</v>
      </c>
      <c r="E11876" s="2">
        <v>4219001</v>
      </c>
      <c r="F11876" s="4" t="str">
        <f>IF(B11876=B11875,"",B11876)</f>
        <v>Riverdale</v>
      </c>
    </row>
    <row r="11877" spans="1:6" ht="15.75" customHeight="1">
      <c r="A11877" s="5" t="str">
        <f ca="1">IFERROR(__xludf.DUMMYFUNCTION("GOOGLETRANSLATE(B43103,""en"",""pt"")"),"Riverdale")</f>
        <v>Riverdale</v>
      </c>
      <c r="B11877" s="17" t="s">
        <v>29807</v>
      </c>
      <c r="C11877" s="17" t="s">
        <v>27788</v>
      </c>
      <c r="D11877" s="17" t="s">
        <v>7988</v>
      </c>
      <c r="E11877" s="10">
        <v>4219001</v>
      </c>
      <c r="F11877" s="4" t="str">
        <f>IF(B11877=B11876,"",B11877)</f>
        <v/>
      </c>
    </row>
    <row r="11878" spans="1:6" ht="15.75" customHeight="1">
      <c r="A11878" s="5" t="s">
        <v>29805</v>
      </c>
      <c r="B11878" s="6" t="s">
        <v>29806</v>
      </c>
      <c r="C11878" s="5" t="s">
        <v>27788</v>
      </c>
      <c r="D11878" s="5" t="s">
        <v>27801</v>
      </c>
      <c r="E11878" s="2">
        <v>5387844</v>
      </c>
      <c r="F11878" s="4" t="str">
        <f>IF(B11878=B11877,"",B11878)</f>
        <v>Riverbank</v>
      </c>
    </row>
    <row r="11879" spans="1:6" ht="15.75" customHeight="1">
      <c r="A11879" s="5" t="str">
        <f ca="1">IFERROR(__xludf.DUMMYFUNCTION("GOOGLETRANSLATE(B44986,""en"",""pt"")"),"Margem do rio")</f>
        <v>Margem do rio</v>
      </c>
      <c r="B11879" s="17" t="s">
        <v>29806</v>
      </c>
      <c r="C11879" s="17" t="s">
        <v>27788</v>
      </c>
      <c r="D11879" s="17" t="s">
        <v>27801</v>
      </c>
      <c r="E11879" s="10">
        <v>5387844</v>
      </c>
      <c r="F11879" s="4" t="str">
        <f>IF(B11879=B11878,"",B11879)</f>
        <v/>
      </c>
    </row>
    <row r="11880" spans="1:6" ht="15.75" customHeight="1">
      <c r="A11880" s="6" t="s">
        <v>30492</v>
      </c>
      <c r="B11880" s="6" t="s">
        <v>30492</v>
      </c>
      <c r="C11880" s="6" t="s">
        <v>30472</v>
      </c>
      <c r="D11880" s="6" t="s">
        <v>30492</v>
      </c>
      <c r="E11880" s="2">
        <v>3440781</v>
      </c>
      <c r="F11880" s="4" t="str">
        <f>IF(B11880=B11879,"",B11880)</f>
        <v>Rivera</v>
      </c>
    </row>
    <row r="11881" spans="1:6" ht="15.75" customHeight="1">
      <c r="A11881" s="5" t="str">
        <f ca="1">IFERROR(__xludf.DUMMYFUNCTION("GOOGLETRANSLATE(B45479,""en"",""pt"")"),"Rivera")</f>
        <v>Rivera</v>
      </c>
      <c r="B11881" s="17" t="s">
        <v>30492</v>
      </c>
      <c r="C11881" s="17" t="s">
        <v>30472</v>
      </c>
      <c r="D11881" s="17" t="s">
        <v>30492</v>
      </c>
      <c r="E11881" s="10">
        <v>3440781</v>
      </c>
      <c r="F11881" s="4" t="str">
        <f>IF(B11881=B11880,"",B11881)</f>
        <v/>
      </c>
    </row>
    <row r="11882" spans="1:6" ht="15.75" customHeight="1">
      <c r="A11882" s="5" t="s">
        <v>24735</v>
      </c>
      <c r="B11882" s="6" t="s">
        <v>24735</v>
      </c>
      <c r="C11882" s="5" t="s">
        <v>24200</v>
      </c>
      <c r="D11882" s="5" t="s">
        <v>5513</v>
      </c>
      <c r="E11882" s="2">
        <v>3107112</v>
      </c>
      <c r="F11882" s="4" t="str">
        <f>IF(B11882=B11881,"",B11882)</f>
        <v>Rivas-Vaciamadrid</v>
      </c>
    </row>
    <row r="11883" spans="1:6" ht="15.75" customHeight="1">
      <c r="A11883" s="5" t="str">
        <f ca="1">IFERROR(__xludf.DUMMYFUNCTION("GOOGLETRANSLATE(B29253,""en"",""pt"")"),"Rivas-Vaciamadrid")</f>
        <v>Rivas-Vaciamadrid</v>
      </c>
      <c r="B11883" s="17" t="s">
        <v>24735</v>
      </c>
      <c r="C11883" s="17" t="s">
        <v>24200</v>
      </c>
      <c r="D11883" s="17" t="s">
        <v>5513</v>
      </c>
      <c r="E11883" s="10">
        <v>3107112</v>
      </c>
      <c r="F11883" s="4" t="str">
        <f>IF(B11883=B11882,"",B11883)</f>
        <v/>
      </c>
    </row>
    <row r="11884" spans="1:6" ht="15.75" customHeight="1">
      <c r="A11884" s="6" t="s">
        <v>19251</v>
      </c>
      <c r="B11884" s="6" t="s">
        <v>19251</v>
      </c>
      <c r="C11884" s="6" t="s">
        <v>19217</v>
      </c>
      <c r="D11884" s="6" t="s">
        <v>19251</v>
      </c>
      <c r="E11884" s="2">
        <v>3617052</v>
      </c>
      <c r="F11884" s="4" t="str">
        <f>IF(B11884=B11883,"",B11884)</f>
        <v>Rivas</v>
      </c>
    </row>
    <row r="11885" spans="1:6" ht="15.75" customHeight="1">
      <c r="A11885" s="5" t="str">
        <f ca="1">IFERROR(__xludf.DUMMYFUNCTION("GOOGLETRANSLATE(B37855,""en"",""pt"")"),"Rivas")</f>
        <v>Rivas</v>
      </c>
      <c r="B11885" s="17" t="s">
        <v>19251</v>
      </c>
      <c r="C11885" s="17" t="s">
        <v>19217</v>
      </c>
      <c r="D11885" s="17" t="s">
        <v>19251</v>
      </c>
      <c r="E11885" s="10">
        <v>3617052</v>
      </c>
      <c r="F11885" s="4" t="str">
        <f>IF(B11885=B11884,"",B11885)</f>
        <v/>
      </c>
    </row>
    <row r="11886" spans="1:6" ht="15.75" customHeight="1">
      <c r="A11886" s="5" t="s">
        <v>7704</v>
      </c>
      <c r="B11886" s="6" t="s">
        <v>7704</v>
      </c>
      <c r="C11886" s="5" t="s">
        <v>7052</v>
      </c>
      <c r="D11886" s="5" t="s">
        <v>7058</v>
      </c>
      <c r="E11886" s="2">
        <v>2983440</v>
      </c>
      <c r="F11886" s="4" t="str">
        <f>IF(B11886=B11885,"",B11886)</f>
        <v>Ris-Orangis</v>
      </c>
    </row>
    <row r="11887" spans="1:6" ht="15.75" customHeight="1">
      <c r="A11887" s="5" t="str">
        <f ca="1">IFERROR(__xludf.DUMMYFUNCTION("GOOGLETRANSLATE(B29832,""en"",""pt"")"),"RIS-ORANGIS")</f>
        <v>RIS-ORANGIS</v>
      </c>
      <c r="B11887" s="17" t="s">
        <v>7704</v>
      </c>
      <c r="C11887" s="17" t="s">
        <v>7052</v>
      </c>
      <c r="D11887" s="17" t="s">
        <v>32531</v>
      </c>
      <c r="E11887" s="10">
        <v>2983440</v>
      </c>
      <c r="F11887" s="4" t="str">
        <f>IF(B11887=B11886,"",B11887)</f>
        <v/>
      </c>
    </row>
    <row r="11888" spans="1:6" ht="15.75" customHeight="1">
      <c r="A11888" s="6" t="s">
        <v>13114</v>
      </c>
      <c r="B11888" s="6" t="s">
        <v>13114</v>
      </c>
      <c r="C11888" s="6" t="s">
        <v>10178</v>
      </c>
      <c r="D11888" s="6" t="s">
        <v>10214</v>
      </c>
      <c r="E11888" s="2">
        <v>1258124</v>
      </c>
      <c r="F11888" s="4" t="str">
        <f>IF(B11888=B11887,"",B11888)</f>
        <v>Risod</v>
      </c>
    </row>
    <row r="11889" spans="1:6" ht="15.75" customHeight="1">
      <c r="A11889" s="5" t="str">
        <f ca="1">IFERROR(__xludf.DUMMYFUNCTION("GOOGLETRANSLATE(B32303,""en"",""pt"")"),"Risod")</f>
        <v>Risod</v>
      </c>
      <c r="B11889" s="17" t="s">
        <v>13114</v>
      </c>
      <c r="C11889" s="17" t="s">
        <v>10178</v>
      </c>
      <c r="D11889" s="17" t="s">
        <v>10214</v>
      </c>
      <c r="E11889" s="10">
        <v>1258124</v>
      </c>
      <c r="F11889" s="4" t="str">
        <f>IF(B11889=B11888,"",B11889)</f>
        <v/>
      </c>
    </row>
    <row r="11890" spans="1:6" ht="15.75" customHeight="1">
      <c r="A11890" s="6" t="s">
        <v>13113</v>
      </c>
      <c r="B11890" s="6" t="s">
        <v>13113</v>
      </c>
      <c r="C11890" s="6" t="s">
        <v>10178</v>
      </c>
      <c r="D11890" s="6" t="s">
        <v>10201</v>
      </c>
      <c r="E11890" s="2">
        <v>1258126</v>
      </c>
      <c r="F11890" s="4" t="str">
        <f>IF(B11890=B11889,"",B11890)</f>
        <v>Rishra</v>
      </c>
    </row>
    <row r="11891" spans="1:6" ht="15.75" customHeight="1">
      <c r="A11891" s="5" t="str">
        <f ca="1">IFERROR(__xludf.DUMMYFUNCTION("GOOGLETRANSLATE(B32304,""en"",""pt"")"),"Rishra")</f>
        <v>Rishra</v>
      </c>
      <c r="B11891" s="17" t="s">
        <v>13113</v>
      </c>
      <c r="C11891" s="17" t="s">
        <v>10178</v>
      </c>
      <c r="D11891" s="17" t="s">
        <v>10201</v>
      </c>
      <c r="E11891" s="10">
        <v>1258126</v>
      </c>
      <c r="F11891" s="4" t="str">
        <f>IF(B11891=B11890,"",B11891)</f>
        <v/>
      </c>
    </row>
    <row r="11892" spans="1:6" ht="15.75" customHeight="1">
      <c r="A11892" s="5" t="str">
        <f ca="1">IFERROR(__xludf.DUMMYFUNCTION("GOOGLETRANSLATE(B31770,""en"",""pt"")"),"Rishon Leẕiyyon")</f>
        <v>Rishon Leẕiyyon</v>
      </c>
      <c r="B11892" s="17" t="s">
        <v>32917</v>
      </c>
      <c r="C11892" s="17" t="s">
        <v>14773</v>
      </c>
      <c r="D11892" s="17" t="s">
        <v>14800</v>
      </c>
      <c r="E11892" s="10">
        <v>293703</v>
      </c>
      <c r="F11892" s="4" t="str">
        <f>IF(B11892=B11891,"",B11892)</f>
        <v>Rishon LeẔiyyon</v>
      </c>
    </row>
    <row r="11893" spans="1:6" ht="15.75" customHeight="1">
      <c r="A11893" s="5" t="s">
        <v>14867</v>
      </c>
      <c r="B11893" s="6" t="s">
        <v>14868</v>
      </c>
      <c r="C11893" s="5" t="s">
        <v>14773</v>
      </c>
      <c r="D11893" s="5" t="s">
        <v>14800</v>
      </c>
      <c r="E11893" s="2">
        <v>293703</v>
      </c>
      <c r="F11893" s="4" t="str">
        <f>IF(B11893=B11892,"",B11893)</f>
        <v>Rishon Leáº”iyyon</v>
      </c>
    </row>
    <row r="11894" spans="1:6" ht="15.75" customHeight="1">
      <c r="A11894" s="5" t="str">
        <f ca="1">IFERROR(__xludf.DUMMYFUNCTION("GOOGLETRANSLATE(B32305,""en"",""pt"")"),"Rishīkesh")</f>
        <v>Rishīkesh</v>
      </c>
      <c r="B11894" s="17" t="s">
        <v>33147</v>
      </c>
      <c r="C11894" s="17" t="s">
        <v>10178</v>
      </c>
      <c r="D11894" s="17" t="s">
        <v>10299</v>
      </c>
      <c r="E11894" s="10">
        <v>1258128</v>
      </c>
      <c r="F11894" s="4" t="str">
        <f>IF(B11894=B11893,"",B11894)</f>
        <v>Rishīkesh</v>
      </c>
    </row>
    <row r="11895" spans="1:6" ht="15.75" customHeight="1">
      <c r="A11895" s="5" t="s">
        <v>13111</v>
      </c>
      <c r="B11895" s="6" t="s">
        <v>13112</v>
      </c>
      <c r="C11895" s="5" t="s">
        <v>10178</v>
      </c>
      <c r="D11895" s="5" t="s">
        <v>10299</v>
      </c>
      <c r="E11895" s="2">
        <v>1258128</v>
      </c>
      <c r="F11895" s="4" t="str">
        <f>IF(B11895=B11894,"",B11895)</f>
        <v>RishÄ«kesh</v>
      </c>
    </row>
    <row r="11896" spans="1:6" ht="15.75" customHeight="1">
      <c r="A11896" s="6" t="s">
        <v>27638</v>
      </c>
      <c r="B11896" s="6" t="s">
        <v>27639</v>
      </c>
      <c r="C11896" s="6" t="s">
        <v>27234</v>
      </c>
      <c r="D11896" s="6" t="s">
        <v>27235</v>
      </c>
      <c r="E11896" s="2">
        <v>2639317</v>
      </c>
      <c r="F11896" s="4" t="str">
        <f>IF(B11896=B11895,"",B11896)</f>
        <v>Risca</v>
      </c>
    </row>
    <row r="11897" spans="1:6" ht="15.75" customHeight="1">
      <c r="A11897" s="5" t="str">
        <f ca="1">IFERROR(__xludf.DUMMYFUNCTION("GOOGLETRANSLATE(B30443,""en"",""pt"")"),"RISCA")</f>
        <v>RISCA</v>
      </c>
      <c r="B11897" s="17" t="s">
        <v>27639</v>
      </c>
      <c r="C11897" s="17" t="s">
        <v>27234</v>
      </c>
      <c r="D11897" s="17" t="s">
        <v>27235</v>
      </c>
      <c r="E11897" s="10">
        <v>2639317</v>
      </c>
      <c r="F11897" s="4" t="str">
        <f>IF(B11897=B11896,"",B11897)</f>
        <v/>
      </c>
    </row>
    <row r="11898" spans="1:6" ht="15.75" customHeight="1">
      <c r="A11898" s="5" t="str">
        <f ca="1">IFERROR(__xludf.DUMMYFUNCTION("GOOGLETRANSLATE(B39173,""en"",""pt"")"),"Risālpur")</f>
        <v>Risālpur</v>
      </c>
      <c r="B11898" s="17" t="s">
        <v>35060</v>
      </c>
      <c r="C11898" s="17" t="s">
        <v>19808</v>
      </c>
      <c r="D11898" s="17" t="s">
        <v>19811</v>
      </c>
      <c r="E11898" s="10">
        <v>1448637</v>
      </c>
      <c r="F11898" s="4" t="str">
        <f>IF(B11898=B11897,"",B11898)</f>
        <v>Risālpur</v>
      </c>
    </row>
    <row r="11899" spans="1:6" ht="15.75" customHeight="1">
      <c r="A11899" s="6" t="s">
        <v>20190</v>
      </c>
      <c r="B11899" s="6" t="s">
        <v>20191</v>
      </c>
      <c r="C11899" s="6" t="s">
        <v>19808</v>
      </c>
      <c r="D11899" s="6" t="s">
        <v>19811</v>
      </c>
      <c r="E11899" s="2">
        <v>1448637</v>
      </c>
      <c r="F11899" s="4" t="str">
        <f>IF(B11899=B11898,"",B11899)</f>
        <v>RisÄlpur</v>
      </c>
    </row>
    <row r="11900" spans="1:6" ht="15.75" customHeight="1">
      <c r="A11900" s="6" t="s">
        <v>27637</v>
      </c>
      <c r="B11900" s="6" t="s">
        <v>27637</v>
      </c>
      <c r="C11900" s="6" t="s">
        <v>27234</v>
      </c>
      <c r="D11900" s="6" t="s">
        <v>27241</v>
      </c>
      <c r="E11900" s="2">
        <v>2639323</v>
      </c>
      <c r="F11900" s="4" t="str">
        <f>IF(B11900=B11899,"",B11900)</f>
        <v>Ripon</v>
      </c>
    </row>
    <row r="11901" spans="1:6" ht="15.75" customHeight="1">
      <c r="A11901" s="5" t="str">
        <f ca="1">IFERROR(__xludf.DUMMYFUNCTION("GOOGLETRANSLATE(B30444,""en"",""pt"")"),"Ripon")</f>
        <v>Ripon</v>
      </c>
      <c r="B11901" s="17" t="s">
        <v>27637</v>
      </c>
      <c r="C11901" s="17" t="s">
        <v>27234</v>
      </c>
      <c r="D11901" s="17" t="s">
        <v>27241</v>
      </c>
      <c r="E11901" s="10">
        <v>2639323</v>
      </c>
      <c r="F11901" s="4" t="str">
        <f>IF(B11901=B11900,"",B11901)</f>
        <v/>
      </c>
    </row>
    <row r="11902" spans="1:6" ht="15.75" customHeight="1">
      <c r="A11902" s="6" t="s">
        <v>24734</v>
      </c>
      <c r="B11902" s="6" t="s">
        <v>24734</v>
      </c>
      <c r="C11902" s="6" t="s">
        <v>24200</v>
      </c>
      <c r="D11902" s="6" t="s">
        <v>24277</v>
      </c>
      <c r="E11902" s="2">
        <v>3111605</v>
      </c>
      <c r="F11902" s="4" t="str">
        <f>IF(B11902=B11901,"",B11902)</f>
        <v>Ripollet</v>
      </c>
    </row>
    <row r="11903" spans="1:6" ht="15.75" customHeight="1">
      <c r="A11903" s="5" t="str">
        <f ca="1">IFERROR(__xludf.DUMMYFUNCTION("GOOGLETRANSLATE(B29313,""en"",""pt"")"),"Ripollet")</f>
        <v>Ripollet</v>
      </c>
      <c r="B11903" s="17" t="s">
        <v>24734</v>
      </c>
      <c r="C11903" s="17" t="s">
        <v>24200</v>
      </c>
      <c r="D11903" s="17" t="s">
        <v>24277</v>
      </c>
      <c r="E11903" s="10">
        <v>3111605</v>
      </c>
      <c r="F11903" s="4" t="str">
        <f>IF(B11903=B11902,"",B11903)</f>
        <v/>
      </c>
    </row>
    <row r="11904" spans="1:6" ht="15.75" customHeight="1">
      <c r="A11904" s="6" t="s">
        <v>27636</v>
      </c>
      <c r="B11904" s="6" t="s">
        <v>27636</v>
      </c>
      <c r="C11904" s="6" t="s">
        <v>27234</v>
      </c>
      <c r="D11904" s="6" t="s">
        <v>27241</v>
      </c>
      <c r="E11904" s="2">
        <v>2639325</v>
      </c>
      <c r="F11904" s="4" t="str">
        <f>IF(B11904=B11903,"",B11904)</f>
        <v>Ripley</v>
      </c>
    </row>
    <row r="11905" spans="1:6" ht="15.75" customHeight="1">
      <c r="A11905" s="5" t="str">
        <f ca="1">IFERROR(__xludf.DUMMYFUNCTION("GOOGLETRANSLATE(B30445,""en"",""pt"")"),"Ripley")</f>
        <v>Ripley</v>
      </c>
      <c r="B11905" s="17" t="s">
        <v>27636</v>
      </c>
      <c r="C11905" s="17" t="s">
        <v>27234</v>
      </c>
      <c r="D11905" s="17" t="s">
        <v>27241</v>
      </c>
      <c r="E11905" s="10">
        <v>2639325</v>
      </c>
      <c r="F11905" s="4" t="str">
        <f>IF(B11905=B11904,"",B11905)</f>
        <v/>
      </c>
    </row>
    <row r="11906" spans="1:6" ht="15.75" customHeight="1">
      <c r="A11906" s="6" t="s">
        <v>5581</v>
      </c>
      <c r="B11906" s="6" t="s">
        <v>5581</v>
      </c>
      <c r="C11906" s="6" t="s">
        <v>5348</v>
      </c>
      <c r="D11906" s="6" t="s">
        <v>5353</v>
      </c>
      <c r="E11906" s="2">
        <v>3670719</v>
      </c>
      <c r="F11906" s="4" t="str">
        <f>IF(B11906=B11905,"",B11906)</f>
        <v>Riosucio</v>
      </c>
    </row>
    <row r="11907" spans="1:6" ht="15.75" customHeight="1">
      <c r="A11907" s="5" t="str">
        <f ca="1">IFERROR(__xludf.DUMMYFUNCTION("GOOGLETRANSLATE(B26903,""en"",""pt"")"),"Riosucio")</f>
        <v>Riosucio</v>
      </c>
      <c r="B11907" s="17" t="s">
        <v>5581</v>
      </c>
      <c r="C11907" s="17" t="s">
        <v>5348</v>
      </c>
      <c r="D11907" s="17" t="s">
        <v>5353</v>
      </c>
      <c r="E11907" s="10">
        <v>3670719</v>
      </c>
      <c r="F11907" s="4" t="str">
        <f>IF(B11907=B11906,"",B11907)</f>
        <v/>
      </c>
    </row>
    <row r="11908" spans="1:6" ht="15.75" customHeight="1">
      <c r="A11908" s="6" t="s">
        <v>5580</v>
      </c>
      <c r="B11908" s="6" t="s">
        <v>5580</v>
      </c>
      <c r="C11908" s="6" t="s">
        <v>5348</v>
      </c>
      <c r="D11908" s="6" t="s">
        <v>5362</v>
      </c>
      <c r="E11908" s="2">
        <v>3670730</v>
      </c>
      <c r="F11908" s="4" t="str">
        <f>IF(B11908=B11907,"",B11908)</f>
        <v>Rionegro</v>
      </c>
    </row>
    <row r="11909" spans="1:6" ht="15.75" customHeight="1">
      <c r="A11909" s="5" t="str">
        <f ca="1">IFERROR(__xludf.DUMMYFUNCTION("GOOGLETRANSLATE(B26904,""en"",""pt"")"),"Rionegro")</f>
        <v>Rionegro</v>
      </c>
      <c r="B11909" s="17" t="s">
        <v>5580</v>
      </c>
      <c r="C11909" s="17" t="s">
        <v>5348</v>
      </c>
      <c r="D11909" s="17" t="s">
        <v>5362</v>
      </c>
      <c r="E11909" s="10">
        <v>3670730</v>
      </c>
      <c r="F11909" s="4" t="str">
        <f>IF(B11909=B11908,"",B11909)</f>
        <v/>
      </c>
    </row>
    <row r="11910" spans="1:6" ht="15.75" customHeight="1">
      <c r="A11910" s="6" t="s">
        <v>7703</v>
      </c>
      <c r="B11910" s="6" t="s">
        <v>7703</v>
      </c>
      <c r="C11910" s="6" t="s">
        <v>7052</v>
      </c>
      <c r="D11910" s="6" t="s">
        <v>7053</v>
      </c>
      <c r="E11910" s="2">
        <v>2983489</v>
      </c>
      <c r="F11910" s="4" t="str">
        <f>IF(B11910=B11909,"",B11910)</f>
        <v>Riom</v>
      </c>
    </row>
    <row r="11911" spans="1:6" ht="15.75" customHeight="1">
      <c r="A11911" s="5" t="str">
        <f ca="1">IFERROR(__xludf.DUMMYFUNCTION("GOOGLETRANSLATE(B29833,""en"",""pt"")"),"Riom")</f>
        <v>Riom</v>
      </c>
      <c r="B11911" s="17" t="s">
        <v>7703</v>
      </c>
      <c r="C11911" s="17" t="s">
        <v>7052</v>
      </c>
      <c r="D11911" s="17" t="s">
        <v>32532</v>
      </c>
      <c r="E11911" s="10">
        <v>2983489</v>
      </c>
      <c r="F11911" s="4" t="str">
        <f>IF(B11911=B11910,"",B11911)</f>
        <v/>
      </c>
    </row>
    <row r="11912" spans="1:6" ht="15.75" customHeight="1">
      <c r="A11912" s="6" t="s">
        <v>20567</v>
      </c>
      <c r="B11912" s="6" t="s">
        <v>20567</v>
      </c>
      <c r="C11912" s="6" t="s">
        <v>20470</v>
      </c>
      <c r="D11912" s="6" t="s">
        <v>787</v>
      </c>
      <c r="E11912" s="2">
        <v>3692863</v>
      </c>
      <c r="F11912" s="4" t="str">
        <f>IF(B11912=B11911,"",B11912)</f>
        <v>Rioja</v>
      </c>
    </row>
    <row r="11913" spans="1:6" ht="15.75" customHeight="1">
      <c r="A11913" s="5" t="str">
        <f ca="1">IFERROR(__xludf.DUMMYFUNCTION("GOOGLETRANSLATE(B38315,""en"",""pt"")"),"Rioja")</f>
        <v>Rioja</v>
      </c>
      <c r="B11913" s="17" t="s">
        <v>20567</v>
      </c>
      <c r="C11913" s="17" t="s">
        <v>20470</v>
      </c>
      <c r="D11913" s="17" t="s">
        <v>31188</v>
      </c>
      <c r="E11913" s="10">
        <v>3692863</v>
      </c>
      <c r="F11913" s="4" t="str">
        <f>IF(B11913=B11912,"",B11913)</f>
        <v/>
      </c>
    </row>
    <row r="11914" spans="1:6" ht="15.75" customHeight="1">
      <c r="A11914" s="5" t="str">
        <f ca="1">IFERROR(__xludf.DUMMYFUNCTION("GOOGLETRANSLATE(B26905,""en"",""pt"")"),"Riohacha")</f>
        <v>Riohacha</v>
      </c>
      <c r="B11914" s="17" t="s">
        <v>31849</v>
      </c>
      <c r="C11914" s="17" t="s">
        <v>5348</v>
      </c>
      <c r="D11914" s="17" t="s">
        <v>5383</v>
      </c>
      <c r="E11914" s="10">
        <v>3670745</v>
      </c>
      <c r="F11914" s="4" t="str">
        <f>IF(B11914=B11913,"",B11914)</f>
        <v>Ríohacha</v>
      </c>
    </row>
    <row r="11915" spans="1:6" ht="15.75" customHeight="1">
      <c r="A11915" s="5" t="s">
        <v>6469</v>
      </c>
      <c r="B11915" s="6" t="s">
        <v>6469</v>
      </c>
      <c r="C11915" s="5" t="s">
        <v>6398</v>
      </c>
      <c r="D11915" s="5" t="s">
        <v>6470</v>
      </c>
      <c r="E11915" s="2">
        <v>3652350</v>
      </c>
      <c r="F11915" s="4" t="str">
        <f>IF(B11915=B11914,"",B11915)</f>
        <v>Riobamba</v>
      </c>
    </row>
    <row r="11916" spans="1:6" ht="15.75" customHeight="1">
      <c r="A11916" s="5" t="str">
        <f ca="1">IFERROR(__xludf.DUMMYFUNCTION("GOOGLETRANSLATE(B28762,""en"",""pt"")"),"Riobamba")</f>
        <v>Riobamba</v>
      </c>
      <c r="B11916" s="17" t="s">
        <v>6469</v>
      </c>
      <c r="C11916" s="17" t="s">
        <v>6398</v>
      </c>
      <c r="D11916" s="17" t="s">
        <v>6470</v>
      </c>
      <c r="E11916" s="10">
        <v>3652350</v>
      </c>
      <c r="F11916" s="4" t="str">
        <f>IF(B11916=B11915,"",B11916)</f>
        <v/>
      </c>
    </row>
    <row r="11917" spans="1:6" ht="15.75" customHeight="1">
      <c r="A11917" s="5" t="s">
        <v>3235</v>
      </c>
      <c r="B11917" s="6" t="s">
        <v>3235</v>
      </c>
      <c r="C11917" s="5" t="s">
        <v>1905</v>
      </c>
      <c r="D11917" s="5" t="s">
        <v>1973</v>
      </c>
      <c r="E11917" s="2">
        <v>3451051</v>
      </c>
      <c r="F11917" s="4" t="str">
        <f>IF(B11917=B11916,"",B11917)</f>
        <v>Rio Verde de Mato Grosso</v>
      </c>
    </row>
    <row r="11918" spans="1:6" ht="15.75" customHeight="1">
      <c r="A11918" s="5" t="str">
        <f ca="1">IFERROR(__xludf.DUMMYFUNCTION("GOOGLETRANSLATE(B24633,""en"",""pt"")"),"Rio Verde de Mato Grosso")</f>
        <v>Rio Verde de Mato Grosso</v>
      </c>
      <c r="B11918" s="17" t="s">
        <v>3235</v>
      </c>
      <c r="C11918" s="17" t="s">
        <v>1905</v>
      </c>
      <c r="D11918" s="17" t="s">
        <v>1973</v>
      </c>
      <c r="E11918" s="10">
        <v>3451051</v>
      </c>
      <c r="F11918" s="4" t="str">
        <f>IF(B11918=B11917,"",B11918)</f>
        <v/>
      </c>
    </row>
    <row r="11919" spans="1:6" ht="15.75" customHeight="1">
      <c r="A11919" s="5" t="str">
        <f ca="1">IFERROR(__xludf.DUMMYFUNCTION("GOOGLETRANSLATE(B36937,""en"",""pt"")"),"Rio Verde")</f>
        <v>Rio Verde</v>
      </c>
      <c r="B11919" s="17" t="s">
        <v>34681</v>
      </c>
      <c r="C11919" s="17" t="s">
        <v>17707</v>
      </c>
      <c r="D11919" s="17" t="s">
        <v>34674</v>
      </c>
      <c r="E11919" s="10">
        <v>3520235</v>
      </c>
      <c r="F11919" s="4" t="str">
        <f>IF(B11919=B11918,"",B11919)</f>
        <v>Río Verde</v>
      </c>
    </row>
    <row r="11920" spans="1:6" ht="15.75" customHeight="1">
      <c r="A11920" s="6" t="s">
        <v>21719</v>
      </c>
      <c r="B11920" s="6" t="s">
        <v>21719</v>
      </c>
      <c r="C11920" s="6" t="s">
        <v>21606</v>
      </c>
      <c r="D11920" s="6" t="s">
        <v>21609</v>
      </c>
      <c r="E11920" s="2">
        <v>2735083</v>
      </c>
      <c r="F11920" s="4" t="str">
        <f>IF(B11920=B11919,"",B11920)</f>
        <v>Rio Tinto</v>
      </c>
    </row>
    <row r="11921" spans="1:6" ht="15.75" customHeight="1">
      <c r="A11921" s="5" t="str">
        <f ca="1">IFERROR(__xludf.DUMMYFUNCTION("GOOGLETRANSLATE(B39643,""en"",""pt"")"),"Rio Tinto")</f>
        <v>Rio Tinto</v>
      </c>
      <c r="B11921" s="17" t="s">
        <v>21719</v>
      </c>
      <c r="C11921" s="17" t="s">
        <v>21606</v>
      </c>
      <c r="D11921" s="17" t="s">
        <v>21609</v>
      </c>
      <c r="E11921" s="10">
        <v>2735083</v>
      </c>
      <c r="F11921" s="4" t="str">
        <f>IF(B11921=B11920,"",B11921)</f>
        <v/>
      </c>
    </row>
    <row r="11922" spans="1:6" ht="15.75" customHeight="1">
      <c r="A11922" s="5" t="str">
        <f ca="1">IFERROR(__xludf.DUMMYFUNCTION("GOOGLETRANSLATE(B23281,""en"",""pt"")"),"Río Tercero")</f>
        <v>Río Tercero</v>
      </c>
      <c r="B11922" s="17" t="s">
        <v>31190</v>
      </c>
      <c r="C11922" s="17" t="s">
        <v>558</v>
      </c>
      <c r="D11922" s="17" t="s">
        <v>573</v>
      </c>
      <c r="E11922" s="10">
        <v>3838793</v>
      </c>
      <c r="F11922" s="4" t="str">
        <f>IF(B11922=B11921,"",B11922)</f>
        <v>Río Tercero</v>
      </c>
    </row>
    <row r="11923" spans="1:6" ht="15.75" customHeight="1">
      <c r="A11923" s="5" t="str">
        <f ca="1">IFERROR(__xludf.DUMMYFUNCTION("GOOGLETRANSLATE(B23282,""en"",""pt"")"),"Rio Segundo")</f>
        <v>Rio Segundo</v>
      </c>
      <c r="B11923" s="17" t="s">
        <v>31191</v>
      </c>
      <c r="C11923" s="17" t="s">
        <v>558</v>
      </c>
      <c r="D11923" s="17" t="s">
        <v>573</v>
      </c>
      <c r="E11923" s="10">
        <v>3838797</v>
      </c>
      <c r="F11923" s="4" t="str">
        <f>IF(B11923=B11922,"",B11923)</f>
        <v>Río Segundo</v>
      </c>
    </row>
    <row r="11924" spans="1:6" ht="15.75" customHeight="1">
      <c r="A11924" s="6" t="s">
        <v>29804</v>
      </c>
      <c r="B11924" s="6" t="s">
        <v>29804</v>
      </c>
      <c r="C11924" s="6" t="s">
        <v>27788</v>
      </c>
      <c r="D11924" s="6" t="s">
        <v>27880</v>
      </c>
      <c r="E11924" s="2">
        <v>5311433</v>
      </c>
      <c r="F11924" s="4" t="str">
        <f>IF(B11924=B11923,"",B11924)</f>
        <v>Rio Rico</v>
      </c>
    </row>
    <row r="11925" spans="1:6" ht="15.75" customHeight="1">
      <c r="A11925" s="5" t="str">
        <f ca="1">IFERROR(__xludf.DUMMYFUNCTION("GOOGLETRANSLATE(B44724,""en"",""pt"")"),"Rio Rico")</f>
        <v>Rio Rico</v>
      </c>
      <c r="B11925" s="17" t="s">
        <v>29804</v>
      </c>
      <c r="C11925" s="17" t="s">
        <v>27788</v>
      </c>
      <c r="D11925" s="17" t="s">
        <v>27880</v>
      </c>
      <c r="E11925" s="10">
        <v>5311433</v>
      </c>
      <c r="F11925" s="4" t="str">
        <f>IF(B11925=B11924,"",B11925)</f>
        <v/>
      </c>
    </row>
    <row r="11926" spans="1:6" ht="15.75" customHeight="1">
      <c r="A11926" s="6" t="s">
        <v>3233</v>
      </c>
      <c r="B11926" s="6" t="s">
        <v>3234</v>
      </c>
      <c r="C11926" s="6" t="s">
        <v>1905</v>
      </c>
      <c r="D11926" s="6" t="s">
        <v>1947</v>
      </c>
      <c r="E11926" s="2">
        <v>3451071</v>
      </c>
      <c r="F11926" s="4" t="str">
        <f>IF(B11926=B11925,"",B11926)</f>
        <v>Rio Real</v>
      </c>
    </row>
    <row r="11927" spans="1:6" ht="15.75" customHeight="1">
      <c r="A11927" s="5" t="str">
        <f ca="1">IFERROR(__xludf.DUMMYFUNCTION("GOOGLETRANSLATE(B24634,""en"",""pt"")"),"Rio real")</f>
        <v>Rio real</v>
      </c>
      <c r="B11927" s="17" t="s">
        <v>3234</v>
      </c>
      <c r="C11927" s="17" t="s">
        <v>1905</v>
      </c>
      <c r="D11927" s="17" t="s">
        <v>1947</v>
      </c>
      <c r="E11927" s="10">
        <v>3451071</v>
      </c>
      <c r="F11927" s="4" t="str">
        <f>IF(B11927=B11926,"",B11927)</f>
        <v/>
      </c>
    </row>
    <row r="11928" spans="1:6" ht="15.75" customHeight="1">
      <c r="A11928" s="5" t="s">
        <v>29803</v>
      </c>
      <c r="B11928" s="6" t="s">
        <v>29803</v>
      </c>
      <c r="C11928" s="5" t="s">
        <v>27788</v>
      </c>
      <c r="D11928" s="5" t="s">
        <v>27818</v>
      </c>
      <c r="E11928" s="2">
        <v>5487811</v>
      </c>
      <c r="F11928" s="4" t="str">
        <f>IF(B11928=B11927,"",B11928)</f>
        <v>Rio Rancho</v>
      </c>
    </row>
    <row r="11929" spans="1:6" ht="15.75" customHeight="1">
      <c r="A11929" s="5" t="str">
        <f ca="1">IFERROR(__xludf.DUMMYFUNCTION("GOOGLETRANSLATE(B45134,""en"",""pt"")"),"Rio Rancho")</f>
        <v>Rio Rancho</v>
      </c>
      <c r="B11929" s="17" t="s">
        <v>29803</v>
      </c>
      <c r="C11929" s="17" t="s">
        <v>27788</v>
      </c>
      <c r="D11929" s="17" t="s">
        <v>27818</v>
      </c>
      <c r="E11929" s="10">
        <v>5487811</v>
      </c>
      <c r="F11929" s="4" t="str">
        <f>IF(B11929=B11928,"",B11929)</f>
        <v/>
      </c>
    </row>
    <row r="11930" spans="1:6" ht="15.75" customHeight="1">
      <c r="A11930" s="5" t="s">
        <v>3231</v>
      </c>
      <c r="B11930" s="6" t="s">
        <v>3232</v>
      </c>
      <c r="C11930" s="5" t="s">
        <v>1905</v>
      </c>
      <c r="D11930" s="5" t="s">
        <v>2287</v>
      </c>
      <c r="E11930" s="2">
        <v>6318165</v>
      </c>
      <c r="F11930" s="4" t="str">
        <f>IF(B11930=B11929,"",B11930)</f>
        <v>Rio Preto da Eva</v>
      </c>
    </row>
    <row r="11931" spans="1:6" ht="15.75" customHeight="1">
      <c r="A11931" s="5" t="str">
        <f ca="1">IFERROR(__xludf.DUMMYFUNCTION("GOOGLETRANSLATE(B25337,""en"",""pt"")"),"Rio preto da eva")</f>
        <v>Rio preto da eva</v>
      </c>
      <c r="B11931" s="17" t="s">
        <v>3232</v>
      </c>
      <c r="C11931" s="17" t="s">
        <v>1905</v>
      </c>
      <c r="D11931" s="17" t="s">
        <v>2287</v>
      </c>
      <c r="E11931" s="10">
        <v>6318165</v>
      </c>
      <c r="F11931" s="4" t="str">
        <f>IF(B11931=B11930,"",B11931)</f>
        <v/>
      </c>
    </row>
    <row r="11932" spans="1:6" ht="15.75" customHeight="1">
      <c r="A11932" s="6" t="s">
        <v>3230</v>
      </c>
      <c r="B11932" s="6" t="s">
        <v>3230</v>
      </c>
      <c r="C11932" s="6" t="s">
        <v>1905</v>
      </c>
      <c r="D11932" s="6" t="s">
        <v>1951</v>
      </c>
      <c r="E11932" s="2">
        <v>3451102</v>
      </c>
      <c r="F11932" s="4" t="str">
        <f>IF(B11932=B11931,"",B11932)</f>
        <v>Rio Pardo</v>
      </c>
    </row>
    <row r="11933" spans="1:6" ht="15.75" customHeight="1">
      <c r="A11933" s="5" t="str">
        <f ca="1">IFERROR(__xludf.DUMMYFUNCTION("GOOGLETRANSLATE(B24635,""en"",""pt"")"),"Rio Pardo")</f>
        <v>Rio Pardo</v>
      </c>
      <c r="B11933" s="17" t="s">
        <v>3230</v>
      </c>
      <c r="C11933" s="17" t="s">
        <v>1905</v>
      </c>
      <c r="D11933" s="17" t="s">
        <v>1951</v>
      </c>
      <c r="E11933" s="10">
        <v>3451102</v>
      </c>
      <c r="F11933" s="4" t="str">
        <f>IF(B11933=B11932,"",B11933)</f>
        <v/>
      </c>
    </row>
    <row r="11934" spans="1:6" ht="15.75" customHeight="1">
      <c r="A11934" s="5" t="s">
        <v>571</v>
      </c>
      <c r="B11934" s="6" t="s">
        <v>571</v>
      </c>
      <c r="C11934" s="5" t="s">
        <v>1905</v>
      </c>
      <c r="D11934" s="5" t="s">
        <v>728</v>
      </c>
      <c r="E11934" s="2">
        <v>3451121</v>
      </c>
      <c r="F11934" s="4" t="str">
        <f>IF(B11934=B11933,"",B11934)</f>
        <v>Rio Negro</v>
      </c>
    </row>
    <row r="11935" spans="1:6" ht="15.75" customHeight="1">
      <c r="A11935" s="5" t="str">
        <f ca="1">IFERROR(__xludf.DUMMYFUNCTION("GOOGLETRANSLATE(B24636,""en"",""pt"")"),"Rio Negro")</f>
        <v>Rio Negro</v>
      </c>
      <c r="B11935" s="17" t="s">
        <v>571</v>
      </c>
      <c r="C11935" s="17" t="s">
        <v>1905</v>
      </c>
      <c r="D11935" s="17" t="s">
        <v>727</v>
      </c>
      <c r="E11935" s="10">
        <v>3451121</v>
      </c>
      <c r="F11935" s="4" t="str">
        <f>IF(B11935=B11934,"",B11935)</f>
        <v/>
      </c>
    </row>
    <row r="11936" spans="1:6" ht="15.75" customHeight="1">
      <c r="A11936" s="5" t="s">
        <v>3229</v>
      </c>
      <c r="B11936" s="6" t="s">
        <v>3229</v>
      </c>
      <c r="C11936" s="5" t="s">
        <v>1905</v>
      </c>
      <c r="D11936" s="5" t="s">
        <v>2020</v>
      </c>
      <c r="E11936" s="2">
        <v>3451124</v>
      </c>
      <c r="F11936" s="4" t="str">
        <f>IF(B11936=B11935,"",B11936)</f>
        <v>Rio Negrinho</v>
      </c>
    </row>
    <row r="11937" spans="1:6" ht="15.75" customHeight="1">
      <c r="A11937" s="5" t="str">
        <f ca="1">IFERROR(__xludf.DUMMYFUNCTION("GOOGLETRANSLATE(B24637,""en"",""pt"")"),"Rio Negrinho")</f>
        <v>Rio Negrinho</v>
      </c>
      <c r="B11937" s="17" t="s">
        <v>3229</v>
      </c>
      <c r="C11937" s="17" t="s">
        <v>1905</v>
      </c>
      <c r="D11937" s="17" t="s">
        <v>2020</v>
      </c>
      <c r="E11937" s="10">
        <v>3451124</v>
      </c>
      <c r="F11937" s="4" t="str">
        <f>IF(B11937=B11936,"",B11937)</f>
        <v/>
      </c>
    </row>
    <row r="11938" spans="1:6" ht="15.75" customHeight="1">
      <c r="A11938" s="6" t="s">
        <v>29802</v>
      </c>
      <c r="B11938" s="6" t="s">
        <v>29802</v>
      </c>
      <c r="C11938" s="6" t="s">
        <v>27788</v>
      </c>
      <c r="D11938" s="6" t="s">
        <v>27801</v>
      </c>
      <c r="E11938" s="2">
        <v>5387687</v>
      </c>
      <c r="F11938" s="4" t="str">
        <f>IF(B11938=B11937,"",B11938)</f>
        <v>Rio Linda</v>
      </c>
    </row>
    <row r="11939" spans="1:6" ht="15.75" customHeight="1">
      <c r="A11939" s="5" t="str">
        <f ca="1">IFERROR(__xludf.DUMMYFUNCTION("GOOGLETRANSLATE(B44985,""en"",""pt"")"),"Rio Linda")</f>
        <v>Rio Linda</v>
      </c>
      <c r="B11939" s="17" t="s">
        <v>29802</v>
      </c>
      <c r="C11939" s="17" t="s">
        <v>27788</v>
      </c>
      <c r="D11939" s="17" t="s">
        <v>27801</v>
      </c>
      <c r="E11939" s="10">
        <v>5387687</v>
      </c>
      <c r="F11939" s="4" t="str">
        <f>IF(B11939=B11938,"",B11939)</f>
        <v/>
      </c>
    </row>
    <row r="11940" spans="1:6" ht="15.75" customHeight="1">
      <c r="A11940" s="6" t="s">
        <v>3228</v>
      </c>
      <c r="B11940" s="6" t="s">
        <v>3228</v>
      </c>
      <c r="C11940" s="6" t="s">
        <v>1905</v>
      </c>
      <c r="D11940" s="6" t="s">
        <v>2015</v>
      </c>
      <c r="E11940" s="2">
        <v>3390288</v>
      </c>
      <c r="F11940" s="4" t="str">
        <f>IF(B11940=B11939,"",B11940)</f>
        <v>Rio Largo</v>
      </c>
    </row>
    <row r="11941" spans="1:6" ht="15.75" customHeight="1">
      <c r="A11941" s="5" t="str">
        <f ca="1">IFERROR(__xludf.DUMMYFUNCTION("GOOGLETRANSLATE(B24211,""en"",""pt"")"),"Rio Largo")</f>
        <v>Rio Largo</v>
      </c>
      <c r="B11941" s="17" t="s">
        <v>3228</v>
      </c>
      <c r="C11941" s="17" t="s">
        <v>1905</v>
      </c>
      <c r="D11941" s="17" t="s">
        <v>2015</v>
      </c>
      <c r="E11941" s="10">
        <v>3390288</v>
      </c>
      <c r="F11941" s="4" t="str">
        <f>IF(B11941=B11940,"",B11941)</f>
        <v/>
      </c>
    </row>
    <row r="11942" spans="1:6" ht="15.75" customHeight="1">
      <c r="A11942" s="5" t="str">
        <f ca="1">IFERROR(__xludf.DUMMYFUNCTION("GOOGLETRANSLATE(B27127,""en"",""pt"")"),"Rio Guayabal de Yateras")</f>
        <v>Rio Guayabal de Yateras</v>
      </c>
      <c r="B11942" s="17" t="s">
        <v>31914</v>
      </c>
      <c r="C11942" s="17" t="s">
        <v>5764</v>
      </c>
      <c r="D11942" s="17" t="s">
        <v>5846</v>
      </c>
      <c r="E11942" s="10">
        <v>3542137</v>
      </c>
      <c r="F11942" s="4" t="str">
        <f>IF(B11942=B11941,"",B11942)</f>
        <v>Río Guayabal de Yateras</v>
      </c>
    </row>
    <row r="11943" spans="1:6" ht="15.75" customHeight="1">
      <c r="A11943" s="5" t="s">
        <v>3227</v>
      </c>
      <c r="B11943" s="6" t="s">
        <v>3227</v>
      </c>
      <c r="C11943" s="5" t="s">
        <v>1905</v>
      </c>
      <c r="D11943" s="5" t="s">
        <v>1914</v>
      </c>
      <c r="E11943" s="2">
        <v>3451134</v>
      </c>
      <c r="F11943" s="4" t="str">
        <f>IF(B11943=B11942,"",B11943)</f>
        <v>Rio Grande da Serra</v>
      </c>
    </row>
    <row r="11944" spans="1:6" ht="15.75" customHeight="1">
      <c r="A11944" s="5" t="str">
        <f ca="1">IFERROR(__xludf.DUMMYFUNCTION("GOOGLETRANSLATE(B24638,""en"",""pt"")"),"Rio Grande da Serra")</f>
        <v>Rio Grande da Serra</v>
      </c>
      <c r="B11944" s="17" t="s">
        <v>3227</v>
      </c>
      <c r="C11944" s="17" t="s">
        <v>1905</v>
      </c>
      <c r="D11944" s="17" t="s">
        <v>3354</v>
      </c>
      <c r="E11944" s="10">
        <v>3451134</v>
      </c>
      <c r="F11944" s="4" t="str">
        <f>IF(B11944=B11943,"",B11944)</f>
        <v/>
      </c>
    </row>
    <row r="11945" spans="1:6" ht="15.75" customHeight="1">
      <c r="A11945" s="5" t="str">
        <f ca="1">IFERROR(__xludf.DUMMYFUNCTION("GOOGLETRANSLATE(B28472,""en"",""pt"")"),"Rio Grande")</f>
        <v>Rio Grande</v>
      </c>
      <c r="B11945" s="17" t="s">
        <v>32174</v>
      </c>
      <c r="C11945" s="17" t="s">
        <v>6303</v>
      </c>
      <c r="D11945" s="17" t="s">
        <v>6341</v>
      </c>
      <c r="E11945" s="10">
        <v>3493769</v>
      </c>
      <c r="F11945" s="4" t="str">
        <f>IF(B11945=B11944,"",B11945)</f>
        <v>Río Grande</v>
      </c>
    </row>
    <row r="11946" spans="1:6" ht="15.75" customHeight="1">
      <c r="A11946" s="5" t="str">
        <f ca="1">IFERROR(__xludf.DUMMYFUNCTION("GOOGLETRANSLATE(B37215,""en"",""pt"")"),"Rio Grande")</f>
        <v>Rio Grande</v>
      </c>
      <c r="B11946" s="17" t="s">
        <v>32174</v>
      </c>
      <c r="C11946" s="17" t="s">
        <v>17707</v>
      </c>
      <c r="D11946" s="17" t="s">
        <v>17943</v>
      </c>
      <c r="E11946" s="10">
        <v>3988594</v>
      </c>
      <c r="F11946" s="4" t="str">
        <f>IF(B11946=B11945,"",B11946)</f>
        <v/>
      </c>
    </row>
    <row r="11947" spans="1:6" ht="15.75" customHeight="1">
      <c r="A11947" s="5" t="s">
        <v>3226</v>
      </c>
      <c r="B11947" s="6" t="s">
        <v>3226</v>
      </c>
      <c r="C11947" s="5" t="s">
        <v>1905</v>
      </c>
      <c r="D11947" s="5" t="s">
        <v>1951</v>
      </c>
      <c r="E11947" s="2">
        <v>3451138</v>
      </c>
      <c r="F11947" s="4" t="str">
        <f>IF(B11947=B11946,"",B11947)</f>
        <v>Rio Grande</v>
      </c>
    </row>
    <row r="11948" spans="1:6" ht="15.75" customHeight="1">
      <c r="A11948" s="5" t="str">
        <f ca="1">IFERROR(__xludf.DUMMYFUNCTION("GOOGLETRANSLATE(B24639,""en"",""pt"")"),"Rio Grande")</f>
        <v>Rio Grande</v>
      </c>
      <c r="B11948" s="17" t="s">
        <v>3226</v>
      </c>
      <c r="C11948" s="17" t="s">
        <v>1905</v>
      </c>
      <c r="D11948" s="17" t="s">
        <v>1951</v>
      </c>
      <c r="E11948" s="10">
        <v>3451138</v>
      </c>
      <c r="F11948" s="4" t="str">
        <f>IF(B11948=B11947,"",B11948)</f>
        <v/>
      </c>
    </row>
    <row r="11949" spans="1:6" ht="15.75" customHeight="1">
      <c r="A11949" s="5" t="str">
        <f ca="1">IFERROR(__xludf.DUMMYFUNCTION("GOOGLETRANSLATE(B23283,""en"",""pt"")"),"Rio Gallegos")</f>
        <v>Rio Gallegos</v>
      </c>
      <c r="B11949" s="17" t="s">
        <v>31192</v>
      </c>
      <c r="C11949" s="17" t="s">
        <v>558</v>
      </c>
      <c r="D11949" s="17" t="s">
        <v>595</v>
      </c>
      <c r="E11949" s="10">
        <v>3838859</v>
      </c>
      <c r="F11949" s="4" t="str">
        <f>IF(B11949=B11948,"",B11949)</f>
        <v>Río Gallegos</v>
      </c>
    </row>
    <row r="11950" spans="1:6" ht="15.75" customHeight="1">
      <c r="A11950" s="5" t="s">
        <v>3225</v>
      </c>
      <c r="B11950" s="6" t="s">
        <v>3225</v>
      </c>
      <c r="C11950" s="5" t="s">
        <v>1905</v>
      </c>
      <c r="D11950" s="5" t="s">
        <v>1909</v>
      </c>
      <c r="E11950" s="2">
        <v>3390295</v>
      </c>
      <c r="F11950" s="4" t="str">
        <f>IF(B11950=B11949,"",B11950)</f>
        <v>Rio Formoso</v>
      </c>
    </row>
    <row r="11951" spans="1:6" ht="15.75" customHeight="1">
      <c r="A11951" s="5" t="str">
        <f ca="1">IFERROR(__xludf.DUMMYFUNCTION("GOOGLETRANSLATE(B24212,""en"",""pt"")"),"Rio Formoso")</f>
        <v>Rio Formoso</v>
      </c>
      <c r="B11951" s="17" t="s">
        <v>3225</v>
      </c>
      <c r="C11951" s="17" t="s">
        <v>1905</v>
      </c>
      <c r="D11951" s="17" t="s">
        <v>1909</v>
      </c>
      <c r="E11951" s="10">
        <v>3390295</v>
      </c>
      <c r="F11951" s="4" t="str">
        <f>IF(B11951=B11950,"",B11951)</f>
        <v/>
      </c>
    </row>
    <row r="11952" spans="1:6" ht="15.75" customHeight="1">
      <c r="A11952" s="6" t="s">
        <v>3223</v>
      </c>
      <c r="B11952" s="6" t="s">
        <v>3224</v>
      </c>
      <c r="C11952" s="6" t="s">
        <v>1905</v>
      </c>
      <c r="D11952" s="6" t="s">
        <v>2020</v>
      </c>
      <c r="E11952" s="2">
        <v>3451152</v>
      </c>
      <c r="F11952" s="4" t="str">
        <f>IF(B11952=B11951,"",B11952)</f>
        <v>Rio do Sul</v>
      </c>
    </row>
    <row r="11953" spans="1:6" ht="15.75" customHeight="1">
      <c r="A11953" s="5" t="str">
        <f ca="1">IFERROR(__xludf.DUMMYFUNCTION("GOOGLETRANSLATE(B24640,""en"",""pt"")"),"Rio do sul")</f>
        <v>Rio do sul</v>
      </c>
      <c r="B11953" s="17" t="s">
        <v>3224</v>
      </c>
      <c r="C11953" s="17" t="s">
        <v>1905</v>
      </c>
      <c r="D11953" s="17" t="s">
        <v>2020</v>
      </c>
      <c r="E11953" s="10">
        <v>3451152</v>
      </c>
      <c r="F11953" s="4" t="str">
        <f>IF(B11953=B11952,"",B11953)</f>
        <v/>
      </c>
    </row>
    <row r="11954" spans="1:6" ht="15.75" customHeight="1">
      <c r="A11954" s="5" t="str">
        <f ca="1">IFERROR(__xludf.DUMMYFUNCTION("GOOGLETRANSLATE(B37113,""en"",""pt"")"),"Río de Tepa")</f>
        <v>Río de Tepa</v>
      </c>
      <c r="B11954" s="17" t="s">
        <v>34720</v>
      </c>
      <c r="C11954" s="17" t="s">
        <v>17707</v>
      </c>
      <c r="D11954" s="17" t="s">
        <v>17788</v>
      </c>
      <c r="E11954" s="10">
        <v>3802739</v>
      </c>
      <c r="F11954" s="4" t="str">
        <f>IF(B11954=B11953,"",B11954)</f>
        <v>Río de Teapa</v>
      </c>
    </row>
    <row r="11955" spans="1:6" ht="15.75" customHeight="1">
      <c r="A11955" s="5" t="s">
        <v>21718</v>
      </c>
      <c r="B11955" s="6" t="s">
        <v>21718</v>
      </c>
      <c r="C11955" s="5" t="s">
        <v>21606</v>
      </c>
      <c r="D11955" s="5" t="s">
        <v>21616</v>
      </c>
      <c r="E11955" s="2">
        <v>2263827</v>
      </c>
      <c r="F11955" s="4" t="str">
        <f>IF(B11955=B11954,"",B11955)</f>
        <v>Rio de Mouro</v>
      </c>
    </row>
    <row r="11956" spans="1:6" ht="15.75" customHeight="1">
      <c r="A11956" s="5" t="str">
        <f ca="1">IFERROR(__xludf.DUMMYFUNCTION("GOOGLETRANSLATE(B39576,""en"",""pt"")"),"Rio de Mouro")</f>
        <v>Rio de Mouro</v>
      </c>
      <c r="B11956" s="17" t="s">
        <v>21718</v>
      </c>
      <c r="C11956" s="17" t="s">
        <v>21606</v>
      </c>
      <c r="D11956" s="17" t="s">
        <v>21616</v>
      </c>
      <c r="E11956" s="10">
        <v>2263827</v>
      </c>
      <c r="F11956" s="4" t="str">
        <f>IF(B11956=B11955,"",B11956)</f>
        <v/>
      </c>
    </row>
    <row r="11957" spans="1:6" ht="15.75" customHeight="1">
      <c r="A11957" s="5" t="s">
        <v>1978</v>
      </c>
      <c r="B11957" s="6" t="s">
        <v>1978</v>
      </c>
      <c r="C11957" s="5" t="s">
        <v>1905</v>
      </c>
      <c r="D11957" s="5" t="s">
        <v>1978</v>
      </c>
      <c r="E11957" s="2">
        <v>3451190</v>
      </c>
      <c r="F11957" s="4" t="str">
        <f>IF(B11957=B11956,"",B11957)</f>
        <v>Rio de Janeiro</v>
      </c>
    </row>
    <row r="11958" spans="1:6" ht="15.75" customHeight="1">
      <c r="A11958" s="5" t="str">
        <f ca="1">IFERROR(__xludf.DUMMYFUNCTION("GOOGLETRANSLATE(B24641,""en"",""pt"")"),"Rio de Janeiro")</f>
        <v>Rio de Janeiro</v>
      </c>
      <c r="B11958" s="17" t="s">
        <v>1978</v>
      </c>
      <c r="C11958" s="17" t="s">
        <v>1905</v>
      </c>
      <c r="D11958" s="17" t="s">
        <v>1978</v>
      </c>
      <c r="E11958" s="10">
        <v>3451190</v>
      </c>
      <c r="F11958" s="4" t="str">
        <f>IF(B11958=B11957,"",B11958)</f>
        <v/>
      </c>
    </row>
    <row r="11959" spans="1:6" ht="15.75" customHeight="1">
      <c r="A11959" s="5" t="s">
        <v>3221</v>
      </c>
      <c r="B11959" s="6" t="s">
        <v>3222</v>
      </c>
      <c r="C11959" s="5" t="s">
        <v>1905</v>
      </c>
      <c r="D11959" s="5" t="s">
        <v>1914</v>
      </c>
      <c r="E11959" s="2">
        <v>3451202</v>
      </c>
      <c r="F11959" s="4" t="str">
        <f>IF(B11959=B11958,"",B11959)</f>
        <v>Rio das Pedras</v>
      </c>
    </row>
    <row r="11960" spans="1:6" ht="15.75" customHeight="1">
      <c r="A11960" s="5" t="str">
        <f ca="1">IFERROR(__xludf.DUMMYFUNCTION("GOOGLETRANSLATE(B24642,""en"",""pt"")"),"Rio Das Pedras")</f>
        <v>Rio Das Pedras</v>
      </c>
      <c r="B11960" s="17" t="s">
        <v>3222</v>
      </c>
      <c r="C11960" s="17" t="s">
        <v>1905</v>
      </c>
      <c r="D11960" s="17" t="s">
        <v>3354</v>
      </c>
      <c r="E11960" s="10">
        <v>3451202</v>
      </c>
      <c r="F11960" s="4" t="str">
        <f>IF(B11960=B11959,"",B11960)</f>
        <v/>
      </c>
    </row>
    <row r="11961" spans="1:6" ht="15.75" customHeight="1">
      <c r="A11961" s="5" t="s">
        <v>3219</v>
      </c>
      <c r="B11961" s="6" t="s">
        <v>3220</v>
      </c>
      <c r="C11961" s="5" t="s">
        <v>1905</v>
      </c>
      <c r="D11961" s="5" t="s">
        <v>1978</v>
      </c>
      <c r="E11961" s="2">
        <v>3451205</v>
      </c>
      <c r="F11961" s="4" t="str">
        <f>IF(B11961=B11960,"",B11961)</f>
        <v>Rio das Ostras</v>
      </c>
    </row>
    <row r="11962" spans="1:6" ht="15.75" customHeight="1">
      <c r="A11962" s="5" t="str">
        <f ca="1">IFERROR(__xludf.DUMMYFUNCTION("GOOGLETRANSLATE(B24643,""en"",""pt"")"),"Rio Das Ostras")</f>
        <v>Rio Das Ostras</v>
      </c>
      <c r="B11962" s="17" t="s">
        <v>3220</v>
      </c>
      <c r="C11962" s="17" t="s">
        <v>1905</v>
      </c>
      <c r="D11962" s="17" t="s">
        <v>1978</v>
      </c>
      <c r="E11962" s="10">
        <v>3451205</v>
      </c>
      <c r="F11962" s="4" t="str">
        <f>IF(B11962=B11961,"",B11962)</f>
        <v/>
      </c>
    </row>
    <row r="11963" spans="1:6" ht="15.75" customHeight="1">
      <c r="A11963" s="5" t="str">
        <f ca="1">IFERROR(__xludf.DUMMYFUNCTION("GOOGLETRANSLATE(B23284,""en"",""pt"")"),"Rio Cuarto")</f>
        <v>Rio Cuarto</v>
      </c>
      <c r="B11963" s="17" t="s">
        <v>31193</v>
      </c>
      <c r="C11963" s="17" t="s">
        <v>558</v>
      </c>
      <c r="D11963" s="17" t="s">
        <v>573</v>
      </c>
      <c r="E11963" s="10">
        <v>3838874</v>
      </c>
      <c r="F11963" s="4" t="str">
        <f>IF(B11963=B11962,"",B11963)</f>
        <v>Río Cuarto</v>
      </c>
    </row>
    <row r="11964" spans="1:6" ht="15.75" customHeight="1">
      <c r="A11964" s="6" t="s">
        <v>3218</v>
      </c>
      <c r="B11964" s="6" t="s">
        <v>3218</v>
      </c>
      <c r="C11964" s="6" t="s">
        <v>1905</v>
      </c>
      <c r="D11964" s="6" t="s">
        <v>1914</v>
      </c>
      <c r="E11964" s="2">
        <v>3451234</v>
      </c>
      <c r="F11964" s="4" t="str">
        <f>IF(B11964=B11963,"",B11964)</f>
        <v>Rio Claro</v>
      </c>
    </row>
    <row r="11965" spans="1:6" ht="15.75" customHeight="1">
      <c r="A11965" s="6" t="s">
        <v>3218</v>
      </c>
      <c r="B11965" s="6" t="s">
        <v>3218</v>
      </c>
      <c r="C11965" s="6" t="s">
        <v>26070</v>
      </c>
      <c r="D11965" s="6" t="s">
        <v>26085</v>
      </c>
      <c r="E11965" s="2">
        <v>3573840</v>
      </c>
      <c r="F11965" s="4" t="str">
        <f>IF(B11965=B11964,"",B11965)</f>
        <v/>
      </c>
    </row>
    <row r="11966" spans="1:6" ht="15.75" customHeight="1">
      <c r="A11966" s="5" t="str">
        <f ca="1">IFERROR(__xludf.DUMMYFUNCTION("GOOGLETRANSLATE(B24644,""en"",""pt"")"),"Rio Claro")</f>
        <v>Rio Claro</v>
      </c>
      <c r="B11966" s="17" t="s">
        <v>3218</v>
      </c>
      <c r="C11966" s="17" t="s">
        <v>1905</v>
      </c>
      <c r="D11966" s="17" t="s">
        <v>3354</v>
      </c>
      <c r="E11966" s="10">
        <v>3451234</v>
      </c>
      <c r="F11966" s="4" t="str">
        <f>IF(B11966=B11965,"",B11966)</f>
        <v/>
      </c>
    </row>
    <row r="11967" spans="1:6" ht="15.75" customHeight="1">
      <c r="A11967" s="5" t="str">
        <f ca="1">IFERROR(__xludf.DUMMYFUNCTION("GOOGLETRANSLATE(B42250,""en"",""pt"")"),"Rio Claro")</f>
        <v>Rio Claro</v>
      </c>
      <c r="B11967" s="17" t="s">
        <v>3218</v>
      </c>
      <c r="C11967" s="17" t="s">
        <v>26070</v>
      </c>
      <c r="D11967" s="17" t="s">
        <v>26085</v>
      </c>
      <c r="E11967" s="10">
        <v>3573840</v>
      </c>
      <c r="F11967" s="4" t="str">
        <f>IF(B11967=B11966,"",B11967)</f>
        <v/>
      </c>
    </row>
    <row r="11968" spans="1:6" ht="15.75" customHeight="1">
      <c r="A11968" s="5" t="str">
        <f ca="1">IFERROR(__xludf.DUMMYFUNCTION("GOOGLETRANSLATE(B23285,""en"",""pt"")"),"Rio Ceballos")</f>
        <v>Rio Ceballos</v>
      </c>
      <c r="B11968" s="17" t="s">
        <v>31194</v>
      </c>
      <c r="C11968" s="17" t="s">
        <v>558</v>
      </c>
      <c r="D11968" s="17" t="s">
        <v>573</v>
      </c>
      <c r="E11968" s="10">
        <v>3838902</v>
      </c>
      <c r="F11968" s="4" t="str">
        <f>IF(B11968=B11967,"",B11968)</f>
        <v>Río Ceballos</v>
      </c>
    </row>
    <row r="11969" spans="1:6" ht="15.75" customHeight="1">
      <c r="A11969" s="5" t="str">
        <f ca="1">IFERROR(__xludf.DUMMYFUNCTION("GOOGLETRANSLATE(B27128,""en"",""pt"")"),"Rio Cauto")</f>
        <v>Rio Cauto</v>
      </c>
      <c r="B11969" s="17" t="s">
        <v>31915</v>
      </c>
      <c r="C11969" s="17" t="s">
        <v>5764</v>
      </c>
      <c r="D11969" s="17" t="s">
        <v>5788</v>
      </c>
      <c r="E11969" s="10">
        <v>3542167</v>
      </c>
      <c r="F11969" s="4" t="str">
        <f>IF(B11969=B11968,"",B11969)</f>
        <v>Río Cauto</v>
      </c>
    </row>
    <row r="11970" spans="1:6" ht="15.75" customHeight="1">
      <c r="A11970" s="5" t="str">
        <f ca="1">IFERROR(__xludf.DUMMYFUNCTION("GOOGLETRANSLATE(B25905,""en"",""pt"")"),"Rio Bueno")</f>
        <v>Rio Bueno</v>
      </c>
      <c r="B11970" s="17" t="s">
        <v>31797</v>
      </c>
      <c r="C11970" s="17" t="s">
        <v>4355</v>
      </c>
      <c r="D11970" s="17" t="s">
        <v>31795</v>
      </c>
      <c r="E11970" s="10">
        <v>3873145</v>
      </c>
      <c r="F11970" s="4" t="str">
        <f>IF(B11970=B11969,"",B11970)</f>
        <v>Río Bueno</v>
      </c>
    </row>
    <row r="11971" spans="1:6" ht="15.75" customHeight="1">
      <c r="A11971" s="5" t="s">
        <v>3217</v>
      </c>
      <c r="B11971" s="6" t="s">
        <v>3217</v>
      </c>
      <c r="C11971" s="5" t="s">
        <v>1905</v>
      </c>
      <c r="D11971" s="5" t="s">
        <v>1973</v>
      </c>
      <c r="E11971" s="2">
        <v>3451241</v>
      </c>
      <c r="F11971" s="4" t="str">
        <f>IF(B11971=B11970,"",B11971)</f>
        <v>Rio Brilhante</v>
      </c>
    </row>
    <row r="11972" spans="1:6" ht="15.75" customHeight="1">
      <c r="A11972" s="5" t="str">
        <f ca="1">IFERROR(__xludf.DUMMYFUNCTION("GOOGLETRANSLATE(B24645,""en"",""pt"")"),"Rio Brilhante")</f>
        <v>Rio Brilhante</v>
      </c>
      <c r="B11972" s="17" t="s">
        <v>3217</v>
      </c>
      <c r="C11972" s="17" t="s">
        <v>1905</v>
      </c>
      <c r="D11972" s="17" t="s">
        <v>1973</v>
      </c>
      <c r="E11972" s="10">
        <v>3451241</v>
      </c>
      <c r="F11972" s="4" t="str">
        <f>IF(B11972=B11971,"",B11972)</f>
        <v/>
      </c>
    </row>
    <row r="11973" spans="1:6" ht="15.75" customHeight="1">
      <c r="A11973" s="5" t="str">
        <f ca="1">IFERROR(__xludf.DUMMYFUNCTION("GOOGLETRANSLATE(B36938,""en"",""pt"")"),"Rio Bravo")</f>
        <v>Rio Bravo</v>
      </c>
      <c r="B11973" s="17" t="s">
        <v>34682</v>
      </c>
      <c r="C11973" s="17" t="s">
        <v>17707</v>
      </c>
      <c r="D11973" s="17" t="s">
        <v>17740</v>
      </c>
      <c r="E11973" s="10">
        <v>3520271</v>
      </c>
      <c r="F11973" s="4" t="str">
        <f>IF(B11973=B11972,"",B11973)</f>
        <v>Río Bravo</v>
      </c>
    </row>
    <row r="11974" spans="1:6" ht="15.75" customHeight="1">
      <c r="A11974" s="5" t="s">
        <v>3216</v>
      </c>
      <c r="B11974" s="6" t="s">
        <v>3216</v>
      </c>
      <c r="C11974" s="5" t="s">
        <v>1905</v>
      </c>
      <c r="D11974" s="5" t="s">
        <v>728</v>
      </c>
      <c r="E11974" s="2">
        <v>3451242</v>
      </c>
      <c r="F11974" s="4" t="str">
        <f>IF(B11974=B11973,"",B11974)</f>
        <v>Rio Branco do Sul</v>
      </c>
    </row>
    <row r="11975" spans="1:6" ht="15.75" customHeight="1">
      <c r="A11975" s="5" t="str">
        <f ca="1">IFERROR(__xludf.DUMMYFUNCTION("GOOGLETRANSLATE(B24646,""en"",""pt"")"),"Rio Branco do Sul")</f>
        <v>Rio Branco do Sul</v>
      </c>
      <c r="B11975" s="17" t="s">
        <v>3216</v>
      </c>
      <c r="C11975" s="17" t="s">
        <v>1905</v>
      </c>
      <c r="D11975" s="17" t="s">
        <v>727</v>
      </c>
      <c r="E11975" s="10">
        <v>3451242</v>
      </c>
      <c r="F11975" s="4" t="str">
        <f>IF(B11975=B11974,"",B11975)</f>
        <v/>
      </c>
    </row>
    <row r="11976" spans="1:6" ht="15.75" customHeight="1">
      <c r="A11976" s="5" t="s">
        <v>3215</v>
      </c>
      <c r="B11976" s="6" t="s">
        <v>3215</v>
      </c>
      <c r="C11976" s="5" t="s">
        <v>1905</v>
      </c>
      <c r="D11976" s="5" t="s">
        <v>2396</v>
      </c>
      <c r="E11976" s="2">
        <v>3662574</v>
      </c>
      <c r="F11976" s="4" t="str">
        <f>IF(B11976=B11975,"",B11976)</f>
        <v>Rio Branco</v>
      </c>
    </row>
    <row r="11977" spans="1:6" ht="15.75" customHeight="1">
      <c r="A11977" s="5" t="str">
        <f ca="1">IFERROR(__xludf.DUMMYFUNCTION("GOOGLETRANSLATE(B25311,""en"",""pt"")"),"Rio Branco")</f>
        <v>Rio Branco</v>
      </c>
      <c r="B11977" s="17" t="s">
        <v>3215</v>
      </c>
      <c r="C11977" s="17" t="s">
        <v>1905</v>
      </c>
      <c r="D11977" s="17" t="s">
        <v>2396</v>
      </c>
      <c r="E11977" s="10">
        <v>3662574</v>
      </c>
      <c r="F11977" s="4" t="str">
        <f>IF(B11977=B11976,"",B11977)</f>
        <v/>
      </c>
    </row>
    <row r="11978" spans="1:6" ht="15.75" customHeight="1">
      <c r="A11978" s="5" t="s">
        <v>3214</v>
      </c>
      <c r="B11978" s="6" t="s">
        <v>3214</v>
      </c>
      <c r="C11978" s="5" t="s">
        <v>1905</v>
      </c>
      <c r="D11978" s="5" t="s">
        <v>1978</v>
      </c>
      <c r="E11978" s="2">
        <v>3451261</v>
      </c>
      <c r="F11978" s="4" t="str">
        <f>IF(B11978=B11977,"",B11978)</f>
        <v>Rio Bonito</v>
      </c>
    </row>
    <row r="11979" spans="1:6" ht="15.75" customHeight="1">
      <c r="A11979" s="5" t="str">
        <f ca="1">IFERROR(__xludf.DUMMYFUNCTION("GOOGLETRANSLATE(B24647,""en"",""pt"")"),"Rio Bonito")</f>
        <v>Rio Bonito</v>
      </c>
      <c r="B11979" s="17" t="s">
        <v>3214</v>
      </c>
      <c r="C11979" s="17" t="s">
        <v>1905</v>
      </c>
      <c r="D11979" s="17" t="s">
        <v>1978</v>
      </c>
      <c r="E11979" s="10">
        <v>3451261</v>
      </c>
      <c r="F11979" s="4" t="str">
        <f>IF(B11979=B11978,"",B11979)</f>
        <v/>
      </c>
    </row>
    <row r="11980" spans="1:6" ht="15.75" customHeight="1">
      <c r="A11980" s="5" t="str">
        <f ca="1">IFERROR(__xludf.DUMMYFUNCTION("GOOGLETRANSLATE(B36939,""en"",""pt"")"),"Rio Blanco")</f>
        <v>Rio Blanco</v>
      </c>
      <c r="B11980" s="17" t="s">
        <v>34683</v>
      </c>
      <c r="C11980" s="17" t="s">
        <v>17707</v>
      </c>
      <c r="D11980" s="17" t="s">
        <v>17708</v>
      </c>
      <c r="E11980" s="10">
        <v>3520274</v>
      </c>
      <c r="F11980" s="4" t="str">
        <f>IF(B11980=B11979,"",B11980)</f>
        <v>Río Blanco</v>
      </c>
    </row>
    <row r="11981" spans="1:6" ht="15.75" customHeight="1">
      <c r="A11981" s="5" t="str">
        <f ca="1">IFERROR(__xludf.DUMMYFUNCTION("GOOGLETRANSLATE(B37856,""en"",""pt"")"),"Rio Blanco")</f>
        <v>Rio Blanco</v>
      </c>
      <c r="B11981" s="17" t="s">
        <v>34683</v>
      </c>
      <c r="C11981" s="17" t="s">
        <v>19217</v>
      </c>
      <c r="D11981" s="17" t="s">
        <v>19241</v>
      </c>
      <c r="E11981" s="10">
        <v>3617069</v>
      </c>
      <c r="F11981" s="4" t="str">
        <f>IF(B11981=B11980,"",B11981)</f>
        <v/>
      </c>
    </row>
    <row r="11982" spans="1:6" ht="15.75" customHeight="1">
      <c r="A11982" s="6" t="s">
        <v>9055</v>
      </c>
      <c r="B11982" s="6" t="s">
        <v>9055</v>
      </c>
      <c r="C11982" s="6" t="s">
        <v>8028</v>
      </c>
      <c r="D11982" s="6" t="s">
        <v>8034</v>
      </c>
      <c r="E11982" s="2">
        <v>2846523</v>
      </c>
      <c r="F11982" s="4" t="str">
        <f>IF(B11982=B11981,"",B11982)</f>
        <v>Rinteln</v>
      </c>
    </row>
    <row r="11983" spans="1:6" ht="15.75" customHeight="1">
      <c r="A11983" s="5" t="str">
        <f ca="1">IFERROR(__xludf.DUMMYFUNCTION("GOOGLETRANSLATE(B27597,""en"",""pt"")"),"Rinteln")</f>
        <v>Rinteln</v>
      </c>
      <c r="B11983" s="17" t="s">
        <v>9055</v>
      </c>
      <c r="C11983" s="17" t="s">
        <v>8028</v>
      </c>
      <c r="D11983" s="17" t="s">
        <v>8034</v>
      </c>
      <c r="E11983" s="10">
        <v>2846523</v>
      </c>
      <c r="F11983" s="4" t="str">
        <f>IF(B11983=B11982,"",B11983)</f>
        <v/>
      </c>
    </row>
    <row r="11984" spans="1:6" ht="15.75" customHeight="1">
      <c r="A11984" s="6" t="s">
        <v>6273</v>
      </c>
      <c r="B11984" s="6" t="s">
        <v>6274</v>
      </c>
      <c r="C11984" s="6" t="s">
        <v>6209</v>
      </c>
      <c r="D11984" s="6" t="s">
        <v>6232</v>
      </c>
      <c r="E11984" s="2">
        <v>2614764</v>
      </c>
      <c r="F11984" s="4" t="str">
        <f>IF(B11984=B11983,"",B11984)</f>
        <v>Ringsted</v>
      </c>
    </row>
    <row r="11985" spans="1:6" ht="15.75" customHeight="1">
      <c r="A11985" s="5" t="str">
        <f ca="1">IFERROR(__xludf.DUMMYFUNCTION("GOOGLETRANSLATE(B28414,""en"",""pt"")"),"Tocar")</f>
        <v>Tocar</v>
      </c>
      <c r="B11985" s="17" t="s">
        <v>6274</v>
      </c>
      <c r="C11985" s="17" t="s">
        <v>6209</v>
      </c>
      <c r="D11985" s="17" t="s">
        <v>6232</v>
      </c>
      <c r="E11985" s="10">
        <v>2614764</v>
      </c>
      <c r="F11985" s="4" t="str">
        <f>IF(B11985=B11984,"",B11985)</f>
        <v/>
      </c>
    </row>
    <row r="11986" spans="1:6" ht="15.75" customHeight="1">
      <c r="A11986" s="5" t="str">
        <f ca="1">IFERROR(__xludf.DUMMYFUNCTION("GOOGLETRANSLATE(B32306,""en"",""pt"")"),"Rīngas")</f>
        <v>Rīngas</v>
      </c>
      <c r="B11986" s="17" t="s">
        <v>33148</v>
      </c>
      <c r="C11986" s="17" t="s">
        <v>10178</v>
      </c>
      <c r="D11986" s="17" t="s">
        <v>10179</v>
      </c>
      <c r="E11986" s="10">
        <v>1258140</v>
      </c>
      <c r="F11986" s="4" t="str">
        <f>IF(B11986=B11985,"",B11986)</f>
        <v>Rīngas</v>
      </c>
    </row>
    <row r="11987" spans="1:6" ht="15.75" customHeight="1">
      <c r="A11987" s="5" t="str">
        <f ca="1">IFERROR(__xludf.DUMMYFUNCTION("GOOGLETRANSLATE(B37216,""en"",""pt"")"),"Rincón de Romos")</f>
        <v>Rincón de Romos</v>
      </c>
      <c r="B11987" s="17" t="s">
        <v>34745</v>
      </c>
      <c r="C11987" s="17" t="s">
        <v>17707</v>
      </c>
      <c r="D11987" s="17" t="s">
        <v>17733</v>
      </c>
      <c r="E11987" s="10">
        <v>3988651</v>
      </c>
      <c r="F11987" s="4" t="str">
        <f>IF(B11987=B11986,"",B11987)</f>
        <v>Rincón de Romos</v>
      </c>
    </row>
    <row r="11988" spans="1:6" ht="15.75" customHeight="1">
      <c r="A11988" s="5" t="str">
        <f ca="1">IFERROR(__xludf.DUMMYFUNCTION("GOOGLETRANSLATE(B29012,""en"",""pt"")"),"Rincón de la Victoria")</f>
        <v>Rincón de la Victoria</v>
      </c>
      <c r="B11988" s="17" t="s">
        <v>32360</v>
      </c>
      <c r="C11988" s="17" t="s">
        <v>24200</v>
      </c>
      <c r="D11988" s="17" t="s">
        <v>24205</v>
      </c>
      <c r="E11988" s="10">
        <v>2511852</v>
      </c>
      <c r="F11988" s="4" t="str">
        <f>IF(B11988=B11987,"",B11988)</f>
        <v>Rincón de la Victoria</v>
      </c>
    </row>
    <row r="11989" spans="1:6" ht="15.75" customHeight="1">
      <c r="A11989" s="5" t="s">
        <v>18191</v>
      </c>
      <c r="B11989" s="6" t="s">
        <v>18192</v>
      </c>
      <c r="C11989" s="5" t="s">
        <v>17707</v>
      </c>
      <c r="D11989" s="5" t="s">
        <v>17733</v>
      </c>
      <c r="E11989" s="2">
        <v>3988651</v>
      </c>
      <c r="F11989" s="4" t="str">
        <f>IF(B11989=B11988,"",B11989)</f>
        <v>RincÃ³n de Romos</v>
      </c>
    </row>
    <row r="11990" spans="1:6" ht="15.75" customHeight="1">
      <c r="A11990" s="5" t="s">
        <v>24732</v>
      </c>
      <c r="B11990" s="6" t="s">
        <v>24733</v>
      </c>
      <c r="C11990" s="5" t="s">
        <v>24200</v>
      </c>
      <c r="D11990" s="5" t="s">
        <v>24205</v>
      </c>
      <c r="E11990" s="2">
        <v>2511852</v>
      </c>
      <c r="F11990" s="4" t="str">
        <f>IF(B11990=B11989,"",B11990)</f>
        <v>RincÃ³n de la Victoria</v>
      </c>
    </row>
    <row r="11991" spans="1:6" ht="15.75" customHeight="1">
      <c r="A11991" s="6" t="s">
        <v>4163</v>
      </c>
      <c r="B11991" s="6" t="s">
        <v>4163</v>
      </c>
      <c r="C11991" s="6" t="s">
        <v>3975</v>
      </c>
      <c r="D11991" s="6" t="s">
        <v>3982</v>
      </c>
      <c r="E11991" s="2">
        <v>6354895</v>
      </c>
      <c r="F11991" s="4" t="str">
        <f>IF(B11991=B11990,"",B11991)</f>
        <v>Rimouski</v>
      </c>
    </row>
    <row r="11992" spans="1:6" ht="15.75" customHeight="1">
      <c r="A11992" s="5" t="str">
        <f ca="1">IFERROR(__xludf.DUMMYFUNCTION("GOOGLETRANSLATE(B25624,""en"",""pt"")"),"Rimouski")</f>
        <v>Rimouski</v>
      </c>
      <c r="B11992" s="17" t="s">
        <v>4163</v>
      </c>
      <c r="C11992" s="17" t="s">
        <v>3975</v>
      </c>
      <c r="D11992" s="17" t="s">
        <v>3982</v>
      </c>
      <c r="E11992" s="10">
        <v>6354895</v>
      </c>
      <c r="F11992" s="4" t="str">
        <f>IF(B11992=B11991,"",B11992)</f>
        <v/>
      </c>
    </row>
    <row r="11993" spans="1:6" ht="15.75" customHeight="1">
      <c r="A11993" s="6" t="s">
        <v>15411</v>
      </c>
      <c r="B11993" s="6" t="s">
        <v>15411</v>
      </c>
      <c r="C11993" s="6" t="s">
        <v>14891</v>
      </c>
      <c r="D11993" s="6" t="s">
        <v>14973</v>
      </c>
      <c r="E11993" s="2">
        <v>3169361</v>
      </c>
      <c r="F11993" s="4" t="str">
        <f>IF(B11993=B11992,"",B11993)</f>
        <v>Rimini</v>
      </c>
    </row>
    <row r="11994" spans="1:6" ht="15.75" customHeight="1">
      <c r="A11994" s="5" t="str">
        <f ca="1">IFERROR(__xludf.DUMMYFUNCTION("GOOGLETRANSLATE(B34743,""en"",""pt"")"),"Rimini")</f>
        <v>Rimini</v>
      </c>
      <c r="B11994" s="17" t="s">
        <v>15411</v>
      </c>
      <c r="C11994" s="17" t="s">
        <v>14891</v>
      </c>
      <c r="D11994" s="17" t="s">
        <v>14973</v>
      </c>
      <c r="E11994" s="10">
        <v>3169361</v>
      </c>
      <c r="F11994" s="4" t="str">
        <f>IF(B11994=B11993,"",B11994)</f>
        <v/>
      </c>
    </row>
    <row r="11995" spans="1:6" ht="15.75" customHeight="1">
      <c r="A11995" s="5" t="s">
        <v>23760</v>
      </c>
      <c r="B11995" s="6" t="s">
        <v>23761</v>
      </c>
      <c r="C11995" s="5" t="s">
        <v>23694</v>
      </c>
      <c r="D11995" s="5" t="s">
        <v>23695</v>
      </c>
      <c r="E11995" s="2">
        <v>723736</v>
      </c>
      <c r="F11995" s="4" t="str">
        <f>IF(B11995=B11994,"",B11995)</f>
        <v>RimavskÃ¡ Sobota</v>
      </c>
    </row>
    <row r="11996" spans="1:6" ht="15.75" customHeight="1">
      <c r="A11996" s="5" t="str">
        <f ca="1">IFERROR(__xludf.DUMMYFUNCTION("GOOGLETRANSLATE(B41227,""en"",""pt"")"),"Rimavská Sobota")</f>
        <v>Rimavská Sobota</v>
      </c>
      <c r="B11996" s="17" t="s">
        <v>35672</v>
      </c>
      <c r="C11996" s="17" t="s">
        <v>23694</v>
      </c>
      <c r="D11996" s="17" t="s">
        <v>35673</v>
      </c>
      <c r="E11996" s="10">
        <v>723736</v>
      </c>
      <c r="F11996" s="4" t="str">
        <f>IF(B11996=B11995,"",B11996)</f>
        <v>Rimavská Sobota</v>
      </c>
    </row>
    <row r="11997" spans="1:6" ht="15.75" customHeight="1">
      <c r="A11997" s="5" t="s">
        <v>7701</v>
      </c>
      <c r="B11997" s="6" t="s">
        <v>7702</v>
      </c>
      <c r="C11997" s="5" t="s">
        <v>7052</v>
      </c>
      <c r="D11997" s="5" t="s">
        <v>7053</v>
      </c>
      <c r="E11997" s="2">
        <v>2983536</v>
      </c>
      <c r="F11997" s="4" t="str">
        <f>IF(B11997=B11996,"",B11997)</f>
        <v>Rillieux-la-Pape</v>
      </c>
    </row>
    <row r="11998" spans="1:6" ht="15.75" customHeight="1">
      <c r="A11998" s="5" t="str">
        <f ca="1">IFERROR(__xludf.DUMMYFUNCTION("GOOGLETRANSLATE(B29834,""en"",""pt"")"),"Rillieux-la-pape")</f>
        <v>Rillieux-la-pape</v>
      </c>
      <c r="B11998" s="17" t="s">
        <v>7702</v>
      </c>
      <c r="C11998" s="17" t="s">
        <v>7052</v>
      </c>
      <c r="D11998" s="17" t="s">
        <v>32532</v>
      </c>
      <c r="E11998" s="10">
        <v>2983536</v>
      </c>
      <c r="F11998" s="4" t="str">
        <f>IF(B11998=B11997,"",B11998)</f>
        <v/>
      </c>
    </row>
    <row r="11999" spans="1:6" ht="15.75" customHeight="1">
      <c r="A11999" s="6" t="s">
        <v>5034</v>
      </c>
      <c r="B11999" s="6" t="s">
        <v>5034</v>
      </c>
      <c r="C11999" s="6" t="s">
        <v>4487</v>
      </c>
      <c r="D11999" s="6" t="s">
        <v>4603</v>
      </c>
      <c r="E11999" s="2">
        <v>1279715</v>
      </c>
      <c r="F11999" s="4" t="str">
        <f>IF(B11999=B11998,"",B11999)</f>
        <v>Rikaze</v>
      </c>
    </row>
    <row r="12000" spans="1:6" ht="15.75" customHeight="1">
      <c r="A12000" s="5" t="str">
        <f ca="1">IFERROR(__xludf.DUMMYFUNCTION("GOOGLETRANSLATE(B26044,""en"",""pt"")"),"Rikaze")</f>
        <v>Rikaze</v>
      </c>
      <c r="B12000" s="17" t="s">
        <v>5034</v>
      </c>
      <c r="C12000" s="17" t="s">
        <v>4487</v>
      </c>
      <c r="D12000" s="17" t="s">
        <v>4603</v>
      </c>
      <c r="E12000" s="10">
        <v>1279715</v>
      </c>
      <c r="F12000" s="4" t="str">
        <f>IF(B12000=B11999,"",B12000)</f>
        <v/>
      </c>
    </row>
    <row r="12001" spans="1:6" ht="15.75" customHeight="1">
      <c r="A12001" s="6" t="s">
        <v>19074</v>
      </c>
      <c r="B12001" s="6" t="s">
        <v>19074</v>
      </c>
      <c r="C12001" s="6" t="s">
        <v>18862</v>
      </c>
      <c r="D12001" s="6" t="s">
        <v>18868</v>
      </c>
      <c r="E12001" s="2">
        <v>2748076</v>
      </c>
      <c r="F12001" s="4" t="str">
        <f>IF(B12001=B12000,"",B12001)</f>
        <v>Rijswijk</v>
      </c>
    </row>
    <row r="12002" spans="1:6" ht="15.75" customHeight="1">
      <c r="A12002" s="5" t="str">
        <f ca="1">IFERROR(__xludf.DUMMYFUNCTION("GOOGLETRANSLATE(B37967,""en"",""pt"")"),"Rijswijk")</f>
        <v>Rijswijk</v>
      </c>
      <c r="B12002" s="17" t="s">
        <v>19074</v>
      </c>
      <c r="C12002" s="17" t="s">
        <v>18862</v>
      </c>
      <c r="D12002" s="17" t="s">
        <v>18868</v>
      </c>
      <c r="E12002" s="10">
        <v>2748076</v>
      </c>
      <c r="F12002" s="4" t="str">
        <f>IF(B12002=B12001,"",B12002)</f>
        <v/>
      </c>
    </row>
    <row r="12003" spans="1:6" ht="15.75" customHeight="1">
      <c r="A12003" s="6" t="s">
        <v>5731</v>
      </c>
      <c r="B12003" s="6" t="s">
        <v>5731</v>
      </c>
      <c r="C12003" s="6" t="s">
        <v>5711</v>
      </c>
      <c r="D12003" s="6" t="s">
        <v>5732</v>
      </c>
      <c r="E12003" s="2">
        <v>3191648</v>
      </c>
      <c r="F12003" s="4" t="str">
        <f>IF(B12003=B12002,"",B12003)</f>
        <v>Rijeka</v>
      </c>
    </row>
    <row r="12004" spans="1:6" ht="15.75" customHeight="1">
      <c r="A12004" s="5" t="str">
        <f ca="1">IFERROR(__xludf.DUMMYFUNCTION("GOOGLETRANSLATE(B31203,""en"",""pt"")"),"Rijeka")</f>
        <v>Rijeka</v>
      </c>
      <c r="B12004" s="17" t="s">
        <v>5731</v>
      </c>
      <c r="C12004" s="17" t="s">
        <v>5711</v>
      </c>
      <c r="D12004" s="17" t="s">
        <v>5732</v>
      </c>
      <c r="E12004" s="10">
        <v>3191648</v>
      </c>
      <c r="F12004" s="4" t="str">
        <f>IF(B12004=B12003,"",B12004)</f>
        <v/>
      </c>
    </row>
    <row r="12005" spans="1:6" ht="15.75" customHeight="1">
      <c r="A12005" s="6" t="s">
        <v>19557</v>
      </c>
      <c r="B12005" s="6" t="s">
        <v>19557</v>
      </c>
      <c r="C12005" s="6" t="s">
        <v>19294</v>
      </c>
      <c r="D12005" s="6" t="s">
        <v>19259</v>
      </c>
      <c r="E12005" s="2">
        <v>2324504</v>
      </c>
      <c r="F12005" s="4" t="str">
        <f>IF(B12005=B12004,"",B12005)</f>
        <v>Rijau</v>
      </c>
    </row>
    <row r="12006" spans="1:6" ht="15.75" customHeight="1">
      <c r="A12006" s="5" t="str">
        <f ca="1">IFERROR(__xludf.DUMMYFUNCTION("GOOGLETRANSLATE(B37633,""en"",""pt"")"),"Rijau")</f>
        <v>Rijau</v>
      </c>
      <c r="B12006" s="17" t="s">
        <v>19557</v>
      </c>
      <c r="C12006" s="17" t="s">
        <v>19294</v>
      </c>
      <c r="D12006" s="17" t="s">
        <v>19259</v>
      </c>
      <c r="E12006" s="10">
        <v>2324504</v>
      </c>
      <c r="F12006" s="4" t="str">
        <f>IF(B12006=B12005,"",B12006)</f>
        <v/>
      </c>
    </row>
    <row r="12007" spans="1:6" ht="15.75" customHeight="1">
      <c r="A12007" s="5" t="str">
        <f ca="1">IFERROR(__xludf.DUMMYFUNCTION("GOOGLETRANSLATE(B29614,""en"",""pt"")"),"Riihimäki")</f>
        <v>Riihimäki</v>
      </c>
      <c r="B12007" s="17" t="s">
        <v>7027</v>
      </c>
      <c r="C12007" s="17" t="s">
        <v>6948</v>
      </c>
      <c r="D12007" s="17" t="s">
        <v>32522</v>
      </c>
      <c r="E12007" s="10">
        <v>639406</v>
      </c>
      <c r="F12007" s="4" t="str">
        <f>IF(B12007=B12006,"",B12007)</f>
        <v>Riihimäki</v>
      </c>
    </row>
    <row r="12008" spans="1:6" ht="15.75" customHeight="1">
      <c r="A12008" s="6" t="s">
        <v>7027</v>
      </c>
      <c r="B12008" s="6" t="s">
        <v>7028</v>
      </c>
      <c r="C12008" s="6" t="s">
        <v>6948</v>
      </c>
      <c r="D12008" s="6" t="s">
        <v>6954</v>
      </c>
      <c r="E12008" s="2">
        <v>639406</v>
      </c>
      <c r="F12008" s="4" t="str">
        <f>IF(B12008=B12007,"",B12008)</f>
        <v>RiihimÃ¤ki</v>
      </c>
    </row>
    <row r="12009" spans="1:6" ht="15.75" customHeight="1">
      <c r="A12009" s="6" t="s">
        <v>16998</v>
      </c>
      <c r="B12009" s="6" t="s">
        <v>16998</v>
      </c>
      <c r="C12009" s="6" t="s">
        <v>16982</v>
      </c>
      <c r="D12009" s="6" t="s">
        <v>16998</v>
      </c>
      <c r="E12009" s="2">
        <v>456172</v>
      </c>
      <c r="F12009" s="4" t="str">
        <f>IF(B12009=B12008,"",B12009)</f>
        <v>Riga</v>
      </c>
    </row>
    <row r="12010" spans="1:6" ht="15.75" customHeight="1">
      <c r="A12010" s="5" t="str">
        <f ca="1">IFERROR(__xludf.DUMMYFUNCTION("GOOGLETRANSLATE(B36403,""en"",""pt"")"),"Riga")</f>
        <v>Riga</v>
      </c>
      <c r="B12010" s="17" t="s">
        <v>16998</v>
      </c>
      <c r="C12010" s="17" t="s">
        <v>16982</v>
      </c>
      <c r="D12010" s="17" t="s">
        <v>16998</v>
      </c>
      <c r="E12010" s="10">
        <v>456172</v>
      </c>
      <c r="F12010" s="4" t="str">
        <f>IF(B12010=B12009,"",B12010)</f>
        <v/>
      </c>
    </row>
    <row r="12011" spans="1:6" ht="15.75" customHeight="1">
      <c r="A12011" s="6" t="s">
        <v>16351</v>
      </c>
      <c r="B12011" s="6" t="s">
        <v>16351</v>
      </c>
      <c r="C12011" s="6" t="s">
        <v>15704</v>
      </c>
      <c r="D12011" s="6" t="s">
        <v>15764</v>
      </c>
      <c r="E12011" s="2">
        <v>2111277</v>
      </c>
      <c r="F12011" s="4" t="str">
        <f>IF(B12011=B12010,"",B12011)</f>
        <v>Rifu</v>
      </c>
    </row>
    <row r="12012" spans="1:6" ht="15.75" customHeight="1">
      <c r="A12012" s="5" t="str">
        <f ca="1">IFERROR(__xludf.DUMMYFUNCTION("GOOGLETRANSLATE(B35740,""en"",""pt"")"),"Rifu")</f>
        <v>Rifu</v>
      </c>
      <c r="B12012" s="17" t="s">
        <v>16351</v>
      </c>
      <c r="C12012" s="17" t="s">
        <v>15704</v>
      </c>
      <c r="D12012" s="17" t="s">
        <v>15764</v>
      </c>
      <c r="E12012" s="10">
        <v>2111277</v>
      </c>
      <c r="F12012" s="4" t="str">
        <f>IF(B12012=B12011,"",B12012)</f>
        <v/>
      </c>
    </row>
    <row r="12013" spans="1:6" ht="15.75" customHeight="1">
      <c r="A12013" s="6" t="s">
        <v>15410</v>
      </c>
      <c r="B12013" s="6" t="s">
        <v>15410</v>
      </c>
      <c r="C12013" s="6" t="s">
        <v>14891</v>
      </c>
      <c r="D12013" s="6" t="s">
        <v>14904</v>
      </c>
      <c r="E12013" s="2">
        <v>3169412</v>
      </c>
      <c r="F12013" s="4" t="str">
        <f>IF(B12013=B12012,"",B12013)</f>
        <v>Rieti</v>
      </c>
    </row>
    <row r="12014" spans="1:6" ht="15.75" customHeight="1">
      <c r="A12014" s="5" t="str">
        <f ca="1">IFERROR(__xludf.DUMMYFUNCTION("GOOGLETRANSLATE(B34744,""en"",""pt"")"),"Rieti")</f>
        <v>Rieti</v>
      </c>
      <c r="B12014" s="17" t="s">
        <v>15410</v>
      </c>
      <c r="C12014" s="17" t="s">
        <v>14891</v>
      </c>
      <c r="D12014" s="17" t="s">
        <v>14904</v>
      </c>
      <c r="E12014" s="10">
        <v>3169412</v>
      </c>
      <c r="F12014" s="4" t="str">
        <f>IF(B12014=B12013,"",B12014)</f>
        <v/>
      </c>
    </row>
    <row r="12015" spans="1:6" ht="15.75" customHeight="1">
      <c r="A12015" s="6" t="s">
        <v>9054</v>
      </c>
      <c r="B12015" s="6" t="s">
        <v>9054</v>
      </c>
      <c r="C12015" s="6" t="s">
        <v>8028</v>
      </c>
      <c r="D12015" s="6" t="s">
        <v>8029</v>
      </c>
      <c r="E12015" s="2">
        <v>2846843</v>
      </c>
      <c r="F12015" s="4" t="str">
        <f>IF(B12015=B12014,"",B12015)</f>
        <v>Rietberg</v>
      </c>
    </row>
    <row r="12016" spans="1:6" ht="15.75" customHeight="1">
      <c r="A12016" s="5" t="str">
        <f ca="1">IFERROR(__xludf.DUMMYFUNCTION("GOOGLETRANSLATE(B27598,""en"",""pt"")"),"Rietberg")</f>
        <v>Rietberg</v>
      </c>
      <c r="B12016" s="17" t="s">
        <v>9054</v>
      </c>
      <c r="C12016" s="17" t="s">
        <v>8028</v>
      </c>
      <c r="D12016" s="17" t="s">
        <v>8029</v>
      </c>
      <c r="E12016" s="10">
        <v>2846843</v>
      </c>
      <c r="F12016" s="4" t="str">
        <f>IF(B12016=B12015,"",B12016)</f>
        <v/>
      </c>
    </row>
    <row r="12017" spans="1:6" ht="15.75" customHeight="1">
      <c r="A12017" s="6" t="s">
        <v>9053</v>
      </c>
      <c r="B12017" s="6" t="s">
        <v>9053</v>
      </c>
      <c r="C12017" s="6" t="s">
        <v>8028</v>
      </c>
      <c r="D12017" s="6" t="s">
        <v>8072</v>
      </c>
      <c r="E12017" s="2">
        <v>2846939</v>
      </c>
      <c r="F12017" s="4" t="str">
        <f>IF(B12017=B12016,"",B12017)</f>
        <v>Riesa</v>
      </c>
    </row>
    <row r="12018" spans="1:6" ht="15.75" customHeight="1">
      <c r="A12018" s="5" t="str">
        <f ca="1">IFERROR(__xludf.DUMMYFUNCTION("GOOGLETRANSLATE(B27599,""en"",""pt"")"),"Riesa")</f>
        <v>Riesa</v>
      </c>
      <c r="B12018" s="17" t="s">
        <v>9053</v>
      </c>
      <c r="C12018" s="17" t="s">
        <v>8028</v>
      </c>
      <c r="D12018" s="17" t="s">
        <v>8072</v>
      </c>
      <c r="E12018" s="10">
        <v>2846939</v>
      </c>
      <c r="F12018" s="4" t="str">
        <f>IF(B12018=B12017,"",B12018)</f>
        <v/>
      </c>
    </row>
    <row r="12019" spans="1:6" ht="15.75" customHeight="1">
      <c r="A12019" s="6" t="s">
        <v>1671</v>
      </c>
      <c r="B12019" s="6" t="s">
        <v>1671</v>
      </c>
      <c r="C12019" s="6" t="s">
        <v>1512</v>
      </c>
      <c r="D12019" s="6" t="s">
        <v>1513</v>
      </c>
      <c r="E12019" s="2">
        <v>2788088</v>
      </c>
      <c r="F12019" s="4" t="str">
        <f>IF(B12019=B12018,"",B12019)</f>
        <v>Riemst</v>
      </c>
    </row>
    <row r="12020" spans="1:6" ht="15.75" customHeight="1">
      <c r="A12020" s="5" t="str">
        <f ca="1">IFERROR(__xludf.DUMMYFUNCTION("GOOGLETRANSLATE(B23843,""en"",""pt"")"),"Riemst")</f>
        <v>Riemst</v>
      </c>
      <c r="B12020" s="17" t="s">
        <v>1671</v>
      </c>
      <c r="C12020" s="17" t="s">
        <v>1512</v>
      </c>
      <c r="D12020" s="17" t="s">
        <v>1513</v>
      </c>
      <c r="E12020" s="10">
        <v>2788088</v>
      </c>
      <c r="F12020" s="4" t="str">
        <f>IF(B12020=B12019,"",B12020)</f>
        <v/>
      </c>
    </row>
    <row r="12021" spans="1:6" ht="15.75" customHeight="1">
      <c r="A12021" s="6" t="s">
        <v>25305</v>
      </c>
      <c r="B12021" s="6" t="s">
        <v>25305</v>
      </c>
      <c r="C12021" s="6" t="s">
        <v>25237</v>
      </c>
      <c r="D12021" s="6" t="s">
        <v>25247</v>
      </c>
      <c r="E12021" s="2">
        <v>3206590</v>
      </c>
      <c r="F12021" s="4" t="str">
        <f>IF(B12021=B12020,"",B12021)</f>
        <v>Riehen</v>
      </c>
    </row>
    <row r="12022" spans="1:6" ht="15.75" customHeight="1">
      <c r="A12022" s="5" t="str">
        <f ca="1">IFERROR(__xludf.DUMMYFUNCTION("GOOGLETRANSLATE(B25804,""en"",""pt"")"),"Riehen")</f>
        <v>Riehen</v>
      </c>
      <c r="B12022" s="17" t="s">
        <v>25305</v>
      </c>
      <c r="C12022" s="17" t="s">
        <v>25237</v>
      </c>
      <c r="D12022" s="17" t="s">
        <v>25247</v>
      </c>
      <c r="E12022" s="10">
        <v>3206590</v>
      </c>
      <c r="F12022" s="4" t="str">
        <f>IF(B12022=B12021,"",B12022)</f>
        <v/>
      </c>
    </row>
    <row r="12023" spans="1:6" ht="15.75" customHeight="1">
      <c r="A12023" s="5" t="s">
        <v>9052</v>
      </c>
      <c r="B12023" s="6" t="s">
        <v>9052</v>
      </c>
      <c r="C12023" s="5" t="s">
        <v>8028</v>
      </c>
      <c r="D12023" s="5" t="s">
        <v>8177</v>
      </c>
      <c r="E12023" s="2">
        <v>2847033</v>
      </c>
      <c r="F12023" s="4" t="str">
        <f>IF(B12023=B12022,"",B12023)</f>
        <v>Riegelsberg</v>
      </c>
    </row>
    <row r="12024" spans="1:6" ht="15.75" customHeight="1">
      <c r="A12024" s="5" t="str">
        <f ca="1">IFERROR(__xludf.DUMMYFUNCTION("GOOGLETRANSLATE(B27600,""en"",""pt"")"),"Riegelsberg")</f>
        <v>Riegelsberg</v>
      </c>
      <c r="B12024" s="17" t="s">
        <v>9052</v>
      </c>
      <c r="C12024" s="17" t="s">
        <v>8028</v>
      </c>
      <c r="D12024" s="17" t="s">
        <v>8177</v>
      </c>
      <c r="E12024" s="10">
        <v>2847033</v>
      </c>
      <c r="F12024" s="4" t="str">
        <f>IF(B12024=B12023,"",B12024)</f>
        <v/>
      </c>
    </row>
    <row r="12025" spans="1:6" ht="15.75" customHeight="1">
      <c r="A12025" s="6" t="s">
        <v>9051</v>
      </c>
      <c r="B12025" s="6" t="s">
        <v>9051</v>
      </c>
      <c r="C12025" s="6" t="s">
        <v>8028</v>
      </c>
      <c r="D12025" s="6" t="s">
        <v>8050</v>
      </c>
      <c r="E12025" s="2">
        <v>3272941</v>
      </c>
      <c r="F12025" s="4" t="str">
        <f>IF(B12025=B12024,"",B12025)</f>
        <v>Riedstadt</v>
      </c>
    </row>
    <row r="12026" spans="1:6" ht="15.75" customHeight="1">
      <c r="A12026" s="5" t="str">
        <f ca="1">IFERROR(__xludf.DUMMYFUNCTION("GOOGLETRANSLATE(B28358,""en"",""pt"")"),"Riedstadt")</f>
        <v>Riedstadt</v>
      </c>
      <c r="B12026" s="17" t="s">
        <v>9051</v>
      </c>
      <c r="C12026" s="17" t="s">
        <v>8028</v>
      </c>
      <c r="D12026" s="17" t="s">
        <v>8050</v>
      </c>
      <c r="E12026" s="10">
        <v>3272941</v>
      </c>
      <c r="F12026" s="4" t="str">
        <f>IF(B12026=B12025,"",B12026)</f>
        <v/>
      </c>
    </row>
    <row r="12027" spans="1:6" ht="15.75" customHeight="1">
      <c r="A12027" s="5" t="s">
        <v>29801</v>
      </c>
      <c r="B12027" s="6" t="s">
        <v>29801</v>
      </c>
      <c r="C12027" s="5" t="s">
        <v>27788</v>
      </c>
      <c r="D12027" s="5" t="s">
        <v>27905</v>
      </c>
      <c r="E12027" s="2">
        <v>5103269</v>
      </c>
      <c r="F12027" s="4" t="str">
        <f>IF(B12027=B12026,"",B12027)</f>
        <v>Ridgewood</v>
      </c>
    </row>
    <row r="12028" spans="1:6" ht="15.75" customHeight="1">
      <c r="A12028" s="5" t="str">
        <f ca="1">IFERROR(__xludf.DUMMYFUNCTION("GOOGLETRANSLATE(B44304,""en"",""pt"")"),"Ridgewood")</f>
        <v>Ridgewood</v>
      </c>
      <c r="B12028" s="17" t="s">
        <v>29801</v>
      </c>
      <c r="C12028" s="17" t="s">
        <v>27788</v>
      </c>
      <c r="D12028" s="17" t="s">
        <v>27905</v>
      </c>
      <c r="E12028" s="10">
        <v>5103269</v>
      </c>
      <c r="F12028" s="4" t="str">
        <f>IF(B12028=B12027,"",B12028)</f>
        <v/>
      </c>
    </row>
    <row r="12029" spans="1:6" ht="15.75" customHeight="1">
      <c r="A12029" s="5" t="s">
        <v>29800</v>
      </c>
      <c r="B12029" s="6" t="s">
        <v>29800</v>
      </c>
      <c r="C12029" s="5" t="s">
        <v>27788</v>
      </c>
      <c r="D12029" s="5" t="s">
        <v>28040</v>
      </c>
      <c r="E12029" s="2">
        <v>4443296</v>
      </c>
      <c r="F12029" s="4" t="str">
        <f>IF(B12029=B12028,"",B12029)</f>
        <v>Ridgeland</v>
      </c>
    </row>
    <row r="12030" spans="1:6" ht="15.75" customHeight="1">
      <c r="A12030" s="5" t="str">
        <f ca="1">IFERROR(__xludf.DUMMYFUNCTION("GOOGLETRANSLATE(B43420,""en"",""pt"")"),"Ridgeland")</f>
        <v>Ridgeland</v>
      </c>
      <c r="B12030" s="17" t="s">
        <v>29800</v>
      </c>
      <c r="C12030" s="17" t="s">
        <v>27788</v>
      </c>
      <c r="D12030" s="17" t="s">
        <v>28040</v>
      </c>
      <c r="E12030" s="10">
        <v>4443296</v>
      </c>
      <c r="F12030" s="4" t="str">
        <f>IF(B12030=B12029,"",B12030)</f>
        <v/>
      </c>
    </row>
    <row r="12031" spans="1:6" ht="15.75" customHeight="1">
      <c r="A12031" s="5" t="s">
        <v>29799</v>
      </c>
      <c r="B12031" s="6" t="s">
        <v>29799</v>
      </c>
      <c r="C12031" s="5" t="s">
        <v>27788</v>
      </c>
      <c r="D12031" s="5" t="s">
        <v>27801</v>
      </c>
      <c r="E12031" s="2">
        <v>5387494</v>
      </c>
      <c r="F12031" s="4" t="str">
        <f>IF(B12031=B12030,"",B12031)</f>
        <v>Ridgecrest</v>
      </c>
    </row>
    <row r="12032" spans="1:6" ht="15.75" customHeight="1">
      <c r="A12032" s="5" t="str">
        <f ca="1">IFERROR(__xludf.DUMMYFUNCTION("GOOGLETRANSLATE(B44984,""en"",""pt"")"),"Ridgecrest")</f>
        <v>Ridgecrest</v>
      </c>
      <c r="B12032" s="17" t="s">
        <v>29799</v>
      </c>
      <c r="C12032" s="17" t="s">
        <v>27788</v>
      </c>
      <c r="D12032" s="17" t="s">
        <v>27801</v>
      </c>
      <c r="E12032" s="10">
        <v>5387494</v>
      </c>
      <c r="F12032" s="4" t="str">
        <f>IF(B12032=B12031,"",B12032)</f>
        <v/>
      </c>
    </row>
    <row r="12033" spans="1:6" ht="15.75" customHeight="1">
      <c r="A12033" s="5" t="s">
        <v>19073</v>
      </c>
      <c r="B12033" s="6" t="s">
        <v>19073</v>
      </c>
      <c r="C12033" s="5" t="s">
        <v>18862</v>
      </c>
      <c r="D12033" s="5" t="s">
        <v>18868</v>
      </c>
      <c r="E12033" s="2">
        <v>2748172</v>
      </c>
      <c r="F12033" s="4" t="str">
        <f>IF(B12033=B12032,"",B12033)</f>
        <v>Ridderkerk</v>
      </c>
    </row>
    <row r="12034" spans="1:6" ht="15.75" customHeight="1">
      <c r="A12034" s="5" t="str">
        <f ca="1">IFERROR(__xludf.DUMMYFUNCTION("GOOGLETRANSLATE(B37968,""en"",""pt"")"),"Ridderkerk")</f>
        <v>Ridderkerk</v>
      </c>
      <c r="B12034" s="17" t="s">
        <v>19073</v>
      </c>
      <c r="C12034" s="17" t="s">
        <v>18862</v>
      </c>
      <c r="D12034" s="17" t="s">
        <v>18868</v>
      </c>
      <c r="E12034" s="10">
        <v>2748172</v>
      </c>
      <c r="F12034" s="4" t="str">
        <f>IF(B12034=B12033,"",B12034)</f>
        <v/>
      </c>
    </row>
    <row r="12035" spans="1:6" ht="15.75" customHeight="1">
      <c r="A12035" s="6" t="s">
        <v>16737</v>
      </c>
      <c r="B12035" s="6" t="s">
        <v>16737</v>
      </c>
      <c r="C12035" s="6" t="s">
        <v>16671</v>
      </c>
      <c r="D12035" s="6" t="s">
        <v>16697</v>
      </c>
      <c r="E12035" s="2">
        <v>1521370</v>
      </c>
      <c r="F12035" s="4" t="str">
        <f>IF(B12035=B12034,"",B12035)</f>
        <v>Ridder</v>
      </c>
    </row>
    <row r="12036" spans="1:6" ht="15.75" customHeight="1">
      <c r="A12036" s="5" t="str">
        <f ca="1">IFERROR(__xludf.DUMMYFUNCTION("GOOGLETRANSLATE(B36238,""en"",""pt"")"),"Ridder")</f>
        <v>Ridder</v>
      </c>
      <c r="B12036" s="17" t="s">
        <v>16737</v>
      </c>
      <c r="C12036" s="17" t="s">
        <v>16671</v>
      </c>
      <c r="D12036" s="17" t="s">
        <v>16697</v>
      </c>
      <c r="E12036" s="10">
        <v>1521370</v>
      </c>
      <c r="F12036" s="4" t="str">
        <f>IF(B12036=B12035,"",B12036)</f>
        <v/>
      </c>
    </row>
    <row r="12037" spans="1:6" ht="15.75" customHeight="1">
      <c r="A12037" s="5" t="s">
        <v>29798</v>
      </c>
      <c r="B12037" s="6" t="s">
        <v>29798</v>
      </c>
      <c r="C12037" s="5" t="s">
        <v>27788</v>
      </c>
      <c r="D12037" s="5" t="s">
        <v>5468</v>
      </c>
      <c r="E12037" s="2">
        <v>4170005</v>
      </c>
      <c r="F12037" s="4" t="str">
        <f>IF(B12037=B12036,"",B12037)</f>
        <v>Richmond West</v>
      </c>
    </row>
    <row r="12038" spans="1:6" ht="15.75" customHeight="1">
      <c r="A12038" s="5" t="str">
        <f ca="1">IFERROR(__xludf.DUMMYFUNCTION("GOOGLETRANSLATE(B43002,""en"",""pt"")"),"Richmond West")</f>
        <v>Richmond West</v>
      </c>
      <c r="B12038" s="17" t="s">
        <v>29798</v>
      </c>
      <c r="C12038" s="17" t="s">
        <v>27788</v>
      </c>
      <c r="D12038" s="17" t="s">
        <v>5468</v>
      </c>
      <c r="E12038" s="10">
        <v>4170005</v>
      </c>
      <c r="F12038" s="4" t="str">
        <f>IF(B12038=B12037,"",B12038)</f>
        <v/>
      </c>
    </row>
    <row r="12039" spans="1:6" ht="15.75" customHeight="1">
      <c r="A12039" s="5" t="s">
        <v>4162</v>
      </c>
      <c r="B12039" s="6" t="s">
        <v>4162</v>
      </c>
      <c r="C12039" s="5" t="s">
        <v>3975</v>
      </c>
      <c r="D12039" s="5" t="s">
        <v>3980</v>
      </c>
      <c r="E12039" s="2">
        <v>6122091</v>
      </c>
      <c r="F12039" s="4" t="str">
        <f>IF(B12039=B12038,"",B12039)</f>
        <v>Richmond Hill</v>
      </c>
    </row>
    <row r="12040" spans="1:6" ht="15.75" customHeight="1">
      <c r="A12040" s="5" t="str">
        <f ca="1">IFERROR(__xludf.DUMMYFUNCTION("GOOGLETRANSLATE(B25560,""en"",""pt"")"),"Richmond Hill")</f>
        <v>Richmond Hill</v>
      </c>
      <c r="B12040" s="17" t="s">
        <v>4162</v>
      </c>
      <c r="C12040" s="17" t="s">
        <v>3975</v>
      </c>
      <c r="D12040" s="17" t="s">
        <v>3980</v>
      </c>
      <c r="E12040" s="10">
        <v>6122091</v>
      </c>
      <c r="F12040" s="4" t="str">
        <f>IF(B12040=B12039,"",B12040)</f>
        <v/>
      </c>
    </row>
    <row r="12041" spans="1:6" ht="15.75" customHeight="1">
      <c r="A12041" s="5" t="s">
        <v>1070</v>
      </c>
      <c r="B12041" s="6" t="s">
        <v>1070</v>
      </c>
      <c r="C12041" s="5" t="s">
        <v>885</v>
      </c>
      <c r="D12041" s="5" t="s">
        <v>827</v>
      </c>
      <c r="E12041" s="2">
        <v>2151649</v>
      </c>
      <c r="F12041" s="4" t="str">
        <f>IF(B12041=B12040,"",B12041)</f>
        <v>Richmond</v>
      </c>
    </row>
    <row r="12042" spans="1:6" ht="15.75" customHeight="1">
      <c r="A12042" s="5" t="s">
        <v>1070</v>
      </c>
      <c r="B12042" s="6" t="s">
        <v>1070</v>
      </c>
      <c r="C12042" s="5" t="s">
        <v>3975</v>
      </c>
      <c r="D12042" s="5" t="s">
        <v>3976</v>
      </c>
      <c r="E12042" s="2">
        <v>6122085</v>
      </c>
      <c r="F12042" s="4" t="str">
        <f>IF(B12042=B12041,"",B12042)</f>
        <v/>
      </c>
    </row>
    <row r="12043" spans="1:6" ht="15.75" customHeight="1">
      <c r="A12043" s="5" t="s">
        <v>1070</v>
      </c>
      <c r="B12043" s="6" t="s">
        <v>1070</v>
      </c>
      <c r="C12043" s="5" t="s">
        <v>23842</v>
      </c>
      <c r="D12043" s="5" t="s">
        <v>23851</v>
      </c>
      <c r="E12043" s="2">
        <v>962330</v>
      </c>
      <c r="F12043" s="4" t="str">
        <f>IF(B12043=B12042,"",B12043)</f>
        <v/>
      </c>
    </row>
    <row r="12044" spans="1:6" ht="15.75" customHeight="1">
      <c r="A12044" s="5" t="s">
        <v>1070</v>
      </c>
      <c r="B12044" s="6" t="s">
        <v>1070</v>
      </c>
      <c r="C12044" s="5" t="s">
        <v>27788</v>
      </c>
      <c r="D12044" s="5" t="s">
        <v>27869</v>
      </c>
      <c r="E12044" s="2">
        <v>4263681</v>
      </c>
      <c r="F12044" s="4" t="str">
        <f>IF(B12044=B12043,"",B12044)</f>
        <v/>
      </c>
    </row>
    <row r="12045" spans="1:6" ht="15.75" customHeight="1">
      <c r="A12045" s="5" t="s">
        <v>1070</v>
      </c>
      <c r="B12045" s="6" t="s">
        <v>1070</v>
      </c>
      <c r="C12045" s="5" t="s">
        <v>27788</v>
      </c>
      <c r="D12045" s="5" t="s">
        <v>27909</v>
      </c>
      <c r="E12045" s="2">
        <v>4305974</v>
      </c>
      <c r="F12045" s="4" t="str">
        <f>IF(B12045=B12044,"",B12045)</f>
        <v/>
      </c>
    </row>
    <row r="12046" spans="1:6" ht="15.75" customHeight="1">
      <c r="A12046" s="5" t="s">
        <v>1070</v>
      </c>
      <c r="B12046" s="6" t="s">
        <v>1070</v>
      </c>
      <c r="C12046" s="5" t="s">
        <v>27788</v>
      </c>
      <c r="D12046" s="5" t="s">
        <v>27801</v>
      </c>
      <c r="E12046" s="2">
        <v>5387428</v>
      </c>
      <c r="F12046" s="4" t="str">
        <f>IF(B12046=B12045,"",B12046)</f>
        <v/>
      </c>
    </row>
    <row r="12047" spans="1:6" ht="15.75" customHeight="1">
      <c r="A12047" s="5" t="str">
        <f ca="1">IFERROR(__xludf.DUMMYFUNCTION("GOOGLETRANSLATE(B23458,""en"",""pt"")"),"Richmond")</f>
        <v>Richmond</v>
      </c>
      <c r="B12047" s="17" t="s">
        <v>1070</v>
      </c>
      <c r="C12047" s="17" t="s">
        <v>885</v>
      </c>
      <c r="D12047" s="17" t="s">
        <v>827</v>
      </c>
      <c r="E12047" s="10">
        <v>2151649</v>
      </c>
      <c r="F12047" s="4" t="str">
        <f>IF(B12047=B12046,"",B12047)</f>
        <v/>
      </c>
    </row>
    <row r="12048" spans="1:6" ht="15.75" customHeight="1">
      <c r="A12048" s="5" t="str">
        <f ca="1">IFERROR(__xludf.DUMMYFUNCTION("GOOGLETRANSLATE(B25559,""en"",""pt"")"),"Richmond")</f>
        <v>Richmond</v>
      </c>
      <c r="B12048" s="17" t="s">
        <v>1070</v>
      </c>
      <c r="C12048" s="17" t="s">
        <v>3975</v>
      </c>
      <c r="D12048" s="17" t="s">
        <v>3976</v>
      </c>
      <c r="E12048" s="10">
        <v>6122085</v>
      </c>
      <c r="F12048" s="4" t="str">
        <f>IF(B12048=B12047,"",B12048)</f>
        <v/>
      </c>
    </row>
    <row r="12049" spans="1:6" ht="15.75" customHeight="1">
      <c r="A12049" s="5" t="str">
        <f ca="1">IFERROR(__xludf.DUMMYFUNCTION("GOOGLETRANSLATE(B43160,""en"",""pt"")"),"Richmond")</f>
        <v>Richmond</v>
      </c>
      <c r="B12049" s="17" t="s">
        <v>1070</v>
      </c>
      <c r="C12049" s="17" t="s">
        <v>27788</v>
      </c>
      <c r="D12049" s="17" t="s">
        <v>27869</v>
      </c>
      <c r="E12049" s="10">
        <v>4263681</v>
      </c>
      <c r="F12049" s="4" t="str">
        <f>IF(B12049=B12048,"",B12049)</f>
        <v/>
      </c>
    </row>
    <row r="12050" spans="1:6" ht="15.75" customHeight="1">
      <c r="A12050" s="5" t="str">
        <f ca="1">IFERROR(__xludf.DUMMYFUNCTION("GOOGLETRANSLATE(B43218,""en"",""pt"")"),"Richmond")</f>
        <v>Richmond</v>
      </c>
      <c r="B12050" s="17" t="s">
        <v>1070</v>
      </c>
      <c r="C12050" s="17" t="s">
        <v>27788</v>
      </c>
      <c r="D12050" s="17" t="s">
        <v>27909</v>
      </c>
      <c r="E12050" s="10">
        <v>4305974</v>
      </c>
      <c r="F12050" s="4" t="str">
        <f>IF(B12050=B12049,"",B12050)</f>
        <v/>
      </c>
    </row>
    <row r="12051" spans="1:6" ht="15.75" customHeight="1">
      <c r="A12051" s="5" t="str">
        <f ca="1">IFERROR(__xludf.DUMMYFUNCTION("GOOGLETRANSLATE(B44983,""en"",""pt"")"),"Richmond")</f>
        <v>Richmond</v>
      </c>
      <c r="B12051" s="17" t="s">
        <v>1070</v>
      </c>
      <c r="C12051" s="17" t="s">
        <v>27788</v>
      </c>
      <c r="D12051" s="17" t="s">
        <v>27801</v>
      </c>
      <c r="E12051" s="10">
        <v>5387428</v>
      </c>
      <c r="F12051" s="4" t="str">
        <f>IF(B12051=B12050,"",B12051)</f>
        <v/>
      </c>
    </row>
    <row r="12052" spans="1:6" ht="15.75" customHeight="1">
      <c r="A12052" s="5" t="str">
        <f ca="1">IFERROR(__xludf.DUMMYFUNCTION("GOOGLETRANSLATE(B45883,""en"",""pt"")"),"Richmond")</f>
        <v>Richmond</v>
      </c>
      <c r="B12052" s="17" t="s">
        <v>1070</v>
      </c>
      <c r="C12052" s="17" t="s">
        <v>23842</v>
      </c>
      <c r="D12052" s="17" t="s">
        <v>23851</v>
      </c>
      <c r="E12052" s="10">
        <v>962330</v>
      </c>
      <c r="F12052" s="4" t="str">
        <f>IF(B12052=B12051,"",B12052)</f>
        <v/>
      </c>
    </row>
    <row r="12053" spans="1:6" ht="15.75" customHeight="1">
      <c r="A12053" s="6" t="s">
        <v>29797</v>
      </c>
      <c r="B12053" s="6" t="s">
        <v>29797</v>
      </c>
      <c r="C12053" s="6" t="s">
        <v>27788</v>
      </c>
      <c r="D12053" s="6" t="s">
        <v>27733</v>
      </c>
      <c r="E12053" s="2">
        <v>5808276</v>
      </c>
      <c r="F12053" s="4" t="str">
        <f>IF(B12053=B12052,"",B12053)</f>
        <v>Richland</v>
      </c>
    </row>
    <row r="12054" spans="1:6" ht="15.75" customHeight="1">
      <c r="A12054" s="5" t="str">
        <f ca="1">IFERROR(__xludf.DUMMYFUNCTION("GOOGLETRANSLATE(B45370,""en"",""pt"")"),"Richland")</f>
        <v>Richland</v>
      </c>
      <c r="B12054" s="17" t="s">
        <v>29797</v>
      </c>
      <c r="C12054" s="17" t="s">
        <v>27788</v>
      </c>
      <c r="D12054" s="17" t="s">
        <v>27733</v>
      </c>
      <c r="E12054" s="10">
        <v>5808276</v>
      </c>
      <c r="F12054" s="4" t="str">
        <f>IF(B12054=B12053,"",B12054)</f>
        <v/>
      </c>
    </row>
    <row r="12055" spans="1:6" ht="15.75" customHeight="1">
      <c r="A12055" s="6" t="s">
        <v>13110</v>
      </c>
      <c r="B12055" s="6" t="s">
        <v>13110</v>
      </c>
      <c r="C12055" s="6" t="s">
        <v>10178</v>
      </c>
      <c r="D12055" s="6" t="s">
        <v>10193</v>
      </c>
      <c r="E12055" s="2">
        <v>1258164</v>
      </c>
      <c r="F12055" s="4" t="str">
        <f>IF(B12055=B12054,"",B12055)</f>
        <v>Richha</v>
      </c>
    </row>
    <row r="12056" spans="1:6" ht="15.75" customHeight="1">
      <c r="A12056" s="5" t="str">
        <f ca="1">IFERROR(__xludf.DUMMYFUNCTION("GOOGLETRANSLATE(B32307,""en"",""pt"")"),"Richha")</f>
        <v>Richha</v>
      </c>
      <c r="B12056" s="17" t="s">
        <v>13110</v>
      </c>
      <c r="C12056" s="17" t="s">
        <v>10178</v>
      </c>
      <c r="D12056" s="17" t="s">
        <v>10193</v>
      </c>
      <c r="E12056" s="10">
        <v>1258164</v>
      </c>
      <c r="F12056" s="4" t="str">
        <f>IF(B12056=B12055,"",B12056)</f>
        <v/>
      </c>
    </row>
    <row r="12057" spans="1:6" ht="15.75" customHeight="1">
      <c r="A12057" s="6" t="s">
        <v>29796</v>
      </c>
      <c r="B12057" s="6" t="s">
        <v>29796</v>
      </c>
      <c r="C12057" s="6" t="s">
        <v>27788</v>
      </c>
      <c r="D12057" s="6" t="s">
        <v>27824</v>
      </c>
      <c r="E12057" s="2">
        <v>5043193</v>
      </c>
      <c r="F12057" s="4" t="str">
        <f>IF(B12057=B12056,"",B12057)</f>
        <v>Richfield</v>
      </c>
    </row>
    <row r="12058" spans="1:6" ht="15.75" customHeight="1">
      <c r="A12058" s="5" t="str">
        <f ca="1">IFERROR(__xludf.DUMMYFUNCTION("GOOGLETRANSLATE(B44189,""en"",""pt"")"),"Richfield")</f>
        <v>Richfield</v>
      </c>
      <c r="B12058" s="17" t="s">
        <v>29796</v>
      </c>
      <c r="C12058" s="17" t="s">
        <v>27788</v>
      </c>
      <c r="D12058" s="17" t="s">
        <v>27824</v>
      </c>
      <c r="E12058" s="10">
        <v>5043193</v>
      </c>
      <c r="F12058" s="4" t="str">
        <f>IF(B12058=B12057,"",B12058)</f>
        <v/>
      </c>
    </row>
    <row r="12059" spans="1:6" ht="15.75" customHeight="1">
      <c r="A12059" s="5" t="s">
        <v>23590</v>
      </c>
      <c r="B12059" s="6" t="s">
        <v>23590</v>
      </c>
      <c r="C12059" s="5" t="s">
        <v>23559</v>
      </c>
      <c r="D12059" s="5" t="s">
        <v>7771</v>
      </c>
      <c r="E12059" s="2">
        <v>2246544</v>
      </c>
      <c r="F12059" s="4" t="str">
        <f>IF(B12059=B12058,"",B12059)</f>
        <v>Richard-Toll</v>
      </c>
    </row>
    <row r="12060" spans="1:6" ht="15.75" customHeight="1">
      <c r="A12060" s="5" t="str">
        <f ca="1">IFERROR(__xludf.DUMMYFUNCTION("GOOGLETRANSLATE(B41292,""en"",""pt"")"),"Richard-Toll")</f>
        <v>Richard-Toll</v>
      </c>
      <c r="B12060" s="17" t="s">
        <v>23590</v>
      </c>
      <c r="C12060" s="17" t="s">
        <v>23559</v>
      </c>
      <c r="D12060" s="17" t="s">
        <v>7771</v>
      </c>
      <c r="E12060" s="10">
        <v>2246544</v>
      </c>
      <c r="F12060" s="4" t="str">
        <f>IF(B12060=B12059,"",B12060)</f>
        <v/>
      </c>
    </row>
    <row r="12061" spans="1:6" ht="15.75" customHeight="1">
      <c r="A12061" s="5" t="s">
        <v>23969</v>
      </c>
      <c r="B12061" s="6" t="s">
        <v>23969</v>
      </c>
      <c r="C12061" s="5" t="s">
        <v>23842</v>
      </c>
      <c r="D12061" s="5" t="s">
        <v>23851</v>
      </c>
      <c r="E12061" s="2">
        <v>962367</v>
      </c>
      <c r="F12061" s="4" t="str">
        <f>IF(B12061=B12060,"",B12061)</f>
        <v>Richards Bay</v>
      </c>
    </row>
    <row r="12062" spans="1:6" ht="15.75" customHeight="1">
      <c r="A12062" s="5" t="str">
        <f ca="1">IFERROR(__xludf.DUMMYFUNCTION("GOOGLETRANSLATE(B45884,""en"",""pt"")"),"Richards Bay")</f>
        <v>Richards Bay</v>
      </c>
      <c r="B12062" s="17" t="s">
        <v>23969</v>
      </c>
      <c r="C12062" s="17" t="s">
        <v>23842</v>
      </c>
      <c r="D12062" s="17" t="s">
        <v>23851</v>
      </c>
      <c r="E12062" s="10">
        <v>962367</v>
      </c>
      <c r="F12062" s="4" t="str">
        <f>IF(B12062=B12061,"",B12062)</f>
        <v/>
      </c>
    </row>
    <row r="12063" spans="1:6" ht="15.75" customHeight="1">
      <c r="A12063" s="6" t="s">
        <v>15409</v>
      </c>
      <c r="B12063" s="6" t="s">
        <v>15409</v>
      </c>
      <c r="C12063" s="6" t="s">
        <v>14891</v>
      </c>
      <c r="D12063" s="6" t="s">
        <v>14973</v>
      </c>
      <c r="E12063" s="2">
        <v>3169424</v>
      </c>
      <c r="F12063" s="4" t="str">
        <f>IF(B12063=B12062,"",B12063)</f>
        <v>Riccione</v>
      </c>
    </row>
    <row r="12064" spans="1:6" ht="15.75" customHeight="1">
      <c r="A12064" s="5" t="str">
        <f ca="1">IFERROR(__xludf.DUMMYFUNCTION("GOOGLETRANSLATE(B34745,""en"",""pt"")"),"Riccione")</f>
        <v>Riccione</v>
      </c>
      <c r="B12064" s="17" t="s">
        <v>15409</v>
      </c>
      <c r="C12064" s="17" t="s">
        <v>14891</v>
      </c>
      <c r="D12064" s="17" t="s">
        <v>14973</v>
      </c>
      <c r="E12064" s="10">
        <v>3169424</v>
      </c>
      <c r="F12064" s="4" t="str">
        <f>IF(B12064=B12063,"",B12064)</f>
        <v/>
      </c>
    </row>
    <row r="12065" spans="1:6" ht="15.75" customHeight="1">
      <c r="A12065" s="5" t="s">
        <v>9050</v>
      </c>
      <c r="B12065" s="6" t="s">
        <v>9050</v>
      </c>
      <c r="C12065" s="5" t="s">
        <v>8028</v>
      </c>
      <c r="D12065" s="5" t="s">
        <v>8436</v>
      </c>
      <c r="E12065" s="2">
        <v>2847524</v>
      </c>
      <c r="F12065" s="4" t="str">
        <f>IF(B12065=B12064,"",B12065)</f>
        <v>Ribnitz-Damgarten</v>
      </c>
    </row>
    <row r="12066" spans="1:6" ht="15.75" customHeight="1">
      <c r="A12066" s="5" t="str">
        <f ca="1">IFERROR(__xludf.DUMMYFUNCTION("GOOGLETRANSLATE(B27601,""en"",""pt"")"),"Ribnitz-Damgarten")</f>
        <v>Ribnitz-Damgarten</v>
      </c>
      <c r="B12066" s="17" t="s">
        <v>9050</v>
      </c>
      <c r="C12066" s="17" t="s">
        <v>8028</v>
      </c>
      <c r="D12066" s="17" t="s">
        <v>8436</v>
      </c>
      <c r="E12066" s="10">
        <v>2847524</v>
      </c>
      <c r="F12066" s="4" t="str">
        <f>IF(B12066=B12065,"",B12066)</f>
        <v/>
      </c>
    </row>
    <row r="12067" spans="1:6" ht="15.75" customHeight="1">
      <c r="A12067" s="5" t="str">
        <f ca="1">IFERROR(__xludf.DUMMYFUNCTION("GOOGLETRANSLATE(B36533,""en"",""pt"")"),"Rîbniţa")</f>
        <v>Rîbniţa</v>
      </c>
      <c r="B12067" s="17" t="s">
        <v>34602</v>
      </c>
      <c r="C12067" s="17" t="s">
        <v>18455</v>
      </c>
      <c r="D12067" s="17" t="s">
        <v>34599</v>
      </c>
      <c r="E12067" s="10">
        <v>617486</v>
      </c>
      <c r="F12067" s="4" t="str">
        <f>IF(B12067=B12066,"",B12067)</f>
        <v>Rîbniţa</v>
      </c>
    </row>
    <row r="12068" spans="1:6" ht="15.75" customHeight="1">
      <c r="A12068" s="6" t="s">
        <v>1823</v>
      </c>
      <c r="B12068" s="6" t="s">
        <v>1823</v>
      </c>
      <c r="C12068" s="6" t="s">
        <v>1806</v>
      </c>
      <c r="D12068" s="6" t="s">
        <v>1813</v>
      </c>
      <c r="E12068" s="2">
        <v>3906466</v>
      </c>
      <c r="F12068" s="4" t="str">
        <f>IF(B12068=B12067,"",B12068)</f>
        <v>Riberalta</v>
      </c>
    </row>
    <row r="12069" spans="1:6" ht="15.75" customHeight="1">
      <c r="A12069" s="5" t="str">
        <f ca="1">IFERROR(__xludf.DUMMYFUNCTION("GOOGLETRANSLATE(B24128,""en"",""pt"")"),"Riberalta")</f>
        <v>Riberalta</v>
      </c>
      <c r="B12069" s="17" t="s">
        <v>1823</v>
      </c>
      <c r="C12069" s="17" t="s">
        <v>1806</v>
      </c>
      <c r="D12069" s="17" t="s">
        <v>1813</v>
      </c>
      <c r="E12069" s="10">
        <v>3906466</v>
      </c>
      <c r="F12069" s="4" t="str">
        <f>IF(B12069=B12068,"",B12069)</f>
        <v/>
      </c>
    </row>
    <row r="12070" spans="1:6" ht="15.75" customHeight="1">
      <c r="A12070" s="6" t="s">
        <v>15408</v>
      </c>
      <c r="B12070" s="6" t="s">
        <v>15408</v>
      </c>
      <c r="C12070" s="6" t="s">
        <v>14891</v>
      </c>
      <c r="D12070" s="6" t="s">
        <v>14899</v>
      </c>
      <c r="E12070" s="2">
        <v>2523619</v>
      </c>
      <c r="F12070" s="4" t="str">
        <f>IF(B12070=B12069,"",B12070)</f>
        <v>Ribera</v>
      </c>
    </row>
    <row r="12071" spans="1:6" ht="15.75" customHeight="1">
      <c r="A12071" s="5" t="str">
        <f ca="1">IFERROR(__xludf.DUMMYFUNCTION("GOOGLETRANSLATE(B34557,""en"",""pt"")"),"Ribera")</f>
        <v>Ribera</v>
      </c>
      <c r="B12071" s="17" t="s">
        <v>15408</v>
      </c>
      <c r="C12071" s="17" t="s">
        <v>14891</v>
      </c>
      <c r="D12071" s="17" t="s">
        <v>14899</v>
      </c>
      <c r="E12071" s="10">
        <v>2523619</v>
      </c>
      <c r="F12071" s="4" t="str">
        <f>IF(B12071=B12070,"",B12071)</f>
        <v/>
      </c>
    </row>
    <row r="12072" spans="1:6" ht="15.75" customHeight="1">
      <c r="A12072" s="5" t="str">
        <f ca="1">IFERROR(__xludf.DUMMYFUNCTION("GOOGLETRANSLATE(B24648,""en"",""pt"")"),"Ribeirão preto")</f>
        <v>Ribeirão preto</v>
      </c>
      <c r="B12072" s="17" t="s">
        <v>31531</v>
      </c>
      <c r="C12072" s="17" t="s">
        <v>1905</v>
      </c>
      <c r="D12072" s="17" t="s">
        <v>3354</v>
      </c>
      <c r="E12072" s="10">
        <v>3451328</v>
      </c>
      <c r="F12072" s="4" t="str">
        <f>IF(B12072=B12071,"",B12072)</f>
        <v>Ribeirão Preto</v>
      </c>
    </row>
    <row r="12073" spans="1:6" ht="15.75" customHeight="1">
      <c r="A12073" s="5" t="str">
        <f ca="1">IFERROR(__xludf.DUMMYFUNCTION("GOOGLETRANSLATE(B24649,""en"",""pt"")"),"Ribeirão Pires")</f>
        <v>Ribeirão Pires</v>
      </c>
      <c r="B12073" s="17" t="s">
        <v>31532</v>
      </c>
      <c r="C12073" s="17" t="s">
        <v>1905</v>
      </c>
      <c r="D12073" s="17" t="s">
        <v>3354</v>
      </c>
      <c r="E12073" s="10">
        <v>3451329</v>
      </c>
      <c r="F12073" s="4" t="str">
        <f>IF(B12073=B12072,"",B12073)</f>
        <v>Ribeirão Pires</v>
      </c>
    </row>
    <row r="12074" spans="1:6" ht="15.75" customHeight="1">
      <c r="A12074" s="5" t="str">
        <f ca="1">IFERROR(__xludf.DUMMYFUNCTION("GOOGLETRANSLATE(B24650,""en"",""pt"")"),"Ribeirão das Neves")</f>
        <v>Ribeirão das Neves</v>
      </c>
      <c r="B12074" s="17" t="s">
        <v>31533</v>
      </c>
      <c r="C12074" s="17" t="s">
        <v>1905</v>
      </c>
      <c r="D12074" s="17" t="s">
        <v>1917</v>
      </c>
      <c r="E12074" s="10">
        <v>3451353</v>
      </c>
      <c r="F12074" s="4" t="str">
        <f>IF(B12074=B12073,"",B12074)</f>
        <v>Ribeirão das Neves</v>
      </c>
    </row>
    <row r="12075" spans="1:6" ht="15.75" customHeight="1">
      <c r="A12075" s="5" t="str">
        <f ca="1">IFERROR(__xludf.DUMMYFUNCTION("GOOGLETRANSLATE(B24651,""en"",""pt"")"),"Ribeirão da ilha")</f>
        <v>Ribeirão da ilha</v>
      </c>
      <c r="B12075" s="17" t="s">
        <v>31534</v>
      </c>
      <c r="C12075" s="17" t="s">
        <v>1905</v>
      </c>
      <c r="D12075" s="17" t="s">
        <v>2020</v>
      </c>
      <c r="E12075" s="10">
        <v>3451357</v>
      </c>
      <c r="F12075" s="4" t="str">
        <f>IF(B12075=B12074,"",B12075)</f>
        <v>Ribeirão da Ilha</v>
      </c>
    </row>
    <row r="12076" spans="1:6" ht="15.75" customHeight="1">
      <c r="A12076" s="5" t="str">
        <f ca="1">IFERROR(__xludf.DUMMYFUNCTION("GOOGLETRANSLATE(B24213,""en"",""pt"")"),"Ribeirão")</f>
        <v>Ribeirão</v>
      </c>
      <c r="B12076" s="17" t="s">
        <v>31378</v>
      </c>
      <c r="C12076" s="17" t="s">
        <v>1905</v>
      </c>
      <c r="D12076" s="17" t="s">
        <v>1909</v>
      </c>
      <c r="E12076" s="10">
        <v>3390326</v>
      </c>
      <c r="F12076" s="4" t="str">
        <f>IF(B12076=B12075,"",B12076)</f>
        <v>Ribeirão</v>
      </c>
    </row>
    <row r="12077" spans="1:6" ht="15.75" customHeight="1">
      <c r="A12077" s="5" t="s">
        <v>3212</v>
      </c>
      <c r="B12077" s="6" t="s">
        <v>3213</v>
      </c>
      <c r="C12077" s="5" t="s">
        <v>1905</v>
      </c>
      <c r="D12077" s="5" t="s">
        <v>1914</v>
      </c>
      <c r="E12077" s="2">
        <v>3451328</v>
      </c>
      <c r="F12077" s="4" t="str">
        <f>IF(B12077=B12076,"",B12077)</f>
        <v>RibeirÃ£o Preto</v>
      </c>
    </row>
    <row r="12078" spans="1:6" ht="15.75" customHeight="1">
      <c r="A12078" s="5" t="s">
        <v>3210</v>
      </c>
      <c r="B12078" s="6" t="s">
        <v>3211</v>
      </c>
      <c r="C12078" s="5" t="s">
        <v>1905</v>
      </c>
      <c r="D12078" s="5" t="s">
        <v>1914</v>
      </c>
      <c r="E12078" s="2">
        <v>3451329</v>
      </c>
      <c r="F12078" s="4" t="str">
        <f>IF(B12078=B12077,"",B12078)</f>
        <v>RibeirÃ£o Pires</v>
      </c>
    </row>
    <row r="12079" spans="1:6" ht="15.75" customHeight="1">
      <c r="A12079" s="5" t="s">
        <v>3208</v>
      </c>
      <c r="B12079" s="6" t="s">
        <v>3209</v>
      </c>
      <c r="C12079" s="5" t="s">
        <v>1905</v>
      </c>
      <c r="D12079" s="5" t="s">
        <v>1917</v>
      </c>
      <c r="E12079" s="2">
        <v>3451353</v>
      </c>
      <c r="F12079" s="4" t="str">
        <f>IF(B12079=B12078,"",B12079)</f>
        <v>RibeirÃ£o das Neves</v>
      </c>
    </row>
    <row r="12080" spans="1:6" ht="15.75" customHeight="1">
      <c r="A12080" s="5" t="s">
        <v>3206</v>
      </c>
      <c r="B12080" s="6" t="s">
        <v>3207</v>
      </c>
      <c r="C12080" s="5" t="s">
        <v>1905</v>
      </c>
      <c r="D12080" s="5" t="s">
        <v>2020</v>
      </c>
      <c r="E12080" s="2">
        <v>3451357</v>
      </c>
      <c r="F12080" s="4" t="str">
        <f>IF(B12080=B12079,"",B12080)</f>
        <v>RibeirÃ£o da Ilha</v>
      </c>
    </row>
    <row r="12081" spans="1:6" ht="15.75" customHeight="1">
      <c r="A12081" s="6" t="s">
        <v>3204</v>
      </c>
      <c r="B12081" s="6" t="s">
        <v>3205</v>
      </c>
      <c r="C12081" s="6" t="s">
        <v>1905</v>
      </c>
      <c r="D12081" s="6" t="s">
        <v>1909</v>
      </c>
      <c r="E12081" s="2">
        <v>3390326</v>
      </c>
      <c r="F12081" s="4" t="str">
        <f>IF(B12081=B12080,"",B12081)</f>
        <v>RibeirÃ£o</v>
      </c>
    </row>
    <row r="12082" spans="1:6" ht="15.75" customHeight="1">
      <c r="A12082" s="5" t="s">
        <v>3203</v>
      </c>
      <c r="B12082" s="6" t="s">
        <v>3203</v>
      </c>
      <c r="C12082" s="5" t="s">
        <v>1905</v>
      </c>
      <c r="D12082" s="5" t="s">
        <v>1947</v>
      </c>
      <c r="E12082" s="2">
        <v>3451383</v>
      </c>
      <c r="F12082" s="4" t="str">
        <f>IF(B12082=B12081,"",B12082)</f>
        <v>Ribeira do Pombal</v>
      </c>
    </row>
    <row r="12083" spans="1:6" ht="15.75" customHeight="1">
      <c r="A12083" s="5" t="str">
        <f ca="1">IFERROR(__xludf.DUMMYFUNCTION("GOOGLETRANSLATE(B24652,""en"",""pt"")"),"Ribeira do Pombal")</f>
        <v>Ribeira do Pombal</v>
      </c>
      <c r="B12083" s="17" t="s">
        <v>3203</v>
      </c>
      <c r="C12083" s="17" t="s">
        <v>1905</v>
      </c>
      <c r="D12083" s="17" t="s">
        <v>1947</v>
      </c>
      <c r="E12083" s="10">
        <v>3451383</v>
      </c>
      <c r="F12083" s="4" t="str">
        <f>IF(B12083=B12082,"",B12083)</f>
        <v/>
      </c>
    </row>
    <row r="12084" spans="1:6" ht="15.75" customHeight="1">
      <c r="A12084" s="6" t="s">
        <v>24731</v>
      </c>
      <c r="B12084" s="6" t="s">
        <v>24731</v>
      </c>
      <c r="C12084" s="6" t="s">
        <v>24200</v>
      </c>
      <c r="D12084" s="6" t="s">
        <v>24201</v>
      </c>
      <c r="E12084" s="2">
        <v>3111807</v>
      </c>
      <c r="F12084" s="4" t="str">
        <f>IF(B12084=B12083,"",B12084)</f>
        <v>Ribeira</v>
      </c>
    </row>
    <row r="12085" spans="1:6" ht="15.75" customHeight="1">
      <c r="A12085" s="5" t="str">
        <f ca="1">IFERROR(__xludf.DUMMYFUNCTION("GOOGLETRANSLATE(B29314,""en"",""pt"")"),"Ribeira")</f>
        <v>Ribeira</v>
      </c>
      <c r="B12085" s="17" t="s">
        <v>24731</v>
      </c>
      <c r="C12085" s="17" t="s">
        <v>24200</v>
      </c>
      <c r="D12085" s="17" t="s">
        <v>24201</v>
      </c>
      <c r="E12085" s="10">
        <v>3111807</v>
      </c>
      <c r="F12085" s="4" t="str">
        <f>IF(B12085=B12084,"",B12085)</f>
        <v/>
      </c>
    </row>
    <row r="12086" spans="1:6" ht="15.75" customHeight="1">
      <c r="A12086" s="6" t="s">
        <v>24730</v>
      </c>
      <c r="B12086" s="6" t="s">
        <v>24730</v>
      </c>
      <c r="C12086" s="6" t="s">
        <v>24200</v>
      </c>
      <c r="D12086" s="6" t="s">
        <v>21053</v>
      </c>
      <c r="E12086" s="2">
        <v>2511880</v>
      </c>
      <c r="F12086" s="4" t="str">
        <f>IF(B12086=B12085,"",B12086)</f>
        <v>Ribarroja</v>
      </c>
    </row>
    <row r="12087" spans="1:6" ht="15.75" customHeight="1">
      <c r="A12087" s="5" t="str">
        <f ca="1">IFERROR(__xludf.DUMMYFUNCTION("GOOGLETRANSLATE(B29013,""en"",""pt"")"),"Ribarroja")</f>
        <v>Ribarroja</v>
      </c>
      <c r="B12087" s="17" t="s">
        <v>24730</v>
      </c>
      <c r="C12087" s="17" t="s">
        <v>24200</v>
      </c>
      <c r="D12087" s="17" t="s">
        <v>21053</v>
      </c>
      <c r="E12087" s="10">
        <v>2511880</v>
      </c>
      <c r="F12087" s="4" t="str">
        <f>IF(B12087=B12086,"",B12087)</f>
        <v/>
      </c>
    </row>
    <row r="12088" spans="1:6" ht="15.75" customHeight="1">
      <c r="A12088" s="6" t="s">
        <v>29795</v>
      </c>
      <c r="B12088" s="6" t="s">
        <v>29795</v>
      </c>
      <c r="C12088" s="6" t="s">
        <v>27788</v>
      </c>
      <c r="D12088" s="6" t="s">
        <v>27801</v>
      </c>
      <c r="E12088" s="2">
        <v>5387288</v>
      </c>
      <c r="F12088" s="4" t="str">
        <f>IF(B12088=B12087,"",B12088)</f>
        <v>Rialto</v>
      </c>
    </row>
    <row r="12089" spans="1:6" ht="15.75" customHeight="1">
      <c r="A12089" s="5" t="str">
        <f ca="1">IFERROR(__xludf.DUMMYFUNCTION("GOOGLETRANSLATE(B44982,""en"",""pt"")"),"Rialto")</f>
        <v>Rialto</v>
      </c>
      <c r="B12089" s="17" t="s">
        <v>29795</v>
      </c>
      <c r="C12089" s="17" t="s">
        <v>27788</v>
      </c>
      <c r="D12089" s="17" t="s">
        <v>27801</v>
      </c>
      <c r="E12089" s="10">
        <v>5387288</v>
      </c>
      <c r="F12089" s="4" t="str">
        <f>IF(B12089=B12088,"",B12089)</f>
        <v/>
      </c>
    </row>
    <row r="12090" spans="1:6" ht="15.75" customHeight="1">
      <c r="A12090" s="5" t="str">
        <f ca="1">IFERROR(__xludf.DUMMYFUNCTION("GOOGLETRANSLATE(B24653,""en"",""pt"")"),"Riachão do Jacuípe")</f>
        <v>Riachão do Jacuípe</v>
      </c>
      <c r="B12090" s="17" t="s">
        <v>31535</v>
      </c>
      <c r="C12090" s="17" t="s">
        <v>1905</v>
      </c>
      <c r="D12090" s="17" t="s">
        <v>1947</v>
      </c>
      <c r="E12090" s="10">
        <v>3451474</v>
      </c>
      <c r="F12090" s="4" t="str">
        <f>IF(B12090=B12089,"",B12090)</f>
        <v>Riachão do Jacuípe</v>
      </c>
    </row>
    <row r="12091" spans="1:6" ht="15.75" customHeight="1">
      <c r="A12091" s="5" t="s">
        <v>3201</v>
      </c>
      <c r="B12091" s="6" t="s">
        <v>3202</v>
      </c>
      <c r="C12091" s="5" t="s">
        <v>1905</v>
      </c>
      <c r="D12091" s="5" t="s">
        <v>1947</v>
      </c>
      <c r="E12091" s="2">
        <v>3451474</v>
      </c>
      <c r="F12091" s="4" t="str">
        <f>IF(B12091=B12090,"",B12091)</f>
        <v>RiachÃ£o do JacuÃ­pe</v>
      </c>
    </row>
    <row r="12092" spans="1:6" ht="15.75" customHeight="1">
      <c r="A12092" s="6" t="s">
        <v>27635</v>
      </c>
      <c r="B12092" s="6" t="s">
        <v>27635</v>
      </c>
      <c r="C12092" s="6" t="s">
        <v>27234</v>
      </c>
      <c r="D12092" s="6" t="s">
        <v>27235</v>
      </c>
      <c r="E12092" s="2">
        <v>2639409</v>
      </c>
      <c r="F12092" s="4" t="str">
        <f>IF(B12092=B12091,"",B12092)</f>
        <v>Rhyl</v>
      </c>
    </row>
    <row r="12093" spans="1:6" ht="15.75" customHeight="1">
      <c r="A12093" s="5" t="str">
        <f ca="1">IFERROR(__xludf.DUMMYFUNCTION("GOOGLETRANSLATE(B30446,""en"",""pt"")"),"Rhyl")</f>
        <v>Rhyl</v>
      </c>
      <c r="B12093" s="17" t="s">
        <v>27635</v>
      </c>
      <c r="C12093" s="17" t="s">
        <v>27234</v>
      </c>
      <c r="D12093" s="17" t="s">
        <v>27235</v>
      </c>
      <c r="E12093" s="10">
        <v>2639409</v>
      </c>
      <c r="F12093" s="4" t="str">
        <f>IF(B12093=B12092,"",B12093)</f>
        <v/>
      </c>
    </row>
    <row r="12094" spans="1:6" ht="15.75" customHeight="1">
      <c r="A12094" s="6" t="s">
        <v>19071</v>
      </c>
      <c r="B12094" s="6" t="s">
        <v>19072</v>
      </c>
      <c r="C12094" s="6" t="s">
        <v>18862</v>
      </c>
      <c r="D12094" s="6" t="s">
        <v>18868</v>
      </c>
      <c r="E12094" s="2">
        <v>2748178</v>
      </c>
      <c r="F12094" s="4" t="str">
        <f>IF(B12094=B12093,"",B12094)</f>
        <v>Rhoon</v>
      </c>
    </row>
    <row r="12095" spans="1:6" ht="15.75" customHeight="1">
      <c r="A12095" s="5" t="str">
        <f ca="1">IFERROR(__xludf.DUMMYFUNCTION("GOOGLETRANSLATE(B37969,""en"",""pt"")"),"RHOON")</f>
        <v>RHOON</v>
      </c>
      <c r="B12095" s="17" t="s">
        <v>19072</v>
      </c>
      <c r="C12095" s="17" t="s">
        <v>18862</v>
      </c>
      <c r="D12095" s="17" t="s">
        <v>18868</v>
      </c>
      <c r="E12095" s="10">
        <v>2748178</v>
      </c>
      <c r="F12095" s="4" t="str">
        <f>IF(B12095=B12094,"",B12095)</f>
        <v/>
      </c>
    </row>
    <row r="12096" spans="1:6" ht="15.75" customHeight="1">
      <c r="A12096" s="6" t="s">
        <v>27634</v>
      </c>
      <c r="B12096" s="6" t="s">
        <v>27634</v>
      </c>
      <c r="C12096" s="6" t="s">
        <v>27234</v>
      </c>
      <c r="D12096" s="6" t="s">
        <v>27235</v>
      </c>
      <c r="E12096" s="2">
        <v>2639447</v>
      </c>
      <c r="F12096" s="4" t="str">
        <f>IF(B12096=B12095,"",B12096)</f>
        <v>Rhondda</v>
      </c>
    </row>
    <row r="12097" spans="1:6" ht="15.75" customHeight="1">
      <c r="A12097" s="5" t="str">
        <f ca="1">IFERROR(__xludf.DUMMYFUNCTION("GOOGLETRANSLATE(B30447,""en"",""pt"")"),"Rhondda")</f>
        <v>Rhondda</v>
      </c>
      <c r="B12097" s="17" t="s">
        <v>27634</v>
      </c>
      <c r="C12097" s="17" t="s">
        <v>27234</v>
      </c>
      <c r="D12097" s="17" t="s">
        <v>27235</v>
      </c>
      <c r="E12097" s="10">
        <v>2639447</v>
      </c>
      <c r="F12097" s="4" t="str">
        <f>IF(B12097=B12096,"",B12097)</f>
        <v/>
      </c>
    </row>
    <row r="12098" spans="1:6" ht="15.75" customHeight="1">
      <c r="A12098" s="6" t="s">
        <v>15407</v>
      </c>
      <c r="B12098" s="6" t="s">
        <v>15407</v>
      </c>
      <c r="C12098" s="6" t="s">
        <v>14891</v>
      </c>
      <c r="D12098" s="6" t="s">
        <v>14894</v>
      </c>
      <c r="E12098" s="2">
        <v>3169447</v>
      </c>
      <c r="F12098" s="4" t="str">
        <f>IF(B12098=B12097,"",B12098)</f>
        <v>Rho</v>
      </c>
    </row>
    <row r="12099" spans="1:6" ht="15.75" customHeight="1">
      <c r="A12099" s="5" t="str">
        <f ca="1">IFERROR(__xludf.DUMMYFUNCTION("GOOGLETRANSLATE(B34746,""en"",""pt"")"),"Rho")</f>
        <v>Rho</v>
      </c>
      <c r="B12099" s="17" t="s">
        <v>15407</v>
      </c>
      <c r="C12099" s="17" t="s">
        <v>14891</v>
      </c>
      <c r="D12099" s="17" t="s">
        <v>14894</v>
      </c>
      <c r="E12099" s="10">
        <v>3169447</v>
      </c>
      <c r="F12099" s="4" t="str">
        <f>IF(B12099=B12098,"",B12099)</f>
        <v/>
      </c>
    </row>
    <row r="12100" spans="1:6" ht="15.75" customHeight="1">
      <c r="A12100" s="6" t="s">
        <v>19070</v>
      </c>
      <c r="B12100" s="6" t="s">
        <v>19070</v>
      </c>
      <c r="C12100" s="6" t="s">
        <v>18862</v>
      </c>
      <c r="D12100" s="6" t="s">
        <v>18877</v>
      </c>
      <c r="E12100" s="2">
        <v>2748185</v>
      </c>
      <c r="F12100" s="4" t="str">
        <f>IF(B12100=B12099,"",B12100)</f>
        <v>Rhenen</v>
      </c>
    </row>
    <row r="12101" spans="1:6" ht="15.75" customHeight="1">
      <c r="A12101" s="5" t="str">
        <f ca="1">IFERROR(__xludf.DUMMYFUNCTION("GOOGLETRANSLATE(B37970,""en"",""pt"")"),"Rhenen")</f>
        <v>Rhenen</v>
      </c>
      <c r="B12101" s="17" t="s">
        <v>19070</v>
      </c>
      <c r="C12101" s="17" t="s">
        <v>18862</v>
      </c>
      <c r="D12101" s="17" t="s">
        <v>18877</v>
      </c>
      <c r="E12101" s="10">
        <v>2748185</v>
      </c>
      <c r="F12101" s="4" t="str">
        <f>IF(B12101=B12100,"",B12101)</f>
        <v/>
      </c>
    </row>
    <row r="12102" spans="1:6" ht="15.75" customHeight="1">
      <c r="A12102" s="5" t="s">
        <v>9049</v>
      </c>
      <c r="B12102" s="6" t="s">
        <v>9049</v>
      </c>
      <c r="C12102" s="5" t="s">
        <v>8028</v>
      </c>
      <c r="D12102" s="5" t="s">
        <v>8031</v>
      </c>
      <c r="E12102" s="2">
        <v>6558039</v>
      </c>
      <c r="F12102" s="4" t="str">
        <f>IF(B12102=B12101,"",B12102)</f>
        <v>Rheinstetten</v>
      </c>
    </row>
    <row r="12103" spans="1:6" ht="15.75" customHeight="1">
      <c r="A12103" s="5" t="str">
        <f ca="1">IFERROR(__xludf.DUMMYFUNCTION("GOOGLETRANSLATE(B28368,""en"",""pt"")"),"Rheinstetten")</f>
        <v>Rheinstetten</v>
      </c>
      <c r="B12103" s="17" t="s">
        <v>9049</v>
      </c>
      <c r="C12103" s="17" t="s">
        <v>8028</v>
      </c>
      <c r="D12103" s="17" t="s">
        <v>32013</v>
      </c>
      <c r="E12103" s="10">
        <v>6558039</v>
      </c>
      <c r="F12103" s="4" t="str">
        <f>IF(B12103=B12102,"",B12103)</f>
        <v/>
      </c>
    </row>
    <row r="12104" spans="1:6" ht="15.75" customHeight="1">
      <c r="A12104" s="5" t="s">
        <v>9048</v>
      </c>
      <c r="B12104" s="6" t="s">
        <v>9048</v>
      </c>
      <c r="C12104" s="5" t="s">
        <v>8028</v>
      </c>
      <c r="D12104" s="5" t="s">
        <v>8031</v>
      </c>
      <c r="E12104" s="2">
        <v>2847639</v>
      </c>
      <c r="F12104" s="4" t="str">
        <f>IF(B12104=B12103,"",B12104)</f>
        <v>Rheinfelden (Baden)</v>
      </c>
    </row>
    <row r="12105" spans="1:6" ht="15.75" customHeight="1">
      <c r="A12105" s="5" t="str">
        <f ca="1">IFERROR(__xludf.DUMMYFUNCTION("GOOGLETRANSLATE(B27602,""en"",""pt"")"),"Rheinfelden (Baden)")</f>
        <v>Rheinfelden (Baden)</v>
      </c>
      <c r="B12105" s="17" t="s">
        <v>9048</v>
      </c>
      <c r="C12105" s="17" t="s">
        <v>8028</v>
      </c>
      <c r="D12105" s="17" t="s">
        <v>32013</v>
      </c>
      <c r="E12105" s="10">
        <v>2847639</v>
      </c>
      <c r="F12105" s="4" t="str">
        <f>IF(B12105=B12104,"",B12105)</f>
        <v/>
      </c>
    </row>
    <row r="12106" spans="1:6" ht="15.75" customHeight="1">
      <c r="A12106" s="6" t="s">
        <v>9047</v>
      </c>
      <c r="B12106" s="6" t="s">
        <v>9047</v>
      </c>
      <c r="C12106" s="6" t="s">
        <v>8028</v>
      </c>
      <c r="D12106" s="6" t="s">
        <v>8029</v>
      </c>
      <c r="E12106" s="2">
        <v>2847645</v>
      </c>
      <c r="F12106" s="4" t="str">
        <f>IF(B12106=B12105,"",B12106)</f>
        <v>Rheine</v>
      </c>
    </row>
    <row r="12107" spans="1:6" ht="15.75" customHeight="1">
      <c r="A12107" s="5" t="str">
        <f ca="1">IFERROR(__xludf.DUMMYFUNCTION("GOOGLETRANSLATE(B27603,""en"",""pt"")"),"Rheine")</f>
        <v>Rheine</v>
      </c>
      <c r="B12107" s="17" t="s">
        <v>9047</v>
      </c>
      <c r="C12107" s="17" t="s">
        <v>8028</v>
      </c>
      <c r="D12107" s="17" t="s">
        <v>8029</v>
      </c>
      <c r="E12107" s="10">
        <v>2847645</v>
      </c>
      <c r="F12107" s="4" t="str">
        <f>IF(B12107=B12106,"",B12107)</f>
        <v/>
      </c>
    </row>
    <row r="12108" spans="1:6" ht="15.75" customHeight="1">
      <c r="A12108" s="5" t="s">
        <v>9046</v>
      </c>
      <c r="B12108" s="6" t="s">
        <v>9046</v>
      </c>
      <c r="C12108" s="5" t="s">
        <v>8028</v>
      </c>
      <c r="D12108" s="5" t="s">
        <v>8029</v>
      </c>
      <c r="E12108" s="2">
        <v>2847662</v>
      </c>
      <c r="F12108" s="4" t="str">
        <f>IF(B12108=B12107,"",B12108)</f>
        <v>Rheinberg</v>
      </c>
    </row>
    <row r="12109" spans="1:6" ht="15.75" customHeight="1">
      <c r="A12109" s="5" t="str">
        <f ca="1">IFERROR(__xludf.DUMMYFUNCTION("GOOGLETRANSLATE(B27604,""en"",""pt"")"),"Rheinberg")</f>
        <v>Rheinberg</v>
      </c>
      <c r="B12109" s="17" t="s">
        <v>9046</v>
      </c>
      <c r="C12109" s="17" t="s">
        <v>8028</v>
      </c>
      <c r="D12109" s="17" t="s">
        <v>8029</v>
      </c>
      <c r="E12109" s="10">
        <v>2847662</v>
      </c>
      <c r="F12109" s="4" t="str">
        <f>IF(B12109=B12108,"",B12109)</f>
        <v/>
      </c>
    </row>
    <row r="12110" spans="1:6" ht="15.75" customHeight="1">
      <c r="A12110" s="5" t="s">
        <v>9045</v>
      </c>
      <c r="B12110" s="6" t="s">
        <v>9045</v>
      </c>
      <c r="C12110" s="5" t="s">
        <v>8028</v>
      </c>
      <c r="D12110" s="5" t="s">
        <v>8029</v>
      </c>
      <c r="E12110" s="2">
        <v>2847666</v>
      </c>
      <c r="F12110" s="4" t="str">
        <f>IF(B12110=B12109,"",B12110)</f>
        <v>Rheinbach</v>
      </c>
    </row>
    <row r="12111" spans="1:6" ht="15.75" customHeight="1">
      <c r="A12111" s="5" t="str">
        <f ca="1">IFERROR(__xludf.DUMMYFUNCTION("GOOGLETRANSLATE(B27605,""en"",""pt"")"),"Rheinbach")</f>
        <v>Rheinbach</v>
      </c>
      <c r="B12111" s="17" t="s">
        <v>9045</v>
      </c>
      <c r="C12111" s="17" t="s">
        <v>8028</v>
      </c>
      <c r="D12111" s="17" t="s">
        <v>8029</v>
      </c>
      <c r="E12111" s="10">
        <v>2847666</v>
      </c>
      <c r="F12111" s="4" t="str">
        <f>IF(B12111=B12110,"",B12111)</f>
        <v/>
      </c>
    </row>
    <row r="12112" spans="1:6" ht="15.75" customHeight="1">
      <c r="A12112" s="6" t="s">
        <v>9044</v>
      </c>
      <c r="B12112" s="6" t="s">
        <v>9044</v>
      </c>
      <c r="C12112" s="6" t="s">
        <v>8028</v>
      </c>
      <c r="D12112" s="6" t="s">
        <v>8029</v>
      </c>
      <c r="E12112" s="2">
        <v>2847689</v>
      </c>
      <c r="F12112" s="4" t="str">
        <f>IF(B12112=B12111,"",B12112)</f>
        <v>Rhede</v>
      </c>
    </row>
    <row r="12113" spans="1:6" ht="15.75" customHeight="1">
      <c r="A12113" s="5" t="str">
        <f ca="1">IFERROR(__xludf.DUMMYFUNCTION("GOOGLETRANSLATE(B27606,""en"",""pt"")"),"Rhede")</f>
        <v>Rhede</v>
      </c>
      <c r="B12113" s="17" t="s">
        <v>9044</v>
      </c>
      <c r="C12113" s="17" t="s">
        <v>8028</v>
      </c>
      <c r="D12113" s="17" t="s">
        <v>8029</v>
      </c>
      <c r="E12113" s="10">
        <v>2847689</v>
      </c>
      <c r="F12113" s="4" t="str">
        <f>IF(B12113=B12112,"",B12113)</f>
        <v/>
      </c>
    </row>
    <row r="12114" spans="1:6" ht="15.75" customHeight="1">
      <c r="A12114" s="5" t="str">
        <f ca="1">IFERROR(__xludf.DUMMYFUNCTION("GOOGLETRANSLATE(B27607,""en"",""pt"")"),"Rheda-Wiedenbrück")</f>
        <v>Rheda-Wiedenbrück</v>
      </c>
      <c r="B12114" s="17" t="s">
        <v>32038</v>
      </c>
      <c r="C12114" s="17" t="s">
        <v>8028</v>
      </c>
      <c r="D12114" s="17" t="s">
        <v>8029</v>
      </c>
      <c r="E12114" s="10">
        <v>2847690</v>
      </c>
      <c r="F12114" s="4" t="str">
        <f>IF(B12114=B12113,"",B12114)</f>
        <v>Rheda-Wiedenbrück</v>
      </c>
    </row>
    <row r="12115" spans="1:6" ht="15.75" customHeight="1">
      <c r="A12115" s="5" t="s">
        <v>9042</v>
      </c>
      <c r="B12115" s="6" t="s">
        <v>9043</v>
      </c>
      <c r="C12115" s="5" t="s">
        <v>8028</v>
      </c>
      <c r="D12115" s="5" t="s">
        <v>8029</v>
      </c>
      <c r="E12115" s="2">
        <v>2847690</v>
      </c>
      <c r="F12115" s="4" t="str">
        <f>IF(B12115=B12114,"",B12115)</f>
        <v>Rheda-WiedenbrÃ¼ck</v>
      </c>
    </row>
    <row r="12116" spans="1:6" ht="15.75" customHeight="1">
      <c r="A12116" s="6" t="s">
        <v>22994</v>
      </c>
      <c r="B12116" s="6" t="s">
        <v>22994</v>
      </c>
      <c r="C12116" s="6" t="s">
        <v>22070</v>
      </c>
      <c r="D12116" s="6" t="s">
        <v>22106</v>
      </c>
      <c r="E12116" s="2">
        <v>1493648</v>
      </c>
      <c r="F12116" s="4" t="str">
        <f>IF(B12116=B12115,"",B12116)</f>
        <v>Rezh</v>
      </c>
    </row>
    <row r="12117" spans="1:6" ht="15.75" customHeight="1">
      <c r="A12117" s="5" t="str">
        <f ca="1">IFERROR(__xludf.DUMMYFUNCTION("GOOGLETRANSLATE(B40768,""en"",""pt"")"),"Rezh")</f>
        <v>Rezh</v>
      </c>
      <c r="B12117" s="17" t="s">
        <v>22994</v>
      </c>
      <c r="C12117" s="17" t="s">
        <v>22070</v>
      </c>
      <c r="D12117" s="17" t="s">
        <v>22106</v>
      </c>
      <c r="E12117" s="10">
        <v>1493648</v>
      </c>
      <c r="F12117" s="4" t="str">
        <f>IF(B12117=B12116,"",B12117)</f>
        <v/>
      </c>
    </row>
    <row r="12118" spans="1:6" ht="15.75" customHeight="1">
      <c r="A12118" s="5" t="str">
        <f ca="1">IFERROR(__xludf.DUMMYFUNCTION("GOOGLETRANSLATE(B36404,""en"",""pt"")"),"Rēzekne")</f>
        <v>Rēzekne</v>
      </c>
      <c r="B12118" s="17" t="s">
        <v>34546</v>
      </c>
      <c r="C12118" s="17" t="s">
        <v>16982</v>
      </c>
      <c r="D12118" s="17" t="s">
        <v>34546</v>
      </c>
      <c r="E12118" s="10">
        <v>456202</v>
      </c>
      <c r="F12118" s="4" t="str">
        <f>IF(B12118=B12117,"",B12118)</f>
        <v>Rēzekne</v>
      </c>
    </row>
    <row r="12119" spans="1:6" ht="15.75" customHeight="1">
      <c r="A12119" s="5" t="str">
        <f ca="1">IFERROR(__xludf.DUMMYFUNCTION("GOOGLETRANSLATE(B29835,""en"",""pt"")"),"Rezé")</f>
        <v>Rezé</v>
      </c>
      <c r="B12119" s="17" t="s">
        <v>7699</v>
      </c>
      <c r="C12119" s="17" t="s">
        <v>7052</v>
      </c>
      <c r="D12119" s="17" t="s">
        <v>7102</v>
      </c>
      <c r="E12119" s="10">
        <v>2983770</v>
      </c>
      <c r="F12119" s="4" t="str">
        <f>IF(B12119=B12118,"",B12119)</f>
        <v>Rezé</v>
      </c>
    </row>
    <row r="12120" spans="1:6" ht="15.75" customHeight="1">
      <c r="A12120" s="6" t="s">
        <v>7699</v>
      </c>
      <c r="B12120" s="6" t="s">
        <v>7700</v>
      </c>
      <c r="C12120" s="6" t="s">
        <v>7052</v>
      </c>
      <c r="D12120" s="6" t="s">
        <v>7102</v>
      </c>
      <c r="E12120" s="2">
        <v>2983770</v>
      </c>
      <c r="F12120" s="4" t="str">
        <f>IF(B12120=B12119,"",B12120)</f>
        <v>RezÃ©</v>
      </c>
    </row>
    <row r="12121" spans="1:6" ht="15.75" customHeight="1">
      <c r="A12121" s="6" t="s">
        <v>18190</v>
      </c>
      <c r="B12121" s="6" t="s">
        <v>18190</v>
      </c>
      <c r="C12121" s="6" t="s">
        <v>17707</v>
      </c>
      <c r="D12121" s="6" t="s">
        <v>17740</v>
      </c>
      <c r="E12121" s="2">
        <v>3520339</v>
      </c>
      <c r="F12121" s="4" t="str">
        <f>IF(B12121=B12120,"",B12121)</f>
        <v>Reynosa</v>
      </c>
    </row>
    <row r="12122" spans="1:6" ht="15.75" customHeight="1">
      <c r="A12122" s="5" t="str">
        <f ca="1">IFERROR(__xludf.DUMMYFUNCTION("GOOGLETRANSLATE(B36940,""en"",""pt"")"),"Reynosa")</f>
        <v>Reynosa</v>
      </c>
      <c r="B12122" s="17" t="s">
        <v>18190</v>
      </c>
      <c r="C12122" s="17" t="s">
        <v>17707</v>
      </c>
      <c r="D12122" s="17" t="s">
        <v>17740</v>
      </c>
      <c r="E12122" s="10">
        <v>3520339</v>
      </c>
      <c r="F12122" s="4" t="str">
        <f>IF(B12122=B12121,"",B12122)</f>
        <v/>
      </c>
    </row>
    <row r="12123" spans="1:6" ht="15.75" customHeight="1">
      <c r="A12123" s="5" t="s">
        <v>29794</v>
      </c>
      <c r="B12123" s="6" t="s">
        <v>29794</v>
      </c>
      <c r="C12123" s="5" t="s">
        <v>27788</v>
      </c>
      <c r="D12123" s="5" t="s">
        <v>27813</v>
      </c>
      <c r="E12123" s="2">
        <v>4522411</v>
      </c>
      <c r="F12123" s="4" t="str">
        <f>IF(B12123=B12122,"",B12123)</f>
        <v>Reynoldsburg</v>
      </c>
    </row>
    <row r="12124" spans="1:6" ht="15.75" customHeight="1">
      <c r="A12124" s="5" t="str">
        <f ca="1">IFERROR(__xludf.DUMMYFUNCTION("GOOGLETRANSLATE(B43526,""en"",""pt"")"),"Reynoldsburg")</f>
        <v>Reynoldsburg</v>
      </c>
      <c r="B12124" s="17" t="s">
        <v>29794</v>
      </c>
      <c r="C12124" s="17" t="s">
        <v>27788</v>
      </c>
      <c r="D12124" s="17" t="s">
        <v>27813</v>
      </c>
      <c r="E12124" s="10">
        <v>4522411</v>
      </c>
      <c r="F12124" s="4" t="str">
        <f>IF(B12124=B12123,"",B12124)</f>
        <v/>
      </c>
    </row>
    <row r="12125" spans="1:6" ht="15.75" customHeight="1">
      <c r="A12125" s="5" t="str">
        <f ca="1">IFERROR(__xludf.DUMMYFUNCTION("GOOGLETRANSLATE(B34536,""en"",""pt"")"),"Reykjavík")</f>
        <v>Reykjavík</v>
      </c>
      <c r="B12125" s="17" t="s">
        <v>34263</v>
      </c>
      <c r="C12125" s="17" t="s">
        <v>10168</v>
      </c>
      <c r="D12125" s="17" t="s">
        <v>6216</v>
      </c>
      <c r="E12125" s="10">
        <v>3413829</v>
      </c>
      <c r="F12125" s="4" t="str">
        <f>IF(B12125=B12124,"",B12125)</f>
        <v>Reykjavík</v>
      </c>
    </row>
    <row r="12126" spans="1:6" ht="15.75" customHeight="1">
      <c r="A12126" s="5" t="s">
        <v>10174</v>
      </c>
      <c r="B12126" s="6" t="s">
        <v>10175</v>
      </c>
      <c r="C12126" s="5" t="s">
        <v>10168</v>
      </c>
      <c r="D12126" s="5" t="s">
        <v>6216</v>
      </c>
      <c r="E12126" s="2">
        <v>3413829</v>
      </c>
      <c r="F12126" s="4" t="str">
        <f>IF(B12126=B12125,"",B12126)</f>
        <v>ReykjavÃ­k</v>
      </c>
    </row>
    <row r="12127" spans="1:6" ht="15.75" customHeight="1">
      <c r="A12127" s="5" t="str">
        <f ca="1">IFERROR(__xludf.DUMMYFUNCTION("GOOGLETRANSLATE(B41916,""en"",""pt"")"),"Reyhanlı")</f>
        <v>Reyhanlı</v>
      </c>
      <c r="B12127" s="17" t="s">
        <v>35844</v>
      </c>
      <c r="C12127" s="17" t="s">
        <v>26201</v>
      </c>
      <c r="D12127" s="17" t="s">
        <v>26318</v>
      </c>
      <c r="E12127" s="10">
        <v>302355</v>
      </c>
      <c r="F12127" s="4" t="str">
        <f>IF(B12127=B12126,"",B12127)</f>
        <v>Reyhanlı</v>
      </c>
    </row>
    <row r="12128" spans="1:6" ht="15.75" customHeight="1">
      <c r="A12128" s="5" t="s">
        <v>26671</v>
      </c>
      <c r="B12128" s="6" t="s">
        <v>26672</v>
      </c>
      <c r="C12128" s="5" t="s">
        <v>26201</v>
      </c>
      <c r="D12128" s="5" t="s">
        <v>26318</v>
      </c>
      <c r="E12128" s="2">
        <v>302355</v>
      </c>
      <c r="F12128" s="4" t="str">
        <f>IF(B12128=B12127,"",B12128)</f>
        <v>ReyhanlÄ±</v>
      </c>
    </row>
    <row r="12129" spans="1:6" ht="15.75" customHeight="1">
      <c r="A12129" s="5" t="s">
        <v>18189</v>
      </c>
      <c r="B12129" s="6" t="s">
        <v>18189</v>
      </c>
      <c r="C12129" s="5" t="s">
        <v>17707</v>
      </c>
      <c r="D12129" s="5" t="s">
        <v>17780</v>
      </c>
      <c r="E12129" s="2">
        <v>3523900</v>
      </c>
      <c r="F12129" s="4" t="str">
        <f>IF(B12129=B12128,"",B12129)</f>
        <v>Reyes Acozac</v>
      </c>
    </row>
    <row r="12130" spans="1:6" ht="15.75" customHeight="1">
      <c r="A12130" s="5" t="str">
        <f ca="1">IFERROR(__xludf.DUMMYFUNCTION("GOOGLETRANSLATE(B36991,""en"",""pt"")"),"Reyes Acozac")</f>
        <v>Reyes Acozac</v>
      </c>
      <c r="B12130" s="17" t="s">
        <v>18189</v>
      </c>
      <c r="C12130" s="17" t="s">
        <v>17707</v>
      </c>
      <c r="D12130" s="17" t="s">
        <v>17780</v>
      </c>
      <c r="E12130" s="10">
        <v>3523900</v>
      </c>
      <c r="F12130" s="4" t="str">
        <f>IF(B12130=B12129,"",B12130)</f>
        <v/>
      </c>
    </row>
    <row r="12131" spans="1:6" ht="15.75" customHeight="1">
      <c r="A12131" s="6" t="s">
        <v>29793</v>
      </c>
      <c r="B12131" s="6" t="s">
        <v>29793</v>
      </c>
      <c r="C12131" s="6" t="s">
        <v>27788</v>
      </c>
      <c r="D12131" s="6" t="s">
        <v>28059</v>
      </c>
      <c r="E12131" s="2">
        <v>5605242</v>
      </c>
      <c r="F12131" s="4" t="str">
        <f>IF(B12131=B12130,"",B12131)</f>
        <v>Rexburg</v>
      </c>
    </row>
    <row r="12132" spans="1:6" ht="15.75" customHeight="1">
      <c r="A12132" s="5" t="str">
        <f ca="1">IFERROR(__xludf.DUMMYFUNCTION("GOOGLETRANSLATE(B45207,""en"",""pt"")"),"Rexburg")</f>
        <v>Rexburg</v>
      </c>
      <c r="B12132" s="17" t="s">
        <v>29793</v>
      </c>
      <c r="C12132" s="17" t="s">
        <v>27788</v>
      </c>
      <c r="D12132" s="17" t="s">
        <v>28059</v>
      </c>
      <c r="E12132" s="10">
        <v>5605242</v>
      </c>
      <c r="F12132" s="4" t="str">
        <f>IF(B12132=B12131,"",B12132)</f>
        <v/>
      </c>
    </row>
    <row r="12133" spans="1:6" ht="15.75" customHeight="1">
      <c r="A12133" s="5" t="str">
        <f ca="1">IFERROR(__xludf.DUMMYFUNCTION("GOOGLETRANSLATE(B32308,""en"",""pt"")"),"Rewāri")</f>
        <v>Rewāri</v>
      </c>
      <c r="B12133" s="17" t="s">
        <v>33149</v>
      </c>
      <c r="C12133" s="17" t="s">
        <v>10178</v>
      </c>
      <c r="D12133" s="17" t="s">
        <v>10224</v>
      </c>
      <c r="E12133" s="10">
        <v>1258178</v>
      </c>
      <c r="F12133" s="4" t="str">
        <f>IF(B12133=B12132,"",B12133)</f>
        <v>Rewāri</v>
      </c>
    </row>
    <row r="12134" spans="1:6" ht="15.75" customHeight="1">
      <c r="A12134" s="6" t="s">
        <v>13108</v>
      </c>
      <c r="B12134" s="6" t="s">
        <v>13109</v>
      </c>
      <c r="C12134" s="6" t="s">
        <v>10178</v>
      </c>
      <c r="D12134" s="6" t="s">
        <v>10224</v>
      </c>
      <c r="E12134" s="2">
        <v>1258178</v>
      </c>
      <c r="F12134" s="4" t="str">
        <f>IF(B12134=B12133,"",B12134)</f>
        <v>RewÄri</v>
      </c>
    </row>
    <row r="12135" spans="1:6" ht="15.75" customHeight="1">
      <c r="A12135" s="6" t="s">
        <v>13107</v>
      </c>
      <c r="B12135" s="6" t="s">
        <v>13107</v>
      </c>
      <c r="C12135" s="6" t="s">
        <v>10178</v>
      </c>
      <c r="D12135" s="6" t="s">
        <v>10219</v>
      </c>
      <c r="E12135" s="2">
        <v>1258182</v>
      </c>
      <c r="F12135" s="4" t="str">
        <f>IF(B12135=B12134,"",B12135)</f>
        <v>Rewa</v>
      </c>
    </row>
    <row r="12136" spans="1:6" ht="15.75" customHeight="1">
      <c r="A12136" s="5" t="str">
        <f ca="1">IFERROR(__xludf.DUMMYFUNCTION("GOOGLETRANSLATE(B32309,""en"",""pt"")"),"Rewa")</f>
        <v>Rewa</v>
      </c>
      <c r="B12136" s="17" t="s">
        <v>13107</v>
      </c>
      <c r="C12136" s="17" t="s">
        <v>10178</v>
      </c>
      <c r="D12136" s="17" t="s">
        <v>10219</v>
      </c>
      <c r="E12136" s="10">
        <v>1258182</v>
      </c>
      <c r="F12136" s="4" t="str">
        <f>IF(B12136=B12135,"",B12136)</f>
        <v/>
      </c>
    </row>
    <row r="12137" spans="1:6" ht="15.75" customHeight="1">
      <c r="A12137" s="6" t="s">
        <v>13106</v>
      </c>
      <c r="B12137" s="6" t="s">
        <v>13106</v>
      </c>
      <c r="C12137" s="6" t="s">
        <v>10178</v>
      </c>
      <c r="D12137" s="6" t="s">
        <v>10317</v>
      </c>
      <c r="E12137" s="2">
        <v>1258186</v>
      </c>
      <c r="F12137" s="4" t="str">
        <f>IF(B12137=B12136,"",B12137)</f>
        <v>Revelganj</v>
      </c>
    </row>
    <row r="12138" spans="1:6" ht="15.75" customHeight="1">
      <c r="A12138" s="5" t="str">
        <f ca="1">IFERROR(__xludf.DUMMYFUNCTION("GOOGLETRANSLATE(B32310,""en"",""pt"")"),"Revelganj")</f>
        <v>Revelganj</v>
      </c>
      <c r="B12138" s="17" t="s">
        <v>13106</v>
      </c>
      <c r="C12138" s="17" t="s">
        <v>10178</v>
      </c>
      <c r="D12138" s="17" t="s">
        <v>10317</v>
      </c>
      <c r="E12138" s="10">
        <v>1258186</v>
      </c>
      <c r="F12138" s="4" t="str">
        <f>IF(B12138=B12137,"",B12138)</f>
        <v/>
      </c>
    </row>
    <row r="12139" spans="1:6" ht="15.75" customHeight="1">
      <c r="A12139" s="6" t="s">
        <v>22993</v>
      </c>
      <c r="B12139" s="6" t="s">
        <v>22993</v>
      </c>
      <c r="C12139" s="6" t="s">
        <v>22070</v>
      </c>
      <c r="D12139" s="6" t="s">
        <v>22106</v>
      </c>
      <c r="E12139" s="2">
        <v>502011</v>
      </c>
      <c r="F12139" s="4" t="str">
        <f>IF(B12139=B12138,"",B12139)</f>
        <v>Revda</v>
      </c>
    </row>
    <row r="12140" spans="1:6" ht="15.75" customHeight="1">
      <c r="A12140" s="5" t="str">
        <f ca="1">IFERROR(__xludf.DUMMYFUNCTION("GOOGLETRANSLATE(B40161,""en"",""pt"")"),"Revda")</f>
        <v>Revda</v>
      </c>
      <c r="B12140" s="17" t="s">
        <v>22993</v>
      </c>
      <c r="C12140" s="17" t="s">
        <v>22070</v>
      </c>
      <c r="D12140" s="17" t="s">
        <v>22106</v>
      </c>
      <c r="E12140" s="10">
        <v>502011</v>
      </c>
      <c r="F12140" s="4" t="str">
        <f>IF(B12140=B12139,"",B12140)</f>
        <v/>
      </c>
    </row>
    <row r="12141" spans="1:6" ht="15.75" customHeight="1">
      <c r="A12141" s="6" t="s">
        <v>22992</v>
      </c>
      <c r="B12141" s="6" t="s">
        <v>22992</v>
      </c>
      <c r="C12141" s="6" t="s">
        <v>22070</v>
      </c>
      <c r="D12141" s="6" t="s">
        <v>22119</v>
      </c>
      <c r="E12141" s="2">
        <v>502018</v>
      </c>
      <c r="F12141" s="4" t="str">
        <f>IF(B12141=B12140,"",B12141)</f>
        <v>Reutov</v>
      </c>
    </row>
    <row r="12142" spans="1:6" ht="15.75" customHeight="1">
      <c r="A12142" s="5" t="str">
        <f ca="1">IFERROR(__xludf.DUMMYFUNCTION("GOOGLETRANSLATE(B40162,""en"",""pt"")"),"Reutov")</f>
        <v>Reutov</v>
      </c>
      <c r="B12142" s="17" t="s">
        <v>22992</v>
      </c>
      <c r="C12142" s="17" t="s">
        <v>22070</v>
      </c>
      <c r="D12142" s="17" t="s">
        <v>22119</v>
      </c>
      <c r="E12142" s="10">
        <v>502018</v>
      </c>
      <c r="F12142" s="4" t="str">
        <f>IF(B12142=B12141,"",B12142)</f>
        <v/>
      </c>
    </row>
    <row r="12143" spans="1:6" ht="15.75" customHeight="1">
      <c r="A12143" s="5" t="s">
        <v>9041</v>
      </c>
      <c r="B12143" s="6" t="s">
        <v>9041</v>
      </c>
      <c r="C12143" s="5" t="s">
        <v>8028</v>
      </c>
      <c r="D12143" s="5" t="s">
        <v>8031</v>
      </c>
      <c r="E12143" s="2">
        <v>2847736</v>
      </c>
      <c r="F12143" s="4" t="str">
        <f>IF(B12143=B12142,"",B12143)</f>
        <v>Reutlingen</v>
      </c>
    </row>
    <row r="12144" spans="1:6" ht="15.75" customHeight="1">
      <c r="A12144" s="5" t="str">
        <f ca="1">IFERROR(__xludf.DUMMYFUNCTION("GOOGLETRANSLATE(B27608,""en"",""pt"")"),"Reutlingen")</f>
        <v>Reutlingen</v>
      </c>
      <c r="B12144" s="17" t="s">
        <v>9041</v>
      </c>
      <c r="C12144" s="17" t="s">
        <v>8028</v>
      </c>
      <c r="D12144" s="17" t="s">
        <v>32013</v>
      </c>
      <c r="E12144" s="10">
        <v>2847736</v>
      </c>
      <c r="F12144" s="4" t="str">
        <f>IF(B12144=B12143,"",B12144)</f>
        <v/>
      </c>
    </row>
    <row r="12145" spans="1:6" ht="15.75" customHeight="1">
      <c r="A12145" s="6" t="s">
        <v>24729</v>
      </c>
      <c r="B12145" s="6" t="s">
        <v>24729</v>
      </c>
      <c r="C12145" s="6" t="s">
        <v>24200</v>
      </c>
      <c r="D12145" s="6" t="s">
        <v>24277</v>
      </c>
      <c r="E12145" s="2">
        <v>3111933</v>
      </c>
      <c r="F12145" s="4" t="str">
        <f>IF(B12145=B12144,"",B12145)</f>
        <v>Reus</v>
      </c>
    </row>
    <row r="12146" spans="1:6" ht="15.75" customHeight="1">
      <c r="A12146" s="5" t="str">
        <f ca="1">IFERROR(__xludf.DUMMYFUNCTION("GOOGLETRANSLATE(B29315,""en"",""pt"")"),"Reus")</f>
        <v>Reus</v>
      </c>
      <c r="B12146" s="17" t="s">
        <v>24729</v>
      </c>
      <c r="C12146" s="17" t="s">
        <v>24200</v>
      </c>
      <c r="D12146" s="17" t="s">
        <v>24277</v>
      </c>
      <c r="E12146" s="10">
        <v>3111933</v>
      </c>
      <c r="F12146" s="4" t="str">
        <f>IF(B12146=B12145,"",B12146)</f>
        <v/>
      </c>
    </row>
    <row r="12147" spans="1:6" ht="15.75" customHeight="1">
      <c r="A12147" s="6" t="s">
        <v>14126</v>
      </c>
      <c r="B12147" s="6" t="s">
        <v>14127</v>
      </c>
      <c r="C12147" s="6" t="s">
        <v>13800</v>
      </c>
      <c r="D12147" s="6" t="s">
        <v>13828</v>
      </c>
      <c r="E12147" s="2">
        <v>1214055</v>
      </c>
      <c r="F12147" s="4" t="str">
        <f>IF(B12147=B12146,"",B12147)</f>
        <v>Reuleuet</v>
      </c>
    </row>
    <row r="12148" spans="1:6" ht="15.75" customHeight="1">
      <c r="A12148" s="5" t="str">
        <f ca="1">IFERROR(__xludf.DUMMYFUNCTION("GOOGLETRANSLATE(B31363,""en"",""pt"")"),"Releuet")</f>
        <v>Releuet</v>
      </c>
      <c r="B12148" s="17" t="s">
        <v>14127</v>
      </c>
      <c r="C12148" s="17" t="s">
        <v>13800</v>
      </c>
      <c r="D12148" s="17" t="s">
        <v>13828</v>
      </c>
      <c r="E12148" s="10">
        <v>1214055</v>
      </c>
      <c r="F12148" s="4" t="str">
        <f>IF(B12148=B12147,"",B12148)</f>
        <v/>
      </c>
    </row>
    <row r="12149" spans="1:6" ht="15.75" customHeight="1">
      <c r="A12149" s="6" t="s">
        <v>766</v>
      </c>
      <c r="B12149" s="6" t="s">
        <v>23968</v>
      </c>
      <c r="C12149" s="6" t="s">
        <v>23842</v>
      </c>
      <c r="D12149" s="6" t="s">
        <v>23847</v>
      </c>
      <c r="E12149" s="2">
        <v>8604596</v>
      </c>
      <c r="F12149" s="4" t="str">
        <f>IF(B12149=B12148,"",B12149)</f>
        <v>Retreat</v>
      </c>
    </row>
    <row r="12150" spans="1:6" ht="15.75" customHeight="1">
      <c r="A12150" s="5" t="str">
        <f ca="1">IFERROR(__xludf.DUMMYFUNCTION("GOOGLETRANSLATE(B46000,""en"",""pt"")"),"Retiro")</f>
        <v>Retiro</v>
      </c>
      <c r="B12150" s="17" t="s">
        <v>23968</v>
      </c>
      <c r="C12150" s="17" t="s">
        <v>23842</v>
      </c>
      <c r="D12150" s="17" t="s">
        <v>23847</v>
      </c>
      <c r="E12150" s="10">
        <v>8604596</v>
      </c>
      <c r="F12150" s="4" t="str">
        <f>IF(B12150=B12149,"",B12150)</f>
        <v/>
      </c>
    </row>
    <row r="12151" spans="1:6" ht="15.75" customHeight="1">
      <c r="A12151" s="6" t="s">
        <v>766</v>
      </c>
      <c r="B12151" s="6" t="s">
        <v>766</v>
      </c>
      <c r="C12151" s="6" t="s">
        <v>558</v>
      </c>
      <c r="D12151" s="6" t="s">
        <v>589</v>
      </c>
      <c r="E12151" s="2">
        <v>3429576</v>
      </c>
      <c r="F12151" s="4" t="str">
        <f>IF(B12151=B12150,"",B12151)</f>
        <v>Retiro</v>
      </c>
    </row>
    <row r="12152" spans="1:6" ht="15.75" customHeight="1">
      <c r="A12152" s="6" t="s">
        <v>766</v>
      </c>
      <c r="B12152" s="6" t="s">
        <v>766</v>
      </c>
      <c r="C12152" s="6" t="s">
        <v>24200</v>
      </c>
      <c r="D12152" s="6" t="s">
        <v>5513</v>
      </c>
      <c r="E12152" s="2">
        <v>6544495</v>
      </c>
      <c r="F12152" s="4" t="str">
        <f>IF(B12152=B12151,"",B12152)</f>
        <v/>
      </c>
    </row>
    <row r="12153" spans="1:6" ht="15.75" customHeight="1">
      <c r="A12153" s="5" t="str">
        <f ca="1">IFERROR(__xludf.DUMMYFUNCTION("GOOGLETRANSLATE(B23184,""en"",""pt"")"),"Retiro")</f>
        <v>Retiro</v>
      </c>
      <c r="B12153" s="17" t="s">
        <v>766</v>
      </c>
      <c r="C12153" s="17" t="s">
        <v>558</v>
      </c>
      <c r="D12153" s="17" t="s">
        <v>589</v>
      </c>
      <c r="E12153" s="10">
        <v>3429576</v>
      </c>
      <c r="F12153" s="4" t="str">
        <f>IF(B12153=B12152,"",B12153)</f>
        <v/>
      </c>
    </row>
    <row r="12154" spans="1:6" ht="15.75" customHeight="1">
      <c r="A12154" s="5" t="str">
        <f ca="1">IFERROR(__xludf.DUMMYFUNCTION("GOOGLETRANSLATE(B29498,""en"",""pt"")"),"Retiro")</f>
        <v>Retiro</v>
      </c>
      <c r="B12154" s="17" t="s">
        <v>766</v>
      </c>
      <c r="C12154" s="17" t="s">
        <v>24200</v>
      </c>
      <c r="D12154" s="17" t="s">
        <v>5513</v>
      </c>
      <c r="E12154" s="10">
        <v>6544495</v>
      </c>
      <c r="F12154" s="4" t="str">
        <f>IF(B12154=B12153,"",B12154)</f>
        <v/>
      </c>
    </row>
    <row r="12155" spans="1:6" ht="15.75" customHeight="1">
      <c r="A12155" s="5" t="s">
        <v>9632</v>
      </c>
      <c r="B12155" s="6" t="s">
        <v>9632</v>
      </c>
      <c r="C12155" s="5" t="s">
        <v>9441</v>
      </c>
      <c r="D12155" s="5" t="s">
        <v>9493</v>
      </c>
      <c r="E12155" s="2">
        <v>254352</v>
      </c>
      <c r="F12155" s="4" t="str">
        <f>IF(B12155=B12154,"",B12155)</f>
        <v>Rethymno</v>
      </c>
    </row>
    <row r="12156" spans="1:6" ht="15.75" customHeight="1">
      <c r="A12156" s="5" t="str">
        <f ca="1">IFERROR(__xludf.DUMMYFUNCTION("GOOGLETRANSLATE(B30962,""en"",""pt"")"),"Rethymno")</f>
        <v>Rethymno</v>
      </c>
      <c r="B12156" s="17" t="s">
        <v>9632</v>
      </c>
      <c r="C12156" s="17" t="s">
        <v>9441</v>
      </c>
      <c r="D12156" s="17" t="s">
        <v>9493</v>
      </c>
      <c r="E12156" s="10">
        <v>254352</v>
      </c>
      <c r="F12156" s="4" t="str">
        <f>IF(B12156=B12155,"",B12156)</f>
        <v/>
      </c>
    </row>
    <row r="12157" spans="1:6" ht="15.75" customHeight="1">
      <c r="A12157" s="5" t="s">
        <v>9779</v>
      </c>
      <c r="B12157" s="6" t="s">
        <v>9762</v>
      </c>
      <c r="C12157" s="5" t="s">
        <v>9700</v>
      </c>
      <c r="D12157" s="5" t="s">
        <v>9762</v>
      </c>
      <c r="E12157" s="2">
        <v>3590858</v>
      </c>
      <c r="F12157" s="4" t="str">
        <f>IF(B12157=B12156,"",B12157)</f>
        <v>Retalhuleu</v>
      </c>
    </row>
    <row r="12158" spans="1:6" ht="15.75" customHeight="1">
      <c r="A12158" s="5" t="str">
        <f ca="1">IFERROR(__xludf.DUMMYFUNCTION("GOOGLETRANSLATE(B31090,""en"",""pt"")"),"RETALHULEU")</f>
        <v>RETALHULEU</v>
      </c>
      <c r="B12158" s="17" t="s">
        <v>9762</v>
      </c>
      <c r="C12158" s="17" t="s">
        <v>9700</v>
      </c>
      <c r="D12158" s="17" t="s">
        <v>9762</v>
      </c>
      <c r="E12158" s="10">
        <v>3590858</v>
      </c>
      <c r="F12158" s="4" t="str">
        <f>IF(B12158=B12157,"",B12158)</f>
        <v/>
      </c>
    </row>
    <row r="12159" spans="1:6" ht="15.75" customHeight="1">
      <c r="A12159" s="5" t="s">
        <v>18691</v>
      </c>
      <c r="B12159" s="6" t="s">
        <v>18691</v>
      </c>
      <c r="C12159" s="5" t="s">
        <v>18655</v>
      </c>
      <c r="D12159" s="5" t="s">
        <v>18677</v>
      </c>
      <c r="E12159" s="2">
        <v>1028079</v>
      </c>
      <c r="F12159" s="4" t="str">
        <f>IF(B12159=B12158,"",B12159)</f>
        <v>Ressano Garcia</v>
      </c>
    </row>
    <row r="12160" spans="1:6" ht="15.75" customHeight="1">
      <c r="A12160" s="5" t="str">
        <f ca="1">IFERROR(__xludf.DUMMYFUNCTION("GOOGLETRANSLATE(B37544,""en"",""pt"")"),"Ressano Garcia")</f>
        <v>Ressano Garcia</v>
      </c>
      <c r="B12160" s="17" t="s">
        <v>18691</v>
      </c>
      <c r="C12160" s="17" t="s">
        <v>18655</v>
      </c>
      <c r="D12160" s="17" t="s">
        <v>18677</v>
      </c>
      <c r="E12160" s="10">
        <v>1028079</v>
      </c>
      <c r="F12160" s="4" t="str">
        <f>IF(B12160=B12159,"",B12160)</f>
        <v/>
      </c>
    </row>
    <row r="12161" spans="1:6" ht="15.75" customHeight="1">
      <c r="A12161" s="5" t="s">
        <v>3199</v>
      </c>
      <c r="B12161" s="6" t="s">
        <v>3200</v>
      </c>
      <c r="C12161" s="5" t="s">
        <v>1905</v>
      </c>
      <c r="D12161" s="5" t="s">
        <v>1917</v>
      </c>
      <c r="E12161" s="2">
        <v>3451650</v>
      </c>
      <c r="F12161" s="4" t="str">
        <f>IF(B12161=B12160,"",B12161)</f>
        <v>Resplendor</v>
      </c>
    </row>
    <row r="12162" spans="1:6" ht="15.75" customHeight="1">
      <c r="A12162" s="5" t="str">
        <f ca="1">IFERROR(__xludf.DUMMYFUNCTION("GOOGLETRANSLATE(B24654,""en"",""pt"")"),"Resplandor")</f>
        <v>Resplandor</v>
      </c>
      <c r="B12162" s="17" t="s">
        <v>3200</v>
      </c>
      <c r="C12162" s="17" t="s">
        <v>1905</v>
      </c>
      <c r="D12162" s="17" t="s">
        <v>1917</v>
      </c>
      <c r="E12162" s="10">
        <v>3451650</v>
      </c>
      <c r="F12162" s="4" t="str">
        <f>IF(B12162=B12161,"",B12162)</f>
        <v/>
      </c>
    </row>
    <row r="12163" spans="1:6" ht="15.75" customHeight="1">
      <c r="A12163" s="5" t="str">
        <f ca="1">IFERROR(__xludf.DUMMYFUNCTION("GOOGLETRANSLATE(B39757,""en"",""pt"")"),"Reşiţa")</f>
        <v>Reşiţa</v>
      </c>
      <c r="B12163" s="17" t="s">
        <v>35360</v>
      </c>
      <c r="C12163" s="17" t="s">
        <v>21824</v>
      </c>
      <c r="D12163" s="17" t="s">
        <v>35361</v>
      </c>
      <c r="E12163" s="10">
        <v>668954</v>
      </c>
      <c r="F12163" s="4" t="str">
        <f>IF(B12163=B12162,"",B12163)</f>
        <v>Reşiţa</v>
      </c>
    </row>
    <row r="12164" spans="1:6" ht="15.75" customHeight="1">
      <c r="A12164" s="5" t="s">
        <v>764</v>
      </c>
      <c r="B12164" s="6" t="s">
        <v>765</v>
      </c>
      <c r="C12164" s="5" t="s">
        <v>558</v>
      </c>
      <c r="D12164" s="5" t="s">
        <v>586</v>
      </c>
      <c r="E12164" s="2">
        <v>3429577</v>
      </c>
      <c r="F12164" s="4" t="str">
        <f>IF(B12164=B12163,"",B12164)</f>
        <v>Resistencia</v>
      </c>
    </row>
    <row r="12165" spans="1:6" ht="15.75" customHeight="1">
      <c r="A12165" s="5" t="str">
        <f ca="1">IFERROR(__xludf.DUMMYFUNCTION("GOOGLETRANSLATE(B23185,""en"",""pt"")"),"Resistência")</f>
        <v>Resistência</v>
      </c>
      <c r="B12165" s="17" t="s">
        <v>765</v>
      </c>
      <c r="C12165" s="17" t="s">
        <v>558</v>
      </c>
      <c r="D12165" s="17" t="s">
        <v>586</v>
      </c>
      <c r="E12165" s="10">
        <v>3429577</v>
      </c>
      <c r="F12165" s="4" t="str">
        <f>IF(B12165=B12164,"",B12165)</f>
        <v/>
      </c>
    </row>
    <row r="12166" spans="1:6" ht="15.75" customHeight="1">
      <c r="A12166" s="5" t="s">
        <v>1068</v>
      </c>
      <c r="B12166" s="6" t="s">
        <v>1069</v>
      </c>
      <c r="C12166" s="5" t="s">
        <v>885</v>
      </c>
      <c r="D12166" s="5" t="s">
        <v>827</v>
      </c>
      <c r="E12166" s="2">
        <v>2151716</v>
      </c>
      <c r="F12166" s="4" t="str">
        <f>IF(B12166=B12165,"",B12166)</f>
        <v>Reservoir</v>
      </c>
    </row>
    <row r="12167" spans="1:6" ht="15.75" customHeight="1">
      <c r="A12167" s="5" t="str">
        <f ca="1">IFERROR(__xludf.DUMMYFUNCTION("GOOGLETRANSLATE(B23459,""en"",""pt"")"),"Reservatório")</f>
        <v>Reservatório</v>
      </c>
      <c r="B12167" s="17" t="s">
        <v>1069</v>
      </c>
      <c r="C12167" s="17" t="s">
        <v>885</v>
      </c>
      <c r="D12167" s="17" t="s">
        <v>827</v>
      </c>
      <c r="E12167" s="10">
        <v>2151716</v>
      </c>
      <c r="F12167" s="4" t="str">
        <f>IF(B12167=B12166,"",B12167)</f>
        <v/>
      </c>
    </row>
    <row r="12168" spans="1:6" ht="15.75" customHeight="1">
      <c r="A12168" s="6" t="s">
        <v>3197</v>
      </c>
      <c r="B12168" s="6" t="s">
        <v>3198</v>
      </c>
      <c r="C12168" s="6" t="s">
        <v>1905</v>
      </c>
      <c r="D12168" s="6" t="s">
        <v>1978</v>
      </c>
      <c r="E12168" s="2">
        <v>3451668</v>
      </c>
      <c r="F12168" s="4" t="str">
        <f>IF(B12168=B12167,"",B12168)</f>
        <v>Resende</v>
      </c>
    </row>
    <row r="12169" spans="1:6" ht="15.75" customHeight="1">
      <c r="A12169" s="5" t="str">
        <f ca="1">IFERROR(__xludf.DUMMYFUNCTION("GOOGLETRANSLATE(B24655,""en"",""pt"")"),"Resenda")</f>
        <v>Resenda</v>
      </c>
      <c r="B12169" s="17" t="s">
        <v>3198</v>
      </c>
      <c r="C12169" s="17" t="s">
        <v>1905</v>
      </c>
      <c r="D12169" s="17" t="s">
        <v>1978</v>
      </c>
      <c r="E12169" s="10">
        <v>3451668</v>
      </c>
      <c r="F12169" s="4" t="str">
        <f>IF(B12169=B12168,"",B12169)</f>
        <v/>
      </c>
    </row>
    <row r="12170" spans="1:6" ht="15.75" customHeight="1">
      <c r="A12170" s="6" t="s">
        <v>24728</v>
      </c>
      <c r="B12170" s="6" t="s">
        <v>24728</v>
      </c>
      <c r="C12170" s="6" t="s">
        <v>24200</v>
      </c>
      <c r="D12170" s="6" t="s">
        <v>21053</v>
      </c>
      <c r="E12170" s="2">
        <v>2511930</v>
      </c>
      <c r="F12170" s="4" t="str">
        <f>IF(B12170=B12169,"",B12170)</f>
        <v>Requena</v>
      </c>
    </row>
    <row r="12171" spans="1:6" ht="15.75" customHeight="1">
      <c r="A12171" s="5" t="str">
        <f ca="1">IFERROR(__xludf.DUMMYFUNCTION("GOOGLETRANSLATE(B29014,""en"",""pt"")"),"Requena")</f>
        <v>Requena</v>
      </c>
      <c r="B12171" s="17" t="s">
        <v>24728</v>
      </c>
      <c r="C12171" s="17" t="s">
        <v>24200</v>
      </c>
      <c r="D12171" s="17" t="s">
        <v>21053</v>
      </c>
      <c r="E12171" s="10">
        <v>2511930</v>
      </c>
      <c r="F12171" s="4" t="str">
        <f>IF(B12171=B12170,"",B12171)</f>
        <v/>
      </c>
    </row>
    <row r="12172" spans="1:6" ht="15.75" customHeight="1">
      <c r="A12172" s="5" t="s">
        <v>4161</v>
      </c>
      <c r="B12172" s="6" t="s">
        <v>4161</v>
      </c>
      <c r="C12172" s="5" t="s">
        <v>3975</v>
      </c>
      <c r="D12172" s="5" t="s">
        <v>3982</v>
      </c>
      <c r="E12172" s="2">
        <v>6119518</v>
      </c>
      <c r="F12172" s="4" t="str">
        <f>IF(B12172=B12171,"",B12172)</f>
        <v>Repentigny</v>
      </c>
    </row>
    <row r="12173" spans="1:6" ht="15.75" customHeight="1">
      <c r="A12173" s="5" t="str">
        <f ca="1">IFERROR(__xludf.DUMMYFUNCTION("GOOGLETRANSLATE(B25558,""en"",""pt"")"),"Repentigny")</f>
        <v>Repentigny</v>
      </c>
      <c r="B12173" s="17" t="s">
        <v>4161</v>
      </c>
      <c r="C12173" s="17" t="s">
        <v>3975</v>
      </c>
      <c r="D12173" s="17" t="s">
        <v>3982</v>
      </c>
      <c r="E12173" s="10">
        <v>6119518</v>
      </c>
      <c r="F12173" s="4" t="str">
        <f>IF(B12173=B12172,"",B12173)</f>
        <v/>
      </c>
    </row>
    <row r="12174" spans="1:6" ht="15.75" customHeight="1">
      <c r="A12174" s="5" t="str">
        <f ca="1">IFERROR(__xludf.DUMMYFUNCTION("GOOGLETRANSLATE(B26906,""en"",""pt"")"),"Repelón")</f>
        <v>Repelón</v>
      </c>
      <c r="B12174" s="17" t="s">
        <v>31850</v>
      </c>
      <c r="C12174" s="17" t="s">
        <v>5348</v>
      </c>
      <c r="D12174" s="17" t="s">
        <v>31843</v>
      </c>
      <c r="E12174" s="10">
        <v>3670874</v>
      </c>
      <c r="F12174" s="4" t="str">
        <f>IF(B12174=B12173,"",B12174)</f>
        <v>Repelón</v>
      </c>
    </row>
    <row r="12175" spans="1:6" ht="15.75" customHeight="1">
      <c r="A12175" s="6" t="s">
        <v>5578</v>
      </c>
      <c r="B12175" s="6" t="s">
        <v>5579</v>
      </c>
      <c r="C12175" s="6" t="s">
        <v>5348</v>
      </c>
      <c r="D12175" s="6" t="s">
        <v>5378</v>
      </c>
      <c r="E12175" s="2">
        <v>3670874</v>
      </c>
      <c r="F12175" s="4" t="str">
        <f>IF(B12175=B12174,"",B12175)</f>
        <v>RepelÃ³n</v>
      </c>
    </row>
    <row r="12176" spans="1:6" ht="15.75" customHeight="1">
      <c r="A12176" s="6" t="s">
        <v>13105</v>
      </c>
      <c r="B12176" s="6" t="s">
        <v>13105</v>
      </c>
      <c r="C12176" s="6" t="s">
        <v>10178</v>
      </c>
      <c r="D12176" s="6" t="s">
        <v>10190</v>
      </c>
      <c r="E12176" s="2">
        <v>1258201</v>
      </c>
      <c r="F12176" s="4" t="str">
        <f>IF(B12176=B12175,"",B12176)</f>
        <v>Repalle</v>
      </c>
    </row>
    <row r="12177" spans="1:6" ht="15.75" customHeight="1">
      <c r="A12177" s="5" t="str">
        <f ca="1">IFERROR(__xludf.DUMMYFUNCTION("GOOGLETRANSLATE(B32311,""en"",""pt"")"),"Repalle")</f>
        <v>Repalle</v>
      </c>
      <c r="B12177" s="17" t="s">
        <v>13105</v>
      </c>
      <c r="C12177" s="17" t="s">
        <v>10178</v>
      </c>
      <c r="D12177" s="17" t="s">
        <v>10190</v>
      </c>
      <c r="E12177" s="10">
        <v>1258201</v>
      </c>
      <c r="F12177" s="4" t="str">
        <f>IF(B12177=B12176,"",B12177)</f>
        <v/>
      </c>
    </row>
    <row r="12178" spans="1:6" ht="15.75" customHeight="1">
      <c r="A12178" s="6" t="s">
        <v>13104</v>
      </c>
      <c r="B12178" s="6" t="s">
        <v>13104</v>
      </c>
      <c r="C12178" s="6" t="s">
        <v>10178</v>
      </c>
      <c r="D12178" s="6" t="s">
        <v>10193</v>
      </c>
      <c r="E12178" s="2">
        <v>1258203</v>
      </c>
      <c r="F12178" s="4" t="str">
        <f>IF(B12178=B12177,"",B12178)</f>
        <v>Reoti</v>
      </c>
    </row>
    <row r="12179" spans="1:6" ht="15.75" customHeight="1">
      <c r="A12179" s="5" t="str">
        <f ca="1">IFERROR(__xludf.DUMMYFUNCTION("GOOGLETRANSLATE(B32312,""en"",""pt"")"),"Reoti")</f>
        <v>Reoti</v>
      </c>
      <c r="B12179" s="17" t="s">
        <v>13104</v>
      </c>
      <c r="C12179" s="17" t="s">
        <v>10178</v>
      </c>
      <c r="D12179" s="17" t="s">
        <v>10193</v>
      </c>
      <c r="E12179" s="10">
        <v>1258203</v>
      </c>
      <c r="F12179" s="4" t="str">
        <f>IF(B12179=B12178,"",B12179)</f>
        <v/>
      </c>
    </row>
    <row r="12180" spans="1:6" ht="15.75" customHeight="1">
      <c r="A12180" s="5" t="str">
        <f ca="1">IFERROR(__xludf.DUMMYFUNCTION("GOOGLETRANSLATE(B23980,""en"",""pt"")"),"Réo")</f>
        <v>Réo</v>
      </c>
      <c r="B12180" s="17" t="s">
        <v>31315</v>
      </c>
      <c r="C12180" s="17" t="s">
        <v>3768</v>
      </c>
      <c r="D12180" s="17" t="s">
        <v>3798</v>
      </c>
      <c r="E12180" s="10">
        <v>2356228</v>
      </c>
      <c r="F12180" s="4" t="str">
        <f>IF(B12180=B12179,"",B12180)</f>
        <v>Réo</v>
      </c>
    </row>
    <row r="12181" spans="1:6" ht="15.75" customHeight="1">
      <c r="A12181" s="5" t="str">
        <f ca="1">IFERROR(__xludf.DUMMYFUNCTION("GOOGLETRANSLATE(B32313,""en"",""pt"")"),"Renukūt")</f>
        <v>Renukūt</v>
      </c>
      <c r="B12181" s="17" t="s">
        <v>33150</v>
      </c>
      <c r="C12181" s="17" t="s">
        <v>10178</v>
      </c>
      <c r="D12181" s="17" t="s">
        <v>10193</v>
      </c>
      <c r="E12181" s="10">
        <v>1258207</v>
      </c>
      <c r="F12181" s="4" t="str">
        <f>IF(B12181=B12180,"",B12181)</f>
        <v>Renukūt</v>
      </c>
    </row>
    <row r="12182" spans="1:6" ht="15.75" customHeight="1">
      <c r="A12182" s="5" t="s">
        <v>13102</v>
      </c>
      <c r="B12182" s="6" t="s">
        <v>13103</v>
      </c>
      <c r="C12182" s="5" t="s">
        <v>10178</v>
      </c>
      <c r="D12182" s="5" t="s">
        <v>10193</v>
      </c>
      <c r="E12182" s="2">
        <v>1258207</v>
      </c>
      <c r="F12182" s="4" t="str">
        <f>IF(B12182=B12181,"",B12182)</f>
        <v>RenukÅ«t</v>
      </c>
    </row>
    <row r="12183" spans="1:6" ht="15.75" customHeight="1">
      <c r="A12183" s="6" t="s">
        <v>29792</v>
      </c>
      <c r="B12183" s="6" t="s">
        <v>29792</v>
      </c>
      <c r="C12183" s="6" t="s">
        <v>27788</v>
      </c>
      <c r="D12183" s="6" t="s">
        <v>27733</v>
      </c>
      <c r="E12183" s="2">
        <v>5808189</v>
      </c>
      <c r="F12183" s="4" t="str">
        <f>IF(B12183=B12182,"",B12183)</f>
        <v>Renton</v>
      </c>
    </row>
    <row r="12184" spans="1:6" ht="15.75" customHeight="1">
      <c r="A12184" s="5" t="str">
        <f ca="1">IFERROR(__xludf.DUMMYFUNCTION("GOOGLETRANSLATE(B45369,""en"",""pt"")"),"Renton")</f>
        <v>Renton</v>
      </c>
      <c r="B12184" s="17" t="s">
        <v>29792</v>
      </c>
      <c r="C12184" s="17" t="s">
        <v>27788</v>
      </c>
      <c r="D12184" s="17" t="s">
        <v>27733</v>
      </c>
      <c r="E12184" s="10">
        <v>5808189</v>
      </c>
      <c r="F12184" s="4" t="str">
        <f>IF(B12184=B12183,"",B12184)</f>
        <v/>
      </c>
    </row>
    <row r="12185" spans="1:6" ht="15.75" customHeight="1">
      <c r="A12185" s="6" t="s">
        <v>5033</v>
      </c>
      <c r="B12185" s="6" t="s">
        <v>5033</v>
      </c>
      <c r="C12185" s="6" t="s">
        <v>4487</v>
      </c>
      <c r="D12185" s="6" t="s">
        <v>4529</v>
      </c>
      <c r="E12185" s="2">
        <v>1797181</v>
      </c>
      <c r="F12185" s="4" t="str">
        <f>IF(B12185=B12184,"",B12185)</f>
        <v>Renqiu</v>
      </c>
    </row>
    <row r="12186" spans="1:6" ht="15.75" customHeight="1">
      <c r="A12186" s="5" t="str">
        <f ca="1">IFERROR(__xludf.DUMMYFUNCTION("GOOGLETRANSLATE(B26292,""en"",""pt"")"),"Renqiu")</f>
        <v>Renqiu</v>
      </c>
      <c r="B12186" s="17" t="s">
        <v>5033</v>
      </c>
      <c r="C12186" s="17" t="s">
        <v>4487</v>
      </c>
      <c r="D12186" s="17" t="s">
        <v>4529</v>
      </c>
      <c r="E12186" s="10">
        <v>1797181</v>
      </c>
      <c r="F12186" s="4" t="str">
        <f>IF(B12186=B12185,"",B12186)</f>
        <v/>
      </c>
    </row>
    <row r="12187" spans="1:6" ht="15.75" customHeight="1">
      <c r="A12187" s="6" t="s">
        <v>29791</v>
      </c>
      <c r="B12187" s="6" t="s">
        <v>29791</v>
      </c>
      <c r="C12187" s="6" t="s">
        <v>27788</v>
      </c>
      <c r="D12187" s="6" t="s">
        <v>28073</v>
      </c>
      <c r="E12187" s="2">
        <v>5511077</v>
      </c>
      <c r="F12187" s="4" t="str">
        <f>IF(B12187=B12186,"",B12187)</f>
        <v>Reno</v>
      </c>
    </row>
    <row r="12188" spans="1:6" ht="15.75" customHeight="1">
      <c r="A12188" s="5" t="str">
        <f ca="1">IFERROR(__xludf.DUMMYFUNCTION("GOOGLETRANSLATE(B45148,""en"",""pt"")"),"Reno")</f>
        <v>Reno</v>
      </c>
      <c r="B12188" s="17" t="s">
        <v>29791</v>
      </c>
      <c r="C12188" s="17" t="s">
        <v>27788</v>
      </c>
      <c r="D12188" s="17" t="s">
        <v>28073</v>
      </c>
      <c r="E12188" s="10">
        <v>5511077</v>
      </c>
      <c r="F12188" s="4" t="str">
        <f>IF(B12188=B12187,"",B12188)</f>
        <v/>
      </c>
    </row>
    <row r="12189" spans="1:6" ht="15.75" customHeight="1">
      <c r="A12189" s="5" t="s">
        <v>9040</v>
      </c>
      <c r="B12189" s="6" t="s">
        <v>9040</v>
      </c>
      <c r="C12189" s="5" t="s">
        <v>8028</v>
      </c>
      <c r="D12189" s="5" t="s">
        <v>8031</v>
      </c>
      <c r="E12189" s="2">
        <v>2848175</v>
      </c>
      <c r="F12189" s="4" t="str">
        <f>IF(B12189=B12188,"",B12189)</f>
        <v>Renningen</v>
      </c>
    </row>
    <row r="12190" spans="1:6" ht="15.75" customHeight="1">
      <c r="A12190" s="5" t="str">
        <f ca="1">IFERROR(__xludf.DUMMYFUNCTION("GOOGLETRANSLATE(B27609,""en"",""pt"")"),"Renningen")</f>
        <v>Renningen</v>
      </c>
      <c r="B12190" s="17" t="s">
        <v>9040</v>
      </c>
      <c r="C12190" s="17" t="s">
        <v>8028</v>
      </c>
      <c r="D12190" s="17" t="s">
        <v>32013</v>
      </c>
      <c r="E12190" s="10">
        <v>2848175</v>
      </c>
      <c r="F12190" s="4" t="str">
        <f>IF(B12190=B12189,"",B12190)</f>
        <v/>
      </c>
    </row>
    <row r="12191" spans="1:6" ht="15.75" customHeight="1">
      <c r="A12191" s="6" t="s">
        <v>7698</v>
      </c>
      <c r="B12191" s="6" t="s">
        <v>7698</v>
      </c>
      <c r="C12191" s="6" t="s">
        <v>7052</v>
      </c>
      <c r="D12191" s="6" t="s">
        <v>7190</v>
      </c>
      <c r="E12191" s="2">
        <v>2983990</v>
      </c>
      <c r="F12191" s="4" t="str">
        <f>IF(B12191=B12190,"",B12191)</f>
        <v>Rennes</v>
      </c>
    </row>
    <row r="12192" spans="1:6" ht="15.75" customHeight="1">
      <c r="A12192" s="5" t="str">
        <f ca="1">IFERROR(__xludf.DUMMYFUNCTION("GOOGLETRANSLATE(B29836,""en"",""pt"")"),"Rennes")</f>
        <v>Rennes</v>
      </c>
      <c r="B12192" s="17" t="s">
        <v>7698</v>
      </c>
      <c r="C12192" s="17" t="s">
        <v>7052</v>
      </c>
      <c r="D12192" s="17" t="s">
        <v>7190</v>
      </c>
      <c r="E12192" s="10">
        <v>2983990</v>
      </c>
      <c r="F12192" s="4" t="str">
        <f>IF(B12192=B12191,"",B12192)</f>
        <v/>
      </c>
    </row>
    <row r="12193" spans="1:6" ht="15.75" customHeight="1">
      <c r="A12193" s="5" t="s">
        <v>13101</v>
      </c>
      <c r="B12193" s="6" t="s">
        <v>13101</v>
      </c>
      <c r="C12193" s="5" t="s">
        <v>10178</v>
      </c>
      <c r="D12193" s="5" t="s">
        <v>10190</v>
      </c>
      <c r="E12193" s="2">
        <v>1258213</v>
      </c>
      <c r="F12193" s="4" t="str">
        <f>IF(B12193=B12192,"",B12193)</f>
        <v>Renigunta</v>
      </c>
    </row>
    <row r="12194" spans="1:6" ht="15.75" customHeight="1">
      <c r="A12194" s="5" t="str">
        <f ca="1">IFERROR(__xludf.DUMMYFUNCTION("GOOGLETRANSLATE(B32314,""en"",""pt"")"),"Renigunta")</f>
        <v>Renigunta</v>
      </c>
      <c r="B12194" s="17" t="s">
        <v>13101</v>
      </c>
      <c r="C12194" s="17" t="s">
        <v>10178</v>
      </c>
      <c r="D12194" s="17" t="s">
        <v>10190</v>
      </c>
      <c r="E12194" s="10">
        <v>1258213</v>
      </c>
      <c r="F12194" s="4" t="str">
        <f>IF(B12194=B12193,"",B12194)</f>
        <v/>
      </c>
    </row>
    <row r="12195" spans="1:6" ht="15.75" customHeight="1">
      <c r="A12195" s="6" t="s">
        <v>27121</v>
      </c>
      <c r="B12195" s="6" t="s">
        <v>27121</v>
      </c>
      <c r="C12195" s="6" t="s">
        <v>26870</v>
      </c>
      <c r="D12195" s="6" t="s">
        <v>26884</v>
      </c>
      <c r="E12195" s="2">
        <v>695670</v>
      </c>
      <c r="F12195" s="4" t="str">
        <f>IF(B12195=B12194,"",B12195)</f>
        <v>Reni</v>
      </c>
    </row>
    <row r="12196" spans="1:6" ht="15.75" customHeight="1">
      <c r="A12196" s="5" t="str">
        <f ca="1">IFERROR(__xludf.DUMMYFUNCTION("GOOGLETRANSLATE(B42540,""en"",""pt"")"),"Reni")</f>
        <v>Reni</v>
      </c>
      <c r="B12196" s="17" t="s">
        <v>27121</v>
      </c>
      <c r="C12196" s="17" t="s">
        <v>26870</v>
      </c>
      <c r="D12196" s="17" t="s">
        <v>26884</v>
      </c>
      <c r="E12196" s="10">
        <v>695670</v>
      </c>
      <c r="F12196" s="4" t="str">
        <f>IF(B12196=B12195,"",B12196)</f>
        <v/>
      </c>
    </row>
    <row r="12197" spans="1:6" ht="15.75" customHeight="1">
      <c r="A12197" s="6" t="s">
        <v>4465</v>
      </c>
      <c r="B12197" s="6" t="s">
        <v>4465</v>
      </c>
      <c r="C12197" s="6" t="s">
        <v>4355</v>
      </c>
      <c r="D12197" s="6" t="s">
        <v>4379</v>
      </c>
      <c r="E12197" s="2">
        <v>3873441</v>
      </c>
      <c r="F12197" s="4" t="str">
        <f>IF(B12197=B12196,"",B12197)</f>
        <v>Rengo</v>
      </c>
    </row>
    <row r="12198" spans="1:6" ht="15.75" customHeight="1">
      <c r="A12198" s="5" t="str">
        <f ca="1">IFERROR(__xludf.DUMMYFUNCTION("GOOGLETRANSLATE(B25906,""en"",""pt"")"),"Rengo")</f>
        <v>Rengo</v>
      </c>
      <c r="B12198" s="17" t="s">
        <v>4465</v>
      </c>
      <c r="C12198" s="17" t="s">
        <v>4355</v>
      </c>
      <c r="D12198" s="17" t="s">
        <v>4379</v>
      </c>
      <c r="E12198" s="10">
        <v>3873441</v>
      </c>
      <c r="F12198" s="4" t="str">
        <f>IF(B12198=B12197,"",B12198)</f>
        <v/>
      </c>
    </row>
    <row r="12199" spans="1:6" ht="15.75" customHeight="1">
      <c r="A12199" s="5" t="s">
        <v>14125</v>
      </c>
      <c r="B12199" s="6" t="s">
        <v>14125</v>
      </c>
      <c r="C12199" s="5" t="s">
        <v>13800</v>
      </c>
      <c r="D12199" s="5" t="s">
        <v>13811</v>
      </c>
      <c r="E12199" s="2">
        <v>1629710</v>
      </c>
      <c r="F12199" s="4" t="str">
        <f>IF(B12199=B12198,"",B12199)</f>
        <v>Rengasdengklok</v>
      </c>
    </row>
    <row r="12200" spans="1:6" ht="15.75" customHeight="1">
      <c r="A12200" s="5" t="str">
        <f ca="1">IFERROR(__xludf.DUMMYFUNCTION("GOOGLETRANSLATE(B31469,""en"",""pt"")"),"Rengasdengklok")</f>
        <v>Rengasdengklok</v>
      </c>
      <c r="B12200" s="17" t="s">
        <v>14125</v>
      </c>
      <c r="C12200" s="17" t="s">
        <v>13800</v>
      </c>
      <c r="D12200" s="17" t="s">
        <v>13811</v>
      </c>
      <c r="E12200" s="10">
        <v>1629710</v>
      </c>
      <c r="F12200" s="4" t="str">
        <f>IF(B12200=B12199,"",B12200)</f>
        <v/>
      </c>
    </row>
    <row r="12201" spans="1:6" ht="15.75" customHeight="1">
      <c r="A12201" s="6" t="s">
        <v>27633</v>
      </c>
      <c r="B12201" s="6" t="s">
        <v>27633</v>
      </c>
      <c r="C12201" s="6" t="s">
        <v>27234</v>
      </c>
      <c r="D12201" s="6" t="s">
        <v>27237</v>
      </c>
      <c r="E12201" s="2">
        <v>2639495</v>
      </c>
      <c r="F12201" s="4" t="str">
        <f>IF(B12201=B12200,"",B12201)</f>
        <v>Renfrew</v>
      </c>
    </row>
    <row r="12202" spans="1:6" ht="15.75" customHeight="1">
      <c r="A12202" s="5" t="str">
        <f ca="1">IFERROR(__xludf.DUMMYFUNCTION("GOOGLETRANSLATE(B30448,""en"",""pt"")"),"Renfrew")</f>
        <v>Renfrew</v>
      </c>
      <c r="B12202" s="17" t="s">
        <v>27633</v>
      </c>
      <c r="C12202" s="17" t="s">
        <v>27234</v>
      </c>
      <c r="D12202" s="17" t="s">
        <v>27237</v>
      </c>
      <c r="E12202" s="10">
        <v>2639495</v>
      </c>
      <c r="F12202" s="4" t="str">
        <f>IF(B12202=B12201,"",B12202)</f>
        <v/>
      </c>
    </row>
    <row r="12203" spans="1:6" ht="15.75" customHeight="1">
      <c r="A12203" s="6" t="s">
        <v>25303</v>
      </c>
      <c r="B12203" s="6" t="s">
        <v>25304</v>
      </c>
      <c r="C12203" s="6" t="s">
        <v>25237</v>
      </c>
      <c r="D12203" s="6" t="s">
        <v>25284</v>
      </c>
      <c r="E12203" s="2">
        <v>2659070</v>
      </c>
      <c r="F12203" s="4" t="str">
        <f>IF(B12203=B12202,"",B12203)</f>
        <v>Renens</v>
      </c>
    </row>
    <row r="12204" spans="1:6" ht="15.75" customHeight="1">
      <c r="A12204" s="5" t="str">
        <f ca="1">IFERROR(__xludf.DUMMYFUNCTION("GOOGLETRANSLATE(B25758,""en"",""pt"")"),"Renense")</f>
        <v>Renense</v>
      </c>
      <c r="B12204" s="17" t="s">
        <v>25304</v>
      </c>
      <c r="C12204" s="17" t="s">
        <v>25237</v>
      </c>
      <c r="D12204" s="17" t="s">
        <v>25284</v>
      </c>
      <c r="E12204" s="10">
        <v>2659070</v>
      </c>
      <c r="F12204" s="4" t="str">
        <f>IF(B12204=B12203,"",B12204)</f>
        <v/>
      </c>
    </row>
    <row r="12205" spans="1:6" ht="15.75" customHeight="1">
      <c r="A12205" s="5" t="s">
        <v>9038</v>
      </c>
      <c r="B12205" s="6" t="s">
        <v>9039</v>
      </c>
      <c r="C12205" s="5" t="s">
        <v>8028</v>
      </c>
      <c r="D12205" s="5" t="s">
        <v>8040</v>
      </c>
      <c r="E12205" s="2">
        <v>2848245</v>
      </c>
      <c r="F12205" s="4" t="str">
        <f>IF(B12205=B12204,"",B12205)</f>
        <v>Rendsburg</v>
      </c>
    </row>
    <row r="12206" spans="1:6" ht="15.75" customHeight="1">
      <c r="A12206" s="5" t="str">
        <f ca="1">IFERROR(__xludf.DUMMYFUNCTION("GOOGLETRANSLATE(B27610,""en"",""pt"")"),"RENDSBURG")</f>
        <v>RENDSBURG</v>
      </c>
      <c r="B12206" s="17" t="s">
        <v>9039</v>
      </c>
      <c r="C12206" s="17" t="s">
        <v>8028</v>
      </c>
      <c r="D12206" s="17" t="s">
        <v>8040</v>
      </c>
      <c r="E12206" s="10">
        <v>2848245</v>
      </c>
      <c r="F12206" s="4" t="str">
        <f>IF(B12206=B12205,"",B12206)</f>
        <v/>
      </c>
    </row>
    <row r="12207" spans="1:6" ht="15.75" customHeight="1">
      <c r="A12207" s="5" t="str">
        <f ca="1">IFERROR(__xludf.DUMMYFUNCTION("GOOGLETRANSLATE(B38934,""en"",""pt"")"),"Renāla Khurd")</f>
        <v>Renāla Khurd</v>
      </c>
      <c r="B12207" s="17" t="s">
        <v>34924</v>
      </c>
      <c r="C12207" s="17" t="s">
        <v>19808</v>
      </c>
      <c r="D12207" s="17" t="s">
        <v>10184</v>
      </c>
      <c r="E12207" s="10">
        <v>1166933</v>
      </c>
      <c r="F12207" s="4" t="str">
        <f>IF(B12207=B12206,"",B12207)</f>
        <v>Renāla Khurd</v>
      </c>
    </row>
    <row r="12208" spans="1:6" ht="15.75" customHeight="1">
      <c r="A12208" s="5" t="s">
        <v>20188</v>
      </c>
      <c r="B12208" s="6" t="s">
        <v>20189</v>
      </c>
      <c r="C12208" s="5" t="s">
        <v>19808</v>
      </c>
      <c r="D12208" s="5" t="s">
        <v>10184</v>
      </c>
      <c r="E12208" s="2">
        <v>1166933</v>
      </c>
      <c r="F12208" s="4" t="str">
        <f>IF(B12208=B12207,"",B12208)</f>
        <v>RenÄla Khurd</v>
      </c>
    </row>
    <row r="12209" spans="1:6" ht="15.75" customHeight="1">
      <c r="A12209" s="6" t="s">
        <v>13100</v>
      </c>
      <c r="B12209" s="6" t="s">
        <v>13100</v>
      </c>
      <c r="C12209" s="6" t="s">
        <v>10178</v>
      </c>
      <c r="D12209" s="6" t="s">
        <v>10229</v>
      </c>
      <c r="E12209" s="2">
        <v>1258229</v>
      </c>
      <c r="F12209" s="4" t="str">
        <f>IF(B12209=B12208,"",B12209)</f>
        <v>Remuna</v>
      </c>
    </row>
    <row r="12210" spans="1:6" ht="15.75" customHeight="1">
      <c r="A12210" s="5" t="str">
        <f ca="1">IFERROR(__xludf.DUMMYFUNCTION("GOOGLETRANSLATE(B32315,""en"",""pt"")"),"Remuna")</f>
        <v>Remuna</v>
      </c>
      <c r="B12210" s="17" t="s">
        <v>13100</v>
      </c>
      <c r="C12210" s="17" t="s">
        <v>10178</v>
      </c>
      <c r="D12210" s="17" t="s">
        <v>10229</v>
      </c>
      <c r="E12210" s="10">
        <v>1258229</v>
      </c>
      <c r="F12210" s="4" t="str">
        <f>IF(B12210=B12209,"",B12210)</f>
        <v/>
      </c>
    </row>
    <row r="12211" spans="1:6" ht="15.75" customHeight="1">
      <c r="A12211" s="5" t="s">
        <v>9037</v>
      </c>
      <c r="B12211" s="6" t="s">
        <v>9037</v>
      </c>
      <c r="C12211" s="5" t="s">
        <v>8028</v>
      </c>
      <c r="D12211" s="5" t="s">
        <v>8029</v>
      </c>
      <c r="E12211" s="2">
        <v>2848273</v>
      </c>
      <c r="F12211" s="4" t="str">
        <f>IF(B12211=B12210,"",B12211)</f>
        <v>Remscheid</v>
      </c>
    </row>
    <row r="12212" spans="1:6" ht="15.75" customHeight="1">
      <c r="A12212" s="5" t="str">
        <f ca="1">IFERROR(__xludf.DUMMYFUNCTION("GOOGLETRANSLATE(B27611,""en"",""pt"")"),"Remscheid")</f>
        <v>Remscheid</v>
      </c>
      <c r="B12212" s="17" t="s">
        <v>9037</v>
      </c>
      <c r="C12212" s="17" t="s">
        <v>8028</v>
      </c>
      <c r="D12212" s="17" t="s">
        <v>8029</v>
      </c>
      <c r="E12212" s="10">
        <v>2848273</v>
      </c>
      <c r="F12212" s="4" t="str">
        <f>IF(B12212=B12211,"",B12212)</f>
        <v/>
      </c>
    </row>
    <row r="12213" spans="1:6" ht="15.75" customHeight="1">
      <c r="A12213" s="5" t="str">
        <f ca="1">IFERROR(__xludf.DUMMYFUNCTION("GOOGLETRANSLATE(B30851,""en"",""pt"")"),"Rémire-Montjoly")</f>
        <v>Rémire-Montjoly</v>
      </c>
      <c r="B12213" s="17" t="s">
        <v>32662</v>
      </c>
      <c r="C12213" s="17" t="s">
        <v>7942</v>
      </c>
      <c r="D12213" s="17" t="s">
        <v>7943</v>
      </c>
      <c r="E12213" s="10">
        <v>3380892</v>
      </c>
      <c r="F12213" s="4" t="str">
        <f>IF(B12213=B12212,"",B12213)</f>
        <v>Rémire-Montjoly</v>
      </c>
    </row>
    <row r="12214" spans="1:6" ht="15.75" customHeight="1">
      <c r="A12214" s="5" t="s">
        <v>5897</v>
      </c>
      <c r="B12214" s="6" t="s">
        <v>5897</v>
      </c>
      <c r="C12214" s="5" t="s">
        <v>5764</v>
      </c>
      <c r="D12214" s="5" t="s">
        <v>5803</v>
      </c>
      <c r="E12214" s="2">
        <v>3542455</v>
      </c>
      <c r="F12214" s="4" t="str">
        <f>IF(B12214=B12213,"",B12214)</f>
        <v>Remedios</v>
      </c>
    </row>
    <row r="12215" spans="1:6" ht="15.75" customHeight="1">
      <c r="A12215" s="5" t="str">
        <f ca="1">IFERROR(__xludf.DUMMYFUNCTION("GOOGLETRANSLATE(B27129,""en"",""pt"")"),"Remedios")</f>
        <v>Remedios</v>
      </c>
      <c r="B12215" s="17" t="s">
        <v>5897</v>
      </c>
      <c r="C12215" s="17" t="s">
        <v>5764</v>
      </c>
      <c r="D12215" s="17" t="s">
        <v>5803</v>
      </c>
      <c r="E12215" s="10">
        <v>3542455</v>
      </c>
      <c r="F12215" s="4" t="str">
        <f>IF(B12215=B12214,"",B12215)</f>
        <v/>
      </c>
    </row>
    <row r="12216" spans="1:6" ht="15.75" customHeight="1">
      <c r="A12216" s="6" t="s">
        <v>435</v>
      </c>
      <c r="B12216" s="6" t="s">
        <v>435</v>
      </c>
      <c r="C12216" s="6" t="s">
        <v>153</v>
      </c>
      <c r="D12216" s="6" t="s">
        <v>253</v>
      </c>
      <c r="E12216" s="2">
        <v>2483649</v>
      </c>
      <c r="F12216" s="4" t="str">
        <f>IF(B12216=B12215,"",B12216)</f>
        <v>Remchi</v>
      </c>
    </row>
    <row r="12217" spans="1:6" ht="15.75" customHeight="1">
      <c r="A12217" s="5" t="str">
        <f ca="1">IFERROR(__xludf.DUMMYFUNCTION("GOOGLETRANSLATE(B28556,""en"",""pt"")"),"Remchi")</f>
        <v>Remchi</v>
      </c>
      <c r="B12217" s="17" t="s">
        <v>435</v>
      </c>
      <c r="C12217" s="17" t="s">
        <v>153</v>
      </c>
      <c r="D12217" s="17" t="s">
        <v>253</v>
      </c>
      <c r="E12217" s="10">
        <v>2483649</v>
      </c>
      <c r="F12217" s="4" t="str">
        <f>IF(B12217=B12216,"",B12217)</f>
        <v/>
      </c>
    </row>
    <row r="12218" spans="1:6" ht="15.75" customHeight="1">
      <c r="A12218" s="5" t="str">
        <f ca="1">IFERROR(__xludf.DUMMYFUNCTION("GOOGLETRANSLATE(B39214,""en"",""pt"")"),"Rembertów")</f>
        <v>Rembertów</v>
      </c>
      <c r="B12218" s="17" t="s">
        <v>35085</v>
      </c>
      <c r="C12218" s="17" t="s">
        <v>21064</v>
      </c>
      <c r="D12218" s="17" t="s">
        <v>21070</v>
      </c>
      <c r="E12218" s="10">
        <v>760503</v>
      </c>
      <c r="F12218" s="4" t="str">
        <f>IF(B12218=B12217,"",B12218)</f>
        <v>Rembertów</v>
      </c>
    </row>
    <row r="12219" spans="1:6" ht="15.75" customHeight="1">
      <c r="A12219" s="5" t="s">
        <v>21466</v>
      </c>
      <c r="B12219" s="6" t="s">
        <v>21467</v>
      </c>
      <c r="C12219" s="5" t="s">
        <v>21064</v>
      </c>
      <c r="D12219" s="5" t="s">
        <v>21070</v>
      </c>
      <c r="E12219" s="2">
        <v>760503</v>
      </c>
      <c r="F12219" s="4" t="str">
        <f>IF(B12219=B12218,"",B12219)</f>
        <v>RembertÃ³w</v>
      </c>
    </row>
    <row r="12220" spans="1:6" ht="15.75" customHeight="1">
      <c r="A12220" s="5" t="s">
        <v>14123</v>
      </c>
      <c r="B12220" s="6" t="s">
        <v>14124</v>
      </c>
      <c r="C12220" s="5" t="s">
        <v>13800</v>
      </c>
      <c r="D12220" s="5" t="s">
        <v>13803</v>
      </c>
      <c r="E12220" s="2">
        <v>1629749</v>
      </c>
      <c r="F12220" s="4" t="str">
        <f>IF(B12220=B12219,"",B12220)</f>
        <v>Rembangan</v>
      </c>
    </row>
    <row r="12221" spans="1:6" ht="15.75" customHeight="1">
      <c r="A12221" s="5" t="str">
        <f ca="1">IFERROR(__xludf.DUMMYFUNCTION("GOOGLETRANSLATE(B31470,""en"",""pt"")"),"RUBANGAN")</f>
        <v>RUBANGAN</v>
      </c>
      <c r="B12221" s="17" t="s">
        <v>14124</v>
      </c>
      <c r="C12221" s="17" t="s">
        <v>13800</v>
      </c>
      <c r="D12221" s="17" t="s">
        <v>13803</v>
      </c>
      <c r="E12221" s="10">
        <v>1629749</v>
      </c>
      <c r="F12221" s="4" t="str">
        <f>IF(B12221=B12220,"",B12221)</f>
        <v/>
      </c>
    </row>
    <row r="12222" spans="1:6" ht="15.75" customHeight="1">
      <c r="A12222" s="6" t="s">
        <v>9036</v>
      </c>
      <c r="B12222" s="6" t="s">
        <v>9036</v>
      </c>
      <c r="C12222" s="6" t="s">
        <v>8028</v>
      </c>
      <c r="D12222" s="6" t="s">
        <v>8065</v>
      </c>
      <c r="E12222" s="2">
        <v>2848335</v>
      </c>
      <c r="F12222" s="4" t="str">
        <f>IF(B12222=B12221,"",B12222)</f>
        <v>Remagen</v>
      </c>
    </row>
    <row r="12223" spans="1:6" ht="15.75" customHeight="1">
      <c r="A12223" s="5" t="str">
        <f ca="1">IFERROR(__xludf.DUMMYFUNCTION("GOOGLETRANSLATE(B27612,""en"",""pt"")"),"Remagen")</f>
        <v>Remagen</v>
      </c>
      <c r="B12223" s="17" t="s">
        <v>9036</v>
      </c>
      <c r="C12223" s="17" t="s">
        <v>8028</v>
      </c>
      <c r="D12223" s="17" t="s">
        <v>8065</v>
      </c>
      <c r="E12223" s="10">
        <v>2848335</v>
      </c>
      <c r="F12223" s="4" t="str">
        <f>IF(B12223=B12222,"",B12223)</f>
        <v/>
      </c>
    </row>
    <row r="12224" spans="1:6" ht="15.75" customHeight="1">
      <c r="A12224" s="6" t="s">
        <v>180</v>
      </c>
      <c r="B12224" s="6" t="s">
        <v>180</v>
      </c>
      <c r="C12224" s="6" t="s">
        <v>153</v>
      </c>
      <c r="D12224" s="6" t="s">
        <v>180</v>
      </c>
      <c r="E12224" s="2">
        <v>2483668</v>
      </c>
      <c r="F12224" s="4" t="str">
        <f>IF(B12224=B12223,"",B12224)</f>
        <v>Relizane</v>
      </c>
    </row>
    <row r="12225" spans="1:6" ht="15.75" customHeight="1">
      <c r="A12225" s="5" t="str">
        <f ca="1">IFERROR(__xludf.DUMMYFUNCTION("GOOGLETRANSLATE(B28557,""en"",""pt"")"),"Relizane")</f>
        <v>Relizane</v>
      </c>
      <c r="B12225" s="17" t="s">
        <v>180</v>
      </c>
      <c r="C12225" s="17" t="s">
        <v>153</v>
      </c>
      <c r="D12225" s="17" t="s">
        <v>180</v>
      </c>
      <c r="E12225" s="10">
        <v>2483668</v>
      </c>
      <c r="F12225" s="4" t="str">
        <f>IF(B12225=B12224,"",B12225)</f>
        <v/>
      </c>
    </row>
    <row r="12226" spans="1:6" ht="15.75" customHeight="1">
      <c r="A12226" s="6" t="s">
        <v>23967</v>
      </c>
      <c r="B12226" s="6" t="s">
        <v>23967</v>
      </c>
      <c r="C12226" s="6" t="s">
        <v>23842</v>
      </c>
      <c r="D12226" s="6" t="s">
        <v>23845</v>
      </c>
      <c r="E12226" s="2">
        <v>962847</v>
      </c>
      <c r="F12226" s="4" t="str">
        <f>IF(B12226=B12225,"",B12226)</f>
        <v>Reitz</v>
      </c>
    </row>
    <row r="12227" spans="1:6" ht="15.75" customHeight="1">
      <c r="A12227" s="5" t="str">
        <f ca="1">IFERROR(__xludf.DUMMYFUNCTION("GOOGLETRANSLATE(B45885,""en"",""pt"")"),"Reitz")</f>
        <v>Reitz</v>
      </c>
      <c r="B12227" s="17" t="s">
        <v>23967</v>
      </c>
      <c r="C12227" s="17" t="s">
        <v>23842</v>
      </c>
      <c r="D12227" s="17" t="s">
        <v>23845</v>
      </c>
      <c r="E12227" s="10">
        <v>962847</v>
      </c>
      <c r="F12227" s="4" t="str">
        <f>IF(B12227=B12226,"",B12227)</f>
        <v/>
      </c>
    </row>
    <row r="12228" spans="1:6" ht="15.75" customHeight="1">
      <c r="A12228" s="5" t="s">
        <v>29790</v>
      </c>
      <c r="B12228" s="6" t="s">
        <v>29790</v>
      </c>
      <c r="C12228" s="5" t="s">
        <v>27788</v>
      </c>
      <c r="D12228" s="5" t="s">
        <v>17061</v>
      </c>
      <c r="E12228" s="2">
        <v>4366647</v>
      </c>
      <c r="F12228" s="4" t="str">
        <f>IF(B12228=B12227,"",B12228)</f>
        <v>Reisterstown</v>
      </c>
    </row>
    <row r="12229" spans="1:6" ht="15.75" customHeight="1">
      <c r="A12229" s="5" t="str">
        <f ca="1">IFERROR(__xludf.DUMMYFUNCTION("GOOGLETRANSLATE(B43325,""en"",""pt"")"),"Reisterstown")</f>
        <v>Reisterstown</v>
      </c>
      <c r="B12229" s="17" t="s">
        <v>29790</v>
      </c>
      <c r="C12229" s="17" t="s">
        <v>27788</v>
      </c>
      <c r="D12229" s="17" t="s">
        <v>17061</v>
      </c>
      <c r="E12229" s="10">
        <v>4366647</v>
      </c>
      <c r="F12229" s="4" t="str">
        <f>IF(B12229=B12228,"",B12229)</f>
        <v/>
      </c>
    </row>
    <row r="12230" spans="1:6" ht="15.75" customHeight="1">
      <c r="A12230" s="5" t="s">
        <v>9035</v>
      </c>
      <c r="B12230" s="6" t="s">
        <v>9035</v>
      </c>
      <c r="C12230" s="5" t="s">
        <v>8028</v>
      </c>
      <c r="D12230" s="5" t="s">
        <v>8036</v>
      </c>
      <c r="E12230" s="2">
        <v>2848756</v>
      </c>
      <c r="F12230" s="4" t="str">
        <f>IF(B12230=B12229,"",B12230)</f>
        <v>Reinickendorf</v>
      </c>
    </row>
    <row r="12231" spans="1:6" ht="15.75" customHeight="1">
      <c r="A12231" s="5" t="str">
        <f ca="1">IFERROR(__xludf.DUMMYFUNCTION("GOOGLETRANSLATE(B27613,""en"",""pt"")"),"Reinickendorf")</f>
        <v>Reinickendorf</v>
      </c>
      <c r="B12231" s="17" t="s">
        <v>9035</v>
      </c>
      <c r="C12231" s="17" t="s">
        <v>8028</v>
      </c>
      <c r="D12231" s="17" t="s">
        <v>8036</v>
      </c>
      <c r="E12231" s="10">
        <v>2848756</v>
      </c>
      <c r="F12231" s="4" t="str">
        <f>IF(B12231=B12230,"",B12231)</f>
        <v/>
      </c>
    </row>
    <row r="12232" spans="1:6" ht="15.75" customHeight="1">
      <c r="A12232" s="6" t="s">
        <v>9034</v>
      </c>
      <c r="B12232" s="6" t="s">
        <v>9034</v>
      </c>
      <c r="C12232" s="6" t="s">
        <v>8028</v>
      </c>
      <c r="D12232" s="6" t="s">
        <v>8050</v>
      </c>
      <c r="E12232" s="2">
        <v>2848762</v>
      </c>
      <c r="F12232" s="4" t="str">
        <f>IF(B12232=B12231,"",B12232)</f>
        <v>Reinheim</v>
      </c>
    </row>
    <row r="12233" spans="1:6" ht="15.75" customHeight="1">
      <c r="A12233" s="5" t="str">
        <f ca="1">IFERROR(__xludf.DUMMYFUNCTION("GOOGLETRANSLATE(B27614,""en"",""pt"")"),"Reinheim")</f>
        <v>Reinheim</v>
      </c>
      <c r="B12233" s="17" t="s">
        <v>9034</v>
      </c>
      <c r="C12233" s="17" t="s">
        <v>8028</v>
      </c>
      <c r="D12233" s="17" t="s">
        <v>8050</v>
      </c>
      <c r="E12233" s="10">
        <v>2848762</v>
      </c>
      <c r="F12233" s="4" t="str">
        <f>IF(B12233=B12232,"",B12233)</f>
        <v/>
      </c>
    </row>
    <row r="12234" spans="1:6" ht="15.75" customHeight="1">
      <c r="A12234" s="6" t="s">
        <v>9033</v>
      </c>
      <c r="B12234" s="6" t="s">
        <v>9033</v>
      </c>
      <c r="C12234" s="6" t="s">
        <v>8028</v>
      </c>
      <c r="D12234" s="6" t="s">
        <v>8040</v>
      </c>
      <c r="E12234" s="2">
        <v>2848845</v>
      </c>
      <c r="F12234" s="4" t="str">
        <f>IF(B12234=B12233,"",B12234)</f>
        <v>Reinbek</v>
      </c>
    </row>
    <row r="12235" spans="1:6" ht="15.75" customHeight="1">
      <c r="A12235" s="5" t="str">
        <f ca="1">IFERROR(__xludf.DUMMYFUNCTION("GOOGLETRANSLATE(B27615,""en"",""pt"")"),"Reinbek")</f>
        <v>Reinbek</v>
      </c>
      <c r="B12235" s="17" t="s">
        <v>9033</v>
      </c>
      <c r="C12235" s="17" t="s">
        <v>8028</v>
      </c>
      <c r="D12235" s="17" t="s">
        <v>8040</v>
      </c>
      <c r="E12235" s="10">
        <v>2848845</v>
      </c>
      <c r="F12235" s="4" t="str">
        <f>IF(B12235=B12234,"",B12235)</f>
        <v/>
      </c>
    </row>
    <row r="12236" spans="1:6" ht="15.75" customHeight="1">
      <c r="A12236" s="6" t="s">
        <v>7697</v>
      </c>
      <c r="B12236" s="6" t="s">
        <v>7697</v>
      </c>
      <c r="C12236" s="6" t="s">
        <v>7052</v>
      </c>
      <c r="D12236" s="6" t="s">
        <v>7061</v>
      </c>
      <c r="E12236" s="2">
        <v>2984114</v>
      </c>
      <c r="F12236" s="4" t="str">
        <f>IF(B12236=B12235,"",B12236)</f>
        <v>Reims</v>
      </c>
    </row>
    <row r="12237" spans="1:6" ht="15.75" customHeight="1">
      <c r="A12237" s="5" t="str">
        <f ca="1">IFERROR(__xludf.DUMMYFUNCTION("GOOGLETRANSLATE(B29837,""en"",""pt"")"),"Reims")</f>
        <v>Reims</v>
      </c>
      <c r="B12237" s="17" t="s">
        <v>7697</v>
      </c>
      <c r="C12237" s="17" t="s">
        <v>7052</v>
      </c>
      <c r="D12237" s="17" t="s">
        <v>7061</v>
      </c>
      <c r="E12237" s="10">
        <v>2984114</v>
      </c>
      <c r="F12237" s="4" t="str">
        <f>IF(B12237=B12236,"",B12237)</f>
        <v/>
      </c>
    </row>
    <row r="12238" spans="1:6" ht="15.75" customHeight="1">
      <c r="A12238" s="6" t="s">
        <v>24133</v>
      </c>
      <c r="B12238" s="6" t="s">
        <v>24133</v>
      </c>
      <c r="C12238" s="6" t="s">
        <v>24024</v>
      </c>
      <c r="D12238" s="6" t="s">
        <v>24035</v>
      </c>
      <c r="E12238" s="2">
        <v>1832501</v>
      </c>
      <c r="F12238" s="4" t="str">
        <f>IF(B12238=B12237,"",B12238)</f>
        <v>Reiko</v>
      </c>
    </row>
    <row r="12239" spans="1:6" ht="15.75" customHeight="1">
      <c r="A12239" s="5" t="str">
        <f ca="1">IFERROR(__xludf.DUMMYFUNCTION("GOOGLETRANSLATE(B36050,""en"",""pt"")"),"Reiko")</f>
        <v>Reiko</v>
      </c>
      <c r="B12239" s="17" t="s">
        <v>24133</v>
      </c>
      <c r="C12239" s="17" t="s">
        <v>24024</v>
      </c>
      <c r="D12239" s="17" t="s">
        <v>24035</v>
      </c>
      <c r="E12239" s="10">
        <v>1832501</v>
      </c>
      <c r="F12239" s="4" t="str">
        <f>IF(B12239=B12238,"",B12239)</f>
        <v/>
      </c>
    </row>
    <row r="12240" spans="1:6" ht="15.75" customHeight="1">
      <c r="A12240" s="6" t="s">
        <v>27632</v>
      </c>
      <c r="B12240" s="6" t="s">
        <v>27632</v>
      </c>
      <c r="C12240" s="6" t="s">
        <v>27234</v>
      </c>
      <c r="D12240" s="6" t="s">
        <v>27241</v>
      </c>
      <c r="E12240" s="2">
        <v>2639506</v>
      </c>
      <c r="F12240" s="4" t="str">
        <f>IF(B12240=B12239,"",B12240)</f>
        <v>Reigate</v>
      </c>
    </row>
    <row r="12241" spans="1:6" ht="15.75" customHeight="1">
      <c r="A12241" s="5" t="str">
        <f ca="1">IFERROR(__xludf.DUMMYFUNCTION("GOOGLETRANSLATE(B30449,""en"",""pt"")"),"Reigate")</f>
        <v>Reigate</v>
      </c>
      <c r="B12241" s="17" t="s">
        <v>27632</v>
      </c>
      <c r="C12241" s="17" t="s">
        <v>27234</v>
      </c>
      <c r="D12241" s="17" t="s">
        <v>27241</v>
      </c>
      <c r="E12241" s="10">
        <v>2639506</v>
      </c>
      <c r="F12241" s="4" t="str">
        <f>IF(B12241=B12240,"",B12241)</f>
        <v/>
      </c>
    </row>
    <row r="12242" spans="1:6" ht="15.75" customHeight="1">
      <c r="A12242" s="5" t="s">
        <v>9032</v>
      </c>
      <c r="B12242" s="6" t="s">
        <v>9032</v>
      </c>
      <c r="C12242" s="5" t="s">
        <v>8028</v>
      </c>
      <c r="D12242" s="5" t="s">
        <v>8072</v>
      </c>
      <c r="E12242" s="2">
        <v>2849156</v>
      </c>
      <c r="F12242" s="4" t="str">
        <f>IF(B12242=B12241,"",B12242)</f>
        <v>Reichenbach/Vogtland</v>
      </c>
    </row>
    <row r="12243" spans="1:6" ht="15.75" customHeight="1">
      <c r="A12243" s="5" t="str">
        <f ca="1">IFERROR(__xludf.DUMMYFUNCTION("GOOGLETRANSLATE(B27616,""en"",""pt"")"),"Reichenbach/Vogtland")</f>
        <v>Reichenbach/Vogtland</v>
      </c>
      <c r="B12243" s="17" t="s">
        <v>9032</v>
      </c>
      <c r="C12243" s="17" t="s">
        <v>8028</v>
      </c>
      <c r="D12243" s="17" t="s">
        <v>8072</v>
      </c>
      <c r="E12243" s="10">
        <v>2849156</v>
      </c>
      <c r="F12243" s="4" t="str">
        <f>IF(B12243=B12242,"",B12243)</f>
        <v/>
      </c>
    </row>
    <row r="12244" spans="1:6" ht="15.75" customHeight="1">
      <c r="A12244" s="6" t="s">
        <v>18787</v>
      </c>
      <c r="B12244" s="6" t="s">
        <v>18787</v>
      </c>
      <c r="C12244" s="6" t="s">
        <v>18773</v>
      </c>
      <c r="D12244" s="6" t="s">
        <v>18788</v>
      </c>
      <c r="E12244" s="2">
        <v>3353540</v>
      </c>
      <c r="F12244" s="4" t="str">
        <f>IF(B12244=B12243,"",B12244)</f>
        <v>Rehoboth</v>
      </c>
    </row>
    <row r="12245" spans="1:6" ht="15.75" customHeight="1">
      <c r="A12245" s="5" t="str">
        <f ca="1">IFERROR(__xludf.DUMMYFUNCTION("GOOGLETRANSLATE(B37569,""en"",""pt"")"),"Rehoboth")</f>
        <v>Rehoboth</v>
      </c>
      <c r="B12245" s="17" t="s">
        <v>18787</v>
      </c>
      <c r="C12245" s="17" t="s">
        <v>18773</v>
      </c>
      <c r="D12245" s="17" t="s">
        <v>18788</v>
      </c>
      <c r="E12245" s="10">
        <v>3353540</v>
      </c>
      <c r="F12245" s="4" t="str">
        <f>IF(B12245=B12244,"",B12245)</f>
        <v/>
      </c>
    </row>
    <row r="12246" spans="1:6" ht="15.75" customHeight="1">
      <c r="A12246" s="5" t="str">
        <f ca="1">IFERROR(__xludf.DUMMYFUNCTION("GOOGLETRANSLATE(B34515,""en"",""pt"")"),"Rehnān")</f>
        <v>Rehnān</v>
      </c>
      <c r="B12246" s="17" t="s">
        <v>34250</v>
      </c>
      <c r="C12246" s="17" t="s">
        <v>14240</v>
      </c>
      <c r="D12246" s="17" t="s">
        <v>14294</v>
      </c>
      <c r="E12246" s="10">
        <v>418521</v>
      </c>
      <c r="F12246" s="4" t="str">
        <f>IF(B12246=B12245,"",B12246)</f>
        <v>Rehnān</v>
      </c>
    </row>
    <row r="12247" spans="1:6" ht="15.75" customHeight="1">
      <c r="A12247" s="6" t="s">
        <v>14523</v>
      </c>
      <c r="B12247" s="6" t="s">
        <v>14524</v>
      </c>
      <c r="C12247" s="6" t="s">
        <v>14240</v>
      </c>
      <c r="D12247" s="6" t="s">
        <v>14294</v>
      </c>
      <c r="E12247" s="2">
        <v>418521</v>
      </c>
      <c r="F12247" s="4" t="str">
        <f>IF(B12247=B12246,"",B12247)</f>
        <v>RehnÄn</v>
      </c>
    </row>
    <row r="12248" spans="1:6" ht="15.75" customHeight="1">
      <c r="A12248" s="6" t="s">
        <v>13099</v>
      </c>
      <c r="B12248" s="6" t="s">
        <v>13099</v>
      </c>
      <c r="C12248" s="6" t="s">
        <v>10178</v>
      </c>
      <c r="D12248" s="6" t="s">
        <v>10219</v>
      </c>
      <c r="E12248" s="2">
        <v>1258247</v>
      </c>
      <c r="F12248" s="4" t="str">
        <f>IF(B12248=B12247,"",B12248)</f>
        <v>Rehli</v>
      </c>
    </row>
    <row r="12249" spans="1:6" ht="15.75" customHeight="1">
      <c r="A12249" s="5" t="str">
        <f ca="1">IFERROR(__xludf.DUMMYFUNCTION("GOOGLETRANSLATE(B32316,""en"",""pt"")"),"Rehli")</f>
        <v>Rehli</v>
      </c>
      <c r="B12249" s="17" t="s">
        <v>13099</v>
      </c>
      <c r="C12249" s="17" t="s">
        <v>10178</v>
      </c>
      <c r="D12249" s="17" t="s">
        <v>10219</v>
      </c>
      <c r="E12249" s="10">
        <v>1258247</v>
      </c>
      <c r="F12249" s="4" t="str">
        <f>IF(B12249=B12248,"",B12249)</f>
        <v/>
      </c>
    </row>
    <row r="12250" spans="1:6" ht="15.75" customHeight="1">
      <c r="A12250" s="6" t="s">
        <v>434</v>
      </c>
      <c r="B12250" s="6" t="s">
        <v>434</v>
      </c>
      <c r="C12250" s="6" t="s">
        <v>153</v>
      </c>
      <c r="D12250" s="6" t="s">
        <v>319</v>
      </c>
      <c r="E12250" s="2">
        <v>2483746</v>
      </c>
      <c r="F12250" s="4" t="str">
        <f>IF(B12250=B12249,"",B12250)</f>
        <v>Reguiba</v>
      </c>
    </row>
    <row r="12251" spans="1:6" ht="15.75" customHeight="1">
      <c r="A12251" s="5" t="str">
        <f ca="1">IFERROR(__xludf.DUMMYFUNCTION("GOOGLETRANSLATE(B28558,""en"",""pt"")"),"Reguiba")</f>
        <v>Reguiba</v>
      </c>
      <c r="B12251" s="17" t="s">
        <v>434</v>
      </c>
      <c r="C12251" s="17" t="s">
        <v>153</v>
      </c>
      <c r="D12251" s="17" t="s">
        <v>319</v>
      </c>
      <c r="E12251" s="10">
        <v>2483746</v>
      </c>
      <c r="F12251" s="4" t="str">
        <f>IF(B12251=B12250,"",B12251)</f>
        <v/>
      </c>
    </row>
    <row r="12252" spans="1:6" ht="15.75" customHeight="1">
      <c r="A12252" s="6" t="s">
        <v>5896</v>
      </c>
      <c r="B12252" s="6" t="s">
        <v>5896</v>
      </c>
      <c r="C12252" s="6" t="s">
        <v>5764</v>
      </c>
      <c r="D12252" s="6" t="s">
        <v>5768</v>
      </c>
      <c r="E12252" s="2">
        <v>3542502</v>
      </c>
      <c r="F12252" s="4" t="str">
        <f>IF(B12252=B12251,"",B12252)</f>
        <v>Regla</v>
      </c>
    </row>
    <row r="12253" spans="1:6" ht="15.75" customHeight="1">
      <c r="A12253" s="5" t="str">
        <f ca="1">IFERROR(__xludf.DUMMYFUNCTION("GOOGLETRANSLATE(B27130,""en"",""pt"")"),"Regla")</f>
        <v>Regla</v>
      </c>
      <c r="B12253" s="17" t="s">
        <v>5896</v>
      </c>
      <c r="C12253" s="17" t="s">
        <v>5764</v>
      </c>
      <c r="D12253" s="17" t="s">
        <v>5768</v>
      </c>
      <c r="E12253" s="10">
        <v>3542502</v>
      </c>
      <c r="F12253" s="4" t="str">
        <f>IF(B12253=B12252,"",B12253)</f>
        <v/>
      </c>
    </row>
    <row r="12254" spans="1:6" ht="15.75" customHeight="1">
      <c r="A12254" s="6" t="s">
        <v>3196</v>
      </c>
      <c r="B12254" s="6" t="s">
        <v>3196</v>
      </c>
      <c r="C12254" s="6" t="s">
        <v>1905</v>
      </c>
      <c r="D12254" s="6" t="s">
        <v>1914</v>
      </c>
      <c r="E12254" s="2">
        <v>3451704</v>
      </c>
      <c r="F12254" s="4" t="str">
        <f>IF(B12254=B12253,"",B12254)</f>
        <v>Registro</v>
      </c>
    </row>
    <row r="12255" spans="1:6" ht="15.75" customHeight="1">
      <c r="A12255" s="5" t="str">
        <f ca="1">IFERROR(__xludf.DUMMYFUNCTION("GOOGLETRANSLATE(B24656,""en"",""pt"")"),"Registro")</f>
        <v>Registro</v>
      </c>
      <c r="B12255" s="17" t="s">
        <v>3196</v>
      </c>
      <c r="C12255" s="17" t="s">
        <v>1905</v>
      </c>
      <c r="D12255" s="17" t="s">
        <v>3354</v>
      </c>
      <c r="E12255" s="10">
        <v>3451704</v>
      </c>
      <c r="F12255" s="4" t="str">
        <f>IF(B12255=B12254,"",B12255)</f>
        <v/>
      </c>
    </row>
    <row r="12256" spans="1:6" ht="15.75" customHeight="1">
      <c r="A12256" s="6" t="s">
        <v>4160</v>
      </c>
      <c r="B12256" s="6" t="s">
        <v>4160</v>
      </c>
      <c r="C12256" s="6" t="s">
        <v>3975</v>
      </c>
      <c r="D12256" s="6" t="s">
        <v>4087</v>
      </c>
      <c r="E12256" s="2">
        <v>6119109</v>
      </c>
      <c r="F12256" s="4" t="str">
        <f>IF(B12256=B12255,"",B12256)</f>
        <v>Regina</v>
      </c>
    </row>
    <row r="12257" spans="1:6" ht="15.75" customHeight="1">
      <c r="A12257" s="5" t="str">
        <f ca="1">IFERROR(__xludf.DUMMYFUNCTION("GOOGLETRANSLATE(B25557,""en"",""pt"")"),"Regina")</f>
        <v>Regina</v>
      </c>
      <c r="B12257" s="17" t="s">
        <v>4160</v>
      </c>
      <c r="C12257" s="17" t="s">
        <v>3975</v>
      </c>
      <c r="D12257" s="17" t="s">
        <v>4087</v>
      </c>
      <c r="E12257" s="10">
        <v>6119109</v>
      </c>
      <c r="F12257" s="4" t="str">
        <f>IF(B12257=B12256,"",B12257)</f>
        <v/>
      </c>
    </row>
    <row r="12258" spans="1:6" ht="15.75" customHeight="1">
      <c r="A12258" s="5" t="s">
        <v>22005</v>
      </c>
      <c r="B12258" s="6" t="s">
        <v>22005</v>
      </c>
      <c r="C12258" s="5" t="s">
        <v>21824</v>
      </c>
      <c r="D12258" s="5" t="s">
        <v>21949</v>
      </c>
      <c r="E12258" s="2">
        <v>668995</v>
      </c>
      <c r="F12258" s="4" t="str">
        <f>IF(B12258=B12257,"",B12258)</f>
        <v>Reghin-Sat</v>
      </c>
    </row>
    <row r="12259" spans="1:6" ht="15.75" customHeight="1">
      <c r="A12259" s="5" t="str">
        <f ca="1">IFERROR(__xludf.DUMMYFUNCTION("GOOGLETRANSLATE(B39758,""en"",""pt"")"),"Reghin-Sat")</f>
        <v>Reghin-Sat</v>
      </c>
      <c r="B12259" s="17" t="s">
        <v>22005</v>
      </c>
      <c r="C12259" s="17" t="s">
        <v>21824</v>
      </c>
      <c r="D12259" s="17" t="s">
        <v>35338</v>
      </c>
      <c r="E12259" s="10">
        <v>668995</v>
      </c>
      <c r="F12259" s="4" t="str">
        <f>IF(B12259=B12258,"",B12259)</f>
        <v/>
      </c>
    </row>
    <row r="12260" spans="1:6" ht="15.75" customHeight="1">
      <c r="A12260" s="5" t="str">
        <f ca="1">IFERROR(__xludf.DUMMYFUNCTION("GOOGLETRANSLATE(B28559,""en"",""pt"")"),"Reghaïa")</f>
        <v>Reghaïa</v>
      </c>
      <c r="B12260" s="17" t="s">
        <v>32192</v>
      </c>
      <c r="C12260" s="17" t="s">
        <v>153</v>
      </c>
      <c r="D12260" s="17" t="s">
        <v>229</v>
      </c>
      <c r="E12260" s="10">
        <v>2483757</v>
      </c>
      <c r="F12260" s="4" t="str">
        <f>IF(B12260=B12259,"",B12260)</f>
        <v>Reghaïa</v>
      </c>
    </row>
    <row r="12261" spans="1:6" ht="15.75" customHeight="1">
      <c r="A12261" s="6" t="s">
        <v>432</v>
      </c>
      <c r="B12261" s="6" t="s">
        <v>433</v>
      </c>
      <c r="C12261" s="6" t="s">
        <v>153</v>
      </c>
      <c r="D12261" s="6" t="s">
        <v>229</v>
      </c>
      <c r="E12261" s="2">
        <v>2483757</v>
      </c>
      <c r="F12261" s="4" t="str">
        <f>IF(B12261=B12260,"",B12261)</f>
        <v>ReghaÃ¯a</v>
      </c>
    </row>
    <row r="12262" spans="1:6" ht="15.75" customHeight="1">
      <c r="A12262" s="5" t="s">
        <v>15404</v>
      </c>
      <c r="B12262" s="6" t="s">
        <v>15405</v>
      </c>
      <c r="C12262" s="5" t="s">
        <v>14891</v>
      </c>
      <c r="D12262" s="5" t="s">
        <v>14973</v>
      </c>
      <c r="E12262" s="2">
        <v>3169522</v>
      </c>
      <c r="F12262" s="4" t="str">
        <f>IF(B12262=B12261,"",B12262)</f>
        <v>Reggio nell'Emilia</v>
      </c>
    </row>
    <row r="12263" spans="1:6" ht="15.75" customHeight="1">
      <c r="A12263" s="5" t="str">
        <f ca="1">IFERROR(__xludf.DUMMYFUNCTION("GOOGLETRANSLATE(B34747,""en"",""pt"")"),"Reggio Nell'emilia")</f>
        <v>Reggio Nell'emilia</v>
      </c>
      <c r="B12263" s="17" t="s">
        <v>15405</v>
      </c>
      <c r="C12263" s="17" t="s">
        <v>14891</v>
      </c>
      <c r="D12263" s="17" t="s">
        <v>14973</v>
      </c>
      <c r="E12263" s="10">
        <v>3169522</v>
      </c>
      <c r="F12263" s="4" t="str">
        <f>IF(B12263=B12262,"",B12263)</f>
        <v/>
      </c>
    </row>
    <row r="12264" spans="1:6" ht="15.75" customHeight="1">
      <c r="A12264" s="5" t="s">
        <v>15404</v>
      </c>
      <c r="B12264" s="6" t="s">
        <v>15406</v>
      </c>
      <c r="C12264" s="5" t="s">
        <v>14891</v>
      </c>
      <c r="D12264" s="5" t="s">
        <v>14973</v>
      </c>
      <c r="E12264" s="2">
        <v>3169522</v>
      </c>
      <c r="F12264" s="4" t="str">
        <f>IF(B12264=B12263,"",B12264)</f>
        <v>Reggio Emilia</v>
      </c>
    </row>
    <row r="12265" spans="1:6" ht="15.75" customHeight="1">
      <c r="A12265" s="5" t="s">
        <v>15403</v>
      </c>
      <c r="B12265" s="6" t="s">
        <v>15403</v>
      </c>
      <c r="C12265" s="5" t="s">
        <v>14891</v>
      </c>
      <c r="D12265" s="5" t="s">
        <v>14929</v>
      </c>
      <c r="E12265" s="2">
        <v>2523630</v>
      </c>
      <c r="F12265" s="4" t="str">
        <f>IF(B12265=B12264,"",B12265)</f>
        <v>Reggio Calabria</v>
      </c>
    </row>
    <row r="12266" spans="1:6" ht="15.75" customHeight="1">
      <c r="A12266" s="5" t="str">
        <f ca="1">IFERROR(__xludf.DUMMYFUNCTION("GOOGLETRANSLATE(B34558,""en"",""pt"")"),"Reggio Calabria")</f>
        <v>Reggio Calabria</v>
      </c>
      <c r="B12266" s="17" t="s">
        <v>15403</v>
      </c>
      <c r="C12266" s="17" t="s">
        <v>14891</v>
      </c>
      <c r="D12266" s="17" t="s">
        <v>14929</v>
      </c>
      <c r="E12266" s="10">
        <v>2523630</v>
      </c>
      <c r="F12266" s="4" t="str">
        <f>IF(B12266=B12265,"",B12266)</f>
        <v/>
      </c>
    </row>
    <row r="12267" spans="1:6" ht="15.75" customHeight="1">
      <c r="A12267" s="6" t="s">
        <v>431</v>
      </c>
      <c r="B12267" s="6" t="s">
        <v>431</v>
      </c>
      <c r="C12267" s="6" t="s">
        <v>153</v>
      </c>
      <c r="D12267" s="6" t="s">
        <v>217</v>
      </c>
      <c r="E12267" s="2">
        <v>2483761</v>
      </c>
      <c r="F12267" s="4" t="str">
        <f>IF(B12267=B12266,"",B12267)</f>
        <v>Reggane</v>
      </c>
    </row>
    <row r="12268" spans="1:6" ht="15.75" customHeight="1">
      <c r="A12268" s="5" t="str">
        <f ca="1">IFERROR(__xludf.DUMMYFUNCTION("GOOGLETRANSLATE(B28560,""en"",""pt"")"),"Reggane")</f>
        <v>Reggane</v>
      </c>
      <c r="B12268" s="17" t="s">
        <v>431</v>
      </c>
      <c r="C12268" s="17" t="s">
        <v>153</v>
      </c>
      <c r="D12268" s="17" t="s">
        <v>217</v>
      </c>
      <c r="E12268" s="10">
        <v>2483761</v>
      </c>
      <c r="F12268" s="4" t="str">
        <f>IF(B12268=B12267,"",B12268)</f>
        <v/>
      </c>
    </row>
    <row r="12269" spans="1:6" ht="15.75" customHeight="1">
      <c r="A12269" s="5" t="str">
        <f ca="1">IFERROR(__xludf.DUMMYFUNCTION("GOOGLETRANSLATE(B24657,""en"",""pt"")"),"Regente Feijó")</f>
        <v>Regente Feijó</v>
      </c>
      <c r="B12269" s="17" t="s">
        <v>31536</v>
      </c>
      <c r="C12269" s="17" t="s">
        <v>1905</v>
      </c>
      <c r="D12269" s="17" t="s">
        <v>3354</v>
      </c>
      <c r="E12269" s="10">
        <v>3451709</v>
      </c>
      <c r="F12269" s="4" t="str">
        <f>IF(B12269=B12268,"",B12269)</f>
        <v>Regente Feijó</v>
      </c>
    </row>
    <row r="12270" spans="1:6" ht="15.75" customHeight="1">
      <c r="A12270" s="5" t="s">
        <v>3194</v>
      </c>
      <c r="B12270" s="6" t="s">
        <v>3195</v>
      </c>
      <c r="C12270" s="5" t="s">
        <v>1905</v>
      </c>
      <c r="D12270" s="5" t="s">
        <v>1914</v>
      </c>
      <c r="E12270" s="2">
        <v>3451709</v>
      </c>
      <c r="F12270" s="4" t="str">
        <f>IF(B12270=B12269,"",B12270)</f>
        <v>Regente FeijÃ³</v>
      </c>
    </row>
    <row r="12271" spans="1:6" ht="15.75" customHeight="1">
      <c r="A12271" s="5" t="s">
        <v>9031</v>
      </c>
      <c r="B12271" s="6" t="s">
        <v>9031</v>
      </c>
      <c r="C12271" s="5" t="s">
        <v>8028</v>
      </c>
      <c r="D12271" s="5" t="s">
        <v>8044</v>
      </c>
      <c r="E12271" s="2">
        <v>2849483</v>
      </c>
      <c r="F12271" s="4" t="str">
        <f>IF(B12271=B12270,"",B12271)</f>
        <v>Regensburg</v>
      </c>
    </row>
    <row r="12272" spans="1:6" ht="15.75" customHeight="1">
      <c r="A12272" s="5" t="str">
        <f ca="1">IFERROR(__xludf.DUMMYFUNCTION("GOOGLETRANSLATE(B27617,""en"",""pt"")"),"Regensburg")</f>
        <v>Regensburg</v>
      </c>
      <c r="B12272" s="17" t="s">
        <v>9031</v>
      </c>
      <c r="C12272" s="17" t="s">
        <v>8028</v>
      </c>
      <c r="D12272" s="17" t="s">
        <v>8044</v>
      </c>
      <c r="E12272" s="10">
        <v>2849483</v>
      </c>
      <c r="F12272" s="4" t="str">
        <f>IF(B12272=B12271,"",B12272)</f>
        <v/>
      </c>
    </row>
    <row r="12273" spans="1:6" ht="15.75" customHeight="1">
      <c r="A12273" s="6" t="s">
        <v>22991</v>
      </c>
      <c r="B12273" s="6" t="s">
        <v>22991</v>
      </c>
      <c r="C12273" s="6" t="s">
        <v>22070</v>
      </c>
      <c r="D12273" s="6" t="s">
        <v>22106</v>
      </c>
      <c r="E12273" s="2">
        <v>1493687</v>
      </c>
      <c r="F12273" s="4" t="str">
        <f>IF(B12273=B12272,"",B12273)</f>
        <v>Reftinskiy</v>
      </c>
    </row>
    <row r="12274" spans="1:6" ht="15.75" customHeight="1">
      <c r="A12274" s="5" t="str">
        <f ca="1">IFERROR(__xludf.DUMMYFUNCTION("GOOGLETRANSLATE(B40769,""en"",""pt"")"),"Reftinskiy")</f>
        <v>Reftinskiy</v>
      </c>
      <c r="B12274" s="17" t="s">
        <v>22991</v>
      </c>
      <c r="C12274" s="17" t="s">
        <v>22070</v>
      </c>
      <c r="D12274" s="17" t="s">
        <v>22106</v>
      </c>
      <c r="E12274" s="10">
        <v>1493687</v>
      </c>
      <c r="F12274" s="4" t="str">
        <f>IF(B12274=B12273,"",B12274)</f>
        <v/>
      </c>
    </row>
    <row r="12275" spans="1:6" ht="15.75" customHeight="1">
      <c r="A12275" s="6" t="s">
        <v>9030</v>
      </c>
      <c r="B12275" s="6" t="s">
        <v>9030</v>
      </c>
      <c r="C12275" s="6" t="s">
        <v>8028</v>
      </c>
      <c r="D12275" s="6" t="s">
        <v>8029</v>
      </c>
      <c r="E12275" s="2">
        <v>2849548</v>
      </c>
      <c r="F12275" s="4" t="str">
        <f>IF(B12275=B12274,"",B12275)</f>
        <v>Rees</v>
      </c>
    </row>
    <row r="12276" spans="1:6" ht="15.75" customHeight="1">
      <c r="A12276" s="5" t="str">
        <f ca="1">IFERROR(__xludf.DUMMYFUNCTION("GOOGLETRANSLATE(B27618,""en"",""pt"")"),"Rees")</f>
        <v>Rees</v>
      </c>
      <c r="B12276" s="17" t="s">
        <v>9030</v>
      </c>
      <c r="C12276" s="17" t="s">
        <v>8028</v>
      </c>
      <c r="D12276" s="17" t="s">
        <v>8029</v>
      </c>
      <c r="E12276" s="10">
        <v>2849548</v>
      </c>
      <c r="F12276" s="4" t="str">
        <f>IF(B12276=B12275,"",B12276)</f>
        <v/>
      </c>
    </row>
    <row r="12277" spans="1:6" ht="15.75" customHeight="1">
      <c r="A12277" s="6" t="s">
        <v>29789</v>
      </c>
      <c r="B12277" s="6" t="s">
        <v>29789</v>
      </c>
      <c r="C12277" s="6" t="s">
        <v>27788</v>
      </c>
      <c r="D12277" s="6" t="s">
        <v>27801</v>
      </c>
      <c r="E12277" s="2">
        <v>5386984</v>
      </c>
      <c r="F12277" s="4" t="str">
        <f>IF(B12277=B12276,"",B12277)</f>
        <v>Reedley</v>
      </c>
    </row>
    <row r="12278" spans="1:6" ht="15.75" customHeight="1">
      <c r="A12278" s="5" t="str">
        <f ca="1">IFERROR(__xludf.DUMMYFUNCTION("GOOGLETRANSLATE(B44981,""en"",""pt"")"),"Reedley")</f>
        <v>Reedley</v>
      </c>
      <c r="B12278" s="17" t="s">
        <v>29789</v>
      </c>
      <c r="C12278" s="17" t="s">
        <v>27788</v>
      </c>
      <c r="D12278" s="17" t="s">
        <v>27801</v>
      </c>
      <c r="E12278" s="10">
        <v>5386984</v>
      </c>
      <c r="F12278" s="4" t="str">
        <f>IF(B12278=B12277,"",B12278)</f>
        <v/>
      </c>
    </row>
    <row r="12279" spans="1:6" ht="15.75" customHeight="1">
      <c r="A12279" s="5" t="s">
        <v>29788</v>
      </c>
      <c r="B12279" s="6" t="s">
        <v>29788</v>
      </c>
      <c r="C12279" s="5" t="s">
        <v>27788</v>
      </c>
      <c r="D12279" s="5" t="s">
        <v>27801</v>
      </c>
      <c r="E12279" s="2">
        <v>5386834</v>
      </c>
      <c r="F12279" s="4" t="str">
        <f>IF(B12279=B12278,"",B12279)</f>
        <v>Redwood City</v>
      </c>
    </row>
    <row r="12280" spans="1:6" ht="15.75" customHeight="1">
      <c r="A12280" s="5" t="str">
        <f ca="1">IFERROR(__xludf.DUMMYFUNCTION("GOOGLETRANSLATE(B44980,""en"",""pt"")"),"Redwood City")</f>
        <v>Redwood City</v>
      </c>
      <c r="B12280" s="17" t="s">
        <v>29788</v>
      </c>
      <c r="C12280" s="17" t="s">
        <v>27788</v>
      </c>
      <c r="D12280" s="17" t="s">
        <v>27801</v>
      </c>
      <c r="E12280" s="10">
        <v>5386834</v>
      </c>
      <c r="F12280" s="4" t="str">
        <f>IF(B12280=B12279,"",B12280)</f>
        <v/>
      </c>
    </row>
    <row r="12281" spans="1:6" ht="15.75" customHeight="1">
      <c r="A12281" s="5" t="s">
        <v>29787</v>
      </c>
      <c r="B12281" s="6" t="s">
        <v>29787</v>
      </c>
      <c r="C12281" s="5" t="s">
        <v>27788</v>
      </c>
      <c r="D12281" s="5" t="s">
        <v>27801</v>
      </c>
      <c r="E12281" s="2">
        <v>5386785</v>
      </c>
      <c r="F12281" s="4" t="str">
        <f>IF(B12281=B12280,"",B12281)</f>
        <v>Redondo Beach</v>
      </c>
    </row>
    <row r="12282" spans="1:6" ht="15.75" customHeight="1">
      <c r="A12282" s="5" t="str">
        <f ca="1">IFERROR(__xludf.DUMMYFUNCTION("GOOGLETRANSLATE(B44979,""en"",""pt"")"),"Redondo Beach")</f>
        <v>Redondo Beach</v>
      </c>
      <c r="B12282" s="17" t="s">
        <v>29787</v>
      </c>
      <c r="C12282" s="17" t="s">
        <v>27788</v>
      </c>
      <c r="D12282" s="17" t="s">
        <v>27801</v>
      </c>
      <c r="E12282" s="10">
        <v>5386785</v>
      </c>
      <c r="F12282" s="4" t="str">
        <f>IF(B12282=B12281,"",B12282)</f>
        <v/>
      </c>
    </row>
    <row r="12283" spans="1:6" ht="15.75" customHeight="1">
      <c r="A12283" s="5" t="s">
        <v>24727</v>
      </c>
      <c r="B12283" s="6" t="s">
        <v>24727</v>
      </c>
      <c r="C12283" s="5" t="s">
        <v>24200</v>
      </c>
      <c r="D12283" s="5" t="s">
        <v>24201</v>
      </c>
      <c r="E12283" s="2">
        <v>3112154</v>
      </c>
      <c r="F12283" s="4" t="str">
        <f>IF(B12283=B12282,"",B12283)</f>
        <v>Redondela</v>
      </c>
    </row>
    <row r="12284" spans="1:6" ht="15.75" customHeight="1">
      <c r="A12284" s="5" t="str">
        <f ca="1">IFERROR(__xludf.DUMMYFUNCTION("GOOGLETRANSLATE(B29317,""en"",""pt"")"),"Redondela")</f>
        <v>Redondela</v>
      </c>
      <c r="B12284" s="17" t="s">
        <v>24727</v>
      </c>
      <c r="C12284" s="17" t="s">
        <v>24200</v>
      </c>
      <c r="D12284" s="17" t="s">
        <v>24201</v>
      </c>
      <c r="E12284" s="10">
        <v>3112154</v>
      </c>
      <c r="F12284" s="4" t="str">
        <f>IF(B12284=B12283,"",B12284)</f>
        <v/>
      </c>
    </row>
    <row r="12285" spans="1:6" ht="15.75" customHeight="1">
      <c r="A12285" s="6" t="s">
        <v>29786</v>
      </c>
      <c r="B12285" s="6" t="s">
        <v>29786</v>
      </c>
      <c r="C12285" s="6" t="s">
        <v>27788</v>
      </c>
      <c r="D12285" s="6" t="s">
        <v>27820</v>
      </c>
      <c r="E12285" s="2">
        <v>5747882</v>
      </c>
      <c r="F12285" s="4" t="str">
        <f>IF(B12285=B12284,"",B12285)</f>
        <v>Redmond</v>
      </c>
    </row>
    <row r="12286" spans="1:6" ht="15.75" customHeight="1">
      <c r="A12286" s="6" t="s">
        <v>29786</v>
      </c>
      <c r="B12286" s="6" t="s">
        <v>29786</v>
      </c>
      <c r="C12286" s="6" t="s">
        <v>27788</v>
      </c>
      <c r="D12286" s="6" t="s">
        <v>27733</v>
      </c>
      <c r="E12286" s="2">
        <v>5808079</v>
      </c>
      <c r="F12286" s="4" t="str">
        <f>IF(B12286=B12285,"",B12286)</f>
        <v/>
      </c>
    </row>
    <row r="12287" spans="1:6" ht="15.75" customHeight="1">
      <c r="A12287" s="5" t="str">
        <f ca="1">IFERROR(__xludf.DUMMYFUNCTION("GOOGLETRANSLATE(B45255,""en"",""pt"")"),"Redmond")</f>
        <v>Redmond</v>
      </c>
      <c r="B12287" s="17" t="s">
        <v>29786</v>
      </c>
      <c r="C12287" s="17" t="s">
        <v>27788</v>
      </c>
      <c r="D12287" s="17" t="s">
        <v>27820</v>
      </c>
      <c r="E12287" s="10">
        <v>5747882</v>
      </c>
      <c r="F12287" s="4" t="str">
        <f>IF(B12287=B12286,"",B12287)</f>
        <v/>
      </c>
    </row>
    <row r="12288" spans="1:6" ht="15.75" customHeight="1">
      <c r="A12288" s="5" t="str">
        <f ca="1">IFERROR(__xludf.DUMMYFUNCTION("GOOGLETRANSLATE(B45368,""en"",""pt"")"),"Redmond")</f>
        <v>Redmond</v>
      </c>
      <c r="B12288" s="17" t="s">
        <v>29786</v>
      </c>
      <c r="C12288" s="17" t="s">
        <v>27788</v>
      </c>
      <c r="D12288" s="17" t="s">
        <v>27733</v>
      </c>
      <c r="E12288" s="10">
        <v>5808079</v>
      </c>
      <c r="F12288" s="4" t="str">
        <f>IF(B12288=B12287,"",B12288)</f>
        <v/>
      </c>
    </row>
    <row r="12289" spans="1:6" ht="15.75" customHeight="1">
      <c r="A12289" s="6" t="s">
        <v>29785</v>
      </c>
      <c r="B12289" s="6" t="s">
        <v>29785</v>
      </c>
      <c r="C12289" s="6" t="s">
        <v>27788</v>
      </c>
      <c r="D12289" s="6" t="s">
        <v>27801</v>
      </c>
      <c r="E12289" s="2">
        <v>5386754</v>
      </c>
      <c r="F12289" s="4" t="str">
        <f>IF(B12289=B12288,"",B12289)</f>
        <v>Redlands</v>
      </c>
    </row>
    <row r="12290" spans="1:6" ht="15.75" customHeight="1">
      <c r="A12290" s="5" t="str">
        <f ca="1">IFERROR(__xludf.DUMMYFUNCTION("GOOGLETRANSLATE(B44978,""en"",""pt"")"),"Redlands")</f>
        <v>Redlands</v>
      </c>
      <c r="B12290" s="17" t="s">
        <v>29785</v>
      </c>
      <c r="C12290" s="17" t="s">
        <v>27788</v>
      </c>
      <c r="D12290" s="17" t="s">
        <v>27801</v>
      </c>
      <c r="E12290" s="10">
        <v>5386754</v>
      </c>
      <c r="F12290" s="4" t="str">
        <f>IF(B12290=B12289,"",B12290)</f>
        <v/>
      </c>
    </row>
    <row r="12291" spans="1:6" ht="15.75" customHeight="1">
      <c r="A12291" s="6" t="s">
        <v>29784</v>
      </c>
      <c r="B12291" s="6" t="s">
        <v>29784</v>
      </c>
      <c r="C12291" s="6" t="s">
        <v>27788</v>
      </c>
      <c r="D12291" s="6" t="s">
        <v>17061</v>
      </c>
      <c r="E12291" s="2">
        <v>4366593</v>
      </c>
      <c r="F12291" s="4" t="str">
        <f>IF(B12291=B12290,"",B12291)</f>
        <v>Redland</v>
      </c>
    </row>
    <row r="12292" spans="1:6" ht="15.75" customHeight="1">
      <c r="A12292" s="5" t="str">
        <f ca="1">IFERROR(__xludf.DUMMYFUNCTION("GOOGLETRANSLATE(B43324,""en"",""pt"")"),"Redland")</f>
        <v>Redland</v>
      </c>
      <c r="B12292" s="17" t="s">
        <v>29784</v>
      </c>
      <c r="C12292" s="17" t="s">
        <v>27788</v>
      </c>
      <c r="D12292" s="17" t="s">
        <v>17061</v>
      </c>
      <c r="E12292" s="10">
        <v>4366593</v>
      </c>
      <c r="F12292" s="4" t="str">
        <f>IF(B12292=B12291,"",B12292)</f>
        <v/>
      </c>
    </row>
    <row r="12293" spans="1:6" ht="15.75" customHeight="1">
      <c r="A12293" s="5" t="s">
        <v>27630</v>
      </c>
      <c r="B12293" s="6" t="s">
        <v>27631</v>
      </c>
      <c r="C12293" s="5" t="s">
        <v>27234</v>
      </c>
      <c r="D12293" s="5" t="s">
        <v>27241</v>
      </c>
      <c r="E12293" s="2">
        <v>2639545</v>
      </c>
      <c r="F12293" s="4" t="str">
        <f>IF(B12293=B12292,"",B12293)</f>
        <v>Redhill</v>
      </c>
    </row>
    <row r="12294" spans="1:6" ht="15.75" customHeight="1">
      <c r="A12294" s="5" t="str">
        <f ca="1">IFERROR(__xludf.DUMMYFUNCTION("GOOGLETRANSLATE(B30450,""en"",""pt"")"),"Morro Vermelho")</f>
        <v>Morro Vermelho</v>
      </c>
      <c r="B12294" s="17" t="s">
        <v>27631</v>
      </c>
      <c r="C12294" s="17" t="s">
        <v>27234</v>
      </c>
      <c r="D12294" s="17" t="s">
        <v>27241</v>
      </c>
      <c r="E12294" s="10">
        <v>2639545</v>
      </c>
      <c r="F12294" s="4" t="str">
        <f>IF(B12294=B12293,"",B12294)</f>
        <v/>
      </c>
    </row>
    <row r="12295" spans="1:6" ht="15.75" customHeight="1">
      <c r="A12295" s="6" t="s">
        <v>29783</v>
      </c>
      <c r="B12295" s="6" t="s">
        <v>29783</v>
      </c>
      <c r="C12295" s="6" t="s">
        <v>27788</v>
      </c>
      <c r="D12295" s="6" t="s">
        <v>27804</v>
      </c>
      <c r="E12295" s="2">
        <v>5006917</v>
      </c>
      <c r="F12295" s="4" t="str">
        <f>IF(B12295=B12294,"",B12295)</f>
        <v>Redford</v>
      </c>
    </row>
    <row r="12296" spans="1:6" ht="15.75" customHeight="1">
      <c r="A12296" s="5" t="str">
        <f ca="1">IFERROR(__xludf.DUMMYFUNCTION("GOOGLETRANSLATE(B44115,""en"",""pt"")"),"Redford")</f>
        <v>Redford</v>
      </c>
      <c r="B12296" s="17" t="s">
        <v>29783</v>
      </c>
      <c r="C12296" s="17" t="s">
        <v>27788</v>
      </c>
      <c r="D12296" s="17" t="s">
        <v>27804</v>
      </c>
      <c r="E12296" s="10">
        <v>5006917</v>
      </c>
      <c r="F12296" s="4" t="str">
        <f>IF(B12296=B12295,"",B12296)</f>
        <v/>
      </c>
    </row>
    <row r="12297" spans="1:6" ht="15.75" customHeight="1">
      <c r="A12297" s="6" t="s">
        <v>27629</v>
      </c>
      <c r="B12297" s="6" t="s">
        <v>27629</v>
      </c>
      <c r="C12297" s="6" t="s">
        <v>27234</v>
      </c>
      <c r="D12297" s="6" t="s">
        <v>27241</v>
      </c>
      <c r="E12297" s="2">
        <v>2639557</v>
      </c>
      <c r="F12297" s="4" t="str">
        <f>IF(B12297=B12296,"",B12297)</f>
        <v>Redditch</v>
      </c>
    </row>
    <row r="12298" spans="1:6" ht="15.75" customHeight="1">
      <c r="A12298" s="5" t="str">
        <f ca="1">IFERROR(__xludf.DUMMYFUNCTION("GOOGLETRANSLATE(B30451,""en"",""pt"")"),"Redditch")</f>
        <v>Redditch</v>
      </c>
      <c r="B12298" s="17" t="s">
        <v>27629</v>
      </c>
      <c r="C12298" s="17" t="s">
        <v>27234</v>
      </c>
      <c r="D12298" s="17" t="s">
        <v>27241</v>
      </c>
      <c r="E12298" s="10">
        <v>2639557</v>
      </c>
      <c r="F12298" s="4" t="str">
        <f>IF(B12298=B12297,"",B12298)</f>
        <v/>
      </c>
    </row>
    <row r="12299" spans="1:6" ht="15.75" customHeight="1">
      <c r="A12299" s="6" t="s">
        <v>29782</v>
      </c>
      <c r="B12299" s="6" t="s">
        <v>29782</v>
      </c>
      <c r="C12299" s="6" t="s">
        <v>27788</v>
      </c>
      <c r="D12299" s="6" t="s">
        <v>27801</v>
      </c>
      <c r="E12299" s="2">
        <v>5570160</v>
      </c>
      <c r="F12299" s="4" t="str">
        <f>IF(B12299=B12298,"",B12299)</f>
        <v>Redding</v>
      </c>
    </row>
    <row r="12300" spans="1:6" ht="15.75" customHeight="1">
      <c r="A12300" s="5" t="str">
        <f ca="1">IFERROR(__xludf.DUMMYFUNCTION("GOOGLETRANSLATE(B45184,""en"",""pt"")"),"Redding")</f>
        <v>Redding</v>
      </c>
      <c r="B12300" s="17" t="s">
        <v>29782</v>
      </c>
      <c r="C12300" s="17" t="s">
        <v>27788</v>
      </c>
      <c r="D12300" s="17" t="s">
        <v>27801</v>
      </c>
      <c r="E12300" s="10">
        <v>5570160</v>
      </c>
      <c r="F12300" s="4" t="str">
        <f>IF(B12300=B12299,"",B12300)</f>
        <v/>
      </c>
    </row>
    <row r="12301" spans="1:6" ht="15.75" customHeight="1">
      <c r="A12301" s="6" t="s">
        <v>31098</v>
      </c>
      <c r="B12301" s="6" t="s">
        <v>31098</v>
      </c>
      <c r="C12301" s="6" t="s">
        <v>31072</v>
      </c>
      <c r="D12301" s="6" t="s">
        <v>31088</v>
      </c>
      <c r="E12301" s="2">
        <v>882599</v>
      </c>
      <c r="F12301" s="4" t="str">
        <f>IF(B12301=B12300,"",B12301)</f>
        <v>Redcliff</v>
      </c>
    </row>
    <row r="12302" spans="1:6" ht="15.75" customHeight="1">
      <c r="A12302" s="5" t="str">
        <f ca="1">IFERROR(__xludf.DUMMYFUNCTION("GOOGLETRANSLATE(B46035,""en"",""pt"")"),"Redcliff")</f>
        <v>Redcliff</v>
      </c>
      <c r="B12302" s="17" t="s">
        <v>31098</v>
      </c>
      <c r="C12302" s="17" t="s">
        <v>31072</v>
      </c>
      <c r="D12302" s="17" t="s">
        <v>31088</v>
      </c>
      <c r="E12302" s="10">
        <v>882599</v>
      </c>
      <c r="F12302" s="4" t="str">
        <f>IF(B12302=B12301,"",B12302)</f>
        <v/>
      </c>
    </row>
    <row r="12303" spans="1:6" ht="15.75" customHeight="1">
      <c r="A12303" s="6" t="s">
        <v>27628</v>
      </c>
      <c r="B12303" s="6" t="s">
        <v>27628</v>
      </c>
      <c r="C12303" s="6" t="s">
        <v>27234</v>
      </c>
      <c r="D12303" s="6" t="s">
        <v>27241</v>
      </c>
      <c r="E12303" s="2">
        <v>2639563</v>
      </c>
      <c r="F12303" s="4" t="str">
        <f>IF(B12303=B12302,"",B12303)</f>
        <v>Redcar</v>
      </c>
    </row>
    <row r="12304" spans="1:6" ht="15.75" customHeight="1">
      <c r="A12304" s="5" t="str">
        <f ca="1">IFERROR(__xludf.DUMMYFUNCTION("GOOGLETRANSLATE(B30452,""en"",""pt"")"),"Redcar")</f>
        <v>Redcar</v>
      </c>
      <c r="B12304" s="17" t="s">
        <v>27628</v>
      </c>
      <c r="C12304" s="17" t="s">
        <v>27234</v>
      </c>
      <c r="D12304" s="17" t="s">
        <v>27241</v>
      </c>
      <c r="E12304" s="10">
        <v>2639563</v>
      </c>
      <c r="F12304" s="4" t="str">
        <f>IF(B12304=B12303,"",B12304)</f>
        <v/>
      </c>
    </row>
    <row r="12305" spans="1:6" ht="15.75" customHeight="1">
      <c r="A12305" s="6" t="s">
        <v>29781</v>
      </c>
      <c r="B12305" s="6" t="s">
        <v>29781</v>
      </c>
      <c r="C12305" s="6" t="s">
        <v>27788</v>
      </c>
      <c r="D12305" s="6" t="s">
        <v>7988</v>
      </c>
      <c r="E12305" s="2">
        <v>4218165</v>
      </c>
      <c r="F12305" s="4" t="str">
        <f>IF(B12305=B12304,"",B12305)</f>
        <v>Redan</v>
      </c>
    </row>
    <row r="12306" spans="1:6" ht="15.75" customHeight="1">
      <c r="A12306" s="5" t="str">
        <f ca="1">IFERROR(__xludf.DUMMYFUNCTION("GOOGLETRANSLATE(B43102,""en"",""pt"")"),"Redan")</f>
        <v>Redan</v>
      </c>
      <c r="B12306" s="17" t="s">
        <v>29781</v>
      </c>
      <c r="C12306" s="17" t="s">
        <v>27788</v>
      </c>
      <c r="D12306" s="17" t="s">
        <v>7988</v>
      </c>
      <c r="E12306" s="10">
        <v>4218165</v>
      </c>
      <c r="F12306" s="4" t="str">
        <f>IF(B12306=B12305,"",B12306)</f>
        <v/>
      </c>
    </row>
    <row r="12307" spans="1:6" ht="15.75" customHeight="1">
      <c r="A12307" s="6" t="s">
        <v>21465</v>
      </c>
      <c r="B12307" s="6" t="s">
        <v>21465</v>
      </c>
      <c r="C12307" s="6" t="s">
        <v>21064</v>
      </c>
      <c r="D12307" s="6" t="s">
        <v>21173</v>
      </c>
      <c r="E12307" s="2">
        <v>3087281</v>
      </c>
      <c r="F12307" s="4" t="str">
        <f>IF(B12307=B12306,"",B12307)</f>
        <v>Reda</v>
      </c>
    </row>
    <row r="12308" spans="1:6" ht="15.75" customHeight="1">
      <c r="A12308" s="5" t="str">
        <f ca="1">IFERROR(__xludf.DUMMYFUNCTION("GOOGLETRANSLATE(B39364,""en"",""pt"")"),"Reda")</f>
        <v>Reda</v>
      </c>
      <c r="B12308" s="17" t="s">
        <v>21465</v>
      </c>
      <c r="C12308" s="17" t="s">
        <v>21064</v>
      </c>
      <c r="D12308" s="17" t="s">
        <v>21173</v>
      </c>
      <c r="E12308" s="10">
        <v>3087281</v>
      </c>
      <c r="F12308" s="4" t="str">
        <f>IF(B12308=B12307,"",B12308)</f>
        <v/>
      </c>
    </row>
    <row r="12309" spans="1:6" ht="15.75" customHeight="1">
      <c r="A12309" s="5" t="s">
        <v>29779</v>
      </c>
      <c r="B12309" s="6" t="s">
        <v>29780</v>
      </c>
      <c r="C12309" s="5" t="s">
        <v>27788</v>
      </c>
      <c r="D12309" s="5" t="s">
        <v>27824</v>
      </c>
      <c r="E12309" s="2">
        <v>5042773</v>
      </c>
      <c r="F12309" s="4" t="str">
        <f>IF(B12309=B12308,"",B12309)</f>
        <v>Red Wing</v>
      </c>
    </row>
    <row r="12310" spans="1:6" ht="15.75" customHeight="1">
      <c r="A12310" s="5" t="str">
        <f ca="1">IFERROR(__xludf.DUMMYFUNCTION("GOOGLETRANSLATE(B44188,""en"",""pt"")"),"ASA vermelha")</f>
        <v>ASA vermelha</v>
      </c>
      <c r="B12310" s="17" t="s">
        <v>29780</v>
      </c>
      <c r="C12310" s="17" t="s">
        <v>27788</v>
      </c>
      <c r="D12310" s="17" t="s">
        <v>27824</v>
      </c>
      <c r="E12310" s="10">
        <v>5042773</v>
      </c>
      <c r="F12310" s="4" t="str">
        <f>IF(B12310=B12309,"",B12310)</f>
        <v/>
      </c>
    </row>
    <row r="12311" spans="1:6" ht="15.75" customHeight="1">
      <c r="A12311" s="5" t="s">
        <v>4158</v>
      </c>
      <c r="B12311" s="6" t="s">
        <v>4159</v>
      </c>
      <c r="C12311" s="5" t="s">
        <v>3975</v>
      </c>
      <c r="D12311" s="5" t="s">
        <v>3978</v>
      </c>
      <c r="E12311" s="2">
        <v>6118158</v>
      </c>
      <c r="F12311" s="4" t="str">
        <f>IF(B12311=B12310,"",B12311)</f>
        <v>Red Deer</v>
      </c>
    </row>
    <row r="12312" spans="1:6" ht="15.75" customHeight="1">
      <c r="A12312" s="5" t="str">
        <f ca="1">IFERROR(__xludf.DUMMYFUNCTION("GOOGLETRANSLATE(B25556,""en"",""pt"")"),"Cervo vermelho")</f>
        <v>Cervo vermelho</v>
      </c>
      <c r="B12312" s="17" t="s">
        <v>4159</v>
      </c>
      <c r="C12312" s="17" t="s">
        <v>3975</v>
      </c>
      <c r="D12312" s="17" t="s">
        <v>3978</v>
      </c>
      <c r="E12312" s="10">
        <v>6118158</v>
      </c>
      <c r="F12312" s="4" t="str">
        <f>IF(B12312=B12311,"",B12312)</f>
        <v/>
      </c>
    </row>
    <row r="12313" spans="1:6" ht="15.75" customHeight="1">
      <c r="A12313" s="5" t="s">
        <v>763</v>
      </c>
      <c r="B12313" s="6" t="s">
        <v>763</v>
      </c>
      <c r="C12313" s="5" t="s">
        <v>558</v>
      </c>
      <c r="D12313" s="5" t="s">
        <v>579</v>
      </c>
      <c r="E12313" s="2">
        <v>3429594</v>
      </c>
      <c r="F12313" s="4" t="str">
        <f>IF(B12313=B12312,"",B12313)</f>
        <v>Reconquista</v>
      </c>
    </row>
    <row r="12314" spans="1:6" ht="15.75" customHeight="1">
      <c r="A12314" s="5" t="str">
        <f ca="1">IFERROR(__xludf.DUMMYFUNCTION("GOOGLETRANSLATE(B23186,""en"",""pt"")"),"Reconquista")</f>
        <v>Reconquista</v>
      </c>
      <c r="B12314" s="17" t="s">
        <v>763</v>
      </c>
      <c r="C12314" s="17" t="s">
        <v>558</v>
      </c>
      <c r="D12314" s="17" t="s">
        <v>579</v>
      </c>
      <c r="E12314" s="10">
        <v>3429594</v>
      </c>
      <c r="F12314" s="4" t="str">
        <f>IF(B12314=B12313,"",B12314)</f>
        <v/>
      </c>
    </row>
    <row r="12315" spans="1:6" ht="15.75" customHeight="1">
      <c r="A12315" s="6" t="s">
        <v>20981</v>
      </c>
      <c r="B12315" s="6" t="s">
        <v>20981</v>
      </c>
      <c r="C12315" s="6" t="s">
        <v>20598</v>
      </c>
      <c r="D12315" s="6" t="s">
        <v>20752</v>
      </c>
      <c r="E12315" s="2">
        <v>1691804</v>
      </c>
      <c r="F12315" s="4" t="str">
        <f>IF(B12315=B12314,"",B12315)</f>
        <v>Recodo</v>
      </c>
    </row>
    <row r="12316" spans="1:6" ht="15.75" customHeight="1">
      <c r="A12316" s="5" t="str">
        <f ca="1">IFERROR(__xludf.DUMMYFUNCTION("GOOGLETRANSLATE(B38533,""en"",""pt"")"),"Recodo")</f>
        <v>Recodo</v>
      </c>
      <c r="B12316" s="17" t="s">
        <v>20981</v>
      </c>
      <c r="C12316" s="17" t="s">
        <v>20598</v>
      </c>
      <c r="D12316" s="17" t="s">
        <v>20752</v>
      </c>
      <c r="E12316" s="10">
        <v>1691804</v>
      </c>
      <c r="F12316" s="4" t="str">
        <f>IF(B12316=B12315,"",B12316)</f>
        <v/>
      </c>
    </row>
    <row r="12317" spans="1:6" ht="15.75" customHeight="1">
      <c r="A12317" s="5" t="s">
        <v>9029</v>
      </c>
      <c r="B12317" s="6" t="s">
        <v>9029</v>
      </c>
      <c r="C12317" s="5" t="s">
        <v>8028</v>
      </c>
      <c r="D12317" s="5" t="s">
        <v>8029</v>
      </c>
      <c r="E12317" s="2">
        <v>2849647</v>
      </c>
      <c r="F12317" s="4" t="str">
        <f>IF(B12317=B12316,"",B12317)</f>
        <v>Recklinghausen</v>
      </c>
    </row>
    <row r="12318" spans="1:6" ht="15.75" customHeight="1">
      <c r="A12318" s="5" t="str">
        <f ca="1">IFERROR(__xludf.DUMMYFUNCTION("GOOGLETRANSLATE(B27619,""en"",""pt"")"),"Recklinghausen")</f>
        <v>Recklinghausen</v>
      </c>
      <c r="B12318" s="17" t="s">
        <v>9029</v>
      </c>
      <c r="C12318" s="17" t="s">
        <v>8028</v>
      </c>
      <c r="D12318" s="17" t="s">
        <v>8029</v>
      </c>
      <c r="E12318" s="10">
        <v>2849647</v>
      </c>
      <c r="F12318" s="4" t="str">
        <f>IF(B12318=B12317,"",B12318)</f>
        <v/>
      </c>
    </row>
    <row r="12319" spans="1:6" ht="15.75" customHeight="1">
      <c r="A12319" s="6" t="s">
        <v>3193</v>
      </c>
      <c r="B12319" s="6" t="s">
        <v>3193</v>
      </c>
      <c r="C12319" s="6" t="s">
        <v>1905</v>
      </c>
      <c r="D12319" s="6" t="s">
        <v>1909</v>
      </c>
      <c r="E12319" s="2">
        <v>3390760</v>
      </c>
      <c r="F12319" s="4" t="str">
        <f>IF(B12319=B12318,"",B12319)</f>
        <v>Recife</v>
      </c>
    </row>
    <row r="12320" spans="1:6" ht="15.75" customHeight="1">
      <c r="A12320" s="5" t="str">
        <f ca="1">IFERROR(__xludf.DUMMYFUNCTION("GOOGLETRANSLATE(B24214,""en"",""pt"")"),"Recife")</f>
        <v>Recife</v>
      </c>
      <c r="B12320" s="17" t="s">
        <v>3193</v>
      </c>
      <c r="C12320" s="17" t="s">
        <v>1905</v>
      </c>
      <c r="D12320" s="17" t="s">
        <v>1909</v>
      </c>
      <c r="E12320" s="10">
        <v>3390760</v>
      </c>
      <c r="F12320" s="4" t="str">
        <f>IF(B12320=B12319,"",B12320)</f>
        <v/>
      </c>
    </row>
    <row r="12321" spans="1:6" ht="15.75" customHeight="1">
      <c r="A12321" s="6" t="s">
        <v>1499</v>
      </c>
      <c r="B12321" s="6" t="s">
        <v>1499</v>
      </c>
      <c r="C12321" s="6" t="s">
        <v>1453</v>
      </c>
      <c r="D12321" s="6" t="s">
        <v>1461</v>
      </c>
      <c r="E12321" s="2">
        <v>622794</v>
      </c>
      <c r="F12321" s="4" t="str">
        <f>IF(B12321=B12320,"",B12321)</f>
        <v>Rechytsa</v>
      </c>
    </row>
    <row r="12322" spans="1:6" ht="15.75" customHeight="1">
      <c r="A12322" s="5" t="str">
        <f ca="1">IFERROR(__xludf.DUMMYFUNCTION("GOOGLETRANSLATE(B25381,""en"",""pt"")"),"Rechytsa")</f>
        <v>Rechytsa</v>
      </c>
      <c r="B12322" s="17" t="s">
        <v>1499</v>
      </c>
      <c r="C12322" s="17" t="s">
        <v>1453</v>
      </c>
      <c r="D12322" s="17" t="s">
        <v>1461</v>
      </c>
      <c r="E12322" s="10">
        <v>622794</v>
      </c>
      <c r="F12322" s="4" t="str">
        <f>IF(B12322=B12321,"",B12322)</f>
        <v/>
      </c>
    </row>
    <row r="12323" spans="1:6" ht="15.75" customHeight="1">
      <c r="A12323" s="5" t="s">
        <v>22003</v>
      </c>
      <c r="B12323" s="6" t="s">
        <v>22004</v>
      </c>
      <c r="C12323" s="5" t="s">
        <v>21824</v>
      </c>
      <c r="D12323" s="5" t="s">
        <v>21857</v>
      </c>
      <c r="E12323" s="2">
        <v>668954</v>
      </c>
      <c r="F12323" s="4" t="str">
        <f>IF(B12323=B12322,"",B12323)</f>
        <v>ReÅŸiÅ£a</v>
      </c>
    </row>
    <row r="12324" spans="1:6" ht="15.75" customHeight="1">
      <c r="A12324" s="5" t="s">
        <v>24726</v>
      </c>
      <c r="B12324" s="6" t="s">
        <v>24726</v>
      </c>
      <c r="C12324" s="5" t="s">
        <v>24200</v>
      </c>
      <c r="D12324" s="5" t="s">
        <v>24212</v>
      </c>
      <c r="E12324" s="2">
        <v>2511994</v>
      </c>
      <c r="F12324" s="4" t="str">
        <f>IF(B12324=B12323,"",B12324)</f>
        <v>Realejo Alto</v>
      </c>
    </row>
    <row r="12325" spans="1:6" ht="15.75" customHeight="1">
      <c r="A12325" s="5" t="str">
        <f ca="1">IFERROR(__xludf.DUMMYFUNCTION("GOOGLETRANSLATE(B29015,""en"",""pt"")"),"Realejo Alto")</f>
        <v>Realejo Alto</v>
      </c>
      <c r="B12325" s="17" t="s">
        <v>24726</v>
      </c>
      <c r="C12325" s="17" t="s">
        <v>24200</v>
      </c>
      <c r="D12325" s="17" t="s">
        <v>24212</v>
      </c>
      <c r="E12325" s="10">
        <v>2511994</v>
      </c>
      <c r="F12325" s="4" t="str">
        <f>IF(B12325=B12324,"",B12325)</f>
        <v/>
      </c>
    </row>
    <row r="12326" spans="1:6" ht="15.75" customHeight="1">
      <c r="A12326" s="6" t="s">
        <v>27626</v>
      </c>
      <c r="B12326" s="6" t="s">
        <v>27627</v>
      </c>
      <c r="C12326" s="6" t="s">
        <v>27234</v>
      </c>
      <c r="D12326" s="6" t="s">
        <v>27241</v>
      </c>
      <c r="E12326" s="2">
        <v>2639577</v>
      </c>
      <c r="F12326" s="4" t="str">
        <f>IF(B12326=B12325,"",B12326)</f>
        <v>Reading</v>
      </c>
    </row>
    <row r="12327" spans="1:6" ht="15.75" customHeight="1">
      <c r="A12327" s="6" t="s">
        <v>27626</v>
      </c>
      <c r="B12327" s="6" t="s">
        <v>27627</v>
      </c>
      <c r="C12327" s="6" t="s">
        <v>27788</v>
      </c>
      <c r="D12327" s="6" t="s">
        <v>27794</v>
      </c>
      <c r="E12327" s="2">
        <v>4948462</v>
      </c>
      <c r="F12327" s="4" t="str">
        <f>IF(B12327=B12326,"",B12327)</f>
        <v/>
      </c>
    </row>
    <row r="12328" spans="1:6" ht="15.75" customHeight="1">
      <c r="A12328" s="6" t="s">
        <v>27626</v>
      </c>
      <c r="B12328" s="6" t="s">
        <v>27627</v>
      </c>
      <c r="C12328" s="6" t="s">
        <v>27788</v>
      </c>
      <c r="D12328" s="6" t="s">
        <v>27836</v>
      </c>
      <c r="E12328" s="2">
        <v>5207728</v>
      </c>
      <c r="F12328" s="4" t="str">
        <f>IF(B12328=B12327,"",B12328)</f>
        <v/>
      </c>
    </row>
    <row r="12329" spans="1:6" ht="15.75" customHeight="1">
      <c r="A12329" s="5" t="str">
        <f ca="1">IFERROR(__xludf.DUMMYFUNCTION("GOOGLETRANSLATE(B30453,""en"",""pt"")"),"Leitura")</f>
        <v>Leitura</v>
      </c>
      <c r="B12329" s="17" t="s">
        <v>27627</v>
      </c>
      <c r="C12329" s="17" t="s">
        <v>27234</v>
      </c>
      <c r="D12329" s="17" t="s">
        <v>27241</v>
      </c>
      <c r="E12329" s="10">
        <v>2639577</v>
      </c>
      <c r="F12329" s="4" t="str">
        <f>IF(B12329=B12328,"",B12329)</f>
        <v/>
      </c>
    </row>
    <row r="12330" spans="1:6" ht="15.75" customHeight="1">
      <c r="A12330" s="5" t="str">
        <f ca="1">IFERROR(__xludf.DUMMYFUNCTION("GOOGLETRANSLATE(B44018,""en"",""pt"")"),"Leitura")</f>
        <v>Leitura</v>
      </c>
      <c r="B12330" s="17" t="s">
        <v>27627</v>
      </c>
      <c r="C12330" s="17" t="s">
        <v>27788</v>
      </c>
      <c r="D12330" s="17" t="s">
        <v>27794</v>
      </c>
      <c r="E12330" s="10">
        <v>4948462</v>
      </c>
      <c r="F12330" s="4" t="str">
        <f>IF(B12330=B12329,"",B12330)</f>
        <v/>
      </c>
    </row>
    <row r="12331" spans="1:6" ht="15.75" customHeight="1">
      <c r="A12331" s="5" t="str">
        <f ca="1">IFERROR(__xludf.DUMMYFUNCTION("GOOGLETRANSLATE(B44593,""en"",""pt"")"),"Leitura")</f>
        <v>Leitura</v>
      </c>
      <c r="B12331" s="17" t="s">
        <v>27627</v>
      </c>
      <c r="C12331" s="17" t="s">
        <v>27788</v>
      </c>
      <c r="D12331" s="17" t="s">
        <v>27836</v>
      </c>
      <c r="E12331" s="10">
        <v>5207728</v>
      </c>
      <c r="F12331" s="4" t="str">
        <f>IF(B12331=B12330,"",B12331)</f>
        <v/>
      </c>
    </row>
    <row r="12332" spans="1:6" ht="15.75" customHeight="1">
      <c r="A12332" s="5" t="s">
        <v>22990</v>
      </c>
      <c r="B12332" s="6" t="s">
        <v>22990</v>
      </c>
      <c r="C12332" s="5" t="s">
        <v>22070</v>
      </c>
      <c r="D12332" s="5" t="s">
        <v>22120</v>
      </c>
      <c r="E12332" s="2">
        <v>502400</v>
      </c>
      <c r="F12332" s="4" t="str">
        <f>IF(B12332=B12331,"",B12332)</f>
        <v>Razumnoye</v>
      </c>
    </row>
    <row r="12333" spans="1:6" ht="15.75" customHeight="1">
      <c r="A12333" s="5" t="str">
        <f ca="1">IFERROR(__xludf.DUMMYFUNCTION("GOOGLETRANSLATE(B40163,""en"",""pt"")"),"Razumnoye")</f>
        <v>Razumnoye</v>
      </c>
      <c r="B12333" s="17" t="s">
        <v>22990</v>
      </c>
      <c r="C12333" s="17" t="s">
        <v>22070</v>
      </c>
      <c r="D12333" s="17" t="s">
        <v>22120</v>
      </c>
      <c r="E12333" s="10">
        <v>502400</v>
      </c>
      <c r="F12333" s="4" t="str">
        <f>IF(B12333=B12332,"",B12333)</f>
        <v/>
      </c>
    </row>
    <row r="12334" spans="1:6" ht="15.75" customHeight="1">
      <c r="A12334" s="6" t="s">
        <v>3744</v>
      </c>
      <c r="B12334" s="6" t="s">
        <v>3744</v>
      </c>
      <c r="C12334" s="6" t="s">
        <v>3701</v>
      </c>
      <c r="D12334" s="6" t="s">
        <v>3744</v>
      </c>
      <c r="E12334" s="2">
        <v>727696</v>
      </c>
      <c r="F12334" s="4" t="str">
        <f>IF(B12334=B12333,"",B12334)</f>
        <v>Razgrad</v>
      </c>
    </row>
    <row r="12335" spans="1:6" ht="15.75" customHeight="1">
      <c r="A12335" s="5" t="str">
        <f ca="1">IFERROR(__xludf.DUMMYFUNCTION("GOOGLETRANSLATE(B24029,""en"",""pt"")"),"Razgrad")</f>
        <v>Razgrad</v>
      </c>
      <c r="B12335" s="17" t="s">
        <v>3744</v>
      </c>
      <c r="C12335" s="17" t="s">
        <v>3701</v>
      </c>
      <c r="D12335" s="17" t="s">
        <v>3744</v>
      </c>
      <c r="E12335" s="10">
        <v>727696</v>
      </c>
      <c r="F12335" s="4" t="str">
        <f>IF(B12335=B12334,"",B12335)</f>
        <v/>
      </c>
    </row>
    <row r="12336" spans="1:6" ht="15.75" customHeight="1">
      <c r="A12336" s="5" t="str">
        <f ca="1">IFERROR(__xludf.DUMMYFUNCTION("GOOGLETRANSLATE(B32317,""en"",""pt"")"),"Rāzām")</f>
        <v>Rāzām</v>
      </c>
      <c r="B12336" s="17" t="s">
        <v>33151</v>
      </c>
      <c r="C12336" s="17" t="s">
        <v>10178</v>
      </c>
      <c r="D12336" s="17" t="s">
        <v>10190</v>
      </c>
      <c r="E12336" s="10">
        <v>1258270</v>
      </c>
      <c r="F12336" s="4" t="str">
        <f>IF(B12336=B12335,"",B12336)</f>
        <v>Rāzām</v>
      </c>
    </row>
    <row r="12337" spans="1:6" ht="15.75" customHeight="1">
      <c r="A12337" s="6" t="s">
        <v>29778</v>
      </c>
      <c r="B12337" s="6" t="s">
        <v>29778</v>
      </c>
      <c r="C12337" s="6" t="s">
        <v>27788</v>
      </c>
      <c r="D12337" s="6" t="s">
        <v>27806</v>
      </c>
      <c r="E12337" s="2">
        <v>4405188</v>
      </c>
      <c r="F12337" s="4" t="str">
        <f>IF(B12337=B12336,"",B12337)</f>
        <v>Raytown</v>
      </c>
    </row>
    <row r="12338" spans="1:6" ht="15.75" customHeight="1">
      <c r="A12338" s="5" t="str">
        <f ca="1">IFERROR(__xludf.DUMMYFUNCTION("GOOGLETRANSLATE(B43384,""en"",""pt"")"),"Raytown")</f>
        <v>Raytown</v>
      </c>
      <c r="B12338" s="17" t="s">
        <v>29778</v>
      </c>
      <c r="C12338" s="17" t="s">
        <v>27788</v>
      </c>
      <c r="D12338" s="17" t="s">
        <v>27806</v>
      </c>
      <c r="E12338" s="10">
        <v>4405188</v>
      </c>
      <c r="F12338" s="4" t="str">
        <f>IF(B12338=B12337,"",B12338)</f>
        <v/>
      </c>
    </row>
    <row r="12339" spans="1:6" ht="15.75" customHeight="1">
      <c r="A12339" s="5" t="s">
        <v>4157</v>
      </c>
      <c r="B12339" s="6" t="s">
        <v>4157</v>
      </c>
      <c r="C12339" s="5" t="s">
        <v>3975</v>
      </c>
      <c r="D12339" s="5" t="s">
        <v>3980</v>
      </c>
      <c r="E12339" s="2">
        <v>6117731</v>
      </c>
      <c r="F12339" s="4" t="str">
        <f>IF(B12339=B12338,"",B12339)</f>
        <v>Rayside-Balfour</v>
      </c>
    </row>
    <row r="12340" spans="1:6" ht="15.75" customHeight="1">
      <c r="A12340" s="5" t="str">
        <f ca="1">IFERROR(__xludf.DUMMYFUNCTION("GOOGLETRANSLATE(B25555,""en"",""pt"")"),"Rayside-Balfour")</f>
        <v>Rayside-Balfour</v>
      </c>
      <c r="B12340" s="17" t="s">
        <v>4157</v>
      </c>
      <c r="C12340" s="17" t="s">
        <v>3975</v>
      </c>
      <c r="D12340" s="17" t="s">
        <v>3980</v>
      </c>
      <c r="E12340" s="10">
        <v>6117731</v>
      </c>
      <c r="F12340" s="4" t="str">
        <f>IF(B12340=B12339,"",B12340)</f>
        <v/>
      </c>
    </row>
    <row r="12341" spans="1:6" ht="15.75" customHeight="1">
      <c r="A12341" s="6" t="s">
        <v>25784</v>
      </c>
      <c r="B12341" s="6" t="s">
        <v>25784</v>
      </c>
      <c r="C12341" s="6" t="s">
        <v>25771</v>
      </c>
      <c r="D12341" s="6" t="s">
        <v>25784</v>
      </c>
      <c r="E12341" s="2">
        <v>1607017</v>
      </c>
      <c r="F12341" s="4" t="str">
        <f>IF(B12341=B12340,"",B12341)</f>
        <v>Rayong</v>
      </c>
    </row>
    <row r="12342" spans="1:6" ht="15.75" customHeight="1">
      <c r="A12342" s="5" t="str">
        <f ca="1">IFERROR(__xludf.DUMMYFUNCTION("GOOGLETRANSLATE(B41619,""en"",""pt"")"),"Rayong")</f>
        <v>Rayong</v>
      </c>
      <c r="B12342" s="17" t="s">
        <v>25784</v>
      </c>
      <c r="C12342" s="17" t="s">
        <v>25771</v>
      </c>
      <c r="D12342" s="17" t="s">
        <v>25784</v>
      </c>
      <c r="E12342" s="10">
        <v>1607017</v>
      </c>
      <c r="F12342" s="4" t="str">
        <f>IF(B12342=B12341,"",B12342)</f>
        <v/>
      </c>
    </row>
    <row r="12343" spans="1:6" ht="15.75" customHeight="1">
      <c r="A12343" s="6" t="s">
        <v>29777</v>
      </c>
      <c r="B12343" s="6" t="s">
        <v>29777</v>
      </c>
      <c r="C12343" s="6" t="s">
        <v>27788</v>
      </c>
      <c r="D12343" s="6" t="s">
        <v>27806</v>
      </c>
      <c r="E12343" s="2">
        <v>4405180</v>
      </c>
      <c r="F12343" s="4" t="str">
        <f>IF(B12343=B12342,"",B12343)</f>
        <v>Raymore</v>
      </c>
    </row>
    <row r="12344" spans="1:6" ht="15.75" customHeight="1">
      <c r="A12344" s="5" t="str">
        <f ca="1">IFERROR(__xludf.DUMMYFUNCTION("GOOGLETRANSLATE(B43383,""en"",""pt"")"),"Raymore")</f>
        <v>Raymore</v>
      </c>
      <c r="B12344" s="17" t="s">
        <v>29777</v>
      </c>
      <c r="C12344" s="17" t="s">
        <v>27788</v>
      </c>
      <c r="D12344" s="17" t="s">
        <v>27806</v>
      </c>
      <c r="E12344" s="10">
        <v>4405180</v>
      </c>
      <c r="F12344" s="4" t="str">
        <f>IF(B12344=B12343,"",B12344)</f>
        <v/>
      </c>
    </row>
    <row r="12345" spans="1:6" ht="15.75" customHeight="1">
      <c r="A12345" s="6" t="s">
        <v>27625</v>
      </c>
      <c r="B12345" s="6" t="s">
        <v>27625</v>
      </c>
      <c r="C12345" s="6" t="s">
        <v>27234</v>
      </c>
      <c r="D12345" s="6" t="s">
        <v>27241</v>
      </c>
      <c r="E12345" s="2">
        <v>2639583</v>
      </c>
      <c r="F12345" s="4" t="str">
        <f>IF(B12345=B12344,"",B12345)</f>
        <v>Rayleigh</v>
      </c>
    </row>
    <row r="12346" spans="1:6" ht="15.75" customHeight="1">
      <c r="A12346" s="5" t="str">
        <f ca="1">IFERROR(__xludf.DUMMYFUNCTION("GOOGLETRANSLATE(B30454,""en"",""pt"")"),"Rayleigh")</f>
        <v>Rayleigh</v>
      </c>
      <c r="B12346" s="17" t="s">
        <v>27625</v>
      </c>
      <c r="C12346" s="17" t="s">
        <v>27234</v>
      </c>
      <c r="D12346" s="17" t="s">
        <v>27241</v>
      </c>
      <c r="E12346" s="10">
        <v>2639583</v>
      </c>
      <c r="F12346" s="4" t="str">
        <f>IF(B12346=B12345,"",B12346)</f>
        <v/>
      </c>
    </row>
    <row r="12347" spans="1:6" ht="15.75" customHeight="1">
      <c r="A12347" s="6" t="s">
        <v>22989</v>
      </c>
      <c r="B12347" s="6" t="s">
        <v>22989</v>
      </c>
      <c r="C12347" s="6" t="s">
        <v>22070</v>
      </c>
      <c r="D12347" s="6" t="s">
        <v>22088</v>
      </c>
      <c r="E12347" s="2">
        <v>502540</v>
      </c>
      <c r="F12347" s="4" t="str">
        <f>IF(B12347=B12346,"",B12347)</f>
        <v>Rayevskiy</v>
      </c>
    </row>
    <row r="12348" spans="1:6" ht="15.75" customHeight="1">
      <c r="A12348" s="5" t="str">
        <f ca="1">IFERROR(__xludf.DUMMYFUNCTION("GOOGLETRANSLATE(B40164,""en"",""pt"")"),"Rayevskiy")</f>
        <v>Rayevskiy</v>
      </c>
      <c r="B12348" s="17" t="s">
        <v>22989</v>
      </c>
      <c r="C12348" s="17" t="s">
        <v>22070</v>
      </c>
      <c r="D12348" s="17" t="s">
        <v>22088</v>
      </c>
      <c r="E12348" s="10">
        <v>502540</v>
      </c>
      <c r="F12348" s="4" t="str">
        <f>IF(B12348=B12347,"",B12348)</f>
        <v/>
      </c>
    </row>
    <row r="12349" spans="1:6" ht="15.75" customHeight="1">
      <c r="A12349" s="5" t="s">
        <v>22988</v>
      </c>
      <c r="B12349" s="6" t="s">
        <v>22988</v>
      </c>
      <c r="C12349" s="5" t="s">
        <v>22070</v>
      </c>
      <c r="D12349" s="5" t="s">
        <v>22210</v>
      </c>
      <c r="E12349" s="2">
        <v>2017487</v>
      </c>
      <c r="F12349" s="4" t="str">
        <f>IF(B12349=B12348,"",B12349)</f>
        <v>Raychikhinsk</v>
      </c>
    </row>
    <row r="12350" spans="1:6" ht="15.75" customHeight="1">
      <c r="A12350" s="5" t="str">
        <f ca="1">IFERROR(__xludf.DUMMYFUNCTION("GOOGLETRANSLATE(B40914,""en"",""pt"")"),"Raychikhinsk")</f>
        <v>Raychikhinsk</v>
      </c>
      <c r="B12350" s="17" t="s">
        <v>22988</v>
      </c>
      <c r="C12350" s="17" t="s">
        <v>22070</v>
      </c>
      <c r="D12350" s="17" t="s">
        <v>22210</v>
      </c>
      <c r="E12350" s="10">
        <v>2017487</v>
      </c>
      <c r="F12350" s="4" t="str">
        <f>IF(B12350=B12349,"",B12350)</f>
        <v/>
      </c>
    </row>
    <row r="12351" spans="1:6" ht="15.75" customHeight="1">
      <c r="A12351" s="5" t="str">
        <f ca="1">IFERROR(__xludf.DUMMYFUNCTION("GOOGLETRANSLATE(B32318,""en"",""pt"")"),"Rāybāg")</f>
        <v>Rāybāg</v>
      </c>
      <c r="B12351" s="17" t="s">
        <v>33152</v>
      </c>
      <c r="C12351" s="17" t="s">
        <v>10178</v>
      </c>
      <c r="D12351" s="17" t="s">
        <v>10252</v>
      </c>
      <c r="E12351" s="10">
        <v>1258278</v>
      </c>
      <c r="F12351" s="4" t="str">
        <f>IF(B12351=B12350,"",B12351)</f>
        <v>Rāybāg</v>
      </c>
    </row>
    <row r="12352" spans="1:6" ht="15.75" customHeight="1">
      <c r="A12352" s="5" t="str">
        <f ca="1">IFERROR(__xludf.DUMMYFUNCTION("GOOGLETRANSLATE(B32319,""en"",""pt"")"),"Rāyadrug")</f>
        <v>Rāyadrug</v>
      </c>
      <c r="B12352" s="17" t="s">
        <v>33153</v>
      </c>
      <c r="C12352" s="17" t="s">
        <v>10178</v>
      </c>
      <c r="D12352" s="17" t="s">
        <v>10190</v>
      </c>
      <c r="E12352" s="10">
        <v>1258290</v>
      </c>
      <c r="F12352" s="4" t="str">
        <f>IF(B12352=B12351,"",B12352)</f>
        <v>Rāyadrug</v>
      </c>
    </row>
    <row r="12353" spans="1:6" ht="15.75" customHeight="1">
      <c r="A12353" s="5" t="str">
        <f ca="1">IFERROR(__xludf.DUMMYFUNCTION("GOOGLETRANSLATE(B32320,""en"",""pt"")"),"Rāyachoti")</f>
        <v>Rāyachoti</v>
      </c>
      <c r="B12353" s="17" t="s">
        <v>33154</v>
      </c>
      <c r="C12353" s="17" t="s">
        <v>10178</v>
      </c>
      <c r="D12353" s="17" t="s">
        <v>10190</v>
      </c>
      <c r="E12353" s="10">
        <v>1258291</v>
      </c>
      <c r="F12353" s="4" t="str">
        <f>IF(B12353=B12352,"",B12353)</f>
        <v>Rāyachoti</v>
      </c>
    </row>
    <row r="12354" spans="1:6" ht="15.75" customHeight="1">
      <c r="A12354" s="5" t="str">
        <f ca="1">IFERROR(__xludf.DUMMYFUNCTION("GOOGLETRANSLATE(B32321,""en"",""pt"")"),"Rāya")</f>
        <v>Rāya</v>
      </c>
      <c r="B12354" s="17" t="s">
        <v>33155</v>
      </c>
      <c r="C12354" s="17" t="s">
        <v>10178</v>
      </c>
      <c r="D12354" s="17" t="s">
        <v>10193</v>
      </c>
      <c r="E12354" s="10">
        <v>1258292</v>
      </c>
      <c r="F12354" s="4" t="str">
        <f>IF(B12354=B12353,"",B12354)</f>
        <v>Rāya</v>
      </c>
    </row>
    <row r="12355" spans="1:6" ht="15.75" customHeight="1">
      <c r="A12355" s="6" t="s">
        <v>13098</v>
      </c>
      <c r="B12355" s="6" t="s">
        <v>13098</v>
      </c>
      <c r="C12355" s="6" t="s">
        <v>10178</v>
      </c>
      <c r="D12355" s="6" t="s">
        <v>10317</v>
      </c>
      <c r="E12355" s="2">
        <v>1258294</v>
      </c>
      <c r="F12355" s="4" t="str">
        <f>IF(B12355=B12354,"",B12355)</f>
        <v>Raxaul</v>
      </c>
    </row>
    <row r="12356" spans="1:6" ht="15.75" customHeight="1">
      <c r="A12356" s="5" t="str">
        <f ca="1">IFERROR(__xludf.DUMMYFUNCTION("GOOGLETRANSLATE(B32322,""en"",""pt"")"),"RAXAUL")</f>
        <v>RAXAUL</v>
      </c>
      <c r="B12356" s="17" t="s">
        <v>13098</v>
      </c>
      <c r="C12356" s="17" t="s">
        <v>10178</v>
      </c>
      <c r="D12356" s="17" t="s">
        <v>10317</v>
      </c>
      <c r="E12356" s="10">
        <v>1258294</v>
      </c>
      <c r="F12356" s="4" t="str">
        <f>IF(B12356=B12355,"",B12356)</f>
        <v/>
      </c>
    </row>
    <row r="12357" spans="1:6" ht="15.75" customHeight="1">
      <c r="A12357" s="5" t="s">
        <v>27624</v>
      </c>
      <c r="B12357" s="6" t="s">
        <v>27624</v>
      </c>
      <c r="C12357" s="5" t="s">
        <v>27234</v>
      </c>
      <c r="D12357" s="5" t="s">
        <v>27241</v>
      </c>
      <c r="E12357" s="2">
        <v>2639586</v>
      </c>
      <c r="F12357" s="4" t="str">
        <f>IF(B12357=B12356,"",B12357)</f>
        <v>Rawtenstall</v>
      </c>
    </row>
    <row r="12358" spans="1:6" ht="15.75" customHeight="1">
      <c r="A12358" s="5" t="str">
        <f ca="1">IFERROR(__xludf.DUMMYFUNCTION("GOOGLETRANSLATE(B30455,""en"",""pt"")"),"Rawtenstall")</f>
        <v>Rawtenstall</v>
      </c>
      <c r="B12358" s="17" t="s">
        <v>27624</v>
      </c>
      <c r="C12358" s="17" t="s">
        <v>27234</v>
      </c>
      <c r="D12358" s="17" t="s">
        <v>27241</v>
      </c>
      <c r="E12358" s="10">
        <v>2639586</v>
      </c>
      <c r="F12358" s="4" t="str">
        <f>IF(B12358=B12357,"",B12358)</f>
        <v/>
      </c>
    </row>
    <row r="12359" spans="1:6" ht="15.75" customHeight="1">
      <c r="A12359" s="6" t="s">
        <v>762</v>
      </c>
      <c r="B12359" s="6" t="s">
        <v>762</v>
      </c>
      <c r="C12359" s="6" t="s">
        <v>558</v>
      </c>
      <c r="D12359" s="6" t="s">
        <v>622</v>
      </c>
      <c r="E12359" s="2">
        <v>3839307</v>
      </c>
      <c r="F12359" s="4" t="str">
        <f>IF(B12359=B12358,"",B12359)</f>
        <v>Rawson</v>
      </c>
    </row>
    <row r="12360" spans="1:6" ht="15.75" customHeight="1">
      <c r="A12360" s="5" t="str">
        <f ca="1">IFERROR(__xludf.DUMMYFUNCTION("GOOGLETRANSLATE(B23286,""en"",""pt"")"),"Rawson")</f>
        <v>Rawson</v>
      </c>
      <c r="B12360" s="17" t="s">
        <v>762</v>
      </c>
      <c r="C12360" s="17" t="s">
        <v>558</v>
      </c>
      <c r="D12360" s="17" t="s">
        <v>622</v>
      </c>
      <c r="E12360" s="10">
        <v>3839307</v>
      </c>
      <c r="F12360" s="4" t="str">
        <f>IF(B12360=B12359,"",B12360)</f>
        <v/>
      </c>
    </row>
    <row r="12361" spans="1:6" ht="15.75" customHeight="1">
      <c r="A12361" s="5" t="s">
        <v>27622</v>
      </c>
      <c r="B12361" s="6" t="s">
        <v>27623</v>
      </c>
      <c r="C12361" s="5" t="s">
        <v>27234</v>
      </c>
      <c r="D12361" s="5" t="s">
        <v>27241</v>
      </c>
      <c r="E12361" s="2">
        <v>2639588</v>
      </c>
      <c r="F12361" s="4" t="str">
        <f>IF(B12361=B12360,"",B12361)</f>
        <v>Rawmarsh</v>
      </c>
    </row>
    <row r="12362" spans="1:6" ht="15.75" customHeight="1">
      <c r="A12362" s="5" t="str">
        <f ca="1">IFERROR(__xludf.DUMMYFUNCTION("GOOGLETRANSLATE(B30456,""en"",""pt"")"),"RawMarsh")</f>
        <v>RawMarsh</v>
      </c>
      <c r="B12362" s="17" t="s">
        <v>27623</v>
      </c>
      <c r="C12362" s="17" t="s">
        <v>27234</v>
      </c>
      <c r="D12362" s="17" t="s">
        <v>27241</v>
      </c>
      <c r="E12362" s="10">
        <v>2639588</v>
      </c>
      <c r="F12362" s="4" t="str">
        <f>IF(B12362=B12361,"",B12362)</f>
        <v/>
      </c>
    </row>
    <row r="12363" spans="1:6" ht="15.75" customHeight="1">
      <c r="A12363" s="6" t="s">
        <v>21464</v>
      </c>
      <c r="B12363" s="6" t="s">
        <v>21464</v>
      </c>
      <c r="C12363" s="6" t="s">
        <v>21064</v>
      </c>
      <c r="D12363" s="6" t="s">
        <v>21112</v>
      </c>
      <c r="E12363" s="2">
        <v>3087307</v>
      </c>
      <c r="F12363" s="4" t="str">
        <f>IF(B12363=B12362,"",B12363)</f>
        <v>Rawicz</v>
      </c>
    </row>
    <row r="12364" spans="1:6" ht="15.75" customHeight="1">
      <c r="A12364" s="5" t="str">
        <f ca="1">IFERROR(__xludf.DUMMYFUNCTION("GOOGLETRANSLATE(B39365,""en"",""pt"")"),"Rawicz")</f>
        <v>Rawicz</v>
      </c>
      <c r="B12364" s="17" t="s">
        <v>21464</v>
      </c>
      <c r="C12364" s="17" t="s">
        <v>21064</v>
      </c>
      <c r="D12364" s="17" t="s">
        <v>21112</v>
      </c>
      <c r="E12364" s="10">
        <v>3087307</v>
      </c>
      <c r="F12364" s="4" t="str">
        <f>IF(B12364=B12363,"",B12364)</f>
        <v/>
      </c>
    </row>
    <row r="12365" spans="1:6" ht="15.75" customHeight="1">
      <c r="A12365" s="5" t="str">
        <f ca="1">IFERROR(__xludf.DUMMYFUNCTION("GOOGLETRANSLATE(B32323,""en"",""pt"")"),"Rāwatsār")</f>
        <v>Rāwatsār</v>
      </c>
      <c r="B12365" s="17" t="s">
        <v>33156</v>
      </c>
      <c r="C12365" s="17" t="s">
        <v>10178</v>
      </c>
      <c r="D12365" s="17" t="s">
        <v>10179</v>
      </c>
      <c r="E12365" s="10">
        <v>1258295</v>
      </c>
      <c r="F12365" s="4" t="str">
        <f>IF(B12365=B12364,"",B12365)</f>
        <v>Rāwatsār</v>
      </c>
    </row>
    <row r="12366" spans="1:6" ht="15.75" customHeight="1">
      <c r="A12366" s="5" t="str">
        <f ca="1">IFERROR(__xludf.DUMMYFUNCTION("GOOGLETRANSLATE(B32324,""en"",""pt"")"),"Rāwatbhāta")</f>
        <v>Rāwatbhāta</v>
      </c>
      <c r="B12366" s="17" t="s">
        <v>33157</v>
      </c>
      <c r="C12366" s="17" t="s">
        <v>10178</v>
      </c>
      <c r="D12366" s="17" t="s">
        <v>10179</v>
      </c>
      <c r="E12366" s="10">
        <v>1258297</v>
      </c>
      <c r="F12366" s="4" t="str">
        <f>IF(B12366=B12365,"",B12366)</f>
        <v>Rāwatbhāta</v>
      </c>
    </row>
    <row r="12367" spans="1:6" ht="15.75" customHeight="1">
      <c r="A12367" s="6" t="s">
        <v>17556</v>
      </c>
      <c r="B12367" s="6" t="s">
        <v>17556</v>
      </c>
      <c r="C12367" s="6" t="s">
        <v>17432</v>
      </c>
      <c r="D12367" s="6" t="s">
        <v>17446</v>
      </c>
      <c r="E12367" s="2">
        <v>1735150</v>
      </c>
      <c r="F12367" s="4" t="str">
        <f>IF(B12367=B12366,"",B12367)</f>
        <v>Rawang</v>
      </c>
    </row>
    <row r="12368" spans="1:6" ht="15.75" customHeight="1">
      <c r="A12368" s="5" t="str">
        <f ca="1">IFERROR(__xludf.DUMMYFUNCTION("GOOGLETRANSLATE(B37480,""en"",""pt"")"),"Rawang")</f>
        <v>Rawang</v>
      </c>
      <c r="B12368" s="17" t="s">
        <v>17556</v>
      </c>
      <c r="C12368" s="17" t="s">
        <v>17432</v>
      </c>
      <c r="D12368" s="17" t="s">
        <v>17446</v>
      </c>
      <c r="E12368" s="10">
        <v>1735150</v>
      </c>
      <c r="F12368" s="4" t="str">
        <f>IF(B12368=B12367,"",B12368)</f>
        <v/>
      </c>
    </row>
    <row r="12369" spans="1:6" ht="15.75" customHeight="1">
      <c r="A12369" s="5" t="s">
        <v>20187</v>
      </c>
      <c r="B12369" s="6" t="s">
        <v>20187</v>
      </c>
      <c r="C12369" s="5" t="s">
        <v>19808</v>
      </c>
      <c r="D12369" s="5" t="s">
        <v>10184</v>
      </c>
      <c r="E12369" s="2">
        <v>1166993</v>
      </c>
      <c r="F12369" s="4" t="str">
        <f>IF(B12369=B12368,"",B12369)</f>
        <v>Rawalpindi</v>
      </c>
    </row>
    <row r="12370" spans="1:6" ht="15.75" customHeight="1">
      <c r="A12370" s="5" t="str">
        <f ca="1">IFERROR(__xludf.DUMMYFUNCTION("GOOGLETRANSLATE(B38935,""en"",""pt"")"),"Rawalpindi")</f>
        <v>Rawalpindi</v>
      </c>
      <c r="B12370" s="17" t="s">
        <v>20187</v>
      </c>
      <c r="C12370" s="17" t="s">
        <v>19808</v>
      </c>
      <c r="D12370" s="17" t="s">
        <v>10184</v>
      </c>
      <c r="E12370" s="10">
        <v>1166993</v>
      </c>
      <c r="F12370" s="4" t="str">
        <f>IF(B12370=B12369,"",B12370)</f>
        <v/>
      </c>
    </row>
    <row r="12371" spans="1:6" ht="15.75" customHeight="1">
      <c r="A12371" s="5" t="str">
        <f ca="1">IFERROR(__xludf.DUMMYFUNCTION("GOOGLETRANSLATE(B38864,""en"",""pt"")"),"Rāwala Kot")</f>
        <v>Rāwala Kot</v>
      </c>
      <c r="B12371" s="17" t="s">
        <v>34890</v>
      </c>
      <c r="C12371" s="17" t="s">
        <v>19808</v>
      </c>
      <c r="D12371" s="17" t="s">
        <v>19845</v>
      </c>
      <c r="E12371" s="10">
        <v>1161983</v>
      </c>
      <c r="F12371" s="4" t="str">
        <f>IF(B12371=B12370,"",B12371)</f>
        <v>Rāwala Kot</v>
      </c>
    </row>
    <row r="12372" spans="1:6" ht="15.75" customHeight="1">
      <c r="A12372" s="5" t="str">
        <f ca="1">IFERROR(__xludf.DUMMYFUNCTION("GOOGLETRANSLATE(B34281,""en"",""pt"")"),"Rāwah")</f>
        <v>Rāwah</v>
      </c>
      <c r="B12372" s="17" t="s">
        <v>34076</v>
      </c>
      <c r="C12372" s="17" t="s">
        <v>14594</v>
      </c>
      <c r="D12372" s="17" t="s">
        <v>14595</v>
      </c>
      <c r="E12372" s="10">
        <v>92004</v>
      </c>
      <c r="F12372" s="4" t="str">
        <f>IF(B12372=B12371,"",B12372)</f>
        <v>Rāwah</v>
      </c>
    </row>
    <row r="12373" spans="1:6" ht="15.75" customHeight="1">
      <c r="A12373" s="5" t="s">
        <v>21463</v>
      </c>
      <c r="B12373" s="6" t="s">
        <v>21463</v>
      </c>
      <c r="C12373" s="5" t="s">
        <v>21064</v>
      </c>
      <c r="D12373" s="5" t="s">
        <v>21080</v>
      </c>
      <c r="E12373" s="2">
        <v>760584</v>
      </c>
      <c r="F12373" s="4" t="str">
        <f>IF(B12373=B12372,"",B12373)</f>
        <v>Rawa Mazowiecka</v>
      </c>
    </row>
    <row r="12374" spans="1:6" ht="15.75" customHeight="1">
      <c r="A12374" s="5" t="str">
        <f ca="1">IFERROR(__xludf.DUMMYFUNCTION("GOOGLETRANSLATE(B39215,""en"",""pt"")"),"Rawa Mazowiecka")</f>
        <v>Rawa Mazowiecka</v>
      </c>
      <c r="B12374" s="17" t="s">
        <v>21463</v>
      </c>
      <c r="C12374" s="17" t="s">
        <v>21064</v>
      </c>
      <c r="D12374" s="17" t="s">
        <v>35071</v>
      </c>
      <c r="E12374" s="10">
        <v>760584</v>
      </c>
      <c r="F12374" s="4" t="str">
        <f>IF(B12374=B12373,"",B12374)</f>
        <v/>
      </c>
    </row>
    <row r="12375" spans="1:6" ht="15.75" customHeight="1">
      <c r="A12375" s="5" t="str">
        <f ca="1">IFERROR(__xludf.DUMMYFUNCTION("GOOGLETRANSLATE(B32325,""en"",""pt"")"),"Rāver")</f>
        <v>Rāver</v>
      </c>
      <c r="B12375" s="17" t="s">
        <v>33158</v>
      </c>
      <c r="C12375" s="17" t="s">
        <v>10178</v>
      </c>
      <c r="D12375" s="17" t="s">
        <v>10214</v>
      </c>
      <c r="E12375" s="10">
        <v>1258307</v>
      </c>
      <c r="F12375" s="4" t="str">
        <f>IF(B12375=B12374,"",B12375)</f>
        <v>Rāver</v>
      </c>
    </row>
    <row r="12376" spans="1:6" ht="15.75" customHeight="1">
      <c r="A12376" s="5" t="s">
        <v>9028</v>
      </c>
      <c r="B12376" s="6" t="s">
        <v>9028</v>
      </c>
      <c r="C12376" s="5" t="s">
        <v>8028</v>
      </c>
      <c r="D12376" s="5" t="s">
        <v>8031</v>
      </c>
      <c r="E12376" s="2">
        <v>2849802</v>
      </c>
      <c r="F12376" s="4" t="str">
        <f>IF(B12376=B12375,"",B12376)</f>
        <v>Ravensburg</v>
      </c>
    </row>
    <row r="12377" spans="1:6" ht="15.75" customHeight="1">
      <c r="A12377" s="5" t="str">
        <f ca="1">IFERROR(__xludf.DUMMYFUNCTION("GOOGLETRANSLATE(B27620,""en"",""pt"")"),"Ravensburg")</f>
        <v>Ravensburg</v>
      </c>
      <c r="B12377" s="17" t="s">
        <v>9028</v>
      </c>
      <c r="C12377" s="17" t="s">
        <v>8028</v>
      </c>
      <c r="D12377" s="17" t="s">
        <v>32013</v>
      </c>
      <c r="E12377" s="10">
        <v>2849802</v>
      </c>
      <c r="F12377" s="4" t="str">
        <f>IF(B12377=B12376,"",B12377)</f>
        <v/>
      </c>
    </row>
    <row r="12378" spans="1:6" ht="15.75" customHeight="1">
      <c r="A12378" s="6" t="s">
        <v>15402</v>
      </c>
      <c r="B12378" s="6" t="s">
        <v>15402</v>
      </c>
      <c r="C12378" s="6" t="s">
        <v>14891</v>
      </c>
      <c r="D12378" s="6" t="s">
        <v>14973</v>
      </c>
      <c r="E12378" s="2">
        <v>3169561</v>
      </c>
      <c r="F12378" s="4" t="str">
        <f>IF(B12378=B12377,"",B12378)</f>
        <v>Ravenna</v>
      </c>
    </row>
    <row r="12379" spans="1:6" ht="15.75" customHeight="1">
      <c r="A12379" s="5" t="str">
        <f ca="1">IFERROR(__xludf.DUMMYFUNCTION("GOOGLETRANSLATE(B34748,""en"",""pt"")"),"Ravenna")</f>
        <v>Ravenna</v>
      </c>
      <c r="B12379" s="17" t="s">
        <v>15402</v>
      </c>
      <c r="C12379" s="17" t="s">
        <v>14891</v>
      </c>
      <c r="D12379" s="17" t="s">
        <v>14973</v>
      </c>
      <c r="E12379" s="10">
        <v>3169561</v>
      </c>
      <c r="F12379" s="4" t="str">
        <f>IF(B12379=B12378,"",B12379)</f>
        <v/>
      </c>
    </row>
    <row r="12380" spans="1:6" ht="15.75" customHeight="1">
      <c r="A12380" s="5" t="str">
        <f ca="1">IFERROR(__xludf.DUMMYFUNCTION("GOOGLETRANSLATE(B34382,""en"",""pt"")"),"Rāvar")</f>
        <v>Rāvar</v>
      </c>
      <c r="B12380" s="17" t="s">
        <v>34152</v>
      </c>
      <c r="C12380" s="17" t="s">
        <v>14240</v>
      </c>
      <c r="D12380" s="17" t="s">
        <v>14317</v>
      </c>
      <c r="E12380" s="10">
        <v>118704</v>
      </c>
      <c r="F12380" s="4" t="str">
        <f>IF(B12380=B12379,"",B12380)</f>
        <v>Rāvar</v>
      </c>
    </row>
    <row r="12381" spans="1:6" ht="15.75" customHeight="1">
      <c r="A12381" s="6" t="s">
        <v>7026</v>
      </c>
      <c r="B12381" s="6" t="s">
        <v>7026</v>
      </c>
      <c r="C12381" s="6" t="s">
        <v>6948</v>
      </c>
      <c r="D12381" s="6" t="s">
        <v>7022</v>
      </c>
      <c r="E12381" s="2">
        <v>639734</v>
      </c>
      <c r="F12381" s="4" t="str">
        <f>IF(B12381=B12380,"",B12381)</f>
        <v>Rauma</v>
      </c>
    </row>
    <row r="12382" spans="1:6" ht="15.75" customHeight="1">
      <c r="A12382" s="5" t="str">
        <f ca="1">IFERROR(__xludf.DUMMYFUNCTION("GOOGLETRANSLATE(B29615,""en"",""pt"")"),"Rauma")</f>
        <v>Rauma</v>
      </c>
      <c r="B12382" s="17" t="s">
        <v>7026</v>
      </c>
      <c r="C12382" s="17" t="s">
        <v>6948</v>
      </c>
      <c r="D12382" s="17" t="s">
        <v>7022</v>
      </c>
      <c r="E12382" s="10">
        <v>639734</v>
      </c>
      <c r="F12382" s="4" t="str">
        <f>IF(B12382=B12381,"",B12382)</f>
        <v/>
      </c>
    </row>
    <row r="12383" spans="1:6" ht="15.75" customHeight="1">
      <c r="A12383" s="6" t="s">
        <v>17555</v>
      </c>
      <c r="B12383" s="6" t="s">
        <v>17555</v>
      </c>
      <c r="C12383" s="6" t="s">
        <v>17432</v>
      </c>
      <c r="D12383" s="6" t="s">
        <v>17456</v>
      </c>
      <c r="E12383" s="2">
        <v>1732663</v>
      </c>
      <c r="F12383" s="4" t="str">
        <f>IF(B12383=B12382,"",B12383)</f>
        <v>Raub</v>
      </c>
    </row>
    <row r="12384" spans="1:6" ht="15.75" customHeight="1">
      <c r="A12384" s="5" t="str">
        <f ca="1">IFERROR(__xludf.DUMMYFUNCTION("GOOGLETRANSLATE(B37405,""en"",""pt"")"),"Raub")</f>
        <v>Raub</v>
      </c>
      <c r="B12384" s="17" t="s">
        <v>17555</v>
      </c>
      <c r="C12384" s="17" t="s">
        <v>17432</v>
      </c>
      <c r="D12384" s="17" t="s">
        <v>17456</v>
      </c>
      <c r="E12384" s="10">
        <v>1732663</v>
      </c>
      <c r="F12384" s="4" t="str">
        <f>IF(B12384=B12383,"",B12384)</f>
        <v/>
      </c>
    </row>
    <row r="12385" spans="1:6" ht="15.75" customHeight="1">
      <c r="A12385" s="6" t="s">
        <v>20186</v>
      </c>
      <c r="B12385" s="6" t="s">
        <v>20186</v>
      </c>
      <c r="C12385" s="6" t="s">
        <v>19808</v>
      </c>
      <c r="D12385" s="6" t="s">
        <v>19823</v>
      </c>
      <c r="E12385" s="2">
        <v>1167031</v>
      </c>
      <c r="F12385" s="4" t="str">
        <f>IF(B12385=B12384,"",B12385)</f>
        <v>Ratodero</v>
      </c>
    </row>
    <row r="12386" spans="1:6" ht="15.75" customHeight="1">
      <c r="A12386" s="5" t="str">
        <f ca="1">IFERROR(__xludf.DUMMYFUNCTION("GOOGLETRANSLATE(B38936,""en"",""pt"")"),"Ratodero")</f>
        <v>Ratodero</v>
      </c>
      <c r="B12386" s="17" t="s">
        <v>20186</v>
      </c>
      <c r="C12386" s="17" t="s">
        <v>19808</v>
      </c>
      <c r="D12386" s="17" t="s">
        <v>19823</v>
      </c>
      <c r="E12386" s="10">
        <v>1167031</v>
      </c>
      <c r="F12386" s="4" t="str">
        <f>IF(B12386=B12385,"",B12386)</f>
        <v/>
      </c>
    </row>
    <row r="12387" spans="1:6" ht="15.75" customHeight="1">
      <c r="A12387" s="5" t="s">
        <v>24974</v>
      </c>
      <c r="B12387" s="6" t="s">
        <v>24974</v>
      </c>
      <c r="C12387" s="5" t="s">
        <v>24924</v>
      </c>
      <c r="D12387" s="5" t="s">
        <v>24975</v>
      </c>
      <c r="E12387" s="2">
        <v>1228730</v>
      </c>
      <c r="F12387" s="4" t="str">
        <f>IF(B12387=B12386,"",B12387)</f>
        <v>Ratnapura</v>
      </c>
    </row>
    <row r="12388" spans="1:6" ht="15.75" customHeight="1">
      <c r="A12388" s="5" t="str">
        <f ca="1">IFERROR(__xludf.DUMMYFUNCTION("GOOGLETRANSLATE(B36296,""en"",""pt"")"),"Ratnapura")</f>
        <v>Ratnapura</v>
      </c>
      <c r="B12388" s="17" t="s">
        <v>24974</v>
      </c>
      <c r="C12388" s="17" t="s">
        <v>24924</v>
      </c>
      <c r="D12388" s="17" t="s">
        <v>24975</v>
      </c>
      <c r="E12388" s="10">
        <v>1228730</v>
      </c>
      <c r="F12388" s="4" t="str">
        <f>IF(B12388=B12387,"",B12388)</f>
        <v/>
      </c>
    </row>
    <row r="12389" spans="1:6" ht="15.75" customHeight="1">
      <c r="A12389" s="6" t="s">
        <v>13097</v>
      </c>
      <c r="B12389" s="6" t="s">
        <v>13097</v>
      </c>
      <c r="C12389" s="6" t="s">
        <v>10178</v>
      </c>
      <c r="D12389" s="6" t="s">
        <v>10214</v>
      </c>
      <c r="E12389" s="2">
        <v>1258338</v>
      </c>
      <c r="F12389" s="4" t="str">
        <f>IF(B12389=B12388,"",B12389)</f>
        <v>Ratnagiri</v>
      </c>
    </row>
    <row r="12390" spans="1:6" ht="15.75" customHeight="1">
      <c r="A12390" s="5" t="str">
        <f ca="1">IFERROR(__xludf.DUMMYFUNCTION("GOOGLETRANSLATE(B32326,""en"",""pt"")"),"Ratnagiri")</f>
        <v>Ratnagiri</v>
      </c>
      <c r="B12390" s="17" t="s">
        <v>13097</v>
      </c>
      <c r="C12390" s="17" t="s">
        <v>10178</v>
      </c>
      <c r="D12390" s="17" t="s">
        <v>10214</v>
      </c>
      <c r="E12390" s="10">
        <v>1258338</v>
      </c>
      <c r="F12390" s="4" t="str">
        <f>IF(B12390=B12389,"",B12390)</f>
        <v/>
      </c>
    </row>
    <row r="12391" spans="1:6" ht="15.75" customHeight="1">
      <c r="A12391" s="5" t="str">
        <f ca="1">IFERROR(__xludf.DUMMYFUNCTION("GOOGLETRANSLATE(B32327,""en"",""pt"")"),"Ratlām")</f>
        <v>Ratlām</v>
      </c>
      <c r="B12391" s="17" t="s">
        <v>33159</v>
      </c>
      <c r="C12391" s="17" t="s">
        <v>10178</v>
      </c>
      <c r="D12391" s="17" t="s">
        <v>10219</v>
      </c>
      <c r="E12391" s="10">
        <v>1258342</v>
      </c>
      <c r="F12391" s="4" t="str">
        <f>IF(B12391=B12390,"",B12391)</f>
        <v>Ratlām</v>
      </c>
    </row>
    <row r="12392" spans="1:6" ht="15.75" customHeight="1">
      <c r="A12392" s="6" t="s">
        <v>13095</v>
      </c>
      <c r="B12392" s="6" t="s">
        <v>13096</v>
      </c>
      <c r="C12392" s="6" t="s">
        <v>10178</v>
      </c>
      <c r="D12392" s="6" t="s">
        <v>10219</v>
      </c>
      <c r="E12392" s="2">
        <v>1258342</v>
      </c>
      <c r="F12392" s="4" t="str">
        <f>IF(B12392=B12391,"",B12392)</f>
        <v>RatlÄm</v>
      </c>
    </row>
    <row r="12393" spans="1:6" ht="15.75" customHeight="1">
      <c r="A12393" s="6" t="s">
        <v>9027</v>
      </c>
      <c r="B12393" s="6" t="s">
        <v>9027</v>
      </c>
      <c r="C12393" s="6" t="s">
        <v>8028</v>
      </c>
      <c r="D12393" s="6" t="s">
        <v>8029</v>
      </c>
      <c r="E12393" s="2">
        <v>2850174</v>
      </c>
      <c r="F12393" s="4" t="str">
        <f>IF(B12393=B12392,"",B12393)</f>
        <v>Ratingen</v>
      </c>
    </row>
    <row r="12394" spans="1:6" ht="15.75" customHeight="1">
      <c r="A12394" s="5" t="str">
        <f ca="1">IFERROR(__xludf.DUMMYFUNCTION("GOOGLETRANSLATE(B27621,""en"",""pt"")"),"Ratingen")</f>
        <v>Ratingen</v>
      </c>
      <c r="B12394" s="17" t="s">
        <v>9027</v>
      </c>
      <c r="C12394" s="17" t="s">
        <v>8028</v>
      </c>
      <c r="D12394" s="17" t="s">
        <v>8029</v>
      </c>
      <c r="E12394" s="10">
        <v>2850174</v>
      </c>
      <c r="F12394" s="4" t="str">
        <f>IF(B12394=B12393,"",B12394)</f>
        <v/>
      </c>
    </row>
    <row r="12395" spans="1:6" ht="15.75" customHeight="1">
      <c r="A12395" s="6" t="s">
        <v>13093</v>
      </c>
      <c r="B12395" s="6" t="s">
        <v>13094</v>
      </c>
      <c r="C12395" s="6" t="s">
        <v>10178</v>
      </c>
      <c r="D12395" s="6" t="s">
        <v>10224</v>
      </c>
      <c r="E12395" s="2">
        <v>1258347</v>
      </c>
      <c r="F12395" s="4" t="str">
        <f>IF(B12395=B12394,"",B12395)</f>
        <v>Ratia</v>
      </c>
    </row>
    <row r="12396" spans="1:6" ht="15.75" customHeight="1">
      <c r="A12396" s="5" t="str">
        <f ca="1">IFERROR(__xludf.DUMMYFUNCTION("GOOGLETRANSLATE(B32328,""en"",""pt"")"),"RATIA")</f>
        <v>RATIA</v>
      </c>
      <c r="B12396" s="17" t="s">
        <v>13094</v>
      </c>
      <c r="C12396" s="17" t="s">
        <v>10178</v>
      </c>
      <c r="D12396" s="17" t="s">
        <v>10224</v>
      </c>
      <c r="E12396" s="10">
        <v>1258347</v>
      </c>
      <c r="F12396" s="4" t="str">
        <f>IF(B12396=B12395,"",B12396)</f>
        <v/>
      </c>
    </row>
    <row r="12397" spans="1:6" ht="15.75" customHeight="1">
      <c r="A12397" s="5" t="s">
        <v>9026</v>
      </c>
      <c r="B12397" s="6" t="s">
        <v>9026</v>
      </c>
      <c r="C12397" s="5" t="s">
        <v>8028</v>
      </c>
      <c r="D12397" s="5" t="s">
        <v>8070</v>
      </c>
      <c r="E12397" s="2">
        <v>2850213</v>
      </c>
      <c r="F12397" s="4" t="str">
        <f>IF(B12397=B12396,"",B12397)</f>
        <v>Rathenow</v>
      </c>
    </row>
    <row r="12398" spans="1:6" ht="15.75" customHeight="1">
      <c r="A12398" s="5" t="str">
        <f ca="1">IFERROR(__xludf.DUMMYFUNCTION("GOOGLETRANSLATE(B27622,""en"",""pt"")"),"Rathenow")</f>
        <v>Rathenow</v>
      </c>
      <c r="B12398" s="17" t="s">
        <v>9026</v>
      </c>
      <c r="C12398" s="17" t="s">
        <v>8028</v>
      </c>
      <c r="D12398" s="17" t="s">
        <v>8070</v>
      </c>
      <c r="E12398" s="10">
        <v>2850213</v>
      </c>
      <c r="F12398" s="4" t="str">
        <f>IF(B12398=B12397,"",B12398)</f>
        <v/>
      </c>
    </row>
    <row r="12399" spans="1:6" ht="15.75" customHeight="1">
      <c r="A12399" s="5" t="str">
        <f ca="1">IFERROR(__xludf.DUMMYFUNCTION("GOOGLETRANSLATE(B32329,""en"",""pt"")"),"Rāth")</f>
        <v>Rāth</v>
      </c>
      <c r="B12399" s="17" t="s">
        <v>33160</v>
      </c>
      <c r="C12399" s="17" t="s">
        <v>10178</v>
      </c>
      <c r="D12399" s="17" t="s">
        <v>10193</v>
      </c>
      <c r="E12399" s="10">
        <v>1258352</v>
      </c>
      <c r="F12399" s="4" t="str">
        <f>IF(B12399=B12398,"",B12399)</f>
        <v>Rāth</v>
      </c>
    </row>
    <row r="12400" spans="1:6" ht="15.75" customHeight="1">
      <c r="A12400" s="6" t="s">
        <v>9024</v>
      </c>
      <c r="B12400" s="6" t="s">
        <v>9025</v>
      </c>
      <c r="C12400" s="6" t="s">
        <v>8028</v>
      </c>
      <c r="D12400" s="6" t="s">
        <v>8040</v>
      </c>
      <c r="E12400" s="2">
        <v>2850235</v>
      </c>
      <c r="F12400" s="4" t="str">
        <f>IF(B12400=B12399,"",B12400)</f>
        <v>Ratekau</v>
      </c>
    </row>
    <row r="12401" spans="1:6" ht="15.75" customHeight="1">
      <c r="A12401" s="5" t="str">
        <f ca="1">IFERROR(__xludf.DUMMYFUNCTION("GOOGLETRANSLATE(B27623,""en"",""pt"")"),"CAVEKAU")</f>
        <v>CAVEKAU</v>
      </c>
      <c r="B12401" s="17" t="s">
        <v>9025</v>
      </c>
      <c r="C12401" s="17" t="s">
        <v>8028</v>
      </c>
      <c r="D12401" s="17" t="s">
        <v>8040</v>
      </c>
      <c r="E12401" s="10">
        <v>2850235</v>
      </c>
      <c r="F12401" s="4" t="str">
        <f>IF(B12401=B12400,"",B12401)</f>
        <v/>
      </c>
    </row>
    <row r="12402" spans="1:6" ht="15.75" customHeight="1">
      <c r="A12402" s="5" t="s">
        <v>25811</v>
      </c>
      <c r="B12402" s="6" t="s">
        <v>25811</v>
      </c>
      <c r="C12402" s="5" t="s">
        <v>25771</v>
      </c>
      <c r="D12402" s="5" t="s">
        <v>25811</v>
      </c>
      <c r="E12402" s="2">
        <v>1150954</v>
      </c>
      <c r="F12402" s="4" t="str">
        <f>IF(B12402=B12401,"",B12402)</f>
        <v>Ratchaburi</v>
      </c>
    </row>
    <row r="12403" spans="1:6" ht="15.75" customHeight="1">
      <c r="A12403" s="5" t="str">
        <f ca="1">IFERROR(__xludf.DUMMYFUNCTION("GOOGLETRANSLATE(B41529,""en"",""pt"")"),"Ratchaburi")</f>
        <v>Ratchaburi</v>
      </c>
      <c r="B12403" s="17" t="s">
        <v>25811</v>
      </c>
      <c r="C12403" s="17" t="s">
        <v>25771</v>
      </c>
      <c r="D12403" s="17" t="s">
        <v>25811</v>
      </c>
      <c r="E12403" s="10">
        <v>1150954</v>
      </c>
      <c r="F12403" s="4" t="str">
        <f>IF(B12403=B12402,"",B12403)</f>
        <v/>
      </c>
    </row>
    <row r="12404" spans="1:6" ht="15.75" customHeight="1">
      <c r="A12404" s="6" t="s">
        <v>13092</v>
      </c>
      <c r="B12404" s="6" t="s">
        <v>13092</v>
      </c>
      <c r="C12404" s="6" t="s">
        <v>10178</v>
      </c>
      <c r="D12404" s="6" t="s">
        <v>10272</v>
      </c>
      <c r="E12404" s="2">
        <v>1258362</v>
      </c>
      <c r="F12404" s="4" t="str">
        <f>IF(B12404=B12403,"",B12404)</f>
        <v>Ratanpur</v>
      </c>
    </row>
    <row r="12405" spans="1:6" ht="15.75" customHeight="1">
      <c r="A12405" s="5" t="str">
        <f ca="1">IFERROR(__xludf.DUMMYFUNCTION("GOOGLETRANSLATE(B32330,""en"",""pt"")"),"Ratanpur")</f>
        <v>Ratanpur</v>
      </c>
      <c r="B12405" s="17" t="s">
        <v>13092</v>
      </c>
      <c r="C12405" s="17" t="s">
        <v>10178</v>
      </c>
      <c r="D12405" s="17" t="s">
        <v>10272</v>
      </c>
      <c r="E12405" s="10">
        <v>1258362</v>
      </c>
      <c r="F12405" s="4" t="str">
        <f>IF(B12405=B12404,"",B12405)</f>
        <v/>
      </c>
    </row>
    <row r="12406" spans="1:6" ht="15.75" customHeight="1">
      <c r="A12406" s="5" t="s">
        <v>13091</v>
      </c>
      <c r="B12406" s="6" t="s">
        <v>13091</v>
      </c>
      <c r="C12406" s="5" t="s">
        <v>10178</v>
      </c>
      <c r="D12406" s="5" t="s">
        <v>10179</v>
      </c>
      <c r="E12406" s="2">
        <v>1258366</v>
      </c>
      <c r="F12406" s="4" t="str">
        <f>IF(B12406=B12405,"",B12406)</f>
        <v>Ratangarh</v>
      </c>
    </row>
    <row r="12407" spans="1:6" ht="15.75" customHeight="1">
      <c r="A12407" s="5" t="str">
        <f ca="1">IFERROR(__xludf.DUMMYFUNCTION("GOOGLETRANSLATE(B32331,""en"",""pt"")"),"Ratangarh")</f>
        <v>Ratangarh</v>
      </c>
      <c r="B12407" s="17" t="s">
        <v>13091</v>
      </c>
      <c r="C12407" s="17" t="s">
        <v>10178</v>
      </c>
      <c r="D12407" s="17" t="s">
        <v>10179</v>
      </c>
      <c r="E12407" s="10">
        <v>1258366</v>
      </c>
      <c r="F12407" s="4" t="str">
        <f>IF(B12407=B12406,"",B12407)</f>
        <v/>
      </c>
    </row>
    <row r="12408" spans="1:6" ht="15.75" customHeight="1">
      <c r="A12408" s="5" t="str">
        <f ca="1">IFERROR(__xludf.DUMMYFUNCTION("GOOGLETRANSLATE(B41149,""en"",""pt"")"),"Råsunda")</f>
        <v>Råsunda</v>
      </c>
      <c r="B12408" s="17" t="s">
        <v>35635</v>
      </c>
      <c r="C12408" s="17" t="s">
        <v>25077</v>
      </c>
      <c r="D12408" s="17" t="s">
        <v>25081</v>
      </c>
      <c r="E12408" s="10">
        <v>2683034</v>
      </c>
      <c r="F12408" s="4" t="str">
        <f>IF(B12408=B12407,"",B12408)</f>
        <v>Råsunda</v>
      </c>
    </row>
    <row r="12409" spans="1:6" ht="15.75" customHeight="1">
      <c r="A12409" s="6" t="s">
        <v>9023</v>
      </c>
      <c r="B12409" s="6" t="s">
        <v>9023</v>
      </c>
      <c r="C12409" s="6" t="s">
        <v>8028</v>
      </c>
      <c r="D12409" s="6" t="s">
        <v>8034</v>
      </c>
      <c r="E12409" s="2">
        <v>2850253</v>
      </c>
      <c r="F12409" s="4" t="str">
        <f>IF(B12409=B12408,"",B12409)</f>
        <v>Rastede</v>
      </c>
    </row>
    <row r="12410" spans="1:6" ht="15.75" customHeight="1">
      <c r="A12410" s="5" t="str">
        <f ca="1">IFERROR(__xludf.DUMMYFUNCTION("GOOGLETRANSLATE(B27624,""en"",""pt"")"),"Rastede")</f>
        <v>Rastede</v>
      </c>
      <c r="B12410" s="17" t="s">
        <v>9023</v>
      </c>
      <c r="C12410" s="17" t="s">
        <v>8028</v>
      </c>
      <c r="D12410" s="17" t="s">
        <v>8034</v>
      </c>
      <c r="E12410" s="10">
        <v>2850253</v>
      </c>
      <c r="F12410" s="4" t="str">
        <f>IF(B12410=B12409,"",B12410)</f>
        <v/>
      </c>
    </row>
    <row r="12411" spans="1:6" ht="15.75" customHeight="1">
      <c r="A12411" s="6" t="s">
        <v>9022</v>
      </c>
      <c r="B12411" s="6" t="s">
        <v>9022</v>
      </c>
      <c r="C12411" s="6" t="s">
        <v>8028</v>
      </c>
      <c r="D12411" s="6" t="s">
        <v>8031</v>
      </c>
      <c r="E12411" s="2">
        <v>2850257</v>
      </c>
      <c r="F12411" s="4" t="str">
        <f>IF(B12411=B12410,"",B12411)</f>
        <v>Rastatt</v>
      </c>
    </row>
    <row r="12412" spans="1:6" ht="15.75" customHeight="1">
      <c r="A12412" s="5" t="str">
        <f ca="1">IFERROR(__xludf.DUMMYFUNCTION("GOOGLETRANSLATE(B27625,""en"",""pt"")"),"Rastatt")</f>
        <v>Rastatt</v>
      </c>
      <c r="B12412" s="17" t="s">
        <v>9022</v>
      </c>
      <c r="C12412" s="17" t="s">
        <v>8028</v>
      </c>
      <c r="D12412" s="17" t="s">
        <v>32013</v>
      </c>
      <c r="E12412" s="10">
        <v>2850257</v>
      </c>
      <c r="F12412" s="4" t="str">
        <f>IF(B12412=B12411,"",B12412)</f>
        <v/>
      </c>
    </row>
    <row r="12413" spans="1:6" ht="15.75" customHeight="1">
      <c r="A12413" s="5" t="s">
        <v>22987</v>
      </c>
      <c r="B12413" s="6" t="s">
        <v>22987</v>
      </c>
      <c r="C12413" s="5" t="s">
        <v>22070</v>
      </c>
      <c r="D12413" s="5" t="s">
        <v>22529</v>
      </c>
      <c r="E12413" s="2">
        <v>502793</v>
      </c>
      <c r="F12413" s="4" t="str">
        <f>IF(B12413=B12412,"",B12413)</f>
        <v>Rasskazovo</v>
      </c>
    </row>
    <row r="12414" spans="1:6" ht="15.75" customHeight="1">
      <c r="A12414" s="5" t="str">
        <f ca="1">IFERROR(__xludf.DUMMYFUNCTION("GOOGLETRANSLATE(B40165,""en"",""pt"")"),"Rasskazovo")</f>
        <v>Rasskazovo</v>
      </c>
      <c r="B12414" s="17" t="s">
        <v>22987</v>
      </c>
      <c r="C12414" s="17" t="s">
        <v>22070</v>
      </c>
      <c r="D12414" s="17" t="s">
        <v>22529</v>
      </c>
      <c r="E12414" s="10">
        <v>502793</v>
      </c>
      <c r="F12414" s="4" t="str">
        <f>IF(B12414=B12413,"",B12414)</f>
        <v/>
      </c>
    </row>
    <row r="12415" spans="1:6" ht="15.75" customHeight="1">
      <c r="A12415" s="6" t="s">
        <v>13089</v>
      </c>
      <c r="B12415" s="6" t="s">
        <v>13090</v>
      </c>
      <c r="C12415" s="6" t="s">
        <v>10178</v>
      </c>
      <c r="D12415" s="6" t="s">
        <v>10193</v>
      </c>
      <c r="E12415" s="2">
        <v>1258380</v>
      </c>
      <c r="F12415" s="4" t="str">
        <f>IF(B12415=B12414,"",B12415)</f>
        <v>RasrÄ</v>
      </c>
    </row>
    <row r="12416" spans="1:6" ht="15.75" customHeight="1">
      <c r="A12416" s="5" t="str">
        <f ca="1">IFERROR(__xludf.DUMMYFUNCTION("GOOGLETRANSLATE(B32332,""en"",""pt"")"),"Rasrā")</f>
        <v>Rasrā</v>
      </c>
      <c r="B12416" s="17" t="s">
        <v>33161</v>
      </c>
      <c r="C12416" s="17" t="s">
        <v>10178</v>
      </c>
      <c r="D12416" s="17" t="s">
        <v>10193</v>
      </c>
      <c r="E12416" s="10">
        <v>1258380</v>
      </c>
      <c r="F12416" s="4" t="str">
        <f>IF(B12416=B12415,"",B12416)</f>
        <v>Rasrā</v>
      </c>
    </row>
    <row r="12417" spans="1:6" ht="15.75" customHeight="1">
      <c r="A12417" s="5" t="str">
        <f ca="1">IFERROR(__xludf.DUMMYFUNCTION("GOOGLETRANSLATE(B39754,""en"",""pt"")"),"Râşnov")</f>
        <v>Râşnov</v>
      </c>
      <c r="B12417" s="17" t="s">
        <v>35355</v>
      </c>
      <c r="C12417" s="17" t="s">
        <v>21824</v>
      </c>
      <c r="D12417" s="17" t="s">
        <v>35330</v>
      </c>
      <c r="E12417" s="10">
        <v>668828</v>
      </c>
      <c r="F12417" s="4" t="str">
        <f>IF(B12417=B12416,"",B12417)</f>
        <v>Râşnov</v>
      </c>
    </row>
    <row r="12418" spans="1:6" ht="15.75" customHeight="1">
      <c r="A12418" s="5" t="s">
        <v>13088</v>
      </c>
      <c r="B12418" s="6" t="s">
        <v>13088</v>
      </c>
      <c r="C12418" s="5" t="s">
        <v>10178</v>
      </c>
      <c r="D12418" s="5" t="s">
        <v>10196</v>
      </c>
      <c r="E12418" s="2">
        <v>1258386</v>
      </c>
      <c r="F12418" s="4" t="str">
        <f>IF(B12418=B12417,"",B12418)</f>
        <v>Rasipuram</v>
      </c>
    </row>
    <row r="12419" spans="1:6" ht="15.75" customHeight="1">
      <c r="A12419" s="5" t="str">
        <f ca="1">IFERROR(__xludf.DUMMYFUNCTION("GOOGLETRANSLATE(B32333,""en"",""pt"")"),"Rasipuram")</f>
        <v>Rasipuram</v>
      </c>
      <c r="B12419" s="17" t="s">
        <v>13088</v>
      </c>
      <c r="C12419" s="17" t="s">
        <v>10178</v>
      </c>
      <c r="D12419" s="17" t="s">
        <v>10196</v>
      </c>
      <c r="E12419" s="10">
        <v>1258386</v>
      </c>
      <c r="F12419" s="4" t="str">
        <f>IF(B12419=B12418,"",B12419)</f>
        <v/>
      </c>
    </row>
    <row r="12420" spans="1:6" ht="15.75" customHeight="1">
      <c r="A12420" s="6" t="s">
        <v>14522</v>
      </c>
      <c r="B12420" s="6" t="s">
        <v>14522</v>
      </c>
      <c r="C12420" s="6" t="s">
        <v>14240</v>
      </c>
      <c r="D12420" s="6" t="s">
        <v>14256</v>
      </c>
      <c r="E12420" s="2">
        <v>118743</v>
      </c>
      <c r="F12420" s="4" t="str">
        <f>IF(B12420=B12419,"",B12420)</f>
        <v>Rasht</v>
      </c>
    </row>
    <row r="12421" spans="1:6" ht="15.75" customHeight="1">
      <c r="A12421" s="5" t="str">
        <f ca="1">IFERROR(__xludf.DUMMYFUNCTION("GOOGLETRANSLATE(B34383,""en"",""pt"")"),"Rasht")</f>
        <v>Rasht</v>
      </c>
      <c r="B12421" s="17" t="s">
        <v>14522</v>
      </c>
      <c r="C12421" s="17" t="s">
        <v>14240</v>
      </c>
      <c r="D12421" s="17" t="s">
        <v>34133</v>
      </c>
      <c r="E12421" s="10">
        <v>118743</v>
      </c>
      <c r="F12421" s="4" t="str">
        <f>IF(B12421=B12420,"",B12421)</f>
        <v/>
      </c>
    </row>
    <row r="12422" spans="1:6" ht="15.75" customHeight="1">
      <c r="A12422" s="5" t="s">
        <v>6701</v>
      </c>
      <c r="B12422" s="6" t="s">
        <v>6701</v>
      </c>
      <c r="C12422" s="5" t="s">
        <v>6495</v>
      </c>
      <c r="D12422" s="5" t="s">
        <v>6584</v>
      </c>
      <c r="E12422" s="2">
        <v>350207</v>
      </c>
      <c r="F12422" s="4" t="str">
        <f>IF(B12422=B12421,"",B12422)</f>
        <v>Ras Gharib</v>
      </c>
    </row>
    <row r="12423" spans="1:6" ht="15.75" customHeight="1">
      <c r="A12423" s="5" t="str">
        <f ca="1">IFERROR(__xludf.DUMMYFUNCTION("GOOGLETRANSLATE(B28837,""en"",""pt"")"),"Ras Gharib")</f>
        <v>Ras Gharib</v>
      </c>
      <c r="B12423" s="17" t="s">
        <v>6701</v>
      </c>
      <c r="C12423" s="17" t="s">
        <v>6495</v>
      </c>
      <c r="D12423" s="17" t="s">
        <v>6584</v>
      </c>
      <c r="E12423" s="10">
        <v>350207</v>
      </c>
      <c r="F12423" s="4" t="str">
        <f>IF(B12423=B12422,"",B12423)</f>
        <v/>
      </c>
    </row>
    <row r="12424" spans="1:6" ht="15.75" customHeight="1">
      <c r="A12424" s="5" t="str">
        <f ca="1">IFERROR(__xludf.DUMMYFUNCTION("GOOGLETRANSLATE(B28561,""en"",""pt"")"),"Râs el oued")</f>
        <v>Râs el oued</v>
      </c>
      <c r="B12424" s="17" t="s">
        <v>32193</v>
      </c>
      <c r="C12424" s="17" t="s">
        <v>153</v>
      </c>
      <c r="D12424" s="17" t="s">
        <v>32194</v>
      </c>
      <c r="E12424" s="10">
        <v>2483936</v>
      </c>
      <c r="F12424" s="4" t="str">
        <f>IF(B12424=B12423,"",B12424)</f>
        <v>Râs el Oued</v>
      </c>
    </row>
    <row r="12425" spans="1:6" ht="15.75" customHeight="1">
      <c r="A12425" s="5" t="str">
        <f ca="1">IFERROR(__xludf.DUMMYFUNCTION("GOOGLETRANSLATE(B28562,""en"",""pt"")"),"Râs el aïoun")</f>
        <v>Râs el aïoun</v>
      </c>
      <c r="B12425" s="17" t="s">
        <v>32195</v>
      </c>
      <c r="C12425" s="17" t="s">
        <v>153</v>
      </c>
      <c r="D12425" s="17" t="s">
        <v>212</v>
      </c>
      <c r="E12425" s="10">
        <v>2483968</v>
      </c>
      <c r="F12425" s="4" t="str">
        <f>IF(B12425=B12424,"",B12425)</f>
        <v>Râs el Aïoun</v>
      </c>
    </row>
    <row r="12426" spans="1:6" ht="15.75" customHeight="1">
      <c r="A12426" s="5" t="s">
        <v>27229</v>
      </c>
      <c r="B12426" s="6" t="s">
        <v>27229</v>
      </c>
      <c r="C12426" s="5" t="s">
        <v>27213</v>
      </c>
      <c r="D12426" s="5" t="s">
        <v>27230</v>
      </c>
      <c r="E12426" s="2">
        <v>291074</v>
      </c>
      <c r="F12426" s="4" t="str">
        <f>IF(B12426=B12425,"",B12426)</f>
        <v>Ras al-Khaimah</v>
      </c>
    </row>
    <row r="12427" spans="1:6" ht="15.75" customHeight="1">
      <c r="A12427" s="5" t="str">
        <f ca="1">IFERROR(__xludf.DUMMYFUNCTION("GOOGLETRANSLATE(B23042,""en"",""pt"")"),"Ras al-Khaimah")</f>
        <v>Ras al-Khaimah</v>
      </c>
      <c r="B12427" s="17" t="s">
        <v>27229</v>
      </c>
      <c r="C12427" s="17" t="s">
        <v>27213</v>
      </c>
      <c r="D12427" s="17" t="s">
        <v>31104</v>
      </c>
      <c r="E12427" s="10">
        <v>291074</v>
      </c>
      <c r="F12427" s="4" t="str">
        <f>IF(B12427=B12426,"",B12427)</f>
        <v/>
      </c>
    </row>
    <row r="12428" spans="1:6" ht="15.75" customHeight="1">
      <c r="A12428" s="5" t="s">
        <v>25302</v>
      </c>
      <c r="B12428" s="6" t="s">
        <v>25302</v>
      </c>
      <c r="C12428" s="5" t="s">
        <v>25237</v>
      </c>
      <c r="D12428" s="5" t="s">
        <v>25268</v>
      </c>
      <c r="E12428" s="2">
        <v>2659099</v>
      </c>
      <c r="F12428" s="4" t="str">
        <f>IF(B12428=B12427,"",B12428)</f>
        <v>Rapperswil</v>
      </c>
    </row>
    <row r="12429" spans="1:6" ht="15.75" customHeight="1">
      <c r="A12429" s="5" t="str">
        <f ca="1">IFERROR(__xludf.DUMMYFUNCTION("GOOGLETRANSLATE(B25759,""en"",""pt"")"),"Rapperswil")</f>
        <v>Rapperswil</v>
      </c>
      <c r="B12429" s="17" t="s">
        <v>25302</v>
      </c>
      <c r="C12429" s="17" t="s">
        <v>25237</v>
      </c>
      <c r="D12429" s="17" t="s">
        <v>25268</v>
      </c>
      <c r="E12429" s="10">
        <v>2659099</v>
      </c>
      <c r="F12429" s="4" t="str">
        <f>IF(B12429=B12428,"",B12429)</f>
        <v/>
      </c>
    </row>
    <row r="12430" spans="1:6" ht="15.75" customHeight="1">
      <c r="A12430" s="5" t="s">
        <v>29776</v>
      </c>
      <c r="B12430" s="6" t="s">
        <v>29776</v>
      </c>
      <c r="C12430" s="5" t="s">
        <v>27788</v>
      </c>
      <c r="D12430" s="5" t="s">
        <v>27790</v>
      </c>
      <c r="E12430" s="2">
        <v>5768233</v>
      </c>
      <c r="F12430" s="4" t="str">
        <f>IF(B12430=B12429,"",B12430)</f>
        <v>Rapid City</v>
      </c>
    </row>
    <row r="12431" spans="1:6" ht="15.75" customHeight="1">
      <c r="A12431" s="5" t="str">
        <f ca="1">IFERROR(__xludf.DUMMYFUNCTION("GOOGLETRANSLATE(B45266,""en"",""pt"")"),"Rapid City")</f>
        <v>Rapid City</v>
      </c>
      <c r="B12431" s="17" t="s">
        <v>29776</v>
      </c>
      <c r="C12431" s="17" t="s">
        <v>27788</v>
      </c>
      <c r="D12431" s="17" t="s">
        <v>27790</v>
      </c>
      <c r="E12431" s="10">
        <v>5768233</v>
      </c>
      <c r="F12431" s="4" t="str">
        <f>IF(B12431=B12430,"",B12431)</f>
        <v/>
      </c>
    </row>
    <row r="12432" spans="1:6" ht="15.75" customHeight="1">
      <c r="A12432" s="5" t="str">
        <f ca="1">IFERROR(__xludf.DUMMYFUNCTION("GOOGLETRANSLATE(B32334,""en"",""pt"")"),"Rāpar")</f>
        <v>Rāpar</v>
      </c>
      <c r="B12432" s="17" t="s">
        <v>33162</v>
      </c>
      <c r="C12432" s="17" t="s">
        <v>10178</v>
      </c>
      <c r="D12432" s="17" t="s">
        <v>10209</v>
      </c>
      <c r="E12432" s="10">
        <v>1258406</v>
      </c>
      <c r="F12432" s="4" t="str">
        <f>IF(B12432=B12431,"",B12432)</f>
        <v>Rāpar</v>
      </c>
    </row>
    <row r="12433" spans="1:6" ht="15.75" customHeight="1">
      <c r="A12433" s="6" t="s">
        <v>15401</v>
      </c>
      <c r="B12433" s="6" t="s">
        <v>15401</v>
      </c>
      <c r="C12433" s="6" t="s">
        <v>14891</v>
      </c>
      <c r="D12433" s="6" t="s">
        <v>14920</v>
      </c>
      <c r="E12433" s="2">
        <v>3169602</v>
      </c>
      <c r="F12433" s="4" t="str">
        <f>IF(B12433=B12432,"",B12433)</f>
        <v>Rapallo</v>
      </c>
    </row>
    <row r="12434" spans="1:6" ht="15.75" customHeight="1">
      <c r="A12434" s="5" t="str">
        <f ca="1">IFERROR(__xludf.DUMMYFUNCTION("GOOGLETRANSLATE(B34749,""en"",""pt"")"),"Rapallo")</f>
        <v>Rapallo</v>
      </c>
      <c r="B12434" s="17" t="s">
        <v>15401</v>
      </c>
      <c r="C12434" s="17" t="s">
        <v>14891</v>
      </c>
      <c r="D12434" s="17" t="s">
        <v>14920</v>
      </c>
      <c r="E12434" s="10">
        <v>3169602</v>
      </c>
      <c r="F12434" s="4" t="str">
        <f>IF(B12434=B12433,"",B12434)</f>
        <v/>
      </c>
    </row>
    <row r="12435" spans="1:6" ht="15.75" customHeight="1">
      <c r="A12435" s="5" t="str">
        <f ca="1">IFERROR(__xludf.DUMMYFUNCTION("GOOGLETRANSLATE(B23756,""en"",""pt"")"),"Raojān")</f>
        <v>Raojān</v>
      </c>
      <c r="B12435" s="17" t="s">
        <v>31289</v>
      </c>
      <c r="C12435" s="17" t="s">
        <v>1296</v>
      </c>
      <c r="D12435" s="17" t="s">
        <v>1302</v>
      </c>
      <c r="E12435" s="10">
        <v>1189638</v>
      </c>
      <c r="F12435" s="4" t="str">
        <f>IF(B12435=B12434,"",B12435)</f>
        <v>Raojān</v>
      </c>
    </row>
    <row r="12436" spans="1:6" ht="15.75" customHeight="1">
      <c r="A12436" s="6" t="s">
        <v>1420</v>
      </c>
      <c r="B12436" s="6" t="s">
        <v>1421</v>
      </c>
      <c r="C12436" s="6" t="s">
        <v>1296</v>
      </c>
      <c r="D12436" s="6" t="s">
        <v>1302</v>
      </c>
      <c r="E12436" s="2">
        <v>1189638</v>
      </c>
      <c r="F12436" s="4" t="str">
        <f>IF(B12436=B12435,"",B12436)</f>
        <v>RaojÄn</v>
      </c>
    </row>
    <row r="12437" spans="1:6" ht="15.75" customHeight="1">
      <c r="A12437" s="6" t="s">
        <v>5576</v>
      </c>
      <c r="B12437" s="6" t="s">
        <v>5577</v>
      </c>
      <c r="C12437" s="6" t="s">
        <v>5348</v>
      </c>
      <c r="D12437" s="6" t="s">
        <v>5383</v>
      </c>
      <c r="E12437" s="2">
        <v>3670745</v>
      </c>
      <c r="F12437" s="4" t="str">
        <f>IF(B12437=B12436,"",B12437)</f>
        <v>RÃ­ohacha</v>
      </c>
    </row>
    <row r="12438" spans="1:6" ht="15.75" customHeight="1">
      <c r="A12438" s="5" t="s">
        <v>30894</v>
      </c>
      <c r="B12438" s="6" t="s">
        <v>30895</v>
      </c>
      <c r="C12438" s="5" t="s">
        <v>30784</v>
      </c>
      <c r="D12438" s="5" t="s">
        <v>30849</v>
      </c>
      <c r="E12438" s="2">
        <v>1568510</v>
      </c>
      <c r="F12438" s="4" t="str">
        <f>IF(B12438=B12437,"",B12438)</f>
        <v>Ráº¡ch GiÃ¡</v>
      </c>
    </row>
    <row r="12439" spans="1:6" ht="15.75" customHeight="1">
      <c r="A12439" s="5" t="s">
        <v>18187</v>
      </c>
      <c r="B12439" s="6" t="s">
        <v>18188</v>
      </c>
      <c r="C12439" s="5" t="s">
        <v>17707</v>
      </c>
      <c r="D12439" s="5" t="s">
        <v>17802</v>
      </c>
      <c r="E12439" s="2">
        <v>3520235</v>
      </c>
      <c r="F12439" s="4" t="str">
        <f>IF(B12439=B12438,"",B12439)</f>
        <v>RÃ­o Verde</v>
      </c>
    </row>
    <row r="12440" spans="1:6" ht="15.75" customHeight="1">
      <c r="A12440" s="5" t="s">
        <v>760</v>
      </c>
      <c r="B12440" s="6" t="s">
        <v>761</v>
      </c>
      <c r="C12440" s="5" t="s">
        <v>558</v>
      </c>
      <c r="D12440" s="5" t="s">
        <v>573</v>
      </c>
      <c r="E12440" s="2">
        <v>3838793</v>
      </c>
      <c r="F12440" s="4" t="str">
        <f>IF(B12440=B12439,"",B12440)</f>
        <v>RÃ­o Tercero</v>
      </c>
    </row>
    <row r="12441" spans="1:6" ht="15.75" customHeight="1">
      <c r="A12441" s="5" t="s">
        <v>758</v>
      </c>
      <c r="B12441" s="6" t="s">
        <v>759</v>
      </c>
      <c r="C12441" s="5" t="s">
        <v>558</v>
      </c>
      <c r="D12441" s="5" t="s">
        <v>573</v>
      </c>
      <c r="E12441" s="2">
        <v>3838797</v>
      </c>
      <c r="F12441" s="4" t="str">
        <f>IF(B12441=B12440,"",B12441)</f>
        <v>RÃ­o Segundo</v>
      </c>
    </row>
    <row r="12442" spans="1:6" ht="15.75" customHeight="1">
      <c r="A12442" s="5" t="s">
        <v>5894</v>
      </c>
      <c r="B12442" s="6" t="s">
        <v>5895</v>
      </c>
      <c r="C12442" s="5" t="s">
        <v>5764</v>
      </c>
      <c r="D12442" s="5" t="s">
        <v>5782</v>
      </c>
      <c r="E12442" s="2">
        <v>3542137</v>
      </c>
      <c r="F12442" s="4" t="str">
        <f>IF(B12442=B12441,"",B12442)</f>
        <v>RÃ­o Guayabal de Yateras</v>
      </c>
    </row>
    <row r="12443" spans="1:6" ht="15.75" customHeight="1">
      <c r="A12443" s="5" t="s">
        <v>6347</v>
      </c>
      <c r="B12443" s="6" t="s">
        <v>6348</v>
      </c>
      <c r="C12443" s="5" t="s">
        <v>6303</v>
      </c>
      <c r="D12443" s="5" t="s">
        <v>6341</v>
      </c>
      <c r="E12443" s="2">
        <v>3493769</v>
      </c>
      <c r="F12443" s="4" t="str">
        <f>IF(B12443=B12442,"",B12443)</f>
        <v>RÃ­o Grande</v>
      </c>
    </row>
    <row r="12444" spans="1:6" ht="15.75" customHeight="1">
      <c r="A12444" s="5" t="s">
        <v>6347</v>
      </c>
      <c r="B12444" s="6" t="s">
        <v>6348</v>
      </c>
      <c r="C12444" s="5" t="s">
        <v>17707</v>
      </c>
      <c r="D12444" s="5" t="s">
        <v>17943</v>
      </c>
      <c r="E12444" s="2">
        <v>3988594</v>
      </c>
      <c r="F12444" s="4" t="str">
        <f>IF(B12444=B12443,"",B12444)</f>
        <v/>
      </c>
    </row>
    <row r="12445" spans="1:6" ht="15.75" customHeight="1">
      <c r="A12445" s="5" t="s">
        <v>756</v>
      </c>
      <c r="B12445" s="6" t="s">
        <v>757</v>
      </c>
      <c r="C12445" s="5" t="s">
        <v>558</v>
      </c>
      <c r="D12445" s="5" t="s">
        <v>595</v>
      </c>
      <c r="E12445" s="2">
        <v>3838859</v>
      </c>
      <c r="F12445" s="4" t="str">
        <f>IF(B12445=B12444,"",B12445)</f>
        <v>RÃ­o Gallegos</v>
      </c>
    </row>
    <row r="12446" spans="1:6" ht="15.75" customHeight="1">
      <c r="A12446" s="5" t="s">
        <v>18185</v>
      </c>
      <c r="B12446" s="6" t="s">
        <v>18186</v>
      </c>
      <c r="C12446" s="5" t="s">
        <v>17707</v>
      </c>
      <c r="D12446" s="5" t="s">
        <v>17788</v>
      </c>
      <c r="E12446" s="2">
        <v>3802739</v>
      </c>
      <c r="F12446" s="4" t="str">
        <f>IF(B12446=B12445,"",B12446)</f>
        <v>RÃ­o de Teapa</v>
      </c>
    </row>
    <row r="12447" spans="1:6" ht="15.75" customHeight="1">
      <c r="A12447" s="5" t="s">
        <v>754</v>
      </c>
      <c r="B12447" s="6" t="s">
        <v>755</v>
      </c>
      <c r="C12447" s="5" t="s">
        <v>558</v>
      </c>
      <c r="D12447" s="5" t="s">
        <v>573</v>
      </c>
      <c r="E12447" s="2">
        <v>3838874</v>
      </c>
      <c r="F12447" s="4" t="str">
        <f>IF(B12447=B12446,"",B12447)</f>
        <v>RÃ­o Cuarto</v>
      </c>
    </row>
    <row r="12448" spans="1:6" ht="15.75" customHeight="1">
      <c r="A12448" s="5" t="s">
        <v>752</v>
      </c>
      <c r="B12448" s="6" t="s">
        <v>753</v>
      </c>
      <c r="C12448" s="5" t="s">
        <v>558</v>
      </c>
      <c r="D12448" s="5" t="s">
        <v>573</v>
      </c>
      <c r="E12448" s="2">
        <v>3838902</v>
      </c>
      <c r="F12448" s="4" t="str">
        <f>IF(B12448=B12447,"",B12448)</f>
        <v>RÃ­o Ceballos</v>
      </c>
    </row>
    <row r="12449" spans="1:6" ht="15.75" customHeight="1">
      <c r="A12449" s="5" t="s">
        <v>5892</v>
      </c>
      <c r="B12449" s="6" t="s">
        <v>5893</v>
      </c>
      <c r="C12449" s="5" t="s">
        <v>5764</v>
      </c>
      <c r="D12449" s="5" t="s">
        <v>5788</v>
      </c>
      <c r="E12449" s="2">
        <v>3542167</v>
      </c>
      <c r="F12449" s="4" t="str">
        <f>IF(B12449=B12448,"",B12449)</f>
        <v>RÃ­o Cauto</v>
      </c>
    </row>
    <row r="12450" spans="1:6" ht="15.75" customHeight="1">
      <c r="A12450" s="5" t="s">
        <v>4463</v>
      </c>
      <c r="B12450" s="6" t="s">
        <v>4464</v>
      </c>
      <c r="C12450" s="5" t="s">
        <v>4355</v>
      </c>
      <c r="D12450" s="5" t="s">
        <v>4411</v>
      </c>
      <c r="E12450" s="2">
        <v>3873145</v>
      </c>
      <c r="F12450" s="4" t="str">
        <f>IF(B12450=B12449,"",B12450)</f>
        <v>RÃ­o Bueno</v>
      </c>
    </row>
    <row r="12451" spans="1:6" ht="15.75" customHeight="1">
      <c r="A12451" s="5" t="s">
        <v>18183</v>
      </c>
      <c r="B12451" s="6" t="s">
        <v>18184</v>
      </c>
      <c r="C12451" s="5" t="s">
        <v>17707</v>
      </c>
      <c r="D12451" s="5" t="s">
        <v>17740</v>
      </c>
      <c r="E12451" s="2">
        <v>3520271</v>
      </c>
      <c r="F12451" s="4" t="str">
        <f>IF(B12451=B12450,"",B12451)</f>
        <v>RÃ­o Bravo</v>
      </c>
    </row>
    <row r="12452" spans="1:6" ht="15.75" customHeight="1">
      <c r="A12452" s="5" t="s">
        <v>18181</v>
      </c>
      <c r="B12452" s="6" t="s">
        <v>18182</v>
      </c>
      <c r="C12452" s="5" t="s">
        <v>17707</v>
      </c>
      <c r="D12452" s="5" t="s">
        <v>17708</v>
      </c>
      <c r="E12452" s="2">
        <v>3520274</v>
      </c>
      <c r="F12452" s="4" t="str">
        <f>IF(B12452=B12451,"",B12452)</f>
        <v>RÃ­o Blanco</v>
      </c>
    </row>
    <row r="12453" spans="1:6" ht="15.75" customHeight="1">
      <c r="A12453" s="5" t="s">
        <v>18181</v>
      </c>
      <c r="B12453" s="6" t="s">
        <v>18182</v>
      </c>
      <c r="C12453" s="5" t="s">
        <v>19217</v>
      </c>
      <c r="D12453" s="5" t="s">
        <v>19241</v>
      </c>
      <c r="E12453" s="2">
        <v>3617069</v>
      </c>
      <c r="F12453" s="4" t="str">
        <f>IF(B12453=B12452,"",B12453)</f>
        <v/>
      </c>
    </row>
    <row r="12454" spans="1:6" ht="15.75" customHeight="1">
      <c r="A12454" s="6" t="s">
        <v>14122</v>
      </c>
      <c r="B12454" s="6" t="s">
        <v>14122</v>
      </c>
      <c r="C12454" s="6" t="s">
        <v>13800</v>
      </c>
      <c r="D12454" s="6" t="s">
        <v>13918</v>
      </c>
      <c r="E12454" s="2">
        <v>1629974</v>
      </c>
      <c r="F12454" s="4" t="str">
        <f>IF(B12454=B12453,"",B12454)</f>
        <v>Rantepao</v>
      </c>
    </row>
    <row r="12455" spans="1:6" ht="15.75" customHeight="1">
      <c r="A12455" s="5" t="str">
        <f ca="1">IFERROR(__xludf.DUMMYFUNCTION("GOOGLETRANSLATE(B31471,""en"",""pt"")"),"Rantepao")</f>
        <v>Rantepao</v>
      </c>
      <c r="B12455" s="17" t="s">
        <v>14122</v>
      </c>
      <c r="C12455" s="17" t="s">
        <v>13800</v>
      </c>
      <c r="D12455" s="17" t="s">
        <v>13918</v>
      </c>
      <c r="E12455" s="10">
        <v>1629974</v>
      </c>
      <c r="F12455" s="4" t="str">
        <f>IF(B12455=B12454,"",B12455)</f>
        <v/>
      </c>
    </row>
    <row r="12456" spans="1:6" ht="15.75" customHeight="1">
      <c r="A12456" s="5" t="s">
        <v>14121</v>
      </c>
      <c r="B12456" s="6" t="s">
        <v>14121</v>
      </c>
      <c r="C12456" s="5" t="s">
        <v>13800</v>
      </c>
      <c r="D12456" s="5" t="s">
        <v>13830</v>
      </c>
      <c r="E12456" s="2">
        <v>1214073</v>
      </c>
      <c r="F12456" s="4" t="str">
        <f>IF(B12456=B12455,"",B12456)</f>
        <v>Rantauprapat</v>
      </c>
    </row>
    <row r="12457" spans="1:6" ht="15.75" customHeight="1">
      <c r="A12457" s="5" t="str">
        <f ca="1">IFERROR(__xludf.DUMMYFUNCTION("GOOGLETRANSLATE(B31364,""en"",""pt"")"),"Rantauprapat")</f>
        <v>Rantauprapat</v>
      </c>
      <c r="B12457" s="17" t="s">
        <v>14121</v>
      </c>
      <c r="C12457" s="17" t="s">
        <v>13800</v>
      </c>
      <c r="D12457" s="17" t="s">
        <v>13830</v>
      </c>
      <c r="E12457" s="10">
        <v>1214073</v>
      </c>
      <c r="F12457" s="4" t="str">
        <f>IF(B12457=B12456,"",B12457)</f>
        <v/>
      </c>
    </row>
    <row r="12458" spans="1:6" ht="15.75" customHeight="1">
      <c r="A12458" s="6" t="s">
        <v>1670</v>
      </c>
      <c r="B12458" s="6" t="s">
        <v>1670</v>
      </c>
      <c r="C12458" s="6" t="s">
        <v>1512</v>
      </c>
      <c r="D12458" s="6" t="s">
        <v>1513</v>
      </c>
      <c r="E12458" s="2">
        <v>2788348</v>
      </c>
      <c r="F12458" s="4" t="str">
        <f>IF(B12458=B12457,"",B12458)</f>
        <v>Ranst</v>
      </c>
    </row>
    <row r="12459" spans="1:6" ht="15.75" customHeight="1">
      <c r="A12459" s="5" t="str">
        <f ca="1">IFERROR(__xludf.DUMMYFUNCTION("GOOGLETRANSLATE(B23844,""en"",""pt"")"),"Ranst")</f>
        <v>Ranst</v>
      </c>
      <c r="B12459" s="17" t="s">
        <v>1670</v>
      </c>
      <c r="C12459" s="17" t="s">
        <v>1512</v>
      </c>
      <c r="D12459" s="17" t="s">
        <v>1513</v>
      </c>
      <c r="E12459" s="10">
        <v>2788348</v>
      </c>
      <c r="F12459" s="4" t="str">
        <f>IF(B12459=B12458,"",B12459)</f>
        <v/>
      </c>
    </row>
    <row r="12460" spans="1:6" ht="15.75" customHeight="1">
      <c r="A12460" s="6" t="s">
        <v>25977</v>
      </c>
      <c r="B12460" s="6" t="s">
        <v>25977</v>
      </c>
      <c r="C12460" s="6" t="s">
        <v>25771</v>
      </c>
      <c r="D12460" s="6" t="s">
        <v>25794</v>
      </c>
      <c r="E12460" s="2">
        <v>1607068</v>
      </c>
      <c r="F12460" s="4" t="str">
        <f>IF(B12460=B12459,"",B12460)</f>
        <v>Ranot</v>
      </c>
    </row>
    <row r="12461" spans="1:6" ht="15.75" customHeight="1">
      <c r="A12461" s="5" t="str">
        <f ca="1">IFERROR(__xludf.DUMMYFUNCTION("GOOGLETRANSLATE(B41620,""en"",""pt"")"),"Ranot")</f>
        <v>Ranot</v>
      </c>
      <c r="B12461" s="17" t="s">
        <v>25977</v>
      </c>
      <c r="C12461" s="17" t="s">
        <v>25771</v>
      </c>
      <c r="D12461" s="17" t="s">
        <v>25794</v>
      </c>
      <c r="E12461" s="10">
        <v>1607068</v>
      </c>
      <c r="F12461" s="4" t="str">
        <f>IF(B12461=B12460,"",B12461)</f>
        <v/>
      </c>
    </row>
    <row r="12462" spans="1:6" ht="15.75" customHeight="1">
      <c r="A12462" s="6" t="s">
        <v>25976</v>
      </c>
      <c r="B12462" s="6" t="s">
        <v>25976</v>
      </c>
      <c r="C12462" s="6" t="s">
        <v>25771</v>
      </c>
      <c r="D12462" s="6" t="s">
        <v>25976</v>
      </c>
      <c r="E12462" s="2">
        <v>1150965</v>
      </c>
      <c r="F12462" s="4" t="str">
        <f>IF(B12462=B12461,"",B12462)</f>
        <v>Ranong</v>
      </c>
    </row>
    <row r="12463" spans="1:6" ht="15.75" customHeight="1">
      <c r="A12463" s="5" t="str">
        <f ca="1">IFERROR(__xludf.DUMMYFUNCTION("GOOGLETRANSLATE(B41530,""en"",""pt"")"),"Ranong")</f>
        <v>Ranong</v>
      </c>
      <c r="B12463" s="17" t="s">
        <v>25976</v>
      </c>
      <c r="C12463" s="17" t="s">
        <v>25771</v>
      </c>
      <c r="D12463" s="17" t="s">
        <v>25976</v>
      </c>
      <c r="E12463" s="10">
        <v>1150965</v>
      </c>
      <c r="F12463" s="4" t="str">
        <f>IF(B12463=B12462,"",B12463)</f>
        <v/>
      </c>
    </row>
    <row r="12464" spans="1:6" ht="15.75" customHeight="1">
      <c r="A12464" s="6" t="s">
        <v>19556</v>
      </c>
      <c r="B12464" s="6" t="s">
        <v>19556</v>
      </c>
      <c r="C12464" s="6" t="s">
        <v>19294</v>
      </c>
      <c r="D12464" s="6" t="s">
        <v>19406</v>
      </c>
      <c r="E12464" s="2">
        <v>2324575</v>
      </c>
      <c r="F12464" s="4" t="str">
        <f>IF(B12464=B12463,"",B12464)</f>
        <v>Rano</v>
      </c>
    </row>
    <row r="12465" spans="1:6" ht="15.75" customHeight="1">
      <c r="A12465" s="5" t="str">
        <f ca="1">IFERROR(__xludf.DUMMYFUNCTION("GOOGLETRANSLATE(B37634,""en"",""pt"")"),"Rano")</f>
        <v>Rano</v>
      </c>
      <c r="B12465" s="17" t="s">
        <v>19556</v>
      </c>
      <c r="C12465" s="17" t="s">
        <v>19294</v>
      </c>
      <c r="D12465" s="17" t="s">
        <v>19406</v>
      </c>
      <c r="E12465" s="10">
        <v>2324575</v>
      </c>
      <c r="F12465" s="4" t="str">
        <f>IF(B12465=B12464,"",B12465)</f>
        <v/>
      </c>
    </row>
    <row r="12466" spans="1:6" ht="15.75" customHeight="1">
      <c r="A12466" s="5" t="str">
        <f ca="1">IFERROR(__xludf.DUMMYFUNCTION("GOOGLETRANSLATE(B32335,""en"",""pt"")"),"Rānīpur")</f>
        <v>Rānīpur</v>
      </c>
      <c r="B12466" s="17" t="s">
        <v>33163</v>
      </c>
      <c r="C12466" s="17" t="s">
        <v>10178</v>
      </c>
      <c r="D12466" s="17" t="s">
        <v>10193</v>
      </c>
      <c r="E12466" s="10">
        <v>1258449</v>
      </c>
      <c r="F12466" s="4" t="str">
        <f>IF(B12466=B12465,"",B12466)</f>
        <v>Rānīpur</v>
      </c>
    </row>
    <row r="12467" spans="1:6" ht="15.75" customHeight="1">
      <c r="A12467" s="5" t="str">
        <f ca="1">IFERROR(__xludf.DUMMYFUNCTION("GOOGLETRANSLATE(B38937,""en"",""pt"")"),"Rānīpur")</f>
        <v>Rānīpur</v>
      </c>
      <c r="B12467" s="17" t="s">
        <v>33163</v>
      </c>
      <c r="C12467" s="17" t="s">
        <v>19808</v>
      </c>
      <c r="D12467" s="17" t="s">
        <v>19823</v>
      </c>
      <c r="E12467" s="10">
        <v>1167142</v>
      </c>
      <c r="F12467" s="4" t="str">
        <f>IF(B12467=B12466,"",B12467)</f>
        <v/>
      </c>
    </row>
    <row r="12468" spans="1:6" ht="15.75" customHeight="1">
      <c r="A12468" s="5" t="str">
        <f ca="1">IFERROR(__xludf.DUMMYFUNCTION("GOOGLETRANSLATE(B32336,""en"",""pt"")"),"Rānikhet")</f>
        <v>Rānikhet</v>
      </c>
      <c r="B12468" s="17" t="s">
        <v>33164</v>
      </c>
      <c r="C12468" s="17" t="s">
        <v>10178</v>
      </c>
      <c r="D12468" s="17" t="s">
        <v>10299</v>
      </c>
      <c r="E12468" s="10">
        <v>1258455</v>
      </c>
      <c r="F12468" s="4" t="str">
        <f>IF(B12468=B12467,"",B12468)</f>
        <v>Rānikhet</v>
      </c>
    </row>
    <row r="12469" spans="1:6" ht="15.75" customHeight="1">
      <c r="A12469" s="5" t="str">
        <f ca="1">IFERROR(__xludf.DUMMYFUNCTION("GOOGLETRANSLATE(B32337,""en"",""pt"")"),"Rānīganj")</f>
        <v>Rānīganj</v>
      </c>
      <c r="B12469" s="17" t="s">
        <v>33165</v>
      </c>
      <c r="C12469" s="17" t="s">
        <v>10178</v>
      </c>
      <c r="D12469" s="17" t="s">
        <v>10201</v>
      </c>
      <c r="E12469" s="10">
        <v>1258470</v>
      </c>
      <c r="F12469" s="4" t="str">
        <f>IF(B12469=B12468,"",B12469)</f>
        <v>Rānīganj</v>
      </c>
    </row>
    <row r="12470" spans="1:6" ht="15.75" customHeight="1">
      <c r="A12470" s="5" t="str">
        <f ca="1">IFERROR(__xludf.DUMMYFUNCTION("GOOGLETRANSLATE(B32338,""en"",""pt"")"),"Rānībennur")</f>
        <v>Rānībennur</v>
      </c>
      <c r="B12470" s="17" t="s">
        <v>33166</v>
      </c>
      <c r="C12470" s="17" t="s">
        <v>10178</v>
      </c>
      <c r="D12470" s="17" t="s">
        <v>10252</v>
      </c>
      <c r="E12470" s="10">
        <v>1258474</v>
      </c>
      <c r="F12470" s="4" t="str">
        <f>IF(B12470=B12469,"",B12470)</f>
        <v>Rānībennur</v>
      </c>
    </row>
    <row r="12471" spans="1:6" ht="15.75" customHeight="1">
      <c r="A12471" s="5" t="str">
        <f ca="1">IFERROR(__xludf.DUMMYFUNCTION("GOOGLETRANSLATE(B32339,""en"",""pt"")"),"Rānia")</f>
        <v>Rānia</v>
      </c>
      <c r="B12471" s="17" t="s">
        <v>33167</v>
      </c>
      <c r="C12471" s="17" t="s">
        <v>10178</v>
      </c>
      <c r="D12471" s="17" t="s">
        <v>10224</v>
      </c>
      <c r="E12471" s="10">
        <v>1258477</v>
      </c>
      <c r="F12471" s="4" t="str">
        <f>IF(B12471=B12470,"",B12471)</f>
        <v>Rānia</v>
      </c>
    </row>
    <row r="12472" spans="1:6" ht="15.75" customHeight="1">
      <c r="A12472" s="6" t="s">
        <v>1419</v>
      </c>
      <c r="B12472" s="6" t="s">
        <v>1419</v>
      </c>
      <c r="C12472" s="6" t="s">
        <v>1296</v>
      </c>
      <c r="D12472" s="6" t="s">
        <v>1304</v>
      </c>
      <c r="E12472" s="2">
        <v>1185188</v>
      </c>
      <c r="F12472" s="4" t="str">
        <f>IF(B12472=B12471,"",B12472)</f>
        <v>Rangpur</v>
      </c>
    </row>
    <row r="12473" spans="1:6" ht="15.75" customHeight="1">
      <c r="A12473" s="5" t="str">
        <f ca="1">IFERROR(__xludf.DUMMYFUNCTION("GOOGLETRANSLATE(B23726,""en"",""pt"")"),"Rangpur")</f>
        <v>Rangpur</v>
      </c>
      <c r="B12473" s="17" t="s">
        <v>1419</v>
      </c>
      <c r="C12473" s="17" t="s">
        <v>1296</v>
      </c>
      <c r="D12473" s="17" t="s">
        <v>1304</v>
      </c>
      <c r="E12473" s="10">
        <v>1185188</v>
      </c>
      <c r="F12473" s="4" t="str">
        <f>IF(B12473=B12472,"",B12473)</f>
        <v/>
      </c>
    </row>
    <row r="12474" spans="1:6" ht="15.75" customHeight="1">
      <c r="A12474" s="5" t="s">
        <v>14120</v>
      </c>
      <c r="B12474" s="6" t="s">
        <v>14120</v>
      </c>
      <c r="C12474" s="5" t="s">
        <v>13800</v>
      </c>
      <c r="D12474" s="5" t="s">
        <v>13901</v>
      </c>
      <c r="E12474" s="2">
        <v>1630058</v>
      </c>
      <c r="F12474" s="4" t="str">
        <f>IF(B12474=B12473,"",B12474)</f>
        <v>Rangkasbitung</v>
      </c>
    </row>
    <row r="12475" spans="1:6" ht="15.75" customHeight="1">
      <c r="A12475" s="5" t="str">
        <f ca="1">IFERROR(__xludf.DUMMYFUNCTION("GOOGLETRANSLATE(B31472,""en"",""pt"")"),"Rangkasbitung")</f>
        <v>Rangkasbitung</v>
      </c>
      <c r="B12475" s="17" t="s">
        <v>14120</v>
      </c>
      <c r="C12475" s="17" t="s">
        <v>13800</v>
      </c>
      <c r="D12475" s="17" t="s">
        <v>13901</v>
      </c>
      <c r="E12475" s="10">
        <v>1630058</v>
      </c>
      <c r="F12475" s="4" t="str">
        <f>IF(B12475=B12474,"",B12475)</f>
        <v/>
      </c>
    </row>
    <row r="12476" spans="1:6" ht="15.75" customHeight="1">
      <c r="A12476" s="6" t="s">
        <v>13087</v>
      </c>
      <c r="B12476" s="6" t="s">
        <v>13087</v>
      </c>
      <c r="C12476" s="6" t="s">
        <v>10178</v>
      </c>
      <c r="D12476" s="6" t="s">
        <v>10239</v>
      </c>
      <c r="E12476" s="2">
        <v>1258492</v>
      </c>
      <c r="F12476" s="4" t="str">
        <f>IF(B12476=B12475,"",B12476)</f>
        <v>Rangia</v>
      </c>
    </row>
    <row r="12477" spans="1:6" ht="15.75" customHeight="1">
      <c r="A12477" s="5" t="str">
        <f ca="1">IFERROR(__xludf.DUMMYFUNCTION("GOOGLETRANSLATE(B32340,""en"",""pt"")"),"Rangia")</f>
        <v>Rangia</v>
      </c>
      <c r="B12477" s="17" t="s">
        <v>13087</v>
      </c>
      <c r="C12477" s="17" t="s">
        <v>10178</v>
      </c>
      <c r="D12477" s="17" t="s">
        <v>10239</v>
      </c>
      <c r="E12477" s="10">
        <v>1258492</v>
      </c>
      <c r="F12477" s="4" t="str">
        <f>IF(B12477=B12476,"",B12477)</f>
        <v/>
      </c>
    </row>
    <row r="12478" spans="1:6" ht="15.75" customHeight="1">
      <c r="A12478" s="5" t="str">
        <f ca="1">IFERROR(__xludf.DUMMYFUNCTION("GOOGLETRANSLATE(B32341,""en"",""pt"")"),"Rangāpāra")</f>
        <v>Rangāpāra</v>
      </c>
      <c r="B12478" s="17" t="s">
        <v>33168</v>
      </c>
      <c r="C12478" s="17" t="s">
        <v>10178</v>
      </c>
      <c r="D12478" s="17" t="s">
        <v>10239</v>
      </c>
      <c r="E12478" s="10">
        <v>1258501</v>
      </c>
      <c r="F12478" s="4" t="str">
        <f>IF(B12478=B12477,"",B12478)</f>
        <v>Rangāpāra</v>
      </c>
    </row>
    <row r="12479" spans="1:6" ht="15.75" customHeight="1">
      <c r="A12479" s="6" t="s">
        <v>25975</v>
      </c>
      <c r="B12479" s="6" t="s">
        <v>25975</v>
      </c>
      <c r="C12479" s="6" t="s">
        <v>25771</v>
      </c>
      <c r="D12479" s="6" t="s">
        <v>25942</v>
      </c>
      <c r="E12479" s="2">
        <v>1607083</v>
      </c>
      <c r="F12479" s="4" t="str">
        <f>IF(B12479=B12478,"",B12479)</f>
        <v>Ra-ngae</v>
      </c>
    </row>
    <row r="12480" spans="1:6" ht="15.75" customHeight="1">
      <c r="A12480" s="5" t="str">
        <f ca="1">IFERROR(__xludf.DUMMYFUNCTION("GOOGLETRANSLATE(B41621,""en"",""pt"")"),"Ra-ngae")</f>
        <v>Ra-ngae</v>
      </c>
      <c r="B12480" s="17" t="s">
        <v>25975</v>
      </c>
      <c r="C12480" s="17" t="s">
        <v>25771</v>
      </c>
      <c r="D12480" s="17" t="s">
        <v>25942</v>
      </c>
      <c r="E12480" s="10">
        <v>1607083</v>
      </c>
      <c r="F12480" s="4" t="str">
        <f>IF(B12480=B12479,"",B12480)</f>
        <v/>
      </c>
    </row>
    <row r="12481" spans="1:6" ht="15.75" customHeight="1">
      <c r="A12481" s="5" t="s">
        <v>13085</v>
      </c>
      <c r="B12481" s="6" t="s">
        <v>13086</v>
      </c>
      <c r="C12481" s="5" t="s">
        <v>10178</v>
      </c>
      <c r="D12481" s="5" t="s">
        <v>10239</v>
      </c>
      <c r="E12481" s="2">
        <v>1258501</v>
      </c>
      <c r="F12481" s="4" t="str">
        <f>IF(B12481=B12480,"",B12481)</f>
        <v>RangÄpÄra</v>
      </c>
    </row>
    <row r="12482" spans="1:6" ht="15.75" customHeight="1">
      <c r="A12482" s="6" t="s">
        <v>1067</v>
      </c>
      <c r="B12482" s="6" t="s">
        <v>1067</v>
      </c>
      <c r="C12482" s="6" t="s">
        <v>885</v>
      </c>
      <c r="D12482" s="6" t="s">
        <v>891</v>
      </c>
      <c r="E12482" s="2">
        <v>2208285</v>
      </c>
      <c r="F12482" s="4" t="str">
        <f>IF(B12482=B12481,"",B12482)</f>
        <v>Randwick</v>
      </c>
    </row>
    <row r="12483" spans="1:6" ht="15.75" customHeight="1">
      <c r="A12483" s="5" t="str">
        <f ca="1">IFERROR(__xludf.DUMMYFUNCTION("GOOGLETRANSLATE(B23571,""en"",""pt"")"),"Randwick")</f>
        <v>Randwick</v>
      </c>
      <c r="B12483" s="17" t="s">
        <v>1067</v>
      </c>
      <c r="C12483" s="17" t="s">
        <v>885</v>
      </c>
      <c r="D12483" s="17" t="s">
        <v>891</v>
      </c>
      <c r="E12483" s="10">
        <v>2208285</v>
      </c>
      <c r="F12483" s="4" t="str">
        <f>IF(B12483=B12482,"",B12483)</f>
        <v/>
      </c>
    </row>
    <row r="12484" spans="1:6" ht="15.75" customHeight="1">
      <c r="A12484" s="5" t="s">
        <v>14119</v>
      </c>
      <c r="B12484" s="6" t="s">
        <v>14119</v>
      </c>
      <c r="C12484" s="5" t="s">
        <v>13800</v>
      </c>
      <c r="D12484" s="5" t="s">
        <v>13803</v>
      </c>
      <c r="E12484" s="2">
        <v>1630088</v>
      </c>
      <c r="F12484" s="4" t="str">
        <f>IF(B12484=B12483,"",B12484)</f>
        <v>Randudongkal</v>
      </c>
    </row>
    <row r="12485" spans="1:6" ht="15.75" customHeight="1">
      <c r="A12485" s="5" t="str">
        <f ca="1">IFERROR(__xludf.DUMMYFUNCTION("GOOGLETRANSLATE(B31473,""en"",""pt"")"),"Randudongkal")</f>
        <v>Randudongkal</v>
      </c>
      <c r="B12485" s="17" t="s">
        <v>14119</v>
      </c>
      <c r="C12485" s="17" t="s">
        <v>13800</v>
      </c>
      <c r="D12485" s="17" t="s">
        <v>13803</v>
      </c>
      <c r="E12485" s="10">
        <v>1630088</v>
      </c>
      <c r="F12485" s="4" t="str">
        <f>IF(B12485=B12484,"",B12485)</f>
        <v/>
      </c>
    </row>
    <row r="12486" spans="1:6" ht="15.75" customHeight="1">
      <c r="A12486" s="6" t="s">
        <v>29775</v>
      </c>
      <c r="B12486" s="6" t="s">
        <v>29775</v>
      </c>
      <c r="C12486" s="6" t="s">
        <v>27788</v>
      </c>
      <c r="D12486" s="6" t="s">
        <v>27794</v>
      </c>
      <c r="E12486" s="2">
        <v>4948403</v>
      </c>
      <c r="F12486" s="4" t="str">
        <f>IF(B12486=B12485,"",B12486)</f>
        <v>Randolph</v>
      </c>
    </row>
    <row r="12487" spans="1:6" ht="15.75" customHeight="1">
      <c r="A12487" s="6" t="s">
        <v>29775</v>
      </c>
      <c r="B12487" s="6" t="s">
        <v>29775</v>
      </c>
      <c r="C12487" s="6" t="s">
        <v>27788</v>
      </c>
      <c r="D12487" s="6" t="s">
        <v>27905</v>
      </c>
      <c r="E12487" s="2">
        <v>8469295</v>
      </c>
      <c r="F12487" s="4" t="str">
        <f>IF(B12487=B12486,"",B12487)</f>
        <v/>
      </c>
    </row>
    <row r="12488" spans="1:6" ht="15.75" customHeight="1">
      <c r="A12488" s="5" t="str">
        <f ca="1">IFERROR(__xludf.DUMMYFUNCTION("GOOGLETRANSLATE(B44017,""en"",""pt"")"),"Randolph")</f>
        <v>Randolph</v>
      </c>
      <c r="B12488" s="17" t="s">
        <v>29775</v>
      </c>
      <c r="C12488" s="17" t="s">
        <v>27788</v>
      </c>
      <c r="D12488" s="17" t="s">
        <v>27794</v>
      </c>
      <c r="E12488" s="10">
        <v>4948403</v>
      </c>
      <c r="F12488" s="4" t="str">
        <f>IF(B12488=B12487,"",B12488)</f>
        <v/>
      </c>
    </row>
    <row r="12489" spans="1:6" ht="15.75" customHeight="1">
      <c r="A12489" s="5" t="str">
        <f ca="1">IFERROR(__xludf.DUMMYFUNCTION("GOOGLETRANSLATE(B45463,""en"",""pt"")"),"Randolph")</f>
        <v>Randolph</v>
      </c>
      <c r="B12489" s="17" t="s">
        <v>29775</v>
      </c>
      <c r="C12489" s="17" t="s">
        <v>27788</v>
      </c>
      <c r="D12489" s="17" t="s">
        <v>27905</v>
      </c>
      <c r="E12489" s="10">
        <v>8469295</v>
      </c>
      <c r="F12489" s="4" t="str">
        <f>IF(B12489=B12488,"",B12489)</f>
        <v/>
      </c>
    </row>
    <row r="12490" spans="1:6" ht="15.75" customHeight="1">
      <c r="A12490" s="5" t="s">
        <v>23966</v>
      </c>
      <c r="B12490" s="6" t="s">
        <v>23966</v>
      </c>
      <c r="C12490" s="5" t="s">
        <v>23842</v>
      </c>
      <c r="D12490" s="5" t="s">
        <v>23855</v>
      </c>
      <c r="E12490" s="2">
        <v>963230</v>
      </c>
      <c r="F12490" s="4" t="str">
        <f>IF(B12490=B12489,"",B12490)</f>
        <v>Randfontein</v>
      </c>
    </row>
    <row r="12491" spans="1:6" ht="15.75" customHeight="1">
      <c r="A12491" s="5" t="str">
        <f ca="1">IFERROR(__xludf.DUMMYFUNCTION("GOOGLETRANSLATE(B45886,""en"",""pt"")"),"Randfontein")</f>
        <v>Randfontein</v>
      </c>
      <c r="B12491" s="17" t="s">
        <v>23966</v>
      </c>
      <c r="C12491" s="17" t="s">
        <v>23842</v>
      </c>
      <c r="D12491" s="17" t="s">
        <v>23855</v>
      </c>
      <c r="E12491" s="10">
        <v>963230</v>
      </c>
      <c r="F12491" s="4" t="str">
        <f>IF(B12491=B12490,"",B12491)</f>
        <v/>
      </c>
    </row>
    <row r="12492" spans="1:6" ht="15.75" customHeight="1">
      <c r="A12492" s="6" t="s">
        <v>6272</v>
      </c>
      <c r="B12492" s="6" t="s">
        <v>6272</v>
      </c>
      <c r="C12492" s="6" t="s">
        <v>6209</v>
      </c>
      <c r="D12492" s="6" t="s">
        <v>6210</v>
      </c>
      <c r="E12492" s="2">
        <v>2615006</v>
      </c>
      <c r="F12492" s="4" t="str">
        <f>IF(B12492=B12491,"",B12492)</f>
        <v>Randers</v>
      </c>
    </row>
    <row r="12493" spans="1:6" ht="15.75" customHeight="1">
      <c r="A12493" s="5" t="str">
        <f ca="1">IFERROR(__xludf.DUMMYFUNCTION("GOOGLETRANSLATE(B28415,""en"",""pt"")"),"Randers")</f>
        <v>Randers</v>
      </c>
      <c r="B12493" s="17" t="s">
        <v>6272</v>
      </c>
      <c r="C12493" s="17" t="s">
        <v>6209</v>
      </c>
      <c r="D12493" s="17" t="s">
        <v>6210</v>
      </c>
      <c r="E12493" s="10">
        <v>2615006</v>
      </c>
      <c r="F12493" s="4" t="str">
        <f>IF(B12493=B12492,"",B12493)</f>
        <v/>
      </c>
    </row>
    <row r="12494" spans="1:6" ht="15.75" customHeight="1">
      <c r="A12494" s="5" t="s">
        <v>29774</v>
      </c>
      <c r="B12494" s="6" t="s">
        <v>29774</v>
      </c>
      <c r="C12494" s="5" t="s">
        <v>27788</v>
      </c>
      <c r="D12494" s="5" t="s">
        <v>17061</v>
      </c>
      <c r="E12494" s="2">
        <v>4366476</v>
      </c>
      <c r="F12494" s="4" t="str">
        <f>IF(B12494=B12493,"",B12494)</f>
        <v>Randallstown</v>
      </c>
    </row>
    <row r="12495" spans="1:6" ht="15.75" customHeight="1">
      <c r="A12495" s="5" t="str">
        <f ca="1">IFERROR(__xludf.DUMMYFUNCTION("GOOGLETRANSLATE(B43323,""en"",""pt"")"),"Randallstown")</f>
        <v>Randallstown</v>
      </c>
      <c r="B12495" s="17" t="s">
        <v>29774</v>
      </c>
      <c r="C12495" s="17" t="s">
        <v>27788</v>
      </c>
      <c r="D12495" s="17" t="s">
        <v>17061</v>
      </c>
      <c r="E12495" s="10">
        <v>4366476</v>
      </c>
      <c r="F12495" s="4" t="str">
        <f>IF(B12495=B12494,"",B12495)</f>
        <v/>
      </c>
    </row>
    <row r="12496" spans="1:6" ht="15.75" customHeight="1">
      <c r="A12496" s="5" t="s">
        <v>5891</v>
      </c>
      <c r="B12496" s="6" t="s">
        <v>5891</v>
      </c>
      <c r="C12496" s="5" t="s">
        <v>5764</v>
      </c>
      <c r="D12496" s="5" t="s">
        <v>5803</v>
      </c>
      <c r="E12496" s="2">
        <v>3542744</v>
      </c>
      <c r="F12496" s="4" t="str">
        <f>IF(B12496=B12495,"",B12496)</f>
        <v>Ranchuelo</v>
      </c>
    </row>
    <row r="12497" spans="1:6" ht="15.75" customHeight="1">
      <c r="A12497" s="5" t="str">
        <f ca="1">IFERROR(__xludf.DUMMYFUNCTION("GOOGLETRANSLATE(B27131,""en"",""pt"")"),"Ranchuelo")</f>
        <v>Ranchuelo</v>
      </c>
      <c r="B12497" s="17" t="s">
        <v>5891</v>
      </c>
      <c r="C12497" s="17" t="s">
        <v>5764</v>
      </c>
      <c r="D12497" s="17" t="s">
        <v>5803</v>
      </c>
      <c r="E12497" s="10">
        <v>3542744</v>
      </c>
      <c r="F12497" s="4" t="str">
        <f>IF(B12497=B12496,"",B12497)</f>
        <v/>
      </c>
    </row>
    <row r="12498" spans="1:6" ht="15.75" customHeight="1">
      <c r="A12498" s="5" t="s">
        <v>29773</v>
      </c>
      <c r="B12498" s="6" t="s">
        <v>29773</v>
      </c>
      <c r="C12498" s="5" t="s">
        <v>27788</v>
      </c>
      <c r="D12498" s="5" t="s">
        <v>27801</v>
      </c>
      <c r="E12498" s="2">
        <v>5386082</v>
      </c>
      <c r="F12498" s="4" t="str">
        <f>IF(B12498=B12497,"",B12498)</f>
        <v>Rancho Santa Margarita</v>
      </c>
    </row>
    <row r="12499" spans="1:6" ht="15.75" customHeight="1">
      <c r="A12499" s="5" t="str">
        <f ca="1">IFERROR(__xludf.DUMMYFUNCTION("GOOGLETRANSLATE(B44977,""en"",""pt"")"),"Rancho Santa Margarita")</f>
        <v>Rancho Santa Margarita</v>
      </c>
      <c r="B12499" s="17" t="s">
        <v>29773</v>
      </c>
      <c r="C12499" s="17" t="s">
        <v>27788</v>
      </c>
      <c r="D12499" s="17" t="s">
        <v>27801</v>
      </c>
      <c r="E12499" s="10">
        <v>5386082</v>
      </c>
      <c r="F12499" s="4" t="str">
        <f>IF(B12499=B12498,"",B12499)</f>
        <v/>
      </c>
    </row>
    <row r="12500" spans="1:6" ht="15.75" customHeight="1">
      <c r="A12500" s="5" t="s">
        <v>29772</v>
      </c>
      <c r="B12500" s="6" t="s">
        <v>29772</v>
      </c>
      <c r="C12500" s="5" t="s">
        <v>27788</v>
      </c>
      <c r="D12500" s="5" t="s">
        <v>27801</v>
      </c>
      <c r="E12500" s="2">
        <v>5386053</v>
      </c>
      <c r="F12500" s="4" t="str">
        <f>IF(B12500=B12499,"",B12500)</f>
        <v>Rancho San Diego</v>
      </c>
    </row>
    <row r="12501" spans="1:6" ht="15.75" customHeight="1">
      <c r="A12501" s="5" t="str">
        <f ca="1">IFERROR(__xludf.DUMMYFUNCTION("GOOGLETRANSLATE(B44976,""en"",""pt"")"),"Rancho San Diego")</f>
        <v>Rancho San Diego</v>
      </c>
      <c r="B12501" s="17" t="s">
        <v>29772</v>
      </c>
      <c r="C12501" s="17" t="s">
        <v>27788</v>
      </c>
      <c r="D12501" s="17" t="s">
        <v>27801</v>
      </c>
      <c r="E12501" s="10">
        <v>5386053</v>
      </c>
      <c r="F12501" s="4" t="str">
        <f>IF(B12501=B12500,"",B12501)</f>
        <v/>
      </c>
    </row>
    <row r="12502" spans="1:6" ht="15.75" customHeight="1">
      <c r="A12502" s="5" t="s">
        <v>29771</v>
      </c>
      <c r="B12502" s="6" t="s">
        <v>29771</v>
      </c>
      <c r="C12502" s="5" t="s">
        <v>27788</v>
      </c>
      <c r="D12502" s="5" t="s">
        <v>27801</v>
      </c>
      <c r="E12502" s="2">
        <v>5386035</v>
      </c>
      <c r="F12502" s="4" t="str">
        <f>IF(B12502=B12501,"",B12502)</f>
        <v>Rancho Palos Verdes</v>
      </c>
    </row>
    <row r="12503" spans="1:6" ht="15.75" customHeight="1">
      <c r="A12503" s="5" t="str">
        <f ca="1">IFERROR(__xludf.DUMMYFUNCTION("GOOGLETRANSLATE(B44975,""en"",""pt"")"),"Rancho Palos Verdes")</f>
        <v>Rancho Palos Verdes</v>
      </c>
      <c r="B12503" s="17" t="s">
        <v>29771</v>
      </c>
      <c r="C12503" s="17" t="s">
        <v>27788</v>
      </c>
      <c r="D12503" s="17" t="s">
        <v>27801</v>
      </c>
      <c r="E12503" s="10">
        <v>5386035</v>
      </c>
      <c r="F12503" s="4" t="str">
        <f>IF(B12503=B12502,"",B12503)</f>
        <v/>
      </c>
    </row>
    <row r="12504" spans="1:6" ht="15.75" customHeight="1">
      <c r="A12504" s="5" t="s">
        <v>29770</v>
      </c>
      <c r="B12504" s="6" t="s">
        <v>29770</v>
      </c>
      <c r="C12504" s="5" t="s">
        <v>27788</v>
      </c>
      <c r="D12504" s="5" t="s">
        <v>27801</v>
      </c>
      <c r="E12504" s="2">
        <v>5386015</v>
      </c>
      <c r="F12504" s="4" t="str">
        <f>IF(B12504=B12503,"",B12504)</f>
        <v>Rancho Mirage</v>
      </c>
    </row>
    <row r="12505" spans="1:6" ht="15.75" customHeight="1">
      <c r="A12505" s="5" t="str">
        <f ca="1">IFERROR(__xludf.DUMMYFUNCTION("GOOGLETRANSLATE(B44974,""en"",""pt"")"),"Rancho Mirage")</f>
        <v>Rancho Mirage</v>
      </c>
      <c r="B12505" s="17" t="s">
        <v>29770</v>
      </c>
      <c r="C12505" s="17" t="s">
        <v>27788</v>
      </c>
      <c r="D12505" s="17" t="s">
        <v>27801</v>
      </c>
      <c r="E12505" s="10">
        <v>5386015</v>
      </c>
      <c r="F12505" s="4" t="str">
        <f>IF(B12505=B12504,"",B12505)</f>
        <v/>
      </c>
    </row>
    <row r="12506" spans="1:6" ht="15.75" customHeight="1">
      <c r="A12506" s="5" t="s">
        <v>29769</v>
      </c>
      <c r="B12506" s="6" t="s">
        <v>29769</v>
      </c>
      <c r="C12506" s="5" t="s">
        <v>27788</v>
      </c>
      <c r="D12506" s="5" t="s">
        <v>27801</v>
      </c>
      <c r="E12506" s="2">
        <v>5385955</v>
      </c>
      <c r="F12506" s="4" t="str">
        <f>IF(B12506=B12505,"",B12506)</f>
        <v>Rancho Cucamonga</v>
      </c>
    </row>
    <row r="12507" spans="1:6" ht="15.75" customHeight="1">
      <c r="A12507" s="5" t="str">
        <f ca="1">IFERROR(__xludf.DUMMYFUNCTION("GOOGLETRANSLATE(B44973,""en"",""pt"")"),"Rancho Cucamonga")</f>
        <v>Rancho Cucamonga</v>
      </c>
      <c r="B12507" s="17" t="s">
        <v>29769</v>
      </c>
      <c r="C12507" s="17" t="s">
        <v>27788</v>
      </c>
      <c r="D12507" s="17" t="s">
        <v>27801</v>
      </c>
      <c r="E12507" s="10">
        <v>5385955</v>
      </c>
      <c r="F12507" s="4" t="str">
        <f>IF(B12507=B12506,"",B12507)</f>
        <v/>
      </c>
    </row>
    <row r="12508" spans="1:6" ht="15.75" customHeight="1">
      <c r="A12508" s="5" t="s">
        <v>29768</v>
      </c>
      <c r="B12508" s="6" t="s">
        <v>29768</v>
      </c>
      <c r="C12508" s="5" t="s">
        <v>27788</v>
      </c>
      <c r="D12508" s="5" t="s">
        <v>27801</v>
      </c>
      <c r="E12508" s="2">
        <v>5385941</v>
      </c>
      <c r="F12508" s="4" t="str">
        <f>IF(B12508=B12507,"",B12508)</f>
        <v>Rancho Cordova</v>
      </c>
    </row>
    <row r="12509" spans="1:6" ht="15.75" customHeight="1">
      <c r="A12509" s="5" t="str">
        <f ca="1">IFERROR(__xludf.DUMMYFUNCTION("GOOGLETRANSLATE(B44972,""en"",""pt"")"),"Rancho Cordova")</f>
        <v>Rancho Cordova</v>
      </c>
      <c r="B12509" s="17" t="s">
        <v>29768</v>
      </c>
      <c r="C12509" s="17" t="s">
        <v>27788</v>
      </c>
      <c r="D12509" s="17" t="s">
        <v>27801</v>
      </c>
      <c r="E12509" s="10">
        <v>5385941</v>
      </c>
      <c r="F12509" s="4" t="str">
        <f>IF(B12509=B12508,"",B12509)</f>
        <v/>
      </c>
    </row>
    <row r="12510" spans="1:6" ht="15.75" customHeight="1">
      <c r="A12510" s="6" t="s">
        <v>13084</v>
      </c>
      <c r="B12510" s="6" t="s">
        <v>13084</v>
      </c>
      <c r="C12510" s="6" t="s">
        <v>10178</v>
      </c>
      <c r="D12510" s="6" t="s">
        <v>10430</v>
      </c>
      <c r="E12510" s="2">
        <v>1258526</v>
      </c>
      <c r="F12510" s="4" t="str">
        <f>IF(B12510=B12509,"",B12510)</f>
        <v>Ranchi</v>
      </c>
    </row>
    <row r="12511" spans="1:6" ht="15.75" customHeight="1">
      <c r="A12511" s="5" t="str">
        <f ca="1">IFERROR(__xludf.DUMMYFUNCTION("GOOGLETRANSLATE(B32342,""en"",""pt"")"),"Ranchi")</f>
        <v>Ranchi</v>
      </c>
      <c r="B12511" s="17" t="s">
        <v>13084</v>
      </c>
      <c r="C12511" s="17" t="s">
        <v>10178</v>
      </c>
      <c r="D12511" s="17" t="s">
        <v>10430</v>
      </c>
      <c r="E12511" s="10">
        <v>1258526</v>
      </c>
      <c r="F12511" s="4" t="str">
        <f>IF(B12511=B12510,"",B12511)</f>
        <v/>
      </c>
    </row>
    <row r="12512" spans="1:6" ht="15.75" customHeight="1">
      <c r="A12512" s="5" t="s">
        <v>3192</v>
      </c>
      <c r="B12512" s="6" t="s">
        <v>3192</v>
      </c>
      <c r="C12512" s="5" t="s">
        <v>1905</v>
      </c>
      <c r="D12512" s="5" t="s">
        <v>1914</v>
      </c>
      <c r="E12512" s="2">
        <v>3451856</v>
      </c>
      <c r="F12512" s="4" t="str">
        <f>IF(B12512=B12511,"",B12512)</f>
        <v>Rancharia</v>
      </c>
    </row>
    <row r="12513" spans="1:6" ht="15.75" customHeight="1">
      <c r="A12513" s="5" t="str">
        <f ca="1">IFERROR(__xludf.DUMMYFUNCTION("GOOGLETRANSLATE(B24658,""en"",""pt"")"),"Rancharia")</f>
        <v>Rancharia</v>
      </c>
      <c r="B12513" s="17" t="s">
        <v>3192</v>
      </c>
      <c r="C12513" s="17" t="s">
        <v>1905</v>
      </c>
      <c r="D12513" s="17" t="s">
        <v>3354</v>
      </c>
      <c r="E12513" s="10">
        <v>3451856</v>
      </c>
      <c r="F12513" s="4" t="str">
        <f>IF(B12513=B12512,"",B12513)</f>
        <v/>
      </c>
    </row>
    <row r="12514" spans="1:6" ht="15.75" customHeight="1">
      <c r="A12514" s="6" t="s">
        <v>4461</v>
      </c>
      <c r="B12514" s="6" t="s">
        <v>4462</v>
      </c>
      <c r="C12514" s="6" t="s">
        <v>4355</v>
      </c>
      <c r="D12514" s="6" t="s">
        <v>4379</v>
      </c>
      <c r="E12514" s="2">
        <v>3873775</v>
      </c>
      <c r="F12514" s="4" t="str">
        <f>IF(B12514=B12513,"",B12514)</f>
        <v>Rancagua</v>
      </c>
    </row>
    <row r="12515" spans="1:6" ht="15.75" customHeight="1">
      <c r="A12515" s="5" t="str">
        <f ca="1">IFERROR(__xludf.DUMMYFUNCTION("GOOGLETRANSLATE(B25907,""en"",""pt"")"),"Rancaga")</f>
        <v>Rancaga</v>
      </c>
      <c r="B12515" s="17" t="s">
        <v>4462</v>
      </c>
      <c r="C12515" s="17" t="s">
        <v>4355</v>
      </c>
      <c r="D12515" s="17" t="s">
        <v>4379</v>
      </c>
      <c r="E12515" s="10">
        <v>3873775</v>
      </c>
      <c r="F12515" s="4" t="str">
        <f>IF(B12515=B12514,"",B12515)</f>
        <v/>
      </c>
    </row>
    <row r="12516" spans="1:6" ht="15.75" customHeight="1">
      <c r="A12516" s="5" t="str">
        <f ca="1">IFERROR(__xludf.DUMMYFUNCTION("GOOGLETRANSLATE(B32343,""en"",""pt"")"),"Rānāvāv")</f>
        <v>Rānāvāv</v>
      </c>
      <c r="B12516" s="17" t="s">
        <v>33169</v>
      </c>
      <c r="C12516" s="17" t="s">
        <v>10178</v>
      </c>
      <c r="D12516" s="17" t="s">
        <v>10209</v>
      </c>
      <c r="E12516" s="10">
        <v>1258534</v>
      </c>
      <c r="F12516" s="4" t="str">
        <f>IF(B12516=B12515,"",B12516)</f>
        <v>Rānāvāv</v>
      </c>
    </row>
    <row r="12517" spans="1:6" ht="15.75" customHeight="1">
      <c r="A12517" s="6" t="s">
        <v>17554</v>
      </c>
      <c r="B12517" s="6" t="s">
        <v>17554</v>
      </c>
      <c r="C12517" s="6" t="s">
        <v>17432</v>
      </c>
      <c r="D12517" s="6" t="s">
        <v>17444</v>
      </c>
      <c r="E12517" s="2">
        <v>1733502</v>
      </c>
      <c r="F12517" s="4" t="str">
        <f>IF(B12517=B12516,"",B12517)</f>
        <v>Ranau</v>
      </c>
    </row>
    <row r="12518" spans="1:6" ht="15.75" customHeight="1">
      <c r="A12518" s="5" t="str">
        <f ca="1">IFERROR(__xludf.DUMMYFUNCTION("GOOGLETRANSLATE(B37436,""en"",""pt"")"),"Ranau")</f>
        <v>Ranau</v>
      </c>
      <c r="B12518" s="17" t="s">
        <v>17554</v>
      </c>
      <c r="C12518" s="17" t="s">
        <v>17432</v>
      </c>
      <c r="D12518" s="17" t="s">
        <v>17444</v>
      </c>
      <c r="E12518" s="10">
        <v>1733502</v>
      </c>
      <c r="F12518" s="4" t="str">
        <f>IF(B12518=B12517,"",B12518)</f>
        <v/>
      </c>
    </row>
    <row r="12519" spans="1:6" ht="15.75" customHeight="1">
      <c r="A12519" s="5" t="str">
        <f ca="1">IFERROR(__xludf.DUMMYFUNCTION("GOOGLETRANSLATE(B32344,""en"",""pt"")"),"Rānāghāt")</f>
        <v>Rānāghāt</v>
      </c>
      <c r="B12519" s="17" t="s">
        <v>33170</v>
      </c>
      <c r="C12519" s="17" t="s">
        <v>10178</v>
      </c>
      <c r="D12519" s="17" t="s">
        <v>10201</v>
      </c>
      <c r="E12519" s="10">
        <v>1258546</v>
      </c>
      <c r="F12519" s="4" t="str">
        <f>IF(B12519=B12518,"",B12519)</f>
        <v>Rānāghāt</v>
      </c>
    </row>
    <row r="12520" spans="1:6" ht="15.75" customHeight="1">
      <c r="A12520" s="5" t="str">
        <f ca="1">IFERROR(__xludf.DUMMYFUNCTION("GOOGLETRANSLATE(B32345,""en"",""pt"")"),"Rāmtek")</f>
        <v>Rāmtek</v>
      </c>
      <c r="B12520" s="17" t="s">
        <v>33171</v>
      </c>
      <c r="C12520" s="17" t="s">
        <v>10178</v>
      </c>
      <c r="D12520" s="17" t="s">
        <v>10214</v>
      </c>
      <c r="E12520" s="10">
        <v>1258553</v>
      </c>
      <c r="F12520" s="4" t="str">
        <f>IF(B12520=B12519,"",B12520)</f>
        <v>Rāmtek</v>
      </c>
    </row>
    <row r="12521" spans="1:6" ht="15.75" customHeight="1">
      <c r="A12521" s="5" t="str">
        <f ca="1">IFERROR(__xludf.DUMMYFUNCTION("GOOGLETRANSLATE(B34384,""en"",""pt"")"),"Rāmshīr")</f>
        <v>Rāmshīr</v>
      </c>
      <c r="B12521" s="17" t="s">
        <v>34153</v>
      </c>
      <c r="C12521" s="17" t="s">
        <v>14240</v>
      </c>
      <c r="D12521" s="17" t="s">
        <v>14271</v>
      </c>
      <c r="E12521" s="10">
        <v>118805</v>
      </c>
      <c r="F12521" s="4" t="str">
        <f>IF(B12521=B12520,"",B12521)</f>
        <v>Rāmshīr</v>
      </c>
    </row>
    <row r="12522" spans="1:6" ht="15.75" customHeight="1">
      <c r="A12522" s="6" t="s">
        <v>27621</v>
      </c>
      <c r="B12522" s="6" t="s">
        <v>27621</v>
      </c>
      <c r="C12522" s="6" t="s">
        <v>27234</v>
      </c>
      <c r="D12522" s="6" t="s">
        <v>27241</v>
      </c>
      <c r="E12522" s="2">
        <v>2639660</v>
      </c>
      <c r="F12522" s="4" t="str">
        <f>IF(B12522=B12521,"",B12522)</f>
        <v>Ramsgate</v>
      </c>
    </row>
    <row r="12523" spans="1:6" ht="15.75" customHeight="1">
      <c r="A12523" s="5" t="str">
        <f ca="1">IFERROR(__xludf.DUMMYFUNCTION("GOOGLETRANSLATE(B30457,""en"",""pt"")"),"Ramsgate")</f>
        <v>Ramsgate</v>
      </c>
      <c r="B12523" s="17" t="s">
        <v>27621</v>
      </c>
      <c r="C12523" s="17" t="s">
        <v>27234</v>
      </c>
      <c r="D12523" s="17" t="s">
        <v>27241</v>
      </c>
      <c r="E12523" s="10">
        <v>2639660</v>
      </c>
      <c r="F12523" s="4" t="str">
        <f>IF(B12523=B12522,"",B12523)</f>
        <v/>
      </c>
    </row>
    <row r="12524" spans="1:6" ht="15.75" customHeight="1">
      <c r="A12524" s="6" t="s">
        <v>29767</v>
      </c>
      <c r="B12524" s="6" t="s">
        <v>29767</v>
      </c>
      <c r="C12524" s="6" t="s">
        <v>27788</v>
      </c>
      <c r="D12524" s="6" t="s">
        <v>27824</v>
      </c>
      <c r="E12524" s="2">
        <v>5042561</v>
      </c>
      <c r="F12524" s="4" t="str">
        <f>IF(B12524=B12523,"",B12524)</f>
        <v>Ramsey</v>
      </c>
    </row>
    <row r="12525" spans="1:6" ht="15.75" customHeight="1">
      <c r="A12525" s="5" t="str">
        <f ca="1">IFERROR(__xludf.DUMMYFUNCTION("GOOGLETRANSLATE(B44187,""en"",""pt"")"),"Ramsey")</f>
        <v>Ramsey</v>
      </c>
      <c r="B12525" s="17" t="s">
        <v>29767</v>
      </c>
      <c r="C12525" s="17" t="s">
        <v>27788</v>
      </c>
      <c r="D12525" s="17" t="s">
        <v>27824</v>
      </c>
      <c r="E12525" s="10">
        <v>5042561</v>
      </c>
      <c r="F12525" s="4" t="str">
        <f>IF(B12525=B12524,"",B12525)</f>
        <v/>
      </c>
    </row>
    <row r="12526" spans="1:6" ht="15.75" customHeight="1">
      <c r="A12526" s="5" t="s">
        <v>27620</v>
      </c>
      <c r="B12526" s="6" t="s">
        <v>27620</v>
      </c>
      <c r="C12526" s="5" t="s">
        <v>27234</v>
      </c>
      <c r="D12526" s="5" t="s">
        <v>27241</v>
      </c>
      <c r="E12526" s="2">
        <v>2639668</v>
      </c>
      <c r="F12526" s="4" t="str">
        <f>IF(B12526=B12525,"",B12526)</f>
        <v>Ramsbottom</v>
      </c>
    </row>
    <row r="12527" spans="1:6" ht="15.75" customHeight="1">
      <c r="A12527" s="5" t="str">
        <f ca="1">IFERROR(__xludf.DUMMYFUNCTION("GOOGLETRANSLATE(B30458,""en"",""pt"")"),"Ramsbottom")</f>
        <v>Ramsbottom</v>
      </c>
      <c r="B12527" s="17" t="s">
        <v>27620</v>
      </c>
      <c r="C12527" s="17" t="s">
        <v>27234</v>
      </c>
      <c r="D12527" s="17" t="s">
        <v>27241</v>
      </c>
      <c r="E12527" s="10">
        <v>2639668</v>
      </c>
      <c r="F12527" s="4" t="str">
        <f>IF(B12527=B12526,"",B12527)</f>
        <v/>
      </c>
    </row>
    <row r="12528" spans="1:6" ht="15.75" customHeight="1">
      <c r="A12528" s="5" t="str">
        <f ca="1">IFERROR(__xludf.DUMMYFUNCTION("GOOGLETRANSLATE(B32347,""en"",""pt"")"),"Rāmpura")</f>
        <v>Rāmpura</v>
      </c>
      <c r="B12528" s="17" t="s">
        <v>33172</v>
      </c>
      <c r="C12528" s="17" t="s">
        <v>10178</v>
      </c>
      <c r="D12528" s="17" t="s">
        <v>10184</v>
      </c>
      <c r="E12528" s="10">
        <v>1258584</v>
      </c>
      <c r="F12528" s="4" t="str">
        <f>IF(B12528=B12527,"",B12528)</f>
        <v>Rāmpura</v>
      </c>
    </row>
    <row r="12529" spans="1:6" ht="15.75" customHeight="1">
      <c r="A12529" s="5" t="str">
        <f ca="1">IFERROR(__xludf.DUMMYFUNCTION("GOOGLETRANSLATE(B32348,""en"",""pt"")"),"Rāmpura")</f>
        <v>Rāmpura</v>
      </c>
      <c r="B12529" s="17" t="s">
        <v>33172</v>
      </c>
      <c r="C12529" s="17" t="s">
        <v>10178</v>
      </c>
      <c r="D12529" s="17" t="s">
        <v>10219</v>
      </c>
      <c r="E12529" s="10">
        <v>1258592</v>
      </c>
      <c r="F12529" s="4" t="str">
        <f>IF(B12529=B12528,"",B12529)</f>
        <v/>
      </c>
    </row>
    <row r="12530" spans="1:6" ht="15.75" customHeight="1">
      <c r="A12530" s="5" t="s">
        <v>13083</v>
      </c>
      <c r="B12530" s="6" t="s">
        <v>13083</v>
      </c>
      <c r="C12530" s="5" t="s">
        <v>10178</v>
      </c>
      <c r="D12530" s="5" t="s">
        <v>10201</v>
      </c>
      <c r="E12530" s="2">
        <v>1258581</v>
      </c>
      <c r="F12530" s="4" t="str">
        <f>IF(B12530=B12529,"",B12530)</f>
        <v>Rampur Hat</v>
      </c>
    </row>
    <row r="12531" spans="1:6" ht="15.75" customHeight="1">
      <c r="A12531" s="5" t="str">
        <f ca="1">IFERROR(__xludf.DUMMYFUNCTION("GOOGLETRANSLATE(B32346,""en"",""pt"")"),"Rampur Hat")</f>
        <v>Rampur Hat</v>
      </c>
      <c r="B12531" s="17" t="s">
        <v>13083</v>
      </c>
      <c r="C12531" s="17" t="s">
        <v>10178</v>
      </c>
      <c r="D12531" s="17" t="s">
        <v>10201</v>
      </c>
      <c r="E12531" s="10">
        <v>1258581</v>
      </c>
      <c r="F12531" s="4" t="str">
        <f>IF(B12531=B12530,"",B12531)</f>
        <v/>
      </c>
    </row>
    <row r="12532" spans="1:6" ht="15.75" customHeight="1">
      <c r="A12532" s="5" t="str">
        <f ca="1">IFERROR(__xludf.DUMMYFUNCTION("GOOGLETRANSLATE(B32349,""en"",""pt"")"),"Rāmpur")</f>
        <v>Rāmpur</v>
      </c>
      <c r="B12532" s="17" t="s">
        <v>33173</v>
      </c>
      <c r="C12532" s="17" t="s">
        <v>10178</v>
      </c>
      <c r="D12532" s="17" t="s">
        <v>10193</v>
      </c>
      <c r="E12532" s="10">
        <v>1258598</v>
      </c>
      <c r="F12532" s="4" t="str">
        <f>IF(B12532=B12531,"",B12532)</f>
        <v>Rāmpur</v>
      </c>
    </row>
    <row r="12533" spans="1:6" ht="15.75" customHeight="1">
      <c r="A12533" s="5" t="str">
        <f ca="1">IFERROR(__xludf.DUMMYFUNCTION("GOOGLETRANSLATE(B32350,""en"",""pt"")"),"Rāmpur")</f>
        <v>Rāmpur</v>
      </c>
      <c r="B12533" s="17" t="s">
        <v>33173</v>
      </c>
      <c r="C12533" s="17" t="s">
        <v>10178</v>
      </c>
      <c r="D12533" s="17" t="s">
        <v>10193</v>
      </c>
      <c r="E12533" s="10">
        <v>1258599</v>
      </c>
      <c r="F12533" s="4" t="str">
        <f>IF(B12533=B12532,"",B12533)</f>
        <v/>
      </c>
    </row>
    <row r="12534" spans="1:6" ht="15.75" customHeight="1">
      <c r="A12534" s="5" t="s">
        <v>13082</v>
      </c>
      <c r="B12534" s="6" t="s">
        <v>13082</v>
      </c>
      <c r="C12534" s="5" t="s">
        <v>10178</v>
      </c>
      <c r="D12534" s="5" t="s">
        <v>10190</v>
      </c>
      <c r="E12534" s="2">
        <v>1274021</v>
      </c>
      <c r="F12534" s="4" t="str">
        <f>IF(B12534=B12533,"",B12534)</f>
        <v>Rampachodavaram</v>
      </c>
    </row>
    <row r="12535" spans="1:6" ht="15.75" customHeight="1">
      <c r="A12535" s="5" t="str">
        <f ca="1">IFERROR(__xludf.DUMMYFUNCTION("GOOGLETRANSLATE(B33684,""en"",""pt"")"),"Rampachodavaram")</f>
        <v>Rampachodavaram</v>
      </c>
      <c r="B12535" s="17" t="s">
        <v>13082</v>
      </c>
      <c r="C12535" s="17" t="s">
        <v>10178</v>
      </c>
      <c r="D12535" s="17" t="s">
        <v>10190</v>
      </c>
      <c r="E12535" s="10">
        <v>1274021</v>
      </c>
      <c r="F12535" s="4" t="str">
        <f>IF(B12535=B12534,"",B12535)</f>
        <v/>
      </c>
    </row>
    <row r="12536" spans="1:6" ht="15.75" customHeight="1">
      <c r="A12536" s="5" t="s">
        <v>1898</v>
      </c>
      <c r="B12536" s="6" t="s">
        <v>1898</v>
      </c>
      <c r="C12536" s="5" t="s">
        <v>1878</v>
      </c>
      <c r="D12536" s="5" t="s">
        <v>1881</v>
      </c>
      <c r="E12536" s="2">
        <v>933141</v>
      </c>
      <c r="F12536" s="4" t="str">
        <f>IF(B12536=B12535,"",B12536)</f>
        <v>Ramotswa</v>
      </c>
    </row>
    <row r="12537" spans="1:6" ht="15.75" customHeight="1">
      <c r="A12537" s="5" t="str">
        <f ca="1">IFERROR(__xludf.DUMMYFUNCTION("GOOGLETRANSLATE(B25354,""en"",""pt"")"),"Ramotswa")</f>
        <v>Ramotswa</v>
      </c>
      <c r="B12537" s="17" t="s">
        <v>1898</v>
      </c>
      <c r="C12537" s="17" t="s">
        <v>1878</v>
      </c>
      <c r="D12537" s="17" t="s">
        <v>1881</v>
      </c>
      <c r="E12537" s="10">
        <v>933141</v>
      </c>
      <c r="F12537" s="4" t="str">
        <f>IF(B12537=B12536,"",B12537)</f>
        <v/>
      </c>
    </row>
    <row r="12538" spans="1:6" ht="15.75" customHeight="1">
      <c r="A12538" s="5" t="s">
        <v>18180</v>
      </c>
      <c r="B12538" s="6" t="s">
        <v>18180</v>
      </c>
      <c r="C12538" s="5" t="s">
        <v>17707</v>
      </c>
      <c r="D12538" s="5" t="s">
        <v>17738</v>
      </c>
      <c r="E12538" s="2">
        <v>3991043</v>
      </c>
      <c r="F12538" s="4" t="str">
        <f>IF(B12538=B12537,"",B12538)</f>
        <v>Ramos Arizpe</v>
      </c>
    </row>
    <row r="12539" spans="1:6" ht="15.75" customHeight="1">
      <c r="A12539" s="5" t="str">
        <f ca="1">IFERROR(__xludf.DUMMYFUNCTION("GOOGLETRANSLATE(B37217,""en"",""pt"")"),"Ramos Arizpe")</f>
        <v>Ramos Arizpe</v>
      </c>
      <c r="B12539" s="17" t="s">
        <v>18180</v>
      </c>
      <c r="C12539" s="17" t="s">
        <v>17707</v>
      </c>
      <c r="D12539" s="17" t="s">
        <v>17738</v>
      </c>
      <c r="E12539" s="10">
        <v>3991043</v>
      </c>
      <c r="F12539" s="4" t="str">
        <f>IF(B12539=B12538,"",B12539)</f>
        <v/>
      </c>
    </row>
    <row r="12540" spans="1:6" ht="15.75" customHeight="1">
      <c r="A12540" s="6" t="s">
        <v>20980</v>
      </c>
      <c r="B12540" s="6" t="s">
        <v>20980</v>
      </c>
      <c r="C12540" s="6" t="s">
        <v>20598</v>
      </c>
      <c r="D12540" s="6" t="s">
        <v>20599</v>
      </c>
      <c r="E12540" s="2">
        <v>1691904</v>
      </c>
      <c r="F12540" s="4" t="str">
        <f>IF(B12540=B12539,"",B12540)</f>
        <v>Ramos</v>
      </c>
    </row>
    <row r="12541" spans="1:6" ht="15.75" customHeight="1">
      <c r="A12541" s="5" t="str">
        <f ca="1">IFERROR(__xludf.DUMMYFUNCTION("GOOGLETRANSLATE(B38534,""en"",""pt"")"),"Ramos")</f>
        <v>Ramos</v>
      </c>
      <c r="B12541" s="17" t="s">
        <v>20980</v>
      </c>
      <c r="C12541" s="17" t="s">
        <v>20598</v>
      </c>
      <c r="D12541" s="17" t="s">
        <v>20599</v>
      </c>
      <c r="E12541" s="10">
        <v>1691904</v>
      </c>
      <c r="F12541" s="4" t="str">
        <f>IF(B12541=B12540,"",B12541)</f>
        <v/>
      </c>
    </row>
    <row r="12542" spans="1:6" ht="15.75" customHeight="1">
      <c r="A12542" s="6" t="s">
        <v>29766</v>
      </c>
      <c r="B12542" s="6" t="s">
        <v>29766</v>
      </c>
      <c r="C12542" s="6" t="s">
        <v>27788</v>
      </c>
      <c r="D12542" s="6" t="s">
        <v>27801</v>
      </c>
      <c r="E12542" s="2">
        <v>5385793</v>
      </c>
      <c r="F12542" s="4" t="str">
        <f>IF(B12542=B12541,"",B12542)</f>
        <v>Ramona</v>
      </c>
    </row>
    <row r="12543" spans="1:6" ht="15.75" customHeight="1">
      <c r="A12543" s="5" t="str">
        <f ca="1">IFERROR(__xludf.DUMMYFUNCTION("GOOGLETRANSLATE(B44971,""en"",""pt"")"),"Ramona")</f>
        <v>Ramona</v>
      </c>
      <c r="B12543" s="17" t="s">
        <v>29766</v>
      </c>
      <c r="C12543" s="17" t="s">
        <v>27788</v>
      </c>
      <c r="D12543" s="17" t="s">
        <v>27801</v>
      </c>
      <c r="E12543" s="10">
        <v>5385793</v>
      </c>
      <c r="F12543" s="4" t="str">
        <f>IF(B12543=B12542,"",B12543)</f>
        <v/>
      </c>
    </row>
    <row r="12544" spans="1:6" ht="15.75" customHeight="1">
      <c r="A12544" s="6" t="s">
        <v>20979</v>
      </c>
      <c r="B12544" s="6" t="s">
        <v>20979</v>
      </c>
      <c r="C12544" s="6" t="s">
        <v>20598</v>
      </c>
      <c r="D12544" s="6" t="s">
        <v>20611</v>
      </c>
      <c r="E12544" s="2">
        <v>1691911</v>
      </c>
      <c r="F12544" s="4" t="str">
        <f>IF(B12544=B12543,"",B12544)</f>
        <v>Ramon</v>
      </c>
    </row>
    <row r="12545" spans="1:6" ht="15.75" customHeight="1">
      <c r="A12545" s="5" t="str">
        <f ca="1">IFERROR(__xludf.DUMMYFUNCTION("GOOGLETRANSLATE(B38535,""en"",""pt"")"),"Ramon")</f>
        <v>Ramon</v>
      </c>
      <c r="B12545" s="17" t="s">
        <v>20979</v>
      </c>
      <c r="C12545" s="17" t="s">
        <v>20598</v>
      </c>
      <c r="D12545" s="17" t="s">
        <v>20611</v>
      </c>
      <c r="E12545" s="10">
        <v>1691911</v>
      </c>
      <c r="F12545" s="4" t="str">
        <f>IF(B12545=B12544,"",B12545)</f>
        <v/>
      </c>
    </row>
    <row r="12546" spans="1:6" ht="15.75" customHeight="1">
      <c r="A12546" s="5" t="str">
        <f ca="1">IFERROR(__xludf.DUMMYFUNCTION("GOOGLETRANSLATE(B39755,""en"",""pt"")"),"Râmnicu vâlcea")</f>
        <v>Râmnicu vâlcea</v>
      </c>
      <c r="B12546" s="17" t="s">
        <v>35356</v>
      </c>
      <c r="C12546" s="17" t="s">
        <v>21824</v>
      </c>
      <c r="D12546" s="17" t="s">
        <v>35357</v>
      </c>
      <c r="E12546" s="10">
        <v>668872</v>
      </c>
      <c r="F12546" s="4" t="str">
        <f>IF(B12546=B12545,"",B12546)</f>
        <v>Râmnicu Vâlcea</v>
      </c>
    </row>
    <row r="12547" spans="1:6" ht="15.75" customHeight="1">
      <c r="A12547" s="5" t="str">
        <f ca="1">IFERROR(__xludf.DUMMYFUNCTION("GOOGLETRANSLATE(B39756,""en"",""pt"")"),"Râmnicu sărat")</f>
        <v>Râmnicu sărat</v>
      </c>
      <c r="B12547" s="17" t="s">
        <v>35358</v>
      </c>
      <c r="C12547" s="17" t="s">
        <v>21824</v>
      </c>
      <c r="D12547" s="17" t="s">
        <v>35359</v>
      </c>
      <c r="E12547" s="10">
        <v>668873</v>
      </c>
      <c r="F12547" s="4" t="str">
        <f>IF(B12547=B12546,"",B12547)</f>
        <v>Râmnicu Sărat</v>
      </c>
    </row>
    <row r="12548" spans="1:6" ht="15.75" customHeight="1">
      <c r="A12548" s="5" t="str">
        <f ca="1">IFERROR(__xludf.DUMMYFUNCTION("GOOGLETRANSLATE(B32351,""en"",""pt"")"),"Rāmnagar")</f>
        <v>Rāmnagar</v>
      </c>
      <c r="B12548" s="17" t="s">
        <v>33174</v>
      </c>
      <c r="C12548" s="17" t="s">
        <v>10178</v>
      </c>
      <c r="D12548" s="17" t="s">
        <v>10299</v>
      </c>
      <c r="E12548" s="10">
        <v>1258637</v>
      </c>
      <c r="F12548" s="4" t="str">
        <f>IF(B12548=B12547,"",B12548)</f>
        <v>Rāmnagar</v>
      </c>
    </row>
    <row r="12549" spans="1:6" ht="15.75" customHeight="1">
      <c r="A12549" s="5" t="str">
        <f ca="1">IFERROR(__xludf.DUMMYFUNCTION("GOOGLETRANSLATE(B32352,""en"",""pt"")"),"Rāmnagar")</f>
        <v>Rāmnagar</v>
      </c>
      <c r="B12549" s="17" t="s">
        <v>33174</v>
      </c>
      <c r="C12549" s="17" t="s">
        <v>10178</v>
      </c>
      <c r="D12549" s="17" t="s">
        <v>10317</v>
      </c>
      <c r="E12549" s="10">
        <v>1258639</v>
      </c>
      <c r="F12549" s="4" t="str">
        <f>IF(B12549=B12548,"",B12549)</f>
        <v/>
      </c>
    </row>
    <row r="12550" spans="1:6" ht="15.75" customHeight="1">
      <c r="A12550" s="5" t="str">
        <f ca="1">IFERROR(__xludf.DUMMYFUNCTION("GOOGLETRANSLATE(B32353,""en"",""pt"")"),"Rāmnagar")</f>
        <v>Rāmnagar</v>
      </c>
      <c r="B12550" s="17" t="s">
        <v>33174</v>
      </c>
      <c r="C12550" s="17" t="s">
        <v>10178</v>
      </c>
      <c r="D12550" s="17" t="s">
        <v>10193</v>
      </c>
      <c r="E12550" s="10">
        <v>1258642</v>
      </c>
      <c r="F12550" s="4" t="str">
        <f>IF(B12550=B12549,"",B12550)</f>
        <v/>
      </c>
    </row>
    <row r="12551" spans="1:6" ht="15.75" customHeight="1">
      <c r="A12551" s="6" t="s">
        <v>14866</v>
      </c>
      <c r="B12551" s="6" t="s">
        <v>14866</v>
      </c>
      <c r="C12551" s="6" t="s">
        <v>14773</v>
      </c>
      <c r="D12551" s="6" t="s">
        <v>14800</v>
      </c>
      <c r="E12551" s="2">
        <v>293768</v>
      </c>
      <c r="F12551" s="4" t="str">
        <f>IF(B12551=B12550,"",B12551)</f>
        <v>Ramla</v>
      </c>
    </row>
    <row r="12552" spans="1:6" ht="15.75" customHeight="1">
      <c r="A12552" s="5" t="str">
        <f ca="1">IFERROR(__xludf.DUMMYFUNCTION("GOOGLETRANSLATE(B31771,""en"",""pt"")"),"Ramla")</f>
        <v>Ramla</v>
      </c>
      <c r="B12552" s="17" t="s">
        <v>14866</v>
      </c>
      <c r="C12552" s="17" t="s">
        <v>14773</v>
      </c>
      <c r="D12552" s="17" t="s">
        <v>14800</v>
      </c>
      <c r="E12552" s="10">
        <v>293768</v>
      </c>
      <c r="F12552" s="4" t="str">
        <f>IF(B12552=B12551,"",B12552)</f>
        <v/>
      </c>
    </row>
    <row r="12553" spans="1:6" ht="15.75" customHeight="1">
      <c r="A12553" s="5" t="str">
        <f ca="1">IFERROR(__xludf.DUMMYFUNCTION("GOOGLETRANSLATE(B32354,""en"",""pt"")"),"Rāmjībanpur")</f>
        <v>Rāmjībanpur</v>
      </c>
      <c r="B12553" s="17" t="s">
        <v>33175</v>
      </c>
      <c r="C12553" s="17" t="s">
        <v>10178</v>
      </c>
      <c r="D12553" s="17" t="s">
        <v>10201</v>
      </c>
      <c r="E12553" s="10">
        <v>1258658</v>
      </c>
      <c r="F12553" s="4" t="str">
        <f>IF(B12553=B12552,"",B12553)</f>
        <v>Rāmjībanpur</v>
      </c>
    </row>
    <row r="12554" spans="1:6" ht="15.75" customHeight="1">
      <c r="A12554" s="5" t="str">
        <f ca="1">IFERROR(__xludf.DUMMYFUNCTION("GOOGLETRANSLATE(B34385,""en"",""pt"")"),"Rāmhormoz")</f>
        <v>Rāmhormoz</v>
      </c>
      <c r="B12554" s="17" t="s">
        <v>34154</v>
      </c>
      <c r="C12554" s="17" t="s">
        <v>14240</v>
      </c>
      <c r="D12554" s="17" t="s">
        <v>14271</v>
      </c>
      <c r="E12554" s="10">
        <v>118826</v>
      </c>
      <c r="F12554" s="4" t="str">
        <f>IF(B12554=B12553,"",B12554)</f>
        <v>Rāmhormoz</v>
      </c>
    </row>
    <row r="12555" spans="1:6" ht="15.75" customHeight="1">
      <c r="A12555" s="5" t="str">
        <f ca="1">IFERROR(__xludf.DUMMYFUNCTION("GOOGLETRANSLATE(B32355,""en"",""pt"")"),"Rāmgundam")</f>
        <v>Rāmgundam</v>
      </c>
      <c r="B12555" s="17" t="s">
        <v>33176</v>
      </c>
      <c r="C12555" s="17" t="s">
        <v>10178</v>
      </c>
      <c r="D12555" s="17" t="s">
        <v>10187</v>
      </c>
      <c r="E12555" s="10">
        <v>1258662</v>
      </c>
      <c r="F12555" s="4" t="str">
        <f>IF(B12555=B12554,"",B12555)</f>
        <v>Rāmgundam</v>
      </c>
    </row>
    <row r="12556" spans="1:6" ht="15.75" customHeight="1">
      <c r="A12556" s="5" t="str">
        <f ca="1">IFERROR(__xludf.DUMMYFUNCTION("GOOGLETRANSLATE(B32356,""en"",""pt"")"),"Rāmgarh")</f>
        <v>Rāmgarh</v>
      </c>
      <c r="B12556" s="17" t="s">
        <v>33177</v>
      </c>
      <c r="C12556" s="17" t="s">
        <v>10178</v>
      </c>
      <c r="D12556" s="17" t="s">
        <v>10179</v>
      </c>
      <c r="E12556" s="10">
        <v>1258677</v>
      </c>
      <c r="F12556" s="4" t="str">
        <f>IF(B12556=B12555,"",B12556)</f>
        <v>Rāmgarh</v>
      </c>
    </row>
    <row r="12557" spans="1:6" ht="15.75" customHeight="1">
      <c r="A12557" s="5" t="str">
        <f ca="1">IFERROR(__xludf.DUMMYFUNCTION("GOOGLETRANSLATE(B32357,""en"",""pt"")"),"Rāmgarh")</f>
        <v>Rāmgarh</v>
      </c>
      <c r="B12557" s="17" t="s">
        <v>33177</v>
      </c>
      <c r="C12557" s="17" t="s">
        <v>10178</v>
      </c>
      <c r="D12557" s="17" t="s">
        <v>10430</v>
      </c>
      <c r="E12557" s="10">
        <v>1258686</v>
      </c>
      <c r="F12557" s="4" t="str">
        <f>IF(B12557=B12556,"",B12557)</f>
        <v/>
      </c>
    </row>
    <row r="12558" spans="1:6" ht="15.75" customHeight="1">
      <c r="A12558" s="5" t="str">
        <f ca="1">IFERROR(__xludf.DUMMYFUNCTION("GOOGLETRANSLATE(B32358,""en"",""pt"")"),"Rāmganj Mandi")</f>
        <v>Rāmganj Mandi</v>
      </c>
      <c r="B12558" s="17" t="s">
        <v>33178</v>
      </c>
      <c r="C12558" s="17" t="s">
        <v>10178</v>
      </c>
      <c r="D12558" s="17" t="s">
        <v>10179</v>
      </c>
      <c r="E12558" s="10">
        <v>1258692</v>
      </c>
      <c r="F12558" s="4" t="str">
        <f>IF(B12558=B12557,"",B12558)</f>
        <v>Rāmganj Mandi</v>
      </c>
    </row>
    <row r="12559" spans="1:6" ht="15.75" customHeight="1">
      <c r="A12559" s="5" t="str">
        <f ca="1">IFERROR(__xludf.DUMMYFUNCTION("GOOGLETRANSLATE(B23706,""en"",""pt"")"),"Rāmganj")</f>
        <v>Rāmganj</v>
      </c>
      <c r="B12559" s="17" t="s">
        <v>31264</v>
      </c>
      <c r="C12559" s="17" t="s">
        <v>1296</v>
      </c>
      <c r="D12559" s="17" t="s">
        <v>1302</v>
      </c>
      <c r="E12559" s="10">
        <v>1185127</v>
      </c>
      <c r="F12559" s="4" t="str">
        <f>IF(B12559=B12558,"",B12559)</f>
        <v>Rāmganj</v>
      </c>
    </row>
    <row r="12560" spans="1:6" ht="15.75" customHeight="1">
      <c r="A12560" s="5" t="s">
        <v>13081</v>
      </c>
      <c r="B12560" s="6" t="s">
        <v>13081</v>
      </c>
      <c r="C12560" s="5" t="s">
        <v>10178</v>
      </c>
      <c r="D12560" s="5" t="s">
        <v>10196</v>
      </c>
      <c r="E12560" s="2">
        <v>1258698</v>
      </c>
      <c r="F12560" s="4" t="str">
        <f>IF(B12560=B12559,"",B12560)</f>
        <v>Rameswaram</v>
      </c>
    </row>
    <row r="12561" spans="1:6" ht="15.75" customHeight="1">
      <c r="A12561" s="5" t="str">
        <f ca="1">IFERROR(__xludf.DUMMYFUNCTION("GOOGLETRANSLATE(B32359,""en"",""pt"")"),"Rameswaram")</f>
        <v>Rameswaram</v>
      </c>
      <c r="B12561" s="17" t="s">
        <v>13081</v>
      </c>
      <c r="C12561" s="17" t="s">
        <v>10178</v>
      </c>
      <c r="D12561" s="17" t="s">
        <v>10196</v>
      </c>
      <c r="E12561" s="10">
        <v>1258698</v>
      </c>
      <c r="F12561" s="4" t="str">
        <f>IF(B12561=B12560,"",B12561)</f>
        <v/>
      </c>
    </row>
    <row r="12562" spans="1:6" ht="15.75" customHeight="1">
      <c r="A12562" s="6" t="s">
        <v>22986</v>
      </c>
      <c r="B12562" s="6" t="s">
        <v>22986</v>
      </c>
      <c r="C12562" s="6" t="s">
        <v>22070</v>
      </c>
      <c r="D12562" s="6" t="s">
        <v>22127</v>
      </c>
      <c r="E12562" s="2">
        <v>502971</v>
      </c>
      <c r="F12562" s="4" t="str">
        <f>IF(B12562=B12561,"",B12562)</f>
        <v>Ramenki</v>
      </c>
    </row>
    <row r="12563" spans="1:6" ht="15.75" customHeight="1">
      <c r="A12563" s="5" t="str">
        <f ca="1">IFERROR(__xludf.DUMMYFUNCTION("GOOGLETRANSLATE(B40166,""en"",""pt"")"),"Ramenki")</f>
        <v>Ramenki</v>
      </c>
      <c r="B12563" s="17" t="s">
        <v>22986</v>
      </c>
      <c r="C12563" s="17" t="s">
        <v>22070</v>
      </c>
      <c r="D12563" s="17" t="s">
        <v>22127</v>
      </c>
      <c r="E12563" s="10">
        <v>502971</v>
      </c>
      <c r="F12563" s="4" t="str">
        <f>IF(B12563=B12562,"",B12563)</f>
        <v/>
      </c>
    </row>
    <row r="12564" spans="1:6" ht="15.75" customHeight="1">
      <c r="A12564" s="5" t="s">
        <v>7696</v>
      </c>
      <c r="B12564" s="6" t="s">
        <v>7696</v>
      </c>
      <c r="C12564" s="5" t="s">
        <v>7052</v>
      </c>
      <c r="D12564" s="5" t="s">
        <v>7058</v>
      </c>
      <c r="E12564" s="2">
        <v>2984513</v>
      </c>
      <c r="F12564" s="4" t="str">
        <f>IF(B12564=B12563,"",B12564)</f>
        <v>Rambouillet</v>
      </c>
    </row>
    <row r="12565" spans="1:6" ht="15.75" customHeight="1">
      <c r="A12565" s="5" t="str">
        <f ca="1">IFERROR(__xludf.DUMMYFUNCTION("GOOGLETRANSLATE(B29838,""en"",""pt"")"),"Rambouillet")</f>
        <v>Rambouillet</v>
      </c>
      <c r="B12565" s="17" t="s">
        <v>7696</v>
      </c>
      <c r="C12565" s="17" t="s">
        <v>7052</v>
      </c>
      <c r="D12565" s="17" t="s">
        <v>32531</v>
      </c>
      <c r="E12565" s="10">
        <v>2984513</v>
      </c>
      <c r="F12565" s="4" t="str">
        <f>IF(B12565=B12564,"",B12565)</f>
        <v/>
      </c>
    </row>
    <row r="12566" spans="1:6" ht="15.75" customHeight="1">
      <c r="A12566" s="5" t="s">
        <v>14864</v>
      </c>
      <c r="B12566" s="6" t="s">
        <v>14865</v>
      </c>
      <c r="C12566" s="5" t="s">
        <v>14773</v>
      </c>
      <c r="D12566" s="5" t="s">
        <v>14786</v>
      </c>
      <c r="E12566" s="2">
        <v>293783</v>
      </c>
      <c r="F12566" s="4" t="str">
        <f>IF(B12566=B12565,"",B12566)</f>
        <v>Ramat HaSharon</v>
      </c>
    </row>
    <row r="12567" spans="1:6" ht="15.75" customHeight="1">
      <c r="A12567" s="5" t="str">
        <f ca="1">IFERROR(__xludf.DUMMYFUNCTION("GOOGLETRANSLATE(B31772,""en"",""pt"")"),"Ramat Hasharon")</f>
        <v>Ramat Hasharon</v>
      </c>
      <c r="B12567" s="17" t="s">
        <v>14865</v>
      </c>
      <c r="C12567" s="17" t="s">
        <v>14773</v>
      </c>
      <c r="D12567" s="17" t="s">
        <v>14786</v>
      </c>
      <c r="E12567" s="10">
        <v>293783</v>
      </c>
      <c r="F12567" s="4" t="str">
        <f>IF(B12567=B12566,"",B12567)</f>
        <v/>
      </c>
    </row>
    <row r="12568" spans="1:6" ht="15.75" customHeight="1">
      <c r="A12568" s="5" t="s">
        <v>14863</v>
      </c>
      <c r="B12568" s="6" t="s">
        <v>14863</v>
      </c>
      <c r="C12568" s="5" t="s">
        <v>14773</v>
      </c>
      <c r="D12568" s="5" t="s">
        <v>14786</v>
      </c>
      <c r="E12568" s="2">
        <v>293788</v>
      </c>
      <c r="F12568" s="4" t="str">
        <f>IF(B12568=B12567,"",B12568)</f>
        <v>Ramat Gan</v>
      </c>
    </row>
    <row r="12569" spans="1:6" ht="15.75" customHeight="1">
      <c r="A12569" s="5" t="str">
        <f ca="1">IFERROR(__xludf.DUMMYFUNCTION("GOOGLETRANSLATE(B31773,""en"",""pt"")"),"Ramat Gan")</f>
        <v>Ramat Gan</v>
      </c>
      <c r="B12569" s="17" t="s">
        <v>14863</v>
      </c>
      <c r="C12569" s="17" t="s">
        <v>14773</v>
      </c>
      <c r="D12569" s="17" t="s">
        <v>14786</v>
      </c>
      <c r="E12569" s="10">
        <v>293788</v>
      </c>
      <c r="F12569" s="4" t="str">
        <f>IF(B12569=B12568,"",B12569)</f>
        <v/>
      </c>
    </row>
    <row r="12570" spans="1:6" ht="15.75" customHeight="1">
      <c r="A12570" s="5" t="str">
        <f ca="1">IFERROR(__xludf.DUMMYFUNCTION("GOOGLETRANSLATE(B32360,""en"",""pt"")"),"Rāmāpuram")</f>
        <v>Rāmāpuram</v>
      </c>
      <c r="B12570" s="17" t="s">
        <v>33179</v>
      </c>
      <c r="C12570" s="17" t="s">
        <v>10178</v>
      </c>
      <c r="D12570" s="17" t="s">
        <v>10190</v>
      </c>
      <c r="E12570" s="10">
        <v>1258726</v>
      </c>
      <c r="F12570" s="4" t="str">
        <f>IF(B12570=B12569,"",B12570)</f>
        <v>Rāmāpuram</v>
      </c>
    </row>
    <row r="12571" spans="1:6" ht="15.75" customHeight="1">
      <c r="A12571" s="5" t="s">
        <v>13080</v>
      </c>
      <c r="B12571" s="6" t="s">
        <v>13080</v>
      </c>
      <c r="C12571" s="5" t="s">
        <v>10178</v>
      </c>
      <c r="D12571" s="5" t="s">
        <v>10190</v>
      </c>
      <c r="E12571" s="2">
        <v>7302846</v>
      </c>
      <c r="F12571" s="4" t="str">
        <f>IF(B12571=B12570,"",B12571)</f>
        <v>Ramanayyapeta</v>
      </c>
    </row>
    <row r="12572" spans="1:6" ht="15.75" customHeight="1">
      <c r="A12572" s="5" t="str">
        <f ca="1">IFERROR(__xludf.DUMMYFUNCTION("GOOGLETRANSLATE(B34242,""en"",""pt"")"),"Ramanayyapeta")</f>
        <v>Ramanayyapeta</v>
      </c>
      <c r="B12572" s="17" t="s">
        <v>13080</v>
      </c>
      <c r="C12572" s="17" t="s">
        <v>10178</v>
      </c>
      <c r="D12572" s="17" t="s">
        <v>10190</v>
      </c>
      <c r="E12572" s="10">
        <v>7302846</v>
      </c>
      <c r="F12572" s="4" t="str">
        <f>IF(B12572=B12571,"",B12572)</f>
        <v/>
      </c>
    </row>
    <row r="12573" spans="1:6" ht="15.75" customHeight="1">
      <c r="A12573" s="5" t="s">
        <v>13079</v>
      </c>
      <c r="B12573" s="6" t="s">
        <v>13079</v>
      </c>
      <c r="C12573" s="5" t="s">
        <v>10178</v>
      </c>
      <c r="D12573" s="5" t="s">
        <v>10196</v>
      </c>
      <c r="E12573" s="2">
        <v>1258740</v>
      </c>
      <c r="F12573" s="4" t="str">
        <f>IF(B12573=B12572,"",B12573)</f>
        <v>Ramanathapuram</v>
      </c>
    </row>
    <row r="12574" spans="1:6" ht="15.75" customHeight="1">
      <c r="A12574" s="5" t="str">
        <f ca="1">IFERROR(__xludf.DUMMYFUNCTION("GOOGLETRANSLATE(B32361,""en"",""pt"")"),"Ramanathapuram")</f>
        <v>Ramanathapuram</v>
      </c>
      <c r="B12574" s="17" t="s">
        <v>13079</v>
      </c>
      <c r="C12574" s="17" t="s">
        <v>10178</v>
      </c>
      <c r="D12574" s="17" t="s">
        <v>10196</v>
      </c>
      <c r="E12574" s="10">
        <v>1258740</v>
      </c>
      <c r="F12574" s="4" t="str">
        <f>IF(B12574=B12573,"",B12574)</f>
        <v/>
      </c>
    </row>
    <row r="12575" spans="1:6" ht="15.75" customHeight="1">
      <c r="A12575" s="5" t="str">
        <f ca="1">IFERROR(__xludf.DUMMYFUNCTION("GOOGLETRANSLATE(B32362,""en"",""pt"")"),"Rāmanagaram")</f>
        <v>Rāmanagaram</v>
      </c>
      <c r="B12575" s="17" t="s">
        <v>33180</v>
      </c>
      <c r="C12575" s="17" t="s">
        <v>10178</v>
      </c>
      <c r="D12575" s="17" t="s">
        <v>10252</v>
      </c>
      <c r="E12575" s="10">
        <v>1258744</v>
      </c>
      <c r="F12575" s="4" t="str">
        <f>IF(B12575=B12574,"",B12575)</f>
        <v>Rāmanagaram</v>
      </c>
    </row>
    <row r="12576" spans="1:6" ht="15.75" customHeight="1">
      <c r="A12576" s="6" t="s">
        <v>20365</v>
      </c>
      <c r="B12576" s="6" t="s">
        <v>20365</v>
      </c>
      <c r="C12576" s="6" t="s">
        <v>20297</v>
      </c>
      <c r="D12576" s="6" t="s">
        <v>20298</v>
      </c>
      <c r="E12576" s="2">
        <v>282239</v>
      </c>
      <c r="F12576" s="4" t="str">
        <f>IF(B12576=B12575,"",B12576)</f>
        <v>Ramallah</v>
      </c>
    </row>
    <row r="12577" spans="1:6" ht="15.75" customHeight="1">
      <c r="A12577" s="5" t="str">
        <f ca="1">IFERROR(__xludf.DUMMYFUNCTION("GOOGLETRANSLATE(B39540,""en"",""pt"")"),"Ramallah")</f>
        <v>Ramallah</v>
      </c>
      <c r="B12577" s="17" t="s">
        <v>20365</v>
      </c>
      <c r="C12577" s="17" t="s">
        <v>20297</v>
      </c>
      <c r="D12577" s="17" t="s">
        <v>20298</v>
      </c>
      <c r="E12577" s="10">
        <v>282239</v>
      </c>
      <c r="F12577" s="4" t="str">
        <f>IF(B12577=B12576,"",B12577)</f>
        <v/>
      </c>
    </row>
    <row r="12578" spans="1:6" ht="15.75" customHeight="1">
      <c r="A12578" s="5" t="s">
        <v>13078</v>
      </c>
      <c r="B12578" s="6" t="s">
        <v>13078</v>
      </c>
      <c r="C12578" s="5" t="s">
        <v>10178</v>
      </c>
      <c r="D12578" s="5" t="s">
        <v>10187</v>
      </c>
      <c r="E12578" s="2">
        <v>8347656</v>
      </c>
      <c r="F12578" s="4" t="str">
        <f>IF(B12578=B12577,"",B12578)</f>
        <v>Ramagundam</v>
      </c>
    </row>
    <row r="12579" spans="1:6" ht="15.75" customHeight="1">
      <c r="A12579" s="5" t="str">
        <f ca="1">IFERROR(__xludf.DUMMYFUNCTION("GOOGLETRANSLATE(B34257,""en"",""pt"")"),"Ramagundam")</f>
        <v>Ramagundam</v>
      </c>
      <c r="B12579" s="17" t="s">
        <v>13078</v>
      </c>
      <c r="C12579" s="17" t="s">
        <v>10178</v>
      </c>
      <c r="D12579" s="17" t="s">
        <v>10187</v>
      </c>
      <c r="E12579" s="10">
        <v>8347656</v>
      </c>
      <c r="F12579" s="4" t="str">
        <f>IF(B12579=B12578,"",B12579)</f>
        <v/>
      </c>
    </row>
    <row r="12580" spans="1:6" ht="15.75" customHeight="1">
      <c r="A12580" s="6" t="s">
        <v>14710</v>
      </c>
      <c r="B12580" s="6" t="s">
        <v>14710</v>
      </c>
      <c r="C12580" s="6" t="s">
        <v>14594</v>
      </c>
      <c r="D12580" s="6" t="s">
        <v>14595</v>
      </c>
      <c r="E12580" s="2">
        <v>98717</v>
      </c>
      <c r="F12580" s="4" t="str">
        <f>IF(B12580=B12579,"",B12580)</f>
        <v>Ramadi</v>
      </c>
    </row>
    <row r="12581" spans="1:6" ht="15.75" customHeight="1">
      <c r="A12581" s="5" t="str">
        <f ca="1">IFERROR(__xludf.DUMMYFUNCTION("GOOGLETRANSLATE(B34308,""en"",""pt"")"),"Ramadi")</f>
        <v>Ramadi</v>
      </c>
      <c r="B12581" s="17" t="s">
        <v>14710</v>
      </c>
      <c r="C12581" s="17" t="s">
        <v>14594</v>
      </c>
      <c r="D12581" s="17" t="s">
        <v>14595</v>
      </c>
      <c r="E12581" s="10">
        <v>98717</v>
      </c>
      <c r="F12581" s="4" t="str">
        <f>IF(B12581=B12580,"",B12581)</f>
        <v/>
      </c>
    </row>
    <row r="12582" spans="1:6" ht="15.75" customHeight="1">
      <c r="A12582" s="6" t="s">
        <v>21717</v>
      </c>
      <c r="B12582" s="6" t="s">
        <v>21717</v>
      </c>
      <c r="C12582" s="6" t="s">
        <v>21606</v>
      </c>
      <c r="D12582" s="6" t="s">
        <v>21616</v>
      </c>
      <c r="E12582" s="2">
        <v>2264087</v>
      </c>
      <c r="F12582" s="4" t="str">
        <f>IF(B12582=B12581,"",B12582)</f>
        <v>Ramada</v>
      </c>
    </row>
    <row r="12583" spans="1:6" ht="15.75" customHeight="1">
      <c r="A12583" s="5" t="str">
        <f ca="1">IFERROR(__xludf.DUMMYFUNCTION("GOOGLETRANSLATE(B39577,""en"",""pt"")"),"Ramada")</f>
        <v>Ramada</v>
      </c>
      <c r="B12583" s="17" t="s">
        <v>21717</v>
      </c>
      <c r="C12583" s="17" t="s">
        <v>21606</v>
      </c>
      <c r="D12583" s="17" t="s">
        <v>21616</v>
      </c>
      <c r="E12583" s="10">
        <v>2264087</v>
      </c>
      <c r="F12583" s="4" t="str">
        <f>IF(B12583=B12582,"",B12583)</f>
        <v/>
      </c>
    </row>
    <row r="12584" spans="1:6" ht="15.75" customHeight="1">
      <c r="A12584" s="5" t="str">
        <f ca="1">IFERROR(__xludf.DUMMYFUNCTION("GOOGLETRANSLATE(B32363,""en"",""pt"")"),"Rāmachandrapuram")</f>
        <v>Rāmachandrapuram</v>
      </c>
      <c r="B12584" s="17" t="s">
        <v>33181</v>
      </c>
      <c r="C12584" s="17" t="s">
        <v>10178</v>
      </c>
      <c r="D12584" s="17" t="s">
        <v>10190</v>
      </c>
      <c r="E12584" s="10">
        <v>1258756</v>
      </c>
      <c r="F12584" s="4" t="str">
        <f>IF(B12584=B12583,"",B12584)</f>
        <v>Rāmachandrapuram</v>
      </c>
    </row>
    <row r="12585" spans="1:6" ht="15.75" customHeight="1">
      <c r="A12585" s="6" t="s">
        <v>19250</v>
      </c>
      <c r="B12585" s="6" t="s">
        <v>19250</v>
      </c>
      <c r="C12585" s="6" t="s">
        <v>19217</v>
      </c>
      <c r="D12585" s="6" t="s">
        <v>19218</v>
      </c>
      <c r="E12585" s="2">
        <v>3617095</v>
      </c>
      <c r="F12585" s="4" t="str">
        <f>IF(B12585=B12584,"",B12585)</f>
        <v>Rama</v>
      </c>
    </row>
    <row r="12586" spans="1:6" ht="15.75" customHeight="1">
      <c r="A12586" s="5" t="str">
        <f ca="1">IFERROR(__xludf.DUMMYFUNCTION("GOOGLETRANSLATE(B37857,""en"",""pt"")"),"Rama")</f>
        <v>Rama</v>
      </c>
      <c r="B12586" s="17" t="s">
        <v>19250</v>
      </c>
      <c r="C12586" s="17" t="s">
        <v>19217</v>
      </c>
      <c r="D12586" s="17" t="s">
        <v>34808</v>
      </c>
      <c r="E12586" s="10">
        <v>3617095</v>
      </c>
      <c r="F12586" s="4" t="str">
        <f>IF(B12586=B12585,"",B12586)</f>
        <v/>
      </c>
    </row>
    <row r="12587" spans="1:6" ht="15.75" customHeight="1">
      <c r="A12587" s="6" t="s">
        <v>29765</v>
      </c>
      <c r="B12587" s="6" t="s">
        <v>29765</v>
      </c>
      <c r="C12587" s="6" t="s">
        <v>27788</v>
      </c>
      <c r="D12587" s="6" t="s">
        <v>27822</v>
      </c>
      <c r="E12587" s="2">
        <v>4487042</v>
      </c>
      <c r="F12587" s="4" t="str">
        <f>IF(B12587=B12586,"",B12587)</f>
        <v>Raleigh</v>
      </c>
    </row>
    <row r="12588" spans="1:6" ht="15.75" customHeight="1">
      <c r="A12588" s="5" t="str">
        <f ca="1">IFERROR(__xludf.DUMMYFUNCTION("GOOGLETRANSLATE(B43473,""en"",""pt"")"),"Raleigh")</f>
        <v>Raleigh</v>
      </c>
      <c r="B12588" s="17" t="s">
        <v>29765</v>
      </c>
      <c r="C12588" s="17" t="s">
        <v>27788</v>
      </c>
      <c r="D12588" s="17" t="s">
        <v>27822</v>
      </c>
      <c r="E12588" s="10">
        <v>4487042</v>
      </c>
      <c r="F12588" s="4" t="str">
        <f>IF(B12588=B12587,"",B12588)</f>
        <v/>
      </c>
    </row>
    <row r="12589" spans="1:6" ht="15.75" customHeight="1">
      <c r="A12589" s="6" t="s">
        <v>6797</v>
      </c>
      <c r="B12589" s="6" t="s">
        <v>6797</v>
      </c>
      <c r="C12589" s="6" t="s">
        <v>6789</v>
      </c>
      <c r="D12589" s="6" t="s">
        <v>6798</v>
      </c>
      <c r="E12589" s="2">
        <v>589165</v>
      </c>
      <c r="F12589" s="4" t="str">
        <f>IF(B12589=B12588,"",B12589)</f>
        <v>Rakvere</v>
      </c>
    </row>
    <row r="12590" spans="1:6" ht="15.75" customHeight="1">
      <c r="A12590" s="5" t="str">
        <f ca="1">IFERROR(__xludf.DUMMYFUNCTION("GOOGLETRANSLATE(B28816,""en"",""pt"")"),"Rakvere")</f>
        <v>Rakvere</v>
      </c>
      <c r="B12590" s="17" t="s">
        <v>6797</v>
      </c>
      <c r="C12590" s="17" t="s">
        <v>6789</v>
      </c>
      <c r="D12590" s="17" t="s">
        <v>32242</v>
      </c>
      <c r="E12590" s="10">
        <v>589165</v>
      </c>
      <c r="F12590" s="4" t="str">
        <f>IF(B12590=B12589,"",B12590)</f>
        <v/>
      </c>
    </row>
    <row r="12591" spans="1:6" ht="15.75" customHeight="1">
      <c r="A12591" s="6" t="s">
        <v>3743</v>
      </c>
      <c r="B12591" s="6" t="s">
        <v>3743</v>
      </c>
      <c r="C12591" s="6" t="s">
        <v>3701</v>
      </c>
      <c r="D12591" s="6" t="s">
        <v>3702</v>
      </c>
      <c r="E12591" s="2">
        <v>727791</v>
      </c>
      <c r="F12591" s="4" t="str">
        <f>IF(B12591=B12590,"",B12591)</f>
        <v>Rakovski</v>
      </c>
    </row>
    <row r="12592" spans="1:6" ht="15.75" customHeight="1">
      <c r="A12592" s="5" t="str">
        <f ca="1">IFERROR(__xludf.DUMMYFUNCTION("GOOGLETRANSLATE(B24030,""en"",""pt"")"),"Rakovski")</f>
        <v>Rakovski</v>
      </c>
      <c r="B12592" s="17" t="s">
        <v>3743</v>
      </c>
      <c r="C12592" s="17" t="s">
        <v>3701</v>
      </c>
      <c r="D12592" s="17" t="s">
        <v>3702</v>
      </c>
      <c r="E12592" s="10">
        <v>727791</v>
      </c>
      <c r="F12592" s="4" t="str">
        <f>IF(B12592=B12591,"",B12592)</f>
        <v/>
      </c>
    </row>
    <row r="12593" spans="1:6" ht="15.75" customHeight="1">
      <c r="A12593" s="5" t="str">
        <f ca="1">IFERROR(__xludf.DUMMYFUNCTION("GOOGLETRANSLATE(B27268,""en"",""pt"")"),"Rakovník")</f>
        <v>Rakovník</v>
      </c>
      <c r="B12593" s="17" t="s">
        <v>31962</v>
      </c>
      <c r="C12593" s="17" t="s">
        <v>5947</v>
      </c>
      <c r="D12593" s="17" t="s">
        <v>5985</v>
      </c>
      <c r="E12593" s="10">
        <v>3067051</v>
      </c>
      <c r="F12593" s="4" t="str">
        <f>IF(B12593=B12592,"",B12593)</f>
        <v>Rakovník</v>
      </c>
    </row>
    <row r="12594" spans="1:6" ht="15.75" customHeight="1">
      <c r="A12594" s="6" t="s">
        <v>6094</v>
      </c>
      <c r="B12594" s="6" t="s">
        <v>6095</v>
      </c>
      <c r="C12594" s="6" t="s">
        <v>5947</v>
      </c>
      <c r="D12594" s="6" t="s">
        <v>5985</v>
      </c>
      <c r="E12594" s="2">
        <v>3067051</v>
      </c>
      <c r="F12594" s="4" t="str">
        <f>IF(B12594=B12593,"",B12594)</f>
        <v>RakovnÃ­k</v>
      </c>
    </row>
    <row r="12595" spans="1:6" ht="15.75" customHeight="1">
      <c r="A12595" s="5" t="str">
        <f ca="1">IFERROR(__xludf.DUMMYFUNCTION("GOOGLETRANSLATE(B32364,""en"",""pt"")"),"Rājūra")</f>
        <v>Rājūra</v>
      </c>
      <c r="B12595" s="17" t="s">
        <v>33182</v>
      </c>
      <c r="C12595" s="17" t="s">
        <v>10178</v>
      </c>
      <c r="D12595" s="17" t="s">
        <v>10214</v>
      </c>
      <c r="E12595" s="10">
        <v>1258786</v>
      </c>
      <c r="F12595" s="4" t="str">
        <f>IF(B12595=B12594,"",B12595)</f>
        <v>Rājūra</v>
      </c>
    </row>
    <row r="12596" spans="1:6" ht="15.75" customHeight="1">
      <c r="A12596" s="5" t="str">
        <f ca="1">IFERROR(__xludf.DUMMYFUNCTION("GOOGLETRANSLATE(B32365,""en"",""pt"")"),"Rājula")</f>
        <v>Rājula</v>
      </c>
      <c r="B12596" s="17" t="s">
        <v>33183</v>
      </c>
      <c r="C12596" s="17" t="s">
        <v>10178</v>
      </c>
      <c r="D12596" s="17" t="s">
        <v>10209</v>
      </c>
      <c r="E12596" s="10">
        <v>1258795</v>
      </c>
      <c r="F12596" s="4" t="str">
        <f>IF(B12596=B12595,"",B12596)</f>
        <v>Rājula</v>
      </c>
    </row>
    <row r="12597" spans="1:6" ht="15.75" customHeight="1">
      <c r="A12597" s="5" t="str">
        <f ca="1">IFERROR(__xludf.DUMMYFUNCTION("GOOGLETRANSLATE(B23707,""en"",""pt"")"),"Rājshāhi")</f>
        <v>Rājshāhi</v>
      </c>
      <c r="B12597" s="17" t="s">
        <v>31259</v>
      </c>
      <c r="C12597" s="17" t="s">
        <v>1296</v>
      </c>
      <c r="D12597" s="17" t="s">
        <v>31259</v>
      </c>
      <c r="E12597" s="10">
        <v>1185128</v>
      </c>
      <c r="F12597" s="4" t="str">
        <f>IF(B12597=B12596,"",B12597)</f>
        <v>Rājshāhi</v>
      </c>
    </row>
    <row r="12598" spans="1:6" ht="15.75" customHeight="1">
      <c r="A12598" s="5" t="str">
        <f ca="1">IFERROR(__xludf.DUMMYFUNCTION("GOOGLETRANSLATE(B32366,""en"",""pt"")"),"Rājsamand")</f>
        <v>Rājsamand</v>
      </c>
      <c r="B12598" s="17" t="s">
        <v>33184</v>
      </c>
      <c r="C12598" s="17" t="s">
        <v>10178</v>
      </c>
      <c r="D12598" s="17" t="s">
        <v>10179</v>
      </c>
      <c r="E12598" s="10">
        <v>1258797</v>
      </c>
      <c r="F12598" s="4" t="str">
        <f>IF(B12598=B12597,"",B12598)</f>
        <v>Rājsamand</v>
      </c>
    </row>
    <row r="12599" spans="1:6" ht="15.75" customHeight="1">
      <c r="A12599" s="5" t="str">
        <f ca="1">IFERROR(__xludf.DUMMYFUNCTION("GOOGLETRANSLATE(B32367,""en"",""pt"")"),"Rājpura")</f>
        <v>Rājpura</v>
      </c>
      <c r="B12599" s="17" t="s">
        <v>33185</v>
      </c>
      <c r="C12599" s="17" t="s">
        <v>10178</v>
      </c>
      <c r="D12599" s="17" t="s">
        <v>10184</v>
      </c>
      <c r="E12599" s="10">
        <v>1258803</v>
      </c>
      <c r="F12599" s="4" t="str">
        <f>IF(B12599=B12598,"",B12599)</f>
        <v>Rājpura</v>
      </c>
    </row>
    <row r="12600" spans="1:6" ht="15.75" customHeight="1">
      <c r="A12600" s="6" t="s">
        <v>13077</v>
      </c>
      <c r="B12600" s="6" t="s">
        <v>13077</v>
      </c>
      <c r="C12600" s="6" t="s">
        <v>10178</v>
      </c>
      <c r="D12600" s="6" t="s">
        <v>10219</v>
      </c>
      <c r="E12600" s="2">
        <v>1258815</v>
      </c>
      <c r="F12600" s="4" t="str">
        <f>IF(B12600=B12599,"",B12600)</f>
        <v>Rajpur</v>
      </c>
    </row>
    <row r="12601" spans="1:6" ht="15.75" customHeight="1">
      <c r="A12601" s="6" t="s">
        <v>13077</v>
      </c>
      <c r="B12601" s="6" t="s">
        <v>13077</v>
      </c>
      <c r="C12601" s="6" t="s">
        <v>10178</v>
      </c>
      <c r="D12601" s="6" t="s">
        <v>10219</v>
      </c>
      <c r="E12601" s="2">
        <v>1258816</v>
      </c>
      <c r="F12601" s="4" t="str">
        <f>IF(B12601=B12600,"",B12601)</f>
        <v/>
      </c>
    </row>
    <row r="12602" spans="1:6" ht="15.75" customHeight="1">
      <c r="A12602" s="5" t="str">
        <f ca="1">IFERROR(__xludf.DUMMYFUNCTION("GOOGLETRANSLATE(B32368,""en"",""pt"")"),"Rajpur")</f>
        <v>Rajpur</v>
      </c>
      <c r="B12602" s="17" t="s">
        <v>13077</v>
      </c>
      <c r="C12602" s="17" t="s">
        <v>10178</v>
      </c>
      <c r="D12602" s="17" t="s">
        <v>10219</v>
      </c>
      <c r="E12602" s="10">
        <v>1258815</v>
      </c>
      <c r="F12602" s="4" t="str">
        <f>IF(B12602=B12601,"",B12602)</f>
        <v/>
      </c>
    </row>
    <row r="12603" spans="1:6" ht="15.75" customHeight="1">
      <c r="A12603" s="5" t="str">
        <f ca="1">IFERROR(__xludf.DUMMYFUNCTION("GOOGLETRANSLATE(B32369,""en"",""pt"")"),"Rajpur")</f>
        <v>Rajpur</v>
      </c>
      <c r="B12603" s="17" t="s">
        <v>13077</v>
      </c>
      <c r="C12603" s="17" t="s">
        <v>10178</v>
      </c>
      <c r="D12603" s="17" t="s">
        <v>10219</v>
      </c>
      <c r="E12603" s="10">
        <v>1258816</v>
      </c>
      <c r="F12603" s="4" t="str">
        <f>IF(B12603=B12602,"",B12603)</f>
        <v/>
      </c>
    </row>
    <row r="12604" spans="1:6" ht="15.75" customHeight="1">
      <c r="A12604" s="5" t="str">
        <f ca="1">IFERROR(__xludf.DUMMYFUNCTION("GOOGLETRANSLATE(B32370,""en"",""pt"")"),"Rājpīpla")</f>
        <v>Rājpīpla</v>
      </c>
      <c r="B12604" s="17" t="s">
        <v>33186</v>
      </c>
      <c r="C12604" s="17" t="s">
        <v>10178</v>
      </c>
      <c r="D12604" s="17" t="s">
        <v>10209</v>
      </c>
      <c r="E12604" s="10">
        <v>1258819</v>
      </c>
      <c r="F12604" s="4" t="str">
        <f>IF(B12604=B12603,"",B12604)</f>
        <v>Rājpīpla</v>
      </c>
    </row>
    <row r="12605" spans="1:6" ht="15.75" customHeight="1">
      <c r="A12605" s="5" t="str">
        <f ca="1">IFERROR(__xludf.DUMMYFUNCTION("GOOGLETRANSLATE(B32371,""en"",""pt"")"),"Rāj-nāndgaon")</f>
        <v>Rāj-nāndgaon</v>
      </c>
      <c r="B12605" s="17" t="s">
        <v>33187</v>
      </c>
      <c r="C12605" s="17" t="s">
        <v>10178</v>
      </c>
      <c r="D12605" s="17" t="s">
        <v>10272</v>
      </c>
      <c r="E12605" s="10">
        <v>1258831</v>
      </c>
      <c r="F12605" s="4" t="str">
        <f>IF(B12605=B12604,"",B12605)</f>
        <v>Rāj-Nāndgaon</v>
      </c>
    </row>
    <row r="12606" spans="1:6" ht="15.75" customHeight="1">
      <c r="A12606" s="5" t="str">
        <f ca="1">IFERROR(__xludf.DUMMYFUNCTION("GOOGLETRANSLATE(B32372,""en"",""pt"")"),"Rājmahal")</f>
        <v>Rājmahal</v>
      </c>
      <c r="B12606" s="17" t="s">
        <v>33188</v>
      </c>
      <c r="C12606" s="17" t="s">
        <v>10178</v>
      </c>
      <c r="D12606" s="17" t="s">
        <v>10201</v>
      </c>
      <c r="E12606" s="10">
        <v>1258843</v>
      </c>
      <c r="F12606" s="4" t="str">
        <f>IF(B12606=B12605,"",B12606)</f>
        <v>Rājmahal</v>
      </c>
    </row>
    <row r="12607" spans="1:6" ht="15.75" customHeight="1">
      <c r="A12607" s="5" t="str">
        <f ca="1">IFERROR(__xludf.DUMMYFUNCTION("GOOGLETRANSLATE(B32373,""en"",""pt"")"),"Rājkot")</f>
        <v>Rājkot</v>
      </c>
      <c r="B12607" s="17" t="s">
        <v>33189</v>
      </c>
      <c r="C12607" s="17" t="s">
        <v>10178</v>
      </c>
      <c r="D12607" s="17" t="s">
        <v>10209</v>
      </c>
      <c r="E12607" s="10">
        <v>1258847</v>
      </c>
      <c r="F12607" s="4" t="str">
        <f>IF(B12607=B12606,"",B12607)</f>
        <v>Rājkot</v>
      </c>
    </row>
    <row r="12608" spans="1:6" ht="15.75" customHeight="1">
      <c r="A12608" s="5" t="str">
        <f ca="1">IFERROR(__xludf.DUMMYFUNCTION("GOOGLETRANSLATE(B32374,""en"",""pt"")"),"Rājgurunagar")</f>
        <v>Rājgurunagar</v>
      </c>
      <c r="B12608" s="17" t="s">
        <v>33190</v>
      </c>
      <c r="C12608" s="17" t="s">
        <v>10178</v>
      </c>
      <c r="D12608" s="17" t="s">
        <v>10214</v>
      </c>
      <c r="E12608" s="10">
        <v>1258859</v>
      </c>
      <c r="F12608" s="4" t="str">
        <f>IF(B12608=B12607,"",B12608)</f>
        <v>Rājgurunagar</v>
      </c>
    </row>
    <row r="12609" spans="1:6" ht="15.75" customHeight="1">
      <c r="A12609" s="5" t="str">
        <f ca="1">IFERROR(__xludf.DUMMYFUNCTION("GOOGLETRANSLATE(B32375,""en"",""pt"")"),"Rājgīr")</f>
        <v>Rājgīr</v>
      </c>
      <c r="B12609" s="17" t="s">
        <v>33191</v>
      </c>
      <c r="C12609" s="17" t="s">
        <v>10178</v>
      </c>
      <c r="D12609" s="17" t="s">
        <v>10317</v>
      </c>
      <c r="E12609" s="10">
        <v>1258864</v>
      </c>
      <c r="F12609" s="4" t="str">
        <f>IF(B12609=B12608,"",B12609)</f>
        <v>Rājgīr</v>
      </c>
    </row>
    <row r="12610" spans="1:6" ht="15.75" customHeight="1">
      <c r="A12610" s="5" t="str">
        <f ca="1">IFERROR(__xludf.DUMMYFUNCTION("GOOGLETRANSLATE(B32376,""en"",""pt"")"),"Rājgarh")</f>
        <v>Rājgarh</v>
      </c>
      <c r="B12610" s="17" t="s">
        <v>33192</v>
      </c>
      <c r="C12610" s="17" t="s">
        <v>10178</v>
      </c>
      <c r="D12610" s="17" t="s">
        <v>10179</v>
      </c>
      <c r="E12610" s="10">
        <v>1258868</v>
      </c>
      <c r="F12610" s="4" t="str">
        <f>IF(B12610=B12609,"",B12610)</f>
        <v>Rājgarh</v>
      </c>
    </row>
    <row r="12611" spans="1:6" ht="15.75" customHeight="1">
      <c r="A12611" s="5" t="str">
        <f ca="1">IFERROR(__xludf.DUMMYFUNCTION("GOOGLETRANSLATE(B32377,""en"",""pt"")"),"Rājgarh")</f>
        <v>Rājgarh</v>
      </c>
      <c r="B12611" s="17" t="s">
        <v>33192</v>
      </c>
      <c r="C12611" s="17" t="s">
        <v>10178</v>
      </c>
      <c r="D12611" s="17" t="s">
        <v>10179</v>
      </c>
      <c r="E12611" s="10">
        <v>1258869</v>
      </c>
      <c r="F12611" s="4" t="str">
        <f>IF(B12611=B12610,"",B12611)</f>
        <v/>
      </c>
    </row>
    <row r="12612" spans="1:6" ht="15.75" customHeight="1">
      <c r="A12612" s="5" t="str">
        <f ca="1">IFERROR(__xludf.DUMMYFUNCTION("GOOGLETRANSLATE(B32378,""en"",""pt"")"),"Rājgarh")</f>
        <v>Rājgarh</v>
      </c>
      <c r="B12612" s="17" t="s">
        <v>33192</v>
      </c>
      <c r="C12612" s="17" t="s">
        <v>10178</v>
      </c>
      <c r="D12612" s="17" t="s">
        <v>10219</v>
      </c>
      <c r="E12612" s="10">
        <v>1258875</v>
      </c>
      <c r="F12612" s="4" t="str">
        <f>IF(B12612=B12611,"",B12612)</f>
        <v/>
      </c>
    </row>
    <row r="12613" spans="1:6" ht="15.75" customHeight="1">
      <c r="A12613" s="5" t="str">
        <f ca="1">IFERROR(__xludf.DUMMYFUNCTION("GOOGLETRANSLATE(B32379,""en"",""pt"")"),"Rājgarh")</f>
        <v>Rājgarh</v>
      </c>
      <c r="B12613" s="17" t="s">
        <v>33192</v>
      </c>
      <c r="C12613" s="17" t="s">
        <v>10178</v>
      </c>
      <c r="D12613" s="17" t="s">
        <v>10219</v>
      </c>
      <c r="E12613" s="10">
        <v>1258876</v>
      </c>
      <c r="F12613" s="4" t="str">
        <f>IF(B12613=B12612,"",B12613)</f>
        <v/>
      </c>
    </row>
    <row r="12614" spans="1:6" ht="15.75" customHeight="1">
      <c r="A12614" s="5" t="str">
        <f ca="1">IFERROR(__xludf.DUMMYFUNCTION("GOOGLETRANSLATE(B38181,""en"",""pt"")"),"Rājbirāj")</f>
        <v>Rājbirāj</v>
      </c>
      <c r="B12614" s="17" t="s">
        <v>34826</v>
      </c>
      <c r="C12614" s="17" t="s">
        <v>18800</v>
      </c>
      <c r="D12614" s="17" t="s">
        <v>18807</v>
      </c>
      <c r="E12614" s="10">
        <v>1282884</v>
      </c>
      <c r="F12614" s="4" t="str">
        <f>IF(B12614=B12613,"",B12614)</f>
        <v>Rājbirāj</v>
      </c>
    </row>
    <row r="12615" spans="1:6" ht="15.75" customHeight="1">
      <c r="A12615" s="5" t="s">
        <v>14118</v>
      </c>
      <c r="B12615" s="6" t="s">
        <v>14118</v>
      </c>
      <c r="C12615" s="5" t="s">
        <v>13800</v>
      </c>
      <c r="D12615" s="5" t="s">
        <v>13811</v>
      </c>
      <c r="E12615" s="2">
        <v>1630200</v>
      </c>
      <c r="F12615" s="4" t="str">
        <f>IF(B12615=B12614,"",B12615)</f>
        <v>Rajapolah</v>
      </c>
    </row>
    <row r="12616" spans="1:6" ht="15.75" customHeight="1">
      <c r="A12616" s="5" t="str">
        <f ca="1">IFERROR(__xludf.DUMMYFUNCTION("GOOGLETRANSLATE(B31474,""en"",""pt"")"),"Rajapolah")</f>
        <v>Rajapolah</v>
      </c>
      <c r="B12616" s="17" t="s">
        <v>14118</v>
      </c>
      <c r="C12616" s="17" t="s">
        <v>13800</v>
      </c>
      <c r="D12616" s="17" t="s">
        <v>13811</v>
      </c>
      <c r="E12616" s="10">
        <v>1630200</v>
      </c>
      <c r="F12616" s="4" t="str">
        <f>IF(B12616=B12615,"",B12616)</f>
        <v/>
      </c>
    </row>
    <row r="12617" spans="1:6" ht="15.75" customHeight="1">
      <c r="A12617" s="5" t="s">
        <v>13076</v>
      </c>
      <c r="B12617" s="6" t="s">
        <v>13076</v>
      </c>
      <c r="C12617" s="5" t="s">
        <v>10178</v>
      </c>
      <c r="D12617" s="5" t="s">
        <v>10196</v>
      </c>
      <c r="E12617" s="2">
        <v>1258916</v>
      </c>
      <c r="F12617" s="4" t="str">
        <f>IF(B12617=B12616,"",B12617)</f>
        <v>Rajapalaiyam</v>
      </c>
    </row>
    <row r="12618" spans="1:6" ht="15.75" customHeight="1">
      <c r="A12618" s="5" t="str">
        <f ca="1">IFERROR(__xludf.DUMMYFUNCTION("GOOGLETRANSLATE(B32381,""en"",""pt"")"),"Rajapalaiyam")</f>
        <v>Rajapalaiyam</v>
      </c>
      <c r="B12618" s="17" t="s">
        <v>13076</v>
      </c>
      <c r="C12618" s="17" t="s">
        <v>10178</v>
      </c>
      <c r="D12618" s="17" t="s">
        <v>10196</v>
      </c>
      <c r="E12618" s="10">
        <v>1258916</v>
      </c>
      <c r="F12618" s="4" t="str">
        <f>IF(B12618=B12617,"",B12618)</f>
        <v/>
      </c>
    </row>
    <row r="12619" spans="1:6" ht="15.75" customHeight="1">
      <c r="A12619" s="6" t="s">
        <v>13075</v>
      </c>
      <c r="B12619" s="6" t="s">
        <v>13075</v>
      </c>
      <c r="C12619" s="6" t="s">
        <v>10178</v>
      </c>
      <c r="D12619" s="6" t="s">
        <v>10355</v>
      </c>
      <c r="E12619" s="2">
        <v>1258891</v>
      </c>
      <c r="F12619" s="4" t="str">
        <f>IF(B12619=B12618,"",B12619)</f>
        <v>Rajaori</v>
      </c>
    </row>
    <row r="12620" spans="1:6" ht="15.75" customHeight="1">
      <c r="A12620" s="5" t="str">
        <f ca="1">IFERROR(__xludf.DUMMYFUNCTION("GOOGLETRANSLATE(B32380,""en"",""pt"")"),"Rajaori")</f>
        <v>Rajaori</v>
      </c>
      <c r="B12620" s="17" t="s">
        <v>13075</v>
      </c>
      <c r="C12620" s="17" t="s">
        <v>10178</v>
      </c>
      <c r="D12620" s="17" t="s">
        <v>10355</v>
      </c>
      <c r="E12620" s="10">
        <v>1258891</v>
      </c>
      <c r="F12620" s="4" t="str">
        <f>IF(B12620=B12619,"",B12620)</f>
        <v/>
      </c>
    </row>
    <row r="12621" spans="1:6" ht="15.75" customHeight="1">
      <c r="A12621" s="5" t="str">
        <f ca="1">IFERROR(__xludf.DUMMYFUNCTION("GOOGLETRANSLATE(B38938,""en"",""pt"")"),"Rājanpur")</f>
        <v>Rājanpur</v>
      </c>
      <c r="B12621" s="17" t="s">
        <v>34925</v>
      </c>
      <c r="C12621" s="17" t="s">
        <v>19808</v>
      </c>
      <c r="D12621" s="17" t="s">
        <v>10184</v>
      </c>
      <c r="E12621" s="10">
        <v>1167380</v>
      </c>
      <c r="F12621" s="4" t="str">
        <f>IF(B12621=B12620,"",B12621)</f>
        <v>Rājanpur</v>
      </c>
    </row>
    <row r="12622" spans="1:6" ht="15.75" customHeight="1">
      <c r="A12622" s="5" t="str">
        <f ca="1">IFERROR(__xludf.DUMMYFUNCTION("GOOGLETRANSLATE(B32382,""en"",""pt"")"),"Rājampet")</f>
        <v>Rājampet</v>
      </c>
      <c r="B12622" s="17" t="s">
        <v>33193</v>
      </c>
      <c r="C12622" s="17" t="s">
        <v>10178</v>
      </c>
      <c r="D12622" s="17" t="s">
        <v>10190</v>
      </c>
      <c r="E12622" s="10">
        <v>1258922</v>
      </c>
      <c r="F12622" s="4" t="str">
        <f>IF(B12622=B12621,"",B12622)</f>
        <v>Rājampet</v>
      </c>
    </row>
    <row r="12623" spans="1:6" ht="15.75" customHeight="1">
      <c r="A12623" s="5" t="str">
        <f ca="1">IFERROR(__xludf.DUMMYFUNCTION("GOOGLETRANSLATE(B32383,""en"",""pt"")"),"Rājaldesar")</f>
        <v>Rājaldesar</v>
      </c>
      <c r="B12623" s="17" t="s">
        <v>33194</v>
      </c>
      <c r="C12623" s="17" t="s">
        <v>10178</v>
      </c>
      <c r="D12623" s="17" t="s">
        <v>10179</v>
      </c>
      <c r="E12623" s="10">
        <v>1258928</v>
      </c>
      <c r="F12623" s="4" t="str">
        <f>IF(B12623=B12622,"",B12623)</f>
        <v>Rājaldesar</v>
      </c>
    </row>
    <row r="12624" spans="1:6" ht="15.75" customHeight="1">
      <c r="A12624" s="5" t="str">
        <f ca="1">IFERROR(__xludf.DUMMYFUNCTION("GOOGLETRANSLATE(B32384,""en"",""pt"")"),"Rājākhera")</f>
        <v>Rājākhera</v>
      </c>
      <c r="B12624" s="17" t="s">
        <v>33195</v>
      </c>
      <c r="C12624" s="17" t="s">
        <v>10178</v>
      </c>
      <c r="D12624" s="17" t="s">
        <v>10179</v>
      </c>
      <c r="E12624" s="10">
        <v>1258930</v>
      </c>
      <c r="F12624" s="4" t="str">
        <f>IF(B12624=B12623,"",B12624)</f>
        <v>Rājākhera</v>
      </c>
    </row>
    <row r="12625" spans="1:6" ht="15.75" customHeight="1">
      <c r="A12625" s="5" t="str">
        <f ca="1">IFERROR(__xludf.DUMMYFUNCTION("GOOGLETRANSLATE(B32385,""en"",""pt"")"),"Rājahmundry")</f>
        <v>Rājahmundry</v>
      </c>
      <c r="B12625" s="17" t="s">
        <v>33196</v>
      </c>
      <c r="C12625" s="17" t="s">
        <v>10178</v>
      </c>
      <c r="D12625" s="17" t="s">
        <v>10190</v>
      </c>
      <c r="E12625" s="10">
        <v>1258932</v>
      </c>
      <c r="F12625" s="4" t="str">
        <f>IF(B12625=B12624,"",B12625)</f>
        <v>Rājahmundry</v>
      </c>
    </row>
    <row r="12626" spans="1:6" ht="15.75" customHeight="1">
      <c r="A12626" s="5" t="str">
        <f ca="1">IFERROR(__xludf.DUMMYFUNCTION("GOOGLETRANSLATE(B38939,""en"",""pt"")"),"Rāja Jang")</f>
        <v>Rāja Jang</v>
      </c>
      <c r="B12626" s="17" t="s">
        <v>34926</v>
      </c>
      <c r="C12626" s="17" t="s">
        <v>19808</v>
      </c>
      <c r="D12626" s="17" t="s">
        <v>10184</v>
      </c>
      <c r="E12626" s="10">
        <v>1167386</v>
      </c>
      <c r="F12626" s="4" t="str">
        <f>IF(B12626=B12625,"",B12626)</f>
        <v>Rāja Jang</v>
      </c>
    </row>
    <row r="12627" spans="1:6" ht="15.75" customHeight="1">
      <c r="A12627" s="5" t="str">
        <f ca="1">IFERROR(__xludf.DUMMYFUNCTION("GOOGLETRANSLATE(B38940,""en"",""pt"")"),"Rāiwind")</f>
        <v>Rāiwind</v>
      </c>
      <c r="B12627" s="17" t="s">
        <v>34927</v>
      </c>
      <c r="C12627" s="17" t="s">
        <v>19808</v>
      </c>
      <c r="D12627" s="17" t="s">
        <v>10184</v>
      </c>
      <c r="E12627" s="10">
        <v>1167398</v>
      </c>
      <c r="F12627" s="4" t="str">
        <f>IF(B12627=B12626,"",B12627)</f>
        <v>Rāiwind</v>
      </c>
    </row>
    <row r="12628" spans="1:6" ht="15.75" customHeight="1">
      <c r="A12628" s="6" t="s">
        <v>7025</v>
      </c>
      <c r="B12628" s="6" t="s">
        <v>7025</v>
      </c>
      <c r="C12628" s="6" t="s">
        <v>6948</v>
      </c>
      <c r="D12628" s="6" t="s">
        <v>6983</v>
      </c>
      <c r="E12628" s="2">
        <v>640124</v>
      </c>
      <c r="F12628" s="4" t="str">
        <f>IF(B12628=B12627,"",B12628)</f>
        <v>Raisio</v>
      </c>
    </row>
    <row r="12629" spans="1:6" ht="15.75" customHeight="1">
      <c r="A12629" s="5" t="str">
        <f ca="1">IFERROR(__xludf.DUMMYFUNCTION("GOOGLETRANSLATE(B29616,""en"",""pt"")"),"Raisio")</f>
        <v>Raisio</v>
      </c>
      <c r="B12629" s="17" t="s">
        <v>7025</v>
      </c>
      <c r="C12629" s="17" t="s">
        <v>6948</v>
      </c>
      <c r="D12629" s="17" t="s">
        <v>6983</v>
      </c>
      <c r="E12629" s="10">
        <v>640124</v>
      </c>
      <c r="F12629" s="4" t="str">
        <f>IF(B12629=B12628,"",B12629)</f>
        <v/>
      </c>
    </row>
    <row r="12630" spans="1:6" ht="15.75" customHeight="1">
      <c r="A12630" s="5" t="str">
        <f ca="1">IFERROR(__xludf.DUMMYFUNCTION("GOOGLETRANSLATE(B32386,""en"",""pt"")"),"Rāisinghnagar")</f>
        <v>Rāisinghnagar</v>
      </c>
      <c r="B12630" s="17" t="s">
        <v>33197</v>
      </c>
      <c r="C12630" s="17" t="s">
        <v>10178</v>
      </c>
      <c r="D12630" s="17" t="s">
        <v>10179</v>
      </c>
      <c r="E12630" s="10">
        <v>1258950</v>
      </c>
      <c r="F12630" s="4" t="str">
        <f>IF(B12630=B12629,"",B12630)</f>
        <v>Rāisinghnagar</v>
      </c>
    </row>
    <row r="12631" spans="1:6" ht="15.75" customHeight="1">
      <c r="A12631" s="6" t="s">
        <v>13074</v>
      </c>
      <c r="B12631" s="6" t="s">
        <v>13074</v>
      </c>
      <c r="C12631" s="6" t="s">
        <v>10178</v>
      </c>
      <c r="D12631" s="6" t="s">
        <v>10219</v>
      </c>
      <c r="E12631" s="2">
        <v>1258952</v>
      </c>
      <c r="F12631" s="4" t="str">
        <f>IF(B12631=B12630,"",B12631)</f>
        <v>Raisen</v>
      </c>
    </row>
    <row r="12632" spans="1:6" ht="15.75" customHeight="1">
      <c r="A12632" s="5" t="str">
        <f ca="1">IFERROR(__xludf.DUMMYFUNCTION("GOOGLETRANSLATE(B32387,""en"",""pt"")"),"Raisen")</f>
        <v>Raisen</v>
      </c>
      <c r="B12632" s="17" t="s">
        <v>13074</v>
      </c>
      <c r="C12632" s="17" t="s">
        <v>10178</v>
      </c>
      <c r="D12632" s="17" t="s">
        <v>10219</v>
      </c>
      <c r="E12632" s="10">
        <v>1258952</v>
      </c>
      <c r="F12632" s="4" t="str">
        <f>IF(B12632=B12631,"",B12632)</f>
        <v/>
      </c>
    </row>
    <row r="12633" spans="1:6" ht="15.75" customHeight="1">
      <c r="A12633" s="5" t="str">
        <f ca="1">IFERROR(__xludf.DUMMYFUNCTION("GOOGLETRANSLATE(B23736,""en"",""pt"")"),"Rāipur")</f>
        <v>Rāipur</v>
      </c>
      <c r="B12633" s="17" t="s">
        <v>31276</v>
      </c>
      <c r="C12633" s="17" t="s">
        <v>1296</v>
      </c>
      <c r="D12633" s="17" t="s">
        <v>1302</v>
      </c>
      <c r="E12633" s="10">
        <v>1185236</v>
      </c>
      <c r="F12633" s="4" t="str">
        <f>IF(B12633=B12632,"",B12633)</f>
        <v>Rāipur</v>
      </c>
    </row>
    <row r="12634" spans="1:6" ht="15.75" customHeight="1">
      <c r="A12634" s="5" t="str">
        <f ca="1">IFERROR(__xludf.DUMMYFUNCTION("GOOGLETRANSLATE(B32388,""en"",""pt"")"),"Rāipur")</f>
        <v>Rāipur</v>
      </c>
      <c r="B12634" s="17" t="s">
        <v>31276</v>
      </c>
      <c r="C12634" s="17" t="s">
        <v>10178</v>
      </c>
      <c r="D12634" s="17" t="s">
        <v>10299</v>
      </c>
      <c r="E12634" s="10">
        <v>1258967</v>
      </c>
      <c r="F12634" s="4" t="str">
        <f>IF(B12634=B12633,"",B12634)</f>
        <v/>
      </c>
    </row>
    <row r="12635" spans="1:6" ht="15.75" customHeight="1">
      <c r="A12635" s="6" t="s">
        <v>13073</v>
      </c>
      <c r="B12635" s="6" t="s">
        <v>13073</v>
      </c>
      <c r="C12635" s="6" t="s">
        <v>10178</v>
      </c>
      <c r="D12635" s="6" t="s">
        <v>10179</v>
      </c>
      <c r="E12635" s="2">
        <v>1258972</v>
      </c>
      <c r="F12635" s="4" t="str">
        <f>IF(B12635=B12634,"",B12635)</f>
        <v>Raipur</v>
      </c>
    </row>
    <row r="12636" spans="1:6" ht="15.75" customHeight="1">
      <c r="A12636" s="6" t="s">
        <v>13073</v>
      </c>
      <c r="B12636" s="6" t="s">
        <v>13073</v>
      </c>
      <c r="C12636" s="6" t="s">
        <v>10178</v>
      </c>
      <c r="D12636" s="6" t="s">
        <v>10272</v>
      </c>
      <c r="E12636" s="2">
        <v>1258980</v>
      </c>
      <c r="F12636" s="4" t="str">
        <f>IF(B12636=B12635,"",B12636)</f>
        <v/>
      </c>
    </row>
    <row r="12637" spans="1:6" ht="15.75" customHeight="1">
      <c r="A12637" s="5" t="str">
        <f ca="1">IFERROR(__xludf.DUMMYFUNCTION("GOOGLETRANSLATE(B32389,""en"",""pt"")"),"Raipur")</f>
        <v>Raipur</v>
      </c>
      <c r="B12637" s="17" t="s">
        <v>13073</v>
      </c>
      <c r="C12637" s="17" t="s">
        <v>10178</v>
      </c>
      <c r="D12637" s="17" t="s">
        <v>10179</v>
      </c>
      <c r="E12637" s="10">
        <v>1258972</v>
      </c>
      <c r="F12637" s="4" t="str">
        <f>IF(B12637=B12636,"",B12637)</f>
        <v/>
      </c>
    </row>
    <row r="12638" spans="1:6" ht="15.75" customHeight="1">
      <c r="A12638" s="5" t="str">
        <f ca="1">IFERROR(__xludf.DUMMYFUNCTION("GOOGLETRANSLATE(B32390,""en"",""pt"")"),"Raipur")</f>
        <v>Raipur</v>
      </c>
      <c r="B12638" s="17" t="s">
        <v>13073</v>
      </c>
      <c r="C12638" s="17" t="s">
        <v>10178</v>
      </c>
      <c r="D12638" s="17" t="s">
        <v>10272</v>
      </c>
      <c r="E12638" s="10">
        <v>1258980</v>
      </c>
      <c r="F12638" s="4" t="str">
        <f>IF(B12638=B12637,"",B12638)</f>
        <v/>
      </c>
    </row>
    <row r="12639" spans="1:6" ht="15.75" customHeight="1">
      <c r="A12639" s="5" t="str">
        <f ca="1">IFERROR(__xludf.DUMMYFUNCTION("GOOGLETRANSLATE(B32391,""en"",""pt"")"),"Rāikot")</f>
        <v>Rāikot</v>
      </c>
      <c r="B12639" s="17" t="s">
        <v>33198</v>
      </c>
      <c r="C12639" s="17" t="s">
        <v>10178</v>
      </c>
      <c r="D12639" s="17" t="s">
        <v>10184</v>
      </c>
      <c r="E12639" s="10">
        <v>1258993</v>
      </c>
      <c r="F12639" s="4" t="str">
        <f>IF(B12639=B12638,"",B12639)</f>
        <v>Rāikot</v>
      </c>
    </row>
    <row r="12640" spans="1:6" ht="15.75" customHeight="1">
      <c r="A12640" s="6" t="s">
        <v>13072</v>
      </c>
      <c r="B12640" s="6" t="s">
        <v>13072</v>
      </c>
      <c r="C12640" s="6" t="s">
        <v>10178</v>
      </c>
      <c r="D12640" s="6" t="s">
        <v>10272</v>
      </c>
      <c r="E12640" s="2">
        <v>1259005</v>
      </c>
      <c r="F12640" s="4" t="str">
        <f>IF(B12640=B12639,"",B12640)</f>
        <v>Raigarh</v>
      </c>
    </row>
    <row r="12641" spans="1:6" ht="15.75" customHeight="1">
      <c r="A12641" s="5" t="str">
        <f ca="1">IFERROR(__xludf.DUMMYFUNCTION("GOOGLETRANSLATE(B32392,""en"",""pt"")"),"Raigarh")</f>
        <v>Raigarh</v>
      </c>
      <c r="B12641" s="17" t="s">
        <v>13072</v>
      </c>
      <c r="C12641" s="17" t="s">
        <v>10178</v>
      </c>
      <c r="D12641" s="17" t="s">
        <v>10272</v>
      </c>
      <c r="E12641" s="10">
        <v>1259005</v>
      </c>
      <c r="F12641" s="4" t="str">
        <f>IF(B12641=B12640,"",B12641)</f>
        <v/>
      </c>
    </row>
    <row r="12642" spans="1:6" ht="15.75" customHeight="1">
      <c r="A12642" s="5" t="str">
        <f ca="1">IFERROR(__xludf.DUMMYFUNCTION("GOOGLETRANSLATE(B32393,""en"",""pt"")"),"RAGANJ")</f>
        <v>RAGANJ</v>
      </c>
      <c r="B12642" s="17" t="s">
        <v>33199</v>
      </c>
      <c r="C12642" s="17" t="s">
        <v>10178</v>
      </c>
      <c r="D12642" s="17" t="s">
        <v>10201</v>
      </c>
      <c r="E12642" s="10">
        <v>1259009</v>
      </c>
      <c r="F12642" s="4" t="str">
        <f>IF(B12642=B12641,"",B12642)</f>
        <v>Rāiganj</v>
      </c>
    </row>
    <row r="12643" spans="1:6" ht="15.75" customHeight="1">
      <c r="A12643" s="5" t="str">
        <f ca="1">IFERROR(__xludf.DUMMYFUNCTION("GOOGLETRANSLATE(B32394,""en"",""pt"")"),"Rāichūr")</f>
        <v>Rāichūr</v>
      </c>
      <c r="B12643" s="17" t="s">
        <v>33200</v>
      </c>
      <c r="C12643" s="17" t="s">
        <v>10178</v>
      </c>
      <c r="D12643" s="17" t="s">
        <v>10252</v>
      </c>
      <c r="E12643" s="10">
        <v>1259012</v>
      </c>
      <c r="F12643" s="4" t="str">
        <f>IF(B12643=B12642,"",B12643)</f>
        <v>Rāichūr</v>
      </c>
    </row>
    <row r="12644" spans="1:6" ht="15.75" customHeight="1">
      <c r="A12644" s="6" t="s">
        <v>29764</v>
      </c>
      <c r="B12644" s="6" t="s">
        <v>29764</v>
      </c>
      <c r="C12644" s="6" t="s">
        <v>27788</v>
      </c>
      <c r="D12644" s="6" t="s">
        <v>27905</v>
      </c>
      <c r="E12644" s="2">
        <v>5103055</v>
      </c>
      <c r="F12644" s="4" t="str">
        <f>IF(B12644=B12643,"",B12644)</f>
        <v>Rahway</v>
      </c>
    </row>
    <row r="12645" spans="1:6" ht="15.75" customHeight="1">
      <c r="A12645" s="5" t="str">
        <f ca="1">IFERROR(__xludf.DUMMYFUNCTION("GOOGLETRANSLATE(B44303,""en"",""pt"")"),"Rahway")</f>
        <v>Rahway</v>
      </c>
      <c r="B12645" s="17" t="s">
        <v>29764</v>
      </c>
      <c r="C12645" s="17" t="s">
        <v>27788</v>
      </c>
      <c r="D12645" s="17" t="s">
        <v>27905</v>
      </c>
      <c r="E12645" s="10">
        <v>5103055</v>
      </c>
      <c r="F12645" s="4" t="str">
        <f>IF(B12645=B12644,"",B12645)</f>
        <v/>
      </c>
    </row>
    <row r="12646" spans="1:6" ht="15.75" customHeight="1">
      <c r="A12646" s="5" t="str">
        <f ca="1">IFERROR(__xludf.DUMMYFUNCTION("GOOGLETRANSLATE(B32395,""en"",""pt"")"),"Rāhuri")</f>
        <v>Rāhuri</v>
      </c>
      <c r="B12646" s="17" t="s">
        <v>33201</v>
      </c>
      <c r="C12646" s="17" t="s">
        <v>10178</v>
      </c>
      <c r="D12646" s="17" t="s">
        <v>10214</v>
      </c>
      <c r="E12646" s="10">
        <v>1259019</v>
      </c>
      <c r="F12646" s="4" t="str">
        <f>IF(B12646=B12645,"",B12646)</f>
        <v>Rāhuri</v>
      </c>
    </row>
    <row r="12647" spans="1:6" ht="15.75" customHeight="1">
      <c r="A12647" s="5" t="s">
        <v>13071</v>
      </c>
      <c r="B12647" s="6" t="s">
        <v>13071</v>
      </c>
      <c r="C12647" s="5" t="s">
        <v>10178</v>
      </c>
      <c r="D12647" s="5" t="s">
        <v>10214</v>
      </c>
      <c r="E12647" s="2">
        <v>1259026</v>
      </c>
      <c r="F12647" s="4" t="str">
        <f>IF(B12647=B12646,"",B12647)</f>
        <v>Rahimatpur</v>
      </c>
    </row>
    <row r="12648" spans="1:6" ht="15.75" customHeight="1">
      <c r="A12648" s="5" t="str">
        <f ca="1">IFERROR(__xludf.DUMMYFUNCTION("GOOGLETRANSLATE(B32396,""en"",""pt"")"),"Rahimatpur")</f>
        <v>Rahimatpur</v>
      </c>
      <c r="B12648" s="17" t="s">
        <v>13071</v>
      </c>
      <c r="C12648" s="17" t="s">
        <v>10178</v>
      </c>
      <c r="D12648" s="17" t="s">
        <v>10214</v>
      </c>
      <c r="E12648" s="10">
        <v>1259026</v>
      </c>
      <c r="F12648" s="4" t="str">
        <f>IF(B12648=B12647,"",B12648)</f>
        <v/>
      </c>
    </row>
    <row r="12649" spans="1:6" ht="15.75" customHeight="1">
      <c r="A12649" s="5" t="str">
        <f ca="1">IFERROR(__xludf.DUMMYFUNCTION("GOOGLETRANSLATE(B41022,""en"",""pt"")"),"Raḩīmah")</f>
        <v>Raḩīmah</v>
      </c>
      <c r="B12649" s="17" t="s">
        <v>35578</v>
      </c>
      <c r="C12649" s="17" t="s">
        <v>23454</v>
      </c>
      <c r="D12649" s="17" t="s">
        <v>6128</v>
      </c>
      <c r="E12649" s="10">
        <v>102985</v>
      </c>
      <c r="F12649" s="4" t="str">
        <f>IF(B12649=B12648,"",B12649)</f>
        <v>Raḩīmah</v>
      </c>
    </row>
    <row r="12650" spans="1:6" ht="15.75" customHeight="1">
      <c r="A12650" s="6" t="s">
        <v>9021</v>
      </c>
      <c r="B12650" s="6" t="s">
        <v>9021</v>
      </c>
      <c r="C12650" s="6" t="s">
        <v>8028</v>
      </c>
      <c r="D12650" s="6" t="s">
        <v>8029</v>
      </c>
      <c r="E12650" s="2">
        <v>2850887</v>
      </c>
      <c r="F12650" s="4" t="str">
        <f>IF(B12650=B12649,"",B12650)</f>
        <v>Rahden</v>
      </c>
    </row>
    <row r="12651" spans="1:6" ht="15.75" customHeight="1">
      <c r="A12651" s="5" t="str">
        <f ca="1">IFERROR(__xludf.DUMMYFUNCTION("GOOGLETRANSLATE(B27626,""en"",""pt"")"),"Rahden")</f>
        <v>Rahden</v>
      </c>
      <c r="B12651" s="17" t="s">
        <v>9021</v>
      </c>
      <c r="C12651" s="17" t="s">
        <v>8028</v>
      </c>
      <c r="D12651" s="17" t="s">
        <v>8029</v>
      </c>
      <c r="E12651" s="10">
        <v>2850887</v>
      </c>
      <c r="F12651" s="4" t="str">
        <f>IF(B12651=B12650,"",B12651)</f>
        <v/>
      </c>
    </row>
    <row r="12652" spans="1:6" ht="15.75" customHeight="1">
      <c r="A12652" s="5" t="str">
        <f ca="1">IFERROR(__xludf.DUMMYFUNCTION("GOOGLETRANSLATE(B32397,""en"",""pt"")"),"Rāhatgarh")</f>
        <v>Rāhatgarh</v>
      </c>
      <c r="B12652" s="17" t="s">
        <v>33202</v>
      </c>
      <c r="C12652" s="17" t="s">
        <v>10178</v>
      </c>
      <c r="D12652" s="17" t="s">
        <v>10219</v>
      </c>
      <c r="E12652" s="10">
        <v>1259034</v>
      </c>
      <c r="F12652" s="4" t="str">
        <f>IF(B12652=B12651,"",B12652)</f>
        <v>Rāhatgarh</v>
      </c>
    </row>
    <row r="12653" spans="1:6" ht="15.75" customHeight="1">
      <c r="A12653" s="5" t="s">
        <v>1498</v>
      </c>
      <c r="B12653" s="6" t="s">
        <v>1498</v>
      </c>
      <c r="C12653" s="5" t="s">
        <v>1453</v>
      </c>
      <c r="D12653" s="5" t="s">
        <v>1461</v>
      </c>
      <c r="E12653" s="2">
        <v>622739</v>
      </c>
      <c r="F12653" s="4" t="str">
        <f>IF(B12653=B12652,"",B12653)</f>
        <v>Rahachow</v>
      </c>
    </row>
    <row r="12654" spans="1:6" ht="15.75" customHeight="1">
      <c r="A12654" s="5" t="str">
        <f ca="1">IFERROR(__xludf.DUMMYFUNCTION("GOOGLETRANSLATE(B25380,""en"",""pt"")"),"Rahachow")</f>
        <v>Rahachow</v>
      </c>
      <c r="B12654" s="17" t="s">
        <v>1498</v>
      </c>
      <c r="C12654" s="17" t="s">
        <v>1453</v>
      </c>
      <c r="D12654" s="17" t="s">
        <v>1461</v>
      </c>
      <c r="E12654" s="10">
        <v>622739</v>
      </c>
      <c r="F12654" s="4" t="str">
        <f>IF(B12654=B12653,"",B12654)</f>
        <v/>
      </c>
    </row>
    <row r="12655" spans="1:6" ht="15.75" customHeight="1">
      <c r="A12655" s="6" t="s">
        <v>15400</v>
      </c>
      <c r="B12655" s="6" t="s">
        <v>15400</v>
      </c>
      <c r="C12655" s="6" t="s">
        <v>14891</v>
      </c>
      <c r="D12655" s="6" t="s">
        <v>14899</v>
      </c>
      <c r="E12655" s="2">
        <v>2523650</v>
      </c>
      <c r="F12655" s="4" t="str">
        <f>IF(B12655=B12654,"",B12655)</f>
        <v>Ragusa</v>
      </c>
    </row>
    <row r="12656" spans="1:6" ht="15.75" customHeight="1">
      <c r="A12656" s="5" t="str">
        <f ca="1">IFERROR(__xludf.DUMMYFUNCTION("GOOGLETRANSLATE(B34559,""en"",""pt"")"),"Ragusa")</f>
        <v>Ragusa</v>
      </c>
      <c r="B12656" s="17" t="s">
        <v>15400</v>
      </c>
      <c r="C12656" s="17" t="s">
        <v>14891</v>
      </c>
      <c r="D12656" s="17" t="s">
        <v>14899</v>
      </c>
      <c r="E12656" s="10">
        <v>2523650</v>
      </c>
      <c r="F12656" s="4" t="str">
        <f>IF(B12656=B12655,"",B12656)</f>
        <v/>
      </c>
    </row>
    <row r="12657" spans="1:6" ht="15.75" customHeight="1">
      <c r="A12657" s="5" t="s">
        <v>13070</v>
      </c>
      <c r="B12657" s="6" t="s">
        <v>13070</v>
      </c>
      <c r="C12657" s="5" t="s">
        <v>10178</v>
      </c>
      <c r="D12657" s="5" t="s">
        <v>10201</v>
      </c>
      <c r="E12657" s="2">
        <v>1259049</v>
      </c>
      <c r="F12657" s="4" t="str">
        <f>IF(B12657=B12656,"",B12657)</f>
        <v>Raghunathpur</v>
      </c>
    </row>
    <row r="12658" spans="1:6" ht="15.75" customHeight="1">
      <c r="A12658" s="5" t="str">
        <f ca="1">IFERROR(__xludf.DUMMYFUNCTION("GOOGLETRANSLATE(B32398,""en"",""pt"")"),"Raghunathpur")</f>
        <v>Raghunathpur</v>
      </c>
      <c r="B12658" s="17" t="s">
        <v>13070</v>
      </c>
      <c r="C12658" s="17" t="s">
        <v>10178</v>
      </c>
      <c r="D12658" s="17" t="s">
        <v>10201</v>
      </c>
      <c r="E12658" s="10">
        <v>1259049</v>
      </c>
      <c r="F12658" s="4" t="str">
        <f>IF(B12658=B12657,"",B12658)</f>
        <v/>
      </c>
    </row>
    <row r="12659" spans="1:6" ht="15.75" customHeight="1">
      <c r="A12659" s="5" t="str">
        <f ca="1">IFERROR(__xludf.DUMMYFUNCTION("GOOGLETRANSLATE(B32399,""en"",""pt"")"),"Rāghogarh")</f>
        <v>Rāghogarh</v>
      </c>
      <c r="B12659" s="17" t="s">
        <v>33203</v>
      </c>
      <c r="C12659" s="17" t="s">
        <v>10178</v>
      </c>
      <c r="D12659" s="17" t="s">
        <v>10219</v>
      </c>
      <c r="E12659" s="10">
        <v>1259056</v>
      </c>
      <c r="F12659" s="4" t="str">
        <f>IF(B12659=B12658,"",B12659)</f>
        <v>Rāghogarh</v>
      </c>
    </row>
    <row r="12660" spans="1:6" ht="15.75" customHeight="1">
      <c r="A12660" s="5" t="str">
        <f ca="1">IFERROR(__xludf.DUMMYFUNCTION("GOOGLETRANSLATE(B34386,""en"",""pt"")"),"Rafsanjān")</f>
        <v>Rafsanjān</v>
      </c>
      <c r="B12660" s="17" t="s">
        <v>34155</v>
      </c>
      <c r="C12660" s="17" t="s">
        <v>14240</v>
      </c>
      <c r="D12660" s="17" t="s">
        <v>14317</v>
      </c>
      <c r="E12660" s="10">
        <v>118994</v>
      </c>
      <c r="F12660" s="4" t="str">
        <f>IF(B12660=B12659,"",B12660)</f>
        <v>Rafsanjān</v>
      </c>
    </row>
    <row r="12661" spans="1:6" ht="15.75" customHeight="1">
      <c r="A12661" s="5" t="s">
        <v>14520</v>
      </c>
      <c r="B12661" s="6" t="s">
        <v>14521</v>
      </c>
      <c r="C12661" s="5" t="s">
        <v>14240</v>
      </c>
      <c r="D12661" s="5" t="s">
        <v>14317</v>
      </c>
      <c r="E12661" s="2">
        <v>118994</v>
      </c>
      <c r="F12661" s="4" t="str">
        <f>IF(B12661=B12660,"",B12661)</f>
        <v>RafsanjÄn</v>
      </c>
    </row>
    <row r="12662" spans="1:6" ht="15.75" customHeight="1">
      <c r="A12662" s="6" t="s">
        <v>13069</v>
      </c>
      <c r="B12662" s="6" t="s">
        <v>13069</v>
      </c>
      <c r="C12662" s="6" t="s">
        <v>10178</v>
      </c>
      <c r="D12662" s="6" t="s">
        <v>10317</v>
      </c>
      <c r="E12662" s="2">
        <v>1259060</v>
      </c>
      <c r="F12662" s="4" t="str">
        <f>IF(B12662=B12661,"",B12662)</f>
        <v>Rafiganj</v>
      </c>
    </row>
    <row r="12663" spans="1:6" ht="15.75" customHeight="1">
      <c r="A12663" s="5" t="str">
        <f ca="1">IFERROR(__xludf.DUMMYFUNCTION("GOOGLETRANSLATE(B32400,""en"",""pt"")"),"Rafiganj")</f>
        <v>Rafiganj</v>
      </c>
      <c r="B12663" s="17" t="s">
        <v>13069</v>
      </c>
      <c r="C12663" s="17" t="s">
        <v>10178</v>
      </c>
      <c r="D12663" s="17" t="s">
        <v>10317</v>
      </c>
      <c r="E12663" s="10">
        <v>1259060</v>
      </c>
      <c r="F12663" s="4" t="str">
        <f>IF(B12663=B12662,"",B12663)</f>
        <v/>
      </c>
    </row>
    <row r="12664" spans="1:6" ht="15.75" customHeight="1">
      <c r="A12664" s="5" t="s">
        <v>22001</v>
      </c>
      <c r="B12664" s="6" t="s">
        <v>22002</v>
      </c>
      <c r="C12664" s="5" t="s">
        <v>21824</v>
      </c>
      <c r="D12664" s="5" t="s">
        <v>21885</v>
      </c>
      <c r="E12664" s="2">
        <v>669289</v>
      </c>
      <c r="F12664" s="4" t="str">
        <f>IF(B12664=B12663,"",B12664)</f>
        <v>RÄƒdÄƒuÈ›i</v>
      </c>
    </row>
    <row r="12665" spans="1:6" ht="15.75" customHeight="1">
      <c r="A12665" s="5" t="str">
        <f ca="1">IFERROR(__xludf.DUMMYFUNCTION("GOOGLETRANSLATE(B39525,""en"",""pt"")"),"Rafaḩ")</f>
        <v>Rafaḩ</v>
      </c>
      <c r="B12665" s="17" t="s">
        <v>35258</v>
      </c>
      <c r="C12665" s="17" t="s">
        <v>20297</v>
      </c>
      <c r="D12665" s="17" t="s">
        <v>20305</v>
      </c>
      <c r="E12665" s="10">
        <v>281102</v>
      </c>
      <c r="F12665" s="4" t="str">
        <f>IF(B12665=B12664,"",B12665)</f>
        <v>Rafaḩ</v>
      </c>
    </row>
    <row r="12666" spans="1:6" ht="15.75" customHeight="1">
      <c r="A12666" s="6" t="s">
        <v>751</v>
      </c>
      <c r="B12666" s="6" t="s">
        <v>751</v>
      </c>
      <c r="C12666" s="6" t="s">
        <v>558</v>
      </c>
      <c r="D12666" s="6" t="s">
        <v>579</v>
      </c>
      <c r="E12666" s="2">
        <v>3839479</v>
      </c>
      <c r="F12666" s="4" t="str">
        <f>IF(B12666=B12665,"",B12666)</f>
        <v>Rafaela</v>
      </c>
    </row>
    <row r="12667" spans="1:6" ht="15.75" customHeight="1">
      <c r="A12667" s="5" t="str">
        <f ca="1">IFERROR(__xludf.DUMMYFUNCTION("GOOGLETRANSLATE(B23287,""en"",""pt"")"),"Rafaela")</f>
        <v>Rafaela</v>
      </c>
      <c r="B12667" s="17" t="s">
        <v>751</v>
      </c>
      <c r="C12667" s="17" t="s">
        <v>558</v>
      </c>
      <c r="D12667" s="17" t="s">
        <v>579</v>
      </c>
      <c r="E12667" s="10">
        <v>3839479</v>
      </c>
      <c r="F12667" s="4" t="str">
        <f>IF(B12667=B12666,"",B12667)</f>
        <v/>
      </c>
    </row>
    <row r="12668" spans="1:6" ht="15.75" customHeight="1">
      <c r="A12668" s="6" t="s">
        <v>20363</v>
      </c>
      <c r="B12668" s="6" t="s">
        <v>20364</v>
      </c>
      <c r="C12668" s="6" t="s">
        <v>20297</v>
      </c>
      <c r="D12668" s="6" t="s">
        <v>20305</v>
      </c>
      <c r="E12668" s="2">
        <v>281102</v>
      </c>
      <c r="F12668" s="4" t="str">
        <f>IF(B12668=B12667,"",B12668)</f>
        <v>Rafaá¸©</v>
      </c>
    </row>
    <row r="12669" spans="1:6" ht="15.75" customHeight="1">
      <c r="A12669" s="6" t="s">
        <v>13068</v>
      </c>
      <c r="B12669" s="6" t="s">
        <v>13068</v>
      </c>
      <c r="C12669" s="6" t="s">
        <v>10178</v>
      </c>
      <c r="D12669" s="6" t="s">
        <v>10193</v>
      </c>
      <c r="E12669" s="2">
        <v>1259064</v>
      </c>
      <c r="F12669" s="4" t="str">
        <f>IF(B12669=B12668,"",B12669)</f>
        <v>Raebareli</v>
      </c>
    </row>
    <row r="12670" spans="1:6" ht="15.75" customHeight="1">
      <c r="A12670" s="5" t="str">
        <f ca="1">IFERROR(__xludf.DUMMYFUNCTION("GOOGLETRANSLATE(B32401,""en"",""pt"")"),"Raebareli")</f>
        <v>Raebareli</v>
      </c>
      <c r="B12670" s="17" t="s">
        <v>13068</v>
      </c>
      <c r="C12670" s="17" t="s">
        <v>10178</v>
      </c>
      <c r="D12670" s="17" t="s">
        <v>10193</v>
      </c>
      <c r="E12670" s="10">
        <v>1259064</v>
      </c>
      <c r="F12670" s="4" t="str">
        <f>IF(B12670=B12669,"",B12670)</f>
        <v/>
      </c>
    </row>
    <row r="12671" spans="1:6" ht="15.75" customHeight="1">
      <c r="A12671" s="5" t="str">
        <f ca="1">IFERROR(__xludf.DUMMYFUNCTION("GOOGLETRANSLATE(B39216,""en"",""pt"")"),"Radzyń Podlaski")</f>
        <v>Radzyń Podlaski</v>
      </c>
      <c r="B12671" s="17" t="s">
        <v>35086</v>
      </c>
      <c r="C12671" s="17" t="s">
        <v>21064</v>
      </c>
      <c r="D12671" s="17" t="s">
        <v>21091</v>
      </c>
      <c r="E12671" s="10">
        <v>760680</v>
      </c>
      <c r="F12671" s="4" t="str">
        <f>IF(B12671=B12670,"",B12671)</f>
        <v>Radzyń Podlaski</v>
      </c>
    </row>
    <row r="12672" spans="1:6" ht="15.75" customHeight="1">
      <c r="A12672" s="5" t="s">
        <v>21461</v>
      </c>
      <c r="B12672" s="6" t="s">
        <v>21462</v>
      </c>
      <c r="C12672" s="5" t="s">
        <v>21064</v>
      </c>
      <c r="D12672" s="5" t="s">
        <v>21091</v>
      </c>
      <c r="E12672" s="2">
        <v>760680</v>
      </c>
      <c r="F12672" s="4" t="str">
        <f>IF(B12672=B12671,"",B12672)</f>
        <v>RadzyÅ„ Podlaski</v>
      </c>
    </row>
    <row r="12673" spans="1:6" ht="15.75" customHeight="1">
      <c r="A12673" s="5" t="str">
        <f ca="1">IFERROR(__xludf.DUMMYFUNCTION("GOOGLETRANSLATE(B39366,""en"",""pt"")"),"Radzionków")</f>
        <v>Radzionków</v>
      </c>
      <c r="B12673" s="17" t="s">
        <v>35175</v>
      </c>
      <c r="C12673" s="17" t="s">
        <v>21064</v>
      </c>
      <c r="D12673" s="17" t="s">
        <v>21073</v>
      </c>
      <c r="E12673" s="10">
        <v>3087418</v>
      </c>
      <c r="F12673" s="4" t="str">
        <f>IF(B12673=B12672,"",B12673)</f>
        <v>Radzionków</v>
      </c>
    </row>
    <row r="12674" spans="1:6" ht="15.75" customHeight="1">
      <c r="A12674" s="5" t="s">
        <v>21459</v>
      </c>
      <c r="B12674" s="6" t="s">
        <v>21460</v>
      </c>
      <c r="C12674" s="5" t="s">
        <v>21064</v>
      </c>
      <c r="D12674" s="5" t="s">
        <v>21073</v>
      </c>
      <c r="E12674" s="2">
        <v>3087418</v>
      </c>
      <c r="F12674" s="4" t="str">
        <f>IF(B12674=B12673,"",B12674)</f>
        <v>RadzionkÃ³w</v>
      </c>
    </row>
    <row r="12675" spans="1:6" ht="15.75" customHeight="1">
      <c r="A12675" s="5" t="s">
        <v>17198</v>
      </c>
      <c r="B12675" s="6" t="s">
        <v>17198</v>
      </c>
      <c r="C12675" s="5" t="s">
        <v>17154</v>
      </c>
      <c r="D12675" s="5" t="s">
        <v>17158</v>
      </c>
      <c r="E12675" s="2">
        <v>595449</v>
      </c>
      <c r="F12675" s="4" t="str">
        <f>IF(B12675=B12674,"",B12675)</f>
        <v>Radviliskis</v>
      </c>
    </row>
    <row r="12676" spans="1:6" ht="15.75" customHeight="1">
      <c r="A12676" s="5" t="str">
        <f ca="1">IFERROR(__xludf.DUMMYFUNCTION("GOOGLETRANSLATE(B36369,""en"",""pt"")"),"Radviliskis")</f>
        <v>Radviliskis</v>
      </c>
      <c r="B12676" s="17" t="s">
        <v>17198</v>
      </c>
      <c r="C12676" s="17" t="s">
        <v>17154</v>
      </c>
      <c r="D12676" s="17" t="s">
        <v>34529</v>
      </c>
      <c r="E12676" s="10">
        <v>595449</v>
      </c>
      <c r="F12676" s="4" t="str">
        <f>IF(B12676=B12675,"",B12676)</f>
        <v/>
      </c>
    </row>
    <row r="12677" spans="1:6" ht="15.75" customHeight="1">
      <c r="A12677" s="5" t="s">
        <v>22985</v>
      </c>
      <c r="B12677" s="6" t="s">
        <v>22985</v>
      </c>
      <c r="C12677" s="5" t="s">
        <v>22070</v>
      </c>
      <c r="D12677" s="5" t="s">
        <v>22113</v>
      </c>
      <c r="E12677" s="2">
        <v>7117885</v>
      </c>
      <c r="F12677" s="4" t="str">
        <f>IF(B12677=B12676,"",B12677)</f>
        <v>Raduzhnyy</v>
      </c>
    </row>
    <row r="12678" spans="1:6" ht="15.75" customHeight="1">
      <c r="A12678" s="5" t="str">
        <f ca="1">IFERROR(__xludf.DUMMYFUNCTION("GOOGLETRANSLATE(B40978,""en"",""pt"")"),"Raduzhnyy")</f>
        <v>Raduzhnyy</v>
      </c>
      <c r="B12678" s="17" t="s">
        <v>22985</v>
      </c>
      <c r="C12678" s="17" t="s">
        <v>22070</v>
      </c>
      <c r="D12678" s="17" t="s">
        <v>22113</v>
      </c>
      <c r="E12678" s="10">
        <v>7117885</v>
      </c>
      <c r="F12678" s="4" t="str">
        <f>IF(B12678=B12677,"",B12678)</f>
        <v/>
      </c>
    </row>
    <row r="12679" spans="1:6" ht="15.75" customHeight="1">
      <c r="A12679" s="6" t="s">
        <v>22984</v>
      </c>
      <c r="B12679" s="6" t="s">
        <v>22984</v>
      </c>
      <c r="C12679" s="6" t="s">
        <v>22070</v>
      </c>
      <c r="D12679" s="6" t="s">
        <v>22217</v>
      </c>
      <c r="E12679" s="2">
        <v>1540356</v>
      </c>
      <c r="F12679" s="4" t="str">
        <f>IF(B12679=B12678,"",B12679)</f>
        <v>Raduzhny</v>
      </c>
    </row>
    <row r="12680" spans="1:6" ht="15.75" customHeight="1">
      <c r="A12680" s="5" t="str">
        <f ca="1">IFERROR(__xludf.DUMMYFUNCTION("GOOGLETRANSLATE(B40887,""en"",""pt"")"),"Raduzhny")</f>
        <v>Raduzhny</v>
      </c>
      <c r="B12680" s="17" t="s">
        <v>22984</v>
      </c>
      <c r="C12680" s="17" t="s">
        <v>22070</v>
      </c>
      <c r="D12680" s="17" t="s">
        <v>22217</v>
      </c>
      <c r="E12680" s="10">
        <v>1540356</v>
      </c>
      <c r="F12680" s="4" t="str">
        <f>IF(B12680=B12679,"",B12680)</f>
        <v/>
      </c>
    </row>
    <row r="12681" spans="1:6" ht="15.75" customHeight="1">
      <c r="A12681" s="5" t="s">
        <v>27119</v>
      </c>
      <c r="B12681" s="6" t="s">
        <v>27120</v>
      </c>
      <c r="C12681" s="5" t="s">
        <v>26870</v>
      </c>
      <c r="D12681" s="5" t="s">
        <v>26900</v>
      </c>
      <c r="E12681" s="2">
        <v>695912</v>
      </c>
      <c r="F12681" s="4" t="str">
        <f>IF(B12681=B12680,"",B12681)</f>
        <v>Radomyshlâ€™</v>
      </c>
    </row>
    <row r="12682" spans="1:6" ht="15.75" customHeight="1">
      <c r="A12682" s="5" t="str">
        <f ca="1">IFERROR(__xludf.DUMMYFUNCTION("GOOGLETRANSLATE(B42541,""en"",""pt"")"),"Radomyshl '")</f>
        <v>Radomyshl '</v>
      </c>
      <c r="B12682" s="17" t="s">
        <v>36000</v>
      </c>
      <c r="C12682" s="17" t="s">
        <v>26870</v>
      </c>
      <c r="D12682" s="17" t="s">
        <v>26900</v>
      </c>
      <c r="E12682" s="10">
        <v>695912</v>
      </c>
      <c r="F12682" s="4" t="str">
        <f>IF(B12682=B12681,"",B12682)</f>
        <v>Radomyshl’</v>
      </c>
    </row>
    <row r="12683" spans="1:6" ht="15.75" customHeight="1">
      <c r="A12683" s="5" t="s">
        <v>21458</v>
      </c>
      <c r="B12683" s="6" t="s">
        <v>21458</v>
      </c>
      <c r="C12683" s="5" t="s">
        <v>21064</v>
      </c>
      <c r="D12683" s="5" t="s">
        <v>21080</v>
      </c>
      <c r="E12683" s="2">
        <v>3087497</v>
      </c>
      <c r="F12683" s="4" t="str">
        <f>IF(B12683=B12682,"",B12683)</f>
        <v>Radomsko</v>
      </c>
    </row>
    <row r="12684" spans="1:6" ht="15.75" customHeight="1">
      <c r="A12684" s="5" t="str">
        <f ca="1">IFERROR(__xludf.DUMMYFUNCTION("GOOGLETRANSLATE(B39367,""en"",""pt"")"),"Radomsko")</f>
        <v>Radomsko</v>
      </c>
      <c r="B12684" s="17" t="s">
        <v>21458</v>
      </c>
      <c r="C12684" s="17" t="s">
        <v>21064</v>
      </c>
      <c r="D12684" s="17" t="s">
        <v>35071</v>
      </c>
      <c r="E12684" s="10">
        <v>3087497</v>
      </c>
      <c r="F12684" s="4" t="str">
        <f>IF(B12684=B12683,"",B12684)</f>
        <v/>
      </c>
    </row>
    <row r="12685" spans="1:6" ht="15.75" customHeight="1">
      <c r="A12685" s="6" t="s">
        <v>21457</v>
      </c>
      <c r="B12685" s="6" t="s">
        <v>21457</v>
      </c>
      <c r="C12685" s="6" t="s">
        <v>21064</v>
      </c>
      <c r="D12685" s="6" t="s">
        <v>21070</v>
      </c>
      <c r="E12685" s="2">
        <v>760778</v>
      </c>
      <c r="F12685" s="4" t="str">
        <f>IF(B12685=B12684,"",B12685)</f>
        <v>Radom</v>
      </c>
    </row>
    <row r="12686" spans="1:6" ht="15.75" customHeight="1">
      <c r="A12686" s="5" t="str">
        <f ca="1">IFERROR(__xludf.DUMMYFUNCTION("GOOGLETRANSLATE(B39217,""en"",""pt"")"),"Radom")</f>
        <v>Radom</v>
      </c>
      <c r="B12686" s="17" t="s">
        <v>21457</v>
      </c>
      <c r="C12686" s="17" t="s">
        <v>21064</v>
      </c>
      <c r="D12686" s="17" t="s">
        <v>21070</v>
      </c>
      <c r="E12686" s="10">
        <v>760778</v>
      </c>
      <c r="F12686" s="4" t="str">
        <f>IF(B12686=B12685,"",B12686)</f>
        <v/>
      </c>
    </row>
    <row r="12687" spans="1:6" ht="15.75" customHeight="1">
      <c r="A12687" s="5" t="s">
        <v>9020</v>
      </c>
      <c r="B12687" s="6" t="s">
        <v>9020</v>
      </c>
      <c r="C12687" s="5" t="s">
        <v>8028</v>
      </c>
      <c r="D12687" s="5" t="s">
        <v>8031</v>
      </c>
      <c r="E12687" s="2">
        <v>2850954</v>
      </c>
      <c r="F12687" s="4" t="str">
        <f>IF(B12687=B12686,"",B12687)</f>
        <v>Radolfzell am Bodensee</v>
      </c>
    </row>
    <row r="12688" spans="1:6" ht="15.75" customHeight="1">
      <c r="A12688" s="5" t="str">
        <f ca="1">IFERROR(__xludf.DUMMYFUNCTION("GOOGLETRANSLATE(B27627,""en"",""pt"")"),"Radolfzell am Bodensee")</f>
        <v>Radolfzell am Bodensee</v>
      </c>
      <c r="B12688" s="17" t="s">
        <v>9020</v>
      </c>
      <c r="C12688" s="17" t="s">
        <v>8028</v>
      </c>
      <c r="D12688" s="17" t="s">
        <v>32013</v>
      </c>
      <c r="E12688" s="10">
        <v>2850954</v>
      </c>
      <c r="F12688" s="4" t="str">
        <f>IF(B12688=B12687,"",B12688)</f>
        <v/>
      </c>
    </row>
    <row r="12689" spans="1:6" ht="15.75" customHeight="1">
      <c r="A12689" s="6" t="s">
        <v>29763</v>
      </c>
      <c r="B12689" s="6" t="s">
        <v>29763</v>
      </c>
      <c r="C12689" s="6" t="s">
        <v>27788</v>
      </c>
      <c r="D12689" s="6" t="s">
        <v>27836</v>
      </c>
      <c r="E12689" s="2">
        <v>5207490</v>
      </c>
      <c r="F12689" s="4" t="str">
        <f>IF(B12689=B12688,"",B12689)</f>
        <v>Radnor</v>
      </c>
    </row>
    <row r="12690" spans="1:6" ht="15.75" customHeight="1">
      <c r="A12690" s="5" t="str">
        <f ca="1">IFERROR(__xludf.DUMMYFUNCTION("GOOGLETRANSLATE(B44592,""en"",""pt"")"),"Radnor")</f>
        <v>Radnor</v>
      </c>
      <c r="B12690" s="17" t="s">
        <v>29763</v>
      </c>
      <c r="C12690" s="17" t="s">
        <v>27788</v>
      </c>
      <c r="D12690" s="17" t="s">
        <v>27836</v>
      </c>
      <c r="E12690" s="10">
        <v>5207490</v>
      </c>
      <c r="F12690" s="4" t="str">
        <f>IF(B12690=B12689,"",B12690)</f>
        <v/>
      </c>
    </row>
    <row r="12691" spans="1:6" ht="15.75" customHeight="1">
      <c r="A12691" s="6" t="s">
        <v>21456</v>
      </c>
      <c r="B12691" s="6" t="s">
        <v>21456</v>
      </c>
      <c r="C12691" s="6" t="s">
        <v>21064</v>
      </c>
      <c r="D12691" s="6" t="s">
        <v>21073</v>
      </c>
      <c r="E12691" s="2">
        <v>3087529</v>
      </c>
      <c r="F12691" s="4" t="str">
        <f>IF(B12691=B12690,"",B12691)</f>
        <v>Radlin</v>
      </c>
    </row>
    <row r="12692" spans="1:6" ht="15.75" customHeight="1">
      <c r="A12692" s="5" t="str">
        <f ca="1">IFERROR(__xludf.DUMMYFUNCTION("GOOGLETRANSLATE(B39368,""en"",""pt"")"),"Radlin")</f>
        <v>Radlin</v>
      </c>
      <c r="B12692" s="17" t="s">
        <v>21456</v>
      </c>
      <c r="C12692" s="17" t="s">
        <v>21064</v>
      </c>
      <c r="D12692" s="17" t="s">
        <v>21073</v>
      </c>
      <c r="E12692" s="10">
        <v>3087529</v>
      </c>
      <c r="F12692" s="4" t="str">
        <f>IF(B12692=B12691,"",B12692)</f>
        <v/>
      </c>
    </row>
    <row r="12693" spans="1:6" ht="15.75" customHeight="1">
      <c r="A12693" s="5" t="str">
        <f ca="1">IFERROR(__xludf.DUMMYFUNCTION("GOOGLETRANSLATE(B32402,""en"",""pt"")"),"Rādhanpur")</f>
        <v>Rādhanpur</v>
      </c>
      <c r="B12693" s="17" t="s">
        <v>33204</v>
      </c>
      <c r="C12693" s="17" t="s">
        <v>10178</v>
      </c>
      <c r="D12693" s="17" t="s">
        <v>10209</v>
      </c>
      <c r="E12693" s="10">
        <v>1259069</v>
      </c>
      <c r="F12693" s="4" t="str">
        <f>IF(B12693=B12692,"",B12693)</f>
        <v>Rādhanpur</v>
      </c>
    </row>
    <row r="12694" spans="1:6" ht="15.75" customHeight="1">
      <c r="A12694" s="5" t="str">
        <f ca="1">IFERROR(__xludf.DUMMYFUNCTION("GOOGLETRANSLATE(B38941,""en"",""pt"")"),"Rādhan")</f>
        <v>Rādhan</v>
      </c>
      <c r="B12694" s="17" t="s">
        <v>34928</v>
      </c>
      <c r="C12694" s="17" t="s">
        <v>19808</v>
      </c>
      <c r="D12694" s="17" t="s">
        <v>19823</v>
      </c>
      <c r="E12694" s="10">
        <v>1167501</v>
      </c>
      <c r="F12694" s="4" t="str">
        <f>IF(B12694=B12693,"",B12694)</f>
        <v>Rādhan</v>
      </c>
    </row>
    <row r="12695" spans="1:6" ht="15.75" customHeight="1">
      <c r="A12695" s="5" t="s">
        <v>9019</v>
      </c>
      <c r="B12695" s="6" t="s">
        <v>9019</v>
      </c>
      <c r="C12695" s="5" t="s">
        <v>8028</v>
      </c>
      <c r="D12695" s="5" t="s">
        <v>8029</v>
      </c>
      <c r="E12695" s="2">
        <v>2850995</v>
      </c>
      <c r="F12695" s="4" t="str">
        <f>IF(B12695=B12694,"",B12695)</f>
        <v>Radevormwald</v>
      </c>
    </row>
    <row r="12696" spans="1:6" ht="15.75" customHeight="1">
      <c r="A12696" s="5" t="str">
        <f ca="1">IFERROR(__xludf.DUMMYFUNCTION("GOOGLETRANSLATE(B27628,""en"",""pt"")"),"Radevormwald")</f>
        <v>Radevormwald</v>
      </c>
      <c r="B12696" s="17" t="s">
        <v>9019</v>
      </c>
      <c r="C12696" s="17" t="s">
        <v>8028</v>
      </c>
      <c r="D12696" s="17" t="s">
        <v>8029</v>
      </c>
      <c r="E12696" s="10">
        <v>2850995</v>
      </c>
      <c r="F12696" s="4" t="str">
        <f>IF(B12696=B12695,"",B12696)</f>
        <v/>
      </c>
    </row>
    <row r="12697" spans="1:6" ht="15.75" customHeight="1">
      <c r="A12697" s="5" t="str">
        <f ca="1">IFERROR(__xludf.DUMMYFUNCTION("GOOGLETRANSLATE(B41804,""en"",""pt"")"),"Radès")</f>
        <v>Radès</v>
      </c>
      <c r="B12697" s="17" t="s">
        <v>35802</v>
      </c>
      <c r="C12697" s="17" t="s">
        <v>26090</v>
      </c>
      <c r="D12697" s="17" t="s">
        <v>35794</v>
      </c>
      <c r="E12697" s="10">
        <v>2467815</v>
      </c>
      <c r="F12697" s="4" t="str">
        <f>IF(B12697=B12696,"",B12697)</f>
        <v>Radès</v>
      </c>
    </row>
    <row r="12698" spans="1:6" ht="15.75" customHeight="1">
      <c r="A12698" s="6" t="s">
        <v>9018</v>
      </c>
      <c r="B12698" s="6" t="s">
        <v>9018</v>
      </c>
      <c r="C12698" s="6" t="s">
        <v>8028</v>
      </c>
      <c r="D12698" s="6" t="s">
        <v>8072</v>
      </c>
      <c r="E12698" s="2">
        <v>2851077</v>
      </c>
      <c r="F12698" s="4" t="str">
        <f>IF(B12698=B12697,"",B12698)</f>
        <v>Radebeul</v>
      </c>
    </row>
    <row r="12699" spans="1:6" ht="15.75" customHeight="1">
      <c r="A12699" s="5" t="str">
        <f ca="1">IFERROR(__xludf.DUMMYFUNCTION("GOOGLETRANSLATE(B27629,""en"",""pt"")"),"Radebeul")</f>
        <v>Radebeul</v>
      </c>
      <c r="B12699" s="17" t="s">
        <v>9018</v>
      </c>
      <c r="C12699" s="17" t="s">
        <v>8028</v>
      </c>
      <c r="D12699" s="17" t="s">
        <v>8072</v>
      </c>
      <c r="E12699" s="10">
        <v>2851077</v>
      </c>
      <c r="F12699" s="4" t="str">
        <f>IF(B12699=B12698,"",B12699)</f>
        <v/>
      </c>
    </row>
    <row r="12700" spans="1:6" ht="15.75" customHeight="1">
      <c r="A12700" s="6" t="s">
        <v>9017</v>
      </c>
      <c r="B12700" s="6" t="s">
        <v>9017</v>
      </c>
      <c r="C12700" s="6" t="s">
        <v>8028</v>
      </c>
      <c r="D12700" s="6" t="s">
        <v>8072</v>
      </c>
      <c r="E12700" s="2">
        <v>2851079</v>
      </c>
      <c r="F12700" s="4" t="str">
        <f>IF(B12700=B12699,"",B12700)</f>
        <v>Radeberg</v>
      </c>
    </row>
    <row r="12701" spans="1:6" ht="15.75" customHeight="1">
      <c r="A12701" s="5" t="str">
        <f ca="1">IFERROR(__xludf.DUMMYFUNCTION("GOOGLETRANSLATE(B27630,""en"",""pt"")"),"Radeberg")</f>
        <v>Radeberg</v>
      </c>
      <c r="B12701" s="17" t="s">
        <v>9017</v>
      </c>
      <c r="C12701" s="17" t="s">
        <v>8028</v>
      </c>
      <c r="D12701" s="17" t="s">
        <v>8072</v>
      </c>
      <c r="E12701" s="10">
        <v>2851079</v>
      </c>
      <c r="F12701" s="4" t="str">
        <f>IF(B12701=B12700,"",B12701)</f>
        <v/>
      </c>
    </row>
    <row r="12702" spans="1:6" ht="15.75" customHeight="1">
      <c r="A12702" s="6" t="s">
        <v>27619</v>
      </c>
      <c r="B12702" s="6" t="s">
        <v>27619</v>
      </c>
      <c r="C12702" s="6" t="s">
        <v>27234</v>
      </c>
      <c r="D12702" s="6" t="s">
        <v>27241</v>
      </c>
      <c r="E12702" s="2">
        <v>6691227</v>
      </c>
      <c r="F12702" s="4" t="str">
        <f>IF(B12702=B12701,"",B12702)</f>
        <v>Radcliffe</v>
      </c>
    </row>
    <row r="12703" spans="1:6" ht="15.75" customHeight="1">
      <c r="A12703" s="5" t="str">
        <f ca="1">IFERROR(__xludf.DUMMYFUNCTION("GOOGLETRANSLATE(B30799,""en"",""pt"")"),"Radcliffe")</f>
        <v>Radcliffe</v>
      </c>
      <c r="B12703" s="17" t="s">
        <v>27619</v>
      </c>
      <c r="C12703" s="17" t="s">
        <v>27234</v>
      </c>
      <c r="D12703" s="17" t="s">
        <v>27241</v>
      </c>
      <c r="E12703" s="10">
        <v>6691227</v>
      </c>
      <c r="F12703" s="4" t="str">
        <f>IF(B12703=B12702,"",B12703)</f>
        <v/>
      </c>
    </row>
    <row r="12704" spans="1:6" ht="15.75" customHeight="1">
      <c r="A12704" s="6" t="s">
        <v>29762</v>
      </c>
      <c r="B12704" s="6" t="s">
        <v>29762</v>
      </c>
      <c r="C12704" s="6" t="s">
        <v>27788</v>
      </c>
      <c r="D12704" s="6" t="s">
        <v>27909</v>
      </c>
      <c r="E12704" s="2">
        <v>4305504</v>
      </c>
      <c r="F12704" s="4" t="str">
        <f>IF(B12704=B12703,"",B12704)</f>
        <v>Radcliff</v>
      </c>
    </row>
    <row r="12705" spans="1:6" ht="15.75" customHeight="1">
      <c r="A12705" s="5" t="str">
        <f ca="1">IFERROR(__xludf.DUMMYFUNCTION("GOOGLETRANSLATE(B43217,""en"",""pt"")"),"Radcliff")</f>
        <v>Radcliff</v>
      </c>
      <c r="B12705" s="17" t="s">
        <v>29762</v>
      </c>
      <c r="C12705" s="17" t="s">
        <v>27788</v>
      </c>
      <c r="D12705" s="17" t="s">
        <v>27909</v>
      </c>
      <c r="E12705" s="10">
        <v>4305504</v>
      </c>
      <c r="F12705" s="4" t="str">
        <f>IF(B12705=B12704,"",B12705)</f>
        <v/>
      </c>
    </row>
    <row r="12706" spans="1:6" ht="15.75" customHeight="1">
      <c r="A12706" s="5" t="str">
        <f ca="1">IFERROR(__xludf.DUMMYFUNCTION("GOOGLETRANSLATE(B39759,""en"",""pt"")"),"Rădăuți")</f>
        <v>Rădăuți</v>
      </c>
      <c r="B12706" s="17" t="s">
        <v>35362</v>
      </c>
      <c r="C12706" s="17" t="s">
        <v>21824</v>
      </c>
      <c r="D12706" s="17" t="s">
        <v>21885</v>
      </c>
      <c r="E12706" s="10">
        <v>669289</v>
      </c>
      <c r="F12706" s="4" t="str">
        <f>IF(B12706=B12705,"",B12706)</f>
        <v>Rădăuți</v>
      </c>
    </row>
    <row r="12707" spans="1:6" ht="15.75" customHeight="1">
      <c r="A12707" s="6" t="s">
        <v>26181</v>
      </c>
      <c r="B12707" s="6" t="s">
        <v>26182</v>
      </c>
      <c r="C12707" s="6" t="s">
        <v>26090</v>
      </c>
      <c r="D12707" s="6" t="s">
        <v>26094</v>
      </c>
      <c r="E12707" s="2">
        <v>2467815</v>
      </c>
      <c r="F12707" s="4" t="str">
        <f>IF(B12707=B12706,"",B12707)</f>
        <v>RadÃ¨s</v>
      </c>
    </row>
    <row r="12708" spans="1:6" ht="15.75" customHeight="1">
      <c r="A12708" s="6" t="s">
        <v>29761</v>
      </c>
      <c r="B12708" s="6" t="s">
        <v>29761</v>
      </c>
      <c r="C12708" s="6" t="s">
        <v>27788</v>
      </c>
      <c r="D12708" s="6" t="s">
        <v>27890</v>
      </c>
      <c r="E12708" s="2">
        <v>5268249</v>
      </c>
      <c r="F12708" s="4" t="str">
        <f>IF(B12708=B12707,"",B12708)</f>
        <v>Racine</v>
      </c>
    </row>
    <row r="12709" spans="1:6" ht="15.75" customHeight="1">
      <c r="A12709" s="5" t="str">
        <f ca="1">IFERROR(__xludf.DUMMYFUNCTION("GOOGLETRANSLATE(B44670,""en"",""pt"")"),"Racine")</f>
        <v>Racine</v>
      </c>
      <c r="B12709" s="17" t="s">
        <v>29761</v>
      </c>
      <c r="C12709" s="17" t="s">
        <v>27788</v>
      </c>
      <c r="D12709" s="17" t="s">
        <v>27890</v>
      </c>
      <c r="E12709" s="10">
        <v>5268249</v>
      </c>
      <c r="F12709" s="4" t="str">
        <f>IF(B12709=B12708,"",B12709)</f>
        <v/>
      </c>
    </row>
    <row r="12710" spans="1:6" ht="15.75" customHeight="1">
      <c r="A12710" s="5" t="str">
        <f ca="1">IFERROR(__xludf.DUMMYFUNCTION("GOOGLETRANSLATE(B39369,""en"",""pt"")"),"Racibór")</f>
        <v>Racibór</v>
      </c>
      <c r="B12710" s="17" t="s">
        <v>35176</v>
      </c>
      <c r="C12710" s="17" t="s">
        <v>21064</v>
      </c>
      <c r="D12710" s="17" t="s">
        <v>21073</v>
      </c>
      <c r="E12710" s="10">
        <v>3087584</v>
      </c>
      <c r="F12710" s="4" t="str">
        <f>IF(B12710=B12709,"",B12710)</f>
        <v>Racibórz</v>
      </c>
    </row>
    <row r="12711" spans="1:6" ht="15.75" customHeight="1">
      <c r="A12711" s="6" t="s">
        <v>21454</v>
      </c>
      <c r="B12711" s="6" t="s">
        <v>21455</v>
      </c>
      <c r="C12711" s="6" t="s">
        <v>21064</v>
      </c>
      <c r="D12711" s="6" t="s">
        <v>21073</v>
      </c>
      <c r="E12711" s="2">
        <v>3087584</v>
      </c>
      <c r="F12711" s="4" t="str">
        <f>IF(B12711=B12710,"",B12711)</f>
        <v>RacibÃ³rz</v>
      </c>
    </row>
    <row r="12712" spans="1:6" ht="15.75" customHeight="1">
      <c r="A12712" s="5" t="str">
        <f ca="1">IFERROR(__xludf.DUMMYFUNCTION("GOOGLETRANSLATE(B45735,""en"",""pt"")"),"Rạch Giá")</f>
        <v>Rạch Giá</v>
      </c>
      <c r="B12712" s="17" t="s">
        <v>36140</v>
      </c>
      <c r="C12712" s="17" t="s">
        <v>30784</v>
      </c>
      <c r="D12712" s="17" t="s">
        <v>36141</v>
      </c>
      <c r="E12712" s="10">
        <v>1568510</v>
      </c>
      <c r="F12712" s="4" t="str">
        <f>IF(B12712=B12711,"",B12712)</f>
        <v>Rạch Giá</v>
      </c>
    </row>
    <row r="12713" spans="1:6" ht="15.75" customHeight="1">
      <c r="A12713" s="5" t="str">
        <f ca="1">IFERROR(__xludf.DUMMYFUNCTION("GOOGLETRANSLATE(B38942,""en"",""pt"")"),"Rabwāh")</f>
        <v>Rabwāh</v>
      </c>
      <c r="B12713" s="17" t="s">
        <v>34929</v>
      </c>
      <c r="C12713" s="17" t="s">
        <v>19808</v>
      </c>
      <c r="D12713" s="17" t="s">
        <v>10184</v>
      </c>
      <c r="E12713" s="10">
        <v>1167507</v>
      </c>
      <c r="F12713" s="4" t="str">
        <f>IF(B12713=B12712,"",B12713)</f>
        <v>Rabwāh</v>
      </c>
    </row>
    <row r="12714" spans="1:6" ht="15.75" customHeight="1">
      <c r="A12714" s="6" t="s">
        <v>20184</v>
      </c>
      <c r="B12714" s="6" t="s">
        <v>20185</v>
      </c>
      <c r="C12714" s="6" t="s">
        <v>19808</v>
      </c>
      <c r="D12714" s="6" t="s">
        <v>10184</v>
      </c>
      <c r="E12714" s="2">
        <v>1167507</v>
      </c>
      <c r="F12714" s="4" t="str">
        <f>IF(B12714=B12713,"",B12714)</f>
        <v>RabwÄh</v>
      </c>
    </row>
    <row r="12715" spans="1:6" ht="15.75" customHeight="1">
      <c r="A12715" s="6" t="s">
        <v>13067</v>
      </c>
      <c r="B12715" s="6" t="s">
        <v>13067</v>
      </c>
      <c r="C12715" s="6" t="s">
        <v>10178</v>
      </c>
      <c r="D12715" s="6" t="s">
        <v>10252</v>
      </c>
      <c r="E12715" s="2">
        <v>1259083</v>
      </c>
      <c r="F12715" s="4" t="str">
        <f>IF(B12715=B12714,"",B12715)</f>
        <v>Rabkavi</v>
      </c>
    </row>
    <row r="12716" spans="1:6" ht="15.75" customHeight="1">
      <c r="A12716" s="5" t="str">
        <f ca="1">IFERROR(__xludf.DUMMYFUNCTION("GOOGLETRANSLATE(B32403,""en"",""pt"")"),"Rabkavi")</f>
        <v>Rabkavi</v>
      </c>
      <c r="B12716" s="17" t="s">
        <v>13067</v>
      </c>
      <c r="C12716" s="17" t="s">
        <v>10178</v>
      </c>
      <c r="D12716" s="17" t="s">
        <v>10252</v>
      </c>
      <c r="E12716" s="10">
        <v>1259083</v>
      </c>
      <c r="F12716" s="4" t="str">
        <f>IF(B12716=B12715,"",B12716)</f>
        <v/>
      </c>
    </row>
    <row r="12717" spans="1:6" ht="15.75" customHeight="1">
      <c r="A12717" s="5" t="str">
        <f ca="1">IFERROR(__xludf.DUMMYFUNCTION("GOOGLETRANSLATE(B41023,""en"",""pt"")"),"Rābigh")</f>
        <v>Rābigh</v>
      </c>
      <c r="B12717" s="17" t="s">
        <v>35579</v>
      </c>
      <c r="C12717" s="17" t="s">
        <v>23454</v>
      </c>
      <c r="D12717" s="17" t="s">
        <v>23491</v>
      </c>
      <c r="E12717" s="10">
        <v>103035</v>
      </c>
      <c r="F12717" s="4" t="str">
        <f>IF(B12717=B12716,"",B12717)</f>
        <v>Rābigh</v>
      </c>
    </row>
    <row r="12718" spans="1:6" ht="15.75" customHeight="1">
      <c r="A12718" s="6" t="s">
        <v>18619</v>
      </c>
      <c r="B12718" s="6" t="s">
        <v>18619</v>
      </c>
      <c r="C12718" s="6" t="s">
        <v>18551</v>
      </c>
      <c r="D12718" s="6" t="s">
        <v>18598</v>
      </c>
      <c r="E12718" s="2">
        <v>2538475</v>
      </c>
      <c r="F12718" s="4" t="str">
        <f>IF(B12718=B12717,"",B12718)</f>
        <v>Rabat</v>
      </c>
    </row>
    <row r="12719" spans="1:6" ht="15.75" customHeight="1">
      <c r="A12719" s="5" t="str">
        <f ca="1">IFERROR(__xludf.DUMMYFUNCTION("GOOGLETRANSLATE(B36478,""en"",""pt"")"),"Rabat")</f>
        <v>Rabat</v>
      </c>
      <c r="B12719" s="17" t="s">
        <v>18619</v>
      </c>
      <c r="C12719" s="17" t="s">
        <v>18551</v>
      </c>
      <c r="D12719" s="17" t="s">
        <v>34585</v>
      </c>
      <c r="E12719" s="10">
        <v>2538475</v>
      </c>
      <c r="F12719" s="4" t="str">
        <f>IF(B12719=B12718,"",B12719)</f>
        <v/>
      </c>
    </row>
    <row r="12720" spans="1:6" ht="15.75" customHeight="1">
      <c r="A12720" s="6" t="s">
        <v>25049</v>
      </c>
      <c r="B12720" s="6" t="s">
        <v>25049</v>
      </c>
      <c r="C12720" s="6" t="s">
        <v>24987</v>
      </c>
      <c r="D12720" s="6" t="s">
        <v>24994</v>
      </c>
      <c r="E12720" s="2">
        <v>368277</v>
      </c>
      <c r="F12720" s="4" t="str">
        <f>IF(B12720=B12719,"",B12720)</f>
        <v>Rabak</v>
      </c>
    </row>
    <row r="12721" spans="1:6" ht="15.75" customHeight="1">
      <c r="A12721" s="5" t="str">
        <f ca="1">IFERROR(__xludf.DUMMYFUNCTION("GOOGLETRANSLATE(B41081,""en"",""pt"")"),"Rabak")</f>
        <v>Rabak</v>
      </c>
      <c r="B12721" s="17" t="s">
        <v>25049</v>
      </c>
      <c r="C12721" s="17" t="s">
        <v>24987</v>
      </c>
      <c r="D12721" s="17" t="s">
        <v>24994</v>
      </c>
      <c r="E12721" s="10">
        <v>368277</v>
      </c>
      <c r="F12721" s="4" t="str">
        <f>IF(B12721=B12720,"",B12721)</f>
        <v/>
      </c>
    </row>
    <row r="12722" spans="1:6" ht="15.75" customHeight="1">
      <c r="A12722" s="6" t="s">
        <v>14862</v>
      </c>
      <c r="B12722" s="6" t="s">
        <v>14862</v>
      </c>
      <c r="C12722" s="6" t="s">
        <v>14773</v>
      </c>
      <c r="D12722" s="6" t="s">
        <v>14800</v>
      </c>
      <c r="E12722" s="2">
        <v>293807</v>
      </c>
      <c r="F12722" s="4" t="str">
        <f>IF(B12722=B12721,"",B12722)</f>
        <v>Ra'anana</v>
      </c>
    </row>
    <row r="12723" spans="1:6" ht="15.75" customHeight="1">
      <c r="A12723" s="5" t="str">
        <f ca="1">IFERROR(__xludf.DUMMYFUNCTION("GOOGLETRANSLATE(B31774,""en"",""pt"")"),"Ra'anana")</f>
        <v>Ra'anana</v>
      </c>
      <c r="B12723" s="17" t="s">
        <v>14862</v>
      </c>
      <c r="C12723" s="17" t="s">
        <v>14773</v>
      </c>
      <c r="D12723" s="17" t="s">
        <v>14800</v>
      </c>
      <c r="E12723" s="10">
        <v>293807</v>
      </c>
      <c r="F12723" s="4" t="str">
        <f>IF(B12723=B12722,"",B12723)</f>
        <v/>
      </c>
    </row>
    <row r="12724" spans="1:6" ht="15.75" customHeight="1">
      <c r="A12724" s="6" t="s">
        <v>19069</v>
      </c>
      <c r="B12724" s="6" t="s">
        <v>19069</v>
      </c>
      <c r="C12724" s="6" t="s">
        <v>18862</v>
      </c>
      <c r="D12724" s="6" t="s">
        <v>18871</v>
      </c>
      <c r="E12724" s="2">
        <v>2748371</v>
      </c>
      <c r="F12724" s="4" t="str">
        <f>IF(B12724=B12723,"",B12724)</f>
        <v>Raalte</v>
      </c>
    </row>
    <row r="12725" spans="1:6" ht="15.75" customHeight="1">
      <c r="A12725" s="5" t="str">
        <f ca="1">IFERROR(__xludf.DUMMYFUNCTION("GOOGLETRANSLATE(B37971,""en"",""pt"")"),"Raalte")</f>
        <v>Raalte</v>
      </c>
      <c r="B12725" s="17" t="s">
        <v>19069</v>
      </c>
      <c r="C12725" s="17" t="s">
        <v>18862</v>
      </c>
      <c r="D12725" s="17" t="s">
        <v>18871</v>
      </c>
      <c r="E12725" s="10">
        <v>2748371</v>
      </c>
      <c r="F12725" s="4" t="str">
        <f>IF(B12725=B12724,"",B12725)</f>
        <v/>
      </c>
    </row>
    <row r="12726" spans="1:6" ht="15.75" customHeight="1">
      <c r="A12726" s="6" t="s">
        <v>7024</v>
      </c>
      <c r="B12726" s="6" t="s">
        <v>7024</v>
      </c>
      <c r="C12726" s="6" t="s">
        <v>6948</v>
      </c>
      <c r="D12726" s="6" t="s">
        <v>6959</v>
      </c>
      <c r="E12726" s="2">
        <v>640276</v>
      </c>
      <c r="F12726" s="4" t="str">
        <f>IF(B12726=B12725,"",B12726)</f>
        <v>Raahe</v>
      </c>
    </row>
    <row r="12727" spans="1:6" ht="15.75" customHeight="1">
      <c r="A12727" s="5" t="str">
        <f ca="1">IFERROR(__xludf.DUMMYFUNCTION("GOOGLETRANSLATE(B29617,""en"",""pt"")"),"Raahe")</f>
        <v>Raahe</v>
      </c>
      <c r="B12727" s="17" t="s">
        <v>7024</v>
      </c>
      <c r="C12727" s="17" t="s">
        <v>6948</v>
      </c>
      <c r="D12727" s="17" t="s">
        <v>6959</v>
      </c>
      <c r="E12727" s="10">
        <v>640276</v>
      </c>
      <c r="F12727" s="4" t="str">
        <f>IF(B12727=B12726,"",B12727)</f>
        <v/>
      </c>
    </row>
    <row r="12728" spans="1:6" ht="15.75" customHeight="1">
      <c r="A12728" s="5" t="s">
        <v>17028</v>
      </c>
      <c r="B12728" s="6" t="s">
        <v>17029</v>
      </c>
      <c r="C12728" s="5" t="s">
        <v>17008</v>
      </c>
      <c r="D12728" s="5" t="s">
        <v>17015</v>
      </c>
      <c r="E12728" s="2">
        <v>268743</v>
      </c>
      <c r="F12728" s="4" t="str">
        <f>IF(B12728=B12727,"",B12728)</f>
        <v>Raâ€™s BayrÅ«t</v>
      </c>
    </row>
    <row r="12729" spans="1:6" ht="15.75" customHeight="1">
      <c r="A12729" s="5" t="s">
        <v>23541</v>
      </c>
      <c r="B12729" s="6" t="s">
        <v>23542</v>
      </c>
      <c r="C12729" s="5" t="s">
        <v>23454</v>
      </c>
      <c r="D12729" s="5" t="s">
        <v>6128</v>
      </c>
      <c r="E12729" s="2">
        <v>102985</v>
      </c>
      <c r="F12729" s="4" t="str">
        <f>IF(B12729=B12728,"",B12729)</f>
        <v>Raá¸©Ä«mah</v>
      </c>
    </row>
    <row r="12730" spans="1:6" ht="15.75" customHeight="1">
      <c r="A12730" s="6" t="s">
        <v>9630</v>
      </c>
      <c r="B12730" s="6" t="s">
        <v>9631</v>
      </c>
      <c r="C12730" s="6" t="s">
        <v>9441</v>
      </c>
      <c r="D12730" s="6" t="s">
        <v>9562</v>
      </c>
      <c r="E12730" s="2">
        <v>400666</v>
      </c>
      <c r="F12730" s="4" t="str">
        <f>IF(B12730=B12729,"",B12730)</f>
        <v>RÃ³dos</v>
      </c>
    </row>
    <row r="12731" spans="1:6" ht="15.75" customHeight="1">
      <c r="A12731" s="5" t="s">
        <v>9015</v>
      </c>
      <c r="B12731" s="6" t="s">
        <v>9016</v>
      </c>
      <c r="C12731" s="5" t="s">
        <v>8028</v>
      </c>
      <c r="D12731" s="5" t="s">
        <v>8050</v>
      </c>
      <c r="E12731" s="2">
        <v>2842884</v>
      </c>
      <c r="F12731" s="4" t="str">
        <f>IF(B12731=B12730,"",B12731)</f>
        <v>RÃ¼sselsheim</v>
      </c>
    </row>
    <row r="12732" spans="1:6" ht="15.75" customHeight="1">
      <c r="A12732" s="6" t="s">
        <v>13065</v>
      </c>
      <c r="B12732" s="6" t="s">
        <v>13066</v>
      </c>
      <c r="C12732" s="6" t="s">
        <v>10178</v>
      </c>
      <c r="D12732" s="6" t="s">
        <v>10190</v>
      </c>
      <c r="E12732" s="2">
        <v>1258270</v>
      </c>
      <c r="F12732" s="4" t="str">
        <f>IF(B12732=B12731,"",B12732)</f>
        <v>RÄzÄm</v>
      </c>
    </row>
    <row r="12733" spans="1:6" ht="15.75" customHeight="1">
      <c r="A12733" s="6" t="s">
        <v>13063</v>
      </c>
      <c r="B12733" s="6" t="s">
        <v>13064</v>
      </c>
      <c r="C12733" s="6" t="s">
        <v>10178</v>
      </c>
      <c r="D12733" s="6" t="s">
        <v>10252</v>
      </c>
      <c r="E12733" s="2">
        <v>1258278</v>
      </c>
      <c r="F12733" s="4" t="str">
        <f>IF(B12733=B12732,"",B12733)</f>
        <v>RÄybÄg</v>
      </c>
    </row>
    <row r="12734" spans="1:6" ht="15.75" customHeight="1">
      <c r="A12734" s="5" t="s">
        <v>13061</v>
      </c>
      <c r="B12734" s="6" t="s">
        <v>13062</v>
      </c>
      <c r="C12734" s="5" t="s">
        <v>10178</v>
      </c>
      <c r="D12734" s="5" t="s">
        <v>10190</v>
      </c>
      <c r="E12734" s="2">
        <v>1258290</v>
      </c>
      <c r="F12734" s="4" t="str">
        <f>IF(B12734=B12733,"",B12734)</f>
        <v>RÄyadrug</v>
      </c>
    </row>
    <row r="12735" spans="1:6" ht="15.75" customHeight="1">
      <c r="A12735" s="5" t="s">
        <v>13059</v>
      </c>
      <c r="B12735" s="6" t="s">
        <v>13060</v>
      </c>
      <c r="C12735" s="5" t="s">
        <v>10178</v>
      </c>
      <c r="D12735" s="5" t="s">
        <v>10190</v>
      </c>
      <c r="E12735" s="2">
        <v>1258291</v>
      </c>
      <c r="F12735" s="4" t="str">
        <f>IF(B12735=B12734,"",B12735)</f>
        <v>RÄyachoti</v>
      </c>
    </row>
    <row r="12736" spans="1:6" ht="15.75" customHeight="1">
      <c r="A12736" s="6" t="s">
        <v>13057</v>
      </c>
      <c r="B12736" s="6" t="s">
        <v>13058</v>
      </c>
      <c r="C12736" s="6" t="s">
        <v>10178</v>
      </c>
      <c r="D12736" s="6" t="s">
        <v>10193</v>
      </c>
      <c r="E12736" s="2">
        <v>1258292</v>
      </c>
      <c r="F12736" s="4" t="str">
        <f>IF(B12736=B12735,"",B12736)</f>
        <v>RÄya</v>
      </c>
    </row>
    <row r="12737" spans="1:6" ht="15.75" customHeight="1">
      <c r="A12737" s="5" t="s">
        <v>13055</v>
      </c>
      <c r="B12737" s="6" t="s">
        <v>13056</v>
      </c>
      <c r="C12737" s="5" t="s">
        <v>10178</v>
      </c>
      <c r="D12737" s="5" t="s">
        <v>10179</v>
      </c>
      <c r="E12737" s="2">
        <v>1258295</v>
      </c>
      <c r="F12737" s="4" t="str">
        <f>IF(B12737=B12736,"",B12737)</f>
        <v>RÄwatsÄr</v>
      </c>
    </row>
    <row r="12738" spans="1:6" ht="15.75" customHeight="1">
      <c r="A12738" s="5" t="s">
        <v>13053</v>
      </c>
      <c r="B12738" s="6" t="s">
        <v>13054</v>
      </c>
      <c r="C12738" s="5" t="s">
        <v>10178</v>
      </c>
      <c r="D12738" s="5" t="s">
        <v>10179</v>
      </c>
      <c r="E12738" s="2">
        <v>1258297</v>
      </c>
      <c r="F12738" s="4" t="str">
        <f>IF(B12738=B12737,"",B12738)</f>
        <v>RÄwatbhÄta</v>
      </c>
    </row>
    <row r="12739" spans="1:6" ht="15.75" customHeight="1">
      <c r="A12739" s="5" t="s">
        <v>20182</v>
      </c>
      <c r="B12739" s="6" t="s">
        <v>20183</v>
      </c>
      <c r="C12739" s="5" t="s">
        <v>19808</v>
      </c>
      <c r="D12739" s="5" t="s">
        <v>19845</v>
      </c>
      <c r="E12739" s="2">
        <v>1161983</v>
      </c>
      <c r="F12739" s="4" t="str">
        <f>IF(B12739=B12738,"",B12739)</f>
        <v>RÄwala Kot</v>
      </c>
    </row>
    <row r="12740" spans="1:6" ht="15.75" customHeight="1">
      <c r="A12740" s="6" t="s">
        <v>14708</v>
      </c>
      <c r="B12740" s="6" t="s">
        <v>14709</v>
      </c>
      <c r="C12740" s="6" t="s">
        <v>14594</v>
      </c>
      <c r="D12740" s="6" t="s">
        <v>14595</v>
      </c>
      <c r="E12740" s="2">
        <v>92004</v>
      </c>
      <c r="F12740" s="4" t="str">
        <f>IF(B12740=B12739,"",B12740)</f>
        <v>RÄwah</v>
      </c>
    </row>
    <row r="12741" spans="1:6" ht="15.75" customHeight="1">
      <c r="A12741" s="6" t="s">
        <v>13051</v>
      </c>
      <c r="B12741" s="6" t="s">
        <v>13052</v>
      </c>
      <c r="C12741" s="6" t="s">
        <v>10178</v>
      </c>
      <c r="D12741" s="6" t="s">
        <v>10214</v>
      </c>
      <c r="E12741" s="2">
        <v>1258307</v>
      </c>
      <c r="F12741" s="4" t="str">
        <f>IF(B12741=B12740,"",B12741)</f>
        <v>RÄver</v>
      </c>
    </row>
    <row r="12742" spans="1:6" ht="15.75" customHeight="1">
      <c r="A12742" s="6" t="s">
        <v>14518</v>
      </c>
      <c r="B12742" s="6" t="s">
        <v>14519</v>
      </c>
      <c r="C12742" s="6" t="s">
        <v>14240</v>
      </c>
      <c r="D12742" s="6" t="s">
        <v>14317</v>
      </c>
      <c r="E12742" s="2">
        <v>118704</v>
      </c>
      <c r="F12742" s="4" t="str">
        <f>IF(B12742=B12741,"",B12742)</f>
        <v>RÄvar</v>
      </c>
    </row>
    <row r="12743" spans="1:6" ht="15.75" customHeight="1">
      <c r="A12743" s="6" t="s">
        <v>13049</v>
      </c>
      <c r="B12743" s="6" t="s">
        <v>13050</v>
      </c>
      <c r="C12743" s="6" t="s">
        <v>10178</v>
      </c>
      <c r="D12743" s="6" t="s">
        <v>10193</v>
      </c>
      <c r="E12743" s="2">
        <v>1258352</v>
      </c>
      <c r="F12743" s="4" t="str">
        <f>IF(B12743=B12742,"",B12743)</f>
        <v>RÄth</v>
      </c>
    </row>
    <row r="12744" spans="1:6" ht="15.75" customHeight="1">
      <c r="A12744" s="6" t="s">
        <v>13047</v>
      </c>
      <c r="B12744" s="6" t="s">
        <v>13048</v>
      </c>
      <c r="C12744" s="6" t="s">
        <v>10178</v>
      </c>
      <c r="D12744" s="6" t="s">
        <v>10209</v>
      </c>
      <c r="E12744" s="2">
        <v>1258406</v>
      </c>
      <c r="F12744" s="4" t="str">
        <f>IF(B12744=B12743,"",B12744)</f>
        <v>RÄpar</v>
      </c>
    </row>
    <row r="12745" spans="1:6" ht="15.75" customHeight="1">
      <c r="A12745" s="6" t="s">
        <v>13045</v>
      </c>
      <c r="B12745" s="6" t="s">
        <v>13046</v>
      </c>
      <c r="C12745" s="6" t="s">
        <v>10178</v>
      </c>
      <c r="D12745" s="6" t="s">
        <v>10299</v>
      </c>
      <c r="E12745" s="2">
        <v>1258455</v>
      </c>
      <c r="F12745" s="4" t="str">
        <f>IF(B12745=B12744,"",B12745)</f>
        <v>RÄnikhet</v>
      </c>
    </row>
    <row r="12746" spans="1:6" ht="15.75" customHeight="1">
      <c r="A12746" s="6" t="s">
        <v>13043</v>
      </c>
      <c r="B12746" s="6" t="s">
        <v>13044</v>
      </c>
      <c r="C12746" s="6" t="s">
        <v>10178</v>
      </c>
      <c r="D12746" s="6" t="s">
        <v>10224</v>
      </c>
      <c r="E12746" s="2">
        <v>1258477</v>
      </c>
      <c r="F12746" s="4" t="str">
        <f>IF(B12746=B12745,"",B12746)</f>
        <v>RÄnia</v>
      </c>
    </row>
    <row r="12747" spans="1:6" ht="15.75" customHeight="1">
      <c r="A12747" s="5" t="s">
        <v>13041</v>
      </c>
      <c r="B12747" s="6" t="s">
        <v>13042</v>
      </c>
      <c r="C12747" s="5" t="s">
        <v>10178</v>
      </c>
      <c r="D12747" s="5" t="s">
        <v>10209</v>
      </c>
      <c r="E12747" s="2">
        <v>1258534</v>
      </c>
      <c r="F12747" s="4" t="str">
        <f>IF(B12747=B12746,"",B12747)</f>
        <v>RÄnÄvÄv</v>
      </c>
    </row>
    <row r="12748" spans="1:6" ht="15.75" customHeight="1">
      <c r="A12748" s="5" t="s">
        <v>13039</v>
      </c>
      <c r="B12748" s="6" t="s">
        <v>13040</v>
      </c>
      <c r="C12748" s="5" t="s">
        <v>10178</v>
      </c>
      <c r="D12748" s="5" t="s">
        <v>10201</v>
      </c>
      <c r="E12748" s="2">
        <v>1258546</v>
      </c>
      <c r="F12748" s="4" t="str">
        <f>IF(B12748=B12747,"",B12748)</f>
        <v>RÄnÄghÄt</v>
      </c>
    </row>
    <row r="12749" spans="1:6" ht="15.75" customHeight="1">
      <c r="A12749" s="5" t="s">
        <v>13037</v>
      </c>
      <c r="B12749" s="6" t="s">
        <v>13038</v>
      </c>
      <c r="C12749" s="5" t="s">
        <v>10178</v>
      </c>
      <c r="D12749" s="5" t="s">
        <v>10193</v>
      </c>
      <c r="E12749" s="2">
        <v>1258449</v>
      </c>
      <c r="F12749" s="4" t="str">
        <f>IF(B12749=B12748,"",B12749)</f>
        <v>RÄnÄ«pur</v>
      </c>
    </row>
    <row r="12750" spans="1:6" ht="15.75" customHeight="1">
      <c r="A12750" s="5" t="s">
        <v>13037</v>
      </c>
      <c r="B12750" s="6" t="s">
        <v>13038</v>
      </c>
      <c r="C12750" s="5" t="s">
        <v>19808</v>
      </c>
      <c r="D12750" s="5" t="s">
        <v>19823</v>
      </c>
      <c r="E12750" s="2">
        <v>1167142</v>
      </c>
      <c r="F12750" s="4" t="str">
        <f>IF(B12750=B12749,"",B12750)</f>
        <v/>
      </c>
    </row>
    <row r="12751" spans="1:6" ht="15.75" customHeight="1">
      <c r="A12751" s="5" t="s">
        <v>13035</v>
      </c>
      <c r="B12751" s="6" t="s">
        <v>13036</v>
      </c>
      <c r="C12751" s="5" t="s">
        <v>10178</v>
      </c>
      <c r="D12751" s="5" t="s">
        <v>10201</v>
      </c>
      <c r="E12751" s="2">
        <v>1258470</v>
      </c>
      <c r="F12751" s="4" t="str">
        <f>IF(B12751=B12750,"",B12751)</f>
        <v>RÄnÄ«ganj</v>
      </c>
    </row>
    <row r="12752" spans="1:6" ht="15.75" customHeight="1">
      <c r="A12752" s="5" t="s">
        <v>13033</v>
      </c>
      <c r="B12752" s="6" t="s">
        <v>13034</v>
      </c>
      <c r="C12752" s="5" t="s">
        <v>10178</v>
      </c>
      <c r="D12752" s="5" t="s">
        <v>10252</v>
      </c>
      <c r="E12752" s="2">
        <v>1258474</v>
      </c>
      <c r="F12752" s="4" t="str">
        <f>IF(B12752=B12751,"",B12752)</f>
        <v>RÄnÄ«bennur</v>
      </c>
    </row>
    <row r="12753" spans="1:6" ht="15.75" customHeight="1">
      <c r="A12753" s="6" t="s">
        <v>13031</v>
      </c>
      <c r="B12753" s="6" t="s">
        <v>13032</v>
      </c>
      <c r="C12753" s="6" t="s">
        <v>10178</v>
      </c>
      <c r="D12753" s="6" t="s">
        <v>10214</v>
      </c>
      <c r="E12753" s="2">
        <v>1258553</v>
      </c>
      <c r="F12753" s="4" t="str">
        <f>IF(B12753=B12752,"",B12753)</f>
        <v>RÄmtek</v>
      </c>
    </row>
    <row r="12754" spans="1:6" ht="15.75" customHeight="1">
      <c r="A12754" s="5" t="s">
        <v>14516</v>
      </c>
      <c r="B12754" s="6" t="s">
        <v>14517</v>
      </c>
      <c r="C12754" s="5" t="s">
        <v>14240</v>
      </c>
      <c r="D12754" s="5" t="s">
        <v>14271</v>
      </c>
      <c r="E12754" s="2">
        <v>118805</v>
      </c>
      <c r="F12754" s="4" t="str">
        <f>IF(B12754=B12753,"",B12754)</f>
        <v>RÄmshÄ«r</v>
      </c>
    </row>
    <row r="12755" spans="1:6" ht="15.75" customHeight="1">
      <c r="A12755" s="6" t="s">
        <v>13029</v>
      </c>
      <c r="B12755" s="6" t="s">
        <v>13030</v>
      </c>
      <c r="C12755" s="6" t="s">
        <v>10178</v>
      </c>
      <c r="D12755" s="6" t="s">
        <v>10184</v>
      </c>
      <c r="E12755" s="2">
        <v>1258584</v>
      </c>
      <c r="F12755" s="4" t="str">
        <f>IF(B12755=B12754,"",B12755)</f>
        <v>RÄmpura</v>
      </c>
    </row>
    <row r="12756" spans="1:6" ht="15.75" customHeight="1">
      <c r="A12756" s="6" t="s">
        <v>13029</v>
      </c>
      <c r="B12756" s="6" t="s">
        <v>13030</v>
      </c>
      <c r="C12756" s="6" t="s">
        <v>10178</v>
      </c>
      <c r="D12756" s="6" t="s">
        <v>10219</v>
      </c>
      <c r="E12756" s="2">
        <v>1258592</v>
      </c>
      <c r="F12756" s="4" t="str">
        <f>IF(B12756=B12755,"",B12756)</f>
        <v/>
      </c>
    </row>
    <row r="12757" spans="1:6" ht="15.75" customHeight="1">
      <c r="A12757" s="6" t="s">
        <v>13027</v>
      </c>
      <c r="B12757" s="6" t="s">
        <v>13028</v>
      </c>
      <c r="C12757" s="6" t="s">
        <v>10178</v>
      </c>
      <c r="D12757" s="6" t="s">
        <v>10193</v>
      </c>
      <c r="E12757" s="2">
        <v>1258598</v>
      </c>
      <c r="F12757" s="4" t="str">
        <f>IF(B12757=B12756,"",B12757)</f>
        <v>RÄmpur</v>
      </c>
    </row>
    <row r="12758" spans="1:6" ht="15.75" customHeight="1">
      <c r="A12758" s="6" t="s">
        <v>13027</v>
      </c>
      <c r="B12758" s="6" t="s">
        <v>13028</v>
      </c>
      <c r="C12758" s="6" t="s">
        <v>10178</v>
      </c>
      <c r="D12758" s="6" t="s">
        <v>10193</v>
      </c>
      <c r="E12758" s="2">
        <v>1258599</v>
      </c>
      <c r="F12758" s="4" t="str">
        <f>IF(B12758=B12757,"",B12758)</f>
        <v/>
      </c>
    </row>
    <row r="12759" spans="1:6" ht="15.75" customHeight="1">
      <c r="A12759" s="5" t="s">
        <v>13025</v>
      </c>
      <c r="B12759" s="6" t="s">
        <v>13026</v>
      </c>
      <c r="C12759" s="5" t="s">
        <v>10178</v>
      </c>
      <c r="D12759" s="5" t="s">
        <v>10299</v>
      </c>
      <c r="E12759" s="2">
        <v>1258637</v>
      </c>
      <c r="F12759" s="4" t="str">
        <f>IF(B12759=B12758,"",B12759)</f>
        <v>RÄmnagar</v>
      </c>
    </row>
    <row r="12760" spans="1:6" ht="15.75" customHeight="1">
      <c r="A12760" s="5" t="s">
        <v>13025</v>
      </c>
      <c r="B12760" s="6" t="s">
        <v>13026</v>
      </c>
      <c r="C12760" s="5" t="s">
        <v>10178</v>
      </c>
      <c r="D12760" s="5" t="s">
        <v>10317</v>
      </c>
      <c r="E12760" s="2">
        <v>1258639</v>
      </c>
      <c r="F12760" s="4" t="str">
        <f>IF(B12760=B12759,"",B12760)</f>
        <v/>
      </c>
    </row>
    <row r="12761" spans="1:6" ht="15.75" customHeight="1">
      <c r="A12761" s="5" t="s">
        <v>13025</v>
      </c>
      <c r="B12761" s="6" t="s">
        <v>13026</v>
      </c>
      <c r="C12761" s="5" t="s">
        <v>10178</v>
      </c>
      <c r="D12761" s="5" t="s">
        <v>10193</v>
      </c>
      <c r="E12761" s="2">
        <v>1258642</v>
      </c>
      <c r="F12761" s="4" t="str">
        <f>IF(B12761=B12760,"",B12761)</f>
        <v/>
      </c>
    </row>
    <row r="12762" spans="1:6" ht="15.75" customHeight="1">
      <c r="A12762" s="5" t="s">
        <v>13023</v>
      </c>
      <c r="B12762" s="6" t="s">
        <v>13024</v>
      </c>
      <c r="C12762" s="5" t="s">
        <v>10178</v>
      </c>
      <c r="D12762" s="5" t="s">
        <v>10201</v>
      </c>
      <c r="E12762" s="2">
        <v>1258658</v>
      </c>
      <c r="F12762" s="4" t="str">
        <f>IF(B12762=B12761,"",B12762)</f>
        <v>RÄmjÄ«banpur</v>
      </c>
    </row>
    <row r="12763" spans="1:6" ht="15.75" customHeight="1">
      <c r="A12763" s="5" t="s">
        <v>14514</v>
      </c>
      <c r="B12763" s="6" t="s">
        <v>14515</v>
      </c>
      <c r="C12763" s="5" t="s">
        <v>14240</v>
      </c>
      <c r="D12763" s="5" t="s">
        <v>14271</v>
      </c>
      <c r="E12763" s="2">
        <v>118826</v>
      </c>
      <c r="F12763" s="4" t="str">
        <f>IF(B12763=B12762,"",B12763)</f>
        <v>RÄmhormoz</v>
      </c>
    </row>
    <row r="12764" spans="1:6" ht="15.75" customHeight="1">
      <c r="A12764" s="5" t="s">
        <v>13021</v>
      </c>
      <c r="B12764" s="6" t="s">
        <v>13022</v>
      </c>
      <c r="C12764" s="5" t="s">
        <v>10178</v>
      </c>
      <c r="D12764" s="5" t="s">
        <v>10187</v>
      </c>
      <c r="E12764" s="2">
        <v>1258662</v>
      </c>
      <c r="F12764" s="4" t="str">
        <f>IF(B12764=B12763,"",B12764)</f>
        <v>RÄmgundam</v>
      </c>
    </row>
    <row r="12765" spans="1:6" ht="15.75" customHeight="1">
      <c r="A12765" s="6" t="s">
        <v>13019</v>
      </c>
      <c r="B12765" s="6" t="s">
        <v>13020</v>
      </c>
      <c r="C12765" s="6" t="s">
        <v>10178</v>
      </c>
      <c r="D12765" s="6" t="s">
        <v>10179</v>
      </c>
      <c r="E12765" s="2">
        <v>1258677</v>
      </c>
      <c r="F12765" s="4" t="str">
        <f>IF(B12765=B12764,"",B12765)</f>
        <v>RÄmgarh</v>
      </c>
    </row>
    <row r="12766" spans="1:6" ht="15.75" customHeight="1">
      <c r="A12766" s="6" t="s">
        <v>13019</v>
      </c>
      <c r="B12766" s="6" t="s">
        <v>13020</v>
      </c>
      <c r="C12766" s="6" t="s">
        <v>10178</v>
      </c>
      <c r="D12766" s="6" t="s">
        <v>10430</v>
      </c>
      <c r="E12766" s="2">
        <v>1258686</v>
      </c>
      <c r="F12766" s="4" t="str">
        <f>IF(B12766=B12765,"",B12766)</f>
        <v/>
      </c>
    </row>
    <row r="12767" spans="1:6" ht="15.75" customHeight="1">
      <c r="A12767" s="5" t="s">
        <v>13017</v>
      </c>
      <c r="B12767" s="6" t="s">
        <v>13018</v>
      </c>
      <c r="C12767" s="5" t="s">
        <v>10178</v>
      </c>
      <c r="D12767" s="5" t="s">
        <v>10179</v>
      </c>
      <c r="E12767" s="2">
        <v>1258692</v>
      </c>
      <c r="F12767" s="4" t="str">
        <f>IF(B12767=B12766,"",B12767)</f>
        <v>RÄmganj Mandi</v>
      </c>
    </row>
    <row r="12768" spans="1:6" ht="15.75" customHeight="1">
      <c r="A12768" s="6" t="s">
        <v>1417</v>
      </c>
      <c r="B12768" s="6" t="s">
        <v>1418</v>
      </c>
      <c r="C12768" s="6" t="s">
        <v>1296</v>
      </c>
      <c r="D12768" s="6" t="s">
        <v>1302</v>
      </c>
      <c r="E12768" s="2">
        <v>1185127</v>
      </c>
      <c r="F12768" s="4" t="str">
        <f>IF(B12768=B12767,"",B12768)</f>
        <v>RÄmganj</v>
      </c>
    </row>
    <row r="12769" spans="1:6" ht="15.75" customHeight="1">
      <c r="A12769" s="5" t="s">
        <v>13015</v>
      </c>
      <c r="B12769" s="6" t="s">
        <v>13016</v>
      </c>
      <c r="C12769" s="5" t="s">
        <v>10178</v>
      </c>
      <c r="D12769" s="5" t="s">
        <v>10252</v>
      </c>
      <c r="E12769" s="2">
        <v>1258744</v>
      </c>
      <c r="F12769" s="4" t="str">
        <f>IF(B12769=B12768,"",B12769)</f>
        <v>RÄmanagaram</v>
      </c>
    </row>
    <row r="12770" spans="1:6" ht="15.75" customHeight="1">
      <c r="A12770" s="5" t="s">
        <v>13013</v>
      </c>
      <c r="B12770" s="6" t="s">
        <v>13014</v>
      </c>
      <c r="C12770" s="5" t="s">
        <v>10178</v>
      </c>
      <c r="D12770" s="5" t="s">
        <v>10190</v>
      </c>
      <c r="E12770" s="2">
        <v>1258756</v>
      </c>
      <c r="F12770" s="4" t="str">
        <f>IF(B12770=B12769,"",B12770)</f>
        <v>RÄmachandrapuram</v>
      </c>
    </row>
    <row r="12771" spans="1:6" ht="15.75" customHeight="1">
      <c r="A12771" s="5" t="s">
        <v>13011</v>
      </c>
      <c r="B12771" s="6" t="s">
        <v>13012</v>
      </c>
      <c r="C12771" s="5" t="s">
        <v>10178</v>
      </c>
      <c r="D12771" s="5" t="s">
        <v>10190</v>
      </c>
      <c r="E12771" s="2">
        <v>1258726</v>
      </c>
      <c r="F12771" s="4" t="str">
        <f>IF(B12771=B12770,"",B12771)</f>
        <v>RÄmÄpuram</v>
      </c>
    </row>
    <row r="12772" spans="1:6" ht="15.75" customHeight="1">
      <c r="A12772" s="6" t="s">
        <v>13009</v>
      </c>
      <c r="B12772" s="6" t="s">
        <v>13010</v>
      </c>
      <c r="C12772" s="6" t="s">
        <v>10178</v>
      </c>
      <c r="D12772" s="6" t="s">
        <v>10209</v>
      </c>
      <c r="E12772" s="2">
        <v>1258795</v>
      </c>
      <c r="F12772" s="4" t="str">
        <f>IF(B12772=B12771,"",B12772)</f>
        <v>RÄjula</v>
      </c>
    </row>
    <row r="12773" spans="1:6" ht="15.75" customHeight="1">
      <c r="A12773" s="6" t="s">
        <v>1416</v>
      </c>
      <c r="B12773" s="6" t="s">
        <v>1310</v>
      </c>
      <c r="C12773" s="6" t="s">
        <v>1296</v>
      </c>
      <c r="D12773" s="6" t="s">
        <v>1310</v>
      </c>
      <c r="E12773" s="2">
        <v>1185128</v>
      </c>
      <c r="F12773" s="4" t="str">
        <f>IF(B12773=B12772,"",B12773)</f>
        <v>RÄjshÄhi</v>
      </c>
    </row>
    <row r="12774" spans="1:6" ht="15.75" customHeight="1">
      <c r="A12774" s="5" t="s">
        <v>13007</v>
      </c>
      <c r="B12774" s="6" t="s">
        <v>13008</v>
      </c>
      <c r="C12774" s="5" t="s">
        <v>10178</v>
      </c>
      <c r="D12774" s="5" t="s">
        <v>10179</v>
      </c>
      <c r="E12774" s="2">
        <v>1258797</v>
      </c>
      <c r="F12774" s="4" t="str">
        <f>IF(B12774=B12773,"",B12774)</f>
        <v>RÄjsamand</v>
      </c>
    </row>
    <row r="12775" spans="1:6" ht="15.75" customHeight="1">
      <c r="A12775" s="6" t="s">
        <v>13005</v>
      </c>
      <c r="B12775" s="6" t="s">
        <v>13006</v>
      </c>
      <c r="C12775" s="6" t="s">
        <v>10178</v>
      </c>
      <c r="D12775" s="6" t="s">
        <v>10184</v>
      </c>
      <c r="E12775" s="2">
        <v>1258803</v>
      </c>
      <c r="F12775" s="4" t="str">
        <f>IF(B12775=B12774,"",B12775)</f>
        <v>RÄjpura</v>
      </c>
    </row>
    <row r="12776" spans="1:6" ht="15.75" customHeight="1">
      <c r="A12776" s="5" t="s">
        <v>13003</v>
      </c>
      <c r="B12776" s="6" t="s">
        <v>13004</v>
      </c>
      <c r="C12776" s="5" t="s">
        <v>10178</v>
      </c>
      <c r="D12776" s="5" t="s">
        <v>10209</v>
      </c>
      <c r="E12776" s="2">
        <v>1258819</v>
      </c>
      <c r="F12776" s="4" t="str">
        <f>IF(B12776=B12775,"",B12776)</f>
        <v>RÄjpÄ«pla</v>
      </c>
    </row>
    <row r="12777" spans="1:6" ht="15.75" customHeight="1">
      <c r="A12777" s="5" t="s">
        <v>13001</v>
      </c>
      <c r="B12777" s="6" t="s">
        <v>13002</v>
      </c>
      <c r="C12777" s="5" t="s">
        <v>10178</v>
      </c>
      <c r="D12777" s="5" t="s">
        <v>10272</v>
      </c>
      <c r="E12777" s="2">
        <v>1258831</v>
      </c>
      <c r="F12777" s="4" t="str">
        <f>IF(B12777=B12776,"",B12777)</f>
        <v>RÄj-NÄndgaon</v>
      </c>
    </row>
    <row r="12778" spans="1:6" ht="15.75" customHeight="1">
      <c r="A12778" s="5" t="s">
        <v>12999</v>
      </c>
      <c r="B12778" s="6" t="s">
        <v>13000</v>
      </c>
      <c r="C12778" s="5" t="s">
        <v>10178</v>
      </c>
      <c r="D12778" s="5" t="s">
        <v>10201</v>
      </c>
      <c r="E12778" s="2">
        <v>1258843</v>
      </c>
      <c r="F12778" s="4" t="str">
        <f>IF(B12778=B12777,"",B12778)</f>
        <v>RÄjmahal</v>
      </c>
    </row>
    <row r="12779" spans="1:6" ht="15.75" customHeight="1">
      <c r="A12779" s="6" t="s">
        <v>12997</v>
      </c>
      <c r="B12779" s="6" t="s">
        <v>12998</v>
      </c>
      <c r="C12779" s="6" t="s">
        <v>10178</v>
      </c>
      <c r="D12779" s="6" t="s">
        <v>10209</v>
      </c>
      <c r="E12779" s="2">
        <v>1258847</v>
      </c>
      <c r="F12779" s="4" t="str">
        <f>IF(B12779=B12778,"",B12779)</f>
        <v>RÄjkot</v>
      </c>
    </row>
    <row r="12780" spans="1:6" ht="15.75" customHeight="1">
      <c r="A12780" s="5" t="s">
        <v>12995</v>
      </c>
      <c r="B12780" s="6" t="s">
        <v>12996</v>
      </c>
      <c r="C12780" s="5" t="s">
        <v>10178</v>
      </c>
      <c r="D12780" s="5" t="s">
        <v>10214</v>
      </c>
      <c r="E12780" s="2">
        <v>1258859</v>
      </c>
      <c r="F12780" s="4" t="str">
        <f>IF(B12780=B12779,"",B12780)</f>
        <v>RÄjgurunagar</v>
      </c>
    </row>
    <row r="12781" spans="1:6" ht="15.75" customHeight="1">
      <c r="A12781" s="6" t="s">
        <v>12993</v>
      </c>
      <c r="B12781" s="6" t="s">
        <v>12994</v>
      </c>
      <c r="C12781" s="6" t="s">
        <v>10178</v>
      </c>
      <c r="D12781" s="6" t="s">
        <v>10179</v>
      </c>
      <c r="E12781" s="2">
        <v>1258868</v>
      </c>
      <c r="F12781" s="4" t="str">
        <f>IF(B12781=B12780,"",B12781)</f>
        <v>RÄjgarh</v>
      </c>
    </row>
    <row r="12782" spans="1:6" ht="15.75" customHeight="1">
      <c r="A12782" s="6" t="s">
        <v>12993</v>
      </c>
      <c r="B12782" s="6" t="s">
        <v>12994</v>
      </c>
      <c r="C12782" s="6" t="s">
        <v>10178</v>
      </c>
      <c r="D12782" s="6" t="s">
        <v>10179</v>
      </c>
      <c r="E12782" s="2">
        <v>1258869</v>
      </c>
      <c r="F12782" s="4" t="str">
        <f>IF(B12782=B12781,"",B12782)</f>
        <v/>
      </c>
    </row>
    <row r="12783" spans="1:6" ht="15.75" customHeight="1">
      <c r="A12783" s="6" t="s">
        <v>12993</v>
      </c>
      <c r="B12783" s="6" t="s">
        <v>12994</v>
      </c>
      <c r="C12783" s="6" t="s">
        <v>10178</v>
      </c>
      <c r="D12783" s="6" t="s">
        <v>10219</v>
      </c>
      <c r="E12783" s="2">
        <v>1258875</v>
      </c>
      <c r="F12783" s="4" t="str">
        <f>IF(B12783=B12782,"",B12783)</f>
        <v/>
      </c>
    </row>
    <row r="12784" spans="1:6" ht="15.75" customHeight="1">
      <c r="A12784" s="6" t="s">
        <v>12993</v>
      </c>
      <c r="B12784" s="6" t="s">
        <v>12994</v>
      </c>
      <c r="C12784" s="6" t="s">
        <v>10178</v>
      </c>
      <c r="D12784" s="6" t="s">
        <v>10219</v>
      </c>
      <c r="E12784" s="2">
        <v>1258876</v>
      </c>
      <c r="F12784" s="4" t="str">
        <f>IF(B12784=B12783,"",B12784)</f>
        <v/>
      </c>
    </row>
    <row r="12785" spans="1:6" ht="15.75" customHeight="1">
      <c r="A12785" s="6" t="s">
        <v>12991</v>
      </c>
      <c r="B12785" s="6" t="s">
        <v>12992</v>
      </c>
      <c r="C12785" s="6" t="s">
        <v>10178</v>
      </c>
      <c r="D12785" s="6" t="s">
        <v>10317</v>
      </c>
      <c r="E12785" s="2">
        <v>1258864</v>
      </c>
      <c r="F12785" s="4" t="str">
        <f>IF(B12785=B12784,"",B12785)</f>
        <v>RÄjgÄ«r</v>
      </c>
    </row>
    <row r="12786" spans="1:6" ht="15.75" customHeight="1">
      <c r="A12786" s="6" t="s">
        <v>18851</v>
      </c>
      <c r="B12786" s="6" t="s">
        <v>18852</v>
      </c>
      <c r="C12786" s="6" t="s">
        <v>18800</v>
      </c>
      <c r="D12786" s="6" t="s">
        <v>18807</v>
      </c>
      <c r="E12786" s="2">
        <v>1282884</v>
      </c>
      <c r="F12786" s="4" t="str">
        <f>IF(B12786=B12785,"",B12786)</f>
        <v>RÄjbirÄj</v>
      </c>
    </row>
    <row r="12787" spans="1:6" ht="15.75" customHeight="1">
      <c r="A12787" s="6" t="s">
        <v>20180</v>
      </c>
      <c r="B12787" s="6" t="s">
        <v>20181</v>
      </c>
      <c r="C12787" s="6" t="s">
        <v>19808</v>
      </c>
      <c r="D12787" s="6" t="s">
        <v>10184</v>
      </c>
      <c r="E12787" s="2">
        <v>1167380</v>
      </c>
      <c r="F12787" s="4" t="str">
        <f>IF(B12787=B12786,"",B12787)</f>
        <v>RÄjanpur</v>
      </c>
    </row>
    <row r="12788" spans="1:6" ht="15.75" customHeight="1">
      <c r="A12788" s="5" t="s">
        <v>12989</v>
      </c>
      <c r="B12788" s="6" t="s">
        <v>12990</v>
      </c>
      <c r="C12788" s="5" t="s">
        <v>10178</v>
      </c>
      <c r="D12788" s="5" t="s">
        <v>10190</v>
      </c>
      <c r="E12788" s="2">
        <v>1258922</v>
      </c>
      <c r="F12788" s="4" t="str">
        <f>IF(B12788=B12787,"",B12788)</f>
        <v>RÄjampet</v>
      </c>
    </row>
    <row r="12789" spans="1:6" ht="15.75" customHeight="1">
      <c r="A12789" s="5" t="s">
        <v>12987</v>
      </c>
      <c r="B12789" s="6" t="s">
        <v>12988</v>
      </c>
      <c r="C12789" s="5" t="s">
        <v>10178</v>
      </c>
      <c r="D12789" s="5" t="s">
        <v>10179</v>
      </c>
      <c r="E12789" s="2">
        <v>1258928</v>
      </c>
      <c r="F12789" s="4" t="str">
        <f>IF(B12789=B12788,"",B12789)</f>
        <v>RÄjaldesar</v>
      </c>
    </row>
    <row r="12790" spans="1:6" ht="15.75" customHeight="1">
      <c r="A12790" s="5" t="s">
        <v>12985</v>
      </c>
      <c r="B12790" s="6" t="s">
        <v>12986</v>
      </c>
      <c r="C12790" s="5" t="s">
        <v>10178</v>
      </c>
      <c r="D12790" s="5" t="s">
        <v>10190</v>
      </c>
      <c r="E12790" s="2">
        <v>1258932</v>
      </c>
      <c r="F12790" s="4" t="str">
        <f>IF(B12790=B12789,"",B12790)</f>
        <v>RÄjahmundry</v>
      </c>
    </row>
    <row r="12791" spans="1:6" ht="15.75" customHeight="1">
      <c r="A12791" s="5" t="s">
        <v>12983</v>
      </c>
      <c r="B12791" s="6" t="s">
        <v>12984</v>
      </c>
      <c r="C12791" s="5" t="s">
        <v>10178</v>
      </c>
      <c r="D12791" s="5" t="s">
        <v>10179</v>
      </c>
      <c r="E12791" s="2">
        <v>1258930</v>
      </c>
      <c r="F12791" s="4" t="str">
        <f>IF(B12791=B12790,"",B12791)</f>
        <v>RÄjÄkhera</v>
      </c>
    </row>
    <row r="12792" spans="1:6" ht="15.75" customHeight="1">
      <c r="A12792" s="6" t="s">
        <v>12981</v>
      </c>
      <c r="B12792" s="6" t="s">
        <v>12982</v>
      </c>
      <c r="C12792" s="6" t="s">
        <v>10178</v>
      </c>
      <c r="D12792" s="6" t="s">
        <v>10214</v>
      </c>
      <c r="E12792" s="2">
        <v>1258786</v>
      </c>
      <c r="F12792" s="4" t="str">
        <f>IF(B12792=B12791,"",B12792)</f>
        <v>RÄjÅ«ra</v>
      </c>
    </row>
    <row r="12793" spans="1:6" ht="15.75" customHeight="1">
      <c r="A12793" s="5" t="s">
        <v>20178</v>
      </c>
      <c r="B12793" s="6" t="s">
        <v>20179</v>
      </c>
      <c r="C12793" s="5" t="s">
        <v>19808</v>
      </c>
      <c r="D12793" s="5" t="s">
        <v>10184</v>
      </c>
      <c r="E12793" s="2">
        <v>1167386</v>
      </c>
      <c r="F12793" s="4" t="str">
        <f>IF(B12793=B12792,"",B12793)</f>
        <v>RÄja Jang</v>
      </c>
    </row>
    <row r="12794" spans="1:6" ht="15.75" customHeight="1">
      <c r="A12794" s="6" t="s">
        <v>20176</v>
      </c>
      <c r="B12794" s="6" t="s">
        <v>20177</v>
      </c>
      <c r="C12794" s="6" t="s">
        <v>19808</v>
      </c>
      <c r="D12794" s="6" t="s">
        <v>10184</v>
      </c>
      <c r="E12794" s="2">
        <v>1167398</v>
      </c>
      <c r="F12794" s="4" t="str">
        <f>IF(B12794=B12793,"",B12794)</f>
        <v>RÄiwind</v>
      </c>
    </row>
    <row r="12795" spans="1:6" ht="15.75" customHeight="1">
      <c r="A12795" s="5" t="s">
        <v>12979</v>
      </c>
      <c r="B12795" s="6" t="s">
        <v>12980</v>
      </c>
      <c r="C12795" s="5" t="s">
        <v>10178</v>
      </c>
      <c r="D12795" s="5" t="s">
        <v>10179</v>
      </c>
      <c r="E12795" s="2">
        <v>1258950</v>
      </c>
      <c r="F12795" s="4" t="str">
        <f>IF(B12795=B12794,"",B12795)</f>
        <v>RÄisinghnagar</v>
      </c>
    </row>
    <row r="12796" spans="1:6" ht="15.75" customHeight="1">
      <c r="A12796" s="6" t="s">
        <v>1414</v>
      </c>
      <c r="B12796" s="6" t="s">
        <v>1415</v>
      </c>
      <c r="C12796" s="6" t="s">
        <v>1296</v>
      </c>
      <c r="D12796" s="6" t="s">
        <v>1302</v>
      </c>
      <c r="E12796" s="2">
        <v>1185236</v>
      </c>
      <c r="F12796" s="4" t="str">
        <f>IF(B12796=B12795,"",B12796)</f>
        <v>RÄipur</v>
      </c>
    </row>
    <row r="12797" spans="1:6" ht="15.75" customHeight="1">
      <c r="A12797" s="6" t="s">
        <v>1414</v>
      </c>
      <c r="B12797" s="6" t="s">
        <v>1415</v>
      </c>
      <c r="C12797" s="6" t="s">
        <v>10178</v>
      </c>
      <c r="D12797" s="6" t="s">
        <v>10299</v>
      </c>
      <c r="E12797" s="2">
        <v>1258967</v>
      </c>
      <c r="F12797" s="4" t="str">
        <f>IF(B12797=B12796,"",B12797)</f>
        <v/>
      </c>
    </row>
    <row r="12798" spans="1:6" ht="15.75" customHeight="1">
      <c r="A12798" s="6" t="s">
        <v>12977</v>
      </c>
      <c r="B12798" s="6" t="s">
        <v>12978</v>
      </c>
      <c r="C12798" s="6" t="s">
        <v>10178</v>
      </c>
      <c r="D12798" s="6" t="s">
        <v>10184</v>
      </c>
      <c r="E12798" s="2">
        <v>1258993</v>
      </c>
      <c r="F12798" s="4" t="str">
        <f>IF(B12798=B12797,"",B12798)</f>
        <v>RÄikot</v>
      </c>
    </row>
    <row r="12799" spans="1:6" ht="15.75" customHeight="1">
      <c r="A12799" s="6" t="s">
        <v>12975</v>
      </c>
      <c r="B12799" s="6" t="s">
        <v>12976</v>
      </c>
      <c r="C12799" s="6" t="s">
        <v>10178</v>
      </c>
      <c r="D12799" s="6" t="s">
        <v>10201</v>
      </c>
      <c r="E12799" s="2">
        <v>1259009</v>
      </c>
      <c r="F12799" s="4" t="str">
        <f>IF(B12799=B12798,"",B12799)</f>
        <v>RÄiganj</v>
      </c>
    </row>
    <row r="12800" spans="1:6" ht="15.75" customHeight="1">
      <c r="A12800" s="5" t="s">
        <v>12973</v>
      </c>
      <c r="B12800" s="6" t="s">
        <v>12974</v>
      </c>
      <c r="C12800" s="5" t="s">
        <v>10178</v>
      </c>
      <c r="D12800" s="5" t="s">
        <v>10252</v>
      </c>
      <c r="E12800" s="2">
        <v>1259012</v>
      </c>
      <c r="F12800" s="4" t="str">
        <f>IF(B12800=B12799,"",B12800)</f>
        <v>RÄichÅ«r</v>
      </c>
    </row>
    <row r="12801" spans="1:6" ht="15.75" customHeight="1">
      <c r="A12801" s="6" t="s">
        <v>12971</v>
      </c>
      <c r="B12801" s="6" t="s">
        <v>12972</v>
      </c>
      <c r="C12801" s="6" t="s">
        <v>10178</v>
      </c>
      <c r="D12801" s="6" t="s">
        <v>10214</v>
      </c>
      <c r="E12801" s="2">
        <v>1259019</v>
      </c>
      <c r="F12801" s="4" t="str">
        <f>IF(B12801=B12800,"",B12801)</f>
        <v>RÄhuri</v>
      </c>
    </row>
    <row r="12802" spans="1:6" ht="15.75" customHeight="1">
      <c r="A12802" s="5" t="s">
        <v>12969</v>
      </c>
      <c r="B12802" s="6" t="s">
        <v>12970</v>
      </c>
      <c r="C12802" s="5" t="s">
        <v>10178</v>
      </c>
      <c r="D12802" s="5" t="s">
        <v>10219</v>
      </c>
      <c r="E12802" s="2">
        <v>1259034</v>
      </c>
      <c r="F12802" s="4" t="str">
        <f>IF(B12802=B12801,"",B12802)</f>
        <v>RÄhatgarh</v>
      </c>
    </row>
    <row r="12803" spans="1:6" ht="15.75" customHeight="1">
      <c r="A12803" s="5" t="s">
        <v>12967</v>
      </c>
      <c r="B12803" s="6" t="s">
        <v>12968</v>
      </c>
      <c r="C12803" s="5" t="s">
        <v>10178</v>
      </c>
      <c r="D12803" s="5" t="s">
        <v>10219</v>
      </c>
      <c r="E12803" s="2">
        <v>1259056</v>
      </c>
      <c r="F12803" s="4" t="str">
        <f>IF(B12803=B12802,"",B12803)</f>
        <v>RÄghogarh</v>
      </c>
    </row>
    <row r="12804" spans="1:6" ht="15.75" customHeight="1">
      <c r="A12804" s="5" t="s">
        <v>12965</v>
      </c>
      <c r="B12804" s="6" t="s">
        <v>12966</v>
      </c>
      <c r="C12804" s="5" t="s">
        <v>10178</v>
      </c>
      <c r="D12804" s="5" t="s">
        <v>10209</v>
      </c>
      <c r="E12804" s="2">
        <v>1259069</v>
      </c>
      <c r="F12804" s="4" t="str">
        <f>IF(B12804=B12803,"",B12804)</f>
        <v>RÄdhanpur</v>
      </c>
    </row>
    <row r="12805" spans="1:6" ht="15.75" customHeight="1">
      <c r="A12805" s="6" t="s">
        <v>20174</v>
      </c>
      <c r="B12805" s="6" t="s">
        <v>20175</v>
      </c>
      <c r="C12805" s="6" t="s">
        <v>19808</v>
      </c>
      <c r="D12805" s="6" t="s">
        <v>19823</v>
      </c>
      <c r="E12805" s="2">
        <v>1167501</v>
      </c>
      <c r="F12805" s="4" t="str">
        <f>IF(B12805=B12804,"",B12805)</f>
        <v>RÄdhan</v>
      </c>
    </row>
    <row r="12806" spans="1:6" ht="15.75" customHeight="1">
      <c r="A12806" s="6" t="s">
        <v>23539</v>
      </c>
      <c r="B12806" s="6" t="s">
        <v>23540</v>
      </c>
      <c r="C12806" s="6" t="s">
        <v>23454</v>
      </c>
      <c r="D12806" s="6" t="s">
        <v>23491</v>
      </c>
      <c r="E12806" s="2">
        <v>103035</v>
      </c>
      <c r="F12806" s="4" t="str">
        <f>IF(B12806=B12805,"",B12806)</f>
        <v>RÄbigh</v>
      </c>
    </row>
    <row r="12807" spans="1:6" ht="15.75" customHeight="1">
      <c r="A12807" s="6" t="s">
        <v>9013</v>
      </c>
      <c r="B12807" s="6" t="s">
        <v>9014</v>
      </c>
      <c r="C12807" s="6" t="s">
        <v>8028</v>
      </c>
      <c r="D12807" s="6" t="s">
        <v>8029</v>
      </c>
      <c r="E12807" s="2">
        <v>2844862</v>
      </c>
      <c r="F12807" s="4" t="str">
        <f>IF(B12807=B12806,"",B12807)</f>
        <v>RÃ¶srath</v>
      </c>
    </row>
    <row r="12808" spans="1:6" ht="15.75" customHeight="1">
      <c r="A12808" s="6" t="s">
        <v>9630</v>
      </c>
      <c r="B12808" s="6" t="s">
        <v>18480</v>
      </c>
      <c r="C12808" s="6" t="s">
        <v>18455</v>
      </c>
      <c r="D12808" s="6" t="s">
        <v>18481</v>
      </c>
      <c r="E12808" s="2">
        <v>617486</v>
      </c>
      <c r="F12808" s="4" t="str">
        <f>IF(B12808=B12807,"",B12808)</f>
        <v>RÃ®bniÅ£a</v>
      </c>
    </row>
    <row r="12809" spans="1:6" ht="15.75" customHeight="1">
      <c r="A12809" s="6" t="s">
        <v>3817</v>
      </c>
      <c r="B12809" s="6" t="s">
        <v>3818</v>
      </c>
      <c r="C12809" s="6" t="s">
        <v>3768</v>
      </c>
      <c r="D12809" s="6" t="s">
        <v>3798</v>
      </c>
      <c r="E12809" s="2">
        <v>2356228</v>
      </c>
      <c r="F12809" s="4" t="str">
        <f>IF(B12809=B12808,"",B12809)</f>
        <v>RÃ©o</v>
      </c>
    </row>
    <row r="12810" spans="1:6" ht="15.75" customHeight="1">
      <c r="A12810" s="5" t="s">
        <v>7946</v>
      </c>
      <c r="B12810" s="6" t="s">
        <v>7947</v>
      </c>
      <c r="C12810" s="5" t="s">
        <v>7942</v>
      </c>
      <c r="D12810" s="5" t="s">
        <v>7943</v>
      </c>
      <c r="E12810" s="2">
        <v>3380892</v>
      </c>
      <c r="F12810" s="4" t="str">
        <f>IF(B12810=B12809,"",B12810)</f>
        <v>RÃ©mire-Montjoly</v>
      </c>
    </row>
    <row r="12811" spans="1:6" ht="15.75" customHeight="1">
      <c r="A12811" s="6" t="s">
        <v>12963</v>
      </c>
      <c r="B12811" s="6" t="s">
        <v>12964</v>
      </c>
      <c r="C12811" s="6" t="s">
        <v>10178</v>
      </c>
      <c r="D12811" s="6" t="s">
        <v>10179</v>
      </c>
      <c r="E12811" s="2">
        <v>1258140</v>
      </c>
      <c r="F12811" s="4" t="str">
        <f>IF(B12811=B12810,"",B12811)</f>
        <v>RÄ«ngas</v>
      </c>
    </row>
    <row r="12812" spans="1:6" ht="15.75" customHeight="1">
      <c r="A12812" s="6" t="s">
        <v>14512</v>
      </c>
      <c r="B12812" s="6" t="s">
        <v>14513</v>
      </c>
      <c r="C12812" s="6" t="s">
        <v>14240</v>
      </c>
      <c r="D12812" s="6" t="s">
        <v>14256</v>
      </c>
      <c r="E12812" s="2">
        <v>118191</v>
      </c>
      <c r="F12812" s="4" t="str">
        <f>IF(B12812=B12811,"",B12812)</f>
        <v>RÅ«dsar</v>
      </c>
    </row>
    <row r="12813" spans="1:6" ht="15.75" customHeight="1">
      <c r="A12813" s="5" t="s">
        <v>12961</v>
      </c>
      <c r="B12813" s="6" t="s">
        <v>12962</v>
      </c>
      <c r="C12813" s="5" t="s">
        <v>10178</v>
      </c>
      <c r="D12813" s="5" t="s">
        <v>10193</v>
      </c>
      <c r="E12813" s="2">
        <v>1258012</v>
      </c>
      <c r="F12813" s="4" t="str">
        <f>IF(B12813=B12812,"",B12813)</f>
        <v>RÅ«darpur</v>
      </c>
    </row>
    <row r="12814" spans="1:6" ht="15.75" customHeight="1">
      <c r="A12814" s="5" t="s">
        <v>25192</v>
      </c>
      <c r="B12814" s="6" t="s">
        <v>25193</v>
      </c>
      <c r="C12814" s="5" t="s">
        <v>25077</v>
      </c>
      <c r="D12814" s="5" t="s">
        <v>25081</v>
      </c>
      <c r="E12814" s="2">
        <v>2683034</v>
      </c>
      <c r="F12814" s="4" t="str">
        <f>IF(B12814=B12813,"",B12814)</f>
        <v>RÃ¥sunda</v>
      </c>
    </row>
    <row r="12815" spans="1:6" ht="15.75" customHeight="1">
      <c r="A12815" s="6" t="s">
        <v>428</v>
      </c>
      <c r="B12815" s="6" t="s">
        <v>430</v>
      </c>
      <c r="C12815" s="6" t="s">
        <v>153</v>
      </c>
      <c r="D12815" s="6" t="s">
        <v>274</v>
      </c>
      <c r="E12815" s="2">
        <v>2483936</v>
      </c>
      <c r="F12815" s="4" t="str">
        <f>IF(B12815=B12814,"",B12815)</f>
        <v>RÃ¢s el Oued</v>
      </c>
    </row>
    <row r="12816" spans="1:6" ht="15.75" customHeight="1">
      <c r="A12816" s="6" t="s">
        <v>428</v>
      </c>
      <c r="B12816" s="6" t="s">
        <v>429</v>
      </c>
      <c r="C12816" s="6" t="s">
        <v>153</v>
      </c>
      <c r="D12816" s="6" t="s">
        <v>212</v>
      </c>
      <c r="E12816" s="2">
        <v>2483968</v>
      </c>
      <c r="F12816" s="4" t="str">
        <f>IF(B12816=B12815,"",B12816)</f>
        <v>RÃ¢s el AÃ¯oun</v>
      </c>
    </row>
    <row r="12817" spans="1:6" ht="15.75" customHeight="1">
      <c r="A12817" s="5" t="s">
        <v>21999</v>
      </c>
      <c r="B12817" s="6" t="s">
        <v>22000</v>
      </c>
      <c r="C12817" s="5" t="s">
        <v>21824</v>
      </c>
      <c r="D12817" s="5" t="s">
        <v>21916</v>
      </c>
      <c r="E12817" s="2">
        <v>668872</v>
      </c>
      <c r="F12817" s="4" t="str">
        <f>IF(B12817=B12816,"",B12817)</f>
        <v>RÃ¢mnicu VÃ¢lcea</v>
      </c>
    </row>
    <row r="12818" spans="1:6" ht="15.75" customHeight="1">
      <c r="A12818" s="5" t="s">
        <v>21997</v>
      </c>
      <c r="B12818" s="6" t="s">
        <v>21998</v>
      </c>
      <c r="C12818" s="5" t="s">
        <v>21824</v>
      </c>
      <c r="D12818" s="5" t="s">
        <v>21877</v>
      </c>
      <c r="E12818" s="2">
        <v>668873</v>
      </c>
      <c r="F12818" s="4" t="str">
        <f>IF(B12818=B12817,"",B12818)</f>
        <v>RÃ¢mnicu SÄƒrat</v>
      </c>
    </row>
    <row r="12819" spans="1:6" ht="15.75" customHeight="1">
      <c r="A12819" s="5" t="s">
        <v>21995</v>
      </c>
      <c r="B12819" s="6" t="s">
        <v>21996</v>
      </c>
      <c r="C12819" s="5" t="s">
        <v>21824</v>
      </c>
      <c r="D12819" s="5" t="s">
        <v>21863</v>
      </c>
      <c r="E12819" s="2">
        <v>668828</v>
      </c>
      <c r="F12819" s="4" t="str">
        <f>IF(B12819=B12818,"",B12819)</f>
        <v>RÃ¢ÅŸnov</v>
      </c>
    </row>
    <row r="12820" spans="1:6" ht="15.75" customHeight="1">
      <c r="A12820" s="5" t="s">
        <v>16996</v>
      </c>
      <c r="B12820" s="6" t="s">
        <v>16997</v>
      </c>
      <c r="C12820" s="5" t="s">
        <v>16982</v>
      </c>
      <c r="D12820" s="5" t="s">
        <v>16997</v>
      </c>
      <c r="E12820" s="2">
        <v>456202</v>
      </c>
      <c r="F12820" s="4" t="str">
        <f>IF(B12820=B12819,"",B12820)</f>
        <v>RÄ“zekne</v>
      </c>
    </row>
    <row r="12821" spans="1:6" ht="15.75" customHeight="1">
      <c r="A12821" s="5" t="str">
        <f ca="1">IFERROR(__xludf.DUMMYFUNCTION("GOOGLETRANSLATE(B36279,""en"",""pt"")"),"Ra's Bayrūt")</f>
        <v>Ra's Bayrūt</v>
      </c>
      <c r="B12821" s="17" t="s">
        <v>34515</v>
      </c>
      <c r="C12821" s="17" t="s">
        <v>17008</v>
      </c>
      <c r="D12821" s="17" t="s">
        <v>17015</v>
      </c>
      <c r="E12821" s="10">
        <v>268743</v>
      </c>
      <c r="F12821" s="4" t="str">
        <f>IF(B12821=B12820,"",B12821)</f>
        <v>Ra’s Bayrūt</v>
      </c>
    </row>
    <row r="12822" spans="1:6" ht="15.75" customHeight="1">
      <c r="A12822" s="6" t="s">
        <v>6270</v>
      </c>
      <c r="B12822" s="6" t="s">
        <v>6271</v>
      </c>
      <c r="C12822" s="6" t="s">
        <v>6209</v>
      </c>
      <c r="D12822" s="6" t="s">
        <v>6216</v>
      </c>
      <c r="E12822" s="2">
        <v>2614600</v>
      </c>
      <c r="F12822" s="4" t="str">
        <f>IF(B12822=B12821,"",B12822)</f>
        <v>RÃ¸dovre</v>
      </c>
    </row>
    <row r="12823" spans="1:6" ht="15.75" customHeight="1">
      <c r="A12823" s="6" t="s">
        <v>5032</v>
      </c>
      <c r="B12823" s="6" t="s">
        <v>5032</v>
      </c>
      <c r="C12823" s="6" t="s">
        <v>4487</v>
      </c>
      <c r="D12823" s="6" t="s">
        <v>4631</v>
      </c>
      <c r="E12823" s="2">
        <v>1797264</v>
      </c>
      <c r="F12823" s="4" t="str">
        <f>IF(B12823=B12822,"",B12823)</f>
        <v>Quzhou</v>
      </c>
    </row>
    <row r="12824" spans="1:6" ht="15.75" customHeight="1">
      <c r="A12824" s="5" t="str">
        <f ca="1">IFERROR(__xludf.DUMMYFUNCTION("GOOGLETRANSLATE(B26293,""en"",""pt"")"),"Quzhou")</f>
        <v>Quzhou</v>
      </c>
      <c r="B12824" s="17" t="s">
        <v>5032</v>
      </c>
      <c r="C12824" s="17" t="s">
        <v>4487</v>
      </c>
      <c r="D12824" s="17" t="s">
        <v>4631</v>
      </c>
      <c r="E12824" s="10">
        <v>1797264</v>
      </c>
      <c r="F12824" s="4" t="str">
        <f>IF(B12824=B12823,"",B12824)</f>
        <v/>
      </c>
    </row>
    <row r="12825" spans="1:6" ht="15.75" customHeight="1">
      <c r="A12825" s="5" t="s">
        <v>6699</v>
      </c>
      <c r="B12825" s="6" t="s">
        <v>6700</v>
      </c>
      <c r="C12825" s="5" t="s">
        <v>6495</v>
      </c>
      <c r="D12825" s="5" t="s">
        <v>6543</v>
      </c>
      <c r="E12825" s="2">
        <v>350370</v>
      </c>
      <c r="F12825" s="4" t="str">
        <f>IF(B12825=B12824,"",B12825)</f>
        <v>QuwaysinÄ</v>
      </c>
    </row>
    <row r="12826" spans="1:6" ht="15.75" customHeight="1">
      <c r="A12826" s="5" t="str">
        <f ca="1">IFERROR(__xludf.DUMMYFUNCTION("GOOGLETRANSLATE(B28838,""en"",""pt"")"),"Quwaysinā")</f>
        <v>Quwaysinā</v>
      </c>
      <c r="B12826" s="17" t="s">
        <v>32265</v>
      </c>
      <c r="C12826" s="17" t="s">
        <v>6495</v>
      </c>
      <c r="D12826" s="17" t="s">
        <v>32252</v>
      </c>
      <c r="E12826" s="10">
        <v>350370</v>
      </c>
      <c r="F12826" s="4" t="str">
        <f>IF(B12826=B12825,"",B12826)</f>
        <v>Quwaysinā</v>
      </c>
    </row>
    <row r="12827" spans="1:6" ht="15.75" customHeight="1">
      <c r="A12827" s="6" t="s">
        <v>30593</v>
      </c>
      <c r="B12827" s="6" t="s">
        <v>30593</v>
      </c>
      <c r="C12827" s="6" t="s">
        <v>30502</v>
      </c>
      <c r="D12827" s="6" t="s">
        <v>30513</v>
      </c>
      <c r="E12827" s="2">
        <v>1513331</v>
      </c>
      <c r="F12827" s="4" t="str">
        <f>IF(B12827=B12826,"",B12827)</f>
        <v>Quvasoy</v>
      </c>
    </row>
    <row r="12828" spans="1:6" ht="15.75" customHeight="1">
      <c r="A12828" s="5" t="str">
        <f ca="1">IFERROR(__xludf.DUMMYFUNCTION("GOOGLETRANSLATE(B45564,""en"",""pt"")"),"Quvasoy")</f>
        <v>Quvasoy</v>
      </c>
      <c r="B12828" s="17" t="s">
        <v>30593</v>
      </c>
      <c r="C12828" s="17" t="s">
        <v>30502</v>
      </c>
      <c r="D12828" s="17" t="s">
        <v>30513</v>
      </c>
      <c r="E12828" s="10">
        <v>1513331</v>
      </c>
      <c r="F12828" s="4" t="str">
        <f>IF(B12828=B12827,"",B12828)</f>
        <v/>
      </c>
    </row>
    <row r="12829" spans="1:6" ht="15.75" customHeight="1">
      <c r="A12829" s="6" t="s">
        <v>30592</v>
      </c>
      <c r="B12829" s="6" t="s">
        <v>30592</v>
      </c>
      <c r="C12829" s="6" t="s">
        <v>30502</v>
      </c>
      <c r="D12829" s="6" t="s">
        <v>30513</v>
      </c>
      <c r="E12829" s="2">
        <v>1526979</v>
      </c>
      <c r="F12829" s="4" t="str">
        <f>IF(B12829=B12828,"",B12829)</f>
        <v>Quva</v>
      </c>
    </row>
    <row r="12830" spans="1:6" ht="15.75" customHeight="1">
      <c r="A12830" s="5" t="str">
        <f ca="1">IFERROR(__xludf.DUMMYFUNCTION("GOOGLETRANSLATE(B45594,""en"",""pt"")"),"Quva")</f>
        <v>Quva</v>
      </c>
      <c r="B12830" s="17" t="s">
        <v>30592</v>
      </c>
      <c r="C12830" s="17" t="s">
        <v>30502</v>
      </c>
      <c r="D12830" s="17" t="s">
        <v>30513</v>
      </c>
      <c r="E12830" s="10">
        <v>1526979</v>
      </c>
      <c r="F12830" s="4" t="str">
        <f>IF(B12830=B12829,"",B12830)</f>
        <v/>
      </c>
    </row>
    <row r="12831" spans="1:6" ht="15.75" customHeight="1">
      <c r="A12831" s="5" t="str">
        <f ca="1">IFERROR(__xludf.DUMMYFUNCTION("GOOGLETRANSLATE(B28839,""en"",""pt"")"),"Quţūr")</f>
        <v>Quţūr</v>
      </c>
      <c r="B12831" s="17" t="s">
        <v>32266</v>
      </c>
      <c r="C12831" s="17" t="s">
        <v>6495</v>
      </c>
      <c r="D12831" s="17" t="s">
        <v>32245</v>
      </c>
      <c r="E12831" s="10">
        <v>350376</v>
      </c>
      <c r="F12831" s="4" t="str">
        <f>IF(B12831=B12830,"",B12831)</f>
        <v>Quţūr</v>
      </c>
    </row>
    <row r="12832" spans="1:6" ht="15.75" customHeight="1">
      <c r="A12832" s="6" t="s">
        <v>17050</v>
      </c>
      <c r="B12832" s="6" t="s">
        <v>17050</v>
      </c>
      <c r="C12832" s="6" t="s">
        <v>17039</v>
      </c>
      <c r="D12832" s="6" t="s">
        <v>17050</v>
      </c>
      <c r="E12832" s="2">
        <v>932183</v>
      </c>
      <c r="F12832" s="4" t="str">
        <f>IF(B12832=B12831,"",B12832)</f>
        <v>Quthing</v>
      </c>
    </row>
    <row r="12833" spans="1:6" ht="15.75" customHeight="1">
      <c r="A12833" s="5" t="str">
        <f ca="1">IFERROR(__xludf.DUMMYFUNCTION("GOOGLETRANSLATE(B36352,""en"",""pt"")"),"Quthing")</f>
        <v>Quthing</v>
      </c>
      <c r="B12833" s="17" t="s">
        <v>17050</v>
      </c>
      <c r="C12833" s="17" t="s">
        <v>17039</v>
      </c>
      <c r="D12833" s="17" t="s">
        <v>17050</v>
      </c>
      <c r="E12833" s="10">
        <v>932183</v>
      </c>
      <c r="F12833" s="4" t="str">
        <f>IF(B12833=B12832,"",B12833)</f>
        <v/>
      </c>
    </row>
    <row r="12834" spans="1:6" ht="15.75" customHeight="1">
      <c r="A12834" s="5" t="s">
        <v>12960</v>
      </c>
      <c r="B12834" s="6" t="s">
        <v>12960</v>
      </c>
      <c r="C12834" s="5" t="s">
        <v>10178</v>
      </c>
      <c r="D12834" s="5" t="s">
        <v>10187</v>
      </c>
      <c r="E12834" s="2">
        <v>7302845</v>
      </c>
      <c r="F12834" s="4" t="str">
        <f>IF(B12834=B12833,"",B12834)</f>
        <v>Quthbullapur</v>
      </c>
    </row>
    <row r="12835" spans="1:6" ht="15.75" customHeight="1">
      <c r="A12835" s="5" t="str">
        <f ca="1">IFERROR(__xludf.DUMMYFUNCTION("GOOGLETRANSLATE(B34241,""en"",""pt"")"),"Quthbullapur")</f>
        <v>Quthbullapur</v>
      </c>
      <c r="B12835" s="17" t="s">
        <v>12960</v>
      </c>
      <c r="C12835" s="17" t="s">
        <v>10178</v>
      </c>
      <c r="D12835" s="17" t="s">
        <v>10187</v>
      </c>
      <c r="E12835" s="10">
        <v>7302845</v>
      </c>
      <c r="F12835" s="4" t="str">
        <f>IF(B12835=B12834,"",B12835)</f>
        <v/>
      </c>
    </row>
    <row r="12836" spans="1:6" ht="15.75" customHeight="1">
      <c r="A12836" s="5" t="str">
        <f ca="1">IFERROR(__xludf.DUMMYFUNCTION("GOOGLETRANSLATE(B45548,""en"",""pt"")"),"Qŭshkŭpir")</f>
        <v>Qŭshkŭpir</v>
      </c>
      <c r="B12836" s="17" t="s">
        <v>36071</v>
      </c>
      <c r="C12836" s="17" t="s">
        <v>30502</v>
      </c>
      <c r="D12836" s="17" t="s">
        <v>30545</v>
      </c>
      <c r="E12836" s="10">
        <v>1512978</v>
      </c>
      <c r="F12836" s="4" t="str">
        <f>IF(B12836=B12835,"",B12836)</f>
        <v>Qŭshkŭpir</v>
      </c>
    </row>
    <row r="12837" spans="1:6" ht="15.75" customHeight="1">
      <c r="A12837" s="6" t="s">
        <v>1239</v>
      </c>
      <c r="B12837" s="6" t="s">
        <v>1240</v>
      </c>
      <c r="C12837" s="6" t="s">
        <v>1170</v>
      </c>
      <c r="D12837" s="6" t="s">
        <v>1240</v>
      </c>
      <c r="E12837" s="2">
        <v>585220</v>
      </c>
      <c r="F12837" s="4" t="str">
        <f>IF(B12837=B12836,"",B12837)</f>
        <v>Qusar</v>
      </c>
    </row>
    <row r="12838" spans="1:6" ht="15.75" customHeight="1">
      <c r="A12838" s="5" t="str">
        <f ca="1">IFERROR(__xludf.DUMMYFUNCTION("GOOGLETRANSLATE(B23645,""en"",""pt"")"),"QUSAR")</f>
        <v>QUSAR</v>
      </c>
      <c r="B12838" s="17" t="s">
        <v>1240</v>
      </c>
      <c r="C12838" s="17" t="s">
        <v>1170</v>
      </c>
      <c r="D12838" s="17" t="s">
        <v>1240</v>
      </c>
      <c r="E12838" s="10">
        <v>585220</v>
      </c>
      <c r="F12838" s="4" t="str">
        <f>IF(B12838=B12837,"",B12838)</f>
        <v/>
      </c>
    </row>
    <row r="12839" spans="1:6" ht="15.75" customHeight="1">
      <c r="A12839" s="5" t="str">
        <f ca="1">IFERROR(__xludf.DUMMYFUNCTION("GOOGLETRANSLATE(B41736,""en"",""pt"")"),"Qŭrghonteppa")</f>
        <v>Qŭrghonteppa</v>
      </c>
      <c r="B12839" s="17" t="s">
        <v>35782</v>
      </c>
      <c r="C12839" s="17" t="s">
        <v>25527</v>
      </c>
      <c r="D12839" s="17" t="s">
        <v>25532</v>
      </c>
      <c r="E12839" s="10">
        <v>1220747</v>
      </c>
      <c r="F12839" s="4" t="str">
        <f>IF(B12839=B12838,"",B12839)</f>
        <v>Qŭrghonteppa</v>
      </c>
    </row>
    <row r="12840" spans="1:6" ht="15.75" customHeight="1">
      <c r="A12840" s="5" t="str">
        <f ca="1">IFERROR(__xludf.DUMMYFUNCTION("GOOGLETRANSLATE(B45565,""en"",""pt"")"),"Qŭrghontepa")</f>
        <v>Qŭrghontepa</v>
      </c>
      <c r="B12840" s="17" t="s">
        <v>36075</v>
      </c>
      <c r="C12840" s="17" t="s">
        <v>30502</v>
      </c>
      <c r="D12840" s="17" t="s">
        <v>30501</v>
      </c>
      <c r="E12840" s="10">
        <v>1513364</v>
      </c>
      <c r="F12840" s="4" t="str">
        <f>IF(B12840=B12839,"",B12840)</f>
        <v>Qŭrghontepa</v>
      </c>
    </row>
    <row r="12841" spans="1:6" ht="15.75" customHeight="1">
      <c r="A12841" s="6" t="s">
        <v>23538</v>
      </c>
      <c r="B12841" s="6" t="s">
        <v>23538</v>
      </c>
      <c r="C12841" s="6" t="s">
        <v>23454</v>
      </c>
      <c r="D12841" s="6" t="s">
        <v>17085</v>
      </c>
      <c r="E12841" s="2">
        <v>108648</v>
      </c>
      <c r="F12841" s="4" t="str">
        <f>IF(B12841=B12840,"",B12841)</f>
        <v>Qurayyat</v>
      </c>
    </row>
    <row r="12842" spans="1:6" ht="15.75" customHeight="1">
      <c r="A12842" s="5" t="str">
        <f ca="1">IFERROR(__xludf.DUMMYFUNCTION("GOOGLETRANSLATE(B41044,""en"",""pt"")"),"Qurayyat")</f>
        <v>Qurayyat</v>
      </c>
      <c r="B12842" s="17" t="s">
        <v>23538</v>
      </c>
      <c r="C12842" s="17" t="s">
        <v>23454</v>
      </c>
      <c r="D12842" s="17" t="s">
        <v>17085</v>
      </c>
      <c r="E12842" s="10">
        <v>108648</v>
      </c>
      <c r="F12842" s="4" t="str">
        <f>IF(B12842=B12841,"",B12842)</f>
        <v/>
      </c>
    </row>
    <row r="12843" spans="1:6" ht="15.75" customHeight="1">
      <c r="A12843" s="6" t="s">
        <v>16735</v>
      </c>
      <c r="B12843" s="6" t="s">
        <v>16736</v>
      </c>
      <c r="C12843" s="6" t="s">
        <v>16671</v>
      </c>
      <c r="D12843" s="6" t="s">
        <v>16695</v>
      </c>
      <c r="E12843" s="2">
        <v>609123</v>
      </c>
      <c r="F12843" s="4" t="str">
        <f>IF(B12843=B12842,"",B12843)</f>
        <v>Qulsary</v>
      </c>
    </row>
    <row r="12844" spans="1:6" ht="15.75" customHeight="1">
      <c r="A12844" s="5" t="str">
        <f ca="1">IFERROR(__xludf.DUMMYFUNCTION("GOOGLETRANSLATE(B36189,""en"",""pt"")"),"Qulsário")</f>
        <v>Qulsário</v>
      </c>
      <c r="B12844" s="17" t="s">
        <v>16736</v>
      </c>
      <c r="C12844" s="17" t="s">
        <v>16671</v>
      </c>
      <c r="D12844" s="17" t="s">
        <v>34498</v>
      </c>
      <c r="E12844" s="10">
        <v>609123</v>
      </c>
      <c r="F12844" s="4" t="str">
        <f>IF(B12844=B12843,"",B12844)</f>
        <v/>
      </c>
    </row>
    <row r="12845" spans="1:6" ht="15.75" customHeight="1">
      <c r="A12845" s="6" t="s">
        <v>5031</v>
      </c>
      <c r="B12845" s="6" t="s">
        <v>5031</v>
      </c>
      <c r="C12845" s="6" t="s">
        <v>4487</v>
      </c>
      <c r="D12845" s="6" t="s">
        <v>4607</v>
      </c>
      <c r="E12845" s="2">
        <v>1797318</v>
      </c>
      <c r="F12845" s="4" t="str">
        <f>IF(B12845=B12844,"",B12845)</f>
        <v>Qujing</v>
      </c>
    </row>
    <row r="12846" spans="1:6" ht="15.75" customHeight="1">
      <c r="A12846" s="5" t="str">
        <f ca="1">IFERROR(__xludf.DUMMYFUNCTION("GOOGLETRANSLATE(B26294,""en"",""pt"")"),"Qujing")</f>
        <v>Qujing</v>
      </c>
      <c r="B12846" s="17" t="s">
        <v>5031</v>
      </c>
      <c r="C12846" s="17" t="s">
        <v>4487</v>
      </c>
      <c r="D12846" s="17" t="s">
        <v>4607</v>
      </c>
      <c r="E12846" s="10">
        <v>1797318</v>
      </c>
      <c r="F12846" s="4" t="str">
        <f>IF(B12846=B12845,"",B12846)</f>
        <v/>
      </c>
    </row>
    <row r="12847" spans="1:6" ht="15.75" customHeight="1">
      <c r="A12847" s="5" t="s">
        <v>3191</v>
      </c>
      <c r="B12847" s="6" t="s">
        <v>3191</v>
      </c>
      <c r="C12847" s="5" t="s">
        <v>1905</v>
      </c>
      <c r="D12847" s="5" t="s">
        <v>1930</v>
      </c>
      <c r="E12847" s="2">
        <v>3390901</v>
      </c>
      <c r="F12847" s="4" t="str">
        <f>IF(B12847=B12846,"",B12847)</f>
        <v>Quixeramobim</v>
      </c>
    </row>
    <row r="12848" spans="1:6" ht="15.75" customHeight="1">
      <c r="A12848" s="5" t="str">
        <f ca="1">IFERROR(__xludf.DUMMYFUNCTION("GOOGLETRANSLATE(B24215,""en"",""pt"")"),"Quixeramobim")</f>
        <v>Quixeramobim</v>
      </c>
      <c r="B12848" s="17" t="s">
        <v>3191</v>
      </c>
      <c r="C12848" s="17" t="s">
        <v>1905</v>
      </c>
      <c r="D12848" s="17" t="s">
        <v>31345</v>
      </c>
      <c r="E12848" s="10">
        <v>3390901</v>
      </c>
      <c r="F12848" s="4" t="str">
        <f>IF(B12848=B12847,"",B12848)</f>
        <v/>
      </c>
    </row>
    <row r="12849" spans="1:6" ht="15.75" customHeight="1">
      <c r="A12849" s="6" t="s">
        <v>3189</v>
      </c>
      <c r="B12849" s="6" t="s">
        <v>3190</v>
      </c>
      <c r="C12849" s="6" t="s">
        <v>1905</v>
      </c>
      <c r="D12849" s="6" t="s">
        <v>1930</v>
      </c>
      <c r="E12849" s="2">
        <v>3390907</v>
      </c>
      <c r="F12849" s="4" t="str">
        <f>IF(B12849=B12848,"",B12849)</f>
        <v>QuixadÃ¡</v>
      </c>
    </row>
    <row r="12850" spans="1:6" ht="15.75" customHeight="1">
      <c r="A12850" s="5" t="str">
        <f ca="1">IFERROR(__xludf.DUMMYFUNCTION("GOOGLETRANSLATE(B24216,""en"",""pt"")"),"Quixadá")</f>
        <v>Quixadá</v>
      </c>
      <c r="B12850" s="17" t="s">
        <v>3189</v>
      </c>
      <c r="C12850" s="17" t="s">
        <v>1905</v>
      </c>
      <c r="D12850" s="17" t="s">
        <v>31345</v>
      </c>
      <c r="E12850" s="10">
        <v>3390907</v>
      </c>
      <c r="F12850" s="4" t="str">
        <f>IF(B12850=B12849,"",B12850)</f>
        <v>Quixadá</v>
      </c>
    </row>
    <row r="12851" spans="1:6" ht="15.75" customHeight="1">
      <c r="A12851" s="6" t="s">
        <v>6468</v>
      </c>
      <c r="B12851" s="6" t="s">
        <v>6468</v>
      </c>
      <c r="C12851" s="6" t="s">
        <v>6398</v>
      </c>
      <c r="D12851" s="6" t="s">
        <v>6420</v>
      </c>
      <c r="E12851" s="2">
        <v>3652462</v>
      </c>
      <c r="F12851" s="4" t="str">
        <f>IF(B12851=B12850,"",B12851)</f>
        <v>Quito</v>
      </c>
    </row>
    <row r="12852" spans="1:6" ht="15.75" customHeight="1">
      <c r="A12852" s="5" t="str">
        <f ca="1">IFERROR(__xludf.DUMMYFUNCTION("GOOGLETRANSLATE(B28763,""en"",""pt"")"),"Quito")</f>
        <v>Quito</v>
      </c>
      <c r="B12852" s="17" t="s">
        <v>6468</v>
      </c>
      <c r="C12852" s="17" t="s">
        <v>6398</v>
      </c>
      <c r="D12852" s="17" t="s">
        <v>6420</v>
      </c>
      <c r="E12852" s="10">
        <v>3652462</v>
      </c>
      <c r="F12852" s="4" t="str">
        <f>IF(B12852=B12851,"",B12852)</f>
        <v/>
      </c>
    </row>
    <row r="12853" spans="1:6" ht="15.75" customHeight="1">
      <c r="A12853" s="6" t="s">
        <v>750</v>
      </c>
      <c r="B12853" s="6" t="s">
        <v>750</v>
      </c>
      <c r="C12853" s="6" t="s">
        <v>558</v>
      </c>
      <c r="D12853" s="6" t="s">
        <v>586</v>
      </c>
      <c r="E12853" s="2">
        <v>3839490</v>
      </c>
      <c r="F12853" s="4" t="str">
        <f>IF(B12853=B12852,"",B12853)</f>
        <v>Quitilipi</v>
      </c>
    </row>
    <row r="12854" spans="1:6" ht="15.75" customHeight="1">
      <c r="A12854" s="5" t="str">
        <f ca="1">IFERROR(__xludf.DUMMYFUNCTION("GOOGLETRANSLATE(B23288,""en"",""pt"")"),"Quitilipi")</f>
        <v>Quitilipi</v>
      </c>
      <c r="B12854" s="17" t="s">
        <v>750</v>
      </c>
      <c r="C12854" s="17" t="s">
        <v>558</v>
      </c>
      <c r="D12854" s="17" t="s">
        <v>586</v>
      </c>
      <c r="E12854" s="10">
        <v>3839490</v>
      </c>
      <c r="F12854" s="4" t="str">
        <f>IF(B12854=B12853,"",B12854)</f>
        <v/>
      </c>
    </row>
    <row r="12855" spans="1:6" ht="15.75" customHeight="1">
      <c r="A12855" s="5" t="s">
        <v>6344</v>
      </c>
      <c r="B12855" s="6" t="s">
        <v>6345</v>
      </c>
      <c r="C12855" s="5" t="s">
        <v>6303</v>
      </c>
      <c r="D12855" s="5" t="s">
        <v>6346</v>
      </c>
      <c r="E12855" s="2">
        <v>3494121</v>
      </c>
      <c r="F12855" s="4" t="str">
        <f>IF(B12855=B12854,"",B12855)</f>
        <v>Quisqueya</v>
      </c>
    </row>
    <row r="12856" spans="1:6" ht="15.75" customHeight="1">
      <c r="A12856" s="5" t="str">
        <f ca="1">IFERROR(__xludf.DUMMYFUNCTION("GOOGLETRANSLATE(B28473,""en"",""pt"")"),"QuisQueya")</f>
        <v>QuisQueya</v>
      </c>
      <c r="B12856" s="17" t="s">
        <v>6345</v>
      </c>
      <c r="C12856" s="17" t="s">
        <v>6303</v>
      </c>
      <c r="D12856" s="17" t="s">
        <v>32169</v>
      </c>
      <c r="E12856" s="10">
        <v>3494121</v>
      </c>
      <c r="F12856" s="4" t="str">
        <f>IF(B12856=B12855,"",B12856)</f>
        <v/>
      </c>
    </row>
    <row r="12857" spans="1:6" ht="15.75" customHeight="1">
      <c r="A12857" s="5" t="str">
        <f ca="1">IFERROR(__xludf.DUMMYFUNCTION("GOOGLETRANSLATE(B24659,""en"",""pt"")"),"Quirinópolis")</f>
        <v>Quirinópolis</v>
      </c>
      <c r="B12857" s="17" t="s">
        <v>31537</v>
      </c>
      <c r="C12857" s="17" t="s">
        <v>1905</v>
      </c>
      <c r="D12857" s="17" t="s">
        <v>31436</v>
      </c>
      <c r="E12857" s="10">
        <v>3451931</v>
      </c>
      <c r="F12857" s="4" t="str">
        <f>IF(B12857=B12856,"",B12857)</f>
        <v>Quirinópolis</v>
      </c>
    </row>
    <row r="12858" spans="1:6" ht="15.75" customHeight="1">
      <c r="A12858" s="5" t="s">
        <v>3187</v>
      </c>
      <c r="B12858" s="6" t="s">
        <v>3188</v>
      </c>
      <c r="C12858" s="5" t="s">
        <v>1905</v>
      </c>
      <c r="D12858" s="5" t="s">
        <v>1969</v>
      </c>
      <c r="E12858" s="2">
        <v>3451931</v>
      </c>
      <c r="F12858" s="4" t="str">
        <f>IF(B12858=B12857,"",B12858)</f>
        <v>QuirinÃ³polis</v>
      </c>
    </row>
    <row r="12859" spans="1:6" ht="15.75" customHeight="1">
      <c r="A12859" s="5" t="s">
        <v>4155</v>
      </c>
      <c r="B12859" s="6" t="s">
        <v>4156</v>
      </c>
      <c r="C12859" s="5" t="s">
        <v>3975</v>
      </c>
      <c r="D12859" s="5" t="s">
        <v>3980</v>
      </c>
      <c r="E12859" s="2">
        <v>6115355</v>
      </c>
      <c r="F12859" s="4" t="str">
        <f>IF(B12859=B12858,"",B12859)</f>
        <v>Quinte West</v>
      </c>
    </row>
    <row r="12860" spans="1:6" ht="15.75" customHeight="1">
      <c r="A12860" s="5" t="str">
        <f ca="1">IFERROR(__xludf.DUMMYFUNCTION("GOOGLETRANSLATE(B25554,""en"",""pt"")"),"Quinte oeste")</f>
        <v>Quinte oeste</v>
      </c>
      <c r="B12860" s="17" t="s">
        <v>4156</v>
      </c>
      <c r="C12860" s="17" t="s">
        <v>3975</v>
      </c>
      <c r="D12860" s="17" t="s">
        <v>3980</v>
      </c>
      <c r="E12860" s="10">
        <v>6115355</v>
      </c>
      <c r="F12860" s="4" t="str">
        <f>IF(B12860=B12859,"",B12860)</f>
        <v/>
      </c>
    </row>
    <row r="12861" spans="1:6" ht="15.75" customHeight="1">
      <c r="A12861" s="6" t="s">
        <v>29760</v>
      </c>
      <c r="B12861" s="6" t="s">
        <v>29760</v>
      </c>
      <c r="C12861" s="6" t="s">
        <v>27788</v>
      </c>
      <c r="D12861" s="6" t="s">
        <v>27799</v>
      </c>
      <c r="E12861" s="2">
        <v>4247703</v>
      </c>
      <c r="F12861" s="4" t="str">
        <f>IF(B12861=B12860,"",B12861)</f>
        <v>Quincy</v>
      </c>
    </row>
    <row r="12862" spans="1:6" ht="15.75" customHeight="1">
      <c r="A12862" s="6" t="s">
        <v>29760</v>
      </c>
      <c r="B12862" s="6" t="s">
        <v>29760</v>
      </c>
      <c r="C12862" s="6" t="s">
        <v>27788</v>
      </c>
      <c r="D12862" s="6" t="s">
        <v>27794</v>
      </c>
      <c r="E12862" s="2">
        <v>4948247</v>
      </c>
      <c r="F12862" s="4" t="str">
        <f>IF(B12862=B12861,"",B12862)</f>
        <v/>
      </c>
    </row>
    <row r="12863" spans="1:6" ht="15.75" customHeight="1">
      <c r="A12863" s="5" t="str">
        <f ca="1">IFERROR(__xludf.DUMMYFUNCTION("GOOGLETRANSLATE(B43140,""en"",""pt"")"),"Quincy")</f>
        <v>Quincy</v>
      </c>
      <c r="B12863" s="17" t="s">
        <v>29760</v>
      </c>
      <c r="C12863" s="17" t="s">
        <v>27788</v>
      </c>
      <c r="D12863" s="17" t="s">
        <v>27799</v>
      </c>
      <c r="E12863" s="10">
        <v>4247703</v>
      </c>
      <c r="F12863" s="4" t="str">
        <f>IF(B12863=B12862,"",B12863)</f>
        <v/>
      </c>
    </row>
    <row r="12864" spans="1:6" ht="15.75" customHeight="1">
      <c r="A12864" s="5" t="str">
        <f ca="1">IFERROR(__xludf.DUMMYFUNCTION("GOOGLETRANSLATE(B44016,""en"",""pt"")"),"Quincy")</f>
        <v>Quincy</v>
      </c>
      <c r="B12864" s="17" t="s">
        <v>29760</v>
      </c>
      <c r="C12864" s="17" t="s">
        <v>27788</v>
      </c>
      <c r="D12864" s="17" t="s">
        <v>27794</v>
      </c>
      <c r="E12864" s="10">
        <v>4948247</v>
      </c>
      <c r="F12864" s="4" t="str">
        <f>IF(B12864=B12863,"",B12864)</f>
        <v/>
      </c>
    </row>
    <row r="12865" spans="1:6" ht="15.75" customHeight="1">
      <c r="A12865" s="6" t="s">
        <v>7695</v>
      </c>
      <c r="B12865" s="6" t="s">
        <v>7695</v>
      </c>
      <c r="C12865" s="6" t="s">
        <v>7052</v>
      </c>
      <c r="D12865" s="6" t="s">
        <v>7190</v>
      </c>
      <c r="E12865" s="2">
        <v>2984701</v>
      </c>
      <c r="F12865" s="4" t="str">
        <f>IF(B12865=B12864,"",B12865)</f>
        <v>Quimper</v>
      </c>
    </row>
    <row r="12866" spans="1:6" ht="15.75" customHeight="1">
      <c r="A12866" s="5" t="str">
        <f ca="1">IFERROR(__xludf.DUMMYFUNCTION("GOOGLETRANSLATE(B29839,""en"",""pt"")"),"Quimper")</f>
        <v>Quimper</v>
      </c>
      <c r="B12866" s="17" t="s">
        <v>7695</v>
      </c>
      <c r="C12866" s="17" t="s">
        <v>7052</v>
      </c>
      <c r="D12866" s="17" t="s">
        <v>7190</v>
      </c>
      <c r="E12866" s="10">
        <v>2984701</v>
      </c>
      <c r="F12866" s="4" t="str">
        <f>IF(B12866=B12865,"",B12866)</f>
        <v/>
      </c>
    </row>
    <row r="12867" spans="1:6" ht="15.75" customHeight="1">
      <c r="A12867" s="5" t="s">
        <v>5575</v>
      </c>
      <c r="B12867" s="6" t="s">
        <v>5575</v>
      </c>
      <c r="C12867" s="5" t="s">
        <v>5348</v>
      </c>
      <c r="D12867" s="5" t="s">
        <v>5375</v>
      </c>
      <c r="E12867" s="2">
        <v>3671098</v>
      </c>
      <c r="F12867" s="4" t="str">
        <f>IF(B12867=B12866,"",B12867)</f>
        <v>Quimbaya</v>
      </c>
    </row>
    <row r="12868" spans="1:6" ht="15.75" customHeight="1">
      <c r="A12868" s="5" t="str">
        <f ca="1">IFERROR(__xludf.DUMMYFUNCTION("GOOGLETRANSLATE(B26907,""en"",""pt"")"),"Quimbaya")</f>
        <v>Quimbaya</v>
      </c>
      <c r="B12868" s="17" t="s">
        <v>5575</v>
      </c>
      <c r="C12868" s="17" t="s">
        <v>5348</v>
      </c>
      <c r="D12868" s="17" t="s">
        <v>31851</v>
      </c>
      <c r="E12868" s="10">
        <v>3671098</v>
      </c>
      <c r="F12868" s="4" t="str">
        <f>IF(B12868=B12867,"",B12868)</f>
        <v/>
      </c>
    </row>
    <row r="12869" spans="1:6" ht="15.75" customHeight="1">
      <c r="A12869" s="5" t="str">
        <f ca="1">IFERROR(__xludf.DUMMYFUNCTION("GOOGLETRANSLATE(B25908,""en"",""pt"")"),"Quilpué")</f>
        <v>Quilpué</v>
      </c>
      <c r="B12869" s="17" t="s">
        <v>4459</v>
      </c>
      <c r="C12869" s="17" t="s">
        <v>4355</v>
      </c>
      <c r="D12869" s="17" t="s">
        <v>30263</v>
      </c>
      <c r="E12869" s="10">
        <v>3874096</v>
      </c>
      <c r="F12869" s="4" t="str">
        <f>IF(B12869=B12868,"",B12869)</f>
        <v>Quilpué</v>
      </c>
    </row>
    <row r="12870" spans="1:6" ht="15.75" customHeight="1">
      <c r="A12870" s="6" t="s">
        <v>4459</v>
      </c>
      <c r="B12870" s="6" t="s">
        <v>4460</v>
      </c>
      <c r="C12870" s="6" t="s">
        <v>4355</v>
      </c>
      <c r="D12870" s="6" t="s">
        <v>3642</v>
      </c>
      <c r="E12870" s="2">
        <v>3874096</v>
      </c>
      <c r="F12870" s="4" t="str">
        <f>IF(B12870=B12869,"",B12870)</f>
        <v>QuilpuÃ©</v>
      </c>
    </row>
    <row r="12871" spans="1:6" ht="15.75" customHeight="1">
      <c r="A12871" s="6" t="s">
        <v>749</v>
      </c>
      <c r="B12871" s="6" t="s">
        <v>749</v>
      </c>
      <c r="C12871" s="6" t="s">
        <v>558</v>
      </c>
      <c r="D12871" s="6" t="s">
        <v>562</v>
      </c>
      <c r="E12871" s="2">
        <v>3429652</v>
      </c>
      <c r="F12871" s="4" t="str">
        <f>IF(B12871=B12870,"",B12871)</f>
        <v>Quilmes</v>
      </c>
    </row>
    <row r="12872" spans="1:6" ht="15.75" customHeight="1">
      <c r="A12872" s="5" t="str">
        <f ca="1">IFERROR(__xludf.DUMMYFUNCTION("GOOGLETRANSLATE(B23187,""en"",""pt"")"),"Quilmes")</f>
        <v>Quilmes</v>
      </c>
      <c r="B12872" s="17" t="s">
        <v>749</v>
      </c>
      <c r="C12872" s="17" t="s">
        <v>558</v>
      </c>
      <c r="D12872" s="17" t="s">
        <v>562</v>
      </c>
      <c r="E12872" s="10">
        <v>3429652</v>
      </c>
      <c r="F12872" s="4" t="str">
        <f>IF(B12872=B12871,"",B12872)</f>
        <v/>
      </c>
    </row>
    <row r="12873" spans="1:6" ht="15.75" customHeight="1">
      <c r="A12873" s="6" t="s">
        <v>4458</v>
      </c>
      <c r="B12873" s="6" t="s">
        <v>4458</v>
      </c>
      <c r="C12873" s="6" t="s">
        <v>4355</v>
      </c>
      <c r="D12873" s="6" t="s">
        <v>3642</v>
      </c>
      <c r="E12873" s="2">
        <v>3874119</v>
      </c>
      <c r="F12873" s="4" t="str">
        <f>IF(B12873=B12872,"",B12873)</f>
        <v>Quillota</v>
      </c>
    </row>
    <row r="12874" spans="1:6" ht="15.75" customHeight="1">
      <c r="A12874" s="5" t="str">
        <f ca="1">IFERROR(__xludf.DUMMYFUNCTION("GOOGLETRANSLATE(B25909,""en"",""pt"")"),"Quillota")</f>
        <v>Quillota</v>
      </c>
      <c r="B12874" s="17" t="s">
        <v>4458</v>
      </c>
      <c r="C12874" s="17" t="s">
        <v>4355</v>
      </c>
      <c r="D12874" s="17" t="s">
        <v>30263</v>
      </c>
      <c r="E12874" s="10">
        <v>3874119</v>
      </c>
      <c r="F12874" s="4" t="str">
        <f>IF(B12874=B12873,"",B12874)</f>
        <v/>
      </c>
    </row>
    <row r="12875" spans="1:6" ht="15.75" customHeight="1">
      <c r="A12875" s="5" t="s">
        <v>9012</v>
      </c>
      <c r="B12875" s="6" t="s">
        <v>9012</v>
      </c>
      <c r="C12875" s="5" t="s">
        <v>8028</v>
      </c>
      <c r="D12875" s="5" t="s">
        <v>8040</v>
      </c>
      <c r="E12875" s="2">
        <v>2851343</v>
      </c>
      <c r="F12875" s="4" t="str">
        <f>IF(B12875=B12874,"",B12875)</f>
        <v>Quickborn</v>
      </c>
    </row>
    <row r="12876" spans="1:6" ht="15.75" customHeight="1">
      <c r="A12876" s="5" t="str">
        <f ca="1">IFERROR(__xludf.DUMMYFUNCTION("GOOGLETRANSLATE(B27631,""en"",""pt"")"),"Quickborn")</f>
        <v>Quickborn</v>
      </c>
      <c r="B12876" s="17" t="s">
        <v>9012</v>
      </c>
      <c r="C12876" s="17" t="s">
        <v>8028</v>
      </c>
      <c r="D12876" s="17" t="s">
        <v>8040</v>
      </c>
      <c r="E12876" s="10">
        <v>2851343</v>
      </c>
      <c r="F12876" s="4" t="str">
        <f>IF(B12876=B12875,"",B12876)</f>
        <v/>
      </c>
    </row>
    <row r="12877" spans="1:6" ht="15.75" customHeight="1">
      <c r="A12877" s="5" t="str">
        <f ca="1">IFERROR(__xludf.DUMMYFUNCTION("GOOGLETRANSLATE(B45631,""en"",""pt"")"),"Quícor")</f>
        <v>Quícor</v>
      </c>
      <c r="B12877" s="17" t="s">
        <v>36089</v>
      </c>
      <c r="C12877" s="17" t="s">
        <v>5923</v>
      </c>
      <c r="D12877" s="17" t="s">
        <v>1011</v>
      </c>
      <c r="E12877" s="10">
        <v>3629419</v>
      </c>
      <c r="F12877" s="4" t="str">
        <f>IF(B12877=B12876,"",B12877)</f>
        <v>Quíbor</v>
      </c>
    </row>
    <row r="12878" spans="1:6" ht="15.75" customHeight="1">
      <c r="A12878" s="5" t="str">
        <f ca="1">IFERROR(__xludf.DUMMYFUNCTION("GOOGLETRANSLATE(B26908,""en"",""pt"")"),"Quibdó")</f>
        <v>Quibdó</v>
      </c>
      <c r="B12878" s="17" t="s">
        <v>31852</v>
      </c>
      <c r="C12878" s="17" t="s">
        <v>5348</v>
      </c>
      <c r="D12878" s="17" t="s">
        <v>31853</v>
      </c>
      <c r="E12878" s="10">
        <v>3671116</v>
      </c>
      <c r="F12878" s="4" t="str">
        <f>IF(B12878=B12877,"",B12878)</f>
        <v>Quibdó</v>
      </c>
    </row>
    <row r="12879" spans="1:6" ht="15.75" customHeight="1">
      <c r="A12879" s="6" t="s">
        <v>5572</v>
      </c>
      <c r="B12879" s="6" t="s">
        <v>5573</v>
      </c>
      <c r="C12879" s="6" t="s">
        <v>5348</v>
      </c>
      <c r="D12879" s="6" t="s">
        <v>5574</v>
      </c>
      <c r="E12879" s="2">
        <v>3671116</v>
      </c>
      <c r="F12879" s="4" t="str">
        <f>IF(B12879=B12878,"",B12879)</f>
        <v>QuibdÃ³</v>
      </c>
    </row>
    <row r="12880" spans="1:6" ht="15.75" customHeight="1">
      <c r="A12880" s="6" t="s">
        <v>20978</v>
      </c>
      <c r="B12880" s="6" t="s">
        <v>20978</v>
      </c>
      <c r="C12880" s="6" t="s">
        <v>20598</v>
      </c>
      <c r="D12880" s="6" t="s">
        <v>20723</v>
      </c>
      <c r="E12880" s="2">
        <v>1692184</v>
      </c>
      <c r="F12880" s="4" t="str">
        <f>IF(B12880=B12879,"",B12880)</f>
        <v>Quiapo</v>
      </c>
    </row>
    <row r="12881" spans="1:6" ht="15.75" customHeight="1">
      <c r="A12881" s="5" t="str">
        <f ca="1">IFERROR(__xludf.DUMMYFUNCTION("GOOGLETRANSLATE(B38536,""en"",""pt"")"),"Quiapo")</f>
        <v>Quiapo</v>
      </c>
      <c r="B12881" s="17" t="s">
        <v>20978</v>
      </c>
      <c r="C12881" s="17" t="s">
        <v>20598</v>
      </c>
      <c r="D12881" s="17" t="s">
        <v>20723</v>
      </c>
      <c r="E12881" s="10">
        <v>1692184</v>
      </c>
      <c r="F12881" s="4" t="str">
        <f>IF(B12881=B12880,"",B12881)</f>
        <v/>
      </c>
    </row>
    <row r="12882" spans="1:6" ht="15.75" customHeight="1">
      <c r="A12882" s="6" t="s">
        <v>30891</v>
      </c>
      <c r="B12882" s="6" t="s">
        <v>30892</v>
      </c>
      <c r="C12882" s="6" t="s">
        <v>30784</v>
      </c>
      <c r="D12882" s="6" t="s">
        <v>30893</v>
      </c>
      <c r="E12882" s="2">
        <v>1568574</v>
      </c>
      <c r="F12882" s="4" t="str">
        <f>IF(B12882=B12881,"",B12882)</f>
        <v>Qui Nhon</v>
      </c>
    </row>
    <row r="12883" spans="1:6" ht="15.75" customHeight="1">
      <c r="A12883" s="5" t="str">
        <f ca="1">IFERROR(__xludf.DUMMYFUNCTION("GOOGLETRANSLATE(B45736,""en"",""pt"")"),"Qui nhon")</f>
        <v>Qui nhon</v>
      </c>
      <c r="B12883" s="17" t="s">
        <v>30892</v>
      </c>
      <c r="C12883" s="17" t="s">
        <v>30784</v>
      </c>
      <c r="D12883" s="17" t="s">
        <v>36142</v>
      </c>
      <c r="E12883" s="10">
        <v>1568574</v>
      </c>
      <c r="F12883" s="4" t="str">
        <f>IF(B12883=B12882,"",B12883)</f>
        <v/>
      </c>
    </row>
    <row r="12884" spans="1:6" ht="15.75" customHeight="1">
      <c r="A12884" s="6" t="s">
        <v>5030</v>
      </c>
      <c r="B12884" s="6" t="s">
        <v>5030</v>
      </c>
      <c r="C12884" s="6" t="s">
        <v>4487</v>
      </c>
      <c r="D12884" s="6" t="s">
        <v>4503</v>
      </c>
      <c r="E12884" s="2">
        <v>1797333</v>
      </c>
      <c r="F12884" s="4" t="str">
        <f>IF(B12884=B12883,"",B12884)</f>
        <v>Qufu</v>
      </c>
    </row>
    <row r="12885" spans="1:6" ht="15.75" customHeight="1">
      <c r="A12885" s="5" t="str">
        <f ca="1">IFERROR(__xludf.DUMMYFUNCTION("GOOGLETRANSLATE(B26295,""en"",""pt"")"),"Qufu")</f>
        <v>Qufu</v>
      </c>
      <c r="B12885" s="17" t="s">
        <v>5030</v>
      </c>
      <c r="C12885" s="17" t="s">
        <v>4487</v>
      </c>
      <c r="D12885" s="17" t="s">
        <v>4503</v>
      </c>
      <c r="E12885" s="10">
        <v>1797333</v>
      </c>
      <c r="F12885" s="4" t="str">
        <f>IF(B12885=B12884,"",B12885)</f>
        <v/>
      </c>
    </row>
    <row r="12886" spans="1:6" ht="15.75" customHeight="1">
      <c r="A12886" s="5" t="s">
        <v>20976</v>
      </c>
      <c r="B12886" s="6" t="s">
        <v>20977</v>
      </c>
      <c r="C12886" s="5" t="s">
        <v>20598</v>
      </c>
      <c r="D12886" s="5" t="s">
        <v>20723</v>
      </c>
      <c r="E12886" s="2">
        <v>1692192</v>
      </c>
      <c r="F12886" s="4" t="str">
        <f>IF(B12886=B12885,"",B12886)</f>
        <v>Quezon City</v>
      </c>
    </row>
    <row r="12887" spans="1:6" ht="15.75" customHeight="1">
      <c r="A12887" s="5" t="str">
        <f ca="1">IFERROR(__xludf.DUMMYFUNCTION("GOOGLETRANSLATE(B38537,""en"",""pt"")"),"Cidade de Quezon")</f>
        <v>Cidade de Quezon</v>
      </c>
      <c r="B12887" s="17" t="s">
        <v>20977</v>
      </c>
      <c r="C12887" s="17" t="s">
        <v>20598</v>
      </c>
      <c r="D12887" s="17" t="s">
        <v>20723</v>
      </c>
      <c r="E12887" s="10">
        <v>1692192</v>
      </c>
      <c r="F12887" s="4" t="str">
        <f>IF(B12887=B12886,"",B12887)</f>
        <v/>
      </c>
    </row>
    <row r="12888" spans="1:6" ht="15.75" customHeight="1">
      <c r="A12888" s="6" t="s">
        <v>20975</v>
      </c>
      <c r="B12888" s="6" t="s">
        <v>20975</v>
      </c>
      <c r="C12888" s="6" t="s">
        <v>20598</v>
      </c>
      <c r="D12888" s="6" t="s">
        <v>20599</v>
      </c>
      <c r="E12888" s="2">
        <v>1692199</v>
      </c>
      <c r="F12888" s="4" t="str">
        <f>IF(B12888=B12887,"",B12888)</f>
        <v>Quezon</v>
      </c>
    </row>
    <row r="12889" spans="1:6" ht="15.75" customHeight="1">
      <c r="A12889" s="6" t="s">
        <v>20975</v>
      </c>
      <c r="B12889" s="6" t="s">
        <v>20975</v>
      </c>
      <c r="C12889" s="6" t="s">
        <v>20598</v>
      </c>
      <c r="D12889" s="6" t="s">
        <v>20687</v>
      </c>
      <c r="E12889" s="2">
        <v>1692214</v>
      </c>
      <c r="F12889" s="4" t="str">
        <f>IF(B12889=B12888,"",B12889)</f>
        <v/>
      </c>
    </row>
    <row r="12890" spans="1:6" ht="15.75" customHeight="1">
      <c r="A12890" s="5" t="str">
        <f ca="1">IFERROR(__xludf.DUMMYFUNCTION("GOOGLETRANSLATE(B38538,""en"",""pt"")"),"Quezon")</f>
        <v>Quezon</v>
      </c>
      <c r="B12890" s="17" t="s">
        <v>20975</v>
      </c>
      <c r="C12890" s="17" t="s">
        <v>20598</v>
      </c>
      <c r="D12890" s="17" t="s">
        <v>20599</v>
      </c>
      <c r="E12890" s="10">
        <v>1692199</v>
      </c>
      <c r="F12890" s="4" t="str">
        <f>IF(B12890=B12889,"",B12890)</f>
        <v/>
      </c>
    </row>
    <row r="12891" spans="1:6" ht="15.75" customHeight="1">
      <c r="A12891" s="5" t="str">
        <f ca="1">IFERROR(__xludf.DUMMYFUNCTION("GOOGLETRANSLATE(B38539,""en"",""pt"")"),"Quezon")</f>
        <v>Quezon</v>
      </c>
      <c r="B12891" s="17" t="s">
        <v>20975</v>
      </c>
      <c r="C12891" s="17" t="s">
        <v>20598</v>
      </c>
      <c r="D12891" s="17" t="s">
        <v>20687</v>
      </c>
      <c r="E12891" s="10">
        <v>1692214</v>
      </c>
      <c r="F12891" s="4" t="str">
        <f>IF(B12891=B12890,"",B12891)</f>
        <v/>
      </c>
    </row>
    <row r="12892" spans="1:6" ht="15.75" customHeight="1">
      <c r="A12892" s="5" t="s">
        <v>6750</v>
      </c>
      <c r="B12892" s="6" t="s">
        <v>6750</v>
      </c>
      <c r="C12892" s="5" t="s">
        <v>6727</v>
      </c>
      <c r="D12892" s="5" t="s">
        <v>6435</v>
      </c>
      <c r="E12892" s="2">
        <v>3583981</v>
      </c>
      <c r="F12892" s="4" t="str">
        <f>IF(B12892=B12891,"",B12892)</f>
        <v>Quezaltepeque</v>
      </c>
    </row>
    <row r="12893" spans="1:6" ht="15.75" customHeight="1">
      <c r="A12893" s="5" t="str">
        <f ca="1">IFERROR(__xludf.DUMMYFUNCTION("GOOGLETRANSLATE(B41370,""en"",""pt"")"),"Quezaltepeque")</f>
        <v>Quezaltepeque</v>
      </c>
      <c r="B12893" s="17" t="s">
        <v>6750</v>
      </c>
      <c r="C12893" s="17" t="s">
        <v>6727</v>
      </c>
      <c r="D12893" s="17" t="s">
        <v>6435</v>
      </c>
      <c r="E12893" s="10">
        <v>3583981</v>
      </c>
      <c r="F12893" s="4" t="str">
        <f>IF(B12893=B12892,"",B12893)</f>
        <v/>
      </c>
    </row>
    <row r="12894" spans="1:6" ht="15.75" customHeight="1">
      <c r="A12894" s="6" t="s">
        <v>6467</v>
      </c>
      <c r="B12894" s="6" t="s">
        <v>6467</v>
      </c>
      <c r="C12894" s="6" t="s">
        <v>6398</v>
      </c>
      <c r="D12894" s="6" t="s">
        <v>4411</v>
      </c>
      <c r="E12894" s="2">
        <v>3652567</v>
      </c>
      <c r="F12894" s="4" t="str">
        <f>IF(B12894=B12893,"",B12894)</f>
        <v>Quevedo</v>
      </c>
    </row>
    <row r="12895" spans="1:6" ht="15.75" customHeight="1">
      <c r="A12895" s="5" t="str">
        <f ca="1">IFERROR(__xludf.DUMMYFUNCTION("GOOGLETRANSLATE(B28764,""en"",""pt"")"),"Quevedo")</f>
        <v>Quevedo</v>
      </c>
      <c r="B12895" s="17" t="s">
        <v>6467</v>
      </c>
      <c r="C12895" s="17" t="s">
        <v>6398</v>
      </c>
      <c r="D12895" s="17" t="s">
        <v>31795</v>
      </c>
      <c r="E12895" s="10">
        <v>3652567</v>
      </c>
      <c r="F12895" s="4" t="str">
        <f>IF(B12895=B12894,"",B12895)</f>
        <v/>
      </c>
    </row>
    <row r="12896" spans="1:6" ht="15.75" customHeight="1">
      <c r="A12896" s="5" t="s">
        <v>9712</v>
      </c>
      <c r="B12896" s="6" t="s">
        <v>9712</v>
      </c>
      <c r="C12896" s="5" t="s">
        <v>9700</v>
      </c>
      <c r="D12896" s="5" t="s">
        <v>9712</v>
      </c>
      <c r="E12896" s="2">
        <v>3590979</v>
      </c>
      <c r="F12896" s="4" t="str">
        <f>IF(B12896=B12895,"",B12896)</f>
        <v>Quetzaltenango</v>
      </c>
    </row>
    <row r="12897" spans="1:6" ht="15.75" customHeight="1">
      <c r="A12897" s="5" t="str">
        <f ca="1">IFERROR(__xludf.DUMMYFUNCTION("GOOGLETRANSLATE(B31091,""en"",""pt"")"),"Quetzaltenango")</f>
        <v>Quetzaltenango</v>
      </c>
      <c r="B12897" s="17" t="s">
        <v>9712</v>
      </c>
      <c r="C12897" s="17" t="s">
        <v>9700</v>
      </c>
      <c r="D12897" s="17" t="s">
        <v>9712</v>
      </c>
      <c r="E12897" s="10">
        <v>3590979</v>
      </c>
      <c r="F12897" s="4" t="str">
        <f>IF(B12897=B12896,"",B12897)</f>
        <v/>
      </c>
    </row>
    <row r="12898" spans="1:6" ht="15.75" customHeight="1">
      <c r="A12898" s="6" t="s">
        <v>20173</v>
      </c>
      <c r="B12898" s="6" t="s">
        <v>20173</v>
      </c>
      <c r="C12898" s="6" t="s">
        <v>19808</v>
      </c>
      <c r="D12898" s="6" t="s">
        <v>19833</v>
      </c>
      <c r="E12898" s="2">
        <v>1167528</v>
      </c>
      <c r="F12898" s="4" t="str">
        <f>IF(B12898=B12897,"",B12898)</f>
        <v>Quetta</v>
      </c>
    </row>
    <row r="12899" spans="1:6" ht="15.75" customHeight="1">
      <c r="A12899" s="5" t="str">
        <f ca="1">IFERROR(__xludf.DUMMYFUNCTION("GOOGLETRANSLATE(B38943,""en"",""pt"")"),"Quetta")</f>
        <v>Quetta</v>
      </c>
      <c r="B12899" s="17" t="s">
        <v>20173</v>
      </c>
      <c r="C12899" s="17" t="s">
        <v>19808</v>
      </c>
      <c r="D12899" s="17" t="s">
        <v>34892</v>
      </c>
      <c r="E12899" s="10">
        <v>1167528</v>
      </c>
      <c r="F12899" s="4" t="str">
        <f>IF(B12899=B12898,"",B12899)</f>
        <v/>
      </c>
    </row>
    <row r="12900" spans="1:6" ht="15.75" customHeight="1">
      <c r="A12900" s="6" t="s">
        <v>5695</v>
      </c>
      <c r="B12900" s="6" t="s">
        <v>5695</v>
      </c>
      <c r="C12900" s="6" t="s">
        <v>5665</v>
      </c>
      <c r="D12900" s="6" t="s">
        <v>5664</v>
      </c>
      <c r="E12900" s="2">
        <v>3622190</v>
      </c>
      <c r="F12900" s="4" t="str">
        <f>IF(B12900=B12899,"",B12900)</f>
        <v>Quesada</v>
      </c>
    </row>
    <row r="12901" spans="1:6" ht="15.75" customHeight="1">
      <c r="A12901" s="5" t="str">
        <f ca="1">IFERROR(__xludf.DUMMYFUNCTION("GOOGLETRANSLATE(B27079,""en"",""pt"")"),"Quesada")</f>
        <v>Quesada</v>
      </c>
      <c r="B12901" s="17" t="s">
        <v>5695</v>
      </c>
      <c r="C12901" s="17" t="s">
        <v>5665</v>
      </c>
      <c r="D12901" s="17" t="s">
        <v>5664</v>
      </c>
      <c r="E12901" s="10">
        <v>3622190</v>
      </c>
      <c r="F12901" s="4" t="str">
        <f>IF(B12901=B12900,"",B12901)</f>
        <v/>
      </c>
    </row>
    <row r="12902" spans="1:6" ht="15.75" customHeight="1">
      <c r="A12902" s="5" t="s">
        <v>20565</v>
      </c>
      <c r="B12902" s="6" t="s">
        <v>20566</v>
      </c>
      <c r="C12902" s="5" t="s">
        <v>20470</v>
      </c>
      <c r="D12902" s="5" t="s">
        <v>20486</v>
      </c>
      <c r="E12902" s="2">
        <v>3693057</v>
      </c>
      <c r="F12902" s="4" t="str">
        <f>IF(B12902=B12901,"",B12902)</f>
        <v>Querecotillo</v>
      </c>
    </row>
    <row r="12903" spans="1:6" ht="15.75" customHeight="1">
      <c r="A12903" s="5" t="str">
        <f ca="1">IFERROR(__xludf.DUMMYFUNCTION("GOOGLETRANSLATE(B38316,""en"",""pt"")"),"QuerecoTillo")</f>
        <v>QuerecoTillo</v>
      </c>
      <c r="B12903" s="17" t="s">
        <v>20566</v>
      </c>
      <c r="C12903" s="17" t="s">
        <v>20470</v>
      </c>
      <c r="D12903" s="17" t="s">
        <v>20486</v>
      </c>
      <c r="E12903" s="10">
        <v>3693057</v>
      </c>
      <c r="F12903" s="4" t="str">
        <f>IF(B12903=B12902,"",B12903)</f>
        <v/>
      </c>
    </row>
    <row r="12904" spans="1:6" ht="15.75" customHeight="1">
      <c r="A12904" s="6" t="s">
        <v>21716</v>
      </c>
      <c r="B12904" s="6" t="s">
        <v>21716</v>
      </c>
      <c r="C12904" s="6" t="s">
        <v>21606</v>
      </c>
      <c r="D12904" s="6" t="s">
        <v>21616</v>
      </c>
      <c r="E12904" s="2">
        <v>2264268</v>
      </c>
      <c r="F12904" s="4" t="str">
        <f>IF(B12904=B12903,"",B12904)</f>
        <v>Queluz</v>
      </c>
    </row>
    <row r="12905" spans="1:6" ht="15.75" customHeight="1">
      <c r="A12905" s="5" t="str">
        <f ca="1">IFERROR(__xludf.DUMMYFUNCTION("GOOGLETRANSLATE(B39578,""en"",""pt"")"),"Queluz")</f>
        <v>Queluz</v>
      </c>
      <c r="B12905" s="17" t="s">
        <v>21716</v>
      </c>
      <c r="C12905" s="17" t="s">
        <v>21606</v>
      </c>
      <c r="D12905" s="17" t="s">
        <v>21616</v>
      </c>
      <c r="E12905" s="10">
        <v>2264268</v>
      </c>
      <c r="F12905" s="4" t="str">
        <f>IF(B12905=B12904,"",B12905)</f>
        <v/>
      </c>
    </row>
    <row r="12906" spans="1:6" ht="15.75" customHeight="1">
      <c r="A12906" s="5" t="s">
        <v>18689</v>
      </c>
      <c r="B12906" s="6" t="s">
        <v>18689</v>
      </c>
      <c r="C12906" s="5" t="s">
        <v>18655</v>
      </c>
      <c r="D12906" s="5" t="s">
        <v>18690</v>
      </c>
      <c r="E12906" s="2">
        <v>1028434</v>
      </c>
      <c r="F12906" s="4" t="str">
        <f>IF(B12906=B12905,"",B12906)</f>
        <v>Quelimane</v>
      </c>
    </row>
    <row r="12907" spans="1:6" ht="15.75" customHeight="1">
      <c r="A12907" s="5" t="str">
        <f ca="1">IFERROR(__xludf.DUMMYFUNCTION("GOOGLETRANSLATE(B37545,""en"",""pt"")"),"Quelimane")</f>
        <v>Quelimane</v>
      </c>
      <c r="B12907" s="17" t="s">
        <v>18689</v>
      </c>
      <c r="C12907" s="17" t="s">
        <v>18655</v>
      </c>
      <c r="D12907" s="17" t="s">
        <v>34796</v>
      </c>
      <c r="E12907" s="10">
        <v>1028434</v>
      </c>
      <c r="F12907" s="4" t="str">
        <f>IF(B12907=B12906,"",B12907)</f>
        <v/>
      </c>
    </row>
    <row r="12908" spans="1:6" ht="15.75" customHeight="1">
      <c r="A12908" s="5" t="s">
        <v>3186</v>
      </c>
      <c r="B12908" s="6" t="s">
        <v>3186</v>
      </c>
      <c r="C12908" s="5" t="s">
        <v>1905</v>
      </c>
      <c r="D12908" s="5" t="s">
        <v>1978</v>
      </c>
      <c r="E12908" s="2">
        <v>3452073</v>
      </c>
      <c r="F12908" s="4" t="str">
        <f>IF(B12908=B12907,"",B12908)</f>
        <v>Queimados</v>
      </c>
    </row>
    <row r="12909" spans="1:6" ht="15.75" customHeight="1">
      <c r="A12909" s="5" t="str">
        <f ca="1">IFERROR(__xludf.DUMMYFUNCTION("GOOGLETRANSLATE(B24660,""en"",""pt"")"),"Queimados")</f>
        <v>Queimados</v>
      </c>
      <c r="B12909" s="17" t="s">
        <v>3186</v>
      </c>
      <c r="C12909" s="17" t="s">
        <v>1905</v>
      </c>
      <c r="D12909" s="17" t="s">
        <v>1978</v>
      </c>
      <c r="E12909" s="10">
        <v>3452073</v>
      </c>
      <c r="F12909" s="4" t="str">
        <f>IF(B12909=B12908,"",B12909)</f>
        <v/>
      </c>
    </row>
    <row r="12910" spans="1:6" ht="15.75" customHeight="1">
      <c r="A12910" s="5" t="s">
        <v>23965</v>
      </c>
      <c r="B12910" s="6" t="s">
        <v>23965</v>
      </c>
      <c r="C12910" s="5" t="s">
        <v>23842</v>
      </c>
      <c r="D12910" s="5" t="s">
        <v>23843</v>
      </c>
      <c r="E12910" s="2">
        <v>963516</v>
      </c>
      <c r="F12910" s="4" t="str">
        <f>IF(B12910=B12909,"",B12910)</f>
        <v>Queenstown</v>
      </c>
    </row>
    <row r="12911" spans="1:6" ht="15.75" customHeight="1">
      <c r="A12911" s="5" t="str">
        <f ca="1">IFERROR(__xludf.DUMMYFUNCTION("GOOGLETRANSLATE(B45887,""en"",""pt"")"),"Queenstown")</f>
        <v>Queenstown</v>
      </c>
      <c r="B12911" s="17" t="s">
        <v>23965</v>
      </c>
      <c r="C12911" s="17" t="s">
        <v>23842</v>
      </c>
      <c r="D12911" s="17" t="s">
        <v>23843</v>
      </c>
      <c r="E12911" s="10">
        <v>963516</v>
      </c>
      <c r="F12911" s="4" t="str">
        <f>IF(B12911=B12910,"",B12911)</f>
        <v/>
      </c>
    </row>
    <row r="12912" spans="1:6" ht="15.75" customHeight="1">
      <c r="A12912" s="5" t="s">
        <v>23964</v>
      </c>
      <c r="B12912" s="6" t="s">
        <v>23964</v>
      </c>
      <c r="C12912" s="5" t="s">
        <v>23842</v>
      </c>
      <c r="D12912" s="5" t="s">
        <v>23843</v>
      </c>
      <c r="E12912" s="2">
        <v>963525</v>
      </c>
      <c r="F12912" s="4" t="str">
        <f>IF(B12912=B12911,"",B12912)</f>
        <v>Queensdale</v>
      </c>
    </row>
    <row r="12913" spans="1:6" ht="15.75" customHeight="1">
      <c r="A12913" s="5" t="str">
        <f ca="1">IFERROR(__xludf.DUMMYFUNCTION("GOOGLETRANSLATE(B45888,""en"",""pt"")"),"Queensdale")</f>
        <v>Queensdale</v>
      </c>
      <c r="B12913" s="17" t="s">
        <v>23964</v>
      </c>
      <c r="C12913" s="17" t="s">
        <v>23842</v>
      </c>
      <c r="D12913" s="17" t="s">
        <v>23843</v>
      </c>
      <c r="E12913" s="10">
        <v>963525</v>
      </c>
      <c r="F12913" s="4" t="str">
        <f>IF(B12913=B12912,"",B12913)</f>
        <v/>
      </c>
    </row>
    <row r="12914" spans="1:6" ht="15.75" customHeight="1">
      <c r="A12914" s="5" t="s">
        <v>29759</v>
      </c>
      <c r="B12914" s="6" t="s">
        <v>29759</v>
      </c>
      <c r="C12914" s="5" t="s">
        <v>27788</v>
      </c>
      <c r="D12914" s="5" t="s">
        <v>27880</v>
      </c>
      <c r="E12914" s="2">
        <v>5310193</v>
      </c>
      <c r="F12914" s="4" t="str">
        <f>IF(B12914=B12913,"",B12914)</f>
        <v>Queen Creek</v>
      </c>
    </row>
    <row r="12915" spans="1:6" ht="15.75" customHeight="1">
      <c r="A12915" s="5" t="str">
        <f ca="1">IFERROR(__xludf.DUMMYFUNCTION("GOOGLETRANSLATE(B44723,""en"",""pt"")"),"Queen Creek")</f>
        <v>Queen Creek</v>
      </c>
      <c r="B12915" s="17" t="s">
        <v>29759</v>
      </c>
      <c r="C12915" s="17" t="s">
        <v>27788</v>
      </c>
      <c r="D12915" s="17" t="s">
        <v>27880</v>
      </c>
      <c r="E12915" s="10">
        <v>5310193</v>
      </c>
      <c r="F12915" s="4" t="str">
        <f>IF(B12915=B12914,"",B12915)</f>
        <v/>
      </c>
    </row>
    <row r="12916" spans="1:6" ht="15.75" customHeight="1">
      <c r="A12916" s="5" t="s">
        <v>9011</v>
      </c>
      <c r="B12916" s="6" t="s">
        <v>9011</v>
      </c>
      <c r="C12916" s="5" t="s">
        <v>8028</v>
      </c>
      <c r="D12916" s="5" t="s">
        <v>8085</v>
      </c>
      <c r="E12916" s="2">
        <v>2851465</v>
      </c>
      <c r="F12916" s="4" t="str">
        <f>IF(B12916=B12915,"",B12916)</f>
        <v>Quedlinburg</v>
      </c>
    </row>
    <row r="12917" spans="1:6" ht="15.75" customHeight="1">
      <c r="A12917" s="5" t="str">
        <f ca="1">IFERROR(__xludf.DUMMYFUNCTION("GOOGLETRANSLATE(B27632,""en"",""pt"")"),"Quedlinburg")</f>
        <v>Quedlinburg</v>
      </c>
      <c r="B12917" s="17" t="s">
        <v>9011</v>
      </c>
      <c r="C12917" s="17" t="s">
        <v>8028</v>
      </c>
      <c r="D12917" s="17" t="s">
        <v>8085</v>
      </c>
      <c r="E12917" s="10">
        <v>2851465</v>
      </c>
      <c r="F12917" s="4" t="str">
        <f>IF(B12917=B12916,"",B12917)</f>
        <v/>
      </c>
    </row>
    <row r="12918" spans="1:6" ht="15.75" customHeight="1">
      <c r="A12918" s="5" t="str">
        <f ca="1">IFERROR(__xludf.DUMMYFUNCTION("GOOGLETRANSLATE(B25622,""en"",""pt"")"),"Quebec")</f>
        <v>Quebec</v>
      </c>
      <c r="B12918" s="17" t="s">
        <v>31760</v>
      </c>
      <c r="C12918" s="17" t="s">
        <v>3975</v>
      </c>
      <c r="D12918" s="17" t="s">
        <v>3982</v>
      </c>
      <c r="E12918" s="10">
        <v>6325494</v>
      </c>
      <c r="F12918" s="4" t="str">
        <f>IF(B12918=B12917,"",B12918)</f>
        <v>Québec</v>
      </c>
    </row>
    <row r="12919" spans="1:6" ht="15.75" customHeight="1">
      <c r="A12919" s="5" t="s">
        <v>1066</v>
      </c>
      <c r="B12919" s="6" t="s">
        <v>1066</v>
      </c>
      <c r="C12919" s="5" t="s">
        <v>885</v>
      </c>
      <c r="D12919" s="5" t="s">
        <v>891</v>
      </c>
      <c r="E12919" s="2">
        <v>2152286</v>
      </c>
      <c r="F12919" s="4" t="str">
        <f>IF(B12919=B12918,"",B12919)</f>
        <v>Queanbeyan</v>
      </c>
    </row>
    <row r="12920" spans="1:6" ht="15.75" customHeight="1">
      <c r="A12920" s="5" t="str">
        <f ca="1">IFERROR(__xludf.DUMMYFUNCTION("GOOGLETRANSLATE(B23460,""en"",""pt"")"),"Queanbeyan")</f>
        <v>Queanbeyan</v>
      </c>
      <c r="B12920" s="17" t="s">
        <v>1066</v>
      </c>
      <c r="C12920" s="17" t="s">
        <v>885</v>
      </c>
      <c r="D12920" s="17" t="s">
        <v>891</v>
      </c>
      <c r="E12920" s="10">
        <v>2152286</v>
      </c>
      <c r="F12920" s="4" t="str">
        <f>IF(B12920=B12919,"",B12920)</f>
        <v/>
      </c>
    </row>
    <row r="12921" spans="1:6" ht="15.75" customHeight="1">
      <c r="A12921" s="5" t="str">
        <f ca="1">IFERROR(__xludf.DUMMYFUNCTION("GOOGLETRANSLATE(B34387,""en"",""pt"")"),"Qūchān")</f>
        <v>Qūchān</v>
      </c>
      <c r="B12921" s="17" t="s">
        <v>34156</v>
      </c>
      <c r="C12921" s="17" t="s">
        <v>14240</v>
      </c>
      <c r="D12921" s="17" t="s">
        <v>14351</v>
      </c>
      <c r="E12921" s="10">
        <v>119115</v>
      </c>
      <c r="F12921" s="4" t="str">
        <f>IF(B12921=B12920,"",B12921)</f>
        <v>Qūchān</v>
      </c>
    </row>
    <row r="12922" spans="1:6" ht="15.75" customHeight="1">
      <c r="A12922" s="6" t="s">
        <v>1238</v>
      </c>
      <c r="B12922" s="6" t="s">
        <v>1238</v>
      </c>
      <c r="C12922" s="6" t="s">
        <v>1170</v>
      </c>
      <c r="D12922" s="6" t="s">
        <v>1238</v>
      </c>
      <c r="E12922" s="2">
        <v>585221</v>
      </c>
      <c r="F12922" s="4" t="str">
        <f>IF(B12922=B12921,"",B12922)</f>
        <v>Quba</v>
      </c>
    </row>
    <row r="12923" spans="1:6" ht="15.75" customHeight="1">
      <c r="A12923" s="5" t="str">
        <f ca="1">IFERROR(__xludf.DUMMYFUNCTION("GOOGLETRANSLATE(B23646,""en"",""pt"")"),"Quba")</f>
        <v>Quba</v>
      </c>
      <c r="B12923" s="17" t="s">
        <v>1238</v>
      </c>
      <c r="C12923" s="17" t="s">
        <v>1170</v>
      </c>
      <c r="D12923" s="17" t="s">
        <v>1238</v>
      </c>
      <c r="E12923" s="10">
        <v>585221</v>
      </c>
      <c r="F12923" s="4" t="str">
        <f>IF(B12923=B12922,"",B12923)</f>
        <v/>
      </c>
    </row>
    <row r="12924" spans="1:6" ht="15.75" customHeight="1">
      <c r="A12924" s="5" t="s">
        <v>15399</v>
      </c>
      <c r="B12924" s="6" t="s">
        <v>15399</v>
      </c>
      <c r="C12924" s="5" t="s">
        <v>14891</v>
      </c>
      <c r="D12924" s="5" t="s">
        <v>14929</v>
      </c>
      <c r="E12924" s="2">
        <v>2523664</v>
      </c>
      <c r="F12924" s="4" t="str">
        <f>IF(B12924=B12923,"",B12924)</f>
        <v>Quattromiglia</v>
      </c>
    </row>
    <row r="12925" spans="1:6" ht="15.75" customHeight="1">
      <c r="A12925" s="5" t="str">
        <f ca="1">IFERROR(__xludf.DUMMYFUNCTION("GOOGLETRANSLATE(B34560,""en"",""pt"")"),"Quattromiglia")</f>
        <v>Quattromiglia</v>
      </c>
      <c r="B12925" s="17" t="s">
        <v>15399</v>
      </c>
      <c r="C12925" s="17" t="s">
        <v>14891</v>
      </c>
      <c r="D12925" s="17" t="s">
        <v>14929</v>
      </c>
      <c r="E12925" s="10">
        <v>2523664</v>
      </c>
      <c r="F12925" s="4" t="str">
        <f>IF(B12925=B12924,"",B12925)</f>
        <v/>
      </c>
    </row>
    <row r="12926" spans="1:6" ht="15.75" customHeight="1">
      <c r="A12926" s="5" t="s">
        <v>3185</v>
      </c>
      <c r="B12926" s="6" t="s">
        <v>3185</v>
      </c>
      <c r="C12926" s="5" t="s">
        <v>1905</v>
      </c>
      <c r="D12926" s="5" t="s">
        <v>728</v>
      </c>
      <c r="E12926" s="2">
        <v>3452141</v>
      </c>
      <c r="F12926" s="4" t="str">
        <f>IF(B12926=B12925,"",B12926)</f>
        <v>Quatro Barras</v>
      </c>
    </row>
    <row r="12927" spans="1:6" ht="15.75" customHeight="1">
      <c r="A12927" s="5" t="str">
        <f ca="1">IFERROR(__xludf.DUMMYFUNCTION("GOOGLETRANSLATE(B24661,""en"",""pt"")"),"Quatro Barras")</f>
        <v>Quatro Barras</v>
      </c>
      <c r="B12927" s="17" t="s">
        <v>3185</v>
      </c>
      <c r="C12927" s="17" t="s">
        <v>1905</v>
      </c>
      <c r="D12927" s="17" t="s">
        <v>727</v>
      </c>
      <c r="E12927" s="10">
        <v>3452141</v>
      </c>
      <c r="F12927" s="4" t="str">
        <f>IF(B12927=B12926,"",B12927)</f>
        <v/>
      </c>
    </row>
    <row r="12928" spans="1:6" ht="15.75" customHeight="1">
      <c r="A12928" s="5" t="s">
        <v>17694</v>
      </c>
      <c r="B12928" s="6" t="s">
        <v>17695</v>
      </c>
      <c r="C12928" s="5" t="s">
        <v>17678</v>
      </c>
      <c r="D12928" s="5" t="s">
        <v>17684</v>
      </c>
      <c r="E12928" s="2">
        <v>934131</v>
      </c>
      <c r="F12928" s="4" t="str">
        <f>IF(B12928=B12927,"",B12928)</f>
        <v>Quatre Bornes</v>
      </c>
    </row>
    <row r="12929" spans="1:6" ht="15.75" customHeight="1">
      <c r="A12929" s="5" t="str">
        <f ca="1">IFERROR(__xludf.DUMMYFUNCTION("GOOGLETRANSLATE(B36815,""en"",""pt"")"),"Quatre nascido")</f>
        <v>Quatre nascido</v>
      </c>
      <c r="B12929" s="17" t="s">
        <v>17695</v>
      </c>
      <c r="C12929" s="17" t="s">
        <v>17678</v>
      </c>
      <c r="D12929" s="17" t="s">
        <v>17684</v>
      </c>
      <c r="E12929" s="10">
        <v>934131</v>
      </c>
      <c r="F12929" s="4" t="str">
        <f>IF(B12929=B12928,"",B12929)</f>
        <v/>
      </c>
    </row>
    <row r="12930" spans="1:6" ht="15.75" customHeight="1">
      <c r="A12930" s="5" t="s">
        <v>15397</v>
      </c>
      <c r="B12930" s="6" t="s">
        <v>15398</v>
      </c>
      <c r="C12930" s="5" t="s">
        <v>14891</v>
      </c>
      <c r="D12930" s="5" t="s">
        <v>14925</v>
      </c>
      <c r="E12930" s="2">
        <v>2523665</v>
      </c>
      <c r="F12930" s="4" t="str">
        <f>IF(B12930=B12929,"",B12930)</f>
        <v>Quartu Sant'Elena</v>
      </c>
    </row>
    <row r="12931" spans="1:6" ht="15.75" customHeight="1">
      <c r="A12931" s="5" t="str">
        <f ca="1">IFERROR(__xludf.DUMMYFUNCTION("GOOGLETRANSLATE(B34561,""en"",""pt"")"),"Quartu Sant'elena")</f>
        <v>Quartu Sant'elena</v>
      </c>
      <c r="B12931" s="17" t="s">
        <v>15398</v>
      </c>
      <c r="C12931" s="17" t="s">
        <v>14891</v>
      </c>
      <c r="D12931" s="17" t="s">
        <v>14925</v>
      </c>
      <c r="E12931" s="10">
        <v>2523665</v>
      </c>
      <c r="F12931" s="4" t="str">
        <f>IF(B12931=B12930,"",B12931)</f>
        <v/>
      </c>
    </row>
    <row r="12932" spans="1:6" ht="15.75" customHeight="1">
      <c r="A12932" s="6" t="s">
        <v>15396</v>
      </c>
      <c r="B12932" s="6" t="s">
        <v>15396</v>
      </c>
      <c r="C12932" s="6" t="s">
        <v>14891</v>
      </c>
      <c r="D12932" s="6" t="s">
        <v>14896</v>
      </c>
      <c r="E12932" s="2">
        <v>6534256</v>
      </c>
      <c r="F12932" s="4" t="str">
        <f>IF(B12932=B12931,"",B12932)</f>
        <v>Quarto</v>
      </c>
    </row>
    <row r="12933" spans="1:6" ht="15.75" customHeight="1">
      <c r="A12933" s="5" t="str">
        <f ca="1">IFERROR(__xludf.DUMMYFUNCTION("GOOGLETRANSLATE(B35092,""en"",""pt"")"),"Quarto")</f>
        <v>Quarto</v>
      </c>
      <c r="B12933" s="17" t="s">
        <v>15396</v>
      </c>
      <c r="C12933" s="17" t="s">
        <v>14891</v>
      </c>
      <c r="D12933" s="17" t="s">
        <v>14896</v>
      </c>
      <c r="E12933" s="10">
        <v>6534256</v>
      </c>
      <c r="F12933" s="4" t="str">
        <f>IF(B12933=B12932,"",B12933)</f>
        <v/>
      </c>
    </row>
    <row r="12934" spans="1:6" ht="15.75" customHeight="1">
      <c r="A12934" s="6" t="s">
        <v>21715</v>
      </c>
      <c r="B12934" s="6" t="s">
        <v>21715</v>
      </c>
      <c r="C12934" s="6" t="s">
        <v>21606</v>
      </c>
      <c r="D12934" s="6" t="s">
        <v>21614</v>
      </c>
      <c r="E12934" s="2">
        <v>2264299</v>
      </c>
      <c r="F12934" s="4" t="str">
        <f>IF(B12934=B12933,"",B12934)</f>
        <v>Quarteira</v>
      </c>
    </row>
    <row r="12935" spans="1:6" ht="15.75" customHeight="1">
      <c r="A12935" s="5" t="str">
        <f ca="1">IFERROR(__xludf.DUMMYFUNCTION("GOOGLETRANSLATE(B39579,""en"",""pt"")"),"Quarteira")</f>
        <v>Quarteira</v>
      </c>
      <c r="B12935" s="17" t="s">
        <v>21715</v>
      </c>
      <c r="C12935" s="17" t="s">
        <v>21606</v>
      </c>
      <c r="D12935" s="17" t="s">
        <v>21614</v>
      </c>
      <c r="E12935" s="10">
        <v>2264299</v>
      </c>
      <c r="F12935" s="4" t="str">
        <f>IF(B12935=B12934,"",B12935)</f>
        <v/>
      </c>
    </row>
    <row r="12936" spans="1:6" ht="15.75" customHeight="1">
      <c r="A12936" s="5" t="s">
        <v>24725</v>
      </c>
      <c r="B12936" s="6" t="s">
        <v>24725</v>
      </c>
      <c r="C12936" s="5" t="s">
        <v>24200</v>
      </c>
      <c r="D12936" s="5" t="s">
        <v>21053</v>
      </c>
      <c r="E12936" s="2">
        <v>2519068</v>
      </c>
      <c r="F12936" s="4" t="str">
        <f>IF(B12936=B12935,"",B12936)</f>
        <v>Quart de Poblet</v>
      </c>
    </row>
    <row r="12937" spans="1:6" ht="15.75" customHeight="1">
      <c r="A12937" s="5" t="str">
        <f ca="1">IFERROR(__xludf.DUMMYFUNCTION("GOOGLETRANSLATE(B29135,""en"",""pt"")"),"Quart de Poblet")</f>
        <v>Quart de Poblet</v>
      </c>
      <c r="B12937" s="17" t="s">
        <v>24725</v>
      </c>
      <c r="C12937" s="17" t="s">
        <v>24200</v>
      </c>
      <c r="D12937" s="17" t="s">
        <v>21053</v>
      </c>
      <c r="E12937" s="10">
        <v>2519068</v>
      </c>
      <c r="F12937" s="4" t="str">
        <f>IF(B12937=B12936,"",B12937)</f>
        <v/>
      </c>
    </row>
    <row r="12938" spans="1:6" ht="15.75" customHeight="1">
      <c r="A12938" s="5" t="s">
        <v>1669</v>
      </c>
      <c r="B12938" s="6" t="s">
        <v>1669</v>
      </c>
      <c r="C12938" s="5" t="s">
        <v>1512</v>
      </c>
      <c r="D12938" s="5" t="s">
        <v>1518</v>
      </c>
      <c r="E12938" s="2">
        <v>2788499</v>
      </c>
      <c r="F12938" s="4" t="str">
        <f>IF(B12938=B12937,"",B12938)</f>
        <v>Quaregnon</v>
      </c>
    </row>
    <row r="12939" spans="1:6" ht="15.75" customHeight="1">
      <c r="A12939" s="5" t="str">
        <f ca="1">IFERROR(__xludf.DUMMYFUNCTION("GOOGLETRANSLATE(B23845,""en"",""pt"")"),"Quaregnon")</f>
        <v>Quaregnon</v>
      </c>
      <c r="B12939" s="17" t="s">
        <v>1669</v>
      </c>
      <c r="C12939" s="17" t="s">
        <v>1512</v>
      </c>
      <c r="D12939" s="17" t="s">
        <v>1518</v>
      </c>
      <c r="E12939" s="10">
        <v>2788499</v>
      </c>
      <c r="F12939" s="4" t="str">
        <f>IF(B12939=B12938,"",B12939)</f>
        <v/>
      </c>
    </row>
    <row r="12940" spans="1:6" ht="15.75" customHeight="1">
      <c r="A12940" s="5" t="str">
        <f ca="1">IFERROR(__xludf.DUMMYFUNCTION("GOOGLETRANSLATE(B24662,""en"",""pt"")"),"Queiraí")</f>
        <v>Queiraí</v>
      </c>
      <c r="B12940" s="17" t="s">
        <v>31538</v>
      </c>
      <c r="C12940" s="17" t="s">
        <v>1905</v>
      </c>
      <c r="D12940" s="17" t="s">
        <v>1951</v>
      </c>
      <c r="E12940" s="10">
        <v>3452179</v>
      </c>
      <c r="F12940" s="4" t="str">
        <f>IF(B12940=B12939,"",B12940)</f>
        <v>Quaraí</v>
      </c>
    </row>
    <row r="12941" spans="1:6" ht="15.75" customHeight="1">
      <c r="A12941" s="6" t="s">
        <v>3183</v>
      </c>
      <c r="B12941" s="6" t="s">
        <v>3184</v>
      </c>
      <c r="C12941" s="6" t="s">
        <v>1905</v>
      </c>
      <c r="D12941" s="6" t="s">
        <v>1951</v>
      </c>
      <c r="E12941" s="2">
        <v>3452179</v>
      </c>
      <c r="F12941" s="4" t="str">
        <f>IF(B12941=B12940,"",B12941)</f>
        <v>QuaraÃ­</v>
      </c>
    </row>
    <row r="12942" spans="1:6" ht="15.75" customHeight="1">
      <c r="A12942" s="5" t="s">
        <v>30889</v>
      </c>
      <c r="B12942" s="6" t="s">
        <v>30890</v>
      </c>
      <c r="C12942" s="5" t="s">
        <v>30784</v>
      </c>
      <c r="D12942" s="5" t="s">
        <v>30890</v>
      </c>
      <c r="E12942" s="2">
        <v>1568770</v>
      </c>
      <c r="F12942" s="4" t="str">
        <f>IF(B12942=B12941,"",B12942)</f>
        <v>Quáº£ng NgÃ£i</v>
      </c>
    </row>
    <row r="12943" spans="1:6" ht="15.75" customHeight="1">
      <c r="A12943" s="5" t="s">
        <v>5029</v>
      </c>
      <c r="B12943" s="6" t="s">
        <v>5029</v>
      </c>
      <c r="C12943" s="5" t="s">
        <v>4487</v>
      </c>
      <c r="D12943" s="5" t="s">
        <v>4591</v>
      </c>
      <c r="E12943" s="2">
        <v>1797353</v>
      </c>
      <c r="F12943" s="4" t="str">
        <f>IF(B12943=B12942,"",B12943)</f>
        <v>Quanzhou</v>
      </c>
    </row>
    <row r="12944" spans="1:6" ht="15.75" customHeight="1">
      <c r="A12944" s="5" t="str">
        <f ca="1">IFERROR(__xludf.DUMMYFUNCTION("GOOGLETRANSLATE(B26296,""en"",""pt"")"),"Quanzhou")</f>
        <v>Quanzhou</v>
      </c>
      <c r="B12944" s="17" t="s">
        <v>5029</v>
      </c>
      <c r="C12944" s="17" t="s">
        <v>4487</v>
      </c>
      <c r="D12944" s="17" t="s">
        <v>4591</v>
      </c>
      <c r="E12944" s="10">
        <v>1797353</v>
      </c>
      <c r="F12944" s="4" t="str">
        <f>IF(B12944=B12943,"",B12944)</f>
        <v/>
      </c>
    </row>
    <row r="12945" spans="1:6" ht="15.75" customHeight="1">
      <c r="A12945" s="5" t="str">
        <f ca="1">IFERROR(__xludf.DUMMYFUNCTION("GOOGLETRANSLATE(B45737,""en"",""pt"")"),"Quảng ngãi")</f>
        <v>Quảng ngãi</v>
      </c>
      <c r="B12945" s="17" t="s">
        <v>36143</v>
      </c>
      <c r="C12945" s="17" t="s">
        <v>30784</v>
      </c>
      <c r="D12945" s="17" t="s">
        <v>36143</v>
      </c>
      <c r="E12945" s="10">
        <v>1568770</v>
      </c>
      <c r="F12945" s="4" t="str">
        <f>IF(B12945=B12944,"",B12945)</f>
        <v>Quảng Ngãi</v>
      </c>
    </row>
    <row r="12946" spans="1:6" ht="15.75" customHeight="1">
      <c r="A12946" s="6" t="s">
        <v>15395</v>
      </c>
      <c r="B12946" s="6" t="s">
        <v>15395</v>
      </c>
      <c r="C12946" s="6" t="s">
        <v>14891</v>
      </c>
      <c r="D12946" s="6" t="s">
        <v>14896</v>
      </c>
      <c r="E12946" s="2">
        <v>3169724</v>
      </c>
      <c r="F12946" s="4" t="str">
        <f>IF(B12946=B12945,"",B12946)</f>
        <v>Qualiano</v>
      </c>
    </row>
    <row r="12947" spans="1:6" ht="15.75" customHeight="1">
      <c r="A12947" s="5" t="str">
        <f ca="1">IFERROR(__xludf.DUMMYFUNCTION("GOOGLETRANSLATE(B34750,""en"",""pt"")"),"Qualiano")</f>
        <v>Qualiano</v>
      </c>
      <c r="B12947" s="17" t="s">
        <v>15395</v>
      </c>
      <c r="C12947" s="17" t="s">
        <v>14891</v>
      </c>
      <c r="D12947" s="17" t="s">
        <v>14896</v>
      </c>
      <c r="E12947" s="10">
        <v>3169724</v>
      </c>
      <c r="F12947" s="4" t="str">
        <f>IF(B12947=B12946,"",B12947)</f>
        <v/>
      </c>
    </row>
    <row r="12948" spans="1:6" ht="15.75" customHeight="1">
      <c r="A12948" s="5" t="s">
        <v>1065</v>
      </c>
      <c r="B12948" s="6" t="s">
        <v>1065</v>
      </c>
      <c r="C12948" s="5" t="s">
        <v>885</v>
      </c>
      <c r="D12948" s="5" t="s">
        <v>891</v>
      </c>
      <c r="E12948" s="2">
        <v>2152329</v>
      </c>
      <c r="F12948" s="4" t="str">
        <f>IF(B12948=B12947,"",B12948)</f>
        <v>Quakers Hill</v>
      </c>
    </row>
    <row r="12949" spans="1:6" ht="15.75" customHeight="1">
      <c r="A12949" s="5" t="str">
        <f ca="1">IFERROR(__xludf.DUMMYFUNCTION("GOOGLETRANSLATE(B23461,""en"",""pt"")"),"Quakers Hill")</f>
        <v>Quakers Hill</v>
      </c>
      <c r="B12949" s="17" t="s">
        <v>1065</v>
      </c>
      <c r="C12949" s="17" t="s">
        <v>885</v>
      </c>
      <c r="D12949" s="17" t="s">
        <v>891</v>
      </c>
      <c r="E12949" s="10">
        <v>2152329</v>
      </c>
      <c r="F12949" s="4" t="str">
        <f>IF(B12949=B12948,"",B12949)</f>
        <v/>
      </c>
    </row>
    <row r="12950" spans="1:6" ht="15.75" customHeight="1">
      <c r="A12950" s="6" t="s">
        <v>30745</v>
      </c>
      <c r="B12950" s="6" t="s">
        <v>30746</v>
      </c>
      <c r="C12950" s="6" t="s">
        <v>5923</v>
      </c>
      <c r="D12950" s="6" t="s">
        <v>1011</v>
      </c>
      <c r="E12950" s="2">
        <v>3629419</v>
      </c>
      <c r="F12950" s="4" t="str">
        <f>IF(B12950=B12949,"",B12950)</f>
        <v>QuÃ­bor</v>
      </c>
    </row>
    <row r="12951" spans="1:6" ht="15.75" customHeight="1">
      <c r="A12951" s="5" t="s">
        <v>4153</v>
      </c>
      <c r="B12951" s="6" t="s">
        <v>4154</v>
      </c>
      <c r="C12951" s="5" t="s">
        <v>3975</v>
      </c>
      <c r="D12951" s="5" t="s">
        <v>3982</v>
      </c>
      <c r="E12951" s="2">
        <v>6325494</v>
      </c>
      <c r="F12951" s="4" t="str">
        <f>IF(B12951=B12950,"",B12951)</f>
        <v>QuÃ©bec</v>
      </c>
    </row>
    <row r="12952" spans="1:6" ht="15.75" customHeight="1">
      <c r="A12952" s="5" t="s">
        <v>6697</v>
      </c>
      <c r="B12952" s="6" t="s">
        <v>6698</v>
      </c>
      <c r="C12952" s="5" t="s">
        <v>6495</v>
      </c>
      <c r="D12952" s="5" t="s">
        <v>6567</v>
      </c>
      <c r="E12952" s="2">
        <v>350376</v>
      </c>
      <c r="F12952" s="4" t="str">
        <f>IF(B12952=B12951,"",B12952)</f>
        <v>QuÅ£Å«r</v>
      </c>
    </row>
    <row r="12953" spans="1:6" ht="15.75" customHeight="1">
      <c r="A12953" s="5" t="s">
        <v>23839</v>
      </c>
      <c r="B12953" s="6" t="s">
        <v>23839</v>
      </c>
      <c r="C12953" s="5" t="s">
        <v>23800</v>
      </c>
      <c r="D12953" s="5" t="s">
        <v>23801</v>
      </c>
      <c r="E12953" s="2">
        <v>52867</v>
      </c>
      <c r="F12953" s="4" t="str">
        <f>IF(B12953=B12952,"",B12953)</f>
        <v>Qoryooley</v>
      </c>
    </row>
    <row r="12954" spans="1:6" ht="15.75" customHeight="1">
      <c r="A12954" s="5" t="str">
        <f ca="1">IFERROR(__xludf.DUMMYFUNCTION("GOOGLETRANSLATE(B41314,""en"",""pt"")"),"Qoryooley")</f>
        <v>Qoryooley</v>
      </c>
      <c r="B12954" s="17" t="s">
        <v>23839</v>
      </c>
      <c r="C12954" s="17" t="s">
        <v>23800</v>
      </c>
      <c r="D12954" s="17" t="s">
        <v>23801</v>
      </c>
      <c r="E12954" s="10">
        <v>52867</v>
      </c>
      <c r="F12954" s="4" t="str">
        <f>IF(B12954=B12953,"",B12954)</f>
        <v/>
      </c>
    </row>
    <row r="12955" spans="1:6" ht="15.75" customHeight="1">
      <c r="A12955" s="6" t="s">
        <v>14511</v>
      </c>
      <c r="B12955" s="6" t="s">
        <v>14511</v>
      </c>
      <c r="C12955" s="6" t="s">
        <v>14240</v>
      </c>
      <c r="D12955" s="6" t="s">
        <v>14299</v>
      </c>
      <c r="E12955" s="2">
        <v>119161</v>
      </c>
      <c r="F12955" s="4" t="str">
        <f>IF(B12955=B12954,"",B12955)</f>
        <v>Qorveh</v>
      </c>
    </row>
    <row r="12956" spans="1:6" ht="15.75" customHeight="1">
      <c r="A12956" s="5" t="str">
        <f ca="1">IFERROR(__xludf.DUMMYFUNCTION("GOOGLETRANSLATE(B34388,""en"",""pt"")"),"Qorveh")</f>
        <v>Qorveh</v>
      </c>
      <c r="B12956" s="17" t="s">
        <v>14511</v>
      </c>
      <c r="C12956" s="17" t="s">
        <v>14240</v>
      </c>
      <c r="D12956" s="17" t="s">
        <v>34147</v>
      </c>
      <c r="E12956" s="10">
        <v>119161</v>
      </c>
      <c r="F12956" s="4" t="str">
        <f>IF(B12956=B12955,"",B12956)</f>
        <v/>
      </c>
    </row>
    <row r="12957" spans="1:6" ht="15.75" customHeight="1">
      <c r="A12957" s="6" t="s">
        <v>17627</v>
      </c>
      <c r="B12957" s="6" t="s">
        <v>17627</v>
      </c>
      <c r="C12957" s="6" t="s">
        <v>17621</v>
      </c>
      <c r="D12957" s="6" t="s">
        <v>17627</v>
      </c>
      <c r="E12957" s="2">
        <v>2562629</v>
      </c>
      <c r="F12957" s="4" t="str">
        <f>IF(B12957=B12956,"",B12957)</f>
        <v>Qormi</v>
      </c>
    </row>
    <row r="12958" spans="1:6" ht="15.75" customHeight="1">
      <c r="A12958" s="5" t="str">
        <f ca="1">IFERROR(__xludf.DUMMYFUNCTION("GOOGLETRANSLATE(B36809,""en"",""pt"")"),"Qormi")</f>
        <v>Qormi</v>
      </c>
      <c r="B12958" s="17" t="s">
        <v>17627</v>
      </c>
      <c r="C12958" s="17" t="s">
        <v>17621</v>
      </c>
      <c r="D12958" s="17" t="s">
        <v>17627</v>
      </c>
      <c r="E12958" s="10">
        <v>2562629</v>
      </c>
      <c r="F12958" s="4" t="str">
        <f>IF(B12958=B12957,"",B12958)</f>
        <v/>
      </c>
    </row>
    <row r="12959" spans="1:6" ht="15.75" customHeight="1">
      <c r="A12959" s="6" t="s">
        <v>14510</v>
      </c>
      <c r="B12959" s="6" t="s">
        <v>14510</v>
      </c>
      <c r="C12959" s="6" t="s">
        <v>14240</v>
      </c>
      <c r="D12959" s="6" t="s">
        <v>14510</v>
      </c>
      <c r="E12959" s="2">
        <v>119208</v>
      </c>
      <c r="F12959" s="4" t="str">
        <f>IF(B12959=B12958,"",B12959)</f>
        <v>Qom</v>
      </c>
    </row>
    <row r="12960" spans="1:6" ht="15.75" customHeight="1">
      <c r="A12960" s="5" t="str">
        <f ca="1">IFERROR(__xludf.DUMMYFUNCTION("GOOGLETRANSLATE(B34389,""en"",""pt"")"),"Qom")</f>
        <v>Qom</v>
      </c>
      <c r="B12960" s="17" t="s">
        <v>14510</v>
      </c>
      <c r="C12960" s="17" t="s">
        <v>14240</v>
      </c>
      <c r="D12960" s="17" t="s">
        <v>14510</v>
      </c>
      <c r="E12960" s="10">
        <v>119208</v>
      </c>
      <c r="F12960" s="4" t="str">
        <f>IF(B12960=B12959,"",B12960)</f>
        <v/>
      </c>
    </row>
    <row r="12961" spans="1:6" ht="15.75" customHeight="1">
      <c r="A12961" s="6" t="s">
        <v>30590</v>
      </c>
      <c r="B12961" s="6" t="s">
        <v>30591</v>
      </c>
      <c r="C12961" s="6" t="s">
        <v>30502</v>
      </c>
      <c r="D12961" s="6" t="s">
        <v>30513</v>
      </c>
      <c r="E12961" s="2">
        <v>1512979</v>
      </c>
      <c r="F12961" s="4" t="str">
        <f>IF(B12961=B12960,"",B12961)</f>
        <v>Qoâ€˜qon</v>
      </c>
    </row>
    <row r="12962" spans="1:6" ht="15.75" customHeight="1">
      <c r="A12962" s="5" t="str">
        <f ca="1">IFERROR(__xludf.DUMMYFUNCTION("GOOGLETRANSLATE(B45549,""en"",""pt"")"),"Qo‘qon")</f>
        <v>Qo‘qon</v>
      </c>
      <c r="B12962" s="17" t="s">
        <v>36072</v>
      </c>
      <c r="C12962" s="17" t="s">
        <v>30502</v>
      </c>
      <c r="D12962" s="17" t="s">
        <v>30513</v>
      </c>
      <c r="E12962" s="10">
        <v>1512979</v>
      </c>
      <c r="F12962" s="4" t="str">
        <f>IF(B12962=B12961,"",B12962)</f>
        <v>Qo‘qon</v>
      </c>
    </row>
    <row r="12963" spans="1:6" ht="15.75" customHeight="1">
      <c r="A12963" s="5" t="s">
        <v>14861</v>
      </c>
      <c r="B12963" s="6" t="s">
        <v>14861</v>
      </c>
      <c r="C12963" s="5" t="s">
        <v>14773</v>
      </c>
      <c r="D12963" s="5" t="s">
        <v>14796</v>
      </c>
      <c r="E12963" s="2">
        <v>293822</v>
      </c>
      <c r="F12963" s="4" t="str">
        <f>IF(B12963=B12962,"",B12963)</f>
        <v>Qiryat Yam</v>
      </c>
    </row>
    <row r="12964" spans="1:6" ht="15.75" customHeight="1">
      <c r="A12964" s="5" t="str">
        <f ca="1">IFERROR(__xludf.DUMMYFUNCTION("GOOGLETRANSLATE(B31775,""en"",""pt"")"),"Qiryat Yam")</f>
        <v>Qiryat Yam</v>
      </c>
      <c r="B12964" s="17" t="s">
        <v>14861</v>
      </c>
      <c r="C12964" s="17" t="s">
        <v>14773</v>
      </c>
      <c r="D12964" s="17" t="s">
        <v>14796</v>
      </c>
      <c r="E12964" s="10">
        <v>293822</v>
      </c>
      <c r="F12964" s="4" t="str">
        <f>IF(B12964=B12963,"",B12964)</f>
        <v/>
      </c>
    </row>
    <row r="12965" spans="1:6" ht="15.75" customHeight="1">
      <c r="A12965" s="5" t="s">
        <v>14859</v>
      </c>
      <c r="B12965" s="6" t="s">
        <v>14860</v>
      </c>
      <c r="C12965" s="5" t="s">
        <v>14773</v>
      </c>
      <c r="D12965" s="5" t="s">
        <v>14774</v>
      </c>
      <c r="E12965" s="2">
        <v>293825</v>
      </c>
      <c r="F12965" s="4" t="str">
        <f>IF(B12965=B12964,"",B12965)</f>
        <v>Qiryat Shemona</v>
      </c>
    </row>
    <row r="12966" spans="1:6" ht="15.75" customHeight="1">
      <c r="A12966" s="5" t="str">
        <f ca="1">IFERROR(__xludf.DUMMYFUNCTION("GOOGLETRANSLATE(B31776,""en"",""pt"")"),"Qiryat shemona")</f>
        <v>Qiryat shemona</v>
      </c>
      <c r="B12966" s="17" t="s">
        <v>14860</v>
      </c>
      <c r="C12966" s="17" t="s">
        <v>14773</v>
      </c>
      <c r="D12966" s="17" t="s">
        <v>14774</v>
      </c>
      <c r="E12966" s="10">
        <v>293825</v>
      </c>
      <c r="F12966" s="4" t="str">
        <f>IF(B12966=B12965,"",B12966)</f>
        <v/>
      </c>
    </row>
    <row r="12967" spans="1:6" ht="15.75" customHeight="1">
      <c r="A12967" s="5" t="str">
        <f ca="1">IFERROR(__xludf.DUMMYFUNCTION("GOOGLETRANSLATE(B31777,""en"",""pt"")"),"Qiryat moẕqin")</f>
        <v>Qiryat moẕqin</v>
      </c>
      <c r="B12967" s="17" t="s">
        <v>32918</v>
      </c>
      <c r="C12967" s="17" t="s">
        <v>14773</v>
      </c>
      <c r="D12967" s="17" t="s">
        <v>14796</v>
      </c>
      <c r="E12967" s="10">
        <v>293831</v>
      </c>
      <c r="F12967" s="4" t="str">
        <f>IF(B12967=B12966,"",B12967)</f>
        <v>Qiryat Moẕqin</v>
      </c>
    </row>
    <row r="12968" spans="1:6" ht="15.75" customHeight="1">
      <c r="A12968" s="5" t="s">
        <v>14857</v>
      </c>
      <c r="B12968" s="6" t="s">
        <v>14858</v>
      </c>
      <c r="C12968" s="5" t="s">
        <v>14773</v>
      </c>
      <c r="D12968" s="5" t="s">
        <v>14796</v>
      </c>
      <c r="E12968" s="2">
        <v>293831</v>
      </c>
      <c r="F12968" s="4" t="str">
        <f>IF(B12968=B12967,"",B12968)</f>
        <v>Qiryat Moáº•qin</v>
      </c>
    </row>
    <row r="12969" spans="1:6" ht="15.75" customHeight="1">
      <c r="A12969" s="6" t="s">
        <v>14855</v>
      </c>
      <c r="B12969" s="6" t="s">
        <v>14856</v>
      </c>
      <c r="C12969" s="6" t="s">
        <v>14773</v>
      </c>
      <c r="D12969" s="6" t="s">
        <v>14779</v>
      </c>
      <c r="E12969" s="2">
        <v>293842</v>
      </c>
      <c r="F12969" s="4" t="str">
        <f>IF(B12969=B12968,"",B12969)</f>
        <v>Qiryat Gat</v>
      </c>
    </row>
    <row r="12970" spans="1:6" ht="15.75" customHeight="1">
      <c r="A12970" s="5" t="str">
        <f ca="1">IFERROR(__xludf.DUMMYFUNCTION("GOOGLETRANSLATE(B31778,""en"",""pt"")"),"Qiryat gat")</f>
        <v>Qiryat gat</v>
      </c>
      <c r="B12970" s="17" t="s">
        <v>14856</v>
      </c>
      <c r="C12970" s="17" t="s">
        <v>14773</v>
      </c>
      <c r="D12970" s="17" t="s">
        <v>14779</v>
      </c>
      <c r="E12970" s="10">
        <v>293842</v>
      </c>
      <c r="F12970" s="4" t="str">
        <f>IF(B12970=B12969,"",B12970)</f>
        <v/>
      </c>
    </row>
    <row r="12971" spans="1:6" ht="15.75" customHeight="1">
      <c r="A12971" s="5" t="s">
        <v>14853</v>
      </c>
      <c r="B12971" s="6" t="s">
        <v>14854</v>
      </c>
      <c r="C12971" s="5" t="s">
        <v>14773</v>
      </c>
      <c r="D12971" s="5" t="s">
        <v>14796</v>
      </c>
      <c r="E12971" s="2">
        <v>293844</v>
      </c>
      <c r="F12971" s="4" t="str">
        <f>IF(B12971=B12970,"",B12971)</f>
        <v>Qiryat Bialik</v>
      </c>
    </row>
    <row r="12972" spans="1:6" ht="15.75" customHeight="1">
      <c r="A12972" s="5" t="str">
        <f ca="1">IFERROR(__xludf.DUMMYFUNCTION("GOOGLETRANSLATE(B31779,""en"",""pt"")"),"Qiryat bialik")</f>
        <v>Qiryat bialik</v>
      </c>
      <c r="B12972" s="17" t="s">
        <v>14854</v>
      </c>
      <c r="C12972" s="17" t="s">
        <v>14773</v>
      </c>
      <c r="D12972" s="17" t="s">
        <v>14796</v>
      </c>
      <c r="E12972" s="10">
        <v>293844</v>
      </c>
      <c r="F12972" s="4" t="str">
        <f>IF(B12972=B12971,"",B12972)</f>
        <v/>
      </c>
    </row>
    <row r="12973" spans="1:6" ht="15.75" customHeight="1">
      <c r="A12973" s="5" t="s">
        <v>14852</v>
      </c>
      <c r="B12973" s="6" t="s">
        <v>14852</v>
      </c>
      <c r="C12973" s="5" t="s">
        <v>14773</v>
      </c>
      <c r="D12973" s="5" t="s">
        <v>14796</v>
      </c>
      <c r="E12973" s="2">
        <v>293845</v>
      </c>
      <c r="F12973" s="4" t="str">
        <f>IF(B12973=B12972,"",B12973)</f>
        <v>Qiryat Ata</v>
      </c>
    </row>
    <row r="12974" spans="1:6" ht="15.75" customHeight="1">
      <c r="A12974" s="5" t="str">
        <f ca="1">IFERROR(__xludf.DUMMYFUNCTION("GOOGLETRANSLATE(B31780,""en"",""pt"")"),"Qiryat Ata")</f>
        <v>Qiryat Ata</v>
      </c>
      <c r="B12974" s="17" t="s">
        <v>14852</v>
      </c>
      <c r="C12974" s="17" t="s">
        <v>14773</v>
      </c>
      <c r="D12974" s="17" t="s">
        <v>14796</v>
      </c>
      <c r="E12974" s="10">
        <v>293845</v>
      </c>
      <c r="F12974" s="4" t="str">
        <f>IF(B12974=B12973,"",B12974)</f>
        <v/>
      </c>
    </row>
    <row r="12975" spans="1:6" ht="15.75" customHeight="1">
      <c r="A12975" s="5" t="str">
        <f ca="1">IFERROR(__xludf.DUMMYFUNCTION("GOOGLETRANSLATE(B35142,""en"",""pt"")"),"Qīr moāv")</f>
        <v>Qīr moāv</v>
      </c>
      <c r="B12975" s="17" t="s">
        <v>34288</v>
      </c>
      <c r="C12975" s="17" t="s">
        <v>16624</v>
      </c>
      <c r="D12975" s="17" t="s">
        <v>34281</v>
      </c>
      <c r="E12975" s="10">
        <v>250624</v>
      </c>
      <c r="F12975" s="4" t="str">
        <f>IF(B12975=B12974,"",B12975)</f>
        <v>Qīr Moāv</v>
      </c>
    </row>
    <row r="12976" spans="1:6" ht="15.75" customHeight="1">
      <c r="A12976" s="6" t="s">
        <v>5028</v>
      </c>
      <c r="B12976" s="6" t="s">
        <v>5028</v>
      </c>
      <c r="C12976" s="6" t="s">
        <v>4487</v>
      </c>
      <c r="D12976" s="6" t="s">
        <v>4488</v>
      </c>
      <c r="E12976" s="2">
        <v>2035265</v>
      </c>
      <c r="F12976" s="4" t="str">
        <f>IF(B12976=B12975,"",B12976)</f>
        <v>Qiqihar</v>
      </c>
    </row>
    <row r="12977" spans="1:6" ht="15.75" customHeight="1">
      <c r="A12977" s="5" t="str">
        <f ca="1">IFERROR(__xludf.DUMMYFUNCTION("GOOGLETRANSLATE(B26703,""en"",""pt"")"),"Qiqihar")</f>
        <v>Qiqihar</v>
      </c>
      <c r="B12977" s="17" t="s">
        <v>5028</v>
      </c>
      <c r="C12977" s="17" t="s">
        <v>4487</v>
      </c>
      <c r="D12977" s="17" t="s">
        <v>4488</v>
      </c>
      <c r="E12977" s="10">
        <v>2035265</v>
      </c>
      <c r="F12977" s="4" t="str">
        <f>IF(B12977=B12976,"",B12977)</f>
        <v/>
      </c>
    </row>
    <row r="12978" spans="1:6" ht="15.75" customHeight="1">
      <c r="A12978" s="5" t="s">
        <v>5027</v>
      </c>
      <c r="B12978" s="6" t="s">
        <v>5027</v>
      </c>
      <c r="C12978" s="5" t="s">
        <v>4487</v>
      </c>
      <c r="D12978" s="5" t="s">
        <v>4715</v>
      </c>
      <c r="E12978" s="2">
        <v>1797535</v>
      </c>
      <c r="F12978" s="4" t="str">
        <f>IF(B12978=B12977,"",B12978)</f>
        <v>Qiongshan</v>
      </c>
    </row>
    <row r="12979" spans="1:6" ht="15.75" customHeight="1">
      <c r="A12979" s="5" t="str">
        <f ca="1">IFERROR(__xludf.DUMMYFUNCTION("GOOGLETRANSLATE(B26299,""en"",""pt"")"),"Qiongshan")</f>
        <v>Qiongshan</v>
      </c>
      <c r="B12979" s="17" t="s">
        <v>5027</v>
      </c>
      <c r="C12979" s="17" t="s">
        <v>4487</v>
      </c>
      <c r="D12979" s="17" t="s">
        <v>4715</v>
      </c>
      <c r="E12979" s="10">
        <v>1797535</v>
      </c>
      <c r="F12979" s="4" t="str">
        <f>IF(B12979=B12978,"",B12979)</f>
        <v/>
      </c>
    </row>
    <row r="12980" spans="1:6" ht="15.75" customHeight="1">
      <c r="A12980" s="6" t="s">
        <v>5026</v>
      </c>
      <c r="B12980" s="6" t="s">
        <v>5026</v>
      </c>
      <c r="C12980" s="6" t="s">
        <v>4487</v>
      </c>
      <c r="D12980" s="6" t="s">
        <v>4495</v>
      </c>
      <c r="E12980" s="2">
        <v>1797543</v>
      </c>
      <c r="F12980" s="4" t="str">
        <f>IF(B12980=B12979,"",B12980)</f>
        <v>Qionghu</v>
      </c>
    </row>
    <row r="12981" spans="1:6" ht="15.75" customHeight="1">
      <c r="A12981" s="5" t="str">
        <f ca="1">IFERROR(__xludf.DUMMYFUNCTION("GOOGLETRANSLATE(B26300,""en"",""pt"")"),"Qionghu")</f>
        <v>Qionghu</v>
      </c>
      <c r="B12981" s="17" t="s">
        <v>5026</v>
      </c>
      <c r="C12981" s="17" t="s">
        <v>4487</v>
      </c>
      <c r="D12981" s="17" t="s">
        <v>4495</v>
      </c>
      <c r="E12981" s="10">
        <v>1797543</v>
      </c>
      <c r="F12981" s="4" t="str">
        <f>IF(B12981=B12980,"",B12981)</f>
        <v/>
      </c>
    </row>
    <row r="12982" spans="1:6" ht="15.75" customHeight="1">
      <c r="A12982" s="6" t="s">
        <v>5025</v>
      </c>
      <c r="B12982" s="6" t="s">
        <v>5025</v>
      </c>
      <c r="C12982" s="6" t="s">
        <v>4487</v>
      </c>
      <c r="D12982" s="6" t="s">
        <v>4516</v>
      </c>
      <c r="E12982" s="2">
        <v>1797551</v>
      </c>
      <c r="F12982" s="4" t="str">
        <f>IF(B12982=B12981,"",B12982)</f>
        <v>Qinzhou</v>
      </c>
    </row>
    <row r="12983" spans="1:6" ht="15.75" customHeight="1">
      <c r="A12983" s="5" t="str">
        <f ca="1">IFERROR(__xludf.DUMMYFUNCTION("GOOGLETRANSLATE(B26301,""en"",""pt"")"),"Qinzhou")</f>
        <v>Qinzhou</v>
      </c>
      <c r="B12983" s="17" t="s">
        <v>5025</v>
      </c>
      <c r="C12983" s="17" t="s">
        <v>4487</v>
      </c>
      <c r="D12983" s="17" t="s">
        <v>4516</v>
      </c>
      <c r="E12983" s="10">
        <v>1797551</v>
      </c>
      <c r="F12983" s="4" t="str">
        <f>IF(B12983=B12982,"",B12983)</f>
        <v/>
      </c>
    </row>
    <row r="12984" spans="1:6" ht="15.75" customHeight="1">
      <c r="A12984" s="6" t="s">
        <v>5024</v>
      </c>
      <c r="B12984" s="6" t="s">
        <v>5024</v>
      </c>
      <c r="C12984" s="6" t="s">
        <v>4487</v>
      </c>
      <c r="D12984" s="6" t="s">
        <v>4535</v>
      </c>
      <c r="E12984" s="2">
        <v>1797575</v>
      </c>
      <c r="F12984" s="4" t="str">
        <f>IF(B12984=B12983,"",B12984)</f>
        <v>Qinnan</v>
      </c>
    </row>
    <row r="12985" spans="1:6" ht="15.75" customHeight="1">
      <c r="A12985" s="5" t="str">
        <f ca="1">IFERROR(__xludf.DUMMYFUNCTION("GOOGLETRANSLATE(B26302,""en"",""pt"")"),"Qinnan")</f>
        <v>Qinnan</v>
      </c>
      <c r="B12985" s="17" t="s">
        <v>5024</v>
      </c>
      <c r="C12985" s="17" t="s">
        <v>4487</v>
      </c>
      <c r="D12985" s="17" t="s">
        <v>4535</v>
      </c>
      <c r="E12985" s="10">
        <v>1797575</v>
      </c>
      <c r="F12985" s="4" t="str">
        <f>IF(B12985=B12984,"",B12985)</f>
        <v/>
      </c>
    </row>
    <row r="12986" spans="1:6" ht="15.75" customHeight="1">
      <c r="A12986" s="5" t="s">
        <v>5023</v>
      </c>
      <c r="B12986" s="6" t="s">
        <v>5023</v>
      </c>
      <c r="C12986" s="5" t="s">
        <v>4487</v>
      </c>
      <c r="D12986" s="5" t="s">
        <v>4529</v>
      </c>
      <c r="E12986" s="2">
        <v>1797595</v>
      </c>
      <c r="F12986" s="4" t="str">
        <f>IF(B12986=B12985,"",B12986)</f>
        <v>Qinhuangdao</v>
      </c>
    </row>
    <row r="12987" spans="1:6" ht="15.75" customHeight="1">
      <c r="A12987" s="5" t="str">
        <f ca="1">IFERROR(__xludf.DUMMYFUNCTION("GOOGLETRANSLATE(B26303,""en"",""pt"")"),"Qinhuangdao")</f>
        <v>Qinhuangdao</v>
      </c>
      <c r="B12987" s="17" t="s">
        <v>5023</v>
      </c>
      <c r="C12987" s="17" t="s">
        <v>4487</v>
      </c>
      <c r="D12987" s="17" t="s">
        <v>4529</v>
      </c>
      <c r="E12987" s="10">
        <v>1797595</v>
      </c>
      <c r="F12987" s="4" t="str">
        <f>IF(B12987=B12986,"",B12987)</f>
        <v/>
      </c>
    </row>
    <row r="12988" spans="1:6" ht="15.75" customHeight="1">
      <c r="A12988" s="6" t="s">
        <v>5022</v>
      </c>
      <c r="B12988" s="6" t="s">
        <v>5022</v>
      </c>
      <c r="C12988" s="6" t="s">
        <v>4487</v>
      </c>
      <c r="D12988" s="6" t="s">
        <v>4503</v>
      </c>
      <c r="E12988" s="2">
        <v>1786731</v>
      </c>
      <c r="F12988" s="4" t="str">
        <f>IF(B12988=B12987,"",B12988)</f>
        <v>Qingzhou</v>
      </c>
    </row>
    <row r="12989" spans="1:6" ht="15.75" customHeight="1">
      <c r="A12989" s="5" t="str">
        <f ca="1">IFERROR(__xludf.DUMMYFUNCTION("GOOGLETRANSLATE(B26129,""en"",""pt"")"),"Qingzhou")</f>
        <v>Qingzhou</v>
      </c>
      <c r="B12989" s="17" t="s">
        <v>5022</v>
      </c>
      <c r="C12989" s="17" t="s">
        <v>4487</v>
      </c>
      <c r="D12989" s="17" t="s">
        <v>4503</v>
      </c>
      <c r="E12989" s="10">
        <v>1786731</v>
      </c>
      <c r="F12989" s="4" t="str">
        <f>IF(B12989=B12988,"",B12989)</f>
        <v/>
      </c>
    </row>
    <row r="12990" spans="1:6" ht="15.75" customHeight="1">
      <c r="A12990" s="6" t="s">
        <v>5021</v>
      </c>
      <c r="B12990" s="6" t="s">
        <v>5021</v>
      </c>
      <c r="C12990" s="6" t="s">
        <v>4487</v>
      </c>
      <c r="D12990" s="6" t="s">
        <v>4492</v>
      </c>
      <c r="E12990" s="2">
        <v>1797945</v>
      </c>
      <c r="F12990" s="4" t="str">
        <f>IF(B12990=B12989,"",B12990)</f>
        <v>Qingyuan</v>
      </c>
    </row>
    <row r="12991" spans="1:6" ht="15.75" customHeight="1">
      <c r="A12991" s="5" t="str">
        <f ca="1">IFERROR(__xludf.DUMMYFUNCTION("GOOGLETRANSLATE(B26308,""en"",""pt"")"),"Qingyuan")</f>
        <v>Qingyuan</v>
      </c>
      <c r="B12991" s="17" t="s">
        <v>5021</v>
      </c>
      <c r="C12991" s="17" t="s">
        <v>4487</v>
      </c>
      <c r="D12991" s="17" t="s">
        <v>4492</v>
      </c>
      <c r="E12991" s="10">
        <v>1797945</v>
      </c>
      <c r="F12991" s="4" t="str">
        <f>IF(B12991=B12990,"",B12991)</f>
        <v/>
      </c>
    </row>
    <row r="12992" spans="1:6" ht="15.75" customHeight="1">
      <c r="A12992" s="6" t="s">
        <v>5020</v>
      </c>
      <c r="B12992" s="6" t="s">
        <v>5020</v>
      </c>
      <c r="C12992" s="6" t="s">
        <v>4487</v>
      </c>
      <c r="D12992" s="6" t="s">
        <v>4503</v>
      </c>
      <c r="E12992" s="2">
        <v>1810920</v>
      </c>
      <c r="F12992" s="4" t="str">
        <f>IF(B12992=B12991,"",B12992)</f>
        <v>Qingyang</v>
      </c>
    </row>
    <row r="12993" spans="1:6" ht="15.75" customHeight="1">
      <c r="A12993" s="5" t="str">
        <f ca="1">IFERROR(__xludf.DUMMYFUNCTION("GOOGLETRANSLATE(B26533,""en"",""pt"")"),"Qingyang")</f>
        <v>Qingyang</v>
      </c>
      <c r="B12993" s="17" t="s">
        <v>5020</v>
      </c>
      <c r="C12993" s="17" t="s">
        <v>4487</v>
      </c>
      <c r="D12993" s="17" t="s">
        <v>4503</v>
      </c>
      <c r="E12993" s="10">
        <v>1810920</v>
      </c>
      <c r="F12993" s="4" t="str">
        <f>IF(B12993=B12992,"",B12993)</f>
        <v/>
      </c>
    </row>
    <row r="12994" spans="1:6" ht="15.75" customHeight="1">
      <c r="A12994" s="6" t="s">
        <v>5019</v>
      </c>
      <c r="B12994" s="6" t="s">
        <v>5019</v>
      </c>
      <c r="C12994" s="6" t="s">
        <v>4487</v>
      </c>
      <c r="D12994" s="6" t="s">
        <v>4499</v>
      </c>
      <c r="E12994" s="2">
        <v>1797793</v>
      </c>
      <c r="F12994" s="4" t="str">
        <f>IF(B12994=B12993,"",B12994)</f>
        <v>Qingquan</v>
      </c>
    </row>
    <row r="12995" spans="1:6" ht="15.75" customHeight="1">
      <c r="A12995" s="5" t="str">
        <f ca="1">IFERROR(__xludf.DUMMYFUNCTION("GOOGLETRANSLATE(B26305,""en"",""pt"")"),"Qingquan")</f>
        <v>Qingquan</v>
      </c>
      <c r="B12995" s="17" t="s">
        <v>5019</v>
      </c>
      <c r="C12995" s="17" t="s">
        <v>4487</v>
      </c>
      <c r="D12995" s="17" t="s">
        <v>4499</v>
      </c>
      <c r="E12995" s="10">
        <v>1797793</v>
      </c>
      <c r="F12995" s="4" t="str">
        <f>IF(B12995=B12994,"",B12995)</f>
        <v/>
      </c>
    </row>
    <row r="12996" spans="1:6" ht="15.75" customHeight="1">
      <c r="A12996" s="6" t="s">
        <v>5018</v>
      </c>
      <c r="B12996" s="6" t="s">
        <v>5018</v>
      </c>
      <c r="C12996" s="6" t="s">
        <v>4487</v>
      </c>
      <c r="D12996" s="6" t="s">
        <v>4503</v>
      </c>
      <c r="E12996" s="2">
        <v>1803367</v>
      </c>
      <c r="F12996" s="4" t="str">
        <f>IF(B12996=B12995,"",B12996)</f>
        <v>Qingnian</v>
      </c>
    </row>
    <row r="12997" spans="1:6" ht="15.75" customHeight="1">
      <c r="A12997" s="5" t="str">
        <f ca="1">IFERROR(__xludf.DUMMYFUNCTION("GOOGLETRANSLATE(B26390,""en"",""pt"")"),"Qingnian")</f>
        <v>Qingnian</v>
      </c>
      <c r="B12997" s="17" t="s">
        <v>5018</v>
      </c>
      <c r="C12997" s="17" t="s">
        <v>4487</v>
      </c>
      <c r="D12997" s="17" t="s">
        <v>4503</v>
      </c>
      <c r="E12997" s="10">
        <v>1803367</v>
      </c>
      <c r="F12997" s="4" t="str">
        <f>IF(B12997=B12996,"",B12997)</f>
        <v/>
      </c>
    </row>
    <row r="12998" spans="1:6" ht="15.75" customHeight="1">
      <c r="A12998" s="6" t="s">
        <v>5017</v>
      </c>
      <c r="B12998" s="6" t="s">
        <v>5017</v>
      </c>
      <c r="C12998" s="6" t="s">
        <v>4487</v>
      </c>
      <c r="D12998" s="6" t="s">
        <v>4488</v>
      </c>
      <c r="E12998" s="2">
        <v>2035325</v>
      </c>
      <c r="F12998" s="4" t="str">
        <f>IF(B12998=B12997,"",B12998)</f>
        <v>Qinggang</v>
      </c>
    </row>
    <row r="12999" spans="1:6" ht="15.75" customHeight="1">
      <c r="A12999" s="5" t="str">
        <f ca="1">IFERROR(__xludf.DUMMYFUNCTION("GOOGLETRANSLATE(B26704,""en"",""pt"")"),"Qinggang")</f>
        <v>Qinggang</v>
      </c>
      <c r="B12999" s="17" t="s">
        <v>5017</v>
      </c>
      <c r="C12999" s="17" t="s">
        <v>4487</v>
      </c>
      <c r="D12999" s="17" t="s">
        <v>4488</v>
      </c>
      <c r="E12999" s="10">
        <v>2035325</v>
      </c>
      <c r="F12999" s="4" t="str">
        <f>IF(B12999=B12998,"",B12999)</f>
        <v/>
      </c>
    </row>
    <row r="13000" spans="1:6" ht="15.75" customHeight="1">
      <c r="A13000" s="6" t="s">
        <v>5016</v>
      </c>
      <c r="B13000" s="6" t="s">
        <v>5016</v>
      </c>
      <c r="C13000" s="6" t="s">
        <v>4487</v>
      </c>
      <c r="D13000" s="6" t="s">
        <v>4503</v>
      </c>
      <c r="E13000" s="2">
        <v>1797929</v>
      </c>
      <c r="F13000" s="4" t="str">
        <f>IF(B13000=B12999,"",B13000)</f>
        <v>Qingdao</v>
      </c>
    </row>
    <row r="13001" spans="1:6" ht="15.75" customHeight="1">
      <c r="A13001" s="5" t="str">
        <f ca="1">IFERROR(__xludf.DUMMYFUNCTION("GOOGLETRANSLATE(B26307,""en"",""pt"")"),"Qingdao")</f>
        <v>Qingdao</v>
      </c>
      <c r="B13001" s="17" t="s">
        <v>5016</v>
      </c>
      <c r="C13001" s="17" t="s">
        <v>4487</v>
      </c>
      <c r="D13001" s="17" t="s">
        <v>4503</v>
      </c>
      <c r="E13001" s="10">
        <v>1797929</v>
      </c>
      <c r="F13001" s="4" t="str">
        <f>IF(B13001=B13000,"",B13001)</f>
        <v/>
      </c>
    </row>
    <row r="13002" spans="1:6" ht="15.75" customHeight="1">
      <c r="A13002" s="6" t="s">
        <v>6696</v>
      </c>
      <c r="B13002" s="6" t="s">
        <v>6634</v>
      </c>
      <c r="C13002" s="6" t="s">
        <v>6495</v>
      </c>
      <c r="D13002" s="6" t="s">
        <v>6634</v>
      </c>
      <c r="E13002" s="2">
        <v>350550</v>
      </c>
      <c r="F13002" s="4" t="str">
        <f>IF(B13002=B13001,"",B13002)</f>
        <v>QinÄ</v>
      </c>
    </row>
    <row r="13003" spans="1:6" ht="15.75" customHeight="1">
      <c r="A13003" s="5" t="str">
        <f ca="1">IFERROR(__xludf.DUMMYFUNCTION("GOOGLETRANSLATE(B28841,""en"",""pt"")"),"Qinā")</f>
        <v>Qinā</v>
      </c>
      <c r="B13003" s="17" t="s">
        <v>32267</v>
      </c>
      <c r="C13003" s="17" t="s">
        <v>6495</v>
      </c>
      <c r="D13003" s="17" t="s">
        <v>32267</v>
      </c>
      <c r="E13003" s="10">
        <v>350550</v>
      </c>
      <c r="F13003" s="4" t="str">
        <f>IF(B13003=B13002,"",B13003)</f>
        <v>Qinā</v>
      </c>
    </row>
    <row r="13004" spans="1:6" ht="15.75" customHeight="1">
      <c r="A13004" s="6" t="s">
        <v>30589</v>
      </c>
      <c r="B13004" s="6" t="s">
        <v>30589</v>
      </c>
      <c r="C13004" s="6" t="s">
        <v>30502</v>
      </c>
      <c r="D13004" s="6" t="s">
        <v>30504</v>
      </c>
      <c r="E13004" s="2">
        <v>1513567</v>
      </c>
      <c r="F13004" s="4" t="str">
        <f>IF(B13004=B13003,"",B13004)</f>
        <v>Qibray</v>
      </c>
    </row>
    <row r="13005" spans="1:6" ht="15.75" customHeight="1">
      <c r="A13005" s="5" t="str">
        <f ca="1">IFERROR(__xludf.DUMMYFUNCTION("GOOGLETRANSLATE(B45567,""en"",""pt"")"),"Qibray")</f>
        <v>Qibray</v>
      </c>
      <c r="B13005" s="17" t="s">
        <v>30589</v>
      </c>
      <c r="C13005" s="17" t="s">
        <v>30502</v>
      </c>
      <c r="D13005" s="17" t="s">
        <v>30504</v>
      </c>
      <c r="E13005" s="10">
        <v>1513567</v>
      </c>
      <c r="F13005" s="4" t="str">
        <f>IF(B13005=B13004,"",B13005)</f>
        <v/>
      </c>
    </row>
    <row r="13006" spans="1:6" ht="15.75" customHeight="1">
      <c r="A13006" s="6" t="s">
        <v>5015</v>
      </c>
      <c r="B13006" s="6" t="s">
        <v>5015</v>
      </c>
      <c r="C13006" s="6" t="s">
        <v>4487</v>
      </c>
      <c r="D13006" s="6" t="s">
        <v>4495</v>
      </c>
      <c r="E13006" s="2">
        <v>1805270</v>
      </c>
      <c r="F13006" s="4" t="str">
        <f>IF(B13006=B13005,"",B13006)</f>
        <v>Qianzhou</v>
      </c>
    </row>
    <row r="13007" spans="1:6" ht="15.75" customHeight="1">
      <c r="A13007" s="5" t="str">
        <f ca="1">IFERROR(__xludf.DUMMYFUNCTION("GOOGLETRANSLATE(B26429,""en"",""pt"")"),"Qianzhou")</f>
        <v>Qianzhou</v>
      </c>
      <c r="B13007" s="17" t="s">
        <v>5015</v>
      </c>
      <c r="C13007" s="17" t="s">
        <v>4487</v>
      </c>
      <c r="D13007" s="17" t="s">
        <v>4495</v>
      </c>
      <c r="E13007" s="10">
        <v>1805270</v>
      </c>
      <c r="F13007" s="4" t="str">
        <f>IF(B13007=B13006,"",B13007)</f>
        <v/>
      </c>
    </row>
    <row r="13008" spans="1:6" ht="15.75" customHeight="1">
      <c r="A13008" s="6" t="s">
        <v>5014</v>
      </c>
      <c r="B13008" s="6" t="s">
        <v>5014</v>
      </c>
      <c r="C13008" s="6" t="s">
        <v>4487</v>
      </c>
      <c r="D13008" s="6" t="s">
        <v>4499</v>
      </c>
      <c r="E13008" s="2">
        <v>1786067</v>
      </c>
      <c r="F13008" s="4" t="str">
        <f>IF(B13008=B13007,"",B13008)</f>
        <v>Qianjiang</v>
      </c>
    </row>
    <row r="13009" spans="1:6" ht="15.75" customHeight="1">
      <c r="A13009" s="5" t="str">
        <f ca="1">IFERROR(__xludf.DUMMYFUNCTION("GOOGLETRANSLATE(B26118,""en"",""pt"")"),"Qianjiang")</f>
        <v>Qianjiang</v>
      </c>
      <c r="B13009" s="17" t="s">
        <v>5014</v>
      </c>
      <c r="C13009" s="17" t="s">
        <v>4487</v>
      </c>
      <c r="D13009" s="17" t="s">
        <v>4499</v>
      </c>
      <c r="E13009" s="10">
        <v>1786067</v>
      </c>
      <c r="F13009" s="4" t="str">
        <f>IF(B13009=B13008,"",B13009)</f>
        <v/>
      </c>
    </row>
    <row r="13010" spans="1:6" ht="15.75" customHeight="1">
      <c r="A13010" s="6" t="s">
        <v>5013</v>
      </c>
      <c r="B13010" s="6" t="s">
        <v>5013</v>
      </c>
      <c r="C13010" s="6" t="s">
        <v>4487</v>
      </c>
      <c r="D13010" s="6" t="s">
        <v>4518</v>
      </c>
      <c r="E13010" s="2">
        <v>2035399</v>
      </c>
      <c r="F13010" s="4" t="str">
        <f>IF(B13010=B13009,"",B13010)</f>
        <v>Qianguo</v>
      </c>
    </row>
    <row r="13011" spans="1:6" ht="15.75" customHeight="1">
      <c r="A13011" s="5" t="str">
        <f ca="1">IFERROR(__xludf.DUMMYFUNCTION("GOOGLETRANSLATE(B26705,""en"",""pt"")"),"Qianguo")</f>
        <v>Qianguo</v>
      </c>
      <c r="B13011" s="17" t="s">
        <v>5013</v>
      </c>
      <c r="C13011" s="17" t="s">
        <v>4487</v>
      </c>
      <c r="D13011" s="17" t="s">
        <v>4518</v>
      </c>
      <c r="E13011" s="10">
        <v>2035399</v>
      </c>
      <c r="F13011" s="4" t="str">
        <f>IF(B13011=B13010,"",B13011)</f>
        <v/>
      </c>
    </row>
    <row r="13012" spans="1:6" ht="15.75" customHeight="1">
      <c r="A13012" s="6" t="s">
        <v>14509</v>
      </c>
      <c r="B13012" s="6" t="s">
        <v>14509</v>
      </c>
      <c r="C13012" s="6" t="s">
        <v>14240</v>
      </c>
      <c r="D13012" s="6" t="s">
        <v>14320</v>
      </c>
      <c r="E13012" s="2">
        <v>119374</v>
      </c>
      <c r="F13012" s="4" t="str">
        <f>IF(B13012=B13011,"",B13012)</f>
        <v>Qeshm</v>
      </c>
    </row>
    <row r="13013" spans="1:6" ht="15.75" customHeight="1">
      <c r="A13013" s="5" t="str">
        <f ca="1">IFERROR(__xludf.DUMMYFUNCTION("GOOGLETRANSLATE(B34390,""en"",""pt"")"),"Qeshm")</f>
        <v>Qeshm</v>
      </c>
      <c r="B13013" s="17" t="s">
        <v>14509</v>
      </c>
      <c r="C13013" s="17" t="s">
        <v>14240</v>
      </c>
      <c r="D13013" s="17" t="s">
        <v>14320</v>
      </c>
      <c r="E13013" s="10">
        <v>119374</v>
      </c>
      <c r="F13013" s="4" t="str">
        <f>IF(B13013=B13012,"",B13013)</f>
        <v/>
      </c>
    </row>
    <row r="13014" spans="1:6" ht="15.75" customHeight="1">
      <c r="A13014" s="6" t="s">
        <v>14507</v>
      </c>
      <c r="B13014" s="6" t="s">
        <v>14507</v>
      </c>
      <c r="C13014" s="6" t="s">
        <v>14240</v>
      </c>
      <c r="D13014" s="6" t="s">
        <v>14508</v>
      </c>
      <c r="E13014" s="2">
        <v>119505</v>
      </c>
      <c r="F13014" s="4" t="str">
        <f>IF(B13014=B13013,"",B13014)</f>
        <v>Qazvin</v>
      </c>
    </row>
    <row r="13015" spans="1:6" ht="15.75" customHeight="1">
      <c r="A13015" s="5" t="str">
        <f ca="1">IFERROR(__xludf.DUMMYFUNCTION("GOOGLETRANSLATE(B34391,""en"",""pt"")"),"Qazvin")</f>
        <v>Qazvin</v>
      </c>
      <c r="B13015" s="17" t="s">
        <v>14507</v>
      </c>
      <c r="C13015" s="17" t="s">
        <v>14240</v>
      </c>
      <c r="D13015" s="17" t="s">
        <v>34135</v>
      </c>
      <c r="E13015" s="10">
        <v>119505</v>
      </c>
      <c r="F13015" s="4" t="str">
        <f>IF(B13015=B13014,"",B13015)</f>
        <v/>
      </c>
    </row>
    <row r="13016" spans="1:6" ht="15.75" customHeight="1">
      <c r="A13016" s="6" t="s">
        <v>1236</v>
      </c>
      <c r="B13016" s="6" t="s">
        <v>1237</v>
      </c>
      <c r="C13016" s="6" t="s">
        <v>1170</v>
      </c>
      <c r="D13016" s="6" t="s">
        <v>1237</v>
      </c>
      <c r="E13016" s="2">
        <v>585226</v>
      </c>
      <c r="F13016" s="4" t="str">
        <f>IF(B13016=B13015,"",B13016)</f>
        <v>Qazax</v>
      </c>
    </row>
    <row r="13017" spans="1:6" ht="15.75" customHeight="1">
      <c r="A13017" s="5" t="str">
        <f ca="1">IFERROR(__xludf.DUMMYFUNCTION("GOOGLETRANSLATE(B23648,""en"",""pt"")"),"QAZAX")</f>
        <v>QAZAX</v>
      </c>
      <c r="B13017" s="17" t="s">
        <v>1237</v>
      </c>
      <c r="C13017" s="17" t="s">
        <v>1170</v>
      </c>
      <c r="D13017" s="17" t="s">
        <v>1237</v>
      </c>
      <c r="E13017" s="10">
        <v>585226</v>
      </c>
      <c r="F13017" s="4" t="str">
        <f>IF(B13017=B13016,"",B13017)</f>
        <v/>
      </c>
    </row>
    <row r="13018" spans="1:6" ht="15.75" customHeight="1">
      <c r="A13018" s="5" t="str">
        <f ca="1">IFERROR(__xludf.DUMMYFUNCTION("GOOGLETRANSLATE(B41407,""en"",""pt"")"),"Qaţanā")</f>
        <v>Qaţanā</v>
      </c>
      <c r="B13018" s="17" t="s">
        <v>35733</v>
      </c>
      <c r="C13018" s="17" t="s">
        <v>25366</v>
      </c>
      <c r="D13018" s="17" t="s">
        <v>25372</v>
      </c>
      <c r="E13018" s="10">
        <v>165929</v>
      </c>
      <c r="F13018" s="4" t="str">
        <f>IF(B13018=B13017,"",B13018)</f>
        <v>Qaţanā</v>
      </c>
    </row>
    <row r="13019" spans="1:6" ht="15.75" customHeight="1">
      <c r="A13019" s="5" t="str">
        <f ca="1">IFERROR(__xludf.DUMMYFUNCTION("GOOGLETRANSLATE(B34529,""en"",""pt"")"),"Qaşr-e Qand")</f>
        <v>Qaşr-e Qand</v>
      </c>
      <c r="B13019" s="17" t="s">
        <v>34261</v>
      </c>
      <c r="C13019" s="17" t="s">
        <v>14240</v>
      </c>
      <c r="D13019" s="17" t="s">
        <v>14266</v>
      </c>
      <c r="E13019" s="10">
        <v>1159877</v>
      </c>
      <c r="F13019" s="4" t="str">
        <f>IF(B13019=B13018,"",B13019)</f>
        <v>Qaşr-e Qand</v>
      </c>
    </row>
    <row r="13020" spans="1:6" ht="15.75" customHeight="1">
      <c r="A13020" s="5" t="s">
        <v>30587</v>
      </c>
      <c r="B13020" s="6" t="s">
        <v>30588</v>
      </c>
      <c r="C13020" s="5" t="s">
        <v>30502</v>
      </c>
      <c r="D13020" s="5" t="s">
        <v>30545</v>
      </c>
      <c r="E13020" s="2">
        <v>1512978</v>
      </c>
      <c r="F13020" s="4" t="str">
        <f>IF(B13020=B13019,"",B13020)</f>
        <v>QÅ­shkÅ­pir</v>
      </c>
    </row>
    <row r="13021" spans="1:6" ht="15.75" customHeight="1">
      <c r="A13021" s="6" t="s">
        <v>30586</v>
      </c>
      <c r="B13021" s="6" t="s">
        <v>30586</v>
      </c>
      <c r="C13021" s="6" t="s">
        <v>30502</v>
      </c>
      <c r="D13021" s="6" t="s">
        <v>30515</v>
      </c>
      <c r="E13021" s="2">
        <v>1216311</v>
      </c>
      <c r="F13021" s="4" t="str">
        <f>IF(B13021=B13020,"",B13021)</f>
        <v>Qarshi</v>
      </c>
    </row>
    <row r="13022" spans="1:6" ht="15.75" customHeight="1">
      <c r="A13022" s="5" t="str">
        <f ca="1">IFERROR(__xludf.DUMMYFUNCTION("GOOGLETRANSLATE(B45509,""en"",""pt"")"),"Qarshi")</f>
        <v>Qarshi</v>
      </c>
      <c r="B13022" s="17" t="s">
        <v>30586</v>
      </c>
      <c r="C13022" s="17" t="s">
        <v>30502</v>
      </c>
      <c r="D13022" s="17" t="s">
        <v>30515</v>
      </c>
      <c r="E13022" s="10">
        <v>1216311</v>
      </c>
      <c r="F13022" s="4" t="str">
        <f>IF(B13022=B13021,"",B13022)</f>
        <v/>
      </c>
    </row>
    <row r="13023" spans="1:6" ht="15.75" customHeight="1">
      <c r="A13023" s="5" t="str">
        <f ca="1">IFERROR(__xludf.DUMMYFUNCTION("GOOGLETRANSLATE(B23063,""en"",""pt"")"),"Qarqīn")</f>
        <v>Qarqīn</v>
      </c>
      <c r="B13023" s="17" t="s">
        <v>31116</v>
      </c>
      <c r="C13023" s="17" t="s">
        <v>8</v>
      </c>
      <c r="D13023" s="17" t="s">
        <v>31111</v>
      </c>
      <c r="E13023" s="10">
        <v>1129516</v>
      </c>
      <c r="F13023" s="4" t="str">
        <f>IF(B13023=B13022,"",B13023)</f>
        <v>Qarqīn</v>
      </c>
    </row>
    <row r="13024" spans="1:6" ht="15.75" customHeight="1">
      <c r="A13024" s="6" t="s">
        <v>92</v>
      </c>
      <c r="B13024" s="6" t="s">
        <v>93</v>
      </c>
      <c r="C13024" s="6" t="s">
        <v>8</v>
      </c>
      <c r="D13024" s="6" t="s">
        <v>94</v>
      </c>
      <c r="E13024" s="2">
        <v>1129516</v>
      </c>
      <c r="F13024" s="4" t="str">
        <f>IF(B13024=B13023,"",B13024)</f>
        <v>QarqÄ«n</v>
      </c>
    </row>
    <row r="13025" spans="1:6" ht="15.75" customHeight="1">
      <c r="A13025" s="5" t="s">
        <v>25551</v>
      </c>
      <c r="B13025" s="6" t="s">
        <v>25552</v>
      </c>
      <c r="C13025" s="5" t="s">
        <v>25527</v>
      </c>
      <c r="D13025" s="5" t="s">
        <v>25532</v>
      </c>
      <c r="E13025" s="2">
        <v>1220747</v>
      </c>
      <c r="F13025" s="4" t="str">
        <f>IF(B13025=B13024,"",B13025)</f>
        <v>QÅ­rghonteppa</v>
      </c>
    </row>
    <row r="13026" spans="1:6" ht="15.75" customHeight="1">
      <c r="A13026" s="5" t="s">
        <v>30584</v>
      </c>
      <c r="B13026" s="6" t="s">
        <v>30585</v>
      </c>
      <c r="C13026" s="5" t="s">
        <v>30502</v>
      </c>
      <c r="D13026" s="5" t="s">
        <v>30501</v>
      </c>
      <c r="E13026" s="2">
        <v>1513364</v>
      </c>
      <c r="F13026" s="4" t="str">
        <f>IF(B13026=B13025,"",B13026)</f>
        <v>QÅ­rghontepa</v>
      </c>
    </row>
    <row r="13027" spans="1:6" ht="15.75" customHeight="1">
      <c r="A13027" s="6" t="s">
        <v>14506</v>
      </c>
      <c r="B13027" s="6" t="s">
        <v>14506</v>
      </c>
      <c r="C13027" s="6" t="s">
        <v>14240</v>
      </c>
      <c r="D13027" s="6" t="s">
        <v>14358</v>
      </c>
      <c r="E13027" s="2">
        <v>32767</v>
      </c>
      <c r="F13027" s="4" t="str">
        <f>IF(B13027=B13026,"",B13027)</f>
        <v>Qarchak</v>
      </c>
    </row>
    <row r="13028" spans="1:6" ht="15.75" customHeight="1">
      <c r="A13028" s="5" t="str">
        <f ca="1">IFERROR(__xludf.DUMMYFUNCTION("GOOGLETRANSLATE(B34344,""en"",""pt"")"),"Qarchak")</f>
        <v>Qarchak</v>
      </c>
      <c r="B13028" s="17" t="s">
        <v>14506</v>
      </c>
      <c r="C13028" s="17" t="s">
        <v>14240</v>
      </c>
      <c r="D13028" s="17" t="s">
        <v>34125</v>
      </c>
      <c r="E13028" s="10">
        <v>32767</v>
      </c>
      <c r="F13028" s="4" t="str">
        <f>IF(B13028=B13027,"",B13028)</f>
        <v/>
      </c>
    </row>
    <row r="13029" spans="1:6" ht="15.75" customHeight="1">
      <c r="A13029" s="5" t="str">
        <f ca="1">IFERROR(__xludf.DUMMYFUNCTION("GOOGLETRANSLATE(B23064,""en"",""pt"")"),"Qarāwul")</f>
        <v>Qarāwul</v>
      </c>
      <c r="B13029" s="17" t="s">
        <v>31117</v>
      </c>
      <c r="C13029" s="17" t="s">
        <v>8</v>
      </c>
      <c r="D13029" s="17" t="s">
        <v>71</v>
      </c>
      <c r="E13029" s="10">
        <v>1129648</v>
      </c>
      <c r="F13029" s="4" t="str">
        <f>IF(B13029=B13028,"",B13029)</f>
        <v>Qarāwul</v>
      </c>
    </row>
    <row r="13030" spans="1:6" ht="15.75" customHeight="1">
      <c r="A13030" s="5" t="str">
        <f ca="1">IFERROR(__xludf.DUMMYFUNCTION("GOOGLETRANSLATE(B34392,""en"",""pt"")"),"Qarah ẕīā 'od dīn")</f>
        <v>Qarah ẕīā 'od dīn</v>
      </c>
      <c r="B13030" s="17" t="s">
        <v>34157</v>
      </c>
      <c r="C13030" s="17" t="s">
        <v>14240</v>
      </c>
      <c r="D13030" s="17" t="s">
        <v>34137</v>
      </c>
      <c r="E13030" s="10">
        <v>119730</v>
      </c>
      <c r="F13030" s="4" t="str">
        <f>IF(B13030=B13029,"",B13030)</f>
        <v>Qarah Ẕīā’ od Dīn</v>
      </c>
    </row>
    <row r="13031" spans="1:6" ht="15.75" customHeight="1">
      <c r="A13031" s="5" t="s">
        <v>14504</v>
      </c>
      <c r="B13031" s="6" t="s">
        <v>14505</v>
      </c>
      <c r="C13031" s="5" t="s">
        <v>14240</v>
      </c>
      <c r="D13031" s="5" t="s">
        <v>14302</v>
      </c>
      <c r="E13031" s="2">
        <v>119730</v>
      </c>
      <c r="F13031" s="4" t="str">
        <f>IF(B13031=B13030,"",B13031)</f>
        <v>Qarah áº”Ä«Äâ€™ od DÄ«n</v>
      </c>
    </row>
    <row r="13032" spans="1:6" ht="15.75" customHeight="1">
      <c r="A13032" s="5" t="str">
        <f ca="1">IFERROR(__xludf.DUMMYFUNCTION("GOOGLETRANSLATE(B41409,""en"",""pt"")"),"Qārah")</f>
        <v>Qārah</v>
      </c>
      <c r="B13032" s="17" t="s">
        <v>35735</v>
      </c>
      <c r="C13032" s="17" t="s">
        <v>25366</v>
      </c>
      <c r="D13032" s="17" t="s">
        <v>25372</v>
      </c>
      <c r="E13032" s="10">
        <v>166111</v>
      </c>
      <c r="F13032" s="4" t="str">
        <f>IF(B13032=B13031,"",B13032)</f>
        <v>Qārah</v>
      </c>
    </row>
    <row r="13033" spans="1:6" ht="15.75" customHeight="1">
      <c r="A13033" s="5" t="str">
        <f ca="1">IFERROR(__xludf.DUMMYFUNCTION("GOOGLETRANSLATE(B23639,""en"",""pt"")"),"Qaraçuxur")</f>
        <v>Qaraçuxur</v>
      </c>
      <c r="B13033" s="17" t="s">
        <v>31236</v>
      </c>
      <c r="C13033" s="17" t="s">
        <v>1170</v>
      </c>
      <c r="D13033" s="17" t="s">
        <v>1181</v>
      </c>
      <c r="E13033" s="10">
        <v>585103</v>
      </c>
      <c r="F13033" s="4" t="str">
        <f>IF(B13033=B13032,"",B13033)</f>
        <v>Qaraçuxur</v>
      </c>
    </row>
    <row r="13034" spans="1:6" ht="15.75" customHeight="1">
      <c r="A13034" s="5" t="s">
        <v>1234</v>
      </c>
      <c r="B13034" s="6" t="s">
        <v>1235</v>
      </c>
      <c r="C13034" s="5" t="s">
        <v>1170</v>
      </c>
      <c r="D13034" s="5" t="s">
        <v>1181</v>
      </c>
      <c r="E13034" s="2">
        <v>585103</v>
      </c>
      <c r="F13034" s="4" t="str">
        <f>IF(B13034=B13033,"",B13034)</f>
        <v>QaraÃ§uxur</v>
      </c>
    </row>
    <row r="13035" spans="1:6" ht="15.75" customHeight="1">
      <c r="A13035" s="6" t="s">
        <v>90</v>
      </c>
      <c r="B13035" s="6" t="s">
        <v>91</v>
      </c>
      <c r="C13035" s="6" t="s">
        <v>8</v>
      </c>
      <c r="D13035" s="6" t="s">
        <v>71</v>
      </c>
      <c r="E13035" s="2">
        <v>1129648</v>
      </c>
      <c r="F13035" s="4" t="str">
        <f>IF(B13035=B13034,"",B13035)</f>
        <v>QarÄwul</v>
      </c>
    </row>
    <row r="13036" spans="1:6" ht="15.75" customHeight="1">
      <c r="A13036" s="6" t="s">
        <v>23838</v>
      </c>
      <c r="B13036" s="6" t="s">
        <v>23838</v>
      </c>
      <c r="C13036" s="6" t="s">
        <v>23800</v>
      </c>
      <c r="D13036" s="6" t="s">
        <v>14964</v>
      </c>
      <c r="E13036" s="2">
        <v>53157</v>
      </c>
      <c r="F13036" s="4" t="str">
        <f>IF(B13036=B13035,"",B13036)</f>
        <v>Qandala</v>
      </c>
    </row>
    <row r="13037" spans="1:6" ht="15.75" customHeight="1">
      <c r="A13037" s="5" t="str">
        <f ca="1">IFERROR(__xludf.DUMMYFUNCTION("GOOGLETRANSLATE(B41315,""en"",""pt"")"),"Qandala")</f>
        <v>Qandala</v>
      </c>
      <c r="B13037" s="17" t="s">
        <v>23838</v>
      </c>
      <c r="C13037" s="17" t="s">
        <v>23800</v>
      </c>
      <c r="D13037" s="17" t="s">
        <v>14964</v>
      </c>
      <c r="E13037" s="10">
        <v>53157</v>
      </c>
      <c r="F13037" s="4" t="str">
        <f>IF(B13037=B13036,"",B13037)</f>
        <v/>
      </c>
    </row>
    <row r="13038" spans="1:6" ht="15.75" customHeight="1">
      <c r="A13038" s="6" t="s">
        <v>5012</v>
      </c>
      <c r="B13038" s="6" t="s">
        <v>5012</v>
      </c>
      <c r="C13038" s="6" t="s">
        <v>4487</v>
      </c>
      <c r="D13038" s="6" t="s">
        <v>4603</v>
      </c>
      <c r="E13038" s="2">
        <v>1280281</v>
      </c>
      <c r="F13038" s="4" t="str">
        <f>IF(B13038=B13037,"",B13038)</f>
        <v>Qamdo</v>
      </c>
    </row>
    <row r="13039" spans="1:6" ht="15.75" customHeight="1">
      <c r="A13039" s="5" t="str">
        <f ca="1">IFERROR(__xludf.DUMMYFUNCTION("GOOGLETRANSLATE(B26047,""en"",""pt"")"),"Qamdo")</f>
        <v>Qamdo</v>
      </c>
      <c r="B13039" s="17" t="s">
        <v>5012</v>
      </c>
      <c r="C13039" s="17" t="s">
        <v>4487</v>
      </c>
      <c r="D13039" s="17" t="s">
        <v>4603</v>
      </c>
      <c r="E13039" s="10">
        <v>1280281</v>
      </c>
      <c r="F13039" s="4" t="str">
        <f>IF(B13039=B13038,"",B13039)</f>
        <v/>
      </c>
    </row>
    <row r="13040" spans="1:6" ht="15.75" customHeight="1">
      <c r="A13040" s="5" t="str">
        <f ca="1">IFERROR(__xludf.DUMMYFUNCTION("GOOGLETRANSLATE(B28842,""en"",""pt"")"),"Qalyūb")</f>
        <v>Qalyūb</v>
      </c>
      <c r="B13040" s="17" t="s">
        <v>32268</v>
      </c>
      <c r="C13040" s="17" t="s">
        <v>6495</v>
      </c>
      <c r="D13040" s="17" t="s">
        <v>32246</v>
      </c>
      <c r="E13040" s="10">
        <v>350789</v>
      </c>
      <c r="F13040" s="4" t="str">
        <f>IF(B13040=B13039,"",B13040)</f>
        <v>Qalyūb</v>
      </c>
    </row>
    <row r="13041" spans="1:6" ht="15.75" customHeight="1">
      <c r="A13041" s="6" t="s">
        <v>6694</v>
      </c>
      <c r="B13041" s="6" t="s">
        <v>6695</v>
      </c>
      <c r="C13041" s="6" t="s">
        <v>6495</v>
      </c>
      <c r="D13041" s="6" t="s">
        <v>6561</v>
      </c>
      <c r="E13041" s="2">
        <v>350789</v>
      </c>
      <c r="F13041" s="4" t="str">
        <f>IF(B13041=B13040,"",B13041)</f>
        <v>QalyÅ«b</v>
      </c>
    </row>
    <row r="13042" spans="1:6" ht="15.75" customHeight="1">
      <c r="A13042" s="5" t="str">
        <f ca="1">IFERROR(__xludf.DUMMYFUNCTION("GOOGLETRANSLATE(B39541,""en"",""pt"")"),"Qalqīlyah")</f>
        <v>Qalqīlyah</v>
      </c>
      <c r="B13042" s="17" t="s">
        <v>35270</v>
      </c>
      <c r="C13042" s="17" t="s">
        <v>20297</v>
      </c>
      <c r="D13042" s="17" t="s">
        <v>20298</v>
      </c>
      <c r="E13042" s="10">
        <v>282457</v>
      </c>
      <c r="F13042" s="4" t="str">
        <f>IF(B13042=B13041,"",B13042)</f>
        <v>Qalqīlyah</v>
      </c>
    </row>
    <row r="13043" spans="1:6" ht="15.75" customHeight="1">
      <c r="A13043" s="5" t="s">
        <v>20361</v>
      </c>
      <c r="B13043" s="6" t="s">
        <v>20362</v>
      </c>
      <c r="C13043" s="5" t="s">
        <v>20297</v>
      </c>
      <c r="D13043" s="5" t="s">
        <v>20298</v>
      </c>
      <c r="E13043" s="2">
        <v>282457</v>
      </c>
      <c r="F13043" s="4" t="str">
        <f>IF(B13043=B13042,"",B13043)</f>
        <v>QalqÄ«lyah</v>
      </c>
    </row>
    <row r="13044" spans="1:6" ht="15.75" customHeight="1">
      <c r="A13044" s="5" t="s">
        <v>14851</v>
      </c>
      <c r="B13044" s="6" t="s">
        <v>14851</v>
      </c>
      <c r="C13044" s="5" t="s">
        <v>14773</v>
      </c>
      <c r="D13044" s="5" t="s">
        <v>14800</v>
      </c>
      <c r="E13044" s="2">
        <v>293896</v>
      </c>
      <c r="F13044" s="4" t="str">
        <f>IF(B13044=B13043,"",B13044)</f>
        <v>Qalansuwa</v>
      </c>
    </row>
    <row r="13045" spans="1:6" ht="15.75" customHeight="1">
      <c r="A13045" s="5" t="str">
        <f ca="1">IFERROR(__xludf.DUMMYFUNCTION("GOOGLETRANSLATE(B31781,""en"",""pt"")"),"Qalansuwa")</f>
        <v>Qalansuwa</v>
      </c>
      <c r="B13045" s="17" t="s">
        <v>14851</v>
      </c>
      <c r="C13045" s="17" t="s">
        <v>14773</v>
      </c>
      <c r="D13045" s="17" t="s">
        <v>14800</v>
      </c>
      <c r="E13045" s="10">
        <v>293896</v>
      </c>
      <c r="F13045" s="4" t="str">
        <f>IF(B13045=B13044,"",B13045)</f>
        <v/>
      </c>
    </row>
    <row r="13046" spans="1:6" ht="15.75" customHeight="1">
      <c r="A13046" s="5" t="s">
        <v>23536</v>
      </c>
      <c r="B13046" s="6" t="s">
        <v>23537</v>
      </c>
      <c r="C13046" s="5" t="s">
        <v>23454</v>
      </c>
      <c r="D13046" s="5" t="s">
        <v>23469</v>
      </c>
      <c r="E13046" s="2">
        <v>103369</v>
      </c>
      <c r="F13046" s="4" t="str">
        <f>IF(B13046=B13045,"",B13046)</f>
        <v>Qalâ€˜at BÄ«shah</v>
      </c>
    </row>
    <row r="13047" spans="1:6" ht="15.75" customHeight="1">
      <c r="A13047" s="5" t="str">
        <f ca="1">IFERROR(__xludf.DUMMYFUNCTION("GOOGLETRANSLATE(B41024,""en"",""pt"")"),"Qal‘at bīshah")</f>
        <v>Qal‘at bīshah</v>
      </c>
      <c r="B13047" s="17" t="s">
        <v>35580</v>
      </c>
      <c r="C13047" s="17" t="s">
        <v>23454</v>
      </c>
      <c r="D13047" s="17" t="s">
        <v>35581</v>
      </c>
      <c r="E13047" s="10">
        <v>103369</v>
      </c>
      <c r="F13047" s="4" t="str">
        <f>IF(B13047=B13046,"",B13047)</f>
        <v>Qal‘at Bīshah</v>
      </c>
    </row>
    <row r="13048" spans="1:6" ht="15.75" customHeight="1">
      <c r="A13048" s="5" t="str">
        <f ca="1">IFERROR(__xludf.DUMMYFUNCTION("GOOGLETRANSLATE(B34516,""en"",""pt"")"),"Qahderījān")</f>
        <v>Qahderījān</v>
      </c>
      <c r="B13048" s="17" t="s">
        <v>34251</v>
      </c>
      <c r="C13048" s="17" t="s">
        <v>14240</v>
      </c>
      <c r="D13048" s="17" t="s">
        <v>14294</v>
      </c>
      <c r="E13048" s="10">
        <v>418571</v>
      </c>
      <c r="F13048" s="4" t="str">
        <f>IF(B13048=B13047,"",B13048)</f>
        <v>Qahderījān</v>
      </c>
    </row>
    <row r="13049" spans="1:6" ht="15.75" customHeight="1">
      <c r="A13049" s="5" t="s">
        <v>14502</v>
      </c>
      <c r="B13049" s="6" t="s">
        <v>14503</v>
      </c>
      <c r="C13049" s="5" t="s">
        <v>14240</v>
      </c>
      <c r="D13049" s="5" t="s">
        <v>14294</v>
      </c>
      <c r="E13049" s="2">
        <v>418571</v>
      </c>
      <c r="F13049" s="4" t="str">
        <f>IF(B13049=B13048,"",B13049)</f>
        <v>QahderÄ«jÄn</v>
      </c>
    </row>
    <row r="13050" spans="1:6" ht="15.75" customHeight="1">
      <c r="A13050" s="5" t="str">
        <f ca="1">IFERROR(__xludf.DUMMYFUNCTION("GOOGLETRANSLATE(B38945,""en"",""pt"")"),"Qādirpur rān")</f>
        <v>Qādirpur rān</v>
      </c>
      <c r="B13050" s="17" t="s">
        <v>34930</v>
      </c>
      <c r="C13050" s="17" t="s">
        <v>19808</v>
      </c>
      <c r="D13050" s="17" t="s">
        <v>10184</v>
      </c>
      <c r="E13050" s="10">
        <v>1167648</v>
      </c>
      <c r="F13050" s="4" t="str">
        <f>IF(B13050=B13049,"",B13050)</f>
        <v>Qādirpur Rān</v>
      </c>
    </row>
    <row r="13051" spans="1:6" ht="15.75" customHeight="1">
      <c r="A13051" s="5" t="str">
        <f ca="1">IFERROR(__xludf.DUMMYFUNCTION("GOOGLETRANSLATE(B32406,""en"",""pt"")"),"Qādiān")</f>
        <v>Qādiān</v>
      </c>
      <c r="B13051" s="17" t="s">
        <v>33205</v>
      </c>
      <c r="C13051" s="17" t="s">
        <v>10178</v>
      </c>
      <c r="D13051" s="17" t="s">
        <v>10184</v>
      </c>
      <c r="E13051" s="10">
        <v>1259110</v>
      </c>
      <c r="F13051" s="4" t="str">
        <f>IF(B13051=B13050,"",B13051)</f>
        <v>Qādiān</v>
      </c>
    </row>
    <row r="13052" spans="1:6" ht="15.75" customHeight="1">
      <c r="A13052" s="5" t="s">
        <v>17047</v>
      </c>
      <c r="B13052" s="6" t="s">
        <v>17048</v>
      </c>
      <c r="C13052" s="5" t="s">
        <v>17039</v>
      </c>
      <c r="D13052" s="5" t="s">
        <v>17049</v>
      </c>
      <c r="E13052" s="2">
        <v>932218</v>
      </c>
      <c r="F13052" s="4" t="str">
        <f>IF(B13052=B13051,"",B13052)</f>
        <v>Qachaâ€™s Nek</v>
      </c>
    </row>
    <row r="13053" spans="1:6" ht="15.75" customHeight="1">
      <c r="A13053" s="5" t="str">
        <f ca="1">IFERROR(__xludf.DUMMYFUNCTION("GOOGLETRANSLATE(B36353,""en"",""pt"")"),"O NEK de Qacha")</f>
        <v>O NEK de Qacha</v>
      </c>
      <c r="B13053" s="17" t="s">
        <v>34521</v>
      </c>
      <c r="C13053" s="17" t="s">
        <v>17039</v>
      </c>
      <c r="D13053" s="17" t="s">
        <v>34522</v>
      </c>
      <c r="E13053" s="10">
        <v>932218</v>
      </c>
      <c r="F13053" s="4" t="str">
        <f>IF(B13053=B13052,"",B13053)</f>
        <v>Qacha’s Nek</v>
      </c>
    </row>
    <row r="13054" spans="1:6" ht="15.75" customHeight="1">
      <c r="A13054" s="5" t="str">
        <f ca="1">IFERROR(__xludf.DUMMYFUNCTION("GOOGLETRANSLATE(B39542,""en"",""pt"")"),"Qabāţīyah")</f>
        <v>Qabāţīyah</v>
      </c>
      <c r="B13054" s="17" t="s">
        <v>35271</v>
      </c>
      <c r="C13054" s="17" t="s">
        <v>20297</v>
      </c>
      <c r="D13054" s="17" t="s">
        <v>20298</v>
      </c>
      <c r="E13054" s="10">
        <v>282476</v>
      </c>
      <c r="F13054" s="4" t="str">
        <f>IF(B13054=B13053,"",B13054)</f>
        <v>Qabāţīyah</v>
      </c>
    </row>
    <row r="13055" spans="1:6" ht="15.75" customHeight="1">
      <c r="A13055" s="5" t="s">
        <v>20359</v>
      </c>
      <c r="B13055" s="6" t="s">
        <v>20360</v>
      </c>
      <c r="C13055" s="5" t="s">
        <v>20297</v>
      </c>
      <c r="D13055" s="5" t="s">
        <v>20298</v>
      </c>
      <c r="E13055" s="2">
        <v>282476</v>
      </c>
      <c r="F13055" s="4" t="str">
        <f>IF(B13055=B13054,"",B13055)</f>
        <v>QabÄÅ£Ä«yah</v>
      </c>
    </row>
    <row r="13056" spans="1:6" ht="15.75" customHeight="1">
      <c r="A13056" s="5" t="s">
        <v>14500</v>
      </c>
      <c r="B13056" s="6" t="s">
        <v>14501</v>
      </c>
      <c r="C13056" s="5" t="s">
        <v>14240</v>
      </c>
      <c r="D13056" s="5" t="s">
        <v>14266</v>
      </c>
      <c r="E13056" s="2">
        <v>1159877</v>
      </c>
      <c r="F13056" s="4" t="str">
        <f>IF(B13056=B13055,"",B13056)</f>
        <v>QaÅŸr-e Qand</v>
      </c>
    </row>
    <row r="13057" spans="1:6" ht="15.75" customHeight="1">
      <c r="A13057" s="5" t="s">
        <v>25479</v>
      </c>
      <c r="B13057" s="6" t="s">
        <v>25480</v>
      </c>
      <c r="C13057" s="5" t="s">
        <v>25366</v>
      </c>
      <c r="D13057" s="5" t="s">
        <v>25372</v>
      </c>
      <c r="E13057" s="2">
        <v>165929</v>
      </c>
      <c r="F13057" s="4" t="str">
        <f>IF(B13057=B13056,"",B13057)</f>
        <v>QaÅ£anÄ</v>
      </c>
    </row>
    <row r="13058" spans="1:6" ht="15.75" customHeight="1">
      <c r="A13058" s="6" t="s">
        <v>25477</v>
      </c>
      <c r="B13058" s="6" t="s">
        <v>25478</v>
      </c>
      <c r="C13058" s="6" t="s">
        <v>25366</v>
      </c>
      <c r="D13058" s="6" t="s">
        <v>25372</v>
      </c>
      <c r="E13058" s="2">
        <v>166111</v>
      </c>
      <c r="F13058" s="4" t="str">
        <f>IF(B13058=B13057,"",B13058)</f>
        <v>QÄrah</v>
      </c>
    </row>
    <row r="13059" spans="1:6" ht="15.75" customHeight="1">
      <c r="A13059" s="5" t="s">
        <v>20171</v>
      </c>
      <c r="B13059" s="6" t="s">
        <v>20172</v>
      </c>
      <c r="C13059" s="5" t="s">
        <v>19808</v>
      </c>
      <c r="D13059" s="5" t="s">
        <v>10184</v>
      </c>
      <c r="E13059" s="2">
        <v>1167648</v>
      </c>
      <c r="F13059" s="4" t="str">
        <f>IF(B13059=B13058,"",B13059)</f>
        <v>QÄdirpur RÄn</v>
      </c>
    </row>
    <row r="13060" spans="1:6" ht="15.75" customHeight="1">
      <c r="A13060" s="6" t="s">
        <v>12958</v>
      </c>
      <c r="B13060" s="6" t="s">
        <v>12959</v>
      </c>
      <c r="C13060" s="6" t="s">
        <v>10178</v>
      </c>
      <c r="D13060" s="6" t="s">
        <v>10184</v>
      </c>
      <c r="E13060" s="2">
        <v>1259110</v>
      </c>
      <c r="F13060" s="4" t="str">
        <f>IF(B13060=B13059,"",B13060)</f>
        <v>QÄdiÄn</v>
      </c>
    </row>
    <row r="13061" spans="1:6" ht="15.75" customHeight="1">
      <c r="A13061" s="6" t="s">
        <v>14498</v>
      </c>
      <c r="B13061" s="6" t="s">
        <v>14499</v>
      </c>
      <c r="C13061" s="6" t="s">
        <v>14240</v>
      </c>
      <c r="D13061" s="6" t="s">
        <v>14305</v>
      </c>
      <c r="E13061" s="2">
        <v>120694</v>
      </c>
      <c r="F13061" s="4" t="str">
        <f>IF(B13061=B13060,"",B13061)</f>
        <v>QÄâ€™en</v>
      </c>
    </row>
    <row r="13062" spans="1:6" ht="15.75" customHeight="1">
      <c r="A13062" s="5" t="s">
        <v>16659</v>
      </c>
      <c r="B13062" s="6" t="s">
        <v>16660</v>
      </c>
      <c r="C13062" s="5" t="s">
        <v>16624</v>
      </c>
      <c r="D13062" s="5" t="s">
        <v>16657</v>
      </c>
      <c r="E13062" s="2">
        <v>250624</v>
      </c>
      <c r="F13062" s="4" t="str">
        <f>IF(B13062=B13061,"",B13062)</f>
        <v>QÄ«r MoÄv</v>
      </c>
    </row>
    <row r="13063" spans="1:6" ht="15.75" customHeight="1">
      <c r="A13063" s="5" t="s">
        <v>14496</v>
      </c>
      <c r="B13063" s="6" t="s">
        <v>14497</v>
      </c>
      <c r="C13063" s="5" t="s">
        <v>14240</v>
      </c>
      <c r="D13063" s="5" t="s">
        <v>14351</v>
      </c>
      <c r="E13063" s="2">
        <v>119115</v>
      </c>
      <c r="F13063" s="4" t="str">
        <f>IF(B13063=B13062,"",B13063)</f>
        <v>QÅ«chÄn</v>
      </c>
    </row>
    <row r="13064" spans="1:6" ht="15.75" customHeight="1">
      <c r="A13064" s="5" t="str">
        <f ca="1">IFERROR(__xludf.DUMMYFUNCTION("GOOGLETRANSLATE(B34394,""en"",""pt"")"),"Qā'en")</f>
        <v>Qā'en</v>
      </c>
      <c r="B13064" s="17" t="s">
        <v>34158</v>
      </c>
      <c r="C13064" s="17" t="s">
        <v>14240</v>
      </c>
      <c r="D13064" s="17" t="s">
        <v>34159</v>
      </c>
      <c r="E13064" s="10">
        <v>120694</v>
      </c>
      <c r="F13064" s="4" t="str">
        <f>IF(B13064=B13063,"",B13064)</f>
        <v>Qā’en</v>
      </c>
    </row>
    <row r="13065" spans="1:6" ht="15.75" customHeight="1">
      <c r="A13065" s="6" t="s">
        <v>18752</v>
      </c>
      <c r="B13065" s="6" t="s">
        <v>18752</v>
      </c>
      <c r="C13065" s="6" t="s">
        <v>18696</v>
      </c>
      <c r="D13065" s="6" t="s">
        <v>18695</v>
      </c>
      <c r="E13065" s="2">
        <v>1298911</v>
      </c>
      <c r="F13065" s="4" t="str">
        <f>IF(B13065=B13064,"",B13065)</f>
        <v>Pyu</v>
      </c>
    </row>
    <row r="13066" spans="1:6" ht="15.75" customHeight="1">
      <c r="A13066" s="5" t="str">
        <f ca="1">IFERROR(__xludf.DUMMYFUNCTION("GOOGLETRANSLATE(B36718,""en"",""pt"")"),"Pyu")</f>
        <v>Pyu</v>
      </c>
      <c r="B13066" s="17" t="s">
        <v>18752</v>
      </c>
      <c r="C13066" s="17" t="s">
        <v>18696</v>
      </c>
      <c r="D13066" s="17" t="s">
        <v>18695</v>
      </c>
      <c r="E13066" s="10">
        <v>1298911</v>
      </c>
      <c r="F13066" s="4" t="str">
        <f>IF(B13066=B13065,"",B13066)</f>
        <v/>
      </c>
    </row>
    <row r="13067" spans="1:6" ht="15.75" customHeight="1">
      <c r="A13067" s="6" t="s">
        <v>22982</v>
      </c>
      <c r="B13067" s="6" t="s">
        <v>22983</v>
      </c>
      <c r="C13067" s="6" t="s">
        <v>22070</v>
      </c>
      <c r="D13067" s="6" t="s">
        <v>22217</v>
      </c>
      <c r="E13067" s="2">
        <v>6696686</v>
      </c>
      <c r="F13067" s="4" t="str">
        <f>IF(B13067=B13066,"",B13067)</f>
        <v>Pyt-Yakh</v>
      </c>
    </row>
    <row r="13068" spans="1:6" ht="15.75" customHeight="1">
      <c r="A13068" s="5" t="str">
        <f ca="1">IFERROR(__xludf.DUMMYFUNCTION("GOOGLETRANSLATE(B40974,""en"",""pt"")"),"Pyt-yakh")</f>
        <v>Pyt-yakh</v>
      </c>
      <c r="B13068" s="17" t="s">
        <v>22983</v>
      </c>
      <c r="C13068" s="17" t="s">
        <v>22070</v>
      </c>
      <c r="D13068" s="17" t="s">
        <v>22217</v>
      </c>
      <c r="E13068" s="10">
        <v>6696686</v>
      </c>
      <c r="F13068" s="4" t="str">
        <f>IF(B13068=B13067,"",B13068)</f>
        <v/>
      </c>
    </row>
    <row r="13069" spans="1:6" ht="15.75" customHeight="1">
      <c r="A13069" s="5" t="s">
        <v>21453</v>
      </c>
      <c r="B13069" s="6" t="s">
        <v>21453</v>
      </c>
      <c r="C13069" s="5" t="s">
        <v>21064</v>
      </c>
      <c r="D13069" s="5" t="s">
        <v>21073</v>
      </c>
      <c r="E13069" s="2">
        <v>3087628</v>
      </c>
      <c r="F13069" s="4" t="str">
        <f>IF(B13069=B13068,"",B13069)</f>
        <v>Pyskowice</v>
      </c>
    </row>
    <row r="13070" spans="1:6" ht="15.75" customHeight="1">
      <c r="A13070" s="5" t="str">
        <f ca="1">IFERROR(__xludf.DUMMYFUNCTION("GOOGLETRANSLATE(B39370,""en"",""pt"")"),"Pyskowice")</f>
        <v>Pyskowice</v>
      </c>
      <c r="B13070" s="17" t="s">
        <v>21453</v>
      </c>
      <c r="C13070" s="17" t="s">
        <v>21064</v>
      </c>
      <c r="D13070" s="17" t="s">
        <v>21073</v>
      </c>
      <c r="E13070" s="10">
        <v>3087628</v>
      </c>
      <c r="F13070" s="4" t="str">
        <f>IF(B13070=B13069,"",B13070)</f>
        <v/>
      </c>
    </row>
    <row r="13071" spans="1:6" ht="15.75" customHeight="1">
      <c r="A13071" s="6" t="s">
        <v>27118</v>
      </c>
      <c r="B13071" s="6" t="s">
        <v>27118</v>
      </c>
      <c r="C13071" s="6" t="s">
        <v>26870</v>
      </c>
      <c r="D13071" s="6" t="s">
        <v>26964</v>
      </c>
      <c r="E13071" s="2">
        <v>697183</v>
      </c>
      <c r="F13071" s="4" t="str">
        <f>IF(B13071=B13070,"",B13071)</f>
        <v>Pyryatyn</v>
      </c>
    </row>
    <row r="13072" spans="1:6" ht="15.75" customHeight="1">
      <c r="A13072" s="5" t="str">
        <f ca="1">IFERROR(__xludf.DUMMYFUNCTION("GOOGLETRANSLATE(B42550,""en"",""pt"")"),"Pyryatyn")</f>
        <v>Pyryatyn</v>
      </c>
      <c r="B13072" s="17" t="s">
        <v>27118</v>
      </c>
      <c r="C13072" s="17" t="s">
        <v>26870</v>
      </c>
      <c r="D13072" s="17" t="s">
        <v>26964</v>
      </c>
      <c r="E13072" s="10">
        <v>697183</v>
      </c>
      <c r="F13072" s="4" t="str">
        <f>IF(B13072=B13071,"",B13072)</f>
        <v/>
      </c>
    </row>
    <row r="13073" spans="1:6" ht="15.75" customHeight="1">
      <c r="A13073" s="5" t="str">
        <f ca="1">IFERROR(__xludf.DUMMYFUNCTION("GOOGLETRANSLATE(B30964,""en"",""pt"")"),"Pýrgos")</f>
        <v>Pýrgos</v>
      </c>
      <c r="B13073" s="17" t="s">
        <v>32676</v>
      </c>
      <c r="C13073" s="17" t="s">
        <v>9441</v>
      </c>
      <c r="D13073" s="17" t="s">
        <v>9459</v>
      </c>
      <c r="E13073" s="10">
        <v>255229</v>
      </c>
      <c r="F13073" s="4" t="str">
        <f>IF(B13073=B13072,"",B13073)</f>
        <v>Pýrgos</v>
      </c>
    </row>
    <row r="13074" spans="1:6" ht="15.75" customHeight="1">
      <c r="A13074" s="5" t="s">
        <v>19610</v>
      </c>
      <c r="B13074" s="6" t="s">
        <v>19610</v>
      </c>
      <c r="C13074" s="5" t="s">
        <v>19589</v>
      </c>
      <c r="D13074" s="5" t="s">
        <v>19610</v>
      </c>
      <c r="E13074" s="2">
        <v>1871859</v>
      </c>
      <c r="F13074" s="4" t="str">
        <f>IF(B13074=B13073,"",B13074)</f>
        <v>Pyongyang</v>
      </c>
    </row>
    <row r="13075" spans="1:6" ht="15.75" customHeight="1">
      <c r="A13075" s="5" t="str">
        <f ca="1">IFERROR(__xludf.DUMMYFUNCTION("GOOGLETRANSLATE(B36000,""en"",""pt"")"),"Pyongyang")</f>
        <v>Pyongyang</v>
      </c>
      <c r="B13075" s="17" t="s">
        <v>19610</v>
      </c>
      <c r="C13075" s="17" t="s">
        <v>19589</v>
      </c>
      <c r="D13075" s="17" t="s">
        <v>19610</v>
      </c>
      <c r="E13075" s="10">
        <v>1871859</v>
      </c>
      <c r="F13075" s="4" t="str">
        <f>IF(B13075=B13074,"",B13075)</f>
        <v/>
      </c>
    </row>
    <row r="13076" spans="1:6" ht="15.75" customHeight="1">
      <c r="A13076" s="5" t="str">
        <f ca="1">IFERROR(__xludf.DUMMYFUNCTION("GOOGLETRANSLATE(B31036,""en"",""pt"")"),"Pylaía")</f>
        <v>Pylaía</v>
      </c>
      <c r="B13076" s="17" t="s">
        <v>32742</v>
      </c>
      <c r="C13076" s="17" t="s">
        <v>9441</v>
      </c>
      <c r="D13076" s="17" t="s">
        <v>9442</v>
      </c>
      <c r="E13076" s="10">
        <v>734643</v>
      </c>
      <c r="F13076" s="4" t="str">
        <f>IF(B13076=B13075,"",B13076)</f>
        <v>Pylaía</v>
      </c>
    </row>
    <row r="13077" spans="1:6" ht="15.75" customHeight="1">
      <c r="A13077" s="6" t="s">
        <v>9628</v>
      </c>
      <c r="B13077" s="6" t="s">
        <v>9629</v>
      </c>
      <c r="C13077" s="6" t="s">
        <v>9441</v>
      </c>
      <c r="D13077" s="6" t="s">
        <v>9442</v>
      </c>
      <c r="E13077" s="2">
        <v>734643</v>
      </c>
      <c r="F13077" s="4" t="str">
        <f>IF(B13077=B13076,"",B13077)</f>
        <v>PylaÃ­a</v>
      </c>
    </row>
    <row r="13078" spans="1:6" ht="15.75" customHeight="1">
      <c r="A13078" s="5" t="s">
        <v>18751</v>
      </c>
      <c r="B13078" s="6" t="s">
        <v>18751</v>
      </c>
      <c r="C13078" s="5" t="s">
        <v>18696</v>
      </c>
      <c r="D13078" s="5" t="s">
        <v>18718</v>
      </c>
      <c r="E13078" s="2">
        <v>1298987</v>
      </c>
      <c r="F13078" s="4" t="str">
        <f>IF(B13078=B13077,"",B13078)</f>
        <v>Pyinmana</v>
      </c>
    </row>
    <row r="13079" spans="1:6" ht="15.75" customHeight="1">
      <c r="A13079" s="5" t="str">
        <f ca="1">IFERROR(__xludf.DUMMYFUNCTION("GOOGLETRANSLATE(B36719,""en"",""pt"")"),"Pyinmana")</f>
        <v>Pyinmana</v>
      </c>
      <c r="B13079" s="17" t="s">
        <v>18751</v>
      </c>
      <c r="C13079" s="17" t="s">
        <v>18696</v>
      </c>
      <c r="D13079" s="17" t="s">
        <v>18718</v>
      </c>
      <c r="E13079" s="10">
        <v>1298987</v>
      </c>
      <c r="F13079" s="4" t="str">
        <f>IF(B13079=B13078,"",B13079)</f>
        <v/>
      </c>
    </row>
    <row r="13080" spans="1:6" ht="15.75" customHeight="1">
      <c r="A13080" s="5" t="s">
        <v>18749</v>
      </c>
      <c r="B13080" s="6" t="s">
        <v>18750</v>
      </c>
      <c r="C13080" s="5" t="s">
        <v>18696</v>
      </c>
      <c r="D13080" s="5" t="s">
        <v>18718</v>
      </c>
      <c r="E13080" s="2">
        <v>1309937</v>
      </c>
      <c r="F13080" s="4" t="str">
        <f>IF(B13080=B13079,"",B13080)</f>
        <v>Pyin Oo Lwin</v>
      </c>
    </row>
    <row r="13081" spans="1:6" ht="15.75" customHeight="1">
      <c r="A13081" s="5" t="str">
        <f ca="1">IFERROR(__xludf.DUMMYFUNCTION("GOOGLETRANSLATE(B36739,""en"",""pt"")"),"Pyin oo lwin")</f>
        <v>Pyin oo lwin</v>
      </c>
      <c r="B13081" s="17" t="s">
        <v>18750</v>
      </c>
      <c r="C13081" s="17" t="s">
        <v>18696</v>
      </c>
      <c r="D13081" s="17" t="s">
        <v>18718</v>
      </c>
      <c r="E13081" s="10">
        <v>1309937</v>
      </c>
      <c r="F13081" s="4" t="str">
        <f>IF(B13081=B13080,"",B13081)</f>
        <v/>
      </c>
    </row>
    <row r="13082" spans="1:6" ht="15.75" customHeight="1">
      <c r="A13082" s="6" t="s">
        <v>18748</v>
      </c>
      <c r="B13082" s="6" t="s">
        <v>18748</v>
      </c>
      <c r="C13082" s="6" t="s">
        <v>18696</v>
      </c>
      <c r="D13082" s="6" t="s">
        <v>18695</v>
      </c>
      <c r="E13082" s="2">
        <v>1299154</v>
      </c>
      <c r="F13082" s="4" t="str">
        <f>IF(B13082=B13081,"",B13082)</f>
        <v>Pyay</v>
      </c>
    </row>
    <row r="13083" spans="1:6" ht="15.75" customHeight="1">
      <c r="A13083" s="5" t="str">
        <f ca="1">IFERROR(__xludf.DUMMYFUNCTION("GOOGLETRANSLATE(B36720,""en"",""pt"")"),"Pyay")</f>
        <v>Pyay</v>
      </c>
      <c r="B13083" s="17" t="s">
        <v>18748</v>
      </c>
      <c r="C13083" s="17" t="s">
        <v>18696</v>
      </c>
      <c r="D13083" s="17" t="s">
        <v>18695</v>
      </c>
      <c r="E13083" s="10">
        <v>1299154</v>
      </c>
      <c r="F13083" s="4" t="str">
        <f>IF(B13083=B13082,"",B13083)</f>
        <v/>
      </c>
    </row>
    <row r="13084" spans="1:6" ht="15.75" customHeight="1">
      <c r="A13084" s="5" t="s">
        <v>22981</v>
      </c>
      <c r="B13084" s="6" t="s">
        <v>22981</v>
      </c>
      <c r="C13084" s="5" t="s">
        <v>22070</v>
      </c>
      <c r="D13084" s="5" t="s">
        <v>22117</v>
      </c>
      <c r="E13084" s="2">
        <v>503550</v>
      </c>
      <c r="F13084" s="4" t="str">
        <f>IF(B13084=B13083,"",B13084)</f>
        <v>Pyatigorsk</v>
      </c>
    </row>
    <row r="13085" spans="1:6" ht="15.75" customHeight="1">
      <c r="A13085" s="5" t="str">
        <f ca="1">IFERROR(__xludf.DUMMYFUNCTION("GOOGLETRANSLATE(B40167,""en"",""pt"")"),"Pyatigorsk")</f>
        <v>Pyatigorsk</v>
      </c>
      <c r="B13085" s="17" t="s">
        <v>22981</v>
      </c>
      <c r="C13085" s="17" t="s">
        <v>22070</v>
      </c>
      <c r="D13085" s="17" t="s">
        <v>22117</v>
      </c>
      <c r="E13085" s="10">
        <v>503550</v>
      </c>
      <c r="F13085" s="4" t="str">
        <f>IF(B13085=B13084,"",B13085)</f>
        <v/>
      </c>
    </row>
    <row r="13086" spans="1:6" ht="15.75" customHeight="1">
      <c r="A13086" s="6" t="s">
        <v>18747</v>
      </c>
      <c r="B13086" s="6" t="s">
        <v>18747</v>
      </c>
      <c r="C13086" s="6" t="s">
        <v>18696</v>
      </c>
      <c r="D13086" s="6" t="s">
        <v>18700</v>
      </c>
      <c r="E13086" s="2">
        <v>1299237</v>
      </c>
      <c r="F13086" s="4" t="str">
        <f>IF(B13086=B13085,"",B13086)</f>
        <v>Pyapon</v>
      </c>
    </row>
    <row r="13087" spans="1:6" ht="15.75" customHeight="1">
      <c r="A13087" s="5" t="str">
        <f ca="1">IFERROR(__xludf.DUMMYFUNCTION("GOOGLETRANSLATE(B36721,""en"",""pt"")"),"Pyapon")</f>
        <v>Pyapon</v>
      </c>
      <c r="B13087" s="17" t="s">
        <v>18747</v>
      </c>
      <c r="C13087" s="17" t="s">
        <v>18696</v>
      </c>
      <c r="D13087" s="17" t="s">
        <v>18700</v>
      </c>
      <c r="E13087" s="10">
        <v>1299237</v>
      </c>
      <c r="F13087" s="4" t="str">
        <f>IF(B13087=B13086,"",B13087)</f>
        <v/>
      </c>
    </row>
    <row r="13088" spans="1:6" ht="15.75" customHeight="1">
      <c r="A13088" s="6" t="s">
        <v>6465</v>
      </c>
      <c r="B13088" s="6" t="s">
        <v>6465</v>
      </c>
      <c r="C13088" s="6" t="s">
        <v>6398</v>
      </c>
      <c r="D13088" s="6" t="s">
        <v>6466</v>
      </c>
      <c r="E13088" s="2">
        <v>3652584</v>
      </c>
      <c r="F13088" s="4" t="str">
        <f>IF(B13088=B13087,"",B13088)</f>
        <v>Puyo</v>
      </c>
    </row>
    <row r="13089" spans="1:6" ht="15.75" customHeight="1">
      <c r="A13089" s="5" t="str">
        <f ca="1">IFERROR(__xludf.DUMMYFUNCTION("GOOGLETRANSLATE(B28765,""en"",""pt"")"),"Puyo")</f>
        <v>Puyo</v>
      </c>
      <c r="B13089" s="17" t="s">
        <v>6465</v>
      </c>
      <c r="C13089" s="17" t="s">
        <v>6398</v>
      </c>
      <c r="D13089" s="17" t="s">
        <v>6466</v>
      </c>
      <c r="E13089" s="10">
        <v>3652584</v>
      </c>
      <c r="F13089" s="4" t="str">
        <f>IF(B13089=B13088,"",B13089)</f>
        <v/>
      </c>
    </row>
    <row r="13090" spans="1:6" ht="15.75" customHeight="1">
      <c r="A13090" s="5" t="s">
        <v>5011</v>
      </c>
      <c r="B13090" s="6" t="s">
        <v>5011</v>
      </c>
      <c r="C13090" s="5" t="s">
        <v>4487</v>
      </c>
      <c r="D13090" s="5" t="s">
        <v>4511</v>
      </c>
      <c r="E13090" s="2">
        <v>1798422</v>
      </c>
      <c r="F13090" s="4" t="str">
        <f>IF(B13090=B13089,"",B13090)</f>
        <v>Puyang Chengguanzhen</v>
      </c>
    </row>
    <row r="13091" spans="1:6" ht="15.75" customHeight="1">
      <c r="A13091" s="5" t="str">
        <f ca="1">IFERROR(__xludf.DUMMYFUNCTION("GOOGLETRANSLATE(B26310,""en"",""pt"")"),"Puyang Chengguanzhen")</f>
        <v>Puyang Chengguanzhen</v>
      </c>
      <c r="B13091" s="17" t="s">
        <v>5011</v>
      </c>
      <c r="C13091" s="17" t="s">
        <v>4487</v>
      </c>
      <c r="D13091" s="17" t="s">
        <v>4511</v>
      </c>
      <c r="E13091" s="10">
        <v>1798422</v>
      </c>
      <c r="F13091" s="4" t="str">
        <f>IF(B13091=B13090,"",B13091)</f>
        <v/>
      </c>
    </row>
    <row r="13092" spans="1:6" ht="15.75" customHeight="1">
      <c r="A13092" s="6" t="s">
        <v>5010</v>
      </c>
      <c r="B13092" s="6" t="s">
        <v>5010</v>
      </c>
      <c r="C13092" s="6" t="s">
        <v>4487</v>
      </c>
      <c r="D13092" s="6" t="s">
        <v>4631</v>
      </c>
      <c r="E13092" s="2">
        <v>1798425</v>
      </c>
      <c r="F13092" s="4" t="str">
        <f>IF(B13092=B13091,"",B13092)</f>
        <v>Puyang</v>
      </c>
    </row>
    <row r="13093" spans="1:6" ht="15.75" customHeight="1">
      <c r="A13093" s="5" t="str">
        <f ca="1">IFERROR(__xludf.DUMMYFUNCTION("GOOGLETRANSLATE(B26311,""en"",""pt"")"),"Puyang")</f>
        <v>Puyang</v>
      </c>
      <c r="B13093" s="17" t="s">
        <v>5010</v>
      </c>
      <c r="C13093" s="17" t="s">
        <v>4487</v>
      </c>
      <c r="D13093" s="17" t="s">
        <v>4631</v>
      </c>
      <c r="E13093" s="10">
        <v>1798425</v>
      </c>
      <c r="F13093" s="4" t="str">
        <f>IF(B13093=B13092,"",B13093)</f>
        <v/>
      </c>
    </row>
    <row r="13094" spans="1:6" ht="15.75" customHeight="1">
      <c r="A13094" s="6" t="s">
        <v>29758</v>
      </c>
      <c r="B13094" s="6" t="s">
        <v>29758</v>
      </c>
      <c r="C13094" s="6" t="s">
        <v>27788</v>
      </c>
      <c r="D13094" s="6" t="s">
        <v>27733</v>
      </c>
      <c r="E13094" s="2">
        <v>5807575</v>
      </c>
      <c r="F13094" s="4" t="str">
        <f>IF(B13094=B13093,"",B13094)</f>
        <v>Puyallup</v>
      </c>
    </row>
    <row r="13095" spans="1:6" ht="15.75" customHeight="1">
      <c r="A13095" s="5" t="str">
        <f ca="1">IFERROR(__xludf.DUMMYFUNCTION("GOOGLETRANSLATE(B45367,""en"",""pt"")"),"Puyallup")</f>
        <v>Puyallup</v>
      </c>
      <c r="B13095" s="17" t="s">
        <v>29758</v>
      </c>
      <c r="C13095" s="17" t="s">
        <v>27788</v>
      </c>
      <c r="D13095" s="17" t="s">
        <v>27733</v>
      </c>
      <c r="E13095" s="10">
        <v>5807575</v>
      </c>
      <c r="F13095" s="4" t="str">
        <f>IF(B13095=B13094,"",B13095)</f>
        <v/>
      </c>
    </row>
    <row r="13096" spans="1:6" ht="15.75" customHeight="1">
      <c r="A13096" s="6" t="s">
        <v>1668</v>
      </c>
      <c r="B13096" s="6" t="s">
        <v>1668</v>
      </c>
      <c r="C13096" s="6" t="s">
        <v>1512</v>
      </c>
      <c r="D13096" s="6" t="s">
        <v>1513</v>
      </c>
      <c r="E13096" s="2">
        <v>2788506</v>
      </c>
      <c r="F13096" s="4" t="str">
        <f>IF(B13096=B13095,"",B13096)</f>
        <v>Puurs</v>
      </c>
    </row>
    <row r="13097" spans="1:6" ht="15.75" customHeight="1">
      <c r="A13097" s="5" t="str">
        <f ca="1">IFERROR(__xludf.DUMMYFUNCTION("GOOGLETRANSLATE(B23846,""en"",""pt"")"),"Puurs")</f>
        <v>Puurs</v>
      </c>
      <c r="B13097" s="17" t="s">
        <v>1668</v>
      </c>
      <c r="C13097" s="17" t="s">
        <v>1512</v>
      </c>
      <c r="D13097" s="17" t="s">
        <v>1513</v>
      </c>
      <c r="E13097" s="10">
        <v>2788506</v>
      </c>
      <c r="F13097" s="4" t="str">
        <f>IF(B13097=B13096,"",B13097)</f>
        <v/>
      </c>
    </row>
    <row r="13098" spans="1:6" ht="15.75" customHeight="1">
      <c r="A13098" s="6" t="s">
        <v>27116</v>
      </c>
      <c r="B13098" s="6" t="s">
        <v>27117</v>
      </c>
      <c r="C13098" s="6" t="s">
        <v>26870</v>
      </c>
      <c r="D13098" s="6" t="s">
        <v>26911</v>
      </c>
      <c r="E13098" s="2">
        <v>696008</v>
      </c>
      <c r="F13098" s="4" t="str">
        <f>IF(B13098=B13097,"",B13098)</f>
        <v>Putyvlâ€™</v>
      </c>
    </row>
    <row r="13099" spans="1:6" ht="15.75" customHeight="1">
      <c r="A13099" s="5" t="str">
        <f ca="1">IFERROR(__xludf.DUMMYFUNCTION("GOOGLETRANSLATE(B42543,""en"",""pt"")"),"Putyvl '")</f>
        <v>Putyvl '</v>
      </c>
      <c r="B13099" s="17" t="s">
        <v>36001</v>
      </c>
      <c r="C13099" s="17" t="s">
        <v>26870</v>
      </c>
      <c r="D13099" s="17" t="s">
        <v>26911</v>
      </c>
      <c r="E13099" s="10">
        <v>696008</v>
      </c>
      <c r="F13099" s="4" t="str">
        <f>IF(B13099=B13098,"",B13099)</f>
        <v>Putyvl’</v>
      </c>
    </row>
    <row r="13100" spans="1:6" ht="15.75" customHeight="1">
      <c r="A13100" s="5" t="str">
        <f ca="1">IFERROR(__xludf.DUMMYFUNCTION("GOOGLETRANSLATE(B32407,""en"",""pt"")"),"Puttūr")</f>
        <v>Puttūr</v>
      </c>
      <c r="B13100" s="17" t="s">
        <v>33206</v>
      </c>
      <c r="C13100" s="17" t="s">
        <v>10178</v>
      </c>
      <c r="D13100" s="17" t="s">
        <v>10190</v>
      </c>
      <c r="E13100" s="10">
        <v>1259123</v>
      </c>
      <c r="F13100" s="4" t="str">
        <f>IF(B13100=B13099,"",B13100)</f>
        <v>Puttūr</v>
      </c>
    </row>
    <row r="13101" spans="1:6" ht="15.75" customHeight="1">
      <c r="A13101" s="5" t="str">
        <f ca="1">IFERROR(__xludf.DUMMYFUNCTION("GOOGLETRANSLATE(B32408,""en"",""pt"")"),"Puttūr")</f>
        <v>Puttūr</v>
      </c>
      <c r="B13101" s="17" t="s">
        <v>33206</v>
      </c>
      <c r="C13101" s="17" t="s">
        <v>10178</v>
      </c>
      <c r="D13101" s="17" t="s">
        <v>10252</v>
      </c>
      <c r="E13101" s="10">
        <v>1259124</v>
      </c>
      <c r="F13101" s="4" t="str">
        <f>IF(B13101=B13100,"",B13101)</f>
        <v/>
      </c>
    </row>
    <row r="13102" spans="1:6" ht="15.75" customHeight="1">
      <c r="A13102" s="5" t="str">
        <f ca="1">IFERROR(__xludf.DUMMYFUNCTION("GOOGLETRANSLATE(B27633,""en"",""pt"")"),"Püttlingen")</f>
        <v>Püttlingen</v>
      </c>
      <c r="B13102" s="17" t="s">
        <v>32039</v>
      </c>
      <c r="C13102" s="17" t="s">
        <v>8028</v>
      </c>
      <c r="D13102" s="17" t="s">
        <v>8177</v>
      </c>
      <c r="E13102" s="10">
        <v>2851584</v>
      </c>
      <c r="F13102" s="4" t="str">
        <f>IF(B13102=B13101,"",B13102)</f>
        <v>Püttlingen</v>
      </c>
    </row>
    <row r="13103" spans="1:6" ht="15.75" customHeight="1">
      <c r="A13103" s="6" t="s">
        <v>19068</v>
      </c>
      <c r="B13103" s="6" t="s">
        <v>19068</v>
      </c>
      <c r="C13103" s="6" t="s">
        <v>18862</v>
      </c>
      <c r="D13103" s="6" t="s">
        <v>18865</v>
      </c>
      <c r="E13103" s="2">
        <v>2748392</v>
      </c>
      <c r="F13103" s="4" t="str">
        <f>IF(B13103=B13102,"",B13103)</f>
        <v>Putten</v>
      </c>
    </row>
    <row r="13104" spans="1:6" ht="15.75" customHeight="1">
      <c r="A13104" s="5" t="str">
        <f ca="1">IFERROR(__xludf.DUMMYFUNCTION("GOOGLETRANSLATE(B37972,""en"",""pt"")"),"Putten")</f>
        <v>Putten</v>
      </c>
      <c r="B13104" s="17" t="s">
        <v>19068</v>
      </c>
      <c r="C13104" s="17" t="s">
        <v>18862</v>
      </c>
      <c r="D13104" s="17" t="s">
        <v>18865</v>
      </c>
      <c r="E13104" s="10">
        <v>2748392</v>
      </c>
      <c r="F13104" s="4" t="str">
        <f>IF(B13104=B13103,"",B13104)</f>
        <v/>
      </c>
    </row>
    <row r="13105" spans="1:6" ht="15.75" customHeight="1">
      <c r="A13105" s="6" t="s">
        <v>1666</v>
      </c>
      <c r="B13105" s="6" t="s">
        <v>1667</v>
      </c>
      <c r="C13105" s="6" t="s">
        <v>1512</v>
      </c>
      <c r="D13105" s="6" t="s">
        <v>1513</v>
      </c>
      <c r="E13105" s="2">
        <v>2788521</v>
      </c>
      <c r="F13105" s="4" t="str">
        <f>IF(B13105=B13104,"",B13105)</f>
        <v>Putte</v>
      </c>
    </row>
    <row r="13106" spans="1:6" ht="15.75" customHeight="1">
      <c r="A13106" s="5" t="str">
        <f ca="1">IFERROR(__xludf.DUMMYFUNCTION("GOOGLETRANSLATE(B23847,""en"",""pt"")"),"Putte")</f>
        <v>Putte</v>
      </c>
      <c r="B13106" s="17" t="s">
        <v>1667</v>
      </c>
      <c r="C13106" s="17" t="s">
        <v>1512</v>
      </c>
      <c r="D13106" s="17" t="s">
        <v>1513</v>
      </c>
      <c r="E13106" s="10">
        <v>2788521</v>
      </c>
      <c r="F13106" s="4" t="str">
        <f>IF(B13106=B13105,"",B13106)</f>
        <v/>
      </c>
    </row>
    <row r="13107" spans="1:6" ht="15.75" customHeight="1">
      <c r="A13107" s="6" t="s">
        <v>24973</v>
      </c>
      <c r="B13107" s="6" t="s">
        <v>24973</v>
      </c>
      <c r="C13107" s="6" t="s">
        <v>24924</v>
      </c>
      <c r="D13107" s="6" t="s">
        <v>24935</v>
      </c>
      <c r="E13107" s="2">
        <v>1229293</v>
      </c>
      <c r="F13107" s="4" t="str">
        <f>IF(B13107=B13106,"",B13107)</f>
        <v>Puttalam</v>
      </c>
    </row>
    <row r="13108" spans="1:6" ht="15.75" customHeight="1">
      <c r="A13108" s="5" t="str">
        <f ca="1">IFERROR(__xludf.DUMMYFUNCTION("GOOGLETRANSLATE(B36297,""en"",""pt"")"),"Puttalam")</f>
        <v>Puttalam</v>
      </c>
      <c r="B13108" s="17" t="s">
        <v>24973</v>
      </c>
      <c r="C13108" s="17" t="s">
        <v>24924</v>
      </c>
      <c r="D13108" s="17" t="s">
        <v>24935</v>
      </c>
      <c r="E13108" s="10">
        <v>1229293</v>
      </c>
      <c r="F13108" s="4" t="str">
        <f>IF(B13108=B13107,"",B13108)</f>
        <v/>
      </c>
    </row>
    <row r="13109" spans="1:6" ht="15.75" customHeight="1">
      <c r="A13109" s="6" t="s">
        <v>12956</v>
      </c>
      <c r="B13109" s="6" t="s">
        <v>12957</v>
      </c>
      <c r="C13109" s="6" t="s">
        <v>10178</v>
      </c>
      <c r="D13109" s="6" t="s">
        <v>10190</v>
      </c>
      <c r="E13109" s="2">
        <v>1259123</v>
      </c>
      <c r="F13109" s="4" t="str">
        <f>IF(B13109=B13108,"",B13109)</f>
        <v>PuttÅ«r</v>
      </c>
    </row>
    <row r="13110" spans="1:6" ht="15.75" customHeight="1">
      <c r="A13110" s="6" t="s">
        <v>12956</v>
      </c>
      <c r="B13110" s="6" t="s">
        <v>12957</v>
      </c>
      <c r="C13110" s="6" t="s">
        <v>10178</v>
      </c>
      <c r="D13110" s="6" t="s">
        <v>10252</v>
      </c>
      <c r="E13110" s="2">
        <v>1259124</v>
      </c>
      <c r="F13110" s="4" t="str">
        <f>IF(B13110=B13109,"",B13110)</f>
        <v/>
      </c>
    </row>
    <row r="13111" spans="1:6" ht="15.75" customHeight="1">
      <c r="A13111" s="6" t="s">
        <v>17553</v>
      </c>
      <c r="B13111" s="6" t="s">
        <v>17553</v>
      </c>
      <c r="C13111" s="6" t="s">
        <v>17432</v>
      </c>
      <c r="D13111" s="6" t="s">
        <v>17553</v>
      </c>
      <c r="E13111" s="2">
        <v>6697380</v>
      </c>
      <c r="F13111" s="4" t="str">
        <f>IF(B13111=B13110,"",B13111)</f>
        <v>Putrajaya</v>
      </c>
    </row>
    <row r="13112" spans="1:6" ht="15.75" customHeight="1">
      <c r="A13112" s="5" t="str">
        <f ca="1">IFERROR(__xludf.DUMMYFUNCTION("GOOGLETRANSLATE(B37535,""en"",""pt"")"),"Putrajaya")</f>
        <v>Putrajaya</v>
      </c>
      <c r="B13112" s="17" t="s">
        <v>17553</v>
      </c>
      <c r="C13112" s="17" t="s">
        <v>17432</v>
      </c>
      <c r="D13112" s="17" t="s">
        <v>17553</v>
      </c>
      <c r="E13112" s="10">
        <v>6697380</v>
      </c>
      <c r="F13112" s="4" t="str">
        <f>IF(B13112=B13111,"",B13112)</f>
        <v/>
      </c>
    </row>
    <row r="13113" spans="1:6" ht="15.75" customHeight="1">
      <c r="A13113" s="5" t="s">
        <v>17552</v>
      </c>
      <c r="B13113" s="6" t="s">
        <v>17552</v>
      </c>
      <c r="C13113" s="5" t="s">
        <v>17432</v>
      </c>
      <c r="D13113" s="5" t="s">
        <v>17446</v>
      </c>
      <c r="E13113" s="2">
        <v>10792382</v>
      </c>
      <c r="F13113" s="4" t="str">
        <f>IF(B13113=B13112,"",B13113)</f>
        <v>Putra Heights</v>
      </c>
    </row>
    <row r="13114" spans="1:6" ht="15.75" customHeight="1">
      <c r="A13114" s="5" t="str">
        <f ca="1">IFERROR(__xludf.DUMMYFUNCTION("GOOGLETRANSLATE(B37538,""en"",""pt"")"),"Putra Heights")</f>
        <v>Putra Heights</v>
      </c>
      <c r="B13114" s="17" t="s">
        <v>17552</v>
      </c>
      <c r="C13114" s="17" t="s">
        <v>17432</v>
      </c>
      <c r="D13114" s="17" t="s">
        <v>17446</v>
      </c>
      <c r="E13114" s="10">
        <v>10792382</v>
      </c>
      <c r="F13114" s="4" t="str">
        <f>IF(B13114=B13113,"",B13114)</f>
        <v/>
      </c>
    </row>
    <row r="13115" spans="1:6" ht="15.75" customHeight="1">
      <c r="A13115" s="5" t="s">
        <v>15394</v>
      </c>
      <c r="B13115" s="6" t="s">
        <v>15394</v>
      </c>
      <c r="C13115" s="5" t="s">
        <v>14891</v>
      </c>
      <c r="D13115" s="5" t="s">
        <v>14908</v>
      </c>
      <c r="E13115" s="2">
        <v>3169742</v>
      </c>
      <c r="F13115" s="4" t="str">
        <f>IF(B13115=B13114,"",B13115)</f>
        <v>Putignano</v>
      </c>
    </row>
    <row r="13116" spans="1:6" ht="15.75" customHeight="1">
      <c r="A13116" s="5" t="str">
        <f ca="1">IFERROR(__xludf.DUMMYFUNCTION("GOOGLETRANSLATE(B34751,""en"",""pt"")"),"Putignano")</f>
        <v>Putignano</v>
      </c>
      <c r="B13116" s="17" t="s">
        <v>15394</v>
      </c>
      <c r="C13116" s="17" t="s">
        <v>14891</v>
      </c>
      <c r="D13116" s="17" t="s">
        <v>14908</v>
      </c>
      <c r="E13116" s="10">
        <v>3169742</v>
      </c>
      <c r="F13116" s="4" t="str">
        <f>IF(B13116=B13115,"",B13116)</f>
        <v/>
      </c>
    </row>
    <row r="13117" spans="1:6" ht="15.75" customHeight="1">
      <c r="A13117" s="6" t="s">
        <v>5009</v>
      </c>
      <c r="B13117" s="6" t="s">
        <v>5009</v>
      </c>
      <c r="C13117" s="6" t="s">
        <v>4487</v>
      </c>
      <c r="D13117" s="6" t="s">
        <v>4591</v>
      </c>
      <c r="E13117" s="2">
        <v>1798449</v>
      </c>
      <c r="F13117" s="4" t="str">
        <f>IF(B13117=B13116,"",B13117)</f>
        <v>Putian</v>
      </c>
    </row>
    <row r="13118" spans="1:6" ht="15.75" customHeight="1">
      <c r="A13118" s="5" t="str">
        <f ca="1">IFERROR(__xludf.DUMMYFUNCTION("GOOGLETRANSLATE(B26312,""en"",""pt"")"),"Putian")</f>
        <v>Putian</v>
      </c>
      <c r="B13118" s="17" t="s">
        <v>5009</v>
      </c>
      <c r="C13118" s="17" t="s">
        <v>4487</v>
      </c>
      <c r="D13118" s="17" t="s">
        <v>4591</v>
      </c>
      <c r="E13118" s="10">
        <v>1798449</v>
      </c>
      <c r="F13118" s="4" t="str">
        <f>IF(B13118=B13117,"",B13118)</f>
        <v/>
      </c>
    </row>
    <row r="13119" spans="1:6" ht="15.75" customHeight="1">
      <c r="A13119" s="6" t="s">
        <v>7694</v>
      </c>
      <c r="B13119" s="6" t="s">
        <v>7694</v>
      </c>
      <c r="C13119" s="6" t="s">
        <v>7052</v>
      </c>
      <c r="D13119" s="6" t="s">
        <v>7058</v>
      </c>
      <c r="E13119" s="2">
        <v>2985034</v>
      </c>
      <c r="F13119" s="4" t="str">
        <f>IF(B13119=B13118,"",B13119)</f>
        <v>Puteaux</v>
      </c>
    </row>
    <row r="13120" spans="1:6" ht="15.75" customHeight="1">
      <c r="A13120" s="5" t="str">
        <f ca="1">IFERROR(__xludf.DUMMYFUNCTION("GOOGLETRANSLATE(B29840,""en"",""pt"")"),"Puteaux")</f>
        <v>Puteaux</v>
      </c>
      <c r="B13120" s="17" t="s">
        <v>7694</v>
      </c>
      <c r="C13120" s="17" t="s">
        <v>7052</v>
      </c>
      <c r="D13120" s="17" t="s">
        <v>32531</v>
      </c>
      <c r="E13120" s="10">
        <v>2985034</v>
      </c>
      <c r="F13120" s="4" t="str">
        <f>IF(B13120=B13119,"",B13120)</f>
        <v/>
      </c>
    </row>
    <row r="13121" spans="1:6" ht="15.75" customHeight="1">
      <c r="A13121" s="6" t="s">
        <v>17551</v>
      </c>
      <c r="B13121" s="6" t="s">
        <v>17551</v>
      </c>
      <c r="C13121" s="6" t="s">
        <v>17432</v>
      </c>
      <c r="D13121" s="6" t="s">
        <v>17444</v>
      </c>
      <c r="E13121" s="2">
        <v>1733440</v>
      </c>
      <c r="F13121" s="4" t="str">
        <f>IF(B13121=B13120,"",B13121)</f>
        <v>Putatan</v>
      </c>
    </row>
    <row r="13122" spans="1:6" ht="15.75" customHeight="1">
      <c r="A13122" s="5" t="str">
        <f ca="1">IFERROR(__xludf.DUMMYFUNCTION("GOOGLETRANSLATE(B37434,""en"",""pt"")"),"Putatan")</f>
        <v>Putatan</v>
      </c>
      <c r="B13122" s="17" t="s">
        <v>17551</v>
      </c>
      <c r="C13122" s="17" t="s">
        <v>17432</v>
      </c>
      <c r="D13122" s="17" t="s">
        <v>17444</v>
      </c>
      <c r="E13122" s="10">
        <v>1733440</v>
      </c>
      <c r="F13122" s="4" t="str">
        <f>IF(B13122=B13121,"",B13122)</f>
        <v/>
      </c>
    </row>
    <row r="13123" spans="1:6" ht="15.75" customHeight="1">
      <c r="A13123" s="5" t="str">
        <f ca="1">IFERROR(__xludf.DUMMYFUNCTION("GOOGLETRANSLATE(B31246,""en"",""pt"")"),"Püspökladány")</f>
        <v>Püspökladány</v>
      </c>
      <c r="B13123" s="17" t="s">
        <v>32827</v>
      </c>
      <c r="C13123" s="17" t="s">
        <v>9955</v>
      </c>
      <c r="D13123" s="17" t="s">
        <v>32828</v>
      </c>
      <c r="E13123" s="10">
        <v>716301</v>
      </c>
      <c r="F13123" s="4" t="str">
        <f>IF(B13123=B13122,"",B13123)</f>
        <v>Püspökladány</v>
      </c>
    </row>
    <row r="13124" spans="1:6" ht="15.75" customHeight="1">
      <c r="A13124" s="6" t="s">
        <v>1232</v>
      </c>
      <c r="B13124" s="6" t="s">
        <v>1232</v>
      </c>
      <c r="C13124" s="6" t="s">
        <v>1170</v>
      </c>
      <c r="D13124" s="6" t="s">
        <v>1233</v>
      </c>
      <c r="E13124" s="2">
        <v>148340</v>
      </c>
      <c r="F13124" s="4" t="str">
        <f>IF(B13124=B13123,"",B13124)</f>
        <v>Pushkino</v>
      </c>
    </row>
    <row r="13125" spans="1:6" ht="15.75" customHeight="1">
      <c r="A13125" s="6" t="s">
        <v>1232</v>
      </c>
      <c r="B13125" s="6" t="s">
        <v>1232</v>
      </c>
      <c r="C13125" s="6" t="s">
        <v>22070</v>
      </c>
      <c r="D13125" s="6" t="s">
        <v>22119</v>
      </c>
      <c r="E13125" s="2">
        <v>503977</v>
      </c>
      <c r="F13125" s="4" t="str">
        <f>IF(B13125=B13124,"",B13125)</f>
        <v/>
      </c>
    </row>
    <row r="13126" spans="1:6" ht="15.75" customHeight="1">
      <c r="A13126" s="5" t="str">
        <f ca="1">IFERROR(__xludf.DUMMYFUNCTION("GOOGLETRANSLATE(B23626,""en"",""pt"")"),"Pushkino")</f>
        <v>Pushkino</v>
      </c>
      <c r="B13126" s="17" t="s">
        <v>1232</v>
      </c>
      <c r="C13126" s="17" t="s">
        <v>1170</v>
      </c>
      <c r="D13126" s="17" t="s">
        <v>31230</v>
      </c>
      <c r="E13126" s="10">
        <v>148340</v>
      </c>
      <c r="F13126" s="4" t="str">
        <f>IF(B13126=B13125,"",B13126)</f>
        <v/>
      </c>
    </row>
    <row r="13127" spans="1:6" ht="15.75" customHeight="1">
      <c r="A13127" s="5" t="str">
        <f ca="1">IFERROR(__xludf.DUMMYFUNCTION("GOOGLETRANSLATE(B40168,""en"",""pt"")"),"Pushkino")</f>
        <v>Pushkino</v>
      </c>
      <c r="B13127" s="17" t="s">
        <v>1232</v>
      </c>
      <c r="C13127" s="17" t="s">
        <v>22070</v>
      </c>
      <c r="D13127" s="17" t="s">
        <v>22119</v>
      </c>
      <c r="E13127" s="10">
        <v>503977</v>
      </c>
      <c r="F13127" s="4" t="str">
        <f>IF(B13127=B13126,"",B13127)</f>
        <v/>
      </c>
    </row>
    <row r="13128" spans="1:6" ht="15.75" customHeight="1">
      <c r="A13128" s="6" t="s">
        <v>22980</v>
      </c>
      <c r="B13128" s="6" t="s">
        <v>22980</v>
      </c>
      <c r="C13128" s="6" t="s">
        <v>22070</v>
      </c>
      <c r="D13128" s="6" t="s">
        <v>22084</v>
      </c>
      <c r="E13128" s="2">
        <v>504003</v>
      </c>
      <c r="F13128" s="4" t="str">
        <f>IF(B13128=B13127,"",B13128)</f>
        <v>Pushkin</v>
      </c>
    </row>
    <row r="13129" spans="1:6" ht="15.75" customHeight="1">
      <c r="A13129" s="5" t="str">
        <f ca="1">IFERROR(__xludf.DUMMYFUNCTION("GOOGLETRANSLATE(B40169,""en"",""pt"")"),"Pushkin")</f>
        <v>Pushkin</v>
      </c>
      <c r="B13129" s="17" t="s">
        <v>22980</v>
      </c>
      <c r="C13129" s="17" t="s">
        <v>22070</v>
      </c>
      <c r="D13129" s="17" t="s">
        <v>22084</v>
      </c>
      <c r="E13129" s="10">
        <v>504003</v>
      </c>
      <c r="F13129" s="4" t="str">
        <f>IF(B13129=B13128,"",B13129)</f>
        <v/>
      </c>
    </row>
    <row r="13130" spans="1:6" ht="15.75" customHeight="1">
      <c r="A13130" s="6" t="s">
        <v>12955</v>
      </c>
      <c r="B13130" s="6" t="s">
        <v>12955</v>
      </c>
      <c r="C13130" s="6" t="s">
        <v>10178</v>
      </c>
      <c r="D13130" s="6" t="s">
        <v>10179</v>
      </c>
      <c r="E13130" s="2">
        <v>1259148</v>
      </c>
      <c r="F13130" s="4" t="str">
        <f>IF(B13130=B13129,"",B13130)</f>
        <v>Pushkar</v>
      </c>
    </row>
    <row r="13131" spans="1:6" ht="15.75" customHeight="1">
      <c r="A13131" s="5" t="str">
        <f ca="1">IFERROR(__xludf.DUMMYFUNCTION("GOOGLETRANSLATE(B32409,""en"",""pt"")"),"Pushkar")</f>
        <v>Pushkar</v>
      </c>
      <c r="B13131" s="17" t="s">
        <v>12955</v>
      </c>
      <c r="C13131" s="17" t="s">
        <v>10178</v>
      </c>
      <c r="D13131" s="17" t="s">
        <v>10179</v>
      </c>
      <c r="E13131" s="10">
        <v>1259148</v>
      </c>
      <c r="F13131" s="4" t="str">
        <f>IF(B13131=B13130,"",B13131)</f>
        <v/>
      </c>
    </row>
    <row r="13132" spans="1:6" ht="15.75" customHeight="1">
      <c r="A13132" s="5" t="s">
        <v>22979</v>
      </c>
      <c r="B13132" s="6" t="s">
        <v>22979</v>
      </c>
      <c r="C13132" s="5" t="s">
        <v>22070</v>
      </c>
      <c r="D13132" s="5" t="s">
        <v>22119</v>
      </c>
      <c r="E13132" s="2">
        <v>504042</v>
      </c>
      <c r="F13132" s="4" t="str">
        <f>IF(B13132=B13131,"",B13132)</f>
        <v>Pushchino</v>
      </c>
    </row>
    <row r="13133" spans="1:6" ht="15.75" customHeight="1">
      <c r="A13133" s="5" t="str">
        <f ca="1">IFERROR(__xludf.DUMMYFUNCTION("GOOGLETRANSLATE(B40170,""en"",""pt"")"),"Pushchino")</f>
        <v>Pushchino</v>
      </c>
      <c r="B13133" s="17" t="s">
        <v>22979</v>
      </c>
      <c r="C13133" s="17" t="s">
        <v>22070</v>
      </c>
      <c r="D13133" s="17" t="s">
        <v>22119</v>
      </c>
      <c r="E13133" s="10">
        <v>504042</v>
      </c>
      <c r="F13133" s="4" t="str">
        <f>IF(B13133=B13132,"",B13133)</f>
        <v/>
      </c>
    </row>
    <row r="13134" spans="1:6" ht="15.75" customHeight="1">
      <c r="A13134" s="6" t="s">
        <v>12954</v>
      </c>
      <c r="B13134" s="6" t="s">
        <v>12954</v>
      </c>
      <c r="C13134" s="6" t="s">
        <v>10178</v>
      </c>
      <c r="D13134" s="6" t="s">
        <v>10214</v>
      </c>
      <c r="E13134" s="2">
        <v>1259154</v>
      </c>
      <c r="F13134" s="4" t="str">
        <f>IF(B13134=B13133,"",B13134)</f>
        <v>Pusad</v>
      </c>
    </row>
    <row r="13135" spans="1:6" ht="15.75" customHeight="1">
      <c r="A13135" s="5" t="str">
        <f ca="1">IFERROR(__xludf.DUMMYFUNCTION("GOOGLETRANSLATE(B32410,""en"",""pt"")"),"Pusad")</f>
        <v>Pusad</v>
      </c>
      <c r="B13135" s="17" t="s">
        <v>12954</v>
      </c>
      <c r="C13135" s="17" t="s">
        <v>10178</v>
      </c>
      <c r="D13135" s="17" t="s">
        <v>10214</v>
      </c>
      <c r="E13135" s="10">
        <v>1259154</v>
      </c>
      <c r="F13135" s="4" t="str">
        <f>IF(B13135=B13134,"",B13135)</f>
        <v/>
      </c>
    </row>
    <row r="13136" spans="1:6" ht="15.75" customHeight="1">
      <c r="A13136" s="5" t="s">
        <v>14117</v>
      </c>
      <c r="B13136" s="6" t="s">
        <v>14117</v>
      </c>
      <c r="C13136" s="5" t="s">
        <v>13800</v>
      </c>
      <c r="D13136" s="5" t="s">
        <v>13803</v>
      </c>
      <c r="E13136" s="2">
        <v>1630328</v>
      </c>
      <c r="F13136" s="4" t="str">
        <f>IF(B13136=B13135,"",B13136)</f>
        <v>Purwokerto</v>
      </c>
    </row>
    <row r="13137" spans="1:6" ht="15.75" customHeight="1">
      <c r="A13137" s="5" t="str">
        <f ca="1">IFERROR(__xludf.DUMMYFUNCTION("GOOGLETRANSLATE(B31475,""en"",""pt"")"),"Purwokerto")</f>
        <v>Purwokerto</v>
      </c>
      <c r="B13137" s="17" t="s">
        <v>14117</v>
      </c>
      <c r="C13137" s="17" t="s">
        <v>13800</v>
      </c>
      <c r="D13137" s="17" t="s">
        <v>13803</v>
      </c>
      <c r="E13137" s="10">
        <v>1630328</v>
      </c>
      <c r="F13137" s="4" t="str">
        <f>IF(B13137=B13136,"",B13137)</f>
        <v/>
      </c>
    </row>
    <row r="13138" spans="1:6" ht="15.75" customHeight="1">
      <c r="A13138" s="5" t="s">
        <v>14116</v>
      </c>
      <c r="B13138" s="6" t="s">
        <v>14116</v>
      </c>
      <c r="C13138" s="5" t="s">
        <v>13800</v>
      </c>
      <c r="D13138" s="5" t="s">
        <v>13803</v>
      </c>
      <c r="E13138" s="2">
        <v>1630333</v>
      </c>
      <c r="F13138" s="4" t="str">
        <f>IF(B13138=B13137,"",B13138)</f>
        <v>Purwodadi</v>
      </c>
    </row>
    <row r="13139" spans="1:6" ht="15.75" customHeight="1">
      <c r="A13139" s="5" t="str">
        <f ca="1">IFERROR(__xludf.DUMMYFUNCTION("GOOGLETRANSLATE(B31476,""en"",""pt"")"),"Purwodadi")</f>
        <v>Purwodadi</v>
      </c>
      <c r="B13139" s="17" t="s">
        <v>14116</v>
      </c>
      <c r="C13139" s="17" t="s">
        <v>13800</v>
      </c>
      <c r="D13139" s="17" t="s">
        <v>13803</v>
      </c>
      <c r="E13139" s="10">
        <v>1630333</v>
      </c>
      <c r="F13139" s="4" t="str">
        <f>IF(B13139=B13138,"",B13139)</f>
        <v/>
      </c>
    </row>
    <row r="13140" spans="1:6" ht="15.75" customHeight="1">
      <c r="A13140" s="5" t="s">
        <v>14115</v>
      </c>
      <c r="B13140" s="6" t="s">
        <v>14115</v>
      </c>
      <c r="C13140" s="5" t="s">
        <v>13800</v>
      </c>
      <c r="D13140" s="5" t="s">
        <v>13811</v>
      </c>
      <c r="E13140" s="2">
        <v>1630341</v>
      </c>
      <c r="F13140" s="4" t="str">
        <f>IF(B13140=B13139,"",B13140)</f>
        <v>Purwakarta</v>
      </c>
    </row>
    <row r="13141" spans="1:6" ht="15.75" customHeight="1">
      <c r="A13141" s="5" t="str">
        <f ca="1">IFERROR(__xludf.DUMMYFUNCTION("GOOGLETRANSLATE(B31477,""en"",""pt"")"),"Purwakarta")</f>
        <v>Purwakarta</v>
      </c>
      <c r="B13141" s="17" t="s">
        <v>14115</v>
      </c>
      <c r="C13141" s="17" t="s">
        <v>13800</v>
      </c>
      <c r="D13141" s="17" t="s">
        <v>13811</v>
      </c>
      <c r="E13141" s="10">
        <v>1630341</v>
      </c>
      <c r="F13141" s="4" t="str">
        <f>IF(B13141=B13140,"",B13141)</f>
        <v/>
      </c>
    </row>
    <row r="13142" spans="1:6" ht="15.75" customHeight="1">
      <c r="A13142" s="6" t="s">
        <v>12952</v>
      </c>
      <c r="B13142" s="6" t="s">
        <v>12953</v>
      </c>
      <c r="C13142" s="6" t="s">
        <v>10178</v>
      </c>
      <c r="D13142" s="6" t="s">
        <v>10193</v>
      </c>
      <c r="E13142" s="2">
        <v>1259157</v>
      </c>
      <c r="F13142" s="4" t="str">
        <f>IF(B13142=B13141,"",B13142)</f>
        <v>PurwÄ</v>
      </c>
    </row>
    <row r="13143" spans="1:6" ht="15.75" customHeight="1">
      <c r="A13143" s="5" t="str">
        <f ca="1">IFERROR(__xludf.DUMMYFUNCTION("GOOGLETRANSLATE(B32411,""en"",""pt"")"),"Purwā")</f>
        <v>Purwā</v>
      </c>
      <c r="B13143" s="17" t="s">
        <v>33207</v>
      </c>
      <c r="C13143" s="17" t="s">
        <v>10178</v>
      </c>
      <c r="D13143" s="17" t="s">
        <v>10193</v>
      </c>
      <c r="E13143" s="10">
        <v>1259157</v>
      </c>
      <c r="F13143" s="4" t="str">
        <f>IF(B13143=B13142,"",B13143)</f>
        <v>Purwā</v>
      </c>
    </row>
    <row r="13144" spans="1:6" ht="15.75" customHeight="1">
      <c r="A13144" s="6" t="s">
        <v>12951</v>
      </c>
      <c r="B13144" s="6" t="s">
        <v>12951</v>
      </c>
      <c r="C13144" s="6" t="s">
        <v>10178</v>
      </c>
      <c r="D13144" s="6" t="s">
        <v>10201</v>
      </c>
      <c r="E13144" s="2">
        <v>1259163</v>
      </c>
      <c r="F13144" s="4" t="str">
        <f>IF(B13144=B13143,"",B13144)</f>
        <v>Puruliya</v>
      </c>
    </row>
    <row r="13145" spans="1:6" ht="15.75" customHeight="1">
      <c r="A13145" s="5" t="str">
        <f ca="1">IFERROR(__xludf.DUMMYFUNCTION("GOOGLETRANSLATE(B32412,""en"",""pt"")"),"Puruliya")</f>
        <v>Puruliya</v>
      </c>
      <c r="B13145" s="17" t="s">
        <v>12951</v>
      </c>
      <c r="C13145" s="17" t="s">
        <v>10178</v>
      </c>
      <c r="D13145" s="17" t="s">
        <v>10201</v>
      </c>
      <c r="E13145" s="10">
        <v>1259163</v>
      </c>
      <c r="F13145" s="4" t="str">
        <f>IF(B13145=B13144,"",B13145)</f>
        <v/>
      </c>
    </row>
    <row r="13146" spans="1:6" ht="15.75" customHeight="1">
      <c r="A13146" s="5" t="str">
        <f ca="1">IFERROR(__xludf.DUMMYFUNCTION("GOOGLETRANSLATE(B37219,""en"",""pt"")"),"Puruándiro")</f>
        <v>Puruándiro</v>
      </c>
      <c r="B13146" s="17" t="s">
        <v>34747</v>
      </c>
      <c r="C13146" s="17" t="s">
        <v>17707</v>
      </c>
      <c r="D13146" s="17" t="s">
        <v>20902</v>
      </c>
      <c r="E13146" s="10">
        <v>3991219</v>
      </c>
      <c r="F13146" s="4" t="str">
        <f>IF(B13146=B13145,"",B13146)</f>
        <v>Puruándiro</v>
      </c>
    </row>
    <row r="13147" spans="1:6" ht="15.75" customHeight="1">
      <c r="A13147" s="5" t="s">
        <v>18178</v>
      </c>
      <c r="B13147" s="6" t="s">
        <v>18179</v>
      </c>
      <c r="C13147" s="5" t="s">
        <v>17707</v>
      </c>
      <c r="D13147" s="5" t="s">
        <v>17736</v>
      </c>
      <c r="E13147" s="2">
        <v>3991219</v>
      </c>
      <c r="F13147" s="4" t="str">
        <f>IF(B13147=B13146,"",B13147)</f>
        <v>PuruÃ¡ndiro</v>
      </c>
    </row>
    <row r="13148" spans="1:6" ht="15.75" customHeight="1">
      <c r="A13148" s="6" t="s">
        <v>3862</v>
      </c>
      <c r="B13148" s="6" t="s">
        <v>3863</v>
      </c>
      <c r="C13148" s="6" t="s">
        <v>3838</v>
      </c>
      <c r="D13148" s="6" t="s">
        <v>3863</v>
      </c>
      <c r="E13148" s="2">
        <v>1822768</v>
      </c>
      <c r="F13148" s="4" t="str">
        <f>IF(B13148=B13147,"",B13148)</f>
        <v>Pursat</v>
      </c>
    </row>
    <row r="13149" spans="1:6" ht="15.75" customHeight="1">
      <c r="A13149" s="5" t="str">
        <f ca="1">IFERROR(__xludf.DUMMYFUNCTION("GOOGLETRANSLATE(B35967,""en"",""pt"")"),"Perseguir")</f>
        <v>Perseguir</v>
      </c>
      <c r="B13149" s="17" t="s">
        <v>3863</v>
      </c>
      <c r="C13149" s="17" t="s">
        <v>3838</v>
      </c>
      <c r="D13149" s="17" t="s">
        <v>3863</v>
      </c>
      <c r="E13149" s="10">
        <v>1822768</v>
      </c>
      <c r="F13149" s="4" t="str">
        <f>IF(B13149=B13148,"",B13149)</f>
        <v/>
      </c>
    </row>
    <row r="13150" spans="1:6" ht="15.75" customHeight="1">
      <c r="A13150" s="6" t="s">
        <v>5694</v>
      </c>
      <c r="B13150" s="6" t="s">
        <v>5694</v>
      </c>
      <c r="C13150" s="6" t="s">
        <v>5665</v>
      </c>
      <c r="D13150" s="6" t="s">
        <v>5668</v>
      </c>
      <c r="E13150" s="2">
        <v>3622217</v>
      </c>
      <c r="F13150" s="4" t="str">
        <f>IF(B13150=B13149,"",B13150)</f>
        <v>Purral</v>
      </c>
    </row>
    <row r="13151" spans="1:6" ht="15.75" customHeight="1">
      <c r="A13151" s="5" t="str">
        <f ca="1">IFERROR(__xludf.DUMMYFUNCTION("GOOGLETRANSLATE(B27080,""en"",""pt"")"),"Purral")</f>
        <v>Purral</v>
      </c>
      <c r="B13151" s="17" t="s">
        <v>5694</v>
      </c>
      <c r="C13151" s="17" t="s">
        <v>5665</v>
      </c>
      <c r="D13151" s="17" t="s">
        <v>5697</v>
      </c>
      <c r="E13151" s="10">
        <v>3622217</v>
      </c>
      <c r="F13151" s="4" t="str">
        <f>IF(B13151=B13150,"",B13151)</f>
        <v/>
      </c>
    </row>
    <row r="13152" spans="1:6" ht="15.75" customHeight="1">
      <c r="A13152" s="6" t="s">
        <v>12950</v>
      </c>
      <c r="B13152" s="6" t="s">
        <v>12950</v>
      </c>
      <c r="C13152" s="6" t="s">
        <v>10178</v>
      </c>
      <c r="D13152" s="6" t="s">
        <v>10317</v>
      </c>
      <c r="E13152" s="2">
        <v>1259166</v>
      </c>
      <c r="F13152" s="4" t="str">
        <f>IF(B13152=B13151,"",B13152)</f>
        <v>Purnia</v>
      </c>
    </row>
    <row r="13153" spans="1:6" ht="15.75" customHeight="1">
      <c r="A13153" s="5" t="str">
        <f ca="1">IFERROR(__xludf.DUMMYFUNCTION("GOOGLETRANSLATE(B32413,""en"",""pt"")"),"Purnia")</f>
        <v>Purnia</v>
      </c>
      <c r="B13153" s="17" t="s">
        <v>12950</v>
      </c>
      <c r="C13153" s="17" t="s">
        <v>10178</v>
      </c>
      <c r="D13153" s="17" t="s">
        <v>10317</v>
      </c>
      <c r="E13153" s="10">
        <v>1259166</v>
      </c>
      <c r="F13153" s="4" t="str">
        <f>IF(B13153=B13152,"",B13153)</f>
        <v/>
      </c>
    </row>
    <row r="13154" spans="1:6" ht="15.75" customHeight="1">
      <c r="A13154" s="5" t="str">
        <f ca="1">IFERROR(__xludf.DUMMYFUNCTION("GOOGLETRANSLATE(B32414,""en"",""pt"")"),"Pūrna")</f>
        <v>Pūrna</v>
      </c>
      <c r="B13154" s="17" t="s">
        <v>33208</v>
      </c>
      <c r="C13154" s="17" t="s">
        <v>10178</v>
      </c>
      <c r="D13154" s="17" t="s">
        <v>10214</v>
      </c>
      <c r="E13154" s="10">
        <v>1259177</v>
      </c>
      <c r="F13154" s="4" t="str">
        <f>IF(B13154=B13153,"",B13154)</f>
        <v>Pūrna</v>
      </c>
    </row>
    <row r="13155" spans="1:6" ht="15.75" customHeight="1">
      <c r="A13155" s="5" t="s">
        <v>19067</v>
      </c>
      <c r="B13155" s="6" t="s">
        <v>19067</v>
      </c>
      <c r="C13155" s="5" t="s">
        <v>18862</v>
      </c>
      <c r="D13155" s="5" t="s">
        <v>18863</v>
      </c>
      <c r="E13155" s="2">
        <v>2748413</v>
      </c>
      <c r="F13155" s="4" t="str">
        <f>IF(B13155=B13154,"",B13155)</f>
        <v>Purmerend</v>
      </c>
    </row>
    <row r="13156" spans="1:6" ht="15.75" customHeight="1">
      <c r="A13156" s="5" t="str">
        <f ca="1">IFERROR(__xludf.DUMMYFUNCTION("GOOGLETRANSLATE(B37973,""en"",""pt"")"),"Purmerend")</f>
        <v>Purmerend</v>
      </c>
      <c r="B13156" s="17" t="s">
        <v>19067</v>
      </c>
      <c r="C13156" s="17" t="s">
        <v>18862</v>
      </c>
      <c r="D13156" s="17" t="s">
        <v>18863</v>
      </c>
      <c r="E13156" s="10">
        <v>2748413</v>
      </c>
      <c r="F13156" s="4" t="str">
        <f>IF(B13156=B13155,"",B13156)</f>
        <v/>
      </c>
    </row>
    <row r="13157" spans="1:6" ht="15.75" customHeight="1">
      <c r="A13157" s="6" t="s">
        <v>27618</v>
      </c>
      <c r="B13157" s="6" t="s">
        <v>27618</v>
      </c>
      <c r="C13157" s="6" t="s">
        <v>27234</v>
      </c>
      <c r="D13157" s="6" t="s">
        <v>27241</v>
      </c>
      <c r="E13157" s="2">
        <v>2639842</v>
      </c>
      <c r="F13157" s="4" t="str">
        <f>IF(B13157=B13156,"",B13157)</f>
        <v>Purley</v>
      </c>
    </row>
    <row r="13158" spans="1:6" ht="15.75" customHeight="1">
      <c r="A13158" s="5" t="str">
        <f ca="1">IFERROR(__xludf.DUMMYFUNCTION("GOOGLETRANSLATE(B30459,""en"",""pt"")"),"Purley")</f>
        <v>Purley</v>
      </c>
      <c r="B13158" s="17" t="s">
        <v>27618</v>
      </c>
      <c r="C13158" s="17" t="s">
        <v>27234</v>
      </c>
      <c r="D13158" s="17" t="s">
        <v>27241</v>
      </c>
      <c r="E13158" s="10">
        <v>2639842</v>
      </c>
      <c r="F13158" s="4" t="str">
        <f>IF(B13158=B13157,"",B13158)</f>
        <v/>
      </c>
    </row>
    <row r="13159" spans="1:6" ht="15.75" customHeight="1">
      <c r="A13159" s="6" t="s">
        <v>12949</v>
      </c>
      <c r="B13159" s="6" t="s">
        <v>12949</v>
      </c>
      <c r="C13159" s="6" t="s">
        <v>10178</v>
      </c>
      <c r="D13159" s="6" t="s">
        <v>10229</v>
      </c>
      <c r="E13159" s="2">
        <v>1259184</v>
      </c>
      <c r="F13159" s="4" t="str">
        <f>IF(B13159=B13158,"",B13159)</f>
        <v>Puri</v>
      </c>
    </row>
    <row r="13160" spans="1:6" ht="15.75" customHeight="1">
      <c r="A13160" s="5" t="str">
        <f ca="1">IFERROR(__xludf.DUMMYFUNCTION("GOOGLETRANSLATE(B32415,""en"",""pt"")"),"Puri")</f>
        <v>Puri</v>
      </c>
      <c r="B13160" s="17" t="s">
        <v>12949</v>
      </c>
      <c r="C13160" s="17" t="s">
        <v>10178</v>
      </c>
      <c r="D13160" s="17" t="s">
        <v>10229</v>
      </c>
      <c r="E13160" s="10">
        <v>1259184</v>
      </c>
      <c r="F13160" s="4" t="str">
        <f>IF(B13160=B13159,"",B13160)</f>
        <v/>
      </c>
    </row>
    <row r="13161" spans="1:6" ht="15.75" customHeight="1">
      <c r="A13161" s="5" t="s">
        <v>14114</v>
      </c>
      <c r="B13161" s="6" t="s">
        <v>14114</v>
      </c>
      <c r="C13161" s="5" t="s">
        <v>13800</v>
      </c>
      <c r="D13161" s="5" t="s">
        <v>13803</v>
      </c>
      <c r="E13161" s="2">
        <v>1630366</v>
      </c>
      <c r="F13161" s="4" t="str">
        <f>IF(B13161=B13160,"",B13161)</f>
        <v>Purbalingga</v>
      </c>
    </row>
    <row r="13162" spans="1:6" ht="15.75" customHeight="1">
      <c r="A13162" s="5" t="str">
        <f ca="1">IFERROR(__xludf.DUMMYFUNCTION("GOOGLETRANSLATE(B31478,""en"",""pt"")"),"Purbalingga")</f>
        <v>Purbalingga</v>
      </c>
      <c r="B13162" s="17" t="s">
        <v>14114</v>
      </c>
      <c r="C13162" s="17" t="s">
        <v>13800</v>
      </c>
      <c r="D13162" s="17" t="s">
        <v>13803</v>
      </c>
      <c r="E13162" s="10">
        <v>1630366</v>
      </c>
      <c r="F13162" s="4" t="str">
        <f>IF(B13162=B13161,"",B13162)</f>
        <v/>
      </c>
    </row>
    <row r="13163" spans="1:6" ht="15.75" customHeight="1">
      <c r="A13163" s="5" t="str">
        <f ca="1">IFERROR(__xludf.DUMMYFUNCTION("GOOGLETRANSLATE(B32416,""en"",""pt"")"),"Pūranpur")</f>
        <v>Pūranpur</v>
      </c>
      <c r="B13163" s="17" t="s">
        <v>33209</v>
      </c>
      <c r="C13163" s="17" t="s">
        <v>10178</v>
      </c>
      <c r="D13163" s="17" t="s">
        <v>10193</v>
      </c>
      <c r="E13163" s="10">
        <v>1259190</v>
      </c>
      <c r="F13163" s="4" t="str">
        <f>IF(B13163=B13162,"",B13163)</f>
        <v>Pūranpur</v>
      </c>
    </row>
    <row r="13164" spans="1:6" ht="15.75" customHeight="1">
      <c r="A13164" s="6" t="s">
        <v>5008</v>
      </c>
      <c r="B13164" s="6" t="s">
        <v>5008</v>
      </c>
      <c r="C13164" s="6" t="s">
        <v>4487</v>
      </c>
      <c r="D13164" s="6" t="s">
        <v>4499</v>
      </c>
      <c r="E13164" s="2">
        <v>1798473</v>
      </c>
      <c r="F13164" s="4" t="str">
        <f>IF(B13164=B13163,"",B13164)</f>
        <v>Puqi</v>
      </c>
    </row>
    <row r="13165" spans="1:6" ht="15.75" customHeight="1">
      <c r="A13165" s="5" t="str">
        <f ca="1">IFERROR(__xludf.DUMMYFUNCTION("GOOGLETRANSLATE(B26313,""en"",""pt"")"),"Puqi")</f>
        <v>Puqi</v>
      </c>
      <c r="B13165" s="17" t="s">
        <v>5008</v>
      </c>
      <c r="C13165" s="17" t="s">
        <v>4487</v>
      </c>
      <c r="D13165" s="17" t="s">
        <v>4499</v>
      </c>
      <c r="E13165" s="10">
        <v>1798473</v>
      </c>
      <c r="F13165" s="4" t="str">
        <f>IF(B13165=B13164,"",B13165)</f>
        <v/>
      </c>
    </row>
    <row r="13166" spans="1:6" ht="15.75" customHeight="1">
      <c r="A13166" s="6" t="s">
        <v>12947</v>
      </c>
      <c r="B13166" s="6" t="s">
        <v>12948</v>
      </c>
      <c r="C13166" s="6" t="s">
        <v>10178</v>
      </c>
      <c r="D13166" s="6" t="s">
        <v>10317</v>
      </c>
      <c r="E13166" s="2">
        <v>1259210</v>
      </c>
      <c r="F13166" s="4" t="str">
        <f>IF(B13166=B13165,"",B13166)</f>
        <v>Pupri</v>
      </c>
    </row>
    <row r="13167" spans="1:6" ht="15.75" customHeight="1">
      <c r="A13167" s="5" t="str">
        <f ca="1">IFERROR(__xludf.DUMMYFUNCTION("GOOGLETRANSLATE(B32417,""en"",""pt"")"),"PUPRI")</f>
        <v>PUPRI</v>
      </c>
      <c r="B13167" s="17" t="s">
        <v>12948</v>
      </c>
      <c r="C13167" s="17" t="s">
        <v>10178</v>
      </c>
      <c r="D13167" s="17" t="s">
        <v>10317</v>
      </c>
      <c r="E13167" s="10">
        <v>1259210</v>
      </c>
      <c r="F13167" s="4" t="str">
        <f>IF(B13167=B13166,"",B13167)</f>
        <v/>
      </c>
    </row>
    <row r="13168" spans="1:6" ht="15.75" customHeight="1">
      <c r="A13168" s="5" t="s">
        <v>30744</v>
      </c>
      <c r="B13168" s="6" t="s">
        <v>30744</v>
      </c>
      <c r="C13168" s="5" t="s">
        <v>5923</v>
      </c>
      <c r="D13168" s="5" t="s">
        <v>30679</v>
      </c>
      <c r="E13168" s="2">
        <v>3629576</v>
      </c>
      <c r="F13168" s="4" t="str">
        <f>IF(B13168=B13167,"",B13168)</f>
        <v>Punto Fijo</v>
      </c>
    </row>
    <row r="13169" spans="1:6" ht="15.75" customHeight="1">
      <c r="A13169" s="5" t="str">
        <f ca="1">IFERROR(__xludf.DUMMYFUNCTION("GOOGLETRANSLATE(B45632,""en"",""pt"")"),"Punto Fijo")</f>
        <v>Punto Fijo</v>
      </c>
      <c r="B13169" s="17" t="s">
        <v>30744</v>
      </c>
      <c r="C13169" s="17" t="s">
        <v>5923</v>
      </c>
      <c r="D13169" s="17" t="s">
        <v>36090</v>
      </c>
      <c r="E13169" s="10">
        <v>3629576</v>
      </c>
      <c r="F13169" s="4" t="str">
        <f>IF(B13169=B13168,"",B13169)</f>
        <v/>
      </c>
    </row>
    <row r="13170" spans="1:6" ht="15.75" customHeight="1">
      <c r="A13170" s="5" t="s">
        <v>5674</v>
      </c>
      <c r="B13170" s="6" t="s">
        <v>5674</v>
      </c>
      <c r="C13170" s="5" t="s">
        <v>5665</v>
      </c>
      <c r="D13170" s="5" t="s">
        <v>5674</v>
      </c>
      <c r="E13170" s="2">
        <v>3622228</v>
      </c>
      <c r="F13170" s="4" t="str">
        <f>IF(B13170=B13169,"",B13170)</f>
        <v>Puntarenas</v>
      </c>
    </row>
    <row r="13171" spans="1:6" ht="15.75" customHeight="1">
      <c r="A13171" s="5" t="str">
        <f ca="1">IFERROR(__xludf.DUMMYFUNCTION("GOOGLETRANSLATE(B27081,""en"",""pt"")"),"Puntarenas")</f>
        <v>Puntarenas</v>
      </c>
      <c r="B13171" s="17" t="s">
        <v>5674</v>
      </c>
      <c r="C13171" s="17" t="s">
        <v>5665</v>
      </c>
      <c r="D13171" s="17" t="s">
        <v>5674</v>
      </c>
      <c r="E13171" s="10">
        <v>3622228</v>
      </c>
      <c r="F13171" s="4" t="str">
        <f>IF(B13171=B13170,"",B13171)</f>
        <v/>
      </c>
    </row>
    <row r="13172" spans="1:6" ht="15.75" customHeight="1">
      <c r="A13172" s="5" t="s">
        <v>29757</v>
      </c>
      <c r="B13172" s="6" t="s">
        <v>29757</v>
      </c>
      <c r="C13172" s="5" t="s">
        <v>27788</v>
      </c>
      <c r="D13172" s="5" t="s">
        <v>5468</v>
      </c>
      <c r="E13172" s="2">
        <v>4169455</v>
      </c>
      <c r="F13172" s="4" t="str">
        <f>IF(B13172=B13171,"",B13172)</f>
        <v>Punta Gorda Isles</v>
      </c>
    </row>
    <row r="13173" spans="1:6" ht="15.75" customHeight="1">
      <c r="A13173" s="5" t="str">
        <f ca="1">IFERROR(__xludf.DUMMYFUNCTION("GOOGLETRANSLATE(B43001,""en"",""pt"")"),"Punta Gorda Isles")</f>
        <v>Punta Gorda Isles</v>
      </c>
      <c r="B13173" s="17" t="s">
        <v>29757</v>
      </c>
      <c r="C13173" s="17" t="s">
        <v>27788</v>
      </c>
      <c r="D13173" s="17" t="s">
        <v>5468</v>
      </c>
      <c r="E13173" s="10">
        <v>4169455</v>
      </c>
      <c r="F13173" s="4" t="str">
        <f>IF(B13173=B13172,"",B13173)</f>
        <v/>
      </c>
    </row>
    <row r="13174" spans="1:6" ht="15.75" customHeight="1">
      <c r="A13174" s="5" t="s">
        <v>29756</v>
      </c>
      <c r="B13174" s="6" t="s">
        <v>29756</v>
      </c>
      <c r="C13174" s="5" t="s">
        <v>27788</v>
      </c>
      <c r="D13174" s="5" t="s">
        <v>5468</v>
      </c>
      <c r="E13174" s="2">
        <v>4169452</v>
      </c>
      <c r="F13174" s="4" t="str">
        <f>IF(B13174=B13173,"",B13174)</f>
        <v>Punta Gorda</v>
      </c>
    </row>
    <row r="13175" spans="1:6" ht="15.75" customHeight="1">
      <c r="A13175" s="5" t="str">
        <f ca="1">IFERROR(__xludf.DUMMYFUNCTION("GOOGLETRANSLATE(B43000,""en"",""pt"")"),"Punta Gorda")</f>
        <v>Punta Gorda</v>
      </c>
      <c r="B13175" s="17" t="s">
        <v>29756</v>
      </c>
      <c r="C13175" s="17" t="s">
        <v>27788</v>
      </c>
      <c r="D13175" s="17" t="s">
        <v>5468</v>
      </c>
      <c r="E13175" s="10">
        <v>4169452</v>
      </c>
      <c r="F13175" s="4" t="str">
        <f>IF(B13175=B13174,"",B13175)</f>
        <v/>
      </c>
    </row>
    <row r="13176" spans="1:6" ht="15.75" customHeight="1">
      <c r="A13176" s="5" t="str">
        <f ca="1">IFERROR(__xludf.DUMMYFUNCTION("GOOGLETRANSLATE(B45633,""en"",""pt"")"),"Punta Cardón")</f>
        <v>Punta Cardón</v>
      </c>
      <c r="B13176" s="17" t="s">
        <v>36091</v>
      </c>
      <c r="C13176" s="17" t="s">
        <v>5923</v>
      </c>
      <c r="D13176" s="17" t="s">
        <v>36090</v>
      </c>
      <c r="E13176" s="10">
        <v>3629614</v>
      </c>
      <c r="F13176" s="4" t="str">
        <f>IF(B13176=B13175,"",B13176)</f>
        <v>Punta Cardón</v>
      </c>
    </row>
    <row r="13177" spans="1:6" ht="15.75" customHeight="1">
      <c r="A13177" s="5" t="s">
        <v>30742</v>
      </c>
      <c r="B13177" s="6" t="s">
        <v>30743</v>
      </c>
      <c r="C13177" s="5" t="s">
        <v>5923</v>
      </c>
      <c r="D13177" s="5" t="s">
        <v>30679</v>
      </c>
      <c r="E13177" s="2">
        <v>3629614</v>
      </c>
      <c r="F13177" s="4" t="str">
        <f>IF(B13177=B13176,"",B13177)</f>
        <v>Punta CardÃ³n</v>
      </c>
    </row>
    <row r="13178" spans="1:6" ht="15.75" customHeight="1">
      <c r="A13178" s="5" t="s">
        <v>6342</v>
      </c>
      <c r="B13178" s="6" t="s">
        <v>6342</v>
      </c>
      <c r="C13178" s="5" t="s">
        <v>6303</v>
      </c>
      <c r="D13178" s="5" t="s">
        <v>6343</v>
      </c>
      <c r="E13178" s="2">
        <v>3494242</v>
      </c>
      <c r="F13178" s="4" t="str">
        <f>IF(B13178=B13177,"",B13178)</f>
        <v>Punta Cana</v>
      </c>
    </row>
    <row r="13179" spans="1:6" ht="15.75" customHeight="1">
      <c r="A13179" s="5" t="str">
        <f ca="1">IFERROR(__xludf.DUMMYFUNCTION("GOOGLETRANSLATE(B28474,""en"",""pt"")"),"Punta Cana")</f>
        <v>Punta Cana</v>
      </c>
      <c r="B13179" s="17" t="s">
        <v>6342</v>
      </c>
      <c r="C13179" s="17" t="s">
        <v>6303</v>
      </c>
      <c r="D13179" s="17" t="s">
        <v>6343</v>
      </c>
      <c r="E13179" s="10">
        <v>3494242</v>
      </c>
      <c r="F13179" s="4" t="str">
        <f>IF(B13179=B13178,"",B13179)</f>
        <v/>
      </c>
    </row>
    <row r="13180" spans="1:6" ht="15.75" customHeight="1">
      <c r="A13180" s="5" t="s">
        <v>4457</v>
      </c>
      <c r="B13180" s="6" t="s">
        <v>4457</v>
      </c>
      <c r="C13180" s="5" t="s">
        <v>4355</v>
      </c>
      <c r="D13180" s="5" t="s">
        <v>4453</v>
      </c>
      <c r="E13180" s="2">
        <v>3874787</v>
      </c>
      <c r="F13180" s="4" t="str">
        <f>IF(B13180=B13179,"",B13180)</f>
        <v>Punta Arenas</v>
      </c>
    </row>
    <row r="13181" spans="1:6" ht="15.75" customHeight="1">
      <c r="A13181" s="5" t="str">
        <f ca="1">IFERROR(__xludf.DUMMYFUNCTION("GOOGLETRANSLATE(B25910,""en"",""pt"")"),"Punta Arenas")</f>
        <v>Punta Arenas</v>
      </c>
      <c r="B13181" s="17" t="s">
        <v>4457</v>
      </c>
      <c r="C13181" s="17" t="s">
        <v>4355</v>
      </c>
      <c r="D13181" s="17" t="s">
        <v>4453</v>
      </c>
      <c r="E13181" s="10">
        <v>3874787</v>
      </c>
      <c r="F13181" s="4" t="str">
        <f>IF(B13181=B13180,"",B13181)</f>
        <v/>
      </c>
    </row>
    <row r="13182" spans="1:6" ht="15.75" customHeight="1">
      <c r="A13182" s="5" t="s">
        <v>748</v>
      </c>
      <c r="B13182" s="6" t="s">
        <v>748</v>
      </c>
      <c r="C13182" s="5" t="s">
        <v>558</v>
      </c>
      <c r="D13182" s="5" t="s">
        <v>562</v>
      </c>
      <c r="E13182" s="2">
        <v>3839982</v>
      </c>
      <c r="F13182" s="4" t="str">
        <f>IF(B13182=B13181,"",B13182)</f>
        <v>Punta Alta</v>
      </c>
    </row>
    <row r="13183" spans="1:6" ht="15.75" customHeight="1">
      <c r="A13183" s="5" t="str">
        <f ca="1">IFERROR(__xludf.DUMMYFUNCTION("GOOGLETRANSLATE(B23289,""en"",""pt"")"),"Punta Alta")</f>
        <v>Punta Alta</v>
      </c>
      <c r="B13183" s="17" t="s">
        <v>748</v>
      </c>
      <c r="C13183" s="17" t="s">
        <v>558</v>
      </c>
      <c r="D13183" s="17" t="s">
        <v>562</v>
      </c>
      <c r="E13183" s="10">
        <v>3839982</v>
      </c>
      <c r="F13183" s="4" t="str">
        <f>IF(B13183=B13182,"",B13183)</f>
        <v/>
      </c>
    </row>
    <row r="13184" spans="1:6" ht="15.75" customHeight="1">
      <c r="A13184" s="6" t="s">
        <v>20476</v>
      </c>
      <c r="B13184" s="6" t="s">
        <v>20476</v>
      </c>
      <c r="C13184" s="6" t="s">
        <v>20470</v>
      </c>
      <c r="D13184" s="6" t="s">
        <v>20476</v>
      </c>
      <c r="E13184" s="2">
        <v>3931276</v>
      </c>
      <c r="F13184" s="4" t="str">
        <f>IF(B13184=B13183,"",B13184)</f>
        <v>Puno</v>
      </c>
    </row>
    <row r="13185" spans="1:6" ht="15.75" customHeight="1">
      <c r="A13185" s="5" t="str">
        <f ca="1">IFERROR(__xludf.DUMMYFUNCTION("GOOGLETRANSLATE(B38366,""en"",""pt"")"),"Puno")</f>
        <v>Puno</v>
      </c>
      <c r="B13185" s="17" t="s">
        <v>20476</v>
      </c>
      <c r="C13185" s="17" t="s">
        <v>20470</v>
      </c>
      <c r="D13185" s="17" t="s">
        <v>20476</v>
      </c>
      <c r="E13185" s="10">
        <v>3931276</v>
      </c>
      <c r="F13185" s="4" t="str">
        <f>IF(B13185=B13184,"",B13185)</f>
        <v/>
      </c>
    </row>
    <row r="13186" spans="1:6" ht="15.75" customHeight="1">
      <c r="A13186" s="5" t="s">
        <v>12946</v>
      </c>
      <c r="B13186" s="6" t="s">
        <v>12946</v>
      </c>
      <c r="C13186" s="5" t="s">
        <v>10178</v>
      </c>
      <c r="D13186" s="5" t="s">
        <v>10196</v>
      </c>
      <c r="E13186" s="2">
        <v>1259222</v>
      </c>
      <c r="F13186" s="4" t="str">
        <f>IF(B13186=B13185,"",B13186)</f>
        <v>Punjai Puliyampatti</v>
      </c>
    </row>
    <row r="13187" spans="1:6" ht="15.75" customHeight="1">
      <c r="A13187" s="5" t="str">
        <f ca="1">IFERROR(__xludf.DUMMYFUNCTION("GOOGLETRANSLATE(B32418,""en"",""pt"")"),"Punjai Puliyampatti")</f>
        <v>Punjai Puliyampatti</v>
      </c>
      <c r="B13187" s="17" t="s">
        <v>12946</v>
      </c>
      <c r="C13187" s="17" t="s">
        <v>10178</v>
      </c>
      <c r="D13187" s="17" t="s">
        <v>10196</v>
      </c>
      <c r="E13187" s="10">
        <v>1259222</v>
      </c>
      <c r="F13187" s="4" t="str">
        <f>IF(B13187=B13186,"",B13187)</f>
        <v/>
      </c>
    </row>
    <row r="13188" spans="1:6" ht="15.75" customHeight="1">
      <c r="A13188" s="6" t="s">
        <v>5006</v>
      </c>
      <c r="B13188" s="6" t="s">
        <v>5007</v>
      </c>
      <c r="C13188" s="6" t="s">
        <v>4487</v>
      </c>
      <c r="D13188" s="6" t="s">
        <v>4492</v>
      </c>
      <c r="E13188" s="2">
        <v>1802940</v>
      </c>
      <c r="F13188" s="4" t="str">
        <f>IF(B13188=B13187,"",B13188)</f>
        <v>Puning</v>
      </c>
    </row>
    <row r="13189" spans="1:6" ht="15.75" customHeight="1">
      <c r="A13189" s="5" t="str">
        <f ca="1">IFERROR(__xludf.DUMMYFUNCTION("GOOGLETRANSLATE(B26381,""en"",""pt"")"),"Punindo")</f>
        <v>Punindo</v>
      </c>
      <c r="B13189" s="17" t="s">
        <v>5007</v>
      </c>
      <c r="C13189" s="17" t="s">
        <v>4487</v>
      </c>
      <c r="D13189" s="17" t="s">
        <v>4492</v>
      </c>
      <c r="E13189" s="10">
        <v>1802940</v>
      </c>
      <c r="F13189" s="4" t="str">
        <f>IF(B13189=B13188,"",B13189)</f>
        <v/>
      </c>
    </row>
    <row r="13190" spans="1:6" ht="15.75" customHeight="1">
      <c r="A13190" s="5" t="str">
        <f ca="1">IFERROR(__xludf.DUMMYFUNCTION("GOOGLETRANSLATE(B32419,""en"",""pt"")"),"Punganūru")</f>
        <v>Punganūru</v>
      </c>
      <c r="B13190" s="17" t="s">
        <v>33210</v>
      </c>
      <c r="C13190" s="17" t="s">
        <v>10178</v>
      </c>
      <c r="D13190" s="17" t="s">
        <v>10190</v>
      </c>
      <c r="E13190" s="10">
        <v>1259228</v>
      </c>
      <c r="F13190" s="4" t="str">
        <f>IF(B13190=B13189,"",B13190)</f>
        <v>Punganūru</v>
      </c>
    </row>
    <row r="13191" spans="1:6" ht="15.75" customHeight="1">
      <c r="A13191" s="5" t="s">
        <v>12944</v>
      </c>
      <c r="B13191" s="6" t="s">
        <v>12945</v>
      </c>
      <c r="C13191" s="5" t="s">
        <v>10178</v>
      </c>
      <c r="D13191" s="5" t="s">
        <v>10190</v>
      </c>
      <c r="E13191" s="2">
        <v>1259228</v>
      </c>
      <c r="F13191" s="4" t="str">
        <f>IF(B13191=B13190,"",B13191)</f>
        <v>PunganÅ«ru</v>
      </c>
    </row>
    <row r="13192" spans="1:6" ht="15.75" customHeight="1">
      <c r="A13192" s="6" t="s">
        <v>12943</v>
      </c>
      <c r="B13192" s="6" t="s">
        <v>12943</v>
      </c>
      <c r="C13192" s="6" t="s">
        <v>10178</v>
      </c>
      <c r="D13192" s="6" t="s">
        <v>10214</v>
      </c>
      <c r="E13192" s="2">
        <v>1259229</v>
      </c>
      <c r="F13192" s="4" t="str">
        <f>IF(B13192=B13191,"",B13192)</f>
        <v>Pune</v>
      </c>
    </row>
    <row r="13193" spans="1:6" ht="15.75" customHeight="1">
      <c r="A13193" s="5" t="str">
        <f ca="1">IFERROR(__xludf.DUMMYFUNCTION("GOOGLETRANSLATE(B32420,""en"",""pt"")"),"Pune")</f>
        <v>Pune</v>
      </c>
      <c r="B13193" s="17" t="s">
        <v>12943</v>
      </c>
      <c r="C13193" s="17" t="s">
        <v>10178</v>
      </c>
      <c r="D13193" s="17" t="s">
        <v>10214</v>
      </c>
      <c r="E13193" s="10">
        <v>1259229</v>
      </c>
      <c r="F13193" s="4" t="str">
        <f>IF(B13193=B13192,"",B13193)</f>
        <v/>
      </c>
    </row>
    <row r="13194" spans="1:6" ht="15.75" customHeight="1">
      <c r="A13194" s="5" t="str">
        <f ca="1">IFERROR(__xludf.DUMMYFUNCTION("GOOGLETRANSLATE(B32421,""en"",""pt"")"),"Pūndri")</f>
        <v>Pūndri</v>
      </c>
      <c r="B13194" s="17" t="s">
        <v>33211</v>
      </c>
      <c r="C13194" s="17" t="s">
        <v>10178</v>
      </c>
      <c r="D13194" s="17" t="s">
        <v>10224</v>
      </c>
      <c r="E13194" s="10">
        <v>1259231</v>
      </c>
      <c r="F13194" s="4" t="str">
        <f>IF(B13194=B13193,"",B13194)</f>
        <v>Pūndri</v>
      </c>
    </row>
    <row r="13195" spans="1:6" ht="15.75" customHeight="1">
      <c r="A13195" s="6" t="s">
        <v>14113</v>
      </c>
      <c r="B13195" s="6" t="s">
        <v>14113</v>
      </c>
      <c r="C13195" s="6" t="s">
        <v>13800</v>
      </c>
      <c r="D13195" s="6" t="s">
        <v>13826</v>
      </c>
      <c r="E13195" s="2">
        <v>1630416</v>
      </c>
      <c r="F13195" s="4" t="str">
        <f>IF(B13195=B13194,"",B13195)</f>
        <v>Pundong</v>
      </c>
    </row>
    <row r="13196" spans="1:6" ht="15.75" customHeight="1">
      <c r="A13196" s="5" t="str">
        <f ca="1">IFERROR(__xludf.DUMMYFUNCTION("GOOGLETRANSLATE(B31479,""en"",""pt"")"),"Pundong")</f>
        <v>Pundong</v>
      </c>
      <c r="B13196" s="17" t="s">
        <v>14113</v>
      </c>
      <c r="C13196" s="17" t="s">
        <v>13800</v>
      </c>
      <c r="D13196" s="17" t="s">
        <v>13826</v>
      </c>
      <c r="E13196" s="10">
        <v>1630416</v>
      </c>
      <c r="F13196" s="4" t="str">
        <f>IF(B13196=B13195,"",B13196)</f>
        <v/>
      </c>
    </row>
    <row r="13197" spans="1:6" ht="15.75" customHeight="1">
      <c r="A13197" s="5" t="str">
        <f ca="1">IFERROR(__xludf.DUMMYFUNCTION("GOOGLETRANSLATE(B31829,""en"",""pt"")"),"Soco")</f>
        <v>Soco</v>
      </c>
      <c r="B13197" s="17" t="s">
        <v>32937</v>
      </c>
      <c r="C13197" s="17" t="s">
        <v>10178</v>
      </c>
      <c r="D13197" s="17" t="s">
        <v>10355</v>
      </c>
      <c r="E13197" s="10">
        <v>1167718</v>
      </c>
      <c r="F13197" s="4" t="str">
        <f>IF(B13197=B13196,"",B13197)</f>
        <v>Pūnch</v>
      </c>
    </row>
    <row r="13198" spans="1:6" ht="15.75" customHeight="1">
      <c r="A13198" s="6" t="s">
        <v>1822</v>
      </c>
      <c r="B13198" s="6" t="s">
        <v>1822</v>
      </c>
      <c r="C13198" s="6" t="s">
        <v>1806</v>
      </c>
      <c r="D13198" s="6" t="s">
        <v>1809</v>
      </c>
      <c r="E13198" s="2">
        <v>3907080</v>
      </c>
      <c r="F13198" s="4" t="str">
        <f>IF(B13198=B13197,"",B13198)</f>
        <v>Punata</v>
      </c>
    </row>
    <row r="13199" spans="1:6" ht="15.75" customHeight="1">
      <c r="A13199" s="5" t="str">
        <f ca="1">IFERROR(__xludf.DUMMYFUNCTION("GOOGLETRANSLATE(B24129,""en"",""pt"")"),"Punata")</f>
        <v>Punata</v>
      </c>
      <c r="B13199" s="17" t="s">
        <v>1822</v>
      </c>
      <c r="C13199" s="17" t="s">
        <v>1806</v>
      </c>
      <c r="D13199" s="17" t="s">
        <v>1809</v>
      </c>
      <c r="E13199" s="10">
        <v>3907080</v>
      </c>
      <c r="F13199" s="4" t="str">
        <f>IF(B13199=B13198,"",B13199)</f>
        <v/>
      </c>
    </row>
    <row r="13200" spans="1:6" ht="15.75" customHeight="1">
      <c r="A13200" s="5" t="str">
        <f ca="1">IFERROR(__xludf.DUMMYFUNCTION("GOOGLETRANSLATE(B32422,""en"",""pt"")"),"Punāsa")</f>
        <v>Punāsa</v>
      </c>
      <c r="B13200" s="17" t="s">
        <v>33212</v>
      </c>
      <c r="C13200" s="17" t="s">
        <v>10178</v>
      </c>
      <c r="D13200" s="17" t="s">
        <v>10219</v>
      </c>
      <c r="E13200" s="10">
        <v>1259239</v>
      </c>
      <c r="F13200" s="4" t="str">
        <f>IF(B13200=B13199,"",B13200)</f>
        <v>Punāsa</v>
      </c>
    </row>
    <row r="13201" spans="1:6" ht="15.75" customHeight="1">
      <c r="A13201" s="5" t="str">
        <f ca="1">IFERROR(__xludf.DUMMYFUNCTION("GOOGLETRANSLATE(B32423,""en"",""pt"")"),"Punalūr")</f>
        <v>Punalūr</v>
      </c>
      <c r="B13201" s="17" t="s">
        <v>33213</v>
      </c>
      <c r="C13201" s="17" t="s">
        <v>10178</v>
      </c>
      <c r="D13201" s="17" t="s">
        <v>10246</v>
      </c>
      <c r="E13201" s="10">
        <v>1259243</v>
      </c>
      <c r="F13201" s="4" t="str">
        <f>IF(B13201=B13200,"",B13201)</f>
        <v>Punalūr</v>
      </c>
    </row>
    <row r="13202" spans="1:6" ht="15.75" customHeight="1">
      <c r="A13202" s="6" t="s">
        <v>12941</v>
      </c>
      <c r="B13202" s="6" t="s">
        <v>12942</v>
      </c>
      <c r="C13202" s="6" t="s">
        <v>10178</v>
      </c>
      <c r="D13202" s="6" t="s">
        <v>10246</v>
      </c>
      <c r="E13202" s="2">
        <v>1259243</v>
      </c>
      <c r="F13202" s="4" t="str">
        <f>IF(B13202=B13201,"",B13202)</f>
        <v>PunalÅ«r</v>
      </c>
    </row>
    <row r="13203" spans="1:6" ht="15.75" customHeight="1">
      <c r="A13203" s="5" t="str">
        <f ca="1">IFERROR(__xludf.DUMMYFUNCTION("GOOGLETRANSLATE(B25347,""en"",""pt"")"),"Punākha")</f>
        <v>Punākha</v>
      </c>
      <c r="B13203" s="17" t="s">
        <v>31748</v>
      </c>
      <c r="C13203" s="17" t="s">
        <v>1797</v>
      </c>
      <c r="D13203" s="17" t="s">
        <v>1801</v>
      </c>
      <c r="E13203" s="10">
        <v>1252479</v>
      </c>
      <c r="F13203" s="4" t="str">
        <f>IF(B13203=B13202,"",B13203)</f>
        <v>Punākha</v>
      </c>
    </row>
    <row r="13204" spans="1:6" ht="15.75" customHeight="1">
      <c r="A13204" s="5" t="str">
        <f ca="1">IFERROR(__xludf.DUMMYFUNCTION("GOOGLETRANSLATE(B32424,""en"",""pt"")"),"Pūnāhāna")</f>
        <v>Pūnāhāna</v>
      </c>
      <c r="B13204" s="17" t="s">
        <v>33214</v>
      </c>
      <c r="C13204" s="17" t="s">
        <v>10178</v>
      </c>
      <c r="D13204" s="17" t="s">
        <v>10224</v>
      </c>
      <c r="E13204" s="10">
        <v>1259244</v>
      </c>
      <c r="F13204" s="4" t="str">
        <f>IF(B13204=B13203,"",B13204)</f>
        <v>Pūnāhāna</v>
      </c>
    </row>
    <row r="13205" spans="1:6" ht="15.75" customHeight="1">
      <c r="A13205" s="6" t="s">
        <v>7954</v>
      </c>
      <c r="B13205" s="6" t="s">
        <v>7954</v>
      </c>
      <c r="C13205" s="6" t="s">
        <v>7951</v>
      </c>
      <c r="D13205" s="6" t="s">
        <v>7952</v>
      </c>
      <c r="E13205" s="2">
        <v>4033779</v>
      </c>
      <c r="F13205" s="4" t="str">
        <f>IF(B13205=B13204,"",B13205)</f>
        <v>Punaauia</v>
      </c>
    </row>
    <row r="13206" spans="1:6" ht="15.75" customHeight="1">
      <c r="A13206" s="5" t="str">
        <f ca="1">IFERROR(__xludf.DUMMYFUNCTION("GOOGLETRANSLATE(B38408,""en"",""pt"")"),"Punaauia")</f>
        <v>Punaauia</v>
      </c>
      <c r="B13206" s="17" t="s">
        <v>7954</v>
      </c>
      <c r="C13206" s="17" t="s">
        <v>7951</v>
      </c>
      <c r="D13206" s="17" t="s">
        <v>34878</v>
      </c>
      <c r="E13206" s="10">
        <v>4033779</v>
      </c>
      <c r="F13206" s="4" t="str">
        <f>IF(B13206=B13205,"",B13206)</f>
        <v/>
      </c>
    </row>
    <row r="13207" spans="1:6" ht="15.75" customHeight="1">
      <c r="A13207" s="6" t="s">
        <v>12939</v>
      </c>
      <c r="B13207" s="6" t="s">
        <v>12940</v>
      </c>
      <c r="C13207" s="6" t="s">
        <v>10178</v>
      </c>
      <c r="D13207" s="6" t="s">
        <v>10219</v>
      </c>
      <c r="E13207" s="2">
        <v>1259239</v>
      </c>
      <c r="F13207" s="4" t="str">
        <f>IF(B13207=B13206,"",B13207)</f>
        <v>PunÄsa</v>
      </c>
    </row>
    <row r="13208" spans="1:6" ht="15.75" customHeight="1">
      <c r="A13208" s="6" t="s">
        <v>1799</v>
      </c>
      <c r="B13208" s="6" t="s">
        <v>1800</v>
      </c>
      <c r="C13208" s="6" t="s">
        <v>1797</v>
      </c>
      <c r="D13208" s="6" t="s">
        <v>1801</v>
      </c>
      <c r="E13208" s="2">
        <v>1252479</v>
      </c>
      <c r="F13208" s="4" t="str">
        <f>IF(B13208=B13207,"",B13208)</f>
        <v>PunÄkha</v>
      </c>
    </row>
    <row r="13209" spans="1:6" ht="15.75" customHeight="1">
      <c r="A13209" s="6" t="s">
        <v>16839</v>
      </c>
      <c r="B13209" s="6" t="s">
        <v>16839</v>
      </c>
      <c r="C13209" s="6" t="s">
        <v>16781</v>
      </c>
      <c r="D13209" s="6" t="s">
        <v>16830</v>
      </c>
      <c r="E13209" s="2">
        <v>181501</v>
      </c>
      <c r="F13209" s="4" t="str">
        <f>IF(B13209=B13208,"",B13209)</f>
        <v>Pumwani</v>
      </c>
    </row>
    <row r="13210" spans="1:6" ht="15.75" customHeight="1">
      <c r="A13210" s="5" t="str">
        <f ca="1">IFERROR(__xludf.DUMMYFUNCTION("GOOGLETRANSLATE(B35889,""en"",""pt"")"),"Pumwani")</f>
        <v>Pumwani</v>
      </c>
      <c r="B13210" s="17" t="s">
        <v>16839</v>
      </c>
      <c r="C13210" s="17" t="s">
        <v>16781</v>
      </c>
      <c r="D13210" s="17" t="s">
        <v>16830</v>
      </c>
      <c r="E13210" s="10">
        <v>181501</v>
      </c>
      <c r="F13210" s="4" t="str">
        <f>IF(B13210=B13209,"",B13210)</f>
        <v/>
      </c>
    </row>
    <row r="13211" spans="1:6" ht="15.75" customHeight="1">
      <c r="A13211" s="6" t="s">
        <v>5005</v>
      </c>
      <c r="B13211" s="6" t="s">
        <v>5005</v>
      </c>
      <c r="C13211" s="6" t="s">
        <v>4487</v>
      </c>
      <c r="D13211" s="6" t="s">
        <v>4516</v>
      </c>
      <c r="E13211" s="2">
        <v>1798480</v>
      </c>
      <c r="F13211" s="4" t="str">
        <f>IF(B13211=B13210,"",B13211)</f>
        <v>Pumiao</v>
      </c>
    </row>
    <row r="13212" spans="1:6" ht="15.75" customHeight="1">
      <c r="A13212" s="5" t="str">
        <f ca="1">IFERROR(__xludf.DUMMYFUNCTION("GOOGLETRANSLATE(B26314,""en"",""pt"")"),"Pumiao")</f>
        <v>Pumiao</v>
      </c>
      <c r="B13212" s="17" t="s">
        <v>5005</v>
      </c>
      <c r="C13212" s="17" t="s">
        <v>4487</v>
      </c>
      <c r="D13212" s="17" t="s">
        <v>4516</v>
      </c>
      <c r="E13212" s="10">
        <v>1798480</v>
      </c>
      <c r="F13212" s="4" t="str">
        <f>IF(B13212=B13211,"",B13212)</f>
        <v/>
      </c>
    </row>
    <row r="13213" spans="1:6" ht="15.75" customHeight="1">
      <c r="A13213" s="6" t="s">
        <v>25733</v>
      </c>
      <c r="B13213" s="6" t="s">
        <v>25733</v>
      </c>
      <c r="C13213" s="6" t="s">
        <v>25560</v>
      </c>
      <c r="D13213" s="6" t="s">
        <v>25602</v>
      </c>
      <c r="E13213" s="2">
        <v>150634</v>
      </c>
      <c r="F13213" s="4" t="str">
        <f>IF(B13213=B13212,"",B13213)</f>
        <v>Puma</v>
      </c>
    </row>
    <row r="13214" spans="1:6" ht="15.75" customHeight="1">
      <c r="A13214" s="5" t="str">
        <f ca="1">IFERROR(__xludf.DUMMYFUNCTION("GOOGLETRANSLATE(B42312,""en"",""pt"")"),"Puma")</f>
        <v>Puma</v>
      </c>
      <c r="B13214" s="17" t="s">
        <v>25733</v>
      </c>
      <c r="C13214" s="17" t="s">
        <v>25560</v>
      </c>
      <c r="D13214" s="17" t="s">
        <v>25602</v>
      </c>
      <c r="E13214" s="10">
        <v>150634</v>
      </c>
      <c r="F13214" s="4" t="str">
        <f>IF(B13214=B13213,"",B13214)</f>
        <v/>
      </c>
    </row>
    <row r="13215" spans="1:6" ht="15.75" customHeight="1">
      <c r="A13215" s="6" t="s">
        <v>12938</v>
      </c>
      <c r="B13215" s="6" t="s">
        <v>12938</v>
      </c>
      <c r="C13215" s="6" t="s">
        <v>10178</v>
      </c>
      <c r="D13215" s="6" t="s">
        <v>10355</v>
      </c>
      <c r="E13215" s="2">
        <v>1259251</v>
      </c>
      <c r="F13215" s="4" t="str">
        <f>IF(B13215=B13214,"",B13215)</f>
        <v>Pulwama</v>
      </c>
    </row>
    <row r="13216" spans="1:6" ht="15.75" customHeight="1">
      <c r="A13216" s="5" t="str">
        <f ca="1">IFERROR(__xludf.DUMMYFUNCTION("GOOGLETRANSLATE(B32425,""en"",""pt"")"),"Pulwama")</f>
        <v>Pulwama</v>
      </c>
      <c r="B13216" s="17" t="s">
        <v>12938</v>
      </c>
      <c r="C13216" s="17" t="s">
        <v>10178</v>
      </c>
      <c r="D13216" s="17" t="s">
        <v>10355</v>
      </c>
      <c r="E13216" s="10">
        <v>1259251</v>
      </c>
      <c r="F13216" s="4" t="str">
        <f>IF(B13216=B13215,"",B13216)</f>
        <v/>
      </c>
    </row>
    <row r="13217" spans="1:6" ht="15.75" customHeight="1">
      <c r="A13217" s="5" t="s">
        <v>20974</v>
      </c>
      <c r="B13217" s="6" t="s">
        <v>20974</v>
      </c>
      <c r="C13217" s="5" t="s">
        <v>20598</v>
      </c>
      <c r="D13217" s="5" t="s">
        <v>20627</v>
      </c>
      <c r="E13217" s="2">
        <v>1692489</v>
      </c>
      <c r="F13217" s="4" t="str">
        <f>IF(B13217=B13216,"",B13217)</f>
        <v>Pulupandan</v>
      </c>
    </row>
    <row r="13218" spans="1:6" ht="15.75" customHeight="1">
      <c r="A13218" s="5" t="str">
        <f ca="1">IFERROR(__xludf.DUMMYFUNCTION("GOOGLETRANSLATE(B38540,""en"",""pt"")"),"Pulupandan")</f>
        <v>Pulupandan</v>
      </c>
      <c r="B13218" s="17" t="s">
        <v>20974</v>
      </c>
      <c r="C13218" s="17" t="s">
        <v>20598</v>
      </c>
      <c r="D13218" s="17" t="s">
        <v>20627</v>
      </c>
      <c r="E13218" s="10">
        <v>1692489</v>
      </c>
      <c r="F13218" s="4" t="str">
        <f>IF(B13218=B13217,"",B13218)</f>
        <v/>
      </c>
    </row>
    <row r="13219" spans="1:6" ht="15.75" customHeight="1">
      <c r="A13219" s="5" t="str">
        <f ca="1">IFERROR(__xludf.DUMMYFUNCTION("GOOGLETRANSLATE(B39218,""en"",""pt"")"),"Pułtusk")</f>
        <v>Pułtusk</v>
      </c>
      <c r="B13219" s="17" t="s">
        <v>35087</v>
      </c>
      <c r="C13219" s="17" t="s">
        <v>21064</v>
      </c>
      <c r="D13219" s="17" t="s">
        <v>21070</v>
      </c>
      <c r="E13219" s="10">
        <v>760917</v>
      </c>
      <c r="F13219" s="4" t="str">
        <f>IF(B13219=B13218,"",B13219)</f>
        <v>Pułtusk</v>
      </c>
    </row>
    <row r="13220" spans="1:6" ht="15.75" customHeight="1">
      <c r="A13220" s="5" t="s">
        <v>20973</v>
      </c>
      <c r="B13220" s="6" t="s">
        <v>20973</v>
      </c>
      <c r="C13220" s="5" t="s">
        <v>20598</v>
      </c>
      <c r="D13220" s="5" t="s">
        <v>20608</v>
      </c>
      <c r="E13220" s="2">
        <v>1692520</v>
      </c>
      <c r="F13220" s="4" t="str">
        <f>IF(B13220=B13219,"",B13220)</f>
        <v>Pulong Santa Cruz</v>
      </c>
    </row>
    <row r="13221" spans="1:6" ht="15.75" customHeight="1">
      <c r="A13221" s="5" t="str">
        <f ca="1">IFERROR(__xludf.DUMMYFUNCTION("GOOGLETRANSLATE(B38541,""en"",""pt"")"),"Pulong Santa Cruz")</f>
        <v>Pulong Santa Cruz</v>
      </c>
      <c r="B13221" s="17" t="s">
        <v>20973</v>
      </c>
      <c r="C13221" s="17" t="s">
        <v>20598</v>
      </c>
      <c r="D13221" s="17" t="s">
        <v>20608</v>
      </c>
      <c r="E13221" s="10">
        <v>1692520</v>
      </c>
      <c r="F13221" s="4" t="str">
        <f>IF(B13221=B13220,"",B13221)</f>
        <v/>
      </c>
    </row>
    <row r="13222" spans="1:6" ht="15.75" customHeight="1">
      <c r="A13222" s="6" t="s">
        <v>25301</v>
      </c>
      <c r="B13222" s="6" t="s">
        <v>25301</v>
      </c>
      <c r="C13222" s="6" t="s">
        <v>25237</v>
      </c>
      <c r="D13222" s="6" t="s">
        <v>25284</v>
      </c>
      <c r="E13222" s="2">
        <v>2659127</v>
      </c>
      <c r="F13222" s="4" t="str">
        <f>IF(B13222=B13221,"",B13222)</f>
        <v>Pully</v>
      </c>
    </row>
    <row r="13223" spans="1:6" ht="15.75" customHeight="1">
      <c r="A13223" s="5" t="str">
        <f ca="1">IFERROR(__xludf.DUMMYFUNCTION("GOOGLETRANSLATE(B25760,""en"",""pt"")"),"Pully")</f>
        <v>Pully</v>
      </c>
      <c r="B13223" s="17" t="s">
        <v>25301</v>
      </c>
      <c r="C13223" s="17" t="s">
        <v>25237</v>
      </c>
      <c r="D13223" s="17" t="s">
        <v>25284</v>
      </c>
      <c r="E13223" s="10">
        <v>2659127</v>
      </c>
      <c r="F13223" s="4" t="str">
        <f>IF(B13223=B13222,"",B13223)</f>
        <v/>
      </c>
    </row>
    <row r="13224" spans="1:6" ht="15.75" customHeight="1">
      <c r="A13224" s="6" t="s">
        <v>29755</v>
      </c>
      <c r="B13224" s="6" t="s">
        <v>29755</v>
      </c>
      <c r="C13224" s="6" t="s">
        <v>27788</v>
      </c>
      <c r="D13224" s="6" t="s">
        <v>27733</v>
      </c>
      <c r="E13224" s="2">
        <v>5807540</v>
      </c>
      <c r="F13224" s="4" t="str">
        <f>IF(B13224=B13223,"",B13224)</f>
        <v>Pullman</v>
      </c>
    </row>
    <row r="13225" spans="1:6" ht="15.75" customHeight="1">
      <c r="A13225" s="5" t="str">
        <f ca="1">IFERROR(__xludf.DUMMYFUNCTION("GOOGLETRANSLATE(B45366,""en"",""pt"")"),"Pullman")</f>
        <v>Pullman</v>
      </c>
      <c r="B13225" s="17" t="s">
        <v>29755</v>
      </c>
      <c r="C13225" s="17" t="s">
        <v>27788</v>
      </c>
      <c r="D13225" s="17" t="s">
        <v>27733</v>
      </c>
      <c r="E13225" s="10">
        <v>5807540</v>
      </c>
      <c r="F13225" s="4" t="str">
        <f>IF(B13225=B13224,"",B13225)</f>
        <v/>
      </c>
    </row>
    <row r="13226" spans="1:6" ht="15.75" customHeight="1">
      <c r="A13226" s="5" t="s">
        <v>12937</v>
      </c>
      <c r="B13226" s="6" t="s">
        <v>12937</v>
      </c>
      <c r="C13226" s="5" t="s">
        <v>10178</v>
      </c>
      <c r="D13226" s="5" t="s">
        <v>10196</v>
      </c>
      <c r="E13226" s="2">
        <v>1259263</v>
      </c>
      <c r="F13226" s="4" t="str">
        <f>IF(B13226=B13225,"",B13226)</f>
        <v>Puliyangudi</v>
      </c>
    </row>
    <row r="13227" spans="1:6" ht="15.75" customHeight="1">
      <c r="A13227" s="5" t="str">
        <f ca="1">IFERROR(__xludf.DUMMYFUNCTION("GOOGLETRANSLATE(B32426,""en"",""pt"")"),"Puliyangudi")</f>
        <v>Puliyangudi</v>
      </c>
      <c r="B13227" s="17" t="s">
        <v>12937</v>
      </c>
      <c r="C13227" s="17" t="s">
        <v>10178</v>
      </c>
      <c r="D13227" s="17" t="s">
        <v>10196</v>
      </c>
      <c r="E13227" s="10">
        <v>1259263</v>
      </c>
      <c r="F13227" s="4" t="str">
        <f>IF(B13227=B13226,"",B13227)</f>
        <v/>
      </c>
    </row>
    <row r="13228" spans="1:6" ht="15.75" customHeight="1">
      <c r="A13228" s="5" t="s">
        <v>12936</v>
      </c>
      <c r="B13228" s="6" t="s">
        <v>12936</v>
      </c>
      <c r="C13228" s="5" t="s">
        <v>10178</v>
      </c>
      <c r="D13228" s="5" t="s">
        <v>10190</v>
      </c>
      <c r="E13228" s="2">
        <v>1259264</v>
      </c>
      <c r="F13228" s="4" t="str">
        <f>IF(B13228=B13227,"",B13228)</f>
        <v>Pulivendla</v>
      </c>
    </row>
    <row r="13229" spans="1:6" ht="15.75" customHeight="1">
      <c r="A13229" s="5" t="str">
        <f ca="1">IFERROR(__xludf.DUMMYFUNCTION("GOOGLETRANSLATE(B32427,""en"",""pt"")"),"Pulivendla")</f>
        <v>Pulivendla</v>
      </c>
      <c r="B13229" s="17" t="s">
        <v>12936</v>
      </c>
      <c r="C13229" s="17" t="s">
        <v>10178</v>
      </c>
      <c r="D13229" s="17" t="s">
        <v>10190</v>
      </c>
      <c r="E13229" s="10">
        <v>1259264</v>
      </c>
      <c r="F13229" s="4" t="str">
        <f>IF(B13229=B13228,"",B13229)</f>
        <v/>
      </c>
    </row>
    <row r="13230" spans="1:6" ht="15.75" customHeight="1">
      <c r="A13230" s="6" t="s">
        <v>20972</v>
      </c>
      <c r="B13230" s="6" t="s">
        <v>20972</v>
      </c>
      <c r="C13230" s="6" t="s">
        <v>20598</v>
      </c>
      <c r="D13230" s="6" t="s">
        <v>20599</v>
      </c>
      <c r="E13230" s="2">
        <v>1692565</v>
      </c>
      <c r="F13230" s="4" t="str">
        <f>IF(B13230=B13229,"",B13230)</f>
        <v>Pulilan</v>
      </c>
    </row>
    <row r="13231" spans="1:6" ht="15.75" customHeight="1">
      <c r="A13231" s="5" t="str">
        <f ca="1">IFERROR(__xludf.DUMMYFUNCTION("GOOGLETRANSLATE(B38542,""en"",""pt"")"),"Pulilan")</f>
        <v>Pulilan</v>
      </c>
      <c r="B13231" s="17" t="s">
        <v>20972</v>
      </c>
      <c r="C13231" s="17" t="s">
        <v>20598</v>
      </c>
      <c r="D13231" s="17" t="s">
        <v>20599</v>
      </c>
      <c r="E13231" s="10">
        <v>1692565</v>
      </c>
      <c r="F13231" s="4" t="str">
        <f>IF(B13231=B13230,"",B13231)</f>
        <v/>
      </c>
    </row>
    <row r="13232" spans="1:6" ht="15.75" customHeight="1">
      <c r="A13232" s="6" t="s">
        <v>25515</v>
      </c>
      <c r="B13232" s="6" t="s">
        <v>25515</v>
      </c>
      <c r="C13232" s="6" t="s">
        <v>25502</v>
      </c>
      <c r="D13232" s="6" t="s">
        <v>25502</v>
      </c>
      <c r="E13232" s="2">
        <v>1670310</v>
      </c>
      <c r="F13232" s="4" t="str">
        <f>IF(B13232=B13231,"",B13232)</f>
        <v>Puli</v>
      </c>
    </row>
    <row r="13233" spans="1:6" ht="15.75" customHeight="1">
      <c r="A13233" s="5" t="str">
        <f ca="1">IFERROR(__xludf.DUMMYFUNCTION("GOOGLETRANSLATE(B42267,""en"",""pt"")"),"Puli")</f>
        <v>Puli</v>
      </c>
      <c r="B13233" s="17" t="s">
        <v>25515</v>
      </c>
      <c r="C13233" s="17" t="s">
        <v>25502</v>
      </c>
      <c r="D13233" s="17" t="s">
        <v>25502</v>
      </c>
      <c r="E13233" s="10">
        <v>1670310</v>
      </c>
      <c r="F13233" s="4" t="str">
        <f>IF(B13233=B13232,"",B13233)</f>
        <v/>
      </c>
    </row>
    <row r="13234" spans="1:6" ht="15.75" customHeight="1">
      <c r="A13234" s="6" t="s">
        <v>9010</v>
      </c>
      <c r="B13234" s="6" t="s">
        <v>9010</v>
      </c>
      <c r="C13234" s="6" t="s">
        <v>8028</v>
      </c>
      <c r="D13234" s="6" t="s">
        <v>8029</v>
      </c>
      <c r="E13234" s="2">
        <v>2851746</v>
      </c>
      <c r="F13234" s="4" t="str">
        <f>IF(B13234=B13233,"",B13234)</f>
        <v>Pulheim</v>
      </c>
    </row>
    <row r="13235" spans="1:6" ht="15.75" customHeight="1">
      <c r="A13235" s="5" t="str">
        <f ca="1">IFERROR(__xludf.DUMMYFUNCTION("GOOGLETRANSLATE(B27634,""en"",""pt"")"),"Pulheim")</f>
        <v>Pulheim</v>
      </c>
      <c r="B13235" s="17" t="s">
        <v>9010</v>
      </c>
      <c r="C13235" s="17" t="s">
        <v>8028</v>
      </c>
      <c r="D13235" s="17" t="s">
        <v>8029</v>
      </c>
      <c r="E13235" s="10">
        <v>2851746</v>
      </c>
      <c r="F13235" s="4" t="str">
        <f>IF(B13235=B13234,"",B13235)</f>
        <v/>
      </c>
    </row>
    <row r="13236" spans="1:6" ht="15.75" customHeight="1">
      <c r="A13236" s="6" t="s">
        <v>12935</v>
      </c>
      <c r="B13236" s="6" t="s">
        <v>12935</v>
      </c>
      <c r="C13236" s="6" t="s">
        <v>10178</v>
      </c>
      <c r="D13236" s="6" t="s">
        <v>10214</v>
      </c>
      <c r="E13236" s="2">
        <v>1259272</v>
      </c>
      <c r="F13236" s="4" t="str">
        <f>IF(B13236=B13235,"",B13236)</f>
        <v>Pulgaon</v>
      </c>
    </row>
    <row r="13237" spans="1:6" ht="15.75" customHeight="1">
      <c r="A13237" s="5" t="str">
        <f ca="1">IFERROR(__xludf.DUMMYFUNCTION("GOOGLETRANSLATE(B32428,""en"",""pt"")"),"Pulgaon")</f>
        <v>Pulgaon</v>
      </c>
      <c r="B13237" s="17" t="s">
        <v>12935</v>
      </c>
      <c r="C13237" s="17" t="s">
        <v>10178</v>
      </c>
      <c r="D13237" s="17" t="s">
        <v>10214</v>
      </c>
      <c r="E13237" s="10">
        <v>1259272</v>
      </c>
      <c r="F13237" s="4" t="str">
        <f>IF(B13237=B13236,"",B13237)</f>
        <v/>
      </c>
    </row>
    <row r="13238" spans="1:6" ht="15.75" customHeight="1">
      <c r="A13238" s="5" t="str">
        <f ca="1">IFERROR(__xludf.DUMMYFUNCTION("GOOGLETRANSLATE(B23065,""en"",""pt"")"),"Pul-e Khumrī")</f>
        <v>Pul-e Khumrī</v>
      </c>
      <c r="B13238" s="17" t="s">
        <v>31118</v>
      </c>
      <c r="C13238" s="17" t="s">
        <v>8</v>
      </c>
      <c r="D13238" s="17" t="s">
        <v>31119</v>
      </c>
      <c r="E13238" s="10">
        <v>1130490</v>
      </c>
      <c r="F13238" s="4" t="str">
        <f>IF(B13238=B13237,"",B13238)</f>
        <v>Pul-e Khumrī</v>
      </c>
    </row>
    <row r="13239" spans="1:6" ht="15.75" customHeight="1">
      <c r="A13239" s="5" t="s">
        <v>88</v>
      </c>
      <c r="B13239" s="6" t="s">
        <v>89</v>
      </c>
      <c r="C13239" s="5" t="s">
        <v>8</v>
      </c>
      <c r="D13239" s="5" t="s">
        <v>29</v>
      </c>
      <c r="E13239" s="2">
        <v>1130490</v>
      </c>
      <c r="F13239" s="4" t="str">
        <f>IF(B13239=B13238,"",B13239)</f>
        <v>Pul-e KhumrÄ«</v>
      </c>
    </row>
    <row r="13240" spans="1:6" ht="15.75" customHeight="1">
      <c r="A13240" s="5" t="str">
        <f ca="1">IFERROR(__xludf.DUMMYFUNCTION("GOOGLETRANSLATE(B39219,""en"",""pt"")"),"Puławy")</f>
        <v>Puławy</v>
      </c>
      <c r="B13240" s="17" t="s">
        <v>35088</v>
      </c>
      <c r="C13240" s="17" t="s">
        <v>21064</v>
      </c>
      <c r="D13240" s="17" t="s">
        <v>21091</v>
      </c>
      <c r="E13240" s="10">
        <v>760924</v>
      </c>
      <c r="F13240" s="4" t="str">
        <f>IF(B13240=B13239,"",B13240)</f>
        <v>Puławy</v>
      </c>
    </row>
    <row r="13241" spans="1:6" ht="15.75" customHeight="1">
      <c r="A13241" s="5" t="s">
        <v>5003</v>
      </c>
      <c r="B13241" s="6" t="s">
        <v>5004</v>
      </c>
      <c r="C13241" s="5" t="s">
        <v>4487</v>
      </c>
      <c r="D13241" s="5" t="s">
        <v>4505</v>
      </c>
      <c r="E13241" s="2">
        <v>1798490</v>
      </c>
      <c r="F13241" s="4" t="str">
        <f>IF(B13241=B13240,"",B13241)</f>
        <v>Pulandian</v>
      </c>
    </row>
    <row r="13242" spans="1:6" ht="15.75" customHeight="1">
      <c r="A13242" s="5" t="str">
        <f ca="1">IFERROR(__xludf.DUMMYFUNCTION("GOOGLETRANSLATE(B26315,""en"",""pt"")"),"Pulandiano")</f>
        <v>Pulandiano</v>
      </c>
      <c r="B13242" s="17" t="s">
        <v>5004</v>
      </c>
      <c r="C13242" s="17" t="s">
        <v>4487</v>
      </c>
      <c r="D13242" s="17" t="s">
        <v>4505</v>
      </c>
      <c r="E13242" s="10">
        <v>1798490</v>
      </c>
      <c r="F13242" s="4" t="str">
        <f>IF(B13242=B13241,"",B13242)</f>
        <v/>
      </c>
    </row>
    <row r="13243" spans="1:6" ht="15.75" customHeight="1">
      <c r="A13243" s="6" t="s">
        <v>5729</v>
      </c>
      <c r="B13243" s="6" t="s">
        <v>5729</v>
      </c>
      <c r="C13243" s="6" t="s">
        <v>5711</v>
      </c>
      <c r="D13243" s="6" t="s">
        <v>5730</v>
      </c>
      <c r="E13243" s="2">
        <v>3192224</v>
      </c>
      <c r="F13243" s="4" t="str">
        <f>IF(B13243=B13242,"",B13243)</f>
        <v>Pula</v>
      </c>
    </row>
    <row r="13244" spans="1:6" ht="15.75" customHeight="1">
      <c r="A13244" s="5" t="str">
        <f ca="1">IFERROR(__xludf.DUMMYFUNCTION("GOOGLETRANSLATE(B31204,""en"",""pt"")"),"Pula")</f>
        <v>Pula</v>
      </c>
      <c r="B13244" s="17" t="s">
        <v>5729</v>
      </c>
      <c r="C13244" s="17" t="s">
        <v>5711</v>
      </c>
      <c r="D13244" s="17" t="s">
        <v>5730</v>
      </c>
      <c r="E13244" s="10">
        <v>3192224</v>
      </c>
      <c r="F13244" s="4" t="str">
        <f>IF(B13244=B13243,"",B13244)</f>
        <v/>
      </c>
    </row>
    <row r="13245" spans="1:6" ht="15.75" customHeight="1">
      <c r="A13245" s="5" t="str">
        <f ca="1">IFERROR(__xludf.DUMMYFUNCTION("GOOGLETRANSLATE(B32429,""en"",""pt"")"),"Pukhrāyān")</f>
        <v>Pukhrāyān</v>
      </c>
      <c r="B13245" s="17" t="s">
        <v>33215</v>
      </c>
      <c r="C13245" s="17" t="s">
        <v>10178</v>
      </c>
      <c r="D13245" s="17" t="s">
        <v>10193</v>
      </c>
      <c r="E13245" s="10">
        <v>1259283</v>
      </c>
      <c r="F13245" s="4" t="str">
        <f>IF(B13245=B13244,"",B13245)</f>
        <v>Pukhrāyān</v>
      </c>
    </row>
    <row r="13246" spans="1:6" ht="15.75" customHeight="1">
      <c r="A13246" s="5" t="s">
        <v>12933</v>
      </c>
      <c r="B13246" s="6" t="s">
        <v>12934</v>
      </c>
      <c r="C13246" s="5" t="s">
        <v>10178</v>
      </c>
      <c r="D13246" s="5" t="s">
        <v>10193</v>
      </c>
      <c r="E13246" s="2">
        <v>1259283</v>
      </c>
      <c r="F13246" s="4" t="str">
        <f>IF(B13246=B13245,"",B13246)</f>
        <v>PukhrÄyÄn</v>
      </c>
    </row>
    <row r="13247" spans="1:6" ht="15.75" customHeight="1">
      <c r="A13247" s="5" t="s">
        <v>19202</v>
      </c>
      <c r="B13247" s="6" t="s">
        <v>19202</v>
      </c>
      <c r="C13247" s="5" t="s">
        <v>19169</v>
      </c>
      <c r="D13247" s="5" t="s">
        <v>19171</v>
      </c>
      <c r="E13247" s="2">
        <v>2184155</v>
      </c>
      <c r="F13247" s="4" t="str">
        <f>IF(B13247=B13246,"",B13247)</f>
        <v>Pukekohe East</v>
      </c>
    </row>
    <row r="13248" spans="1:6" ht="15.75" customHeight="1">
      <c r="A13248" s="5" t="str">
        <f ca="1">IFERROR(__xludf.DUMMYFUNCTION("GOOGLETRANSLATE(B38221,""en"",""pt"")"),"Pukekohe East")</f>
        <v>Pukekohe East</v>
      </c>
      <c r="B13248" s="17" t="s">
        <v>19202</v>
      </c>
      <c r="C13248" s="17" t="s">
        <v>19169</v>
      </c>
      <c r="D13248" s="17" t="s">
        <v>19171</v>
      </c>
      <c r="E13248" s="10">
        <v>2184155</v>
      </c>
      <c r="F13248" s="4" t="str">
        <f>IF(B13248=B13247,"",B13248)</f>
        <v/>
      </c>
    </row>
    <row r="13249" spans="1:6" ht="15.75" customHeight="1">
      <c r="A13249" s="5" t="str">
        <f ca="1">IFERROR(__xludf.DUMMYFUNCTION("GOOGLETRANSLATE(B28766,""en"",""pt"")"),"Pujilí")</f>
        <v>Pujilí</v>
      </c>
      <c r="B13249" s="17" t="s">
        <v>32237</v>
      </c>
      <c r="C13249" s="17" t="s">
        <v>6398</v>
      </c>
      <c r="D13249" s="17" t="s">
        <v>6438</v>
      </c>
      <c r="E13249" s="10">
        <v>3652684</v>
      </c>
      <c r="F13249" s="4" t="str">
        <f>IF(B13249=B13248,"",B13249)</f>
        <v>Pujilí</v>
      </c>
    </row>
    <row r="13250" spans="1:6" ht="15.75" customHeight="1">
      <c r="A13250" s="6" t="s">
        <v>6463</v>
      </c>
      <c r="B13250" s="6" t="s">
        <v>6464</v>
      </c>
      <c r="C13250" s="6" t="s">
        <v>6398</v>
      </c>
      <c r="D13250" s="6" t="s">
        <v>6438</v>
      </c>
      <c r="E13250" s="2">
        <v>3652684</v>
      </c>
      <c r="F13250" s="4" t="str">
        <f>IF(B13250=B13249,"",B13250)</f>
        <v>PujilÃ­</v>
      </c>
    </row>
    <row r="13251" spans="1:6" ht="15.75" customHeight="1">
      <c r="A13251" s="6" t="s">
        <v>12932</v>
      </c>
      <c r="B13251" s="6" t="s">
        <v>12932</v>
      </c>
      <c r="C13251" s="6" t="s">
        <v>10178</v>
      </c>
      <c r="D13251" s="6" t="s">
        <v>10201</v>
      </c>
      <c r="E13251" s="2">
        <v>1348820</v>
      </c>
      <c r="F13251" s="4" t="str">
        <f>IF(B13251=B13250,"",B13251)</f>
        <v>Pujali</v>
      </c>
    </row>
    <row r="13252" spans="1:6" ht="15.75" customHeight="1">
      <c r="A13252" s="5" t="str">
        <f ca="1">IFERROR(__xludf.DUMMYFUNCTION("GOOGLETRANSLATE(B34193,""en"",""pt"")"),"Pujali")</f>
        <v>Pujali</v>
      </c>
      <c r="B13252" s="17" t="s">
        <v>12932</v>
      </c>
      <c r="C13252" s="17" t="s">
        <v>10178</v>
      </c>
      <c r="D13252" s="17" t="s">
        <v>10201</v>
      </c>
      <c r="E13252" s="10">
        <v>1348820</v>
      </c>
      <c r="F13252" s="4" t="str">
        <f>IF(B13252=B13251,"",B13252)</f>
        <v/>
      </c>
    </row>
    <row r="13253" spans="1:6" ht="15.75" customHeight="1">
      <c r="A13253" s="6" t="s">
        <v>22978</v>
      </c>
      <c r="B13253" s="6" t="s">
        <v>22978</v>
      </c>
      <c r="C13253" s="6" t="s">
        <v>22070</v>
      </c>
      <c r="D13253" s="6" t="s">
        <v>22171</v>
      </c>
      <c r="E13253" s="2">
        <v>504250</v>
      </c>
      <c r="F13253" s="4" t="str">
        <f>IF(B13253=B13252,"",B13253)</f>
        <v>Pugachev</v>
      </c>
    </row>
    <row r="13254" spans="1:6" ht="15.75" customHeight="1">
      <c r="A13254" s="5" t="str">
        <f ca="1">IFERROR(__xludf.DUMMYFUNCTION("GOOGLETRANSLATE(B40171,""en"",""pt"")"),"Pugachev")</f>
        <v>Pugachev</v>
      </c>
      <c r="B13254" s="17" t="s">
        <v>22978</v>
      </c>
      <c r="C13254" s="17" t="s">
        <v>22070</v>
      </c>
      <c r="D13254" s="17" t="s">
        <v>22171</v>
      </c>
      <c r="E13254" s="10">
        <v>504250</v>
      </c>
      <c r="F13254" s="4" t="str">
        <f>IF(B13254=B13253,"",B13254)</f>
        <v/>
      </c>
    </row>
    <row r="13255" spans="1:6" ht="15.75" customHeight="1">
      <c r="A13255" s="5" t="s">
        <v>24724</v>
      </c>
      <c r="B13255" s="6" t="s">
        <v>24724</v>
      </c>
      <c r="C13255" s="5" t="s">
        <v>24200</v>
      </c>
      <c r="D13255" s="5" t="s">
        <v>24218</v>
      </c>
      <c r="E13255" s="2">
        <v>2512177</v>
      </c>
      <c r="F13255" s="4" t="str">
        <f>IF(B13255=B13254,"",B13255)</f>
        <v>Puertollano</v>
      </c>
    </row>
    <row r="13256" spans="1:6" ht="15.75" customHeight="1">
      <c r="A13256" s="5" t="str">
        <f ca="1">IFERROR(__xludf.DUMMYFUNCTION("GOOGLETRANSLATE(B29018,""en"",""pt"")"),"Puertollano")</f>
        <v>Puertollano</v>
      </c>
      <c r="B13256" s="17" t="s">
        <v>24724</v>
      </c>
      <c r="C13256" s="17" t="s">
        <v>24200</v>
      </c>
      <c r="D13256" s="17" t="s">
        <v>24218</v>
      </c>
      <c r="E13256" s="10">
        <v>2512177</v>
      </c>
      <c r="F13256" s="4" t="str">
        <f>IF(B13256=B13255,"",B13256)</f>
        <v/>
      </c>
    </row>
    <row r="13257" spans="1:6" ht="15.75" customHeight="1">
      <c r="A13257" s="5" t="s">
        <v>4456</v>
      </c>
      <c r="B13257" s="6" t="s">
        <v>4456</v>
      </c>
      <c r="C13257" s="5" t="s">
        <v>4355</v>
      </c>
      <c r="D13257" s="5" t="s">
        <v>4356</v>
      </c>
      <c r="E13257" s="2">
        <v>3874930</v>
      </c>
      <c r="F13257" s="4" t="str">
        <f>IF(B13257=B13256,"",B13257)</f>
        <v>Puerto Varas</v>
      </c>
    </row>
    <row r="13258" spans="1:6" ht="15.75" customHeight="1">
      <c r="A13258" s="5" t="str">
        <f ca="1">IFERROR(__xludf.DUMMYFUNCTION("GOOGLETRANSLATE(B25911,""en"",""pt"")"),"Puerto Varas")</f>
        <v>Puerto Varas</v>
      </c>
      <c r="B13258" s="17" t="s">
        <v>4456</v>
      </c>
      <c r="C13258" s="17" t="s">
        <v>4355</v>
      </c>
      <c r="D13258" s="17" t="s">
        <v>4356</v>
      </c>
      <c r="E13258" s="10">
        <v>3874930</v>
      </c>
      <c r="F13258" s="4" t="str">
        <f>IF(B13258=B13257,"",B13258)</f>
        <v/>
      </c>
    </row>
    <row r="13259" spans="1:6" ht="15.75" customHeight="1">
      <c r="A13259" s="5" t="s">
        <v>18177</v>
      </c>
      <c r="B13259" s="6" t="s">
        <v>18177</v>
      </c>
      <c r="C13259" s="5" t="s">
        <v>17707</v>
      </c>
      <c r="D13259" s="5" t="s">
        <v>17746</v>
      </c>
      <c r="E13259" s="2">
        <v>3991328</v>
      </c>
      <c r="F13259" s="4" t="str">
        <f>IF(B13259=B13258,"",B13259)</f>
        <v>Puerto Vallarta</v>
      </c>
    </row>
    <row r="13260" spans="1:6" ht="15.75" customHeight="1">
      <c r="A13260" s="5" t="str">
        <f ca="1">IFERROR(__xludf.DUMMYFUNCTION("GOOGLETRANSLATE(B37220,""en"",""pt"")"),"Puerto Vallarta")</f>
        <v>Puerto Vallarta</v>
      </c>
      <c r="B13260" s="17" t="s">
        <v>18177</v>
      </c>
      <c r="C13260" s="17" t="s">
        <v>17707</v>
      </c>
      <c r="D13260" s="17" t="s">
        <v>17746</v>
      </c>
      <c r="E13260" s="10">
        <v>3991328</v>
      </c>
      <c r="F13260" s="4" t="str">
        <f>IF(B13260=B13259,"",B13260)</f>
        <v/>
      </c>
    </row>
    <row r="13261" spans="1:6" ht="15.75" customHeight="1">
      <c r="A13261" s="5" t="s">
        <v>5571</v>
      </c>
      <c r="B13261" s="6" t="s">
        <v>5571</v>
      </c>
      <c r="C13261" s="5" t="s">
        <v>5348</v>
      </c>
      <c r="D13261" s="5" t="s">
        <v>5388</v>
      </c>
      <c r="E13261" s="2">
        <v>3671315</v>
      </c>
      <c r="F13261" s="4" t="str">
        <f>IF(B13261=B13260,"",B13261)</f>
        <v>Puerto Tejada</v>
      </c>
    </row>
    <row r="13262" spans="1:6" ht="15.75" customHeight="1">
      <c r="A13262" s="5" t="str">
        <f ca="1">IFERROR(__xludf.DUMMYFUNCTION("GOOGLETRANSLATE(B26909,""en"",""pt"")"),"Puerto Tejada")</f>
        <v>Puerto Tejada</v>
      </c>
      <c r="B13262" s="17" t="s">
        <v>5571</v>
      </c>
      <c r="C13262" s="17" t="s">
        <v>5348</v>
      </c>
      <c r="D13262" s="17" t="s">
        <v>5388</v>
      </c>
      <c r="E13262" s="10">
        <v>3671315</v>
      </c>
      <c r="F13262" s="4" t="str">
        <f>IF(B13262=B13261,"",B13262)</f>
        <v/>
      </c>
    </row>
    <row r="13263" spans="1:6" ht="15.75" customHeight="1">
      <c r="A13263" s="5" t="s">
        <v>5569</v>
      </c>
      <c r="B13263" s="6" t="s">
        <v>5570</v>
      </c>
      <c r="C13263" s="5" t="s">
        <v>5348</v>
      </c>
      <c r="D13263" s="5" t="s">
        <v>5410</v>
      </c>
      <c r="E13263" s="2">
        <v>3671325</v>
      </c>
      <c r="F13263" s="4" t="str">
        <f>IF(B13263=B13262,"",B13263)</f>
        <v>Puerto Santander</v>
      </c>
    </row>
    <row r="13264" spans="1:6" ht="15.75" customHeight="1">
      <c r="A13264" s="5" t="str">
        <f ca="1">IFERROR(__xludf.DUMMYFUNCTION("GOOGLETRANSLATE(B26910,""en"",""pt"")"),"Porto Santander")</f>
        <v>Porto Santander</v>
      </c>
      <c r="B13264" s="17" t="s">
        <v>5570</v>
      </c>
      <c r="C13264" s="17" t="s">
        <v>5348</v>
      </c>
      <c r="D13264" s="17" t="s">
        <v>5410</v>
      </c>
      <c r="E13264" s="10">
        <v>3671325</v>
      </c>
      <c r="F13264" s="4" t="str">
        <f>IF(B13264=B13263,"",B13264)</f>
        <v/>
      </c>
    </row>
    <row r="13265" spans="1:6" ht="15.75" customHeight="1">
      <c r="A13265" s="5" t="str">
        <f ca="1">IFERROR(__xludf.DUMMYFUNCTION("GOOGLETRANSLATE(B31092,""en"",""pt"")"),"Puerto San José")</f>
        <v>Puerto San José</v>
      </c>
      <c r="B13265" s="17" t="s">
        <v>9777</v>
      </c>
      <c r="C13265" s="17" t="s">
        <v>9700</v>
      </c>
      <c r="D13265" s="17" t="s">
        <v>9735</v>
      </c>
      <c r="E13265" s="10">
        <v>3591060</v>
      </c>
      <c r="F13265" s="4" t="str">
        <f>IF(B13265=B13264,"",B13265)</f>
        <v>Puerto San José</v>
      </c>
    </row>
    <row r="13266" spans="1:6" ht="15.75" customHeight="1">
      <c r="A13266" s="5" t="s">
        <v>9777</v>
      </c>
      <c r="B13266" s="6" t="s">
        <v>9778</v>
      </c>
      <c r="C13266" s="5" t="s">
        <v>9700</v>
      </c>
      <c r="D13266" s="5" t="s">
        <v>9735</v>
      </c>
      <c r="E13266" s="2">
        <v>3591060</v>
      </c>
      <c r="F13266" s="4" t="str">
        <f>IF(B13266=B13265,"",B13266)</f>
        <v>Puerto San JosÃ©</v>
      </c>
    </row>
    <row r="13267" spans="1:6" ht="15.75" customHeight="1">
      <c r="A13267" s="5" t="s">
        <v>746</v>
      </c>
      <c r="B13267" s="6" t="s">
        <v>747</v>
      </c>
      <c r="C13267" s="5" t="s">
        <v>558</v>
      </c>
      <c r="D13267" s="5" t="s">
        <v>576</v>
      </c>
      <c r="E13267" s="2">
        <v>3429732</v>
      </c>
      <c r="F13267" s="4" t="str">
        <f>IF(B13267=B13266,"",B13267)</f>
        <v>Puerto Rico</v>
      </c>
    </row>
    <row r="13268" spans="1:6" ht="15.75" customHeight="1">
      <c r="A13268" s="5" t="str">
        <f ca="1">IFERROR(__xludf.DUMMYFUNCTION("GOOGLETRANSLATE(B23188,""en"",""pt"")"),"Porto Rico")</f>
        <v>Porto Rico</v>
      </c>
      <c r="B13268" s="17" t="s">
        <v>747</v>
      </c>
      <c r="C13268" s="17" t="s">
        <v>558</v>
      </c>
      <c r="D13268" s="17" t="s">
        <v>576</v>
      </c>
      <c r="E13268" s="10">
        <v>3429732</v>
      </c>
      <c r="F13268" s="4" t="str">
        <f>IF(B13268=B13267,"",B13268)</f>
        <v/>
      </c>
    </row>
    <row r="13269" spans="1:6" ht="15.75" customHeight="1">
      <c r="A13269" s="5" t="s">
        <v>24723</v>
      </c>
      <c r="B13269" s="6" t="s">
        <v>24723</v>
      </c>
      <c r="C13269" s="5" t="s">
        <v>24200</v>
      </c>
      <c r="D13269" s="5" t="s">
        <v>24205</v>
      </c>
      <c r="E13269" s="2">
        <v>2512169</v>
      </c>
      <c r="F13269" s="4" t="str">
        <f>IF(B13269=B13268,"",B13269)</f>
        <v>Puerto Real</v>
      </c>
    </row>
    <row r="13270" spans="1:6" ht="15.75" customHeight="1">
      <c r="A13270" s="5" t="str">
        <f ca="1">IFERROR(__xludf.DUMMYFUNCTION("GOOGLETRANSLATE(B29017,""en"",""pt"")"),"Puerto Real")</f>
        <v>Puerto Real</v>
      </c>
      <c r="B13270" s="17" t="s">
        <v>24723</v>
      </c>
      <c r="C13270" s="17" t="s">
        <v>24200</v>
      </c>
      <c r="D13270" s="17" t="s">
        <v>24205</v>
      </c>
      <c r="E13270" s="10">
        <v>2512169</v>
      </c>
      <c r="F13270" s="4" t="str">
        <f>IF(B13270=B13269,"",B13270)</f>
        <v/>
      </c>
    </row>
    <row r="13271" spans="1:6" ht="15.75" customHeight="1">
      <c r="A13271" s="5" t="str">
        <f ca="1">IFERROR(__xludf.DUMMYFUNCTION("GOOGLETRANSLATE(B25912,""en"",""pt"")"),"Puerto Quellón")</f>
        <v>Puerto Quellón</v>
      </c>
      <c r="B13271" s="17" t="s">
        <v>31798</v>
      </c>
      <c r="C13271" s="17" t="s">
        <v>4355</v>
      </c>
      <c r="D13271" s="17" t="s">
        <v>4356</v>
      </c>
      <c r="E13271" s="10">
        <v>3874943</v>
      </c>
      <c r="F13271" s="4" t="str">
        <f>IF(B13271=B13270,"",B13271)</f>
        <v>Puerto Quellón</v>
      </c>
    </row>
    <row r="13272" spans="1:6" ht="15.75" customHeight="1">
      <c r="A13272" s="5" t="s">
        <v>4454</v>
      </c>
      <c r="B13272" s="6" t="s">
        <v>4455</v>
      </c>
      <c r="C13272" s="5" t="s">
        <v>4355</v>
      </c>
      <c r="D13272" s="5" t="s">
        <v>4356</v>
      </c>
      <c r="E13272" s="2">
        <v>3874943</v>
      </c>
      <c r="F13272" s="4" t="str">
        <f>IF(B13272=B13271,"",B13272)</f>
        <v>Puerto QuellÃ³n</v>
      </c>
    </row>
    <row r="13273" spans="1:6" ht="15.75" customHeight="1">
      <c r="A13273" s="5" t="s">
        <v>20971</v>
      </c>
      <c r="B13273" s="6" t="s">
        <v>20971</v>
      </c>
      <c r="C13273" s="5" t="s">
        <v>20598</v>
      </c>
      <c r="D13273" s="5" t="s">
        <v>20715</v>
      </c>
      <c r="E13273" s="2">
        <v>1692685</v>
      </c>
      <c r="F13273" s="4" t="str">
        <f>IF(B13273=B13272,"",B13273)</f>
        <v>Puerto Princesa</v>
      </c>
    </row>
    <row r="13274" spans="1:6" ht="15.75" customHeight="1">
      <c r="A13274" s="5" t="str">
        <f ca="1">IFERROR(__xludf.DUMMYFUNCTION("GOOGLETRANSLATE(B38543,""en"",""pt"")"),"Puerto Princesa")</f>
        <v>Puerto Princesa</v>
      </c>
      <c r="B13274" s="17" t="s">
        <v>20971</v>
      </c>
      <c r="C13274" s="17" t="s">
        <v>20598</v>
      </c>
      <c r="D13274" s="17" t="s">
        <v>20715</v>
      </c>
      <c r="E13274" s="10">
        <v>1692685</v>
      </c>
      <c r="F13274" s="4" t="str">
        <f>IF(B13274=B13273,"",B13274)</f>
        <v/>
      </c>
    </row>
    <row r="13275" spans="1:6" ht="15.75" customHeight="1">
      <c r="A13275" s="5" t="s">
        <v>6341</v>
      </c>
      <c r="B13275" s="6" t="s">
        <v>6341</v>
      </c>
      <c r="C13275" s="5" t="s">
        <v>6303</v>
      </c>
      <c r="D13275" s="5" t="s">
        <v>6341</v>
      </c>
      <c r="E13275" s="2">
        <v>3493175</v>
      </c>
      <c r="F13275" s="4" t="str">
        <f>IF(B13275=B13274,"",B13275)</f>
        <v>Puerto Plata</v>
      </c>
    </row>
    <row r="13276" spans="1:6" ht="15.75" customHeight="1">
      <c r="A13276" s="5" t="str">
        <f ca="1">IFERROR(__xludf.DUMMYFUNCTION("GOOGLETRANSLATE(B28467,""en"",""pt"")"),"Puerto Plata")</f>
        <v>Puerto Plata</v>
      </c>
      <c r="B13276" s="17" t="s">
        <v>6341</v>
      </c>
      <c r="C13276" s="17" t="s">
        <v>6303</v>
      </c>
      <c r="D13276" s="17" t="s">
        <v>6341</v>
      </c>
      <c r="E13276" s="10">
        <v>3493175</v>
      </c>
      <c r="F13276" s="4" t="str">
        <f>IF(B13276=B13275,"",B13276)</f>
        <v/>
      </c>
    </row>
    <row r="13277" spans="1:6" ht="15.75" customHeight="1">
      <c r="A13277" s="5" t="str">
        <f ca="1">IFERROR(__xludf.DUMMYFUNCTION("GOOGLETRANSLATE(B37221,""en"",""pt"")"),"Puerto Peñasco")</f>
        <v>Puerto Peñasco</v>
      </c>
      <c r="B13277" s="17" t="s">
        <v>34748</v>
      </c>
      <c r="C13277" s="17" t="s">
        <v>17707</v>
      </c>
      <c r="D13277" s="17" t="s">
        <v>17732</v>
      </c>
      <c r="E13277" s="10">
        <v>3991347</v>
      </c>
      <c r="F13277" s="4" t="str">
        <f>IF(B13277=B13276,"",B13277)</f>
        <v>Puerto Peñasco</v>
      </c>
    </row>
    <row r="13278" spans="1:6" ht="15.75" customHeight="1">
      <c r="A13278" s="5" t="s">
        <v>18175</v>
      </c>
      <c r="B13278" s="6" t="s">
        <v>18176</v>
      </c>
      <c r="C13278" s="5" t="s">
        <v>17707</v>
      </c>
      <c r="D13278" s="5" t="s">
        <v>17732</v>
      </c>
      <c r="E13278" s="2">
        <v>3991347</v>
      </c>
      <c r="F13278" s="4" t="str">
        <f>IF(B13278=B13277,"",B13278)</f>
        <v>Puerto PeÃ±asco</v>
      </c>
    </row>
    <row r="13279" spans="1:6" ht="15.75" customHeight="1">
      <c r="A13279" s="5" t="s">
        <v>5890</v>
      </c>
      <c r="B13279" s="6" t="s">
        <v>5890</v>
      </c>
      <c r="C13279" s="5" t="s">
        <v>5764</v>
      </c>
      <c r="D13279" s="5" t="s">
        <v>5773</v>
      </c>
      <c r="E13279" s="2">
        <v>3543299</v>
      </c>
      <c r="F13279" s="4" t="str">
        <f>IF(B13279=B13278,"",B13279)</f>
        <v>Puerto Padre</v>
      </c>
    </row>
    <row r="13280" spans="1:6" ht="15.75" customHeight="1">
      <c r="A13280" s="5" t="str">
        <f ca="1">IFERROR(__xludf.DUMMYFUNCTION("GOOGLETRANSLATE(B27132,""en"",""pt"")"),"Puerto Padre")</f>
        <v>Puerto Padre</v>
      </c>
      <c r="B13280" s="17" t="s">
        <v>5890</v>
      </c>
      <c r="C13280" s="17" t="s">
        <v>5764</v>
      </c>
      <c r="D13280" s="17" t="s">
        <v>5773</v>
      </c>
      <c r="E13280" s="10">
        <v>3543299</v>
      </c>
      <c r="F13280" s="4" t="str">
        <f>IF(B13280=B13279,"",B13280)</f>
        <v/>
      </c>
    </row>
    <row r="13281" spans="1:6" ht="15.75" customHeight="1">
      <c r="A13281" s="5" t="s">
        <v>4451</v>
      </c>
      <c r="B13281" s="6" t="s">
        <v>4452</v>
      </c>
      <c r="C13281" s="5" t="s">
        <v>4355</v>
      </c>
      <c r="D13281" s="5" t="s">
        <v>4453</v>
      </c>
      <c r="E13281" s="2">
        <v>3874958</v>
      </c>
      <c r="F13281" s="4" t="str">
        <f>IF(B13281=B13280,"",B13281)</f>
        <v>Puerto Natales</v>
      </c>
    </row>
    <row r="13282" spans="1:6" ht="15.75" customHeight="1">
      <c r="A13282" s="5" t="str">
        <f ca="1">IFERROR(__xludf.DUMMYFUNCTION("GOOGLETRANSLATE(B25913,""en"",""pt"")"),"Porto Natales")</f>
        <v>Porto Natales</v>
      </c>
      <c r="B13282" s="17" t="s">
        <v>4452</v>
      </c>
      <c r="C13282" s="17" t="s">
        <v>4355</v>
      </c>
      <c r="D13282" s="17" t="s">
        <v>4453</v>
      </c>
      <c r="E13282" s="10">
        <v>3874958</v>
      </c>
      <c r="F13282" s="4" t="str">
        <f>IF(B13282=B13281,"",B13282)</f>
        <v/>
      </c>
    </row>
    <row r="13283" spans="1:6" ht="15.75" customHeight="1">
      <c r="A13283" s="5" t="s">
        <v>4450</v>
      </c>
      <c r="B13283" s="6" t="s">
        <v>4450</v>
      </c>
      <c r="C13283" s="5" t="s">
        <v>4355</v>
      </c>
      <c r="D13283" s="5" t="s">
        <v>4356</v>
      </c>
      <c r="E13283" s="2">
        <v>3874960</v>
      </c>
      <c r="F13283" s="4" t="str">
        <f>IF(B13283=B13282,"",B13283)</f>
        <v>Puerto Montt</v>
      </c>
    </row>
    <row r="13284" spans="1:6" ht="15.75" customHeight="1">
      <c r="A13284" s="5" t="str">
        <f ca="1">IFERROR(__xludf.DUMMYFUNCTION("GOOGLETRANSLATE(B25914,""en"",""pt"")"),"Puerto Montt")</f>
        <v>Puerto Montt</v>
      </c>
      <c r="B13284" s="17" t="s">
        <v>4450</v>
      </c>
      <c r="C13284" s="17" t="s">
        <v>4355</v>
      </c>
      <c r="D13284" s="17" t="s">
        <v>4356</v>
      </c>
      <c r="E13284" s="10">
        <v>3874960</v>
      </c>
      <c r="F13284" s="4" t="str">
        <f>IF(B13284=B13283,"",B13284)</f>
        <v/>
      </c>
    </row>
    <row r="13285" spans="1:6" ht="15.75" customHeight="1">
      <c r="A13285" s="5" t="s">
        <v>20563</v>
      </c>
      <c r="B13285" s="6" t="s">
        <v>20563</v>
      </c>
      <c r="C13285" s="5" t="s">
        <v>20470</v>
      </c>
      <c r="D13285" s="5" t="s">
        <v>20564</v>
      </c>
      <c r="E13285" s="2">
        <v>3931470</v>
      </c>
      <c r="F13285" s="4" t="str">
        <f>IF(B13285=B13284,"",B13285)</f>
        <v>Puerto Maldonado</v>
      </c>
    </row>
    <row r="13286" spans="1:6" ht="15.75" customHeight="1">
      <c r="A13286" s="5" t="str">
        <f ca="1">IFERROR(__xludf.DUMMYFUNCTION("GOOGLETRANSLATE(B38367,""en"",""pt"")"),"Puerto Maldonado")</f>
        <v>Puerto Maldonado</v>
      </c>
      <c r="B13286" s="17" t="s">
        <v>20563</v>
      </c>
      <c r="C13286" s="17" t="s">
        <v>20470</v>
      </c>
      <c r="D13286" s="17" t="s">
        <v>20564</v>
      </c>
      <c r="E13286" s="10">
        <v>3931470</v>
      </c>
      <c r="F13286" s="4" t="str">
        <f>IF(B13286=B13285,"",B13286)</f>
        <v/>
      </c>
    </row>
    <row r="13287" spans="1:6" ht="15.75" customHeight="1">
      <c r="A13287" s="5" t="s">
        <v>745</v>
      </c>
      <c r="B13287" s="6" t="s">
        <v>745</v>
      </c>
      <c r="C13287" s="5" t="s">
        <v>558</v>
      </c>
      <c r="D13287" s="5" t="s">
        <v>622</v>
      </c>
      <c r="E13287" s="2">
        <v>3840092</v>
      </c>
      <c r="F13287" s="4" t="str">
        <f>IF(B13287=B13286,"",B13287)</f>
        <v>Puerto Madryn</v>
      </c>
    </row>
    <row r="13288" spans="1:6" ht="15.75" customHeight="1">
      <c r="A13288" s="5" t="str">
        <f ca="1">IFERROR(__xludf.DUMMYFUNCTION("GOOGLETRANSLATE(B23290,""en"",""pt"")"),"Puerto Madryn")</f>
        <v>Puerto Madryn</v>
      </c>
      <c r="B13288" s="17" t="s">
        <v>745</v>
      </c>
      <c r="C13288" s="17" t="s">
        <v>558</v>
      </c>
      <c r="D13288" s="17" t="s">
        <v>622</v>
      </c>
      <c r="E13288" s="10">
        <v>3840092</v>
      </c>
      <c r="F13288" s="4" t="str">
        <f>IF(B13288=B13287,"",B13288)</f>
        <v/>
      </c>
    </row>
    <row r="13289" spans="1:6" ht="15.75" customHeight="1">
      <c r="A13289" s="5" t="str">
        <f ca="1">IFERROR(__xludf.DUMMYFUNCTION("GOOGLETRANSLATE(B26911,""en"",""pt"")"),"Puerto López")</f>
        <v>Puerto López</v>
      </c>
      <c r="B13289" s="17" t="s">
        <v>31854</v>
      </c>
      <c r="C13289" s="17" t="s">
        <v>5348</v>
      </c>
      <c r="D13289" s="17" t="s">
        <v>5349</v>
      </c>
      <c r="E13289" s="10">
        <v>3671418</v>
      </c>
      <c r="F13289" s="4" t="str">
        <f>IF(B13289=B13288,"",B13289)</f>
        <v>Puerto López</v>
      </c>
    </row>
    <row r="13290" spans="1:6" ht="15.75" customHeight="1">
      <c r="A13290" s="5" t="s">
        <v>5567</v>
      </c>
      <c r="B13290" s="6" t="s">
        <v>5568</v>
      </c>
      <c r="C13290" s="5" t="s">
        <v>5348</v>
      </c>
      <c r="D13290" s="5" t="s">
        <v>5349</v>
      </c>
      <c r="E13290" s="2">
        <v>3671418</v>
      </c>
      <c r="F13290" s="4" t="str">
        <f>IF(B13290=B13289,"",B13290)</f>
        <v>Puerto LÃ³pez</v>
      </c>
    </row>
    <row r="13291" spans="1:6" ht="15.75" customHeight="1">
      <c r="A13291" s="5" t="s">
        <v>30741</v>
      </c>
      <c r="B13291" s="6" t="s">
        <v>30741</v>
      </c>
      <c r="C13291" s="5" t="s">
        <v>5923</v>
      </c>
      <c r="D13291" s="5" t="s">
        <v>30641</v>
      </c>
      <c r="E13291" s="2">
        <v>3629672</v>
      </c>
      <c r="F13291" s="4" t="str">
        <f>IF(B13291=B13290,"",B13291)</f>
        <v>Puerto La Cruz</v>
      </c>
    </row>
    <row r="13292" spans="1:6" ht="15.75" customHeight="1">
      <c r="A13292" s="5" t="str">
        <f ca="1">IFERROR(__xludf.DUMMYFUNCTION("GOOGLETRANSLATE(B45634,""en"",""pt"")"),"Puerto La Cruz")</f>
        <v>Puerto La Cruz</v>
      </c>
      <c r="B13292" s="17" t="s">
        <v>30741</v>
      </c>
      <c r="C13292" s="17" t="s">
        <v>5923</v>
      </c>
      <c r="D13292" s="17" t="s">
        <v>36081</v>
      </c>
      <c r="E13292" s="10">
        <v>3629672</v>
      </c>
      <c r="F13292" s="4" t="str">
        <f>IF(B13292=B13291,"",B13292)</f>
        <v/>
      </c>
    </row>
    <row r="13293" spans="1:6" ht="15.75" customHeight="1">
      <c r="A13293" s="5" t="str">
        <f ca="1">IFERROR(__xludf.DUMMYFUNCTION("GOOGLETRANSLATE(B23189,""en"",""pt"")"),"Porto Iguazú")</f>
        <v>Porto Iguazú</v>
      </c>
      <c r="B13293" s="17" t="s">
        <v>31165</v>
      </c>
      <c r="C13293" s="17" t="s">
        <v>558</v>
      </c>
      <c r="D13293" s="17" t="s">
        <v>576</v>
      </c>
      <c r="E13293" s="10">
        <v>3429777</v>
      </c>
      <c r="F13293" s="4" t="str">
        <f>IF(B13293=B13292,"",B13293)</f>
        <v>Puerto Iguazú</v>
      </c>
    </row>
    <row r="13294" spans="1:6" ht="15.75" customHeight="1">
      <c r="A13294" s="5" t="s">
        <v>743</v>
      </c>
      <c r="B13294" s="6" t="s">
        <v>744</v>
      </c>
      <c r="C13294" s="5" t="s">
        <v>558</v>
      </c>
      <c r="D13294" s="5" t="s">
        <v>576</v>
      </c>
      <c r="E13294" s="2">
        <v>3429777</v>
      </c>
      <c r="F13294" s="4" t="str">
        <f>IF(B13294=B13293,"",B13294)</f>
        <v>Puerto IguazÃº</v>
      </c>
    </row>
    <row r="13295" spans="1:6" ht="15.75" customHeight="1">
      <c r="A13295" s="5" t="s">
        <v>6462</v>
      </c>
      <c r="B13295" s="6" t="s">
        <v>6462</v>
      </c>
      <c r="C13295" s="5" t="s">
        <v>6398</v>
      </c>
      <c r="D13295" s="5" t="s">
        <v>6413</v>
      </c>
      <c r="E13295" s="2">
        <v>3652743</v>
      </c>
      <c r="F13295" s="4" t="str">
        <f>IF(B13295=B13294,"",B13295)</f>
        <v>Puerto Francisco de Orellana</v>
      </c>
    </row>
    <row r="13296" spans="1:6" ht="15.75" customHeight="1">
      <c r="A13296" s="5" t="str">
        <f ca="1">IFERROR(__xludf.DUMMYFUNCTION("GOOGLETRANSLATE(B28767,""en"",""pt"")"),"Puerto Francisco de Orellana")</f>
        <v>Puerto Francisco de Orellana</v>
      </c>
      <c r="B13296" s="17" t="s">
        <v>6462</v>
      </c>
      <c r="C13296" s="17" t="s">
        <v>6398</v>
      </c>
      <c r="D13296" s="17" t="s">
        <v>6413</v>
      </c>
      <c r="E13296" s="10">
        <v>3652743</v>
      </c>
      <c r="F13296" s="4" t="str">
        <f>IF(B13296=B13295,"",B13296)</f>
        <v/>
      </c>
    </row>
    <row r="13297" spans="1:6" ht="15.75" customHeight="1">
      <c r="A13297" s="5" t="s">
        <v>741</v>
      </c>
      <c r="B13297" s="6" t="s">
        <v>742</v>
      </c>
      <c r="C13297" s="5" t="s">
        <v>558</v>
      </c>
      <c r="D13297" s="5" t="s">
        <v>576</v>
      </c>
      <c r="E13297" s="2">
        <v>3429786</v>
      </c>
      <c r="F13297" s="4" t="str">
        <f>IF(B13297=B13296,"",B13297)</f>
        <v>Puerto Esperanza</v>
      </c>
    </row>
    <row r="13298" spans="1:6" ht="15.75" customHeight="1">
      <c r="A13298" s="5" t="str">
        <f ca="1">IFERROR(__xludf.DUMMYFUNCTION("GOOGLETRANSLATE(B23190,""en"",""pt"")"),"Porto Esperanza")</f>
        <v>Porto Esperanza</v>
      </c>
      <c r="B13298" s="17" t="s">
        <v>742</v>
      </c>
      <c r="C13298" s="17" t="s">
        <v>558</v>
      </c>
      <c r="D13298" s="17" t="s">
        <v>576</v>
      </c>
      <c r="E13298" s="10">
        <v>3429786</v>
      </c>
      <c r="F13298" s="4" t="str">
        <f>IF(B13298=B13297,"",B13298)</f>
        <v/>
      </c>
    </row>
    <row r="13299" spans="1:6" ht="15.75" customHeight="1">
      <c r="A13299" s="5" t="s">
        <v>18174</v>
      </c>
      <c r="B13299" s="6" t="s">
        <v>18174</v>
      </c>
      <c r="C13299" s="5" t="s">
        <v>17707</v>
      </c>
      <c r="D13299" s="5" t="s">
        <v>17844</v>
      </c>
      <c r="E13299" s="2">
        <v>3520994</v>
      </c>
      <c r="F13299" s="4" t="str">
        <f>IF(B13299=B13298,"",B13299)</f>
        <v>Puerto Escondido</v>
      </c>
    </row>
    <row r="13300" spans="1:6" ht="15.75" customHeight="1">
      <c r="A13300" s="5" t="str">
        <f ca="1">IFERROR(__xludf.DUMMYFUNCTION("GOOGLETRANSLATE(B36941,""en"",""pt"")"),"Puerto Escondido")</f>
        <v>Puerto Escondido</v>
      </c>
      <c r="B13300" s="17" t="s">
        <v>18174</v>
      </c>
      <c r="C13300" s="17" t="s">
        <v>17707</v>
      </c>
      <c r="D13300" s="17" t="s">
        <v>17844</v>
      </c>
      <c r="E13300" s="10">
        <v>3520994</v>
      </c>
      <c r="F13300" s="4" t="str">
        <f>IF(B13300=B13299,"",B13300)</f>
        <v/>
      </c>
    </row>
    <row r="13301" spans="1:6" ht="15.75" customHeight="1">
      <c r="A13301" s="5" t="s">
        <v>740</v>
      </c>
      <c r="B13301" s="6" t="s">
        <v>740</v>
      </c>
      <c r="C13301" s="5" t="s">
        <v>558</v>
      </c>
      <c r="D13301" s="5" t="s">
        <v>576</v>
      </c>
      <c r="E13301" s="2">
        <v>3429790</v>
      </c>
      <c r="F13301" s="4" t="str">
        <f>IF(B13301=B13300,"",B13301)</f>
        <v>Puerto Eldorado</v>
      </c>
    </row>
    <row r="13302" spans="1:6" ht="15.75" customHeight="1">
      <c r="A13302" s="5" t="str">
        <f ca="1">IFERROR(__xludf.DUMMYFUNCTION("GOOGLETRANSLATE(B23191,""en"",""pt"")"),"Porto Eldorado")</f>
        <v>Porto Eldorado</v>
      </c>
      <c r="B13302" s="17" t="s">
        <v>740</v>
      </c>
      <c r="C13302" s="17" t="s">
        <v>558</v>
      </c>
      <c r="D13302" s="17" t="s">
        <v>576</v>
      </c>
      <c r="E13302" s="10">
        <v>3429790</v>
      </c>
      <c r="F13302" s="4" t="str">
        <f>IF(B13302=B13301,"",B13302)</f>
        <v/>
      </c>
    </row>
    <row r="13303" spans="1:6" ht="15.75" customHeight="1">
      <c r="A13303" s="5" t="s">
        <v>6748</v>
      </c>
      <c r="B13303" s="6" t="s">
        <v>6748</v>
      </c>
      <c r="C13303" s="5" t="s">
        <v>6727</v>
      </c>
      <c r="D13303" s="5" t="s">
        <v>6749</v>
      </c>
      <c r="E13303" s="2">
        <v>3584003</v>
      </c>
      <c r="F13303" s="4" t="str">
        <f>IF(B13303=B13302,"",B13303)</f>
        <v>Puerto El Triunfo</v>
      </c>
    </row>
    <row r="13304" spans="1:6" ht="15.75" customHeight="1">
      <c r="A13304" s="5" t="str">
        <f ca="1">IFERROR(__xludf.DUMMYFUNCTION("GOOGLETRANSLATE(B41371,""en"",""pt"")"),"Puerto El Triunfo")</f>
        <v>Puerto El Triunfo</v>
      </c>
      <c r="B13304" s="17" t="s">
        <v>6748</v>
      </c>
      <c r="C13304" s="17" t="s">
        <v>6727</v>
      </c>
      <c r="D13304" s="17" t="s">
        <v>35714</v>
      </c>
      <c r="E13304" s="10">
        <v>3584003</v>
      </c>
      <c r="F13304" s="4" t="str">
        <f>IF(B13304=B13303,"",B13304)</f>
        <v/>
      </c>
    </row>
    <row r="13305" spans="1:6" ht="15.75" customHeight="1">
      <c r="A13305" s="5" t="s">
        <v>24722</v>
      </c>
      <c r="B13305" s="6" t="s">
        <v>24722</v>
      </c>
      <c r="C13305" s="5" t="s">
        <v>24200</v>
      </c>
      <c r="D13305" s="5" t="s">
        <v>24212</v>
      </c>
      <c r="E13305" s="2">
        <v>2512186</v>
      </c>
      <c r="F13305" s="4" t="str">
        <f>IF(B13305=B13304,"",B13305)</f>
        <v>Puerto del Rosario</v>
      </c>
    </row>
    <row r="13306" spans="1:6" ht="15.75" customHeight="1">
      <c r="A13306" s="5" t="str">
        <f ca="1">IFERROR(__xludf.DUMMYFUNCTION("GOOGLETRANSLATE(B29019,""en"",""pt"")"),"Puerto del Rosario")</f>
        <v>Puerto del Rosario</v>
      </c>
      <c r="B13306" s="17" t="s">
        <v>24722</v>
      </c>
      <c r="C13306" s="17" t="s">
        <v>24200</v>
      </c>
      <c r="D13306" s="17" t="s">
        <v>24212</v>
      </c>
      <c r="E13306" s="10">
        <v>2512186</v>
      </c>
      <c r="F13306" s="4" t="str">
        <f>IF(B13306=B13305,"",B13306)</f>
        <v/>
      </c>
    </row>
    <row r="13307" spans="1:6" ht="15.75" customHeight="1">
      <c r="A13307" s="5" t="s">
        <v>24721</v>
      </c>
      <c r="B13307" s="6" t="s">
        <v>24721</v>
      </c>
      <c r="C13307" s="5" t="s">
        <v>24200</v>
      </c>
      <c r="D13307" s="5" t="s">
        <v>24212</v>
      </c>
      <c r="E13307" s="2">
        <v>6355013</v>
      </c>
      <c r="F13307" s="4" t="str">
        <f>IF(B13307=B13306,"",B13307)</f>
        <v>Puerto del Carmen</v>
      </c>
    </row>
    <row r="13308" spans="1:6" ht="15.75" customHeight="1">
      <c r="A13308" s="5" t="str">
        <f ca="1">IFERROR(__xludf.DUMMYFUNCTION("GOOGLETRANSLATE(B29480,""en"",""pt"")"),"Puerto del Carmen")</f>
        <v>Puerto del Carmen</v>
      </c>
      <c r="B13308" s="17" t="s">
        <v>24721</v>
      </c>
      <c r="C13308" s="17" t="s">
        <v>24200</v>
      </c>
      <c r="D13308" s="17" t="s">
        <v>24212</v>
      </c>
      <c r="E13308" s="10">
        <v>6355013</v>
      </c>
      <c r="F13308" s="4" t="str">
        <f>IF(B13308=B13307,"",B13308)</f>
        <v/>
      </c>
    </row>
    <row r="13309" spans="1:6" ht="15.75" customHeight="1">
      <c r="A13309" s="5" t="s">
        <v>24720</v>
      </c>
      <c r="B13309" s="6" t="s">
        <v>24720</v>
      </c>
      <c r="C13309" s="5" t="s">
        <v>24200</v>
      </c>
      <c r="D13309" s="5" t="s">
        <v>24212</v>
      </c>
      <c r="E13309" s="2">
        <v>2512196</v>
      </c>
      <c r="F13309" s="4" t="str">
        <f>IF(B13309=B13308,"",B13309)</f>
        <v>Puerto de la Cruz</v>
      </c>
    </row>
    <row r="13310" spans="1:6" ht="15.75" customHeight="1">
      <c r="A13310" s="5" t="str">
        <f ca="1">IFERROR(__xludf.DUMMYFUNCTION("GOOGLETRANSLATE(B29020,""en"",""pt"")"),"Puerto de la Cruz")</f>
        <v>Puerto de la Cruz</v>
      </c>
      <c r="B13310" s="17" t="s">
        <v>24720</v>
      </c>
      <c r="C13310" s="17" t="s">
        <v>24200</v>
      </c>
      <c r="D13310" s="17" t="s">
        <v>24212</v>
      </c>
      <c r="E13310" s="10">
        <v>2512196</v>
      </c>
      <c r="F13310" s="4" t="str">
        <f>IF(B13310=B13309,"",B13310)</f>
        <v/>
      </c>
    </row>
    <row r="13311" spans="1:6" ht="15.75" customHeight="1">
      <c r="A13311" s="5" t="s">
        <v>9927</v>
      </c>
      <c r="B13311" s="6" t="s">
        <v>9927</v>
      </c>
      <c r="C13311" s="5" t="s">
        <v>9907</v>
      </c>
      <c r="D13311" s="5" t="s">
        <v>9908</v>
      </c>
      <c r="E13311" s="2">
        <v>3600026</v>
      </c>
      <c r="F13311" s="4" t="str">
        <f>IF(B13311=B13310,"",B13311)</f>
        <v>Puerto Cortez</v>
      </c>
    </row>
    <row r="13312" spans="1:6" ht="15.75" customHeight="1">
      <c r="A13312" s="5" t="str">
        <f ca="1">IFERROR(__xludf.DUMMYFUNCTION("GOOGLETRANSLATE(B31163,""en"",""pt"")"),"Puerto Cortez")</f>
        <v>Puerto Cortez</v>
      </c>
      <c r="B13312" s="17" t="s">
        <v>9927</v>
      </c>
      <c r="C13312" s="17" t="s">
        <v>9907</v>
      </c>
      <c r="D13312" s="17" t="s">
        <v>32793</v>
      </c>
      <c r="E13312" s="10">
        <v>3600026</v>
      </c>
      <c r="F13312" s="4" t="str">
        <f>IF(B13312=B13311,"",B13312)</f>
        <v/>
      </c>
    </row>
    <row r="13313" spans="1:6" ht="15.75" customHeight="1">
      <c r="A13313" s="5" t="s">
        <v>5565</v>
      </c>
      <c r="B13313" s="6" t="s">
        <v>5566</v>
      </c>
      <c r="C13313" s="5" t="s">
        <v>5348</v>
      </c>
      <c r="D13313" s="5" t="s">
        <v>5378</v>
      </c>
      <c r="E13313" s="2">
        <v>3671497</v>
      </c>
      <c r="F13313" s="4" t="str">
        <f>IF(B13313=B13312,"",B13313)</f>
        <v>Puerto Colombia</v>
      </c>
    </row>
    <row r="13314" spans="1:6" ht="15.75" customHeight="1">
      <c r="A13314" s="5" t="str">
        <f ca="1">IFERROR(__xludf.DUMMYFUNCTION("GOOGLETRANSLATE(B26912,""en"",""pt"")"),"Porto Colômbia")</f>
        <v>Porto Colômbia</v>
      </c>
      <c r="B13314" s="17" t="s">
        <v>5566</v>
      </c>
      <c r="C13314" s="17" t="s">
        <v>5348</v>
      </c>
      <c r="D13314" s="17" t="s">
        <v>31843</v>
      </c>
      <c r="E13314" s="10">
        <v>3671497</v>
      </c>
      <c r="F13314" s="4" t="str">
        <f>IF(B13314=B13313,"",B13314)</f>
        <v/>
      </c>
    </row>
    <row r="13315" spans="1:6" ht="15.75" customHeight="1">
      <c r="A13315" s="5" t="s">
        <v>19248</v>
      </c>
      <c r="B13315" s="6" t="s">
        <v>19248</v>
      </c>
      <c r="C13315" s="5" t="s">
        <v>19217</v>
      </c>
      <c r="D13315" s="5" t="s">
        <v>19249</v>
      </c>
      <c r="E13315" s="2">
        <v>3617154</v>
      </c>
      <c r="F13315" s="4" t="str">
        <f>IF(B13315=B13314,"",B13315)</f>
        <v>Puerto Cabezas</v>
      </c>
    </row>
    <row r="13316" spans="1:6" ht="15.75" customHeight="1">
      <c r="A13316" s="5" t="str">
        <f ca="1">IFERROR(__xludf.DUMMYFUNCTION("GOOGLETRANSLATE(B37858,""en"",""pt"")"),"Puerto Cabezas")</f>
        <v>Puerto Cabezas</v>
      </c>
      <c r="B13316" s="17" t="s">
        <v>19248</v>
      </c>
      <c r="C13316" s="17" t="s">
        <v>19217</v>
      </c>
      <c r="D13316" s="17" t="s">
        <v>34807</v>
      </c>
      <c r="E13316" s="10">
        <v>3617154</v>
      </c>
      <c r="F13316" s="4" t="str">
        <f>IF(B13316=B13315,"",B13316)</f>
        <v/>
      </c>
    </row>
    <row r="13317" spans="1:6" ht="15.75" customHeight="1">
      <c r="A13317" s="5" t="s">
        <v>30740</v>
      </c>
      <c r="B13317" s="6" t="s">
        <v>30740</v>
      </c>
      <c r="C13317" s="5" t="s">
        <v>5923</v>
      </c>
      <c r="D13317" s="5" t="s">
        <v>30693</v>
      </c>
      <c r="E13317" s="2">
        <v>3629706</v>
      </c>
      <c r="F13317" s="4" t="str">
        <f>IF(B13317=B13316,"",B13317)</f>
        <v>Puerto Cabello</v>
      </c>
    </row>
    <row r="13318" spans="1:6" ht="15.75" customHeight="1">
      <c r="A13318" s="5" t="str">
        <f ca="1">IFERROR(__xludf.DUMMYFUNCTION("GOOGLETRANSLATE(B45635,""en"",""pt"")"),"Puerto Cabello")</f>
        <v>Puerto Cabello</v>
      </c>
      <c r="B13318" s="17" t="s">
        <v>30740</v>
      </c>
      <c r="C13318" s="17" t="s">
        <v>5923</v>
      </c>
      <c r="D13318" s="17" t="s">
        <v>30693</v>
      </c>
      <c r="E13318" s="10">
        <v>3629706</v>
      </c>
      <c r="F13318" s="4" t="str">
        <f>IF(B13318=B13317,"",B13318)</f>
        <v/>
      </c>
    </row>
    <row r="13319" spans="1:6" ht="15.75" customHeight="1">
      <c r="A13319" s="5" t="s">
        <v>5563</v>
      </c>
      <c r="B13319" s="6" t="s">
        <v>5564</v>
      </c>
      <c r="C13319" s="5" t="s">
        <v>5348</v>
      </c>
      <c r="D13319" s="5" t="s">
        <v>5433</v>
      </c>
      <c r="E13319" s="2">
        <v>3671531</v>
      </c>
      <c r="F13319" s="4" t="str">
        <f>IF(B13319=B13318,"",B13319)</f>
        <v>Puerto BoyacÃ¡</v>
      </c>
    </row>
    <row r="13320" spans="1:6" ht="15.75" customHeight="1">
      <c r="A13320" s="5" t="str">
        <f ca="1">IFERROR(__xludf.DUMMYFUNCTION("GOOGLETRANSLATE(B26913,""en"",""pt"")"),"Puerto Boyacá")</f>
        <v>Puerto Boyacá</v>
      </c>
      <c r="B13320" s="17" t="s">
        <v>31855</v>
      </c>
      <c r="C13320" s="17" t="s">
        <v>5348</v>
      </c>
      <c r="D13320" s="17" t="s">
        <v>31839</v>
      </c>
      <c r="E13320" s="10">
        <v>3671531</v>
      </c>
      <c r="F13320" s="4" t="str">
        <f>IF(B13320=B13319,"",B13320)</f>
        <v>Puerto Boyacá</v>
      </c>
    </row>
    <row r="13321" spans="1:6" ht="15.75" customHeight="1">
      <c r="A13321" s="5" t="str">
        <f ca="1">IFERROR(__xludf.DUMMYFUNCTION("GOOGLETRANSLATE(B26914,""en"",""pt"")"),"Puerto Berrío")</f>
        <v>Puerto Berrío</v>
      </c>
      <c r="B13321" s="17" t="s">
        <v>31856</v>
      </c>
      <c r="C13321" s="17" t="s">
        <v>5348</v>
      </c>
      <c r="D13321" s="17" t="s">
        <v>5362</v>
      </c>
      <c r="E13321" s="10">
        <v>3671540</v>
      </c>
      <c r="F13321" s="4" t="str">
        <f>IF(B13321=B13320,"",B13321)</f>
        <v>Puerto Berrío</v>
      </c>
    </row>
    <row r="13322" spans="1:6" ht="15.75" customHeight="1">
      <c r="A13322" s="5" t="s">
        <v>5561</v>
      </c>
      <c r="B13322" s="6" t="s">
        <v>5562</v>
      </c>
      <c r="C13322" s="5" t="s">
        <v>5348</v>
      </c>
      <c r="D13322" s="5" t="s">
        <v>5362</v>
      </c>
      <c r="E13322" s="2">
        <v>3671540</v>
      </c>
      <c r="F13322" s="4" t="str">
        <f>IF(B13322=B13321,"",B13322)</f>
        <v>Puerto BerrÃ­o</v>
      </c>
    </row>
    <row r="13323" spans="1:6" ht="15.75" customHeight="1">
      <c r="A13323" s="5" t="s">
        <v>9776</v>
      </c>
      <c r="B13323" s="6" t="s">
        <v>9776</v>
      </c>
      <c r="C13323" s="5" t="s">
        <v>9700</v>
      </c>
      <c r="D13323" s="5" t="s">
        <v>9732</v>
      </c>
      <c r="E13323" s="2">
        <v>3591062</v>
      </c>
      <c r="F13323" s="4" t="str">
        <f>IF(B13323=B13322,"",B13323)</f>
        <v>Puerto Barrios</v>
      </c>
    </row>
    <row r="13324" spans="1:6" ht="15.75" customHeight="1">
      <c r="A13324" s="5" t="str">
        <f ca="1">IFERROR(__xludf.DUMMYFUNCTION("GOOGLETRANSLATE(B31093,""en"",""pt"")"),"Puerto Barrios")</f>
        <v>Puerto Barrios</v>
      </c>
      <c r="B13324" s="17" t="s">
        <v>9776</v>
      </c>
      <c r="C13324" s="17" t="s">
        <v>9700</v>
      </c>
      <c r="D13324" s="17" t="s">
        <v>9732</v>
      </c>
      <c r="E13324" s="10">
        <v>3591062</v>
      </c>
      <c r="F13324" s="4" t="str">
        <f>IF(B13324=B13323,"",B13324)</f>
        <v/>
      </c>
    </row>
    <row r="13325" spans="1:6" ht="15.75" customHeight="1">
      <c r="A13325" s="5" t="s">
        <v>30739</v>
      </c>
      <c r="B13325" s="6" t="s">
        <v>30739</v>
      </c>
      <c r="C13325" s="5" t="s">
        <v>5923</v>
      </c>
      <c r="D13325" s="5" t="s">
        <v>2287</v>
      </c>
      <c r="E13325" s="2">
        <v>3629710</v>
      </c>
      <c r="F13325" s="4" t="str">
        <f>IF(B13325=B13324,"",B13325)</f>
        <v>Puerto Ayacucho</v>
      </c>
    </row>
    <row r="13326" spans="1:6" ht="15.75" customHeight="1">
      <c r="A13326" s="5" t="str">
        <f ca="1">IFERROR(__xludf.DUMMYFUNCTION("GOOGLETRANSLATE(B45636,""en"",""pt"")"),"Puerto Ayacucho")</f>
        <v>Puerto Ayacucho</v>
      </c>
      <c r="B13326" s="17" t="s">
        <v>30739</v>
      </c>
      <c r="C13326" s="17" t="s">
        <v>5923</v>
      </c>
      <c r="D13326" s="17" t="s">
        <v>2287</v>
      </c>
      <c r="E13326" s="10">
        <v>3629710</v>
      </c>
      <c r="F13326" s="4" t="str">
        <f>IF(B13326=B13325,"",B13326)</f>
        <v/>
      </c>
    </row>
    <row r="13327" spans="1:6" ht="15.75" customHeight="1">
      <c r="A13327" s="5" t="str">
        <f ca="1">IFERROR(__xludf.DUMMYFUNCTION("GOOGLETRANSLATE(B26915,""en"",""pt"")"),"Puerto como")</f>
        <v>Puerto como</v>
      </c>
      <c r="B13327" s="17" t="s">
        <v>31857</v>
      </c>
      <c r="C13327" s="17" t="s">
        <v>5348</v>
      </c>
      <c r="D13327" s="17" t="s">
        <v>5529</v>
      </c>
      <c r="E13327" s="10">
        <v>3671549</v>
      </c>
      <c r="F13327" s="4" t="str">
        <f>IF(B13327=B13326,"",B13327)</f>
        <v>Puerto Asís</v>
      </c>
    </row>
    <row r="13328" spans="1:6" ht="15.75" customHeight="1">
      <c r="A13328" s="5" t="s">
        <v>5559</v>
      </c>
      <c r="B13328" s="6" t="s">
        <v>5560</v>
      </c>
      <c r="C13328" s="5" t="s">
        <v>5348</v>
      </c>
      <c r="D13328" s="5" t="s">
        <v>5529</v>
      </c>
      <c r="E13328" s="2">
        <v>3671549</v>
      </c>
      <c r="F13328" s="4" t="str">
        <f>IF(B13328=B13327,"",B13328)</f>
        <v>Puerto AsÃ­s</v>
      </c>
    </row>
    <row r="13329" spans="1:6" ht="15.75" customHeight="1">
      <c r="A13329" s="5" t="s">
        <v>20399</v>
      </c>
      <c r="B13329" s="6" t="s">
        <v>20399</v>
      </c>
      <c r="C13329" s="5" t="s">
        <v>20370</v>
      </c>
      <c r="D13329" s="5" t="s">
        <v>20387</v>
      </c>
      <c r="E13329" s="2">
        <v>3702431</v>
      </c>
      <c r="F13329" s="4" t="str">
        <f>IF(B13329=B13328,"",B13329)</f>
        <v>Puerto Armuelles</v>
      </c>
    </row>
    <row r="13330" spans="1:6" ht="15.75" customHeight="1">
      <c r="A13330" s="5" t="str">
        <f ca="1">IFERROR(__xludf.DUMMYFUNCTION("GOOGLETRANSLATE(B38282,""en"",""pt"")"),"Puerto Armuelles")</f>
        <v>Puerto Armuelles</v>
      </c>
      <c r="B13330" s="17" t="s">
        <v>20399</v>
      </c>
      <c r="C13330" s="17" t="s">
        <v>20370</v>
      </c>
      <c r="D13330" s="17" t="s">
        <v>34861</v>
      </c>
      <c r="E13330" s="10">
        <v>3702431</v>
      </c>
      <c r="F13330" s="4" t="str">
        <f>IF(B13330=B13329,"",B13330)</f>
        <v/>
      </c>
    </row>
    <row r="13331" spans="1:6" ht="15.75" customHeight="1">
      <c r="A13331" s="5" t="str">
        <f ca="1">IFERROR(__xludf.DUMMYFUNCTION("GOOGLETRANSLATE(B25915,""en"",""pt"")"),"Puerto Aisén")</f>
        <v>Puerto Aisén</v>
      </c>
      <c r="B13331" s="17" t="s">
        <v>31799</v>
      </c>
      <c r="C13331" s="17" t="s">
        <v>4355</v>
      </c>
      <c r="D13331" s="17" t="s">
        <v>31800</v>
      </c>
      <c r="E13331" s="10">
        <v>3874997</v>
      </c>
      <c r="F13331" s="4" t="str">
        <f>IF(B13331=B13330,"",B13331)</f>
        <v>Puerto Aisén</v>
      </c>
    </row>
    <row r="13332" spans="1:6" ht="15.75" customHeight="1">
      <c r="A13332" s="5" t="s">
        <v>4448</v>
      </c>
      <c r="B13332" s="6" t="s">
        <v>4449</v>
      </c>
      <c r="C13332" s="5" t="s">
        <v>4355</v>
      </c>
      <c r="D13332" s="5" t="s">
        <v>4381</v>
      </c>
      <c r="E13332" s="2">
        <v>3874997</v>
      </c>
      <c r="F13332" s="4" t="str">
        <f>IF(B13332=B13331,"",B13332)</f>
        <v>Puerto AisÃ©n</v>
      </c>
    </row>
    <row r="13333" spans="1:6" ht="15.75" customHeight="1">
      <c r="A13333" s="5" t="s">
        <v>24719</v>
      </c>
      <c r="B13333" s="6" t="s">
        <v>24719</v>
      </c>
      <c r="C13333" s="5" t="s">
        <v>24200</v>
      </c>
      <c r="D13333" s="5" t="s">
        <v>24205</v>
      </c>
      <c r="E13333" s="2">
        <v>2512232</v>
      </c>
      <c r="F13333" s="4" t="str">
        <f>IF(B13333=B13332,"",B13333)</f>
        <v>Puente-Genil</v>
      </c>
    </row>
    <row r="13334" spans="1:6" ht="15.75" customHeight="1">
      <c r="A13334" s="5" t="str">
        <f ca="1">IFERROR(__xludf.DUMMYFUNCTION("GOOGLETRANSLATE(B29021,""en"",""pt"")"),"Puente-Genil")</f>
        <v>Puente-Genil</v>
      </c>
      <c r="B13334" s="17" t="s">
        <v>24719</v>
      </c>
      <c r="C13334" s="17" t="s">
        <v>24200</v>
      </c>
      <c r="D13334" s="17" t="s">
        <v>24205</v>
      </c>
      <c r="E13334" s="10">
        <v>2512232</v>
      </c>
      <c r="F13334" s="4" t="str">
        <f>IF(B13334=B13333,"",B13334)</f>
        <v/>
      </c>
    </row>
    <row r="13335" spans="1:6" ht="15.75" customHeight="1">
      <c r="A13335" s="5" t="s">
        <v>24718</v>
      </c>
      <c r="B13335" s="6" t="s">
        <v>24718</v>
      </c>
      <c r="C13335" s="5" t="s">
        <v>24200</v>
      </c>
      <c r="D13335" s="5" t="s">
        <v>5513</v>
      </c>
      <c r="E13335" s="2">
        <v>3112737</v>
      </c>
      <c r="F13335" s="4" t="str">
        <f>IF(B13335=B13334,"",B13335)</f>
        <v>Puente de Vallecas</v>
      </c>
    </row>
    <row r="13336" spans="1:6" ht="15.75" customHeight="1">
      <c r="A13336" s="5" t="str">
        <f ca="1">IFERROR(__xludf.DUMMYFUNCTION("GOOGLETRANSLATE(B29318,""en"",""pt"")"),"Puente de Vallecas")</f>
        <v>Puente de Vallecas</v>
      </c>
      <c r="B13336" s="17" t="s">
        <v>24718</v>
      </c>
      <c r="C13336" s="17" t="s">
        <v>24200</v>
      </c>
      <c r="D13336" s="17" t="s">
        <v>5513</v>
      </c>
      <c r="E13336" s="10">
        <v>3112737</v>
      </c>
      <c r="F13336" s="4" t="str">
        <f>IF(B13336=B13335,"",B13336)</f>
        <v/>
      </c>
    </row>
    <row r="13337" spans="1:6" ht="15.75" customHeight="1">
      <c r="A13337" s="5" t="s">
        <v>18173</v>
      </c>
      <c r="B13337" s="6" t="s">
        <v>18173</v>
      </c>
      <c r="C13337" s="5" t="s">
        <v>17707</v>
      </c>
      <c r="D13337" s="5" t="s">
        <v>17780</v>
      </c>
      <c r="E13337" s="2">
        <v>3521051</v>
      </c>
      <c r="F13337" s="4" t="str">
        <f>IF(B13337=B13336,"",B13337)</f>
        <v>Puente de Ixtla</v>
      </c>
    </row>
    <row r="13338" spans="1:6" ht="15.75" customHeight="1">
      <c r="A13338" s="5" t="str">
        <f ca="1">IFERROR(__xludf.DUMMYFUNCTION("GOOGLETRANSLATE(B36942,""en"",""pt"")"),"Puente de Ixtla")</f>
        <v>Puente de Ixtla</v>
      </c>
      <c r="B13338" s="17" t="s">
        <v>18173</v>
      </c>
      <c r="C13338" s="17" t="s">
        <v>17707</v>
      </c>
      <c r="D13338" s="17" t="s">
        <v>17780</v>
      </c>
      <c r="E13338" s="10">
        <v>3521051</v>
      </c>
      <c r="F13338" s="4" t="str">
        <f>IF(B13338=B13337,"",B13338)</f>
        <v/>
      </c>
    </row>
    <row r="13339" spans="1:6" ht="15.75" customHeight="1">
      <c r="A13339" s="5" t="s">
        <v>4447</v>
      </c>
      <c r="B13339" s="6" t="s">
        <v>4447</v>
      </c>
      <c r="C13339" s="5" t="s">
        <v>4355</v>
      </c>
      <c r="D13339" s="5" t="s">
        <v>4366</v>
      </c>
      <c r="E13339" s="2">
        <v>3875024</v>
      </c>
      <c r="F13339" s="4" t="str">
        <f>IF(B13339=B13338,"",B13339)</f>
        <v>Puente Alto</v>
      </c>
    </row>
    <row r="13340" spans="1:6" ht="15.75" customHeight="1">
      <c r="A13340" s="5" t="str">
        <f ca="1">IFERROR(__xludf.DUMMYFUNCTION("GOOGLETRANSLATE(B25916,""en"",""pt"")"),"Puente Alto")</f>
        <v>Puente Alto</v>
      </c>
      <c r="B13340" s="17" t="s">
        <v>4447</v>
      </c>
      <c r="C13340" s="17" t="s">
        <v>4355</v>
      </c>
      <c r="D13340" s="17" t="s">
        <v>4366</v>
      </c>
      <c r="E13340" s="10">
        <v>3875024</v>
      </c>
      <c r="F13340" s="4" t="str">
        <f>IF(B13340=B13339,"",B13340)</f>
        <v/>
      </c>
    </row>
    <row r="13341" spans="1:6" ht="15.75" customHeight="1">
      <c r="A13341" s="5" t="s">
        <v>29754</v>
      </c>
      <c r="B13341" s="6" t="s">
        <v>29754</v>
      </c>
      <c r="C13341" s="5" t="s">
        <v>27788</v>
      </c>
      <c r="D13341" s="5" t="s">
        <v>2341</v>
      </c>
      <c r="E13341" s="2">
        <v>5435477</v>
      </c>
      <c r="F13341" s="4" t="str">
        <f>IF(B13341=B13340,"",B13341)</f>
        <v>Pueblo West</v>
      </c>
    </row>
    <row r="13342" spans="1:6" ht="15.75" customHeight="1">
      <c r="A13342" s="5" t="str">
        <f ca="1">IFERROR(__xludf.DUMMYFUNCTION("GOOGLETRANSLATE(B45117,""en"",""pt"")"),"Pueblo West")</f>
        <v>Pueblo West</v>
      </c>
      <c r="B13342" s="17" t="s">
        <v>29754</v>
      </c>
      <c r="C13342" s="17" t="s">
        <v>27788</v>
      </c>
      <c r="D13342" s="17" t="s">
        <v>2341</v>
      </c>
      <c r="E13342" s="10">
        <v>5435477</v>
      </c>
      <c r="F13342" s="4" t="str">
        <f>IF(B13342=B13341,"",B13342)</f>
        <v/>
      </c>
    </row>
    <row r="13343" spans="1:6" ht="15.75" customHeight="1">
      <c r="A13343" s="5" t="s">
        <v>18172</v>
      </c>
      <c r="B13343" s="6" t="s">
        <v>18172</v>
      </c>
      <c r="C13343" s="5" t="s">
        <v>17707</v>
      </c>
      <c r="D13343" s="5" t="s">
        <v>17954</v>
      </c>
      <c r="E13343" s="2">
        <v>4007676</v>
      </c>
      <c r="F13343" s="4" t="str">
        <f>IF(B13343=B13342,"",B13343)</f>
        <v>Pueblo Nuevo</v>
      </c>
    </row>
    <row r="13344" spans="1:6" ht="15.75" customHeight="1">
      <c r="A13344" s="5" t="str">
        <f ca="1">IFERROR(__xludf.DUMMYFUNCTION("GOOGLETRANSLATE(B37301,""en"",""pt"")"),"Pueblo Nuevo")</f>
        <v>Pueblo Nuevo</v>
      </c>
      <c r="B13344" s="17" t="s">
        <v>18172</v>
      </c>
      <c r="C13344" s="17" t="s">
        <v>17707</v>
      </c>
      <c r="D13344" s="17" t="s">
        <v>17954</v>
      </c>
      <c r="E13344" s="10">
        <v>4007676</v>
      </c>
      <c r="F13344" s="4" t="str">
        <f>IF(B13344=B13343,"",B13344)</f>
        <v/>
      </c>
    </row>
    <row r="13345" spans="1:6" ht="15.75" customHeight="1">
      <c r="A13345" s="6" t="s">
        <v>29753</v>
      </c>
      <c r="B13345" s="6" t="s">
        <v>29753</v>
      </c>
      <c r="C13345" s="6" t="s">
        <v>27788</v>
      </c>
      <c r="D13345" s="6" t="s">
        <v>2341</v>
      </c>
      <c r="E13345" s="2">
        <v>5435464</v>
      </c>
      <c r="F13345" s="4" t="str">
        <f>IF(B13345=B13344,"",B13345)</f>
        <v>Pueblo</v>
      </c>
    </row>
    <row r="13346" spans="1:6" ht="15.75" customHeight="1">
      <c r="A13346" s="5" t="str">
        <f ca="1">IFERROR(__xludf.DUMMYFUNCTION("GOOGLETRANSLATE(B45116,""en"",""pt"")"),"Pueblo")</f>
        <v>Pueblo</v>
      </c>
      <c r="B13346" s="17" t="s">
        <v>29753</v>
      </c>
      <c r="C13346" s="17" t="s">
        <v>27788</v>
      </c>
      <c r="D13346" s="17" t="s">
        <v>2341</v>
      </c>
      <c r="E13346" s="10">
        <v>5435464</v>
      </c>
      <c r="F13346" s="4" t="str">
        <f>IF(B13346=B13345,"",B13346)</f>
        <v/>
      </c>
    </row>
    <row r="13347" spans="1:6" ht="15.75" customHeight="1">
      <c r="A13347" s="6" t="s">
        <v>17717</v>
      </c>
      <c r="B13347" s="6" t="s">
        <v>17717</v>
      </c>
      <c r="C13347" s="6" t="s">
        <v>17707</v>
      </c>
      <c r="D13347" s="6" t="s">
        <v>17717</v>
      </c>
      <c r="E13347" s="2">
        <v>3521081</v>
      </c>
      <c r="F13347" s="4" t="str">
        <f>IF(B13347=B13346,"",B13347)</f>
        <v>Puebla</v>
      </c>
    </row>
    <row r="13348" spans="1:6" ht="15.75" customHeight="1">
      <c r="A13348" s="5" t="str">
        <f ca="1">IFERROR(__xludf.DUMMYFUNCTION("GOOGLETRANSLATE(B36943,""en"",""pt"")"),"Puebla")</f>
        <v>Puebla</v>
      </c>
      <c r="B13348" s="17" t="s">
        <v>17717</v>
      </c>
      <c r="C13348" s="17" t="s">
        <v>17707</v>
      </c>
      <c r="D13348" s="17" t="s">
        <v>17717</v>
      </c>
      <c r="E13348" s="10">
        <v>3521081</v>
      </c>
      <c r="F13348" s="4" t="str">
        <f>IF(B13348=B13347,"",B13348)</f>
        <v/>
      </c>
    </row>
    <row r="13349" spans="1:6" ht="15.75" customHeight="1">
      <c r="A13349" s="5" t="s">
        <v>12931</v>
      </c>
      <c r="B13349" s="6" t="s">
        <v>12931</v>
      </c>
      <c r="C13349" s="5" t="s">
        <v>10178</v>
      </c>
      <c r="D13349" s="5" t="s">
        <v>10196</v>
      </c>
      <c r="E13349" s="2">
        <v>1259297</v>
      </c>
      <c r="F13349" s="4" t="str">
        <f>IF(B13349=B13348,"",B13349)</f>
        <v>Pudukkottai</v>
      </c>
    </row>
    <row r="13350" spans="1:6" ht="15.75" customHeight="1">
      <c r="A13350" s="5" t="str">
        <f ca="1">IFERROR(__xludf.DUMMYFUNCTION("GOOGLETRANSLATE(B32430,""en"",""pt"")"),"Pudukkottai")</f>
        <v>Pudukkottai</v>
      </c>
      <c r="B13350" s="17" t="s">
        <v>12931</v>
      </c>
      <c r="C13350" s="17" t="s">
        <v>10178</v>
      </c>
      <c r="D13350" s="17" t="s">
        <v>10196</v>
      </c>
      <c r="E13350" s="10">
        <v>1259297</v>
      </c>
      <c r="F13350" s="4" t="str">
        <f>IF(B13350=B13349,"",B13350)</f>
        <v/>
      </c>
    </row>
    <row r="13351" spans="1:6" ht="15.75" customHeight="1">
      <c r="A13351" s="5" t="s">
        <v>12930</v>
      </c>
      <c r="B13351" s="6" t="s">
        <v>12930</v>
      </c>
      <c r="C13351" s="5" t="s">
        <v>10178</v>
      </c>
      <c r="D13351" s="5" t="s">
        <v>11769</v>
      </c>
      <c r="E13351" s="2">
        <v>1259425</v>
      </c>
      <c r="F13351" s="4" t="str">
        <f>IF(B13351=B13350,"",B13351)</f>
        <v>Puducherry</v>
      </c>
    </row>
    <row r="13352" spans="1:6" ht="15.75" customHeight="1">
      <c r="A13352" s="5" t="str">
        <f ca="1">IFERROR(__xludf.DUMMYFUNCTION("GOOGLETRANSLATE(B32440,""en"",""pt"")"),"Puducherry")</f>
        <v>Puducherry</v>
      </c>
      <c r="B13352" s="17" t="s">
        <v>12930</v>
      </c>
      <c r="C13352" s="17" t="s">
        <v>10178</v>
      </c>
      <c r="D13352" s="17" t="s">
        <v>11769</v>
      </c>
      <c r="E13352" s="10">
        <v>1259425</v>
      </c>
      <c r="F13352" s="4" t="str">
        <f>IF(B13352=B13351,"",B13352)</f>
        <v/>
      </c>
    </row>
    <row r="13353" spans="1:6" ht="15.75" customHeight="1">
      <c r="A13353" s="6" t="s">
        <v>27617</v>
      </c>
      <c r="B13353" s="6" t="s">
        <v>27617</v>
      </c>
      <c r="C13353" s="6" t="s">
        <v>27234</v>
      </c>
      <c r="D13353" s="6" t="s">
        <v>27241</v>
      </c>
      <c r="E13353" s="2">
        <v>2639866</v>
      </c>
      <c r="F13353" s="4" t="str">
        <f>IF(B13353=B13352,"",B13353)</f>
        <v>Pudsey</v>
      </c>
    </row>
    <row r="13354" spans="1:6" ht="15.75" customHeight="1">
      <c r="A13354" s="5" t="str">
        <f ca="1">IFERROR(__xludf.DUMMYFUNCTION("GOOGLETRANSLATE(B30460,""en"",""pt"")"),"Pudsey")</f>
        <v>Pudsey</v>
      </c>
      <c r="B13354" s="17" t="s">
        <v>27617</v>
      </c>
      <c r="C13354" s="17" t="s">
        <v>27234</v>
      </c>
      <c r="D13354" s="17" t="s">
        <v>27241</v>
      </c>
      <c r="E13354" s="10">
        <v>2639866</v>
      </c>
      <c r="F13354" s="4" t="str">
        <f>IF(B13354=B13353,"",B13354)</f>
        <v/>
      </c>
    </row>
    <row r="13355" spans="1:6" ht="15.75" customHeight="1">
      <c r="A13355" s="5" t="str">
        <f ca="1">IFERROR(__xludf.DUMMYFUNCTION("GOOGLETRANSLATE(B25917,""en"",""pt"")"),"Pucón")</f>
        <v>Pucón</v>
      </c>
      <c r="B13355" s="17" t="s">
        <v>31801</v>
      </c>
      <c r="C13355" s="17" t="s">
        <v>4355</v>
      </c>
      <c r="D13355" s="17" t="s">
        <v>31794</v>
      </c>
      <c r="E13355" s="10">
        <v>3875070</v>
      </c>
      <c r="F13355" s="4" t="str">
        <f>IF(B13355=B13354,"",B13355)</f>
        <v>Pucón</v>
      </c>
    </row>
    <row r="13356" spans="1:6" ht="15.75" customHeight="1">
      <c r="A13356" s="5" t="str">
        <f ca="1">IFERROR(__xludf.DUMMYFUNCTION("GOOGLETRANSLATE(B29016,""en"",""pt"")"),"Puçol")</f>
        <v>Puçol</v>
      </c>
      <c r="B13356" s="17" t="s">
        <v>32361</v>
      </c>
      <c r="C13356" s="17" t="s">
        <v>24200</v>
      </c>
      <c r="D13356" s="17" t="s">
        <v>21053</v>
      </c>
      <c r="E13356" s="10">
        <v>2512127</v>
      </c>
      <c r="F13356" s="4" t="str">
        <f>IF(B13356=B13355,"",B13356)</f>
        <v>Puçol</v>
      </c>
    </row>
    <row r="13357" spans="1:6" ht="15.75" customHeight="1">
      <c r="A13357" s="5" t="str">
        <f ca="1">IFERROR(__xludf.DUMMYFUNCTION("GOOGLETRANSLATE(B41245,""en"",""pt"")"),"Púchov")</f>
        <v>Púchov</v>
      </c>
      <c r="B13357" s="17" t="s">
        <v>35684</v>
      </c>
      <c r="C13357" s="17" t="s">
        <v>23694</v>
      </c>
      <c r="D13357" s="17" t="s">
        <v>23715</v>
      </c>
      <c r="E13357" s="10">
        <v>3057963</v>
      </c>
      <c r="F13357" s="4" t="str">
        <f>IF(B13357=B13356,"",B13357)</f>
        <v>Púchov</v>
      </c>
    </row>
    <row r="13358" spans="1:6" ht="15.75" customHeight="1">
      <c r="A13358" s="5" t="s">
        <v>9009</v>
      </c>
      <c r="B13358" s="6" t="s">
        <v>9009</v>
      </c>
      <c r="C13358" s="5" t="s">
        <v>8028</v>
      </c>
      <c r="D13358" s="5" t="s">
        <v>8044</v>
      </c>
      <c r="E13358" s="2">
        <v>2851782</v>
      </c>
      <c r="F13358" s="4" t="str">
        <f>IF(B13358=B13357,"",B13358)</f>
        <v>Puchheim</v>
      </c>
    </row>
    <row r="13359" spans="1:6" ht="15.75" customHeight="1">
      <c r="A13359" s="5" t="str">
        <f ca="1">IFERROR(__xludf.DUMMYFUNCTION("GOOGLETRANSLATE(B27635,""en"",""pt"")"),"Puchheim")</f>
        <v>Puchheim</v>
      </c>
      <c r="B13359" s="17" t="s">
        <v>9009</v>
      </c>
      <c r="C13359" s="17" t="s">
        <v>8028</v>
      </c>
      <c r="D13359" s="17" t="s">
        <v>8044</v>
      </c>
      <c r="E13359" s="10">
        <v>2851782</v>
      </c>
      <c r="F13359" s="4" t="str">
        <f>IF(B13359=B13358,"",B13359)</f>
        <v/>
      </c>
    </row>
    <row r="13360" spans="1:6" ht="15.75" customHeight="1">
      <c r="A13360" s="6" t="s">
        <v>5002</v>
      </c>
      <c r="B13360" s="6" t="s">
        <v>5002</v>
      </c>
      <c r="C13360" s="6" t="s">
        <v>4487</v>
      </c>
      <c r="D13360" s="6" t="s">
        <v>4591</v>
      </c>
      <c r="E13360" s="2">
        <v>1799832</v>
      </c>
      <c r="F13360" s="4" t="str">
        <f>IF(B13360=B13359,"",B13360)</f>
        <v>Pucheng</v>
      </c>
    </row>
    <row r="13361" spans="1:6" ht="15.75" customHeight="1">
      <c r="A13361" s="5" t="str">
        <f ca="1">IFERROR(__xludf.DUMMYFUNCTION("GOOGLETRANSLATE(B26338,""en"",""pt"")"),"Pucheng")</f>
        <v>Pucheng</v>
      </c>
      <c r="B13361" s="17" t="s">
        <v>5002</v>
      </c>
      <c r="C13361" s="17" t="s">
        <v>4487</v>
      </c>
      <c r="D13361" s="17" t="s">
        <v>4591</v>
      </c>
      <c r="E13361" s="10">
        <v>1799832</v>
      </c>
      <c r="F13361" s="4" t="str">
        <f>IF(B13361=B13360,"",B13361)</f>
        <v/>
      </c>
    </row>
    <row r="13362" spans="1:6" ht="15.75" customHeight="1">
      <c r="A13362" s="6" t="s">
        <v>20561</v>
      </c>
      <c r="B13362" s="6" t="s">
        <v>20561</v>
      </c>
      <c r="C13362" s="6" t="s">
        <v>20470</v>
      </c>
      <c r="D13362" s="6" t="s">
        <v>20562</v>
      </c>
      <c r="E13362" s="2">
        <v>3693345</v>
      </c>
      <c r="F13362" s="4" t="str">
        <f>IF(B13362=B13361,"",B13362)</f>
        <v>Pucallpa</v>
      </c>
    </row>
    <row r="13363" spans="1:6" ht="15.75" customHeight="1">
      <c r="A13363" s="5" t="str">
        <f ca="1">IFERROR(__xludf.DUMMYFUNCTION("GOOGLETRANSLATE(B38317,""en"",""pt"")"),"Pucallpa")</f>
        <v>Pucallpa</v>
      </c>
      <c r="B13363" s="17" t="s">
        <v>20561</v>
      </c>
      <c r="C13363" s="17" t="s">
        <v>20470</v>
      </c>
      <c r="D13363" s="17" t="s">
        <v>20562</v>
      </c>
      <c r="E13363" s="10">
        <v>3693345</v>
      </c>
      <c r="F13363" s="4" t="str">
        <f>IF(B13363=B13362,"",B13363)</f>
        <v/>
      </c>
    </row>
    <row r="13364" spans="1:6" ht="15.75" customHeight="1">
      <c r="A13364" s="6" t="s">
        <v>4445</v>
      </c>
      <c r="B13364" s="6" t="s">
        <v>4446</v>
      </c>
      <c r="C13364" s="6" t="s">
        <v>4355</v>
      </c>
      <c r="D13364" s="6" t="s">
        <v>4358</v>
      </c>
      <c r="E13364" s="2">
        <v>3875070</v>
      </c>
      <c r="F13364" s="4" t="str">
        <f>IF(B13364=B13363,"",B13364)</f>
        <v>PucÃ³n</v>
      </c>
    </row>
    <row r="13365" spans="1:6" ht="15.75" customHeight="1">
      <c r="A13365" s="6" t="s">
        <v>24132</v>
      </c>
      <c r="B13365" s="6" t="s">
        <v>24132</v>
      </c>
      <c r="C13365" s="6" t="s">
        <v>24024</v>
      </c>
      <c r="D13365" s="6" t="s">
        <v>24028</v>
      </c>
      <c r="E13365" s="2">
        <v>1896953</v>
      </c>
      <c r="F13365" s="4" t="str">
        <f>IF(B13365=B13364,"",B13365)</f>
        <v>Pubal</v>
      </c>
    </row>
    <row r="13366" spans="1:6" ht="15.75" customHeight="1">
      <c r="A13366" s="5" t="str">
        <f ca="1">IFERROR(__xludf.DUMMYFUNCTION("GOOGLETRANSLATE(B36152,""en"",""pt"")"),"Pubal")</f>
        <v>Pubal</v>
      </c>
      <c r="B13366" s="17" t="s">
        <v>24132</v>
      </c>
      <c r="C13366" s="17" t="s">
        <v>24024</v>
      </c>
      <c r="D13366" s="17" t="s">
        <v>24028</v>
      </c>
      <c r="E13366" s="10">
        <v>1896953</v>
      </c>
      <c r="F13366" s="4" t="str">
        <f>IF(B13366=B13365,"",B13366)</f>
        <v/>
      </c>
    </row>
    <row r="13367" spans="1:6" ht="15.75" customHeight="1">
      <c r="A13367" s="6" t="s">
        <v>24131</v>
      </c>
      <c r="B13367" s="6" t="s">
        <v>24131</v>
      </c>
      <c r="C13367" s="6" t="s">
        <v>24024</v>
      </c>
      <c r="D13367" s="6" t="s">
        <v>24042</v>
      </c>
      <c r="E13367" s="2">
        <v>1838722</v>
      </c>
      <c r="F13367" s="4" t="str">
        <f>IF(B13367=B13366,"",B13367)</f>
        <v>Puan</v>
      </c>
    </row>
    <row r="13368" spans="1:6" ht="15.75" customHeight="1">
      <c r="A13368" s="5" t="str">
        <f ca="1">IFERROR(__xludf.DUMMYFUNCTION("GOOGLETRANSLATE(B36082,""en"",""pt"")"),"Puan")</f>
        <v>Puan</v>
      </c>
      <c r="B13368" s="17" t="s">
        <v>24131</v>
      </c>
      <c r="C13368" s="17" t="s">
        <v>24024</v>
      </c>
      <c r="D13368" s="17" t="s">
        <v>24042</v>
      </c>
      <c r="E13368" s="10">
        <v>1838722</v>
      </c>
      <c r="F13368" s="4" t="str">
        <f>IF(B13368=B13367,"",B13368)</f>
        <v/>
      </c>
    </row>
    <row r="13369" spans="1:6" ht="15.75" customHeight="1">
      <c r="A13369" s="6" t="s">
        <v>24716</v>
      </c>
      <c r="B13369" s="6" t="s">
        <v>24717</v>
      </c>
      <c r="C13369" s="6" t="s">
        <v>24200</v>
      </c>
      <c r="D13369" s="6" t="s">
        <v>21053</v>
      </c>
      <c r="E13369" s="2">
        <v>2512127</v>
      </c>
      <c r="F13369" s="4" t="str">
        <f>IF(B13369=B13368,"",B13369)</f>
        <v>PuÃ§ol</v>
      </c>
    </row>
    <row r="13370" spans="1:6" ht="15.75" customHeight="1">
      <c r="A13370" s="6" t="s">
        <v>21451</v>
      </c>
      <c r="B13370" s="6" t="s">
        <v>21452</v>
      </c>
      <c r="C13370" s="6" t="s">
        <v>21064</v>
      </c>
      <c r="D13370" s="6" t="s">
        <v>21070</v>
      </c>
      <c r="E13370" s="2">
        <v>760917</v>
      </c>
      <c r="F13370" s="4" t="str">
        <f>IF(B13370=B13369,"",B13370)</f>
        <v>PuÅ‚tusk</v>
      </c>
    </row>
    <row r="13371" spans="1:6" ht="15.75" customHeight="1">
      <c r="A13371" s="6" t="s">
        <v>21449</v>
      </c>
      <c r="B13371" s="6" t="s">
        <v>21450</v>
      </c>
      <c r="C13371" s="6" t="s">
        <v>21064</v>
      </c>
      <c r="D13371" s="6" t="s">
        <v>21091</v>
      </c>
      <c r="E13371" s="2">
        <v>760924</v>
      </c>
      <c r="F13371" s="4" t="str">
        <f>IF(B13371=B13370,"",B13371)</f>
        <v>PuÅ‚awy</v>
      </c>
    </row>
    <row r="13372" spans="1:6" ht="15.75" customHeight="1">
      <c r="A13372" s="6" t="s">
        <v>23793</v>
      </c>
      <c r="B13372" s="6" t="s">
        <v>23793</v>
      </c>
      <c r="C13372" s="6" t="s">
        <v>23786</v>
      </c>
      <c r="D13372" s="6" t="s">
        <v>23793</v>
      </c>
      <c r="E13372" s="2">
        <v>3192241</v>
      </c>
      <c r="F13372" s="4" t="str">
        <f>IF(B13372=B13371,"",B13372)</f>
        <v>Ptuj</v>
      </c>
    </row>
    <row r="13373" spans="1:6" ht="15.75" customHeight="1">
      <c r="A13373" s="5" t="str">
        <f ca="1">IFERROR(__xludf.DUMMYFUNCTION("GOOGLETRANSLATE(B41213,""en"",""pt"")"),"Ptuj")</f>
        <v>Ptuj</v>
      </c>
      <c r="B13373" s="17" t="s">
        <v>23793</v>
      </c>
      <c r="C13373" s="17" t="s">
        <v>23786</v>
      </c>
      <c r="D13373" s="17" t="s">
        <v>23793</v>
      </c>
      <c r="E13373" s="10">
        <v>3192241</v>
      </c>
      <c r="F13373" s="4" t="str">
        <f>IF(B13373=B13372,"",B13373)</f>
        <v/>
      </c>
    </row>
    <row r="13374" spans="1:6" ht="15.75" customHeight="1">
      <c r="A13374" s="5" t="str">
        <f ca="1">IFERROR(__xludf.DUMMYFUNCTION("GOOGLETRANSLATE(B31034,""en"",""pt"")"),"Ptolemaḯda")</f>
        <v>Ptolemaḯda</v>
      </c>
      <c r="B13374" s="17" t="s">
        <v>32740</v>
      </c>
      <c r="C13374" s="17" t="s">
        <v>9441</v>
      </c>
      <c r="D13374" s="17" t="s">
        <v>9511</v>
      </c>
      <c r="E13374" s="10">
        <v>734426</v>
      </c>
      <c r="F13374" s="4" t="str">
        <f>IF(B13374=B13373,"",B13374)</f>
        <v>Ptolemaḯda</v>
      </c>
    </row>
    <row r="13375" spans="1:6" ht="15.75" customHeight="1">
      <c r="A13375" s="5" t="s">
        <v>9627</v>
      </c>
      <c r="B13375" s="6" t="s">
        <v>9627</v>
      </c>
      <c r="C13375" s="5" t="s">
        <v>9441</v>
      </c>
      <c r="D13375" s="5" t="s">
        <v>9511</v>
      </c>
      <c r="E13375" s="2">
        <v>734426</v>
      </c>
      <c r="F13375" s="4" t="str">
        <f>IF(B13375=B13374,"",B13375)</f>
        <v>Ptolemaá¸¯da</v>
      </c>
    </row>
    <row r="13376" spans="1:6" ht="15.75" customHeight="1">
      <c r="A13376" s="6" t="s">
        <v>21448</v>
      </c>
      <c r="B13376" s="6" t="s">
        <v>21448</v>
      </c>
      <c r="C13376" s="6" t="s">
        <v>21064</v>
      </c>
      <c r="D13376" s="6" t="s">
        <v>21073</v>
      </c>
      <c r="E13376" s="2">
        <v>3087705</v>
      </c>
      <c r="F13376" s="4" t="str">
        <f>IF(B13376=B13375,"",B13376)</f>
        <v>Pszczyna</v>
      </c>
    </row>
    <row r="13377" spans="1:6" ht="15.75" customHeight="1">
      <c r="A13377" s="5" t="str">
        <f ca="1">IFERROR(__xludf.DUMMYFUNCTION("GOOGLETRANSLATE(B39371,""en"",""pt"")"),"Pszczyna")</f>
        <v>Pszczyna</v>
      </c>
      <c r="B13377" s="17" t="s">
        <v>21448</v>
      </c>
      <c r="C13377" s="17" t="s">
        <v>21064</v>
      </c>
      <c r="D13377" s="17" t="s">
        <v>21073</v>
      </c>
      <c r="E13377" s="10">
        <v>3087705</v>
      </c>
      <c r="F13377" s="4" t="str">
        <f>IF(B13377=B13376,"",B13377)</f>
        <v/>
      </c>
    </row>
    <row r="13378" spans="1:6" ht="15.75" customHeight="1">
      <c r="A13378" s="6" t="s">
        <v>22800</v>
      </c>
      <c r="B13378" s="6" t="s">
        <v>22800</v>
      </c>
      <c r="C13378" s="6" t="s">
        <v>22070</v>
      </c>
      <c r="D13378" s="6" t="s">
        <v>22800</v>
      </c>
      <c r="E13378" s="2">
        <v>504341</v>
      </c>
      <c r="F13378" s="4" t="str">
        <f>IF(B13378=B13377,"",B13378)</f>
        <v>Pskov</v>
      </c>
    </row>
    <row r="13379" spans="1:6" ht="15.75" customHeight="1">
      <c r="A13379" s="5" t="str">
        <f ca="1">IFERROR(__xludf.DUMMYFUNCTION("GOOGLETRANSLATE(B40172,""en"",""pt"")"),"Pskov")</f>
        <v>Pskov</v>
      </c>
      <c r="B13379" s="17" t="s">
        <v>22800</v>
      </c>
      <c r="C13379" s="17" t="s">
        <v>22070</v>
      </c>
      <c r="D13379" s="17" t="s">
        <v>22800</v>
      </c>
      <c r="E13379" s="10">
        <v>504341</v>
      </c>
      <c r="F13379" s="4" t="str">
        <f>IF(B13379=B13378,"",B13379)</f>
        <v/>
      </c>
    </row>
    <row r="13380" spans="1:6" ht="15.75" customHeight="1">
      <c r="A13380" s="5" t="s">
        <v>21447</v>
      </c>
      <c r="B13380" s="6" t="s">
        <v>21447</v>
      </c>
      <c r="C13380" s="5" t="s">
        <v>21064</v>
      </c>
      <c r="D13380" s="5" t="s">
        <v>21083</v>
      </c>
      <c r="E13380" s="2">
        <v>761131</v>
      </c>
      <c r="F13380" s="4" t="str">
        <f>IF(B13380=B13379,"",B13380)</f>
        <v>Przeworsk</v>
      </c>
    </row>
    <row r="13381" spans="1:6" ht="15.75" customHeight="1">
      <c r="A13381" s="5" t="str">
        <f ca="1">IFERROR(__xludf.DUMMYFUNCTION("GOOGLETRANSLATE(B39220,""en"",""pt"")"),"Przeworsk")</f>
        <v>Przeworsk</v>
      </c>
      <c r="B13381" s="17" t="s">
        <v>21447</v>
      </c>
      <c r="C13381" s="17" t="s">
        <v>21064</v>
      </c>
      <c r="D13381" s="17" t="s">
        <v>21083</v>
      </c>
      <c r="E13381" s="10">
        <v>761131</v>
      </c>
      <c r="F13381" s="4" t="str">
        <f>IF(B13381=B13380,"",B13381)</f>
        <v/>
      </c>
    </row>
    <row r="13382" spans="1:6" ht="15.75" customHeight="1">
      <c r="A13382" s="5" t="str">
        <f ca="1">IFERROR(__xludf.DUMMYFUNCTION("GOOGLETRANSLATE(B39221,""en"",""pt"")"),"Przemyśl")</f>
        <v>Przemyśl</v>
      </c>
      <c r="B13382" s="17" t="s">
        <v>35089</v>
      </c>
      <c r="C13382" s="17" t="s">
        <v>21064</v>
      </c>
      <c r="D13382" s="17" t="s">
        <v>21083</v>
      </c>
      <c r="E13382" s="10">
        <v>761168</v>
      </c>
      <c r="F13382" s="4" t="str">
        <f>IF(B13382=B13381,"",B13382)</f>
        <v>Przemyśl</v>
      </c>
    </row>
    <row r="13383" spans="1:6" ht="15.75" customHeight="1">
      <c r="A13383" s="5" t="s">
        <v>21445</v>
      </c>
      <c r="B13383" s="6" t="s">
        <v>21446</v>
      </c>
      <c r="C13383" s="5" t="s">
        <v>21064</v>
      </c>
      <c r="D13383" s="5" t="s">
        <v>21083</v>
      </c>
      <c r="E13383" s="2">
        <v>761168</v>
      </c>
      <c r="F13383" s="4" t="str">
        <f>IF(B13383=B13382,"",B13383)</f>
        <v>PrzemyÅ›l</v>
      </c>
    </row>
    <row r="13384" spans="1:6" ht="15.75" customHeight="1">
      <c r="A13384" s="6" t="s">
        <v>21444</v>
      </c>
      <c r="B13384" s="6" t="s">
        <v>21444</v>
      </c>
      <c r="C13384" s="6" t="s">
        <v>21064</v>
      </c>
      <c r="D13384" s="6" t="s">
        <v>21070</v>
      </c>
      <c r="E13384" s="2">
        <v>761218</v>
      </c>
      <c r="F13384" s="4" t="str">
        <f>IF(B13384=B13383,"",B13384)</f>
        <v>Przasnysz</v>
      </c>
    </row>
    <row r="13385" spans="1:6" ht="15.75" customHeight="1">
      <c r="A13385" s="5" t="str">
        <f ca="1">IFERROR(__xludf.DUMMYFUNCTION("GOOGLETRANSLATE(B39222,""en"",""pt"")"),"Przasnysz")</f>
        <v>Przasnysz</v>
      </c>
      <c r="B13385" s="17" t="s">
        <v>21444</v>
      </c>
      <c r="C13385" s="17" t="s">
        <v>21064</v>
      </c>
      <c r="D13385" s="17" t="s">
        <v>21070</v>
      </c>
      <c r="E13385" s="10">
        <v>761218</v>
      </c>
      <c r="F13385" s="4" t="str">
        <f>IF(B13385=B13384,"",B13385)</f>
        <v/>
      </c>
    </row>
    <row r="13386" spans="1:6" ht="15.75" customHeight="1">
      <c r="A13386" s="6" t="s">
        <v>27115</v>
      </c>
      <c r="B13386" s="6" t="s">
        <v>27115</v>
      </c>
      <c r="C13386" s="6" t="s">
        <v>26870</v>
      </c>
      <c r="D13386" s="6" t="s">
        <v>26889</v>
      </c>
      <c r="E13386" s="2">
        <v>696108</v>
      </c>
      <c r="F13386" s="4" t="str">
        <f>IF(B13386=B13385,"",B13386)</f>
        <v>Pryluky</v>
      </c>
    </row>
    <row r="13387" spans="1:6" ht="15.75" customHeight="1">
      <c r="A13387" s="5" t="str">
        <f ca="1">IFERROR(__xludf.DUMMYFUNCTION("GOOGLETRANSLATE(B42544,""en"",""pt"")"),"Pryluky")</f>
        <v>Pryluky</v>
      </c>
      <c r="B13387" s="17" t="s">
        <v>27115</v>
      </c>
      <c r="C13387" s="17" t="s">
        <v>26870</v>
      </c>
      <c r="D13387" s="17" t="s">
        <v>26889</v>
      </c>
      <c r="E13387" s="10">
        <v>696108</v>
      </c>
      <c r="F13387" s="4" t="str">
        <f>IF(B13387=B13386,"",B13387)</f>
        <v/>
      </c>
    </row>
    <row r="13388" spans="1:6" ht="15.75" customHeight="1">
      <c r="A13388" s="5" t="s">
        <v>1496</v>
      </c>
      <c r="B13388" s="6" t="s">
        <v>1497</v>
      </c>
      <c r="C13388" s="5" t="s">
        <v>1453</v>
      </c>
      <c r="D13388" s="5" t="s">
        <v>1457</v>
      </c>
      <c r="E13388" s="2">
        <v>622997</v>
      </c>
      <c r="F13388" s="4" t="str">
        <f>IF(B13388=B13387,"",B13388)</f>
        <v>Pruzhany</v>
      </c>
    </row>
    <row r="13389" spans="1:6" ht="15.75" customHeight="1">
      <c r="A13389" s="5" t="str">
        <f ca="1">IFERROR(__xludf.DUMMYFUNCTION("GOOGLETRANSLATE(B25382,""en"",""pt"")"),"PRUZHANY")</f>
        <v>PRUZHANY</v>
      </c>
      <c r="B13389" s="17" t="s">
        <v>1497</v>
      </c>
      <c r="C13389" s="17" t="s">
        <v>1453</v>
      </c>
      <c r="D13389" s="17" t="s">
        <v>1457</v>
      </c>
      <c r="E13389" s="10">
        <v>622997</v>
      </c>
      <c r="F13389" s="4" t="str">
        <f>IF(B13389=B13388,"",B13389)</f>
        <v/>
      </c>
    </row>
    <row r="13390" spans="1:6" ht="15.75" customHeight="1">
      <c r="A13390" s="5" t="str">
        <f ca="1">IFERROR(__xludf.DUMMYFUNCTION("GOOGLETRANSLATE(B39223,""en"",""pt"")"),"Pruszków")</f>
        <v>Pruszków</v>
      </c>
      <c r="B13390" s="17" t="s">
        <v>35090</v>
      </c>
      <c r="C13390" s="17" t="s">
        <v>21064</v>
      </c>
      <c r="D13390" s="17" t="s">
        <v>21070</v>
      </c>
      <c r="E13390" s="10">
        <v>761228</v>
      </c>
      <c r="F13390" s="4" t="str">
        <f>IF(B13390=B13389,"",B13390)</f>
        <v>Pruszków</v>
      </c>
    </row>
    <row r="13391" spans="1:6" ht="15.75" customHeight="1">
      <c r="A13391" s="6" t="s">
        <v>21442</v>
      </c>
      <c r="B13391" s="6" t="s">
        <v>21443</v>
      </c>
      <c r="C13391" s="6" t="s">
        <v>21064</v>
      </c>
      <c r="D13391" s="6" t="s">
        <v>21070</v>
      </c>
      <c r="E13391" s="2">
        <v>761228</v>
      </c>
      <c r="F13391" s="4" t="str">
        <f>IF(B13391=B13390,"",B13391)</f>
        <v>PruszkÃ³w</v>
      </c>
    </row>
    <row r="13392" spans="1:6" ht="15.75" customHeight="1">
      <c r="A13392" s="5" t="str">
        <f ca="1">IFERROR(__xludf.DUMMYFUNCTION("GOOGLETRANSLATE(B39372,""en"",""pt"")"),"Pruszcz Gdański")</f>
        <v>Pruszcz Gdański</v>
      </c>
      <c r="B13392" s="17" t="s">
        <v>35177</v>
      </c>
      <c r="C13392" s="17" t="s">
        <v>21064</v>
      </c>
      <c r="D13392" s="17" t="s">
        <v>21173</v>
      </c>
      <c r="E13392" s="10">
        <v>3088034</v>
      </c>
      <c r="F13392" s="4" t="str">
        <f>IF(B13392=B13391,"",B13392)</f>
        <v>Pruszcz Gdański</v>
      </c>
    </row>
    <row r="13393" spans="1:6" ht="15.75" customHeight="1">
      <c r="A13393" s="5" t="s">
        <v>21440</v>
      </c>
      <c r="B13393" s="6" t="s">
        <v>21441</v>
      </c>
      <c r="C13393" s="5" t="s">
        <v>21064</v>
      </c>
      <c r="D13393" s="5" t="s">
        <v>21173</v>
      </c>
      <c r="E13393" s="2">
        <v>3088034</v>
      </c>
      <c r="F13393" s="4" t="str">
        <f>IF(B13393=B13392,"",B13393)</f>
        <v>Pruszcz GdaÅ„ski</v>
      </c>
    </row>
    <row r="13394" spans="1:6" ht="15.75" customHeight="1">
      <c r="A13394" s="5" t="s">
        <v>29752</v>
      </c>
      <c r="B13394" s="6" t="s">
        <v>29752</v>
      </c>
      <c r="C13394" s="5" t="s">
        <v>27788</v>
      </c>
      <c r="D13394" s="5" t="s">
        <v>27801</v>
      </c>
      <c r="E13394" s="2">
        <v>5385082</v>
      </c>
      <c r="F13394" s="4" t="str">
        <f>IF(B13394=B13393,"",B13394)</f>
        <v>Prunedale</v>
      </c>
    </row>
    <row r="13395" spans="1:6" ht="15.75" customHeight="1">
      <c r="A13395" s="5" t="str">
        <f ca="1">IFERROR(__xludf.DUMMYFUNCTION("GOOGLETRANSLATE(B44970,""en"",""pt"")"),"Prunedale")</f>
        <v>Prunedale</v>
      </c>
      <c r="B13395" s="17" t="s">
        <v>29752</v>
      </c>
      <c r="C13395" s="17" t="s">
        <v>27788</v>
      </c>
      <c r="D13395" s="17" t="s">
        <v>27801</v>
      </c>
      <c r="E13395" s="10">
        <v>5385082</v>
      </c>
      <c r="F13395" s="4" t="str">
        <f>IF(B13395=B13394,"",B13395)</f>
        <v/>
      </c>
    </row>
    <row r="13396" spans="1:6" ht="15.75" customHeight="1">
      <c r="A13396" s="6" t="s">
        <v>21439</v>
      </c>
      <c r="B13396" s="6" t="s">
        <v>21439</v>
      </c>
      <c r="C13396" s="6" t="s">
        <v>21064</v>
      </c>
      <c r="D13396" s="6" t="s">
        <v>21165</v>
      </c>
      <c r="E13396" s="2">
        <v>3088065</v>
      </c>
      <c r="F13396" s="4" t="str">
        <f>IF(B13396=B13395,"",B13396)</f>
        <v>Prudnik</v>
      </c>
    </row>
    <row r="13397" spans="1:6" ht="15.75" customHeight="1">
      <c r="A13397" s="5" t="str">
        <f ca="1">IFERROR(__xludf.DUMMYFUNCTION("GOOGLETRANSLATE(B39373,""en"",""pt"")"),"Prudnik")</f>
        <v>Prudnik</v>
      </c>
      <c r="B13397" s="17" t="s">
        <v>21439</v>
      </c>
      <c r="C13397" s="17" t="s">
        <v>21064</v>
      </c>
      <c r="D13397" s="17" t="s">
        <v>21165</v>
      </c>
      <c r="E13397" s="10">
        <v>3088065</v>
      </c>
      <c r="F13397" s="4" t="str">
        <f>IF(B13397=B13396,"",B13397)</f>
        <v/>
      </c>
    </row>
    <row r="13398" spans="1:6" ht="15.75" customHeight="1">
      <c r="A13398" s="5" t="str">
        <f ca="1">IFERROR(__xludf.DUMMYFUNCTION("GOOGLETRANSLATE(B24663,""en"",""pt"")"),"Prudentópolis")</f>
        <v>Prudentópolis</v>
      </c>
      <c r="B13398" s="17" t="s">
        <v>31539</v>
      </c>
      <c r="C13398" s="17" t="s">
        <v>1905</v>
      </c>
      <c r="D13398" s="17" t="s">
        <v>727</v>
      </c>
      <c r="E13398" s="10">
        <v>3452216</v>
      </c>
      <c r="F13398" s="4" t="str">
        <f>IF(B13398=B13397,"",B13398)</f>
        <v>Prudentópolis</v>
      </c>
    </row>
    <row r="13399" spans="1:6" ht="15.75" customHeight="1">
      <c r="A13399" s="5" t="s">
        <v>3181</v>
      </c>
      <c r="B13399" s="6" t="s">
        <v>3182</v>
      </c>
      <c r="C13399" s="5" t="s">
        <v>1905</v>
      </c>
      <c r="D13399" s="5" t="s">
        <v>728</v>
      </c>
      <c r="E13399" s="2">
        <v>3452216</v>
      </c>
      <c r="F13399" s="4" t="str">
        <f>IF(B13399=B13398,"",B13399)</f>
        <v>PrudentÃ³polis</v>
      </c>
    </row>
    <row r="13400" spans="1:6" ht="15.75" customHeight="1">
      <c r="A13400" s="6" t="s">
        <v>29751</v>
      </c>
      <c r="B13400" s="6" t="s">
        <v>29751</v>
      </c>
      <c r="C13400" s="6" t="s">
        <v>27788</v>
      </c>
      <c r="D13400" s="6" t="s">
        <v>27856</v>
      </c>
      <c r="E13400" s="2">
        <v>5780026</v>
      </c>
      <c r="F13400" s="4" t="str">
        <f>IF(B13400=B13399,"",B13400)</f>
        <v>Provo</v>
      </c>
    </row>
    <row r="13401" spans="1:6" ht="15.75" customHeight="1">
      <c r="A13401" s="5" t="str">
        <f ca="1">IFERROR(__xludf.DUMMYFUNCTION("GOOGLETRANSLATE(B45295,""en"",""pt"")"),"Provo")</f>
        <v>Provo</v>
      </c>
      <c r="B13401" s="17" t="s">
        <v>29751</v>
      </c>
      <c r="C13401" s="17" t="s">
        <v>27788</v>
      </c>
      <c r="D13401" s="17" t="s">
        <v>27856</v>
      </c>
      <c r="E13401" s="10">
        <v>5780026</v>
      </c>
      <c r="F13401" s="4" t="str">
        <f>IF(B13401=B13400,"",B13401)</f>
        <v/>
      </c>
    </row>
    <row r="13402" spans="1:6" ht="15.75" customHeight="1">
      <c r="A13402" s="5" t="s">
        <v>29749</v>
      </c>
      <c r="B13402" s="6" t="s">
        <v>29750</v>
      </c>
      <c r="C13402" s="5" t="s">
        <v>27788</v>
      </c>
      <c r="D13402" s="5" t="s">
        <v>27951</v>
      </c>
      <c r="E13402" s="2">
        <v>5224151</v>
      </c>
      <c r="F13402" s="4" t="str">
        <f>IF(B13402=B13401,"",B13402)</f>
        <v>Providence</v>
      </c>
    </row>
    <row r="13403" spans="1:6" ht="15.75" customHeight="1">
      <c r="A13403" s="5" t="str">
        <f ca="1">IFERROR(__xludf.DUMMYFUNCTION("GOOGLETRANSLATE(B44617,""en"",""pt"")"),"Providência")</f>
        <v>Providência</v>
      </c>
      <c r="B13403" s="17" t="s">
        <v>29750</v>
      </c>
      <c r="C13403" s="17" t="s">
        <v>27788</v>
      </c>
      <c r="D13403" s="17" t="s">
        <v>27951</v>
      </c>
      <c r="E13403" s="10">
        <v>5224151</v>
      </c>
      <c r="F13403" s="4" t="str">
        <f>IF(B13403=B13402,"",B13403)</f>
        <v/>
      </c>
    </row>
    <row r="13404" spans="1:6" ht="15.75" customHeight="1">
      <c r="A13404" s="6" t="s">
        <v>22977</v>
      </c>
      <c r="B13404" s="6" t="s">
        <v>22977</v>
      </c>
      <c r="C13404" s="6" t="s">
        <v>22070</v>
      </c>
      <c r="D13404" s="6" t="s">
        <v>22119</v>
      </c>
      <c r="E13404" s="2">
        <v>504576</v>
      </c>
      <c r="F13404" s="4" t="str">
        <f>IF(B13404=B13403,"",B13404)</f>
        <v>Protvino</v>
      </c>
    </row>
    <row r="13405" spans="1:6" ht="15.75" customHeight="1">
      <c r="A13405" s="5" t="str">
        <f ca="1">IFERROR(__xludf.DUMMYFUNCTION("GOOGLETRANSLATE(B40173,""en"",""pt"")"),"Protvino")</f>
        <v>Protvino</v>
      </c>
      <c r="B13405" s="17" t="s">
        <v>22977</v>
      </c>
      <c r="C13405" s="17" t="s">
        <v>22070</v>
      </c>
      <c r="D13405" s="17" t="s">
        <v>22119</v>
      </c>
      <c r="E13405" s="10">
        <v>504576</v>
      </c>
      <c r="F13405" s="4" t="str">
        <f>IF(B13405=B13404,"",B13405)</f>
        <v/>
      </c>
    </row>
    <row r="13406" spans="1:6" ht="15.75" customHeight="1">
      <c r="A13406" s="6" t="s">
        <v>5944</v>
      </c>
      <c r="B13406" s="6" t="s">
        <v>5944</v>
      </c>
      <c r="C13406" s="6" t="s">
        <v>5932</v>
      </c>
      <c r="D13406" s="6" t="s">
        <v>5933</v>
      </c>
      <c r="E13406" s="2">
        <v>18918</v>
      </c>
      <c r="F13406" s="4" t="str">
        <f>IF(B13406=B13405,"",B13406)</f>
        <v>Protaras</v>
      </c>
    </row>
    <row r="13407" spans="1:6" ht="15.75" customHeight="1">
      <c r="A13407" s="5" t="str">
        <f ca="1">IFERROR(__xludf.DUMMYFUNCTION("GOOGLETRANSLATE(B27235,""en"",""pt"")"),"Protaras")</f>
        <v>Protaras</v>
      </c>
      <c r="B13407" s="17" t="s">
        <v>5944</v>
      </c>
      <c r="C13407" s="17" t="s">
        <v>5932</v>
      </c>
      <c r="D13407" s="17" t="s">
        <v>5933</v>
      </c>
      <c r="E13407" s="10">
        <v>18918</v>
      </c>
      <c r="F13407" s="4" t="str">
        <f>IF(B13407=B13406,"",B13407)</f>
        <v/>
      </c>
    </row>
    <row r="13408" spans="1:6" ht="15.75" customHeight="1">
      <c r="A13408" s="5" t="str">
        <f ca="1">IFERROR(__xludf.DUMMYFUNCTION("GOOGLETRANSLATE(B27269,""en"",""pt"")"),"Prostějov")</f>
        <v>Prostějov</v>
      </c>
      <c r="B13408" s="17" t="s">
        <v>31963</v>
      </c>
      <c r="C13408" s="17" t="s">
        <v>5947</v>
      </c>
      <c r="D13408" s="17" t="s">
        <v>31957</v>
      </c>
      <c r="E13408" s="10">
        <v>3067421</v>
      </c>
      <c r="F13408" s="4" t="str">
        <f>IF(B13408=B13407,"",B13408)</f>
        <v>Prostějov</v>
      </c>
    </row>
    <row r="13409" spans="1:6" ht="15.75" customHeight="1">
      <c r="A13409" s="5" t="s">
        <v>6092</v>
      </c>
      <c r="B13409" s="6" t="s">
        <v>6093</v>
      </c>
      <c r="C13409" s="5" t="s">
        <v>5947</v>
      </c>
      <c r="D13409" s="5" t="s">
        <v>5948</v>
      </c>
      <c r="E13409" s="2">
        <v>3067421</v>
      </c>
      <c r="F13409" s="4" t="str">
        <f>IF(B13409=B13408,"",B13409)</f>
        <v>ProstÄ›jov</v>
      </c>
    </row>
    <row r="13410" spans="1:6" ht="15.75" customHeight="1">
      <c r="A13410" s="5" t="s">
        <v>29748</v>
      </c>
      <c r="B13410" s="6" t="s">
        <v>29748</v>
      </c>
      <c r="C13410" s="5" t="s">
        <v>27788</v>
      </c>
      <c r="D13410" s="5" t="s">
        <v>27799</v>
      </c>
      <c r="E13410" s="2">
        <v>4906882</v>
      </c>
      <c r="F13410" s="4" t="str">
        <f>IF(B13410=B13409,"",B13410)</f>
        <v>Prospect Heights</v>
      </c>
    </row>
    <row r="13411" spans="1:6" ht="15.75" customHeight="1">
      <c r="A13411" s="5" t="str">
        <f ca="1">IFERROR(__xludf.DUMMYFUNCTION("GOOGLETRANSLATE(B43873,""en"",""pt"")"),"Prospect Heights")</f>
        <v>Prospect Heights</v>
      </c>
      <c r="B13411" s="17" t="s">
        <v>29748</v>
      </c>
      <c r="C13411" s="17" t="s">
        <v>27788</v>
      </c>
      <c r="D13411" s="17" t="s">
        <v>27799</v>
      </c>
      <c r="E13411" s="10">
        <v>4906882</v>
      </c>
      <c r="F13411" s="4" t="str">
        <f>IF(B13411=B13410,"",B13411)</f>
        <v/>
      </c>
    </row>
    <row r="13412" spans="1:6" ht="15.75" customHeight="1">
      <c r="A13412" s="6" t="s">
        <v>1064</v>
      </c>
      <c r="B13412" s="6" t="s">
        <v>1064</v>
      </c>
      <c r="C13412" s="6" t="s">
        <v>885</v>
      </c>
      <c r="D13412" s="6" t="s">
        <v>886</v>
      </c>
      <c r="E13412" s="2">
        <v>2062944</v>
      </c>
      <c r="F13412" s="4" t="str">
        <f>IF(B13412=B13411,"",B13412)</f>
        <v>Prospect</v>
      </c>
    </row>
    <row r="13413" spans="1:6" ht="15.75" customHeight="1">
      <c r="A13413" s="5" t="str">
        <f ca="1">IFERROR(__xludf.DUMMYFUNCTION("GOOGLETRANSLATE(B23409,""en"",""pt"")"),"Prospect")</f>
        <v>Prospect</v>
      </c>
      <c r="B13413" s="17" t="s">
        <v>1064</v>
      </c>
      <c r="C13413" s="17" t="s">
        <v>885</v>
      </c>
      <c r="D13413" s="17" t="s">
        <v>886</v>
      </c>
      <c r="E13413" s="10">
        <v>2062944</v>
      </c>
      <c r="F13413" s="4" t="str">
        <f>IF(B13413=B13412,"",B13413)</f>
        <v/>
      </c>
    </row>
    <row r="13414" spans="1:6" ht="15.75" customHeight="1">
      <c r="A13414" s="6" t="s">
        <v>6091</v>
      </c>
      <c r="B13414" s="6" t="s">
        <v>6091</v>
      </c>
      <c r="C13414" s="6" t="s">
        <v>5947</v>
      </c>
      <c r="D13414" s="6" t="s">
        <v>5959</v>
      </c>
      <c r="E13414" s="2">
        <v>3067433</v>
      </c>
      <c r="F13414" s="4" t="str">
        <f>IF(B13414=B13413,"",B13414)</f>
        <v>Prosek</v>
      </c>
    </row>
    <row r="13415" spans="1:6" ht="15.75" customHeight="1">
      <c r="A13415" s="5" t="str">
        <f ca="1">IFERROR(__xludf.DUMMYFUNCTION("GOOGLETRANSLATE(B27270,""en"",""pt"")"),"Prosek")</f>
        <v>Prosek</v>
      </c>
      <c r="B13415" s="17" t="s">
        <v>6091</v>
      </c>
      <c r="C13415" s="17" t="s">
        <v>5947</v>
      </c>
      <c r="D13415" s="17" t="s">
        <v>5959</v>
      </c>
      <c r="E13415" s="10">
        <v>3067433</v>
      </c>
      <c r="F13415" s="4" t="str">
        <f>IF(B13415=B13414,"",B13415)</f>
        <v/>
      </c>
    </row>
    <row r="13416" spans="1:6" ht="15.75" customHeight="1">
      <c r="A13416" s="6" t="s">
        <v>3179</v>
      </c>
      <c r="B13416" s="6" t="s">
        <v>3180</v>
      </c>
      <c r="C13416" s="6" t="s">
        <v>1905</v>
      </c>
      <c r="D13416" s="6" t="s">
        <v>2002</v>
      </c>
      <c r="E13416" s="2">
        <v>3452233</v>
      </c>
      <c r="F13416" s="4" t="str">
        <f>IF(B13416=B13415,"",B13416)</f>
        <v>PropriÃ¡</v>
      </c>
    </row>
    <row r="13417" spans="1:6" ht="15.75" customHeight="1">
      <c r="A13417" s="5" t="str">
        <f ca="1">IFERROR(__xludf.DUMMYFUNCTION("GOOGLETRANSLATE(B24664,""en"",""pt"")"),"Propriá")</f>
        <v>Propriá</v>
      </c>
      <c r="B13417" s="17" t="s">
        <v>31540</v>
      </c>
      <c r="C13417" s="17" t="s">
        <v>1905</v>
      </c>
      <c r="D13417" s="17" t="s">
        <v>2002</v>
      </c>
      <c r="E13417" s="10">
        <v>3452233</v>
      </c>
      <c r="F13417" s="4" t="str">
        <f>IF(B13417=B13416,"",B13417)</f>
        <v>Propriá</v>
      </c>
    </row>
    <row r="13418" spans="1:6" ht="15.75" customHeight="1">
      <c r="A13418" s="5" t="s">
        <v>22976</v>
      </c>
      <c r="B13418" s="6" t="s">
        <v>22976</v>
      </c>
      <c r="C13418" s="5" t="s">
        <v>22070</v>
      </c>
      <c r="D13418" s="5" t="s">
        <v>22140</v>
      </c>
      <c r="E13418" s="2">
        <v>1494091</v>
      </c>
      <c r="F13418" s="4" t="str">
        <f>IF(B13418=B13417,"",B13418)</f>
        <v>Promyshlennaya</v>
      </c>
    </row>
    <row r="13419" spans="1:6" ht="15.75" customHeight="1">
      <c r="A13419" s="5" t="str">
        <f ca="1">IFERROR(__xludf.DUMMYFUNCTION("GOOGLETRANSLATE(B40770,""en"",""pt"")"),"Promyshlennaya")</f>
        <v>Promyshlennaya</v>
      </c>
      <c r="B13419" s="17" t="s">
        <v>22976</v>
      </c>
      <c r="C13419" s="17" t="s">
        <v>22070</v>
      </c>
      <c r="D13419" s="17" t="s">
        <v>22140</v>
      </c>
      <c r="E13419" s="10">
        <v>1494091</v>
      </c>
      <c r="F13419" s="4" t="str">
        <f>IF(B13419=B13418,"",B13419)</f>
        <v/>
      </c>
    </row>
    <row r="13420" spans="1:6" ht="15.75" customHeight="1">
      <c r="A13420" s="5" t="str">
        <f ca="1">IFERROR(__xludf.DUMMYFUNCTION("GOOGLETRANSLATE(B24665,""en"",""pt"")"),"Promissão")</f>
        <v>Promissão</v>
      </c>
      <c r="B13420" s="17" t="s">
        <v>31541</v>
      </c>
      <c r="C13420" s="17" t="s">
        <v>1905</v>
      </c>
      <c r="D13420" s="17" t="s">
        <v>3354</v>
      </c>
      <c r="E13420" s="10">
        <v>3452237</v>
      </c>
      <c r="F13420" s="4" t="str">
        <f>IF(B13420=B13419,"",B13420)</f>
        <v>Promissão</v>
      </c>
    </row>
    <row r="13421" spans="1:6" ht="15.75" customHeight="1">
      <c r="A13421" s="5" t="s">
        <v>3177</v>
      </c>
      <c r="B13421" s="6" t="s">
        <v>3178</v>
      </c>
      <c r="C13421" s="5" t="s">
        <v>1905</v>
      </c>
      <c r="D13421" s="5" t="s">
        <v>1914</v>
      </c>
      <c r="E13421" s="2">
        <v>3452237</v>
      </c>
      <c r="F13421" s="4" t="str">
        <f>IF(B13421=B13420,"",B13421)</f>
        <v>PromissÃ£o</v>
      </c>
    </row>
    <row r="13422" spans="1:6" ht="15.75" customHeight="1">
      <c r="A13422" s="5" t="s">
        <v>22975</v>
      </c>
      <c r="B13422" s="6" t="s">
        <v>22975</v>
      </c>
      <c r="C13422" s="5" t="s">
        <v>22070</v>
      </c>
      <c r="D13422" s="5" t="s">
        <v>22099</v>
      </c>
      <c r="E13422" s="2">
        <v>504831</v>
      </c>
      <c r="F13422" s="4" t="str">
        <f>IF(B13422=B13421,"",B13422)</f>
        <v>Proletarsk</v>
      </c>
    </row>
    <row r="13423" spans="1:6" ht="15.75" customHeight="1">
      <c r="A13423" s="5" t="str">
        <f ca="1">IFERROR(__xludf.DUMMYFUNCTION("GOOGLETRANSLATE(B40174,""en"",""pt"")"),"Proletarsk")</f>
        <v>Proletarsk</v>
      </c>
      <c r="B13423" s="17" t="s">
        <v>22975</v>
      </c>
      <c r="C13423" s="17" t="s">
        <v>22070</v>
      </c>
      <c r="D13423" s="17" t="s">
        <v>22099</v>
      </c>
      <c r="E13423" s="10">
        <v>504831</v>
      </c>
      <c r="F13423" s="4" t="str">
        <f>IF(B13423=B13422,"",B13423)</f>
        <v/>
      </c>
    </row>
    <row r="13424" spans="1:6" ht="15.75" customHeight="1">
      <c r="A13424" s="6" t="s">
        <v>25550</v>
      </c>
      <c r="B13424" s="6" t="s">
        <v>25550</v>
      </c>
      <c r="C13424" s="6" t="s">
        <v>25527</v>
      </c>
      <c r="D13424" s="6" t="s">
        <v>25530</v>
      </c>
      <c r="E13424" s="2">
        <v>1514839</v>
      </c>
      <c r="F13424" s="4" t="str">
        <f>IF(B13424=B13423,"",B13424)</f>
        <v>Proletar</v>
      </c>
    </row>
    <row r="13425" spans="1:6" ht="15.75" customHeight="1">
      <c r="A13425" s="5" t="str">
        <f ca="1">IFERROR(__xludf.DUMMYFUNCTION("GOOGLETRANSLATE(B41750,""en"",""pt"")"),"Proletar")</f>
        <v>Proletar</v>
      </c>
      <c r="B13425" s="17" t="s">
        <v>25550</v>
      </c>
      <c r="C13425" s="17" t="s">
        <v>25527</v>
      </c>
      <c r="D13425" s="17" t="s">
        <v>25530</v>
      </c>
      <c r="E13425" s="10">
        <v>1514839</v>
      </c>
      <c r="F13425" s="4" t="str">
        <f>IF(B13425=B13424,"",B13425)</f>
        <v/>
      </c>
    </row>
    <row r="13426" spans="1:6" ht="15.75" customHeight="1">
      <c r="A13426" s="6" t="s">
        <v>23648</v>
      </c>
      <c r="B13426" s="6" t="s">
        <v>23648</v>
      </c>
      <c r="C13426" s="6" t="s">
        <v>23602</v>
      </c>
      <c r="D13426" s="6" t="s">
        <v>23603</v>
      </c>
      <c r="E13426" s="2">
        <v>786690</v>
      </c>
      <c r="F13426" s="4" t="str">
        <f>IF(B13426=B13425,"",B13426)</f>
        <v>Prokuplje</v>
      </c>
    </row>
    <row r="13427" spans="1:6" ht="15.75" customHeight="1">
      <c r="A13427" s="5" t="str">
        <f ca="1">IFERROR(__xludf.DUMMYFUNCTION("GOOGLETRANSLATE(B39868,""en"",""pt"")"),"Prokuplje")</f>
        <v>Prokuplje</v>
      </c>
      <c r="B13427" s="17" t="s">
        <v>23648</v>
      </c>
      <c r="C13427" s="17" t="s">
        <v>23602</v>
      </c>
      <c r="D13427" s="17" t="s">
        <v>23603</v>
      </c>
      <c r="E13427" s="10">
        <v>786690</v>
      </c>
      <c r="F13427" s="4" t="str">
        <f>IF(B13427=B13426,"",B13427)</f>
        <v/>
      </c>
    </row>
    <row r="13428" spans="1:6" ht="15.75" customHeight="1">
      <c r="A13428" s="5" t="s">
        <v>22973</v>
      </c>
      <c r="B13428" s="6" t="s">
        <v>22974</v>
      </c>
      <c r="C13428" s="5" t="s">
        <v>22070</v>
      </c>
      <c r="D13428" s="5" t="s">
        <v>22140</v>
      </c>
      <c r="E13428" s="2">
        <v>1494114</v>
      </c>
      <c r="F13428" s="4" t="str">
        <f>IF(B13428=B13427,"",B13428)</f>
        <v>Prokopâ€™yevsk</v>
      </c>
    </row>
    <row r="13429" spans="1:6" ht="15.75" customHeight="1">
      <c r="A13429" s="5" t="str">
        <f ca="1">IFERROR(__xludf.DUMMYFUNCTION("GOOGLETRANSLATE(B40771,""en"",""pt"")"),"Prokop'yevsk")</f>
        <v>Prokop'yevsk</v>
      </c>
      <c r="B13429" s="17" t="s">
        <v>35536</v>
      </c>
      <c r="C13429" s="17" t="s">
        <v>22070</v>
      </c>
      <c r="D13429" s="17" t="s">
        <v>22140</v>
      </c>
      <c r="E13429" s="10">
        <v>1494114</v>
      </c>
      <c r="F13429" s="4" t="str">
        <f>IF(B13429=B13428,"",B13429)</f>
        <v>Prokop’yevsk</v>
      </c>
    </row>
    <row r="13430" spans="1:6" ht="15.75" customHeight="1">
      <c r="A13430" s="5" t="s">
        <v>22972</v>
      </c>
      <c r="B13430" s="6" t="s">
        <v>22972</v>
      </c>
      <c r="C13430" s="5" t="s">
        <v>22070</v>
      </c>
      <c r="D13430" s="5" t="s">
        <v>22182</v>
      </c>
      <c r="E13430" s="2">
        <v>504935</v>
      </c>
      <c r="F13430" s="4" t="str">
        <f>IF(B13430=B13429,"",B13430)</f>
        <v>Prokhladnyy</v>
      </c>
    </row>
    <row r="13431" spans="1:6" ht="15.75" customHeight="1">
      <c r="A13431" s="5" t="str">
        <f ca="1">IFERROR(__xludf.DUMMYFUNCTION("GOOGLETRANSLATE(B40175,""en"",""pt"")"),"Prokhladnyy")</f>
        <v>Prokhladnyy</v>
      </c>
      <c r="B13431" s="17" t="s">
        <v>22972</v>
      </c>
      <c r="C13431" s="17" t="s">
        <v>22070</v>
      </c>
      <c r="D13431" s="17" t="s">
        <v>22182</v>
      </c>
      <c r="E13431" s="10">
        <v>504935</v>
      </c>
      <c r="F13431" s="4" t="str">
        <f>IF(B13431=B13430,"",B13431)</f>
        <v/>
      </c>
    </row>
    <row r="13432" spans="1:6" ht="15.75" customHeight="1">
      <c r="A13432" s="5" t="s">
        <v>18171</v>
      </c>
      <c r="B13432" s="6" t="s">
        <v>18171</v>
      </c>
      <c r="C13432" s="5" t="s">
        <v>17707</v>
      </c>
      <c r="D13432" s="5" t="s">
        <v>17823</v>
      </c>
      <c r="E13432" s="2">
        <v>3521108</v>
      </c>
      <c r="F13432" s="4" t="str">
        <f>IF(B13432=B13431,"",B13432)</f>
        <v>Progreso de Castro</v>
      </c>
    </row>
    <row r="13433" spans="1:6" ht="15.75" customHeight="1">
      <c r="A13433" s="5" t="str">
        <f ca="1">IFERROR(__xludf.DUMMYFUNCTION("GOOGLETRANSLATE(B36945,""en"",""pt"")"),"Progreso de Castro")</f>
        <v>Progreso de Castro</v>
      </c>
      <c r="B13433" s="17" t="s">
        <v>18171</v>
      </c>
      <c r="C13433" s="17" t="s">
        <v>17707</v>
      </c>
      <c r="D13433" s="17" t="s">
        <v>34661</v>
      </c>
      <c r="E13433" s="10">
        <v>3521108</v>
      </c>
      <c r="F13433" s="4" t="str">
        <f>IF(B13433=B13432,"",B13433)</f>
        <v/>
      </c>
    </row>
    <row r="13434" spans="1:6" ht="15.75" customHeight="1">
      <c r="A13434" s="5" t="s">
        <v>18170</v>
      </c>
      <c r="B13434" s="6" t="s">
        <v>18170</v>
      </c>
      <c r="C13434" s="5" t="s">
        <v>17707</v>
      </c>
      <c r="D13434" s="5" t="s">
        <v>17729</v>
      </c>
      <c r="E13434" s="2">
        <v>3521103</v>
      </c>
      <c r="F13434" s="4" t="str">
        <f>IF(B13434=B13433,"",B13434)</f>
        <v>Progreso de Alvaro Obregon</v>
      </c>
    </row>
    <row r="13435" spans="1:6" ht="15.75" customHeight="1">
      <c r="A13435" s="5" t="str">
        <f ca="1">IFERROR(__xludf.DUMMYFUNCTION("GOOGLETRANSLATE(B36944,""en"",""pt"")"),"Progreso de Alvaro Obregon")</f>
        <v>Progreso de Alvaro Obregon</v>
      </c>
      <c r="B13435" s="17" t="s">
        <v>18170</v>
      </c>
      <c r="C13435" s="17" t="s">
        <v>17707</v>
      </c>
      <c r="D13435" s="17" t="s">
        <v>17729</v>
      </c>
      <c r="E13435" s="10">
        <v>3521103</v>
      </c>
      <c r="F13435" s="4" t="str">
        <f>IF(B13435=B13434,"",B13435)</f>
        <v/>
      </c>
    </row>
    <row r="13436" spans="1:6" ht="15.75" customHeight="1">
      <c r="A13436" s="6" t="s">
        <v>30491</v>
      </c>
      <c r="B13436" s="6" t="s">
        <v>30491</v>
      </c>
      <c r="C13436" s="6" t="s">
        <v>30472</v>
      </c>
      <c r="D13436" s="6" t="s">
        <v>30473</v>
      </c>
      <c r="E13436" s="2">
        <v>3440963</v>
      </c>
      <c r="F13436" s="4" t="str">
        <f>IF(B13436=B13435,"",B13436)</f>
        <v>Progreso</v>
      </c>
    </row>
    <row r="13437" spans="1:6" ht="15.75" customHeight="1">
      <c r="A13437" s="5" t="str">
        <f ca="1">IFERROR(__xludf.DUMMYFUNCTION("GOOGLETRANSLATE(B45480,""en"",""pt"")"),"Progreso")</f>
        <v>Progreso</v>
      </c>
      <c r="B13437" s="17" t="s">
        <v>30491</v>
      </c>
      <c r="C13437" s="17" t="s">
        <v>30472</v>
      </c>
      <c r="D13437" s="17" t="s">
        <v>30473</v>
      </c>
      <c r="E13437" s="10">
        <v>3440963</v>
      </c>
      <c r="F13437" s="4" t="str">
        <f>IF(B13437=B13436,"",B13437)</f>
        <v/>
      </c>
    </row>
    <row r="13438" spans="1:6" ht="15.75" customHeight="1">
      <c r="A13438" s="5" t="str">
        <f ca="1">IFERROR(__xludf.DUMMYFUNCTION("GOOGLETRANSLATE(B32431,""en"",""pt"")"),"Proddatūr")</f>
        <v>Proddatūr</v>
      </c>
      <c r="B13438" s="17" t="s">
        <v>33216</v>
      </c>
      <c r="C13438" s="17" t="s">
        <v>10178</v>
      </c>
      <c r="D13438" s="17" t="s">
        <v>10190</v>
      </c>
      <c r="E13438" s="10">
        <v>1259312</v>
      </c>
      <c r="F13438" s="4" t="str">
        <f>IF(B13438=B13437,"",B13438)</f>
        <v>Proddatūr</v>
      </c>
    </row>
    <row r="13439" spans="1:6" ht="15.75" customHeight="1">
      <c r="A13439" s="5" t="s">
        <v>12928</v>
      </c>
      <c r="B13439" s="6" t="s">
        <v>12929</v>
      </c>
      <c r="C13439" s="5" t="s">
        <v>10178</v>
      </c>
      <c r="D13439" s="5" t="s">
        <v>10190</v>
      </c>
      <c r="E13439" s="2">
        <v>1259312</v>
      </c>
      <c r="F13439" s="4" t="str">
        <f>IF(B13439=B13438,"",B13439)</f>
        <v>ProddatÅ«r</v>
      </c>
    </row>
    <row r="13440" spans="1:6" ht="15.75" customHeight="1">
      <c r="A13440" s="5" t="s">
        <v>14112</v>
      </c>
      <c r="B13440" s="6" t="s">
        <v>14112</v>
      </c>
      <c r="C13440" s="5" t="s">
        <v>13800</v>
      </c>
      <c r="D13440" s="5" t="s">
        <v>13816</v>
      </c>
      <c r="E13440" s="2">
        <v>1630634</v>
      </c>
      <c r="F13440" s="4" t="str">
        <f>IF(B13440=B13439,"",B13440)</f>
        <v>Probolinggo</v>
      </c>
    </row>
    <row r="13441" spans="1:6" ht="15.75" customHeight="1">
      <c r="A13441" s="5" t="str">
        <f ca="1">IFERROR(__xludf.DUMMYFUNCTION("GOOGLETRANSLATE(B31480,""en"",""pt"")"),"Probolinggo")</f>
        <v>Probolinggo</v>
      </c>
      <c r="B13441" s="17" t="s">
        <v>14112</v>
      </c>
      <c r="C13441" s="17" t="s">
        <v>13800</v>
      </c>
      <c r="D13441" s="17" t="s">
        <v>13816</v>
      </c>
      <c r="E13441" s="10">
        <v>1630634</v>
      </c>
      <c r="F13441" s="4" t="str">
        <f>IF(B13441=B13440,"",B13441)</f>
        <v/>
      </c>
    </row>
    <row r="13442" spans="1:6" ht="15.75" customHeight="1">
      <c r="A13442" s="6" t="s">
        <v>16855</v>
      </c>
      <c r="B13442" s="6" t="s">
        <v>16855</v>
      </c>
      <c r="C13442" s="6" t="s">
        <v>16852</v>
      </c>
      <c r="D13442" s="6" t="s">
        <v>16855</v>
      </c>
      <c r="E13442" s="2">
        <v>786712</v>
      </c>
      <c r="F13442" s="4" t="str">
        <f>IF(B13442=B13441,"",B13442)</f>
        <v>Prizren</v>
      </c>
    </row>
    <row r="13443" spans="1:6" ht="15.75" customHeight="1">
      <c r="A13443" s="5" t="str">
        <f ca="1">IFERROR(__xludf.DUMMYFUNCTION("GOOGLETRANSLATE(B45801,""en"",""pt"")"),"Prizren")</f>
        <v>Prizren</v>
      </c>
      <c r="B13443" s="17" t="s">
        <v>16855</v>
      </c>
      <c r="C13443" s="17" t="s">
        <v>16852</v>
      </c>
      <c r="D13443" s="17" t="s">
        <v>16855</v>
      </c>
      <c r="E13443" s="10">
        <v>786712</v>
      </c>
      <c r="F13443" s="4" t="str">
        <f>IF(B13443=B13442,"",B13443)</f>
        <v/>
      </c>
    </row>
    <row r="13444" spans="1:6" ht="15.75" customHeight="1">
      <c r="A13444" s="6" t="s">
        <v>22971</v>
      </c>
      <c r="B13444" s="6" t="s">
        <v>22971</v>
      </c>
      <c r="C13444" s="6" t="s">
        <v>22070</v>
      </c>
      <c r="D13444" s="6" t="s">
        <v>22088</v>
      </c>
      <c r="E13444" s="2">
        <v>505014</v>
      </c>
      <c r="F13444" s="4" t="str">
        <f>IF(B13444=B13443,"",B13444)</f>
        <v>Priyutovo</v>
      </c>
    </row>
    <row r="13445" spans="1:6" ht="15.75" customHeight="1">
      <c r="A13445" s="5" t="str">
        <f ca="1">IFERROR(__xludf.DUMMYFUNCTION("GOOGLETRANSLATE(B40176,""en"",""pt"")"),"Priyutovo")</f>
        <v>Priyutovo</v>
      </c>
      <c r="B13445" s="17" t="s">
        <v>22971</v>
      </c>
      <c r="C13445" s="17" t="s">
        <v>22070</v>
      </c>
      <c r="D13445" s="17" t="s">
        <v>22088</v>
      </c>
      <c r="E13445" s="10">
        <v>505014</v>
      </c>
      <c r="F13445" s="4" t="str">
        <f>IF(B13445=B13444,"",B13445)</f>
        <v/>
      </c>
    </row>
    <row r="13446" spans="1:6" ht="15.75" customHeight="1">
      <c r="A13446" s="5" t="s">
        <v>22970</v>
      </c>
      <c r="B13446" s="6" t="s">
        <v>22970</v>
      </c>
      <c r="C13446" s="5" t="s">
        <v>22070</v>
      </c>
      <c r="D13446" s="5" t="s">
        <v>22171</v>
      </c>
      <c r="E13446" s="2">
        <v>505057</v>
      </c>
      <c r="F13446" s="4" t="str">
        <f>IF(B13446=B13445,"",B13446)</f>
        <v>Privolzhskiy</v>
      </c>
    </row>
    <row r="13447" spans="1:6" ht="15.75" customHeight="1">
      <c r="A13447" s="5" t="str">
        <f ca="1">IFERROR(__xludf.DUMMYFUNCTION("GOOGLETRANSLATE(B40177,""en"",""pt"")"),"Privolzhskiy")</f>
        <v>Privolzhskiy</v>
      </c>
      <c r="B13447" s="17" t="s">
        <v>22970</v>
      </c>
      <c r="C13447" s="17" t="s">
        <v>22070</v>
      </c>
      <c r="D13447" s="17" t="s">
        <v>22171</v>
      </c>
      <c r="E13447" s="10">
        <v>505057</v>
      </c>
      <c r="F13447" s="4" t="str">
        <f>IF(B13447=B13446,"",B13447)</f>
        <v/>
      </c>
    </row>
    <row r="13448" spans="1:6" ht="15.75" customHeight="1">
      <c r="A13448" s="5" t="s">
        <v>22969</v>
      </c>
      <c r="B13448" s="6" t="s">
        <v>22969</v>
      </c>
      <c r="C13448" s="5" t="s">
        <v>22070</v>
      </c>
      <c r="D13448" s="5" t="s">
        <v>22382</v>
      </c>
      <c r="E13448" s="2">
        <v>505060</v>
      </c>
      <c r="F13448" s="4" t="str">
        <f>IF(B13448=B13447,"",B13448)</f>
        <v>Privolzhsk</v>
      </c>
    </row>
    <row r="13449" spans="1:6" ht="15.75" customHeight="1">
      <c r="A13449" s="5" t="str">
        <f ca="1">IFERROR(__xludf.DUMMYFUNCTION("GOOGLETRANSLATE(B40178,""en"",""pt"")"),"Privolzhsk")</f>
        <v>Privolzhsk</v>
      </c>
      <c r="B13449" s="17" t="s">
        <v>22969</v>
      </c>
      <c r="C13449" s="17" t="s">
        <v>22070</v>
      </c>
      <c r="D13449" s="17" t="s">
        <v>22382</v>
      </c>
      <c r="E13449" s="10">
        <v>505060</v>
      </c>
      <c r="F13449" s="4" t="str">
        <f>IF(B13449=B13448,"",B13449)</f>
        <v/>
      </c>
    </row>
    <row r="13450" spans="1:6" ht="15.75" customHeight="1">
      <c r="A13450" s="6" t="s">
        <v>16861</v>
      </c>
      <c r="B13450" s="6" t="s">
        <v>16861</v>
      </c>
      <c r="C13450" s="6" t="s">
        <v>16852</v>
      </c>
      <c r="D13450" s="6" t="s">
        <v>16861</v>
      </c>
      <c r="E13450" s="2">
        <v>786714</v>
      </c>
      <c r="F13450" s="4" t="str">
        <f>IF(B13450=B13449,"",B13450)</f>
        <v>Pristina</v>
      </c>
    </row>
    <row r="13451" spans="1:6" ht="15.75" customHeight="1">
      <c r="A13451" s="5" t="str">
        <f ca="1">IFERROR(__xludf.DUMMYFUNCTION("GOOGLETRANSLATE(B45802,""en"",""pt"")"),"Pristina")</f>
        <v>Pristina</v>
      </c>
      <c r="B13451" s="17" t="s">
        <v>16861</v>
      </c>
      <c r="C13451" s="17" t="s">
        <v>16852</v>
      </c>
      <c r="D13451" s="17" t="s">
        <v>16861</v>
      </c>
      <c r="E13451" s="10">
        <v>786714</v>
      </c>
      <c r="F13451" s="4" t="str">
        <f>IF(B13451=B13450,"",B13451)</f>
        <v/>
      </c>
    </row>
    <row r="13452" spans="1:6" ht="15.75" customHeight="1">
      <c r="A13452" s="5" t="str">
        <f ca="1">IFERROR(__xludf.DUMMYFUNCTION("GOOGLETRANSLATE(B40179,""en"",""pt"")"),"Priozërsk")</f>
        <v>Priozërsk</v>
      </c>
      <c r="B13452" s="17" t="s">
        <v>35468</v>
      </c>
      <c r="C13452" s="17" t="s">
        <v>22070</v>
      </c>
      <c r="D13452" s="17" t="s">
        <v>22094</v>
      </c>
      <c r="E13452" s="10">
        <v>505230</v>
      </c>
      <c r="F13452" s="4" t="str">
        <f>IF(B13452=B13451,"",B13452)</f>
        <v>Priozërsk</v>
      </c>
    </row>
    <row r="13453" spans="1:6" ht="15.75" customHeight="1">
      <c r="A13453" s="6" t="s">
        <v>22967</v>
      </c>
      <c r="B13453" s="6" t="s">
        <v>22968</v>
      </c>
      <c r="C13453" s="6" t="s">
        <v>22070</v>
      </c>
      <c r="D13453" s="6" t="s">
        <v>22094</v>
      </c>
      <c r="E13453" s="2">
        <v>505230</v>
      </c>
      <c r="F13453" s="4" t="str">
        <f>IF(B13453=B13452,"",B13453)</f>
        <v>PriozÃ«rsk</v>
      </c>
    </row>
    <row r="13454" spans="1:6" ht="15.75" customHeight="1">
      <c r="A13454" s="5" t="s">
        <v>29746</v>
      </c>
      <c r="B13454" s="6" t="s">
        <v>29747</v>
      </c>
      <c r="C13454" s="5" t="s">
        <v>27788</v>
      </c>
      <c r="D13454" s="5" t="s">
        <v>27824</v>
      </c>
      <c r="E13454" s="2">
        <v>5042373</v>
      </c>
      <c r="F13454" s="4" t="str">
        <f>IF(B13454=B13453,"",B13454)</f>
        <v>Prior Lake</v>
      </c>
    </row>
    <row r="13455" spans="1:6" ht="15.75" customHeight="1">
      <c r="A13455" s="5" t="str">
        <f ca="1">IFERROR(__xludf.DUMMYFUNCTION("GOOGLETRANSLATE(B44186,""en"",""pt"")"),"Lago anterior")</f>
        <v>Lago anterior</v>
      </c>
      <c r="B13455" s="17" t="s">
        <v>29747</v>
      </c>
      <c r="C13455" s="17" t="s">
        <v>27788</v>
      </c>
      <c r="D13455" s="17" t="s">
        <v>27824</v>
      </c>
      <c r="E13455" s="10">
        <v>5042373</v>
      </c>
      <c r="F13455" s="4" t="str">
        <f>IF(B13455=B13454,"",B13455)</f>
        <v/>
      </c>
    </row>
    <row r="13456" spans="1:6" ht="15.75" customHeight="1">
      <c r="A13456" s="6" t="s">
        <v>29745</v>
      </c>
      <c r="B13456" s="6" t="s">
        <v>29745</v>
      </c>
      <c r="C13456" s="6" t="s">
        <v>27788</v>
      </c>
      <c r="D13456" s="6" t="s">
        <v>5468</v>
      </c>
      <c r="E13456" s="2">
        <v>4169345</v>
      </c>
      <c r="F13456" s="4" t="str">
        <f>IF(B13456=B13455,"",B13456)</f>
        <v>Princeton</v>
      </c>
    </row>
    <row r="13457" spans="1:6" ht="15.75" customHeight="1">
      <c r="A13457" s="5" t="str">
        <f ca="1">IFERROR(__xludf.DUMMYFUNCTION("GOOGLETRANSLATE(B42999,""en"",""pt"")"),"Princeton")</f>
        <v>Princeton</v>
      </c>
      <c r="B13457" s="17" t="s">
        <v>29745</v>
      </c>
      <c r="C13457" s="17" t="s">
        <v>27788</v>
      </c>
      <c r="D13457" s="17" t="s">
        <v>5468</v>
      </c>
      <c r="E13457" s="10">
        <v>4169345</v>
      </c>
      <c r="F13457" s="4" t="str">
        <f>IF(B13457=B13456,"",B13457)</f>
        <v/>
      </c>
    </row>
    <row r="13458" spans="1:6" ht="15.75" customHeight="1">
      <c r="A13458" s="5" t="s">
        <v>4151</v>
      </c>
      <c r="B13458" s="6" t="s">
        <v>4152</v>
      </c>
      <c r="C13458" s="5" t="s">
        <v>3975</v>
      </c>
      <c r="D13458" s="5" t="s">
        <v>3976</v>
      </c>
      <c r="E13458" s="2">
        <v>6113365</v>
      </c>
      <c r="F13458" s="4" t="str">
        <f>IF(B13458=B13457,"",B13458)</f>
        <v>Prince George</v>
      </c>
    </row>
    <row r="13459" spans="1:6" ht="15.75" customHeight="1">
      <c r="A13459" s="5" t="str">
        <f ca="1">IFERROR(__xludf.DUMMYFUNCTION("GOOGLETRANSLATE(B25553,""en"",""pt"")"),"Príncipe George")</f>
        <v>Príncipe George</v>
      </c>
      <c r="B13459" s="17" t="s">
        <v>4152</v>
      </c>
      <c r="C13459" s="17" t="s">
        <v>3975</v>
      </c>
      <c r="D13459" s="17" t="s">
        <v>3976</v>
      </c>
      <c r="E13459" s="10">
        <v>6113365</v>
      </c>
      <c r="F13459" s="4" t="str">
        <f>IF(B13459=B13458,"",B13459)</f>
        <v/>
      </c>
    </row>
    <row r="13460" spans="1:6" ht="15.75" customHeight="1">
      <c r="A13460" s="5" t="s">
        <v>4149</v>
      </c>
      <c r="B13460" s="6" t="s">
        <v>4150</v>
      </c>
      <c r="C13460" s="5" t="s">
        <v>3975</v>
      </c>
      <c r="D13460" s="5" t="s">
        <v>3980</v>
      </c>
      <c r="E13460" s="2">
        <v>6113355</v>
      </c>
      <c r="F13460" s="4" t="str">
        <f>IF(B13460=B13459,"",B13460)</f>
        <v>Prince Edward</v>
      </c>
    </row>
    <row r="13461" spans="1:6" ht="15.75" customHeight="1">
      <c r="A13461" s="5" t="str">
        <f ca="1">IFERROR(__xludf.DUMMYFUNCTION("GOOGLETRANSLATE(B25552,""en"",""pt"")"),"Príncipe edward")</f>
        <v>Príncipe edward</v>
      </c>
      <c r="B13461" s="17" t="s">
        <v>4150</v>
      </c>
      <c r="C13461" s="17" t="s">
        <v>3975</v>
      </c>
      <c r="D13461" s="17" t="s">
        <v>3980</v>
      </c>
      <c r="E13461" s="10">
        <v>6113355</v>
      </c>
      <c r="F13461" s="4" t="str">
        <f>IF(B13461=B13460,"",B13461)</f>
        <v/>
      </c>
    </row>
    <row r="13462" spans="1:6" ht="15.75" customHeight="1">
      <c r="A13462" s="5" t="s">
        <v>4147</v>
      </c>
      <c r="B13462" s="6" t="s">
        <v>4148</v>
      </c>
      <c r="C13462" s="5" t="s">
        <v>3975</v>
      </c>
      <c r="D13462" s="5" t="s">
        <v>4087</v>
      </c>
      <c r="E13462" s="2">
        <v>6113335</v>
      </c>
      <c r="F13462" s="4" t="str">
        <f>IF(B13462=B13461,"",B13462)</f>
        <v>Prince Albert</v>
      </c>
    </row>
    <row r="13463" spans="1:6" ht="15.75" customHeight="1">
      <c r="A13463" s="5" t="str">
        <f ca="1">IFERROR(__xludf.DUMMYFUNCTION("GOOGLETRANSLATE(B25551,""en"",""pt"")"),"Príncipe Albert")</f>
        <v>Príncipe Albert</v>
      </c>
      <c r="B13463" s="17" t="s">
        <v>4148</v>
      </c>
      <c r="C13463" s="17" t="s">
        <v>3975</v>
      </c>
      <c r="D13463" s="17" t="s">
        <v>4087</v>
      </c>
      <c r="E13463" s="10">
        <v>6113335</v>
      </c>
      <c r="F13463" s="4" t="str">
        <f>IF(B13463=B13462,"",B13463)</f>
        <v/>
      </c>
    </row>
    <row r="13464" spans="1:6" ht="15.75" customHeight="1">
      <c r="A13464" s="5" t="s">
        <v>22966</v>
      </c>
      <c r="B13464" s="6" t="s">
        <v>22966</v>
      </c>
      <c r="C13464" s="5" t="s">
        <v>22070</v>
      </c>
      <c r="D13464" s="5" t="s">
        <v>22077</v>
      </c>
      <c r="E13464" s="2">
        <v>505259</v>
      </c>
      <c r="F13464" s="4" t="str">
        <f>IF(B13464=B13463,"",B13464)</f>
        <v>Primorsko-Akhtarsk</v>
      </c>
    </row>
    <row r="13465" spans="1:6" ht="15.75" customHeight="1">
      <c r="A13465" s="5" t="str">
        <f ca="1">IFERROR(__xludf.DUMMYFUNCTION("GOOGLETRANSLATE(B40180,""en"",""pt"")"),"Primorsko-Akhtarsk")</f>
        <v>Primorsko-Akhtarsk</v>
      </c>
      <c r="B13465" s="17" t="s">
        <v>22966</v>
      </c>
      <c r="C13465" s="17" t="s">
        <v>22070</v>
      </c>
      <c r="D13465" s="17" t="s">
        <v>22077</v>
      </c>
      <c r="E13465" s="10">
        <v>505259</v>
      </c>
      <c r="F13465" s="4" t="str">
        <f>IF(B13465=B13464,"",B13465)</f>
        <v/>
      </c>
    </row>
    <row r="13466" spans="1:6" ht="15.75" customHeight="1">
      <c r="A13466" s="5" t="s">
        <v>5889</v>
      </c>
      <c r="B13466" s="6" t="s">
        <v>5889</v>
      </c>
      <c r="C13466" s="5" t="s">
        <v>5764</v>
      </c>
      <c r="D13466" s="5" t="s">
        <v>5785</v>
      </c>
      <c r="E13466" s="2">
        <v>3543498</v>
      </c>
      <c r="F13466" s="4" t="str">
        <f>IF(B13466=B13465,"",B13466)</f>
        <v>Primero de Enero</v>
      </c>
    </row>
    <row r="13467" spans="1:6" ht="15.75" customHeight="1">
      <c r="A13467" s="5" t="str">
        <f ca="1">IFERROR(__xludf.DUMMYFUNCTION("GOOGLETRANSLATE(B27133,""en"",""pt"")"),"Primero de Enero")</f>
        <v>Primero de Enero</v>
      </c>
      <c r="B13467" s="17" t="s">
        <v>5889</v>
      </c>
      <c r="C13467" s="17" t="s">
        <v>5764</v>
      </c>
      <c r="D13467" s="17" t="s">
        <v>31905</v>
      </c>
      <c r="E13467" s="10">
        <v>3543498</v>
      </c>
      <c r="F13467" s="4" t="str">
        <f>IF(B13467=B13466,"",B13467)</f>
        <v/>
      </c>
    </row>
    <row r="13468" spans="1:6" ht="15.75" customHeight="1">
      <c r="A13468" s="5" t="s">
        <v>24715</v>
      </c>
      <c r="B13468" s="6" t="s">
        <v>24715</v>
      </c>
      <c r="C13468" s="5" t="s">
        <v>24200</v>
      </c>
      <c r="D13468" s="5" t="s">
        <v>24320</v>
      </c>
      <c r="E13468" s="2">
        <v>8050888</v>
      </c>
      <c r="F13468" s="4" t="str">
        <f>IF(B13468=B13467,"",B13468)</f>
        <v>Primer Ensanche</v>
      </c>
    </row>
    <row r="13469" spans="1:6" ht="15.75" customHeight="1">
      <c r="A13469" s="5" t="str">
        <f ca="1">IFERROR(__xludf.DUMMYFUNCTION("GOOGLETRANSLATE(B29514,""en"",""pt"")"),"Primer Ensanche")</f>
        <v>Primer Ensanche</v>
      </c>
      <c r="B13469" s="17" t="s">
        <v>24715</v>
      </c>
      <c r="C13469" s="17" t="s">
        <v>24200</v>
      </c>
      <c r="D13469" s="17" t="s">
        <v>24320</v>
      </c>
      <c r="E13469" s="10">
        <v>8050888</v>
      </c>
      <c r="F13469" s="4" t="str">
        <f>IF(B13469=B13468,"",B13469)</f>
        <v/>
      </c>
    </row>
    <row r="13470" spans="1:6" ht="15.75" customHeight="1">
      <c r="A13470" s="6" t="s">
        <v>17279</v>
      </c>
      <c r="B13470" s="6" t="s">
        <v>17279</v>
      </c>
      <c r="C13470" s="6" t="s">
        <v>17221</v>
      </c>
      <c r="D13470" s="6" t="s">
        <v>17279</v>
      </c>
      <c r="E13470" s="2">
        <v>786735</v>
      </c>
      <c r="F13470" s="4" t="str">
        <f>IF(B13470=B13469,"",B13470)</f>
        <v>Prilep</v>
      </c>
    </row>
    <row r="13471" spans="1:6" ht="15.75" customHeight="1">
      <c r="A13471" s="5" t="str">
        <f ca="1">IFERROR(__xludf.DUMMYFUNCTION("GOOGLETRANSLATE(B36654,""en"",""pt"")"),"Prilep")</f>
        <v>Prilep</v>
      </c>
      <c r="B13471" s="17" t="s">
        <v>17279</v>
      </c>
      <c r="C13471" s="17" t="s">
        <v>17221</v>
      </c>
      <c r="D13471" s="17" t="s">
        <v>17279</v>
      </c>
      <c r="E13471" s="10">
        <v>786735</v>
      </c>
      <c r="F13471" s="4" t="str">
        <f>IF(B13471=B13470,"",B13471)</f>
        <v/>
      </c>
    </row>
    <row r="13472" spans="1:6" ht="15.75" customHeight="1">
      <c r="A13472" s="6" t="s">
        <v>1867</v>
      </c>
      <c r="B13472" s="6" t="s">
        <v>1867</v>
      </c>
      <c r="C13472" s="6" t="s">
        <v>1845</v>
      </c>
      <c r="D13472" s="6" t="s">
        <v>1846</v>
      </c>
      <c r="E13472" s="2">
        <v>3192409</v>
      </c>
      <c r="F13472" s="4" t="str">
        <f>IF(B13472=B13471,"",B13472)</f>
        <v>Prijedor</v>
      </c>
    </row>
    <row r="13473" spans="1:6" ht="15.75" customHeight="1">
      <c r="A13473" s="5" t="str">
        <f ca="1">IFERROR(__xludf.DUMMYFUNCTION("GOOGLETRANSLATE(B23678,""en"",""pt"")"),"Prijedor")</f>
        <v>Prijedor</v>
      </c>
      <c r="B13473" s="17" t="s">
        <v>1867</v>
      </c>
      <c r="C13473" s="17" t="s">
        <v>1845</v>
      </c>
      <c r="D13473" s="17" t="s">
        <v>1846</v>
      </c>
      <c r="E13473" s="10">
        <v>3192409</v>
      </c>
      <c r="F13473" s="4" t="str">
        <f>IF(B13473=B13472,"",B13473)</f>
        <v/>
      </c>
    </row>
    <row r="13474" spans="1:6" ht="15.75" customHeight="1">
      <c r="A13474" s="6" t="s">
        <v>14111</v>
      </c>
      <c r="B13474" s="6" t="s">
        <v>14111</v>
      </c>
      <c r="C13474" s="6" t="s">
        <v>13800</v>
      </c>
      <c r="D13474" s="6" t="s">
        <v>13816</v>
      </c>
      <c r="E13474" s="2">
        <v>1630649</v>
      </c>
      <c r="F13474" s="4" t="str">
        <f>IF(B13474=B13473,"",B13474)</f>
        <v>Prigen</v>
      </c>
    </row>
    <row r="13475" spans="1:6" ht="15.75" customHeight="1">
      <c r="A13475" s="5" t="str">
        <f ca="1">IFERROR(__xludf.DUMMYFUNCTION("GOOGLETRANSLATE(B31481,""en"",""pt"")"),"Prigen")</f>
        <v>Prigen</v>
      </c>
      <c r="B13475" s="17" t="s">
        <v>14111</v>
      </c>
      <c r="C13475" s="17" t="s">
        <v>13800</v>
      </c>
      <c r="D13475" s="17" t="s">
        <v>13816</v>
      </c>
      <c r="E13475" s="10">
        <v>1630649</v>
      </c>
      <c r="F13475" s="4" t="str">
        <f>IF(B13475=B13474,"",B13475)</f>
        <v/>
      </c>
    </row>
    <row r="13476" spans="1:6" ht="15.75" customHeight="1">
      <c r="A13476" s="6" t="s">
        <v>23759</v>
      </c>
      <c r="B13476" s="6" t="s">
        <v>23759</v>
      </c>
      <c r="C13476" s="6" t="s">
        <v>23694</v>
      </c>
      <c r="D13476" s="6" t="s">
        <v>23715</v>
      </c>
      <c r="E13476" s="2">
        <v>3058000</v>
      </c>
      <c r="F13476" s="4" t="str">
        <f>IF(B13476=B13475,"",B13476)</f>
        <v>Prievidza</v>
      </c>
    </row>
    <row r="13477" spans="1:6" ht="15.75" customHeight="1">
      <c r="A13477" s="5" t="str">
        <f ca="1">IFERROR(__xludf.DUMMYFUNCTION("GOOGLETRANSLATE(B41246,""en"",""pt"")"),"PrieDza")</f>
        <v>PrieDza</v>
      </c>
      <c r="B13477" s="17" t="s">
        <v>23759</v>
      </c>
      <c r="C13477" s="17" t="s">
        <v>23694</v>
      </c>
      <c r="D13477" s="17" t="s">
        <v>23715</v>
      </c>
      <c r="E13477" s="10">
        <v>3058000</v>
      </c>
      <c r="F13477" s="4" t="str">
        <f>IF(B13477=B13476,"",B13477)</f>
        <v/>
      </c>
    </row>
    <row r="13478" spans="1:6" ht="15.75" customHeight="1">
      <c r="A13478" s="5" t="str">
        <f ca="1">IFERROR(__xludf.DUMMYFUNCTION("GOOGLETRANSLATE(B29023,""en"",""pt"")"),"Priego de Córdoba")</f>
        <v>Priego de Córdoba</v>
      </c>
      <c r="B13478" s="17" t="s">
        <v>32362</v>
      </c>
      <c r="C13478" s="17" t="s">
        <v>24200</v>
      </c>
      <c r="D13478" s="17" t="s">
        <v>24205</v>
      </c>
      <c r="E13478" s="10">
        <v>2512282</v>
      </c>
      <c r="F13478" s="4" t="str">
        <f>IF(B13478=B13477,"",B13478)</f>
        <v>Priego de Córdoba</v>
      </c>
    </row>
    <row r="13479" spans="1:6" ht="15.75" customHeight="1">
      <c r="A13479" s="5" t="s">
        <v>24713</v>
      </c>
      <c r="B13479" s="6" t="s">
        <v>24714</v>
      </c>
      <c r="C13479" s="5" t="s">
        <v>24200</v>
      </c>
      <c r="D13479" s="5" t="s">
        <v>24205</v>
      </c>
      <c r="E13479" s="2">
        <v>2512282</v>
      </c>
      <c r="F13479" s="4" t="str">
        <f>IF(B13479=B13478,"",B13479)</f>
        <v>Priego de CÃ³rdoba</v>
      </c>
    </row>
    <row r="13480" spans="1:6" ht="15.75" customHeight="1">
      <c r="A13480" s="5" t="s">
        <v>22965</v>
      </c>
      <c r="B13480" s="6" t="s">
        <v>22965</v>
      </c>
      <c r="C13480" s="5" t="s">
        <v>22070</v>
      </c>
      <c r="D13480" s="5" t="s">
        <v>22137</v>
      </c>
      <c r="E13480" s="2">
        <v>505421</v>
      </c>
      <c r="F13480" s="4" t="str">
        <f>IF(B13480=B13479,"",B13480)</f>
        <v>Pridonskoy</v>
      </c>
    </row>
    <row r="13481" spans="1:6" ht="15.75" customHeight="1">
      <c r="A13481" s="5" t="str">
        <f ca="1">IFERROR(__xludf.DUMMYFUNCTION("GOOGLETRANSLATE(B40181,""en"",""pt"")"),"Pridonskoy")</f>
        <v>Pridonskoy</v>
      </c>
      <c r="B13481" s="17" t="s">
        <v>22965</v>
      </c>
      <c r="C13481" s="17" t="s">
        <v>22070</v>
      </c>
      <c r="D13481" s="17" t="s">
        <v>22137</v>
      </c>
      <c r="E13481" s="10">
        <v>505421</v>
      </c>
      <c r="F13481" s="4" t="str">
        <f>IF(B13481=B13480,"",B13481)</f>
        <v/>
      </c>
    </row>
    <row r="13482" spans="1:6" ht="15.75" customHeight="1">
      <c r="A13482" s="6" t="s">
        <v>29744</v>
      </c>
      <c r="B13482" s="6" t="s">
        <v>29744</v>
      </c>
      <c r="C13482" s="6" t="s">
        <v>27788</v>
      </c>
      <c r="D13482" s="6" t="s">
        <v>28023</v>
      </c>
      <c r="E13482" s="2">
        <v>4084888</v>
      </c>
      <c r="F13482" s="4" t="str">
        <f>IF(B13482=B13481,"",B13482)</f>
        <v>Prichard</v>
      </c>
    </row>
    <row r="13483" spans="1:6" ht="15.75" customHeight="1">
      <c r="A13483" s="5" t="str">
        <f ca="1">IFERROR(__xludf.DUMMYFUNCTION("GOOGLETRANSLATE(B42798,""en"",""pt"")"),"Prichard")</f>
        <v>Prichard</v>
      </c>
      <c r="B13483" s="17" t="s">
        <v>29744</v>
      </c>
      <c r="C13483" s="17" t="s">
        <v>27788</v>
      </c>
      <c r="D13483" s="17" t="s">
        <v>28023</v>
      </c>
      <c r="E13483" s="10">
        <v>4084888</v>
      </c>
      <c r="F13483" s="4" t="str">
        <f>IF(B13483=B13482,"",B13483)</f>
        <v/>
      </c>
    </row>
    <row r="13484" spans="1:6" ht="15.75" customHeight="1">
      <c r="A13484" s="5" t="str">
        <f ca="1">IFERROR(__xludf.DUMMYFUNCTION("GOOGLETRANSLATE(B27271,""en"",""pt"")"),"Příbram")</f>
        <v>Příbram</v>
      </c>
      <c r="B13484" s="17" t="s">
        <v>31964</v>
      </c>
      <c r="C13484" s="17" t="s">
        <v>5947</v>
      </c>
      <c r="D13484" s="17" t="s">
        <v>5985</v>
      </c>
      <c r="E13484" s="10">
        <v>3067542</v>
      </c>
      <c r="F13484" s="4" t="str">
        <f>IF(B13484=B13483,"",B13484)</f>
        <v>Příbram</v>
      </c>
    </row>
    <row r="13485" spans="1:6" ht="15.75" customHeight="1">
      <c r="A13485" s="5" t="s">
        <v>3860</v>
      </c>
      <c r="B13485" s="6" t="s">
        <v>3861</v>
      </c>
      <c r="C13485" s="5" t="s">
        <v>3838</v>
      </c>
      <c r="D13485" s="5" t="s">
        <v>3861</v>
      </c>
      <c r="E13485" s="2">
        <v>1822610</v>
      </c>
      <c r="F13485" s="4" t="str">
        <f>IF(B13485=B13484,"",B13485)</f>
        <v>Prey Veng</v>
      </c>
    </row>
    <row r="13486" spans="1:6" ht="15.75" customHeight="1">
      <c r="A13486" s="5" t="str">
        <f ca="1">IFERROR(__xludf.DUMMYFUNCTION("GOOGLETRANSLATE(B35966,""en"",""pt"")"),"Presa veng")</f>
        <v>Presa veng</v>
      </c>
      <c r="B13486" s="17" t="s">
        <v>3861</v>
      </c>
      <c r="C13486" s="17" t="s">
        <v>3838</v>
      </c>
      <c r="D13486" s="17" t="s">
        <v>3861</v>
      </c>
      <c r="E13486" s="10">
        <v>1822610</v>
      </c>
      <c r="F13486" s="4" t="str">
        <f>IF(B13486=B13485,"",B13486)</f>
        <v/>
      </c>
    </row>
    <row r="13487" spans="1:6" ht="15.75" customHeight="1">
      <c r="A13487" s="5" t="str">
        <f ca="1">IFERROR(__xludf.DUMMYFUNCTION("GOOGLETRANSLATE(B30963,""en"",""pt"")"),"Prévez")</f>
        <v>Prévez</v>
      </c>
      <c r="B13487" s="17" t="s">
        <v>32675</v>
      </c>
      <c r="C13487" s="17" t="s">
        <v>9441</v>
      </c>
      <c r="D13487" s="17" t="s">
        <v>9456</v>
      </c>
      <c r="E13487" s="10">
        <v>254698</v>
      </c>
      <c r="F13487" s="4" t="str">
        <f>IF(B13487=B13486,"",B13487)</f>
        <v>Préveza</v>
      </c>
    </row>
    <row r="13488" spans="1:6" ht="15.75" customHeight="1">
      <c r="A13488" s="6" t="s">
        <v>23962</v>
      </c>
      <c r="B13488" s="6" t="s">
        <v>23963</v>
      </c>
      <c r="C13488" s="6" t="s">
        <v>23842</v>
      </c>
      <c r="D13488" s="6" t="s">
        <v>23855</v>
      </c>
      <c r="E13488" s="2">
        <v>964137</v>
      </c>
      <c r="F13488" s="4" t="str">
        <f>IF(B13488=B13487,"",B13488)</f>
        <v>Pretoria</v>
      </c>
    </row>
    <row r="13489" spans="1:6" ht="15.75" customHeight="1">
      <c r="A13489" s="5" t="str">
        <f ca="1">IFERROR(__xludf.DUMMYFUNCTION("GOOGLETRANSLATE(B45889,""en"",""pt"")"),"Pretória")</f>
        <v>Pretória</v>
      </c>
      <c r="B13489" s="17" t="s">
        <v>23963</v>
      </c>
      <c r="C13489" s="17" t="s">
        <v>23842</v>
      </c>
      <c r="D13489" s="17" t="s">
        <v>23855</v>
      </c>
      <c r="E13489" s="10">
        <v>964137</v>
      </c>
      <c r="F13489" s="4" t="str">
        <f>IF(B13489=B13488,"",B13489)</f>
        <v/>
      </c>
    </row>
    <row r="13490" spans="1:6" ht="15.75" customHeight="1">
      <c r="A13490" s="6" t="s">
        <v>27616</v>
      </c>
      <c r="B13490" s="6" t="s">
        <v>27616</v>
      </c>
      <c r="C13490" s="6" t="s">
        <v>27234</v>
      </c>
      <c r="D13490" s="6" t="s">
        <v>27237</v>
      </c>
      <c r="E13490" s="2">
        <v>2639896</v>
      </c>
      <c r="F13490" s="4" t="str">
        <f>IF(B13490=B13489,"",B13490)</f>
        <v>Prestwick</v>
      </c>
    </row>
    <row r="13491" spans="1:6" ht="15.75" customHeight="1">
      <c r="A13491" s="5" t="str">
        <f ca="1">IFERROR(__xludf.DUMMYFUNCTION("GOOGLETRANSLATE(B30461,""en"",""pt"")"),"Prestwick")</f>
        <v>Prestwick</v>
      </c>
      <c r="B13491" s="17" t="s">
        <v>27616</v>
      </c>
      <c r="C13491" s="17" t="s">
        <v>27234</v>
      </c>
      <c r="D13491" s="17" t="s">
        <v>27237</v>
      </c>
      <c r="E13491" s="10">
        <v>2639896</v>
      </c>
      <c r="F13491" s="4" t="str">
        <f>IF(B13491=B13490,"",B13491)</f>
        <v/>
      </c>
    </row>
    <row r="13492" spans="1:6" ht="15.75" customHeight="1">
      <c r="A13492" s="6" t="s">
        <v>27615</v>
      </c>
      <c r="B13492" s="6" t="s">
        <v>27615</v>
      </c>
      <c r="C13492" s="6" t="s">
        <v>27234</v>
      </c>
      <c r="D13492" s="6" t="s">
        <v>27241</v>
      </c>
      <c r="E13492" s="2">
        <v>2639897</v>
      </c>
      <c r="F13492" s="4" t="str">
        <f>IF(B13492=B13491,"",B13492)</f>
        <v>Prestwich</v>
      </c>
    </row>
    <row r="13493" spans="1:6" ht="15.75" customHeight="1">
      <c r="A13493" s="5" t="str">
        <f ca="1">IFERROR(__xludf.DUMMYFUNCTION("GOOGLETRANSLATE(B30462,""en"",""pt"")"),"Prestwich")</f>
        <v>Prestwich</v>
      </c>
      <c r="B13493" s="17" t="s">
        <v>27615</v>
      </c>
      <c r="C13493" s="17" t="s">
        <v>27234</v>
      </c>
      <c r="D13493" s="17" t="s">
        <v>27241</v>
      </c>
      <c r="E13493" s="10">
        <v>2639897</v>
      </c>
      <c r="F13493" s="4" t="str">
        <f>IF(B13493=B13492,"",B13493)</f>
        <v/>
      </c>
    </row>
    <row r="13494" spans="1:6" ht="15.75" customHeight="1">
      <c r="A13494" s="6" t="s">
        <v>1063</v>
      </c>
      <c r="B13494" s="6" t="s">
        <v>1063</v>
      </c>
      <c r="C13494" s="6" t="s">
        <v>885</v>
      </c>
      <c r="D13494" s="6" t="s">
        <v>827</v>
      </c>
      <c r="E13494" s="2">
        <v>2152558</v>
      </c>
      <c r="F13494" s="4" t="str">
        <f>IF(B13494=B13493,"",B13494)</f>
        <v>Preston</v>
      </c>
    </row>
    <row r="13495" spans="1:6" ht="15.75" customHeight="1">
      <c r="A13495" s="6" t="s">
        <v>1063</v>
      </c>
      <c r="B13495" s="6" t="s">
        <v>1063</v>
      </c>
      <c r="C13495" s="6" t="s">
        <v>27234</v>
      </c>
      <c r="D13495" s="6" t="s">
        <v>27241</v>
      </c>
      <c r="E13495" s="2">
        <v>2639912</v>
      </c>
      <c r="F13495" s="4" t="str">
        <f>IF(B13495=B13494,"",B13495)</f>
        <v/>
      </c>
    </row>
    <row r="13496" spans="1:6" ht="15.75" customHeight="1">
      <c r="A13496" s="5" t="str">
        <f ca="1">IFERROR(__xludf.DUMMYFUNCTION("GOOGLETRANSLATE(B23462,""en"",""pt"")"),"Preston")</f>
        <v>Preston</v>
      </c>
      <c r="B13496" s="17" t="s">
        <v>1063</v>
      </c>
      <c r="C13496" s="17" t="s">
        <v>885</v>
      </c>
      <c r="D13496" s="17" t="s">
        <v>827</v>
      </c>
      <c r="E13496" s="10">
        <v>2152558</v>
      </c>
      <c r="F13496" s="4" t="str">
        <f>IF(B13496=B13495,"",B13496)</f>
        <v/>
      </c>
    </row>
    <row r="13497" spans="1:6" ht="15.75" customHeight="1">
      <c r="A13497" s="5" t="str">
        <f ca="1">IFERROR(__xludf.DUMMYFUNCTION("GOOGLETRANSLATE(B30463,""en"",""pt"")"),"Preston")</f>
        <v>Preston</v>
      </c>
      <c r="B13497" s="17" t="s">
        <v>1063</v>
      </c>
      <c r="C13497" s="17" t="s">
        <v>27234</v>
      </c>
      <c r="D13497" s="17" t="s">
        <v>27241</v>
      </c>
      <c r="E13497" s="10">
        <v>2639912</v>
      </c>
      <c r="F13497" s="4" t="str">
        <f>IF(B13497=B13496,"",B13497)</f>
        <v/>
      </c>
    </row>
    <row r="13498" spans="1:6" ht="15.75" customHeight="1">
      <c r="A13498" s="6" t="s">
        <v>9413</v>
      </c>
      <c r="B13498" s="6" t="s">
        <v>9413</v>
      </c>
      <c r="C13498" s="6" t="s">
        <v>9365</v>
      </c>
      <c r="D13498" s="6" t="s">
        <v>6944</v>
      </c>
      <c r="E13498" s="2">
        <v>2295840</v>
      </c>
      <c r="F13498" s="4" t="str">
        <f>IF(B13498=B13497,"",B13498)</f>
        <v>Prestea</v>
      </c>
    </row>
    <row r="13499" spans="1:6" ht="15.75" customHeight="1">
      <c r="A13499" s="5" t="str">
        <f ca="1">IFERROR(__xludf.DUMMYFUNCTION("GOOGLETRANSLATE(B30875,""en"",""pt"")"),"Prestea")</f>
        <v>Prestea</v>
      </c>
      <c r="B13499" s="17" t="s">
        <v>9413</v>
      </c>
      <c r="C13499" s="17" t="s">
        <v>9365</v>
      </c>
      <c r="D13499" s="17" t="s">
        <v>6944</v>
      </c>
      <c r="E13499" s="10">
        <v>2295840</v>
      </c>
      <c r="F13499" s="4" t="str">
        <f>IF(B13499=B13498,"",B13499)</f>
        <v/>
      </c>
    </row>
    <row r="13500" spans="1:6" ht="15.75" customHeight="1">
      <c r="A13500" s="6" t="s">
        <v>27614</v>
      </c>
      <c r="B13500" s="6" t="s">
        <v>27614</v>
      </c>
      <c r="C13500" s="6" t="s">
        <v>27234</v>
      </c>
      <c r="D13500" s="6" t="s">
        <v>27235</v>
      </c>
      <c r="E13500" s="2">
        <v>2639926</v>
      </c>
      <c r="F13500" s="4" t="str">
        <f>IF(B13500=B13499,"",B13500)</f>
        <v>Prestatyn</v>
      </c>
    </row>
    <row r="13501" spans="1:6" ht="15.75" customHeight="1">
      <c r="A13501" s="5" t="str">
        <f ca="1">IFERROR(__xludf.DUMMYFUNCTION("GOOGLETRANSLATE(B30464,""en"",""pt"")"),"Prestatyn")</f>
        <v>Prestatyn</v>
      </c>
      <c r="B13501" s="17" t="s">
        <v>27614</v>
      </c>
      <c r="C13501" s="17" t="s">
        <v>27234</v>
      </c>
      <c r="D13501" s="17" t="s">
        <v>27235</v>
      </c>
      <c r="E13501" s="10">
        <v>2639926</v>
      </c>
      <c r="F13501" s="4" t="str">
        <f>IF(B13501=B13500,"",B13501)</f>
        <v/>
      </c>
    </row>
    <row r="13502" spans="1:6" ht="15.75" customHeight="1">
      <c r="A13502" s="5" t="str">
        <f ca="1">IFERROR(__xludf.DUMMYFUNCTION("GOOGLETRANSLATE(B41228,""en"",""pt"")"),"Prešov")</f>
        <v>Prešov</v>
      </c>
      <c r="B13502" s="17" t="s">
        <v>35674</v>
      </c>
      <c r="C13502" s="17" t="s">
        <v>23694</v>
      </c>
      <c r="D13502" s="17" t="s">
        <v>35666</v>
      </c>
      <c r="E13502" s="10">
        <v>723819</v>
      </c>
      <c r="F13502" s="4" t="str">
        <f>IF(B13502=B13501,"",B13502)</f>
        <v>Prešov</v>
      </c>
    </row>
    <row r="13503" spans="1:6" ht="15.75" customHeight="1">
      <c r="A13503" s="5" t="s">
        <v>22964</v>
      </c>
      <c r="B13503" s="6" t="s">
        <v>22964</v>
      </c>
      <c r="C13503" s="5" t="s">
        <v>22070</v>
      </c>
      <c r="D13503" s="5" t="s">
        <v>22119</v>
      </c>
      <c r="E13503" s="2">
        <v>542634</v>
      </c>
      <c r="F13503" s="4" t="str">
        <f>IF(B13503=B13502,"",B13503)</f>
        <v>Presnenskiy</v>
      </c>
    </row>
    <row r="13504" spans="1:6" ht="15.75" customHeight="1">
      <c r="A13504" s="5" t="str">
        <f ca="1">IFERROR(__xludf.DUMMYFUNCTION("GOOGLETRANSLATE(B40415,""en"",""pt"")"),"Presnenskiy")</f>
        <v>Presnenskiy</v>
      </c>
      <c r="B13504" s="17" t="s">
        <v>22964</v>
      </c>
      <c r="C13504" s="17" t="s">
        <v>22070</v>
      </c>
      <c r="D13504" s="17" t="s">
        <v>22119</v>
      </c>
      <c r="E13504" s="10">
        <v>542634</v>
      </c>
      <c r="F13504" s="4" t="str">
        <f>IF(B13504=B13503,"",B13504)</f>
        <v/>
      </c>
    </row>
    <row r="13505" spans="1:6" ht="15.75" customHeight="1">
      <c r="A13505" s="5" t="s">
        <v>3176</v>
      </c>
      <c r="B13505" s="6" t="s">
        <v>3176</v>
      </c>
      <c r="C13505" s="5" t="s">
        <v>1905</v>
      </c>
      <c r="D13505" s="5" t="s">
        <v>1914</v>
      </c>
      <c r="E13505" s="2">
        <v>3452320</v>
      </c>
      <c r="F13505" s="4" t="str">
        <f>IF(B13505=B13504,"",B13505)</f>
        <v>Presidente Venceslau</v>
      </c>
    </row>
    <row r="13506" spans="1:6" ht="15.75" customHeight="1">
      <c r="A13506" s="5" t="str">
        <f ca="1">IFERROR(__xludf.DUMMYFUNCTION("GOOGLETRANSLATE(B24666,""en"",""pt"")"),"Presidente Venceslau")</f>
        <v>Presidente Venceslau</v>
      </c>
      <c r="B13506" s="17" t="s">
        <v>3176</v>
      </c>
      <c r="C13506" s="17" t="s">
        <v>1905</v>
      </c>
      <c r="D13506" s="17" t="s">
        <v>3354</v>
      </c>
      <c r="E13506" s="10">
        <v>3452320</v>
      </c>
      <c r="F13506" s="4" t="str">
        <f>IF(B13506=B13505,"",B13506)</f>
        <v/>
      </c>
    </row>
    <row r="13507" spans="1:6" ht="15.75" customHeight="1">
      <c r="A13507" s="5" t="s">
        <v>3175</v>
      </c>
      <c r="B13507" s="6" t="s">
        <v>3175</v>
      </c>
      <c r="C13507" s="5" t="s">
        <v>1905</v>
      </c>
      <c r="D13507" s="5" t="s">
        <v>1914</v>
      </c>
      <c r="E13507" s="2">
        <v>3452324</v>
      </c>
      <c r="F13507" s="4" t="str">
        <f>IF(B13507=B13506,"",B13507)</f>
        <v>Presidente Prudente</v>
      </c>
    </row>
    <row r="13508" spans="1:6" ht="15.75" customHeight="1">
      <c r="A13508" s="5" t="str">
        <f ca="1">IFERROR(__xludf.DUMMYFUNCTION("GOOGLETRANSLATE(B24667,""en"",""pt"")"),"Presidente Prudente")</f>
        <v>Presidente Prudente</v>
      </c>
      <c r="B13508" s="17" t="s">
        <v>3175</v>
      </c>
      <c r="C13508" s="17" t="s">
        <v>1905</v>
      </c>
      <c r="D13508" s="17" t="s">
        <v>3354</v>
      </c>
      <c r="E13508" s="10">
        <v>3452324</v>
      </c>
      <c r="F13508" s="4" t="str">
        <f>IF(B13508=B13507,"",B13508)</f>
        <v/>
      </c>
    </row>
    <row r="13509" spans="1:6" ht="15.75" customHeight="1">
      <c r="A13509" s="5" t="s">
        <v>20462</v>
      </c>
      <c r="B13509" s="6" t="s">
        <v>20462</v>
      </c>
      <c r="C13509" s="5" t="s">
        <v>20433</v>
      </c>
      <c r="D13509" s="5" t="s">
        <v>20444</v>
      </c>
      <c r="E13509" s="2">
        <v>3437444</v>
      </c>
      <c r="F13509" s="4" t="str">
        <f>IF(B13509=B13508,"",B13509)</f>
        <v>Presidente Franco</v>
      </c>
    </row>
    <row r="13510" spans="1:6" ht="15.75" customHeight="1">
      <c r="A13510" s="5" t="str">
        <f ca="1">IFERROR(__xludf.DUMMYFUNCTION("GOOGLETRANSLATE(B39684,""en"",""pt"")"),"Presidente Franco")</f>
        <v>Presidente Franco</v>
      </c>
      <c r="B13510" s="17" t="s">
        <v>20462</v>
      </c>
      <c r="C13510" s="17" t="s">
        <v>20433</v>
      </c>
      <c r="D13510" s="17" t="s">
        <v>35313</v>
      </c>
      <c r="E13510" s="10">
        <v>3437444</v>
      </c>
      <c r="F13510" s="4" t="str">
        <f>IF(B13510=B13509,"",B13510)</f>
        <v/>
      </c>
    </row>
    <row r="13511" spans="1:6" ht="15.75" customHeight="1">
      <c r="A13511" s="5" t="str">
        <f ca="1">IFERROR(__xludf.DUMMYFUNCTION("GOOGLETRANSLATE(B24668,""en"",""pt"")"),"Presidente Epitácio")</f>
        <v>Presidente Epitácio</v>
      </c>
      <c r="B13511" s="17" t="s">
        <v>31542</v>
      </c>
      <c r="C13511" s="17" t="s">
        <v>1905</v>
      </c>
      <c r="D13511" s="17" t="s">
        <v>3354</v>
      </c>
      <c r="E13511" s="10">
        <v>3452331</v>
      </c>
      <c r="F13511" s="4" t="str">
        <f>IF(B13511=B13510,"",B13511)</f>
        <v>Presidente Epitácio</v>
      </c>
    </row>
    <row r="13512" spans="1:6" ht="15.75" customHeight="1">
      <c r="A13512" s="5" t="s">
        <v>3173</v>
      </c>
      <c r="B13512" s="6" t="s">
        <v>3174</v>
      </c>
      <c r="C13512" s="5" t="s">
        <v>1905</v>
      </c>
      <c r="D13512" s="5" t="s">
        <v>1914</v>
      </c>
      <c r="E13512" s="2">
        <v>3452331</v>
      </c>
      <c r="F13512" s="4" t="str">
        <f>IF(B13512=B13511,"",B13512)</f>
        <v>Presidente EpitÃ¡cio</v>
      </c>
    </row>
    <row r="13513" spans="1:6" ht="15.75" customHeight="1">
      <c r="A13513" s="5" t="s">
        <v>3172</v>
      </c>
      <c r="B13513" s="6" t="s">
        <v>3172</v>
      </c>
      <c r="C13513" s="5" t="s">
        <v>1905</v>
      </c>
      <c r="D13513" s="5" t="s">
        <v>2024</v>
      </c>
      <c r="E13513" s="2">
        <v>3391220</v>
      </c>
      <c r="F13513" s="4" t="str">
        <f>IF(B13513=B13512,"",B13513)</f>
        <v>Presidente Dutra</v>
      </c>
    </row>
    <row r="13514" spans="1:6" ht="15.75" customHeight="1">
      <c r="A13514" s="5" t="str">
        <f ca="1">IFERROR(__xludf.DUMMYFUNCTION("GOOGLETRANSLATE(B24217,""en"",""pt"")"),"Presidente Dutra")</f>
        <v>Presidente Dutra</v>
      </c>
      <c r="B13514" s="17" t="s">
        <v>3172</v>
      </c>
      <c r="C13514" s="17" t="s">
        <v>1905</v>
      </c>
      <c r="D13514" s="17" t="s">
        <v>31340</v>
      </c>
      <c r="E13514" s="10">
        <v>3391220</v>
      </c>
      <c r="F13514" s="4" t="str">
        <f>IF(B13514=B13513,"",B13514)</f>
        <v/>
      </c>
    </row>
    <row r="13515" spans="1:6" ht="15.75" customHeight="1">
      <c r="A13515" s="5" t="str">
        <f ca="1">IFERROR(__xludf.DUMMYFUNCTION("GOOGLETRANSLATE(B23291,""en"",""pt"")"),"Presidencia Roque Sáenz Peña")</f>
        <v>Presidencia Roque Sáenz Peña</v>
      </c>
      <c r="B13515" s="17" t="s">
        <v>31195</v>
      </c>
      <c r="C13515" s="17" t="s">
        <v>558</v>
      </c>
      <c r="D13515" s="17" t="s">
        <v>586</v>
      </c>
      <c r="E13515" s="10">
        <v>3840300</v>
      </c>
      <c r="F13515" s="4" t="str">
        <f>IF(B13515=B13514,"",B13515)</f>
        <v>Presidencia Roque Sáenz Peña</v>
      </c>
    </row>
    <row r="13516" spans="1:6" ht="15.75" customHeight="1">
      <c r="A13516" s="5" t="s">
        <v>738</v>
      </c>
      <c r="B13516" s="6" t="s">
        <v>739</v>
      </c>
      <c r="C13516" s="5" t="s">
        <v>558</v>
      </c>
      <c r="D13516" s="5" t="s">
        <v>586</v>
      </c>
      <c r="E13516" s="2">
        <v>3840300</v>
      </c>
      <c r="F13516" s="4" t="str">
        <f>IF(B13516=B13515,"",B13516)</f>
        <v>Presidencia Roque SÃ¡enz PeÃ±a</v>
      </c>
    </row>
    <row r="13517" spans="1:6" ht="15.75" customHeight="1">
      <c r="A13517" s="5" t="s">
        <v>29743</v>
      </c>
      <c r="B13517" s="6" t="s">
        <v>29743</v>
      </c>
      <c r="C13517" s="5" t="s">
        <v>27788</v>
      </c>
      <c r="D13517" s="5" t="s">
        <v>27880</v>
      </c>
      <c r="E13517" s="2">
        <v>5309858</v>
      </c>
      <c r="F13517" s="4" t="str">
        <f>IF(B13517=B13516,"",B13517)</f>
        <v>Prescott Valley</v>
      </c>
    </row>
    <row r="13518" spans="1:6" ht="15.75" customHeight="1">
      <c r="A13518" s="5" t="str">
        <f ca="1">IFERROR(__xludf.DUMMYFUNCTION("GOOGLETRANSLATE(B44722,""en"",""pt"")"),"Prescott Valley")</f>
        <v>Prescott Valley</v>
      </c>
      <c r="B13518" s="17" t="s">
        <v>29743</v>
      </c>
      <c r="C13518" s="17" t="s">
        <v>27788</v>
      </c>
      <c r="D13518" s="17" t="s">
        <v>27880</v>
      </c>
      <c r="E13518" s="10">
        <v>5309858</v>
      </c>
      <c r="F13518" s="4" t="str">
        <f>IF(B13518=B13517,"",B13518)</f>
        <v/>
      </c>
    </row>
    <row r="13519" spans="1:6" ht="15.75" customHeight="1">
      <c r="A13519" s="6" t="s">
        <v>29742</v>
      </c>
      <c r="B13519" s="6" t="s">
        <v>29742</v>
      </c>
      <c r="C13519" s="6" t="s">
        <v>27788</v>
      </c>
      <c r="D13519" s="6" t="s">
        <v>27880</v>
      </c>
      <c r="E13519" s="2">
        <v>5309842</v>
      </c>
      <c r="F13519" s="4" t="str">
        <f>IF(B13519=B13518,"",B13519)</f>
        <v>Prescott</v>
      </c>
    </row>
    <row r="13520" spans="1:6" ht="15.75" customHeight="1">
      <c r="A13520" s="5" t="str">
        <f ca="1">IFERROR(__xludf.DUMMYFUNCTION("GOOGLETRANSLATE(B44721,""en"",""pt"")"),"Prescott")</f>
        <v>Prescott</v>
      </c>
      <c r="B13520" s="17" t="s">
        <v>29742</v>
      </c>
      <c r="C13520" s="17" t="s">
        <v>27788</v>
      </c>
      <c r="D13520" s="17" t="s">
        <v>27880</v>
      </c>
      <c r="E13520" s="10">
        <v>5309842</v>
      </c>
      <c r="F13520" s="4" t="str">
        <f>IF(B13520=B13519,"",B13520)</f>
        <v/>
      </c>
    </row>
    <row r="13521" spans="1:6" ht="15.75" customHeight="1">
      <c r="A13521" s="6" t="s">
        <v>27613</v>
      </c>
      <c r="B13521" s="6" t="s">
        <v>27613</v>
      </c>
      <c r="C13521" s="6" t="s">
        <v>27234</v>
      </c>
      <c r="D13521" s="6" t="s">
        <v>27241</v>
      </c>
      <c r="E13521" s="2">
        <v>2639928</v>
      </c>
      <c r="F13521" s="4" t="str">
        <f>IF(B13521=B13520,"",B13521)</f>
        <v>Prescot</v>
      </c>
    </row>
    <row r="13522" spans="1:6" ht="15.75" customHeight="1">
      <c r="A13522" s="5" t="str">
        <f ca="1">IFERROR(__xludf.DUMMYFUNCTION("GOOGLETRANSLATE(B30465,""en"",""pt"")"),"Prescot")</f>
        <v>Prescot</v>
      </c>
      <c r="B13522" s="17" t="s">
        <v>27613</v>
      </c>
      <c r="C13522" s="17" t="s">
        <v>27234</v>
      </c>
      <c r="D13522" s="17" t="s">
        <v>27241</v>
      </c>
      <c r="E13522" s="10">
        <v>2639928</v>
      </c>
      <c r="F13522" s="4" t="str">
        <f>IF(B13522=B13521,"",B13522)</f>
        <v/>
      </c>
    </row>
    <row r="13523" spans="1:6" ht="15.75" customHeight="1">
      <c r="A13523" s="5" t="str">
        <f ca="1">IFERROR(__xludf.DUMMYFUNCTION("GOOGLETRANSLATE(B27272,""en"",""pt"")"),"Přerov")</f>
        <v>Přerov</v>
      </c>
      <c r="B13523" s="17" t="s">
        <v>31965</v>
      </c>
      <c r="C13523" s="17" t="s">
        <v>5947</v>
      </c>
      <c r="D13523" s="17" t="s">
        <v>31957</v>
      </c>
      <c r="E13523" s="10">
        <v>3067580</v>
      </c>
      <c r="F13523" s="4" t="str">
        <f>IF(B13523=B13522,"",B13523)</f>
        <v>Přerov</v>
      </c>
    </row>
    <row r="13524" spans="1:6" ht="15.75" customHeight="1">
      <c r="A13524" s="5" t="s">
        <v>9008</v>
      </c>
      <c r="B13524" s="6" t="s">
        <v>9008</v>
      </c>
      <c r="C13524" s="5" t="s">
        <v>8028</v>
      </c>
      <c r="D13524" s="5" t="s">
        <v>8036</v>
      </c>
      <c r="E13524" s="2">
        <v>2852217</v>
      </c>
      <c r="F13524" s="4" t="str">
        <f>IF(B13524=B13523,"",B13524)</f>
        <v>Prenzlauer Berg</v>
      </c>
    </row>
    <row r="13525" spans="1:6" ht="15.75" customHeight="1">
      <c r="A13525" s="5" t="str">
        <f ca="1">IFERROR(__xludf.DUMMYFUNCTION("GOOGLETRANSLATE(B27636,""en"",""pt"")"),"Prenzlauer Berg")</f>
        <v>Prenzlauer Berg</v>
      </c>
      <c r="B13525" s="17" t="s">
        <v>9008</v>
      </c>
      <c r="C13525" s="17" t="s">
        <v>8028</v>
      </c>
      <c r="D13525" s="17" t="s">
        <v>8036</v>
      </c>
      <c r="E13525" s="10">
        <v>2852217</v>
      </c>
      <c r="F13525" s="4" t="str">
        <f>IF(B13525=B13524,"",B13525)</f>
        <v/>
      </c>
    </row>
    <row r="13526" spans="1:6" ht="15.75" customHeight="1">
      <c r="A13526" s="6" t="s">
        <v>9007</v>
      </c>
      <c r="B13526" s="6" t="s">
        <v>9007</v>
      </c>
      <c r="C13526" s="6" t="s">
        <v>8028</v>
      </c>
      <c r="D13526" s="6" t="s">
        <v>8070</v>
      </c>
      <c r="E13526" s="2">
        <v>2852218</v>
      </c>
      <c r="F13526" s="4" t="str">
        <f>IF(B13526=B13525,"",B13526)</f>
        <v>Prenzlau</v>
      </c>
    </row>
    <row r="13527" spans="1:6" ht="15.75" customHeight="1">
      <c r="A13527" s="5" t="str">
        <f ca="1">IFERROR(__xludf.DUMMYFUNCTION("GOOGLETRANSLATE(B27637,""en"",""pt"")"),"Prenzlau")</f>
        <v>Prenzlau</v>
      </c>
      <c r="B13527" s="17" t="s">
        <v>9007</v>
      </c>
      <c r="C13527" s="17" t="s">
        <v>8028</v>
      </c>
      <c r="D13527" s="17" t="s">
        <v>8070</v>
      </c>
      <c r="E13527" s="10">
        <v>2852218</v>
      </c>
      <c r="F13527" s="4" t="str">
        <f>IF(B13527=B13526,"",B13527)</f>
        <v/>
      </c>
    </row>
    <row r="13528" spans="1:6" ht="15.75" customHeight="1">
      <c r="A13528" s="5" t="s">
        <v>24711</v>
      </c>
      <c r="B13528" s="6" t="s">
        <v>24712</v>
      </c>
      <c r="C13528" s="5" t="s">
        <v>24200</v>
      </c>
      <c r="D13528" s="5" t="s">
        <v>24277</v>
      </c>
      <c r="E13528" s="2">
        <v>3112866</v>
      </c>
      <c r="F13528" s="4" t="str">
        <f>IF(B13528=B13527,"",B13528)</f>
        <v>PremiÃ  de Mar</v>
      </c>
    </row>
    <row r="13529" spans="1:6" ht="15.75" customHeight="1">
      <c r="A13529" s="5" t="str">
        <f ca="1">IFERROR(__xludf.DUMMYFUNCTION("GOOGLETRANSLATE(B29320,""en"",""pt"")"),"Premià de março")</f>
        <v>Premià de março</v>
      </c>
      <c r="B13529" s="17" t="s">
        <v>32440</v>
      </c>
      <c r="C13529" s="17" t="s">
        <v>24200</v>
      </c>
      <c r="D13529" s="17" t="s">
        <v>24277</v>
      </c>
      <c r="E13529" s="10">
        <v>3112866</v>
      </c>
      <c r="F13529" s="4" t="str">
        <f>IF(B13529=B13528,"",B13529)</f>
        <v>Premià de Mar</v>
      </c>
    </row>
    <row r="13530" spans="1:6" ht="15.75" customHeight="1">
      <c r="A13530" s="6" t="s">
        <v>9006</v>
      </c>
      <c r="B13530" s="6" t="s">
        <v>9006</v>
      </c>
      <c r="C13530" s="6" t="s">
        <v>8028</v>
      </c>
      <c r="D13530" s="6" t="s">
        <v>8040</v>
      </c>
      <c r="E13530" s="2">
        <v>2852280</v>
      </c>
      <c r="F13530" s="4" t="str">
        <f>IF(B13530=B13529,"",B13530)</f>
        <v>Preetz</v>
      </c>
    </row>
    <row r="13531" spans="1:6" ht="15.75" customHeight="1">
      <c r="A13531" s="5" t="str">
        <f ca="1">IFERROR(__xludf.DUMMYFUNCTION("GOOGLETRANSLATE(B27638,""en"",""pt"")"),"Preetz")</f>
        <v>Preetz</v>
      </c>
      <c r="B13531" s="17" t="s">
        <v>9006</v>
      </c>
      <c r="C13531" s="17" t="s">
        <v>8028</v>
      </c>
      <c r="D13531" s="17" t="s">
        <v>8040</v>
      </c>
      <c r="E13531" s="10">
        <v>2852280</v>
      </c>
      <c r="F13531" s="4" t="str">
        <f>IF(B13531=B13530,"",B13531)</f>
        <v/>
      </c>
    </row>
    <row r="13532" spans="1:6" ht="15.75" customHeight="1">
      <c r="A13532" s="6" t="s">
        <v>23757</v>
      </c>
      <c r="B13532" s="6" t="s">
        <v>23758</v>
      </c>
      <c r="C13532" s="6" t="s">
        <v>23694</v>
      </c>
      <c r="D13532" s="6" t="s">
        <v>23706</v>
      </c>
      <c r="E13532" s="2">
        <v>723819</v>
      </c>
      <c r="F13532" s="4" t="str">
        <f>IF(B13532=B13531,"",B13532)</f>
        <v>PreÅ¡ov</v>
      </c>
    </row>
    <row r="13533" spans="1:6" ht="15.75" customHeight="1">
      <c r="A13533" s="6" t="s">
        <v>14110</v>
      </c>
      <c r="B13533" s="6" t="s">
        <v>14110</v>
      </c>
      <c r="C13533" s="6" t="s">
        <v>13800</v>
      </c>
      <c r="D13533" s="6" t="s">
        <v>13855</v>
      </c>
      <c r="E13533" s="2">
        <v>1630662</v>
      </c>
      <c r="F13533" s="4" t="str">
        <f>IF(B13533=B13532,"",B13533)</f>
        <v>Praya</v>
      </c>
    </row>
    <row r="13534" spans="1:6" ht="15.75" customHeight="1">
      <c r="A13534" s="5" t="str">
        <f ca="1">IFERROR(__xludf.DUMMYFUNCTION("GOOGLETRANSLATE(B31482,""en"",""pt"")"),"Praya")</f>
        <v>Praya</v>
      </c>
      <c r="B13534" s="17" t="s">
        <v>14110</v>
      </c>
      <c r="C13534" s="17" t="s">
        <v>13800</v>
      </c>
      <c r="D13534" s="17" t="s">
        <v>13855</v>
      </c>
      <c r="E13534" s="10">
        <v>1630662</v>
      </c>
      <c r="F13534" s="4" t="str">
        <f>IF(B13534=B13533,"",B13534)</f>
        <v/>
      </c>
    </row>
    <row r="13535" spans="1:6" ht="15.75" customHeight="1">
      <c r="A13535" s="6" t="s">
        <v>29741</v>
      </c>
      <c r="B13535" s="6" t="s">
        <v>29741</v>
      </c>
      <c r="C13535" s="6" t="s">
        <v>27788</v>
      </c>
      <c r="D13535" s="6" t="s">
        <v>28023</v>
      </c>
      <c r="E13535" s="2">
        <v>4084796</v>
      </c>
      <c r="F13535" s="4" t="str">
        <f>IF(B13535=B13534,"",B13535)</f>
        <v>Prattville</v>
      </c>
    </row>
    <row r="13536" spans="1:6" ht="15.75" customHeight="1">
      <c r="A13536" s="5" t="str">
        <f ca="1">IFERROR(__xludf.DUMMYFUNCTION("GOOGLETRANSLATE(B42797,""en"",""pt"")"),"Prattville")</f>
        <v>Prattville</v>
      </c>
      <c r="B13536" s="17" t="s">
        <v>29741</v>
      </c>
      <c r="C13536" s="17" t="s">
        <v>27788</v>
      </c>
      <c r="D13536" s="17" t="s">
        <v>28023</v>
      </c>
      <c r="E13536" s="10">
        <v>4084796</v>
      </c>
      <c r="F13536" s="4" t="str">
        <f>IF(B13536=B13535,"",B13536)</f>
        <v/>
      </c>
    </row>
    <row r="13537" spans="1:6" ht="15.75" customHeight="1">
      <c r="A13537" s="6" t="s">
        <v>15393</v>
      </c>
      <c r="B13537" s="6" t="s">
        <v>15393</v>
      </c>
      <c r="C13537" s="6" t="s">
        <v>14891</v>
      </c>
      <c r="D13537" s="6" t="s">
        <v>14943</v>
      </c>
      <c r="E13537" s="2">
        <v>3169921</v>
      </c>
      <c r="F13537" s="4" t="str">
        <f>IF(B13537=B13536,"",B13537)</f>
        <v>Prato</v>
      </c>
    </row>
    <row r="13538" spans="1:6" ht="15.75" customHeight="1">
      <c r="A13538" s="5" t="str">
        <f ca="1">IFERROR(__xludf.DUMMYFUNCTION("GOOGLETRANSLATE(B34752,""en"",""pt"")"),"Prato")</f>
        <v>Prato</v>
      </c>
      <c r="B13538" s="17" t="s">
        <v>15393</v>
      </c>
      <c r="C13538" s="17" t="s">
        <v>14891</v>
      </c>
      <c r="D13538" s="17" t="s">
        <v>14943</v>
      </c>
      <c r="E13538" s="10">
        <v>3169921</v>
      </c>
      <c r="F13538" s="4" t="str">
        <f>IF(B13538=B13537,"",B13538)</f>
        <v/>
      </c>
    </row>
    <row r="13539" spans="1:6" ht="15.75" customHeight="1">
      <c r="A13539" s="5" t="str">
        <f ca="1">IFERROR(__xludf.DUMMYFUNCTION("GOOGLETRANSLATE(B32432,""en"",""pt"")"),"Pratāpgarh")</f>
        <v>Pratāpgarh</v>
      </c>
      <c r="B13539" s="17" t="s">
        <v>33217</v>
      </c>
      <c r="C13539" s="17" t="s">
        <v>10178</v>
      </c>
      <c r="D13539" s="17" t="s">
        <v>10179</v>
      </c>
      <c r="E13539" s="10">
        <v>1259338</v>
      </c>
      <c r="F13539" s="4" t="str">
        <f>IF(B13539=B13538,"",B13539)</f>
        <v>Pratāpgarh</v>
      </c>
    </row>
    <row r="13540" spans="1:6" ht="15.75" customHeight="1">
      <c r="A13540" s="5" t="s">
        <v>12926</v>
      </c>
      <c r="B13540" s="6" t="s">
        <v>12927</v>
      </c>
      <c r="C13540" s="5" t="s">
        <v>10178</v>
      </c>
      <c r="D13540" s="5" t="s">
        <v>10179</v>
      </c>
      <c r="E13540" s="2">
        <v>1259338</v>
      </c>
      <c r="F13540" s="4" t="str">
        <f>IF(B13540=B13539,"",B13540)</f>
        <v>PratÄpgarh</v>
      </c>
    </row>
    <row r="13541" spans="1:6" ht="15.75" customHeight="1">
      <c r="A13541" s="6" t="s">
        <v>3171</v>
      </c>
      <c r="B13541" s="6" t="s">
        <v>3171</v>
      </c>
      <c r="C13541" s="6" t="s">
        <v>1905</v>
      </c>
      <c r="D13541" s="6" t="s">
        <v>1917</v>
      </c>
      <c r="E13541" s="2">
        <v>3452440</v>
      </c>
      <c r="F13541" s="4" t="str">
        <f>IF(B13541=B13540,"",B13541)</f>
        <v>Prata</v>
      </c>
    </row>
    <row r="13542" spans="1:6" ht="15.75" customHeight="1">
      <c r="A13542" s="5" t="str">
        <f ca="1">IFERROR(__xludf.DUMMYFUNCTION("GOOGLETRANSLATE(B24669,""en"",""pt"")"),"Prata")</f>
        <v>Prata</v>
      </c>
      <c r="B13542" s="17" t="s">
        <v>3171</v>
      </c>
      <c r="C13542" s="17" t="s">
        <v>1905</v>
      </c>
      <c r="D13542" s="17" t="s">
        <v>1917</v>
      </c>
      <c r="E13542" s="10">
        <v>3452440</v>
      </c>
      <c r="F13542" s="4" t="str">
        <f>IF(B13542=B13541,"",B13542)</f>
        <v/>
      </c>
    </row>
    <row r="13543" spans="1:6" ht="15.75" customHeight="1">
      <c r="A13543" s="6" t="s">
        <v>25974</v>
      </c>
      <c r="B13543" s="6" t="s">
        <v>25974</v>
      </c>
      <c r="C13543" s="6" t="s">
        <v>25771</v>
      </c>
      <c r="D13543" s="6" t="s">
        <v>25846</v>
      </c>
      <c r="E13543" s="2">
        <v>1151063</v>
      </c>
      <c r="F13543" s="4" t="str">
        <f>IF(B13543=B13542,"",B13543)</f>
        <v>Pran Buri</v>
      </c>
    </row>
    <row r="13544" spans="1:6" ht="15.75" customHeight="1">
      <c r="A13544" s="5" t="str">
        <f ca="1">IFERROR(__xludf.DUMMYFUNCTION("GOOGLETRANSLATE(B41531,""en"",""pt"")"),"Pran Buri")</f>
        <v>Pran Buri</v>
      </c>
      <c r="B13544" s="17" t="s">
        <v>25974</v>
      </c>
      <c r="C13544" s="17" t="s">
        <v>25771</v>
      </c>
      <c r="D13544" s="17" t="s">
        <v>25846</v>
      </c>
      <c r="E13544" s="10">
        <v>1151063</v>
      </c>
      <c r="F13544" s="4" t="str">
        <f>IF(B13544=B13543,"",B13544)</f>
        <v/>
      </c>
    </row>
    <row r="13545" spans="1:6" ht="15.75" customHeight="1">
      <c r="A13545" s="5" t="s">
        <v>25973</v>
      </c>
      <c r="B13545" s="6" t="s">
        <v>25973</v>
      </c>
      <c r="C13545" s="5" t="s">
        <v>25771</v>
      </c>
      <c r="D13545" s="5" t="s">
        <v>25853</v>
      </c>
      <c r="E13545" s="2">
        <v>1607257</v>
      </c>
      <c r="F13545" s="4" t="str">
        <f>IF(B13545=B13544,"",B13545)</f>
        <v>Prakhon Chai</v>
      </c>
    </row>
    <row r="13546" spans="1:6" ht="15.75" customHeight="1">
      <c r="A13546" s="5" t="str">
        <f ca="1">IFERROR(__xludf.DUMMYFUNCTION("GOOGLETRANSLATE(B41622,""en"",""pt"")"),"Prakhon Chai")</f>
        <v>Prakhon Chai</v>
      </c>
      <c r="B13546" s="17" t="s">
        <v>25973</v>
      </c>
      <c r="C13546" s="17" t="s">
        <v>25771</v>
      </c>
      <c r="D13546" s="17" t="s">
        <v>25853</v>
      </c>
      <c r="E13546" s="10">
        <v>1607257</v>
      </c>
      <c r="F13546" s="4" t="str">
        <f>IF(B13546=B13545,"",B13546)</f>
        <v/>
      </c>
    </row>
    <row r="13547" spans="1:6" ht="15.75" customHeight="1">
      <c r="A13547" s="5" t="s">
        <v>29740</v>
      </c>
      <c r="B13547" s="6" t="s">
        <v>29740</v>
      </c>
      <c r="C13547" s="5" t="s">
        <v>27788</v>
      </c>
      <c r="D13547" s="5" t="s">
        <v>27827</v>
      </c>
      <c r="E13547" s="2">
        <v>4338012</v>
      </c>
      <c r="F13547" s="4" t="str">
        <f>IF(B13547=B13546,"",B13547)</f>
        <v>Prairieville</v>
      </c>
    </row>
    <row r="13548" spans="1:6" ht="15.75" customHeight="1">
      <c r="A13548" s="5" t="str">
        <f ca="1">IFERROR(__xludf.DUMMYFUNCTION("GOOGLETRANSLATE(B43246,""en"",""pt"")"),"Prairieville")</f>
        <v>Prairieville</v>
      </c>
      <c r="B13548" s="17" t="s">
        <v>29740</v>
      </c>
      <c r="C13548" s="17" t="s">
        <v>27788</v>
      </c>
      <c r="D13548" s="17" t="s">
        <v>27827</v>
      </c>
      <c r="E13548" s="10">
        <v>4338012</v>
      </c>
      <c r="F13548" s="4" t="str">
        <f>IF(B13548=B13547,"",B13548)</f>
        <v/>
      </c>
    </row>
    <row r="13549" spans="1:6" ht="15.75" customHeight="1">
      <c r="A13549" s="5" t="s">
        <v>29738</v>
      </c>
      <c r="B13549" s="6" t="s">
        <v>29739</v>
      </c>
      <c r="C13549" s="5" t="s">
        <v>27788</v>
      </c>
      <c r="D13549" s="5" t="s">
        <v>28419</v>
      </c>
      <c r="E13549" s="2">
        <v>4277718</v>
      </c>
      <c r="F13549" s="4" t="str">
        <f>IF(B13549=B13548,"",B13549)</f>
        <v>Prairie Village</v>
      </c>
    </row>
    <row r="13550" spans="1:6" ht="15.75" customHeight="1">
      <c r="A13550" s="5" t="str">
        <f ca="1">IFERROR(__xludf.DUMMYFUNCTION("GOOGLETRANSLATE(B43182,""en"",""pt"")"),"Vila da pradaria")</f>
        <v>Vila da pradaria</v>
      </c>
      <c r="B13550" s="17" t="s">
        <v>29739</v>
      </c>
      <c r="C13550" s="17" t="s">
        <v>27788</v>
      </c>
      <c r="D13550" s="17" t="s">
        <v>28419</v>
      </c>
      <c r="E13550" s="10">
        <v>4277718</v>
      </c>
      <c r="F13550" s="4" t="str">
        <f>IF(B13550=B13549,"",B13550)</f>
        <v/>
      </c>
    </row>
    <row r="13551" spans="1:6" ht="15.75" customHeight="1">
      <c r="A13551" s="5" t="s">
        <v>3170</v>
      </c>
      <c r="B13551" s="6" t="s">
        <v>3170</v>
      </c>
      <c r="C13551" s="5" t="s">
        <v>1905</v>
      </c>
      <c r="D13551" s="5" t="s">
        <v>1914</v>
      </c>
      <c r="E13551" s="2">
        <v>3452465</v>
      </c>
      <c r="F13551" s="4" t="str">
        <f>IF(B13551=B13550,"",B13551)</f>
        <v>Praia Grande</v>
      </c>
    </row>
    <row r="13552" spans="1:6" ht="15.75" customHeight="1">
      <c r="A13552" s="5" t="str">
        <f ca="1">IFERROR(__xludf.DUMMYFUNCTION("GOOGLETRANSLATE(B24670,""en"",""pt"")"),"Praia Grande")</f>
        <v>Praia Grande</v>
      </c>
      <c r="B13552" s="17" t="s">
        <v>3170</v>
      </c>
      <c r="C13552" s="17" t="s">
        <v>1905</v>
      </c>
      <c r="D13552" s="17" t="s">
        <v>3354</v>
      </c>
      <c r="E13552" s="10">
        <v>3452465</v>
      </c>
      <c r="F13552" s="4" t="str">
        <f>IF(B13552=B13551,"",B13552)</f>
        <v/>
      </c>
    </row>
    <row r="13553" spans="1:6" ht="15.75" customHeight="1">
      <c r="A13553" s="6" t="s">
        <v>4259</v>
      </c>
      <c r="B13553" s="6" t="s">
        <v>4259</v>
      </c>
      <c r="C13553" s="6" t="s">
        <v>4256</v>
      </c>
      <c r="D13553" s="6" t="s">
        <v>4259</v>
      </c>
      <c r="E13553" s="2">
        <v>3374333</v>
      </c>
      <c r="F13553" s="4" t="str">
        <f>IF(B13553=B13552,"",B13553)</f>
        <v>Praia</v>
      </c>
    </row>
    <row r="13554" spans="1:6" ht="15.75" customHeight="1">
      <c r="A13554" s="5" t="str">
        <f ca="1">IFERROR(__xludf.DUMMYFUNCTION("GOOGLETRANSLATE(B27230,""en"",""pt"")"),"Praia")</f>
        <v>Praia</v>
      </c>
      <c r="B13554" s="17" t="s">
        <v>4259</v>
      </c>
      <c r="C13554" s="17" t="s">
        <v>4256</v>
      </c>
      <c r="D13554" s="17" t="s">
        <v>4259</v>
      </c>
      <c r="E13554" s="10">
        <v>3374333</v>
      </c>
      <c r="F13554" s="4" t="str">
        <f>IF(B13554=B13553,"",B13554)</f>
        <v/>
      </c>
    </row>
    <row r="13555" spans="1:6" ht="15.75" customHeight="1">
      <c r="A13555" s="6" t="s">
        <v>6089</v>
      </c>
      <c r="B13555" s="6" t="s">
        <v>6090</v>
      </c>
      <c r="C13555" s="6" t="s">
        <v>5947</v>
      </c>
      <c r="D13555" s="6" t="s">
        <v>5959</v>
      </c>
      <c r="E13555" s="2">
        <v>3067696</v>
      </c>
      <c r="F13555" s="4" t="str">
        <f>IF(B13555=B13554,"",B13555)</f>
        <v>Prague</v>
      </c>
    </row>
    <row r="13556" spans="1:6" ht="15.75" customHeight="1">
      <c r="A13556" s="5" t="str">
        <f ca="1">IFERROR(__xludf.DUMMYFUNCTION("GOOGLETRANSLATE(B27273,""en"",""pt"")"),"Praga")</f>
        <v>Praga</v>
      </c>
      <c r="B13556" s="17" t="s">
        <v>6090</v>
      </c>
      <c r="C13556" s="17" t="s">
        <v>5947</v>
      </c>
      <c r="D13556" s="17" t="s">
        <v>5959</v>
      </c>
      <c r="E13556" s="10">
        <v>3067696</v>
      </c>
      <c r="F13556" s="4" t="str">
        <f>IF(B13556=B13555,"",B13556)</f>
        <v/>
      </c>
    </row>
    <row r="13557" spans="1:6" ht="15.75" customHeight="1">
      <c r="A13557" s="5" t="str">
        <f ca="1">IFERROR(__xludf.DUMMYFUNCTION("GOOGLETRANSLATE(B39500,""en"",""pt"")"),"Praga Południe")</f>
        <v>Praga Południe</v>
      </c>
      <c r="B13557" s="17" t="s">
        <v>35253</v>
      </c>
      <c r="C13557" s="17" t="s">
        <v>21064</v>
      </c>
      <c r="D13557" s="17" t="s">
        <v>21070</v>
      </c>
      <c r="E13557" s="10">
        <v>6545348</v>
      </c>
      <c r="F13557" s="4" t="str">
        <f>IF(B13557=B13556,"",B13557)</f>
        <v>Praga Południe</v>
      </c>
    </row>
    <row r="13558" spans="1:6" ht="15.75" customHeight="1">
      <c r="A13558" s="5" t="str">
        <f ca="1">IFERROR(__xludf.DUMMYFUNCTION("GOOGLETRANSLATE(B39499,""en"",""pt"")"),"Praga Północ")</f>
        <v>Praga Północ</v>
      </c>
      <c r="B13558" s="17" t="s">
        <v>35252</v>
      </c>
      <c r="C13558" s="17" t="s">
        <v>21064</v>
      </c>
      <c r="D13558" s="17" t="s">
        <v>21070</v>
      </c>
      <c r="E13558" s="10">
        <v>6545347</v>
      </c>
      <c r="F13558" s="4" t="str">
        <f>IF(B13558=B13557,"",B13558)</f>
        <v>Praga Północ</v>
      </c>
    </row>
    <row r="13559" spans="1:6" ht="15.75" customHeight="1">
      <c r="A13559" s="5" t="s">
        <v>21437</v>
      </c>
      <c r="B13559" s="6" t="s">
        <v>21438</v>
      </c>
      <c r="C13559" s="5" t="s">
        <v>21064</v>
      </c>
      <c r="D13559" s="5" t="s">
        <v>21070</v>
      </c>
      <c r="E13559" s="2">
        <v>6545348</v>
      </c>
      <c r="F13559" s="4" t="str">
        <f>IF(B13559=B13558,"",B13559)</f>
        <v>Praga PoÅ‚udnie</v>
      </c>
    </row>
    <row r="13560" spans="1:6" ht="15.75" customHeight="1">
      <c r="A13560" s="5" t="s">
        <v>21435</v>
      </c>
      <c r="B13560" s="6" t="s">
        <v>21436</v>
      </c>
      <c r="C13560" s="5" t="s">
        <v>21064</v>
      </c>
      <c r="D13560" s="5" t="s">
        <v>21070</v>
      </c>
      <c r="E13560" s="2">
        <v>6545347</v>
      </c>
      <c r="F13560" s="4" t="str">
        <f>IF(B13560=B13559,"",B13560)</f>
        <v>Praga PÃ³Å‚noc</v>
      </c>
    </row>
    <row r="13561" spans="1:6" ht="15.75" customHeight="1">
      <c r="A13561" s="6" t="s">
        <v>3169</v>
      </c>
      <c r="B13561" s="6" t="s">
        <v>3169</v>
      </c>
      <c r="C13561" s="6" t="s">
        <v>1905</v>
      </c>
      <c r="D13561" s="6" t="s">
        <v>1947</v>
      </c>
      <c r="E13561" s="2">
        <v>3452483</v>
      </c>
      <c r="F13561" s="4" t="str">
        <f>IF(B13561=B13560,"",B13561)</f>
        <v>Prado</v>
      </c>
    </row>
    <row r="13562" spans="1:6" ht="15.75" customHeight="1">
      <c r="A13562" s="5" t="str">
        <f ca="1">IFERROR(__xludf.DUMMYFUNCTION("GOOGLETRANSLATE(B24671,""en"",""pt"")"),"Prado")</f>
        <v>Prado</v>
      </c>
      <c r="B13562" s="17" t="s">
        <v>3169</v>
      </c>
      <c r="C13562" s="17" t="s">
        <v>1905</v>
      </c>
      <c r="D13562" s="17" t="s">
        <v>1947</v>
      </c>
      <c r="E13562" s="10">
        <v>3452483</v>
      </c>
      <c r="F13562" s="4" t="str">
        <f>IF(B13562=B13561,"",B13562)</f>
        <v/>
      </c>
    </row>
    <row r="13563" spans="1:6" ht="15.75" customHeight="1">
      <c r="A13563" s="6" t="s">
        <v>5558</v>
      </c>
      <c r="B13563" s="6" t="s">
        <v>5558</v>
      </c>
      <c r="C13563" s="6" t="s">
        <v>5348</v>
      </c>
      <c r="D13563" s="6" t="s">
        <v>5360</v>
      </c>
      <c r="E13563" s="2">
        <v>3671772</v>
      </c>
      <c r="F13563" s="4" t="str">
        <f>IF(B13563=B13562,"",B13563)</f>
        <v>Pradera</v>
      </c>
    </row>
    <row r="13564" spans="1:6" ht="15.75" customHeight="1">
      <c r="A13564" s="5" t="str">
        <f ca="1">IFERROR(__xludf.DUMMYFUNCTION("GOOGLETRANSLATE(B26916,""en"",""pt"")"),"Pradera")</f>
        <v>Pradera</v>
      </c>
      <c r="B13564" s="17" t="s">
        <v>5558</v>
      </c>
      <c r="C13564" s="17" t="s">
        <v>5348</v>
      </c>
      <c r="D13564" s="17" t="s">
        <v>5360</v>
      </c>
      <c r="E13564" s="10">
        <v>3671772</v>
      </c>
      <c r="F13564" s="4" t="str">
        <f>IF(B13564=B13563,"",B13564)</f>
        <v/>
      </c>
    </row>
    <row r="13565" spans="1:6" ht="15.75" customHeight="1">
      <c r="A13565" s="5" t="s">
        <v>25846</v>
      </c>
      <c r="B13565" s="6" t="s">
        <v>25846</v>
      </c>
      <c r="C13565" s="5" t="s">
        <v>25771</v>
      </c>
      <c r="D13565" s="5" t="s">
        <v>25846</v>
      </c>
      <c r="E13565" s="2">
        <v>1151074</v>
      </c>
      <c r="F13565" s="4" t="str">
        <f>IF(B13565=B13564,"",B13565)</f>
        <v>Prachuap Khiri Khan</v>
      </c>
    </row>
    <row r="13566" spans="1:6" ht="15.75" customHeight="1">
      <c r="A13566" s="5" t="str">
        <f ca="1">IFERROR(__xludf.DUMMYFUNCTION("GOOGLETRANSLATE(B41532,""en"",""pt"")"),"Prachuap Khiri Khan")</f>
        <v>Prachuap Khiri Khan</v>
      </c>
      <c r="B13566" s="17" t="s">
        <v>25846</v>
      </c>
      <c r="C13566" s="17" t="s">
        <v>25771</v>
      </c>
      <c r="D13566" s="17" t="s">
        <v>25846</v>
      </c>
      <c r="E13566" s="10">
        <v>1151074</v>
      </c>
      <c r="F13566" s="4" t="str">
        <f>IF(B13566=B13565,"",B13566)</f>
        <v/>
      </c>
    </row>
    <row r="13567" spans="1:6" ht="15.75" customHeight="1">
      <c r="A13567" s="5" t="s">
        <v>25890</v>
      </c>
      <c r="B13567" s="6" t="s">
        <v>25890</v>
      </c>
      <c r="C13567" s="5" t="s">
        <v>25771</v>
      </c>
      <c r="D13567" s="5" t="s">
        <v>25890</v>
      </c>
      <c r="E13567" s="2">
        <v>1607280</v>
      </c>
      <c r="F13567" s="4" t="str">
        <f>IF(B13567=B13566,"",B13567)</f>
        <v>Prachin Buri</v>
      </c>
    </row>
    <row r="13568" spans="1:6" ht="15.75" customHeight="1">
      <c r="A13568" s="5" t="str">
        <f ca="1">IFERROR(__xludf.DUMMYFUNCTION("GOOGLETRANSLATE(B41623,""en"",""pt"")"),"Prachin Buri")</f>
        <v>Prachin Buri</v>
      </c>
      <c r="B13568" s="17" t="s">
        <v>25890</v>
      </c>
      <c r="C13568" s="17" t="s">
        <v>25771</v>
      </c>
      <c r="D13568" s="17" t="s">
        <v>25890</v>
      </c>
      <c r="E13568" s="10">
        <v>1607280</v>
      </c>
      <c r="F13568" s="4" t="str">
        <f>IF(B13568=B13567,"",B13568)</f>
        <v/>
      </c>
    </row>
    <row r="13569" spans="1:6" ht="15.75" customHeight="1">
      <c r="A13569" s="5" t="s">
        <v>14109</v>
      </c>
      <c r="B13569" s="6" t="s">
        <v>14109</v>
      </c>
      <c r="C13569" s="5" t="s">
        <v>13800</v>
      </c>
      <c r="D13569" s="5" t="s">
        <v>13847</v>
      </c>
      <c r="E13569" s="2">
        <v>1631393</v>
      </c>
      <c r="F13569" s="4" t="str">
        <f>IF(B13569=B13568,"",B13569)</f>
        <v>Prabumulih</v>
      </c>
    </row>
    <row r="13570" spans="1:6" ht="15.75" customHeight="1">
      <c r="A13570" s="5" t="str">
        <f ca="1">IFERROR(__xludf.DUMMYFUNCTION("GOOGLETRANSLATE(B31490,""en"",""pt"")"),"Prabumulih")</f>
        <v>Prabumulih</v>
      </c>
      <c r="B13570" s="17" t="s">
        <v>14109</v>
      </c>
      <c r="C13570" s="17" t="s">
        <v>13800</v>
      </c>
      <c r="D13570" s="17" t="s">
        <v>13847</v>
      </c>
      <c r="E13570" s="10">
        <v>1631393</v>
      </c>
      <c r="F13570" s="4" t="str">
        <f>IF(B13570=B13569,"",B13570)</f>
        <v/>
      </c>
    </row>
    <row r="13571" spans="1:6" ht="15.75" customHeight="1">
      <c r="A13571" s="5" t="s">
        <v>9625</v>
      </c>
      <c r="B13571" s="6" t="s">
        <v>9626</v>
      </c>
      <c r="C13571" s="5" t="s">
        <v>9441</v>
      </c>
      <c r="D13571" s="5" t="s">
        <v>9456</v>
      </c>
      <c r="E13571" s="2">
        <v>254698</v>
      </c>
      <c r="F13571" s="4" t="str">
        <f>IF(B13571=B13570,"",B13571)</f>
        <v>PrÃ©veza</v>
      </c>
    </row>
    <row r="13572" spans="1:6" ht="15.75" customHeight="1">
      <c r="A13572" s="6" t="s">
        <v>15392</v>
      </c>
      <c r="B13572" s="6" t="s">
        <v>15392</v>
      </c>
      <c r="C13572" s="6" t="s">
        <v>14891</v>
      </c>
      <c r="D13572" s="6" t="s">
        <v>14896</v>
      </c>
      <c r="E13572" s="2">
        <v>3169984</v>
      </c>
      <c r="F13572" s="4" t="str">
        <f>IF(B13572=B13571,"",B13572)</f>
        <v>Pozzuoli</v>
      </c>
    </row>
    <row r="13573" spans="1:6" ht="15.75" customHeight="1">
      <c r="A13573" s="5" t="str">
        <f ca="1">IFERROR(__xludf.DUMMYFUNCTION("GOOGLETRANSLATE(B34753,""en"",""pt"")"),"Pozzuoli")</f>
        <v>Pozzuoli</v>
      </c>
      <c r="B13573" s="17" t="s">
        <v>15392</v>
      </c>
      <c r="C13573" s="17" t="s">
        <v>14891</v>
      </c>
      <c r="D13573" s="17" t="s">
        <v>14896</v>
      </c>
      <c r="E13573" s="10">
        <v>3169984</v>
      </c>
      <c r="F13573" s="4" t="str">
        <f>IF(B13573=B13572,"",B13573)</f>
        <v/>
      </c>
    </row>
    <row r="13574" spans="1:6" ht="15.75" customHeight="1">
      <c r="A13574" s="6" t="s">
        <v>15391</v>
      </c>
      <c r="B13574" s="6" t="s">
        <v>15391</v>
      </c>
      <c r="C13574" s="6" t="s">
        <v>14891</v>
      </c>
      <c r="D13574" s="6" t="s">
        <v>14899</v>
      </c>
      <c r="E13574" s="2">
        <v>2523693</v>
      </c>
      <c r="F13574" s="4" t="str">
        <f>IF(B13574=B13573,"",B13574)</f>
        <v>Pozzallo</v>
      </c>
    </row>
    <row r="13575" spans="1:6" ht="15.75" customHeight="1">
      <c r="A13575" s="5" t="str">
        <f ca="1">IFERROR(__xludf.DUMMYFUNCTION("GOOGLETRANSLATE(B34562,""en"",""pt"")"),"Pozzallo")</f>
        <v>Pozzallo</v>
      </c>
      <c r="B13575" s="17" t="s">
        <v>15391</v>
      </c>
      <c r="C13575" s="17" t="s">
        <v>14891</v>
      </c>
      <c r="D13575" s="17" t="s">
        <v>14899</v>
      </c>
      <c r="E13575" s="10">
        <v>2523693</v>
      </c>
      <c r="F13575" s="4" t="str">
        <f>IF(B13575=B13574,"",B13575)</f>
        <v/>
      </c>
    </row>
    <row r="13576" spans="1:6" ht="15.75" customHeight="1">
      <c r="A13576" s="5" t="str">
        <f ca="1">IFERROR(__xludf.DUMMYFUNCTION("GOOGLETRANSLATE(B29321,""en"",""pt"")"),"Pozuelo de Alarcón")</f>
        <v>Pozuelo de Alarcón</v>
      </c>
      <c r="B13576" s="17" t="s">
        <v>32441</v>
      </c>
      <c r="C13576" s="17" t="s">
        <v>24200</v>
      </c>
      <c r="D13576" s="17" t="s">
        <v>5513</v>
      </c>
      <c r="E13576" s="10">
        <v>3112989</v>
      </c>
      <c r="F13576" s="4" t="str">
        <f>IF(B13576=B13575,"",B13576)</f>
        <v>Pozuelo de Alarcón</v>
      </c>
    </row>
    <row r="13577" spans="1:6" ht="15.75" customHeight="1">
      <c r="A13577" s="5" t="s">
        <v>24709</v>
      </c>
      <c r="B13577" s="6" t="s">
        <v>24710</v>
      </c>
      <c r="C13577" s="5" t="s">
        <v>24200</v>
      </c>
      <c r="D13577" s="5" t="s">
        <v>5513</v>
      </c>
      <c r="E13577" s="2">
        <v>3112989</v>
      </c>
      <c r="F13577" s="4" t="str">
        <f>IF(B13577=B13576,"",B13577)</f>
        <v>Pozuelo de AlarcÃ³n</v>
      </c>
    </row>
    <row r="13578" spans="1:6" ht="15.75" customHeight="1">
      <c r="A13578" s="5" t="s">
        <v>24707</v>
      </c>
      <c r="B13578" s="6" t="s">
        <v>24708</v>
      </c>
      <c r="C13578" s="5" t="s">
        <v>24200</v>
      </c>
      <c r="D13578" s="5" t="s">
        <v>24205</v>
      </c>
      <c r="E13578" s="2">
        <v>2512340</v>
      </c>
      <c r="F13578" s="4" t="str">
        <f>IF(B13578=B13577,"",B13578)</f>
        <v>Pozoblanco</v>
      </c>
    </row>
    <row r="13579" spans="1:6" ht="15.75" customHeight="1">
      <c r="A13579" s="5" t="str">
        <f ca="1">IFERROR(__xludf.DUMMYFUNCTION("GOOGLETRANSLATE(B29024,""en"",""pt"")"),"POZOBLANCO")</f>
        <v>POZOBLANCO</v>
      </c>
      <c r="B13579" s="17" t="s">
        <v>24708</v>
      </c>
      <c r="C13579" s="17" t="s">
        <v>24200</v>
      </c>
      <c r="D13579" s="17" t="s">
        <v>24205</v>
      </c>
      <c r="E13579" s="10">
        <v>2512340</v>
      </c>
      <c r="F13579" s="4" t="str">
        <f>IF(B13579=B13578,"",B13579)</f>
        <v/>
      </c>
    </row>
    <row r="13580" spans="1:6" ht="15.75" customHeight="1">
      <c r="A13580" s="5" t="str">
        <f ca="1">IFERROR(__xludf.DUMMYFUNCTION("GOOGLETRANSLATE(B39374,""en"",""pt"")"),"Poznań")</f>
        <v>Poznań</v>
      </c>
      <c r="B13580" s="17" t="s">
        <v>35178</v>
      </c>
      <c r="C13580" s="17" t="s">
        <v>21064</v>
      </c>
      <c r="D13580" s="17" t="s">
        <v>21112</v>
      </c>
      <c r="E13580" s="10">
        <v>3088171</v>
      </c>
      <c r="F13580" s="4" t="str">
        <f>IF(B13580=B13579,"",B13580)</f>
        <v>Poznań</v>
      </c>
    </row>
    <row r="13581" spans="1:6" ht="15.75" customHeight="1">
      <c r="A13581" s="6" t="s">
        <v>21433</v>
      </c>
      <c r="B13581" s="6" t="s">
        <v>21434</v>
      </c>
      <c r="C13581" s="6" t="s">
        <v>21064</v>
      </c>
      <c r="D13581" s="6" t="s">
        <v>21112</v>
      </c>
      <c r="E13581" s="2">
        <v>3088171</v>
      </c>
      <c r="F13581" s="4" t="str">
        <f>IF(B13581=B13580,"",B13581)</f>
        <v>PoznaÅ„</v>
      </c>
    </row>
    <row r="13582" spans="1:6" ht="15.75" customHeight="1">
      <c r="A13582" s="5" t="str">
        <f ca="1">IFERROR(__xludf.DUMMYFUNCTION("GOOGLETRANSLATE(B31198,""en"",""pt"")"),"Požega")</f>
        <v>Požega</v>
      </c>
      <c r="B13582" s="17" t="s">
        <v>32807</v>
      </c>
      <c r="C13582" s="17" t="s">
        <v>5711</v>
      </c>
      <c r="D13582" s="17" t="s">
        <v>32808</v>
      </c>
      <c r="E13582" s="10">
        <v>3190589</v>
      </c>
      <c r="F13582" s="4" t="str">
        <f>IF(B13582=B13581,"",B13582)</f>
        <v>Požega</v>
      </c>
    </row>
    <row r="13583" spans="1:6" ht="15.75" customHeight="1">
      <c r="A13583" s="5" t="str">
        <f ca="1">IFERROR(__xludf.DUMMYFUNCTION("GOOGLETRANSLATE(B39869,""en"",""pt"")"),"Požarevac")</f>
        <v>Požarevac</v>
      </c>
      <c r="B13583" s="17" t="s">
        <v>35415</v>
      </c>
      <c r="C13583" s="17" t="s">
        <v>23602</v>
      </c>
      <c r="D13583" s="17" t="s">
        <v>23603</v>
      </c>
      <c r="E13583" s="10">
        <v>786827</v>
      </c>
      <c r="F13583" s="4" t="str">
        <f>IF(B13583=B13582,"",B13583)</f>
        <v>Požarevac</v>
      </c>
    </row>
    <row r="13584" spans="1:6" ht="15.75" customHeight="1">
      <c r="A13584" s="5" t="s">
        <v>18169</v>
      </c>
      <c r="B13584" s="6" t="s">
        <v>18169</v>
      </c>
      <c r="C13584" s="5" t="s">
        <v>17707</v>
      </c>
      <c r="D13584" s="5" t="s">
        <v>17708</v>
      </c>
      <c r="E13584" s="2">
        <v>3521168</v>
      </c>
      <c r="F13584" s="4" t="str">
        <f>IF(B13584=B13583,"",B13584)</f>
        <v>Poza Rica de Hidalgo</v>
      </c>
    </row>
    <row r="13585" spans="1:6" ht="15.75" customHeight="1">
      <c r="A13585" s="5" t="str">
        <f ca="1">IFERROR(__xludf.DUMMYFUNCTION("GOOGLETRANSLATE(B36946,""en"",""pt"")"),"Poza Rica de Hidalgo")</f>
        <v>Poza Rica de Hidalgo</v>
      </c>
      <c r="B13585" s="17" t="s">
        <v>18169</v>
      </c>
      <c r="C13585" s="17" t="s">
        <v>17707</v>
      </c>
      <c r="D13585" s="17" t="s">
        <v>17708</v>
      </c>
      <c r="E13585" s="10">
        <v>3521168</v>
      </c>
      <c r="F13585" s="4" t="str">
        <f>IF(B13585=B13584,"",B13585)</f>
        <v/>
      </c>
    </row>
    <row r="13586" spans="1:6" ht="15.75" customHeight="1">
      <c r="A13586" s="5" t="s">
        <v>22963</v>
      </c>
      <c r="B13586" s="6" t="s">
        <v>22963</v>
      </c>
      <c r="C13586" s="5" t="s">
        <v>22070</v>
      </c>
      <c r="D13586" s="5" t="s">
        <v>22217</v>
      </c>
      <c r="E13586" s="2">
        <v>1494276</v>
      </c>
      <c r="F13586" s="4" t="str">
        <f>IF(B13586=B13585,"",B13586)</f>
        <v>Poykovskiy</v>
      </c>
    </row>
    <row r="13587" spans="1:6" ht="15.75" customHeight="1">
      <c r="A13587" s="5" t="str">
        <f ca="1">IFERROR(__xludf.DUMMYFUNCTION("GOOGLETRANSLATE(B40772,""en"",""pt"")"),"Poykovskiy")</f>
        <v>Poykovskiy</v>
      </c>
      <c r="B13587" s="17" t="s">
        <v>22963</v>
      </c>
      <c r="C13587" s="17" t="s">
        <v>22070</v>
      </c>
      <c r="D13587" s="17" t="s">
        <v>22217</v>
      </c>
      <c r="E13587" s="10">
        <v>1494276</v>
      </c>
      <c r="F13587" s="4" t="str">
        <f>IF(B13587=B13586,"",B13587)</f>
        <v/>
      </c>
    </row>
    <row r="13588" spans="1:6" ht="15.75" customHeight="1">
      <c r="A13588" s="6" t="s">
        <v>5001</v>
      </c>
      <c r="B13588" s="6" t="s">
        <v>5001</v>
      </c>
      <c r="C13588" s="6" t="s">
        <v>4487</v>
      </c>
      <c r="D13588" s="6" t="s">
        <v>4569</v>
      </c>
      <c r="E13588" s="2">
        <v>1798548</v>
      </c>
      <c r="F13588" s="4" t="str">
        <f>IF(B13588=B13587,"",B13588)</f>
        <v>Poyang</v>
      </c>
    </row>
    <row r="13589" spans="1:6" ht="15.75" customHeight="1">
      <c r="A13589" s="5" t="str">
        <f ca="1">IFERROR(__xludf.DUMMYFUNCTION("GOOGLETRANSLATE(B26316,""en"",""pt"")"),"Poyang")</f>
        <v>Poyang</v>
      </c>
      <c r="B13589" s="17" t="s">
        <v>5001</v>
      </c>
      <c r="C13589" s="17" t="s">
        <v>4487</v>
      </c>
      <c r="D13589" s="17" t="s">
        <v>4569</v>
      </c>
      <c r="E13589" s="10">
        <v>1798548</v>
      </c>
      <c r="F13589" s="4" t="str">
        <f>IF(B13589=B13588,"",B13589)</f>
        <v/>
      </c>
    </row>
    <row r="13590" spans="1:6" ht="15.75" customHeight="1">
      <c r="A13590" s="6" t="s">
        <v>29737</v>
      </c>
      <c r="B13590" s="6" t="s">
        <v>29737</v>
      </c>
      <c r="C13590" s="6" t="s">
        <v>27788</v>
      </c>
      <c r="D13590" s="6" t="s">
        <v>27801</v>
      </c>
      <c r="E13590" s="2">
        <v>5384690</v>
      </c>
      <c r="F13590" s="4" t="str">
        <f>IF(B13590=B13589,"",B13590)</f>
        <v>Poway</v>
      </c>
    </row>
    <row r="13591" spans="1:6" ht="15.75" customHeight="1">
      <c r="A13591" s="5" t="str">
        <f ca="1">IFERROR(__xludf.DUMMYFUNCTION("GOOGLETRANSLATE(B44969,""en"",""pt"")"),"Poway")</f>
        <v>Poway</v>
      </c>
      <c r="B13591" s="17" t="s">
        <v>29737</v>
      </c>
      <c r="C13591" s="17" t="s">
        <v>27788</v>
      </c>
      <c r="D13591" s="17" t="s">
        <v>27801</v>
      </c>
      <c r="E13591" s="10">
        <v>5384690</v>
      </c>
      <c r="F13591" s="4" t="str">
        <f>IF(B13591=B13590,"",B13591)</f>
        <v/>
      </c>
    </row>
    <row r="13592" spans="1:6" ht="15.75" customHeight="1">
      <c r="A13592" s="6" t="s">
        <v>12925</v>
      </c>
      <c r="B13592" s="6" t="s">
        <v>12925</v>
      </c>
      <c r="C13592" s="6" t="s">
        <v>10178</v>
      </c>
      <c r="D13592" s="6" t="s">
        <v>10214</v>
      </c>
      <c r="E13592" s="2">
        <v>6324621</v>
      </c>
      <c r="F13592" s="4" t="str">
        <f>IF(B13592=B13591,"",B13592)</f>
        <v>Powai</v>
      </c>
    </row>
    <row r="13593" spans="1:6" ht="15.75" customHeight="1">
      <c r="A13593" s="5" t="str">
        <f ca="1">IFERROR(__xludf.DUMMYFUNCTION("GOOGLETRANSLATE(B34205,""en"",""pt"")"),"Powai")</f>
        <v>Powai</v>
      </c>
      <c r="B13593" s="17" t="s">
        <v>12925</v>
      </c>
      <c r="C13593" s="17" t="s">
        <v>10178</v>
      </c>
      <c r="D13593" s="17" t="s">
        <v>10214</v>
      </c>
      <c r="E13593" s="10">
        <v>6324621</v>
      </c>
      <c r="F13593" s="4" t="str">
        <f>IF(B13593=B13592,"",B13593)</f>
        <v/>
      </c>
    </row>
    <row r="13594" spans="1:6" ht="15.75" customHeight="1">
      <c r="A13594" s="6" t="s">
        <v>22962</v>
      </c>
      <c r="B13594" s="6" t="s">
        <v>22962</v>
      </c>
      <c r="C13594" s="6" t="s">
        <v>22070</v>
      </c>
      <c r="D13594" s="6" t="s">
        <v>22137</v>
      </c>
      <c r="E13594" s="2">
        <v>505806</v>
      </c>
      <c r="F13594" s="4" t="str">
        <f>IF(B13594=B13593,"",B13594)</f>
        <v>Povorino</v>
      </c>
    </row>
    <row r="13595" spans="1:6" ht="15.75" customHeight="1">
      <c r="A13595" s="5" t="str">
        <f ca="1">IFERROR(__xludf.DUMMYFUNCTION("GOOGLETRANSLATE(B40182,""en"",""pt"")"),"Povorino")</f>
        <v>Povorino</v>
      </c>
      <c r="B13595" s="17" t="s">
        <v>22962</v>
      </c>
      <c r="C13595" s="17" t="s">
        <v>22070</v>
      </c>
      <c r="D13595" s="17" t="s">
        <v>22137</v>
      </c>
      <c r="E13595" s="10">
        <v>505806</v>
      </c>
      <c r="F13595" s="4" t="str">
        <f>IF(B13595=B13594,"",B13595)</f>
        <v/>
      </c>
    </row>
    <row r="13596" spans="1:6" ht="15.75" customHeight="1">
      <c r="A13596" s="5" t="str">
        <f ca="1">IFERROR(__xludf.DUMMYFUNCTION("GOOGLETRANSLATE(B39644,""en"",""pt"")"),"Póvoa de Varzim")</f>
        <v>Póvoa de Varzim</v>
      </c>
      <c r="B13596" s="17" t="s">
        <v>35304</v>
      </c>
      <c r="C13596" s="17" t="s">
        <v>21606</v>
      </c>
      <c r="D13596" s="17" t="s">
        <v>21609</v>
      </c>
      <c r="E13596" s="10">
        <v>2735787</v>
      </c>
      <c r="F13596" s="4" t="str">
        <f>IF(B13596=B13595,"",B13596)</f>
        <v>Póvoa de Varzim</v>
      </c>
    </row>
    <row r="13597" spans="1:6" ht="15.75" customHeight="1">
      <c r="A13597" s="5" t="str">
        <f ca="1">IFERROR(__xludf.DUMMYFUNCTION("GOOGLETRANSLATE(B39580,""en"",""pt"")"),"Póvoa de Santa Iria")</f>
        <v>Póvoa de Santa Iria</v>
      </c>
      <c r="B13597" s="17" t="s">
        <v>35292</v>
      </c>
      <c r="C13597" s="17" t="s">
        <v>21606</v>
      </c>
      <c r="D13597" s="17" t="s">
        <v>21616</v>
      </c>
      <c r="E13597" s="10">
        <v>2264359</v>
      </c>
      <c r="F13597" s="4" t="str">
        <f>IF(B13597=B13596,"",B13597)</f>
        <v>Póvoa de Santa Iria</v>
      </c>
    </row>
    <row r="13598" spans="1:6" ht="15.75" customHeight="1">
      <c r="A13598" s="5" t="str">
        <f ca="1">IFERROR(__xludf.DUMMYFUNCTION("GOOGLETRANSLATE(B41247,""en"",""pt"")"),"Považská Bystrica")</f>
        <v>Považská Bystrica</v>
      </c>
      <c r="B13598" s="17" t="s">
        <v>35685</v>
      </c>
      <c r="C13598" s="17" t="s">
        <v>23694</v>
      </c>
      <c r="D13598" s="17" t="s">
        <v>35682</v>
      </c>
      <c r="E13598" s="10">
        <v>3058060</v>
      </c>
      <c r="F13598" s="4" t="str">
        <f>IF(B13598=B13597,"",B13598)</f>
        <v>Považská Bystrica</v>
      </c>
    </row>
    <row r="13599" spans="1:6" ht="15.75" customHeight="1">
      <c r="A13599" s="5" t="s">
        <v>23755</v>
      </c>
      <c r="B13599" s="6" t="s">
        <v>23756</v>
      </c>
      <c r="C13599" s="5" t="s">
        <v>23694</v>
      </c>
      <c r="D13599" s="5" t="s">
        <v>23702</v>
      </c>
      <c r="E13599" s="2">
        <v>3058060</v>
      </c>
      <c r="F13599" s="4" t="str">
        <f>IF(B13599=B13598,"",B13599)</f>
        <v>PovaÅ¾skÃ¡ Bystrica</v>
      </c>
    </row>
    <row r="13600" spans="1:6" ht="15.75" customHeight="1">
      <c r="A13600" s="6" t="s">
        <v>23588</v>
      </c>
      <c r="B13600" s="6" t="s">
        <v>23589</v>
      </c>
      <c r="C13600" s="6" t="s">
        <v>23559</v>
      </c>
      <c r="D13600" s="6" t="s">
        <v>23568</v>
      </c>
      <c r="E13600" s="2">
        <v>2246606</v>
      </c>
      <c r="F13600" s="4" t="str">
        <f>IF(B13600=B13599,"",B13600)</f>
        <v>Pout</v>
      </c>
    </row>
    <row r="13601" spans="1:6" ht="15.75" customHeight="1">
      <c r="A13601" s="5" t="str">
        <f ca="1">IFERROR(__xludf.DUMMYFUNCTION("GOOGLETRANSLATE(B41293,""en"",""pt"")"),"BOUT")</f>
        <v>BOUT</v>
      </c>
      <c r="B13601" s="17" t="s">
        <v>23589</v>
      </c>
      <c r="C13601" s="17" t="s">
        <v>23559</v>
      </c>
      <c r="D13601" s="17" t="s">
        <v>35705</v>
      </c>
      <c r="E13601" s="10">
        <v>2246606</v>
      </c>
      <c r="F13601" s="4" t="str">
        <f>IF(B13601=B13600,"",B13601)</f>
        <v/>
      </c>
    </row>
    <row r="13602" spans="1:6" ht="15.75" customHeight="1">
      <c r="A13602" s="5" t="s">
        <v>3168</v>
      </c>
      <c r="B13602" s="6" t="s">
        <v>3168</v>
      </c>
      <c r="C13602" s="5" t="s">
        <v>1905</v>
      </c>
      <c r="D13602" s="5" t="s">
        <v>1917</v>
      </c>
      <c r="E13602" s="2">
        <v>3452525</v>
      </c>
      <c r="F13602" s="4" t="str">
        <f>IF(B13602=B13601,"",B13602)</f>
        <v>Pouso Alegre</v>
      </c>
    </row>
    <row r="13603" spans="1:6" ht="15.75" customHeight="1">
      <c r="A13603" s="5" t="str">
        <f ca="1">IFERROR(__xludf.DUMMYFUNCTION("GOOGLETRANSLATE(B24672,""en"",""pt"")"),"Pouso Alegre")</f>
        <v>Pouso Alegre</v>
      </c>
      <c r="B13603" s="17" t="s">
        <v>3168</v>
      </c>
      <c r="C13603" s="17" t="s">
        <v>1905</v>
      </c>
      <c r="D13603" s="17" t="s">
        <v>1917</v>
      </c>
      <c r="E13603" s="10">
        <v>3452525</v>
      </c>
      <c r="F13603" s="4" t="str">
        <f>IF(B13603=B13602,"",B13603)</f>
        <v/>
      </c>
    </row>
    <row r="13604" spans="1:6" ht="15.75" customHeight="1">
      <c r="A13604" s="6" t="s">
        <v>23587</v>
      </c>
      <c r="B13604" s="6" t="s">
        <v>23587</v>
      </c>
      <c r="C13604" s="6" t="s">
        <v>23559</v>
      </c>
      <c r="D13604" s="6" t="s">
        <v>23566</v>
      </c>
      <c r="E13604" s="2">
        <v>2246608</v>
      </c>
      <c r="F13604" s="4" t="str">
        <f>IF(B13604=B13603,"",B13604)</f>
        <v>Pourham</v>
      </c>
    </row>
    <row r="13605" spans="1:6" ht="15.75" customHeight="1">
      <c r="A13605" s="5" t="str">
        <f ca="1">IFERROR(__xludf.DUMMYFUNCTION("GOOGLETRANSLATE(B41294,""en"",""pt"")"),"Pourham")</f>
        <v>Pourham</v>
      </c>
      <c r="B13605" s="17" t="s">
        <v>23587</v>
      </c>
      <c r="C13605" s="17" t="s">
        <v>23559</v>
      </c>
      <c r="D13605" s="17" t="s">
        <v>23566</v>
      </c>
      <c r="E13605" s="10">
        <v>2246608</v>
      </c>
      <c r="F13605" s="4" t="str">
        <f>IF(B13605=B13604,"",B13605)</f>
        <v/>
      </c>
    </row>
    <row r="13606" spans="1:6" ht="15.75" customHeight="1">
      <c r="A13606" s="5" t="s">
        <v>27611</v>
      </c>
      <c r="B13606" s="6" t="s">
        <v>27612</v>
      </c>
      <c r="C13606" s="5" t="s">
        <v>27234</v>
      </c>
      <c r="D13606" s="5" t="s">
        <v>27241</v>
      </c>
      <c r="E13606" s="2">
        <v>2639958</v>
      </c>
      <c r="F13606" s="4" t="str">
        <f>IF(B13606=B13605,"",B13606)</f>
        <v>Poulton le Fylde</v>
      </c>
    </row>
    <row r="13607" spans="1:6" ht="15.75" customHeight="1">
      <c r="A13607" s="5" t="str">
        <f ca="1">IFERROR(__xludf.DUMMYFUNCTION("GOOGLETRANSLATE(B30466,""en"",""pt"")"),"POULTON LE FYLDE")</f>
        <v>POULTON LE FYLDE</v>
      </c>
      <c r="B13607" s="17" t="s">
        <v>27612</v>
      </c>
      <c r="C13607" s="17" t="s">
        <v>27234</v>
      </c>
      <c r="D13607" s="17" t="s">
        <v>27241</v>
      </c>
      <c r="E13607" s="10">
        <v>2639958</v>
      </c>
      <c r="F13607" s="4" t="str">
        <f>IF(B13607=B13606,"",B13607)</f>
        <v/>
      </c>
    </row>
    <row r="13608" spans="1:6" ht="15.75" customHeight="1">
      <c r="A13608" s="5" t="s">
        <v>29736</v>
      </c>
      <c r="B13608" s="6" t="s">
        <v>29736</v>
      </c>
      <c r="C13608" s="5" t="s">
        <v>27788</v>
      </c>
      <c r="D13608" s="5" t="s">
        <v>27819</v>
      </c>
      <c r="E13608" s="2">
        <v>5132143</v>
      </c>
      <c r="F13608" s="4" t="str">
        <f>IF(B13608=B13607,"",B13608)</f>
        <v>Poughkeepsie</v>
      </c>
    </row>
    <row r="13609" spans="1:6" ht="15.75" customHeight="1">
      <c r="A13609" s="5" t="str">
        <f ca="1">IFERROR(__xludf.DUMMYFUNCTION("GOOGLETRANSLATE(B44437,""en"",""pt"")"),"Poughkeepsie")</f>
        <v>Poughkeepsie</v>
      </c>
      <c r="B13609" s="17" t="s">
        <v>29736</v>
      </c>
      <c r="C13609" s="17" t="s">
        <v>27788</v>
      </c>
      <c r="D13609" s="17" t="s">
        <v>27819</v>
      </c>
      <c r="E13609" s="10">
        <v>5132143</v>
      </c>
      <c r="F13609" s="4" t="str">
        <f>IF(B13609=B13608,"",B13609)</f>
        <v/>
      </c>
    </row>
    <row r="13610" spans="1:6" ht="15.75" customHeight="1">
      <c r="A13610" s="5" t="s">
        <v>29735</v>
      </c>
      <c r="B13610" s="6" t="s">
        <v>29735</v>
      </c>
      <c r="C13610" s="5" t="s">
        <v>27788</v>
      </c>
      <c r="D13610" s="5" t="s">
        <v>27836</v>
      </c>
      <c r="E13610" s="2">
        <v>5207069</v>
      </c>
      <c r="F13610" s="4" t="str">
        <f>IF(B13610=B13609,"",B13610)</f>
        <v>Pottstown</v>
      </c>
    </row>
    <row r="13611" spans="1:6" ht="15.75" customHeight="1">
      <c r="A13611" s="5" t="str">
        <f ca="1">IFERROR(__xludf.DUMMYFUNCTION("GOOGLETRANSLATE(B44591,""en"",""pt"")"),"Pottstown")</f>
        <v>Pottstown</v>
      </c>
      <c r="B13611" s="17" t="s">
        <v>29735</v>
      </c>
      <c r="C13611" s="17" t="s">
        <v>27788</v>
      </c>
      <c r="D13611" s="17" t="s">
        <v>27836</v>
      </c>
      <c r="E13611" s="10">
        <v>5207069</v>
      </c>
      <c r="F13611" s="4" t="str">
        <f>IF(B13611=B13610,"",B13611)</f>
        <v/>
      </c>
    </row>
    <row r="13612" spans="1:6" ht="15.75" customHeight="1">
      <c r="A13612" s="5" t="s">
        <v>27609</v>
      </c>
      <c r="B13612" s="6" t="s">
        <v>27610</v>
      </c>
      <c r="C13612" s="5" t="s">
        <v>27234</v>
      </c>
      <c r="D13612" s="5" t="s">
        <v>27241</v>
      </c>
      <c r="E13612" s="2">
        <v>2639970</v>
      </c>
      <c r="F13612" s="4" t="str">
        <f>IF(B13612=B13611,"",B13612)</f>
        <v>Potters Bar</v>
      </c>
    </row>
    <row r="13613" spans="1:6" ht="15.75" customHeight="1">
      <c r="A13613" s="5" t="str">
        <f ca="1">IFERROR(__xludf.DUMMYFUNCTION("GOOGLETRANSLATE(B30467,""en"",""pt"")"),"Potters bar")</f>
        <v>Potters bar</v>
      </c>
      <c r="B13613" s="17" t="s">
        <v>27610</v>
      </c>
      <c r="C13613" s="17" t="s">
        <v>27234</v>
      </c>
      <c r="D13613" s="17" t="s">
        <v>27241</v>
      </c>
      <c r="E13613" s="10">
        <v>2639970</v>
      </c>
      <c r="F13613" s="4" t="str">
        <f>IF(B13613=B13612,"",B13613)</f>
        <v/>
      </c>
    </row>
    <row r="13614" spans="1:6" ht="15.75" customHeight="1">
      <c r="A13614" s="6" t="s">
        <v>9005</v>
      </c>
      <c r="B13614" s="6" t="s">
        <v>9005</v>
      </c>
      <c r="C13614" s="6" t="s">
        <v>8028</v>
      </c>
      <c r="D13614" s="6" t="s">
        <v>8070</v>
      </c>
      <c r="E13614" s="2">
        <v>2852458</v>
      </c>
      <c r="F13614" s="4" t="str">
        <f>IF(B13614=B13613,"",B13614)</f>
        <v>Potsdam</v>
      </c>
    </row>
    <row r="13615" spans="1:6" ht="15.75" customHeight="1">
      <c r="A13615" s="5" t="str">
        <f ca="1">IFERROR(__xludf.DUMMYFUNCTION("GOOGLETRANSLATE(B27639,""en"",""pt"")"),"Potsdam")</f>
        <v>Potsdam</v>
      </c>
      <c r="B13615" s="17" t="s">
        <v>9005</v>
      </c>
      <c r="C13615" s="17" t="s">
        <v>8028</v>
      </c>
      <c r="D13615" s="17" t="s">
        <v>8070</v>
      </c>
      <c r="E13615" s="10">
        <v>2852458</v>
      </c>
      <c r="F13615" s="4" t="str">
        <f>IF(B13615=B13614,"",B13615)</f>
        <v/>
      </c>
    </row>
    <row r="13616" spans="1:6" ht="15.75" customHeight="1">
      <c r="A13616" s="6" t="s">
        <v>9925</v>
      </c>
      <c r="B13616" s="6" t="s">
        <v>9926</v>
      </c>
      <c r="C13616" s="6" t="s">
        <v>9907</v>
      </c>
      <c r="D13616" s="6" t="s">
        <v>9908</v>
      </c>
      <c r="E13616" s="2">
        <v>3603330</v>
      </c>
      <c r="F13616" s="4" t="str">
        <f>IF(B13616=B13615,"",B13616)</f>
        <v>Potrerillos</v>
      </c>
    </row>
    <row r="13617" spans="1:6" ht="15.75" customHeight="1">
      <c r="A13617" s="5" t="str">
        <f ca="1">IFERROR(__xludf.DUMMYFUNCTION("GOOGLETRANSLATE(B31174,""en"",""pt"")"),"Potreillos")</f>
        <v>Potreillos</v>
      </c>
      <c r="B13617" s="17" t="s">
        <v>9926</v>
      </c>
      <c r="C13617" s="17" t="s">
        <v>9907</v>
      </c>
      <c r="D13617" s="17" t="s">
        <v>32793</v>
      </c>
      <c r="E13617" s="10">
        <v>3603330</v>
      </c>
      <c r="F13617" s="4" t="str">
        <f>IF(B13617=B13616,"",B13617)</f>
        <v/>
      </c>
    </row>
    <row r="13618" spans="1:6" ht="15.75" customHeight="1">
      <c r="A13618" s="5" t="str">
        <f ca="1">IFERROR(__xludf.DUMMYFUNCTION("GOOGLETRANSLATE(B24130,""en"",""pt"")"),"Potosí")</f>
        <v>Potosí</v>
      </c>
      <c r="B13618" s="17" t="s">
        <v>31336</v>
      </c>
      <c r="C13618" s="17" t="s">
        <v>1806</v>
      </c>
      <c r="D13618" s="17" t="s">
        <v>31336</v>
      </c>
      <c r="E13618" s="10">
        <v>3907584</v>
      </c>
      <c r="F13618" s="4" t="str">
        <f>IF(B13618=B13617,"",B13618)</f>
        <v>Potosí</v>
      </c>
    </row>
    <row r="13619" spans="1:6" ht="15.75" customHeight="1">
      <c r="A13619" s="6" t="s">
        <v>1821</v>
      </c>
      <c r="B13619" s="6" t="s">
        <v>1818</v>
      </c>
      <c r="C13619" s="6" t="s">
        <v>1806</v>
      </c>
      <c r="D13619" s="6" t="s">
        <v>1818</v>
      </c>
      <c r="E13619" s="2">
        <v>3907584</v>
      </c>
      <c r="F13619" s="4" t="str">
        <f>IF(B13619=B13618,"",B13619)</f>
        <v>PotosÃ­</v>
      </c>
    </row>
    <row r="13620" spans="1:6" ht="15.75" customHeight="1">
      <c r="A13620" s="6" t="s">
        <v>29734</v>
      </c>
      <c r="B13620" s="6" t="s">
        <v>29734</v>
      </c>
      <c r="C13620" s="6" t="s">
        <v>27788</v>
      </c>
      <c r="D13620" s="6" t="s">
        <v>17061</v>
      </c>
      <c r="E13620" s="2">
        <v>4366001</v>
      </c>
      <c r="F13620" s="4" t="str">
        <f>IF(B13620=B13619,"",B13620)</f>
        <v>Potomac</v>
      </c>
    </row>
    <row r="13621" spans="1:6" ht="15.75" customHeight="1">
      <c r="A13621" s="5" t="str">
        <f ca="1">IFERROR(__xludf.DUMMYFUNCTION("GOOGLETRANSLATE(B43322,""en"",""pt"")"),"Potomac")</f>
        <v>Potomac</v>
      </c>
      <c r="B13621" s="17" t="s">
        <v>29734</v>
      </c>
      <c r="C13621" s="17" t="s">
        <v>27788</v>
      </c>
      <c r="D13621" s="17" t="s">
        <v>17061</v>
      </c>
      <c r="E13621" s="10">
        <v>4366001</v>
      </c>
      <c r="F13621" s="4" t="str">
        <f>IF(B13621=B13620,"",B13621)</f>
        <v/>
      </c>
    </row>
    <row r="13622" spans="1:6" ht="15.75" customHeight="1">
      <c r="A13622" s="6" t="s">
        <v>19555</v>
      </c>
      <c r="B13622" s="6" t="s">
        <v>19555</v>
      </c>
      <c r="C13622" s="6" t="s">
        <v>19294</v>
      </c>
      <c r="D13622" s="6" t="s">
        <v>19364</v>
      </c>
      <c r="E13622" s="2">
        <v>2324767</v>
      </c>
      <c r="F13622" s="4" t="str">
        <f>IF(B13622=B13621,"",B13622)</f>
        <v>Potiskum</v>
      </c>
    </row>
    <row r="13623" spans="1:6" ht="15.75" customHeight="1">
      <c r="A13623" s="5" t="str">
        <f ca="1">IFERROR(__xludf.DUMMYFUNCTION("GOOGLETRANSLATE(B37635,""en"",""pt"")"),"Potiskum")</f>
        <v>Potiskum</v>
      </c>
      <c r="B13623" s="17" t="s">
        <v>19555</v>
      </c>
      <c r="C13623" s="17" t="s">
        <v>19294</v>
      </c>
      <c r="D13623" s="17" t="s">
        <v>19364</v>
      </c>
      <c r="E13623" s="10">
        <v>2324767</v>
      </c>
      <c r="F13623" s="4" t="str">
        <f>IF(B13623=B13622,"",B13623)</f>
        <v/>
      </c>
    </row>
    <row r="13624" spans="1:6" ht="15.75" customHeight="1">
      <c r="A13624" s="6" t="s">
        <v>15390</v>
      </c>
      <c r="B13624" s="6" t="s">
        <v>15390</v>
      </c>
      <c r="C13624" s="6" t="s">
        <v>14891</v>
      </c>
      <c r="D13624" s="6" t="s">
        <v>15255</v>
      </c>
      <c r="E13624" s="2">
        <v>3170027</v>
      </c>
      <c r="F13624" s="4" t="str">
        <f>IF(B13624=B13623,"",B13624)</f>
        <v>Potenza</v>
      </c>
    </row>
    <row r="13625" spans="1:6" ht="15.75" customHeight="1">
      <c r="A13625" s="5" t="str">
        <f ca="1">IFERROR(__xludf.DUMMYFUNCTION("GOOGLETRANSLATE(B34754,""en"",""pt"")"),"Potenza")</f>
        <v>Potenza</v>
      </c>
      <c r="B13625" s="17" t="s">
        <v>15390</v>
      </c>
      <c r="C13625" s="17" t="s">
        <v>14891</v>
      </c>
      <c r="D13625" s="17" t="s">
        <v>15255</v>
      </c>
      <c r="E13625" s="10">
        <v>3170027</v>
      </c>
      <c r="F13625" s="4" t="str">
        <f>IF(B13625=B13624,"",B13625)</f>
        <v/>
      </c>
    </row>
    <row r="13626" spans="1:6" ht="15.75" customHeight="1">
      <c r="A13626" s="5" t="s">
        <v>23961</v>
      </c>
      <c r="B13626" s="6" t="s">
        <v>23961</v>
      </c>
      <c r="C13626" s="5" t="s">
        <v>23842</v>
      </c>
      <c r="D13626" s="5" t="s">
        <v>23860</v>
      </c>
      <c r="E13626" s="2">
        <v>964349</v>
      </c>
      <c r="F13626" s="4" t="str">
        <f>IF(B13626=B13625,"",B13626)</f>
        <v>Potchefstroom</v>
      </c>
    </row>
    <row r="13627" spans="1:6" ht="15.75" customHeight="1">
      <c r="A13627" s="5" t="str">
        <f ca="1">IFERROR(__xludf.DUMMYFUNCTION("GOOGLETRANSLATE(B45891,""en"",""pt"")"),"Potchefstroom")</f>
        <v>Potchefstroom</v>
      </c>
      <c r="B13627" s="17" t="s">
        <v>23961</v>
      </c>
      <c r="C13627" s="17" t="s">
        <v>23842</v>
      </c>
      <c r="D13627" s="17" t="s">
        <v>23860</v>
      </c>
      <c r="E13627" s="10">
        <v>964349</v>
      </c>
      <c r="F13627" s="4" t="str">
        <f>IF(B13627=B13626,"",B13627)</f>
        <v/>
      </c>
    </row>
    <row r="13628" spans="1:6" ht="15.75" customHeight="1">
      <c r="A13628" s="5" t="str">
        <f ca="1">IFERROR(__xludf.DUMMYFUNCTION("GOOGLETRANSLATE(B25325,""en"",""pt"")"),"Pôsto fiscal Rolim de Moura")</f>
        <v>Pôsto fiscal Rolim de Moura</v>
      </c>
      <c r="B13628" s="17" t="s">
        <v>31743</v>
      </c>
      <c r="C13628" s="17" t="s">
        <v>1905</v>
      </c>
      <c r="D13628" s="17" t="s">
        <v>31741</v>
      </c>
      <c r="E13628" s="10">
        <v>3924877</v>
      </c>
      <c r="F13628" s="4" t="str">
        <f>IF(B13628=B13627,"",B13628)</f>
        <v>Pôsto Fiscal Rolim de Moura</v>
      </c>
    </row>
    <row r="13629" spans="1:6" ht="15.75" customHeight="1">
      <c r="A13629" s="6" t="s">
        <v>29733</v>
      </c>
      <c r="B13629" s="6" t="s">
        <v>29733</v>
      </c>
      <c r="C13629" s="6" t="s">
        <v>27788</v>
      </c>
      <c r="D13629" s="6" t="s">
        <v>28059</v>
      </c>
      <c r="E13629" s="2">
        <v>5604353</v>
      </c>
      <c r="F13629" s="4" t="str">
        <f>IF(B13629=B13628,"",B13629)</f>
        <v>Post Falls</v>
      </c>
    </row>
    <row r="13630" spans="1:6" ht="15.75" customHeight="1">
      <c r="A13630" s="5" t="str">
        <f ca="1">IFERROR(__xludf.DUMMYFUNCTION("GOOGLETRANSLATE(B45206,""en"",""pt"")"),"Post Falls")</f>
        <v>Post Falls</v>
      </c>
      <c r="B13630" s="17" t="s">
        <v>29733</v>
      </c>
      <c r="C13630" s="17" t="s">
        <v>27788</v>
      </c>
      <c r="D13630" s="17" t="s">
        <v>28059</v>
      </c>
      <c r="E13630" s="10">
        <v>5604353</v>
      </c>
      <c r="F13630" s="4" t="str">
        <f>IF(B13630=B13629,"",B13630)</f>
        <v/>
      </c>
    </row>
    <row r="13631" spans="1:6" ht="15.75" customHeight="1">
      <c r="A13631" s="6" t="s">
        <v>3167</v>
      </c>
      <c r="B13631" s="6" t="s">
        <v>3167</v>
      </c>
      <c r="C13631" s="6" t="s">
        <v>1905</v>
      </c>
      <c r="D13631" s="6" t="s">
        <v>1969</v>
      </c>
      <c r="E13631" s="2">
        <v>3452599</v>
      </c>
      <c r="F13631" s="4" t="str">
        <f>IF(B13631=B13630,"",B13631)</f>
        <v>Posse</v>
      </c>
    </row>
    <row r="13632" spans="1:6" ht="15.75" customHeight="1">
      <c r="A13632" s="5" t="str">
        <f ca="1">IFERROR(__xludf.DUMMYFUNCTION("GOOGLETRANSLATE(B24673,""en"",""pt"")"),"Posse")</f>
        <v>Posse</v>
      </c>
      <c r="B13632" s="17" t="s">
        <v>3167</v>
      </c>
      <c r="C13632" s="17" t="s">
        <v>1905</v>
      </c>
      <c r="D13632" s="17" t="s">
        <v>31436</v>
      </c>
      <c r="E13632" s="10">
        <v>3452599</v>
      </c>
      <c r="F13632" s="4" t="str">
        <f>IF(B13632=B13631,"",B13632)</f>
        <v/>
      </c>
    </row>
    <row r="13633" spans="1:6" ht="15.75" customHeight="1">
      <c r="A13633" s="6" t="s">
        <v>14108</v>
      </c>
      <c r="B13633" s="6" t="s">
        <v>14108</v>
      </c>
      <c r="C13633" s="6" t="s">
        <v>13800</v>
      </c>
      <c r="D13633" s="6" t="s">
        <v>14014</v>
      </c>
      <c r="E13633" s="2">
        <v>1630723</v>
      </c>
      <c r="F13633" s="4" t="str">
        <f>IF(B13633=B13632,"",B13633)</f>
        <v>Poso</v>
      </c>
    </row>
    <row r="13634" spans="1:6" ht="15.75" customHeight="1">
      <c r="A13634" s="5" t="str">
        <f ca="1">IFERROR(__xludf.DUMMYFUNCTION("GOOGLETRANSLATE(B31484,""en"",""pt"")"),"Poso")</f>
        <v>Poso</v>
      </c>
      <c r="B13634" s="17" t="s">
        <v>14108</v>
      </c>
      <c r="C13634" s="17" t="s">
        <v>13800</v>
      </c>
      <c r="D13634" s="17" t="s">
        <v>14014</v>
      </c>
      <c r="E13634" s="10">
        <v>1630723</v>
      </c>
      <c r="F13634" s="4" t="str">
        <f>IF(B13634=B13633,"",B13634)</f>
        <v/>
      </c>
    </row>
    <row r="13635" spans="1:6" ht="15.75" customHeight="1">
      <c r="A13635" s="6" t="s">
        <v>737</v>
      </c>
      <c r="B13635" s="6" t="s">
        <v>737</v>
      </c>
      <c r="C13635" s="6" t="s">
        <v>558</v>
      </c>
      <c r="D13635" s="6" t="s">
        <v>576</v>
      </c>
      <c r="E13635" s="2">
        <v>3429886</v>
      </c>
      <c r="F13635" s="4" t="str">
        <f>IF(B13635=B13634,"",B13635)</f>
        <v>Posadas</v>
      </c>
    </row>
    <row r="13636" spans="1:6" ht="15.75" customHeight="1">
      <c r="A13636" s="5" t="str">
        <f ca="1">IFERROR(__xludf.DUMMYFUNCTION("GOOGLETRANSLATE(B23192,""en"",""pt"")"),"Posadas")</f>
        <v>Posadas</v>
      </c>
      <c r="B13636" s="17" t="s">
        <v>737</v>
      </c>
      <c r="C13636" s="17" t="s">
        <v>558</v>
      </c>
      <c r="D13636" s="17" t="s">
        <v>576</v>
      </c>
      <c r="E13636" s="10">
        <v>3429886</v>
      </c>
      <c r="F13636" s="4" t="str">
        <f>IF(B13636=B13635,"",B13636)</f>
        <v/>
      </c>
    </row>
    <row r="13637" spans="1:6" ht="15.75" customHeight="1">
      <c r="A13637" s="6" t="s">
        <v>7023</v>
      </c>
      <c r="B13637" s="6" t="s">
        <v>7023</v>
      </c>
      <c r="C13637" s="6" t="s">
        <v>6948</v>
      </c>
      <c r="D13637" s="6" t="s">
        <v>6951</v>
      </c>
      <c r="E13637" s="2">
        <v>660561</v>
      </c>
      <c r="F13637" s="4" t="str">
        <f>IF(B13637=B13636,"",B13637)</f>
        <v>Porvoo</v>
      </c>
    </row>
    <row r="13638" spans="1:6" ht="15.75" customHeight="1">
      <c r="A13638" s="5" t="str">
        <f ca="1">IFERROR(__xludf.DUMMYFUNCTION("GOOGLETRANSLATE(B29662,""en"",""pt"")"),"Porvoo")</f>
        <v>Porvoo</v>
      </c>
      <c r="B13638" s="17" t="s">
        <v>7023</v>
      </c>
      <c r="C13638" s="17" t="s">
        <v>6948</v>
      </c>
      <c r="D13638" s="17" t="s">
        <v>6951</v>
      </c>
      <c r="E13638" s="10">
        <v>660561</v>
      </c>
      <c r="F13638" s="4" t="str">
        <f>IF(B13638=B13637,"",B13638)</f>
        <v/>
      </c>
    </row>
    <row r="13639" spans="1:6" ht="15.75" customHeight="1">
      <c r="A13639" s="6" t="s">
        <v>12924</v>
      </c>
      <c r="B13639" s="6" t="s">
        <v>12924</v>
      </c>
      <c r="C13639" s="6" t="s">
        <v>10178</v>
      </c>
      <c r="D13639" s="6" t="s">
        <v>10196</v>
      </c>
      <c r="E13639" s="2">
        <v>1465622</v>
      </c>
      <c r="F13639" s="4" t="str">
        <f>IF(B13639=B13638,"",B13639)</f>
        <v>Porur</v>
      </c>
    </row>
    <row r="13640" spans="1:6" ht="15.75" customHeight="1">
      <c r="A13640" s="5" t="str">
        <f ca="1">IFERROR(__xludf.DUMMYFUNCTION("GOOGLETRANSLATE(B34201,""en"",""pt"")"),"Porur")</f>
        <v>Porur</v>
      </c>
      <c r="B13640" s="17" t="s">
        <v>12924</v>
      </c>
      <c r="C13640" s="17" t="s">
        <v>10178</v>
      </c>
      <c r="D13640" s="17" t="s">
        <v>10196</v>
      </c>
      <c r="E13640" s="10">
        <v>1465622</v>
      </c>
      <c r="F13640" s="4" t="str">
        <f>IF(B13640=B13639,"",B13640)</f>
        <v/>
      </c>
    </row>
    <row r="13641" spans="1:6" ht="15.75" customHeight="1">
      <c r="A13641" s="6" t="s">
        <v>30626</v>
      </c>
      <c r="B13641" s="6" t="s">
        <v>30626</v>
      </c>
      <c r="C13641" s="6" t="s">
        <v>30627</v>
      </c>
      <c r="D13641" s="6" t="s">
        <v>30628</v>
      </c>
      <c r="E13641" s="2">
        <v>2135171</v>
      </c>
      <c r="F13641" s="4" t="str">
        <f>IF(B13641=B13640,"",B13641)</f>
        <v>Port-Vila</v>
      </c>
    </row>
    <row r="13642" spans="1:6" ht="15.75" customHeight="1">
      <c r="A13642" s="5" t="str">
        <f ca="1">IFERROR(__xludf.DUMMYFUNCTION("GOOGLETRANSLATE(B45792,""en"",""pt"")"),"Port-Vila")</f>
        <v>Port-Vila</v>
      </c>
      <c r="B13642" s="17" t="s">
        <v>30626</v>
      </c>
      <c r="C13642" s="17" t="s">
        <v>30627</v>
      </c>
      <c r="D13642" s="17" t="s">
        <v>30628</v>
      </c>
      <c r="E13642" s="10">
        <v>2135171</v>
      </c>
      <c r="F13642" s="4" t="str">
        <f>IF(B13642=B13641,"",B13642)</f>
        <v/>
      </c>
    </row>
    <row r="13643" spans="1:6" ht="15.75" customHeight="1">
      <c r="A13643" s="5" t="s">
        <v>24706</v>
      </c>
      <c r="B13643" s="6" t="s">
        <v>24706</v>
      </c>
      <c r="C13643" s="5" t="s">
        <v>24200</v>
      </c>
      <c r="D13643" s="5" t="s">
        <v>24249</v>
      </c>
      <c r="E13643" s="2">
        <v>3113082</v>
      </c>
      <c r="F13643" s="4" t="str">
        <f>IF(B13643=B13642,"",B13643)</f>
        <v>Portugalete</v>
      </c>
    </row>
    <row r="13644" spans="1:6" ht="15.75" customHeight="1">
      <c r="A13644" s="5" t="str">
        <f ca="1">IFERROR(__xludf.DUMMYFUNCTION("GOOGLETRANSLATE(B29323,""en"",""pt"")"),"Portugalete")</f>
        <v>Portugalete</v>
      </c>
      <c r="B13644" s="17" t="s">
        <v>24706</v>
      </c>
      <c r="C13644" s="17" t="s">
        <v>24200</v>
      </c>
      <c r="D13644" s="17" t="s">
        <v>24249</v>
      </c>
      <c r="E13644" s="10">
        <v>3113082</v>
      </c>
      <c r="F13644" s="4" t="str">
        <f>IF(B13644=B13643,"",B13644)</f>
        <v/>
      </c>
    </row>
    <row r="13645" spans="1:6" ht="15.75" customHeight="1">
      <c r="A13645" s="5" t="s">
        <v>27608</v>
      </c>
      <c r="B13645" s="6" t="s">
        <v>27608</v>
      </c>
      <c r="C13645" s="5" t="s">
        <v>27234</v>
      </c>
      <c r="D13645" s="5" t="s">
        <v>27241</v>
      </c>
      <c r="E13645" s="2">
        <v>2639996</v>
      </c>
      <c r="F13645" s="4" t="str">
        <f>IF(B13645=B13644,"",B13645)</f>
        <v>Portsmouth</v>
      </c>
    </row>
    <row r="13646" spans="1:6" ht="15.75" customHeight="1">
      <c r="A13646" s="5" t="s">
        <v>27608</v>
      </c>
      <c r="B13646" s="6" t="s">
        <v>27608</v>
      </c>
      <c r="C13646" s="5" t="s">
        <v>27788</v>
      </c>
      <c r="D13646" s="5" t="s">
        <v>27813</v>
      </c>
      <c r="E13646" s="2">
        <v>4521816</v>
      </c>
      <c r="F13646" s="4" t="str">
        <f>IF(B13646=B13645,"",B13646)</f>
        <v/>
      </c>
    </row>
    <row r="13647" spans="1:6" ht="15.75" customHeight="1">
      <c r="A13647" s="5" t="s">
        <v>27608</v>
      </c>
      <c r="B13647" s="6" t="s">
        <v>27608</v>
      </c>
      <c r="C13647" s="5" t="s">
        <v>27788</v>
      </c>
      <c r="D13647" s="5" t="s">
        <v>27985</v>
      </c>
      <c r="E13647" s="2">
        <v>5091383</v>
      </c>
      <c r="F13647" s="4" t="str">
        <f>IF(B13647=B13646,"",B13647)</f>
        <v/>
      </c>
    </row>
    <row r="13648" spans="1:6" ht="15.75" customHeight="1">
      <c r="A13648" s="5" t="s">
        <v>27608</v>
      </c>
      <c r="B13648" s="6" t="s">
        <v>27608</v>
      </c>
      <c r="C13648" s="5" t="s">
        <v>27788</v>
      </c>
      <c r="D13648" s="5" t="s">
        <v>27951</v>
      </c>
      <c r="E13648" s="2">
        <v>5224082</v>
      </c>
      <c r="F13648" s="4" t="str">
        <f>IF(B13648=B13647,"",B13648)</f>
        <v/>
      </c>
    </row>
    <row r="13649" spans="1:6" ht="15.75" customHeight="1">
      <c r="A13649" s="8" t="str">
        <f ca="1">IFERROR(__xludf.DUMMYFUNCTION("GOOGLETRANSLATE(B30468,""en"",""pt"")"),"Portsmouth")</f>
        <v>Portsmouth</v>
      </c>
      <c r="B13649" s="9" t="s">
        <v>27608</v>
      </c>
      <c r="C13649" s="9" t="s">
        <v>27234</v>
      </c>
      <c r="D13649" s="9" t="s">
        <v>27241</v>
      </c>
      <c r="E13649" s="10">
        <v>2639996</v>
      </c>
      <c r="F13649" s="4" t="str">
        <f>IF(B13649=B13648,"",B13649)</f>
        <v/>
      </c>
    </row>
    <row r="13650" spans="1:6" ht="15.75" customHeight="1">
      <c r="A13650" s="8" t="str">
        <f ca="1">IFERROR(__xludf.DUMMYFUNCTION("GOOGLETRANSLATE(B43525,""en"",""pt"")"),"Portsmouth")</f>
        <v>Portsmouth</v>
      </c>
      <c r="B13650" s="11" t="s">
        <v>27608</v>
      </c>
      <c r="C13650" s="11" t="s">
        <v>27788</v>
      </c>
      <c r="D13650" s="11" t="s">
        <v>27813</v>
      </c>
      <c r="E13650" s="10">
        <v>4521816</v>
      </c>
      <c r="F13650" s="4" t="str">
        <f>IF(B13650=B13649,"",B13650)</f>
        <v/>
      </c>
    </row>
    <row r="13651" spans="1:6" ht="15.75" customHeight="1">
      <c r="A13651" s="8" t="str">
        <f ca="1">IFERROR(__xludf.DUMMYFUNCTION("GOOGLETRANSLATE(B44236,""en"",""pt"")"),"Portsmouth")</f>
        <v>Portsmouth</v>
      </c>
      <c r="B13651" s="9" t="s">
        <v>27608</v>
      </c>
      <c r="C13651" s="9" t="s">
        <v>27788</v>
      </c>
      <c r="D13651" s="9" t="s">
        <v>27985</v>
      </c>
      <c r="E13651" s="10">
        <v>5091383</v>
      </c>
      <c r="F13651" s="4" t="str">
        <f>IF(B13651=B13650,"",B13651)</f>
        <v/>
      </c>
    </row>
    <row r="13652" spans="1:6" ht="15.75" customHeight="1">
      <c r="A13652" s="8" t="str">
        <f ca="1">IFERROR(__xludf.DUMMYFUNCTION("GOOGLETRANSLATE(B44616,""en"",""pt"")"),"Portsmouth")</f>
        <v>Portsmouth</v>
      </c>
      <c r="B13652" s="11" t="s">
        <v>27608</v>
      </c>
      <c r="C13652" s="11" t="s">
        <v>27788</v>
      </c>
      <c r="D13652" s="11" t="s">
        <v>27951</v>
      </c>
      <c r="E13652" s="10">
        <v>5224082</v>
      </c>
      <c r="F13652" s="4" t="str">
        <f>IF(B13652=B13651,"",B13652)</f>
        <v/>
      </c>
    </row>
    <row r="13653" spans="1:6" ht="15.75" customHeight="1">
      <c r="A13653" s="15" t="s">
        <v>27607</v>
      </c>
      <c r="B13653" s="15" t="s">
        <v>27607</v>
      </c>
      <c r="C13653" s="15" t="s">
        <v>27234</v>
      </c>
      <c r="D13653" s="15" t="s">
        <v>27241</v>
      </c>
      <c r="E13653" s="2">
        <v>2639998</v>
      </c>
      <c r="F13653" s="4" t="str">
        <f>IF(B13653=B13652,"",B13653)</f>
        <v>Portslade</v>
      </c>
    </row>
    <row r="13654" spans="1:6" ht="15.75" customHeight="1">
      <c r="A13654" s="8" t="str">
        <f ca="1">IFERROR(__xludf.DUMMYFUNCTION("GOOGLETRANSLATE(B30469,""en"",""pt"")"),"Portslade")</f>
        <v>Portslade</v>
      </c>
      <c r="B13654" s="11" t="s">
        <v>27607</v>
      </c>
      <c r="C13654" s="11" t="s">
        <v>27234</v>
      </c>
      <c r="D13654" s="11" t="s">
        <v>27241</v>
      </c>
      <c r="E13654" s="10">
        <v>2639998</v>
      </c>
      <c r="F13654" s="4" t="str">
        <f>IF(B13654=B13653,"",B13654)</f>
        <v/>
      </c>
    </row>
    <row r="13655" spans="1:6" ht="15.75" customHeight="1">
      <c r="A13655" s="16" t="s">
        <v>6461</v>
      </c>
      <c r="B13655" s="15" t="s">
        <v>6461</v>
      </c>
      <c r="C13655" s="16" t="s">
        <v>6398</v>
      </c>
      <c r="D13655" s="16" t="s">
        <v>6408</v>
      </c>
      <c r="E13655" s="2">
        <v>3652941</v>
      </c>
      <c r="F13655" s="4" t="str">
        <f>IF(B13655=B13654,"",B13655)</f>
        <v>Portoviejo</v>
      </c>
    </row>
    <row r="13656" spans="1:6" ht="15.75" customHeight="1">
      <c r="A13656" s="8" t="str">
        <f ca="1">IFERROR(__xludf.DUMMYFUNCTION("GOOGLETRANSLATE(B28768,""en"",""pt"")"),"Portoviejo")</f>
        <v>Portoviejo</v>
      </c>
      <c r="B13656" s="11" t="s">
        <v>6461</v>
      </c>
      <c r="C13656" s="11" t="s">
        <v>6398</v>
      </c>
      <c r="D13656" s="11" t="s">
        <v>32234</v>
      </c>
      <c r="E13656" s="10">
        <v>3652941</v>
      </c>
      <c r="F13656" s="4" t="str">
        <f>IF(B13656=B13655,"",B13656)</f>
        <v/>
      </c>
    </row>
    <row r="13657" spans="1:6" ht="15.75" customHeight="1">
      <c r="A13657" s="16" t="s">
        <v>1782</v>
      </c>
      <c r="B13657" s="15" t="s">
        <v>1783</v>
      </c>
      <c r="C13657" s="16" t="s">
        <v>1741</v>
      </c>
      <c r="D13657" s="16" t="s">
        <v>1784</v>
      </c>
      <c r="E13657" s="2">
        <v>2392087</v>
      </c>
      <c r="F13657" s="4" t="str">
        <f>IF(B13657=B13656,"",B13657)</f>
        <v>Porto-Novo</v>
      </c>
    </row>
    <row r="13658" spans="1:6" ht="15.75" customHeight="1">
      <c r="A13658" s="8" t="str">
        <f ca="1">IFERROR(__xludf.DUMMYFUNCTION("GOOGLETRANSLATE(B24085,""en"",""pt"")"),"Porto-novo")</f>
        <v>Porto-novo</v>
      </c>
      <c r="B13658" s="11" t="s">
        <v>1783</v>
      </c>
      <c r="C13658" s="11" t="s">
        <v>1741</v>
      </c>
      <c r="D13658" s="11" t="s">
        <v>31332</v>
      </c>
      <c r="E13658" s="10">
        <v>2392087</v>
      </c>
      <c r="F13658" s="4" t="str">
        <f>IF(B13658=B13657,"",B13658)</f>
        <v/>
      </c>
    </row>
    <row r="13659" spans="1:6" ht="15.75" customHeight="1">
      <c r="A13659" s="16" t="s">
        <v>15388</v>
      </c>
      <c r="B13659" s="15" t="s">
        <v>15389</v>
      </c>
      <c r="C13659" s="16" t="s">
        <v>14891</v>
      </c>
      <c r="D13659" s="16" t="s">
        <v>14892</v>
      </c>
      <c r="E13659" s="2">
        <v>3170086</v>
      </c>
      <c r="F13659" s="4" t="str">
        <f>IF(B13659=B13658,"",B13659)</f>
        <v>Portogruaro</v>
      </c>
    </row>
    <row r="13660" spans="1:6" ht="15.75" customHeight="1">
      <c r="A13660" s="8" t="str">
        <f ca="1">IFERROR(__xludf.DUMMYFUNCTION("GOOGLETRANSLATE(B34758,""en"",""pt"")"),"PortoGruaro")</f>
        <v>PortoGruaro</v>
      </c>
      <c r="B13660" s="11" t="s">
        <v>15389</v>
      </c>
      <c r="C13660" s="11" t="s">
        <v>14891</v>
      </c>
      <c r="D13660" s="11" t="s">
        <v>14892</v>
      </c>
      <c r="E13660" s="10">
        <v>3170086</v>
      </c>
      <c r="F13660" s="4" t="str">
        <f>IF(B13660=B13659,"",B13660)</f>
        <v/>
      </c>
    </row>
    <row r="13661" spans="1:6" ht="15.75" customHeight="1">
      <c r="A13661" s="16" t="s">
        <v>3165</v>
      </c>
      <c r="B13661" s="15" t="s">
        <v>3166</v>
      </c>
      <c r="C13661" s="16" t="s">
        <v>1905</v>
      </c>
      <c r="D13661" s="16" t="s">
        <v>2038</v>
      </c>
      <c r="E13661" s="2">
        <v>3662762</v>
      </c>
      <c r="F13661" s="4" t="str">
        <f>IF(B13661=B13660,"",B13661)</f>
        <v>Porto Velho</v>
      </c>
    </row>
    <row r="13662" spans="1:6" ht="15.75" customHeight="1">
      <c r="A13662" s="8" t="str">
        <f ca="1">IFERROR(__xludf.DUMMYFUNCTION("GOOGLETRANSLATE(B25312,""en"",""pt"")"),"PORTO VELHO")</f>
        <v>PORTO VELHO</v>
      </c>
      <c r="B13662" s="11" t="s">
        <v>3166</v>
      </c>
      <c r="C13662" s="11" t="s">
        <v>1905</v>
      </c>
      <c r="D13662" s="11" t="s">
        <v>31741</v>
      </c>
      <c r="E13662" s="10">
        <v>3662762</v>
      </c>
      <c r="F13662" s="4" t="str">
        <f>IF(B13662=B13661,"",B13662)</f>
        <v/>
      </c>
    </row>
    <row r="13663" spans="1:6" ht="15.75" customHeight="1">
      <c r="A13663" s="8" t="str">
        <f ca="1">IFERROR(__xludf.DUMMYFUNCTION("GOOGLETRANSLATE(B24674,""en"",""pt"")"),"Porto União")</f>
        <v>Porto União</v>
      </c>
      <c r="B13663" s="9" t="s">
        <v>31543</v>
      </c>
      <c r="C13663" s="9" t="s">
        <v>1905</v>
      </c>
      <c r="D13663" s="9" t="s">
        <v>2020</v>
      </c>
      <c r="E13663" s="10">
        <v>3452623</v>
      </c>
      <c r="F13663" s="4" t="str">
        <f>IF(B13663=B13662,"",B13663)</f>
        <v>Porto União</v>
      </c>
    </row>
    <row r="13664" spans="1:6" ht="15.75" customHeight="1">
      <c r="A13664" s="16" t="s">
        <v>3163</v>
      </c>
      <c r="B13664" s="15" t="s">
        <v>3164</v>
      </c>
      <c r="C13664" s="16" t="s">
        <v>1905</v>
      </c>
      <c r="D13664" s="16" t="s">
        <v>2020</v>
      </c>
      <c r="E13664" s="2">
        <v>3452623</v>
      </c>
      <c r="F13664" s="4" t="str">
        <f>IF(B13664=B13663,"",B13664)</f>
        <v>Porto UniÃ£o</v>
      </c>
    </row>
    <row r="13665" spans="1:6" ht="15.75" customHeight="1">
      <c r="A13665" s="16" t="s">
        <v>15387</v>
      </c>
      <c r="B13665" s="15" t="s">
        <v>15387</v>
      </c>
      <c r="C13665" s="16" t="s">
        <v>14891</v>
      </c>
      <c r="D13665" s="16" t="s">
        <v>14925</v>
      </c>
      <c r="E13665" s="2">
        <v>3170069</v>
      </c>
      <c r="F13665" s="4" t="str">
        <f>IF(B13665=B13664,"",B13665)</f>
        <v>Porto Torres</v>
      </c>
    </row>
    <row r="13666" spans="1:6" ht="15.75" customHeight="1">
      <c r="A13666" s="8" t="str">
        <f ca="1">IFERROR(__xludf.DUMMYFUNCTION("GOOGLETRANSLATE(B34755,""en"",""pt"")"),"Porto Torres")</f>
        <v>Porto Torres</v>
      </c>
      <c r="B13666" s="11" t="s">
        <v>15387</v>
      </c>
      <c r="C13666" s="11" t="s">
        <v>14891</v>
      </c>
      <c r="D13666" s="11" t="s">
        <v>14925</v>
      </c>
      <c r="E13666" s="10">
        <v>3170069</v>
      </c>
      <c r="F13666" s="4" t="str">
        <f>IF(B13666=B13665,"",B13666)</f>
        <v/>
      </c>
    </row>
    <row r="13667" spans="1:6" ht="15.75" customHeight="1">
      <c r="A13667" s="16" t="s">
        <v>3162</v>
      </c>
      <c r="B13667" s="15" t="s">
        <v>3162</v>
      </c>
      <c r="C13667" s="16" t="s">
        <v>1905</v>
      </c>
      <c r="D13667" s="16" t="s">
        <v>1947</v>
      </c>
      <c r="E13667" s="2">
        <v>3452640</v>
      </c>
      <c r="F13667" s="4" t="str">
        <f>IF(B13667=B13666,"",B13667)</f>
        <v>Porto Seguro</v>
      </c>
    </row>
    <row r="13668" spans="1:6" ht="15.75" customHeight="1">
      <c r="A13668" s="8" t="str">
        <f ca="1">IFERROR(__xludf.DUMMYFUNCTION("GOOGLETRANSLATE(B24675,""en"",""pt"")"),"Porto Seguro")</f>
        <v>Porto Seguro</v>
      </c>
      <c r="B13668" s="11" t="s">
        <v>3162</v>
      </c>
      <c r="C13668" s="11" t="s">
        <v>1905</v>
      </c>
      <c r="D13668" s="11" t="s">
        <v>1947</v>
      </c>
      <c r="E13668" s="10">
        <v>3452640</v>
      </c>
      <c r="F13668" s="4" t="str">
        <f>IF(B13668=B13667,"",B13668)</f>
        <v/>
      </c>
    </row>
    <row r="13669" spans="1:6" ht="15.75" customHeight="1">
      <c r="A13669" s="16" t="s">
        <v>15385</v>
      </c>
      <c r="B13669" s="15" t="s">
        <v>15386</v>
      </c>
      <c r="C13669" s="16" t="s">
        <v>14891</v>
      </c>
      <c r="D13669" s="16" t="s">
        <v>14931</v>
      </c>
      <c r="E13669" s="2">
        <v>3170072</v>
      </c>
      <c r="F13669" s="4" t="str">
        <f>IF(B13669=B13668,"",B13669)</f>
        <v>Porto Sant'Elpidio</v>
      </c>
    </row>
    <row r="13670" spans="1:6" ht="15.75" customHeight="1">
      <c r="A13670" s="8" t="str">
        <f ca="1">IFERROR(__xludf.DUMMYFUNCTION("GOOGLETRANSLATE(B34756,""en"",""pt"")"),"Porto Sant'elpidio")</f>
        <v>Porto Sant'elpidio</v>
      </c>
      <c r="B13670" s="11" t="s">
        <v>15386</v>
      </c>
      <c r="C13670" s="11" t="s">
        <v>14891</v>
      </c>
      <c r="D13670" s="11" t="s">
        <v>14931</v>
      </c>
      <c r="E13670" s="10">
        <v>3170072</v>
      </c>
      <c r="F13670" s="4" t="str">
        <f>IF(B13670=B13669,"",B13670)</f>
        <v/>
      </c>
    </row>
    <row r="13671" spans="1:6" ht="15.75" customHeight="1">
      <c r="A13671" s="16" t="s">
        <v>15384</v>
      </c>
      <c r="B13671" s="15" t="s">
        <v>15384</v>
      </c>
      <c r="C13671" s="16" t="s">
        <v>14891</v>
      </c>
      <c r="D13671" s="16" t="s">
        <v>14931</v>
      </c>
      <c r="E13671" s="2">
        <v>3170073</v>
      </c>
      <c r="F13671" s="4" t="str">
        <f>IF(B13671=B13670,"",B13671)</f>
        <v>Porto San Giorgio</v>
      </c>
    </row>
    <row r="13672" spans="1:6" ht="15.75" customHeight="1">
      <c r="A13672" s="8" t="str">
        <f ca="1">IFERROR(__xludf.DUMMYFUNCTION("GOOGLETRANSLATE(B34757,""en"",""pt"")"),"Porto San Giorgio")</f>
        <v>Porto San Giorgio</v>
      </c>
      <c r="B13672" s="9" t="s">
        <v>15384</v>
      </c>
      <c r="C13672" s="9" t="s">
        <v>14891</v>
      </c>
      <c r="D13672" s="9" t="s">
        <v>14931</v>
      </c>
      <c r="E13672" s="10">
        <v>3170073</v>
      </c>
      <c r="F13672" s="4" t="str">
        <f>IF(B13672=B13671,"",B13672)</f>
        <v/>
      </c>
    </row>
    <row r="13673" spans="1:6" ht="15.75" customHeight="1">
      <c r="A13673" s="16" t="s">
        <v>3161</v>
      </c>
      <c r="B13673" s="15" t="s">
        <v>3161</v>
      </c>
      <c r="C13673" s="16" t="s">
        <v>1905</v>
      </c>
      <c r="D13673" s="16" t="s">
        <v>1914</v>
      </c>
      <c r="E13673" s="2">
        <v>3452775</v>
      </c>
      <c r="F13673" s="4" t="str">
        <f>IF(B13673=B13672,"",B13673)</f>
        <v>Porto Ferreira</v>
      </c>
    </row>
    <row r="13674" spans="1:6" ht="15.75" customHeight="1">
      <c r="A13674" s="8" t="str">
        <f ca="1">IFERROR(__xludf.DUMMYFUNCTION("GOOGLETRANSLATE(B24676,""en"",""pt"")"),"Porto Ferreira")</f>
        <v>Porto Ferreira</v>
      </c>
      <c r="B13674" s="9" t="s">
        <v>3161</v>
      </c>
      <c r="C13674" s="9" t="s">
        <v>1905</v>
      </c>
      <c r="D13674" s="9" t="s">
        <v>3354</v>
      </c>
      <c r="E13674" s="10">
        <v>3452775</v>
      </c>
      <c r="F13674" s="4" t="str">
        <f>IF(B13674=B13673,"",B13674)</f>
        <v/>
      </c>
    </row>
    <row r="13675" spans="1:6" ht="15.75" customHeight="1">
      <c r="A13675" s="16" t="s">
        <v>3160</v>
      </c>
      <c r="B13675" s="15" t="s">
        <v>3160</v>
      </c>
      <c r="C13675" s="16" t="s">
        <v>1905</v>
      </c>
      <c r="D13675" s="16" t="s">
        <v>1914</v>
      </c>
      <c r="E13675" s="2">
        <v>3452779</v>
      </c>
      <c r="F13675" s="4" t="str">
        <f>IF(B13675=B13674,"",B13675)</f>
        <v>Porto Feliz</v>
      </c>
    </row>
    <row r="13676" spans="1:6" ht="15.75" customHeight="1">
      <c r="A13676" s="8" t="str">
        <f ca="1">IFERROR(__xludf.DUMMYFUNCTION("GOOGLETRANSLATE(B24677,""en"",""pt"")"),"Porto Feliz")</f>
        <v>Porto Feliz</v>
      </c>
      <c r="B13676" s="9" t="s">
        <v>3160</v>
      </c>
      <c r="C13676" s="9" t="s">
        <v>1905</v>
      </c>
      <c r="D13676" s="9" t="s">
        <v>3354</v>
      </c>
      <c r="E13676" s="10">
        <v>3452779</v>
      </c>
      <c r="F13676" s="4" t="str">
        <f>IF(B13676=B13675,"",B13676)</f>
        <v/>
      </c>
    </row>
    <row r="13677" spans="1:6" ht="15.75" customHeight="1">
      <c r="A13677" s="16" t="s">
        <v>15383</v>
      </c>
      <c r="B13677" s="15" t="s">
        <v>15383</v>
      </c>
      <c r="C13677" s="16" t="s">
        <v>14891</v>
      </c>
      <c r="D13677" s="16" t="s">
        <v>14899</v>
      </c>
      <c r="E13677" s="2">
        <v>2523705</v>
      </c>
      <c r="F13677" s="4" t="str">
        <f>IF(B13677=B13676,"",B13677)</f>
        <v>Porto Empedocle</v>
      </c>
    </row>
    <row r="13678" spans="1:6" ht="15.75" customHeight="1">
      <c r="A13678" s="8" t="str">
        <f ca="1">IFERROR(__xludf.DUMMYFUNCTION("GOOGLETRANSLATE(B34563,""en"",""pt"")"),"Porto Empedocle")</f>
        <v>Porto Empedocle</v>
      </c>
      <c r="B13678" s="9" t="s">
        <v>15383</v>
      </c>
      <c r="C13678" s="9" t="s">
        <v>14891</v>
      </c>
      <c r="D13678" s="9" t="s">
        <v>14899</v>
      </c>
      <c r="E13678" s="10">
        <v>2523705</v>
      </c>
      <c r="F13678" s="4" t="str">
        <f>IF(B13678=B13677,"",B13678)</f>
        <v/>
      </c>
    </row>
    <row r="13679" spans="1:6" ht="15.75" customHeight="1">
      <c r="A13679" s="16" t="s">
        <v>3159</v>
      </c>
      <c r="B13679" s="15" t="s">
        <v>3159</v>
      </c>
      <c r="C13679" s="16" t="s">
        <v>1905</v>
      </c>
      <c r="D13679" s="16" t="s">
        <v>2015</v>
      </c>
      <c r="E13679" s="2">
        <v>3391397</v>
      </c>
      <c r="F13679" s="4" t="str">
        <f>IF(B13679=B13678,"",B13679)</f>
        <v>Porto Calvo</v>
      </c>
    </row>
    <row r="13680" spans="1:6" ht="15.75" customHeight="1">
      <c r="A13680" s="8" t="str">
        <f ca="1">IFERROR(__xludf.DUMMYFUNCTION("GOOGLETRANSLATE(B24219,""en"",""pt"")"),"Porto Calvo")</f>
        <v>Porto Calvo</v>
      </c>
      <c r="B13680" s="11" t="s">
        <v>3159</v>
      </c>
      <c r="C13680" s="11" t="s">
        <v>1905</v>
      </c>
      <c r="D13680" s="11" t="s">
        <v>2015</v>
      </c>
      <c r="E13680" s="10">
        <v>3391397</v>
      </c>
      <c r="F13680" s="4" t="str">
        <f>IF(B13680=B13679,"",B13680)</f>
        <v/>
      </c>
    </row>
    <row r="13681" spans="1:6" ht="15.75" customHeight="1">
      <c r="A13681" s="16" t="s">
        <v>3158</v>
      </c>
      <c r="B13681" s="15" t="s">
        <v>3158</v>
      </c>
      <c r="C13681" s="16" t="s">
        <v>1905</v>
      </c>
      <c r="D13681" s="16" t="s">
        <v>1951</v>
      </c>
      <c r="E13681" s="2">
        <v>3452925</v>
      </c>
      <c r="F13681" s="4" t="str">
        <f>IF(B13681=B13680,"",B13681)</f>
        <v>Porto Alegre</v>
      </c>
    </row>
    <row r="13682" spans="1:6" ht="15.75" customHeight="1">
      <c r="A13682" s="8" t="str">
        <f ca="1">IFERROR(__xludf.DUMMYFUNCTION("GOOGLETRANSLATE(B24678,""en"",""pt"")"),"Porto Alegre")</f>
        <v>Porto Alegre</v>
      </c>
      <c r="B13682" s="11" t="s">
        <v>3158</v>
      </c>
      <c r="C13682" s="11" t="s">
        <v>1905</v>
      </c>
      <c r="D13682" s="11" t="s">
        <v>1951</v>
      </c>
      <c r="E13682" s="10">
        <v>3452925</v>
      </c>
      <c r="F13682" s="4" t="str">
        <f>IF(B13682=B13681,"",B13682)</f>
        <v/>
      </c>
    </row>
    <row r="13683" spans="1:6" ht="15.75" customHeight="1">
      <c r="A13683" s="15" t="s">
        <v>21609</v>
      </c>
      <c r="B13683" s="15" t="s">
        <v>21609</v>
      </c>
      <c r="C13683" s="15" t="s">
        <v>21606</v>
      </c>
      <c r="D13683" s="15" t="s">
        <v>21609</v>
      </c>
      <c r="E13683" s="2">
        <v>2735943</v>
      </c>
      <c r="F13683" s="4" t="str">
        <f>IF(B13683=B13682,"",B13683)</f>
        <v>Porto</v>
      </c>
    </row>
    <row r="13684" spans="1:6" ht="15.75" customHeight="1">
      <c r="A13684" s="8" t="str">
        <f ca="1">IFERROR(__xludf.DUMMYFUNCTION("GOOGLETRANSLATE(B39645,""en"",""pt"")"),"Porto")</f>
        <v>Porto</v>
      </c>
      <c r="B13684" s="11" t="s">
        <v>21609</v>
      </c>
      <c r="C13684" s="11" t="s">
        <v>21606</v>
      </c>
      <c r="D13684" s="11" t="s">
        <v>21609</v>
      </c>
      <c r="E13684" s="10">
        <v>2735943</v>
      </c>
      <c r="F13684" s="4" t="str">
        <f>IF(B13684=B13683,"",B13684)</f>
        <v/>
      </c>
    </row>
    <row r="13685" spans="1:6" ht="15.75" customHeight="1">
      <c r="A13685" s="15" t="s">
        <v>15697</v>
      </c>
      <c r="B13685" s="15" t="s">
        <v>15697</v>
      </c>
      <c r="C13685" s="15" t="s">
        <v>15682</v>
      </c>
      <c r="D13685" s="15" t="s">
        <v>15686</v>
      </c>
      <c r="E13685" s="2">
        <v>3488981</v>
      </c>
      <c r="F13685" s="4" t="str">
        <f>IF(B13685=B13684,"",B13685)</f>
        <v>Portmore</v>
      </c>
    </row>
    <row r="13686" spans="1:6" ht="15.75" customHeight="1">
      <c r="A13686" s="8" t="str">
        <f ca="1">IFERROR(__xludf.DUMMYFUNCTION("GOOGLETRANSLATE(B35113,""en"",""pt"")"),"Portmore")</f>
        <v>Portmore</v>
      </c>
      <c r="B13686" s="11" t="s">
        <v>15697</v>
      </c>
      <c r="C13686" s="11" t="s">
        <v>15682</v>
      </c>
      <c r="D13686" s="11" t="s">
        <v>15686</v>
      </c>
      <c r="E13686" s="10">
        <v>3488981</v>
      </c>
      <c r="F13686" s="4" t="str">
        <f>IF(B13686=B13685,"",B13686)</f>
        <v/>
      </c>
    </row>
    <row r="13687" spans="1:6" ht="15.75" customHeight="1">
      <c r="A13687" s="15" t="s">
        <v>29732</v>
      </c>
      <c r="B13687" s="15" t="s">
        <v>29732</v>
      </c>
      <c r="C13687" s="15" t="s">
        <v>27788</v>
      </c>
      <c r="D13687" s="15" t="s">
        <v>27920</v>
      </c>
      <c r="E13687" s="2">
        <v>4975802</v>
      </c>
      <c r="F13687" s="4" t="str">
        <f>IF(B13687=B13686,"",B13687)</f>
        <v>Portland</v>
      </c>
    </row>
    <row r="13688" spans="1:6" ht="15.75" customHeight="1">
      <c r="A13688" s="15" t="s">
        <v>29732</v>
      </c>
      <c r="B13688" s="15" t="s">
        <v>29732</v>
      </c>
      <c r="C13688" s="15" t="s">
        <v>27788</v>
      </c>
      <c r="D13688" s="15" t="s">
        <v>27820</v>
      </c>
      <c r="E13688" s="2">
        <v>5746545</v>
      </c>
      <c r="F13688" s="4" t="str">
        <f>IF(B13688=B13687,"",B13688)</f>
        <v/>
      </c>
    </row>
    <row r="13689" spans="1:6" ht="15.75" customHeight="1">
      <c r="A13689" s="8" t="str">
        <f ca="1">IFERROR(__xludf.DUMMYFUNCTION("GOOGLETRANSLATE(B44056,""en"",""pt"")"),"Portland")</f>
        <v>Portland</v>
      </c>
      <c r="B13689" s="9" t="s">
        <v>29732</v>
      </c>
      <c r="C13689" s="9" t="s">
        <v>27788</v>
      </c>
      <c r="D13689" s="9" t="s">
        <v>27920</v>
      </c>
      <c r="E13689" s="10">
        <v>4975802</v>
      </c>
      <c r="F13689" s="4" t="str">
        <f>IF(B13689=B13688,"",B13689)</f>
        <v/>
      </c>
    </row>
    <row r="13690" spans="1:6" ht="15.75" customHeight="1">
      <c r="A13690" s="8" t="str">
        <f ca="1">IFERROR(__xludf.DUMMYFUNCTION("GOOGLETRANSLATE(B45254,""en"",""pt"")"),"Portland")</f>
        <v>Portland</v>
      </c>
      <c r="B13690" s="11" t="s">
        <v>29732</v>
      </c>
      <c r="C13690" s="11" t="s">
        <v>27788</v>
      </c>
      <c r="D13690" s="11" t="s">
        <v>27820</v>
      </c>
      <c r="E13690" s="10">
        <v>5746545</v>
      </c>
      <c r="F13690" s="4" t="str">
        <f>IF(B13690=B13689,"",B13690)</f>
        <v/>
      </c>
    </row>
    <row r="13691" spans="1:6" ht="15.75" customHeight="1">
      <c r="A13691" s="16" t="s">
        <v>27606</v>
      </c>
      <c r="B13691" s="15" t="s">
        <v>27606</v>
      </c>
      <c r="C13691" s="16" t="s">
        <v>27234</v>
      </c>
      <c r="D13691" s="16" t="s">
        <v>27241</v>
      </c>
      <c r="E13691" s="2">
        <v>2640037</v>
      </c>
      <c r="F13691" s="4" t="str">
        <f>IF(B13691=B13690,"",B13691)</f>
        <v>Portishead</v>
      </c>
    </row>
    <row r="13692" spans="1:6" ht="15.75" customHeight="1">
      <c r="A13692" s="8" t="str">
        <f ca="1">IFERROR(__xludf.DUMMYFUNCTION("GOOGLETRANSLATE(B30470,""en"",""pt"")"),"Portishead")</f>
        <v>Portishead</v>
      </c>
      <c r="B13692" s="11" t="s">
        <v>27606</v>
      </c>
      <c r="C13692" s="11" t="s">
        <v>27234</v>
      </c>
      <c r="D13692" s="11" t="s">
        <v>27241</v>
      </c>
      <c r="E13692" s="10">
        <v>2640037</v>
      </c>
      <c r="F13692" s="4" t="str">
        <f>IF(B13692=B13691,"",B13692)</f>
        <v/>
      </c>
    </row>
    <row r="13693" spans="1:6" ht="15.75" customHeight="1">
      <c r="A13693" s="8" t="str">
        <f ca="1">IFERROR(__xludf.DUMMYFUNCTION("GOOGLETRANSLATE(B39581,""en"",""pt"")"),"Portimão")</f>
        <v>Portimão</v>
      </c>
      <c r="B13693" s="11" t="s">
        <v>35293</v>
      </c>
      <c r="C13693" s="11" t="s">
        <v>21606</v>
      </c>
      <c r="D13693" s="11" t="s">
        <v>21614</v>
      </c>
      <c r="E13693" s="10">
        <v>2264456</v>
      </c>
      <c r="F13693" s="4" t="str">
        <f>IF(B13693=B13692,"",B13693)</f>
        <v>Portimão</v>
      </c>
    </row>
    <row r="13694" spans="1:6" ht="15.75" customHeight="1">
      <c r="A13694" s="15" t="s">
        <v>21713</v>
      </c>
      <c r="B13694" s="15" t="s">
        <v>21714</v>
      </c>
      <c r="C13694" s="15" t="s">
        <v>21606</v>
      </c>
      <c r="D13694" s="15" t="s">
        <v>21614</v>
      </c>
      <c r="E13694" s="2">
        <v>2264456</v>
      </c>
      <c r="F13694" s="4" t="str">
        <f>IF(B13694=B13693,"",B13694)</f>
        <v>PortimÃ£o</v>
      </c>
    </row>
    <row r="13695" spans="1:6" ht="15.75" customHeight="1">
      <c r="A13695" s="8" t="str">
        <f ca="1">IFERROR(__xludf.DUMMYFUNCTION("GOOGLETRANSLATE(B37371,""en"",""pt"")"),"Pórticos de San Antonio")</f>
        <v>Pórticos de San Antonio</v>
      </c>
      <c r="B13695" s="9" t="s">
        <v>34789</v>
      </c>
      <c r="C13695" s="9" t="s">
        <v>17707</v>
      </c>
      <c r="D13695" s="9" t="s">
        <v>17932</v>
      </c>
      <c r="E13695" s="10">
        <v>8858094</v>
      </c>
      <c r="F13695" s="4" t="str">
        <f>IF(B13695=B13694,"",B13695)</f>
        <v>Pórticos de San Antonio</v>
      </c>
    </row>
    <row r="13696" spans="1:6" ht="15.75" customHeight="1">
      <c r="A13696" s="15" t="s">
        <v>15382</v>
      </c>
      <c r="B13696" s="15" t="s">
        <v>15382</v>
      </c>
      <c r="C13696" s="15" t="s">
        <v>14891</v>
      </c>
      <c r="D13696" s="15" t="s">
        <v>14896</v>
      </c>
      <c r="E13696" s="2">
        <v>3170116</v>
      </c>
      <c r="F13696" s="4" t="str">
        <f>IF(B13696=B13695,"",B13696)</f>
        <v>Portici</v>
      </c>
    </row>
    <row r="13697" spans="1:6" ht="15.75" customHeight="1">
      <c r="A13697" s="8" t="str">
        <f ca="1">IFERROR(__xludf.DUMMYFUNCTION("GOOGLETRANSLATE(B34760,""en"",""pt"")"),"Portici")</f>
        <v>Portici</v>
      </c>
      <c r="B13697" s="9" t="s">
        <v>15382</v>
      </c>
      <c r="C13697" s="9" t="s">
        <v>14891</v>
      </c>
      <c r="D13697" s="9" t="s">
        <v>14896</v>
      </c>
      <c r="E13697" s="10">
        <v>3170116</v>
      </c>
      <c r="F13697" s="4" t="str">
        <f>IF(B13697=B13696,"",B13697)</f>
        <v/>
      </c>
    </row>
    <row r="13698" spans="1:6" ht="15.75" customHeight="1">
      <c r="A13698" s="16" t="s">
        <v>27605</v>
      </c>
      <c r="B13698" s="15" t="s">
        <v>27605</v>
      </c>
      <c r="C13698" s="16" t="s">
        <v>27234</v>
      </c>
      <c r="D13698" s="16" t="s">
        <v>27235</v>
      </c>
      <c r="E13698" s="2">
        <v>2640054</v>
      </c>
      <c r="F13698" s="4" t="str">
        <f>IF(B13698=B13697,"",B13698)</f>
        <v>Porthcawl</v>
      </c>
    </row>
    <row r="13699" spans="1:6" ht="15.75" customHeight="1">
      <c r="A13699" s="8" t="str">
        <f ca="1">IFERROR(__xludf.DUMMYFUNCTION("GOOGLETRANSLATE(B30471,""en"",""pt"")"),"Porthcawl")</f>
        <v>Porthcawl</v>
      </c>
      <c r="B13699" s="9" t="s">
        <v>27605</v>
      </c>
      <c r="C13699" s="9" t="s">
        <v>27234</v>
      </c>
      <c r="D13699" s="9" t="s">
        <v>27235</v>
      </c>
      <c r="E13699" s="10">
        <v>2640054</v>
      </c>
      <c r="F13699" s="4" t="str">
        <f>IF(B13699=B13698,"",B13699)</f>
        <v/>
      </c>
    </row>
    <row r="13700" spans="1:6" ht="15.75" customHeight="1">
      <c r="A13700" s="16" t="s">
        <v>7975</v>
      </c>
      <c r="B13700" s="15" t="s">
        <v>7975</v>
      </c>
      <c r="C13700" s="16" t="s">
        <v>7960</v>
      </c>
      <c r="D13700" s="16" t="s">
        <v>7976</v>
      </c>
      <c r="E13700" s="2">
        <v>2396518</v>
      </c>
      <c r="F13700" s="4" t="str">
        <f>IF(B13700=B13699,"",B13700)</f>
        <v>Port-Gentil</v>
      </c>
    </row>
    <row r="13701" spans="1:6" ht="15.75" customHeight="1">
      <c r="A13701" s="8" t="str">
        <f ca="1">IFERROR(__xludf.DUMMYFUNCTION("GOOGLETRANSLATE(B30306,""en"",""pt"")"),"Port-Gentil")</f>
        <v>Port-Gentil</v>
      </c>
      <c r="B13701" s="9" t="s">
        <v>7975</v>
      </c>
      <c r="C13701" s="9" t="s">
        <v>7960</v>
      </c>
      <c r="D13701" s="9" t="s">
        <v>32651</v>
      </c>
      <c r="E13701" s="10">
        <v>2396518</v>
      </c>
      <c r="F13701" s="4" t="str">
        <f>IF(B13701=B13700,"",B13701)</f>
        <v/>
      </c>
    </row>
    <row r="13702" spans="1:6" ht="15.75" customHeight="1">
      <c r="A13702" s="16" t="s">
        <v>29731</v>
      </c>
      <c r="B13702" s="15" t="s">
        <v>29731</v>
      </c>
      <c r="C13702" s="16" t="s">
        <v>27788</v>
      </c>
      <c r="D13702" s="16" t="s">
        <v>27801</v>
      </c>
      <c r="E13702" s="2">
        <v>5384471</v>
      </c>
      <c r="F13702" s="4" t="str">
        <f>IF(B13702=B13701,"",B13702)</f>
        <v>Porterville</v>
      </c>
    </row>
    <row r="13703" spans="1:6" ht="15.75" customHeight="1">
      <c r="A13703" s="8" t="str">
        <f ca="1">IFERROR(__xludf.DUMMYFUNCTION("GOOGLETRANSLATE(B44968,""en"",""pt"")"),"Porterville")</f>
        <v>Porterville</v>
      </c>
      <c r="B13703" s="9" t="s">
        <v>29731</v>
      </c>
      <c r="C13703" s="9" t="s">
        <v>27788</v>
      </c>
      <c r="D13703" s="9" t="s">
        <v>27801</v>
      </c>
      <c r="E13703" s="10">
        <v>5384471</v>
      </c>
      <c r="F13703" s="4" t="str">
        <f>IF(B13703=B13702,"",B13703)</f>
        <v/>
      </c>
    </row>
    <row r="13704" spans="1:6" ht="15.75" customHeight="1">
      <c r="A13704" s="15" t="s">
        <v>3157</v>
      </c>
      <c r="B13704" s="15" t="s">
        <v>3157</v>
      </c>
      <c r="C13704" s="15" t="s">
        <v>1905</v>
      </c>
      <c r="D13704" s="15" t="s">
        <v>1906</v>
      </c>
      <c r="E13704" s="2">
        <v>3391412</v>
      </c>
      <c r="F13704" s="4" t="str">
        <f>IF(B13704=B13703,"",B13704)</f>
        <v>Portel</v>
      </c>
    </row>
    <row r="13705" spans="1:6" ht="15.75" customHeight="1">
      <c r="A13705" s="8" t="str">
        <f ca="1">IFERROR(__xludf.DUMMYFUNCTION("GOOGLETRANSLATE(B24220,""en"",""pt"")"),"Portel")</f>
        <v>Portel</v>
      </c>
      <c r="B13705" s="9" t="s">
        <v>3157</v>
      </c>
      <c r="C13705" s="9" t="s">
        <v>1905</v>
      </c>
      <c r="D13705" s="9" t="s">
        <v>31342</v>
      </c>
      <c r="E13705" s="10">
        <v>3391412</v>
      </c>
      <c r="F13705" s="4" t="str">
        <f>IF(B13705=B13704,"",B13705)</f>
        <v/>
      </c>
    </row>
    <row r="13706" spans="1:6" ht="15.75" customHeight="1">
      <c r="A13706" s="16" t="s">
        <v>9898</v>
      </c>
      <c r="B13706" s="15" t="s">
        <v>9898</v>
      </c>
      <c r="C13706" s="16" t="s">
        <v>9866</v>
      </c>
      <c r="D13706" s="16" t="s">
        <v>9899</v>
      </c>
      <c r="E13706" s="2">
        <v>3718420</v>
      </c>
      <c r="F13706" s="4" t="str">
        <f>IF(B13706=B13705,"",B13706)</f>
        <v>Port-de-Paix</v>
      </c>
    </row>
    <row r="13707" spans="1:6" ht="15.75" customHeight="1">
      <c r="A13707" s="8" t="str">
        <f ca="1">IFERROR(__xludf.DUMMYFUNCTION("GOOGLETRANSLATE(B31217,""en"",""pt"")"),"Port-de-Paix")</f>
        <v>Port-de-Paix</v>
      </c>
      <c r="B13707" s="11" t="s">
        <v>9898</v>
      </c>
      <c r="C13707" s="11" t="s">
        <v>9866</v>
      </c>
      <c r="D13707" s="11" t="s">
        <v>9899</v>
      </c>
      <c r="E13707" s="10">
        <v>3718420</v>
      </c>
      <c r="F13707" s="4" t="str">
        <f>IF(B13707=B13706,"",B13707)</f>
        <v/>
      </c>
    </row>
    <row r="13708" spans="1:6" ht="15.75" customHeight="1">
      <c r="A13708" s="16" t="s">
        <v>7693</v>
      </c>
      <c r="B13708" s="15" t="s">
        <v>7693</v>
      </c>
      <c r="C13708" s="16" t="s">
        <v>7052</v>
      </c>
      <c r="D13708" s="16" t="s">
        <v>7087</v>
      </c>
      <c r="E13708" s="2">
        <v>2986025</v>
      </c>
      <c r="F13708" s="4" t="str">
        <f>IF(B13708=B13707,"",B13708)</f>
        <v>Port-de-Bouc</v>
      </c>
    </row>
    <row r="13709" spans="1:6" ht="15.75" customHeight="1">
      <c r="A13709" s="8" t="str">
        <f ca="1">IFERROR(__xludf.DUMMYFUNCTION("GOOGLETRANSLATE(B29841,""en"",""pt"")"),"Port-de-Bouc")</f>
        <v>Port-de-Bouc</v>
      </c>
      <c r="B13709" s="9" t="s">
        <v>7693</v>
      </c>
      <c r="C13709" s="9" t="s">
        <v>7052</v>
      </c>
      <c r="D13709" s="9" t="s">
        <v>32534</v>
      </c>
      <c r="E13709" s="10">
        <v>2986025</v>
      </c>
      <c r="F13709" s="4" t="str">
        <f>IF(B13709=B13708,"",B13709)</f>
        <v/>
      </c>
    </row>
    <row r="13710" spans="1:6" ht="15.75" customHeight="1">
      <c r="A13710" s="8" t="str">
        <f ca="1">IFERROR(__xludf.DUMMYFUNCTION("GOOGLETRANSLATE(B41493,""en"",""pt"")"),"Port-Aux-Français")</f>
        <v>Port-Aux-Français</v>
      </c>
      <c r="B13710" s="11" t="s">
        <v>35776</v>
      </c>
      <c r="C13710" s="11" t="s">
        <v>7957</v>
      </c>
      <c r="D13710" s="11" t="s">
        <v>7958</v>
      </c>
      <c r="E13710" s="10">
        <v>1546102</v>
      </c>
      <c r="F13710" s="4" t="str">
        <f>IF(B13710=B13709,"",B13710)</f>
        <v>Port-aux-Français</v>
      </c>
    </row>
    <row r="13711" spans="1:6" ht="15.75" customHeight="1">
      <c r="A13711" s="16" t="s">
        <v>7955</v>
      </c>
      <c r="B13711" s="15" t="s">
        <v>7956</v>
      </c>
      <c r="C13711" s="16" t="s">
        <v>7957</v>
      </c>
      <c r="D13711" s="16" t="s">
        <v>7958</v>
      </c>
      <c r="E13711" s="2">
        <v>1546102</v>
      </c>
      <c r="F13711" s="4" t="str">
        <f>IF(B13711=B13710,"",B13711)</f>
        <v>Port-aux-FranÃ§ais</v>
      </c>
    </row>
    <row r="13712" spans="1:6" ht="15.75" customHeight="1">
      <c r="A13712" s="16" t="s">
        <v>9897</v>
      </c>
      <c r="B13712" s="15" t="s">
        <v>9897</v>
      </c>
      <c r="C13712" s="16" t="s">
        <v>9866</v>
      </c>
      <c r="D13712" s="16" t="s">
        <v>9867</v>
      </c>
      <c r="E13712" s="2">
        <v>3718426</v>
      </c>
      <c r="F13712" s="4" t="str">
        <f>IF(B13712=B13711,"",B13712)</f>
        <v>Port-au-Prince</v>
      </c>
    </row>
    <row r="13713" spans="1:6" ht="15.75" customHeight="1">
      <c r="A13713" s="8" t="str">
        <f ca="1">IFERROR(__xludf.DUMMYFUNCTION("GOOGLETRANSLATE(B31218,""en"",""pt"")"),"Port-au-Prince")</f>
        <v>Port-au-Prince</v>
      </c>
      <c r="B13713" s="11" t="s">
        <v>9897</v>
      </c>
      <c r="C13713" s="11" t="s">
        <v>9866</v>
      </c>
      <c r="D13713" s="11" t="s">
        <v>9867</v>
      </c>
      <c r="E13713" s="10">
        <v>3718426</v>
      </c>
      <c r="F13713" s="4" t="str">
        <f>IF(B13713=B13712,"",B13713)</f>
        <v/>
      </c>
    </row>
    <row r="13714" spans="1:6" ht="15.75" customHeight="1">
      <c r="A13714" s="8" t="str">
        <f ca="1">IFERROR(__xludf.DUMMYFUNCTION("GOOGLETRANSLATE(B24679,""en"",""pt"")"),"Portão")</f>
        <v>Portão</v>
      </c>
      <c r="B13714" s="9" t="s">
        <v>31544</v>
      </c>
      <c r="C13714" s="9" t="s">
        <v>1905</v>
      </c>
      <c r="D13714" s="9" t="s">
        <v>1951</v>
      </c>
      <c r="E13714" s="10">
        <v>3452982</v>
      </c>
      <c r="F13714" s="4" t="str">
        <f>IF(B13714=B13713,"",B13714)</f>
        <v>Portão</v>
      </c>
    </row>
    <row r="13715" spans="1:6" ht="15.75" customHeight="1">
      <c r="A13715" s="16" t="s">
        <v>21712</v>
      </c>
      <c r="B13715" s="15" t="s">
        <v>21712</v>
      </c>
      <c r="C13715" s="16" t="s">
        <v>21606</v>
      </c>
      <c r="D13715" s="16" t="s">
        <v>21712</v>
      </c>
      <c r="E13715" s="2">
        <v>2264508</v>
      </c>
      <c r="F13715" s="4" t="str">
        <f>IF(B13715=B13714,"",B13715)</f>
        <v>Portalegre</v>
      </c>
    </row>
    <row r="13716" spans="1:6" ht="15.75" customHeight="1">
      <c r="A13716" s="8" t="str">
        <f ca="1">IFERROR(__xludf.DUMMYFUNCTION("GOOGLETRANSLATE(B39582,""en"",""pt"")"),"Portalegre")</f>
        <v>Portalegre</v>
      </c>
      <c r="B13716" s="11" t="s">
        <v>21712</v>
      </c>
      <c r="C13716" s="11" t="s">
        <v>21606</v>
      </c>
      <c r="D13716" s="11" t="s">
        <v>21712</v>
      </c>
      <c r="E13716" s="10">
        <v>2264508</v>
      </c>
      <c r="F13716" s="4" t="str">
        <f>IF(B13716=B13715,"",B13716)</f>
        <v/>
      </c>
    </row>
    <row r="13717" spans="1:6" ht="15.75" customHeight="1">
      <c r="A13717" s="15" t="s">
        <v>29730</v>
      </c>
      <c r="B13717" s="15" t="s">
        <v>29730</v>
      </c>
      <c r="C13717" s="15" t="s">
        <v>27788</v>
      </c>
      <c r="D13717" s="15" t="s">
        <v>27869</v>
      </c>
      <c r="E13717" s="2">
        <v>4925006</v>
      </c>
      <c r="F13717" s="4" t="str">
        <f>IF(B13717=B13716,"",B13717)</f>
        <v>Portage</v>
      </c>
    </row>
    <row r="13718" spans="1:6" ht="15.75" customHeight="1">
      <c r="A13718" s="15" t="s">
        <v>29730</v>
      </c>
      <c r="B13718" s="15" t="s">
        <v>29730</v>
      </c>
      <c r="C13718" s="15" t="s">
        <v>27788</v>
      </c>
      <c r="D13718" s="15" t="s">
        <v>27804</v>
      </c>
      <c r="E13718" s="2">
        <v>5006250</v>
      </c>
      <c r="F13718" s="4" t="str">
        <f>IF(B13718=B13717,"",B13718)</f>
        <v/>
      </c>
    </row>
    <row r="13719" spans="1:6" ht="15.75" customHeight="1">
      <c r="A13719" s="8" t="str">
        <f ca="1">IFERROR(__xludf.DUMMYFUNCTION("GOOGLETRANSLATE(B43935,""en"",""pt"")"),"Portage")</f>
        <v>Portage</v>
      </c>
      <c r="B13719" s="11" t="s">
        <v>29730</v>
      </c>
      <c r="C13719" s="11" t="s">
        <v>27788</v>
      </c>
      <c r="D13719" s="11" t="s">
        <v>27869</v>
      </c>
      <c r="E13719" s="10">
        <v>4925006</v>
      </c>
      <c r="F13719" s="4" t="str">
        <f>IF(B13719=B13718,"",B13719)</f>
        <v/>
      </c>
    </row>
    <row r="13720" spans="1:6" ht="15.75" customHeight="1">
      <c r="A13720" s="8" t="str">
        <f ca="1">IFERROR(__xludf.DUMMYFUNCTION("GOOGLETRANSLATE(B44114,""en"",""pt"")"),"Portage")</f>
        <v>Portage</v>
      </c>
      <c r="B13720" s="9" t="s">
        <v>29730</v>
      </c>
      <c r="C13720" s="9" t="s">
        <v>27788</v>
      </c>
      <c r="D13720" s="9" t="s">
        <v>27804</v>
      </c>
      <c r="E13720" s="10">
        <v>5006250</v>
      </c>
      <c r="F13720" s="4" t="str">
        <f>IF(B13720=B13719,"",B13720)</f>
        <v/>
      </c>
    </row>
    <row r="13721" spans="1:6" ht="15.75" customHeight="1">
      <c r="A13721" s="16" t="s">
        <v>27604</v>
      </c>
      <c r="B13721" s="15" t="s">
        <v>27604</v>
      </c>
      <c r="C13721" s="16" t="s">
        <v>27234</v>
      </c>
      <c r="D13721" s="16" t="s">
        <v>27259</v>
      </c>
      <c r="E13721" s="2">
        <v>2640085</v>
      </c>
      <c r="F13721" s="4" t="str">
        <f>IF(B13721=B13720,"",B13721)</f>
        <v>Portadown</v>
      </c>
    </row>
    <row r="13722" spans="1:6" ht="15.75" customHeight="1">
      <c r="A13722" s="8" t="str">
        <f ca="1">IFERROR(__xludf.DUMMYFUNCTION("GOOGLETRANSLATE(B30473,""en"",""pt"")"),"Portadown")</f>
        <v>Portadown</v>
      </c>
      <c r="B13722" s="9" t="s">
        <v>27604</v>
      </c>
      <c r="C13722" s="9" t="s">
        <v>27234</v>
      </c>
      <c r="D13722" s="9" t="s">
        <v>27259</v>
      </c>
      <c r="E13722" s="10">
        <v>2640085</v>
      </c>
      <c r="F13722" s="4" t="str">
        <f>IF(B13722=B13721,"",B13722)</f>
        <v/>
      </c>
    </row>
    <row r="13723" spans="1:6" ht="15.75" customHeight="1">
      <c r="A13723" s="15" t="s">
        <v>3155</v>
      </c>
      <c r="B13723" s="15" t="s">
        <v>3156</v>
      </c>
      <c r="C13723" s="15" t="s">
        <v>1905</v>
      </c>
      <c r="D13723" s="15" t="s">
        <v>1951</v>
      </c>
      <c r="E13723" s="2">
        <v>3452982</v>
      </c>
      <c r="F13723" s="4" t="str">
        <f>IF(B13723=B13722,"",B13723)</f>
        <v>PortÃ£o</v>
      </c>
    </row>
    <row r="13724" spans="1:6" ht="15.75" customHeight="1">
      <c r="A13724" s="16" t="s">
        <v>9004</v>
      </c>
      <c r="B13724" s="15" t="s">
        <v>9004</v>
      </c>
      <c r="C13724" s="16" t="s">
        <v>8028</v>
      </c>
      <c r="D13724" s="16" t="s">
        <v>8029</v>
      </c>
      <c r="E13724" s="2">
        <v>2852577</v>
      </c>
      <c r="F13724" s="4" t="str">
        <f>IF(B13724=B13723,"",B13724)</f>
        <v>Porta Westfalica</v>
      </c>
    </row>
    <row r="13725" spans="1:6" ht="15.75" customHeight="1">
      <c r="A13725" s="8" t="str">
        <f ca="1">IFERROR(__xludf.DUMMYFUNCTION("GOOGLETRANSLATE(B27640,""en"",""pt"")"),"Porta Westfalica")</f>
        <v>Porta Westfalica</v>
      </c>
      <c r="B13725" s="11" t="s">
        <v>9004</v>
      </c>
      <c r="C13725" s="11" t="s">
        <v>8028</v>
      </c>
      <c r="D13725" s="11" t="s">
        <v>8029</v>
      </c>
      <c r="E13725" s="10">
        <v>2852577</v>
      </c>
      <c r="F13725" s="4" t="str">
        <f>IF(B13725=B13724,"",B13725)</f>
        <v/>
      </c>
    </row>
    <row r="13726" spans="1:6" ht="15.75" customHeight="1">
      <c r="A13726" s="16" t="s">
        <v>29729</v>
      </c>
      <c r="B13726" s="15" t="s">
        <v>29729</v>
      </c>
      <c r="C13726" s="16" t="s">
        <v>27788</v>
      </c>
      <c r="D13726" s="16" t="s">
        <v>27819</v>
      </c>
      <c r="E13726" s="2">
        <v>5132029</v>
      </c>
      <c r="F13726" s="4" t="str">
        <f>IF(B13726=B13725,"",B13726)</f>
        <v>Port Washington</v>
      </c>
    </row>
    <row r="13727" spans="1:6" ht="15.75" customHeight="1">
      <c r="A13727" s="8" t="str">
        <f ca="1">IFERROR(__xludf.DUMMYFUNCTION("GOOGLETRANSLATE(B44436,""en"",""pt"")"),"Port Washington")</f>
        <v>Port Washington</v>
      </c>
      <c r="B13727" s="11" t="s">
        <v>29729</v>
      </c>
      <c r="C13727" s="11" t="s">
        <v>27788</v>
      </c>
      <c r="D13727" s="11" t="s">
        <v>27819</v>
      </c>
      <c r="E13727" s="10">
        <v>5132029</v>
      </c>
      <c r="F13727" s="4" t="str">
        <f>IF(B13727=B13726,"",B13727)</f>
        <v/>
      </c>
    </row>
    <row r="13728" spans="1:6" ht="15.75" customHeight="1">
      <c r="A13728" s="16" t="s">
        <v>25048</v>
      </c>
      <c r="B13728" s="15" t="s">
        <v>25048</v>
      </c>
      <c r="C13728" s="16" t="s">
        <v>24987</v>
      </c>
      <c r="D13728" s="16" t="s">
        <v>6584</v>
      </c>
      <c r="E13728" s="2">
        <v>377039</v>
      </c>
      <c r="F13728" s="4" t="str">
        <f>IF(B13728=B13727,"",B13728)</f>
        <v>Port Sudan</v>
      </c>
    </row>
    <row r="13729" spans="1:6" ht="15.75" customHeight="1">
      <c r="A13729" s="8" t="str">
        <f ca="1">IFERROR(__xludf.DUMMYFUNCTION("GOOGLETRANSLATE(B41090,""en"",""pt"")"),"Port Sudan")</f>
        <v>Port Sudan</v>
      </c>
      <c r="B13729" s="11" t="s">
        <v>25048</v>
      </c>
      <c r="C13729" s="11" t="s">
        <v>24987</v>
      </c>
      <c r="D13729" s="11" t="s">
        <v>6584</v>
      </c>
      <c r="E13729" s="10">
        <v>377039</v>
      </c>
      <c r="F13729" s="4" t="str">
        <f>IF(B13729=B13728,"",B13729)</f>
        <v/>
      </c>
    </row>
    <row r="13730" spans="1:6" ht="15.75" customHeight="1">
      <c r="A13730" s="16" t="s">
        <v>1062</v>
      </c>
      <c r="B13730" s="15" t="s">
        <v>1062</v>
      </c>
      <c r="C13730" s="16" t="s">
        <v>885</v>
      </c>
      <c r="D13730" s="16" t="s">
        <v>891</v>
      </c>
      <c r="E13730" s="2">
        <v>2148398</v>
      </c>
      <c r="F13730" s="4" t="str">
        <f>IF(B13730=B13729,"",B13730)</f>
        <v>Port Stephens</v>
      </c>
    </row>
    <row r="13731" spans="1:6" ht="15.75" customHeight="1">
      <c r="A13731" s="8" t="str">
        <f ca="1">IFERROR(__xludf.DUMMYFUNCTION("GOOGLETRANSLATE(B23448,""en"",""pt"")"),"Port Stephens")</f>
        <v>Port Stephens</v>
      </c>
      <c r="B13731" s="11" t="s">
        <v>1062</v>
      </c>
      <c r="C13731" s="11" t="s">
        <v>885</v>
      </c>
      <c r="D13731" s="11" t="s">
        <v>891</v>
      </c>
      <c r="E13731" s="10">
        <v>2148398</v>
      </c>
      <c r="F13731" s="4" t="str">
        <f>IF(B13731=B13730,"",B13731)</f>
        <v/>
      </c>
    </row>
    <row r="13732" spans="1:6" ht="15.75" customHeight="1">
      <c r="A13732" s="16" t="s">
        <v>23960</v>
      </c>
      <c r="B13732" s="15" t="s">
        <v>23960</v>
      </c>
      <c r="C13732" s="16" t="s">
        <v>23842</v>
      </c>
      <c r="D13732" s="16" t="s">
        <v>23851</v>
      </c>
      <c r="E13732" s="2">
        <v>964406</v>
      </c>
      <c r="F13732" s="4" t="str">
        <f>IF(B13732=B13731,"",B13732)</f>
        <v>Port Shepstone</v>
      </c>
    </row>
    <row r="13733" spans="1:6" ht="15.75" customHeight="1">
      <c r="A13733" s="8" t="str">
        <f ca="1">IFERROR(__xludf.DUMMYFUNCTION("GOOGLETRANSLATE(B45892,""en"",""pt"")"),"Port Shepstone")</f>
        <v>Port Shepstone</v>
      </c>
      <c r="B13733" s="11" t="s">
        <v>23960</v>
      </c>
      <c r="C13733" s="11" t="s">
        <v>23842</v>
      </c>
      <c r="D13733" s="11" t="s">
        <v>23851</v>
      </c>
      <c r="E13733" s="10">
        <v>964406</v>
      </c>
      <c r="F13733" s="4" t="str">
        <f>IF(B13733=B13732,"",B13733)</f>
        <v/>
      </c>
    </row>
    <row r="13734" spans="1:6" ht="15.75" customHeight="1">
      <c r="A13734" s="16" t="s">
        <v>29728</v>
      </c>
      <c r="B13734" s="15" t="s">
        <v>29728</v>
      </c>
      <c r="C13734" s="16" t="s">
        <v>27788</v>
      </c>
      <c r="D13734" s="16" t="s">
        <v>5468</v>
      </c>
      <c r="E13734" s="2">
        <v>4169171</v>
      </c>
      <c r="F13734" s="4" t="str">
        <f>IF(B13734=B13733,"",B13734)</f>
        <v>Port Saint Lucie</v>
      </c>
    </row>
    <row r="13735" spans="1:6" ht="15.75" customHeight="1">
      <c r="A13735" s="8" t="str">
        <f ca="1">IFERROR(__xludf.DUMMYFUNCTION("GOOGLETRANSLATE(B42998,""en"",""pt"")"),"Port Saint Lucie")</f>
        <v>Port Saint Lucie</v>
      </c>
      <c r="B13735" s="11" t="s">
        <v>29728</v>
      </c>
      <c r="C13735" s="11" t="s">
        <v>27788</v>
      </c>
      <c r="D13735" s="11" t="s">
        <v>5468</v>
      </c>
      <c r="E13735" s="10">
        <v>4169171</v>
      </c>
      <c r="F13735" s="4" t="str">
        <f>IF(B13735=B13734,"",B13735)</f>
        <v/>
      </c>
    </row>
    <row r="13736" spans="1:6" ht="15.75" customHeight="1">
      <c r="A13736" s="15" t="s">
        <v>6691</v>
      </c>
      <c r="B13736" s="15" t="s">
        <v>6692</v>
      </c>
      <c r="C13736" s="15" t="s">
        <v>6495</v>
      </c>
      <c r="D13736" s="15" t="s">
        <v>6693</v>
      </c>
      <c r="E13736" s="2">
        <v>358619</v>
      </c>
      <c r="F13736" s="4" t="str">
        <f>IF(B13736=B13735,"",B13736)</f>
        <v>Port Said</v>
      </c>
    </row>
    <row r="13737" spans="1:6" ht="15.75" customHeight="1">
      <c r="A13737" s="8" t="str">
        <f ca="1">IFERROR(__xludf.DUMMYFUNCTION("GOOGLETRANSLATE(B28882,""en"",""pt"")"),"Port disse")</f>
        <v>Port disse</v>
      </c>
      <c r="B13737" s="11" t="s">
        <v>6692</v>
      </c>
      <c r="C13737" s="11" t="s">
        <v>6495</v>
      </c>
      <c r="D13737" s="11" t="s">
        <v>32306</v>
      </c>
      <c r="E13737" s="10">
        <v>358619</v>
      </c>
      <c r="F13737" s="4" t="str">
        <f>IF(B13737=B13736,"",B13737)</f>
        <v/>
      </c>
    </row>
    <row r="13738" spans="1:6" ht="15.75" customHeight="1">
      <c r="A13738" s="16" t="s">
        <v>29727</v>
      </c>
      <c r="B13738" s="15" t="s">
        <v>29727</v>
      </c>
      <c r="C13738" s="16" t="s">
        <v>27788</v>
      </c>
      <c r="D13738" s="16" t="s">
        <v>5468</v>
      </c>
      <c r="E13738" s="2">
        <v>4169156</v>
      </c>
      <c r="F13738" s="4" t="str">
        <f>IF(B13738=B13737,"",B13738)</f>
        <v>Port Orange</v>
      </c>
    </row>
    <row r="13739" spans="1:6" ht="15.75" customHeight="1">
      <c r="A13739" s="8" t="str">
        <f ca="1">IFERROR(__xludf.DUMMYFUNCTION("GOOGLETRANSLATE(B42997,""en"",""pt"")"),"Port Orange")</f>
        <v>Port Orange</v>
      </c>
      <c r="B13739" s="11" t="s">
        <v>29727</v>
      </c>
      <c r="C13739" s="11" t="s">
        <v>27788</v>
      </c>
      <c r="D13739" s="11" t="s">
        <v>5468</v>
      </c>
      <c r="E13739" s="10">
        <v>4169156</v>
      </c>
      <c r="F13739" s="4" t="str">
        <f>IF(B13739=B13738,"",B13739)</f>
        <v/>
      </c>
    </row>
    <row r="13740" spans="1:6" ht="15.75" customHeight="1">
      <c r="A13740" s="16" t="s">
        <v>26082</v>
      </c>
      <c r="B13740" s="15" t="s">
        <v>26083</v>
      </c>
      <c r="C13740" s="16" t="s">
        <v>26070</v>
      </c>
      <c r="D13740" s="16" t="s">
        <v>26084</v>
      </c>
      <c r="E13740" s="2">
        <v>3573890</v>
      </c>
      <c r="F13740" s="4" t="str">
        <f>IF(B13740=B13739,"",B13740)</f>
        <v>Port of Spain</v>
      </c>
    </row>
    <row r="13741" spans="1:6" ht="15.75" customHeight="1">
      <c r="A13741" s="8" t="str">
        <f ca="1">IFERROR(__xludf.DUMMYFUNCTION("GOOGLETRANSLATE(B42251,""en"",""pt"")"),"Porto da Espanha")</f>
        <v>Porto da Espanha</v>
      </c>
      <c r="B13741" s="11" t="s">
        <v>26083</v>
      </c>
      <c r="C13741" s="11" t="s">
        <v>26070</v>
      </c>
      <c r="D13741" s="11" t="s">
        <v>26084</v>
      </c>
      <c r="E13741" s="10">
        <v>3573890</v>
      </c>
      <c r="F13741" s="4" t="str">
        <f>IF(B13741=B13740,"",B13741)</f>
        <v/>
      </c>
    </row>
    <row r="13742" spans="1:6" ht="15.75" customHeight="1">
      <c r="A13742" s="16" t="s">
        <v>20427</v>
      </c>
      <c r="B13742" s="15" t="s">
        <v>20427</v>
      </c>
      <c r="C13742" s="16" t="s">
        <v>20406</v>
      </c>
      <c r="D13742" s="16" t="s">
        <v>20428</v>
      </c>
      <c r="E13742" s="2">
        <v>2088122</v>
      </c>
      <c r="F13742" s="4" t="str">
        <f>IF(B13742=B13741,"",B13742)</f>
        <v>Port Moresby</v>
      </c>
    </row>
    <row r="13743" spans="1:6" ht="15.75" customHeight="1">
      <c r="A13743" s="8" t="str">
        <f ca="1">IFERROR(__xludf.DUMMYFUNCTION("GOOGLETRANSLATE(B38412,""en"",""pt"")"),"Port Moresby")</f>
        <v>Port Moresby</v>
      </c>
      <c r="B13743" s="9" t="s">
        <v>20427</v>
      </c>
      <c r="C13743" s="9" t="s">
        <v>20406</v>
      </c>
      <c r="D13743" s="9" t="s">
        <v>20428</v>
      </c>
      <c r="E13743" s="10">
        <v>2088122</v>
      </c>
      <c r="F13743" s="4" t="str">
        <f>IF(B13743=B13742,"",B13743)</f>
        <v/>
      </c>
    </row>
    <row r="13744" spans="1:6" ht="15.75" customHeight="1">
      <c r="A13744" s="16" t="s">
        <v>4146</v>
      </c>
      <c r="B13744" s="15" t="s">
        <v>4146</v>
      </c>
      <c r="C13744" s="16" t="s">
        <v>3975</v>
      </c>
      <c r="D13744" s="16" t="s">
        <v>3976</v>
      </c>
      <c r="E13744" s="2">
        <v>6111962</v>
      </c>
      <c r="F13744" s="4" t="str">
        <f>IF(B13744=B13743,"",B13744)</f>
        <v>Port Moody</v>
      </c>
    </row>
    <row r="13745" spans="1:6" ht="15.75" customHeight="1">
      <c r="A13745" s="8" t="str">
        <f ca="1">IFERROR(__xludf.DUMMYFUNCTION("GOOGLETRANSLATE(B25550,""en"",""pt"")"),"Port Moody")</f>
        <v>Port Moody</v>
      </c>
      <c r="B13745" s="9" t="s">
        <v>4146</v>
      </c>
      <c r="C13745" s="9" t="s">
        <v>3975</v>
      </c>
      <c r="D13745" s="9" t="s">
        <v>3976</v>
      </c>
      <c r="E13745" s="10">
        <v>6111962</v>
      </c>
      <c r="F13745" s="4" t="str">
        <f>IF(B13745=B13744,"",B13745)</f>
        <v/>
      </c>
    </row>
    <row r="13746" spans="1:6" ht="15.75" customHeight="1">
      <c r="A13746" s="16" t="s">
        <v>1061</v>
      </c>
      <c r="B13746" s="15" t="s">
        <v>1061</v>
      </c>
      <c r="C13746" s="16" t="s">
        <v>885</v>
      </c>
      <c r="D13746" s="16" t="s">
        <v>891</v>
      </c>
      <c r="E13746" s="2">
        <v>2152659</v>
      </c>
      <c r="F13746" s="4" t="str">
        <f>IF(B13746=B13745,"",B13746)</f>
        <v>Port Macquarie</v>
      </c>
    </row>
    <row r="13747" spans="1:6" ht="15.75" customHeight="1">
      <c r="A13747" s="8" t="str">
        <f ca="1">IFERROR(__xludf.DUMMYFUNCTION("GOOGLETRANSLATE(B23463,""en"",""pt"")"),"Port Macquarie")</f>
        <v>Port Macquarie</v>
      </c>
      <c r="B13747" s="11" t="s">
        <v>1061</v>
      </c>
      <c r="C13747" s="11" t="s">
        <v>885</v>
      </c>
      <c r="D13747" s="11" t="s">
        <v>891</v>
      </c>
      <c r="E13747" s="10">
        <v>2152659</v>
      </c>
      <c r="F13747" s="4" t="str">
        <f>IF(B13747=B13746,"",B13747)</f>
        <v/>
      </c>
    </row>
    <row r="13748" spans="1:6" ht="15.75" customHeight="1">
      <c r="A13748" s="16" t="s">
        <v>17692</v>
      </c>
      <c r="B13748" s="15" t="s">
        <v>17693</v>
      </c>
      <c r="C13748" s="16" t="s">
        <v>17678</v>
      </c>
      <c r="D13748" s="16" t="s">
        <v>17693</v>
      </c>
      <c r="E13748" s="2">
        <v>934154</v>
      </c>
      <c r="F13748" s="4" t="str">
        <f>IF(B13748=B13747,"",B13748)</f>
        <v>Port Louis</v>
      </c>
    </row>
    <row r="13749" spans="1:6" ht="15.75" customHeight="1">
      <c r="A13749" s="8" t="str">
        <f ca="1">IFERROR(__xludf.DUMMYFUNCTION("GOOGLETRANSLATE(B36816,""en"",""pt"")"),"Porto Louis")</f>
        <v>Porto Louis</v>
      </c>
      <c r="B13749" s="11" t="s">
        <v>17693</v>
      </c>
      <c r="C13749" s="11" t="s">
        <v>17678</v>
      </c>
      <c r="D13749" s="11" t="s">
        <v>17693</v>
      </c>
      <c r="E13749" s="10">
        <v>934154</v>
      </c>
      <c r="F13749" s="4" t="str">
        <f>IF(B13749=B13748,"",B13749)</f>
        <v/>
      </c>
    </row>
    <row r="13750" spans="1:6" ht="15.75" customHeight="1">
      <c r="A13750" s="15" t="s">
        <v>23685</v>
      </c>
      <c r="B13750" s="15" t="s">
        <v>23685</v>
      </c>
      <c r="C13750" s="15" t="s">
        <v>23676</v>
      </c>
      <c r="D13750" s="15" t="s">
        <v>20426</v>
      </c>
      <c r="E13750" s="2">
        <v>2404433</v>
      </c>
      <c r="F13750" s="4" t="str">
        <f>IF(B13750=B13749,"",B13750)</f>
        <v>Port Loko</v>
      </c>
    </row>
    <row r="13751" spans="1:6" ht="15.75" customHeight="1">
      <c r="A13751" s="8" t="str">
        <f ca="1">IFERROR(__xludf.DUMMYFUNCTION("GOOGLETRANSLATE(B41275,""en"",""pt"")"),"Port Loko")</f>
        <v>Port Loko</v>
      </c>
      <c r="B13751" s="9" t="s">
        <v>23685</v>
      </c>
      <c r="C13751" s="9" t="s">
        <v>23676</v>
      </c>
      <c r="D13751" s="9" t="s">
        <v>20426</v>
      </c>
      <c r="E13751" s="10">
        <v>2404433</v>
      </c>
      <c r="F13751" s="4" t="str">
        <f>IF(B13751=B13750,"",B13751)</f>
        <v/>
      </c>
    </row>
    <row r="13752" spans="1:6" ht="15.75" customHeight="1">
      <c r="A13752" s="16" t="s">
        <v>29726</v>
      </c>
      <c r="B13752" s="15" t="s">
        <v>29726</v>
      </c>
      <c r="C13752" s="16" t="s">
        <v>27788</v>
      </c>
      <c r="D13752" s="16" t="s">
        <v>27804</v>
      </c>
      <c r="E13752" s="2">
        <v>5006233</v>
      </c>
      <c r="F13752" s="4" t="str">
        <f>IF(B13752=B13751,"",B13752)</f>
        <v>Port Huron</v>
      </c>
    </row>
    <row r="13753" spans="1:6" ht="15.75" customHeight="1">
      <c r="A13753" s="8" t="str">
        <f ca="1">IFERROR(__xludf.DUMMYFUNCTION("GOOGLETRANSLATE(B44113,""en"",""pt"")"),"Port Huron")</f>
        <v>Port Huron</v>
      </c>
      <c r="B13753" s="11" t="s">
        <v>29726</v>
      </c>
      <c r="C13753" s="11" t="s">
        <v>27788</v>
      </c>
      <c r="D13753" s="11" t="s">
        <v>27804</v>
      </c>
      <c r="E13753" s="10">
        <v>5006233</v>
      </c>
      <c r="F13753" s="4" t="str">
        <f>IF(B13753=B13752,"",B13753)</f>
        <v/>
      </c>
    </row>
    <row r="13754" spans="1:6" ht="15.75" customHeight="1">
      <c r="A13754" s="16" t="s">
        <v>29725</v>
      </c>
      <c r="B13754" s="15" t="s">
        <v>29725</v>
      </c>
      <c r="C13754" s="16" t="s">
        <v>27788</v>
      </c>
      <c r="D13754" s="16" t="s">
        <v>27801</v>
      </c>
      <c r="E13754" s="2">
        <v>5384339</v>
      </c>
      <c r="F13754" s="4" t="str">
        <f>IF(B13754=B13753,"",B13754)</f>
        <v>Port Hueneme</v>
      </c>
    </row>
    <row r="13755" spans="1:6" ht="15.75" customHeight="1">
      <c r="A13755" s="8" t="str">
        <f ca="1">IFERROR(__xludf.DUMMYFUNCTION("GOOGLETRANSLATE(B44967,""en"",""pt"")"),"Port Hueneme")</f>
        <v>Port Hueneme</v>
      </c>
      <c r="B13755" s="11" t="s">
        <v>29725</v>
      </c>
      <c r="C13755" s="11" t="s">
        <v>27788</v>
      </c>
      <c r="D13755" s="11" t="s">
        <v>27801</v>
      </c>
      <c r="E13755" s="10">
        <v>5384339</v>
      </c>
      <c r="F13755" s="4" t="str">
        <f>IF(B13755=B13754,"",B13755)</f>
        <v/>
      </c>
    </row>
    <row r="13756" spans="1:6" ht="15.75" customHeight="1">
      <c r="A13756" s="16" t="s">
        <v>1060</v>
      </c>
      <c r="B13756" s="15" t="s">
        <v>1060</v>
      </c>
      <c r="C13756" s="16" t="s">
        <v>885</v>
      </c>
      <c r="D13756" s="16" t="s">
        <v>889</v>
      </c>
      <c r="E13756" s="2">
        <v>2063042</v>
      </c>
      <c r="F13756" s="4" t="str">
        <f>IF(B13756=B13755,"",B13756)</f>
        <v>Port Hedland</v>
      </c>
    </row>
    <row r="13757" spans="1:6" ht="15.75" customHeight="1">
      <c r="A13757" s="8" t="str">
        <f ca="1">IFERROR(__xludf.DUMMYFUNCTION("GOOGLETRANSLATE(B23410,""en"",""pt"")"),"Port Hedland")</f>
        <v>Port Hedland</v>
      </c>
      <c r="B13757" s="11" t="s">
        <v>1060</v>
      </c>
      <c r="C13757" s="11" t="s">
        <v>885</v>
      </c>
      <c r="D13757" s="11" t="s">
        <v>889</v>
      </c>
      <c r="E13757" s="10">
        <v>2063042</v>
      </c>
      <c r="F13757" s="4" t="str">
        <f>IF(B13757=B13756,"",B13757)</f>
        <v/>
      </c>
    </row>
    <row r="13758" spans="1:6" ht="15.75" customHeight="1">
      <c r="A13758" s="16" t="s">
        <v>19554</v>
      </c>
      <c r="B13758" s="15" t="s">
        <v>19554</v>
      </c>
      <c r="C13758" s="16" t="s">
        <v>19294</v>
      </c>
      <c r="D13758" s="16" t="s">
        <v>19357</v>
      </c>
      <c r="E13758" s="2">
        <v>2324774</v>
      </c>
      <c r="F13758" s="4" t="str">
        <f>IF(B13758=B13757,"",B13758)</f>
        <v>Port Harcourt</v>
      </c>
    </row>
    <row r="13759" spans="1:6" ht="15.75" customHeight="1">
      <c r="A13759" s="8" t="str">
        <f ca="1">IFERROR(__xludf.DUMMYFUNCTION("GOOGLETRANSLATE(B37636,""en"",""pt"")"),"Port Harcourt")</f>
        <v>Port Harcourt</v>
      </c>
      <c r="B13759" s="9" t="s">
        <v>19554</v>
      </c>
      <c r="C13759" s="9" t="s">
        <v>19294</v>
      </c>
      <c r="D13759" s="9" t="s">
        <v>19357</v>
      </c>
      <c r="E13759" s="10">
        <v>2324774</v>
      </c>
      <c r="F13759" s="4" t="str">
        <f>IF(B13759=B13758,"",B13759)</f>
        <v/>
      </c>
    </row>
    <row r="13760" spans="1:6" ht="15.75" customHeight="1">
      <c r="A13760" s="16" t="s">
        <v>27603</v>
      </c>
      <c r="B13760" s="15" t="s">
        <v>27603</v>
      </c>
      <c r="C13760" s="16" t="s">
        <v>27234</v>
      </c>
      <c r="D13760" s="16" t="s">
        <v>27237</v>
      </c>
      <c r="E13760" s="2">
        <v>2640060</v>
      </c>
      <c r="F13760" s="4" t="str">
        <f>IF(B13760=B13759,"",B13760)</f>
        <v>Port Glasgow</v>
      </c>
    </row>
    <row r="13761" spans="1:6" ht="15.75" customHeight="1">
      <c r="A13761" s="8" t="str">
        <f ca="1">IFERROR(__xludf.DUMMYFUNCTION("GOOGLETRANSLATE(B30472,""en"",""pt"")"),"Port Glasgow")</f>
        <v>Port Glasgow</v>
      </c>
      <c r="B13761" s="11" t="s">
        <v>27603</v>
      </c>
      <c r="C13761" s="11" t="s">
        <v>27234</v>
      </c>
      <c r="D13761" s="11" t="s">
        <v>27237</v>
      </c>
      <c r="E13761" s="10">
        <v>2640060</v>
      </c>
      <c r="F13761" s="4" t="str">
        <f>IF(B13761=B13760,"",B13761)</f>
        <v/>
      </c>
    </row>
    <row r="13762" spans="1:6" ht="15.75" customHeight="1">
      <c r="A13762" s="16" t="s">
        <v>23959</v>
      </c>
      <c r="B13762" s="15" t="s">
        <v>23959</v>
      </c>
      <c r="C13762" s="16" t="s">
        <v>23842</v>
      </c>
      <c r="D13762" s="16" t="s">
        <v>23843</v>
      </c>
      <c r="E13762" s="2">
        <v>964420</v>
      </c>
      <c r="F13762" s="4" t="str">
        <f>IF(B13762=B13761,"",B13762)</f>
        <v>Port Elizabeth</v>
      </c>
    </row>
    <row r="13763" spans="1:6" ht="15.75" customHeight="1">
      <c r="A13763" s="8" t="str">
        <f ca="1">IFERROR(__xludf.DUMMYFUNCTION("GOOGLETRANSLATE(B45893,""en"",""pt"")"),"Port Elizabeth")</f>
        <v>Port Elizabeth</v>
      </c>
      <c r="B13763" s="11" t="s">
        <v>23959</v>
      </c>
      <c r="C13763" s="11" t="s">
        <v>23842</v>
      </c>
      <c r="D13763" s="11" t="s">
        <v>23843</v>
      </c>
      <c r="E13763" s="10">
        <v>964420</v>
      </c>
      <c r="F13763" s="4" t="str">
        <f>IF(B13763=B13762,"",B13763)</f>
        <v/>
      </c>
    </row>
    <row r="13764" spans="1:6" ht="15.75" customHeight="1">
      <c r="A13764" s="16" t="s">
        <v>17550</v>
      </c>
      <c r="B13764" s="15" t="s">
        <v>17550</v>
      </c>
      <c r="C13764" s="16" t="s">
        <v>17432</v>
      </c>
      <c r="D13764" s="16" t="s">
        <v>17440</v>
      </c>
      <c r="E13764" s="2">
        <v>1734815</v>
      </c>
      <c r="F13764" s="4" t="str">
        <f>IF(B13764=B13763,"",B13764)</f>
        <v>Port Dickson</v>
      </c>
    </row>
    <row r="13765" spans="1:6" ht="15.75" customHeight="1">
      <c r="A13765" s="8" t="str">
        <f ca="1">IFERROR(__xludf.DUMMYFUNCTION("GOOGLETRANSLATE(B37465,""en"",""pt"")"),"Port Dickson")</f>
        <v>Port Dickson</v>
      </c>
      <c r="B13765" s="11" t="s">
        <v>17550</v>
      </c>
      <c r="C13765" s="11" t="s">
        <v>17432</v>
      </c>
      <c r="D13765" s="11" t="s">
        <v>17440</v>
      </c>
      <c r="E13765" s="10">
        <v>1734815</v>
      </c>
      <c r="F13765" s="4" t="str">
        <f>IF(B13765=B13764,"",B13765)</f>
        <v/>
      </c>
    </row>
    <row r="13766" spans="1:6" ht="15.75" customHeight="1">
      <c r="A13766" s="16" t="s">
        <v>4145</v>
      </c>
      <c r="B13766" s="15" t="s">
        <v>4145</v>
      </c>
      <c r="C13766" s="16" t="s">
        <v>3975</v>
      </c>
      <c r="D13766" s="16" t="s">
        <v>3980</v>
      </c>
      <c r="E13766" s="2">
        <v>6111704</v>
      </c>
      <c r="F13766" s="4" t="str">
        <f>IF(B13766=B13765,"",B13766)</f>
        <v>Port Colborne</v>
      </c>
    </row>
    <row r="13767" spans="1:6" ht="15.75" customHeight="1">
      <c r="A13767" s="8" t="str">
        <f ca="1">IFERROR(__xludf.DUMMYFUNCTION("GOOGLETRANSLATE(B25549,""en"",""pt"")"),"Port Colborne")</f>
        <v>Port Colborne</v>
      </c>
      <c r="B13767" s="11" t="s">
        <v>4145</v>
      </c>
      <c r="C13767" s="11" t="s">
        <v>3975</v>
      </c>
      <c r="D13767" s="11" t="s">
        <v>3980</v>
      </c>
      <c r="E13767" s="10">
        <v>6111704</v>
      </c>
      <c r="F13767" s="4" t="str">
        <f>IF(B13767=B13766,"",B13767)</f>
        <v/>
      </c>
    </row>
    <row r="13768" spans="1:6" ht="15.75" customHeight="1">
      <c r="A13768" s="16" t="s">
        <v>29724</v>
      </c>
      <c r="B13768" s="15" t="s">
        <v>29724</v>
      </c>
      <c r="C13768" s="16" t="s">
        <v>27788</v>
      </c>
      <c r="D13768" s="16" t="s">
        <v>27819</v>
      </c>
      <c r="E13768" s="2">
        <v>5132002</v>
      </c>
      <c r="F13768" s="4" t="str">
        <f>IF(B13768=B13767,"",B13768)</f>
        <v>Port Chester</v>
      </c>
    </row>
    <row r="13769" spans="1:6" ht="15.75" customHeight="1">
      <c r="A13769" s="8" t="str">
        <f ca="1">IFERROR(__xludf.DUMMYFUNCTION("GOOGLETRANSLATE(B44435,""en"",""pt"")"),"Port Chester")</f>
        <v>Port Chester</v>
      </c>
      <c r="B13769" s="9" t="s">
        <v>29724</v>
      </c>
      <c r="C13769" s="9" t="s">
        <v>27788</v>
      </c>
      <c r="D13769" s="9" t="s">
        <v>27819</v>
      </c>
      <c r="E13769" s="10">
        <v>5132002</v>
      </c>
      <c r="F13769" s="4" t="str">
        <f>IF(B13769=B13768,"",B13769)</f>
        <v/>
      </c>
    </row>
    <row r="13770" spans="1:6" ht="15.75" customHeight="1">
      <c r="A13770" s="16" t="s">
        <v>29723</v>
      </c>
      <c r="B13770" s="15" t="s">
        <v>29723</v>
      </c>
      <c r="C13770" s="16" t="s">
        <v>27788</v>
      </c>
      <c r="D13770" s="16" t="s">
        <v>5468</v>
      </c>
      <c r="E13770" s="2">
        <v>4169130</v>
      </c>
      <c r="F13770" s="4" t="str">
        <f>IF(B13770=B13769,"",B13770)</f>
        <v>Port Charlotte</v>
      </c>
    </row>
    <row r="13771" spans="1:6" ht="15.75" customHeight="1">
      <c r="A13771" s="8" t="str">
        <f ca="1">IFERROR(__xludf.DUMMYFUNCTION("GOOGLETRANSLATE(B42996,""en"",""pt"")"),"Port Charlotte")</f>
        <v>Port Charlotte</v>
      </c>
      <c r="B13771" s="11" t="s">
        <v>29723</v>
      </c>
      <c r="C13771" s="11" t="s">
        <v>27788</v>
      </c>
      <c r="D13771" s="11" t="s">
        <v>5468</v>
      </c>
      <c r="E13771" s="10">
        <v>4169130</v>
      </c>
      <c r="F13771" s="4" t="str">
        <f>IF(B13771=B13770,"",B13771)</f>
        <v/>
      </c>
    </row>
    <row r="13772" spans="1:6" ht="15.75" customHeight="1">
      <c r="A13772" s="15" t="s">
        <v>12922</v>
      </c>
      <c r="B13772" s="15" t="s">
        <v>12922</v>
      </c>
      <c r="C13772" s="15" t="s">
        <v>10178</v>
      </c>
      <c r="D13772" s="15" t="s">
        <v>12923</v>
      </c>
      <c r="E13772" s="2">
        <v>1259385</v>
      </c>
      <c r="F13772" s="4" t="str">
        <f>IF(B13772=B13771,"",B13772)</f>
        <v>Port Blair</v>
      </c>
    </row>
    <row r="13773" spans="1:6" ht="15.75" customHeight="1">
      <c r="A13773" s="8" t="str">
        <f ca="1">IFERROR(__xludf.DUMMYFUNCTION("GOOGLETRANSLATE(B32433,""en"",""pt"")"),"Port Blair")</f>
        <v>Port Blair</v>
      </c>
      <c r="B13773" s="11" t="s">
        <v>12922</v>
      </c>
      <c r="C13773" s="11" t="s">
        <v>10178</v>
      </c>
      <c r="D13773" s="11" t="s">
        <v>12923</v>
      </c>
      <c r="E13773" s="10">
        <v>1259385</v>
      </c>
      <c r="F13773" s="4" t="str">
        <f>IF(B13773=B13772,"",B13773)</f>
        <v/>
      </c>
    </row>
    <row r="13774" spans="1:6" ht="15.75" customHeight="1">
      <c r="A13774" s="16" t="s">
        <v>20969</v>
      </c>
      <c r="B13774" s="15" t="s">
        <v>20970</v>
      </c>
      <c r="C13774" s="16" t="s">
        <v>20598</v>
      </c>
      <c r="D13774" s="16" t="s">
        <v>20723</v>
      </c>
      <c r="E13774" s="2">
        <v>1692872</v>
      </c>
      <c r="F13774" s="4" t="str">
        <f>IF(B13774=B13773,"",B13774)</f>
        <v>Port Area</v>
      </c>
    </row>
    <row r="13775" spans="1:6" ht="15.75" customHeight="1">
      <c r="A13775" s="8" t="str">
        <f ca="1">IFERROR(__xludf.DUMMYFUNCTION("GOOGLETRANSLATE(B38544,""en"",""pt"")"),"Área portuária")</f>
        <v>Área portuária</v>
      </c>
      <c r="B13775" s="11" t="s">
        <v>20970</v>
      </c>
      <c r="C13775" s="11" t="s">
        <v>20598</v>
      </c>
      <c r="D13775" s="11" t="s">
        <v>20723</v>
      </c>
      <c r="E13775" s="10">
        <v>1692872</v>
      </c>
      <c r="F13775" s="4" t="str">
        <f>IF(B13775=B13774,"",B13775)</f>
        <v/>
      </c>
    </row>
    <row r="13776" spans="1:6" ht="15.75" customHeight="1">
      <c r="A13776" s="16" t="s">
        <v>29722</v>
      </c>
      <c r="B13776" s="15" t="s">
        <v>29722</v>
      </c>
      <c r="C13776" s="16" t="s">
        <v>27788</v>
      </c>
      <c r="D13776" s="16" t="s">
        <v>27733</v>
      </c>
      <c r="E13776" s="2">
        <v>5807212</v>
      </c>
      <c r="F13776" s="4" t="str">
        <f>IF(B13776=B13775,"",B13776)</f>
        <v>Port Angeles</v>
      </c>
    </row>
    <row r="13777" spans="1:6" ht="15.75" customHeight="1">
      <c r="A13777" s="8" t="str">
        <f ca="1">IFERROR(__xludf.DUMMYFUNCTION("GOOGLETRANSLATE(B45365,""en"",""pt"")"),"Port Angeles")</f>
        <v>Port Angeles</v>
      </c>
      <c r="B13777" s="11" t="s">
        <v>29722</v>
      </c>
      <c r="C13777" s="11" t="s">
        <v>27788</v>
      </c>
      <c r="D13777" s="11" t="s">
        <v>27733</v>
      </c>
      <c r="E13777" s="10">
        <v>5807212</v>
      </c>
      <c r="F13777" s="4" t="str">
        <f>IF(B13777=B13776,"",B13777)</f>
        <v/>
      </c>
    </row>
    <row r="13778" spans="1:6" ht="15.75" customHeight="1">
      <c r="A13778" s="16" t="s">
        <v>23958</v>
      </c>
      <c r="B13778" s="15" t="s">
        <v>23958</v>
      </c>
      <c r="C13778" s="16" t="s">
        <v>23842</v>
      </c>
      <c r="D13778" s="16" t="s">
        <v>23843</v>
      </c>
      <c r="E13778" s="2">
        <v>964432</v>
      </c>
      <c r="F13778" s="4" t="str">
        <f>IF(B13778=B13777,"",B13778)</f>
        <v>Port Alfred</v>
      </c>
    </row>
    <row r="13779" spans="1:6" ht="15.75" customHeight="1">
      <c r="A13779" s="8" t="str">
        <f ca="1">IFERROR(__xludf.DUMMYFUNCTION("GOOGLETRANSLATE(B45894,""en"",""pt"")"),"Port Alfred")</f>
        <v>Port Alfred</v>
      </c>
      <c r="B13779" s="11" t="s">
        <v>23958</v>
      </c>
      <c r="C13779" s="11" t="s">
        <v>23842</v>
      </c>
      <c r="D13779" s="11" t="s">
        <v>23843</v>
      </c>
      <c r="E13779" s="10">
        <v>964432</v>
      </c>
      <c r="F13779" s="4" t="str">
        <f>IF(B13779=B13778,"",B13779)</f>
        <v/>
      </c>
    </row>
    <row r="13780" spans="1:6" ht="15.75" customHeight="1">
      <c r="A13780" s="16" t="s">
        <v>4144</v>
      </c>
      <c r="B13780" s="15" t="s">
        <v>4144</v>
      </c>
      <c r="C13780" s="16" t="s">
        <v>3975</v>
      </c>
      <c r="D13780" s="16" t="s">
        <v>3976</v>
      </c>
      <c r="E13780" s="2">
        <v>6111632</v>
      </c>
      <c r="F13780" s="4" t="str">
        <f>IF(B13780=B13779,"",B13780)</f>
        <v>Port Alberni</v>
      </c>
    </row>
    <row r="13781" spans="1:6" ht="15.75" customHeight="1">
      <c r="A13781" s="8" t="str">
        <f ca="1">IFERROR(__xludf.DUMMYFUNCTION("GOOGLETRANSLATE(B25548,""en"",""pt"")"),"Port Alberni")</f>
        <v>Port Alberni</v>
      </c>
      <c r="B13781" s="9" t="s">
        <v>4144</v>
      </c>
      <c r="C13781" s="9" t="s">
        <v>3975</v>
      </c>
      <c r="D13781" s="9" t="s">
        <v>3976</v>
      </c>
      <c r="E13781" s="10">
        <v>6111632</v>
      </c>
      <c r="F13781" s="4" t="str">
        <f>IF(B13781=B13780,"",B13781)</f>
        <v/>
      </c>
    </row>
    <row r="13782" spans="1:6" ht="15.75" customHeight="1">
      <c r="A13782" s="16" t="s">
        <v>19735</v>
      </c>
      <c r="B13782" s="15" t="s">
        <v>19735</v>
      </c>
      <c r="C13782" s="16" t="s">
        <v>19695</v>
      </c>
      <c r="D13782" s="16" t="s">
        <v>19736</v>
      </c>
      <c r="E13782" s="2">
        <v>3142657</v>
      </c>
      <c r="F13782" s="4" t="str">
        <f>IF(B13782=B13781,"",B13782)</f>
        <v>Porsgrunn</v>
      </c>
    </row>
    <row r="13783" spans="1:6" ht="15.75" customHeight="1">
      <c r="A13783" s="8" t="str">
        <f ca="1">IFERROR(__xludf.DUMMYFUNCTION("GOOGLETRANSLATE(B38152,""en"",""pt"")"),"Porsgrunn")</f>
        <v>Porsgrunn</v>
      </c>
      <c r="B13783" s="9" t="s">
        <v>19735</v>
      </c>
      <c r="C13783" s="9" t="s">
        <v>19695</v>
      </c>
      <c r="D13783" s="9" t="s">
        <v>19736</v>
      </c>
      <c r="E13783" s="10">
        <v>3142657</v>
      </c>
      <c r="F13783" s="4" t="str">
        <f>IF(B13783=B13782,"",B13783)</f>
        <v/>
      </c>
    </row>
    <row r="13784" spans="1:6" ht="15.75" customHeight="1">
      <c r="A13784" s="15" t="s">
        <v>12921</v>
      </c>
      <c r="B13784" s="15" t="s">
        <v>12921</v>
      </c>
      <c r="C13784" s="15" t="s">
        <v>10178</v>
      </c>
      <c r="D13784" s="15" t="s">
        <v>10219</v>
      </c>
      <c r="E13784" s="2">
        <v>1259388</v>
      </c>
      <c r="F13784" s="4" t="str">
        <f>IF(B13784=B13783,"",B13784)</f>
        <v>Porsa</v>
      </c>
    </row>
    <row r="13785" spans="1:6" ht="15.75" customHeight="1">
      <c r="A13785" s="8" t="str">
        <f ca="1">IFERROR(__xludf.DUMMYFUNCTION("GOOGLETRANSLATE(B32434,""en"",""pt"")"),"Porsa")</f>
        <v>Porsa</v>
      </c>
      <c r="B13785" s="9" t="s">
        <v>12921</v>
      </c>
      <c r="C13785" s="9" t="s">
        <v>10178</v>
      </c>
      <c r="D13785" s="9" t="s">
        <v>10219</v>
      </c>
      <c r="E13785" s="10">
        <v>1259388</v>
      </c>
      <c r="F13785" s="4" t="str">
        <f>IF(B13785=B13784,"",B13785)</f>
        <v/>
      </c>
    </row>
    <row r="13786" spans="1:6" ht="15.75" customHeight="1">
      <c r="A13786" s="8" t="str">
        <f ca="1">IFERROR(__xludf.DUMMYFUNCTION("GOOGLETRANSLATE(B29324,""en"",""pt"")"),"Porriño")</f>
        <v>Porriño</v>
      </c>
      <c r="B13786" s="11" t="s">
        <v>32442</v>
      </c>
      <c r="C13786" s="11" t="s">
        <v>24200</v>
      </c>
      <c r="D13786" s="11" t="s">
        <v>24201</v>
      </c>
      <c r="E13786" s="10">
        <v>3113157</v>
      </c>
      <c r="F13786" s="4" t="str">
        <f>IF(B13786=B13785,"",B13786)</f>
        <v>Porriño</v>
      </c>
    </row>
    <row r="13787" spans="1:6" ht="15.75" customHeight="1">
      <c r="A13787" s="16" t="s">
        <v>24704</v>
      </c>
      <c r="B13787" s="15" t="s">
        <v>24705</v>
      </c>
      <c r="C13787" s="16" t="s">
        <v>24200</v>
      </c>
      <c r="D13787" s="16" t="s">
        <v>24201</v>
      </c>
      <c r="E13787" s="2">
        <v>3113157</v>
      </c>
      <c r="F13787" s="4" t="str">
        <f>IF(B13787=B13786,"",B13787)</f>
        <v>PorriÃ±o</v>
      </c>
    </row>
    <row r="13788" spans="1:6" ht="15.75" customHeight="1">
      <c r="A13788" s="16" t="s">
        <v>22961</v>
      </c>
      <c r="B13788" s="15" t="s">
        <v>22961</v>
      </c>
      <c r="C13788" s="16" t="s">
        <v>22070</v>
      </c>
      <c r="D13788" s="16" t="s">
        <v>22508</v>
      </c>
      <c r="E13788" s="2">
        <v>2121909</v>
      </c>
      <c r="F13788" s="4" t="str">
        <f>IF(B13788=B13787,"",B13788)</f>
        <v>Poronaysk</v>
      </c>
    </row>
    <row r="13789" spans="1:6" ht="15.75" customHeight="1">
      <c r="A13789" s="8" t="str">
        <f ca="1">IFERROR(__xludf.DUMMYFUNCTION("GOOGLETRANSLATE(B40958,""en"",""pt"")"),"Poronaysk")</f>
        <v>Poronaysk</v>
      </c>
      <c r="B13789" s="9" t="s">
        <v>22961</v>
      </c>
      <c r="C13789" s="9" t="s">
        <v>22070</v>
      </c>
      <c r="D13789" s="9" t="s">
        <v>22508</v>
      </c>
      <c r="E13789" s="10">
        <v>2121909</v>
      </c>
      <c r="F13789" s="4" t="str">
        <f>IF(B13789=B13788,"",B13789)</f>
        <v/>
      </c>
    </row>
    <row r="13790" spans="1:6" ht="15.75" customHeight="1">
      <c r="A13790" s="15" t="s">
        <v>30738</v>
      </c>
      <c r="B13790" s="15" t="s">
        <v>30738</v>
      </c>
      <c r="C13790" s="15" t="s">
        <v>5923</v>
      </c>
      <c r="D13790" s="15" t="s">
        <v>30704</v>
      </c>
      <c r="E13790" s="2">
        <v>3629965</v>
      </c>
      <c r="F13790" s="4" t="str">
        <f>IF(B13790=B13789,"",B13790)</f>
        <v>Porlamar</v>
      </c>
    </row>
    <row r="13791" spans="1:6" ht="15.75" customHeight="1">
      <c r="A13791" s="8" t="str">
        <f ca="1">IFERROR(__xludf.DUMMYFUNCTION("GOOGLETRANSLATE(B45637,""en"",""pt"")"),"Porlamar")</f>
        <v>Porlamar</v>
      </c>
      <c r="B13791" s="9" t="s">
        <v>30738</v>
      </c>
      <c r="C13791" s="9" t="s">
        <v>5923</v>
      </c>
      <c r="D13791" s="9" t="s">
        <v>30704</v>
      </c>
      <c r="E13791" s="10">
        <v>3629965</v>
      </c>
      <c r="F13791" s="4" t="str">
        <f>IF(B13791=B13790,"",B13791)</f>
        <v/>
      </c>
    </row>
    <row r="13792" spans="1:6" ht="15.75" customHeight="1">
      <c r="A13792" s="15" t="s">
        <v>19201</v>
      </c>
      <c r="B13792" s="15" t="s">
        <v>19201</v>
      </c>
      <c r="C13792" s="15" t="s">
        <v>19169</v>
      </c>
      <c r="D13792" s="15" t="s">
        <v>13773</v>
      </c>
      <c r="E13792" s="2">
        <v>2184397</v>
      </c>
      <c r="F13792" s="4" t="str">
        <f>IF(B13792=B13791,"",B13792)</f>
        <v>Porirua</v>
      </c>
    </row>
    <row r="13793" spans="1:6" ht="15.75" customHeight="1">
      <c r="A13793" s="8" t="str">
        <f ca="1">IFERROR(__xludf.DUMMYFUNCTION("GOOGLETRANSLATE(B38222,""en"",""pt"")"),"Porirua")</f>
        <v>Porirua</v>
      </c>
      <c r="B13793" s="9" t="s">
        <v>19201</v>
      </c>
      <c r="C13793" s="9" t="s">
        <v>19169</v>
      </c>
      <c r="D13793" s="9" t="s">
        <v>13773</v>
      </c>
      <c r="E13793" s="10">
        <v>2184397</v>
      </c>
      <c r="F13793" s="4" t="str">
        <f>IF(B13793=B13792,"",B13793)</f>
        <v/>
      </c>
    </row>
    <row r="13794" spans="1:6" ht="15.75" customHeight="1">
      <c r="A13794" s="15" t="s">
        <v>7021</v>
      </c>
      <c r="B13794" s="15" t="s">
        <v>7021</v>
      </c>
      <c r="C13794" s="15" t="s">
        <v>6948</v>
      </c>
      <c r="D13794" s="15" t="s">
        <v>7022</v>
      </c>
      <c r="E13794" s="2">
        <v>640999</v>
      </c>
      <c r="F13794" s="4" t="str">
        <f>IF(B13794=B13793,"",B13794)</f>
        <v>Pori</v>
      </c>
    </row>
    <row r="13795" spans="1:6" ht="15.75" customHeight="1">
      <c r="A13795" s="8" t="str">
        <f ca="1">IFERROR(__xludf.DUMMYFUNCTION("GOOGLETRANSLATE(B29618,""en"",""pt"")"),"Pori")</f>
        <v>Pori</v>
      </c>
      <c r="B13795" s="9" t="s">
        <v>7021</v>
      </c>
      <c r="C13795" s="9" t="s">
        <v>6948</v>
      </c>
      <c r="D13795" s="9" t="s">
        <v>7022</v>
      </c>
      <c r="E13795" s="10">
        <v>640999</v>
      </c>
      <c r="F13795" s="4" t="str">
        <f>IF(B13795=B13794,"",B13795)</f>
        <v/>
      </c>
    </row>
    <row r="13796" spans="1:6" ht="15.75" customHeight="1">
      <c r="A13796" s="16" t="s">
        <v>15380</v>
      </c>
      <c r="B13796" s="15" t="s">
        <v>15381</v>
      </c>
      <c r="C13796" s="16" t="s">
        <v>14891</v>
      </c>
      <c r="D13796" s="16" t="s">
        <v>15105</v>
      </c>
      <c r="E13796" s="2">
        <v>3170147</v>
      </c>
      <c r="F13796" s="4" t="str">
        <f>IF(B13796=B13795,"",B13796)</f>
        <v>Pordenone</v>
      </c>
    </row>
    <row r="13797" spans="1:6" ht="15.75" customHeight="1">
      <c r="A13797" s="8" t="str">
        <f ca="1">IFERROR(__xludf.DUMMYFUNCTION("GOOGLETRANSLATE(B34761,""en"",""pt"")"),"PORDENONA")</f>
        <v>PORDENONA</v>
      </c>
      <c r="B13797" s="9" t="s">
        <v>15381</v>
      </c>
      <c r="C13797" s="9" t="s">
        <v>14891</v>
      </c>
      <c r="D13797" s="9" t="s">
        <v>15105</v>
      </c>
      <c r="E13797" s="10">
        <v>3170147</v>
      </c>
      <c r="F13797" s="4" t="str">
        <f>IF(B13797=B13796,"",B13797)</f>
        <v/>
      </c>
    </row>
    <row r="13798" spans="1:6" ht="15.75" customHeight="1">
      <c r="A13798" s="16" t="s">
        <v>12920</v>
      </c>
      <c r="B13798" s="15" t="s">
        <v>12920</v>
      </c>
      <c r="C13798" s="16" t="s">
        <v>10178</v>
      </c>
      <c r="D13798" s="16" t="s">
        <v>10209</v>
      </c>
      <c r="E13798" s="2">
        <v>1259395</v>
      </c>
      <c r="F13798" s="4" t="str">
        <f>IF(B13798=B13797,"",B13798)</f>
        <v>Porbandar</v>
      </c>
    </row>
    <row r="13799" spans="1:6" ht="15.75" customHeight="1">
      <c r="A13799" s="8" t="str">
        <f ca="1">IFERROR(__xludf.DUMMYFUNCTION("GOOGLETRANSLATE(B32435,""en"",""pt"")"),"Porbandar")</f>
        <v>Porbandar</v>
      </c>
      <c r="B13799" s="9" t="s">
        <v>12920</v>
      </c>
      <c r="C13799" s="9" t="s">
        <v>10178</v>
      </c>
      <c r="D13799" s="9" t="s">
        <v>10209</v>
      </c>
      <c r="E13799" s="10">
        <v>1259395</v>
      </c>
      <c r="F13799" s="4" t="str">
        <f>IF(B13799=B13798,"",B13799)</f>
        <v/>
      </c>
    </row>
    <row r="13800" spans="1:6" ht="15.75" customHeight="1">
      <c r="A13800" s="16" t="s">
        <v>3154</v>
      </c>
      <c r="B13800" s="15" t="s">
        <v>3154</v>
      </c>
      <c r="C13800" s="16" t="s">
        <v>1905</v>
      </c>
      <c r="D13800" s="16" t="s">
        <v>1969</v>
      </c>
      <c r="E13800" s="2">
        <v>3453014</v>
      </c>
      <c r="F13800" s="4" t="str">
        <f>IF(B13800=B13799,"",B13800)</f>
        <v>Porangatu</v>
      </c>
    </row>
    <row r="13801" spans="1:6" ht="15.75" customHeight="1">
      <c r="A13801" s="8" t="str">
        <f ca="1">IFERROR(__xludf.DUMMYFUNCTION("GOOGLETRANSLATE(B24680,""en"",""pt"")"),"Porangatu")</f>
        <v>Porangatu</v>
      </c>
      <c r="B13801" s="9" t="s">
        <v>3154</v>
      </c>
      <c r="C13801" s="9" t="s">
        <v>1905</v>
      </c>
      <c r="D13801" s="9" t="s">
        <v>31436</v>
      </c>
      <c r="E13801" s="10">
        <v>3453014</v>
      </c>
      <c r="F13801" s="4" t="str">
        <f>IF(B13801=B13800,"",B13801)</f>
        <v/>
      </c>
    </row>
    <row r="13802" spans="1:6" ht="15.75" customHeight="1">
      <c r="A13802" s="15" t="s">
        <v>20968</v>
      </c>
      <c r="B13802" s="15" t="s">
        <v>20968</v>
      </c>
      <c r="C13802" s="15" t="s">
        <v>20598</v>
      </c>
      <c r="D13802" s="15" t="s">
        <v>20599</v>
      </c>
      <c r="E13802" s="2">
        <v>1692914</v>
      </c>
      <c r="F13802" s="4" t="str">
        <f>IF(B13802=B13801,"",B13802)</f>
        <v>Porac</v>
      </c>
    </row>
    <row r="13803" spans="1:6" ht="15.75" customHeight="1">
      <c r="A13803" s="8" t="str">
        <f ca="1">IFERROR(__xludf.DUMMYFUNCTION("GOOGLETRANSLATE(B38545,""en"",""pt"")"),"Porac")</f>
        <v>Porac</v>
      </c>
      <c r="B13803" s="9" t="s">
        <v>20968</v>
      </c>
      <c r="C13803" s="9" t="s">
        <v>20598</v>
      </c>
      <c r="D13803" s="9" t="s">
        <v>20599</v>
      </c>
      <c r="E13803" s="10">
        <v>1692914</v>
      </c>
      <c r="F13803" s="4" t="str">
        <f>IF(B13803=B13802,"",B13803)</f>
        <v/>
      </c>
    </row>
    <row r="13804" spans="1:6" ht="15.75" customHeight="1">
      <c r="A13804" s="8" t="str">
        <f ca="1">IFERROR(__xludf.DUMMYFUNCTION("GOOGLETRANSLATE(B31095,""en"",""pt"")"),"Poptún")</f>
        <v>Poptún</v>
      </c>
      <c r="B13804" s="11" t="s">
        <v>32781</v>
      </c>
      <c r="C13804" s="11" t="s">
        <v>9700</v>
      </c>
      <c r="D13804" s="11" t="s">
        <v>32778</v>
      </c>
      <c r="E13804" s="10">
        <v>3591181</v>
      </c>
      <c r="F13804" s="4" t="str">
        <f>IF(B13804=B13803,"",B13804)</f>
        <v>Poptún</v>
      </c>
    </row>
    <row r="13805" spans="1:6" ht="15.75" customHeight="1">
      <c r="A13805" s="15" t="s">
        <v>9774</v>
      </c>
      <c r="B13805" s="15" t="s">
        <v>9775</v>
      </c>
      <c r="C13805" s="15" t="s">
        <v>9700</v>
      </c>
      <c r="D13805" s="15" t="s">
        <v>9738</v>
      </c>
      <c r="E13805" s="2">
        <v>3591181</v>
      </c>
      <c r="F13805" s="4" t="str">
        <f>IF(B13805=B13804,"",B13805)</f>
        <v>PoptÃºn</v>
      </c>
    </row>
    <row r="13806" spans="1:6" ht="15.75" customHeight="1">
      <c r="A13806" s="15" t="s">
        <v>23753</v>
      </c>
      <c r="B13806" s="15" t="s">
        <v>23754</v>
      </c>
      <c r="C13806" s="15" t="s">
        <v>23694</v>
      </c>
      <c r="D13806" s="15" t="s">
        <v>23706</v>
      </c>
      <c r="E13806" s="2">
        <v>723846</v>
      </c>
      <c r="F13806" s="4" t="str">
        <f>IF(B13806=B13805,"",B13806)</f>
        <v>Poprad</v>
      </c>
    </row>
    <row r="13807" spans="1:6" ht="15.75" customHeight="1">
      <c r="A13807" s="8" t="str">
        <f ca="1">IFERROR(__xludf.DUMMYFUNCTION("GOOGLETRANSLATE(B41229,""en"",""pt"")"),"Poprado")</f>
        <v>Poprado</v>
      </c>
      <c r="B13807" s="9" t="s">
        <v>23754</v>
      </c>
      <c r="C13807" s="9" t="s">
        <v>23694</v>
      </c>
      <c r="D13807" s="9" t="s">
        <v>35666</v>
      </c>
      <c r="E13807" s="10">
        <v>723846</v>
      </c>
      <c r="F13807" s="4" t="str">
        <f>IF(B13807=B13806,"",B13807)</f>
        <v/>
      </c>
    </row>
    <row r="13808" spans="1:6" ht="15.75" customHeight="1">
      <c r="A13808" s="8" t="str">
        <f ca="1">IFERROR(__xludf.DUMMYFUNCTION("GOOGLETRANSLATE(B27641,""en"",""pt"")"),"Poppenbüttel")</f>
        <v>Poppenbüttel</v>
      </c>
      <c r="B13808" s="11" t="s">
        <v>9002</v>
      </c>
      <c r="C13808" s="11" t="s">
        <v>8028</v>
      </c>
      <c r="D13808" s="11" t="s">
        <v>8059</v>
      </c>
      <c r="E13808" s="10">
        <v>2852673</v>
      </c>
      <c r="F13808" s="4" t="str">
        <f>IF(B13808=B13807,"",B13808)</f>
        <v>Poppenbüttel</v>
      </c>
    </row>
    <row r="13809" spans="1:6" ht="15.75" customHeight="1">
      <c r="A13809" s="16" t="s">
        <v>9002</v>
      </c>
      <c r="B13809" s="15" t="s">
        <v>9003</v>
      </c>
      <c r="C13809" s="16" t="s">
        <v>8028</v>
      </c>
      <c r="D13809" s="16" t="s">
        <v>8059</v>
      </c>
      <c r="E13809" s="2">
        <v>2852673</v>
      </c>
      <c r="F13809" s="4" t="str">
        <f>IF(B13809=B13808,"",B13809)</f>
        <v>PoppenbÃ¼ttel</v>
      </c>
    </row>
    <row r="13810" spans="1:6" ht="15.75" customHeight="1">
      <c r="A13810" s="15" t="s">
        <v>3741</v>
      </c>
      <c r="B13810" s="15" t="s">
        <v>3741</v>
      </c>
      <c r="C13810" s="15" t="s">
        <v>3701</v>
      </c>
      <c r="D13810" s="15" t="s">
        <v>3742</v>
      </c>
      <c r="E13810" s="2">
        <v>728075</v>
      </c>
      <c r="F13810" s="4" t="str">
        <f>IF(B13810=B13809,"",B13810)</f>
        <v>Popovo</v>
      </c>
    </row>
    <row r="13811" spans="1:6" ht="15.75" customHeight="1">
      <c r="A13811" s="8" t="str">
        <f ca="1">IFERROR(__xludf.DUMMYFUNCTION("GOOGLETRANSLATE(B24031,""en"",""pt"")"),"Popovo")</f>
        <v>Popovo</v>
      </c>
      <c r="B13811" s="9" t="s">
        <v>3741</v>
      </c>
      <c r="C13811" s="9" t="s">
        <v>3701</v>
      </c>
      <c r="D13811" s="9" t="s">
        <v>31322</v>
      </c>
      <c r="E13811" s="10">
        <v>728075</v>
      </c>
      <c r="F13811" s="4" t="str">
        <f>IF(B13811=B13810,"",B13811)</f>
        <v/>
      </c>
    </row>
    <row r="13812" spans="1:6" ht="15.75" customHeight="1">
      <c r="A13812" s="16" t="s">
        <v>20425</v>
      </c>
      <c r="B13812" s="15" t="s">
        <v>20425</v>
      </c>
      <c r="C13812" s="16" t="s">
        <v>20406</v>
      </c>
      <c r="D13812" s="16" t="s">
        <v>20426</v>
      </c>
      <c r="E13812" s="2">
        <v>2088163</v>
      </c>
      <c r="F13812" s="4" t="str">
        <f>IF(B13812=B13811,"",B13812)</f>
        <v>Popondetta</v>
      </c>
    </row>
    <row r="13813" spans="1:6" ht="15.75" customHeight="1">
      <c r="A13813" s="8" t="str">
        <f ca="1">IFERROR(__xludf.DUMMYFUNCTION("GOOGLETRANSLATE(B38413,""en"",""pt"")"),"Popondetta")</f>
        <v>Popondetta</v>
      </c>
      <c r="B13813" s="9" t="s">
        <v>20425</v>
      </c>
      <c r="C13813" s="9" t="s">
        <v>20406</v>
      </c>
      <c r="D13813" s="9" t="s">
        <v>20426</v>
      </c>
      <c r="E13813" s="10">
        <v>2088163</v>
      </c>
      <c r="F13813" s="4" t="str">
        <f>IF(B13813=B13812,"",B13813)</f>
        <v/>
      </c>
    </row>
    <row r="13814" spans="1:6" ht="15.75" customHeight="1">
      <c r="A13814" s="16" t="s">
        <v>29720</v>
      </c>
      <c r="B13814" s="15" t="s">
        <v>29721</v>
      </c>
      <c r="C13814" s="16" t="s">
        <v>27788</v>
      </c>
      <c r="D13814" s="16" t="s">
        <v>27806</v>
      </c>
      <c r="E13814" s="2">
        <v>4404233</v>
      </c>
      <c r="F13814" s="4" t="str">
        <f>IF(B13814=B13813,"",B13814)</f>
        <v>Poplar Bluff</v>
      </c>
    </row>
    <row r="13815" spans="1:6" ht="15.75" customHeight="1">
      <c r="A13815" s="8" t="str">
        <f ca="1">IFERROR(__xludf.DUMMYFUNCTION("GOOGLETRANSLATE(B43382,""en"",""pt"")"),"Bluff de álamo")</f>
        <v>Bluff de álamo</v>
      </c>
      <c r="B13815" s="9" t="s">
        <v>29721</v>
      </c>
      <c r="C13815" s="9" t="s">
        <v>27788</v>
      </c>
      <c r="D13815" s="9" t="s">
        <v>27806</v>
      </c>
      <c r="E13815" s="10">
        <v>4404233</v>
      </c>
      <c r="F13815" s="4" t="str">
        <f>IF(B13815=B13814,"",B13815)</f>
        <v/>
      </c>
    </row>
    <row r="13816" spans="1:6" ht="15.75" customHeight="1">
      <c r="A13816" s="8" t="str">
        <f ca="1">IFERROR(__xludf.DUMMYFUNCTION("GOOGLETRANSLATE(B39760,""en"",""pt"")"),"Popeşti-Leordeni")</f>
        <v>Popeşti-Leordeni</v>
      </c>
      <c r="B13816" s="11" t="s">
        <v>35363</v>
      </c>
      <c r="C13816" s="11" t="s">
        <v>21824</v>
      </c>
      <c r="D13816" s="11" t="s">
        <v>21873</v>
      </c>
      <c r="E13816" s="10">
        <v>669870</v>
      </c>
      <c r="F13816" s="4" t="str">
        <f>IF(B13816=B13815,"",B13816)</f>
        <v>Popeşti-Leordeni</v>
      </c>
    </row>
    <row r="13817" spans="1:6" ht="15.75" customHeight="1">
      <c r="A13817" s="16" t="s">
        <v>1665</v>
      </c>
      <c r="B13817" s="15" t="s">
        <v>1665</v>
      </c>
      <c r="C13817" s="16" t="s">
        <v>1512</v>
      </c>
      <c r="D13817" s="16" t="s">
        <v>1513</v>
      </c>
      <c r="E13817" s="2">
        <v>2788726</v>
      </c>
      <c r="F13817" s="4" t="str">
        <f>IF(B13817=B13816,"",B13817)</f>
        <v>Poperinge</v>
      </c>
    </row>
    <row r="13818" spans="1:6" ht="15.75" customHeight="1">
      <c r="A13818" s="8" t="str">
        <f ca="1">IFERROR(__xludf.DUMMYFUNCTION("GOOGLETRANSLATE(B23848,""en"",""pt"")"),"Poperinge")</f>
        <v>Poperinge</v>
      </c>
      <c r="B13818" s="11" t="s">
        <v>1665</v>
      </c>
      <c r="C13818" s="11" t="s">
        <v>1512</v>
      </c>
      <c r="D13818" s="11" t="s">
        <v>1513</v>
      </c>
      <c r="E13818" s="10">
        <v>2788726</v>
      </c>
      <c r="F13818" s="4" t="str">
        <f>IF(B13818=B13817,"",B13818)</f>
        <v/>
      </c>
    </row>
    <row r="13819" spans="1:6" ht="15.75" customHeight="1">
      <c r="A13819" s="16" t="s">
        <v>21993</v>
      </c>
      <c r="B13819" s="15" t="s">
        <v>21994</v>
      </c>
      <c r="C13819" s="16" t="s">
        <v>21824</v>
      </c>
      <c r="D13819" s="16" t="s">
        <v>21873</v>
      </c>
      <c r="E13819" s="2">
        <v>669870</v>
      </c>
      <c r="F13819" s="4" t="str">
        <f>IF(B13819=B13818,"",B13819)</f>
        <v>PopeÅŸti-Leordeni</v>
      </c>
    </row>
    <row r="13820" spans="1:6" ht="15.75" customHeight="1">
      <c r="A13820" s="8" t="str">
        <f ca="1">IFERROR(__xludf.DUMMYFUNCTION("GOOGLETRANSLATE(B26917,""en"",""pt"")"),"PoPayán")</f>
        <v>PoPayán</v>
      </c>
      <c r="B13820" s="11" t="s">
        <v>31858</v>
      </c>
      <c r="C13820" s="11" t="s">
        <v>5348</v>
      </c>
      <c r="D13820" s="11" t="s">
        <v>5388</v>
      </c>
      <c r="E13820" s="10">
        <v>3671916</v>
      </c>
      <c r="F13820" s="4" t="str">
        <f>IF(B13820=B13819,"",B13820)</f>
        <v>Popayán</v>
      </c>
    </row>
    <row r="13821" spans="1:6" ht="15.75" customHeight="1">
      <c r="A13821" s="15" t="s">
        <v>5556</v>
      </c>
      <c r="B13821" s="15" t="s">
        <v>5557</v>
      </c>
      <c r="C13821" s="15" t="s">
        <v>5348</v>
      </c>
      <c r="D13821" s="15" t="s">
        <v>5388</v>
      </c>
      <c r="E13821" s="2">
        <v>3671916</v>
      </c>
      <c r="F13821" s="4" t="str">
        <f>IF(B13821=B13820,"",B13821)</f>
        <v>PopayÃ¡n</v>
      </c>
    </row>
    <row r="13822" spans="1:6" ht="15.75" customHeight="1">
      <c r="A13822" s="15" t="s">
        <v>27114</v>
      </c>
      <c r="B13822" s="15" t="s">
        <v>27114</v>
      </c>
      <c r="C13822" s="15" t="s">
        <v>26870</v>
      </c>
      <c r="D13822" s="15" t="s">
        <v>26871</v>
      </c>
      <c r="E13822" s="2">
        <v>696566</v>
      </c>
      <c r="F13822" s="4" t="str">
        <f>IF(B13822=B13821,"",B13822)</f>
        <v>Popasna</v>
      </c>
    </row>
    <row r="13823" spans="1:6" ht="15.75" customHeight="1">
      <c r="A13823" s="8" t="str">
        <f ca="1">IFERROR(__xludf.DUMMYFUNCTION("GOOGLETRANSLATE(B42545,""en"",""pt"")"),"Popasna")</f>
        <v>Popasna</v>
      </c>
      <c r="B13823" s="9" t="s">
        <v>27114</v>
      </c>
      <c r="C13823" s="9" t="s">
        <v>26870</v>
      </c>
      <c r="D13823" s="9" t="s">
        <v>26871</v>
      </c>
      <c r="E13823" s="10">
        <v>696566</v>
      </c>
      <c r="F13823" s="4" t="str">
        <f>IF(B13823=B13822,"",B13823)</f>
        <v/>
      </c>
    </row>
    <row r="13824" spans="1:6" ht="15.75" customHeight="1">
      <c r="A13824" s="15" t="s">
        <v>30583</v>
      </c>
      <c r="B13824" s="15" t="s">
        <v>30583</v>
      </c>
      <c r="C13824" s="15" t="s">
        <v>30502</v>
      </c>
      <c r="D13824" s="15" t="s">
        <v>30528</v>
      </c>
      <c r="E13824" s="2">
        <v>1513023</v>
      </c>
      <c r="F13824" s="4" t="str">
        <f>IF(B13824=B13823,"",B13824)</f>
        <v>Pop</v>
      </c>
    </row>
    <row r="13825" spans="1:6" ht="15.75" customHeight="1">
      <c r="A13825" s="8" t="str">
        <f ca="1">IFERROR(__xludf.DUMMYFUNCTION("GOOGLETRANSLATE(B45553,""en"",""pt"")"),"Pop")</f>
        <v>Pop</v>
      </c>
      <c r="B13825" s="9" t="s">
        <v>30583</v>
      </c>
      <c r="C13825" s="9" t="s">
        <v>30502</v>
      </c>
      <c r="D13825" s="9" t="s">
        <v>30528</v>
      </c>
      <c r="E13825" s="10">
        <v>1513023</v>
      </c>
      <c r="F13825" s="4" t="str">
        <f>IF(B13825=B13824,"",B13825)</f>
        <v/>
      </c>
    </row>
    <row r="13826" spans="1:6" ht="15.75" customHeight="1">
      <c r="A13826" s="16" t="s">
        <v>12919</v>
      </c>
      <c r="B13826" s="15" t="s">
        <v>12919</v>
      </c>
      <c r="C13826" s="16" t="s">
        <v>10178</v>
      </c>
      <c r="D13826" s="16" t="s">
        <v>10196</v>
      </c>
      <c r="E13826" s="2">
        <v>1259400</v>
      </c>
      <c r="F13826" s="4" t="str">
        <f>IF(B13826=B13825,"",B13826)</f>
        <v>Poonamalle</v>
      </c>
    </row>
    <row r="13827" spans="1:6" ht="15.75" customHeight="1">
      <c r="A13827" s="8" t="str">
        <f ca="1">IFERROR(__xludf.DUMMYFUNCTION("GOOGLETRANSLATE(B32436,""en"",""pt"")"),"Poonamalle")</f>
        <v>Poonamalle</v>
      </c>
      <c r="B13827" s="9" t="s">
        <v>12919</v>
      </c>
      <c r="C13827" s="9" t="s">
        <v>10178</v>
      </c>
      <c r="D13827" s="9" t="s">
        <v>10196</v>
      </c>
      <c r="E13827" s="10">
        <v>1259400</v>
      </c>
      <c r="F13827" s="4" t="str">
        <f>IF(B13827=B13826,"",B13827)</f>
        <v/>
      </c>
    </row>
    <row r="13828" spans="1:6" ht="15.75" customHeight="1">
      <c r="A13828" s="15" t="s">
        <v>29719</v>
      </c>
      <c r="B13828" s="15" t="s">
        <v>29719</v>
      </c>
      <c r="C13828" s="15" t="s">
        <v>27788</v>
      </c>
      <c r="D13828" s="15" t="s">
        <v>7988</v>
      </c>
      <c r="E13828" s="2">
        <v>4216948</v>
      </c>
      <c r="F13828" s="4" t="str">
        <f>IF(B13828=B13827,"",B13828)</f>
        <v>Pooler</v>
      </c>
    </row>
    <row r="13829" spans="1:6" ht="15.75" customHeight="1">
      <c r="A13829" s="8" t="str">
        <f ca="1">IFERROR(__xludf.DUMMYFUNCTION("GOOGLETRANSLATE(B43101,""en"",""pt"")"),"Pooler")</f>
        <v>Pooler</v>
      </c>
      <c r="B13829" s="9" t="s">
        <v>29719</v>
      </c>
      <c r="C13829" s="9" t="s">
        <v>27788</v>
      </c>
      <c r="D13829" s="9" t="s">
        <v>7988</v>
      </c>
      <c r="E13829" s="10">
        <v>4216948</v>
      </c>
      <c r="F13829" s="4" t="str">
        <f>IF(B13829=B13828,"",B13829)</f>
        <v/>
      </c>
    </row>
    <row r="13830" spans="1:6" ht="15.75" customHeight="1">
      <c r="A13830" s="15" t="s">
        <v>27602</v>
      </c>
      <c r="B13830" s="15" t="s">
        <v>27602</v>
      </c>
      <c r="C13830" s="15" t="s">
        <v>27234</v>
      </c>
      <c r="D13830" s="15" t="s">
        <v>27241</v>
      </c>
      <c r="E13830" s="2">
        <v>2640101</v>
      </c>
      <c r="F13830" s="4" t="str">
        <f>IF(B13830=B13829,"",B13830)</f>
        <v>Poole</v>
      </c>
    </row>
    <row r="13831" spans="1:6" ht="15.75" customHeight="1">
      <c r="A13831" s="8" t="str">
        <f ca="1">IFERROR(__xludf.DUMMYFUNCTION("GOOGLETRANSLATE(B30474,""en"",""pt"")"),"Poole")</f>
        <v>Poole</v>
      </c>
      <c r="B13831" s="9" t="s">
        <v>27602</v>
      </c>
      <c r="C13831" s="9" t="s">
        <v>27234</v>
      </c>
      <c r="D13831" s="9" t="s">
        <v>27241</v>
      </c>
      <c r="E13831" s="10">
        <v>2640101</v>
      </c>
      <c r="F13831" s="4" t="str">
        <f>IF(B13831=B13830,"",B13831)</f>
        <v/>
      </c>
    </row>
    <row r="13832" spans="1:6" ht="15.75" customHeight="1">
      <c r="A13832" s="16" t="s">
        <v>27601</v>
      </c>
      <c r="B13832" s="15" t="s">
        <v>27601</v>
      </c>
      <c r="C13832" s="16" t="s">
        <v>27234</v>
      </c>
      <c r="D13832" s="16" t="s">
        <v>27235</v>
      </c>
      <c r="E13832" s="2">
        <v>2640104</v>
      </c>
      <c r="F13832" s="4" t="str">
        <f>IF(B13832=B13831,"",B13832)</f>
        <v>Pontypridd</v>
      </c>
    </row>
    <row r="13833" spans="1:6" ht="15.75" customHeight="1">
      <c r="A13833" s="8" t="str">
        <f ca="1">IFERROR(__xludf.DUMMYFUNCTION("GOOGLETRANSLATE(B30475,""en"",""pt"")"),"Pontypridd")</f>
        <v>Pontypridd</v>
      </c>
      <c r="B13833" s="9" t="s">
        <v>27601</v>
      </c>
      <c r="C13833" s="9" t="s">
        <v>27234</v>
      </c>
      <c r="D13833" s="9" t="s">
        <v>27235</v>
      </c>
      <c r="E13833" s="10">
        <v>2640104</v>
      </c>
      <c r="F13833" s="4" t="str">
        <f>IF(B13833=B13832,"",B13833)</f>
        <v/>
      </c>
    </row>
    <row r="13834" spans="1:6" ht="15.75" customHeight="1">
      <c r="A13834" s="16" t="s">
        <v>27600</v>
      </c>
      <c r="B13834" s="15" t="s">
        <v>27600</v>
      </c>
      <c r="C13834" s="16" t="s">
        <v>27234</v>
      </c>
      <c r="D13834" s="16" t="s">
        <v>27235</v>
      </c>
      <c r="E13834" s="2">
        <v>2640106</v>
      </c>
      <c r="F13834" s="4" t="str">
        <f>IF(B13834=B13833,"",B13834)</f>
        <v>Pontypool</v>
      </c>
    </row>
    <row r="13835" spans="1:6" ht="15.75" customHeight="1">
      <c r="A13835" s="8" t="str">
        <f ca="1">IFERROR(__xludf.DUMMYFUNCTION("GOOGLETRANSLATE(B30476,""en"",""pt"")"),"Pontypool")</f>
        <v>Pontypool</v>
      </c>
      <c r="B13835" s="9" t="s">
        <v>27600</v>
      </c>
      <c r="C13835" s="9" t="s">
        <v>27234</v>
      </c>
      <c r="D13835" s="9" t="s">
        <v>27235</v>
      </c>
      <c r="E13835" s="10">
        <v>2640106</v>
      </c>
      <c r="F13835" s="4" t="str">
        <f>IF(B13835=B13834,"",B13835)</f>
        <v/>
      </c>
    </row>
    <row r="13836" spans="1:6" ht="15.75" customHeight="1">
      <c r="A13836" s="16" t="s">
        <v>7691</v>
      </c>
      <c r="B13836" s="15" t="s">
        <v>7692</v>
      </c>
      <c r="C13836" s="16" t="s">
        <v>7052</v>
      </c>
      <c r="D13836" s="16" t="s">
        <v>7058</v>
      </c>
      <c r="E13836" s="2">
        <v>2986140</v>
      </c>
      <c r="F13836" s="4" t="str">
        <f>IF(B13836=B13835,"",B13836)</f>
        <v>Pontoise</v>
      </c>
    </row>
    <row r="13837" spans="1:6" ht="15.75" customHeight="1">
      <c r="A13837" s="8" t="str">
        <f ca="1">IFERROR(__xludf.DUMMYFUNCTION("GOOGLETRANSLATE(B29842,""en"",""pt"")"),"PONTOISE")</f>
        <v>PONTOISE</v>
      </c>
      <c r="B13837" s="9" t="s">
        <v>7692</v>
      </c>
      <c r="C13837" s="9" t="s">
        <v>7052</v>
      </c>
      <c r="D13837" s="9" t="s">
        <v>32531</v>
      </c>
      <c r="E13837" s="10">
        <v>2986140</v>
      </c>
      <c r="F13837" s="4" t="str">
        <f>IF(B13837=B13836,"",B13837)</f>
        <v/>
      </c>
    </row>
    <row r="13838" spans="1:6" ht="15.75" customHeight="1">
      <c r="A13838" s="15" t="s">
        <v>7690</v>
      </c>
      <c r="B13838" s="15" t="s">
        <v>7690</v>
      </c>
      <c r="C13838" s="15" t="s">
        <v>7052</v>
      </c>
      <c r="D13838" s="15" t="s">
        <v>7190</v>
      </c>
      <c r="E13838" s="2">
        <v>2986160</v>
      </c>
      <c r="F13838" s="4" t="str">
        <f>IF(B13838=B13837,"",B13838)</f>
        <v>Pontivy</v>
      </c>
    </row>
    <row r="13839" spans="1:6" ht="15.75" customHeight="1">
      <c r="A13839" s="8" t="str">
        <f ca="1">IFERROR(__xludf.DUMMYFUNCTION("GOOGLETRANSLATE(B29843,""en"",""pt"")"),"Pontivy")</f>
        <v>Pontivy</v>
      </c>
      <c r="B13839" s="9" t="s">
        <v>7690</v>
      </c>
      <c r="C13839" s="9" t="s">
        <v>7052</v>
      </c>
      <c r="D13839" s="9" t="s">
        <v>7190</v>
      </c>
      <c r="E13839" s="10">
        <v>2986160</v>
      </c>
      <c r="F13839" s="4" t="str">
        <f>IF(B13839=B13838,"",B13839)</f>
        <v/>
      </c>
    </row>
    <row r="13840" spans="1:6" ht="15.75" customHeight="1">
      <c r="A13840" s="15" t="s">
        <v>21711</v>
      </c>
      <c r="B13840" s="15" t="s">
        <v>21711</v>
      </c>
      <c r="C13840" s="15" t="s">
        <v>21606</v>
      </c>
      <c r="D13840" s="15" t="s">
        <v>21616</v>
      </c>
      <c r="E13840" s="2">
        <v>2264526</v>
      </c>
      <c r="F13840" s="4" t="str">
        <f>IF(B13840=B13839,"",B13840)</f>
        <v>Pontinha</v>
      </c>
    </row>
    <row r="13841" spans="1:6" ht="15.75" customHeight="1">
      <c r="A13841" s="8" t="str">
        <f ca="1">IFERROR(__xludf.DUMMYFUNCTION("GOOGLETRANSLATE(B39583,""en"",""pt"")"),"Pontinha")</f>
        <v>Pontinha</v>
      </c>
      <c r="B13841" s="9" t="s">
        <v>21711</v>
      </c>
      <c r="C13841" s="9" t="s">
        <v>21606</v>
      </c>
      <c r="D13841" s="9" t="s">
        <v>21616</v>
      </c>
      <c r="E13841" s="10">
        <v>2264526</v>
      </c>
      <c r="F13841" s="4" t="str">
        <f>IF(B13841=B13840,"",B13841)</f>
        <v/>
      </c>
    </row>
    <row r="13842" spans="1:6" ht="15.75" customHeight="1">
      <c r="A13842" s="16" t="s">
        <v>14107</v>
      </c>
      <c r="B13842" s="15" t="s">
        <v>14107</v>
      </c>
      <c r="C13842" s="16" t="s">
        <v>13800</v>
      </c>
      <c r="D13842" s="16" t="s">
        <v>14028</v>
      </c>
      <c r="E13842" s="2">
        <v>1630789</v>
      </c>
      <c r="F13842" s="4" t="str">
        <f>IF(B13842=B13841,"",B13842)</f>
        <v>Pontianak</v>
      </c>
    </row>
    <row r="13843" spans="1:6" ht="15.75" customHeight="1">
      <c r="A13843" s="8" t="str">
        <f ca="1">IFERROR(__xludf.DUMMYFUNCTION("GOOGLETRANSLATE(B31485,""en"",""pt"")"),"Pontianak")</f>
        <v>Pontianak</v>
      </c>
      <c r="B13843" s="9" t="s">
        <v>14107</v>
      </c>
      <c r="C13843" s="9" t="s">
        <v>13800</v>
      </c>
      <c r="D13843" s="9" t="s">
        <v>14028</v>
      </c>
      <c r="E13843" s="10">
        <v>1630789</v>
      </c>
      <c r="F13843" s="4" t="str">
        <f>IF(B13843=B13842,"",B13843)</f>
        <v/>
      </c>
    </row>
    <row r="13844" spans="1:6" ht="15.75" customHeight="1">
      <c r="A13844" s="16" t="s">
        <v>17549</v>
      </c>
      <c r="B13844" s="15" t="s">
        <v>17549</v>
      </c>
      <c r="C13844" s="16" t="s">
        <v>17432</v>
      </c>
      <c r="D13844" s="16" t="s">
        <v>17442</v>
      </c>
      <c r="E13844" s="2">
        <v>1732711</v>
      </c>
      <c r="F13844" s="4" t="str">
        <f>IF(B13844=B13843,"",B13844)</f>
        <v>Pontian Kechil</v>
      </c>
    </row>
    <row r="13845" spans="1:6" ht="15.75" customHeight="1">
      <c r="A13845" s="8" t="str">
        <f ca="1">IFERROR(__xludf.DUMMYFUNCTION("GOOGLETRANSLATE(B37409,""en"",""pt"")"),"Pontian Kechil")</f>
        <v>Pontian Kechil</v>
      </c>
      <c r="B13845" s="9" t="s">
        <v>17549</v>
      </c>
      <c r="C13845" s="9" t="s">
        <v>17432</v>
      </c>
      <c r="D13845" s="9" t="s">
        <v>17442</v>
      </c>
      <c r="E13845" s="10">
        <v>1732711</v>
      </c>
      <c r="F13845" s="4" t="str">
        <f>IF(B13845=B13844,"",B13845)</f>
        <v/>
      </c>
    </row>
    <row r="13846" spans="1:6" ht="15.75" customHeight="1">
      <c r="A13846" s="15" t="s">
        <v>29718</v>
      </c>
      <c r="B13846" s="15" t="s">
        <v>29718</v>
      </c>
      <c r="C13846" s="15" t="s">
        <v>27788</v>
      </c>
      <c r="D13846" s="15" t="s">
        <v>27804</v>
      </c>
      <c r="E13846" s="2">
        <v>5006166</v>
      </c>
      <c r="F13846" s="4" t="str">
        <f>IF(B13846=B13845,"",B13846)</f>
        <v>Pontiac</v>
      </c>
    </row>
    <row r="13847" spans="1:6" ht="15.75" customHeight="1">
      <c r="A13847" s="8" t="str">
        <f ca="1">IFERROR(__xludf.DUMMYFUNCTION("GOOGLETRANSLATE(B44112,""en"",""pt"")"),"Pontiac")</f>
        <v>Pontiac</v>
      </c>
      <c r="B13847" s="9" t="s">
        <v>29718</v>
      </c>
      <c r="C13847" s="9" t="s">
        <v>27788</v>
      </c>
      <c r="D13847" s="9" t="s">
        <v>27804</v>
      </c>
      <c r="E13847" s="10">
        <v>5006166</v>
      </c>
      <c r="F13847" s="4" t="str">
        <f>IF(B13847=B13846,"",B13847)</f>
        <v/>
      </c>
    </row>
    <row r="13848" spans="1:6" ht="15.75" customHeight="1">
      <c r="A13848" s="16" t="s">
        <v>736</v>
      </c>
      <c r="B13848" s="15" t="s">
        <v>736</v>
      </c>
      <c r="C13848" s="16" t="s">
        <v>558</v>
      </c>
      <c r="D13848" s="16" t="s">
        <v>562</v>
      </c>
      <c r="E13848" s="2">
        <v>3429902</v>
      </c>
      <c r="F13848" s="4" t="str">
        <f>IF(B13848=B13847,"",B13848)</f>
        <v>Pontevedra</v>
      </c>
    </row>
    <row r="13849" spans="1:6" ht="15.75" customHeight="1">
      <c r="A13849" s="16" t="s">
        <v>736</v>
      </c>
      <c r="B13849" s="15" t="s">
        <v>736</v>
      </c>
      <c r="C13849" s="16" t="s">
        <v>24200</v>
      </c>
      <c r="D13849" s="16" t="s">
        <v>24201</v>
      </c>
      <c r="E13849" s="2">
        <v>3113209</v>
      </c>
      <c r="F13849" s="4" t="str">
        <f>IF(B13849=B13848,"",B13849)</f>
        <v/>
      </c>
    </row>
    <row r="13850" spans="1:6" ht="15.75" customHeight="1">
      <c r="A13850" s="8" t="str">
        <f ca="1">IFERROR(__xludf.DUMMYFUNCTION("GOOGLETRANSLATE(B23193,""en"",""pt"")"),"Pontevedra")</f>
        <v>Pontevedra</v>
      </c>
      <c r="B13850" s="11" t="s">
        <v>736</v>
      </c>
      <c r="C13850" s="11" t="s">
        <v>558</v>
      </c>
      <c r="D13850" s="11" t="s">
        <v>562</v>
      </c>
      <c r="E13850" s="10">
        <v>3429902</v>
      </c>
      <c r="F13850" s="4" t="str">
        <f>IF(B13850=B13849,"",B13850)</f>
        <v/>
      </c>
    </row>
    <row r="13851" spans="1:6" ht="15.75" customHeight="1">
      <c r="A13851" s="8" t="str">
        <f ca="1">IFERROR(__xludf.DUMMYFUNCTION("GOOGLETRANSLATE(B29325,""en"",""pt"")"),"Pontevedra")</f>
        <v>Pontevedra</v>
      </c>
      <c r="B13851" s="11" t="s">
        <v>736</v>
      </c>
      <c r="C13851" s="11" t="s">
        <v>24200</v>
      </c>
      <c r="D13851" s="11" t="s">
        <v>24201</v>
      </c>
      <c r="E13851" s="10">
        <v>3113209</v>
      </c>
      <c r="F13851" s="4" t="str">
        <f>IF(B13851=B13850,"",B13851)</f>
        <v/>
      </c>
    </row>
    <row r="13852" spans="1:6" ht="15.75" customHeight="1">
      <c r="A13852" s="16" t="s">
        <v>3153</v>
      </c>
      <c r="B13852" s="15" t="s">
        <v>3153</v>
      </c>
      <c r="C13852" s="16" t="s">
        <v>1905</v>
      </c>
      <c r="D13852" s="16" t="s">
        <v>2036</v>
      </c>
      <c r="E13852" s="2">
        <v>3453060</v>
      </c>
      <c r="F13852" s="4" t="str">
        <f>IF(B13852=B13851,"",B13852)</f>
        <v>Pontes e Lacerda</v>
      </c>
    </row>
    <row r="13853" spans="1:6" ht="15.75" customHeight="1">
      <c r="A13853" s="8" t="str">
        <f ca="1">IFERROR(__xludf.DUMMYFUNCTION("GOOGLETRANSLATE(B24681,""en"",""pt"")"),"Pontes e Lacerda")</f>
        <v>Pontes e Lacerda</v>
      </c>
      <c r="B13853" s="11" t="s">
        <v>3153</v>
      </c>
      <c r="C13853" s="11" t="s">
        <v>1905</v>
      </c>
      <c r="D13853" s="11" t="s">
        <v>2036</v>
      </c>
      <c r="E13853" s="10">
        <v>3453060</v>
      </c>
      <c r="F13853" s="4" t="str">
        <f>IF(B13853=B13852,"",B13853)</f>
        <v/>
      </c>
    </row>
    <row r="13854" spans="1:6" ht="15.75" customHeight="1">
      <c r="A13854" s="16" t="s">
        <v>27599</v>
      </c>
      <c r="B13854" s="15" t="s">
        <v>27599</v>
      </c>
      <c r="C13854" s="16" t="s">
        <v>27234</v>
      </c>
      <c r="D13854" s="16" t="s">
        <v>27241</v>
      </c>
      <c r="E13854" s="2">
        <v>2640132</v>
      </c>
      <c r="F13854" s="4" t="str">
        <f>IF(B13854=B13853,"",B13854)</f>
        <v>Pontefract</v>
      </c>
    </row>
    <row r="13855" spans="1:6" ht="15.75" customHeight="1">
      <c r="A13855" s="8" t="str">
        <f ca="1">IFERROR(__xludf.DUMMYFUNCTION("GOOGLETRANSLATE(B30477,""en"",""pt"")"),"Pontefract")</f>
        <v>Pontefract</v>
      </c>
      <c r="B13855" s="11" t="s">
        <v>27599</v>
      </c>
      <c r="C13855" s="11" t="s">
        <v>27234</v>
      </c>
      <c r="D13855" s="11" t="s">
        <v>27241</v>
      </c>
      <c r="E13855" s="10">
        <v>2640132</v>
      </c>
      <c r="F13855" s="4" t="str">
        <f>IF(B13855=B13854,"",B13855)</f>
        <v/>
      </c>
    </row>
    <row r="13856" spans="1:6" ht="15.75" customHeight="1">
      <c r="A13856" s="16" t="s">
        <v>15378</v>
      </c>
      <c r="B13856" s="15" t="s">
        <v>15379</v>
      </c>
      <c r="C13856" s="16" t="s">
        <v>14891</v>
      </c>
      <c r="D13856" s="16" t="s">
        <v>14943</v>
      </c>
      <c r="E13856" s="2">
        <v>3170272</v>
      </c>
      <c r="F13856" s="4" t="str">
        <f>IF(B13856=B13855,"",B13856)</f>
        <v>Pontedera</v>
      </c>
    </row>
    <row r="13857" spans="1:6" ht="15.75" customHeight="1">
      <c r="A13857" s="8" t="str">
        <f ca="1">IFERROR(__xludf.DUMMYFUNCTION("GOOGLETRANSLATE(B34762,""en"",""pt"")"),"PONDETERA")</f>
        <v>PONDETERA</v>
      </c>
      <c r="B13857" s="11" t="s">
        <v>15379</v>
      </c>
      <c r="C13857" s="11" t="s">
        <v>14891</v>
      </c>
      <c r="D13857" s="11" t="s">
        <v>14943</v>
      </c>
      <c r="E13857" s="10">
        <v>3170272</v>
      </c>
      <c r="F13857" s="4" t="str">
        <f>IF(B13857=B13856,"",B13857)</f>
        <v/>
      </c>
    </row>
    <row r="13858" spans="1:6" ht="15.75" customHeight="1">
      <c r="A13858" s="16" t="s">
        <v>24703</v>
      </c>
      <c r="B13858" s="15" t="s">
        <v>24703</v>
      </c>
      <c r="C13858" s="16" t="s">
        <v>24200</v>
      </c>
      <c r="D13858" s="16" t="s">
        <v>24201</v>
      </c>
      <c r="E13858" s="2">
        <v>3112761</v>
      </c>
      <c r="F13858" s="4" t="str">
        <f>IF(B13858=B13857,"",B13858)</f>
        <v>Ponteareas</v>
      </c>
    </row>
    <row r="13859" spans="1:6" ht="15.75" customHeight="1">
      <c r="A13859" s="8" t="str">
        <f ca="1">IFERROR(__xludf.DUMMYFUNCTION("GOOGLETRANSLATE(B29319,""en"",""pt"")"),"Ponteareas")</f>
        <v>Ponteareas</v>
      </c>
      <c r="B13859" s="11" t="s">
        <v>24703</v>
      </c>
      <c r="C13859" s="11" t="s">
        <v>24200</v>
      </c>
      <c r="D13859" s="11" t="s">
        <v>24201</v>
      </c>
      <c r="E13859" s="10">
        <v>3112761</v>
      </c>
      <c r="F13859" s="4" t="str">
        <f>IF(B13859=B13858,"",B13859)</f>
        <v/>
      </c>
    </row>
    <row r="13860" spans="1:6" ht="15.75" customHeight="1">
      <c r="A13860" s="16" t="s">
        <v>29716</v>
      </c>
      <c r="B13860" s="15" t="s">
        <v>29717</v>
      </c>
      <c r="C13860" s="16" t="s">
        <v>27788</v>
      </c>
      <c r="D13860" s="16" t="s">
        <v>5468</v>
      </c>
      <c r="E13860" s="2">
        <v>4169060</v>
      </c>
      <c r="F13860" s="4" t="str">
        <f>IF(B13860=B13859,"",B13860)</f>
        <v>Ponte Vedra Beach</v>
      </c>
    </row>
    <row r="13861" spans="1:6" ht="15.75" customHeight="1">
      <c r="A13861" s="8" t="str">
        <f ca="1">IFERROR(__xludf.DUMMYFUNCTION("GOOGLETRANSLATE(B42995,""en"",""pt"")"),"Praia de Ponte Vedra")</f>
        <v>Praia de Ponte Vedra</v>
      </c>
      <c r="B13861" s="11" t="s">
        <v>29717</v>
      </c>
      <c r="C13861" s="11" t="s">
        <v>27788</v>
      </c>
      <c r="D13861" s="11" t="s">
        <v>5468</v>
      </c>
      <c r="E13861" s="10">
        <v>4169060</v>
      </c>
      <c r="F13861" s="4" t="str">
        <f>IF(B13861=B13860,"",B13861)</f>
        <v/>
      </c>
    </row>
    <row r="13862" spans="1:6" ht="15.75" customHeight="1">
      <c r="A13862" s="16" t="s">
        <v>3152</v>
      </c>
      <c r="B13862" s="15" t="s">
        <v>3152</v>
      </c>
      <c r="C13862" s="16" t="s">
        <v>1905</v>
      </c>
      <c r="D13862" s="16" t="s">
        <v>1917</v>
      </c>
      <c r="E13862" s="2">
        <v>3453078</v>
      </c>
      <c r="F13862" s="4" t="str">
        <f>IF(B13862=B13861,"",B13862)</f>
        <v>Ponte Nova</v>
      </c>
    </row>
    <row r="13863" spans="1:6" ht="15.75" customHeight="1">
      <c r="A13863" s="8" t="str">
        <f ca="1">IFERROR(__xludf.DUMMYFUNCTION("GOOGLETRANSLATE(B24682,""en"",""pt"")"),"Ponte Nova")</f>
        <v>Ponte Nova</v>
      </c>
      <c r="B13863" s="11" t="s">
        <v>3152</v>
      </c>
      <c r="C13863" s="11" t="s">
        <v>1905</v>
      </c>
      <c r="D13863" s="11" t="s">
        <v>1917</v>
      </c>
      <c r="E13863" s="10">
        <v>3453078</v>
      </c>
      <c r="F13863" s="4" t="str">
        <f>IF(B13863=B13862,"",B13863)</f>
        <v/>
      </c>
    </row>
    <row r="13864" spans="1:6" ht="15.75" customHeight="1">
      <c r="A13864" s="16" t="s">
        <v>21710</v>
      </c>
      <c r="B13864" s="15" t="s">
        <v>21710</v>
      </c>
      <c r="C13864" s="16" t="s">
        <v>21606</v>
      </c>
      <c r="D13864" s="16" t="s">
        <v>21688</v>
      </c>
      <c r="E13864" s="2">
        <v>2736041</v>
      </c>
      <c r="F13864" s="4" t="str">
        <f>IF(B13864=B13863,"",B13864)</f>
        <v>Ponte de Lima</v>
      </c>
    </row>
    <row r="13865" spans="1:6" ht="15.75" customHeight="1">
      <c r="A13865" s="8" t="str">
        <f ca="1">IFERROR(__xludf.DUMMYFUNCTION("GOOGLETRANSLATE(B39646,""en"",""pt"")"),"Ponte de Lima")</f>
        <v>Ponte de Lima</v>
      </c>
      <c r="B13865" s="11" t="s">
        <v>21710</v>
      </c>
      <c r="C13865" s="11" t="s">
        <v>21606</v>
      </c>
      <c r="D13865" s="11" t="s">
        <v>21688</v>
      </c>
      <c r="E13865" s="10">
        <v>2736041</v>
      </c>
      <c r="F13865" s="4" t="str">
        <f>IF(B13865=B13864,"",B13865)</f>
        <v/>
      </c>
    </row>
    <row r="13866" spans="1:6" ht="15.75" customHeight="1">
      <c r="A13866" s="16" t="s">
        <v>7688</v>
      </c>
      <c r="B13866" s="15" t="s">
        <v>7689</v>
      </c>
      <c r="C13866" s="16" t="s">
        <v>7052</v>
      </c>
      <c r="D13866" s="16" t="s">
        <v>7058</v>
      </c>
      <c r="E13866" s="2">
        <v>3024195</v>
      </c>
      <c r="F13866" s="4" t="str">
        <f>IF(B13866=B13865,"",B13866)</f>
        <v>Pontault-Combault</v>
      </c>
    </row>
    <row r="13867" spans="1:6" ht="15.75" customHeight="1">
      <c r="A13867" s="8" t="str">
        <f ca="1">IFERROR(__xludf.DUMMYFUNCTION("GOOGLETRANSLATE(B30135,""en"",""pt"")"),"PONTAULT-COMBAULT")</f>
        <v>PONTAULT-COMBAULT</v>
      </c>
      <c r="B13867" s="11" t="s">
        <v>7689</v>
      </c>
      <c r="C13867" s="11" t="s">
        <v>7052</v>
      </c>
      <c r="D13867" s="11" t="s">
        <v>32531</v>
      </c>
      <c r="E13867" s="10">
        <v>3024195</v>
      </c>
      <c r="F13867" s="4" t="str">
        <f>IF(B13867=B13866,"",B13867)</f>
        <v/>
      </c>
    </row>
    <row r="13868" spans="1:6" ht="15.75" customHeight="1">
      <c r="A13868" s="16" t="s">
        <v>7687</v>
      </c>
      <c r="B13868" s="15" t="s">
        <v>7687</v>
      </c>
      <c r="C13868" s="16" t="s">
        <v>7052</v>
      </c>
      <c r="D13868" s="16" t="s">
        <v>7128</v>
      </c>
      <c r="E13868" s="2">
        <v>2986302</v>
      </c>
      <c r="F13868" s="4" t="str">
        <f>IF(B13868=B13867,"",B13868)</f>
        <v>Pontarlier</v>
      </c>
    </row>
    <row r="13869" spans="1:6" ht="15.75" customHeight="1">
      <c r="A13869" s="8" t="str">
        <f ca="1">IFERROR(__xludf.DUMMYFUNCTION("GOOGLETRANSLATE(B29844,""en"",""pt"")"),"Pontarlier")</f>
        <v>Pontarlier</v>
      </c>
      <c r="B13869" s="11" t="s">
        <v>7687</v>
      </c>
      <c r="C13869" s="11" t="s">
        <v>7052</v>
      </c>
      <c r="D13869" s="11" t="s">
        <v>32540</v>
      </c>
      <c r="E13869" s="10">
        <v>2986302</v>
      </c>
      <c r="F13869" s="4" t="str">
        <f>IF(B13869=B13868,"",B13869)</f>
        <v/>
      </c>
    </row>
    <row r="13870" spans="1:6" ht="15.75" customHeight="1">
      <c r="A13870" s="8" t="str">
        <f ca="1">IFERROR(__xludf.DUMMYFUNCTION("GOOGLETRANSLATE(B29845,""en"",""pt"")"),"Pont-à-Mousson")</f>
        <v>Pont-à-Mousson</v>
      </c>
      <c r="B13870" s="9" t="s">
        <v>32568</v>
      </c>
      <c r="C13870" s="9" t="s">
        <v>7052</v>
      </c>
      <c r="D13870" s="9" t="s">
        <v>7061</v>
      </c>
      <c r="E13870" s="10">
        <v>2986306</v>
      </c>
      <c r="F13870" s="4" t="str">
        <f>IF(B13870=B13869,"",B13870)</f>
        <v>Pont-à-Mousson</v>
      </c>
    </row>
    <row r="13871" spans="1:6" ht="15.75" customHeight="1">
      <c r="A13871" s="15" t="s">
        <v>3151</v>
      </c>
      <c r="B13871" s="15" t="s">
        <v>3151</v>
      </c>
      <c r="C13871" s="15" t="s">
        <v>1905</v>
      </c>
      <c r="D13871" s="15" t="s">
        <v>1914</v>
      </c>
      <c r="E13871" s="2">
        <v>3453171</v>
      </c>
      <c r="F13871" s="4" t="str">
        <f>IF(B13871=B13870,"",B13871)</f>
        <v>Pontal</v>
      </c>
    </row>
    <row r="13872" spans="1:6" ht="15.75" customHeight="1">
      <c r="A13872" s="8" t="str">
        <f ca="1">IFERROR(__xludf.DUMMYFUNCTION("GOOGLETRANSLATE(B24684,""en"",""pt"")"),"Pontal")</f>
        <v>Pontal</v>
      </c>
      <c r="B13872" s="9" t="s">
        <v>3151</v>
      </c>
      <c r="C13872" s="9" t="s">
        <v>1905</v>
      </c>
      <c r="D13872" s="9" t="s">
        <v>3354</v>
      </c>
      <c r="E13872" s="10">
        <v>3453171</v>
      </c>
      <c r="F13872" s="4" t="str">
        <f>IF(B13872=B13871,"",B13872)</f>
        <v/>
      </c>
    </row>
    <row r="13873" spans="1:6" ht="15.75" customHeight="1">
      <c r="A13873" s="8" t="str">
        <f ca="1">IFERROR(__xludf.DUMMYFUNCTION("GOOGLETRANSLATE(B23849,""en"",""pt"")"),"Pont-à-células")</f>
        <v>Pont-à-células</v>
      </c>
      <c r="B13873" s="11" t="s">
        <v>31308</v>
      </c>
      <c r="C13873" s="11" t="s">
        <v>1512</v>
      </c>
      <c r="D13873" s="11" t="s">
        <v>1518</v>
      </c>
      <c r="E13873" s="10">
        <v>2788765</v>
      </c>
      <c r="F13873" s="4" t="str">
        <f>IF(B13873=B13872,"",B13873)</f>
        <v>Pont-à-Celles</v>
      </c>
    </row>
    <row r="13874" spans="1:6" ht="15.75" customHeight="1">
      <c r="A13874" s="16" t="s">
        <v>7685</v>
      </c>
      <c r="B13874" s="15" t="s">
        <v>7686</v>
      </c>
      <c r="C13874" s="16" t="s">
        <v>7052</v>
      </c>
      <c r="D13874" s="16" t="s">
        <v>7061</v>
      </c>
      <c r="E13874" s="2">
        <v>2986306</v>
      </c>
      <c r="F13874" s="4" t="str">
        <f>IF(B13874=B13873,"",B13874)</f>
        <v>Pont-Ã -Mousson</v>
      </c>
    </row>
    <row r="13875" spans="1:6" ht="15.75" customHeight="1">
      <c r="A13875" s="16" t="s">
        <v>1663</v>
      </c>
      <c r="B13875" s="15" t="s">
        <v>1664</v>
      </c>
      <c r="C13875" s="16" t="s">
        <v>1512</v>
      </c>
      <c r="D13875" s="16" t="s">
        <v>1518</v>
      </c>
      <c r="E13875" s="2">
        <v>2788765</v>
      </c>
      <c r="F13875" s="4" t="str">
        <f>IF(B13875=B13874,"",B13875)</f>
        <v>Pont-Ã -Celles</v>
      </c>
    </row>
    <row r="13876" spans="1:6" ht="15.75" customHeight="1">
      <c r="A13876" s="16" t="s">
        <v>3149</v>
      </c>
      <c r="B13876" s="15" t="s">
        <v>3150</v>
      </c>
      <c r="C13876" s="16" t="s">
        <v>1905</v>
      </c>
      <c r="D13876" s="16" t="s">
        <v>1973</v>
      </c>
      <c r="E13876" s="2">
        <v>3453150</v>
      </c>
      <c r="F13876" s="4" t="str">
        <f>IF(B13876=B13875,"",B13876)</f>
        <v>Ponta PorÃ£</v>
      </c>
    </row>
    <row r="13877" spans="1:6" ht="15.75" customHeight="1">
      <c r="A13877" s="8" t="str">
        <f ca="1">IFERROR(__xludf.DUMMYFUNCTION("GOOGLETRANSLATE(B24683,""en"",""pt"")"),"Ponta Porã")</f>
        <v>Ponta Porã</v>
      </c>
      <c r="B13877" s="11" t="s">
        <v>3149</v>
      </c>
      <c r="C13877" s="11" t="s">
        <v>1905</v>
      </c>
      <c r="D13877" s="11" t="s">
        <v>1973</v>
      </c>
      <c r="E13877" s="10">
        <v>3453150</v>
      </c>
      <c r="F13877" s="4" t="str">
        <f>IF(B13877=B13876,"",B13877)</f>
        <v>Ponta Porã</v>
      </c>
    </row>
    <row r="13878" spans="1:6" ht="15.75" customHeight="1">
      <c r="A13878" s="16" t="s">
        <v>3147</v>
      </c>
      <c r="B13878" s="15" t="s">
        <v>3148</v>
      </c>
      <c r="C13878" s="16" t="s">
        <v>1905</v>
      </c>
      <c r="D13878" s="16" t="s">
        <v>728</v>
      </c>
      <c r="E13878" s="2">
        <v>3453186</v>
      </c>
      <c r="F13878" s="4" t="str">
        <f>IF(B13878=B13877,"",B13878)</f>
        <v>Ponta Grossa</v>
      </c>
    </row>
    <row r="13879" spans="1:6" ht="15.75" customHeight="1">
      <c r="A13879" s="8" t="str">
        <f ca="1">IFERROR(__xludf.DUMMYFUNCTION("GOOGLETRANSLATE(B24685,""en"",""pt"")"),"PONTA GROSSA")</f>
        <v>PONTA GROSSA</v>
      </c>
      <c r="B13879" s="11" t="s">
        <v>3148</v>
      </c>
      <c r="C13879" s="11" t="s">
        <v>1905</v>
      </c>
      <c r="D13879" s="11" t="s">
        <v>727</v>
      </c>
      <c r="E13879" s="10">
        <v>3453186</v>
      </c>
      <c r="F13879" s="4" t="str">
        <f>IF(B13879=B13878,"",B13879)</f>
        <v/>
      </c>
    </row>
    <row r="13880" spans="1:6" ht="15.75" customHeight="1">
      <c r="A13880" s="16" t="s">
        <v>21708</v>
      </c>
      <c r="B13880" s="15" t="s">
        <v>21708</v>
      </c>
      <c r="C13880" s="16" t="s">
        <v>21606</v>
      </c>
      <c r="D13880" s="16" t="s">
        <v>21709</v>
      </c>
      <c r="E13880" s="2">
        <v>3372783</v>
      </c>
      <c r="F13880" s="4" t="str">
        <f>IF(B13880=B13879,"",B13880)</f>
        <v>Ponta Delgada</v>
      </c>
    </row>
    <row r="13881" spans="1:6" ht="15.75" customHeight="1">
      <c r="A13881" s="8" t="str">
        <f ca="1">IFERROR(__xludf.DUMMYFUNCTION("GOOGLETRANSLATE(B39676,""en"",""pt"")"),"Ponta Delgada")</f>
        <v>Ponta Delgada</v>
      </c>
      <c r="B13881" s="11" t="s">
        <v>21708</v>
      </c>
      <c r="C13881" s="11" t="s">
        <v>21606</v>
      </c>
      <c r="D13881" s="11" t="s">
        <v>21709</v>
      </c>
      <c r="E13881" s="10">
        <v>3372783</v>
      </c>
      <c r="F13881" s="4" t="str">
        <f>IF(B13881=B13880,"",B13881)</f>
        <v/>
      </c>
    </row>
    <row r="13882" spans="1:6" ht="15.75" customHeight="1">
      <c r="A13882" s="15" t="s">
        <v>14106</v>
      </c>
      <c r="B13882" s="15" t="s">
        <v>14106</v>
      </c>
      <c r="C13882" s="15" t="s">
        <v>13800</v>
      </c>
      <c r="D13882" s="15" t="s">
        <v>13816</v>
      </c>
      <c r="E13882" s="2">
        <v>1630798</v>
      </c>
      <c r="F13882" s="4" t="str">
        <f>IF(B13882=B13881,"",B13882)</f>
        <v>Ponorogo</v>
      </c>
    </row>
    <row r="13883" spans="1:6" ht="15.75" customHeight="1">
      <c r="A13883" s="8" t="str">
        <f ca="1">IFERROR(__xludf.DUMMYFUNCTION("GOOGLETRANSLATE(B31486,""en"",""pt"")"),"Ponorogo")</f>
        <v>Ponorogo</v>
      </c>
      <c r="B13883" s="11" t="s">
        <v>14106</v>
      </c>
      <c r="C13883" s="11" t="s">
        <v>13800</v>
      </c>
      <c r="D13883" s="11" t="s">
        <v>13816</v>
      </c>
      <c r="E13883" s="10">
        <v>1630798</v>
      </c>
      <c r="F13883" s="4" t="str">
        <f>IF(B13883=B13882,"",B13883)</f>
        <v/>
      </c>
    </row>
    <row r="13884" spans="1:6" ht="15.75" customHeight="1">
      <c r="A13884" s="8" t="str">
        <f ca="1">IFERROR(__xludf.DUMMYFUNCTION("GOOGLETRANSLATE(B32437,""en"",""pt"")"),"Ponnūru")</f>
        <v>Ponnūru</v>
      </c>
      <c r="B13884" s="9" t="s">
        <v>33218</v>
      </c>
      <c r="C13884" s="9" t="s">
        <v>10178</v>
      </c>
      <c r="D13884" s="9" t="s">
        <v>10190</v>
      </c>
      <c r="E13884" s="10">
        <v>1259408</v>
      </c>
      <c r="F13884" s="4" t="str">
        <f>IF(B13884=B13883,"",B13884)</f>
        <v>Ponnūru</v>
      </c>
    </row>
    <row r="13885" spans="1:6" ht="15.75" customHeight="1">
      <c r="A13885" s="15" t="s">
        <v>12918</v>
      </c>
      <c r="B13885" s="15" t="s">
        <v>12918</v>
      </c>
      <c r="C13885" s="15" t="s">
        <v>10178</v>
      </c>
      <c r="D13885" s="15" t="s">
        <v>10190</v>
      </c>
      <c r="E13885" s="2">
        <v>7302844</v>
      </c>
      <c r="F13885" s="4" t="str">
        <f>IF(B13885=B13884,"",B13885)</f>
        <v>Ponnur</v>
      </c>
    </row>
    <row r="13886" spans="1:6" ht="15.75" customHeight="1">
      <c r="A13886" s="8" t="str">
        <f ca="1">IFERROR(__xludf.DUMMYFUNCTION("GOOGLETRANSLATE(B34240,""en"",""pt"")"),"Ponnur")</f>
        <v>Ponnur</v>
      </c>
      <c r="B13886" s="9" t="s">
        <v>12918</v>
      </c>
      <c r="C13886" s="9" t="s">
        <v>10178</v>
      </c>
      <c r="D13886" s="9" t="s">
        <v>10190</v>
      </c>
      <c r="E13886" s="10">
        <v>7302844</v>
      </c>
      <c r="F13886" s="4" t="str">
        <f>IF(B13886=B13885,"",B13886)</f>
        <v/>
      </c>
    </row>
    <row r="13887" spans="1:6" ht="15.75" customHeight="1">
      <c r="A13887" s="15" t="s">
        <v>12917</v>
      </c>
      <c r="B13887" s="15" t="s">
        <v>12917</v>
      </c>
      <c r="C13887" s="15" t="s">
        <v>10178</v>
      </c>
      <c r="D13887" s="15" t="s">
        <v>10196</v>
      </c>
      <c r="E13887" s="2">
        <v>1259409</v>
      </c>
      <c r="F13887" s="4" t="str">
        <f>IF(B13887=B13886,"",B13887)</f>
        <v>Ponneri</v>
      </c>
    </row>
    <row r="13888" spans="1:6" ht="15.75" customHeight="1">
      <c r="A13888" s="8" t="str">
        <f ca="1">IFERROR(__xludf.DUMMYFUNCTION("GOOGLETRANSLATE(B32438,""en"",""pt"")"),"Ponneri")</f>
        <v>Ponneri</v>
      </c>
      <c r="B13888" s="9" t="s">
        <v>12917</v>
      </c>
      <c r="C13888" s="9" t="s">
        <v>10178</v>
      </c>
      <c r="D13888" s="9" t="s">
        <v>10196</v>
      </c>
      <c r="E13888" s="10">
        <v>1259409</v>
      </c>
      <c r="F13888" s="4" t="str">
        <f>IF(B13888=B13887,"",B13888)</f>
        <v/>
      </c>
    </row>
    <row r="13889" spans="1:6" ht="15.75" customHeight="1">
      <c r="A13889" s="8" t="str">
        <f ca="1">IFERROR(__xludf.DUMMYFUNCTION("GOOGLETRANSLATE(B32439,""en"",""pt"")"),"Ponnāni")</f>
        <v>Ponnāni</v>
      </c>
      <c r="B13889" s="11" t="s">
        <v>33219</v>
      </c>
      <c r="C13889" s="11" t="s">
        <v>10178</v>
      </c>
      <c r="D13889" s="11" t="s">
        <v>10246</v>
      </c>
      <c r="E13889" s="10">
        <v>1259411</v>
      </c>
      <c r="F13889" s="4" t="str">
        <f>IF(B13889=B13888,"",B13889)</f>
        <v>Ponnāni</v>
      </c>
    </row>
    <row r="13890" spans="1:6" ht="15.75" customHeight="1">
      <c r="A13890" s="15" t="s">
        <v>12915</v>
      </c>
      <c r="B13890" s="15" t="s">
        <v>12916</v>
      </c>
      <c r="C13890" s="15" t="s">
        <v>10178</v>
      </c>
      <c r="D13890" s="15" t="s">
        <v>10246</v>
      </c>
      <c r="E13890" s="2">
        <v>1259411</v>
      </c>
      <c r="F13890" s="4" t="str">
        <f>IF(B13890=B13889,"",B13890)</f>
        <v>PonnÄni</v>
      </c>
    </row>
    <row r="13891" spans="1:6" ht="15.75" customHeight="1">
      <c r="A13891" s="16" t="s">
        <v>12913</v>
      </c>
      <c r="B13891" s="15" t="s">
        <v>12914</v>
      </c>
      <c r="C13891" s="16" t="s">
        <v>10178</v>
      </c>
      <c r="D13891" s="16" t="s">
        <v>10190</v>
      </c>
      <c r="E13891" s="2">
        <v>1259408</v>
      </c>
      <c r="F13891" s="4" t="str">
        <f>IF(B13891=B13890,"",B13891)</f>
        <v>PonnÅ«ru</v>
      </c>
    </row>
    <row r="13892" spans="1:6" ht="15.75" customHeight="1">
      <c r="A13892" s="16" t="s">
        <v>24702</v>
      </c>
      <c r="B13892" s="15" t="s">
        <v>24702</v>
      </c>
      <c r="C13892" s="16" t="s">
        <v>24200</v>
      </c>
      <c r="D13892" s="16" t="s">
        <v>24210</v>
      </c>
      <c r="E13892" s="2">
        <v>3113236</v>
      </c>
      <c r="F13892" s="4" t="str">
        <f>IF(B13892=B13891,"",B13892)</f>
        <v>Ponferrada</v>
      </c>
    </row>
    <row r="13893" spans="1:6" ht="15.75" customHeight="1">
      <c r="A13893" s="8" t="str">
        <f ca="1">IFERROR(__xludf.DUMMYFUNCTION("GOOGLETRANSLATE(B29326,""en"",""pt"")"),"Ponferrada")</f>
        <v>Ponferrada</v>
      </c>
      <c r="B13893" s="11" t="s">
        <v>24702</v>
      </c>
      <c r="C13893" s="11" t="s">
        <v>24200</v>
      </c>
      <c r="D13893" s="11" t="s">
        <v>32412</v>
      </c>
      <c r="E13893" s="10">
        <v>3113236</v>
      </c>
      <c r="F13893" s="4" t="str">
        <f>IF(B13893=B13892,"",B13893)</f>
        <v/>
      </c>
    </row>
    <row r="13894" spans="1:6" ht="15.75" customHeight="1">
      <c r="A13894" s="15" t="s">
        <v>12912</v>
      </c>
      <c r="B13894" s="15" t="s">
        <v>12912</v>
      </c>
      <c r="C13894" s="15" t="s">
        <v>10178</v>
      </c>
      <c r="D13894" s="15" t="s">
        <v>10856</v>
      </c>
      <c r="E13894" s="2">
        <v>1259429</v>
      </c>
      <c r="F13894" s="4" t="str">
        <f>IF(B13894=B13893,"",B13894)</f>
        <v>Ponda</v>
      </c>
    </row>
    <row r="13895" spans="1:6" ht="15.75" customHeight="1">
      <c r="A13895" s="8" t="str">
        <f ca="1">IFERROR(__xludf.DUMMYFUNCTION("GOOGLETRANSLATE(B32441,""en"",""pt"")"),"Ponda")</f>
        <v>Ponda</v>
      </c>
      <c r="B13895" s="9" t="s">
        <v>12912</v>
      </c>
      <c r="C13895" s="9" t="s">
        <v>10178</v>
      </c>
      <c r="D13895" s="9" t="s">
        <v>10856</v>
      </c>
      <c r="E13895" s="10">
        <v>1259429</v>
      </c>
      <c r="F13895" s="4" t="str">
        <f>IF(B13895=B13894,"",B13895)</f>
        <v/>
      </c>
    </row>
    <row r="13896" spans="1:6" ht="15.75" customHeight="1">
      <c r="A13896" s="15" t="s">
        <v>21772</v>
      </c>
      <c r="B13896" s="15" t="s">
        <v>21772</v>
      </c>
      <c r="C13896" s="15" t="s">
        <v>747</v>
      </c>
      <c r="D13896" s="15" t="s">
        <v>21772</v>
      </c>
      <c r="E13896" s="2">
        <v>4566880</v>
      </c>
      <c r="F13896" s="4" t="str">
        <f>IF(B13896=B13895,"",B13896)</f>
        <v>Ponce</v>
      </c>
    </row>
    <row r="13897" spans="1:6" ht="15.75" customHeight="1">
      <c r="A13897" s="8" t="str">
        <f ca="1">IFERROR(__xludf.DUMMYFUNCTION("GOOGLETRANSLATE(B39520,""en"",""pt"")"),"Ponce")</f>
        <v>Ponce</v>
      </c>
      <c r="B13897" s="11" t="s">
        <v>21772</v>
      </c>
      <c r="C13897" s="11" t="s">
        <v>747</v>
      </c>
      <c r="D13897" s="11" t="s">
        <v>21772</v>
      </c>
      <c r="E13897" s="10">
        <v>4566880</v>
      </c>
      <c r="F13897" s="4" t="str">
        <f>IF(B13897=B13896,"",B13897)</f>
        <v/>
      </c>
    </row>
    <row r="13898" spans="1:6" ht="15.75" customHeight="1">
      <c r="A13898" s="16" t="s">
        <v>29714</v>
      </c>
      <c r="B13898" s="15" t="s">
        <v>29715</v>
      </c>
      <c r="C13898" s="16" t="s">
        <v>27788</v>
      </c>
      <c r="D13898" s="16" t="s">
        <v>27797</v>
      </c>
      <c r="E13898" s="2">
        <v>4548267</v>
      </c>
      <c r="F13898" s="4" t="str">
        <f>IF(B13898=B13897,"",B13898)</f>
        <v>Ponca City</v>
      </c>
    </row>
    <row r="13899" spans="1:6" ht="15.75" customHeight="1">
      <c r="A13899" s="8" t="str">
        <f ca="1">IFERROR(__xludf.DUMMYFUNCTION("GOOGLETRANSLATE(B43562,""en"",""pt"")"),"Cidade de Ponca")</f>
        <v>Cidade de Ponca</v>
      </c>
      <c r="B13899" s="9" t="s">
        <v>29715</v>
      </c>
      <c r="C13899" s="9" t="s">
        <v>27788</v>
      </c>
      <c r="D13899" s="9" t="s">
        <v>27797</v>
      </c>
      <c r="E13899" s="10">
        <v>4548267</v>
      </c>
      <c r="F13899" s="4" t="str">
        <f>IF(B13899=B13898,"",B13899)</f>
        <v/>
      </c>
    </row>
    <row r="13900" spans="1:6" ht="15.75" customHeight="1">
      <c r="A13900" s="8" t="str">
        <f ca="1">IFERROR(__xludf.DUMMYFUNCTION("GOOGLETRANSLATE(B24686,""en"",""pt"")"),"Pompéu")</f>
        <v>Pompéu</v>
      </c>
      <c r="B13900" s="9" t="s">
        <v>31545</v>
      </c>
      <c r="C13900" s="9" t="s">
        <v>1905</v>
      </c>
      <c r="D13900" s="9" t="s">
        <v>1917</v>
      </c>
      <c r="E13900" s="10">
        <v>3453240</v>
      </c>
      <c r="F13900" s="4" t="str">
        <f>IF(B13900=B13899,"",B13900)</f>
        <v>Pompéu</v>
      </c>
    </row>
    <row r="13901" spans="1:6" ht="15.75" customHeight="1">
      <c r="A13901" s="8" t="str">
        <f ca="1">IFERROR(__xludf.DUMMYFUNCTION("GOOGLETRANSLATE(B24687,""en"",""pt"")"),"Pompéia")</f>
        <v>Pompéia</v>
      </c>
      <c r="B13901" s="11" t="s">
        <v>15376</v>
      </c>
      <c r="C13901" s="11" t="s">
        <v>1905</v>
      </c>
      <c r="D13901" s="11" t="s">
        <v>3354</v>
      </c>
      <c r="E13901" s="10">
        <v>3453242</v>
      </c>
      <c r="F13901" s="4" t="str">
        <f>IF(B13901=B13900,"",B13901)</f>
        <v>Pompéia</v>
      </c>
    </row>
    <row r="13902" spans="1:6" ht="15.75" customHeight="1">
      <c r="A13902" s="15" t="s">
        <v>15376</v>
      </c>
      <c r="B13902" s="15" t="s">
        <v>15377</v>
      </c>
      <c r="C13902" s="15" t="s">
        <v>14891</v>
      </c>
      <c r="D13902" s="15" t="s">
        <v>14896</v>
      </c>
      <c r="E13902" s="2">
        <v>3170335</v>
      </c>
      <c r="F13902" s="4" t="str">
        <f>IF(B13902=B13901,"",B13902)</f>
        <v>Pompei</v>
      </c>
    </row>
    <row r="13903" spans="1:6" ht="15.75" customHeight="1">
      <c r="A13903" s="8" t="str">
        <f ca="1">IFERROR(__xludf.DUMMYFUNCTION("GOOGLETRANSLATE(B34763,""en"",""pt"")"),"Pompéia")</f>
        <v>Pompéia</v>
      </c>
      <c r="B13903" s="11" t="s">
        <v>15377</v>
      </c>
      <c r="C13903" s="11" t="s">
        <v>14891</v>
      </c>
      <c r="D13903" s="11" t="s">
        <v>14896</v>
      </c>
      <c r="E13903" s="10">
        <v>3170335</v>
      </c>
      <c r="F13903" s="4" t="str">
        <f>IF(B13903=B13902,"",B13903)</f>
        <v/>
      </c>
    </row>
    <row r="13904" spans="1:6" ht="15.75" customHeight="1">
      <c r="A13904" s="16" t="s">
        <v>29712</v>
      </c>
      <c r="B13904" s="15" t="s">
        <v>29713</v>
      </c>
      <c r="C13904" s="16" t="s">
        <v>27788</v>
      </c>
      <c r="D13904" s="16" t="s">
        <v>5468</v>
      </c>
      <c r="E13904" s="2">
        <v>4169014</v>
      </c>
      <c r="F13904" s="4" t="str">
        <f>IF(B13904=B13903,"",B13904)</f>
        <v>Pompano Beach</v>
      </c>
    </row>
    <row r="13905" spans="1:6" ht="15.75" customHeight="1">
      <c r="A13905" s="8" t="str">
        <f ca="1">IFERROR(__xludf.DUMMYFUNCTION("GOOGLETRANSLATE(B42994,""en"",""pt"")"),"Praia de Pompano")</f>
        <v>Praia de Pompano</v>
      </c>
      <c r="B13905" s="11" t="s">
        <v>29713</v>
      </c>
      <c r="C13905" s="11" t="s">
        <v>27788</v>
      </c>
      <c r="D13905" s="11" t="s">
        <v>5468</v>
      </c>
      <c r="E13905" s="10">
        <v>4169014</v>
      </c>
      <c r="F13905" s="4" t="str">
        <f>IF(B13905=B13904,"",B13905)</f>
        <v/>
      </c>
    </row>
    <row r="13906" spans="1:6" ht="15.75" customHeight="1">
      <c r="A13906" s="16" t="s">
        <v>3145</v>
      </c>
      <c r="B13906" s="15" t="s">
        <v>3146</v>
      </c>
      <c r="C13906" s="16" t="s">
        <v>1905</v>
      </c>
      <c r="D13906" s="16" t="s">
        <v>1917</v>
      </c>
      <c r="E13906" s="2">
        <v>3453240</v>
      </c>
      <c r="F13906" s="4" t="str">
        <f>IF(B13906=B13905,"",B13906)</f>
        <v>PompÃ©u</v>
      </c>
    </row>
    <row r="13907" spans="1:6" ht="15.75" customHeight="1">
      <c r="A13907" s="16" t="s">
        <v>3143</v>
      </c>
      <c r="B13907" s="15" t="s">
        <v>3144</v>
      </c>
      <c r="C13907" s="16" t="s">
        <v>1905</v>
      </c>
      <c r="D13907" s="16" t="s">
        <v>1914</v>
      </c>
      <c r="E13907" s="2">
        <v>3453242</v>
      </c>
      <c r="F13907" s="4" t="str">
        <f>IF(B13907=B13906,"",B13907)</f>
        <v>PompÃ©ia</v>
      </c>
    </row>
    <row r="13908" spans="1:6" ht="15.75" customHeight="1">
      <c r="A13908" s="15" t="s">
        <v>29711</v>
      </c>
      <c r="B13908" s="15" t="s">
        <v>29711</v>
      </c>
      <c r="C13908" s="15" t="s">
        <v>27788</v>
      </c>
      <c r="D13908" s="15" t="s">
        <v>27801</v>
      </c>
      <c r="E13908" s="2">
        <v>5384170</v>
      </c>
      <c r="F13908" s="4" t="str">
        <f>IF(B13908=B13907,"",B13908)</f>
        <v>Pomona</v>
      </c>
    </row>
    <row r="13909" spans="1:6" ht="15.75" customHeight="1">
      <c r="A13909" s="8" t="str">
        <f ca="1">IFERROR(__xludf.DUMMYFUNCTION("GOOGLETRANSLATE(B44966,""en"",""pt"")"),"Pomona")</f>
        <v>Pomona</v>
      </c>
      <c r="B13909" s="11" t="s">
        <v>29711</v>
      </c>
      <c r="C13909" s="11" t="s">
        <v>27788</v>
      </c>
      <c r="D13909" s="11" t="s">
        <v>27801</v>
      </c>
      <c r="E13909" s="10">
        <v>5384170</v>
      </c>
      <c r="F13909" s="4" t="str">
        <f>IF(B13909=B13908,"",B13909)</f>
        <v/>
      </c>
    </row>
    <row r="13910" spans="1:6" ht="15.75" customHeight="1">
      <c r="A13910" s="16" t="s">
        <v>15375</v>
      </c>
      <c r="B13910" s="15" t="s">
        <v>15375</v>
      </c>
      <c r="C13910" s="16" t="s">
        <v>14891</v>
      </c>
      <c r="D13910" s="16" t="s">
        <v>14896</v>
      </c>
      <c r="E13910" s="2">
        <v>3170341</v>
      </c>
      <c r="F13910" s="4" t="str">
        <f>IF(B13910=B13909,"",B13910)</f>
        <v>Pomigliano d'Arco</v>
      </c>
    </row>
    <row r="13911" spans="1:6" ht="15.75" customHeight="1">
      <c r="A13911" s="8" t="str">
        <f ca="1">IFERROR(__xludf.DUMMYFUNCTION("GOOGLETRANSLATE(B34764,""en"",""pt"")"),"Pomigliano d'Arco")</f>
        <v>Pomigliano d'Arco</v>
      </c>
      <c r="B13911" s="11" t="s">
        <v>15375</v>
      </c>
      <c r="C13911" s="11" t="s">
        <v>14891</v>
      </c>
      <c r="D13911" s="11" t="s">
        <v>14896</v>
      </c>
      <c r="E13911" s="10">
        <v>3170341</v>
      </c>
      <c r="F13911" s="4" t="str">
        <f>IF(B13911=B13910,"",B13911)</f>
        <v/>
      </c>
    </row>
    <row r="13912" spans="1:6" ht="15.75" customHeight="1">
      <c r="A13912" s="15" t="s">
        <v>15374</v>
      </c>
      <c r="B13912" s="15" t="s">
        <v>15374</v>
      </c>
      <c r="C13912" s="15" t="s">
        <v>14891</v>
      </c>
      <c r="D13912" s="15" t="s">
        <v>14904</v>
      </c>
      <c r="E13912" s="2">
        <v>3170342</v>
      </c>
      <c r="F13912" s="4" t="str">
        <f>IF(B13912=B13911,"",B13912)</f>
        <v>Pomezia</v>
      </c>
    </row>
    <row r="13913" spans="1:6" ht="15.75" customHeight="1">
      <c r="A13913" s="8" t="str">
        <f ca="1">IFERROR(__xludf.DUMMYFUNCTION("GOOGLETRANSLATE(B34765,""en"",""pt"")"),"Pomezia")</f>
        <v>Pomezia</v>
      </c>
      <c r="B13913" s="11" t="s">
        <v>15374</v>
      </c>
      <c r="C13913" s="11" t="s">
        <v>14891</v>
      </c>
      <c r="D13913" s="11" t="s">
        <v>14904</v>
      </c>
      <c r="E13913" s="10">
        <v>3170342</v>
      </c>
      <c r="F13913" s="4" t="str">
        <f>IF(B13913=B13912,"",B13913)</f>
        <v/>
      </c>
    </row>
    <row r="13914" spans="1:6" ht="15.75" customHeight="1">
      <c r="A13914" s="16" t="s">
        <v>3142</v>
      </c>
      <c r="B13914" s="15" t="s">
        <v>3142</v>
      </c>
      <c r="C13914" s="16" t="s">
        <v>1905</v>
      </c>
      <c r="D13914" s="16" t="s">
        <v>2020</v>
      </c>
      <c r="E13914" s="2">
        <v>3453245</v>
      </c>
      <c r="F13914" s="4" t="str">
        <f>IF(B13914=B13913,"",B13914)</f>
        <v>Pomerode</v>
      </c>
    </row>
    <row r="13915" spans="1:6" ht="15.75" customHeight="1">
      <c r="A13915" s="8" t="str">
        <f ca="1">IFERROR(__xludf.DUMMYFUNCTION("GOOGLETRANSLATE(B24688,""en"",""pt"")"),"Pomerode")</f>
        <v>Pomerode</v>
      </c>
      <c r="B13915" s="11" t="s">
        <v>3142</v>
      </c>
      <c r="C13915" s="11" t="s">
        <v>1905</v>
      </c>
      <c r="D13915" s="11" t="s">
        <v>2020</v>
      </c>
      <c r="E13915" s="10">
        <v>3453245</v>
      </c>
      <c r="F13915" s="4" t="str">
        <f>IF(B13915=B13914,"",B13915)</f>
        <v/>
      </c>
    </row>
    <row r="13916" spans="1:6" ht="15.75" customHeight="1">
      <c r="A13916" s="15" t="s">
        <v>3141</v>
      </c>
      <c r="B13916" s="15" t="s">
        <v>3141</v>
      </c>
      <c r="C13916" s="15" t="s">
        <v>1905</v>
      </c>
      <c r="D13916" s="15" t="s">
        <v>1909</v>
      </c>
      <c r="E13916" s="2">
        <v>3391556</v>
      </c>
      <c r="F13916" s="4" t="str">
        <f>IF(B13916=B13915,"",B13916)</f>
        <v>Pombos</v>
      </c>
    </row>
    <row r="13917" spans="1:6" ht="15.75" customHeight="1">
      <c r="A13917" s="8" t="str">
        <f ca="1">IFERROR(__xludf.DUMMYFUNCTION("GOOGLETRANSLATE(B24221,""en"",""pt"")"),"Pombos")</f>
        <v>Pombos</v>
      </c>
      <c r="B13917" s="11" t="s">
        <v>3141</v>
      </c>
      <c r="C13917" s="11" t="s">
        <v>1905</v>
      </c>
      <c r="D13917" s="11" t="s">
        <v>1909</v>
      </c>
      <c r="E13917" s="10">
        <v>3391556</v>
      </c>
      <c r="F13917" s="4" t="str">
        <f>IF(B13917=B13916,"",B13917)</f>
        <v/>
      </c>
    </row>
    <row r="13918" spans="1:6" ht="15.75" customHeight="1">
      <c r="A13918" s="15" t="s">
        <v>3140</v>
      </c>
      <c r="B13918" s="15" t="s">
        <v>3140</v>
      </c>
      <c r="C13918" s="15" t="s">
        <v>1905</v>
      </c>
      <c r="D13918" s="15" t="s">
        <v>1944</v>
      </c>
      <c r="E13918" s="2">
        <v>3391571</v>
      </c>
      <c r="F13918" s="4" t="str">
        <f>IF(B13918=B13917,"",B13918)</f>
        <v>Pombal</v>
      </c>
    </row>
    <row r="13919" spans="1:6" ht="15.75" customHeight="1">
      <c r="A13919" s="15" t="s">
        <v>3140</v>
      </c>
      <c r="B13919" s="15" t="s">
        <v>3140</v>
      </c>
      <c r="C13919" s="15" t="s">
        <v>21606</v>
      </c>
      <c r="D13919" s="15" t="s">
        <v>21639</v>
      </c>
      <c r="E13919" s="2">
        <v>2264575</v>
      </c>
      <c r="F13919" s="4" t="str">
        <f>IF(B13919=B13918,"",B13919)</f>
        <v/>
      </c>
    </row>
    <row r="13920" spans="1:6" ht="15.75" customHeight="1">
      <c r="A13920" s="8" t="str">
        <f ca="1">IFERROR(__xludf.DUMMYFUNCTION("GOOGLETRANSLATE(B24222,""en"",""pt"")"),"Pombal")</f>
        <v>Pombal</v>
      </c>
      <c r="B13920" s="9" t="s">
        <v>3140</v>
      </c>
      <c r="C13920" s="9" t="s">
        <v>1905</v>
      </c>
      <c r="D13920" s="9" t="s">
        <v>31343</v>
      </c>
      <c r="E13920" s="10">
        <v>3391571</v>
      </c>
      <c r="F13920" s="4" t="str">
        <f>IF(B13920=B13919,"",B13920)</f>
        <v/>
      </c>
    </row>
    <row r="13921" spans="1:6" ht="15.75" customHeight="1">
      <c r="A13921" s="8" t="str">
        <f ca="1">IFERROR(__xludf.DUMMYFUNCTION("GOOGLETRANSLATE(B39584,""en"",""pt"")"),"Pombal")</f>
        <v>Pombal</v>
      </c>
      <c r="B13921" s="11" t="s">
        <v>3140</v>
      </c>
      <c r="C13921" s="11" t="s">
        <v>21606</v>
      </c>
      <c r="D13921" s="11" t="s">
        <v>21639</v>
      </c>
      <c r="E13921" s="10">
        <v>2264575</v>
      </c>
      <c r="F13921" s="4" t="str">
        <f>IF(B13921=B13920,"",B13921)</f>
        <v/>
      </c>
    </row>
    <row r="13922" spans="1:6" ht="15.75" customHeight="1">
      <c r="A13922" s="16" t="s">
        <v>22960</v>
      </c>
      <c r="B13922" s="15" t="s">
        <v>22960</v>
      </c>
      <c r="C13922" s="16" t="s">
        <v>22070</v>
      </c>
      <c r="D13922" s="16" t="s">
        <v>22140</v>
      </c>
      <c r="E13922" s="2">
        <v>1494456</v>
      </c>
      <c r="F13922" s="4" t="str">
        <f>IF(B13922=B13921,"",B13922)</f>
        <v>Polysayevo</v>
      </c>
    </row>
    <row r="13923" spans="1:6" ht="15.75" customHeight="1">
      <c r="A13923" s="8" t="str">
        <f ca="1">IFERROR(__xludf.DUMMYFUNCTION("GOOGLETRANSLATE(B40773,""en"",""pt"")"),"Polysayevo")</f>
        <v>Polysayevo</v>
      </c>
      <c r="B13923" s="11" t="s">
        <v>22960</v>
      </c>
      <c r="C13923" s="11" t="s">
        <v>22070</v>
      </c>
      <c r="D13923" s="11" t="s">
        <v>22140</v>
      </c>
      <c r="E13923" s="10">
        <v>1494456</v>
      </c>
      <c r="F13923" s="4" t="str">
        <f>IF(B13923=B13922,"",B13923)</f>
        <v/>
      </c>
    </row>
    <row r="13924" spans="1:6" ht="15.75" customHeight="1">
      <c r="A13924" s="16" t="s">
        <v>22959</v>
      </c>
      <c r="B13924" s="15" t="s">
        <v>22959</v>
      </c>
      <c r="C13924" s="16" t="s">
        <v>22070</v>
      </c>
      <c r="D13924" s="16" t="s">
        <v>22143</v>
      </c>
      <c r="E13924" s="2">
        <v>506762</v>
      </c>
      <c r="F13924" s="4" t="str">
        <f>IF(B13924=B13923,"",B13924)</f>
        <v>Polyarnyye Zori</v>
      </c>
    </row>
    <row r="13925" spans="1:6" ht="15.75" customHeight="1">
      <c r="A13925" s="8" t="str">
        <f ca="1">IFERROR(__xludf.DUMMYFUNCTION("GOOGLETRANSLATE(B40185,""en"",""pt"")"),"Polyarnyye Zori")</f>
        <v>Polyarnyye Zori</v>
      </c>
      <c r="B13925" s="11" t="s">
        <v>22959</v>
      </c>
      <c r="C13925" s="11" t="s">
        <v>22070</v>
      </c>
      <c r="D13925" s="11" t="s">
        <v>22143</v>
      </c>
      <c r="E13925" s="10">
        <v>506762</v>
      </c>
      <c r="F13925" s="4" t="str">
        <f>IF(B13925=B13924,"",B13925)</f>
        <v/>
      </c>
    </row>
    <row r="13926" spans="1:6" ht="15.75" customHeight="1">
      <c r="A13926" s="15" t="s">
        <v>22957</v>
      </c>
      <c r="B13926" s="15" t="s">
        <v>22958</v>
      </c>
      <c r="C13926" s="15" t="s">
        <v>22070</v>
      </c>
      <c r="D13926" s="15" t="s">
        <v>22143</v>
      </c>
      <c r="E13926" s="2">
        <v>506763</v>
      </c>
      <c r="F13926" s="4" t="str">
        <f>IF(B13926=B13925,"",B13926)</f>
        <v>Polyarnyy</v>
      </c>
    </row>
    <row r="13927" spans="1:6" ht="15.75" customHeight="1">
      <c r="A13927" s="8" t="str">
        <f ca="1">IFERROR(__xludf.DUMMYFUNCTION("GOOGLETRANSLATE(B40186,""en"",""pt"")"),"Polarnia")</f>
        <v>Polarnia</v>
      </c>
      <c r="B13927" s="11" t="s">
        <v>22958</v>
      </c>
      <c r="C13927" s="11" t="s">
        <v>22070</v>
      </c>
      <c r="D13927" s="11" t="s">
        <v>22143</v>
      </c>
      <c r="E13927" s="10">
        <v>506763</v>
      </c>
      <c r="F13927" s="4" t="str">
        <f>IF(B13927=B13926,"",B13927)</f>
        <v/>
      </c>
    </row>
    <row r="13928" spans="1:6" ht="15.75" customHeight="1">
      <c r="A13928" s="8" t="str">
        <f ca="1">IFERROR(__xludf.DUMMYFUNCTION("GOOGLETRANSLATE(B32442,""en"",""pt"")"),"Polūr")</f>
        <v>Polūr</v>
      </c>
      <c r="B13928" s="11" t="s">
        <v>33220</v>
      </c>
      <c r="C13928" s="11" t="s">
        <v>10178</v>
      </c>
      <c r="D13928" s="11" t="s">
        <v>10196</v>
      </c>
      <c r="E13928" s="10">
        <v>1259434</v>
      </c>
      <c r="F13928" s="4" t="str">
        <f>IF(B13928=B13927,"",B13928)</f>
        <v>Polūr</v>
      </c>
    </row>
    <row r="13929" spans="1:6" ht="15.75" customHeight="1">
      <c r="A13929" s="15" t="s">
        <v>26964</v>
      </c>
      <c r="B13929" s="15" t="s">
        <v>26964</v>
      </c>
      <c r="C13929" s="15" t="s">
        <v>26870</v>
      </c>
      <c r="D13929" s="15" t="s">
        <v>26964</v>
      </c>
      <c r="E13929" s="2">
        <v>696643</v>
      </c>
      <c r="F13929" s="4" t="str">
        <f>IF(B13929=B13928,"",B13929)</f>
        <v>Poltava</v>
      </c>
    </row>
    <row r="13930" spans="1:6" ht="15.75" customHeight="1">
      <c r="A13930" s="8" t="str">
        <f ca="1">IFERROR(__xludf.DUMMYFUNCTION("GOOGLETRANSLATE(B42546,""en"",""pt"")"),"Poltava")</f>
        <v>Poltava</v>
      </c>
      <c r="B13930" s="9" t="s">
        <v>26964</v>
      </c>
      <c r="C13930" s="9" t="s">
        <v>26870</v>
      </c>
      <c r="D13930" s="9" t="s">
        <v>26964</v>
      </c>
      <c r="E13930" s="10">
        <v>696643</v>
      </c>
      <c r="F13930" s="4" t="str">
        <f>IF(B13930=B13929,"",B13930)</f>
        <v/>
      </c>
    </row>
    <row r="13931" spans="1:6" ht="15.75" customHeight="1">
      <c r="A13931" s="15" t="s">
        <v>27113</v>
      </c>
      <c r="B13931" s="15" t="s">
        <v>27113</v>
      </c>
      <c r="C13931" s="15" t="s">
        <v>26870</v>
      </c>
      <c r="D13931" s="15" t="s">
        <v>26955</v>
      </c>
      <c r="E13931" s="2">
        <v>696660</v>
      </c>
      <c r="F13931" s="4" t="str">
        <f>IF(B13931=B13930,"",B13931)</f>
        <v>Polonne</v>
      </c>
    </row>
    <row r="13932" spans="1:6" ht="15.75" customHeight="1">
      <c r="A13932" s="8" t="str">
        <f ca="1">IFERROR(__xludf.DUMMYFUNCTION("GOOGLETRANSLATE(B42547,""en"",""pt"")"),"Polonne")</f>
        <v>Polonne</v>
      </c>
      <c r="B13932" s="11" t="s">
        <v>27113</v>
      </c>
      <c r="C13932" s="11" t="s">
        <v>26870</v>
      </c>
      <c r="D13932" s="11" t="s">
        <v>26955</v>
      </c>
      <c r="E13932" s="10">
        <v>696660</v>
      </c>
      <c r="F13932" s="4" t="str">
        <f>IF(B13932=B13931,"",B13932)</f>
        <v/>
      </c>
    </row>
    <row r="13933" spans="1:6" ht="15.75" customHeight="1">
      <c r="A13933" s="16" t="s">
        <v>20967</v>
      </c>
      <c r="B13933" s="15" t="s">
        <v>20967</v>
      </c>
      <c r="C13933" s="16" t="s">
        <v>20598</v>
      </c>
      <c r="D13933" s="16" t="s">
        <v>20658</v>
      </c>
      <c r="E13933" s="2">
        <v>1693077</v>
      </c>
      <c r="F13933" s="4" t="str">
        <f>IF(B13933=B13932,"",B13933)</f>
        <v>Polomolok</v>
      </c>
    </row>
    <row r="13934" spans="1:6" ht="15.75" customHeight="1">
      <c r="A13934" s="8" t="str">
        <f ca="1">IFERROR(__xludf.DUMMYFUNCTION("GOOGLETRANSLATE(B38546,""en"",""pt"")"),"Polomolok")</f>
        <v>Polomolok</v>
      </c>
      <c r="B13934" s="9" t="s">
        <v>20967</v>
      </c>
      <c r="C13934" s="9" t="s">
        <v>20598</v>
      </c>
      <c r="D13934" s="9" t="s">
        <v>20658</v>
      </c>
      <c r="E13934" s="10">
        <v>1693077</v>
      </c>
      <c r="F13934" s="4" t="str">
        <f>IF(B13934=B13933,"",B13934)</f>
        <v/>
      </c>
    </row>
    <row r="13935" spans="1:6" ht="15.75" customHeight="1">
      <c r="A13935" s="16" t="s">
        <v>23957</v>
      </c>
      <c r="B13935" s="15" t="s">
        <v>23957</v>
      </c>
      <c r="C13935" s="16" t="s">
        <v>23842</v>
      </c>
      <c r="D13935" s="16" t="s">
        <v>23885</v>
      </c>
      <c r="E13935" s="2">
        <v>965289</v>
      </c>
      <c r="F13935" s="4" t="str">
        <f>IF(B13935=B13934,"",B13935)</f>
        <v>Polokwane</v>
      </c>
    </row>
    <row r="13936" spans="1:6" ht="15.75" customHeight="1">
      <c r="A13936" s="8" t="str">
        <f ca="1">IFERROR(__xludf.DUMMYFUNCTION("GOOGLETRANSLATE(B45897,""en"",""pt"")"),"Polokwane")</f>
        <v>Polokwane</v>
      </c>
      <c r="B13936" s="9" t="s">
        <v>23957</v>
      </c>
      <c r="C13936" s="9" t="s">
        <v>23842</v>
      </c>
      <c r="D13936" s="9" t="s">
        <v>23885</v>
      </c>
      <c r="E13936" s="10">
        <v>965289</v>
      </c>
      <c r="F13936" s="4" t="str">
        <f>IF(B13936=B13935,"",B13936)</f>
        <v/>
      </c>
    </row>
    <row r="13937" spans="1:6" ht="15.75" customHeight="1">
      <c r="A13937" s="15" t="s">
        <v>27112</v>
      </c>
      <c r="B13937" s="15" t="s">
        <v>27112</v>
      </c>
      <c r="C13937" s="15" t="s">
        <v>26870</v>
      </c>
      <c r="D13937" s="15" t="s">
        <v>26898</v>
      </c>
      <c r="E13937" s="2">
        <v>696677</v>
      </c>
      <c r="F13937" s="4" t="str">
        <f>IF(B13937=B13936,"",B13937)</f>
        <v>Polohy</v>
      </c>
    </row>
    <row r="13938" spans="1:6" ht="15.75" customHeight="1">
      <c r="A13938" s="8" t="str">
        <f ca="1">IFERROR(__xludf.DUMMYFUNCTION("GOOGLETRANSLATE(B42548,""en"",""pt"")"),"Polohy")</f>
        <v>Polohy</v>
      </c>
      <c r="B13938" s="9" t="s">
        <v>27112</v>
      </c>
      <c r="C13938" s="9" t="s">
        <v>26870</v>
      </c>
      <c r="D13938" s="9" t="s">
        <v>26898</v>
      </c>
      <c r="E13938" s="10">
        <v>696677</v>
      </c>
      <c r="F13938" s="4" t="str">
        <f>IF(B13938=B13937,"",B13938)</f>
        <v/>
      </c>
    </row>
    <row r="13939" spans="1:6" ht="15.75" customHeight="1">
      <c r="A13939" s="15" t="s">
        <v>27598</v>
      </c>
      <c r="B13939" s="15" t="s">
        <v>27598</v>
      </c>
      <c r="C13939" s="15" t="s">
        <v>27234</v>
      </c>
      <c r="D13939" s="15" t="s">
        <v>27237</v>
      </c>
      <c r="E13939" s="2">
        <v>2640155</v>
      </c>
      <c r="F13939" s="4" t="str">
        <f>IF(B13939=B13938,"",B13939)</f>
        <v>Polmont</v>
      </c>
    </row>
    <row r="13940" spans="1:6" ht="15.75" customHeight="1">
      <c r="A13940" s="8" t="str">
        <f ca="1">IFERROR(__xludf.DUMMYFUNCTION("GOOGLETRANSLATE(B30478,""en"",""pt"")"),"Polmont")</f>
        <v>Polmont</v>
      </c>
      <c r="B13940" s="9" t="s">
        <v>27598</v>
      </c>
      <c r="C13940" s="9" t="s">
        <v>27234</v>
      </c>
      <c r="D13940" s="9" t="s">
        <v>27237</v>
      </c>
      <c r="E13940" s="10">
        <v>2640155</v>
      </c>
      <c r="F13940" s="4" t="str">
        <f>IF(B13940=B13939,"",B13940)</f>
        <v/>
      </c>
    </row>
    <row r="13941" spans="1:6" ht="15.75" customHeight="1">
      <c r="A13941" s="8" t="str">
        <f ca="1">IFERROR(__xludf.DUMMYFUNCTION("GOOGLETRANSLATE(B29025,""en"",""pt"")"),"Pollença")</f>
        <v>Pollença</v>
      </c>
      <c r="B13941" s="11" t="s">
        <v>32363</v>
      </c>
      <c r="C13941" s="11" t="s">
        <v>24200</v>
      </c>
      <c r="D13941" s="11" t="s">
        <v>24236</v>
      </c>
      <c r="E13941" s="10">
        <v>2512432</v>
      </c>
      <c r="F13941" s="4" t="str">
        <f>IF(B13941=B13940,"",B13941)</f>
        <v>Pollença</v>
      </c>
    </row>
    <row r="13942" spans="1:6" ht="15.75" customHeight="1">
      <c r="A13942" s="15" t="s">
        <v>24700</v>
      </c>
      <c r="B13942" s="15" t="s">
        <v>24701</v>
      </c>
      <c r="C13942" s="15" t="s">
        <v>24200</v>
      </c>
      <c r="D13942" s="15" t="s">
        <v>24236</v>
      </c>
      <c r="E13942" s="2">
        <v>2512432</v>
      </c>
      <c r="F13942" s="4" t="str">
        <f>IF(B13942=B13941,"",B13942)</f>
        <v>PollenÃ§a</v>
      </c>
    </row>
    <row r="13943" spans="1:6" ht="15.75" customHeight="1">
      <c r="A13943" s="15" t="s">
        <v>12911</v>
      </c>
      <c r="B13943" s="15" t="s">
        <v>12911</v>
      </c>
      <c r="C13943" s="15" t="s">
        <v>10178</v>
      </c>
      <c r="D13943" s="15" t="s">
        <v>10196</v>
      </c>
      <c r="E13943" s="2">
        <v>1259440</v>
      </c>
      <c r="F13943" s="4" t="str">
        <f>IF(B13943=B13942,"",B13943)</f>
        <v>Pollachi</v>
      </c>
    </row>
    <row r="13944" spans="1:6" ht="15.75" customHeight="1">
      <c r="A13944" s="8" t="str">
        <f ca="1">IFERROR(__xludf.DUMMYFUNCTION("GOOGLETRANSLATE(B32443,""en"",""pt"")"),"Pollachi")</f>
        <v>Pollachi</v>
      </c>
      <c r="B13944" s="9" t="s">
        <v>12911</v>
      </c>
      <c r="C13944" s="9" t="s">
        <v>10178</v>
      </c>
      <c r="D13944" s="9" t="s">
        <v>10196</v>
      </c>
      <c r="E13944" s="10">
        <v>1259440</v>
      </c>
      <c r="F13944" s="4" t="str">
        <f>IF(B13944=B13943,"",B13944)</f>
        <v/>
      </c>
    </row>
    <row r="13945" spans="1:6" ht="15.75" customHeight="1">
      <c r="A13945" s="16" t="s">
        <v>21432</v>
      </c>
      <c r="B13945" s="15" t="s">
        <v>21432</v>
      </c>
      <c r="C13945" s="16" t="s">
        <v>21064</v>
      </c>
      <c r="D13945" s="16" t="s">
        <v>21118</v>
      </c>
      <c r="E13945" s="2">
        <v>3088435</v>
      </c>
      <c r="F13945" s="4" t="str">
        <f>IF(B13945=B13944,"",B13945)</f>
        <v>Polkowice</v>
      </c>
    </row>
    <row r="13946" spans="1:6" ht="15.75" customHeight="1">
      <c r="A13946" s="8" t="str">
        <f ca="1">IFERROR(__xludf.DUMMYFUNCTION("GOOGLETRANSLATE(B39375,""en"",""pt"")"),"Polkowice")</f>
        <v>Polkowice</v>
      </c>
      <c r="B13946" s="9" t="s">
        <v>21432</v>
      </c>
      <c r="C13946" s="9" t="s">
        <v>21064</v>
      </c>
      <c r="D13946" s="9" t="s">
        <v>21118</v>
      </c>
      <c r="E13946" s="10">
        <v>3088435</v>
      </c>
      <c r="F13946" s="4" t="str">
        <f>IF(B13946=B13945,"",B13946)</f>
        <v/>
      </c>
    </row>
    <row r="13947" spans="1:6" ht="15.75" customHeight="1">
      <c r="A13947" s="8" t="str">
        <f ca="1">IFERROR(__xludf.DUMMYFUNCTION("GOOGLETRANSLATE(B31035,""en"",""pt"")"),"Polícni")</f>
        <v>Polícni</v>
      </c>
      <c r="B13947" s="11" t="s">
        <v>32741</v>
      </c>
      <c r="C13947" s="11" t="s">
        <v>9441</v>
      </c>
      <c r="D13947" s="11" t="s">
        <v>9442</v>
      </c>
      <c r="E13947" s="10">
        <v>734538</v>
      </c>
      <c r="F13947" s="4" t="str">
        <f>IF(B13947=B13946,"",B13947)</f>
        <v>Políchni</v>
      </c>
    </row>
    <row r="13948" spans="1:6" ht="15.75" customHeight="1">
      <c r="A13948" s="15" t="s">
        <v>21430</v>
      </c>
      <c r="B13948" s="15" t="s">
        <v>21431</v>
      </c>
      <c r="C13948" s="15" t="s">
        <v>21064</v>
      </c>
      <c r="D13948" s="15" t="s">
        <v>21121</v>
      </c>
      <c r="E13948" s="2">
        <v>3088461</v>
      </c>
      <c r="F13948" s="4" t="str">
        <f>IF(B13948=B13947,"",B13948)</f>
        <v>Police</v>
      </c>
    </row>
    <row r="13949" spans="1:6" ht="15.75" customHeight="1">
      <c r="A13949" s="8" t="str">
        <f ca="1">IFERROR(__xludf.DUMMYFUNCTION("GOOGLETRANSLATE(B39376,""en"",""pt"")"),"Polícia")</f>
        <v>Polícia</v>
      </c>
      <c r="B13949" s="11" t="s">
        <v>21431</v>
      </c>
      <c r="C13949" s="11" t="s">
        <v>21064</v>
      </c>
      <c r="D13949" s="11" t="s">
        <v>21121</v>
      </c>
      <c r="E13949" s="10">
        <v>3088461</v>
      </c>
      <c r="F13949" s="4" t="str">
        <f>IF(B13949=B13948,"",B13949)</f>
        <v/>
      </c>
    </row>
    <row r="13950" spans="1:6" ht="15.75" customHeight="1">
      <c r="A13950" s="15" t="s">
        <v>14105</v>
      </c>
      <c r="B13950" s="15" t="s">
        <v>14105</v>
      </c>
      <c r="C13950" s="15" t="s">
        <v>13800</v>
      </c>
      <c r="D13950" s="15" t="s">
        <v>14020</v>
      </c>
      <c r="E13950" s="2">
        <v>1630935</v>
      </c>
      <c r="F13950" s="4" t="str">
        <f>IF(B13950=B13949,"",B13950)</f>
        <v>Polewali</v>
      </c>
    </row>
    <row r="13951" spans="1:6" ht="15.75" customHeight="1">
      <c r="A13951" s="8" t="str">
        <f ca="1">IFERROR(__xludf.DUMMYFUNCTION("GOOGLETRANSLATE(B31487,""en"",""pt"")"),"Polewali")</f>
        <v>Polewali</v>
      </c>
      <c r="B13951" s="11" t="s">
        <v>14105</v>
      </c>
      <c r="C13951" s="11" t="s">
        <v>13800</v>
      </c>
      <c r="D13951" s="11" t="s">
        <v>14020</v>
      </c>
      <c r="E13951" s="10">
        <v>1630935</v>
      </c>
      <c r="F13951" s="4" t="str">
        <f>IF(B13951=B13950,"",B13951)</f>
        <v/>
      </c>
    </row>
    <row r="13952" spans="1:6" ht="15.75" customHeight="1">
      <c r="A13952" s="15" t="s">
        <v>22956</v>
      </c>
      <c r="B13952" s="15" t="s">
        <v>22956</v>
      </c>
      <c r="C13952" s="15" t="s">
        <v>22070</v>
      </c>
      <c r="D13952" s="15" t="s">
        <v>22106</v>
      </c>
      <c r="E13952" s="2">
        <v>1494573</v>
      </c>
      <c r="F13952" s="4" t="str">
        <f>IF(B13952=B13951,"",B13952)</f>
        <v>Polevskoy</v>
      </c>
    </row>
    <row r="13953" spans="1:6" ht="15.75" customHeight="1">
      <c r="A13953" s="8" t="str">
        <f ca="1">IFERROR(__xludf.DUMMYFUNCTION("GOOGLETRANSLATE(B40774,""en"",""pt"")"),"Polevskoy")</f>
        <v>Polevskoy</v>
      </c>
      <c r="B13953" s="9" t="s">
        <v>22956</v>
      </c>
      <c r="C13953" s="9" t="s">
        <v>22070</v>
      </c>
      <c r="D13953" s="9" t="s">
        <v>22106</v>
      </c>
      <c r="E13953" s="10">
        <v>1494573</v>
      </c>
      <c r="F13953" s="4" t="str">
        <f>IF(B13953=B13952,"",B13953)</f>
        <v/>
      </c>
    </row>
    <row r="13954" spans="1:6" ht="15.75" customHeight="1">
      <c r="A13954" s="16" t="s">
        <v>12910</v>
      </c>
      <c r="B13954" s="15" t="s">
        <v>12910</v>
      </c>
      <c r="C13954" s="16" t="s">
        <v>10178</v>
      </c>
      <c r="D13954" s="16" t="s">
        <v>10190</v>
      </c>
      <c r="E13954" s="2">
        <v>1259444</v>
      </c>
      <c r="F13954" s="4" t="str">
        <f>IF(B13954=B13953,"",B13954)</f>
        <v>Polavaram</v>
      </c>
    </row>
    <row r="13955" spans="1:6" ht="15.75" customHeight="1">
      <c r="A13955" s="8" t="str">
        <f ca="1">IFERROR(__xludf.DUMMYFUNCTION("GOOGLETRANSLATE(B32444,""en"",""pt"")"),"Polavaram")</f>
        <v>Polavaram</v>
      </c>
      <c r="B13955" s="9" t="s">
        <v>12910</v>
      </c>
      <c r="C13955" s="9" t="s">
        <v>10178</v>
      </c>
      <c r="D13955" s="9" t="s">
        <v>10190</v>
      </c>
      <c r="E13955" s="10">
        <v>1259444</v>
      </c>
      <c r="F13955" s="4" t="str">
        <f>IF(B13955=B13954,"",B13955)</f>
        <v/>
      </c>
    </row>
    <row r="13956" spans="1:6" ht="15.75" customHeight="1">
      <c r="A13956" s="15" t="s">
        <v>1495</v>
      </c>
      <c r="B13956" s="15" t="s">
        <v>1495</v>
      </c>
      <c r="C13956" s="15" t="s">
        <v>1453</v>
      </c>
      <c r="D13956" s="15" t="s">
        <v>1465</v>
      </c>
      <c r="E13956" s="2">
        <v>623317</v>
      </c>
      <c r="F13956" s="4" t="str">
        <f>IF(B13956=B13955,"",B13956)</f>
        <v>Polatsk</v>
      </c>
    </row>
    <row r="13957" spans="1:6" ht="15.75" customHeight="1">
      <c r="A13957" s="8" t="str">
        <f ca="1">IFERROR(__xludf.DUMMYFUNCTION("GOOGLETRANSLATE(B25383,""en"",""pt"")"),"Polatsk")</f>
        <v>Polatsk</v>
      </c>
      <c r="B13957" s="9" t="s">
        <v>1495</v>
      </c>
      <c r="C13957" s="9" t="s">
        <v>1453</v>
      </c>
      <c r="D13957" s="9" t="s">
        <v>1465</v>
      </c>
      <c r="E13957" s="10">
        <v>623317</v>
      </c>
      <c r="F13957" s="4" t="str">
        <f>IF(B13957=B13956,"",B13957)</f>
        <v/>
      </c>
    </row>
    <row r="13958" spans="1:6" ht="15.75" customHeight="1">
      <c r="A13958" s="8" t="str">
        <f ca="1">IFERROR(__xludf.DUMMYFUNCTION("GOOGLETRANSLATE(B41917,""en"",""pt"")"),"Polatlı")</f>
        <v>Polatlı</v>
      </c>
      <c r="B13958" s="11" t="s">
        <v>35845</v>
      </c>
      <c r="C13958" s="11" t="s">
        <v>26201</v>
      </c>
      <c r="D13958" s="11" t="s">
        <v>26229</v>
      </c>
      <c r="E13958" s="10">
        <v>302525</v>
      </c>
      <c r="F13958" s="4" t="str">
        <f>IF(B13958=B13957,"",B13958)</f>
        <v>Polatlı</v>
      </c>
    </row>
    <row r="13959" spans="1:6" ht="15.75" customHeight="1">
      <c r="A13959" s="15" t="s">
        <v>26669</v>
      </c>
      <c r="B13959" s="15" t="s">
        <v>26670</v>
      </c>
      <c r="C13959" s="15" t="s">
        <v>26201</v>
      </c>
      <c r="D13959" s="15" t="s">
        <v>26229</v>
      </c>
      <c r="E13959" s="2">
        <v>302525</v>
      </c>
      <c r="F13959" s="4" t="str">
        <f>IF(B13959=B13958,"",B13959)</f>
        <v>PolatlÄ±</v>
      </c>
    </row>
    <row r="13960" spans="1:6" ht="15.75" customHeight="1">
      <c r="A13960" s="15" t="s">
        <v>12909</v>
      </c>
      <c r="B13960" s="15" t="s">
        <v>12909</v>
      </c>
      <c r="C13960" s="15" t="s">
        <v>10178</v>
      </c>
      <c r="D13960" s="15" t="s">
        <v>10229</v>
      </c>
      <c r="E13960" s="2">
        <v>1259446</v>
      </c>
      <c r="F13960" s="4" t="str">
        <f>IF(B13960=B13959,"",B13960)</f>
        <v>Polasara</v>
      </c>
    </row>
    <row r="13961" spans="1:6" ht="15.75" customHeight="1">
      <c r="A13961" s="8" t="str">
        <f ca="1">IFERROR(__xludf.DUMMYFUNCTION("GOOGLETRANSLATE(B32445,""en"",""pt"")"),"Polasara")</f>
        <v>Polasara</v>
      </c>
      <c r="B13961" s="9" t="s">
        <v>12909</v>
      </c>
      <c r="C13961" s="9" t="s">
        <v>10178</v>
      </c>
      <c r="D13961" s="9" t="s">
        <v>10229</v>
      </c>
      <c r="E13961" s="10">
        <v>1259446</v>
      </c>
      <c r="F13961" s="4" t="str">
        <f>IF(B13961=B13960,"",B13961)</f>
        <v/>
      </c>
    </row>
    <row r="13962" spans="1:6" ht="15.75" customHeight="1">
      <c r="A13962" s="15" t="s">
        <v>20966</v>
      </c>
      <c r="B13962" s="15" t="s">
        <v>20966</v>
      </c>
      <c r="C13962" s="15" t="s">
        <v>20598</v>
      </c>
      <c r="D13962" s="15" t="s">
        <v>20634</v>
      </c>
      <c r="E13962" s="2">
        <v>1693136</v>
      </c>
      <c r="F13962" s="4" t="str">
        <f>IF(B13962=B13961,"",B13962)</f>
        <v>Polangui</v>
      </c>
    </row>
    <row r="13963" spans="1:6" ht="15.75" customHeight="1">
      <c r="A13963" s="8" t="str">
        <f ca="1">IFERROR(__xludf.DUMMYFUNCTION("GOOGLETRANSLATE(B38547,""en"",""pt"")"),"Polangui")</f>
        <v>Polangui</v>
      </c>
      <c r="B13963" s="9" t="s">
        <v>20966</v>
      </c>
      <c r="C13963" s="9" t="s">
        <v>20598</v>
      </c>
      <c r="D13963" s="9" t="s">
        <v>20634</v>
      </c>
      <c r="E13963" s="10">
        <v>1693136</v>
      </c>
      <c r="F13963" s="4" t="str">
        <f>IF(B13963=B13962,"",B13963)</f>
        <v/>
      </c>
    </row>
    <row r="13964" spans="1:6" ht="15.75" customHeight="1">
      <c r="A13964" s="15" t="s">
        <v>18168</v>
      </c>
      <c r="B13964" s="15" t="s">
        <v>18168</v>
      </c>
      <c r="C13964" s="15" t="s">
        <v>17707</v>
      </c>
      <c r="D13964" s="15" t="s">
        <v>17711</v>
      </c>
      <c r="E13964" s="2">
        <v>3521305</v>
      </c>
      <c r="F13964" s="4" t="str">
        <f>IF(B13964=B13963,"",B13964)</f>
        <v>Polanco</v>
      </c>
    </row>
    <row r="13965" spans="1:6" ht="15.75" customHeight="1">
      <c r="A13965" s="8" t="str">
        <f ca="1">IFERROR(__xludf.DUMMYFUNCTION("GOOGLETRANSLATE(B36947,""en"",""pt"")"),"Polanco")</f>
        <v>Polanco</v>
      </c>
      <c r="B13965" s="9" t="s">
        <v>18168</v>
      </c>
      <c r="C13965" s="9" t="s">
        <v>17707</v>
      </c>
      <c r="D13965" s="9" t="s">
        <v>17711</v>
      </c>
      <c r="E13965" s="10">
        <v>3521305</v>
      </c>
      <c r="F13965" s="4" t="str">
        <f>IF(B13965=B13964,"",B13965)</f>
        <v/>
      </c>
    </row>
    <row r="13966" spans="1:6" ht="15.75" customHeight="1">
      <c r="A13966" s="15" t="s">
        <v>9623</v>
      </c>
      <c r="B13966" s="15" t="s">
        <v>9624</v>
      </c>
      <c r="C13966" s="15" t="s">
        <v>9441</v>
      </c>
      <c r="D13966" s="15" t="s">
        <v>9442</v>
      </c>
      <c r="E13966" s="2">
        <v>734538</v>
      </c>
      <c r="F13966" s="4" t="str">
        <f>IF(B13966=B13965,"",B13966)</f>
        <v>PolÃ­chni</v>
      </c>
    </row>
    <row r="13967" spans="1:6" ht="15.75" customHeight="1">
      <c r="A13967" s="15" t="s">
        <v>12907</v>
      </c>
      <c r="B13967" s="15" t="s">
        <v>12908</v>
      </c>
      <c r="C13967" s="15" t="s">
        <v>10178</v>
      </c>
      <c r="D13967" s="15" t="s">
        <v>10196</v>
      </c>
      <c r="E13967" s="2">
        <v>1259434</v>
      </c>
      <c r="F13967" s="4" t="str">
        <f>IF(B13967=B13966,"",B13967)</f>
        <v>PolÅ«r</v>
      </c>
    </row>
    <row r="13968" spans="1:6" ht="15.75" customHeight="1">
      <c r="A13968" s="8" t="str">
        <f ca="1">IFERROR(__xludf.DUMMYFUNCTION("GOOGLETRANSLATE(B40187,""en"",""pt"")"),"Pokrovskoye-Streshnëvo")</f>
        <v>Pokrovskoye-Streshnëvo</v>
      </c>
      <c r="B13968" s="9" t="s">
        <v>35469</v>
      </c>
      <c r="C13968" s="9" t="s">
        <v>22070</v>
      </c>
      <c r="D13968" s="9" t="s">
        <v>22127</v>
      </c>
      <c r="E13968" s="10">
        <v>507338</v>
      </c>
      <c r="F13968" s="4" t="str">
        <f>IF(B13968=B13967,"",B13968)</f>
        <v>Pokrovskoye-Streshnëvo</v>
      </c>
    </row>
    <row r="13969" spans="1:6" ht="15.75" customHeight="1">
      <c r="A13969" s="16" t="s">
        <v>22954</v>
      </c>
      <c r="B13969" s="15" t="s">
        <v>22955</v>
      </c>
      <c r="C13969" s="16" t="s">
        <v>22070</v>
      </c>
      <c r="D13969" s="16" t="s">
        <v>22127</v>
      </c>
      <c r="E13969" s="2">
        <v>507338</v>
      </c>
      <c r="F13969" s="4" t="str">
        <f>IF(B13969=B13968,"",B13969)</f>
        <v>Pokrovskoye-StreshnÃ«vo</v>
      </c>
    </row>
    <row r="13970" spans="1:6" ht="15.75" customHeight="1">
      <c r="A13970" s="15" t="s">
        <v>22953</v>
      </c>
      <c r="B13970" s="15" t="s">
        <v>22953</v>
      </c>
      <c r="C13970" s="15" t="s">
        <v>22070</v>
      </c>
      <c r="D13970" s="15" t="s">
        <v>22113</v>
      </c>
      <c r="E13970" s="2">
        <v>507599</v>
      </c>
      <c r="F13970" s="4" t="str">
        <f>IF(B13970=B13969,"",B13970)</f>
        <v>Pokrov</v>
      </c>
    </row>
    <row r="13971" spans="1:6" ht="15.75" customHeight="1">
      <c r="A13971" s="8" t="str">
        <f ca="1">IFERROR(__xludf.DUMMYFUNCTION("GOOGLETRANSLATE(B40188,""en"",""pt"")"),"Pokrov")</f>
        <v>Pokrov</v>
      </c>
      <c r="B13971" s="9" t="s">
        <v>22953</v>
      </c>
      <c r="C13971" s="9" t="s">
        <v>22070</v>
      </c>
      <c r="D13971" s="9" t="s">
        <v>22113</v>
      </c>
      <c r="E13971" s="10">
        <v>507599</v>
      </c>
      <c r="F13971" s="4" t="str">
        <f>IF(B13971=B13970,"",B13971)</f>
        <v/>
      </c>
    </row>
    <row r="13972" spans="1:6" ht="15.75" customHeight="1">
      <c r="A13972" s="16" t="s">
        <v>22952</v>
      </c>
      <c r="B13972" s="15" t="s">
        <v>22952</v>
      </c>
      <c r="C13972" s="16" t="s">
        <v>22070</v>
      </c>
      <c r="D13972" s="16" t="s">
        <v>22227</v>
      </c>
      <c r="E13972" s="2">
        <v>507624</v>
      </c>
      <c r="F13972" s="4" t="str">
        <f>IF(B13972=B13971,"",B13972)</f>
        <v>Pokhvistnevo</v>
      </c>
    </row>
    <row r="13973" spans="1:6" ht="15.75" customHeight="1">
      <c r="A13973" s="8" t="str">
        <f ca="1">IFERROR(__xludf.DUMMYFUNCTION("GOOGLETRANSLATE(B40189,""en"",""pt"")"),"Pokhvistnevo")</f>
        <v>Pokhvistnevo</v>
      </c>
      <c r="B13973" s="9" t="s">
        <v>22952</v>
      </c>
      <c r="C13973" s="9" t="s">
        <v>22070</v>
      </c>
      <c r="D13973" s="9" t="s">
        <v>22227</v>
      </c>
      <c r="E13973" s="10">
        <v>507624</v>
      </c>
      <c r="F13973" s="4" t="str">
        <f>IF(B13973=B13972,"",B13973)</f>
        <v/>
      </c>
    </row>
    <row r="13974" spans="1:6" ht="15.75" customHeight="1">
      <c r="A13974" s="15" t="s">
        <v>18850</v>
      </c>
      <c r="B13974" s="15" t="s">
        <v>18850</v>
      </c>
      <c r="C13974" s="15" t="s">
        <v>18800</v>
      </c>
      <c r="D13974" s="15" t="s">
        <v>18803</v>
      </c>
      <c r="E13974" s="2">
        <v>1282898</v>
      </c>
      <c r="F13974" s="4" t="str">
        <f>IF(B13974=B13973,"",B13974)</f>
        <v>Pokhara</v>
      </c>
    </row>
    <row r="13975" spans="1:6" ht="15.75" customHeight="1">
      <c r="A13975" s="8" t="str">
        <f ca="1">IFERROR(__xludf.DUMMYFUNCTION("GOOGLETRANSLATE(B38182,""en"",""pt"")"),"Pokhara")</f>
        <v>Pokhara</v>
      </c>
      <c r="B13975" s="9" t="s">
        <v>18850</v>
      </c>
      <c r="C13975" s="9" t="s">
        <v>18800</v>
      </c>
      <c r="D13975" s="9" t="s">
        <v>18803</v>
      </c>
      <c r="E13975" s="10">
        <v>1282898</v>
      </c>
      <c r="F13975" s="4" t="str">
        <f>IF(B13975=B13974,"",B13975)</f>
        <v/>
      </c>
    </row>
    <row r="13976" spans="1:6" ht="15.75" customHeight="1">
      <c r="A13976" s="15" t="s">
        <v>12906</v>
      </c>
      <c r="B13976" s="15" t="s">
        <v>12906</v>
      </c>
      <c r="C13976" s="15" t="s">
        <v>10178</v>
      </c>
      <c r="D13976" s="15" t="s">
        <v>10179</v>
      </c>
      <c r="E13976" s="2">
        <v>1259460</v>
      </c>
      <c r="F13976" s="4" t="str">
        <f>IF(B13976=B13975,"",B13976)</f>
        <v>Pokaran</v>
      </c>
    </row>
    <row r="13977" spans="1:6" ht="15.75" customHeight="1">
      <c r="A13977" s="8" t="str">
        <f ca="1">IFERROR(__xludf.DUMMYFUNCTION("GOOGLETRANSLATE(B32446,""en"",""pt"")"),"Pokaran")</f>
        <v>Pokaran</v>
      </c>
      <c r="B13977" s="11" t="s">
        <v>12906</v>
      </c>
      <c r="C13977" s="11" t="s">
        <v>10178</v>
      </c>
      <c r="D13977" s="11" t="s">
        <v>10179</v>
      </c>
      <c r="E13977" s="10">
        <v>1259460</v>
      </c>
      <c r="F13977" s="4" t="str">
        <f>IF(B13977=B13976,"",B13977)</f>
        <v/>
      </c>
    </row>
    <row r="13978" spans="1:6" ht="15.75" customHeight="1">
      <c r="A13978" s="15" t="s">
        <v>22951</v>
      </c>
      <c r="B13978" s="15" t="s">
        <v>22951</v>
      </c>
      <c r="C13978" s="15" t="s">
        <v>22070</v>
      </c>
      <c r="D13978" s="15" t="s">
        <v>22217</v>
      </c>
      <c r="E13978" s="2">
        <v>7289676</v>
      </c>
      <c r="F13978" s="4" t="str">
        <f>IF(B13978=B13977,"",B13978)</f>
        <v>Pokachi</v>
      </c>
    </row>
    <row r="13979" spans="1:6" ht="15.75" customHeight="1">
      <c r="A13979" s="8" t="str">
        <f ca="1">IFERROR(__xludf.DUMMYFUNCTION("GOOGLETRANSLATE(B40980,""en"",""pt"")"),"Pokachi")</f>
        <v>Pokachi</v>
      </c>
      <c r="B13979" s="9" t="s">
        <v>22951</v>
      </c>
      <c r="C13979" s="9" t="s">
        <v>22070</v>
      </c>
      <c r="D13979" s="9" t="s">
        <v>22217</v>
      </c>
      <c r="E13979" s="10">
        <v>7289676</v>
      </c>
      <c r="F13979" s="4" t="str">
        <f>IF(B13979=B13978,"",B13979)</f>
        <v/>
      </c>
    </row>
    <row r="13980" spans="1:6" ht="15.75" customHeight="1">
      <c r="A13980" s="15" t="s">
        <v>7684</v>
      </c>
      <c r="B13980" s="15" t="s">
        <v>7684</v>
      </c>
      <c r="C13980" s="15" t="s">
        <v>7052</v>
      </c>
      <c r="D13980" s="15" t="s">
        <v>7084</v>
      </c>
      <c r="E13980" s="2">
        <v>2986495</v>
      </c>
      <c r="F13980" s="4" t="str">
        <f>IF(B13980=B13979,"",B13980)</f>
        <v>Poitiers</v>
      </c>
    </row>
    <row r="13981" spans="1:6" ht="15.75" customHeight="1">
      <c r="A13981" s="8" t="str">
        <f ca="1">IFERROR(__xludf.DUMMYFUNCTION("GOOGLETRANSLATE(B29846,""en"",""pt"")"),"Poitiers")</f>
        <v>Poitiers</v>
      </c>
      <c r="B13981" s="9" t="s">
        <v>7684</v>
      </c>
      <c r="C13981" s="9" t="s">
        <v>7052</v>
      </c>
      <c r="D13981" s="9" t="s">
        <v>7084</v>
      </c>
      <c r="E13981" s="10">
        <v>2986495</v>
      </c>
      <c r="F13981" s="4" t="str">
        <f>IF(B13981=B13980,"",B13981)</f>
        <v/>
      </c>
    </row>
    <row r="13982" spans="1:6" ht="15.75" customHeight="1">
      <c r="A13982" s="15" t="s">
        <v>7683</v>
      </c>
      <c r="B13982" s="15" t="s">
        <v>7683</v>
      </c>
      <c r="C13982" s="15" t="s">
        <v>7052</v>
      </c>
      <c r="D13982" s="15" t="s">
        <v>7058</v>
      </c>
      <c r="E13982" s="2">
        <v>2986501</v>
      </c>
      <c r="F13982" s="4" t="str">
        <f>IF(B13982=B13981,"",B13982)</f>
        <v>Poissy</v>
      </c>
    </row>
    <row r="13983" spans="1:6" ht="15.75" customHeight="1">
      <c r="A13983" s="8" t="str">
        <f ca="1">IFERROR(__xludf.DUMMYFUNCTION("GOOGLETRANSLATE(B29847,""en"",""pt"")"),"Poissy")</f>
        <v>Poissy</v>
      </c>
      <c r="B13983" s="9" t="s">
        <v>7683</v>
      </c>
      <c r="C13983" s="9" t="s">
        <v>7052</v>
      </c>
      <c r="D13983" s="9" t="s">
        <v>32531</v>
      </c>
      <c r="E13983" s="10">
        <v>2986501</v>
      </c>
      <c r="F13983" s="4" t="str">
        <f>IF(B13983=B13982,"",B13983)</f>
        <v/>
      </c>
    </row>
    <row r="13984" spans="1:6" ht="15.75" customHeight="1">
      <c r="A13984" s="15" t="s">
        <v>24699</v>
      </c>
      <c r="B13984" s="15" t="s">
        <v>24699</v>
      </c>
      <c r="C13984" s="15" t="s">
        <v>24200</v>
      </c>
      <c r="D13984" s="15" t="s">
        <v>24201</v>
      </c>
      <c r="E13984" s="2">
        <v>3113035</v>
      </c>
      <c r="F13984" s="4" t="str">
        <f>IF(B13984=B13983,"",B13984)</f>
        <v>Poio</v>
      </c>
    </row>
    <row r="13985" spans="1:6" ht="15.75" customHeight="1">
      <c r="A13985" s="8" t="str">
        <f ca="1">IFERROR(__xludf.DUMMYFUNCTION("GOOGLETRANSLATE(B29322,""en"",""pt"")"),"Poio")</f>
        <v>Poio</v>
      </c>
      <c r="B13985" s="9" t="s">
        <v>24699</v>
      </c>
      <c r="C13985" s="9" t="s">
        <v>24200</v>
      </c>
      <c r="D13985" s="9" t="s">
        <v>24201</v>
      </c>
      <c r="E13985" s="10">
        <v>3113035</v>
      </c>
      <c r="F13985" s="4" t="str">
        <f>IF(B13985=B13984,"",B13985)</f>
        <v/>
      </c>
    </row>
    <row r="13986" spans="1:6" ht="15.75" customHeight="1">
      <c r="A13986" s="16" t="s">
        <v>21805</v>
      </c>
      <c r="B13986" s="15" t="s">
        <v>21797</v>
      </c>
      <c r="C13986" s="16" t="s">
        <v>21788</v>
      </c>
      <c r="D13986" s="16" t="s">
        <v>21797</v>
      </c>
      <c r="E13986" s="2">
        <v>2255414</v>
      </c>
      <c r="F13986" s="4" t="str">
        <f>IF(B13986=B13985,"",B13986)</f>
        <v>Pointe-Noire</v>
      </c>
    </row>
    <row r="13987" spans="1:6" ht="15.75" customHeight="1">
      <c r="A13987" s="8" t="str">
        <f ca="1">IFERROR(__xludf.DUMMYFUNCTION("GOOGLETRANSLATE(B25731,""en"",""pt"")"),"PONTE-NOIRE")</f>
        <v>PONTE-NOIRE</v>
      </c>
      <c r="B13987" s="11" t="s">
        <v>21797</v>
      </c>
      <c r="C13987" s="11" t="s">
        <v>21788</v>
      </c>
      <c r="D13987" s="11" t="s">
        <v>21797</v>
      </c>
      <c r="E13987" s="10">
        <v>2255414</v>
      </c>
      <c r="F13987" s="4" t="str">
        <f>IF(B13987=B13986,"",B13987)</f>
        <v/>
      </c>
    </row>
    <row r="13988" spans="1:6" ht="15.75" customHeight="1">
      <c r="A13988" s="16" t="s">
        <v>4143</v>
      </c>
      <c r="B13988" s="15" t="s">
        <v>4143</v>
      </c>
      <c r="C13988" s="16" t="s">
        <v>3975</v>
      </c>
      <c r="D13988" s="16" t="s">
        <v>3982</v>
      </c>
      <c r="E13988" s="2">
        <v>6107325</v>
      </c>
      <c r="F13988" s="4" t="str">
        <f>IF(B13988=B13987,"",B13988)</f>
        <v>Pointe-Claire</v>
      </c>
    </row>
    <row r="13989" spans="1:6" ht="15.75" customHeight="1">
      <c r="A13989" s="8" t="str">
        <f ca="1">IFERROR(__xludf.DUMMYFUNCTION("GOOGLETRANSLATE(B25547,""en"",""pt"")"),"Pointe-Claire")</f>
        <v>Pointe-Claire</v>
      </c>
      <c r="B13989" s="11" t="s">
        <v>4143</v>
      </c>
      <c r="C13989" s="11" t="s">
        <v>3975</v>
      </c>
      <c r="D13989" s="11" t="s">
        <v>3982</v>
      </c>
      <c r="E13989" s="10">
        <v>6107325</v>
      </c>
      <c r="F13989" s="4" t="str">
        <f>IF(B13989=B13988,"",B13989)</f>
        <v/>
      </c>
    </row>
    <row r="13990" spans="1:6" ht="15.75" customHeight="1">
      <c r="A13990" s="8" t="str">
        <f ca="1">IFERROR(__xludf.DUMMYFUNCTION("GOOGLETRANSLATE(B30942,""en"",""pt"")"),"Pointe-à-pitre")</f>
        <v>Pointe-à-pitre</v>
      </c>
      <c r="B13990" s="9" t="s">
        <v>32666</v>
      </c>
      <c r="C13990" s="9" t="s">
        <v>9670</v>
      </c>
      <c r="D13990" s="9" t="s">
        <v>9670</v>
      </c>
      <c r="E13990" s="10">
        <v>3578599</v>
      </c>
      <c r="F13990" s="4" t="str">
        <f>IF(B13990=B13989,"",B13990)</f>
        <v>Pointe-à-Pitre</v>
      </c>
    </row>
    <row r="13991" spans="1:6" ht="15.75" customHeight="1">
      <c r="A13991" s="16" t="s">
        <v>9678</v>
      </c>
      <c r="B13991" s="15" t="s">
        <v>9679</v>
      </c>
      <c r="C13991" s="16" t="s">
        <v>9670</v>
      </c>
      <c r="D13991" s="16" t="s">
        <v>9670</v>
      </c>
      <c r="E13991" s="2">
        <v>3578599</v>
      </c>
      <c r="F13991" s="4" t="str">
        <f>IF(B13991=B13990,"",B13991)</f>
        <v>Pointe-Ã -Pitre</v>
      </c>
    </row>
    <row r="13992" spans="1:6" ht="15.75" customHeight="1">
      <c r="A13992" s="16" t="s">
        <v>29710</v>
      </c>
      <c r="B13992" s="15" t="s">
        <v>29710</v>
      </c>
      <c r="C13992" s="16" t="s">
        <v>27788</v>
      </c>
      <c r="D13992" s="16" t="s">
        <v>27905</v>
      </c>
      <c r="E13992" s="2">
        <v>5102796</v>
      </c>
      <c r="F13992" s="4" t="str">
        <f>IF(B13992=B13991,"",B13992)</f>
        <v>Point Pleasant</v>
      </c>
    </row>
    <row r="13993" spans="1:6" ht="15.75" customHeight="1">
      <c r="A13993" s="8" t="str">
        <f ca="1">IFERROR(__xludf.DUMMYFUNCTION("GOOGLETRANSLATE(B44302,""en"",""pt"")"),"Point Pleasant")</f>
        <v>Point Pleasant</v>
      </c>
      <c r="B13993" s="11" t="s">
        <v>29710</v>
      </c>
      <c r="C13993" s="11" t="s">
        <v>27788</v>
      </c>
      <c r="D13993" s="11" t="s">
        <v>27905</v>
      </c>
      <c r="E13993" s="10">
        <v>5102796</v>
      </c>
      <c r="F13993" s="4" t="str">
        <f>IF(B13993=B13992,"",B13993)</f>
        <v/>
      </c>
    </row>
    <row r="13994" spans="1:6" ht="15.75" customHeight="1">
      <c r="A13994" s="16" t="s">
        <v>24972</v>
      </c>
      <c r="B13994" s="15" t="s">
        <v>24972</v>
      </c>
      <c r="C13994" s="16" t="s">
        <v>24924</v>
      </c>
      <c r="D13994" s="16" t="s">
        <v>20426</v>
      </c>
      <c r="E13994" s="2">
        <v>1229989</v>
      </c>
      <c r="F13994" s="4" t="str">
        <f>IF(B13994=B13993,"",B13994)</f>
        <v>Point Pedro</v>
      </c>
    </row>
    <row r="13995" spans="1:6" ht="15.75" customHeight="1">
      <c r="A13995" s="8" t="str">
        <f ca="1">IFERROR(__xludf.DUMMYFUNCTION("GOOGLETRANSLATE(B36298,""en"",""pt"")"),"Point Pedro")</f>
        <v>Point Pedro</v>
      </c>
      <c r="B13995" s="11" t="s">
        <v>24972</v>
      </c>
      <c r="C13995" s="11" t="s">
        <v>24924</v>
      </c>
      <c r="D13995" s="11" t="s">
        <v>20426</v>
      </c>
      <c r="E13995" s="10">
        <v>1229989</v>
      </c>
      <c r="F13995" s="4" t="str">
        <f>IF(B13995=B13994,"",B13995)</f>
        <v/>
      </c>
    </row>
    <row r="13996" spans="1:6" ht="15.75" customHeight="1">
      <c r="A13996" s="16" t="s">
        <v>26081</v>
      </c>
      <c r="B13996" s="15" t="s">
        <v>26081</v>
      </c>
      <c r="C13996" s="16" t="s">
        <v>26070</v>
      </c>
      <c r="D13996" s="16" t="s">
        <v>26081</v>
      </c>
      <c r="E13996" s="2">
        <v>3573899</v>
      </c>
      <c r="F13996" s="4" t="str">
        <f>IF(B13996=B13995,"",B13996)</f>
        <v>Point Fortin</v>
      </c>
    </row>
    <row r="13997" spans="1:6" ht="15.75" customHeight="1">
      <c r="A13997" s="8" t="str">
        <f ca="1">IFERROR(__xludf.DUMMYFUNCTION("GOOGLETRANSLATE(B42252,""en"",""pt"")"),"Point Fortin")</f>
        <v>Point Fortin</v>
      </c>
      <c r="B13997" s="11" t="s">
        <v>26081</v>
      </c>
      <c r="C13997" s="11" t="s">
        <v>26070</v>
      </c>
      <c r="D13997" s="11" t="s">
        <v>26081</v>
      </c>
      <c r="E13997" s="10">
        <v>3573899</v>
      </c>
      <c r="F13997" s="4" t="str">
        <f>IF(B13997=B13996,"",B13997)</f>
        <v/>
      </c>
    </row>
    <row r="13998" spans="1:6" ht="15.75" customHeight="1">
      <c r="A13998" s="16" t="s">
        <v>1058</v>
      </c>
      <c r="B13998" s="15" t="s">
        <v>1059</v>
      </c>
      <c r="C13998" s="16" t="s">
        <v>885</v>
      </c>
      <c r="D13998" s="16" t="s">
        <v>827</v>
      </c>
      <c r="E13998" s="2">
        <v>2152819</v>
      </c>
      <c r="F13998" s="4" t="str">
        <f>IF(B13998=B13997,"",B13998)</f>
        <v>Point Cook</v>
      </c>
    </row>
    <row r="13999" spans="1:6" ht="15.75" customHeight="1">
      <c r="A13999" s="8" t="str">
        <f ca="1">IFERROR(__xludf.DUMMYFUNCTION("GOOGLETRANSLATE(B23464,""en"",""pt"")"),"Cozinheiro de pontos")</f>
        <v>Cozinheiro de pontos</v>
      </c>
      <c r="B13999" s="11" t="s">
        <v>1059</v>
      </c>
      <c r="C13999" s="11" t="s">
        <v>885</v>
      </c>
      <c r="D13999" s="11" t="s">
        <v>827</v>
      </c>
      <c r="E13999" s="10">
        <v>2152819</v>
      </c>
      <c r="F13999" s="4" t="str">
        <f>IF(B13999=B13998,"",B13999)</f>
        <v/>
      </c>
    </row>
    <row r="14000" spans="1:6" ht="15.75" customHeight="1">
      <c r="A14000" s="15" t="s">
        <v>29709</v>
      </c>
      <c r="B14000" s="15" t="s">
        <v>29709</v>
      </c>
      <c r="C14000" s="15" t="s">
        <v>27788</v>
      </c>
      <c r="D14000" s="15" t="s">
        <v>5468</v>
      </c>
      <c r="E14000" s="2">
        <v>4168930</v>
      </c>
      <c r="F14000" s="4" t="str">
        <f>IF(B14000=B13999,"",B14000)</f>
        <v>Poinciana</v>
      </c>
    </row>
    <row r="14001" spans="1:6" ht="15.75" customHeight="1">
      <c r="A14001" s="8" t="str">
        <f ca="1">IFERROR(__xludf.DUMMYFUNCTION("GOOGLETRANSLATE(B42993,""en"",""pt"")"),"Poinciana")</f>
        <v>Poinciana</v>
      </c>
      <c r="B14001" s="11" t="s">
        <v>29709</v>
      </c>
      <c r="C14001" s="11" t="s">
        <v>27788</v>
      </c>
      <c r="D14001" s="11" t="s">
        <v>5468</v>
      </c>
      <c r="E14001" s="10">
        <v>4168930</v>
      </c>
      <c r="F14001" s="4" t="str">
        <f>IF(B14001=B14000,"",B14001)</f>
        <v/>
      </c>
    </row>
    <row r="14002" spans="1:6" ht="15.75" customHeight="1">
      <c r="A14002" s="15" t="s">
        <v>24130</v>
      </c>
      <c r="B14002" s="15" t="s">
        <v>24130</v>
      </c>
      <c r="C14002" s="15" t="s">
        <v>24024</v>
      </c>
      <c r="D14002" s="15" t="s">
        <v>24025</v>
      </c>
      <c r="E14002" s="2">
        <v>1839071</v>
      </c>
      <c r="F14002" s="4" t="str">
        <f>IF(B14002=B14001,"",B14002)</f>
        <v>Pohang</v>
      </c>
    </row>
    <row r="14003" spans="1:6" ht="15.75" customHeight="1">
      <c r="A14003" s="8" t="str">
        <f ca="1">IFERROR(__xludf.DUMMYFUNCTION("GOOGLETRANSLATE(B36084,""en"",""pt"")"),"Pohang")</f>
        <v>Pohang</v>
      </c>
      <c r="B14003" s="11" t="s">
        <v>24130</v>
      </c>
      <c r="C14003" s="11" t="s">
        <v>24024</v>
      </c>
      <c r="D14003" s="11" t="s">
        <v>24025</v>
      </c>
      <c r="E14003" s="10">
        <v>1839071</v>
      </c>
      <c r="F14003" s="4" t="str">
        <f>IF(B14003=B14002,"",B14003)</f>
        <v/>
      </c>
    </row>
    <row r="14004" spans="1:6" ht="15.75" customHeight="1">
      <c r="A14004" s="16" t="s">
        <v>15373</v>
      </c>
      <c r="B14004" s="15" t="s">
        <v>15373</v>
      </c>
      <c r="C14004" s="16" t="s">
        <v>14891</v>
      </c>
      <c r="D14004" s="16" t="s">
        <v>14896</v>
      </c>
      <c r="E14004" s="2">
        <v>3170457</v>
      </c>
      <c r="F14004" s="4" t="str">
        <f>IF(B14004=B14003,"",B14004)</f>
        <v>Poggiomarino</v>
      </c>
    </row>
    <row r="14005" spans="1:6" ht="15.75" customHeight="1">
      <c r="A14005" s="8" t="str">
        <f ca="1">IFERROR(__xludf.DUMMYFUNCTION("GOOGLETRANSLATE(B34766,""en"",""pt"")"),"Poggiomarino")</f>
        <v>Poggiomarino</v>
      </c>
      <c r="B14005" s="11" t="s">
        <v>15373</v>
      </c>
      <c r="C14005" s="11" t="s">
        <v>14891</v>
      </c>
      <c r="D14005" s="11" t="s">
        <v>14896</v>
      </c>
      <c r="E14005" s="10">
        <v>3170457</v>
      </c>
      <c r="F14005" s="4" t="str">
        <f>IF(B14005=B14004,"",B14005)</f>
        <v/>
      </c>
    </row>
    <row r="14006" spans="1:6" ht="15.75" customHeight="1">
      <c r="A14006" s="16" t="s">
        <v>15372</v>
      </c>
      <c r="B14006" s="15" t="s">
        <v>15372</v>
      </c>
      <c r="C14006" s="16" t="s">
        <v>14891</v>
      </c>
      <c r="D14006" s="16" t="s">
        <v>14943</v>
      </c>
      <c r="E14006" s="2">
        <v>3170504</v>
      </c>
      <c r="F14006" s="4" t="str">
        <f>IF(B14006=B14005,"",B14006)</f>
        <v>Poggibonsi</v>
      </c>
    </row>
    <row r="14007" spans="1:6" ht="15.75" customHeight="1">
      <c r="A14007" s="8" t="str">
        <f ca="1">IFERROR(__xludf.DUMMYFUNCTION("GOOGLETRANSLATE(B34767,""en"",""pt"")"),"Poggibonsi")</f>
        <v>Poggibonsi</v>
      </c>
      <c r="B14007" s="11" t="s">
        <v>15372</v>
      </c>
      <c r="C14007" s="11" t="s">
        <v>14891</v>
      </c>
      <c r="D14007" s="11" t="s">
        <v>14943</v>
      </c>
      <c r="E14007" s="10">
        <v>3170504</v>
      </c>
      <c r="F14007" s="4" t="str">
        <f>IF(B14007=B14006,"",B14007)</f>
        <v/>
      </c>
    </row>
    <row r="14008" spans="1:6" ht="15.75" customHeight="1">
      <c r="A14008" s="15" t="s">
        <v>16875</v>
      </c>
      <c r="B14008" s="15" t="s">
        <v>16875</v>
      </c>
      <c r="C14008" s="15" t="s">
        <v>16852</v>
      </c>
      <c r="D14008" s="15" t="s">
        <v>16861</v>
      </c>
      <c r="E14008" s="2">
        <v>786950</v>
      </c>
      <c r="F14008" s="4" t="str">
        <f>IF(B14008=B14007,"",B14008)</f>
        <v>Podujeva</v>
      </c>
    </row>
    <row r="14009" spans="1:6" ht="15.75" customHeight="1">
      <c r="A14009" s="8" t="str">
        <f ca="1">IFERROR(__xludf.DUMMYFUNCTION("GOOGLETRANSLATE(B45803,""en"",""pt"")"),"Podujeva")</f>
        <v>Podujeva</v>
      </c>
      <c r="B14009" s="9" t="s">
        <v>16875</v>
      </c>
      <c r="C14009" s="9" t="s">
        <v>16852</v>
      </c>
      <c r="D14009" s="9" t="s">
        <v>16861</v>
      </c>
      <c r="E14009" s="10">
        <v>786950</v>
      </c>
      <c r="F14009" s="4" t="str">
        <f>IF(B14009=B14008,"",B14009)</f>
        <v/>
      </c>
    </row>
    <row r="14010" spans="1:6" ht="15.75" customHeight="1">
      <c r="A14010" s="16" t="s">
        <v>22949</v>
      </c>
      <c r="B14010" s="15" t="s">
        <v>22950</v>
      </c>
      <c r="C14010" s="16" t="s">
        <v>22070</v>
      </c>
      <c r="D14010" s="16" t="s">
        <v>22094</v>
      </c>
      <c r="E14010" s="2">
        <v>508034</v>
      </c>
      <c r="F14010" s="4" t="str">
        <f>IF(B14010=B14009,"",B14010)</f>
        <v>Podporozhâ€™ye</v>
      </c>
    </row>
    <row r="14011" spans="1:6" ht="15.75" customHeight="1">
      <c r="A14011" s="8" t="str">
        <f ca="1">IFERROR(__xludf.DUMMYFUNCTION("GOOGLETRANSLATE(B40190,""en"",""pt"")"),"Podpozh'ye")</f>
        <v>Podpozh'ye</v>
      </c>
      <c r="B14011" s="9" t="s">
        <v>35470</v>
      </c>
      <c r="C14011" s="9" t="s">
        <v>22070</v>
      </c>
      <c r="D14011" s="9" t="s">
        <v>22094</v>
      </c>
      <c r="E14011" s="10">
        <v>508034</v>
      </c>
      <c r="F14011" s="4" t="str">
        <f>IF(B14011=B14010,"",B14011)</f>
        <v>Podporozh’ye</v>
      </c>
    </row>
    <row r="14012" spans="1:6" ht="15.75" customHeight="1">
      <c r="A14012" s="15" t="s">
        <v>22947</v>
      </c>
      <c r="B14012" s="15" t="s">
        <v>22948</v>
      </c>
      <c r="C14012" s="15" t="s">
        <v>22070</v>
      </c>
      <c r="D14012" s="15" t="s">
        <v>22119</v>
      </c>
      <c r="E14012" s="2">
        <v>508101</v>
      </c>
      <c r="F14012" s="4" t="str">
        <f>IF(B14012=B14011,"",B14012)</f>
        <v>Podolâ€™sk</v>
      </c>
    </row>
    <row r="14013" spans="1:6" ht="15.75" customHeight="1">
      <c r="A14013" s="8" t="str">
        <f ca="1">IFERROR(__xludf.DUMMYFUNCTION("GOOGLETRANSLATE(B40191,""en"",""pt"")"),"Podol'sk")</f>
        <v>Podol'sk</v>
      </c>
      <c r="B14013" s="9" t="s">
        <v>35471</v>
      </c>
      <c r="C14013" s="9" t="s">
        <v>22070</v>
      </c>
      <c r="D14013" s="9" t="s">
        <v>22119</v>
      </c>
      <c r="E14013" s="10">
        <v>508101</v>
      </c>
      <c r="F14013" s="4" t="str">
        <f>IF(B14013=B14012,"",B14013)</f>
        <v>Podol’sk</v>
      </c>
    </row>
    <row r="14014" spans="1:6" ht="15.75" customHeight="1">
      <c r="A14014" s="16" t="s">
        <v>18544</v>
      </c>
      <c r="B14014" s="15" t="s">
        <v>18544</v>
      </c>
      <c r="C14014" s="16" t="s">
        <v>2921</v>
      </c>
      <c r="D14014" s="16" t="s">
        <v>18544</v>
      </c>
      <c r="E14014" s="2">
        <v>3193044</v>
      </c>
      <c r="F14014" s="4" t="str">
        <f>IF(B14014=B14013,"",B14014)</f>
        <v>Podgorica</v>
      </c>
    </row>
    <row r="14015" spans="1:6" ht="15.75" customHeight="1">
      <c r="A14015" s="8" t="str">
        <f ca="1">IFERROR(__xludf.DUMMYFUNCTION("GOOGLETRANSLATE(B36546,""en"",""pt"")"),"Podgorica")</f>
        <v>Podgorica</v>
      </c>
      <c r="B14015" s="11" t="s">
        <v>18544</v>
      </c>
      <c r="C14015" s="11" t="s">
        <v>2921</v>
      </c>
      <c r="D14015" s="11" t="s">
        <v>18544</v>
      </c>
      <c r="E14015" s="10">
        <v>3193044</v>
      </c>
      <c r="F14015" s="4" t="str">
        <f>IF(B14015=B14014,"",B14015)</f>
        <v/>
      </c>
    </row>
    <row r="14016" spans="1:6" ht="15.75" customHeight="1">
      <c r="A14016" s="8" t="str">
        <f ca="1">IFERROR(__xludf.DUMMYFUNCTION("GOOGLETRANSLATE(B24689,""en"",""pt"")"),"POÇOS DE CALDAS")</f>
        <v>POÇOS DE CALDAS</v>
      </c>
      <c r="B14016" s="9" t="s">
        <v>31546</v>
      </c>
      <c r="C14016" s="9" t="s">
        <v>1905</v>
      </c>
      <c r="D14016" s="9" t="s">
        <v>1917</v>
      </c>
      <c r="E14016" s="10">
        <v>3453303</v>
      </c>
      <c r="F14016" s="4" t="str">
        <f>IF(B14016=B14015,"",B14016)</f>
        <v>Poços de Caldas</v>
      </c>
    </row>
    <row r="14017" spans="1:6" ht="15.75" customHeight="1">
      <c r="A14017" s="8" t="str">
        <f ca="1">IFERROR(__xludf.DUMMYFUNCTION("GOOGLETRANSLATE(B24690,""en"",""pt"")"),"Poconé")</f>
        <v>Poconé</v>
      </c>
      <c r="B14017" s="9" t="s">
        <v>31547</v>
      </c>
      <c r="C14017" s="9" t="s">
        <v>1905</v>
      </c>
      <c r="D14017" s="9" t="s">
        <v>2036</v>
      </c>
      <c r="E14017" s="10">
        <v>3453315</v>
      </c>
      <c r="F14017" s="4" t="str">
        <f>IF(B14017=B14016,"",B14017)</f>
        <v>Poconé</v>
      </c>
    </row>
    <row r="14018" spans="1:6" ht="15.75" customHeight="1">
      <c r="A14018" s="15" t="s">
        <v>3138</v>
      </c>
      <c r="B14018" s="15" t="s">
        <v>3139</v>
      </c>
      <c r="C14018" s="15" t="s">
        <v>1905</v>
      </c>
      <c r="D14018" s="15" t="s">
        <v>2036</v>
      </c>
      <c r="E14018" s="2">
        <v>3453315</v>
      </c>
      <c r="F14018" s="4" t="str">
        <f>IF(B14018=B14017,"",B14018)</f>
        <v>PoconÃ©</v>
      </c>
    </row>
    <row r="14019" spans="1:6" ht="15.75" customHeight="1">
      <c r="A14019" s="8" t="str">
        <f ca="1">IFERROR(__xludf.DUMMYFUNCTION("GOOGLETRANSLATE(B24691,""en"",""pt"")"),"PoÇões")</f>
        <v>PoÇões</v>
      </c>
      <c r="B14019" s="11" t="s">
        <v>31548</v>
      </c>
      <c r="C14019" s="11" t="s">
        <v>1905</v>
      </c>
      <c r="D14019" s="11" t="s">
        <v>1947</v>
      </c>
      <c r="E14019" s="10">
        <v>3453337</v>
      </c>
      <c r="F14019" s="4" t="str">
        <f>IF(B14019=B14018,"",B14019)</f>
        <v>Poções</v>
      </c>
    </row>
    <row r="14020" spans="1:6" ht="15.75" customHeight="1">
      <c r="A14020" s="15" t="s">
        <v>735</v>
      </c>
      <c r="B14020" s="15" t="s">
        <v>735</v>
      </c>
      <c r="C14020" s="15" t="s">
        <v>558</v>
      </c>
      <c r="D14020" s="15" t="s">
        <v>568</v>
      </c>
      <c r="E14020" s="2">
        <v>3840860</v>
      </c>
      <c r="F14020" s="4" t="str">
        <f>IF(B14020=B14019,"",B14020)</f>
        <v>Pocito</v>
      </c>
    </row>
    <row r="14021" spans="1:6" ht="15.75" customHeight="1">
      <c r="A14021" s="8" t="str">
        <f ca="1">IFERROR(__xludf.DUMMYFUNCTION("GOOGLETRANSLATE(B23292,""en"",""pt"")"),"Pocito")</f>
        <v>Pocito</v>
      </c>
      <c r="B14021" s="11" t="s">
        <v>735</v>
      </c>
      <c r="C14021" s="11" t="s">
        <v>558</v>
      </c>
      <c r="D14021" s="11" t="s">
        <v>568</v>
      </c>
      <c r="E14021" s="10">
        <v>3840860</v>
      </c>
      <c r="F14021" s="4" t="str">
        <f>IF(B14021=B14020,"",B14021)</f>
        <v/>
      </c>
    </row>
    <row r="14022" spans="1:6" ht="15.75" customHeight="1">
      <c r="A14022" s="15" t="s">
        <v>22946</v>
      </c>
      <c r="B14022" s="15" t="s">
        <v>22946</v>
      </c>
      <c r="C14022" s="15" t="s">
        <v>22070</v>
      </c>
      <c r="D14022" s="15" t="s">
        <v>22272</v>
      </c>
      <c r="E14022" s="2">
        <v>508656</v>
      </c>
      <c r="F14022" s="4" t="str">
        <f>IF(B14022=B14021,"",B14022)</f>
        <v>Pochep</v>
      </c>
    </row>
    <row r="14023" spans="1:6" ht="15.75" customHeight="1">
      <c r="A14023" s="8" t="str">
        <f ca="1">IFERROR(__xludf.DUMMYFUNCTION("GOOGLETRANSLATE(B40192,""en"",""pt"")"),"Pochep")</f>
        <v>Pochep</v>
      </c>
      <c r="B14023" s="11" t="s">
        <v>22946</v>
      </c>
      <c r="C14023" s="11" t="s">
        <v>22070</v>
      </c>
      <c r="D14023" s="11" t="s">
        <v>22272</v>
      </c>
      <c r="E14023" s="10">
        <v>508656</v>
      </c>
      <c r="F14023" s="4" t="str">
        <f>IF(B14023=B14022,"",B14023)</f>
        <v/>
      </c>
    </row>
    <row r="14024" spans="1:6" ht="15.75" customHeight="1">
      <c r="A14024" s="15" t="s">
        <v>29708</v>
      </c>
      <c r="B14024" s="15" t="s">
        <v>29708</v>
      </c>
      <c r="C14024" s="15" t="s">
        <v>27788</v>
      </c>
      <c r="D14024" s="15" t="s">
        <v>28059</v>
      </c>
      <c r="E14024" s="2">
        <v>5604045</v>
      </c>
      <c r="F14024" s="4" t="str">
        <f>IF(B14024=B14023,"",B14024)</f>
        <v>Pocatello</v>
      </c>
    </row>
    <row r="14025" spans="1:6" ht="15.75" customHeight="1">
      <c r="A14025" s="8" t="str">
        <f ca="1">IFERROR(__xludf.DUMMYFUNCTION("GOOGLETRANSLATE(B45205,""en"",""pt"")"),"Pocatello")</f>
        <v>Pocatello</v>
      </c>
      <c r="B14025" s="11" t="s">
        <v>29708</v>
      </c>
      <c r="C14025" s="11" t="s">
        <v>27788</v>
      </c>
      <c r="D14025" s="11" t="s">
        <v>28059</v>
      </c>
      <c r="E14025" s="10">
        <v>5604045</v>
      </c>
      <c r="F14025" s="4" t="str">
        <f>IF(B14025=B14024,"",B14025)</f>
        <v/>
      </c>
    </row>
    <row r="14026" spans="1:6" ht="15.75" customHeight="1">
      <c r="A14026" s="8" t="str">
        <f ca="1">IFERROR(__xludf.DUMMYFUNCTION("GOOGLETRANSLATE(B24086,""en"",""pt"")"),"Pobé")</f>
        <v>Pobé</v>
      </c>
      <c r="B14026" s="9" t="s">
        <v>1780</v>
      </c>
      <c r="C14026" s="9" t="s">
        <v>1741</v>
      </c>
      <c r="D14026" s="9" t="s">
        <v>1771</v>
      </c>
      <c r="E14026" s="10">
        <v>2392108</v>
      </c>
      <c r="F14026" s="4" t="str">
        <f>IF(B14026=B14025,"",B14026)</f>
        <v>Pobé</v>
      </c>
    </row>
    <row r="14027" spans="1:6" ht="15.75" customHeight="1">
      <c r="A14027" s="15" t="s">
        <v>1780</v>
      </c>
      <c r="B14027" s="15" t="s">
        <v>1781</v>
      </c>
      <c r="C14027" s="15" t="s">
        <v>1741</v>
      </c>
      <c r="D14027" s="15" t="s">
        <v>1771</v>
      </c>
      <c r="E14027" s="2">
        <v>2392108</v>
      </c>
      <c r="F14027" s="4" t="str">
        <f>IF(B14027=B14026,"",B14027)</f>
        <v>PobÃ©</v>
      </c>
    </row>
    <row r="14028" spans="1:6" ht="15.75" customHeight="1">
      <c r="A14028" s="15" t="s">
        <v>5726</v>
      </c>
      <c r="B14028" s="15" t="s">
        <v>5727</v>
      </c>
      <c r="C14028" s="15" t="s">
        <v>5711</v>
      </c>
      <c r="D14028" s="15" t="s">
        <v>5728</v>
      </c>
      <c r="E14028" s="2">
        <v>3190589</v>
      </c>
      <c r="F14028" s="4" t="str">
        <f>IF(B14028=B14027,"",B14028)</f>
        <v>PoÅ¾ega</v>
      </c>
    </row>
    <row r="14029" spans="1:6" ht="15.75" customHeight="1">
      <c r="A14029" s="16" t="s">
        <v>23646</v>
      </c>
      <c r="B14029" s="15" t="s">
        <v>23647</v>
      </c>
      <c r="C14029" s="16" t="s">
        <v>23602</v>
      </c>
      <c r="D14029" s="16" t="s">
        <v>23603</v>
      </c>
      <c r="E14029" s="2">
        <v>786827</v>
      </c>
      <c r="F14029" s="4" t="str">
        <f>IF(B14029=B14028,"",B14029)</f>
        <v>PoÅ¾arevac</v>
      </c>
    </row>
    <row r="14030" spans="1:6" ht="15.75" customHeight="1">
      <c r="A14030" s="16" t="s">
        <v>3136</v>
      </c>
      <c r="B14030" s="15" t="s">
        <v>3137</v>
      </c>
      <c r="C14030" s="16" t="s">
        <v>1905</v>
      </c>
      <c r="D14030" s="16" t="s">
        <v>1917</v>
      </c>
      <c r="E14030" s="2">
        <v>3453303</v>
      </c>
      <c r="F14030" s="4" t="str">
        <f>IF(B14030=B14029,"",B14030)</f>
        <v>PoÃ§os de Caldas</v>
      </c>
    </row>
    <row r="14031" spans="1:6" ht="15.75" customHeight="1">
      <c r="A14031" s="15" t="s">
        <v>3134</v>
      </c>
      <c r="B14031" s="15" t="s">
        <v>3135</v>
      </c>
      <c r="C14031" s="15" t="s">
        <v>1905</v>
      </c>
      <c r="D14031" s="15" t="s">
        <v>1947</v>
      </c>
      <c r="E14031" s="2">
        <v>3453337</v>
      </c>
      <c r="F14031" s="4" t="str">
        <f>IF(B14031=B14030,"",B14031)</f>
        <v>PoÃ§Ãµes</v>
      </c>
    </row>
    <row r="14032" spans="1:6" ht="15.75" customHeight="1">
      <c r="A14032" s="15" t="s">
        <v>3132</v>
      </c>
      <c r="B14032" s="15" t="s">
        <v>3133</v>
      </c>
      <c r="C14032" s="15" t="s">
        <v>1905</v>
      </c>
      <c r="D14032" s="15" t="s">
        <v>1914</v>
      </c>
      <c r="E14032" s="2">
        <v>3453406</v>
      </c>
      <c r="F14032" s="4" t="str">
        <f>IF(B14032=B14031,"",B14032)</f>
        <v>PoÃ¡</v>
      </c>
    </row>
    <row r="14033" spans="1:6" ht="15.75" customHeight="1">
      <c r="A14033" s="8" t="str">
        <f ca="1">IFERROR(__xludf.DUMMYFUNCTION("GOOGLETRANSLATE(B24692,""en"",""pt"")"),"Poá")</f>
        <v>Poá</v>
      </c>
      <c r="B14033" s="11" t="s">
        <v>31549</v>
      </c>
      <c r="C14033" s="11" t="s">
        <v>1905</v>
      </c>
      <c r="D14033" s="11" t="s">
        <v>3354</v>
      </c>
      <c r="E14033" s="10">
        <v>3453406</v>
      </c>
      <c r="F14033" s="4" t="str">
        <f>IF(B14033=B14032,"",B14033)</f>
        <v>Poá</v>
      </c>
    </row>
    <row r="14034" spans="1:6" ht="15.75" customHeight="1">
      <c r="A14034" s="8" t="str">
        <f ca="1">IFERROR(__xludf.DUMMYFUNCTION("GOOGLETRANSLATE(B23981,""en"",""pt"")"),"Pô")</f>
        <v>Pô</v>
      </c>
      <c r="B14034" s="9" t="s">
        <v>31316</v>
      </c>
      <c r="C14034" s="9" t="s">
        <v>3768</v>
      </c>
      <c r="D14034" s="9" t="s">
        <v>3800</v>
      </c>
      <c r="E14034" s="10">
        <v>2356454</v>
      </c>
      <c r="F14034" s="4" t="str">
        <f>IF(B14034=B14033,"",B14034)</f>
        <v>Pô</v>
      </c>
    </row>
    <row r="14035" spans="1:6" ht="15.75" customHeight="1">
      <c r="A14035" s="16" t="s">
        <v>27597</v>
      </c>
      <c r="B14035" s="15" t="s">
        <v>27597</v>
      </c>
      <c r="C14035" s="16" t="s">
        <v>27234</v>
      </c>
      <c r="D14035" s="16" t="s">
        <v>27241</v>
      </c>
      <c r="E14035" s="2">
        <v>2640190</v>
      </c>
      <c r="F14035" s="4" t="str">
        <f>IF(B14035=B14034,"",B14035)</f>
        <v>Plymstock</v>
      </c>
    </row>
    <row r="14036" spans="1:6" ht="15.75" customHeight="1">
      <c r="A14036" s="8" t="str">
        <f ca="1">IFERROR(__xludf.DUMMYFUNCTION("GOOGLETRANSLATE(B30479,""en"",""pt"")"),"Plymstock")</f>
        <v>Plymstock</v>
      </c>
      <c r="B14036" s="11" t="s">
        <v>27597</v>
      </c>
      <c r="C14036" s="11" t="s">
        <v>27234</v>
      </c>
      <c r="D14036" s="11" t="s">
        <v>27241</v>
      </c>
      <c r="E14036" s="10">
        <v>2640190</v>
      </c>
      <c r="F14036" s="4" t="str">
        <f>IF(B14036=B14035,"",B14036)</f>
        <v/>
      </c>
    </row>
    <row r="14037" spans="1:6" ht="15.75" customHeight="1">
      <c r="A14037" s="15" t="s">
        <v>18548</v>
      </c>
      <c r="B14037" s="15" t="s">
        <v>18548</v>
      </c>
      <c r="C14037" s="15" t="s">
        <v>18546</v>
      </c>
      <c r="D14037" s="15" t="s">
        <v>18549</v>
      </c>
      <c r="E14037" s="2">
        <v>3578069</v>
      </c>
      <c r="F14037" s="4" t="str">
        <f>IF(B14037=B14036,"",B14037)</f>
        <v>Plymouth</v>
      </c>
    </row>
    <row r="14038" spans="1:6" ht="15.75" customHeight="1">
      <c r="A14038" s="15" t="s">
        <v>18548</v>
      </c>
      <c r="B14038" s="15" t="s">
        <v>18548</v>
      </c>
      <c r="C14038" s="15" t="s">
        <v>27234</v>
      </c>
      <c r="D14038" s="15" t="s">
        <v>27241</v>
      </c>
      <c r="E14038" s="2">
        <v>2640194</v>
      </c>
      <c r="F14038" s="4" t="str">
        <f>IF(B14038=B14037,"",B14038)</f>
        <v/>
      </c>
    </row>
    <row r="14039" spans="1:6" ht="15.75" customHeight="1">
      <c r="A14039" s="15" t="s">
        <v>18548</v>
      </c>
      <c r="B14039" s="15" t="s">
        <v>18548</v>
      </c>
      <c r="C14039" s="15" t="s">
        <v>27788</v>
      </c>
      <c r="D14039" s="15" t="s">
        <v>27824</v>
      </c>
      <c r="E14039" s="2">
        <v>5041926</v>
      </c>
      <c r="F14039" s="4" t="str">
        <f>IF(B14039=B14038,"",B14039)</f>
        <v/>
      </c>
    </row>
    <row r="14040" spans="1:6" ht="15.75" customHeight="1">
      <c r="A14040" s="8" t="str">
        <f ca="1">IFERROR(__xludf.DUMMYFUNCTION("GOOGLETRANSLATE(B30480,""en"",""pt"")"),"Plymouth")</f>
        <v>Plymouth</v>
      </c>
      <c r="B14040" s="9" t="s">
        <v>18548</v>
      </c>
      <c r="C14040" s="9" t="s">
        <v>27234</v>
      </c>
      <c r="D14040" s="9" t="s">
        <v>27241</v>
      </c>
      <c r="E14040" s="10">
        <v>2640194</v>
      </c>
      <c r="F14040" s="4" t="str">
        <f>IF(B14040=B14039,"",B14040)</f>
        <v/>
      </c>
    </row>
    <row r="14041" spans="1:6" ht="15.75" customHeight="1">
      <c r="A14041" s="8" t="str">
        <f ca="1">IFERROR(__xludf.DUMMYFUNCTION("GOOGLETRANSLATE(B36805,""en"",""pt"")"),"Plymouth")</f>
        <v>Plymouth</v>
      </c>
      <c r="B14041" s="9" t="s">
        <v>18548</v>
      </c>
      <c r="C14041" s="9" t="s">
        <v>18546</v>
      </c>
      <c r="D14041" s="9" t="s">
        <v>18549</v>
      </c>
      <c r="E14041" s="10">
        <v>3578069</v>
      </c>
      <c r="F14041" s="4" t="str">
        <f>IF(B14041=B14040,"",B14041)</f>
        <v/>
      </c>
    </row>
    <row r="14042" spans="1:6" ht="15.75" customHeight="1">
      <c r="A14042" s="8" t="str">
        <f ca="1">IFERROR(__xludf.DUMMYFUNCTION("GOOGLETRANSLATE(B44185,""en"",""pt"")"),"Plymouth")</f>
        <v>Plymouth</v>
      </c>
      <c r="B14042" s="11" t="s">
        <v>18548</v>
      </c>
      <c r="C14042" s="11" t="s">
        <v>27788</v>
      </c>
      <c r="D14042" s="11" t="s">
        <v>27824</v>
      </c>
      <c r="E14042" s="10">
        <v>5041926</v>
      </c>
      <c r="F14042" s="4" t="str">
        <f>IF(B14042=B14041,"",B14042)</f>
        <v/>
      </c>
    </row>
    <row r="14043" spans="1:6" ht="15.75" customHeight="1">
      <c r="A14043" s="15" t="s">
        <v>17196</v>
      </c>
      <c r="B14043" s="15" t="s">
        <v>17197</v>
      </c>
      <c r="C14043" s="15" t="s">
        <v>17154</v>
      </c>
      <c r="D14043" s="15" t="s">
        <v>17187</v>
      </c>
      <c r="E14043" s="2">
        <v>595689</v>
      </c>
      <c r="F14043" s="4" t="str">
        <f>IF(B14043=B14042,"",B14043)</f>
        <v>Plunge</v>
      </c>
    </row>
    <row r="14044" spans="1:6" ht="15.75" customHeight="1">
      <c r="A14044" s="8" t="str">
        <f ca="1">IFERROR(__xludf.DUMMYFUNCTION("GOOGLETRANSLATE(B36370,""en"",""pt"")"),"Mergulho")</f>
        <v>Mergulho</v>
      </c>
      <c r="B14044" s="11" t="s">
        <v>17197</v>
      </c>
      <c r="C14044" s="11" t="s">
        <v>17154</v>
      </c>
      <c r="D14044" s="11" t="s">
        <v>34525</v>
      </c>
      <c r="E14044" s="10">
        <v>595689</v>
      </c>
      <c r="F14044" s="4" t="str">
        <f>IF(B14044=B14043,"",B14044)</f>
        <v/>
      </c>
    </row>
    <row r="14045" spans="1:6" ht="15.75" customHeight="1">
      <c r="A14045" s="15" t="s">
        <v>14104</v>
      </c>
      <c r="B14045" s="15" t="s">
        <v>14104</v>
      </c>
      <c r="C14045" s="15" t="s">
        <v>13800</v>
      </c>
      <c r="D14045" s="15" t="s">
        <v>13811</v>
      </c>
      <c r="E14045" s="2">
        <v>1630997</v>
      </c>
      <c r="F14045" s="4" t="str">
        <f>IF(B14045=B14044,"",B14045)</f>
        <v>Plumbon</v>
      </c>
    </row>
    <row r="14046" spans="1:6" ht="15.75" customHeight="1">
      <c r="A14046" s="8" t="str">
        <f ca="1">IFERROR(__xludf.DUMMYFUNCTION("GOOGLETRANSLATE(B31488,""en"",""pt"")"),"Plumbon")</f>
        <v>Plumbon</v>
      </c>
      <c r="B14046" s="11" t="s">
        <v>14104</v>
      </c>
      <c r="C14046" s="11" t="s">
        <v>13800</v>
      </c>
      <c r="D14046" s="11" t="s">
        <v>13811</v>
      </c>
      <c r="E14046" s="10">
        <v>1630997</v>
      </c>
      <c r="F14046" s="4" t="str">
        <f>IF(B14046=B14045,"",B14046)</f>
        <v/>
      </c>
    </row>
    <row r="14047" spans="1:6" ht="15.75" customHeight="1">
      <c r="A14047" s="15" t="s">
        <v>29706</v>
      </c>
      <c r="B14047" s="15" t="s">
        <v>29707</v>
      </c>
      <c r="C14047" s="15" t="s">
        <v>27788</v>
      </c>
      <c r="D14047" s="15" t="s">
        <v>27836</v>
      </c>
      <c r="E14047" s="2">
        <v>5206606</v>
      </c>
      <c r="F14047" s="4" t="str">
        <f>IF(B14047=B14046,"",B14047)</f>
        <v>Plum</v>
      </c>
    </row>
    <row r="14048" spans="1:6" ht="15.75" customHeight="1">
      <c r="A14048" s="8" t="str">
        <f ca="1">IFERROR(__xludf.DUMMYFUNCTION("GOOGLETRANSLATE(B44590,""en"",""pt"")"),"Ameixa")</f>
        <v>Ameixa</v>
      </c>
      <c r="B14048" s="11" t="s">
        <v>29707</v>
      </c>
      <c r="C14048" s="11" t="s">
        <v>27788</v>
      </c>
      <c r="D14048" s="11" t="s">
        <v>27836</v>
      </c>
      <c r="E14048" s="10">
        <v>5206606</v>
      </c>
      <c r="F14048" s="4" t="str">
        <f>IF(B14048=B14047,"",B14048)</f>
        <v/>
      </c>
    </row>
    <row r="14049" spans="1:6" ht="15.75" customHeight="1">
      <c r="A14049" s="15" t="s">
        <v>3702</v>
      </c>
      <c r="B14049" s="15" t="s">
        <v>3702</v>
      </c>
      <c r="C14049" s="15" t="s">
        <v>3701</v>
      </c>
      <c r="D14049" s="15" t="s">
        <v>3702</v>
      </c>
      <c r="E14049" s="2">
        <v>728193</v>
      </c>
      <c r="F14049" s="4" t="str">
        <f>IF(B14049=B14048,"",B14049)</f>
        <v>Plovdiv</v>
      </c>
    </row>
    <row r="14050" spans="1:6" ht="15.75" customHeight="1">
      <c r="A14050" s="8" t="str">
        <f ca="1">IFERROR(__xludf.DUMMYFUNCTION("GOOGLETRANSLATE(B24032,""en"",""pt"")"),"Plovdiv")</f>
        <v>Plovdiv</v>
      </c>
      <c r="B14050" s="11" t="s">
        <v>3702</v>
      </c>
      <c r="C14050" s="11" t="s">
        <v>3701</v>
      </c>
      <c r="D14050" s="11" t="s">
        <v>3702</v>
      </c>
      <c r="E14050" s="10">
        <v>728193</v>
      </c>
      <c r="F14050" s="4" t="str">
        <f>IF(B14050=B14049,"",B14050)</f>
        <v/>
      </c>
    </row>
    <row r="14051" spans="1:6" ht="15.75" customHeight="1">
      <c r="A14051" s="15" t="s">
        <v>734</v>
      </c>
      <c r="B14051" s="15" t="s">
        <v>734</v>
      </c>
      <c r="C14051" s="15" t="s">
        <v>558</v>
      </c>
      <c r="D14051" s="15" t="s">
        <v>607</v>
      </c>
      <c r="E14051" s="2">
        <v>3840885</v>
      </c>
      <c r="F14051" s="4" t="str">
        <f>IF(B14051=B14050,"",B14051)</f>
        <v>Plottier</v>
      </c>
    </row>
    <row r="14052" spans="1:6" ht="15.75" customHeight="1">
      <c r="A14052" s="8" t="str">
        <f ca="1">IFERROR(__xludf.DUMMYFUNCTION("GOOGLETRANSLATE(B23293,""en"",""pt"")"),"Plottier")</f>
        <v>Plottier</v>
      </c>
      <c r="B14052" s="9" t="s">
        <v>734</v>
      </c>
      <c r="C14052" s="9" t="s">
        <v>558</v>
      </c>
      <c r="D14052" s="9" t="s">
        <v>607</v>
      </c>
      <c r="E14052" s="10">
        <v>3840885</v>
      </c>
      <c r="F14052" s="4" t="str">
        <f>IF(B14052=B14051,"",B14052)</f>
        <v/>
      </c>
    </row>
    <row r="14053" spans="1:6" ht="15.75" customHeight="1">
      <c r="A14053" s="8" t="str">
        <f ca="1">IFERROR(__xludf.DUMMYFUNCTION("GOOGLETRANSLATE(B39224,""en"",""pt"")"),"Płońsk")</f>
        <v>Płońsk</v>
      </c>
      <c r="B14053" s="11" t="s">
        <v>35091</v>
      </c>
      <c r="C14053" s="11" t="s">
        <v>21064</v>
      </c>
      <c r="D14053" s="11" t="s">
        <v>21070</v>
      </c>
      <c r="E14053" s="10">
        <v>762021</v>
      </c>
      <c r="F14053" s="4" t="str">
        <f>IF(B14053=B14052,"",B14053)</f>
        <v>Płońsk</v>
      </c>
    </row>
    <row r="14054" spans="1:6" ht="15.75" customHeight="1">
      <c r="A14054" s="8" t="str">
        <f ca="1">IFERROR(__xludf.DUMMYFUNCTION("GOOGLETRANSLATE(B39761,""en"",""pt"")"),"Ploieşti")</f>
        <v>Ploieşti</v>
      </c>
      <c r="B14054" s="9" t="s">
        <v>35364</v>
      </c>
      <c r="C14054" s="9" t="s">
        <v>21824</v>
      </c>
      <c r="D14054" s="9" t="s">
        <v>21840</v>
      </c>
      <c r="E14054" s="10">
        <v>670474</v>
      </c>
      <c r="F14054" s="4" t="str">
        <f>IF(B14054=B14053,"",B14054)</f>
        <v>Ploieşti</v>
      </c>
    </row>
    <row r="14055" spans="1:6" ht="15.75" customHeight="1">
      <c r="A14055" s="15" t="s">
        <v>21991</v>
      </c>
      <c r="B14055" s="15" t="s">
        <v>21992</v>
      </c>
      <c r="C14055" s="15" t="s">
        <v>21824</v>
      </c>
      <c r="D14055" s="15" t="s">
        <v>21840</v>
      </c>
      <c r="E14055" s="2">
        <v>670474</v>
      </c>
      <c r="F14055" s="4" t="str">
        <f>IF(B14055=B14054,"",B14055)</f>
        <v>PloieÅŸti</v>
      </c>
    </row>
    <row r="14056" spans="1:6" ht="15.75" customHeight="1">
      <c r="A14056" s="15" t="s">
        <v>7682</v>
      </c>
      <c r="B14056" s="15" t="s">
        <v>7682</v>
      </c>
      <c r="C14056" s="15" t="s">
        <v>7052</v>
      </c>
      <c r="D14056" s="15" t="s">
        <v>7190</v>
      </c>
      <c r="E14056" s="2">
        <v>2986732</v>
      </c>
      <c r="F14056" s="4" t="str">
        <f>IF(B14056=B14055,"",B14056)</f>
        <v>Ploemeur</v>
      </c>
    </row>
    <row r="14057" spans="1:6" ht="15.75" customHeight="1">
      <c r="A14057" s="8" t="str">
        <f ca="1">IFERROR(__xludf.DUMMYFUNCTION("GOOGLETRANSLATE(B29848,""en"",""pt"")"),"Ploemeur")</f>
        <v>Ploemeur</v>
      </c>
      <c r="B14057" s="11" t="s">
        <v>7682</v>
      </c>
      <c r="C14057" s="11" t="s">
        <v>7052</v>
      </c>
      <c r="D14057" s="11" t="s">
        <v>7190</v>
      </c>
      <c r="E14057" s="10">
        <v>2986732</v>
      </c>
      <c r="F14057" s="4" t="str">
        <f>IF(B14057=B14056,"",B14057)</f>
        <v/>
      </c>
    </row>
    <row r="14058" spans="1:6" ht="15.75" customHeight="1">
      <c r="A14058" s="8" t="str">
        <f ca="1">IFERROR(__xludf.DUMMYFUNCTION("GOOGLETRANSLATE(B39377,""en"",""pt"")"),"Płock")</f>
        <v>Płock</v>
      </c>
      <c r="B14058" s="9" t="s">
        <v>35179</v>
      </c>
      <c r="C14058" s="9" t="s">
        <v>21064</v>
      </c>
      <c r="D14058" s="9" t="s">
        <v>21070</v>
      </c>
      <c r="E14058" s="10">
        <v>3088825</v>
      </c>
      <c r="F14058" s="4" t="str">
        <f>IF(B14058=B14057,"",B14058)</f>
        <v>Płock</v>
      </c>
    </row>
    <row r="14059" spans="1:6" ht="15.75" customHeight="1">
      <c r="A14059" s="15" t="s">
        <v>18543</v>
      </c>
      <c r="B14059" s="15" t="s">
        <v>18543</v>
      </c>
      <c r="C14059" s="15" t="s">
        <v>2921</v>
      </c>
      <c r="D14059" s="15" t="s">
        <v>18543</v>
      </c>
      <c r="E14059" s="2">
        <v>3193161</v>
      </c>
      <c r="F14059" s="4" t="str">
        <f>IF(B14059=B14058,"",B14059)</f>
        <v>Pljevlja</v>
      </c>
    </row>
    <row r="14060" spans="1:6" ht="15.75" customHeight="1">
      <c r="A14060" s="8" t="str">
        <f ca="1">IFERROR(__xludf.DUMMYFUNCTION("GOOGLETRANSLATE(B36547,""en"",""pt"")"),"Pljevlja")</f>
        <v>Pljevlja</v>
      </c>
      <c r="B14060" s="9" t="s">
        <v>18543</v>
      </c>
      <c r="C14060" s="9" t="s">
        <v>2921</v>
      </c>
      <c r="D14060" s="9" t="s">
        <v>18543</v>
      </c>
      <c r="E14060" s="10">
        <v>3193161</v>
      </c>
      <c r="F14060" s="4" t="str">
        <f>IF(B14060=B14059,"",B14060)</f>
        <v/>
      </c>
    </row>
    <row r="14061" spans="1:6" ht="15.75" customHeight="1">
      <c r="A14061" s="15" t="s">
        <v>3711</v>
      </c>
      <c r="B14061" s="15" t="s">
        <v>3711</v>
      </c>
      <c r="C14061" s="15" t="s">
        <v>3701</v>
      </c>
      <c r="D14061" s="15" t="s">
        <v>3711</v>
      </c>
      <c r="E14061" s="2">
        <v>728203</v>
      </c>
      <c r="F14061" s="4" t="str">
        <f>IF(B14061=B14060,"",B14061)</f>
        <v>Pleven</v>
      </c>
    </row>
    <row r="14062" spans="1:6" ht="15.75" customHeight="1">
      <c r="A14062" s="8" t="str">
        <f ca="1">IFERROR(__xludf.DUMMYFUNCTION("GOOGLETRANSLATE(B24033,""en"",""pt"")"),"Pleven")</f>
        <v>Pleven</v>
      </c>
      <c r="B14062" s="11" t="s">
        <v>3711</v>
      </c>
      <c r="C14062" s="11" t="s">
        <v>3701</v>
      </c>
      <c r="D14062" s="11" t="s">
        <v>3711</v>
      </c>
      <c r="E14062" s="10">
        <v>728203</v>
      </c>
      <c r="F14062" s="4" t="str">
        <f>IF(B14062=B14061,"",B14062)</f>
        <v/>
      </c>
    </row>
    <row r="14063" spans="1:6" ht="15.75" customHeight="1">
      <c r="A14063" s="16" t="s">
        <v>23955</v>
      </c>
      <c r="B14063" s="15" t="s">
        <v>23956</v>
      </c>
      <c r="C14063" s="16" t="s">
        <v>23842</v>
      </c>
      <c r="D14063" s="16" t="s">
        <v>23847</v>
      </c>
      <c r="E14063" s="2">
        <v>964712</v>
      </c>
      <c r="F14063" s="4" t="str">
        <f>IF(B14063=B14062,"",B14063)</f>
        <v>Plettenberg Bay</v>
      </c>
    </row>
    <row r="14064" spans="1:6" ht="15.75" customHeight="1">
      <c r="A14064" s="8" t="str">
        <f ca="1">IFERROR(__xludf.DUMMYFUNCTION("GOOGLETRANSLATE(B45895,""en"",""pt"")"),"Baía de Plettenberg")</f>
        <v>Baía de Plettenberg</v>
      </c>
      <c r="B14064" s="9" t="s">
        <v>23956</v>
      </c>
      <c r="C14064" s="9" t="s">
        <v>23842</v>
      </c>
      <c r="D14064" s="9" t="s">
        <v>23847</v>
      </c>
      <c r="E14064" s="10">
        <v>964712</v>
      </c>
      <c r="F14064" s="4" t="str">
        <f>IF(B14064=B14063,"",B14064)</f>
        <v/>
      </c>
    </row>
    <row r="14065" spans="1:6" ht="15.75" customHeight="1">
      <c r="A14065" s="16" t="s">
        <v>9001</v>
      </c>
      <c r="B14065" s="15" t="s">
        <v>9001</v>
      </c>
      <c r="C14065" s="16" t="s">
        <v>8028</v>
      </c>
      <c r="D14065" s="16" t="s">
        <v>8029</v>
      </c>
      <c r="E14065" s="2">
        <v>2853209</v>
      </c>
      <c r="F14065" s="4" t="str">
        <f>IF(B14065=B14064,"",B14065)</f>
        <v>Plettenberg</v>
      </c>
    </row>
    <row r="14066" spans="1:6" ht="15.75" customHeight="1">
      <c r="A14066" s="8" t="str">
        <f ca="1">IFERROR(__xludf.DUMMYFUNCTION("GOOGLETRANSLATE(B27642,""en"",""pt"")"),"Plettenberg")</f>
        <v>Plettenberg</v>
      </c>
      <c r="B14066" s="9" t="s">
        <v>9001</v>
      </c>
      <c r="C14066" s="9" t="s">
        <v>8028</v>
      </c>
      <c r="D14066" s="9" t="s">
        <v>8029</v>
      </c>
      <c r="E14066" s="10">
        <v>2853209</v>
      </c>
      <c r="F14066" s="4" t="str">
        <f>IF(B14066=B14065,"",B14066)</f>
        <v/>
      </c>
    </row>
    <row r="14067" spans="1:6" ht="15.75" customHeight="1">
      <c r="A14067" s="15" t="s">
        <v>21429</v>
      </c>
      <c r="B14067" s="15" t="s">
        <v>21429</v>
      </c>
      <c r="C14067" s="15" t="s">
        <v>21064</v>
      </c>
      <c r="D14067" s="15" t="s">
        <v>21112</v>
      </c>
      <c r="E14067" s="2">
        <v>3088848</v>
      </c>
      <c r="F14067" s="4" t="str">
        <f>IF(B14067=B14066,"",B14067)</f>
        <v>Pleszew</v>
      </c>
    </row>
    <row r="14068" spans="1:6" ht="15.75" customHeight="1">
      <c r="A14068" s="8" t="str">
        <f ca="1">IFERROR(__xludf.DUMMYFUNCTION("GOOGLETRANSLATE(B39378,""en"",""pt"")"),"Pleszew")</f>
        <v>Pleszew</v>
      </c>
      <c r="B14068" s="9" t="s">
        <v>21429</v>
      </c>
      <c r="C14068" s="9" t="s">
        <v>21064</v>
      </c>
      <c r="D14068" s="9" t="s">
        <v>21112</v>
      </c>
      <c r="E14068" s="10">
        <v>3088848</v>
      </c>
      <c r="F14068" s="4" t="str">
        <f>IF(B14068=B14067,"",B14068)</f>
        <v/>
      </c>
    </row>
    <row r="14069" spans="1:6" ht="15.75" customHeight="1">
      <c r="A14069" s="15" t="s">
        <v>30887</v>
      </c>
      <c r="B14069" s="15" t="s">
        <v>30887</v>
      </c>
      <c r="C14069" s="15" t="s">
        <v>30784</v>
      </c>
      <c r="D14069" s="15" t="s">
        <v>30888</v>
      </c>
      <c r="E14069" s="2">
        <v>1569684</v>
      </c>
      <c r="F14069" s="4" t="str">
        <f>IF(B14069=B14068,"",B14069)</f>
        <v>Pleiku</v>
      </c>
    </row>
    <row r="14070" spans="1:6" ht="15.75" customHeight="1">
      <c r="A14070" s="8" t="str">
        <f ca="1">IFERROR(__xludf.DUMMYFUNCTION("GOOGLETRANSLATE(B45738,""en"",""pt"")"),"Pleiku")</f>
        <v>Pleiku</v>
      </c>
      <c r="B14070" s="11" t="s">
        <v>30887</v>
      </c>
      <c r="C14070" s="11" t="s">
        <v>30784</v>
      </c>
      <c r="D14070" s="11" t="s">
        <v>30888</v>
      </c>
      <c r="E14070" s="10">
        <v>1569684</v>
      </c>
      <c r="F14070" s="4" t="str">
        <f>IF(B14070=B14069,"",B14070)</f>
        <v/>
      </c>
    </row>
    <row r="14071" spans="1:6" ht="15.75" customHeight="1">
      <c r="A14071" s="16" t="s">
        <v>29705</v>
      </c>
      <c r="B14071" s="15" t="s">
        <v>29705</v>
      </c>
      <c r="C14071" s="16" t="s">
        <v>27788</v>
      </c>
      <c r="D14071" s="16" t="s">
        <v>27909</v>
      </c>
      <c r="E14071" s="2">
        <v>4304713</v>
      </c>
      <c r="F14071" s="4" t="str">
        <f>IF(B14071=B14070,"",B14071)</f>
        <v>Pleasure Ridge Park</v>
      </c>
    </row>
    <row r="14072" spans="1:6" ht="15.75" customHeight="1">
      <c r="A14072" s="8" t="str">
        <f ca="1">IFERROR(__xludf.DUMMYFUNCTION("GOOGLETRANSLATE(B43216,""en"",""pt"")"),"Pleasure Ridge Park")</f>
        <v>Pleasure Ridge Park</v>
      </c>
      <c r="B14072" s="9" t="s">
        <v>29705</v>
      </c>
      <c r="C14072" s="9" t="s">
        <v>27788</v>
      </c>
      <c r="D14072" s="9" t="s">
        <v>27909</v>
      </c>
      <c r="E14072" s="10">
        <v>4304713</v>
      </c>
      <c r="F14072" s="4" t="str">
        <f>IF(B14072=B14071,"",B14072)</f>
        <v/>
      </c>
    </row>
    <row r="14073" spans="1:6" ht="15.75" customHeight="1">
      <c r="A14073" s="16" t="s">
        <v>29704</v>
      </c>
      <c r="B14073" s="15" t="s">
        <v>29704</v>
      </c>
      <c r="C14073" s="16" t="s">
        <v>27788</v>
      </c>
      <c r="D14073" s="16" t="s">
        <v>27905</v>
      </c>
      <c r="E14073" s="2">
        <v>4503646</v>
      </c>
      <c r="F14073" s="4" t="str">
        <f>IF(B14073=B14072,"",B14073)</f>
        <v>Pleasantville</v>
      </c>
    </row>
    <row r="14074" spans="1:6" ht="15.75" customHeight="1">
      <c r="A14074" s="8" t="str">
        <f ca="1">IFERROR(__xludf.DUMMYFUNCTION("GOOGLETRANSLATE(B43498,""en"",""pt"")"),"Pleasantville")</f>
        <v>Pleasantville</v>
      </c>
      <c r="B14074" s="9" t="s">
        <v>29704</v>
      </c>
      <c r="C14074" s="9" t="s">
        <v>27788</v>
      </c>
      <c r="D14074" s="9" t="s">
        <v>27905</v>
      </c>
      <c r="E14074" s="10">
        <v>4503646</v>
      </c>
      <c r="F14074" s="4" t="str">
        <f>IF(B14074=B14073,"",B14074)</f>
        <v/>
      </c>
    </row>
    <row r="14075" spans="1:6" ht="15.75" customHeight="1">
      <c r="A14075" s="16" t="s">
        <v>29703</v>
      </c>
      <c r="B14075" s="15" t="s">
        <v>29703</v>
      </c>
      <c r="C14075" s="16" t="s">
        <v>27788</v>
      </c>
      <c r="D14075" s="16" t="s">
        <v>27801</v>
      </c>
      <c r="E14075" s="2">
        <v>5383777</v>
      </c>
      <c r="F14075" s="4" t="str">
        <f>IF(B14075=B14074,"",B14075)</f>
        <v>Pleasanton</v>
      </c>
    </row>
    <row r="14076" spans="1:6" ht="15.75" customHeight="1">
      <c r="A14076" s="8" t="str">
        <f ca="1">IFERROR(__xludf.DUMMYFUNCTION("GOOGLETRANSLATE(B44965,""en"",""pt"")"),"Pleasanton")</f>
        <v>Pleasanton</v>
      </c>
      <c r="B14076" s="9" t="s">
        <v>29703</v>
      </c>
      <c r="C14076" s="9" t="s">
        <v>27788</v>
      </c>
      <c r="D14076" s="9" t="s">
        <v>27801</v>
      </c>
      <c r="E14076" s="10">
        <v>5383777</v>
      </c>
      <c r="F14076" s="4" t="str">
        <f>IF(B14076=B14075,"",B14076)</f>
        <v/>
      </c>
    </row>
    <row r="14077" spans="1:6" ht="15.75" customHeight="1">
      <c r="A14077" s="16" t="s">
        <v>29701</v>
      </c>
      <c r="B14077" s="15" t="s">
        <v>29702</v>
      </c>
      <c r="C14077" s="16" t="s">
        <v>27788</v>
      </c>
      <c r="D14077" s="16" t="s">
        <v>27890</v>
      </c>
      <c r="E14077" s="2">
        <v>5267403</v>
      </c>
      <c r="F14077" s="4" t="str">
        <f>IF(B14077=B14076,"",B14077)</f>
        <v>Pleasant Prairie</v>
      </c>
    </row>
    <row r="14078" spans="1:6" ht="15.75" customHeight="1">
      <c r="A14078" s="8" t="str">
        <f ca="1">IFERROR(__xludf.DUMMYFUNCTION("GOOGLETRANSLATE(B44669,""en"",""pt"")"),"Prairie agradável")</f>
        <v>Prairie agradável</v>
      </c>
      <c r="B14078" s="9" t="s">
        <v>29702</v>
      </c>
      <c r="C14078" s="9" t="s">
        <v>27788</v>
      </c>
      <c r="D14078" s="9" t="s">
        <v>27890</v>
      </c>
      <c r="E14078" s="10">
        <v>5267403</v>
      </c>
      <c r="F14078" s="4" t="str">
        <f>IF(B14078=B14077,"",B14078)</f>
        <v/>
      </c>
    </row>
    <row r="14079" spans="1:6" ht="15.75" customHeight="1">
      <c r="A14079" s="16" t="s">
        <v>29699</v>
      </c>
      <c r="B14079" s="15" t="s">
        <v>29700</v>
      </c>
      <c r="C14079" s="16" t="s">
        <v>27788</v>
      </c>
      <c r="D14079" s="16" t="s">
        <v>27801</v>
      </c>
      <c r="E14079" s="2">
        <v>5383720</v>
      </c>
      <c r="F14079" s="4" t="str">
        <f>IF(B14079=B14078,"",B14079)</f>
        <v>Pleasant Hill</v>
      </c>
    </row>
    <row r="14080" spans="1:6" ht="15.75" customHeight="1">
      <c r="A14080" s="8" t="str">
        <f ca="1">IFERROR(__xludf.DUMMYFUNCTION("GOOGLETRANSLATE(B44964,""en"",""pt"")"),"Hill Pleasant")</f>
        <v>Hill Pleasant</v>
      </c>
      <c r="B14080" s="9" t="s">
        <v>29700</v>
      </c>
      <c r="C14080" s="9" t="s">
        <v>27788</v>
      </c>
      <c r="D14080" s="9" t="s">
        <v>27801</v>
      </c>
      <c r="E14080" s="10">
        <v>5383720</v>
      </c>
      <c r="F14080" s="4" t="str">
        <f>IF(B14080=B14079,"",B14080)</f>
        <v/>
      </c>
    </row>
    <row r="14081" spans="1:6" ht="15.75" customHeight="1">
      <c r="A14081" s="16" t="s">
        <v>29698</v>
      </c>
      <c r="B14081" s="15" t="s">
        <v>29698</v>
      </c>
      <c r="C14081" s="16" t="s">
        <v>27788</v>
      </c>
      <c r="D14081" s="16" t="s">
        <v>27856</v>
      </c>
      <c r="E14081" s="2">
        <v>5779816</v>
      </c>
      <c r="F14081" s="4" t="str">
        <f>IF(B14081=B14080,"",B14081)</f>
        <v>Pleasant Grove</v>
      </c>
    </row>
    <row r="14082" spans="1:6" ht="15.75" customHeight="1">
      <c r="A14082" s="8" t="str">
        <f ca="1">IFERROR(__xludf.DUMMYFUNCTION("GOOGLETRANSLATE(B45294,""en"",""pt"")"),"Pleasant Grove")</f>
        <v>Pleasant Grove</v>
      </c>
      <c r="B14082" s="9" t="s">
        <v>29698</v>
      </c>
      <c r="C14082" s="9" t="s">
        <v>27788</v>
      </c>
      <c r="D14082" s="9" t="s">
        <v>27856</v>
      </c>
      <c r="E14082" s="10">
        <v>5779816</v>
      </c>
      <c r="F14082" s="4" t="str">
        <f>IF(B14082=B14081,"",B14082)</f>
        <v/>
      </c>
    </row>
    <row r="14083" spans="1:6" ht="15.75" customHeight="1">
      <c r="A14083" s="15" t="s">
        <v>6460</v>
      </c>
      <c r="B14083" s="15" t="s">
        <v>6460</v>
      </c>
      <c r="C14083" s="15" t="s">
        <v>6398</v>
      </c>
      <c r="D14083" s="15" t="s">
        <v>6410</v>
      </c>
      <c r="E14083" s="2">
        <v>3653015</v>
      </c>
      <c r="F14083" s="4" t="str">
        <f>IF(B14083=B14082,"",B14083)</f>
        <v>Playas</v>
      </c>
    </row>
    <row r="14084" spans="1:6" ht="15.75" customHeight="1">
      <c r="A14084" s="8" t="str">
        <f ca="1">IFERROR(__xludf.DUMMYFUNCTION("GOOGLETRANSLATE(B28769,""en"",""pt"")"),"Playas")</f>
        <v>Playas</v>
      </c>
      <c r="B14084" s="9" t="s">
        <v>6460</v>
      </c>
      <c r="C14084" s="9" t="s">
        <v>6398</v>
      </c>
      <c r="D14084" s="9" t="s">
        <v>6410</v>
      </c>
      <c r="E14084" s="10">
        <v>3653015</v>
      </c>
      <c r="F14084" s="4" t="str">
        <f>IF(B14084=B14083,"",B14084)</f>
        <v/>
      </c>
    </row>
    <row r="14085" spans="1:6" ht="15.75" customHeight="1">
      <c r="A14085" s="16" t="s">
        <v>24698</v>
      </c>
      <c r="B14085" s="15" t="s">
        <v>24698</v>
      </c>
      <c r="C14085" s="16" t="s">
        <v>24200</v>
      </c>
      <c r="D14085" s="16" t="s">
        <v>24212</v>
      </c>
      <c r="E14085" s="2">
        <v>6354969</v>
      </c>
      <c r="F14085" s="4" t="str">
        <f>IF(B14085=B14084,"",B14085)</f>
        <v>Playa del Ingles</v>
      </c>
    </row>
    <row r="14086" spans="1:6" ht="15.75" customHeight="1">
      <c r="A14086" s="8" t="str">
        <f ca="1">IFERROR(__xludf.DUMMYFUNCTION("GOOGLETRANSLATE(B29479,""en"",""pt"")"),"Playa del Ingles")</f>
        <v>Playa del Ingles</v>
      </c>
      <c r="B14086" s="9" t="s">
        <v>24698</v>
      </c>
      <c r="C14086" s="9" t="s">
        <v>24200</v>
      </c>
      <c r="D14086" s="9" t="s">
        <v>24212</v>
      </c>
      <c r="E14086" s="10">
        <v>6354969</v>
      </c>
      <c r="F14086" s="4" t="str">
        <f>IF(B14086=B14085,"",B14086)</f>
        <v/>
      </c>
    </row>
    <row r="14087" spans="1:6" ht="15.75" customHeight="1">
      <c r="A14087" s="16" t="s">
        <v>18167</v>
      </c>
      <c r="B14087" s="15" t="s">
        <v>18167</v>
      </c>
      <c r="C14087" s="16" t="s">
        <v>17707</v>
      </c>
      <c r="D14087" s="16" t="s">
        <v>17799</v>
      </c>
      <c r="E14087" s="2">
        <v>3521342</v>
      </c>
      <c r="F14087" s="4" t="str">
        <f>IF(B14087=B14086,"",B14087)</f>
        <v>Playa del Carmen</v>
      </c>
    </row>
    <row r="14088" spans="1:6" ht="15.75" customHeight="1">
      <c r="A14088" s="8" t="str">
        <f ca="1">IFERROR(__xludf.DUMMYFUNCTION("GOOGLETRANSLATE(B36948,""en"",""pt"")"),"Playa del Carmen")</f>
        <v>Playa del Carmen</v>
      </c>
      <c r="B14088" s="9" t="s">
        <v>18167</v>
      </c>
      <c r="C14088" s="9" t="s">
        <v>17707</v>
      </c>
      <c r="D14088" s="9" t="s">
        <v>17799</v>
      </c>
      <c r="E14088" s="10">
        <v>3521342</v>
      </c>
      <c r="F14088" s="4" t="str">
        <f>IF(B14088=B14087,"",B14088)</f>
        <v/>
      </c>
    </row>
    <row r="14089" spans="1:6" ht="15.75" customHeight="1">
      <c r="A14089" s="15" t="s">
        <v>22945</v>
      </c>
      <c r="B14089" s="15" t="s">
        <v>22945</v>
      </c>
      <c r="C14089" s="15" t="s">
        <v>22070</v>
      </c>
      <c r="D14089" s="15" t="s">
        <v>22122</v>
      </c>
      <c r="E14089" s="2">
        <v>509052</v>
      </c>
      <c r="F14089" s="4" t="str">
        <f>IF(B14089=B14088,"",B14089)</f>
        <v>Plavsk</v>
      </c>
    </row>
    <row r="14090" spans="1:6" ht="15.75" customHeight="1">
      <c r="A14090" s="8" t="str">
        <f ca="1">IFERROR(__xludf.DUMMYFUNCTION("GOOGLETRANSLATE(B40194,""en"",""pt"")"),"Plavsk")</f>
        <v>Plavsk</v>
      </c>
      <c r="B14090" s="9" t="s">
        <v>22945</v>
      </c>
      <c r="C14090" s="9" t="s">
        <v>22070</v>
      </c>
      <c r="D14090" s="9" t="s">
        <v>22122</v>
      </c>
      <c r="E14090" s="10">
        <v>509052</v>
      </c>
      <c r="F14090" s="4" t="str">
        <f>IF(B14090=B14089,"",B14090)</f>
        <v/>
      </c>
    </row>
    <row r="14091" spans="1:6" ht="15.75" customHeight="1">
      <c r="A14091" s="15" t="s">
        <v>9000</v>
      </c>
      <c r="B14091" s="15" t="s">
        <v>9000</v>
      </c>
      <c r="C14091" s="15" t="s">
        <v>8028</v>
      </c>
      <c r="D14091" s="15" t="s">
        <v>8072</v>
      </c>
      <c r="E14091" s="2">
        <v>2853292</v>
      </c>
      <c r="F14091" s="4" t="str">
        <f>IF(B14091=B14090,"",B14091)</f>
        <v>Plauen</v>
      </c>
    </row>
    <row r="14092" spans="1:6" ht="15.75" customHeight="1">
      <c r="A14092" s="8" t="str">
        <f ca="1">IFERROR(__xludf.DUMMYFUNCTION("GOOGLETRANSLATE(B27643,""en"",""pt"")"),"Plauen")</f>
        <v>Plauen</v>
      </c>
      <c r="B14092" s="9" t="s">
        <v>9000</v>
      </c>
      <c r="C14092" s="9" t="s">
        <v>8028</v>
      </c>
      <c r="D14092" s="9" t="s">
        <v>8072</v>
      </c>
      <c r="E14092" s="10">
        <v>2853292</v>
      </c>
      <c r="F14092" s="4" t="str">
        <f>IF(B14092=B14091,"",B14092)</f>
        <v/>
      </c>
    </row>
    <row r="14093" spans="1:6" ht="15.75" customHeight="1">
      <c r="A14093" s="16" t="s">
        <v>29697</v>
      </c>
      <c r="B14093" s="15" t="s">
        <v>29697</v>
      </c>
      <c r="C14093" s="16" t="s">
        <v>27788</v>
      </c>
      <c r="D14093" s="16" t="s">
        <v>27819</v>
      </c>
      <c r="E14093" s="2">
        <v>5131692</v>
      </c>
      <c r="F14093" s="4" t="str">
        <f>IF(B14093=B14092,"",B14093)</f>
        <v>Plattsburgh</v>
      </c>
    </row>
    <row r="14094" spans="1:6" ht="15.75" customHeight="1">
      <c r="A14094" s="8" t="str">
        <f ca="1">IFERROR(__xludf.DUMMYFUNCTION("GOOGLETRANSLATE(B44434,""en"",""pt"")"),"Plattsburgh")</f>
        <v>Plattsburgh</v>
      </c>
      <c r="B14094" s="9" t="s">
        <v>29697</v>
      </c>
      <c r="C14094" s="9" t="s">
        <v>27788</v>
      </c>
      <c r="D14094" s="9" t="s">
        <v>27819</v>
      </c>
      <c r="E14094" s="10">
        <v>5131692</v>
      </c>
      <c r="F14094" s="4" t="str">
        <f>IF(B14094=B14093,"",B14094)</f>
        <v/>
      </c>
    </row>
    <row r="14095" spans="1:6" ht="15.75" customHeight="1">
      <c r="A14095" s="15" t="s">
        <v>5554</v>
      </c>
      <c r="B14095" s="15" t="s">
        <v>5555</v>
      </c>
      <c r="C14095" s="15" t="s">
        <v>5348</v>
      </c>
      <c r="D14095" s="15" t="s">
        <v>5368</v>
      </c>
      <c r="E14095" s="2">
        <v>3792392</v>
      </c>
      <c r="F14095" s="4" t="str">
        <f>IF(B14095=B14094,"",B14095)</f>
        <v>Plato</v>
      </c>
    </row>
    <row r="14096" spans="1:6" ht="15.75" customHeight="1">
      <c r="A14096" s="8" t="str">
        <f ca="1">IFERROR(__xludf.DUMMYFUNCTION("GOOGLETRANSLATE(B27058,""en"",""pt"")"),"Platão")</f>
        <v>Platão</v>
      </c>
      <c r="B14096" s="9" t="s">
        <v>5555</v>
      </c>
      <c r="C14096" s="9" t="s">
        <v>5348</v>
      </c>
      <c r="D14096" s="9" t="s">
        <v>5368</v>
      </c>
      <c r="E14096" s="10">
        <v>3792392</v>
      </c>
      <c r="F14096" s="4" t="str">
        <f>IF(B14096=B14095,"",B14096)</f>
        <v/>
      </c>
    </row>
    <row r="14097" spans="1:6" ht="15.75" customHeight="1">
      <c r="A14097" s="15" t="s">
        <v>22943</v>
      </c>
      <c r="B14097" s="15" t="s">
        <v>22944</v>
      </c>
      <c r="C14097" s="15" t="s">
        <v>22070</v>
      </c>
      <c r="D14097" s="15" t="s">
        <v>22166</v>
      </c>
      <c r="E14097" s="2">
        <v>1494907</v>
      </c>
      <c r="F14097" s="4" t="str">
        <f>IF(B14097=B14096,"",B14097)</f>
        <v>Plast</v>
      </c>
    </row>
    <row r="14098" spans="1:6" ht="15.75" customHeight="1">
      <c r="A14098" s="8" t="str">
        <f ca="1">IFERROR(__xludf.DUMMYFUNCTION("GOOGLETRANSLATE(B40775,""en"",""pt"")"),"Plasta")</f>
        <v>Plasta</v>
      </c>
      <c r="B14098" s="9" t="s">
        <v>22944</v>
      </c>
      <c r="C14098" s="9" t="s">
        <v>22070</v>
      </c>
      <c r="D14098" s="9" t="s">
        <v>22166</v>
      </c>
      <c r="E14098" s="10">
        <v>1494907</v>
      </c>
      <c r="F14098" s="4" t="str">
        <f>IF(B14098=B14097,"",B14098)</f>
        <v/>
      </c>
    </row>
    <row r="14099" spans="1:6" ht="15.75" customHeight="1">
      <c r="A14099" s="16" t="s">
        <v>24696</v>
      </c>
      <c r="B14099" s="15" t="s">
        <v>24697</v>
      </c>
      <c r="C14099" s="16" t="s">
        <v>24200</v>
      </c>
      <c r="D14099" s="16" t="s">
        <v>24262</v>
      </c>
      <c r="E14099" s="2">
        <v>3113331</v>
      </c>
      <c r="F14099" s="4" t="str">
        <f>IF(B14099=B14098,"",B14099)</f>
        <v>Plasencia</v>
      </c>
    </row>
    <row r="14100" spans="1:6" ht="15.75" customHeight="1">
      <c r="A14100" s="8" t="str">
        <f ca="1">IFERROR(__xludf.DUMMYFUNCTION("GOOGLETRANSLATE(B29327,""en"",""pt"")"),"PLASENCIA")</f>
        <v>PLASENCIA</v>
      </c>
      <c r="B14100" s="9" t="s">
        <v>24697</v>
      </c>
      <c r="C14100" s="9" t="s">
        <v>24200</v>
      </c>
      <c r="D14100" s="9" t="s">
        <v>24262</v>
      </c>
      <c r="E14100" s="10">
        <v>3113331</v>
      </c>
      <c r="F14100" s="4" t="str">
        <f>IF(B14100=B14099,"",B14100)</f>
        <v/>
      </c>
    </row>
    <row r="14101" spans="1:6" ht="15.75" customHeight="1">
      <c r="A14101" s="15" t="s">
        <v>20965</v>
      </c>
      <c r="B14101" s="15" t="s">
        <v>20965</v>
      </c>
      <c r="C14101" s="15" t="s">
        <v>20598</v>
      </c>
      <c r="D14101" s="15" t="s">
        <v>20599</v>
      </c>
      <c r="E14101" s="2">
        <v>1693239</v>
      </c>
      <c r="F14101" s="4" t="str">
        <f>IF(B14101=B14100,"",B14101)</f>
        <v>Plaridel</v>
      </c>
    </row>
    <row r="14102" spans="1:6" ht="15.75" customHeight="1">
      <c r="A14102" s="8" t="str">
        <f ca="1">IFERROR(__xludf.DUMMYFUNCTION("GOOGLETRANSLATE(B38548,""en"",""pt"")"),"Plaridel")</f>
        <v>Plaridel</v>
      </c>
      <c r="B14102" s="9" t="s">
        <v>20965</v>
      </c>
      <c r="C14102" s="9" t="s">
        <v>20598</v>
      </c>
      <c r="D14102" s="9" t="s">
        <v>20599</v>
      </c>
      <c r="E14102" s="10">
        <v>1693239</v>
      </c>
      <c r="F14102" s="4" t="str">
        <f>IF(B14102=B14101,"",B14102)</f>
        <v/>
      </c>
    </row>
    <row r="14103" spans="1:6" ht="15.75" customHeight="1">
      <c r="A14103" s="15" t="s">
        <v>29695</v>
      </c>
      <c r="B14103" s="15" t="s">
        <v>29696</v>
      </c>
      <c r="C14103" s="15" t="s">
        <v>27788</v>
      </c>
      <c r="D14103" s="15" t="s">
        <v>5468</v>
      </c>
      <c r="E14103" s="2">
        <v>4168782</v>
      </c>
      <c r="F14103" s="4" t="str">
        <f>IF(B14103=B14102,"",B14103)</f>
        <v>Plantation</v>
      </c>
    </row>
    <row r="14104" spans="1:6" ht="15.75" customHeight="1">
      <c r="A14104" s="8" t="str">
        <f ca="1">IFERROR(__xludf.DUMMYFUNCTION("GOOGLETRANSLATE(B42992,""en"",""pt"")"),"Plantação")</f>
        <v>Plantação</v>
      </c>
      <c r="B14104" s="9" t="s">
        <v>29696</v>
      </c>
      <c r="C14104" s="9" t="s">
        <v>27788</v>
      </c>
      <c r="D14104" s="9" t="s">
        <v>5468</v>
      </c>
      <c r="E14104" s="10">
        <v>4168782</v>
      </c>
      <c r="F14104" s="4" t="str">
        <f>IF(B14104=B14103,"",B14104)</f>
        <v/>
      </c>
    </row>
    <row r="14105" spans="1:6" ht="15.75" customHeight="1">
      <c r="A14105" s="15" t="s">
        <v>29694</v>
      </c>
      <c r="B14105" s="15" t="s">
        <v>29694</v>
      </c>
      <c r="C14105" s="15" t="s">
        <v>27788</v>
      </c>
      <c r="D14105" s="15" t="s">
        <v>5468</v>
      </c>
      <c r="E14105" s="2">
        <v>4168773</v>
      </c>
      <c r="F14105" s="4" t="str">
        <f>IF(B14105=B14104,"",B14105)</f>
        <v>Plant City</v>
      </c>
    </row>
    <row r="14106" spans="1:6" ht="15.75" customHeight="1">
      <c r="A14106" s="8" t="str">
        <f ca="1">IFERROR(__xludf.DUMMYFUNCTION("GOOGLETRANSLATE(B42991,""en"",""pt"")"),"Plant City")</f>
        <v>Plant City</v>
      </c>
      <c r="B14106" s="9" t="s">
        <v>29694</v>
      </c>
      <c r="C14106" s="9" t="s">
        <v>27788</v>
      </c>
      <c r="D14106" s="9" t="s">
        <v>5468</v>
      </c>
      <c r="E14106" s="10">
        <v>4168773</v>
      </c>
      <c r="F14106" s="4" t="str">
        <f>IF(B14106=B14105,"",B14106)</f>
        <v/>
      </c>
    </row>
    <row r="14107" spans="1:6" ht="15.75" customHeight="1">
      <c r="A14107" s="16" t="s">
        <v>5553</v>
      </c>
      <c r="B14107" s="15" t="s">
        <v>5553</v>
      </c>
      <c r="C14107" s="16" t="s">
        <v>5348</v>
      </c>
      <c r="D14107" s="16" t="s">
        <v>591</v>
      </c>
      <c r="E14107" s="2">
        <v>3672068</v>
      </c>
      <c r="F14107" s="4" t="str">
        <f>IF(B14107=B14106,"",B14107)</f>
        <v>Planeta Rica</v>
      </c>
    </row>
    <row r="14108" spans="1:6" ht="15.75" customHeight="1">
      <c r="A14108" s="8" t="str">
        <f ca="1">IFERROR(__xludf.DUMMYFUNCTION("GOOGLETRANSLATE(B26918,""en"",""pt"")"),"Planeta Rica")</f>
        <v>Planeta Rica</v>
      </c>
      <c r="B14108" s="9" t="s">
        <v>5553</v>
      </c>
      <c r="C14108" s="9" t="s">
        <v>5348</v>
      </c>
      <c r="D14108" s="9" t="s">
        <v>31214</v>
      </c>
      <c r="E14108" s="10">
        <v>3672068</v>
      </c>
      <c r="F14108" s="4" t="str">
        <f>IF(B14108=B14107,"",B14108)</f>
        <v/>
      </c>
    </row>
    <row r="14109" spans="1:6" ht="15.75" customHeight="1">
      <c r="A14109" s="15" t="s">
        <v>3130</v>
      </c>
      <c r="B14109" s="15" t="s">
        <v>3131</v>
      </c>
      <c r="C14109" s="15" t="s">
        <v>1905</v>
      </c>
      <c r="D14109" s="15" t="s">
        <v>1969</v>
      </c>
      <c r="E14109" s="2">
        <v>3453420</v>
      </c>
      <c r="F14109" s="4" t="str">
        <f>IF(B14109=B14108,"",B14109)</f>
        <v>Planaltina</v>
      </c>
    </row>
    <row r="14110" spans="1:6" ht="15.75" customHeight="1">
      <c r="A14110" s="8" t="str">
        <f ca="1">IFERROR(__xludf.DUMMYFUNCTION("GOOGLETRANSLATE(B24693,""en"",""pt"")"),"Plaltina")</f>
        <v>Plaltina</v>
      </c>
      <c r="B14110" s="9" t="s">
        <v>3131</v>
      </c>
      <c r="C14110" s="9" t="s">
        <v>1905</v>
      </c>
      <c r="D14110" s="9" t="s">
        <v>31436</v>
      </c>
      <c r="E14110" s="10">
        <v>3453420</v>
      </c>
      <c r="F14110" s="4" t="str">
        <f>IF(B14110=B14109,"",B14110)</f>
        <v/>
      </c>
    </row>
    <row r="14111" spans="1:6" ht="15.75" customHeight="1">
      <c r="A14111" s="15" t="s">
        <v>7681</v>
      </c>
      <c r="B14111" s="15" t="s">
        <v>7681</v>
      </c>
      <c r="C14111" s="15" t="s">
        <v>7052</v>
      </c>
      <c r="D14111" s="15" t="s">
        <v>7058</v>
      </c>
      <c r="E14111" s="2">
        <v>2986930</v>
      </c>
      <c r="F14111" s="4" t="str">
        <f>IF(B14111=B14110,"",B14111)</f>
        <v>Plaisir</v>
      </c>
    </row>
    <row r="14112" spans="1:6" ht="15.75" customHeight="1">
      <c r="A14112" s="8" t="str">
        <f ca="1">IFERROR(__xludf.DUMMYFUNCTION("GOOGLETRANSLATE(B29849,""en"",""pt"")"),"Plaisir")</f>
        <v>Plaisir</v>
      </c>
      <c r="B14112" s="9" t="s">
        <v>7681</v>
      </c>
      <c r="C14112" s="9" t="s">
        <v>7052</v>
      </c>
      <c r="D14112" s="9" t="s">
        <v>32531</v>
      </c>
      <c r="E14112" s="10">
        <v>2986930</v>
      </c>
      <c r="F14112" s="4" t="str">
        <f>IF(B14112=B14111,"",B14112)</f>
        <v/>
      </c>
    </row>
    <row r="14113" spans="1:6" ht="15.75" customHeight="1">
      <c r="A14113" s="16" t="s">
        <v>7679</v>
      </c>
      <c r="B14113" s="15" t="s">
        <v>7680</v>
      </c>
      <c r="C14113" s="16" t="s">
        <v>7052</v>
      </c>
      <c r="D14113" s="16" t="s">
        <v>7082</v>
      </c>
      <c r="E14113" s="2">
        <v>2986933</v>
      </c>
      <c r="F14113" s="4" t="str">
        <f>IF(B14113=B14112,"",B14113)</f>
        <v>Plaisance-du-Touch</v>
      </c>
    </row>
    <row r="14114" spans="1:6" ht="15.75" customHeight="1">
      <c r="A14114" s="8" t="str">
        <f ca="1">IFERROR(__xludf.DUMMYFUNCTION("GOOGLETRANSLATE(B29850,""en"",""pt"")"),"Plaiance-Du-Touch")</f>
        <v>Plaiance-Du-Touch</v>
      </c>
      <c r="B14114" s="9" t="s">
        <v>7680</v>
      </c>
      <c r="C14114" s="9" t="s">
        <v>7052</v>
      </c>
      <c r="D14114" s="9" t="s">
        <v>32547</v>
      </c>
      <c r="E14114" s="10">
        <v>2986933</v>
      </c>
      <c r="F14114" s="4" t="str">
        <f>IF(B14114=B14113,"",B14114)</f>
        <v/>
      </c>
    </row>
    <row r="14115" spans="1:6" ht="15.75" customHeight="1">
      <c r="A14115" s="16" t="s">
        <v>29692</v>
      </c>
      <c r="B14115" s="15" t="s">
        <v>29693</v>
      </c>
      <c r="C14115" s="16" t="s">
        <v>27788</v>
      </c>
      <c r="D14115" s="16" t="s">
        <v>27819</v>
      </c>
      <c r="E14115" s="2">
        <v>5131638</v>
      </c>
      <c r="F14115" s="4" t="str">
        <f>IF(B14115=B14114,"",B14115)</f>
        <v>Plainview</v>
      </c>
    </row>
    <row r="14116" spans="1:6" ht="15.75" customHeight="1">
      <c r="A14116" s="16" t="s">
        <v>29692</v>
      </c>
      <c r="B14116" s="15" t="s">
        <v>29693</v>
      </c>
      <c r="C14116" s="16" t="s">
        <v>27788</v>
      </c>
      <c r="D14116" s="16" t="s">
        <v>27792</v>
      </c>
      <c r="E14116" s="2">
        <v>5528450</v>
      </c>
      <c r="F14116" s="4" t="str">
        <f>IF(B14116=B14115,"",B14116)</f>
        <v/>
      </c>
    </row>
    <row r="14117" spans="1:6" ht="15.75" customHeight="1">
      <c r="A14117" s="8" t="str">
        <f ca="1">IFERROR(__xludf.DUMMYFUNCTION("GOOGLETRANSLATE(B44433,""en"",""pt"")"),"Vista plana")</f>
        <v>Vista plana</v>
      </c>
      <c r="B14117" s="11" t="s">
        <v>29693</v>
      </c>
      <c r="C14117" s="11" t="s">
        <v>27788</v>
      </c>
      <c r="D14117" s="11" t="s">
        <v>27819</v>
      </c>
      <c r="E14117" s="10">
        <v>5131638</v>
      </c>
      <c r="F14117" s="4" t="str">
        <f>IF(B14117=B14116,"",B14117)</f>
        <v/>
      </c>
    </row>
    <row r="14118" spans="1:6" ht="15.75" customHeight="1">
      <c r="A14118" s="8" t="str">
        <f ca="1">IFERROR(__xludf.DUMMYFUNCTION("GOOGLETRANSLATE(B45167,""en"",""pt"")"),"Vista plana")</f>
        <v>Vista plana</v>
      </c>
      <c r="B14118" s="9" t="s">
        <v>29693</v>
      </c>
      <c r="C14118" s="9" t="s">
        <v>27788</v>
      </c>
      <c r="D14118" s="9" t="s">
        <v>27792</v>
      </c>
      <c r="E14118" s="10">
        <v>5528450</v>
      </c>
      <c r="F14118" s="4" t="str">
        <f>IF(B14118=B14117,"",B14118)</f>
        <v/>
      </c>
    </row>
    <row r="14119" spans="1:6" ht="15.75" customHeight="1">
      <c r="A14119" s="15" t="s">
        <v>29691</v>
      </c>
      <c r="B14119" s="15" t="s">
        <v>29691</v>
      </c>
      <c r="C14119" s="15" t="s">
        <v>27788</v>
      </c>
      <c r="D14119" s="15" t="s">
        <v>27869</v>
      </c>
      <c r="E14119" s="2">
        <v>4263108</v>
      </c>
      <c r="F14119" s="4" t="str">
        <f>IF(B14119=B14118,"",B14119)</f>
        <v>Plainfield</v>
      </c>
    </row>
    <row r="14120" spans="1:6" ht="15.75" customHeight="1">
      <c r="A14120" s="15" t="s">
        <v>29691</v>
      </c>
      <c r="B14120" s="15" t="s">
        <v>29691</v>
      </c>
      <c r="C14120" s="15" t="s">
        <v>27788</v>
      </c>
      <c r="D14120" s="15" t="s">
        <v>27799</v>
      </c>
      <c r="E14120" s="2">
        <v>4906125</v>
      </c>
      <c r="F14120" s="4" t="str">
        <f>IF(B14120=B14119,"",B14120)</f>
        <v/>
      </c>
    </row>
    <row r="14121" spans="1:6" ht="15.75" customHeight="1">
      <c r="A14121" s="15" t="s">
        <v>29691</v>
      </c>
      <c r="B14121" s="15" t="s">
        <v>29691</v>
      </c>
      <c r="C14121" s="15" t="s">
        <v>27788</v>
      </c>
      <c r="D14121" s="15" t="s">
        <v>27905</v>
      </c>
      <c r="E14121" s="2">
        <v>5102720</v>
      </c>
      <c r="F14121" s="4" t="str">
        <f>IF(B14121=B14120,"",B14121)</f>
        <v/>
      </c>
    </row>
    <row r="14122" spans="1:6" ht="15.75" customHeight="1">
      <c r="A14122" s="8" t="str">
        <f ca="1">IFERROR(__xludf.DUMMYFUNCTION("GOOGLETRANSLATE(B43159,""en"",""pt"")"),"Plainfield")</f>
        <v>Plainfield</v>
      </c>
      <c r="B14122" s="9" t="s">
        <v>29691</v>
      </c>
      <c r="C14122" s="9" t="s">
        <v>27788</v>
      </c>
      <c r="D14122" s="9" t="s">
        <v>27869</v>
      </c>
      <c r="E14122" s="10">
        <v>4263108</v>
      </c>
      <c r="F14122" s="4" t="str">
        <f>IF(B14122=B14121,"",B14122)</f>
        <v/>
      </c>
    </row>
    <row r="14123" spans="1:6" ht="15.75" customHeight="1">
      <c r="A14123" s="8" t="str">
        <f ca="1">IFERROR(__xludf.DUMMYFUNCTION("GOOGLETRANSLATE(B43872,""en"",""pt"")"),"Plainfield")</f>
        <v>Plainfield</v>
      </c>
      <c r="B14123" s="11" t="s">
        <v>29691</v>
      </c>
      <c r="C14123" s="11" t="s">
        <v>27788</v>
      </c>
      <c r="D14123" s="11" t="s">
        <v>27799</v>
      </c>
      <c r="E14123" s="10">
        <v>4906125</v>
      </c>
      <c r="F14123" s="4" t="str">
        <f>IF(B14123=B14122,"",B14123)</f>
        <v/>
      </c>
    </row>
    <row r="14124" spans="1:6" ht="15.75" customHeight="1">
      <c r="A14124" s="8" t="str">
        <f ca="1">IFERROR(__xludf.DUMMYFUNCTION("GOOGLETRANSLATE(B44301,""en"",""pt"")"),"Plainfield")</f>
        <v>Plainfield</v>
      </c>
      <c r="B14124" s="9" t="s">
        <v>29691</v>
      </c>
      <c r="C14124" s="9" t="s">
        <v>27788</v>
      </c>
      <c r="D14124" s="9" t="s">
        <v>27905</v>
      </c>
      <c r="E14124" s="10">
        <v>5102720</v>
      </c>
      <c r="F14124" s="4" t="str">
        <f>IF(B14124=B14123,"",B14124)</f>
        <v/>
      </c>
    </row>
    <row r="14125" spans="1:6" ht="15.75" customHeight="1">
      <c r="A14125" s="15" t="s">
        <v>5888</v>
      </c>
      <c r="B14125" s="15" t="s">
        <v>5888</v>
      </c>
      <c r="C14125" s="15" t="s">
        <v>5764</v>
      </c>
      <c r="D14125" s="15" t="s">
        <v>5803</v>
      </c>
      <c r="E14125" s="2">
        <v>3543961</v>
      </c>
      <c r="F14125" s="4" t="str">
        <f>IF(B14125=B14124,"",B14125)</f>
        <v>Placetas</v>
      </c>
    </row>
    <row r="14126" spans="1:6" ht="15.75" customHeight="1">
      <c r="A14126" s="8" t="str">
        <f ca="1">IFERROR(__xludf.DUMMYFUNCTION("GOOGLETRANSLATE(B27134,""en"",""pt"")"),"Placetas")</f>
        <v>Placetas</v>
      </c>
      <c r="B14126" s="9" t="s">
        <v>5888</v>
      </c>
      <c r="C14126" s="9" t="s">
        <v>5764</v>
      </c>
      <c r="D14126" s="9" t="s">
        <v>5803</v>
      </c>
      <c r="E14126" s="10">
        <v>3543961</v>
      </c>
      <c r="F14126" s="4" t="str">
        <f>IF(B14126=B14125,"",B14126)</f>
        <v/>
      </c>
    </row>
    <row r="14127" spans="1:6" ht="15.75" customHeight="1">
      <c r="A14127" s="15" t="s">
        <v>29690</v>
      </c>
      <c r="B14127" s="15" t="s">
        <v>29690</v>
      </c>
      <c r="C14127" s="15" t="s">
        <v>27788</v>
      </c>
      <c r="D14127" s="15" t="s">
        <v>27801</v>
      </c>
      <c r="E14127" s="2">
        <v>5383527</v>
      </c>
      <c r="F14127" s="4" t="str">
        <f>IF(B14127=B14126,"",B14127)</f>
        <v>Placentia</v>
      </c>
    </row>
    <row r="14128" spans="1:6" ht="15.75" customHeight="1">
      <c r="A14128" s="8" t="str">
        <f ca="1">IFERROR(__xludf.DUMMYFUNCTION("GOOGLETRANSLATE(B44963,""en"",""pt"")"),"Placentia")</f>
        <v>Placentia</v>
      </c>
      <c r="B14128" s="9" t="s">
        <v>29690</v>
      </c>
      <c r="C14128" s="9" t="s">
        <v>27788</v>
      </c>
      <c r="D14128" s="9" t="s">
        <v>27801</v>
      </c>
      <c r="E14128" s="10">
        <v>5383527</v>
      </c>
      <c r="F14128" s="4" t="str">
        <f>IF(B14128=B14127,"",B14128)</f>
        <v/>
      </c>
    </row>
    <row r="14129" spans="1:6" ht="15.75" customHeight="1">
      <c r="A14129" s="15" t="s">
        <v>5000</v>
      </c>
      <c r="B14129" s="15" t="s">
        <v>5000</v>
      </c>
      <c r="C14129" s="15" t="s">
        <v>4487</v>
      </c>
      <c r="D14129" s="15" t="s">
        <v>4535</v>
      </c>
      <c r="E14129" s="2">
        <v>1785716</v>
      </c>
      <c r="F14129" s="4" t="str">
        <f>IF(B14129=B14128,"",B14129)</f>
        <v>Pizhou</v>
      </c>
    </row>
    <row r="14130" spans="1:6" ht="15.75" customHeight="1">
      <c r="A14130" s="8" t="str">
        <f ca="1">IFERROR(__xludf.DUMMYFUNCTION("GOOGLETRANSLATE(B26109,""en"",""pt"")"),"Pizhou")</f>
        <v>Pizhou</v>
      </c>
      <c r="B14130" s="9" t="s">
        <v>5000</v>
      </c>
      <c r="C14130" s="9" t="s">
        <v>4487</v>
      </c>
      <c r="D14130" s="9" t="s">
        <v>4535</v>
      </c>
      <c r="E14130" s="10">
        <v>1785716</v>
      </c>
      <c r="F14130" s="4" t="str">
        <f>IF(B14130=B14129,"",B14130)</f>
        <v/>
      </c>
    </row>
    <row r="14131" spans="1:6" ht="15.75" customHeight="1">
      <c r="A14131" s="15" t="s">
        <v>5552</v>
      </c>
      <c r="B14131" s="15" t="s">
        <v>5552</v>
      </c>
      <c r="C14131" s="15" t="s">
        <v>5348</v>
      </c>
      <c r="D14131" s="15" t="s">
        <v>5368</v>
      </c>
      <c r="E14131" s="2">
        <v>3672093</v>
      </c>
      <c r="F14131" s="4" t="str">
        <f>IF(B14131=B14130,"",B14131)</f>
        <v>Pivijay</v>
      </c>
    </row>
    <row r="14132" spans="1:6" ht="15.75" customHeight="1">
      <c r="A14132" s="8" t="str">
        <f ca="1">IFERROR(__xludf.DUMMYFUNCTION("GOOGLETRANSLATE(B26919,""en"",""pt"")"),"Pivijay")</f>
        <v>Pivijay</v>
      </c>
      <c r="B14132" s="9" t="s">
        <v>5552</v>
      </c>
      <c r="C14132" s="9" t="s">
        <v>5348</v>
      </c>
      <c r="D14132" s="9" t="s">
        <v>5368</v>
      </c>
      <c r="E14132" s="10">
        <v>3672093</v>
      </c>
      <c r="F14132" s="4" t="str">
        <f>IF(B14132=B14131,"",B14132)</f>
        <v/>
      </c>
    </row>
    <row r="14133" spans="1:6" ht="15.75" customHeight="1">
      <c r="A14133" s="15" t="s">
        <v>20486</v>
      </c>
      <c r="B14133" s="15" t="s">
        <v>20486</v>
      </c>
      <c r="C14133" s="15" t="s">
        <v>20470</v>
      </c>
      <c r="D14133" s="15" t="s">
        <v>20486</v>
      </c>
      <c r="E14133" s="2">
        <v>3693528</v>
      </c>
      <c r="F14133" s="4" t="str">
        <f>IF(B14133=B14132,"",B14133)</f>
        <v>Piura</v>
      </c>
    </row>
    <row r="14134" spans="1:6" ht="15.75" customHeight="1">
      <c r="A14134" s="8" t="str">
        <f ca="1">IFERROR(__xludf.DUMMYFUNCTION("GOOGLETRANSLATE(B38318,""en"",""pt"")"),"Piura")</f>
        <v>Piura</v>
      </c>
      <c r="B14134" s="9" t="s">
        <v>20486</v>
      </c>
      <c r="C14134" s="9" t="s">
        <v>20470</v>
      </c>
      <c r="D14134" s="9" t="s">
        <v>20486</v>
      </c>
      <c r="E14134" s="10">
        <v>3693528</v>
      </c>
      <c r="F14134" s="4" t="str">
        <f>IF(B14134=B14133,"",B14134)</f>
        <v/>
      </c>
    </row>
    <row r="14135" spans="1:6" ht="15.75" customHeight="1">
      <c r="A14135" s="8" t="str">
        <f ca="1">IFERROR(__xludf.DUMMYFUNCTION("GOOGLETRANSLATE(B24694,""en"",""pt"")"),"Piúma")</f>
        <v>Piúma</v>
      </c>
      <c r="B14135" s="11" t="s">
        <v>31550</v>
      </c>
      <c r="C14135" s="11" t="s">
        <v>1905</v>
      </c>
      <c r="D14135" s="11" t="s">
        <v>31426</v>
      </c>
      <c r="E14135" s="10">
        <v>3453435</v>
      </c>
      <c r="F14135" s="4" t="str">
        <f>IF(B14135=B14134,"",B14135)</f>
        <v>Piúma</v>
      </c>
    </row>
    <row r="14136" spans="1:6" ht="15.75" customHeight="1">
      <c r="A14136" s="8" t="str">
        <f ca="1">IFERROR(__xludf.DUMMYFUNCTION("GOOGLETRANSLATE(B24695,""en"",""pt"")"),"Piuí")</f>
        <v>Piuí</v>
      </c>
      <c r="B14136" s="9" t="s">
        <v>31551</v>
      </c>
      <c r="C14136" s="9" t="s">
        <v>1905</v>
      </c>
      <c r="D14136" s="9" t="s">
        <v>1917</v>
      </c>
      <c r="E14136" s="10">
        <v>3453439</v>
      </c>
      <c r="F14136" s="4" t="str">
        <f>IF(B14136=B14135,"",B14136)</f>
        <v>Piuí</v>
      </c>
    </row>
    <row r="14137" spans="1:6" ht="15.75" customHeight="1">
      <c r="A14137" s="15" t="s">
        <v>3128</v>
      </c>
      <c r="B14137" s="15" t="s">
        <v>3129</v>
      </c>
      <c r="C14137" s="15" t="s">
        <v>1905</v>
      </c>
      <c r="D14137" s="15" t="s">
        <v>1917</v>
      </c>
      <c r="E14137" s="2">
        <v>3453439</v>
      </c>
      <c r="F14137" s="4" t="str">
        <f>IF(B14137=B14136,"",B14137)</f>
        <v>PiuÃ­</v>
      </c>
    </row>
    <row r="14138" spans="1:6" ht="15.75" customHeight="1">
      <c r="A14138" s="15" t="s">
        <v>29689</v>
      </c>
      <c r="B14138" s="15" t="s">
        <v>29689</v>
      </c>
      <c r="C14138" s="15" t="s">
        <v>27788</v>
      </c>
      <c r="D14138" s="15" t="s">
        <v>27794</v>
      </c>
      <c r="E14138" s="2">
        <v>4947459</v>
      </c>
      <c r="F14138" s="4" t="str">
        <f>IF(B14138=B14137,"",B14138)</f>
        <v>Pittsfield</v>
      </c>
    </row>
    <row r="14139" spans="1:6" ht="15.75" customHeight="1">
      <c r="A14139" s="8" t="str">
        <f ca="1">IFERROR(__xludf.DUMMYFUNCTION("GOOGLETRANSLATE(B44015,""en"",""pt"")"),"Pittsfield")</f>
        <v>Pittsfield</v>
      </c>
      <c r="B14139" s="9" t="s">
        <v>29689</v>
      </c>
      <c r="C14139" s="9" t="s">
        <v>27788</v>
      </c>
      <c r="D14139" s="9" t="s">
        <v>27794</v>
      </c>
      <c r="E14139" s="10">
        <v>4947459</v>
      </c>
      <c r="F14139" s="4" t="str">
        <f>IF(B14139=B14138,"",B14139)</f>
        <v/>
      </c>
    </row>
    <row r="14140" spans="1:6" ht="15.75" customHeight="1">
      <c r="A14140" s="16" t="s">
        <v>29688</v>
      </c>
      <c r="B14140" s="15" t="s">
        <v>29688</v>
      </c>
      <c r="C14140" s="16" t="s">
        <v>27788</v>
      </c>
      <c r="D14140" s="16" t="s">
        <v>27836</v>
      </c>
      <c r="E14140" s="2">
        <v>5206379</v>
      </c>
      <c r="F14140" s="4" t="str">
        <f>IF(B14140=B14139,"",B14140)</f>
        <v>Pittsburgh</v>
      </c>
    </row>
    <row r="14141" spans="1:6" ht="15.75" customHeight="1">
      <c r="A14141" s="8" t="str">
        <f ca="1">IFERROR(__xludf.DUMMYFUNCTION("GOOGLETRANSLATE(B44589,""en"",""pt"")"),"Pittsburgh")</f>
        <v>Pittsburgh</v>
      </c>
      <c r="B14141" s="11" t="s">
        <v>29688</v>
      </c>
      <c r="C14141" s="11" t="s">
        <v>27788</v>
      </c>
      <c r="D14141" s="11" t="s">
        <v>27836</v>
      </c>
      <c r="E14141" s="10">
        <v>5206379</v>
      </c>
      <c r="F14141" s="4" t="str">
        <f>IF(B14141=B14140,"",B14141)</f>
        <v/>
      </c>
    </row>
    <row r="14142" spans="1:6" ht="15.75" customHeight="1">
      <c r="A14142" s="15" t="s">
        <v>29687</v>
      </c>
      <c r="B14142" s="15" t="s">
        <v>29687</v>
      </c>
      <c r="C14142" s="15" t="s">
        <v>27788</v>
      </c>
      <c r="D14142" s="15" t="s">
        <v>28419</v>
      </c>
      <c r="E14142" s="2">
        <v>4277241</v>
      </c>
      <c r="F14142" s="4" t="str">
        <f>IF(B14142=B14141,"",B14142)</f>
        <v>Pittsburg</v>
      </c>
    </row>
    <row r="14143" spans="1:6" ht="15.75" customHeight="1">
      <c r="A14143" s="15" t="s">
        <v>29687</v>
      </c>
      <c r="B14143" s="15" t="s">
        <v>29687</v>
      </c>
      <c r="C14143" s="15" t="s">
        <v>27788</v>
      </c>
      <c r="D14143" s="15" t="s">
        <v>27801</v>
      </c>
      <c r="E14143" s="2">
        <v>5383465</v>
      </c>
      <c r="F14143" s="4" t="str">
        <f>IF(B14143=B14142,"",B14143)</f>
        <v/>
      </c>
    </row>
    <row r="14144" spans="1:6" ht="15.75" customHeight="1">
      <c r="A14144" s="8" t="str">
        <f ca="1">IFERROR(__xludf.DUMMYFUNCTION("GOOGLETRANSLATE(B43181,""en"",""pt"")"),"Pittsburg")</f>
        <v>Pittsburg</v>
      </c>
      <c r="B14144" s="9" t="s">
        <v>29687</v>
      </c>
      <c r="C14144" s="9" t="s">
        <v>27788</v>
      </c>
      <c r="D14144" s="9" t="s">
        <v>28419</v>
      </c>
      <c r="E14144" s="10">
        <v>4277241</v>
      </c>
      <c r="F14144" s="4" t="str">
        <f>IF(B14144=B14143,"",B14144)</f>
        <v/>
      </c>
    </row>
    <row r="14145" spans="1:6" ht="15.75" customHeight="1">
      <c r="A14145" s="8" t="str">
        <f ca="1">IFERROR(__xludf.DUMMYFUNCTION("GOOGLETRANSLATE(B44962,""en"",""pt"")"),"Pittsburg")</f>
        <v>Pittsburg</v>
      </c>
      <c r="B14145" s="11" t="s">
        <v>29687</v>
      </c>
      <c r="C14145" s="11" t="s">
        <v>27788</v>
      </c>
      <c r="D14145" s="11" t="s">
        <v>27801</v>
      </c>
      <c r="E14145" s="10">
        <v>5383465</v>
      </c>
      <c r="F14145" s="4" t="str">
        <f>IF(B14145=B14144,"",B14145)</f>
        <v/>
      </c>
    </row>
    <row r="14146" spans="1:6" ht="15.75" customHeight="1">
      <c r="A14146" s="16" t="s">
        <v>4142</v>
      </c>
      <c r="B14146" s="15" t="s">
        <v>4142</v>
      </c>
      <c r="C14146" s="16" t="s">
        <v>3975</v>
      </c>
      <c r="D14146" s="16" t="s">
        <v>3976</v>
      </c>
      <c r="E14146" s="2">
        <v>6105815</v>
      </c>
      <c r="F14146" s="4" t="str">
        <f>IF(B14146=B14145,"",B14146)</f>
        <v>Pitt Meadows</v>
      </c>
    </row>
    <row r="14147" spans="1:6" ht="15.75" customHeight="1">
      <c r="A14147" s="8" t="str">
        <f ca="1">IFERROR(__xludf.DUMMYFUNCTION("GOOGLETRANSLATE(B25546,""en"",""pt"")"),"Pitt Meadows")</f>
        <v>Pitt Meadows</v>
      </c>
      <c r="B14147" s="11" t="s">
        <v>4142</v>
      </c>
      <c r="C14147" s="11" t="s">
        <v>3975</v>
      </c>
      <c r="D14147" s="11" t="s">
        <v>3976</v>
      </c>
      <c r="E14147" s="10">
        <v>6105815</v>
      </c>
      <c r="F14147" s="4" t="str">
        <f>IF(B14147=B14146,"",B14147)</f>
        <v/>
      </c>
    </row>
    <row r="14148" spans="1:6" ht="15.75" customHeight="1">
      <c r="A14148" s="15" t="s">
        <v>27596</v>
      </c>
      <c r="B14148" s="15" t="s">
        <v>27596</v>
      </c>
      <c r="C14148" s="15" t="s">
        <v>27234</v>
      </c>
      <c r="D14148" s="15" t="s">
        <v>27241</v>
      </c>
      <c r="E14148" s="2">
        <v>2640246</v>
      </c>
      <c r="F14148" s="4" t="str">
        <f>IF(B14148=B14147,"",B14148)</f>
        <v>Pitsea</v>
      </c>
    </row>
    <row r="14149" spans="1:6" ht="15.75" customHeight="1">
      <c r="A14149" s="8" t="str">
        <f ca="1">IFERROR(__xludf.DUMMYFUNCTION("GOOGLETRANSLATE(B30481,""en"",""pt"")"),"Pitsea")</f>
        <v>Pitsea</v>
      </c>
      <c r="B14149" s="9" t="s">
        <v>27596</v>
      </c>
      <c r="C14149" s="9" t="s">
        <v>27234</v>
      </c>
      <c r="D14149" s="9" t="s">
        <v>27241</v>
      </c>
      <c r="E14149" s="10">
        <v>2640246</v>
      </c>
      <c r="F14149" s="4" t="str">
        <f>IF(B14149=B14148,"",B14149)</f>
        <v/>
      </c>
    </row>
    <row r="14150" spans="1:6" ht="15.75" customHeight="1">
      <c r="A14150" s="16" t="s">
        <v>21814</v>
      </c>
      <c r="B14150" s="15" t="s">
        <v>21814</v>
      </c>
      <c r="C14150" s="16" t="s">
        <v>21810</v>
      </c>
      <c r="D14150" s="16" t="s">
        <v>551</v>
      </c>
      <c r="E14150" s="2">
        <v>7932385</v>
      </c>
      <c r="F14150" s="4" t="str">
        <f>IF(B14150=B14149,"",B14150)</f>
        <v>Piton Saint-Leu</v>
      </c>
    </row>
    <row r="14151" spans="1:6" ht="15.75" customHeight="1">
      <c r="A14151" s="8" t="str">
        <f ca="1">IFERROR(__xludf.DUMMYFUNCTION("GOOGLETRANSLATE(B39721,""en"",""pt"")"),"Piton Saint-Leu")</f>
        <v>Piton Saint-Leu</v>
      </c>
      <c r="B14151" s="11" t="s">
        <v>21814</v>
      </c>
      <c r="C14151" s="11" t="s">
        <v>21810</v>
      </c>
      <c r="D14151" s="11" t="s">
        <v>551</v>
      </c>
      <c r="E14151" s="10">
        <v>7932385</v>
      </c>
      <c r="F14151" s="4" t="str">
        <f>IF(B14151=B14150,"",B14151)</f>
        <v/>
      </c>
    </row>
    <row r="14152" spans="1:6" ht="15.75" customHeight="1">
      <c r="A14152" s="8" t="str">
        <f ca="1">IFERROR(__xludf.DUMMYFUNCTION("GOOGLETRANSLATE(B32447,""en"",""pt"")"),"Pithorāgarh")</f>
        <v>Pithorāgarh</v>
      </c>
      <c r="B14152" s="9" t="s">
        <v>33221</v>
      </c>
      <c r="C14152" s="9" t="s">
        <v>10178</v>
      </c>
      <c r="D14152" s="9" t="s">
        <v>10299</v>
      </c>
      <c r="E14152" s="10">
        <v>1259503</v>
      </c>
      <c r="F14152" s="4" t="str">
        <f>IF(B14152=B14151,"",B14152)</f>
        <v>Pithorāgarh</v>
      </c>
    </row>
    <row r="14153" spans="1:6" ht="15.75" customHeight="1">
      <c r="A14153" s="16" t="s">
        <v>12904</v>
      </c>
      <c r="B14153" s="15" t="s">
        <v>12905</v>
      </c>
      <c r="C14153" s="16" t="s">
        <v>10178</v>
      </c>
      <c r="D14153" s="16" t="s">
        <v>10299</v>
      </c>
      <c r="E14153" s="2">
        <v>1259503</v>
      </c>
      <c r="F14153" s="4" t="str">
        <f>IF(B14153=B14152,"",B14153)</f>
        <v>PithorÄgarh</v>
      </c>
    </row>
    <row r="14154" spans="1:6" ht="15.75" customHeight="1">
      <c r="A14154" s="8" t="str">
        <f ca="1">IFERROR(__xludf.DUMMYFUNCTION("GOOGLETRANSLATE(B32448,""en"",""pt"")"),"Pithāpuram")</f>
        <v>Pithāpuram</v>
      </c>
      <c r="B14154" s="11" t="s">
        <v>33222</v>
      </c>
      <c r="C14154" s="11" t="s">
        <v>10178</v>
      </c>
      <c r="D14154" s="11" t="s">
        <v>10190</v>
      </c>
      <c r="E14154" s="10">
        <v>1259508</v>
      </c>
      <c r="F14154" s="4" t="str">
        <f>IF(B14154=B14153,"",B14154)</f>
        <v>Pithāpuram</v>
      </c>
    </row>
    <row r="14155" spans="1:6" ht="15.75" customHeight="1">
      <c r="A14155" s="16" t="s">
        <v>12903</v>
      </c>
      <c r="B14155" s="15" t="s">
        <v>12903</v>
      </c>
      <c r="C14155" s="16" t="s">
        <v>10178</v>
      </c>
      <c r="D14155" s="16" t="s">
        <v>10219</v>
      </c>
      <c r="E14155" s="2">
        <v>7279595</v>
      </c>
      <c r="F14155" s="4" t="str">
        <f>IF(B14155=B14154,"",B14155)</f>
        <v>Pithampur</v>
      </c>
    </row>
    <row r="14156" spans="1:6" ht="15.75" customHeight="1">
      <c r="A14156" s="8" t="str">
        <f ca="1">IFERROR(__xludf.DUMMYFUNCTION("GOOGLETRANSLATE(B34211,""en"",""pt"")"),"Pithampur")</f>
        <v>Pithampur</v>
      </c>
      <c r="B14156" s="11" t="s">
        <v>12903</v>
      </c>
      <c r="C14156" s="11" t="s">
        <v>10178</v>
      </c>
      <c r="D14156" s="11" t="s">
        <v>10219</v>
      </c>
      <c r="E14156" s="10">
        <v>7279595</v>
      </c>
      <c r="F14156" s="4" t="str">
        <f>IF(B14156=B14155,"",B14156)</f>
        <v/>
      </c>
    </row>
    <row r="14157" spans="1:6" ht="15.75" customHeight="1">
      <c r="A14157" s="16" t="s">
        <v>12901</v>
      </c>
      <c r="B14157" s="15" t="s">
        <v>12902</v>
      </c>
      <c r="C14157" s="16" t="s">
        <v>10178</v>
      </c>
      <c r="D14157" s="16" t="s">
        <v>10190</v>
      </c>
      <c r="E14157" s="2">
        <v>1259508</v>
      </c>
      <c r="F14157" s="4" t="str">
        <f>IF(B14157=B14156,"",B14157)</f>
        <v>PithÄpuram</v>
      </c>
    </row>
    <row r="14158" spans="1:6" ht="15.75" customHeight="1">
      <c r="A14158" s="8" t="str">
        <f ca="1">IFERROR(__xludf.DUMMYFUNCTION("GOOGLETRANSLATE(B39762,""en"",""pt"")"),"Piteşti")</f>
        <v>Piteşti</v>
      </c>
      <c r="B14158" s="11" t="s">
        <v>35365</v>
      </c>
      <c r="C14158" s="11" t="s">
        <v>21824</v>
      </c>
      <c r="D14158" s="11" t="s">
        <v>35366</v>
      </c>
      <c r="E14158" s="10">
        <v>670609</v>
      </c>
      <c r="F14158" s="4" t="str">
        <f>IF(B14158=B14157,"",B14158)</f>
        <v>Piteşti</v>
      </c>
    </row>
    <row r="14159" spans="1:6" ht="15.75" customHeight="1">
      <c r="A14159" s="15" t="s">
        <v>21989</v>
      </c>
      <c r="B14159" s="15" t="s">
        <v>21990</v>
      </c>
      <c r="C14159" s="15" t="s">
        <v>21824</v>
      </c>
      <c r="D14159" s="15" t="s">
        <v>21909</v>
      </c>
      <c r="E14159" s="2">
        <v>670609</v>
      </c>
      <c r="F14159" s="4" t="str">
        <f>IF(B14159=B14158,"",B14159)</f>
        <v>PiteÅŸti</v>
      </c>
    </row>
    <row r="14160" spans="1:6" ht="15.75" customHeight="1">
      <c r="A14160" s="15" t="s">
        <v>25190</v>
      </c>
      <c r="B14160" s="15" t="s">
        <v>25191</v>
      </c>
      <c r="C14160" s="15" t="s">
        <v>25077</v>
      </c>
      <c r="D14160" s="15" t="s">
        <v>25098</v>
      </c>
      <c r="E14160" s="2">
        <v>603570</v>
      </c>
      <c r="F14160" s="4" t="str">
        <f>IF(B14160=B14159,"",B14160)</f>
        <v>PiteÃ¥</v>
      </c>
    </row>
    <row r="14161" spans="1:6" ht="15.75" customHeight="1">
      <c r="A14161" s="8" t="str">
        <f ca="1">IFERROR(__xludf.DUMMYFUNCTION("GOOGLETRANSLATE(B41119,""en"",""pt"")"),"Piteå")</f>
        <v>Piteå</v>
      </c>
      <c r="B14161" s="9" t="s">
        <v>35622</v>
      </c>
      <c r="C14161" s="9" t="s">
        <v>25077</v>
      </c>
      <c r="D14161" s="9" t="s">
        <v>25098</v>
      </c>
      <c r="E14161" s="10">
        <v>603570</v>
      </c>
      <c r="F14161" s="4" t="str">
        <f>IF(B14161=B14160,"",B14161)</f>
        <v>Piteå</v>
      </c>
    </row>
    <row r="14162" spans="1:6" ht="15.75" customHeight="1">
      <c r="A14162" s="15" t="s">
        <v>3127</v>
      </c>
      <c r="B14162" s="15" t="s">
        <v>3127</v>
      </c>
      <c r="C14162" s="15" t="s">
        <v>1905</v>
      </c>
      <c r="D14162" s="15" t="s">
        <v>1917</v>
      </c>
      <c r="E14162" s="2">
        <v>3453457</v>
      </c>
      <c r="F14162" s="4" t="str">
        <f>IF(B14162=B14161,"",B14162)</f>
        <v>Pitangui</v>
      </c>
    </row>
    <row r="14163" spans="1:6" ht="15.75" customHeight="1">
      <c r="A14163" s="8" t="str">
        <f ca="1">IFERROR(__xludf.DUMMYFUNCTION("GOOGLETRANSLATE(B24696,""en"",""pt"")"),"Pitangui")</f>
        <v>Pitangui</v>
      </c>
      <c r="B14163" s="9" t="s">
        <v>3127</v>
      </c>
      <c r="C14163" s="9" t="s">
        <v>1905</v>
      </c>
      <c r="D14163" s="9" t="s">
        <v>1917</v>
      </c>
      <c r="E14163" s="10">
        <v>3453457</v>
      </c>
      <c r="F14163" s="4" t="str">
        <f>IF(B14163=B14162,"",B14163)</f>
        <v/>
      </c>
    </row>
    <row r="14164" spans="1:6" ht="15.75" customHeight="1">
      <c r="A14164" s="16" t="s">
        <v>3125</v>
      </c>
      <c r="B14164" s="15" t="s">
        <v>3126</v>
      </c>
      <c r="C14164" s="16" t="s">
        <v>1905</v>
      </c>
      <c r="D14164" s="16" t="s">
        <v>1914</v>
      </c>
      <c r="E14164" s="2">
        <v>3453467</v>
      </c>
      <c r="F14164" s="4" t="str">
        <f>IF(B14164=B14163,"",B14164)</f>
        <v>Pitangueiras</v>
      </c>
    </row>
    <row r="14165" spans="1:6" ht="15.75" customHeight="1">
      <c r="A14165" s="8" t="str">
        <f ca="1">IFERROR(__xludf.DUMMYFUNCTION("GOOGLETRANSLATE(B24697,""en"",""pt"")"),"Pitanguiras")</f>
        <v>Pitanguiras</v>
      </c>
      <c r="B14165" s="9" t="s">
        <v>3126</v>
      </c>
      <c r="C14165" s="9" t="s">
        <v>1905</v>
      </c>
      <c r="D14165" s="9" t="s">
        <v>3354</v>
      </c>
      <c r="E14165" s="10">
        <v>3453467</v>
      </c>
      <c r="F14165" s="4" t="str">
        <f>IF(B14165=B14164,"",B14165)</f>
        <v/>
      </c>
    </row>
    <row r="14166" spans="1:6" ht="15.75" customHeight="1">
      <c r="A14166" s="15" t="s">
        <v>3124</v>
      </c>
      <c r="B14166" s="15" t="s">
        <v>3124</v>
      </c>
      <c r="C14166" s="15" t="s">
        <v>1905</v>
      </c>
      <c r="D14166" s="15" t="s">
        <v>728</v>
      </c>
      <c r="E14166" s="2">
        <v>3453478</v>
      </c>
      <c r="F14166" s="4" t="str">
        <f>IF(B14166=B14165,"",B14166)</f>
        <v>Pitanga</v>
      </c>
    </row>
    <row r="14167" spans="1:6" ht="15.75" customHeight="1">
      <c r="A14167" s="8" t="str">
        <f ca="1">IFERROR(__xludf.DUMMYFUNCTION("GOOGLETRANSLATE(B24698,""en"",""pt"")"),"Pitanga")</f>
        <v>Pitanga</v>
      </c>
      <c r="B14167" s="9" t="s">
        <v>3124</v>
      </c>
      <c r="C14167" s="9" t="s">
        <v>1905</v>
      </c>
      <c r="D14167" s="9" t="s">
        <v>727</v>
      </c>
      <c r="E14167" s="10">
        <v>3453478</v>
      </c>
      <c r="F14167" s="4" t="str">
        <f>IF(B14167=B14166,"",B14167)</f>
        <v/>
      </c>
    </row>
    <row r="14168" spans="1:6" ht="15.75" customHeight="1">
      <c r="A14168" s="15" t="s">
        <v>5551</v>
      </c>
      <c r="B14168" s="15" t="s">
        <v>5551</v>
      </c>
      <c r="C14168" s="15" t="s">
        <v>5348</v>
      </c>
      <c r="D14168" s="15" t="s">
        <v>5406</v>
      </c>
      <c r="E14168" s="2">
        <v>3672110</v>
      </c>
      <c r="F14168" s="4" t="str">
        <f>IF(B14168=B14167,"",B14168)</f>
        <v>Pitalito</v>
      </c>
    </row>
    <row r="14169" spans="1:6" ht="15.75" customHeight="1">
      <c r="A14169" s="8" t="str">
        <f ca="1">IFERROR(__xludf.DUMMYFUNCTION("GOOGLETRANSLATE(B26920,""en"",""pt"")"),"Pitalito")</f>
        <v>Pitalito</v>
      </c>
      <c r="B14169" s="9" t="s">
        <v>5551</v>
      </c>
      <c r="C14169" s="9" t="s">
        <v>5348</v>
      </c>
      <c r="D14169" s="9" t="s">
        <v>5406</v>
      </c>
      <c r="E14169" s="10">
        <v>3672110</v>
      </c>
      <c r="F14169" s="4" t="str">
        <f>IF(B14169=B14168,"",B14169)</f>
        <v/>
      </c>
    </row>
    <row r="14170" spans="1:6" ht="15.75" customHeight="1">
      <c r="A14170" s="15" t="s">
        <v>24971</v>
      </c>
      <c r="B14170" s="15" t="s">
        <v>24971</v>
      </c>
      <c r="C14170" s="15" t="s">
        <v>24924</v>
      </c>
      <c r="D14170" s="15" t="s">
        <v>6944</v>
      </c>
      <c r="E14170" s="2">
        <v>1230089</v>
      </c>
      <c r="F14170" s="4" t="str">
        <f>IF(B14170=B14169,"",B14170)</f>
        <v>Pita Kotte</v>
      </c>
    </row>
    <row r="14171" spans="1:6" ht="15.75" customHeight="1">
      <c r="A14171" s="8" t="str">
        <f ca="1">IFERROR(__xludf.DUMMYFUNCTION("GOOGLETRANSLATE(B36299,""en"",""pt"")"),"Pita Kotte")</f>
        <v>Pita Kotte</v>
      </c>
      <c r="B14171" s="9" t="s">
        <v>24971</v>
      </c>
      <c r="C14171" s="9" t="s">
        <v>24924</v>
      </c>
      <c r="D14171" s="9" t="s">
        <v>6944</v>
      </c>
      <c r="E14171" s="10">
        <v>1230089</v>
      </c>
      <c r="F14171" s="4" t="str">
        <f>IF(B14171=B14170,"",B14171)</f>
        <v/>
      </c>
    </row>
    <row r="14172" spans="1:6" ht="15.75" customHeight="1">
      <c r="A14172" s="15" t="s">
        <v>9846</v>
      </c>
      <c r="B14172" s="15" t="s">
        <v>9847</v>
      </c>
      <c r="C14172" s="15" t="s">
        <v>9826</v>
      </c>
      <c r="D14172" s="15" t="s">
        <v>9843</v>
      </c>
      <c r="E14172" s="2">
        <v>2416443</v>
      </c>
      <c r="F14172" s="4" t="str">
        <f>IF(B14172=B14171,"",B14172)</f>
        <v>Pita</v>
      </c>
    </row>
    <row r="14173" spans="1:6" ht="15.75" customHeight="1">
      <c r="A14173" s="8" t="str">
        <f ca="1">IFERROR(__xludf.DUMMYFUNCTION("GOOGLETRANSLATE(B30925,""en"",""pt"")"),"Pão Pita")</f>
        <v>Pão Pita</v>
      </c>
      <c r="B14173" s="9" t="s">
        <v>9847</v>
      </c>
      <c r="C14173" s="9" t="s">
        <v>9826</v>
      </c>
      <c r="D14173" s="9" t="s">
        <v>9843</v>
      </c>
      <c r="E14173" s="10">
        <v>2416443</v>
      </c>
      <c r="F14173" s="4" t="str">
        <f>IF(B14173=B14172,"",B14173)</f>
        <v/>
      </c>
    </row>
    <row r="14174" spans="1:6" ht="15.75" customHeight="1">
      <c r="A14174" s="15" t="s">
        <v>21428</v>
      </c>
      <c r="B14174" s="15" t="s">
        <v>21428</v>
      </c>
      <c r="C14174" s="15" t="s">
        <v>21064</v>
      </c>
      <c r="D14174" s="15" t="s">
        <v>21131</v>
      </c>
      <c r="E14174" s="2">
        <v>762120</v>
      </c>
      <c r="F14174" s="4" t="str">
        <f>IF(B14174=B14173,"",B14174)</f>
        <v>Pisz</v>
      </c>
    </row>
    <row r="14175" spans="1:6" ht="15.75" customHeight="1">
      <c r="A14175" s="8" t="str">
        <f ca="1">IFERROR(__xludf.DUMMYFUNCTION("GOOGLETRANSLATE(B39225,""en"",""pt"")"),"Pisz")</f>
        <v>Pisz</v>
      </c>
      <c r="B14175" s="9" t="s">
        <v>21428</v>
      </c>
      <c r="C14175" s="9" t="s">
        <v>21064</v>
      </c>
      <c r="D14175" s="9" t="s">
        <v>21131</v>
      </c>
      <c r="E14175" s="10">
        <v>762120</v>
      </c>
      <c r="F14175" s="4" t="str">
        <f>IF(B14175=B14174,"",B14175)</f>
        <v/>
      </c>
    </row>
    <row r="14176" spans="1:6" ht="15.75" customHeight="1">
      <c r="A14176" s="15" t="s">
        <v>15371</v>
      </c>
      <c r="B14176" s="15" t="s">
        <v>15371</v>
      </c>
      <c r="C14176" s="15" t="s">
        <v>14891</v>
      </c>
      <c r="D14176" s="15" t="s">
        <v>14943</v>
      </c>
      <c r="E14176" s="2">
        <v>3170621</v>
      </c>
      <c r="F14176" s="4" t="str">
        <f>IF(B14176=B14175,"",B14176)</f>
        <v>Pistoia</v>
      </c>
    </row>
    <row r="14177" spans="1:6" ht="15.75" customHeight="1">
      <c r="A14177" s="8" t="str">
        <f ca="1">IFERROR(__xludf.DUMMYFUNCTION("GOOGLETRANSLATE(B34768,""en"",""pt"")"),"Pistoia")</f>
        <v>Pistoia</v>
      </c>
      <c r="B14177" s="9" t="s">
        <v>15371</v>
      </c>
      <c r="C14177" s="9" t="s">
        <v>14891</v>
      </c>
      <c r="D14177" s="9" t="s">
        <v>14943</v>
      </c>
      <c r="E14177" s="10">
        <v>3170621</v>
      </c>
      <c r="F14177" s="4" t="str">
        <f>IF(B14177=B14176,"",B14177)</f>
        <v/>
      </c>
    </row>
    <row r="14178" spans="1:6" ht="15.75" customHeight="1">
      <c r="A14178" s="15" t="s">
        <v>30582</v>
      </c>
      <c r="B14178" s="15" t="s">
        <v>30582</v>
      </c>
      <c r="C14178" s="15" t="s">
        <v>30502</v>
      </c>
      <c r="D14178" s="15" t="s">
        <v>30504</v>
      </c>
      <c r="E14178" s="2">
        <v>1512986</v>
      </c>
      <c r="F14178" s="4" t="str">
        <f>IF(B14178=B14177,"",B14178)</f>
        <v>Piskent</v>
      </c>
    </row>
    <row r="14179" spans="1:6" ht="15.75" customHeight="1">
      <c r="A14179" s="8" t="str">
        <f ca="1">IFERROR(__xludf.DUMMYFUNCTION("GOOGLETRANSLATE(B45550,""en"",""pt"")"),"Piskent")</f>
        <v>Piskent</v>
      </c>
      <c r="B14179" s="9" t="s">
        <v>30582</v>
      </c>
      <c r="C14179" s="9" t="s">
        <v>30502</v>
      </c>
      <c r="D14179" s="9" t="s">
        <v>30504</v>
      </c>
      <c r="E14179" s="10">
        <v>1512986</v>
      </c>
      <c r="F14179" s="4" t="str">
        <f>IF(B14179=B14178,"",B14179)</f>
        <v/>
      </c>
    </row>
    <row r="14180" spans="1:6" ht="15.75" customHeight="1">
      <c r="A14180" s="8" t="str">
        <f ca="1">IFERROR(__xludf.DUMMYFUNCTION("GOOGLETRANSLATE(B34396,""en"",""pt"")"),"Pīshvā")</f>
        <v>Pīshvā</v>
      </c>
      <c r="B14180" s="11" t="s">
        <v>34161</v>
      </c>
      <c r="C14180" s="11" t="s">
        <v>14240</v>
      </c>
      <c r="D14180" s="11" t="s">
        <v>34125</v>
      </c>
      <c r="E14180" s="10">
        <v>120972</v>
      </c>
      <c r="F14180" s="4" t="str">
        <f>IF(B14180=B14179,"",B14180)</f>
        <v>Pīshvā</v>
      </c>
    </row>
    <row r="14181" spans="1:6" ht="15.75" customHeight="1">
      <c r="A14181" s="15" t="s">
        <v>20170</v>
      </c>
      <c r="B14181" s="15" t="s">
        <v>20170</v>
      </c>
      <c r="C14181" s="15" t="s">
        <v>19808</v>
      </c>
      <c r="D14181" s="15" t="s">
        <v>19833</v>
      </c>
      <c r="E14181" s="2">
        <v>1167821</v>
      </c>
      <c r="F14181" s="4" t="str">
        <f>IF(B14181=B14180,"",B14181)</f>
        <v>Pishin</v>
      </c>
    </row>
    <row r="14182" spans="1:6" ht="15.75" customHeight="1">
      <c r="A14182" s="8" t="str">
        <f ca="1">IFERROR(__xludf.DUMMYFUNCTION("GOOGLETRANSLATE(B38946,""en"",""pt"")"),"Pishin")</f>
        <v>Pishin</v>
      </c>
      <c r="B14182" s="11" t="s">
        <v>20170</v>
      </c>
      <c r="C14182" s="11" t="s">
        <v>19808</v>
      </c>
      <c r="D14182" s="11" t="s">
        <v>34892</v>
      </c>
      <c r="E14182" s="10">
        <v>1167821</v>
      </c>
      <c r="F14182" s="4" t="str">
        <f>IF(B14182=B14181,"",B14182)</f>
        <v/>
      </c>
    </row>
    <row r="14183" spans="1:6" ht="15.75" customHeight="1">
      <c r="A14183" s="8" t="str">
        <f ca="1">IFERROR(__xludf.DUMMYFUNCTION("GOOGLETRANSLATE(B27275,""en"",""pt"")"),"Písek")</f>
        <v>Písek</v>
      </c>
      <c r="B14183" s="9" t="s">
        <v>31967</v>
      </c>
      <c r="C14183" s="9" t="s">
        <v>5947</v>
      </c>
      <c r="D14183" s="9" t="s">
        <v>31955</v>
      </c>
      <c r="E14183" s="10">
        <v>3068293</v>
      </c>
      <c r="F14183" s="4" t="str">
        <f>IF(B14183=B14182,"",B14183)</f>
        <v>Písek</v>
      </c>
    </row>
    <row r="14184" spans="1:6" ht="15.75" customHeight="1">
      <c r="A14184" s="15" t="s">
        <v>20560</v>
      </c>
      <c r="B14184" s="15" t="s">
        <v>20560</v>
      </c>
      <c r="C14184" s="15" t="s">
        <v>20470</v>
      </c>
      <c r="D14184" s="15" t="s">
        <v>20499</v>
      </c>
      <c r="E14184" s="2">
        <v>3932145</v>
      </c>
      <c r="F14184" s="4" t="str">
        <f>IF(B14184=B14183,"",B14184)</f>
        <v>Pisco</v>
      </c>
    </row>
    <row r="14185" spans="1:6" ht="15.75" customHeight="1">
      <c r="A14185" s="8" t="str">
        <f ca="1">IFERROR(__xludf.DUMMYFUNCTION("GOOGLETRANSLATE(B38368,""en"",""pt"")"),"Pisco")</f>
        <v>Pisco</v>
      </c>
      <c r="B14185" s="9" t="s">
        <v>20560</v>
      </c>
      <c r="C14185" s="9" t="s">
        <v>20470</v>
      </c>
      <c r="D14185" s="9" t="s">
        <v>20499</v>
      </c>
      <c r="E14185" s="10">
        <v>3932145</v>
      </c>
      <c r="F14185" s="4" t="str">
        <f>IF(B14185=B14184,"",B14185)</f>
        <v/>
      </c>
    </row>
    <row r="14186" spans="1:6" ht="15.75" customHeight="1">
      <c r="A14186" s="16" t="s">
        <v>29686</v>
      </c>
      <c r="B14186" s="15" t="s">
        <v>29686</v>
      </c>
      <c r="C14186" s="16" t="s">
        <v>27788</v>
      </c>
      <c r="D14186" s="16" t="s">
        <v>27905</v>
      </c>
      <c r="E14186" s="2">
        <v>5102713</v>
      </c>
      <c r="F14186" s="4" t="str">
        <f>IF(B14186=B14185,"",B14186)</f>
        <v>Piscataway</v>
      </c>
    </row>
    <row r="14187" spans="1:6" ht="15.75" customHeight="1">
      <c r="A14187" s="8" t="str">
        <f ca="1">IFERROR(__xludf.DUMMYFUNCTION("GOOGLETRANSLATE(B44300,""en"",""pt"")"),"Piscataway")</f>
        <v>Piscataway</v>
      </c>
      <c r="B14187" s="9" t="s">
        <v>29686</v>
      </c>
      <c r="C14187" s="9" t="s">
        <v>27788</v>
      </c>
      <c r="D14187" s="9" t="s">
        <v>27905</v>
      </c>
      <c r="E14187" s="10">
        <v>5102713</v>
      </c>
      <c r="F14187" s="4" t="str">
        <f>IF(B14187=B14186,"",B14187)</f>
        <v/>
      </c>
    </row>
    <row r="14188" spans="1:6" ht="15.75" customHeight="1">
      <c r="A14188" s="15" t="s">
        <v>15370</v>
      </c>
      <c r="B14188" s="15" t="s">
        <v>15370</v>
      </c>
      <c r="C14188" s="15" t="s">
        <v>14891</v>
      </c>
      <c r="D14188" s="15" t="s">
        <v>14943</v>
      </c>
      <c r="E14188" s="2">
        <v>3170647</v>
      </c>
      <c r="F14188" s="4" t="str">
        <f>IF(B14188=B14187,"",B14188)</f>
        <v>Pisa</v>
      </c>
    </row>
    <row r="14189" spans="1:6" ht="15.75" customHeight="1">
      <c r="A14189" s="8" t="str">
        <f ca="1">IFERROR(__xludf.DUMMYFUNCTION("GOOGLETRANSLATE(B34769,""en"",""pt"")"),"Pisa")</f>
        <v>Pisa</v>
      </c>
      <c r="B14189" s="9" t="s">
        <v>15370</v>
      </c>
      <c r="C14189" s="9" t="s">
        <v>14891</v>
      </c>
      <c r="D14189" s="9" t="s">
        <v>14943</v>
      </c>
      <c r="E14189" s="10">
        <v>3170647</v>
      </c>
      <c r="F14189" s="4" t="str">
        <f>IF(B14189=B14188,"",B14189)</f>
        <v/>
      </c>
    </row>
    <row r="14190" spans="1:6" ht="15.75" customHeight="1">
      <c r="A14190" s="15" t="s">
        <v>23645</v>
      </c>
      <c r="B14190" s="15" t="s">
        <v>23645</v>
      </c>
      <c r="C14190" s="15" t="s">
        <v>23602</v>
      </c>
      <c r="D14190" s="15" t="s">
        <v>23603</v>
      </c>
      <c r="E14190" s="2">
        <v>787050</v>
      </c>
      <c r="F14190" s="4" t="str">
        <f>IF(B14190=B14189,"",B14190)</f>
        <v>Pirot</v>
      </c>
    </row>
    <row r="14191" spans="1:6" ht="15.75" customHeight="1">
      <c r="A14191" s="8" t="str">
        <f ca="1">IFERROR(__xludf.DUMMYFUNCTION("GOOGLETRANSLATE(B39870,""en"",""pt"")"),"Pirot")</f>
        <v>Pirot</v>
      </c>
      <c r="B14191" s="9" t="s">
        <v>23645</v>
      </c>
      <c r="C14191" s="9" t="s">
        <v>23602</v>
      </c>
      <c r="D14191" s="9" t="s">
        <v>23603</v>
      </c>
      <c r="E14191" s="10">
        <v>787050</v>
      </c>
      <c r="F14191" s="4" t="str">
        <f>IF(B14191=B14190,"",B14191)</f>
        <v/>
      </c>
    </row>
    <row r="14192" spans="1:6" ht="15.75" customHeight="1">
      <c r="A14192" s="15" t="s">
        <v>1413</v>
      </c>
      <c r="B14192" s="15" t="s">
        <v>1413</v>
      </c>
      <c r="C14192" s="15" t="s">
        <v>1296</v>
      </c>
      <c r="D14192" s="15" t="s">
        <v>1308</v>
      </c>
      <c r="E14192" s="2">
        <v>1185138</v>
      </c>
      <c r="F14192" s="4" t="str">
        <f>IF(B14192=B14191,"",B14192)</f>
        <v>Pirojpur</v>
      </c>
    </row>
    <row r="14193" spans="1:6" ht="15.75" customHeight="1">
      <c r="A14193" s="8" t="str">
        <f ca="1">IFERROR(__xludf.DUMMYFUNCTION("GOOGLETRANSLATE(B23708,""en"",""pt"")"),"Pirojpur")</f>
        <v>Pirojpur</v>
      </c>
      <c r="B14193" s="9" t="s">
        <v>1413</v>
      </c>
      <c r="C14193" s="9" t="s">
        <v>1296</v>
      </c>
      <c r="D14193" s="9" t="s">
        <v>31265</v>
      </c>
      <c r="E14193" s="10">
        <v>1185138</v>
      </c>
      <c r="F14193" s="4" t="str">
        <f>IF(B14193=B14192,"",B14193)</f>
        <v/>
      </c>
    </row>
    <row r="14194" spans="1:6" ht="15.75" customHeight="1">
      <c r="A14194" s="15" t="s">
        <v>12900</v>
      </c>
      <c r="B14194" s="15" t="s">
        <v>12900</v>
      </c>
      <c r="C14194" s="15" t="s">
        <v>10178</v>
      </c>
      <c r="D14194" s="15" t="s">
        <v>10317</v>
      </c>
      <c r="E14194" s="2">
        <v>1259530</v>
      </c>
      <c r="F14194" s="4" t="str">
        <f>IF(B14194=B14193,"",B14194)</f>
        <v>Piro</v>
      </c>
    </row>
    <row r="14195" spans="1:6" ht="15.75" customHeight="1">
      <c r="A14195" s="8" t="str">
        <f ca="1">IFERROR(__xludf.DUMMYFUNCTION("GOOGLETRANSLATE(B32449,""en"",""pt"")"),"Piro")</f>
        <v>Piro</v>
      </c>
      <c r="B14195" s="9" t="s">
        <v>12900</v>
      </c>
      <c r="C14195" s="9" t="s">
        <v>10178</v>
      </c>
      <c r="D14195" s="9" t="s">
        <v>10317</v>
      </c>
      <c r="E14195" s="10">
        <v>1259530</v>
      </c>
      <c r="F14195" s="4" t="str">
        <f>IF(B14195=B14194,"",B14195)</f>
        <v/>
      </c>
    </row>
    <row r="14196" spans="1:6" ht="15.75" customHeight="1">
      <c r="A14196" s="15" t="s">
        <v>8999</v>
      </c>
      <c r="B14196" s="15" t="s">
        <v>8999</v>
      </c>
      <c r="C14196" s="15" t="s">
        <v>8028</v>
      </c>
      <c r="D14196" s="15" t="s">
        <v>8072</v>
      </c>
      <c r="E14196" s="2">
        <v>2853572</v>
      </c>
      <c r="F14196" s="4" t="str">
        <f>IF(B14196=B14195,"",B14196)</f>
        <v>Pirna</v>
      </c>
    </row>
    <row r="14197" spans="1:6" ht="15.75" customHeight="1">
      <c r="A14197" s="8" t="str">
        <f ca="1">IFERROR(__xludf.DUMMYFUNCTION("GOOGLETRANSLATE(B27644,""en"",""pt"")"),"Pirna")</f>
        <v>Pirna</v>
      </c>
      <c r="B14197" s="9" t="s">
        <v>8999</v>
      </c>
      <c r="C14197" s="9" t="s">
        <v>8028</v>
      </c>
      <c r="D14197" s="9" t="s">
        <v>8072</v>
      </c>
      <c r="E14197" s="10">
        <v>2853572</v>
      </c>
      <c r="F14197" s="4" t="str">
        <f>IF(B14197=B14196,"",B14197)</f>
        <v/>
      </c>
    </row>
    <row r="14198" spans="1:6" ht="15.75" customHeight="1">
      <c r="A14198" s="16" t="s">
        <v>8998</v>
      </c>
      <c r="B14198" s="15" t="s">
        <v>8998</v>
      </c>
      <c r="C14198" s="16" t="s">
        <v>8028</v>
      </c>
      <c r="D14198" s="16" t="s">
        <v>8065</v>
      </c>
      <c r="E14198" s="2">
        <v>2853574</v>
      </c>
      <c r="F14198" s="4" t="str">
        <f>IF(B14198=B14197,"",B14198)</f>
        <v>Pirmasens</v>
      </c>
    </row>
    <row r="14199" spans="1:6" ht="15.75" customHeight="1">
      <c r="A14199" s="8" t="str">
        <f ca="1">IFERROR(__xludf.DUMMYFUNCTION("GOOGLETRANSLATE(B27645,""en"",""pt"")"),"Pirmasens")</f>
        <v>Pirmasens</v>
      </c>
      <c r="B14199" s="11" t="s">
        <v>8998</v>
      </c>
      <c r="C14199" s="11" t="s">
        <v>8028</v>
      </c>
      <c r="D14199" s="11" t="s">
        <v>8065</v>
      </c>
      <c r="E14199" s="10">
        <v>2853574</v>
      </c>
      <c r="F14199" s="4" t="str">
        <f>IF(B14199=B14198,"",B14199)</f>
        <v/>
      </c>
    </row>
    <row r="14200" spans="1:6" ht="15.75" customHeight="1">
      <c r="A14200" s="15" t="s">
        <v>7020</v>
      </c>
      <c r="B14200" s="15" t="s">
        <v>7020</v>
      </c>
      <c r="C14200" s="15" t="s">
        <v>6948</v>
      </c>
      <c r="D14200" s="15" t="s">
        <v>6987</v>
      </c>
      <c r="E14200" s="2">
        <v>641489</v>
      </c>
      <c r="F14200" s="4" t="str">
        <f>IF(B14200=B14199,"",B14200)</f>
        <v>Pirkkala</v>
      </c>
    </row>
    <row r="14201" spans="1:6" ht="15.75" customHeight="1">
      <c r="A14201" s="8" t="str">
        <f ca="1">IFERROR(__xludf.DUMMYFUNCTION("GOOGLETRANSLATE(B29619,""en"",""pt"")"),"Pirkkala")</f>
        <v>Pirkkala</v>
      </c>
      <c r="B14201" s="9" t="s">
        <v>7020</v>
      </c>
      <c r="C14201" s="9" t="s">
        <v>6948</v>
      </c>
      <c r="D14201" s="9" t="s">
        <v>6987</v>
      </c>
      <c r="E14201" s="10">
        <v>641489</v>
      </c>
      <c r="F14201" s="4" t="str">
        <f>IF(B14201=B14200,"",B14201)</f>
        <v/>
      </c>
    </row>
    <row r="14202" spans="1:6" ht="15.75" customHeight="1">
      <c r="A14202" s="8" t="str">
        <f ca="1">IFERROR(__xludf.DUMMYFUNCTION("GOOGLETRANSLATE(B32450,""en"",""pt"")"),"Piriyāpatna")</f>
        <v>Piriyāpatna</v>
      </c>
      <c r="B14202" s="11" t="s">
        <v>33223</v>
      </c>
      <c r="C14202" s="11" t="s">
        <v>10178</v>
      </c>
      <c r="D14202" s="11" t="s">
        <v>10252</v>
      </c>
      <c r="E14202" s="10">
        <v>1259535</v>
      </c>
      <c r="F14202" s="4" t="str">
        <f>IF(B14202=B14201,"",B14202)</f>
        <v>Piriyāpatna</v>
      </c>
    </row>
    <row r="14203" spans="1:6" ht="15.75" customHeight="1">
      <c r="A14203" s="16" t="s">
        <v>12898</v>
      </c>
      <c r="B14203" s="15" t="s">
        <v>12899</v>
      </c>
      <c r="C14203" s="16" t="s">
        <v>10178</v>
      </c>
      <c r="D14203" s="16" t="s">
        <v>10252</v>
      </c>
      <c r="E14203" s="2">
        <v>1259535</v>
      </c>
      <c r="F14203" s="4" t="str">
        <f>IF(B14203=B14202,"",B14203)</f>
        <v>PiriyÄpatna</v>
      </c>
    </row>
    <row r="14204" spans="1:6" ht="15.75" customHeight="1">
      <c r="A14204" s="15" t="s">
        <v>3123</v>
      </c>
      <c r="B14204" s="15" t="s">
        <v>3123</v>
      </c>
      <c r="C14204" s="15" t="s">
        <v>1905</v>
      </c>
      <c r="D14204" s="15" t="s">
        <v>1947</v>
      </c>
      <c r="E14204" s="2">
        <v>3453494</v>
      </c>
      <c r="F14204" s="4" t="str">
        <f>IF(B14204=B14203,"",B14204)</f>
        <v>Piritiba</v>
      </c>
    </row>
    <row r="14205" spans="1:6" ht="15.75" customHeight="1">
      <c r="A14205" s="8" t="str">
        <f ca="1">IFERROR(__xludf.DUMMYFUNCTION("GOOGLETRANSLATE(B24699,""en"",""pt"")"),"Piritiba")</f>
        <v>Piritiba</v>
      </c>
      <c r="B14205" s="9" t="s">
        <v>3123</v>
      </c>
      <c r="C14205" s="9" t="s">
        <v>1905</v>
      </c>
      <c r="D14205" s="9" t="s">
        <v>1947</v>
      </c>
      <c r="E14205" s="10">
        <v>3453494</v>
      </c>
      <c r="F14205" s="4" t="str">
        <f>IF(B14205=B14204,"",B14205)</f>
        <v/>
      </c>
    </row>
    <row r="14206" spans="1:6" ht="15.75" customHeight="1">
      <c r="A14206" s="15" t="s">
        <v>3122</v>
      </c>
      <c r="B14206" s="15" t="s">
        <v>3122</v>
      </c>
      <c r="C14206" s="15" t="s">
        <v>1905</v>
      </c>
      <c r="D14206" s="15" t="s">
        <v>1960</v>
      </c>
      <c r="E14206" s="2">
        <v>3391908</v>
      </c>
      <c r="F14206" s="4" t="str">
        <f>IF(B14206=B14205,"",B14206)</f>
        <v>Piripiri</v>
      </c>
    </row>
    <row r="14207" spans="1:6" ht="15.75" customHeight="1">
      <c r="A14207" s="8" t="str">
        <f ca="1">IFERROR(__xludf.DUMMYFUNCTION("GOOGLETRANSLATE(B24223,""en"",""pt"")"),"Piripiri")</f>
        <v>Piripiri</v>
      </c>
      <c r="B14207" s="9" t="s">
        <v>3122</v>
      </c>
      <c r="C14207" s="9" t="s">
        <v>1905</v>
      </c>
      <c r="D14207" s="9" t="s">
        <v>31349</v>
      </c>
      <c r="E14207" s="10">
        <v>3391908</v>
      </c>
      <c r="F14207" s="4" t="str">
        <f>IF(B14207=B14206,"",B14207)</f>
        <v/>
      </c>
    </row>
    <row r="14208" spans="1:6" ht="15.75" customHeight="1">
      <c r="A14208" s="8" t="str">
        <f ca="1">IFERROR(__xludf.DUMMYFUNCTION("GOOGLETRANSLATE(B23780,""en"",""pt"")"),"Pīrgaaj")</f>
        <v>Pīrgaaj</v>
      </c>
      <c r="B14208" s="11" t="s">
        <v>31303</v>
      </c>
      <c r="C14208" s="11" t="s">
        <v>1296</v>
      </c>
      <c r="D14208" s="11" t="s">
        <v>1304</v>
      </c>
      <c r="E14208" s="10">
        <v>1337239</v>
      </c>
      <c r="F14208" s="4" t="str">
        <f>IF(B14208=B14207,"",B14208)</f>
        <v>Pīrgaaj</v>
      </c>
    </row>
    <row r="14209" spans="1:6" ht="15.75" customHeight="1">
      <c r="A14209" s="16" t="s">
        <v>3121</v>
      </c>
      <c r="B14209" s="15" t="s">
        <v>3121</v>
      </c>
      <c r="C14209" s="16" t="s">
        <v>1905</v>
      </c>
      <c r="D14209" s="16" t="s">
        <v>1969</v>
      </c>
      <c r="E14209" s="2">
        <v>3453503</v>
      </c>
      <c r="F14209" s="4" t="str">
        <f>IF(B14209=B14208,"",B14209)</f>
        <v>Pires do Rio</v>
      </c>
    </row>
    <row r="14210" spans="1:6" ht="15.75" customHeight="1">
      <c r="A14210" s="8" t="str">
        <f ca="1">IFERROR(__xludf.DUMMYFUNCTION("GOOGLETRANSLATE(B24700,""en"",""pt"")"),"Pires do Rio")</f>
        <v>Pires do Rio</v>
      </c>
      <c r="B14210" s="11" t="s">
        <v>3121</v>
      </c>
      <c r="C14210" s="11" t="s">
        <v>1905</v>
      </c>
      <c r="D14210" s="11" t="s">
        <v>31436</v>
      </c>
      <c r="E14210" s="10">
        <v>3453503</v>
      </c>
      <c r="F14210" s="4" t="str">
        <f>IF(B14210=B14209,"",B14210)</f>
        <v/>
      </c>
    </row>
    <row r="14211" spans="1:6" ht="15.75" customHeight="1">
      <c r="A14211" s="15" t="s">
        <v>12897</v>
      </c>
      <c r="B14211" s="15" t="s">
        <v>12897</v>
      </c>
      <c r="C14211" s="15" t="s">
        <v>10178</v>
      </c>
      <c r="D14211" s="15" t="s">
        <v>10246</v>
      </c>
      <c r="E14211" s="2">
        <v>1259541</v>
      </c>
      <c r="F14211" s="4" t="str">
        <f>IF(B14211=B14210,"",B14211)</f>
        <v>Piravam</v>
      </c>
    </row>
    <row r="14212" spans="1:6" ht="15.75" customHeight="1">
      <c r="A14212" s="8" t="str">
        <f ca="1">IFERROR(__xludf.DUMMYFUNCTION("GOOGLETRANSLATE(B32451,""en"",""pt"")"),"Piravam")</f>
        <v>Piravam</v>
      </c>
      <c r="B14212" s="11" t="s">
        <v>12897</v>
      </c>
      <c r="C14212" s="11" t="s">
        <v>10178</v>
      </c>
      <c r="D14212" s="11" t="s">
        <v>10246</v>
      </c>
      <c r="E14212" s="10">
        <v>1259541</v>
      </c>
      <c r="F14212" s="4" t="str">
        <f>IF(B14212=B14211,"",B14212)</f>
        <v/>
      </c>
    </row>
    <row r="14213" spans="1:6" ht="15.75" customHeight="1">
      <c r="A14213" s="16" t="s">
        <v>3120</v>
      </c>
      <c r="B14213" s="15" t="s">
        <v>3120</v>
      </c>
      <c r="C14213" s="16" t="s">
        <v>1905</v>
      </c>
      <c r="D14213" s="16" t="s">
        <v>1914</v>
      </c>
      <c r="E14213" s="2">
        <v>3453639</v>
      </c>
      <c r="F14213" s="4" t="str">
        <f>IF(B14213=B14212,"",B14213)</f>
        <v>Pirassununga</v>
      </c>
    </row>
    <row r="14214" spans="1:6" ht="15.75" customHeight="1">
      <c r="A14214" s="8" t="str">
        <f ca="1">IFERROR(__xludf.DUMMYFUNCTION("GOOGLETRANSLATE(B24708,""en"",""pt"")"),"Pirassununga")</f>
        <v>Pirassununga</v>
      </c>
      <c r="B14214" s="11" t="s">
        <v>3120</v>
      </c>
      <c r="C14214" s="11" t="s">
        <v>1905</v>
      </c>
      <c r="D14214" s="11" t="s">
        <v>3354</v>
      </c>
      <c r="E14214" s="10">
        <v>3453639</v>
      </c>
      <c r="F14214" s="4" t="str">
        <f>IF(B14214=B14213,"",B14214)</f>
        <v/>
      </c>
    </row>
    <row r="14215" spans="1:6" ht="15.75" customHeight="1">
      <c r="A14215" s="15" t="s">
        <v>3119</v>
      </c>
      <c r="B14215" s="15" t="s">
        <v>3119</v>
      </c>
      <c r="C14215" s="15" t="s">
        <v>1905</v>
      </c>
      <c r="D14215" s="15" t="s">
        <v>728</v>
      </c>
      <c r="E14215" s="2">
        <v>3453535</v>
      </c>
      <c r="F14215" s="4" t="str">
        <f>IF(B14215=B14214,"",B14215)</f>
        <v>Piraquara</v>
      </c>
    </row>
    <row r="14216" spans="1:6" ht="15.75" customHeight="1">
      <c r="A14216" s="8" t="str">
        <f ca="1">IFERROR(__xludf.DUMMYFUNCTION("GOOGLETRANSLATE(B24701,""en"",""pt"")"),"Piraquara")</f>
        <v>Piraquara</v>
      </c>
      <c r="B14216" s="11" t="s">
        <v>3119</v>
      </c>
      <c r="C14216" s="11" t="s">
        <v>1905</v>
      </c>
      <c r="D14216" s="11" t="s">
        <v>727</v>
      </c>
      <c r="E14216" s="10">
        <v>3453535</v>
      </c>
      <c r="F14216" s="4" t="str">
        <f>IF(B14216=B14215,"",B14216)</f>
        <v/>
      </c>
    </row>
    <row r="14217" spans="1:6" ht="15.75" customHeight="1">
      <c r="A14217" s="16" t="s">
        <v>3118</v>
      </c>
      <c r="B14217" s="15" t="s">
        <v>3118</v>
      </c>
      <c r="C14217" s="16" t="s">
        <v>1905</v>
      </c>
      <c r="D14217" s="16" t="s">
        <v>1914</v>
      </c>
      <c r="E14217" s="2">
        <v>3453542</v>
      </c>
      <c r="F14217" s="4" t="str">
        <f>IF(B14217=B14216,"",B14217)</f>
        <v>Pirapozinho</v>
      </c>
    </row>
    <row r="14218" spans="1:6" ht="15.75" customHeight="1">
      <c r="A14218" s="8" t="str">
        <f ca="1">IFERROR(__xludf.DUMMYFUNCTION("GOOGLETRANSLATE(B24702,""en"",""pt"")"),"Pirapozinho")</f>
        <v>Pirapozinho</v>
      </c>
      <c r="B14218" s="11" t="s">
        <v>3118</v>
      </c>
      <c r="C14218" s="11" t="s">
        <v>1905</v>
      </c>
      <c r="D14218" s="11" t="s">
        <v>3354</v>
      </c>
      <c r="E14218" s="10">
        <v>3453542</v>
      </c>
      <c r="F14218" s="4" t="str">
        <f>IF(B14218=B14217,"",B14218)</f>
        <v/>
      </c>
    </row>
    <row r="14219" spans="1:6" ht="15.75" customHeight="1">
      <c r="A14219" s="15" t="s">
        <v>3117</v>
      </c>
      <c r="B14219" s="15" t="s">
        <v>3117</v>
      </c>
      <c r="C14219" s="15" t="s">
        <v>1905</v>
      </c>
      <c r="D14219" s="15" t="s">
        <v>1917</v>
      </c>
      <c r="E14219" s="2">
        <v>3453546</v>
      </c>
      <c r="F14219" s="4" t="str">
        <f>IF(B14219=B14218,"",B14219)</f>
        <v>Pirapora</v>
      </c>
    </row>
    <row r="14220" spans="1:6" ht="15.75" customHeight="1">
      <c r="A14220" s="8" t="str">
        <f ca="1">IFERROR(__xludf.DUMMYFUNCTION("GOOGLETRANSLATE(B24703,""en"",""pt"")"),"Pirapora")</f>
        <v>Pirapora</v>
      </c>
      <c r="B14220" s="11" t="s">
        <v>3117</v>
      </c>
      <c r="C14220" s="11" t="s">
        <v>1905</v>
      </c>
      <c r="D14220" s="11" t="s">
        <v>1917</v>
      </c>
      <c r="E14220" s="10">
        <v>3453546</v>
      </c>
      <c r="F14220" s="4" t="str">
        <f>IF(B14220=B14219,"",B14220)</f>
        <v/>
      </c>
    </row>
    <row r="14221" spans="1:6" ht="15.75" customHeight="1">
      <c r="A14221" s="16" t="s">
        <v>14495</v>
      </c>
      <c r="B14221" s="15" t="s">
        <v>14495</v>
      </c>
      <c r="C14221" s="16" t="s">
        <v>14240</v>
      </c>
      <c r="D14221" s="16" t="s">
        <v>14302</v>
      </c>
      <c r="E14221" s="2">
        <v>121110</v>
      </c>
      <c r="F14221" s="4" t="str">
        <f>IF(B14221=B14220,"",B14221)</f>
        <v>Piranshahr</v>
      </c>
    </row>
    <row r="14222" spans="1:6" ht="15.75" customHeight="1">
      <c r="A14222" s="8" t="str">
        <f ca="1">IFERROR(__xludf.DUMMYFUNCTION("GOOGLETRANSLATE(B34397,""en"",""pt"")"),"Piranshahr")</f>
        <v>Piranshahr</v>
      </c>
      <c r="B14222" s="11" t="s">
        <v>14495</v>
      </c>
      <c r="C14222" s="11" t="s">
        <v>14240</v>
      </c>
      <c r="D14222" s="11" t="s">
        <v>34137</v>
      </c>
      <c r="E14222" s="10">
        <v>121110</v>
      </c>
      <c r="F14222" s="4" t="str">
        <f>IF(B14222=B14221,"",B14222)</f>
        <v/>
      </c>
    </row>
    <row r="14223" spans="1:6" ht="15.75" customHeight="1">
      <c r="A14223" s="8" t="str">
        <f ca="1">IFERROR(__xludf.DUMMYFUNCTION("GOOGLETRANSLATE(B23194,""en"",""pt"")"),"Pirané")</f>
        <v>Pirané</v>
      </c>
      <c r="B14223" s="9" t="s">
        <v>732</v>
      </c>
      <c r="C14223" s="9" t="s">
        <v>558</v>
      </c>
      <c r="D14223" s="9" t="s">
        <v>658</v>
      </c>
      <c r="E14223" s="10">
        <v>3429949</v>
      </c>
      <c r="F14223" s="4" t="str">
        <f>IF(B14223=B14222,"",B14223)</f>
        <v>Pirané</v>
      </c>
    </row>
    <row r="14224" spans="1:6" ht="15.75" customHeight="1">
      <c r="A14224" s="15" t="s">
        <v>732</v>
      </c>
      <c r="B14224" s="15" t="s">
        <v>733</v>
      </c>
      <c r="C14224" s="15" t="s">
        <v>558</v>
      </c>
      <c r="D14224" s="15" t="s">
        <v>658</v>
      </c>
      <c r="E14224" s="2">
        <v>3429949</v>
      </c>
      <c r="F14224" s="4" t="str">
        <f>IF(B14224=B14223,"",B14224)</f>
        <v>PiranÃ©</v>
      </c>
    </row>
    <row r="14225" spans="1:6" ht="15.75" customHeight="1">
      <c r="A14225" s="8" t="str">
        <f ca="1">IFERROR(__xludf.DUMMYFUNCTION("GOOGLETRANSLATE(B24704,""en"",""pt"")"),"Pirajuí")</f>
        <v>Pirajuí</v>
      </c>
      <c r="B14225" s="9" t="s">
        <v>31552</v>
      </c>
      <c r="C14225" s="9" t="s">
        <v>1905</v>
      </c>
      <c r="D14225" s="9" t="s">
        <v>3354</v>
      </c>
      <c r="E14225" s="10">
        <v>3453605</v>
      </c>
      <c r="F14225" s="4" t="str">
        <f>IF(B14225=B14224,"",B14225)</f>
        <v>Pirajuí</v>
      </c>
    </row>
    <row r="14226" spans="1:6" ht="15.75" customHeight="1">
      <c r="A14226" s="15" t="s">
        <v>3115</v>
      </c>
      <c r="B14226" s="15" t="s">
        <v>3116</v>
      </c>
      <c r="C14226" s="15" t="s">
        <v>1905</v>
      </c>
      <c r="D14226" s="15" t="s">
        <v>1914</v>
      </c>
      <c r="E14226" s="2">
        <v>3453605</v>
      </c>
      <c r="F14226" s="4" t="str">
        <f>IF(B14226=B14225,"",B14226)</f>
        <v>PirajuÃ­</v>
      </c>
    </row>
    <row r="14227" spans="1:6" ht="15.75" customHeight="1">
      <c r="A14227" s="15" t="s">
        <v>3114</v>
      </c>
      <c r="B14227" s="15" t="s">
        <v>3114</v>
      </c>
      <c r="C14227" s="15" t="s">
        <v>1905</v>
      </c>
      <c r="D14227" s="15" t="s">
        <v>1914</v>
      </c>
      <c r="E14227" s="2">
        <v>3453610</v>
      </c>
      <c r="F14227" s="4" t="str">
        <f>IF(B14227=B14226,"",B14227)</f>
        <v>Piraju</v>
      </c>
    </row>
    <row r="14228" spans="1:6" ht="15.75" customHeight="1">
      <c r="A14228" s="8" t="str">
        <f ca="1">IFERROR(__xludf.DUMMYFUNCTION("GOOGLETRANSLATE(B24705,""en"",""pt"")"),"Piraju")</f>
        <v>Piraju</v>
      </c>
      <c r="B14228" s="11" t="s">
        <v>3114</v>
      </c>
      <c r="C14228" s="11" t="s">
        <v>1905</v>
      </c>
      <c r="D14228" s="11" t="s">
        <v>3354</v>
      </c>
      <c r="E14228" s="10">
        <v>3453610</v>
      </c>
      <c r="F14228" s="4" t="str">
        <f>IF(B14228=B14227,"",B14228)</f>
        <v/>
      </c>
    </row>
    <row r="14229" spans="1:6" ht="15.75" customHeight="1">
      <c r="A14229" s="8" t="str">
        <f ca="1">IFERROR(__xludf.DUMMYFUNCTION("GOOGLETRANSLATE(B24706,""en"",""pt"")"),"Piraí do sul")</f>
        <v>Piraí do sul</v>
      </c>
      <c r="B14229" s="9" t="s">
        <v>31553</v>
      </c>
      <c r="C14229" s="9" t="s">
        <v>1905</v>
      </c>
      <c r="D14229" s="9" t="s">
        <v>727</v>
      </c>
      <c r="E14229" s="10">
        <v>3453622</v>
      </c>
      <c r="F14229" s="4" t="str">
        <f>IF(B14229=B14228,"",B14229)</f>
        <v>Piraí do Sul</v>
      </c>
    </row>
    <row r="14230" spans="1:6" ht="15.75" customHeight="1">
      <c r="A14230" s="8" t="str">
        <f ca="1">IFERROR(__xludf.DUMMYFUNCTION("GOOGLETRANSLATE(B24707,""en"",""pt"")"),"Piraí")</f>
        <v>Piraí</v>
      </c>
      <c r="B14230" s="11" t="s">
        <v>31554</v>
      </c>
      <c r="C14230" s="11" t="s">
        <v>1905</v>
      </c>
      <c r="D14230" s="11" t="s">
        <v>1978</v>
      </c>
      <c r="E14230" s="10">
        <v>3453635</v>
      </c>
      <c r="F14230" s="4" t="str">
        <f>IF(B14230=B14229,"",B14230)</f>
        <v>Piraí</v>
      </c>
    </row>
    <row r="14231" spans="1:6" ht="15.75" customHeight="1">
      <c r="A14231" s="15" t="s">
        <v>9621</v>
      </c>
      <c r="B14231" s="15" t="s">
        <v>9622</v>
      </c>
      <c r="C14231" s="15" t="s">
        <v>9441</v>
      </c>
      <c r="D14231" s="15" t="s">
        <v>9445</v>
      </c>
      <c r="E14231" s="2">
        <v>255274</v>
      </c>
      <c r="F14231" s="4" t="str">
        <f>IF(B14231=B14230,"",B14231)</f>
        <v>Piraeus</v>
      </c>
    </row>
    <row r="14232" spans="1:6" ht="15.75" customHeight="1">
      <c r="A14232" s="8" t="str">
        <f ca="1">IFERROR(__xludf.DUMMYFUNCTION("GOOGLETRANSLATE(B30965,""en"",""pt"")"),"Pireu")</f>
        <v>Pireu</v>
      </c>
      <c r="B14232" s="11" t="s">
        <v>9622</v>
      </c>
      <c r="C14232" s="11" t="s">
        <v>9441</v>
      </c>
      <c r="D14232" s="11" t="s">
        <v>9445</v>
      </c>
      <c r="E14232" s="10">
        <v>255274</v>
      </c>
      <c r="F14232" s="4" t="str">
        <f>IF(B14232=B14231,"",B14232)</f>
        <v/>
      </c>
    </row>
    <row r="14233" spans="1:6" ht="15.75" customHeight="1">
      <c r="A14233" s="16" t="s">
        <v>3113</v>
      </c>
      <c r="B14233" s="15" t="s">
        <v>3113</v>
      </c>
      <c r="C14233" s="16" t="s">
        <v>1905</v>
      </c>
      <c r="D14233" s="16" t="s">
        <v>1960</v>
      </c>
      <c r="E14233" s="2">
        <v>3391991</v>
      </c>
      <c r="F14233" s="4" t="str">
        <f>IF(B14233=B14232,"",B14233)</f>
        <v>Piracuruca</v>
      </c>
    </row>
    <row r="14234" spans="1:6" ht="15.75" customHeight="1">
      <c r="A14234" s="8" t="str">
        <f ca="1">IFERROR(__xludf.DUMMYFUNCTION("GOOGLETRANSLATE(B24224,""en"",""pt"")"),"Piracuruca")</f>
        <v>Piracuruca</v>
      </c>
      <c r="B14234" s="11" t="s">
        <v>3113</v>
      </c>
      <c r="C14234" s="11" t="s">
        <v>1905</v>
      </c>
      <c r="D14234" s="11" t="s">
        <v>31349</v>
      </c>
      <c r="E14234" s="10">
        <v>3391991</v>
      </c>
      <c r="F14234" s="4" t="str">
        <f>IF(B14234=B14233,"",B14234)</f>
        <v/>
      </c>
    </row>
    <row r="14235" spans="1:6" ht="15.75" customHeight="1">
      <c r="A14235" s="16" t="s">
        <v>3112</v>
      </c>
      <c r="B14235" s="15" t="s">
        <v>3112</v>
      </c>
      <c r="C14235" s="16" t="s">
        <v>1905</v>
      </c>
      <c r="D14235" s="16" t="s">
        <v>1914</v>
      </c>
      <c r="E14235" s="2">
        <v>3453643</v>
      </c>
      <c r="F14235" s="4" t="str">
        <f>IF(B14235=B14234,"",B14235)</f>
        <v>Piracicaba</v>
      </c>
    </row>
    <row r="14236" spans="1:6" ht="15.75" customHeight="1">
      <c r="A14236" s="8" t="str">
        <f ca="1">IFERROR(__xludf.DUMMYFUNCTION("GOOGLETRANSLATE(B24709,""en"",""pt"")"),"Piracicaba")</f>
        <v>Piracicaba</v>
      </c>
      <c r="B14236" s="11" t="s">
        <v>3112</v>
      </c>
      <c r="C14236" s="11" t="s">
        <v>1905</v>
      </c>
      <c r="D14236" s="11" t="s">
        <v>3354</v>
      </c>
      <c r="E14236" s="10">
        <v>3453643</v>
      </c>
      <c r="F14236" s="4" t="str">
        <f>IF(B14236=B14235,"",B14236)</f>
        <v/>
      </c>
    </row>
    <row r="14237" spans="1:6" ht="15.75" customHeight="1">
      <c r="A14237" s="16" t="s">
        <v>3111</v>
      </c>
      <c r="B14237" s="15" t="s">
        <v>3111</v>
      </c>
      <c r="C14237" s="16" t="s">
        <v>1905</v>
      </c>
      <c r="D14237" s="16" t="s">
        <v>1969</v>
      </c>
      <c r="E14237" s="2">
        <v>3453659</v>
      </c>
      <c r="F14237" s="4" t="str">
        <f>IF(B14237=B14236,"",B14237)</f>
        <v>Piracanjuba</v>
      </c>
    </row>
    <row r="14238" spans="1:6" ht="15.75" customHeight="1">
      <c r="A14238" s="8" t="str">
        <f ca="1">IFERROR(__xludf.DUMMYFUNCTION("GOOGLETRANSLATE(B24710,""en"",""pt"")"),"Piracanjuba")</f>
        <v>Piracanjuba</v>
      </c>
      <c r="B14238" s="11" t="s">
        <v>3111</v>
      </c>
      <c r="C14238" s="11" t="s">
        <v>1905</v>
      </c>
      <c r="D14238" s="11" t="s">
        <v>31436</v>
      </c>
      <c r="E14238" s="10">
        <v>3453659</v>
      </c>
      <c r="F14238" s="4" t="str">
        <f>IF(B14238=B14237,"",B14238)</f>
        <v/>
      </c>
    </row>
    <row r="14239" spans="1:6" ht="15.75" customHeight="1">
      <c r="A14239" s="15" t="s">
        <v>3110</v>
      </c>
      <c r="B14239" s="15" t="s">
        <v>3110</v>
      </c>
      <c r="C14239" s="15" t="s">
        <v>1905</v>
      </c>
      <c r="D14239" s="15" t="s">
        <v>1914</v>
      </c>
      <c r="E14239" s="2">
        <v>3453661</v>
      </c>
      <c r="F14239" s="4" t="str">
        <f>IF(B14239=B14238,"",B14239)</f>
        <v>Piracaia</v>
      </c>
    </row>
    <row r="14240" spans="1:6" ht="15.75" customHeight="1">
      <c r="A14240" s="8" t="str">
        <f ca="1">IFERROR(__xludf.DUMMYFUNCTION("GOOGLETRANSLATE(B24711,""en"",""pt"")"),"Piracaia")</f>
        <v>Piracaia</v>
      </c>
      <c r="B14240" s="9" t="s">
        <v>3110</v>
      </c>
      <c r="C14240" s="9" t="s">
        <v>1905</v>
      </c>
      <c r="D14240" s="9" t="s">
        <v>3354</v>
      </c>
      <c r="E14240" s="10">
        <v>3453661</v>
      </c>
      <c r="F14240" s="4" t="str">
        <f>IF(B14240=B14239,"",B14240)</f>
        <v/>
      </c>
    </row>
    <row r="14241" spans="1:6" ht="15.75" customHeight="1">
      <c r="A14241" s="16" t="s">
        <v>3108</v>
      </c>
      <c r="B14241" s="15" t="s">
        <v>3109</v>
      </c>
      <c r="C14241" s="16" t="s">
        <v>1905</v>
      </c>
      <c r="D14241" s="16" t="s">
        <v>728</v>
      </c>
      <c r="E14241" s="2">
        <v>3453622</v>
      </c>
      <c r="F14241" s="4" t="str">
        <f>IF(B14241=B14240,"",B14241)</f>
        <v>PiraÃ­ do Sul</v>
      </c>
    </row>
    <row r="14242" spans="1:6" ht="15.75" customHeight="1">
      <c r="A14242" s="15" t="s">
        <v>3106</v>
      </c>
      <c r="B14242" s="15" t="s">
        <v>3107</v>
      </c>
      <c r="C14242" s="15" t="s">
        <v>1905</v>
      </c>
      <c r="D14242" s="15" t="s">
        <v>1978</v>
      </c>
      <c r="E14242" s="2">
        <v>3453635</v>
      </c>
      <c r="F14242" s="4" t="str">
        <f>IF(B14242=B14241,"",B14242)</f>
        <v>PiraÃ­</v>
      </c>
    </row>
    <row r="14243" spans="1:6" ht="15.75" customHeight="1">
      <c r="A14243" s="8" t="str">
        <f ca="1">IFERROR(__xludf.DUMMYFUNCTION("GOOGLETRANSLATE(B38947,""en"",""pt"")"),"Pīr Mahal")</f>
        <v>Pīr Mahal</v>
      </c>
      <c r="B14243" s="11" t="s">
        <v>34931</v>
      </c>
      <c r="C14243" s="11" t="s">
        <v>19808</v>
      </c>
      <c r="D14243" s="11" t="s">
        <v>10184</v>
      </c>
      <c r="E14243" s="10">
        <v>1167873</v>
      </c>
      <c r="F14243" s="4" t="str">
        <f>IF(B14243=B14242,"",B14243)</f>
        <v>Pīr Mahal</v>
      </c>
    </row>
    <row r="14244" spans="1:6" ht="15.75" customHeight="1">
      <c r="A14244" s="8" t="str">
        <f ca="1">IFERROR(__xludf.DUMMYFUNCTION("GOOGLETRANSLATE(B38865,""en"",""pt"")"),"Pīr Jo Goth")</f>
        <v>Pīr Jo Goth</v>
      </c>
      <c r="B14244" s="9" t="s">
        <v>34891</v>
      </c>
      <c r="C14244" s="9" t="s">
        <v>19808</v>
      </c>
      <c r="D14244" s="9" t="s">
        <v>19823</v>
      </c>
      <c r="E14244" s="10">
        <v>1161991</v>
      </c>
      <c r="F14244" s="4" t="str">
        <f>IF(B14244=B14243,"",B14244)</f>
        <v>Pīr jo Goth</v>
      </c>
    </row>
    <row r="14245" spans="1:6" ht="15.75" customHeight="1">
      <c r="A14245" s="15" t="s">
        <v>29685</v>
      </c>
      <c r="B14245" s="15" t="s">
        <v>29685</v>
      </c>
      <c r="C14245" s="15" t="s">
        <v>27788</v>
      </c>
      <c r="D14245" s="15" t="s">
        <v>27813</v>
      </c>
      <c r="E14245" s="2">
        <v>5166819</v>
      </c>
      <c r="F14245" s="4" t="str">
        <f>IF(B14245=B14244,"",B14245)</f>
        <v>Piqua</v>
      </c>
    </row>
    <row r="14246" spans="1:6" ht="15.75" customHeight="1">
      <c r="A14246" s="8" t="str">
        <f ca="1">IFERROR(__xludf.DUMMYFUNCTION("GOOGLETRANSLATE(B44536,""en"",""pt"")"),"Piqua")</f>
        <v>Piqua</v>
      </c>
      <c r="B14246" s="11" t="s">
        <v>29685</v>
      </c>
      <c r="C14246" s="11" t="s">
        <v>27788</v>
      </c>
      <c r="D14246" s="11" t="s">
        <v>27813</v>
      </c>
      <c r="E14246" s="10">
        <v>5166819</v>
      </c>
      <c r="F14246" s="4" t="str">
        <f>IF(B14246=B14245,"",B14246)</f>
        <v/>
      </c>
    </row>
    <row r="14247" spans="1:6" ht="15.75" customHeight="1">
      <c r="A14247" s="8" t="str">
        <f ca="1">IFERROR(__xludf.DUMMYFUNCTION("GOOGLETRANSLATE(B32452,""en"",""pt"")"),"Pīpri")</f>
        <v>Pīpri</v>
      </c>
      <c r="B14247" s="9" t="s">
        <v>33224</v>
      </c>
      <c r="C14247" s="9" t="s">
        <v>10178</v>
      </c>
      <c r="D14247" s="9" t="s">
        <v>10214</v>
      </c>
      <c r="E14247" s="10">
        <v>1259552</v>
      </c>
      <c r="F14247" s="4" t="str">
        <f>IF(B14247=B14246,"",B14247)</f>
        <v>Pīpri</v>
      </c>
    </row>
    <row r="14248" spans="1:6" ht="15.75" customHeight="1">
      <c r="A14248" s="15" t="s">
        <v>12896</v>
      </c>
      <c r="B14248" s="15" t="s">
        <v>12896</v>
      </c>
      <c r="C14248" s="15" t="s">
        <v>10178</v>
      </c>
      <c r="D14248" s="15" t="s">
        <v>10193</v>
      </c>
      <c r="E14248" s="2">
        <v>1259554</v>
      </c>
      <c r="F14248" s="4" t="str">
        <f>IF(B14248=B14247,"",B14248)</f>
        <v>Pipraich</v>
      </c>
    </row>
    <row r="14249" spans="1:6" ht="15.75" customHeight="1">
      <c r="A14249" s="8" t="str">
        <f ca="1">IFERROR(__xludf.DUMMYFUNCTION("GOOGLETRANSLATE(B32453,""en"",""pt"")"),"Pipraich")</f>
        <v>Pipraich</v>
      </c>
      <c r="B14249" s="9" t="s">
        <v>12896</v>
      </c>
      <c r="C14249" s="9" t="s">
        <v>10178</v>
      </c>
      <c r="D14249" s="9" t="s">
        <v>10193</v>
      </c>
      <c r="E14249" s="10">
        <v>1259554</v>
      </c>
      <c r="F14249" s="4" t="str">
        <f>IF(B14249=B14248,"",B14249)</f>
        <v/>
      </c>
    </row>
    <row r="14250" spans="1:6" ht="15.75" customHeight="1">
      <c r="A14250" s="15" t="s">
        <v>12895</v>
      </c>
      <c r="B14250" s="15" t="s">
        <v>12895</v>
      </c>
      <c r="C14250" s="15" t="s">
        <v>10178</v>
      </c>
      <c r="D14250" s="15" t="s">
        <v>10229</v>
      </c>
      <c r="E14250" s="2">
        <v>1259592</v>
      </c>
      <c r="F14250" s="4" t="str">
        <f>IF(B14250=B14249,"",B14250)</f>
        <v>Pipili</v>
      </c>
    </row>
    <row r="14251" spans="1:6" ht="15.75" customHeight="1">
      <c r="A14251" s="8" t="str">
        <f ca="1">IFERROR(__xludf.DUMMYFUNCTION("GOOGLETRANSLATE(B32454,""en"",""pt"")"),"Pipili")</f>
        <v>Pipili</v>
      </c>
      <c r="B14251" s="9" t="s">
        <v>12895</v>
      </c>
      <c r="C14251" s="9" t="s">
        <v>10178</v>
      </c>
      <c r="D14251" s="9" t="s">
        <v>10229</v>
      </c>
      <c r="E14251" s="10">
        <v>1259592</v>
      </c>
      <c r="F14251" s="4" t="str">
        <f>IF(B14251=B14250,"",B14251)</f>
        <v/>
      </c>
    </row>
    <row r="14252" spans="1:6" ht="15.75" customHeight="1">
      <c r="A14252" s="8" t="str">
        <f ca="1">IFERROR(__xludf.DUMMYFUNCTION("GOOGLETRANSLATE(B32455,""en"",""pt"")"),"Pīpār")</f>
        <v>Pīpār</v>
      </c>
      <c r="B14252" s="11" t="s">
        <v>33225</v>
      </c>
      <c r="C14252" s="11" t="s">
        <v>10178</v>
      </c>
      <c r="D14252" s="11" t="s">
        <v>10179</v>
      </c>
      <c r="E14252" s="10">
        <v>1259608</v>
      </c>
      <c r="F14252" s="4" t="str">
        <f>IF(B14252=B14251,"",B14252)</f>
        <v>Pīpār</v>
      </c>
    </row>
    <row r="14253" spans="1:6" ht="15.75" customHeight="1">
      <c r="A14253" s="8" t="str">
        <f ca="1">IFERROR(__xludf.DUMMYFUNCTION("GOOGLETRANSLATE(B39379,""en"",""pt"")"),"Piotrków Trybunalski")</f>
        <v>Piotrków Trybunalski</v>
      </c>
      <c r="B14253" s="9" t="s">
        <v>35180</v>
      </c>
      <c r="C14253" s="9" t="s">
        <v>21064</v>
      </c>
      <c r="D14253" s="9" t="s">
        <v>35071</v>
      </c>
      <c r="E14253" s="10">
        <v>3088972</v>
      </c>
      <c r="F14253" s="4" t="str">
        <f>IF(B14253=B14252,"",B14253)</f>
        <v>Piotrków Trybunalski</v>
      </c>
    </row>
    <row r="14254" spans="1:6" ht="15.75" customHeight="1">
      <c r="A14254" s="16" t="s">
        <v>21426</v>
      </c>
      <c r="B14254" s="15" t="s">
        <v>21427</v>
      </c>
      <c r="C14254" s="16" t="s">
        <v>21064</v>
      </c>
      <c r="D14254" s="16" t="s">
        <v>21080</v>
      </c>
      <c r="E14254" s="2">
        <v>3088972</v>
      </c>
      <c r="F14254" s="4" t="str">
        <f>IF(B14254=B14253,"",B14254)</f>
        <v>PiotrkÃ³w Trybunalski</v>
      </c>
    </row>
    <row r="14255" spans="1:6" ht="15.75" customHeight="1">
      <c r="A14255" s="15" t="s">
        <v>15369</v>
      </c>
      <c r="B14255" s="15" t="s">
        <v>15369</v>
      </c>
      <c r="C14255" s="15" t="s">
        <v>14891</v>
      </c>
      <c r="D14255" s="15" t="s">
        <v>14911</v>
      </c>
      <c r="E14255" s="2">
        <v>3170659</v>
      </c>
      <c r="F14255" s="4" t="str">
        <f>IF(B14255=B14254,"",B14255)</f>
        <v>Piossasco</v>
      </c>
    </row>
    <row r="14256" spans="1:6" ht="15.75" customHeight="1">
      <c r="A14256" s="8" t="str">
        <f ca="1">IFERROR(__xludf.DUMMYFUNCTION("GOOGLETRANSLATE(B34770,""en"",""pt"")"),"Piossasco")</f>
        <v>Piossasco</v>
      </c>
      <c r="B14256" s="11" t="s">
        <v>15369</v>
      </c>
      <c r="C14256" s="11" t="s">
        <v>14891</v>
      </c>
      <c r="D14256" s="11" t="s">
        <v>14911</v>
      </c>
      <c r="E14256" s="10">
        <v>3170659</v>
      </c>
      <c r="F14256" s="4" t="str">
        <f>IF(B14256=B14255,"",B14256)</f>
        <v/>
      </c>
    </row>
    <row r="14257" spans="1:6" ht="15.75" customHeight="1">
      <c r="A14257" s="15" t="s">
        <v>21425</v>
      </c>
      <c r="B14257" s="15" t="s">
        <v>21425</v>
      </c>
      <c r="C14257" s="15" t="s">
        <v>21064</v>
      </c>
      <c r="D14257" s="15" t="s">
        <v>21070</v>
      </c>
      <c r="E14257" s="2">
        <v>762199</v>
      </c>
      <c r="F14257" s="4" t="str">
        <f>IF(B14257=B14256,"",B14257)</f>
        <v>Pionki</v>
      </c>
    </row>
    <row r="14258" spans="1:6" ht="15.75" customHeight="1">
      <c r="A14258" s="8" t="str">
        <f ca="1">IFERROR(__xludf.DUMMYFUNCTION("GOOGLETRANSLATE(B39226,""en"",""pt"")"),"Pionki")</f>
        <v>Pionki</v>
      </c>
      <c r="B14258" s="11" t="s">
        <v>21425</v>
      </c>
      <c r="C14258" s="11" t="s">
        <v>21064</v>
      </c>
      <c r="D14258" s="11" t="s">
        <v>21070</v>
      </c>
      <c r="E14258" s="10">
        <v>762199</v>
      </c>
      <c r="F14258" s="4" t="str">
        <f>IF(B14258=B14257,"",B14258)</f>
        <v/>
      </c>
    </row>
    <row r="14259" spans="1:6" ht="15.75" customHeight="1">
      <c r="A14259" s="15" t="s">
        <v>15368</v>
      </c>
      <c r="B14259" s="15" t="s">
        <v>15368</v>
      </c>
      <c r="C14259" s="15" t="s">
        <v>14891</v>
      </c>
      <c r="D14259" s="15" t="s">
        <v>14943</v>
      </c>
      <c r="E14259" s="2">
        <v>3170674</v>
      </c>
      <c r="F14259" s="4" t="str">
        <f>IF(B14259=B14258,"",B14259)</f>
        <v>Piombino</v>
      </c>
    </row>
    <row r="14260" spans="1:6" ht="15.75" customHeight="1">
      <c r="A14260" s="8" t="str">
        <f ca="1">IFERROR(__xludf.DUMMYFUNCTION("GOOGLETRANSLATE(B34771,""en"",""pt"")"),"Piombino")</f>
        <v>Piombino</v>
      </c>
      <c r="B14260" s="11" t="s">
        <v>15368</v>
      </c>
      <c r="C14260" s="11" t="s">
        <v>14891</v>
      </c>
      <c r="D14260" s="11" t="s">
        <v>14943</v>
      </c>
      <c r="E14260" s="10">
        <v>3170674</v>
      </c>
      <c r="F14260" s="4" t="str">
        <f>IF(B14260=B14259,"",B14260)</f>
        <v/>
      </c>
    </row>
    <row r="14261" spans="1:6" ht="15.75" customHeight="1">
      <c r="A14261" s="15" t="s">
        <v>15367</v>
      </c>
      <c r="B14261" s="15" t="s">
        <v>15367</v>
      </c>
      <c r="C14261" s="15" t="s">
        <v>14891</v>
      </c>
      <c r="D14261" s="15" t="s">
        <v>14894</v>
      </c>
      <c r="E14261" s="2">
        <v>3170676</v>
      </c>
      <c r="F14261" s="4" t="str">
        <f>IF(B14261=B14260,"",B14261)</f>
        <v>Pioltello</v>
      </c>
    </row>
    <row r="14262" spans="1:6" ht="15.75" customHeight="1">
      <c r="A14262" s="8" t="str">
        <f ca="1">IFERROR(__xludf.DUMMYFUNCTION("GOOGLETRANSLATE(B34772,""en"",""pt"")"),"Pioltello")</f>
        <v>Pioltello</v>
      </c>
      <c r="B14262" s="9" t="s">
        <v>15367</v>
      </c>
      <c r="C14262" s="9" t="s">
        <v>14891</v>
      </c>
      <c r="D14262" s="9" t="s">
        <v>14894</v>
      </c>
      <c r="E14262" s="10">
        <v>3170676</v>
      </c>
      <c r="F14262" s="4" t="str">
        <f>IF(B14262=B14261,"",B14262)</f>
        <v/>
      </c>
    </row>
    <row r="14263" spans="1:6" ht="15.75" customHeight="1">
      <c r="A14263" s="15" t="s">
        <v>20964</v>
      </c>
      <c r="B14263" s="15" t="s">
        <v>20964</v>
      </c>
      <c r="C14263" s="15" t="s">
        <v>20598</v>
      </c>
      <c r="D14263" s="15" t="s">
        <v>20599</v>
      </c>
      <c r="E14263" s="2">
        <v>1693401</v>
      </c>
      <c r="F14263" s="4" t="str">
        <f>IF(B14263=B14262,"",B14263)</f>
        <v>Pio</v>
      </c>
    </row>
    <row r="14264" spans="1:6" ht="15.75" customHeight="1">
      <c r="A14264" s="8" t="str">
        <f ca="1">IFERROR(__xludf.DUMMYFUNCTION("GOOGLETRANSLATE(B38549,""en"",""pt"")"),"Pio")</f>
        <v>Pio</v>
      </c>
      <c r="B14264" s="11" t="s">
        <v>20964</v>
      </c>
      <c r="C14264" s="11" t="s">
        <v>20598</v>
      </c>
      <c r="D14264" s="11" t="s">
        <v>20599</v>
      </c>
      <c r="E14264" s="10">
        <v>1693401</v>
      </c>
      <c r="F14264" s="4" t="str">
        <f>IF(B14264=B14263,"",B14264)</f>
        <v/>
      </c>
    </row>
    <row r="14265" spans="1:6" ht="15.75" customHeight="1">
      <c r="A14265" s="15" t="s">
        <v>24695</v>
      </c>
      <c r="B14265" s="15" t="s">
        <v>24695</v>
      </c>
      <c r="C14265" s="15" t="s">
        <v>24200</v>
      </c>
      <c r="D14265" s="15" t="s">
        <v>5513</v>
      </c>
      <c r="E14265" s="2">
        <v>3113415</v>
      </c>
      <c r="F14265" s="4" t="str">
        <f>IF(B14265=B14264,"",B14265)</f>
        <v>Pinto</v>
      </c>
    </row>
    <row r="14266" spans="1:6" ht="15.75" customHeight="1">
      <c r="A14266" s="8" t="str">
        <f ca="1">IFERROR(__xludf.DUMMYFUNCTION("GOOGLETRANSLATE(B29328,""en"",""pt"")"),"Pinto")</f>
        <v>Pinto</v>
      </c>
      <c r="B14266" s="9" t="s">
        <v>24695</v>
      </c>
      <c r="C14266" s="9" t="s">
        <v>24200</v>
      </c>
      <c r="D14266" s="9" t="s">
        <v>5513</v>
      </c>
      <c r="E14266" s="10">
        <v>3113415</v>
      </c>
      <c r="F14266" s="4" t="str">
        <f>IF(B14266=B14265,"",B14266)</f>
        <v/>
      </c>
    </row>
    <row r="14267" spans="1:6" ht="15.75" customHeight="1">
      <c r="A14267" s="15" t="s">
        <v>1494</v>
      </c>
      <c r="B14267" s="15" t="s">
        <v>1494</v>
      </c>
      <c r="C14267" s="15" t="s">
        <v>1453</v>
      </c>
      <c r="D14267" s="15" t="s">
        <v>1457</v>
      </c>
      <c r="E14267" s="2">
        <v>623549</v>
      </c>
      <c r="F14267" s="4" t="str">
        <f>IF(B14267=B14266,"",B14267)</f>
        <v>Pinsk</v>
      </c>
    </row>
    <row r="14268" spans="1:6" ht="15.75" customHeight="1">
      <c r="A14268" s="8" t="str">
        <f ca="1">IFERROR(__xludf.DUMMYFUNCTION("GOOGLETRANSLATE(B25384,""en"",""pt"")"),"Pinsk")</f>
        <v>Pinsk</v>
      </c>
      <c r="B14268" s="11" t="s">
        <v>1494</v>
      </c>
      <c r="C14268" s="11" t="s">
        <v>1453</v>
      </c>
      <c r="D14268" s="11" t="s">
        <v>1457</v>
      </c>
      <c r="E14268" s="10">
        <v>623549</v>
      </c>
      <c r="F14268" s="4" t="str">
        <f>IF(B14268=B14267,"",B14268)</f>
        <v/>
      </c>
    </row>
    <row r="14269" spans="1:6" ht="15.75" customHeight="1">
      <c r="A14269" s="15" t="s">
        <v>29684</v>
      </c>
      <c r="B14269" s="15" t="s">
        <v>29684</v>
      </c>
      <c r="C14269" s="15" t="s">
        <v>27788</v>
      </c>
      <c r="D14269" s="15" t="s">
        <v>27801</v>
      </c>
      <c r="E14269" s="2">
        <v>5383187</v>
      </c>
      <c r="F14269" s="4" t="str">
        <f>IF(B14269=B14268,"",B14269)</f>
        <v>Pinole</v>
      </c>
    </row>
    <row r="14270" spans="1:6" ht="15.75" customHeight="1">
      <c r="A14270" s="8" t="str">
        <f ca="1">IFERROR(__xludf.DUMMYFUNCTION("GOOGLETRANSLATE(B44961,""en"",""pt"")"),"Pinole")</f>
        <v>Pinole</v>
      </c>
      <c r="B14270" s="9" t="s">
        <v>29684</v>
      </c>
      <c r="C14270" s="9" t="s">
        <v>27788</v>
      </c>
      <c r="D14270" s="9" t="s">
        <v>27801</v>
      </c>
      <c r="E14270" s="10">
        <v>5383187</v>
      </c>
      <c r="F14270" s="4" t="str">
        <f>IF(B14270=B14269,"",B14270)</f>
        <v/>
      </c>
    </row>
    <row r="14271" spans="1:6" ht="15.75" customHeight="1">
      <c r="A14271" s="15" t="s">
        <v>27595</v>
      </c>
      <c r="B14271" s="15" t="s">
        <v>27595</v>
      </c>
      <c r="C14271" s="15" t="s">
        <v>27234</v>
      </c>
      <c r="D14271" s="15" t="s">
        <v>27241</v>
      </c>
      <c r="E14271" s="2">
        <v>2640275</v>
      </c>
      <c r="F14271" s="4" t="str">
        <f>IF(B14271=B14270,"",B14271)</f>
        <v>Pinner</v>
      </c>
    </row>
    <row r="14272" spans="1:6" ht="15.75" customHeight="1">
      <c r="A14272" s="8" t="str">
        <f ca="1">IFERROR(__xludf.DUMMYFUNCTION("GOOGLETRANSLATE(B30482,""en"",""pt"")"),"Pinner")</f>
        <v>Pinner</v>
      </c>
      <c r="B14272" s="9" t="s">
        <v>27595</v>
      </c>
      <c r="C14272" s="9" t="s">
        <v>27234</v>
      </c>
      <c r="D14272" s="9" t="s">
        <v>27241</v>
      </c>
      <c r="E14272" s="10">
        <v>2640275</v>
      </c>
      <c r="F14272" s="4" t="str">
        <f>IF(B14272=B14271,"",B14272)</f>
        <v/>
      </c>
    </row>
    <row r="14273" spans="1:6" ht="15.75" customHeight="1">
      <c r="A14273" s="16" t="s">
        <v>8997</v>
      </c>
      <c r="B14273" s="15" t="s">
        <v>8997</v>
      </c>
      <c r="C14273" s="16" t="s">
        <v>8028</v>
      </c>
      <c r="D14273" s="16" t="s">
        <v>8040</v>
      </c>
      <c r="E14273" s="2">
        <v>2853658</v>
      </c>
      <c r="F14273" s="4" t="str">
        <f>IF(B14273=B14272,"",B14273)</f>
        <v>Pinneberg</v>
      </c>
    </row>
    <row r="14274" spans="1:6" ht="15.75" customHeight="1">
      <c r="A14274" s="8" t="str">
        <f ca="1">IFERROR(__xludf.DUMMYFUNCTION("GOOGLETRANSLATE(B27646,""en"",""pt"")"),"Pinneberg")</f>
        <v>Pinneberg</v>
      </c>
      <c r="B14274" s="9" t="s">
        <v>8997</v>
      </c>
      <c r="C14274" s="9" t="s">
        <v>8028</v>
      </c>
      <c r="D14274" s="9" t="s">
        <v>8040</v>
      </c>
      <c r="E14274" s="10">
        <v>2853658</v>
      </c>
      <c r="F14274" s="4" t="str">
        <f>IF(B14274=B14273,"",B14274)</f>
        <v/>
      </c>
    </row>
    <row r="14275" spans="1:6" ht="15.75" customHeight="1">
      <c r="A14275" s="15" t="s">
        <v>12894</v>
      </c>
      <c r="B14275" s="15" t="s">
        <v>12894</v>
      </c>
      <c r="C14275" s="15" t="s">
        <v>10178</v>
      </c>
      <c r="D14275" s="15" t="s">
        <v>10224</v>
      </c>
      <c r="E14275" s="2">
        <v>1259630</v>
      </c>
      <c r="F14275" s="4" t="str">
        <f>IF(B14275=B14274,"",B14275)</f>
        <v>Pinjaur</v>
      </c>
    </row>
    <row r="14276" spans="1:6" ht="15.75" customHeight="1">
      <c r="A14276" s="8" t="str">
        <f ca="1">IFERROR(__xludf.DUMMYFUNCTION("GOOGLETRANSLATE(B32456,""en"",""pt"")"),"Pinjaur")</f>
        <v>Pinjaur</v>
      </c>
      <c r="B14276" s="9" t="s">
        <v>12894</v>
      </c>
      <c r="C14276" s="9" t="s">
        <v>10178</v>
      </c>
      <c r="D14276" s="9" t="s">
        <v>10224</v>
      </c>
      <c r="E14276" s="10">
        <v>1259630</v>
      </c>
      <c r="F14276" s="4" t="str">
        <f>IF(B14276=B14275,"",B14276)</f>
        <v/>
      </c>
    </row>
    <row r="14277" spans="1:6" ht="15.75" customHeight="1">
      <c r="A14277" s="15" t="s">
        <v>3105</v>
      </c>
      <c r="B14277" s="15" t="s">
        <v>3105</v>
      </c>
      <c r="C14277" s="15" t="s">
        <v>1905</v>
      </c>
      <c r="D14277" s="15" t="s">
        <v>2024</v>
      </c>
      <c r="E14277" s="2">
        <v>3392054</v>
      </c>
      <c r="F14277" s="4" t="str">
        <f>IF(B14277=B14276,"",B14277)</f>
        <v>Pinheiro</v>
      </c>
    </row>
    <row r="14278" spans="1:6" ht="15.75" customHeight="1">
      <c r="A14278" s="8" t="str">
        <f ca="1">IFERROR(__xludf.DUMMYFUNCTION("GOOGLETRANSLATE(B24225,""en"",""pt"")"),"Pinheiro")</f>
        <v>Pinheiro</v>
      </c>
      <c r="B14278" s="9" t="s">
        <v>3105</v>
      </c>
      <c r="C14278" s="9" t="s">
        <v>1905</v>
      </c>
      <c r="D14278" s="9" t="s">
        <v>31340</v>
      </c>
      <c r="E14278" s="10">
        <v>3392054</v>
      </c>
      <c r="F14278" s="4" t="str">
        <f>IF(B14278=B14277,"",B14278)</f>
        <v/>
      </c>
    </row>
    <row r="14279" spans="1:6" ht="15.75" customHeight="1">
      <c r="A14279" s="15" t="s">
        <v>3104</v>
      </c>
      <c r="B14279" s="15" t="s">
        <v>3104</v>
      </c>
      <c r="C14279" s="15" t="s">
        <v>1905</v>
      </c>
      <c r="D14279" s="15" t="s">
        <v>1978</v>
      </c>
      <c r="E14279" s="2">
        <v>3453767</v>
      </c>
      <c r="F14279" s="4" t="str">
        <f>IF(B14279=B14278,"",B14279)</f>
        <v>Pinheiral</v>
      </c>
    </row>
    <row r="14280" spans="1:6" ht="15.75" customHeight="1">
      <c r="A14280" s="8" t="str">
        <f ca="1">IFERROR(__xludf.DUMMYFUNCTION("GOOGLETRANSLATE(B24712,""en"",""pt"")"),"Pinheiral")</f>
        <v>Pinheiral</v>
      </c>
      <c r="B14280" s="9" t="s">
        <v>3104</v>
      </c>
      <c r="C14280" s="9" t="s">
        <v>1905</v>
      </c>
      <c r="D14280" s="9" t="s">
        <v>1978</v>
      </c>
      <c r="E14280" s="10">
        <v>3453767</v>
      </c>
      <c r="F14280" s="4" t="str">
        <f>IF(B14280=B14279,"",B14280)</f>
        <v/>
      </c>
    </row>
    <row r="14281" spans="1:6" ht="15.75" customHeight="1">
      <c r="A14281" s="8" t="str">
        <f ca="1">IFERROR(__xludf.DUMMYFUNCTION("GOOGLETRANSLATE(B24713,""en"",""pt"")"),"Pinhão")</f>
        <v>Pinhão</v>
      </c>
      <c r="B14281" s="11" t="s">
        <v>31555</v>
      </c>
      <c r="C14281" s="11" t="s">
        <v>1905</v>
      </c>
      <c r="D14281" s="11" t="s">
        <v>727</v>
      </c>
      <c r="E14281" s="10">
        <v>3453777</v>
      </c>
      <c r="F14281" s="4" t="str">
        <f>IF(B14281=B14280,"",B14281)</f>
        <v>Pinhão</v>
      </c>
    </row>
    <row r="14282" spans="1:6" ht="15.75" customHeight="1">
      <c r="A14282" s="16" t="s">
        <v>21707</v>
      </c>
      <c r="B14282" s="15" t="s">
        <v>21707</v>
      </c>
      <c r="C14282" s="16" t="s">
        <v>21606</v>
      </c>
      <c r="D14282" s="16" t="s">
        <v>21620</v>
      </c>
      <c r="E14282" s="2">
        <v>2264718</v>
      </c>
      <c r="F14282" s="4" t="str">
        <f>IF(B14282=B14281,"",B14282)</f>
        <v>Pinhal Novo</v>
      </c>
    </row>
    <row r="14283" spans="1:6" ht="15.75" customHeight="1">
      <c r="A14283" s="8" t="str">
        <f ca="1">IFERROR(__xludf.DUMMYFUNCTION("GOOGLETRANSLATE(B39585,""en"",""pt"")"),"Pinhal Novo")</f>
        <v>Pinhal Novo</v>
      </c>
      <c r="B14283" s="11" t="s">
        <v>21707</v>
      </c>
      <c r="C14283" s="11" t="s">
        <v>21606</v>
      </c>
      <c r="D14283" s="11" t="s">
        <v>35287</v>
      </c>
      <c r="E14283" s="10">
        <v>2264718</v>
      </c>
      <c r="F14283" s="4" t="str">
        <f>IF(B14283=B14282,"",B14283)</f>
        <v/>
      </c>
    </row>
    <row r="14284" spans="1:6" ht="15.75" customHeight="1">
      <c r="A14284" s="15" t="s">
        <v>3102</v>
      </c>
      <c r="B14284" s="15" t="s">
        <v>3103</v>
      </c>
      <c r="C14284" s="15" t="s">
        <v>1905</v>
      </c>
      <c r="D14284" s="15" t="s">
        <v>728</v>
      </c>
      <c r="E14284" s="2">
        <v>6317953</v>
      </c>
      <c r="F14284" s="4" t="str">
        <f>IF(B14284=B14283,"",B14284)</f>
        <v>Pinhais</v>
      </c>
    </row>
    <row r="14285" spans="1:6" ht="15.75" customHeight="1">
      <c r="A14285" s="8" t="str">
        <f ca="1">IFERROR(__xludf.DUMMYFUNCTION("GOOGLETRANSLATE(B25336,""en"",""pt"")"),"Pinhis")</f>
        <v>Pinhis</v>
      </c>
      <c r="B14285" s="11" t="s">
        <v>3103</v>
      </c>
      <c r="C14285" s="11" t="s">
        <v>1905</v>
      </c>
      <c r="D14285" s="11" t="s">
        <v>727</v>
      </c>
      <c r="E14285" s="10">
        <v>6317953</v>
      </c>
      <c r="F14285" s="4" t="str">
        <f>IF(B14285=B14284,"",B14285)</f>
        <v/>
      </c>
    </row>
    <row r="14286" spans="1:6" ht="15.75" customHeight="1">
      <c r="A14286" s="15" t="s">
        <v>3100</v>
      </c>
      <c r="B14286" s="15" t="s">
        <v>3101</v>
      </c>
      <c r="C14286" s="15" t="s">
        <v>1905</v>
      </c>
      <c r="D14286" s="15" t="s">
        <v>728</v>
      </c>
      <c r="E14286" s="2">
        <v>3453777</v>
      </c>
      <c r="F14286" s="4" t="str">
        <f>IF(B14286=B14285,"",B14286)</f>
        <v>PinhÃ£o</v>
      </c>
    </row>
    <row r="14287" spans="1:6" ht="15.75" customHeight="1">
      <c r="A14287" s="16" t="s">
        <v>4999</v>
      </c>
      <c r="B14287" s="15" t="s">
        <v>4999</v>
      </c>
      <c r="C14287" s="16" t="s">
        <v>4487</v>
      </c>
      <c r="D14287" s="16" t="s">
        <v>4533</v>
      </c>
      <c r="E14287" s="2">
        <v>2035453</v>
      </c>
      <c r="F14287" s="4" t="str">
        <f>IF(B14287=B14286,"",B14287)</f>
        <v>Pingzhuang</v>
      </c>
    </row>
    <row r="14288" spans="1:6" ht="15.75" customHeight="1">
      <c r="A14288" s="8" t="str">
        <f ca="1">IFERROR(__xludf.DUMMYFUNCTION("GOOGLETRANSLATE(B26706,""en"",""pt"")"),"Pingzhuang")</f>
        <v>Pingzhuang</v>
      </c>
      <c r="B14288" s="11" t="s">
        <v>4999</v>
      </c>
      <c r="C14288" s="11" t="s">
        <v>4487</v>
      </c>
      <c r="D14288" s="11" t="s">
        <v>4533</v>
      </c>
      <c r="E14288" s="10">
        <v>2035453</v>
      </c>
      <c r="F14288" s="4" t="str">
        <f>IF(B14288=B14287,"",B14288)</f>
        <v/>
      </c>
    </row>
    <row r="14289" spans="1:6" ht="15.75" customHeight="1">
      <c r="A14289" s="15" t="s">
        <v>4998</v>
      </c>
      <c r="B14289" s="15" t="s">
        <v>4998</v>
      </c>
      <c r="C14289" s="15" t="s">
        <v>4487</v>
      </c>
      <c r="D14289" s="15" t="s">
        <v>4503</v>
      </c>
      <c r="E14289" s="2">
        <v>1798632</v>
      </c>
      <c r="F14289" s="4" t="str">
        <f>IF(B14289=B14288,"",B14289)</f>
        <v>Pingyin</v>
      </c>
    </row>
    <row r="14290" spans="1:6" ht="15.75" customHeight="1">
      <c r="A14290" s="8" t="str">
        <f ca="1">IFERROR(__xludf.DUMMYFUNCTION("GOOGLETRANSLATE(B26317,""en"",""pt"")"),"Pingyin")</f>
        <v>Pingyin</v>
      </c>
      <c r="B14290" s="11" t="s">
        <v>4998</v>
      </c>
      <c r="C14290" s="11" t="s">
        <v>4487</v>
      </c>
      <c r="D14290" s="11" t="s">
        <v>4503</v>
      </c>
      <c r="E14290" s="10">
        <v>1798632</v>
      </c>
      <c r="F14290" s="4" t="str">
        <f>IF(B14290=B14289,"",B14290)</f>
        <v/>
      </c>
    </row>
    <row r="14291" spans="1:6" ht="15.75" customHeight="1">
      <c r="A14291" s="15" t="s">
        <v>4997</v>
      </c>
      <c r="B14291" s="15" t="s">
        <v>4997</v>
      </c>
      <c r="C14291" s="15" t="s">
        <v>4487</v>
      </c>
      <c r="D14291" s="15" t="s">
        <v>4503</v>
      </c>
      <c r="E14291" s="2">
        <v>1798634</v>
      </c>
      <c r="F14291" s="4" t="str">
        <f>IF(B14291=B14290,"",B14291)</f>
        <v>Pingyi</v>
      </c>
    </row>
    <row r="14292" spans="1:6" ht="15.75" customHeight="1">
      <c r="A14292" s="8" t="str">
        <f ca="1">IFERROR(__xludf.DUMMYFUNCTION("GOOGLETRANSLATE(B26318,""en"",""pt"")"),"Pingyi")</f>
        <v>Pingyi</v>
      </c>
      <c r="B14292" s="11" t="s">
        <v>4997</v>
      </c>
      <c r="C14292" s="11" t="s">
        <v>4487</v>
      </c>
      <c r="D14292" s="11" t="s">
        <v>4503</v>
      </c>
      <c r="E14292" s="10">
        <v>1798634</v>
      </c>
      <c r="F14292" s="4" t="str">
        <f>IF(B14292=B14291,"",B14292)</f>
        <v/>
      </c>
    </row>
    <row r="14293" spans="1:6" ht="15.75" customHeight="1">
      <c r="A14293" s="15" t="s">
        <v>4996</v>
      </c>
      <c r="B14293" s="15" t="s">
        <v>4996</v>
      </c>
      <c r="C14293" s="15" t="s">
        <v>4487</v>
      </c>
      <c r="D14293" s="15" t="s">
        <v>4569</v>
      </c>
      <c r="E14293" s="2">
        <v>1798654</v>
      </c>
      <c r="F14293" s="4" t="str">
        <f>IF(B14293=B14292,"",B14293)</f>
        <v>Pingxiang</v>
      </c>
    </row>
    <row r="14294" spans="1:6" ht="15.75" customHeight="1">
      <c r="A14294" s="8" t="str">
        <f ca="1">IFERROR(__xludf.DUMMYFUNCTION("GOOGLETRANSLATE(B26320,""en"",""pt"")"),"Pingxiang")</f>
        <v>Pingxiang</v>
      </c>
      <c r="B14294" s="11" t="s">
        <v>4996</v>
      </c>
      <c r="C14294" s="11" t="s">
        <v>4487</v>
      </c>
      <c r="D14294" s="11" t="s">
        <v>4569</v>
      </c>
      <c r="E14294" s="10">
        <v>1798654</v>
      </c>
      <c r="F14294" s="4" t="str">
        <f>IF(B14294=B14293,"",B14294)</f>
        <v/>
      </c>
    </row>
    <row r="14295" spans="1:6" ht="15.75" customHeight="1">
      <c r="A14295" s="15" t="s">
        <v>4995</v>
      </c>
      <c r="B14295" s="15" t="s">
        <v>4995</v>
      </c>
      <c r="C14295" s="15" t="s">
        <v>4487</v>
      </c>
      <c r="D14295" s="15" t="s">
        <v>4492</v>
      </c>
      <c r="E14295" s="2">
        <v>1798713</v>
      </c>
      <c r="F14295" s="4" t="str">
        <f>IF(B14295=B14294,"",B14295)</f>
        <v>Pingshan</v>
      </c>
    </row>
    <row r="14296" spans="1:6" ht="15.75" customHeight="1">
      <c r="A14296" s="8" t="str">
        <f ca="1">IFERROR(__xludf.DUMMYFUNCTION("GOOGLETRANSLATE(B26321,""en"",""pt"")"),"Pingshan")</f>
        <v>Pingshan</v>
      </c>
      <c r="B14296" s="11" t="s">
        <v>4995</v>
      </c>
      <c r="C14296" s="11" t="s">
        <v>4487</v>
      </c>
      <c r="D14296" s="11" t="s">
        <v>4492</v>
      </c>
      <c r="E14296" s="10">
        <v>1798713</v>
      </c>
      <c r="F14296" s="4" t="str">
        <f>IF(B14296=B14295,"",B14296)</f>
        <v/>
      </c>
    </row>
    <row r="14297" spans="1:6" ht="15.75" customHeight="1">
      <c r="A14297" s="15" t="s">
        <v>4994</v>
      </c>
      <c r="B14297" s="15" t="s">
        <v>4994</v>
      </c>
      <c r="C14297" s="15" t="s">
        <v>4487</v>
      </c>
      <c r="D14297" s="15" t="s">
        <v>4516</v>
      </c>
      <c r="E14297" s="2">
        <v>1798733</v>
      </c>
      <c r="F14297" s="4" t="str">
        <f>IF(B14297=B14296,"",B14297)</f>
        <v>Pingnan</v>
      </c>
    </row>
    <row r="14298" spans="1:6" ht="15.75" customHeight="1">
      <c r="A14298" s="8" t="str">
        <f ca="1">IFERROR(__xludf.DUMMYFUNCTION("GOOGLETRANSLATE(B26322,""en"",""pt"")"),"Pingnan")</f>
        <v>Pingnan</v>
      </c>
      <c r="B14298" s="11" t="s">
        <v>4994</v>
      </c>
      <c r="C14298" s="11" t="s">
        <v>4487</v>
      </c>
      <c r="D14298" s="11" t="s">
        <v>4516</v>
      </c>
      <c r="E14298" s="10">
        <v>1798733</v>
      </c>
      <c r="F14298" s="4" t="str">
        <f>IF(B14298=B14297,"",B14298)</f>
        <v/>
      </c>
    </row>
    <row r="14299" spans="1:6" ht="15.75" customHeight="1">
      <c r="A14299" s="15" t="s">
        <v>4993</v>
      </c>
      <c r="B14299" s="15" t="s">
        <v>4993</v>
      </c>
      <c r="C14299" s="15" t="s">
        <v>4487</v>
      </c>
      <c r="D14299" s="15" t="s">
        <v>4526</v>
      </c>
      <c r="E14299" s="2">
        <v>1798760</v>
      </c>
      <c r="F14299" s="4" t="str">
        <f>IF(B14299=B14298,"",B14299)</f>
        <v>Pingliang</v>
      </c>
    </row>
    <row r="14300" spans="1:6" ht="15.75" customHeight="1">
      <c r="A14300" s="8" t="str">
        <f ca="1">IFERROR(__xludf.DUMMYFUNCTION("GOOGLETRANSLATE(B26323,""en"",""pt"")"),"Pingliang")</f>
        <v>Pingliang</v>
      </c>
      <c r="B14300" s="9" t="s">
        <v>4993</v>
      </c>
      <c r="C14300" s="9" t="s">
        <v>4487</v>
      </c>
      <c r="D14300" s="9" t="s">
        <v>4526</v>
      </c>
      <c r="E14300" s="10">
        <v>1798760</v>
      </c>
      <c r="F14300" s="4" t="str">
        <f>IF(B14300=B14299,"",B14300)</f>
        <v/>
      </c>
    </row>
    <row r="14301" spans="1:6" ht="15.75" customHeight="1">
      <c r="A14301" s="15" t="s">
        <v>4992</v>
      </c>
      <c r="B14301" s="15" t="s">
        <v>4992</v>
      </c>
      <c r="C14301" s="15" t="s">
        <v>4487</v>
      </c>
      <c r="D14301" s="15" t="s">
        <v>4503</v>
      </c>
      <c r="E14301" s="2">
        <v>1798821</v>
      </c>
      <c r="F14301" s="4" t="str">
        <f>IF(B14301=B14300,"",B14301)</f>
        <v>Pingdu</v>
      </c>
    </row>
    <row r="14302" spans="1:6" ht="15.75" customHeight="1">
      <c r="A14302" s="8" t="str">
        <f ca="1">IFERROR(__xludf.DUMMYFUNCTION("GOOGLETRANSLATE(B26324,""en"",""pt"")"),"Pingdu")</f>
        <v>Pingdu</v>
      </c>
      <c r="B14302" s="11" t="s">
        <v>4992</v>
      </c>
      <c r="C14302" s="11" t="s">
        <v>4487</v>
      </c>
      <c r="D14302" s="11" t="s">
        <v>4503</v>
      </c>
      <c r="E14302" s="10">
        <v>1798821</v>
      </c>
      <c r="F14302" s="4" t="str">
        <f>IF(B14302=B14301,"",B14302)</f>
        <v/>
      </c>
    </row>
    <row r="14303" spans="1:6" ht="15.75" customHeight="1">
      <c r="A14303" s="16" t="s">
        <v>4991</v>
      </c>
      <c r="B14303" s="15" t="s">
        <v>4991</v>
      </c>
      <c r="C14303" s="16" t="s">
        <v>4487</v>
      </c>
      <c r="D14303" s="16" t="s">
        <v>4511</v>
      </c>
      <c r="E14303" s="2">
        <v>1798827</v>
      </c>
      <c r="F14303" s="4" t="str">
        <f>IF(B14303=B14302,"",B14303)</f>
        <v>Pingdingshan</v>
      </c>
    </row>
    <row r="14304" spans="1:6" ht="15.75" customHeight="1">
      <c r="A14304" s="8" t="str">
        <f ca="1">IFERROR(__xludf.DUMMYFUNCTION("GOOGLETRANSLATE(B26325,""en"",""pt"")"),"Pingdingshan")</f>
        <v>Pingdingshan</v>
      </c>
      <c r="B14304" s="9" t="s">
        <v>4991</v>
      </c>
      <c r="C14304" s="9" t="s">
        <v>4487</v>
      </c>
      <c r="D14304" s="9" t="s">
        <v>4511</v>
      </c>
      <c r="E14304" s="10">
        <v>1798827</v>
      </c>
      <c r="F14304" s="4" t="str">
        <f>IF(B14304=B14303,"",B14304)</f>
        <v/>
      </c>
    </row>
    <row r="14305" spans="1:6" ht="15.75" customHeight="1">
      <c r="A14305" s="15" t="s">
        <v>29682</v>
      </c>
      <c r="B14305" s="15" t="s">
        <v>29683</v>
      </c>
      <c r="C14305" s="15" t="s">
        <v>27788</v>
      </c>
      <c r="D14305" s="15" t="s">
        <v>5468</v>
      </c>
      <c r="E14305" s="2">
        <v>4168659</v>
      </c>
      <c r="F14305" s="4" t="str">
        <f>IF(B14305=B14304,"",B14305)</f>
        <v>Pinewood</v>
      </c>
    </row>
    <row r="14306" spans="1:6" ht="15.75" customHeight="1">
      <c r="A14306" s="8" t="str">
        <f ca="1">IFERROR(__xludf.DUMMYFUNCTION("GOOGLETRANSLATE(B42990,""en"",""pt"")"),"Pinhal")</f>
        <v>Pinhal</v>
      </c>
      <c r="B14306" s="11" t="s">
        <v>29683</v>
      </c>
      <c r="C14306" s="11" t="s">
        <v>27788</v>
      </c>
      <c r="D14306" s="11" t="s">
        <v>5468</v>
      </c>
      <c r="E14306" s="10">
        <v>4168659</v>
      </c>
      <c r="F14306" s="4" t="str">
        <f>IF(B14306=B14305,"",B14306)</f>
        <v/>
      </c>
    </row>
    <row r="14307" spans="1:6" ht="15.75" customHeight="1">
      <c r="A14307" s="15" t="s">
        <v>15366</v>
      </c>
      <c r="B14307" s="15" t="s">
        <v>15366</v>
      </c>
      <c r="C14307" s="15" t="s">
        <v>14891</v>
      </c>
      <c r="D14307" s="15" t="s">
        <v>14911</v>
      </c>
      <c r="E14307" s="2">
        <v>3170694</v>
      </c>
      <c r="F14307" s="4" t="str">
        <f>IF(B14307=B14306,"",B14307)</f>
        <v>Pinerolo</v>
      </c>
    </row>
    <row r="14308" spans="1:6" ht="15.75" customHeight="1">
      <c r="A14308" s="8" t="str">
        <f ca="1">IFERROR(__xludf.DUMMYFUNCTION("GOOGLETRANSLATE(B34773,""en"",""pt"")"),"Pinerolo")</f>
        <v>Pinerolo</v>
      </c>
      <c r="B14308" s="11" t="s">
        <v>15366</v>
      </c>
      <c r="C14308" s="11" t="s">
        <v>14891</v>
      </c>
      <c r="D14308" s="11" t="s">
        <v>14911</v>
      </c>
      <c r="E14308" s="10">
        <v>3170694</v>
      </c>
      <c r="F14308" s="4" t="str">
        <f>IF(B14308=B14307,"",B14308)</f>
        <v/>
      </c>
    </row>
    <row r="14309" spans="1:6" ht="15.75" customHeight="1">
      <c r="A14309" s="16" t="s">
        <v>29681</v>
      </c>
      <c r="B14309" s="15" t="s">
        <v>29681</v>
      </c>
      <c r="C14309" s="16" t="s">
        <v>27788</v>
      </c>
      <c r="D14309" s="16" t="s">
        <v>5468</v>
      </c>
      <c r="E14309" s="2">
        <v>4168630</v>
      </c>
      <c r="F14309" s="4" t="str">
        <f>IF(B14309=B14308,"",B14309)</f>
        <v>Pinellas Park</v>
      </c>
    </row>
    <row r="14310" spans="1:6" ht="15.75" customHeight="1">
      <c r="A14310" s="8" t="str">
        <f ca="1">IFERROR(__xludf.DUMMYFUNCTION("GOOGLETRANSLATE(B42989,""en"",""pt"")"),"Pinellas Park")</f>
        <v>Pinellas Park</v>
      </c>
      <c r="B14310" s="11" t="s">
        <v>29681</v>
      </c>
      <c r="C14310" s="11" t="s">
        <v>27788</v>
      </c>
      <c r="D14310" s="11" t="s">
        <v>5468</v>
      </c>
      <c r="E14310" s="10">
        <v>4168630</v>
      </c>
      <c r="F14310" s="4" t="str">
        <f>IF(B14310=B14309,"",B14310)</f>
        <v/>
      </c>
    </row>
    <row r="14311" spans="1:6" ht="15.75" customHeight="1">
      <c r="A14311" s="16" t="s">
        <v>24693</v>
      </c>
      <c r="B14311" s="15" t="s">
        <v>24694</v>
      </c>
      <c r="C14311" s="16" t="s">
        <v>24200</v>
      </c>
      <c r="D14311" s="16" t="s">
        <v>24277</v>
      </c>
      <c r="E14311" s="2">
        <v>3113526</v>
      </c>
      <c r="F14311" s="4" t="str">
        <f>IF(B14311=B14310,"",B14311)</f>
        <v>Pineda de Mar</v>
      </c>
    </row>
    <row r="14312" spans="1:6" ht="15.75" customHeight="1">
      <c r="A14312" s="8" t="str">
        <f ca="1">IFERROR(__xludf.DUMMYFUNCTION("GOOGLETRANSLATE(B29329,""en"",""pt"")"),"Pineda de Mar.")</f>
        <v>Pineda de Mar.</v>
      </c>
      <c r="B14312" s="11" t="s">
        <v>24694</v>
      </c>
      <c r="C14312" s="11" t="s">
        <v>24200</v>
      </c>
      <c r="D14312" s="11" t="s">
        <v>24277</v>
      </c>
      <c r="E14312" s="10">
        <v>3113526</v>
      </c>
      <c r="F14312" s="4" t="str">
        <f>IF(B14312=B14311,"",B14312)</f>
        <v/>
      </c>
    </row>
    <row r="14313" spans="1:6" ht="15.75" customHeight="1">
      <c r="A14313" s="15" t="s">
        <v>29680</v>
      </c>
      <c r="B14313" s="15" t="s">
        <v>29680</v>
      </c>
      <c r="C14313" s="15" t="s">
        <v>27788</v>
      </c>
      <c r="D14313" s="15" t="s">
        <v>5468</v>
      </c>
      <c r="E14313" s="2">
        <v>4168590</v>
      </c>
      <c r="F14313" s="4" t="str">
        <f>IF(B14313=B14312,"",B14313)</f>
        <v>Pinecrest</v>
      </c>
    </row>
    <row r="14314" spans="1:6" ht="15.75" customHeight="1">
      <c r="A14314" s="8" t="str">
        <f ca="1">IFERROR(__xludf.DUMMYFUNCTION("GOOGLETRANSLATE(B42988,""en"",""pt"")"),"Pinecrest")</f>
        <v>Pinecrest</v>
      </c>
      <c r="B14314" s="11" t="s">
        <v>29680</v>
      </c>
      <c r="C14314" s="11" t="s">
        <v>27788</v>
      </c>
      <c r="D14314" s="11" t="s">
        <v>5468</v>
      </c>
      <c r="E14314" s="10">
        <v>4168590</v>
      </c>
      <c r="F14314" s="4" t="str">
        <f>IF(B14314=B14313,"",B14314)</f>
        <v/>
      </c>
    </row>
    <row r="14315" spans="1:6" ht="15.75" customHeight="1">
      <c r="A14315" s="15" t="s">
        <v>29679</v>
      </c>
      <c r="B14315" s="15" t="s">
        <v>29679</v>
      </c>
      <c r="C14315" s="15" t="s">
        <v>27788</v>
      </c>
      <c r="D14315" s="15" t="s">
        <v>5468</v>
      </c>
      <c r="E14315" s="2">
        <v>4168459</v>
      </c>
      <c r="F14315" s="4" t="str">
        <f>IF(B14315=B14314,"",B14315)</f>
        <v>Pine Hills</v>
      </c>
    </row>
    <row r="14316" spans="1:6" ht="15.75" customHeight="1">
      <c r="A14316" s="8" t="str">
        <f ca="1">IFERROR(__xludf.DUMMYFUNCTION("GOOGLETRANSLATE(B42987,""en"",""pt"")"),"Pine Hills")</f>
        <v>Pine Hills</v>
      </c>
      <c r="B14316" s="11" t="s">
        <v>29679</v>
      </c>
      <c r="C14316" s="11" t="s">
        <v>27788</v>
      </c>
      <c r="D14316" s="11" t="s">
        <v>5468</v>
      </c>
      <c r="E14316" s="10">
        <v>4168459</v>
      </c>
      <c r="F14316" s="4" t="str">
        <f>IF(B14316=B14315,"",B14316)</f>
        <v/>
      </c>
    </row>
    <row r="14317" spans="1:6" ht="15.75" customHeight="1">
      <c r="A14317" s="16" t="s">
        <v>29677</v>
      </c>
      <c r="B14317" s="15" t="s">
        <v>29678</v>
      </c>
      <c r="C14317" s="16" t="s">
        <v>27788</v>
      </c>
      <c r="D14317" s="16" t="s">
        <v>27991</v>
      </c>
      <c r="E14317" s="2">
        <v>4126226</v>
      </c>
      <c r="F14317" s="4" t="str">
        <f>IF(B14317=B14316,"",B14317)</f>
        <v>Pine Bluff</v>
      </c>
    </row>
    <row r="14318" spans="1:6" ht="15.75" customHeight="1">
      <c r="A14318" s="8" t="str">
        <f ca="1">IFERROR(__xludf.DUMMYFUNCTION("GOOGLETRANSLATE(B42824,""en"",""pt"")"),"Pinho bleff")</f>
        <v>Pinho bleff</v>
      </c>
      <c r="B14318" s="11" t="s">
        <v>29678</v>
      </c>
      <c r="C14318" s="11" t="s">
        <v>27788</v>
      </c>
      <c r="D14318" s="11" t="s">
        <v>27991</v>
      </c>
      <c r="E14318" s="10">
        <v>4126226</v>
      </c>
      <c r="F14318" s="4" t="str">
        <f>IF(B14318=B14317,"",B14318)</f>
        <v/>
      </c>
    </row>
    <row r="14319" spans="1:6" ht="15.75" customHeight="1">
      <c r="A14319" s="8" t="str">
        <f ca="1">IFERROR(__xludf.DUMMYFUNCTION("GOOGLETRANSLATE(B32457,""en"",""pt"")"),"Pindwāra")</f>
        <v>Pindwāra</v>
      </c>
      <c r="B14319" s="9" t="s">
        <v>33226</v>
      </c>
      <c r="C14319" s="9" t="s">
        <v>10178</v>
      </c>
      <c r="D14319" s="9" t="s">
        <v>10179</v>
      </c>
      <c r="E14319" s="10">
        <v>1259638</v>
      </c>
      <c r="F14319" s="4" t="str">
        <f>IF(B14319=B14318,"",B14319)</f>
        <v>Pindwāra</v>
      </c>
    </row>
    <row r="14320" spans="1:6" ht="15.75" customHeight="1">
      <c r="A14320" s="16" t="s">
        <v>12892</v>
      </c>
      <c r="B14320" s="15" t="s">
        <v>12893</v>
      </c>
      <c r="C14320" s="16" t="s">
        <v>10178</v>
      </c>
      <c r="D14320" s="16" t="s">
        <v>10179</v>
      </c>
      <c r="E14320" s="2">
        <v>1259638</v>
      </c>
      <c r="F14320" s="4" t="str">
        <f>IF(B14320=B14319,"",B14320)</f>
        <v>PindwÄra</v>
      </c>
    </row>
    <row r="14321" spans="1:6" ht="15.75" customHeight="1">
      <c r="A14321" s="8" t="str">
        <f ca="1">IFERROR(__xludf.DUMMYFUNCTION("GOOGLETRANSLATE(B24715,""en"",""pt"")"),"Pindobaçu")</f>
        <v>Pindobaçu</v>
      </c>
      <c r="B14321" s="9" t="s">
        <v>31557</v>
      </c>
      <c r="C14321" s="9" t="s">
        <v>1905</v>
      </c>
      <c r="D14321" s="9" t="s">
        <v>1947</v>
      </c>
      <c r="E14321" s="10">
        <v>3453827</v>
      </c>
      <c r="F14321" s="4" t="str">
        <f>IF(B14321=B14320,"",B14321)</f>
        <v>Pindobaçu</v>
      </c>
    </row>
    <row r="14322" spans="1:6" ht="15.75" customHeight="1">
      <c r="A14322" s="15" t="s">
        <v>3098</v>
      </c>
      <c r="B14322" s="15" t="s">
        <v>3099</v>
      </c>
      <c r="C14322" s="15" t="s">
        <v>1905</v>
      </c>
      <c r="D14322" s="15" t="s">
        <v>1947</v>
      </c>
      <c r="E14322" s="2">
        <v>3453827</v>
      </c>
      <c r="F14322" s="4" t="str">
        <f>IF(B14322=B14321,"",B14322)</f>
        <v>PindobaÃ§u</v>
      </c>
    </row>
    <row r="14323" spans="1:6" ht="15.75" customHeight="1">
      <c r="A14323" s="15" t="s">
        <v>19553</v>
      </c>
      <c r="B14323" s="15" t="s">
        <v>19553</v>
      </c>
      <c r="C14323" s="15" t="s">
        <v>19294</v>
      </c>
      <c r="D14323" s="15" t="s">
        <v>19348</v>
      </c>
      <c r="E14323" s="2">
        <v>2324857</v>
      </c>
      <c r="F14323" s="4" t="str">
        <f>IF(B14323=B14322,"",B14323)</f>
        <v>Pindiga</v>
      </c>
    </row>
    <row r="14324" spans="1:6" ht="15.75" customHeight="1">
      <c r="A14324" s="8" t="str">
        <f ca="1">IFERROR(__xludf.DUMMYFUNCTION("GOOGLETRANSLATE(B37637,""en"",""pt"")"),"Pindiga")</f>
        <v>Pindiga</v>
      </c>
      <c r="B14324" s="9" t="s">
        <v>19553</v>
      </c>
      <c r="C14324" s="9" t="s">
        <v>19294</v>
      </c>
      <c r="D14324" s="9" t="s">
        <v>19348</v>
      </c>
      <c r="E14324" s="10">
        <v>2324857</v>
      </c>
      <c r="F14324" s="4" t="str">
        <f>IF(B14324=B14323,"",B14324)</f>
        <v/>
      </c>
    </row>
    <row r="14325" spans="1:6" ht="15.75" customHeight="1">
      <c r="A14325" s="16" t="s">
        <v>20169</v>
      </c>
      <c r="B14325" s="15" t="s">
        <v>20169</v>
      </c>
      <c r="C14325" s="16" t="s">
        <v>19808</v>
      </c>
      <c r="D14325" s="16" t="s">
        <v>10184</v>
      </c>
      <c r="E14325" s="2">
        <v>1168015</v>
      </c>
      <c r="F14325" s="4" t="str">
        <f>IF(B14325=B14324,"",B14325)</f>
        <v>Pindi Gheb</v>
      </c>
    </row>
    <row r="14326" spans="1:6" ht="15.75" customHeight="1">
      <c r="A14326" s="8" t="str">
        <f ca="1">IFERROR(__xludf.DUMMYFUNCTION("GOOGLETRANSLATE(B38948,""en"",""pt"")"),"Pindi Gheb")</f>
        <v>Pindi Gheb</v>
      </c>
      <c r="B14326" s="9" t="s">
        <v>20169</v>
      </c>
      <c r="C14326" s="9" t="s">
        <v>19808</v>
      </c>
      <c r="D14326" s="9" t="s">
        <v>10184</v>
      </c>
      <c r="E14326" s="10">
        <v>1168015</v>
      </c>
      <c r="F14326" s="4" t="str">
        <f>IF(B14326=B14325,"",B14326)</f>
        <v/>
      </c>
    </row>
    <row r="14327" spans="1:6" ht="15.75" customHeight="1">
      <c r="A14327" s="8" t="str">
        <f ca="1">IFERROR(__xludf.DUMMYFUNCTION("GOOGLETRANSLATE(B38949,""en"",""pt"")"),"Pindi Bhattiān")</f>
        <v>Pindi Bhattiān</v>
      </c>
      <c r="B14327" s="11" t="s">
        <v>34932</v>
      </c>
      <c r="C14327" s="11" t="s">
        <v>19808</v>
      </c>
      <c r="D14327" s="11" t="s">
        <v>10184</v>
      </c>
      <c r="E14327" s="10">
        <v>1168021</v>
      </c>
      <c r="F14327" s="4" t="str">
        <f>IF(B14327=B14326,"",B14327)</f>
        <v>Pindi Bhattiān</v>
      </c>
    </row>
    <row r="14328" spans="1:6" ht="15.75" customHeight="1">
      <c r="A14328" s="16" t="s">
        <v>20167</v>
      </c>
      <c r="B14328" s="15" t="s">
        <v>20168</v>
      </c>
      <c r="C14328" s="16" t="s">
        <v>19808</v>
      </c>
      <c r="D14328" s="16" t="s">
        <v>10184</v>
      </c>
      <c r="E14328" s="2">
        <v>1168021</v>
      </c>
      <c r="F14328" s="4" t="str">
        <f>IF(B14328=B14327,"",B14328)</f>
        <v>Pindi BhattiÄn</v>
      </c>
    </row>
    <row r="14329" spans="1:6" ht="15.75" customHeight="1">
      <c r="A14329" s="8" t="str">
        <f ca="1">IFERROR(__xludf.DUMMYFUNCTION("GOOGLETRANSLATE(B24226,""en"",""pt"")"),"Pindaré Mirim")</f>
        <v>Pindaré Mirim</v>
      </c>
      <c r="B14329" s="11" t="s">
        <v>3096</v>
      </c>
      <c r="C14329" s="11" t="s">
        <v>1905</v>
      </c>
      <c r="D14329" s="11" t="s">
        <v>31340</v>
      </c>
      <c r="E14329" s="10">
        <v>3392088</v>
      </c>
      <c r="F14329" s="4" t="str">
        <f>IF(B14329=B14328,"",B14329)</f>
        <v>Pindaré Mirim</v>
      </c>
    </row>
    <row r="14330" spans="1:6" ht="15.75" customHeight="1">
      <c r="A14330" s="16" t="s">
        <v>3096</v>
      </c>
      <c r="B14330" s="15" t="s">
        <v>3097</v>
      </c>
      <c r="C14330" s="16" t="s">
        <v>1905</v>
      </c>
      <c r="D14330" s="16" t="s">
        <v>2024</v>
      </c>
      <c r="E14330" s="2">
        <v>3392088</v>
      </c>
      <c r="F14330" s="4" t="str">
        <f>IF(B14330=B14329,"",B14330)</f>
        <v>PindarÃ© Mirim</v>
      </c>
    </row>
    <row r="14331" spans="1:6" ht="15.75" customHeight="1">
      <c r="A14331" s="16" t="s">
        <v>3095</v>
      </c>
      <c r="B14331" s="15" t="s">
        <v>3095</v>
      </c>
      <c r="C14331" s="16" t="s">
        <v>1905</v>
      </c>
      <c r="D14331" s="16" t="s">
        <v>1914</v>
      </c>
      <c r="E14331" s="2">
        <v>3453837</v>
      </c>
      <c r="F14331" s="4" t="str">
        <f>IF(B14331=B14330,"",B14331)</f>
        <v>Pindamonhangaba</v>
      </c>
    </row>
    <row r="14332" spans="1:6" ht="15.75" customHeight="1">
      <c r="A14332" s="8" t="str">
        <f ca="1">IFERROR(__xludf.DUMMYFUNCTION("GOOGLETRANSLATE(B24716,""en"",""pt"")"),"Pindamonhangaba")</f>
        <v>Pindamonhangaba</v>
      </c>
      <c r="B14332" s="9" t="s">
        <v>3095</v>
      </c>
      <c r="C14332" s="9" t="s">
        <v>1905</v>
      </c>
      <c r="D14332" s="9" t="s">
        <v>3354</v>
      </c>
      <c r="E14332" s="10">
        <v>3453837</v>
      </c>
      <c r="F14332" s="4" t="str">
        <f>IF(B14332=B14331,"",B14332)</f>
        <v/>
      </c>
    </row>
    <row r="14333" spans="1:6" ht="15.75" customHeight="1">
      <c r="A14333" s="8" t="str">
        <f ca="1">IFERROR(__xludf.DUMMYFUNCTION("GOOGLETRANSLATE(B38950,""en"",""pt"")"),"Pind Dādan Khān")</f>
        <v>Pind Dādan Khān</v>
      </c>
      <c r="B14333" s="11" t="s">
        <v>34933</v>
      </c>
      <c r="C14333" s="11" t="s">
        <v>19808</v>
      </c>
      <c r="D14333" s="11" t="s">
        <v>10184</v>
      </c>
      <c r="E14333" s="10">
        <v>1168036</v>
      </c>
      <c r="F14333" s="4" t="str">
        <f>IF(B14333=B14332,"",B14333)</f>
        <v>Pind Dādan Khān</v>
      </c>
    </row>
    <row r="14334" spans="1:6" ht="15.75" customHeight="1">
      <c r="A14334" s="16" t="s">
        <v>20165</v>
      </c>
      <c r="B14334" s="15" t="s">
        <v>20166</v>
      </c>
      <c r="C14334" s="16" t="s">
        <v>19808</v>
      </c>
      <c r="D14334" s="16" t="s">
        <v>10184</v>
      </c>
      <c r="E14334" s="2">
        <v>1168036</v>
      </c>
      <c r="F14334" s="4" t="str">
        <f>IF(B14334=B14333,"",B14334)</f>
        <v>Pind DÄdan KhÄn</v>
      </c>
    </row>
    <row r="14335" spans="1:6" ht="15.75" customHeight="1">
      <c r="A14335" s="8" t="str">
        <f ca="1">IFERROR(__xludf.DUMMYFUNCTION("GOOGLETRANSLATE(B28770,""en"",""pt"")"),"Piñas")</f>
        <v>Piñas</v>
      </c>
      <c r="B14335" s="11" t="s">
        <v>32238</v>
      </c>
      <c r="C14335" s="11" t="s">
        <v>6398</v>
      </c>
      <c r="D14335" s="11" t="s">
        <v>6432</v>
      </c>
      <c r="E14335" s="10">
        <v>3653130</v>
      </c>
      <c r="F14335" s="4" t="str">
        <f>IF(B14335=B14334,"",B14335)</f>
        <v>Piñas</v>
      </c>
    </row>
    <row r="14336" spans="1:6" ht="15.75" customHeight="1">
      <c r="A14336" s="8" t="str">
        <f ca="1">IFERROR(__xludf.DUMMYFUNCTION("GOOGLETRANSLATE(B27135,""en"",""pt"")"),"Pinar del Río")</f>
        <v>Pinar del Río</v>
      </c>
      <c r="B14336" s="9" t="s">
        <v>31903</v>
      </c>
      <c r="C14336" s="9" t="s">
        <v>5764</v>
      </c>
      <c r="D14336" s="9" t="s">
        <v>31903</v>
      </c>
      <c r="E14336" s="10">
        <v>3544091</v>
      </c>
      <c r="F14336" s="4" t="str">
        <f>IF(B14336=B14335,"",B14336)</f>
        <v>Pinar del Río</v>
      </c>
    </row>
    <row r="14337" spans="1:6" ht="15.75" customHeight="1">
      <c r="A14337" s="16" t="s">
        <v>5887</v>
      </c>
      <c r="B14337" s="15" t="s">
        <v>5824</v>
      </c>
      <c r="C14337" s="16" t="s">
        <v>5764</v>
      </c>
      <c r="D14337" s="16" t="s">
        <v>5824</v>
      </c>
      <c r="E14337" s="2">
        <v>3544091</v>
      </c>
      <c r="F14337" s="4" t="str">
        <f>IF(B14337=B14336,"",B14337)</f>
        <v>Pinar del RÃ­o</v>
      </c>
    </row>
    <row r="14338" spans="1:6" ht="15.75" customHeight="1">
      <c r="A14338" s="8" t="str">
        <f ca="1">IFERROR(__xludf.DUMMYFUNCTION("GOOGLETRANSLATE(B29478,""en"",""pt"")"),"Pinar de Chamartín")</f>
        <v>Pinar de Chamartín</v>
      </c>
      <c r="B14338" s="9" t="s">
        <v>32475</v>
      </c>
      <c r="C14338" s="9" t="s">
        <v>24200</v>
      </c>
      <c r="D14338" s="9" t="s">
        <v>5513</v>
      </c>
      <c r="E14338" s="10">
        <v>6324376</v>
      </c>
      <c r="F14338" s="4" t="str">
        <f>IF(B14338=B14337,"",B14338)</f>
        <v>Pinar de Chamartín</v>
      </c>
    </row>
    <row r="14339" spans="1:6" ht="15.75" customHeight="1">
      <c r="A14339" s="16" t="s">
        <v>24691</v>
      </c>
      <c r="B14339" s="15" t="s">
        <v>24692</v>
      </c>
      <c r="C14339" s="16" t="s">
        <v>24200</v>
      </c>
      <c r="D14339" s="16" t="s">
        <v>5513</v>
      </c>
      <c r="E14339" s="2">
        <v>6324376</v>
      </c>
      <c r="F14339" s="4" t="str">
        <f>IF(B14339=B14338,"",B14339)</f>
        <v>Pinar de ChamartÃ­n</v>
      </c>
    </row>
    <row r="14340" spans="1:6" ht="15.75" customHeight="1">
      <c r="A14340" s="16" t="s">
        <v>20963</v>
      </c>
      <c r="B14340" s="15" t="s">
        <v>20963</v>
      </c>
      <c r="C14340" s="16" t="s">
        <v>20598</v>
      </c>
      <c r="D14340" s="16" t="s">
        <v>20622</v>
      </c>
      <c r="E14340" s="2">
        <v>1693574</v>
      </c>
      <c r="F14340" s="4" t="str">
        <f>IF(B14340=B14339,"",B14340)</f>
        <v>Pinamungahan</v>
      </c>
    </row>
    <row r="14341" spans="1:6" ht="15.75" customHeight="1">
      <c r="A14341" s="8" t="str">
        <f ca="1">IFERROR(__xludf.DUMMYFUNCTION("GOOGLETRANSLATE(B38550,""en"",""pt"")"),"Pinamungahan")</f>
        <v>Pinamungahan</v>
      </c>
      <c r="B14341" s="11" t="s">
        <v>20963</v>
      </c>
      <c r="C14341" s="11" t="s">
        <v>20598</v>
      </c>
      <c r="D14341" s="11" t="s">
        <v>20622</v>
      </c>
      <c r="E14341" s="10">
        <v>1693574</v>
      </c>
      <c r="F14341" s="4" t="str">
        <f>IF(B14341=B14340,"",B14341)</f>
        <v/>
      </c>
    </row>
    <row r="14342" spans="1:6" ht="15.75" customHeight="1">
      <c r="A14342" s="16" t="s">
        <v>20962</v>
      </c>
      <c r="B14342" s="15" t="s">
        <v>20962</v>
      </c>
      <c r="C14342" s="16" t="s">
        <v>20598</v>
      </c>
      <c r="D14342" s="16" t="s">
        <v>20715</v>
      </c>
      <c r="E14342" s="2">
        <v>1693618</v>
      </c>
      <c r="F14342" s="4" t="str">
        <f>IF(B14342=B14341,"",B14342)</f>
        <v>Pinamalayan</v>
      </c>
    </row>
    <row r="14343" spans="1:6" ht="15.75" customHeight="1">
      <c r="A14343" s="8" t="str">
        <f ca="1">IFERROR(__xludf.DUMMYFUNCTION("GOOGLETRANSLATE(B38551,""en"",""pt"")"),"Pinamalayan")</f>
        <v>Pinamalayan</v>
      </c>
      <c r="B14343" s="11" t="s">
        <v>20962</v>
      </c>
      <c r="C14343" s="11" t="s">
        <v>20598</v>
      </c>
      <c r="D14343" s="11" t="s">
        <v>20715</v>
      </c>
      <c r="E14343" s="10">
        <v>1693618</v>
      </c>
      <c r="F14343" s="4" t="str">
        <f>IF(B14343=B14342,"",B14343)</f>
        <v/>
      </c>
    </row>
    <row r="14344" spans="1:6" ht="15.75" customHeight="1">
      <c r="A14344" s="8" t="str">
        <f ca="1">IFERROR(__xludf.DUMMYFUNCTION("GOOGLETRANSLATE(B32458,""en"",""pt"")"),"Pināhat")</f>
        <v>Pināhat</v>
      </c>
      <c r="B14344" s="9" t="s">
        <v>33227</v>
      </c>
      <c r="C14344" s="9" t="s">
        <v>10178</v>
      </c>
      <c r="D14344" s="9" t="s">
        <v>10193</v>
      </c>
      <c r="E14344" s="10">
        <v>1259647</v>
      </c>
      <c r="F14344" s="4" t="str">
        <f>IF(B14344=B14343,"",B14344)</f>
        <v>Pināhat</v>
      </c>
    </row>
    <row r="14345" spans="1:6" ht="15.75" customHeight="1">
      <c r="A14345" s="15" t="s">
        <v>12890</v>
      </c>
      <c r="B14345" s="15" t="s">
        <v>12891</v>
      </c>
      <c r="C14345" s="15" t="s">
        <v>10178</v>
      </c>
      <c r="D14345" s="15" t="s">
        <v>10193</v>
      </c>
      <c r="E14345" s="2">
        <v>1259647</v>
      </c>
      <c r="F14345" s="4" t="str">
        <f>IF(B14345=B14344,"",B14345)</f>
        <v>PinÄhat</v>
      </c>
    </row>
    <row r="14346" spans="1:6" ht="15.75" customHeight="1">
      <c r="A14346" s="15" t="s">
        <v>12889</v>
      </c>
      <c r="B14346" s="15" t="s">
        <v>12889</v>
      </c>
      <c r="C14346" s="15" t="s">
        <v>10178</v>
      </c>
      <c r="D14346" s="15" t="s">
        <v>10214</v>
      </c>
      <c r="E14346" s="2">
        <v>1259652</v>
      </c>
      <c r="F14346" s="4" t="str">
        <f>IF(B14346=B14345,"",B14346)</f>
        <v>Pimpri</v>
      </c>
    </row>
    <row r="14347" spans="1:6" ht="15.75" customHeight="1">
      <c r="A14347" s="8" t="str">
        <f ca="1">IFERROR(__xludf.DUMMYFUNCTION("GOOGLETRANSLATE(B32459,""en"",""pt"")"),"Pimpri")</f>
        <v>Pimpri</v>
      </c>
      <c r="B14347" s="9" t="s">
        <v>12889</v>
      </c>
      <c r="C14347" s="9" t="s">
        <v>10178</v>
      </c>
      <c r="D14347" s="9" t="s">
        <v>10214</v>
      </c>
      <c r="E14347" s="10">
        <v>1259652</v>
      </c>
      <c r="F14347" s="4" t="str">
        <f>IF(B14347=B14346,"",B14347)</f>
        <v/>
      </c>
    </row>
    <row r="14348" spans="1:6" ht="15.75" customHeight="1">
      <c r="A14348" s="15" t="s">
        <v>20559</v>
      </c>
      <c r="B14348" s="15" t="s">
        <v>20559</v>
      </c>
      <c r="C14348" s="15" t="s">
        <v>20470</v>
      </c>
      <c r="D14348" s="15" t="s">
        <v>20495</v>
      </c>
      <c r="E14348" s="2">
        <v>3693584</v>
      </c>
      <c r="F14348" s="4" t="str">
        <f>IF(B14348=B14347,"",B14348)</f>
        <v>Pimentel</v>
      </c>
    </row>
    <row r="14349" spans="1:6" ht="15.75" customHeight="1">
      <c r="A14349" s="8" t="str">
        <f ca="1">IFERROR(__xludf.DUMMYFUNCTION("GOOGLETRANSLATE(B38319,""en"",""pt"")"),"Pimentel")</f>
        <v>Pimentel</v>
      </c>
      <c r="B14349" s="11" t="s">
        <v>20559</v>
      </c>
      <c r="C14349" s="11" t="s">
        <v>20470</v>
      </c>
      <c r="D14349" s="11" t="s">
        <v>20495</v>
      </c>
      <c r="E14349" s="10">
        <v>3693584</v>
      </c>
      <c r="F14349" s="4" t="str">
        <f>IF(B14349=B14348,"",B14349)</f>
        <v/>
      </c>
    </row>
    <row r="14350" spans="1:6" ht="15.75" customHeight="1">
      <c r="A14350" s="16" t="s">
        <v>3094</v>
      </c>
      <c r="B14350" s="15" t="s">
        <v>3094</v>
      </c>
      <c r="C14350" s="16" t="s">
        <v>1905</v>
      </c>
      <c r="D14350" s="16" t="s">
        <v>2038</v>
      </c>
      <c r="E14350" s="2">
        <v>3924908</v>
      </c>
      <c r="F14350" s="4" t="str">
        <f>IF(B14350=B14349,"",B14350)</f>
        <v>Pimenta Bueno</v>
      </c>
    </row>
    <row r="14351" spans="1:6" ht="15.75" customHeight="1">
      <c r="A14351" s="8" t="str">
        <f ca="1">IFERROR(__xludf.DUMMYFUNCTION("GOOGLETRANSLATE(B25326,""en"",""pt"")"),"Pimenta Bueno")</f>
        <v>Pimenta Bueno</v>
      </c>
      <c r="B14351" s="11" t="s">
        <v>3094</v>
      </c>
      <c r="C14351" s="11" t="s">
        <v>1905</v>
      </c>
      <c r="D14351" s="11" t="s">
        <v>31741</v>
      </c>
      <c r="E14351" s="10">
        <v>3924908</v>
      </c>
      <c r="F14351" s="4" t="str">
        <f>IF(B14351=B14350,"",B14351)</f>
        <v/>
      </c>
    </row>
    <row r="14352" spans="1:6" ht="15.75" customHeight="1">
      <c r="A14352" s="15" t="s">
        <v>6088</v>
      </c>
      <c r="B14352" s="15" t="s">
        <v>6088</v>
      </c>
      <c r="C14352" s="15" t="s">
        <v>5947</v>
      </c>
      <c r="D14352" s="15" t="s">
        <v>6035</v>
      </c>
      <c r="E14352" s="2">
        <v>3068160</v>
      </c>
      <c r="F14352" s="4" t="str">
        <f>IF(B14352=B14351,"",B14352)</f>
        <v>Pilsen</v>
      </c>
    </row>
    <row r="14353" spans="1:6" ht="15.75" customHeight="1">
      <c r="A14353" s="8" t="str">
        <f ca="1">IFERROR(__xludf.DUMMYFUNCTION("GOOGLETRANSLATE(B27274,""en"",""pt"")"),"Pilsen")</f>
        <v>Pilsen</v>
      </c>
      <c r="B14353" s="11" t="s">
        <v>6088</v>
      </c>
      <c r="C14353" s="11" t="s">
        <v>5947</v>
      </c>
      <c r="D14353" s="11" t="s">
        <v>31966</v>
      </c>
      <c r="E14353" s="10">
        <v>3068160</v>
      </c>
      <c r="F14353" s="4" t="str">
        <f>IF(B14353=B14352,"",B14353)</f>
        <v/>
      </c>
    </row>
    <row r="14354" spans="1:6" ht="15.75" customHeight="1">
      <c r="A14354" s="15" t="s">
        <v>12888</v>
      </c>
      <c r="B14354" s="15" t="s">
        <v>12888</v>
      </c>
      <c r="C14354" s="15" t="s">
        <v>10178</v>
      </c>
      <c r="D14354" s="15" t="s">
        <v>10193</v>
      </c>
      <c r="E14354" s="2">
        <v>1259680</v>
      </c>
      <c r="F14354" s="4" t="str">
        <f>IF(B14354=B14353,"",B14354)</f>
        <v>Pilkhua</v>
      </c>
    </row>
    <row r="14355" spans="1:6" ht="15.75" customHeight="1">
      <c r="A14355" s="8" t="str">
        <f ca="1">IFERROR(__xludf.DUMMYFUNCTION("GOOGLETRANSLATE(B32460,""en"",""pt"")"),"Pilkhua")</f>
        <v>Pilkhua</v>
      </c>
      <c r="B14355" s="11" t="s">
        <v>12888</v>
      </c>
      <c r="C14355" s="11" t="s">
        <v>10178</v>
      </c>
      <c r="D14355" s="11" t="s">
        <v>10193</v>
      </c>
      <c r="E14355" s="10">
        <v>1259680</v>
      </c>
      <c r="F14355" s="4" t="str">
        <f>IF(B14355=B14354,"",B14355)</f>
        <v/>
      </c>
    </row>
    <row r="14356" spans="1:6" ht="15.75" customHeight="1">
      <c r="A14356" s="15" t="s">
        <v>20961</v>
      </c>
      <c r="B14356" s="15" t="s">
        <v>20961</v>
      </c>
      <c r="C14356" s="15" t="s">
        <v>20598</v>
      </c>
      <c r="D14356" s="15" t="s">
        <v>20608</v>
      </c>
      <c r="E14356" s="2">
        <v>1693778</v>
      </c>
      <c r="F14356" s="4" t="str">
        <f>IF(B14356=B14355,"",B14356)</f>
        <v>Pililla</v>
      </c>
    </row>
    <row r="14357" spans="1:6" ht="15.75" customHeight="1">
      <c r="A14357" s="8" t="str">
        <f ca="1">IFERROR(__xludf.DUMMYFUNCTION("GOOGLETRANSLATE(B38552,""en"",""pt"")"),"Pililla")</f>
        <v>Pililla</v>
      </c>
      <c r="B14357" s="11" t="s">
        <v>20961</v>
      </c>
      <c r="C14357" s="11" t="s">
        <v>20598</v>
      </c>
      <c r="D14357" s="11" t="s">
        <v>20608</v>
      </c>
      <c r="E14357" s="10">
        <v>1693778</v>
      </c>
      <c r="F14357" s="4" t="str">
        <f>IF(B14357=B14356,"",B14357)</f>
        <v/>
      </c>
    </row>
    <row r="14358" spans="1:6" ht="15.75" customHeight="1">
      <c r="A14358" s="8" t="str">
        <f ca="1">IFERROR(__xludf.DUMMYFUNCTION("GOOGLETRANSLATE(B32461,""en"",""pt"")"),"Pīlibhīt")</f>
        <v>Pīlibhīt</v>
      </c>
      <c r="B14358" s="9" t="s">
        <v>33228</v>
      </c>
      <c r="C14358" s="9" t="s">
        <v>10178</v>
      </c>
      <c r="D14358" s="9" t="s">
        <v>10193</v>
      </c>
      <c r="E14358" s="10">
        <v>1259686</v>
      </c>
      <c r="F14358" s="4" t="str">
        <f>IF(B14358=B14357,"",B14358)</f>
        <v>Pīlibhīt</v>
      </c>
    </row>
    <row r="14359" spans="1:6" ht="15.75" customHeight="1">
      <c r="A14359" s="16" t="s">
        <v>12887</v>
      </c>
      <c r="B14359" s="15" t="s">
        <v>12887</v>
      </c>
      <c r="C14359" s="16" t="s">
        <v>10178</v>
      </c>
      <c r="D14359" s="16" t="s">
        <v>10179</v>
      </c>
      <c r="E14359" s="2">
        <v>1259688</v>
      </c>
      <c r="F14359" s="4" t="str">
        <f>IF(B14359=B14358,"",B14359)</f>
        <v>Pilibangan</v>
      </c>
    </row>
    <row r="14360" spans="1:6" ht="15.75" customHeight="1">
      <c r="A14360" s="8" t="str">
        <f ca="1">IFERROR(__xludf.DUMMYFUNCTION("GOOGLETRANSLATE(B32462,""en"",""pt"")"),"Pilibangan")</f>
        <v>Pilibangan</v>
      </c>
      <c r="B14360" s="9" t="s">
        <v>12887</v>
      </c>
      <c r="C14360" s="9" t="s">
        <v>10178</v>
      </c>
      <c r="D14360" s="9" t="s">
        <v>10179</v>
      </c>
      <c r="E14360" s="10">
        <v>1259688</v>
      </c>
      <c r="F14360" s="4" t="str">
        <f>IF(B14360=B14359,"",B14360)</f>
        <v/>
      </c>
    </row>
    <row r="14361" spans="1:6" ht="15.75" customHeight="1">
      <c r="A14361" s="16" t="s">
        <v>3092</v>
      </c>
      <c r="B14361" s="15" t="s">
        <v>3093</v>
      </c>
      <c r="C14361" s="16" t="s">
        <v>1905</v>
      </c>
      <c r="D14361" s="16" t="s">
        <v>1914</v>
      </c>
      <c r="E14361" s="2">
        <v>3453896</v>
      </c>
      <c r="F14361" s="4" t="str">
        <f>IF(B14361=B14360,"",B14361)</f>
        <v>Pilar do Sul</v>
      </c>
    </row>
    <row r="14362" spans="1:6" ht="15.75" customHeight="1">
      <c r="A14362" s="8" t="str">
        <f ca="1">IFERROR(__xludf.DUMMYFUNCTION("GOOGLETRANSLATE(B24717,""en"",""pt"")"),"Pilar do sul")</f>
        <v>Pilar do sul</v>
      </c>
      <c r="B14362" s="9" t="s">
        <v>3093</v>
      </c>
      <c r="C14362" s="9" t="s">
        <v>1905</v>
      </c>
      <c r="D14362" s="9" t="s">
        <v>3354</v>
      </c>
      <c r="E14362" s="10">
        <v>3453896</v>
      </c>
      <c r="F14362" s="4" t="str">
        <f>IF(B14362=B14361,"",B14362)</f>
        <v/>
      </c>
    </row>
    <row r="14363" spans="1:6" ht="15.75" customHeight="1">
      <c r="A14363" s="16" t="s">
        <v>24690</v>
      </c>
      <c r="B14363" s="15" t="s">
        <v>24690</v>
      </c>
      <c r="C14363" s="16" t="s">
        <v>24200</v>
      </c>
      <c r="D14363" s="16" t="s">
        <v>21053</v>
      </c>
      <c r="E14363" s="2">
        <v>2512581</v>
      </c>
      <c r="F14363" s="4" t="str">
        <f>IF(B14363=B14362,"",B14363)</f>
        <v>Pilar de la Horadada</v>
      </c>
    </row>
    <row r="14364" spans="1:6" ht="15.75" customHeight="1">
      <c r="A14364" s="8" t="str">
        <f ca="1">IFERROR(__xludf.DUMMYFUNCTION("GOOGLETRANSLATE(B29026,""en"",""pt"")"),"Pilar de la Horadada")</f>
        <v>Pilar de la Horadada</v>
      </c>
      <c r="B14364" s="9" t="s">
        <v>24690</v>
      </c>
      <c r="C14364" s="9" t="s">
        <v>24200</v>
      </c>
      <c r="D14364" s="9" t="s">
        <v>21053</v>
      </c>
      <c r="E14364" s="10">
        <v>2512581</v>
      </c>
      <c r="F14364" s="4" t="str">
        <f>IF(B14364=B14363,"",B14364)</f>
        <v/>
      </c>
    </row>
    <row r="14365" spans="1:6" ht="15.75" customHeight="1">
      <c r="A14365" s="15" t="s">
        <v>3091</v>
      </c>
      <c r="B14365" s="15" t="s">
        <v>3091</v>
      </c>
      <c r="C14365" s="15" t="s">
        <v>1905</v>
      </c>
      <c r="D14365" s="15" t="s">
        <v>2015</v>
      </c>
      <c r="E14365" s="2">
        <v>3392126</v>
      </c>
      <c r="F14365" s="4" t="str">
        <f>IF(B14365=B14364,"",B14365)</f>
        <v>Pilar</v>
      </c>
    </row>
    <row r="14366" spans="1:6" ht="15.75" customHeight="1">
      <c r="A14366" s="15" t="s">
        <v>3091</v>
      </c>
      <c r="B14366" s="15" t="s">
        <v>3091</v>
      </c>
      <c r="C14366" s="15" t="s">
        <v>20433</v>
      </c>
      <c r="D14366" s="15" t="s">
        <v>20461</v>
      </c>
      <c r="E14366" s="2">
        <v>3437526</v>
      </c>
      <c r="F14366" s="4" t="str">
        <f>IF(B14366=B14365,"",B14366)</f>
        <v/>
      </c>
    </row>
    <row r="14367" spans="1:6" ht="15.75" customHeight="1">
      <c r="A14367" s="15" t="s">
        <v>3091</v>
      </c>
      <c r="B14367" s="15" t="s">
        <v>3091</v>
      </c>
      <c r="C14367" s="15" t="s">
        <v>20598</v>
      </c>
      <c r="D14367" s="15" t="s">
        <v>20599</v>
      </c>
      <c r="E14367" s="2">
        <v>1693839</v>
      </c>
      <c r="F14367" s="4" t="str">
        <f>IF(B14367=B14366,"",B14367)</f>
        <v/>
      </c>
    </row>
    <row r="14368" spans="1:6" ht="15.75" customHeight="1">
      <c r="A14368" s="8" t="str">
        <f ca="1">IFERROR(__xludf.DUMMYFUNCTION("GOOGLETRANSLATE(B24227,""en"",""pt"")"),"Pilar")</f>
        <v>Pilar</v>
      </c>
      <c r="B14368" s="11" t="s">
        <v>3091</v>
      </c>
      <c r="C14368" s="11" t="s">
        <v>1905</v>
      </c>
      <c r="D14368" s="11" t="s">
        <v>2015</v>
      </c>
      <c r="E14368" s="10">
        <v>3392126</v>
      </c>
      <c r="F14368" s="4" t="str">
        <f>IF(B14368=B14367,"",B14368)</f>
        <v/>
      </c>
    </row>
    <row r="14369" spans="1:6" ht="15.75" customHeight="1">
      <c r="A14369" s="8" t="str">
        <f ca="1">IFERROR(__xludf.DUMMYFUNCTION("GOOGLETRANSLATE(B38553,""en"",""pt"")"),"Pilar")</f>
        <v>Pilar</v>
      </c>
      <c r="B14369" s="9" t="s">
        <v>3091</v>
      </c>
      <c r="C14369" s="9" t="s">
        <v>20598</v>
      </c>
      <c r="D14369" s="9" t="s">
        <v>20599</v>
      </c>
      <c r="E14369" s="10">
        <v>1693839</v>
      </c>
      <c r="F14369" s="4" t="str">
        <f>IF(B14369=B14368,"",B14369)</f>
        <v/>
      </c>
    </row>
    <row r="14370" spans="1:6" ht="15.75" customHeight="1">
      <c r="A14370" s="8" t="str">
        <f ca="1">IFERROR(__xludf.DUMMYFUNCTION("GOOGLETRANSLATE(B39685,""en"",""pt"")"),"Pilar")</f>
        <v>Pilar</v>
      </c>
      <c r="B14370" s="11" t="s">
        <v>3091</v>
      </c>
      <c r="C14370" s="11" t="s">
        <v>20433</v>
      </c>
      <c r="D14370" s="11" t="s">
        <v>35314</v>
      </c>
      <c r="E14370" s="10">
        <v>3437526</v>
      </c>
      <c r="F14370" s="4" t="str">
        <f>IF(B14370=B14369,"",B14370)</f>
        <v/>
      </c>
    </row>
    <row r="14371" spans="1:6" ht="15.75" customHeight="1">
      <c r="A14371" s="8" t="str">
        <f ca="1">IFERROR(__xludf.DUMMYFUNCTION("GOOGLETRANSLATE(B32463,""en"",""pt"")"),"Pilāni")</f>
        <v>Pilāni</v>
      </c>
      <c r="B14371" s="9" t="s">
        <v>33229</v>
      </c>
      <c r="C14371" s="9" t="s">
        <v>10178</v>
      </c>
      <c r="D14371" s="9" t="s">
        <v>10179</v>
      </c>
      <c r="E14371" s="10">
        <v>1259693</v>
      </c>
      <c r="F14371" s="4" t="str">
        <f>IF(B14371=B14370,"",B14371)</f>
        <v>Pilāni</v>
      </c>
    </row>
    <row r="14372" spans="1:6" ht="15.75" customHeight="1">
      <c r="A14372" s="8" t="str">
        <f ca="1">IFERROR(__xludf.DUMMYFUNCTION("GOOGLETRANSLATE(B36389,""en"",""pt"")"),"Pilaitė")</f>
        <v>Pilaitė</v>
      </c>
      <c r="B14372" s="11" t="s">
        <v>34540</v>
      </c>
      <c r="C14372" s="11" t="s">
        <v>17154</v>
      </c>
      <c r="D14372" s="11" t="s">
        <v>17155</v>
      </c>
      <c r="E14372" s="10">
        <v>10062600</v>
      </c>
      <c r="F14372" s="4" t="str">
        <f>IF(B14372=B14371,"",B14372)</f>
        <v>Pilaitė</v>
      </c>
    </row>
    <row r="14373" spans="1:6" ht="15.75" customHeight="1">
      <c r="A14373" s="15" t="s">
        <v>17194</v>
      </c>
      <c r="B14373" s="15" t="s">
        <v>17195</v>
      </c>
      <c r="C14373" s="15" t="s">
        <v>17154</v>
      </c>
      <c r="D14373" s="15" t="s">
        <v>17155</v>
      </c>
      <c r="E14373" s="2">
        <v>10062600</v>
      </c>
      <c r="F14373" s="4" t="str">
        <f>IF(B14373=B14372,"",B14373)</f>
        <v>PilaitÄ—</v>
      </c>
    </row>
    <row r="14374" spans="1:6" ht="15.75" customHeight="1">
      <c r="A14374" s="15" t="s">
        <v>12885</v>
      </c>
      <c r="B14374" s="15" t="s">
        <v>12886</v>
      </c>
      <c r="C14374" s="15" t="s">
        <v>10178</v>
      </c>
      <c r="D14374" s="15" t="s">
        <v>10179</v>
      </c>
      <c r="E14374" s="2">
        <v>1259693</v>
      </c>
      <c r="F14374" s="4" t="str">
        <f>IF(B14374=B14373,"",B14374)</f>
        <v>PilÄni</v>
      </c>
    </row>
    <row r="14375" spans="1:6" ht="15.75" customHeight="1">
      <c r="A14375" s="8" t="str">
        <f ca="1">IFERROR(__xludf.DUMMYFUNCTION("GOOGLETRANSLATE(B39380,""en"",""pt"")"),"Piła")</f>
        <v>Piła</v>
      </c>
      <c r="B14375" s="9" t="s">
        <v>35181</v>
      </c>
      <c r="C14375" s="9" t="s">
        <v>21064</v>
      </c>
      <c r="D14375" s="9" t="s">
        <v>21112</v>
      </c>
      <c r="E14375" s="10">
        <v>3089033</v>
      </c>
      <c r="F14375" s="4" t="str">
        <f>IF(B14375=B14374,"",B14375)</f>
        <v>Piła</v>
      </c>
    </row>
    <row r="14376" spans="1:6" ht="15.75" customHeight="1">
      <c r="A14376" s="15" t="s">
        <v>20960</v>
      </c>
      <c r="B14376" s="15" t="s">
        <v>20960</v>
      </c>
      <c r="C14376" s="15" t="s">
        <v>20598</v>
      </c>
      <c r="D14376" s="15" t="s">
        <v>20608</v>
      </c>
      <c r="E14376" s="2">
        <v>1693870</v>
      </c>
      <c r="F14376" s="4" t="str">
        <f>IF(B14376=B14375,"",B14376)</f>
        <v>Pila</v>
      </c>
    </row>
    <row r="14377" spans="1:6" ht="15.75" customHeight="1">
      <c r="A14377" s="8" t="str">
        <f ca="1">IFERROR(__xludf.DUMMYFUNCTION("GOOGLETRANSLATE(B38554,""en"",""pt"")"),"Pila")</f>
        <v>Pila</v>
      </c>
      <c r="B14377" s="9" t="s">
        <v>20960</v>
      </c>
      <c r="C14377" s="9" t="s">
        <v>20598</v>
      </c>
      <c r="D14377" s="9" t="s">
        <v>20608</v>
      </c>
      <c r="E14377" s="10">
        <v>1693870</v>
      </c>
      <c r="F14377" s="4" t="str">
        <f>IF(B14377=B14376,"",B14377)</f>
        <v/>
      </c>
    </row>
    <row r="14378" spans="1:6" ht="15.75" customHeight="1">
      <c r="A14378" s="15" t="s">
        <v>23586</v>
      </c>
      <c r="B14378" s="15" t="s">
        <v>23586</v>
      </c>
      <c r="C14378" s="15" t="s">
        <v>23559</v>
      </c>
      <c r="D14378" s="15" t="s">
        <v>23561</v>
      </c>
      <c r="E14378" s="2">
        <v>2246678</v>
      </c>
      <c r="F14378" s="4" t="str">
        <f>IF(B14378=B14377,"",B14378)</f>
        <v>Pikine</v>
      </c>
    </row>
    <row r="14379" spans="1:6" ht="15.75" customHeight="1">
      <c r="A14379" s="8" t="str">
        <f ca="1">IFERROR(__xludf.DUMMYFUNCTION("GOOGLETRANSLATE(B41295,""en"",""pt"")"),"Pikine")</f>
        <v>Pikine</v>
      </c>
      <c r="B14379" s="9" t="s">
        <v>23586</v>
      </c>
      <c r="C14379" s="9" t="s">
        <v>23559</v>
      </c>
      <c r="D14379" s="9" t="s">
        <v>23561</v>
      </c>
      <c r="E14379" s="10">
        <v>2246678</v>
      </c>
      <c r="F14379" s="4" t="str">
        <f>IF(B14379=B14378,"",B14379)</f>
        <v/>
      </c>
    </row>
    <row r="14380" spans="1:6" ht="15.75" customHeight="1">
      <c r="A14380" s="15" t="s">
        <v>29676</v>
      </c>
      <c r="B14380" s="15" t="s">
        <v>29676</v>
      </c>
      <c r="C14380" s="15" t="s">
        <v>27788</v>
      </c>
      <c r="D14380" s="15" t="s">
        <v>17061</v>
      </c>
      <c r="E14380" s="2">
        <v>4365387</v>
      </c>
      <c r="F14380" s="4" t="str">
        <f>IF(B14380=B14379,"",B14380)</f>
        <v>Pikesville</v>
      </c>
    </row>
    <row r="14381" spans="1:6" ht="15.75" customHeight="1">
      <c r="A14381" s="8" t="str">
        <f ca="1">IFERROR(__xludf.DUMMYFUNCTION("GOOGLETRANSLATE(B43321,""en"",""pt"")"),"Pikesville")</f>
        <v>Pikesville</v>
      </c>
      <c r="B14381" s="9" t="s">
        <v>29676</v>
      </c>
      <c r="C14381" s="9" t="s">
        <v>27788</v>
      </c>
      <c r="D14381" s="9" t="s">
        <v>17061</v>
      </c>
      <c r="E14381" s="10">
        <v>4365387</v>
      </c>
      <c r="F14381" s="4" t="str">
        <f>IF(B14381=B14380,"",B14381)</f>
        <v/>
      </c>
    </row>
    <row r="14382" spans="1:6" ht="15.75" customHeight="1">
      <c r="A14382" s="8" t="str">
        <f ca="1">IFERROR(__xludf.DUMMYFUNCTION("GOOGLETRANSLATE(B40195,""en"",""pt"")"),"Pikalëvo")</f>
        <v>Pikalëvo</v>
      </c>
      <c r="B14382" s="11" t="s">
        <v>35472</v>
      </c>
      <c r="C14382" s="11" t="s">
        <v>22070</v>
      </c>
      <c r="D14382" s="11" t="s">
        <v>22094</v>
      </c>
      <c r="E14382" s="10">
        <v>509598</v>
      </c>
      <c r="F14382" s="4" t="str">
        <f>IF(B14382=B14381,"",B14382)</f>
        <v>Pikalëvo</v>
      </c>
    </row>
    <row r="14383" spans="1:6" ht="15.75" customHeight="1">
      <c r="A14383" s="16" t="s">
        <v>22941</v>
      </c>
      <c r="B14383" s="15" t="s">
        <v>22942</v>
      </c>
      <c r="C14383" s="16" t="s">
        <v>22070</v>
      </c>
      <c r="D14383" s="16" t="s">
        <v>22094</v>
      </c>
      <c r="E14383" s="2">
        <v>509598</v>
      </c>
      <c r="F14383" s="4" t="str">
        <f>IF(B14383=B14382,"",B14383)</f>
        <v>PikalÃ«vo</v>
      </c>
    </row>
    <row r="14384" spans="1:6" ht="15.75" customHeight="1">
      <c r="A14384" s="15" t="s">
        <v>19066</v>
      </c>
      <c r="B14384" s="15" t="s">
        <v>19066</v>
      </c>
      <c r="C14384" s="15" t="s">
        <v>18862</v>
      </c>
      <c r="D14384" s="15" t="s">
        <v>18868</v>
      </c>
      <c r="E14384" s="2">
        <v>2748591</v>
      </c>
      <c r="F14384" s="4" t="str">
        <f>IF(B14384=B14383,"",B14384)</f>
        <v>Pijnacker</v>
      </c>
    </row>
    <row r="14385" spans="1:6" ht="15.75" customHeight="1">
      <c r="A14385" s="8" t="str">
        <f ca="1">IFERROR(__xludf.DUMMYFUNCTION("GOOGLETRANSLATE(B37974,""en"",""pt"")"),"Pijnacker")</f>
        <v>Pijnacker</v>
      </c>
      <c r="B14385" s="9" t="s">
        <v>19066</v>
      </c>
      <c r="C14385" s="9" t="s">
        <v>18862</v>
      </c>
      <c r="D14385" s="9" t="s">
        <v>18868</v>
      </c>
      <c r="E14385" s="10">
        <v>2748591</v>
      </c>
      <c r="F14385" s="4" t="str">
        <f>IF(B14385=B14384,"",B14385)</f>
        <v/>
      </c>
    </row>
    <row r="14386" spans="1:6" ht="15.75" customHeight="1">
      <c r="A14386" s="15" t="s">
        <v>18166</v>
      </c>
      <c r="B14386" s="15" t="s">
        <v>18166</v>
      </c>
      <c r="C14386" s="15" t="s">
        <v>17707</v>
      </c>
      <c r="D14386" s="15" t="s">
        <v>17770</v>
      </c>
      <c r="E14386" s="2">
        <v>3521476</v>
      </c>
      <c r="F14386" s="4" t="str">
        <f>IF(B14386=B14385,"",B14386)</f>
        <v>Pijijiapan</v>
      </c>
    </row>
    <row r="14387" spans="1:6" ht="15.75" customHeight="1">
      <c r="A14387" s="8" t="str">
        <f ca="1">IFERROR(__xludf.DUMMYFUNCTION("GOOGLETRANSLATE(B36949,""en"",""pt"")"),"Pijijiapan")</f>
        <v>Pijijiapan</v>
      </c>
      <c r="B14387" s="9" t="s">
        <v>18166</v>
      </c>
      <c r="C14387" s="9" t="s">
        <v>17707</v>
      </c>
      <c r="D14387" s="9" t="s">
        <v>17770</v>
      </c>
      <c r="E14387" s="10">
        <v>3521476</v>
      </c>
      <c r="F14387" s="4" t="str">
        <f>IF(B14387=B14386,"",B14387)</f>
        <v/>
      </c>
    </row>
    <row r="14388" spans="1:6" ht="15.75" customHeight="1">
      <c r="A14388" s="8" t="str">
        <f ca="1">IFERROR(__xludf.DUMMYFUNCTION("GOOGLETRANSLATE(B32464,""en"",""pt"")"),"Pihānī")</f>
        <v>Pihānī</v>
      </c>
      <c r="B14388" s="11" t="s">
        <v>33230</v>
      </c>
      <c r="C14388" s="11" t="s">
        <v>10178</v>
      </c>
      <c r="D14388" s="11" t="s">
        <v>10193</v>
      </c>
      <c r="E14388" s="10">
        <v>1259701</v>
      </c>
      <c r="F14388" s="4" t="str">
        <f>IF(B14388=B14387,"",B14388)</f>
        <v>Pihānī</v>
      </c>
    </row>
    <row r="14389" spans="1:6" ht="15.75" customHeight="1">
      <c r="A14389" s="15" t="s">
        <v>12883</v>
      </c>
      <c r="B14389" s="15" t="s">
        <v>12884</v>
      </c>
      <c r="C14389" s="15" t="s">
        <v>10178</v>
      </c>
      <c r="D14389" s="15" t="s">
        <v>10193</v>
      </c>
      <c r="E14389" s="2">
        <v>1259701</v>
      </c>
      <c r="F14389" s="4" t="str">
        <f>IF(B14389=B14388,"",B14389)</f>
        <v>PihÄnÄ«</v>
      </c>
    </row>
    <row r="14390" spans="1:6" ht="15.75" customHeight="1">
      <c r="A14390" s="16" t="s">
        <v>15365</v>
      </c>
      <c r="B14390" s="15" t="s">
        <v>15365</v>
      </c>
      <c r="C14390" s="16" t="s">
        <v>14891</v>
      </c>
      <c r="D14390" s="16" t="s">
        <v>14943</v>
      </c>
      <c r="E14390" s="2">
        <v>3170778</v>
      </c>
      <c r="F14390" s="4" t="str">
        <f>IF(B14390=B14389,"",B14390)</f>
        <v>Pietrasanta</v>
      </c>
    </row>
    <row r="14391" spans="1:6" ht="15.75" customHeight="1">
      <c r="A14391" s="8" t="str">
        <f ca="1">IFERROR(__xludf.DUMMYFUNCTION("GOOGLETRANSLATE(B34774,""en"",""pt"")"),"Pietrasanta")</f>
        <v>Pietrasanta</v>
      </c>
      <c r="B14391" s="11" t="s">
        <v>15365</v>
      </c>
      <c r="C14391" s="11" t="s">
        <v>14891</v>
      </c>
      <c r="D14391" s="11" t="s">
        <v>14943</v>
      </c>
      <c r="E14391" s="10">
        <v>3170778</v>
      </c>
      <c r="F14391" s="4" t="str">
        <f>IF(B14391=B14390,"",B14391)</f>
        <v/>
      </c>
    </row>
    <row r="14392" spans="1:6" ht="15.75" customHeight="1">
      <c r="A14392" s="16" t="s">
        <v>23954</v>
      </c>
      <c r="B14392" s="15" t="s">
        <v>23954</v>
      </c>
      <c r="C14392" s="16" t="s">
        <v>23842</v>
      </c>
      <c r="D14392" s="16" t="s">
        <v>23851</v>
      </c>
      <c r="E14392" s="2">
        <v>965301</v>
      </c>
      <c r="F14392" s="4" t="str">
        <f>IF(B14392=B14391,"",B14392)</f>
        <v>Pietermaritzburg</v>
      </c>
    </row>
    <row r="14393" spans="1:6" ht="15.75" customHeight="1">
      <c r="A14393" s="8" t="str">
        <f ca="1">IFERROR(__xludf.DUMMYFUNCTION("GOOGLETRANSLATE(B45898,""en"",""pt"")"),"Pietermaritzburg")</f>
        <v>Pietermaritzburg</v>
      </c>
      <c r="B14393" s="9" t="s">
        <v>23954</v>
      </c>
      <c r="C14393" s="9" t="s">
        <v>23842</v>
      </c>
      <c r="D14393" s="9" t="s">
        <v>23851</v>
      </c>
      <c r="E14393" s="10">
        <v>965301</v>
      </c>
      <c r="F14393" s="4" t="str">
        <f>IF(B14393=B14392,"",B14393)</f>
        <v/>
      </c>
    </row>
    <row r="14394" spans="1:6" ht="15.75" customHeight="1">
      <c r="A14394" s="16" t="s">
        <v>23953</v>
      </c>
      <c r="B14394" s="15" t="s">
        <v>23953</v>
      </c>
      <c r="C14394" s="16" t="s">
        <v>23842</v>
      </c>
      <c r="D14394" s="16" t="s">
        <v>23849</v>
      </c>
      <c r="E14394" s="2">
        <v>965241</v>
      </c>
      <c r="F14394" s="4" t="str">
        <f>IF(B14394=B14393,"",B14394)</f>
        <v>Piet Retief</v>
      </c>
    </row>
    <row r="14395" spans="1:6" ht="15.75" customHeight="1">
      <c r="A14395" s="8" t="str">
        <f ca="1">IFERROR(__xludf.DUMMYFUNCTION("GOOGLETRANSLATE(B45896,""en"",""pt"")"),"Piet Retief")</f>
        <v>Piet Retief</v>
      </c>
      <c r="B14395" s="11" t="s">
        <v>23953</v>
      </c>
      <c r="C14395" s="11" t="s">
        <v>23842</v>
      </c>
      <c r="D14395" s="11" t="s">
        <v>23849</v>
      </c>
      <c r="E14395" s="10">
        <v>965241</v>
      </c>
      <c r="F14395" s="4" t="str">
        <f>IF(B14395=B14394,"",B14395)</f>
        <v/>
      </c>
    </row>
    <row r="14396" spans="1:6" ht="15.75" customHeight="1">
      <c r="A14396" s="8" t="str">
        <f ca="1">IFERROR(__xludf.DUMMYFUNCTION("GOOGLETRANSLATE(B41248,""en"",""pt"")"),"Piešťany")</f>
        <v>Piešťany</v>
      </c>
      <c r="B14396" s="9" t="s">
        <v>35686</v>
      </c>
      <c r="C14396" s="9" t="s">
        <v>23694</v>
      </c>
      <c r="D14396" s="9" t="s">
        <v>35680</v>
      </c>
      <c r="E14396" s="10">
        <v>3058202</v>
      </c>
      <c r="F14396" s="4" t="str">
        <f>IF(B14396=B14395,"",B14396)</f>
        <v>Piešťany</v>
      </c>
    </row>
    <row r="14397" spans="1:6" ht="15.75" customHeight="1">
      <c r="A14397" s="16" t="s">
        <v>7677</v>
      </c>
      <c r="B14397" s="15" t="s">
        <v>7678</v>
      </c>
      <c r="C14397" s="16" t="s">
        <v>7052</v>
      </c>
      <c r="D14397" s="16" t="s">
        <v>7058</v>
      </c>
      <c r="E14397" s="2">
        <v>2987271</v>
      </c>
      <c r="F14397" s="4" t="str">
        <f>IF(B14397=B14396,"",B14397)</f>
        <v>Pierrefitte-sur-Seine</v>
      </c>
    </row>
    <row r="14398" spans="1:6" ht="15.75" customHeight="1">
      <c r="A14398" s="8" t="str">
        <f ca="1">IFERROR(__xludf.DUMMYFUNCTION("GOOGLETRANSLATE(B29851,""en"",""pt"")"),"Pierrefitte-sur-seine")</f>
        <v>Pierrefitte-sur-seine</v>
      </c>
      <c r="B14398" s="9" t="s">
        <v>7678</v>
      </c>
      <c r="C14398" s="9" t="s">
        <v>7052</v>
      </c>
      <c r="D14398" s="9" t="s">
        <v>32531</v>
      </c>
      <c r="E14398" s="10">
        <v>2987271</v>
      </c>
      <c r="F14398" s="4" t="str">
        <f>IF(B14398=B14397,"",B14398)</f>
        <v/>
      </c>
    </row>
    <row r="14399" spans="1:6" ht="15.75" customHeight="1">
      <c r="A14399" s="8" t="str">
        <f ca="1">IFERROR(__xludf.DUMMYFUNCTION("GOOGLETRANSLATE(B39381,""en"",""pt"")"),"Piekary śląskie")</f>
        <v>Piekary śląskie</v>
      </c>
      <c r="B14399" s="11" t="s">
        <v>35182</v>
      </c>
      <c r="C14399" s="11" t="s">
        <v>21064</v>
      </c>
      <c r="D14399" s="11" t="s">
        <v>21073</v>
      </c>
      <c r="E14399" s="10">
        <v>3089125</v>
      </c>
      <c r="F14399" s="4" t="str">
        <f>IF(B14399=B14398,"",B14399)</f>
        <v>Piekary Śląskie</v>
      </c>
    </row>
    <row r="14400" spans="1:6" ht="15.75" customHeight="1">
      <c r="A14400" s="16" t="s">
        <v>21423</v>
      </c>
      <c r="B14400" s="15" t="s">
        <v>21424</v>
      </c>
      <c r="C14400" s="16" t="s">
        <v>21064</v>
      </c>
      <c r="D14400" s="16" t="s">
        <v>21073</v>
      </c>
      <c r="E14400" s="2">
        <v>3089125</v>
      </c>
      <c r="F14400" s="4" t="str">
        <f>IF(B14400=B14399,"",B14400)</f>
        <v>Piekary ÅšlÄ…skie</v>
      </c>
    </row>
    <row r="14401" spans="1:6" ht="15.75" customHeight="1">
      <c r="A14401" s="16" t="s">
        <v>18165</v>
      </c>
      <c r="B14401" s="15" t="s">
        <v>18165</v>
      </c>
      <c r="C14401" s="16" t="s">
        <v>17707</v>
      </c>
      <c r="D14401" s="16" t="s">
        <v>17738</v>
      </c>
      <c r="E14401" s="2">
        <v>3992619</v>
      </c>
      <c r="F14401" s="4" t="str">
        <f>IF(B14401=B14400,"",B14401)</f>
        <v>Piedras Negras</v>
      </c>
    </row>
    <row r="14402" spans="1:6" ht="15.75" customHeight="1">
      <c r="A14402" s="8" t="str">
        <f ca="1">IFERROR(__xludf.DUMMYFUNCTION("GOOGLETRANSLATE(B37222,""en"",""pt"")"),"Piedras Negras")</f>
        <v>Piedras Negras</v>
      </c>
      <c r="B14402" s="9" t="s">
        <v>18165</v>
      </c>
      <c r="C14402" s="9" t="s">
        <v>17707</v>
      </c>
      <c r="D14402" s="9" t="s">
        <v>17738</v>
      </c>
      <c r="E14402" s="10">
        <v>3992619</v>
      </c>
      <c r="F14402" s="4" t="str">
        <f>IF(B14402=B14401,"",B14402)</f>
        <v/>
      </c>
    </row>
    <row r="14403" spans="1:6" ht="15.75" customHeight="1">
      <c r="A14403" s="16" t="s">
        <v>5550</v>
      </c>
      <c r="B14403" s="15" t="s">
        <v>5550</v>
      </c>
      <c r="C14403" s="16" t="s">
        <v>5348</v>
      </c>
      <c r="D14403" s="16" t="s">
        <v>5380</v>
      </c>
      <c r="E14403" s="2">
        <v>3672328</v>
      </c>
      <c r="F14403" s="4" t="str">
        <f>IF(B14403=B14402,"",B14403)</f>
        <v>Piedecuesta</v>
      </c>
    </row>
    <row r="14404" spans="1:6" ht="15.75" customHeight="1">
      <c r="A14404" s="8" t="str">
        <f ca="1">IFERROR(__xludf.DUMMYFUNCTION("GOOGLETRANSLATE(B26921,""en"",""pt"")"),"Piedecuesta")</f>
        <v>Piedecuesta</v>
      </c>
      <c r="B14404" s="9" t="s">
        <v>5550</v>
      </c>
      <c r="C14404" s="9" t="s">
        <v>5348</v>
      </c>
      <c r="D14404" s="9" t="s">
        <v>5380</v>
      </c>
      <c r="E14404" s="10">
        <v>3672328</v>
      </c>
      <c r="F14404" s="4" t="str">
        <f>IF(B14404=B14403,"",B14404)</f>
        <v/>
      </c>
    </row>
    <row r="14405" spans="1:6" ht="15.75" customHeight="1">
      <c r="A14405" s="15" t="s">
        <v>3090</v>
      </c>
      <c r="B14405" s="15" t="s">
        <v>3090</v>
      </c>
      <c r="C14405" s="15" t="s">
        <v>1905</v>
      </c>
      <c r="D14405" s="15" t="s">
        <v>1914</v>
      </c>
      <c r="E14405" s="2">
        <v>3453926</v>
      </c>
      <c r="F14405" s="4" t="str">
        <f>IF(B14405=B14404,"",B14405)</f>
        <v>Piedade</v>
      </c>
    </row>
    <row r="14406" spans="1:6" ht="15.75" customHeight="1">
      <c r="A14406" s="15" t="s">
        <v>3090</v>
      </c>
      <c r="B14406" s="15" t="s">
        <v>3090</v>
      </c>
      <c r="C14406" s="15" t="s">
        <v>21606</v>
      </c>
      <c r="D14406" s="15" t="s">
        <v>21620</v>
      </c>
      <c r="E14406" s="2">
        <v>2264736</v>
      </c>
      <c r="F14406" s="4" t="str">
        <f>IF(B14406=B14405,"",B14406)</f>
        <v/>
      </c>
    </row>
    <row r="14407" spans="1:6" ht="15.75" customHeight="1">
      <c r="A14407" s="8" t="str">
        <f ca="1">IFERROR(__xludf.DUMMYFUNCTION("GOOGLETRANSLATE(B24718,""en"",""pt"")"),"Piedade")</f>
        <v>Piedade</v>
      </c>
      <c r="B14407" s="11" t="s">
        <v>3090</v>
      </c>
      <c r="C14407" s="11" t="s">
        <v>1905</v>
      </c>
      <c r="D14407" s="11" t="s">
        <v>3354</v>
      </c>
      <c r="E14407" s="10">
        <v>3453926</v>
      </c>
      <c r="F14407" s="4" t="str">
        <f>IF(B14407=B14406,"",B14407)</f>
        <v/>
      </c>
    </row>
    <row r="14408" spans="1:6" ht="15.75" customHeight="1">
      <c r="A14408" s="8" t="str">
        <f ca="1">IFERROR(__xludf.DUMMYFUNCTION("GOOGLETRANSLATE(B39586,""en"",""pt"")"),"Piedade")</f>
        <v>Piedade</v>
      </c>
      <c r="B14408" s="9" t="s">
        <v>3090</v>
      </c>
      <c r="C14408" s="9" t="s">
        <v>21606</v>
      </c>
      <c r="D14408" s="9" t="s">
        <v>35287</v>
      </c>
      <c r="E14408" s="10">
        <v>2264736</v>
      </c>
      <c r="F14408" s="4" t="str">
        <f>IF(B14408=B14407,"",B14408)</f>
        <v/>
      </c>
    </row>
    <row r="14409" spans="1:6" ht="15.75" customHeight="1">
      <c r="A14409" s="16" t="s">
        <v>23751</v>
      </c>
      <c r="B14409" s="15" t="s">
        <v>23752</v>
      </c>
      <c r="C14409" s="16" t="s">
        <v>23694</v>
      </c>
      <c r="D14409" s="16" t="s">
        <v>23718</v>
      </c>
      <c r="E14409" s="2">
        <v>3058202</v>
      </c>
      <c r="F14409" s="4" t="str">
        <f>IF(B14409=B14408,"",B14409)</f>
        <v>PieÅ¡Å¥any</v>
      </c>
    </row>
    <row r="14410" spans="1:6" ht="15.75" customHeight="1">
      <c r="A14410" s="16" t="s">
        <v>27111</v>
      </c>
      <c r="B14410" s="15" t="s">
        <v>27111</v>
      </c>
      <c r="C14410" s="16" t="s">
        <v>26870</v>
      </c>
      <c r="D14410" s="16" t="s">
        <v>26878</v>
      </c>
      <c r="E14410" s="2">
        <v>696943</v>
      </c>
      <c r="F14410" s="4" t="str">
        <f>IF(B14410=B14409,"",B14410)</f>
        <v>Pidhorodne</v>
      </c>
    </row>
    <row r="14411" spans="1:6" ht="15.75" customHeight="1">
      <c r="A14411" s="8" t="str">
        <f ca="1">IFERROR(__xludf.DUMMYFUNCTION("GOOGLETRANSLATE(B42549,""en"",""pt"")"),"Pidhorodne")</f>
        <v>Pidhorodne</v>
      </c>
      <c r="B14411" s="11" t="s">
        <v>27111</v>
      </c>
      <c r="C14411" s="11" t="s">
        <v>26870</v>
      </c>
      <c r="D14411" s="11" t="s">
        <v>26878</v>
      </c>
      <c r="E14411" s="10">
        <v>696943</v>
      </c>
      <c r="F14411" s="4" t="str">
        <f>IF(B14411=B14410,"",B14411)</f>
        <v/>
      </c>
    </row>
    <row r="14412" spans="1:6" ht="15.75" customHeight="1">
      <c r="A14412" s="15" t="s">
        <v>20558</v>
      </c>
      <c r="B14412" s="15" t="s">
        <v>20558</v>
      </c>
      <c r="C14412" s="15" t="s">
        <v>20470</v>
      </c>
      <c r="D14412" s="15" t="s">
        <v>20495</v>
      </c>
      <c r="E14412" s="2">
        <v>3693645</v>
      </c>
      <c r="F14412" s="4" t="str">
        <f>IF(B14412=B14411,"",B14412)</f>
        <v>Picsi</v>
      </c>
    </row>
    <row r="14413" spans="1:6" ht="15.75" customHeight="1">
      <c r="A14413" s="8" t="str">
        <f ca="1">IFERROR(__xludf.DUMMYFUNCTION("GOOGLETRANSLATE(B38320,""en"",""pt"")"),"Picsi")</f>
        <v>Picsi</v>
      </c>
      <c r="B14413" s="9" t="s">
        <v>20558</v>
      </c>
      <c r="C14413" s="9" t="s">
        <v>20470</v>
      </c>
      <c r="D14413" s="9" t="s">
        <v>20495</v>
      </c>
      <c r="E14413" s="10">
        <v>3693645</v>
      </c>
      <c r="F14413" s="4" t="str">
        <f>IF(B14413=B14412,"",B14413)</f>
        <v/>
      </c>
    </row>
    <row r="14414" spans="1:6" ht="15.75" customHeight="1">
      <c r="A14414" s="15" t="s">
        <v>3089</v>
      </c>
      <c r="B14414" s="15" t="s">
        <v>3089</v>
      </c>
      <c r="C14414" s="15" t="s">
        <v>1905</v>
      </c>
      <c r="D14414" s="15" t="s">
        <v>1960</v>
      </c>
      <c r="E14414" s="2">
        <v>3392167</v>
      </c>
      <c r="F14414" s="4" t="str">
        <f>IF(B14414=B14413,"",B14414)</f>
        <v>Picos</v>
      </c>
    </row>
    <row r="14415" spans="1:6" ht="15.75" customHeight="1">
      <c r="A14415" s="8" t="str">
        <f ca="1">IFERROR(__xludf.DUMMYFUNCTION("GOOGLETRANSLATE(B24228,""en"",""pt"")"),"Picos")</f>
        <v>Picos</v>
      </c>
      <c r="B14415" s="11" t="s">
        <v>3089</v>
      </c>
      <c r="C14415" s="11" t="s">
        <v>1905</v>
      </c>
      <c r="D14415" s="11" t="s">
        <v>31349</v>
      </c>
      <c r="E14415" s="10">
        <v>3392167</v>
      </c>
      <c r="F14415" s="4" t="str">
        <f>IF(B14415=B14414,"",B14415)</f>
        <v/>
      </c>
    </row>
    <row r="14416" spans="1:6" ht="15.75" customHeight="1">
      <c r="A14416" s="16" t="s">
        <v>29675</v>
      </c>
      <c r="B14416" s="15" t="s">
        <v>29675</v>
      </c>
      <c r="C14416" s="16" t="s">
        <v>27788</v>
      </c>
      <c r="D14416" s="16" t="s">
        <v>27801</v>
      </c>
      <c r="E14416" s="2">
        <v>5382496</v>
      </c>
      <c r="F14416" s="4" t="str">
        <f>IF(B14416=B14415,"",B14416)</f>
        <v>Pico Rivera</v>
      </c>
    </row>
    <row r="14417" spans="1:6" ht="15.75" customHeight="1">
      <c r="A14417" s="8" t="str">
        <f ca="1">IFERROR(__xludf.DUMMYFUNCTION("GOOGLETRANSLATE(B44960,""en"",""pt"")"),"Pico Rivera")</f>
        <v>Pico Rivera</v>
      </c>
      <c r="B14417" s="11" t="s">
        <v>29675</v>
      </c>
      <c r="C14417" s="11" t="s">
        <v>27788</v>
      </c>
      <c r="D14417" s="11" t="s">
        <v>27801</v>
      </c>
      <c r="E14417" s="10">
        <v>5382496</v>
      </c>
      <c r="F14417" s="4" t="str">
        <f>IF(B14417=B14416,"",B14417)</f>
        <v/>
      </c>
    </row>
    <row r="14418" spans="1:6" ht="15.75" customHeight="1">
      <c r="A14418" s="16" t="s">
        <v>29674</v>
      </c>
      <c r="B14418" s="15" t="s">
        <v>29674</v>
      </c>
      <c r="C14418" s="16" t="s">
        <v>27788</v>
      </c>
      <c r="D14418" s="16" t="s">
        <v>27813</v>
      </c>
      <c r="E14418" s="2">
        <v>4521209</v>
      </c>
      <c r="F14418" s="4" t="str">
        <f>IF(B14418=B14417,"",B14418)</f>
        <v>Pickerington</v>
      </c>
    </row>
    <row r="14419" spans="1:6" ht="15.75" customHeight="1">
      <c r="A14419" s="8" t="str">
        <f ca="1">IFERROR(__xludf.DUMMYFUNCTION("GOOGLETRANSLATE(B43524,""en"",""pt"")"),"Pickerington")</f>
        <v>Pickerington</v>
      </c>
      <c r="B14419" s="11" t="s">
        <v>29674</v>
      </c>
      <c r="C14419" s="11" t="s">
        <v>27788</v>
      </c>
      <c r="D14419" s="11" t="s">
        <v>27813</v>
      </c>
      <c r="E14419" s="10">
        <v>4521209</v>
      </c>
      <c r="F14419" s="4" t="str">
        <f>IF(B14419=B14418,"",B14419)</f>
        <v/>
      </c>
    </row>
    <row r="14420" spans="1:6" ht="15.75" customHeight="1">
      <c r="A14420" s="15" t="s">
        <v>4141</v>
      </c>
      <c r="B14420" s="15" t="s">
        <v>4141</v>
      </c>
      <c r="C14420" s="15" t="s">
        <v>3975</v>
      </c>
      <c r="D14420" s="15" t="s">
        <v>3980</v>
      </c>
      <c r="E14420" s="2">
        <v>6104111</v>
      </c>
      <c r="F14420" s="4" t="str">
        <f>IF(B14420=B14419,"",B14420)</f>
        <v>Pickering</v>
      </c>
    </row>
    <row r="14421" spans="1:6" ht="15.75" customHeight="1">
      <c r="A14421" s="8" t="str">
        <f ca="1">IFERROR(__xludf.DUMMYFUNCTION("GOOGLETRANSLATE(B25545,""en"",""pt"")"),"Pickering")</f>
        <v>Pickering</v>
      </c>
      <c r="B14421" s="11" t="s">
        <v>4141</v>
      </c>
      <c r="C14421" s="11" t="s">
        <v>3975</v>
      </c>
      <c r="D14421" s="11" t="s">
        <v>3980</v>
      </c>
      <c r="E14421" s="10">
        <v>6104111</v>
      </c>
      <c r="F14421" s="4" t="str">
        <f>IF(B14421=B14420,"",B14421)</f>
        <v/>
      </c>
    </row>
    <row r="14422" spans="1:6" ht="15.75" customHeight="1">
      <c r="A14422" s="15" t="s">
        <v>24688</v>
      </c>
      <c r="B14422" s="15" t="s">
        <v>24689</v>
      </c>
      <c r="C14422" s="15" t="s">
        <v>24200</v>
      </c>
      <c r="D14422" s="15" t="s">
        <v>21053</v>
      </c>
      <c r="E14422" s="2">
        <v>2512620</v>
      </c>
      <c r="F14422" s="4" t="str">
        <f>IF(B14422=B14421,"",B14422)</f>
        <v>Picassent</v>
      </c>
    </row>
    <row r="14423" spans="1:6" ht="15.75" customHeight="1">
      <c r="A14423" s="8" t="str">
        <f ca="1">IFERROR(__xludf.DUMMYFUNCTION("GOOGLETRANSLATE(B29027,""en"",""pt"")"),"PicaSente")</f>
        <v>PicaSente</v>
      </c>
      <c r="B14423" s="11" t="s">
        <v>24689</v>
      </c>
      <c r="C14423" s="11" t="s">
        <v>24200</v>
      </c>
      <c r="D14423" s="11" t="s">
        <v>21053</v>
      </c>
      <c r="E14423" s="10">
        <v>2512620</v>
      </c>
      <c r="F14423" s="4" t="str">
        <f>IF(B14423=B14422,"",B14423)</f>
        <v/>
      </c>
    </row>
    <row r="14424" spans="1:6" ht="15.75" customHeight="1">
      <c r="A14424" s="16" t="s">
        <v>15363</v>
      </c>
      <c r="B14424" s="15" t="s">
        <v>15364</v>
      </c>
      <c r="C14424" s="16" t="s">
        <v>14891</v>
      </c>
      <c r="D14424" s="16" t="s">
        <v>14899</v>
      </c>
      <c r="E14424" s="2">
        <v>2523796</v>
      </c>
      <c r="F14424" s="4" t="str">
        <f>IF(B14424=B14423,"",B14424)</f>
        <v>Piazza Armerina</v>
      </c>
    </row>
    <row r="14425" spans="1:6" ht="15.75" customHeight="1">
      <c r="A14425" s="8" t="str">
        <f ca="1">IFERROR(__xludf.DUMMYFUNCTION("GOOGLETRANSLATE(B34564,""en"",""pt"")"),"Piazza Armserina")</f>
        <v>Piazza Armserina</v>
      </c>
      <c r="B14425" s="11" t="s">
        <v>15364</v>
      </c>
      <c r="C14425" s="11" t="s">
        <v>14891</v>
      </c>
      <c r="D14425" s="11" t="s">
        <v>14899</v>
      </c>
      <c r="E14425" s="10">
        <v>2523796</v>
      </c>
      <c r="F14425" s="4" t="str">
        <f>IF(B14425=B14424,"",B14425)</f>
        <v/>
      </c>
    </row>
    <row r="14426" spans="1:6" ht="15.75" customHeight="1">
      <c r="A14426" s="16" t="s">
        <v>27109</v>
      </c>
      <c r="B14426" s="15" t="s">
        <v>27110</v>
      </c>
      <c r="C14426" s="16" t="s">
        <v>26870</v>
      </c>
      <c r="D14426" s="16" t="s">
        <v>26878</v>
      </c>
      <c r="E14426" s="2">
        <v>695965</v>
      </c>
      <c r="F14426" s="4" t="str">
        <f>IF(B14426=B14425,"",B14426)</f>
        <v>Piatykhatky</v>
      </c>
    </row>
    <row r="14427" spans="1:6" ht="15.75" customHeight="1">
      <c r="A14427" s="8" t="str">
        <f ca="1">IFERROR(__xludf.DUMMYFUNCTION("GOOGLETRANSLATE(B42542,""en"",""pt"")"),"PiTykhatky")</f>
        <v>PiTykhatky</v>
      </c>
      <c r="B14427" s="11" t="s">
        <v>27110</v>
      </c>
      <c r="C14427" s="11" t="s">
        <v>26870</v>
      </c>
      <c r="D14427" s="11" t="s">
        <v>26878</v>
      </c>
      <c r="E14427" s="10">
        <v>695965</v>
      </c>
      <c r="F14427" s="4" t="str">
        <f>IF(B14427=B14426,"",B14427)</f>
        <v/>
      </c>
    </row>
    <row r="14428" spans="1:6" ht="15.75" customHeight="1">
      <c r="A14428" s="8" t="str">
        <f ca="1">IFERROR(__xludf.DUMMYFUNCTION("GOOGLETRANSLATE(B39763,""en"",""pt"")"),"Piatra neamţ")</f>
        <v>Piatra neamţ</v>
      </c>
      <c r="B14428" s="9" t="s">
        <v>35367</v>
      </c>
      <c r="C14428" s="9" t="s">
        <v>21824</v>
      </c>
      <c r="D14428" s="9" t="s">
        <v>35341</v>
      </c>
      <c r="E14428" s="10">
        <v>670889</v>
      </c>
      <c r="F14428" s="4" t="str">
        <f>IF(B14428=B14427,"",B14428)</f>
        <v>Piatra Neamţ</v>
      </c>
    </row>
    <row r="14429" spans="1:6" ht="15.75" customHeight="1">
      <c r="A14429" s="16" t="s">
        <v>21986</v>
      </c>
      <c r="B14429" s="15" t="s">
        <v>21987</v>
      </c>
      <c r="C14429" s="16" t="s">
        <v>21824</v>
      </c>
      <c r="D14429" s="16" t="s">
        <v>21988</v>
      </c>
      <c r="E14429" s="2">
        <v>670889</v>
      </c>
      <c r="F14429" s="4" t="str">
        <f>IF(B14429=B14428,"",B14429)</f>
        <v>Piatra NeamÅ£</v>
      </c>
    </row>
    <row r="14430" spans="1:6" ht="15.75" customHeight="1">
      <c r="A14430" s="8" t="str">
        <f ca="1">IFERROR(__xludf.DUMMYFUNCTION("GOOGLETRANSLATE(B39227,""en"",""pt"")"),"Piastów")</f>
        <v>Piastów</v>
      </c>
      <c r="B14430" s="11" t="s">
        <v>35092</v>
      </c>
      <c r="C14430" s="11" t="s">
        <v>21064</v>
      </c>
      <c r="D14430" s="11" t="s">
        <v>21070</v>
      </c>
      <c r="E14430" s="10">
        <v>762381</v>
      </c>
      <c r="F14430" s="4" t="str">
        <f>IF(B14430=B14429,"",B14430)</f>
        <v>Piastów</v>
      </c>
    </row>
    <row r="14431" spans="1:6" ht="15.75" customHeight="1">
      <c r="A14431" s="15" t="s">
        <v>21421</v>
      </c>
      <c r="B14431" s="15" t="s">
        <v>21422</v>
      </c>
      <c r="C14431" s="15" t="s">
        <v>21064</v>
      </c>
      <c r="D14431" s="15" t="s">
        <v>21070</v>
      </c>
      <c r="E14431" s="2">
        <v>762381</v>
      </c>
      <c r="F14431" s="4" t="str">
        <f>IF(B14431=B14430,"",B14431)</f>
        <v>PiastÃ³w</v>
      </c>
    </row>
    <row r="14432" spans="1:6" ht="15.75" customHeight="1">
      <c r="A14432" s="15" t="s">
        <v>21420</v>
      </c>
      <c r="B14432" s="15" t="s">
        <v>21420</v>
      </c>
      <c r="C14432" s="15" t="s">
        <v>21064</v>
      </c>
      <c r="D14432" s="15" t="s">
        <v>21070</v>
      </c>
      <c r="E14432" s="2">
        <v>762423</v>
      </c>
      <c r="F14432" s="4" t="str">
        <f>IF(B14432=B14431,"",B14432)</f>
        <v>Piaseczno</v>
      </c>
    </row>
    <row r="14433" spans="1:6" ht="15.75" customHeight="1">
      <c r="A14433" s="8" t="str">
        <f ca="1">IFERROR(__xludf.DUMMYFUNCTION("GOOGLETRANSLATE(B39228,""en"",""pt"")"),"Piaseczno")</f>
        <v>Piaseczno</v>
      </c>
      <c r="B14433" s="9" t="s">
        <v>21420</v>
      </c>
      <c r="C14433" s="9" t="s">
        <v>21064</v>
      </c>
      <c r="D14433" s="9" t="s">
        <v>21070</v>
      </c>
      <c r="E14433" s="10">
        <v>762423</v>
      </c>
      <c r="F14433" s="4" t="str">
        <f>IF(B14433=B14432,"",B14433)</f>
        <v/>
      </c>
    </row>
    <row r="14434" spans="1:6" ht="15.75" customHeight="1">
      <c r="A14434" s="15" t="s">
        <v>3087</v>
      </c>
      <c r="B14434" s="15" t="s">
        <v>3088</v>
      </c>
      <c r="C14434" s="15" t="s">
        <v>1905</v>
      </c>
      <c r="D14434" s="15" t="s">
        <v>1949</v>
      </c>
      <c r="E14434" s="2">
        <v>3453435</v>
      </c>
      <c r="F14434" s="4" t="str">
        <f>IF(B14434=B14433,"",B14434)</f>
        <v>PiÃºma</v>
      </c>
    </row>
    <row r="14435" spans="1:6" ht="15.75" customHeight="1">
      <c r="A14435" s="15" t="s">
        <v>15362</v>
      </c>
      <c r="B14435" s="15" t="s">
        <v>15362</v>
      </c>
      <c r="C14435" s="15" t="s">
        <v>14891</v>
      </c>
      <c r="D14435" s="15" t="s">
        <v>14973</v>
      </c>
      <c r="E14435" s="2">
        <v>3171058</v>
      </c>
      <c r="F14435" s="4" t="str">
        <f>IF(B14435=B14434,"",B14435)</f>
        <v>Piacenza</v>
      </c>
    </row>
    <row r="14436" spans="1:6" ht="15.75" customHeight="1">
      <c r="A14436" s="8" t="str">
        <f ca="1">IFERROR(__xludf.DUMMYFUNCTION("GOOGLETRANSLATE(B34775,""en"",""pt"")"),"Piacenza")</f>
        <v>Piacenza</v>
      </c>
      <c r="B14436" s="11" t="s">
        <v>15362</v>
      </c>
      <c r="C14436" s="11" t="s">
        <v>14891</v>
      </c>
      <c r="D14436" s="11" t="s">
        <v>14973</v>
      </c>
      <c r="E14436" s="10">
        <v>3171058</v>
      </c>
      <c r="F14436" s="4" t="str">
        <f>IF(B14436=B14435,"",B14436)</f>
        <v/>
      </c>
    </row>
    <row r="14437" spans="1:6" ht="15.75" customHeight="1">
      <c r="A14437" s="15" t="s">
        <v>6458</v>
      </c>
      <c r="B14437" s="15" t="s">
        <v>6459</v>
      </c>
      <c r="C14437" s="15" t="s">
        <v>6398</v>
      </c>
      <c r="D14437" s="15" t="s">
        <v>6432</v>
      </c>
      <c r="E14437" s="2">
        <v>3653130</v>
      </c>
      <c r="F14437" s="4" t="str">
        <f>IF(B14437=B14436,"",B14437)</f>
        <v>PiÃ±as</v>
      </c>
    </row>
    <row r="14438" spans="1:6" ht="15.75" customHeight="1">
      <c r="A14438" s="15" t="s">
        <v>21418</v>
      </c>
      <c r="B14438" s="15" t="s">
        <v>21419</v>
      </c>
      <c r="C14438" s="15" t="s">
        <v>21064</v>
      </c>
      <c r="D14438" s="15" t="s">
        <v>21112</v>
      </c>
      <c r="E14438" s="2">
        <v>3089033</v>
      </c>
      <c r="F14438" s="4" t="str">
        <f>IF(B14438=B14437,"",B14438)</f>
        <v>PiÅ‚a</v>
      </c>
    </row>
    <row r="14439" spans="1:6" ht="15.75" customHeight="1">
      <c r="A14439" s="16" t="s">
        <v>23952</v>
      </c>
      <c r="B14439" s="15" t="s">
        <v>23952</v>
      </c>
      <c r="C14439" s="16" t="s">
        <v>23842</v>
      </c>
      <c r="D14439" s="16" t="s">
        <v>23845</v>
      </c>
      <c r="E14439" s="2">
        <v>965401</v>
      </c>
      <c r="F14439" s="4" t="str">
        <f>IF(B14439=B14438,"",B14439)</f>
        <v>Phuthaditjhaba</v>
      </c>
    </row>
    <row r="14440" spans="1:6" ht="15.75" customHeight="1">
      <c r="A14440" s="8" t="str">
        <f ca="1">IFERROR(__xludf.DUMMYFUNCTION("GOOGLETRANSLATE(B45899,""en"",""pt"")"),"Phuthaditjhaba")</f>
        <v>Phuthaditjhaba</v>
      </c>
      <c r="B14440" s="11" t="s">
        <v>23952</v>
      </c>
      <c r="C14440" s="11" t="s">
        <v>23842</v>
      </c>
      <c r="D14440" s="11" t="s">
        <v>23845</v>
      </c>
      <c r="E14440" s="10">
        <v>965401</v>
      </c>
      <c r="F14440" s="4" t="str">
        <f>IF(B14440=B14439,"",B14440)</f>
        <v/>
      </c>
    </row>
    <row r="14441" spans="1:6" ht="15.75" customHeight="1">
      <c r="A14441" s="16" t="s">
        <v>1796</v>
      </c>
      <c r="B14441" s="15" t="s">
        <v>1796</v>
      </c>
      <c r="C14441" s="16" t="s">
        <v>1797</v>
      </c>
      <c r="D14441" s="16" t="s">
        <v>1798</v>
      </c>
      <c r="E14441" s="2">
        <v>1252484</v>
      </c>
      <c r="F14441" s="4" t="str">
        <f>IF(B14441=B14440,"",B14441)</f>
        <v>Phuntsholing</v>
      </c>
    </row>
    <row r="14442" spans="1:6" ht="15.75" customHeight="1">
      <c r="A14442" s="8" t="str">
        <f ca="1">IFERROR(__xludf.DUMMYFUNCTION("GOOGLETRANSLATE(B25348,""en"",""pt"")"),"Phuntsholing")</f>
        <v>Phuntsholing</v>
      </c>
      <c r="B14442" s="11" t="s">
        <v>1796</v>
      </c>
      <c r="C14442" s="11" t="s">
        <v>1797</v>
      </c>
      <c r="D14442" s="11" t="s">
        <v>1798</v>
      </c>
      <c r="E14442" s="10">
        <v>1252484</v>
      </c>
      <c r="F14442" s="4" t="str">
        <f>IF(B14442=B14441,"",B14442)</f>
        <v/>
      </c>
    </row>
    <row r="14443" spans="1:6" ht="15.75" customHeight="1">
      <c r="A14443" s="15" t="s">
        <v>25972</v>
      </c>
      <c r="B14443" s="15" t="s">
        <v>25972</v>
      </c>
      <c r="C14443" s="15" t="s">
        <v>25771</v>
      </c>
      <c r="D14443" s="15" t="s">
        <v>25802</v>
      </c>
      <c r="E14443" s="2">
        <v>1151211</v>
      </c>
      <c r="F14443" s="4" t="str">
        <f>IF(B14443=B14442,"",B14443)</f>
        <v>Phunphin</v>
      </c>
    </row>
    <row r="14444" spans="1:6" ht="15.75" customHeight="1">
      <c r="A14444" s="8" t="str">
        <f ca="1">IFERROR(__xludf.DUMMYFUNCTION("GOOGLETRANSLATE(B41533,""en"",""pt"")"),"Phunphin")</f>
        <v>Phunphin</v>
      </c>
      <c r="B14444" s="11" t="s">
        <v>25972</v>
      </c>
      <c r="C14444" s="11" t="s">
        <v>25771</v>
      </c>
      <c r="D14444" s="11" t="s">
        <v>25802</v>
      </c>
      <c r="E14444" s="10">
        <v>1151211</v>
      </c>
      <c r="F14444" s="4" t="str">
        <f>IF(B14444=B14443,"",B14444)</f>
        <v/>
      </c>
    </row>
    <row r="14445" spans="1:6" ht="15.75" customHeight="1">
      <c r="A14445" s="8" t="str">
        <f ca="1">IFERROR(__xludf.DUMMYFUNCTION("GOOGLETRANSLATE(B35968,""en"",""pt"")"),"Phumĭ Véal Srê")</f>
        <v>Phumĭ Véal Srê</v>
      </c>
      <c r="B14445" s="9" t="s">
        <v>34425</v>
      </c>
      <c r="C14445" s="9" t="s">
        <v>3838</v>
      </c>
      <c r="D14445" s="9" t="s">
        <v>3859</v>
      </c>
      <c r="E14445" s="10">
        <v>1822906</v>
      </c>
      <c r="F14445" s="4" t="str">
        <f>IF(B14445=B14444,"",B14445)</f>
        <v>Phumĭ Véal Srê</v>
      </c>
    </row>
    <row r="14446" spans="1:6" ht="15.75" customHeight="1">
      <c r="A14446" s="16" t="s">
        <v>3857</v>
      </c>
      <c r="B14446" s="15" t="s">
        <v>3858</v>
      </c>
      <c r="C14446" s="16" t="s">
        <v>3838</v>
      </c>
      <c r="D14446" s="16" t="s">
        <v>3859</v>
      </c>
      <c r="E14446" s="2">
        <v>1822906</v>
      </c>
      <c r="F14446" s="4" t="str">
        <f>IF(B14446=B14445,"",B14446)</f>
        <v>PhumÄ­ VÃ©al SrÃª</v>
      </c>
    </row>
    <row r="14447" spans="1:6" ht="15.75" customHeight="1">
      <c r="A14447" s="15" t="s">
        <v>1412</v>
      </c>
      <c r="B14447" s="15" t="s">
        <v>1412</v>
      </c>
      <c r="C14447" s="15" t="s">
        <v>1296</v>
      </c>
      <c r="D14447" s="15" t="s">
        <v>1315</v>
      </c>
      <c r="E14447" s="2">
        <v>1191139</v>
      </c>
      <c r="F14447" s="4" t="str">
        <f>IF(B14447=B14446,"",B14447)</f>
        <v>Phultala</v>
      </c>
    </row>
    <row r="14448" spans="1:6" ht="15.75" customHeight="1">
      <c r="A14448" s="8" t="str">
        <f ca="1">IFERROR(__xludf.DUMMYFUNCTION("GOOGLETRANSLATE(B23757,""en"",""pt"")"),"Phultala")</f>
        <v>Phultala</v>
      </c>
      <c r="B14448" s="11" t="s">
        <v>1412</v>
      </c>
      <c r="C14448" s="11" t="s">
        <v>1296</v>
      </c>
      <c r="D14448" s="11" t="s">
        <v>1315</v>
      </c>
      <c r="E14448" s="10">
        <v>1191139</v>
      </c>
      <c r="F14448" s="4" t="str">
        <f>IF(B14448=B14447,"",B14448)</f>
        <v/>
      </c>
    </row>
    <row r="14449" spans="1:6" ht="15.75" customHeight="1">
      <c r="A14449" s="15" t="s">
        <v>12882</v>
      </c>
      <c r="B14449" s="15" t="s">
        <v>12882</v>
      </c>
      <c r="C14449" s="15" t="s">
        <v>10178</v>
      </c>
      <c r="D14449" s="15" t="s">
        <v>10193</v>
      </c>
      <c r="E14449" s="2">
        <v>1259735</v>
      </c>
      <c r="F14449" s="4" t="str">
        <f>IF(B14449=B14448,"",B14449)</f>
        <v>Phulpur</v>
      </c>
    </row>
    <row r="14450" spans="1:6" ht="15.75" customHeight="1">
      <c r="A14450" s="8" t="str">
        <f ca="1">IFERROR(__xludf.DUMMYFUNCTION("GOOGLETRANSLATE(B32465,""en"",""pt"")"),"Phulpur")</f>
        <v>Phulpur</v>
      </c>
      <c r="B14450" s="11" t="s">
        <v>12882</v>
      </c>
      <c r="C14450" s="11" t="s">
        <v>10178</v>
      </c>
      <c r="D14450" s="11" t="s">
        <v>10193</v>
      </c>
      <c r="E14450" s="10">
        <v>1259735</v>
      </c>
      <c r="F14450" s="4" t="str">
        <f>IF(B14450=B14449,"",B14450)</f>
        <v/>
      </c>
    </row>
    <row r="14451" spans="1:6" ht="15.75" customHeight="1">
      <c r="A14451" s="15" t="s">
        <v>12881</v>
      </c>
      <c r="B14451" s="15" t="s">
        <v>12881</v>
      </c>
      <c r="C14451" s="15" t="s">
        <v>10178</v>
      </c>
      <c r="D14451" s="15" t="s">
        <v>10179</v>
      </c>
      <c r="E14451" s="2">
        <v>1259744</v>
      </c>
      <c r="F14451" s="4" t="str">
        <f>IF(B14451=B14450,"",B14451)</f>
        <v>Phulera</v>
      </c>
    </row>
    <row r="14452" spans="1:6" ht="15.75" customHeight="1">
      <c r="A14452" s="8" t="str">
        <f ca="1">IFERROR(__xludf.DUMMYFUNCTION("GOOGLETRANSLATE(B32466,""en"",""pt"")"),"Phulera")</f>
        <v>Phulera</v>
      </c>
      <c r="B14452" s="11" t="s">
        <v>12881</v>
      </c>
      <c r="C14452" s="11" t="s">
        <v>10178</v>
      </c>
      <c r="D14452" s="11" t="s">
        <v>10179</v>
      </c>
      <c r="E14452" s="10">
        <v>1259744</v>
      </c>
      <c r="F14452" s="4" t="str">
        <f>IF(B14452=B14451,"",B14452)</f>
        <v/>
      </c>
    </row>
    <row r="14453" spans="1:6" ht="15.75" customHeight="1">
      <c r="A14453" s="8" t="str">
        <f ca="1">IFERROR(__xludf.DUMMYFUNCTION("GOOGLETRANSLATE(B32467,""en"",""pt"")"),"Phulabāni")</f>
        <v>Phulabāni</v>
      </c>
      <c r="B14453" s="9" t="s">
        <v>33231</v>
      </c>
      <c r="C14453" s="9" t="s">
        <v>10178</v>
      </c>
      <c r="D14453" s="9" t="s">
        <v>10229</v>
      </c>
      <c r="E14453" s="10">
        <v>1259756</v>
      </c>
      <c r="F14453" s="4" t="str">
        <f>IF(B14453=B14452,"",B14453)</f>
        <v>Phulabāni</v>
      </c>
    </row>
    <row r="14454" spans="1:6" ht="15.75" customHeight="1">
      <c r="A14454" s="16" t="s">
        <v>12879</v>
      </c>
      <c r="B14454" s="15" t="s">
        <v>12880</v>
      </c>
      <c r="C14454" s="16" t="s">
        <v>10178</v>
      </c>
      <c r="D14454" s="16" t="s">
        <v>10229</v>
      </c>
      <c r="E14454" s="2">
        <v>1259756</v>
      </c>
      <c r="F14454" s="4" t="str">
        <f>IF(B14454=B14453,"",B14454)</f>
        <v>PhulabÄni</v>
      </c>
    </row>
    <row r="14455" spans="1:6" ht="15.75" customHeight="1">
      <c r="A14455" s="15" t="s">
        <v>25782</v>
      </c>
      <c r="B14455" s="15" t="s">
        <v>25782</v>
      </c>
      <c r="C14455" s="15" t="s">
        <v>25771</v>
      </c>
      <c r="D14455" s="15" t="s">
        <v>25782</v>
      </c>
      <c r="E14455" s="2">
        <v>1151254</v>
      </c>
      <c r="F14455" s="4" t="str">
        <f>IF(B14455=B14454,"",B14455)</f>
        <v>Phuket</v>
      </c>
    </row>
    <row r="14456" spans="1:6" ht="15.75" customHeight="1">
      <c r="A14456" s="8" t="str">
        <f ca="1">IFERROR(__xludf.DUMMYFUNCTION("GOOGLETRANSLATE(B41534,""en"",""pt"")"),"Phuket")</f>
        <v>Phuket</v>
      </c>
      <c r="B14456" s="11" t="s">
        <v>25782</v>
      </c>
      <c r="C14456" s="11" t="s">
        <v>25771</v>
      </c>
      <c r="D14456" s="11" t="s">
        <v>25782</v>
      </c>
      <c r="E14456" s="10">
        <v>1151254</v>
      </c>
      <c r="F14456" s="4" t="str">
        <f>IF(B14456=B14455,"",B14456)</f>
        <v/>
      </c>
    </row>
    <row r="14457" spans="1:6" ht="15.75" customHeight="1">
      <c r="A14457" s="16" t="s">
        <v>25971</v>
      </c>
      <c r="B14457" s="15" t="s">
        <v>25971</v>
      </c>
      <c r="C14457" s="16" t="s">
        <v>25771</v>
      </c>
      <c r="D14457" s="16" t="s">
        <v>25922</v>
      </c>
      <c r="E14457" s="2">
        <v>1607435</v>
      </c>
      <c r="F14457" s="4" t="str">
        <f>IF(B14457=B14456,"",B14457)</f>
        <v>Phu Kradueng</v>
      </c>
    </row>
    <row r="14458" spans="1:6" ht="15.75" customHeight="1">
      <c r="A14458" s="8" t="str">
        <f ca="1">IFERROR(__xludf.DUMMYFUNCTION("GOOGLETRANSLATE(B41624,""en"",""pt"")"),"Phu Kradueng")</f>
        <v>Phu Kradueng</v>
      </c>
      <c r="B14458" s="11" t="s">
        <v>25971</v>
      </c>
      <c r="C14458" s="11" t="s">
        <v>25771</v>
      </c>
      <c r="D14458" s="11" t="s">
        <v>25922</v>
      </c>
      <c r="E14458" s="10">
        <v>1607435</v>
      </c>
      <c r="F14458" s="4" t="str">
        <f>IF(B14458=B14457,"",B14458)</f>
        <v/>
      </c>
    </row>
    <row r="14459" spans="1:6" ht="15.75" customHeight="1">
      <c r="A14459" s="8" t="str">
        <f ca="1">IFERROR(__xludf.DUMMYFUNCTION("GOOGLETRANSLATE(B45740,""en"",""pt"")"),"Phú khương")</f>
        <v>Phú khương</v>
      </c>
      <c r="B14459" s="9" t="s">
        <v>36146</v>
      </c>
      <c r="C14459" s="9" t="s">
        <v>30784</v>
      </c>
      <c r="D14459" s="9" t="s">
        <v>36128</v>
      </c>
      <c r="E14459" s="10">
        <v>1570549</v>
      </c>
      <c r="F14459" s="4" t="str">
        <f>IF(B14459=B14458,"",B14459)</f>
        <v>Phú Khương</v>
      </c>
    </row>
    <row r="14460" spans="1:6" ht="15.75" customHeight="1">
      <c r="A14460" s="16" t="s">
        <v>25970</v>
      </c>
      <c r="B14460" s="15" t="s">
        <v>25970</v>
      </c>
      <c r="C14460" s="16" t="s">
        <v>25771</v>
      </c>
      <c r="D14460" s="16" t="s">
        <v>25859</v>
      </c>
      <c r="E14460" s="2">
        <v>1607439</v>
      </c>
      <c r="F14460" s="4" t="str">
        <f>IF(B14460=B14459,"",B14460)</f>
        <v>Phu Khiao</v>
      </c>
    </row>
    <row r="14461" spans="1:6" ht="15.75" customHeight="1">
      <c r="A14461" s="8" t="str">
        <f ca="1">IFERROR(__xludf.DUMMYFUNCTION("GOOGLETRANSLATE(B41625,""en"",""pt"")"),"Phu Khiao")</f>
        <v>Phu Khiao</v>
      </c>
      <c r="B14461" s="9" t="s">
        <v>25970</v>
      </c>
      <c r="C14461" s="9" t="s">
        <v>25771</v>
      </c>
      <c r="D14461" s="9" t="s">
        <v>25859</v>
      </c>
      <c r="E14461" s="10">
        <v>1607439</v>
      </c>
      <c r="F14461" s="4" t="str">
        <f>IF(B14461=B14460,"",B14461)</f>
        <v/>
      </c>
    </row>
    <row r="14462" spans="1:6" ht="15.75" customHeight="1">
      <c r="A14462" s="15" t="s">
        <v>25875</v>
      </c>
      <c r="B14462" s="15" t="s">
        <v>25875</v>
      </c>
      <c r="C14462" s="15" t="s">
        <v>25771</v>
      </c>
      <c r="D14462" s="15" t="s">
        <v>25875</v>
      </c>
      <c r="E14462" s="2">
        <v>1607552</v>
      </c>
      <c r="F14462" s="4" t="str">
        <f>IF(B14462=B14461,"",B14462)</f>
        <v>Phrae</v>
      </c>
    </row>
    <row r="14463" spans="1:6" ht="15.75" customHeight="1">
      <c r="A14463" s="8" t="str">
        <f ca="1">IFERROR(__xludf.DUMMYFUNCTION("GOOGLETRANSLATE(B41629,""en"",""pt"")"),"Phrae")</f>
        <v>Phrae</v>
      </c>
      <c r="B14463" s="9" t="s">
        <v>25875</v>
      </c>
      <c r="C14463" s="9" t="s">
        <v>25771</v>
      </c>
      <c r="D14463" s="9" t="s">
        <v>25875</v>
      </c>
      <c r="E14463" s="10">
        <v>1607552</v>
      </c>
      <c r="F14463" s="4" t="str">
        <f>IF(B14463=B14462,"",B14463)</f>
        <v/>
      </c>
    </row>
    <row r="14464" spans="1:6" ht="15.75" customHeight="1">
      <c r="A14464" s="16" t="s">
        <v>25969</v>
      </c>
      <c r="B14464" s="15" t="s">
        <v>25969</v>
      </c>
      <c r="C14464" s="16" t="s">
        <v>25771</v>
      </c>
      <c r="D14464" s="16" t="s">
        <v>25790</v>
      </c>
      <c r="E14464" s="2">
        <v>1607508</v>
      </c>
      <c r="F14464" s="4" t="str">
        <f>IF(B14464=B14463,"",B14464)</f>
        <v>Phra Pradaeng</v>
      </c>
    </row>
    <row r="14465" spans="1:6" ht="15.75" customHeight="1">
      <c r="A14465" s="8" t="str">
        <f ca="1">IFERROR(__xludf.DUMMYFUNCTION("GOOGLETRANSLATE(B41626,""en"",""pt"")"),"Phra Pradaeng")</f>
        <v>Phra Pradaeng</v>
      </c>
      <c r="B14465" s="11" t="s">
        <v>25969</v>
      </c>
      <c r="C14465" s="11" t="s">
        <v>25771</v>
      </c>
      <c r="D14465" s="11" t="s">
        <v>25790</v>
      </c>
      <c r="E14465" s="10">
        <v>1607508</v>
      </c>
      <c r="F14465" s="4" t="str">
        <f>IF(B14465=B14464,"",B14465)</f>
        <v/>
      </c>
    </row>
    <row r="14466" spans="1:6" ht="15.75" customHeight="1">
      <c r="A14466" s="16" t="s">
        <v>25968</v>
      </c>
      <c r="B14466" s="15" t="s">
        <v>25968</v>
      </c>
      <c r="C14466" s="16" t="s">
        <v>25771</v>
      </c>
      <c r="D14466" s="16" t="s">
        <v>25797</v>
      </c>
      <c r="E14466" s="2">
        <v>1607512</v>
      </c>
      <c r="F14466" s="4" t="str">
        <f>IF(B14466=B14465,"",B14466)</f>
        <v>Phra Phutthabat</v>
      </c>
    </row>
    <row r="14467" spans="1:6" ht="15.75" customHeight="1">
      <c r="A14467" s="8" t="str">
        <f ca="1">IFERROR(__xludf.DUMMYFUNCTION("GOOGLETRANSLATE(B41627,""en"",""pt"")"),"Phra Phutthabat")</f>
        <v>Phra Phutthabat</v>
      </c>
      <c r="B14467" s="9" t="s">
        <v>25968</v>
      </c>
      <c r="C14467" s="9" t="s">
        <v>25771</v>
      </c>
      <c r="D14467" s="9" t="s">
        <v>25797</v>
      </c>
      <c r="E14467" s="10">
        <v>1607512</v>
      </c>
      <c r="F14467" s="4" t="str">
        <f>IF(B14467=B14466,"",B14467)</f>
        <v/>
      </c>
    </row>
    <row r="14468" spans="1:6" ht="15.75" customHeight="1">
      <c r="A14468" s="16" t="s">
        <v>25778</v>
      </c>
      <c r="B14468" s="15" t="s">
        <v>25778</v>
      </c>
      <c r="C14468" s="16" t="s">
        <v>25771</v>
      </c>
      <c r="D14468" s="16" t="s">
        <v>25778</v>
      </c>
      <c r="E14468" s="2">
        <v>1607532</v>
      </c>
      <c r="F14468" s="4" t="str">
        <f>IF(B14468=B14467,"",B14468)</f>
        <v>Phra Nakhon Si Ayutthaya</v>
      </c>
    </row>
    <row r="14469" spans="1:6" ht="15.75" customHeight="1">
      <c r="A14469" s="8" t="str">
        <f ca="1">IFERROR(__xludf.DUMMYFUNCTION("GOOGLETRANSLATE(B41628,""en"",""pt"")"),"Phra Nakhon Si Ayutthaya")</f>
        <v>Phra Nakhon Si Ayutthaya</v>
      </c>
      <c r="B14469" s="9" t="s">
        <v>25778</v>
      </c>
      <c r="C14469" s="9" t="s">
        <v>25771</v>
      </c>
      <c r="D14469" s="9" t="s">
        <v>25778</v>
      </c>
      <c r="E14469" s="10">
        <v>1607532</v>
      </c>
      <c r="F14469" s="4" t="str">
        <f>IF(B14469=B14468,"",B14469)</f>
        <v/>
      </c>
    </row>
    <row r="14470" spans="1:6" ht="15.75" customHeight="1">
      <c r="A14470" s="15" t="s">
        <v>25966</v>
      </c>
      <c r="B14470" s="15" t="s">
        <v>25967</v>
      </c>
      <c r="C14470" s="15" t="s">
        <v>25771</v>
      </c>
      <c r="D14470" s="15" t="s">
        <v>25811</v>
      </c>
      <c r="E14470" s="2">
        <v>1151340</v>
      </c>
      <c r="F14470" s="4" t="str">
        <f>IF(B14470=B14469,"",B14470)</f>
        <v>Photharam</v>
      </c>
    </row>
    <row r="14471" spans="1:6" ht="15.75" customHeight="1">
      <c r="A14471" s="8" t="str">
        <f ca="1">IFERROR(__xludf.DUMMYFUNCTION("GOOGLETRANSLATE(B41535,""en"",""pt"")"),"Fotharam")</f>
        <v>Fotharam</v>
      </c>
      <c r="B14471" s="9" t="s">
        <v>25967</v>
      </c>
      <c r="C14471" s="9" t="s">
        <v>25771</v>
      </c>
      <c r="D14471" s="9" t="s">
        <v>25811</v>
      </c>
      <c r="E14471" s="10">
        <v>1151340</v>
      </c>
      <c r="F14471" s="4" t="str">
        <f>IF(B14471=B14470,"",B14471)</f>
        <v/>
      </c>
    </row>
    <row r="14472" spans="1:6" ht="15.75" customHeight="1">
      <c r="A14472" s="16" t="s">
        <v>16968</v>
      </c>
      <c r="B14472" s="15" t="s">
        <v>16968</v>
      </c>
      <c r="C14472" s="16" t="s">
        <v>16954</v>
      </c>
      <c r="D14472" s="16" t="s">
        <v>16962</v>
      </c>
      <c r="E14472" s="2">
        <v>1952156</v>
      </c>
      <c r="F14472" s="4" t="str">
        <f>IF(B14472=B14471,"",B14472)</f>
        <v>Phonsavan</v>
      </c>
    </row>
    <row r="14473" spans="1:6" ht="15.75" customHeight="1">
      <c r="A14473" s="8" t="str">
        <f ca="1">IFERROR(__xludf.DUMMYFUNCTION("GOOGLETRANSLATE(B36274,""en"",""pt"")"),"Phonsavan")</f>
        <v>Phonsavan</v>
      </c>
      <c r="B14473" s="9" t="s">
        <v>16968</v>
      </c>
      <c r="C14473" s="9" t="s">
        <v>16954</v>
      </c>
      <c r="D14473" s="9" t="s">
        <v>16962</v>
      </c>
      <c r="E14473" s="10">
        <v>1952156</v>
      </c>
      <c r="F14473" s="4" t="str">
        <f>IF(B14473=B14472,"",B14473)</f>
        <v/>
      </c>
    </row>
    <row r="14474" spans="1:6" ht="15.75" customHeight="1">
      <c r="A14474" s="16" t="s">
        <v>25964</v>
      </c>
      <c r="B14474" s="15" t="s">
        <v>25965</v>
      </c>
      <c r="C14474" s="16" t="s">
        <v>25771</v>
      </c>
      <c r="D14474" s="16" t="s">
        <v>25948</v>
      </c>
      <c r="E14474" s="2">
        <v>1607615</v>
      </c>
      <c r="F14474" s="4" t="str">
        <f>IF(B14474=B14473,"",B14474)</f>
        <v>Phon Charoen</v>
      </c>
    </row>
    <row r="14475" spans="1:6" ht="15.75" customHeight="1">
      <c r="A14475" s="8" t="str">
        <f ca="1">IFERROR(__xludf.DUMMYFUNCTION("GOOGLETRANSLATE(B41630,""en"",""pt"")"),"PHON CHAROEN")</f>
        <v>PHON CHAROEN</v>
      </c>
      <c r="B14475" s="9" t="s">
        <v>25965</v>
      </c>
      <c r="C14475" s="9" t="s">
        <v>25771</v>
      </c>
      <c r="D14475" s="9" t="s">
        <v>25948</v>
      </c>
      <c r="E14475" s="10">
        <v>1607615</v>
      </c>
      <c r="F14475" s="4" t="str">
        <f>IF(B14475=B14474,"",B14475)</f>
        <v/>
      </c>
    </row>
    <row r="14476" spans="1:6" ht="15.75" customHeight="1">
      <c r="A14476" s="16" t="s">
        <v>29673</v>
      </c>
      <c r="B14476" s="15" t="s">
        <v>29673</v>
      </c>
      <c r="C14476" s="16" t="s">
        <v>27788</v>
      </c>
      <c r="D14476" s="16" t="s">
        <v>27836</v>
      </c>
      <c r="E14476" s="2">
        <v>5205849</v>
      </c>
      <c r="F14476" s="4" t="str">
        <f>IF(B14476=B14475,"",B14476)</f>
        <v>Phoenixville</v>
      </c>
    </row>
    <row r="14477" spans="1:6" ht="15.75" customHeight="1">
      <c r="A14477" s="8" t="str">
        <f ca="1">IFERROR(__xludf.DUMMYFUNCTION("GOOGLETRANSLATE(B44588,""en"",""pt"")"),"Phoenixville")</f>
        <v>Phoenixville</v>
      </c>
      <c r="B14477" s="9" t="s">
        <v>29673</v>
      </c>
      <c r="C14477" s="9" t="s">
        <v>27788</v>
      </c>
      <c r="D14477" s="9" t="s">
        <v>27836</v>
      </c>
      <c r="E14477" s="10">
        <v>5205849</v>
      </c>
      <c r="F14477" s="4" t="str">
        <f>IF(B14477=B14476,"",B14477)</f>
        <v/>
      </c>
    </row>
    <row r="14478" spans="1:6" ht="15.75" customHeight="1">
      <c r="A14478" s="15" t="s">
        <v>29671</v>
      </c>
      <c r="B14478" s="15" t="s">
        <v>29672</v>
      </c>
      <c r="C14478" s="15" t="s">
        <v>27788</v>
      </c>
      <c r="D14478" s="15" t="s">
        <v>27880</v>
      </c>
      <c r="E14478" s="2">
        <v>5308655</v>
      </c>
      <c r="F14478" s="4" t="str">
        <f>IF(B14478=B14477,"",B14478)</f>
        <v>Phoenix</v>
      </c>
    </row>
    <row r="14479" spans="1:6" ht="15.75" customHeight="1">
      <c r="A14479" s="8" t="str">
        <f ca="1">IFERROR(__xludf.DUMMYFUNCTION("GOOGLETRANSLATE(B44720,""en"",""pt"")"),"Fénix")</f>
        <v>Fénix</v>
      </c>
      <c r="B14479" s="9" t="s">
        <v>29672</v>
      </c>
      <c r="C14479" s="9" t="s">
        <v>27788</v>
      </c>
      <c r="D14479" s="9" t="s">
        <v>27880</v>
      </c>
      <c r="E14479" s="10">
        <v>5308655</v>
      </c>
      <c r="F14479" s="4" t="str">
        <f>IF(B14479=B14478,"",B14479)</f>
        <v/>
      </c>
    </row>
    <row r="14480" spans="1:6" ht="15.75" customHeight="1">
      <c r="A14480" s="16" t="s">
        <v>3856</v>
      </c>
      <c r="B14480" s="15" t="s">
        <v>3856</v>
      </c>
      <c r="C14480" s="16" t="s">
        <v>3838</v>
      </c>
      <c r="D14480" s="16" t="s">
        <v>3856</v>
      </c>
      <c r="E14480" s="2">
        <v>1821306</v>
      </c>
      <c r="F14480" s="4" t="str">
        <f>IF(B14480=B14479,"",B14480)</f>
        <v>Phnom Penh</v>
      </c>
    </row>
    <row r="14481" spans="1:6" ht="15.75" customHeight="1">
      <c r="A14481" s="8" t="str">
        <f ca="1">IFERROR(__xludf.DUMMYFUNCTION("GOOGLETRANSLATE(B35959,""en"",""pt"")"),"Phnom Penh")</f>
        <v>Phnom Penh</v>
      </c>
      <c r="B14481" s="11" t="s">
        <v>3856</v>
      </c>
      <c r="C14481" s="11" t="s">
        <v>3838</v>
      </c>
      <c r="D14481" s="11" t="s">
        <v>3856</v>
      </c>
      <c r="E14481" s="10">
        <v>1821306</v>
      </c>
      <c r="F14481" s="4" t="str">
        <f>IF(B14481=B14480,"",B14481)</f>
        <v/>
      </c>
    </row>
    <row r="14482" spans="1:6" ht="15.75" customHeight="1">
      <c r="A14482" s="16" t="s">
        <v>25830</v>
      </c>
      <c r="B14482" s="15" t="s">
        <v>25830</v>
      </c>
      <c r="C14482" s="16" t="s">
        <v>25771</v>
      </c>
      <c r="D14482" s="16" t="s">
        <v>25830</v>
      </c>
      <c r="E14482" s="2">
        <v>1607708</v>
      </c>
      <c r="F14482" s="4" t="str">
        <f>IF(B14482=B14481,"",B14482)</f>
        <v>Phitsanulok</v>
      </c>
    </row>
    <row r="14483" spans="1:6" ht="15.75" customHeight="1">
      <c r="A14483" s="8" t="str">
        <f ca="1">IFERROR(__xludf.DUMMYFUNCTION("GOOGLETRANSLATE(B41631,""en"",""pt"")"),"Phitsanulok")</f>
        <v>Phitsanulok</v>
      </c>
      <c r="B14483" s="9" t="s">
        <v>25830</v>
      </c>
      <c r="C14483" s="9" t="s">
        <v>25771</v>
      </c>
      <c r="D14483" s="9" t="s">
        <v>25830</v>
      </c>
      <c r="E14483" s="10">
        <v>1607708</v>
      </c>
      <c r="F14483" s="4" t="str">
        <f>IF(B14483=B14482,"",B14483)</f>
        <v/>
      </c>
    </row>
    <row r="14484" spans="1:6" ht="15.75" customHeight="1">
      <c r="A14484" s="16" t="s">
        <v>12878</v>
      </c>
      <c r="B14484" s="15" t="s">
        <v>12878</v>
      </c>
      <c r="C14484" s="16" t="s">
        <v>10178</v>
      </c>
      <c r="D14484" s="16" t="s">
        <v>10190</v>
      </c>
      <c r="E14484" s="2">
        <v>1259773</v>
      </c>
      <c r="F14484" s="4" t="str">
        <f>IF(B14484=B14483,"",B14484)</f>
        <v>Phirangipuram</v>
      </c>
    </row>
    <row r="14485" spans="1:6" ht="15.75" customHeight="1">
      <c r="A14485" s="8" t="str">
        <f ca="1">IFERROR(__xludf.DUMMYFUNCTION("GOOGLETRANSLATE(B32468,""en"",""pt"")"),"Phirangipuram")</f>
        <v>Phirangipuram</v>
      </c>
      <c r="B14485" s="11" t="s">
        <v>12878</v>
      </c>
      <c r="C14485" s="11" t="s">
        <v>10178</v>
      </c>
      <c r="D14485" s="11" t="s">
        <v>10190</v>
      </c>
      <c r="E14485" s="10">
        <v>1259773</v>
      </c>
      <c r="F14485" s="4" t="str">
        <f>IF(B14485=B14484,"",B14485)</f>
        <v/>
      </c>
    </row>
    <row r="14486" spans="1:6" ht="15.75" customHeight="1">
      <c r="A14486" s="15" t="s">
        <v>12877</v>
      </c>
      <c r="B14486" s="15" t="s">
        <v>12877</v>
      </c>
      <c r="C14486" s="15" t="s">
        <v>10178</v>
      </c>
      <c r="D14486" s="15" t="s">
        <v>10184</v>
      </c>
      <c r="E14486" s="2">
        <v>1259775</v>
      </c>
      <c r="F14486" s="4" t="str">
        <f>IF(B14486=B14485,"",B14486)</f>
        <v>Phillaur</v>
      </c>
    </row>
    <row r="14487" spans="1:6" ht="15.75" customHeight="1">
      <c r="A14487" s="8" t="str">
        <f ca="1">IFERROR(__xludf.DUMMYFUNCTION("GOOGLETRANSLATE(B32469,""en"",""pt"")"),"Phillaur")</f>
        <v>Phillaur</v>
      </c>
      <c r="B14487" s="9" t="s">
        <v>12877</v>
      </c>
      <c r="C14487" s="9" t="s">
        <v>10178</v>
      </c>
      <c r="D14487" s="9" t="s">
        <v>10184</v>
      </c>
      <c r="E14487" s="10">
        <v>1259775</v>
      </c>
      <c r="F14487" s="4" t="str">
        <f>IF(B14487=B14486,"",B14487)</f>
        <v/>
      </c>
    </row>
    <row r="14488" spans="1:6" ht="15.75" customHeight="1">
      <c r="A14488" s="16" t="s">
        <v>23690</v>
      </c>
      <c r="B14488" s="15" t="s">
        <v>23690</v>
      </c>
      <c r="C14488" s="16" t="s">
        <v>23691</v>
      </c>
      <c r="D14488" s="16" t="s">
        <v>551</v>
      </c>
      <c r="E14488" s="2">
        <v>3513392</v>
      </c>
      <c r="F14488" s="4" t="str">
        <f>IF(B14488=B14487,"",B14488)</f>
        <v>Philipsburg</v>
      </c>
    </row>
    <row r="14489" spans="1:6" ht="15.75" customHeight="1">
      <c r="A14489" s="8" t="str">
        <f ca="1">IFERROR(__xludf.DUMMYFUNCTION("GOOGLETRANSLATE(B41390,""en"",""pt"")"),"Philipsburg")</f>
        <v>Philipsburg</v>
      </c>
      <c r="B14489" s="9" t="s">
        <v>23690</v>
      </c>
      <c r="C14489" s="9" t="s">
        <v>23691</v>
      </c>
      <c r="D14489" s="9" t="s">
        <v>551</v>
      </c>
      <c r="E14489" s="10">
        <v>3513392</v>
      </c>
      <c r="F14489" s="4" t="str">
        <f>IF(B14489=B14488,"",B14489)</f>
        <v/>
      </c>
    </row>
    <row r="14490" spans="1:6" ht="15.75" customHeight="1">
      <c r="A14490" s="15" t="s">
        <v>29669</v>
      </c>
      <c r="B14490" s="15" t="s">
        <v>29670</v>
      </c>
      <c r="C14490" s="15" t="s">
        <v>27788</v>
      </c>
      <c r="D14490" s="15" t="s">
        <v>27836</v>
      </c>
      <c r="E14490" s="2">
        <v>4560349</v>
      </c>
      <c r="F14490" s="4" t="str">
        <f>IF(B14490=B14489,"",B14490)</f>
        <v>Philadelphia</v>
      </c>
    </row>
    <row r="14491" spans="1:6" ht="15.75" customHeight="1">
      <c r="A14491" s="8" t="str">
        <f ca="1">IFERROR(__xludf.DUMMYFUNCTION("GOOGLETRANSLATE(B43574,""en"",""pt"")"),"Filadélfia")</f>
        <v>Filadélfia</v>
      </c>
      <c r="B14491" s="9" t="s">
        <v>29670</v>
      </c>
      <c r="C14491" s="9" t="s">
        <v>27788</v>
      </c>
      <c r="D14491" s="9" t="s">
        <v>27836</v>
      </c>
      <c r="E14491" s="10">
        <v>4560349</v>
      </c>
      <c r="F14491" s="4" t="str">
        <f>IF(B14491=B14490,"",B14491)</f>
        <v/>
      </c>
    </row>
    <row r="14492" spans="1:6" ht="15.75" customHeight="1">
      <c r="A14492" s="15" t="s">
        <v>25836</v>
      </c>
      <c r="B14492" s="15" t="s">
        <v>25836</v>
      </c>
      <c r="C14492" s="15" t="s">
        <v>25771</v>
      </c>
      <c r="D14492" s="15" t="s">
        <v>25836</v>
      </c>
      <c r="E14492" s="2">
        <v>1607725</v>
      </c>
      <c r="F14492" s="4" t="str">
        <f>IF(B14492=B14491,"",B14492)</f>
        <v>Phichit</v>
      </c>
    </row>
    <row r="14493" spans="1:6" ht="15.75" customHeight="1">
      <c r="A14493" s="8" t="str">
        <f ca="1">IFERROR(__xludf.DUMMYFUNCTION("GOOGLETRANSLATE(B41632,""en"",""pt"")"),"Phichit")</f>
        <v>Phichit</v>
      </c>
      <c r="B14493" s="9" t="s">
        <v>25836</v>
      </c>
      <c r="C14493" s="9" t="s">
        <v>25771</v>
      </c>
      <c r="D14493" s="9" t="s">
        <v>25836</v>
      </c>
      <c r="E14493" s="10">
        <v>1607725</v>
      </c>
      <c r="F14493" s="4" t="str">
        <f>IF(B14493=B14492,"",B14493)</f>
        <v/>
      </c>
    </row>
    <row r="14494" spans="1:6" ht="15.75" customHeight="1">
      <c r="A14494" s="16" t="s">
        <v>25963</v>
      </c>
      <c r="B14494" s="15" t="s">
        <v>25963</v>
      </c>
      <c r="C14494" s="16" t="s">
        <v>25771</v>
      </c>
      <c r="D14494" s="16" t="s">
        <v>25878</v>
      </c>
      <c r="E14494" s="2">
        <v>1607730</v>
      </c>
      <c r="F14494" s="4" t="str">
        <f>IF(B14494=B14493,"",B14494)</f>
        <v>Phibun Mangsahan</v>
      </c>
    </row>
    <row r="14495" spans="1:6" ht="15.75" customHeight="1">
      <c r="A14495" s="8" t="str">
        <f ca="1">IFERROR(__xludf.DUMMYFUNCTION("GOOGLETRANSLATE(B41633,""en"",""pt"")"),"Phibun Mangsahan")</f>
        <v>Phibun Mangsahan</v>
      </c>
      <c r="B14495" s="9" t="s">
        <v>25963</v>
      </c>
      <c r="C14495" s="9" t="s">
        <v>25771</v>
      </c>
      <c r="D14495" s="9" t="s">
        <v>25878</v>
      </c>
      <c r="E14495" s="10">
        <v>1607730</v>
      </c>
      <c r="F14495" s="4" t="str">
        <f>IF(B14495=B14494,"",B14495)</f>
        <v/>
      </c>
    </row>
    <row r="14496" spans="1:6" ht="15.75" customHeight="1">
      <c r="A14496" s="16" t="s">
        <v>25855</v>
      </c>
      <c r="B14496" s="15" t="s">
        <v>25855</v>
      </c>
      <c r="C14496" s="16" t="s">
        <v>25771</v>
      </c>
      <c r="D14496" s="16" t="s">
        <v>25855</v>
      </c>
      <c r="E14496" s="2">
        <v>1149698</v>
      </c>
      <c r="F14496" s="4" t="str">
        <f>IF(B14496=B14495,"",B14496)</f>
        <v>Phetchaburi</v>
      </c>
    </row>
    <row r="14497" spans="1:6" ht="15.75" customHeight="1">
      <c r="A14497" s="8" t="str">
        <f ca="1">IFERROR(__xludf.DUMMYFUNCTION("GOOGLETRANSLATE(B41514,""en"",""pt"")"),"Phetchaburi")</f>
        <v>Phetchaburi</v>
      </c>
      <c r="B14497" s="9" t="s">
        <v>25855</v>
      </c>
      <c r="C14497" s="9" t="s">
        <v>25771</v>
      </c>
      <c r="D14497" s="9" t="s">
        <v>25855</v>
      </c>
      <c r="E14497" s="10">
        <v>1149698</v>
      </c>
      <c r="F14497" s="4" t="str">
        <f>IF(B14497=B14496,"",B14497)</f>
        <v/>
      </c>
    </row>
    <row r="14498" spans="1:6" ht="15.75" customHeight="1">
      <c r="A14498" s="16" t="s">
        <v>25866</v>
      </c>
      <c r="B14498" s="15" t="s">
        <v>25866</v>
      </c>
      <c r="C14498" s="16" t="s">
        <v>25771</v>
      </c>
      <c r="D14498" s="16" t="s">
        <v>25866</v>
      </c>
      <c r="E14498" s="2">
        <v>1607737</v>
      </c>
      <c r="F14498" s="4" t="str">
        <f>IF(B14498=B14497,"",B14498)</f>
        <v>Phetchabun</v>
      </c>
    </row>
    <row r="14499" spans="1:6" ht="15.75" customHeight="1">
      <c r="A14499" s="8" t="str">
        <f ca="1">IFERROR(__xludf.DUMMYFUNCTION("GOOGLETRANSLATE(B41634,""en"",""pt"")"),"Phetchabun")</f>
        <v>Phetchabun</v>
      </c>
      <c r="B14499" s="11" t="s">
        <v>25866</v>
      </c>
      <c r="C14499" s="11" t="s">
        <v>25771</v>
      </c>
      <c r="D14499" s="11" t="s">
        <v>25866</v>
      </c>
      <c r="E14499" s="10">
        <v>1607737</v>
      </c>
      <c r="F14499" s="4" t="str">
        <f>IF(B14499=B14498,"",B14499)</f>
        <v/>
      </c>
    </row>
    <row r="14500" spans="1:6" ht="15.75" customHeight="1">
      <c r="A14500" s="16" t="s">
        <v>29667</v>
      </c>
      <c r="B14500" s="15" t="s">
        <v>29668</v>
      </c>
      <c r="C14500" s="16" t="s">
        <v>27788</v>
      </c>
      <c r="D14500" s="16" t="s">
        <v>28023</v>
      </c>
      <c r="E14500" s="2">
        <v>4082866</v>
      </c>
      <c r="F14500" s="4" t="str">
        <f>IF(B14500=B14499,"",B14500)</f>
        <v>Phenix City</v>
      </c>
    </row>
    <row r="14501" spans="1:6" ht="15.75" customHeight="1">
      <c r="A14501" s="8" t="str">
        <f ca="1">IFERROR(__xludf.DUMMYFUNCTION("GOOGLETRANSLATE(B42796,""en"",""pt"")"),"Cidade de Phenix")</f>
        <v>Cidade de Phenix</v>
      </c>
      <c r="B14501" s="11" t="s">
        <v>29668</v>
      </c>
      <c r="C14501" s="11" t="s">
        <v>27788</v>
      </c>
      <c r="D14501" s="11" t="s">
        <v>28023</v>
      </c>
      <c r="E14501" s="10">
        <v>4082866</v>
      </c>
      <c r="F14501" s="4" t="str">
        <f>IF(B14501=B14500,"",B14501)</f>
        <v/>
      </c>
    </row>
    <row r="14502" spans="1:6" ht="15.75" customHeight="1">
      <c r="A14502" s="15" t="s">
        <v>12876</v>
      </c>
      <c r="B14502" s="15" t="s">
        <v>12876</v>
      </c>
      <c r="C14502" s="15" t="s">
        <v>10178</v>
      </c>
      <c r="D14502" s="15" t="s">
        <v>11001</v>
      </c>
      <c r="E14502" s="2">
        <v>1259784</v>
      </c>
      <c r="F14502" s="4" t="str">
        <f>IF(B14502=B14501,"",B14502)</f>
        <v>Phek</v>
      </c>
    </row>
    <row r="14503" spans="1:6" ht="15.75" customHeight="1">
      <c r="A14503" s="8" t="str">
        <f ca="1">IFERROR(__xludf.DUMMYFUNCTION("GOOGLETRANSLATE(B32470,""en"",""pt"")"),"Phek")</f>
        <v>Phek</v>
      </c>
      <c r="B14503" s="11" t="s">
        <v>12876</v>
      </c>
      <c r="C14503" s="11" t="s">
        <v>10178</v>
      </c>
      <c r="D14503" s="11" t="s">
        <v>11001</v>
      </c>
      <c r="E14503" s="10">
        <v>1259784</v>
      </c>
      <c r="F14503" s="4" t="str">
        <f>IF(B14503=B14502,"",B14503)</f>
        <v/>
      </c>
    </row>
    <row r="14504" spans="1:6" ht="15.75" customHeight="1">
      <c r="A14504" s="15" t="s">
        <v>25880</v>
      </c>
      <c r="B14504" s="15" t="s">
        <v>25880</v>
      </c>
      <c r="C14504" s="15" t="s">
        <v>25771</v>
      </c>
      <c r="D14504" s="15" t="s">
        <v>25880</v>
      </c>
      <c r="E14504" s="2">
        <v>1151426</v>
      </c>
      <c r="F14504" s="4" t="str">
        <f>IF(B14504=B14503,"",B14504)</f>
        <v>Phayao</v>
      </c>
    </row>
    <row r="14505" spans="1:6" ht="15.75" customHeight="1">
      <c r="A14505" s="8" t="str">
        <f ca="1">IFERROR(__xludf.DUMMYFUNCTION("GOOGLETRANSLATE(B41536,""en"",""pt"")"),"Phayao")</f>
        <v>Phayao</v>
      </c>
      <c r="B14505" s="11" t="s">
        <v>25880</v>
      </c>
      <c r="C14505" s="11" t="s">
        <v>25771</v>
      </c>
      <c r="D14505" s="11" t="s">
        <v>25880</v>
      </c>
      <c r="E14505" s="10">
        <v>1151426</v>
      </c>
      <c r="F14505" s="4" t="str">
        <f>IF(B14505=B14504,"",B14505)</f>
        <v/>
      </c>
    </row>
    <row r="14506" spans="1:6" ht="15.75" customHeight="1">
      <c r="A14506" s="16" t="s">
        <v>25962</v>
      </c>
      <c r="B14506" s="15" t="s">
        <v>25962</v>
      </c>
      <c r="C14506" s="16" t="s">
        <v>25771</v>
      </c>
      <c r="D14506" s="16" t="s">
        <v>25780</v>
      </c>
      <c r="E14506" s="2">
        <v>1614295</v>
      </c>
      <c r="F14506" s="4" t="str">
        <f>IF(B14506=B14505,"",B14506)</f>
        <v>Phatthaya</v>
      </c>
    </row>
    <row r="14507" spans="1:6" ht="15.75" customHeight="1">
      <c r="A14507" s="8" t="str">
        <f ca="1">IFERROR(__xludf.DUMMYFUNCTION("GOOGLETRANSLATE(B41702,""en"",""pt"")"),"Phatthaya")</f>
        <v>Phatthaya</v>
      </c>
      <c r="B14507" s="11" t="s">
        <v>25962</v>
      </c>
      <c r="C14507" s="11" t="s">
        <v>25771</v>
      </c>
      <c r="D14507" s="11" t="s">
        <v>25780</v>
      </c>
      <c r="E14507" s="10">
        <v>1614295</v>
      </c>
      <c r="F14507" s="4" t="str">
        <f>IF(B14507=B14506,"",B14507)</f>
        <v/>
      </c>
    </row>
    <row r="14508" spans="1:6" ht="15.75" customHeight="1">
      <c r="A14508" s="16" t="s">
        <v>25961</v>
      </c>
      <c r="B14508" s="15" t="s">
        <v>25961</v>
      </c>
      <c r="C14508" s="16" t="s">
        <v>25771</v>
      </c>
      <c r="D14508" s="16" t="s">
        <v>25961</v>
      </c>
      <c r="E14508" s="2">
        <v>1607779</v>
      </c>
      <c r="F14508" s="4" t="str">
        <f>IF(B14508=B14507,"",B14508)</f>
        <v>Phatthalung</v>
      </c>
    </row>
    <row r="14509" spans="1:6" ht="15.75" customHeight="1">
      <c r="A14509" s="8" t="str">
        <f ca="1">IFERROR(__xludf.DUMMYFUNCTION("GOOGLETRANSLATE(B41635,""en"",""pt"")"),"Phatthalung")</f>
        <v>Phatthalung</v>
      </c>
      <c r="B14509" s="11" t="s">
        <v>25961</v>
      </c>
      <c r="C14509" s="11" t="s">
        <v>25771</v>
      </c>
      <c r="D14509" s="11" t="s">
        <v>25961</v>
      </c>
      <c r="E14509" s="10">
        <v>1607779</v>
      </c>
      <c r="F14509" s="4" t="str">
        <f>IF(B14509=B14508,"",B14509)</f>
        <v/>
      </c>
    </row>
    <row r="14510" spans="1:6" ht="15.75" customHeight="1">
      <c r="A14510" s="8" t="str">
        <f ca="1">IFERROR(__xludf.DUMMYFUNCTION("GOOGLETRANSLATE(B32471,""en"",""pt"")"),"Phaphūnd")</f>
        <v>Phaphūnd</v>
      </c>
      <c r="B14510" s="11" t="s">
        <v>33232</v>
      </c>
      <c r="C14510" s="11" t="s">
        <v>10178</v>
      </c>
      <c r="D14510" s="11" t="s">
        <v>10193</v>
      </c>
      <c r="E14510" s="10">
        <v>1259801</v>
      </c>
      <c r="F14510" s="4" t="str">
        <f>IF(B14510=B14509,"",B14510)</f>
        <v>Phaphūnd</v>
      </c>
    </row>
    <row r="14511" spans="1:6" ht="15.75" customHeight="1">
      <c r="A14511" s="16" t="s">
        <v>12874</v>
      </c>
      <c r="B14511" s="15" t="s">
        <v>12875</v>
      </c>
      <c r="C14511" s="16" t="s">
        <v>10178</v>
      </c>
      <c r="D14511" s="16" t="s">
        <v>10193</v>
      </c>
      <c r="E14511" s="2">
        <v>1259801</v>
      </c>
      <c r="F14511" s="4" t="str">
        <f>IF(B14511=B14510,"",B14511)</f>
        <v>PhaphÅ«nd</v>
      </c>
    </row>
    <row r="14512" spans="1:6" ht="15.75" customHeight="1">
      <c r="A14512" s="15" t="s">
        <v>30884</v>
      </c>
      <c r="B14512" s="15" t="s">
        <v>30885</v>
      </c>
      <c r="C14512" s="15" t="s">
        <v>30784</v>
      </c>
      <c r="D14512" s="15" t="s">
        <v>30886</v>
      </c>
      <c r="E14512" s="2">
        <v>1570549</v>
      </c>
      <c r="F14512" s="4" t="str">
        <f>IF(B14512=B14511,"",B14512)</f>
        <v>PhÃº KhÆ°Æ¡ng</v>
      </c>
    </row>
    <row r="14513" spans="1:6" ht="15.75" customHeight="1">
      <c r="A14513" s="16" t="s">
        <v>25960</v>
      </c>
      <c r="B14513" s="15" t="s">
        <v>25960</v>
      </c>
      <c r="C14513" s="16" t="s">
        <v>25771</v>
      </c>
      <c r="D14513" s="16" t="s">
        <v>25840</v>
      </c>
      <c r="E14513" s="2">
        <v>1607801</v>
      </c>
      <c r="F14513" s="4" t="str">
        <f>IF(B14513=B14512,"",B14513)</f>
        <v>Phanom Sarakham</v>
      </c>
    </row>
    <row r="14514" spans="1:6" ht="15.75" customHeight="1">
      <c r="A14514" s="8" t="str">
        <f ca="1">IFERROR(__xludf.DUMMYFUNCTION("GOOGLETRANSLATE(B41637,""en"",""pt"")"),"Phanom Sarakham")</f>
        <v>Phanom Sarakham</v>
      </c>
      <c r="B14514" s="11" t="s">
        <v>25960</v>
      </c>
      <c r="C14514" s="11" t="s">
        <v>25771</v>
      </c>
      <c r="D14514" s="11" t="s">
        <v>25840</v>
      </c>
      <c r="E14514" s="10">
        <v>1607801</v>
      </c>
      <c r="F14514" s="4" t="str">
        <f>IF(B14514=B14513,"",B14514)</f>
        <v/>
      </c>
    </row>
    <row r="14515" spans="1:6" ht="15.75" customHeight="1">
      <c r="A14515" s="16" t="s">
        <v>25959</v>
      </c>
      <c r="B14515" s="15" t="s">
        <v>25959</v>
      </c>
      <c r="C14515" s="16" t="s">
        <v>25771</v>
      </c>
      <c r="D14515" s="16" t="s">
        <v>25780</v>
      </c>
      <c r="E14515" s="2">
        <v>1607838</v>
      </c>
      <c r="F14515" s="4" t="str">
        <f>IF(B14515=B14514,"",B14515)</f>
        <v>Phanat Nikhom</v>
      </c>
    </row>
    <row r="14516" spans="1:6" ht="15.75" customHeight="1">
      <c r="A14516" s="8" t="str">
        <f ca="1">IFERROR(__xludf.DUMMYFUNCTION("GOOGLETRANSLATE(B41638,""en"",""pt"")"),"Phanat Nikhom")</f>
        <v>Phanat Nikhom</v>
      </c>
      <c r="B14516" s="11" t="s">
        <v>25959</v>
      </c>
      <c r="C14516" s="11" t="s">
        <v>25771</v>
      </c>
      <c r="D14516" s="11" t="s">
        <v>25780</v>
      </c>
      <c r="E14516" s="10">
        <v>1607838</v>
      </c>
      <c r="F14516" s="4" t="str">
        <f>IF(B14516=B14515,"",B14516)</f>
        <v/>
      </c>
    </row>
    <row r="14517" spans="1:6" ht="15.75" customHeight="1">
      <c r="A14517" s="16" t="s">
        <v>25958</v>
      </c>
      <c r="B14517" s="15" t="s">
        <v>25958</v>
      </c>
      <c r="C14517" s="16" t="s">
        <v>25771</v>
      </c>
      <c r="D14517" s="16" t="s">
        <v>25780</v>
      </c>
      <c r="E14517" s="2">
        <v>1607793</v>
      </c>
      <c r="F14517" s="4" t="str">
        <f>IF(B14517=B14516,"",B14517)</f>
        <v>Phan Thong</v>
      </c>
    </row>
    <row r="14518" spans="1:6" ht="15.75" customHeight="1">
      <c r="A14518" s="8" t="str">
        <f ca="1">IFERROR(__xludf.DUMMYFUNCTION("GOOGLETRANSLATE(B41636,""en"",""pt"")"),"Phan Thong")</f>
        <v>Phan Thong</v>
      </c>
      <c r="B14518" s="11" t="s">
        <v>25958</v>
      </c>
      <c r="C14518" s="11" t="s">
        <v>25771</v>
      </c>
      <c r="D14518" s="11" t="s">
        <v>25780</v>
      </c>
      <c r="E14518" s="10">
        <v>1607793</v>
      </c>
      <c r="F14518" s="4" t="str">
        <f>IF(B14518=B14517,"",B14518)</f>
        <v/>
      </c>
    </row>
    <row r="14519" spans="1:6" ht="15.75" customHeight="1">
      <c r="A14519" s="8" t="str">
        <f ca="1">IFERROR(__xludf.DUMMYFUNCTION("GOOGLETRANSLATE(B45741,""en"",""pt"")"),"Phan Thiết")</f>
        <v>Phan Thiết</v>
      </c>
      <c r="B14519" s="11" t="s">
        <v>36147</v>
      </c>
      <c r="C14519" s="11" t="s">
        <v>30784</v>
      </c>
      <c r="D14519" s="11" t="s">
        <v>36148</v>
      </c>
      <c r="E14519" s="10">
        <v>1571058</v>
      </c>
      <c r="F14519" s="4" t="str">
        <f>IF(B14519=B14518,"",B14519)</f>
        <v>Phan Thiết</v>
      </c>
    </row>
    <row r="14520" spans="1:6" ht="15.75" customHeight="1">
      <c r="A14520" s="16" t="s">
        <v>30882</v>
      </c>
      <c r="B14520" s="15" t="s">
        <v>30883</v>
      </c>
      <c r="C14520" s="16" t="s">
        <v>30784</v>
      </c>
      <c r="D14520" s="16" t="s">
        <v>30867</v>
      </c>
      <c r="E14520" s="2">
        <v>1571058</v>
      </c>
      <c r="F14520" s="4" t="str">
        <f>IF(B14520=B14519,"",B14520)</f>
        <v>Phan Thiáº¿t</v>
      </c>
    </row>
    <row r="14521" spans="1:6" ht="15.75" customHeight="1">
      <c r="A14521" s="8" t="str">
        <f ca="1">IFERROR(__xludf.DUMMYFUNCTION("GOOGLETRANSLATE(B45742,""en"",""pt"")"),"Phan Rang-Tháp Chàm")</f>
        <v>Phan Rang-Tháp Chàm</v>
      </c>
      <c r="B14521" s="11" t="s">
        <v>36149</v>
      </c>
      <c r="C14521" s="11" t="s">
        <v>30784</v>
      </c>
      <c r="D14521" s="11" t="s">
        <v>36150</v>
      </c>
      <c r="E14521" s="10">
        <v>1571067</v>
      </c>
      <c r="F14521" s="4" t="str">
        <f>IF(B14521=B14520,"",B14521)</f>
        <v>Phan Rang-Tháp Chàm</v>
      </c>
    </row>
    <row r="14522" spans="1:6" ht="15.75" customHeight="1">
      <c r="A14522" s="16" t="s">
        <v>30879</v>
      </c>
      <c r="B14522" s="15" t="s">
        <v>30880</v>
      </c>
      <c r="C14522" s="16" t="s">
        <v>30784</v>
      </c>
      <c r="D14522" s="16" t="s">
        <v>30881</v>
      </c>
      <c r="E14522" s="2">
        <v>1571067</v>
      </c>
      <c r="F14522" s="4" t="str">
        <f>IF(B14522=B14521,"",B14522)</f>
        <v>Phan Rang-ThÃ¡p ChÃ m</v>
      </c>
    </row>
    <row r="14523" spans="1:6" ht="15.75" customHeight="1">
      <c r="A14523" s="15" t="s">
        <v>12873</v>
      </c>
      <c r="B14523" s="15" t="s">
        <v>12873</v>
      </c>
      <c r="C14523" s="15" t="s">
        <v>10178</v>
      </c>
      <c r="D14523" s="15" t="s">
        <v>10214</v>
      </c>
      <c r="E14523" s="2">
        <v>1259811</v>
      </c>
      <c r="F14523" s="4" t="str">
        <f>IF(B14523=B14522,"",B14523)</f>
        <v>Phaltan</v>
      </c>
    </row>
    <row r="14524" spans="1:6" ht="15.75" customHeight="1">
      <c r="A14524" s="8" t="str">
        <f ca="1">IFERROR(__xludf.DUMMYFUNCTION("GOOGLETRANSLATE(B32472,""en"",""pt"")"),"Phaltan")</f>
        <v>Phaltan</v>
      </c>
      <c r="B14524" s="11" t="s">
        <v>12873</v>
      </c>
      <c r="C14524" s="11" t="s">
        <v>10178</v>
      </c>
      <c r="D14524" s="11" t="s">
        <v>10214</v>
      </c>
      <c r="E14524" s="10">
        <v>1259811</v>
      </c>
      <c r="F14524" s="4" t="str">
        <f>IF(B14524=B14523,"",B14524)</f>
        <v/>
      </c>
    </row>
    <row r="14525" spans="1:6" ht="15.75" customHeight="1">
      <c r="A14525" s="15" t="s">
        <v>12872</v>
      </c>
      <c r="B14525" s="15" t="s">
        <v>12872</v>
      </c>
      <c r="C14525" s="15" t="s">
        <v>10178</v>
      </c>
      <c r="D14525" s="15" t="s">
        <v>10179</v>
      </c>
      <c r="E14525" s="2">
        <v>1259813</v>
      </c>
      <c r="F14525" s="4" t="str">
        <f>IF(B14525=B14524,"",B14525)</f>
        <v>Phalodi</v>
      </c>
    </row>
    <row r="14526" spans="1:6" ht="15.75" customHeight="1">
      <c r="A14526" s="8" t="str">
        <f ca="1">IFERROR(__xludf.DUMMYFUNCTION("GOOGLETRANSLATE(B32473,""en"",""pt"")"),"Phalodi")</f>
        <v>Phalodi</v>
      </c>
      <c r="B14526" s="11" t="s">
        <v>12872</v>
      </c>
      <c r="C14526" s="11" t="s">
        <v>10178</v>
      </c>
      <c r="D14526" s="11" t="s">
        <v>10179</v>
      </c>
      <c r="E14526" s="10">
        <v>1259813</v>
      </c>
      <c r="F14526" s="4" t="str">
        <f>IF(B14526=B14525,"",B14526)</f>
        <v/>
      </c>
    </row>
    <row r="14527" spans="1:6" ht="15.75" customHeight="1">
      <c r="A14527" s="8" t="str">
        <f ca="1">IFERROR(__xludf.DUMMYFUNCTION("GOOGLETRANSLATE(B38951,""en"",""pt"")"),"Phālia")</f>
        <v>Phālia</v>
      </c>
      <c r="B14527" s="11" t="s">
        <v>34934</v>
      </c>
      <c r="C14527" s="11" t="s">
        <v>19808</v>
      </c>
      <c r="D14527" s="11" t="s">
        <v>10184</v>
      </c>
      <c r="E14527" s="10">
        <v>1168166</v>
      </c>
      <c r="F14527" s="4" t="str">
        <f>IF(B14527=B14526,"",B14527)</f>
        <v>Phālia</v>
      </c>
    </row>
    <row r="14528" spans="1:6" ht="15.75" customHeight="1">
      <c r="A14528" s="15" t="s">
        <v>12871</v>
      </c>
      <c r="B14528" s="15" t="s">
        <v>12871</v>
      </c>
      <c r="C14528" s="15" t="s">
        <v>10178</v>
      </c>
      <c r="D14528" s="15" t="s">
        <v>10193</v>
      </c>
      <c r="E14528" s="2">
        <v>1259818</v>
      </c>
      <c r="F14528" s="4" t="str">
        <f>IF(B14528=B14527,"",B14528)</f>
        <v>Phalauda</v>
      </c>
    </row>
    <row r="14529" spans="1:6" ht="15.75" customHeight="1">
      <c r="A14529" s="8" t="str">
        <f ca="1">IFERROR(__xludf.DUMMYFUNCTION("GOOGLETRANSLATE(B32474,""en"",""pt"")"),"Phalauda")</f>
        <v>Phalauda</v>
      </c>
      <c r="B14529" s="11" t="s">
        <v>12871</v>
      </c>
      <c r="C14529" s="11" t="s">
        <v>10178</v>
      </c>
      <c r="D14529" s="11" t="s">
        <v>10193</v>
      </c>
      <c r="E14529" s="10">
        <v>1259818</v>
      </c>
      <c r="F14529" s="4" t="str">
        <f>IF(B14529=B14528,"",B14529)</f>
        <v/>
      </c>
    </row>
    <row r="14530" spans="1:6" ht="15.75" customHeight="1">
      <c r="A14530" s="16" t="s">
        <v>23951</v>
      </c>
      <c r="B14530" s="15" t="s">
        <v>23951</v>
      </c>
      <c r="C14530" s="16" t="s">
        <v>23842</v>
      </c>
      <c r="D14530" s="16" t="s">
        <v>23885</v>
      </c>
      <c r="E14530" s="2">
        <v>965528</v>
      </c>
      <c r="F14530" s="4" t="str">
        <f>IF(B14530=B14529,"",B14530)</f>
        <v>Phalaborwa</v>
      </c>
    </row>
    <row r="14531" spans="1:6" ht="15.75" customHeight="1">
      <c r="A14531" s="8" t="str">
        <f ca="1">IFERROR(__xludf.DUMMYFUNCTION("GOOGLETRANSLATE(B45900,""en"",""pt"")"),"Phalaborwa")</f>
        <v>Phalaborwa</v>
      </c>
      <c r="B14531" s="11" t="s">
        <v>23951</v>
      </c>
      <c r="C14531" s="11" t="s">
        <v>23842</v>
      </c>
      <c r="D14531" s="11" t="s">
        <v>23885</v>
      </c>
      <c r="E14531" s="10">
        <v>965528</v>
      </c>
      <c r="F14531" s="4" t="str">
        <f>IF(B14531=B14530,"",B14531)</f>
        <v/>
      </c>
    </row>
    <row r="14532" spans="1:6" ht="15.75" customHeight="1">
      <c r="A14532" s="15" t="s">
        <v>25957</v>
      </c>
      <c r="B14532" s="15" t="s">
        <v>25957</v>
      </c>
      <c r="C14532" s="15" t="s">
        <v>25771</v>
      </c>
      <c r="D14532" s="15" t="s">
        <v>25778</v>
      </c>
      <c r="E14532" s="2">
        <v>1607865</v>
      </c>
      <c r="F14532" s="4" t="str">
        <f>IF(B14532=B14531,"",B14532)</f>
        <v>Phak Hai</v>
      </c>
    </row>
    <row r="14533" spans="1:6" ht="15.75" customHeight="1">
      <c r="A14533" s="8" t="str">
        <f ca="1">IFERROR(__xludf.DUMMYFUNCTION("GOOGLETRANSLATE(B41639,""en"",""pt"")"),"Phak Hai")</f>
        <v>Phak Hai</v>
      </c>
      <c r="B14533" s="11" t="s">
        <v>25957</v>
      </c>
      <c r="C14533" s="11" t="s">
        <v>25771</v>
      </c>
      <c r="D14533" s="11" t="s">
        <v>25778</v>
      </c>
      <c r="E14533" s="10">
        <v>1607865</v>
      </c>
      <c r="F14533" s="4" t="str">
        <f>IF(B14533=B14532,"",B14533)</f>
        <v/>
      </c>
    </row>
    <row r="14534" spans="1:6" ht="15.75" customHeight="1">
      <c r="A14534" s="8" t="str">
        <f ca="1">IFERROR(__xludf.DUMMYFUNCTION("GOOGLETRANSLATE(B32475,""en"",""pt"")"),"Phagwāra")</f>
        <v>Phagwāra</v>
      </c>
      <c r="B14534" s="11" t="s">
        <v>33233</v>
      </c>
      <c r="C14534" s="11" t="s">
        <v>10178</v>
      </c>
      <c r="D14534" s="11" t="s">
        <v>10184</v>
      </c>
      <c r="E14534" s="10">
        <v>1259827</v>
      </c>
      <c r="F14534" s="4" t="str">
        <f>IF(B14534=B14533,"",B14534)</f>
        <v>Phagwāra</v>
      </c>
    </row>
    <row r="14535" spans="1:6" ht="15.75" customHeight="1">
      <c r="A14535" s="16" t="s">
        <v>12869</v>
      </c>
      <c r="B14535" s="15" t="s">
        <v>12870</v>
      </c>
      <c r="C14535" s="16" t="s">
        <v>10178</v>
      </c>
      <c r="D14535" s="16" t="s">
        <v>10184</v>
      </c>
      <c r="E14535" s="2">
        <v>1259827</v>
      </c>
      <c r="F14535" s="4" t="str">
        <f>IF(B14535=B14534,"",B14535)</f>
        <v>PhagwÄra</v>
      </c>
    </row>
    <row r="14536" spans="1:6" ht="15.75" customHeight="1">
      <c r="A14536" s="15" t="s">
        <v>20163</v>
      </c>
      <c r="B14536" s="15" t="s">
        <v>20164</v>
      </c>
      <c r="C14536" s="15" t="s">
        <v>19808</v>
      </c>
      <c r="D14536" s="15" t="s">
        <v>10184</v>
      </c>
      <c r="E14536" s="2">
        <v>1168166</v>
      </c>
      <c r="F14536" s="4" t="str">
        <f>IF(B14536=B14535,"",B14536)</f>
        <v>PhÄlia</v>
      </c>
    </row>
    <row r="14537" spans="1:6" ht="15.75" customHeight="1">
      <c r="A14537" s="16" t="s">
        <v>8996</v>
      </c>
      <c r="B14537" s="15" t="s">
        <v>8996</v>
      </c>
      <c r="C14537" s="16" t="s">
        <v>8028</v>
      </c>
      <c r="D14537" s="16" t="s">
        <v>8050</v>
      </c>
      <c r="E14537" s="2">
        <v>2853924</v>
      </c>
      <c r="F14537" s="4" t="str">
        <f>IF(B14537=B14536,"",B14537)</f>
        <v>Pfungstadt</v>
      </c>
    </row>
    <row r="14538" spans="1:6" ht="15.75" customHeight="1">
      <c r="A14538" s="8" t="str">
        <f ca="1">IFERROR(__xludf.DUMMYFUNCTION("GOOGLETRANSLATE(B27647,""en"",""pt"")"),"Pfungstadt")</f>
        <v>Pfungstadt</v>
      </c>
      <c r="B14538" s="11" t="s">
        <v>8996</v>
      </c>
      <c r="C14538" s="11" t="s">
        <v>8028</v>
      </c>
      <c r="D14538" s="11" t="s">
        <v>8050</v>
      </c>
      <c r="E14538" s="10">
        <v>2853924</v>
      </c>
      <c r="F14538" s="4" t="str">
        <f>IF(B14538=B14537,"",B14538)</f>
        <v/>
      </c>
    </row>
    <row r="14539" spans="1:6" ht="15.75" customHeight="1">
      <c r="A14539" s="16" t="s">
        <v>8995</v>
      </c>
      <c r="B14539" s="15" t="s">
        <v>8995</v>
      </c>
      <c r="C14539" s="16" t="s">
        <v>8028</v>
      </c>
      <c r="D14539" s="16" t="s">
        <v>8031</v>
      </c>
      <c r="E14539" s="2">
        <v>2853928</v>
      </c>
      <c r="F14539" s="4" t="str">
        <f>IF(B14539=B14538,"",B14539)</f>
        <v>Pfullingen</v>
      </c>
    </row>
    <row r="14540" spans="1:6" ht="15.75" customHeight="1">
      <c r="A14540" s="8" t="str">
        <f ca="1">IFERROR(__xludf.DUMMYFUNCTION("GOOGLETRANSLATE(B27648,""en"",""pt"")"),"Pfullingen")</f>
        <v>Pfullingen</v>
      </c>
      <c r="B14540" s="11" t="s">
        <v>8995</v>
      </c>
      <c r="C14540" s="11" t="s">
        <v>8028</v>
      </c>
      <c r="D14540" s="11" t="s">
        <v>32013</v>
      </c>
      <c r="E14540" s="10">
        <v>2853928</v>
      </c>
      <c r="F14540" s="4" t="str">
        <f>IF(B14540=B14539,"",B14540)</f>
        <v/>
      </c>
    </row>
    <row r="14541" spans="1:6" ht="15.75" customHeight="1">
      <c r="A14541" s="16" t="s">
        <v>8994</v>
      </c>
      <c r="B14541" s="15" t="s">
        <v>8994</v>
      </c>
      <c r="C14541" s="16" t="s">
        <v>8028</v>
      </c>
      <c r="D14541" s="16" t="s">
        <v>8031</v>
      </c>
      <c r="E14541" s="2">
        <v>2853969</v>
      </c>
      <c r="F14541" s="4" t="str">
        <f>IF(B14541=B14540,"",B14541)</f>
        <v>Pforzheim</v>
      </c>
    </row>
    <row r="14542" spans="1:6" ht="15.75" customHeight="1">
      <c r="A14542" s="8" t="str">
        <f ca="1">IFERROR(__xludf.DUMMYFUNCTION("GOOGLETRANSLATE(B27649,""en"",""pt"")"),"Pforzheim")</f>
        <v>Pforzheim</v>
      </c>
      <c r="B14542" s="11" t="s">
        <v>8994</v>
      </c>
      <c r="C14542" s="11" t="s">
        <v>8028</v>
      </c>
      <c r="D14542" s="11" t="s">
        <v>32013</v>
      </c>
      <c r="E14542" s="10">
        <v>2853969</v>
      </c>
      <c r="F14542" s="4" t="str">
        <f>IF(B14542=B14541,"",B14542)</f>
        <v/>
      </c>
    </row>
    <row r="14543" spans="1:6" ht="15.75" customHeight="1">
      <c r="A14543" s="16" t="s">
        <v>8992</v>
      </c>
      <c r="B14543" s="15" t="s">
        <v>8993</v>
      </c>
      <c r="C14543" s="16" t="s">
        <v>8028</v>
      </c>
      <c r="D14543" s="16" t="s">
        <v>8044</v>
      </c>
      <c r="E14543" s="2">
        <v>2854386</v>
      </c>
      <c r="F14543" s="4" t="str">
        <f>IF(B14543=B14542,"",B14543)</f>
        <v>Pfaffenhofen an der Ilm</v>
      </c>
    </row>
    <row r="14544" spans="1:6" ht="15.75" customHeight="1">
      <c r="A14544" s="8" t="str">
        <f ca="1">IFERROR(__xludf.DUMMYFUNCTION("GOOGLETRANSLATE(B27650,""en"",""pt"")"),"Pfaffenhofen e Der Ilm")</f>
        <v>Pfaffenhofen e Der Ilm</v>
      </c>
      <c r="B14544" s="11" t="s">
        <v>8993</v>
      </c>
      <c r="C14544" s="11" t="s">
        <v>8028</v>
      </c>
      <c r="D14544" s="11" t="s">
        <v>8044</v>
      </c>
      <c r="E14544" s="10">
        <v>2854386</v>
      </c>
      <c r="F14544" s="4" t="str">
        <f>IF(B14544=B14543,"",B14544)</f>
        <v/>
      </c>
    </row>
    <row r="14545" spans="1:6" ht="15.75" customHeight="1">
      <c r="A14545" s="15" t="s">
        <v>23750</v>
      </c>
      <c r="B14545" s="15" t="s">
        <v>23750</v>
      </c>
      <c r="C14545" s="15" t="s">
        <v>23694</v>
      </c>
      <c r="D14545" s="15" t="s">
        <v>23708</v>
      </c>
      <c r="E14545" s="2">
        <v>3058210</v>
      </c>
      <c r="F14545" s="4" t="str">
        <f>IF(B14545=B14544,"",B14545)</f>
        <v>Pezinok</v>
      </c>
    </row>
    <row r="14546" spans="1:6" ht="15.75" customHeight="1">
      <c r="A14546" s="8" t="str">
        <f ca="1">IFERROR(__xludf.DUMMYFUNCTION("GOOGLETRANSLATE(B41249,""en"",""pt"")"),"Pezinok")</f>
        <v>Pezinok</v>
      </c>
      <c r="B14546" s="11" t="s">
        <v>23750</v>
      </c>
      <c r="C14546" s="11" t="s">
        <v>23694</v>
      </c>
      <c r="D14546" s="11" t="s">
        <v>35687</v>
      </c>
      <c r="E14546" s="10">
        <v>3058210</v>
      </c>
      <c r="F14546" s="4" t="str">
        <f>IF(B14546=B14545,"",B14546)</f>
        <v/>
      </c>
    </row>
    <row r="14547" spans="1:6" ht="15.75" customHeight="1">
      <c r="A14547" s="15" t="s">
        <v>22940</v>
      </c>
      <c r="B14547" s="15" t="s">
        <v>22940</v>
      </c>
      <c r="C14547" s="15" t="s">
        <v>22070</v>
      </c>
      <c r="D14547" s="15" t="s">
        <v>22113</v>
      </c>
      <c r="E14547" s="2">
        <v>509697</v>
      </c>
      <c r="F14547" s="4" t="str">
        <f>IF(B14547=B14546,"",B14547)</f>
        <v>Petushki</v>
      </c>
    </row>
    <row r="14548" spans="1:6" ht="15.75" customHeight="1">
      <c r="A14548" s="8" t="str">
        <f ca="1">IFERROR(__xludf.DUMMYFUNCTION("GOOGLETRANSLATE(B40196,""en"",""pt"")"),"Petushki")</f>
        <v>Petushki</v>
      </c>
      <c r="B14548" s="11" t="s">
        <v>22940</v>
      </c>
      <c r="C14548" s="11" t="s">
        <v>22070</v>
      </c>
      <c r="D14548" s="11" t="s">
        <v>22113</v>
      </c>
      <c r="E14548" s="10">
        <v>509697</v>
      </c>
      <c r="F14548" s="4" t="str">
        <f>IF(B14548=B14547,"",B14548)</f>
        <v/>
      </c>
    </row>
    <row r="14549" spans="1:6" ht="15.75" customHeight="1">
      <c r="A14549" s="16" t="s">
        <v>22939</v>
      </c>
      <c r="B14549" s="15" t="s">
        <v>22939</v>
      </c>
      <c r="C14549" s="16" t="s">
        <v>22070</v>
      </c>
      <c r="D14549" s="16" t="s">
        <v>22559</v>
      </c>
      <c r="E14549" s="2">
        <v>509820</v>
      </c>
      <c r="F14549" s="4" t="str">
        <f>IF(B14549=B14548,"",B14549)</f>
        <v>Petrozavodsk</v>
      </c>
    </row>
    <row r="14550" spans="1:6" ht="15.75" customHeight="1">
      <c r="A14550" s="8" t="str">
        <f ca="1">IFERROR(__xludf.DUMMYFUNCTION("GOOGLETRANSLATE(B40197,""en"",""pt"")"),"Petrozavodsk")</f>
        <v>Petrozavodsk</v>
      </c>
      <c r="B14550" s="11" t="s">
        <v>22939</v>
      </c>
      <c r="C14550" s="11" t="s">
        <v>22070</v>
      </c>
      <c r="D14550" s="11" t="s">
        <v>22559</v>
      </c>
      <c r="E14550" s="10">
        <v>509820</v>
      </c>
      <c r="F14550" s="4" t="str">
        <f>IF(B14550=B14549,"",B14550)</f>
        <v/>
      </c>
    </row>
    <row r="14551" spans="1:6" ht="15.75" customHeight="1">
      <c r="A14551" s="16" t="s">
        <v>22937</v>
      </c>
      <c r="B14551" s="15" t="s">
        <v>22938</v>
      </c>
      <c r="C14551" s="16" t="s">
        <v>22070</v>
      </c>
      <c r="D14551" s="16" t="s">
        <v>22267</v>
      </c>
      <c r="E14551" s="2">
        <v>2017945</v>
      </c>
      <c r="F14551" s="4" t="str">
        <f>IF(B14551=B14550,"",B14551)</f>
        <v>Petrovsk-Zabaykalâ€™skiy</v>
      </c>
    </row>
    <row r="14552" spans="1:6" ht="15.75" customHeight="1">
      <c r="A14552" s="8" t="str">
        <f ca="1">IFERROR(__xludf.DUMMYFUNCTION("GOOGLETRANSLATE(B40915,""en"",""pt"")"),"Petrovsk-Zabaykal'skiy")</f>
        <v>Petrovsk-Zabaykal'skiy</v>
      </c>
      <c r="B14552" s="11" t="s">
        <v>35559</v>
      </c>
      <c r="C14552" s="11" t="s">
        <v>22070</v>
      </c>
      <c r="D14552" s="11" t="s">
        <v>22267</v>
      </c>
      <c r="E14552" s="10">
        <v>2017945</v>
      </c>
      <c r="F14552" s="4" t="str">
        <f>IF(B14552=B14551,"",B14552)</f>
        <v>Petrovsk-Zabaykal’skiy</v>
      </c>
    </row>
    <row r="14553" spans="1:6" ht="15.75" customHeight="1">
      <c r="A14553" s="16" t="s">
        <v>22936</v>
      </c>
      <c r="B14553" s="15" t="s">
        <v>22936</v>
      </c>
      <c r="C14553" s="16" t="s">
        <v>22070</v>
      </c>
      <c r="D14553" s="16" t="s">
        <v>22119</v>
      </c>
      <c r="E14553" s="2">
        <v>509981</v>
      </c>
      <c r="F14553" s="4" t="str">
        <f>IF(B14553=B14552,"",B14553)</f>
        <v>Petrovskaya</v>
      </c>
    </row>
    <row r="14554" spans="1:6" ht="15.75" customHeight="1">
      <c r="A14554" s="8" t="str">
        <f ca="1">IFERROR(__xludf.DUMMYFUNCTION("GOOGLETRANSLATE(B40198,""en"",""pt"")"),"Petrovskaya")</f>
        <v>Petrovskaya</v>
      </c>
      <c r="B14554" s="11" t="s">
        <v>22936</v>
      </c>
      <c r="C14554" s="11" t="s">
        <v>22070</v>
      </c>
      <c r="D14554" s="11" t="s">
        <v>22119</v>
      </c>
      <c r="E14554" s="10">
        <v>509981</v>
      </c>
      <c r="F14554" s="4" t="str">
        <f>IF(B14554=B14553,"",B14554)</f>
        <v/>
      </c>
    </row>
    <row r="14555" spans="1:6" ht="15.75" customHeight="1">
      <c r="A14555" s="15" t="s">
        <v>22935</v>
      </c>
      <c r="B14555" s="15" t="s">
        <v>22935</v>
      </c>
      <c r="C14555" s="15" t="s">
        <v>22070</v>
      </c>
      <c r="D14555" s="15" t="s">
        <v>22171</v>
      </c>
      <c r="E14555" s="2">
        <v>509987</v>
      </c>
      <c r="F14555" s="4" t="str">
        <f>IF(B14555=B14554,"",B14555)</f>
        <v>Petrovsk</v>
      </c>
    </row>
    <row r="14556" spans="1:6" ht="15.75" customHeight="1">
      <c r="A14556" s="8" t="str">
        <f ca="1">IFERROR(__xludf.DUMMYFUNCTION("GOOGLETRANSLATE(B40199,""en"",""pt"")"),"Petrovsk")</f>
        <v>Petrovsk</v>
      </c>
      <c r="B14556" s="11" t="s">
        <v>22935</v>
      </c>
      <c r="C14556" s="11" t="s">
        <v>22070</v>
      </c>
      <c r="D14556" s="11" t="s">
        <v>22171</v>
      </c>
      <c r="E14556" s="10">
        <v>509987</v>
      </c>
      <c r="F14556" s="4" t="str">
        <f>IF(B14556=B14555,"",B14556)</f>
        <v/>
      </c>
    </row>
    <row r="14557" spans="1:6" ht="15.75" customHeight="1">
      <c r="A14557" s="8" t="str">
        <f ca="1">IFERROR(__xludf.DUMMYFUNCTION("GOOGLETRANSLATE(B30966,""en"",""pt"")"),"Petroúpolis")</f>
        <v>Petroúpolis</v>
      </c>
      <c r="B14557" s="11" t="s">
        <v>32677</v>
      </c>
      <c r="C14557" s="11" t="s">
        <v>9441</v>
      </c>
      <c r="D14557" s="11" t="s">
        <v>9445</v>
      </c>
      <c r="E14557" s="10">
        <v>255377</v>
      </c>
      <c r="F14557" s="4" t="str">
        <f>IF(B14557=B14556,"",B14557)</f>
        <v>Petroúpolis</v>
      </c>
    </row>
    <row r="14558" spans="1:6" ht="15.75" customHeight="1">
      <c r="A14558" s="8" t="str">
        <f ca="1">IFERROR(__xludf.DUMMYFUNCTION("GOOGLETRANSLATE(B39764,""en"",""pt"")"),"Petroşani")</f>
        <v>Petroşani</v>
      </c>
      <c r="B14558" s="11" t="s">
        <v>35368</v>
      </c>
      <c r="C14558" s="11" t="s">
        <v>21824</v>
      </c>
      <c r="D14558" s="11" t="s">
        <v>21865</v>
      </c>
      <c r="E14558" s="10">
        <v>670938</v>
      </c>
      <c r="F14558" s="4" t="str">
        <f>IF(B14558=B14557,"",B14558)</f>
        <v>Petroşani</v>
      </c>
    </row>
    <row r="14559" spans="1:6" ht="15.75" customHeight="1">
      <c r="A14559" s="8" t="str">
        <f ca="1">IFERROR(__xludf.DUMMYFUNCTION("GOOGLETRANSLATE(B24719,""en"",""pt"")"),"Petrópolis")</f>
        <v>Petrópolis</v>
      </c>
      <c r="B14559" s="11" t="s">
        <v>31558</v>
      </c>
      <c r="C14559" s="11" t="s">
        <v>1905</v>
      </c>
      <c r="D14559" s="11" t="s">
        <v>1978</v>
      </c>
      <c r="E14559" s="10">
        <v>3454031</v>
      </c>
      <c r="F14559" s="4" t="str">
        <f>IF(B14559=B14558,"",B14559)</f>
        <v>Petrópolis</v>
      </c>
    </row>
    <row r="14560" spans="1:6" ht="15.75" customHeight="1">
      <c r="A14560" s="16" t="s">
        <v>22933</v>
      </c>
      <c r="B14560" s="15" t="s">
        <v>22933</v>
      </c>
      <c r="C14560" s="16" t="s">
        <v>22070</v>
      </c>
      <c r="D14560" s="16" t="s">
        <v>22934</v>
      </c>
      <c r="E14560" s="2">
        <v>2122104</v>
      </c>
      <c r="F14560" s="4" t="str">
        <f>IF(B14560=B14559,"",B14560)</f>
        <v>Petropavlovsk-Kamchatsky</v>
      </c>
    </row>
    <row r="14561" spans="1:6" ht="15.75" customHeight="1">
      <c r="A14561" s="8" t="str">
        <f ca="1">IFERROR(__xludf.DUMMYFUNCTION("GOOGLETRANSLATE(B40959,""en"",""pt"")"),"Petropavlovsk-Kamchatsky")</f>
        <v>Petropavlovsk-Kamchatsky</v>
      </c>
      <c r="B14561" s="11" t="s">
        <v>22933</v>
      </c>
      <c r="C14561" s="11" t="s">
        <v>22070</v>
      </c>
      <c r="D14561" s="11" t="s">
        <v>22934</v>
      </c>
      <c r="E14561" s="10">
        <v>2122104</v>
      </c>
      <c r="F14561" s="4" t="str">
        <f>IF(B14561=B14560,"",B14561)</f>
        <v/>
      </c>
    </row>
    <row r="14562" spans="1:6" ht="15.75" customHeight="1">
      <c r="A14562" s="16" t="s">
        <v>16732</v>
      </c>
      <c r="B14562" s="15" t="s">
        <v>16733</v>
      </c>
      <c r="C14562" s="16" t="s">
        <v>16671</v>
      </c>
      <c r="D14562" s="16" t="s">
        <v>16734</v>
      </c>
      <c r="E14562" s="2">
        <v>1520172</v>
      </c>
      <c r="F14562" s="4" t="str">
        <f>IF(B14562=B14561,"",B14562)</f>
        <v>Petropavl</v>
      </c>
    </row>
    <row r="14563" spans="1:6" ht="15.75" customHeight="1">
      <c r="A14563" s="8" t="str">
        <f ca="1">IFERROR(__xludf.DUMMYFUNCTION("GOOGLETRANSLATE(B36229,""en"",""pt"")"),"PETOPAVL")</f>
        <v>PETOPAVL</v>
      </c>
      <c r="B14563" s="11" t="s">
        <v>16733</v>
      </c>
      <c r="C14563" s="11" t="s">
        <v>16671</v>
      </c>
      <c r="D14563" s="11" t="s">
        <v>34503</v>
      </c>
      <c r="E14563" s="10">
        <v>1520172</v>
      </c>
      <c r="F14563" s="4" t="str">
        <f>IF(B14563=B14562,"",B14563)</f>
        <v/>
      </c>
    </row>
    <row r="14564" spans="1:6" ht="15.75" customHeight="1">
      <c r="A14564" s="15" t="s">
        <v>3086</v>
      </c>
      <c r="B14564" s="15" t="s">
        <v>3086</v>
      </c>
      <c r="C14564" s="15" t="s">
        <v>1905</v>
      </c>
      <c r="D14564" s="15" t="s">
        <v>1909</v>
      </c>
      <c r="E14564" s="2">
        <v>3392242</v>
      </c>
      <c r="F14564" s="4" t="str">
        <f>IF(B14564=B14563,"",B14564)</f>
        <v>Petrolina</v>
      </c>
    </row>
    <row r="14565" spans="1:6" ht="15.75" customHeight="1">
      <c r="A14565" s="8" t="str">
        <f ca="1">IFERROR(__xludf.DUMMYFUNCTION("GOOGLETRANSLATE(B24229,""en"",""pt"")"),"Petrolina")</f>
        <v>Petrolina</v>
      </c>
      <c r="B14565" s="11" t="s">
        <v>3086</v>
      </c>
      <c r="C14565" s="11" t="s">
        <v>1905</v>
      </c>
      <c r="D14565" s="11" t="s">
        <v>1909</v>
      </c>
      <c r="E14565" s="10">
        <v>3392242</v>
      </c>
      <c r="F14565" s="4" t="str">
        <f>IF(B14565=B14564,"",B14565)</f>
        <v/>
      </c>
    </row>
    <row r="14566" spans="1:6" ht="15.75" customHeight="1">
      <c r="A14566" s="16" t="s">
        <v>22932</v>
      </c>
      <c r="B14566" s="15" t="s">
        <v>22932</v>
      </c>
      <c r="C14566" s="16" t="s">
        <v>22070</v>
      </c>
      <c r="D14566" s="16" t="s">
        <v>22084</v>
      </c>
      <c r="E14566" s="2">
        <v>8504948</v>
      </c>
      <c r="F14566" s="4" t="str">
        <f>IF(B14566=B14565,"",B14566)</f>
        <v>Petrogradka</v>
      </c>
    </row>
    <row r="14567" spans="1:6" ht="15.75" customHeight="1">
      <c r="A14567" s="8" t="str">
        <f ca="1">IFERROR(__xludf.DUMMYFUNCTION("GOOGLETRANSLATE(B40985,""en"",""pt"")"),"Petrogradka")</f>
        <v>Petrogradka</v>
      </c>
      <c r="B14567" s="11" t="s">
        <v>22932</v>
      </c>
      <c r="C14567" s="11" t="s">
        <v>22070</v>
      </c>
      <c r="D14567" s="11" t="s">
        <v>22084</v>
      </c>
      <c r="E14567" s="10">
        <v>8504948</v>
      </c>
      <c r="F14567" s="4" t="str">
        <f>IF(B14567=B14566,"",B14567)</f>
        <v/>
      </c>
    </row>
    <row r="14568" spans="1:6" ht="15.75" customHeight="1">
      <c r="A14568" s="16" t="s">
        <v>22931</v>
      </c>
      <c r="B14568" s="15" t="s">
        <v>22931</v>
      </c>
      <c r="C14568" s="16" t="s">
        <v>22070</v>
      </c>
      <c r="D14568" s="16" t="s">
        <v>22084</v>
      </c>
      <c r="E14568" s="2">
        <v>510225</v>
      </c>
      <c r="F14568" s="4" t="str">
        <f>IF(B14568=B14567,"",B14568)</f>
        <v>Petrodvorets</v>
      </c>
    </row>
    <row r="14569" spans="1:6" ht="15.75" customHeight="1">
      <c r="A14569" s="8" t="str">
        <f ca="1">IFERROR(__xludf.DUMMYFUNCTION("GOOGLETRANSLATE(B40200,""en"",""pt"")"),"Petrodvorets")</f>
        <v>Petrodvorets</v>
      </c>
      <c r="B14569" s="11" t="s">
        <v>22931</v>
      </c>
      <c r="C14569" s="11" t="s">
        <v>22070</v>
      </c>
      <c r="D14569" s="11" t="s">
        <v>22084</v>
      </c>
      <c r="E14569" s="10">
        <v>510225</v>
      </c>
      <c r="F14569" s="4" t="str">
        <f>IF(B14569=B14568,"",B14569)</f>
        <v/>
      </c>
    </row>
    <row r="14570" spans="1:6" ht="15.75" customHeight="1">
      <c r="A14570" s="16" t="s">
        <v>21984</v>
      </c>
      <c r="B14570" s="15" t="s">
        <v>21985</v>
      </c>
      <c r="C14570" s="16" t="s">
        <v>21824</v>
      </c>
      <c r="D14570" s="16" t="s">
        <v>21865</v>
      </c>
      <c r="E14570" s="2">
        <v>670938</v>
      </c>
      <c r="F14570" s="4" t="str">
        <f>IF(B14570=B14569,"",B14570)</f>
        <v>PetroÅŸani</v>
      </c>
    </row>
    <row r="14571" spans="1:6" ht="15.75" customHeight="1">
      <c r="A14571" s="16" t="s">
        <v>9619</v>
      </c>
      <c r="B14571" s="15" t="s">
        <v>9620</v>
      </c>
      <c r="C14571" s="16" t="s">
        <v>9441</v>
      </c>
      <c r="D14571" s="16" t="s">
        <v>9445</v>
      </c>
      <c r="E14571" s="2">
        <v>255377</v>
      </c>
      <c r="F14571" s="4" t="str">
        <f>IF(B14571=B14570,"",B14571)</f>
        <v>PetroÃºpolis</v>
      </c>
    </row>
    <row r="14572" spans="1:6" ht="15.75" customHeight="1">
      <c r="A14572" s="15" t="s">
        <v>21983</v>
      </c>
      <c r="B14572" s="15" t="s">
        <v>21983</v>
      </c>
      <c r="C14572" s="15" t="s">
        <v>21824</v>
      </c>
      <c r="D14572" s="15" t="s">
        <v>21865</v>
      </c>
      <c r="E14572" s="2">
        <v>670969</v>
      </c>
      <c r="F14572" s="4" t="str">
        <f>IF(B14572=B14571,"",B14572)</f>
        <v>Petrila</v>
      </c>
    </row>
    <row r="14573" spans="1:6" ht="15.75" customHeight="1">
      <c r="A14573" s="8" t="str">
        <f ca="1">IFERROR(__xludf.DUMMYFUNCTION("GOOGLETRANSLATE(B39765,""en"",""pt"")"),"Petrila")</f>
        <v>Petrila</v>
      </c>
      <c r="B14573" s="11" t="s">
        <v>21983</v>
      </c>
      <c r="C14573" s="11" t="s">
        <v>21824</v>
      </c>
      <c r="D14573" s="11" t="s">
        <v>21865</v>
      </c>
      <c r="E14573" s="10">
        <v>670969</v>
      </c>
      <c r="F14573" s="4" t="str">
        <f>IF(B14573=B14572,"",B14573)</f>
        <v/>
      </c>
    </row>
    <row r="14574" spans="1:6" ht="15.75" customHeight="1">
      <c r="A14574" s="15" t="s">
        <v>3740</v>
      </c>
      <c r="B14574" s="15" t="s">
        <v>3740</v>
      </c>
      <c r="C14574" s="15" t="s">
        <v>3701</v>
      </c>
      <c r="D14574" s="15" t="s">
        <v>3707</v>
      </c>
      <c r="E14574" s="2">
        <v>728288</v>
      </c>
      <c r="F14574" s="4" t="str">
        <f>IF(B14574=B14573,"",B14574)</f>
        <v>Petrich</v>
      </c>
    </row>
    <row r="14575" spans="1:6" ht="15.75" customHeight="1">
      <c r="A14575" s="8" t="str">
        <f ca="1">IFERROR(__xludf.DUMMYFUNCTION("GOOGLETRANSLATE(B24034,""en"",""pt"")"),"Petrich")</f>
        <v>Petrich</v>
      </c>
      <c r="B14575" s="11" t="s">
        <v>3740</v>
      </c>
      <c r="C14575" s="11" t="s">
        <v>3701</v>
      </c>
      <c r="D14575" s="11" t="s">
        <v>3707</v>
      </c>
      <c r="E14575" s="10">
        <v>728288</v>
      </c>
      <c r="F14575" s="4" t="str">
        <f>IF(B14575=B14574,"",B14575)</f>
        <v/>
      </c>
    </row>
    <row r="14576" spans="1:6" ht="15.75" customHeight="1">
      <c r="A14576" s="16" t="s">
        <v>3084</v>
      </c>
      <c r="B14576" s="15" t="s">
        <v>3085</v>
      </c>
      <c r="C14576" s="16" t="s">
        <v>1905</v>
      </c>
      <c r="D14576" s="16" t="s">
        <v>1978</v>
      </c>
      <c r="E14576" s="2">
        <v>3454031</v>
      </c>
      <c r="F14576" s="4" t="str">
        <f>IF(B14576=B14575,"",B14576)</f>
        <v>PetrÃ³polis</v>
      </c>
    </row>
    <row r="14577" spans="1:6" ht="15.75" customHeight="1">
      <c r="A14577" s="15" t="s">
        <v>18164</v>
      </c>
      <c r="B14577" s="15" t="s">
        <v>18164</v>
      </c>
      <c r="C14577" s="15" t="s">
        <v>17707</v>
      </c>
      <c r="D14577" s="15" t="s">
        <v>17823</v>
      </c>
      <c r="E14577" s="2">
        <v>3521596</v>
      </c>
      <c r="F14577" s="4" t="str">
        <f>IF(B14577=B14576,"",B14577)</f>
        <v>Peto</v>
      </c>
    </row>
    <row r="14578" spans="1:6" ht="15.75" customHeight="1">
      <c r="A14578" s="8" t="str">
        <f ca="1">IFERROR(__xludf.DUMMYFUNCTION("GOOGLETRANSLATE(B36950,""en"",""pt"")"),"Peto")</f>
        <v>Peto</v>
      </c>
      <c r="B14578" s="11" t="s">
        <v>18164</v>
      </c>
      <c r="C14578" s="11" t="s">
        <v>17707</v>
      </c>
      <c r="D14578" s="11" t="s">
        <v>34661</v>
      </c>
      <c r="E14578" s="10">
        <v>3521596</v>
      </c>
      <c r="F14578" s="4" t="str">
        <f>IF(B14578=B14577,"",B14578)</f>
        <v/>
      </c>
    </row>
    <row r="14579" spans="1:6" ht="15.75" customHeight="1">
      <c r="A14579" s="8" t="str">
        <f ca="1">IFERROR(__xludf.DUMMYFUNCTION("GOOGLETRANSLATE(B32476,""en"",""pt"")"),"Petlād")</f>
        <v>Petlād</v>
      </c>
      <c r="B14579" s="11" t="s">
        <v>33234</v>
      </c>
      <c r="C14579" s="11" t="s">
        <v>10178</v>
      </c>
      <c r="D14579" s="11" t="s">
        <v>10209</v>
      </c>
      <c r="E14579" s="10">
        <v>1259841</v>
      </c>
      <c r="F14579" s="4" t="str">
        <f>IF(B14579=B14578,"",B14579)</f>
        <v>Petlād</v>
      </c>
    </row>
    <row r="14580" spans="1:6" ht="15.75" customHeight="1">
      <c r="A14580" s="15" t="s">
        <v>12867</v>
      </c>
      <c r="B14580" s="15" t="s">
        <v>12868</v>
      </c>
      <c r="C14580" s="15" t="s">
        <v>10178</v>
      </c>
      <c r="D14580" s="15" t="s">
        <v>10209</v>
      </c>
      <c r="E14580" s="2">
        <v>1259841</v>
      </c>
      <c r="F14580" s="4" t="str">
        <f>IF(B14580=B14579,"",B14580)</f>
        <v>PetlÄd</v>
      </c>
    </row>
    <row r="14581" spans="1:6" ht="15.75" customHeight="1">
      <c r="A14581" s="8" t="str">
        <f ca="1">IFERROR(__xludf.DUMMYFUNCTION("GOOGLETRANSLATE(B36787,""en"",""pt"")"),"Petite Rivière Salée")</f>
        <v>Petite Rivière Salée</v>
      </c>
      <c r="B14581" s="11" t="s">
        <v>34642</v>
      </c>
      <c r="C14581" s="11" t="s">
        <v>17635</v>
      </c>
      <c r="D14581" s="11" t="s">
        <v>17635</v>
      </c>
      <c r="E14581" s="10">
        <v>3570166</v>
      </c>
      <c r="F14581" s="4" t="str">
        <f>IF(B14581=B14580,"",B14581)</f>
        <v>Petite Rivière Salée</v>
      </c>
    </row>
    <row r="14582" spans="1:6" ht="15.75" customHeight="1">
      <c r="A14582" s="16" t="s">
        <v>17643</v>
      </c>
      <c r="B14582" s="15" t="s">
        <v>17644</v>
      </c>
      <c r="C14582" s="16" t="s">
        <v>17635</v>
      </c>
      <c r="D14582" s="16" t="s">
        <v>17635</v>
      </c>
      <c r="E14582" s="2">
        <v>3570166</v>
      </c>
      <c r="F14582" s="4" t="str">
        <f>IF(B14582=B14581,"",B14582)</f>
        <v>Petite RiviÃ¨re SalÃ©e</v>
      </c>
    </row>
    <row r="14583" spans="1:6" ht="15.75" customHeight="1">
      <c r="A14583" s="16" t="s">
        <v>9677</v>
      </c>
      <c r="B14583" s="15" t="s">
        <v>9677</v>
      </c>
      <c r="C14583" s="16" t="s">
        <v>9670</v>
      </c>
      <c r="D14583" s="16" t="s">
        <v>9670</v>
      </c>
      <c r="E14583" s="2">
        <v>3578682</v>
      </c>
      <c r="F14583" s="4" t="str">
        <f>IF(B14583=B14582,"",B14583)</f>
        <v>Petit-Bourg</v>
      </c>
    </row>
    <row r="14584" spans="1:6" ht="15.75" customHeight="1">
      <c r="A14584" s="8" t="str">
        <f ca="1">IFERROR(__xludf.DUMMYFUNCTION("GOOGLETRANSLATE(B30943,""en"",""pt"")"),"Petit-Bourg")</f>
        <v>Petit-Bourg</v>
      </c>
      <c r="B14584" s="11" t="s">
        <v>9677</v>
      </c>
      <c r="C14584" s="11" t="s">
        <v>9670</v>
      </c>
      <c r="D14584" s="11" t="s">
        <v>9670</v>
      </c>
      <c r="E14584" s="10">
        <v>3578682</v>
      </c>
      <c r="F14584" s="4" t="str">
        <f>IF(B14584=B14583,"",B14584)</f>
        <v/>
      </c>
    </row>
    <row r="14585" spans="1:6" ht="15.75" customHeight="1">
      <c r="A14585" s="8" t="str">
        <f ca="1">IFERROR(__xludf.DUMMYFUNCTION("GOOGLETRANSLATE(B31220,""en"",""pt"")"),"Pétionville")</f>
        <v>Pétionville</v>
      </c>
      <c r="B14585" s="9" t="s">
        <v>32815</v>
      </c>
      <c r="C14585" s="9" t="s">
        <v>9866</v>
      </c>
      <c r="D14585" s="9" t="s">
        <v>9867</v>
      </c>
      <c r="E14585" s="10">
        <v>3719028</v>
      </c>
      <c r="F14585" s="4" t="str">
        <f>IF(B14585=B14584,"",B14585)</f>
        <v>Pétionville</v>
      </c>
    </row>
    <row r="14586" spans="1:6" ht="15.75" customHeight="1">
      <c r="A14586" s="16" t="s">
        <v>8991</v>
      </c>
      <c r="B14586" s="15" t="s">
        <v>8991</v>
      </c>
      <c r="C14586" s="16" t="s">
        <v>8028</v>
      </c>
      <c r="D14586" s="16" t="s">
        <v>8029</v>
      </c>
      <c r="E14586" s="2">
        <v>2854655</v>
      </c>
      <c r="F14586" s="4" t="str">
        <f>IF(B14586=B14585,"",B14586)</f>
        <v>Petershagen</v>
      </c>
    </row>
    <row r="14587" spans="1:6" ht="15.75" customHeight="1">
      <c r="A14587" s="8" t="str">
        <f ca="1">IFERROR(__xludf.DUMMYFUNCTION("GOOGLETRANSLATE(B27651,""en"",""pt"")"),"Petershagen")</f>
        <v>Petershagen</v>
      </c>
      <c r="B14587" s="9" t="s">
        <v>8991</v>
      </c>
      <c r="C14587" s="9" t="s">
        <v>8028</v>
      </c>
      <c r="D14587" s="9" t="s">
        <v>8029</v>
      </c>
      <c r="E14587" s="10">
        <v>2854655</v>
      </c>
      <c r="F14587" s="4" t="str">
        <f>IF(B14587=B14586,"",B14587)</f>
        <v/>
      </c>
    </row>
    <row r="14588" spans="1:6" ht="15.75" customHeight="1">
      <c r="A14588" s="15" t="s">
        <v>27594</v>
      </c>
      <c r="B14588" s="15" t="s">
        <v>27594</v>
      </c>
      <c r="C14588" s="15" t="s">
        <v>27234</v>
      </c>
      <c r="D14588" s="15" t="s">
        <v>27241</v>
      </c>
      <c r="E14588" s="2">
        <v>2640349</v>
      </c>
      <c r="F14588" s="4" t="str">
        <f>IF(B14588=B14587,"",B14588)</f>
        <v>Peterlee</v>
      </c>
    </row>
    <row r="14589" spans="1:6" ht="15.75" customHeight="1">
      <c r="A14589" s="8" t="str">
        <f ca="1">IFERROR(__xludf.DUMMYFUNCTION("GOOGLETRANSLATE(B30483,""en"",""pt"")"),"Peterlee")</f>
        <v>Peterlee</v>
      </c>
      <c r="B14589" s="9" t="s">
        <v>27594</v>
      </c>
      <c r="C14589" s="9" t="s">
        <v>27234</v>
      </c>
      <c r="D14589" s="9" t="s">
        <v>27241</v>
      </c>
      <c r="E14589" s="10">
        <v>2640349</v>
      </c>
      <c r="F14589" s="4" t="str">
        <f>IF(B14589=B14588,"",B14589)</f>
        <v/>
      </c>
    </row>
    <row r="14590" spans="1:6" ht="15.75" customHeight="1">
      <c r="A14590" s="15" t="s">
        <v>22930</v>
      </c>
      <c r="B14590" s="15" t="s">
        <v>22930</v>
      </c>
      <c r="C14590" s="15" t="s">
        <v>22070</v>
      </c>
      <c r="D14590" s="15" t="s">
        <v>22084</v>
      </c>
      <c r="E14590" s="2">
        <v>510291</v>
      </c>
      <c r="F14590" s="4" t="str">
        <f>IF(B14590=B14589,"",B14590)</f>
        <v>Peterhof</v>
      </c>
    </row>
    <row r="14591" spans="1:6" ht="15.75" customHeight="1">
      <c r="A14591" s="8" t="str">
        <f ca="1">IFERROR(__xludf.DUMMYFUNCTION("GOOGLETRANSLATE(B40201,""en"",""pt"")"),"Peterhof")</f>
        <v>Peterhof</v>
      </c>
      <c r="B14591" s="9" t="s">
        <v>22930</v>
      </c>
      <c r="C14591" s="9" t="s">
        <v>22070</v>
      </c>
      <c r="D14591" s="9" t="s">
        <v>22084</v>
      </c>
      <c r="E14591" s="10">
        <v>510291</v>
      </c>
      <c r="F14591" s="4" t="str">
        <f>IF(B14591=B14590,"",B14591)</f>
        <v/>
      </c>
    </row>
    <row r="14592" spans="1:6" ht="15.75" customHeight="1">
      <c r="A14592" s="16" t="s">
        <v>27593</v>
      </c>
      <c r="B14592" s="15" t="s">
        <v>27593</v>
      </c>
      <c r="C14592" s="16" t="s">
        <v>27234</v>
      </c>
      <c r="D14592" s="16" t="s">
        <v>27237</v>
      </c>
      <c r="E14592" s="2">
        <v>2640351</v>
      </c>
      <c r="F14592" s="4" t="str">
        <f>IF(B14592=B14591,"",B14592)</f>
        <v>Peterhead</v>
      </c>
    </row>
    <row r="14593" spans="1:6" ht="15.75" customHeight="1">
      <c r="A14593" s="8" t="str">
        <f ca="1">IFERROR(__xludf.DUMMYFUNCTION("GOOGLETRANSLATE(B30484,""en"",""pt"")"),"Peterhead")</f>
        <v>Peterhead</v>
      </c>
      <c r="B14593" s="9" t="s">
        <v>27593</v>
      </c>
      <c r="C14593" s="9" t="s">
        <v>27234</v>
      </c>
      <c r="D14593" s="9" t="s">
        <v>27237</v>
      </c>
      <c r="E14593" s="10">
        <v>2640351</v>
      </c>
      <c r="F14593" s="4" t="str">
        <f>IF(B14593=B14592,"",B14593)</f>
        <v/>
      </c>
    </row>
    <row r="14594" spans="1:6" ht="15.75" customHeight="1">
      <c r="A14594" s="16" t="s">
        <v>4140</v>
      </c>
      <c r="B14594" s="15" t="s">
        <v>4140</v>
      </c>
      <c r="C14594" s="16" t="s">
        <v>3975</v>
      </c>
      <c r="D14594" s="16" t="s">
        <v>3980</v>
      </c>
      <c r="E14594" s="2">
        <v>6101645</v>
      </c>
      <c r="F14594" s="4" t="str">
        <f>IF(B14594=B14593,"",B14594)</f>
        <v>Peterborough</v>
      </c>
    </row>
    <row r="14595" spans="1:6" ht="15.75" customHeight="1">
      <c r="A14595" s="16" t="s">
        <v>4140</v>
      </c>
      <c r="B14595" s="15" t="s">
        <v>4140</v>
      </c>
      <c r="C14595" s="16" t="s">
        <v>27234</v>
      </c>
      <c r="D14595" s="16" t="s">
        <v>27241</v>
      </c>
      <c r="E14595" s="2">
        <v>2640354</v>
      </c>
      <c r="F14595" s="4" t="str">
        <f>IF(B14595=B14594,"",B14595)</f>
        <v/>
      </c>
    </row>
    <row r="14596" spans="1:6" ht="15.75" customHeight="1">
      <c r="A14596" s="8" t="str">
        <f ca="1">IFERROR(__xludf.DUMMYFUNCTION("GOOGLETRANSLATE(B25544,""en"",""pt"")"),"Peterborough")</f>
        <v>Peterborough</v>
      </c>
      <c r="B14596" s="11" t="s">
        <v>4140</v>
      </c>
      <c r="C14596" s="11" t="s">
        <v>3975</v>
      </c>
      <c r="D14596" s="11" t="s">
        <v>3980</v>
      </c>
      <c r="E14596" s="10">
        <v>6101645</v>
      </c>
      <c r="F14596" s="4" t="str">
        <f>IF(B14596=B14595,"",B14596)</f>
        <v/>
      </c>
    </row>
    <row r="14597" spans="1:6" ht="15.75" customHeight="1">
      <c r="A14597" s="8" t="str">
        <f ca="1">IFERROR(__xludf.DUMMYFUNCTION("GOOGLETRANSLATE(B30485,""en"",""pt"")"),"Peterborough")</f>
        <v>Peterborough</v>
      </c>
      <c r="B14597" s="9" t="s">
        <v>4140</v>
      </c>
      <c r="C14597" s="9" t="s">
        <v>27234</v>
      </c>
      <c r="D14597" s="9" t="s">
        <v>27241</v>
      </c>
      <c r="E14597" s="10">
        <v>2640354</v>
      </c>
      <c r="F14597" s="4" t="str">
        <f>IF(B14597=B14596,"",B14597)</f>
        <v/>
      </c>
    </row>
    <row r="14598" spans="1:6" ht="15.75" customHeight="1">
      <c r="A14598" s="16" t="s">
        <v>4139</v>
      </c>
      <c r="B14598" s="15" t="s">
        <v>4139</v>
      </c>
      <c r="C14598" s="16" t="s">
        <v>3975</v>
      </c>
      <c r="D14598" s="16" t="s">
        <v>3980</v>
      </c>
      <c r="E14598" s="2">
        <v>6101606</v>
      </c>
      <c r="F14598" s="4" t="str">
        <f>IF(B14598=B14597,"",B14598)</f>
        <v>Petawawa</v>
      </c>
    </row>
    <row r="14599" spans="1:6" ht="15.75" customHeight="1">
      <c r="A14599" s="8" t="str">
        <f ca="1">IFERROR(__xludf.DUMMYFUNCTION("GOOGLETRANSLATE(B25543,""en"",""pt"")"),"Petawawa")</f>
        <v>Petawawa</v>
      </c>
      <c r="B14599" s="9" t="s">
        <v>4139</v>
      </c>
      <c r="C14599" s="9" t="s">
        <v>3975</v>
      </c>
      <c r="D14599" s="9" t="s">
        <v>3980</v>
      </c>
      <c r="E14599" s="10">
        <v>6101606</v>
      </c>
      <c r="F14599" s="4" t="str">
        <f>IF(B14599=B14598,"",B14599)</f>
        <v/>
      </c>
    </row>
    <row r="14600" spans="1:6" ht="15.75" customHeight="1">
      <c r="A14600" s="15" t="s">
        <v>31067</v>
      </c>
      <c r="B14600" s="15" t="s">
        <v>31067</v>
      </c>
      <c r="C14600" s="15" t="s">
        <v>31038</v>
      </c>
      <c r="D14600" s="15" t="s">
        <v>9366</v>
      </c>
      <c r="E14600" s="2">
        <v>899825</v>
      </c>
      <c r="F14600" s="4" t="str">
        <f>IF(B14600=B14599,"",B14600)</f>
        <v>Petauke</v>
      </c>
    </row>
    <row r="14601" spans="1:6" ht="15.75" customHeight="1">
      <c r="A14601" s="8" t="str">
        <f ca="1">IFERROR(__xludf.DUMMYFUNCTION("GOOGLETRANSLATE(B46008,""en"",""pt"")"),"Petauke")</f>
        <v>Petauke</v>
      </c>
      <c r="B14601" s="9" t="s">
        <v>31067</v>
      </c>
      <c r="C14601" s="9" t="s">
        <v>31038</v>
      </c>
      <c r="D14601" s="9" t="s">
        <v>9366</v>
      </c>
      <c r="E14601" s="10">
        <v>899825</v>
      </c>
      <c r="F14601" s="4" t="str">
        <f>IF(B14601=B14600,"",B14601)</f>
        <v/>
      </c>
    </row>
    <row r="14602" spans="1:6" ht="15.75" customHeight="1">
      <c r="A14602" s="8" t="str">
        <f ca="1">IFERROR(__xludf.DUMMYFUNCTION("GOOGLETRANSLATE(B37223,""en"",""pt"")"),"Petatlán")</f>
        <v>Petatlán</v>
      </c>
      <c r="B14602" s="11" t="s">
        <v>34749</v>
      </c>
      <c r="C14602" s="11" t="s">
        <v>17707</v>
      </c>
      <c r="D14602" s="11" t="s">
        <v>17723</v>
      </c>
      <c r="E14602" s="10">
        <v>3992842</v>
      </c>
      <c r="F14602" s="4" t="str">
        <f>IF(B14602=B14601,"",B14602)</f>
        <v>Petatlán</v>
      </c>
    </row>
    <row r="14603" spans="1:6" ht="15.75" customHeight="1">
      <c r="A14603" s="15" t="s">
        <v>18162</v>
      </c>
      <c r="B14603" s="15" t="s">
        <v>18163</v>
      </c>
      <c r="C14603" s="15" t="s">
        <v>17707</v>
      </c>
      <c r="D14603" s="15" t="s">
        <v>17723</v>
      </c>
      <c r="E14603" s="2">
        <v>3992842</v>
      </c>
      <c r="F14603" s="4" t="str">
        <f>IF(B14603=B14602,"",B14603)</f>
        <v>PetatlÃ¡n</v>
      </c>
    </row>
    <row r="14604" spans="1:6" ht="15.75" customHeight="1">
      <c r="A14604" s="16" t="s">
        <v>14103</v>
      </c>
      <c r="B14604" s="15" t="s">
        <v>14103</v>
      </c>
      <c r="C14604" s="16" t="s">
        <v>13800</v>
      </c>
      <c r="D14604" s="16" t="s">
        <v>13803</v>
      </c>
      <c r="E14604" s="2">
        <v>1631271</v>
      </c>
      <c r="F14604" s="4" t="str">
        <f>IF(B14604=B14603,"",B14604)</f>
        <v>Petarukan</v>
      </c>
    </row>
    <row r="14605" spans="1:6" ht="15.75" customHeight="1">
      <c r="A14605" s="8" t="str">
        <f ca="1">IFERROR(__xludf.DUMMYFUNCTION("GOOGLETRANSLATE(B31489,""en"",""pt"")"),"Petarukan")</f>
        <v>Petarukan</v>
      </c>
      <c r="B14605" s="9" t="s">
        <v>14103</v>
      </c>
      <c r="C14605" s="9" t="s">
        <v>13800</v>
      </c>
      <c r="D14605" s="9" t="s">
        <v>13803</v>
      </c>
      <c r="E14605" s="10">
        <v>1631271</v>
      </c>
      <c r="F14605" s="4" t="str">
        <f>IF(B14605=B14604,"",B14605)</f>
        <v/>
      </c>
    </row>
    <row r="14606" spans="1:6" ht="15.75" customHeight="1">
      <c r="A14606" s="15" t="s">
        <v>30736</v>
      </c>
      <c r="B14606" s="15" t="s">
        <v>30737</v>
      </c>
      <c r="C14606" s="15" t="s">
        <v>5923</v>
      </c>
      <c r="D14606" s="15" t="s">
        <v>30647</v>
      </c>
      <c r="E14606" s="2">
        <v>3630297</v>
      </c>
      <c r="F14606" s="4" t="str">
        <f>IF(B14606=B14605,"",B14606)</f>
        <v>Petare</v>
      </c>
    </row>
    <row r="14607" spans="1:6" ht="15.75" customHeight="1">
      <c r="A14607" s="8" t="str">
        <f ca="1">IFERROR(__xludf.DUMMYFUNCTION("GOOGLETRANSLATE(B45638,""en"",""pt"")"),"Petee")</f>
        <v>Petee</v>
      </c>
      <c r="B14607" s="9" t="s">
        <v>30737</v>
      </c>
      <c r="C14607" s="9" t="s">
        <v>5923</v>
      </c>
      <c r="D14607" s="9" t="s">
        <v>30647</v>
      </c>
      <c r="E14607" s="10">
        <v>3630297</v>
      </c>
      <c r="F14607" s="4" t="str">
        <f>IF(B14607=B14606,"",B14607)</f>
        <v/>
      </c>
    </row>
    <row r="14608" spans="1:6" ht="15.75" customHeight="1">
      <c r="A14608" s="15" t="s">
        <v>9773</v>
      </c>
      <c r="B14608" s="15" t="s">
        <v>9773</v>
      </c>
      <c r="C14608" s="15" t="s">
        <v>9700</v>
      </c>
      <c r="D14608" s="15" t="s">
        <v>9700</v>
      </c>
      <c r="E14608" s="2">
        <v>3591415</v>
      </c>
      <c r="F14608" s="4" t="str">
        <f>IF(B14608=B14607,"",B14608)</f>
        <v>Petapa</v>
      </c>
    </row>
    <row r="14609" spans="1:6" ht="15.75" customHeight="1">
      <c r="A14609" s="8" t="str">
        <f ca="1">IFERROR(__xludf.DUMMYFUNCTION("GOOGLETRANSLATE(B31096,""en"",""pt"")"),"Petapa")</f>
        <v>Petapa</v>
      </c>
      <c r="B14609" s="9" t="s">
        <v>9773</v>
      </c>
      <c r="C14609" s="9" t="s">
        <v>9700</v>
      </c>
      <c r="D14609" s="9" t="s">
        <v>9700</v>
      </c>
      <c r="E14609" s="10">
        <v>3591415</v>
      </c>
      <c r="F14609" s="4" t="str">
        <f>IF(B14609=B14608,"",B14609)</f>
        <v/>
      </c>
    </row>
    <row r="14610" spans="1:6" ht="15.75" customHeight="1">
      <c r="A14610" s="15" t="s">
        <v>29666</v>
      </c>
      <c r="B14610" s="15" t="s">
        <v>29666</v>
      </c>
      <c r="C14610" s="15" t="s">
        <v>27788</v>
      </c>
      <c r="D14610" s="15" t="s">
        <v>27801</v>
      </c>
      <c r="E14610" s="2">
        <v>5382232</v>
      </c>
      <c r="F14610" s="4" t="str">
        <f>IF(B14610=B14609,"",B14610)</f>
        <v>Petaluma</v>
      </c>
    </row>
    <row r="14611" spans="1:6" ht="15.75" customHeight="1">
      <c r="A14611" s="8" t="str">
        <f ca="1">IFERROR(__xludf.DUMMYFUNCTION("GOOGLETRANSLATE(B44959,""en"",""pt"")"),"Petaluma")</f>
        <v>Petaluma</v>
      </c>
      <c r="B14611" s="9" t="s">
        <v>29666</v>
      </c>
      <c r="C14611" s="9" t="s">
        <v>27788</v>
      </c>
      <c r="D14611" s="9" t="s">
        <v>27801</v>
      </c>
      <c r="E14611" s="10">
        <v>5382232</v>
      </c>
      <c r="F14611" s="4" t="str">
        <f>IF(B14611=B14610,"",B14611)</f>
        <v/>
      </c>
    </row>
    <row r="14612" spans="1:6" ht="15.75" customHeight="1">
      <c r="A14612" s="16" t="s">
        <v>17547</v>
      </c>
      <c r="B14612" s="15" t="s">
        <v>17548</v>
      </c>
      <c r="C14612" s="16" t="s">
        <v>17432</v>
      </c>
      <c r="D14612" s="16" t="s">
        <v>17446</v>
      </c>
      <c r="E14612" s="2">
        <v>1735158</v>
      </c>
      <c r="F14612" s="4" t="str">
        <f>IF(B14612=B14611,"",B14612)</f>
        <v>Petaling Jaya</v>
      </c>
    </row>
    <row r="14613" spans="1:6" ht="15.75" customHeight="1">
      <c r="A14613" s="8" t="str">
        <f ca="1">IFERROR(__xludf.DUMMYFUNCTION("GOOGLETRANSLATE(B37481,""en"",""pt"")"),"PETALING JAYA")</f>
        <v>PETALING JAYA</v>
      </c>
      <c r="B14613" s="9" t="s">
        <v>17548</v>
      </c>
      <c r="C14613" s="9" t="s">
        <v>17432</v>
      </c>
      <c r="D14613" s="9" t="s">
        <v>17446</v>
      </c>
      <c r="E14613" s="10">
        <v>1735158</v>
      </c>
      <c r="F14613" s="4" t="str">
        <f>IF(B14613=B14612,"",B14613)</f>
        <v/>
      </c>
    </row>
    <row r="14614" spans="1:6" ht="15.75" customHeight="1">
      <c r="A14614" s="8" t="str">
        <f ca="1">IFERROR(__xludf.DUMMYFUNCTION("GOOGLETRANSLATE(B31782,""en"",""pt"")"),"PETAẖ TIQWA")</f>
        <v>PETAẖ TIQWA</v>
      </c>
      <c r="B14614" s="11" t="s">
        <v>32919</v>
      </c>
      <c r="C14614" s="11" t="s">
        <v>14773</v>
      </c>
      <c r="D14614" s="11" t="s">
        <v>14800</v>
      </c>
      <c r="E14614" s="10">
        <v>293918</v>
      </c>
      <c r="F14614" s="4" t="str">
        <f>IF(B14614=B14613,"",B14614)</f>
        <v>Petaẖ Tiqwa</v>
      </c>
    </row>
    <row r="14615" spans="1:6" ht="15.75" customHeight="1">
      <c r="A14615" s="16" t="s">
        <v>14849</v>
      </c>
      <c r="B14615" s="15" t="s">
        <v>14850</v>
      </c>
      <c r="C14615" s="16" t="s">
        <v>14773</v>
      </c>
      <c r="D14615" s="16" t="s">
        <v>14800</v>
      </c>
      <c r="E14615" s="2">
        <v>293918</v>
      </c>
      <c r="F14615" s="4" t="str">
        <f>IF(B14615=B14614,"",B14615)</f>
        <v>Petaáº– Tiqwa</v>
      </c>
    </row>
    <row r="14616" spans="1:6" ht="15.75" customHeight="1">
      <c r="A14616" s="15" t="s">
        <v>22929</v>
      </c>
      <c r="B14616" s="15" t="s">
        <v>22929</v>
      </c>
      <c r="C14616" s="15" t="s">
        <v>22070</v>
      </c>
      <c r="D14616" s="15" t="s">
        <v>22263</v>
      </c>
      <c r="E14616" s="2">
        <v>510364</v>
      </c>
      <c r="F14616" s="4" t="str">
        <f>IF(B14616=B14615,"",B14616)</f>
        <v>Pestovo</v>
      </c>
    </row>
    <row r="14617" spans="1:6" ht="15.75" customHeight="1">
      <c r="A14617" s="8" t="str">
        <f ca="1">IFERROR(__xludf.DUMMYFUNCTION("GOOGLETRANSLATE(B40202,""en"",""pt"")"),"Pestovo")</f>
        <v>Pestovo</v>
      </c>
      <c r="B14617" s="11" t="s">
        <v>22929</v>
      </c>
      <c r="C14617" s="11" t="s">
        <v>22070</v>
      </c>
      <c r="D14617" s="11" t="s">
        <v>22263</v>
      </c>
      <c r="E14617" s="10">
        <v>510364</v>
      </c>
      <c r="F14617" s="4" t="str">
        <f>IF(B14617=B14616,"",B14617)</f>
        <v/>
      </c>
    </row>
    <row r="14618" spans="1:6" ht="15.75" customHeight="1">
      <c r="A14618" s="15" t="s">
        <v>7676</v>
      </c>
      <c r="B14618" s="15" t="s">
        <v>7676</v>
      </c>
      <c r="C14618" s="15" t="s">
        <v>7052</v>
      </c>
      <c r="D14618" s="15" t="s">
        <v>7084</v>
      </c>
      <c r="E14618" s="2">
        <v>2987805</v>
      </c>
      <c r="F14618" s="4" t="str">
        <f>IF(B14618=B14617,"",B14618)</f>
        <v>Pessac</v>
      </c>
    </row>
    <row r="14619" spans="1:6" ht="15.75" customHeight="1">
      <c r="A14619" s="8" t="str">
        <f ca="1">IFERROR(__xludf.DUMMYFUNCTION("GOOGLETRANSLATE(B29852,""en"",""pt"")"),"Pessac")</f>
        <v>Pessac</v>
      </c>
      <c r="B14619" s="9" t="s">
        <v>7676</v>
      </c>
      <c r="C14619" s="9" t="s">
        <v>7052</v>
      </c>
      <c r="D14619" s="9" t="s">
        <v>7084</v>
      </c>
      <c r="E14619" s="10">
        <v>2987805</v>
      </c>
      <c r="F14619" s="4" t="str">
        <f>IF(B14619=B14618,"",B14619)</f>
        <v/>
      </c>
    </row>
    <row r="14620" spans="1:6" ht="15.75" customHeight="1">
      <c r="A14620" s="15" t="s">
        <v>3083</v>
      </c>
      <c r="B14620" s="15" t="s">
        <v>3083</v>
      </c>
      <c r="C14620" s="15" t="s">
        <v>1905</v>
      </c>
      <c r="D14620" s="15" t="s">
        <v>1909</v>
      </c>
      <c r="E14620" s="2">
        <v>3392251</v>
      </c>
      <c r="F14620" s="4" t="str">
        <f>IF(B14620=B14619,"",B14620)</f>
        <v>Pesqueira</v>
      </c>
    </row>
    <row r="14621" spans="1:6" ht="15.75" customHeight="1">
      <c r="A14621" s="8" t="str">
        <f ca="1">IFERROR(__xludf.DUMMYFUNCTION("GOOGLETRANSLATE(B24231,""en"",""pt"")"),"Pesqueira")</f>
        <v>Pesqueira</v>
      </c>
      <c r="B14621" s="11" t="s">
        <v>3083</v>
      </c>
      <c r="C14621" s="11" t="s">
        <v>1905</v>
      </c>
      <c r="D14621" s="11" t="s">
        <v>1909</v>
      </c>
      <c r="E14621" s="10">
        <v>3392251</v>
      </c>
      <c r="F14621" s="4" t="str">
        <f>IF(B14621=B14620,"",B14621)</f>
        <v/>
      </c>
    </row>
    <row r="14622" spans="1:6" ht="15.75" customHeight="1">
      <c r="A14622" s="15" t="s">
        <v>3739</v>
      </c>
      <c r="B14622" s="15" t="s">
        <v>3739</v>
      </c>
      <c r="C14622" s="15" t="s">
        <v>3701</v>
      </c>
      <c r="D14622" s="15" t="s">
        <v>3737</v>
      </c>
      <c r="E14622" s="2">
        <v>728317</v>
      </c>
      <c r="F14622" s="4" t="str">
        <f>IF(B14622=B14621,"",B14622)</f>
        <v>Peshtera</v>
      </c>
    </row>
    <row r="14623" spans="1:6" ht="15.75" customHeight="1">
      <c r="A14623" s="8" t="str">
        <f ca="1">IFERROR(__xludf.DUMMYFUNCTION("GOOGLETRANSLATE(B24035,""en"",""pt"")"),"Peshtera")</f>
        <v>Peshtera</v>
      </c>
      <c r="B14623" s="9" t="s">
        <v>3739</v>
      </c>
      <c r="C14623" s="9" t="s">
        <v>3701</v>
      </c>
      <c r="D14623" s="9" t="s">
        <v>3737</v>
      </c>
      <c r="E14623" s="10">
        <v>728317</v>
      </c>
      <c r="F14623" s="4" t="str">
        <f>IF(B14623=B14622,"",B14623)</f>
        <v/>
      </c>
    </row>
    <row r="14624" spans="1:6" ht="15.75" customHeight="1">
      <c r="A14624" s="15" t="s">
        <v>20162</v>
      </c>
      <c r="B14624" s="15" t="s">
        <v>20162</v>
      </c>
      <c r="C14624" s="15" t="s">
        <v>19808</v>
      </c>
      <c r="D14624" s="15" t="s">
        <v>19811</v>
      </c>
      <c r="E14624" s="2">
        <v>1168197</v>
      </c>
      <c r="F14624" s="4" t="str">
        <f>IF(B14624=B14623,"",B14624)</f>
        <v>Peshawar</v>
      </c>
    </row>
    <row r="14625" spans="1:6" ht="15.75" customHeight="1">
      <c r="A14625" s="8" t="str">
        <f ca="1">IFERROR(__xludf.DUMMYFUNCTION("GOOGLETRANSLATE(B38952,""en"",""pt"")"),"Peshawar")</f>
        <v>Peshawar</v>
      </c>
      <c r="B14625" s="9" t="s">
        <v>20162</v>
      </c>
      <c r="C14625" s="9" t="s">
        <v>19808</v>
      </c>
      <c r="D14625" s="9" t="s">
        <v>19811</v>
      </c>
      <c r="E14625" s="10">
        <v>1168197</v>
      </c>
      <c r="F14625" s="4" t="str">
        <f>IF(B14625=B14624,"",B14625)</f>
        <v/>
      </c>
    </row>
    <row r="14626" spans="1:6" ht="15.75" customHeight="1">
      <c r="A14626" s="15" t="s">
        <v>15361</v>
      </c>
      <c r="B14626" s="15" t="s">
        <v>15361</v>
      </c>
      <c r="C14626" s="15" t="s">
        <v>14891</v>
      </c>
      <c r="D14626" s="15" t="s">
        <v>14957</v>
      </c>
      <c r="E14626" s="2">
        <v>3171168</v>
      </c>
      <c r="F14626" s="4" t="str">
        <f>IF(B14626=B14625,"",B14626)</f>
        <v>Pescara</v>
      </c>
    </row>
    <row r="14627" spans="1:6" ht="15.75" customHeight="1">
      <c r="A14627" s="8" t="str">
        <f ca="1">IFERROR(__xludf.DUMMYFUNCTION("GOOGLETRANSLATE(B34776,""en"",""pt"")"),"Pescara")</f>
        <v>Pescara</v>
      </c>
      <c r="B14627" s="11" t="s">
        <v>15361</v>
      </c>
      <c r="C14627" s="11" t="s">
        <v>14891</v>
      </c>
      <c r="D14627" s="11" t="s">
        <v>14957</v>
      </c>
      <c r="E14627" s="10">
        <v>3171168</v>
      </c>
      <c r="F14627" s="4" t="str">
        <f>IF(B14627=B14626,"",B14627)</f>
        <v/>
      </c>
    </row>
    <row r="14628" spans="1:6" ht="15.75" customHeight="1">
      <c r="A14628" s="15" t="s">
        <v>15360</v>
      </c>
      <c r="B14628" s="15" t="s">
        <v>15360</v>
      </c>
      <c r="C14628" s="15" t="s">
        <v>14891</v>
      </c>
      <c r="D14628" s="15" t="s">
        <v>14931</v>
      </c>
      <c r="E14628" s="2">
        <v>3171173</v>
      </c>
      <c r="F14628" s="4" t="str">
        <f>IF(B14628=B14627,"",B14628)</f>
        <v>Pesaro</v>
      </c>
    </row>
    <row r="14629" spans="1:6" ht="15.75" customHeight="1">
      <c r="A14629" s="8" t="str">
        <f ca="1">IFERROR(__xludf.DUMMYFUNCTION("GOOGLETRANSLATE(B34777,""en"",""pt"")"),"Pesaro")</f>
        <v>Pesaro</v>
      </c>
      <c r="B14629" s="9" t="s">
        <v>15360</v>
      </c>
      <c r="C14629" s="9" t="s">
        <v>14891</v>
      </c>
      <c r="D14629" s="9" t="s">
        <v>14931</v>
      </c>
      <c r="E14629" s="10">
        <v>3171173</v>
      </c>
      <c r="F14629" s="4" t="str">
        <f>IF(B14629=B14628,"",B14629)</f>
        <v/>
      </c>
    </row>
    <row r="14630" spans="1:6" ht="15.75" customHeight="1">
      <c r="A14630" s="16" t="s">
        <v>22927</v>
      </c>
      <c r="B14630" s="15" t="s">
        <v>22928</v>
      </c>
      <c r="C14630" s="16" t="s">
        <v>22070</v>
      </c>
      <c r="D14630" s="16" t="s">
        <v>22106</v>
      </c>
      <c r="E14630" s="2">
        <v>510808</v>
      </c>
      <c r="F14630" s="4" t="str">
        <f>IF(B14630=B14629,"",B14630)</f>
        <v>Pervouralâ€™sk</v>
      </c>
    </row>
    <row r="14631" spans="1:6" ht="15.75" customHeight="1">
      <c r="A14631" s="8" t="str">
        <f ca="1">IFERROR(__xludf.DUMMYFUNCTION("GOOGLETRANSLATE(B40203,""en"",""pt"")"),"Pervoural'sk")</f>
        <v>Pervoural'sk</v>
      </c>
      <c r="B14631" s="9" t="s">
        <v>35473</v>
      </c>
      <c r="C14631" s="9" t="s">
        <v>22070</v>
      </c>
      <c r="D14631" s="9" t="s">
        <v>22106</v>
      </c>
      <c r="E14631" s="10">
        <v>510808</v>
      </c>
      <c r="F14631" s="4" t="str">
        <f>IF(B14631=B14630,"",B14631)</f>
        <v>Pervoural’sk</v>
      </c>
    </row>
    <row r="14632" spans="1:6" ht="15.75" customHeight="1">
      <c r="A14632" s="16" t="s">
        <v>27107</v>
      </c>
      <c r="B14632" s="15" t="s">
        <v>27108</v>
      </c>
      <c r="C14632" s="16" t="s">
        <v>26870</v>
      </c>
      <c r="D14632" s="16" t="s">
        <v>26871</v>
      </c>
      <c r="E14632" s="2">
        <v>697592</v>
      </c>
      <c r="F14632" s="4" t="str">
        <f>IF(B14632=B14631,"",B14632)</f>
        <v>Pervomaysâ€™k</v>
      </c>
    </row>
    <row r="14633" spans="1:6" ht="15.75" customHeight="1">
      <c r="A14633" s="16" t="s">
        <v>27107</v>
      </c>
      <c r="B14633" s="15" t="s">
        <v>27108</v>
      </c>
      <c r="C14633" s="16" t="s">
        <v>26870</v>
      </c>
      <c r="D14633" s="16" t="s">
        <v>27075</v>
      </c>
      <c r="E14633" s="2">
        <v>697593</v>
      </c>
      <c r="F14633" s="4" t="str">
        <f>IF(B14633=B14632,"",B14633)</f>
        <v/>
      </c>
    </row>
    <row r="14634" spans="1:6" ht="15.75" customHeight="1">
      <c r="A14634" s="8" t="str">
        <f ca="1">IFERROR(__xludf.DUMMYFUNCTION("GOOGLETRANSLATE(B42551,""en"",""pt"")"),"Pervomays'k")</f>
        <v>Pervomays'k</v>
      </c>
      <c r="B14634" s="11" t="s">
        <v>36002</v>
      </c>
      <c r="C14634" s="11" t="s">
        <v>26870</v>
      </c>
      <c r="D14634" s="11" t="s">
        <v>26871</v>
      </c>
      <c r="E14634" s="10">
        <v>697592</v>
      </c>
      <c r="F14634" s="4" t="str">
        <f>IF(B14634=B14633,"",B14634)</f>
        <v>Pervomays’k</v>
      </c>
    </row>
    <row r="14635" spans="1:6" ht="15.75" customHeight="1">
      <c r="A14635" s="8" t="str">
        <f ca="1">IFERROR(__xludf.DUMMYFUNCTION("GOOGLETRANSLATE(B42552,""en"",""pt"")"),"Pervomays'k")</f>
        <v>Pervomays'k</v>
      </c>
      <c r="B14635" s="9" t="s">
        <v>36002</v>
      </c>
      <c r="C14635" s="9" t="s">
        <v>26870</v>
      </c>
      <c r="D14635" s="9" t="s">
        <v>27075</v>
      </c>
      <c r="E14635" s="10">
        <v>697593</v>
      </c>
      <c r="F14635" s="4" t="str">
        <f>IF(B14635=B14634,"",B14635)</f>
        <v/>
      </c>
    </row>
    <row r="14636" spans="1:6" ht="15.75" customHeight="1">
      <c r="A14636" s="8" t="str">
        <f ca="1">IFERROR(__xludf.DUMMYFUNCTION("GOOGLETRANSLATE(B23850,""en"",""pt"")"),"Péruwelz")</f>
        <v>Péruwelz</v>
      </c>
      <c r="B14636" s="11" t="s">
        <v>31309</v>
      </c>
      <c r="C14636" s="11" t="s">
        <v>1512</v>
      </c>
      <c r="D14636" s="11" t="s">
        <v>1518</v>
      </c>
      <c r="E14636" s="10">
        <v>2789162</v>
      </c>
      <c r="F14636" s="4" t="str">
        <f>IF(B14636=B14635,"",B14636)</f>
        <v>Péruwelz</v>
      </c>
    </row>
    <row r="14637" spans="1:6" ht="15.75" customHeight="1">
      <c r="A14637" s="16" t="s">
        <v>12865</v>
      </c>
      <c r="B14637" s="15" t="s">
        <v>12866</v>
      </c>
      <c r="C14637" s="16" t="s">
        <v>10178</v>
      </c>
      <c r="D14637" s="16" t="s">
        <v>10196</v>
      </c>
      <c r="E14637" s="2">
        <v>1465828</v>
      </c>
      <c r="F14637" s="4" t="str">
        <f>IF(B14637=B14636,"",B14637)</f>
        <v>Perungudi</v>
      </c>
    </row>
    <row r="14638" spans="1:6" ht="15.75" customHeight="1">
      <c r="A14638" s="8" t="str">
        <f ca="1">IFERROR(__xludf.DUMMYFUNCTION("GOOGLETRANSLATE(B34203,""en"",""pt"")"),"Perunguudi")</f>
        <v>Perunguudi</v>
      </c>
      <c r="B14638" s="11" t="s">
        <v>12866</v>
      </c>
      <c r="C14638" s="11" t="s">
        <v>10178</v>
      </c>
      <c r="D14638" s="11" t="s">
        <v>10196</v>
      </c>
      <c r="E14638" s="10">
        <v>1465828</v>
      </c>
      <c r="F14638" s="4" t="str">
        <f>IF(B14638=B14637,"",B14638)</f>
        <v/>
      </c>
    </row>
    <row r="14639" spans="1:6" ht="15.75" customHeight="1">
      <c r="A14639" s="16" t="s">
        <v>12864</v>
      </c>
      <c r="B14639" s="15" t="s">
        <v>12864</v>
      </c>
      <c r="C14639" s="16" t="s">
        <v>10178</v>
      </c>
      <c r="D14639" s="16" t="s">
        <v>10196</v>
      </c>
      <c r="E14639" s="2">
        <v>1259855</v>
      </c>
      <c r="F14639" s="4" t="str">
        <f>IF(B14639=B14638,"",B14639)</f>
        <v>Perundurai</v>
      </c>
    </row>
    <row r="14640" spans="1:6" ht="15.75" customHeight="1">
      <c r="A14640" s="8" t="str">
        <f ca="1">IFERROR(__xludf.DUMMYFUNCTION("GOOGLETRANSLATE(B32477,""en"",""pt"")"),"Perundurai")</f>
        <v>Perundurai</v>
      </c>
      <c r="B14640" s="11" t="s">
        <v>12864</v>
      </c>
      <c r="C14640" s="11" t="s">
        <v>10178</v>
      </c>
      <c r="D14640" s="11" t="s">
        <v>10196</v>
      </c>
      <c r="E14640" s="10">
        <v>1259855</v>
      </c>
      <c r="F14640" s="4" t="str">
        <f>IF(B14640=B14639,"",B14640)</f>
        <v/>
      </c>
    </row>
    <row r="14641" spans="1:6" ht="15.75" customHeight="1">
      <c r="A14641" s="8" t="str">
        <f ca="1">IFERROR(__xludf.DUMMYFUNCTION("GOOGLETRANSLATE(B32478,""en"",""pt"")"),"Perumpāvūr")</f>
        <v>Perumpāvūr</v>
      </c>
      <c r="B14641" s="9" t="s">
        <v>33235</v>
      </c>
      <c r="C14641" s="9" t="s">
        <v>10178</v>
      </c>
      <c r="D14641" s="9" t="s">
        <v>10246</v>
      </c>
      <c r="E14641" s="10">
        <v>1259857</v>
      </c>
      <c r="F14641" s="4" t="str">
        <f>IF(B14641=B14640,"",B14641)</f>
        <v>Perumpāvūr</v>
      </c>
    </row>
    <row r="14642" spans="1:6" ht="15.75" customHeight="1">
      <c r="A14642" s="16" t="s">
        <v>12862</v>
      </c>
      <c r="B14642" s="15" t="s">
        <v>12863</v>
      </c>
      <c r="C14642" s="16" t="s">
        <v>10178</v>
      </c>
      <c r="D14642" s="16" t="s">
        <v>10246</v>
      </c>
      <c r="E14642" s="2">
        <v>1259857</v>
      </c>
      <c r="F14642" s="4" t="str">
        <f>IF(B14642=B14641,"",B14642)</f>
        <v>PerumpÄvÅ«r</v>
      </c>
    </row>
    <row r="14643" spans="1:6" ht="15.75" customHeight="1">
      <c r="A14643" s="16" t="s">
        <v>12860</v>
      </c>
      <c r="B14643" s="15" t="s">
        <v>12861</v>
      </c>
      <c r="C14643" s="16" t="s">
        <v>10178</v>
      </c>
      <c r="D14643" s="16" t="s">
        <v>10246</v>
      </c>
      <c r="E14643" s="2">
        <v>7279739</v>
      </c>
      <c r="F14643" s="4" t="str">
        <f>IF(B14643=B14642,"",B14643)</f>
        <v>Perumbavoor</v>
      </c>
    </row>
    <row r="14644" spans="1:6" ht="15.75" customHeight="1">
      <c r="A14644" s="8" t="str">
        <f ca="1">IFERROR(__xludf.DUMMYFUNCTION("GOOGLETRANSLATE(B34217,""en"",""pt"")"),"Perumbavor")</f>
        <v>Perumbavor</v>
      </c>
      <c r="B14644" s="11" t="s">
        <v>12861</v>
      </c>
      <c r="C14644" s="11" t="s">
        <v>10178</v>
      </c>
      <c r="D14644" s="11" t="s">
        <v>10246</v>
      </c>
      <c r="E14644" s="10">
        <v>7279739</v>
      </c>
      <c r="F14644" s="4" t="str">
        <f>IF(B14644=B14643,"",B14644)</f>
        <v/>
      </c>
    </row>
    <row r="14645" spans="1:6" ht="15.75" customHeight="1">
      <c r="A14645" s="8" t="str">
        <f ca="1">IFERROR(__xludf.DUMMYFUNCTION("GOOGLETRANSLATE(B24720,""en"",""pt"")"),"Peruíbe")</f>
        <v>Peruíbe</v>
      </c>
      <c r="B14645" s="9" t="s">
        <v>31559</v>
      </c>
      <c r="C14645" s="9" t="s">
        <v>1905</v>
      </c>
      <c r="D14645" s="9" t="s">
        <v>3354</v>
      </c>
      <c r="E14645" s="10">
        <v>3454061</v>
      </c>
      <c r="F14645" s="4" t="str">
        <f>IF(B14645=B14644,"",B14645)</f>
        <v>Peruíbe</v>
      </c>
    </row>
    <row r="14646" spans="1:6" ht="15.75" customHeight="1">
      <c r="A14646" s="15" t="s">
        <v>15359</v>
      </c>
      <c r="B14646" s="15" t="s">
        <v>15359</v>
      </c>
      <c r="C14646" s="15" t="s">
        <v>14891</v>
      </c>
      <c r="D14646" s="15" t="s">
        <v>14969</v>
      </c>
      <c r="E14646" s="2">
        <v>3171180</v>
      </c>
      <c r="F14646" s="4" t="str">
        <f>IF(B14646=B14645,"",B14646)</f>
        <v>Perugia</v>
      </c>
    </row>
    <row r="14647" spans="1:6" ht="15.75" customHeight="1">
      <c r="A14647" s="8" t="str">
        <f ca="1">IFERROR(__xludf.DUMMYFUNCTION("GOOGLETRANSLATE(B34778,""en"",""pt"")"),"Perugia")</f>
        <v>Perugia</v>
      </c>
      <c r="B14647" s="9" t="s">
        <v>15359</v>
      </c>
      <c r="C14647" s="9" t="s">
        <v>14891</v>
      </c>
      <c r="D14647" s="9" t="s">
        <v>14969</v>
      </c>
      <c r="E14647" s="10">
        <v>3171180</v>
      </c>
      <c r="F14647" s="4" t="str">
        <f>IF(B14647=B14646,"",B14647)</f>
        <v/>
      </c>
    </row>
    <row r="14648" spans="1:6" ht="15.75" customHeight="1">
      <c r="A14648" s="15" t="s">
        <v>3081</v>
      </c>
      <c r="B14648" s="15" t="s">
        <v>3082</v>
      </c>
      <c r="C14648" s="15" t="s">
        <v>1905</v>
      </c>
      <c r="D14648" s="15" t="s">
        <v>1914</v>
      </c>
      <c r="E14648" s="2">
        <v>3454061</v>
      </c>
      <c r="F14648" s="4" t="str">
        <f>IF(B14648=B14647,"",B14648)</f>
        <v>PeruÃ­be</v>
      </c>
    </row>
    <row r="14649" spans="1:6" ht="15.75" customHeight="1">
      <c r="A14649" s="15" t="s">
        <v>7674</v>
      </c>
      <c r="B14649" s="15" t="s">
        <v>7675</v>
      </c>
      <c r="C14649" s="15" t="s">
        <v>7052</v>
      </c>
      <c r="D14649" s="15" t="s">
        <v>7087</v>
      </c>
      <c r="E14649" s="2">
        <v>2987825</v>
      </c>
      <c r="F14649" s="4" t="str">
        <f>IF(B14649=B14648,"",B14649)</f>
        <v>Pertuis</v>
      </c>
    </row>
    <row r="14650" spans="1:6" ht="15.75" customHeight="1">
      <c r="A14650" s="8" t="str">
        <f ca="1">IFERROR(__xludf.DUMMYFUNCTION("GOOGLETRANSLATE(B29853,""en"",""pt"")"),"Peruis")</f>
        <v>Peruis</v>
      </c>
      <c r="B14650" s="11" t="s">
        <v>7675</v>
      </c>
      <c r="C14650" s="11" t="s">
        <v>7052</v>
      </c>
      <c r="D14650" s="11" t="s">
        <v>32534</v>
      </c>
      <c r="E14650" s="10">
        <v>2987825</v>
      </c>
      <c r="F14650" s="4" t="str">
        <f>IF(B14650=B14649,"",B14650)</f>
        <v/>
      </c>
    </row>
    <row r="14651" spans="1:6" ht="15.75" customHeight="1">
      <c r="A14651" s="16" t="s">
        <v>29665</v>
      </c>
      <c r="B14651" s="15" t="s">
        <v>29665</v>
      </c>
      <c r="C14651" s="16" t="s">
        <v>27788</v>
      </c>
      <c r="D14651" s="16" t="s">
        <v>27905</v>
      </c>
      <c r="E14651" s="2">
        <v>5102578</v>
      </c>
      <c r="F14651" s="4" t="str">
        <f>IF(B14651=B14650,"",B14651)</f>
        <v>Perth Amboy</v>
      </c>
    </row>
    <row r="14652" spans="1:6" ht="15.75" customHeight="1">
      <c r="A14652" s="8" t="str">
        <f ca="1">IFERROR(__xludf.DUMMYFUNCTION("GOOGLETRANSLATE(B44299,""en"",""pt"")"),"Perth Amboy")</f>
        <v>Perth Amboy</v>
      </c>
      <c r="B14652" s="11" t="s">
        <v>29665</v>
      </c>
      <c r="C14652" s="11" t="s">
        <v>27788</v>
      </c>
      <c r="D14652" s="11" t="s">
        <v>27905</v>
      </c>
      <c r="E14652" s="10">
        <v>5102578</v>
      </c>
      <c r="F14652" s="4" t="str">
        <f>IF(B14652=B14651,"",B14652)</f>
        <v/>
      </c>
    </row>
    <row r="14653" spans="1:6" ht="15.75" customHeight="1">
      <c r="A14653" s="15" t="s">
        <v>1057</v>
      </c>
      <c r="B14653" s="15" t="s">
        <v>1057</v>
      </c>
      <c r="C14653" s="15" t="s">
        <v>885</v>
      </c>
      <c r="D14653" s="15" t="s">
        <v>889</v>
      </c>
      <c r="E14653" s="2">
        <v>2063523</v>
      </c>
      <c r="F14653" s="4" t="str">
        <f>IF(B14653=B14652,"",B14653)</f>
        <v>Perth</v>
      </c>
    </row>
    <row r="14654" spans="1:6" ht="15.75" customHeight="1">
      <c r="A14654" s="15" t="s">
        <v>1057</v>
      </c>
      <c r="B14654" s="15" t="s">
        <v>1057</v>
      </c>
      <c r="C14654" s="15" t="s">
        <v>27234</v>
      </c>
      <c r="D14654" s="15" t="s">
        <v>27237</v>
      </c>
      <c r="E14654" s="2">
        <v>2640358</v>
      </c>
      <c r="F14654" s="4" t="str">
        <f>IF(B14654=B14653,"",B14654)</f>
        <v/>
      </c>
    </row>
    <row r="14655" spans="1:6" ht="15.75" customHeight="1">
      <c r="A14655" s="8" t="str">
        <f ca="1">IFERROR(__xludf.DUMMYFUNCTION("GOOGLETRANSLATE(B23411,""en"",""pt"")"),"Perth")</f>
        <v>Perth</v>
      </c>
      <c r="B14655" s="11" t="s">
        <v>1057</v>
      </c>
      <c r="C14655" s="11" t="s">
        <v>885</v>
      </c>
      <c r="D14655" s="11" t="s">
        <v>889</v>
      </c>
      <c r="E14655" s="10">
        <v>2063523</v>
      </c>
      <c r="F14655" s="4" t="str">
        <f>IF(B14655=B14654,"",B14655)</f>
        <v/>
      </c>
    </row>
    <row r="14656" spans="1:6" ht="15.75" customHeight="1">
      <c r="A14656" s="8" t="str">
        <f ca="1">IFERROR(__xludf.DUMMYFUNCTION("GOOGLETRANSLATE(B30486,""en"",""pt"")"),"Perth")</f>
        <v>Perth</v>
      </c>
      <c r="B14656" s="9" t="s">
        <v>1057</v>
      </c>
      <c r="C14656" s="9" t="s">
        <v>27234</v>
      </c>
      <c r="D14656" s="9" t="s">
        <v>27237</v>
      </c>
      <c r="E14656" s="10">
        <v>2640358</v>
      </c>
      <c r="F14656" s="4" t="str">
        <f>IF(B14656=B14655,"",B14656)</f>
        <v/>
      </c>
    </row>
    <row r="14657" spans="1:6" ht="15.75" customHeight="1">
      <c r="A14657" s="16" t="s">
        <v>22926</v>
      </c>
      <c r="B14657" s="15" t="s">
        <v>22926</v>
      </c>
      <c r="C14657" s="16" t="s">
        <v>22070</v>
      </c>
      <c r="D14657" s="16" t="s">
        <v>22099</v>
      </c>
      <c r="E14657" s="2">
        <v>802714</v>
      </c>
      <c r="F14657" s="4" t="str">
        <f>IF(B14657=B14656,"",B14657)</f>
        <v>Persianovka</v>
      </c>
    </row>
    <row r="14658" spans="1:6" ht="15.75" customHeight="1">
      <c r="A14658" s="8" t="str">
        <f ca="1">IFERROR(__xludf.DUMMYFUNCTION("GOOGLETRANSLATE(B40697,""en"",""pt"")"),"Persianovka")</f>
        <v>Persianovka</v>
      </c>
      <c r="B14658" s="11" t="s">
        <v>22926</v>
      </c>
      <c r="C14658" s="11" t="s">
        <v>22070</v>
      </c>
      <c r="D14658" s="11" t="s">
        <v>22099</v>
      </c>
      <c r="E14658" s="10">
        <v>802714</v>
      </c>
      <c r="F14658" s="4" t="str">
        <f>IF(B14658=B14657,"",B14658)</f>
        <v/>
      </c>
    </row>
    <row r="14659" spans="1:6" ht="15.75" customHeight="1">
      <c r="A14659" s="16" t="s">
        <v>29664</v>
      </c>
      <c r="B14659" s="15" t="s">
        <v>29664</v>
      </c>
      <c r="C14659" s="16" t="s">
        <v>27788</v>
      </c>
      <c r="D14659" s="16" t="s">
        <v>27813</v>
      </c>
      <c r="E14659" s="2">
        <v>5166516</v>
      </c>
      <c r="F14659" s="4" t="str">
        <f>IF(B14659=B14658,"",B14659)</f>
        <v>Perrysburg</v>
      </c>
    </row>
    <row r="14660" spans="1:6" ht="15.75" customHeight="1">
      <c r="A14660" s="8" t="str">
        <f ca="1">IFERROR(__xludf.DUMMYFUNCTION("GOOGLETRANSLATE(B44535,""en"",""pt"")"),"Perrysburg")</f>
        <v>Perrysburg</v>
      </c>
      <c r="B14660" s="11" t="s">
        <v>29664</v>
      </c>
      <c r="C14660" s="11" t="s">
        <v>27788</v>
      </c>
      <c r="D14660" s="11" t="s">
        <v>27813</v>
      </c>
      <c r="E14660" s="10">
        <v>5166516</v>
      </c>
      <c r="F14660" s="4" t="str">
        <f>IF(B14660=B14659,"",B14660)</f>
        <v/>
      </c>
    </row>
    <row r="14661" spans="1:6" ht="15.75" customHeight="1">
      <c r="A14661" s="15" t="s">
        <v>29663</v>
      </c>
      <c r="B14661" s="15" t="s">
        <v>29663</v>
      </c>
      <c r="C14661" s="15" t="s">
        <v>27788</v>
      </c>
      <c r="D14661" s="15" t="s">
        <v>17061</v>
      </c>
      <c r="E14661" s="2">
        <v>4365227</v>
      </c>
      <c r="F14661" s="4" t="str">
        <f>IF(B14661=B14660,"",B14661)</f>
        <v>Perry Hall</v>
      </c>
    </row>
    <row r="14662" spans="1:6" ht="15.75" customHeight="1">
      <c r="A14662" s="8" t="str">
        <f ca="1">IFERROR(__xludf.DUMMYFUNCTION("GOOGLETRANSLATE(B43320,""en"",""pt"")"),"Perry Hall")</f>
        <v>Perry Hall</v>
      </c>
      <c r="B14662" s="11" t="s">
        <v>29663</v>
      </c>
      <c r="C14662" s="11" t="s">
        <v>27788</v>
      </c>
      <c r="D14662" s="11" t="s">
        <v>17061</v>
      </c>
      <c r="E14662" s="10">
        <v>4365227</v>
      </c>
      <c r="F14662" s="4" t="str">
        <f>IF(B14662=B14661,"",B14662)</f>
        <v/>
      </c>
    </row>
    <row r="14663" spans="1:6" ht="15.75" customHeight="1">
      <c r="A14663" s="15" t="s">
        <v>29662</v>
      </c>
      <c r="B14663" s="15" t="s">
        <v>29662</v>
      </c>
      <c r="C14663" s="15" t="s">
        <v>27788</v>
      </c>
      <c r="D14663" s="15" t="s">
        <v>27801</v>
      </c>
      <c r="E14663" s="2">
        <v>5382146</v>
      </c>
      <c r="F14663" s="4" t="str">
        <f>IF(B14663=B14662,"",B14663)</f>
        <v>Perris</v>
      </c>
    </row>
    <row r="14664" spans="1:6" ht="15.75" customHeight="1">
      <c r="A14664" s="8" t="str">
        <f ca="1">IFERROR(__xludf.DUMMYFUNCTION("GOOGLETRANSLATE(B44958,""en"",""pt"")"),"Perris")</f>
        <v>Perris</v>
      </c>
      <c r="B14664" s="11" t="s">
        <v>29662</v>
      </c>
      <c r="C14664" s="11" t="s">
        <v>27788</v>
      </c>
      <c r="D14664" s="11" t="s">
        <v>27801</v>
      </c>
      <c r="E14664" s="10">
        <v>5382146</v>
      </c>
      <c r="F14664" s="4" t="str">
        <f>IF(B14664=B14663,"",B14664)</f>
        <v/>
      </c>
    </row>
    <row r="14665" spans="1:6" ht="15.75" customHeight="1">
      <c r="A14665" s="16" t="s">
        <v>7673</v>
      </c>
      <c r="B14665" s="15" t="s">
        <v>7673</v>
      </c>
      <c r="C14665" s="16" t="s">
        <v>7052</v>
      </c>
      <c r="D14665" s="16" t="s">
        <v>7082</v>
      </c>
      <c r="E14665" s="2">
        <v>2987914</v>
      </c>
      <c r="F14665" s="4" t="str">
        <f>IF(B14665=B14664,"",B14665)</f>
        <v>Perpignan</v>
      </c>
    </row>
    <row r="14666" spans="1:6" ht="15.75" customHeight="1">
      <c r="A14666" s="8" t="str">
        <f ca="1">IFERROR(__xludf.DUMMYFUNCTION("GOOGLETRANSLATE(B29854,""en"",""pt"")"),"Perpignan")</f>
        <v>Perpignan</v>
      </c>
      <c r="B14666" s="11" t="s">
        <v>7673</v>
      </c>
      <c r="C14666" s="11" t="s">
        <v>7052</v>
      </c>
      <c r="D14666" s="11" t="s">
        <v>32547</v>
      </c>
      <c r="E14666" s="10">
        <v>2987914</v>
      </c>
      <c r="F14666" s="4" t="str">
        <f>IF(B14666=B14665,"",B14666)</f>
        <v/>
      </c>
    </row>
    <row r="14667" spans="1:6" ht="15.75" customHeight="1">
      <c r="A14667" s="15" t="s">
        <v>22925</v>
      </c>
      <c r="B14667" s="15" t="s">
        <v>22925</v>
      </c>
      <c r="C14667" s="15" t="s">
        <v>22070</v>
      </c>
      <c r="D14667" s="15" t="s">
        <v>22127</v>
      </c>
      <c r="E14667" s="2">
        <v>511153</v>
      </c>
      <c r="F14667" s="4" t="str">
        <f>IF(B14667=B14666,"",B14667)</f>
        <v>Perovo</v>
      </c>
    </row>
    <row r="14668" spans="1:6" ht="15.75" customHeight="1">
      <c r="A14668" s="8" t="str">
        <f ca="1">IFERROR(__xludf.DUMMYFUNCTION("GOOGLETRANSLATE(B40204,""en"",""pt"")"),"Perovo")</f>
        <v>Perovo</v>
      </c>
      <c r="B14668" s="11" t="s">
        <v>22925</v>
      </c>
      <c r="C14668" s="11" t="s">
        <v>22070</v>
      </c>
      <c r="D14668" s="11" t="s">
        <v>22127</v>
      </c>
      <c r="E14668" s="10">
        <v>511153</v>
      </c>
      <c r="F14668" s="4" t="str">
        <f>IF(B14668=B14667,"",B14668)</f>
        <v/>
      </c>
    </row>
    <row r="14669" spans="1:6" ht="15.75" customHeight="1">
      <c r="A14669" s="15" t="s">
        <v>18161</v>
      </c>
      <c r="B14669" s="15" t="s">
        <v>18161</v>
      </c>
      <c r="C14669" s="15" t="s">
        <v>17707</v>
      </c>
      <c r="D14669" s="15" t="s">
        <v>17708</v>
      </c>
      <c r="E14669" s="2">
        <v>3521628</v>
      </c>
      <c r="F14669" s="4" t="str">
        <f>IF(B14669=B14668,"",B14669)</f>
        <v>Perote</v>
      </c>
    </row>
    <row r="14670" spans="1:6" ht="15.75" customHeight="1">
      <c r="A14670" s="8" t="str">
        <f ca="1">IFERROR(__xludf.DUMMYFUNCTION("GOOGLETRANSLATE(B36951,""en"",""pt"")"),"Perote")</f>
        <v>Perote</v>
      </c>
      <c r="B14670" s="11" t="s">
        <v>18161</v>
      </c>
      <c r="C14670" s="11" t="s">
        <v>17707</v>
      </c>
      <c r="D14670" s="11" t="s">
        <v>17708</v>
      </c>
      <c r="E14670" s="10">
        <v>3521628</v>
      </c>
      <c r="F14670" s="4" t="str">
        <f>IF(B14670=B14669,"",B14670)</f>
        <v/>
      </c>
    </row>
    <row r="14671" spans="1:6" ht="15.75" customHeight="1">
      <c r="A14671" s="15" t="s">
        <v>3738</v>
      </c>
      <c r="B14671" s="15" t="s">
        <v>3738</v>
      </c>
      <c r="C14671" s="15" t="s">
        <v>3701</v>
      </c>
      <c r="D14671" s="15" t="s">
        <v>3738</v>
      </c>
      <c r="E14671" s="2">
        <v>728330</v>
      </c>
      <c r="F14671" s="4" t="str">
        <f>IF(B14671=B14670,"",B14671)</f>
        <v>Pernik</v>
      </c>
    </row>
    <row r="14672" spans="1:6" ht="15.75" customHeight="1">
      <c r="A14672" s="8" t="str">
        <f ca="1">IFERROR(__xludf.DUMMYFUNCTION("GOOGLETRANSLATE(B24036,""en"",""pt"")"),"Pernik")</f>
        <v>Pernik</v>
      </c>
      <c r="B14672" s="11" t="s">
        <v>3738</v>
      </c>
      <c r="C14672" s="11" t="s">
        <v>3701</v>
      </c>
      <c r="D14672" s="11" t="s">
        <v>3738</v>
      </c>
      <c r="E14672" s="10">
        <v>728330</v>
      </c>
      <c r="F14672" s="4" t="str">
        <f>IF(B14672=B14671,"",B14672)</f>
        <v/>
      </c>
    </row>
    <row r="14673" spans="1:6" ht="15.75" customHeight="1">
      <c r="A14673" s="16" t="s">
        <v>17546</v>
      </c>
      <c r="B14673" s="15" t="s">
        <v>17546</v>
      </c>
      <c r="C14673" s="16" t="s">
        <v>17432</v>
      </c>
      <c r="D14673" s="16" t="s">
        <v>17461</v>
      </c>
      <c r="E14673" s="2">
        <v>1750500</v>
      </c>
      <c r="F14673" s="4" t="str">
        <f>IF(B14673=B14672,"",B14673)</f>
        <v>Permatang Kuching</v>
      </c>
    </row>
    <row r="14674" spans="1:6" ht="15.75" customHeight="1">
      <c r="A14674" s="8" t="str">
        <f ca="1">IFERROR(__xludf.DUMMYFUNCTION("GOOGLETRANSLATE(B37514,""en"",""pt"")"),"Permatang Kuching")</f>
        <v>Permatang Kuching</v>
      </c>
      <c r="B14674" s="9" t="s">
        <v>17546</v>
      </c>
      <c r="C14674" s="9" t="s">
        <v>17432</v>
      </c>
      <c r="D14674" s="9" t="s">
        <v>17461</v>
      </c>
      <c r="E14674" s="10">
        <v>1750500</v>
      </c>
      <c r="F14674" s="4" t="str">
        <f>IF(B14674=B14673,"",B14674)</f>
        <v/>
      </c>
    </row>
    <row r="14675" spans="1:6" ht="15.75" customHeight="1">
      <c r="A14675" s="15" t="s">
        <v>22115</v>
      </c>
      <c r="B14675" s="15" t="s">
        <v>22115</v>
      </c>
      <c r="C14675" s="15" t="s">
        <v>22070</v>
      </c>
      <c r="D14675" s="15" t="s">
        <v>22115</v>
      </c>
      <c r="E14675" s="2">
        <v>511196</v>
      </c>
      <c r="F14675" s="4" t="str">
        <f>IF(B14675=B14674,"",B14675)</f>
        <v>Perm</v>
      </c>
    </row>
    <row r="14676" spans="1:6" ht="15.75" customHeight="1">
      <c r="A14676" s="8" t="str">
        <f ca="1">IFERROR(__xludf.DUMMYFUNCTION("GOOGLETRANSLATE(B40205,""en"",""pt"")"),"Perm")</f>
        <v>Perm</v>
      </c>
      <c r="B14676" s="9" t="s">
        <v>22115</v>
      </c>
      <c r="C14676" s="9" t="s">
        <v>22070</v>
      </c>
      <c r="D14676" s="9" t="s">
        <v>22115</v>
      </c>
      <c r="E14676" s="10">
        <v>511196</v>
      </c>
      <c r="F14676" s="4" t="str">
        <f>IF(B14676=B14675,"",B14676)</f>
        <v/>
      </c>
    </row>
    <row r="14677" spans="1:6" ht="15.75" customHeight="1">
      <c r="A14677" s="16" t="s">
        <v>12859</v>
      </c>
      <c r="B14677" s="15" t="s">
        <v>12859</v>
      </c>
      <c r="C14677" s="16" t="s">
        <v>10178</v>
      </c>
      <c r="D14677" s="16" t="s">
        <v>10196</v>
      </c>
      <c r="E14677" s="2">
        <v>1259878</v>
      </c>
      <c r="F14677" s="4" t="str">
        <f>IF(B14677=B14676,"",B14677)</f>
        <v>Periyanayakkanpalaiyam</v>
      </c>
    </row>
    <row r="14678" spans="1:6" ht="15.75" customHeight="1">
      <c r="A14678" s="8" t="str">
        <f ca="1">IFERROR(__xludf.DUMMYFUNCTION("GOOGLETRANSLATE(B32479,""en"",""pt"")"),"Periyanayakkanpalaiyam")</f>
        <v>Periyanayakkanpalaiyam</v>
      </c>
      <c r="B14678" s="11" t="s">
        <v>12859</v>
      </c>
      <c r="C14678" s="11" t="s">
        <v>10178</v>
      </c>
      <c r="D14678" s="11" t="s">
        <v>10196</v>
      </c>
      <c r="E14678" s="10">
        <v>1259878</v>
      </c>
      <c r="F14678" s="4" t="str">
        <f>IF(B14678=B14677,"",B14678)</f>
        <v/>
      </c>
    </row>
    <row r="14679" spans="1:6" ht="15.75" customHeight="1">
      <c r="A14679" s="16" t="s">
        <v>12858</v>
      </c>
      <c r="B14679" s="15" t="s">
        <v>12858</v>
      </c>
      <c r="C14679" s="16" t="s">
        <v>10178</v>
      </c>
      <c r="D14679" s="16" t="s">
        <v>10196</v>
      </c>
      <c r="E14679" s="2">
        <v>1259879</v>
      </c>
      <c r="F14679" s="4" t="str">
        <f>IF(B14679=B14678,"",B14679)</f>
        <v>Periyakulam</v>
      </c>
    </row>
    <row r="14680" spans="1:6" ht="15.75" customHeight="1">
      <c r="A14680" s="8" t="str">
        <f ca="1">IFERROR(__xludf.DUMMYFUNCTION("GOOGLETRANSLATE(B32480,""en"",""pt"")"),"Periyakulam")</f>
        <v>Periyakulam</v>
      </c>
      <c r="B14680" s="9" t="s">
        <v>12858</v>
      </c>
      <c r="C14680" s="9" t="s">
        <v>10178</v>
      </c>
      <c r="D14680" s="9" t="s">
        <v>10196</v>
      </c>
      <c r="E14680" s="10">
        <v>1259879</v>
      </c>
      <c r="F14680" s="4" t="str">
        <f>IF(B14680=B14679,"",B14680)</f>
        <v/>
      </c>
    </row>
    <row r="14681" spans="1:6" ht="15.75" customHeight="1">
      <c r="A14681" s="8" t="str">
        <f ca="1">IFERROR(__xludf.DUMMYFUNCTION("GOOGLETRANSLATE(B30967,""en"",""pt"")"),"Peristérii")</f>
        <v>Peristérii</v>
      </c>
      <c r="B14681" s="11" t="s">
        <v>32678</v>
      </c>
      <c r="C14681" s="11" t="s">
        <v>9441</v>
      </c>
      <c r="D14681" s="11" t="s">
        <v>9445</v>
      </c>
      <c r="E14681" s="10">
        <v>255524</v>
      </c>
      <c r="F14681" s="4" t="str">
        <f>IF(B14681=B14680,"",B14681)</f>
        <v>Peristéri</v>
      </c>
    </row>
    <row r="14682" spans="1:6" ht="15.75" customHeight="1">
      <c r="A14682" s="16" t="s">
        <v>9617</v>
      </c>
      <c r="B14682" s="15" t="s">
        <v>9618</v>
      </c>
      <c r="C14682" s="16" t="s">
        <v>9441</v>
      </c>
      <c r="D14682" s="16" t="s">
        <v>9445</v>
      </c>
      <c r="E14682" s="2">
        <v>255524</v>
      </c>
      <c r="F14682" s="4" t="str">
        <f>IF(B14682=B14681,"",B14682)</f>
        <v>PeristÃ©ri</v>
      </c>
    </row>
    <row r="14683" spans="1:6" ht="15.75" customHeight="1">
      <c r="A14683" s="15" t="s">
        <v>17545</v>
      </c>
      <c r="B14683" s="15" t="s">
        <v>17545</v>
      </c>
      <c r="C14683" s="15" t="s">
        <v>17432</v>
      </c>
      <c r="D14683" s="15" t="s">
        <v>17469</v>
      </c>
      <c r="E14683" s="2">
        <v>1750582</v>
      </c>
      <c r="F14683" s="4" t="str">
        <f>IF(B14683=B14682,"",B14683)</f>
        <v>Peringat</v>
      </c>
    </row>
    <row r="14684" spans="1:6" ht="15.75" customHeight="1">
      <c r="A14684" s="8" t="str">
        <f ca="1">IFERROR(__xludf.DUMMYFUNCTION("GOOGLETRANSLATE(B37515,""en"",""pt"")"),"Peringat")</f>
        <v>Peringat</v>
      </c>
      <c r="B14684" s="9" t="s">
        <v>17545</v>
      </c>
      <c r="C14684" s="9" t="s">
        <v>17432</v>
      </c>
      <c r="D14684" s="9" t="s">
        <v>17469</v>
      </c>
      <c r="E14684" s="10">
        <v>1750582</v>
      </c>
      <c r="F14684" s="4" t="str">
        <f>IF(B14684=B14683,"",B14684)</f>
        <v/>
      </c>
    </row>
    <row r="14685" spans="1:6" ht="15.75" customHeight="1">
      <c r="A14685" s="8" t="str">
        <f ca="1">IFERROR(__xludf.DUMMYFUNCTION("GOOGLETRANSLATE(B29855,""en"",""pt"")"),"Pérrigueux")</f>
        <v>Pérrigueux</v>
      </c>
      <c r="B14685" s="11" t="s">
        <v>32569</v>
      </c>
      <c r="C14685" s="11" t="s">
        <v>7052</v>
      </c>
      <c r="D14685" s="11" t="s">
        <v>7084</v>
      </c>
      <c r="E14685" s="10">
        <v>2987967</v>
      </c>
      <c r="F14685" s="4" t="str">
        <f>IF(B14685=B14684,"",B14685)</f>
        <v>Périgueux</v>
      </c>
    </row>
    <row r="14686" spans="1:6" ht="15.75" customHeight="1">
      <c r="A14686" s="15" t="s">
        <v>5886</v>
      </c>
      <c r="B14686" s="15" t="s">
        <v>5886</v>
      </c>
      <c r="C14686" s="15" t="s">
        <v>5764</v>
      </c>
      <c r="D14686" s="15" t="s">
        <v>5796</v>
      </c>
      <c r="E14686" s="2">
        <v>3544393</v>
      </c>
      <c r="F14686" s="4" t="str">
        <f>IF(B14686=B14685,"",B14686)</f>
        <v>Perico</v>
      </c>
    </row>
    <row r="14687" spans="1:6" ht="15.75" customHeight="1">
      <c r="A14687" s="8" t="str">
        <f ca="1">IFERROR(__xludf.DUMMYFUNCTION("GOOGLETRANSLATE(B27136,""en"",""pt"")"),"Perico")</f>
        <v>Perico</v>
      </c>
      <c r="B14687" s="11" t="s">
        <v>5886</v>
      </c>
      <c r="C14687" s="11" t="s">
        <v>5764</v>
      </c>
      <c r="D14687" s="11" t="s">
        <v>5796</v>
      </c>
      <c r="E14687" s="10">
        <v>3544393</v>
      </c>
      <c r="F14687" s="4" t="str">
        <f>IF(B14687=B14686,"",B14687)</f>
        <v/>
      </c>
    </row>
    <row r="14688" spans="1:6" ht="15.75" customHeight="1">
      <c r="A14688" s="16" t="s">
        <v>731</v>
      </c>
      <c r="B14688" s="15" t="s">
        <v>731</v>
      </c>
      <c r="C14688" s="16" t="s">
        <v>558</v>
      </c>
      <c r="D14688" s="16" t="s">
        <v>562</v>
      </c>
      <c r="E14688" s="2">
        <v>3841490</v>
      </c>
      <c r="F14688" s="4" t="str">
        <f>IF(B14688=B14687,"",B14688)</f>
        <v>Pergamino</v>
      </c>
    </row>
    <row r="14689" spans="1:6" ht="15.75" customHeight="1">
      <c r="A14689" s="8" t="str">
        <f ca="1">IFERROR(__xludf.DUMMYFUNCTION("GOOGLETRANSLATE(B23294,""en"",""pt"")"),"Pergamino")</f>
        <v>Pergamino</v>
      </c>
      <c r="B14689" s="9" t="s">
        <v>731</v>
      </c>
      <c r="C14689" s="9" t="s">
        <v>558</v>
      </c>
      <c r="D14689" s="9" t="s">
        <v>562</v>
      </c>
      <c r="E14689" s="10">
        <v>3841490</v>
      </c>
      <c r="F14689" s="4" t="str">
        <f>IF(B14689=B14688,"",B14689)</f>
        <v/>
      </c>
    </row>
    <row r="14690" spans="1:6" ht="15.75" customHeight="1">
      <c r="A14690" s="8" t="str">
        <f ca="1">IFERROR(__xludf.DUMMYFUNCTION("GOOGLETRANSLATE(B23295,""en"",""pt"")"),"Pérez")</f>
        <v>Pérez</v>
      </c>
      <c r="B14690" s="11" t="s">
        <v>31196</v>
      </c>
      <c r="C14690" s="11" t="s">
        <v>558</v>
      </c>
      <c r="D14690" s="11" t="s">
        <v>579</v>
      </c>
      <c r="E14690" s="10">
        <v>3841500</v>
      </c>
      <c r="F14690" s="4" t="str">
        <f>IF(B14690=B14689,"",B14690)</f>
        <v>Pérez</v>
      </c>
    </row>
    <row r="14691" spans="1:6" ht="15.75" customHeight="1">
      <c r="A14691" s="16" t="s">
        <v>27105</v>
      </c>
      <c r="B14691" s="15" t="s">
        <v>27106</v>
      </c>
      <c r="C14691" s="16" t="s">
        <v>26870</v>
      </c>
      <c r="D14691" s="16" t="s">
        <v>26905</v>
      </c>
      <c r="E14691" s="2">
        <v>697637</v>
      </c>
      <c r="F14691" s="4" t="str">
        <f>IF(B14691=B14690,"",B14691)</f>
        <v>Pereyaslav-Khmelâ€™nytsâ€™kyy</v>
      </c>
    </row>
    <row r="14692" spans="1:6" ht="15.75" customHeight="1">
      <c r="A14692" s="8" t="str">
        <f ca="1">IFERROR(__xludf.DUMMYFUNCTION("GOOGLETRANSLATE(B42553,""en"",""pt"")"),"Pereyaslav-khmel'nyts'kyy")</f>
        <v>Pereyaslav-khmel'nyts'kyy</v>
      </c>
      <c r="B14692" s="9" t="s">
        <v>36003</v>
      </c>
      <c r="C14692" s="9" t="s">
        <v>26870</v>
      </c>
      <c r="D14692" s="9" t="s">
        <v>26905</v>
      </c>
      <c r="E14692" s="10">
        <v>697637</v>
      </c>
      <c r="F14692" s="4" t="str">
        <f>IF(B14692=B14691,"",B14692)</f>
        <v>Pereyaslav-Khmel’nyts’kyy</v>
      </c>
    </row>
    <row r="14693" spans="1:6" ht="15.75" customHeight="1">
      <c r="A14693" s="16" t="s">
        <v>27103</v>
      </c>
      <c r="B14693" s="15" t="s">
        <v>27104</v>
      </c>
      <c r="C14693" s="16" t="s">
        <v>26870</v>
      </c>
      <c r="D14693" s="16" t="s">
        <v>26871</v>
      </c>
      <c r="E14693" s="2">
        <v>697650</v>
      </c>
      <c r="F14693" s="4" t="str">
        <f>IF(B14693=B14692,"",B14693)</f>
        <v>Perevalâ€™sâ€™k</v>
      </c>
    </row>
    <row r="14694" spans="1:6" ht="15.75" customHeight="1">
      <c r="A14694" s="8" t="str">
        <f ca="1">IFERROR(__xludf.DUMMYFUNCTION("GOOGLETRANSLATE(B42554,""en"",""pt"")"),"Pereval's'k")</f>
        <v>Pereval's'k</v>
      </c>
      <c r="B14694" s="9" t="s">
        <v>36004</v>
      </c>
      <c r="C14694" s="9" t="s">
        <v>26870</v>
      </c>
      <c r="D14694" s="9" t="s">
        <v>26871</v>
      </c>
      <c r="E14694" s="10">
        <v>697650</v>
      </c>
      <c r="F14694" s="4" t="str">
        <f>IF(B14694=B14693,"",B14694)</f>
        <v>Pereval’s’k</v>
      </c>
    </row>
    <row r="14695" spans="1:6" ht="15.75" customHeight="1">
      <c r="A14695" s="16" t="s">
        <v>22923</v>
      </c>
      <c r="B14695" s="15" t="s">
        <v>22924</v>
      </c>
      <c r="C14695" s="16" t="s">
        <v>22070</v>
      </c>
      <c r="D14695" s="16" t="s">
        <v>22326</v>
      </c>
      <c r="E14695" s="2">
        <v>511359</v>
      </c>
      <c r="F14695" s="4" t="str">
        <f>IF(B14695=B14694,"",B14695)</f>
        <v>Pereslavlâ€™-Zalesskiy</v>
      </c>
    </row>
    <row r="14696" spans="1:6" ht="15.75" customHeight="1">
      <c r="A14696" s="8" t="str">
        <f ca="1">IFERROR(__xludf.DUMMYFUNCTION("GOOGLETRANSLATE(B40206,""en"",""pt"")"),"Pereslavl'-zalesskiy")</f>
        <v>Pereslavl'-zalesskiy</v>
      </c>
      <c r="B14696" s="11" t="s">
        <v>35474</v>
      </c>
      <c r="C14696" s="11" t="s">
        <v>22070</v>
      </c>
      <c r="D14696" s="11" t="s">
        <v>22326</v>
      </c>
      <c r="E14696" s="10">
        <v>511359</v>
      </c>
      <c r="F14696" s="4" t="str">
        <f>IF(B14696=B14695,"",B14696)</f>
        <v>Pereslavl’-Zalesskiy</v>
      </c>
    </row>
    <row r="14697" spans="1:6" ht="15.75" customHeight="1">
      <c r="A14697" s="16" t="s">
        <v>3080</v>
      </c>
      <c r="B14697" s="15" t="s">
        <v>3080</v>
      </c>
      <c r="C14697" s="16" t="s">
        <v>1905</v>
      </c>
      <c r="D14697" s="16" t="s">
        <v>1914</v>
      </c>
      <c r="E14697" s="2">
        <v>3454131</v>
      </c>
      <c r="F14697" s="4" t="str">
        <f>IF(B14697=B14696,"",B14697)</f>
        <v>Pereira Barreto</v>
      </c>
    </row>
    <row r="14698" spans="1:6" ht="15.75" customHeight="1">
      <c r="A14698" s="8" t="str">
        <f ca="1">IFERROR(__xludf.DUMMYFUNCTION("GOOGLETRANSLATE(B24721,""en"",""pt"")"),"Pereira Barreto")</f>
        <v>Pereira Barreto</v>
      </c>
      <c r="B14698" s="11" t="s">
        <v>3080</v>
      </c>
      <c r="C14698" s="11" t="s">
        <v>1905</v>
      </c>
      <c r="D14698" s="11" t="s">
        <v>3354</v>
      </c>
      <c r="E14698" s="10">
        <v>3454131</v>
      </c>
      <c r="F14698" s="4" t="str">
        <f>IF(B14698=B14697,"",B14698)</f>
        <v/>
      </c>
    </row>
    <row r="14699" spans="1:6" ht="15.75" customHeight="1">
      <c r="A14699" s="15" t="s">
        <v>5549</v>
      </c>
      <c r="B14699" s="15" t="s">
        <v>5549</v>
      </c>
      <c r="C14699" s="15" t="s">
        <v>5348</v>
      </c>
      <c r="D14699" s="15" t="s">
        <v>5364</v>
      </c>
      <c r="E14699" s="2">
        <v>3672486</v>
      </c>
      <c r="F14699" s="4" t="str">
        <f>IF(B14699=B14698,"",B14699)</f>
        <v>Pereira</v>
      </c>
    </row>
    <row r="14700" spans="1:6" ht="15.75" customHeight="1">
      <c r="A14700" s="8" t="str">
        <f ca="1">IFERROR(__xludf.DUMMYFUNCTION("GOOGLETRANSLATE(B26922,""en"",""pt"")"),"Pereira")</f>
        <v>Pereira</v>
      </c>
      <c r="B14700" s="11" t="s">
        <v>5549</v>
      </c>
      <c r="C14700" s="11" t="s">
        <v>5348</v>
      </c>
      <c r="D14700" s="11" t="s">
        <v>5364</v>
      </c>
      <c r="E14700" s="10">
        <v>3672486</v>
      </c>
      <c r="F14700" s="4" t="str">
        <f>IF(B14700=B14699,"",B14700)</f>
        <v/>
      </c>
    </row>
    <row r="14701" spans="1:6" ht="15.75" customHeight="1">
      <c r="A14701" s="8" t="str">
        <f ca="1">IFERROR(__xludf.DUMMYFUNCTION("GOOGLETRANSLATE(B24722,""en"",""pt"")"),"Perdões")</f>
        <v>Perdões</v>
      </c>
      <c r="B14701" s="9" t="s">
        <v>31560</v>
      </c>
      <c r="C14701" s="9" t="s">
        <v>1905</v>
      </c>
      <c r="D14701" s="9" t="s">
        <v>1917</v>
      </c>
      <c r="E14701" s="10">
        <v>3454139</v>
      </c>
      <c r="F14701" s="4" t="str">
        <f>IF(B14701=B14700,"",B14701)</f>
        <v>Perdões</v>
      </c>
    </row>
    <row r="14702" spans="1:6" ht="15.75" customHeight="1">
      <c r="A14702" s="15" t="s">
        <v>3078</v>
      </c>
      <c r="B14702" s="15" t="s">
        <v>3079</v>
      </c>
      <c r="C14702" s="15" t="s">
        <v>1905</v>
      </c>
      <c r="D14702" s="15" t="s">
        <v>1917</v>
      </c>
      <c r="E14702" s="2">
        <v>3454139</v>
      </c>
      <c r="F14702" s="4" t="str">
        <f>IF(B14702=B14701,"",B14702)</f>
        <v>PerdÃµes</v>
      </c>
    </row>
    <row r="14703" spans="1:6" ht="15.75" customHeight="1">
      <c r="A14703" s="15" t="s">
        <v>14102</v>
      </c>
      <c r="B14703" s="15" t="s">
        <v>14102</v>
      </c>
      <c r="C14703" s="15" t="s">
        <v>13800</v>
      </c>
      <c r="D14703" s="15" t="s">
        <v>13830</v>
      </c>
      <c r="E14703" s="2">
        <v>1214189</v>
      </c>
      <c r="F14703" s="4" t="str">
        <f>IF(B14703=B14702,"",B14703)</f>
        <v>Percut</v>
      </c>
    </row>
    <row r="14704" spans="1:6" ht="15.75" customHeight="1">
      <c r="A14704" s="8" t="str">
        <f ca="1">IFERROR(__xludf.DUMMYFUNCTION("GOOGLETRANSLATE(B31365,""en"",""pt"")"),"Percut")</f>
        <v>Percut</v>
      </c>
      <c r="B14704" s="11" t="s">
        <v>14102</v>
      </c>
      <c r="C14704" s="11" t="s">
        <v>13800</v>
      </c>
      <c r="D14704" s="11" t="s">
        <v>13830</v>
      </c>
      <c r="E14704" s="10">
        <v>1214189</v>
      </c>
      <c r="F14704" s="4" t="str">
        <f>IF(B14704=B14703,"",B14704)</f>
        <v/>
      </c>
    </row>
    <row r="14705" spans="1:6" ht="15.75" customHeight="1">
      <c r="A14705" s="16" t="s">
        <v>14101</v>
      </c>
      <c r="B14705" s="15" t="s">
        <v>14101</v>
      </c>
      <c r="C14705" s="16" t="s">
        <v>13800</v>
      </c>
      <c r="D14705" s="16" t="s">
        <v>13830</v>
      </c>
      <c r="E14705" s="2">
        <v>1214191</v>
      </c>
      <c r="F14705" s="4" t="str">
        <f>IF(B14705=B14704,"",B14705)</f>
        <v>Perbaungan</v>
      </c>
    </row>
    <row r="14706" spans="1:6" ht="15.75" customHeight="1">
      <c r="A14706" s="8" t="str">
        <f ca="1">IFERROR(__xludf.DUMMYFUNCTION("GOOGLETRANSLATE(B31366,""en"",""pt"")"),"Perbaungan")</f>
        <v>Perbaungan</v>
      </c>
      <c r="B14706" s="11" t="s">
        <v>14101</v>
      </c>
      <c r="C14706" s="11" t="s">
        <v>13800</v>
      </c>
      <c r="D14706" s="11" t="s">
        <v>13830</v>
      </c>
      <c r="E14706" s="10">
        <v>1214191</v>
      </c>
      <c r="F14706" s="4" t="str">
        <f>IF(B14706=B14705,"",B14706)</f>
        <v/>
      </c>
    </row>
    <row r="14707" spans="1:6" ht="15.75" customHeight="1">
      <c r="A14707" s="16" t="s">
        <v>12857</v>
      </c>
      <c r="B14707" s="15" t="s">
        <v>12857</v>
      </c>
      <c r="C14707" s="16" t="s">
        <v>10178</v>
      </c>
      <c r="D14707" s="16" t="s">
        <v>10196</v>
      </c>
      <c r="E14707" s="2">
        <v>1259890</v>
      </c>
      <c r="F14707" s="4" t="str">
        <f>IF(B14707=B14706,"",B14707)</f>
        <v>Peravurani</v>
      </c>
    </row>
    <row r="14708" spans="1:6" ht="15.75" customHeight="1">
      <c r="A14708" s="8" t="str">
        <f ca="1">IFERROR(__xludf.DUMMYFUNCTION("GOOGLETRANSLATE(B32481,""en"",""pt"")"),"Peravurani")</f>
        <v>Peravurani</v>
      </c>
      <c r="B14708" s="11" t="s">
        <v>12857</v>
      </c>
      <c r="C14708" s="11" t="s">
        <v>10178</v>
      </c>
      <c r="D14708" s="11" t="s">
        <v>10196</v>
      </c>
      <c r="E14708" s="10">
        <v>1259890</v>
      </c>
      <c r="F14708" s="4" t="str">
        <f>IF(B14708=B14707,"",B14708)</f>
        <v/>
      </c>
    </row>
    <row r="14709" spans="1:6" ht="15.75" customHeight="1">
      <c r="A14709" s="8" t="str">
        <f ca="1">IFERROR(__xludf.DUMMYFUNCTION("GOOGLETRANSLATE(B32482,""en"",""pt"")"),"Peranāmpattu")</f>
        <v>Peranāmpattu</v>
      </c>
      <c r="B14709" s="9" t="s">
        <v>33236</v>
      </c>
      <c r="C14709" s="9" t="s">
        <v>10178</v>
      </c>
      <c r="D14709" s="9" t="s">
        <v>10196</v>
      </c>
      <c r="E14709" s="10">
        <v>1259892</v>
      </c>
      <c r="F14709" s="4" t="str">
        <f>IF(B14709=B14708,"",B14709)</f>
        <v>Peranāmpattu</v>
      </c>
    </row>
    <row r="14710" spans="1:6" ht="15.75" customHeight="1">
      <c r="A14710" s="16" t="s">
        <v>12855</v>
      </c>
      <c r="B14710" s="15" t="s">
        <v>12856</v>
      </c>
      <c r="C14710" s="16" t="s">
        <v>10178</v>
      </c>
      <c r="D14710" s="16" t="s">
        <v>10196</v>
      </c>
      <c r="E14710" s="2">
        <v>1259892</v>
      </c>
      <c r="F14710" s="4" t="str">
        <f>IF(B14710=B14709,"",B14710)</f>
        <v>PeranÄmpattu</v>
      </c>
    </row>
    <row r="14711" spans="1:6" ht="15.75" customHeight="1">
      <c r="A14711" s="16" t="s">
        <v>12854</v>
      </c>
      <c r="B14711" s="15" t="s">
        <v>12854</v>
      </c>
      <c r="C14711" s="16" t="s">
        <v>10178</v>
      </c>
      <c r="D14711" s="16" t="s">
        <v>10196</v>
      </c>
      <c r="E14711" s="2">
        <v>1259896</v>
      </c>
      <c r="F14711" s="4" t="str">
        <f>IF(B14711=B14710,"",B14711)</f>
        <v>Perambalur</v>
      </c>
    </row>
    <row r="14712" spans="1:6" ht="15.75" customHeight="1">
      <c r="A14712" s="8" t="str">
        <f ca="1">IFERROR(__xludf.DUMMYFUNCTION("GOOGLETRANSLATE(B32483,""en"",""pt"")"),"Perambalur")</f>
        <v>Perambalur</v>
      </c>
      <c r="B14712" s="9" t="s">
        <v>12854</v>
      </c>
      <c r="C14712" s="9" t="s">
        <v>10178</v>
      </c>
      <c r="D14712" s="9" t="s">
        <v>10196</v>
      </c>
      <c r="E14712" s="10">
        <v>1259896</v>
      </c>
      <c r="F14712" s="4" t="str">
        <f>IF(B14712=B14711,"",B14712)</f>
        <v/>
      </c>
    </row>
    <row r="14713" spans="1:6" ht="15.75" customHeight="1">
      <c r="A14713" s="8" t="str">
        <f ca="1">IFERROR(__xludf.DUMMYFUNCTION("GOOGLETRANSLATE(B30968,""en"",""pt"")"),"Pérama")</f>
        <v>Pérama</v>
      </c>
      <c r="B14713" s="11" t="s">
        <v>32679</v>
      </c>
      <c r="C14713" s="11" t="s">
        <v>9441</v>
      </c>
      <c r="D14713" s="11" t="s">
        <v>9445</v>
      </c>
      <c r="E14713" s="10">
        <v>255588</v>
      </c>
      <c r="F14713" s="4" t="str">
        <f>IF(B14713=B14712,"",B14713)</f>
        <v>Pérama</v>
      </c>
    </row>
    <row r="14714" spans="1:6" ht="15.75" customHeight="1">
      <c r="A14714" s="8" t="str">
        <f ca="1">IFERROR(__xludf.DUMMYFUNCTION("GOOGLETRANSLATE(B31037,""en"",""pt"")"),"Peraía")</f>
        <v>Peraía</v>
      </c>
      <c r="B14714" s="9" t="s">
        <v>32743</v>
      </c>
      <c r="C14714" s="9" t="s">
        <v>9441</v>
      </c>
      <c r="D14714" s="9" t="s">
        <v>9442</v>
      </c>
      <c r="E14714" s="10">
        <v>734712</v>
      </c>
      <c r="F14714" s="4" t="str">
        <f>IF(B14714=B14713,"",B14714)</f>
        <v>Peraía</v>
      </c>
    </row>
    <row r="14715" spans="1:6" ht="15.75" customHeight="1">
      <c r="A14715" s="15" t="s">
        <v>17544</v>
      </c>
      <c r="B14715" s="15" t="s">
        <v>17544</v>
      </c>
      <c r="C14715" s="15" t="s">
        <v>17432</v>
      </c>
      <c r="D14715" s="15" t="s">
        <v>17461</v>
      </c>
      <c r="E14715" s="2">
        <v>1735077</v>
      </c>
      <c r="F14715" s="4" t="str">
        <f>IF(B14715=B14714,"",B14715)</f>
        <v>Perai</v>
      </c>
    </row>
    <row r="14716" spans="1:6" ht="15.75" customHeight="1">
      <c r="A14716" s="8" t="str">
        <f ca="1">IFERROR(__xludf.DUMMYFUNCTION("GOOGLETRANSLATE(B37473,""en"",""pt"")"),"Perai")</f>
        <v>Perai</v>
      </c>
      <c r="B14716" s="9" t="s">
        <v>17544</v>
      </c>
      <c r="C14716" s="9" t="s">
        <v>17432</v>
      </c>
      <c r="D14716" s="9" t="s">
        <v>17461</v>
      </c>
      <c r="E14716" s="10">
        <v>1735077</v>
      </c>
      <c r="F14716" s="4" t="str">
        <f>IF(B14716=B14715,"",B14716)</f>
        <v/>
      </c>
    </row>
    <row r="14717" spans="1:6" ht="15.75" customHeight="1">
      <c r="A14717" s="15" t="s">
        <v>9615</v>
      </c>
      <c r="B14717" s="15" t="s">
        <v>9616</v>
      </c>
      <c r="C14717" s="15" t="s">
        <v>9441</v>
      </c>
      <c r="D14717" s="15" t="s">
        <v>9442</v>
      </c>
      <c r="E14717" s="2">
        <v>734712</v>
      </c>
      <c r="F14717" s="4" t="str">
        <f>IF(B14717=B14716,"",B14717)</f>
        <v>PeraÃ­a</v>
      </c>
    </row>
    <row r="14718" spans="1:6" ht="15.75" customHeight="1">
      <c r="A14718" s="15" t="s">
        <v>29661</v>
      </c>
      <c r="B14718" s="15" t="s">
        <v>29661</v>
      </c>
      <c r="C14718" s="15" t="s">
        <v>27788</v>
      </c>
      <c r="D14718" s="15" t="s">
        <v>27799</v>
      </c>
      <c r="E14718" s="2">
        <v>4905687</v>
      </c>
      <c r="F14718" s="4" t="str">
        <f>IF(B14718=B14717,"",B14718)</f>
        <v>Peoria</v>
      </c>
    </row>
    <row r="14719" spans="1:6" ht="15.75" customHeight="1">
      <c r="A14719" s="15" t="s">
        <v>29661</v>
      </c>
      <c r="B14719" s="15" t="s">
        <v>29661</v>
      </c>
      <c r="C14719" s="15" t="s">
        <v>27788</v>
      </c>
      <c r="D14719" s="15" t="s">
        <v>27880</v>
      </c>
      <c r="E14719" s="2">
        <v>5308480</v>
      </c>
      <c r="F14719" s="4" t="str">
        <f>IF(B14719=B14718,"",B14719)</f>
        <v/>
      </c>
    </row>
    <row r="14720" spans="1:6" ht="15.75" customHeight="1">
      <c r="A14720" s="8" t="str">
        <f ca="1">IFERROR(__xludf.DUMMYFUNCTION("GOOGLETRANSLATE(B43871,""en"",""pt"")"),"Peoria")</f>
        <v>Peoria</v>
      </c>
      <c r="B14720" s="11" t="s">
        <v>29661</v>
      </c>
      <c r="C14720" s="11" t="s">
        <v>27788</v>
      </c>
      <c r="D14720" s="11" t="s">
        <v>27799</v>
      </c>
      <c r="E14720" s="10">
        <v>4905687</v>
      </c>
      <c r="F14720" s="4" t="str">
        <f>IF(B14720=B14719,"",B14720)</f>
        <v/>
      </c>
    </row>
    <row r="14721" spans="1:6" ht="15.75" customHeight="1">
      <c r="A14721" s="8" t="str">
        <f ca="1">IFERROR(__xludf.DUMMYFUNCTION("GOOGLETRANSLATE(B44719,""en"",""pt"")"),"Peoria")</f>
        <v>Peoria</v>
      </c>
      <c r="B14721" s="9" t="s">
        <v>29661</v>
      </c>
      <c r="C14721" s="9" t="s">
        <v>27788</v>
      </c>
      <c r="D14721" s="9" t="s">
        <v>27880</v>
      </c>
      <c r="E14721" s="10">
        <v>5308480</v>
      </c>
      <c r="F14721" s="4" t="str">
        <f>IF(B14721=B14720,"",B14721)</f>
        <v/>
      </c>
    </row>
    <row r="14722" spans="1:6" ht="15.75" customHeight="1">
      <c r="A14722" s="15" t="s">
        <v>8990</v>
      </c>
      <c r="B14722" s="15" t="s">
        <v>8990</v>
      </c>
      <c r="C14722" s="15" t="s">
        <v>8028</v>
      </c>
      <c r="D14722" s="15" t="s">
        <v>8044</v>
      </c>
      <c r="E14722" s="2">
        <v>2854923</v>
      </c>
      <c r="F14722" s="4" t="str">
        <f>IF(B14722=B14721,"",B14722)</f>
        <v>Penzberg</v>
      </c>
    </row>
    <row r="14723" spans="1:6" ht="15.75" customHeight="1">
      <c r="A14723" s="8" t="str">
        <f ca="1">IFERROR(__xludf.DUMMYFUNCTION("GOOGLETRANSLATE(B27652,""en"",""pt"")"),"Penzberg")</f>
        <v>Penzberg</v>
      </c>
      <c r="B14723" s="9" t="s">
        <v>8990</v>
      </c>
      <c r="C14723" s="9" t="s">
        <v>8028</v>
      </c>
      <c r="D14723" s="9" t="s">
        <v>8044</v>
      </c>
      <c r="E14723" s="10">
        <v>2854923</v>
      </c>
      <c r="F14723" s="4" t="str">
        <f>IF(B14723=B14722,"",B14723)</f>
        <v/>
      </c>
    </row>
    <row r="14724" spans="1:6" ht="15.75" customHeight="1">
      <c r="A14724" s="15" t="s">
        <v>27592</v>
      </c>
      <c r="B14724" s="15" t="s">
        <v>27592</v>
      </c>
      <c r="C14724" s="15" t="s">
        <v>27234</v>
      </c>
      <c r="D14724" s="15" t="s">
        <v>27241</v>
      </c>
      <c r="E14724" s="2">
        <v>2640377</v>
      </c>
      <c r="F14724" s="4" t="str">
        <f>IF(B14724=B14723,"",B14724)</f>
        <v>Penzance</v>
      </c>
    </row>
    <row r="14725" spans="1:6" ht="15.75" customHeight="1">
      <c r="A14725" s="8" t="str">
        <f ca="1">IFERROR(__xludf.DUMMYFUNCTION("GOOGLETRANSLATE(B30487,""en"",""pt"")"),"Penzance")</f>
        <v>Penzance</v>
      </c>
      <c r="B14725" s="11" t="s">
        <v>27592</v>
      </c>
      <c r="C14725" s="11" t="s">
        <v>27234</v>
      </c>
      <c r="D14725" s="11" t="s">
        <v>27241</v>
      </c>
      <c r="E14725" s="10">
        <v>2640377</v>
      </c>
      <c r="F14725" s="4" t="str">
        <f>IF(B14725=B14724,"",B14725)</f>
        <v/>
      </c>
    </row>
    <row r="14726" spans="1:6" ht="15.75" customHeight="1">
      <c r="A14726" s="15" t="s">
        <v>22649</v>
      </c>
      <c r="B14726" s="15" t="s">
        <v>22649</v>
      </c>
      <c r="C14726" s="15" t="s">
        <v>22070</v>
      </c>
      <c r="D14726" s="15" t="s">
        <v>22649</v>
      </c>
      <c r="E14726" s="2">
        <v>511565</v>
      </c>
      <c r="F14726" s="4" t="str">
        <f>IF(B14726=B14725,"",B14726)</f>
        <v>Penza</v>
      </c>
    </row>
    <row r="14727" spans="1:6" ht="15.75" customHeight="1">
      <c r="A14727" s="8" t="str">
        <f ca="1">IFERROR(__xludf.DUMMYFUNCTION("GOOGLETRANSLATE(B40208,""en"",""pt"")"),"Penza")</f>
        <v>Penza</v>
      </c>
      <c r="B14727" s="11" t="s">
        <v>22649</v>
      </c>
      <c r="C14727" s="11" t="s">
        <v>22070</v>
      </c>
      <c r="D14727" s="11" t="s">
        <v>22649</v>
      </c>
      <c r="E14727" s="10">
        <v>511565</v>
      </c>
      <c r="F14727" s="4" t="str">
        <f>IF(B14727=B14726,"",B14727)</f>
        <v/>
      </c>
    </row>
    <row r="14728" spans="1:6" ht="15.75" customHeight="1">
      <c r="A14728" s="16" t="s">
        <v>12853</v>
      </c>
      <c r="B14728" s="15" t="s">
        <v>12853</v>
      </c>
      <c r="C14728" s="16" t="s">
        <v>10178</v>
      </c>
      <c r="D14728" s="16" t="s">
        <v>10190</v>
      </c>
      <c r="E14728" s="2">
        <v>1259905</v>
      </c>
      <c r="F14728" s="4" t="str">
        <f>IF(B14728=B14727,"",B14728)</f>
        <v>Penukonda</v>
      </c>
    </row>
    <row r="14729" spans="1:6" ht="15.75" customHeight="1">
      <c r="A14729" s="8" t="str">
        <f ca="1">IFERROR(__xludf.DUMMYFUNCTION("GOOGLETRANSLATE(B32484,""en"",""pt"")"),"Penukonda")</f>
        <v>Penukonda</v>
      </c>
      <c r="B14729" s="11" t="s">
        <v>12853</v>
      </c>
      <c r="C14729" s="11" t="s">
        <v>10178</v>
      </c>
      <c r="D14729" s="11" t="s">
        <v>10190</v>
      </c>
      <c r="E14729" s="10">
        <v>1259905</v>
      </c>
      <c r="F14729" s="4" t="str">
        <f>IF(B14729=B14728,"",B14729)</f>
        <v/>
      </c>
    </row>
    <row r="14730" spans="1:6" ht="15.75" customHeight="1">
      <c r="A14730" s="16" t="s">
        <v>12852</v>
      </c>
      <c r="B14730" s="15" t="s">
        <v>12852</v>
      </c>
      <c r="C14730" s="16" t="s">
        <v>10178</v>
      </c>
      <c r="D14730" s="16" t="s">
        <v>10190</v>
      </c>
      <c r="E14730" s="2">
        <v>1259907</v>
      </c>
      <c r="F14730" s="4" t="str">
        <f>IF(B14730=B14729,"",B14730)</f>
        <v>Penugonda</v>
      </c>
    </row>
    <row r="14731" spans="1:6" ht="15.75" customHeight="1">
      <c r="A14731" s="8" t="str">
        <f ca="1">IFERROR(__xludf.DUMMYFUNCTION("GOOGLETRANSLATE(B32485,""en"",""pt"")"),"Penugonda")</f>
        <v>Penugonda</v>
      </c>
      <c r="B14731" s="11" t="s">
        <v>12852</v>
      </c>
      <c r="C14731" s="11" t="s">
        <v>10178</v>
      </c>
      <c r="D14731" s="11" t="s">
        <v>10190</v>
      </c>
      <c r="E14731" s="10">
        <v>1259907</v>
      </c>
      <c r="F14731" s="4" t="str">
        <f>IF(B14731=B14730,"",B14731)</f>
        <v/>
      </c>
    </row>
    <row r="14732" spans="1:6" ht="15.75" customHeight="1">
      <c r="A14732" s="15" t="s">
        <v>4138</v>
      </c>
      <c r="B14732" s="15" t="s">
        <v>4138</v>
      </c>
      <c r="C14732" s="15" t="s">
        <v>3975</v>
      </c>
      <c r="D14732" s="15" t="s">
        <v>3976</v>
      </c>
      <c r="E14732" s="2">
        <v>6101141</v>
      </c>
      <c r="F14732" s="4" t="str">
        <f>IF(B14732=B14731,"",B14732)</f>
        <v>Penticton</v>
      </c>
    </row>
    <row r="14733" spans="1:6" ht="15.75" customHeight="1">
      <c r="A14733" s="8" t="str">
        <f ca="1">IFERROR(__xludf.DUMMYFUNCTION("GOOGLETRANSLATE(B25542,""en"",""pt"")"),"Penticton")</f>
        <v>Penticton</v>
      </c>
      <c r="B14733" s="9" t="s">
        <v>4138</v>
      </c>
      <c r="C14733" s="9" t="s">
        <v>3975</v>
      </c>
      <c r="D14733" s="9" t="s">
        <v>3976</v>
      </c>
      <c r="E14733" s="10">
        <v>6101141</v>
      </c>
      <c r="F14733" s="4" t="str">
        <f>IF(B14733=B14732,"",B14733)</f>
        <v/>
      </c>
    </row>
    <row r="14734" spans="1:6" ht="15.75" customHeight="1">
      <c r="A14734" s="16" t="s">
        <v>3077</v>
      </c>
      <c r="B14734" s="15" t="s">
        <v>3077</v>
      </c>
      <c r="C14734" s="16" t="s">
        <v>1905</v>
      </c>
      <c r="D14734" s="16" t="s">
        <v>1930</v>
      </c>
      <c r="E14734" s="2">
        <v>3392345</v>
      </c>
      <c r="F14734" s="4" t="str">
        <f>IF(B14734=B14733,"",B14734)</f>
        <v>Pentecoste</v>
      </c>
    </row>
    <row r="14735" spans="1:6" ht="15.75" customHeight="1">
      <c r="A14735" s="8" t="str">
        <f ca="1">IFERROR(__xludf.DUMMYFUNCTION("GOOGLETRANSLATE(B24232,""en"",""pt"")"),"Pentecoste")</f>
        <v>Pentecoste</v>
      </c>
      <c r="B14735" s="11" t="s">
        <v>3077</v>
      </c>
      <c r="C14735" s="11" t="s">
        <v>1905</v>
      </c>
      <c r="D14735" s="11" t="s">
        <v>31345</v>
      </c>
      <c r="E14735" s="10">
        <v>3392345</v>
      </c>
      <c r="F14735" s="4" t="str">
        <f>IF(B14735=B14734,"",B14735)</f>
        <v/>
      </c>
    </row>
    <row r="14736" spans="1:6" ht="15.75" customHeight="1">
      <c r="A14736" s="16" t="s">
        <v>29660</v>
      </c>
      <c r="B14736" s="15" t="s">
        <v>29660</v>
      </c>
      <c r="C14736" s="16" t="s">
        <v>27788</v>
      </c>
      <c r="D14736" s="16" t="s">
        <v>5468</v>
      </c>
      <c r="E14736" s="2">
        <v>4168228</v>
      </c>
      <c r="F14736" s="4" t="str">
        <f>IF(B14736=B14735,"",B14736)</f>
        <v>Pensacola</v>
      </c>
    </row>
    <row r="14737" spans="1:6" ht="15.75" customHeight="1">
      <c r="A14737" s="8" t="str">
        <f ca="1">IFERROR(__xludf.DUMMYFUNCTION("GOOGLETRANSLATE(B42986,""en"",""pt"")"),"Pensacola")</f>
        <v>Pensacola</v>
      </c>
      <c r="B14737" s="11" t="s">
        <v>29660</v>
      </c>
      <c r="C14737" s="11" t="s">
        <v>27788</v>
      </c>
      <c r="D14737" s="11" t="s">
        <v>5468</v>
      </c>
      <c r="E14737" s="10">
        <v>4168228</v>
      </c>
      <c r="F14737" s="4" t="str">
        <f>IF(B14737=B14736,"",B14737)</f>
        <v/>
      </c>
    </row>
    <row r="14738" spans="1:6" ht="15.75" customHeight="1">
      <c r="A14738" s="16" t="s">
        <v>29659</v>
      </c>
      <c r="B14738" s="15" t="s">
        <v>29659</v>
      </c>
      <c r="C14738" s="16" t="s">
        <v>27788</v>
      </c>
      <c r="D14738" s="16" t="s">
        <v>27905</v>
      </c>
      <c r="E14738" s="2">
        <v>4503548</v>
      </c>
      <c r="F14738" s="4" t="str">
        <f>IF(B14738=B14737,"",B14738)</f>
        <v>Pennsauken</v>
      </c>
    </row>
    <row r="14739" spans="1:6" ht="15.75" customHeight="1">
      <c r="A14739" s="8" t="str">
        <f ca="1">IFERROR(__xludf.DUMMYFUNCTION("GOOGLETRANSLATE(B43497,""en"",""pt"")"),"Pennsauken")</f>
        <v>Pennsauken</v>
      </c>
      <c r="B14739" s="9" t="s">
        <v>29659</v>
      </c>
      <c r="C14739" s="9" t="s">
        <v>27788</v>
      </c>
      <c r="D14739" s="9" t="s">
        <v>27905</v>
      </c>
      <c r="E14739" s="10">
        <v>4503548</v>
      </c>
      <c r="F14739" s="4" t="str">
        <f>IF(B14739=B14738,"",B14739)</f>
        <v/>
      </c>
    </row>
    <row r="14740" spans="1:6" ht="15.75" customHeight="1">
      <c r="A14740" s="8" t="str">
        <f ca="1">IFERROR(__xludf.DUMMYFUNCTION("GOOGLETRANSLATE(B32486,""en"",""pt"")"),"Pennāgaram")</f>
        <v>Pennāgaram</v>
      </c>
      <c r="B14740" s="9" t="s">
        <v>33237</v>
      </c>
      <c r="C14740" s="9" t="s">
        <v>10178</v>
      </c>
      <c r="D14740" s="9" t="s">
        <v>10196</v>
      </c>
      <c r="E14740" s="10">
        <v>1259916</v>
      </c>
      <c r="F14740" s="4" t="str">
        <f>IF(B14740=B14739,"",B14740)</f>
        <v>Pennāgaram</v>
      </c>
    </row>
    <row r="14741" spans="1:6" ht="15.75" customHeight="1">
      <c r="A14741" s="8" t="str">
        <f ca="1">IFERROR(__xludf.DUMMYFUNCTION("GOOGLETRANSLATE(B32487,""en"",""pt"")"),"Pennādam")</f>
        <v>Pennādam</v>
      </c>
      <c r="B14741" s="11" t="s">
        <v>33238</v>
      </c>
      <c r="C14741" s="11" t="s">
        <v>10178</v>
      </c>
      <c r="D14741" s="11" t="s">
        <v>10196</v>
      </c>
      <c r="E14741" s="10">
        <v>1259917</v>
      </c>
      <c r="F14741" s="4" t="str">
        <f>IF(B14741=B14740,"",B14741)</f>
        <v>Pennādam</v>
      </c>
    </row>
    <row r="14742" spans="1:6" ht="15.75" customHeight="1">
      <c r="A14742" s="16" t="s">
        <v>12850</v>
      </c>
      <c r="B14742" s="15" t="s">
        <v>12851</v>
      </c>
      <c r="C14742" s="16" t="s">
        <v>10178</v>
      </c>
      <c r="D14742" s="16" t="s">
        <v>10196</v>
      </c>
      <c r="E14742" s="2">
        <v>1259916</v>
      </c>
      <c r="F14742" s="4" t="str">
        <f>IF(B14742=B14741,"",B14742)</f>
        <v>PennÄgaram</v>
      </c>
    </row>
    <row r="14743" spans="1:6" ht="15.75" customHeight="1">
      <c r="A14743" s="16" t="s">
        <v>12848</v>
      </c>
      <c r="B14743" s="15" t="s">
        <v>12849</v>
      </c>
      <c r="C14743" s="16" t="s">
        <v>10178</v>
      </c>
      <c r="D14743" s="16" t="s">
        <v>10196</v>
      </c>
      <c r="E14743" s="2">
        <v>1259917</v>
      </c>
      <c r="F14743" s="4" t="str">
        <f>IF(B14743=B14742,"",B14743)</f>
        <v>PennÄdam</v>
      </c>
    </row>
    <row r="14744" spans="1:6" ht="15.75" customHeight="1">
      <c r="A14744" s="15" t="s">
        <v>29658</v>
      </c>
      <c r="B14744" s="15" t="s">
        <v>29658</v>
      </c>
      <c r="C14744" s="15" t="s">
        <v>27788</v>
      </c>
      <c r="D14744" s="15" t="s">
        <v>27836</v>
      </c>
      <c r="E14744" s="2">
        <v>5205377</v>
      </c>
      <c r="F14744" s="4" t="str">
        <f>IF(B14744=B14743,"",B14744)</f>
        <v>Penn Hills</v>
      </c>
    </row>
    <row r="14745" spans="1:6" ht="15.75" customHeight="1">
      <c r="A14745" s="8" t="str">
        <f ca="1">IFERROR(__xludf.DUMMYFUNCTION("GOOGLETRANSLATE(B44587,""en"",""pt"")"),"Penn Hills")</f>
        <v>Penn Hills</v>
      </c>
      <c r="B14745" s="11" t="s">
        <v>29658</v>
      </c>
      <c r="C14745" s="11" t="s">
        <v>27788</v>
      </c>
      <c r="D14745" s="11" t="s">
        <v>27836</v>
      </c>
      <c r="E14745" s="10">
        <v>5205377</v>
      </c>
      <c r="F14745" s="4" t="str">
        <f>IF(B14745=B14744,"",B14745)</f>
        <v/>
      </c>
    </row>
    <row r="14746" spans="1:6" ht="15.75" customHeight="1">
      <c r="A14746" s="8" t="str">
        <f ca="1">IFERROR(__xludf.DUMMYFUNCTION("GOOGLETRANSLATE(B37224,""en"",""pt"")"),"Pénjamo")</f>
        <v>Pénjamo</v>
      </c>
      <c r="B14746" s="9" t="s">
        <v>34750</v>
      </c>
      <c r="C14746" s="9" t="s">
        <v>17707</v>
      </c>
      <c r="D14746" s="9" t="s">
        <v>17713</v>
      </c>
      <c r="E14746" s="10">
        <v>3992986</v>
      </c>
      <c r="F14746" s="4" t="str">
        <f>IF(B14746=B14745,"",B14746)</f>
        <v>Pénjamo</v>
      </c>
    </row>
    <row r="14747" spans="1:6" ht="15.75" customHeight="1">
      <c r="A14747" s="15" t="s">
        <v>3961</v>
      </c>
      <c r="B14747" s="15" t="s">
        <v>3961</v>
      </c>
      <c r="C14747" s="15" t="s">
        <v>3884</v>
      </c>
      <c r="D14747" s="15" t="s">
        <v>1761</v>
      </c>
      <c r="E14747" s="2">
        <v>2222623</v>
      </c>
      <c r="F14747" s="4" t="str">
        <f>IF(B14747=B14746,"",B14747)</f>
        <v>Penja</v>
      </c>
    </row>
    <row r="14748" spans="1:6" ht="15.75" customHeight="1">
      <c r="A14748" s="8" t="str">
        <f ca="1">IFERROR(__xludf.DUMMYFUNCTION("GOOGLETRANSLATE(B25988,""en"",""pt"")"),"Penja")</f>
        <v>Penja</v>
      </c>
      <c r="B14748" s="9" t="s">
        <v>3961</v>
      </c>
      <c r="C14748" s="9" t="s">
        <v>3884</v>
      </c>
      <c r="D14748" s="9" t="s">
        <v>1761</v>
      </c>
      <c r="E14748" s="10">
        <v>2222623</v>
      </c>
      <c r="F14748" s="4" t="str">
        <f>IF(B14748=B14747,"",B14748)</f>
        <v/>
      </c>
    </row>
    <row r="14749" spans="1:6" ht="15.75" customHeight="1">
      <c r="A14749" s="15" t="s">
        <v>27591</v>
      </c>
      <c r="B14749" s="15" t="s">
        <v>27591</v>
      </c>
      <c r="C14749" s="15" t="s">
        <v>27234</v>
      </c>
      <c r="D14749" s="15" t="s">
        <v>27237</v>
      </c>
      <c r="E14749" s="2">
        <v>2640465</v>
      </c>
      <c r="F14749" s="4" t="str">
        <f>IF(B14749=B14748,"",B14749)</f>
        <v>Penicuik</v>
      </c>
    </row>
    <row r="14750" spans="1:6" ht="15.75" customHeight="1">
      <c r="A14750" s="8" t="str">
        <f ca="1">IFERROR(__xludf.DUMMYFUNCTION("GOOGLETRANSLATE(B30488,""en"",""pt"")"),"Penicuik")</f>
        <v>Penicuik</v>
      </c>
      <c r="B14750" s="9" t="s">
        <v>27591</v>
      </c>
      <c r="C14750" s="9" t="s">
        <v>27234</v>
      </c>
      <c r="D14750" s="9" t="s">
        <v>27237</v>
      </c>
      <c r="E14750" s="10">
        <v>2640465</v>
      </c>
      <c r="F14750" s="4" t="str">
        <f>IF(B14750=B14749,"",B14750)</f>
        <v/>
      </c>
    </row>
    <row r="14751" spans="1:6" ht="15.75" customHeight="1">
      <c r="A14751" s="15" t="s">
        <v>21706</v>
      </c>
      <c r="B14751" s="15" t="s">
        <v>21706</v>
      </c>
      <c r="C14751" s="15" t="s">
        <v>21606</v>
      </c>
      <c r="D14751" s="15" t="s">
        <v>21639</v>
      </c>
      <c r="E14751" s="2">
        <v>2264923</v>
      </c>
      <c r="F14751" s="4" t="str">
        <f>IF(B14751=B14750,"",B14751)</f>
        <v>Peniche</v>
      </c>
    </row>
    <row r="14752" spans="1:6" ht="15.75" customHeight="1">
      <c r="A14752" s="8" t="str">
        <f ca="1">IFERROR(__xludf.DUMMYFUNCTION("GOOGLETRANSLATE(B39587,""en"",""pt"")"),"Peniche")</f>
        <v>Peniche</v>
      </c>
      <c r="B14752" s="9" t="s">
        <v>21706</v>
      </c>
      <c r="C14752" s="9" t="s">
        <v>21606</v>
      </c>
      <c r="D14752" s="9" t="s">
        <v>21639</v>
      </c>
      <c r="E14752" s="10">
        <v>2264923</v>
      </c>
      <c r="F14752" s="4" t="str">
        <f>IF(B14752=B14751,"",B14752)</f>
        <v/>
      </c>
    </row>
    <row r="14753" spans="1:6" ht="15.75" customHeight="1">
      <c r="A14753" s="15" t="s">
        <v>3076</v>
      </c>
      <c r="B14753" s="15" t="s">
        <v>3076</v>
      </c>
      <c r="C14753" s="15" t="s">
        <v>1905</v>
      </c>
      <c r="D14753" s="15" t="s">
        <v>2020</v>
      </c>
      <c r="E14753" s="2">
        <v>3454213</v>
      </c>
      <c r="F14753" s="4" t="str">
        <f>IF(B14753=B14752,"",B14753)</f>
        <v>Penha</v>
      </c>
    </row>
    <row r="14754" spans="1:6" ht="15.75" customHeight="1">
      <c r="A14754" s="8" t="str">
        <f ca="1">IFERROR(__xludf.DUMMYFUNCTION("GOOGLETRANSLATE(B24723,""en"",""pt"")"),"Penha")</f>
        <v>Penha</v>
      </c>
      <c r="B14754" s="9" t="s">
        <v>3076</v>
      </c>
      <c r="C14754" s="9" t="s">
        <v>1905</v>
      </c>
      <c r="D14754" s="9" t="s">
        <v>2020</v>
      </c>
      <c r="E14754" s="10">
        <v>3454213</v>
      </c>
      <c r="F14754" s="4" t="str">
        <f>IF(B14754=B14753,"",B14754)</f>
        <v/>
      </c>
    </row>
    <row r="14755" spans="1:6" ht="15.75" customHeight="1">
      <c r="A14755" s="16" t="s">
        <v>4990</v>
      </c>
      <c r="B14755" s="15" t="s">
        <v>4990</v>
      </c>
      <c r="C14755" s="16" t="s">
        <v>4487</v>
      </c>
      <c r="D14755" s="16" t="s">
        <v>4529</v>
      </c>
      <c r="E14755" s="2">
        <v>1798946</v>
      </c>
      <c r="F14755" s="4" t="str">
        <f>IF(B14755=B14754,"",B14755)</f>
        <v>Pengcheng</v>
      </c>
    </row>
    <row r="14756" spans="1:6" ht="15.75" customHeight="1">
      <c r="A14756" s="8" t="str">
        <f ca="1">IFERROR(__xludf.DUMMYFUNCTION("GOOGLETRANSLATE(B26326,""en"",""pt"")"),"Pengcheng")</f>
        <v>Pengcheng</v>
      </c>
      <c r="B14756" s="9" t="s">
        <v>4990</v>
      </c>
      <c r="C14756" s="9" t="s">
        <v>4487</v>
      </c>
      <c r="D14756" s="9" t="s">
        <v>4529</v>
      </c>
      <c r="E14756" s="10">
        <v>1798946</v>
      </c>
      <c r="F14756" s="4" t="str">
        <f>IF(B14756=B14755,"",B14756)</f>
        <v/>
      </c>
    </row>
    <row r="14757" spans="1:6" ht="15.75" customHeight="1">
      <c r="A14757" s="15" t="s">
        <v>3075</v>
      </c>
      <c r="B14757" s="15" t="s">
        <v>3075</v>
      </c>
      <c r="C14757" s="15" t="s">
        <v>1905</v>
      </c>
      <c r="D14757" s="15" t="s">
        <v>2015</v>
      </c>
      <c r="E14757" s="2">
        <v>3454231</v>
      </c>
      <c r="F14757" s="4" t="str">
        <f>IF(B14757=B14756,"",B14757)</f>
        <v>Penedo</v>
      </c>
    </row>
    <row r="14758" spans="1:6" ht="15.75" customHeight="1">
      <c r="A14758" s="8" t="str">
        <f ca="1">IFERROR(__xludf.DUMMYFUNCTION("GOOGLETRANSLATE(B24724,""en"",""pt"")"),"Penedo")</f>
        <v>Penedo</v>
      </c>
      <c r="B14758" s="9" t="s">
        <v>3075</v>
      </c>
      <c r="C14758" s="9" t="s">
        <v>1905</v>
      </c>
      <c r="D14758" s="9" t="s">
        <v>2015</v>
      </c>
      <c r="E14758" s="10">
        <v>3454231</v>
      </c>
      <c r="F14758" s="4" t="str">
        <f>IF(B14758=B14757,"",B14758)</f>
        <v/>
      </c>
    </row>
    <row r="14759" spans="1:6" ht="15.75" customHeight="1">
      <c r="A14759" s="16" t="s">
        <v>29657</v>
      </c>
      <c r="B14759" s="15" t="s">
        <v>29657</v>
      </c>
      <c r="C14759" s="16" t="s">
        <v>27788</v>
      </c>
      <c r="D14759" s="16" t="s">
        <v>27820</v>
      </c>
      <c r="E14759" s="2">
        <v>5745380</v>
      </c>
      <c r="F14759" s="4" t="str">
        <f>IF(B14759=B14758,"",B14759)</f>
        <v>Pendleton</v>
      </c>
    </row>
    <row r="14760" spans="1:6" ht="15.75" customHeight="1">
      <c r="A14760" s="8" t="str">
        <f ca="1">IFERROR(__xludf.DUMMYFUNCTION("GOOGLETRANSLATE(B45253,""en"",""pt"")"),"Pendleton")</f>
        <v>Pendleton</v>
      </c>
      <c r="B14760" s="9" t="s">
        <v>29657</v>
      </c>
      <c r="C14760" s="9" t="s">
        <v>27788</v>
      </c>
      <c r="D14760" s="9" t="s">
        <v>27820</v>
      </c>
      <c r="E14760" s="10">
        <v>5745380</v>
      </c>
      <c r="F14760" s="4" t="str">
        <f>IF(B14760=B14759,"",B14760)</f>
        <v/>
      </c>
    </row>
    <row r="14761" spans="1:6" ht="15.75" customHeight="1">
      <c r="A14761" s="15" t="s">
        <v>4444</v>
      </c>
      <c r="B14761" s="15" t="s">
        <v>4444</v>
      </c>
      <c r="C14761" s="15" t="s">
        <v>4355</v>
      </c>
      <c r="D14761" s="15" t="s">
        <v>4361</v>
      </c>
      <c r="E14761" s="2">
        <v>3876664</v>
      </c>
      <c r="F14761" s="4" t="str">
        <f>IF(B14761=B14760,"",B14761)</f>
        <v>Penco</v>
      </c>
    </row>
    <row r="14762" spans="1:6" ht="15.75" customHeight="1">
      <c r="A14762" s="8" t="str">
        <f ca="1">IFERROR(__xludf.DUMMYFUNCTION("GOOGLETRANSLATE(B25918,""en"",""pt"")"),"Penco")</f>
        <v>Penco</v>
      </c>
      <c r="B14762" s="9" t="s">
        <v>4444</v>
      </c>
      <c r="C14762" s="9" t="s">
        <v>4355</v>
      </c>
      <c r="D14762" s="9" t="s">
        <v>31796</v>
      </c>
      <c r="E14762" s="10">
        <v>3876664</v>
      </c>
      <c r="F14762" s="4" t="str">
        <f>IF(B14762=B14761,"",B14762)</f>
        <v/>
      </c>
    </row>
    <row r="14763" spans="1:6" ht="15.75" customHeight="1">
      <c r="A14763" s="15" t="s">
        <v>27590</v>
      </c>
      <c r="B14763" s="15" t="s">
        <v>27590</v>
      </c>
      <c r="C14763" s="15" t="s">
        <v>27234</v>
      </c>
      <c r="D14763" s="15" t="s">
        <v>27235</v>
      </c>
      <c r="E14763" s="2">
        <v>2640496</v>
      </c>
      <c r="F14763" s="4" t="str">
        <f>IF(B14763=B14762,"",B14763)</f>
        <v>Penarth</v>
      </c>
    </row>
    <row r="14764" spans="1:6" ht="15.75" customHeight="1">
      <c r="A14764" s="8" t="str">
        <f ca="1">IFERROR(__xludf.DUMMYFUNCTION("GOOGLETRANSLATE(B30489,""en"",""pt"")"),"Penarth")</f>
        <v>Penarth</v>
      </c>
      <c r="B14764" s="9" t="s">
        <v>27590</v>
      </c>
      <c r="C14764" s="9" t="s">
        <v>27234</v>
      </c>
      <c r="D14764" s="9" t="s">
        <v>27235</v>
      </c>
      <c r="E14764" s="10">
        <v>2640496</v>
      </c>
      <c r="F14764" s="4" t="str">
        <f>IF(B14764=B14763,"",B14764)</f>
        <v/>
      </c>
    </row>
    <row r="14765" spans="1:6" ht="15.75" customHeight="1">
      <c r="A14765" s="8" t="str">
        <f ca="1">IFERROR(__xludf.DUMMYFUNCTION("GOOGLETRANSLATE(B38555,""en"",""pt"")"),"Peñaranda")</f>
        <v>Peñaranda</v>
      </c>
      <c r="B14765" s="11" t="s">
        <v>34879</v>
      </c>
      <c r="C14765" s="11" t="s">
        <v>20598</v>
      </c>
      <c r="D14765" s="11" t="s">
        <v>20599</v>
      </c>
      <c r="E14765" s="10">
        <v>1694075</v>
      </c>
      <c r="F14765" s="4" t="str">
        <f>IF(B14765=B14764,"",B14765)</f>
        <v>Peñaranda</v>
      </c>
    </row>
    <row r="14766" spans="1:6" ht="15.75" customHeight="1">
      <c r="A14766" s="8" t="str">
        <f ca="1">IFERROR(__xludf.DUMMYFUNCTION("GOOGLETRANSLATE(B24725,""en"",""pt"")"),"Penápolis")</f>
        <v>Penápolis</v>
      </c>
      <c r="B14766" s="9" t="s">
        <v>31561</v>
      </c>
      <c r="C14766" s="9" t="s">
        <v>1905</v>
      </c>
      <c r="D14766" s="9" t="s">
        <v>3354</v>
      </c>
      <c r="E14766" s="10">
        <v>3454235</v>
      </c>
      <c r="F14766" s="4" t="str">
        <f>IF(B14766=B14765,"",B14766)</f>
        <v>Penápolis</v>
      </c>
    </row>
    <row r="14767" spans="1:6" ht="15.75" customHeight="1">
      <c r="A14767" s="15" t="s">
        <v>3074</v>
      </c>
      <c r="B14767" s="15" t="s">
        <v>3074</v>
      </c>
      <c r="C14767" s="15" t="s">
        <v>1905</v>
      </c>
      <c r="D14767" s="15" t="s">
        <v>2024</v>
      </c>
      <c r="E14767" s="2">
        <v>3392368</v>
      </c>
      <c r="F14767" s="4" t="str">
        <f>IF(B14767=B14766,"",B14767)</f>
        <v>Penalva</v>
      </c>
    </row>
    <row r="14768" spans="1:6" ht="15.75" customHeight="1">
      <c r="A14768" s="8" t="str">
        <f ca="1">IFERROR(__xludf.DUMMYFUNCTION("GOOGLETRANSLATE(B24233,""en"",""pt"")"),"Penalva")</f>
        <v>Penalva</v>
      </c>
      <c r="B14768" s="9" t="s">
        <v>3074</v>
      </c>
      <c r="C14768" s="9" t="s">
        <v>1905</v>
      </c>
      <c r="D14768" s="9" t="s">
        <v>31340</v>
      </c>
      <c r="E14768" s="10">
        <v>3392368</v>
      </c>
      <c r="F14768" s="4" t="str">
        <f>IF(B14768=B14767,"",B14768)</f>
        <v/>
      </c>
    </row>
    <row r="14769" spans="1:6" ht="15.75" customHeight="1">
      <c r="A14769" s="8" t="str">
        <f ca="1">IFERROR(__xludf.DUMMYFUNCTION("GOOGLETRANSLATE(B25919,""en"",""pt"")"),"Peñaflor")</f>
        <v>Peñaflor</v>
      </c>
      <c r="B14769" s="11" t="s">
        <v>31802</v>
      </c>
      <c r="C14769" s="11" t="s">
        <v>4355</v>
      </c>
      <c r="D14769" s="11" t="s">
        <v>4366</v>
      </c>
      <c r="E14769" s="10">
        <v>3876685</v>
      </c>
      <c r="F14769" s="4" t="str">
        <f>IF(B14769=B14768,"",B14769)</f>
        <v>Peñaflor</v>
      </c>
    </row>
    <row r="14770" spans="1:6" ht="15.75" customHeight="1">
      <c r="A14770" s="15" t="s">
        <v>3072</v>
      </c>
      <c r="B14770" s="15" t="s">
        <v>3073</v>
      </c>
      <c r="C14770" s="15" t="s">
        <v>1905</v>
      </c>
      <c r="D14770" s="15" t="s">
        <v>1914</v>
      </c>
      <c r="E14770" s="2">
        <v>3454235</v>
      </c>
      <c r="F14770" s="4" t="str">
        <f>IF(B14770=B14769,"",B14770)</f>
        <v>PenÃ¡polis</v>
      </c>
    </row>
    <row r="14771" spans="1:6" ht="15.75" customHeight="1">
      <c r="A14771" s="15" t="s">
        <v>12847</v>
      </c>
      <c r="B14771" s="15" t="s">
        <v>3072</v>
      </c>
      <c r="C14771" s="15" t="s">
        <v>10178</v>
      </c>
      <c r="D14771" s="15" t="s">
        <v>10214</v>
      </c>
      <c r="E14771" s="2">
        <v>1259931</v>
      </c>
      <c r="F14771" s="4" t="str">
        <f>IF(B14771=B14770,"",B14771)</f>
        <v>Pen</v>
      </c>
    </row>
    <row r="14772" spans="1:6" ht="15.75" customHeight="1">
      <c r="A14772" s="8" t="str">
        <f ca="1">IFERROR(__xludf.DUMMYFUNCTION("GOOGLETRANSLATE(B32488,""en"",""pt"")"),"Caneta")</f>
        <v>Caneta</v>
      </c>
      <c r="B14772" s="11" t="s">
        <v>3072</v>
      </c>
      <c r="C14772" s="11" t="s">
        <v>10178</v>
      </c>
      <c r="D14772" s="11" t="s">
        <v>10214</v>
      </c>
      <c r="E14772" s="10">
        <v>1259931</v>
      </c>
      <c r="F14772" s="4" t="str">
        <f>IF(B14772=B14771,"",B14772)</f>
        <v/>
      </c>
    </row>
    <row r="14773" spans="1:6" ht="15.75" customHeight="1">
      <c r="A14773" s="16" t="s">
        <v>29656</v>
      </c>
      <c r="B14773" s="15" t="s">
        <v>29656</v>
      </c>
      <c r="C14773" s="16" t="s">
        <v>27788</v>
      </c>
      <c r="D14773" s="16" t="s">
        <v>5468</v>
      </c>
      <c r="E14773" s="2">
        <v>4168139</v>
      </c>
      <c r="F14773" s="4" t="str">
        <f>IF(B14773=B14772,"",B14773)</f>
        <v>Pembroke Pines</v>
      </c>
    </row>
    <row r="14774" spans="1:6" ht="15.75" customHeight="1">
      <c r="A14774" s="8" t="str">
        <f ca="1">IFERROR(__xludf.DUMMYFUNCTION("GOOGLETRANSLATE(B42985,""en"",""pt"")"),"Pembroke Pines")</f>
        <v>Pembroke Pines</v>
      </c>
      <c r="B14774" s="11" t="s">
        <v>29656</v>
      </c>
      <c r="C14774" s="11" t="s">
        <v>27788</v>
      </c>
      <c r="D14774" s="11" t="s">
        <v>5468</v>
      </c>
      <c r="E14774" s="10">
        <v>4168139</v>
      </c>
      <c r="F14774" s="4" t="str">
        <f>IF(B14774=B14773,"",B14774)</f>
        <v/>
      </c>
    </row>
    <row r="14775" spans="1:6" ht="15.75" customHeight="1">
      <c r="A14775" s="16" t="s">
        <v>4137</v>
      </c>
      <c r="B14775" s="15" t="s">
        <v>4137</v>
      </c>
      <c r="C14775" s="16" t="s">
        <v>3975</v>
      </c>
      <c r="D14775" s="16" t="s">
        <v>3980</v>
      </c>
      <c r="E14775" s="2">
        <v>6100832</v>
      </c>
      <c r="F14775" s="4" t="str">
        <f>IF(B14775=B14774,"",B14775)</f>
        <v>Pembroke</v>
      </c>
    </row>
    <row r="14776" spans="1:6" ht="15.75" customHeight="1">
      <c r="A14776" s="8" t="str">
        <f ca="1">IFERROR(__xludf.DUMMYFUNCTION("GOOGLETRANSLATE(B25541,""en"",""pt"")"),"Pembroke")</f>
        <v>Pembroke</v>
      </c>
      <c r="B14776" s="11" t="s">
        <v>4137</v>
      </c>
      <c r="C14776" s="11" t="s">
        <v>3975</v>
      </c>
      <c r="D14776" s="11" t="s">
        <v>3980</v>
      </c>
      <c r="E14776" s="10">
        <v>6100832</v>
      </c>
      <c r="F14776" s="4" t="str">
        <f>IF(B14776=B14775,"",B14776)</f>
        <v/>
      </c>
    </row>
    <row r="14777" spans="1:6" ht="15.75" customHeight="1">
      <c r="A14777" s="15" t="s">
        <v>18688</v>
      </c>
      <c r="B14777" s="15" t="s">
        <v>18688</v>
      </c>
      <c r="C14777" s="15" t="s">
        <v>18655</v>
      </c>
      <c r="D14777" s="15" t="s">
        <v>18683</v>
      </c>
      <c r="E14777" s="2">
        <v>1028918</v>
      </c>
      <c r="F14777" s="4" t="str">
        <f>IF(B14777=B14776,"",B14777)</f>
        <v>Pemba</v>
      </c>
    </row>
    <row r="14778" spans="1:6" ht="15.75" customHeight="1">
      <c r="A14778" s="8" t="str">
        <f ca="1">IFERROR(__xludf.DUMMYFUNCTION("GOOGLETRANSLATE(B37546,""en"",""pt"")"),"Pemba")</f>
        <v>Pemba</v>
      </c>
      <c r="B14778" s="11" t="s">
        <v>18688</v>
      </c>
      <c r="C14778" s="11" t="s">
        <v>18655</v>
      </c>
      <c r="D14778" s="11" t="s">
        <v>18683</v>
      </c>
      <c r="E14778" s="10">
        <v>1028918</v>
      </c>
      <c r="F14778" s="4" t="str">
        <f>IF(B14778=B14777,"",B14778)</f>
        <v/>
      </c>
    </row>
    <row r="14779" spans="1:6" ht="15.75" customHeight="1">
      <c r="A14779" s="16" t="s">
        <v>14099</v>
      </c>
      <c r="B14779" s="15" t="s">
        <v>14100</v>
      </c>
      <c r="C14779" s="16" t="s">
        <v>13800</v>
      </c>
      <c r="D14779" s="16" t="s">
        <v>13830</v>
      </c>
      <c r="E14779" s="2">
        <v>1214204</v>
      </c>
      <c r="F14779" s="4" t="str">
        <f>IF(B14779=B14778,"",B14779)</f>
        <v>Pematangsiantar</v>
      </c>
    </row>
    <row r="14780" spans="1:6" ht="15.75" customHeight="1">
      <c r="A14780" s="8" t="str">
        <f ca="1">IFERROR(__xludf.DUMMYFUNCTION("GOOGLETRANSLATE(B31367,""en"",""pt"")"),"Pematangsintar")</f>
        <v>Pematangsintar</v>
      </c>
      <c r="B14780" s="11" t="s">
        <v>14100</v>
      </c>
      <c r="C14780" s="11" t="s">
        <v>13800</v>
      </c>
      <c r="D14780" s="11" t="s">
        <v>13830</v>
      </c>
      <c r="E14780" s="10">
        <v>1214204</v>
      </c>
      <c r="F14780" s="4" t="str">
        <f>IF(B14780=B14779,"",B14780)</f>
        <v/>
      </c>
    </row>
    <row r="14781" spans="1:6" ht="15.75" customHeight="1">
      <c r="A14781" s="16" t="s">
        <v>14098</v>
      </c>
      <c r="B14781" s="15" t="s">
        <v>14098</v>
      </c>
      <c r="C14781" s="16" t="s">
        <v>13800</v>
      </c>
      <c r="D14781" s="16" t="s">
        <v>14028</v>
      </c>
      <c r="E14781" s="2">
        <v>1631637</v>
      </c>
      <c r="F14781" s="4" t="str">
        <f>IF(B14781=B14780,"",B14781)</f>
        <v>Pemangkat</v>
      </c>
    </row>
    <row r="14782" spans="1:6" ht="15.75" customHeight="1">
      <c r="A14782" s="8" t="str">
        <f ca="1">IFERROR(__xludf.DUMMYFUNCTION("GOOGLETRANSLATE(B31491,""en"",""pt"")"),"Pemangkat")</f>
        <v>Pemangkat</v>
      </c>
      <c r="B14782" s="11" t="s">
        <v>14098</v>
      </c>
      <c r="C14782" s="11" t="s">
        <v>13800</v>
      </c>
      <c r="D14782" s="11" t="s">
        <v>14028</v>
      </c>
      <c r="E14782" s="10">
        <v>1631637</v>
      </c>
      <c r="F14782" s="4" t="str">
        <f>IF(B14782=B14781,"",B14782)</f>
        <v/>
      </c>
    </row>
    <row r="14783" spans="1:6" ht="15.75" customHeight="1">
      <c r="A14783" s="15" t="s">
        <v>14097</v>
      </c>
      <c r="B14783" s="15" t="s">
        <v>14097</v>
      </c>
      <c r="C14783" s="15" t="s">
        <v>13800</v>
      </c>
      <c r="D14783" s="15" t="s">
        <v>13803</v>
      </c>
      <c r="E14783" s="2">
        <v>1631648</v>
      </c>
      <c r="F14783" s="4" t="str">
        <f>IF(B14783=B14782,"",B14783)</f>
        <v>Pemalang</v>
      </c>
    </row>
    <row r="14784" spans="1:6" ht="15.75" customHeight="1">
      <c r="A14784" s="8" t="str">
        <f ca="1">IFERROR(__xludf.DUMMYFUNCTION("GOOGLETRANSLATE(B31492,""en"",""pt"")"),"Pemalang")</f>
        <v>Pemalang</v>
      </c>
      <c r="B14784" s="11" t="s">
        <v>14097</v>
      </c>
      <c r="C14784" s="11" t="s">
        <v>13800</v>
      </c>
      <c r="D14784" s="11" t="s">
        <v>13803</v>
      </c>
      <c r="E14784" s="10">
        <v>1631648</v>
      </c>
      <c r="F14784" s="4" t="str">
        <f>IF(B14784=B14783,"",B14784)</f>
        <v/>
      </c>
    </row>
    <row r="14785" spans="1:6" ht="15.75" customHeight="1">
      <c r="A14785" s="15" t="s">
        <v>3071</v>
      </c>
      <c r="B14785" s="15" t="s">
        <v>3071</v>
      </c>
      <c r="C14785" s="15" t="s">
        <v>1905</v>
      </c>
      <c r="D14785" s="15" t="s">
        <v>1951</v>
      </c>
      <c r="E14785" s="2">
        <v>3454244</v>
      </c>
      <c r="F14785" s="4" t="str">
        <f>IF(B14785=B14784,"",B14785)</f>
        <v>Pelotas</v>
      </c>
    </row>
    <row r="14786" spans="1:6" ht="15.75" customHeight="1">
      <c r="A14786" s="8" t="str">
        <f ca="1">IFERROR(__xludf.DUMMYFUNCTION("GOOGLETRANSLATE(B24726,""en"",""pt"")"),"Pelotas")</f>
        <v>Pelotas</v>
      </c>
      <c r="B14786" s="11" t="s">
        <v>3071</v>
      </c>
      <c r="C14786" s="11" t="s">
        <v>1905</v>
      </c>
      <c r="D14786" s="11" t="s">
        <v>1951</v>
      </c>
      <c r="E14786" s="10">
        <v>3454244</v>
      </c>
      <c r="F14786" s="4" t="str">
        <f>IF(B14786=B14785,"",B14786)</f>
        <v/>
      </c>
    </row>
    <row r="14787" spans="1:6" ht="15.75" customHeight="1">
      <c r="A14787" s="16" t="s">
        <v>24970</v>
      </c>
      <c r="B14787" s="15" t="s">
        <v>24970</v>
      </c>
      <c r="C14787" s="16" t="s">
        <v>24924</v>
      </c>
      <c r="D14787" s="16" t="s">
        <v>6944</v>
      </c>
      <c r="E14787" s="2">
        <v>1230613</v>
      </c>
      <c r="F14787" s="4" t="str">
        <f>IF(B14787=B14786,"",B14787)</f>
        <v>Peliyagoda</v>
      </c>
    </row>
    <row r="14788" spans="1:6" ht="15.75" customHeight="1">
      <c r="A14788" s="8" t="str">
        <f ca="1">IFERROR(__xludf.DUMMYFUNCTION("GOOGLETRANSLATE(B36300,""en"",""pt"")"),"Peliyagoda")</f>
        <v>Peliyagoda</v>
      </c>
      <c r="B14788" s="11" t="s">
        <v>24970</v>
      </c>
      <c r="C14788" s="11" t="s">
        <v>24924</v>
      </c>
      <c r="D14788" s="11" t="s">
        <v>6944</v>
      </c>
      <c r="E14788" s="10">
        <v>1230613</v>
      </c>
      <c r="F14788" s="4" t="str">
        <f>IF(B14788=B14787,"",B14788)</f>
        <v/>
      </c>
    </row>
    <row r="14789" spans="1:6" ht="15.75" customHeight="1">
      <c r="A14789" s="15" t="s">
        <v>6457</v>
      </c>
      <c r="B14789" s="15" t="s">
        <v>6457</v>
      </c>
      <c r="C14789" s="15" t="s">
        <v>6398</v>
      </c>
      <c r="D14789" s="15" t="s">
        <v>6399</v>
      </c>
      <c r="E14789" s="2">
        <v>3653287</v>
      </c>
      <c r="F14789" s="4" t="str">
        <f>IF(B14789=B14788,"",B14789)</f>
        <v>Pelileo</v>
      </c>
    </row>
    <row r="14790" spans="1:6" ht="15.75" customHeight="1">
      <c r="A14790" s="8" t="str">
        <f ca="1">IFERROR(__xludf.DUMMYFUNCTION("GOOGLETRANSLATE(B28771,""en"",""pt"")"),"Pelileo")</f>
        <v>Pelileo</v>
      </c>
      <c r="B14790" s="11" t="s">
        <v>6457</v>
      </c>
      <c r="C14790" s="11" t="s">
        <v>6398</v>
      </c>
      <c r="D14790" s="11" t="s">
        <v>6399</v>
      </c>
      <c r="E14790" s="10">
        <v>3653287</v>
      </c>
      <c r="F14790" s="4" t="str">
        <f>IF(B14790=B14789,"",B14790)</f>
        <v/>
      </c>
    </row>
    <row r="14791" spans="1:6" ht="15.75" customHeight="1">
      <c r="A14791" s="8" t="str">
        <f ca="1">IFERROR(__xludf.DUMMYFUNCTION("GOOGLETRANSLATE(B27276,""en"",""pt"")"),"Pelhřimov")</f>
        <v>Pelhřimov</v>
      </c>
      <c r="B14791" s="9" t="s">
        <v>31968</v>
      </c>
      <c r="C14791" s="9" t="s">
        <v>5947</v>
      </c>
      <c r="D14791" s="9" t="s">
        <v>31939</v>
      </c>
      <c r="E14791" s="10">
        <v>3068445</v>
      </c>
      <c r="F14791" s="4" t="str">
        <f>IF(B14791=B14790,"",B14791)</f>
        <v>Pelhřimov</v>
      </c>
    </row>
    <row r="14792" spans="1:6" ht="15.75" customHeight="1">
      <c r="A14792" s="16" t="s">
        <v>6086</v>
      </c>
      <c r="B14792" s="15" t="s">
        <v>6087</v>
      </c>
      <c r="C14792" s="16" t="s">
        <v>5947</v>
      </c>
      <c r="D14792" s="16" t="s">
        <v>5951</v>
      </c>
      <c r="E14792" s="2">
        <v>3068445</v>
      </c>
      <c r="F14792" s="4" t="str">
        <f>IF(B14792=B14791,"",B14792)</f>
        <v>PelhÅ™imov</v>
      </c>
    </row>
    <row r="14793" spans="1:6" ht="15.75" customHeight="1">
      <c r="A14793" s="15" t="s">
        <v>29655</v>
      </c>
      <c r="B14793" s="15" t="s">
        <v>29655</v>
      </c>
      <c r="C14793" s="15" t="s">
        <v>27788</v>
      </c>
      <c r="D14793" s="15" t="s">
        <v>28023</v>
      </c>
      <c r="E14793" s="2">
        <v>4082569</v>
      </c>
      <c r="F14793" s="4" t="str">
        <f>IF(B14793=B14792,"",B14793)</f>
        <v>Pelham</v>
      </c>
    </row>
    <row r="14794" spans="1:6" ht="15.75" customHeight="1">
      <c r="A14794" s="8" t="str">
        <f ca="1">IFERROR(__xludf.DUMMYFUNCTION("GOOGLETRANSLATE(B42795,""en"",""pt"")"),"Pelham")</f>
        <v>Pelham</v>
      </c>
      <c r="B14794" s="9" t="s">
        <v>29655</v>
      </c>
      <c r="C14794" s="9" t="s">
        <v>27788</v>
      </c>
      <c r="D14794" s="9" t="s">
        <v>28023</v>
      </c>
      <c r="E14794" s="10">
        <v>4082569</v>
      </c>
      <c r="F14794" s="4" t="str">
        <f>IF(B14794=B14793,"",B14794)</f>
        <v/>
      </c>
    </row>
    <row r="14795" spans="1:6" ht="15.75" customHeight="1">
      <c r="A14795" s="16" t="s">
        <v>14096</v>
      </c>
      <c r="B14795" s="15" t="s">
        <v>14096</v>
      </c>
      <c r="C14795" s="16" t="s">
        <v>13800</v>
      </c>
      <c r="D14795" s="16" t="s">
        <v>13811</v>
      </c>
      <c r="E14795" s="2">
        <v>1631733</v>
      </c>
      <c r="F14795" s="4" t="str">
        <f>IF(B14795=B14794,"",B14795)</f>
        <v>Pelabuhanratu</v>
      </c>
    </row>
    <row r="14796" spans="1:6" ht="15.75" customHeight="1">
      <c r="A14796" s="8" t="str">
        <f ca="1">IFERROR(__xludf.DUMMYFUNCTION("GOOGLETRANSLATE(B31493,""en"",""pt"")"),"Pelabuhanratu")</f>
        <v>Pelabuhanratu</v>
      </c>
      <c r="B14796" s="11" t="s">
        <v>14096</v>
      </c>
      <c r="C14796" s="11" t="s">
        <v>13800</v>
      </c>
      <c r="D14796" s="11" t="s">
        <v>13811</v>
      </c>
      <c r="E14796" s="10">
        <v>1631733</v>
      </c>
      <c r="F14796" s="4" t="str">
        <f>IF(B14796=B14795,"",B14796)</f>
        <v/>
      </c>
    </row>
    <row r="14797" spans="1:6" ht="15.75" customHeight="1">
      <c r="A14797" s="15" t="s">
        <v>29654</v>
      </c>
      <c r="B14797" s="15" t="s">
        <v>29654</v>
      </c>
      <c r="C14797" s="15" t="s">
        <v>27788</v>
      </c>
      <c r="D14797" s="15" t="s">
        <v>27799</v>
      </c>
      <c r="E14797" s="2">
        <v>4905599</v>
      </c>
      <c r="F14797" s="4" t="str">
        <f>IF(B14797=B14796,"",B14797)</f>
        <v>Pekin</v>
      </c>
    </row>
    <row r="14798" spans="1:6" ht="15.75" customHeight="1">
      <c r="A14798" s="8" t="str">
        <f ca="1">IFERROR(__xludf.DUMMYFUNCTION("GOOGLETRANSLATE(B43870,""en"",""pt"")"),"Pekin")</f>
        <v>Pekin</v>
      </c>
      <c r="B14798" s="11" t="s">
        <v>29654</v>
      </c>
      <c r="C14798" s="11" t="s">
        <v>27788</v>
      </c>
      <c r="D14798" s="11" t="s">
        <v>27799</v>
      </c>
      <c r="E14798" s="10">
        <v>4905599</v>
      </c>
      <c r="F14798" s="4" t="str">
        <f>IF(B14798=B14797,"",B14798)</f>
        <v/>
      </c>
    </row>
    <row r="14799" spans="1:6" ht="15.75" customHeight="1">
      <c r="A14799" s="16" t="s">
        <v>14095</v>
      </c>
      <c r="B14799" s="15" t="s">
        <v>14095</v>
      </c>
      <c r="C14799" s="16" t="s">
        <v>13800</v>
      </c>
      <c r="D14799" s="16" t="s">
        <v>13819</v>
      </c>
      <c r="E14799" s="2">
        <v>1631761</v>
      </c>
      <c r="F14799" s="4" t="str">
        <f>IF(B14799=B14798,"",B14799)</f>
        <v>Pekanbaru</v>
      </c>
    </row>
    <row r="14800" spans="1:6" ht="15.75" customHeight="1">
      <c r="A14800" s="8" t="str">
        <f ca="1">IFERROR(__xludf.DUMMYFUNCTION("GOOGLETRANSLATE(B31494,""en"",""pt"")"),"Pekanbaru")</f>
        <v>Pekanbaru</v>
      </c>
      <c r="B14800" s="11" t="s">
        <v>14095</v>
      </c>
      <c r="C14800" s="11" t="s">
        <v>13800</v>
      </c>
      <c r="D14800" s="11" t="s">
        <v>13819</v>
      </c>
      <c r="E14800" s="10">
        <v>1631761</v>
      </c>
      <c r="F14800" s="4" t="str">
        <f>IF(B14800=B14799,"",B14800)</f>
        <v/>
      </c>
    </row>
    <row r="14801" spans="1:6" ht="15.75" customHeight="1">
      <c r="A14801" s="16" t="s">
        <v>17543</v>
      </c>
      <c r="B14801" s="15" t="s">
        <v>17543</v>
      </c>
      <c r="C14801" s="16" t="s">
        <v>17432</v>
      </c>
      <c r="D14801" s="16" t="s">
        <v>17442</v>
      </c>
      <c r="E14801" s="2">
        <v>1732706</v>
      </c>
      <c r="F14801" s="4" t="str">
        <f>IF(B14801=B14800,"",B14801)</f>
        <v>Pekan Nenas</v>
      </c>
    </row>
    <row r="14802" spans="1:6" ht="15.75" customHeight="1">
      <c r="A14802" s="8" t="str">
        <f ca="1">IFERROR(__xludf.DUMMYFUNCTION("GOOGLETRANSLATE(B37408,""en"",""pt"")"),"Pekan Nenas")</f>
        <v>Pekan Nenas</v>
      </c>
      <c r="B14802" s="11" t="s">
        <v>17543</v>
      </c>
      <c r="C14802" s="11" t="s">
        <v>17432</v>
      </c>
      <c r="D14802" s="11" t="s">
        <v>17442</v>
      </c>
      <c r="E14802" s="10">
        <v>1732706</v>
      </c>
      <c r="F14802" s="4" t="str">
        <f>IF(B14802=B14801,"",B14802)</f>
        <v/>
      </c>
    </row>
    <row r="14803" spans="1:6" ht="15.75" customHeight="1">
      <c r="A14803" s="16" t="s">
        <v>14094</v>
      </c>
      <c r="B14803" s="15" t="s">
        <v>14094</v>
      </c>
      <c r="C14803" s="16" t="s">
        <v>13800</v>
      </c>
      <c r="D14803" s="16" t="s">
        <v>13830</v>
      </c>
      <c r="E14803" s="2">
        <v>8449493</v>
      </c>
      <c r="F14803" s="4" t="str">
        <f>IF(B14803=B14802,"",B14803)</f>
        <v>Pekan Bahapal</v>
      </c>
    </row>
    <row r="14804" spans="1:6" ht="15.75" customHeight="1">
      <c r="A14804" s="8" t="str">
        <f ca="1">IFERROR(__xludf.DUMMYFUNCTION("GOOGLETRANSLATE(B31722,""en"",""pt"")"),"Pekan Bahapal")</f>
        <v>Pekan Bahapal</v>
      </c>
      <c r="B14804" s="11" t="s">
        <v>14094</v>
      </c>
      <c r="C14804" s="11" t="s">
        <v>13800</v>
      </c>
      <c r="D14804" s="11" t="s">
        <v>13830</v>
      </c>
      <c r="E14804" s="10">
        <v>8449493</v>
      </c>
      <c r="F14804" s="4" t="str">
        <f>IF(B14804=B14803,"",B14804)</f>
        <v/>
      </c>
    </row>
    <row r="14805" spans="1:6" ht="15.75" customHeight="1">
      <c r="A14805" s="15" t="s">
        <v>17542</v>
      </c>
      <c r="B14805" s="15" t="s">
        <v>17542</v>
      </c>
      <c r="C14805" s="15" t="s">
        <v>17432</v>
      </c>
      <c r="D14805" s="15" t="s">
        <v>17456</v>
      </c>
      <c r="E14805" s="2">
        <v>1734971</v>
      </c>
      <c r="F14805" s="4" t="str">
        <f>IF(B14805=B14804,"",B14805)</f>
        <v>Pekan</v>
      </c>
    </row>
    <row r="14806" spans="1:6" ht="15.75" customHeight="1">
      <c r="A14806" s="8" t="str">
        <f ca="1">IFERROR(__xludf.DUMMYFUNCTION("GOOGLETRANSLATE(B37469,""en"",""pt"")"),"Pekan")</f>
        <v>Pekan</v>
      </c>
      <c r="B14806" s="11" t="s">
        <v>17542</v>
      </c>
      <c r="C14806" s="11" t="s">
        <v>17432</v>
      </c>
      <c r="D14806" s="11" t="s">
        <v>17456</v>
      </c>
      <c r="E14806" s="10">
        <v>1734971</v>
      </c>
      <c r="F14806" s="4" t="str">
        <f>IF(B14806=B14805,"",B14806)</f>
        <v/>
      </c>
    </row>
    <row r="14807" spans="1:6" ht="15.75" customHeight="1">
      <c r="A14807" s="16" t="s">
        <v>14093</v>
      </c>
      <c r="B14807" s="15" t="s">
        <v>14093</v>
      </c>
      <c r="C14807" s="16" t="s">
        <v>13800</v>
      </c>
      <c r="D14807" s="16" t="s">
        <v>13803</v>
      </c>
      <c r="E14807" s="2">
        <v>1631766</v>
      </c>
      <c r="F14807" s="4" t="str">
        <f>IF(B14807=B14806,"",B14807)</f>
        <v>Pekalongan</v>
      </c>
    </row>
    <row r="14808" spans="1:6" ht="15.75" customHeight="1">
      <c r="A14808" s="8" t="str">
        <f ca="1">IFERROR(__xludf.DUMMYFUNCTION("GOOGLETRANSLATE(B31495,""en"",""pt"")"),"Pekalongan")</f>
        <v>Pekalongan</v>
      </c>
      <c r="B14808" s="11" t="s">
        <v>14093</v>
      </c>
      <c r="C14808" s="11" t="s">
        <v>13800</v>
      </c>
      <c r="D14808" s="11" t="s">
        <v>13803</v>
      </c>
      <c r="E14808" s="10">
        <v>1631766</v>
      </c>
      <c r="F14808" s="4" t="str">
        <f>IF(B14808=B14807,"",B14808)</f>
        <v/>
      </c>
    </row>
    <row r="14809" spans="1:6" ht="15.75" customHeight="1">
      <c r="A14809" s="8" t="str">
        <f ca="1">IFERROR(__xludf.DUMMYFUNCTION("GOOGLETRANSLATE(B45804,""en"",""pt"")"),"Pejë")</f>
        <v>Pejë</v>
      </c>
      <c r="B14809" s="9" t="s">
        <v>36206</v>
      </c>
      <c r="C14809" s="9" t="s">
        <v>16852</v>
      </c>
      <c r="D14809" s="9" t="s">
        <v>16863</v>
      </c>
      <c r="E14809" s="10">
        <v>787157</v>
      </c>
      <c r="F14809" s="4" t="str">
        <f>IF(B14809=B14808,"",B14809)</f>
        <v>Pejë</v>
      </c>
    </row>
    <row r="14810" spans="1:6" ht="15.75" customHeight="1">
      <c r="A14810" s="15" t="s">
        <v>16873</v>
      </c>
      <c r="B14810" s="15" t="s">
        <v>16874</v>
      </c>
      <c r="C14810" s="15" t="s">
        <v>16852</v>
      </c>
      <c r="D14810" s="15" t="s">
        <v>16863</v>
      </c>
      <c r="E14810" s="2">
        <v>787157</v>
      </c>
      <c r="F14810" s="4" t="str">
        <f>IF(B14810=B14809,"",B14810)</f>
        <v>PejÃ«</v>
      </c>
    </row>
    <row r="14811" spans="1:6" ht="15.75" customHeight="1">
      <c r="A14811" s="15" t="s">
        <v>8989</v>
      </c>
      <c r="B14811" s="15" t="s">
        <v>8989</v>
      </c>
      <c r="C14811" s="15" t="s">
        <v>8028</v>
      </c>
      <c r="D14811" s="15" t="s">
        <v>8034</v>
      </c>
      <c r="E14811" s="2">
        <v>2855047</v>
      </c>
      <c r="F14811" s="4" t="str">
        <f>IF(B14811=B14810,"",B14811)</f>
        <v>Peine</v>
      </c>
    </row>
    <row r="14812" spans="1:6" ht="15.75" customHeight="1">
      <c r="A14812" s="8" t="str">
        <f ca="1">IFERROR(__xludf.DUMMYFUNCTION("GOOGLETRANSLATE(B27653,""en"",""pt"")"),"Peine")</f>
        <v>Peine</v>
      </c>
      <c r="B14812" s="11" t="s">
        <v>8989</v>
      </c>
      <c r="C14812" s="11" t="s">
        <v>8028</v>
      </c>
      <c r="D14812" s="11" t="s">
        <v>8034</v>
      </c>
      <c r="E14812" s="10">
        <v>2855047</v>
      </c>
      <c r="F14812" s="4" t="str">
        <f>IF(B14812=B14811,"",B14812)</f>
        <v/>
      </c>
    </row>
    <row r="14813" spans="1:6" ht="15.75" customHeight="1">
      <c r="A14813" s="15" t="s">
        <v>12846</v>
      </c>
      <c r="B14813" s="15" t="s">
        <v>12846</v>
      </c>
      <c r="C14813" s="15" t="s">
        <v>10178</v>
      </c>
      <c r="D14813" s="15" t="s">
        <v>10224</v>
      </c>
      <c r="E14813" s="2">
        <v>1259939</v>
      </c>
      <c r="F14813" s="4" t="str">
        <f>IF(B14813=B14812,"",B14813)</f>
        <v>Pehowa</v>
      </c>
    </row>
    <row r="14814" spans="1:6" ht="15.75" customHeight="1">
      <c r="A14814" s="8" t="str">
        <f ca="1">IFERROR(__xludf.DUMMYFUNCTION("GOOGLETRANSLATE(B32489,""en"",""pt"")"),"Pehowa")</f>
        <v>Pehowa</v>
      </c>
      <c r="B14814" s="11" t="s">
        <v>12846</v>
      </c>
      <c r="C14814" s="11" t="s">
        <v>10178</v>
      </c>
      <c r="D14814" s="11" t="s">
        <v>10224</v>
      </c>
      <c r="E14814" s="10">
        <v>1259939</v>
      </c>
      <c r="F14814" s="4" t="str">
        <f>IF(B14814=B14813,"",B14814)</f>
        <v/>
      </c>
    </row>
    <row r="14815" spans="1:6" ht="15.75" customHeight="1">
      <c r="A14815" s="8" t="str">
        <f ca="1">IFERROR(__xludf.DUMMYFUNCTION("GOOGLETRANSLATE(B31059,""en"",""pt"")"),"Péfki")</f>
        <v>Péfki</v>
      </c>
      <c r="B14815" s="9" t="s">
        <v>32763</v>
      </c>
      <c r="C14815" s="9" t="s">
        <v>9441</v>
      </c>
      <c r="D14815" s="9" t="s">
        <v>9445</v>
      </c>
      <c r="E14815" s="10">
        <v>8358562</v>
      </c>
      <c r="F14815" s="4" t="str">
        <f>IF(B14815=B14814,"",B14815)</f>
        <v>Péfki</v>
      </c>
    </row>
    <row r="14816" spans="1:6" ht="15.75" customHeight="1">
      <c r="A14816" s="15" t="s">
        <v>1661</v>
      </c>
      <c r="B14816" s="15" t="s">
        <v>1662</v>
      </c>
      <c r="C14816" s="15" t="s">
        <v>1512</v>
      </c>
      <c r="D14816" s="15" t="s">
        <v>1513</v>
      </c>
      <c r="E14816" s="2">
        <v>2789232</v>
      </c>
      <c r="F14816" s="4" t="str">
        <f>IF(B14816=B14815,"",B14816)</f>
        <v>Peer</v>
      </c>
    </row>
    <row r="14817" spans="1:6" ht="15.75" customHeight="1">
      <c r="A14817" s="8" t="str">
        <f ca="1">IFERROR(__xludf.DUMMYFUNCTION("GOOGLETRANSLATE(B23851,""en"",""pt"")"),"Par")</f>
        <v>Par</v>
      </c>
      <c r="B14817" s="9" t="s">
        <v>1662</v>
      </c>
      <c r="C14817" s="9" t="s">
        <v>1512</v>
      </c>
      <c r="D14817" s="9" t="s">
        <v>1513</v>
      </c>
      <c r="E14817" s="10">
        <v>2789232</v>
      </c>
      <c r="F14817" s="4" t="str">
        <f>IF(B14817=B14816,"",B14817)</f>
        <v/>
      </c>
    </row>
    <row r="14818" spans="1:6" ht="15.75" customHeight="1">
      <c r="A14818" s="15" t="s">
        <v>29653</v>
      </c>
      <c r="B14818" s="15" t="s">
        <v>29653</v>
      </c>
      <c r="C14818" s="15" t="s">
        <v>27788</v>
      </c>
      <c r="D14818" s="15" t="s">
        <v>27819</v>
      </c>
      <c r="E14818" s="2">
        <v>5130831</v>
      </c>
      <c r="F14818" s="4" t="str">
        <f>IF(B14818=B14817,"",B14818)</f>
        <v>Peekskill</v>
      </c>
    </row>
    <row r="14819" spans="1:6" ht="15.75" customHeight="1">
      <c r="A14819" s="8" t="str">
        <f ca="1">IFERROR(__xludf.DUMMYFUNCTION("GOOGLETRANSLATE(B44432,""en"",""pt"")"),"Peekskill")</f>
        <v>Peekskill</v>
      </c>
      <c r="B14819" s="9" t="s">
        <v>29653</v>
      </c>
      <c r="C14819" s="9" t="s">
        <v>27788</v>
      </c>
      <c r="D14819" s="9" t="s">
        <v>27819</v>
      </c>
      <c r="E14819" s="10">
        <v>5130831</v>
      </c>
      <c r="F14819" s="4" t="str">
        <f>IF(B14819=B14818,"",B14819)</f>
        <v/>
      </c>
    </row>
    <row r="14820" spans="1:6" ht="15.75" customHeight="1">
      <c r="A14820" s="15" t="s">
        <v>21705</v>
      </c>
      <c r="B14820" s="15" t="s">
        <v>21705</v>
      </c>
      <c r="C14820" s="15" t="s">
        <v>21606</v>
      </c>
      <c r="D14820" s="15" t="s">
        <v>21609</v>
      </c>
      <c r="E14820" s="2">
        <v>2736521</v>
      </c>
      <c r="F14820" s="4" t="str">
        <f>IF(B14820=B14819,"",B14820)</f>
        <v>Pedroso</v>
      </c>
    </row>
    <row r="14821" spans="1:6" ht="15.75" customHeight="1">
      <c r="A14821" s="8" t="str">
        <f ca="1">IFERROR(__xludf.DUMMYFUNCTION("GOOGLETRANSLATE(B39647,""en"",""pt"")"),"Pedroso")</f>
        <v>Pedroso</v>
      </c>
      <c r="B14821" s="11" t="s">
        <v>21705</v>
      </c>
      <c r="C14821" s="11" t="s">
        <v>21606</v>
      </c>
      <c r="D14821" s="11" t="s">
        <v>21609</v>
      </c>
      <c r="E14821" s="10">
        <v>2736521</v>
      </c>
      <c r="F14821" s="4" t="str">
        <f>IF(B14821=B14820,"",B14821)</f>
        <v/>
      </c>
    </row>
    <row r="14822" spans="1:6" ht="15.75" customHeight="1">
      <c r="A14822" s="16" t="s">
        <v>18160</v>
      </c>
      <c r="B14822" s="15" t="s">
        <v>18160</v>
      </c>
      <c r="C14822" s="16" t="s">
        <v>17707</v>
      </c>
      <c r="D14822" s="16" t="s">
        <v>17826</v>
      </c>
      <c r="E14822" s="2">
        <v>3996234</v>
      </c>
      <c r="F14822" s="4" t="str">
        <f>IF(B14822=B14821,"",B14822)</f>
        <v>Pedro Meoqui</v>
      </c>
    </row>
    <row r="14823" spans="1:6" ht="15.75" customHeight="1">
      <c r="A14823" s="8" t="str">
        <f ca="1">IFERROR(__xludf.DUMMYFUNCTION("GOOGLETRANSLATE(B37244,""en"",""pt"")"),"Pedro Meoqui")</f>
        <v>Pedro Meoqui</v>
      </c>
      <c r="B14823" s="11" t="s">
        <v>18160</v>
      </c>
      <c r="C14823" s="11" t="s">
        <v>17707</v>
      </c>
      <c r="D14823" s="11" t="s">
        <v>17826</v>
      </c>
      <c r="E14823" s="10">
        <v>3996234</v>
      </c>
      <c r="F14823" s="4" t="str">
        <f>IF(B14823=B14822,"",B14823)</f>
        <v/>
      </c>
    </row>
    <row r="14824" spans="1:6" ht="15.75" customHeight="1">
      <c r="A14824" s="16" t="s">
        <v>3070</v>
      </c>
      <c r="B14824" s="15" t="s">
        <v>3070</v>
      </c>
      <c r="C14824" s="16" t="s">
        <v>1905</v>
      </c>
      <c r="D14824" s="16" t="s">
        <v>1917</v>
      </c>
      <c r="E14824" s="2">
        <v>3454358</v>
      </c>
      <c r="F14824" s="4" t="str">
        <f>IF(B14824=B14823,"",B14824)</f>
        <v>Pedro Leopoldo</v>
      </c>
    </row>
    <row r="14825" spans="1:6" ht="15.75" customHeight="1">
      <c r="A14825" s="8" t="str">
        <f ca="1">IFERROR(__xludf.DUMMYFUNCTION("GOOGLETRANSLATE(B24727,""en"",""pt"")"),"Pedro Leopoldo")</f>
        <v>Pedro Leopoldo</v>
      </c>
      <c r="B14825" s="11" t="s">
        <v>3070</v>
      </c>
      <c r="C14825" s="11" t="s">
        <v>1905</v>
      </c>
      <c r="D14825" s="11" t="s">
        <v>1917</v>
      </c>
      <c r="E14825" s="10">
        <v>3454358</v>
      </c>
      <c r="F14825" s="4" t="str">
        <f>IF(B14825=B14824,"",B14825)</f>
        <v/>
      </c>
    </row>
    <row r="14826" spans="1:6" ht="15.75" customHeight="1">
      <c r="A14826" s="16" t="s">
        <v>20459</v>
      </c>
      <c r="B14826" s="15" t="s">
        <v>20459</v>
      </c>
      <c r="C14826" s="16" t="s">
        <v>20433</v>
      </c>
      <c r="D14826" s="16" t="s">
        <v>20460</v>
      </c>
      <c r="E14826" s="2">
        <v>3437547</v>
      </c>
      <c r="F14826" s="4" t="str">
        <f>IF(B14826=B14825,"",B14826)</f>
        <v>Pedro Juan Caballero</v>
      </c>
    </row>
    <row r="14827" spans="1:6" ht="15.75" customHeight="1">
      <c r="A14827" s="8" t="str">
        <f ca="1">IFERROR(__xludf.DUMMYFUNCTION("GOOGLETRANSLATE(B39686,""en"",""pt"")"),"Pedro Juan Caballero")</f>
        <v>Pedro Juan Caballero</v>
      </c>
      <c r="B14827" s="11" t="s">
        <v>20459</v>
      </c>
      <c r="C14827" s="11" t="s">
        <v>20433</v>
      </c>
      <c r="D14827" s="11" t="s">
        <v>20460</v>
      </c>
      <c r="E14827" s="10">
        <v>3437547</v>
      </c>
      <c r="F14827" s="4" t="str">
        <f>IF(B14827=B14826,"",B14827)</f>
        <v/>
      </c>
    </row>
    <row r="14828" spans="1:6" ht="15.75" customHeight="1">
      <c r="A14828" s="15" t="s">
        <v>3069</v>
      </c>
      <c r="B14828" s="15" t="s">
        <v>3069</v>
      </c>
      <c r="C14828" s="15" t="s">
        <v>1905</v>
      </c>
      <c r="D14828" s="15" t="s">
        <v>1960</v>
      </c>
      <c r="E14828" s="2">
        <v>3392431</v>
      </c>
      <c r="F14828" s="4" t="str">
        <f>IF(B14828=B14827,"",B14828)</f>
        <v>Pedro II</v>
      </c>
    </row>
    <row r="14829" spans="1:6" ht="15.75" customHeight="1">
      <c r="A14829" s="8" t="str">
        <f ca="1">IFERROR(__xludf.DUMMYFUNCTION("GOOGLETRANSLATE(B24234,""en"",""pt"")"),"Pedro II")</f>
        <v>Pedro II</v>
      </c>
      <c r="B14829" s="9" t="s">
        <v>3069</v>
      </c>
      <c r="C14829" s="9" t="s">
        <v>1905</v>
      </c>
      <c r="D14829" s="9" t="s">
        <v>31349</v>
      </c>
      <c r="E14829" s="10">
        <v>3392431</v>
      </c>
      <c r="F14829" s="4" t="str">
        <f>IF(B14829=B14828,"",B14829)</f>
        <v/>
      </c>
    </row>
    <row r="14830" spans="1:6" ht="15.75" customHeight="1">
      <c r="A14830" s="16" t="s">
        <v>6456</v>
      </c>
      <c r="B14830" s="15" t="s">
        <v>6456</v>
      </c>
      <c r="C14830" s="16" t="s">
        <v>6398</v>
      </c>
      <c r="D14830" s="16" t="s">
        <v>6410</v>
      </c>
      <c r="E14830" s="2">
        <v>3653295</v>
      </c>
      <c r="F14830" s="4" t="str">
        <f>IF(B14830=B14829,"",B14830)</f>
        <v>Pedro Carbo</v>
      </c>
    </row>
    <row r="14831" spans="1:6" ht="15.75" customHeight="1">
      <c r="A14831" s="8" t="str">
        <f ca="1">IFERROR(__xludf.DUMMYFUNCTION("GOOGLETRANSLATE(B28772,""en"",""pt"")"),"Pedro Carbo")</f>
        <v>Pedro Carbo</v>
      </c>
      <c r="B14831" s="11" t="s">
        <v>6456</v>
      </c>
      <c r="C14831" s="11" t="s">
        <v>6398</v>
      </c>
      <c r="D14831" s="11" t="s">
        <v>6410</v>
      </c>
      <c r="E14831" s="10">
        <v>3653295</v>
      </c>
      <c r="F14831" s="4" t="str">
        <f>IF(B14831=B14830,"",B14831)</f>
        <v/>
      </c>
    </row>
    <row r="14832" spans="1:6" ht="15.75" customHeight="1">
      <c r="A14832" s="16" t="s">
        <v>5885</v>
      </c>
      <c r="B14832" s="15" t="s">
        <v>5885</v>
      </c>
      <c r="C14832" s="16" t="s">
        <v>5764</v>
      </c>
      <c r="D14832" s="16" t="s">
        <v>5796</v>
      </c>
      <c r="E14832" s="2">
        <v>3544607</v>
      </c>
      <c r="F14832" s="4" t="str">
        <f>IF(B14832=B14831,"",B14832)</f>
        <v>Pedro Betancourt</v>
      </c>
    </row>
    <row r="14833" spans="1:6" ht="15.75" customHeight="1">
      <c r="A14833" s="8" t="str">
        <f ca="1">IFERROR(__xludf.DUMMYFUNCTION("GOOGLETRANSLATE(B27137,""en"",""pt"")"),"Pedro Betancourt")</f>
        <v>Pedro Betancourt</v>
      </c>
      <c r="B14833" s="11" t="s">
        <v>5885</v>
      </c>
      <c r="C14833" s="11" t="s">
        <v>5764</v>
      </c>
      <c r="D14833" s="11" t="s">
        <v>5796</v>
      </c>
      <c r="E14833" s="10">
        <v>3544607</v>
      </c>
      <c r="F14833" s="4" t="str">
        <f>IF(B14833=B14832,"",B14833)</f>
        <v/>
      </c>
    </row>
    <row r="14834" spans="1:6" ht="15.75" customHeight="1">
      <c r="A14834" s="15" t="s">
        <v>3068</v>
      </c>
      <c r="B14834" s="15" t="s">
        <v>3068</v>
      </c>
      <c r="C14834" s="15" t="s">
        <v>1905</v>
      </c>
      <c r="D14834" s="15" t="s">
        <v>1914</v>
      </c>
      <c r="E14834" s="2">
        <v>3454407</v>
      </c>
      <c r="F14834" s="4" t="str">
        <f>IF(B14834=B14833,"",B14834)</f>
        <v>Pedreira</v>
      </c>
    </row>
    <row r="14835" spans="1:6" ht="15.75" customHeight="1">
      <c r="A14835" s="8" t="str">
        <f ca="1">IFERROR(__xludf.DUMMYFUNCTION("GOOGLETRANSLATE(B24728,""en"",""pt"")"),"Pedreira")</f>
        <v>Pedreira</v>
      </c>
      <c r="B14835" s="9" t="s">
        <v>3068</v>
      </c>
      <c r="C14835" s="9" t="s">
        <v>1905</v>
      </c>
      <c r="D14835" s="9" t="s">
        <v>3354</v>
      </c>
      <c r="E14835" s="10">
        <v>3454407</v>
      </c>
      <c r="F14835" s="4" t="str">
        <f>IF(B14835=B14834,"",B14835)</f>
        <v/>
      </c>
    </row>
    <row r="14836" spans="1:6" ht="15.75" customHeight="1">
      <c r="A14836" s="15" t="s">
        <v>20398</v>
      </c>
      <c r="B14836" s="15" t="s">
        <v>20398</v>
      </c>
      <c r="C14836" s="15" t="s">
        <v>20370</v>
      </c>
      <c r="D14836" s="15" t="s">
        <v>20387</v>
      </c>
      <c r="E14836" s="2">
        <v>3703229</v>
      </c>
      <c r="F14836" s="4" t="str">
        <f>IF(B14836=B14835,"",B14836)</f>
        <v>Pedregal</v>
      </c>
    </row>
    <row r="14837" spans="1:6" ht="15.75" customHeight="1">
      <c r="A14837" s="8" t="str">
        <f ca="1">IFERROR(__xludf.DUMMYFUNCTION("GOOGLETRANSLATE(B38283,""en"",""pt"")"),"Pedregal")</f>
        <v>Pedregal</v>
      </c>
      <c r="B14837" s="9" t="s">
        <v>20398</v>
      </c>
      <c r="C14837" s="9" t="s">
        <v>20370</v>
      </c>
      <c r="D14837" s="9" t="s">
        <v>34861</v>
      </c>
      <c r="E14837" s="10">
        <v>3703229</v>
      </c>
      <c r="F14837" s="4" t="str">
        <f>IF(B14837=B14836,"",B14837)</f>
        <v/>
      </c>
    </row>
    <row r="14838" spans="1:6" ht="15.75" customHeight="1">
      <c r="A14838" s="16" t="s">
        <v>3067</v>
      </c>
      <c r="B14838" s="15" t="s">
        <v>3067</v>
      </c>
      <c r="C14838" s="16" t="s">
        <v>1905</v>
      </c>
      <c r="D14838" s="16" t="s">
        <v>1930</v>
      </c>
      <c r="E14838" s="2">
        <v>3392629</v>
      </c>
      <c r="F14838" s="4" t="str">
        <f>IF(B14838=B14837,"",B14838)</f>
        <v>Pedra Branca</v>
      </c>
    </row>
    <row r="14839" spans="1:6" ht="15.75" customHeight="1">
      <c r="A14839" s="8" t="str">
        <f ca="1">IFERROR(__xludf.DUMMYFUNCTION("GOOGLETRANSLATE(B24235,""en"",""pt"")"),"Pedra Branca")</f>
        <v>Pedra Branca</v>
      </c>
      <c r="B14839" s="9" t="s">
        <v>3067</v>
      </c>
      <c r="C14839" s="9" t="s">
        <v>1905</v>
      </c>
      <c r="D14839" s="9" t="s">
        <v>31345</v>
      </c>
      <c r="E14839" s="10">
        <v>3392629</v>
      </c>
      <c r="F14839" s="4" t="str">
        <f>IF(B14839=B14838,"",B14839)</f>
        <v/>
      </c>
    </row>
    <row r="14840" spans="1:6" ht="15.75" customHeight="1">
      <c r="A14840" s="16" t="s">
        <v>3066</v>
      </c>
      <c r="B14840" s="15" t="s">
        <v>3066</v>
      </c>
      <c r="C14840" s="16" t="s">
        <v>1905</v>
      </c>
      <c r="D14840" s="16" t="s">
        <v>1917</v>
      </c>
      <c r="E14840" s="2">
        <v>3454578</v>
      </c>
      <c r="F14840" s="4" t="str">
        <f>IF(B14840=B14839,"",B14840)</f>
        <v>Pedra Azul</v>
      </c>
    </row>
    <row r="14841" spans="1:6" ht="15.75" customHeight="1">
      <c r="A14841" s="8" t="str">
        <f ca="1">IFERROR(__xludf.DUMMYFUNCTION("GOOGLETRANSLATE(B24729,""en"",""pt"")"),"Pedra Azul")</f>
        <v>Pedra Azul</v>
      </c>
      <c r="B14841" s="9" t="s">
        <v>3066</v>
      </c>
      <c r="C14841" s="9" t="s">
        <v>1905</v>
      </c>
      <c r="D14841" s="9" t="s">
        <v>1917</v>
      </c>
      <c r="E14841" s="10">
        <v>3454578</v>
      </c>
      <c r="F14841" s="4" t="str">
        <f>IF(B14841=B14840,"",B14841)</f>
        <v/>
      </c>
    </row>
    <row r="14842" spans="1:6" ht="15.75" customHeight="1">
      <c r="A14842" s="16" t="s">
        <v>3065</v>
      </c>
      <c r="B14842" s="15" t="s">
        <v>3065</v>
      </c>
      <c r="C14842" s="16" t="s">
        <v>1905</v>
      </c>
      <c r="D14842" s="16" t="s">
        <v>1914</v>
      </c>
      <c r="E14842" s="2">
        <v>3454620</v>
      </c>
      <c r="F14842" s="4" t="str">
        <f>IF(B14842=B14841,"",B14842)</f>
        <v>Pederneiras</v>
      </c>
    </row>
    <row r="14843" spans="1:6" ht="15.75" customHeight="1">
      <c r="A14843" s="8" t="str">
        <f ca="1">IFERROR(__xludf.DUMMYFUNCTION("GOOGLETRANSLATE(B24730,""en"",""pt"")"),"Pederneiras")</f>
        <v>Pederneiras</v>
      </c>
      <c r="B14843" s="9" t="s">
        <v>3065</v>
      </c>
      <c r="C14843" s="9" t="s">
        <v>1905</v>
      </c>
      <c r="D14843" s="9" t="s">
        <v>3354</v>
      </c>
      <c r="E14843" s="10">
        <v>3454620</v>
      </c>
      <c r="F14843" s="4" t="str">
        <f>IF(B14843=B14842,"",B14843)</f>
        <v/>
      </c>
    </row>
    <row r="14844" spans="1:6" ht="15.75" customHeight="1">
      <c r="A14844" s="8" t="str">
        <f ca="1">IFERROR(__xludf.DUMMYFUNCTION("GOOGLETRANSLATE(B32490,""en"",""pt"")"),"Peddāpuram")</f>
        <v>Peddāpuram</v>
      </c>
      <c r="B14844" s="9" t="s">
        <v>33239</v>
      </c>
      <c r="C14844" s="9" t="s">
        <v>10178</v>
      </c>
      <c r="D14844" s="9" t="s">
        <v>10190</v>
      </c>
      <c r="E14844" s="10">
        <v>1259954</v>
      </c>
      <c r="F14844" s="4" t="str">
        <f>IF(B14844=B14843,"",B14844)</f>
        <v>Peddāpuram</v>
      </c>
    </row>
    <row r="14845" spans="1:6" ht="15.75" customHeight="1">
      <c r="A14845" s="16" t="s">
        <v>12845</v>
      </c>
      <c r="B14845" s="15" t="s">
        <v>12845</v>
      </c>
      <c r="C14845" s="16" t="s">
        <v>10178</v>
      </c>
      <c r="D14845" s="16" t="s">
        <v>10187</v>
      </c>
      <c r="E14845" s="2">
        <v>1259961</v>
      </c>
      <c r="F14845" s="4" t="str">
        <f>IF(B14845=B14844,"",B14845)</f>
        <v>Peddapalli</v>
      </c>
    </row>
    <row r="14846" spans="1:6" ht="15.75" customHeight="1">
      <c r="A14846" s="8" t="str">
        <f ca="1">IFERROR(__xludf.DUMMYFUNCTION("GOOGLETRANSLATE(B32491,""en"",""pt"")"),"Peddapalli")</f>
        <v>Peddapalli</v>
      </c>
      <c r="B14846" s="9" t="s">
        <v>12845</v>
      </c>
      <c r="C14846" s="9" t="s">
        <v>10178</v>
      </c>
      <c r="D14846" s="9" t="s">
        <v>10187</v>
      </c>
      <c r="E14846" s="10">
        <v>1259961</v>
      </c>
      <c r="F14846" s="4" t="str">
        <f>IF(B14846=B14845,"",B14846)</f>
        <v/>
      </c>
    </row>
    <row r="14847" spans="1:6" ht="15.75" customHeight="1">
      <c r="A14847" s="16" t="s">
        <v>12843</v>
      </c>
      <c r="B14847" s="15" t="s">
        <v>12844</v>
      </c>
      <c r="C14847" s="16" t="s">
        <v>10178</v>
      </c>
      <c r="D14847" s="16" t="s">
        <v>10190</v>
      </c>
      <c r="E14847" s="2">
        <v>1259954</v>
      </c>
      <c r="F14847" s="4" t="str">
        <f>IF(B14847=B14846,"",B14847)</f>
        <v>PeddÄpuram</v>
      </c>
    </row>
    <row r="14848" spans="1:6" ht="15.75" customHeight="1">
      <c r="A14848" s="15" t="s">
        <v>12842</v>
      </c>
      <c r="B14848" s="15" t="s">
        <v>12842</v>
      </c>
      <c r="C14848" s="15" t="s">
        <v>10178</v>
      </c>
      <c r="D14848" s="15" t="s">
        <v>10190</v>
      </c>
      <c r="E14848" s="2">
        <v>1259986</v>
      </c>
      <c r="F14848" s="4" t="str">
        <f>IF(B14848=B14847,"",B14848)</f>
        <v>Pedana</v>
      </c>
    </row>
    <row r="14849" spans="1:6" ht="15.75" customHeight="1">
      <c r="A14849" s="8" t="str">
        <f ca="1">IFERROR(__xludf.DUMMYFUNCTION("GOOGLETRANSLATE(B32492,""en"",""pt"")"),"Pedana")</f>
        <v>Pedana</v>
      </c>
      <c r="B14849" s="11" t="s">
        <v>12842</v>
      </c>
      <c r="C14849" s="11" t="s">
        <v>10178</v>
      </c>
      <c r="D14849" s="11" t="s">
        <v>10190</v>
      </c>
      <c r="E14849" s="10">
        <v>1259986</v>
      </c>
      <c r="F14849" s="4" t="str">
        <f>IF(B14849=B14848,"",B14849)</f>
        <v/>
      </c>
    </row>
    <row r="14850" spans="1:6" ht="15.75" customHeight="1">
      <c r="A14850" s="8" t="str">
        <f ca="1">IFERROR(__xludf.DUMMYFUNCTION("GOOGLETRANSLATE(B31290,""en"",""pt"")"),"Pécs")</f>
        <v>Pécs</v>
      </c>
      <c r="B14850" s="11" t="s">
        <v>32863</v>
      </c>
      <c r="C14850" s="11" t="s">
        <v>9955</v>
      </c>
      <c r="D14850" s="11" t="s">
        <v>10094</v>
      </c>
      <c r="E14850" s="10">
        <v>3046526</v>
      </c>
      <c r="F14850" s="4" t="str">
        <f>IF(B14850=B14849,"",B14850)</f>
        <v>Pécs</v>
      </c>
    </row>
    <row r="14851" spans="1:6" ht="15.75" customHeight="1">
      <c r="A14851" s="15" t="s">
        <v>22922</v>
      </c>
      <c r="B14851" s="15" t="s">
        <v>22922</v>
      </c>
      <c r="C14851" s="15" t="s">
        <v>22070</v>
      </c>
      <c r="D14851" s="15" t="s">
        <v>22373</v>
      </c>
      <c r="E14851" s="2">
        <v>511794</v>
      </c>
      <c r="F14851" s="4" t="str">
        <f>IF(B14851=B14850,"",B14851)</f>
        <v>Pechora</v>
      </c>
    </row>
    <row r="14852" spans="1:6" ht="15.75" customHeight="1">
      <c r="A14852" s="8" t="str">
        <f ca="1">IFERROR(__xludf.DUMMYFUNCTION("GOOGLETRANSLATE(B40209,""en"",""pt"")"),"Pechora")</f>
        <v>Pechora</v>
      </c>
      <c r="B14852" s="9" t="s">
        <v>22922</v>
      </c>
      <c r="C14852" s="9" t="s">
        <v>22070</v>
      </c>
      <c r="D14852" s="9" t="s">
        <v>22373</v>
      </c>
      <c r="E14852" s="10">
        <v>511794</v>
      </c>
      <c r="F14852" s="4" t="str">
        <f>IF(B14852=B14851,"",B14852)</f>
        <v/>
      </c>
    </row>
    <row r="14853" spans="1:6" ht="15.75" customHeight="1">
      <c r="A14853" s="16" t="s">
        <v>14092</v>
      </c>
      <c r="B14853" s="15" t="s">
        <v>14092</v>
      </c>
      <c r="C14853" s="16" t="s">
        <v>13800</v>
      </c>
      <c r="D14853" s="16" t="s">
        <v>13803</v>
      </c>
      <c r="E14853" s="2">
        <v>1631851</v>
      </c>
      <c r="F14853" s="4" t="str">
        <f>IF(B14853=B14852,"",B14853)</f>
        <v>Pecangaan</v>
      </c>
    </row>
    <row r="14854" spans="1:6" ht="15.75" customHeight="1">
      <c r="A14854" s="8" t="str">
        <f ca="1">IFERROR(__xludf.DUMMYFUNCTION("GOOGLETRANSLATE(B31496,""en"",""pt"")"),"Pecangaan")</f>
        <v>Pecangaan</v>
      </c>
      <c r="B14854" s="9" t="s">
        <v>14092</v>
      </c>
      <c r="C14854" s="9" t="s">
        <v>13800</v>
      </c>
      <c r="D14854" s="9" t="s">
        <v>13803</v>
      </c>
      <c r="E14854" s="10">
        <v>1631851</v>
      </c>
      <c r="F14854" s="4" t="str">
        <f>IF(B14854=B14853,"",B14854)</f>
        <v/>
      </c>
    </row>
    <row r="14855" spans="1:6" ht="15.75" customHeight="1">
      <c r="A14855" s="15" t="s">
        <v>29651</v>
      </c>
      <c r="B14855" s="15" t="s">
        <v>29652</v>
      </c>
      <c r="C14855" s="15" t="s">
        <v>27788</v>
      </c>
      <c r="D14855" s="15" t="s">
        <v>27819</v>
      </c>
      <c r="E14855" s="2">
        <v>5130780</v>
      </c>
      <c r="F14855" s="4" t="str">
        <f>IF(B14855=B14854,"",B14855)</f>
        <v>Pearl River</v>
      </c>
    </row>
    <row r="14856" spans="1:6" ht="15.75" customHeight="1">
      <c r="A14856" s="8" t="str">
        <f ca="1">IFERROR(__xludf.DUMMYFUNCTION("GOOGLETRANSLATE(B44431,""en"",""pt"")"),"Rio Pearl")</f>
        <v>Rio Pearl</v>
      </c>
      <c r="B14856" s="9" t="s">
        <v>29652</v>
      </c>
      <c r="C14856" s="9" t="s">
        <v>27788</v>
      </c>
      <c r="D14856" s="9" t="s">
        <v>27819</v>
      </c>
      <c r="E14856" s="10">
        <v>5130780</v>
      </c>
      <c r="F14856" s="4" t="str">
        <f>IF(B14856=B14855,"",B14856)</f>
        <v/>
      </c>
    </row>
    <row r="14857" spans="1:6" ht="15.75" customHeight="1">
      <c r="A14857" s="15" t="s">
        <v>29650</v>
      </c>
      <c r="B14857" s="15" t="s">
        <v>29650</v>
      </c>
      <c r="C14857" s="15" t="s">
        <v>27788</v>
      </c>
      <c r="D14857" s="15" t="s">
        <v>27789</v>
      </c>
      <c r="E14857" s="2">
        <v>5852275</v>
      </c>
      <c r="F14857" s="4" t="str">
        <f>IF(B14857=B14856,"",B14857)</f>
        <v>Pearl City</v>
      </c>
    </row>
    <row r="14858" spans="1:6" ht="15.75" customHeight="1">
      <c r="A14858" s="8" t="str">
        <f ca="1">IFERROR(__xludf.DUMMYFUNCTION("GOOGLETRANSLATE(B45406,""en"",""pt"")"),"Pearl City")</f>
        <v>Pearl City</v>
      </c>
      <c r="B14858" s="9" t="s">
        <v>29650</v>
      </c>
      <c r="C14858" s="9" t="s">
        <v>27788</v>
      </c>
      <c r="D14858" s="9" t="s">
        <v>27789</v>
      </c>
      <c r="E14858" s="10">
        <v>5852275</v>
      </c>
      <c r="F14858" s="4" t="str">
        <f>IF(B14858=B14857,"",B14858)</f>
        <v/>
      </c>
    </row>
    <row r="14859" spans="1:6" ht="15.75" customHeight="1">
      <c r="A14859" s="15" t="s">
        <v>29648</v>
      </c>
      <c r="B14859" s="15" t="s">
        <v>29649</v>
      </c>
      <c r="C14859" s="15" t="s">
        <v>27788</v>
      </c>
      <c r="D14859" s="15" t="s">
        <v>28040</v>
      </c>
      <c r="E14859" s="2">
        <v>4440559</v>
      </c>
      <c r="F14859" s="4" t="str">
        <f>IF(B14859=B14858,"",B14859)</f>
        <v>Pearl</v>
      </c>
    </row>
    <row r="14860" spans="1:6" ht="15.75" customHeight="1">
      <c r="A14860" s="8" t="str">
        <f ca="1">IFERROR(__xludf.DUMMYFUNCTION("GOOGLETRANSLATE(B43419,""en"",""pt"")"),"Pérola")</f>
        <v>Pérola</v>
      </c>
      <c r="B14860" s="9" t="s">
        <v>29649</v>
      </c>
      <c r="C14860" s="9" t="s">
        <v>27788</v>
      </c>
      <c r="D14860" s="9" t="s">
        <v>28040</v>
      </c>
      <c r="E14860" s="10">
        <v>4440559</v>
      </c>
      <c r="F14860" s="4" t="str">
        <f>IF(B14860=B14859,"",B14860)</f>
        <v/>
      </c>
    </row>
    <row r="14861" spans="1:6" ht="15.75" customHeight="1">
      <c r="A14861" s="16" t="s">
        <v>29646</v>
      </c>
      <c r="B14861" s="15" t="s">
        <v>29647</v>
      </c>
      <c r="C14861" s="16" t="s">
        <v>27788</v>
      </c>
      <c r="D14861" s="16" t="s">
        <v>7988</v>
      </c>
      <c r="E14861" s="2">
        <v>4215110</v>
      </c>
      <c r="F14861" s="4" t="str">
        <f>IF(B14861=B14860,"",B14861)</f>
        <v>Peachtree City</v>
      </c>
    </row>
    <row r="14862" spans="1:6" ht="15.75" customHeight="1">
      <c r="A14862" s="8" t="str">
        <f ca="1">IFERROR(__xludf.DUMMYFUNCTION("GOOGLETRANSLATE(B43100,""en"",""pt"")"),"Cidade de Peachtree")</f>
        <v>Cidade de Peachtree</v>
      </c>
      <c r="B14862" s="9" t="s">
        <v>29647</v>
      </c>
      <c r="C14862" s="9" t="s">
        <v>27788</v>
      </c>
      <c r="D14862" s="9" t="s">
        <v>7988</v>
      </c>
      <c r="E14862" s="10">
        <v>4215110</v>
      </c>
      <c r="F14862" s="4" t="str">
        <f>IF(B14862=B14861,"",B14862)</f>
        <v/>
      </c>
    </row>
    <row r="14863" spans="1:6" ht="15.75" customHeight="1">
      <c r="A14863" s="15" t="s">
        <v>29645</v>
      </c>
      <c r="B14863" s="15" t="s">
        <v>29645</v>
      </c>
      <c r="C14863" s="15" t="s">
        <v>27788</v>
      </c>
      <c r="D14863" s="15" t="s">
        <v>27794</v>
      </c>
      <c r="E14863" s="2">
        <v>4946863</v>
      </c>
      <c r="F14863" s="4" t="str">
        <f>IF(B14863=B14862,"",B14863)</f>
        <v>Peabody</v>
      </c>
    </row>
    <row r="14864" spans="1:6" ht="15.75" customHeight="1">
      <c r="A14864" s="8" t="str">
        <f ca="1">IFERROR(__xludf.DUMMYFUNCTION("GOOGLETRANSLATE(B44014,""en"",""pt"")"),"Peabody")</f>
        <v>Peabody</v>
      </c>
      <c r="B14864" s="9" t="s">
        <v>29645</v>
      </c>
      <c r="C14864" s="9" t="s">
        <v>27788</v>
      </c>
      <c r="D14864" s="9" t="s">
        <v>27794</v>
      </c>
      <c r="E14864" s="10">
        <v>4946863</v>
      </c>
      <c r="F14864" s="4" t="str">
        <f>IF(B14864=B14863,"",B14864)</f>
        <v/>
      </c>
    </row>
    <row r="14865" spans="1:6" ht="15.75" customHeight="1">
      <c r="A14865" s="16" t="s">
        <v>20958</v>
      </c>
      <c r="B14865" s="15" t="s">
        <v>20959</v>
      </c>
      <c r="C14865" s="16" t="s">
        <v>20598</v>
      </c>
      <c r="D14865" s="16" t="s">
        <v>20599</v>
      </c>
      <c r="E14865" s="2">
        <v>1694075</v>
      </c>
      <c r="F14865" s="4" t="str">
        <f>IF(B14865=B14864,"",B14865)</f>
        <v>PeÃ±aranda</v>
      </c>
    </row>
    <row r="14866" spans="1:6" ht="15.75" customHeight="1">
      <c r="A14866" s="16" t="s">
        <v>4442</v>
      </c>
      <c r="B14866" s="15" t="s">
        <v>4443</v>
      </c>
      <c r="C14866" s="16" t="s">
        <v>4355</v>
      </c>
      <c r="D14866" s="16" t="s">
        <v>4366</v>
      </c>
      <c r="E14866" s="2">
        <v>3876685</v>
      </c>
      <c r="F14866" s="4" t="str">
        <f>IF(B14866=B14865,"",B14866)</f>
        <v>PeÃ±aflor</v>
      </c>
    </row>
    <row r="14867" spans="1:6" ht="15.75" customHeight="1">
      <c r="A14867" s="16" t="s">
        <v>3737</v>
      </c>
      <c r="B14867" s="15" t="s">
        <v>3737</v>
      </c>
      <c r="C14867" s="16" t="s">
        <v>3701</v>
      </c>
      <c r="D14867" s="16" t="s">
        <v>3737</v>
      </c>
      <c r="E14867" s="2">
        <v>728378</v>
      </c>
      <c r="F14867" s="4" t="str">
        <f>IF(B14867=B14866,"",B14867)</f>
        <v>Pazardzhik</v>
      </c>
    </row>
    <row r="14868" spans="1:6" ht="15.75" customHeight="1">
      <c r="A14868" s="8" t="str">
        <f ca="1">IFERROR(__xludf.DUMMYFUNCTION("GOOGLETRANSLATE(B24037,""en"",""pt"")"),"Pazardzhik")</f>
        <v>Pazardzhik</v>
      </c>
      <c r="B14868" s="9" t="s">
        <v>3737</v>
      </c>
      <c r="C14868" s="9" t="s">
        <v>3701</v>
      </c>
      <c r="D14868" s="9" t="s">
        <v>3737</v>
      </c>
      <c r="E14868" s="10">
        <v>728378</v>
      </c>
      <c r="F14868" s="4" t="str">
        <f>IF(B14868=B14867,"",B14868)</f>
        <v/>
      </c>
    </row>
    <row r="14869" spans="1:6" ht="15.75" customHeight="1">
      <c r="A14869" s="8" t="str">
        <f ca="1">IFERROR(__xludf.DUMMYFUNCTION("GOOGLETRANSLATE(B41918,""en"",""pt"")"),"Pazarcık")</f>
        <v>Pazarcık</v>
      </c>
      <c r="B14869" s="11" t="s">
        <v>35846</v>
      </c>
      <c r="C14869" s="11" t="s">
        <v>26201</v>
      </c>
      <c r="D14869" s="11" t="s">
        <v>35847</v>
      </c>
      <c r="E14869" s="10">
        <v>302800</v>
      </c>
      <c r="F14869" s="4" t="str">
        <f>IF(B14869=B14868,"",B14869)</f>
        <v>Pazarcık</v>
      </c>
    </row>
    <row r="14870" spans="1:6" ht="15.75" customHeight="1">
      <c r="A14870" s="16" t="s">
        <v>26667</v>
      </c>
      <c r="B14870" s="15" t="s">
        <v>26668</v>
      </c>
      <c r="C14870" s="16" t="s">
        <v>26201</v>
      </c>
      <c r="D14870" s="16" t="s">
        <v>26221</v>
      </c>
      <c r="E14870" s="2">
        <v>302800</v>
      </c>
      <c r="F14870" s="4" t="str">
        <f>IF(B14870=B14869,"",B14870)</f>
        <v>PazarcÄ±k</v>
      </c>
    </row>
    <row r="14871" spans="1:6" ht="15.75" customHeight="1">
      <c r="A14871" s="8" t="str">
        <f ca="1">IFERROR(__xludf.DUMMYFUNCTION("GOOGLETRANSLATE(B32493,""en"",""pt"")"),"Payyannūr")</f>
        <v>Payyannūr</v>
      </c>
      <c r="B14871" s="11" t="s">
        <v>33240</v>
      </c>
      <c r="C14871" s="11" t="s">
        <v>10178</v>
      </c>
      <c r="D14871" s="11" t="s">
        <v>10246</v>
      </c>
      <c r="E14871" s="10">
        <v>1259994</v>
      </c>
      <c r="F14871" s="4" t="str">
        <f>IF(B14871=B14870,"",B14871)</f>
        <v>Payyannūr</v>
      </c>
    </row>
    <row r="14872" spans="1:6" ht="15.75" customHeight="1">
      <c r="A14872" s="16" t="s">
        <v>12840</v>
      </c>
      <c r="B14872" s="15" t="s">
        <v>12841</v>
      </c>
      <c r="C14872" s="16" t="s">
        <v>10178</v>
      </c>
      <c r="D14872" s="16" t="s">
        <v>10246</v>
      </c>
      <c r="E14872" s="2">
        <v>1259994</v>
      </c>
      <c r="F14872" s="4" t="str">
        <f>IF(B14872=B14871,"",B14872)</f>
        <v>PayyannÅ«r</v>
      </c>
    </row>
    <row r="14873" spans="1:6" ht="15.75" customHeight="1">
      <c r="A14873" s="15" t="s">
        <v>29644</v>
      </c>
      <c r="B14873" s="15" t="s">
        <v>29644</v>
      </c>
      <c r="C14873" s="15" t="s">
        <v>27788</v>
      </c>
      <c r="D14873" s="15" t="s">
        <v>27880</v>
      </c>
      <c r="E14873" s="2">
        <v>5308305</v>
      </c>
      <c r="F14873" s="4" t="str">
        <f>IF(B14873=B14872,"",B14873)</f>
        <v>Payson</v>
      </c>
    </row>
    <row r="14874" spans="1:6" ht="15.75" customHeight="1">
      <c r="A14874" s="15" t="s">
        <v>29644</v>
      </c>
      <c r="B14874" s="15" t="s">
        <v>29644</v>
      </c>
      <c r="C14874" s="15" t="s">
        <v>27788</v>
      </c>
      <c r="D14874" s="15" t="s">
        <v>27856</v>
      </c>
      <c r="E14874" s="2">
        <v>5779548</v>
      </c>
      <c r="F14874" s="4" t="str">
        <f>IF(B14874=B14873,"",B14874)</f>
        <v/>
      </c>
    </row>
    <row r="14875" spans="1:6" ht="15.75" customHeight="1">
      <c r="A14875" s="8" t="str">
        <f ca="1">IFERROR(__xludf.DUMMYFUNCTION("GOOGLETRANSLATE(B44718,""en"",""pt"")"),"Payson")</f>
        <v>Payson</v>
      </c>
      <c r="B14875" s="9" t="s">
        <v>29644</v>
      </c>
      <c r="C14875" s="9" t="s">
        <v>27788</v>
      </c>
      <c r="D14875" s="9" t="s">
        <v>27880</v>
      </c>
      <c r="E14875" s="10">
        <v>5308305</v>
      </c>
      <c r="F14875" s="4" t="str">
        <f>IF(B14875=B14874,"",B14875)</f>
        <v/>
      </c>
    </row>
    <row r="14876" spans="1:6" ht="15.75" customHeight="1">
      <c r="A14876" s="8" t="str">
        <f ca="1">IFERROR(__xludf.DUMMYFUNCTION("GOOGLETRANSLATE(B45293,""en"",""pt"")"),"Payson")</f>
        <v>Payson</v>
      </c>
      <c r="B14876" s="11" t="s">
        <v>29644</v>
      </c>
      <c r="C14876" s="11" t="s">
        <v>27788</v>
      </c>
      <c r="D14876" s="11" t="s">
        <v>27856</v>
      </c>
      <c r="E14876" s="10">
        <v>5779548</v>
      </c>
      <c r="F14876" s="4" t="str">
        <f>IF(B14876=B14875,"",B14876)</f>
        <v/>
      </c>
    </row>
    <row r="14877" spans="1:6" ht="15.75" customHeight="1">
      <c r="A14877" s="16" t="s">
        <v>30581</v>
      </c>
      <c r="B14877" s="15" t="s">
        <v>30581</v>
      </c>
      <c r="C14877" s="16" t="s">
        <v>30502</v>
      </c>
      <c r="D14877" s="16" t="s">
        <v>30522</v>
      </c>
      <c r="E14877" s="2">
        <v>1513011</v>
      </c>
      <c r="F14877" s="4" t="str">
        <f>IF(B14877=B14876,"",B14877)</f>
        <v>Payshanba</v>
      </c>
    </row>
    <row r="14878" spans="1:6" ht="15.75" customHeight="1">
      <c r="A14878" s="8" t="str">
        <f ca="1">IFERROR(__xludf.DUMMYFUNCTION("GOOGLETRANSLATE(B45551,""en"",""pt"")"),"Payshanba")</f>
        <v>Payshanba</v>
      </c>
      <c r="B14878" s="11" t="s">
        <v>30581</v>
      </c>
      <c r="C14878" s="11" t="s">
        <v>30502</v>
      </c>
      <c r="D14878" s="11" t="s">
        <v>30522</v>
      </c>
      <c r="E14878" s="10">
        <v>1513011</v>
      </c>
      <c r="F14878" s="4" t="str">
        <f>IF(B14878=B14877,"",B14878)</f>
        <v/>
      </c>
    </row>
    <row r="14879" spans="1:6" ht="15.75" customHeight="1">
      <c r="A14879" s="8" t="str">
        <f ca="1">IFERROR(__xludf.DUMMYFUNCTION("GOOGLETRANSLATE(B45481,""en"",""pt"")"),"Paysandú")</f>
        <v>Paysandú</v>
      </c>
      <c r="B14879" s="9" t="s">
        <v>36058</v>
      </c>
      <c r="C14879" s="9" t="s">
        <v>30472</v>
      </c>
      <c r="D14879" s="9" t="s">
        <v>36058</v>
      </c>
      <c r="E14879" s="10">
        <v>3441243</v>
      </c>
      <c r="F14879" s="4" t="str">
        <f>IF(B14879=B14878,"",B14879)</f>
        <v>Paysandú</v>
      </c>
    </row>
    <row r="14880" spans="1:6" ht="15.75" customHeight="1">
      <c r="A14880" s="15" t="s">
        <v>30489</v>
      </c>
      <c r="B14880" s="15" t="s">
        <v>30490</v>
      </c>
      <c r="C14880" s="15" t="s">
        <v>30472</v>
      </c>
      <c r="D14880" s="15" t="s">
        <v>30490</v>
      </c>
      <c r="E14880" s="2">
        <v>3441243</v>
      </c>
      <c r="F14880" s="4" t="str">
        <f>IF(B14880=B14879,"",B14880)</f>
        <v>PaysandÃº</v>
      </c>
    </row>
    <row r="14881" spans="1:6" ht="15.75" customHeight="1">
      <c r="A14881" s="16" t="s">
        <v>14091</v>
      </c>
      <c r="B14881" s="15" t="s">
        <v>14091</v>
      </c>
      <c r="C14881" s="16" t="s">
        <v>13800</v>
      </c>
      <c r="D14881" s="16" t="s">
        <v>13872</v>
      </c>
      <c r="E14881" s="2">
        <v>1631905</v>
      </c>
      <c r="F14881" s="4" t="str">
        <f>IF(B14881=B14880,"",B14881)</f>
        <v>Payakumbuh</v>
      </c>
    </row>
    <row r="14882" spans="1:6" ht="15.75" customHeight="1">
      <c r="A14882" s="8" t="str">
        <f ca="1">IFERROR(__xludf.DUMMYFUNCTION("GOOGLETRANSLATE(B31497,""en"",""pt"")"),"Payakumbuh")</f>
        <v>Payakumbuh</v>
      </c>
      <c r="B14882" s="11" t="s">
        <v>14091</v>
      </c>
      <c r="C14882" s="11" t="s">
        <v>13800</v>
      </c>
      <c r="D14882" s="11" t="s">
        <v>13872</v>
      </c>
      <c r="E14882" s="10">
        <v>1631905</v>
      </c>
      <c r="F14882" s="4" t="str">
        <f>IF(B14882=B14881,"",B14882)</f>
        <v/>
      </c>
    </row>
    <row r="14883" spans="1:6" ht="15.75" customHeight="1">
      <c r="A14883" s="15" t="s">
        <v>30580</v>
      </c>
      <c r="B14883" s="15" t="s">
        <v>30580</v>
      </c>
      <c r="C14883" s="15" t="s">
        <v>30502</v>
      </c>
      <c r="D14883" s="15" t="s">
        <v>30532</v>
      </c>
      <c r="E14883" s="2">
        <v>1513038</v>
      </c>
      <c r="F14883" s="4" t="str">
        <f>IF(B14883=B14882,"",B14883)</f>
        <v>Paxtakor</v>
      </c>
    </row>
    <row r="14884" spans="1:6" ht="15.75" customHeight="1">
      <c r="A14884" s="8" t="str">
        <f ca="1">IFERROR(__xludf.DUMMYFUNCTION("GOOGLETRANSLATE(B45554,""en"",""pt"")"),"Paxtakor")</f>
        <v>Paxtakor</v>
      </c>
      <c r="B14884" s="11" t="s">
        <v>30580</v>
      </c>
      <c r="C14884" s="11" t="s">
        <v>30502</v>
      </c>
      <c r="D14884" s="11" t="s">
        <v>30532</v>
      </c>
      <c r="E14884" s="10">
        <v>1513038</v>
      </c>
      <c r="F14884" s="4" t="str">
        <f>IF(B14884=B14883,"",B14884)</f>
        <v/>
      </c>
    </row>
    <row r="14885" spans="1:6" ht="15.75" customHeight="1">
      <c r="A14885" s="16" t="s">
        <v>29643</v>
      </c>
      <c r="B14885" s="15" t="s">
        <v>29643</v>
      </c>
      <c r="C14885" s="16" t="s">
        <v>27788</v>
      </c>
      <c r="D14885" s="16" t="s">
        <v>27951</v>
      </c>
      <c r="E14885" s="2">
        <v>5223869</v>
      </c>
      <c r="F14885" s="4" t="str">
        <f>IF(B14885=B14884,"",B14885)</f>
        <v>Pawtucket</v>
      </c>
    </row>
    <row r="14886" spans="1:6" ht="15.75" customHeight="1">
      <c r="A14886" s="8" t="str">
        <f ca="1">IFERROR(__xludf.DUMMYFUNCTION("GOOGLETRANSLATE(B44615,""en"",""pt"")"),"Pawtucket")</f>
        <v>Pawtucket</v>
      </c>
      <c r="B14886" s="11" t="s">
        <v>29643</v>
      </c>
      <c r="C14886" s="11" t="s">
        <v>27788</v>
      </c>
      <c r="D14886" s="11" t="s">
        <v>27951</v>
      </c>
      <c r="E14886" s="10">
        <v>5223869</v>
      </c>
      <c r="F14886" s="4" t="str">
        <f>IF(B14886=B14885,"",B14886)</f>
        <v/>
      </c>
    </row>
    <row r="14887" spans="1:6" ht="15.75" customHeight="1">
      <c r="A14887" s="15" t="s">
        <v>12839</v>
      </c>
      <c r="B14887" s="15" t="s">
        <v>12839</v>
      </c>
      <c r="C14887" s="15" t="s">
        <v>10178</v>
      </c>
      <c r="D14887" s="15" t="s">
        <v>10214</v>
      </c>
      <c r="E14887" s="2">
        <v>1260022</v>
      </c>
      <c r="F14887" s="4" t="str">
        <f>IF(B14887=B14886,"",B14887)</f>
        <v>Pawni</v>
      </c>
    </row>
    <row r="14888" spans="1:6" ht="15.75" customHeight="1">
      <c r="A14888" s="8" t="str">
        <f ca="1">IFERROR(__xludf.DUMMYFUNCTION("GOOGLETRANSLATE(B32497,""en"",""pt"")"),"Pawni")</f>
        <v>Pawni</v>
      </c>
      <c r="B14888" s="11" t="s">
        <v>12839</v>
      </c>
      <c r="C14888" s="11" t="s">
        <v>10178</v>
      </c>
      <c r="D14888" s="11" t="s">
        <v>10214</v>
      </c>
      <c r="E14888" s="10">
        <v>1260022</v>
      </c>
      <c r="F14888" s="4" t="str">
        <f>IF(B14888=B14887,"",B14888)</f>
        <v/>
      </c>
    </row>
    <row r="14889" spans="1:6" ht="15.75" customHeight="1">
      <c r="A14889" s="8" t="str">
        <f ca="1">IFERROR(__xludf.DUMMYFUNCTION("GOOGLETRANSLATE(B32494,""en"",""pt"")"),"Pawāyan")</f>
        <v>Pawāyan</v>
      </c>
      <c r="B14889" s="11" t="s">
        <v>33241</v>
      </c>
      <c r="C14889" s="11" t="s">
        <v>10178</v>
      </c>
      <c r="D14889" s="11" t="s">
        <v>10193</v>
      </c>
      <c r="E14889" s="10">
        <v>1260003</v>
      </c>
      <c r="F14889" s="4" t="str">
        <f>IF(B14889=B14888,"",B14889)</f>
        <v>Pawāyan</v>
      </c>
    </row>
    <row r="14890" spans="1:6" ht="15.75" customHeight="1">
      <c r="A14890" s="15" t="s">
        <v>12837</v>
      </c>
      <c r="B14890" s="15" t="s">
        <v>12838</v>
      </c>
      <c r="C14890" s="15" t="s">
        <v>10178</v>
      </c>
      <c r="D14890" s="15" t="s">
        <v>10193</v>
      </c>
      <c r="E14890" s="2">
        <v>1260003</v>
      </c>
      <c r="F14890" s="4" t="str">
        <f>IF(B14890=B14889,"",B14890)</f>
        <v>PawÄyan</v>
      </c>
    </row>
    <row r="14891" spans="1:6" ht="15.75" customHeight="1">
      <c r="A14891" s="8" t="str">
        <f ca="1">IFERROR(__xludf.DUMMYFUNCTION("GOOGLETRANSLATE(B32495,""en"",""pt"")"),"Pāvugada")</f>
        <v>Pāvugada</v>
      </c>
      <c r="B14891" s="9" t="s">
        <v>33242</v>
      </c>
      <c r="C14891" s="9" t="s">
        <v>10178</v>
      </c>
      <c r="D14891" s="9" t="s">
        <v>10252</v>
      </c>
      <c r="E14891" s="10">
        <v>1260014</v>
      </c>
      <c r="F14891" s="4" t="str">
        <f>IF(B14891=B14890,"",B14891)</f>
        <v>Pāvugada</v>
      </c>
    </row>
    <row r="14892" spans="1:6" ht="15.75" customHeight="1">
      <c r="A14892" s="16" t="s">
        <v>22921</v>
      </c>
      <c r="B14892" s="15" t="s">
        <v>22921</v>
      </c>
      <c r="C14892" s="16" t="s">
        <v>22070</v>
      </c>
      <c r="D14892" s="16" t="s">
        <v>22119</v>
      </c>
      <c r="E14892" s="2">
        <v>512023</v>
      </c>
      <c r="F14892" s="4" t="str">
        <f>IF(B14892=B14891,"",B14892)</f>
        <v>Pavlovskiy Posad</v>
      </c>
    </row>
    <row r="14893" spans="1:6" ht="15.75" customHeight="1">
      <c r="A14893" s="8" t="str">
        <f ca="1">IFERROR(__xludf.DUMMYFUNCTION("GOOGLETRANSLATE(B40210,""en"",""pt"")"),"Pavlovskiy Posad")</f>
        <v>Pavlovskiy Posad</v>
      </c>
      <c r="B14893" s="9" t="s">
        <v>22921</v>
      </c>
      <c r="C14893" s="9" t="s">
        <v>22070</v>
      </c>
      <c r="D14893" s="9" t="s">
        <v>22119</v>
      </c>
      <c r="E14893" s="10">
        <v>512023</v>
      </c>
      <c r="F14893" s="4" t="str">
        <f>IF(B14893=B14892,"",B14893)</f>
        <v/>
      </c>
    </row>
    <row r="14894" spans="1:6" ht="15.75" customHeight="1">
      <c r="A14894" s="16" t="s">
        <v>22920</v>
      </c>
      <c r="B14894" s="15" t="s">
        <v>22920</v>
      </c>
      <c r="C14894" s="16" t="s">
        <v>22070</v>
      </c>
      <c r="D14894" s="16" t="s">
        <v>22077</v>
      </c>
      <c r="E14894" s="2">
        <v>512051</v>
      </c>
      <c r="F14894" s="4" t="str">
        <f>IF(B14894=B14893,"",B14894)</f>
        <v>Pavlovskaya</v>
      </c>
    </row>
    <row r="14895" spans="1:6" ht="15.75" customHeight="1">
      <c r="A14895" s="8" t="str">
        <f ca="1">IFERROR(__xludf.DUMMYFUNCTION("GOOGLETRANSLATE(B40211,""en"",""pt"")"),"Pavlovskaya")</f>
        <v>Pavlovskaya</v>
      </c>
      <c r="B14895" s="9" t="s">
        <v>22920</v>
      </c>
      <c r="C14895" s="9" t="s">
        <v>22070</v>
      </c>
      <c r="D14895" s="9" t="s">
        <v>22077</v>
      </c>
      <c r="E14895" s="10">
        <v>512051</v>
      </c>
      <c r="F14895" s="4" t="str">
        <f>IF(B14895=B14894,"",B14895)</f>
        <v/>
      </c>
    </row>
    <row r="14896" spans="1:6" ht="15.75" customHeight="1">
      <c r="A14896" s="15" t="s">
        <v>22919</v>
      </c>
      <c r="B14896" s="15" t="s">
        <v>22919</v>
      </c>
      <c r="C14896" s="15" t="s">
        <v>22070</v>
      </c>
      <c r="D14896" s="15" t="s">
        <v>22084</v>
      </c>
      <c r="E14896" s="2">
        <v>512052</v>
      </c>
      <c r="F14896" s="4" t="str">
        <f>IF(B14896=B14895,"",B14896)</f>
        <v>Pavlovsk</v>
      </c>
    </row>
    <row r="14897" spans="1:6" ht="15.75" customHeight="1">
      <c r="A14897" s="15" t="s">
        <v>22919</v>
      </c>
      <c r="B14897" s="15" t="s">
        <v>22919</v>
      </c>
      <c r="C14897" s="15" t="s">
        <v>22070</v>
      </c>
      <c r="D14897" s="15" t="s">
        <v>22137</v>
      </c>
      <c r="E14897" s="2">
        <v>512053</v>
      </c>
      <c r="F14897" s="4" t="str">
        <f>IF(B14897=B14896,"",B14897)</f>
        <v/>
      </c>
    </row>
    <row r="14898" spans="1:6" ht="15.75" customHeight="1">
      <c r="A14898" s="8" t="str">
        <f ca="1">IFERROR(__xludf.DUMMYFUNCTION("GOOGLETRANSLATE(B40212,""en"",""pt"")"),"Pavlovsk")</f>
        <v>Pavlovsk</v>
      </c>
      <c r="B14898" s="11" t="s">
        <v>22919</v>
      </c>
      <c r="C14898" s="11" t="s">
        <v>22070</v>
      </c>
      <c r="D14898" s="11" t="s">
        <v>22084</v>
      </c>
      <c r="E14898" s="10">
        <v>512052</v>
      </c>
      <c r="F14898" s="4" t="str">
        <f>IF(B14898=B14897,"",B14898)</f>
        <v/>
      </c>
    </row>
    <row r="14899" spans="1:6" ht="15.75" customHeight="1">
      <c r="A14899" s="8" t="str">
        <f ca="1">IFERROR(__xludf.DUMMYFUNCTION("GOOGLETRANSLATE(B40213,""en"",""pt"")"),"Pavlovsk")</f>
        <v>Pavlovsk</v>
      </c>
      <c r="B14899" s="9" t="s">
        <v>22919</v>
      </c>
      <c r="C14899" s="9" t="s">
        <v>22070</v>
      </c>
      <c r="D14899" s="9" t="s">
        <v>22137</v>
      </c>
      <c r="E14899" s="10">
        <v>512053</v>
      </c>
      <c r="F14899" s="4" t="str">
        <f>IF(B14899=B14898,"",B14899)</f>
        <v/>
      </c>
    </row>
    <row r="14900" spans="1:6" ht="15.75" customHeight="1">
      <c r="A14900" s="15" t="s">
        <v>22918</v>
      </c>
      <c r="B14900" s="15" t="s">
        <v>22918</v>
      </c>
      <c r="C14900" s="15" t="s">
        <v>22070</v>
      </c>
      <c r="D14900" s="15" t="s">
        <v>22161</v>
      </c>
      <c r="E14900" s="2">
        <v>827329</v>
      </c>
      <c r="F14900" s="4" t="str">
        <f>IF(B14900=B14899,"",B14900)</f>
        <v>Pavlovo</v>
      </c>
    </row>
    <row r="14901" spans="1:6" ht="15.75" customHeight="1">
      <c r="A14901" s="8" t="str">
        <f ca="1">IFERROR(__xludf.DUMMYFUNCTION("GOOGLETRANSLATE(B40700,""en"",""pt"")"),"Pavlovo")</f>
        <v>Pavlovo</v>
      </c>
      <c r="B14901" s="9" t="s">
        <v>22918</v>
      </c>
      <c r="C14901" s="9" t="s">
        <v>22070</v>
      </c>
      <c r="D14901" s="9" t="s">
        <v>22161</v>
      </c>
      <c r="E14901" s="10">
        <v>827329</v>
      </c>
      <c r="F14901" s="4" t="str">
        <f>IF(B14901=B14900,"",B14901)</f>
        <v/>
      </c>
    </row>
    <row r="14902" spans="1:6" ht="15.75" customHeight="1">
      <c r="A14902" s="16" t="s">
        <v>27102</v>
      </c>
      <c r="B14902" s="15" t="s">
        <v>27102</v>
      </c>
      <c r="C14902" s="16" t="s">
        <v>26870</v>
      </c>
      <c r="D14902" s="16" t="s">
        <v>26878</v>
      </c>
      <c r="E14902" s="2">
        <v>697889</v>
      </c>
      <c r="F14902" s="4" t="str">
        <f>IF(B14902=B14901,"",B14902)</f>
        <v>Pavlohrad</v>
      </c>
    </row>
    <row r="14903" spans="1:6" ht="15.75" customHeight="1">
      <c r="A14903" s="8" t="str">
        <f ca="1">IFERROR(__xludf.DUMMYFUNCTION("GOOGLETRANSLATE(B42555,""en"",""pt"")"),"Pavlohrad")</f>
        <v>Pavlohrad</v>
      </c>
      <c r="B14903" s="9" t="s">
        <v>27102</v>
      </c>
      <c r="C14903" s="9" t="s">
        <v>26870</v>
      </c>
      <c r="D14903" s="9" t="s">
        <v>26878</v>
      </c>
      <c r="E14903" s="10">
        <v>697889</v>
      </c>
      <c r="F14903" s="4" t="str">
        <f>IF(B14903=B14902,"",B14903)</f>
        <v/>
      </c>
    </row>
    <row r="14904" spans="1:6" ht="15.75" customHeight="1">
      <c r="A14904" s="15" t="s">
        <v>16677</v>
      </c>
      <c r="B14904" s="15" t="s">
        <v>16677</v>
      </c>
      <c r="C14904" s="15" t="s">
        <v>16671</v>
      </c>
      <c r="D14904" s="15" t="s">
        <v>16677</v>
      </c>
      <c r="E14904" s="2">
        <v>1520240</v>
      </c>
      <c r="F14904" s="4" t="str">
        <f>IF(B14904=B14903,"",B14904)</f>
        <v>Pavlodar</v>
      </c>
    </row>
    <row r="14905" spans="1:6" ht="15.75" customHeight="1">
      <c r="A14905" s="8" t="str">
        <f ca="1">IFERROR(__xludf.DUMMYFUNCTION("GOOGLETRANSLATE(B36230,""en"",""pt"")"),"Pavlodar")</f>
        <v>Pavlodar</v>
      </c>
      <c r="B14905" s="9" t="s">
        <v>16677</v>
      </c>
      <c r="C14905" s="9" t="s">
        <v>16671</v>
      </c>
      <c r="D14905" s="9" t="s">
        <v>16677</v>
      </c>
      <c r="E14905" s="10">
        <v>1520240</v>
      </c>
      <c r="F14905" s="4" t="str">
        <f>IF(B14905=B14904,"",B14905)</f>
        <v/>
      </c>
    </row>
    <row r="14906" spans="1:6" ht="15.75" customHeight="1">
      <c r="A14906" s="15" t="s">
        <v>15358</v>
      </c>
      <c r="B14906" s="15" t="s">
        <v>15358</v>
      </c>
      <c r="C14906" s="15" t="s">
        <v>14891</v>
      </c>
      <c r="D14906" s="15" t="s">
        <v>14894</v>
      </c>
      <c r="E14906" s="2">
        <v>3171366</v>
      </c>
      <c r="F14906" s="4" t="str">
        <f>IF(B14906=B14905,"",B14906)</f>
        <v>Pavia</v>
      </c>
    </row>
    <row r="14907" spans="1:6" ht="15.75" customHeight="1">
      <c r="A14907" s="8" t="str">
        <f ca="1">IFERROR(__xludf.DUMMYFUNCTION("GOOGLETRANSLATE(B34779,""en"",""pt"")"),"Pavia")</f>
        <v>Pavia</v>
      </c>
      <c r="B14907" s="9" t="s">
        <v>15358</v>
      </c>
      <c r="C14907" s="9" t="s">
        <v>14891</v>
      </c>
      <c r="D14907" s="9" t="s">
        <v>14894</v>
      </c>
      <c r="E14907" s="10">
        <v>3171366</v>
      </c>
      <c r="F14907" s="4" t="str">
        <f>IF(B14907=B14906,"",B14907)</f>
        <v/>
      </c>
    </row>
    <row r="14908" spans="1:6" ht="15.75" customHeight="1">
      <c r="A14908" s="8" t="str">
        <f ca="1">IFERROR(__xludf.DUMMYFUNCTION("GOOGLETRANSLATE(B34398,""en"",""pt"")"),"Pāveh")</f>
        <v>Pāveh</v>
      </c>
      <c r="B14908" s="11" t="s">
        <v>34162</v>
      </c>
      <c r="C14908" s="11" t="s">
        <v>14240</v>
      </c>
      <c r="D14908" s="11" t="s">
        <v>34120</v>
      </c>
      <c r="E14908" s="10">
        <v>121240</v>
      </c>
      <c r="F14908" s="4" t="str">
        <f>IF(B14908=B14907,"",B14908)</f>
        <v>Pāveh</v>
      </c>
    </row>
    <row r="14909" spans="1:6" ht="15.75" customHeight="1">
      <c r="A14909" s="15" t="s">
        <v>12836</v>
      </c>
      <c r="B14909" s="15" t="s">
        <v>12836</v>
      </c>
      <c r="C14909" s="15" t="s">
        <v>10178</v>
      </c>
      <c r="D14909" s="15" t="s">
        <v>10299</v>
      </c>
      <c r="E14909" s="2">
        <v>1260016</v>
      </c>
      <c r="F14909" s="4" t="str">
        <f>IF(B14909=B14908,"",B14909)</f>
        <v>Pauri</v>
      </c>
    </row>
    <row r="14910" spans="1:6" ht="15.75" customHeight="1">
      <c r="A14910" s="8" t="str">
        <f ca="1">IFERROR(__xludf.DUMMYFUNCTION("GOOGLETRANSLATE(B32496,""en"",""pt"")"),"Pauri")</f>
        <v>Pauri</v>
      </c>
      <c r="B14910" s="11" t="s">
        <v>12836</v>
      </c>
      <c r="C14910" s="11" t="s">
        <v>10178</v>
      </c>
      <c r="D14910" s="11" t="s">
        <v>10299</v>
      </c>
      <c r="E14910" s="10">
        <v>1260016</v>
      </c>
      <c r="F14910" s="4" t="str">
        <f>IF(B14910=B14909,"",B14910)</f>
        <v/>
      </c>
    </row>
    <row r="14911" spans="1:6" ht="15.75" customHeight="1">
      <c r="A14911" s="15" t="s">
        <v>18746</v>
      </c>
      <c r="B14911" s="15" t="s">
        <v>18746</v>
      </c>
      <c r="C14911" s="15" t="s">
        <v>18696</v>
      </c>
      <c r="D14911" s="15" t="s">
        <v>18695</v>
      </c>
      <c r="E14911" s="2">
        <v>1300969</v>
      </c>
      <c r="F14911" s="4" t="str">
        <f>IF(B14911=B14910,"",B14911)</f>
        <v>Paungde</v>
      </c>
    </row>
    <row r="14912" spans="1:6" ht="15.75" customHeight="1">
      <c r="A14912" s="8" t="str">
        <f ca="1">IFERROR(__xludf.DUMMYFUNCTION("GOOGLETRANSLATE(B36723,""en"",""pt"")"),"Paungde")</f>
        <v>Paungde</v>
      </c>
      <c r="B14912" s="11" t="s">
        <v>18746</v>
      </c>
      <c r="C14912" s="11" t="s">
        <v>18696</v>
      </c>
      <c r="D14912" s="11" t="s">
        <v>18695</v>
      </c>
      <c r="E14912" s="10">
        <v>1300969</v>
      </c>
      <c r="F14912" s="4" t="str">
        <f>IF(B14912=B14911,"",B14912)</f>
        <v/>
      </c>
    </row>
    <row r="14913" spans="1:6" ht="15.75" customHeight="1">
      <c r="A14913" s="16" t="s">
        <v>3064</v>
      </c>
      <c r="B14913" s="15" t="s">
        <v>3064</v>
      </c>
      <c r="C14913" s="16" t="s">
        <v>1905</v>
      </c>
      <c r="D14913" s="16" t="s">
        <v>1947</v>
      </c>
      <c r="E14913" s="2">
        <v>3392734</v>
      </c>
      <c r="F14913" s="4" t="str">
        <f>IF(B14913=B14912,"",B14913)</f>
        <v>Paulo Afonso</v>
      </c>
    </row>
    <row r="14914" spans="1:6" ht="15.75" customHeight="1">
      <c r="A14914" s="8" t="str">
        <f ca="1">IFERROR(__xludf.DUMMYFUNCTION("GOOGLETRANSLATE(B24236,""en"",""pt"")"),"Paulo Afonso")</f>
        <v>Paulo Afonso</v>
      </c>
      <c r="B14914" s="11" t="s">
        <v>3064</v>
      </c>
      <c r="C14914" s="11" t="s">
        <v>1905</v>
      </c>
      <c r="D14914" s="11" t="s">
        <v>1947</v>
      </c>
      <c r="E14914" s="10">
        <v>3392734</v>
      </c>
      <c r="F14914" s="4" t="str">
        <f>IF(B14914=B14913,"",B14914)</f>
        <v/>
      </c>
    </row>
    <row r="14915" spans="1:6" ht="15.75" customHeight="1">
      <c r="A14915" s="15" t="s">
        <v>3063</v>
      </c>
      <c r="B14915" s="15" t="s">
        <v>3063</v>
      </c>
      <c r="C14915" s="15" t="s">
        <v>1905</v>
      </c>
      <c r="D14915" s="15" t="s">
        <v>1909</v>
      </c>
      <c r="E14915" s="2">
        <v>3392740</v>
      </c>
      <c r="F14915" s="4" t="str">
        <f>IF(B14915=B14914,"",B14915)</f>
        <v>Paulista</v>
      </c>
    </row>
    <row r="14916" spans="1:6" ht="15.75" customHeight="1">
      <c r="A14916" s="8" t="str">
        <f ca="1">IFERROR(__xludf.DUMMYFUNCTION("GOOGLETRANSLATE(B24237,""en"",""pt"")"),"Paulista")</f>
        <v>Paulista</v>
      </c>
      <c r="B14916" s="11" t="s">
        <v>3063</v>
      </c>
      <c r="C14916" s="11" t="s">
        <v>1905</v>
      </c>
      <c r="D14916" s="11" t="s">
        <v>1909</v>
      </c>
      <c r="E14916" s="10">
        <v>3392740</v>
      </c>
      <c r="F14916" s="4" t="str">
        <f>IF(B14916=B14915,"",B14916)</f>
        <v/>
      </c>
    </row>
    <row r="14917" spans="1:6" ht="15.75" customHeight="1">
      <c r="A14917" s="8" t="str">
        <f ca="1">IFERROR(__xludf.DUMMYFUNCTION("GOOGLETRANSLATE(B24731,""en"",""pt"")"),"Paulínia")</f>
        <v>Paulínia</v>
      </c>
      <c r="B14917" s="9" t="s">
        <v>31562</v>
      </c>
      <c r="C14917" s="9" t="s">
        <v>1905</v>
      </c>
      <c r="D14917" s="9" t="s">
        <v>3354</v>
      </c>
      <c r="E14917" s="10">
        <v>3454690</v>
      </c>
      <c r="F14917" s="4" t="str">
        <f>IF(B14917=B14916,"",B14917)</f>
        <v>Paulínia</v>
      </c>
    </row>
    <row r="14918" spans="1:6" ht="15.75" customHeight="1">
      <c r="A14918" s="15" t="s">
        <v>3061</v>
      </c>
      <c r="B14918" s="15" t="s">
        <v>3062</v>
      </c>
      <c r="C14918" s="15" t="s">
        <v>1905</v>
      </c>
      <c r="D14918" s="15" t="s">
        <v>1914</v>
      </c>
      <c r="E14918" s="2">
        <v>3454690</v>
      </c>
      <c r="F14918" s="4" t="str">
        <f>IF(B14918=B14917,"",B14918)</f>
        <v>PaulÃ­nia</v>
      </c>
    </row>
    <row r="14919" spans="1:6" ht="15.75" customHeight="1">
      <c r="A14919" s="15" t="s">
        <v>7672</v>
      </c>
      <c r="B14919" s="15" t="s">
        <v>7672</v>
      </c>
      <c r="C14919" s="15" t="s">
        <v>7052</v>
      </c>
      <c r="D14919" s="15" t="s">
        <v>7084</v>
      </c>
      <c r="E14919" s="2">
        <v>2988358</v>
      </c>
      <c r="F14919" s="4" t="str">
        <f>IF(B14919=B14918,"",B14919)</f>
        <v>Pau</v>
      </c>
    </row>
    <row r="14920" spans="1:6" ht="15.75" customHeight="1">
      <c r="A14920" s="8" t="str">
        <f ca="1">IFERROR(__xludf.DUMMYFUNCTION("GOOGLETRANSLATE(B29856,""en"",""pt"")"),"Pau")</f>
        <v>Pau</v>
      </c>
      <c r="B14920" s="11" t="s">
        <v>7672</v>
      </c>
      <c r="C14920" s="11" t="s">
        <v>7052</v>
      </c>
      <c r="D14920" s="11" t="s">
        <v>7084</v>
      </c>
      <c r="E14920" s="10">
        <v>2988358</v>
      </c>
      <c r="F14920" s="4" t="str">
        <f>IF(B14920=B14919,"",B14920)</f>
        <v/>
      </c>
    </row>
    <row r="14921" spans="1:6" ht="15.75" customHeight="1">
      <c r="A14921" s="15" t="s">
        <v>6084</v>
      </c>
      <c r="B14921" s="15" t="s">
        <v>6085</v>
      </c>
      <c r="C14921" s="15" t="s">
        <v>5947</v>
      </c>
      <c r="D14921" s="15" t="s">
        <v>5948</v>
      </c>
      <c r="E14921" s="2">
        <v>3067580</v>
      </c>
      <c r="F14921" s="4" t="str">
        <f>IF(B14921=B14920,"",B14921)</f>
        <v>PÅ™erov</v>
      </c>
    </row>
    <row r="14922" spans="1:6" ht="15.75" customHeight="1">
      <c r="A14922" s="16" t="s">
        <v>6082</v>
      </c>
      <c r="B14922" s="15" t="s">
        <v>6083</v>
      </c>
      <c r="C14922" s="16" t="s">
        <v>5947</v>
      </c>
      <c r="D14922" s="16" t="s">
        <v>5985</v>
      </c>
      <c r="E14922" s="2">
        <v>3067542</v>
      </c>
      <c r="F14922" s="4" t="str">
        <f>IF(B14922=B14921,"",B14922)</f>
        <v>PÅ™Ã­bram</v>
      </c>
    </row>
    <row r="14923" spans="1:6" ht="15.75" customHeight="1">
      <c r="A14923" s="8" t="str">
        <f ca="1">IFERROR(__xludf.DUMMYFUNCTION("GOOGLETRANSLATE(B31097,""en"",""pt"")"),"Patzún")</f>
        <v>Patzún</v>
      </c>
      <c r="B14923" s="9" t="s">
        <v>32782</v>
      </c>
      <c r="C14923" s="9" t="s">
        <v>9700</v>
      </c>
      <c r="D14923" s="9" t="s">
        <v>9717</v>
      </c>
      <c r="E14923" s="10">
        <v>3591512</v>
      </c>
      <c r="F14923" s="4" t="str">
        <f>IF(B14923=B14922,"",B14923)</f>
        <v>Patzún</v>
      </c>
    </row>
    <row r="14924" spans="1:6" ht="15.75" customHeight="1">
      <c r="A14924" s="8" t="str">
        <f ca="1">IFERROR(__xludf.DUMMYFUNCTION("GOOGLETRANSLATE(B31098,""en"",""pt"")"),"Patzicía")</f>
        <v>Patzicía</v>
      </c>
      <c r="B14924" s="9" t="s">
        <v>32783</v>
      </c>
      <c r="C14924" s="9" t="s">
        <v>9700</v>
      </c>
      <c r="D14924" s="9" t="s">
        <v>9717</v>
      </c>
      <c r="E14924" s="10">
        <v>3591523</v>
      </c>
      <c r="F14924" s="4" t="str">
        <f>IF(B14924=B14923,"",B14924)</f>
        <v>Patzicía</v>
      </c>
    </row>
    <row r="14925" spans="1:6" ht="15.75" customHeight="1">
      <c r="A14925" s="15" t="s">
        <v>9771</v>
      </c>
      <c r="B14925" s="15" t="s">
        <v>9772</v>
      </c>
      <c r="C14925" s="15" t="s">
        <v>9700</v>
      </c>
      <c r="D14925" s="15" t="s">
        <v>9717</v>
      </c>
      <c r="E14925" s="2">
        <v>3591523</v>
      </c>
      <c r="F14925" s="4" t="str">
        <f>IF(B14925=B14924,"",B14925)</f>
        <v>PatzicÃ­a</v>
      </c>
    </row>
    <row r="14926" spans="1:6" ht="15.75" customHeight="1">
      <c r="A14926" s="8" t="str">
        <f ca="1">IFERROR(__xludf.DUMMYFUNCTION("GOOGLETRANSLATE(B37225,""en"",""pt"")"),"Pátzcuaro")</f>
        <v>Pátzcuaro</v>
      </c>
      <c r="B14926" s="11" t="s">
        <v>34751</v>
      </c>
      <c r="C14926" s="11" t="s">
        <v>17707</v>
      </c>
      <c r="D14926" s="11" t="s">
        <v>34727</v>
      </c>
      <c r="E14926" s="10">
        <v>3993179</v>
      </c>
      <c r="F14926" s="4" t="str">
        <f>IF(B14926=B14925,"",B14926)</f>
        <v>Pátzcuaro</v>
      </c>
    </row>
    <row r="14927" spans="1:6" ht="15.75" customHeight="1">
      <c r="A14927" s="15" t="s">
        <v>9769</v>
      </c>
      <c r="B14927" s="15" t="s">
        <v>9770</v>
      </c>
      <c r="C14927" s="15" t="s">
        <v>9700</v>
      </c>
      <c r="D14927" s="15" t="s">
        <v>9717</v>
      </c>
      <c r="E14927" s="2">
        <v>3591512</v>
      </c>
      <c r="F14927" s="4" t="str">
        <f>IF(B14927=B14926,"",B14927)</f>
        <v>PatzÃºn</v>
      </c>
    </row>
    <row r="14928" spans="1:6" ht="15.75" customHeight="1">
      <c r="A14928" s="16" t="s">
        <v>3059</v>
      </c>
      <c r="B14928" s="15" t="s">
        <v>3060</v>
      </c>
      <c r="C14928" s="16" t="s">
        <v>1905</v>
      </c>
      <c r="D14928" s="16" t="s">
        <v>1978</v>
      </c>
      <c r="E14928" s="2">
        <v>3454827</v>
      </c>
      <c r="F14928" s="4" t="str">
        <f>IF(B14928=B14927,"",B14928)</f>
        <v>Paty do Alferes</v>
      </c>
    </row>
    <row r="14929" spans="1:6" ht="15.75" customHeight="1">
      <c r="A14929" s="8" t="str">
        <f ca="1">IFERROR(__xludf.DUMMYFUNCTION("GOOGLETRANSLATE(B24735,""en"",""pt"")"),"Paty Do Alferres")</f>
        <v>Paty Do Alferres</v>
      </c>
      <c r="B14929" s="9" t="s">
        <v>3060</v>
      </c>
      <c r="C14929" s="9" t="s">
        <v>1905</v>
      </c>
      <c r="D14929" s="9" t="s">
        <v>1978</v>
      </c>
      <c r="E14929" s="10">
        <v>3454827</v>
      </c>
      <c r="F14929" s="4" t="str">
        <f>IF(B14929=B14928,"",B14929)</f>
        <v/>
      </c>
    </row>
    <row r="14930" spans="1:6" ht="15.75" customHeight="1">
      <c r="A14930" s="15" t="s">
        <v>20957</v>
      </c>
      <c r="B14930" s="15" t="s">
        <v>20957</v>
      </c>
      <c r="C14930" s="15" t="s">
        <v>20598</v>
      </c>
      <c r="D14930" s="15" t="s">
        <v>20608</v>
      </c>
      <c r="E14930" s="2">
        <v>1694290</v>
      </c>
      <c r="F14930" s="4" t="str">
        <f>IF(B14930=B14929,"",B14930)</f>
        <v>Patuto</v>
      </c>
    </row>
    <row r="14931" spans="1:6" ht="15.75" customHeight="1">
      <c r="A14931" s="8" t="str">
        <f ca="1">IFERROR(__xludf.DUMMYFUNCTION("GOOGLETRANSLATE(B38556,""en"",""pt"")"),"Patuto")</f>
        <v>Patuto</v>
      </c>
      <c r="B14931" s="9" t="s">
        <v>20957</v>
      </c>
      <c r="C14931" s="9" t="s">
        <v>20598</v>
      </c>
      <c r="D14931" s="9" t="s">
        <v>20608</v>
      </c>
      <c r="E14931" s="10">
        <v>1694290</v>
      </c>
      <c r="F14931" s="4" t="str">
        <f>IF(B14931=B14930,"",B14931)</f>
        <v/>
      </c>
    </row>
    <row r="14932" spans="1:6" ht="15.75" customHeight="1">
      <c r="A14932" s="8" t="str">
        <f ca="1">IFERROR(__xludf.DUMMYFUNCTION("GOOGLETRANSLATE(B32498,""en"",""pt"")"),"Pātūr")</f>
        <v>Pātūr</v>
      </c>
      <c r="B14932" s="11" t="s">
        <v>33243</v>
      </c>
      <c r="C14932" s="11" t="s">
        <v>10178</v>
      </c>
      <c r="D14932" s="11" t="s">
        <v>10214</v>
      </c>
      <c r="E14932" s="10">
        <v>1260035</v>
      </c>
      <c r="F14932" s="4" t="str">
        <f>IF(B14932=B14931,"",B14932)</f>
        <v>Pātūr</v>
      </c>
    </row>
    <row r="14933" spans="1:6" ht="15.75" customHeight="1">
      <c r="A14933" s="16" t="s">
        <v>12835</v>
      </c>
      <c r="B14933" s="15" t="s">
        <v>12835</v>
      </c>
      <c r="C14933" s="16" t="s">
        <v>10178</v>
      </c>
      <c r="D14933" s="16" t="s">
        <v>10196</v>
      </c>
      <c r="E14933" s="2">
        <v>1260040</v>
      </c>
      <c r="F14933" s="4" t="str">
        <f>IF(B14933=B14932,"",B14933)</f>
        <v>Pattukkottai</v>
      </c>
    </row>
    <row r="14934" spans="1:6" ht="15.75" customHeight="1">
      <c r="A14934" s="8" t="str">
        <f ca="1">IFERROR(__xludf.DUMMYFUNCTION("GOOGLETRANSLATE(B32499,""en"",""pt"")"),"Pattukkottai")</f>
        <v>Pattukkottai</v>
      </c>
      <c r="B14934" s="11" t="s">
        <v>12835</v>
      </c>
      <c r="C14934" s="11" t="s">
        <v>10178</v>
      </c>
      <c r="D14934" s="11" t="s">
        <v>10196</v>
      </c>
      <c r="E14934" s="10">
        <v>1260040</v>
      </c>
      <c r="F14934" s="4" t="str">
        <f>IF(B14934=B14933,"",B14934)</f>
        <v/>
      </c>
    </row>
    <row r="14935" spans="1:6" ht="15.75" customHeight="1">
      <c r="A14935" s="15" t="s">
        <v>20161</v>
      </c>
      <c r="B14935" s="15" t="s">
        <v>20161</v>
      </c>
      <c r="C14935" s="15" t="s">
        <v>19808</v>
      </c>
      <c r="D14935" s="15" t="s">
        <v>10184</v>
      </c>
      <c r="E14935" s="2">
        <v>1168226</v>
      </c>
      <c r="F14935" s="4" t="str">
        <f>IF(B14935=B14934,"",B14935)</f>
        <v>Pattoki</v>
      </c>
    </row>
    <row r="14936" spans="1:6" ht="15.75" customHeight="1">
      <c r="A14936" s="8" t="str">
        <f ca="1">IFERROR(__xludf.DUMMYFUNCTION("GOOGLETRANSLATE(B38953,""en"",""pt"")"),"Pattoki")</f>
        <v>Pattoki</v>
      </c>
      <c r="B14936" s="9" t="s">
        <v>20161</v>
      </c>
      <c r="C14936" s="9" t="s">
        <v>19808</v>
      </c>
      <c r="D14936" s="9" t="s">
        <v>10184</v>
      </c>
      <c r="E14936" s="10">
        <v>1168226</v>
      </c>
      <c r="F14936" s="4" t="str">
        <f>IF(B14936=B14935,"",B14936)</f>
        <v/>
      </c>
    </row>
    <row r="14937" spans="1:6" ht="15.75" customHeight="1">
      <c r="A14937" s="15" t="s">
        <v>12834</v>
      </c>
      <c r="B14937" s="15" t="s">
        <v>12834</v>
      </c>
      <c r="C14937" s="15" t="s">
        <v>10178</v>
      </c>
      <c r="D14937" s="15" t="s">
        <v>10184</v>
      </c>
      <c r="E14937" s="2">
        <v>1260045</v>
      </c>
      <c r="F14937" s="4" t="str">
        <f>IF(B14937=B14936,"",B14937)</f>
        <v>Patti</v>
      </c>
    </row>
    <row r="14938" spans="1:6" ht="15.75" customHeight="1">
      <c r="A14938" s="8" t="str">
        <f ca="1">IFERROR(__xludf.DUMMYFUNCTION("GOOGLETRANSLATE(B32500,""en"",""pt"")"),"Patti")</f>
        <v>Patti</v>
      </c>
      <c r="B14938" s="11" t="s">
        <v>12834</v>
      </c>
      <c r="C14938" s="11" t="s">
        <v>10178</v>
      </c>
      <c r="D14938" s="11" t="s">
        <v>10184</v>
      </c>
      <c r="E14938" s="10">
        <v>1260045</v>
      </c>
      <c r="F14938" s="4" t="str">
        <f>IF(B14938=B14937,"",B14938)</f>
        <v/>
      </c>
    </row>
    <row r="14939" spans="1:6" ht="15.75" customHeight="1">
      <c r="A14939" s="15" t="s">
        <v>29642</v>
      </c>
      <c r="B14939" s="15" t="s">
        <v>29642</v>
      </c>
      <c r="C14939" s="15" t="s">
        <v>27788</v>
      </c>
      <c r="D14939" s="15" t="s">
        <v>27801</v>
      </c>
      <c r="E14939" s="2">
        <v>5381515</v>
      </c>
      <c r="F14939" s="4" t="str">
        <f>IF(B14939=B14938,"",B14939)</f>
        <v>Patterson</v>
      </c>
    </row>
    <row r="14940" spans="1:6" ht="15.75" customHeight="1">
      <c r="A14940" s="8" t="str">
        <f ca="1">IFERROR(__xludf.DUMMYFUNCTION("GOOGLETRANSLATE(B44957,""en"",""pt"")"),"Patterson")</f>
        <v>Patterson</v>
      </c>
      <c r="B14940" s="11" t="s">
        <v>29642</v>
      </c>
      <c r="C14940" s="11" t="s">
        <v>27788</v>
      </c>
      <c r="D14940" s="11" t="s">
        <v>27801</v>
      </c>
      <c r="E14940" s="10">
        <v>5381515</v>
      </c>
      <c r="F14940" s="4" t="str">
        <f>IF(B14940=B14939,"",B14940)</f>
        <v/>
      </c>
    </row>
    <row r="14941" spans="1:6" ht="15.75" customHeight="1">
      <c r="A14941" s="15" t="s">
        <v>25956</v>
      </c>
      <c r="B14941" s="15" t="s">
        <v>25956</v>
      </c>
      <c r="C14941" s="15" t="s">
        <v>25771</v>
      </c>
      <c r="D14941" s="15" t="s">
        <v>25956</v>
      </c>
      <c r="E14941" s="2">
        <v>1607978</v>
      </c>
      <c r="F14941" s="4" t="str">
        <f>IF(B14941=B14940,"",B14941)</f>
        <v>Pattani</v>
      </c>
    </row>
    <row r="14942" spans="1:6" ht="15.75" customHeight="1">
      <c r="A14942" s="8" t="str">
        <f ca="1">IFERROR(__xludf.DUMMYFUNCTION("GOOGLETRANSLATE(B41640,""en"",""pt"")"),"Pattani")</f>
        <v>Pattani</v>
      </c>
      <c r="B14942" s="11" t="s">
        <v>25956</v>
      </c>
      <c r="C14942" s="11" t="s">
        <v>25771</v>
      </c>
      <c r="D14942" s="11" t="s">
        <v>25956</v>
      </c>
      <c r="E14942" s="10">
        <v>1607978</v>
      </c>
      <c r="F14942" s="4" t="str">
        <f>IF(B14942=B14941,"",B14942)</f>
        <v/>
      </c>
    </row>
    <row r="14943" spans="1:6" ht="15.75" customHeight="1">
      <c r="A14943" s="8" t="str">
        <f ca="1">IFERROR(__xludf.DUMMYFUNCTION("GOOGLETRANSLATE(B24732,""en"",""pt"")"),"Patrocínio")</f>
        <v>Patrocínio</v>
      </c>
      <c r="B14943" s="9" t="s">
        <v>31563</v>
      </c>
      <c r="C14943" s="9" t="s">
        <v>1905</v>
      </c>
      <c r="D14943" s="9" t="s">
        <v>1917</v>
      </c>
      <c r="E14943" s="10">
        <v>3454763</v>
      </c>
      <c r="F14943" s="4" t="str">
        <f>IF(B14943=B14942,"",B14943)</f>
        <v>Patrocínio</v>
      </c>
    </row>
    <row r="14944" spans="1:6" ht="15.75" customHeight="1">
      <c r="A14944" s="16" t="s">
        <v>3057</v>
      </c>
      <c r="B14944" s="15" t="s">
        <v>3058</v>
      </c>
      <c r="C14944" s="16" t="s">
        <v>1905</v>
      </c>
      <c r="D14944" s="16" t="s">
        <v>1917</v>
      </c>
      <c r="E14944" s="2">
        <v>3454763</v>
      </c>
      <c r="F14944" s="4" t="str">
        <f>IF(B14944=B14943,"",B14944)</f>
        <v>PatrocÃ­nio</v>
      </c>
    </row>
    <row r="14945" spans="1:6" ht="15.75" customHeight="1">
      <c r="A14945" s="8" t="str">
        <f ca="1">IFERROR(__xludf.DUMMYFUNCTION("GOOGLETRANSLATE(B30969,""en"",""pt"")"),"Pátra")</f>
        <v>Pátra</v>
      </c>
      <c r="B14945" s="9" t="s">
        <v>32680</v>
      </c>
      <c r="C14945" s="9" t="s">
        <v>9441</v>
      </c>
      <c r="D14945" s="9" t="s">
        <v>9459</v>
      </c>
      <c r="E14945" s="10">
        <v>255683</v>
      </c>
      <c r="F14945" s="4" t="str">
        <f>IF(B14945=B14944,"",B14945)</f>
        <v>Pátra</v>
      </c>
    </row>
    <row r="14946" spans="1:6" ht="15.75" customHeight="1">
      <c r="A14946" s="16" t="s">
        <v>142</v>
      </c>
      <c r="B14946" s="15" t="s">
        <v>143</v>
      </c>
      <c r="C14946" s="16" t="s">
        <v>113</v>
      </c>
      <c r="D14946" s="16" t="s">
        <v>120</v>
      </c>
      <c r="E14946" s="2">
        <v>3184517</v>
      </c>
      <c r="F14946" s="4" t="str">
        <f>IF(B14946=B14945,"",B14946)</f>
        <v>Patos Fshat</v>
      </c>
    </row>
    <row r="14947" spans="1:6" ht="15.75" customHeight="1">
      <c r="A14947" s="8" t="str">
        <f ca="1">IFERROR(__xludf.DUMMYFUNCTION("GOOGLETRANSLATE(B23113,""en"",""pt"")"),"Patos fshat")</f>
        <v>Patos fshat</v>
      </c>
      <c r="B14947" s="11" t="s">
        <v>143</v>
      </c>
      <c r="C14947" s="11" t="s">
        <v>113</v>
      </c>
      <c r="D14947" s="11" t="s">
        <v>120</v>
      </c>
      <c r="E14947" s="10">
        <v>3184517</v>
      </c>
      <c r="F14947" s="4" t="str">
        <f>IF(B14947=B14946,"",B14947)</f>
        <v/>
      </c>
    </row>
    <row r="14948" spans="1:6" ht="15.75" customHeight="1">
      <c r="A14948" s="16" t="s">
        <v>3056</v>
      </c>
      <c r="B14948" s="15" t="s">
        <v>3056</v>
      </c>
      <c r="C14948" s="16" t="s">
        <v>1905</v>
      </c>
      <c r="D14948" s="16" t="s">
        <v>1917</v>
      </c>
      <c r="E14948" s="2">
        <v>3454783</v>
      </c>
      <c r="F14948" s="4" t="str">
        <f>IF(B14948=B14947,"",B14948)</f>
        <v>Patos de Minas</v>
      </c>
    </row>
    <row r="14949" spans="1:6" ht="15.75" customHeight="1">
      <c r="A14949" s="8" t="str">
        <f ca="1">IFERROR(__xludf.DUMMYFUNCTION("GOOGLETRANSLATE(B24733,""en"",""pt"")"),"Patos de Minas")</f>
        <v>Patos de Minas</v>
      </c>
      <c r="B14949" s="11" t="s">
        <v>3056</v>
      </c>
      <c r="C14949" s="11" t="s">
        <v>1905</v>
      </c>
      <c r="D14949" s="11" t="s">
        <v>1917</v>
      </c>
      <c r="E14949" s="10">
        <v>3454783</v>
      </c>
      <c r="F14949" s="4" t="str">
        <f>IF(B14949=B14948,"",B14949)</f>
        <v/>
      </c>
    </row>
    <row r="14950" spans="1:6" ht="15.75" customHeight="1">
      <c r="A14950" s="15" t="s">
        <v>3055</v>
      </c>
      <c r="B14950" s="15" t="s">
        <v>3055</v>
      </c>
      <c r="C14950" s="15" t="s">
        <v>1905</v>
      </c>
      <c r="D14950" s="15" t="s">
        <v>1944</v>
      </c>
      <c r="E14950" s="2">
        <v>3392887</v>
      </c>
      <c r="F14950" s="4" t="str">
        <f>IF(B14950=B14949,"",B14950)</f>
        <v>Patos</v>
      </c>
    </row>
    <row r="14951" spans="1:6" ht="15.75" customHeight="1">
      <c r="A14951" s="8" t="str">
        <f ca="1">IFERROR(__xludf.DUMMYFUNCTION("GOOGLETRANSLATE(B24238,""en"",""pt"")"),"Patos")</f>
        <v>Patos</v>
      </c>
      <c r="B14951" s="11" t="s">
        <v>3055</v>
      </c>
      <c r="C14951" s="11" t="s">
        <v>1905</v>
      </c>
      <c r="D14951" s="11" t="s">
        <v>31343</v>
      </c>
      <c r="E14951" s="10">
        <v>3392887</v>
      </c>
      <c r="F14951" s="4" t="str">
        <f>IF(B14951=B14950,"",B14951)</f>
        <v/>
      </c>
    </row>
    <row r="14952" spans="1:6" ht="15.75" customHeight="1">
      <c r="A14952" s="16" t="s">
        <v>3054</v>
      </c>
      <c r="B14952" s="15" t="s">
        <v>3054</v>
      </c>
      <c r="C14952" s="16" t="s">
        <v>1905</v>
      </c>
      <c r="D14952" s="16" t="s">
        <v>728</v>
      </c>
      <c r="E14952" s="2">
        <v>3454818</v>
      </c>
      <c r="F14952" s="4" t="str">
        <f>IF(B14952=B14951,"",B14952)</f>
        <v>Pato Branco</v>
      </c>
    </row>
    <row r="14953" spans="1:6" ht="15.75" customHeight="1">
      <c r="A14953" s="8" t="str">
        <f ca="1">IFERROR(__xludf.DUMMYFUNCTION("GOOGLETRANSLATE(B24734,""en"",""pt"")"),"Pato Branco")</f>
        <v>Pato Branco</v>
      </c>
      <c r="B14953" s="11" t="s">
        <v>3054</v>
      </c>
      <c r="C14953" s="11" t="s">
        <v>1905</v>
      </c>
      <c r="D14953" s="11" t="s">
        <v>727</v>
      </c>
      <c r="E14953" s="10">
        <v>3454818</v>
      </c>
      <c r="F14953" s="4" t="str">
        <f>IF(B14953=B14952,"",B14953)</f>
        <v/>
      </c>
    </row>
    <row r="14954" spans="1:6" ht="15.75" customHeight="1">
      <c r="A14954" s="15" t="s">
        <v>26666</v>
      </c>
      <c r="B14954" s="15" t="s">
        <v>26666</v>
      </c>
      <c r="C14954" s="15" t="s">
        <v>26201</v>
      </c>
      <c r="D14954" s="15" t="s">
        <v>26270</v>
      </c>
      <c r="E14954" s="2">
        <v>302819</v>
      </c>
      <c r="F14954" s="4" t="str">
        <f>IF(B14954=B14953,"",B14954)</f>
        <v>Patnos</v>
      </c>
    </row>
    <row r="14955" spans="1:6" ht="15.75" customHeight="1">
      <c r="A14955" s="8" t="str">
        <f ca="1">IFERROR(__xludf.DUMMYFUNCTION("GOOGLETRANSLATE(B41919,""en"",""pt"")"),"Patnos")</f>
        <v>Patnos</v>
      </c>
      <c r="B14955" s="11" t="s">
        <v>26666</v>
      </c>
      <c r="C14955" s="11" t="s">
        <v>26201</v>
      </c>
      <c r="D14955" s="11" t="s">
        <v>35848</v>
      </c>
      <c r="E14955" s="10">
        <v>302819</v>
      </c>
      <c r="F14955" s="4" t="str">
        <f>IF(B14955=B14954,"",B14955)</f>
        <v/>
      </c>
    </row>
    <row r="14956" spans="1:6" ht="15.75" customHeight="1">
      <c r="A14956" s="8" t="str">
        <f ca="1">IFERROR(__xludf.DUMMYFUNCTION("GOOGLETRANSLATE(B32501,""en"",""pt"")"),"Patnāgarh")</f>
        <v>Patnāgarh</v>
      </c>
      <c r="B14956" s="9" t="s">
        <v>33244</v>
      </c>
      <c r="C14956" s="9" t="s">
        <v>10178</v>
      </c>
      <c r="D14956" s="9" t="s">
        <v>10229</v>
      </c>
      <c r="E14956" s="10">
        <v>1260082</v>
      </c>
      <c r="F14956" s="4" t="str">
        <f>IF(B14956=B14955,"",B14956)</f>
        <v>Patnāgarh</v>
      </c>
    </row>
    <row r="14957" spans="1:6" ht="15.75" customHeight="1">
      <c r="A14957" s="16" t="s">
        <v>12832</v>
      </c>
      <c r="B14957" s="15" t="s">
        <v>12833</v>
      </c>
      <c r="C14957" s="16" t="s">
        <v>10178</v>
      </c>
      <c r="D14957" s="16" t="s">
        <v>10229</v>
      </c>
      <c r="E14957" s="2">
        <v>1260082</v>
      </c>
      <c r="F14957" s="4" t="str">
        <f>IF(B14957=B14956,"",B14957)</f>
        <v>PatnÄgarh</v>
      </c>
    </row>
    <row r="14958" spans="1:6" ht="15.75" customHeight="1">
      <c r="A14958" s="15" t="s">
        <v>12831</v>
      </c>
      <c r="B14958" s="15" t="s">
        <v>12831</v>
      </c>
      <c r="C14958" s="15" t="s">
        <v>10178</v>
      </c>
      <c r="D14958" s="15" t="s">
        <v>10317</v>
      </c>
      <c r="E14958" s="2">
        <v>1260086</v>
      </c>
      <c r="F14958" s="4" t="str">
        <f>IF(B14958=B14957,"",B14958)</f>
        <v>Patna</v>
      </c>
    </row>
    <row r="14959" spans="1:6" ht="15.75" customHeight="1">
      <c r="A14959" s="8" t="str">
        <f ca="1">IFERROR(__xludf.DUMMYFUNCTION("GOOGLETRANSLATE(B32502,""en"",""pt"")"),"Patna")</f>
        <v>Patna</v>
      </c>
      <c r="B14959" s="11" t="s">
        <v>12831</v>
      </c>
      <c r="C14959" s="11" t="s">
        <v>10178</v>
      </c>
      <c r="D14959" s="11" t="s">
        <v>10317</v>
      </c>
      <c r="E14959" s="10">
        <v>1260086</v>
      </c>
      <c r="F14959" s="4" t="str">
        <f>IF(B14959=B14958,"",B14959)</f>
        <v/>
      </c>
    </row>
    <row r="14960" spans="1:6" ht="15.75" customHeight="1">
      <c r="A14960" s="15" t="s">
        <v>1411</v>
      </c>
      <c r="B14960" s="15" t="s">
        <v>1411</v>
      </c>
      <c r="C14960" s="15" t="s">
        <v>1296</v>
      </c>
      <c r="D14960" s="15" t="s">
        <v>1302</v>
      </c>
      <c r="E14960" s="2">
        <v>1185148</v>
      </c>
      <c r="F14960" s="4" t="str">
        <f>IF(B14960=B14959,"",B14960)</f>
        <v>Patiya</v>
      </c>
    </row>
    <row r="14961" spans="1:6" ht="15.75" customHeight="1">
      <c r="A14961" s="8" t="str">
        <f ca="1">IFERROR(__xludf.DUMMYFUNCTION("GOOGLETRANSLATE(B23710,""en"",""pt"")"),"Patiya")</f>
        <v>Patiya</v>
      </c>
      <c r="B14961" s="11" t="s">
        <v>1411</v>
      </c>
      <c r="C14961" s="11" t="s">
        <v>1296</v>
      </c>
      <c r="D14961" s="11" t="s">
        <v>1302</v>
      </c>
      <c r="E14961" s="10">
        <v>1185148</v>
      </c>
      <c r="F14961" s="4" t="str">
        <f>IF(B14961=B14960,"",B14961)</f>
        <v/>
      </c>
    </row>
    <row r="14962" spans="1:6" ht="15.75" customHeight="1">
      <c r="A14962" s="15" t="s">
        <v>19552</v>
      </c>
      <c r="B14962" s="15" t="s">
        <v>19552</v>
      </c>
      <c r="C14962" s="15" t="s">
        <v>19294</v>
      </c>
      <c r="D14962" s="15" t="s">
        <v>19355</v>
      </c>
      <c r="E14962" s="2">
        <v>2324960</v>
      </c>
      <c r="F14962" s="4" t="str">
        <f>IF(B14962=B14961,"",B14962)</f>
        <v>Patigi</v>
      </c>
    </row>
    <row r="14963" spans="1:6" ht="15.75" customHeight="1">
      <c r="A14963" s="8" t="str">
        <f ca="1">IFERROR(__xludf.DUMMYFUNCTION("GOOGLETRANSLATE(B37638,""en"",""pt"")"),"Patigi")</f>
        <v>Patigi</v>
      </c>
      <c r="B14963" s="11" t="s">
        <v>19552</v>
      </c>
      <c r="C14963" s="11" t="s">
        <v>19294</v>
      </c>
      <c r="D14963" s="11" t="s">
        <v>19355</v>
      </c>
      <c r="E14963" s="10">
        <v>2324960</v>
      </c>
      <c r="F14963" s="4" t="str">
        <f>IF(B14963=B14962,"",B14963)</f>
        <v/>
      </c>
    </row>
    <row r="14964" spans="1:6" ht="15.75" customHeight="1">
      <c r="A14964" s="8" t="str">
        <f ca="1">IFERROR(__xludf.DUMMYFUNCTION("GOOGLETRANSLATE(B32503,""en"",""pt"")"),"Patiāla")</f>
        <v>Patiāla</v>
      </c>
      <c r="B14964" s="9" t="s">
        <v>33245</v>
      </c>
      <c r="C14964" s="9" t="s">
        <v>10178</v>
      </c>
      <c r="D14964" s="9" t="s">
        <v>10184</v>
      </c>
      <c r="E14964" s="10">
        <v>1260107</v>
      </c>
      <c r="F14964" s="4" t="str">
        <f>IF(B14964=B14963,"",B14964)</f>
        <v>Patiāla</v>
      </c>
    </row>
    <row r="14965" spans="1:6" ht="15.75" customHeight="1">
      <c r="A14965" s="15" t="s">
        <v>12829</v>
      </c>
      <c r="B14965" s="15" t="s">
        <v>12830</v>
      </c>
      <c r="C14965" s="15" t="s">
        <v>10178</v>
      </c>
      <c r="D14965" s="15" t="s">
        <v>10184</v>
      </c>
      <c r="E14965" s="2">
        <v>1260107</v>
      </c>
      <c r="F14965" s="4" t="str">
        <f>IF(B14965=B14964,"",B14965)</f>
        <v>PatiÄla</v>
      </c>
    </row>
    <row r="14966" spans="1:6" ht="15.75" customHeight="1">
      <c r="A14966" s="8" t="str">
        <f ca="1">IFERROR(__xludf.DUMMYFUNCTION("GOOGLETRANSLATE(B26923,""en"",""pt"")"),"Patía")</f>
        <v>Patía</v>
      </c>
      <c r="B14966" s="9" t="s">
        <v>31859</v>
      </c>
      <c r="C14966" s="9" t="s">
        <v>5348</v>
      </c>
      <c r="D14966" s="9" t="s">
        <v>5388</v>
      </c>
      <c r="E14966" s="10">
        <v>3672761</v>
      </c>
      <c r="F14966" s="4" t="str">
        <f>IF(B14966=B14965,"",B14966)</f>
        <v>Patía</v>
      </c>
    </row>
    <row r="14967" spans="1:6" ht="15.75" customHeight="1">
      <c r="A14967" s="15" t="s">
        <v>14090</v>
      </c>
      <c r="B14967" s="15" t="s">
        <v>14090</v>
      </c>
      <c r="C14967" s="15" t="s">
        <v>13800</v>
      </c>
      <c r="D14967" s="15" t="s">
        <v>13803</v>
      </c>
      <c r="E14967" s="2">
        <v>1631992</v>
      </c>
      <c r="F14967" s="4" t="str">
        <f>IF(B14967=B14966,"",B14967)</f>
        <v>Pati</v>
      </c>
    </row>
    <row r="14968" spans="1:6" ht="15.75" customHeight="1">
      <c r="A14968" s="8" t="str">
        <f ca="1">IFERROR(__xludf.DUMMYFUNCTION("GOOGLETRANSLATE(B31498,""en"",""pt"")"),"Pati")</f>
        <v>Pati</v>
      </c>
      <c r="B14968" s="9" t="s">
        <v>14090</v>
      </c>
      <c r="C14968" s="9" t="s">
        <v>13800</v>
      </c>
      <c r="D14968" s="9" t="s">
        <v>13803</v>
      </c>
      <c r="E14968" s="10">
        <v>1631992</v>
      </c>
      <c r="F14968" s="4" t="str">
        <f>IF(B14968=B14967,"",B14968)</f>
        <v/>
      </c>
    </row>
    <row r="14969" spans="1:6" ht="15.75" customHeight="1">
      <c r="A14969" s="16" t="s">
        <v>25792</v>
      </c>
      <c r="B14969" s="15" t="s">
        <v>25792</v>
      </c>
      <c r="C14969" s="16" t="s">
        <v>25771</v>
      </c>
      <c r="D14969" s="16" t="s">
        <v>25792</v>
      </c>
      <c r="E14969" s="2">
        <v>1607983</v>
      </c>
      <c r="F14969" s="4" t="str">
        <f>IF(B14969=B14968,"",B14969)</f>
        <v>Pathum Thani</v>
      </c>
    </row>
    <row r="14970" spans="1:6" ht="15.75" customHeight="1">
      <c r="A14970" s="8" t="str">
        <f ca="1">IFERROR(__xludf.DUMMYFUNCTION("GOOGLETRANSLATE(B41641,""en"",""pt"")"),"Pathum Thani")</f>
        <v>Pathum Thani</v>
      </c>
      <c r="B14970" s="9" t="s">
        <v>25792</v>
      </c>
      <c r="C14970" s="9" t="s">
        <v>25771</v>
      </c>
      <c r="D14970" s="9" t="s">
        <v>25792</v>
      </c>
      <c r="E14970" s="10">
        <v>1607983</v>
      </c>
      <c r="F14970" s="4" t="str">
        <f>IF(B14970=B14969,"",B14970)</f>
        <v/>
      </c>
    </row>
    <row r="14971" spans="1:6" ht="15.75" customHeight="1">
      <c r="A14971" s="8" t="str">
        <f ca="1">IFERROR(__xludf.DUMMYFUNCTION("GOOGLETRANSLATE(B32504,""en"",""pt"")"),"Pāthri")</f>
        <v>Pāthri</v>
      </c>
      <c r="B14971" s="11" t="s">
        <v>33246</v>
      </c>
      <c r="C14971" s="11" t="s">
        <v>10178</v>
      </c>
      <c r="D14971" s="11" t="s">
        <v>10214</v>
      </c>
      <c r="E14971" s="10">
        <v>1260120</v>
      </c>
      <c r="F14971" s="4" t="str">
        <f>IF(B14971=B14970,"",B14971)</f>
        <v>Pāthri</v>
      </c>
    </row>
    <row r="14972" spans="1:6" ht="15.75" customHeight="1">
      <c r="A14972" s="15" t="s">
        <v>18745</v>
      </c>
      <c r="B14972" s="15" t="s">
        <v>18745</v>
      </c>
      <c r="C14972" s="15" t="s">
        <v>18696</v>
      </c>
      <c r="D14972" s="15" t="s">
        <v>18700</v>
      </c>
      <c r="E14972" s="2">
        <v>1328421</v>
      </c>
      <c r="F14972" s="4" t="str">
        <f>IF(B14972=B14971,"",B14972)</f>
        <v>Pathein</v>
      </c>
    </row>
    <row r="14973" spans="1:6" ht="15.75" customHeight="1">
      <c r="A14973" s="8" t="str">
        <f ca="1">IFERROR(__xludf.DUMMYFUNCTION("GOOGLETRANSLATE(B36759,""en"",""pt"")"),"Pathein")</f>
        <v>Pathein</v>
      </c>
      <c r="B14973" s="11" t="s">
        <v>18745</v>
      </c>
      <c r="C14973" s="11" t="s">
        <v>18696</v>
      </c>
      <c r="D14973" s="11" t="s">
        <v>18700</v>
      </c>
      <c r="E14973" s="10">
        <v>1328421</v>
      </c>
      <c r="F14973" s="4" t="str">
        <f>IF(B14973=B14972,"",B14973)</f>
        <v/>
      </c>
    </row>
    <row r="14974" spans="1:6" ht="15.75" customHeight="1">
      <c r="A14974" s="15" t="s">
        <v>12827</v>
      </c>
      <c r="B14974" s="15" t="s">
        <v>12828</v>
      </c>
      <c r="C14974" s="15" t="s">
        <v>10178</v>
      </c>
      <c r="D14974" s="15" t="s">
        <v>10219</v>
      </c>
      <c r="E14974" s="2">
        <v>1260129</v>
      </c>
      <c r="F14974" s="4" t="str">
        <f>IF(B14974=B14973,"",B14974)</f>
        <v>Patharia</v>
      </c>
    </row>
    <row r="14975" spans="1:6" ht="15.75" customHeight="1">
      <c r="A14975" s="8" t="str">
        <f ca="1">IFERROR(__xludf.DUMMYFUNCTION("GOOGLETRANSLATE(B32505,""en"",""pt"")"),"Patária")</f>
        <v>Patária</v>
      </c>
      <c r="B14975" s="11" t="s">
        <v>12828</v>
      </c>
      <c r="C14975" s="11" t="s">
        <v>10178</v>
      </c>
      <c r="D14975" s="11" t="s">
        <v>10219</v>
      </c>
      <c r="E14975" s="10">
        <v>1260129</v>
      </c>
      <c r="F14975" s="4" t="str">
        <f>IF(B14975=B14974,"",B14975)</f>
        <v/>
      </c>
    </row>
    <row r="14976" spans="1:6" ht="15.75" customHeight="1">
      <c r="A14976" s="8" t="str">
        <f ca="1">IFERROR(__xludf.DUMMYFUNCTION("GOOGLETRANSLATE(B32506,""en"",""pt"")"),"Pāthardih")</f>
        <v>Pāthardih</v>
      </c>
      <c r="B14976" s="9" t="s">
        <v>33247</v>
      </c>
      <c r="C14976" s="9" t="s">
        <v>10178</v>
      </c>
      <c r="D14976" s="9" t="s">
        <v>10430</v>
      </c>
      <c r="E14976" s="10">
        <v>1260134</v>
      </c>
      <c r="F14976" s="4" t="str">
        <f>IF(B14976=B14975,"",B14976)</f>
        <v>Pāthardih</v>
      </c>
    </row>
    <row r="14977" spans="1:6" ht="15.75" customHeight="1">
      <c r="A14977" s="8" t="str">
        <f ca="1">IFERROR(__xludf.DUMMYFUNCTION("GOOGLETRANSLATE(B32507,""en"",""pt"")"),"Pāthardi")</f>
        <v>Pāthardi</v>
      </c>
      <c r="B14977" s="9" t="s">
        <v>33248</v>
      </c>
      <c r="C14977" s="9" t="s">
        <v>10178</v>
      </c>
      <c r="D14977" s="9" t="s">
        <v>10214</v>
      </c>
      <c r="E14977" s="10">
        <v>1260135</v>
      </c>
      <c r="F14977" s="4" t="str">
        <f>IF(B14977=B14976,"",B14977)</f>
        <v>Pāthardi</v>
      </c>
    </row>
    <row r="14978" spans="1:6" ht="15.75" customHeight="1">
      <c r="A14978" s="8" t="str">
        <f ca="1">IFERROR(__xludf.DUMMYFUNCTION("GOOGLETRANSLATE(B32508,""en"",""pt"")"),"Pathānkot")</f>
        <v>Pathānkot</v>
      </c>
      <c r="B14978" s="11" t="s">
        <v>33249</v>
      </c>
      <c r="C14978" s="11" t="s">
        <v>10178</v>
      </c>
      <c r="D14978" s="11" t="s">
        <v>10184</v>
      </c>
      <c r="E14978" s="10">
        <v>1260137</v>
      </c>
      <c r="F14978" s="4" t="str">
        <f>IF(B14978=B14977,"",B14978)</f>
        <v>Pathānkot</v>
      </c>
    </row>
    <row r="14979" spans="1:6" ht="15.75" customHeight="1">
      <c r="A14979" s="8" t="str">
        <f ca="1">IFERROR(__xludf.DUMMYFUNCTION("GOOGLETRANSLATE(B32509,""en"",""pt"")"),"Pathanāmthitta")</f>
        <v>Pathanāmthitta</v>
      </c>
      <c r="B14979" s="9" t="s">
        <v>33250</v>
      </c>
      <c r="C14979" s="9" t="s">
        <v>10178</v>
      </c>
      <c r="D14979" s="9" t="s">
        <v>10246</v>
      </c>
      <c r="E14979" s="10">
        <v>1260138</v>
      </c>
      <c r="F14979" s="4" t="str">
        <f>IF(B14979=B14978,"",B14979)</f>
        <v>Pathanāmthitta</v>
      </c>
    </row>
    <row r="14980" spans="1:6" ht="15.75" customHeight="1">
      <c r="A14980" s="16" t="s">
        <v>12825</v>
      </c>
      <c r="B14980" s="15" t="s">
        <v>12826</v>
      </c>
      <c r="C14980" s="16" t="s">
        <v>10178</v>
      </c>
      <c r="D14980" s="16" t="s">
        <v>10246</v>
      </c>
      <c r="E14980" s="2">
        <v>1260138</v>
      </c>
      <c r="F14980" s="4" t="str">
        <f>IF(B14980=B14979,"",B14980)</f>
        <v>PathanÄmthitta</v>
      </c>
    </row>
    <row r="14981" spans="1:6" ht="15.75" customHeight="1">
      <c r="A14981" s="16" t="s">
        <v>12824</v>
      </c>
      <c r="B14981" s="15" t="s">
        <v>12824</v>
      </c>
      <c r="C14981" s="16" t="s">
        <v>10178</v>
      </c>
      <c r="D14981" s="16" t="s">
        <v>10272</v>
      </c>
      <c r="E14981" s="2">
        <v>1260141</v>
      </c>
      <c r="F14981" s="4" t="str">
        <f>IF(B14981=B14980,"",B14981)</f>
        <v>Pathalgaon</v>
      </c>
    </row>
    <row r="14982" spans="1:6" ht="15.75" customHeight="1">
      <c r="A14982" s="8" t="str">
        <f ca="1">IFERROR(__xludf.DUMMYFUNCTION("GOOGLETRANSLATE(B32510,""en"",""pt"")"),"Pathalgaon")</f>
        <v>Pathalgaon</v>
      </c>
      <c r="B14982" s="9" t="s">
        <v>12824</v>
      </c>
      <c r="C14982" s="9" t="s">
        <v>10178</v>
      </c>
      <c r="D14982" s="9" t="s">
        <v>10272</v>
      </c>
      <c r="E14982" s="10">
        <v>1260141</v>
      </c>
      <c r="F14982" s="4" t="str">
        <f>IF(B14982=B14981,"",B14982)</f>
        <v/>
      </c>
    </row>
    <row r="14983" spans="1:6" ht="15.75" customHeight="1">
      <c r="A14983" s="16" t="s">
        <v>12822</v>
      </c>
      <c r="B14983" s="15" t="s">
        <v>12823</v>
      </c>
      <c r="C14983" s="16" t="s">
        <v>10178</v>
      </c>
      <c r="D14983" s="16" t="s">
        <v>10184</v>
      </c>
      <c r="E14983" s="2">
        <v>1260137</v>
      </c>
      <c r="F14983" s="4" t="str">
        <f>IF(B14983=B14982,"",B14983)</f>
        <v>PathÄnkot</v>
      </c>
    </row>
    <row r="14984" spans="1:6" ht="15.75" customHeight="1">
      <c r="A14984" s="15" t="s">
        <v>29641</v>
      </c>
      <c r="B14984" s="15" t="s">
        <v>29641</v>
      </c>
      <c r="C14984" s="15" t="s">
        <v>27788</v>
      </c>
      <c r="D14984" s="15" t="s">
        <v>27905</v>
      </c>
      <c r="E14984" s="2">
        <v>5102466</v>
      </c>
      <c r="F14984" s="4" t="str">
        <f>IF(B14984=B14983,"",B14984)</f>
        <v>Paterson</v>
      </c>
    </row>
    <row r="14985" spans="1:6" ht="15.75" customHeight="1">
      <c r="A14985" s="8" t="str">
        <f ca="1">IFERROR(__xludf.DUMMYFUNCTION("GOOGLETRANSLATE(B44298,""en"",""pt"")"),"Paterson")</f>
        <v>Paterson</v>
      </c>
      <c r="B14985" s="11" t="s">
        <v>29641</v>
      </c>
      <c r="C14985" s="11" t="s">
        <v>27788</v>
      </c>
      <c r="D14985" s="11" t="s">
        <v>27905</v>
      </c>
      <c r="E14985" s="10">
        <v>5102466</v>
      </c>
      <c r="F14985" s="4" t="str">
        <f>IF(B14985=B14984,"",B14985)</f>
        <v/>
      </c>
    </row>
    <row r="14986" spans="1:6" ht="15.75" customHeight="1">
      <c r="A14986" s="8" t="str">
        <f ca="1">IFERROR(__xludf.DUMMYFUNCTION("GOOGLETRANSLATE(B34565,""en"",""pt"")"),"Paternò")</f>
        <v>Paternò</v>
      </c>
      <c r="B14986" s="9" t="s">
        <v>34266</v>
      </c>
      <c r="C14986" s="9" t="s">
        <v>14891</v>
      </c>
      <c r="D14986" s="9" t="s">
        <v>14899</v>
      </c>
      <c r="E14986" s="10">
        <v>2523866</v>
      </c>
      <c r="F14986" s="4" t="str">
        <f>IF(B14986=B14985,"",B14986)</f>
        <v>Paternò</v>
      </c>
    </row>
    <row r="14987" spans="1:6" ht="15.75" customHeight="1">
      <c r="A14987" s="15" t="s">
        <v>15356</v>
      </c>
      <c r="B14987" s="15" t="s">
        <v>15357</v>
      </c>
      <c r="C14987" s="15" t="s">
        <v>14891</v>
      </c>
      <c r="D14987" s="15" t="s">
        <v>14899</v>
      </c>
      <c r="E14987" s="2">
        <v>2523866</v>
      </c>
      <c r="F14987" s="4" t="str">
        <f>IF(B14987=B14986,"",B14987)</f>
        <v>PaternÃ²</v>
      </c>
    </row>
    <row r="14988" spans="1:6" ht="15.75" customHeight="1">
      <c r="A14988" s="15" t="s">
        <v>24687</v>
      </c>
      <c r="B14988" s="15" t="s">
        <v>24687</v>
      </c>
      <c r="C14988" s="15" t="s">
        <v>24200</v>
      </c>
      <c r="D14988" s="15" t="s">
        <v>21053</v>
      </c>
      <c r="E14988" s="2">
        <v>2512862</v>
      </c>
      <c r="F14988" s="4" t="str">
        <f>IF(B14988=B14987,"",B14988)</f>
        <v>Paterna</v>
      </c>
    </row>
    <row r="14989" spans="1:6" ht="15.75" customHeight="1">
      <c r="A14989" s="8" t="str">
        <f ca="1">IFERROR(__xludf.DUMMYFUNCTION("GOOGLETRANSLATE(B29028,""en"",""pt"")"),"Paterna")</f>
        <v>Paterna</v>
      </c>
      <c r="B14989" s="11" t="s">
        <v>24687</v>
      </c>
      <c r="C14989" s="11" t="s">
        <v>24200</v>
      </c>
      <c r="D14989" s="11" t="s">
        <v>21053</v>
      </c>
      <c r="E14989" s="10">
        <v>2512862</v>
      </c>
      <c r="F14989" s="4" t="str">
        <f>IF(B14989=B14988,"",B14989)</f>
        <v/>
      </c>
    </row>
    <row r="14990" spans="1:6" ht="15.75" customHeight="1">
      <c r="A14990" s="15" t="s">
        <v>12821</v>
      </c>
      <c r="B14990" s="15" t="s">
        <v>12821</v>
      </c>
      <c r="C14990" s="15" t="s">
        <v>10178</v>
      </c>
      <c r="D14990" s="15" t="s">
        <v>10224</v>
      </c>
      <c r="E14990" s="2">
        <v>1260156</v>
      </c>
      <c r="F14990" s="4" t="str">
        <f>IF(B14990=B14989,"",B14990)</f>
        <v>Pataudi</v>
      </c>
    </row>
    <row r="14991" spans="1:6" ht="15.75" customHeight="1">
      <c r="A14991" s="8" t="str">
        <f ca="1">IFERROR(__xludf.DUMMYFUNCTION("GOOGLETRANSLATE(B32511,""en"",""pt"")"),"Pataudi")</f>
        <v>Pataudi</v>
      </c>
      <c r="B14991" s="11" t="s">
        <v>12821</v>
      </c>
      <c r="C14991" s="11" t="s">
        <v>10178</v>
      </c>
      <c r="D14991" s="11" t="s">
        <v>10224</v>
      </c>
      <c r="E14991" s="10">
        <v>1260156</v>
      </c>
      <c r="F14991" s="4" t="str">
        <f>IF(B14991=B14990,"",B14991)</f>
        <v/>
      </c>
    </row>
    <row r="14992" spans="1:6" ht="15.75" customHeight="1">
      <c r="A14992" s="15" t="s">
        <v>5692</v>
      </c>
      <c r="B14992" s="15" t="s">
        <v>5693</v>
      </c>
      <c r="C14992" s="15" t="s">
        <v>5665</v>
      </c>
      <c r="D14992" s="15" t="s">
        <v>5668</v>
      </c>
      <c r="E14992" s="2">
        <v>3622507</v>
      </c>
      <c r="F14992" s="4" t="str">
        <f>IF(B14992=B14991,"",B14992)</f>
        <v>PatarrÃ¡</v>
      </c>
    </row>
    <row r="14993" spans="1:6" ht="15.75" customHeight="1">
      <c r="A14993" s="8" t="str">
        <f ca="1">IFERROR(__xludf.DUMMYFUNCTION("GOOGLETRANSLATE(B27083,""en"",""pt"")"),"Patarra")</f>
        <v>Patarra</v>
      </c>
      <c r="B14993" s="9" t="s">
        <v>31896</v>
      </c>
      <c r="C14993" s="9" t="s">
        <v>5665</v>
      </c>
      <c r="D14993" s="9" t="s">
        <v>5697</v>
      </c>
      <c r="E14993" s="10">
        <v>3622507</v>
      </c>
      <c r="F14993" s="4" t="str">
        <f>IF(B14993=B14992,"",B14993)</f>
        <v>Patarrá</v>
      </c>
    </row>
    <row r="14994" spans="1:6" ht="15.75" customHeight="1">
      <c r="A14994" s="16" t="s">
        <v>12820</v>
      </c>
      <c r="B14994" s="15" t="s">
        <v>12820</v>
      </c>
      <c r="C14994" s="16" t="s">
        <v>10178</v>
      </c>
      <c r="D14994" s="16" t="s">
        <v>10187</v>
      </c>
      <c r="E14994" s="2">
        <v>1260168</v>
      </c>
      <c r="F14994" s="4" t="str">
        <f>IF(B14994=B14993,"",B14994)</f>
        <v>Patancheru</v>
      </c>
    </row>
    <row r="14995" spans="1:6" ht="15.75" customHeight="1">
      <c r="A14995" s="8" t="str">
        <f ca="1">IFERROR(__xludf.DUMMYFUNCTION("GOOGLETRANSLATE(B32512,""en"",""pt"")"),"Patancheru")</f>
        <v>Patancheru</v>
      </c>
      <c r="B14995" s="9" t="s">
        <v>12820</v>
      </c>
      <c r="C14995" s="9" t="s">
        <v>10178</v>
      </c>
      <c r="D14995" s="9" t="s">
        <v>10187</v>
      </c>
      <c r="E14995" s="10">
        <v>1260168</v>
      </c>
      <c r="F14995" s="4" t="str">
        <f>IF(B14995=B14994,"",B14995)</f>
        <v/>
      </c>
    </row>
    <row r="14996" spans="1:6" ht="15.75" customHeight="1">
      <c r="A14996" s="8" t="str">
        <f ca="1">IFERROR(__xludf.DUMMYFUNCTION("GOOGLETRANSLATE(B32513,""en"",""pt"")"),"Pātan")</f>
        <v>Pātan</v>
      </c>
      <c r="B14996" s="11" t="s">
        <v>33251</v>
      </c>
      <c r="C14996" s="11" t="s">
        <v>10178</v>
      </c>
      <c r="D14996" s="11" t="s">
        <v>10209</v>
      </c>
      <c r="E14996" s="10">
        <v>1260173</v>
      </c>
      <c r="F14996" s="4" t="str">
        <f>IF(B14996=B14995,"",B14996)</f>
        <v>Pātan</v>
      </c>
    </row>
    <row r="14997" spans="1:6" ht="15.75" customHeight="1">
      <c r="A14997" s="8" t="str">
        <f ca="1">IFERROR(__xludf.DUMMYFUNCTION("GOOGLETRANSLATE(B38183,""en"",""pt"")"),"Pātan")</f>
        <v>Pātan</v>
      </c>
      <c r="B14997" s="9" t="s">
        <v>33251</v>
      </c>
      <c r="C14997" s="9" t="s">
        <v>18800</v>
      </c>
      <c r="D14997" s="9" t="s">
        <v>17414</v>
      </c>
      <c r="E14997" s="10">
        <v>1282931</v>
      </c>
      <c r="F14997" s="4" t="str">
        <f>IF(B14997=B14996,"",B14997)</f>
        <v/>
      </c>
    </row>
    <row r="14998" spans="1:6" ht="15.75" customHeight="1">
      <c r="A14998" s="8" t="str">
        <f ca="1">IFERROR(__xludf.DUMMYFUNCTION("GOOGLETRANSLATE(B32514,""en"",""pt"")"),"Patāmundai")</f>
        <v>Patāmundai</v>
      </c>
      <c r="B14998" s="11" t="s">
        <v>33252</v>
      </c>
      <c r="C14998" s="11" t="s">
        <v>10178</v>
      </c>
      <c r="D14998" s="11" t="s">
        <v>10229</v>
      </c>
      <c r="E14998" s="10">
        <v>1260178</v>
      </c>
      <c r="F14998" s="4" t="str">
        <f>IF(B14998=B14997,"",B14998)</f>
        <v>Patāmundai</v>
      </c>
    </row>
    <row r="14999" spans="1:6" ht="15.75" customHeight="1">
      <c r="A14999" s="15" t="s">
        <v>5547</v>
      </c>
      <c r="B14999" s="15" t="s">
        <v>5548</v>
      </c>
      <c r="C14999" s="15" t="s">
        <v>5348</v>
      </c>
      <c r="D14999" s="15" t="s">
        <v>5388</v>
      </c>
      <c r="E14999" s="2">
        <v>3672761</v>
      </c>
      <c r="F14999" s="4" t="str">
        <f>IF(B14999=B14998,"",B14999)</f>
        <v>PatÃ­a</v>
      </c>
    </row>
    <row r="15000" spans="1:6" ht="15.75" customHeight="1">
      <c r="A15000" s="16" t="s">
        <v>12818</v>
      </c>
      <c r="B15000" s="15" t="s">
        <v>12819</v>
      </c>
      <c r="C15000" s="16" t="s">
        <v>10178</v>
      </c>
      <c r="D15000" s="16" t="s">
        <v>10229</v>
      </c>
      <c r="E15000" s="2">
        <v>1260178</v>
      </c>
      <c r="F15000" s="4" t="str">
        <f>IF(B15000=B14999,"",B15000)</f>
        <v>PatÄmundai</v>
      </c>
    </row>
    <row r="15001" spans="1:6" ht="15.75" customHeight="1">
      <c r="A15001" s="15" t="s">
        <v>14089</v>
      </c>
      <c r="B15001" s="15" t="s">
        <v>14089</v>
      </c>
      <c r="C15001" s="15" t="s">
        <v>13800</v>
      </c>
      <c r="D15001" s="15" t="s">
        <v>13816</v>
      </c>
      <c r="E15001" s="2">
        <v>1632033</v>
      </c>
      <c r="F15001" s="4" t="str">
        <f>IF(B15001=B15000,"",B15001)</f>
        <v>Pasuruan</v>
      </c>
    </row>
    <row r="15002" spans="1:6" ht="15.75" customHeight="1">
      <c r="A15002" s="8" t="str">
        <f ca="1">IFERROR(__xludf.DUMMYFUNCTION("GOOGLETRANSLATE(B31499,""en"",""pt"")"),"Pasuruan")</f>
        <v>Pasuruan</v>
      </c>
      <c r="B15002" s="11" t="s">
        <v>14089</v>
      </c>
      <c r="C15002" s="11" t="s">
        <v>13800</v>
      </c>
      <c r="D15002" s="11" t="s">
        <v>13816</v>
      </c>
      <c r="E15002" s="10">
        <v>1632033</v>
      </c>
      <c r="F15002" s="4" t="str">
        <f>IF(B15002=B15001,"",B15002)</f>
        <v/>
      </c>
    </row>
    <row r="15003" spans="1:6" ht="15.75" customHeight="1">
      <c r="A15003" s="15" t="s">
        <v>5546</v>
      </c>
      <c r="B15003" s="15" t="s">
        <v>5546</v>
      </c>
      <c r="C15003" s="15" t="s">
        <v>5348</v>
      </c>
      <c r="D15003" s="15" t="s">
        <v>5454</v>
      </c>
      <c r="E15003" s="2">
        <v>3672778</v>
      </c>
      <c r="F15003" s="4" t="str">
        <f>IF(B15003=B15002,"",B15003)</f>
        <v>Pasto</v>
      </c>
    </row>
    <row r="15004" spans="1:6" ht="15.75" customHeight="1">
      <c r="A15004" s="8" t="str">
        <f ca="1">IFERROR(__xludf.DUMMYFUNCTION("GOOGLETRANSLATE(B26924,""en"",""pt"")"),"Pasto")</f>
        <v>Pasto</v>
      </c>
      <c r="B15004" s="11" t="s">
        <v>5546</v>
      </c>
      <c r="C15004" s="11" t="s">
        <v>5348</v>
      </c>
      <c r="D15004" s="11" t="s">
        <v>31838</v>
      </c>
      <c r="E15004" s="10">
        <v>3672778</v>
      </c>
      <c r="F15004" s="4" t="str">
        <f>IF(B15004=B15003,"",B15004)</f>
        <v/>
      </c>
    </row>
    <row r="15005" spans="1:6" ht="15.75" customHeight="1">
      <c r="A15005" s="15" t="s">
        <v>1493</v>
      </c>
      <c r="B15005" s="15" t="s">
        <v>1493</v>
      </c>
      <c r="C15005" s="15" t="s">
        <v>1453</v>
      </c>
      <c r="D15005" s="15" t="s">
        <v>1465</v>
      </c>
      <c r="E15005" s="2">
        <v>623760</v>
      </c>
      <c r="F15005" s="4" t="str">
        <f>IF(B15005=B15004,"",B15005)</f>
        <v>Pastavy</v>
      </c>
    </row>
    <row r="15006" spans="1:6" ht="15.75" customHeight="1">
      <c r="A15006" s="8" t="str">
        <f ca="1">IFERROR(__xludf.DUMMYFUNCTION("GOOGLETRANSLATE(B25385,""en"",""pt"")"),"Pastavy")</f>
        <v>Pastavy</v>
      </c>
      <c r="B15006" s="11" t="s">
        <v>1493</v>
      </c>
      <c r="C15006" s="11" t="s">
        <v>1453</v>
      </c>
      <c r="D15006" s="11" t="s">
        <v>1465</v>
      </c>
      <c r="E15006" s="10">
        <v>623760</v>
      </c>
      <c r="F15006" s="4" t="str">
        <f>IF(B15006=B15005,"",B15006)</f>
        <v/>
      </c>
    </row>
    <row r="15007" spans="1:6" ht="15.75" customHeight="1">
      <c r="A15007" s="15" t="s">
        <v>3053</v>
      </c>
      <c r="B15007" s="15" t="s">
        <v>3053</v>
      </c>
      <c r="C15007" s="15" t="s">
        <v>1905</v>
      </c>
      <c r="D15007" s="15" t="s">
        <v>1917</v>
      </c>
      <c r="E15007" s="2">
        <v>3454847</v>
      </c>
      <c r="F15007" s="4" t="str">
        <f>IF(B15007=B15006,"",B15007)</f>
        <v>Passos</v>
      </c>
    </row>
    <row r="15008" spans="1:6" ht="15.75" customHeight="1">
      <c r="A15008" s="8" t="str">
        <f ca="1">IFERROR(__xludf.DUMMYFUNCTION("GOOGLETRANSLATE(B24736,""en"",""pt"")"),"Passos")</f>
        <v>Passos</v>
      </c>
      <c r="B15008" s="9" t="s">
        <v>3053</v>
      </c>
      <c r="C15008" s="9" t="s">
        <v>1905</v>
      </c>
      <c r="D15008" s="9" t="s">
        <v>1917</v>
      </c>
      <c r="E15008" s="10">
        <v>3454847</v>
      </c>
      <c r="F15008" s="4" t="str">
        <f>IF(B15008=B15007,"",B15008)</f>
        <v/>
      </c>
    </row>
    <row r="15009" spans="1:6" ht="15.75" customHeight="1">
      <c r="A15009" s="16" t="s">
        <v>3052</v>
      </c>
      <c r="B15009" s="15" t="s">
        <v>3052</v>
      </c>
      <c r="C15009" s="16" t="s">
        <v>1905</v>
      </c>
      <c r="D15009" s="16" t="s">
        <v>1951</v>
      </c>
      <c r="E15009" s="2">
        <v>3454857</v>
      </c>
      <c r="F15009" s="4" t="str">
        <f>IF(B15009=B15008,"",B15009)</f>
        <v>Passo Fundo</v>
      </c>
    </row>
    <row r="15010" spans="1:6" ht="15.75" customHeight="1">
      <c r="A15010" s="8" t="str">
        <f ca="1">IFERROR(__xludf.DUMMYFUNCTION("GOOGLETRANSLATE(B24737,""en"",""pt"")"),"Passo Fundo")</f>
        <v>Passo Fundo</v>
      </c>
      <c r="B15010" s="9" t="s">
        <v>3052</v>
      </c>
      <c r="C15010" s="9" t="s">
        <v>1905</v>
      </c>
      <c r="D15010" s="9" t="s">
        <v>1951</v>
      </c>
      <c r="E15010" s="10">
        <v>3454857</v>
      </c>
      <c r="F15010" s="4" t="str">
        <f>IF(B15010=B15009,"",B15010)</f>
        <v/>
      </c>
    </row>
    <row r="15011" spans="1:6" ht="15.75" customHeight="1">
      <c r="A15011" s="15" t="s">
        <v>20956</v>
      </c>
      <c r="B15011" s="15" t="s">
        <v>20956</v>
      </c>
      <c r="C15011" s="15" t="s">
        <v>20598</v>
      </c>
      <c r="D15011" s="15" t="s">
        <v>20627</v>
      </c>
      <c r="E15011" s="2">
        <v>1694498</v>
      </c>
      <c r="F15011" s="4" t="str">
        <f>IF(B15011=B15010,"",B15011)</f>
        <v>Passi</v>
      </c>
    </row>
    <row r="15012" spans="1:6" ht="15.75" customHeight="1">
      <c r="A15012" s="8" t="str">
        <f ca="1">IFERROR(__xludf.DUMMYFUNCTION("GOOGLETRANSLATE(B38557,""en"",""pt"")"),"Passi")</f>
        <v>Passi</v>
      </c>
      <c r="B15012" s="9" t="s">
        <v>20956</v>
      </c>
      <c r="C15012" s="9" t="s">
        <v>20598</v>
      </c>
      <c r="D15012" s="9" t="s">
        <v>20627</v>
      </c>
      <c r="E15012" s="10">
        <v>1694498</v>
      </c>
      <c r="F15012" s="4" t="str">
        <f>IF(B15012=B15011,"",B15012)</f>
        <v/>
      </c>
    </row>
    <row r="15013" spans="1:6" ht="15.75" customHeight="1">
      <c r="A15013" s="15" t="s">
        <v>8988</v>
      </c>
      <c r="B15013" s="15" t="s">
        <v>8988</v>
      </c>
      <c r="C15013" s="15" t="s">
        <v>8028</v>
      </c>
      <c r="D15013" s="15" t="s">
        <v>8044</v>
      </c>
      <c r="E15013" s="2">
        <v>2855328</v>
      </c>
      <c r="F15013" s="4" t="str">
        <f>IF(B15013=B15012,"",B15013)</f>
        <v>Passau</v>
      </c>
    </row>
    <row r="15014" spans="1:6" ht="15.75" customHeight="1">
      <c r="A15014" s="8" t="str">
        <f ca="1">IFERROR(__xludf.DUMMYFUNCTION("GOOGLETRANSLATE(B27654,""en"",""pt"")"),"Passau")</f>
        <v>Passau</v>
      </c>
      <c r="B15014" s="9" t="s">
        <v>8988</v>
      </c>
      <c r="C15014" s="9" t="s">
        <v>8028</v>
      </c>
      <c r="D15014" s="9" t="s">
        <v>8044</v>
      </c>
      <c r="E15014" s="10">
        <v>2855328</v>
      </c>
      <c r="F15014" s="4" t="str">
        <f>IF(B15014=B15013,"",B15014)</f>
        <v/>
      </c>
    </row>
    <row r="15015" spans="1:6" ht="15.75" customHeight="1">
      <c r="A15015" s="15" t="s">
        <v>29640</v>
      </c>
      <c r="B15015" s="15" t="s">
        <v>29640</v>
      </c>
      <c r="C15015" s="15" t="s">
        <v>27788</v>
      </c>
      <c r="D15015" s="15" t="s">
        <v>27905</v>
      </c>
      <c r="E15015" s="2">
        <v>5102443</v>
      </c>
      <c r="F15015" s="4" t="str">
        <f>IF(B15015=B15014,"",B15015)</f>
        <v>Passaic</v>
      </c>
    </row>
    <row r="15016" spans="1:6" ht="15.75" customHeight="1">
      <c r="A15016" s="8" t="str">
        <f ca="1">IFERROR(__xludf.DUMMYFUNCTION("GOOGLETRANSLATE(B44297,""en"",""pt"")"),"Passaic")</f>
        <v>Passaic</v>
      </c>
      <c r="B15016" s="9" t="s">
        <v>29640</v>
      </c>
      <c r="C15016" s="9" t="s">
        <v>27788</v>
      </c>
      <c r="D15016" s="9" t="s">
        <v>27905</v>
      </c>
      <c r="E15016" s="10">
        <v>5102443</v>
      </c>
      <c r="F15016" s="4" t="str">
        <f>IF(B15016=B15015,"",B15016)</f>
        <v/>
      </c>
    </row>
    <row r="15017" spans="1:6" ht="15.75" customHeight="1">
      <c r="A15017" s="8" t="str">
        <f ca="1">IFERROR(__xludf.DUMMYFUNCTION("GOOGLETRANSLATE(B38954,""en"",""pt"")"),"Pasrūr")</f>
        <v>Pasrūr</v>
      </c>
      <c r="B15017" s="9" t="s">
        <v>34935</v>
      </c>
      <c r="C15017" s="9" t="s">
        <v>19808</v>
      </c>
      <c r="D15017" s="9" t="s">
        <v>10184</v>
      </c>
      <c r="E15017" s="10">
        <v>1168307</v>
      </c>
      <c r="F15017" s="4" t="str">
        <f>IF(B15017=B15016,"",B15017)</f>
        <v>Pasrūr</v>
      </c>
    </row>
    <row r="15018" spans="1:6" ht="15.75" customHeight="1">
      <c r="A15018" s="16" t="s">
        <v>14493</v>
      </c>
      <c r="B15018" s="15" t="s">
        <v>14494</v>
      </c>
      <c r="C15018" s="16" t="s">
        <v>14240</v>
      </c>
      <c r="D15018" s="16" t="s">
        <v>14261</v>
      </c>
      <c r="E15018" s="2">
        <v>10630176</v>
      </c>
      <c r="F15018" s="4" t="str">
        <f>IF(B15018=B15017,"",B15018)</f>
        <v>Pasragad Branch</v>
      </c>
    </row>
    <row r="15019" spans="1:6" ht="15.75" customHeight="1">
      <c r="A15019" s="8" t="str">
        <f ca="1">IFERROR(__xludf.DUMMYFUNCTION("GOOGLETRANSLATE(B34534,""en"",""pt"")"),"Filial de Pasragad")</f>
        <v>Filial de Pasragad</v>
      </c>
      <c r="B15019" s="11" t="s">
        <v>14494</v>
      </c>
      <c r="C15019" s="11" t="s">
        <v>14240</v>
      </c>
      <c r="D15019" s="11" t="s">
        <v>34118</v>
      </c>
      <c r="E15019" s="10">
        <v>10630176</v>
      </c>
      <c r="F15019" s="4" t="str">
        <f>IF(B15019=B15018,"",B15019)</f>
        <v/>
      </c>
    </row>
    <row r="15020" spans="1:6" ht="15.75" customHeight="1">
      <c r="A15020" s="15" t="s">
        <v>20159</v>
      </c>
      <c r="B15020" s="15" t="s">
        <v>20160</v>
      </c>
      <c r="C15020" s="15" t="s">
        <v>19808</v>
      </c>
      <c r="D15020" s="15" t="s">
        <v>10184</v>
      </c>
      <c r="E15020" s="2">
        <v>1168307</v>
      </c>
      <c r="F15020" s="4" t="str">
        <f>IF(B15020=B15019,"",B15020)</f>
        <v>PasrÅ«r</v>
      </c>
    </row>
    <row r="15021" spans="1:6" ht="15.75" customHeight="1">
      <c r="A15021" s="16" t="s">
        <v>29639</v>
      </c>
      <c r="B15021" s="15" t="s">
        <v>29639</v>
      </c>
      <c r="C15021" s="16" t="s">
        <v>27788</v>
      </c>
      <c r="D15021" s="16" t="s">
        <v>27801</v>
      </c>
      <c r="E15021" s="2">
        <v>5381438</v>
      </c>
      <c r="F15021" s="4" t="str">
        <f>IF(B15021=B15020,"",B15021)</f>
        <v>Paso Robles</v>
      </c>
    </row>
    <row r="15022" spans="1:6" ht="15.75" customHeight="1">
      <c r="A15022" s="8" t="str">
        <f ca="1">IFERROR(__xludf.DUMMYFUNCTION("GOOGLETRANSLATE(B44956,""en"",""pt"")"),"Paso Robles")</f>
        <v>Paso Robles</v>
      </c>
      <c r="B15022" s="9" t="s">
        <v>29639</v>
      </c>
      <c r="C15022" s="9" t="s">
        <v>27788</v>
      </c>
      <c r="D15022" s="9" t="s">
        <v>27801</v>
      </c>
      <c r="E15022" s="10">
        <v>5381438</v>
      </c>
      <c r="F15022" s="4" t="str">
        <f>IF(B15022=B15021,"",B15022)</f>
        <v/>
      </c>
    </row>
    <row r="15023" spans="1:6" ht="15.75" customHeight="1">
      <c r="A15023" s="16" t="s">
        <v>729</v>
      </c>
      <c r="B15023" s="15" t="s">
        <v>730</v>
      </c>
      <c r="C15023" s="16" t="s">
        <v>558</v>
      </c>
      <c r="D15023" s="16" t="s">
        <v>629</v>
      </c>
      <c r="E15023" s="2">
        <v>3430104</v>
      </c>
      <c r="F15023" s="4" t="str">
        <f>IF(B15023=B15022,"",B15023)</f>
        <v>Paso de los Libres</v>
      </c>
    </row>
    <row r="15024" spans="1:6" ht="15.75" customHeight="1">
      <c r="A15024" s="8" t="str">
        <f ca="1">IFERROR(__xludf.DUMMYFUNCTION("GOOGLETRANSLATE(B23195,""en"",""pt"")"),"Paso de Los Libres")</f>
        <v>Paso de Los Libres</v>
      </c>
      <c r="B15024" s="9" t="s">
        <v>730</v>
      </c>
      <c r="C15024" s="9" t="s">
        <v>558</v>
      </c>
      <c r="D15024" s="9" t="s">
        <v>629</v>
      </c>
      <c r="E15024" s="10">
        <v>3430104</v>
      </c>
      <c r="F15024" s="4" t="str">
        <f>IF(B15024=B15023,"",B15024)</f>
        <v/>
      </c>
    </row>
    <row r="15025" spans="1:6" ht="15.75" customHeight="1">
      <c r="A15025" s="16" t="s">
        <v>30488</v>
      </c>
      <c r="B15025" s="15" t="s">
        <v>30488</v>
      </c>
      <c r="C15025" s="16" t="s">
        <v>30472</v>
      </c>
      <c r="D15025" s="16" t="s">
        <v>30473</v>
      </c>
      <c r="E15025" s="2">
        <v>3441292</v>
      </c>
      <c r="F15025" s="4" t="str">
        <f>IF(B15025=B15024,"",B15025)</f>
        <v>Paso de Carrasco</v>
      </c>
    </row>
    <row r="15026" spans="1:6" ht="15.75" customHeight="1">
      <c r="A15026" s="8" t="str">
        <f ca="1">IFERROR(__xludf.DUMMYFUNCTION("GOOGLETRANSLATE(B45482,""en"",""pt"")"),"Paso de Carrasco")</f>
        <v>Paso de Carrasco</v>
      </c>
      <c r="B15026" s="9" t="s">
        <v>30488</v>
      </c>
      <c r="C15026" s="9" t="s">
        <v>30472</v>
      </c>
      <c r="D15026" s="9" t="s">
        <v>30473</v>
      </c>
      <c r="E15026" s="10">
        <v>3441292</v>
      </c>
      <c r="F15026" s="4" t="str">
        <f>IF(B15026=B15025,"",B15026)</f>
        <v/>
      </c>
    </row>
    <row r="15027" spans="1:6" ht="15.75" customHeight="1">
      <c r="A15027" s="15" t="s">
        <v>20158</v>
      </c>
      <c r="B15027" s="15" t="s">
        <v>20158</v>
      </c>
      <c r="C15027" s="15" t="s">
        <v>19808</v>
      </c>
      <c r="D15027" s="15" t="s">
        <v>19833</v>
      </c>
      <c r="E15027" s="2">
        <v>1168312</v>
      </c>
      <c r="F15027" s="4" t="str">
        <f>IF(B15027=B15026,"",B15027)</f>
        <v>Pasni</v>
      </c>
    </row>
    <row r="15028" spans="1:6" ht="15.75" customHeight="1">
      <c r="A15028" s="8" t="str">
        <f ca="1">IFERROR(__xludf.DUMMYFUNCTION("GOOGLETRANSLATE(B38955,""en"",""pt"")"),"Pasni")</f>
        <v>Pasni</v>
      </c>
      <c r="B15028" s="9" t="s">
        <v>20158</v>
      </c>
      <c r="C15028" s="9" t="s">
        <v>19808</v>
      </c>
      <c r="D15028" s="9" t="s">
        <v>34892</v>
      </c>
      <c r="E15028" s="10">
        <v>1168312</v>
      </c>
      <c r="F15028" s="4" t="str">
        <f>IF(B15028=B15027,"",B15028)</f>
        <v/>
      </c>
    </row>
    <row r="15029" spans="1:6" ht="15.75" customHeight="1">
      <c r="A15029" s="15" t="s">
        <v>17541</v>
      </c>
      <c r="B15029" s="15" t="s">
        <v>17541</v>
      </c>
      <c r="C15029" s="15" t="s">
        <v>17432</v>
      </c>
      <c r="D15029" s="15" t="s">
        <v>17469</v>
      </c>
      <c r="E15029" s="2">
        <v>1736372</v>
      </c>
      <c r="F15029" s="4" t="str">
        <f>IF(B15029=B15028,"",B15029)</f>
        <v>Pasir Mas</v>
      </c>
    </row>
    <row r="15030" spans="1:6" ht="15.75" customHeight="1">
      <c r="A15030" s="8" t="str">
        <f ca="1">IFERROR(__xludf.DUMMYFUNCTION("GOOGLETRANSLATE(B37504,""en"",""pt"")"),"Pasir Mas")</f>
        <v>Pasir Mas</v>
      </c>
      <c r="B15030" s="9" t="s">
        <v>17541</v>
      </c>
      <c r="C15030" s="9" t="s">
        <v>17432</v>
      </c>
      <c r="D15030" s="9" t="s">
        <v>17469</v>
      </c>
      <c r="E15030" s="10">
        <v>1736372</v>
      </c>
      <c r="F15030" s="4" t="str">
        <f>IF(B15030=B15029,"",B15030)</f>
        <v/>
      </c>
    </row>
    <row r="15031" spans="1:6" ht="15.75" customHeight="1">
      <c r="A15031" s="15" t="s">
        <v>26665</v>
      </c>
      <c r="B15031" s="15" t="s">
        <v>26665</v>
      </c>
      <c r="C15031" s="15" t="s">
        <v>26201</v>
      </c>
      <c r="D15031" s="15" t="s">
        <v>26268</v>
      </c>
      <c r="E15031" s="2">
        <v>302824</v>
      </c>
      <c r="F15031" s="4" t="str">
        <f>IF(B15031=B15030,"",B15031)</f>
        <v>Pasinler</v>
      </c>
    </row>
    <row r="15032" spans="1:6" ht="15.75" customHeight="1">
      <c r="A15032" s="8" t="str">
        <f ca="1">IFERROR(__xludf.DUMMYFUNCTION("GOOGLETRANSLATE(B41920,""en"",""pt"")"),"Pasinler")</f>
        <v>Pasinler</v>
      </c>
      <c r="B15032" s="9" t="s">
        <v>26665</v>
      </c>
      <c r="C15032" s="9" t="s">
        <v>26201</v>
      </c>
      <c r="D15032" s="9" t="s">
        <v>26268</v>
      </c>
      <c r="E15032" s="10">
        <v>302824</v>
      </c>
      <c r="F15032" s="4" t="str">
        <f>IF(B15032=B15031,"",B15032)</f>
        <v/>
      </c>
    </row>
    <row r="15033" spans="1:6" ht="15.75" customHeight="1">
      <c r="A15033" s="15" t="s">
        <v>8986</v>
      </c>
      <c r="B15033" s="15" t="s">
        <v>8987</v>
      </c>
      <c r="C15033" s="15" t="s">
        <v>8028</v>
      </c>
      <c r="D15033" s="15" t="s">
        <v>8044</v>
      </c>
      <c r="E15033" s="2">
        <v>2855334</v>
      </c>
      <c r="F15033" s="4" t="str">
        <f>IF(B15033=B15032,"",B15033)</f>
        <v>Pasing</v>
      </c>
    </row>
    <row r="15034" spans="1:6" ht="15.75" customHeight="1">
      <c r="A15034" s="8" t="str">
        <f ca="1">IFERROR(__xludf.DUMMYFUNCTION("GOOGLETRANSLATE(B27655,""en"",""pt"")"),"Passando")</f>
        <v>Passando</v>
      </c>
      <c r="B15034" s="9" t="s">
        <v>8987</v>
      </c>
      <c r="C15034" s="9" t="s">
        <v>8028</v>
      </c>
      <c r="D15034" s="9" t="s">
        <v>8044</v>
      </c>
      <c r="E15034" s="10">
        <v>2855334</v>
      </c>
      <c r="F15034" s="4" t="str">
        <f>IF(B15034=B15033,"",B15034)</f>
        <v/>
      </c>
    </row>
    <row r="15035" spans="1:6" ht="15.75" customHeight="1">
      <c r="A15035" s="8" t="str">
        <f ca="1">IFERROR(__xludf.DUMMYFUNCTION("GOOGLETRANSLATE(B36388,""en"",""pt"")"),"Pašilaičiai")</f>
        <v>Pašilaičiai</v>
      </c>
      <c r="B15035" s="11" t="s">
        <v>34539</v>
      </c>
      <c r="C15035" s="11" t="s">
        <v>17154</v>
      </c>
      <c r="D15035" s="11" t="s">
        <v>17155</v>
      </c>
      <c r="E15035" s="10">
        <v>10062599</v>
      </c>
      <c r="F15035" s="4" t="str">
        <f>IF(B15035=B15034,"",B15035)</f>
        <v>Pašilaičiai</v>
      </c>
    </row>
    <row r="15036" spans="1:6" ht="15.75" customHeight="1">
      <c r="A15036" s="8" t="str">
        <f ca="1">IFERROR(__xludf.DUMMYFUNCTION("GOOGLETRANSLATE(B32515,""en"",""pt"")"),"Pāsighāt")</f>
        <v>Pāsighāt</v>
      </c>
      <c r="B15036" s="9" t="s">
        <v>33253</v>
      </c>
      <c r="C15036" s="9" t="s">
        <v>10178</v>
      </c>
      <c r="D15036" s="9" t="s">
        <v>10304</v>
      </c>
      <c r="E15036" s="10">
        <v>1260206</v>
      </c>
      <c r="F15036" s="4" t="str">
        <f>IF(B15036=B15035,"",B15036)</f>
        <v>Pāsighāt</v>
      </c>
    </row>
    <row r="15037" spans="1:6" ht="15.75" customHeight="1">
      <c r="A15037" s="15" t="s">
        <v>20955</v>
      </c>
      <c r="B15037" s="15" t="s">
        <v>20955</v>
      </c>
      <c r="C15037" s="15" t="s">
        <v>20598</v>
      </c>
      <c r="D15037" s="15" t="s">
        <v>20723</v>
      </c>
      <c r="E15037" s="2">
        <v>7290466</v>
      </c>
      <c r="F15037" s="4" t="str">
        <f>IF(B15037=B15036,"",B15037)</f>
        <v>Pasig City</v>
      </c>
    </row>
    <row r="15038" spans="1:6" ht="15.75" customHeight="1">
      <c r="A15038" s="8" t="str">
        <f ca="1">IFERROR(__xludf.DUMMYFUNCTION("GOOGLETRANSLATE(B38860,""en"",""pt"")"),"Pasig City")</f>
        <v>Pasig City</v>
      </c>
      <c r="B15038" s="9" t="s">
        <v>20955</v>
      </c>
      <c r="C15038" s="9" t="s">
        <v>20598</v>
      </c>
      <c r="D15038" s="9" t="s">
        <v>20723</v>
      </c>
      <c r="E15038" s="10">
        <v>7290466</v>
      </c>
      <c r="F15038" s="4" t="str">
        <f>IF(B15038=B15037,"",B15038)</f>
        <v/>
      </c>
    </row>
    <row r="15039" spans="1:6" ht="15.75" customHeight="1">
      <c r="A15039" s="16" t="s">
        <v>22917</v>
      </c>
      <c r="B15039" s="15" t="s">
        <v>22917</v>
      </c>
      <c r="C15039" s="16" t="s">
        <v>22070</v>
      </c>
      <c r="D15039" s="16" t="s">
        <v>22077</v>
      </c>
      <c r="E15039" s="2">
        <v>512382</v>
      </c>
      <c r="F15039" s="4" t="str">
        <f>IF(B15039=B15038,"",B15039)</f>
        <v>Pashkovskiy</v>
      </c>
    </row>
    <row r="15040" spans="1:6" ht="15.75" customHeight="1">
      <c r="A15040" s="8" t="str">
        <f ca="1">IFERROR(__xludf.DUMMYFUNCTION("GOOGLETRANSLATE(B40214,""en"",""pt"")"),"Pashkovskiy")</f>
        <v>Pashkovskiy</v>
      </c>
      <c r="B15040" s="9" t="s">
        <v>22917</v>
      </c>
      <c r="C15040" s="9" t="s">
        <v>22070</v>
      </c>
      <c r="D15040" s="9" t="s">
        <v>22077</v>
      </c>
      <c r="E15040" s="10">
        <v>512382</v>
      </c>
      <c r="F15040" s="4" t="str">
        <f>IF(B15040=B15039,"",B15040)</f>
        <v/>
      </c>
    </row>
    <row r="15041" spans="1:6" ht="15.75" customHeight="1">
      <c r="A15041" s="15" t="s">
        <v>6080</v>
      </c>
      <c r="B15041" s="15" t="s">
        <v>6081</v>
      </c>
      <c r="C15041" s="15" t="s">
        <v>5947</v>
      </c>
      <c r="D15041" s="15" t="s">
        <v>5968</v>
      </c>
      <c r="E15041" s="2">
        <v>3068293</v>
      </c>
      <c r="F15041" s="4" t="str">
        <f>IF(B15041=B15040,"",B15041)</f>
        <v>PÃ­sek</v>
      </c>
    </row>
    <row r="15042" spans="1:6" ht="15.75" customHeight="1">
      <c r="A15042" s="15" t="s">
        <v>14088</v>
      </c>
      <c r="B15042" s="15" t="s">
        <v>14088</v>
      </c>
      <c r="C15042" s="15" t="s">
        <v>13800</v>
      </c>
      <c r="D15042" s="15" t="s">
        <v>13811</v>
      </c>
      <c r="E15042" s="2">
        <v>1632197</v>
      </c>
      <c r="F15042" s="4" t="str">
        <f>IF(B15042=B15041,"",B15042)</f>
        <v>Paseh</v>
      </c>
    </row>
    <row r="15043" spans="1:6" ht="15.75" customHeight="1">
      <c r="A15043" s="8" t="str">
        <f ca="1">IFERROR(__xludf.DUMMYFUNCTION("GOOGLETRANSLATE(B31500,""en"",""pt"")"),"Paseh")</f>
        <v>Paseh</v>
      </c>
      <c r="B15043" s="11" t="s">
        <v>14088</v>
      </c>
      <c r="C15043" s="11" t="s">
        <v>13800</v>
      </c>
      <c r="D15043" s="11" t="s">
        <v>13811</v>
      </c>
      <c r="E15043" s="10">
        <v>1632197</v>
      </c>
      <c r="F15043" s="4" t="str">
        <f>IF(B15043=B15042,"",B15043)</f>
        <v/>
      </c>
    </row>
    <row r="15044" spans="1:6" ht="15.75" customHeight="1">
      <c r="A15044" s="15" t="s">
        <v>20488</v>
      </c>
      <c r="B15044" s="15" t="s">
        <v>20488</v>
      </c>
      <c r="C15044" s="15" t="s">
        <v>27788</v>
      </c>
      <c r="D15044" s="15" t="s">
        <v>27733</v>
      </c>
      <c r="E15044" s="2">
        <v>5806298</v>
      </c>
      <c r="F15044" s="4" t="str">
        <f>IF(B15044=B15043,"",B15044)</f>
        <v>Pasco</v>
      </c>
    </row>
    <row r="15045" spans="1:6" ht="15.75" customHeight="1">
      <c r="A15045" s="8" t="str">
        <f ca="1">IFERROR(__xludf.DUMMYFUNCTION("GOOGLETRANSLATE(B45364,""en"",""pt"")"),"Pasco")</f>
        <v>Pasco</v>
      </c>
      <c r="B15045" s="11" t="s">
        <v>20488</v>
      </c>
      <c r="C15045" s="11" t="s">
        <v>27788</v>
      </c>
      <c r="D15045" s="11" t="s">
        <v>27733</v>
      </c>
      <c r="E15045" s="10">
        <v>5806298</v>
      </c>
      <c r="F15045" s="4" t="str">
        <f>IF(B15045=B15044,"",B15045)</f>
        <v/>
      </c>
    </row>
    <row r="15046" spans="1:6" ht="15.75" customHeight="1">
      <c r="A15046" s="8" t="str">
        <f ca="1">IFERROR(__xludf.DUMMYFUNCTION("GOOGLETRANSLATE(B39847,""en"",""pt"")"),"Paşcani")</f>
        <v>Paşcani</v>
      </c>
      <c r="B15046" s="9" t="s">
        <v>35410</v>
      </c>
      <c r="C15046" s="9" t="s">
        <v>21824</v>
      </c>
      <c r="D15046" s="9" t="s">
        <v>35379</v>
      </c>
      <c r="E15046" s="10">
        <v>6945426</v>
      </c>
      <c r="F15046" s="4" t="str">
        <f>IF(B15046=B15045,"",B15046)</f>
        <v>Paşcani</v>
      </c>
    </row>
    <row r="15047" spans="1:6" ht="15.75" customHeight="1">
      <c r="A15047" s="16" t="s">
        <v>29638</v>
      </c>
      <c r="B15047" s="15" t="s">
        <v>29638</v>
      </c>
      <c r="C15047" s="16" t="s">
        <v>27788</v>
      </c>
      <c r="D15047" s="16" t="s">
        <v>28040</v>
      </c>
      <c r="E15047" s="2">
        <v>4440397</v>
      </c>
      <c r="F15047" s="4" t="str">
        <f>IF(B15047=B15046,"",B15047)</f>
        <v>Pascagoula</v>
      </c>
    </row>
    <row r="15048" spans="1:6" ht="15.75" customHeight="1">
      <c r="A15048" s="8" t="str">
        <f ca="1">IFERROR(__xludf.DUMMYFUNCTION("GOOGLETRANSLATE(B43418,""en"",""pt"")"),"Pascagoula")</f>
        <v>Pascagoula</v>
      </c>
      <c r="B15048" s="9" t="s">
        <v>29638</v>
      </c>
      <c r="C15048" s="9" t="s">
        <v>27788</v>
      </c>
      <c r="D15048" s="9" t="s">
        <v>28040</v>
      </c>
      <c r="E15048" s="10">
        <v>4440397</v>
      </c>
      <c r="F15048" s="4" t="str">
        <f>IF(B15048=B15047,"",B15048)</f>
        <v/>
      </c>
    </row>
    <row r="15049" spans="1:6" ht="15.75" customHeight="1">
      <c r="A15049" s="16" t="s">
        <v>14087</v>
      </c>
      <c r="B15049" s="15" t="s">
        <v>14087</v>
      </c>
      <c r="C15049" s="16" t="s">
        <v>13800</v>
      </c>
      <c r="D15049" s="16" t="s">
        <v>13811</v>
      </c>
      <c r="E15049" s="2">
        <v>1632228</v>
      </c>
      <c r="F15049" s="4" t="str">
        <f>IF(B15049=B15048,"",B15049)</f>
        <v>Pasarkemis</v>
      </c>
    </row>
    <row r="15050" spans="1:6" ht="15.75" customHeight="1">
      <c r="A15050" s="8" t="str">
        <f ca="1">IFERROR(__xludf.DUMMYFUNCTION("GOOGLETRANSLATE(B31501,""en"",""pt"")"),"Pasarkemis")</f>
        <v>Pasarkemis</v>
      </c>
      <c r="B15050" s="9" t="s">
        <v>14087</v>
      </c>
      <c r="C15050" s="9" t="s">
        <v>13800</v>
      </c>
      <c r="D15050" s="9" t="s">
        <v>13811</v>
      </c>
      <c r="E15050" s="10">
        <v>1632228</v>
      </c>
      <c r="F15050" s="4" t="str">
        <f>IF(B15050=B15049,"",B15050)</f>
        <v/>
      </c>
    </row>
    <row r="15051" spans="1:6" ht="15.75" customHeight="1">
      <c r="A15051" s="8" t="str">
        <f ca="1">IFERROR(__xludf.DUMMYFUNCTION("GOOGLETRANSLATE(B32516,""en"",""pt"")"),"Pasān")</f>
        <v>Pasān</v>
      </c>
      <c r="B15051" s="9" t="s">
        <v>33254</v>
      </c>
      <c r="C15051" s="9" t="s">
        <v>10178</v>
      </c>
      <c r="D15051" s="9" t="s">
        <v>10272</v>
      </c>
      <c r="E15051" s="10">
        <v>1260210</v>
      </c>
      <c r="F15051" s="4" t="str">
        <f>IF(B15051=B15050,"",B15051)</f>
        <v>Pasān</v>
      </c>
    </row>
    <row r="15052" spans="1:6" ht="15.75" customHeight="1">
      <c r="A15052" s="15" t="s">
        <v>6455</v>
      </c>
      <c r="B15052" s="15" t="s">
        <v>6455</v>
      </c>
      <c r="C15052" s="15" t="s">
        <v>6398</v>
      </c>
      <c r="D15052" s="15" t="s">
        <v>6432</v>
      </c>
      <c r="E15052" s="2">
        <v>3653403</v>
      </c>
      <c r="F15052" s="4" t="str">
        <f>IF(B15052=B15051,"",B15052)</f>
        <v>Pasaje</v>
      </c>
    </row>
    <row r="15053" spans="1:6" ht="15.75" customHeight="1">
      <c r="A15053" s="8" t="str">
        <f ca="1">IFERROR(__xludf.DUMMYFUNCTION("GOOGLETRANSLATE(B28773,""en"",""pt"")"),"Pasaje")</f>
        <v>Pasaje</v>
      </c>
      <c r="B15053" s="9" t="s">
        <v>6455</v>
      </c>
      <c r="C15053" s="9" t="s">
        <v>6398</v>
      </c>
      <c r="D15053" s="9" t="s">
        <v>6432</v>
      </c>
      <c r="E15053" s="10">
        <v>3653403</v>
      </c>
      <c r="F15053" s="4" t="str">
        <f>IF(B15053=B15052,"",B15053)</f>
        <v/>
      </c>
    </row>
    <row r="15054" spans="1:6" ht="15.75" customHeight="1">
      <c r="A15054" s="15" t="s">
        <v>24686</v>
      </c>
      <c r="B15054" s="15" t="s">
        <v>24686</v>
      </c>
      <c r="C15054" s="15" t="s">
        <v>24200</v>
      </c>
      <c r="D15054" s="15" t="s">
        <v>24249</v>
      </c>
      <c r="E15054" s="2">
        <v>6693088</v>
      </c>
      <c r="F15054" s="4" t="str">
        <f>IF(B15054=B15053,"",B15054)</f>
        <v>Pasaia</v>
      </c>
    </row>
    <row r="15055" spans="1:6" ht="15.75" customHeight="1">
      <c r="A15055" s="8" t="str">
        <f ca="1">IFERROR(__xludf.DUMMYFUNCTION("GOOGLETRANSLATE(B29507,""en"",""pt"")"),"Pasaia")</f>
        <v>Pasaia</v>
      </c>
      <c r="B15055" s="9" t="s">
        <v>24686</v>
      </c>
      <c r="C15055" s="9" t="s">
        <v>24200</v>
      </c>
      <c r="D15055" s="9" t="s">
        <v>24249</v>
      </c>
      <c r="E15055" s="10">
        <v>6693088</v>
      </c>
      <c r="F15055" s="4" t="str">
        <f>IF(B15055=B15054,"",B15055)</f>
        <v/>
      </c>
    </row>
    <row r="15056" spans="1:6" ht="15.75" customHeight="1">
      <c r="A15056" s="15" t="s">
        <v>29637</v>
      </c>
      <c r="B15056" s="15" t="s">
        <v>29637</v>
      </c>
      <c r="C15056" s="15" t="s">
        <v>27788</v>
      </c>
      <c r="D15056" s="15" t="s">
        <v>17061</v>
      </c>
      <c r="E15056" s="2">
        <v>4364990</v>
      </c>
      <c r="F15056" s="4" t="str">
        <f>IF(B15056=B15055,"",B15056)</f>
        <v>Pasadena</v>
      </c>
    </row>
    <row r="15057" spans="1:6" ht="15.75" customHeight="1">
      <c r="A15057" s="15" t="s">
        <v>29637</v>
      </c>
      <c r="B15057" s="15" t="s">
        <v>29637</v>
      </c>
      <c r="C15057" s="15" t="s">
        <v>27788</v>
      </c>
      <c r="D15057" s="15" t="s">
        <v>27801</v>
      </c>
      <c r="E15057" s="2">
        <v>5381396</v>
      </c>
      <c r="F15057" s="4" t="str">
        <f>IF(B15057=B15056,"",B15057)</f>
        <v/>
      </c>
    </row>
    <row r="15058" spans="1:6" ht="15.75" customHeight="1">
      <c r="A15058" s="8" t="str">
        <f ca="1">IFERROR(__xludf.DUMMYFUNCTION("GOOGLETRANSLATE(B43319,""en"",""pt"")"),"Pasadena")</f>
        <v>Pasadena</v>
      </c>
      <c r="B15058" s="11" t="s">
        <v>29637</v>
      </c>
      <c r="C15058" s="11" t="s">
        <v>27788</v>
      </c>
      <c r="D15058" s="11" t="s">
        <v>17061</v>
      </c>
      <c r="E15058" s="10">
        <v>4364990</v>
      </c>
      <c r="F15058" s="4" t="str">
        <f>IF(B15058=B15057,"",B15058)</f>
        <v/>
      </c>
    </row>
    <row r="15059" spans="1:6" ht="15.75" customHeight="1">
      <c r="A15059" s="8" t="str">
        <f ca="1">IFERROR(__xludf.DUMMYFUNCTION("GOOGLETRANSLATE(B44955,""en"",""pt"")"),"Pasadena")</f>
        <v>Pasadena</v>
      </c>
      <c r="B15059" s="9" t="s">
        <v>29637</v>
      </c>
      <c r="C15059" s="9" t="s">
        <v>27788</v>
      </c>
      <c r="D15059" s="9" t="s">
        <v>27801</v>
      </c>
      <c r="E15059" s="10">
        <v>5381396</v>
      </c>
      <c r="F15059" s="4" t="str">
        <f>IF(B15059=B15058,"",B15059)</f>
        <v/>
      </c>
    </row>
    <row r="15060" spans="1:6" ht="15.75" customHeight="1">
      <c r="A15060" s="15" t="s">
        <v>12816</v>
      </c>
      <c r="B15060" s="15" t="s">
        <v>12817</v>
      </c>
      <c r="C15060" s="15" t="s">
        <v>10178</v>
      </c>
      <c r="D15060" s="15" t="s">
        <v>10272</v>
      </c>
      <c r="E15060" s="2">
        <v>1260210</v>
      </c>
      <c r="F15060" s="4" t="str">
        <f>IF(B15060=B15059,"",B15060)</f>
        <v>PasÄn</v>
      </c>
    </row>
    <row r="15061" spans="1:6" ht="15.75" customHeight="1">
      <c r="A15061" s="15" t="s">
        <v>23950</v>
      </c>
      <c r="B15061" s="15" t="s">
        <v>23950</v>
      </c>
      <c r="C15061" s="15" t="s">
        <v>23842</v>
      </c>
      <c r="D15061" s="15" t="s">
        <v>23845</v>
      </c>
      <c r="E15061" s="2">
        <v>966166</v>
      </c>
      <c r="F15061" s="4" t="str">
        <f>IF(B15061=B15060,"",B15061)</f>
        <v>Parys</v>
      </c>
    </row>
    <row r="15062" spans="1:6" ht="15.75" customHeight="1">
      <c r="A15062" s="8" t="str">
        <f ca="1">IFERROR(__xludf.DUMMYFUNCTION("GOOGLETRANSLATE(B45901,""en"",""pt"")"),"Parys")</f>
        <v>Parys</v>
      </c>
      <c r="B15062" s="9" t="s">
        <v>23950</v>
      </c>
      <c r="C15062" s="9" t="s">
        <v>23842</v>
      </c>
      <c r="D15062" s="9" t="s">
        <v>23845</v>
      </c>
      <c r="E15062" s="10">
        <v>966166</v>
      </c>
      <c r="F15062" s="4" t="str">
        <f>IF(B15062=B15061,"",B15062)</f>
        <v/>
      </c>
    </row>
    <row r="15063" spans="1:6" ht="15.75" customHeight="1">
      <c r="A15063" s="15" t="s">
        <v>12815</v>
      </c>
      <c r="B15063" s="15" t="s">
        <v>12815</v>
      </c>
      <c r="C15063" s="15" t="s">
        <v>10178</v>
      </c>
      <c r="D15063" s="15" t="s">
        <v>10179</v>
      </c>
      <c r="E15063" s="2">
        <v>1260221</v>
      </c>
      <c r="F15063" s="4" t="str">
        <f>IF(B15063=B15062,"",B15063)</f>
        <v>Parvatsar</v>
      </c>
    </row>
    <row r="15064" spans="1:6" ht="15.75" customHeight="1">
      <c r="A15064" s="8" t="str">
        <f ca="1">IFERROR(__xludf.DUMMYFUNCTION("GOOGLETRANSLATE(B32517,""en"",""pt"")"),"Parvatsar")</f>
        <v>Parvatsar</v>
      </c>
      <c r="B15064" s="9" t="s">
        <v>12815</v>
      </c>
      <c r="C15064" s="9" t="s">
        <v>10178</v>
      </c>
      <c r="D15064" s="9" t="s">
        <v>10179</v>
      </c>
      <c r="E15064" s="10">
        <v>1260221</v>
      </c>
      <c r="F15064" s="4" t="str">
        <f>IF(B15064=B15063,"",B15064)</f>
        <v/>
      </c>
    </row>
    <row r="15065" spans="1:6" ht="15.75" customHeight="1">
      <c r="A15065" s="8" t="str">
        <f ca="1">IFERROR(__xludf.DUMMYFUNCTION("GOOGLETRANSLATE(B32518,""en"",""pt"")"),"Pārvatipuram")</f>
        <v>Pārvatipuram</v>
      </c>
      <c r="B15065" s="11" t="s">
        <v>33255</v>
      </c>
      <c r="C15065" s="11" t="s">
        <v>10178</v>
      </c>
      <c r="D15065" s="11" t="s">
        <v>10190</v>
      </c>
      <c r="E15065" s="10">
        <v>1260222</v>
      </c>
      <c r="F15065" s="4" t="str">
        <f>IF(B15065=B15064,"",B15065)</f>
        <v>Pārvatipuram</v>
      </c>
    </row>
    <row r="15066" spans="1:6" ht="15.75" customHeight="1">
      <c r="A15066" s="15" t="s">
        <v>14086</v>
      </c>
      <c r="B15066" s="15" t="s">
        <v>14086</v>
      </c>
      <c r="C15066" s="15" t="s">
        <v>13800</v>
      </c>
      <c r="D15066" s="15" t="s">
        <v>13811</v>
      </c>
      <c r="E15066" s="2">
        <v>1632276</v>
      </c>
      <c r="F15066" s="4" t="str">
        <f>IF(B15066=B15065,"",B15066)</f>
        <v>Parung</v>
      </c>
    </row>
    <row r="15067" spans="1:6" ht="15.75" customHeight="1">
      <c r="A15067" s="8" t="str">
        <f ca="1">IFERROR(__xludf.DUMMYFUNCTION("GOOGLETRANSLATE(B31502,""en"",""pt"")"),"Parung")</f>
        <v>Parung</v>
      </c>
      <c r="B15067" s="11" t="s">
        <v>14086</v>
      </c>
      <c r="C15067" s="11" t="s">
        <v>13800</v>
      </c>
      <c r="D15067" s="11" t="s">
        <v>13811</v>
      </c>
      <c r="E15067" s="10">
        <v>1632276</v>
      </c>
      <c r="F15067" s="4" t="str">
        <f>IF(B15067=B15066,"",B15067)</f>
        <v/>
      </c>
    </row>
    <row r="15068" spans="1:6" ht="15.75" customHeight="1">
      <c r="A15068" s="8" t="str">
        <f ca="1">IFERROR(__xludf.DUMMYFUNCTION("GOOGLETRANSLATE(B32519,""en"",""pt"")"),"Partūr")</f>
        <v>Partūr</v>
      </c>
      <c r="B15068" s="9" t="s">
        <v>33256</v>
      </c>
      <c r="C15068" s="9" t="s">
        <v>10178</v>
      </c>
      <c r="D15068" s="9" t="s">
        <v>10214</v>
      </c>
      <c r="E15068" s="10">
        <v>1260228</v>
      </c>
      <c r="F15068" s="4" t="str">
        <f>IF(B15068=B15067,"",B15068)</f>
        <v>Partūr</v>
      </c>
    </row>
    <row r="15069" spans="1:6" ht="15.75" customHeight="1">
      <c r="A15069" s="8" t="str">
        <f ca="1">IFERROR(__xludf.DUMMYFUNCTION("GOOGLETRANSLATE(B41250,""en"",""pt"")"),"Partizánske")</f>
        <v>Partizánske</v>
      </c>
      <c r="B15069" s="11" t="s">
        <v>35688</v>
      </c>
      <c r="C15069" s="11" t="s">
        <v>23694</v>
      </c>
      <c r="D15069" s="11" t="s">
        <v>23715</v>
      </c>
      <c r="E15069" s="10">
        <v>3058268</v>
      </c>
      <c r="F15069" s="4" t="str">
        <f>IF(B15069=B15068,"",B15069)</f>
        <v>Partizánske</v>
      </c>
    </row>
    <row r="15070" spans="1:6" ht="15.75" customHeight="1">
      <c r="A15070" s="16" t="s">
        <v>22916</v>
      </c>
      <c r="B15070" s="15" t="s">
        <v>22916</v>
      </c>
      <c r="C15070" s="16" t="s">
        <v>22070</v>
      </c>
      <c r="D15070" s="16" t="s">
        <v>22154</v>
      </c>
      <c r="E15070" s="2">
        <v>2018116</v>
      </c>
      <c r="F15070" s="4" t="str">
        <f>IF(B15070=B15069,"",B15070)</f>
        <v>Partizansk</v>
      </c>
    </row>
    <row r="15071" spans="1:6" ht="15.75" customHeight="1">
      <c r="A15071" s="8" t="str">
        <f ca="1">IFERROR(__xludf.DUMMYFUNCTION("GOOGLETRANSLATE(B40916,""en"",""pt"")"),"Partizansk")</f>
        <v>Partizansk</v>
      </c>
      <c r="B15071" s="11" t="s">
        <v>22916</v>
      </c>
      <c r="C15071" s="11" t="s">
        <v>22070</v>
      </c>
      <c r="D15071" s="11" t="s">
        <v>22154</v>
      </c>
      <c r="E15071" s="10">
        <v>2018116</v>
      </c>
      <c r="F15071" s="4" t="str">
        <f>IF(B15071=B15070,"",B15071)</f>
        <v/>
      </c>
    </row>
    <row r="15072" spans="1:6" ht="15.75" customHeight="1">
      <c r="A15072" s="16" t="s">
        <v>23748</v>
      </c>
      <c r="B15072" s="15" t="s">
        <v>23749</v>
      </c>
      <c r="C15072" s="16" t="s">
        <v>23694</v>
      </c>
      <c r="D15072" s="16" t="s">
        <v>23715</v>
      </c>
      <c r="E15072" s="2">
        <v>3058268</v>
      </c>
      <c r="F15072" s="4" t="str">
        <f>IF(B15072=B15071,"",B15072)</f>
        <v>PartizÃ¡nske</v>
      </c>
    </row>
    <row r="15073" spans="1:6" ht="15.75" customHeight="1">
      <c r="A15073" s="15" t="s">
        <v>15355</v>
      </c>
      <c r="B15073" s="15" t="s">
        <v>15355</v>
      </c>
      <c r="C15073" s="15" t="s">
        <v>14891</v>
      </c>
      <c r="D15073" s="15" t="s">
        <v>14899</v>
      </c>
      <c r="E15073" s="2">
        <v>2523871</v>
      </c>
      <c r="F15073" s="4" t="str">
        <f>IF(B15073=B15072,"",B15073)</f>
        <v>Partinico</v>
      </c>
    </row>
    <row r="15074" spans="1:6" ht="15.75" customHeight="1">
      <c r="A15074" s="8" t="str">
        <f ca="1">IFERROR(__xludf.DUMMYFUNCTION("GOOGLETRANSLATE(B34566,""en"",""pt"")"),"Partinico")</f>
        <v>Partinico</v>
      </c>
      <c r="B15074" s="9" t="s">
        <v>15355</v>
      </c>
      <c r="C15074" s="9" t="s">
        <v>14891</v>
      </c>
      <c r="D15074" s="9" t="s">
        <v>14899</v>
      </c>
      <c r="E15074" s="10">
        <v>2523871</v>
      </c>
      <c r="F15074" s="4" t="str">
        <f>IF(B15074=B15073,"",B15074)</f>
        <v/>
      </c>
    </row>
    <row r="15075" spans="1:6" ht="15.75" customHeight="1">
      <c r="A15075" s="15" t="s">
        <v>25188</v>
      </c>
      <c r="B15075" s="15" t="s">
        <v>25189</v>
      </c>
      <c r="C15075" s="15" t="s">
        <v>25077</v>
      </c>
      <c r="D15075" s="15" t="s">
        <v>25086</v>
      </c>
      <c r="E15075" s="2">
        <v>2684395</v>
      </c>
      <c r="F15075" s="4" t="str">
        <f>IF(B15075=B15074,"",B15075)</f>
        <v>Partille</v>
      </c>
    </row>
    <row r="15076" spans="1:6" ht="15.75" customHeight="1">
      <c r="A15076" s="8" t="str">
        <f ca="1">IFERROR(__xludf.DUMMYFUNCTION("GOOGLETRANSLATE(B41150,""en"",""pt"")"),"Parille")</f>
        <v>Parille</v>
      </c>
      <c r="B15076" s="9" t="s">
        <v>25189</v>
      </c>
      <c r="C15076" s="9" t="s">
        <v>25077</v>
      </c>
      <c r="D15076" s="9" t="s">
        <v>35628</v>
      </c>
      <c r="E15076" s="10">
        <v>2684395</v>
      </c>
      <c r="F15076" s="4" t="str">
        <f>IF(B15076=B15075,"",B15076)</f>
        <v/>
      </c>
    </row>
    <row r="15077" spans="1:6" ht="15.75" customHeight="1">
      <c r="A15077" s="15" t="s">
        <v>12813</v>
      </c>
      <c r="B15077" s="15" t="s">
        <v>12814</v>
      </c>
      <c r="C15077" s="15" t="s">
        <v>10178</v>
      </c>
      <c r="D15077" s="15" t="s">
        <v>10214</v>
      </c>
      <c r="E15077" s="2">
        <v>1260228</v>
      </c>
      <c r="F15077" s="4" t="str">
        <f>IF(B15077=B15076,"",B15077)</f>
        <v>PartÅ«r</v>
      </c>
    </row>
    <row r="15078" spans="1:6" ht="15.75" customHeight="1">
      <c r="A15078" s="16" t="s">
        <v>29636</v>
      </c>
      <c r="B15078" s="15" t="s">
        <v>29636</v>
      </c>
      <c r="C15078" s="16" t="s">
        <v>27788</v>
      </c>
      <c r="D15078" s="16" t="s">
        <v>27905</v>
      </c>
      <c r="E15078" s="2">
        <v>5102427</v>
      </c>
      <c r="F15078" s="4" t="str">
        <f>IF(B15078=B15077,"",B15078)</f>
        <v>Parsippany</v>
      </c>
    </row>
    <row r="15079" spans="1:6" ht="15.75" customHeight="1">
      <c r="A15079" s="8" t="str">
        <f ca="1">IFERROR(__xludf.DUMMYFUNCTION("GOOGLETRANSLATE(B44296,""en"",""pt"")"),"Parsippany")</f>
        <v>Parsippany</v>
      </c>
      <c r="B15079" s="11" t="s">
        <v>29636</v>
      </c>
      <c r="C15079" s="11" t="s">
        <v>27788</v>
      </c>
      <c r="D15079" s="11" t="s">
        <v>27905</v>
      </c>
      <c r="E15079" s="10">
        <v>5102427</v>
      </c>
      <c r="F15079" s="4" t="str">
        <f>IF(B15079=B15078,"",B15079)</f>
        <v/>
      </c>
    </row>
    <row r="15080" spans="1:6" ht="15.75" customHeight="1">
      <c r="A15080" s="8" t="str">
        <f ca="1">IFERROR(__xludf.DUMMYFUNCTION("GOOGLETRANSLATE(B34399,""en"",""pt"")"),"Pārsābād")</f>
        <v>Pārsābād</v>
      </c>
      <c r="B15080" s="9" t="s">
        <v>34163</v>
      </c>
      <c r="C15080" s="9" t="s">
        <v>14240</v>
      </c>
      <c r="D15080" s="9" t="s">
        <v>34164</v>
      </c>
      <c r="E15080" s="10">
        <v>121380</v>
      </c>
      <c r="F15080" s="4" t="str">
        <f>IF(B15080=B15079,"",B15080)</f>
        <v>Pārsābād</v>
      </c>
    </row>
    <row r="15081" spans="1:6" ht="15.75" customHeight="1">
      <c r="A15081" s="16" t="s">
        <v>18159</v>
      </c>
      <c r="B15081" s="15" t="s">
        <v>18159</v>
      </c>
      <c r="C15081" s="16" t="s">
        <v>17707</v>
      </c>
      <c r="D15081" s="16" t="s">
        <v>17738</v>
      </c>
      <c r="E15081" s="2">
        <v>3993335</v>
      </c>
      <c r="F15081" s="4" t="str">
        <f>IF(B15081=B15080,"",B15081)</f>
        <v>Parras de la Fuente</v>
      </c>
    </row>
    <row r="15082" spans="1:6" ht="15.75" customHeight="1">
      <c r="A15082" s="8" t="str">
        <f ca="1">IFERROR(__xludf.DUMMYFUNCTION("GOOGLETRANSLATE(B37226,""en"",""pt"")"),"Parras de la Fuente")</f>
        <v>Parras de la Fuente</v>
      </c>
      <c r="B15082" s="9" t="s">
        <v>18159</v>
      </c>
      <c r="C15082" s="9" t="s">
        <v>17707</v>
      </c>
      <c r="D15082" s="9" t="s">
        <v>17738</v>
      </c>
      <c r="E15082" s="10">
        <v>3993335</v>
      </c>
      <c r="F15082" s="4" t="str">
        <f>IF(B15082=B15081,"",B15082)</f>
        <v/>
      </c>
    </row>
    <row r="15083" spans="1:6" ht="15.75" customHeight="1">
      <c r="A15083" s="15" t="s">
        <v>4441</v>
      </c>
      <c r="B15083" s="15" t="s">
        <v>4441</v>
      </c>
      <c r="C15083" s="15" t="s">
        <v>4355</v>
      </c>
      <c r="D15083" s="15" t="s">
        <v>4373</v>
      </c>
      <c r="E15083" s="2">
        <v>3877146</v>
      </c>
      <c r="F15083" s="4" t="str">
        <f>IF(B15083=B15082,"",B15083)</f>
        <v>Parral</v>
      </c>
    </row>
    <row r="15084" spans="1:6" ht="15.75" customHeight="1">
      <c r="A15084" s="8" t="str">
        <f ca="1">IFERROR(__xludf.DUMMYFUNCTION("GOOGLETRANSLATE(B25920,""en"",""pt"")"),"Parral")</f>
        <v>Parral</v>
      </c>
      <c r="B15084" s="11" t="s">
        <v>4441</v>
      </c>
      <c r="C15084" s="11" t="s">
        <v>4355</v>
      </c>
      <c r="D15084" s="11" t="s">
        <v>4373</v>
      </c>
      <c r="E15084" s="10">
        <v>3877146</v>
      </c>
      <c r="F15084" s="4" t="str">
        <f>IF(B15084=B15083,"",B15084)</f>
        <v/>
      </c>
    </row>
    <row r="15085" spans="1:6" ht="15.75" customHeight="1">
      <c r="A15085" s="16" t="s">
        <v>18158</v>
      </c>
      <c r="B15085" s="15" t="s">
        <v>18158</v>
      </c>
      <c r="C15085" s="16" t="s">
        <v>17707</v>
      </c>
      <c r="D15085" s="16" t="s">
        <v>17739</v>
      </c>
      <c r="E15085" s="2">
        <v>8858109</v>
      </c>
      <c r="F15085" s="4" t="str">
        <f>IF(B15085=B15084,"",B15085)</f>
        <v>Parque Industrial Ciudad Mitras</v>
      </c>
    </row>
    <row r="15086" spans="1:6" ht="15.75" customHeight="1">
      <c r="A15086" s="8" t="str">
        <f ca="1">IFERROR(__xludf.DUMMYFUNCTION("GOOGLETRANSLATE(B37386,""en"",""pt"")"),"Parque Industrial Ciudad Mitras")</f>
        <v>Parque Industrial Ciudad Mitras</v>
      </c>
      <c r="B15086" s="11" t="s">
        <v>18158</v>
      </c>
      <c r="C15086" s="11" t="s">
        <v>17707</v>
      </c>
      <c r="D15086" s="11" t="s">
        <v>34689</v>
      </c>
      <c r="E15086" s="10">
        <v>8858109</v>
      </c>
      <c r="F15086" s="4" t="str">
        <f>IF(B15086=B15085,"",B15086)</f>
        <v/>
      </c>
    </row>
    <row r="15087" spans="1:6" ht="15.75" customHeight="1">
      <c r="A15087" s="16" t="s">
        <v>29634</v>
      </c>
      <c r="B15087" s="15" t="s">
        <v>29635</v>
      </c>
      <c r="C15087" s="16" t="s">
        <v>27788</v>
      </c>
      <c r="D15087" s="16" t="s">
        <v>17061</v>
      </c>
      <c r="E15087" s="2">
        <v>4364964</v>
      </c>
      <c r="F15087" s="4" t="str">
        <f>IF(B15087=B15086,"",B15087)</f>
        <v>Parole</v>
      </c>
    </row>
    <row r="15088" spans="1:6" ht="15.75" customHeight="1">
      <c r="A15088" s="8" t="str">
        <f ca="1">IFERROR(__xludf.DUMMYFUNCTION("GOOGLETRANSLATE(B43318,""en"",""pt"")"),"Liberdade condicional")</f>
        <v>Liberdade condicional</v>
      </c>
      <c r="B15088" s="11" t="s">
        <v>29635</v>
      </c>
      <c r="C15088" s="11" t="s">
        <v>27788</v>
      </c>
      <c r="D15088" s="11" t="s">
        <v>17061</v>
      </c>
      <c r="E15088" s="10">
        <v>4364964</v>
      </c>
      <c r="F15088" s="4" t="str">
        <f>IF(B15088=B15087,"",B15088)</f>
        <v/>
      </c>
    </row>
    <row r="15089" spans="1:6" ht="15.75" customHeight="1">
      <c r="A15089" s="15" t="s">
        <v>12812</v>
      </c>
      <c r="B15089" s="15" t="s">
        <v>12812</v>
      </c>
      <c r="C15089" s="15" t="s">
        <v>10178</v>
      </c>
      <c r="D15089" s="15" t="s">
        <v>10214</v>
      </c>
      <c r="E15089" s="2">
        <v>1260274</v>
      </c>
      <c r="F15089" s="4" t="str">
        <f>IF(B15089=B15088,"",B15089)</f>
        <v>Parola</v>
      </c>
    </row>
    <row r="15090" spans="1:6" ht="15.75" customHeight="1">
      <c r="A15090" s="8" t="str">
        <f ca="1">IFERROR(__xludf.DUMMYFUNCTION("GOOGLETRANSLATE(B32520,""en"",""pt"")"),"Parola")</f>
        <v>Parola</v>
      </c>
      <c r="B15090" s="11" t="s">
        <v>12812</v>
      </c>
      <c r="C15090" s="11" t="s">
        <v>10178</v>
      </c>
      <c r="D15090" s="11" t="s">
        <v>10214</v>
      </c>
      <c r="E15090" s="10">
        <v>1260274</v>
      </c>
      <c r="F15090" s="4" t="str">
        <f>IF(B15090=B15089,"",B15090)</f>
        <v/>
      </c>
    </row>
    <row r="15091" spans="1:6" ht="15.75" customHeight="1">
      <c r="A15091" s="8" t="str">
        <f ca="1">IFERROR(__xludf.DUMMYFUNCTION("GOOGLETRANSLATE(B24738,""en"",""pt"")"),"Parobé")</f>
        <v>Parobé</v>
      </c>
      <c r="B15091" s="9" t="s">
        <v>3050</v>
      </c>
      <c r="C15091" s="9" t="s">
        <v>1905</v>
      </c>
      <c r="D15091" s="9" t="s">
        <v>1951</v>
      </c>
      <c r="E15091" s="10">
        <v>3454954</v>
      </c>
      <c r="F15091" s="4" t="str">
        <f>IF(B15091=B15090,"",B15091)</f>
        <v>Parobé</v>
      </c>
    </row>
    <row r="15092" spans="1:6" ht="15.75" customHeight="1">
      <c r="A15092" s="15" t="s">
        <v>3050</v>
      </c>
      <c r="B15092" s="15" t="s">
        <v>3051</v>
      </c>
      <c r="C15092" s="15" t="s">
        <v>1905</v>
      </c>
      <c r="D15092" s="15" t="s">
        <v>1951</v>
      </c>
      <c r="E15092" s="2">
        <v>3454954</v>
      </c>
      <c r="F15092" s="4" t="str">
        <f>IF(B15092=B15091,"",B15092)</f>
        <v>ParobÃ©</v>
      </c>
    </row>
    <row r="15093" spans="1:6" ht="15.75" customHeight="1">
      <c r="A15093" s="8" t="str">
        <f ca="1">IFERROR(__xludf.DUMMYFUNCTION("GOOGLETRANSLATE(B28817,""en"",""pt"")"),"Pärnu")</f>
        <v>Pärnu</v>
      </c>
      <c r="B15093" s="9" t="s">
        <v>6794</v>
      </c>
      <c r="C15093" s="9" t="s">
        <v>6789</v>
      </c>
      <c r="D15093" s="9" t="s">
        <v>32243</v>
      </c>
      <c r="E15093" s="10">
        <v>589580</v>
      </c>
      <c r="F15093" s="4" t="str">
        <f>IF(B15093=B15092,"",B15093)</f>
        <v>Pärnu</v>
      </c>
    </row>
    <row r="15094" spans="1:6" ht="15.75" customHeight="1">
      <c r="A15094" s="15" t="s">
        <v>22915</v>
      </c>
      <c r="B15094" s="15" t="s">
        <v>22915</v>
      </c>
      <c r="C15094" s="15" t="s">
        <v>22070</v>
      </c>
      <c r="D15094" s="15" t="s">
        <v>22094</v>
      </c>
      <c r="E15094" s="2">
        <v>8504950</v>
      </c>
      <c r="F15094" s="4" t="str">
        <f>IF(B15094=B15093,"",B15094)</f>
        <v>Parnas</v>
      </c>
    </row>
    <row r="15095" spans="1:6" ht="15.75" customHeight="1">
      <c r="A15095" s="8" t="str">
        <f ca="1">IFERROR(__xludf.DUMMYFUNCTION("GOOGLETRANSLATE(B40987,""en"",""pt"")"),"Parnas")</f>
        <v>Parnas</v>
      </c>
      <c r="B15095" s="9" t="s">
        <v>22915</v>
      </c>
      <c r="C15095" s="9" t="s">
        <v>22070</v>
      </c>
      <c r="D15095" s="9" t="s">
        <v>22094</v>
      </c>
      <c r="E15095" s="10">
        <v>8504950</v>
      </c>
      <c r="F15095" s="4" t="str">
        <f>IF(B15095=B15094,"",B15095)</f>
        <v/>
      </c>
    </row>
    <row r="15096" spans="1:6" ht="15.75" customHeight="1">
      <c r="A15096" s="16" t="s">
        <v>3049</v>
      </c>
      <c r="B15096" s="15" t="s">
        <v>3049</v>
      </c>
      <c r="C15096" s="16" t="s">
        <v>1905</v>
      </c>
      <c r="D15096" s="16" t="s">
        <v>1922</v>
      </c>
      <c r="E15096" s="2">
        <v>3392998</v>
      </c>
      <c r="F15096" s="4" t="str">
        <f>IF(B15096=B15095,"",B15096)</f>
        <v>Parnamirim</v>
      </c>
    </row>
    <row r="15097" spans="1:6" ht="15.75" customHeight="1">
      <c r="A15097" s="8" t="str">
        <f ca="1">IFERROR(__xludf.DUMMYFUNCTION("GOOGLETRANSLATE(B24239,""en"",""pt"")"),"Parnamirim")</f>
        <v>Parnamirim</v>
      </c>
      <c r="B15097" s="9" t="s">
        <v>3049</v>
      </c>
      <c r="C15097" s="9" t="s">
        <v>1905</v>
      </c>
      <c r="D15097" s="9" t="s">
        <v>1922</v>
      </c>
      <c r="E15097" s="10">
        <v>3392998</v>
      </c>
      <c r="F15097" s="4" t="str">
        <f>IF(B15097=B15096,"",B15097)</f>
        <v/>
      </c>
    </row>
    <row r="15098" spans="1:6" ht="15.75" customHeight="1">
      <c r="A15098" s="8" t="str">
        <f ca="1">IFERROR(__xludf.DUMMYFUNCTION("GOOGLETRANSLATE(B24240,""en"",""pt"")"),"Parnaíba")</f>
        <v>Parnaíba</v>
      </c>
      <c r="B15098" s="11" t="s">
        <v>31381</v>
      </c>
      <c r="C15098" s="11" t="s">
        <v>1905</v>
      </c>
      <c r="D15098" s="11" t="s">
        <v>31349</v>
      </c>
      <c r="E15098" s="10">
        <v>3393001</v>
      </c>
      <c r="F15098" s="4" t="str">
        <f>IF(B15098=B15097,"",B15098)</f>
        <v>Parnaíba</v>
      </c>
    </row>
    <row r="15099" spans="1:6" ht="15.75" customHeight="1">
      <c r="A15099" s="15" t="s">
        <v>3047</v>
      </c>
      <c r="B15099" s="15" t="s">
        <v>3048</v>
      </c>
      <c r="C15099" s="15" t="s">
        <v>1905</v>
      </c>
      <c r="D15099" s="15" t="s">
        <v>1960</v>
      </c>
      <c r="E15099" s="2">
        <v>3393001</v>
      </c>
      <c r="F15099" s="4" t="str">
        <f>IF(B15099=B15098,"",B15099)</f>
        <v>ParnaÃ­ba</v>
      </c>
    </row>
    <row r="15100" spans="1:6" ht="15.75" customHeight="1">
      <c r="A15100" s="16" t="s">
        <v>29633</v>
      </c>
      <c r="B15100" s="15" t="s">
        <v>29633</v>
      </c>
      <c r="C15100" s="16" t="s">
        <v>27788</v>
      </c>
      <c r="D15100" s="16" t="s">
        <v>27813</v>
      </c>
      <c r="E15100" s="2">
        <v>5166184</v>
      </c>
      <c r="F15100" s="4" t="str">
        <f>IF(B15100=B15099,"",B15100)</f>
        <v>Parma Heights</v>
      </c>
    </row>
    <row r="15101" spans="1:6" ht="15.75" customHeight="1">
      <c r="A15101" s="8" t="str">
        <f ca="1">IFERROR(__xludf.DUMMYFUNCTION("GOOGLETRANSLATE(B44534,""en"",""pt"")"),"Parma Heights")</f>
        <v>Parma Heights</v>
      </c>
      <c r="B15101" s="11" t="s">
        <v>29633</v>
      </c>
      <c r="C15101" s="11" t="s">
        <v>27788</v>
      </c>
      <c r="D15101" s="11" t="s">
        <v>27813</v>
      </c>
      <c r="E15101" s="10">
        <v>5166184</v>
      </c>
      <c r="F15101" s="4" t="str">
        <f>IF(B15101=B15100,"",B15101)</f>
        <v/>
      </c>
    </row>
    <row r="15102" spans="1:6" ht="15.75" customHeight="1">
      <c r="A15102" s="15" t="s">
        <v>15354</v>
      </c>
      <c r="B15102" s="15" t="s">
        <v>15354</v>
      </c>
      <c r="C15102" s="15" t="s">
        <v>14891</v>
      </c>
      <c r="D15102" s="15" t="s">
        <v>14973</v>
      </c>
      <c r="E15102" s="2">
        <v>3171457</v>
      </c>
      <c r="F15102" s="4" t="str">
        <f>IF(B15102=B15101,"",B15102)</f>
        <v>Parma</v>
      </c>
    </row>
    <row r="15103" spans="1:6" ht="15.75" customHeight="1">
      <c r="A15103" s="15" t="s">
        <v>15354</v>
      </c>
      <c r="B15103" s="15" t="s">
        <v>15354</v>
      </c>
      <c r="C15103" s="15" t="s">
        <v>27788</v>
      </c>
      <c r="D15103" s="15" t="s">
        <v>27813</v>
      </c>
      <c r="E15103" s="2">
        <v>5166177</v>
      </c>
      <c r="F15103" s="4" t="str">
        <f>IF(B15103=B15102,"",B15103)</f>
        <v/>
      </c>
    </row>
    <row r="15104" spans="1:6" ht="15.75" customHeight="1">
      <c r="A15104" s="8" t="str">
        <f ca="1">IFERROR(__xludf.DUMMYFUNCTION("GOOGLETRANSLATE(B34780,""en"",""pt"")"),"Parma")</f>
        <v>Parma</v>
      </c>
      <c r="B15104" s="11" t="s">
        <v>15354</v>
      </c>
      <c r="C15104" s="11" t="s">
        <v>14891</v>
      </c>
      <c r="D15104" s="11" t="s">
        <v>14973</v>
      </c>
      <c r="E15104" s="10">
        <v>3171457</v>
      </c>
      <c r="F15104" s="4" t="str">
        <f>IF(B15104=B15103,"",B15104)</f>
        <v/>
      </c>
    </row>
    <row r="15105" spans="1:6" ht="15.75" customHeight="1">
      <c r="A15105" s="8" t="str">
        <f ca="1">IFERROR(__xludf.DUMMYFUNCTION("GOOGLETRANSLATE(B44533,""en"",""pt"")"),"Parma")</f>
        <v>Parma</v>
      </c>
      <c r="B15105" s="9" t="s">
        <v>15354</v>
      </c>
      <c r="C15105" s="9" t="s">
        <v>27788</v>
      </c>
      <c r="D15105" s="9" t="s">
        <v>27813</v>
      </c>
      <c r="E15105" s="10">
        <v>5166177</v>
      </c>
      <c r="F15105" s="4" t="str">
        <f>IF(B15105=B15104,"",B15105)</f>
        <v/>
      </c>
    </row>
    <row r="15106" spans="1:6" ht="15.75" customHeight="1">
      <c r="A15106" s="8" t="str">
        <f ca="1">IFERROR(__xludf.DUMMYFUNCTION("GOOGLETRANSLATE(B32521,""en"",""pt"")"),"Parli Vaijnāth")</f>
        <v>Parli Vaijnāth</v>
      </c>
      <c r="B15106" s="11" t="s">
        <v>33257</v>
      </c>
      <c r="C15106" s="11" t="s">
        <v>10178</v>
      </c>
      <c r="D15106" s="11" t="s">
        <v>10214</v>
      </c>
      <c r="E15106" s="10">
        <v>1260290</v>
      </c>
      <c r="F15106" s="4" t="str">
        <f>IF(B15106=B15105,"",B15106)</f>
        <v>Parli Vaijnāth</v>
      </c>
    </row>
    <row r="15107" spans="1:6" ht="15.75" customHeight="1">
      <c r="A15107" s="16" t="s">
        <v>12810</v>
      </c>
      <c r="B15107" s="15" t="s">
        <v>12811</v>
      </c>
      <c r="C15107" s="16" t="s">
        <v>10178</v>
      </c>
      <c r="D15107" s="16" t="s">
        <v>10214</v>
      </c>
      <c r="E15107" s="2">
        <v>1260290</v>
      </c>
      <c r="F15107" s="4" t="str">
        <f>IF(B15107=B15106,"",B15107)</f>
        <v>Parli VaijnÄth</v>
      </c>
    </row>
    <row r="15108" spans="1:6" ht="15.75" customHeight="1">
      <c r="A15108" s="8" t="str">
        <f ca="1">IFERROR(__xludf.DUMMYFUNCTION("GOOGLETRANSLATE(B32522,""en"",""pt"")"),"Parlākimidi")</f>
        <v>Parlākimidi</v>
      </c>
      <c r="B15108" s="11" t="s">
        <v>33258</v>
      </c>
      <c r="C15108" s="11" t="s">
        <v>10178</v>
      </c>
      <c r="D15108" s="11" t="s">
        <v>10190</v>
      </c>
      <c r="E15108" s="10">
        <v>1260296</v>
      </c>
      <c r="F15108" s="4" t="str">
        <f>IF(B15108=B15107,"",B15108)</f>
        <v>Parlākimidi</v>
      </c>
    </row>
    <row r="15109" spans="1:6" ht="15.75" customHeight="1">
      <c r="A15109" s="16" t="s">
        <v>12808</v>
      </c>
      <c r="B15109" s="15" t="s">
        <v>12809</v>
      </c>
      <c r="C15109" s="16" t="s">
        <v>10178</v>
      </c>
      <c r="D15109" s="16" t="s">
        <v>10190</v>
      </c>
      <c r="E15109" s="2">
        <v>1260296</v>
      </c>
      <c r="F15109" s="4" t="str">
        <f>IF(B15109=B15108,"",B15109)</f>
        <v>ParlÄkimidi</v>
      </c>
    </row>
    <row r="15110" spans="1:6" ht="15.75" customHeight="1">
      <c r="A15110" s="15" t="s">
        <v>24685</v>
      </c>
      <c r="B15110" s="15" t="s">
        <v>24685</v>
      </c>
      <c r="C15110" s="15" t="s">
        <v>24200</v>
      </c>
      <c r="D15110" s="15" t="s">
        <v>5513</v>
      </c>
      <c r="E15110" s="2">
        <v>3114256</v>
      </c>
      <c r="F15110" s="4" t="str">
        <f>IF(B15110=B15109,"",B15110)</f>
        <v>Parla</v>
      </c>
    </row>
    <row r="15111" spans="1:6" ht="15.75" customHeight="1">
      <c r="A15111" s="8" t="str">
        <f ca="1">IFERROR(__xludf.DUMMYFUNCTION("GOOGLETRANSLATE(B29330,""en"",""pt"")"),"Parla")</f>
        <v>Parla</v>
      </c>
      <c r="B15111" s="11" t="s">
        <v>24685</v>
      </c>
      <c r="C15111" s="11" t="s">
        <v>24200</v>
      </c>
      <c r="D15111" s="11" t="s">
        <v>5513</v>
      </c>
      <c r="E15111" s="10">
        <v>3114256</v>
      </c>
      <c r="F15111" s="4" t="str">
        <f>IF(B15111=B15110,"",B15111)</f>
        <v/>
      </c>
    </row>
    <row r="15112" spans="1:6" ht="15.75" customHeight="1">
      <c r="A15112" s="15" t="s">
        <v>29632</v>
      </c>
      <c r="B15112" s="15" t="s">
        <v>29632</v>
      </c>
      <c r="C15112" s="15" t="s">
        <v>27788</v>
      </c>
      <c r="D15112" s="15" t="s">
        <v>17061</v>
      </c>
      <c r="E15112" s="2">
        <v>4364946</v>
      </c>
      <c r="F15112" s="4" t="str">
        <f>IF(B15112=B15111,"",B15112)</f>
        <v>Parkville</v>
      </c>
    </row>
    <row r="15113" spans="1:6" ht="15.75" customHeight="1">
      <c r="A15113" s="8" t="str">
        <f ca="1">IFERROR(__xludf.DUMMYFUNCTION("GOOGLETRANSLATE(B43317,""en"",""pt"")"),"Parkville")</f>
        <v>Parkville</v>
      </c>
      <c r="B15113" s="9" t="s">
        <v>29632</v>
      </c>
      <c r="C15113" s="9" t="s">
        <v>27788</v>
      </c>
      <c r="D15113" s="9" t="s">
        <v>17061</v>
      </c>
      <c r="E15113" s="10">
        <v>4364946</v>
      </c>
      <c r="F15113" s="4" t="str">
        <f>IF(B15113=B15112,"",B15113)</f>
        <v/>
      </c>
    </row>
    <row r="15114" spans="1:6" ht="15.75" customHeight="1">
      <c r="A15114" s="15" t="s">
        <v>4136</v>
      </c>
      <c r="B15114" s="15" t="s">
        <v>4136</v>
      </c>
      <c r="C15114" s="15" t="s">
        <v>3975</v>
      </c>
      <c r="D15114" s="15" t="s">
        <v>3976</v>
      </c>
      <c r="E15114" s="2">
        <v>6098642</v>
      </c>
      <c r="F15114" s="4" t="str">
        <f>IF(B15114=B15113,"",B15114)</f>
        <v>Parksville</v>
      </c>
    </row>
    <row r="15115" spans="1:6" ht="15.75" customHeight="1">
      <c r="A15115" s="8" t="str">
        <f ca="1">IFERROR(__xludf.DUMMYFUNCTION("GOOGLETRANSLATE(B25540,""en"",""pt"")"),"Parksville")</f>
        <v>Parksville</v>
      </c>
      <c r="B15115" s="9" t="s">
        <v>4136</v>
      </c>
      <c r="C15115" s="9" t="s">
        <v>3975</v>
      </c>
      <c r="D15115" s="9" t="s">
        <v>3976</v>
      </c>
      <c r="E15115" s="10">
        <v>6098642</v>
      </c>
      <c r="F15115" s="4" t="str">
        <f>IF(B15115=B15114,"",B15115)</f>
        <v/>
      </c>
    </row>
    <row r="15116" spans="1:6" ht="15.75" customHeight="1">
      <c r="A15116" s="15" t="s">
        <v>29631</v>
      </c>
      <c r="B15116" s="15" t="s">
        <v>29631</v>
      </c>
      <c r="C15116" s="15" t="s">
        <v>27788</v>
      </c>
      <c r="D15116" s="15" t="s">
        <v>5468</v>
      </c>
      <c r="E15116" s="2">
        <v>4167829</v>
      </c>
      <c r="F15116" s="4" t="str">
        <f>IF(B15116=B15115,"",B15116)</f>
        <v>Parkland</v>
      </c>
    </row>
    <row r="15117" spans="1:6" ht="15.75" customHeight="1">
      <c r="A15117" s="15" t="s">
        <v>29631</v>
      </c>
      <c r="B15117" s="15" t="s">
        <v>29631</v>
      </c>
      <c r="C15117" s="15" t="s">
        <v>27788</v>
      </c>
      <c r="D15117" s="15" t="s">
        <v>27733</v>
      </c>
      <c r="E15117" s="2">
        <v>5806253</v>
      </c>
      <c r="F15117" s="4" t="str">
        <f>IF(B15117=B15116,"",B15117)</f>
        <v/>
      </c>
    </row>
    <row r="15118" spans="1:6" ht="15.75" customHeight="1">
      <c r="A15118" s="8" t="str">
        <f ca="1">IFERROR(__xludf.DUMMYFUNCTION("GOOGLETRANSLATE(B42984,""en"",""pt"")"),"Parkland")</f>
        <v>Parkland</v>
      </c>
      <c r="B15118" s="11" t="s">
        <v>29631</v>
      </c>
      <c r="C15118" s="11" t="s">
        <v>27788</v>
      </c>
      <c r="D15118" s="11" t="s">
        <v>5468</v>
      </c>
      <c r="E15118" s="10">
        <v>4167829</v>
      </c>
      <c r="F15118" s="4" t="str">
        <f>IF(B15118=B15117,"",B15118)</f>
        <v/>
      </c>
    </row>
    <row r="15119" spans="1:6" ht="15.75" customHeight="1">
      <c r="A15119" s="8" t="str">
        <f ca="1">IFERROR(__xludf.DUMMYFUNCTION("GOOGLETRANSLATE(B45363,""en"",""pt"")"),"Parkland")</f>
        <v>Parkland</v>
      </c>
      <c r="B15119" s="9" t="s">
        <v>29631</v>
      </c>
      <c r="C15119" s="9" t="s">
        <v>27788</v>
      </c>
      <c r="D15119" s="9" t="s">
        <v>27733</v>
      </c>
      <c r="E15119" s="10">
        <v>5806253</v>
      </c>
      <c r="F15119" s="4" t="str">
        <f>IF(B15119=B15118,"",B15119)</f>
        <v/>
      </c>
    </row>
    <row r="15120" spans="1:6" ht="15.75" customHeight="1">
      <c r="A15120" s="15" t="s">
        <v>29630</v>
      </c>
      <c r="B15120" s="15" t="s">
        <v>29630</v>
      </c>
      <c r="C15120" s="15" t="s">
        <v>27788</v>
      </c>
      <c r="D15120" s="15" t="s">
        <v>2341</v>
      </c>
      <c r="E15120" s="2">
        <v>5434006</v>
      </c>
      <c r="F15120" s="4" t="str">
        <f>IF(B15120=B15119,"",B15120)</f>
        <v>Parker</v>
      </c>
    </row>
    <row r="15121" spans="1:6" ht="15.75" customHeight="1">
      <c r="A15121" s="8" t="str">
        <f ca="1">IFERROR(__xludf.DUMMYFUNCTION("GOOGLETRANSLATE(B45115,""en"",""pt"")"),"Parker")</f>
        <v>Parker</v>
      </c>
      <c r="B15121" s="9" t="s">
        <v>29630</v>
      </c>
      <c r="C15121" s="9" t="s">
        <v>27788</v>
      </c>
      <c r="D15121" s="9" t="s">
        <v>2341</v>
      </c>
      <c r="E15121" s="10">
        <v>5434006</v>
      </c>
      <c r="F15121" s="4" t="str">
        <f>IF(B15121=B15120,"",B15121)</f>
        <v/>
      </c>
    </row>
    <row r="15122" spans="1:6" ht="15.75" customHeight="1">
      <c r="A15122" s="15" t="s">
        <v>30579</v>
      </c>
      <c r="B15122" s="15" t="s">
        <v>30579</v>
      </c>
      <c r="C15122" s="15" t="s">
        <v>30502</v>
      </c>
      <c r="D15122" s="15" t="s">
        <v>30504</v>
      </c>
      <c r="E15122" s="2">
        <v>1513017</v>
      </c>
      <c r="F15122" s="4" t="str">
        <f>IF(B15122=B15121,"",B15122)</f>
        <v>Parkent</v>
      </c>
    </row>
    <row r="15123" spans="1:6" ht="15.75" customHeight="1">
      <c r="A15123" s="8" t="str">
        <f ca="1">IFERROR(__xludf.DUMMYFUNCTION("GOOGLETRANSLATE(B45552,""en"",""pt"")"),"Parkent")</f>
        <v>Parkent</v>
      </c>
      <c r="B15123" s="11" t="s">
        <v>30579</v>
      </c>
      <c r="C15123" s="11" t="s">
        <v>30502</v>
      </c>
      <c r="D15123" s="11" t="s">
        <v>30504</v>
      </c>
      <c r="E15123" s="10">
        <v>1513017</v>
      </c>
      <c r="F15123" s="4" t="str">
        <f>IF(B15123=B15122,"",B15123)</f>
        <v/>
      </c>
    </row>
    <row r="15124" spans="1:6" ht="15.75" customHeight="1">
      <c r="A15124" s="16" t="s">
        <v>29629</v>
      </c>
      <c r="B15124" s="15" t="s">
        <v>29629</v>
      </c>
      <c r="C15124" s="16" t="s">
        <v>27788</v>
      </c>
      <c r="D15124" s="16" t="s">
        <v>27799</v>
      </c>
      <c r="E15124" s="2">
        <v>4905367</v>
      </c>
      <c r="F15124" s="4" t="str">
        <f>IF(B15124=B15123,"",B15124)</f>
        <v>Park Ridge</v>
      </c>
    </row>
    <row r="15125" spans="1:6" ht="15.75" customHeight="1">
      <c r="A15125" s="8" t="str">
        <f ca="1">IFERROR(__xludf.DUMMYFUNCTION("GOOGLETRANSLATE(B43869,""en"",""pt"")"),"Park Ridge")</f>
        <v>Park Ridge</v>
      </c>
      <c r="B15125" s="11" t="s">
        <v>29629</v>
      </c>
      <c r="C15125" s="11" t="s">
        <v>27788</v>
      </c>
      <c r="D15125" s="11" t="s">
        <v>27799</v>
      </c>
      <c r="E15125" s="10">
        <v>4905367</v>
      </c>
      <c r="F15125" s="4" t="str">
        <f>IF(B15125=B15124,"",B15125)</f>
        <v/>
      </c>
    </row>
    <row r="15126" spans="1:6" ht="15.75" customHeight="1">
      <c r="A15126" s="16" t="s">
        <v>29627</v>
      </c>
      <c r="B15126" s="15" t="s">
        <v>29628</v>
      </c>
      <c r="C15126" s="16" t="s">
        <v>27788</v>
      </c>
      <c r="D15126" s="16" t="s">
        <v>27799</v>
      </c>
      <c r="E15126" s="2">
        <v>4905337</v>
      </c>
      <c r="F15126" s="4" t="str">
        <f>IF(B15126=B15125,"",B15126)</f>
        <v>Park Forest</v>
      </c>
    </row>
    <row r="15127" spans="1:6" ht="15.75" customHeight="1">
      <c r="A15127" s="8" t="str">
        <f ca="1">IFERROR(__xludf.DUMMYFUNCTION("GOOGLETRANSLATE(B43868,""en"",""pt"")"),"Floresta do Parque")</f>
        <v>Floresta do Parque</v>
      </c>
      <c r="B15127" s="11" t="s">
        <v>29628</v>
      </c>
      <c r="C15127" s="11" t="s">
        <v>27788</v>
      </c>
      <c r="D15127" s="11" t="s">
        <v>27799</v>
      </c>
      <c r="E15127" s="10">
        <v>4905337</v>
      </c>
      <c r="F15127" s="4" t="str">
        <f>IF(B15127=B15126,"",B15127)</f>
        <v/>
      </c>
    </row>
    <row r="15128" spans="1:6" ht="15.75" customHeight="1">
      <c r="A15128" s="8" t="str">
        <f ca="1">IFERROR(__xludf.DUMMYFUNCTION("GOOGLETRANSLATE(B32523,""en"",""pt"")"),"Pariyāpuram")</f>
        <v>Pariyāpuram</v>
      </c>
      <c r="B15128" s="11" t="s">
        <v>33259</v>
      </c>
      <c r="C15128" s="11" t="s">
        <v>10178</v>
      </c>
      <c r="D15128" s="11" t="s">
        <v>10246</v>
      </c>
      <c r="E15128" s="10">
        <v>1260304</v>
      </c>
      <c r="F15128" s="4" t="str">
        <f>IF(B15128=B15127,"",B15128)</f>
        <v>Pariyāpuram</v>
      </c>
    </row>
    <row r="15129" spans="1:6" ht="15.75" customHeight="1">
      <c r="A15129" s="16" t="s">
        <v>12806</v>
      </c>
      <c r="B15129" s="15" t="s">
        <v>12807</v>
      </c>
      <c r="C15129" s="16" t="s">
        <v>10178</v>
      </c>
      <c r="D15129" s="16" t="s">
        <v>10246</v>
      </c>
      <c r="E15129" s="2">
        <v>1260304</v>
      </c>
      <c r="F15129" s="4" t="str">
        <f>IF(B15129=B15128,"",B15129)</f>
        <v>PariyÄpuram</v>
      </c>
    </row>
    <row r="15130" spans="1:6" ht="15.75" customHeight="1">
      <c r="A15130" s="15" t="s">
        <v>17540</v>
      </c>
      <c r="B15130" s="15" t="s">
        <v>17540</v>
      </c>
      <c r="C15130" s="15" t="s">
        <v>17432</v>
      </c>
      <c r="D15130" s="15" t="s">
        <v>17442</v>
      </c>
      <c r="E15130" s="2">
        <v>1732698</v>
      </c>
      <c r="F15130" s="4" t="str">
        <f>IF(B15130=B15129,"",B15130)</f>
        <v>Parit Raja</v>
      </c>
    </row>
    <row r="15131" spans="1:6" ht="15.75" customHeight="1">
      <c r="A15131" s="8" t="str">
        <f ca="1">IFERROR(__xludf.DUMMYFUNCTION("GOOGLETRANSLATE(B37407,""en"",""pt"")"),"Parit Raja")</f>
        <v>Parit Raja</v>
      </c>
      <c r="B15131" s="9" t="s">
        <v>17540</v>
      </c>
      <c r="C15131" s="9" t="s">
        <v>17432</v>
      </c>
      <c r="D15131" s="9" t="s">
        <v>17442</v>
      </c>
      <c r="E15131" s="10">
        <v>1732698</v>
      </c>
      <c r="F15131" s="4" t="str">
        <f>IF(B15131=B15130,"",B15131)</f>
        <v/>
      </c>
    </row>
    <row r="15132" spans="1:6" ht="15.75" customHeight="1">
      <c r="A15132" s="16" t="s">
        <v>17539</v>
      </c>
      <c r="B15132" s="15" t="s">
        <v>17539</v>
      </c>
      <c r="C15132" s="16" t="s">
        <v>17432</v>
      </c>
      <c r="D15132" s="16" t="s">
        <v>17438</v>
      </c>
      <c r="E15132" s="2">
        <v>1735089</v>
      </c>
      <c r="F15132" s="4" t="str">
        <f>IF(B15132=B15131,"",B15132)</f>
        <v>Parit Buntar</v>
      </c>
    </row>
    <row r="15133" spans="1:6" ht="15.75" customHeight="1">
      <c r="A15133" s="8" t="str">
        <f ca="1">IFERROR(__xludf.DUMMYFUNCTION("GOOGLETRANSLATE(B37476,""en"",""pt"")"),"Parit Buntar")</f>
        <v>Parit Buntar</v>
      </c>
      <c r="B15133" s="9" t="s">
        <v>17539</v>
      </c>
      <c r="C15133" s="9" t="s">
        <v>17432</v>
      </c>
      <c r="D15133" s="9" t="s">
        <v>17438</v>
      </c>
      <c r="E15133" s="10">
        <v>1735089</v>
      </c>
      <c r="F15133" s="4" t="str">
        <f>IF(B15133=B15132,"",B15133)</f>
        <v/>
      </c>
    </row>
    <row r="15134" spans="1:6" ht="15.75" customHeight="1">
      <c r="A15134" s="15" t="s">
        <v>7671</v>
      </c>
      <c r="B15134" s="15" t="s">
        <v>7671</v>
      </c>
      <c r="C15134" s="15" t="s">
        <v>7052</v>
      </c>
      <c r="D15134" s="15" t="s">
        <v>7058</v>
      </c>
      <c r="E15134" s="2">
        <v>2988507</v>
      </c>
      <c r="F15134" s="4" t="str">
        <f>IF(B15134=B15133,"",B15134)</f>
        <v>Paris</v>
      </c>
    </row>
    <row r="15135" spans="1:6" ht="15.75" customHeight="1">
      <c r="A15135" s="8" t="str">
        <f ca="1">IFERROR(__xludf.DUMMYFUNCTION("GOOGLETRANSLATE(B29857,""en"",""pt"")"),"Paris")</f>
        <v>Paris</v>
      </c>
      <c r="B15135" s="11" t="s">
        <v>7671</v>
      </c>
      <c r="C15135" s="11" t="s">
        <v>7052</v>
      </c>
      <c r="D15135" s="11" t="s">
        <v>32531</v>
      </c>
      <c r="E15135" s="10">
        <v>2988507</v>
      </c>
      <c r="F15135" s="4" t="str">
        <f>IF(B15135=B15134,"",B15135)</f>
        <v/>
      </c>
    </row>
    <row r="15136" spans="1:6" ht="15.75" customHeight="1">
      <c r="A15136" s="15" t="s">
        <v>3046</v>
      </c>
      <c r="B15136" s="15" t="s">
        <v>3046</v>
      </c>
      <c r="C15136" s="15" t="s">
        <v>1905</v>
      </c>
      <c r="D15136" s="15" t="s">
        <v>2287</v>
      </c>
      <c r="E15136" s="2">
        <v>3393008</v>
      </c>
      <c r="F15136" s="4" t="str">
        <f>IF(B15136=B15135,"",B15136)</f>
        <v>Parintins</v>
      </c>
    </row>
    <row r="15137" spans="1:6" ht="15.75" customHeight="1">
      <c r="A15137" s="8" t="str">
        <f ca="1">IFERROR(__xludf.DUMMYFUNCTION("GOOGLETRANSLATE(B24241,""en"",""pt"")"),"Parintins")</f>
        <v>Parintins</v>
      </c>
      <c r="B15137" s="11" t="s">
        <v>3046</v>
      </c>
      <c r="C15137" s="11" t="s">
        <v>1905</v>
      </c>
      <c r="D15137" s="11" t="s">
        <v>2287</v>
      </c>
      <c r="E15137" s="10">
        <v>3393008</v>
      </c>
      <c r="F15137" s="4" t="str">
        <f>IF(B15137=B15136,"",B15137)</f>
        <v/>
      </c>
    </row>
    <row r="15138" spans="1:6" ht="15.75" customHeight="1">
      <c r="A15138" s="8" t="str">
        <f ca="1">IFERROR(__xludf.DUMMYFUNCTION("GOOGLETRANSLATE(B32524,""en"",""pt"")"),"Parīchhatgarh")</f>
        <v>Parīchhatgarh</v>
      </c>
      <c r="B15138" s="9" t="s">
        <v>33260</v>
      </c>
      <c r="C15138" s="9" t="s">
        <v>10178</v>
      </c>
      <c r="D15138" s="9" t="s">
        <v>10193</v>
      </c>
      <c r="E15138" s="10">
        <v>1260313</v>
      </c>
      <c r="F15138" s="4" t="str">
        <f>IF(B15138=B15137,"",B15138)</f>
        <v>Parīchhatgarh</v>
      </c>
    </row>
    <row r="15139" spans="1:6" ht="15.75" customHeight="1">
      <c r="A15139" s="15" t="s">
        <v>14085</v>
      </c>
      <c r="B15139" s="15" t="s">
        <v>14085</v>
      </c>
      <c r="C15139" s="15" t="s">
        <v>13800</v>
      </c>
      <c r="D15139" s="15" t="s">
        <v>13872</v>
      </c>
      <c r="E15139" s="2">
        <v>1632334</v>
      </c>
      <c r="F15139" s="4" t="str">
        <f>IF(B15139=B15138,"",B15139)</f>
        <v>Pariaman</v>
      </c>
    </row>
    <row r="15140" spans="1:6" ht="15.75" customHeight="1">
      <c r="A15140" s="8" t="str">
        <f ca="1">IFERROR(__xludf.DUMMYFUNCTION("GOOGLETRANSLATE(B31503,""en"",""pt"")"),"Pariaman")</f>
        <v>Pariaman</v>
      </c>
      <c r="B15140" s="9" t="s">
        <v>14085</v>
      </c>
      <c r="C15140" s="9" t="s">
        <v>13800</v>
      </c>
      <c r="D15140" s="9" t="s">
        <v>13872</v>
      </c>
      <c r="E15140" s="10">
        <v>1632334</v>
      </c>
      <c r="F15140" s="4" t="str">
        <f>IF(B15140=B15139,"",B15140)</f>
        <v/>
      </c>
    </row>
    <row r="15141" spans="1:6" ht="15.75" customHeight="1">
      <c r="A15141" s="8" t="str">
        <f ca="1">IFERROR(__xludf.DUMMYFUNCTION("GOOGLETRANSLATE(B29331,""en"",""pt"")"),"Parets del Vallès")</f>
        <v>Parets del Vallès</v>
      </c>
      <c r="B15141" s="11" t="s">
        <v>32443</v>
      </c>
      <c r="C15141" s="11" t="s">
        <v>24200</v>
      </c>
      <c r="D15141" s="11" t="s">
        <v>24277</v>
      </c>
      <c r="E15141" s="10">
        <v>3114267</v>
      </c>
      <c r="F15141" s="4" t="str">
        <f>IF(B15141=B15140,"",B15141)</f>
        <v>Parets del Vallès</v>
      </c>
    </row>
    <row r="15142" spans="1:6" ht="15.75" customHeight="1">
      <c r="A15142" s="16" t="s">
        <v>24683</v>
      </c>
      <c r="B15142" s="15" t="s">
        <v>24684</v>
      </c>
      <c r="C15142" s="16" t="s">
        <v>24200</v>
      </c>
      <c r="D15142" s="16" t="s">
        <v>24277</v>
      </c>
      <c r="E15142" s="2">
        <v>3114267</v>
      </c>
      <c r="F15142" s="4" t="str">
        <f>IF(B15142=B15141,"",B15142)</f>
        <v>Parets del VallÃ¨s</v>
      </c>
    </row>
    <row r="15143" spans="1:6" ht="15.75" customHeight="1">
      <c r="A15143" s="15" t="s">
        <v>14084</v>
      </c>
      <c r="B15143" s="15" t="s">
        <v>14084</v>
      </c>
      <c r="C15143" s="15" t="s">
        <v>13800</v>
      </c>
      <c r="D15143" s="15" t="s">
        <v>13918</v>
      </c>
      <c r="E15143" s="2">
        <v>1632353</v>
      </c>
      <c r="F15143" s="4" t="str">
        <f>IF(B15143=B15142,"",B15143)</f>
        <v>Parepare</v>
      </c>
    </row>
    <row r="15144" spans="1:6" ht="15.75" customHeight="1">
      <c r="A15144" s="8" t="str">
        <f ca="1">IFERROR(__xludf.DUMMYFUNCTION("GOOGLETRANSLATE(B31504,""en"",""pt"")"),"Parepare")</f>
        <v>Parepare</v>
      </c>
      <c r="B15144" s="9" t="s">
        <v>14084</v>
      </c>
      <c r="C15144" s="9" t="s">
        <v>13800</v>
      </c>
      <c r="D15144" s="9" t="s">
        <v>13918</v>
      </c>
      <c r="E15144" s="10">
        <v>1632353</v>
      </c>
      <c r="F15144" s="4" t="str">
        <f>IF(B15144=B15143,"",B15144)</f>
        <v/>
      </c>
    </row>
    <row r="15145" spans="1:6" ht="15.75" customHeight="1">
      <c r="A15145" s="15" t="s">
        <v>3045</v>
      </c>
      <c r="B15145" s="15" t="s">
        <v>3045</v>
      </c>
      <c r="C15145" s="15" t="s">
        <v>1905</v>
      </c>
      <c r="D15145" s="15" t="s">
        <v>1922</v>
      </c>
      <c r="E15145" s="2">
        <v>3393017</v>
      </c>
      <c r="F15145" s="4" t="str">
        <f>IF(B15145=B15144,"",B15145)</f>
        <v>Parelhas</v>
      </c>
    </row>
    <row r="15146" spans="1:6" ht="15.75" customHeight="1">
      <c r="A15146" s="8" t="str">
        <f ca="1">IFERROR(__xludf.DUMMYFUNCTION("GOOGLETRANSLATE(B24242,""en"",""pt"")"),"Parelhas")</f>
        <v>Parelhas</v>
      </c>
      <c r="B15146" s="9" t="s">
        <v>3045</v>
      </c>
      <c r="C15146" s="9" t="s">
        <v>1905</v>
      </c>
      <c r="D15146" s="9" t="s">
        <v>1922</v>
      </c>
      <c r="E15146" s="10">
        <v>3393017</v>
      </c>
      <c r="F15146" s="4" t="str">
        <f>IF(B15146=B15145,"",B15146)</f>
        <v/>
      </c>
    </row>
    <row r="15147" spans="1:6" ht="15.75" customHeight="1">
      <c r="A15147" s="15" t="s">
        <v>21704</v>
      </c>
      <c r="B15147" s="15" t="s">
        <v>21704</v>
      </c>
      <c r="C15147" s="15" t="s">
        <v>21606</v>
      </c>
      <c r="D15147" s="15" t="s">
        <v>21616</v>
      </c>
      <c r="E15147" s="2">
        <v>2265169</v>
      </c>
      <c r="F15147" s="4" t="str">
        <f>IF(B15147=B15146,"",B15147)</f>
        <v>Parede</v>
      </c>
    </row>
    <row r="15148" spans="1:6" ht="15.75" customHeight="1">
      <c r="A15148" s="8" t="str">
        <f ca="1">IFERROR(__xludf.DUMMYFUNCTION("GOOGLETRANSLATE(B39588,""en"",""pt"")"),"Parede")</f>
        <v>Parede</v>
      </c>
      <c r="B15148" s="9" t="s">
        <v>21704</v>
      </c>
      <c r="C15148" s="9" t="s">
        <v>21606</v>
      </c>
      <c r="D15148" s="9" t="s">
        <v>21616</v>
      </c>
      <c r="E15148" s="10">
        <v>2265169</v>
      </c>
      <c r="F15148" s="4" t="str">
        <f>IF(B15148=B15147,"",B15148)</f>
        <v/>
      </c>
    </row>
    <row r="15149" spans="1:6" ht="15.75" customHeight="1">
      <c r="A15149" s="15" t="s">
        <v>14083</v>
      </c>
      <c r="B15149" s="15" t="s">
        <v>14083</v>
      </c>
      <c r="C15149" s="15" t="s">
        <v>13800</v>
      </c>
      <c r="D15149" s="15" t="s">
        <v>13816</v>
      </c>
      <c r="E15149" s="2">
        <v>1632358</v>
      </c>
      <c r="F15149" s="4" t="str">
        <f>IF(B15149=B15148,"",B15149)</f>
        <v>Pare</v>
      </c>
    </row>
    <row r="15150" spans="1:6" ht="15.75" customHeight="1">
      <c r="A15150" s="8" t="str">
        <f ca="1">IFERROR(__xludf.DUMMYFUNCTION("GOOGLETRANSLATE(B31505,""en"",""pt"")"),"Pare")</f>
        <v>Pare</v>
      </c>
      <c r="B15150" s="9" t="s">
        <v>14083</v>
      </c>
      <c r="C15150" s="9" t="s">
        <v>13800</v>
      </c>
      <c r="D15150" s="9" t="s">
        <v>13816</v>
      </c>
      <c r="E15150" s="10">
        <v>1632358</v>
      </c>
      <c r="F15150" s="4" t="str">
        <f>IF(B15150=B15149,"",B15150)</f>
        <v/>
      </c>
    </row>
    <row r="15151" spans="1:6" ht="15.75" customHeight="1">
      <c r="A15151" s="16" t="s">
        <v>6079</v>
      </c>
      <c r="B15151" s="15" t="s">
        <v>6079</v>
      </c>
      <c r="C15151" s="16" t="s">
        <v>5947</v>
      </c>
      <c r="D15151" s="16" t="s">
        <v>5965</v>
      </c>
      <c r="E15151" s="2">
        <v>3068582</v>
      </c>
      <c r="F15151" s="4" t="str">
        <f>IF(B15151=B15150,"",B15151)</f>
        <v>Pardubice</v>
      </c>
    </row>
    <row r="15152" spans="1:6" ht="15.75" customHeight="1">
      <c r="A15152" s="8" t="str">
        <f ca="1">IFERROR(__xludf.DUMMYFUNCTION("GOOGLETRANSLATE(B27277,""en"",""pt"")"),"Pardubice")</f>
        <v>Pardubice</v>
      </c>
      <c r="B15152" s="9" t="s">
        <v>6079</v>
      </c>
      <c r="C15152" s="9" t="s">
        <v>5947</v>
      </c>
      <c r="D15152" s="9" t="s">
        <v>31947</v>
      </c>
      <c r="E15152" s="10">
        <v>3068582</v>
      </c>
      <c r="F15152" s="4" t="str">
        <f>IF(B15152=B15151,"",B15152)</f>
        <v/>
      </c>
    </row>
    <row r="15153" spans="1:6" ht="15.75" customHeight="1">
      <c r="A15153" s="8" t="str">
        <f ca="1">IFERROR(__xludf.DUMMYFUNCTION("GOOGLETRANSLATE(B32525,""en"",""pt"")"),"Pārdi")</f>
        <v>Pārdi</v>
      </c>
      <c r="B15153" s="11" t="s">
        <v>33261</v>
      </c>
      <c r="C15153" s="11" t="s">
        <v>10178</v>
      </c>
      <c r="D15153" s="11" t="s">
        <v>10209</v>
      </c>
      <c r="E15153" s="10">
        <v>1260335</v>
      </c>
      <c r="F15153" s="4" t="str">
        <f>IF(B15153=B15152,"",B15153)</f>
        <v>Pārdi</v>
      </c>
    </row>
    <row r="15154" spans="1:6" ht="15.75" customHeight="1">
      <c r="A15154" s="15" t="s">
        <v>8985</v>
      </c>
      <c r="B15154" s="15" t="s">
        <v>8985</v>
      </c>
      <c r="C15154" s="15" t="s">
        <v>8028</v>
      </c>
      <c r="D15154" s="15" t="s">
        <v>8436</v>
      </c>
      <c r="E15154" s="2">
        <v>2855441</v>
      </c>
      <c r="F15154" s="4" t="str">
        <f>IF(B15154=B15153,"",B15154)</f>
        <v>Parchim</v>
      </c>
    </row>
    <row r="15155" spans="1:6" ht="15.75" customHeight="1">
      <c r="A15155" s="8" t="str">
        <f ca="1">IFERROR(__xludf.DUMMYFUNCTION("GOOGLETRANSLATE(B27656,""en"",""pt"")"),"Parchim")</f>
        <v>Parchim</v>
      </c>
      <c r="B15155" s="11" t="s">
        <v>8985</v>
      </c>
      <c r="C15155" s="11" t="s">
        <v>8028</v>
      </c>
      <c r="D15155" s="11" t="s">
        <v>8436</v>
      </c>
      <c r="E15155" s="10">
        <v>2855441</v>
      </c>
      <c r="F15155" s="4" t="str">
        <f>IF(B15155=B15154,"",B15155)</f>
        <v/>
      </c>
    </row>
    <row r="15156" spans="1:6" ht="15.75" customHeight="1">
      <c r="A15156" s="15" t="s">
        <v>12805</v>
      </c>
      <c r="B15156" s="15" t="s">
        <v>12805</v>
      </c>
      <c r="C15156" s="15" t="s">
        <v>10178</v>
      </c>
      <c r="D15156" s="15" t="s">
        <v>10214</v>
      </c>
      <c r="E15156" s="2">
        <v>1260341</v>
      </c>
      <c r="F15156" s="4" t="str">
        <f>IF(B15156=B15155,"",B15156)</f>
        <v>Parbhani</v>
      </c>
    </row>
    <row r="15157" spans="1:6" ht="15.75" customHeight="1">
      <c r="A15157" s="8" t="str">
        <f ca="1">IFERROR(__xludf.DUMMYFUNCTION("GOOGLETRANSLATE(B32526,""en"",""pt"")"),"Parbhani")</f>
        <v>Parbhani</v>
      </c>
      <c r="B15157" s="9" t="s">
        <v>12805</v>
      </c>
      <c r="C15157" s="9" t="s">
        <v>10178</v>
      </c>
      <c r="D15157" s="9" t="s">
        <v>10214</v>
      </c>
      <c r="E15157" s="10">
        <v>1260341</v>
      </c>
      <c r="F15157" s="4" t="str">
        <f>IF(B15157=B15156,"",B15157)</f>
        <v/>
      </c>
    </row>
    <row r="15158" spans="1:6" ht="15.75" customHeight="1">
      <c r="A15158" s="16" t="s">
        <v>1410</v>
      </c>
      <c r="B15158" s="15" t="s">
        <v>1410</v>
      </c>
      <c r="C15158" s="16" t="s">
        <v>1296</v>
      </c>
      <c r="D15158" s="16" t="s">
        <v>1304</v>
      </c>
      <c r="E15158" s="2">
        <v>1185149</v>
      </c>
      <c r="F15158" s="4" t="str">
        <f>IF(B15158=B15157,"",B15158)</f>
        <v>Parbatipur</v>
      </c>
    </row>
    <row r="15159" spans="1:6" ht="15.75" customHeight="1">
      <c r="A15159" s="8" t="str">
        <f ca="1">IFERROR(__xludf.DUMMYFUNCTION("GOOGLETRANSLATE(B23711,""en"",""pt"")"),"Parbatipur")</f>
        <v>Parbatipur</v>
      </c>
      <c r="B15159" s="9" t="s">
        <v>1410</v>
      </c>
      <c r="C15159" s="9" t="s">
        <v>1296</v>
      </c>
      <c r="D15159" s="9" t="s">
        <v>1304</v>
      </c>
      <c r="E15159" s="10">
        <v>1185149</v>
      </c>
      <c r="F15159" s="4" t="str">
        <f>IF(B15159=B15158,"",B15159)</f>
        <v/>
      </c>
    </row>
    <row r="15160" spans="1:6" ht="15.75" customHeight="1">
      <c r="A15160" s="8" t="str">
        <f ca="1">IFERROR(__xludf.DUMMYFUNCTION("GOOGLETRANSLATE(B32527,""en"",""pt"")"),"Paravūr")</f>
        <v>Paravūr</v>
      </c>
      <c r="B15160" s="11" t="s">
        <v>33262</v>
      </c>
      <c r="C15160" s="11" t="s">
        <v>10178</v>
      </c>
      <c r="D15160" s="11" t="s">
        <v>10246</v>
      </c>
      <c r="E15160" s="10">
        <v>1260354</v>
      </c>
      <c r="F15160" s="4" t="str">
        <f>IF(B15160=B15159,"",B15160)</f>
        <v>Paravūr</v>
      </c>
    </row>
    <row r="15161" spans="1:6" ht="15.75" customHeight="1">
      <c r="A15161" s="15" t="s">
        <v>12803</v>
      </c>
      <c r="B15161" s="15" t="s">
        <v>12804</v>
      </c>
      <c r="C15161" s="15" t="s">
        <v>10178</v>
      </c>
      <c r="D15161" s="15" t="s">
        <v>10246</v>
      </c>
      <c r="E15161" s="2">
        <v>1260354</v>
      </c>
      <c r="F15161" s="4" t="str">
        <f>IF(B15161=B15160,"",B15161)</f>
        <v>ParavÅ«r</v>
      </c>
    </row>
    <row r="15162" spans="1:6" ht="15.75" customHeight="1">
      <c r="A15162" s="15" t="s">
        <v>3044</v>
      </c>
      <c r="B15162" s="15" t="s">
        <v>3044</v>
      </c>
      <c r="C15162" s="15" t="s">
        <v>1905</v>
      </c>
      <c r="D15162" s="15" t="s">
        <v>1978</v>
      </c>
      <c r="E15162" s="2">
        <v>3455036</v>
      </c>
      <c r="F15162" s="4" t="str">
        <f>IF(B15162=B15161,"",B15162)</f>
        <v>Paraty</v>
      </c>
    </row>
    <row r="15163" spans="1:6" ht="15.75" customHeight="1">
      <c r="A15163" s="8" t="str">
        <f ca="1">IFERROR(__xludf.DUMMYFUNCTION("GOOGLETRANSLATE(B24739,""en"",""pt"")"),"Paraty")</f>
        <v>Paraty</v>
      </c>
      <c r="B15163" s="9" t="s">
        <v>3044</v>
      </c>
      <c r="C15163" s="9" t="s">
        <v>1905</v>
      </c>
      <c r="D15163" s="9" t="s">
        <v>1978</v>
      </c>
      <c r="E15163" s="10">
        <v>3455036</v>
      </c>
      <c r="F15163" s="4" t="str">
        <f>IF(B15163=B15162,"",B15163)</f>
        <v/>
      </c>
    </row>
    <row r="15164" spans="1:6" ht="15.75" customHeight="1">
      <c r="A15164" s="8" t="str">
        <f ca="1">IFERROR(__xludf.DUMMYFUNCTION("GOOGLETRANSLATE(B32528,""en"",""pt"")"),"Parāsia")</f>
        <v>Parāsia</v>
      </c>
      <c r="B15164" s="11" t="s">
        <v>33263</v>
      </c>
      <c r="C15164" s="11" t="s">
        <v>10178</v>
      </c>
      <c r="D15164" s="11" t="s">
        <v>10219</v>
      </c>
      <c r="E15164" s="10">
        <v>1260368</v>
      </c>
      <c r="F15164" s="4" t="str">
        <f>IF(B15164=B15163,"",B15164)</f>
        <v>Parāsia</v>
      </c>
    </row>
    <row r="15165" spans="1:6" ht="15.75" customHeight="1">
      <c r="A15165" s="16" t="s">
        <v>19200</v>
      </c>
      <c r="B15165" s="15" t="s">
        <v>19200</v>
      </c>
      <c r="C15165" s="16" t="s">
        <v>19169</v>
      </c>
      <c r="D15165" s="16" t="s">
        <v>13773</v>
      </c>
      <c r="E15165" s="2">
        <v>2184904</v>
      </c>
      <c r="F15165" s="4" t="str">
        <f>IF(B15165=B15164,"",B15165)</f>
        <v>Paraparaumu</v>
      </c>
    </row>
    <row r="15166" spans="1:6" ht="15.75" customHeight="1">
      <c r="A15166" s="8" t="str">
        <f ca="1">IFERROR(__xludf.DUMMYFUNCTION("GOOGLETRANSLATE(B38223,""en"",""pt"")"),"Paraparaumu")</f>
        <v>Paraparaumu</v>
      </c>
      <c r="B15166" s="11" t="s">
        <v>19200</v>
      </c>
      <c r="C15166" s="11" t="s">
        <v>19169</v>
      </c>
      <c r="D15166" s="11" t="s">
        <v>13773</v>
      </c>
      <c r="E15166" s="10">
        <v>2184904</v>
      </c>
      <c r="F15166" s="4" t="str">
        <f>IF(B15166=B15165,"",B15166)</f>
        <v/>
      </c>
    </row>
    <row r="15167" spans="1:6" ht="15.75" customHeight="1">
      <c r="A15167" s="15" t="s">
        <v>20954</v>
      </c>
      <c r="B15167" s="15" t="s">
        <v>20954</v>
      </c>
      <c r="C15167" s="15" t="s">
        <v>20598</v>
      </c>
      <c r="D15167" s="15" t="s">
        <v>20683</v>
      </c>
      <c r="E15167" s="2">
        <v>1694775</v>
      </c>
      <c r="F15167" s="4" t="str">
        <f>IF(B15167=B15166,"",B15167)</f>
        <v>Parang</v>
      </c>
    </row>
    <row r="15168" spans="1:6" ht="15.75" customHeight="1">
      <c r="A15168" s="8" t="str">
        <f ca="1">IFERROR(__xludf.DUMMYFUNCTION("GOOGLETRANSLATE(B38558,""en"",""pt"")"),"Parang")</f>
        <v>Parang</v>
      </c>
      <c r="B15168" s="11" t="s">
        <v>20954</v>
      </c>
      <c r="C15168" s="11" t="s">
        <v>20598</v>
      </c>
      <c r="D15168" s="11" t="s">
        <v>20683</v>
      </c>
      <c r="E15168" s="10">
        <v>1694775</v>
      </c>
      <c r="F15168" s="4" t="str">
        <f>IF(B15168=B15167,"",B15168)</f>
        <v/>
      </c>
    </row>
    <row r="15169" spans="1:6" ht="15.75" customHeight="1">
      <c r="A15169" s="8" t="str">
        <f ca="1">IFERROR(__xludf.DUMMYFUNCTION("GOOGLETRANSLATE(B24740,""en"",""pt"")"),"Paranavaí")</f>
        <v>Paranavaí</v>
      </c>
      <c r="B15169" s="9" t="s">
        <v>31564</v>
      </c>
      <c r="C15169" s="9" t="s">
        <v>1905</v>
      </c>
      <c r="D15169" s="9" t="s">
        <v>727</v>
      </c>
      <c r="E15169" s="10">
        <v>3455051</v>
      </c>
      <c r="F15169" s="4" t="str">
        <f>IF(B15169=B15168,"",B15169)</f>
        <v>Paranavaí</v>
      </c>
    </row>
    <row r="15170" spans="1:6" ht="15.75" customHeight="1">
      <c r="A15170" s="16" t="s">
        <v>3042</v>
      </c>
      <c r="B15170" s="15" t="s">
        <v>3043</v>
      </c>
      <c r="C15170" s="16" t="s">
        <v>1905</v>
      </c>
      <c r="D15170" s="16" t="s">
        <v>728</v>
      </c>
      <c r="E15170" s="2">
        <v>3455051</v>
      </c>
      <c r="F15170" s="4" t="str">
        <f>IF(B15170=B15169,"",B15170)</f>
        <v>ParanavaÃ­</v>
      </c>
    </row>
    <row r="15171" spans="1:6" ht="15.75" customHeight="1">
      <c r="A15171" s="16" t="s">
        <v>3041</v>
      </c>
      <c r="B15171" s="15" t="s">
        <v>3041</v>
      </c>
      <c r="C15171" s="16" t="s">
        <v>1905</v>
      </c>
      <c r="D15171" s="16" t="s">
        <v>1914</v>
      </c>
      <c r="E15171" s="2">
        <v>3455061</v>
      </c>
      <c r="F15171" s="4" t="str">
        <f>IF(B15171=B15170,"",B15171)</f>
        <v>Paranapanema</v>
      </c>
    </row>
    <row r="15172" spans="1:6" ht="15.75" customHeight="1">
      <c r="A15172" s="8" t="str">
        <f ca="1">IFERROR(__xludf.DUMMYFUNCTION("GOOGLETRANSLATE(B24741,""en"",""pt"")"),"Paranapanema")</f>
        <v>Paranapanema</v>
      </c>
      <c r="B15172" s="11" t="s">
        <v>3041</v>
      </c>
      <c r="C15172" s="11" t="s">
        <v>1905</v>
      </c>
      <c r="D15172" s="11" t="s">
        <v>3354</v>
      </c>
      <c r="E15172" s="10">
        <v>3455061</v>
      </c>
      <c r="F15172" s="4" t="str">
        <f>IF(B15172=B15171,"",B15172)</f>
        <v/>
      </c>
    </row>
    <row r="15173" spans="1:6" ht="15.75" customHeight="1">
      <c r="A15173" s="8" t="str">
        <f ca="1">IFERROR(__xludf.DUMMYFUNCTION("GOOGLETRANSLATE(B24742,""en"",""pt"")"),"Paranaíba")</f>
        <v>Paranaíba</v>
      </c>
      <c r="B15173" s="9" t="s">
        <v>31565</v>
      </c>
      <c r="C15173" s="9" t="s">
        <v>1905</v>
      </c>
      <c r="D15173" s="9" t="s">
        <v>1973</v>
      </c>
      <c r="E15173" s="10">
        <v>3455065</v>
      </c>
      <c r="F15173" s="4" t="str">
        <f>IF(B15173=B15172,"",B15173)</f>
        <v>Paranaíba</v>
      </c>
    </row>
    <row r="15174" spans="1:6" ht="15.75" customHeight="1">
      <c r="A15174" s="16" t="s">
        <v>3039</v>
      </c>
      <c r="B15174" s="15" t="s">
        <v>3040</v>
      </c>
      <c r="C15174" s="16" t="s">
        <v>1905</v>
      </c>
      <c r="D15174" s="16" t="s">
        <v>728</v>
      </c>
      <c r="E15174" s="2">
        <v>3455070</v>
      </c>
      <c r="F15174" s="4" t="str">
        <f>IF(B15174=B15173,"",B15174)</f>
        <v>ParanaguÃ¡</v>
      </c>
    </row>
    <row r="15175" spans="1:6" ht="15.75" customHeight="1">
      <c r="A15175" s="8" t="str">
        <f ca="1">IFERROR(__xludf.DUMMYFUNCTION("GOOGLETRANSLATE(B24743,""en"",""pt"")"),"Paranaguá")</f>
        <v>Paranaguá</v>
      </c>
      <c r="B15175" s="9" t="s">
        <v>31566</v>
      </c>
      <c r="C15175" s="9" t="s">
        <v>1905</v>
      </c>
      <c r="D15175" s="9" t="s">
        <v>727</v>
      </c>
      <c r="E15175" s="10">
        <v>3455070</v>
      </c>
      <c r="F15175" s="4" t="str">
        <f>IF(B15175=B15174,"",B15175)</f>
        <v>Paranaguá</v>
      </c>
    </row>
    <row r="15176" spans="1:6" ht="15.75" customHeight="1">
      <c r="A15176" s="16" t="s">
        <v>3037</v>
      </c>
      <c r="B15176" s="15" t="s">
        <v>3038</v>
      </c>
      <c r="C15176" s="16" t="s">
        <v>1905</v>
      </c>
      <c r="D15176" s="16" t="s">
        <v>1973</v>
      </c>
      <c r="E15176" s="2">
        <v>3455065</v>
      </c>
      <c r="F15176" s="4" t="str">
        <f>IF(B15176=B15175,"",B15176)</f>
        <v>ParanaÃ­ba</v>
      </c>
    </row>
    <row r="15177" spans="1:6" ht="15.75" customHeight="1">
      <c r="A15177" s="15" t="s">
        <v>727</v>
      </c>
      <c r="B15177" s="15" t="s">
        <v>728</v>
      </c>
      <c r="C15177" s="15" t="s">
        <v>558</v>
      </c>
      <c r="D15177" s="15" t="s">
        <v>611</v>
      </c>
      <c r="E15177" s="2">
        <v>3841956</v>
      </c>
      <c r="F15177" s="4" t="str">
        <f>IF(B15177=B15176,"",B15177)</f>
        <v>ParanÃ¡</v>
      </c>
    </row>
    <row r="15178" spans="1:6" ht="15.75" customHeight="1">
      <c r="A15178" s="8" t="str">
        <f ca="1">IFERROR(__xludf.DUMMYFUNCTION("GOOGLETRANSLATE(B23296,""en"",""pt"")"),"Paraná")</f>
        <v>Paraná</v>
      </c>
      <c r="B15178" s="11" t="s">
        <v>727</v>
      </c>
      <c r="C15178" s="11" t="s">
        <v>558</v>
      </c>
      <c r="D15178" s="11" t="s">
        <v>611</v>
      </c>
      <c r="E15178" s="10">
        <v>3841956</v>
      </c>
      <c r="F15178" s="4" t="str">
        <f>IF(B15178=B15177,"",B15178)</f>
        <v>Paraná</v>
      </c>
    </row>
    <row r="15179" spans="1:6" ht="15.75" customHeight="1">
      <c r="A15179" s="15" t="s">
        <v>29626</v>
      </c>
      <c r="B15179" s="15" t="s">
        <v>29626</v>
      </c>
      <c r="C15179" s="15" t="s">
        <v>27788</v>
      </c>
      <c r="D15179" s="15" t="s">
        <v>27905</v>
      </c>
      <c r="E15179" s="2">
        <v>5102387</v>
      </c>
      <c r="F15179" s="4" t="str">
        <f>IF(B15179=B15178,"",B15179)</f>
        <v>Paramus</v>
      </c>
    </row>
    <row r="15180" spans="1:6" ht="15.75" customHeight="1">
      <c r="A15180" s="8" t="str">
        <f ca="1">IFERROR(__xludf.DUMMYFUNCTION("GOOGLETRANSLATE(B44295,""en"",""pt"")"),"Paramus")</f>
        <v>Paramus</v>
      </c>
      <c r="B15180" s="11" t="s">
        <v>29626</v>
      </c>
      <c r="C15180" s="11" t="s">
        <v>27788</v>
      </c>
      <c r="D15180" s="11" t="s">
        <v>27905</v>
      </c>
      <c r="E15180" s="10">
        <v>5102387</v>
      </c>
      <c r="F15180" s="4" t="str">
        <f>IF(B15180=B15179,"",B15180)</f>
        <v/>
      </c>
    </row>
    <row r="15181" spans="1:6" ht="15.75" customHeight="1">
      <c r="A15181" s="16" t="s">
        <v>29625</v>
      </c>
      <c r="B15181" s="15" t="s">
        <v>29625</v>
      </c>
      <c r="C15181" s="16" t="s">
        <v>27788</v>
      </c>
      <c r="D15181" s="16" t="s">
        <v>27801</v>
      </c>
      <c r="E15181" s="2">
        <v>5381110</v>
      </c>
      <c r="F15181" s="4" t="str">
        <f>IF(B15181=B15180,"",B15181)</f>
        <v>Paramount</v>
      </c>
    </row>
    <row r="15182" spans="1:6" ht="15.75" customHeight="1">
      <c r="A15182" s="8" t="str">
        <f ca="1">IFERROR(__xludf.DUMMYFUNCTION("GOOGLETRANSLATE(B44954,""en"",""pt"")"),"Paramount")</f>
        <v>Paramount</v>
      </c>
      <c r="B15182" s="11" t="s">
        <v>29625</v>
      </c>
      <c r="C15182" s="11" t="s">
        <v>27788</v>
      </c>
      <c r="D15182" s="11" t="s">
        <v>27801</v>
      </c>
      <c r="E15182" s="10">
        <v>5381110</v>
      </c>
      <c r="F15182" s="4" t="str">
        <f>IF(B15182=B15181,"",B15182)</f>
        <v/>
      </c>
    </row>
    <row r="15183" spans="1:6" ht="15.75" customHeight="1">
      <c r="A15183" s="16" t="s">
        <v>20556</v>
      </c>
      <c r="B15183" s="15" t="s">
        <v>20557</v>
      </c>
      <c r="C15183" s="16" t="s">
        <v>20470</v>
      </c>
      <c r="D15183" s="16" t="s">
        <v>20479</v>
      </c>
      <c r="E15183" s="2">
        <v>3933024</v>
      </c>
      <c r="F15183" s="4" t="str">
        <f>IF(B15183=B15182,"",B15183)</f>
        <v>Paramonga</v>
      </c>
    </row>
    <row r="15184" spans="1:6" ht="15.75" customHeight="1">
      <c r="A15184" s="8" t="str">
        <f ca="1">IFERROR(__xludf.DUMMYFUNCTION("GOOGLETRANSLATE(B38369,""en"",""pt"")"),"Paramenga")</f>
        <v>Paramenga</v>
      </c>
      <c r="B15184" s="9" t="s">
        <v>20557</v>
      </c>
      <c r="C15184" s="9" t="s">
        <v>20470</v>
      </c>
      <c r="D15184" s="9" t="s">
        <v>20479</v>
      </c>
      <c r="E15184" s="10">
        <v>3933024</v>
      </c>
      <c r="F15184" s="4" t="str">
        <f>IF(B15184=B15183,"",B15184)</f>
        <v/>
      </c>
    </row>
    <row r="15185" spans="1:6" ht="15.75" customHeight="1">
      <c r="A15185" s="16" t="s">
        <v>1056</v>
      </c>
      <c r="B15185" s="15" t="s">
        <v>1056</v>
      </c>
      <c r="C15185" s="16" t="s">
        <v>885</v>
      </c>
      <c r="D15185" s="16" t="s">
        <v>891</v>
      </c>
      <c r="E15185" s="2">
        <v>7281840</v>
      </c>
      <c r="F15185" s="4" t="str">
        <f>IF(B15185=B15184,"",B15185)</f>
        <v>Paramatta</v>
      </c>
    </row>
    <row r="15186" spans="1:6" ht="15.75" customHeight="1">
      <c r="A15186" s="8" t="str">
        <f ca="1">IFERROR(__xludf.DUMMYFUNCTION("GOOGLETRANSLATE(B23580,""en"",""pt"")"),"Paramatta")</f>
        <v>Paramatta</v>
      </c>
      <c r="B15186" s="9" t="s">
        <v>1056</v>
      </c>
      <c r="C15186" s="9" t="s">
        <v>885</v>
      </c>
      <c r="D15186" s="9" t="s">
        <v>891</v>
      </c>
      <c r="E15186" s="10">
        <v>7281840</v>
      </c>
      <c r="F15186" s="4" t="str">
        <f>IF(B15186=B15185,"",B15186)</f>
        <v/>
      </c>
    </row>
    <row r="15187" spans="1:6" ht="15.75" customHeight="1">
      <c r="A15187" s="16" t="s">
        <v>25066</v>
      </c>
      <c r="B15187" s="15" t="s">
        <v>25066</v>
      </c>
      <c r="C15187" s="16" t="s">
        <v>25064</v>
      </c>
      <c r="D15187" s="16" t="s">
        <v>25066</v>
      </c>
      <c r="E15187" s="2">
        <v>3383330</v>
      </c>
      <c r="F15187" s="4" t="str">
        <f>IF(B15187=B15186,"",B15187)</f>
        <v>Paramaribo</v>
      </c>
    </row>
    <row r="15188" spans="1:6" ht="15.75" customHeight="1">
      <c r="A15188" s="8" t="str">
        <f ca="1">IFERROR(__xludf.DUMMYFUNCTION("GOOGLETRANSLATE(B41340,""en"",""pt"")"),"Paramaribo")</f>
        <v>Paramaribo</v>
      </c>
      <c r="B15188" s="9" t="s">
        <v>25066</v>
      </c>
      <c r="C15188" s="9" t="s">
        <v>25064</v>
      </c>
      <c r="D15188" s="9" t="s">
        <v>25066</v>
      </c>
      <c r="E15188" s="10">
        <v>3383330</v>
      </c>
      <c r="F15188" s="4" t="str">
        <f>IF(B15188=B15187,"",B15188)</f>
        <v/>
      </c>
    </row>
    <row r="15189" spans="1:6" ht="15.75" customHeight="1">
      <c r="A15189" s="16" t="s">
        <v>12801</v>
      </c>
      <c r="B15189" s="15" t="s">
        <v>12802</v>
      </c>
      <c r="C15189" s="16" t="s">
        <v>10178</v>
      </c>
      <c r="D15189" s="16" t="s">
        <v>10196</v>
      </c>
      <c r="E15189" s="2">
        <v>1260387</v>
      </c>
      <c r="F15189" s="4" t="str">
        <f>IF(B15189=B15188,"",B15189)</f>
        <v>Paramagudi</v>
      </c>
    </row>
    <row r="15190" spans="1:6" ht="15.75" customHeight="1">
      <c r="A15190" s="8" t="str">
        <f ca="1">IFERROR(__xludf.DUMMYFUNCTION("GOOGLETRANSLATE(B32529,""en"",""pt"")"),"Paramaguudi")</f>
        <v>Paramaguudi</v>
      </c>
      <c r="B15190" s="9" t="s">
        <v>12802</v>
      </c>
      <c r="C15190" s="9" t="s">
        <v>10178</v>
      </c>
      <c r="D15190" s="9" t="s">
        <v>10196</v>
      </c>
      <c r="E15190" s="10">
        <v>1260387</v>
      </c>
      <c r="F15190" s="4" t="str">
        <f>IF(B15190=B15189,"",B15190)</f>
        <v/>
      </c>
    </row>
    <row r="15191" spans="1:6" ht="15.75" customHeight="1">
      <c r="A15191" s="15" t="s">
        <v>1779</v>
      </c>
      <c r="B15191" s="15" t="s">
        <v>1779</v>
      </c>
      <c r="C15191" s="15" t="s">
        <v>1741</v>
      </c>
      <c r="D15191" s="15" t="s">
        <v>1755</v>
      </c>
      <c r="E15191" s="2">
        <v>2392204</v>
      </c>
      <c r="F15191" s="4" t="str">
        <f>IF(B15191=B15190,"",B15191)</f>
        <v>Parakou</v>
      </c>
    </row>
    <row r="15192" spans="1:6" ht="15.75" customHeight="1">
      <c r="A15192" s="8" t="str">
        <f ca="1">IFERROR(__xludf.DUMMYFUNCTION("GOOGLETRANSLATE(B24087,""en"",""pt"")"),"Parakou")</f>
        <v>Parakou</v>
      </c>
      <c r="B15192" s="11" t="s">
        <v>1779</v>
      </c>
      <c r="C15192" s="11" t="s">
        <v>1741</v>
      </c>
      <c r="D15192" s="11" t="s">
        <v>1755</v>
      </c>
      <c r="E15192" s="10">
        <v>2392204</v>
      </c>
      <c r="F15192" s="4" t="str">
        <f>IF(B15192=B15191,"",B15192)</f>
        <v/>
      </c>
    </row>
    <row r="15193" spans="1:6" ht="15.75" customHeight="1">
      <c r="A15193" s="8" t="str">
        <f ca="1">IFERROR(__xludf.DUMMYFUNCTION("GOOGLETRANSLATE(B27084,""en"",""pt"")"),"Paraíso")</f>
        <v>Paraíso</v>
      </c>
      <c r="B15193" s="9" t="s">
        <v>18156</v>
      </c>
      <c r="C15193" s="9" t="s">
        <v>5665</v>
      </c>
      <c r="D15193" s="9" t="s">
        <v>5414</v>
      </c>
      <c r="E15193" s="10">
        <v>3622547</v>
      </c>
      <c r="F15193" s="4" t="str">
        <f>IF(B15193=B15192,"",B15193)</f>
        <v>Paraíso</v>
      </c>
    </row>
    <row r="15194" spans="1:6" ht="15.75" customHeight="1">
      <c r="A15194" s="15" t="s">
        <v>18156</v>
      </c>
      <c r="B15194" s="15" t="s">
        <v>18157</v>
      </c>
      <c r="C15194" s="15" t="s">
        <v>17707</v>
      </c>
      <c r="D15194" s="15" t="s">
        <v>17788</v>
      </c>
      <c r="E15194" s="2">
        <v>3521912</v>
      </c>
      <c r="F15194" s="4" t="str">
        <f>IF(B15194=B15193,"",B15194)</f>
        <v>Paraiso</v>
      </c>
    </row>
    <row r="15195" spans="1:6" ht="15.75" customHeight="1">
      <c r="A15195" s="15" t="s">
        <v>18156</v>
      </c>
      <c r="B15195" s="15" t="s">
        <v>18157</v>
      </c>
      <c r="C15195" s="15" t="s">
        <v>20598</v>
      </c>
      <c r="D15195" s="15" t="s">
        <v>20627</v>
      </c>
      <c r="E15195" s="2">
        <v>1694791</v>
      </c>
      <c r="F15195" s="4" t="str">
        <f>IF(B15195=B15194,"",B15195)</f>
        <v/>
      </c>
    </row>
    <row r="15196" spans="1:6" ht="15.75" customHeight="1">
      <c r="A15196" s="8" t="str">
        <f ca="1">IFERROR(__xludf.DUMMYFUNCTION("GOOGLETRANSLATE(B36952,""en"",""pt"")"),"Paraíso")</f>
        <v>Paraíso</v>
      </c>
      <c r="B15196" s="9" t="s">
        <v>18157</v>
      </c>
      <c r="C15196" s="9" t="s">
        <v>17707</v>
      </c>
      <c r="D15196" s="9" t="s">
        <v>17788</v>
      </c>
      <c r="E15196" s="10">
        <v>3521912</v>
      </c>
      <c r="F15196" s="4" t="str">
        <f>IF(B15196=B15195,"",B15196)</f>
        <v/>
      </c>
    </row>
    <row r="15197" spans="1:6" ht="15.75" customHeight="1">
      <c r="A15197" s="8" t="str">
        <f ca="1">IFERROR(__xludf.DUMMYFUNCTION("GOOGLETRANSLATE(B38559,""en"",""pt"")"),"Paraíso")</f>
        <v>Paraíso</v>
      </c>
      <c r="B15197" s="11" t="s">
        <v>18157</v>
      </c>
      <c r="C15197" s="11" t="s">
        <v>20598</v>
      </c>
      <c r="D15197" s="11" t="s">
        <v>20627</v>
      </c>
      <c r="E15197" s="10">
        <v>1694791</v>
      </c>
      <c r="F15197" s="4" t="str">
        <f>IF(B15197=B15196,"",B15197)</f>
        <v/>
      </c>
    </row>
    <row r="15198" spans="1:6" ht="15.75" customHeight="1">
      <c r="A15198" s="16" t="s">
        <v>3036</v>
      </c>
      <c r="B15198" s="15" t="s">
        <v>3036</v>
      </c>
      <c r="C15198" s="16" t="s">
        <v>1905</v>
      </c>
      <c r="D15198" s="16" t="s">
        <v>1930</v>
      </c>
      <c r="E15198" s="2">
        <v>3393091</v>
      </c>
      <c r="F15198" s="4" t="str">
        <f>IF(B15198=B15197,"",B15198)</f>
        <v>Paraipaba</v>
      </c>
    </row>
    <row r="15199" spans="1:6" ht="15.75" customHeight="1">
      <c r="A15199" s="8" t="str">
        <f ca="1">IFERROR(__xludf.DUMMYFUNCTION("GOOGLETRANSLATE(B24243,""en"",""pt"")"),"Paraipaba")</f>
        <v>Paraipaba</v>
      </c>
      <c r="B15199" s="9" t="s">
        <v>3036</v>
      </c>
      <c r="C15199" s="9" t="s">
        <v>1905</v>
      </c>
      <c r="D15199" s="9" t="s">
        <v>31345</v>
      </c>
      <c r="E15199" s="10">
        <v>3393091</v>
      </c>
      <c r="F15199" s="4" t="str">
        <f>IF(B15199=B15198,"",B15199)</f>
        <v/>
      </c>
    </row>
    <row r="15200" spans="1:6" ht="15.75" customHeight="1">
      <c r="A15200" s="8" t="str">
        <f ca="1">IFERROR(__xludf.DUMMYFUNCTION("GOOGLETRANSLATE(B24744,""en"",""pt"")"),"Paraíba do sul")</f>
        <v>Paraíba do sul</v>
      </c>
      <c r="B15200" s="11" t="s">
        <v>31567</v>
      </c>
      <c r="C15200" s="11" t="s">
        <v>1905</v>
      </c>
      <c r="D15200" s="11" t="s">
        <v>1978</v>
      </c>
      <c r="E15200" s="10">
        <v>3455141</v>
      </c>
      <c r="F15200" s="4" t="str">
        <f>IF(B15200=B15199,"",B15200)</f>
        <v>Paraíba do Sul</v>
      </c>
    </row>
    <row r="15201" spans="1:6" ht="15.75" customHeight="1">
      <c r="A15201" s="8" t="str">
        <f ca="1">IFERROR(__xludf.DUMMYFUNCTION("GOOGLETRANSLATE(B24745,""en"",""pt"")"),"Paraguaçu Paulista")</f>
        <v>Paraguaçu Paulista</v>
      </c>
      <c r="B15201" s="9" t="s">
        <v>31568</v>
      </c>
      <c r="C15201" s="9" t="s">
        <v>1905</v>
      </c>
      <c r="D15201" s="9" t="s">
        <v>3354</v>
      </c>
      <c r="E15201" s="10">
        <v>3455152</v>
      </c>
      <c r="F15201" s="4" t="str">
        <f>IF(B15201=B15200,"",B15201)</f>
        <v>Paraguaçu Paulista</v>
      </c>
    </row>
    <row r="15202" spans="1:6" ht="15.75" customHeight="1">
      <c r="A15202" s="8" t="str">
        <f ca="1">IFERROR(__xludf.DUMMYFUNCTION("GOOGLETRANSLATE(B24746,""en"",""pt"")"),"Paraguaçu")</f>
        <v>Paraguaçu</v>
      </c>
      <c r="B15202" s="11" t="s">
        <v>31569</v>
      </c>
      <c r="C15202" s="11" t="s">
        <v>1905</v>
      </c>
      <c r="D15202" s="11" t="s">
        <v>1917</v>
      </c>
      <c r="E15202" s="10">
        <v>3455155</v>
      </c>
      <c r="F15202" s="4" t="str">
        <f>IF(B15202=B15201,"",B15202)</f>
        <v>Paraguaçu</v>
      </c>
    </row>
    <row r="15203" spans="1:6" ht="15.75" customHeight="1">
      <c r="A15203" s="16" t="s">
        <v>3034</v>
      </c>
      <c r="B15203" s="15" t="s">
        <v>3035</v>
      </c>
      <c r="C15203" s="16" t="s">
        <v>1905</v>
      </c>
      <c r="D15203" s="16" t="s">
        <v>1914</v>
      </c>
      <c r="E15203" s="2">
        <v>3455152</v>
      </c>
      <c r="F15203" s="4" t="str">
        <f>IF(B15203=B15202,"",B15203)</f>
        <v>ParaguaÃ§u Paulista</v>
      </c>
    </row>
    <row r="15204" spans="1:6" ht="15.75" customHeight="1">
      <c r="A15204" s="16" t="s">
        <v>3032</v>
      </c>
      <c r="B15204" s="15" t="s">
        <v>3033</v>
      </c>
      <c r="C15204" s="16" t="s">
        <v>1905</v>
      </c>
      <c r="D15204" s="16" t="s">
        <v>1917</v>
      </c>
      <c r="E15204" s="2">
        <v>3455155</v>
      </c>
      <c r="F15204" s="4" t="str">
        <f>IF(B15204=B15203,"",B15204)</f>
        <v>ParaguaÃ§u</v>
      </c>
    </row>
    <row r="15205" spans="1:6" ht="15.75" customHeight="1">
      <c r="A15205" s="16" t="s">
        <v>29624</v>
      </c>
      <c r="B15205" s="15" t="s">
        <v>29624</v>
      </c>
      <c r="C15205" s="16" t="s">
        <v>27788</v>
      </c>
      <c r="D15205" s="16" t="s">
        <v>27991</v>
      </c>
      <c r="E15205" s="2">
        <v>4125388</v>
      </c>
      <c r="F15205" s="4" t="str">
        <f>IF(B15205=B15204,"",B15205)</f>
        <v>Paragould</v>
      </c>
    </row>
    <row r="15206" spans="1:6" ht="15.75" customHeight="1">
      <c r="A15206" s="8" t="str">
        <f ca="1">IFERROR(__xludf.DUMMYFUNCTION("GOOGLETRANSLATE(B42823,""en"",""pt"")"),"Paragould")</f>
        <v>Paragould</v>
      </c>
      <c r="B15206" s="11" t="s">
        <v>29624</v>
      </c>
      <c r="C15206" s="11" t="s">
        <v>27788</v>
      </c>
      <c r="D15206" s="11" t="s">
        <v>27991</v>
      </c>
      <c r="E15206" s="10">
        <v>4125388</v>
      </c>
      <c r="F15206" s="4" t="str">
        <f>IF(B15206=B15205,"",B15206)</f>
        <v/>
      </c>
    </row>
    <row r="15207" spans="1:6" ht="15.75" customHeight="1">
      <c r="A15207" s="16" t="s">
        <v>3031</v>
      </c>
      <c r="B15207" s="15" t="s">
        <v>3031</v>
      </c>
      <c r="C15207" s="16" t="s">
        <v>1905</v>
      </c>
      <c r="D15207" s="16" t="s">
        <v>1906</v>
      </c>
      <c r="E15207" s="2">
        <v>3393106</v>
      </c>
      <c r="F15207" s="4" t="str">
        <f>IF(B15207=B15206,"",B15207)</f>
        <v>Paragominas</v>
      </c>
    </row>
    <row r="15208" spans="1:6" ht="15.75" customHeight="1">
      <c r="A15208" s="8" t="str">
        <f ca="1">IFERROR(__xludf.DUMMYFUNCTION("GOOGLETRANSLATE(B24244,""en"",""pt"")"),"Paragominas")</f>
        <v>Paragominas</v>
      </c>
      <c r="B15208" s="11" t="s">
        <v>3031</v>
      </c>
      <c r="C15208" s="11" t="s">
        <v>1905</v>
      </c>
      <c r="D15208" s="11" t="s">
        <v>31342</v>
      </c>
      <c r="E15208" s="10">
        <v>3393106</v>
      </c>
      <c r="F15208" s="4" t="str">
        <f>IF(B15208=B15207,"",B15208)</f>
        <v/>
      </c>
    </row>
    <row r="15209" spans="1:6" ht="15.75" customHeight="1">
      <c r="A15209" s="8" t="str">
        <f ca="1">IFERROR(__xludf.DUMMYFUNCTION("GOOGLETRANSLATE(B31291,""en"",""pt"")"),"ParádSasvár")</f>
        <v>ParádSasvár</v>
      </c>
      <c r="B15209" s="9" t="s">
        <v>32864</v>
      </c>
      <c r="C15209" s="9" t="s">
        <v>9955</v>
      </c>
      <c r="D15209" s="9" t="s">
        <v>10041</v>
      </c>
      <c r="E15209" s="10">
        <v>3046619</v>
      </c>
      <c r="F15209" s="4" t="str">
        <f>IF(B15209=B15208,"",B15209)</f>
        <v>Parádsasvár</v>
      </c>
    </row>
    <row r="15210" spans="1:6" ht="15.75" customHeight="1">
      <c r="A15210" s="15" t="s">
        <v>18156</v>
      </c>
      <c r="B15210" s="15" t="s">
        <v>26079</v>
      </c>
      <c r="C15210" s="15" t="s">
        <v>26070</v>
      </c>
      <c r="D15210" s="15" t="s">
        <v>26080</v>
      </c>
      <c r="E15210" s="2">
        <v>3573989</v>
      </c>
      <c r="F15210" s="4" t="str">
        <f>IF(B15210=B15209,"",B15210)</f>
        <v>Paradise</v>
      </c>
    </row>
    <row r="15211" spans="1:6" ht="15.75" customHeight="1">
      <c r="A15211" s="15" t="s">
        <v>18156</v>
      </c>
      <c r="B15211" s="15" t="s">
        <v>26079</v>
      </c>
      <c r="C15211" s="15" t="s">
        <v>27788</v>
      </c>
      <c r="D15211" s="15" t="s">
        <v>27801</v>
      </c>
      <c r="E15211" s="2">
        <v>5381002</v>
      </c>
      <c r="F15211" s="4" t="str">
        <f>IF(B15211=B15210,"",B15211)</f>
        <v/>
      </c>
    </row>
    <row r="15212" spans="1:6" ht="15.75" customHeight="1">
      <c r="A15212" s="15" t="s">
        <v>18156</v>
      </c>
      <c r="B15212" s="15" t="s">
        <v>26079</v>
      </c>
      <c r="C15212" s="15" t="s">
        <v>27788</v>
      </c>
      <c r="D15212" s="15" t="s">
        <v>28073</v>
      </c>
      <c r="E15212" s="2">
        <v>5509952</v>
      </c>
      <c r="F15212" s="4" t="str">
        <f>IF(B15212=B15211,"",B15212)</f>
        <v/>
      </c>
    </row>
    <row r="15213" spans="1:6" ht="15.75" customHeight="1">
      <c r="A15213" s="8" t="str">
        <f ca="1">IFERROR(__xludf.DUMMYFUNCTION("GOOGLETRANSLATE(B42253,""en"",""pt"")"),"Paraíso")</f>
        <v>Paraíso</v>
      </c>
      <c r="B15213" s="11" t="s">
        <v>26079</v>
      </c>
      <c r="C15213" s="11" t="s">
        <v>26070</v>
      </c>
      <c r="D15213" s="11" t="s">
        <v>26080</v>
      </c>
      <c r="E15213" s="10">
        <v>3573989</v>
      </c>
      <c r="F15213" s="4" t="str">
        <f>IF(B15213=B15212,"",B15213)</f>
        <v/>
      </c>
    </row>
    <row r="15214" spans="1:6" ht="15.75" customHeight="1">
      <c r="A15214" s="8" t="str">
        <f ca="1">IFERROR(__xludf.DUMMYFUNCTION("GOOGLETRANSLATE(B44953,""en"",""pt"")"),"Paraíso")</f>
        <v>Paraíso</v>
      </c>
      <c r="B15214" s="9" t="s">
        <v>26079</v>
      </c>
      <c r="C15214" s="9" t="s">
        <v>27788</v>
      </c>
      <c r="D15214" s="9" t="s">
        <v>27801</v>
      </c>
      <c r="E15214" s="10">
        <v>5381002</v>
      </c>
      <c r="F15214" s="4" t="str">
        <f>IF(B15214=B15213,"",B15214)</f>
        <v/>
      </c>
    </row>
    <row r="15215" spans="1:6" ht="15.75" customHeight="1">
      <c r="A15215" s="8" t="str">
        <f ca="1">IFERROR(__xludf.DUMMYFUNCTION("GOOGLETRANSLATE(B45147,""en"",""pt"")"),"Paraíso")</f>
        <v>Paraíso</v>
      </c>
      <c r="B15215" s="9" t="s">
        <v>26079</v>
      </c>
      <c r="C15215" s="9" t="s">
        <v>27788</v>
      </c>
      <c r="D15215" s="9" t="s">
        <v>28073</v>
      </c>
      <c r="E15215" s="10">
        <v>5509952</v>
      </c>
      <c r="F15215" s="4" t="str">
        <f>IF(B15215=B15214,"",B15215)</f>
        <v/>
      </c>
    </row>
    <row r="15216" spans="1:6" ht="15.75" customHeight="1">
      <c r="A15216" s="8" t="str">
        <f ca="1">IFERROR(__xludf.DUMMYFUNCTION("GOOGLETRANSLATE(B32530,""en"",""pt"")"),"Parādīp Garh")</f>
        <v>Parādīp Garh</v>
      </c>
      <c r="B15216" s="11" t="s">
        <v>33264</v>
      </c>
      <c r="C15216" s="11" t="s">
        <v>10178</v>
      </c>
      <c r="D15216" s="11" t="s">
        <v>10229</v>
      </c>
      <c r="E15216" s="10">
        <v>1260393</v>
      </c>
      <c r="F15216" s="4" t="str">
        <f>IF(B15216=B15215,"",B15216)</f>
        <v>Parādīp Garh</v>
      </c>
    </row>
    <row r="15217" spans="1:6" ht="15.75" customHeight="1">
      <c r="A15217" s="15" t="s">
        <v>3030</v>
      </c>
      <c r="B15217" s="15" t="s">
        <v>3030</v>
      </c>
      <c r="C15217" s="15" t="s">
        <v>1905</v>
      </c>
      <c r="D15217" s="15" t="s">
        <v>1930</v>
      </c>
      <c r="E15217" s="2">
        <v>3393115</v>
      </c>
      <c r="F15217" s="4" t="str">
        <f>IF(B15217=B15216,"",B15217)</f>
        <v>Paracuru</v>
      </c>
    </row>
    <row r="15218" spans="1:6" ht="15.75" customHeight="1">
      <c r="A15218" s="8" t="str">
        <f ca="1">IFERROR(__xludf.DUMMYFUNCTION("GOOGLETRANSLATE(B24245,""en"",""pt"")"),"Paracuru")</f>
        <v>Paracuru</v>
      </c>
      <c r="B15218" s="9" t="s">
        <v>3030</v>
      </c>
      <c r="C15218" s="9" t="s">
        <v>1905</v>
      </c>
      <c r="D15218" s="9" t="s">
        <v>31345</v>
      </c>
      <c r="E15218" s="10">
        <v>3393115</v>
      </c>
      <c r="F15218" s="4" t="str">
        <f>IF(B15218=B15217,"",B15218)</f>
        <v/>
      </c>
    </row>
    <row r="15219" spans="1:6" ht="15.75" customHeight="1">
      <c r="A15219" s="16" t="s">
        <v>18155</v>
      </c>
      <c r="B15219" s="15" t="s">
        <v>18155</v>
      </c>
      <c r="C15219" s="16" t="s">
        <v>17707</v>
      </c>
      <c r="D15219" s="16" t="s">
        <v>17761</v>
      </c>
      <c r="E15219" s="2">
        <v>3993457</v>
      </c>
      <c r="F15219" s="4" t="str">
        <f>IF(B15219=B15218,"",B15219)</f>
        <v>Paracho de Verduzco</v>
      </c>
    </row>
    <row r="15220" spans="1:6" ht="15.75" customHeight="1">
      <c r="A15220" s="8" t="str">
        <f ca="1">IFERROR(__xludf.DUMMYFUNCTION("GOOGLETRANSLATE(B37227,""en"",""pt"")"),"Paracho de Verduzco")</f>
        <v>Paracho de Verduzco</v>
      </c>
      <c r="B15220" s="11" t="s">
        <v>18155</v>
      </c>
      <c r="C15220" s="11" t="s">
        <v>17707</v>
      </c>
      <c r="D15220" s="11" t="s">
        <v>34727</v>
      </c>
      <c r="E15220" s="10">
        <v>3993457</v>
      </c>
      <c r="F15220" s="4" t="str">
        <f>IF(B15220=B15219,"",B15220)</f>
        <v/>
      </c>
    </row>
    <row r="15221" spans="1:6" ht="15.75" customHeight="1">
      <c r="A15221" s="15" t="s">
        <v>3029</v>
      </c>
      <c r="B15221" s="15" t="s">
        <v>3029</v>
      </c>
      <c r="C15221" s="15" t="s">
        <v>1905</v>
      </c>
      <c r="D15221" s="15" t="s">
        <v>1917</v>
      </c>
      <c r="E15221" s="2">
        <v>3455168</v>
      </c>
      <c r="F15221" s="4" t="str">
        <f>IF(B15221=B15220,"",B15221)</f>
        <v>Paracatu</v>
      </c>
    </row>
    <row r="15222" spans="1:6" ht="15.75" customHeight="1">
      <c r="A15222" s="8" t="str">
        <f ca="1">IFERROR(__xludf.DUMMYFUNCTION("GOOGLETRANSLATE(B24748,""en"",""pt"")"),"Paracatu")</f>
        <v>Paracatu</v>
      </c>
      <c r="B15222" s="9" t="s">
        <v>3029</v>
      </c>
      <c r="C15222" s="9" t="s">
        <v>1905</v>
      </c>
      <c r="D15222" s="9" t="s">
        <v>1917</v>
      </c>
      <c r="E15222" s="10">
        <v>3455168</v>
      </c>
      <c r="F15222" s="4" t="str">
        <f>IF(B15222=B15221,"",B15222)</f>
        <v/>
      </c>
    </row>
    <row r="15223" spans="1:6" ht="15.75" customHeight="1">
      <c r="A15223" s="16" t="s">
        <v>3028</v>
      </c>
      <c r="B15223" s="15" t="s">
        <v>3028</v>
      </c>
      <c r="C15223" s="16" t="s">
        <v>1905</v>
      </c>
      <c r="D15223" s="16" t="s">
        <v>1978</v>
      </c>
      <c r="E15223" s="2">
        <v>3455170</v>
      </c>
      <c r="F15223" s="4" t="str">
        <f>IF(B15223=B15222,"",B15223)</f>
        <v>Paracambi</v>
      </c>
    </row>
    <row r="15224" spans="1:6" ht="15.75" customHeight="1">
      <c r="A15224" s="8" t="str">
        <f ca="1">IFERROR(__xludf.DUMMYFUNCTION("GOOGLETRANSLATE(B24749,""en"",""pt"")"),"Paracambi")</f>
        <v>Paracambi</v>
      </c>
      <c r="B15224" s="9" t="s">
        <v>3028</v>
      </c>
      <c r="C15224" s="9" t="s">
        <v>1905</v>
      </c>
      <c r="D15224" s="9" t="s">
        <v>1978</v>
      </c>
      <c r="E15224" s="10">
        <v>3455170</v>
      </c>
      <c r="F15224" s="4" t="str">
        <f>IF(B15224=B15223,"",B15224)</f>
        <v/>
      </c>
    </row>
    <row r="15225" spans="1:6" ht="15.75" customHeight="1">
      <c r="A15225" s="16" t="s">
        <v>15353</v>
      </c>
      <c r="B15225" s="15" t="s">
        <v>15353</v>
      </c>
      <c r="C15225" s="16" t="s">
        <v>14891</v>
      </c>
      <c r="D15225" s="16" t="s">
        <v>14894</v>
      </c>
      <c r="E15225" s="2">
        <v>3171484</v>
      </c>
      <c r="F15225" s="4" t="str">
        <f>IF(B15225=B15224,"",B15225)</f>
        <v>Parabiago</v>
      </c>
    </row>
    <row r="15226" spans="1:6" ht="15.75" customHeight="1">
      <c r="A15226" s="8" t="str">
        <f ca="1">IFERROR(__xludf.DUMMYFUNCTION("GOOGLETRANSLATE(B34781,""en"",""pt"")"),"Parabiago")</f>
        <v>Parabiago</v>
      </c>
      <c r="B15226" s="9" t="s">
        <v>15353</v>
      </c>
      <c r="C15226" s="9" t="s">
        <v>14891</v>
      </c>
      <c r="D15226" s="9" t="s">
        <v>14894</v>
      </c>
      <c r="E15226" s="10">
        <v>3171484</v>
      </c>
      <c r="F15226" s="4" t="str">
        <f>IF(B15226=B15225,"",B15226)</f>
        <v/>
      </c>
    </row>
    <row r="15227" spans="1:6" ht="15.75" customHeight="1">
      <c r="A15227" s="15" t="s">
        <v>5690</v>
      </c>
      <c r="B15227" s="15" t="s">
        <v>5691</v>
      </c>
      <c r="C15227" s="15" t="s">
        <v>5665</v>
      </c>
      <c r="D15227" s="15" t="s">
        <v>5414</v>
      </c>
      <c r="E15227" s="2">
        <v>3622547</v>
      </c>
      <c r="F15227" s="4" t="str">
        <f>IF(B15227=B15226,"",B15227)</f>
        <v>ParaÃ­so</v>
      </c>
    </row>
    <row r="15228" spans="1:6" ht="15.75" customHeight="1">
      <c r="A15228" s="16" t="s">
        <v>3026</v>
      </c>
      <c r="B15228" s="15" t="s">
        <v>3027</v>
      </c>
      <c r="C15228" s="16" t="s">
        <v>1905</v>
      </c>
      <c r="D15228" s="16" t="s">
        <v>1978</v>
      </c>
      <c r="E15228" s="2">
        <v>3455141</v>
      </c>
      <c r="F15228" s="4" t="str">
        <f>IF(B15228=B15227,"",B15228)</f>
        <v>ParaÃ­ba do Sul</v>
      </c>
    </row>
    <row r="15229" spans="1:6" ht="15.75" customHeight="1">
      <c r="A15229" s="15" t="s">
        <v>12799</v>
      </c>
      <c r="B15229" s="15" t="s">
        <v>12800</v>
      </c>
      <c r="C15229" s="15" t="s">
        <v>10178</v>
      </c>
      <c r="D15229" s="15" t="s">
        <v>10219</v>
      </c>
      <c r="E15229" s="2">
        <v>1260368</v>
      </c>
      <c r="F15229" s="4" t="str">
        <f>IF(B15229=B15228,"",B15229)</f>
        <v>ParÄsia</v>
      </c>
    </row>
    <row r="15230" spans="1:6" ht="15.75" customHeight="1">
      <c r="A15230" s="16" t="s">
        <v>12797</v>
      </c>
      <c r="B15230" s="15" t="s">
        <v>12798</v>
      </c>
      <c r="C15230" s="16" t="s">
        <v>10178</v>
      </c>
      <c r="D15230" s="16" t="s">
        <v>10229</v>
      </c>
      <c r="E15230" s="2">
        <v>1260393</v>
      </c>
      <c r="F15230" s="4" t="str">
        <f>IF(B15230=B15229,"",B15230)</f>
        <v>ParÄdÄ«p Garh</v>
      </c>
    </row>
    <row r="15231" spans="1:6" ht="15.75" customHeight="1">
      <c r="A15231" s="16" t="s">
        <v>12795</v>
      </c>
      <c r="B15231" s="15" t="s">
        <v>12796</v>
      </c>
      <c r="C15231" s="16" t="s">
        <v>10178</v>
      </c>
      <c r="D15231" s="16" t="s">
        <v>10193</v>
      </c>
      <c r="E15231" s="2">
        <v>1260313</v>
      </c>
      <c r="F15231" s="4" t="str">
        <f>IF(B15231=B15230,"",B15231)</f>
        <v>ParÄ«chhatgarh</v>
      </c>
    </row>
    <row r="15232" spans="1:6" ht="15.75" customHeight="1">
      <c r="A15232" s="15" t="s">
        <v>10125</v>
      </c>
      <c r="B15232" s="15" t="s">
        <v>10126</v>
      </c>
      <c r="C15232" s="15" t="s">
        <v>9955</v>
      </c>
      <c r="D15232" s="15" t="s">
        <v>10041</v>
      </c>
      <c r="E15232" s="2">
        <v>3046619</v>
      </c>
      <c r="F15232" s="4" t="str">
        <f>IF(B15232=B15231,"",B15232)</f>
        <v>ParÃ¡dsasvÃ¡r</v>
      </c>
    </row>
    <row r="15233" spans="1:6" ht="15.75" customHeight="1">
      <c r="A15233" s="16" t="s">
        <v>3024</v>
      </c>
      <c r="B15233" s="15" t="s">
        <v>3025</v>
      </c>
      <c r="C15233" s="16" t="s">
        <v>1905</v>
      </c>
      <c r="D15233" s="16" t="s">
        <v>1917</v>
      </c>
      <c r="E15233" s="2">
        <v>3455161</v>
      </c>
      <c r="F15233" s="4" t="str">
        <f>IF(B15233=B15232,"",B15233)</f>
        <v>ParÃ¡ de Minas</v>
      </c>
    </row>
    <row r="15234" spans="1:6" ht="15.75" customHeight="1">
      <c r="A15234" s="8" t="str">
        <f ca="1">IFERROR(__xludf.DUMMYFUNCTION("GOOGLETRANSLATE(B24747,""en"",""pt"")"),"Pará de Minas")</f>
        <v>Pará de Minas</v>
      </c>
      <c r="B15234" s="9" t="s">
        <v>31570</v>
      </c>
      <c r="C15234" s="9" t="s">
        <v>1905</v>
      </c>
      <c r="D15234" s="9" t="s">
        <v>1917</v>
      </c>
      <c r="E15234" s="10">
        <v>3455161</v>
      </c>
      <c r="F15234" s="4" t="str">
        <f>IF(B15234=B15233,"",B15234)</f>
        <v>Pará de Minas</v>
      </c>
    </row>
    <row r="15235" spans="1:6" ht="15.75" customHeight="1">
      <c r="A15235" s="8" t="str">
        <f ca="1">IFERROR(__xludf.DUMMYFUNCTION("GOOGLETRANSLATE(B23759,""en"",""pt"")"),"Pār Naogaon")</f>
        <v>Pār Naogaon</v>
      </c>
      <c r="B15235" s="9" t="s">
        <v>31291</v>
      </c>
      <c r="C15235" s="9" t="s">
        <v>1296</v>
      </c>
      <c r="D15235" s="9" t="s">
        <v>31259</v>
      </c>
      <c r="E15235" s="10">
        <v>1192366</v>
      </c>
      <c r="F15235" s="4" t="str">
        <f>IF(B15235=B15234,"",B15235)</f>
        <v>Pār Naogaon</v>
      </c>
    </row>
    <row r="15236" spans="1:6" ht="15.75" customHeight="1">
      <c r="A15236" s="8" t="str">
        <f ca="1">IFERROR(__xludf.DUMMYFUNCTION("GOOGLETRANSLATE(B32531,""en"",""pt"")"),"Pāppinisshēri")</f>
        <v>Pāppinisshēri</v>
      </c>
      <c r="B15236" s="11" t="s">
        <v>33265</v>
      </c>
      <c r="C15236" s="11" t="s">
        <v>10178</v>
      </c>
      <c r="D15236" s="11" t="s">
        <v>10246</v>
      </c>
      <c r="E15236" s="10">
        <v>1260406</v>
      </c>
      <c r="F15236" s="4" t="str">
        <f>IF(B15236=B15235,"",B15236)</f>
        <v>Pāppinisshēri</v>
      </c>
    </row>
    <row r="15237" spans="1:6" ht="15.75" customHeight="1">
      <c r="A15237" s="15" t="s">
        <v>29623</v>
      </c>
      <c r="B15237" s="15" t="s">
        <v>29623</v>
      </c>
      <c r="C15237" s="15" t="s">
        <v>27788</v>
      </c>
      <c r="D15237" s="15" t="s">
        <v>27995</v>
      </c>
      <c r="E15237" s="2">
        <v>5074792</v>
      </c>
      <c r="F15237" s="4" t="str">
        <f>IF(B15237=B15236,"",B15237)</f>
        <v>Papillion</v>
      </c>
    </row>
    <row r="15238" spans="1:6" ht="15.75" customHeight="1">
      <c r="A15238" s="8" t="str">
        <f ca="1">IFERROR(__xludf.DUMMYFUNCTION("GOOGLETRANSLATE(B44224,""en"",""pt"")"),"Papillion")</f>
        <v>Papillion</v>
      </c>
      <c r="B15238" s="11" t="s">
        <v>29623</v>
      </c>
      <c r="C15238" s="11" t="s">
        <v>27788</v>
      </c>
      <c r="D15238" s="11" t="s">
        <v>27995</v>
      </c>
      <c r="E15238" s="10">
        <v>5074792</v>
      </c>
      <c r="F15238" s="4" t="str">
        <f>IF(B15238=B15237,"",B15238)</f>
        <v/>
      </c>
    </row>
    <row r="15239" spans="1:6" ht="15.75" customHeight="1">
      <c r="A15239" s="15" t="s">
        <v>5942</v>
      </c>
      <c r="B15239" s="15" t="s">
        <v>5942</v>
      </c>
      <c r="C15239" s="15" t="s">
        <v>5932</v>
      </c>
      <c r="D15239" s="15" t="s">
        <v>5943</v>
      </c>
      <c r="E15239" s="2">
        <v>146214</v>
      </c>
      <c r="F15239" s="4" t="str">
        <f>IF(B15239=B15238,"",B15239)</f>
        <v>Paphos</v>
      </c>
    </row>
    <row r="15240" spans="1:6" ht="15.75" customHeight="1">
      <c r="A15240" s="8" t="str">
        <f ca="1">IFERROR(__xludf.DUMMYFUNCTION("GOOGLETRANSLATE(B27236,""en"",""pt"")"),"Paphos")</f>
        <v>Paphos</v>
      </c>
      <c r="B15240" s="11" t="s">
        <v>5942</v>
      </c>
      <c r="C15240" s="11" t="s">
        <v>5932</v>
      </c>
      <c r="D15240" s="11" t="s">
        <v>5943</v>
      </c>
      <c r="E15240" s="10">
        <v>146214</v>
      </c>
      <c r="F15240" s="4" t="str">
        <f>IF(B15240=B15239,"",B15240)</f>
        <v/>
      </c>
    </row>
    <row r="15241" spans="1:6" ht="15.75" customHeight="1">
      <c r="A15241" s="16" t="s">
        <v>19065</v>
      </c>
      <c r="B15241" s="15" t="s">
        <v>19065</v>
      </c>
      <c r="C15241" s="16" t="s">
        <v>18862</v>
      </c>
      <c r="D15241" s="16" t="s">
        <v>18868</v>
      </c>
      <c r="E15241" s="2">
        <v>2748729</v>
      </c>
      <c r="F15241" s="4" t="str">
        <f>IF(B15241=B15240,"",B15241)</f>
        <v>Papendrecht</v>
      </c>
    </row>
    <row r="15242" spans="1:6" ht="15.75" customHeight="1">
      <c r="A15242" s="8" t="str">
        <f ca="1">IFERROR(__xludf.DUMMYFUNCTION("GOOGLETRANSLATE(B37975,""en"",""pt"")"),"Papendrecht")</f>
        <v>Papendrecht</v>
      </c>
      <c r="B15242" s="11" t="s">
        <v>19065</v>
      </c>
      <c r="C15242" s="11" t="s">
        <v>18862</v>
      </c>
      <c r="D15242" s="11" t="s">
        <v>18868</v>
      </c>
      <c r="E15242" s="10">
        <v>2748729</v>
      </c>
      <c r="F15242" s="4" t="str">
        <f>IF(B15242=B15241,"",B15242)</f>
        <v/>
      </c>
    </row>
    <row r="15243" spans="1:6" ht="15.75" customHeight="1">
      <c r="A15243" s="16" t="s">
        <v>8983</v>
      </c>
      <c r="B15243" s="15" t="s">
        <v>8984</v>
      </c>
      <c r="C15243" s="16" t="s">
        <v>8028</v>
      </c>
      <c r="D15243" s="16" t="s">
        <v>8034</v>
      </c>
      <c r="E15243" s="2">
        <v>2855525</v>
      </c>
      <c r="F15243" s="4" t="str">
        <f>IF(B15243=B15242,"",B15243)</f>
        <v>Papenburg</v>
      </c>
    </row>
    <row r="15244" spans="1:6" ht="15.75" customHeight="1">
      <c r="A15244" s="8" t="str">
        <f ca="1">IFERROR(__xludf.DUMMYFUNCTION("GOOGLETRANSLATE(B27657,""en"",""pt"")"),"PapEnburg")</f>
        <v>PapEnburg</v>
      </c>
      <c r="B15244" s="11" t="s">
        <v>8984</v>
      </c>
      <c r="C15244" s="11" t="s">
        <v>8028</v>
      </c>
      <c r="D15244" s="11" t="s">
        <v>8034</v>
      </c>
      <c r="E15244" s="10">
        <v>2855525</v>
      </c>
      <c r="F15244" s="4" t="str">
        <f>IF(B15244=B15243,"",B15244)</f>
        <v/>
      </c>
    </row>
    <row r="15245" spans="1:6" ht="15.75" customHeight="1">
      <c r="A15245" s="15" t="s">
        <v>7953</v>
      </c>
      <c r="B15245" s="15" t="s">
        <v>7953</v>
      </c>
      <c r="C15245" s="15" t="s">
        <v>7951</v>
      </c>
      <c r="D15245" s="15" t="s">
        <v>7952</v>
      </c>
      <c r="E15245" s="2">
        <v>4033936</v>
      </c>
      <c r="F15245" s="4" t="str">
        <f>IF(B15245=B15244,"",B15245)</f>
        <v>Papeete</v>
      </c>
    </row>
    <row r="15246" spans="1:6" ht="15.75" customHeight="1">
      <c r="A15246" s="8" t="str">
        <f ca="1">IFERROR(__xludf.DUMMYFUNCTION("GOOGLETRANSLATE(B38409,""en"",""pt"")"),"Papeete")</f>
        <v>Papeete</v>
      </c>
      <c r="B15246" s="11" t="s">
        <v>7953</v>
      </c>
      <c r="C15246" s="11" t="s">
        <v>7951</v>
      </c>
      <c r="D15246" s="11" t="s">
        <v>34878</v>
      </c>
      <c r="E15246" s="10">
        <v>4033936</v>
      </c>
      <c r="F15246" s="4" t="str">
        <f>IF(B15246=B15245,"",B15246)</f>
        <v/>
      </c>
    </row>
    <row r="15247" spans="1:6" ht="15.75" customHeight="1">
      <c r="A15247" s="15" t="s">
        <v>20952</v>
      </c>
      <c r="B15247" s="15" t="s">
        <v>20953</v>
      </c>
      <c r="C15247" s="15" t="s">
        <v>20598</v>
      </c>
      <c r="D15247" s="15" t="s">
        <v>20599</v>
      </c>
      <c r="E15247" s="2">
        <v>1694826</v>
      </c>
      <c r="F15247" s="4" t="str">
        <f>IF(B15247=B15246,"",B15247)</f>
        <v>Papaya</v>
      </c>
    </row>
    <row r="15248" spans="1:6" ht="15.75" customHeight="1">
      <c r="A15248" s="8" t="str">
        <f ca="1">IFERROR(__xludf.DUMMYFUNCTION("GOOGLETRANSLATE(B38560,""en"",""pt"")"),"Mamão")</f>
        <v>Mamão</v>
      </c>
      <c r="B15248" s="9" t="s">
        <v>20953</v>
      </c>
      <c r="C15248" s="9" t="s">
        <v>20598</v>
      </c>
      <c r="D15248" s="9" t="s">
        <v>20599</v>
      </c>
      <c r="E15248" s="10">
        <v>1694826</v>
      </c>
      <c r="F15248" s="4" t="str">
        <f>IF(B15248=B15247,"",B15248)</f>
        <v/>
      </c>
    </row>
    <row r="15249" spans="1:6" ht="15.75" customHeight="1">
      <c r="A15249" s="15" t="s">
        <v>17538</v>
      </c>
      <c r="B15249" s="15" t="s">
        <v>17538</v>
      </c>
      <c r="C15249" s="15" t="s">
        <v>17432</v>
      </c>
      <c r="D15249" s="15" t="s">
        <v>17444</v>
      </c>
      <c r="E15249" s="2">
        <v>1733353</v>
      </c>
      <c r="F15249" s="4" t="str">
        <f>IF(B15249=B15248,"",B15249)</f>
        <v>Papar</v>
      </c>
    </row>
    <row r="15250" spans="1:6" ht="15.75" customHeight="1">
      <c r="A15250" s="8" t="str">
        <f ca="1">IFERROR(__xludf.DUMMYFUNCTION("GOOGLETRANSLATE(B37431,""en"",""pt"")"),"Papar")</f>
        <v>Papar</v>
      </c>
      <c r="B15250" s="11" t="s">
        <v>17538</v>
      </c>
      <c r="C15250" s="11" t="s">
        <v>17432</v>
      </c>
      <c r="D15250" s="11" t="s">
        <v>17444</v>
      </c>
      <c r="E15250" s="10">
        <v>1733353</v>
      </c>
      <c r="F15250" s="4" t="str">
        <f>IF(B15250=B15249,"",B15250)</f>
        <v/>
      </c>
    </row>
    <row r="15251" spans="1:6" ht="15.75" customHeight="1">
      <c r="A15251" s="16" t="s">
        <v>18154</v>
      </c>
      <c r="B15251" s="15" t="s">
        <v>18154</v>
      </c>
      <c r="C15251" s="16" t="s">
        <v>17707</v>
      </c>
      <c r="D15251" s="16" t="s">
        <v>17708</v>
      </c>
      <c r="E15251" s="2">
        <v>3521922</v>
      </c>
      <c r="F15251" s="4" t="str">
        <f>IF(B15251=B15250,"",B15251)</f>
        <v>Papantla de Olarte</v>
      </c>
    </row>
    <row r="15252" spans="1:6" ht="15.75" customHeight="1">
      <c r="A15252" s="8" t="str">
        <f ca="1">IFERROR(__xludf.DUMMYFUNCTION("GOOGLETRANSLATE(B36953,""en"",""pt"")"),"Papantla de Olarte")</f>
        <v>Papantla de Olarte</v>
      </c>
      <c r="B15252" s="9" t="s">
        <v>18154</v>
      </c>
      <c r="C15252" s="9" t="s">
        <v>17707</v>
      </c>
      <c r="D15252" s="9" t="s">
        <v>17708</v>
      </c>
      <c r="E15252" s="10">
        <v>3521922</v>
      </c>
      <c r="F15252" s="4" t="str">
        <f>IF(B15252=B15251,"",B15252)</f>
        <v/>
      </c>
    </row>
    <row r="15253" spans="1:6" ht="15.75" customHeight="1">
      <c r="A15253" s="16" t="s">
        <v>12794</v>
      </c>
      <c r="B15253" s="15" t="s">
        <v>12794</v>
      </c>
      <c r="C15253" s="16" t="s">
        <v>10178</v>
      </c>
      <c r="D15253" s="16" t="s">
        <v>10196</v>
      </c>
      <c r="E15253" s="2">
        <v>1260417</v>
      </c>
      <c r="F15253" s="4" t="str">
        <f>IF(B15253=B15252,"",B15253)</f>
        <v>Papanasam</v>
      </c>
    </row>
    <row r="15254" spans="1:6" ht="15.75" customHeight="1">
      <c r="A15254" s="8" t="str">
        <f ca="1">IFERROR(__xludf.DUMMYFUNCTION("GOOGLETRANSLATE(B32532,""en"",""pt"")"),"Papanasam")</f>
        <v>Papanasam</v>
      </c>
      <c r="B15254" s="9" t="s">
        <v>12794</v>
      </c>
      <c r="C15254" s="9" t="s">
        <v>10178</v>
      </c>
      <c r="D15254" s="9" t="s">
        <v>10196</v>
      </c>
      <c r="E15254" s="10">
        <v>1260417</v>
      </c>
      <c r="F15254" s="4" t="str">
        <f>IF(B15254=B15253,"",B15254)</f>
        <v/>
      </c>
    </row>
    <row r="15255" spans="1:6" ht="15.75" customHeight="1">
      <c r="A15255" s="15" t="s">
        <v>18153</v>
      </c>
      <c r="B15255" s="15" t="s">
        <v>18153</v>
      </c>
      <c r="C15255" s="15" t="s">
        <v>17707</v>
      </c>
      <c r="D15255" s="15" t="s">
        <v>17763</v>
      </c>
      <c r="E15255" s="2">
        <v>3815447</v>
      </c>
      <c r="F15255" s="4" t="str">
        <f>IF(B15255=B15254,"",B15255)</f>
        <v>Papalotla</v>
      </c>
    </row>
    <row r="15256" spans="1:6" ht="15.75" customHeight="1">
      <c r="A15256" s="8" t="str">
        <f ca="1">IFERROR(__xludf.DUMMYFUNCTION("GOOGLETRANSLATE(B37117,""en"",""pt"")"),"Papalotla")</f>
        <v>Papalotla</v>
      </c>
      <c r="B15256" s="9" t="s">
        <v>18153</v>
      </c>
      <c r="C15256" s="9" t="s">
        <v>17707</v>
      </c>
      <c r="D15256" s="9" t="s">
        <v>17763</v>
      </c>
      <c r="E15256" s="10">
        <v>3815447</v>
      </c>
      <c r="F15256" s="4" t="str">
        <f>IF(B15256=B15255,"",B15256)</f>
        <v/>
      </c>
    </row>
    <row r="15257" spans="1:6" ht="15.75" customHeight="1">
      <c r="A15257" s="15" t="s">
        <v>19199</v>
      </c>
      <c r="B15257" s="15" t="s">
        <v>19199</v>
      </c>
      <c r="C15257" s="15" t="s">
        <v>19169</v>
      </c>
      <c r="D15257" s="15" t="s">
        <v>19171</v>
      </c>
      <c r="E15257" s="2">
        <v>2208329</v>
      </c>
      <c r="F15257" s="4" t="str">
        <f>IF(B15257=B15256,"",B15257)</f>
        <v>Papakura</v>
      </c>
    </row>
    <row r="15258" spans="1:6" ht="15.75" customHeight="1">
      <c r="A15258" s="8" t="str">
        <f ca="1">IFERROR(__xludf.DUMMYFUNCTION("GOOGLETRANSLATE(B38242,""en"",""pt"")"),"Papakura")</f>
        <v>Papakura</v>
      </c>
      <c r="B15258" s="9" t="s">
        <v>19199</v>
      </c>
      <c r="C15258" s="9" t="s">
        <v>19169</v>
      </c>
      <c r="D15258" s="9" t="s">
        <v>19171</v>
      </c>
      <c r="E15258" s="10">
        <v>2208329</v>
      </c>
      <c r="F15258" s="4" t="str">
        <f>IF(B15258=B15257,"",B15258)</f>
        <v/>
      </c>
    </row>
    <row r="15259" spans="1:6" ht="15.75" customHeight="1">
      <c r="A15259" s="8" t="str">
        <f ca="1">IFERROR(__xludf.DUMMYFUNCTION("GOOGLETRANSLATE(B31292,""en"",""pt"")"),"Pápa")</f>
        <v>Pápa</v>
      </c>
      <c r="B15259" s="11" t="s">
        <v>32865</v>
      </c>
      <c r="C15259" s="11" t="s">
        <v>9955</v>
      </c>
      <c r="D15259" s="11" t="s">
        <v>32847</v>
      </c>
      <c r="E15259" s="10">
        <v>3046686</v>
      </c>
      <c r="F15259" s="4" t="str">
        <f>IF(B15259=B15258,"",B15259)</f>
        <v>Pápa</v>
      </c>
    </row>
    <row r="15260" spans="1:6" ht="15.75" customHeight="1">
      <c r="A15260" s="8" t="str">
        <f ca="1">IFERROR(__xludf.DUMMYFUNCTION("GOOGLETRANSLATE(B35971,""en"",""pt"")"),"Paôy Pêt")</f>
        <v>Paôy Pêt</v>
      </c>
      <c r="B15260" s="9" t="s">
        <v>34429</v>
      </c>
      <c r="C15260" s="9" t="s">
        <v>3838</v>
      </c>
      <c r="D15260" s="9" t="s">
        <v>3854</v>
      </c>
      <c r="E15260" s="10">
        <v>1830194</v>
      </c>
      <c r="F15260" s="4" t="str">
        <f>IF(B15260=B15259,"",B15260)</f>
        <v>Paôy Pêt</v>
      </c>
    </row>
    <row r="15261" spans="1:6" ht="15.75" customHeight="1">
      <c r="A15261" s="15" t="s">
        <v>4299</v>
      </c>
      <c r="B15261" s="15" t="s">
        <v>4299</v>
      </c>
      <c r="C15261" s="15" t="s">
        <v>4264</v>
      </c>
      <c r="D15261" s="15" t="s">
        <v>4284</v>
      </c>
      <c r="E15261" s="2">
        <v>2383523</v>
      </c>
      <c r="F15261" s="4" t="str">
        <f>IF(B15261=B15260,"",B15261)</f>
        <v>Paoua</v>
      </c>
    </row>
    <row r="15262" spans="1:6" ht="15.75" customHeight="1">
      <c r="A15262" s="8" t="str">
        <f ca="1">IFERROR(__xludf.DUMMYFUNCTION("GOOGLETRANSLATE(B25716,""en"",""pt"")"),"Paoua")</f>
        <v>Paoua</v>
      </c>
      <c r="B15262" s="9" t="s">
        <v>4299</v>
      </c>
      <c r="C15262" s="9" t="s">
        <v>4264</v>
      </c>
      <c r="D15262" s="9" t="s">
        <v>31768</v>
      </c>
      <c r="E15262" s="10">
        <v>2383523</v>
      </c>
      <c r="F15262" s="4" t="str">
        <f>IF(B15262=B15261,"",B15262)</f>
        <v/>
      </c>
    </row>
    <row r="15263" spans="1:6" ht="15.75" customHeight="1">
      <c r="A15263" s="8" t="str">
        <f ca="1">IFERROR(__xludf.DUMMYFUNCTION("GOOGLETRANSLATE(B32533,""en"",""pt"")"),"Pāonta Sāhib")</f>
        <v>Pāonta Sāhib</v>
      </c>
      <c r="B15263" s="11" t="s">
        <v>33266</v>
      </c>
      <c r="C15263" s="11" t="s">
        <v>10178</v>
      </c>
      <c r="D15263" s="11" t="s">
        <v>10538</v>
      </c>
      <c r="E15263" s="10">
        <v>1260421</v>
      </c>
      <c r="F15263" s="4" t="str">
        <f>IF(B15263=B15262,"",B15263)</f>
        <v>Pāonta Sāhib</v>
      </c>
    </row>
    <row r="15264" spans="1:6" ht="15.75" customHeight="1">
      <c r="A15264" s="16" t="s">
        <v>20951</v>
      </c>
      <c r="B15264" s="15" t="s">
        <v>20951</v>
      </c>
      <c r="C15264" s="16" t="s">
        <v>20598</v>
      </c>
      <c r="D15264" s="16" t="s">
        <v>20599</v>
      </c>
      <c r="E15264" s="2">
        <v>1694861</v>
      </c>
      <c r="F15264" s="4" t="str">
        <f>IF(B15264=B15263,"",B15264)</f>
        <v>Paombong</v>
      </c>
    </row>
    <row r="15265" spans="1:6" ht="15.75" customHeight="1">
      <c r="A15265" s="8" t="str">
        <f ca="1">IFERROR(__xludf.DUMMYFUNCTION("GOOGLETRANSLATE(B38561,""en"",""pt"")"),"Paombong")</f>
        <v>Paombong</v>
      </c>
      <c r="B15265" s="11" t="s">
        <v>20951</v>
      </c>
      <c r="C15265" s="11" t="s">
        <v>20598</v>
      </c>
      <c r="D15265" s="11" t="s">
        <v>20599</v>
      </c>
      <c r="E15265" s="10">
        <v>1694861</v>
      </c>
      <c r="F15265" s="4" t="str">
        <f>IF(B15265=B15264,"",B15265)</f>
        <v/>
      </c>
    </row>
    <row r="15266" spans="1:6" ht="15.75" customHeight="1">
      <c r="A15266" s="15" t="s">
        <v>15352</v>
      </c>
      <c r="B15266" s="15" t="s">
        <v>15352</v>
      </c>
      <c r="C15266" s="15" t="s">
        <v>14891</v>
      </c>
      <c r="D15266" s="15" t="s">
        <v>14908</v>
      </c>
      <c r="E15266" s="2">
        <v>8948709</v>
      </c>
      <c r="F15266" s="4" t="str">
        <f>IF(B15266=B15265,"",B15266)</f>
        <v>Paolo VI</v>
      </c>
    </row>
    <row r="15267" spans="1:6" ht="15.75" customHeight="1">
      <c r="A15267" s="8" t="str">
        <f ca="1">IFERROR(__xludf.DUMMYFUNCTION("GOOGLETRANSLATE(B35108,""en"",""pt"")"),"Paolo VI")</f>
        <v>Paolo VI</v>
      </c>
      <c r="B15267" s="11" t="s">
        <v>15352</v>
      </c>
      <c r="C15267" s="11" t="s">
        <v>14891</v>
      </c>
      <c r="D15267" s="11" t="s">
        <v>14908</v>
      </c>
      <c r="E15267" s="10">
        <v>8948709</v>
      </c>
      <c r="F15267" s="4" t="str">
        <f>IF(B15267=B15266,"",B15267)</f>
        <v/>
      </c>
    </row>
    <row r="15268" spans="1:6" ht="15.75" customHeight="1">
      <c r="A15268" s="15" t="s">
        <v>23746</v>
      </c>
      <c r="B15268" s="15" t="s">
        <v>23747</v>
      </c>
      <c r="C15268" s="15" t="s">
        <v>23694</v>
      </c>
      <c r="D15268" s="15" t="s">
        <v>23715</v>
      </c>
      <c r="E15268" s="2">
        <v>3057963</v>
      </c>
      <c r="F15268" s="4" t="str">
        <f>IF(B15268=B15267,"",B15268)</f>
        <v>PÃºchov</v>
      </c>
    </row>
    <row r="15269" spans="1:6" ht="15.75" customHeight="1">
      <c r="A15269" s="8" t="str">
        <f ca="1">IFERROR(__xludf.DUMMYFUNCTION("GOOGLETRANSLATE(B31099,""en"",""pt"")"),"Panzós")</f>
        <v>Panzós</v>
      </c>
      <c r="B15269" s="11" t="s">
        <v>32784</v>
      </c>
      <c r="C15269" s="11" t="s">
        <v>9700</v>
      </c>
      <c r="D15269" s="11" t="s">
        <v>9721</v>
      </c>
      <c r="E15269" s="10">
        <v>3591676</v>
      </c>
      <c r="F15269" s="4" t="str">
        <f>IF(B15269=B15268,"",B15269)</f>
        <v>Panzós</v>
      </c>
    </row>
    <row r="15270" spans="1:6" ht="15.75" customHeight="1">
      <c r="A15270" s="15" t="s">
        <v>9767</v>
      </c>
      <c r="B15270" s="15" t="s">
        <v>9768</v>
      </c>
      <c r="C15270" s="15" t="s">
        <v>9700</v>
      </c>
      <c r="D15270" s="15" t="s">
        <v>9721</v>
      </c>
      <c r="E15270" s="2">
        <v>3591676</v>
      </c>
      <c r="F15270" s="4" t="str">
        <f>IF(B15270=B15269,"",B15270)</f>
        <v>PanzÃ³s</v>
      </c>
    </row>
    <row r="15271" spans="1:6" ht="15.75" customHeight="1">
      <c r="A15271" s="15" t="s">
        <v>12793</v>
      </c>
      <c r="B15271" s="15" t="s">
        <v>12793</v>
      </c>
      <c r="C15271" s="15" t="s">
        <v>10178</v>
      </c>
      <c r="D15271" s="15" t="s">
        <v>10214</v>
      </c>
      <c r="E15271" s="2">
        <v>1260434</v>
      </c>
      <c r="F15271" s="4" t="str">
        <f>IF(B15271=B15270,"",B15271)</f>
        <v>Panvel</v>
      </c>
    </row>
    <row r="15272" spans="1:6" ht="15.75" customHeight="1">
      <c r="A15272" s="8" t="str">
        <f ca="1">IFERROR(__xludf.DUMMYFUNCTION("GOOGLETRANSLATE(B32534,""en"",""pt"")"),"Panvel")</f>
        <v>Panvel</v>
      </c>
      <c r="B15272" s="9" t="s">
        <v>12793</v>
      </c>
      <c r="C15272" s="9" t="s">
        <v>10178</v>
      </c>
      <c r="D15272" s="9" t="s">
        <v>10214</v>
      </c>
      <c r="E15272" s="10">
        <v>1260434</v>
      </c>
      <c r="F15272" s="4" t="str">
        <f>IF(B15272=B15271,"",B15272)</f>
        <v/>
      </c>
    </row>
    <row r="15273" spans="1:6" ht="15.75" customHeight="1">
      <c r="A15273" s="8" t="str">
        <f ca="1">IFERROR(__xludf.DUMMYFUNCTION("GOOGLETRANSLATE(B36954,""en"",""pt"")"),"Pánuco")</f>
        <v>Pánuco</v>
      </c>
      <c r="B15273" s="11" t="s">
        <v>34684</v>
      </c>
      <c r="C15273" s="11" t="s">
        <v>17707</v>
      </c>
      <c r="D15273" s="11" t="s">
        <v>17708</v>
      </c>
      <c r="E15273" s="10">
        <v>3521941</v>
      </c>
      <c r="F15273" s="4" t="str">
        <f>IF(B15273=B15272,"",B15273)</f>
        <v>Pánuco</v>
      </c>
    </row>
    <row r="15274" spans="1:6" ht="15.75" customHeight="1">
      <c r="A15274" s="15" t="s">
        <v>20950</v>
      </c>
      <c r="B15274" s="15" t="s">
        <v>20950</v>
      </c>
      <c r="C15274" s="15" t="s">
        <v>20598</v>
      </c>
      <c r="D15274" s="15" t="s">
        <v>20599</v>
      </c>
      <c r="E15274" s="2">
        <v>1694914</v>
      </c>
      <c r="F15274" s="4" t="str">
        <f>IF(B15274=B15273,"",B15274)</f>
        <v>Pantubig</v>
      </c>
    </row>
    <row r="15275" spans="1:6" ht="15.75" customHeight="1">
      <c r="A15275" s="8" t="str">
        <f ca="1">IFERROR(__xludf.DUMMYFUNCTION("GOOGLETRANSLATE(B38562,""en"",""pt"")"),"Pantubig")</f>
        <v>Pantubig</v>
      </c>
      <c r="B15275" s="11" t="s">
        <v>20950</v>
      </c>
      <c r="C15275" s="11" t="s">
        <v>20598</v>
      </c>
      <c r="D15275" s="11" t="s">
        <v>20599</v>
      </c>
      <c r="E15275" s="10">
        <v>1694914</v>
      </c>
      <c r="F15275" s="4" t="str">
        <f>IF(B15275=B15274,"",B15275)</f>
        <v/>
      </c>
    </row>
    <row r="15276" spans="1:6" ht="15.75" customHeight="1">
      <c r="A15276" s="15" t="s">
        <v>7670</v>
      </c>
      <c r="B15276" s="15" t="s">
        <v>7670</v>
      </c>
      <c r="C15276" s="15" t="s">
        <v>7052</v>
      </c>
      <c r="D15276" s="15" t="s">
        <v>7058</v>
      </c>
      <c r="E15276" s="2">
        <v>2988621</v>
      </c>
      <c r="F15276" s="4" t="str">
        <f>IF(B15276=B15275,"",B15276)</f>
        <v>Pantin</v>
      </c>
    </row>
    <row r="15277" spans="1:6" ht="15.75" customHeight="1">
      <c r="A15277" s="8" t="str">
        <f ca="1">IFERROR(__xludf.DUMMYFUNCTION("GOOGLETRANSLATE(B29858,""en"",""pt"")"),"Pantin")</f>
        <v>Pantin</v>
      </c>
      <c r="B15277" s="11" t="s">
        <v>7670</v>
      </c>
      <c r="C15277" s="11" t="s">
        <v>7052</v>
      </c>
      <c r="D15277" s="11" t="s">
        <v>32531</v>
      </c>
      <c r="E15277" s="10">
        <v>2988621</v>
      </c>
      <c r="F15277" s="4" t="str">
        <f>IF(B15277=B15276,"",B15277)</f>
        <v/>
      </c>
    </row>
    <row r="15278" spans="1:6" ht="15.75" customHeight="1">
      <c r="A15278" s="16" t="s">
        <v>21982</v>
      </c>
      <c r="B15278" s="15" t="s">
        <v>21982</v>
      </c>
      <c r="C15278" s="16" t="s">
        <v>21824</v>
      </c>
      <c r="D15278" s="16" t="s">
        <v>21873</v>
      </c>
      <c r="E15278" s="2">
        <v>671382</v>
      </c>
      <c r="F15278" s="4" t="str">
        <f>IF(B15278=B15277,"",B15278)</f>
        <v>Pantelimon</v>
      </c>
    </row>
    <row r="15279" spans="1:6" ht="15.75" customHeight="1">
      <c r="A15279" s="8" t="str">
        <f ca="1">IFERROR(__xludf.DUMMYFUNCTION("GOOGLETRANSLATE(B39766,""en"",""pt"")"),"Pantelimon")</f>
        <v>Pantelimon</v>
      </c>
      <c r="B15279" s="11" t="s">
        <v>21982</v>
      </c>
      <c r="C15279" s="11" t="s">
        <v>21824</v>
      </c>
      <c r="D15279" s="11" t="s">
        <v>21873</v>
      </c>
      <c r="E15279" s="10">
        <v>671382</v>
      </c>
      <c r="F15279" s="4" t="str">
        <f>IF(B15279=B15278,"",B15279)</f>
        <v/>
      </c>
    </row>
    <row r="15280" spans="1:6" ht="15.75" customHeight="1">
      <c r="A15280" s="16" t="s">
        <v>17537</v>
      </c>
      <c r="B15280" s="15" t="s">
        <v>17537</v>
      </c>
      <c r="C15280" s="16" t="s">
        <v>17432</v>
      </c>
      <c r="D15280" s="16" t="s">
        <v>17438</v>
      </c>
      <c r="E15280" s="2">
        <v>1752256</v>
      </c>
      <c r="F15280" s="4" t="str">
        <f>IF(B15280=B15279,"",B15280)</f>
        <v>Pantai Remis</v>
      </c>
    </row>
    <row r="15281" spans="1:6" ht="15.75" customHeight="1">
      <c r="A15281" s="8" t="str">
        <f ca="1">IFERROR(__xludf.DUMMYFUNCTION("GOOGLETRANSLATE(B37517,""en"",""pt"")"),"Pantai Remis")</f>
        <v>Pantai Remis</v>
      </c>
      <c r="B15281" s="11" t="s">
        <v>17537</v>
      </c>
      <c r="C15281" s="11" t="s">
        <v>17432</v>
      </c>
      <c r="D15281" s="11" t="s">
        <v>17438</v>
      </c>
      <c r="E15281" s="10">
        <v>1752256</v>
      </c>
      <c r="F15281" s="4" t="str">
        <f>IF(B15281=B15280,"",B15281)</f>
        <v/>
      </c>
    </row>
    <row r="15282" spans="1:6" ht="15.75" customHeight="1">
      <c r="A15282" s="16" t="s">
        <v>17536</v>
      </c>
      <c r="B15282" s="15" t="s">
        <v>17536</v>
      </c>
      <c r="C15282" s="16" t="s">
        <v>17432</v>
      </c>
      <c r="D15282" s="16" t="s">
        <v>17493</v>
      </c>
      <c r="E15282" s="2">
        <v>11002069</v>
      </c>
      <c r="F15282" s="4" t="str">
        <f>IF(B15282=B15281,"",B15282)</f>
        <v>Pantai Cenang</v>
      </c>
    </row>
    <row r="15283" spans="1:6" ht="15.75" customHeight="1">
      <c r="A15283" s="8" t="str">
        <f ca="1">IFERROR(__xludf.DUMMYFUNCTION("GOOGLETRANSLATE(B37539,""en"",""pt"")"),"Pantai Cenang")</f>
        <v>Pantai Cenang</v>
      </c>
      <c r="B15283" s="11" t="s">
        <v>17536</v>
      </c>
      <c r="C15283" s="11" t="s">
        <v>17432</v>
      </c>
      <c r="D15283" s="11" t="s">
        <v>17493</v>
      </c>
      <c r="E15283" s="10">
        <v>11002069</v>
      </c>
      <c r="F15283" s="4" t="str">
        <f>IF(B15283=B15282,"",B15283)</f>
        <v/>
      </c>
    </row>
    <row r="15284" spans="1:6" ht="15.75" customHeight="1">
      <c r="A15284" s="15" t="s">
        <v>4989</v>
      </c>
      <c r="B15284" s="15" t="s">
        <v>4989</v>
      </c>
      <c r="C15284" s="15" t="s">
        <v>4487</v>
      </c>
      <c r="D15284" s="15" t="s">
        <v>4518</v>
      </c>
      <c r="E15284" s="2">
        <v>2035511</v>
      </c>
      <c r="F15284" s="4" t="str">
        <f>IF(B15284=B15283,"",B15284)</f>
        <v>Panshi</v>
      </c>
    </row>
    <row r="15285" spans="1:6" ht="15.75" customHeight="1">
      <c r="A15285" s="8" t="str">
        <f ca="1">IFERROR(__xludf.DUMMYFUNCTION("GOOGLETRANSLATE(B26707,""en"",""pt"")"),"Panshi")</f>
        <v>Panshi</v>
      </c>
      <c r="B15285" s="11" t="s">
        <v>4989</v>
      </c>
      <c r="C15285" s="11" t="s">
        <v>4487</v>
      </c>
      <c r="D15285" s="11" t="s">
        <v>4518</v>
      </c>
      <c r="E15285" s="10">
        <v>2035511</v>
      </c>
      <c r="F15285" s="4" t="str">
        <f>IF(B15285=B15284,"",B15285)</f>
        <v/>
      </c>
    </row>
    <row r="15286" spans="1:6" ht="15.75" customHeight="1">
      <c r="A15286" s="15" t="s">
        <v>4988</v>
      </c>
      <c r="B15286" s="15" t="s">
        <v>4988</v>
      </c>
      <c r="C15286" s="15" t="s">
        <v>4487</v>
      </c>
      <c r="D15286" s="15" t="s">
        <v>4505</v>
      </c>
      <c r="E15286" s="2">
        <v>2035513</v>
      </c>
      <c r="F15286" s="4" t="str">
        <f>IF(B15286=B15285,"",B15286)</f>
        <v>Panshan</v>
      </c>
    </row>
    <row r="15287" spans="1:6" ht="15.75" customHeight="1">
      <c r="A15287" s="8" t="str">
        <f ca="1">IFERROR(__xludf.DUMMYFUNCTION("GOOGLETRANSLATE(B26708,""en"",""pt"")"),"Panshan")</f>
        <v>Panshan</v>
      </c>
      <c r="B15287" s="11" t="s">
        <v>4988</v>
      </c>
      <c r="C15287" s="11" t="s">
        <v>4487</v>
      </c>
      <c r="D15287" s="11" t="s">
        <v>4505</v>
      </c>
      <c r="E15287" s="10">
        <v>2035513</v>
      </c>
      <c r="F15287" s="4" t="str">
        <f>IF(B15287=B15286,"",B15287)</f>
        <v/>
      </c>
    </row>
    <row r="15288" spans="1:6" ht="15.75" customHeight="1">
      <c r="A15288" s="15" t="s">
        <v>12792</v>
      </c>
      <c r="B15288" s="15" t="s">
        <v>12792</v>
      </c>
      <c r="C15288" s="15" t="s">
        <v>10178</v>
      </c>
      <c r="D15288" s="15" t="s">
        <v>10196</v>
      </c>
      <c r="E15288" s="2">
        <v>1260448</v>
      </c>
      <c r="F15288" s="4" t="str">
        <f>IF(B15288=B15287,"",B15288)</f>
        <v>Panruti</v>
      </c>
    </row>
    <row r="15289" spans="1:6" ht="15.75" customHeight="1">
      <c r="A15289" s="8" t="str">
        <f ca="1">IFERROR(__xludf.DUMMYFUNCTION("GOOGLETRANSLATE(B32535,""en"",""pt"")"),"Panruti")</f>
        <v>Panruti</v>
      </c>
      <c r="B15289" s="11" t="s">
        <v>12792</v>
      </c>
      <c r="C15289" s="11" t="s">
        <v>10178</v>
      </c>
      <c r="D15289" s="11" t="s">
        <v>10196</v>
      </c>
      <c r="E15289" s="10">
        <v>1260448</v>
      </c>
      <c r="F15289" s="4" t="str">
        <f>IF(B15289=B15288,"",B15289)</f>
        <v/>
      </c>
    </row>
    <row r="15290" spans="1:6" ht="15.75" customHeight="1">
      <c r="A15290" s="8" t="str">
        <f ca="1">IFERROR(__xludf.DUMMYFUNCTION("GOOGLETRANSLATE(B31038,""en"",""pt"")"),"Panorama")</f>
        <v>Panorama</v>
      </c>
      <c r="B15290" s="9" t="s">
        <v>32744</v>
      </c>
      <c r="C15290" s="9" t="s">
        <v>9441</v>
      </c>
      <c r="D15290" s="9" t="s">
        <v>9442</v>
      </c>
      <c r="E15290" s="10">
        <v>734771</v>
      </c>
      <c r="F15290" s="4" t="str">
        <f>IF(B15290=B15289,"",B15290)</f>
        <v>Panórama</v>
      </c>
    </row>
    <row r="15291" spans="1:6" ht="15.75" customHeight="1">
      <c r="A15291" s="8" t="str">
        <f ca="1">IFERROR(__xludf.DUMMYFUNCTION("GOOGLETRANSLATE(B38956,""en"",""pt"")"),"Pāno āqil")</f>
        <v>Pāno āqil</v>
      </c>
      <c r="B15291" s="11" t="s">
        <v>34936</v>
      </c>
      <c r="C15291" s="11" t="s">
        <v>19808</v>
      </c>
      <c r="D15291" s="11" t="s">
        <v>19823</v>
      </c>
      <c r="E15291" s="10">
        <v>1168412</v>
      </c>
      <c r="F15291" s="4" t="str">
        <f>IF(B15291=B15290,"",B15291)</f>
        <v>Pāno Āqil</v>
      </c>
    </row>
    <row r="15292" spans="1:6" ht="15.75" customHeight="1">
      <c r="A15292" s="15" t="s">
        <v>12791</v>
      </c>
      <c r="B15292" s="15" t="s">
        <v>12791</v>
      </c>
      <c r="C15292" s="15" t="s">
        <v>10178</v>
      </c>
      <c r="D15292" s="15" t="s">
        <v>10219</v>
      </c>
      <c r="E15292" s="2">
        <v>1260454</v>
      </c>
      <c r="F15292" s="4" t="str">
        <f>IF(B15292=B15291,"",B15292)</f>
        <v>Panna</v>
      </c>
    </row>
    <row r="15293" spans="1:6" ht="15.75" customHeight="1">
      <c r="A15293" s="8" t="str">
        <f ca="1">IFERROR(__xludf.DUMMYFUNCTION("GOOGLETRANSLATE(B32536,""en"",""pt"")"),"Panna")</f>
        <v>Panna</v>
      </c>
      <c r="B15293" s="11" t="s">
        <v>12791</v>
      </c>
      <c r="C15293" s="11" t="s">
        <v>10178</v>
      </c>
      <c r="D15293" s="11" t="s">
        <v>10219</v>
      </c>
      <c r="E15293" s="10">
        <v>1260454</v>
      </c>
      <c r="F15293" s="4" t="str">
        <f>IF(B15293=B15292,"",B15293)</f>
        <v/>
      </c>
    </row>
    <row r="15294" spans="1:6" ht="15.75" customHeight="1">
      <c r="A15294" s="15" t="s">
        <v>12790</v>
      </c>
      <c r="B15294" s="15" t="s">
        <v>12790</v>
      </c>
      <c r="C15294" s="15" t="s">
        <v>10178</v>
      </c>
      <c r="D15294" s="15" t="s">
        <v>10246</v>
      </c>
      <c r="E15294" s="2">
        <v>1260456</v>
      </c>
      <c r="F15294" s="4" t="str">
        <f>IF(B15294=B15293,"",B15294)</f>
        <v>Panmana</v>
      </c>
    </row>
    <row r="15295" spans="1:6" ht="15.75" customHeight="1">
      <c r="A15295" s="8" t="str">
        <f ca="1">IFERROR(__xludf.DUMMYFUNCTION("GOOGLETRANSLATE(B32537,""en"",""pt"")"),"Panmana")</f>
        <v>Panmana</v>
      </c>
      <c r="B15295" s="11" t="s">
        <v>12790</v>
      </c>
      <c r="C15295" s="11" t="s">
        <v>10178</v>
      </c>
      <c r="D15295" s="11" t="s">
        <v>10246</v>
      </c>
      <c r="E15295" s="10">
        <v>1260456</v>
      </c>
      <c r="F15295" s="4" t="str">
        <f>IF(B15295=B15294,"",B15295)</f>
        <v/>
      </c>
    </row>
    <row r="15296" spans="1:6" ht="15.75" customHeight="1">
      <c r="A15296" s="15" t="s">
        <v>19551</v>
      </c>
      <c r="B15296" s="15" t="s">
        <v>19551</v>
      </c>
      <c r="C15296" s="15" t="s">
        <v>19294</v>
      </c>
      <c r="D15296" s="15" t="s">
        <v>1771</v>
      </c>
      <c r="E15296" s="2">
        <v>2325060</v>
      </c>
      <c r="F15296" s="4" t="str">
        <f>IF(B15296=B15295,"",B15296)</f>
        <v>Pankshin</v>
      </c>
    </row>
    <row r="15297" spans="1:6" ht="15.75" customHeight="1">
      <c r="A15297" s="8" t="str">
        <f ca="1">IFERROR(__xludf.DUMMYFUNCTION("GOOGLETRANSLATE(B37639,""en"",""pt"")"),"Pankshin")</f>
        <v>Pankshin</v>
      </c>
      <c r="B15297" s="11" t="s">
        <v>19551</v>
      </c>
      <c r="C15297" s="11" t="s">
        <v>19294</v>
      </c>
      <c r="D15297" s="11" t="s">
        <v>1771</v>
      </c>
      <c r="E15297" s="10">
        <v>2325060</v>
      </c>
      <c r="F15297" s="4" t="str">
        <f>IF(B15297=B15296,"",B15297)</f>
        <v/>
      </c>
    </row>
    <row r="15298" spans="1:6" ht="15.75" customHeight="1">
      <c r="A15298" s="15" t="s">
        <v>8982</v>
      </c>
      <c r="B15298" s="15" t="s">
        <v>8982</v>
      </c>
      <c r="C15298" s="15" t="s">
        <v>8028</v>
      </c>
      <c r="D15298" s="15" t="s">
        <v>8036</v>
      </c>
      <c r="E15298" s="2">
        <v>2855598</v>
      </c>
      <c r="F15298" s="4" t="str">
        <f>IF(B15298=B15297,"",B15298)</f>
        <v>Pankow</v>
      </c>
    </row>
    <row r="15299" spans="1:6" ht="15.75" customHeight="1">
      <c r="A15299" s="8" t="str">
        <f ca="1">IFERROR(__xludf.DUMMYFUNCTION("GOOGLETRANSLATE(B27658,""en"",""pt"")"),"Pankow")</f>
        <v>Pankow</v>
      </c>
      <c r="B15299" s="11" t="s">
        <v>8982</v>
      </c>
      <c r="C15299" s="11" t="s">
        <v>8028</v>
      </c>
      <c r="D15299" s="11" t="s">
        <v>8036</v>
      </c>
      <c r="E15299" s="10">
        <v>2855598</v>
      </c>
      <c r="F15299" s="4" t="str">
        <f>IF(B15299=B15298,"",B15299)</f>
        <v/>
      </c>
    </row>
    <row r="15300" spans="1:6" ht="15.75" customHeight="1">
      <c r="A15300" s="15" t="s">
        <v>14082</v>
      </c>
      <c r="B15300" s="15" t="s">
        <v>14082</v>
      </c>
      <c r="C15300" s="15" t="s">
        <v>13800</v>
      </c>
      <c r="D15300" s="15" t="s">
        <v>13816</v>
      </c>
      <c r="E15300" s="2">
        <v>1632566</v>
      </c>
      <c r="F15300" s="4" t="str">
        <f>IF(B15300=B15299,"",B15300)</f>
        <v>Panji</v>
      </c>
    </row>
    <row r="15301" spans="1:6" ht="15.75" customHeight="1">
      <c r="A15301" s="8" t="str">
        <f ca="1">IFERROR(__xludf.DUMMYFUNCTION("GOOGLETRANSLATE(B31506,""en"",""pt"")"),"Panji")</f>
        <v>Panji</v>
      </c>
      <c r="B15301" s="9" t="s">
        <v>14082</v>
      </c>
      <c r="C15301" s="9" t="s">
        <v>13800</v>
      </c>
      <c r="D15301" s="9" t="s">
        <v>13816</v>
      </c>
      <c r="E15301" s="10">
        <v>1632566</v>
      </c>
      <c r="F15301" s="4" t="str">
        <f>IF(B15301=B15300,"",B15301)</f>
        <v/>
      </c>
    </row>
    <row r="15302" spans="1:6" ht="15.75" customHeight="1">
      <c r="A15302" s="15" t="s">
        <v>25549</v>
      </c>
      <c r="B15302" s="15" t="s">
        <v>25549</v>
      </c>
      <c r="C15302" s="15" t="s">
        <v>25527</v>
      </c>
      <c r="D15302" s="15" t="s">
        <v>25530</v>
      </c>
      <c r="E15302" s="2">
        <v>1220798</v>
      </c>
      <c r="F15302" s="4" t="str">
        <f>IF(B15302=B15301,"",B15302)</f>
        <v>Panjakent</v>
      </c>
    </row>
    <row r="15303" spans="1:6" ht="15.75" customHeight="1">
      <c r="A15303" s="8" t="str">
        <f ca="1">IFERROR(__xludf.DUMMYFUNCTION("GOOGLETRANSLATE(B41737,""en"",""pt"")"),"Panjakent")</f>
        <v>Panjakent</v>
      </c>
      <c r="B15303" s="11" t="s">
        <v>25549</v>
      </c>
      <c r="C15303" s="11" t="s">
        <v>25527</v>
      </c>
      <c r="D15303" s="11" t="s">
        <v>25530</v>
      </c>
      <c r="E15303" s="10">
        <v>1220798</v>
      </c>
      <c r="F15303" s="4" t="str">
        <f>IF(B15303=B15302,"",B15303)</f>
        <v/>
      </c>
    </row>
    <row r="15304" spans="1:6" ht="15.75" customHeight="1">
      <c r="A15304" s="15" t="s">
        <v>20949</v>
      </c>
      <c r="B15304" s="15" t="s">
        <v>20949</v>
      </c>
      <c r="C15304" s="15" t="s">
        <v>20598</v>
      </c>
      <c r="D15304" s="15" t="s">
        <v>20599</v>
      </c>
      <c r="E15304" s="2">
        <v>1695097</v>
      </c>
      <c r="F15304" s="4" t="str">
        <f>IF(B15304=B15303,"",B15304)</f>
        <v>Paniqui</v>
      </c>
    </row>
    <row r="15305" spans="1:6" ht="15.75" customHeight="1">
      <c r="A15305" s="8" t="str">
        <f ca="1">IFERROR(__xludf.DUMMYFUNCTION("GOOGLETRANSLATE(B38563,""en"",""pt"")"),"Paniqui")</f>
        <v>Paniqui</v>
      </c>
      <c r="B15305" s="9" t="s">
        <v>20949</v>
      </c>
      <c r="C15305" s="9" t="s">
        <v>20598</v>
      </c>
      <c r="D15305" s="9" t="s">
        <v>20599</v>
      </c>
      <c r="E15305" s="10">
        <v>1695097</v>
      </c>
      <c r="F15305" s="4" t="str">
        <f>IF(B15305=B15304,"",B15305)</f>
        <v/>
      </c>
    </row>
    <row r="15306" spans="1:6" ht="15.75" customHeight="1">
      <c r="A15306" s="8" t="str">
        <f ca="1">IFERROR(__xludf.DUMMYFUNCTION("GOOGLETRANSLATE(B32538,""en"",""pt"")"),"Pānīpat")</f>
        <v>Pānīpat</v>
      </c>
      <c r="B15306" s="9" t="s">
        <v>33267</v>
      </c>
      <c r="C15306" s="9" t="s">
        <v>10178</v>
      </c>
      <c r="D15306" s="9" t="s">
        <v>10224</v>
      </c>
      <c r="E15306" s="10">
        <v>1260476</v>
      </c>
      <c r="F15306" s="4" t="str">
        <f>IF(B15306=B15305,"",B15306)</f>
        <v>Pānīpat</v>
      </c>
    </row>
    <row r="15307" spans="1:6" ht="15.75" customHeight="1">
      <c r="A15307" s="8" t="str">
        <f ca="1">IFERROR(__xludf.DUMMYFUNCTION("GOOGLETRANSLATE(B32539,""en"",""pt"")"),"Pānihāti")</f>
        <v>Pānihāti</v>
      </c>
      <c r="B15307" s="11" t="s">
        <v>33268</v>
      </c>
      <c r="C15307" s="11" t="s">
        <v>10178</v>
      </c>
      <c r="D15307" s="11" t="s">
        <v>10201</v>
      </c>
      <c r="E15307" s="10">
        <v>1260482</v>
      </c>
      <c r="F15307" s="4" t="str">
        <f>IF(B15307=B15306,"",B15307)</f>
        <v>Pānihāti</v>
      </c>
    </row>
    <row r="15308" spans="1:6" ht="15.75" customHeight="1">
      <c r="A15308" s="16" t="s">
        <v>4440</v>
      </c>
      <c r="B15308" s="15" t="s">
        <v>4440</v>
      </c>
      <c r="C15308" s="16" t="s">
        <v>4355</v>
      </c>
      <c r="D15308" s="16" t="s">
        <v>4358</v>
      </c>
      <c r="E15308" s="2">
        <v>3877348</v>
      </c>
      <c r="F15308" s="4" t="str">
        <f>IF(B15308=B15307,"",B15308)</f>
        <v>Panguipulli</v>
      </c>
    </row>
    <row r="15309" spans="1:6" ht="15.75" customHeight="1">
      <c r="A15309" s="8" t="str">
        <f ca="1">IFERROR(__xludf.DUMMYFUNCTION("GOOGLETRANSLATE(B25921,""en"",""pt"")"),"Panguipulli")</f>
        <v>Panguipulli</v>
      </c>
      <c r="B15309" s="11" t="s">
        <v>4440</v>
      </c>
      <c r="C15309" s="11" t="s">
        <v>4355</v>
      </c>
      <c r="D15309" s="11" t="s">
        <v>31794</v>
      </c>
      <c r="E15309" s="10">
        <v>3877348</v>
      </c>
      <c r="F15309" s="4" t="str">
        <f>IF(B15309=B15308,"",B15309)</f>
        <v/>
      </c>
    </row>
    <row r="15310" spans="1:6" ht="15.75" customHeight="1">
      <c r="A15310" s="16" t="s">
        <v>14081</v>
      </c>
      <c r="B15310" s="15" t="s">
        <v>14081</v>
      </c>
      <c r="C15310" s="16" t="s">
        <v>13800</v>
      </c>
      <c r="D15310" s="16" t="s">
        <v>14026</v>
      </c>
      <c r="E15310" s="2">
        <v>1632654</v>
      </c>
      <c r="F15310" s="4" t="str">
        <f>IF(B15310=B15309,"",B15310)</f>
        <v>Pangkalpinang</v>
      </c>
    </row>
    <row r="15311" spans="1:6" ht="15.75" customHeight="1">
      <c r="A15311" s="8" t="str">
        <f ca="1">IFERROR(__xludf.DUMMYFUNCTION("GOOGLETRANSLATE(B31507,""en"",""pt"")"),"Pangkalpinang")</f>
        <v>Pangkalpinang</v>
      </c>
      <c r="B15311" s="11" t="s">
        <v>14081</v>
      </c>
      <c r="C15311" s="11" t="s">
        <v>13800</v>
      </c>
      <c r="D15311" s="11" t="s">
        <v>32911</v>
      </c>
      <c r="E15311" s="10">
        <v>1632654</v>
      </c>
      <c r="F15311" s="4" t="str">
        <f>IF(B15311=B15310,"",B15311)</f>
        <v/>
      </c>
    </row>
    <row r="15312" spans="1:6" ht="15.75" customHeight="1">
      <c r="A15312" s="16" t="s">
        <v>14080</v>
      </c>
      <c r="B15312" s="15" t="s">
        <v>14080</v>
      </c>
      <c r="C15312" s="16" t="s">
        <v>13800</v>
      </c>
      <c r="D15312" s="16" t="s">
        <v>13991</v>
      </c>
      <c r="E15312" s="2">
        <v>1632694</v>
      </c>
      <c r="F15312" s="4" t="str">
        <f>IF(B15312=B15311,"",B15312)</f>
        <v>Pangkalanbuun</v>
      </c>
    </row>
    <row r="15313" spans="1:6" ht="15.75" customHeight="1">
      <c r="A15313" s="8" t="str">
        <f ca="1">IFERROR(__xludf.DUMMYFUNCTION("GOOGLETRANSLATE(B31508,""en"",""pt"")"),"Pangkalanbuun")</f>
        <v>Pangkalanbuun</v>
      </c>
      <c r="B15313" s="11" t="s">
        <v>14080</v>
      </c>
      <c r="C15313" s="11" t="s">
        <v>13800</v>
      </c>
      <c r="D15313" s="11" t="s">
        <v>13991</v>
      </c>
      <c r="E15313" s="10">
        <v>1632694</v>
      </c>
      <c r="F15313" s="4" t="str">
        <f>IF(B15313=B15312,"",B15313)</f>
        <v/>
      </c>
    </row>
    <row r="15314" spans="1:6" ht="15.75" customHeight="1">
      <c r="A15314" s="16" t="s">
        <v>14079</v>
      </c>
      <c r="B15314" s="15" t="s">
        <v>14079</v>
      </c>
      <c r="C15314" s="16" t="s">
        <v>13800</v>
      </c>
      <c r="D15314" s="16" t="s">
        <v>13830</v>
      </c>
      <c r="E15314" s="2">
        <v>1214302</v>
      </c>
      <c r="F15314" s="4" t="str">
        <f>IF(B15314=B15313,"",B15314)</f>
        <v>Pangkalan Brandan</v>
      </c>
    </row>
    <row r="15315" spans="1:6" ht="15.75" customHeight="1">
      <c r="A15315" s="8" t="str">
        <f ca="1">IFERROR(__xludf.DUMMYFUNCTION("GOOGLETRANSLATE(B31368,""en"",""pt"")"),"Pangkalan Brandan")</f>
        <v>Pangkalan Brandan</v>
      </c>
      <c r="B15315" s="11" t="s">
        <v>14079</v>
      </c>
      <c r="C15315" s="11" t="s">
        <v>13800</v>
      </c>
      <c r="D15315" s="11" t="s">
        <v>13830</v>
      </c>
      <c r="E15315" s="10">
        <v>1214302</v>
      </c>
      <c r="F15315" s="4" t="str">
        <f>IF(B15315=B15314,"",B15315)</f>
        <v/>
      </c>
    </row>
    <row r="15316" spans="1:6" ht="15.75" customHeight="1">
      <c r="A15316" s="15" t="s">
        <v>20948</v>
      </c>
      <c r="B15316" s="15" t="s">
        <v>20948</v>
      </c>
      <c r="C15316" s="15" t="s">
        <v>20598</v>
      </c>
      <c r="D15316" s="15" t="s">
        <v>20608</v>
      </c>
      <c r="E15316" s="2">
        <v>1695283</v>
      </c>
      <c r="F15316" s="4" t="str">
        <f>IF(B15316=B15315,"",B15316)</f>
        <v>Pangil</v>
      </c>
    </row>
    <row r="15317" spans="1:6" ht="15.75" customHeight="1">
      <c r="A15317" s="8" t="str">
        <f ca="1">IFERROR(__xludf.DUMMYFUNCTION("GOOGLETRANSLATE(B38564,""en"",""pt"")"),"Pangil")</f>
        <v>Pangil</v>
      </c>
      <c r="B15317" s="11" t="s">
        <v>20948</v>
      </c>
      <c r="C15317" s="11" t="s">
        <v>20598</v>
      </c>
      <c r="D15317" s="11" t="s">
        <v>20608</v>
      </c>
      <c r="E15317" s="10">
        <v>1695283</v>
      </c>
      <c r="F15317" s="4" t="str">
        <f>IF(B15317=B15316,"",B15317)</f>
        <v/>
      </c>
    </row>
    <row r="15318" spans="1:6" ht="15.75" customHeight="1">
      <c r="A15318" s="8" t="str">
        <f ca="1">IFERROR(__xludf.DUMMYFUNCTION("GOOGLETRANSLATE(B36371,""en"",""pt"")"),"Panevėžys")</f>
        <v>Panevėžys</v>
      </c>
      <c r="B15318" s="9" t="s">
        <v>34531</v>
      </c>
      <c r="C15318" s="9" t="s">
        <v>17154</v>
      </c>
      <c r="D15318" s="9" t="s">
        <v>34531</v>
      </c>
      <c r="E15318" s="10">
        <v>596128</v>
      </c>
      <c r="F15318" s="4" t="str">
        <f>IF(B15318=B15317,"",B15318)</f>
        <v>Panevėžys</v>
      </c>
    </row>
    <row r="15319" spans="1:6" ht="15.75" customHeight="1">
      <c r="A15319" s="16" t="s">
        <v>17192</v>
      </c>
      <c r="B15319" s="15" t="s">
        <v>17193</v>
      </c>
      <c r="C15319" s="16" t="s">
        <v>17154</v>
      </c>
      <c r="D15319" s="16" t="s">
        <v>17193</v>
      </c>
      <c r="E15319" s="2">
        <v>596128</v>
      </c>
      <c r="F15319" s="4" t="str">
        <f>IF(B15319=B15318,"",B15319)</f>
        <v>PanevÄ—Å¾ys</v>
      </c>
    </row>
    <row r="15320" spans="1:6" ht="15.75" customHeight="1">
      <c r="A15320" s="15" t="s">
        <v>12789</v>
      </c>
      <c r="B15320" s="15" t="s">
        <v>12789</v>
      </c>
      <c r="C15320" s="15" t="s">
        <v>10178</v>
      </c>
      <c r="D15320" s="15" t="s">
        <v>10201</v>
      </c>
      <c r="E15320" s="2">
        <v>1260527</v>
      </c>
      <c r="F15320" s="4" t="str">
        <f>IF(B15320=B15319,"",B15320)</f>
        <v>Pandua</v>
      </c>
    </row>
    <row r="15321" spans="1:6" ht="15.75" customHeight="1">
      <c r="A15321" s="8" t="str">
        <f ca="1">IFERROR(__xludf.DUMMYFUNCTION("GOOGLETRANSLATE(B32540,""en"",""pt"")"),"Pandua")</f>
        <v>Pandua</v>
      </c>
      <c r="B15321" s="11" t="s">
        <v>12789</v>
      </c>
      <c r="C15321" s="11" t="s">
        <v>10178</v>
      </c>
      <c r="D15321" s="11" t="s">
        <v>10201</v>
      </c>
      <c r="E15321" s="10">
        <v>1260527</v>
      </c>
      <c r="F15321" s="4" t="str">
        <f>IF(B15321=B15320,"",B15321)</f>
        <v/>
      </c>
    </row>
    <row r="15322" spans="1:6" ht="15.75" customHeight="1">
      <c r="A15322" s="15" t="s">
        <v>1808</v>
      </c>
      <c r="B15322" s="15" t="s">
        <v>1808</v>
      </c>
      <c r="C15322" s="15" t="s">
        <v>30472</v>
      </c>
      <c r="D15322" s="15" t="s">
        <v>30473</v>
      </c>
      <c r="E15322" s="2">
        <v>3441354</v>
      </c>
      <c r="F15322" s="4" t="str">
        <f>IF(B15322=B15321,"",B15322)</f>
        <v>Pando</v>
      </c>
    </row>
    <row r="15323" spans="1:6" ht="15.75" customHeight="1">
      <c r="A15323" s="8" t="str">
        <f ca="1">IFERROR(__xludf.DUMMYFUNCTION("GOOGLETRANSLATE(B45483,""en"",""pt"")"),"Pando")</f>
        <v>Pando</v>
      </c>
      <c r="B15323" s="11" t="s">
        <v>1808</v>
      </c>
      <c r="C15323" s="11" t="s">
        <v>30472</v>
      </c>
      <c r="D15323" s="11" t="s">
        <v>30473</v>
      </c>
      <c r="E15323" s="10">
        <v>3441354</v>
      </c>
      <c r="F15323" s="4" t="str">
        <f>IF(B15323=B15322,"",B15323)</f>
        <v/>
      </c>
    </row>
    <row r="15324" spans="1:6" ht="15.75" customHeight="1">
      <c r="A15324" s="15" t="s">
        <v>20947</v>
      </c>
      <c r="B15324" s="15" t="s">
        <v>20947</v>
      </c>
      <c r="C15324" s="15" t="s">
        <v>20598</v>
      </c>
      <c r="D15324" s="15" t="s">
        <v>20599</v>
      </c>
      <c r="E15324" s="2">
        <v>1695462</v>
      </c>
      <c r="F15324" s="4" t="str">
        <f>IF(B15324=B15323,"",B15324)</f>
        <v>Pandi</v>
      </c>
    </row>
    <row r="15325" spans="1:6" ht="15.75" customHeight="1">
      <c r="A15325" s="8" t="str">
        <f ca="1">IFERROR(__xludf.DUMMYFUNCTION("GOOGLETRANSLATE(B38565,""en"",""pt"")"),"Pandi")</f>
        <v>Pandi</v>
      </c>
      <c r="B15325" s="11" t="s">
        <v>20947</v>
      </c>
      <c r="C15325" s="11" t="s">
        <v>20598</v>
      </c>
      <c r="D15325" s="11" t="s">
        <v>20599</v>
      </c>
      <c r="E15325" s="10">
        <v>1695462</v>
      </c>
      <c r="F15325" s="4" t="str">
        <f>IF(B15325=B15324,"",B15325)</f>
        <v/>
      </c>
    </row>
    <row r="15326" spans="1:6" ht="15.75" customHeight="1">
      <c r="A15326" s="8" t="str">
        <f ca="1">IFERROR(__xludf.DUMMYFUNCTION("GOOGLETRANSLATE(B32541,""en"",""pt"")"),"Pāndhurnā")</f>
        <v>Pāndhurnā</v>
      </c>
      <c r="B15326" s="9" t="s">
        <v>33269</v>
      </c>
      <c r="C15326" s="9" t="s">
        <v>10178</v>
      </c>
      <c r="D15326" s="9" t="s">
        <v>10219</v>
      </c>
      <c r="E15326" s="10">
        <v>1260543</v>
      </c>
      <c r="F15326" s="4" t="str">
        <f>IF(B15326=B15325,"",B15326)</f>
        <v>Pāndhurnā</v>
      </c>
    </row>
    <row r="15327" spans="1:6" ht="15.75" customHeight="1">
      <c r="A15327" s="16" t="s">
        <v>12788</v>
      </c>
      <c r="B15327" s="15" t="s">
        <v>12788</v>
      </c>
      <c r="C15327" s="16" t="s">
        <v>10178</v>
      </c>
      <c r="D15327" s="16" t="s">
        <v>10214</v>
      </c>
      <c r="E15327" s="2">
        <v>1260546</v>
      </c>
      <c r="F15327" s="4" t="str">
        <f>IF(B15327=B15326,"",B15327)</f>
        <v>Pandharpur</v>
      </c>
    </row>
    <row r="15328" spans="1:6" ht="15.75" customHeight="1">
      <c r="A15328" s="8" t="str">
        <f ca="1">IFERROR(__xludf.DUMMYFUNCTION("GOOGLETRANSLATE(B32542,""en"",""pt"")"),"Pandharpur")</f>
        <v>Pandharpur</v>
      </c>
      <c r="B15328" s="9" t="s">
        <v>12788</v>
      </c>
      <c r="C15328" s="9" t="s">
        <v>10178</v>
      </c>
      <c r="D15328" s="9" t="s">
        <v>10214</v>
      </c>
      <c r="E15328" s="10">
        <v>1260546</v>
      </c>
      <c r="F15328" s="4" t="str">
        <f>IF(B15328=B15327,"",B15328)</f>
        <v/>
      </c>
    </row>
    <row r="15329" spans="1:6" ht="15.75" customHeight="1">
      <c r="A15329" s="16" t="s">
        <v>14077</v>
      </c>
      <c r="B15329" s="15" t="s">
        <v>14078</v>
      </c>
      <c r="C15329" s="16" t="s">
        <v>13800</v>
      </c>
      <c r="D15329" s="16" t="s">
        <v>13901</v>
      </c>
      <c r="E15329" s="2">
        <v>1632823</v>
      </c>
      <c r="F15329" s="4" t="str">
        <f>IF(B15329=B15328,"",B15329)</f>
        <v>Pandeglang</v>
      </c>
    </row>
    <row r="15330" spans="1:6" ht="15.75" customHeight="1">
      <c r="A15330" s="8" t="str">
        <f ca="1">IFERROR(__xludf.DUMMYFUNCTION("GOOGLETRANSLATE(B31509,""en"",""pt"")"),"PandeGlang")</f>
        <v>PandeGlang</v>
      </c>
      <c r="B15330" s="9" t="s">
        <v>14078</v>
      </c>
      <c r="C15330" s="9" t="s">
        <v>13800</v>
      </c>
      <c r="D15330" s="9" t="s">
        <v>13901</v>
      </c>
      <c r="E15330" s="10">
        <v>1632823</v>
      </c>
      <c r="F15330" s="4" t="str">
        <f>IF(B15330=B15329,"",B15330)</f>
        <v/>
      </c>
    </row>
    <row r="15331" spans="1:6" ht="15.75" customHeight="1">
      <c r="A15331" s="15" t="s">
        <v>20946</v>
      </c>
      <c r="B15331" s="15" t="s">
        <v>20946</v>
      </c>
      <c r="C15331" s="15" t="s">
        <v>20598</v>
      </c>
      <c r="D15331" s="15" t="s">
        <v>20627</v>
      </c>
      <c r="E15331" s="2">
        <v>8299649</v>
      </c>
      <c r="F15331" s="4" t="str">
        <f>IF(B15331=B15330,"",B15331)</f>
        <v>Pandan</v>
      </c>
    </row>
    <row r="15332" spans="1:6" ht="15.75" customHeight="1">
      <c r="A15332" s="8" t="str">
        <f ca="1">IFERROR(__xludf.DUMMYFUNCTION("GOOGLETRANSLATE(B38861,""en"",""pt"")"),"Pandan")</f>
        <v>Pandan</v>
      </c>
      <c r="B15332" s="9" t="s">
        <v>20946</v>
      </c>
      <c r="C15332" s="9" t="s">
        <v>20598</v>
      </c>
      <c r="D15332" s="9" t="s">
        <v>20627</v>
      </c>
      <c r="E15332" s="10">
        <v>8299649</v>
      </c>
      <c r="F15332" s="4" t="str">
        <f>IF(B15332=B15331,"",B15332)</f>
        <v/>
      </c>
    </row>
    <row r="15333" spans="1:6" ht="15.75" customHeight="1">
      <c r="A15333" s="15" t="s">
        <v>14076</v>
      </c>
      <c r="B15333" s="15" t="s">
        <v>14076</v>
      </c>
      <c r="C15333" s="15" t="s">
        <v>13800</v>
      </c>
      <c r="D15333" s="15" t="s">
        <v>13826</v>
      </c>
      <c r="E15333" s="2">
        <v>1632861</v>
      </c>
      <c r="F15333" s="4" t="str">
        <f>IF(B15333=B15332,"",B15333)</f>
        <v>Pandak</v>
      </c>
    </row>
    <row r="15334" spans="1:6" ht="15.75" customHeight="1">
      <c r="A15334" s="8" t="str">
        <f ca="1">IFERROR(__xludf.DUMMYFUNCTION("GOOGLETRANSLATE(B31511,""en"",""pt"")"),"Pandak")</f>
        <v>Pandak</v>
      </c>
      <c r="B15334" s="9" t="s">
        <v>14076</v>
      </c>
      <c r="C15334" s="9" t="s">
        <v>13800</v>
      </c>
      <c r="D15334" s="9" t="s">
        <v>13826</v>
      </c>
      <c r="E15334" s="10">
        <v>1632861</v>
      </c>
      <c r="F15334" s="4" t="str">
        <f>IF(B15334=B15333,"",B15334)</f>
        <v/>
      </c>
    </row>
    <row r="15335" spans="1:6" ht="15.75" customHeight="1">
      <c r="A15335" s="16" t="s">
        <v>20945</v>
      </c>
      <c r="B15335" s="15" t="s">
        <v>20945</v>
      </c>
      <c r="C15335" s="16" t="s">
        <v>20598</v>
      </c>
      <c r="D15335" s="16" t="s">
        <v>20599</v>
      </c>
      <c r="E15335" s="2">
        <v>1695583</v>
      </c>
      <c r="F15335" s="4" t="str">
        <f>IF(B15335=B15334,"",B15335)</f>
        <v>Pandacaqui</v>
      </c>
    </row>
    <row r="15336" spans="1:6" ht="15.75" customHeight="1">
      <c r="A15336" s="8" t="str">
        <f ca="1">IFERROR(__xludf.DUMMYFUNCTION("GOOGLETRANSLATE(B38566,""en"",""pt"")"),"Pandacaqui")</f>
        <v>Pandacaqui</v>
      </c>
      <c r="B15336" s="9" t="s">
        <v>20945</v>
      </c>
      <c r="C15336" s="9" t="s">
        <v>20598</v>
      </c>
      <c r="D15336" s="9" t="s">
        <v>20599</v>
      </c>
      <c r="E15336" s="10">
        <v>1695583</v>
      </c>
      <c r="F15336" s="4" t="str">
        <f>IF(B15336=B15335,"",B15336)</f>
        <v/>
      </c>
    </row>
    <row r="15337" spans="1:6" ht="15.75" customHeight="1">
      <c r="A15337" s="15" t="s">
        <v>14075</v>
      </c>
      <c r="B15337" s="15" t="s">
        <v>14075</v>
      </c>
      <c r="C15337" s="15" t="s">
        <v>13800</v>
      </c>
      <c r="D15337" s="15" t="s">
        <v>13816</v>
      </c>
      <c r="E15337" s="2">
        <v>1632859</v>
      </c>
      <c r="F15337" s="4" t="str">
        <f>IF(B15337=B15336,"",B15337)</f>
        <v>Pandaan</v>
      </c>
    </row>
    <row r="15338" spans="1:6" ht="15.75" customHeight="1">
      <c r="A15338" s="8" t="str">
        <f ca="1">IFERROR(__xludf.DUMMYFUNCTION("GOOGLETRANSLATE(B31510,""en"",""pt"")"),"Pandaan")</f>
        <v>Pandaan</v>
      </c>
      <c r="B15338" s="9" t="s">
        <v>14075</v>
      </c>
      <c r="C15338" s="9" t="s">
        <v>13800</v>
      </c>
      <c r="D15338" s="9" t="s">
        <v>13816</v>
      </c>
      <c r="E15338" s="10">
        <v>1632859</v>
      </c>
      <c r="F15338" s="4" t="str">
        <f>IF(B15338=B15337,"",B15338)</f>
        <v/>
      </c>
    </row>
    <row r="15339" spans="1:6" ht="15.75" customHeight="1">
      <c r="A15339" s="8" t="str">
        <f ca="1">IFERROR(__xludf.DUMMYFUNCTION("GOOGLETRANSLATE(B34191,""en"",""pt"")"),"Pānchla")</f>
        <v>Pānchla</v>
      </c>
      <c r="B15339" s="11" t="s">
        <v>34061</v>
      </c>
      <c r="C15339" s="11" t="s">
        <v>10178</v>
      </c>
      <c r="D15339" s="11" t="s">
        <v>10201</v>
      </c>
      <c r="E15339" s="10">
        <v>1348785</v>
      </c>
      <c r="F15339" s="4" t="str">
        <f>IF(B15339=B15338,"",B15339)</f>
        <v>Pānchla</v>
      </c>
    </row>
    <row r="15340" spans="1:6" ht="15.75" customHeight="1">
      <c r="A15340" s="16" t="s">
        <v>1409</v>
      </c>
      <c r="B15340" s="15" t="s">
        <v>1409</v>
      </c>
      <c r="C15340" s="16" t="s">
        <v>1296</v>
      </c>
      <c r="D15340" s="16" t="s">
        <v>1304</v>
      </c>
      <c r="E15340" s="2">
        <v>1185141</v>
      </c>
      <c r="F15340" s="4" t="str">
        <f>IF(B15340=B15339,"",B15340)</f>
        <v>Panchagarh</v>
      </c>
    </row>
    <row r="15341" spans="1:6" ht="15.75" customHeight="1">
      <c r="A15341" s="8" t="str">
        <f ca="1">IFERROR(__xludf.DUMMYFUNCTION("GOOGLETRANSLATE(B23709,""en"",""pt"")"),"Panchagarh")</f>
        <v>Panchagarh</v>
      </c>
      <c r="B15341" s="11" t="s">
        <v>1409</v>
      </c>
      <c r="C15341" s="11" t="s">
        <v>1296</v>
      </c>
      <c r="D15341" s="11" t="s">
        <v>1304</v>
      </c>
      <c r="E15341" s="10">
        <v>1185141</v>
      </c>
      <c r="F15341" s="4" t="str">
        <f>IF(B15341=B15340,"",B15341)</f>
        <v/>
      </c>
    </row>
    <row r="15342" spans="1:6" ht="15.75" customHeight="1">
      <c r="A15342" s="8" t="str">
        <f ca="1">IFERROR(__xludf.DUMMYFUNCTION("GOOGLETRANSLATE(B39871,""en"",""pt"")"),"Pančevo")</f>
        <v>Pančevo</v>
      </c>
      <c r="B15342" s="9" t="s">
        <v>35416</v>
      </c>
      <c r="C15342" s="9" t="s">
        <v>23602</v>
      </c>
      <c r="D15342" s="9" t="s">
        <v>23610</v>
      </c>
      <c r="E15342" s="10">
        <v>787237</v>
      </c>
      <c r="F15342" s="4" t="str">
        <f>IF(B15342=B15341,"",B15342)</f>
        <v>Pančevo</v>
      </c>
    </row>
    <row r="15343" spans="1:6" ht="15.75" customHeight="1">
      <c r="A15343" s="16" t="s">
        <v>18848</v>
      </c>
      <c r="B15343" s="15" t="s">
        <v>18849</v>
      </c>
      <c r="C15343" s="16" t="s">
        <v>18800</v>
      </c>
      <c r="D15343" s="16" t="s">
        <v>17414</v>
      </c>
      <c r="E15343" s="2">
        <v>1282950</v>
      </c>
      <c r="F15343" s="4" t="str">
        <f>IF(B15343=B15342,"",B15343)</f>
        <v>PanautiÌ‡Ì„</v>
      </c>
    </row>
    <row r="15344" spans="1:6" ht="15.75" customHeight="1">
      <c r="A15344" s="8" t="str">
        <f ca="1">IFERROR(__xludf.DUMMYFUNCTION("GOOGLETRANSLATE(B38184,""en"",""pt"")"),"Panauti")</f>
        <v>Panauti</v>
      </c>
      <c r="B15344" s="9" t="s">
        <v>34827</v>
      </c>
      <c r="C15344" s="9" t="s">
        <v>18800</v>
      </c>
      <c r="D15344" s="9" t="s">
        <v>17414</v>
      </c>
      <c r="E15344" s="10">
        <v>1282950</v>
      </c>
      <c r="F15344" s="4" t="str">
        <f>IF(B15344=B15343,"",B15344)</f>
        <v>Panauti̇̄</v>
      </c>
    </row>
    <row r="15345" spans="1:6" ht="15.75" customHeight="1">
      <c r="A15345" s="16" t="s">
        <v>14074</v>
      </c>
      <c r="B15345" s="15" t="s">
        <v>14074</v>
      </c>
      <c r="C15345" s="16" t="s">
        <v>13800</v>
      </c>
      <c r="D15345" s="16" t="s">
        <v>13816</v>
      </c>
      <c r="E15345" s="2">
        <v>1632903</v>
      </c>
      <c r="F15345" s="4" t="str">
        <f>IF(B15345=B15344,"",B15345)</f>
        <v>Panarukan</v>
      </c>
    </row>
    <row r="15346" spans="1:6" ht="15.75" customHeight="1">
      <c r="A15346" s="8" t="str">
        <f ca="1">IFERROR(__xludf.DUMMYFUNCTION("GOOGLETRANSLATE(B31512,""en"",""pt"")"),"Panarukan")</f>
        <v>Panarukan</v>
      </c>
      <c r="B15346" s="9" t="s">
        <v>14074</v>
      </c>
      <c r="C15346" s="9" t="s">
        <v>13800</v>
      </c>
      <c r="D15346" s="9" t="s">
        <v>13816</v>
      </c>
      <c r="E15346" s="10">
        <v>1632903</v>
      </c>
      <c r="F15346" s="4" t="str">
        <f>IF(B15346=B15345,"",B15346)</f>
        <v/>
      </c>
    </row>
    <row r="15347" spans="1:6" ht="15.75" customHeight="1">
      <c r="A15347" s="15" t="s">
        <v>3023</v>
      </c>
      <c r="B15347" s="15" t="s">
        <v>3023</v>
      </c>
      <c r="C15347" s="15" t="s">
        <v>1905</v>
      </c>
      <c r="D15347" s="15" t="s">
        <v>1951</v>
      </c>
      <c r="E15347" s="2">
        <v>3455281</v>
      </c>
      <c r="F15347" s="4" t="str">
        <f>IF(B15347=B15346,"",B15347)</f>
        <v>Panambi</v>
      </c>
    </row>
    <row r="15348" spans="1:6" ht="15.75" customHeight="1">
      <c r="A15348" s="8" t="str">
        <f ca="1">IFERROR(__xludf.DUMMYFUNCTION("GOOGLETRANSLATE(B24750,""en"",""pt"")"),"Panambi")</f>
        <v>Panambi</v>
      </c>
      <c r="B15348" s="9" t="s">
        <v>3023</v>
      </c>
      <c r="C15348" s="9" t="s">
        <v>1905</v>
      </c>
      <c r="D15348" s="9" t="s">
        <v>1951</v>
      </c>
      <c r="E15348" s="10">
        <v>3455281</v>
      </c>
      <c r="F15348" s="4" t="str">
        <f>IF(B15348=B15347,"",B15348)</f>
        <v/>
      </c>
    </row>
    <row r="15349" spans="1:6" ht="15.75" customHeight="1">
      <c r="A15349" s="15" t="s">
        <v>20397</v>
      </c>
      <c r="B15349" s="15" t="s">
        <v>20374</v>
      </c>
      <c r="C15349" s="15" t="s">
        <v>20370</v>
      </c>
      <c r="D15349" s="15" t="s">
        <v>20374</v>
      </c>
      <c r="E15349" s="2">
        <v>3703443</v>
      </c>
      <c r="F15349" s="4" t="str">
        <f>IF(B15349=B15348,"",B15349)</f>
        <v>PanamÃ¡</v>
      </c>
    </row>
    <row r="15350" spans="1:6" ht="15.75" customHeight="1">
      <c r="A15350" s="16" t="s">
        <v>29621</v>
      </c>
      <c r="B15350" s="15" t="s">
        <v>29622</v>
      </c>
      <c r="C15350" s="16" t="s">
        <v>27788</v>
      </c>
      <c r="D15350" s="16" t="s">
        <v>5468</v>
      </c>
      <c r="E15350" s="2">
        <v>4167694</v>
      </c>
      <c r="F15350" s="4" t="str">
        <f>IF(B15350=B15349,"",B15350)</f>
        <v>Panama City</v>
      </c>
    </row>
    <row r="15351" spans="1:6" ht="15.75" customHeight="1">
      <c r="A15351" s="8" t="str">
        <f ca="1">IFERROR(__xludf.DUMMYFUNCTION("GOOGLETRANSLATE(B42983,""en"",""pt"")"),"cidade do Panamá")</f>
        <v>cidade do Panamá</v>
      </c>
      <c r="B15351" s="11" t="s">
        <v>29622</v>
      </c>
      <c r="C15351" s="11" t="s">
        <v>27788</v>
      </c>
      <c r="D15351" s="11" t="s">
        <v>5468</v>
      </c>
      <c r="E15351" s="10">
        <v>4167694</v>
      </c>
      <c r="F15351" s="4" t="str">
        <f>IF(B15351=B15350,"",B15351)</f>
        <v/>
      </c>
    </row>
    <row r="15352" spans="1:6" ht="15.75" customHeight="1">
      <c r="A15352" s="8" t="str">
        <f ca="1">IFERROR(__xludf.DUMMYFUNCTION("GOOGLETRANSLATE(B38284,""en"",""pt"")"),"Panamá")</f>
        <v>Panamá</v>
      </c>
      <c r="B15352" s="9" t="s">
        <v>20397</v>
      </c>
      <c r="C15352" s="9" t="s">
        <v>20370</v>
      </c>
      <c r="D15352" s="9" t="s">
        <v>20397</v>
      </c>
      <c r="E15352" s="10">
        <v>3703443</v>
      </c>
      <c r="F15352" s="4" t="str">
        <f>IF(B15352=B15351,"",B15352)</f>
        <v>Panamá</v>
      </c>
    </row>
    <row r="15353" spans="1:6" ht="15.75" customHeight="1">
      <c r="A15353" s="16" t="s">
        <v>20944</v>
      </c>
      <c r="B15353" s="15" t="s">
        <v>20944</v>
      </c>
      <c r="C15353" s="16" t="s">
        <v>20598</v>
      </c>
      <c r="D15353" s="16" t="s">
        <v>20601</v>
      </c>
      <c r="E15353" s="2">
        <v>1695743</v>
      </c>
      <c r="F15353" s="4" t="str">
        <f>IF(B15353=B15352,"",B15353)</f>
        <v>Panalanoy</v>
      </c>
    </row>
    <row r="15354" spans="1:6" ht="15.75" customHeight="1">
      <c r="A15354" s="8" t="str">
        <f ca="1">IFERROR(__xludf.DUMMYFUNCTION("GOOGLETRANSLATE(B38567,""en"",""pt"")"),"Panalanoy")</f>
        <v>Panalanoy</v>
      </c>
      <c r="B15354" s="9" t="s">
        <v>20944</v>
      </c>
      <c r="C15354" s="9" t="s">
        <v>20598</v>
      </c>
      <c r="D15354" s="9" t="s">
        <v>20601</v>
      </c>
      <c r="E15354" s="10">
        <v>1695743</v>
      </c>
      <c r="F15354" s="4" t="str">
        <f>IF(B15354=B15353,"",B15354)</f>
        <v/>
      </c>
    </row>
    <row r="15355" spans="1:6" ht="15.75" customHeight="1">
      <c r="A15355" s="15" t="s">
        <v>12787</v>
      </c>
      <c r="B15355" s="15" t="s">
        <v>12787</v>
      </c>
      <c r="C15355" s="15" t="s">
        <v>10178</v>
      </c>
      <c r="D15355" s="15" t="s">
        <v>10856</v>
      </c>
      <c r="E15355" s="2">
        <v>1260607</v>
      </c>
      <c r="F15355" s="4" t="str">
        <f>IF(B15355=B15354,"",B15355)</f>
        <v>Panaji</v>
      </c>
    </row>
    <row r="15356" spans="1:6" ht="15.75" customHeight="1">
      <c r="A15356" s="8" t="str">
        <f ca="1">IFERROR(__xludf.DUMMYFUNCTION("GOOGLETRANSLATE(B32544,""en"",""pt"")"),"Panaji")</f>
        <v>Panaji</v>
      </c>
      <c r="B15356" s="9" t="s">
        <v>12787</v>
      </c>
      <c r="C15356" s="9" t="s">
        <v>10178</v>
      </c>
      <c r="D15356" s="9" t="s">
        <v>10856</v>
      </c>
      <c r="E15356" s="10">
        <v>1260607</v>
      </c>
      <c r="F15356" s="4" t="str">
        <f>IF(B15356=B15355,"",B15356)</f>
        <v/>
      </c>
    </row>
    <row r="15357" spans="1:6" ht="15.75" customHeight="1">
      <c r="A15357" s="16" t="s">
        <v>3736</v>
      </c>
      <c r="B15357" s="15" t="s">
        <v>3736</v>
      </c>
      <c r="C15357" s="16" t="s">
        <v>3701</v>
      </c>
      <c r="D15357" s="16" t="s">
        <v>3737</v>
      </c>
      <c r="E15357" s="2">
        <v>728448</v>
      </c>
      <c r="F15357" s="4" t="str">
        <f>IF(B15357=B15356,"",B15357)</f>
        <v>Panagyurishte</v>
      </c>
    </row>
    <row r="15358" spans="1:6" ht="15.75" customHeight="1">
      <c r="A15358" s="8" t="str">
        <f ca="1">IFERROR(__xludf.DUMMYFUNCTION("GOOGLETRANSLATE(B24038,""en"",""pt"")"),"Panagyurishte")</f>
        <v>Panagyurishte</v>
      </c>
      <c r="B15358" s="9" t="s">
        <v>3736</v>
      </c>
      <c r="C15358" s="9" t="s">
        <v>3701</v>
      </c>
      <c r="D15358" s="9" t="s">
        <v>3737</v>
      </c>
      <c r="E15358" s="10">
        <v>728448</v>
      </c>
      <c r="F15358" s="4" t="str">
        <f>IF(B15358=B15357,"",B15358)</f>
        <v/>
      </c>
    </row>
    <row r="15359" spans="1:6" ht="15.75" customHeight="1">
      <c r="A15359" s="8" t="str">
        <f ca="1">IFERROR(__xludf.DUMMYFUNCTION("GOOGLETRANSLATE(B32545,""en"",""pt"")"),"Panāgar")</f>
        <v>Panāgar</v>
      </c>
      <c r="B15359" s="11" t="s">
        <v>33270</v>
      </c>
      <c r="C15359" s="11" t="s">
        <v>10178</v>
      </c>
      <c r="D15359" s="11" t="s">
        <v>10219</v>
      </c>
      <c r="E15359" s="10">
        <v>1260612</v>
      </c>
      <c r="F15359" s="4" t="str">
        <f>IF(B15359=B15358,"",B15359)</f>
        <v>Panāgar</v>
      </c>
    </row>
    <row r="15360" spans="1:6" ht="15.75" customHeight="1">
      <c r="A15360" s="15" t="s">
        <v>24969</v>
      </c>
      <c r="B15360" s="15" t="s">
        <v>24969</v>
      </c>
      <c r="C15360" s="15" t="s">
        <v>24924</v>
      </c>
      <c r="D15360" s="15" t="s">
        <v>6944</v>
      </c>
      <c r="E15360" s="2">
        <v>1231410</v>
      </c>
      <c r="F15360" s="4" t="str">
        <f>IF(B15360=B15359,"",B15360)</f>
        <v>Panadura</v>
      </c>
    </row>
    <row r="15361" spans="1:6" ht="15.75" customHeight="1">
      <c r="A15361" s="8" t="str">
        <f ca="1">IFERROR(__xludf.DUMMYFUNCTION("GOOGLETRANSLATE(B36301,""en"",""pt"")"),"Panadura")</f>
        <v>Panadura</v>
      </c>
      <c r="B15361" s="11" t="s">
        <v>24969</v>
      </c>
      <c r="C15361" s="11" t="s">
        <v>24924</v>
      </c>
      <c r="D15361" s="11" t="s">
        <v>6944</v>
      </c>
      <c r="E15361" s="10">
        <v>1231410</v>
      </c>
      <c r="F15361" s="4" t="str">
        <f>IF(B15361=B15360,"",B15361)</f>
        <v/>
      </c>
    </row>
    <row r="15362" spans="1:6" ht="15.75" customHeight="1">
      <c r="A15362" s="15" t="s">
        <v>20943</v>
      </c>
      <c r="B15362" s="15" t="s">
        <v>20943</v>
      </c>
      <c r="C15362" s="15" t="s">
        <v>20598</v>
      </c>
      <c r="D15362" s="15" t="s">
        <v>20658</v>
      </c>
      <c r="E15362" s="2">
        <v>1695804</v>
      </c>
      <c r="F15362" s="4" t="str">
        <f>IF(B15362=B15361,"",B15362)</f>
        <v>Panabo</v>
      </c>
    </row>
    <row r="15363" spans="1:6" ht="15.75" customHeight="1">
      <c r="A15363" s="8" t="str">
        <f ca="1">IFERROR(__xludf.DUMMYFUNCTION("GOOGLETRANSLATE(B38568,""en"",""pt"")"),"Panabo")</f>
        <v>Panabo</v>
      </c>
      <c r="B15363" s="11" t="s">
        <v>20943</v>
      </c>
      <c r="C15363" s="11" t="s">
        <v>20598</v>
      </c>
      <c r="D15363" s="11" t="s">
        <v>20658</v>
      </c>
      <c r="E15363" s="10">
        <v>1695804</v>
      </c>
      <c r="F15363" s="4" t="str">
        <f>IF(B15363=B15362,"",B15363)</f>
        <v/>
      </c>
    </row>
    <row r="15364" spans="1:6" ht="15.75" customHeight="1">
      <c r="A15364" s="16" t="s">
        <v>9613</v>
      </c>
      <c r="B15364" s="15" t="s">
        <v>9614</v>
      </c>
      <c r="C15364" s="16" t="s">
        <v>9441</v>
      </c>
      <c r="D15364" s="16" t="s">
        <v>9442</v>
      </c>
      <c r="E15364" s="2">
        <v>734771</v>
      </c>
      <c r="F15364" s="4" t="str">
        <f>IF(B15364=B15363,"",B15364)</f>
        <v>PanÃ³rama</v>
      </c>
    </row>
    <row r="15365" spans="1:6" ht="15.75" customHeight="1">
      <c r="A15365" s="15" t="s">
        <v>12785</v>
      </c>
      <c r="B15365" s="15" t="s">
        <v>12786</v>
      </c>
      <c r="C15365" s="15" t="s">
        <v>10178</v>
      </c>
      <c r="D15365" s="15" t="s">
        <v>10219</v>
      </c>
      <c r="E15365" s="2">
        <v>1260612</v>
      </c>
      <c r="F15365" s="4" t="str">
        <f>IF(B15365=B15364,"",B15365)</f>
        <v>PanÄgar</v>
      </c>
    </row>
    <row r="15366" spans="1:6" ht="15.75" customHeight="1">
      <c r="A15366" s="15" t="s">
        <v>23643</v>
      </c>
      <c r="B15366" s="15" t="s">
        <v>23644</v>
      </c>
      <c r="C15366" s="15" t="s">
        <v>23602</v>
      </c>
      <c r="D15366" s="15" t="s">
        <v>23610</v>
      </c>
      <c r="E15366" s="2">
        <v>787237</v>
      </c>
      <c r="F15366" s="4" t="str">
        <f>IF(B15366=B15365,"",B15366)</f>
        <v>PanÄevo</v>
      </c>
    </row>
    <row r="15367" spans="1:6" ht="15.75" customHeight="1">
      <c r="A15367" s="16" t="s">
        <v>14073</v>
      </c>
      <c r="B15367" s="15" t="s">
        <v>14073</v>
      </c>
      <c r="C15367" s="16" t="s">
        <v>13800</v>
      </c>
      <c r="D15367" s="16" t="s">
        <v>13811</v>
      </c>
      <c r="E15367" s="2">
        <v>1632937</v>
      </c>
      <c r="F15367" s="4" t="str">
        <f>IF(B15367=B15366,"",B15367)</f>
        <v>Pamulang</v>
      </c>
    </row>
    <row r="15368" spans="1:6" ht="15.75" customHeight="1">
      <c r="A15368" s="8" t="str">
        <f ca="1">IFERROR(__xludf.DUMMYFUNCTION("GOOGLETRANSLATE(B31513,""en"",""pt"")"),"Pamulang")</f>
        <v>Pamulang</v>
      </c>
      <c r="B15368" s="9" t="s">
        <v>14073</v>
      </c>
      <c r="C15368" s="9" t="s">
        <v>13800</v>
      </c>
      <c r="D15368" s="9" t="s">
        <v>13811</v>
      </c>
      <c r="E15368" s="10">
        <v>1632937</v>
      </c>
      <c r="F15368" s="4" t="str">
        <f>IF(B15368=B15367,"",B15368)</f>
        <v/>
      </c>
    </row>
    <row r="15369" spans="1:6" ht="15.75" customHeight="1">
      <c r="A15369" s="16" t="s">
        <v>5545</v>
      </c>
      <c r="B15369" s="15" t="s">
        <v>5545</v>
      </c>
      <c r="C15369" s="16" t="s">
        <v>5348</v>
      </c>
      <c r="D15369" s="16" t="s">
        <v>5410</v>
      </c>
      <c r="E15369" s="2">
        <v>3673045</v>
      </c>
      <c r="F15369" s="4" t="str">
        <f>IF(B15369=B15368,"",B15369)</f>
        <v>Pamplona</v>
      </c>
    </row>
    <row r="15370" spans="1:6" ht="15.75" customHeight="1">
      <c r="A15370" s="16" t="s">
        <v>5545</v>
      </c>
      <c r="B15370" s="15" t="s">
        <v>5545</v>
      </c>
      <c r="C15370" s="16" t="s">
        <v>24200</v>
      </c>
      <c r="D15370" s="16" t="s">
        <v>24320</v>
      </c>
      <c r="E15370" s="2">
        <v>3114472</v>
      </c>
      <c r="F15370" s="4" t="str">
        <f>IF(B15370=B15369,"",B15370)</f>
        <v/>
      </c>
    </row>
    <row r="15371" spans="1:6" ht="15.75" customHeight="1">
      <c r="A15371" s="8" t="str">
        <f ca="1">IFERROR(__xludf.DUMMYFUNCTION("GOOGLETRANSLATE(B26925,""en"",""pt"")"),"Pamplona")</f>
        <v>Pamplona</v>
      </c>
      <c r="B15371" s="11" t="s">
        <v>5545</v>
      </c>
      <c r="C15371" s="11" t="s">
        <v>5348</v>
      </c>
      <c r="D15371" s="11" t="s">
        <v>5410</v>
      </c>
      <c r="E15371" s="10">
        <v>3673045</v>
      </c>
      <c r="F15371" s="4" t="str">
        <f>IF(B15371=B15370,"",B15371)</f>
        <v/>
      </c>
    </row>
    <row r="15372" spans="1:6" ht="15.75" customHeight="1">
      <c r="A15372" s="8" t="str">
        <f ca="1">IFERROR(__xludf.DUMMYFUNCTION("GOOGLETRANSLATE(B29332,""en"",""pt"")"),"Pamplona")</f>
        <v>Pamplona</v>
      </c>
      <c r="B15372" s="9" t="s">
        <v>5545</v>
      </c>
      <c r="C15372" s="9" t="s">
        <v>24200</v>
      </c>
      <c r="D15372" s="9" t="s">
        <v>24320</v>
      </c>
      <c r="E15372" s="10">
        <v>3114472</v>
      </c>
      <c r="F15372" s="4" t="str">
        <f>IF(B15372=B15371,"",B15372)</f>
        <v/>
      </c>
    </row>
    <row r="15373" spans="1:6" ht="15.75" customHeight="1">
      <c r="A15373" s="16" t="s">
        <v>23949</v>
      </c>
      <c r="B15373" s="15" t="s">
        <v>23949</v>
      </c>
      <c r="C15373" s="16" t="s">
        <v>23842</v>
      </c>
      <c r="D15373" s="16" t="s">
        <v>23860</v>
      </c>
      <c r="E15373" s="2">
        <v>966380</v>
      </c>
      <c r="F15373" s="4" t="str">
        <f>IF(B15373=B15372,"",B15373)</f>
        <v>Pampierstad</v>
      </c>
    </row>
    <row r="15374" spans="1:6" ht="15.75" customHeight="1">
      <c r="A15374" s="8" t="str">
        <f ca="1">IFERROR(__xludf.DUMMYFUNCTION("GOOGLETRANSLATE(B45902,""en"",""pt"")"),"Pampierstad")</f>
        <v>Pampierstad</v>
      </c>
      <c r="B15374" s="9" t="s">
        <v>23949</v>
      </c>
      <c r="C15374" s="9" t="s">
        <v>23842</v>
      </c>
      <c r="D15374" s="9" t="s">
        <v>23860</v>
      </c>
      <c r="E15374" s="10">
        <v>966380</v>
      </c>
      <c r="F15374" s="4" t="str">
        <f>IF(B15374=B15373,"",B15374)</f>
        <v/>
      </c>
    </row>
    <row r="15375" spans="1:6" ht="15.75" customHeight="1">
      <c r="A15375" s="15" t="s">
        <v>29620</v>
      </c>
      <c r="B15375" s="15" t="s">
        <v>29620</v>
      </c>
      <c r="C15375" s="15" t="s">
        <v>27788</v>
      </c>
      <c r="D15375" s="15" t="s">
        <v>27792</v>
      </c>
      <c r="E15375" s="2">
        <v>5527953</v>
      </c>
      <c r="F15375" s="4" t="str">
        <f>IF(B15375=B15374,"",B15375)</f>
        <v>Pampa</v>
      </c>
    </row>
    <row r="15376" spans="1:6" ht="15.75" customHeight="1">
      <c r="A15376" s="8" t="str">
        <f ca="1">IFERROR(__xludf.DUMMYFUNCTION("GOOGLETRANSLATE(B45166,""en"",""pt"")"),"Pampa")</f>
        <v>Pampa</v>
      </c>
      <c r="B15376" s="9" t="s">
        <v>29620</v>
      </c>
      <c r="C15376" s="9" t="s">
        <v>27788</v>
      </c>
      <c r="D15376" s="9" t="s">
        <v>27792</v>
      </c>
      <c r="E15376" s="10">
        <v>5527953</v>
      </c>
      <c r="F15376" s="4" t="str">
        <f>IF(B15376=B15375,"",B15376)</f>
        <v/>
      </c>
    </row>
    <row r="15377" spans="1:6" ht="15.75" customHeight="1">
      <c r="A15377" s="15" t="s">
        <v>7669</v>
      </c>
      <c r="B15377" s="15" t="s">
        <v>7669</v>
      </c>
      <c r="C15377" s="15" t="s">
        <v>7052</v>
      </c>
      <c r="D15377" s="15" t="s">
        <v>7082</v>
      </c>
      <c r="E15377" s="2">
        <v>2988670</v>
      </c>
      <c r="F15377" s="4" t="str">
        <f>IF(B15377=B15376,"",B15377)</f>
        <v>Pamiers</v>
      </c>
    </row>
    <row r="15378" spans="1:6" ht="15.75" customHeight="1">
      <c r="A15378" s="8" t="str">
        <f ca="1">IFERROR(__xludf.DUMMYFUNCTION("GOOGLETRANSLATE(B29859,""en"",""pt"")"),"Pamiers")</f>
        <v>Pamiers</v>
      </c>
      <c r="B15378" s="9" t="s">
        <v>7669</v>
      </c>
      <c r="C15378" s="9" t="s">
        <v>7052</v>
      </c>
      <c r="D15378" s="9" t="s">
        <v>32547</v>
      </c>
      <c r="E15378" s="10">
        <v>2988670</v>
      </c>
      <c r="F15378" s="4" t="str">
        <f>IF(B15378=B15377,"",B15378)</f>
        <v/>
      </c>
    </row>
    <row r="15379" spans="1:6" ht="15.75" customHeight="1">
      <c r="A15379" s="16" t="s">
        <v>14072</v>
      </c>
      <c r="B15379" s="15" t="s">
        <v>14072</v>
      </c>
      <c r="C15379" s="16" t="s">
        <v>13800</v>
      </c>
      <c r="D15379" s="16" t="s">
        <v>13811</v>
      </c>
      <c r="E15379" s="2">
        <v>1632974</v>
      </c>
      <c r="F15379" s="4" t="str">
        <f>IF(B15379=B15378,"",B15379)</f>
        <v>Pameungpeuk</v>
      </c>
    </row>
    <row r="15380" spans="1:6" ht="15.75" customHeight="1">
      <c r="A15380" s="8" t="str">
        <f ca="1">IFERROR(__xludf.DUMMYFUNCTION("GOOGLETRANSLATE(B31514,""en"",""pt"")"),"Pameungpeuk")</f>
        <v>Pameungpeuk</v>
      </c>
      <c r="B15380" s="9" t="s">
        <v>14072</v>
      </c>
      <c r="C15380" s="9" t="s">
        <v>13800</v>
      </c>
      <c r="D15380" s="9" t="s">
        <v>13811</v>
      </c>
      <c r="E15380" s="10">
        <v>1632974</v>
      </c>
      <c r="F15380" s="4" t="str">
        <f>IF(B15380=B15379,"",B15380)</f>
        <v/>
      </c>
    </row>
    <row r="15381" spans="1:6" ht="15.75" customHeight="1">
      <c r="A15381" s="16" t="s">
        <v>14071</v>
      </c>
      <c r="B15381" s="15" t="s">
        <v>14071</v>
      </c>
      <c r="C15381" s="16" t="s">
        <v>13800</v>
      </c>
      <c r="D15381" s="16" t="s">
        <v>13816</v>
      </c>
      <c r="E15381" s="2">
        <v>1632978</v>
      </c>
      <c r="F15381" s="4" t="str">
        <f>IF(B15381=B15380,"",B15381)</f>
        <v>Pamekasan</v>
      </c>
    </row>
    <row r="15382" spans="1:6" ht="15.75" customHeight="1">
      <c r="A15382" s="8" t="str">
        <f ca="1">IFERROR(__xludf.DUMMYFUNCTION("GOOGLETRANSLATE(B31515,""en"",""pt"")"),"Pamekasan")</f>
        <v>Pamekasan</v>
      </c>
      <c r="B15382" s="11" t="s">
        <v>14071</v>
      </c>
      <c r="C15382" s="11" t="s">
        <v>13800</v>
      </c>
      <c r="D15382" s="11" t="s">
        <v>13816</v>
      </c>
      <c r="E15382" s="10">
        <v>1632978</v>
      </c>
      <c r="F15382" s="4" t="str">
        <f>IF(B15382=B15381,"",B15382)</f>
        <v/>
      </c>
    </row>
    <row r="15383" spans="1:6" ht="15.75" customHeight="1">
      <c r="A15383" s="16" t="s">
        <v>14070</v>
      </c>
      <c r="B15383" s="15" t="s">
        <v>14070</v>
      </c>
      <c r="C15383" s="16" t="s">
        <v>13800</v>
      </c>
      <c r="D15383" s="16" t="s">
        <v>13811</v>
      </c>
      <c r="E15383" s="2">
        <v>1632998</v>
      </c>
      <c r="F15383" s="4" t="str">
        <f>IF(B15383=B15382,"",B15383)</f>
        <v>Pamanukan</v>
      </c>
    </row>
    <row r="15384" spans="1:6" ht="15.75" customHeight="1">
      <c r="A15384" s="8" t="str">
        <f ca="1">IFERROR(__xludf.DUMMYFUNCTION("GOOGLETRANSLATE(B31516,""en"",""pt"")"),"Pamanukan")</f>
        <v>Pamanukan</v>
      </c>
      <c r="B15384" s="11" t="s">
        <v>14070</v>
      </c>
      <c r="C15384" s="11" t="s">
        <v>13800</v>
      </c>
      <c r="D15384" s="11" t="s">
        <v>13811</v>
      </c>
      <c r="E15384" s="10">
        <v>1632998</v>
      </c>
      <c r="F15384" s="4" t="str">
        <f>IF(B15384=B15383,"",B15384)</f>
        <v/>
      </c>
    </row>
    <row r="15385" spans="1:6" ht="15.75" customHeight="1">
      <c r="A15385" s="16" t="s">
        <v>12784</v>
      </c>
      <c r="B15385" s="15" t="s">
        <v>12784</v>
      </c>
      <c r="C15385" s="16" t="s">
        <v>10178</v>
      </c>
      <c r="D15385" s="16" t="s">
        <v>10187</v>
      </c>
      <c r="E15385" s="2">
        <v>7302847</v>
      </c>
      <c r="F15385" s="4" t="str">
        <f>IF(B15385=B15384,"",B15385)</f>
        <v>Palwancha</v>
      </c>
    </row>
    <row r="15386" spans="1:6" ht="15.75" customHeight="1">
      <c r="A15386" s="8" t="str">
        <f ca="1">IFERROR(__xludf.DUMMYFUNCTION("GOOGLETRANSLATE(B34243,""en"",""pt"")"),"Palwancha")</f>
        <v>Palwancha</v>
      </c>
      <c r="B15386" s="9" t="s">
        <v>12784</v>
      </c>
      <c r="C15386" s="9" t="s">
        <v>10178</v>
      </c>
      <c r="D15386" s="9" t="s">
        <v>10187</v>
      </c>
      <c r="E15386" s="10">
        <v>7302847</v>
      </c>
      <c r="F15386" s="4" t="str">
        <f>IF(B15386=B15385,"",B15386)</f>
        <v/>
      </c>
    </row>
    <row r="15387" spans="1:6" ht="15.75" customHeight="1">
      <c r="A15387" s="15" t="s">
        <v>12783</v>
      </c>
      <c r="B15387" s="15" t="s">
        <v>12783</v>
      </c>
      <c r="C15387" s="15" t="s">
        <v>10178</v>
      </c>
      <c r="D15387" s="15" t="s">
        <v>10224</v>
      </c>
      <c r="E15387" s="2">
        <v>1260637</v>
      </c>
      <c r="F15387" s="4" t="str">
        <f>IF(B15387=B15386,"",B15387)</f>
        <v>Palwal</v>
      </c>
    </row>
    <row r="15388" spans="1:6" ht="15.75" customHeight="1">
      <c r="A15388" s="8" t="str">
        <f ca="1">IFERROR(__xludf.DUMMYFUNCTION("GOOGLETRANSLATE(B32546,""en"",""pt"")"),"Palwal")</f>
        <v>Palwal</v>
      </c>
      <c r="B15388" s="11" t="s">
        <v>12783</v>
      </c>
      <c r="C15388" s="11" t="s">
        <v>10178</v>
      </c>
      <c r="D15388" s="11" t="s">
        <v>10224</v>
      </c>
      <c r="E15388" s="10">
        <v>1260637</v>
      </c>
      <c r="F15388" s="4" t="str">
        <f>IF(B15388=B15387,"",B15388)</f>
        <v/>
      </c>
    </row>
    <row r="15389" spans="1:6" ht="15.75" customHeight="1">
      <c r="A15389" s="15" t="s">
        <v>14069</v>
      </c>
      <c r="B15389" s="15" t="s">
        <v>14069</v>
      </c>
      <c r="C15389" s="15" t="s">
        <v>13800</v>
      </c>
      <c r="D15389" s="15" t="s">
        <v>14014</v>
      </c>
      <c r="E15389" s="2">
        <v>1633034</v>
      </c>
      <c r="F15389" s="4" t="str">
        <f>IF(B15389=B15388,"",B15389)</f>
        <v>Palu</v>
      </c>
    </row>
    <row r="15390" spans="1:6" ht="15.75" customHeight="1">
      <c r="A15390" s="8" t="str">
        <f ca="1">IFERROR(__xludf.DUMMYFUNCTION("GOOGLETRANSLATE(B31517,""en"",""pt"")"),"Palu")</f>
        <v>Palu</v>
      </c>
      <c r="B15390" s="11" t="s">
        <v>14069</v>
      </c>
      <c r="C15390" s="11" t="s">
        <v>13800</v>
      </c>
      <c r="D15390" s="11" t="s">
        <v>14014</v>
      </c>
      <c r="E15390" s="10">
        <v>1633034</v>
      </c>
      <c r="F15390" s="4" t="str">
        <f>IF(B15390=B15389,"",B15390)</f>
        <v/>
      </c>
    </row>
    <row r="15391" spans="1:6" ht="15.75" customHeight="1">
      <c r="A15391" s="15" t="s">
        <v>1408</v>
      </c>
      <c r="B15391" s="15" t="s">
        <v>1408</v>
      </c>
      <c r="C15391" s="15" t="s">
        <v>1296</v>
      </c>
      <c r="D15391" s="15" t="s">
        <v>1297</v>
      </c>
      <c r="E15391" s="2">
        <v>9827976</v>
      </c>
      <c r="F15391" s="4" t="str">
        <f>IF(B15391=B15390,"",B15391)</f>
        <v>Paltan</v>
      </c>
    </row>
    <row r="15392" spans="1:6" ht="15.75" customHeight="1">
      <c r="A15392" s="8" t="str">
        <f ca="1">IFERROR(__xludf.DUMMYFUNCTION("GOOGLETRANSLATE(B23790,""en"",""pt"")"),"Paltan")</f>
        <v>Paltan</v>
      </c>
      <c r="B15392" s="11" t="s">
        <v>1408</v>
      </c>
      <c r="C15392" s="11" t="s">
        <v>1296</v>
      </c>
      <c r="D15392" s="11" t="s">
        <v>1297</v>
      </c>
      <c r="E15392" s="10">
        <v>9827976</v>
      </c>
      <c r="F15392" s="4" t="str">
        <f>IF(B15392=B15391,"",B15392)</f>
        <v/>
      </c>
    </row>
    <row r="15393" spans="1:6" ht="15.75" customHeight="1">
      <c r="A15393" s="15" t="s">
        <v>725</v>
      </c>
      <c r="B15393" s="15" t="s">
        <v>726</v>
      </c>
      <c r="C15393" s="15" t="s">
        <v>558</v>
      </c>
      <c r="D15393" s="15" t="s">
        <v>699</v>
      </c>
      <c r="E15393" s="2">
        <v>3842190</v>
      </c>
      <c r="F15393" s="4" t="str">
        <f>IF(B15393=B15392,"",B15393)</f>
        <v>PalpalÃ¡</v>
      </c>
    </row>
    <row r="15394" spans="1:6" ht="15.75" customHeight="1">
      <c r="A15394" s="8" t="str">
        <f ca="1">IFERROR(__xludf.DUMMYFUNCTION("GOOGLETRANSLATE(B23297,""en"",""pt"")"),"Palpalá")</f>
        <v>Palpalá</v>
      </c>
      <c r="B15394" s="11" t="s">
        <v>31197</v>
      </c>
      <c r="C15394" s="11" t="s">
        <v>558</v>
      </c>
      <c r="D15394" s="11" t="s">
        <v>699</v>
      </c>
      <c r="E15394" s="10">
        <v>3842190</v>
      </c>
      <c r="F15394" s="4" t="str">
        <f>IF(B15394=B15393,"",B15394)</f>
        <v>Palpalá</v>
      </c>
    </row>
    <row r="15395" spans="1:6" ht="15.75" customHeight="1">
      <c r="A15395" s="15" t="s">
        <v>3022</v>
      </c>
      <c r="B15395" s="15" t="s">
        <v>3022</v>
      </c>
      <c r="C15395" s="15" t="s">
        <v>1905</v>
      </c>
      <c r="D15395" s="15" t="s">
        <v>728</v>
      </c>
      <c r="E15395" s="2">
        <v>3455298</v>
      </c>
      <c r="F15395" s="4" t="str">
        <f>IF(B15395=B15394,"",B15395)</f>
        <v>Palotina</v>
      </c>
    </row>
    <row r="15396" spans="1:6" ht="15.75" customHeight="1">
      <c r="A15396" s="8" t="str">
        <f ca="1">IFERROR(__xludf.DUMMYFUNCTION("GOOGLETRANSLATE(B24751,""en"",""pt"")"),"Palotina")</f>
        <v>Palotina</v>
      </c>
      <c r="B15396" s="11" t="s">
        <v>3022</v>
      </c>
      <c r="C15396" s="11" t="s">
        <v>1905</v>
      </c>
      <c r="D15396" s="11" t="s">
        <v>727</v>
      </c>
      <c r="E15396" s="10">
        <v>3455298</v>
      </c>
      <c r="F15396" s="4" t="str">
        <f>IF(B15396=B15395,"",B15396)</f>
        <v/>
      </c>
    </row>
    <row r="15397" spans="1:6" ht="15.75" customHeight="1">
      <c r="A15397" s="16" t="s">
        <v>29618</v>
      </c>
      <c r="B15397" s="15" t="s">
        <v>29619</v>
      </c>
      <c r="C15397" s="16" t="s">
        <v>27788</v>
      </c>
      <c r="D15397" s="16" t="s">
        <v>27799</v>
      </c>
      <c r="E15397" s="2">
        <v>4905263</v>
      </c>
      <c r="F15397" s="4" t="str">
        <f>IF(B15397=B15396,"",B15397)</f>
        <v>Palos Hills</v>
      </c>
    </row>
    <row r="15398" spans="1:6" ht="15.75" customHeight="1">
      <c r="A15398" s="8" t="str">
        <f ca="1">IFERROR(__xludf.DUMMYFUNCTION("GOOGLETRANSLATE(B43867,""en"",""pt"")"),"Hills de Palos")</f>
        <v>Hills de Palos</v>
      </c>
      <c r="B15398" s="11" t="s">
        <v>29619</v>
      </c>
      <c r="C15398" s="11" t="s">
        <v>27788</v>
      </c>
      <c r="D15398" s="11" t="s">
        <v>27799</v>
      </c>
      <c r="E15398" s="10">
        <v>4905263</v>
      </c>
      <c r="F15398" s="4" t="str">
        <f>IF(B15398=B15397,"",B15398)</f>
        <v/>
      </c>
    </row>
    <row r="15399" spans="1:6" ht="15.75" customHeight="1">
      <c r="A15399" s="15" t="s">
        <v>14068</v>
      </c>
      <c r="B15399" s="15" t="s">
        <v>14068</v>
      </c>
      <c r="C15399" s="15" t="s">
        <v>13800</v>
      </c>
      <c r="D15399" s="15" t="s">
        <v>13918</v>
      </c>
      <c r="E15399" s="2">
        <v>1633037</v>
      </c>
      <c r="F15399" s="4" t="str">
        <f>IF(B15399=B15398,"",B15399)</f>
        <v>Palopo</v>
      </c>
    </row>
    <row r="15400" spans="1:6" ht="15.75" customHeight="1">
      <c r="A15400" s="8" t="str">
        <f ca="1">IFERROR(__xludf.DUMMYFUNCTION("GOOGLETRANSLATE(B31518,""en"",""pt"")"),"Palopo")</f>
        <v>Palopo</v>
      </c>
      <c r="B15400" s="11" t="s">
        <v>14068</v>
      </c>
      <c r="C15400" s="11" t="s">
        <v>13800</v>
      </c>
      <c r="D15400" s="11" t="s">
        <v>13918</v>
      </c>
      <c r="E15400" s="10">
        <v>1633037</v>
      </c>
      <c r="F15400" s="4" t="str">
        <f>IF(B15400=B15399,"",B15400)</f>
        <v/>
      </c>
    </row>
    <row r="15401" spans="1:6" ht="15.75" customHeight="1">
      <c r="A15401" s="8" t="str">
        <f ca="1">IFERROR(__xludf.DUMMYFUNCTION("GOOGLETRANSLATE(B32547,""en"",""pt"")"),"Pāloncha")</f>
        <v>Pāloncha</v>
      </c>
      <c r="B15401" s="9" t="s">
        <v>33271</v>
      </c>
      <c r="C15401" s="9" t="s">
        <v>10178</v>
      </c>
      <c r="D15401" s="9" t="s">
        <v>10187</v>
      </c>
      <c r="E15401" s="10">
        <v>1260667</v>
      </c>
      <c r="F15401" s="4" t="str">
        <f>IF(B15401=B15400,"",B15401)</f>
        <v>Pāloncha</v>
      </c>
    </row>
    <row r="15402" spans="1:6" ht="15.75" customHeight="1">
      <c r="A15402" s="16" t="s">
        <v>30735</v>
      </c>
      <c r="B15402" s="15" t="s">
        <v>30735</v>
      </c>
      <c r="C15402" s="16" t="s">
        <v>5923</v>
      </c>
      <c r="D15402" s="16" t="s">
        <v>30652</v>
      </c>
      <c r="E15402" s="2">
        <v>3630932</v>
      </c>
      <c r="F15402" s="4" t="str">
        <f>IF(B15402=B15401,"",B15402)</f>
        <v>Palo Negro</v>
      </c>
    </row>
    <row r="15403" spans="1:6" ht="15.75" customHeight="1">
      <c r="A15403" s="8" t="str">
        <f ca="1">IFERROR(__xludf.DUMMYFUNCTION("GOOGLETRANSLATE(B45639,""en"",""pt"")"),"Palo Negro")</f>
        <v>Palo Negro</v>
      </c>
      <c r="B15403" s="9" t="s">
        <v>30735</v>
      </c>
      <c r="C15403" s="9" t="s">
        <v>5923</v>
      </c>
      <c r="D15403" s="9" t="s">
        <v>30652</v>
      </c>
      <c r="E15403" s="10">
        <v>3630932</v>
      </c>
      <c r="F15403" s="4" t="str">
        <f>IF(B15403=B15402,"",B15403)</f>
        <v/>
      </c>
    </row>
    <row r="15404" spans="1:6" ht="15.75" customHeight="1">
      <c r="A15404" s="16" t="s">
        <v>15350</v>
      </c>
      <c r="B15404" s="15" t="s">
        <v>15351</v>
      </c>
      <c r="C15404" s="16" t="s">
        <v>14891</v>
      </c>
      <c r="D15404" s="16" t="s">
        <v>14908</v>
      </c>
      <c r="E15404" s="2">
        <v>3171562</v>
      </c>
      <c r="F15404" s="4" t="str">
        <f>IF(B15404=B15403,"",B15404)</f>
        <v>Palo del Colle</v>
      </c>
    </row>
    <row r="15405" spans="1:6" ht="15.75" customHeight="1">
      <c r="A15405" s="8" t="str">
        <f ca="1">IFERROR(__xludf.DUMMYFUNCTION("GOOGLETRANSLATE(B34782,""en"",""pt"")"),"Palo del Del Colle")</f>
        <v>Palo del Del Colle</v>
      </c>
      <c r="B15405" s="9" t="s">
        <v>15351</v>
      </c>
      <c r="C15405" s="9" t="s">
        <v>14891</v>
      </c>
      <c r="D15405" s="9" t="s">
        <v>14908</v>
      </c>
      <c r="E15405" s="10">
        <v>3171562</v>
      </c>
      <c r="F15405" s="4" t="str">
        <f>IF(B15405=B15404,"",B15405)</f>
        <v/>
      </c>
    </row>
    <row r="15406" spans="1:6" ht="15.75" customHeight="1">
      <c r="A15406" s="15" t="s">
        <v>29617</v>
      </c>
      <c r="B15406" s="15" t="s">
        <v>29617</v>
      </c>
      <c r="C15406" s="15" t="s">
        <v>27788</v>
      </c>
      <c r="D15406" s="15" t="s">
        <v>27801</v>
      </c>
      <c r="E15406" s="2">
        <v>5380748</v>
      </c>
      <c r="F15406" s="4" t="str">
        <f>IF(B15406=B15405,"",B15406)</f>
        <v>Palo Alto</v>
      </c>
    </row>
    <row r="15407" spans="1:6" ht="15.75" customHeight="1">
      <c r="A15407" s="8" t="str">
        <f ca="1">IFERROR(__xludf.DUMMYFUNCTION("GOOGLETRANSLATE(B44952,""en"",""pt"")"),"Palo Alto")</f>
        <v>Palo Alto</v>
      </c>
      <c r="B15407" s="9" t="s">
        <v>29617</v>
      </c>
      <c r="C15407" s="9" t="s">
        <v>27788</v>
      </c>
      <c r="D15407" s="9" t="s">
        <v>27801</v>
      </c>
      <c r="E15407" s="10">
        <v>5380748</v>
      </c>
      <c r="F15407" s="4" t="str">
        <f>IF(B15407=B15406,"",B15407)</f>
        <v/>
      </c>
    </row>
    <row r="15408" spans="1:6" ht="15.75" customHeight="1">
      <c r="A15408" s="15" t="s">
        <v>20942</v>
      </c>
      <c r="B15408" s="15" t="s">
        <v>20942</v>
      </c>
      <c r="C15408" s="15" t="s">
        <v>20598</v>
      </c>
      <c r="D15408" s="15" t="s">
        <v>20601</v>
      </c>
      <c r="E15408" s="2">
        <v>1696041</v>
      </c>
      <c r="F15408" s="4" t="str">
        <f>IF(B15408=B15407,"",B15408)</f>
        <v>Palo</v>
      </c>
    </row>
    <row r="15409" spans="1:6" ht="15.75" customHeight="1">
      <c r="A15409" s="8" t="str">
        <f ca="1">IFERROR(__xludf.DUMMYFUNCTION("GOOGLETRANSLATE(B38569,""en"",""pt"")"),"Palo")</f>
        <v>Palo</v>
      </c>
      <c r="B15409" s="9" t="s">
        <v>20942</v>
      </c>
      <c r="C15409" s="9" t="s">
        <v>20598</v>
      </c>
      <c r="D15409" s="9" t="s">
        <v>20601</v>
      </c>
      <c r="E15409" s="10">
        <v>1696041</v>
      </c>
      <c r="F15409" s="4" t="str">
        <f>IF(B15409=B15408,"",B15409)</f>
        <v/>
      </c>
    </row>
    <row r="15410" spans="1:6" ht="15.75" customHeight="1">
      <c r="A15410" s="15" t="s">
        <v>3021</v>
      </c>
      <c r="B15410" s="15" t="s">
        <v>3021</v>
      </c>
      <c r="C15410" s="15" t="s">
        <v>1905</v>
      </c>
      <c r="D15410" s="15" t="s">
        <v>1914</v>
      </c>
      <c r="E15410" s="2">
        <v>3455342</v>
      </c>
      <c r="F15410" s="4" t="str">
        <f>IF(B15410=B15409,"",B15410)</f>
        <v>Palmital</v>
      </c>
    </row>
    <row r="15411" spans="1:6" ht="15.75" customHeight="1">
      <c r="A15411" s="8" t="str">
        <f ca="1">IFERROR(__xludf.DUMMYFUNCTION("GOOGLETRANSLATE(B24752,""en"",""pt"")"),"Palmital")</f>
        <v>Palmital</v>
      </c>
      <c r="B15411" s="11" t="s">
        <v>3021</v>
      </c>
      <c r="C15411" s="11" t="s">
        <v>1905</v>
      </c>
      <c r="D15411" s="11" t="s">
        <v>3354</v>
      </c>
      <c r="E15411" s="10">
        <v>3455342</v>
      </c>
      <c r="F15411" s="4" t="str">
        <f>IF(B15411=B15410,"",B15411)</f>
        <v/>
      </c>
    </row>
    <row r="15412" spans="1:6" ht="15.75" customHeight="1">
      <c r="A15412" s="15" t="s">
        <v>5544</v>
      </c>
      <c r="B15412" s="15" t="s">
        <v>5544</v>
      </c>
      <c r="C15412" s="15" t="s">
        <v>5348</v>
      </c>
      <c r="D15412" s="15" t="s">
        <v>5360</v>
      </c>
      <c r="E15412" s="2">
        <v>3673164</v>
      </c>
      <c r="F15412" s="4" t="str">
        <f>IF(B15412=B15411,"",B15412)</f>
        <v>Palmira</v>
      </c>
    </row>
    <row r="15413" spans="1:6" ht="15.75" customHeight="1">
      <c r="A15413" s="15" t="s">
        <v>5544</v>
      </c>
      <c r="B15413" s="15" t="s">
        <v>5544</v>
      </c>
      <c r="C15413" s="15" t="s">
        <v>5764</v>
      </c>
      <c r="D15413" s="15" t="s">
        <v>5765</v>
      </c>
      <c r="E15413" s="2">
        <v>3545040</v>
      </c>
      <c r="F15413" s="4" t="str">
        <f>IF(B15413=B15412,"",B15413)</f>
        <v/>
      </c>
    </row>
    <row r="15414" spans="1:6" ht="15.75" customHeight="1">
      <c r="A15414" s="8" t="str">
        <f ca="1">IFERROR(__xludf.DUMMYFUNCTION("GOOGLETRANSLATE(B26926,""en"",""pt"")"),"Palmira")</f>
        <v>Palmira</v>
      </c>
      <c r="B15414" s="9" t="s">
        <v>5544</v>
      </c>
      <c r="C15414" s="9" t="s">
        <v>5348</v>
      </c>
      <c r="D15414" s="9" t="s">
        <v>5360</v>
      </c>
      <c r="E15414" s="10">
        <v>3673164</v>
      </c>
      <c r="F15414" s="4" t="str">
        <f>IF(B15414=B15413,"",B15414)</f>
        <v/>
      </c>
    </row>
    <row r="15415" spans="1:6" ht="15.75" customHeight="1">
      <c r="A15415" s="8" t="str">
        <f ca="1">IFERROR(__xludf.DUMMYFUNCTION("GOOGLETRANSLATE(B27138,""en"",""pt"")"),"Palmira")</f>
        <v>Palmira</v>
      </c>
      <c r="B15415" s="11" t="s">
        <v>5544</v>
      </c>
      <c r="C15415" s="11" t="s">
        <v>5764</v>
      </c>
      <c r="D15415" s="11" t="s">
        <v>5765</v>
      </c>
      <c r="E15415" s="10">
        <v>3545040</v>
      </c>
      <c r="F15415" s="4" t="str">
        <f>IF(B15415=B15414,"",B15415)</f>
        <v/>
      </c>
    </row>
    <row r="15416" spans="1:6" ht="15.75" customHeight="1">
      <c r="A15416" s="15" t="s">
        <v>15349</v>
      </c>
      <c r="B15416" s="15" t="s">
        <v>15349</v>
      </c>
      <c r="C15416" s="15" t="s">
        <v>14891</v>
      </c>
      <c r="D15416" s="15" t="s">
        <v>14929</v>
      </c>
      <c r="E15416" s="2">
        <v>2523902</v>
      </c>
      <c r="F15416" s="4" t="str">
        <f>IF(B15416=B15415,"",B15416)</f>
        <v>Palmi</v>
      </c>
    </row>
    <row r="15417" spans="1:6" ht="15.75" customHeight="1">
      <c r="A15417" s="8" t="str">
        <f ca="1">IFERROR(__xludf.DUMMYFUNCTION("GOOGLETRANSLATE(B34567,""en"",""pt"")"),"Palmi")</f>
        <v>Palmi</v>
      </c>
      <c r="B15417" s="11" t="s">
        <v>15349</v>
      </c>
      <c r="C15417" s="11" t="s">
        <v>14891</v>
      </c>
      <c r="D15417" s="11" t="s">
        <v>14929</v>
      </c>
      <c r="E15417" s="10">
        <v>2523902</v>
      </c>
      <c r="F15417" s="4" t="str">
        <f>IF(B15417=B15416,"",B15417)</f>
        <v/>
      </c>
    </row>
    <row r="15418" spans="1:6" ht="15.75" customHeight="1">
      <c r="A15418" s="16" t="s">
        <v>29615</v>
      </c>
      <c r="B15418" s="15" t="s">
        <v>29616</v>
      </c>
      <c r="C15418" s="16" t="s">
        <v>27788</v>
      </c>
      <c r="D15418" s="16" t="s">
        <v>5468</v>
      </c>
      <c r="E15418" s="2">
        <v>4167634</v>
      </c>
      <c r="F15418" s="4" t="str">
        <f>IF(B15418=B15417,"",B15418)</f>
        <v>Palmetto Bay</v>
      </c>
    </row>
    <row r="15419" spans="1:6" ht="15.75" customHeight="1">
      <c r="A15419" s="8" t="str">
        <f ca="1">IFERROR(__xludf.DUMMYFUNCTION("GOOGLETRANSLATE(B42982,""en"",""pt"")"),"Baía de Palmetto")</f>
        <v>Baía de Palmetto</v>
      </c>
      <c r="B15419" s="9" t="s">
        <v>29616</v>
      </c>
      <c r="C15419" s="9" t="s">
        <v>27788</v>
      </c>
      <c r="D15419" s="9" t="s">
        <v>5468</v>
      </c>
      <c r="E15419" s="10">
        <v>4167634</v>
      </c>
      <c r="F15419" s="4" t="str">
        <f>IF(B15419=B15418,"",B15419)</f>
        <v/>
      </c>
    </row>
    <row r="15420" spans="1:6" ht="15.75" customHeight="1">
      <c r="A15420" s="16" t="s">
        <v>19198</v>
      </c>
      <c r="B15420" s="15" t="s">
        <v>19198</v>
      </c>
      <c r="C15420" s="16" t="s">
        <v>19169</v>
      </c>
      <c r="D15420" s="16" t="s">
        <v>19185</v>
      </c>
      <c r="E15420" s="2">
        <v>2185018</v>
      </c>
      <c r="F15420" s="4" t="str">
        <f>IF(B15420=B15419,"",B15420)</f>
        <v>Palmerston North</v>
      </c>
    </row>
    <row r="15421" spans="1:6" ht="15.75" customHeight="1">
      <c r="A15421" s="8" t="str">
        <f ca="1">IFERROR(__xludf.DUMMYFUNCTION("GOOGLETRANSLATE(B38224,""en"",""pt"")"),"Palmerston North")</f>
        <v>Palmerston North</v>
      </c>
      <c r="B15421" s="11" t="s">
        <v>19198</v>
      </c>
      <c r="C15421" s="11" t="s">
        <v>19169</v>
      </c>
      <c r="D15421" s="11" t="s">
        <v>19185</v>
      </c>
      <c r="E15421" s="10">
        <v>2185018</v>
      </c>
      <c r="F15421" s="4" t="str">
        <f>IF(B15421=B15420,"",B15421)</f>
        <v/>
      </c>
    </row>
    <row r="15422" spans="1:6" ht="15.75" customHeight="1">
      <c r="A15422" s="16" t="s">
        <v>1055</v>
      </c>
      <c r="B15422" s="15" t="s">
        <v>1055</v>
      </c>
      <c r="C15422" s="16" t="s">
        <v>885</v>
      </c>
      <c r="D15422" s="16" t="s">
        <v>893</v>
      </c>
      <c r="E15422" s="2">
        <v>6301965</v>
      </c>
      <c r="F15422" s="4" t="str">
        <f>IF(B15422=B15421,"",B15422)</f>
        <v>Palmerston</v>
      </c>
    </row>
    <row r="15423" spans="1:6" ht="15.75" customHeight="1">
      <c r="A15423" s="8" t="str">
        <f ca="1">IFERROR(__xludf.DUMMYFUNCTION("GOOGLETRANSLATE(B23574,""en"",""pt"")"),"Palmerston")</f>
        <v>Palmerston</v>
      </c>
      <c r="B15423" s="9" t="s">
        <v>1055</v>
      </c>
      <c r="C15423" s="9" t="s">
        <v>885</v>
      </c>
      <c r="D15423" s="9" t="s">
        <v>893</v>
      </c>
      <c r="E15423" s="10">
        <v>6301965</v>
      </c>
      <c r="F15423" s="4" t="str">
        <f>IF(B15423=B15422,"",B15423)</f>
        <v/>
      </c>
    </row>
    <row r="15424" spans="1:6" ht="15.75" customHeight="1">
      <c r="A15424" s="15" t="s">
        <v>29614</v>
      </c>
      <c r="B15424" s="15" t="s">
        <v>29614</v>
      </c>
      <c r="C15424" s="15" t="s">
        <v>27788</v>
      </c>
      <c r="D15424" s="15" t="s">
        <v>27794</v>
      </c>
      <c r="E15424" s="2">
        <v>4946620</v>
      </c>
      <c r="F15424" s="4" t="str">
        <f>IF(B15424=B15423,"",B15424)</f>
        <v>Palmer</v>
      </c>
    </row>
    <row r="15425" spans="1:6" ht="15.75" customHeight="1">
      <c r="A15425" s="8" t="str">
        <f ca="1">IFERROR(__xludf.DUMMYFUNCTION("GOOGLETRANSLATE(B44013,""en"",""pt"")"),"Palmer")</f>
        <v>Palmer</v>
      </c>
      <c r="B15425" s="11" t="s">
        <v>29614</v>
      </c>
      <c r="C15425" s="11" t="s">
        <v>27788</v>
      </c>
      <c r="D15425" s="11" t="s">
        <v>27794</v>
      </c>
      <c r="E15425" s="10">
        <v>4946620</v>
      </c>
      <c r="F15425" s="4" t="str">
        <f>IF(B15425=B15424,"",B15425)</f>
        <v/>
      </c>
    </row>
    <row r="15426" spans="1:6" ht="15.75" customHeight="1">
      <c r="A15426" s="15" t="s">
        <v>21703</v>
      </c>
      <c r="B15426" s="15" t="s">
        <v>21703</v>
      </c>
      <c r="C15426" s="15" t="s">
        <v>21606</v>
      </c>
      <c r="D15426" s="15" t="s">
        <v>21620</v>
      </c>
      <c r="E15426" s="2">
        <v>2265223</v>
      </c>
      <c r="F15426" s="4" t="str">
        <f>IF(B15426=B15425,"",B15426)</f>
        <v>Palmela</v>
      </c>
    </row>
    <row r="15427" spans="1:6" ht="15.75" customHeight="1">
      <c r="A15427" s="8" t="str">
        <f ca="1">IFERROR(__xludf.DUMMYFUNCTION("GOOGLETRANSLATE(B39589,""en"",""pt"")"),"Palmela")</f>
        <v>Palmela</v>
      </c>
      <c r="B15427" s="11" t="s">
        <v>21703</v>
      </c>
      <c r="C15427" s="11" t="s">
        <v>21606</v>
      </c>
      <c r="D15427" s="11" t="s">
        <v>35287</v>
      </c>
      <c r="E15427" s="10">
        <v>2265223</v>
      </c>
      <c r="F15427" s="4" t="str">
        <f>IF(B15427=B15426,"",B15427)</f>
        <v/>
      </c>
    </row>
    <row r="15428" spans="1:6" ht="15.75" customHeight="1">
      <c r="A15428" s="8" t="str">
        <f ca="1">IFERROR(__xludf.DUMMYFUNCTION("GOOGLETRANSLATE(B24753,""en"",""pt"")"),"Palmeira Das Miss")</f>
        <v>Palmeira Das Miss</v>
      </c>
      <c r="B15428" s="9" t="s">
        <v>31571</v>
      </c>
      <c r="C15428" s="9" t="s">
        <v>1905</v>
      </c>
      <c r="D15428" s="9" t="s">
        <v>1951</v>
      </c>
      <c r="E15428" s="10">
        <v>3455416</v>
      </c>
      <c r="F15428" s="4" t="str">
        <f>IF(B15428=B15427,"",B15428)</f>
        <v>Palmeira das Missões</v>
      </c>
    </row>
    <row r="15429" spans="1:6" ht="15.75" customHeight="1">
      <c r="A15429" s="16" t="s">
        <v>3019</v>
      </c>
      <c r="B15429" s="15" t="s">
        <v>3020</v>
      </c>
      <c r="C15429" s="16" t="s">
        <v>1905</v>
      </c>
      <c r="D15429" s="16" t="s">
        <v>1951</v>
      </c>
      <c r="E15429" s="2">
        <v>3455416</v>
      </c>
      <c r="F15429" s="4" t="str">
        <f>IF(B15429=B15428,"",B15429)</f>
        <v>Palmeira das MissÃµes</v>
      </c>
    </row>
    <row r="15430" spans="1:6" ht="15.75" customHeight="1">
      <c r="A15430" s="15" t="s">
        <v>3018</v>
      </c>
      <c r="B15430" s="15" t="s">
        <v>3018</v>
      </c>
      <c r="C15430" s="15" t="s">
        <v>1905</v>
      </c>
      <c r="D15430" s="15" t="s">
        <v>728</v>
      </c>
      <c r="E15430" s="2">
        <v>3455425</v>
      </c>
      <c r="F15430" s="4" t="str">
        <f>IF(B15430=B15429,"",B15430)</f>
        <v>Palmeira</v>
      </c>
    </row>
    <row r="15431" spans="1:6" ht="15.75" customHeight="1">
      <c r="A15431" s="8" t="str">
        <f ca="1">IFERROR(__xludf.DUMMYFUNCTION("GOOGLETRANSLATE(B24754,""en"",""pt"")"),"Palmeira")</f>
        <v>Palmeira</v>
      </c>
      <c r="B15431" s="11" t="s">
        <v>3018</v>
      </c>
      <c r="C15431" s="11" t="s">
        <v>1905</v>
      </c>
      <c r="D15431" s="11" t="s">
        <v>727</v>
      </c>
      <c r="E15431" s="10">
        <v>3455425</v>
      </c>
      <c r="F15431" s="4" t="str">
        <f>IF(B15431=B15430,"",B15431)</f>
        <v/>
      </c>
    </row>
    <row r="15432" spans="1:6" ht="15.75" customHeight="1">
      <c r="A15432" s="15" t="s">
        <v>29613</v>
      </c>
      <c r="B15432" s="15" t="s">
        <v>29613</v>
      </c>
      <c r="C15432" s="15" t="s">
        <v>27788</v>
      </c>
      <c r="D15432" s="15" t="s">
        <v>27801</v>
      </c>
      <c r="E15432" s="2">
        <v>5380698</v>
      </c>
      <c r="F15432" s="4" t="str">
        <f>IF(B15432=B15431,"",B15432)</f>
        <v>Palmdale</v>
      </c>
    </row>
    <row r="15433" spans="1:6" ht="15.75" customHeight="1">
      <c r="A15433" s="8" t="str">
        <f ca="1">IFERROR(__xludf.DUMMYFUNCTION("GOOGLETRANSLATE(B44951,""en"",""pt"")"),"Palmdale")</f>
        <v>Palmdale</v>
      </c>
      <c r="B15433" s="11" t="s">
        <v>29613</v>
      </c>
      <c r="C15433" s="11" t="s">
        <v>27788</v>
      </c>
      <c r="D15433" s="11" t="s">
        <v>27801</v>
      </c>
      <c r="E15433" s="10">
        <v>5380698</v>
      </c>
      <c r="F15433" s="4" t="str">
        <f>IF(B15433=B15432,"",B15433)</f>
        <v/>
      </c>
    </row>
    <row r="15434" spans="1:6" ht="15.75" customHeight="1">
      <c r="A15434" s="15" t="s">
        <v>3017</v>
      </c>
      <c r="B15434" s="15" t="s">
        <v>3017</v>
      </c>
      <c r="C15434" s="15" t="s">
        <v>1905</v>
      </c>
      <c r="D15434" s="15" t="s">
        <v>728</v>
      </c>
      <c r="E15434" s="2">
        <v>3455459</v>
      </c>
      <c r="F15434" s="4" t="str">
        <f>IF(B15434=B15433,"",B15434)</f>
        <v>Palmas</v>
      </c>
    </row>
    <row r="15435" spans="1:6" ht="15.75" customHeight="1">
      <c r="A15435" s="15" t="s">
        <v>3017</v>
      </c>
      <c r="B15435" s="15" t="s">
        <v>3017</v>
      </c>
      <c r="C15435" s="15" t="s">
        <v>1905</v>
      </c>
      <c r="D15435" s="15" t="s">
        <v>2011</v>
      </c>
      <c r="E15435" s="2">
        <v>3474574</v>
      </c>
      <c r="F15435" s="4" t="str">
        <f>IF(B15435=B15434,"",B15435)</f>
        <v/>
      </c>
    </row>
    <row r="15436" spans="1:6" ht="15.75" customHeight="1">
      <c r="A15436" s="8" t="str">
        <f ca="1">IFERROR(__xludf.DUMMYFUNCTION("GOOGLETRANSLATE(B24755,""en"",""pt"")"),"Palmas")</f>
        <v>Palmas</v>
      </c>
      <c r="B15436" s="11" t="s">
        <v>3017</v>
      </c>
      <c r="C15436" s="11" t="s">
        <v>1905</v>
      </c>
      <c r="D15436" s="11" t="s">
        <v>727</v>
      </c>
      <c r="E15436" s="10">
        <v>3455459</v>
      </c>
      <c r="F15436" s="4" t="str">
        <f>IF(B15436=B15435,"",B15436)</f>
        <v/>
      </c>
    </row>
    <row r="15437" spans="1:6" ht="15.75" customHeight="1">
      <c r="A15437" s="8" t="str">
        <f ca="1">IFERROR(__xludf.DUMMYFUNCTION("GOOGLETRANSLATE(B25305,""en"",""pt"")"),"Palmas")</f>
        <v>Palmas</v>
      </c>
      <c r="B15437" s="9" t="s">
        <v>3017</v>
      </c>
      <c r="C15437" s="9" t="s">
        <v>1905</v>
      </c>
      <c r="D15437" s="9" t="s">
        <v>2011</v>
      </c>
      <c r="E15437" s="10">
        <v>3474574</v>
      </c>
      <c r="F15437" s="4" t="str">
        <f>IF(B15437=B15436,"",B15437)</f>
        <v/>
      </c>
    </row>
    <row r="15438" spans="1:6" ht="15.75" customHeight="1">
      <c r="A15438" s="8" t="str">
        <f ca="1">IFERROR(__xludf.DUMMYFUNCTION("GOOGLETRANSLATE(B36955,""en"",""pt"")"),"Palmarito Tochapán")</f>
        <v>Palmarito Tochapán</v>
      </c>
      <c r="B15438" s="9" t="s">
        <v>34685</v>
      </c>
      <c r="C15438" s="9" t="s">
        <v>17707</v>
      </c>
      <c r="D15438" s="9" t="s">
        <v>17717</v>
      </c>
      <c r="E15438" s="10">
        <v>3522118</v>
      </c>
      <c r="F15438" s="4" t="str">
        <f>IF(B15438=B15437,"",B15438)</f>
        <v>Palmarito Tochapán</v>
      </c>
    </row>
    <row r="15439" spans="1:6" ht="15.75" customHeight="1">
      <c r="A15439" s="16" t="s">
        <v>18151</v>
      </c>
      <c r="B15439" s="15" t="s">
        <v>18152</v>
      </c>
      <c r="C15439" s="16" t="s">
        <v>17707</v>
      </c>
      <c r="D15439" s="16" t="s">
        <v>17717</v>
      </c>
      <c r="E15439" s="2">
        <v>3522118</v>
      </c>
      <c r="F15439" s="4" t="str">
        <f>IF(B15439=B15438,"",B15439)</f>
        <v>Palmarito TochapÃ¡n</v>
      </c>
    </row>
    <row r="15440" spans="1:6" ht="15.75" customHeight="1">
      <c r="A15440" s="15" t="s">
        <v>3016</v>
      </c>
      <c r="B15440" s="15" t="s">
        <v>3016</v>
      </c>
      <c r="C15440" s="15" t="s">
        <v>1905</v>
      </c>
      <c r="D15440" s="15" t="s">
        <v>1909</v>
      </c>
      <c r="E15440" s="2">
        <v>3393264</v>
      </c>
      <c r="F15440" s="4" t="str">
        <f>IF(B15440=B15439,"",B15440)</f>
        <v>Palmares</v>
      </c>
    </row>
    <row r="15441" spans="1:6" ht="15.75" customHeight="1">
      <c r="A15441" s="8" t="str">
        <f ca="1">IFERROR(__xludf.DUMMYFUNCTION("GOOGLETRANSLATE(B24246,""en"",""pt"")"),"Palmares")</f>
        <v>Palmares</v>
      </c>
      <c r="B15441" s="9" t="s">
        <v>3016</v>
      </c>
      <c r="C15441" s="9" t="s">
        <v>1905</v>
      </c>
      <c r="D15441" s="9" t="s">
        <v>1909</v>
      </c>
      <c r="E15441" s="10">
        <v>3393264</v>
      </c>
      <c r="F15441" s="4" t="str">
        <f>IF(B15441=B15440,"",B15441)</f>
        <v/>
      </c>
    </row>
    <row r="15442" spans="1:6" ht="15.75" customHeight="1">
      <c r="A15442" s="16" t="s">
        <v>5543</v>
      </c>
      <c r="B15442" s="15" t="s">
        <v>5543</v>
      </c>
      <c r="C15442" s="16" t="s">
        <v>5348</v>
      </c>
      <c r="D15442" s="16" t="s">
        <v>5378</v>
      </c>
      <c r="E15442" s="2">
        <v>3673220</v>
      </c>
      <c r="F15442" s="4" t="str">
        <f>IF(B15442=B15441,"",B15442)</f>
        <v>Palmar de Varela</v>
      </c>
    </row>
    <row r="15443" spans="1:6" ht="15.75" customHeight="1">
      <c r="A15443" s="8" t="str">
        <f ca="1">IFERROR(__xludf.DUMMYFUNCTION("GOOGLETRANSLATE(B26927,""en"",""pt"")"),"Palmar de Varela")</f>
        <v>Palmar de Varela</v>
      </c>
      <c r="B15443" s="9" t="s">
        <v>5543</v>
      </c>
      <c r="C15443" s="9" t="s">
        <v>5348</v>
      </c>
      <c r="D15443" s="9" t="s">
        <v>31843</v>
      </c>
      <c r="E15443" s="10">
        <v>3673220</v>
      </c>
      <c r="F15443" s="4" t="str">
        <f>IF(B15443=B15442,"",B15443)</f>
        <v/>
      </c>
    </row>
    <row r="15444" spans="1:6" ht="15.75" customHeight="1">
      <c r="A15444" s="16" t="s">
        <v>12781</v>
      </c>
      <c r="B15444" s="15" t="s">
        <v>12782</v>
      </c>
      <c r="C15444" s="16" t="s">
        <v>10178</v>
      </c>
      <c r="D15444" s="16" t="s">
        <v>10190</v>
      </c>
      <c r="E15444" s="2">
        <v>1260674</v>
      </c>
      <c r="F15444" s="4" t="str">
        <f>IF(B15444=B15443,"",B15444)</f>
        <v>Palmaner</v>
      </c>
    </row>
    <row r="15445" spans="1:6" ht="15.75" customHeight="1">
      <c r="A15445" s="8" t="str">
        <f ca="1">IFERROR(__xludf.DUMMYFUNCTION("GOOGLETRANSLATE(B32549,""en"",""pt"")"),"Palmanner")</f>
        <v>Palmanner</v>
      </c>
      <c r="B15445" s="9" t="s">
        <v>12782</v>
      </c>
      <c r="C15445" s="9" t="s">
        <v>10178</v>
      </c>
      <c r="D15445" s="9" t="s">
        <v>10190</v>
      </c>
      <c r="E15445" s="10">
        <v>1260674</v>
      </c>
      <c r="F15445" s="4" t="str">
        <f>IF(B15445=B15444,"",B15445)</f>
        <v/>
      </c>
    </row>
    <row r="15446" spans="1:6" ht="15.75" customHeight="1">
      <c r="A15446" s="16" t="s">
        <v>5884</v>
      </c>
      <c r="B15446" s="15" t="s">
        <v>5884</v>
      </c>
      <c r="C15446" s="16" t="s">
        <v>5764</v>
      </c>
      <c r="D15446" s="16" t="s">
        <v>5827</v>
      </c>
      <c r="E15446" s="2">
        <v>3545064</v>
      </c>
      <c r="F15446" s="4" t="str">
        <f>IF(B15446=B15445,"",B15446)</f>
        <v>Palma Soriano</v>
      </c>
    </row>
    <row r="15447" spans="1:6" ht="15.75" customHeight="1">
      <c r="A15447" s="8" t="str">
        <f ca="1">IFERROR(__xludf.DUMMYFUNCTION("GOOGLETRANSLATE(B27139,""en"",""pt"")"),"Palma Soriano")</f>
        <v>Palma Soriano</v>
      </c>
      <c r="B15447" s="9" t="s">
        <v>5884</v>
      </c>
      <c r="C15447" s="9" t="s">
        <v>5764</v>
      </c>
      <c r="D15447" s="9" t="s">
        <v>5827</v>
      </c>
      <c r="E15447" s="10">
        <v>3545064</v>
      </c>
      <c r="F15447" s="4" t="str">
        <f>IF(B15447=B15446,"",B15447)</f>
        <v/>
      </c>
    </row>
    <row r="15448" spans="1:6" ht="15.75" customHeight="1">
      <c r="A15448" s="16" t="s">
        <v>15348</v>
      </c>
      <c r="B15448" s="15" t="s">
        <v>15348</v>
      </c>
      <c r="C15448" s="16" t="s">
        <v>14891</v>
      </c>
      <c r="D15448" s="16" t="s">
        <v>14899</v>
      </c>
      <c r="E15448" s="2">
        <v>2523908</v>
      </c>
      <c r="F15448" s="4" t="str">
        <f>IF(B15448=B15447,"",B15448)</f>
        <v>Palma di Montechiaro</v>
      </c>
    </row>
    <row r="15449" spans="1:6" ht="15.75" customHeight="1">
      <c r="A15449" s="8" t="str">
        <f ca="1">IFERROR(__xludf.DUMMYFUNCTION("GOOGLETRANSLATE(B34568,""en"",""pt"")"),"Palma di Montechiaro")</f>
        <v>Palma di Montechiaro</v>
      </c>
      <c r="B15449" s="9" t="s">
        <v>15348</v>
      </c>
      <c r="C15449" s="9" t="s">
        <v>14891</v>
      </c>
      <c r="D15449" s="9" t="s">
        <v>14899</v>
      </c>
      <c r="E15449" s="10">
        <v>2523908</v>
      </c>
      <c r="F15449" s="4" t="str">
        <f>IF(B15449=B15448,"",B15449)</f>
        <v/>
      </c>
    </row>
    <row r="15450" spans="1:6" ht="15.75" customHeight="1">
      <c r="A15450" s="8" t="str">
        <f ca="1">IFERROR(__xludf.DUMMYFUNCTION("GOOGLETRANSLATE(B29030,""en"",""pt"")"),"Palma del Río")</f>
        <v>Palma del Río</v>
      </c>
      <c r="B15450" s="11" t="s">
        <v>32364</v>
      </c>
      <c r="C15450" s="11" t="s">
        <v>24200</v>
      </c>
      <c r="D15450" s="11" t="s">
        <v>24205</v>
      </c>
      <c r="E15450" s="10">
        <v>2512990</v>
      </c>
      <c r="F15450" s="4" t="str">
        <f>IF(B15450=B15449,"",B15450)</f>
        <v>Palma del Río</v>
      </c>
    </row>
    <row r="15451" spans="1:6" ht="15.75" customHeight="1">
      <c r="A15451" s="16" t="s">
        <v>24681</v>
      </c>
      <c r="B15451" s="15" t="s">
        <v>24682</v>
      </c>
      <c r="C15451" s="16" t="s">
        <v>24200</v>
      </c>
      <c r="D15451" s="16" t="s">
        <v>24205</v>
      </c>
      <c r="E15451" s="2">
        <v>2512990</v>
      </c>
      <c r="F15451" s="4" t="str">
        <f>IF(B15451=B15450,"",B15451)</f>
        <v>Palma del RÃ­o</v>
      </c>
    </row>
    <row r="15452" spans="1:6" ht="15.75" customHeight="1">
      <c r="A15452" s="15" t="s">
        <v>24680</v>
      </c>
      <c r="B15452" s="15" t="s">
        <v>24680</v>
      </c>
      <c r="C15452" s="15" t="s">
        <v>24200</v>
      </c>
      <c r="D15452" s="15" t="s">
        <v>24236</v>
      </c>
      <c r="E15452" s="2">
        <v>2512989</v>
      </c>
      <c r="F15452" s="4" t="str">
        <f>IF(B15452=B15451,"",B15452)</f>
        <v>Palma</v>
      </c>
    </row>
    <row r="15453" spans="1:6" ht="15.75" customHeight="1">
      <c r="A15453" s="8" t="str">
        <f ca="1">IFERROR(__xludf.DUMMYFUNCTION("GOOGLETRANSLATE(B29029,""en"",""pt"")"),"Palma")</f>
        <v>Palma</v>
      </c>
      <c r="B15453" s="11" t="s">
        <v>24680</v>
      </c>
      <c r="C15453" s="11" t="s">
        <v>24200</v>
      </c>
      <c r="D15453" s="11" t="s">
        <v>24236</v>
      </c>
      <c r="E15453" s="10">
        <v>2512989</v>
      </c>
      <c r="F15453" s="4" t="str">
        <f>IF(B15453=B15452,"",B15453)</f>
        <v/>
      </c>
    </row>
    <row r="15454" spans="1:6" ht="15.75" customHeight="1">
      <c r="A15454" s="16" t="s">
        <v>29612</v>
      </c>
      <c r="B15454" s="15" t="s">
        <v>29612</v>
      </c>
      <c r="C15454" s="16" t="s">
        <v>27788</v>
      </c>
      <c r="D15454" s="16" t="s">
        <v>5468</v>
      </c>
      <c r="E15454" s="2">
        <v>4167601</v>
      </c>
      <c r="F15454" s="4" t="str">
        <f>IF(B15454=B15453,"",B15454)</f>
        <v>Palm Valley</v>
      </c>
    </row>
    <row r="15455" spans="1:6" ht="15.75" customHeight="1">
      <c r="A15455" s="8" t="str">
        <f ca="1">IFERROR(__xludf.DUMMYFUNCTION("GOOGLETRANSLATE(B42981,""en"",""pt"")"),"Palm Valley")</f>
        <v>Palm Valley</v>
      </c>
      <c r="B15455" s="9" t="s">
        <v>29612</v>
      </c>
      <c r="C15455" s="9" t="s">
        <v>27788</v>
      </c>
      <c r="D15455" s="9" t="s">
        <v>5468</v>
      </c>
      <c r="E15455" s="10">
        <v>4167601</v>
      </c>
      <c r="F15455" s="4" t="str">
        <f>IF(B15455=B15454,"",B15455)</f>
        <v/>
      </c>
    </row>
    <row r="15456" spans="1:6" ht="15.75" customHeight="1">
      <c r="A15456" s="16" t="s">
        <v>29611</v>
      </c>
      <c r="B15456" s="15" t="s">
        <v>29611</v>
      </c>
      <c r="C15456" s="16" t="s">
        <v>27788</v>
      </c>
      <c r="D15456" s="16" t="s">
        <v>5468</v>
      </c>
      <c r="E15456" s="2">
        <v>4167583</v>
      </c>
      <c r="F15456" s="4" t="str">
        <f>IF(B15456=B15455,"",B15456)</f>
        <v>Palm Springs</v>
      </c>
    </row>
    <row r="15457" spans="1:6" ht="15.75" customHeight="1">
      <c r="A15457" s="16" t="s">
        <v>29611</v>
      </c>
      <c r="B15457" s="15" t="s">
        <v>29611</v>
      </c>
      <c r="C15457" s="16" t="s">
        <v>27788</v>
      </c>
      <c r="D15457" s="16" t="s">
        <v>27801</v>
      </c>
      <c r="E15457" s="2">
        <v>5380668</v>
      </c>
      <c r="F15457" s="4" t="str">
        <f>IF(B15457=B15456,"",B15457)</f>
        <v/>
      </c>
    </row>
    <row r="15458" spans="1:6" ht="15.75" customHeight="1">
      <c r="A15458" s="8" t="str">
        <f ca="1">IFERROR(__xludf.DUMMYFUNCTION("GOOGLETRANSLATE(B42980,""en"",""pt"")"),"Palm Springs")</f>
        <v>Palm Springs</v>
      </c>
      <c r="B15458" s="9" t="s">
        <v>29611</v>
      </c>
      <c r="C15458" s="9" t="s">
        <v>27788</v>
      </c>
      <c r="D15458" s="9" t="s">
        <v>5468</v>
      </c>
      <c r="E15458" s="10">
        <v>4167583</v>
      </c>
      <c r="F15458" s="4" t="str">
        <f>IF(B15458=B15457,"",B15458)</f>
        <v/>
      </c>
    </row>
    <row r="15459" spans="1:6" ht="15.75" customHeight="1">
      <c r="A15459" s="8" t="str">
        <f ca="1">IFERROR(__xludf.DUMMYFUNCTION("GOOGLETRANSLATE(B44950,""en"",""pt"")"),"Palm Springs")</f>
        <v>Palm Springs</v>
      </c>
      <c r="B15459" s="11" t="s">
        <v>29611</v>
      </c>
      <c r="C15459" s="11" t="s">
        <v>27788</v>
      </c>
      <c r="D15459" s="11" t="s">
        <v>27801</v>
      </c>
      <c r="E15459" s="10">
        <v>5380668</v>
      </c>
      <c r="F15459" s="4" t="str">
        <f>IF(B15459=B15458,"",B15459)</f>
        <v/>
      </c>
    </row>
    <row r="15460" spans="1:6" ht="15.75" customHeight="1">
      <c r="A15460" s="16" t="s">
        <v>29610</v>
      </c>
      <c r="B15460" s="15" t="s">
        <v>29610</v>
      </c>
      <c r="C15460" s="16" t="s">
        <v>27788</v>
      </c>
      <c r="D15460" s="16" t="s">
        <v>5468</v>
      </c>
      <c r="E15460" s="2">
        <v>7260548</v>
      </c>
      <c r="F15460" s="4" t="str">
        <f>IF(B15460=B15459,"",B15460)</f>
        <v>Palm River-Clair Mel</v>
      </c>
    </row>
    <row r="15461" spans="1:6" ht="15.75" customHeight="1">
      <c r="A15461" s="8" t="str">
        <f ca="1">IFERROR(__xludf.DUMMYFUNCTION("GOOGLETRANSLATE(B45441,""en"",""pt"")"),"Palm River-Clair Mel")</f>
        <v>Palm River-Clair Mel</v>
      </c>
      <c r="B15461" s="11" t="s">
        <v>29610</v>
      </c>
      <c r="C15461" s="11" t="s">
        <v>27788</v>
      </c>
      <c r="D15461" s="11" t="s">
        <v>5468</v>
      </c>
      <c r="E15461" s="10">
        <v>7260548</v>
      </c>
      <c r="F15461" s="4" t="str">
        <f>IF(B15461=B15460,"",B15461)</f>
        <v/>
      </c>
    </row>
    <row r="15462" spans="1:6" ht="15.75" customHeight="1">
      <c r="A15462" s="16" t="s">
        <v>29609</v>
      </c>
      <c r="B15462" s="15" t="s">
        <v>29609</v>
      </c>
      <c r="C15462" s="16" t="s">
        <v>27788</v>
      </c>
      <c r="D15462" s="16" t="s">
        <v>5468</v>
      </c>
      <c r="E15462" s="2">
        <v>4167545</v>
      </c>
      <c r="F15462" s="4" t="str">
        <f>IF(B15462=B15461,"",B15462)</f>
        <v>Palm Harbor</v>
      </c>
    </row>
    <row r="15463" spans="1:6" ht="15.75" customHeight="1">
      <c r="A15463" s="8" t="str">
        <f ca="1">IFERROR(__xludf.DUMMYFUNCTION("GOOGLETRANSLATE(B42979,""en"",""pt"")"),"Palm Harbor")</f>
        <v>Palm Harbor</v>
      </c>
      <c r="B15463" s="11" t="s">
        <v>29609</v>
      </c>
      <c r="C15463" s="11" t="s">
        <v>27788</v>
      </c>
      <c r="D15463" s="11" t="s">
        <v>5468</v>
      </c>
      <c r="E15463" s="10">
        <v>4167545</v>
      </c>
      <c r="F15463" s="4" t="str">
        <f>IF(B15463=B15462,"",B15463)</f>
        <v/>
      </c>
    </row>
    <row r="15464" spans="1:6" ht="15.75" customHeight="1">
      <c r="A15464" s="16" t="s">
        <v>29607</v>
      </c>
      <c r="B15464" s="15" t="s">
        <v>29608</v>
      </c>
      <c r="C15464" s="16" t="s">
        <v>27788</v>
      </c>
      <c r="D15464" s="16" t="s">
        <v>27801</v>
      </c>
      <c r="E15464" s="2">
        <v>5380626</v>
      </c>
      <c r="F15464" s="4" t="str">
        <f>IF(B15464=B15463,"",B15464)</f>
        <v>Palm Desert</v>
      </c>
    </row>
    <row r="15465" spans="1:6" ht="15.75" customHeight="1">
      <c r="A15465" s="8" t="str">
        <f ca="1">IFERROR(__xludf.DUMMYFUNCTION("GOOGLETRANSLATE(B44949,""en"",""pt"")"),"Deserto da palma")</f>
        <v>Deserto da palma</v>
      </c>
      <c r="B15465" s="9" t="s">
        <v>29608</v>
      </c>
      <c r="C15465" s="9" t="s">
        <v>27788</v>
      </c>
      <c r="D15465" s="9" t="s">
        <v>27801</v>
      </c>
      <c r="E15465" s="10">
        <v>5380626</v>
      </c>
      <c r="F15465" s="4" t="str">
        <f>IF(B15465=B15464,"",B15465)</f>
        <v/>
      </c>
    </row>
    <row r="15466" spans="1:6" ht="15.75" customHeight="1">
      <c r="A15466" s="16" t="s">
        <v>29606</v>
      </c>
      <c r="B15466" s="15" t="s">
        <v>29606</v>
      </c>
      <c r="C15466" s="16" t="s">
        <v>27788</v>
      </c>
      <c r="D15466" s="16" t="s">
        <v>5468</v>
      </c>
      <c r="E15466" s="2">
        <v>4167538</v>
      </c>
      <c r="F15466" s="4" t="str">
        <f>IF(B15466=B15465,"",B15466)</f>
        <v>Palm Coast</v>
      </c>
    </row>
    <row r="15467" spans="1:6" ht="15.75" customHeight="1">
      <c r="A15467" s="8" t="str">
        <f ca="1">IFERROR(__xludf.DUMMYFUNCTION("GOOGLETRANSLATE(B42978,""en"",""pt"")"),"Palm Coast")</f>
        <v>Palm Coast</v>
      </c>
      <c r="B15467" s="9" t="s">
        <v>29606</v>
      </c>
      <c r="C15467" s="9" t="s">
        <v>27788</v>
      </c>
      <c r="D15467" s="9" t="s">
        <v>5468</v>
      </c>
      <c r="E15467" s="10">
        <v>4167538</v>
      </c>
      <c r="F15467" s="4" t="str">
        <f>IF(B15467=B15466,"",B15467)</f>
        <v/>
      </c>
    </row>
    <row r="15468" spans="1:6" ht="15.75" customHeight="1">
      <c r="A15468" s="15" t="s">
        <v>29605</v>
      </c>
      <c r="B15468" s="15" t="s">
        <v>29605</v>
      </c>
      <c r="C15468" s="15" t="s">
        <v>27788</v>
      </c>
      <c r="D15468" s="15" t="s">
        <v>5468</v>
      </c>
      <c r="E15468" s="2">
        <v>4167536</v>
      </c>
      <c r="F15468" s="4" t="str">
        <f>IF(B15468=B15467,"",B15468)</f>
        <v>Palm City</v>
      </c>
    </row>
    <row r="15469" spans="1:6" ht="15.75" customHeight="1">
      <c r="A15469" s="8" t="str">
        <f ca="1">IFERROR(__xludf.DUMMYFUNCTION("GOOGLETRANSLATE(B42977,""en"",""pt"")"),"Palm City")</f>
        <v>Palm City</v>
      </c>
      <c r="B15469" s="11" t="s">
        <v>29605</v>
      </c>
      <c r="C15469" s="11" t="s">
        <v>27788</v>
      </c>
      <c r="D15469" s="11" t="s">
        <v>5468</v>
      </c>
      <c r="E15469" s="10">
        <v>4167536</v>
      </c>
      <c r="F15469" s="4" t="str">
        <f>IF(B15469=B15468,"",B15469)</f>
        <v/>
      </c>
    </row>
    <row r="15470" spans="1:6" ht="15.75" customHeight="1">
      <c r="A15470" s="16" t="s">
        <v>29604</v>
      </c>
      <c r="B15470" s="15" t="s">
        <v>29604</v>
      </c>
      <c r="C15470" s="16" t="s">
        <v>27788</v>
      </c>
      <c r="D15470" s="16" t="s">
        <v>5468</v>
      </c>
      <c r="E15470" s="2">
        <v>4167519</v>
      </c>
      <c r="F15470" s="4" t="str">
        <f>IF(B15470=B15469,"",B15470)</f>
        <v>Palm Beach Gardens</v>
      </c>
    </row>
    <row r="15471" spans="1:6" ht="15.75" customHeight="1">
      <c r="A15471" s="8" t="str">
        <f ca="1">IFERROR(__xludf.DUMMYFUNCTION("GOOGLETRANSLATE(B42976,""en"",""pt"")"),"Palm Beach Gardens")</f>
        <v>Palm Beach Gardens</v>
      </c>
      <c r="B15471" s="11" t="s">
        <v>29604</v>
      </c>
      <c r="C15471" s="11" t="s">
        <v>27788</v>
      </c>
      <c r="D15471" s="11" t="s">
        <v>5468</v>
      </c>
      <c r="E15471" s="10">
        <v>4167519</v>
      </c>
      <c r="F15471" s="4" t="str">
        <f>IF(B15471=B15470,"",B15471)</f>
        <v/>
      </c>
    </row>
    <row r="15472" spans="1:6" ht="15.75" customHeight="1">
      <c r="A15472" s="15" t="s">
        <v>29603</v>
      </c>
      <c r="B15472" s="15" t="s">
        <v>29603</v>
      </c>
      <c r="C15472" s="15" t="s">
        <v>27788</v>
      </c>
      <c r="D15472" s="15" t="s">
        <v>5468</v>
      </c>
      <c r="E15472" s="2">
        <v>4167499</v>
      </c>
      <c r="F15472" s="4" t="str">
        <f>IF(B15472=B15471,"",B15472)</f>
        <v>Palm Bay</v>
      </c>
    </row>
    <row r="15473" spans="1:6" ht="15.75" customHeight="1">
      <c r="A15473" s="8" t="str">
        <f ca="1">IFERROR(__xludf.DUMMYFUNCTION("GOOGLETRANSLATE(B42975,""en"",""pt"")"),"Palm Bay")</f>
        <v>Palm Bay</v>
      </c>
      <c r="B15473" s="11" t="s">
        <v>29603</v>
      </c>
      <c r="C15473" s="11" t="s">
        <v>27788</v>
      </c>
      <c r="D15473" s="11" t="s">
        <v>5468</v>
      </c>
      <c r="E15473" s="10">
        <v>4167499</v>
      </c>
      <c r="F15473" s="4" t="str">
        <f>IF(B15473=B15472,"",B15473)</f>
        <v/>
      </c>
    </row>
    <row r="15474" spans="1:6" ht="15.75" customHeight="1">
      <c r="A15474" s="15" t="s">
        <v>26862</v>
      </c>
      <c r="B15474" s="15" t="s">
        <v>26862</v>
      </c>
      <c r="C15474" s="15" t="s">
        <v>26820</v>
      </c>
      <c r="D15474" s="15" t="s">
        <v>18807</v>
      </c>
      <c r="E15474" s="2">
        <v>226823</v>
      </c>
      <c r="F15474" s="4" t="str">
        <f>IF(B15474=B15473,"",B15474)</f>
        <v>Pallisa</v>
      </c>
    </row>
    <row r="15475" spans="1:6" ht="15.75" customHeight="1">
      <c r="A15475" s="8" t="str">
        <f ca="1">IFERROR(__xludf.DUMMYFUNCTION("GOOGLETRANSLATE(B42728,""en"",""pt"")"),"Pallisa")</f>
        <v>Pallisa</v>
      </c>
      <c r="B15475" s="9" t="s">
        <v>26862</v>
      </c>
      <c r="C15475" s="9" t="s">
        <v>26820</v>
      </c>
      <c r="D15475" s="9" t="s">
        <v>18807</v>
      </c>
      <c r="E15475" s="10">
        <v>226823</v>
      </c>
      <c r="F15475" s="4" t="str">
        <f>IF(B15475=B15474,"",B15475)</f>
        <v/>
      </c>
    </row>
    <row r="15476" spans="1:6" ht="15.75" customHeight="1">
      <c r="A15476" s="16" t="s">
        <v>12780</v>
      </c>
      <c r="B15476" s="15" t="s">
        <v>12780</v>
      </c>
      <c r="C15476" s="16" t="s">
        <v>10178</v>
      </c>
      <c r="D15476" s="16" t="s">
        <v>10196</v>
      </c>
      <c r="E15476" s="2">
        <v>1260681</v>
      </c>
      <c r="F15476" s="4" t="str">
        <f>IF(B15476=B15475,"",B15476)</f>
        <v>Pallippatti</v>
      </c>
    </row>
    <row r="15477" spans="1:6" ht="15.75" customHeight="1">
      <c r="A15477" s="8" t="str">
        <f ca="1">IFERROR(__xludf.DUMMYFUNCTION("GOOGLETRANSLATE(B32550,""en"",""pt"")"),"Pallippatti")</f>
        <v>Pallippatti</v>
      </c>
      <c r="B15477" s="11" t="s">
        <v>12780</v>
      </c>
      <c r="C15477" s="11" t="s">
        <v>10178</v>
      </c>
      <c r="D15477" s="11" t="s">
        <v>10196</v>
      </c>
      <c r="E15477" s="10">
        <v>1260681</v>
      </c>
      <c r="F15477" s="4" t="str">
        <f>IF(B15477=B15476,"",B15477)</f>
        <v/>
      </c>
    </row>
    <row r="15478" spans="1:6" ht="15.75" customHeight="1">
      <c r="A15478" s="16" t="s">
        <v>12779</v>
      </c>
      <c r="B15478" s="15" t="s">
        <v>12779</v>
      </c>
      <c r="C15478" s="16" t="s">
        <v>10178</v>
      </c>
      <c r="D15478" s="16" t="s">
        <v>10196</v>
      </c>
      <c r="E15478" s="2">
        <v>1260685</v>
      </c>
      <c r="F15478" s="4" t="str">
        <f>IF(B15478=B15477,"",B15478)</f>
        <v>Pallikondai</v>
      </c>
    </row>
    <row r="15479" spans="1:6" ht="15.75" customHeight="1">
      <c r="A15479" s="8" t="str">
        <f ca="1">IFERROR(__xludf.DUMMYFUNCTION("GOOGLETRANSLATE(B32551,""en"",""pt"")"),"Pallikondai")</f>
        <v>Pallikondai</v>
      </c>
      <c r="B15479" s="11" t="s">
        <v>12779</v>
      </c>
      <c r="C15479" s="11" t="s">
        <v>10178</v>
      </c>
      <c r="D15479" s="11" t="s">
        <v>10196</v>
      </c>
      <c r="E15479" s="10">
        <v>1260685</v>
      </c>
      <c r="F15479" s="4" t="str">
        <f>IF(B15479=B15478,"",B15479)</f>
        <v/>
      </c>
    </row>
    <row r="15480" spans="1:6" ht="15.75" customHeight="1">
      <c r="A15480" s="8" t="str">
        <f ca="1">IFERROR(__xludf.DUMMYFUNCTION("GOOGLETRANSLATE(B32552,""en"",""pt"")"),"Pallāvaram")</f>
        <v>Pallāvaram</v>
      </c>
      <c r="B15480" s="9" t="s">
        <v>33272</v>
      </c>
      <c r="C15480" s="9" t="s">
        <v>10178</v>
      </c>
      <c r="D15480" s="9" t="s">
        <v>10196</v>
      </c>
      <c r="E15480" s="10">
        <v>1260692</v>
      </c>
      <c r="F15480" s="4" t="str">
        <f>IF(B15480=B15479,"",B15480)</f>
        <v>Pallāvaram</v>
      </c>
    </row>
    <row r="15481" spans="1:6" ht="15.75" customHeight="1">
      <c r="A15481" s="16" t="s">
        <v>22914</v>
      </c>
      <c r="B15481" s="15" t="s">
        <v>22914</v>
      </c>
      <c r="C15481" s="16" t="s">
        <v>22070</v>
      </c>
      <c r="D15481" s="16" t="s">
        <v>22351</v>
      </c>
      <c r="E15481" s="2">
        <v>513042</v>
      </c>
      <c r="F15481" s="4" t="str">
        <f>IF(B15481=B15480,"",B15481)</f>
        <v>Pallasovka</v>
      </c>
    </row>
    <row r="15482" spans="1:6" ht="15.75" customHeight="1">
      <c r="A15482" s="8" t="str">
        <f ca="1">IFERROR(__xludf.DUMMYFUNCTION("GOOGLETRANSLATE(B40215,""en"",""pt"")"),"Pallasovka")</f>
        <v>Pallasovka</v>
      </c>
      <c r="B15482" s="9" t="s">
        <v>22914</v>
      </c>
      <c r="C15482" s="9" t="s">
        <v>22070</v>
      </c>
      <c r="D15482" s="9" t="s">
        <v>22351</v>
      </c>
      <c r="E15482" s="10">
        <v>513042</v>
      </c>
      <c r="F15482" s="4" t="str">
        <f>IF(B15482=B15481,"",B15482)</f>
        <v/>
      </c>
    </row>
    <row r="15483" spans="1:6" ht="15.75" customHeight="1">
      <c r="A15483" s="16" t="s">
        <v>12778</v>
      </c>
      <c r="B15483" s="15" t="s">
        <v>12778</v>
      </c>
      <c r="C15483" s="16" t="s">
        <v>10178</v>
      </c>
      <c r="D15483" s="16" t="s">
        <v>10196</v>
      </c>
      <c r="E15483" s="2">
        <v>1260694</v>
      </c>
      <c r="F15483" s="4" t="str">
        <f>IF(B15483=B15482,"",B15483)</f>
        <v>Pallappatti</v>
      </c>
    </row>
    <row r="15484" spans="1:6" ht="15.75" customHeight="1">
      <c r="A15484" s="8" t="str">
        <f ca="1">IFERROR(__xludf.DUMMYFUNCTION("GOOGLETRANSLATE(B32553,""en"",""pt"")"),"Pallappatti")</f>
        <v>Pallappatti</v>
      </c>
      <c r="B15484" s="11" t="s">
        <v>12778</v>
      </c>
      <c r="C15484" s="11" t="s">
        <v>10178</v>
      </c>
      <c r="D15484" s="11" t="s">
        <v>10196</v>
      </c>
      <c r="E15484" s="10">
        <v>1260694</v>
      </c>
      <c r="F15484" s="4" t="str">
        <f>IF(B15484=B15483,"",B15484)</f>
        <v/>
      </c>
    </row>
    <row r="15485" spans="1:6" ht="15.75" customHeight="1">
      <c r="A15485" s="16" t="s">
        <v>15346</v>
      </c>
      <c r="B15485" s="15" t="s">
        <v>15347</v>
      </c>
      <c r="C15485" s="16" t="s">
        <v>14891</v>
      </c>
      <c r="D15485" s="16" t="s">
        <v>14911</v>
      </c>
      <c r="E15485" s="2">
        <v>3175500</v>
      </c>
      <c r="F15485" s="4" t="str">
        <f>IF(B15485=B15484,"",B15485)</f>
        <v>Pallanza-Intra-Suna</v>
      </c>
    </row>
    <row r="15486" spans="1:6" ht="15.75" customHeight="1">
      <c r="A15486" s="8" t="str">
        <f ca="1">IFERROR(__xludf.DUMMYFUNCTION("GOOGLETRANSLATE(B34884,""en"",""pt"")"),"Pallanza-intra-suna")</f>
        <v>Pallanza-intra-suna</v>
      </c>
      <c r="B15486" s="11" t="s">
        <v>15347</v>
      </c>
      <c r="C15486" s="11" t="s">
        <v>14891</v>
      </c>
      <c r="D15486" s="11" t="s">
        <v>14911</v>
      </c>
      <c r="E15486" s="10">
        <v>3175500</v>
      </c>
      <c r="F15486" s="4" t="str">
        <f>IF(B15486=B15485,"",B15486)</f>
        <v/>
      </c>
    </row>
    <row r="15487" spans="1:6" ht="15.75" customHeight="1">
      <c r="A15487" s="15" t="s">
        <v>12777</v>
      </c>
      <c r="B15487" s="15" t="s">
        <v>12777</v>
      </c>
      <c r="C15487" s="15" t="s">
        <v>10178</v>
      </c>
      <c r="D15487" s="15" t="s">
        <v>10196</v>
      </c>
      <c r="E15487" s="2">
        <v>1260697</v>
      </c>
      <c r="F15487" s="4" t="str">
        <f>IF(B15487=B15486,"",B15487)</f>
        <v>Palladam</v>
      </c>
    </row>
    <row r="15488" spans="1:6" ht="15.75" customHeight="1">
      <c r="A15488" s="8" t="str">
        <f ca="1">IFERROR(__xludf.DUMMYFUNCTION("GOOGLETRANSLATE(B32554,""en"",""pt"")"),"Palladam")</f>
        <v>Palladam</v>
      </c>
      <c r="B15488" s="11" t="s">
        <v>12777</v>
      </c>
      <c r="C15488" s="11" t="s">
        <v>10178</v>
      </c>
      <c r="D15488" s="11" t="s">
        <v>10196</v>
      </c>
      <c r="E15488" s="10">
        <v>1260697</v>
      </c>
      <c r="F15488" s="4" t="str">
        <f>IF(B15488=B15487,"",B15488)</f>
        <v/>
      </c>
    </row>
    <row r="15489" spans="1:6" ht="15.75" customHeight="1">
      <c r="A15489" s="16" t="s">
        <v>12775</v>
      </c>
      <c r="B15489" s="15" t="s">
        <v>12776</v>
      </c>
      <c r="C15489" s="16" t="s">
        <v>10178</v>
      </c>
      <c r="D15489" s="16" t="s">
        <v>10196</v>
      </c>
      <c r="E15489" s="2">
        <v>1260692</v>
      </c>
      <c r="F15489" s="4" t="str">
        <f>IF(B15489=B15488,"",B15489)</f>
        <v>PallÄvaram</v>
      </c>
    </row>
    <row r="15490" spans="1:6" ht="15.75" customHeight="1">
      <c r="A15490" s="8" t="str">
        <f ca="1">IFERROR(__xludf.DUMMYFUNCTION("GOOGLETRANSLATE(B32555,""en"",""pt"")"),"Pālkonda")</f>
        <v>Pālkonda</v>
      </c>
      <c r="B15490" s="11" t="s">
        <v>33273</v>
      </c>
      <c r="C15490" s="11" t="s">
        <v>10178</v>
      </c>
      <c r="D15490" s="11" t="s">
        <v>10190</v>
      </c>
      <c r="E15490" s="10">
        <v>1260702</v>
      </c>
      <c r="F15490" s="4" t="str">
        <f>IF(B15490=B15489,"",B15490)</f>
        <v>Pālkonda</v>
      </c>
    </row>
    <row r="15491" spans="1:6" ht="15.75" customHeight="1">
      <c r="A15491" s="8" t="str">
        <f ca="1">IFERROR(__xludf.DUMMYFUNCTION("GOOGLETRANSLATE(B32556,""en"",""pt"")"),"Pālitāna")</f>
        <v>Pālitāna</v>
      </c>
      <c r="B15491" s="9" t="s">
        <v>33274</v>
      </c>
      <c r="C15491" s="9" t="s">
        <v>10178</v>
      </c>
      <c r="D15491" s="9" t="s">
        <v>10209</v>
      </c>
      <c r="E15491" s="10">
        <v>1260707</v>
      </c>
      <c r="F15491" s="4" t="str">
        <f>IF(B15491=B15490,"",B15491)</f>
        <v>Pālitāna</v>
      </c>
    </row>
    <row r="15492" spans="1:6" ht="15.75" customHeight="1">
      <c r="A15492" s="16" t="s">
        <v>29602</v>
      </c>
      <c r="B15492" s="15" t="s">
        <v>29602</v>
      </c>
      <c r="C15492" s="16" t="s">
        <v>27788</v>
      </c>
      <c r="D15492" s="16" t="s">
        <v>27905</v>
      </c>
      <c r="E15492" s="2">
        <v>5102369</v>
      </c>
      <c r="F15492" s="4" t="str">
        <f>IF(B15492=B15491,"",B15492)</f>
        <v>Palisades Park</v>
      </c>
    </row>
    <row r="15493" spans="1:6" ht="15.75" customHeight="1">
      <c r="A15493" s="8" t="str">
        <f ca="1">IFERROR(__xludf.DUMMYFUNCTION("GOOGLETRANSLATE(B44294,""en"",""pt"")"),"Palisades Park")</f>
        <v>Palisades Park</v>
      </c>
      <c r="B15493" s="9" t="s">
        <v>29602</v>
      </c>
      <c r="C15493" s="9" t="s">
        <v>27788</v>
      </c>
      <c r="D15493" s="9" t="s">
        <v>27905</v>
      </c>
      <c r="E15493" s="10">
        <v>5102369</v>
      </c>
      <c r="F15493" s="4" t="str">
        <f>IF(B15493=B15492,"",B15493)</f>
        <v/>
      </c>
    </row>
    <row r="15494" spans="1:6" ht="15.75" customHeight="1">
      <c r="A15494" s="8" t="str">
        <f ca="1">IFERROR(__xludf.DUMMYFUNCTION("GOOGLETRANSLATE(B31100,""en"",""pt"")"),"Palín")</f>
        <v>Palín</v>
      </c>
      <c r="B15494" s="11" t="s">
        <v>32785</v>
      </c>
      <c r="C15494" s="11" t="s">
        <v>9700</v>
      </c>
      <c r="D15494" s="11" t="s">
        <v>9735</v>
      </c>
      <c r="E15494" s="10">
        <v>3591833</v>
      </c>
      <c r="F15494" s="4" t="str">
        <f>IF(B15494=B15493,"",B15494)</f>
        <v>Palín</v>
      </c>
    </row>
    <row r="15495" spans="1:6" ht="15.75" customHeight="1">
      <c r="A15495" s="16" t="s">
        <v>14067</v>
      </c>
      <c r="B15495" s="15" t="s">
        <v>14067</v>
      </c>
      <c r="C15495" s="16" t="s">
        <v>13800</v>
      </c>
      <c r="D15495" s="16" t="s">
        <v>13811</v>
      </c>
      <c r="E15495" s="2">
        <v>1633056</v>
      </c>
      <c r="F15495" s="4" t="str">
        <f>IF(B15495=B15494,"",B15495)</f>
        <v>Palimanan</v>
      </c>
    </row>
    <row r="15496" spans="1:6" ht="15.75" customHeight="1">
      <c r="A15496" s="8" t="str">
        <f ca="1">IFERROR(__xludf.DUMMYFUNCTION("GOOGLETRANSLATE(B31519,""en"",""pt"")"),"Palimanan")</f>
        <v>Palimanan</v>
      </c>
      <c r="B15496" s="9" t="s">
        <v>14067</v>
      </c>
      <c r="C15496" s="9" t="s">
        <v>13800</v>
      </c>
      <c r="D15496" s="9" t="s">
        <v>13811</v>
      </c>
      <c r="E15496" s="10">
        <v>1633056</v>
      </c>
      <c r="F15496" s="4" t="str">
        <f>IF(B15496=B15495,"",B15496)</f>
        <v/>
      </c>
    </row>
    <row r="15497" spans="1:6" ht="15.75" customHeight="1">
      <c r="A15497" s="16" t="s">
        <v>18449</v>
      </c>
      <c r="B15497" s="15" t="s">
        <v>18450</v>
      </c>
      <c r="C15497" s="16" t="s">
        <v>18451</v>
      </c>
      <c r="D15497" s="16" t="s">
        <v>18452</v>
      </c>
      <c r="E15497" s="2">
        <v>2081986</v>
      </c>
      <c r="F15497" s="4" t="str">
        <f>IF(B15497=B15496,"",B15497)</f>
        <v>Palikir - National Government Center</v>
      </c>
    </row>
    <row r="15498" spans="1:6" ht="15.75" customHeight="1">
      <c r="A15498" s="8" t="str">
        <f ca="1">IFERROR(__xludf.DUMMYFUNCTION("GOOGLETRANSLATE(B29670,""en"",""pt"")"),"Palikir - Centro Nacional do Governo")</f>
        <v>Palikir - Centro Nacional do Governo</v>
      </c>
      <c r="B15498" s="9" t="s">
        <v>18450</v>
      </c>
      <c r="C15498" s="9" t="s">
        <v>18451</v>
      </c>
      <c r="D15498" s="9" t="s">
        <v>18452</v>
      </c>
      <c r="E15498" s="10">
        <v>2081986</v>
      </c>
      <c r="F15498" s="4" t="str">
        <f>IF(B15498=B15497,"",B15498)</f>
        <v/>
      </c>
    </row>
    <row r="15499" spans="1:6" ht="15.75" customHeight="1">
      <c r="A15499" s="16" t="s">
        <v>12773</v>
      </c>
      <c r="B15499" s="15" t="s">
        <v>12774</v>
      </c>
      <c r="C15499" s="16" t="s">
        <v>10178</v>
      </c>
      <c r="D15499" s="16" t="s">
        <v>10193</v>
      </c>
      <c r="E15499" s="2">
        <v>1260713</v>
      </c>
      <c r="F15499" s="4" t="str">
        <f>IF(B15499=B15498,"",B15499)</f>
        <v>PaliÄ KalÄn</v>
      </c>
    </row>
    <row r="15500" spans="1:6" ht="15.75" customHeight="1">
      <c r="A15500" s="8" t="str">
        <f ca="1">IFERROR(__xludf.DUMMYFUNCTION("GOOGLETRANSLATE(B32557,""en"",""pt"")"),"Paliā Kalān")</f>
        <v>Paliā Kalān</v>
      </c>
      <c r="B15500" s="9" t="s">
        <v>33275</v>
      </c>
      <c r="C15500" s="9" t="s">
        <v>10178</v>
      </c>
      <c r="D15500" s="9" t="s">
        <v>10193</v>
      </c>
      <c r="E15500" s="10">
        <v>1260713</v>
      </c>
      <c r="F15500" s="4" t="str">
        <f>IF(B15500=B15499,"",B15500)</f>
        <v>Paliā Kalān</v>
      </c>
    </row>
    <row r="15501" spans="1:6" ht="15.75" customHeight="1">
      <c r="A15501" s="8" t="str">
        <f ca="1">IFERROR(__xludf.DUMMYFUNCTION("GOOGLETRANSLATE(B32558,""en"",""pt"")"),"Pāli")</f>
        <v>Pāli</v>
      </c>
      <c r="B15501" s="11" t="s">
        <v>33276</v>
      </c>
      <c r="C15501" s="11" t="s">
        <v>10178</v>
      </c>
      <c r="D15501" s="11" t="s">
        <v>10179</v>
      </c>
      <c r="E15501" s="10">
        <v>1260716</v>
      </c>
      <c r="F15501" s="4" t="str">
        <f>IF(B15501=B15500,"",B15501)</f>
        <v>Pāli</v>
      </c>
    </row>
    <row r="15502" spans="1:6" ht="15.75" customHeight="1">
      <c r="A15502" s="8" t="str">
        <f ca="1">IFERROR(__xludf.DUMMYFUNCTION("GOOGLETRANSLATE(B32559,""en"",""pt"")"),"Pāli")</f>
        <v>Pāli</v>
      </c>
      <c r="B15502" s="11" t="s">
        <v>33276</v>
      </c>
      <c r="C15502" s="11" t="s">
        <v>10178</v>
      </c>
      <c r="D15502" s="11" t="s">
        <v>10219</v>
      </c>
      <c r="E15502" s="10">
        <v>1260718</v>
      </c>
      <c r="F15502" s="4" t="str">
        <f>IF(B15502=B15501,"",B15502)</f>
        <v/>
      </c>
    </row>
    <row r="15503" spans="1:6" ht="15.75" customHeight="1">
      <c r="A15503" s="8" t="str">
        <f ca="1">IFERROR(__xludf.DUMMYFUNCTION("GOOGLETRANSLATE(B24756,""en"",""pt"")"),"Palhoça")</f>
        <v>Palhoça</v>
      </c>
      <c r="B15503" s="9" t="s">
        <v>31572</v>
      </c>
      <c r="C15503" s="9" t="s">
        <v>1905</v>
      </c>
      <c r="D15503" s="9" t="s">
        <v>2020</v>
      </c>
      <c r="E15503" s="10">
        <v>3455478</v>
      </c>
      <c r="F15503" s="4" t="str">
        <f>IF(B15503=B15502,"",B15503)</f>
        <v>Palhoça</v>
      </c>
    </row>
    <row r="15504" spans="1:6" ht="15.75" customHeight="1">
      <c r="A15504" s="15" t="s">
        <v>3014</v>
      </c>
      <c r="B15504" s="15" t="s">
        <v>3015</v>
      </c>
      <c r="C15504" s="15" t="s">
        <v>1905</v>
      </c>
      <c r="D15504" s="15" t="s">
        <v>2020</v>
      </c>
      <c r="E15504" s="2">
        <v>3455478</v>
      </c>
      <c r="F15504" s="4" t="str">
        <f>IF(B15504=B15503,"",B15504)</f>
        <v>PalhoÃ§a</v>
      </c>
    </row>
    <row r="15505" spans="1:6" ht="15.75" customHeight="1">
      <c r="A15505" s="8" t="str">
        <f ca="1">IFERROR(__xludf.DUMMYFUNCTION("GOOGLETRANSLATE(B32561,""en"",""pt"")"),"Pālghar")</f>
        <v>Pālghar</v>
      </c>
      <c r="B15505" s="9" t="s">
        <v>33277</v>
      </c>
      <c r="C15505" s="9" t="s">
        <v>10178</v>
      </c>
      <c r="D15505" s="9" t="s">
        <v>10214</v>
      </c>
      <c r="E15505" s="10">
        <v>1260730</v>
      </c>
      <c r="F15505" s="4" t="str">
        <f>IF(B15505=B15504,"",B15505)</f>
        <v>Pālghar</v>
      </c>
    </row>
    <row r="15506" spans="1:6" ht="15.75" customHeight="1">
      <c r="A15506" s="15" t="s">
        <v>15345</v>
      </c>
      <c r="B15506" s="15" t="s">
        <v>15345</v>
      </c>
      <c r="C15506" s="15" t="s">
        <v>14891</v>
      </c>
      <c r="D15506" s="15" t="s">
        <v>14899</v>
      </c>
      <c r="E15506" s="2">
        <v>2523920</v>
      </c>
      <c r="F15506" s="4" t="str">
        <f>IF(B15506=B15505,"",B15506)</f>
        <v>Palermo</v>
      </c>
    </row>
    <row r="15507" spans="1:6" ht="15.75" customHeight="1">
      <c r="A15507" s="8" t="str">
        <f ca="1">IFERROR(__xludf.DUMMYFUNCTION("GOOGLETRANSLATE(B34569,""en"",""pt"")"),"Palermo")</f>
        <v>Palermo</v>
      </c>
      <c r="B15507" s="11" t="s">
        <v>15345</v>
      </c>
      <c r="C15507" s="11" t="s">
        <v>14891</v>
      </c>
      <c r="D15507" s="11" t="s">
        <v>14899</v>
      </c>
      <c r="E15507" s="10">
        <v>2523920</v>
      </c>
      <c r="F15507" s="4" t="str">
        <f>IF(B15507=B15506,"",B15507)</f>
        <v/>
      </c>
    </row>
    <row r="15508" spans="1:6" ht="15.75" customHeight="1">
      <c r="A15508" s="15" t="s">
        <v>12772</v>
      </c>
      <c r="B15508" s="15" t="s">
        <v>12772</v>
      </c>
      <c r="C15508" s="15" t="s">
        <v>10178</v>
      </c>
      <c r="D15508" s="15" t="s">
        <v>10219</v>
      </c>
      <c r="E15508" s="2">
        <v>1260734</v>
      </c>
      <c r="F15508" s="4" t="str">
        <f>IF(B15508=B15507,"",B15508)</f>
        <v>Palera</v>
      </c>
    </row>
    <row r="15509" spans="1:6" ht="15.75" customHeight="1">
      <c r="A15509" s="8" t="str">
        <f ca="1">IFERROR(__xludf.DUMMYFUNCTION("GOOGLETRANSLATE(B32562,""en"",""pt"")"),"Palera")</f>
        <v>Palera</v>
      </c>
      <c r="B15509" s="11" t="s">
        <v>12772</v>
      </c>
      <c r="C15509" s="11" t="s">
        <v>10178</v>
      </c>
      <c r="D15509" s="11" t="s">
        <v>10219</v>
      </c>
      <c r="E15509" s="10">
        <v>1260734</v>
      </c>
      <c r="F15509" s="4" t="str">
        <f>IF(B15509=B15508,"",B15509)</f>
        <v/>
      </c>
    </row>
    <row r="15510" spans="1:6" ht="15.75" customHeight="1">
      <c r="A15510" s="15" t="s">
        <v>18150</v>
      </c>
      <c r="B15510" s="15" t="s">
        <v>18150</v>
      </c>
      <c r="C15510" s="15" t="s">
        <v>17707</v>
      </c>
      <c r="D15510" s="15" t="s">
        <v>17770</v>
      </c>
      <c r="E15510" s="2">
        <v>3522164</v>
      </c>
      <c r="F15510" s="4" t="str">
        <f>IF(B15510=B15509,"",B15510)</f>
        <v>Palenque</v>
      </c>
    </row>
    <row r="15511" spans="1:6" ht="15.75" customHeight="1">
      <c r="A15511" s="8" t="str">
        <f ca="1">IFERROR(__xludf.DUMMYFUNCTION("GOOGLETRANSLATE(B36956,""en"",""pt"")"),"Palenque")</f>
        <v>Palenque</v>
      </c>
      <c r="B15511" s="11" t="s">
        <v>18150</v>
      </c>
      <c r="C15511" s="11" t="s">
        <v>17707</v>
      </c>
      <c r="D15511" s="11" t="s">
        <v>17770</v>
      </c>
      <c r="E15511" s="10">
        <v>3522164</v>
      </c>
      <c r="F15511" s="4" t="str">
        <f>IF(B15511=B15510,"",B15511)</f>
        <v/>
      </c>
    </row>
    <row r="15512" spans="1:6" ht="15.75" customHeight="1">
      <c r="A15512" s="15" t="s">
        <v>9766</v>
      </c>
      <c r="B15512" s="15" t="s">
        <v>9766</v>
      </c>
      <c r="C15512" s="15" t="s">
        <v>9700</v>
      </c>
      <c r="D15512" s="15" t="s">
        <v>9700</v>
      </c>
      <c r="E15512" s="2">
        <v>3591851</v>
      </c>
      <c r="F15512" s="4" t="str">
        <f>IF(B15512=B15511,"",B15512)</f>
        <v>Palencia</v>
      </c>
    </row>
    <row r="15513" spans="1:6" ht="15.75" customHeight="1">
      <c r="A15513" s="15" t="s">
        <v>9766</v>
      </c>
      <c r="B15513" s="15" t="s">
        <v>9766</v>
      </c>
      <c r="C15513" s="15" t="s">
        <v>24200</v>
      </c>
      <c r="D15513" s="15" t="s">
        <v>24210</v>
      </c>
      <c r="E15513" s="2">
        <v>3114531</v>
      </c>
      <c r="F15513" s="4" t="str">
        <f>IF(B15513=B15512,"",B15513)</f>
        <v/>
      </c>
    </row>
    <row r="15514" spans="1:6" ht="15.75" customHeight="1">
      <c r="A15514" s="8" t="str">
        <f ca="1">IFERROR(__xludf.DUMMYFUNCTION("GOOGLETRANSLATE(B29333,""en"",""pt"")"),"Palencia")</f>
        <v>Palencia</v>
      </c>
      <c r="B15514" s="9" t="s">
        <v>9766</v>
      </c>
      <c r="C15514" s="9" t="s">
        <v>24200</v>
      </c>
      <c r="D15514" s="9" t="s">
        <v>32412</v>
      </c>
      <c r="E15514" s="10">
        <v>3114531</v>
      </c>
      <c r="F15514" s="4" t="str">
        <f>IF(B15514=B15513,"",B15514)</f>
        <v/>
      </c>
    </row>
    <row r="15515" spans="1:6" ht="15.75" customHeight="1">
      <c r="A15515" s="8" t="str">
        <f ca="1">IFERROR(__xludf.DUMMYFUNCTION("GOOGLETRANSLATE(B31101,""en"",""pt"")"),"Palencia")</f>
        <v>Palencia</v>
      </c>
      <c r="B15515" s="11" t="s">
        <v>9766</v>
      </c>
      <c r="C15515" s="11" t="s">
        <v>9700</v>
      </c>
      <c r="D15515" s="11" t="s">
        <v>9700</v>
      </c>
      <c r="E15515" s="10">
        <v>3591851</v>
      </c>
      <c r="F15515" s="4" t="str">
        <f>IF(B15515=B15514,"",B15515)</f>
        <v/>
      </c>
    </row>
    <row r="15516" spans="1:6" ht="15.75" customHeight="1">
      <c r="A15516" s="16" t="s">
        <v>14066</v>
      </c>
      <c r="B15516" s="15" t="s">
        <v>14066</v>
      </c>
      <c r="C15516" s="16" t="s">
        <v>13800</v>
      </c>
      <c r="D15516" s="16" t="s">
        <v>13847</v>
      </c>
      <c r="E15516" s="2">
        <v>1633070</v>
      </c>
      <c r="F15516" s="4" t="str">
        <f>IF(B15516=B15515,"",B15516)</f>
        <v>Palembang</v>
      </c>
    </row>
    <row r="15517" spans="1:6" ht="15.75" customHeight="1">
      <c r="A15517" s="8" t="str">
        <f ca="1">IFERROR(__xludf.DUMMYFUNCTION("GOOGLETRANSLATE(B31520,""en"",""pt"")"),"Palembang")</f>
        <v>Palembang</v>
      </c>
      <c r="B15517" s="11" t="s">
        <v>14066</v>
      </c>
      <c r="C15517" s="11" t="s">
        <v>13800</v>
      </c>
      <c r="D15517" s="11" t="s">
        <v>13847</v>
      </c>
      <c r="E15517" s="10">
        <v>1633070</v>
      </c>
      <c r="F15517" s="4" t="str">
        <f>IF(B15517=B15516,"",B15517)</f>
        <v/>
      </c>
    </row>
    <row r="15518" spans="1:6" ht="15.75" customHeight="1">
      <c r="A15518" s="16" t="s">
        <v>15343</v>
      </c>
      <c r="B15518" s="15" t="s">
        <v>15344</v>
      </c>
      <c r="C15518" s="16" t="s">
        <v>14891</v>
      </c>
      <c r="D15518" s="16" t="s">
        <v>14894</v>
      </c>
      <c r="E15518" s="2">
        <v>3171586</v>
      </c>
      <c r="F15518" s="4" t="str">
        <f>IF(B15518=B15517,"",B15518)</f>
        <v>Palazzolo sull'Oglio</v>
      </c>
    </row>
    <row r="15519" spans="1:6" ht="15.75" customHeight="1">
      <c r="A15519" s="8" t="str">
        <f ca="1">IFERROR(__xludf.DUMMYFUNCTION("GOOGLETRANSLATE(B34783,""en"",""pt"")"),"Palazzolo Sull'oglio")</f>
        <v>Palazzolo Sull'oglio</v>
      </c>
      <c r="B15519" s="11" t="s">
        <v>15344</v>
      </c>
      <c r="C15519" s="11" t="s">
        <v>14891</v>
      </c>
      <c r="D15519" s="11" t="s">
        <v>14894</v>
      </c>
      <c r="E15519" s="10">
        <v>3171586</v>
      </c>
      <c r="F15519" s="4" t="str">
        <f>IF(B15519=B15518,"",B15519)</f>
        <v/>
      </c>
    </row>
    <row r="15520" spans="1:6" ht="15.75" customHeight="1">
      <c r="A15520" s="16" t="s">
        <v>20940</v>
      </c>
      <c r="B15520" s="15" t="s">
        <v>20941</v>
      </c>
      <c r="C15520" s="16" t="s">
        <v>20598</v>
      </c>
      <c r="D15520" s="16" t="s">
        <v>20599</v>
      </c>
      <c r="E15520" s="2">
        <v>1696165</v>
      </c>
      <c r="F15520" s="4" t="str">
        <f>IF(B15520=B15519,"",B15520)</f>
        <v>Palayan City</v>
      </c>
    </row>
    <row r="15521" spans="1:6" ht="15.75" customHeight="1">
      <c r="A15521" s="8" t="str">
        <f ca="1">IFERROR(__xludf.DUMMYFUNCTION("GOOGLETRANSLATE(B38570,""en"",""pt"")"),"Cidade de Palayan")</f>
        <v>Cidade de Palayan</v>
      </c>
      <c r="B15521" s="11" t="s">
        <v>20941</v>
      </c>
      <c r="C15521" s="11" t="s">
        <v>20598</v>
      </c>
      <c r="D15521" s="11" t="s">
        <v>20599</v>
      </c>
      <c r="E15521" s="10">
        <v>1696165</v>
      </c>
      <c r="F15521" s="4" t="str">
        <f>IF(B15521=B15520,"",B15521)</f>
        <v/>
      </c>
    </row>
    <row r="15522" spans="1:6" ht="15.75" customHeight="1">
      <c r="A15522" s="15" t="s">
        <v>18149</v>
      </c>
      <c r="B15522" s="15" t="s">
        <v>18149</v>
      </c>
      <c r="C15522" s="15" t="s">
        <v>17707</v>
      </c>
      <c r="D15522" s="15" t="s">
        <v>17738</v>
      </c>
      <c r="E15522" s="2">
        <v>3993893</v>
      </c>
      <c r="F15522" s="4" t="str">
        <f>IF(B15522=B15521,"",B15522)</f>
        <v>Palau</v>
      </c>
    </row>
    <row r="15523" spans="1:6" ht="15.75" customHeight="1">
      <c r="A15523" s="8" t="str">
        <f ca="1">IFERROR(__xludf.DUMMYFUNCTION("GOOGLETRANSLATE(B37228,""en"",""pt"")"),"Palau")</f>
        <v>Palau</v>
      </c>
      <c r="B15523" s="11" t="s">
        <v>18149</v>
      </c>
      <c r="C15523" s="11" t="s">
        <v>17707</v>
      </c>
      <c r="D15523" s="11" t="s">
        <v>17738</v>
      </c>
      <c r="E15523" s="10">
        <v>3993893</v>
      </c>
      <c r="F15523" s="4" t="str">
        <f>IF(B15523=B15522,"",B15523)</f>
        <v/>
      </c>
    </row>
    <row r="15524" spans="1:6" ht="15.75" customHeight="1">
      <c r="A15524" s="15" t="s">
        <v>29600</v>
      </c>
      <c r="B15524" s="15" t="s">
        <v>29601</v>
      </c>
      <c r="C15524" s="15" t="s">
        <v>27788</v>
      </c>
      <c r="D15524" s="15" t="s">
        <v>27799</v>
      </c>
      <c r="E15524" s="2">
        <v>4905211</v>
      </c>
      <c r="F15524" s="4" t="str">
        <f>IF(B15524=B15523,"",B15524)</f>
        <v>Palatine</v>
      </c>
    </row>
    <row r="15525" spans="1:6" ht="15.75" customHeight="1">
      <c r="A15525" s="8" t="str">
        <f ca="1">IFERROR(__xludf.DUMMYFUNCTION("GOOGLETRANSLATE(B43866,""en"",""pt"")"),"Palatina")</f>
        <v>Palatina</v>
      </c>
      <c r="B15525" s="11" t="s">
        <v>29601</v>
      </c>
      <c r="C15525" s="11" t="s">
        <v>27788</v>
      </c>
      <c r="D15525" s="11" t="s">
        <v>27799</v>
      </c>
      <c r="E15525" s="10">
        <v>4905211</v>
      </c>
      <c r="F15525" s="4" t="str">
        <f>IF(B15525=B15524,"",B15525)</f>
        <v/>
      </c>
    </row>
    <row r="15526" spans="1:6" ht="15.75" customHeight="1">
      <c r="A15526" s="8" t="str">
        <f ca="1">IFERROR(__xludf.DUMMYFUNCTION("GOOGLETRANSLATE(B32563,""en"",""pt"")"),"Palāsa")</f>
        <v>Palāsa</v>
      </c>
      <c r="B15526" s="9" t="s">
        <v>33278</v>
      </c>
      <c r="C15526" s="9" t="s">
        <v>10178</v>
      </c>
      <c r="D15526" s="9" t="s">
        <v>10190</v>
      </c>
      <c r="E15526" s="10">
        <v>1260771</v>
      </c>
      <c r="F15526" s="4" t="str">
        <f>IF(B15526=B15525,"",B15526)</f>
        <v>Palāsa</v>
      </c>
    </row>
    <row r="15527" spans="1:6" ht="15.75" customHeight="1">
      <c r="A15527" s="15" t="s">
        <v>1897</v>
      </c>
      <c r="B15527" s="15" t="s">
        <v>1897</v>
      </c>
      <c r="C15527" s="15" t="s">
        <v>1878</v>
      </c>
      <c r="D15527" s="15" t="s">
        <v>1886</v>
      </c>
      <c r="E15527" s="2">
        <v>933182</v>
      </c>
      <c r="F15527" s="4" t="str">
        <f>IF(B15527=B15526,"",B15527)</f>
        <v>Palapye</v>
      </c>
    </row>
    <row r="15528" spans="1:6" ht="15.75" customHeight="1">
      <c r="A15528" s="8" t="str">
        <f ca="1">IFERROR(__xludf.DUMMYFUNCTION("GOOGLETRANSLATE(B25355,""en"",""pt"")"),"Palapye")</f>
        <v>Palapye</v>
      </c>
      <c r="B15528" s="9" t="s">
        <v>1897</v>
      </c>
      <c r="C15528" s="9" t="s">
        <v>1878</v>
      </c>
      <c r="D15528" s="9" t="s">
        <v>1886</v>
      </c>
      <c r="E15528" s="10">
        <v>933182</v>
      </c>
      <c r="F15528" s="4" t="str">
        <f>IF(B15528=B15527,"",B15528)</f>
        <v/>
      </c>
    </row>
    <row r="15529" spans="1:6" ht="15.75" customHeight="1">
      <c r="A15529" s="8" t="str">
        <f ca="1">IFERROR(__xludf.DUMMYFUNCTION("GOOGLETRANSLATE(B32564,""en"",""pt"")"),"Pālanpur")</f>
        <v>Pālanpur</v>
      </c>
      <c r="B15529" s="11" t="s">
        <v>33279</v>
      </c>
      <c r="C15529" s="11" t="s">
        <v>10178</v>
      </c>
      <c r="D15529" s="11" t="s">
        <v>10209</v>
      </c>
      <c r="E15529" s="10">
        <v>1260777</v>
      </c>
      <c r="F15529" s="4" t="str">
        <f>IF(B15529=B15528,"",B15529)</f>
        <v>Pālanpur</v>
      </c>
    </row>
    <row r="15530" spans="1:6" ht="15.75" customHeight="1">
      <c r="A15530" s="15" t="s">
        <v>12771</v>
      </c>
      <c r="B15530" s="15" t="s">
        <v>12771</v>
      </c>
      <c r="C15530" s="15" t="s">
        <v>10178</v>
      </c>
      <c r="D15530" s="15" t="s">
        <v>10196</v>
      </c>
      <c r="E15530" s="2">
        <v>1260671</v>
      </c>
      <c r="F15530" s="4" t="str">
        <f>IF(B15530=B15529,"",B15530)</f>
        <v>Palani</v>
      </c>
    </row>
    <row r="15531" spans="1:6" ht="15.75" customHeight="1">
      <c r="A15531" s="8" t="str">
        <f ca="1">IFERROR(__xludf.DUMMYFUNCTION("GOOGLETRANSLATE(B32548,""en"",""pt"")"),"Palani")</f>
        <v>Palani</v>
      </c>
      <c r="B15531" s="11" t="s">
        <v>12771</v>
      </c>
      <c r="C15531" s="11" t="s">
        <v>10178</v>
      </c>
      <c r="D15531" s="11" t="s">
        <v>10196</v>
      </c>
      <c r="E15531" s="10">
        <v>1260671</v>
      </c>
      <c r="F15531" s="4" t="str">
        <f>IF(B15531=B15530,"",B15531)</f>
        <v/>
      </c>
    </row>
    <row r="15532" spans="1:6" ht="15.75" customHeight="1">
      <c r="A15532" s="16" t="s">
        <v>14065</v>
      </c>
      <c r="B15532" s="15" t="s">
        <v>14065</v>
      </c>
      <c r="C15532" s="16" t="s">
        <v>13800</v>
      </c>
      <c r="D15532" s="16" t="s">
        <v>13991</v>
      </c>
      <c r="E15532" s="2">
        <v>1633118</v>
      </c>
      <c r="F15532" s="4" t="str">
        <f>IF(B15532=B15531,"",B15532)</f>
        <v>Palangkaraya</v>
      </c>
    </row>
    <row r="15533" spans="1:6" ht="15.75" customHeight="1">
      <c r="A15533" s="8" t="str">
        <f ca="1">IFERROR(__xludf.DUMMYFUNCTION("GOOGLETRANSLATE(B31521,""en"",""pt"")"),"Palangkaraya")</f>
        <v>Palangkaraya</v>
      </c>
      <c r="B15533" s="11" t="s">
        <v>14065</v>
      </c>
      <c r="C15533" s="11" t="s">
        <v>13800</v>
      </c>
      <c r="D15533" s="11" t="s">
        <v>13991</v>
      </c>
      <c r="E15533" s="10">
        <v>1633118</v>
      </c>
      <c r="F15533" s="4" t="str">
        <f>IF(B15533=B15532,"",B15533)</f>
        <v/>
      </c>
    </row>
    <row r="15534" spans="1:6" ht="15.75" customHeight="1">
      <c r="A15534" s="15" t="s">
        <v>17191</v>
      </c>
      <c r="B15534" s="15" t="s">
        <v>17191</v>
      </c>
      <c r="C15534" s="15" t="s">
        <v>17154</v>
      </c>
      <c r="D15534" s="15" t="s">
        <v>17172</v>
      </c>
      <c r="E15534" s="2">
        <v>596238</v>
      </c>
      <c r="F15534" s="4" t="str">
        <f>IF(B15534=B15533,"",B15534)</f>
        <v>Palanga</v>
      </c>
    </row>
    <row r="15535" spans="1:6" ht="15.75" customHeight="1">
      <c r="A15535" s="8" t="str">
        <f ca="1">IFERROR(__xludf.DUMMYFUNCTION("GOOGLETRANSLATE(B36372,""en"",""pt"")"),"Palanga")</f>
        <v>Palanga</v>
      </c>
      <c r="B15535" s="11" t="s">
        <v>17191</v>
      </c>
      <c r="C15535" s="11" t="s">
        <v>17154</v>
      </c>
      <c r="D15535" s="11" t="s">
        <v>34527</v>
      </c>
      <c r="E15535" s="10">
        <v>596238</v>
      </c>
      <c r="F15535" s="4" t="str">
        <f>IF(B15535=B15534,"",B15535)</f>
        <v/>
      </c>
    </row>
    <row r="15536" spans="1:6" ht="15.75" customHeight="1">
      <c r="A15536" s="8" t="str">
        <f ca="1">IFERROR(__xludf.DUMMYFUNCTION("GOOGLETRANSLATE(B23758,""en"",""pt"")"),"Pālang")</f>
        <v>Pālang</v>
      </c>
      <c r="B15536" s="9" t="s">
        <v>31290</v>
      </c>
      <c r="C15536" s="9" t="s">
        <v>1296</v>
      </c>
      <c r="D15536" s="9" t="s">
        <v>1297</v>
      </c>
      <c r="E15536" s="10">
        <v>1191368</v>
      </c>
      <c r="F15536" s="4" t="str">
        <f>IF(B15536=B15535,"",B15536)</f>
        <v>Pālang</v>
      </c>
    </row>
    <row r="15537" spans="1:6" ht="15.75" customHeight="1">
      <c r="A15537" s="15" t="s">
        <v>9764</v>
      </c>
      <c r="B15537" s="15" t="s">
        <v>9765</v>
      </c>
      <c r="C15537" s="15" t="s">
        <v>9700</v>
      </c>
      <c r="D15537" s="15" t="s">
        <v>9735</v>
      </c>
      <c r="E15537" s="2">
        <v>3591833</v>
      </c>
      <c r="F15537" s="4" t="str">
        <f>IF(B15537=B15536,"",B15537)</f>
        <v>PalÃ­n</v>
      </c>
    </row>
    <row r="15538" spans="1:6" ht="15.75" customHeight="1">
      <c r="A15538" s="8" t="str">
        <f ca="1">IFERROR(__xludf.DUMMYFUNCTION("GOOGLETRANSLATE(B29334,""en"",""pt"")"),"Palamós")</f>
        <v>Palamós</v>
      </c>
      <c r="B15538" s="9" t="s">
        <v>32444</v>
      </c>
      <c r="C15538" s="9" t="s">
        <v>24200</v>
      </c>
      <c r="D15538" s="9" t="s">
        <v>24277</v>
      </c>
      <c r="E15538" s="10">
        <v>3114566</v>
      </c>
      <c r="F15538" s="4" t="str">
        <f>IF(B15538=B15537,"",B15538)</f>
        <v>Palamós</v>
      </c>
    </row>
    <row r="15539" spans="1:6" ht="15.75" customHeight="1">
      <c r="A15539" s="15" t="s">
        <v>24678</v>
      </c>
      <c r="B15539" s="15" t="s">
        <v>24679</v>
      </c>
      <c r="C15539" s="15" t="s">
        <v>24200</v>
      </c>
      <c r="D15539" s="15" t="s">
        <v>24277</v>
      </c>
      <c r="E15539" s="2">
        <v>3114566</v>
      </c>
      <c r="F15539" s="4" t="str">
        <f>IF(B15539=B15538,"",B15539)</f>
        <v>PalamÃ³s</v>
      </c>
    </row>
    <row r="15540" spans="1:6" ht="15.75" customHeight="1">
      <c r="A15540" s="8" t="str">
        <f ca="1">IFERROR(__xludf.DUMMYFUNCTION("GOOGLETRANSLATE(B32565,""en"",""pt"")"),"Pālakollu")</f>
        <v>Pālakollu</v>
      </c>
      <c r="B15540" s="9" t="s">
        <v>33280</v>
      </c>
      <c r="C15540" s="9" t="s">
        <v>10178</v>
      </c>
      <c r="D15540" s="9" t="s">
        <v>10190</v>
      </c>
      <c r="E15540" s="10">
        <v>1260792</v>
      </c>
      <c r="F15540" s="4" t="str">
        <f>IF(B15540=B15539,"",B15540)</f>
        <v>Pālakollu</v>
      </c>
    </row>
    <row r="15541" spans="1:6" ht="15.75" customHeight="1">
      <c r="A15541" s="8" t="str">
        <f ca="1">IFERROR(__xludf.DUMMYFUNCTION("GOOGLETRANSLATE(B32566,""en"",""pt"")"),"Pālakkodu")</f>
        <v>Pālakkodu</v>
      </c>
      <c r="B15541" s="11" t="s">
        <v>33281</v>
      </c>
      <c r="C15541" s="11" t="s">
        <v>10178</v>
      </c>
      <c r="D15541" s="11" t="s">
        <v>10196</v>
      </c>
      <c r="E15541" s="10">
        <v>1260793</v>
      </c>
      <c r="F15541" s="4" t="str">
        <f>IF(B15541=B15540,"",B15541)</f>
        <v>Pālakkodu</v>
      </c>
    </row>
    <row r="15542" spans="1:6" ht="15.75" customHeight="1">
      <c r="A15542" s="15" t="s">
        <v>12770</v>
      </c>
      <c r="B15542" s="15" t="s">
        <v>12770</v>
      </c>
      <c r="C15542" s="15" t="s">
        <v>10178</v>
      </c>
      <c r="D15542" s="15" t="s">
        <v>10246</v>
      </c>
      <c r="E15542" s="2">
        <v>1260728</v>
      </c>
      <c r="F15542" s="4" t="str">
        <f>IF(B15542=B15541,"",B15542)</f>
        <v>Palakkad</v>
      </c>
    </row>
    <row r="15543" spans="1:6" ht="15.75" customHeight="1">
      <c r="A15543" s="8" t="str">
        <f ca="1">IFERROR(__xludf.DUMMYFUNCTION("GOOGLETRANSLATE(B32560,""en"",""pt"")"),"Palakkad")</f>
        <v>Palakkad</v>
      </c>
      <c r="B15543" s="11" t="s">
        <v>12770</v>
      </c>
      <c r="C15543" s="11" t="s">
        <v>10178</v>
      </c>
      <c r="D15543" s="11" t="s">
        <v>10246</v>
      </c>
      <c r="E15543" s="10">
        <v>1260728</v>
      </c>
      <c r="F15543" s="4" t="str">
        <f>IF(B15543=B15542,"",B15543)</f>
        <v/>
      </c>
    </row>
    <row r="15544" spans="1:6" ht="15.75" customHeight="1">
      <c r="A15544" s="15" t="s">
        <v>7668</v>
      </c>
      <c r="B15544" s="15" t="s">
        <v>7668</v>
      </c>
      <c r="C15544" s="15" t="s">
        <v>7052</v>
      </c>
      <c r="D15544" s="15" t="s">
        <v>7058</v>
      </c>
      <c r="E15544" s="2">
        <v>2988758</v>
      </c>
      <c r="F15544" s="4" t="str">
        <f>IF(B15544=B15543,"",B15544)</f>
        <v>Palaiseau</v>
      </c>
    </row>
    <row r="15545" spans="1:6" ht="15.75" customHeight="1">
      <c r="A15545" s="8" t="str">
        <f ca="1">IFERROR(__xludf.DUMMYFUNCTION("GOOGLETRANSLATE(B29860,""en"",""pt"")"),"Palaiseau")</f>
        <v>Palaiseau</v>
      </c>
      <c r="B15545" s="11" t="s">
        <v>7668</v>
      </c>
      <c r="C15545" s="11" t="s">
        <v>7052</v>
      </c>
      <c r="D15545" s="11" t="s">
        <v>32531</v>
      </c>
      <c r="E15545" s="10">
        <v>2988758</v>
      </c>
      <c r="F15545" s="4" t="str">
        <f>IF(B15545=B15544,"",B15545)</f>
        <v/>
      </c>
    </row>
    <row r="15546" spans="1:6" ht="15.75" customHeight="1">
      <c r="A15546" s="8" t="str">
        <f ca="1">IFERROR(__xludf.DUMMYFUNCTION("GOOGLETRANSLATE(B30970,""en"",""pt"")"),"Palaió Fáliro")</f>
        <v>Palaió Fáliro</v>
      </c>
      <c r="B15546" s="9" t="s">
        <v>32681</v>
      </c>
      <c r="C15546" s="9" t="s">
        <v>9441</v>
      </c>
      <c r="D15546" s="9" t="s">
        <v>9445</v>
      </c>
      <c r="E15546" s="10">
        <v>256075</v>
      </c>
      <c r="F15546" s="4" t="str">
        <f>IF(B15546=B15545,"",B15546)</f>
        <v>Palaió Fáliro</v>
      </c>
    </row>
    <row r="15547" spans="1:6" ht="15.75" customHeight="1">
      <c r="A15547" s="16" t="s">
        <v>9611</v>
      </c>
      <c r="B15547" s="15" t="s">
        <v>9612</v>
      </c>
      <c r="C15547" s="16" t="s">
        <v>9441</v>
      </c>
      <c r="D15547" s="16" t="s">
        <v>9445</v>
      </c>
      <c r="E15547" s="2">
        <v>256075</v>
      </c>
      <c r="F15547" s="4" t="str">
        <f>IF(B15547=B15546,"",B15547)</f>
        <v>PalaiÃ³ FÃ¡liro</v>
      </c>
    </row>
    <row r="15548" spans="1:6" ht="15.75" customHeight="1">
      <c r="A15548" s="15" t="s">
        <v>15341</v>
      </c>
      <c r="B15548" s="15" t="s">
        <v>15342</v>
      </c>
      <c r="C15548" s="15" t="s">
        <v>14891</v>
      </c>
      <c r="D15548" s="15" t="s">
        <v>14899</v>
      </c>
      <c r="E15548" s="2">
        <v>2523927</v>
      </c>
      <c r="F15548" s="4" t="str">
        <f>IF(B15548=B15547,"",B15548)</f>
        <v>Palagonia</v>
      </c>
    </row>
    <row r="15549" spans="1:6" ht="15.75" customHeight="1">
      <c r="A15549" s="8" t="str">
        <f ca="1">IFERROR(__xludf.DUMMYFUNCTION("GOOGLETRANSLATE(B34570,""en"",""pt"")"),"Palageria")</f>
        <v>Palageria</v>
      </c>
      <c r="B15549" s="11" t="s">
        <v>15342</v>
      </c>
      <c r="C15549" s="11" t="s">
        <v>14891</v>
      </c>
      <c r="D15549" s="11" t="s">
        <v>14899</v>
      </c>
      <c r="E15549" s="10">
        <v>2523927</v>
      </c>
      <c r="F15549" s="4" t="str">
        <f>IF(B15549=B15548,"",B15549)</f>
        <v/>
      </c>
    </row>
    <row r="15550" spans="1:6" ht="15.75" customHeight="1">
      <c r="A15550" s="15" t="s">
        <v>15340</v>
      </c>
      <c r="B15550" s="15" t="s">
        <v>15340</v>
      </c>
      <c r="C15550" s="15" t="s">
        <v>14891</v>
      </c>
      <c r="D15550" s="15" t="s">
        <v>14908</v>
      </c>
      <c r="E15550" s="2">
        <v>3171664</v>
      </c>
      <c r="F15550" s="4" t="str">
        <f>IF(B15550=B15549,"",B15550)</f>
        <v>Palagiano</v>
      </c>
    </row>
    <row r="15551" spans="1:6" ht="15.75" customHeight="1">
      <c r="A15551" s="8" t="str">
        <f ca="1">IFERROR(__xludf.DUMMYFUNCTION("GOOGLETRANSLATE(B34784,""en"",""pt"")"),"Palagiano")</f>
        <v>Palagiano</v>
      </c>
      <c r="B15551" s="11" t="s">
        <v>15340</v>
      </c>
      <c r="C15551" s="11" t="s">
        <v>14891</v>
      </c>
      <c r="D15551" s="11" t="s">
        <v>14908</v>
      </c>
      <c r="E15551" s="10">
        <v>3171664</v>
      </c>
      <c r="F15551" s="4" t="str">
        <f>IF(B15551=B15550,"",B15551)</f>
        <v/>
      </c>
    </row>
    <row r="15552" spans="1:6" ht="15.75" customHeight="1">
      <c r="A15552" s="16" t="s">
        <v>24677</v>
      </c>
      <c r="B15552" s="15" t="s">
        <v>24677</v>
      </c>
      <c r="C15552" s="16" t="s">
        <v>24200</v>
      </c>
      <c r="D15552" s="16" t="s">
        <v>24277</v>
      </c>
      <c r="E15552" s="2">
        <v>3114567</v>
      </c>
      <c r="F15552" s="4" t="str">
        <f>IF(B15552=B15551,"",B15552)</f>
        <v>Palafrugell</v>
      </c>
    </row>
    <row r="15553" spans="1:6" ht="15.75" customHeight="1">
      <c r="A15553" s="8" t="str">
        <f ca="1">IFERROR(__xludf.DUMMYFUNCTION("GOOGLETRANSLATE(B29335,""en"",""pt"")"),"Palafrugell")</f>
        <v>Palafrugell</v>
      </c>
      <c r="B15553" s="11" t="s">
        <v>24677</v>
      </c>
      <c r="C15553" s="11" t="s">
        <v>24200</v>
      </c>
      <c r="D15553" s="11" t="s">
        <v>24277</v>
      </c>
      <c r="E15553" s="10">
        <v>3114567</v>
      </c>
      <c r="F15553" s="4" t="str">
        <f>IF(B15553=B15552,"",B15553)</f>
        <v/>
      </c>
    </row>
    <row r="15554" spans="1:6" ht="15.75" customHeight="1">
      <c r="A15554" s="15" t="s">
        <v>12768</v>
      </c>
      <c r="B15554" s="15" t="s">
        <v>12769</v>
      </c>
      <c r="C15554" s="15" t="s">
        <v>10178</v>
      </c>
      <c r="D15554" s="15" t="s">
        <v>10190</v>
      </c>
      <c r="E15554" s="2">
        <v>1260771</v>
      </c>
      <c r="F15554" s="4" t="str">
        <f>IF(B15554=B15553,"",B15554)</f>
        <v>PalÄsa</v>
      </c>
    </row>
    <row r="15555" spans="1:6" ht="15.75" customHeight="1">
      <c r="A15555" s="15" t="s">
        <v>4352</v>
      </c>
      <c r="B15555" s="15" t="s">
        <v>4352</v>
      </c>
      <c r="C15555" s="15" t="s">
        <v>4305</v>
      </c>
      <c r="D15555" s="15" t="s">
        <v>4343</v>
      </c>
      <c r="E15555" s="2">
        <v>2426240</v>
      </c>
      <c r="F15555" s="4" t="str">
        <f>IF(B15555=B15554,"",B15555)</f>
        <v>Pala</v>
      </c>
    </row>
    <row r="15556" spans="1:6" ht="15.75" customHeight="1">
      <c r="A15556" s="8" t="str">
        <f ca="1">IFERROR(__xludf.DUMMYFUNCTION("GOOGLETRANSLATE(B41473,""en"",""pt"")"),"Pala")</f>
        <v>Pala</v>
      </c>
      <c r="B15556" s="9" t="s">
        <v>4352</v>
      </c>
      <c r="C15556" s="9" t="s">
        <v>4305</v>
      </c>
      <c r="D15556" s="9" t="s">
        <v>4343</v>
      </c>
      <c r="E15556" s="10">
        <v>2426240</v>
      </c>
      <c r="F15556" s="4" t="str">
        <f>IF(B15556=B15555,"",B15556)</f>
        <v/>
      </c>
    </row>
    <row r="15557" spans="1:6" ht="15.75" customHeight="1">
      <c r="A15557" s="8" t="str">
        <f ca="1">IFERROR(__xludf.DUMMYFUNCTION("GOOGLETRANSLATE(B36266,""en"",""pt"")"),"Pakxé")</f>
        <v>Pakxé</v>
      </c>
      <c r="B15557" s="9" t="s">
        <v>34510</v>
      </c>
      <c r="C15557" s="9" t="s">
        <v>16954</v>
      </c>
      <c r="D15557" s="9" t="s">
        <v>16967</v>
      </c>
      <c r="E15557" s="10">
        <v>1654379</v>
      </c>
      <c r="F15557" s="4" t="str">
        <f>IF(B15557=B15556,"",B15557)</f>
        <v>Pakxé</v>
      </c>
    </row>
    <row r="15558" spans="1:6" ht="15.75" customHeight="1">
      <c r="A15558" s="15" t="s">
        <v>16965</v>
      </c>
      <c r="B15558" s="15" t="s">
        <v>16966</v>
      </c>
      <c r="C15558" s="15" t="s">
        <v>16954</v>
      </c>
      <c r="D15558" s="15" t="s">
        <v>16967</v>
      </c>
      <c r="E15558" s="2">
        <v>1654379</v>
      </c>
      <c r="F15558" s="4" t="str">
        <f>IF(B15558=B15557,"",B15558)</f>
        <v>PakxÃ©</v>
      </c>
    </row>
    <row r="15559" spans="1:6" ht="15.75" customHeight="1">
      <c r="A15559" s="15" t="s">
        <v>10124</v>
      </c>
      <c r="B15559" s="15" t="s">
        <v>10124</v>
      </c>
      <c r="C15559" s="15" t="s">
        <v>9955</v>
      </c>
      <c r="D15559" s="15" t="s">
        <v>10034</v>
      </c>
      <c r="E15559" s="2">
        <v>3046768</v>
      </c>
      <c r="F15559" s="4" t="str">
        <f>IF(B15559=B15558,"",B15559)</f>
        <v>Paks</v>
      </c>
    </row>
    <row r="15560" spans="1:6" ht="15.75" customHeight="1">
      <c r="A15560" s="8" t="str">
        <f ca="1">IFERROR(__xludf.DUMMYFUNCTION("GOOGLETRANSLATE(B31293,""en"",""pt"")"),"Paks")</f>
        <v>Paks</v>
      </c>
      <c r="B15560" s="9" t="s">
        <v>10124</v>
      </c>
      <c r="C15560" s="9" t="s">
        <v>9955</v>
      </c>
      <c r="D15560" s="9" t="s">
        <v>10034</v>
      </c>
      <c r="E15560" s="10">
        <v>3046768</v>
      </c>
      <c r="F15560" s="4" t="str">
        <f>IF(B15560=B15559,"",B15560)</f>
        <v/>
      </c>
    </row>
    <row r="15561" spans="1:6" ht="15.75" customHeight="1">
      <c r="A15561" s="8" t="str">
        <f ca="1">IFERROR(__xludf.DUMMYFUNCTION("GOOGLETRANSLATE(B38957,""en"",""pt"")"),"Pākpattan")</f>
        <v>Pākpattan</v>
      </c>
      <c r="B15561" s="11" t="s">
        <v>34937</v>
      </c>
      <c r="C15561" s="11" t="s">
        <v>19808</v>
      </c>
      <c r="D15561" s="11" t="s">
        <v>10184</v>
      </c>
      <c r="E15561" s="10">
        <v>1168555</v>
      </c>
      <c r="F15561" s="4" t="str">
        <f>IF(B15561=B15560,"",B15561)</f>
        <v>Pākpattan</v>
      </c>
    </row>
    <row r="15562" spans="1:6" ht="15.75" customHeight="1">
      <c r="A15562" s="15" t="s">
        <v>18744</v>
      </c>
      <c r="B15562" s="15" t="s">
        <v>18744</v>
      </c>
      <c r="C15562" s="15" t="s">
        <v>18696</v>
      </c>
      <c r="D15562" s="15" t="s">
        <v>18702</v>
      </c>
      <c r="E15562" s="2">
        <v>1302439</v>
      </c>
      <c r="F15562" s="4" t="str">
        <f>IF(B15562=B15561,"",B15562)</f>
        <v>Pakokku</v>
      </c>
    </row>
    <row r="15563" spans="1:6" ht="15.75" customHeight="1">
      <c r="A15563" s="8" t="str">
        <f ca="1">IFERROR(__xludf.DUMMYFUNCTION("GOOGLETRANSLATE(B36724,""en"",""pt"")"),"Pakokku")</f>
        <v>Pakokku</v>
      </c>
      <c r="B15563" s="11" t="s">
        <v>18744</v>
      </c>
      <c r="C15563" s="11" t="s">
        <v>18696</v>
      </c>
      <c r="D15563" s="11" t="s">
        <v>18702</v>
      </c>
      <c r="E15563" s="10">
        <v>1302439</v>
      </c>
      <c r="F15563" s="4" t="str">
        <f>IF(B15563=B15562,"",B15563)</f>
        <v/>
      </c>
    </row>
    <row r="15564" spans="1:6" ht="15.75" customHeight="1">
      <c r="A15564" s="15" t="s">
        <v>14064</v>
      </c>
      <c r="B15564" s="15" t="s">
        <v>14064</v>
      </c>
      <c r="C15564" s="15" t="s">
        <v>13800</v>
      </c>
      <c r="D15564" s="15" t="s">
        <v>13816</v>
      </c>
      <c r="E15564" s="2">
        <v>1633182</v>
      </c>
      <c r="F15564" s="4" t="str">
        <f>IF(B15564=B15563,"",B15564)</f>
        <v>Pakisaji</v>
      </c>
    </row>
    <row r="15565" spans="1:6" ht="15.75" customHeight="1">
      <c r="A15565" s="8" t="str">
        <f ca="1">IFERROR(__xludf.DUMMYFUNCTION("GOOGLETRANSLATE(B31522,""en"",""pt"")"),"Pakisaji")</f>
        <v>Pakisaji</v>
      </c>
      <c r="B15565" s="11" t="s">
        <v>14064</v>
      </c>
      <c r="C15565" s="11" t="s">
        <v>13800</v>
      </c>
      <c r="D15565" s="11" t="s">
        <v>13816</v>
      </c>
      <c r="E15565" s="10">
        <v>1633182</v>
      </c>
      <c r="F15565" s="4" t="str">
        <f>IF(B15565=B15564,"",B15565)</f>
        <v/>
      </c>
    </row>
    <row r="15566" spans="1:6" ht="15.75" customHeight="1">
      <c r="A15566" s="16" t="s">
        <v>1054</v>
      </c>
      <c r="B15566" s="15" t="s">
        <v>1054</v>
      </c>
      <c r="C15566" s="16" t="s">
        <v>885</v>
      </c>
      <c r="D15566" s="16" t="s">
        <v>827</v>
      </c>
      <c r="E15566" s="2">
        <v>2153951</v>
      </c>
      <c r="F15566" s="4" t="str">
        <f>IF(B15566=B15565,"",B15566)</f>
        <v>Pakenham South</v>
      </c>
    </row>
    <row r="15567" spans="1:6" ht="15.75" customHeight="1">
      <c r="A15567" s="8" t="str">
        <f ca="1">IFERROR(__xludf.DUMMYFUNCTION("GOOGLETRANSLATE(B23465,""en"",""pt"")"),"Pakenham South")</f>
        <v>Pakenham South</v>
      </c>
      <c r="B15567" s="9" t="s">
        <v>1054</v>
      </c>
      <c r="C15567" s="9" t="s">
        <v>885</v>
      </c>
      <c r="D15567" s="9" t="s">
        <v>827</v>
      </c>
      <c r="E15567" s="10">
        <v>2153951</v>
      </c>
      <c r="F15567" s="4" t="str">
        <f>IF(B15567=B15566,"",B15567)</f>
        <v/>
      </c>
    </row>
    <row r="15568" spans="1:6" ht="15.75" customHeight="1">
      <c r="A15568" s="8" t="str">
        <f ca="1">IFERROR(__xludf.DUMMYFUNCTION("GOOGLETRANSLATE(B32567,""en"",""pt"")"),"Pākaur")</f>
        <v>Pākaur</v>
      </c>
      <c r="B15568" s="9" t="s">
        <v>33282</v>
      </c>
      <c r="C15568" s="9" t="s">
        <v>10178</v>
      </c>
      <c r="D15568" s="9" t="s">
        <v>10430</v>
      </c>
      <c r="E15568" s="10">
        <v>1260824</v>
      </c>
      <c r="F15568" s="4" t="str">
        <f>IF(B15568=B15567,"",B15568)</f>
        <v>Pākaur</v>
      </c>
    </row>
    <row r="15569" spans="1:6" ht="15.75" customHeight="1">
      <c r="A15569" s="8" t="str">
        <f ca="1">IFERROR(__xludf.DUMMYFUNCTION("GOOGLETRANSLATE(B32568,""en"",""pt"")"),"Pākāla")</f>
        <v>Pākāla</v>
      </c>
      <c r="B15569" s="11" t="s">
        <v>33283</v>
      </c>
      <c r="C15569" s="11" t="s">
        <v>10178</v>
      </c>
      <c r="D15569" s="11" t="s">
        <v>10190</v>
      </c>
      <c r="E15569" s="10">
        <v>1260830</v>
      </c>
      <c r="F15569" s="4" t="str">
        <f>IF(B15569=B15568,"",B15569)</f>
        <v>Pākāla</v>
      </c>
    </row>
    <row r="15570" spans="1:6" ht="15.75" customHeight="1">
      <c r="A15570" s="15" t="s">
        <v>17535</v>
      </c>
      <c r="B15570" s="15" t="s">
        <v>17535</v>
      </c>
      <c r="C15570" s="15" t="s">
        <v>17432</v>
      </c>
      <c r="D15570" s="15" t="s">
        <v>17465</v>
      </c>
      <c r="E15570" s="2">
        <v>1734313</v>
      </c>
      <c r="F15570" s="4" t="str">
        <f>IF(B15570=B15569,"",B15570)</f>
        <v>Paka</v>
      </c>
    </row>
    <row r="15571" spans="1:6" ht="15.75" customHeight="1">
      <c r="A15571" s="8" t="str">
        <f ca="1">IFERROR(__xludf.DUMMYFUNCTION("GOOGLETRANSLATE(B37444,""en"",""pt"")"),"Paka")</f>
        <v>Paka</v>
      </c>
      <c r="B15571" s="9" t="s">
        <v>17535</v>
      </c>
      <c r="C15571" s="9" t="s">
        <v>17432</v>
      </c>
      <c r="D15571" s="9" t="s">
        <v>17465</v>
      </c>
      <c r="E15571" s="10">
        <v>1734313</v>
      </c>
      <c r="F15571" s="4" t="str">
        <f>IF(B15571=B15570,"",B15571)</f>
        <v/>
      </c>
    </row>
    <row r="15572" spans="1:6" ht="15.75" customHeight="1">
      <c r="A15572" s="16" t="s">
        <v>25955</v>
      </c>
      <c r="B15572" s="15" t="s">
        <v>25955</v>
      </c>
      <c r="C15572" s="16" t="s">
        <v>25771</v>
      </c>
      <c r="D15572" s="16" t="s">
        <v>25938</v>
      </c>
      <c r="E15572" s="2">
        <v>1608033</v>
      </c>
      <c r="F15572" s="4" t="str">
        <f>IF(B15572=B15571,"",B15572)</f>
        <v>Pak Phanang</v>
      </c>
    </row>
    <row r="15573" spans="1:6" ht="15.75" customHeight="1">
      <c r="A15573" s="8" t="str">
        <f ca="1">IFERROR(__xludf.DUMMYFUNCTION("GOOGLETRANSLATE(B41642,""en"",""pt"")"),"Pak Phanang")</f>
        <v>Pak Phanang</v>
      </c>
      <c r="B15573" s="11" t="s">
        <v>25955</v>
      </c>
      <c r="C15573" s="11" t="s">
        <v>25771</v>
      </c>
      <c r="D15573" s="11" t="s">
        <v>25938</v>
      </c>
      <c r="E15573" s="10">
        <v>1608033</v>
      </c>
      <c r="F15573" s="4" t="str">
        <f>IF(B15573=B15572,"",B15573)</f>
        <v/>
      </c>
    </row>
    <row r="15574" spans="1:6" ht="15.75" customHeight="1">
      <c r="A15574" s="15" t="s">
        <v>25954</v>
      </c>
      <c r="B15574" s="15" t="s">
        <v>25954</v>
      </c>
      <c r="C15574" s="15" t="s">
        <v>25771</v>
      </c>
      <c r="D15574" s="15" t="s">
        <v>25828</v>
      </c>
      <c r="E15574" s="2">
        <v>1608048</v>
      </c>
      <c r="F15574" s="4" t="str">
        <f>IF(B15574=B15573,"",B15574)</f>
        <v>Pak Kret</v>
      </c>
    </row>
    <row r="15575" spans="1:6" ht="15.75" customHeight="1">
      <c r="A15575" s="8" t="str">
        <f ca="1">IFERROR(__xludf.DUMMYFUNCTION("GOOGLETRANSLATE(B41643,""en"",""pt"")"),"Pak Kret")</f>
        <v>Pak Kret</v>
      </c>
      <c r="B15575" s="11" t="s">
        <v>25954</v>
      </c>
      <c r="C15575" s="11" t="s">
        <v>25771</v>
      </c>
      <c r="D15575" s="11" t="s">
        <v>25828</v>
      </c>
      <c r="E15575" s="10">
        <v>1608048</v>
      </c>
      <c r="F15575" s="4" t="str">
        <f>IF(B15575=B15574,"",B15575)</f>
        <v/>
      </c>
    </row>
    <row r="15576" spans="1:6" ht="15.75" customHeight="1">
      <c r="A15576" s="16" t="s">
        <v>25953</v>
      </c>
      <c r="B15576" s="15" t="s">
        <v>25953</v>
      </c>
      <c r="C15576" s="16" t="s">
        <v>25771</v>
      </c>
      <c r="D15576" s="16" t="s">
        <v>25774</v>
      </c>
      <c r="E15576" s="2">
        <v>1608057</v>
      </c>
      <c r="F15576" s="4" t="str">
        <f>IF(B15576=B15575,"",B15576)</f>
        <v>Pak Chong</v>
      </c>
    </row>
    <row r="15577" spans="1:6" ht="15.75" customHeight="1">
      <c r="A15577" s="8" t="str">
        <f ca="1">IFERROR(__xludf.DUMMYFUNCTION("GOOGLETRANSLATE(B41644,""en"",""pt"")"),"Pak Chong")</f>
        <v>Pak Chong</v>
      </c>
      <c r="B15577" s="9" t="s">
        <v>25953</v>
      </c>
      <c r="C15577" s="9" t="s">
        <v>25771</v>
      </c>
      <c r="D15577" s="9" t="s">
        <v>25774</v>
      </c>
      <c r="E15577" s="10">
        <v>1608057</v>
      </c>
      <c r="F15577" s="4" t="str">
        <f>IF(B15577=B15576,"",B15577)</f>
        <v/>
      </c>
    </row>
    <row r="15578" spans="1:6" ht="15.75" customHeight="1">
      <c r="A15578" s="15" t="s">
        <v>24184</v>
      </c>
      <c r="B15578" s="15" t="s">
        <v>24185</v>
      </c>
      <c r="C15578" s="15" t="s">
        <v>24176</v>
      </c>
      <c r="D15578" s="15" t="s">
        <v>24186</v>
      </c>
      <c r="E15578" s="2">
        <v>375495</v>
      </c>
      <c r="F15578" s="4" t="str">
        <f>IF(B15578=B15577,"",B15578)</f>
        <v>Pajok</v>
      </c>
    </row>
    <row r="15579" spans="1:6" ht="15.75" customHeight="1">
      <c r="A15579" s="8" t="str">
        <f ca="1">IFERROR(__xludf.DUMMYFUNCTION("GOOGLETRANSLATE(B41352,""en"",""pt"")"),"PAJOK")</f>
        <v>PAJOK</v>
      </c>
      <c r="B15579" s="11" t="s">
        <v>24185</v>
      </c>
      <c r="C15579" s="11" t="s">
        <v>24176</v>
      </c>
      <c r="D15579" s="11" t="s">
        <v>24186</v>
      </c>
      <c r="E15579" s="10">
        <v>375495</v>
      </c>
      <c r="F15579" s="4" t="str">
        <f>IF(B15579=B15578,"",B15579)</f>
        <v/>
      </c>
    </row>
    <row r="15580" spans="1:6" ht="15.75" customHeight="1">
      <c r="A15580" s="8" t="str">
        <f ca="1">IFERROR(__xludf.DUMMYFUNCTION("GOOGLETRANSLATE(B29031,""en"",""pt"")"),"Pájara")</f>
        <v>Pájara</v>
      </c>
      <c r="B15580" s="9" t="s">
        <v>32365</v>
      </c>
      <c r="C15580" s="9" t="s">
        <v>24200</v>
      </c>
      <c r="D15580" s="9" t="s">
        <v>24212</v>
      </c>
      <c r="E15580" s="10">
        <v>2513026</v>
      </c>
      <c r="F15580" s="4" t="str">
        <f>IF(B15580=B15579,"",B15580)</f>
        <v>Pájara</v>
      </c>
    </row>
    <row r="15581" spans="1:6" ht="15.75" customHeight="1">
      <c r="A15581" s="15" t="s">
        <v>12767</v>
      </c>
      <c r="B15581" s="15" t="s">
        <v>12767</v>
      </c>
      <c r="C15581" s="15" t="s">
        <v>10178</v>
      </c>
      <c r="D15581" s="15" t="s">
        <v>10214</v>
      </c>
      <c r="E15581" s="2">
        <v>1260833</v>
      </c>
      <c r="F15581" s="4" t="str">
        <f>IF(B15581=B15580,"",B15581)</f>
        <v>Paithan</v>
      </c>
    </row>
    <row r="15582" spans="1:6" ht="15.75" customHeight="1">
      <c r="A15582" s="8" t="str">
        <f ca="1">IFERROR(__xludf.DUMMYFUNCTION("GOOGLETRANSLATE(B32569,""en"",""pt"")"),"Paithan")</f>
        <v>Paithan</v>
      </c>
      <c r="B15582" s="9" t="s">
        <v>12767</v>
      </c>
      <c r="C15582" s="9" t="s">
        <v>10178</v>
      </c>
      <c r="D15582" s="9" t="s">
        <v>10214</v>
      </c>
      <c r="E15582" s="10">
        <v>1260833</v>
      </c>
      <c r="F15582" s="4" t="str">
        <f>IF(B15582=B15581,"",B15582)</f>
        <v/>
      </c>
    </row>
    <row r="15583" spans="1:6" ht="15.75" customHeight="1">
      <c r="A15583" s="15" t="s">
        <v>20555</v>
      </c>
      <c r="B15583" s="15" t="s">
        <v>20555</v>
      </c>
      <c r="C15583" s="15" t="s">
        <v>20470</v>
      </c>
      <c r="D15583" s="15" t="s">
        <v>20486</v>
      </c>
      <c r="E15583" s="2">
        <v>3694112</v>
      </c>
      <c r="F15583" s="4" t="str">
        <f>IF(B15583=B15582,"",B15583)</f>
        <v>Paita</v>
      </c>
    </row>
    <row r="15584" spans="1:6" ht="15.75" customHeight="1">
      <c r="A15584" s="8" t="str">
        <f ca="1">IFERROR(__xludf.DUMMYFUNCTION("GOOGLETRANSLATE(B38321,""en"",""pt"")"),"Paita")</f>
        <v>Paita</v>
      </c>
      <c r="B15584" s="9" t="s">
        <v>20555</v>
      </c>
      <c r="C15584" s="9" t="s">
        <v>20470</v>
      </c>
      <c r="D15584" s="9" t="s">
        <v>20486</v>
      </c>
      <c r="E15584" s="10">
        <v>3694112</v>
      </c>
      <c r="F15584" s="4" t="str">
        <f>IF(B15584=B15583,"",B15584)</f>
        <v/>
      </c>
    </row>
    <row r="15585" spans="1:6" ht="15.75" customHeight="1">
      <c r="A15585" s="15" t="s">
        <v>27589</v>
      </c>
      <c r="B15585" s="15" t="s">
        <v>27589</v>
      </c>
      <c r="C15585" s="15" t="s">
        <v>27234</v>
      </c>
      <c r="D15585" s="15" t="s">
        <v>27237</v>
      </c>
      <c r="E15585" s="2">
        <v>2640677</v>
      </c>
      <c r="F15585" s="4" t="str">
        <f>IF(B15585=B15584,"",B15585)</f>
        <v>Paisley</v>
      </c>
    </row>
    <row r="15586" spans="1:6" ht="15.75" customHeight="1">
      <c r="A15586" s="8" t="str">
        <f ca="1">IFERROR(__xludf.DUMMYFUNCTION("GOOGLETRANSLATE(B30490,""en"",""pt"")"),"Paisley")</f>
        <v>Paisley</v>
      </c>
      <c r="B15586" s="11" t="s">
        <v>27589</v>
      </c>
      <c r="C15586" s="11" t="s">
        <v>27234</v>
      </c>
      <c r="D15586" s="11" t="s">
        <v>27237</v>
      </c>
      <c r="E15586" s="10">
        <v>2640677</v>
      </c>
      <c r="F15586" s="4" t="str">
        <f>IF(B15586=B15585,"",B15586)</f>
        <v/>
      </c>
    </row>
    <row r="15587" spans="1:6" ht="15.75" customHeight="1">
      <c r="A15587" s="15" t="s">
        <v>24675</v>
      </c>
      <c r="B15587" s="15" t="s">
        <v>24676</v>
      </c>
      <c r="C15587" s="15" t="s">
        <v>24200</v>
      </c>
      <c r="D15587" s="15" t="s">
        <v>21053</v>
      </c>
      <c r="E15587" s="2">
        <v>2513029</v>
      </c>
      <c r="F15587" s="4" t="str">
        <f>IF(B15587=B15586,"",B15587)</f>
        <v>Paiporta</v>
      </c>
    </row>
    <row r="15588" spans="1:6" ht="15.75" customHeight="1">
      <c r="A15588" s="8" t="str">
        <f ca="1">IFERROR(__xludf.DUMMYFUNCTION("GOOGLETRANSLATE(B29032,""en"",""pt"")"),"PAIPORTA")</f>
        <v>PAIPORTA</v>
      </c>
      <c r="B15588" s="11" t="s">
        <v>24676</v>
      </c>
      <c r="C15588" s="11" t="s">
        <v>24200</v>
      </c>
      <c r="D15588" s="11" t="s">
        <v>21053</v>
      </c>
      <c r="E15588" s="10">
        <v>2513029</v>
      </c>
      <c r="F15588" s="4" t="str">
        <f>IF(B15588=B15587,"",B15588)</f>
        <v/>
      </c>
    </row>
    <row r="15589" spans="1:6" ht="15.75" customHeight="1">
      <c r="A15589" s="16" t="s">
        <v>29599</v>
      </c>
      <c r="B15589" s="15" t="s">
        <v>29599</v>
      </c>
      <c r="C15589" s="16" t="s">
        <v>27788</v>
      </c>
      <c r="D15589" s="16" t="s">
        <v>27813</v>
      </c>
      <c r="E15589" s="2">
        <v>5166009</v>
      </c>
      <c r="F15589" s="4" t="str">
        <f>IF(B15589=B15588,"",B15589)</f>
        <v>Painesville</v>
      </c>
    </row>
    <row r="15590" spans="1:6" ht="15.75" customHeight="1">
      <c r="A15590" s="8" t="str">
        <f ca="1">IFERROR(__xludf.DUMMYFUNCTION("GOOGLETRANSLATE(B44532,""en"",""pt"")"),"Painesville")</f>
        <v>Painesville</v>
      </c>
      <c r="B15590" s="11" t="s">
        <v>29599</v>
      </c>
      <c r="C15590" s="11" t="s">
        <v>27788</v>
      </c>
      <c r="D15590" s="11" t="s">
        <v>27813</v>
      </c>
      <c r="E15590" s="10">
        <v>5166009</v>
      </c>
      <c r="F15590" s="4" t="str">
        <f>IF(B15590=B15589,"",B15590)</f>
        <v/>
      </c>
    </row>
    <row r="15591" spans="1:6" ht="15.75" customHeight="1">
      <c r="A15591" s="15" t="s">
        <v>4439</v>
      </c>
      <c r="B15591" s="15" t="s">
        <v>4439</v>
      </c>
      <c r="C15591" s="15" t="s">
        <v>4355</v>
      </c>
      <c r="D15591" s="15" t="s">
        <v>4366</v>
      </c>
      <c r="E15591" s="2">
        <v>3877739</v>
      </c>
      <c r="F15591" s="4" t="str">
        <f>IF(B15591=B15590,"",B15591)</f>
        <v>Paine</v>
      </c>
    </row>
    <row r="15592" spans="1:6" ht="15.75" customHeight="1">
      <c r="A15592" s="8" t="str">
        <f ca="1">IFERROR(__xludf.DUMMYFUNCTION("GOOGLETRANSLATE(B25922,""en"",""pt"")"),"Paine")</f>
        <v>Paine</v>
      </c>
      <c r="B15592" s="11" t="s">
        <v>4439</v>
      </c>
      <c r="C15592" s="11" t="s">
        <v>4355</v>
      </c>
      <c r="D15592" s="11" t="s">
        <v>4366</v>
      </c>
      <c r="E15592" s="10">
        <v>3877739</v>
      </c>
      <c r="F15592" s="4" t="str">
        <f>IF(B15592=B15591,"",B15592)</f>
        <v/>
      </c>
    </row>
    <row r="15593" spans="1:6" ht="15.75" customHeight="1">
      <c r="A15593" s="15" t="s">
        <v>3855</v>
      </c>
      <c r="B15593" s="15" t="s">
        <v>3855</v>
      </c>
      <c r="C15593" s="15" t="s">
        <v>3838</v>
      </c>
      <c r="D15593" s="15" t="s">
        <v>3855</v>
      </c>
      <c r="E15593" s="2">
        <v>1830205</v>
      </c>
      <c r="F15593" s="4" t="str">
        <f>IF(B15593=B15592,"",B15593)</f>
        <v>Pailin</v>
      </c>
    </row>
    <row r="15594" spans="1:6" ht="15.75" customHeight="1">
      <c r="A15594" s="8" t="str">
        <f ca="1">IFERROR(__xludf.DUMMYFUNCTION("GOOGLETRANSLATE(B35972,""en"",""pt"")"),"Pailin")</f>
        <v>Pailin</v>
      </c>
      <c r="B15594" s="11" t="s">
        <v>3855</v>
      </c>
      <c r="C15594" s="11" t="s">
        <v>3838</v>
      </c>
      <c r="D15594" s="11" t="s">
        <v>3855</v>
      </c>
      <c r="E15594" s="10">
        <v>1830205</v>
      </c>
      <c r="F15594" s="4" t="str">
        <f>IF(B15594=B15593,"",B15594)</f>
        <v/>
      </c>
    </row>
    <row r="15595" spans="1:6" ht="15.75" customHeight="1">
      <c r="A15595" s="8" t="str">
        <f ca="1">IFERROR(__xludf.DUMMYFUNCTION("GOOGLETRANSLATE(B38322,""en"",""pt"")"),"Paiján")</f>
        <v>Paiján</v>
      </c>
      <c r="B15595" s="9" t="s">
        <v>34871</v>
      </c>
      <c r="C15595" s="9" t="s">
        <v>20470</v>
      </c>
      <c r="D15595" s="9" t="s">
        <v>6435</v>
      </c>
      <c r="E15595" s="10">
        <v>3694119</v>
      </c>
      <c r="F15595" s="4" t="str">
        <f>IF(B15595=B15594,"",B15595)</f>
        <v>Paiján</v>
      </c>
    </row>
    <row r="15596" spans="1:6" ht="15.75" customHeight="1">
      <c r="A15596" s="15" t="s">
        <v>20553</v>
      </c>
      <c r="B15596" s="15" t="s">
        <v>20554</v>
      </c>
      <c r="C15596" s="15" t="s">
        <v>20470</v>
      </c>
      <c r="D15596" s="15" t="s">
        <v>6435</v>
      </c>
      <c r="E15596" s="2">
        <v>3694119</v>
      </c>
      <c r="F15596" s="4" t="str">
        <f>IF(B15596=B15595,"",B15596)</f>
        <v>PaijÃ¡n</v>
      </c>
    </row>
    <row r="15597" spans="1:6" ht="15.75" customHeight="1">
      <c r="A15597" s="15" t="s">
        <v>27587</v>
      </c>
      <c r="B15597" s="15" t="s">
        <v>27588</v>
      </c>
      <c r="C15597" s="15" t="s">
        <v>27234</v>
      </c>
      <c r="D15597" s="15" t="s">
        <v>27241</v>
      </c>
      <c r="E15597" s="2">
        <v>2640681</v>
      </c>
      <c r="F15597" s="4" t="str">
        <f>IF(B15597=B15596,"",B15597)</f>
        <v>Paignton</v>
      </c>
    </row>
    <row r="15598" spans="1:6" ht="15.75" customHeight="1">
      <c r="A15598" s="8" t="str">
        <f ca="1">IFERROR(__xludf.DUMMYFUNCTION("GOOGLETRANSLATE(B30491,""en"",""pt"")"),"PAIGNON")</f>
        <v>PAIGNON</v>
      </c>
      <c r="B15598" s="11" t="s">
        <v>27588</v>
      </c>
      <c r="C15598" s="11" t="s">
        <v>27234</v>
      </c>
      <c r="D15598" s="11" t="s">
        <v>27241</v>
      </c>
      <c r="E15598" s="10">
        <v>2640681</v>
      </c>
      <c r="F15598" s="4" t="str">
        <f>IF(B15598=B15597,"",B15598)</f>
        <v/>
      </c>
    </row>
    <row r="15599" spans="1:6" ht="15.75" customHeight="1">
      <c r="A15599" s="15" t="s">
        <v>26861</v>
      </c>
      <c r="B15599" s="15" t="s">
        <v>26861</v>
      </c>
      <c r="C15599" s="15" t="s">
        <v>26820</v>
      </c>
      <c r="D15599" s="15" t="s">
        <v>17416</v>
      </c>
      <c r="E15599" s="2">
        <v>226853</v>
      </c>
      <c r="F15599" s="4" t="str">
        <f>IF(B15599=B15598,"",B15599)</f>
        <v>Paidha</v>
      </c>
    </row>
    <row r="15600" spans="1:6" ht="15.75" customHeight="1">
      <c r="A15600" s="8" t="str">
        <f ca="1">IFERROR(__xludf.DUMMYFUNCTION("GOOGLETRANSLATE(B42729,""en"",""pt"")"),"Paidha")</f>
        <v>Paidha</v>
      </c>
      <c r="B15600" s="11" t="s">
        <v>26861</v>
      </c>
      <c r="C15600" s="11" t="s">
        <v>26820</v>
      </c>
      <c r="D15600" s="11" t="s">
        <v>17416</v>
      </c>
      <c r="E15600" s="10">
        <v>226853</v>
      </c>
      <c r="F15600" s="4" t="str">
        <f>IF(B15600=B15599,"",B15600)</f>
        <v/>
      </c>
    </row>
    <row r="15601" spans="1:6" ht="15.75" customHeight="1">
      <c r="A15601" s="8" t="str">
        <f ca="1">IFERROR(__xludf.DUMMYFUNCTION("GOOGLETRANSLATE(B24757,""en"",""pt"")"),"Paiçandu")</f>
        <v>Paiçandu</v>
      </c>
      <c r="B15601" s="9" t="s">
        <v>31573</v>
      </c>
      <c r="C15601" s="9" t="s">
        <v>1905</v>
      </c>
      <c r="D15601" s="9" t="s">
        <v>727</v>
      </c>
      <c r="E15601" s="10">
        <v>3455553</v>
      </c>
      <c r="F15601" s="4" t="str">
        <f>IF(B15601=B15600,"",B15601)</f>
        <v>Paiçandu</v>
      </c>
    </row>
    <row r="15602" spans="1:6" ht="15.75" customHeight="1">
      <c r="A15602" s="16" t="s">
        <v>3012</v>
      </c>
      <c r="B15602" s="15" t="s">
        <v>3013</v>
      </c>
      <c r="C15602" s="16" t="s">
        <v>1905</v>
      </c>
      <c r="D15602" s="16" t="s">
        <v>728</v>
      </c>
      <c r="E15602" s="2">
        <v>3455553</v>
      </c>
      <c r="F15602" s="4" t="str">
        <f>IF(B15602=B15601,"",B15602)</f>
        <v>PaiÃ§andu</v>
      </c>
    </row>
    <row r="15603" spans="1:6" ht="15.75" customHeight="1">
      <c r="A15603" s="15" t="s">
        <v>29598</v>
      </c>
      <c r="B15603" s="15" t="s">
        <v>29598</v>
      </c>
      <c r="C15603" s="15" t="s">
        <v>27788</v>
      </c>
      <c r="D15603" s="15" t="s">
        <v>28073</v>
      </c>
      <c r="E15603" s="2">
        <v>5509851</v>
      </c>
      <c r="F15603" s="4" t="str">
        <f>IF(B15603=B15602,"",B15603)</f>
        <v>Pahrump</v>
      </c>
    </row>
    <row r="15604" spans="1:6" ht="15.75" customHeight="1">
      <c r="A15604" s="8" t="str">
        <f ca="1">IFERROR(__xludf.DUMMYFUNCTION("GOOGLETRANSLATE(B45146,""en"",""pt"")"),"Pahrump")</f>
        <v>Pahrump</v>
      </c>
      <c r="B15604" s="11" t="s">
        <v>29598</v>
      </c>
      <c r="C15604" s="11" t="s">
        <v>27788</v>
      </c>
      <c r="D15604" s="11" t="s">
        <v>28073</v>
      </c>
      <c r="E15604" s="10">
        <v>5509851</v>
      </c>
      <c r="F15604" s="4" t="str">
        <f>IF(B15604=B15603,"",B15604)</f>
        <v/>
      </c>
    </row>
    <row r="15605" spans="1:6" ht="15.75" customHeight="1">
      <c r="A15605" s="8" t="str">
        <f ca="1">IFERROR(__xludf.DUMMYFUNCTION("GOOGLETRANSLATE(B32570,""en"",""pt"")"),"Pahāsu")</f>
        <v>Pahāsu</v>
      </c>
      <c r="B15605" s="9" t="s">
        <v>33284</v>
      </c>
      <c r="C15605" s="9" t="s">
        <v>10178</v>
      </c>
      <c r="D15605" s="9" t="s">
        <v>10193</v>
      </c>
      <c r="E15605" s="10">
        <v>1260868</v>
      </c>
      <c r="F15605" s="4" t="str">
        <f>IF(B15605=B15604,"",B15605)</f>
        <v>Pahāsu</v>
      </c>
    </row>
    <row r="15606" spans="1:6" ht="15.75" customHeight="1">
      <c r="A15606" s="8" t="str">
        <f ca="1">IFERROR(__xludf.DUMMYFUNCTION("GOOGLETRANSLATE(B38958,""en"",""pt"")"),"Pahārpur")</f>
        <v>Pahārpur</v>
      </c>
      <c r="B15606" s="11" t="s">
        <v>34938</v>
      </c>
      <c r="C15606" s="11" t="s">
        <v>19808</v>
      </c>
      <c r="D15606" s="11" t="s">
        <v>19811</v>
      </c>
      <c r="E15606" s="10">
        <v>1168633</v>
      </c>
      <c r="F15606" s="4" t="str">
        <f>IF(B15606=B15605,"",B15606)</f>
        <v>Pahārpur</v>
      </c>
    </row>
    <row r="15607" spans="1:6" ht="15.75" customHeight="1">
      <c r="A15607" s="15" t="s">
        <v>12765</v>
      </c>
      <c r="B15607" s="15" t="s">
        <v>12766</v>
      </c>
      <c r="C15607" s="15" t="s">
        <v>10178</v>
      </c>
      <c r="D15607" s="15" t="s">
        <v>10193</v>
      </c>
      <c r="E15607" s="2">
        <v>1260868</v>
      </c>
      <c r="F15607" s="4" t="str">
        <f>IF(B15607=B15606,"",B15607)</f>
        <v>PahÄsu</v>
      </c>
    </row>
    <row r="15608" spans="1:6" ht="15.75" customHeight="1">
      <c r="A15608" s="16" t="s">
        <v>20156</v>
      </c>
      <c r="B15608" s="15" t="s">
        <v>20157</v>
      </c>
      <c r="C15608" s="16" t="s">
        <v>19808</v>
      </c>
      <c r="D15608" s="16" t="s">
        <v>19811</v>
      </c>
      <c r="E15608" s="2">
        <v>1168633</v>
      </c>
      <c r="F15608" s="4" t="str">
        <f>IF(B15608=B15607,"",B15608)</f>
        <v>PahÄrpur</v>
      </c>
    </row>
    <row r="15609" spans="1:6" ht="15.75" customHeight="1">
      <c r="A15609" s="16" t="s">
        <v>498</v>
      </c>
      <c r="B15609" s="15" t="s">
        <v>498</v>
      </c>
      <c r="C15609" s="16" t="s">
        <v>499</v>
      </c>
      <c r="D15609" s="16" t="s">
        <v>500</v>
      </c>
      <c r="E15609" s="2">
        <v>5881576</v>
      </c>
      <c r="F15609" s="4" t="str">
        <f>IF(B15609=B15608,"",B15609)</f>
        <v>Pago Pago</v>
      </c>
    </row>
    <row r="15610" spans="1:6" ht="15.75" customHeight="1">
      <c r="A15610" s="8" t="str">
        <f ca="1">IFERROR(__xludf.DUMMYFUNCTION("GOOGLETRANSLATE(B23371,""en"",""pt"")"),"Pago Pago")</f>
        <v>Pago Pago</v>
      </c>
      <c r="B15610" s="11" t="s">
        <v>498</v>
      </c>
      <c r="C15610" s="11" t="s">
        <v>499</v>
      </c>
      <c r="D15610" s="11" t="s">
        <v>500</v>
      </c>
      <c r="E15610" s="10">
        <v>5881576</v>
      </c>
      <c r="F15610" s="4" t="str">
        <f>IF(B15610=B15609,"",B15610)</f>
        <v/>
      </c>
    </row>
    <row r="15611" spans="1:6" ht="15.75" customHeight="1">
      <c r="A15611" s="8" t="str">
        <f ca="1">IFERROR(__xludf.DUMMYFUNCTION("GOOGLETRANSLATE(B23066,""en"",""pt"")"),"Paghmān")</f>
        <v>Paghmān</v>
      </c>
      <c r="B15611" s="9" t="s">
        <v>31120</v>
      </c>
      <c r="C15611" s="9" t="s">
        <v>8</v>
      </c>
      <c r="D15611" s="9" t="s">
        <v>58</v>
      </c>
      <c r="E15611" s="10">
        <v>1131316</v>
      </c>
      <c r="F15611" s="4" t="str">
        <f>IF(B15611=B15610,"",B15611)</f>
        <v>Paghmān</v>
      </c>
    </row>
    <row r="15612" spans="1:6" ht="15.75" customHeight="1">
      <c r="A15612" s="16" t="s">
        <v>86</v>
      </c>
      <c r="B15612" s="15" t="s">
        <v>87</v>
      </c>
      <c r="C15612" s="16" t="s">
        <v>8</v>
      </c>
      <c r="D15612" s="16" t="s">
        <v>58</v>
      </c>
      <c r="E15612" s="2">
        <v>1131316</v>
      </c>
      <c r="F15612" s="4" t="str">
        <f>IF(B15612=B15611,"",B15612)</f>
        <v>PaghmÄn</v>
      </c>
    </row>
    <row r="15613" spans="1:6" ht="15.75" customHeight="1">
      <c r="A15613" s="16" t="s">
        <v>14063</v>
      </c>
      <c r="B15613" s="15" t="s">
        <v>14063</v>
      </c>
      <c r="C15613" s="16" t="s">
        <v>13800</v>
      </c>
      <c r="D15613" s="16" t="s">
        <v>13847</v>
      </c>
      <c r="E15613" s="2">
        <v>1633308</v>
      </c>
      <c r="F15613" s="4" t="str">
        <f>IF(B15613=B15612,"",B15613)</f>
        <v>Pageralam</v>
      </c>
    </row>
    <row r="15614" spans="1:6" ht="15.75" customHeight="1">
      <c r="A15614" s="8" t="str">
        <f ca="1">IFERROR(__xludf.DUMMYFUNCTION("GOOGLETRANSLATE(B31523,""en"",""pt"")"),"Pageralam")</f>
        <v>Pageralam</v>
      </c>
      <c r="B15614" s="11" t="s">
        <v>14063</v>
      </c>
      <c r="C15614" s="11" t="s">
        <v>13800</v>
      </c>
      <c r="D15614" s="11" t="s">
        <v>13847</v>
      </c>
      <c r="E15614" s="10">
        <v>1633308</v>
      </c>
      <c r="F15614" s="4" t="str">
        <f>IF(B15614=B15613,"",B15614)</f>
        <v/>
      </c>
    </row>
    <row r="15615" spans="1:6" ht="15.75" customHeight="1">
      <c r="A15615" s="15" t="s">
        <v>20939</v>
      </c>
      <c r="B15615" s="15" t="s">
        <v>20939</v>
      </c>
      <c r="C15615" s="15" t="s">
        <v>20598</v>
      </c>
      <c r="D15615" s="15" t="s">
        <v>20608</v>
      </c>
      <c r="E15615" s="2">
        <v>1696614</v>
      </c>
      <c r="F15615" s="4" t="str">
        <f>IF(B15615=B15614,"",B15615)</f>
        <v>Pagbilao</v>
      </c>
    </row>
    <row r="15616" spans="1:6" ht="15.75" customHeight="1">
      <c r="A15616" s="8" t="str">
        <f ca="1">IFERROR(__xludf.DUMMYFUNCTION("GOOGLETRANSLATE(B38571,""en"",""pt"")"),"Pagbilao")</f>
        <v>Pagbilao</v>
      </c>
      <c r="B15616" s="11" t="s">
        <v>20939</v>
      </c>
      <c r="C15616" s="11" t="s">
        <v>20598</v>
      </c>
      <c r="D15616" s="11" t="s">
        <v>20608</v>
      </c>
      <c r="E15616" s="10">
        <v>1696614</v>
      </c>
      <c r="F15616" s="4" t="str">
        <f>IF(B15616=B15615,"",B15616)</f>
        <v/>
      </c>
    </row>
    <row r="15617" spans="1:6" ht="15.75" customHeight="1">
      <c r="A15617" s="15" t="s">
        <v>15339</v>
      </c>
      <c r="B15617" s="15" t="s">
        <v>15339</v>
      </c>
      <c r="C15617" s="15" t="s">
        <v>14891</v>
      </c>
      <c r="D15617" s="15" t="s">
        <v>14896</v>
      </c>
      <c r="E15617" s="2">
        <v>3171703</v>
      </c>
      <c r="F15617" s="4" t="str">
        <f>IF(B15617=B15616,"",B15617)</f>
        <v>Pagani</v>
      </c>
    </row>
    <row r="15618" spans="1:6" ht="15.75" customHeight="1">
      <c r="A15618" s="8" t="str">
        <f ca="1">IFERROR(__xludf.DUMMYFUNCTION("GOOGLETRANSLATE(B34785,""en"",""pt"")"),"Pagani")</f>
        <v>Pagani</v>
      </c>
      <c r="B15618" s="11" t="s">
        <v>15339</v>
      </c>
      <c r="C15618" s="11" t="s">
        <v>14891</v>
      </c>
      <c r="D15618" s="11" t="s">
        <v>14896</v>
      </c>
      <c r="E15618" s="10">
        <v>3171703</v>
      </c>
      <c r="F15618" s="4" t="str">
        <f>IF(B15618=B15617,"",B15618)</f>
        <v/>
      </c>
    </row>
    <row r="15619" spans="1:6" ht="15.75" customHeight="1">
      <c r="A15619" s="8" t="str">
        <f ca="1">IFERROR(__xludf.DUMMYFUNCTION("GOOGLETRANSLATE(B38572,""en"",""pt"")"),"Pagaluñgan")</f>
        <v>Pagaluñgan</v>
      </c>
      <c r="B15619" s="9" t="s">
        <v>34880</v>
      </c>
      <c r="C15619" s="9" t="s">
        <v>20598</v>
      </c>
      <c r="D15619" s="9" t="s">
        <v>20683</v>
      </c>
      <c r="E15619" s="10">
        <v>1696683</v>
      </c>
      <c r="F15619" s="4" t="str">
        <f>IF(B15619=B15618,"",B15619)</f>
        <v>Pagaluñgan</v>
      </c>
    </row>
    <row r="15620" spans="1:6" ht="15.75" customHeight="1">
      <c r="A15620" s="16" t="s">
        <v>20937</v>
      </c>
      <c r="B15620" s="15" t="s">
        <v>20938</v>
      </c>
      <c r="C15620" s="16" t="s">
        <v>20598</v>
      </c>
      <c r="D15620" s="16" t="s">
        <v>20683</v>
      </c>
      <c r="E15620" s="2">
        <v>1696683</v>
      </c>
      <c r="F15620" s="4" t="str">
        <f>IF(B15620=B15619,"",B15620)</f>
        <v>PagaluÃ±gan</v>
      </c>
    </row>
    <row r="15621" spans="1:6" ht="15.75" customHeight="1">
      <c r="A15621" s="15" t="s">
        <v>20936</v>
      </c>
      <c r="B15621" s="15" t="s">
        <v>20936</v>
      </c>
      <c r="C15621" s="15" t="s">
        <v>20598</v>
      </c>
      <c r="D15621" s="15" t="s">
        <v>20752</v>
      </c>
      <c r="E15621" s="2">
        <v>1696710</v>
      </c>
      <c r="F15621" s="4" t="str">
        <f>IF(B15621=B15620,"",B15621)</f>
        <v>Pagadian</v>
      </c>
    </row>
    <row r="15622" spans="1:6" ht="15.75" customHeight="1">
      <c r="A15622" s="8" t="str">
        <f ca="1">IFERROR(__xludf.DUMMYFUNCTION("GOOGLETRANSLATE(B38573,""en"",""pt"")"),"Pagadian")</f>
        <v>Pagadian</v>
      </c>
      <c r="B15622" s="11" t="s">
        <v>20936</v>
      </c>
      <c r="C15622" s="11" t="s">
        <v>20598</v>
      </c>
      <c r="D15622" s="11" t="s">
        <v>20752</v>
      </c>
      <c r="E15622" s="10">
        <v>1696710</v>
      </c>
      <c r="F15622" s="4" t="str">
        <f>IF(B15622=B15621,"",B15622)</f>
        <v/>
      </c>
    </row>
    <row r="15623" spans="1:6" ht="15.75" customHeight="1">
      <c r="A15623" s="15" t="s">
        <v>20935</v>
      </c>
      <c r="B15623" s="15" t="s">
        <v>20935</v>
      </c>
      <c r="C15623" s="15" t="s">
        <v>20598</v>
      </c>
      <c r="D15623" s="15" t="s">
        <v>20608</v>
      </c>
      <c r="E15623" s="2">
        <v>1696718</v>
      </c>
      <c r="F15623" s="4" t="str">
        <f>IF(B15623=B15622,"",B15623)</f>
        <v>Paete</v>
      </c>
    </row>
    <row r="15624" spans="1:6" ht="15.75" customHeight="1">
      <c r="A15624" s="8" t="str">
        <f ca="1">IFERROR(__xludf.DUMMYFUNCTION("GOOGLETRANSLATE(B38574,""en"",""pt"")"),"Paete")</f>
        <v>Paete</v>
      </c>
      <c r="B15624" s="11" t="s">
        <v>20935</v>
      </c>
      <c r="C15624" s="11" t="s">
        <v>20598</v>
      </c>
      <c r="D15624" s="11" t="s">
        <v>20608</v>
      </c>
      <c r="E15624" s="10">
        <v>1696718</v>
      </c>
      <c r="F15624" s="4" t="str">
        <f>IF(B15624=B15623,"",B15624)</f>
        <v/>
      </c>
    </row>
    <row r="15625" spans="1:6" ht="15.75" customHeight="1">
      <c r="A15625" s="15" t="s">
        <v>29597</v>
      </c>
      <c r="B15625" s="15" t="s">
        <v>29597</v>
      </c>
      <c r="C15625" s="15" t="s">
        <v>27788</v>
      </c>
      <c r="D15625" s="15" t="s">
        <v>27909</v>
      </c>
      <c r="E15625" s="2">
        <v>4048662</v>
      </c>
      <c r="F15625" s="4" t="str">
        <f>IF(B15625=B15624,"",B15625)</f>
        <v>Paducah</v>
      </c>
    </row>
    <row r="15626" spans="1:6" ht="15.75" customHeight="1">
      <c r="A15626" s="8" t="str">
        <f ca="1">IFERROR(__xludf.DUMMYFUNCTION("GOOGLETRANSLATE(B42772,""en"",""pt"")"),"Paducah")</f>
        <v>Paducah</v>
      </c>
      <c r="B15626" s="9" t="s">
        <v>29597</v>
      </c>
      <c r="C15626" s="9" t="s">
        <v>27788</v>
      </c>
      <c r="D15626" s="9" t="s">
        <v>27909</v>
      </c>
      <c r="E15626" s="10">
        <v>4048662</v>
      </c>
      <c r="F15626" s="4" t="str">
        <f>IF(B15626=B15625,"",B15626)</f>
        <v/>
      </c>
    </row>
    <row r="15627" spans="1:6" ht="15.75" customHeight="1">
      <c r="A15627" s="16" t="s">
        <v>3011</v>
      </c>
      <c r="B15627" s="15" t="s">
        <v>3011</v>
      </c>
      <c r="C15627" s="16" t="s">
        <v>1905</v>
      </c>
      <c r="D15627" s="16" t="s">
        <v>1969</v>
      </c>
      <c r="E15627" s="2">
        <v>3455580</v>
      </c>
      <c r="F15627" s="4" t="str">
        <f>IF(B15627=B15626,"",B15627)</f>
        <v>Padre Bernardo</v>
      </c>
    </row>
    <row r="15628" spans="1:6" ht="15.75" customHeight="1">
      <c r="A15628" s="8" t="str">
        <f ca="1">IFERROR(__xludf.DUMMYFUNCTION("GOOGLETRANSLATE(B24758,""en"",""pt"")"),"Padre Bernardo")</f>
        <v>Padre Bernardo</v>
      </c>
      <c r="B15628" s="11" t="s">
        <v>3011</v>
      </c>
      <c r="C15628" s="11" t="s">
        <v>1905</v>
      </c>
      <c r="D15628" s="11" t="s">
        <v>31436</v>
      </c>
      <c r="E15628" s="10">
        <v>3455580</v>
      </c>
      <c r="F15628" s="4" t="str">
        <f>IF(B15628=B15627,"",B15628)</f>
        <v/>
      </c>
    </row>
    <row r="15629" spans="1:6" ht="15.75" customHeight="1">
      <c r="A15629" s="15" t="s">
        <v>12764</v>
      </c>
      <c r="B15629" s="15" t="s">
        <v>12764</v>
      </c>
      <c r="C15629" s="15" t="s">
        <v>10178</v>
      </c>
      <c r="D15629" s="15" t="s">
        <v>10193</v>
      </c>
      <c r="E15629" s="2">
        <v>1260909</v>
      </c>
      <c r="F15629" s="4" t="str">
        <f>IF(B15629=B15628,"",B15629)</f>
        <v>Padrauna</v>
      </c>
    </row>
    <row r="15630" spans="1:6" ht="15.75" customHeight="1">
      <c r="A15630" s="8" t="str">
        <f ca="1">IFERROR(__xludf.DUMMYFUNCTION("GOOGLETRANSLATE(B32571,""en"",""pt"")"),"Padrauna")</f>
        <v>Padrauna</v>
      </c>
      <c r="B15630" s="11" t="s">
        <v>12764</v>
      </c>
      <c r="C15630" s="11" t="s">
        <v>10178</v>
      </c>
      <c r="D15630" s="11" t="s">
        <v>10193</v>
      </c>
      <c r="E15630" s="10">
        <v>1260909</v>
      </c>
      <c r="F15630" s="4" t="str">
        <f>IF(B15630=B15629,"",B15630)</f>
        <v/>
      </c>
    </row>
    <row r="15631" spans="1:6" ht="15.75" customHeight="1">
      <c r="A15631" s="15" t="s">
        <v>12763</v>
      </c>
      <c r="B15631" s="15" t="s">
        <v>12763</v>
      </c>
      <c r="C15631" s="15" t="s">
        <v>10178</v>
      </c>
      <c r="D15631" s="15" t="s">
        <v>10209</v>
      </c>
      <c r="E15631" s="2">
        <v>1260911</v>
      </c>
      <c r="F15631" s="4" t="str">
        <f>IF(B15631=B15630,"",B15631)</f>
        <v>Padra</v>
      </c>
    </row>
    <row r="15632" spans="1:6" ht="15.75" customHeight="1">
      <c r="A15632" s="8" t="str">
        <f ca="1">IFERROR(__xludf.DUMMYFUNCTION("GOOGLETRANSLATE(B32572,""en"",""pt"")"),"Padra")</f>
        <v>Padra</v>
      </c>
      <c r="B15632" s="11" t="s">
        <v>12763</v>
      </c>
      <c r="C15632" s="11" t="s">
        <v>10178</v>
      </c>
      <c r="D15632" s="11" t="s">
        <v>10209</v>
      </c>
      <c r="E15632" s="10">
        <v>1260911</v>
      </c>
      <c r="F15632" s="4" t="str">
        <f>IF(B15632=B15631,"",B15632)</f>
        <v/>
      </c>
    </row>
    <row r="15633" spans="1:6" ht="15.75" customHeight="1">
      <c r="A15633" s="15" t="s">
        <v>15338</v>
      </c>
      <c r="B15633" s="15" t="s">
        <v>15338</v>
      </c>
      <c r="C15633" s="15" t="s">
        <v>14891</v>
      </c>
      <c r="D15633" s="15" t="s">
        <v>14892</v>
      </c>
      <c r="E15633" s="2">
        <v>3171728</v>
      </c>
      <c r="F15633" s="4" t="str">
        <f>IF(B15633=B15632,"",B15633)</f>
        <v>Padova</v>
      </c>
    </row>
    <row r="15634" spans="1:6" ht="15.75" customHeight="1">
      <c r="A15634" s="8" t="str">
        <f ca="1">IFERROR(__xludf.DUMMYFUNCTION("GOOGLETRANSLATE(B34786,""en"",""pt"")"),"Padova")</f>
        <v>Padova</v>
      </c>
      <c r="B15634" s="9" t="s">
        <v>15338</v>
      </c>
      <c r="C15634" s="9" t="s">
        <v>14891</v>
      </c>
      <c r="D15634" s="9" t="s">
        <v>14892</v>
      </c>
      <c r="E15634" s="10">
        <v>3171728</v>
      </c>
      <c r="F15634" s="4" t="str">
        <f>IF(B15634=B15633,"",B15634)</f>
        <v/>
      </c>
    </row>
    <row r="15635" spans="1:6" ht="15.75" customHeight="1">
      <c r="A15635" s="8" t="str">
        <f ca="1">IFERROR(__xludf.DUMMYFUNCTION("GOOGLETRANSLATE(B32573,""en"",""pt"")"),"Padmanābhapuram")</f>
        <v>Padmanābhapuram</v>
      </c>
      <c r="B15635" s="11" t="s">
        <v>33285</v>
      </c>
      <c r="C15635" s="11" t="s">
        <v>10178</v>
      </c>
      <c r="D15635" s="11" t="s">
        <v>10196</v>
      </c>
      <c r="E15635" s="10">
        <v>1260918</v>
      </c>
      <c r="F15635" s="4" t="str">
        <f>IF(B15635=B15634,"",B15635)</f>
        <v>Padmanābhapuram</v>
      </c>
    </row>
    <row r="15636" spans="1:6" ht="15.75" customHeight="1">
      <c r="A15636" s="16" t="s">
        <v>12761</v>
      </c>
      <c r="B15636" s="15" t="s">
        <v>12762</v>
      </c>
      <c r="C15636" s="16" t="s">
        <v>10178</v>
      </c>
      <c r="D15636" s="16" t="s">
        <v>10196</v>
      </c>
      <c r="E15636" s="2">
        <v>1260918</v>
      </c>
      <c r="F15636" s="4" t="str">
        <f>IF(B15636=B15635,"",B15636)</f>
        <v>PadmanÄbhapuram</v>
      </c>
    </row>
    <row r="15637" spans="1:6" ht="15.75" customHeight="1">
      <c r="A15637" s="16" t="s">
        <v>15337</v>
      </c>
      <c r="B15637" s="15" t="s">
        <v>15337</v>
      </c>
      <c r="C15637" s="16" t="s">
        <v>14891</v>
      </c>
      <c r="D15637" s="16" t="s">
        <v>14894</v>
      </c>
      <c r="E15637" s="2">
        <v>3171737</v>
      </c>
      <c r="F15637" s="4" t="str">
        <f>IF(B15637=B15636,"",B15637)</f>
        <v>Paderno Dugnano</v>
      </c>
    </row>
    <row r="15638" spans="1:6" ht="15.75" customHeight="1">
      <c r="A15638" s="8" t="str">
        <f ca="1">IFERROR(__xludf.DUMMYFUNCTION("GOOGLETRANSLATE(B34787,""en"",""pt"")"),"Paderno Dugnano")</f>
        <v>Paderno Dugnano</v>
      </c>
      <c r="B15638" s="11" t="s">
        <v>15337</v>
      </c>
      <c r="C15638" s="11" t="s">
        <v>14891</v>
      </c>
      <c r="D15638" s="11" t="s">
        <v>14894</v>
      </c>
      <c r="E15638" s="10">
        <v>3171737</v>
      </c>
      <c r="F15638" s="4" t="str">
        <f>IF(B15638=B15637,"",B15638)</f>
        <v/>
      </c>
    </row>
    <row r="15639" spans="1:6" ht="15.75" customHeight="1">
      <c r="A15639" s="16" t="s">
        <v>8981</v>
      </c>
      <c r="B15639" s="15" t="s">
        <v>8981</v>
      </c>
      <c r="C15639" s="16" t="s">
        <v>8028</v>
      </c>
      <c r="D15639" s="16" t="s">
        <v>8029</v>
      </c>
      <c r="E15639" s="2">
        <v>2855745</v>
      </c>
      <c r="F15639" s="4" t="str">
        <f>IF(B15639=B15638,"",B15639)</f>
        <v>Paderborn</v>
      </c>
    </row>
    <row r="15640" spans="1:6" ht="15.75" customHeight="1">
      <c r="A15640" s="8" t="str">
        <f ca="1">IFERROR(__xludf.DUMMYFUNCTION("GOOGLETRANSLATE(B27659,""en"",""pt"")"),"Paderborn")</f>
        <v>Paderborn</v>
      </c>
      <c r="B15640" s="11" t="s">
        <v>8981</v>
      </c>
      <c r="C15640" s="11" t="s">
        <v>8028</v>
      </c>
      <c r="D15640" s="11" t="s">
        <v>8029</v>
      </c>
      <c r="E15640" s="10">
        <v>2855745</v>
      </c>
      <c r="F15640" s="4" t="str">
        <f>IF(B15640=B15639,"",B15640)</f>
        <v/>
      </c>
    </row>
    <row r="15641" spans="1:6" ht="15.75" customHeight="1">
      <c r="A15641" s="16" t="s">
        <v>14062</v>
      </c>
      <c r="B15641" s="15" t="s">
        <v>14062</v>
      </c>
      <c r="C15641" s="16" t="s">
        <v>13800</v>
      </c>
      <c r="D15641" s="16" t="s">
        <v>13830</v>
      </c>
      <c r="E15641" s="2">
        <v>1214369</v>
      </c>
      <c r="F15641" s="4" t="str">
        <f>IF(B15641=B15640,"",B15641)</f>
        <v>Padangsidempuan</v>
      </c>
    </row>
    <row r="15642" spans="1:6" ht="15.75" customHeight="1">
      <c r="A15642" s="8" t="str">
        <f ca="1">IFERROR(__xludf.DUMMYFUNCTION("GOOGLETRANSLATE(B31369,""en"",""pt"")"),"Padangsidempuan")</f>
        <v>Padangsidempuan</v>
      </c>
      <c r="B15642" s="11" t="s">
        <v>14062</v>
      </c>
      <c r="C15642" s="11" t="s">
        <v>13800</v>
      </c>
      <c r="D15642" s="11" t="s">
        <v>13830</v>
      </c>
      <c r="E15642" s="10">
        <v>1214369</v>
      </c>
      <c r="F15642" s="4" t="str">
        <f>IF(B15642=B15641,"",B15642)</f>
        <v/>
      </c>
    </row>
    <row r="15643" spans="1:6" ht="15.75" customHeight="1">
      <c r="A15643" s="16" t="s">
        <v>17534</v>
      </c>
      <c r="B15643" s="15" t="s">
        <v>17534</v>
      </c>
      <c r="C15643" s="16" t="s">
        <v>17432</v>
      </c>
      <c r="D15643" s="16" t="s">
        <v>17436</v>
      </c>
      <c r="E15643" s="2">
        <v>1222387</v>
      </c>
      <c r="F15643" s="4" t="str">
        <f>IF(B15643=B15642,"",B15643)</f>
        <v>Padang Mat Sirat</v>
      </c>
    </row>
    <row r="15644" spans="1:6" ht="15.75" customHeight="1">
      <c r="A15644" s="8" t="str">
        <f ca="1">IFERROR(__xludf.DUMMYFUNCTION("GOOGLETRANSLATE(B37402,""en"",""pt"")"),"Padang Mat Sirat")</f>
        <v>Padang Mat Sirat</v>
      </c>
      <c r="B15644" s="11" t="s">
        <v>17534</v>
      </c>
      <c r="C15644" s="11" t="s">
        <v>17432</v>
      </c>
      <c r="D15644" s="11" t="s">
        <v>17436</v>
      </c>
      <c r="E15644" s="10">
        <v>1222387</v>
      </c>
      <c r="F15644" s="4" t="str">
        <f>IF(B15644=B15643,"",B15644)</f>
        <v/>
      </c>
    </row>
    <row r="15645" spans="1:6" ht="15.75" customHeight="1">
      <c r="A15645" s="15" t="s">
        <v>14061</v>
      </c>
      <c r="B15645" s="15" t="s">
        <v>14061</v>
      </c>
      <c r="C15645" s="15" t="s">
        <v>13800</v>
      </c>
      <c r="D15645" s="15" t="s">
        <v>13872</v>
      </c>
      <c r="E15645" s="2">
        <v>1633419</v>
      </c>
      <c r="F15645" s="4" t="str">
        <f>IF(B15645=B15644,"",B15645)</f>
        <v>Padang</v>
      </c>
    </row>
    <row r="15646" spans="1:6" ht="15.75" customHeight="1">
      <c r="A15646" s="8" t="str">
        <f ca="1">IFERROR(__xludf.DUMMYFUNCTION("GOOGLETRANSLATE(B31524,""en"",""pt"")"),"Padang")</f>
        <v>Padang</v>
      </c>
      <c r="B15646" s="9" t="s">
        <v>14061</v>
      </c>
      <c r="C15646" s="9" t="s">
        <v>13800</v>
      </c>
      <c r="D15646" s="9" t="s">
        <v>13872</v>
      </c>
      <c r="E15646" s="10">
        <v>1633419</v>
      </c>
      <c r="F15646" s="4" t="str">
        <f>IF(B15646=B15645,"",B15646)</f>
        <v/>
      </c>
    </row>
    <row r="15647" spans="1:6" ht="15.75" customHeight="1">
      <c r="A15647" s="16" t="s">
        <v>12760</v>
      </c>
      <c r="B15647" s="15" t="s">
        <v>12760</v>
      </c>
      <c r="C15647" s="16" t="s">
        <v>10178</v>
      </c>
      <c r="D15647" s="16" t="s">
        <v>10179</v>
      </c>
      <c r="E15647" s="2">
        <v>1260938</v>
      </c>
      <c r="F15647" s="4" t="str">
        <f>IF(B15647=B15646,"",B15647)</f>
        <v>Padampur</v>
      </c>
    </row>
    <row r="15648" spans="1:6" ht="15.75" customHeight="1">
      <c r="A15648" s="16" t="s">
        <v>12760</v>
      </c>
      <c r="B15648" s="15" t="s">
        <v>12760</v>
      </c>
      <c r="C15648" s="16" t="s">
        <v>10178</v>
      </c>
      <c r="D15648" s="16" t="s">
        <v>10229</v>
      </c>
      <c r="E15648" s="2">
        <v>1260940</v>
      </c>
      <c r="F15648" s="4" t="str">
        <f>IF(B15648=B15647,"",B15648)</f>
        <v/>
      </c>
    </row>
    <row r="15649" spans="1:6" ht="15.75" customHeight="1">
      <c r="A15649" s="8" t="str">
        <f ca="1">IFERROR(__xludf.DUMMYFUNCTION("GOOGLETRANSLATE(B32574,""en"",""pt"")"),"Padampur")</f>
        <v>Padampur</v>
      </c>
      <c r="B15649" s="9" t="s">
        <v>12760</v>
      </c>
      <c r="C15649" s="9" t="s">
        <v>10178</v>
      </c>
      <c r="D15649" s="9" t="s">
        <v>10179</v>
      </c>
      <c r="E15649" s="10">
        <v>1260938</v>
      </c>
      <c r="F15649" s="4" t="str">
        <f>IF(B15649=B15648,"",B15649)</f>
        <v/>
      </c>
    </row>
    <row r="15650" spans="1:6" ht="15.75" customHeight="1">
      <c r="A15650" s="8" t="str">
        <f ca="1">IFERROR(__xludf.DUMMYFUNCTION("GOOGLETRANSLATE(B32575,""en"",""pt"")"),"Padampur")</f>
        <v>Padampur</v>
      </c>
      <c r="B15650" s="11" t="s">
        <v>12760</v>
      </c>
      <c r="C15650" s="11" t="s">
        <v>10178</v>
      </c>
      <c r="D15650" s="11" t="s">
        <v>10229</v>
      </c>
      <c r="E15650" s="10">
        <v>1260940</v>
      </c>
      <c r="F15650" s="4" t="str">
        <f>IF(B15650=B15649,"",B15650)</f>
        <v/>
      </c>
    </row>
    <row r="15651" spans="1:6" ht="15.75" customHeight="1">
      <c r="A15651" s="15" t="s">
        <v>12759</v>
      </c>
      <c r="B15651" s="15" t="s">
        <v>12759</v>
      </c>
      <c r="C15651" s="15" t="s">
        <v>10178</v>
      </c>
      <c r="D15651" s="15" t="s">
        <v>10355</v>
      </c>
      <c r="E15651" s="2">
        <v>1260942</v>
      </c>
      <c r="F15651" s="4" t="str">
        <f>IF(B15651=B15650,"",B15651)</f>
        <v>Padam</v>
      </c>
    </row>
    <row r="15652" spans="1:6" ht="15.75" customHeight="1">
      <c r="A15652" s="8" t="str">
        <f ca="1">IFERROR(__xludf.DUMMYFUNCTION("GOOGLETRANSLATE(B32576,""en"",""pt"")"),"Padam")</f>
        <v>Padam</v>
      </c>
      <c r="B15652" s="11" t="s">
        <v>12759</v>
      </c>
      <c r="C15652" s="11" t="s">
        <v>10178</v>
      </c>
      <c r="D15652" s="11" t="s">
        <v>10355</v>
      </c>
      <c r="E15652" s="10">
        <v>1260942</v>
      </c>
      <c r="F15652" s="4" t="str">
        <f>IF(B15652=B15651,"",B15652)</f>
        <v/>
      </c>
    </row>
    <row r="15653" spans="1:6" ht="15.75" customHeight="1">
      <c r="A15653" s="16" t="s">
        <v>14060</v>
      </c>
      <c r="B15653" s="15" t="s">
        <v>14060</v>
      </c>
      <c r="C15653" s="16" t="s">
        <v>13800</v>
      </c>
      <c r="D15653" s="16" t="s">
        <v>13811</v>
      </c>
      <c r="E15653" s="2">
        <v>1963770</v>
      </c>
      <c r="F15653" s="4" t="str">
        <f>IF(B15653=B15652,"",B15653)</f>
        <v>Padalarang</v>
      </c>
    </row>
    <row r="15654" spans="1:6" ht="15.75" customHeight="1">
      <c r="A15654" s="8" t="str">
        <f ca="1">IFERROR(__xludf.DUMMYFUNCTION("GOOGLETRANSLATE(B31707,""en"",""pt"")"),"Padalarang")</f>
        <v>Padalarang</v>
      </c>
      <c r="B15654" s="11" t="s">
        <v>14060</v>
      </c>
      <c r="C15654" s="11" t="s">
        <v>13800</v>
      </c>
      <c r="D15654" s="11" t="s">
        <v>13811</v>
      </c>
      <c r="E15654" s="10">
        <v>1963770</v>
      </c>
      <c r="F15654" s="4" t="str">
        <f>IF(B15654=B15653,"",B15654)</f>
        <v/>
      </c>
    </row>
    <row r="15655" spans="1:6" ht="15.75" customHeight="1">
      <c r="A15655" s="8" t="str">
        <f ca="1">IFERROR(__xludf.DUMMYFUNCTION("GOOGLETRANSLATE(B38959,""en"",""pt"")"),"Pad īdan")</f>
        <v>Pad īdan</v>
      </c>
      <c r="B15655" s="9" t="s">
        <v>34939</v>
      </c>
      <c r="C15655" s="9" t="s">
        <v>19808</v>
      </c>
      <c r="D15655" s="9" t="s">
        <v>19823</v>
      </c>
      <c r="E15655" s="10">
        <v>1168652</v>
      </c>
      <c r="F15655" s="4" t="str">
        <f>IF(B15655=B15654,"",B15655)</f>
        <v>Pad Īdan</v>
      </c>
    </row>
    <row r="15656" spans="1:6" ht="15.75" customHeight="1">
      <c r="A15656" s="16" t="s">
        <v>20154</v>
      </c>
      <c r="B15656" s="15" t="s">
        <v>20155</v>
      </c>
      <c r="C15656" s="16" t="s">
        <v>19808</v>
      </c>
      <c r="D15656" s="16" t="s">
        <v>19823</v>
      </c>
      <c r="E15656" s="2">
        <v>1168652</v>
      </c>
      <c r="F15656" s="4" t="str">
        <f>IF(B15656=B15655,"",B15656)</f>
        <v>Pad Äªdan</v>
      </c>
    </row>
    <row r="15657" spans="1:6" ht="15.75" customHeight="1">
      <c r="A15657" s="15" t="s">
        <v>20396</v>
      </c>
      <c r="B15657" s="15" t="s">
        <v>20396</v>
      </c>
      <c r="C15657" s="15" t="s">
        <v>20370</v>
      </c>
      <c r="D15657" s="15" t="s">
        <v>20374</v>
      </c>
      <c r="E15657" s="2">
        <v>3703647</v>
      </c>
      <c r="F15657" s="4" t="str">
        <f>IF(B15657=B15656,"",B15657)</f>
        <v>Pacora</v>
      </c>
    </row>
    <row r="15658" spans="1:6" ht="15.75" customHeight="1">
      <c r="A15658" s="8" t="str">
        <f ca="1">IFERROR(__xludf.DUMMYFUNCTION("GOOGLETRANSLATE(B38285,""en"",""pt"")"),"Pacora")</f>
        <v>Pacora</v>
      </c>
      <c r="B15658" s="11" t="s">
        <v>20396</v>
      </c>
      <c r="C15658" s="11" t="s">
        <v>20370</v>
      </c>
      <c r="D15658" s="11" t="s">
        <v>20397</v>
      </c>
      <c r="E15658" s="10">
        <v>3703647</v>
      </c>
      <c r="F15658" s="4" t="str">
        <f>IF(B15658=B15657,"",B15658)</f>
        <v/>
      </c>
    </row>
    <row r="15659" spans="1:6" ht="15.75" customHeight="1">
      <c r="A15659" s="15" t="s">
        <v>20934</v>
      </c>
      <c r="B15659" s="15" t="s">
        <v>20934</v>
      </c>
      <c r="C15659" s="15" t="s">
        <v>20598</v>
      </c>
      <c r="D15659" s="15" t="s">
        <v>20627</v>
      </c>
      <c r="E15659" s="2">
        <v>1696814</v>
      </c>
      <c r="F15659" s="4" t="str">
        <f>IF(B15659=B15658,"",B15659)</f>
        <v>Pacol</v>
      </c>
    </row>
    <row r="15660" spans="1:6" ht="15.75" customHeight="1">
      <c r="A15660" s="8" t="str">
        <f ca="1">IFERROR(__xludf.DUMMYFUNCTION("GOOGLETRANSLATE(B38575,""en"",""pt"")"),"Pacol")</f>
        <v>Pacol</v>
      </c>
      <c r="B15660" s="9" t="s">
        <v>20934</v>
      </c>
      <c r="C15660" s="9" t="s">
        <v>20598</v>
      </c>
      <c r="D15660" s="9" t="s">
        <v>20627</v>
      </c>
      <c r="E15660" s="10">
        <v>1696814</v>
      </c>
      <c r="F15660" s="4" t="str">
        <f>IF(B15660=B15659,"",B15660)</f>
        <v/>
      </c>
    </row>
    <row r="15661" spans="1:6" ht="15.75" customHeight="1">
      <c r="A15661" s="8" t="str">
        <f ca="1">IFERROR(__xludf.DUMMYFUNCTION("GOOGLETRANSLATE(B39590,""en"",""pt"")"),"Paço de Arcos")</f>
        <v>Paço de Arcos</v>
      </c>
      <c r="B15661" s="11" t="s">
        <v>35294</v>
      </c>
      <c r="C15661" s="11" t="s">
        <v>21606</v>
      </c>
      <c r="D15661" s="11" t="s">
        <v>21616</v>
      </c>
      <c r="E15661" s="10">
        <v>2265326</v>
      </c>
      <c r="F15661" s="4" t="str">
        <f>IF(B15661=B15660,"",B15661)</f>
        <v>Paço de Arcos</v>
      </c>
    </row>
    <row r="15662" spans="1:6" ht="15.75" customHeight="1">
      <c r="A15662" s="15" t="s">
        <v>14059</v>
      </c>
      <c r="B15662" s="15" t="s">
        <v>14059</v>
      </c>
      <c r="C15662" s="15" t="s">
        <v>13800</v>
      </c>
      <c r="D15662" s="15" t="s">
        <v>13816</v>
      </c>
      <c r="E15662" s="2">
        <v>1633442</v>
      </c>
      <c r="F15662" s="4" t="str">
        <f>IF(B15662=B15661,"",B15662)</f>
        <v>Paciran</v>
      </c>
    </row>
    <row r="15663" spans="1:6" ht="15.75" customHeight="1">
      <c r="A15663" s="8" t="str">
        <f ca="1">IFERROR(__xludf.DUMMYFUNCTION("GOOGLETRANSLATE(B31525,""en"",""pt"")"),"Paciran")</f>
        <v>Paciran</v>
      </c>
      <c r="B15663" s="11" t="s">
        <v>14059</v>
      </c>
      <c r="C15663" s="11" t="s">
        <v>13800</v>
      </c>
      <c r="D15663" s="11" t="s">
        <v>13816</v>
      </c>
      <c r="E15663" s="10">
        <v>1633442</v>
      </c>
      <c r="F15663" s="4" t="str">
        <f>IF(B15663=B15662,"",B15663)</f>
        <v/>
      </c>
    </row>
    <row r="15664" spans="1:6" ht="15.75" customHeight="1">
      <c r="A15664" s="15" t="s">
        <v>29596</v>
      </c>
      <c r="B15664" s="15" t="s">
        <v>29596</v>
      </c>
      <c r="C15664" s="15" t="s">
        <v>27788</v>
      </c>
      <c r="D15664" s="15" t="s">
        <v>27801</v>
      </c>
      <c r="E15664" s="2">
        <v>5380420</v>
      </c>
      <c r="F15664" s="4" t="str">
        <f>IF(B15664=B15663,"",B15664)</f>
        <v>Pacifica</v>
      </c>
    </row>
    <row r="15665" spans="1:6" ht="15.75" customHeight="1">
      <c r="A15665" s="8" t="str">
        <f ca="1">IFERROR(__xludf.DUMMYFUNCTION("GOOGLETRANSLATE(B44947,""en"",""pt"")"),"Pacifica")</f>
        <v>Pacifica</v>
      </c>
      <c r="B15665" s="11" t="s">
        <v>29596</v>
      </c>
      <c r="C15665" s="11" t="s">
        <v>27788</v>
      </c>
      <c r="D15665" s="11" t="s">
        <v>27801</v>
      </c>
      <c r="E15665" s="10">
        <v>5380420</v>
      </c>
      <c r="F15665" s="4" t="str">
        <f>IF(B15665=B15664,"",B15665)</f>
        <v/>
      </c>
    </row>
    <row r="15666" spans="1:6" ht="15.75" customHeight="1">
      <c r="A15666" s="16" t="s">
        <v>29595</v>
      </c>
      <c r="B15666" s="15" t="s">
        <v>29595</v>
      </c>
      <c r="C15666" s="16" t="s">
        <v>27788</v>
      </c>
      <c r="D15666" s="16" t="s">
        <v>27801</v>
      </c>
      <c r="E15666" s="2">
        <v>5380437</v>
      </c>
      <c r="F15666" s="4" t="str">
        <f>IF(B15666=B15665,"",B15666)</f>
        <v>Pacific Grove</v>
      </c>
    </row>
    <row r="15667" spans="1:6" ht="15.75" customHeight="1">
      <c r="A15667" s="8" t="str">
        <f ca="1">IFERROR(__xludf.DUMMYFUNCTION("GOOGLETRANSLATE(B44948,""en"",""pt"")"),"Pacific Grove")</f>
        <v>Pacific Grove</v>
      </c>
      <c r="B15667" s="11" t="s">
        <v>29595</v>
      </c>
      <c r="C15667" s="11" t="s">
        <v>27788</v>
      </c>
      <c r="D15667" s="11" t="s">
        <v>27801</v>
      </c>
      <c r="E15667" s="10">
        <v>5380437</v>
      </c>
      <c r="F15667" s="4" t="str">
        <f>IF(B15667=B15666,"",B15667)</f>
        <v/>
      </c>
    </row>
    <row r="15668" spans="1:6" ht="15.75" customHeight="1">
      <c r="A15668" s="16" t="s">
        <v>18148</v>
      </c>
      <c r="B15668" s="15" t="s">
        <v>18148</v>
      </c>
      <c r="C15668" s="16" t="s">
        <v>17707</v>
      </c>
      <c r="D15668" s="16" t="s">
        <v>17729</v>
      </c>
      <c r="E15668" s="2">
        <v>3522210</v>
      </c>
      <c r="F15668" s="4" t="str">
        <f>IF(B15668=B15667,"",B15668)</f>
        <v>Pachuca de Soto</v>
      </c>
    </row>
    <row r="15669" spans="1:6" ht="15.75" customHeight="1">
      <c r="A15669" s="8" t="str">
        <f ca="1">IFERROR(__xludf.DUMMYFUNCTION("GOOGLETRANSLATE(B36957,""en"",""pt"")"),"Pachuca de Soto")</f>
        <v>Pachuca de Soto</v>
      </c>
      <c r="B15669" s="9" t="s">
        <v>18148</v>
      </c>
      <c r="C15669" s="9" t="s">
        <v>17707</v>
      </c>
      <c r="D15669" s="9" t="s">
        <v>17729</v>
      </c>
      <c r="E15669" s="10">
        <v>3522210</v>
      </c>
      <c r="F15669" s="4" t="str">
        <f>IF(B15669=B15668,"",B15669)</f>
        <v/>
      </c>
    </row>
    <row r="15670" spans="1:6" ht="15.75" customHeight="1">
      <c r="A15670" s="16" t="s">
        <v>12758</v>
      </c>
      <c r="B15670" s="15" t="s">
        <v>12758</v>
      </c>
      <c r="C15670" s="16" t="s">
        <v>10178</v>
      </c>
      <c r="D15670" s="16" t="s">
        <v>10193</v>
      </c>
      <c r="E15670" s="2">
        <v>1260954</v>
      </c>
      <c r="F15670" s="4" t="str">
        <f>IF(B15670=B15669,"",B15670)</f>
        <v>Pachperwa</v>
      </c>
    </row>
    <row r="15671" spans="1:6" ht="15.75" customHeight="1">
      <c r="A15671" s="8" t="str">
        <f ca="1">IFERROR(__xludf.DUMMYFUNCTION("GOOGLETRANSLATE(B32577,""en"",""pt"")"),"Pachperwa")</f>
        <v>Pachperwa</v>
      </c>
      <c r="B15671" s="9" t="s">
        <v>12758</v>
      </c>
      <c r="C15671" s="9" t="s">
        <v>10178</v>
      </c>
      <c r="D15671" s="9" t="s">
        <v>10193</v>
      </c>
      <c r="E15671" s="10">
        <v>1260954</v>
      </c>
      <c r="F15671" s="4" t="str">
        <f>IF(B15671=B15670,"",B15671)</f>
        <v/>
      </c>
    </row>
    <row r="15672" spans="1:6" ht="15.75" customHeight="1">
      <c r="A15672" s="8" t="str">
        <f ca="1">IFERROR(__xludf.DUMMYFUNCTION("GOOGLETRANSLATE(B32578,""en"",""pt"")"),"Pāchora")</f>
        <v>Pāchora</v>
      </c>
      <c r="B15672" s="11" t="s">
        <v>33286</v>
      </c>
      <c r="C15672" s="11" t="s">
        <v>10178</v>
      </c>
      <c r="D15672" s="11" t="s">
        <v>10214</v>
      </c>
      <c r="E15672" s="10">
        <v>1260959</v>
      </c>
      <c r="F15672" s="4" t="str">
        <f>IF(B15672=B15671,"",B15672)</f>
        <v>Pāchora</v>
      </c>
    </row>
    <row r="15673" spans="1:6" ht="15.75" customHeight="1">
      <c r="A15673" s="15" t="s">
        <v>5542</v>
      </c>
      <c r="B15673" s="15" t="s">
        <v>5542</v>
      </c>
      <c r="C15673" s="15" t="s">
        <v>5348</v>
      </c>
      <c r="D15673" s="15" t="s">
        <v>5400</v>
      </c>
      <c r="E15673" s="2">
        <v>3673424</v>
      </c>
      <c r="F15673" s="4" t="str">
        <f>IF(B15673=B15672,"",B15673)</f>
        <v>Pacho</v>
      </c>
    </row>
    <row r="15674" spans="1:6" ht="15.75" customHeight="1">
      <c r="A15674" s="8" t="str">
        <f ca="1">IFERROR(__xludf.DUMMYFUNCTION("GOOGLETRANSLATE(B26929,""en"",""pt"")"),"Pacho")</f>
        <v>Pacho</v>
      </c>
      <c r="B15674" s="11" t="s">
        <v>5542</v>
      </c>
      <c r="C15674" s="11" t="s">
        <v>5348</v>
      </c>
      <c r="D15674" s="11" t="s">
        <v>5400</v>
      </c>
      <c r="E15674" s="10">
        <v>3673424</v>
      </c>
      <c r="F15674" s="4" t="str">
        <f>IF(B15674=B15673,"",B15674)</f>
        <v/>
      </c>
    </row>
    <row r="15675" spans="1:6" ht="15.75" customHeight="1">
      <c r="A15675" s="15" t="s">
        <v>15336</v>
      </c>
      <c r="B15675" s="15" t="s">
        <v>15336</v>
      </c>
      <c r="C15675" s="15" t="s">
        <v>14891</v>
      </c>
      <c r="D15675" s="15" t="s">
        <v>14899</v>
      </c>
      <c r="E15675" s="2">
        <v>2523938</v>
      </c>
      <c r="F15675" s="4" t="str">
        <f>IF(B15675=B15674,"",B15675)</f>
        <v>Pachino</v>
      </c>
    </row>
    <row r="15676" spans="1:6" ht="15.75" customHeight="1">
      <c r="A15676" s="8" t="str">
        <f ca="1">IFERROR(__xludf.DUMMYFUNCTION("GOOGLETRANSLATE(B34571,""en"",""pt"")"),"Pachino")</f>
        <v>Pachino</v>
      </c>
      <c r="B15676" s="11" t="s">
        <v>15336</v>
      </c>
      <c r="C15676" s="11" t="s">
        <v>14891</v>
      </c>
      <c r="D15676" s="11" t="s">
        <v>14899</v>
      </c>
      <c r="E15676" s="10">
        <v>2523938</v>
      </c>
      <c r="F15676" s="4" t="str">
        <f>IF(B15676=B15675,"",B15676)</f>
        <v/>
      </c>
    </row>
    <row r="15677" spans="1:6" ht="15.75" customHeight="1">
      <c r="A15677" s="15" t="s">
        <v>29593</v>
      </c>
      <c r="B15677" s="15" t="s">
        <v>29594</v>
      </c>
      <c r="C15677" s="15" t="s">
        <v>27788</v>
      </c>
      <c r="D15677" s="15" t="s">
        <v>5468</v>
      </c>
      <c r="E15677" s="2">
        <v>4167424</v>
      </c>
      <c r="F15677" s="4" t="str">
        <f>IF(B15677=B15676,"",B15677)</f>
        <v>Pace</v>
      </c>
    </row>
    <row r="15678" spans="1:6" ht="15.75" customHeight="1">
      <c r="A15678" s="8" t="str">
        <f ca="1">IFERROR(__xludf.DUMMYFUNCTION("GOOGLETRANSLATE(B42974,""en"",""pt"")"),"Ritmo")</f>
        <v>Ritmo</v>
      </c>
      <c r="B15678" s="11" t="s">
        <v>29594</v>
      </c>
      <c r="C15678" s="11" t="s">
        <v>27788</v>
      </c>
      <c r="D15678" s="11" t="s">
        <v>5468</v>
      </c>
      <c r="E15678" s="10">
        <v>4167424</v>
      </c>
      <c r="F15678" s="4" t="str">
        <f>IF(B15678=B15677,"",B15678)</f>
        <v/>
      </c>
    </row>
    <row r="15679" spans="1:6" ht="15.75" customHeight="1">
      <c r="A15679" s="15" t="s">
        <v>3010</v>
      </c>
      <c r="B15679" s="15" t="s">
        <v>3010</v>
      </c>
      <c r="C15679" s="15" t="s">
        <v>1905</v>
      </c>
      <c r="D15679" s="15" t="s">
        <v>1930</v>
      </c>
      <c r="E15679" s="2">
        <v>3393400</v>
      </c>
      <c r="F15679" s="4" t="str">
        <f>IF(B15679=B15678,"",B15679)</f>
        <v>Pacatuba</v>
      </c>
    </row>
    <row r="15680" spans="1:6" ht="15.75" customHeight="1">
      <c r="A15680" s="8" t="str">
        <f ca="1">IFERROR(__xludf.DUMMYFUNCTION("GOOGLETRANSLATE(B24247,""en"",""pt"")"),"Pacatuba")</f>
        <v>Pacatuba</v>
      </c>
      <c r="B15680" s="11" t="s">
        <v>3010</v>
      </c>
      <c r="C15680" s="11" t="s">
        <v>1905</v>
      </c>
      <c r="D15680" s="11" t="s">
        <v>31345</v>
      </c>
      <c r="E15680" s="10">
        <v>3393400</v>
      </c>
      <c r="F15680" s="4" t="str">
        <f>IF(B15680=B15679,"",B15680)</f>
        <v/>
      </c>
    </row>
    <row r="15681" spans="1:6" ht="15.75" customHeight="1">
      <c r="A15681" s="16" t="s">
        <v>20552</v>
      </c>
      <c r="B15681" s="15" t="s">
        <v>20552</v>
      </c>
      <c r="C15681" s="16" t="s">
        <v>20470</v>
      </c>
      <c r="D15681" s="16" t="s">
        <v>6435</v>
      </c>
      <c r="E15681" s="2">
        <v>3694178</v>
      </c>
      <c r="F15681" s="4" t="str">
        <f>IF(B15681=B15680,"",B15681)</f>
        <v>Pacasmayo</v>
      </c>
    </row>
    <row r="15682" spans="1:6" ht="15.75" customHeight="1">
      <c r="A15682" s="8" t="str">
        <f ca="1">IFERROR(__xludf.DUMMYFUNCTION("GOOGLETRANSLATE(B38323,""en"",""pt"")"),"Pacasmayo")</f>
        <v>Pacasmayo</v>
      </c>
      <c r="B15682" s="11" t="s">
        <v>20552</v>
      </c>
      <c r="C15682" s="11" t="s">
        <v>20470</v>
      </c>
      <c r="D15682" s="11" t="s">
        <v>6435</v>
      </c>
      <c r="E15682" s="10">
        <v>3694178</v>
      </c>
      <c r="F15682" s="4" t="str">
        <f>IF(B15682=B15681,"",B15682)</f>
        <v/>
      </c>
    </row>
    <row r="15683" spans="1:6" ht="15.75" customHeight="1">
      <c r="A15683" s="15" t="s">
        <v>3009</v>
      </c>
      <c r="B15683" s="15" t="s">
        <v>3009</v>
      </c>
      <c r="C15683" s="15" t="s">
        <v>1905</v>
      </c>
      <c r="D15683" s="15" t="s">
        <v>1930</v>
      </c>
      <c r="E15683" s="2">
        <v>3393409</v>
      </c>
      <c r="F15683" s="4" t="str">
        <f>IF(B15683=B15682,"",B15683)</f>
        <v>Pacajus</v>
      </c>
    </row>
    <row r="15684" spans="1:6" ht="15.75" customHeight="1">
      <c r="A15684" s="8" t="str">
        <f ca="1">IFERROR(__xludf.DUMMYFUNCTION("GOOGLETRANSLATE(B24248,""en"",""pt"")"),"Pacajus")</f>
        <v>Pacajus</v>
      </c>
      <c r="B15684" s="11" t="s">
        <v>3009</v>
      </c>
      <c r="C15684" s="11" t="s">
        <v>1905</v>
      </c>
      <c r="D15684" s="11" t="s">
        <v>31345</v>
      </c>
      <c r="E15684" s="10">
        <v>3393409</v>
      </c>
      <c r="F15684" s="4" t="str">
        <f>IF(B15684=B15683,"",B15684)</f>
        <v/>
      </c>
    </row>
    <row r="15685" spans="1:6" ht="15.75" customHeight="1">
      <c r="A15685" s="8" t="str">
        <f ca="1">IFERROR(__xludf.DUMMYFUNCTION("GOOGLETRANSLATE(B23777,""en"",""pt"")"),"Pābna")</f>
        <v>Pābna</v>
      </c>
      <c r="B15685" s="9" t="s">
        <v>31301</v>
      </c>
      <c r="C15685" s="9" t="s">
        <v>1296</v>
      </c>
      <c r="D15685" s="9" t="s">
        <v>31259</v>
      </c>
      <c r="E15685" s="10">
        <v>1336143</v>
      </c>
      <c r="F15685" s="4" t="str">
        <f>IF(B15685=B15684,"",B15685)</f>
        <v>Pābna</v>
      </c>
    </row>
    <row r="15686" spans="1:6" ht="15.75" customHeight="1">
      <c r="A15686" s="15" t="s">
        <v>21417</v>
      </c>
      <c r="B15686" s="15" t="s">
        <v>21417</v>
      </c>
      <c r="C15686" s="15" t="s">
        <v>21064</v>
      </c>
      <c r="D15686" s="15" t="s">
        <v>21080</v>
      </c>
      <c r="E15686" s="2">
        <v>3089578</v>
      </c>
      <c r="F15686" s="4" t="str">
        <f>IF(B15686=B15685,"",B15686)</f>
        <v>Pabianice</v>
      </c>
    </row>
    <row r="15687" spans="1:6" ht="15.75" customHeight="1">
      <c r="A15687" s="8" t="str">
        <f ca="1">IFERROR(__xludf.DUMMYFUNCTION("GOOGLETRANSLATE(B39382,""en"",""pt"")"),"Pabianice")</f>
        <v>Pabianice</v>
      </c>
      <c r="B15687" s="9" t="s">
        <v>21417</v>
      </c>
      <c r="C15687" s="9" t="s">
        <v>21064</v>
      </c>
      <c r="D15687" s="9" t="s">
        <v>35071</v>
      </c>
      <c r="E15687" s="10">
        <v>3089578</v>
      </c>
      <c r="F15687" s="4" t="str">
        <f>IF(B15687=B15686,"",B15687)</f>
        <v/>
      </c>
    </row>
    <row r="15688" spans="1:6" ht="15.75" customHeight="1">
      <c r="A15688" s="15" t="s">
        <v>20153</v>
      </c>
      <c r="B15688" s="15" t="s">
        <v>20153</v>
      </c>
      <c r="C15688" s="15" t="s">
        <v>19808</v>
      </c>
      <c r="D15688" s="15" t="s">
        <v>19811</v>
      </c>
      <c r="E15688" s="2">
        <v>1168680</v>
      </c>
      <c r="F15688" s="4" t="str">
        <f>IF(B15688=B15687,"",B15688)</f>
        <v>Pabbi</v>
      </c>
    </row>
    <row r="15689" spans="1:6" ht="15.75" customHeight="1">
      <c r="A15689" s="8" t="str">
        <f ca="1">IFERROR(__xludf.DUMMYFUNCTION("GOOGLETRANSLATE(B38960,""en"",""pt"")"),"Pabbi")</f>
        <v>Pabbi</v>
      </c>
      <c r="B15689" s="9" t="s">
        <v>20153</v>
      </c>
      <c r="C15689" s="9" t="s">
        <v>19808</v>
      </c>
      <c r="D15689" s="9" t="s">
        <v>19811</v>
      </c>
      <c r="E15689" s="10">
        <v>1168680</v>
      </c>
      <c r="F15689" s="4" t="str">
        <f>IF(B15689=B15688,"",B15689)</f>
        <v/>
      </c>
    </row>
    <row r="15690" spans="1:6" ht="15.75" customHeight="1">
      <c r="A15690" s="15" t="s">
        <v>21980</v>
      </c>
      <c r="B15690" s="15" t="s">
        <v>21981</v>
      </c>
      <c r="C15690" s="15" t="s">
        <v>21824</v>
      </c>
      <c r="D15690" s="15" t="s">
        <v>21946</v>
      </c>
      <c r="E15690" s="2">
        <v>6945426</v>
      </c>
      <c r="F15690" s="4" t="str">
        <f>IF(B15690=B15689,"",B15690)</f>
        <v>PaÅŸcani</v>
      </c>
    </row>
    <row r="15691" spans="1:6" ht="15.75" customHeight="1">
      <c r="A15691" s="15" t="s">
        <v>23948</v>
      </c>
      <c r="B15691" s="15" t="s">
        <v>23948</v>
      </c>
      <c r="C15691" s="15" t="s">
        <v>23842</v>
      </c>
      <c r="D15691" s="15" t="s">
        <v>23847</v>
      </c>
      <c r="E15691" s="2">
        <v>3363094</v>
      </c>
      <c r="F15691" s="4" t="str">
        <f>IF(B15691=B15690,"",B15691)</f>
        <v>Paarl</v>
      </c>
    </row>
    <row r="15692" spans="1:6" ht="15.75" customHeight="1">
      <c r="A15692" s="8" t="str">
        <f ca="1">IFERROR(__xludf.DUMMYFUNCTION("GOOGLETRANSLATE(B45990,""en"",""pt"")"),"Paarl")</f>
        <v>Paarl</v>
      </c>
      <c r="B15692" s="11" t="s">
        <v>23948</v>
      </c>
      <c r="C15692" s="11" t="s">
        <v>23842</v>
      </c>
      <c r="D15692" s="11" t="s">
        <v>23847</v>
      </c>
      <c r="E15692" s="10">
        <v>3363094</v>
      </c>
      <c r="F15692" s="4" t="str">
        <f>IF(B15692=B15691,"",B15692)</f>
        <v/>
      </c>
    </row>
    <row r="15693" spans="1:6" ht="15.75" customHeight="1">
      <c r="A15693" s="16" t="s">
        <v>21701</v>
      </c>
      <c r="B15693" s="15" t="s">
        <v>21702</v>
      </c>
      <c r="C15693" s="16" t="s">
        <v>21606</v>
      </c>
      <c r="D15693" s="16" t="s">
        <v>21616</v>
      </c>
      <c r="E15693" s="2">
        <v>2265326</v>
      </c>
      <c r="F15693" s="4" t="str">
        <f>IF(B15693=B15692,"",B15693)</f>
        <v>PaÃ§o de Arcos</v>
      </c>
    </row>
    <row r="15694" spans="1:6" ht="15.75" customHeight="1">
      <c r="A15694" s="15" t="s">
        <v>3852</v>
      </c>
      <c r="B15694" s="15" t="s">
        <v>3853</v>
      </c>
      <c r="C15694" s="15" t="s">
        <v>3838</v>
      </c>
      <c r="D15694" s="15" t="s">
        <v>3854</v>
      </c>
      <c r="E15694" s="2">
        <v>1830194</v>
      </c>
      <c r="F15694" s="4" t="str">
        <f>IF(B15694=B15693,"",B15694)</f>
        <v>PaÃ´y PÃªt</v>
      </c>
    </row>
    <row r="15695" spans="1:6" ht="15.75" customHeight="1">
      <c r="A15695" s="16" t="s">
        <v>17189</v>
      </c>
      <c r="B15695" s="15" t="s">
        <v>17190</v>
      </c>
      <c r="C15695" s="16" t="s">
        <v>17154</v>
      </c>
      <c r="D15695" s="16" t="s">
        <v>17155</v>
      </c>
      <c r="E15695" s="2">
        <v>10062599</v>
      </c>
      <c r="F15695" s="4" t="str">
        <f>IF(B15695=B15694,"",B15695)</f>
        <v>PaÅ¡ilaiÄiai</v>
      </c>
    </row>
    <row r="15696" spans="1:6" ht="15.75" customHeight="1">
      <c r="A15696" s="16" t="s">
        <v>21699</v>
      </c>
      <c r="B15696" s="15" t="s">
        <v>21700</v>
      </c>
      <c r="C15696" s="16" t="s">
        <v>21606</v>
      </c>
      <c r="D15696" s="16" t="s">
        <v>21609</v>
      </c>
      <c r="E15696" s="2">
        <v>2735787</v>
      </c>
      <c r="F15696" s="4" t="str">
        <f>IF(B15696=B15695,"",B15696)</f>
        <v>PÃ³voa de Varzim</v>
      </c>
    </row>
    <row r="15697" spans="1:6" ht="15.75" customHeight="1">
      <c r="A15697" s="16" t="s">
        <v>21697</v>
      </c>
      <c r="B15697" s="15" t="s">
        <v>21698</v>
      </c>
      <c r="C15697" s="16" t="s">
        <v>21606</v>
      </c>
      <c r="D15697" s="16" t="s">
        <v>21616</v>
      </c>
      <c r="E15697" s="2">
        <v>2264359</v>
      </c>
      <c r="F15697" s="4" t="str">
        <f>IF(B15697=B15696,"",B15697)</f>
        <v>PÃ³voa de Santa Iria</v>
      </c>
    </row>
    <row r="15698" spans="1:6" ht="15.75" customHeight="1">
      <c r="A15698" s="16" t="s">
        <v>18146</v>
      </c>
      <c r="B15698" s="15" t="s">
        <v>18147</v>
      </c>
      <c r="C15698" s="16" t="s">
        <v>17707</v>
      </c>
      <c r="D15698" s="16" t="s">
        <v>17932</v>
      </c>
      <c r="E15698" s="2">
        <v>8858094</v>
      </c>
      <c r="F15698" s="4" t="str">
        <f>IF(B15698=B15697,"",B15698)</f>
        <v>PÃ³rticos de San Antonio</v>
      </c>
    </row>
    <row r="15699" spans="1:6" ht="15.75" customHeight="1">
      <c r="A15699" s="15" t="s">
        <v>9609</v>
      </c>
      <c r="B15699" s="15" t="s">
        <v>9610</v>
      </c>
      <c r="C15699" s="15" t="s">
        <v>9441</v>
      </c>
      <c r="D15699" s="15" t="s">
        <v>9459</v>
      </c>
      <c r="E15699" s="2">
        <v>255229</v>
      </c>
      <c r="F15699" s="4" t="str">
        <f>IF(B15699=B15698,"",B15699)</f>
        <v>PÃ½rgos</v>
      </c>
    </row>
    <row r="15700" spans="1:6" ht="15.75" customHeight="1">
      <c r="A15700" s="16" t="s">
        <v>8979</v>
      </c>
      <c r="B15700" s="15" t="s">
        <v>8980</v>
      </c>
      <c r="C15700" s="16" t="s">
        <v>8028</v>
      </c>
      <c r="D15700" s="16" t="s">
        <v>8177</v>
      </c>
      <c r="E15700" s="2">
        <v>2851584</v>
      </c>
      <c r="F15700" s="4" t="str">
        <f>IF(B15700=B15699,"",B15700)</f>
        <v>PÃ¼ttlingen</v>
      </c>
    </row>
    <row r="15701" spans="1:6" ht="15.75" customHeight="1">
      <c r="A15701" s="16" t="s">
        <v>10122</v>
      </c>
      <c r="B15701" s="15" t="s">
        <v>10123</v>
      </c>
      <c r="C15701" s="16" t="s">
        <v>9955</v>
      </c>
      <c r="D15701" s="16" t="s">
        <v>9975</v>
      </c>
      <c r="E15701" s="2">
        <v>716301</v>
      </c>
      <c r="F15701" s="4" t="str">
        <f>IF(B15701=B15700,"",B15701)</f>
        <v>PÃ¼spÃ¶kladÃ¡ny</v>
      </c>
    </row>
    <row r="15702" spans="1:6" ht="15.75" customHeight="1">
      <c r="A15702" s="16" t="s">
        <v>12756</v>
      </c>
      <c r="B15702" s="15" t="s">
        <v>12757</v>
      </c>
      <c r="C15702" s="16" t="s">
        <v>10178</v>
      </c>
      <c r="D15702" s="16" t="s">
        <v>10252</v>
      </c>
      <c r="E15702" s="2">
        <v>1260014</v>
      </c>
      <c r="F15702" s="4" t="str">
        <f>IF(B15702=B15701,"",B15702)</f>
        <v>PÄvugada</v>
      </c>
    </row>
    <row r="15703" spans="1:6" ht="15.75" customHeight="1">
      <c r="A15703" s="15" t="s">
        <v>14491</v>
      </c>
      <c r="B15703" s="15" t="s">
        <v>14492</v>
      </c>
      <c r="C15703" s="15" t="s">
        <v>14240</v>
      </c>
      <c r="D15703" s="15" t="s">
        <v>14401</v>
      </c>
      <c r="E15703" s="2">
        <v>121240</v>
      </c>
      <c r="F15703" s="4" t="str">
        <f>IF(B15703=B15702,"",B15703)</f>
        <v>PÄveh</v>
      </c>
    </row>
    <row r="15704" spans="1:6" ht="15.75" customHeight="1">
      <c r="A15704" s="15" t="s">
        <v>12754</v>
      </c>
      <c r="B15704" s="15" t="s">
        <v>12755</v>
      </c>
      <c r="C15704" s="15" t="s">
        <v>10178</v>
      </c>
      <c r="D15704" s="15" t="s">
        <v>10214</v>
      </c>
      <c r="E15704" s="2">
        <v>1260120</v>
      </c>
      <c r="F15704" s="4" t="str">
        <f>IF(B15704=B15703,"",B15704)</f>
        <v>PÄthri</v>
      </c>
    </row>
    <row r="15705" spans="1:6" ht="15.75" customHeight="1">
      <c r="A15705" s="16" t="s">
        <v>12752</v>
      </c>
      <c r="B15705" s="15" t="s">
        <v>12753</v>
      </c>
      <c r="C15705" s="16" t="s">
        <v>10178</v>
      </c>
      <c r="D15705" s="16" t="s">
        <v>10430</v>
      </c>
      <c r="E15705" s="2">
        <v>1260134</v>
      </c>
      <c r="F15705" s="4" t="str">
        <f>IF(B15705=B15704,"",B15705)</f>
        <v>PÄthardih</v>
      </c>
    </row>
    <row r="15706" spans="1:6" ht="15.75" customHeight="1">
      <c r="A15706" s="15" t="s">
        <v>12750</v>
      </c>
      <c r="B15706" s="15" t="s">
        <v>12751</v>
      </c>
      <c r="C15706" s="15" t="s">
        <v>10178</v>
      </c>
      <c r="D15706" s="15" t="s">
        <v>10214</v>
      </c>
      <c r="E15706" s="2">
        <v>1260135</v>
      </c>
      <c r="F15706" s="4" t="str">
        <f>IF(B15706=B15705,"",B15706)</f>
        <v>PÄthardi</v>
      </c>
    </row>
    <row r="15707" spans="1:6" ht="15.75" customHeight="1">
      <c r="A15707" s="15" t="s">
        <v>12748</v>
      </c>
      <c r="B15707" s="15" t="s">
        <v>12749</v>
      </c>
      <c r="C15707" s="15" t="s">
        <v>10178</v>
      </c>
      <c r="D15707" s="15" t="s">
        <v>10209</v>
      </c>
      <c r="E15707" s="2">
        <v>1260173</v>
      </c>
      <c r="F15707" s="4" t="str">
        <f>IF(B15707=B15706,"",B15707)</f>
        <v>PÄtan</v>
      </c>
    </row>
    <row r="15708" spans="1:6" ht="15.75" customHeight="1">
      <c r="A15708" s="15" t="s">
        <v>12748</v>
      </c>
      <c r="B15708" s="15" t="s">
        <v>12749</v>
      </c>
      <c r="C15708" s="15" t="s">
        <v>18800</v>
      </c>
      <c r="D15708" s="15" t="s">
        <v>17414</v>
      </c>
      <c r="E15708" s="2">
        <v>1282931</v>
      </c>
      <c r="F15708" s="4" t="str">
        <f>IF(B15708=B15707,"",B15708)</f>
        <v/>
      </c>
    </row>
    <row r="15709" spans="1:6" ht="15.75" customHeight="1">
      <c r="A15709" s="15" t="s">
        <v>12746</v>
      </c>
      <c r="B15709" s="15" t="s">
        <v>12747</v>
      </c>
      <c r="C15709" s="15" t="s">
        <v>10178</v>
      </c>
      <c r="D15709" s="15" t="s">
        <v>10214</v>
      </c>
      <c r="E15709" s="2">
        <v>1260035</v>
      </c>
      <c r="F15709" s="4" t="str">
        <f>IF(B15709=B15708,"",B15709)</f>
        <v>PÄtÅ«r</v>
      </c>
    </row>
    <row r="15710" spans="1:6" ht="15.75" customHeight="1">
      <c r="A15710" s="16" t="s">
        <v>12744</v>
      </c>
      <c r="B15710" s="15" t="s">
        <v>12745</v>
      </c>
      <c r="C15710" s="16" t="s">
        <v>10178</v>
      </c>
      <c r="D15710" s="16" t="s">
        <v>10304</v>
      </c>
      <c r="E15710" s="2">
        <v>1260206</v>
      </c>
      <c r="F15710" s="4" t="str">
        <f>IF(B15710=B15709,"",B15710)</f>
        <v>PÄsighÄt</v>
      </c>
    </row>
    <row r="15711" spans="1:6" ht="15.75" customHeight="1">
      <c r="A15711" s="16" t="s">
        <v>12742</v>
      </c>
      <c r="B15711" s="15" t="s">
        <v>12743</v>
      </c>
      <c r="C15711" s="16" t="s">
        <v>10178</v>
      </c>
      <c r="D15711" s="16" t="s">
        <v>10190</v>
      </c>
      <c r="E15711" s="2">
        <v>1260222</v>
      </c>
      <c r="F15711" s="4" t="str">
        <f>IF(B15711=B15710,"",B15711)</f>
        <v>PÄrvatipuram</v>
      </c>
    </row>
    <row r="15712" spans="1:6" ht="15.75" customHeight="1">
      <c r="A15712" s="16" t="s">
        <v>14489</v>
      </c>
      <c r="B15712" s="15" t="s">
        <v>14490</v>
      </c>
      <c r="C15712" s="16" t="s">
        <v>14240</v>
      </c>
      <c r="D15712" s="16" t="s">
        <v>14288</v>
      </c>
      <c r="E15712" s="2">
        <v>121380</v>
      </c>
      <c r="F15712" s="4" t="str">
        <f>IF(B15712=B15711,"",B15712)</f>
        <v>PÄrsÄbÄd</v>
      </c>
    </row>
    <row r="15713" spans="1:6" ht="15.75" customHeight="1">
      <c r="A15713" s="15" t="s">
        <v>12740</v>
      </c>
      <c r="B15713" s="15" t="s">
        <v>12741</v>
      </c>
      <c r="C15713" s="15" t="s">
        <v>10178</v>
      </c>
      <c r="D15713" s="15" t="s">
        <v>10209</v>
      </c>
      <c r="E15713" s="2">
        <v>1260335</v>
      </c>
      <c r="F15713" s="4" t="str">
        <f>IF(B15713=B15712,"",B15713)</f>
        <v>PÄrdi</v>
      </c>
    </row>
    <row r="15714" spans="1:6" ht="15.75" customHeight="1">
      <c r="A15714" s="16" t="s">
        <v>1406</v>
      </c>
      <c r="B15714" s="15" t="s">
        <v>1407</v>
      </c>
      <c r="C15714" s="16" t="s">
        <v>1296</v>
      </c>
      <c r="D15714" s="16" t="s">
        <v>1310</v>
      </c>
      <c r="E15714" s="2">
        <v>1192366</v>
      </c>
      <c r="F15714" s="4" t="str">
        <f>IF(B15714=B15713,"",B15714)</f>
        <v>PÄr Naogaon</v>
      </c>
    </row>
    <row r="15715" spans="1:6" ht="15.75" customHeight="1">
      <c r="A15715" s="16" t="s">
        <v>12738</v>
      </c>
      <c r="B15715" s="15" t="s">
        <v>12739</v>
      </c>
      <c r="C15715" s="16" t="s">
        <v>10178</v>
      </c>
      <c r="D15715" s="16" t="s">
        <v>10246</v>
      </c>
      <c r="E15715" s="2">
        <v>1260406</v>
      </c>
      <c r="F15715" s="4" t="str">
        <f>IF(B15715=B15714,"",B15715)</f>
        <v>PÄppinisshÄ“ri</v>
      </c>
    </row>
    <row r="15716" spans="1:6" ht="15.75" customHeight="1">
      <c r="A15716" s="16" t="s">
        <v>12736</v>
      </c>
      <c r="B15716" s="15" t="s">
        <v>12737</v>
      </c>
      <c r="C15716" s="16" t="s">
        <v>10178</v>
      </c>
      <c r="D15716" s="16" t="s">
        <v>10538</v>
      </c>
      <c r="E15716" s="2">
        <v>1260421</v>
      </c>
      <c r="F15716" s="4" t="str">
        <f>IF(B15716=B15715,"",B15716)</f>
        <v>PÄonta SÄhib</v>
      </c>
    </row>
    <row r="15717" spans="1:6" ht="15.75" customHeight="1">
      <c r="A15717" s="16" t="s">
        <v>20151</v>
      </c>
      <c r="B15717" s="15" t="s">
        <v>20152</v>
      </c>
      <c r="C15717" s="16" t="s">
        <v>19808</v>
      </c>
      <c r="D15717" s="16" t="s">
        <v>19823</v>
      </c>
      <c r="E15717" s="2">
        <v>1168412</v>
      </c>
      <c r="F15717" s="4" t="str">
        <f>IF(B15717=B15716,"",B15717)</f>
        <v>PÄno Ä€qil</v>
      </c>
    </row>
    <row r="15718" spans="1:6" ht="15.75" customHeight="1">
      <c r="A15718" s="15" t="s">
        <v>12734</v>
      </c>
      <c r="B15718" s="15" t="s">
        <v>12735</v>
      </c>
      <c r="C15718" s="15" t="s">
        <v>10178</v>
      </c>
      <c r="D15718" s="15" t="s">
        <v>10201</v>
      </c>
      <c r="E15718" s="2">
        <v>1260482</v>
      </c>
      <c r="F15718" s="4" t="str">
        <f>IF(B15718=B15717,"",B15718)</f>
        <v>PÄnihÄti</v>
      </c>
    </row>
    <row r="15719" spans="1:6" ht="15.75" customHeight="1">
      <c r="A15719" s="16" t="s">
        <v>12732</v>
      </c>
      <c r="B15719" s="15" t="s">
        <v>12733</v>
      </c>
      <c r="C15719" s="16" t="s">
        <v>10178</v>
      </c>
      <c r="D15719" s="16" t="s">
        <v>10219</v>
      </c>
      <c r="E15719" s="2">
        <v>1260543</v>
      </c>
      <c r="F15719" s="4" t="str">
        <f>IF(B15719=B15718,"",B15719)</f>
        <v>PÄndhurnÄ</v>
      </c>
    </row>
    <row r="15720" spans="1:6" ht="15.75" customHeight="1">
      <c r="A15720" s="15" t="s">
        <v>12730</v>
      </c>
      <c r="B15720" s="15" t="s">
        <v>12731</v>
      </c>
      <c r="C15720" s="15" t="s">
        <v>10178</v>
      </c>
      <c r="D15720" s="15" t="s">
        <v>10201</v>
      </c>
      <c r="E15720" s="2">
        <v>1348785</v>
      </c>
      <c r="F15720" s="4" t="str">
        <f>IF(B15720=B15719,"",B15720)</f>
        <v>PÄnchla</v>
      </c>
    </row>
    <row r="15721" spans="1:6" ht="15.75" customHeight="1">
      <c r="A15721" s="16" t="s">
        <v>12728</v>
      </c>
      <c r="B15721" s="15" t="s">
        <v>12729</v>
      </c>
      <c r="C15721" s="16" t="s">
        <v>10178</v>
      </c>
      <c r="D15721" s="16" t="s">
        <v>10224</v>
      </c>
      <c r="E15721" s="2">
        <v>1260476</v>
      </c>
      <c r="F15721" s="4" t="str">
        <f>IF(B15721=B15720,"",B15721)</f>
        <v>PÄnÄ«pat</v>
      </c>
    </row>
    <row r="15722" spans="1:6" ht="15.75" customHeight="1">
      <c r="A15722" s="16" t="s">
        <v>12726</v>
      </c>
      <c r="B15722" s="15" t="s">
        <v>12727</v>
      </c>
      <c r="C15722" s="16" t="s">
        <v>10178</v>
      </c>
      <c r="D15722" s="16" t="s">
        <v>10187</v>
      </c>
      <c r="E15722" s="2">
        <v>1260667</v>
      </c>
      <c r="F15722" s="4" t="str">
        <f>IF(B15722=B15721,"",B15722)</f>
        <v>PÄloncha</v>
      </c>
    </row>
    <row r="15723" spans="1:6" ht="15.75" customHeight="1">
      <c r="A15723" s="16" t="s">
        <v>12724</v>
      </c>
      <c r="B15723" s="15" t="s">
        <v>12725</v>
      </c>
      <c r="C15723" s="16" t="s">
        <v>10178</v>
      </c>
      <c r="D15723" s="16" t="s">
        <v>10190</v>
      </c>
      <c r="E15723" s="2">
        <v>1260702</v>
      </c>
      <c r="F15723" s="4" t="str">
        <f>IF(B15723=B15722,"",B15723)</f>
        <v>PÄlkonda</v>
      </c>
    </row>
    <row r="15724" spans="1:6" ht="15.75" customHeight="1">
      <c r="A15724" s="15" t="s">
        <v>12722</v>
      </c>
      <c r="B15724" s="15" t="s">
        <v>12723</v>
      </c>
      <c r="C15724" s="15" t="s">
        <v>10178</v>
      </c>
      <c r="D15724" s="15" t="s">
        <v>10209</v>
      </c>
      <c r="E15724" s="2">
        <v>1260707</v>
      </c>
      <c r="F15724" s="4" t="str">
        <f>IF(B15724=B15723,"",B15724)</f>
        <v>PÄlitÄna</v>
      </c>
    </row>
    <row r="15725" spans="1:6" ht="15.75" customHeight="1">
      <c r="A15725" s="15" t="s">
        <v>12720</v>
      </c>
      <c r="B15725" s="15" t="s">
        <v>12721</v>
      </c>
      <c r="C15725" s="15" t="s">
        <v>10178</v>
      </c>
      <c r="D15725" s="15" t="s">
        <v>10179</v>
      </c>
      <c r="E15725" s="2">
        <v>1260716</v>
      </c>
      <c r="F15725" s="4" t="str">
        <f>IF(B15725=B15724,"",B15725)</f>
        <v>PÄli</v>
      </c>
    </row>
    <row r="15726" spans="1:6" ht="15.75" customHeight="1">
      <c r="A15726" s="15" t="s">
        <v>12720</v>
      </c>
      <c r="B15726" s="15" t="s">
        <v>12721</v>
      </c>
      <c r="C15726" s="15" t="s">
        <v>10178</v>
      </c>
      <c r="D15726" s="15" t="s">
        <v>10219</v>
      </c>
      <c r="E15726" s="2">
        <v>1260718</v>
      </c>
      <c r="F15726" s="4" t="str">
        <f>IF(B15726=B15725,"",B15726)</f>
        <v/>
      </c>
    </row>
    <row r="15727" spans="1:6" ht="15.75" customHeight="1">
      <c r="A15727" s="15" t="s">
        <v>12718</v>
      </c>
      <c r="B15727" s="15" t="s">
        <v>12719</v>
      </c>
      <c r="C15727" s="15" t="s">
        <v>10178</v>
      </c>
      <c r="D15727" s="15" t="s">
        <v>10214</v>
      </c>
      <c r="E15727" s="2">
        <v>1260730</v>
      </c>
      <c r="F15727" s="4" t="str">
        <f>IF(B15727=B15726,"",B15727)</f>
        <v>PÄlghar</v>
      </c>
    </row>
    <row r="15728" spans="1:6" ht="15.75" customHeight="1">
      <c r="A15728" s="16" t="s">
        <v>12716</v>
      </c>
      <c r="B15728" s="15" t="s">
        <v>12717</v>
      </c>
      <c r="C15728" s="16" t="s">
        <v>10178</v>
      </c>
      <c r="D15728" s="16" t="s">
        <v>10209</v>
      </c>
      <c r="E15728" s="2">
        <v>1260777</v>
      </c>
      <c r="F15728" s="4" t="str">
        <f>IF(B15728=B15727,"",B15728)</f>
        <v>PÄlanpur</v>
      </c>
    </row>
    <row r="15729" spans="1:6" ht="15.75" customHeight="1">
      <c r="A15729" s="15" t="s">
        <v>1404</v>
      </c>
      <c r="B15729" s="15" t="s">
        <v>1405</v>
      </c>
      <c r="C15729" s="15" t="s">
        <v>1296</v>
      </c>
      <c r="D15729" s="15" t="s">
        <v>1297</v>
      </c>
      <c r="E15729" s="2">
        <v>1191368</v>
      </c>
      <c r="F15729" s="4" t="str">
        <f>IF(B15729=B15728,"",B15729)</f>
        <v>PÄlang</v>
      </c>
    </row>
    <row r="15730" spans="1:6" ht="15.75" customHeight="1">
      <c r="A15730" s="16" t="s">
        <v>12714</v>
      </c>
      <c r="B15730" s="15" t="s">
        <v>12715</v>
      </c>
      <c r="C15730" s="16" t="s">
        <v>10178</v>
      </c>
      <c r="D15730" s="16" t="s">
        <v>10190</v>
      </c>
      <c r="E15730" s="2">
        <v>1260792</v>
      </c>
      <c r="F15730" s="4" t="str">
        <f>IF(B15730=B15729,"",B15730)</f>
        <v>PÄlakollu</v>
      </c>
    </row>
    <row r="15731" spans="1:6" ht="15.75" customHeight="1">
      <c r="A15731" s="16" t="s">
        <v>12712</v>
      </c>
      <c r="B15731" s="15" t="s">
        <v>12713</v>
      </c>
      <c r="C15731" s="16" t="s">
        <v>10178</v>
      </c>
      <c r="D15731" s="16" t="s">
        <v>10196</v>
      </c>
      <c r="E15731" s="2">
        <v>1260793</v>
      </c>
      <c r="F15731" s="4" t="str">
        <f>IF(B15731=B15730,"",B15731)</f>
        <v>PÄlakkodu</v>
      </c>
    </row>
    <row r="15732" spans="1:6" ht="15.75" customHeight="1">
      <c r="A15732" s="16" t="s">
        <v>20149</v>
      </c>
      <c r="B15732" s="15" t="s">
        <v>20150</v>
      </c>
      <c r="C15732" s="16" t="s">
        <v>19808</v>
      </c>
      <c r="D15732" s="16" t="s">
        <v>10184</v>
      </c>
      <c r="E15732" s="2">
        <v>1168555</v>
      </c>
      <c r="F15732" s="4" t="str">
        <f>IF(B15732=B15731,"",B15732)</f>
        <v>PÄkpattan</v>
      </c>
    </row>
    <row r="15733" spans="1:6" ht="15.75" customHeight="1">
      <c r="A15733" s="15" t="s">
        <v>12710</v>
      </c>
      <c r="B15733" s="15" t="s">
        <v>12711</v>
      </c>
      <c r="C15733" s="15" t="s">
        <v>10178</v>
      </c>
      <c r="D15733" s="15" t="s">
        <v>10430</v>
      </c>
      <c r="E15733" s="2">
        <v>1260824</v>
      </c>
      <c r="F15733" s="4" t="str">
        <f>IF(B15733=B15732,"",B15733)</f>
        <v>PÄkaur</v>
      </c>
    </row>
    <row r="15734" spans="1:6" ht="15.75" customHeight="1">
      <c r="A15734" s="15" t="s">
        <v>12708</v>
      </c>
      <c r="B15734" s="15" t="s">
        <v>12709</v>
      </c>
      <c r="C15734" s="15" t="s">
        <v>10178</v>
      </c>
      <c r="D15734" s="15" t="s">
        <v>10190</v>
      </c>
      <c r="E15734" s="2">
        <v>1260830</v>
      </c>
      <c r="F15734" s="4" t="str">
        <f>IF(B15734=B15733,"",B15734)</f>
        <v>PÄkÄla</v>
      </c>
    </row>
    <row r="15735" spans="1:6" ht="15.75" customHeight="1">
      <c r="A15735" s="15" t="s">
        <v>12706</v>
      </c>
      <c r="B15735" s="15" t="s">
        <v>12707</v>
      </c>
      <c r="C15735" s="15" t="s">
        <v>10178</v>
      </c>
      <c r="D15735" s="15" t="s">
        <v>10214</v>
      </c>
      <c r="E15735" s="2">
        <v>1260959</v>
      </c>
      <c r="F15735" s="4" t="str">
        <f>IF(B15735=B15734,"",B15735)</f>
        <v>PÄchora</v>
      </c>
    </row>
    <row r="15736" spans="1:6" ht="15.75" customHeight="1">
      <c r="A15736" s="15" t="s">
        <v>1402</v>
      </c>
      <c r="B15736" s="15" t="s">
        <v>1403</v>
      </c>
      <c r="C15736" s="15" t="s">
        <v>1296</v>
      </c>
      <c r="D15736" s="15" t="s">
        <v>1310</v>
      </c>
      <c r="E15736" s="2">
        <v>1336143</v>
      </c>
      <c r="F15736" s="4" t="str">
        <f>IF(B15736=B15735,"",B15736)</f>
        <v>PÄbna</v>
      </c>
    </row>
    <row r="15737" spans="1:6" ht="15.75" customHeight="1">
      <c r="A15737" s="16" t="s">
        <v>9895</v>
      </c>
      <c r="B15737" s="15" t="s">
        <v>9896</v>
      </c>
      <c r="C15737" s="16" t="s">
        <v>9866</v>
      </c>
      <c r="D15737" s="16" t="s">
        <v>9867</v>
      </c>
      <c r="E15737" s="2">
        <v>3719028</v>
      </c>
      <c r="F15737" s="4" t="str">
        <f>IF(B15737=B15736,"",B15737)</f>
        <v>PÃ©tionville</v>
      </c>
    </row>
    <row r="15738" spans="1:6" ht="15.75" customHeight="1">
      <c r="A15738" s="16" t="s">
        <v>1659</v>
      </c>
      <c r="B15738" s="15" t="s">
        <v>1660</v>
      </c>
      <c r="C15738" s="16" t="s">
        <v>1512</v>
      </c>
      <c r="D15738" s="16" t="s">
        <v>1518</v>
      </c>
      <c r="E15738" s="2">
        <v>2789162</v>
      </c>
      <c r="F15738" s="4" t="str">
        <f>IF(B15738=B15737,"",B15738)</f>
        <v>PÃ©ruwelz</v>
      </c>
    </row>
    <row r="15739" spans="1:6" ht="15.75" customHeight="1">
      <c r="A15739" s="16" t="s">
        <v>7666</v>
      </c>
      <c r="B15739" s="15" t="s">
        <v>7667</v>
      </c>
      <c r="C15739" s="16" t="s">
        <v>7052</v>
      </c>
      <c r="D15739" s="16" t="s">
        <v>7084</v>
      </c>
      <c r="E15739" s="2">
        <v>2987967</v>
      </c>
      <c r="F15739" s="4" t="str">
        <f>IF(B15739=B15738,"",B15739)</f>
        <v>PÃ©rigueux</v>
      </c>
    </row>
    <row r="15740" spans="1:6" ht="15.75" customHeight="1">
      <c r="A15740" s="15" t="s">
        <v>723</v>
      </c>
      <c r="B15740" s="15" t="s">
        <v>724</v>
      </c>
      <c r="C15740" s="15" t="s">
        <v>558</v>
      </c>
      <c r="D15740" s="15" t="s">
        <v>579</v>
      </c>
      <c r="E15740" s="2">
        <v>3841500</v>
      </c>
      <c r="F15740" s="4" t="str">
        <f>IF(B15740=B15739,"",B15740)</f>
        <v>PÃ©rez</v>
      </c>
    </row>
    <row r="15741" spans="1:6" ht="15.75" customHeight="1">
      <c r="A15741" s="15" t="s">
        <v>9607</v>
      </c>
      <c r="B15741" s="15" t="s">
        <v>9608</v>
      </c>
      <c r="C15741" s="15" t="s">
        <v>9441</v>
      </c>
      <c r="D15741" s="15" t="s">
        <v>9445</v>
      </c>
      <c r="E15741" s="2">
        <v>255588</v>
      </c>
      <c r="F15741" s="4" t="str">
        <f>IF(B15741=B15740,"",B15741)</f>
        <v>PÃ©rama</v>
      </c>
    </row>
    <row r="15742" spans="1:6" ht="15.75" customHeight="1">
      <c r="A15742" s="16" t="s">
        <v>18144</v>
      </c>
      <c r="B15742" s="15" t="s">
        <v>18145</v>
      </c>
      <c r="C15742" s="16" t="s">
        <v>17707</v>
      </c>
      <c r="D15742" s="16" t="s">
        <v>17713</v>
      </c>
      <c r="E15742" s="2">
        <v>3992986</v>
      </c>
      <c r="F15742" s="4" t="str">
        <f>IF(B15742=B15741,"",B15742)</f>
        <v>PÃ©njamo</v>
      </c>
    </row>
    <row r="15743" spans="1:6" ht="15.75" customHeight="1">
      <c r="A15743" s="15" t="s">
        <v>9605</v>
      </c>
      <c r="B15743" s="15" t="s">
        <v>9606</v>
      </c>
      <c r="C15743" s="15" t="s">
        <v>9441</v>
      </c>
      <c r="D15743" s="15" t="s">
        <v>9445</v>
      </c>
      <c r="E15743" s="2">
        <v>8358562</v>
      </c>
      <c r="F15743" s="4" t="str">
        <f>IF(B15743=B15742,"",B15743)</f>
        <v>PÃ©fki</v>
      </c>
    </row>
    <row r="15744" spans="1:6" ht="15.75" customHeight="1">
      <c r="A15744" s="15" t="s">
        <v>10120</v>
      </c>
      <c r="B15744" s="15" t="s">
        <v>10121</v>
      </c>
      <c r="C15744" s="15" t="s">
        <v>9955</v>
      </c>
      <c r="D15744" s="15" t="s">
        <v>10094</v>
      </c>
      <c r="E15744" s="2">
        <v>3046526</v>
      </c>
      <c r="F15744" s="4" t="str">
        <f>IF(B15744=B15743,"",B15744)</f>
        <v>PÃ©cs</v>
      </c>
    </row>
    <row r="15745" spans="1:6" ht="15.75" customHeight="1">
      <c r="A15745" s="15" t="s">
        <v>14487</v>
      </c>
      <c r="B15745" s="15" t="s">
        <v>14488</v>
      </c>
      <c r="C15745" s="15" t="s">
        <v>14240</v>
      </c>
      <c r="D15745" s="15" t="s">
        <v>14358</v>
      </c>
      <c r="E15745" s="2">
        <v>120972</v>
      </c>
      <c r="F15745" s="4" t="str">
        <f>IF(B15745=B15744,"",B15745)</f>
        <v>PÄ«shvÄ</v>
      </c>
    </row>
    <row r="15746" spans="1:6" ht="15.75" customHeight="1">
      <c r="A15746" s="15" t="s">
        <v>12704</v>
      </c>
      <c r="B15746" s="15" t="s">
        <v>12705</v>
      </c>
      <c r="C15746" s="15" t="s">
        <v>10178</v>
      </c>
      <c r="D15746" s="15" t="s">
        <v>10214</v>
      </c>
      <c r="E15746" s="2">
        <v>1259177</v>
      </c>
      <c r="F15746" s="4" t="str">
        <f>IF(B15746=B15745,"",B15746)</f>
        <v>PÅ«rna</v>
      </c>
    </row>
    <row r="15747" spans="1:6" ht="15.75" customHeight="1">
      <c r="A15747" s="15" t="s">
        <v>1400</v>
      </c>
      <c r="B15747" s="15" t="s">
        <v>1401</v>
      </c>
      <c r="C15747" s="15" t="s">
        <v>1296</v>
      </c>
      <c r="D15747" s="15" t="s">
        <v>1304</v>
      </c>
      <c r="E15747" s="2">
        <v>1337239</v>
      </c>
      <c r="F15747" s="4" t="str">
        <f>IF(B15747=B15746,"",B15747)</f>
        <v>PÄ«rgaaj</v>
      </c>
    </row>
    <row r="15748" spans="1:6" ht="15.75" customHeight="1">
      <c r="A15748" s="16" t="s">
        <v>12702</v>
      </c>
      <c r="B15748" s="15" t="s">
        <v>12703</v>
      </c>
      <c r="C15748" s="16" t="s">
        <v>10178</v>
      </c>
      <c r="D15748" s="16" t="s">
        <v>10193</v>
      </c>
      <c r="E15748" s="2">
        <v>1259190</v>
      </c>
      <c r="F15748" s="4" t="str">
        <f>IF(B15748=B15747,"",B15748)</f>
        <v>PÅ«ranpur</v>
      </c>
    </row>
    <row r="15749" spans="1:6" ht="15.75" customHeight="1">
      <c r="A15749" s="16" t="s">
        <v>20147</v>
      </c>
      <c r="B15749" s="15" t="s">
        <v>20148</v>
      </c>
      <c r="C15749" s="16" t="s">
        <v>19808</v>
      </c>
      <c r="D15749" s="16" t="s">
        <v>10184</v>
      </c>
      <c r="E15749" s="2">
        <v>1167873</v>
      </c>
      <c r="F15749" s="4" t="str">
        <f>IF(B15749=B15748,"",B15749)</f>
        <v>PÄ«r Mahal</v>
      </c>
    </row>
    <row r="15750" spans="1:6" ht="15.75" customHeight="1">
      <c r="A15750" s="16" t="s">
        <v>20145</v>
      </c>
      <c r="B15750" s="15" t="s">
        <v>20146</v>
      </c>
      <c r="C15750" s="16" t="s">
        <v>19808</v>
      </c>
      <c r="D15750" s="16" t="s">
        <v>19823</v>
      </c>
      <c r="E15750" s="2">
        <v>1161991</v>
      </c>
      <c r="F15750" s="4" t="str">
        <f>IF(B15750=B15749,"",B15750)</f>
        <v>PÄ«r jo Goth</v>
      </c>
    </row>
    <row r="15751" spans="1:6" ht="15.75" customHeight="1">
      <c r="A15751" s="15" t="s">
        <v>12700</v>
      </c>
      <c r="B15751" s="15" t="s">
        <v>12701</v>
      </c>
      <c r="C15751" s="15" t="s">
        <v>10178</v>
      </c>
      <c r="D15751" s="15" t="s">
        <v>10214</v>
      </c>
      <c r="E15751" s="2">
        <v>1259552</v>
      </c>
      <c r="F15751" s="4" t="str">
        <f>IF(B15751=B15750,"",B15751)</f>
        <v>PÄ«pri</v>
      </c>
    </row>
    <row r="15752" spans="1:6" ht="15.75" customHeight="1">
      <c r="A15752" s="15" t="s">
        <v>12698</v>
      </c>
      <c r="B15752" s="15" t="s">
        <v>12699</v>
      </c>
      <c r="C15752" s="15" t="s">
        <v>10178</v>
      </c>
      <c r="D15752" s="15" t="s">
        <v>10179</v>
      </c>
      <c r="E15752" s="2">
        <v>1259608</v>
      </c>
      <c r="F15752" s="4" t="str">
        <f>IF(B15752=B15751,"",B15752)</f>
        <v>PÄ«pÄr</v>
      </c>
    </row>
    <row r="15753" spans="1:6" ht="15.75" customHeight="1">
      <c r="A15753" s="15" t="s">
        <v>12696</v>
      </c>
      <c r="B15753" s="15" t="s">
        <v>12697</v>
      </c>
      <c r="C15753" s="15" t="s">
        <v>10178</v>
      </c>
      <c r="D15753" s="15" t="s">
        <v>10224</v>
      </c>
      <c r="E15753" s="2">
        <v>1259231</v>
      </c>
      <c r="F15753" s="4" t="str">
        <f>IF(B15753=B15752,"",B15753)</f>
        <v>PÅ«ndri</v>
      </c>
    </row>
    <row r="15754" spans="1:6" ht="15.75" customHeight="1">
      <c r="A15754" s="15" t="s">
        <v>12694</v>
      </c>
      <c r="B15754" s="15" t="s">
        <v>12695</v>
      </c>
      <c r="C15754" s="15" t="s">
        <v>10178</v>
      </c>
      <c r="D15754" s="15" t="s">
        <v>10355</v>
      </c>
      <c r="E15754" s="2">
        <v>1167718</v>
      </c>
      <c r="F15754" s="4" t="str">
        <f>IF(B15754=B15753,"",B15754)</f>
        <v>PÅ«nch</v>
      </c>
    </row>
    <row r="15755" spans="1:6" ht="15.75" customHeight="1">
      <c r="A15755" s="16" t="s">
        <v>12692</v>
      </c>
      <c r="B15755" s="15" t="s">
        <v>12693</v>
      </c>
      <c r="C15755" s="16" t="s">
        <v>10178</v>
      </c>
      <c r="D15755" s="16" t="s">
        <v>10224</v>
      </c>
      <c r="E15755" s="2">
        <v>1259244</v>
      </c>
      <c r="F15755" s="4" t="str">
        <f>IF(B15755=B15754,"",B15755)</f>
        <v>PÅ«nÄhÄna</v>
      </c>
    </row>
    <row r="15756" spans="1:6" ht="15.75" customHeight="1">
      <c r="A15756" s="16" t="s">
        <v>12690</v>
      </c>
      <c r="B15756" s="15" t="s">
        <v>12691</v>
      </c>
      <c r="C15756" s="16" t="s">
        <v>10178</v>
      </c>
      <c r="D15756" s="16" t="s">
        <v>10193</v>
      </c>
      <c r="E15756" s="2">
        <v>1259686</v>
      </c>
      <c r="F15756" s="4" t="str">
        <f>IF(B15756=B15755,"",B15756)</f>
        <v>PÄ«libhÄ«t</v>
      </c>
    </row>
    <row r="15757" spans="1:6" ht="15.75" customHeight="1">
      <c r="A15757" s="16" t="s">
        <v>19662</v>
      </c>
      <c r="B15757" s="15" t="s">
        <v>19663</v>
      </c>
      <c r="C15757" s="16" t="s">
        <v>19589</v>
      </c>
      <c r="D15757" s="16" t="s">
        <v>19597</v>
      </c>
      <c r="E15757" s="2">
        <v>1871871</v>
      </c>
      <c r="F15757" s="4" t="str">
        <f>IF(B15757=B15756,"",B15757)</f>
        <v>Pâ€™yÅngsÅng</v>
      </c>
    </row>
    <row r="15758" spans="1:6" ht="15.75" customHeight="1">
      <c r="A15758" s="15" t="s">
        <v>8005</v>
      </c>
      <c r="B15758" s="15" t="s">
        <v>8006</v>
      </c>
      <c r="C15758" s="15" t="s">
        <v>7988</v>
      </c>
      <c r="D15758" s="15" t="s">
        <v>8007</v>
      </c>
      <c r="E15758" s="2">
        <v>612366</v>
      </c>
      <c r="F15758" s="4" t="str">
        <f>IF(B15758=B15757,"",B15758)</f>
        <v>Pâ€™otâ€™i</v>
      </c>
    </row>
    <row r="15759" spans="1:6" ht="15.75" customHeight="1">
      <c r="A15759" s="15" t="s">
        <v>6794</v>
      </c>
      <c r="B15759" s="15" t="s">
        <v>6795</v>
      </c>
      <c r="C15759" s="15" t="s">
        <v>6789</v>
      </c>
      <c r="D15759" s="15" t="s">
        <v>6796</v>
      </c>
      <c r="E15759" s="2">
        <v>589580</v>
      </c>
      <c r="F15759" s="4" t="str">
        <f>IF(B15759=B15758,"",B15759)</f>
        <v>PÃ¤rnu</v>
      </c>
    </row>
    <row r="15760" spans="1:6" ht="15.75" customHeight="1">
      <c r="A15760" s="15" t="s">
        <v>21415</v>
      </c>
      <c r="B15760" s="15" t="s">
        <v>21416</v>
      </c>
      <c r="C15760" s="15" t="s">
        <v>21064</v>
      </c>
      <c r="D15760" s="15" t="s">
        <v>21070</v>
      </c>
      <c r="E15760" s="2">
        <v>3088825</v>
      </c>
      <c r="F15760" s="4" t="str">
        <f>IF(B15760=B15759,"",B15760)</f>
        <v>PÅ‚ock</v>
      </c>
    </row>
    <row r="15761" spans="1:6" ht="15.75" customHeight="1">
      <c r="A15761" s="15" t="s">
        <v>21413</v>
      </c>
      <c r="B15761" s="15" t="s">
        <v>21414</v>
      </c>
      <c r="C15761" s="15" t="s">
        <v>21064</v>
      </c>
      <c r="D15761" s="15" t="s">
        <v>21070</v>
      </c>
      <c r="E15761" s="2">
        <v>762021</v>
      </c>
      <c r="F15761" s="4" t="str">
        <f>IF(B15761=B15760,"",B15761)</f>
        <v>PÅ‚oÅ„sk</v>
      </c>
    </row>
    <row r="15762" spans="1:6" ht="15.75" customHeight="1">
      <c r="A15762" s="16" t="s">
        <v>3007</v>
      </c>
      <c r="B15762" s="15" t="s">
        <v>3008</v>
      </c>
      <c r="C15762" s="16" t="s">
        <v>1905</v>
      </c>
      <c r="D15762" s="16" t="s">
        <v>2038</v>
      </c>
      <c r="E15762" s="2">
        <v>3924877</v>
      </c>
      <c r="F15762" s="4" t="str">
        <f>IF(B15762=B15761,"",B15762)</f>
        <v>PÃ´sto Fiscal Rolim de Moura</v>
      </c>
    </row>
    <row r="15763" spans="1:6" ht="15.75" customHeight="1">
      <c r="A15763" s="15" t="s">
        <v>3815</v>
      </c>
      <c r="B15763" s="15" t="s">
        <v>3816</v>
      </c>
      <c r="C15763" s="15" t="s">
        <v>3768</v>
      </c>
      <c r="D15763" s="15" t="s">
        <v>3800</v>
      </c>
      <c r="E15763" s="2">
        <v>2356454</v>
      </c>
      <c r="F15763" s="4" t="str">
        <f>IF(B15763=B15762,"",B15763)</f>
        <v>PÃ´</v>
      </c>
    </row>
    <row r="15764" spans="1:6" ht="15.75" customHeight="1">
      <c r="A15764" s="15" t="s">
        <v>18142</v>
      </c>
      <c r="B15764" s="15" t="s">
        <v>18143</v>
      </c>
      <c r="C15764" s="15" t="s">
        <v>17707</v>
      </c>
      <c r="D15764" s="15" t="s">
        <v>17761</v>
      </c>
      <c r="E15764" s="2">
        <v>3993179</v>
      </c>
      <c r="F15764" s="4" t="str">
        <f>IF(B15764=B15763,"",B15764)</f>
        <v>PÃ¡tzcuaro</v>
      </c>
    </row>
    <row r="15765" spans="1:6" ht="15.75" customHeight="1">
      <c r="A15765" s="15" t="s">
        <v>9603</v>
      </c>
      <c r="B15765" s="15" t="s">
        <v>9604</v>
      </c>
      <c r="C15765" s="15" t="s">
        <v>9441</v>
      </c>
      <c r="D15765" s="15" t="s">
        <v>9459</v>
      </c>
      <c r="E15765" s="2">
        <v>255683</v>
      </c>
      <c r="F15765" s="4" t="str">
        <f>IF(B15765=B15764,"",B15765)</f>
        <v>PÃ¡tra</v>
      </c>
    </row>
    <row r="15766" spans="1:6" ht="15.75" customHeight="1">
      <c r="A15766" s="15" t="s">
        <v>10118</v>
      </c>
      <c r="B15766" s="15" t="s">
        <v>10119</v>
      </c>
      <c r="C15766" s="15" t="s">
        <v>9955</v>
      </c>
      <c r="D15766" s="15" t="s">
        <v>9963</v>
      </c>
      <c r="E15766" s="2">
        <v>3046686</v>
      </c>
      <c r="F15766" s="4" t="str">
        <f>IF(B15766=B15765,"",B15766)</f>
        <v>PÃ¡pa</v>
      </c>
    </row>
    <row r="15767" spans="1:6" ht="15.75" customHeight="1">
      <c r="A15767" s="15" t="s">
        <v>18140</v>
      </c>
      <c r="B15767" s="15" t="s">
        <v>18141</v>
      </c>
      <c r="C15767" s="15" t="s">
        <v>17707</v>
      </c>
      <c r="D15767" s="15" t="s">
        <v>17708</v>
      </c>
      <c r="E15767" s="2">
        <v>3521941</v>
      </c>
      <c r="F15767" s="4" t="str">
        <f>IF(B15767=B15766,"",B15767)</f>
        <v>PÃ¡nuco</v>
      </c>
    </row>
    <row r="15768" spans="1:6" ht="15.75" customHeight="1">
      <c r="A15768" s="15" t="s">
        <v>24673</v>
      </c>
      <c r="B15768" s="15" t="s">
        <v>24674</v>
      </c>
      <c r="C15768" s="15" t="s">
        <v>24200</v>
      </c>
      <c r="D15768" s="15" t="s">
        <v>24212</v>
      </c>
      <c r="E15768" s="2">
        <v>2513026</v>
      </c>
      <c r="F15768" s="4" t="str">
        <f>IF(B15768=B15767,"",B15768)</f>
        <v>PÃ¡jara</v>
      </c>
    </row>
    <row r="15769" spans="1:6" ht="15.75" customHeight="1">
      <c r="A15769" s="15" t="s">
        <v>25951</v>
      </c>
      <c r="B15769" s="15" t="s">
        <v>25952</v>
      </c>
      <c r="C15769" s="15" t="s">
        <v>25771</v>
      </c>
      <c r="D15769" s="15" t="s">
        <v>25918</v>
      </c>
      <c r="E15769" s="2">
        <v>1151528</v>
      </c>
      <c r="F15769" s="4" t="str">
        <f>IF(B15769=B15768,"",B15769)</f>
        <v>Pa Sang</v>
      </c>
    </row>
    <row r="15770" spans="1:6" ht="15.75" customHeight="1">
      <c r="A15770" s="8" t="str">
        <f ca="1">IFERROR(__xludf.DUMMYFUNCTION("GOOGLETRANSLATE(B41537,""en"",""pt"")"),"Pa cantou")</f>
        <v>Pa cantou</v>
      </c>
      <c r="B15770" s="9" t="s">
        <v>25952</v>
      </c>
      <c r="C15770" s="9" t="s">
        <v>25771</v>
      </c>
      <c r="D15770" s="9" t="s">
        <v>25918</v>
      </c>
      <c r="E15770" s="10">
        <v>1151528</v>
      </c>
      <c r="F15770" s="4" t="str">
        <f>IF(B15770=B15769,"",B15770)</f>
        <v/>
      </c>
    </row>
    <row r="15771" spans="1:6" ht="15.75" customHeight="1">
      <c r="A15771" s="8" t="str">
        <f ca="1">IFERROR(__xludf.DUMMYFUNCTION("GOOGLETRANSLATE(B36001,""en"",""pt"")"),"P'yŏngsŏng")</f>
        <v>P'yŏngsŏng</v>
      </c>
      <c r="B15771" s="11" t="s">
        <v>34440</v>
      </c>
      <c r="C15771" s="11" t="s">
        <v>19589</v>
      </c>
      <c r="D15771" s="11" t="s">
        <v>34437</v>
      </c>
      <c r="E15771" s="10">
        <v>1871871</v>
      </c>
      <c r="F15771" s="4" t="str">
        <f>IF(B15771=B15770,"",B15771)</f>
        <v>P’yŏngsŏng</v>
      </c>
    </row>
    <row r="15772" spans="1:6" ht="15.75" customHeight="1">
      <c r="A15772" s="8" t="str">
        <f ca="1">IFERROR(__xludf.DUMMYFUNCTION("GOOGLETRANSLATE(B30838,""en"",""pt"")"),"P'Ot'i")</f>
        <v>P'Ot'i</v>
      </c>
      <c r="B15772" s="11" t="s">
        <v>32660</v>
      </c>
      <c r="C15772" s="11" t="s">
        <v>7988</v>
      </c>
      <c r="D15772" s="11" t="s">
        <v>8007</v>
      </c>
      <c r="E15772" s="10">
        <v>612366</v>
      </c>
      <c r="F15772" s="4" t="str">
        <f>IF(B15772=B15771,"",B15772)</f>
        <v>P’ot’i</v>
      </c>
    </row>
    <row r="15773" spans="1:6" ht="15.75" customHeight="1">
      <c r="A15773" s="15" t="s">
        <v>8003</v>
      </c>
      <c r="B15773" s="15" t="s">
        <v>8003</v>
      </c>
      <c r="C15773" s="15" t="s">
        <v>7988</v>
      </c>
      <c r="D15773" s="15" t="s">
        <v>8004</v>
      </c>
      <c r="E15773" s="2">
        <v>612536</v>
      </c>
      <c r="F15773" s="4" t="str">
        <f>IF(B15773=B15772,"",B15773)</f>
        <v>Ozurgeti</v>
      </c>
    </row>
    <row r="15774" spans="1:6" ht="15.75" customHeight="1">
      <c r="A15774" s="8" t="str">
        <f ca="1">IFERROR(__xludf.DUMMYFUNCTION("GOOGLETRANSLATE(B30839,""en"",""pt"")"),"Ozurgeti")</f>
        <v>Ozurgeti</v>
      </c>
      <c r="B15774" s="11" t="s">
        <v>8003</v>
      </c>
      <c r="C15774" s="11" t="s">
        <v>7988</v>
      </c>
      <c r="D15774" s="11" t="s">
        <v>8004</v>
      </c>
      <c r="E15774" s="10">
        <v>612536</v>
      </c>
      <c r="F15774" s="4" t="str">
        <f>IF(B15774=B15773,"",B15774)</f>
        <v/>
      </c>
    </row>
    <row r="15775" spans="1:6" ht="15.75" customHeight="1">
      <c r="A15775" s="16" t="s">
        <v>18139</v>
      </c>
      <c r="B15775" s="15" t="s">
        <v>18139</v>
      </c>
      <c r="C15775" s="16" t="s">
        <v>17707</v>
      </c>
      <c r="D15775" s="16" t="s">
        <v>17736</v>
      </c>
      <c r="E15775" s="2">
        <v>3522232</v>
      </c>
      <c r="F15775" s="4" t="str">
        <f>IF(B15775=B15774,"",B15775)</f>
        <v>Ozumba de Alzate</v>
      </c>
    </row>
    <row r="15776" spans="1:6" ht="15.75" customHeight="1">
      <c r="A15776" s="8" t="str">
        <f ca="1">IFERROR(__xludf.DUMMYFUNCTION("GOOGLETRANSLATE(B36958,""en"",""pt"")"),"Ozumba de Alzate")</f>
        <v>Ozumba de Alzate</v>
      </c>
      <c r="B15776" s="11" t="s">
        <v>18139</v>
      </c>
      <c r="C15776" s="11" t="s">
        <v>17707</v>
      </c>
      <c r="D15776" s="11" t="s">
        <v>20902</v>
      </c>
      <c r="E15776" s="10">
        <v>3522232</v>
      </c>
      <c r="F15776" s="4" t="str">
        <f>IF(B15776=B15775,"",B15776)</f>
        <v/>
      </c>
    </row>
    <row r="15777" spans="1:6" ht="15.75" customHeight="1">
      <c r="A15777" s="15" t="s">
        <v>19550</v>
      </c>
      <c r="B15777" s="15" t="s">
        <v>19550</v>
      </c>
      <c r="C15777" s="15" t="s">
        <v>19294</v>
      </c>
      <c r="D15777" s="15" t="s">
        <v>19308</v>
      </c>
      <c r="E15777" s="2">
        <v>2325161</v>
      </c>
      <c r="F15777" s="4" t="str">
        <f>IF(B15777=B15776,"",B15777)</f>
        <v>Ozubulu</v>
      </c>
    </row>
    <row r="15778" spans="1:6" ht="15.75" customHeight="1">
      <c r="A15778" s="8" t="str">
        <f ca="1">IFERROR(__xludf.DUMMYFUNCTION("GOOGLETRANSLATE(B37640,""en"",""pt"")"),"Ozubulu")</f>
        <v>Ozubulu</v>
      </c>
      <c r="B15778" s="11" t="s">
        <v>19550</v>
      </c>
      <c r="C15778" s="11" t="s">
        <v>19294</v>
      </c>
      <c r="D15778" s="11" t="s">
        <v>19308</v>
      </c>
      <c r="E15778" s="10">
        <v>2325161</v>
      </c>
      <c r="F15778" s="4" t="str">
        <f>IF(B15778=B15777,"",B15778)</f>
        <v/>
      </c>
    </row>
    <row r="15779" spans="1:6" ht="15.75" customHeight="1">
      <c r="A15779" s="8" t="str">
        <f ca="1">IFERROR(__xludf.DUMMYFUNCTION("GOOGLETRANSLATE(B35334,""en"",""pt"")"),"Ōzu")</f>
        <v>Ōzu</v>
      </c>
      <c r="B15779" s="9" t="s">
        <v>34317</v>
      </c>
      <c r="C15779" s="9" t="s">
        <v>15704</v>
      </c>
      <c r="D15779" s="9" t="s">
        <v>15812</v>
      </c>
      <c r="E15779" s="10">
        <v>1853433</v>
      </c>
      <c r="F15779" s="4" t="str">
        <f>IF(B15779=B15778,"",B15779)</f>
        <v>Ōzu</v>
      </c>
    </row>
    <row r="15780" spans="1:6" ht="15.75" customHeight="1">
      <c r="A15780" s="8" t="str">
        <f ca="1">IFERROR(__xludf.DUMMYFUNCTION("GOOGLETRANSLATE(B35701,""en"",""pt"")"),"Ōzu")</f>
        <v>Ōzu</v>
      </c>
      <c r="B15780" s="11" t="s">
        <v>34317</v>
      </c>
      <c r="C15780" s="11" t="s">
        <v>15704</v>
      </c>
      <c r="D15780" s="11" t="s">
        <v>15813</v>
      </c>
      <c r="E15780" s="10">
        <v>1926055</v>
      </c>
      <c r="F15780" s="4" t="str">
        <f>IF(B15780=B15779,"",B15780)</f>
        <v/>
      </c>
    </row>
    <row r="15781" spans="1:6" ht="15.75" customHeight="1">
      <c r="A15781" s="8" t="str">
        <f ca="1">IFERROR(__xludf.DUMMYFUNCTION("GOOGLETRANSLATE(B39383,""en"",""pt"")"),"Ozorków")</f>
        <v>Ozorków</v>
      </c>
      <c r="B15781" s="9" t="s">
        <v>35183</v>
      </c>
      <c r="C15781" s="9" t="s">
        <v>21064</v>
      </c>
      <c r="D15781" s="9" t="s">
        <v>35071</v>
      </c>
      <c r="E15781" s="10">
        <v>3089582</v>
      </c>
      <c r="F15781" s="4" t="str">
        <f>IF(B15781=B15780,"",B15781)</f>
        <v>Ozorków</v>
      </c>
    </row>
    <row r="15782" spans="1:6" ht="15.75" customHeight="1">
      <c r="A15782" s="15" t="s">
        <v>21411</v>
      </c>
      <c r="B15782" s="15" t="s">
        <v>21412</v>
      </c>
      <c r="C15782" s="15" t="s">
        <v>21064</v>
      </c>
      <c r="D15782" s="15" t="s">
        <v>21080</v>
      </c>
      <c r="E15782" s="2">
        <v>3089582</v>
      </c>
      <c r="F15782" s="4" t="str">
        <f>IF(B15782=B15781,"",B15782)</f>
        <v>OzorkÃ³w</v>
      </c>
    </row>
    <row r="15783" spans="1:6" ht="15.75" customHeight="1">
      <c r="A15783" s="8" t="str">
        <f ca="1">IFERROR(__xludf.DUMMYFUNCTION("GOOGLETRANSLATE(B29861,""en"",""pt"")"),"Ozoir-La-Ferrière")</f>
        <v>Ozoir-La-Ferrière</v>
      </c>
      <c r="B15783" s="9" t="s">
        <v>32570</v>
      </c>
      <c r="C15783" s="9" t="s">
        <v>7052</v>
      </c>
      <c r="D15783" s="9" t="s">
        <v>32531</v>
      </c>
      <c r="E15783" s="10">
        <v>2988867</v>
      </c>
      <c r="F15783" s="4" t="str">
        <f>IF(B15783=B15782,"",B15783)</f>
        <v>Ozoir-la-Ferrière</v>
      </c>
    </row>
    <row r="15784" spans="1:6" ht="15.75" customHeight="1">
      <c r="A15784" s="16" t="s">
        <v>7664</v>
      </c>
      <c r="B15784" s="15" t="s">
        <v>7665</v>
      </c>
      <c r="C15784" s="16" t="s">
        <v>7052</v>
      </c>
      <c r="D15784" s="16" t="s">
        <v>7058</v>
      </c>
      <c r="E15784" s="2">
        <v>2988867</v>
      </c>
      <c r="F15784" s="4" t="str">
        <f>IF(B15784=B15783,"",B15784)</f>
        <v>Ozoir-la-FerriÃ¨re</v>
      </c>
    </row>
    <row r="15785" spans="1:6" ht="15.75" customHeight="1">
      <c r="A15785" s="8" t="str">
        <f ca="1">IFERROR(__xludf.DUMMYFUNCTION("GOOGLETRANSLATE(B40216,""en"",""pt"")"),"Ozëry")</f>
        <v>Ozëry</v>
      </c>
      <c r="B15785" s="9" t="s">
        <v>35475</v>
      </c>
      <c r="C15785" s="9" t="s">
        <v>22070</v>
      </c>
      <c r="D15785" s="9" t="s">
        <v>22119</v>
      </c>
      <c r="E15785" s="10">
        <v>513378</v>
      </c>
      <c r="F15785" s="4" t="str">
        <f>IF(B15785=B15784,"",B15785)</f>
        <v>Ozëry</v>
      </c>
    </row>
    <row r="15786" spans="1:6" ht="15.75" customHeight="1">
      <c r="A15786" s="15" t="s">
        <v>22913</v>
      </c>
      <c r="B15786" s="15" t="s">
        <v>22913</v>
      </c>
      <c r="C15786" s="15" t="s">
        <v>22070</v>
      </c>
      <c r="D15786" s="15" t="s">
        <v>22166</v>
      </c>
      <c r="E15786" s="2">
        <v>1538634</v>
      </c>
      <c r="F15786" s="4" t="str">
        <f>IF(B15786=B15785,"",B15786)</f>
        <v>Ozersk</v>
      </c>
    </row>
    <row r="15787" spans="1:6" ht="15.75" customHeight="1">
      <c r="A15787" s="8" t="str">
        <f ca="1">IFERROR(__xludf.DUMMYFUNCTION("GOOGLETRANSLATE(B40882,""en"",""pt"")"),"Ozersk")</f>
        <v>Ozersk</v>
      </c>
      <c r="B15787" s="11" t="s">
        <v>22913</v>
      </c>
      <c r="C15787" s="11" t="s">
        <v>22070</v>
      </c>
      <c r="D15787" s="11" t="s">
        <v>22166</v>
      </c>
      <c r="E15787" s="10">
        <v>1538634</v>
      </c>
      <c r="F15787" s="4" t="str">
        <f>IF(B15787=B15786,"",B15787)</f>
        <v/>
      </c>
    </row>
    <row r="15788" spans="1:6" ht="15.75" customHeight="1">
      <c r="A15788" s="15" t="s">
        <v>22912</v>
      </c>
      <c r="B15788" s="15" t="s">
        <v>22912</v>
      </c>
      <c r="C15788" s="15" t="s">
        <v>22070</v>
      </c>
      <c r="D15788" s="15" t="s">
        <v>22084</v>
      </c>
      <c r="E15788" s="2">
        <v>513471</v>
      </c>
      <c r="F15788" s="4" t="str">
        <f>IF(B15788=B15787,"",B15788)</f>
        <v>Ozerki</v>
      </c>
    </row>
    <row r="15789" spans="1:6" ht="15.75" customHeight="1">
      <c r="A15789" s="8" t="str">
        <f ca="1">IFERROR(__xludf.DUMMYFUNCTION("GOOGLETRANSLATE(B40217,""en"",""pt"")"),"Ozerki")</f>
        <v>Ozerki</v>
      </c>
      <c r="B15789" s="9" t="s">
        <v>22912</v>
      </c>
      <c r="C15789" s="9" t="s">
        <v>22070</v>
      </c>
      <c r="D15789" s="9" t="s">
        <v>22084</v>
      </c>
      <c r="E15789" s="10">
        <v>513471</v>
      </c>
      <c r="F15789" s="4" t="str">
        <f>IF(B15789=B15788,"",B15789)</f>
        <v/>
      </c>
    </row>
    <row r="15790" spans="1:6" ht="15.75" customHeight="1">
      <c r="A15790" s="8" t="str">
        <f ca="1">IFERROR(__xludf.DUMMYFUNCTION("GOOGLETRANSLATE(B31247,""en"",""pt"")"),"Ózd")</f>
        <v>Ózd</v>
      </c>
      <c r="B15790" s="9" t="s">
        <v>32829</v>
      </c>
      <c r="C15790" s="9" t="s">
        <v>9955</v>
      </c>
      <c r="D15790" s="9" t="s">
        <v>32824</v>
      </c>
      <c r="E15790" s="10">
        <v>716671</v>
      </c>
      <c r="F15790" s="4" t="str">
        <f>IF(B15790=B15789,"",B15790)</f>
        <v>Ózd</v>
      </c>
    </row>
    <row r="15791" spans="1:6" ht="15.75" customHeight="1">
      <c r="A15791" s="15" t="s">
        <v>29592</v>
      </c>
      <c r="B15791" s="15" t="s">
        <v>29592</v>
      </c>
      <c r="C15791" s="15" t="s">
        <v>27788</v>
      </c>
      <c r="D15791" s="15" t="s">
        <v>27806</v>
      </c>
      <c r="E15791" s="2">
        <v>4402245</v>
      </c>
      <c r="F15791" s="4" t="str">
        <f>IF(B15791=B15790,"",B15791)</f>
        <v>Ozark</v>
      </c>
    </row>
    <row r="15792" spans="1:6" ht="15.75" customHeight="1">
      <c r="A15792" s="8" t="str">
        <f ca="1">IFERROR(__xludf.DUMMYFUNCTION("GOOGLETRANSLATE(B43381,""en"",""pt"")"),"Ozark")</f>
        <v>Ozark</v>
      </c>
      <c r="B15792" s="9" t="s">
        <v>29592</v>
      </c>
      <c r="C15792" s="9" t="s">
        <v>27788</v>
      </c>
      <c r="D15792" s="9" t="s">
        <v>27806</v>
      </c>
      <c r="E15792" s="10">
        <v>4402245</v>
      </c>
      <c r="F15792" s="4" t="str">
        <f>IF(B15792=B15791,"",B15792)</f>
        <v/>
      </c>
    </row>
    <row r="15793" spans="1:6" ht="15.75" customHeight="1">
      <c r="A15793" s="15" t="s">
        <v>12689</v>
      </c>
      <c r="B15793" s="15" t="s">
        <v>12689</v>
      </c>
      <c r="C15793" s="15" t="s">
        <v>10178</v>
      </c>
      <c r="D15793" s="15" t="s">
        <v>10214</v>
      </c>
      <c r="E15793" s="2">
        <v>1261068</v>
      </c>
      <c r="F15793" s="4" t="str">
        <f>IF(B15793=B15792,"",B15793)</f>
        <v>Ozar</v>
      </c>
    </row>
    <row r="15794" spans="1:6" ht="15.75" customHeight="1">
      <c r="A15794" s="8" t="str">
        <f ca="1">IFERROR(__xludf.DUMMYFUNCTION("GOOGLETRANSLATE(B32584,""en"",""pt"")"),"Ozar")</f>
        <v>Ozar</v>
      </c>
      <c r="B15794" s="9" t="s">
        <v>12689</v>
      </c>
      <c r="C15794" s="9" t="s">
        <v>10178</v>
      </c>
      <c r="D15794" s="9" t="s">
        <v>10214</v>
      </c>
      <c r="E15794" s="10">
        <v>1261068</v>
      </c>
      <c r="F15794" s="4" t="str">
        <f>IF(B15794=B15793,"",B15794)</f>
        <v/>
      </c>
    </row>
    <row r="15795" spans="1:6" ht="15.75" customHeight="1">
      <c r="A15795" s="16" t="s">
        <v>20932</v>
      </c>
      <c r="B15795" s="15" t="s">
        <v>20933</v>
      </c>
      <c r="C15795" s="16" t="s">
        <v>20598</v>
      </c>
      <c r="D15795" s="16" t="s">
        <v>20687</v>
      </c>
      <c r="E15795" s="2">
        <v>1696899</v>
      </c>
      <c r="F15795" s="4" t="str">
        <f>IF(B15795=B15794,"",B15795)</f>
        <v>Ozamiz City</v>
      </c>
    </row>
    <row r="15796" spans="1:6" ht="15.75" customHeight="1">
      <c r="A15796" s="8" t="str">
        <f ca="1">IFERROR(__xludf.DUMMYFUNCTION("GOOGLETRANSLATE(B38576,""en"",""pt"")"),"Cidade de Ozamiz")</f>
        <v>Cidade de Ozamiz</v>
      </c>
      <c r="B15796" s="9" t="s">
        <v>20933</v>
      </c>
      <c r="C15796" s="9" t="s">
        <v>20598</v>
      </c>
      <c r="D15796" s="9" t="s">
        <v>20687</v>
      </c>
      <c r="E15796" s="10">
        <v>1696899</v>
      </c>
      <c r="F15796" s="4" t="str">
        <f>IF(B15796=B15795,"",B15796)</f>
        <v/>
      </c>
    </row>
    <row r="15797" spans="1:6" ht="15.75" customHeight="1">
      <c r="A15797" s="15" t="s">
        <v>22910</v>
      </c>
      <c r="B15797" s="15" t="s">
        <v>22911</v>
      </c>
      <c r="C15797" s="15" t="s">
        <v>22070</v>
      </c>
      <c r="D15797" s="15" t="s">
        <v>22119</v>
      </c>
      <c r="E15797" s="2">
        <v>513378</v>
      </c>
      <c r="F15797" s="4" t="str">
        <f>IF(B15797=B15796,"",B15797)</f>
        <v>OzÃ«ry</v>
      </c>
    </row>
    <row r="15798" spans="1:6" ht="15.75" customHeight="1">
      <c r="A15798" s="15" t="s">
        <v>8978</v>
      </c>
      <c r="B15798" s="15" t="s">
        <v>8978</v>
      </c>
      <c r="C15798" s="15" t="s">
        <v>8028</v>
      </c>
      <c r="D15798" s="15" t="s">
        <v>8034</v>
      </c>
      <c r="E15798" s="2">
        <v>2855794</v>
      </c>
      <c r="F15798" s="4" t="str">
        <f>IF(B15798=B15797,"",B15798)</f>
        <v>Oyten</v>
      </c>
    </row>
    <row r="15799" spans="1:6" ht="15.75" customHeight="1">
      <c r="A15799" s="8" t="str">
        <f ca="1">IFERROR(__xludf.DUMMYFUNCTION("GOOGLETRANSLATE(B27660,""en"",""pt"")"),"Oyten")</f>
        <v>Oyten</v>
      </c>
      <c r="B15799" s="11" t="s">
        <v>8978</v>
      </c>
      <c r="C15799" s="11" t="s">
        <v>8028</v>
      </c>
      <c r="D15799" s="11" t="s">
        <v>8034</v>
      </c>
      <c r="E15799" s="10">
        <v>2855794</v>
      </c>
      <c r="F15799" s="4" t="str">
        <f>IF(B15799=B15798,"",B15799)</f>
        <v/>
      </c>
    </row>
    <row r="15800" spans="1:6" ht="15.75" customHeight="1">
      <c r="A15800" s="15" t="s">
        <v>7663</v>
      </c>
      <c r="B15800" s="15" t="s">
        <v>7663</v>
      </c>
      <c r="C15800" s="15" t="s">
        <v>7052</v>
      </c>
      <c r="D15800" s="15" t="s">
        <v>7053</v>
      </c>
      <c r="E15800" s="2">
        <v>2988888</v>
      </c>
      <c r="F15800" s="4" t="str">
        <f>IF(B15800=B15799,"",B15800)</f>
        <v>Oyonnax</v>
      </c>
    </row>
    <row r="15801" spans="1:6" ht="15.75" customHeight="1">
      <c r="A15801" s="8" t="str">
        <f ca="1">IFERROR(__xludf.DUMMYFUNCTION("GOOGLETRANSLATE(B29862,""en"",""pt"")"),"Oyonnax")</f>
        <v>Oyonnax</v>
      </c>
      <c r="B15801" s="11" t="s">
        <v>7663</v>
      </c>
      <c r="C15801" s="11" t="s">
        <v>7052</v>
      </c>
      <c r="D15801" s="11" t="s">
        <v>32532</v>
      </c>
      <c r="E15801" s="10">
        <v>2988888</v>
      </c>
      <c r="F15801" s="4" t="str">
        <f>IF(B15801=B15800,"",B15801)</f>
        <v/>
      </c>
    </row>
    <row r="15802" spans="1:6" ht="15.75" customHeight="1">
      <c r="A15802" s="15" t="s">
        <v>19398</v>
      </c>
      <c r="B15802" s="15" t="s">
        <v>19398</v>
      </c>
      <c r="C15802" s="15" t="s">
        <v>19294</v>
      </c>
      <c r="D15802" s="15" t="s">
        <v>19398</v>
      </c>
      <c r="E15802" s="2">
        <v>2325200</v>
      </c>
      <c r="F15802" s="4" t="str">
        <f>IF(B15802=B15801,"",B15802)</f>
        <v>Oyo</v>
      </c>
    </row>
    <row r="15803" spans="1:6" ht="15.75" customHeight="1">
      <c r="A15803" s="8" t="str">
        <f ca="1">IFERROR(__xludf.DUMMYFUNCTION("GOOGLETRANSLATE(B37641,""en"",""pt"")"),"Oyo")</f>
        <v>Oyo</v>
      </c>
      <c r="B15803" s="11" t="s">
        <v>19398</v>
      </c>
      <c r="C15803" s="11" t="s">
        <v>19294</v>
      </c>
      <c r="D15803" s="11" t="s">
        <v>19398</v>
      </c>
      <c r="E15803" s="10">
        <v>2325200</v>
      </c>
      <c r="F15803" s="4" t="str">
        <f>IF(B15803=B15802,"",B15803)</f>
        <v/>
      </c>
    </row>
    <row r="15804" spans="1:6" ht="15.75" customHeight="1">
      <c r="A15804" s="15" t="s">
        <v>7973</v>
      </c>
      <c r="B15804" s="15" t="s">
        <v>7973</v>
      </c>
      <c r="C15804" s="15" t="s">
        <v>7960</v>
      </c>
      <c r="D15804" s="15" t="s">
        <v>7974</v>
      </c>
      <c r="E15804" s="2">
        <v>2396646</v>
      </c>
      <c r="F15804" s="4" t="str">
        <f>IF(B15804=B15803,"",B15804)</f>
        <v>Oyem</v>
      </c>
    </row>
    <row r="15805" spans="1:6" ht="15.75" customHeight="1">
      <c r="A15805" s="8" t="str">
        <f ca="1">IFERROR(__xludf.DUMMYFUNCTION("GOOGLETRANSLATE(B30307,""en"",""pt"")"),"Oyem")</f>
        <v>Oyem</v>
      </c>
      <c r="B15805" s="11" t="s">
        <v>7973</v>
      </c>
      <c r="C15805" s="11" t="s">
        <v>7960</v>
      </c>
      <c r="D15805" s="11" t="s">
        <v>7974</v>
      </c>
      <c r="E15805" s="10">
        <v>2396646</v>
      </c>
      <c r="F15805" s="4" t="str">
        <f>IF(B15805=B15804,"",B15805)</f>
        <v/>
      </c>
    </row>
    <row r="15806" spans="1:6" ht="15.75" customHeight="1">
      <c r="A15806" s="15" t="s">
        <v>19549</v>
      </c>
      <c r="B15806" s="15" t="s">
        <v>19549</v>
      </c>
      <c r="C15806" s="15" t="s">
        <v>19294</v>
      </c>
      <c r="D15806" s="15" t="s">
        <v>19322</v>
      </c>
      <c r="E15806" s="2">
        <v>2325249</v>
      </c>
      <c r="F15806" s="4" t="str">
        <f>IF(B15806=B15805,"",B15806)</f>
        <v>Oyan</v>
      </c>
    </row>
    <row r="15807" spans="1:6" ht="15.75" customHeight="1">
      <c r="A15807" s="8" t="str">
        <f ca="1">IFERROR(__xludf.DUMMYFUNCTION("GOOGLETRANSLATE(B37642,""en"",""pt"")"),"Oyan")</f>
        <v>Oyan</v>
      </c>
      <c r="B15807" s="11" t="s">
        <v>19549</v>
      </c>
      <c r="C15807" s="11" t="s">
        <v>19294</v>
      </c>
      <c r="D15807" s="11" t="s">
        <v>19322</v>
      </c>
      <c r="E15807" s="10">
        <v>2325249</v>
      </c>
      <c r="F15807" s="4" t="str">
        <f>IF(B15807=B15806,"",B15807)</f>
        <v/>
      </c>
    </row>
    <row r="15808" spans="1:6" ht="15.75" customHeight="1">
      <c r="A15808" s="8" t="str">
        <f ca="1">IFERROR(__xludf.DUMMYFUNCTION("GOOGLETRANSLATE(B35336,""en"",""pt"")"),"Ōyama")</f>
        <v>Ōyama</v>
      </c>
      <c r="B15808" s="9" t="s">
        <v>34318</v>
      </c>
      <c r="C15808" s="9" t="s">
        <v>15704</v>
      </c>
      <c r="D15808" s="9" t="s">
        <v>15809</v>
      </c>
      <c r="E15808" s="10">
        <v>1853486</v>
      </c>
      <c r="F15808" s="4" t="str">
        <f>IF(B15808=B15807,"",B15808)</f>
        <v>Ōyama</v>
      </c>
    </row>
    <row r="15809" spans="1:6" ht="15.75" customHeight="1">
      <c r="A15809" s="15" t="s">
        <v>16350</v>
      </c>
      <c r="B15809" s="15" t="s">
        <v>16350</v>
      </c>
      <c r="C15809" s="15" t="s">
        <v>15704</v>
      </c>
      <c r="D15809" s="15" t="s">
        <v>15799</v>
      </c>
      <c r="E15809" s="2">
        <v>1853483</v>
      </c>
      <c r="F15809" s="4" t="str">
        <f>IF(B15809=B15808,"",B15809)</f>
        <v>Oyama</v>
      </c>
    </row>
    <row r="15810" spans="1:6" ht="15.75" customHeight="1">
      <c r="A15810" s="8" t="str">
        <f ca="1">IFERROR(__xludf.DUMMYFUNCTION("GOOGLETRANSLATE(B35335,""en"",""pt"")"),"Oyama")</f>
        <v>Oyama</v>
      </c>
      <c r="B15810" s="9" t="s">
        <v>16350</v>
      </c>
      <c r="C15810" s="9" t="s">
        <v>15704</v>
      </c>
      <c r="D15810" s="9" t="s">
        <v>15799</v>
      </c>
      <c r="E15810" s="10">
        <v>1853483</v>
      </c>
      <c r="F15810" s="4" t="str">
        <f>IF(B15810=B15809,"",B15810)</f>
        <v/>
      </c>
    </row>
    <row r="15811" spans="1:6" ht="15.75" customHeight="1">
      <c r="A15811" s="15" t="s">
        <v>29591</v>
      </c>
      <c r="B15811" s="15" t="s">
        <v>29591</v>
      </c>
      <c r="C15811" s="15" t="s">
        <v>27788</v>
      </c>
      <c r="D15811" s="15" t="s">
        <v>17061</v>
      </c>
      <c r="E15811" s="2">
        <v>4364759</v>
      </c>
      <c r="F15811" s="4" t="str">
        <f>IF(B15811=B15810,"",B15811)</f>
        <v>Oxon Hill</v>
      </c>
    </row>
    <row r="15812" spans="1:6" ht="15.75" customHeight="1">
      <c r="A15812" s="8" t="str">
        <f ca="1">IFERROR(__xludf.DUMMYFUNCTION("GOOGLETRANSLATE(B43316,""en"",""pt"")"),"Oxon Hill")</f>
        <v>Oxon Hill</v>
      </c>
      <c r="B15812" s="11" t="s">
        <v>29591</v>
      </c>
      <c r="C15812" s="11" t="s">
        <v>27788</v>
      </c>
      <c r="D15812" s="11" t="s">
        <v>17061</v>
      </c>
      <c r="E15812" s="10">
        <v>4364759</v>
      </c>
      <c r="F15812" s="4" t="str">
        <f>IF(B15812=B15811,"",B15812)</f>
        <v/>
      </c>
    </row>
    <row r="15813" spans="1:6" ht="15.75" customHeight="1">
      <c r="A15813" s="16" t="s">
        <v>29590</v>
      </c>
      <c r="B15813" s="15" t="s">
        <v>29590</v>
      </c>
      <c r="C15813" s="16" t="s">
        <v>27788</v>
      </c>
      <c r="D15813" s="16" t="s">
        <v>27801</v>
      </c>
      <c r="E15813" s="2">
        <v>5380202</v>
      </c>
      <c r="F15813" s="4" t="str">
        <f>IF(B15813=B15812,"",B15813)</f>
        <v>Oxnard Shores</v>
      </c>
    </row>
    <row r="15814" spans="1:6" ht="15.75" customHeight="1">
      <c r="A15814" s="8" t="str">
        <f ca="1">IFERROR(__xludf.DUMMYFUNCTION("GOOGLETRANSLATE(B44946,""en"",""pt"")"),"Oxnard Shores")</f>
        <v>Oxnard Shores</v>
      </c>
      <c r="B15814" s="9" t="s">
        <v>29590</v>
      </c>
      <c r="C15814" s="9" t="s">
        <v>27788</v>
      </c>
      <c r="D15814" s="9" t="s">
        <v>27801</v>
      </c>
      <c r="E15814" s="10">
        <v>5380202</v>
      </c>
      <c r="F15814" s="4" t="str">
        <f>IF(B15814=B15813,"",B15814)</f>
        <v/>
      </c>
    </row>
    <row r="15815" spans="1:6" ht="15.75" customHeight="1">
      <c r="A15815" s="15" t="s">
        <v>29589</v>
      </c>
      <c r="B15815" s="15" t="s">
        <v>29589</v>
      </c>
      <c r="C15815" s="15" t="s">
        <v>27788</v>
      </c>
      <c r="D15815" s="15" t="s">
        <v>27801</v>
      </c>
      <c r="E15815" s="2">
        <v>5380184</v>
      </c>
      <c r="F15815" s="4" t="str">
        <f>IF(B15815=B15814,"",B15815)</f>
        <v>Oxnard</v>
      </c>
    </row>
    <row r="15816" spans="1:6" ht="15.75" customHeight="1">
      <c r="A15816" s="8" t="str">
        <f ca="1">IFERROR(__xludf.DUMMYFUNCTION("GOOGLETRANSLATE(B44945,""en"",""pt"")"),"Oxnard")</f>
        <v>Oxnard</v>
      </c>
      <c r="B15816" s="9" t="s">
        <v>29589</v>
      </c>
      <c r="C15816" s="9" t="s">
        <v>27788</v>
      </c>
      <c r="D15816" s="9" t="s">
        <v>27801</v>
      </c>
      <c r="E15816" s="10">
        <v>5380184</v>
      </c>
      <c r="F15816" s="4" t="str">
        <f>IF(B15816=B15815,"",B15816)</f>
        <v/>
      </c>
    </row>
    <row r="15817" spans="1:6" ht="15.75" customHeight="1">
      <c r="A15817" s="16" t="s">
        <v>18138</v>
      </c>
      <c r="B15817" s="15" t="s">
        <v>18138</v>
      </c>
      <c r="C15817" s="16" t="s">
        <v>17707</v>
      </c>
      <c r="D15817" s="16" t="s">
        <v>17823</v>
      </c>
      <c r="E15817" s="2">
        <v>3522251</v>
      </c>
      <c r="F15817" s="4" t="str">
        <f>IF(B15817=B15816,"",B15817)</f>
        <v>Oxkutzkab</v>
      </c>
    </row>
    <row r="15818" spans="1:6" ht="15.75" customHeight="1">
      <c r="A15818" s="8" t="str">
        <f ca="1">IFERROR(__xludf.DUMMYFUNCTION("GOOGLETRANSLATE(B36959,""en"",""pt"")"),"Oxkutzkab")</f>
        <v>Oxkutzkab</v>
      </c>
      <c r="B15818" s="9" t="s">
        <v>18138</v>
      </c>
      <c r="C15818" s="9" t="s">
        <v>17707</v>
      </c>
      <c r="D15818" s="9" t="s">
        <v>34661</v>
      </c>
      <c r="E15818" s="10">
        <v>3522251</v>
      </c>
      <c r="F15818" s="4" t="str">
        <f>IF(B15818=B15817,"",B15818)</f>
        <v/>
      </c>
    </row>
    <row r="15819" spans="1:6" ht="15.75" customHeight="1">
      <c r="A15819" s="15" t="s">
        <v>27586</v>
      </c>
      <c r="B15819" s="15" t="s">
        <v>27586</v>
      </c>
      <c r="C15819" s="15" t="s">
        <v>27234</v>
      </c>
      <c r="D15819" s="15" t="s">
        <v>27241</v>
      </c>
      <c r="E15819" s="2">
        <v>2640729</v>
      </c>
      <c r="F15819" s="4" t="str">
        <f>IF(B15819=B15818,"",B15819)</f>
        <v>Oxford</v>
      </c>
    </row>
    <row r="15820" spans="1:6" ht="15.75" customHeight="1">
      <c r="A15820" s="15" t="s">
        <v>27586</v>
      </c>
      <c r="B15820" s="15" t="s">
        <v>27586</v>
      </c>
      <c r="C15820" s="15" t="s">
        <v>27788</v>
      </c>
      <c r="D15820" s="15" t="s">
        <v>28023</v>
      </c>
      <c r="E15820" s="2">
        <v>4081914</v>
      </c>
      <c r="F15820" s="4" t="str">
        <f>IF(B15820=B15819,"",B15820)</f>
        <v/>
      </c>
    </row>
    <row r="15821" spans="1:6" ht="15.75" customHeight="1">
      <c r="A15821" s="15" t="s">
        <v>27586</v>
      </c>
      <c r="B15821" s="15" t="s">
        <v>27586</v>
      </c>
      <c r="C15821" s="15" t="s">
        <v>27788</v>
      </c>
      <c r="D15821" s="15" t="s">
        <v>28040</v>
      </c>
      <c r="E15821" s="2">
        <v>4440076</v>
      </c>
      <c r="F15821" s="4" t="str">
        <f>IF(B15821=B15820,"",B15821)</f>
        <v/>
      </c>
    </row>
    <row r="15822" spans="1:6" ht="15.75" customHeight="1">
      <c r="A15822" s="15" t="s">
        <v>27586</v>
      </c>
      <c r="B15822" s="15" t="s">
        <v>27586</v>
      </c>
      <c r="C15822" s="15" t="s">
        <v>27788</v>
      </c>
      <c r="D15822" s="15" t="s">
        <v>27813</v>
      </c>
      <c r="E15822" s="2">
        <v>4520760</v>
      </c>
      <c r="F15822" s="4" t="str">
        <f>IF(B15822=B15821,"",B15822)</f>
        <v/>
      </c>
    </row>
    <row r="15823" spans="1:6" ht="15.75" customHeight="1">
      <c r="A15823" s="8" t="str">
        <f ca="1">IFERROR(__xludf.DUMMYFUNCTION("GOOGLETRANSLATE(B30492,""en"",""pt"")"),"Oxford")</f>
        <v>Oxford</v>
      </c>
      <c r="B15823" s="11" t="s">
        <v>27586</v>
      </c>
      <c r="C15823" s="11" t="s">
        <v>27234</v>
      </c>
      <c r="D15823" s="11" t="s">
        <v>27241</v>
      </c>
      <c r="E15823" s="10">
        <v>2640729</v>
      </c>
      <c r="F15823" s="4" t="str">
        <f>IF(B15823=B15822,"",B15823)</f>
        <v/>
      </c>
    </row>
    <row r="15824" spans="1:6" ht="15.75" customHeight="1">
      <c r="A15824" s="8" t="str">
        <f ca="1">IFERROR(__xludf.DUMMYFUNCTION("GOOGLETRANSLATE(B42794,""en"",""pt"")"),"Oxford")</f>
        <v>Oxford</v>
      </c>
      <c r="B15824" s="9" t="s">
        <v>27586</v>
      </c>
      <c r="C15824" s="9" t="s">
        <v>27788</v>
      </c>
      <c r="D15824" s="9" t="s">
        <v>28023</v>
      </c>
      <c r="E15824" s="10">
        <v>4081914</v>
      </c>
      <c r="F15824" s="4" t="str">
        <f>IF(B15824=B15823,"",B15824)</f>
        <v/>
      </c>
    </row>
    <row r="15825" spans="1:6" ht="15.75" customHeight="1">
      <c r="A15825" s="8" t="str">
        <f ca="1">IFERROR(__xludf.DUMMYFUNCTION("GOOGLETRANSLATE(B43417,""en"",""pt"")"),"Oxford")</f>
        <v>Oxford</v>
      </c>
      <c r="B15825" s="11" t="s">
        <v>27586</v>
      </c>
      <c r="C15825" s="11" t="s">
        <v>27788</v>
      </c>
      <c r="D15825" s="11" t="s">
        <v>28040</v>
      </c>
      <c r="E15825" s="10">
        <v>4440076</v>
      </c>
      <c r="F15825" s="4" t="str">
        <f>IF(B15825=B15824,"",B15825)</f>
        <v/>
      </c>
    </row>
    <row r="15826" spans="1:6" ht="15.75" customHeight="1">
      <c r="A15826" s="8" t="str">
        <f ca="1">IFERROR(__xludf.DUMMYFUNCTION("GOOGLETRANSLATE(B43523,""en"",""pt"")"),"Oxford")</f>
        <v>Oxford</v>
      </c>
      <c r="B15826" s="9" t="s">
        <v>27586</v>
      </c>
      <c r="C15826" s="9" t="s">
        <v>27788</v>
      </c>
      <c r="D15826" s="9" t="s">
        <v>27813</v>
      </c>
      <c r="E15826" s="10">
        <v>4520760</v>
      </c>
      <c r="F15826" s="4" t="str">
        <f>IF(B15826=B15825,"",B15826)</f>
        <v/>
      </c>
    </row>
    <row r="15827" spans="1:6" ht="15.75" customHeight="1">
      <c r="A15827" s="15" t="s">
        <v>29587</v>
      </c>
      <c r="B15827" s="15" t="s">
        <v>29588</v>
      </c>
      <c r="C15827" s="15" t="s">
        <v>27788</v>
      </c>
      <c r="D15827" s="15" t="s">
        <v>27804</v>
      </c>
      <c r="E15827" s="2">
        <v>5004792</v>
      </c>
      <c r="F15827" s="4" t="str">
        <f>IF(B15827=B15826,"",B15827)</f>
        <v>Owosso</v>
      </c>
    </row>
    <row r="15828" spans="1:6" ht="15.75" customHeight="1">
      <c r="A15828" s="8" t="str">
        <f ca="1">IFERROR(__xludf.DUMMYFUNCTION("GOOGLETRANSLATE(B44111,""en"",""pt"")"),"OWOSSO")</f>
        <v>OWOSSO</v>
      </c>
      <c r="B15828" s="9" t="s">
        <v>29588</v>
      </c>
      <c r="C15828" s="9" t="s">
        <v>27788</v>
      </c>
      <c r="D15828" s="9" t="s">
        <v>27804</v>
      </c>
      <c r="E15828" s="10">
        <v>5004792</v>
      </c>
      <c r="F15828" s="4" t="str">
        <f>IF(B15828=B15827,"",B15828)</f>
        <v/>
      </c>
    </row>
    <row r="15829" spans="1:6" ht="15.75" customHeight="1">
      <c r="A15829" s="15" t="s">
        <v>19547</v>
      </c>
      <c r="B15829" s="15" t="s">
        <v>19548</v>
      </c>
      <c r="C15829" s="15" t="s">
        <v>19294</v>
      </c>
      <c r="D15829" s="15" t="s">
        <v>19314</v>
      </c>
      <c r="E15829" s="2">
        <v>2325314</v>
      </c>
      <c r="F15829" s="4" t="str">
        <f>IF(B15829=B15828,"",B15829)</f>
        <v>Owo</v>
      </c>
    </row>
    <row r="15830" spans="1:6" ht="15.75" customHeight="1">
      <c r="A15830" s="8" t="str">
        <f ca="1">IFERROR(__xludf.DUMMYFUNCTION("GOOGLETRANSLATE(B37643,""en"",""pt"")"),"OWO")</f>
        <v>OWO</v>
      </c>
      <c r="B15830" s="9" t="s">
        <v>19548</v>
      </c>
      <c r="C15830" s="9" t="s">
        <v>19294</v>
      </c>
      <c r="D15830" s="9" t="s">
        <v>19314</v>
      </c>
      <c r="E15830" s="10">
        <v>2325314</v>
      </c>
      <c r="F15830" s="4" t="str">
        <f>IF(B15830=B15829,"",B15830)</f>
        <v/>
      </c>
    </row>
    <row r="15831" spans="1:6" ht="15.75" customHeight="1">
      <c r="A15831" s="16" t="s">
        <v>29586</v>
      </c>
      <c r="B15831" s="15" t="s">
        <v>29586</v>
      </c>
      <c r="C15831" s="16" t="s">
        <v>27788</v>
      </c>
      <c r="D15831" s="16" t="s">
        <v>17061</v>
      </c>
      <c r="E15831" s="2">
        <v>4364727</v>
      </c>
      <c r="F15831" s="4" t="str">
        <f>IF(B15831=B15830,"",B15831)</f>
        <v>Owings Mills</v>
      </c>
    </row>
    <row r="15832" spans="1:6" ht="15.75" customHeight="1">
      <c r="A15832" s="8" t="str">
        <f ca="1">IFERROR(__xludf.DUMMYFUNCTION("GOOGLETRANSLATE(B43315,""en"",""pt"")"),"Owings Mills")</f>
        <v>Owings Mills</v>
      </c>
      <c r="B15832" s="9" t="s">
        <v>29586</v>
      </c>
      <c r="C15832" s="9" t="s">
        <v>27788</v>
      </c>
      <c r="D15832" s="9" t="s">
        <v>17061</v>
      </c>
      <c r="E15832" s="10">
        <v>4364727</v>
      </c>
      <c r="F15832" s="4" t="str">
        <f>IF(B15832=B15831,"",B15832)</f>
        <v/>
      </c>
    </row>
    <row r="15833" spans="1:6" ht="15.75" customHeight="1">
      <c r="A15833" s="15" t="s">
        <v>19546</v>
      </c>
      <c r="B15833" s="15" t="s">
        <v>19546</v>
      </c>
      <c r="C15833" s="15" t="s">
        <v>19294</v>
      </c>
      <c r="D15833" s="15" t="s">
        <v>19513</v>
      </c>
      <c r="E15833" s="2">
        <v>2325330</v>
      </c>
      <c r="F15833" s="4" t="str">
        <f>IF(B15833=B15832,"",B15833)</f>
        <v>Owerri</v>
      </c>
    </row>
    <row r="15834" spans="1:6" ht="15.75" customHeight="1">
      <c r="A15834" s="8" t="str">
        <f ca="1">IFERROR(__xludf.DUMMYFUNCTION("GOOGLETRANSLATE(B37644,""en"",""pt"")"),"Owerri")</f>
        <v>Owerri</v>
      </c>
      <c r="B15834" s="9" t="s">
        <v>19546</v>
      </c>
      <c r="C15834" s="9" t="s">
        <v>19294</v>
      </c>
      <c r="D15834" s="9" t="s">
        <v>19513</v>
      </c>
      <c r="E15834" s="10">
        <v>2325330</v>
      </c>
      <c r="F15834" s="4" t="str">
        <f>IF(B15834=B15833,"",B15834)</f>
        <v/>
      </c>
    </row>
    <row r="15835" spans="1:6" ht="15.75" customHeight="1">
      <c r="A15835" s="16" t="s">
        <v>29585</v>
      </c>
      <c r="B15835" s="15" t="s">
        <v>29585</v>
      </c>
      <c r="C15835" s="16" t="s">
        <v>27788</v>
      </c>
      <c r="D15835" s="16" t="s">
        <v>27909</v>
      </c>
      <c r="E15835" s="2">
        <v>4303436</v>
      </c>
      <c r="F15835" s="4" t="str">
        <f>IF(B15835=B15834,"",B15835)</f>
        <v>Owensboro</v>
      </c>
    </row>
    <row r="15836" spans="1:6" ht="15.75" customHeight="1">
      <c r="A15836" s="8" t="str">
        <f ca="1">IFERROR(__xludf.DUMMYFUNCTION("GOOGLETRANSLATE(B43215,""en"",""pt"")"),"Owensboro")</f>
        <v>Owensboro</v>
      </c>
      <c r="B15836" s="9" t="s">
        <v>29585</v>
      </c>
      <c r="C15836" s="9" t="s">
        <v>27788</v>
      </c>
      <c r="D15836" s="9" t="s">
        <v>27909</v>
      </c>
      <c r="E15836" s="10">
        <v>4303436</v>
      </c>
      <c r="F15836" s="4" t="str">
        <f>IF(B15836=B15835,"",B15836)</f>
        <v/>
      </c>
    </row>
    <row r="15837" spans="1:6" ht="15.75" customHeight="1">
      <c r="A15837" s="16" t="s">
        <v>4135</v>
      </c>
      <c r="B15837" s="15" t="s">
        <v>4135</v>
      </c>
      <c r="C15837" s="16" t="s">
        <v>3975</v>
      </c>
      <c r="D15837" s="16" t="s">
        <v>3980</v>
      </c>
      <c r="E15837" s="2">
        <v>6095645</v>
      </c>
      <c r="F15837" s="4" t="str">
        <f>IF(B15837=B15836,"",B15837)</f>
        <v>Owen Sound</v>
      </c>
    </row>
    <row r="15838" spans="1:6" ht="15.75" customHeight="1">
      <c r="A15838" s="8" t="str">
        <f ca="1">IFERROR(__xludf.DUMMYFUNCTION("GOOGLETRANSLATE(B25539,""en"",""pt"")"),"Owen Sound")</f>
        <v>Owen Sound</v>
      </c>
      <c r="B15838" s="9" t="s">
        <v>4135</v>
      </c>
      <c r="C15838" s="9" t="s">
        <v>3975</v>
      </c>
      <c r="D15838" s="9" t="s">
        <v>3980</v>
      </c>
      <c r="E15838" s="10">
        <v>6095645</v>
      </c>
      <c r="F15838" s="4" t="str">
        <f>IF(B15838=B15837,"",B15838)</f>
        <v/>
      </c>
    </row>
    <row r="15839" spans="1:6" ht="15.75" customHeight="1">
      <c r="A15839" s="16" t="s">
        <v>29584</v>
      </c>
      <c r="B15839" s="15" t="s">
        <v>29584</v>
      </c>
      <c r="C15839" s="16" t="s">
        <v>27788</v>
      </c>
      <c r="D15839" s="16" t="s">
        <v>27824</v>
      </c>
      <c r="E15839" s="2">
        <v>5040647</v>
      </c>
      <c r="F15839" s="4" t="str">
        <f>IF(B15839=B15838,"",B15839)</f>
        <v>Owatonna</v>
      </c>
    </row>
    <row r="15840" spans="1:6" ht="15.75" customHeight="1">
      <c r="A15840" s="8" t="str">
        <f ca="1">IFERROR(__xludf.DUMMYFUNCTION("GOOGLETRANSLATE(B44184,""en"",""pt"")"),"Owatonna")</f>
        <v>Owatonna</v>
      </c>
      <c r="B15840" s="9" t="s">
        <v>29584</v>
      </c>
      <c r="C15840" s="9" t="s">
        <v>27788</v>
      </c>
      <c r="D15840" s="9" t="s">
        <v>27824</v>
      </c>
      <c r="E15840" s="10">
        <v>5040647</v>
      </c>
      <c r="F15840" s="4" t="str">
        <f>IF(B15840=B15839,"",B15840)</f>
        <v/>
      </c>
    </row>
    <row r="15841" spans="1:6" ht="15.75" customHeight="1">
      <c r="A15841" s="15" t="s">
        <v>29583</v>
      </c>
      <c r="B15841" s="15" t="s">
        <v>29583</v>
      </c>
      <c r="C15841" s="15" t="s">
        <v>27788</v>
      </c>
      <c r="D15841" s="15" t="s">
        <v>27797</v>
      </c>
      <c r="E15841" s="2">
        <v>4547407</v>
      </c>
      <c r="F15841" s="4" t="str">
        <f>IF(B15841=B15840,"",B15841)</f>
        <v>Owasso</v>
      </c>
    </row>
    <row r="15842" spans="1:6" ht="15.75" customHeight="1">
      <c r="A15842" s="8" t="str">
        <f ca="1">IFERROR(__xludf.DUMMYFUNCTION("GOOGLETRANSLATE(B43561,""en"",""pt"")"),"Owasso")</f>
        <v>Owasso</v>
      </c>
      <c r="B15842" s="9" t="s">
        <v>29583</v>
      </c>
      <c r="C15842" s="9" t="s">
        <v>27788</v>
      </c>
      <c r="D15842" s="9" t="s">
        <v>27797</v>
      </c>
      <c r="E15842" s="10">
        <v>4547407</v>
      </c>
      <c r="F15842" s="4" t="str">
        <f>IF(B15842=B15841,"",B15842)</f>
        <v/>
      </c>
    </row>
    <row r="15843" spans="1:6" ht="15.75" customHeight="1">
      <c r="A15843" s="15" t="s">
        <v>16349</v>
      </c>
      <c r="B15843" s="15" t="s">
        <v>16349</v>
      </c>
      <c r="C15843" s="15" t="s">
        <v>15704</v>
      </c>
      <c r="D15843" s="15" t="s">
        <v>15967</v>
      </c>
      <c r="E15843" s="2">
        <v>1853514</v>
      </c>
      <c r="F15843" s="4" t="str">
        <f>IF(B15843=B15842,"",B15843)</f>
        <v>Owase</v>
      </c>
    </row>
    <row r="15844" spans="1:6" ht="15.75" customHeight="1">
      <c r="A15844" s="8" t="str">
        <f ca="1">IFERROR(__xludf.DUMMYFUNCTION("GOOGLETRANSLATE(B35337,""en"",""pt"")"),"Owase")</f>
        <v>Owase</v>
      </c>
      <c r="B15844" s="9" t="s">
        <v>16349</v>
      </c>
      <c r="C15844" s="9" t="s">
        <v>15704</v>
      </c>
      <c r="D15844" s="9" t="s">
        <v>15967</v>
      </c>
      <c r="E15844" s="10">
        <v>1853514</v>
      </c>
      <c r="F15844" s="4" t="str">
        <f>IF(B15844=B15843,"",B15844)</f>
        <v/>
      </c>
    </row>
    <row r="15845" spans="1:6" ht="15.75" customHeight="1">
      <c r="A15845" s="15" t="s">
        <v>21803</v>
      </c>
      <c r="B15845" s="15" t="s">
        <v>21803</v>
      </c>
      <c r="C15845" s="15" t="s">
        <v>21788</v>
      </c>
      <c r="D15845" s="15" t="s">
        <v>21804</v>
      </c>
      <c r="E15845" s="2">
        <v>2255542</v>
      </c>
      <c r="F15845" s="4" t="str">
        <f>IF(B15845=B15844,"",B15845)</f>
        <v>Owando</v>
      </c>
    </row>
    <row r="15846" spans="1:6" ht="15.75" customHeight="1">
      <c r="A15846" s="8" t="str">
        <f ca="1">IFERROR(__xludf.DUMMYFUNCTION("GOOGLETRANSLATE(B25732,""en"",""pt"")"),"Owando")</f>
        <v>Owando</v>
      </c>
      <c r="B15846" s="9" t="s">
        <v>21803</v>
      </c>
      <c r="C15846" s="9" t="s">
        <v>21788</v>
      </c>
      <c r="D15846" s="9" t="s">
        <v>21804</v>
      </c>
      <c r="E15846" s="10">
        <v>2255542</v>
      </c>
      <c r="F15846" s="4" t="str">
        <f>IF(B15846=B15845,"",B15846)</f>
        <v/>
      </c>
    </row>
    <row r="15847" spans="1:6" ht="15.75" customHeight="1">
      <c r="A15847" s="15" t="s">
        <v>27101</v>
      </c>
      <c r="B15847" s="15" t="s">
        <v>27101</v>
      </c>
      <c r="C15847" s="15" t="s">
        <v>26870</v>
      </c>
      <c r="D15847" s="15" t="s">
        <v>26900</v>
      </c>
      <c r="E15847" s="2">
        <v>698131</v>
      </c>
      <c r="F15847" s="4" t="str">
        <f>IF(B15847=B15846,"",B15847)</f>
        <v>Ovruch</v>
      </c>
    </row>
    <row r="15848" spans="1:6" ht="15.75" customHeight="1">
      <c r="A15848" s="8" t="str">
        <f ca="1">IFERROR(__xludf.DUMMYFUNCTION("GOOGLETRANSLATE(B42556,""en"",""pt"")"),"Ovruch")</f>
        <v>Ovruch</v>
      </c>
      <c r="B15848" s="9" t="s">
        <v>27101</v>
      </c>
      <c r="C15848" s="9" t="s">
        <v>26870</v>
      </c>
      <c r="D15848" s="9" t="s">
        <v>26900</v>
      </c>
      <c r="E15848" s="10">
        <v>698131</v>
      </c>
      <c r="F15848" s="4" t="str">
        <f>IF(B15848=B15847,"",B15848)</f>
        <v/>
      </c>
    </row>
    <row r="15849" spans="1:6" ht="15.75" customHeight="1">
      <c r="A15849" s="15" t="s">
        <v>24672</v>
      </c>
      <c r="B15849" s="15" t="s">
        <v>24672</v>
      </c>
      <c r="C15849" s="15" t="s">
        <v>24200</v>
      </c>
      <c r="D15849" s="15" t="s">
        <v>24303</v>
      </c>
      <c r="E15849" s="2">
        <v>3114711</v>
      </c>
      <c r="F15849" s="4" t="str">
        <f>IF(B15849=B15848,"",B15849)</f>
        <v>Oviedo</v>
      </c>
    </row>
    <row r="15850" spans="1:6" ht="15.75" customHeight="1">
      <c r="A15850" s="15" t="s">
        <v>24672</v>
      </c>
      <c r="B15850" s="15" t="s">
        <v>24672</v>
      </c>
      <c r="C15850" s="15" t="s">
        <v>27788</v>
      </c>
      <c r="D15850" s="15" t="s">
        <v>5468</v>
      </c>
      <c r="E15850" s="2">
        <v>4167348</v>
      </c>
      <c r="F15850" s="4" t="str">
        <f>IF(B15850=B15849,"",B15850)</f>
        <v/>
      </c>
    </row>
    <row r="15851" spans="1:6" ht="15.75" customHeight="1">
      <c r="A15851" s="8" t="str">
        <f ca="1">IFERROR(__xludf.DUMMYFUNCTION("GOOGLETRANSLATE(B29336,""en"",""pt"")"),"Oviedo")</f>
        <v>Oviedo</v>
      </c>
      <c r="B15851" s="11" t="s">
        <v>24672</v>
      </c>
      <c r="C15851" s="11" t="s">
        <v>24200</v>
      </c>
      <c r="D15851" s="11" t="s">
        <v>24303</v>
      </c>
      <c r="E15851" s="10">
        <v>3114711</v>
      </c>
      <c r="F15851" s="4" t="str">
        <f>IF(B15851=B15850,"",B15851)</f>
        <v/>
      </c>
    </row>
    <row r="15852" spans="1:6" ht="15.75" customHeight="1">
      <c r="A15852" s="8" t="str">
        <f ca="1">IFERROR(__xludf.DUMMYFUNCTION("GOOGLETRANSLATE(B42973,""en"",""pt"")"),"Oviedo")</f>
        <v>Oviedo</v>
      </c>
      <c r="B15852" s="9" t="s">
        <v>24672</v>
      </c>
      <c r="C15852" s="9" t="s">
        <v>27788</v>
      </c>
      <c r="D15852" s="9" t="s">
        <v>5468</v>
      </c>
      <c r="E15852" s="10">
        <v>4167348</v>
      </c>
      <c r="F15852" s="4" t="str">
        <f>IF(B15852=B15851,"",B15852)</f>
        <v/>
      </c>
    </row>
    <row r="15853" spans="1:6" ht="15.75" customHeight="1">
      <c r="A15853" s="16" t="s">
        <v>29582</v>
      </c>
      <c r="B15853" s="15" t="s">
        <v>29582</v>
      </c>
      <c r="C15853" s="16" t="s">
        <v>27788</v>
      </c>
      <c r="D15853" s="16" t="s">
        <v>28419</v>
      </c>
      <c r="E15853" s="2">
        <v>4276873</v>
      </c>
      <c r="F15853" s="4" t="str">
        <f>IF(B15853=B15852,"",B15853)</f>
        <v>Overland Park</v>
      </c>
    </row>
    <row r="15854" spans="1:6" ht="15.75" customHeight="1">
      <c r="A15854" s="8" t="str">
        <f ca="1">IFERROR(__xludf.DUMMYFUNCTION("GOOGLETRANSLATE(B43180,""en"",""pt"")"),"Overland Park")</f>
        <v>Overland Park</v>
      </c>
      <c r="B15854" s="9" t="s">
        <v>29582</v>
      </c>
      <c r="C15854" s="9" t="s">
        <v>27788</v>
      </c>
      <c r="D15854" s="9" t="s">
        <v>28419</v>
      </c>
      <c r="E15854" s="10">
        <v>4276873</v>
      </c>
      <c r="F15854" s="4" t="str">
        <f>IF(B15854=B15853,"",B15854)</f>
        <v/>
      </c>
    </row>
    <row r="15855" spans="1:6" ht="15.75" customHeight="1">
      <c r="A15855" s="15" t="s">
        <v>29580</v>
      </c>
      <c r="B15855" s="15" t="s">
        <v>29581</v>
      </c>
      <c r="C15855" s="15" t="s">
        <v>27788</v>
      </c>
      <c r="D15855" s="15" t="s">
        <v>27806</v>
      </c>
      <c r="E15855" s="2">
        <v>4402178</v>
      </c>
      <c r="F15855" s="4" t="str">
        <f>IF(B15855=B15854,"",B15855)</f>
        <v>Overland</v>
      </c>
    </row>
    <row r="15856" spans="1:6" ht="15.75" customHeight="1">
      <c r="A15856" s="8" t="str">
        <f ca="1">IFERROR(__xludf.DUMMYFUNCTION("GOOGLETRANSLATE(B43380,""en"",""pt"")"),"Terrestre")</f>
        <v>Terrestre</v>
      </c>
      <c r="B15856" s="9" t="s">
        <v>29581</v>
      </c>
      <c r="C15856" s="9" t="s">
        <v>27788</v>
      </c>
      <c r="D15856" s="9" t="s">
        <v>27806</v>
      </c>
      <c r="E15856" s="10">
        <v>4402178</v>
      </c>
      <c r="F15856" s="4" t="str">
        <f>IF(B15856=B15855,"",B15856)</f>
        <v/>
      </c>
    </row>
    <row r="15857" spans="1:6" ht="15.75" customHeight="1">
      <c r="A15857" s="15" t="s">
        <v>1658</v>
      </c>
      <c r="B15857" s="15" t="s">
        <v>1658</v>
      </c>
      <c r="C15857" s="15" t="s">
        <v>1512</v>
      </c>
      <c r="D15857" s="15" t="s">
        <v>1513</v>
      </c>
      <c r="E15857" s="2">
        <v>2789413</v>
      </c>
      <c r="F15857" s="4" t="str">
        <f>IF(B15857=B15856,"",B15857)</f>
        <v>Overijse</v>
      </c>
    </row>
    <row r="15858" spans="1:6" ht="15.75" customHeight="1">
      <c r="A15858" s="8" t="str">
        <f ca="1">IFERROR(__xludf.DUMMYFUNCTION("GOOGLETRANSLATE(B23852,""en"",""pt"")"),"Overijse")</f>
        <v>Overijse</v>
      </c>
      <c r="B15858" s="9" t="s">
        <v>1658</v>
      </c>
      <c r="C15858" s="9" t="s">
        <v>1512</v>
      </c>
      <c r="D15858" s="9" t="s">
        <v>1513</v>
      </c>
      <c r="E15858" s="10">
        <v>2789413</v>
      </c>
      <c r="F15858" s="4" t="str">
        <f>IF(B15858=B15857,"",B15858)</f>
        <v/>
      </c>
    </row>
    <row r="15859" spans="1:6" ht="15.75" customHeight="1">
      <c r="A15859" s="15" t="s">
        <v>8977</v>
      </c>
      <c r="B15859" s="15" t="s">
        <v>8977</v>
      </c>
      <c r="C15859" s="15" t="s">
        <v>8028</v>
      </c>
      <c r="D15859" s="15" t="s">
        <v>8029</v>
      </c>
      <c r="E15859" s="2">
        <v>2855859</v>
      </c>
      <c r="F15859" s="4" t="str">
        <f>IF(B15859=B15858,"",B15859)</f>
        <v>Overath</v>
      </c>
    </row>
    <row r="15860" spans="1:6" ht="15.75" customHeight="1">
      <c r="A15860" s="8" t="str">
        <f ca="1">IFERROR(__xludf.DUMMYFUNCTION("GOOGLETRANSLATE(B27661,""en"",""pt"")"),"Overath")</f>
        <v>Overath</v>
      </c>
      <c r="B15860" s="9" t="s">
        <v>8977</v>
      </c>
      <c r="C15860" s="9" t="s">
        <v>8028</v>
      </c>
      <c r="D15860" s="9" t="s">
        <v>8029</v>
      </c>
      <c r="E15860" s="10">
        <v>2855859</v>
      </c>
      <c r="F15860" s="4" t="str">
        <f>IF(B15860=B15859,"",B15860)</f>
        <v/>
      </c>
    </row>
    <row r="15861" spans="1:6" ht="15.75" customHeight="1">
      <c r="A15861" s="15" t="s">
        <v>21696</v>
      </c>
      <c r="B15861" s="15" t="s">
        <v>21696</v>
      </c>
      <c r="C15861" s="15" t="s">
        <v>21606</v>
      </c>
      <c r="D15861" s="15" t="s">
        <v>21612</v>
      </c>
      <c r="E15861" s="2">
        <v>2736930</v>
      </c>
      <c r="F15861" s="4" t="str">
        <f>IF(B15861=B15860,"",B15861)</f>
        <v>Ovar</v>
      </c>
    </row>
    <row r="15862" spans="1:6" ht="15.75" customHeight="1">
      <c r="A15862" s="8" t="str">
        <f ca="1">IFERROR(__xludf.DUMMYFUNCTION("GOOGLETRANSLATE(B39648,""en"",""pt"")"),"Ovar")</f>
        <v>Ovar</v>
      </c>
      <c r="B15862" s="9" t="s">
        <v>21696</v>
      </c>
      <c r="C15862" s="9" t="s">
        <v>21606</v>
      </c>
      <c r="D15862" s="9" t="s">
        <v>21612</v>
      </c>
      <c r="E15862" s="10">
        <v>2736930</v>
      </c>
      <c r="F15862" s="4" t="str">
        <f>IF(B15862=B15861,"",B15862)</f>
        <v/>
      </c>
    </row>
    <row r="15863" spans="1:6" ht="15.75" customHeight="1">
      <c r="A15863" s="15" t="s">
        <v>4438</v>
      </c>
      <c r="B15863" s="15" t="s">
        <v>4438</v>
      </c>
      <c r="C15863" s="15" t="s">
        <v>4355</v>
      </c>
      <c r="D15863" s="15" t="s">
        <v>4390</v>
      </c>
      <c r="E15863" s="2">
        <v>3877918</v>
      </c>
      <c r="F15863" s="4" t="str">
        <f>IF(B15863=B15862,"",B15863)</f>
        <v>Ovalle</v>
      </c>
    </row>
    <row r="15864" spans="1:6" ht="15.75" customHeight="1">
      <c r="A15864" s="8" t="str">
        <f ca="1">IFERROR(__xludf.DUMMYFUNCTION("GOOGLETRANSLATE(B25923,""en"",""pt"")"),"Ovalle")</f>
        <v>Ovalle</v>
      </c>
      <c r="B15864" s="9" t="s">
        <v>4438</v>
      </c>
      <c r="C15864" s="9" t="s">
        <v>4355</v>
      </c>
      <c r="D15864" s="9" t="s">
        <v>4390</v>
      </c>
      <c r="E15864" s="10">
        <v>3877918</v>
      </c>
      <c r="F15864" s="4" t="str">
        <f>IF(B15864=B15863,"",B15864)</f>
        <v/>
      </c>
    </row>
    <row r="15865" spans="1:6" ht="15.75" customHeight="1">
      <c r="A15865" s="15" t="s">
        <v>7662</v>
      </c>
      <c r="B15865" s="15" t="s">
        <v>7662</v>
      </c>
      <c r="C15865" s="15" t="s">
        <v>7052</v>
      </c>
      <c r="D15865" s="15" t="s">
        <v>7078</v>
      </c>
      <c r="E15865" s="2">
        <v>2988936</v>
      </c>
      <c r="F15865" s="4" t="str">
        <f>IF(B15865=B15864,"",B15865)</f>
        <v>Outreau</v>
      </c>
    </row>
    <row r="15866" spans="1:6" ht="15.75" customHeight="1">
      <c r="A15866" s="8" t="str">
        <f ca="1">IFERROR(__xludf.DUMMYFUNCTION("GOOGLETRANSLATE(B29863,""en"",""pt"")"),"Outreau")</f>
        <v>Outreau</v>
      </c>
      <c r="B15866" s="9" t="s">
        <v>7662</v>
      </c>
      <c r="C15866" s="9" t="s">
        <v>7052</v>
      </c>
      <c r="D15866" s="9" t="s">
        <v>7078</v>
      </c>
      <c r="E15866" s="10">
        <v>2988936</v>
      </c>
      <c r="F15866" s="4" t="str">
        <f>IF(B15866=B15865,"",B15866)</f>
        <v/>
      </c>
    </row>
    <row r="15867" spans="1:6" ht="15.75" customHeight="1">
      <c r="A15867" s="16" t="s">
        <v>3005</v>
      </c>
      <c r="B15867" s="15" t="s">
        <v>3006</v>
      </c>
      <c r="C15867" s="16" t="s">
        <v>1905</v>
      </c>
      <c r="D15867" s="16" t="s">
        <v>2038</v>
      </c>
      <c r="E15867" s="2">
        <v>3924948</v>
      </c>
      <c r="F15867" s="4" t="str">
        <f>IF(B15867=B15866,"",B15867)</f>
        <v>Ouro Preto do Oeste</v>
      </c>
    </row>
    <row r="15868" spans="1:6" ht="15.75" customHeight="1">
      <c r="A15868" s="8" t="str">
        <f ca="1">IFERROR(__xludf.DUMMYFUNCTION("GOOGLETRANSLATE(B25327,""en"",""pt"")"),"Ouro preto doeste")</f>
        <v>Ouro preto doeste</v>
      </c>
      <c r="B15868" s="9" t="s">
        <v>3006</v>
      </c>
      <c r="C15868" s="9" t="s">
        <v>1905</v>
      </c>
      <c r="D15868" s="9" t="s">
        <v>31741</v>
      </c>
      <c r="E15868" s="10">
        <v>3924948</v>
      </c>
      <c r="F15868" s="4" t="str">
        <f>IF(B15868=B15867,"",B15868)</f>
        <v/>
      </c>
    </row>
    <row r="15869" spans="1:6" ht="15.75" customHeight="1">
      <c r="A15869" s="16" t="s">
        <v>3003</v>
      </c>
      <c r="B15869" s="15" t="s">
        <v>3004</v>
      </c>
      <c r="C15869" s="16" t="s">
        <v>1905</v>
      </c>
      <c r="D15869" s="16" t="s">
        <v>1917</v>
      </c>
      <c r="E15869" s="2">
        <v>3455671</v>
      </c>
      <c r="F15869" s="4" t="str">
        <f>IF(B15869=B15868,"",B15869)</f>
        <v>Ouro Preto</v>
      </c>
    </row>
    <row r="15870" spans="1:6" ht="15.75" customHeight="1">
      <c r="A15870" s="8" t="str">
        <f ca="1">IFERROR(__xludf.DUMMYFUNCTION("GOOGLETRANSLATE(B24759,""en"",""pt"")"),"Ouro preto")</f>
        <v>Ouro preto</v>
      </c>
      <c r="B15870" s="9" t="s">
        <v>3004</v>
      </c>
      <c r="C15870" s="9" t="s">
        <v>1905</v>
      </c>
      <c r="D15870" s="9" t="s">
        <v>1917</v>
      </c>
      <c r="E15870" s="10">
        <v>3455671</v>
      </c>
      <c r="F15870" s="4" t="str">
        <f>IF(B15870=B15869,"",B15870)</f>
        <v/>
      </c>
    </row>
    <row r="15871" spans="1:6" ht="15.75" customHeight="1">
      <c r="A15871" s="16" t="s">
        <v>3002</v>
      </c>
      <c r="B15871" s="15" t="s">
        <v>3002</v>
      </c>
      <c r="C15871" s="16" t="s">
        <v>1905</v>
      </c>
      <c r="D15871" s="16" t="s">
        <v>1917</v>
      </c>
      <c r="E15871" s="2">
        <v>3455689</v>
      </c>
      <c r="F15871" s="4" t="str">
        <f>IF(B15871=B15870,"",B15871)</f>
        <v>Ouro Branco</v>
      </c>
    </row>
    <row r="15872" spans="1:6" ht="15.75" customHeight="1">
      <c r="A15872" s="8" t="str">
        <f ca="1">IFERROR(__xludf.DUMMYFUNCTION("GOOGLETRANSLATE(B24760,""en"",""pt"")"),"Ouro Branco")</f>
        <v>Ouro Branco</v>
      </c>
      <c r="B15872" s="9" t="s">
        <v>3002</v>
      </c>
      <c r="C15872" s="9" t="s">
        <v>1905</v>
      </c>
      <c r="D15872" s="9" t="s">
        <v>1917</v>
      </c>
      <c r="E15872" s="10">
        <v>3455689</v>
      </c>
      <c r="F15872" s="4" t="str">
        <f>IF(B15872=B15871,"",B15872)</f>
        <v/>
      </c>
    </row>
    <row r="15873" spans="1:6" ht="15.75" customHeight="1">
      <c r="A15873" s="16" t="s">
        <v>3000</v>
      </c>
      <c r="B15873" s="15" t="s">
        <v>3001</v>
      </c>
      <c r="C15873" s="16" t="s">
        <v>1905</v>
      </c>
      <c r="D15873" s="16" t="s">
        <v>1914</v>
      </c>
      <c r="E15873" s="2">
        <v>3455729</v>
      </c>
      <c r="F15873" s="4" t="str">
        <f>IF(B15873=B15872,"",B15873)</f>
        <v>Ourinhos</v>
      </c>
    </row>
    <row r="15874" spans="1:6" ht="15.75" customHeight="1">
      <c r="A15874" s="8" t="str">
        <f ca="1">IFERROR(__xludf.DUMMYFUNCTION("GOOGLETRANSLATE(B24761,""en"",""pt"")"),"OurINHOS")</f>
        <v>OurINHOS</v>
      </c>
      <c r="B15874" s="9" t="s">
        <v>3001</v>
      </c>
      <c r="C15874" s="9" t="s">
        <v>1905</v>
      </c>
      <c r="D15874" s="9" t="s">
        <v>3354</v>
      </c>
      <c r="E15874" s="10">
        <v>3455729</v>
      </c>
      <c r="F15874" s="4" t="str">
        <f>IF(B15874=B15873,"",B15874)</f>
        <v/>
      </c>
    </row>
    <row r="15875" spans="1:6" ht="15.75" customHeight="1">
      <c r="A15875" s="15" t="s">
        <v>2999</v>
      </c>
      <c r="B15875" s="15" t="s">
        <v>2999</v>
      </c>
      <c r="C15875" s="15" t="s">
        <v>1905</v>
      </c>
      <c r="D15875" s="15" t="s">
        <v>1909</v>
      </c>
      <c r="E15875" s="2">
        <v>3393452</v>
      </c>
      <c r="F15875" s="4" t="str">
        <f>IF(B15875=B15874,"",B15875)</f>
        <v>Ouricuri</v>
      </c>
    </row>
    <row r="15876" spans="1:6" ht="15.75" customHeight="1">
      <c r="A15876" s="8" t="str">
        <f ca="1">IFERROR(__xludf.DUMMYFUNCTION("GOOGLETRANSLATE(B24249,""en"",""pt"")"),"Ouricuri")</f>
        <v>Ouricuri</v>
      </c>
      <c r="B15876" s="9" t="s">
        <v>2999</v>
      </c>
      <c r="C15876" s="9" t="s">
        <v>1905</v>
      </c>
      <c r="D15876" s="9" t="s">
        <v>1909</v>
      </c>
      <c r="E15876" s="10">
        <v>3393452</v>
      </c>
      <c r="F15876" s="4" t="str">
        <f>IF(B15876=B15875,"",B15876)</f>
        <v/>
      </c>
    </row>
    <row r="15877" spans="1:6" ht="15.75" customHeight="1">
      <c r="A15877" s="15" t="s">
        <v>24671</v>
      </c>
      <c r="B15877" s="15" t="s">
        <v>24671</v>
      </c>
      <c r="C15877" s="15" t="s">
        <v>24200</v>
      </c>
      <c r="D15877" s="15" t="s">
        <v>24201</v>
      </c>
      <c r="E15877" s="2">
        <v>3114965</v>
      </c>
      <c r="F15877" s="4" t="str">
        <f>IF(B15877=B15876,"",B15877)</f>
        <v>Ourense</v>
      </c>
    </row>
    <row r="15878" spans="1:6" ht="15.75" customHeight="1">
      <c r="A15878" s="8" t="str">
        <f ca="1">IFERROR(__xludf.DUMMYFUNCTION("GOOGLETRANSLATE(B29338,""en"",""pt"")"),"Ourense")</f>
        <v>Ourense</v>
      </c>
      <c r="B15878" s="9" t="s">
        <v>24671</v>
      </c>
      <c r="C15878" s="9" t="s">
        <v>24200</v>
      </c>
      <c r="D15878" s="9" t="s">
        <v>24201</v>
      </c>
      <c r="E15878" s="10">
        <v>3114965</v>
      </c>
      <c r="F15878" s="4" t="str">
        <f>IF(B15878=B15877,"",B15878)</f>
        <v/>
      </c>
    </row>
    <row r="15879" spans="1:6" ht="15.75" customHeight="1">
      <c r="A15879" s="15" t="s">
        <v>1656</v>
      </c>
      <c r="B15879" s="15" t="s">
        <v>1657</v>
      </c>
      <c r="C15879" s="15" t="s">
        <v>1512</v>
      </c>
      <c r="D15879" s="15" t="s">
        <v>1518</v>
      </c>
      <c r="E15879" s="2">
        <v>2789471</v>
      </c>
      <c r="F15879" s="4" t="str">
        <f>IF(B15879=B15878,"",B15879)</f>
        <v>Oupeye</v>
      </c>
    </row>
    <row r="15880" spans="1:6" ht="15.75" customHeight="1">
      <c r="A15880" s="8" t="str">
        <f ca="1">IFERROR(__xludf.DUMMYFUNCTION("GOOGLETRANSLATE(B23853,""en"",""pt"")"),"Opeye")</f>
        <v>Opeye</v>
      </c>
      <c r="B15880" s="9" t="s">
        <v>1657</v>
      </c>
      <c r="C15880" s="9" t="s">
        <v>1512</v>
      </c>
      <c r="D15880" s="9" t="s">
        <v>1518</v>
      </c>
      <c r="E15880" s="10">
        <v>2789471</v>
      </c>
      <c r="F15880" s="4" t="str">
        <f>IF(B15880=B15879,"",B15880)</f>
        <v/>
      </c>
    </row>
    <row r="15881" spans="1:6" ht="15.75" customHeight="1">
      <c r="A15881" s="8" t="str">
        <f ca="1">IFERROR(__xludf.DUMMYFUNCTION("GOOGLETRANSLATE(B25838,""en"",""pt"")"),"Oumé")</f>
        <v>Oumé</v>
      </c>
      <c r="B15881" s="11" t="s">
        <v>15657</v>
      </c>
      <c r="C15881" s="11" t="s">
        <v>15586</v>
      </c>
      <c r="D15881" s="11" t="s">
        <v>15643</v>
      </c>
      <c r="E15881" s="10">
        <v>2282827</v>
      </c>
      <c r="F15881" s="4" t="str">
        <f>IF(B15881=B15880,"",B15881)</f>
        <v>Oumé</v>
      </c>
    </row>
    <row r="15882" spans="1:6" ht="15.75" customHeight="1">
      <c r="A15882" s="15" t="s">
        <v>15657</v>
      </c>
      <c r="B15882" s="15" t="s">
        <v>15658</v>
      </c>
      <c r="C15882" s="15" t="s">
        <v>15586</v>
      </c>
      <c r="D15882" s="15" t="s">
        <v>15643</v>
      </c>
      <c r="E15882" s="2">
        <v>2282827</v>
      </c>
      <c r="F15882" s="4" t="str">
        <f>IF(B15882=B15881,"",B15882)</f>
        <v>OumÃ©</v>
      </c>
    </row>
    <row r="15883" spans="1:6" ht="15.75" customHeight="1">
      <c r="A15883" s="16" t="s">
        <v>4350</v>
      </c>
      <c r="B15883" s="15" t="s">
        <v>4351</v>
      </c>
      <c r="C15883" s="16" t="s">
        <v>4305</v>
      </c>
      <c r="D15883" s="16" t="s">
        <v>4312</v>
      </c>
      <c r="E15883" s="2">
        <v>2426370</v>
      </c>
      <c r="F15883" s="4" t="str">
        <f>IF(B15883=B15882,"",B15883)</f>
        <v>Oum Hadjer</v>
      </c>
    </row>
    <row r="15884" spans="1:6" ht="15.75" customHeight="1">
      <c r="A15884" s="8" t="str">
        <f ca="1">IFERROR(__xludf.DUMMYFUNCTION("GOOGLETRANSLATE(B41474,""en"",""pt"")"),"Oum hadjer")</f>
        <v>Oum hadjer</v>
      </c>
      <c r="B15884" s="9" t="s">
        <v>4351</v>
      </c>
      <c r="C15884" s="9" t="s">
        <v>4305</v>
      </c>
      <c r="D15884" s="9" t="s">
        <v>4312</v>
      </c>
      <c r="E15884" s="10">
        <v>2426370</v>
      </c>
      <c r="F15884" s="4" t="str">
        <f>IF(B15884=B15883,"",B15884)</f>
        <v/>
      </c>
    </row>
    <row r="15885" spans="1:6" ht="15.75" customHeight="1">
      <c r="A15885" s="16" t="s">
        <v>427</v>
      </c>
      <c r="B15885" s="15" t="s">
        <v>186</v>
      </c>
      <c r="C15885" s="16" t="s">
        <v>153</v>
      </c>
      <c r="D15885" s="16" t="s">
        <v>186</v>
      </c>
      <c r="E15885" s="2">
        <v>2484620</v>
      </c>
      <c r="F15885" s="4" t="str">
        <f>IF(B15885=B15884,"",B15885)</f>
        <v>Oum el Bouaghi</v>
      </c>
    </row>
    <row r="15886" spans="1:6" ht="15.75" customHeight="1">
      <c r="A15886" s="8" t="str">
        <f ca="1">IFERROR(__xludf.DUMMYFUNCTION("GOOGLETRANSLATE(B28563,""en"",""pt"")"),"Oum el bouaghi")</f>
        <v>Oum el bouaghi</v>
      </c>
      <c r="B15886" s="9" t="s">
        <v>186</v>
      </c>
      <c r="C15886" s="9" t="s">
        <v>153</v>
      </c>
      <c r="D15886" s="9" t="s">
        <v>186</v>
      </c>
      <c r="E15886" s="10">
        <v>2484620</v>
      </c>
      <c r="F15886" s="4" t="str">
        <f>IF(B15886=B15885,"",B15886)</f>
        <v/>
      </c>
    </row>
    <row r="15887" spans="1:6" ht="15.75" customHeight="1">
      <c r="A15887" s="15" t="s">
        <v>7019</v>
      </c>
      <c r="B15887" s="15" t="s">
        <v>7019</v>
      </c>
      <c r="C15887" s="15" t="s">
        <v>6948</v>
      </c>
      <c r="D15887" s="15" t="s">
        <v>6959</v>
      </c>
      <c r="E15887" s="2">
        <v>643492</v>
      </c>
      <c r="F15887" s="4" t="str">
        <f>IF(B15887=B15886,"",B15887)</f>
        <v>Oulu</v>
      </c>
    </row>
    <row r="15888" spans="1:6" ht="15.75" customHeight="1">
      <c r="A15888" s="8" t="str">
        <f ca="1">IFERROR(__xludf.DUMMYFUNCTION("GOOGLETRANSLATE(B29620,""en"",""pt"")"),"Oulu")</f>
        <v>Oulu</v>
      </c>
      <c r="B15888" s="9" t="s">
        <v>7019</v>
      </c>
      <c r="C15888" s="9" t="s">
        <v>6948</v>
      </c>
      <c r="D15888" s="9" t="s">
        <v>6959</v>
      </c>
      <c r="E15888" s="10">
        <v>643492</v>
      </c>
      <c r="F15888" s="4" t="str">
        <f>IF(B15888=B15887,"",B15888)</f>
        <v/>
      </c>
    </row>
    <row r="15889" spans="1:6" ht="15.75" customHeight="1">
      <c r="A15889" s="15" t="s">
        <v>7661</v>
      </c>
      <c r="B15889" s="15" t="s">
        <v>7661</v>
      </c>
      <c r="C15889" s="15" t="s">
        <v>7052</v>
      </c>
      <c r="D15889" s="15" t="s">
        <v>7053</v>
      </c>
      <c r="E15889" s="2">
        <v>2988998</v>
      </c>
      <c r="F15889" s="4" t="str">
        <f>IF(B15889=B15888,"",B15889)</f>
        <v>Oullins</v>
      </c>
    </row>
    <row r="15890" spans="1:6" ht="15.75" customHeight="1">
      <c r="A15890" s="8" t="str">
        <f ca="1">IFERROR(__xludf.DUMMYFUNCTION("GOOGLETRANSLATE(B29864,""en"",""pt"")"),"Oullins")</f>
        <v>Oullins</v>
      </c>
      <c r="B15890" s="11" t="s">
        <v>7661</v>
      </c>
      <c r="C15890" s="11" t="s">
        <v>7052</v>
      </c>
      <c r="D15890" s="11" t="s">
        <v>32532</v>
      </c>
      <c r="E15890" s="10">
        <v>2988998</v>
      </c>
      <c r="F15890" s="4" t="str">
        <f>IF(B15890=B15889,"",B15890)</f>
        <v/>
      </c>
    </row>
    <row r="15891" spans="1:6" ht="15.75" customHeight="1">
      <c r="A15891" s="15" t="s">
        <v>425</v>
      </c>
      <c r="B15891" s="15" t="s">
        <v>426</v>
      </c>
      <c r="C15891" s="15" t="s">
        <v>153</v>
      </c>
      <c r="D15891" s="15" t="s">
        <v>253</v>
      </c>
      <c r="E15891" s="2">
        <v>2484846</v>
      </c>
      <c r="F15891" s="4" t="str">
        <f>IF(B15891=B15890,"",B15891)</f>
        <v>Ouled Mimoun</v>
      </c>
    </row>
    <row r="15892" spans="1:6" ht="15.75" customHeight="1">
      <c r="A15892" s="8" t="str">
        <f ca="1">IFERROR(__xludf.DUMMYFUNCTION("GOOGLETRANSLATE(B28564,""en"",""pt"")"),"Mimoun")</f>
        <v>Mimoun</v>
      </c>
      <c r="B15892" s="11" t="s">
        <v>426</v>
      </c>
      <c r="C15892" s="11" t="s">
        <v>153</v>
      </c>
      <c r="D15892" s="11" t="s">
        <v>253</v>
      </c>
      <c r="E15892" s="10">
        <v>2484846</v>
      </c>
      <c r="F15892" s="4" t="str">
        <f>IF(B15892=B15891,"",B15892)</f>
        <v/>
      </c>
    </row>
    <row r="15893" spans="1:6" ht="15.75" customHeight="1">
      <c r="A15893" s="8" t="str">
        <f ca="1">IFERROR(__xludf.DUMMYFUNCTION("GOOGLETRANSLATE(B36479,""en"",""pt"")"),"Oulad Teïma")</f>
        <v>Oulad Teïma</v>
      </c>
      <c r="B15893" s="9" t="s">
        <v>34590</v>
      </c>
      <c r="C15893" s="9" t="s">
        <v>18551</v>
      </c>
      <c r="D15893" s="9" t="s">
        <v>34583</v>
      </c>
      <c r="E15893" s="10">
        <v>2539134</v>
      </c>
      <c r="F15893" s="4" t="str">
        <f>IF(B15893=B15892,"",B15893)</f>
        <v>Oulad Teïma</v>
      </c>
    </row>
    <row r="15894" spans="1:6" ht="15.75" customHeight="1">
      <c r="A15894" s="16" t="s">
        <v>18617</v>
      </c>
      <c r="B15894" s="15" t="s">
        <v>18618</v>
      </c>
      <c r="C15894" s="16" t="s">
        <v>18551</v>
      </c>
      <c r="D15894" s="16" t="s">
        <v>18552</v>
      </c>
      <c r="E15894" s="2">
        <v>2539134</v>
      </c>
      <c r="F15894" s="4" t="str">
        <f>IF(B15894=B15893,"",B15894)</f>
        <v>Oulad TeÃ¯ma</v>
      </c>
    </row>
    <row r="15895" spans="1:6" ht="15.75" customHeight="1">
      <c r="A15895" s="15" t="s">
        <v>18616</v>
      </c>
      <c r="B15895" s="15" t="s">
        <v>18616</v>
      </c>
      <c r="C15895" s="15" t="s">
        <v>18551</v>
      </c>
      <c r="D15895" s="15" t="s">
        <v>18554</v>
      </c>
      <c r="E15895" s="2">
        <v>2540483</v>
      </c>
      <c r="F15895" s="4" t="str">
        <f>IF(B15895=B15894,"",B15895)</f>
        <v>Oujda</v>
      </c>
    </row>
    <row r="15896" spans="1:6" ht="15.75" customHeight="1">
      <c r="A15896" s="8" t="str">
        <f ca="1">IFERROR(__xludf.DUMMYFUNCTION("GOOGLETRANSLATE(B36480,""en"",""pt"")"),"Oujda")</f>
        <v>Oujda</v>
      </c>
      <c r="B15896" s="11" t="s">
        <v>18616</v>
      </c>
      <c r="C15896" s="11" t="s">
        <v>18551</v>
      </c>
      <c r="D15896" s="11" t="s">
        <v>18554</v>
      </c>
      <c r="E15896" s="10">
        <v>2540483</v>
      </c>
      <c r="F15896" s="4" t="str">
        <f>IF(B15896=B15895,"",B15896)</f>
        <v/>
      </c>
    </row>
    <row r="15897" spans="1:6" ht="15.75" customHeight="1">
      <c r="A15897" s="15" t="s">
        <v>1778</v>
      </c>
      <c r="B15897" s="15" t="s">
        <v>1778</v>
      </c>
      <c r="C15897" s="15" t="s">
        <v>1741</v>
      </c>
      <c r="D15897" s="15" t="s">
        <v>1744</v>
      </c>
      <c r="E15897" s="2">
        <v>2392308</v>
      </c>
      <c r="F15897" s="4" t="str">
        <f>IF(B15897=B15896,"",B15897)</f>
        <v>Ouidah</v>
      </c>
    </row>
    <row r="15898" spans="1:6" ht="15.75" customHeight="1">
      <c r="A15898" s="8" t="str">
        <f ca="1">IFERROR(__xludf.DUMMYFUNCTION("GOOGLETRANSLATE(B24088,""en"",""pt"")"),"Ouidah")</f>
        <v>Ouidah</v>
      </c>
      <c r="B15898" s="11" t="s">
        <v>1778</v>
      </c>
      <c r="C15898" s="11" t="s">
        <v>1741</v>
      </c>
      <c r="D15898" s="11" t="s">
        <v>1744</v>
      </c>
      <c r="E15898" s="10">
        <v>2392308</v>
      </c>
      <c r="F15898" s="4" t="str">
        <f>IF(B15898=B15897,"",B15898)</f>
        <v/>
      </c>
    </row>
    <row r="15899" spans="1:6" ht="15.75" customHeight="1">
      <c r="A15899" s="15" t="s">
        <v>18615</v>
      </c>
      <c r="B15899" s="15" t="s">
        <v>18615</v>
      </c>
      <c r="C15899" s="15" t="s">
        <v>18551</v>
      </c>
      <c r="D15899" s="15" t="s">
        <v>18596</v>
      </c>
      <c r="E15899" s="2">
        <v>2540810</v>
      </c>
      <c r="F15899" s="4" t="str">
        <f>IF(B15899=B15898,"",B15899)</f>
        <v>Ouezzane</v>
      </c>
    </row>
    <row r="15900" spans="1:6" ht="15.75" customHeight="1">
      <c r="A15900" s="8" t="str">
        <f ca="1">IFERROR(__xludf.DUMMYFUNCTION("GOOGLETRANSLATE(B36482,""en"",""pt"")"),"Ouezzane")</f>
        <v>Ouezzane</v>
      </c>
      <c r="B15900" s="11" t="s">
        <v>18615</v>
      </c>
      <c r="C15900" s="11" t="s">
        <v>18551</v>
      </c>
      <c r="D15900" s="11" t="s">
        <v>18596</v>
      </c>
      <c r="E15900" s="10">
        <v>2540810</v>
      </c>
      <c r="F15900" s="4" t="str">
        <f>IF(B15900=B15899,"",B15900)</f>
        <v/>
      </c>
    </row>
    <row r="15901" spans="1:6" ht="15.75" customHeight="1">
      <c r="A15901" s="8" t="str">
        <f ca="1">IFERROR(__xludf.DUMMYFUNCTION("GOOGLETRANSLATE(B25733,""en"",""pt"")"),"Ouésso")</f>
        <v>Ouésso</v>
      </c>
      <c r="B15901" s="9" t="s">
        <v>31774</v>
      </c>
      <c r="C15901" s="9" t="s">
        <v>21788</v>
      </c>
      <c r="D15901" s="9" t="s">
        <v>21802</v>
      </c>
      <c r="E15901" s="10">
        <v>2255564</v>
      </c>
      <c r="F15901" s="4" t="str">
        <f>IF(B15901=B15900,"",B15901)</f>
        <v>Ouésso</v>
      </c>
    </row>
    <row r="15902" spans="1:6" ht="15.75" customHeight="1">
      <c r="A15902" s="16" t="s">
        <v>18613</v>
      </c>
      <c r="B15902" s="15" t="s">
        <v>18614</v>
      </c>
      <c r="C15902" s="16" t="s">
        <v>18551</v>
      </c>
      <c r="D15902" s="16" t="s">
        <v>18568</v>
      </c>
      <c r="E15902" s="2">
        <v>2540689</v>
      </c>
      <c r="F15902" s="4" t="str">
        <f>IF(B15902=B15901,"",B15902)</f>
        <v>Oued Zem</v>
      </c>
    </row>
    <row r="15903" spans="1:6" ht="15.75" customHeight="1">
      <c r="A15903" s="8" t="str">
        <f ca="1">IFERROR(__xludf.DUMMYFUNCTION("GOOGLETRANSLATE(B36481,""en"",""pt"")"),"Zem oued")</f>
        <v>Zem oued</v>
      </c>
      <c r="B15903" s="9" t="s">
        <v>18614</v>
      </c>
      <c r="C15903" s="9" t="s">
        <v>18551</v>
      </c>
      <c r="D15903" s="9" t="s">
        <v>18568</v>
      </c>
      <c r="E15903" s="10">
        <v>2540689</v>
      </c>
      <c r="F15903" s="4" t="str">
        <f>IF(B15903=B15902,"",B15903)</f>
        <v/>
      </c>
    </row>
    <row r="15904" spans="1:6" ht="15.75" customHeight="1">
      <c r="A15904" s="16" t="s">
        <v>423</v>
      </c>
      <c r="B15904" s="15" t="s">
        <v>424</v>
      </c>
      <c r="C15904" s="16" t="s">
        <v>153</v>
      </c>
      <c r="D15904" s="16" t="s">
        <v>215</v>
      </c>
      <c r="E15904" s="2">
        <v>2485572</v>
      </c>
      <c r="F15904" s="4" t="str">
        <f>IF(B15904=B15903,"",B15904)</f>
        <v>Oued Sly</v>
      </c>
    </row>
    <row r="15905" spans="1:6" ht="15.75" customHeight="1">
      <c r="A15905" s="8" t="str">
        <f ca="1">IFERROR(__xludf.DUMMYFUNCTION("GOOGLETRANSLATE(B28565,""en"",""pt"")"),"Oued asty")</f>
        <v>Oued asty</v>
      </c>
      <c r="B15905" s="9" t="s">
        <v>424</v>
      </c>
      <c r="C15905" s="9" t="s">
        <v>153</v>
      </c>
      <c r="D15905" s="9" t="s">
        <v>215</v>
      </c>
      <c r="E15905" s="10">
        <v>2485572</v>
      </c>
      <c r="F15905" s="4" t="str">
        <f>IF(B15905=B15904,"",B15905)</f>
        <v/>
      </c>
    </row>
    <row r="15906" spans="1:6" ht="15.75" customHeight="1">
      <c r="A15906" s="16" t="s">
        <v>421</v>
      </c>
      <c r="B15906" s="15" t="s">
        <v>422</v>
      </c>
      <c r="C15906" s="16" t="s">
        <v>153</v>
      </c>
      <c r="D15906" s="16" t="s">
        <v>180</v>
      </c>
      <c r="E15906" s="2">
        <v>2485582</v>
      </c>
      <c r="F15906" s="4" t="str">
        <f>IF(B15906=B15905,"",B15906)</f>
        <v>Oued Rhiou</v>
      </c>
    </row>
    <row r="15907" spans="1:6" ht="15.75" customHeight="1">
      <c r="A15907" s="8" t="str">
        <f ca="1">IFERROR(__xludf.DUMMYFUNCTION("GOOGLETRANSLATE(B28566,""en"",""pt"")"),"Oued rhiou")</f>
        <v>Oued rhiou</v>
      </c>
      <c r="B15907" s="11" t="s">
        <v>422</v>
      </c>
      <c r="C15907" s="11" t="s">
        <v>153</v>
      </c>
      <c r="D15907" s="11" t="s">
        <v>180</v>
      </c>
      <c r="E15907" s="10">
        <v>2485582</v>
      </c>
      <c r="F15907" s="4" t="str">
        <f>IF(B15907=B15906,"",B15907)</f>
        <v/>
      </c>
    </row>
    <row r="15908" spans="1:6" ht="15.75" customHeight="1">
      <c r="A15908" s="15" t="s">
        <v>26179</v>
      </c>
      <c r="B15908" s="15" t="s">
        <v>26180</v>
      </c>
      <c r="C15908" s="15" t="s">
        <v>26090</v>
      </c>
      <c r="D15908" s="15" t="s">
        <v>26094</v>
      </c>
      <c r="E15908" s="2">
        <v>2464168</v>
      </c>
      <c r="F15908" s="4" t="str">
        <f>IF(B15908=B15907,"",B15908)</f>
        <v>Oued Lill</v>
      </c>
    </row>
    <row r="15909" spans="1:6" ht="15.75" customHeight="1">
      <c r="A15909" s="8" t="str">
        <f ca="1">IFERROR(__xludf.DUMMYFUNCTION("GOOGLETRANSLATE(B41791,""en"",""pt"")"),"Oued lill")</f>
        <v>Oued lill</v>
      </c>
      <c r="B15909" s="11" t="s">
        <v>26180</v>
      </c>
      <c r="C15909" s="11" t="s">
        <v>26090</v>
      </c>
      <c r="D15909" s="11" t="s">
        <v>35794</v>
      </c>
      <c r="E15909" s="10">
        <v>2464168</v>
      </c>
      <c r="F15909" s="4" t="str">
        <f>IF(B15909=B15908,"",B15909)</f>
        <v/>
      </c>
    </row>
    <row r="15910" spans="1:6" ht="15.75" customHeight="1">
      <c r="A15910" s="16" t="s">
        <v>419</v>
      </c>
      <c r="B15910" s="15" t="s">
        <v>420</v>
      </c>
      <c r="C15910" s="16" t="s">
        <v>153</v>
      </c>
      <c r="D15910" s="16" t="s">
        <v>215</v>
      </c>
      <c r="E15910" s="2">
        <v>2485618</v>
      </c>
      <c r="F15910" s="4" t="str">
        <f>IF(B15910=B15909,"",B15910)</f>
        <v>Oued Fodda</v>
      </c>
    </row>
    <row r="15911" spans="1:6" ht="15.75" customHeight="1">
      <c r="A15911" s="8" t="str">
        <f ca="1">IFERROR(__xludf.DUMMYFUNCTION("GOOGLETRANSLATE(B28567,""en"",""pt"")"),"Oued fodda")</f>
        <v>Oued fodda</v>
      </c>
      <c r="B15911" s="9" t="s">
        <v>420</v>
      </c>
      <c r="C15911" s="9" t="s">
        <v>153</v>
      </c>
      <c r="D15911" s="9" t="s">
        <v>215</v>
      </c>
      <c r="E15911" s="10">
        <v>2485618</v>
      </c>
      <c r="F15911" s="4" t="str">
        <f>IF(B15911=B15910,"",B15911)</f>
        <v/>
      </c>
    </row>
    <row r="15912" spans="1:6" ht="15.75" customHeight="1">
      <c r="A15912" s="16" t="s">
        <v>417</v>
      </c>
      <c r="B15912" s="15" t="s">
        <v>418</v>
      </c>
      <c r="C15912" s="16" t="s">
        <v>153</v>
      </c>
      <c r="D15912" s="16" t="s">
        <v>160</v>
      </c>
      <c r="E15912" s="2">
        <v>2485633</v>
      </c>
      <c r="F15912" s="4" t="str">
        <f>IF(B15912=B15911,"",B15912)</f>
        <v>Oued el Alleug</v>
      </c>
    </row>
    <row r="15913" spans="1:6" ht="15.75" customHeight="1">
      <c r="A15913" s="8" t="str">
        <f ca="1">IFERROR(__xludf.DUMMYFUNCTION("GOOGLETRANSLATE(B28568,""en"",""pt"")"),"Oued el alleug")</f>
        <v>Oued el alleug</v>
      </c>
      <c r="B15913" s="9" t="s">
        <v>418</v>
      </c>
      <c r="C15913" s="9" t="s">
        <v>153</v>
      </c>
      <c r="D15913" s="9" t="s">
        <v>160</v>
      </c>
      <c r="E15913" s="10">
        <v>2485633</v>
      </c>
      <c r="F15913" s="4" t="str">
        <f>IF(B15913=B15912,"",B15913)</f>
        <v/>
      </c>
    </row>
    <row r="15914" spans="1:6" ht="15.75" customHeight="1">
      <c r="A15914" s="16" t="s">
        <v>415</v>
      </c>
      <c r="B15914" s="15" t="s">
        <v>416</v>
      </c>
      <c r="C15914" s="16" t="s">
        <v>153</v>
      </c>
      <c r="D15914" s="16" t="s">
        <v>281</v>
      </c>
      <c r="E15914" s="2">
        <v>2485636</v>
      </c>
      <c r="F15914" s="4" t="str">
        <f>IF(B15914=B15913,"",B15914)</f>
        <v>Oued el Abtal</v>
      </c>
    </row>
    <row r="15915" spans="1:6" ht="15.75" customHeight="1">
      <c r="A15915" s="8" t="str">
        <f ca="1">IFERROR(__xludf.DUMMYFUNCTION("GOOGLETRANSLATE(B28569,""en"",""pt"")"),"Oued el abtal")</f>
        <v>Oued el abtal</v>
      </c>
      <c r="B15915" s="9" t="s">
        <v>416</v>
      </c>
      <c r="C15915" s="9" t="s">
        <v>153</v>
      </c>
      <c r="D15915" s="9" t="s">
        <v>281</v>
      </c>
      <c r="E15915" s="10">
        <v>2485636</v>
      </c>
      <c r="F15915" s="4" t="str">
        <f>IF(B15915=B15914,"",B15915)</f>
        <v/>
      </c>
    </row>
    <row r="15916" spans="1:6" ht="15.75" customHeight="1">
      <c r="A15916" s="16" t="s">
        <v>23947</v>
      </c>
      <c r="B15916" s="15" t="s">
        <v>23947</v>
      </c>
      <c r="C15916" s="16" t="s">
        <v>23842</v>
      </c>
      <c r="D15916" s="16" t="s">
        <v>23847</v>
      </c>
      <c r="E15916" s="2">
        <v>967106</v>
      </c>
      <c r="F15916" s="4" t="str">
        <f>IF(B15916=B15915,"",B15916)</f>
        <v>Oudtshoorn</v>
      </c>
    </row>
    <row r="15917" spans="1:6" ht="15.75" customHeight="1">
      <c r="A15917" s="8" t="str">
        <f ca="1">IFERROR(__xludf.DUMMYFUNCTION("GOOGLETRANSLATE(B45903,""en"",""pt"")"),"Oudtshoorn")</f>
        <v>Oudtshoorn</v>
      </c>
      <c r="B15917" s="9" t="s">
        <v>23947</v>
      </c>
      <c r="C15917" s="9" t="s">
        <v>23842</v>
      </c>
      <c r="D15917" s="9" t="s">
        <v>23847</v>
      </c>
      <c r="E15917" s="10">
        <v>967106</v>
      </c>
      <c r="F15917" s="4" t="str">
        <f>IF(B15917=B15916,"",B15917)</f>
        <v/>
      </c>
    </row>
    <row r="15918" spans="1:6" ht="15.75" customHeight="1">
      <c r="A15918" s="16" t="s">
        <v>1655</v>
      </c>
      <c r="B15918" s="15" t="s">
        <v>1655</v>
      </c>
      <c r="C15918" s="16" t="s">
        <v>1512</v>
      </c>
      <c r="D15918" s="16" t="s">
        <v>1513</v>
      </c>
      <c r="E15918" s="2">
        <v>2789529</v>
      </c>
      <c r="F15918" s="4" t="str">
        <f>IF(B15918=B15917,"",B15918)</f>
        <v>Oudenaarde</v>
      </c>
    </row>
    <row r="15919" spans="1:6" ht="15.75" customHeight="1">
      <c r="A15919" s="8" t="str">
        <f ca="1">IFERROR(__xludf.DUMMYFUNCTION("GOOGLETRANSLATE(B23854,""en"",""pt"")"),"Oudenaarde")</f>
        <v>Oudenaarde</v>
      </c>
      <c r="B15919" s="9" t="s">
        <v>1655</v>
      </c>
      <c r="C15919" s="9" t="s">
        <v>1512</v>
      </c>
      <c r="D15919" s="9" t="s">
        <v>1513</v>
      </c>
      <c r="E15919" s="10">
        <v>2789529</v>
      </c>
      <c r="F15919" s="4" t="str">
        <f>IF(B15919=B15918,"",B15919)</f>
        <v/>
      </c>
    </row>
    <row r="15920" spans="1:6" ht="15.75" customHeight="1">
      <c r="A15920" s="16" t="s">
        <v>19064</v>
      </c>
      <c r="B15920" s="15" t="s">
        <v>19064</v>
      </c>
      <c r="C15920" s="16" t="s">
        <v>18862</v>
      </c>
      <c r="D15920" s="16" t="s">
        <v>18868</v>
      </c>
      <c r="E15920" s="2">
        <v>2749182</v>
      </c>
      <c r="F15920" s="4" t="str">
        <f>IF(B15920=B15919,"",B15920)</f>
        <v>Oud-Beijerland</v>
      </c>
    </row>
    <row r="15921" spans="1:6" ht="15.75" customHeight="1">
      <c r="A15921" s="8" t="str">
        <f ca="1">IFERROR(__xludf.DUMMYFUNCTION("GOOGLETRANSLATE(B37976,""en"",""pt"")"),"Oud-Beijerland")</f>
        <v>Oud-Beijerland</v>
      </c>
      <c r="B15921" s="9" t="s">
        <v>19064</v>
      </c>
      <c r="C15921" s="9" t="s">
        <v>18862</v>
      </c>
      <c r="D15921" s="9" t="s">
        <v>18868</v>
      </c>
      <c r="E15921" s="10">
        <v>2749182</v>
      </c>
      <c r="F15921" s="4" t="str">
        <f>IF(B15921=B15920,"",B15921)</f>
        <v/>
      </c>
    </row>
    <row r="15922" spans="1:6" ht="15.75" customHeight="1">
      <c r="A15922" s="16" t="s">
        <v>18612</v>
      </c>
      <c r="B15922" s="15" t="s">
        <v>18612</v>
      </c>
      <c r="C15922" s="16" t="s">
        <v>18551</v>
      </c>
      <c r="D15922" s="16" t="s">
        <v>18552</v>
      </c>
      <c r="E15922" s="2">
        <v>2540850</v>
      </c>
      <c r="F15922" s="4" t="str">
        <f>IF(B15922=B15921,"",B15922)</f>
        <v>Ouarzazat</v>
      </c>
    </row>
    <row r="15923" spans="1:6" ht="15.75" customHeight="1">
      <c r="A15923" s="8" t="str">
        <f ca="1">IFERROR(__xludf.DUMMYFUNCTION("GOOGLETRANSLATE(B36483,""en"",""pt"")"),"Ouarzazat")</f>
        <v>Ouarzazat</v>
      </c>
      <c r="B15923" s="9" t="s">
        <v>18612</v>
      </c>
      <c r="C15923" s="9" t="s">
        <v>18551</v>
      </c>
      <c r="D15923" s="9" t="s">
        <v>34583</v>
      </c>
      <c r="E15923" s="10">
        <v>2540850</v>
      </c>
      <c r="F15923" s="4" t="str">
        <f>IF(B15923=B15922,"",B15923)</f>
        <v/>
      </c>
    </row>
    <row r="15924" spans="1:6" ht="15.75" customHeight="1">
      <c r="A15924" s="15" t="s">
        <v>323</v>
      </c>
      <c r="B15924" s="15" t="s">
        <v>323</v>
      </c>
      <c r="C15924" s="15" t="s">
        <v>153</v>
      </c>
      <c r="D15924" s="15" t="s">
        <v>323</v>
      </c>
      <c r="E15924" s="2">
        <v>2485801</v>
      </c>
      <c r="F15924" s="4" t="str">
        <f>IF(B15924=B15923,"",B15924)</f>
        <v>Ouargla</v>
      </c>
    </row>
    <row r="15925" spans="1:6" ht="15.75" customHeight="1">
      <c r="A15925" s="8" t="str">
        <f ca="1">IFERROR(__xludf.DUMMYFUNCTION("GOOGLETRANSLATE(B28570,""en"",""pt"")"),"Ouargla")</f>
        <v>Ouargla</v>
      </c>
      <c r="B15925" s="9" t="s">
        <v>323</v>
      </c>
      <c r="C15925" s="9" t="s">
        <v>153</v>
      </c>
      <c r="D15925" s="9" t="s">
        <v>323</v>
      </c>
      <c r="E15925" s="10">
        <v>2485801</v>
      </c>
      <c r="F15925" s="4" t="str">
        <f>IF(B15925=B15924,"",B15925)</f>
        <v/>
      </c>
    </row>
    <row r="15926" spans="1:6" ht="15.75" customHeight="1">
      <c r="A15926" s="16" t="s">
        <v>26177</v>
      </c>
      <c r="B15926" s="15" t="s">
        <v>26178</v>
      </c>
      <c r="C15926" s="16" t="s">
        <v>26090</v>
      </c>
      <c r="D15926" s="16" t="s">
        <v>26103</v>
      </c>
      <c r="E15926" s="2">
        <v>2473420</v>
      </c>
      <c r="F15926" s="4" t="str">
        <f>IF(B15926=B15925,"",B15926)</f>
        <v>Ouardenine</v>
      </c>
    </row>
    <row r="15927" spans="1:6" ht="15.75" customHeight="1">
      <c r="A15927" s="8" t="str">
        <f ca="1">IFERROR(__xludf.DUMMYFUNCTION("GOOGLETRANSLATE(B41845,""en"",""pt"")"),"Ouardenina")</f>
        <v>Ouardenina</v>
      </c>
      <c r="B15927" s="11" t="s">
        <v>26178</v>
      </c>
      <c r="C15927" s="11" t="s">
        <v>26090</v>
      </c>
      <c r="D15927" s="11" t="s">
        <v>35800</v>
      </c>
      <c r="E15927" s="10">
        <v>2473420</v>
      </c>
      <c r="F15927" s="4" t="str">
        <f>IF(B15927=B15926,"",B15927)</f>
        <v/>
      </c>
    </row>
    <row r="15928" spans="1:6" ht="15.75" customHeight="1">
      <c r="A15928" s="16" t="s">
        <v>3814</v>
      </c>
      <c r="B15928" s="15" t="s">
        <v>3814</v>
      </c>
      <c r="C15928" s="16" t="s">
        <v>3768</v>
      </c>
      <c r="D15928" s="16" t="s">
        <v>3793</v>
      </c>
      <c r="E15928" s="2">
        <v>2357043</v>
      </c>
      <c r="F15928" s="4" t="str">
        <f>IF(B15928=B15927,"",B15928)</f>
        <v>Ouahigouya</v>
      </c>
    </row>
    <row r="15929" spans="1:6" ht="15.75" customHeight="1">
      <c r="A15929" s="8" t="str">
        <f ca="1">IFERROR(__xludf.DUMMYFUNCTION("GOOGLETRANSLATE(B23982,""en"",""pt"")"),"Ouahigouya")</f>
        <v>Ouahigouya</v>
      </c>
      <c r="B15929" s="11" t="s">
        <v>3814</v>
      </c>
      <c r="C15929" s="11" t="s">
        <v>3768</v>
      </c>
      <c r="D15929" s="11" t="s">
        <v>3793</v>
      </c>
      <c r="E15929" s="10">
        <v>2357043</v>
      </c>
      <c r="F15929" s="4" t="str">
        <f>IF(B15929=B15928,"",B15929)</f>
        <v/>
      </c>
    </row>
    <row r="15930" spans="1:6" ht="15.75" customHeight="1">
      <c r="A15930" s="16" t="s">
        <v>3812</v>
      </c>
      <c r="B15930" s="15" t="s">
        <v>3812</v>
      </c>
      <c r="C15930" s="16" t="s">
        <v>3768</v>
      </c>
      <c r="D15930" s="16" t="s">
        <v>3813</v>
      </c>
      <c r="E15930" s="2">
        <v>2357048</v>
      </c>
      <c r="F15930" s="4" t="str">
        <f>IF(B15930=B15929,"",B15930)</f>
        <v>Ouagadougou</v>
      </c>
    </row>
    <row r="15931" spans="1:6" ht="15.75" customHeight="1">
      <c r="A15931" s="8" t="str">
        <f ca="1">IFERROR(__xludf.DUMMYFUNCTION("GOOGLETRANSLATE(B23983,""en"",""pt"")"),"Ouagadougou")</f>
        <v>Ouagadougou</v>
      </c>
      <c r="B15931" s="9" t="s">
        <v>3812</v>
      </c>
      <c r="C15931" s="9" t="s">
        <v>3768</v>
      </c>
      <c r="D15931" s="9" t="s">
        <v>3813</v>
      </c>
      <c r="E15931" s="10">
        <v>2357048</v>
      </c>
      <c r="F15931" s="4" t="str">
        <f>IF(B15931=B15930,"",B15931)</f>
        <v/>
      </c>
    </row>
    <row r="15932" spans="1:6" ht="15.75" customHeight="1">
      <c r="A15932" s="16" t="s">
        <v>21800</v>
      </c>
      <c r="B15932" s="15" t="s">
        <v>21801</v>
      </c>
      <c r="C15932" s="16" t="s">
        <v>21788</v>
      </c>
      <c r="D15932" s="16" t="s">
        <v>21802</v>
      </c>
      <c r="E15932" s="2">
        <v>2255564</v>
      </c>
      <c r="F15932" s="4" t="str">
        <f>IF(B15932=B15931,"",B15932)</f>
        <v>OuÃ©sso</v>
      </c>
    </row>
    <row r="15933" spans="1:6" ht="15.75" customHeight="1">
      <c r="A15933" s="15" t="s">
        <v>21410</v>
      </c>
      <c r="B15933" s="15" t="s">
        <v>21410</v>
      </c>
      <c r="C15933" s="15" t="s">
        <v>21064</v>
      </c>
      <c r="D15933" s="15" t="s">
        <v>21070</v>
      </c>
      <c r="E15933" s="2">
        <v>762788</v>
      </c>
      <c r="F15933" s="4" t="str">
        <f>IF(B15933=B15932,"",B15933)</f>
        <v>Otwock</v>
      </c>
    </row>
    <row r="15934" spans="1:6" ht="15.75" customHeight="1">
      <c r="A15934" s="8" t="str">
        <f ca="1">IFERROR(__xludf.DUMMYFUNCTION("GOOGLETRANSLATE(B39229,""en"",""pt"")"),"Otwock")</f>
        <v>Otwock</v>
      </c>
      <c r="B15934" s="9" t="s">
        <v>21410</v>
      </c>
      <c r="C15934" s="9" t="s">
        <v>21064</v>
      </c>
      <c r="D15934" s="9" t="s">
        <v>21070</v>
      </c>
      <c r="E15934" s="10">
        <v>762788</v>
      </c>
      <c r="F15934" s="4" t="str">
        <f>IF(B15934=B15933,"",B15934)</f>
        <v/>
      </c>
    </row>
    <row r="15935" spans="1:6" ht="15.75" customHeight="1">
      <c r="A15935" s="15" t="s">
        <v>19545</v>
      </c>
      <c r="B15935" s="15" t="s">
        <v>19545</v>
      </c>
      <c r="C15935" s="15" t="s">
        <v>19294</v>
      </c>
      <c r="D15935" s="15" t="s">
        <v>19434</v>
      </c>
      <c r="E15935" s="2">
        <v>2325437</v>
      </c>
      <c r="F15935" s="4" t="str">
        <f>IF(B15935=B15934,"",B15935)</f>
        <v>Otukpa</v>
      </c>
    </row>
    <row r="15936" spans="1:6" ht="15.75" customHeight="1">
      <c r="A15936" s="8" t="str">
        <f ca="1">IFERROR(__xludf.DUMMYFUNCTION("GOOGLETRANSLATE(B37645,""en"",""pt"")"),"Otukpa")</f>
        <v>Otukpa</v>
      </c>
      <c r="B15936" s="11" t="s">
        <v>19545</v>
      </c>
      <c r="C15936" s="11" t="s">
        <v>19294</v>
      </c>
      <c r="D15936" s="11" t="s">
        <v>19434</v>
      </c>
      <c r="E15936" s="10">
        <v>2325437</v>
      </c>
      <c r="F15936" s="4" t="str">
        <f>IF(B15936=B15935,"",B15936)</f>
        <v/>
      </c>
    </row>
    <row r="15937" spans="1:6" ht="15.75" customHeight="1">
      <c r="A15937" s="15" t="s">
        <v>8976</v>
      </c>
      <c r="B15937" s="15" t="s">
        <v>8976</v>
      </c>
      <c r="C15937" s="15" t="s">
        <v>8028</v>
      </c>
      <c r="D15937" s="15" t="s">
        <v>8177</v>
      </c>
      <c r="E15937" s="2">
        <v>2855917</v>
      </c>
      <c r="F15937" s="4" t="str">
        <f>IF(B15937=B15936,"",B15937)</f>
        <v>Ottweiler</v>
      </c>
    </row>
    <row r="15938" spans="1:6" ht="15.75" customHeight="1">
      <c r="A15938" s="8" t="str">
        <f ca="1">IFERROR(__xludf.DUMMYFUNCTION("GOOGLETRANSLATE(B27662,""en"",""pt"")"),"Ottweiler")</f>
        <v>Ottweiler</v>
      </c>
      <c r="B15938" s="11" t="s">
        <v>8976</v>
      </c>
      <c r="C15938" s="11" t="s">
        <v>8028</v>
      </c>
      <c r="D15938" s="11" t="s">
        <v>8177</v>
      </c>
      <c r="E15938" s="10">
        <v>2855917</v>
      </c>
      <c r="F15938" s="4" t="str">
        <f>IF(B15938=B15937,"",B15938)</f>
        <v/>
      </c>
    </row>
    <row r="15939" spans="1:6" ht="15.75" customHeight="1">
      <c r="A15939" s="15" t="s">
        <v>29579</v>
      </c>
      <c r="B15939" s="15" t="s">
        <v>29579</v>
      </c>
      <c r="C15939" s="15" t="s">
        <v>27788</v>
      </c>
      <c r="D15939" s="15" t="s">
        <v>27859</v>
      </c>
      <c r="E15939" s="2">
        <v>4870380</v>
      </c>
      <c r="F15939" s="4" t="str">
        <f>IF(B15939=B15938,"",B15939)</f>
        <v>Ottumwa</v>
      </c>
    </row>
    <row r="15940" spans="1:6" ht="15.75" customHeight="1">
      <c r="A15940" s="8" t="str">
        <f ca="1">IFERROR(__xludf.DUMMYFUNCTION("GOOGLETRANSLATE(B43755,""en"",""pt"")"),"Ottumwa")</f>
        <v>Ottumwa</v>
      </c>
      <c r="B15940" s="9" t="s">
        <v>29579</v>
      </c>
      <c r="C15940" s="9" t="s">
        <v>27788</v>
      </c>
      <c r="D15940" s="9" t="s">
        <v>27859</v>
      </c>
      <c r="E15940" s="10">
        <v>4870380</v>
      </c>
      <c r="F15940" s="4" t="str">
        <f>IF(B15940=B15939,"",B15940)</f>
        <v/>
      </c>
    </row>
    <row r="15941" spans="1:6" ht="15.75" customHeight="1">
      <c r="A15941" s="16" t="s">
        <v>8975</v>
      </c>
      <c r="B15941" s="15" t="s">
        <v>8975</v>
      </c>
      <c r="C15941" s="16" t="s">
        <v>8028</v>
      </c>
      <c r="D15941" s="16" t="s">
        <v>8044</v>
      </c>
      <c r="E15941" s="2">
        <v>2855935</v>
      </c>
      <c r="F15941" s="4" t="str">
        <f>IF(B15941=B15940,"",B15941)</f>
        <v>Ottobrunn</v>
      </c>
    </row>
    <row r="15942" spans="1:6" ht="15.75" customHeight="1">
      <c r="A15942" s="8" t="str">
        <f ca="1">IFERROR(__xludf.DUMMYFUNCTION("GOOGLETRANSLATE(B27663,""en"",""pt"")"),"Ottobrunn")</f>
        <v>Ottobrunn</v>
      </c>
      <c r="B15942" s="9" t="s">
        <v>8975</v>
      </c>
      <c r="C15942" s="9" t="s">
        <v>8028</v>
      </c>
      <c r="D15942" s="9" t="s">
        <v>8044</v>
      </c>
      <c r="E15942" s="10">
        <v>2855935</v>
      </c>
      <c r="F15942" s="4" t="str">
        <f>IF(B15942=B15941,"",B15942)</f>
        <v/>
      </c>
    </row>
    <row r="15943" spans="1:6" ht="15.75" customHeight="1">
      <c r="A15943" s="15" t="s">
        <v>4134</v>
      </c>
      <c r="B15943" s="15" t="s">
        <v>4134</v>
      </c>
      <c r="C15943" s="15" t="s">
        <v>3975</v>
      </c>
      <c r="D15943" s="15" t="s">
        <v>3980</v>
      </c>
      <c r="E15943" s="2">
        <v>6094817</v>
      </c>
      <c r="F15943" s="4" t="str">
        <f>IF(B15943=B15942,"",B15943)</f>
        <v>Ottawa</v>
      </c>
    </row>
    <row r="15944" spans="1:6" ht="15.75" customHeight="1">
      <c r="A15944" s="15" t="s">
        <v>4134</v>
      </c>
      <c r="B15944" s="15" t="s">
        <v>4134</v>
      </c>
      <c r="C15944" s="15" t="s">
        <v>27788</v>
      </c>
      <c r="D15944" s="15" t="s">
        <v>27799</v>
      </c>
      <c r="E15944" s="2">
        <v>4905006</v>
      </c>
      <c r="F15944" s="4" t="str">
        <f>IF(B15944=B15943,"",B15944)</f>
        <v/>
      </c>
    </row>
    <row r="15945" spans="1:6" ht="15.75" customHeight="1">
      <c r="A15945" s="8" t="str">
        <f ca="1">IFERROR(__xludf.DUMMYFUNCTION("GOOGLETRANSLATE(B25538,""en"",""pt"")"),"Ottawa")</f>
        <v>Ottawa</v>
      </c>
      <c r="B15945" s="11" t="s">
        <v>4134</v>
      </c>
      <c r="C15945" s="11" t="s">
        <v>3975</v>
      </c>
      <c r="D15945" s="11" t="s">
        <v>3980</v>
      </c>
      <c r="E15945" s="10">
        <v>6094817</v>
      </c>
      <c r="F15945" s="4" t="str">
        <f>IF(B15945=B15944,"",B15945)</f>
        <v/>
      </c>
    </row>
    <row r="15946" spans="1:6" ht="15.75" customHeight="1">
      <c r="A15946" s="8" t="str">
        <f ca="1">IFERROR(__xludf.DUMMYFUNCTION("GOOGLETRANSLATE(B43865,""en"",""pt"")"),"Ottawa")</f>
        <v>Ottawa</v>
      </c>
      <c r="B15946" s="9" t="s">
        <v>4134</v>
      </c>
      <c r="C15946" s="9" t="s">
        <v>27788</v>
      </c>
      <c r="D15946" s="9" t="s">
        <v>27799</v>
      </c>
      <c r="E15946" s="10">
        <v>4905006</v>
      </c>
      <c r="F15946" s="4" t="str">
        <f>IF(B15946=B15945,"",B15946)</f>
        <v/>
      </c>
    </row>
    <row r="15947" spans="1:6" ht="15.75" customHeight="1">
      <c r="A15947" s="16" t="s">
        <v>15334</v>
      </c>
      <c r="B15947" s="15" t="s">
        <v>15335</v>
      </c>
      <c r="C15947" s="16" t="s">
        <v>14891</v>
      </c>
      <c r="D15947" s="16" t="s">
        <v>14896</v>
      </c>
      <c r="E15947" s="2">
        <v>3171778</v>
      </c>
      <c r="F15947" s="4" t="str">
        <f>IF(B15947=B15946,"",B15947)</f>
        <v>Ottaviano</v>
      </c>
    </row>
    <row r="15948" spans="1:6" ht="15.75" customHeight="1">
      <c r="A15948" s="8" t="str">
        <f ca="1">IFERROR(__xludf.DUMMYFUNCTION("GOOGLETRANSLATE(B34788,""en"",""pt"")"),"OTTAVIANO")</f>
        <v>OTTAVIANO</v>
      </c>
      <c r="B15948" s="9" t="s">
        <v>15335</v>
      </c>
      <c r="C15948" s="9" t="s">
        <v>14891</v>
      </c>
      <c r="D15948" s="9" t="s">
        <v>14896</v>
      </c>
      <c r="E15948" s="10">
        <v>3171778</v>
      </c>
      <c r="F15948" s="4" t="str">
        <f>IF(B15948=B15947,"",B15948)</f>
        <v/>
      </c>
    </row>
    <row r="15949" spans="1:6" ht="15.75" customHeight="1">
      <c r="A15949" s="8" t="str">
        <f ca="1">IFERROR(__xludf.DUMMYFUNCTION("GOOGLETRANSLATE(B32579,""en"",""pt"")"),"OTTAPPAPALAM")</f>
        <v>OTTAPPAPALAM</v>
      </c>
      <c r="B15949" s="11" t="s">
        <v>33287</v>
      </c>
      <c r="C15949" s="11" t="s">
        <v>10178</v>
      </c>
      <c r="D15949" s="11" t="s">
        <v>10246</v>
      </c>
      <c r="E15949" s="10">
        <v>1261008</v>
      </c>
      <c r="F15949" s="4" t="str">
        <f>IF(B15949=B15948,"",B15949)</f>
        <v>Ottappālam</v>
      </c>
    </row>
    <row r="15950" spans="1:6" ht="15.75" customHeight="1">
      <c r="A15950" s="16" t="s">
        <v>12687</v>
      </c>
      <c r="B15950" s="15" t="s">
        <v>12688</v>
      </c>
      <c r="C15950" s="16" t="s">
        <v>10178</v>
      </c>
      <c r="D15950" s="16" t="s">
        <v>10246</v>
      </c>
      <c r="E15950" s="2">
        <v>1261008</v>
      </c>
      <c r="F15950" s="4" t="str">
        <f>IF(B15950=B15949,"",B15950)</f>
        <v>OttappÄlam</v>
      </c>
    </row>
    <row r="15951" spans="1:6" ht="15.75" customHeight="1">
      <c r="A15951" s="8" t="str">
        <f ca="1">IFERROR(__xludf.DUMMYFUNCTION("GOOGLETRANSLATE(B35338,""en"",""pt"")"),"Ōtsuki")</f>
        <v>Ōtsuki</v>
      </c>
      <c r="B15951" s="11" t="s">
        <v>34319</v>
      </c>
      <c r="C15951" s="11" t="s">
        <v>15704</v>
      </c>
      <c r="D15951" s="11" t="s">
        <v>15806</v>
      </c>
      <c r="E15951" s="10">
        <v>1853564</v>
      </c>
      <c r="F15951" s="4" t="str">
        <f>IF(B15951=B15950,"",B15951)</f>
        <v>Ōtsuki</v>
      </c>
    </row>
    <row r="15952" spans="1:6" ht="15.75" customHeight="1">
      <c r="A15952" s="8" t="str">
        <f ca="1">IFERROR(__xludf.DUMMYFUNCTION("GOOGLETRANSLATE(B35741,""en"",""pt"")"),"Ōtsuchi")</f>
        <v>Ōtsuchi</v>
      </c>
      <c r="B15952" s="9" t="s">
        <v>34405</v>
      </c>
      <c r="C15952" s="9" t="s">
        <v>15704</v>
      </c>
      <c r="D15952" s="9" t="s">
        <v>15745</v>
      </c>
      <c r="E15952" s="10">
        <v>2111310</v>
      </c>
      <c r="F15952" s="4" t="str">
        <f>IF(B15952=B15951,"",B15952)</f>
        <v>Ōtsuchi</v>
      </c>
    </row>
    <row r="15953" spans="1:6" ht="15.75" customHeight="1">
      <c r="A15953" s="8" t="str">
        <f ca="1">IFERROR(__xludf.DUMMYFUNCTION("GOOGLETRANSLATE(B35339,""en"",""pt"")"),"Ōtsu")</f>
        <v>Ōtsu</v>
      </c>
      <c r="B15953" s="9" t="s">
        <v>34320</v>
      </c>
      <c r="C15953" s="9" t="s">
        <v>15704</v>
      </c>
      <c r="D15953" s="9" t="s">
        <v>15779</v>
      </c>
      <c r="E15953" s="10">
        <v>1853574</v>
      </c>
      <c r="F15953" s="4" t="str">
        <f>IF(B15953=B15952,"",B15953)</f>
        <v>Ōtsu</v>
      </c>
    </row>
    <row r="15954" spans="1:6" ht="15.75" customHeight="1">
      <c r="A15954" s="16" t="s">
        <v>6077</v>
      </c>
      <c r="B15954" s="15" t="s">
        <v>6078</v>
      </c>
      <c r="C15954" s="16" t="s">
        <v>5947</v>
      </c>
      <c r="D15954" s="16" t="s">
        <v>6045</v>
      </c>
      <c r="E15954" s="2">
        <v>3068689</v>
      </c>
      <c r="F15954" s="4" t="str">
        <f>IF(B15954=B15953,"",B15954)</f>
        <v>Otrokovice</v>
      </c>
    </row>
    <row r="15955" spans="1:6" ht="15.75" customHeight="1">
      <c r="A15955" s="16" t="s">
        <v>6077</v>
      </c>
      <c r="B15955" s="15" t="s">
        <v>6078</v>
      </c>
      <c r="C15955" s="16" t="s">
        <v>5947</v>
      </c>
      <c r="D15955" s="16" t="s">
        <v>6045</v>
      </c>
      <c r="E15955" s="2">
        <v>3068690</v>
      </c>
      <c r="F15955" s="4" t="str">
        <f>IF(B15955=B15954,"",B15955)</f>
        <v/>
      </c>
    </row>
    <row r="15956" spans="1:6" ht="15.75" customHeight="1">
      <c r="A15956" s="8" t="str">
        <f ca="1">IFERROR(__xludf.DUMMYFUNCTION("GOOGLETRANSLATE(B27278,""en"",""pt"")"),"OTROKOVICE")</f>
        <v>OTROKOVICE</v>
      </c>
      <c r="B15956" s="9" t="s">
        <v>6078</v>
      </c>
      <c r="C15956" s="9" t="s">
        <v>5947</v>
      </c>
      <c r="D15956" s="9" t="s">
        <v>31937</v>
      </c>
      <c r="E15956" s="10">
        <v>3068689</v>
      </c>
      <c r="F15956" s="4" t="str">
        <f>IF(B15956=B15955,"",B15956)</f>
        <v/>
      </c>
    </row>
    <row r="15957" spans="1:6" ht="15.75" customHeight="1">
      <c r="A15957" s="8" t="str">
        <f ca="1">IFERROR(__xludf.DUMMYFUNCTION("GOOGLETRANSLATE(B27279,""en"",""pt"")"),"OTROKOVICE")</f>
        <v>OTROKOVICE</v>
      </c>
      <c r="B15957" s="11" t="s">
        <v>6078</v>
      </c>
      <c r="C15957" s="11" t="s">
        <v>5947</v>
      </c>
      <c r="D15957" s="11" t="s">
        <v>31937</v>
      </c>
      <c r="E15957" s="10">
        <v>3068690</v>
      </c>
      <c r="F15957" s="4" t="str">
        <f>IF(B15957=B15956,"",B15957)</f>
        <v/>
      </c>
    </row>
    <row r="15958" spans="1:6" ht="15.75" customHeight="1">
      <c r="A15958" s="16" t="s">
        <v>22908</v>
      </c>
      <c r="B15958" s="15" t="s">
        <v>22909</v>
      </c>
      <c r="C15958" s="16" t="s">
        <v>22070</v>
      </c>
      <c r="D15958" s="16" t="s">
        <v>22227</v>
      </c>
      <c r="E15958" s="2">
        <v>513883</v>
      </c>
      <c r="F15958" s="4" t="str">
        <f>IF(B15958=B15957,"",B15958)</f>
        <v>Otradnyy</v>
      </c>
    </row>
    <row r="15959" spans="1:6" ht="15.75" customHeight="1">
      <c r="A15959" s="8" t="str">
        <f ca="1">IFERROR(__xludf.DUMMYFUNCTION("GOOGLETRANSLATE(B40218,""en"",""pt"")"),"OTRADNYY")</f>
        <v>OTRADNYY</v>
      </c>
      <c r="B15959" s="11" t="s">
        <v>22909</v>
      </c>
      <c r="C15959" s="11" t="s">
        <v>22070</v>
      </c>
      <c r="D15959" s="11" t="s">
        <v>22227</v>
      </c>
      <c r="E15959" s="10">
        <v>513883</v>
      </c>
      <c r="F15959" s="4" t="str">
        <f>IF(B15959=B15958,"",B15959)</f>
        <v/>
      </c>
    </row>
    <row r="15960" spans="1:6" ht="15.75" customHeight="1">
      <c r="A15960" s="16" t="s">
        <v>22906</v>
      </c>
      <c r="B15960" s="15" t="s">
        <v>22907</v>
      </c>
      <c r="C15960" s="16" t="s">
        <v>22070</v>
      </c>
      <c r="D15960" s="16" t="s">
        <v>22127</v>
      </c>
      <c r="E15960" s="2">
        <v>513896</v>
      </c>
      <c r="F15960" s="4" t="str">
        <f>IF(B15960=B15959,"",B15960)</f>
        <v>Otradnoye</v>
      </c>
    </row>
    <row r="15961" spans="1:6" ht="15.75" customHeight="1">
      <c r="A15961" s="16" t="s">
        <v>22906</v>
      </c>
      <c r="B15961" s="15" t="s">
        <v>22907</v>
      </c>
      <c r="C15961" s="16" t="s">
        <v>22070</v>
      </c>
      <c r="D15961" s="16" t="s">
        <v>22094</v>
      </c>
      <c r="E15961" s="2">
        <v>513898</v>
      </c>
      <c r="F15961" s="4" t="str">
        <f>IF(B15961=B15960,"",B15961)</f>
        <v/>
      </c>
    </row>
    <row r="15962" spans="1:6" ht="15.75" customHeight="1">
      <c r="A15962" s="8" t="str">
        <f ca="1">IFERROR(__xludf.DUMMYFUNCTION("GOOGLETRANSLATE(B40219,""en"",""pt"")"),"OTRADNOYE")</f>
        <v>OTRADNOYE</v>
      </c>
      <c r="B15962" s="9" t="s">
        <v>22907</v>
      </c>
      <c r="C15962" s="9" t="s">
        <v>22070</v>
      </c>
      <c r="D15962" s="9" t="s">
        <v>22127</v>
      </c>
      <c r="E15962" s="10">
        <v>513896</v>
      </c>
      <c r="F15962" s="4" t="str">
        <f>IF(B15962=B15961,"",B15962)</f>
        <v/>
      </c>
    </row>
    <row r="15963" spans="1:6" ht="15.75" customHeight="1">
      <c r="A15963" s="8" t="str">
        <f ca="1">IFERROR(__xludf.DUMMYFUNCTION("GOOGLETRANSLATE(B40220,""en"",""pt"")"),"OTRADNOYE")</f>
        <v>OTRADNOYE</v>
      </c>
      <c r="B15963" s="11" t="s">
        <v>22907</v>
      </c>
      <c r="C15963" s="11" t="s">
        <v>22070</v>
      </c>
      <c r="D15963" s="11" t="s">
        <v>22094</v>
      </c>
      <c r="E15963" s="10">
        <v>513898</v>
      </c>
      <c r="F15963" s="4" t="str">
        <f>IF(B15963=B15962,"",B15963)</f>
        <v/>
      </c>
    </row>
    <row r="15964" spans="1:6" ht="15.75" customHeight="1">
      <c r="A15964" s="16" t="s">
        <v>22904</v>
      </c>
      <c r="B15964" s="15" t="s">
        <v>22905</v>
      </c>
      <c r="C15964" s="16" t="s">
        <v>22070</v>
      </c>
      <c r="D15964" s="16" t="s">
        <v>22077</v>
      </c>
      <c r="E15964" s="2">
        <v>513911</v>
      </c>
      <c r="F15964" s="4" t="str">
        <f>IF(B15964=B15963,"",B15964)</f>
        <v>Otradnaya</v>
      </c>
    </row>
    <row r="15965" spans="1:6" ht="15.75" customHeight="1">
      <c r="A15965" s="8" t="str">
        <f ca="1">IFERROR(__xludf.DUMMYFUNCTION("GOOGLETRANSLATE(B40221,""en"",""pt"")"),"OTRADNAYA")</f>
        <v>OTRADNAYA</v>
      </c>
      <c r="B15965" s="11" t="s">
        <v>22905</v>
      </c>
      <c r="C15965" s="11" t="s">
        <v>22070</v>
      </c>
      <c r="D15965" s="11" t="s">
        <v>22077</v>
      </c>
      <c r="E15965" s="10">
        <v>513911</v>
      </c>
      <c r="F15965" s="4" t="str">
        <f>IF(B15965=B15964,"",B15965)</f>
        <v/>
      </c>
    </row>
    <row r="15966" spans="1:6" ht="15.75" customHeight="1">
      <c r="A15966" s="15" t="s">
        <v>16348</v>
      </c>
      <c r="B15966" s="15" t="s">
        <v>16348</v>
      </c>
      <c r="C15966" s="15" t="s">
        <v>15704</v>
      </c>
      <c r="D15966" s="15" t="s">
        <v>15705</v>
      </c>
      <c r="E15966" s="2">
        <v>2128558</v>
      </c>
      <c r="F15966" s="4" t="str">
        <f>IF(B15966=B15965,"",B15966)</f>
        <v>Otofuke</v>
      </c>
    </row>
    <row r="15967" spans="1:6" ht="15.75" customHeight="1">
      <c r="A15967" s="8" t="str">
        <f ca="1">IFERROR(__xludf.DUMMYFUNCTION("GOOGLETRANSLATE(B35829,""en"",""pt"")"),"Otofuke")</f>
        <v>Otofuke</v>
      </c>
      <c r="B15967" s="11" t="s">
        <v>16348</v>
      </c>
      <c r="C15967" s="11" t="s">
        <v>15704</v>
      </c>
      <c r="D15967" s="11" t="s">
        <v>15705</v>
      </c>
      <c r="E15967" s="10">
        <v>2128558</v>
      </c>
      <c r="F15967" s="4" t="str">
        <f>IF(B15967=B15966,"",B15967)</f>
        <v/>
      </c>
    </row>
    <row r="15968" spans="1:6" ht="15.75" customHeight="1">
      <c r="A15968" s="16" t="s">
        <v>18786</v>
      </c>
      <c r="B15968" s="15" t="s">
        <v>18786</v>
      </c>
      <c r="C15968" s="16" t="s">
        <v>18773</v>
      </c>
      <c r="D15968" s="16" t="s">
        <v>18776</v>
      </c>
      <c r="E15968" s="2">
        <v>3353811</v>
      </c>
      <c r="F15968" s="4" t="str">
        <f>IF(B15968=B15967,"",B15968)</f>
        <v>Otjiwarongo</v>
      </c>
    </row>
    <row r="15969" spans="1:6" ht="15.75" customHeight="1">
      <c r="A15969" s="8" t="str">
        <f ca="1">IFERROR(__xludf.DUMMYFUNCTION("GOOGLETRANSLATE(B37570,""en"",""pt"")"),"Otjiwarongo")</f>
        <v>Otjiwarongo</v>
      </c>
      <c r="B15969" s="11" t="s">
        <v>18786</v>
      </c>
      <c r="C15969" s="11" t="s">
        <v>18773</v>
      </c>
      <c r="D15969" s="11" t="s">
        <v>18776</v>
      </c>
      <c r="E15969" s="10">
        <v>3353811</v>
      </c>
      <c r="F15969" s="4" t="str">
        <f>IF(B15969=B15968,"",B15969)</f>
        <v/>
      </c>
    </row>
    <row r="15970" spans="1:6" ht="15.75" customHeight="1">
      <c r="A15970" s="16" t="s">
        <v>16731</v>
      </c>
      <c r="B15970" s="15" t="s">
        <v>16731</v>
      </c>
      <c r="C15970" s="16" t="s">
        <v>16671</v>
      </c>
      <c r="D15970" s="16" t="s">
        <v>16705</v>
      </c>
      <c r="E15970" s="2">
        <v>1524308</v>
      </c>
      <c r="F15970" s="4" t="str">
        <f>IF(B15970=B15969,"",B15970)</f>
        <v>Otegen Batyra</v>
      </c>
    </row>
    <row r="15971" spans="1:6" ht="15.75" customHeight="1">
      <c r="A15971" s="8" t="str">
        <f ca="1">IFERROR(__xludf.DUMMYFUNCTION("GOOGLETRANSLATE(B36245,""en"",""pt"")"),"Otegen Batyra")</f>
        <v>Otegen Batyra</v>
      </c>
      <c r="B15971" s="11" t="s">
        <v>16731</v>
      </c>
      <c r="C15971" s="11" t="s">
        <v>16671</v>
      </c>
      <c r="D15971" s="11" t="s">
        <v>16705</v>
      </c>
      <c r="E15971" s="10">
        <v>1524308</v>
      </c>
      <c r="F15971" s="4" t="str">
        <f>IF(B15971=B15970,"",B15971)</f>
        <v/>
      </c>
    </row>
    <row r="15972" spans="1:6" ht="15.75" customHeight="1">
      <c r="A15972" s="8" t="str">
        <f ca="1">IFERROR(__xludf.DUMMYFUNCTION("GOOGLETRANSLATE(B35742,""en"",""pt"")"),"Ōtawara")</f>
        <v>Ōtawara</v>
      </c>
      <c r="B15972" s="9" t="s">
        <v>34406</v>
      </c>
      <c r="C15972" s="9" t="s">
        <v>15704</v>
      </c>
      <c r="D15972" s="9" t="s">
        <v>15799</v>
      </c>
      <c r="E15972" s="10">
        <v>2111325</v>
      </c>
      <c r="F15972" s="4" t="str">
        <f>IF(B15972=B15971,"",B15972)</f>
        <v>Ōtawara</v>
      </c>
    </row>
    <row r="15973" spans="1:6" ht="15.75" customHeight="1">
      <c r="A15973" s="15" t="s">
        <v>6453</v>
      </c>
      <c r="B15973" s="15" t="s">
        <v>6454</v>
      </c>
      <c r="C15973" s="15" t="s">
        <v>6398</v>
      </c>
      <c r="D15973" s="15" t="s">
        <v>6401</v>
      </c>
      <c r="E15973" s="2">
        <v>3653693</v>
      </c>
      <c r="F15973" s="4" t="str">
        <f>IF(B15973=B15972,"",B15973)</f>
        <v>Otavalo</v>
      </c>
    </row>
    <row r="15974" spans="1:6" ht="15.75" customHeight="1">
      <c r="A15974" s="8" t="str">
        <f ca="1">IFERROR(__xludf.DUMMYFUNCTION("GOOGLETRANSLATE(B28774,""en"",""pt"")"),"OTAVALO")</f>
        <v>OTAVALO</v>
      </c>
      <c r="B15974" s="9" t="s">
        <v>6454</v>
      </c>
      <c r="C15974" s="9" t="s">
        <v>6398</v>
      </c>
      <c r="D15974" s="9" t="s">
        <v>6401</v>
      </c>
      <c r="E15974" s="10">
        <v>3653693</v>
      </c>
      <c r="F15974" s="4" t="str">
        <f>IF(B15974=B15973,"",B15974)</f>
        <v/>
      </c>
    </row>
    <row r="15975" spans="1:6" ht="15.75" customHeight="1">
      <c r="A15975" s="15" t="s">
        <v>16347</v>
      </c>
      <c r="B15975" s="15" t="s">
        <v>16347</v>
      </c>
      <c r="C15975" s="15" t="s">
        <v>15704</v>
      </c>
      <c r="D15975" s="15" t="s">
        <v>15705</v>
      </c>
      <c r="E15975" s="2">
        <v>2128574</v>
      </c>
      <c r="F15975" s="4" t="str">
        <f>IF(B15975=B15974,"",B15975)</f>
        <v>Otaru</v>
      </c>
    </row>
    <row r="15976" spans="1:6" ht="15.75" customHeight="1">
      <c r="A15976" s="8" t="str">
        <f ca="1">IFERROR(__xludf.DUMMYFUNCTION("GOOGLETRANSLATE(B35830,""en"",""pt"")"),"Otaru")</f>
        <v>Otaru</v>
      </c>
      <c r="B15976" s="9" t="s">
        <v>16347</v>
      </c>
      <c r="C15976" s="9" t="s">
        <v>15704</v>
      </c>
      <c r="D15976" s="9" t="s">
        <v>15705</v>
      </c>
      <c r="E15976" s="10">
        <v>2128574</v>
      </c>
      <c r="F15976" s="4" t="str">
        <f>IF(B15976=B15975,"",B15976)</f>
        <v/>
      </c>
    </row>
    <row r="15977" spans="1:6" ht="15.75" customHeight="1">
      <c r="A15977" s="16" t="s">
        <v>19543</v>
      </c>
      <c r="B15977" s="15" t="s">
        <v>19544</v>
      </c>
      <c r="C15977" s="16" t="s">
        <v>19294</v>
      </c>
      <c r="D15977" s="16" t="s">
        <v>19322</v>
      </c>
      <c r="E15977" s="2">
        <v>2325506</v>
      </c>
      <c r="F15977" s="4" t="str">
        <f>IF(B15977=B15976,"",B15977)</f>
        <v>Otan Ayegbaju</v>
      </c>
    </row>
    <row r="15978" spans="1:6" ht="15.75" customHeight="1">
      <c r="A15978" s="8" t="str">
        <f ca="1">IFERROR(__xludf.DUMMYFUNCTION("GOOGLETRANSLATE(B37646,""en"",""pt"")"),"OTAN AYEGBAJU")</f>
        <v>OTAN AYEGBAJU</v>
      </c>
      <c r="B15978" s="9" t="s">
        <v>19544</v>
      </c>
      <c r="C15978" s="9" t="s">
        <v>19294</v>
      </c>
      <c r="D15978" s="9" t="s">
        <v>19322</v>
      </c>
      <c r="E15978" s="10">
        <v>2325506</v>
      </c>
      <c r="F15978" s="4" t="str">
        <f>IF(B15978=B15977,"",B15978)</f>
        <v/>
      </c>
    </row>
    <row r="15979" spans="1:6" ht="15.75" customHeight="1">
      <c r="A15979" s="8" t="str">
        <f ca="1">IFERROR(__xludf.DUMMYFUNCTION("GOOGLETRANSLATE(B35340,""en"",""pt"")"),"Ōtake")</f>
        <v>Ōtake</v>
      </c>
      <c r="B15979" s="11" t="s">
        <v>34321</v>
      </c>
      <c r="C15979" s="11" t="s">
        <v>15704</v>
      </c>
      <c r="D15979" s="11" t="s">
        <v>15796</v>
      </c>
      <c r="E15979" s="10">
        <v>1853662</v>
      </c>
      <c r="F15979" s="4" t="str">
        <f>IF(B15979=B15978,"",B15979)</f>
        <v>Ōtake</v>
      </c>
    </row>
    <row r="15980" spans="1:6" ht="15.75" customHeight="1">
      <c r="A15980" s="8" t="str">
        <f ca="1">IFERROR(__xludf.DUMMYFUNCTION("GOOGLETRANSLATE(B35341,""en"",""pt"")"),"Ōta")</f>
        <v>Ōta</v>
      </c>
      <c r="B15980" s="9" t="s">
        <v>34322</v>
      </c>
      <c r="C15980" s="9" t="s">
        <v>15704</v>
      </c>
      <c r="D15980" s="9" t="s">
        <v>15731</v>
      </c>
      <c r="E15980" s="10">
        <v>1853677</v>
      </c>
      <c r="F15980" s="4" t="str">
        <f>IF(B15980=B15979,"",B15980)</f>
        <v>Ōta</v>
      </c>
    </row>
    <row r="15981" spans="1:6" ht="15.75" customHeight="1">
      <c r="A15981" s="8" t="str">
        <f ca="1">IFERROR(__xludf.DUMMYFUNCTION("GOOGLETRANSLATE(B39384,""en"",""pt"")"),"Oświęcim")</f>
        <v>Oświęcim</v>
      </c>
      <c r="B15981" s="11" t="s">
        <v>35184</v>
      </c>
      <c r="C15981" s="11" t="s">
        <v>21064</v>
      </c>
      <c r="D15981" s="11" t="s">
        <v>21108</v>
      </c>
      <c r="E15981" s="10">
        <v>3089658</v>
      </c>
      <c r="F15981" s="4" t="str">
        <f>IF(B15981=B15980,"",B15981)</f>
        <v>Oświęcim</v>
      </c>
    </row>
    <row r="15982" spans="1:6" ht="15.75" customHeight="1">
      <c r="A15982" s="15" t="s">
        <v>27585</v>
      </c>
      <c r="B15982" s="15" t="s">
        <v>27585</v>
      </c>
      <c r="C15982" s="15" t="s">
        <v>27234</v>
      </c>
      <c r="D15982" s="15" t="s">
        <v>27241</v>
      </c>
      <c r="E15982" s="2">
        <v>2640861</v>
      </c>
      <c r="F15982" s="4" t="str">
        <f>IF(B15982=B15981,"",B15982)</f>
        <v>Oswestry</v>
      </c>
    </row>
    <row r="15983" spans="1:6" ht="15.75" customHeight="1">
      <c r="A15983" s="8" t="str">
        <f ca="1">IFERROR(__xludf.DUMMYFUNCTION("GOOGLETRANSLATE(B30493,""en"",""pt"")"),"Oswestry")</f>
        <v>Oswestry</v>
      </c>
      <c r="B15983" s="11" t="s">
        <v>27585</v>
      </c>
      <c r="C15983" s="11" t="s">
        <v>27234</v>
      </c>
      <c r="D15983" s="11" t="s">
        <v>27241</v>
      </c>
      <c r="E15983" s="10">
        <v>2640861</v>
      </c>
      <c r="F15983" s="4" t="str">
        <f>IF(B15983=B15982,"",B15983)</f>
        <v/>
      </c>
    </row>
    <row r="15984" spans="1:6" ht="15.75" customHeight="1">
      <c r="A15984" s="15" t="s">
        <v>29578</v>
      </c>
      <c r="B15984" s="15" t="s">
        <v>29578</v>
      </c>
      <c r="C15984" s="15" t="s">
        <v>27788</v>
      </c>
      <c r="D15984" s="15" t="s">
        <v>27799</v>
      </c>
      <c r="E15984" s="2">
        <v>4904996</v>
      </c>
      <c r="F15984" s="4" t="str">
        <f>IF(B15984=B15983,"",B15984)</f>
        <v>Oswego</v>
      </c>
    </row>
    <row r="15985" spans="1:6" ht="15.75" customHeight="1">
      <c r="A15985" s="15" t="s">
        <v>29578</v>
      </c>
      <c r="B15985" s="15" t="s">
        <v>29578</v>
      </c>
      <c r="C15985" s="15" t="s">
        <v>27788</v>
      </c>
      <c r="D15985" s="15" t="s">
        <v>27819</v>
      </c>
      <c r="E15985" s="2">
        <v>5130081</v>
      </c>
      <c r="F15985" s="4" t="str">
        <f>IF(B15985=B15984,"",B15985)</f>
        <v/>
      </c>
    </row>
    <row r="15986" spans="1:6" ht="15.75" customHeight="1">
      <c r="A15986" s="8" t="str">
        <f ca="1">IFERROR(__xludf.DUMMYFUNCTION("GOOGLETRANSLATE(B43864,""en"",""pt"")"),"Oswego")</f>
        <v>Oswego</v>
      </c>
      <c r="B15986" s="9" t="s">
        <v>29578</v>
      </c>
      <c r="C15986" s="9" t="s">
        <v>27788</v>
      </c>
      <c r="D15986" s="9" t="s">
        <v>27799</v>
      </c>
      <c r="E15986" s="10">
        <v>4904996</v>
      </c>
      <c r="F15986" s="4" t="str">
        <f>IF(B15986=B15985,"",B15986)</f>
        <v/>
      </c>
    </row>
    <row r="15987" spans="1:6" ht="15.75" customHeight="1">
      <c r="A15987" s="8" t="str">
        <f ca="1">IFERROR(__xludf.DUMMYFUNCTION("GOOGLETRANSLATE(B44430,""en"",""pt"")"),"Oswego")</f>
        <v>Oswego</v>
      </c>
      <c r="B15987" s="11" t="s">
        <v>29578</v>
      </c>
      <c r="C15987" s="11" t="s">
        <v>27788</v>
      </c>
      <c r="D15987" s="11" t="s">
        <v>27819</v>
      </c>
      <c r="E15987" s="10">
        <v>5130081</v>
      </c>
      <c r="F15987" s="4" t="str">
        <f>IF(B15987=B15986,"",B15987)</f>
        <v/>
      </c>
    </row>
    <row r="15988" spans="1:6" ht="15.75" customHeight="1">
      <c r="A15988" s="16" t="s">
        <v>2998</v>
      </c>
      <c r="B15988" s="15" t="s">
        <v>2998</v>
      </c>
      <c r="C15988" s="16" t="s">
        <v>1905</v>
      </c>
      <c r="D15988" s="16" t="s">
        <v>1914</v>
      </c>
      <c r="E15988" s="2">
        <v>3455756</v>
      </c>
      <c r="F15988" s="4" t="str">
        <f>IF(B15988=B15987,"",B15988)</f>
        <v>Osvaldo Cruz</v>
      </c>
    </row>
    <row r="15989" spans="1:6" ht="15.75" customHeight="1">
      <c r="A15989" s="8" t="str">
        <f ca="1">IFERROR(__xludf.DUMMYFUNCTION("GOOGLETRANSLATE(B24762,""en"",""pt"")"),"Osvaldo Cruz")</f>
        <v>Osvaldo Cruz</v>
      </c>
      <c r="B15989" s="11" t="s">
        <v>2998</v>
      </c>
      <c r="C15989" s="11" t="s">
        <v>1905</v>
      </c>
      <c r="D15989" s="11" t="s">
        <v>3354</v>
      </c>
      <c r="E15989" s="10">
        <v>3455756</v>
      </c>
      <c r="F15989" s="4" t="str">
        <f>IF(B15989=B15988,"",B15989)</f>
        <v/>
      </c>
    </row>
    <row r="15990" spans="1:6" ht="15.75" customHeight="1">
      <c r="A15990" s="15" t="s">
        <v>24670</v>
      </c>
      <c r="B15990" s="15" t="s">
        <v>24670</v>
      </c>
      <c r="C15990" s="15" t="s">
        <v>24200</v>
      </c>
      <c r="D15990" s="15" t="s">
        <v>24205</v>
      </c>
      <c r="E15990" s="2">
        <v>2513052</v>
      </c>
      <c r="F15990" s="4" t="str">
        <f>IF(B15990=B15989,"",B15990)</f>
        <v>Osuna</v>
      </c>
    </row>
    <row r="15991" spans="1:6" ht="15.75" customHeight="1">
      <c r="A15991" s="8" t="str">
        <f ca="1">IFERROR(__xludf.DUMMYFUNCTION("GOOGLETRANSLATE(B29033,""en"",""pt"")"),"Osuna")</f>
        <v>Osuna</v>
      </c>
      <c r="B15991" s="11" t="s">
        <v>24670</v>
      </c>
      <c r="C15991" s="11" t="s">
        <v>24200</v>
      </c>
      <c r="D15991" s="11" t="s">
        <v>24205</v>
      </c>
      <c r="E15991" s="10">
        <v>2513052</v>
      </c>
      <c r="F15991" s="4" t="str">
        <f>IF(B15991=B15990,"",B15991)</f>
        <v/>
      </c>
    </row>
    <row r="15992" spans="1:6" ht="15.75" customHeight="1">
      <c r="A15992" s="15" t="s">
        <v>15333</v>
      </c>
      <c r="B15992" s="15" t="s">
        <v>15333</v>
      </c>
      <c r="C15992" s="15" t="s">
        <v>14891</v>
      </c>
      <c r="D15992" s="15" t="s">
        <v>14908</v>
      </c>
      <c r="E15992" s="2">
        <v>3171786</v>
      </c>
      <c r="F15992" s="4" t="str">
        <f>IF(B15992=B15991,"",B15992)</f>
        <v>Ostuni</v>
      </c>
    </row>
    <row r="15993" spans="1:6" ht="15.75" customHeight="1">
      <c r="A15993" s="8" t="str">
        <f ca="1">IFERROR(__xludf.DUMMYFUNCTION("GOOGLETRANSLATE(B34789,""en"",""pt"")"),"Ostuni")</f>
        <v>Ostuni</v>
      </c>
      <c r="B15993" s="11" t="s">
        <v>15333</v>
      </c>
      <c r="C15993" s="11" t="s">
        <v>14891</v>
      </c>
      <c r="D15993" s="11" t="s">
        <v>14908</v>
      </c>
      <c r="E15993" s="10">
        <v>3171786</v>
      </c>
      <c r="F15993" s="4" t="str">
        <f>IF(B15993=B15992,"",B15993)</f>
        <v/>
      </c>
    </row>
    <row r="15994" spans="1:6" ht="15.75" customHeight="1">
      <c r="A15994" s="16" t="s">
        <v>9763</v>
      </c>
      <c r="B15994" s="15" t="s">
        <v>9763</v>
      </c>
      <c r="C15994" s="16" t="s">
        <v>9700</v>
      </c>
      <c r="D15994" s="16" t="s">
        <v>9712</v>
      </c>
      <c r="E15994" s="2">
        <v>3591997</v>
      </c>
      <c r="F15994" s="4" t="str">
        <f>IF(B15994=B15993,"",B15994)</f>
        <v>Ostuncalco</v>
      </c>
    </row>
    <row r="15995" spans="1:6" ht="15.75" customHeight="1">
      <c r="A15995" s="8" t="str">
        <f ca="1">IFERROR(__xludf.DUMMYFUNCTION("GOOGLETRANSLATE(B31102,""en"",""pt"")"),"Ostuncalco")</f>
        <v>Ostuncalco</v>
      </c>
      <c r="B15995" s="11" t="s">
        <v>9763</v>
      </c>
      <c r="C15995" s="11" t="s">
        <v>9700</v>
      </c>
      <c r="D15995" s="11" t="s">
        <v>9712</v>
      </c>
      <c r="E15995" s="10">
        <v>3591997</v>
      </c>
      <c r="F15995" s="4" t="str">
        <f>IF(B15995=B15994,"",B15995)</f>
        <v/>
      </c>
    </row>
    <row r="15996" spans="1:6" ht="15.75" customHeight="1">
      <c r="A15996" s="8" t="str">
        <f ca="1">IFERROR(__xludf.DUMMYFUNCTION("GOOGLETRANSLATE(B39231,""en"",""pt"")"),"Ostrowiec świętokrzyski")</f>
        <v>Ostrowiec świętokrzyski</v>
      </c>
      <c r="B15996" s="9" t="s">
        <v>35094</v>
      </c>
      <c r="C15996" s="9" t="s">
        <v>21064</v>
      </c>
      <c r="D15996" s="9" t="s">
        <v>35079</v>
      </c>
      <c r="E15996" s="10">
        <v>762863</v>
      </c>
      <c r="F15996" s="4" t="str">
        <f>IF(B15996=B15995,"",B15996)</f>
        <v>Ostrowiec Świętokrzyski</v>
      </c>
    </row>
    <row r="15997" spans="1:6" ht="15.75" customHeight="1">
      <c r="A15997" s="16" t="s">
        <v>21408</v>
      </c>
      <c r="B15997" s="15" t="s">
        <v>21409</v>
      </c>
      <c r="C15997" s="16" t="s">
        <v>21064</v>
      </c>
      <c r="D15997" s="16" t="s">
        <v>21169</v>
      </c>
      <c r="E15997" s="2">
        <v>762863</v>
      </c>
      <c r="F15997" s="4" t="str">
        <f>IF(B15997=B15996,"",B15997)</f>
        <v>Ostrowiec ÅšwiÄ™tokrzyski</v>
      </c>
    </row>
    <row r="15998" spans="1:6" ht="15.75" customHeight="1">
      <c r="A15998" s="8" t="str">
        <f ca="1">IFERROR(__xludf.DUMMYFUNCTION("GOOGLETRANSLATE(B39385,""en"",""pt"")"),"Ostrów Wielkopolski")</f>
        <v>Ostrów Wielkopolski</v>
      </c>
      <c r="B15998" s="11" t="s">
        <v>35185</v>
      </c>
      <c r="C15998" s="11" t="s">
        <v>21064</v>
      </c>
      <c r="D15998" s="11" t="s">
        <v>21112</v>
      </c>
      <c r="E15998" s="10">
        <v>3089684</v>
      </c>
      <c r="F15998" s="4" t="str">
        <f>IF(B15998=B15997,"",B15998)</f>
        <v>Ostrów Wielkopolski</v>
      </c>
    </row>
    <row r="15999" spans="1:6" ht="15.75" customHeight="1">
      <c r="A15999" s="8" t="str">
        <f ca="1">IFERROR(__xludf.DUMMYFUNCTION("GOOGLETRANSLATE(B39230,""en"",""pt"")"),"Ostrów Mazowiecka")</f>
        <v>Ostrów Mazowiecka</v>
      </c>
      <c r="B15999" s="9" t="s">
        <v>35093</v>
      </c>
      <c r="C15999" s="9" t="s">
        <v>21064</v>
      </c>
      <c r="D15999" s="9" t="s">
        <v>21070</v>
      </c>
      <c r="E15999" s="10">
        <v>762850</v>
      </c>
      <c r="F15999" s="4" t="str">
        <f>IF(B15999=B15998,"",B15999)</f>
        <v>Ostrów Mazowiecka</v>
      </c>
    </row>
    <row r="16000" spans="1:6" ht="15.75" customHeight="1">
      <c r="A16000" s="15" t="s">
        <v>6076</v>
      </c>
      <c r="B16000" s="15" t="s">
        <v>6076</v>
      </c>
      <c r="C16000" s="15" t="s">
        <v>5947</v>
      </c>
      <c r="D16000" s="15" t="s">
        <v>5998</v>
      </c>
      <c r="E16000" s="2">
        <v>3068766</v>
      </c>
      <c r="F16000" s="4" t="str">
        <f>IF(B16000=B15999,"",B16000)</f>
        <v>Ostrov</v>
      </c>
    </row>
    <row r="16001" spans="1:6" ht="15.75" customHeight="1">
      <c r="A16001" s="15" t="s">
        <v>6076</v>
      </c>
      <c r="B16001" s="15" t="s">
        <v>6076</v>
      </c>
      <c r="C16001" s="15" t="s">
        <v>22070</v>
      </c>
      <c r="D16001" s="15" t="s">
        <v>22800</v>
      </c>
      <c r="E16001" s="2">
        <v>514171</v>
      </c>
      <c r="F16001" s="4" t="str">
        <f>IF(B16001=B16000,"",B16001)</f>
        <v/>
      </c>
    </row>
    <row r="16002" spans="1:6" ht="15.75" customHeight="1">
      <c r="A16002" s="8" t="str">
        <f ca="1">IFERROR(__xludf.DUMMYFUNCTION("GOOGLETRANSLATE(B27280,""en"",""pt"")"),"Ostrov")</f>
        <v>Ostrov</v>
      </c>
      <c r="B16002" s="9" t="s">
        <v>6076</v>
      </c>
      <c r="C16002" s="9" t="s">
        <v>5947</v>
      </c>
      <c r="D16002" s="9" t="s">
        <v>31959</v>
      </c>
      <c r="E16002" s="10">
        <v>3068766</v>
      </c>
      <c r="F16002" s="4" t="str">
        <f>IF(B16002=B16001,"",B16002)</f>
        <v/>
      </c>
    </row>
    <row r="16003" spans="1:6" ht="15.75" customHeight="1">
      <c r="A16003" s="8" t="str">
        <f ca="1">IFERROR(__xludf.DUMMYFUNCTION("GOOGLETRANSLATE(B40222,""en"",""pt"")"),"Ostrov")</f>
        <v>Ostrov</v>
      </c>
      <c r="B16003" s="9" t="s">
        <v>6076</v>
      </c>
      <c r="C16003" s="9" t="s">
        <v>22070</v>
      </c>
      <c r="D16003" s="9" t="s">
        <v>22800</v>
      </c>
      <c r="E16003" s="10">
        <v>514171</v>
      </c>
      <c r="F16003" s="4" t="str">
        <f>IF(B16003=B16002,"",B16003)</f>
        <v/>
      </c>
    </row>
    <row r="16004" spans="1:6" ht="15.75" customHeight="1">
      <c r="A16004" s="8" t="str">
        <f ca="1">IFERROR(__xludf.DUMMYFUNCTION("GOOGLETRANSLATE(B39232,""en"",""pt"")"),"Ostrołęka")</f>
        <v>Ostrołęka</v>
      </c>
      <c r="B16004" s="11" t="s">
        <v>35095</v>
      </c>
      <c r="C16004" s="11" t="s">
        <v>21064</v>
      </c>
      <c r="D16004" s="11" t="s">
        <v>21070</v>
      </c>
      <c r="E16004" s="10">
        <v>762909</v>
      </c>
      <c r="F16004" s="4" t="str">
        <f>IF(B16004=B16003,"",B16004)</f>
        <v>Ostrołęka</v>
      </c>
    </row>
    <row r="16005" spans="1:6" ht="15.75" customHeight="1">
      <c r="A16005" s="16" t="s">
        <v>22903</v>
      </c>
      <c r="B16005" s="15" t="s">
        <v>22903</v>
      </c>
      <c r="C16005" s="16" t="s">
        <v>22070</v>
      </c>
      <c r="D16005" s="16" t="s">
        <v>22137</v>
      </c>
      <c r="E16005" s="2">
        <v>514198</v>
      </c>
      <c r="F16005" s="4" t="str">
        <f>IF(B16005=B16004,"",B16005)</f>
        <v>Ostrogozhsk</v>
      </c>
    </row>
    <row r="16006" spans="1:6" ht="15.75" customHeight="1">
      <c r="A16006" s="8" t="str">
        <f ca="1">IFERROR(__xludf.DUMMYFUNCTION("GOOGLETRANSLATE(B40223,""en"",""pt"")"),"Ostrogozhsk")</f>
        <v>Ostrogozhsk</v>
      </c>
      <c r="B16006" s="11" t="s">
        <v>22903</v>
      </c>
      <c r="C16006" s="11" t="s">
        <v>22070</v>
      </c>
      <c r="D16006" s="11" t="s">
        <v>22137</v>
      </c>
      <c r="E16006" s="10">
        <v>514198</v>
      </c>
      <c r="F16006" s="4" t="str">
        <f>IF(B16006=B16005,"",B16006)</f>
        <v/>
      </c>
    </row>
    <row r="16007" spans="1:6" ht="15.75" customHeight="1">
      <c r="A16007" s="8" t="str">
        <f ca="1">IFERROR(__xludf.DUMMYFUNCTION("GOOGLETRANSLATE(B39386,""en"",""pt"")"),"Ostróda")</f>
        <v>Ostróda</v>
      </c>
      <c r="B16007" s="9" t="s">
        <v>35186</v>
      </c>
      <c r="C16007" s="9" t="s">
        <v>21064</v>
      </c>
      <c r="D16007" s="9" t="s">
        <v>21131</v>
      </c>
      <c r="E16007" s="10">
        <v>3089779</v>
      </c>
      <c r="F16007" s="4" t="str">
        <f>IF(B16007=B16006,"",B16007)</f>
        <v>Ostróda</v>
      </c>
    </row>
    <row r="16008" spans="1:6" ht="15.75" customHeight="1">
      <c r="A16008" s="16" t="s">
        <v>21406</v>
      </c>
      <c r="B16008" s="15" t="s">
        <v>21407</v>
      </c>
      <c r="C16008" s="16" t="s">
        <v>21064</v>
      </c>
      <c r="D16008" s="16" t="s">
        <v>21070</v>
      </c>
      <c r="E16008" s="2">
        <v>762909</v>
      </c>
      <c r="F16008" s="4" t="str">
        <f>IF(B16008=B16007,"",B16008)</f>
        <v>OstroÅ‚Ä™ka</v>
      </c>
    </row>
    <row r="16009" spans="1:6" ht="15.75" customHeight="1">
      <c r="A16009" s="15" t="s">
        <v>6075</v>
      </c>
      <c r="B16009" s="15" t="s">
        <v>6075</v>
      </c>
      <c r="C16009" s="15" t="s">
        <v>5947</v>
      </c>
      <c r="D16009" s="15" t="s">
        <v>5971</v>
      </c>
      <c r="E16009" s="2">
        <v>3068799</v>
      </c>
      <c r="F16009" s="4" t="str">
        <f>IF(B16009=B16008,"",B16009)</f>
        <v>Ostrava</v>
      </c>
    </row>
    <row r="16010" spans="1:6" ht="15.75" customHeight="1">
      <c r="A16010" s="8" t="str">
        <f ca="1">IFERROR(__xludf.DUMMYFUNCTION("GOOGLETRANSLATE(B27281,""en"",""pt"")"),"Ostrava")</f>
        <v>Ostrava</v>
      </c>
      <c r="B16010" s="11" t="s">
        <v>6075</v>
      </c>
      <c r="C16010" s="11" t="s">
        <v>5947</v>
      </c>
      <c r="D16010" s="11" t="s">
        <v>31952</v>
      </c>
      <c r="E16010" s="10">
        <v>3068799</v>
      </c>
      <c r="F16010" s="4" t="str">
        <f>IF(B16010=B16009,"",B16010)</f>
        <v/>
      </c>
    </row>
    <row r="16011" spans="1:6" ht="15.75" customHeight="1">
      <c r="A16011" s="16" t="s">
        <v>21404</v>
      </c>
      <c r="B16011" s="15" t="s">
        <v>21405</v>
      </c>
      <c r="C16011" s="16" t="s">
        <v>21064</v>
      </c>
      <c r="D16011" s="16" t="s">
        <v>21112</v>
      </c>
      <c r="E16011" s="2">
        <v>3089684</v>
      </c>
      <c r="F16011" s="4" t="str">
        <f>IF(B16011=B16010,"",B16011)</f>
        <v>OstrÃ³w Wielkopolski</v>
      </c>
    </row>
    <row r="16012" spans="1:6" ht="15.75" customHeight="1">
      <c r="A16012" s="16" t="s">
        <v>21402</v>
      </c>
      <c r="B16012" s="15" t="s">
        <v>21403</v>
      </c>
      <c r="C16012" s="16" t="s">
        <v>21064</v>
      </c>
      <c r="D16012" s="16" t="s">
        <v>21070</v>
      </c>
      <c r="E16012" s="2">
        <v>762850</v>
      </c>
      <c r="F16012" s="4" t="str">
        <f>IF(B16012=B16011,"",B16012)</f>
        <v>OstrÃ³w Mazowiecka</v>
      </c>
    </row>
    <row r="16013" spans="1:6" ht="15.75" customHeight="1">
      <c r="A16013" s="15" t="s">
        <v>21400</v>
      </c>
      <c r="B16013" s="15" t="s">
        <v>21401</v>
      </c>
      <c r="C16013" s="15" t="s">
        <v>21064</v>
      </c>
      <c r="D16013" s="15" t="s">
        <v>21131</v>
      </c>
      <c r="E16013" s="2">
        <v>3089779</v>
      </c>
      <c r="F16013" s="4" t="str">
        <f>IF(B16013=B16012,"",B16013)</f>
        <v>OstrÃ³da</v>
      </c>
    </row>
    <row r="16014" spans="1:6" ht="15.75" customHeight="1">
      <c r="A16014" s="16" t="s">
        <v>8974</v>
      </c>
      <c r="B16014" s="15" t="s">
        <v>8974</v>
      </c>
      <c r="C16014" s="16" t="s">
        <v>8028</v>
      </c>
      <c r="D16014" s="16" t="s">
        <v>8031</v>
      </c>
      <c r="E16014" s="2">
        <v>3336892</v>
      </c>
      <c r="F16014" s="4" t="str">
        <f>IF(B16014=B16013,"",B16014)</f>
        <v>Ostfildern</v>
      </c>
    </row>
    <row r="16015" spans="1:6" ht="15.75" customHeight="1">
      <c r="A16015" s="8" t="str">
        <f ca="1">IFERROR(__xludf.DUMMYFUNCTION("GOOGLETRANSLATE(B28361,""en"",""pt"")"),"Ostfildern")</f>
        <v>Ostfildern</v>
      </c>
      <c r="B16015" s="9" t="s">
        <v>8974</v>
      </c>
      <c r="C16015" s="9" t="s">
        <v>8028</v>
      </c>
      <c r="D16015" s="9" t="s">
        <v>32013</v>
      </c>
      <c r="E16015" s="10">
        <v>3336892</v>
      </c>
      <c r="F16015" s="4" t="str">
        <f>IF(B16015=B16014,"",B16015)</f>
        <v/>
      </c>
    </row>
    <row r="16016" spans="1:6" ht="15.75" customHeight="1">
      <c r="A16016" s="8" t="str">
        <f ca="1">IFERROR(__xludf.DUMMYFUNCTION("GOOGLETRANSLATE(B41151,""en"",""pt"")"),"Östersund")</f>
        <v>Östersund</v>
      </c>
      <c r="B16016" s="9" t="s">
        <v>35636</v>
      </c>
      <c r="C16016" s="9" t="s">
        <v>25077</v>
      </c>
      <c r="D16016" s="9" t="s">
        <v>35637</v>
      </c>
      <c r="E16016" s="10">
        <v>2685750</v>
      </c>
      <c r="F16016" s="4" t="str">
        <f>IF(B16016=B16015,"",B16016)</f>
        <v>Östersund</v>
      </c>
    </row>
    <row r="16017" spans="1:6" ht="15.75" customHeight="1">
      <c r="A16017" s="8" t="str">
        <f ca="1">IFERROR(__xludf.DUMMYFUNCTION("GOOGLETRANSLATE(B41152,""en"",""pt"")"),"Östermalm")</f>
        <v>Östermalm</v>
      </c>
      <c r="B16017" s="11" t="s">
        <v>35638</v>
      </c>
      <c r="C16017" s="11" t="s">
        <v>25077</v>
      </c>
      <c r="D16017" s="11" t="s">
        <v>25081</v>
      </c>
      <c r="E16017" s="10">
        <v>2685828</v>
      </c>
      <c r="F16017" s="4" t="str">
        <f>IF(B16017=B16016,"",B16017)</f>
        <v>Östermalm</v>
      </c>
    </row>
    <row r="16018" spans="1:6" ht="15.75" customHeight="1">
      <c r="A16018" s="16" t="s">
        <v>8973</v>
      </c>
      <c r="B16018" s="15" t="s">
        <v>8973</v>
      </c>
      <c r="C16018" s="16" t="s">
        <v>8028</v>
      </c>
      <c r="D16018" s="16" t="s">
        <v>8034</v>
      </c>
      <c r="E16018" s="2">
        <v>2856500</v>
      </c>
      <c r="F16018" s="4" t="str">
        <f>IF(B16018=B16017,"",B16018)</f>
        <v>Osterholz-Scharmbeck</v>
      </c>
    </row>
    <row r="16019" spans="1:6" ht="15.75" customHeight="1">
      <c r="A16019" s="8" t="str">
        <f ca="1">IFERROR(__xludf.DUMMYFUNCTION("GOOGLETRANSLATE(B27664,""en"",""pt"")"),"Osterholz-Scharmbeck")</f>
        <v>Osterholz-Scharmbeck</v>
      </c>
      <c r="B16019" s="11" t="s">
        <v>8973</v>
      </c>
      <c r="C16019" s="11" t="s">
        <v>8028</v>
      </c>
      <c r="D16019" s="11" t="s">
        <v>8034</v>
      </c>
      <c r="E16019" s="10">
        <v>2856500</v>
      </c>
      <c r="F16019" s="4" t="str">
        <f>IF(B16019=B16018,"",B16019)</f>
        <v/>
      </c>
    </row>
    <row r="16020" spans="1:6" ht="15.75" customHeight="1">
      <c r="A16020" s="15" t="s">
        <v>1653</v>
      </c>
      <c r="B16020" s="15" t="s">
        <v>1654</v>
      </c>
      <c r="C16020" s="15" t="s">
        <v>1512</v>
      </c>
      <c r="D16020" s="15" t="s">
        <v>1513</v>
      </c>
      <c r="E16020" s="2">
        <v>2789786</v>
      </c>
      <c r="F16020" s="4" t="str">
        <f>IF(B16020=B16019,"",B16020)</f>
        <v>Ostend</v>
      </c>
    </row>
    <row r="16021" spans="1:6" ht="15.75" customHeight="1">
      <c r="A16021" s="8" t="str">
        <f ca="1">IFERROR(__xludf.DUMMYFUNCTION("GOOGLETRANSLATE(B23856,""en"",""pt"")"),"OSTEND")</f>
        <v>OSTEND</v>
      </c>
      <c r="B16021" s="11" t="s">
        <v>1654</v>
      </c>
      <c r="C16021" s="11" t="s">
        <v>1512</v>
      </c>
      <c r="D16021" s="11" t="s">
        <v>1513</v>
      </c>
      <c r="E16021" s="10">
        <v>2789786</v>
      </c>
      <c r="F16021" s="4" t="str">
        <f>IF(B16021=B16020,"",B16021)</f>
        <v/>
      </c>
    </row>
    <row r="16022" spans="1:6" ht="15.75" customHeight="1">
      <c r="A16022" s="16" t="s">
        <v>22901</v>
      </c>
      <c r="B16022" s="15" t="s">
        <v>22902</v>
      </c>
      <c r="C16022" s="16" t="s">
        <v>22070</v>
      </c>
      <c r="D16022" s="16" t="s">
        <v>22229</v>
      </c>
      <c r="E16022" s="2">
        <v>514259</v>
      </c>
      <c r="F16022" s="4" t="str">
        <f>IF(B16022=B16021,"",B16022)</f>
        <v>Ostashkov</v>
      </c>
    </row>
    <row r="16023" spans="1:6" ht="15.75" customHeight="1">
      <c r="A16023" s="8" t="str">
        <f ca="1">IFERROR(__xludf.DUMMYFUNCTION("GOOGLETRANSLATE(B40224,""en"",""pt"")"),"OSTASHKOV")</f>
        <v>OSTASHKOV</v>
      </c>
      <c r="B16023" s="11" t="s">
        <v>22902</v>
      </c>
      <c r="C16023" s="11" t="s">
        <v>22070</v>
      </c>
      <c r="D16023" s="11" t="s">
        <v>22229</v>
      </c>
      <c r="E16023" s="10">
        <v>514259</v>
      </c>
      <c r="F16023" s="4" t="str">
        <f>IF(B16023=B16022,"",B16023)</f>
        <v/>
      </c>
    </row>
    <row r="16024" spans="1:6" ht="15.75" customHeight="1">
      <c r="A16024" s="16" t="s">
        <v>22900</v>
      </c>
      <c r="B16024" s="15" t="s">
        <v>22900</v>
      </c>
      <c r="C16024" s="16" t="s">
        <v>22070</v>
      </c>
      <c r="D16024" s="16" t="s">
        <v>22127</v>
      </c>
      <c r="E16024" s="2">
        <v>514284</v>
      </c>
      <c r="F16024" s="4" t="str">
        <f>IF(B16024=B16023,"",B16024)</f>
        <v>Ostankinskiy</v>
      </c>
    </row>
    <row r="16025" spans="1:6" ht="15.75" customHeight="1">
      <c r="A16025" s="8" t="str">
        <f ca="1">IFERROR(__xludf.DUMMYFUNCTION("GOOGLETRANSLATE(B40225,""en"",""pt"")"),"Ostankinskiy")</f>
        <v>Ostankinskiy</v>
      </c>
      <c r="B16025" s="11" t="s">
        <v>22900</v>
      </c>
      <c r="C16025" s="11" t="s">
        <v>22070</v>
      </c>
      <c r="D16025" s="11" t="s">
        <v>22127</v>
      </c>
      <c r="E16025" s="10">
        <v>514284</v>
      </c>
      <c r="F16025" s="4" t="str">
        <f>IF(B16025=B16024,"",B16025)</f>
        <v/>
      </c>
    </row>
    <row r="16026" spans="1:6" ht="15.75" customHeight="1">
      <c r="A16026" s="15" t="s">
        <v>29577</v>
      </c>
      <c r="B16026" s="15" t="s">
        <v>29577</v>
      </c>
      <c r="C16026" s="15" t="s">
        <v>27788</v>
      </c>
      <c r="D16026" s="15" t="s">
        <v>27819</v>
      </c>
      <c r="E16026" s="2">
        <v>5130045</v>
      </c>
      <c r="F16026" s="4" t="str">
        <f>IF(B16026=B16025,"",B16026)</f>
        <v>Ossining</v>
      </c>
    </row>
    <row r="16027" spans="1:6" ht="15.75" customHeight="1">
      <c r="A16027" s="8" t="str">
        <f ca="1">IFERROR(__xludf.DUMMYFUNCTION("GOOGLETRANSLATE(B44429,""en"",""pt"")"),"Ossining")</f>
        <v>Ossining</v>
      </c>
      <c r="B16027" s="11" t="s">
        <v>29577</v>
      </c>
      <c r="C16027" s="11" t="s">
        <v>27788</v>
      </c>
      <c r="D16027" s="11" t="s">
        <v>27819</v>
      </c>
      <c r="E16027" s="10">
        <v>5130045</v>
      </c>
      <c r="F16027" s="4" t="str">
        <f>IF(B16027=B16026,"",B16027)</f>
        <v/>
      </c>
    </row>
    <row r="16028" spans="1:6" ht="15.75" customHeight="1">
      <c r="A16028" s="15" t="s">
        <v>27583</v>
      </c>
      <c r="B16028" s="15" t="s">
        <v>27584</v>
      </c>
      <c r="C16028" s="15" t="s">
        <v>27234</v>
      </c>
      <c r="D16028" s="15" t="s">
        <v>27241</v>
      </c>
      <c r="E16028" s="2">
        <v>2640869</v>
      </c>
      <c r="F16028" s="4" t="str">
        <f>IF(B16028=B16027,"",B16028)</f>
        <v>Ossett</v>
      </c>
    </row>
    <row r="16029" spans="1:6" ht="15.75" customHeight="1">
      <c r="A16029" s="8" t="str">
        <f ca="1">IFERROR(__xludf.DUMMYFUNCTION("GOOGLETRANSLATE(B30494,""en"",""pt"")"),"OSSETT")</f>
        <v>OSSETT</v>
      </c>
      <c r="B16029" s="11" t="s">
        <v>27584</v>
      </c>
      <c r="C16029" s="11" t="s">
        <v>27234</v>
      </c>
      <c r="D16029" s="11" t="s">
        <v>27241</v>
      </c>
      <c r="E16029" s="10">
        <v>2640869</v>
      </c>
      <c r="F16029" s="4" t="str">
        <f>IF(B16029=B16028,"",B16029)</f>
        <v/>
      </c>
    </row>
    <row r="16030" spans="1:6" ht="15.75" customHeight="1">
      <c r="A16030" s="15" t="s">
        <v>19062</v>
      </c>
      <c r="B16030" s="15" t="s">
        <v>19063</v>
      </c>
      <c r="C16030" s="15" t="s">
        <v>18862</v>
      </c>
      <c r="D16030" s="15" t="s">
        <v>18888</v>
      </c>
      <c r="E16030" s="2">
        <v>2749234</v>
      </c>
      <c r="F16030" s="4" t="str">
        <f>IF(B16030=B16029,"",B16030)</f>
        <v>Oss</v>
      </c>
    </row>
    <row r="16031" spans="1:6" ht="15.75" customHeight="1">
      <c r="A16031" s="8" t="str">
        <f ca="1">IFERROR(__xludf.DUMMYFUNCTION("GOOGLETRANSLATE(B37977,""en"",""pt"")"),"OSS")</f>
        <v>OSS</v>
      </c>
      <c r="B16031" s="11" t="s">
        <v>19063</v>
      </c>
      <c r="C16031" s="11" t="s">
        <v>18862</v>
      </c>
      <c r="D16031" s="11" t="s">
        <v>18888</v>
      </c>
      <c r="E16031" s="10">
        <v>2749234</v>
      </c>
      <c r="F16031" s="4" t="str">
        <f>IF(B16031=B16030,"",B16031)</f>
        <v/>
      </c>
    </row>
    <row r="16032" spans="1:6" ht="15.75" customHeight="1">
      <c r="A16032" s="15" t="s">
        <v>4437</v>
      </c>
      <c r="B16032" s="15" t="s">
        <v>4437</v>
      </c>
      <c r="C16032" s="15" t="s">
        <v>4355</v>
      </c>
      <c r="D16032" s="15" t="s">
        <v>4356</v>
      </c>
      <c r="E16032" s="2">
        <v>3877949</v>
      </c>
      <c r="F16032" s="4" t="str">
        <f>IF(B16032=B16031,"",B16032)</f>
        <v>Osorno</v>
      </c>
    </row>
    <row r="16033" spans="1:6" ht="15.75" customHeight="1">
      <c r="A16033" s="8" t="str">
        <f ca="1">IFERROR(__xludf.DUMMYFUNCTION("GOOGLETRANSLATE(B25924,""en"",""pt"")"),"Osorno")</f>
        <v>Osorno</v>
      </c>
      <c r="B16033" s="11" t="s">
        <v>4437</v>
      </c>
      <c r="C16033" s="11" t="s">
        <v>4355</v>
      </c>
      <c r="D16033" s="11" t="s">
        <v>4356</v>
      </c>
      <c r="E16033" s="10">
        <v>3877949</v>
      </c>
      <c r="F16033" s="4" t="str">
        <f>IF(B16033=B16032,"",B16033)</f>
        <v/>
      </c>
    </row>
    <row r="16034" spans="1:6" ht="15.75" customHeight="1">
      <c r="A16034" s="8" t="str">
        <f ca="1">IFERROR(__xludf.DUMMYFUNCTION("GOOGLETRANSLATE(B24763,""en"",""pt"")"),"Osório")</f>
        <v>Osório</v>
      </c>
      <c r="B16034" s="9" t="s">
        <v>31574</v>
      </c>
      <c r="C16034" s="9" t="s">
        <v>1905</v>
      </c>
      <c r="D16034" s="9" t="s">
        <v>1951</v>
      </c>
      <c r="E16034" s="10">
        <v>3455769</v>
      </c>
      <c r="F16034" s="4" t="str">
        <f>IF(B16034=B16033,"",B16034)</f>
        <v>Osório</v>
      </c>
    </row>
    <row r="16035" spans="1:6" ht="15.75" customHeight="1">
      <c r="A16035" s="15" t="s">
        <v>19542</v>
      </c>
      <c r="B16035" s="15" t="s">
        <v>19542</v>
      </c>
      <c r="C16035" s="15" t="s">
        <v>19294</v>
      </c>
      <c r="D16035" s="15" t="s">
        <v>19322</v>
      </c>
      <c r="E16035" s="2">
        <v>2325590</v>
      </c>
      <c r="F16035" s="4" t="str">
        <f>IF(B16035=B16034,"",B16035)</f>
        <v>Osogbo</v>
      </c>
    </row>
    <row r="16036" spans="1:6" ht="15.75" customHeight="1">
      <c r="A16036" s="8" t="str">
        <f ca="1">IFERROR(__xludf.DUMMYFUNCTION("GOOGLETRANSLATE(B37647,""en"",""pt"")"),"Osogbo")</f>
        <v>Osogbo</v>
      </c>
      <c r="B16036" s="11" t="s">
        <v>19542</v>
      </c>
      <c r="C16036" s="11" t="s">
        <v>19294</v>
      </c>
      <c r="D16036" s="11" t="s">
        <v>19322</v>
      </c>
      <c r="E16036" s="10">
        <v>2325590</v>
      </c>
      <c r="F16036" s="4" t="str">
        <f>IF(B16036=B16035,"",B16036)</f>
        <v/>
      </c>
    </row>
    <row r="16037" spans="1:6" ht="15.75" customHeight="1">
      <c r="A16037" s="15" t="s">
        <v>7660</v>
      </c>
      <c r="B16037" s="15" t="s">
        <v>7660</v>
      </c>
      <c r="C16037" s="15" t="s">
        <v>7052</v>
      </c>
      <c r="D16037" s="15" t="s">
        <v>7058</v>
      </c>
      <c r="E16037" s="2">
        <v>2989130</v>
      </c>
      <c r="F16037" s="4" t="str">
        <f>IF(B16037=B16036,"",B16037)</f>
        <v>Osny</v>
      </c>
    </row>
    <row r="16038" spans="1:6" ht="15.75" customHeight="1">
      <c r="A16038" s="8" t="str">
        <f ca="1">IFERROR(__xludf.DUMMYFUNCTION("GOOGLETRANSLATE(B29865,""en"",""pt"")"),"Osny")</f>
        <v>Osny</v>
      </c>
      <c r="B16038" s="11" t="s">
        <v>7660</v>
      </c>
      <c r="C16038" s="11" t="s">
        <v>7052</v>
      </c>
      <c r="D16038" s="11" t="s">
        <v>32531</v>
      </c>
      <c r="E16038" s="10">
        <v>2989130</v>
      </c>
      <c r="F16038" s="4" t="str">
        <f>IF(B16038=B16037,"",B16038)</f>
        <v/>
      </c>
    </row>
    <row r="16039" spans="1:6" ht="15.75" customHeight="1">
      <c r="A16039" s="8" t="str">
        <f ca="1">IFERROR(__xludf.DUMMYFUNCTION("GOOGLETRANSLATE(B27665,""en"",""pt"")"),"Osnabrück")</f>
        <v>Osnabrück</v>
      </c>
      <c r="B16039" s="9" t="s">
        <v>32040</v>
      </c>
      <c r="C16039" s="9" t="s">
        <v>8028</v>
      </c>
      <c r="D16039" s="9" t="s">
        <v>8034</v>
      </c>
      <c r="E16039" s="10">
        <v>2856883</v>
      </c>
      <c r="F16039" s="4" t="str">
        <f>IF(B16039=B16038,"",B16039)</f>
        <v>Osnabrück</v>
      </c>
    </row>
    <row r="16040" spans="1:6" ht="15.75" customHeight="1">
      <c r="A16040" s="16" t="s">
        <v>8971</v>
      </c>
      <c r="B16040" s="15" t="s">
        <v>8972</v>
      </c>
      <c r="C16040" s="16" t="s">
        <v>8028</v>
      </c>
      <c r="D16040" s="16" t="s">
        <v>8034</v>
      </c>
      <c r="E16040" s="2">
        <v>2856883</v>
      </c>
      <c r="F16040" s="4" t="str">
        <f>IF(B16040=B16039,"",B16040)</f>
        <v>OsnabrÃ¼ck</v>
      </c>
    </row>
    <row r="16041" spans="1:6" ht="15.75" customHeight="1">
      <c r="A16041" s="16" t="s">
        <v>26664</v>
      </c>
      <c r="B16041" s="15" t="s">
        <v>26664</v>
      </c>
      <c r="C16041" s="16" t="s">
        <v>26201</v>
      </c>
      <c r="D16041" s="16" t="s">
        <v>26664</v>
      </c>
      <c r="E16041" s="2">
        <v>303195</v>
      </c>
      <c r="F16041" s="4" t="str">
        <f>IF(B16041=B16040,"",B16041)</f>
        <v>Osmaniye</v>
      </c>
    </row>
    <row r="16042" spans="1:6" ht="15.75" customHeight="1">
      <c r="A16042" s="8" t="str">
        <f ca="1">IFERROR(__xludf.DUMMYFUNCTION("GOOGLETRANSLATE(B41921,""en"",""pt"")"),"Osmaniye")</f>
        <v>Osmaniye</v>
      </c>
      <c r="B16042" s="11" t="s">
        <v>26664</v>
      </c>
      <c r="C16042" s="11" t="s">
        <v>26201</v>
      </c>
      <c r="D16042" s="11" t="s">
        <v>26664</v>
      </c>
      <c r="E16042" s="10">
        <v>303195</v>
      </c>
      <c r="F16042" s="4" t="str">
        <f>IF(B16042=B16041,"",B16042)</f>
        <v/>
      </c>
    </row>
    <row r="16043" spans="1:6" ht="15.75" customHeight="1">
      <c r="A16043" s="15" t="s">
        <v>26663</v>
      </c>
      <c r="B16043" s="15" t="s">
        <v>26663</v>
      </c>
      <c r="C16043" s="15" t="s">
        <v>26201</v>
      </c>
      <c r="D16043" s="15" t="s">
        <v>26403</v>
      </c>
      <c r="E16043" s="2">
        <v>740881</v>
      </c>
      <c r="F16043" s="4" t="str">
        <f>IF(B16043=B16042,"",B16043)</f>
        <v>Osmaneli</v>
      </c>
    </row>
    <row r="16044" spans="1:6" ht="15.75" customHeight="1">
      <c r="A16044" s="8" t="str">
        <f ca="1">IFERROR(__xludf.DUMMYFUNCTION("GOOGLETRANSLATE(B42125,""en"",""pt"")"),"Osmaneli")</f>
        <v>Osmaneli</v>
      </c>
      <c r="B16044" s="11" t="s">
        <v>26663</v>
      </c>
      <c r="C16044" s="11" t="s">
        <v>26201</v>
      </c>
      <c r="D16044" s="11" t="s">
        <v>26403</v>
      </c>
      <c r="E16044" s="10">
        <v>740881</v>
      </c>
      <c r="F16044" s="4" t="str">
        <f>IF(B16044=B16043,"",B16044)</f>
        <v/>
      </c>
    </row>
    <row r="16045" spans="1:6" ht="15.75" customHeight="1">
      <c r="A16045" s="8" t="str">
        <f ca="1">IFERROR(__xludf.DUMMYFUNCTION("GOOGLETRANSLATE(B42126,""en"",""pt"")"),"Osmancık")</f>
        <v>Osmancık</v>
      </c>
      <c r="B16045" s="9" t="s">
        <v>35927</v>
      </c>
      <c r="C16045" s="9" t="s">
        <v>26201</v>
      </c>
      <c r="D16045" s="9" t="s">
        <v>35922</v>
      </c>
      <c r="E16045" s="10">
        <v>740883</v>
      </c>
      <c r="F16045" s="4" t="str">
        <f>IF(B16045=B16044,"",B16045)</f>
        <v>Osmancık</v>
      </c>
    </row>
    <row r="16046" spans="1:6" ht="15.75" customHeight="1">
      <c r="A16046" s="16" t="s">
        <v>26661</v>
      </c>
      <c r="B16046" s="15" t="s">
        <v>26662</v>
      </c>
      <c r="C16046" s="16" t="s">
        <v>26201</v>
      </c>
      <c r="D16046" s="16" t="s">
        <v>26208</v>
      </c>
      <c r="E16046" s="2">
        <v>740883</v>
      </c>
      <c r="F16046" s="4" t="str">
        <f>IF(B16046=B16045,"",B16046)</f>
        <v>OsmancÄ±k</v>
      </c>
    </row>
    <row r="16047" spans="1:6" ht="15.75" customHeight="1">
      <c r="A16047" s="16" t="s">
        <v>12686</v>
      </c>
      <c r="B16047" s="15" t="s">
        <v>12686</v>
      </c>
      <c r="C16047" s="16" t="s">
        <v>10178</v>
      </c>
      <c r="D16047" s="16" t="s">
        <v>10214</v>
      </c>
      <c r="E16047" s="2">
        <v>1261012</v>
      </c>
      <c r="F16047" s="4" t="str">
        <f>IF(B16047=B16046,"",B16047)</f>
        <v>Osmanabad</v>
      </c>
    </row>
    <row r="16048" spans="1:6" ht="15.75" customHeight="1">
      <c r="A16048" s="8" t="str">
        <f ca="1">IFERROR(__xludf.DUMMYFUNCTION("GOOGLETRANSLATE(B32580,""en"",""pt"")"),"Osmanabad")</f>
        <v>Osmanabad</v>
      </c>
      <c r="B16048" s="11" t="s">
        <v>12686</v>
      </c>
      <c r="C16048" s="11" t="s">
        <v>10178</v>
      </c>
      <c r="D16048" s="11" t="s">
        <v>10214</v>
      </c>
      <c r="E16048" s="10">
        <v>1261012</v>
      </c>
      <c r="F16048" s="4" t="str">
        <f>IF(B16048=B16047,"",B16048)</f>
        <v/>
      </c>
    </row>
    <row r="16049" spans="1:6" ht="15.75" customHeight="1">
      <c r="A16049" s="15" t="s">
        <v>19734</v>
      </c>
      <c r="B16049" s="15" t="s">
        <v>19734</v>
      </c>
      <c r="C16049" s="15" t="s">
        <v>19695</v>
      </c>
      <c r="D16049" s="15" t="s">
        <v>19734</v>
      </c>
      <c r="E16049" s="2">
        <v>3143244</v>
      </c>
      <c r="F16049" s="4" t="str">
        <f>IF(B16049=B16048,"",B16049)</f>
        <v>Oslo</v>
      </c>
    </row>
    <row r="16050" spans="1:6" ht="15.75" customHeight="1">
      <c r="A16050" s="8" t="str">
        <f ca="1">IFERROR(__xludf.DUMMYFUNCTION("GOOGLETRANSLATE(B38153,""en"",""pt"")"),"Oslo")</f>
        <v>Oslo</v>
      </c>
      <c r="B16050" s="11" t="s">
        <v>19734</v>
      </c>
      <c r="C16050" s="11" t="s">
        <v>19695</v>
      </c>
      <c r="D16050" s="11" t="s">
        <v>19734</v>
      </c>
      <c r="E16050" s="10">
        <v>3143244</v>
      </c>
      <c r="F16050" s="4" t="str">
        <f>IF(B16050=B16049,"",B16050)</f>
        <v/>
      </c>
    </row>
    <row r="16051" spans="1:6" ht="15.75" customHeight="1">
      <c r="A16051" s="16" t="s">
        <v>25187</v>
      </c>
      <c r="B16051" s="15" t="s">
        <v>25187</v>
      </c>
      <c r="C16051" s="16" t="s">
        <v>25077</v>
      </c>
      <c r="D16051" s="16" t="s">
        <v>25143</v>
      </c>
      <c r="E16051" s="2">
        <v>2686162</v>
      </c>
      <c r="F16051" s="4" t="str">
        <f>IF(B16051=B16050,"",B16051)</f>
        <v>Oskarshamn</v>
      </c>
    </row>
    <row r="16052" spans="1:6" ht="15.75" customHeight="1">
      <c r="A16052" s="8" t="str">
        <f ca="1">IFERROR(__xludf.DUMMYFUNCTION("GOOGLETRANSLATE(B41153,""en"",""pt"")"),"Oskarshamn")</f>
        <v>Oskarshamn</v>
      </c>
      <c r="B16052" s="9" t="s">
        <v>25187</v>
      </c>
      <c r="C16052" s="9" t="s">
        <v>25077</v>
      </c>
      <c r="D16052" s="9" t="s">
        <v>25143</v>
      </c>
      <c r="E16052" s="10">
        <v>2686162</v>
      </c>
      <c r="F16052" s="4" t="str">
        <f>IF(B16052=B16051,"",B16052)</f>
        <v/>
      </c>
    </row>
    <row r="16053" spans="1:6" ht="15.75" customHeight="1">
      <c r="A16053" s="15" t="s">
        <v>22899</v>
      </c>
      <c r="B16053" s="15" t="s">
        <v>22899</v>
      </c>
      <c r="C16053" s="15" t="s">
        <v>22070</v>
      </c>
      <c r="D16053" s="15" t="s">
        <v>22140</v>
      </c>
      <c r="E16053" s="2">
        <v>1495974</v>
      </c>
      <c r="F16053" s="4" t="str">
        <f>IF(B16053=B16052,"",B16053)</f>
        <v>Osinniki</v>
      </c>
    </row>
    <row r="16054" spans="1:6" ht="15.75" customHeight="1">
      <c r="A16054" s="8" t="str">
        <f ca="1">IFERROR(__xludf.DUMMYFUNCTION("GOOGLETRANSLATE(B40776,""en"",""pt"")"),"Osinniki")</f>
        <v>Osinniki</v>
      </c>
      <c r="B16054" s="9" t="s">
        <v>22899</v>
      </c>
      <c r="C16054" s="9" t="s">
        <v>22070</v>
      </c>
      <c r="D16054" s="9" t="s">
        <v>22140</v>
      </c>
      <c r="E16054" s="10">
        <v>1495974</v>
      </c>
      <c r="F16054" s="4" t="str">
        <f>IF(B16054=B16053,"",B16054)</f>
        <v/>
      </c>
    </row>
    <row r="16055" spans="1:6" ht="15.75" customHeight="1">
      <c r="A16055" s="15" t="s">
        <v>15332</v>
      </c>
      <c r="B16055" s="15" t="s">
        <v>15332</v>
      </c>
      <c r="C16055" s="15" t="s">
        <v>14891</v>
      </c>
      <c r="D16055" s="15" t="s">
        <v>14931</v>
      </c>
      <c r="E16055" s="2">
        <v>3171848</v>
      </c>
      <c r="F16055" s="4" t="str">
        <f>IF(B16055=B16054,"",B16055)</f>
        <v>Osimo</v>
      </c>
    </row>
    <row r="16056" spans="1:6" ht="15.75" customHeight="1">
      <c r="A16056" s="8" t="str">
        <f ca="1">IFERROR(__xludf.DUMMYFUNCTION("GOOGLETRANSLATE(B34790,""en"",""pt"")"),"Osimo")</f>
        <v>Osimo</v>
      </c>
      <c r="B16056" s="9" t="s">
        <v>15332</v>
      </c>
      <c r="C16056" s="9" t="s">
        <v>14891</v>
      </c>
      <c r="D16056" s="9" t="s">
        <v>14931</v>
      </c>
      <c r="E16056" s="10">
        <v>3171848</v>
      </c>
      <c r="F16056" s="4" t="str">
        <f>IF(B16056=B16055,"",B16056)</f>
        <v/>
      </c>
    </row>
    <row r="16057" spans="1:6" ht="15.75" customHeight="1">
      <c r="A16057" s="15" t="s">
        <v>5724</v>
      </c>
      <c r="B16057" s="15" t="s">
        <v>5724</v>
      </c>
      <c r="C16057" s="15" t="s">
        <v>5711</v>
      </c>
      <c r="D16057" s="15" t="s">
        <v>5725</v>
      </c>
      <c r="E16057" s="2">
        <v>3193935</v>
      </c>
      <c r="F16057" s="4" t="str">
        <f>IF(B16057=B16056,"",B16057)</f>
        <v>Osijek</v>
      </c>
    </row>
    <row r="16058" spans="1:6" ht="15.75" customHeight="1">
      <c r="A16058" s="8" t="str">
        <f ca="1">IFERROR(__xludf.DUMMYFUNCTION("GOOGLETRANSLATE(B31205,""en"",""pt"")"),"Osijek")</f>
        <v>Osijek</v>
      </c>
      <c r="B16058" s="11" t="s">
        <v>5724</v>
      </c>
      <c r="C16058" s="11" t="s">
        <v>5711</v>
      </c>
      <c r="D16058" s="11" t="s">
        <v>32812</v>
      </c>
      <c r="E16058" s="10">
        <v>3193935</v>
      </c>
      <c r="F16058" s="4" t="str">
        <f>IF(B16058=B16057,"",B16058)</f>
        <v/>
      </c>
    </row>
    <row r="16059" spans="1:6" ht="15.75" customHeight="1">
      <c r="A16059" s="8" t="str">
        <f ca="1">IFERROR(__xludf.DUMMYFUNCTION("GOOGLETRANSLATE(B34400,""en"",""pt"")"),"Oshnavīyeh")</f>
        <v>Oshnavīyeh</v>
      </c>
      <c r="B16059" s="9" t="s">
        <v>34165</v>
      </c>
      <c r="C16059" s="9" t="s">
        <v>14240</v>
      </c>
      <c r="D16059" s="9" t="s">
        <v>34137</v>
      </c>
      <c r="E16059" s="10">
        <v>121795</v>
      </c>
      <c r="F16059" s="4" t="str">
        <f>IF(B16059=B16058,"",B16059)</f>
        <v>Oshnavīyeh</v>
      </c>
    </row>
    <row r="16060" spans="1:6" ht="15.75" customHeight="1">
      <c r="A16060" s="16" t="s">
        <v>14485</v>
      </c>
      <c r="B16060" s="15" t="s">
        <v>14486</v>
      </c>
      <c r="C16060" s="16" t="s">
        <v>14240</v>
      </c>
      <c r="D16060" s="16" t="s">
        <v>14302</v>
      </c>
      <c r="E16060" s="2">
        <v>121795</v>
      </c>
      <c r="F16060" s="4" t="str">
        <f>IF(B16060=B16059,"",B16060)</f>
        <v>OshnavÄ«yeh</v>
      </c>
    </row>
    <row r="16061" spans="1:6" ht="15.75" customHeight="1">
      <c r="A16061" s="15" t="s">
        <v>29576</v>
      </c>
      <c r="B16061" s="15" t="s">
        <v>29576</v>
      </c>
      <c r="C16061" s="15" t="s">
        <v>27788</v>
      </c>
      <c r="D16061" s="15" t="s">
        <v>27890</v>
      </c>
      <c r="E16061" s="2">
        <v>5265838</v>
      </c>
      <c r="F16061" s="4" t="str">
        <f>IF(B16061=B16060,"",B16061)</f>
        <v>Oshkosh</v>
      </c>
    </row>
    <row r="16062" spans="1:6" ht="15.75" customHeight="1">
      <c r="A16062" s="8" t="str">
        <f ca="1">IFERROR(__xludf.DUMMYFUNCTION("GOOGLETRANSLATE(B44668,""en"",""pt"")"),"Oshkosh")</f>
        <v>Oshkosh</v>
      </c>
      <c r="B16062" s="11" t="s">
        <v>29576</v>
      </c>
      <c r="C16062" s="11" t="s">
        <v>27788</v>
      </c>
      <c r="D16062" s="11" t="s">
        <v>27890</v>
      </c>
      <c r="E16062" s="10">
        <v>5265838</v>
      </c>
      <c r="F16062" s="4" t="str">
        <f>IF(B16062=B16061,"",B16062)</f>
        <v/>
      </c>
    </row>
    <row r="16063" spans="1:6" ht="15.75" customHeight="1">
      <c r="A16063" s="15" t="s">
        <v>4133</v>
      </c>
      <c r="B16063" s="15" t="s">
        <v>4133</v>
      </c>
      <c r="C16063" s="15" t="s">
        <v>3975</v>
      </c>
      <c r="D16063" s="15" t="s">
        <v>3980</v>
      </c>
      <c r="E16063" s="2">
        <v>6094578</v>
      </c>
      <c r="F16063" s="4" t="str">
        <f>IF(B16063=B16062,"",B16063)</f>
        <v>Oshawa</v>
      </c>
    </row>
    <row r="16064" spans="1:6" ht="15.75" customHeight="1">
      <c r="A16064" s="8" t="str">
        <f ca="1">IFERROR(__xludf.DUMMYFUNCTION("GOOGLETRANSLATE(B25537,""en"",""pt"")"),"Oshawa")</f>
        <v>Oshawa</v>
      </c>
      <c r="B16064" s="11" t="s">
        <v>4133</v>
      </c>
      <c r="C16064" s="11" t="s">
        <v>3975</v>
      </c>
      <c r="D16064" s="11" t="s">
        <v>3980</v>
      </c>
      <c r="E16064" s="10">
        <v>6094578</v>
      </c>
      <c r="F16064" s="4" t="str">
        <f>IF(B16064=B16063,"",B16064)</f>
        <v/>
      </c>
    </row>
    <row r="16065" spans="1:6" ht="15.75" customHeight="1">
      <c r="A16065" s="15" t="s">
        <v>18784</v>
      </c>
      <c r="B16065" s="15" t="s">
        <v>18784</v>
      </c>
      <c r="C16065" s="15" t="s">
        <v>18773</v>
      </c>
      <c r="D16065" s="15" t="s">
        <v>18785</v>
      </c>
      <c r="E16065" s="2">
        <v>3354021</v>
      </c>
      <c r="F16065" s="4" t="str">
        <f>IF(B16065=B16064,"",B16065)</f>
        <v>Oshakati</v>
      </c>
    </row>
    <row r="16066" spans="1:6" ht="15.75" customHeight="1">
      <c r="A16066" s="8" t="str">
        <f ca="1">IFERROR(__xludf.DUMMYFUNCTION("GOOGLETRANSLATE(B37571,""en"",""pt"")"),"Oshakati")</f>
        <v>Oshakati</v>
      </c>
      <c r="B16066" s="11" t="s">
        <v>18784</v>
      </c>
      <c r="C16066" s="11" t="s">
        <v>18773</v>
      </c>
      <c r="D16066" s="11" t="s">
        <v>18785</v>
      </c>
      <c r="E16066" s="10">
        <v>3354021</v>
      </c>
      <c r="F16066" s="4" t="str">
        <f>IF(B16066=B16065,"",B16066)</f>
        <v/>
      </c>
    </row>
    <row r="16067" spans="1:6" ht="15.75" customHeight="1">
      <c r="A16067" s="15" t="s">
        <v>16946</v>
      </c>
      <c r="B16067" s="15" t="s">
        <v>16946</v>
      </c>
      <c r="C16067" s="15" t="s">
        <v>16924</v>
      </c>
      <c r="D16067" s="15" t="s">
        <v>16946</v>
      </c>
      <c r="E16067" s="2">
        <v>11054823</v>
      </c>
      <c r="F16067" s="4" t="str">
        <f>IF(B16067=B16066,"",B16067)</f>
        <v>Osh City</v>
      </c>
    </row>
    <row r="16068" spans="1:6" ht="15.75" customHeight="1">
      <c r="A16068" s="8" t="str">
        <f ca="1">IFERROR(__xludf.DUMMYFUNCTION("GOOGLETRANSLATE(B35958,""en"",""pt"")"),"Cidade de Osh")</f>
        <v>Cidade de Osh</v>
      </c>
      <c r="B16068" s="11" t="s">
        <v>16946</v>
      </c>
      <c r="C16068" s="11" t="s">
        <v>16924</v>
      </c>
      <c r="D16068" s="11" t="s">
        <v>16946</v>
      </c>
      <c r="E16068" s="10">
        <v>11054823</v>
      </c>
      <c r="F16068" s="4" t="str">
        <f>IF(B16068=B16067,"",B16068)</f>
        <v/>
      </c>
    </row>
    <row r="16069" spans="1:6" ht="15.75" customHeight="1">
      <c r="A16069" s="15" t="s">
        <v>16940</v>
      </c>
      <c r="B16069" s="15" t="s">
        <v>16940</v>
      </c>
      <c r="C16069" s="15" t="s">
        <v>16924</v>
      </c>
      <c r="D16069" s="15" t="s">
        <v>16940</v>
      </c>
      <c r="E16069" s="2">
        <v>1527534</v>
      </c>
      <c r="F16069" s="4" t="str">
        <f>IF(B16069=B16068,"",B16069)</f>
        <v>Osh</v>
      </c>
    </row>
    <row r="16070" spans="1:6" ht="15.75" customHeight="1">
      <c r="A16070" s="8" t="str">
        <f ca="1">IFERROR(__xludf.DUMMYFUNCTION("GOOGLETRANSLATE(B35944,""en"",""pt"")"),"Osh")</f>
        <v>Osh</v>
      </c>
      <c r="B16070" s="11" t="s">
        <v>16940</v>
      </c>
      <c r="C16070" s="11" t="s">
        <v>16924</v>
      </c>
      <c r="D16070" s="11" t="s">
        <v>16940</v>
      </c>
      <c r="E16070" s="10">
        <v>1527534</v>
      </c>
      <c r="F16070" s="4" t="str">
        <f>IF(B16070=B16069,"",B16070)</f>
        <v/>
      </c>
    </row>
    <row r="16071" spans="1:6" ht="15.75" customHeight="1">
      <c r="A16071" s="16" t="s">
        <v>8970</v>
      </c>
      <c r="B16071" s="15" t="s">
        <v>8970</v>
      </c>
      <c r="C16071" s="16" t="s">
        <v>8028</v>
      </c>
      <c r="D16071" s="16" t="s">
        <v>8085</v>
      </c>
      <c r="E16071" s="2">
        <v>2856930</v>
      </c>
      <c r="F16071" s="4" t="str">
        <f>IF(B16071=B16070,"",B16071)</f>
        <v>Oschersleben</v>
      </c>
    </row>
    <row r="16072" spans="1:6" ht="15.75" customHeight="1">
      <c r="A16072" s="8" t="str">
        <f ca="1">IFERROR(__xludf.DUMMYFUNCTION("GOOGLETRANSLATE(B27666,""en"",""pt"")"),"Oschersleben")</f>
        <v>Oschersleben</v>
      </c>
      <c r="B16072" s="11" t="s">
        <v>8970</v>
      </c>
      <c r="C16072" s="11" t="s">
        <v>8028</v>
      </c>
      <c r="D16072" s="11" t="s">
        <v>8085</v>
      </c>
      <c r="E16072" s="10">
        <v>2856930</v>
      </c>
      <c r="F16072" s="4" t="str">
        <f>IF(B16072=B16071,"",B16072)</f>
        <v/>
      </c>
    </row>
    <row r="16073" spans="1:6" ht="15.75" customHeight="1">
      <c r="A16073" s="15" t="s">
        <v>8969</v>
      </c>
      <c r="B16073" s="15" t="s">
        <v>8969</v>
      </c>
      <c r="C16073" s="15" t="s">
        <v>8028</v>
      </c>
      <c r="D16073" s="15" t="s">
        <v>8072</v>
      </c>
      <c r="E16073" s="2">
        <v>2856944</v>
      </c>
      <c r="F16073" s="4" t="str">
        <f>IF(B16073=B16072,"",B16073)</f>
        <v>Oschatz</v>
      </c>
    </row>
    <row r="16074" spans="1:6" ht="15.75" customHeight="1">
      <c r="A16074" s="8" t="str">
        <f ca="1">IFERROR(__xludf.DUMMYFUNCTION("GOOGLETRANSLATE(B27667,""en"",""pt"")"),"Oschatz")</f>
        <v>Oschatz</v>
      </c>
      <c r="B16074" s="9" t="s">
        <v>8969</v>
      </c>
      <c r="C16074" s="9" t="s">
        <v>8028</v>
      </c>
      <c r="D16074" s="9" t="s">
        <v>8072</v>
      </c>
      <c r="E16074" s="10">
        <v>2856944</v>
      </c>
      <c r="F16074" s="4" t="str">
        <f>IF(B16074=B16073,"",B16074)</f>
        <v/>
      </c>
    </row>
    <row r="16075" spans="1:6" ht="15.75" customHeight="1">
      <c r="A16075" s="15" t="s">
        <v>2996</v>
      </c>
      <c r="B16075" s="15" t="s">
        <v>2997</v>
      </c>
      <c r="C16075" s="15" t="s">
        <v>1905</v>
      </c>
      <c r="D16075" s="15" t="s">
        <v>1914</v>
      </c>
      <c r="E16075" s="2">
        <v>3455775</v>
      </c>
      <c r="F16075" s="4" t="str">
        <f>IF(B16075=B16074,"",B16075)</f>
        <v>Osasco</v>
      </c>
    </row>
    <row r="16076" spans="1:6" ht="15.75" customHeight="1">
      <c r="A16076" s="8" t="str">
        <f ca="1">IFERROR(__xludf.DUMMYFUNCTION("GOOGLETRANSLATE(B24764,""en"",""pt"")"),"Osasco")</f>
        <v>Osasco</v>
      </c>
      <c r="B16076" s="11" t="s">
        <v>2997</v>
      </c>
      <c r="C16076" s="11" t="s">
        <v>1905</v>
      </c>
      <c r="D16076" s="11" t="s">
        <v>3354</v>
      </c>
      <c r="E16076" s="10">
        <v>3455775</v>
      </c>
      <c r="F16076" s="4" t="str">
        <f>IF(B16076=B16075,"",B16076)</f>
        <v/>
      </c>
    </row>
    <row r="16077" spans="1:6" ht="15.75" customHeight="1">
      <c r="A16077" s="15" t="s">
        <v>24129</v>
      </c>
      <c r="B16077" s="15" t="s">
        <v>24129</v>
      </c>
      <c r="C16077" s="15" t="s">
        <v>24024</v>
      </c>
      <c r="D16077" s="15" t="s">
        <v>24028</v>
      </c>
      <c r="E16077" s="2">
        <v>1839652</v>
      </c>
      <c r="F16077" s="4" t="str">
        <f>IF(B16077=B16076,"",B16077)</f>
        <v>Osan</v>
      </c>
    </row>
    <row r="16078" spans="1:6" ht="15.75" customHeight="1">
      <c r="A16078" s="8" t="str">
        <f ca="1">IFERROR(__xludf.DUMMYFUNCTION("GOOGLETRANSLATE(B36085,""en"",""pt"")"),"Osan")</f>
        <v>Osan</v>
      </c>
      <c r="B16078" s="9" t="s">
        <v>24129</v>
      </c>
      <c r="C16078" s="9" t="s">
        <v>24024</v>
      </c>
      <c r="D16078" s="9" t="s">
        <v>24028</v>
      </c>
      <c r="E16078" s="10">
        <v>1839652</v>
      </c>
      <c r="F16078" s="4" t="str">
        <f>IF(B16078=B16077,"",B16078)</f>
        <v/>
      </c>
    </row>
    <row r="16079" spans="1:6" ht="15.75" customHeight="1">
      <c r="A16079" s="15" t="s">
        <v>16346</v>
      </c>
      <c r="B16079" s="15" t="s">
        <v>16346</v>
      </c>
      <c r="C16079" s="15" t="s">
        <v>15704</v>
      </c>
      <c r="D16079" s="15" t="s">
        <v>15853</v>
      </c>
      <c r="E16079" s="2">
        <v>1853909</v>
      </c>
      <c r="F16079" s="4" t="str">
        <f>IF(B16079=B16078,"",B16079)</f>
        <v>Osaka</v>
      </c>
    </row>
    <row r="16080" spans="1:6" ht="15.75" customHeight="1">
      <c r="A16080" s="8" t="str">
        <f ca="1">IFERROR(__xludf.DUMMYFUNCTION("GOOGLETRANSLATE(B35342,""en"",""pt"")"),"Osaka")</f>
        <v>Osaka</v>
      </c>
      <c r="B16080" s="9" t="s">
        <v>16346</v>
      </c>
      <c r="C16080" s="9" t="s">
        <v>15704</v>
      </c>
      <c r="D16080" s="9" t="s">
        <v>34295</v>
      </c>
      <c r="E16080" s="10">
        <v>1853909</v>
      </c>
      <c r="F16080" s="4" t="str">
        <f>IF(B16080=B16079,"",B16080)</f>
        <v/>
      </c>
    </row>
    <row r="16081" spans="1:6" ht="15.75" customHeight="1">
      <c r="A16081" s="15" t="s">
        <v>2994</v>
      </c>
      <c r="B16081" s="15" t="s">
        <v>2995</v>
      </c>
      <c r="C16081" s="15" t="s">
        <v>1905</v>
      </c>
      <c r="D16081" s="15" t="s">
        <v>1951</v>
      </c>
      <c r="E16081" s="2">
        <v>3455769</v>
      </c>
      <c r="F16081" s="4" t="str">
        <f>IF(B16081=B16080,"",B16081)</f>
        <v>OsÃ³rio</v>
      </c>
    </row>
    <row r="16082" spans="1:6" ht="15.75" customHeight="1">
      <c r="A16082" s="15" t="s">
        <v>22898</v>
      </c>
      <c r="B16082" s="15" t="s">
        <v>22898</v>
      </c>
      <c r="C16082" s="15" t="s">
        <v>22070</v>
      </c>
      <c r="D16082" s="15" t="s">
        <v>22115</v>
      </c>
      <c r="E16082" s="2">
        <v>514706</v>
      </c>
      <c r="F16082" s="4" t="str">
        <f>IF(B16082=B16081,"",B16082)</f>
        <v>Osa</v>
      </c>
    </row>
    <row r="16083" spans="1:6" ht="15.75" customHeight="1">
      <c r="A16083" s="8" t="str">
        <f ca="1">IFERROR(__xludf.DUMMYFUNCTION("GOOGLETRANSLATE(B40226,""en"",""pt"")"),"Osa")</f>
        <v>Osa</v>
      </c>
      <c r="B16083" s="9" t="s">
        <v>22898</v>
      </c>
      <c r="C16083" s="9" t="s">
        <v>22070</v>
      </c>
      <c r="D16083" s="9" t="s">
        <v>22115</v>
      </c>
      <c r="E16083" s="10">
        <v>514706</v>
      </c>
      <c r="F16083" s="4" t="str">
        <f>IF(B16083=B16082,"",B16083)</f>
        <v/>
      </c>
    </row>
    <row r="16084" spans="1:6" ht="15.75" customHeight="1">
      <c r="A16084" s="15" t="s">
        <v>21399</v>
      </c>
      <c r="B16084" s="15" t="s">
        <v>21399</v>
      </c>
      <c r="C16084" s="15" t="s">
        <v>21064</v>
      </c>
      <c r="D16084" s="15" t="s">
        <v>21073</v>
      </c>
      <c r="E16084" s="2">
        <v>3089965</v>
      </c>
      <c r="F16084" s="4" t="str">
        <f>IF(B16084=B16083,"",B16084)</f>
        <v>Orzesze</v>
      </c>
    </row>
    <row r="16085" spans="1:6" ht="15.75" customHeight="1">
      <c r="A16085" s="8" t="str">
        <f ca="1">IFERROR(__xludf.DUMMYFUNCTION("GOOGLETRANSLATE(B39387,""en"",""pt"")"),"Orzesze")</f>
        <v>Orzesze</v>
      </c>
      <c r="B16085" s="9" t="s">
        <v>21399</v>
      </c>
      <c r="C16085" s="9" t="s">
        <v>21064</v>
      </c>
      <c r="D16085" s="9" t="s">
        <v>21073</v>
      </c>
      <c r="E16085" s="10">
        <v>3089965</v>
      </c>
      <c r="F16085" s="4" t="str">
        <f>IF(B16085=B16084,"",B16085)</f>
        <v/>
      </c>
    </row>
    <row r="16086" spans="1:6" ht="15.75" customHeight="1">
      <c r="A16086" s="15" t="s">
        <v>7659</v>
      </c>
      <c r="B16086" s="15" t="s">
        <v>7659</v>
      </c>
      <c r="C16086" s="15" t="s">
        <v>7052</v>
      </c>
      <c r="D16086" s="15" t="s">
        <v>7102</v>
      </c>
      <c r="E16086" s="2">
        <v>2989170</v>
      </c>
      <c r="F16086" s="4" t="str">
        <f>IF(B16086=B16085,"",B16086)</f>
        <v>Orvault</v>
      </c>
    </row>
    <row r="16087" spans="1:6" ht="15.75" customHeight="1">
      <c r="A16087" s="8" t="str">
        <f ca="1">IFERROR(__xludf.DUMMYFUNCTION("GOOGLETRANSLATE(B29866,""en"",""pt"")"),"Orvault")</f>
        <v>Orvault</v>
      </c>
      <c r="B16087" s="9" t="s">
        <v>7659</v>
      </c>
      <c r="C16087" s="9" t="s">
        <v>7052</v>
      </c>
      <c r="D16087" s="9" t="s">
        <v>7102</v>
      </c>
      <c r="E16087" s="10">
        <v>2989170</v>
      </c>
      <c r="F16087" s="4" t="str">
        <f>IF(B16087=B16086,"",B16087)</f>
        <v/>
      </c>
    </row>
    <row r="16088" spans="1:6" ht="15.75" customHeight="1">
      <c r="A16088" s="15" t="s">
        <v>1815</v>
      </c>
      <c r="B16088" s="15" t="s">
        <v>1815</v>
      </c>
      <c r="C16088" s="15" t="s">
        <v>1806</v>
      </c>
      <c r="D16088" s="15" t="s">
        <v>1815</v>
      </c>
      <c r="E16088" s="2">
        <v>3909234</v>
      </c>
      <c r="F16088" s="4" t="str">
        <f>IF(B16088=B16087,"",B16088)</f>
        <v>Oruro</v>
      </c>
    </row>
    <row r="16089" spans="1:6" ht="15.75" customHeight="1">
      <c r="A16089" s="8" t="str">
        <f ca="1">IFERROR(__xludf.DUMMYFUNCTION("GOOGLETRANSLATE(B24131,""en"",""pt"")"),"Oruro")</f>
        <v>Oruro</v>
      </c>
      <c r="B16089" s="9" t="s">
        <v>1815</v>
      </c>
      <c r="C16089" s="9" t="s">
        <v>1806</v>
      </c>
      <c r="D16089" s="9" t="s">
        <v>1815</v>
      </c>
      <c r="E16089" s="10">
        <v>3909234</v>
      </c>
      <c r="F16089" s="4" t="str">
        <f>IF(B16089=B16088,"",B16089)</f>
        <v/>
      </c>
    </row>
    <row r="16090" spans="1:6" ht="15.75" customHeight="1">
      <c r="A16090" s="8" t="str">
        <f ca="1">IFERROR(__xludf.DUMMYFUNCTION("GOOGLETRANSLATE(B34401,""en"",""pt"")"),"Orūmīyeh")</f>
        <v>Orūmīyeh</v>
      </c>
      <c r="B16090" s="11" t="s">
        <v>34166</v>
      </c>
      <c r="C16090" s="11" t="s">
        <v>14240</v>
      </c>
      <c r="D16090" s="11" t="s">
        <v>34137</v>
      </c>
      <c r="E16090" s="10">
        <v>121801</v>
      </c>
      <c r="F16090" s="4" t="str">
        <f>IF(B16090=B16089,"",B16090)</f>
        <v>Orūmīyeh</v>
      </c>
    </row>
    <row r="16091" spans="1:6" ht="15.75" customHeight="1">
      <c r="A16091" s="8" t="str">
        <f ca="1">IFERROR(__xludf.DUMMYFUNCTION("GOOGLETRANSLATE(B41922,""en"",""pt"")"),"Ortaköy")</f>
        <v>Ortaköy</v>
      </c>
      <c r="B16091" s="9" t="s">
        <v>35849</v>
      </c>
      <c r="C16091" s="9" t="s">
        <v>26201</v>
      </c>
      <c r="D16091" s="9" t="s">
        <v>26300</v>
      </c>
      <c r="E16091" s="10">
        <v>303290</v>
      </c>
      <c r="F16091" s="4" t="str">
        <f>IF(B16091=B16090,"",B16091)</f>
        <v>Ortaköy</v>
      </c>
    </row>
    <row r="16092" spans="1:6" ht="15.75" customHeight="1">
      <c r="A16092" s="15" t="s">
        <v>26659</v>
      </c>
      <c r="B16092" s="15" t="s">
        <v>26660</v>
      </c>
      <c r="C16092" s="15" t="s">
        <v>26201</v>
      </c>
      <c r="D16092" s="15" t="s">
        <v>26300</v>
      </c>
      <c r="E16092" s="2">
        <v>303290</v>
      </c>
      <c r="F16092" s="4" t="str">
        <f>IF(B16092=B16091,"",B16092)</f>
        <v>OrtakÃ¶y</v>
      </c>
    </row>
    <row r="16093" spans="1:6" ht="15.75" customHeight="1">
      <c r="A16093" s="15" t="s">
        <v>26658</v>
      </c>
      <c r="B16093" s="15" t="s">
        <v>26658</v>
      </c>
      <c r="C16093" s="15" t="s">
        <v>26201</v>
      </c>
      <c r="D16093" s="15" t="s">
        <v>26409</v>
      </c>
      <c r="E16093" s="2">
        <v>303354</v>
      </c>
      <c r="F16093" s="4" t="str">
        <f>IF(B16093=B16092,"",B16093)</f>
        <v>Ortaca</v>
      </c>
    </row>
    <row r="16094" spans="1:6" ht="15.75" customHeight="1">
      <c r="A16094" s="8" t="str">
        <f ca="1">IFERROR(__xludf.DUMMYFUNCTION("GOOGLETRANSLATE(B41923,""en"",""pt"")"),"Ortaca")</f>
        <v>Ortaca</v>
      </c>
      <c r="B16094" s="11" t="s">
        <v>26658</v>
      </c>
      <c r="C16094" s="11" t="s">
        <v>26201</v>
      </c>
      <c r="D16094" s="11" t="s">
        <v>35818</v>
      </c>
      <c r="E16094" s="10">
        <v>303354</v>
      </c>
      <c r="F16094" s="4" t="str">
        <f>IF(B16094=B16093,"",B16094)</f>
        <v/>
      </c>
    </row>
    <row r="16095" spans="1:6" ht="15.75" customHeight="1">
      <c r="A16095" s="16" t="s">
        <v>15331</v>
      </c>
      <c r="B16095" s="15" t="s">
        <v>15331</v>
      </c>
      <c r="C16095" s="16" t="s">
        <v>14891</v>
      </c>
      <c r="D16095" s="16" t="s">
        <v>14908</v>
      </c>
      <c r="E16095" s="2">
        <v>3171900</v>
      </c>
      <c r="F16095" s="4" t="str">
        <f>IF(B16095=B16094,"",B16095)</f>
        <v>Orta Nova</v>
      </c>
    </row>
    <row r="16096" spans="1:6" ht="15.75" customHeight="1">
      <c r="A16096" s="8" t="str">
        <f ca="1">IFERROR(__xludf.DUMMYFUNCTION("GOOGLETRANSLATE(B34791,""en"",""pt"")"),"Orta Nova")</f>
        <v>Orta Nova</v>
      </c>
      <c r="B16096" s="11" t="s">
        <v>15331</v>
      </c>
      <c r="C16096" s="11" t="s">
        <v>14891</v>
      </c>
      <c r="D16096" s="11" t="s">
        <v>14908</v>
      </c>
      <c r="E16096" s="10">
        <v>3171900</v>
      </c>
      <c r="F16096" s="4" t="str">
        <f>IF(B16096=B16095,"",B16096)</f>
        <v/>
      </c>
    </row>
    <row r="16097" spans="1:6" ht="15.75" customHeight="1">
      <c r="A16097" s="16" t="s">
        <v>15329</v>
      </c>
      <c r="B16097" s="15" t="s">
        <v>15330</v>
      </c>
      <c r="C16097" s="16" t="s">
        <v>14891</v>
      </c>
      <c r="D16097" s="16" t="s">
        <v>14896</v>
      </c>
      <c r="E16097" s="2">
        <v>6534264</v>
      </c>
      <c r="F16097" s="4" t="str">
        <f>IF(B16097=B16096,"",B16097)</f>
        <v>Orta di Atella</v>
      </c>
    </row>
    <row r="16098" spans="1:6" ht="15.75" customHeight="1">
      <c r="A16098" s="8" t="str">
        <f ca="1">IFERROR(__xludf.DUMMYFUNCTION("GOOGLETRANSLATE(B35093,""en"",""pt"")"),"Orta Di Atella")</f>
        <v>Orta Di Atella</v>
      </c>
      <c r="B16098" s="9" t="s">
        <v>15330</v>
      </c>
      <c r="C16098" s="9" t="s">
        <v>14891</v>
      </c>
      <c r="D16098" s="9" t="s">
        <v>14896</v>
      </c>
      <c r="E16098" s="10">
        <v>6534264</v>
      </c>
      <c r="F16098" s="4" t="str">
        <f>IF(B16098=B16097,"",B16098)</f>
        <v/>
      </c>
    </row>
    <row r="16099" spans="1:6" ht="15.75" customHeight="1">
      <c r="A16099" s="15" t="s">
        <v>22897</v>
      </c>
      <c r="B16099" s="15" t="s">
        <v>22897</v>
      </c>
      <c r="C16099" s="15" t="s">
        <v>22070</v>
      </c>
      <c r="D16099" s="15" t="s">
        <v>22075</v>
      </c>
      <c r="E16099" s="2">
        <v>514734</v>
      </c>
      <c r="F16099" s="4" t="str">
        <f>IF(B16099=B16098,"",B16099)</f>
        <v>Orsk</v>
      </c>
    </row>
    <row r="16100" spans="1:6" ht="15.75" customHeight="1">
      <c r="A16100" s="8" t="str">
        <f ca="1">IFERROR(__xludf.DUMMYFUNCTION("GOOGLETRANSLATE(B40227,""en"",""pt"")"),"Orsk")</f>
        <v>Orsk</v>
      </c>
      <c r="B16100" s="11" t="s">
        <v>22897</v>
      </c>
      <c r="C16100" s="11" t="s">
        <v>22070</v>
      </c>
      <c r="D16100" s="11" t="s">
        <v>22075</v>
      </c>
      <c r="E16100" s="10">
        <v>514734</v>
      </c>
      <c r="F16100" s="4" t="str">
        <f>IF(B16100=B16099,"",B16100)</f>
        <v/>
      </c>
    </row>
    <row r="16101" spans="1:6" ht="15.75" customHeight="1">
      <c r="A16101" s="15" t="s">
        <v>1492</v>
      </c>
      <c r="B16101" s="15" t="s">
        <v>1492</v>
      </c>
      <c r="C16101" s="15" t="s">
        <v>1453</v>
      </c>
      <c r="D16101" s="15" t="s">
        <v>1465</v>
      </c>
      <c r="E16101" s="2">
        <v>624079</v>
      </c>
      <c r="F16101" s="4" t="str">
        <f>IF(B16101=B16100,"",B16101)</f>
        <v>Orsha</v>
      </c>
    </row>
    <row r="16102" spans="1:6" ht="15.75" customHeight="1">
      <c r="A16102" s="8" t="str">
        <f ca="1">IFERROR(__xludf.DUMMYFUNCTION("GOOGLETRANSLATE(B25387,""en"",""pt"")"),"Orsha")</f>
        <v>Orsha</v>
      </c>
      <c r="B16102" s="11" t="s">
        <v>1492</v>
      </c>
      <c r="C16102" s="11" t="s">
        <v>1453</v>
      </c>
      <c r="D16102" s="11" t="s">
        <v>1465</v>
      </c>
      <c r="E16102" s="10">
        <v>624079</v>
      </c>
      <c r="F16102" s="4" t="str">
        <f>IF(B16102=B16101,"",B16102)</f>
        <v/>
      </c>
    </row>
    <row r="16103" spans="1:6" ht="15.75" customHeight="1">
      <c r="A16103" s="15" t="s">
        <v>7658</v>
      </c>
      <c r="B16103" s="15" t="s">
        <v>7658</v>
      </c>
      <c r="C16103" s="15" t="s">
        <v>7052</v>
      </c>
      <c r="D16103" s="15" t="s">
        <v>7058</v>
      </c>
      <c r="E16103" s="2">
        <v>2989204</v>
      </c>
      <c r="F16103" s="4" t="str">
        <f>IF(B16103=B16102,"",B16103)</f>
        <v>Orsay</v>
      </c>
    </row>
    <row r="16104" spans="1:6" ht="15.75" customHeight="1">
      <c r="A16104" s="8" t="str">
        <f ca="1">IFERROR(__xludf.DUMMYFUNCTION("GOOGLETRANSLATE(B29867,""en"",""pt"")"),"Orsay")</f>
        <v>Orsay</v>
      </c>
      <c r="B16104" s="11" t="s">
        <v>7658</v>
      </c>
      <c r="C16104" s="11" t="s">
        <v>7052</v>
      </c>
      <c r="D16104" s="11" t="s">
        <v>32531</v>
      </c>
      <c r="E16104" s="10">
        <v>2989204</v>
      </c>
      <c r="F16104" s="4" t="str">
        <f>IF(B16104=B16103,"",B16104)</f>
        <v/>
      </c>
    </row>
    <row r="16105" spans="1:6" ht="15.75" customHeight="1">
      <c r="A16105" s="16" t="s">
        <v>27582</v>
      </c>
      <c r="B16105" s="15" t="s">
        <v>27582</v>
      </c>
      <c r="C16105" s="16" t="s">
        <v>27234</v>
      </c>
      <c r="D16105" s="16" t="s">
        <v>27241</v>
      </c>
      <c r="E16105" s="2">
        <v>2640894</v>
      </c>
      <c r="F16105" s="4" t="str">
        <f>IF(B16105=B16104,"",B16105)</f>
        <v>Orpington</v>
      </c>
    </row>
    <row r="16106" spans="1:6" ht="15.75" customHeight="1">
      <c r="A16106" s="8" t="str">
        <f ca="1">IFERROR(__xludf.DUMMYFUNCTION("GOOGLETRANSLATE(B30495,""en"",""pt"")"),"Orpington")</f>
        <v>Orpington</v>
      </c>
      <c r="B16106" s="9" t="s">
        <v>27582</v>
      </c>
      <c r="C16106" s="9" t="s">
        <v>27234</v>
      </c>
      <c r="D16106" s="9" t="s">
        <v>27241</v>
      </c>
      <c r="E16106" s="10">
        <v>2640894</v>
      </c>
      <c r="F16106" s="4" t="str">
        <f>IF(B16106=B16105,"",B16106)</f>
        <v/>
      </c>
    </row>
    <row r="16107" spans="1:6" ht="15.75" customHeight="1">
      <c r="A16107" s="15" t="s">
        <v>29575</v>
      </c>
      <c r="B16107" s="15" t="s">
        <v>29575</v>
      </c>
      <c r="C16107" s="15" t="s">
        <v>27788</v>
      </c>
      <c r="D16107" s="15" t="s">
        <v>27801</v>
      </c>
      <c r="E16107" s="2">
        <v>5379759</v>
      </c>
      <c r="F16107" s="4" t="str">
        <f>IF(B16107=B16106,"",B16107)</f>
        <v>Oroville</v>
      </c>
    </row>
    <row r="16108" spans="1:6" ht="15.75" customHeight="1">
      <c r="A16108" s="8" t="str">
        <f ca="1">IFERROR(__xludf.DUMMYFUNCTION("GOOGLETRANSLATE(B44944,""en"",""pt"")"),"Oroville")</f>
        <v>Oroville</v>
      </c>
      <c r="B16108" s="11" t="s">
        <v>29575</v>
      </c>
      <c r="C16108" s="11" t="s">
        <v>27788</v>
      </c>
      <c r="D16108" s="11" t="s">
        <v>27801</v>
      </c>
      <c r="E16108" s="10">
        <v>5379759</v>
      </c>
      <c r="F16108" s="4" t="str">
        <f>IF(B16108=B16107,"",B16108)</f>
        <v/>
      </c>
    </row>
    <row r="16109" spans="1:6" ht="15.75" customHeight="1">
      <c r="A16109" s="8" t="str">
        <f ca="1">IFERROR(__xludf.DUMMYFUNCTION("GOOGLETRANSLATE(B31294,""en"",""pt"")"),"Oroszlány")</f>
        <v>Oroszlány</v>
      </c>
      <c r="B16109" s="9" t="s">
        <v>32866</v>
      </c>
      <c r="C16109" s="9" t="s">
        <v>9955</v>
      </c>
      <c r="D16109" s="9" t="s">
        <v>32852</v>
      </c>
      <c r="E16109" s="10">
        <v>3046888</v>
      </c>
      <c r="F16109" s="4" t="str">
        <f>IF(B16109=B16108,"",B16109)</f>
        <v>Oroszlány</v>
      </c>
    </row>
    <row r="16110" spans="1:6" ht="15.75" customHeight="1">
      <c r="A16110" s="15" t="s">
        <v>10116</v>
      </c>
      <c r="B16110" s="15" t="s">
        <v>10117</v>
      </c>
      <c r="C16110" s="15" t="s">
        <v>9955</v>
      </c>
      <c r="D16110" s="15" t="s">
        <v>10043</v>
      </c>
      <c r="E16110" s="2">
        <v>3046888</v>
      </c>
      <c r="F16110" s="4" t="str">
        <f>IF(B16110=B16109,"",B16110)</f>
        <v>OroszlÃ¡ny</v>
      </c>
    </row>
    <row r="16111" spans="1:6" ht="15.75" customHeight="1">
      <c r="A16111" s="8" t="str">
        <f ca="1">IFERROR(__xludf.DUMMYFUNCTION("GOOGLETRANSLATE(B31248,""en"",""pt"")"),"Orosháza")</f>
        <v>Orosháza</v>
      </c>
      <c r="B16111" s="9" t="s">
        <v>32830</v>
      </c>
      <c r="C16111" s="9" t="s">
        <v>9955</v>
      </c>
      <c r="D16111" s="9" t="s">
        <v>9966</v>
      </c>
      <c r="E16111" s="10">
        <v>716736</v>
      </c>
      <c r="F16111" s="4" t="str">
        <f>IF(B16111=B16110,"",B16111)</f>
        <v>Orosháza</v>
      </c>
    </row>
    <row r="16112" spans="1:6" ht="15.75" customHeight="1">
      <c r="A16112" s="15" t="s">
        <v>10114</v>
      </c>
      <c r="B16112" s="15" t="s">
        <v>10115</v>
      </c>
      <c r="C16112" s="15" t="s">
        <v>9955</v>
      </c>
      <c r="D16112" s="15" t="s">
        <v>9966</v>
      </c>
      <c r="E16112" s="2">
        <v>716736</v>
      </c>
      <c r="F16112" s="4" t="str">
        <f>IF(B16112=B16111,"",B16112)</f>
        <v>OroshÃ¡za</v>
      </c>
    </row>
    <row r="16113" spans="1:6" ht="15.75" customHeight="1">
      <c r="A16113" s="8" t="str">
        <f ca="1">IFERROR(__xludf.DUMMYFUNCTION("GOOGLETRANSLATE(B24250,""en"",""pt"")"),"Orós")</f>
        <v>Orós</v>
      </c>
      <c r="B16113" s="9" t="s">
        <v>31382</v>
      </c>
      <c r="C16113" s="9" t="s">
        <v>1905</v>
      </c>
      <c r="D16113" s="9" t="s">
        <v>31345</v>
      </c>
      <c r="E16113" s="10">
        <v>3393465</v>
      </c>
      <c r="F16113" s="4" t="str">
        <f>IF(B16113=B16112,"",B16113)</f>
        <v>Orós</v>
      </c>
    </row>
    <row r="16114" spans="1:6" ht="15.75" customHeight="1">
      <c r="A16114" s="16" t="s">
        <v>20931</v>
      </c>
      <c r="B16114" s="15" t="s">
        <v>20931</v>
      </c>
      <c r="C16114" s="16" t="s">
        <v>20598</v>
      </c>
      <c r="D16114" s="16" t="s">
        <v>20687</v>
      </c>
      <c r="E16114" s="2">
        <v>1697006</v>
      </c>
      <c r="F16114" s="4" t="str">
        <f>IF(B16114=B16113,"",B16114)</f>
        <v>Oroquieta</v>
      </c>
    </row>
    <row r="16115" spans="1:6" ht="15.75" customHeight="1">
      <c r="A16115" s="8" t="str">
        <f ca="1">IFERROR(__xludf.DUMMYFUNCTION("GOOGLETRANSLATE(B38577,""en"",""pt"")"),"Oroquieta")</f>
        <v>Oroquieta</v>
      </c>
      <c r="B16115" s="9" t="s">
        <v>20931</v>
      </c>
      <c r="C16115" s="9" t="s">
        <v>20598</v>
      </c>
      <c r="D16115" s="9" t="s">
        <v>20687</v>
      </c>
      <c r="E16115" s="10">
        <v>1697006</v>
      </c>
      <c r="F16115" s="4" t="str">
        <f>IF(B16115=B16114,"",B16115)</f>
        <v/>
      </c>
    </row>
    <row r="16116" spans="1:6" ht="15.75" customHeight="1">
      <c r="A16116" s="16" t="s">
        <v>4987</v>
      </c>
      <c r="B16116" s="15" t="s">
        <v>4987</v>
      </c>
      <c r="C16116" s="16" t="s">
        <v>4487</v>
      </c>
      <c r="D16116" s="16" t="s">
        <v>4533</v>
      </c>
      <c r="E16116" s="2">
        <v>2038665</v>
      </c>
      <c r="F16116" s="4" t="str">
        <f>IF(B16116=B16115,"",B16116)</f>
        <v>Oroqen Zizhiqi</v>
      </c>
    </row>
    <row r="16117" spans="1:6" ht="15.75" customHeight="1">
      <c r="A16117" s="8" t="str">
        <f ca="1">IFERROR(__xludf.DUMMYFUNCTION("GOOGLETRANSLATE(B26830,""en"",""pt"")"),"Oroqen Zizhiqi")</f>
        <v>Oroqen Zizhiqi</v>
      </c>
      <c r="B16117" s="9" t="s">
        <v>4987</v>
      </c>
      <c r="C16117" s="9" t="s">
        <v>4487</v>
      </c>
      <c r="D16117" s="9" t="s">
        <v>4533</v>
      </c>
      <c r="E16117" s="10">
        <v>2038665</v>
      </c>
      <c r="F16117" s="4" t="str">
        <f>IF(B16117=B16116,"",B16117)</f>
        <v/>
      </c>
    </row>
    <row r="16118" spans="1:6" ht="15.75" customHeight="1">
      <c r="A16118" s="15" t="s">
        <v>3811</v>
      </c>
      <c r="B16118" s="15" t="s">
        <v>3811</v>
      </c>
      <c r="C16118" s="15" t="s">
        <v>3768</v>
      </c>
      <c r="D16118" s="15" t="s">
        <v>3772</v>
      </c>
      <c r="E16118" s="2">
        <v>2577164</v>
      </c>
      <c r="F16118" s="4" t="str">
        <f>IF(B16118=B16117,"",B16118)</f>
        <v>Orodara</v>
      </c>
    </row>
    <row r="16119" spans="1:6" ht="15.75" customHeight="1">
      <c r="A16119" s="8" t="str">
        <f ca="1">IFERROR(__xludf.DUMMYFUNCTION("GOOGLETRANSLATE(B24006,""en"",""pt"")"),"Orodara")</f>
        <v>Orodara</v>
      </c>
      <c r="B16119" s="9" t="s">
        <v>3811</v>
      </c>
      <c r="C16119" s="9" t="s">
        <v>3768</v>
      </c>
      <c r="D16119" s="9" t="s">
        <v>3772</v>
      </c>
      <c r="E16119" s="10">
        <v>2577164</v>
      </c>
      <c r="F16119" s="4" t="str">
        <f>IF(B16119=B16118,"",B16119)</f>
        <v/>
      </c>
    </row>
    <row r="16120" spans="1:6" ht="15.75" customHeight="1">
      <c r="A16120" s="16" t="s">
        <v>29574</v>
      </c>
      <c r="B16120" s="15" t="s">
        <v>29574</v>
      </c>
      <c r="C16120" s="16" t="s">
        <v>27788</v>
      </c>
      <c r="D16120" s="16" t="s">
        <v>27880</v>
      </c>
      <c r="E16120" s="2">
        <v>5307540</v>
      </c>
      <c r="F16120" s="4" t="str">
        <f>IF(B16120=B16119,"",B16120)</f>
        <v>Oro Valley</v>
      </c>
    </row>
    <row r="16121" spans="1:6" ht="15.75" customHeight="1">
      <c r="A16121" s="8" t="str">
        <f ca="1">IFERROR(__xludf.DUMMYFUNCTION("GOOGLETRANSLATE(B44717,""en"",""pt"")"),"Oro Valley")</f>
        <v>Oro Valley</v>
      </c>
      <c r="B16121" s="9" t="s">
        <v>29574</v>
      </c>
      <c r="C16121" s="9" t="s">
        <v>27788</v>
      </c>
      <c r="D16121" s="9" t="s">
        <v>27880</v>
      </c>
      <c r="E16121" s="10">
        <v>5307540</v>
      </c>
      <c r="F16121" s="4" t="str">
        <f>IF(B16121=B16120,"",B16121)</f>
        <v/>
      </c>
    </row>
    <row r="16122" spans="1:6" ht="15.75" customHeight="1">
      <c r="A16122" s="8" t="str">
        <f ca="1">IFERROR(__xludf.DUMMYFUNCTION("GOOGLETRANSLATE(B41154,""en"",""pt"")"),"Örnsköldsvik")</f>
        <v>Örnsköldsvik</v>
      </c>
      <c r="B16122" s="11" t="s">
        <v>35639</v>
      </c>
      <c r="C16122" s="11" t="s">
        <v>25077</v>
      </c>
      <c r="D16122" s="11" t="s">
        <v>35631</v>
      </c>
      <c r="E16122" s="10">
        <v>2686469</v>
      </c>
      <c r="F16122" s="4" t="str">
        <f>IF(B16122=B16121,"",B16122)</f>
        <v>Örnsköldsvik</v>
      </c>
    </row>
    <row r="16123" spans="1:6" ht="15.75" customHeight="1">
      <c r="A16123" s="15" t="s">
        <v>27581</v>
      </c>
      <c r="B16123" s="15" t="s">
        <v>27581</v>
      </c>
      <c r="C16123" s="15" t="s">
        <v>27234</v>
      </c>
      <c r="D16123" s="15" t="s">
        <v>27241</v>
      </c>
      <c r="E16123" s="2">
        <v>2640908</v>
      </c>
      <c r="F16123" s="4" t="str">
        <f>IF(B16123=B16122,"",B16123)</f>
        <v>Ormskirk</v>
      </c>
    </row>
    <row r="16124" spans="1:6" ht="15.75" customHeight="1">
      <c r="A16124" s="8" t="str">
        <f ca="1">IFERROR(__xludf.DUMMYFUNCTION("GOOGLETRANSLATE(B30496,""en"",""pt"")"),"Ormskirk")</f>
        <v>Ormskirk</v>
      </c>
      <c r="B16124" s="11" t="s">
        <v>27581</v>
      </c>
      <c r="C16124" s="11" t="s">
        <v>27234</v>
      </c>
      <c r="D16124" s="11" t="s">
        <v>27241</v>
      </c>
      <c r="E16124" s="10">
        <v>2640908</v>
      </c>
      <c r="F16124" s="4" t="str">
        <f>IF(B16124=B16123,"",B16124)</f>
        <v/>
      </c>
    </row>
    <row r="16125" spans="1:6" ht="15.75" customHeight="1">
      <c r="A16125" s="16" t="s">
        <v>29573</v>
      </c>
      <c r="B16125" s="15" t="s">
        <v>29573</v>
      </c>
      <c r="C16125" s="16" t="s">
        <v>27788</v>
      </c>
      <c r="D16125" s="16" t="s">
        <v>5468</v>
      </c>
      <c r="E16125" s="2">
        <v>4167178</v>
      </c>
      <c r="F16125" s="4" t="str">
        <f>IF(B16125=B16124,"",B16125)</f>
        <v>Ormond Beach</v>
      </c>
    </row>
    <row r="16126" spans="1:6" ht="15.75" customHeight="1">
      <c r="A16126" s="8" t="str">
        <f ca="1">IFERROR(__xludf.DUMMYFUNCTION("GOOGLETRANSLATE(B42972,""en"",""pt"")"),"Ormond Beach")</f>
        <v>Ormond Beach</v>
      </c>
      <c r="B16126" s="11" t="s">
        <v>29573</v>
      </c>
      <c r="C16126" s="11" t="s">
        <v>27788</v>
      </c>
      <c r="D16126" s="11" t="s">
        <v>5468</v>
      </c>
      <c r="E16126" s="10">
        <v>4167178</v>
      </c>
      <c r="F16126" s="4" t="str">
        <f>IF(B16126=B16125,"",B16126)</f>
        <v/>
      </c>
    </row>
    <row r="16127" spans="1:6" ht="15.75" customHeight="1">
      <c r="A16127" s="15" t="s">
        <v>20930</v>
      </c>
      <c r="B16127" s="15" t="s">
        <v>20930</v>
      </c>
      <c r="C16127" s="15" t="s">
        <v>20598</v>
      </c>
      <c r="D16127" s="15" t="s">
        <v>20601</v>
      </c>
      <c r="E16127" s="2">
        <v>1697018</v>
      </c>
      <c r="F16127" s="4" t="str">
        <f>IF(B16127=B16126,"",B16127)</f>
        <v>Ormoc</v>
      </c>
    </row>
    <row r="16128" spans="1:6" ht="15.75" customHeight="1">
      <c r="A16128" s="8" t="str">
        <f ca="1">IFERROR(__xludf.DUMMYFUNCTION("GOOGLETRANSLATE(B38578,""en"",""pt"")"),"Ormoc")</f>
        <v>Ormoc</v>
      </c>
      <c r="B16128" s="11" t="s">
        <v>20930</v>
      </c>
      <c r="C16128" s="11" t="s">
        <v>20598</v>
      </c>
      <c r="D16128" s="11" t="s">
        <v>20601</v>
      </c>
      <c r="E16128" s="10">
        <v>1697018</v>
      </c>
      <c r="F16128" s="4" t="str">
        <f>IF(B16128=B16127,"",B16128)</f>
        <v/>
      </c>
    </row>
    <row r="16129" spans="1:6" ht="15.75" customHeight="1">
      <c r="A16129" s="15" t="s">
        <v>7657</v>
      </c>
      <c r="B16129" s="15" t="s">
        <v>7657</v>
      </c>
      <c r="C16129" s="15" t="s">
        <v>7052</v>
      </c>
      <c r="D16129" s="15" t="s">
        <v>7058</v>
      </c>
      <c r="E16129" s="2">
        <v>2989297</v>
      </c>
      <c r="F16129" s="4" t="str">
        <f>IF(B16129=B16128,"",B16129)</f>
        <v>Orly</v>
      </c>
    </row>
    <row r="16130" spans="1:6" ht="15.75" customHeight="1">
      <c r="A16130" s="8" t="str">
        <f ca="1">IFERROR(__xludf.DUMMYFUNCTION("GOOGLETRANSLATE(B29868,""en"",""pt"")"),"Orly")</f>
        <v>Orly</v>
      </c>
      <c r="B16130" s="11" t="s">
        <v>7657</v>
      </c>
      <c r="C16130" s="11" t="s">
        <v>7052</v>
      </c>
      <c r="D16130" s="11" t="s">
        <v>32531</v>
      </c>
      <c r="E16130" s="10">
        <v>2989297</v>
      </c>
      <c r="F16130" s="4" t="str">
        <f>IF(B16130=B16129,"",B16130)</f>
        <v/>
      </c>
    </row>
    <row r="16131" spans="1:6" ht="15.75" customHeight="1">
      <c r="A16131" s="15" t="s">
        <v>22896</v>
      </c>
      <c r="B16131" s="15" t="s">
        <v>22896</v>
      </c>
      <c r="C16131" s="15" t="s">
        <v>22070</v>
      </c>
      <c r="D16131" s="15" t="s">
        <v>22099</v>
      </c>
      <c r="E16131" s="2">
        <v>514796</v>
      </c>
      <c r="F16131" s="4" t="str">
        <f>IF(B16131=B16130,"",B16131)</f>
        <v>Orlovskiy</v>
      </c>
    </row>
    <row r="16132" spans="1:6" ht="15.75" customHeight="1">
      <c r="A16132" s="8" t="str">
        <f ca="1">IFERROR(__xludf.DUMMYFUNCTION("GOOGLETRANSLATE(B40228,""en"",""pt"")"),"Orlovskiy")</f>
        <v>Orlovskiy</v>
      </c>
      <c r="B16132" s="11" t="s">
        <v>22896</v>
      </c>
      <c r="C16132" s="11" t="s">
        <v>22070</v>
      </c>
      <c r="D16132" s="11" t="s">
        <v>22099</v>
      </c>
      <c r="E16132" s="10">
        <v>514796</v>
      </c>
      <c r="F16132" s="4" t="str">
        <f>IF(B16132=B16131,"",B16132)</f>
        <v/>
      </c>
    </row>
    <row r="16133" spans="1:6" ht="15.75" customHeight="1">
      <c r="A16133" s="15" t="s">
        <v>6073</v>
      </c>
      <c r="B16133" s="15" t="s">
        <v>6074</v>
      </c>
      <c r="C16133" s="15" t="s">
        <v>5947</v>
      </c>
      <c r="D16133" s="15" t="s">
        <v>5971</v>
      </c>
      <c r="E16133" s="2">
        <v>3068873</v>
      </c>
      <c r="F16133" s="4" t="str">
        <f>IF(B16133=B16132,"",B16133)</f>
        <v>OrlovÃ¡</v>
      </c>
    </row>
    <row r="16134" spans="1:6" ht="15.75" customHeight="1">
      <c r="A16134" s="8" t="str">
        <f ca="1">IFERROR(__xludf.DUMMYFUNCTION("GOOGLETRANSLATE(B27282,""en"",""pt"")"),"Orlová")</f>
        <v>Orlová</v>
      </c>
      <c r="B16134" s="11" t="s">
        <v>31969</v>
      </c>
      <c r="C16134" s="11" t="s">
        <v>5947</v>
      </c>
      <c r="D16134" s="11" t="s">
        <v>31952</v>
      </c>
      <c r="E16134" s="10">
        <v>3068873</v>
      </c>
      <c r="F16134" s="4" t="str">
        <f>IF(B16134=B16133,"",B16134)</f>
        <v>Orlová</v>
      </c>
    </row>
    <row r="16135" spans="1:6" ht="15.75" customHeight="1">
      <c r="A16135" s="8" t="str">
        <f ca="1">IFERROR(__xludf.DUMMYFUNCTION("GOOGLETRANSLATE(B29869,""en"",""pt"")"),"Orléans")</f>
        <v>Orléans</v>
      </c>
      <c r="B16135" s="9" t="s">
        <v>32571</v>
      </c>
      <c r="C16135" s="9" t="s">
        <v>7052</v>
      </c>
      <c r="D16135" s="9" t="s">
        <v>3813</v>
      </c>
      <c r="E16135" s="10">
        <v>2989317</v>
      </c>
      <c r="F16135" s="4" t="str">
        <f>IF(B16135=B16134,"",B16135)</f>
        <v>Orléans</v>
      </c>
    </row>
    <row r="16136" spans="1:6" ht="15.75" customHeight="1">
      <c r="A16136" s="15" t="s">
        <v>2993</v>
      </c>
      <c r="B16136" s="15" t="s">
        <v>2993</v>
      </c>
      <c r="C16136" s="15" t="s">
        <v>1905</v>
      </c>
      <c r="D16136" s="15" t="s">
        <v>2020</v>
      </c>
      <c r="E16136" s="2">
        <v>3455784</v>
      </c>
      <c r="F16136" s="4" t="str">
        <f>IF(B16136=B16135,"",B16136)</f>
        <v>Orleans</v>
      </c>
    </row>
    <row r="16137" spans="1:6" ht="15.75" customHeight="1">
      <c r="A16137" s="8" t="str">
        <f ca="1">IFERROR(__xludf.DUMMYFUNCTION("GOOGLETRANSLATE(B24765,""en"",""pt"")"),"Orleans")</f>
        <v>Orleans</v>
      </c>
      <c r="B16137" s="9" t="s">
        <v>2993</v>
      </c>
      <c r="C16137" s="9" t="s">
        <v>1905</v>
      </c>
      <c r="D16137" s="9" t="s">
        <v>2020</v>
      </c>
      <c r="E16137" s="10">
        <v>3455784</v>
      </c>
      <c r="F16137" s="4" t="str">
        <f>IF(B16137=B16136,"",B16137)</f>
        <v/>
      </c>
    </row>
    <row r="16138" spans="1:6" ht="15.75" customHeight="1">
      <c r="A16138" s="15" t="s">
        <v>29572</v>
      </c>
      <c r="B16138" s="15" t="s">
        <v>29572</v>
      </c>
      <c r="C16138" s="15" t="s">
        <v>27788</v>
      </c>
      <c r="D16138" s="15" t="s">
        <v>5468</v>
      </c>
      <c r="E16138" s="2">
        <v>4167147</v>
      </c>
      <c r="F16138" s="4" t="str">
        <f>IF(B16138=B16137,"",B16138)</f>
        <v>Orlando</v>
      </c>
    </row>
    <row r="16139" spans="1:6" ht="15.75" customHeight="1">
      <c r="A16139" s="8" t="str">
        <f ca="1">IFERROR(__xludf.DUMMYFUNCTION("GOOGLETRANSLATE(B42971,""en"",""pt"")"),"Orlando")</f>
        <v>Orlando</v>
      </c>
      <c r="B16139" s="9" t="s">
        <v>29572</v>
      </c>
      <c r="C16139" s="9" t="s">
        <v>27788</v>
      </c>
      <c r="D16139" s="9" t="s">
        <v>5468</v>
      </c>
      <c r="E16139" s="10">
        <v>4167147</v>
      </c>
      <c r="F16139" s="4" t="str">
        <f>IF(B16139=B16138,"",B16139)</f>
        <v/>
      </c>
    </row>
    <row r="16140" spans="1:6" ht="15.75" customHeight="1">
      <c r="A16140" s="8" t="str">
        <f ca="1">IFERROR(__xludf.DUMMYFUNCTION("GOOGLETRANSLATE(B24766,""en"",""pt"")"),"OrlânDia")</f>
        <v>OrlânDia</v>
      </c>
      <c r="B16140" s="11" t="s">
        <v>31575</v>
      </c>
      <c r="C16140" s="11" t="s">
        <v>1905</v>
      </c>
      <c r="D16140" s="11" t="s">
        <v>3354</v>
      </c>
      <c r="E16140" s="10">
        <v>3455785</v>
      </c>
      <c r="F16140" s="4" t="str">
        <f>IF(B16140=B16139,"",B16140)</f>
        <v>Orlândia</v>
      </c>
    </row>
    <row r="16141" spans="1:6" ht="15.75" customHeight="1">
      <c r="A16141" s="16" t="s">
        <v>29571</v>
      </c>
      <c r="B16141" s="15" t="s">
        <v>29571</v>
      </c>
      <c r="C16141" s="16" t="s">
        <v>27788</v>
      </c>
      <c r="D16141" s="16" t="s">
        <v>27799</v>
      </c>
      <c r="E16141" s="2">
        <v>4904937</v>
      </c>
      <c r="F16141" s="4" t="str">
        <f>IF(B16141=B16140,"",B16141)</f>
        <v>Orland Park</v>
      </c>
    </row>
    <row r="16142" spans="1:6" ht="15.75" customHeight="1">
      <c r="A16142" s="8" t="str">
        <f ca="1">IFERROR(__xludf.DUMMYFUNCTION("GOOGLETRANSLATE(B43863,""en"",""pt"")"),"Orland Park")</f>
        <v>Orland Park</v>
      </c>
      <c r="B16142" s="11" t="s">
        <v>29571</v>
      </c>
      <c r="C16142" s="11" t="s">
        <v>27788</v>
      </c>
      <c r="D16142" s="11" t="s">
        <v>27799</v>
      </c>
      <c r="E16142" s="10">
        <v>4904937</v>
      </c>
      <c r="F16142" s="4" t="str">
        <f>IF(B16142=B16141,"",B16142)</f>
        <v/>
      </c>
    </row>
    <row r="16143" spans="1:6" ht="15.75" customHeight="1">
      <c r="A16143" s="16" t="s">
        <v>7655</v>
      </c>
      <c r="B16143" s="15" t="s">
        <v>7656</v>
      </c>
      <c r="C16143" s="16" t="s">
        <v>7052</v>
      </c>
      <c r="D16143" s="16" t="s">
        <v>3813</v>
      </c>
      <c r="E16143" s="2">
        <v>2989317</v>
      </c>
      <c r="F16143" s="4" t="str">
        <f>IF(B16143=B16142,"",B16143)</f>
        <v>OrlÃ©ans</v>
      </c>
    </row>
    <row r="16144" spans="1:6" ht="15.75" customHeight="1">
      <c r="A16144" s="15" t="s">
        <v>2991</v>
      </c>
      <c r="B16144" s="15" t="s">
        <v>2992</v>
      </c>
      <c r="C16144" s="15" t="s">
        <v>1905</v>
      </c>
      <c r="D16144" s="15" t="s">
        <v>1914</v>
      </c>
      <c r="E16144" s="2">
        <v>3455785</v>
      </c>
      <c r="F16144" s="4" t="str">
        <f>IF(B16144=B16143,"",B16144)</f>
        <v>OrlÃ¢ndia</v>
      </c>
    </row>
    <row r="16145" spans="1:6" ht="15.75" customHeight="1">
      <c r="A16145" s="15" t="s">
        <v>23946</v>
      </c>
      <c r="B16145" s="15" t="s">
        <v>23946</v>
      </c>
      <c r="C16145" s="15" t="s">
        <v>23842</v>
      </c>
      <c r="D16145" s="15" t="s">
        <v>23860</v>
      </c>
      <c r="E16145" s="2">
        <v>967476</v>
      </c>
      <c r="F16145" s="4" t="str">
        <f>IF(B16145=B16144,"",B16145)</f>
        <v>Orkney</v>
      </c>
    </row>
    <row r="16146" spans="1:6" ht="15.75" customHeight="1">
      <c r="A16146" s="15" t="s">
        <v>23946</v>
      </c>
      <c r="B16146" s="15" t="s">
        <v>23946</v>
      </c>
      <c r="C16146" s="15" t="s">
        <v>27234</v>
      </c>
      <c r="D16146" s="15" t="s">
        <v>27237</v>
      </c>
      <c r="E16146" s="2">
        <v>8299623</v>
      </c>
      <c r="F16146" s="4" t="str">
        <f>IF(B16146=B16145,"",B16146)</f>
        <v/>
      </c>
    </row>
    <row r="16147" spans="1:6" ht="15.75" customHeight="1">
      <c r="A16147" s="8" t="str">
        <f ca="1">IFERROR(__xludf.DUMMYFUNCTION("GOOGLETRANSLATE(B30824,""en"",""pt"")"),"Orkney")</f>
        <v>Orkney</v>
      </c>
      <c r="B16147" s="9" t="s">
        <v>23946</v>
      </c>
      <c r="C16147" s="9" t="s">
        <v>27234</v>
      </c>
      <c r="D16147" s="9" t="s">
        <v>27237</v>
      </c>
      <c r="E16147" s="10">
        <v>8299623</v>
      </c>
      <c r="F16147" s="4" t="str">
        <f>IF(B16147=B16146,"",B16147)</f>
        <v/>
      </c>
    </row>
    <row r="16148" spans="1:6" ht="15.75" customHeight="1">
      <c r="A16148" s="8" t="str">
        <f ca="1">IFERROR(__xludf.DUMMYFUNCTION("GOOGLETRANSLATE(B45904,""en"",""pt"")"),"Orkney")</f>
        <v>Orkney</v>
      </c>
      <c r="B16148" s="11" t="s">
        <v>23946</v>
      </c>
      <c r="C16148" s="11" t="s">
        <v>23842</v>
      </c>
      <c r="D16148" s="11" t="s">
        <v>23860</v>
      </c>
      <c r="E16148" s="10">
        <v>967476</v>
      </c>
      <c r="F16148" s="4" t="str">
        <f>IF(B16148=B16147,"",B16148)</f>
        <v/>
      </c>
    </row>
    <row r="16149" spans="1:6" ht="15.75" customHeight="1">
      <c r="A16149" s="15" t="s">
        <v>18137</v>
      </c>
      <c r="B16149" s="15" t="s">
        <v>18137</v>
      </c>
      <c r="C16149" s="15" t="s">
        <v>17707</v>
      </c>
      <c r="D16149" s="15" t="s">
        <v>17708</v>
      </c>
      <c r="E16149" s="2">
        <v>3522307</v>
      </c>
      <c r="F16149" s="4" t="str">
        <f>IF(B16149=B16148,"",B16149)</f>
        <v>Orizaba</v>
      </c>
    </row>
    <row r="16150" spans="1:6" ht="15.75" customHeight="1">
      <c r="A16150" s="8" t="str">
        <f ca="1">IFERROR(__xludf.DUMMYFUNCTION("GOOGLETRANSLATE(B36960,""en"",""pt"")"),"Orizaba")</f>
        <v>Orizaba</v>
      </c>
      <c r="B16150" s="9" t="s">
        <v>18137</v>
      </c>
      <c r="C16150" s="9" t="s">
        <v>17707</v>
      </c>
      <c r="D16150" s="9" t="s">
        <v>17708</v>
      </c>
      <c r="E16150" s="10">
        <v>3522307</v>
      </c>
      <c r="F16150" s="4" t="str">
        <f>IF(B16150=B16149,"",B16150)</f>
        <v/>
      </c>
    </row>
    <row r="16151" spans="1:6" ht="15.75" customHeight="1">
      <c r="A16151" s="15" t="s">
        <v>2989</v>
      </c>
      <c r="B16151" s="15" t="s">
        <v>2990</v>
      </c>
      <c r="C16151" s="15" t="s">
        <v>1905</v>
      </c>
      <c r="D16151" s="15" t="s">
        <v>1906</v>
      </c>
      <c r="E16151" s="2">
        <v>3393471</v>
      </c>
      <c r="F16151" s="4" t="str">
        <f>IF(B16151=B16150,"",B16151)</f>
        <v>OriximinÃ¡</v>
      </c>
    </row>
    <row r="16152" spans="1:6" ht="15.75" customHeight="1">
      <c r="A16152" s="8" t="str">
        <f ca="1">IFERROR(__xludf.DUMMYFUNCTION("GOOGLETRANSLATE(B24251,""en"",""pt"")"),"Oriximiná")</f>
        <v>Oriximiná</v>
      </c>
      <c r="B16152" s="9" t="s">
        <v>2989</v>
      </c>
      <c r="C16152" s="9" t="s">
        <v>1905</v>
      </c>
      <c r="D16152" s="9" t="s">
        <v>31342</v>
      </c>
      <c r="E16152" s="10">
        <v>3393471</v>
      </c>
      <c r="F16152" s="4" t="str">
        <f>IF(B16152=B16151,"",B16152)</f>
        <v>Oriximiná</v>
      </c>
    </row>
    <row r="16153" spans="1:6" ht="15.75" customHeight="1">
      <c r="A16153" s="16" t="s">
        <v>19540</v>
      </c>
      <c r="B16153" s="15" t="s">
        <v>19541</v>
      </c>
      <c r="C16153" s="16" t="s">
        <v>19294</v>
      </c>
      <c r="D16153" s="16" t="s">
        <v>19398</v>
      </c>
      <c r="E16153" s="2">
        <v>2325733</v>
      </c>
      <c r="F16153" s="4" t="str">
        <f>IF(B16153=B16152,"",B16153)</f>
        <v>Orita Eruwa</v>
      </c>
    </row>
    <row r="16154" spans="1:6" ht="15.75" customHeight="1">
      <c r="A16154" s="8" t="str">
        <f ca="1">IFERROR(__xludf.DUMMYFUNCTION("GOOGLETRANSLATE(B37648,""en"",""pt"")"),"Oita Eruwa")</f>
        <v>Oita Eruwa</v>
      </c>
      <c r="B16154" s="9" t="s">
        <v>19541</v>
      </c>
      <c r="C16154" s="9" t="s">
        <v>19294</v>
      </c>
      <c r="D16154" s="9" t="s">
        <v>19398</v>
      </c>
      <c r="E16154" s="10">
        <v>2325733</v>
      </c>
      <c r="F16154" s="4" t="str">
        <f>IF(B16154=B16153,"",B16154)</f>
        <v/>
      </c>
    </row>
    <row r="16155" spans="1:6" ht="15.75" customHeight="1">
      <c r="A16155" s="15" t="s">
        <v>15328</v>
      </c>
      <c r="B16155" s="15" t="s">
        <v>15328</v>
      </c>
      <c r="C16155" s="15" t="s">
        <v>14891</v>
      </c>
      <c r="D16155" s="15" t="s">
        <v>14925</v>
      </c>
      <c r="E16155" s="2">
        <v>2523964</v>
      </c>
      <c r="F16155" s="4" t="str">
        <f>IF(B16155=B16154,"",B16155)</f>
        <v>Oristano</v>
      </c>
    </row>
    <row r="16156" spans="1:6" ht="15.75" customHeight="1">
      <c r="A16156" s="8" t="str">
        <f ca="1">IFERROR(__xludf.DUMMYFUNCTION("GOOGLETRANSLATE(B34572,""en"",""pt"")"),"Oristano")</f>
        <v>Oristano</v>
      </c>
      <c r="B16156" s="9" t="s">
        <v>15328</v>
      </c>
      <c r="C16156" s="9" t="s">
        <v>14891</v>
      </c>
      <c r="D16156" s="9" t="s">
        <v>14925</v>
      </c>
      <c r="E16156" s="10">
        <v>2523964</v>
      </c>
      <c r="F16156" s="4" t="str">
        <f>IF(B16156=B16155,"",B16156)</f>
        <v/>
      </c>
    </row>
    <row r="16157" spans="1:6" ht="15.75" customHeight="1">
      <c r="A16157" s="15" t="s">
        <v>20928</v>
      </c>
      <c r="B16157" s="15" t="s">
        <v>20929</v>
      </c>
      <c r="C16157" s="15" t="s">
        <v>20598</v>
      </c>
      <c r="D16157" s="15" t="s">
        <v>20599</v>
      </c>
      <c r="E16157" s="2">
        <v>1697023</v>
      </c>
      <c r="F16157" s="4" t="str">
        <f>IF(B16157=B16156,"",B16157)</f>
        <v>Orion</v>
      </c>
    </row>
    <row r="16158" spans="1:6" ht="15.75" customHeight="1">
      <c r="A16158" s="8" t="str">
        <f ca="1">IFERROR(__xludf.DUMMYFUNCTION("GOOGLETRANSLATE(B38579,""en"",""pt"")"),"Órion")</f>
        <v>Órion</v>
      </c>
      <c r="B16158" s="9" t="s">
        <v>20929</v>
      </c>
      <c r="C16158" s="9" t="s">
        <v>20598</v>
      </c>
      <c r="D16158" s="9" t="s">
        <v>20599</v>
      </c>
      <c r="E16158" s="10">
        <v>1697023</v>
      </c>
      <c r="F16158" s="4" t="str">
        <f>IF(B16158=B16157,"",B16158)</f>
        <v/>
      </c>
    </row>
    <row r="16159" spans="1:6" ht="15.75" customHeight="1">
      <c r="A16159" s="15" t="s">
        <v>29569</v>
      </c>
      <c r="B16159" s="15" t="s">
        <v>29570</v>
      </c>
      <c r="C16159" s="15" t="s">
        <v>27788</v>
      </c>
      <c r="D16159" s="15" t="s">
        <v>27801</v>
      </c>
      <c r="E16159" s="2">
        <v>5379678</v>
      </c>
      <c r="F16159" s="4" t="str">
        <f>IF(B16159=B16158,"",B16159)</f>
        <v>Orinda</v>
      </c>
    </row>
    <row r="16160" spans="1:6" ht="15.75" customHeight="1">
      <c r="A16160" s="8" t="str">
        <f ca="1">IFERROR(__xludf.DUMMYFUNCTION("GOOGLETRANSLATE(B44943,""en"",""pt"")"),"ORINDA")</f>
        <v>ORINDA</v>
      </c>
      <c r="B16160" s="9" t="s">
        <v>29570</v>
      </c>
      <c r="C16160" s="9" t="s">
        <v>27788</v>
      </c>
      <c r="D16160" s="9" t="s">
        <v>27801</v>
      </c>
      <c r="E16160" s="10">
        <v>5379678</v>
      </c>
      <c r="F16160" s="4" t="str">
        <f>IF(B16160=B16159,"",B16160)</f>
        <v/>
      </c>
    </row>
    <row r="16161" spans="1:6" ht="15.75" customHeight="1">
      <c r="A16161" s="15" t="s">
        <v>4132</v>
      </c>
      <c r="B16161" s="15" t="s">
        <v>4132</v>
      </c>
      <c r="C16161" s="15" t="s">
        <v>3975</v>
      </c>
      <c r="D16161" s="15" t="s">
        <v>3980</v>
      </c>
      <c r="E16161" s="2">
        <v>6094325</v>
      </c>
      <c r="F16161" s="4" t="str">
        <f>IF(B16161=B16160,"",B16161)</f>
        <v>Orillia</v>
      </c>
    </row>
    <row r="16162" spans="1:6" ht="15.75" customHeight="1">
      <c r="A16162" s="8" t="str">
        <f ca="1">IFERROR(__xludf.DUMMYFUNCTION("GOOGLETRANSLATE(B25536,""en"",""pt"")"),"Orillia")</f>
        <v>Orillia</v>
      </c>
      <c r="B16162" s="9" t="s">
        <v>4132</v>
      </c>
      <c r="C16162" s="9" t="s">
        <v>3975</v>
      </c>
      <c r="D16162" s="9" t="s">
        <v>3980</v>
      </c>
      <c r="E16162" s="10">
        <v>6094325</v>
      </c>
      <c r="F16162" s="4" t="str">
        <f>IF(B16162=B16161,"",B16162)</f>
        <v/>
      </c>
    </row>
    <row r="16163" spans="1:6" ht="15.75" customHeight="1">
      <c r="A16163" s="15" t="s">
        <v>27100</v>
      </c>
      <c r="B16163" s="15" t="s">
        <v>27100</v>
      </c>
      <c r="C16163" s="15" t="s">
        <v>26870</v>
      </c>
      <c r="D16163" s="15" t="s">
        <v>26898</v>
      </c>
      <c r="E16163" s="2">
        <v>698428</v>
      </c>
      <c r="F16163" s="4" t="str">
        <f>IF(B16163=B16162,"",B16163)</f>
        <v>Orikhiv</v>
      </c>
    </row>
    <row r="16164" spans="1:6" ht="15.75" customHeight="1">
      <c r="A16164" s="8" t="str">
        <f ca="1">IFERROR(__xludf.DUMMYFUNCTION("GOOGLETRANSLATE(B42557,""en"",""pt"")"),"Orikhiv")</f>
        <v>Orikhiv</v>
      </c>
      <c r="B16164" s="9" t="s">
        <v>27100</v>
      </c>
      <c r="C16164" s="9" t="s">
        <v>26870</v>
      </c>
      <c r="D16164" s="9" t="s">
        <v>26898</v>
      </c>
      <c r="E16164" s="10">
        <v>698428</v>
      </c>
      <c r="F16164" s="4" t="str">
        <f>IF(B16164=B16163,"",B16164)</f>
        <v/>
      </c>
    </row>
    <row r="16165" spans="1:6" ht="15.75" customHeight="1">
      <c r="A16165" s="15" t="s">
        <v>24669</v>
      </c>
      <c r="B16165" s="15" t="s">
        <v>24669</v>
      </c>
      <c r="C16165" s="15" t="s">
        <v>24200</v>
      </c>
      <c r="D16165" s="15" t="s">
        <v>21053</v>
      </c>
      <c r="E16165" s="2">
        <v>2513076</v>
      </c>
      <c r="F16165" s="4" t="str">
        <f>IF(B16165=B16164,"",B16165)</f>
        <v>Orihuela</v>
      </c>
    </row>
    <row r="16166" spans="1:6" ht="15.75" customHeight="1">
      <c r="A16166" s="8" t="str">
        <f ca="1">IFERROR(__xludf.DUMMYFUNCTION("GOOGLETRANSLATE(B29034,""en"",""pt"")"),"Orihuela")</f>
        <v>Orihuela</v>
      </c>
      <c r="B16166" s="9" t="s">
        <v>24669</v>
      </c>
      <c r="C16166" s="9" t="s">
        <v>24200</v>
      </c>
      <c r="D16166" s="9" t="s">
        <v>21053</v>
      </c>
      <c r="E16166" s="10">
        <v>2513076</v>
      </c>
      <c r="F16166" s="4" t="str">
        <f>IF(B16166=B16165,"",B16166)</f>
        <v/>
      </c>
    </row>
    <row r="16167" spans="1:6" ht="15.75" customHeight="1">
      <c r="A16167" s="15" t="s">
        <v>24668</v>
      </c>
      <c r="B16167" s="15" t="s">
        <v>24668</v>
      </c>
      <c r="C16167" s="15" t="s">
        <v>24200</v>
      </c>
      <c r="D16167" s="15" t="s">
        <v>24249</v>
      </c>
      <c r="E16167" s="2">
        <v>3114957</v>
      </c>
      <c r="F16167" s="4" t="str">
        <f>IF(B16167=B16166,"",B16167)</f>
        <v>Oria</v>
      </c>
    </row>
    <row r="16168" spans="1:6" ht="15.75" customHeight="1">
      <c r="A16168" s="8" t="str">
        <f ca="1">IFERROR(__xludf.DUMMYFUNCTION("GOOGLETRANSLATE(B29337,""en"",""pt"")"),"Oria")</f>
        <v>Oria</v>
      </c>
      <c r="B16168" s="9" t="s">
        <v>24668</v>
      </c>
      <c r="C16168" s="9" t="s">
        <v>24200</v>
      </c>
      <c r="D16168" s="9" t="s">
        <v>24249</v>
      </c>
      <c r="E16168" s="10">
        <v>3114957</v>
      </c>
      <c r="F16168" s="4" t="str">
        <f>IF(B16168=B16167,"",B16168)</f>
        <v/>
      </c>
    </row>
    <row r="16169" spans="1:6" ht="15.75" customHeight="1">
      <c r="A16169" s="15" t="s">
        <v>18479</v>
      </c>
      <c r="B16169" s="15" t="s">
        <v>18479</v>
      </c>
      <c r="C16169" s="15" t="s">
        <v>18455</v>
      </c>
      <c r="D16169" s="15" t="s">
        <v>18479</v>
      </c>
      <c r="E16169" s="2">
        <v>617638</v>
      </c>
      <c r="F16169" s="4" t="str">
        <f>IF(B16169=B16168,"",B16169)</f>
        <v>Orhei</v>
      </c>
    </row>
    <row r="16170" spans="1:6" ht="15.75" customHeight="1">
      <c r="A16170" s="8" t="str">
        <f ca="1">IFERROR(__xludf.DUMMYFUNCTION("GOOGLETRANSLATE(B36534,""en"",""pt"")"),"Orhei")</f>
        <v>Orhei</v>
      </c>
      <c r="B16170" s="9" t="s">
        <v>18479</v>
      </c>
      <c r="C16170" s="9" t="s">
        <v>18455</v>
      </c>
      <c r="D16170" s="9" t="s">
        <v>18479</v>
      </c>
      <c r="E16170" s="10">
        <v>617638</v>
      </c>
      <c r="F16170" s="4" t="str">
        <f>IF(B16170=B16169,"",B16170)</f>
        <v/>
      </c>
    </row>
    <row r="16171" spans="1:6" ht="15.75" customHeight="1">
      <c r="A16171" s="16" t="s">
        <v>26657</v>
      </c>
      <c r="B16171" s="15" t="s">
        <v>26657</v>
      </c>
      <c r="C16171" s="16" t="s">
        <v>26201</v>
      </c>
      <c r="D16171" s="16" t="s">
        <v>26205</v>
      </c>
      <c r="E16171" s="2">
        <v>741045</v>
      </c>
      <c r="F16171" s="4" t="str">
        <f>IF(B16171=B16170,"",B16171)</f>
        <v>Orhangazi</v>
      </c>
    </row>
    <row r="16172" spans="1:6" ht="15.75" customHeight="1">
      <c r="A16172" s="8" t="str">
        <f ca="1">IFERROR(__xludf.DUMMYFUNCTION("GOOGLETRANSLATE(B42127,""en"",""pt"")"),"Orhangazi")</f>
        <v>Orhangazi</v>
      </c>
      <c r="B16172" s="9" t="s">
        <v>26657</v>
      </c>
      <c r="C16172" s="9" t="s">
        <v>26201</v>
      </c>
      <c r="D16172" s="9" t="s">
        <v>26205</v>
      </c>
      <c r="E16172" s="10">
        <v>741045</v>
      </c>
      <c r="F16172" s="4" t="str">
        <f>IF(B16172=B16171,"",B16172)</f>
        <v/>
      </c>
    </row>
    <row r="16173" spans="1:6" ht="15.75" customHeight="1">
      <c r="A16173" s="8" t="str">
        <f ca="1">IFERROR(__xludf.DUMMYFUNCTION("GOOGLETRANSLATE(B31039,""en"",""pt"")"),"Orestiáda")</f>
        <v>Orestiáda</v>
      </c>
      <c r="B16173" s="9" t="s">
        <v>32745</v>
      </c>
      <c r="C16173" s="9" t="s">
        <v>9441</v>
      </c>
      <c r="D16173" s="9" t="s">
        <v>9475</v>
      </c>
      <c r="E16173" s="10">
        <v>734880</v>
      </c>
      <c r="F16173" s="4" t="str">
        <f>IF(B16173=B16172,"",B16173)</f>
        <v>Orestiáda</v>
      </c>
    </row>
    <row r="16174" spans="1:6" ht="15.75" customHeight="1">
      <c r="A16174" s="15" t="s">
        <v>9601</v>
      </c>
      <c r="B16174" s="15" t="s">
        <v>9602</v>
      </c>
      <c r="C16174" s="15" t="s">
        <v>9441</v>
      </c>
      <c r="D16174" s="15" t="s">
        <v>9475</v>
      </c>
      <c r="E16174" s="2">
        <v>734880</v>
      </c>
      <c r="F16174" s="4" t="str">
        <f>IF(B16174=B16173,"",B16174)</f>
        <v>OrestiÃ¡da</v>
      </c>
    </row>
    <row r="16175" spans="1:6" ht="15.75" customHeight="1">
      <c r="A16175" s="15" t="s">
        <v>22075</v>
      </c>
      <c r="B16175" s="15" t="s">
        <v>22075</v>
      </c>
      <c r="C16175" s="15" t="s">
        <v>22070</v>
      </c>
      <c r="D16175" s="15" t="s">
        <v>22075</v>
      </c>
      <c r="E16175" s="2">
        <v>515003</v>
      </c>
      <c r="F16175" s="4" t="str">
        <f>IF(B16175=B16174,"",B16175)</f>
        <v>Orenburg</v>
      </c>
    </row>
    <row r="16176" spans="1:6" ht="15.75" customHeight="1">
      <c r="A16176" s="8" t="str">
        <f ca="1">IFERROR(__xludf.DUMMYFUNCTION("GOOGLETRANSLATE(B40229,""en"",""pt"")"),"Orenburg")</f>
        <v>Orenburg</v>
      </c>
      <c r="B16176" s="11" t="s">
        <v>22075</v>
      </c>
      <c r="C16176" s="11" t="s">
        <v>22070</v>
      </c>
      <c r="D16176" s="11" t="s">
        <v>22075</v>
      </c>
      <c r="E16176" s="10">
        <v>515003</v>
      </c>
      <c r="F16176" s="4" t="str">
        <f>IF(B16176=B16175,"",B16176)</f>
        <v/>
      </c>
    </row>
    <row r="16177" spans="1:6" ht="15.75" customHeight="1">
      <c r="A16177" s="15" t="s">
        <v>29568</v>
      </c>
      <c r="B16177" s="15" t="s">
        <v>29568</v>
      </c>
      <c r="C16177" s="15" t="s">
        <v>27788</v>
      </c>
      <c r="D16177" s="15" t="s">
        <v>27856</v>
      </c>
      <c r="E16177" s="2">
        <v>5779334</v>
      </c>
      <c r="F16177" s="4" t="str">
        <f>IF(B16177=B16176,"",B16177)</f>
        <v>Orem</v>
      </c>
    </row>
    <row r="16178" spans="1:6" ht="15.75" customHeight="1">
      <c r="A16178" s="8" t="str">
        <f ca="1">IFERROR(__xludf.DUMMYFUNCTION("GOOGLETRANSLATE(B45292,""en"",""pt"")"),"Orem")</f>
        <v>Orem</v>
      </c>
      <c r="B16178" s="11" t="s">
        <v>29568</v>
      </c>
      <c r="C16178" s="11" t="s">
        <v>27788</v>
      </c>
      <c r="D16178" s="11" t="s">
        <v>27856</v>
      </c>
      <c r="E16178" s="10">
        <v>5779334</v>
      </c>
      <c r="F16178" s="4" t="str">
        <f>IF(B16178=B16177,"",B16178)</f>
        <v/>
      </c>
    </row>
    <row r="16179" spans="1:6" ht="15.75" customHeight="1">
      <c r="A16179" s="8" t="str">
        <f ca="1">IFERROR(__xludf.DUMMYFUNCTION("GOOGLETRANSLATE(B40230,""en"",""pt"")"),"Orël")</f>
        <v>Orël</v>
      </c>
      <c r="B16179" s="9" t="s">
        <v>35476</v>
      </c>
      <c r="C16179" s="9" t="s">
        <v>22070</v>
      </c>
      <c r="D16179" s="9" t="s">
        <v>22688</v>
      </c>
      <c r="E16179" s="10">
        <v>515012</v>
      </c>
      <c r="F16179" s="4" t="str">
        <f>IF(B16179=B16178,"",B16179)</f>
        <v>Orël</v>
      </c>
    </row>
    <row r="16180" spans="1:6" ht="15.75" customHeight="1">
      <c r="A16180" s="16" t="s">
        <v>22895</v>
      </c>
      <c r="B16180" s="15" t="s">
        <v>22895</v>
      </c>
      <c r="C16180" s="16" t="s">
        <v>22070</v>
      </c>
      <c r="D16180" s="16" t="s">
        <v>22119</v>
      </c>
      <c r="E16180" s="2">
        <v>515024</v>
      </c>
      <c r="F16180" s="4" t="str">
        <f>IF(B16180=B16179,"",B16180)</f>
        <v>Orekhovo-Zuyevo</v>
      </c>
    </row>
    <row r="16181" spans="1:6" ht="15.75" customHeight="1">
      <c r="A16181" s="8" t="str">
        <f ca="1">IFERROR(__xludf.DUMMYFUNCTION("GOOGLETRANSLATE(B40231,""en"",""pt"")"),"Orekhovo-Zuyevo")</f>
        <v>Orekhovo-Zuyevo</v>
      </c>
      <c r="B16181" s="9" t="s">
        <v>22895</v>
      </c>
      <c r="C16181" s="9" t="s">
        <v>22070</v>
      </c>
      <c r="D16181" s="9" t="s">
        <v>22119</v>
      </c>
      <c r="E16181" s="10">
        <v>515024</v>
      </c>
      <c r="F16181" s="4" t="str">
        <f>IF(B16181=B16180,"",B16181)</f>
        <v/>
      </c>
    </row>
    <row r="16182" spans="1:6" ht="15.75" customHeight="1">
      <c r="A16182" s="16" t="s">
        <v>22894</v>
      </c>
      <c r="B16182" s="15" t="s">
        <v>22894</v>
      </c>
      <c r="C16182" s="16" t="s">
        <v>22070</v>
      </c>
      <c r="D16182" s="16" t="s">
        <v>22127</v>
      </c>
      <c r="E16182" s="2">
        <v>515027</v>
      </c>
      <c r="F16182" s="4" t="str">
        <f>IF(B16182=B16181,"",B16182)</f>
        <v>Orekhovo-Borisovo Severnoye</v>
      </c>
    </row>
    <row r="16183" spans="1:6" ht="15.75" customHeight="1">
      <c r="A16183" s="8" t="str">
        <f ca="1">IFERROR(__xludf.DUMMYFUNCTION("GOOGLETRANSLATE(B40232,""en"",""pt"")"),"Orekhovo-Borisovo Severnoye")</f>
        <v>Orekhovo-Borisovo Severnoye</v>
      </c>
      <c r="B16183" s="11" t="s">
        <v>22894</v>
      </c>
      <c r="C16183" s="11" t="s">
        <v>22070</v>
      </c>
      <c r="D16183" s="11" t="s">
        <v>22127</v>
      </c>
      <c r="E16183" s="10">
        <v>515027</v>
      </c>
      <c r="F16183" s="4" t="str">
        <f>IF(B16183=B16182,"",B16183)</f>
        <v/>
      </c>
    </row>
    <row r="16184" spans="1:6" ht="15.75" customHeight="1">
      <c r="A16184" s="16" t="s">
        <v>22893</v>
      </c>
      <c r="B16184" s="15" t="s">
        <v>22893</v>
      </c>
      <c r="C16184" s="16" t="s">
        <v>22070</v>
      </c>
      <c r="D16184" s="16" t="s">
        <v>22127</v>
      </c>
      <c r="E16184" s="2">
        <v>6418220</v>
      </c>
      <c r="F16184" s="4" t="str">
        <f>IF(B16184=B16183,"",B16184)</f>
        <v>Orekhovo-Borisovo</v>
      </c>
    </row>
    <row r="16185" spans="1:6" ht="15.75" customHeight="1">
      <c r="A16185" s="8" t="str">
        <f ca="1">IFERROR(__xludf.DUMMYFUNCTION("GOOGLETRANSLATE(B40971,""en"",""pt"")"),"Orekhovo-Borisovo")</f>
        <v>Orekhovo-Borisovo</v>
      </c>
      <c r="B16185" s="9" t="s">
        <v>22893</v>
      </c>
      <c r="C16185" s="9" t="s">
        <v>22070</v>
      </c>
      <c r="D16185" s="9" t="s">
        <v>22127</v>
      </c>
      <c r="E16185" s="10">
        <v>6418220</v>
      </c>
      <c r="F16185" s="4" t="str">
        <f>IF(B16185=B16184,"",B16185)</f>
        <v/>
      </c>
    </row>
    <row r="16186" spans="1:6" ht="15.75" customHeight="1">
      <c r="A16186" s="16" t="s">
        <v>29566</v>
      </c>
      <c r="B16186" s="15" t="s">
        <v>29567</v>
      </c>
      <c r="C16186" s="16" t="s">
        <v>27788</v>
      </c>
      <c r="D16186" s="16" t="s">
        <v>27820</v>
      </c>
      <c r="E16186" s="2">
        <v>5744253</v>
      </c>
      <c r="F16186" s="4" t="str">
        <f>IF(B16186=B16185,"",B16186)</f>
        <v>Oregon City</v>
      </c>
    </row>
    <row r="16187" spans="1:6" ht="15.75" customHeight="1">
      <c r="A16187" s="8" t="str">
        <f ca="1">IFERROR(__xludf.DUMMYFUNCTION("GOOGLETRANSLATE(B45252,""en"",""pt"")"),"Cidade do Oregon")</f>
        <v>Cidade do Oregon</v>
      </c>
      <c r="B16187" s="9" t="s">
        <v>29567</v>
      </c>
      <c r="C16187" s="9" t="s">
        <v>27788</v>
      </c>
      <c r="D16187" s="9" t="s">
        <v>27820</v>
      </c>
      <c r="E16187" s="10">
        <v>5744253</v>
      </c>
      <c r="F16187" s="4" t="str">
        <f>IF(B16187=B16186,"",B16187)</f>
        <v/>
      </c>
    </row>
    <row r="16188" spans="1:6" ht="15.75" customHeight="1">
      <c r="A16188" s="15" t="s">
        <v>27820</v>
      </c>
      <c r="B16188" s="15" t="s">
        <v>27820</v>
      </c>
      <c r="C16188" s="15" t="s">
        <v>27788</v>
      </c>
      <c r="D16188" s="15" t="s">
        <v>27813</v>
      </c>
      <c r="E16188" s="2">
        <v>5165734</v>
      </c>
      <c r="F16188" s="4" t="str">
        <f>IF(B16188=B16187,"",B16188)</f>
        <v>Oregon</v>
      </c>
    </row>
    <row r="16189" spans="1:6" ht="15.75" customHeight="1">
      <c r="A16189" s="8" t="str">
        <f ca="1">IFERROR(__xludf.DUMMYFUNCTION("GOOGLETRANSLATE(B44531,""en"",""pt"")"),"Oregon")</f>
        <v>Oregon</v>
      </c>
      <c r="B16189" s="9" t="s">
        <v>27820</v>
      </c>
      <c r="C16189" s="9" t="s">
        <v>27788</v>
      </c>
      <c r="D16189" s="9" t="s">
        <v>27813</v>
      </c>
      <c r="E16189" s="10">
        <v>5165734</v>
      </c>
      <c r="F16189" s="4" t="str">
        <f>IF(B16189=B16188,"",B16189)</f>
        <v/>
      </c>
    </row>
    <row r="16190" spans="1:6" ht="15.75" customHeight="1">
      <c r="A16190" s="8" t="str">
        <f ca="1">IFERROR(__xludf.DUMMYFUNCTION("GOOGLETRANSLATE(B41155,""en"",""pt"")"),"Örebro")</f>
        <v>Örebro</v>
      </c>
      <c r="B16190" s="11" t="s">
        <v>35640</v>
      </c>
      <c r="C16190" s="11" t="s">
        <v>25077</v>
      </c>
      <c r="D16190" s="11" t="s">
        <v>35640</v>
      </c>
      <c r="E16190" s="10">
        <v>2686657</v>
      </c>
      <c r="F16190" s="4" t="str">
        <f>IF(B16190=B16189,"",B16190)</f>
        <v>Örebro</v>
      </c>
    </row>
    <row r="16191" spans="1:6" ht="15.75" customHeight="1">
      <c r="A16191" s="16" t="s">
        <v>22892</v>
      </c>
      <c r="B16191" s="15" t="s">
        <v>22892</v>
      </c>
      <c r="C16191" s="16" t="s">
        <v>22070</v>
      </c>
      <c r="D16191" s="16" t="s">
        <v>22360</v>
      </c>
      <c r="E16191" s="2">
        <v>515083</v>
      </c>
      <c r="F16191" s="4" t="str">
        <f>IF(B16191=B16190,"",B16191)</f>
        <v>Ordzhonikidzevskaya</v>
      </c>
    </row>
    <row r="16192" spans="1:6" ht="15.75" customHeight="1">
      <c r="A16192" s="8" t="str">
        <f ca="1">IFERROR(__xludf.DUMMYFUNCTION("GOOGLETRANSLATE(B40233,""en"",""pt"")"),"Ordzhonikidzevskaya")</f>
        <v>Ordzhonikidzevskaya</v>
      </c>
      <c r="B16192" s="11" t="s">
        <v>22892</v>
      </c>
      <c r="C16192" s="11" t="s">
        <v>22070</v>
      </c>
      <c r="D16192" s="11" t="s">
        <v>22360</v>
      </c>
      <c r="E16192" s="10">
        <v>515083</v>
      </c>
      <c r="F16192" s="4" t="str">
        <f>IF(B16192=B16191,"",B16192)</f>
        <v/>
      </c>
    </row>
    <row r="16193" spans="1:6" ht="15.75" customHeight="1">
      <c r="A16193" s="15" t="s">
        <v>26656</v>
      </c>
      <c r="B16193" s="15" t="s">
        <v>26321</v>
      </c>
      <c r="C16193" s="15" t="s">
        <v>26201</v>
      </c>
      <c r="D16193" s="15" t="s">
        <v>26321</v>
      </c>
      <c r="E16193" s="2">
        <v>741100</v>
      </c>
      <c r="F16193" s="4" t="str">
        <f>IF(B16193=B16192,"",B16193)</f>
        <v>Ordu</v>
      </c>
    </row>
    <row r="16194" spans="1:6" ht="15.75" customHeight="1">
      <c r="A16194" s="8" t="str">
        <f ca="1">IFERROR(__xludf.DUMMYFUNCTION("GOOGLETRANSLATE(B42128,""en"",""pt"")"),"ORDU")</f>
        <v>ORDU</v>
      </c>
      <c r="B16194" s="9" t="s">
        <v>26321</v>
      </c>
      <c r="C16194" s="9" t="s">
        <v>26201</v>
      </c>
      <c r="D16194" s="9" t="s">
        <v>26321</v>
      </c>
      <c r="E16194" s="10">
        <v>741100</v>
      </c>
      <c r="F16194" s="4" t="str">
        <f>IF(B16194=B16193,"",B16194)</f>
        <v/>
      </c>
    </row>
    <row r="16195" spans="1:6" ht="15.75" customHeight="1">
      <c r="A16195" s="15" t="s">
        <v>4986</v>
      </c>
      <c r="B16195" s="15" t="s">
        <v>4986</v>
      </c>
      <c r="C16195" s="15" t="s">
        <v>4487</v>
      </c>
      <c r="D16195" s="15" t="s">
        <v>4533</v>
      </c>
      <c r="E16195" s="2">
        <v>8347664</v>
      </c>
      <c r="F16195" s="4" t="str">
        <f>IF(B16195=B16194,"",B16195)</f>
        <v>Ordos</v>
      </c>
    </row>
    <row r="16196" spans="1:6" ht="15.75" customHeight="1">
      <c r="A16196" s="8" t="str">
        <f ca="1">IFERROR(__xludf.DUMMYFUNCTION("GOOGLETRANSLATE(B26840,""en"",""pt"")"),"Ordos")</f>
        <v>Ordos</v>
      </c>
      <c r="B16196" s="11" t="s">
        <v>4986</v>
      </c>
      <c r="C16196" s="11" t="s">
        <v>4487</v>
      </c>
      <c r="D16196" s="11" t="s">
        <v>4533</v>
      </c>
      <c r="E16196" s="10">
        <v>8347664</v>
      </c>
      <c r="F16196" s="4" t="str">
        <f>IF(B16196=B16195,"",B16196)</f>
        <v/>
      </c>
    </row>
    <row r="16197" spans="1:6" ht="15.75" customHeight="1">
      <c r="A16197" s="15" t="s">
        <v>29565</v>
      </c>
      <c r="B16197" s="15" t="s">
        <v>29565</v>
      </c>
      <c r="C16197" s="15" t="s">
        <v>27788</v>
      </c>
      <c r="D16197" s="15" t="s">
        <v>27801</v>
      </c>
      <c r="E16197" s="2">
        <v>5379609</v>
      </c>
      <c r="F16197" s="4" t="str">
        <f>IF(B16197=B16196,"",B16197)</f>
        <v>Orcutt</v>
      </c>
    </row>
    <row r="16198" spans="1:6" ht="15.75" customHeight="1">
      <c r="A16198" s="8" t="str">
        <f ca="1">IFERROR(__xludf.DUMMYFUNCTION("GOOGLETRANSLATE(B44942,""en"",""pt"")"),"Orcutt")</f>
        <v>Orcutt</v>
      </c>
      <c r="B16198" s="11" t="s">
        <v>29565</v>
      </c>
      <c r="C16198" s="11" t="s">
        <v>27788</v>
      </c>
      <c r="D16198" s="11" t="s">
        <v>27801</v>
      </c>
      <c r="E16198" s="10">
        <v>5379609</v>
      </c>
      <c r="F16198" s="4" t="str">
        <f>IF(B16198=B16197,"",B16198)</f>
        <v/>
      </c>
    </row>
    <row r="16199" spans="1:6" ht="15.75" customHeight="1">
      <c r="A16199" s="15" t="s">
        <v>29563</v>
      </c>
      <c r="B16199" s="15" t="s">
        <v>29564</v>
      </c>
      <c r="C16199" s="15" t="s">
        <v>27788</v>
      </c>
      <c r="D16199" s="15" t="s">
        <v>27733</v>
      </c>
      <c r="E16199" s="2">
        <v>5805815</v>
      </c>
      <c r="F16199" s="4" t="str">
        <f>IF(B16199=B16198,"",B16199)</f>
        <v>Orchards</v>
      </c>
    </row>
    <row r="16200" spans="1:6" ht="15.75" customHeight="1">
      <c r="A16200" s="8" t="str">
        <f ca="1">IFERROR(__xludf.DUMMYFUNCTION("GOOGLETRANSLATE(B45362,""en"",""pt"")"),"Pomares")</f>
        <v>Pomares</v>
      </c>
      <c r="B16200" s="11" t="s">
        <v>29564</v>
      </c>
      <c r="C16200" s="11" t="s">
        <v>27788</v>
      </c>
      <c r="D16200" s="11" t="s">
        <v>27733</v>
      </c>
      <c r="E16200" s="10">
        <v>5805815</v>
      </c>
      <c r="F16200" s="4" t="str">
        <f>IF(B16200=B16199,"",B16200)</f>
        <v/>
      </c>
    </row>
    <row r="16201" spans="1:6" ht="15.75" customHeight="1">
      <c r="A16201" s="16" t="s">
        <v>15327</v>
      </c>
      <c r="B16201" s="15" t="s">
        <v>15327</v>
      </c>
      <c r="C16201" s="16" t="s">
        <v>14891</v>
      </c>
      <c r="D16201" s="16" t="s">
        <v>14911</v>
      </c>
      <c r="E16201" s="2">
        <v>3171986</v>
      </c>
      <c r="F16201" s="4" t="str">
        <f>IF(B16201=B16200,"",B16201)</f>
        <v>Orbassano</v>
      </c>
    </row>
    <row r="16202" spans="1:6" ht="15.75" customHeight="1">
      <c r="A16202" s="8" t="str">
        <f ca="1">IFERROR(__xludf.DUMMYFUNCTION("GOOGLETRANSLATE(B34792,""en"",""pt"")"),"Orbassano")</f>
        <v>Orbassano</v>
      </c>
      <c r="B16202" s="9" t="s">
        <v>15327</v>
      </c>
      <c r="C16202" s="9" t="s">
        <v>14891</v>
      </c>
      <c r="D16202" s="9" t="s">
        <v>14911</v>
      </c>
      <c r="E16202" s="10">
        <v>3171986</v>
      </c>
      <c r="F16202" s="4" t="str">
        <f>IF(B16202=B16201,"",B16202)</f>
        <v/>
      </c>
    </row>
    <row r="16203" spans="1:6" ht="15.75" customHeight="1">
      <c r="A16203" s="8" t="str">
        <f ca="1">IFERROR(__xludf.DUMMYFUNCTION("GOOGLETRANSLATE(B39767,""en"",""pt"")"),"Ou ou")</f>
        <v>Ou ou</v>
      </c>
      <c r="B16203" s="9" t="s">
        <v>35369</v>
      </c>
      <c r="C16203" s="9" t="s">
        <v>21824</v>
      </c>
      <c r="D16203" s="9" t="s">
        <v>21865</v>
      </c>
      <c r="E16203" s="10">
        <v>671757</v>
      </c>
      <c r="F16203" s="4" t="str">
        <f>IF(B16203=B16202,"",B16203)</f>
        <v>Orăştie</v>
      </c>
    </row>
    <row r="16204" spans="1:6" ht="15.75" customHeight="1">
      <c r="A16204" s="16" t="s">
        <v>883</v>
      </c>
      <c r="B16204" s="15" t="s">
        <v>883</v>
      </c>
      <c r="C16204" s="16" t="s">
        <v>881</v>
      </c>
      <c r="D16204" s="16" t="s">
        <v>551</v>
      </c>
      <c r="E16204" s="2">
        <v>3577154</v>
      </c>
      <c r="F16204" s="4" t="str">
        <f>IF(B16204=B16203,"",B16204)</f>
        <v>Oranjestad</v>
      </c>
    </row>
    <row r="16205" spans="1:6" ht="15.75" customHeight="1">
      <c r="A16205" s="8" t="str">
        <f ca="1">IFERROR(__xludf.DUMMYFUNCTION("GOOGLETRANSLATE(B23611,""en"",""pt"")"),"Oranjestad")</f>
        <v>Oranjestad</v>
      </c>
      <c r="B16205" s="9" t="s">
        <v>883</v>
      </c>
      <c r="C16205" s="9" t="s">
        <v>881</v>
      </c>
      <c r="D16205" s="9" t="s">
        <v>551</v>
      </c>
      <c r="E16205" s="10">
        <v>3577154</v>
      </c>
      <c r="F16205" s="4" t="str">
        <f>IF(B16205=B16204,"",B16205)</f>
        <v/>
      </c>
    </row>
    <row r="16206" spans="1:6" ht="15.75" customHeight="1">
      <c r="A16206" s="16" t="s">
        <v>8968</v>
      </c>
      <c r="B16206" s="15" t="s">
        <v>8968</v>
      </c>
      <c r="C16206" s="16" t="s">
        <v>8028</v>
      </c>
      <c r="D16206" s="16" t="s">
        <v>8070</v>
      </c>
      <c r="E16206" s="2">
        <v>2857129</v>
      </c>
      <c r="F16206" s="4" t="str">
        <f>IF(B16206=B16205,"",B16206)</f>
        <v>Oranienburg</v>
      </c>
    </row>
    <row r="16207" spans="1:6" ht="15.75" customHeight="1">
      <c r="A16207" s="8" t="str">
        <f ca="1">IFERROR(__xludf.DUMMYFUNCTION("GOOGLETRANSLATE(B27668,""en"",""pt"")"),"Oranienburg")</f>
        <v>Oranienburg</v>
      </c>
      <c r="B16207" s="9" t="s">
        <v>8968</v>
      </c>
      <c r="C16207" s="9" t="s">
        <v>8028</v>
      </c>
      <c r="D16207" s="9" t="s">
        <v>8070</v>
      </c>
      <c r="E16207" s="10">
        <v>2857129</v>
      </c>
      <c r="F16207" s="4" t="str">
        <f>IF(B16207=B16206,"",B16207)</f>
        <v/>
      </c>
    </row>
    <row r="16208" spans="1:6" ht="15.75" customHeight="1">
      <c r="A16208" s="15" t="s">
        <v>20927</v>
      </c>
      <c r="B16208" s="15" t="s">
        <v>20927</v>
      </c>
      <c r="C16208" s="15" t="s">
        <v>20598</v>
      </c>
      <c r="D16208" s="15" t="s">
        <v>20599</v>
      </c>
      <c r="E16208" s="2">
        <v>1697046</v>
      </c>
      <c r="F16208" s="4" t="str">
        <f>IF(B16208=B16207,"",B16208)</f>
        <v>Orani</v>
      </c>
    </row>
    <row r="16209" spans="1:6" ht="15.75" customHeight="1">
      <c r="A16209" s="8" t="str">
        <f ca="1">IFERROR(__xludf.DUMMYFUNCTION("GOOGLETRANSLATE(B38580,""en"",""pt"")"),"Orani")</f>
        <v>Orani</v>
      </c>
      <c r="B16209" s="9" t="s">
        <v>20927</v>
      </c>
      <c r="C16209" s="9" t="s">
        <v>20598</v>
      </c>
      <c r="D16209" s="9" t="s">
        <v>20599</v>
      </c>
      <c r="E16209" s="10">
        <v>1697046</v>
      </c>
      <c r="F16209" s="4" t="str">
        <f>IF(B16209=B16208,"",B16209)</f>
        <v/>
      </c>
    </row>
    <row r="16210" spans="1:6" ht="15.75" customHeight="1">
      <c r="A16210" s="16" t="s">
        <v>4131</v>
      </c>
      <c r="B16210" s="15" t="s">
        <v>4131</v>
      </c>
      <c r="C16210" s="16" t="s">
        <v>3975</v>
      </c>
      <c r="D16210" s="16" t="s">
        <v>3980</v>
      </c>
      <c r="E16210" s="2">
        <v>6094201</v>
      </c>
      <c r="F16210" s="4" t="str">
        <f>IF(B16210=B16209,"",B16210)</f>
        <v>Orangeville</v>
      </c>
    </row>
    <row r="16211" spans="1:6" ht="15.75" customHeight="1">
      <c r="A16211" s="8" t="str">
        <f ca="1">IFERROR(__xludf.DUMMYFUNCTION("GOOGLETRANSLATE(B25535,""en"",""pt"")"),"Orangeville")</f>
        <v>Orangeville</v>
      </c>
      <c r="B16211" s="9" t="s">
        <v>4131</v>
      </c>
      <c r="C16211" s="9" t="s">
        <v>3975</v>
      </c>
      <c r="D16211" s="9" t="s">
        <v>3980</v>
      </c>
      <c r="E16211" s="10">
        <v>6094201</v>
      </c>
      <c r="F16211" s="4" t="str">
        <f>IF(B16211=B16210,"",B16211)</f>
        <v/>
      </c>
    </row>
    <row r="16212" spans="1:6" ht="15.75" customHeight="1">
      <c r="A16212" s="16" t="s">
        <v>29562</v>
      </c>
      <c r="B16212" s="15" t="s">
        <v>29562</v>
      </c>
      <c r="C16212" s="16" t="s">
        <v>27788</v>
      </c>
      <c r="D16212" s="16" t="s">
        <v>27801</v>
      </c>
      <c r="E16212" s="2">
        <v>5379566</v>
      </c>
      <c r="F16212" s="4" t="str">
        <f>IF(B16212=B16211,"",B16212)</f>
        <v>Orangevale</v>
      </c>
    </row>
    <row r="16213" spans="1:6" ht="15.75" customHeight="1">
      <c r="A16213" s="8" t="str">
        <f ca="1">IFERROR(__xludf.DUMMYFUNCTION("GOOGLETRANSLATE(B44941,""en"",""pt"")"),"Orangevale")</f>
        <v>Orangevale</v>
      </c>
      <c r="B16213" s="9" t="s">
        <v>29562</v>
      </c>
      <c r="C16213" s="9" t="s">
        <v>27788</v>
      </c>
      <c r="D16213" s="9" t="s">
        <v>27801</v>
      </c>
      <c r="E16213" s="10">
        <v>5379566</v>
      </c>
      <c r="F16213" s="4" t="str">
        <f>IF(B16213=B16212,"",B16213)</f>
        <v/>
      </c>
    </row>
    <row r="16214" spans="1:6" ht="15.75" customHeight="1">
      <c r="A16214" s="16" t="s">
        <v>1737</v>
      </c>
      <c r="B16214" s="15" t="s">
        <v>1738</v>
      </c>
      <c r="C16214" s="16" t="s">
        <v>1734</v>
      </c>
      <c r="D16214" s="16" t="s">
        <v>1738</v>
      </c>
      <c r="E16214" s="2">
        <v>3581514</v>
      </c>
      <c r="F16214" s="4" t="str">
        <f>IF(B16214=B16213,"",B16214)</f>
        <v>Orange Walk</v>
      </c>
    </row>
    <row r="16215" spans="1:6" ht="15.75" customHeight="1">
      <c r="A16215" s="8" t="str">
        <f ca="1">IFERROR(__xludf.DUMMYFUNCTION("GOOGLETRANSLATE(B25419,""en"",""pt"")"),"Caminhada de laranja")</f>
        <v>Caminhada de laranja</v>
      </c>
      <c r="B16215" s="9" t="s">
        <v>1738</v>
      </c>
      <c r="C16215" s="9" t="s">
        <v>1734</v>
      </c>
      <c r="D16215" s="9" t="s">
        <v>1738</v>
      </c>
      <c r="E16215" s="10">
        <v>3581514</v>
      </c>
      <c r="F16215" s="4" t="str">
        <f>IF(B16215=B16214,"",B16215)</f>
        <v/>
      </c>
    </row>
    <row r="16216" spans="1:6" ht="15.75" customHeight="1">
      <c r="A16216" s="15" t="s">
        <v>1052</v>
      </c>
      <c r="B16216" s="15" t="s">
        <v>1053</v>
      </c>
      <c r="C16216" s="15" t="s">
        <v>885</v>
      </c>
      <c r="D16216" s="15" t="s">
        <v>891</v>
      </c>
      <c r="E16216" s="2">
        <v>2154219</v>
      </c>
      <c r="F16216" s="4" t="str">
        <f>IF(B16216=B16215,"",B16216)</f>
        <v>Orange</v>
      </c>
    </row>
    <row r="16217" spans="1:6" ht="15.75" customHeight="1">
      <c r="A16217" s="15" t="s">
        <v>1052</v>
      </c>
      <c r="B16217" s="15" t="s">
        <v>1053</v>
      </c>
      <c r="C16217" s="15" t="s">
        <v>7052</v>
      </c>
      <c r="D16217" s="15" t="s">
        <v>7087</v>
      </c>
      <c r="E16217" s="2">
        <v>2989460</v>
      </c>
      <c r="F16217" s="4" t="str">
        <f>IF(B16217=B16216,"",B16217)</f>
        <v/>
      </c>
    </row>
    <row r="16218" spans="1:6" ht="15.75" customHeight="1">
      <c r="A16218" s="15" t="s">
        <v>1052</v>
      </c>
      <c r="B16218" s="15" t="s">
        <v>1053</v>
      </c>
      <c r="C16218" s="15" t="s">
        <v>27788</v>
      </c>
      <c r="D16218" s="15" t="s">
        <v>27905</v>
      </c>
      <c r="E16218" s="2">
        <v>5102213</v>
      </c>
      <c r="F16218" s="4" t="str">
        <f>IF(B16218=B16217,"",B16218)</f>
        <v/>
      </c>
    </row>
    <row r="16219" spans="1:6" ht="15.75" customHeight="1">
      <c r="A16219" s="15" t="s">
        <v>1052</v>
      </c>
      <c r="B16219" s="15" t="s">
        <v>1053</v>
      </c>
      <c r="C16219" s="15" t="s">
        <v>27788</v>
      </c>
      <c r="D16219" s="15" t="s">
        <v>27801</v>
      </c>
      <c r="E16219" s="2">
        <v>5379513</v>
      </c>
      <c r="F16219" s="4" t="str">
        <f>IF(B16219=B16218,"",B16219)</f>
        <v/>
      </c>
    </row>
    <row r="16220" spans="1:6" ht="15.75" customHeight="1">
      <c r="A16220" s="8" t="str">
        <f ca="1">IFERROR(__xludf.DUMMYFUNCTION("GOOGLETRANSLATE(B23466,""en"",""pt"")"),"Laranja")</f>
        <v>Laranja</v>
      </c>
      <c r="B16220" s="11" t="s">
        <v>1053</v>
      </c>
      <c r="C16220" s="11" t="s">
        <v>885</v>
      </c>
      <c r="D16220" s="11" t="s">
        <v>891</v>
      </c>
      <c r="E16220" s="10">
        <v>2154219</v>
      </c>
      <c r="F16220" s="4" t="str">
        <f>IF(B16220=B16219,"",B16220)</f>
        <v/>
      </c>
    </row>
    <row r="16221" spans="1:6" ht="15.75" customHeight="1">
      <c r="A16221" s="8" t="str">
        <f ca="1">IFERROR(__xludf.DUMMYFUNCTION("GOOGLETRANSLATE(B29870,""en"",""pt"")"),"Laranja")</f>
        <v>Laranja</v>
      </c>
      <c r="B16221" s="9" t="s">
        <v>1053</v>
      </c>
      <c r="C16221" s="9" t="s">
        <v>7052</v>
      </c>
      <c r="D16221" s="9" t="s">
        <v>32534</v>
      </c>
      <c r="E16221" s="10">
        <v>2989460</v>
      </c>
      <c r="F16221" s="4" t="str">
        <f>IF(B16221=B16220,"",B16221)</f>
        <v/>
      </c>
    </row>
    <row r="16222" spans="1:6" ht="15.75" customHeight="1">
      <c r="A16222" s="8" t="str">
        <f ca="1">IFERROR(__xludf.DUMMYFUNCTION("GOOGLETRANSLATE(B44293,""en"",""pt"")"),"Laranja")</f>
        <v>Laranja</v>
      </c>
      <c r="B16222" s="11" t="s">
        <v>1053</v>
      </c>
      <c r="C16222" s="11" t="s">
        <v>27788</v>
      </c>
      <c r="D16222" s="11" t="s">
        <v>27905</v>
      </c>
      <c r="E16222" s="10">
        <v>5102213</v>
      </c>
      <c r="F16222" s="4" t="str">
        <f>IF(B16222=B16221,"",B16222)</f>
        <v/>
      </c>
    </row>
    <row r="16223" spans="1:6" ht="15.75" customHeight="1">
      <c r="A16223" s="8" t="str">
        <f ca="1">IFERROR(__xludf.DUMMYFUNCTION("GOOGLETRANSLATE(B44940,""en"",""pt"")"),"Laranja")</f>
        <v>Laranja</v>
      </c>
      <c r="B16223" s="9" t="s">
        <v>1053</v>
      </c>
      <c r="C16223" s="9" t="s">
        <v>27788</v>
      </c>
      <c r="D16223" s="9" t="s">
        <v>27801</v>
      </c>
      <c r="E16223" s="10">
        <v>5379513</v>
      </c>
      <c r="F16223" s="4" t="str">
        <f>IF(B16223=B16222,"",B16223)</f>
        <v/>
      </c>
    </row>
    <row r="16224" spans="1:6" ht="15.75" customHeight="1">
      <c r="A16224" s="15" t="s">
        <v>177</v>
      </c>
      <c r="B16224" s="15" t="s">
        <v>177</v>
      </c>
      <c r="C16224" s="15" t="s">
        <v>153</v>
      </c>
      <c r="D16224" s="15" t="s">
        <v>177</v>
      </c>
      <c r="E16224" s="2">
        <v>2485926</v>
      </c>
      <c r="F16224" s="4" t="str">
        <f>IF(B16224=B16223,"",B16224)</f>
        <v>Oran</v>
      </c>
    </row>
    <row r="16225" spans="1:6" ht="15.75" customHeight="1">
      <c r="A16225" s="8" t="str">
        <f ca="1">IFERROR(__xludf.DUMMYFUNCTION("GOOGLETRANSLATE(B28571,""en"",""pt"")"),"Oran")</f>
        <v>Oran</v>
      </c>
      <c r="B16225" s="9" t="s">
        <v>177</v>
      </c>
      <c r="C16225" s="9" t="s">
        <v>153</v>
      </c>
      <c r="D16225" s="9" t="s">
        <v>177</v>
      </c>
      <c r="E16225" s="10">
        <v>2485926</v>
      </c>
      <c r="F16225" s="4" t="str">
        <f>IF(B16225=B16224,"",B16225)</f>
        <v/>
      </c>
    </row>
    <row r="16226" spans="1:6" ht="15.75" customHeight="1">
      <c r="A16226" s="15" t="s">
        <v>16730</v>
      </c>
      <c r="B16226" s="15" t="s">
        <v>16730</v>
      </c>
      <c r="C16226" s="15" t="s">
        <v>16671</v>
      </c>
      <c r="D16226" s="15" t="s">
        <v>16684</v>
      </c>
      <c r="E16226" s="2">
        <v>608668</v>
      </c>
      <c r="F16226" s="4" t="str">
        <f>IF(B16226=B16225,"",B16226)</f>
        <v>Oral</v>
      </c>
    </row>
    <row r="16227" spans="1:6" ht="15.75" customHeight="1">
      <c r="A16227" s="8" t="str">
        <f ca="1">IFERROR(__xludf.DUMMYFUNCTION("GOOGLETRANSLATE(B36187,""en"",""pt"")"),"Oral")</f>
        <v>Oral</v>
      </c>
      <c r="B16227" s="9" t="s">
        <v>16730</v>
      </c>
      <c r="C16227" s="9" t="s">
        <v>16671</v>
      </c>
      <c r="D16227" s="9" t="s">
        <v>16684</v>
      </c>
      <c r="E16227" s="10">
        <v>608668</v>
      </c>
      <c r="F16227" s="4" t="str">
        <f>IF(B16227=B16226,"",B16227)</f>
        <v/>
      </c>
    </row>
    <row r="16228" spans="1:6" ht="15.75" customHeight="1">
      <c r="A16228" s="8" t="str">
        <f ca="1">IFERROR(__xludf.DUMMYFUNCTION("GOOGLETRANSLATE(B31040,""en"",""pt"")"),"Oraiókastro")</f>
        <v>Oraiókastro</v>
      </c>
      <c r="B16228" s="11" t="s">
        <v>32746</v>
      </c>
      <c r="C16228" s="11" t="s">
        <v>9441</v>
      </c>
      <c r="D16228" s="11" t="s">
        <v>9442</v>
      </c>
      <c r="E16228" s="10">
        <v>734883</v>
      </c>
      <c r="F16228" s="4" t="str">
        <f>IF(B16228=B16227,"",B16228)</f>
        <v>Oraiókastro</v>
      </c>
    </row>
    <row r="16229" spans="1:6" ht="15.75" customHeight="1">
      <c r="A16229" s="16" t="s">
        <v>9599</v>
      </c>
      <c r="B16229" s="15" t="s">
        <v>9600</v>
      </c>
      <c r="C16229" s="16" t="s">
        <v>9441</v>
      </c>
      <c r="D16229" s="16" t="s">
        <v>9442</v>
      </c>
      <c r="E16229" s="2">
        <v>734883</v>
      </c>
      <c r="F16229" s="4" t="str">
        <f>IF(B16229=B16228,"",B16229)</f>
        <v>OraiÃ³kastro</v>
      </c>
    </row>
    <row r="16230" spans="1:6" ht="15.75" customHeight="1">
      <c r="A16230" s="15" t="s">
        <v>12685</v>
      </c>
      <c r="B16230" s="15" t="s">
        <v>12685</v>
      </c>
      <c r="C16230" s="15" t="s">
        <v>10178</v>
      </c>
      <c r="D16230" s="15" t="s">
        <v>10193</v>
      </c>
      <c r="E16230" s="2">
        <v>1261039</v>
      </c>
      <c r="F16230" s="4" t="str">
        <f>IF(B16230=B16229,"",B16230)</f>
        <v>Orai</v>
      </c>
    </row>
    <row r="16231" spans="1:6" ht="15.75" customHeight="1">
      <c r="A16231" s="8" t="str">
        <f ca="1">IFERROR(__xludf.DUMMYFUNCTION("GOOGLETRANSLATE(B32581,""en"",""pt"")"),"Orai")</f>
        <v>Orai</v>
      </c>
      <c r="B16231" s="11" t="s">
        <v>12685</v>
      </c>
      <c r="C16231" s="11" t="s">
        <v>10178</v>
      </c>
      <c r="D16231" s="11" t="s">
        <v>10193</v>
      </c>
      <c r="E16231" s="10">
        <v>1261039</v>
      </c>
      <c r="F16231" s="4" t="str">
        <f>IF(B16231=B16230,"",B16231)</f>
        <v/>
      </c>
    </row>
    <row r="16232" spans="1:6" ht="15.75" customHeight="1">
      <c r="A16232" s="16" t="s">
        <v>16871</v>
      </c>
      <c r="B16232" s="15" t="s">
        <v>16872</v>
      </c>
      <c r="C16232" s="16" t="s">
        <v>16852</v>
      </c>
      <c r="D16232" s="16" t="s">
        <v>16853</v>
      </c>
      <c r="E16232" s="2">
        <v>787456</v>
      </c>
      <c r="F16232" s="4" t="str">
        <f>IF(B16232=B16231,"",B16232)</f>
        <v>Orahovac</v>
      </c>
    </row>
    <row r="16233" spans="1:6" ht="15.75" customHeight="1">
      <c r="A16233" s="8" t="str">
        <f ca="1">IFERROR(__xludf.DUMMYFUNCTION("GOOGLETRANSLATE(B45805,""en"",""pt"")"),"ORAHOVAC")</f>
        <v>ORAHOVAC</v>
      </c>
      <c r="B16233" s="11" t="s">
        <v>16872</v>
      </c>
      <c r="C16233" s="11" t="s">
        <v>16852</v>
      </c>
      <c r="D16233" s="11" t="s">
        <v>16853</v>
      </c>
      <c r="E16233" s="10">
        <v>787456</v>
      </c>
      <c r="F16233" s="4" t="str">
        <f>IF(B16233=B16232,"",B16233)</f>
        <v/>
      </c>
    </row>
    <row r="16234" spans="1:6" ht="15.75" customHeight="1">
      <c r="A16234" s="15" t="s">
        <v>21978</v>
      </c>
      <c r="B16234" s="15" t="s">
        <v>21979</v>
      </c>
      <c r="C16234" s="15" t="s">
        <v>21824</v>
      </c>
      <c r="D16234" s="15" t="s">
        <v>21865</v>
      </c>
      <c r="E16234" s="2">
        <v>671757</v>
      </c>
      <c r="F16234" s="4" t="str">
        <f>IF(B16234=B16233,"",B16234)</f>
        <v>OrÄƒÅŸtie</v>
      </c>
    </row>
    <row r="16235" spans="1:6" ht="15.75" customHeight="1">
      <c r="A16235" s="15" t="s">
        <v>21976</v>
      </c>
      <c r="B16235" s="15" t="s">
        <v>21976</v>
      </c>
      <c r="C16235" s="15" t="s">
        <v>21824</v>
      </c>
      <c r="D16235" s="15" t="s">
        <v>21977</v>
      </c>
      <c r="E16235" s="2">
        <v>671768</v>
      </c>
      <c r="F16235" s="4" t="str">
        <f>IF(B16235=B16234,"",B16235)</f>
        <v>Oradea</v>
      </c>
    </row>
    <row r="16236" spans="1:6" ht="15.75" customHeight="1">
      <c r="A16236" s="8" t="str">
        <f ca="1">IFERROR(__xludf.DUMMYFUNCTION("GOOGLETRANSLATE(B39768,""en"",""pt"")"),"Oradea")</f>
        <v>Oradea</v>
      </c>
      <c r="B16236" s="9" t="s">
        <v>21976</v>
      </c>
      <c r="C16236" s="9" t="s">
        <v>21824</v>
      </c>
      <c r="D16236" s="9" t="s">
        <v>21977</v>
      </c>
      <c r="E16236" s="10">
        <v>671768</v>
      </c>
      <c r="F16236" s="4" t="str">
        <f>IF(B16236=B16235,"",B16236)</f>
        <v/>
      </c>
    </row>
    <row r="16237" spans="1:6" ht="15.75" customHeight="1">
      <c r="A16237" s="15" t="s">
        <v>2987</v>
      </c>
      <c r="B16237" s="15" t="s">
        <v>2988</v>
      </c>
      <c r="C16237" s="15" t="s">
        <v>1905</v>
      </c>
      <c r="D16237" s="15" t="s">
        <v>1930</v>
      </c>
      <c r="E16237" s="2">
        <v>3393465</v>
      </c>
      <c r="F16237" s="4" t="str">
        <f>IF(B16237=B16236,"",B16237)</f>
        <v>OrÃ³s</v>
      </c>
    </row>
    <row r="16238" spans="1:6" ht="15.75" customHeight="1">
      <c r="A16238" s="16" t="s">
        <v>14483</v>
      </c>
      <c r="B16238" s="15" t="s">
        <v>14484</v>
      </c>
      <c r="C16238" s="16" t="s">
        <v>14240</v>
      </c>
      <c r="D16238" s="16" t="s">
        <v>14302</v>
      </c>
      <c r="E16238" s="2">
        <v>121801</v>
      </c>
      <c r="F16238" s="4" t="str">
        <f>IF(B16238=B16237,"",B16238)</f>
        <v>OrÅ«mÄ«yeh</v>
      </c>
    </row>
    <row r="16239" spans="1:6" ht="15.75" customHeight="1">
      <c r="A16239" s="15" t="s">
        <v>16730</v>
      </c>
      <c r="B16239" s="15" t="s">
        <v>22891</v>
      </c>
      <c r="C16239" s="15" t="s">
        <v>22070</v>
      </c>
      <c r="D16239" s="15" t="s">
        <v>22688</v>
      </c>
      <c r="E16239" s="2">
        <v>515012</v>
      </c>
      <c r="F16239" s="4" t="str">
        <f>IF(B16239=B16238,"",B16239)</f>
        <v>OrÃ«l</v>
      </c>
    </row>
    <row r="16240" spans="1:6" ht="15.75" customHeight="1">
      <c r="A16240" s="16" t="s">
        <v>14847</v>
      </c>
      <c r="B16240" s="15" t="s">
        <v>14848</v>
      </c>
      <c r="C16240" s="16" t="s">
        <v>14773</v>
      </c>
      <c r="D16240" s="16" t="s">
        <v>14786</v>
      </c>
      <c r="E16240" s="2">
        <v>293962</v>
      </c>
      <c r="F16240" s="4" t="str">
        <f>IF(B16240=B16239,"",B16240)</f>
        <v>Or Yehuda</v>
      </c>
    </row>
    <row r="16241" spans="1:6" ht="15.75" customHeight="1">
      <c r="A16241" s="8" t="str">
        <f ca="1">IFERROR(__xludf.DUMMYFUNCTION("GOOGLETRANSLATE(B31783,""en"",""pt"")"),"Ou yehuda")</f>
        <v>Ou yehuda</v>
      </c>
      <c r="B16241" s="11" t="s">
        <v>14848</v>
      </c>
      <c r="C16241" s="11" t="s">
        <v>14773</v>
      </c>
      <c r="D16241" s="11" t="s">
        <v>14786</v>
      </c>
      <c r="E16241" s="10">
        <v>293962</v>
      </c>
      <c r="F16241" s="4" t="str">
        <f>IF(B16241=B16240,"",B16241)</f>
        <v/>
      </c>
    </row>
    <row r="16242" spans="1:6" ht="15.75" customHeight="1">
      <c r="A16242" s="15" t="s">
        <v>30578</v>
      </c>
      <c r="B16242" s="15" t="s">
        <v>30578</v>
      </c>
      <c r="C16242" s="15" t="s">
        <v>30502</v>
      </c>
      <c r="D16242" s="15" t="s">
        <v>30522</v>
      </c>
      <c r="E16242" s="2">
        <v>1217926</v>
      </c>
      <c r="F16242" s="4" t="str">
        <f>IF(B16242=B16241,"",B16242)</f>
        <v>Oqtosh</v>
      </c>
    </row>
    <row r="16243" spans="1:6" ht="15.75" customHeight="1">
      <c r="A16243" s="8" t="str">
        <f ca="1">IFERROR(__xludf.DUMMYFUNCTION("GOOGLETRANSLATE(B45526,""en"",""pt"")"),"Oqtosh")</f>
        <v>Oqtosh</v>
      </c>
      <c r="B16243" s="11" t="s">
        <v>30578</v>
      </c>
      <c r="C16243" s="11" t="s">
        <v>30502</v>
      </c>
      <c r="D16243" s="11" t="s">
        <v>30522</v>
      </c>
      <c r="E16243" s="10">
        <v>1217926</v>
      </c>
      <c r="F16243" s="4" t="str">
        <f>IF(B16243=B16242,"",B16243)</f>
        <v/>
      </c>
    </row>
    <row r="16244" spans="1:6" ht="15.75" customHeight="1">
      <c r="A16244" s="16" t="s">
        <v>29560</v>
      </c>
      <c r="B16244" s="15" t="s">
        <v>29561</v>
      </c>
      <c r="C16244" s="16" t="s">
        <v>27788</v>
      </c>
      <c r="D16244" s="16" t="s">
        <v>27733</v>
      </c>
      <c r="E16244" s="2">
        <v>5805782</v>
      </c>
      <c r="F16244" s="4" t="str">
        <f>IF(B16244=B16243,"",B16244)</f>
        <v>Opportunity</v>
      </c>
    </row>
    <row r="16245" spans="1:6" ht="15.75" customHeight="1">
      <c r="A16245" s="8" t="str">
        <f ca="1">IFERROR(__xludf.DUMMYFUNCTION("GOOGLETRANSLATE(B45361,""en"",""pt"")"),"Oportunidade")</f>
        <v>Oportunidade</v>
      </c>
      <c r="B16245" s="11" t="s">
        <v>29561</v>
      </c>
      <c r="C16245" s="11" t="s">
        <v>27788</v>
      </c>
      <c r="D16245" s="11" t="s">
        <v>27733</v>
      </c>
      <c r="E16245" s="10">
        <v>5805782</v>
      </c>
      <c r="F16245" s="4" t="str">
        <f>IF(B16245=B16244,"",B16245)</f>
        <v/>
      </c>
    </row>
    <row r="16246" spans="1:6" ht="15.75" customHeight="1">
      <c r="A16246" s="15" t="s">
        <v>21398</v>
      </c>
      <c r="B16246" s="15" t="s">
        <v>21398</v>
      </c>
      <c r="C16246" s="15" t="s">
        <v>21064</v>
      </c>
      <c r="D16246" s="15" t="s">
        <v>21165</v>
      </c>
      <c r="E16246" s="2">
        <v>3090048</v>
      </c>
      <c r="F16246" s="4" t="str">
        <f>IF(B16246=B16245,"",B16246)</f>
        <v>Opole</v>
      </c>
    </row>
    <row r="16247" spans="1:6" ht="15.75" customHeight="1">
      <c r="A16247" s="8" t="str">
        <f ca="1">IFERROR(__xludf.DUMMYFUNCTION("GOOGLETRANSLATE(B39388,""en"",""pt"")"),"Opole")</f>
        <v>Opole</v>
      </c>
      <c r="B16247" s="11" t="s">
        <v>21398</v>
      </c>
      <c r="C16247" s="11" t="s">
        <v>21064</v>
      </c>
      <c r="D16247" s="11" t="s">
        <v>21165</v>
      </c>
      <c r="E16247" s="10">
        <v>3090048</v>
      </c>
      <c r="F16247" s="4" t="str">
        <f>IF(B16247=B16246,"",B16247)</f>
        <v/>
      </c>
    </row>
    <row r="16248" spans="1:6" ht="15.75" customHeight="1">
      <c r="A16248" s="15" t="s">
        <v>21397</v>
      </c>
      <c r="B16248" s="15" t="s">
        <v>21397</v>
      </c>
      <c r="C16248" s="15" t="s">
        <v>21064</v>
      </c>
      <c r="D16248" s="15" t="s">
        <v>21080</v>
      </c>
      <c r="E16248" s="2">
        <v>763111</v>
      </c>
      <c r="F16248" s="4" t="str">
        <f>IF(B16248=B16247,"",B16248)</f>
        <v>Opoczno</v>
      </c>
    </row>
    <row r="16249" spans="1:6" ht="15.75" customHeight="1">
      <c r="A16249" s="8" t="str">
        <f ca="1">IFERROR(__xludf.DUMMYFUNCTION("GOOGLETRANSLATE(B39233,""en"",""pt"")"),"Opoczno")</f>
        <v>Opoczno</v>
      </c>
      <c r="B16249" s="11" t="s">
        <v>21397</v>
      </c>
      <c r="C16249" s="11" t="s">
        <v>21064</v>
      </c>
      <c r="D16249" s="11" t="s">
        <v>35071</v>
      </c>
      <c r="E16249" s="10">
        <v>763111</v>
      </c>
      <c r="F16249" s="4" t="str">
        <f>IF(B16249=B16248,"",B16249)</f>
        <v/>
      </c>
    </row>
    <row r="16250" spans="1:6" ht="15.75" customHeight="1">
      <c r="A16250" s="15" t="s">
        <v>8966</v>
      </c>
      <c r="B16250" s="15" t="s">
        <v>8967</v>
      </c>
      <c r="C16250" s="15" t="s">
        <v>8028</v>
      </c>
      <c r="D16250" s="15" t="s">
        <v>8029</v>
      </c>
      <c r="E16250" s="2">
        <v>2857185</v>
      </c>
      <c r="F16250" s="4" t="str">
        <f>IF(B16250=B16249,"",B16250)</f>
        <v>Opladen</v>
      </c>
    </row>
    <row r="16251" spans="1:6" ht="15.75" customHeight="1">
      <c r="A16251" s="8" t="str">
        <f ca="1">IFERROR(__xludf.DUMMYFUNCTION("GOOGLETRANSLATE(B27669,""en"",""pt"")"),"OPLADEN")</f>
        <v>OPLADEN</v>
      </c>
      <c r="B16251" s="11" t="s">
        <v>8967</v>
      </c>
      <c r="C16251" s="11" t="s">
        <v>8028</v>
      </c>
      <c r="D16251" s="11" t="s">
        <v>8029</v>
      </c>
      <c r="E16251" s="10">
        <v>2857185</v>
      </c>
      <c r="F16251" s="4" t="str">
        <f>IF(B16251=B16250,"",B16251)</f>
        <v/>
      </c>
    </row>
    <row r="16252" spans="1:6" ht="15.75" customHeight="1">
      <c r="A16252" s="16" t="s">
        <v>29558</v>
      </c>
      <c r="B16252" s="15" t="s">
        <v>29559</v>
      </c>
      <c r="C16252" s="16" t="s">
        <v>27788</v>
      </c>
      <c r="D16252" s="16" t="s">
        <v>27827</v>
      </c>
      <c r="E16252" s="2">
        <v>4336153</v>
      </c>
      <c r="F16252" s="4" t="str">
        <f>IF(B16252=B16251,"",B16252)</f>
        <v>Opelousas</v>
      </c>
    </row>
    <row r="16253" spans="1:6" ht="15.75" customHeight="1">
      <c r="A16253" s="8" t="str">
        <f ca="1">IFERROR(__xludf.DUMMYFUNCTION("GOOGLETRANSLATE(B43245,""en"",""pt"")"),"Oppelousas")</f>
        <v>Oppelousas</v>
      </c>
      <c r="B16253" s="9" t="s">
        <v>29559</v>
      </c>
      <c r="C16253" s="9" t="s">
        <v>27788</v>
      </c>
      <c r="D16253" s="9" t="s">
        <v>27827</v>
      </c>
      <c r="E16253" s="10">
        <v>4336153</v>
      </c>
      <c r="F16253" s="4" t="str">
        <f>IF(B16253=B16252,"",B16253)</f>
        <v/>
      </c>
    </row>
    <row r="16254" spans="1:6" ht="15.75" customHeight="1">
      <c r="A16254" s="15" t="s">
        <v>29557</v>
      </c>
      <c r="B16254" s="15" t="s">
        <v>29557</v>
      </c>
      <c r="C16254" s="15" t="s">
        <v>27788</v>
      </c>
      <c r="D16254" s="15" t="s">
        <v>28023</v>
      </c>
      <c r="E16254" s="2">
        <v>4081644</v>
      </c>
      <c r="F16254" s="4" t="str">
        <f>IF(B16254=B16253,"",B16254)</f>
        <v>Opelika</v>
      </c>
    </row>
    <row r="16255" spans="1:6" ht="15.75" customHeight="1">
      <c r="A16255" s="8" t="str">
        <f ca="1">IFERROR(__xludf.DUMMYFUNCTION("GOOGLETRANSLATE(B42793,""en"",""pt"")"),"Opelika")</f>
        <v>Opelika</v>
      </c>
      <c r="B16255" s="9" t="s">
        <v>29557</v>
      </c>
      <c r="C16255" s="9" t="s">
        <v>27788</v>
      </c>
      <c r="D16255" s="9" t="s">
        <v>28023</v>
      </c>
      <c r="E16255" s="10">
        <v>4081644</v>
      </c>
      <c r="F16255" s="4" t="str">
        <f>IF(B16255=B16254,"",B16255)</f>
        <v/>
      </c>
    </row>
    <row r="16256" spans="1:6" ht="15.75" customHeight="1">
      <c r="A16256" s="15" t="s">
        <v>6072</v>
      </c>
      <c r="B16256" s="15" t="s">
        <v>6072</v>
      </c>
      <c r="C16256" s="15" t="s">
        <v>5947</v>
      </c>
      <c r="D16256" s="15" t="s">
        <v>5971</v>
      </c>
      <c r="E16256" s="2">
        <v>3068927</v>
      </c>
      <c r="F16256" s="4" t="str">
        <f>IF(B16256=B16255,"",B16256)</f>
        <v>Opava</v>
      </c>
    </row>
    <row r="16257" spans="1:6" ht="15.75" customHeight="1">
      <c r="A16257" s="8" t="str">
        <f ca="1">IFERROR(__xludf.DUMMYFUNCTION("GOOGLETRANSLATE(B27283,""en"",""pt"")"),"Opava")</f>
        <v>Opava</v>
      </c>
      <c r="B16257" s="9" t="s">
        <v>6072</v>
      </c>
      <c r="C16257" s="9" t="s">
        <v>5947</v>
      </c>
      <c r="D16257" s="9" t="s">
        <v>31952</v>
      </c>
      <c r="E16257" s="10">
        <v>3068927</v>
      </c>
      <c r="F16257" s="4" t="str">
        <f>IF(B16257=B16256,"",B16257)</f>
        <v/>
      </c>
    </row>
    <row r="16258" spans="1:6" ht="15.75" customHeight="1">
      <c r="A16258" s="16" t="s">
        <v>29555</v>
      </c>
      <c r="B16258" s="15" t="s">
        <v>29556</v>
      </c>
      <c r="C16258" s="16" t="s">
        <v>27788</v>
      </c>
      <c r="D16258" s="16" t="s">
        <v>5468</v>
      </c>
      <c r="E16258" s="2">
        <v>4167003</v>
      </c>
      <c r="F16258" s="4" t="str">
        <f>IF(B16258=B16257,"",B16258)</f>
        <v>Opa-locka</v>
      </c>
    </row>
    <row r="16259" spans="1:6" ht="15.75" customHeight="1">
      <c r="A16259" s="8" t="str">
        <f ca="1">IFERROR(__xludf.DUMMYFUNCTION("GOOGLETRANSLATE(B42970,""en"",""pt"")"),"OPA-LOCKA")</f>
        <v>OPA-LOCKA</v>
      </c>
      <c r="B16259" s="9" t="s">
        <v>29556</v>
      </c>
      <c r="C16259" s="9" t="s">
        <v>27788</v>
      </c>
      <c r="D16259" s="9" t="s">
        <v>5468</v>
      </c>
      <c r="E16259" s="10">
        <v>4167003</v>
      </c>
      <c r="F16259" s="4" t="str">
        <f>IF(B16259=B16258,"",B16259)</f>
        <v/>
      </c>
    </row>
    <row r="16260" spans="1:6" ht="15.75" customHeight="1">
      <c r="A16260" s="15" t="s">
        <v>12684</v>
      </c>
      <c r="B16260" s="15" t="s">
        <v>12684</v>
      </c>
      <c r="C16260" s="15" t="s">
        <v>10178</v>
      </c>
      <c r="D16260" s="15" t="s">
        <v>10196</v>
      </c>
      <c r="E16260" s="2">
        <v>1253993</v>
      </c>
      <c r="F16260" s="4" t="str">
        <f>IF(B16260=B16259,"",B16260)</f>
        <v>Ooty</v>
      </c>
    </row>
    <row r="16261" spans="1:6" ht="15.75" customHeight="1">
      <c r="A16261" s="8" t="str">
        <f ca="1">IFERROR(__xludf.DUMMYFUNCTION("GOOGLETRANSLATE(B31952,""en"",""pt"")"),"Ooty")</f>
        <v>Ooty</v>
      </c>
      <c r="B16261" s="9" t="s">
        <v>12684</v>
      </c>
      <c r="C16261" s="9" t="s">
        <v>10178</v>
      </c>
      <c r="D16261" s="9" t="s">
        <v>10196</v>
      </c>
      <c r="E16261" s="10">
        <v>1253993</v>
      </c>
      <c r="F16261" s="4" t="str">
        <f>IF(B16261=B16260,"",B16261)</f>
        <v/>
      </c>
    </row>
    <row r="16262" spans="1:6" ht="15.75" customHeight="1">
      <c r="A16262" s="16" t="s">
        <v>1652</v>
      </c>
      <c r="B16262" s="15" t="s">
        <v>1652</v>
      </c>
      <c r="C16262" s="16" t="s">
        <v>1512</v>
      </c>
      <c r="D16262" s="16" t="s">
        <v>1513</v>
      </c>
      <c r="E16262" s="2">
        <v>2789751</v>
      </c>
      <c r="F16262" s="4" t="str">
        <f>IF(B16262=B16261,"",B16262)</f>
        <v>Oostkamp</v>
      </c>
    </row>
    <row r="16263" spans="1:6" ht="15.75" customHeight="1">
      <c r="A16263" s="8" t="str">
        <f ca="1">IFERROR(__xludf.DUMMYFUNCTION("GOOGLETRANSLATE(B23855,""en"",""pt"")"),"Oostkamp")</f>
        <v>Oostkamp</v>
      </c>
      <c r="B16263" s="9" t="s">
        <v>1652</v>
      </c>
      <c r="C16263" s="9" t="s">
        <v>1512</v>
      </c>
      <c r="D16263" s="9" t="s">
        <v>1513</v>
      </c>
      <c r="E16263" s="10">
        <v>2789751</v>
      </c>
      <c r="F16263" s="4" t="str">
        <f>IF(B16263=B16262,"",B16263)</f>
        <v/>
      </c>
    </row>
    <row r="16264" spans="1:6" ht="15.75" customHeight="1">
      <c r="A16264" s="16" t="s">
        <v>19061</v>
      </c>
      <c r="B16264" s="15" t="s">
        <v>19061</v>
      </c>
      <c r="C16264" s="16" t="s">
        <v>18862</v>
      </c>
      <c r="D16264" s="16" t="s">
        <v>18888</v>
      </c>
      <c r="E16264" s="2">
        <v>2749450</v>
      </c>
      <c r="F16264" s="4" t="str">
        <f>IF(B16264=B16263,"",B16264)</f>
        <v>Oosterhout</v>
      </c>
    </row>
    <row r="16265" spans="1:6" ht="15.75" customHeight="1">
      <c r="A16265" s="8" t="str">
        <f ca="1">IFERROR(__xludf.DUMMYFUNCTION("GOOGLETRANSLATE(B37978,""en"",""pt"")"),"Oosterhout")</f>
        <v>Oosterhout</v>
      </c>
      <c r="B16265" s="9" t="s">
        <v>19061</v>
      </c>
      <c r="C16265" s="9" t="s">
        <v>18862</v>
      </c>
      <c r="D16265" s="9" t="s">
        <v>18888</v>
      </c>
      <c r="E16265" s="10">
        <v>2749450</v>
      </c>
      <c r="F16265" s="4" t="str">
        <f>IF(B16265=B16264,"",B16265)</f>
        <v/>
      </c>
    </row>
    <row r="16266" spans="1:6" ht="15.75" customHeight="1">
      <c r="A16266" s="16" t="s">
        <v>24667</v>
      </c>
      <c r="B16266" s="15" t="s">
        <v>24667</v>
      </c>
      <c r="C16266" s="16" t="s">
        <v>24200</v>
      </c>
      <c r="D16266" s="16" t="s">
        <v>21053</v>
      </c>
      <c r="E16266" s="2">
        <v>2513106</v>
      </c>
      <c r="F16266" s="4" t="str">
        <f>IF(B16266=B16265,"",B16266)</f>
        <v>Ontinyent</v>
      </c>
    </row>
    <row r="16267" spans="1:6" ht="15.75" customHeight="1">
      <c r="A16267" s="8" t="str">
        <f ca="1">IFERROR(__xludf.DUMMYFUNCTION("GOOGLETRANSLATE(B29035,""en"",""pt"")"),"Ontinyent")</f>
        <v>Ontinyent</v>
      </c>
      <c r="B16267" s="9" t="s">
        <v>24667</v>
      </c>
      <c r="C16267" s="9" t="s">
        <v>24200</v>
      </c>
      <c r="D16267" s="9" t="s">
        <v>21053</v>
      </c>
      <c r="E16267" s="10">
        <v>2513106</v>
      </c>
      <c r="F16267" s="4" t="str">
        <f>IF(B16267=B16266,"",B16267)</f>
        <v/>
      </c>
    </row>
    <row r="16268" spans="1:6" ht="15.75" customHeight="1">
      <c r="A16268" s="15" t="s">
        <v>29554</v>
      </c>
      <c r="B16268" s="15" t="s">
        <v>3980</v>
      </c>
      <c r="C16268" s="15" t="s">
        <v>27788</v>
      </c>
      <c r="D16268" s="15" t="s">
        <v>27801</v>
      </c>
      <c r="E16268" s="2">
        <v>5379439</v>
      </c>
      <c r="F16268" s="4" t="str">
        <f>IF(B16268=B16267,"",B16268)</f>
        <v>Ontario</v>
      </c>
    </row>
    <row r="16269" spans="1:6" ht="15.75" customHeight="1">
      <c r="A16269" s="8" t="str">
        <f ca="1">IFERROR(__xludf.DUMMYFUNCTION("GOOGLETRANSLATE(B44939,""en"",""pt"")"),"Ontário")</f>
        <v>Ontário</v>
      </c>
      <c r="B16269" s="9" t="s">
        <v>3980</v>
      </c>
      <c r="C16269" s="9" t="s">
        <v>27788</v>
      </c>
      <c r="D16269" s="9" t="s">
        <v>27801</v>
      </c>
      <c r="E16269" s="10">
        <v>5379439</v>
      </c>
      <c r="F16269" s="4" t="str">
        <f>IF(B16269=B16268,"",B16269)</f>
        <v/>
      </c>
    </row>
    <row r="16270" spans="1:6" ht="15.75" customHeight="1">
      <c r="A16270" s="8" t="str">
        <f ca="1">IFERROR(__xludf.DUMMYFUNCTION("GOOGLETRANSLATE(B36030,""en"",""pt"")"),"Onsŏng")</f>
        <v>Onsŏng</v>
      </c>
      <c r="B16270" s="11" t="s">
        <v>34461</v>
      </c>
      <c r="C16270" s="11" t="s">
        <v>19589</v>
      </c>
      <c r="D16270" s="11" t="s">
        <v>34462</v>
      </c>
      <c r="E16270" s="10">
        <v>2042267</v>
      </c>
      <c r="F16270" s="4" t="str">
        <f>IF(B16270=B16269,"",B16270)</f>
        <v>Onsŏng</v>
      </c>
    </row>
    <row r="16271" spans="1:6" ht="15.75" customHeight="1">
      <c r="A16271" s="15" t="s">
        <v>19660</v>
      </c>
      <c r="B16271" s="15" t="s">
        <v>19661</v>
      </c>
      <c r="C16271" s="15" t="s">
        <v>19589</v>
      </c>
      <c r="D16271" s="15" t="s">
        <v>19599</v>
      </c>
      <c r="E16271" s="2">
        <v>2042267</v>
      </c>
      <c r="F16271" s="4" t="str">
        <f>IF(B16271=B16270,"",B16271)</f>
        <v>OnsÅng</v>
      </c>
    </row>
    <row r="16272" spans="1:6" ht="15.75" customHeight="1">
      <c r="A16272" s="15" t="s">
        <v>16345</v>
      </c>
      <c r="B16272" s="15" t="s">
        <v>16345</v>
      </c>
      <c r="C16272" s="15" t="s">
        <v>15704</v>
      </c>
      <c r="D16272" s="15" t="s">
        <v>15789</v>
      </c>
      <c r="E16272" s="2">
        <v>1853992</v>
      </c>
      <c r="F16272" s="4" t="str">
        <f>IF(B16272=B16271,"",B16272)</f>
        <v>Onomichi</v>
      </c>
    </row>
    <row r="16273" spans="1:6" ht="15.75" customHeight="1">
      <c r="A16273" s="8" t="str">
        <f ca="1">IFERROR(__xludf.DUMMYFUNCTION("GOOGLETRANSLATE(B35343,""en"",""pt"")"),"Onomichi")</f>
        <v>Onomichi</v>
      </c>
      <c r="B16273" s="9" t="s">
        <v>16345</v>
      </c>
      <c r="C16273" s="9" t="s">
        <v>15704</v>
      </c>
      <c r="D16273" s="9" t="s">
        <v>15789</v>
      </c>
      <c r="E16273" s="10">
        <v>1853992</v>
      </c>
      <c r="F16273" s="4" t="str">
        <f>IF(B16273=B16272,"",B16273)</f>
        <v/>
      </c>
    </row>
    <row r="16274" spans="1:6" ht="15.75" customHeight="1">
      <c r="A16274" s="8" t="str">
        <f ca="1">IFERROR(__xludf.DUMMYFUNCTION("GOOGLETRANSLATE(B35873,""en"",""pt"")"),"Ōnojō")</f>
        <v>Ōnojō</v>
      </c>
      <c r="B16274" s="9" t="s">
        <v>34419</v>
      </c>
      <c r="C16274" s="9" t="s">
        <v>15704</v>
      </c>
      <c r="D16274" s="9" t="s">
        <v>15722</v>
      </c>
      <c r="E16274" s="10">
        <v>6822146</v>
      </c>
      <c r="F16274" s="4" t="str">
        <f>IF(B16274=B16273,"",B16274)</f>
        <v>Ōnojō</v>
      </c>
    </row>
    <row r="16275" spans="1:6" ht="15.75" customHeight="1">
      <c r="A16275" s="8" t="str">
        <f ca="1">IFERROR(__xludf.DUMMYFUNCTION("GOOGLETRANSLATE(B35347,""en"",""pt"")"),"Ōno-hara")</f>
        <v>Ōno-hara</v>
      </c>
      <c r="B16275" s="11" t="s">
        <v>34323</v>
      </c>
      <c r="C16275" s="11" t="s">
        <v>15704</v>
      </c>
      <c r="D16275" s="11" t="s">
        <v>15789</v>
      </c>
      <c r="E16275" s="10">
        <v>1854028</v>
      </c>
      <c r="F16275" s="4" t="str">
        <f>IF(B16275=B16274,"",B16275)</f>
        <v>Ōno-hara</v>
      </c>
    </row>
    <row r="16276" spans="1:6" ht="15.75" customHeight="1">
      <c r="A16276" s="15" t="s">
        <v>16344</v>
      </c>
      <c r="B16276" s="15" t="s">
        <v>16344</v>
      </c>
      <c r="C16276" s="15" t="s">
        <v>15704</v>
      </c>
      <c r="D16276" s="15" t="s">
        <v>15796</v>
      </c>
      <c r="E16276" s="2">
        <v>1854018</v>
      </c>
      <c r="F16276" s="4" t="str">
        <f>IF(B16276=B16275,"",B16276)</f>
        <v>Onoda</v>
      </c>
    </row>
    <row r="16277" spans="1:6" ht="15.75" customHeight="1">
      <c r="A16277" s="8" t="str">
        <f ca="1">IFERROR(__xludf.DUMMYFUNCTION("GOOGLETRANSLATE(B35344,""en"",""pt"")"),"Onoda")</f>
        <v>Onoda</v>
      </c>
      <c r="B16277" s="11" t="s">
        <v>16344</v>
      </c>
      <c r="C16277" s="11" t="s">
        <v>15704</v>
      </c>
      <c r="D16277" s="11" t="s">
        <v>15796</v>
      </c>
      <c r="E16277" s="10">
        <v>1854018</v>
      </c>
      <c r="F16277" s="4" t="str">
        <f>IF(B16277=B16276,"",B16277)</f>
        <v/>
      </c>
    </row>
    <row r="16278" spans="1:6" ht="15.75" customHeight="1">
      <c r="A16278" s="15" t="s">
        <v>16343</v>
      </c>
      <c r="B16278" s="15" t="s">
        <v>16343</v>
      </c>
      <c r="C16278" s="15" t="s">
        <v>15704</v>
      </c>
      <c r="D16278" s="15" t="s">
        <v>15879</v>
      </c>
      <c r="E16278" s="2">
        <v>1854022</v>
      </c>
      <c r="F16278" s="4" t="str">
        <f>IF(B16278=B16277,"",B16278)</f>
        <v>Ono</v>
      </c>
    </row>
    <row r="16279" spans="1:6" ht="15.75" customHeight="1">
      <c r="A16279" s="15" t="s">
        <v>16343</v>
      </c>
      <c r="B16279" s="15" t="s">
        <v>16343</v>
      </c>
      <c r="C16279" s="15" t="s">
        <v>15704</v>
      </c>
      <c r="D16279" s="15" t="s">
        <v>15712</v>
      </c>
      <c r="E16279" s="2">
        <v>1854026</v>
      </c>
      <c r="F16279" s="4" t="str">
        <f>IF(B16279=B16278,"",B16279)</f>
        <v/>
      </c>
    </row>
    <row r="16280" spans="1:6" ht="15.75" customHeight="1">
      <c r="A16280" s="8" t="str">
        <f ca="1">IFERROR(__xludf.DUMMYFUNCTION("GOOGLETRANSLATE(B35345,""en"",""pt"")"),"Ono")</f>
        <v>Ono</v>
      </c>
      <c r="B16280" s="11" t="s">
        <v>16343</v>
      </c>
      <c r="C16280" s="11" t="s">
        <v>15704</v>
      </c>
      <c r="D16280" s="11" t="s">
        <v>15879</v>
      </c>
      <c r="E16280" s="10">
        <v>1854022</v>
      </c>
      <c r="F16280" s="4" t="str">
        <f>IF(B16280=B16279,"",B16280)</f>
        <v/>
      </c>
    </row>
    <row r="16281" spans="1:6" ht="15.75" customHeight="1">
      <c r="A16281" s="8" t="str">
        <f ca="1">IFERROR(__xludf.DUMMYFUNCTION("GOOGLETRANSLATE(B35346,""en"",""pt"")"),"Ono")</f>
        <v>Ono</v>
      </c>
      <c r="B16281" s="9" t="s">
        <v>16343</v>
      </c>
      <c r="C16281" s="9" t="s">
        <v>15704</v>
      </c>
      <c r="D16281" s="9" t="s">
        <v>34291</v>
      </c>
      <c r="E16281" s="10">
        <v>1854026</v>
      </c>
      <c r="F16281" s="4" t="str">
        <f>IF(B16281=B16280,"",B16281)</f>
        <v/>
      </c>
    </row>
    <row r="16282" spans="1:6" ht="15.75" customHeight="1">
      <c r="A16282" s="15" t="s">
        <v>19539</v>
      </c>
      <c r="B16282" s="15" t="s">
        <v>19539</v>
      </c>
      <c r="C16282" s="15" t="s">
        <v>19294</v>
      </c>
      <c r="D16282" s="15" t="s">
        <v>19308</v>
      </c>
      <c r="E16282" s="2">
        <v>2326016</v>
      </c>
      <c r="F16282" s="4" t="str">
        <f>IF(B16282=B16281,"",B16282)</f>
        <v>Onitsha</v>
      </c>
    </row>
    <row r="16283" spans="1:6" ht="15.75" customHeight="1">
      <c r="A16283" s="8" t="str">
        <f ca="1">IFERROR(__xludf.DUMMYFUNCTION("GOOGLETRANSLATE(B37649,""en"",""pt"")"),"Onitsha")</f>
        <v>Onitsha</v>
      </c>
      <c r="B16283" s="11" t="s">
        <v>19539</v>
      </c>
      <c r="C16283" s="11" t="s">
        <v>19294</v>
      </c>
      <c r="D16283" s="11" t="s">
        <v>19308</v>
      </c>
      <c r="E16283" s="10">
        <v>2326016</v>
      </c>
      <c r="F16283" s="4" t="str">
        <f>IF(B16283=B16282,"",B16283)</f>
        <v/>
      </c>
    </row>
    <row r="16284" spans="1:6" ht="15.75" customHeight="1">
      <c r="A16284" s="15" t="s">
        <v>12683</v>
      </c>
      <c r="B16284" s="15" t="s">
        <v>12683</v>
      </c>
      <c r="C16284" s="15" t="s">
        <v>10178</v>
      </c>
      <c r="D16284" s="15" t="s">
        <v>10190</v>
      </c>
      <c r="E16284" s="2">
        <v>1261045</v>
      </c>
      <c r="F16284" s="4" t="str">
        <f>IF(B16284=B16283,"",B16284)</f>
        <v>Ongole</v>
      </c>
    </row>
    <row r="16285" spans="1:6" ht="15.75" customHeight="1">
      <c r="A16285" s="8" t="str">
        <f ca="1">IFERROR(__xludf.DUMMYFUNCTION("GOOGLETRANSLATE(B32582,""en"",""pt"")"),"Ongole")</f>
        <v>Ongole</v>
      </c>
      <c r="B16285" s="9" t="s">
        <v>12683</v>
      </c>
      <c r="C16285" s="9" t="s">
        <v>10178</v>
      </c>
      <c r="D16285" s="9" t="s">
        <v>10190</v>
      </c>
      <c r="E16285" s="10">
        <v>1261045</v>
      </c>
      <c r="F16285" s="4" t="str">
        <f>IF(B16285=B16284,"",B16285)</f>
        <v/>
      </c>
    </row>
    <row r="16286" spans="1:6" ht="15.75" customHeight="1">
      <c r="A16286" s="15" t="s">
        <v>19659</v>
      </c>
      <c r="B16286" s="15" t="s">
        <v>19659</v>
      </c>
      <c r="C16286" s="15" t="s">
        <v>19589</v>
      </c>
      <c r="D16286" s="15" t="s">
        <v>19601</v>
      </c>
      <c r="E16286" s="2">
        <v>1873172</v>
      </c>
      <c r="F16286" s="4" t="str">
        <f>IF(B16286=B16285,"",B16286)</f>
        <v>Ongjin</v>
      </c>
    </row>
    <row r="16287" spans="1:6" ht="15.75" customHeight="1">
      <c r="A16287" s="8" t="str">
        <f ca="1">IFERROR(__xludf.DUMMYFUNCTION("GOOGLETRANSLATE(B36002,""en"",""pt"")"),"Ongjin")</f>
        <v>Ongjin</v>
      </c>
      <c r="B16287" s="9" t="s">
        <v>19659</v>
      </c>
      <c r="C16287" s="9" t="s">
        <v>19589</v>
      </c>
      <c r="D16287" s="9" t="s">
        <v>19601</v>
      </c>
      <c r="E16287" s="10">
        <v>1873172</v>
      </c>
      <c r="F16287" s="4" t="str">
        <f>IF(B16287=B16286,"",B16287)</f>
        <v/>
      </c>
    </row>
    <row r="16288" spans="1:6" ht="15.75" customHeight="1">
      <c r="A16288" s="15" t="s">
        <v>25300</v>
      </c>
      <c r="B16288" s="15" t="s">
        <v>25300</v>
      </c>
      <c r="C16288" s="15" t="s">
        <v>25237</v>
      </c>
      <c r="D16288" s="15" t="s">
        <v>25253</v>
      </c>
      <c r="E16288" s="2">
        <v>2659296</v>
      </c>
      <c r="F16288" s="4" t="str">
        <f>IF(B16288=B16287,"",B16288)</f>
        <v>Onex</v>
      </c>
    </row>
    <row r="16289" spans="1:6" ht="15.75" customHeight="1">
      <c r="A16289" s="8" t="str">
        <f ca="1">IFERROR(__xludf.DUMMYFUNCTION("GOOGLETRANSLATE(B25761,""en"",""pt"")"),"Onex")</f>
        <v>Onex</v>
      </c>
      <c r="B16289" s="9" t="s">
        <v>25300</v>
      </c>
      <c r="C16289" s="9" t="s">
        <v>25237</v>
      </c>
      <c r="D16289" s="9" t="s">
        <v>25253</v>
      </c>
      <c r="E16289" s="10">
        <v>2659296</v>
      </c>
      <c r="F16289" s="4" t="str">
        <f>IF(B16289=B16288,"",B16289)</f>
        <v/>
      </c>
    </row>
    <row r="16290" spans="1:6" ht="15.75" customHeight="1">
      <c r="A16290" s="15" t="s">
        <v>22890</v>
      </c>
      <c r="B16290" s="15" t="s">
        <v>22890</v>
      </c>
      <c r="C16290" s="15" t="s">
        <v>22070</v>
      </c>
      <c r="D16290" s="15" t="s">
        <v>22151</v>
      </c>
      <c r="E16290" s="2">
        <v>515246</v>
      </c>
      <c r="F16290" s="4" t="str">
        <f>IF(B16290=B16289,"",B16290)</f>
        <v>Onega</v>
      </c>
    </row>
    <row r="16291" spans="1:6" ht="15.75" customHeight="1">
      <c r="A16291" s="8" t="str">
        <f ca="1">IFERROR(__xludf.DUMMYFUNCTION("GOOGLETRANSLATE(B40234,""en"",""pt"")"),"Onega")</f>
        <v>Onega</v>
      </c>
      <c r="B16291" s="9" t="s">
        <v>22890</v>
      </c>
      <c r="C16291" s="9" t="s">
        <v>22070</v>
      </c>
      <c r="D16291" s="9" t="s">
        <v>22151</v>
      </c>
      <c r="E16291" s="10">
        <v>515246</v>
      </c>
      <c r="F16291" s="4" t="str">
        <f>IF(B16291=B16290,"",B16291)</f>
        <v/>
      </c>
    </row>
    <row r="16292" spans="1:6" ht="15.75" customHeight="1">
      <c r="A16292" s="15" t="s">
        <v>19314</v>
      </c>
      <c r="B16292" s="15" t="s">
        <v>19314</v>
      </c>
      <c r="C16292" s="15" t="s">
        <v>19294</v>
      </c>
      <c r="D16292" s="15" t="s">
        <v>19314</v>
      </c>
      <c r="E16292" s="2">
        <v>2326171</v>
      </c>
      <c r="F16292" s="4" t="str">
        <f>IF(B16292=B16291,"",B16292)</f>
        <v>Ondo</v>
      </c>
    </row>
    <row r="16293" spans="1:6" ht="15.75" customHeight="1">
      <c r="A16293" s="8" t="str">
        <f ca="1">IFERROR(__xludf.DUMMYFUNCTION("GOOGLETRANSLATE(B37650,""en"",""pt"")"),"Ondo")</f>
        <v>Ondo</v>
      </c>
      <c r="B16293" s="9" t="s">
        <v>19314</v>
      </c>
      <c r="C16293" s="9" t="s">
        <v>19294</v>
      </c>
      <c r="D16293" s="9" t="s">
        <v>19314</v>
      </c>
      <c r="E16293" s="10">
        <v>2326171</v>
      </c>
      <c r="F16293" s="4" t="str">
        <f>IF(B16293=B16292,"",B16293)</f>
        <v/>
      </c>
    </row>
    <row r="16294" spans="1:6" ht="15.75" customHeight="1">
      <c r="A16294" s="15" t="s">
        <v>24666</v>
      </c>
      <c r="B16294" s="15" t="s">
        <v>24666</v>
      </c>
      <c r="C16294" s="15" t="s">
        <v>24200</v>
      </c>
      <c r="D16294" s="15" t="s">
        <v>21053</v>
      </c>
      <c r="E16294" s="2">
        <v>2513115</v>
      </c>
      <c r="F16294" s="4" t="str">
        <f>IF(B16294=B16293,"",B16294)</f>
        <v>Onda</v>
      </c>
    </row>
    <row r="16295" spans="1:6" ht="15.75" customHeight="1">
      <c r="A16295" s="8" t="str">
        <f ca="1">IFERROR(__xludf.DUMMYFUNCTION("GOOGLETRANSLATE(B29036,""en"",""pt"")"),"Onda")</f>
        <v>Onda</v>
      </c>
      <c r="B16295" s="9" t="s">
        <v>24666</v>
      </c>
      <c r="C16295" s="9" t="s">
        <v>24200</v>
      </c>
      <c r="D16295" s="9" t="s">
        <v>21053</v>
      </c>
      <c r="E16295" s="10">
        <v>2513115</v>
      </c>
      <c r="F16295" s="4" t="str">
        <f>IF(B16295=B16294,"",B16295)</f>
        <v/>
      </c>
    </row>
    <row r="16296" spans="1:6" ht="15.75" customHeight="1">
      <c r="A16296" s="15" t="s">
        <v>29553</v>
      </c>
      <c r="B16296" s="15" t="s">
        <v>29553</v>
      </c>
      <c r="C16296" s="15" t="s">
        <v>27788</v>
      </c>
      <c r="D16296" s="15" t="s">
        <v>27890</v>
      </c>
      <c r="E16296" s="2">
        <v>5265702</v>
      </c>
      <c r="F16296" s="4" t="str">
        <f>IF(B16296=B16295,"",B16296)</f>
        <v>Onalaska</v>
      </c>
    </row>
    <row r="16297" spans="1:6" ht="15.75" customHeight="1">
      <c r="A16297" s="8" t="str">
        <f ca="1">IFERROR(__xludf.DUMMYFUNCTION("GOOGLETRANSLATE(B44667,""en"",""pt"")"),"Onalaska")</f>
        <v>Onalaska</v>
      </c>
      <c r="B16297" s="9" t="s">
        <v>29553</v>
      </c>
      <c r="C16297" s="9" t="s">
        <v>27788</v>
      </c>
      <c r="D16297" s="9" t="s">
        <v>27890</v>
      </c>
      <c r="E16297" s="10">
        <v>5265702</v>
      </c>
      <c r="F16297" s="4" t="str">
        <f>IF(B16297=B16296,"",B16297)</f>
        <v/>
      </c>
    </row>
    <row r="16298" spans="1:6" ht="15.75" customHeight="1">
      <c r="A16298" s="16" t="s">
        <v>22889</v>
      </c>
      <c r="B16298" s="15" t="s">
        <v>22889</v>
      </c>
      <c r="C16298" s="16" t="s">
        <v>22070</v>
      </c>
      <c r="D16298" s="16" t="s">
        <v>22524</v>
      </c>
      <c r="E16298" s="2">
        <v>515267</v>
      </c>
      <c r="F16298" s="4" t="str">
        <f>IF(B16298=B16297,"",B16298)</f>
        <v>Omutninsk</v>
      </c>
    </row>
    <row r="16299" spans="1:6" ht="15.75" customHeight="1">
      <c r="A16299" s="8" t="str">
        <f ca="1">IFERROR(__xludf.DUMMYFUNCTION("GOOGLETRANSLATE(B40235,""en"",""pt"")"),"Omutninsk")</f>
        <v>Omutninsk</v>
      </c>
      <c r="B16299" s="9" t="s">
        <v>22889</v>
      </c>
      <c r="C16299" s="9" t="s">
        <v>22070</v>
      </c>
      <c r="D16299" s="9" t="s">
        <v>22524</v>
      </c>
      <c r="E16299" s="10">
        <v>515267</v>
      </c>
      <c r="F16299" s="4" t="str">
        <f>IF(B16299=B16298,"",B16299)</f>
        <v/>
      </c>
    </row>
    <row r="16300" spans="1:6" ht="15.75" customHeight="1">
      <c r="A16300" s="8" t="str">
        <f ca="1">IFERROR(__xludf.DUMMYFUNCTION("GOOGLETRANSLATE(B35348,""en"",""pt"")"),"Ōmuta")</f>
        <v>Ōmuta</v>
      </c>
      <c r="B16300" s="11" t="s">
        <v>34324</v>
      </c>
      <c r="C16300" s="11" t="s">
        <v>15704</v>
      </c>
      <c r="D16300" s="11" t="s">
        <v>15722</v>
      </c>
      <c r="E16300" s="10">
        <v>1854083</v>
      </c>
      <c r="F16300" s="4" t="str">
        <f>IF(B16300=B16299,"",B16300)</f>
        <v>Ōmuta</v>
      </c>
    </row>
    <row r="16301" spans="1:6" ht="15.75" customHeight="1">
      <c r="A16301" s="8" t="str">
        <f ca="1">IFERROR(__xludf.DUMMYFUNCTION("GOOGLETRANSLATE(B35349,""en"",""pt"")"),"Ōmura")</f>
        <v>Ōmura</v>
      </c>
      <c r="B16301" s="9" t="s">
        <v>34325</v>
      </c>
      <c r="C16301" s="9" t="s">
        <v>15704</v>
      </c>
      <c r="D16301" s="9" t="s">
        <v>15784</v>
      </c>
      <c r="E16301" s="10">
        <v>1854093</v>
      </c>
      <c r="F16301" s="4" t="str">
        <f>IF(B16301=B16300,"",B16301)</f>
        <v>Ōmura</v>
      </c>
    </row>
    <row r="16302" spans="1:6" ht="15.75" customHeight="1">
      <c r="A16302" s="15" t="s">
        <v>22453</v>
      </c>
      <c r="B16302" s="15" t="s">
        <v>22453</v>
      </c>
      <c r="C16302" s="15" t="s">
        <v>22070</v>
      </c>
      <c r="D16302" s="15" t="s">
        <v>22453</v>
      </c>
      <c r="E16302" s="2">
        <v>1496153</v>
      </c>
      <c r="F16302" s="4" t="str">
        <f>IF(B16302=B16301,"",B16302)</f>
        <v>Omsk</v>
      </c>
    </row>
    <row r="16303" spans="1:6" ht="15.75" customHeight="1">
      <c r="A16303" s="8" t="str">
        <f ca="1">IFERROR(__xludf.DUMMYFUNCTION("GOOGLETRANSLATE(B40777,""en"",""pt"")"),"Omsk")</f>
        <v>Omsk</v>
      </c>
      <c r="B16303" s="9" t="s">
        <v>22453</v>
      </c>
      <c r="C16303" s="9" t="s">
        <v>22070</v>
      </c>
      <c r="D16303" s="9" t="s">
        <v>22453</v>
      </c>
      <c r="E16303" s="10">
        <v>1496153</v>
      </c>
      <c r="F16303" s="4" t="str">
        <f>IF(B16303=B16302,"",B16303)</f>
        <v/>
      </c>
    </row>
    <row r="16304" spans="1:6" ht="15.75" customHeight="1">
      <c r="A16304" s="8" t="str">
        <f ca="1">IFERROR(__xludf.DUMMYFUNCTION("GOOGLETRANSLATE(B35743,""en"",""pt"")"),"Ōmiya")</f>
        <v>Ōmiya</v>
      </c>
      <c r="B16304" s="9" t="s">
        <v>34407</v>
      </c>
      <c r="C16304" s="9" t="s">
        <v>15704</v>
      </c>
      <c r="D16304" s="9" t="s">
        <v>15724</v>
      </c>
      <c r="E16304" s="10">
        <v>2111425</v>
      </c>
      <c r="F16304" s="4" t="str">
        <f>IF(B16304=B16303,"",B16304)</f>
        <v>Ōmiya</v>
      </c>
    </row>
    <row r="16305" spans="1:6" ht="15.75" customHeight="1">
      <c r="A16305" s="8" t="str">
        <f ca="1">IFERROR(__xludf.DUMMYFUNCTION("GOOGLETRANSLATE(B35626,""en"",""pt"")"),"Ōmihachiman")</f>
        <v>Ōmihachiman</v>
      </c>
      <c r="B16305" s="11" t="s">
        <v>34378</v>
      </c>
      <c r="C16305" s="11" t="s">
        <v>15704</v>
      </c>
      <c r="D16305" s="11" t="s">
        <v>15779</v>
      </c>
      <c r="E16305" s="10">
        <v>1863451</v>
      </c>
      <c r="F16305" s="4" t="str">
        <f>IF(B16305=B16304,"",B16305)</f>
        <v>Ōmihachiman</v>
      </c>
    </row>
    <row r="16306" spans="1:6" ht="15.75" customHeight="1">
      <c r="A16306" s="15" t="s">
        <v>16342</v>
      </c>
      <c r="B16306" s="15" t="s">
        <v>16342</v>
      </c>
      <c r="C16306" s="15" t="s">
        <v>15704</v>
      </c>
      <c r="D16306" s="15" t="s">
        <v>15707</v>
      </c>
      <c r="E16306" s="2">
        <v>2111429</v>
      </c>
      <c r="F16306" s="4" t="str">
        <f>IF(B16306=B16305,"",B16306)</f>
        <v>Omigawa</v>
      </c>
    </row>
    <row r="16307" spans="1:6" ht="15.75" customHeight="1">
      <c r="A16307" s="8" t="str">
        <f ca="1">IFERROR(__xludf.DUMMYFUNCTION("GOOGLETRANSLATE(B35744,""en"",""pt"")"),"Omigawa")</f>
        <v>Omigawa</v>
      </c>
      <c r="B16307" s="9" t="s">
        <v>16342</v>
      </c>
      <c r="C16307" s="9" t="s">
        <v>15704</v>
      </c>
      <c r="D16307" s="9" t="s">
        <v>15707</v>
      </c>
      <c r="E16307" s="10">
        <v>2111429</v>
      </c>
      <c r="F16307" s="4" t="str">
        <f>IF(B16307=B16306,"",B16307)</f>
        <v/>
      </c>
    </row>
    <row r="16308" spans="1:6" ht="15.75" customHeight="1">
      <c r="A16308" s="8" t="str">
        <f ca="1">IFERROR(__xludf.DUMMYFUNCTION("GOOGLETRANSLATE(B34402,""en"",""pt"")"),"Omīdīyeh")</f>
        <v>Omīdīyeh</v>
      </c>
      <c r="B16308" s="11" t="s">
        <v>34167</v>
      </c>
      <c r="C16308" s="11" t="s">
        <v>14240</v>
      </c>
      <c r="D16308" s="11" t="s">
        <v>14271</v>
      </c>
      <c r="E16308" s="10">
        <v>121861</v>
      </c>
      <c r="F16308" s="4" t="str">
        <f>IF(B16308=B16307,"",B16308)</f>
        <v>Omīdīyeh</v>
      </c>
    </row>
    <row r="16309" spans="1:6" ht="15.75" customHeight="1">
      <c r="A16309" s="16" t="s">
        <v>18135</v>
      </c>
      <c r="B16309" s="15" t="s">
        <v>18136</v>
      </c>
      <c r="C16309" s="16" t="s">
        <v>17707</v>
      </c>
      <c r="D16309" s="16" t="s">
        <v>17723</v>
      </c>
      <c r="E16309" s="2">
        <v>3522343</v>
      </c>
      <c r="F16309" s="4" t="str">
        <f>IF(B16309=B16308,"",B16309)</f>
        <v>Ometepec</v>
      </c>
    </row>
    <row r="16310" spans="1:6" ht="15.75" customHeight="1">
      <c r="A16310" s="8" t="str">
        <f ca="1">IFERROR(__xludf.DUMMYFUNCTION("GOOGLETRANSLATE(B36961,""en"",""pt"")"),"OMETEPEC")</f>
        <v>OMETEPEC</v>
      </c>
      <c r="B16310" s="9" t="s">
        <v>18136</v>
      </c>
      <c r="C16310" s="9" t="s">
        <v>17707</v>
      </c>
      <c r="D16310" s="9" t="s">
        <v>17723</v>
      </c>
      <c r="E16310" s="10">
        <v>3522343</v>
      </c>
      <c r="F16310" s="4" t="str">
        <f>IF(B16310=B16309,"",B16310)</f>
        <v/>
      </c>
    </row>
    <row r="16311" spans="1:6" ht="15.75" customHeight="1">
      <c r="A16311" s="8" t="str">
        <f ca="1">IFERROR(__xludf.DUMMYFUNCTION("GOOGLETRANSLATE(B35350,""en"",""pt"")"),"Ōme")</f>
        <v>Ōme</v>
      </c>
      <c r="B16311" s="9" t="s">
        <v>34326</v>
      </c>
      <c r="C16311" s="9" t="s">
        <v>15704</v>
      </c>
      <c r="D16311" s="9" t="s">
        <v>15776</v>
      </c>
      <c r="E16311" s="10">
        <v>1854162</v>
      </c>
      <c r="F16311" s="4" t="str">
        <f>IF(B16311=B16310,"",B16311)</f>
        <v>Ōme</v>
      </c>
    </row>
    <row r="16312" spans="1:6" ht="15.75" customHeight="1">
      <c r="A16312" s="16" t="s">
        <v>25047</v>
      </c>
      <c r="B16312" s="15" t="s">
        <v>25047</v>
      </c>
      <c r="C16312" s="16" t="s">
        <v>24987</v>
      </c>
      <c r="D16312" s="16" t="s">
        <v>25040</v>
      </c>
      <c r="E16312" s="2">
        <v>365137</v>
      </c>
      <c r="F16312" s="4" t="str">
        <f>IF(B16312=B16311,"",B16312)</f>
        <v>Omdurman</v>
      </c>
    </row>
    <row r="16313" spans="1:6" ht="15.75" customHeight="1">
      <c r="A16313" s="8" t="str">
        <f ca="1">IFERROR(__xludf.DUMMYFUNCTION("GOOGLETRANSLATE(B41074,""en"",""pt"")"),"Omdurman")</f>
        <v>Omdurman</v>
      </c>
      <c r="B16313" s="9" t="s">
        <v>25047</v>
      </c>
      <c r="C16313" s="9" t="s">
        <v>24987</v>
      </c>
      <c r="D16313" s="9" t="s">
        <v>25040</v>
      </c>
      <c r="E16313" s="10">
        <v>365137</v>
      </c>
      <c r="F16313" s="4" t="str">
        <f>IF(B16313=B16312,"",B16313)</f>
        <v/>
      </c>
    </row>
    <row r="16314" spans="1:6" ht="15.75" customHeight="1">
      <c r="A16314" s="8" t="str">
        <f ca="1">IFERROR(__xludf.DUMMYFUNCTION("GOOGLETRANSLATE(B35351,""en"",""pt"")"),"Ōmamachō-'mama")</f>
        <v>Ōmamachō-'mama</v>
      </c>
      <c r="B16314" s="11" t="s">
        <v>34327</v>
      </c>
      <c r="C16314" s="11" t="s">
        <v>15704</v>
      </c>
      <c r="D16314" s="11" t="s">
        <v>15731</v>
      </c>
      <c r="E16314" s="10">
        <v>1854177</v>
      </c>
      <c r="F16314" s="4" t="str">
        <f>IF(B16314=B16313,"",B16314)</f>
        <v>Ōmamachō-ōmama</v>
      </c>
    </row>
    <row r="16315" spans="1:6" ht="15.75" customHeight="1">
      <c r="A16315" s="15" t="s">
        <v>29552</v>
      </c>
      <c r="B16315" s="15" t="s">
        <v>29552</v>
      </c>
      <c r="C16315" s="15" t="s">
        <v>27788</v>
      </c>
      <c r="D16315" s="15" t="s">
        <v>27995</v>
      </c>
      <c r="E16315" s="2">
        <v>5074472</v>
      </c>
      <c r="F16315" s="4" t="str">
        <f>IF(B16315=B16314,"",B16315)</f>
        <v>Omaha</v>
      </c>
    </row>
    <row r="16316" spans="1:6" ht="15.75" customHeight="1">
      <c r="A16316" s="8" t="str">
        <f ca="1">IFERROR(__xludf.DUMMYFUNCTION("GOOGLETRANSLATE(B44223,""en"",""pt"")"),"Omaha")</f>
        <v>Omaha</v>
      </c>
      <c r="B16316" s="11" t="s">
        <v>29552</v>
      </c>
      <c r="C16316" s="11" t="s">
        <v>27788</v>
      </c>
      <c r="D16316" s="11" t="s">
        <v>27995</v>
      </c>
      <c r="E16316" s="10">
        <v>5074472</v>
      </c>
      <c r="F16316" s="4" t="str">
        <f>IF(B16316=B16315,"",B16316)</f>
        <v/>
      </c>
    </row>
    <row r="16317" spans="1:6" ht="15.75" customHeight="1">
      <c r="A16317" s="15" t="s">
        <v>27580</v>
      </c>
      <c r="B16317" s="15" t="s">
        <v>27580</v>
      </c>
      <c r="C16317" s="15" t="s">
        <v>27234</v>
      </c>
      <c r="D16317" s="15" t="s">
        <v>27259</v>
      </c>
      <c r="E16317" s="2">
        <v>2640967</v>
      </c>
      <c r="F16317" s="4" t="str">
        <f>IF(B16317=B16316,"",B16317)</f>
        <v>Omagh</v>
      </c>
    </row>
    <row r="16318" spans="1:6" ht="15.75" customHeight="1">
      <c r="A16318" s="8" t="str">
        <f ca="1">IFERROR(__xludf.DUMMYFUNCTION("GOOGLETRANSLATE(B30497,""en"",""pt"")"),"Omagh")</f>
        <v>Omagh</v>
      </c>
      <c r="B16318" s="11" t="s">
        <v>27580</v>
      </c>
      <c r="C16318" s="11" t="s">
        <v>27234</v>
      </c>
      <c r="D16318" s="11" t="s">
        <v>27259</v>
      </c>
      <c r="E16318" s="10">
        <v>2640967</v>
      </c>
      <c r="F16318" s="4" t="str">
        <f>IF(B16318=B16317,"",B16318)</f>
        <v/>
      </c>
    </row>
    <row r="16319" spans="1:6" ht="15.75" customHeight="1">
      <c r="A16319" s="8" t="str">
        <f ca="1">IFERROR(__xludf.DUMMYFUNCTION("GOOGLETRANSLATE(B35745,""en"",""pt"")"),"Ōmagari")</f>
        <v>Ōmagari</v>
      </c>
      <c r="B16319" s="9" t="s">
        <v>34408</v>
      </c>
      <c r="C16319" s="9" t="s">
        <v>15704</v>
      </c>
      <c r="D16319" s="9" t="s">
        <v>15716</v>
      </c>
      <c r="E16319" s="10">
        <v>2111435</v>
      </c>
      <c r="F16319" s="4" t="str">
        <f>IF(B16319=B16318,"",B16319)</f>
        <v>Ōmagari</v>
      </c>
    </row>
    <row r="16320" spans="1:6" ht="15.75" customHeight="1">
      <c r="A16320" s="8" t="str">
        <f ca="1">IFERROR(__xludf.DUMMYFUNCTION("GOOGLETRANSLATE(B35352,""en"",""pt"")"),"Ōmachi")</f>
        <v>Ōmachi</v>
      </c>
      <c r="B16320" s="11" t="s">
        <v>34328</v>
      </c>
      <c r="C16320" s="11" t="s">
        <v>15704</v>
      </c>
      <c r="D16320" s="11" t="s">
        <v>15769</v>
      </c>
      <c r="E16320" s="10">
        <v>1854186</v>
      </c>
      <c r="F16320" s="4" t="str">
        <f>IF(B16320=B16319,"",B16320)</f>
        <v>Ōmachi</v>
      </c>
    </row>
    <row r="16321" spans="1:6" ht="15.75" customHeight="1">
      <c r="A16321" s="16" t="s">
        <v>14481</v>
      </c>
      <c r="B16321" s="15" t="s">
        <v>14482</v>
      </c>
      <c r="C16321" s="16" t="s">
        <v>14240</v>
      </c>
      <c r="D16321" s="16" t="s">
        <v>14271</v>
      </c>
      <c r="E16321" s="2">
        <v>121861</v>
      </c>
      <c r="F16321" s="4" t="str">
        <f>IF(B16321=B16320,"",B16321)</f>
        <v>OmÄ«dÄ«yeh</v>
      </c>
    </row>
    <row r="16322" spans="1:6" ht="15.75" customHeight="1">
      <c r="A16322" s="15" t="s">
        <v>29551</v>
      </c>
      <c r="B16322" s="15" t="s">
        <v>29551</v>
      </c>
      <c r="C16322" s="15" t="s">
        <v>27788</v>
      </c>
      <c r="D16322" s="15" t="s">
        <v>27733</v>
      </c>
      <c r="E16322" s="2">
        <v>5805687</v>
      </c>
      <c r="F16322" s="4" t="str">
        <f>IF(B16322=B16321,"",B16322)</f>
        <v>Olympia</v>
      </c>
    </row>
    <row r="16323" spans="1:6" ht="15.75" customHeight="1">
      <c r="A16323" s="8" t="str">
        <f ca="1">IFERROR(__xludf.DUMMYFUNCTION("GOOGLETRANSLATE(B45360,""en"",""pt"")"),"Olympia")</f>
        <v>Olympia</v>
      </c>
      <c r="B16323" s="9" t="s">
        <v>29551</v>
      </c>
      <c r="C16323" s="9" t="s">
        <v>27788</v>
      </c>
      <c r="D16323" s="9" t="s">
        <v>27733</v>
      </c>
      <c r="E16323" s="10">
        <v>5805687</v>
      </c>
      <c r="F16323" s="4" t="str">
        <f>IF(B16323=B16322,"",B16323)</f>
        <v/>
      </c>
    </row>
    <row r="16324" spans="1:6" ht="15.75" customHeight="1">
      <c r="A16324" s="15" t="s">
        <v>19538</v>
      </c>
      <c r="B16324" s="15" t="s">
        <v>19538</v>
      </c>
      <c r="C16324" s="15" t="s">
        <v>19294</v>
      </c>
      <c r="D16324" s="15" t="s">
        <v>19322</v>
      </c>
      <c r="E16324" s="2">
        <v>2326302</v>
      </c>
      <c r="F16324" s="4" t="str">
        <f>IF(B16324=B16323,"",B16324)</f>
        <v>Olupona</v>
      </c>
    </row>
    <row r="16325" spans="1:6" ht="15.75" customHeight="1">
      <c r="A16325" s="8" t="str">
        <f ca="1">IFERROR(__xludf.DUMMYFUNCTION("GOOGLETRANSLATE(B37651,""en"",""pt"")"),"Olupona")</f>
        <v>Olupona</v>
      </c>
      <c r="B16325" s="9" t="s">
        <v>19538</v>
      </c>
      <c r="C16325" s="9" t="s">
        <v>19294</v>
      </c>
      <c r="D16325" s="9" t="s">
        <v>19322</v>
      </c>
      <c r="E16325" s="10">
        <v>2326302</v>
      </c>
      <c r="F16325" s="4" t="str">
        <f>IF(B16325=B16324,"",B16325)</f>
        <v/>
      </c>
    </row>
    <row r="16326" spans="1:6" ht="15.75" customHeight="1">
      <c r="A16326" s="15" t="s">
        <v>26655</v>
      </c>
      <c r="B16326" s="15" t="s">
        <v>26655</v>
      </c>
      <c r="C16326" s="15" t="s">
        <v>26201</v>
      </c>
      <c r="D16326" s="15" t="s">
        <v>26268</v>
      </c>
      <c r="E16326" s="2">
        <v>741160</v>
      </c>
      <c r="F16326" s="4" t="str">
        <f>IF(B16326=B16325,"",B16326)</f>
        <v>Oltu</v>
      </c>
    </row>
    <row r="16327" spans="1:6" ht="15.75" customHeight="1">
      <c r="A16327" s="8" t="str">
        <f ca="1">IFERROR(__xludf.DUMMYFUNCTION("GOOGLETRANSLATE(B42129,""en"",""pt"")"),"Oltu")</f>
        <v>Oltu</v>
      </c>
      <c r="B16327" s="9" t="s">
        <v>26655</v>
      </c>
      <c r="C16327" s="9" t="s">
        <v>26201</v>
      </c>
      <c r="D16327" s="9" t="s">
        <v>26268</v>
      </c>
      <c r="E16327" s="10">
        <v>741160</v>
      </c>
      <c r="F16327" s="4" t="str">
        <f>IF(B16327=B16326,"",B16327)</f>
        <v/>
      </c>
    </row>
    <row r="16328" spans="1:6" ht="15.75" customHeight="1">
      <c r="A16328" s="16" t="s">
        <v>30576</v>
      </c>
      <c r="B16328" s="15" t="s">
        <v>30577</v>
      </c>
      <c r="C16328" s="16" t="s">
        <v>30502</v>
      </c>
      <c r="D16328" s="16" t="s">
        <v>30511</v>
      </c>
      <c r="E16328" s="2">
        <v>601417</v>
      </c>
      <c r="F16328" s="4" t="str">
        <f>IF(B16328=B16327,"",B16328)</f>
        <v>Oltinkoâ€™l</v>
      </c>
    </row>
    <row r="16329" spans="1:6" ht="15.75" customHeight="1">
      <c r="A16329" s="8" t="str">
        <f ca="1">IFERROR(__xludf.DUMMYFUNCTION("GOOGLETRANSLATE(B45502,""en"",""pt"")"),"Oltinko'l")</f>
        <v>Oltinko'l</v>
      </c>
      <c r="B16329" s="9" t="s">
        <v>36060</v>
      </c>
      <c r="C16329" s="9" t="s">
        <v>30502</v>
      </c>
      <c r="D16329" s="9" t="s">
        <v>30511</v>
      </c>
      <c r="E16329" s="10">
        <v>601417</v>
      </c>
      <c r="F16329" s="4" t="str">
        <f>IF(B16329=B16328,"",B16329)</f>
        <v>Oltinko’l</v>
      </c>
    </row>
    <row r="16330" spans="1:6" ht="15.75" customHeight="1">
      <c r="A16330" s="15" t="s">
        <v>30575</v>
      </c>
      <c r="B16330" s="15" t="s">
        <v>30575</v>
      </c>
      <c r="C16330" s="15" t="s">
        <v>30502</v>
      </c>
      <c r="D16330" s="15" t="s">
        <v>30513</v>
      </c>
      <c r="E16330" s="2">
        <v>1514615</v>
      </c>
      <c r="F16330" s="4" t="str">
        <f>IF(B16330=B16329,"",B16330)</f>
        <v>Oltiariq</v>
      </c>
    </row>
    <row r="16331" spans="1:6" ht="15.75" customHeight="1">
      <c r="A16331" s="8" t="str">
        <f ca="1">IFERROR(__xludf.DUMMYFUNCTION("GOOGLETRANSLATE(B45593,""en"",""pt"")"),"Oltiariq")</f>
        <v>Oltiariq</v>
      </c>
      <c r="B16331" s="9" t="s">
        <v>30575</v>
      </c>
      <c r="C16331" s="9" t="s">
        <v>30502</v>
      </c>
      <c r="D16331" s="9" t="s">
        <v>30513</v>
      </c>
      <c r="E16331" s="10">
        <v>1514615</v>
      </c>
      <c r="F16331" s="4" t="str">
        <f>IF(B16331=B16330,"",B16331)</f>
        <v/>
      </c>
    </row>
    <row r="16332" spans="1:6" ht="15.75" customHeight="1">
      <c r="A16332" s="8" t="str">
        <f ca="1">IFERROR(__xludf.DUMMYFUNCTION("GOOGLETRANSLATE(B39769,""en"",""pt"")"),"Olteniţa")</f>
        <v>Olteniţa</v>
      </c>
      <c r="B16332" s="11" t="s">
        <v>35370</v>
      </c>
      <c r="C16332" s="11" t="s">
        <v>21824</v>
      </c>
      <c r="D16332" s="11" t="s">
        <v>35371</v>
      </c>
      <c r="E16332" s="10">
        <v>671832</v>
      </c>
      <c r="F16332" s="4" t="str">
        <f>IF(B16332=B16331,"",B16332)</f>
        <v>Olteniţa</v>
      </c>
    </row>
    <row r="16333" spans="1:6" ht="15.75" customHeight="1">
      <c r="A16333" s="16" t="s">
        <v>21973</v>
      </c>
      <c r="B16333" s="15" t="s">
        <v>21974</v>
      </c>
      <c r="C16333" s="16" t="s">
        <v>21824</v>
      </c>
      <c r="D16333" s="16" t="s">
        <v>21975</v>
      </c>
      <c r="E16333" s="2">
        <v>671832</v>
      </c>
      <c r="F16333" s="4" t="str">
        <f>IF(B16333=B16332,"",B16333)</f>
        <v>OlteniÅ£a</v>
      </c>
    </row>
    <row r="16334" spans="1:6" ht="15.75" customHeight="1">
      <c r="A16334" s="15" t="s">
        <v>25299</v>
      </c>
      <c r="B16334" s="15" t="s">
        <v>25299</v>
      </c>
      <c r="C16334" s="15" t="s">
        <v>25237</v>
      </c>
      <c r="D16334" s="15" t="s">
        <v>25270</v>
      </c>
      <c r="E16334" s="2">
        <v>2659297</v>
      </c>
      <c r="F16334" s="4" t="str">
        <f>IF(B16334=B16333,"",B16334)</f>
        <v>Olten</v>
      </c>
    </row>
    <row r="16335" spans="1:6" ht="15.75" customHeight="1">
      <c r="A16335" s="8" t="str">
        <f ca="1">IFERROR(__xludf.DUMMYFUNCTION("GOOGLETRANSLATE(B25762,""en"",""pt"")"),"Olten")</f>
        <v>Olten</v>
      </c>
      <c r="B16335" s="9" t="s">
        <v>25299</v>
      </c>
      <c r="C16335" s="9" t="s">
        <v>25237</v>
      </c>
      <c r="D16335" s="9" t="s">
        <v>25270</v>
      </c>
      <c r="E16335" s="10">
        <v>2659297</v>
      </c>
      <c r="F16335" s="4" t="str">
        <f>IF(B16335=B16334,"",B16335)</f>
        <v/>
      </c>
    </row>
    <row r="16336" spans="1:6" ht="15.75" customHeight="1">
      <c r="A16336" s="15" t="s">
        <v>21396</v>
      </c>
      <c r="B16336" s="15" t="s">
        <v>21396</v>
      </c>
      <c r="C16336" s="15" t="s">
        <v>21064</v>
      </c>
      <c r="D16336" s="15" t="s">
        <v>21131</v>
      </c>
      <c r="E16336" s="2">
        <v>763166</v>
      </c>
      <c r="F16336" s="4" t="str">
        <f>IF(B16336=B16335,"",B16336)</f>
        <v>Olsztyn</v>
      </c>
    </row>
    <row r="16337" spans="1:6" ht="15.75" customHeight="1">
      <c r="A16337" s="8" t="str">
        <f ca="1">IFERROR(__xludf.DUMMYFUNCTION("GOOGLETRANSLATE(B39234,""en"",""pt"")"),"Olsztyn")</f>
        <v>Olsztyn</v>
      </c>
      <c r="B16337" s="9" t="s">
        <v>21396</v>
      </c>
      <c r="C16337" s="9" t="s">
        <v>21064</v>
      </c>
      <c r="D16337" s="9" t="s">
        <v>21131</v>
      </c>
      <c r="E16337" s="10">
        <v>763166</v>
      </c>
      <c r="F16337" s="4" t="str">
        <f>IF(B16337=B16336,"",B16337)</f>
        <v/>
      </c>
    </row>
    <row r="16338" spans="1:6" ht="15.75" customHeight="1">
      <c r="A16338" s="15" t="s">
        <v>8965</v>
      </c>
      <c r="B16338" s="15" t="s">
        <v>8965</v>
      </c>
      <c r="C16338" s="15" t="s">
        <v>8028</v>
      </c>
      <c r="D16338" s="15" t="s">
        <v>8029</v>
      </c>
      <c r="E16338" s="2">
        <v>2857291</v>
      </c>
      <c r="F16338" s="4" t="str">
        <f>IF(B16338=B16337,"",B16338)</f>
        <v>Olsberg</v>
      </c>
    </row>
    <row r="16339" spans="1:6" ht="15.75" customHeight="1">
      <c r="A16339" s="8" t="str">
        <f ca="1">IFERROR(__xludf.DUMMYFUNCTION("GOOGLETRANSLATE(B27670,""en"",""pt"")"),"Olsberg")</f>
        <v>Olsberg</v>
      </c>
      <c r="B16339" s="9" t="s">
        <v>8965</v>
      </c>
      <c r="C16339" s="9" t="s">
        <v>8028</v>
      </c>
      <c r="D16339" s="9" t="s">
        <v>8029</v>
      </c>
      <c r="E16339" s="10">
        <v>2857291</v>
      </c>
      <c r="F16339" s="4" t="str">
        <f>IF(B16339=B16338,"",B16339)</f>
        <v/>
      </c>
    </row>
    <row r="16340" spans="1:6" ht="15.75" customHeight="1">
      <c r="A16340" s="15" t="s">
        <v>8964</v>
      </c>
      <c r="B16340" s="15" t="s">
        <v>8964</v>
      </c>
      <c r="C16340" s="15" t="s">
        <v>8028</v>
      </c>
      <c r="D16340" s="15" t="s">
        <v>8029</v>
      </c>
      <c r="E16340" s="2">
        <v>2857306</v>
      </c>
      <c r="F16340" s="4" t="str">
        <f>IF(B16340=B16339,"",B16340)</f>
        <v>Olpe</v>
      </c>
    </row>
    <row r="16341" spans="1:6" ht="15.75" customHeight="1">
      <c r="A16341" s="8" t="str">
        <f ca="1">IFERROR(__xludf.DUMMYFUNCTION("GOOGLETRANSLATE(B27671,""en"",""pt"")"),"Olpe")</f>
        <v>Olpe</v>
      </c>
      <c r="B16341" s="9" t="s">
        <v>8964</v>
      </c>
      <c r="C16341" s="9" t="s">
        <v>8028</v>
      </c>
      <c r="D16341" s="9" t="s">
        <v>8029</v>
      </c>
      <c r="E16341" s="10">
        <v>2857306</v>
      </c>
      <c r="F16341" s="4" t="str">
        <f>IF(B16341=B16340,"",B16341)</f>
        <v/>
      </c>
    </row>
    <row r="16342" spans="1:6" ht="15.75" customHeight="1">
      <c r="A16342" s="15" t="s">
        <v>24664</v>
      </c>
      <c r="B16342" s="15" t="s">
        <v>24665</v>
      </c>
      <c r="C16342" s="15" t="s">
        <v>24200</v>
      </c>
      <c r="D16342" s="15" t="s">
        <v>24277</v>
      </c>
      <c r="E16342" s="2">
        <v>3115093</v>
      </c>
      <c r="F16342" s="4" t="str">
        <f>IF(B16342=B16341,"",B16342)</f>
        <v>Olot</v>
      </c>
    </row>
    <row r="16343" spans="1:6" ht="15.75" customHeight="1">
      <c r="A16343" s="8" t="str">
        <f ca="1">IFERROR(__xludf.DUMMYFUNCTION("GOOGLETRANSLATE(B29339,""en"",""pt"")"),"OLOT")</f>
        <v>OLOT</v>
      </c>
      <c r="B16343" s="11" t="s">
        <v>24665</v>
      </c>
      <c r="C16343" s="11" t="s">
        <v>24200</v>
      </c>
      <c r="D16343" s="11" t="s">
        <v>24277</v>
      </c>
      <c r="E16343" s="10">
        <v>3115093</v>
      </c>
      <c r="F16343" s="4" t="str">
        <f>IF(B16343=B16342,"",B16343)</f>
        <v/>
      </c>
    </row>
    <row r="16344" spans="1:6" ht="15.75" customHeight="1">
      <c r="A16344" s="15" t="s">
        <v>20926</v>
      </c>
      <c r="B16344" s="15" t="s">
        <v>20926</v>
      </c>
      <c r="C16344" s="15" t="s">
        <v>20598</v>
      </c>
      <c r="D16344" s="15" t="s">
        <v>20599</v>
      </c>
      <c r="E16344" s="2">
        <v>1697175</v>
      </c>
      <c r="F16344" s="4" t="str">
        <f>IF(B16344=B16343,"",B16344)</f>
        <v>Olongapo</v>
      </c>
    </row>
    <row r="16345" spans="1:6" ht="15.75" customHeight="1">
      <c r="A16345" s="8" t="str">
        <f ca="1">IFERROR(__xludf.DUMMYFUNCTION("GOOGLETRANSLATE(B38581,""en"",""pt"")"),"Olongapo")</f>
        <v>Olongapo</v>
      </c>
      <c r="B16345" s="11" t="s">
        <v>20926</v>
      </c>
      <c r="C16345" s="11" t="s">
        <v>20598</v>
      </c>
      <c r="D16345" s="11" t="s">
        <v>20599</v>
      </c>
      <c r="E16345" s="10">
        <v>1697175</v>
      </c>
      <c r="F16345" s="4" t="str">
        <f>IF(B16345=B16344,"",B16345)</f>
        <v/>
      </c>
    </row>
    <row r="16346" spans="1:6" ht="15.75" customHeight="1">
      <c r="A16346" s="15" t="s">
        <v>6071</v>
      </c>
      <c r="B16346" s="15" t="s">
        <v>6071</v>
      </c>
      <c r="C16346" s="15" t="s">
        <v>5947</v>
      </c>
      <c r="D16346" s="15" t="s">
        <v>5948</v>
      </c>
      <c r="E16346" s="2">
        <v>3069011</v>
      </c>
      <c r="F16346" s="4" t="str">
        <f>IF(B16346=B16345,"",B16346)</f>
        <v>Olomouc</v>
      </c>
    </row>
    <row r="16347" spans="1:6" ht="15.75" customHeight="1">
      <c r="A16347" s="8" t="str">
        <f ca="1">IFERROR(__xludf.DUMMYFUNCTION("GOOGLETRANSLATE(B27284,""en"",""pt"")"),"Olomouc")</f>
        <v>Olomouc</v>
      </c>
      <c r="B16347" s="11" t="s">
        <v>6071</v>
      </c>
      <c r="C16347" s="11" t="s">
        <v>5947</v>
      </c>
      <c r="D16347" s="11" t="s">
        <v>31957</v>
      </c>
      <c r="E16347" s="10">
        <v>3069011</v>
      </c>
      <c r="F16347" s="4" t="str">
        <f>IF(B16347=B16346,"",B16347)</f>
        <v/>
      </c>
    </row>
    <row r="16348" spans="1:6" ht="15.75" customHeight="1">
      <c r="A16348" s="15" t="s">
        <v>29550</v>
      </c>
      <c r="B16348" s="15" t="s">
        <v>29550</v>
      </c>
      <c r="C16348" s="15" t="s">
        <v>27788</v>
      </c>
      <c r="D16348" s="15" t="s">
        <v>17061</v>
      </c>
      <c r="E16348" s="2">
        <v>4364537</v>
      </c>
      <c r="F16348" s="4" t="str">
        <f>IF(B16348=B16347,"",B16348)</f>
        <v>Olney</v>
      </c>
    </row>
    <row r="16349" spans="1:6" ht="15.75" customHeight="1">
      <c r="A16349" s="8" t="str">
        <f ca="1">IFERROR(__xludf.DUMMYFUNCTION("GOOGLETRANSLATE(B43314,""en"",""pt"")"),"Olney")</f>
        <v>Olney</v>
      </c>
      <c r="B16349" s="11" t="s">
        <v>29550</v>
      </c>
      <c r="C16349" s="11" t="s">
        <v>27788</v>
      </c>
      <c r="D16349" s="11" t="s">
        <v>17061</v>
      </c>
      <c r="E16349" s="10">
        <v>4364537</v>
      </c>
      <c r="F16349" s="4" t="str">
        <f>IF(B16349=B16348,"",B16349)</f>
        <v/>
      </c>
    </row>
    <row r="16350" spans="1:6" ht="15.75" customHeight="1">
      <c r="A16350" s="15" t="s">
        <v>30574</v>
      </c>
      <c r="B16350" s="15" t="s">
        <v>30574</v>
      </c>
      <c r="C16350" s="15" t="s">
        <v>30502</v>
      </c>
      <c r="D16350" s="15" t="s">
        <v>30504</v>
      </c>
      <c r="E16350" s="2">
        <v>1513064</v>
      </c>
      <c r="F16350" s="4" t="str">
        <f>IF(B16350=B16349,"",B16350)</f>
        <v>Olmaliq</v>
      </c>
    </row>
    <row r="16351" spans="1:6" ht="15.75" customHeight="1">
      <c r="A16351" s="8" t="str">
        <f ca="1">IFERROR(__xludf.DUMMYFUNCTION("GOOGLETRANSLATE(B45555,""en"",""pt"")"),"Olmaliq")</f>
        <v>Olmaliq</v>
      </c>
      <c r="B16351" s="11" t="s">
        <v>30574</v>
      </c>
      <c r="C16351" s="11" t="s">
        <v>30502</v>
      </c>
      <c r="D16351" s="11" t="s">
        <v>30504</v>
      </c>
      <c r="E16351" s="10">
        <v>1513064</v>
      </c>
      <c r="F16351" s="4" t="str">
        <f>IF(B16351=B16350,"",B16351)</f>
        <v/>
      </c>
    </row>
    <row r="16352" spans="1:6" ht="15.75" customHeight="1">
      <c r="A16352" s="15" t="s">
        <v>21395</v>
      </c>
      <c r="B16352" s="15" t="s">
        <v>21395</v>
      </c>
      <c r="C16352" s="15" t="s">
        <v>21064</v>
      </c>
      <c r="D16352" s="15" t="s">
        <v>21108</v>
      </c>
      <c r="E16352" s="2">
        <v>3090146</v>
      </c>
      <c r="F16352" s="4" t="str">
        <f>IF(B16352=B16351,"",B16352)</f>
        <v>Olkusz</v>
      </c>
    </row>
    <row r="16353" spans="1:6" ht="15.75" customHeight="1">
      <c r="A16353" s="8" t="str">
        <f ca="1">IFERROR(__xludf.DUMMYFUNCTION("GOOGLETRANSLATE(B39389,""en"",""pt"")"),"Olkusz")</f>
        <v>Olkusz</v>
      </c>
      <c r="B16353" s="11" t="s">
        <v>21395</v>
      </c>
      <c r="C16353" s="11" t="s">
        <v>21064</v>
      </c>
      <c r="D16353" s="11" t="s">
        <v>21108</v>
      </c>
      <c r="E16353" s="10">
        <v>3090146</v>
      </c>
      <c r="F16353" s="4" t="str">
        <f>IF(B16353=B16352,"",B16353)</f>
        <v/>
      </c>
    </row>
    <row r="16354" spans="1:6" ht="15.75" customHeight="1">
      <c r="A16354" s="15" t="s">
        <v>7654</v>
      </c>
      <c r="B16354" s="15" t="s">
        <v>7654</v>
      </c>
      <c r="C16354" s="15" t="s">
        <v>7052</v>
      </c>
      <c r="D16354" s="15" t="s">
        <v>3813</v>
      </c>
      <c r="E16354" s="2">
        <v>2989611</v>
      </c>
      <c r="F16354" s="4" t="str">
        <f>IF(B16354=B16353,"",B16354)</f>
        <v>Olivet</v>
      </c>
    </row>
    <row r="16355" spans="1:6" ht="15.75" customHeight="1">
      <c r="A16355" s="8" t="str">
        <f ca="1">IFERROR(__xludf.DUMMYFUNCTION("GOOGLETRANSLATE(B29871,""en"",""pt"")"),"Olivet")</f>
        <v>Olivet</v>
      </c>
      <c r="B16355" s="11" t="s">
        <v>7654</v>
      </c>
      <c r="C16355" s="11" t="s">
        <v>7052</v>
      </c>
      <c r="D16355" s="11" t="s">
        <v>3813</v>
      </c>
      <c r="E16355" s="10">
        <v>2989611</v>
      </c>
      <c r="F16355" s="4" t="str">
        <f>IF(B16355=B16354,"",B16355)</f>
        <v/>
      </c>
    </row>
    <row r="16356" spans="1:6" ht="15.75" customHeight="1">
      <c r="A16356" s="16" t="s">
        <v>24663</v>
      </c>
      <c r="B16356" s="15" t="s">
        <v>24663</v>
      </c>
      <c r="C16356" s="16" t="s">
        <v>24200</v>
      </c>
      <c r="D16356" s="16" t="s">
        <v>24226</v>
      </c>
      <c r="E16356" s="2">
        <v>6615444</v>
      </c>
      <c r="F16356" s="4" t="str">
        <f>IF(B16356=B16355,"",B16356)</f>
        <v>Oliver-Valdefierro</v>
      </c>
    </row>
    <row r="16357" spans="1:6" ht="15.75" customHeight="1">
      <c r="A16357" s="8" t="str">
        <f ca="1">IFERROR(__xludf.DUMMYFUNCTION("GOOGLETRANSLATE(B29504,""en"",""pt"")"),"Oliver-Valdefierro")</f>
        <v>Oliver-Valdefierro</v>
      </c>
      <c r="B16357" s="11" t="s">
        <v>24663</v>
      </c>
      <c r="C16357" s="11" t="s">
        <v>24200</v>
      </c>
      <c r="D16357" s="11" t="s">
        <v>24226</v>
      </c>
      <c r="E16357" s="10">
        <v>6615444</v>
      </c>
      <c r="F16357" s="4" t="str">
        <f>IF(B16357=B16356,"",B16357)</f>
        <v/>
      </c>
    </row>
    <row r="16358" spans="1:6" ht="15.75" customHeight="1">
      <c r="A16358" s="16" t="s">
        <v>21695</v>
      </c>
      <c r="B16358" s="15" t="s">
        <v>21695</v>
      </c>
      <c r="C16358" s="16" t="s">
        <v>21606</v>
      </c>
      <c r="D16358" s="16" t="s">
        <v>21609</v>
      </c>
      <c r="E16358" s="2">
        <v>2737039</v>
      </c>
      <c r="F16358" s="4" t="str">
        <f>IF(B16358=B16357,"",B16358)</f>
        <v>Oliveira do Douro</v>
      </c>
    </row>
    <row r="16359" spans="1:6" ht="15.75" customHeight="1">
      <c r="A16359" s="8" t="str">
        <f ca="1">IFERROR(__xludf.DUMMYFUNCTION("GOOGLETRANSLATE(B39649,""en"",""pt"")"),"Oliveira do Douro")</f>
        <v>Oliveira do Douro</v>
      </c>
      <c r="B16359" s="11" t="s">
        <v>21695</v>
      </c>
      <c r="C16359" s="11" t="s">
        <v>21606</v>
      </c>
      <c r="D16359" s="11" t="s">
        <v>21609</v>
      </c>
      <c r="E16359" s="10">
        <v>2737039</v>
      </c>
      <c r="F16359" s="4" t="str">
        <f>IF(B16359=B16358,"",B16359)</f>
        <v/>
      </c>
    </row>
    <row r="16360" spans="1:6" ht="15.75" customHeight="1">
      <c r="A16360" s="15" t="s">
        <v>2986</v>
      </c>
      <c r="B16360" s="15" t="s">
        <v>2986</v>
      </c>
      <c r="C16360" s="15" t="s">
        <v>1905</v>
      </c>
      <c r="D16360" s="15" t="s">
        <v>1917</v>
      </c>
      <c r="E16360" s="2">
        <v>3455908</v>
      </c>
      <c r="F16360" s="4" t="str">
        <f>IF(B16360=B16359,"",B16360)</f>
        <v>Oliveira</v>
      </c>
    </row>
    <row r="16361" spans="1:6" ht="15.75" customHeight="1">
      <c r="A16361" s="8" t="str">
        <f ca="1">IFERROR(__xludf.DUMMYFUNCTION("GOOGLETRANSLATE(B24767,""en"",""pt"")"),"Oliveira")</f>
        <v>Oliveira</v>
      </c>
      <c r="B16361" s="9" t="s">
        <v>2986</v>
      </c>
      <c r="C16361" s="9" t="s">
        <v>1905</v>
      </c>
      <c r="D16361" s="9" t="s">
        <v>1917</v>
      </c>
      <c r="E16361" s="10">
        <v>3455908</v>
      </c>
      <c r="F16361" s="4" t="str">
        <f>IF(B16361=B16360,"",B16361)</f>
        <v/>
      </c>
    </row>
    <row r="16362" spans="1:6" ht="15.75" customHeight="1">
      <c r="A16362" s="16" t="s">
        <v>29548</v>
      </c>
      <c r="B16362" s="15" t="s">
        <v>29549</v>
      </c>
      <c r="C16362" s="16" t="s">
        <v>27788</v>
      </c>
      <c r="D16362" s="16" t="s">
        <v>28040</v>
      </c>
      <c r="E16362" s="2">
        <v>4439869</v>
      </c>
      <c r="F16362" s="4" t="str">
        <f>IF(B16362=B16361,"",B16362)</f>
        <v>Olive Branch</v>
      </c>
    </row>
    <row r="16363" spans="1:6" ht="15.75" customHeight="1">
      <c r="A16363" s="8" t="str">
        <f ca="1">IFERROR(__xludf.DUMMYFUNCTION("GOOGLETRANSLATE(B43416,""en"",""pt"")"),"Ramo de oliveira")</f>
        <v>Ramo de oliveira</v>
      </c>
      <c r="B16363" s="9" t="s">
        <v>29549</v>
      </c>
      <c r="C16363" s="9" t="s">
        <v>27788</v>
      </c>
      <c r="D16363" s="9" t="s">
        <v>28040</v>
      </c>
      <c r="E16363" s="10">
        <v>4439869</v>
      </c>
      <c r="F16363" s="4" t="str">
        <f>IF(B16363=B16362,"",B16363)</f>
        <v/>
      </c>
    </row>
    <row r="16364" spans="1:6" ht="15.75" customHeight="1">
      <c r="A16364" s="15" t="s">
        <v>24662</v>
      </c>
      <c r="B16364" s="15" t="s">
        <v>24662</v>
      </c>
      <c r="C16364" s="15" t="s">
        <v>24200</v>
      </c>
      <c r="D16364" s="15" t="s">
        <v>21053</v>
      </c>
      <c r="E16364" s="2">
        <v>2513145</v>
      </c>
      <c r="F16364" s="4" t="str">
        <f>IF(B16364=B16363,"",B16364)</f>
        <v>Oliva</v>
      </c>
    </row>
    <row r="16365" spans="1:6" ht="15.75" customHeight="1">
      <c r="A16365" s="8" t="str">
        <f ca="1">IFERROR(__xludf.DUMMYFUNCTION("GOOGLETRANSLATE(B29037,""en"",""pt"")"),"Oliva")</f>
        <v>Oliva</v>
      </c>
      <c r="B16365" s="9" t="s">
        <v>24662</v>
      </c>
      <c r="C16365" s="9" t="s">
        <v>24200</v>
      </c>
      <c r="D16365" s="9" t="s">
        <v>21053</v>
      </c>
      <c r="E16365" s="10">
        <v>2513145</v>
      </c>
      <c r="F16365" s="4" t="str">
        <f>IF(B16365=B16364,"",B16365)</f>
        <v/>
      </c>
    </row>
    <row r="16366" spans="1:6" ht="15.75" customHeight="1">
      <c r="A16366" s="15" t="s">
        <v>2985</v>
      </c>
      <c r="B16366" s="15" t="s">
        <v>2985</v>
      </c>
      <c r="C16366" s="15" t="s">
        <v>1905</v>
      </c>
      <c r="D16366" s="15" t="s">
        <v>1909</v>
      </c>
      <c r="E16366" s="2">
        <v>3393536</v>
      </c>
      <c r="F16366" s="4" t="str">
        <f>IF(B16366=B16365,"",B16366)</f>
        <v>Olinda</v>
      </c>
    </row>
    <row r="16367" spans="1:6" ht="15.75" customHeight="1">
      <c r="A16367" s="8" t="str">
        <f ca="1">IFERROR(__xludf.DUMMYFUNCTION("GOOGLETRANSLATE(B24252,""en"",""pt"")"),"Olinda")</f>
        <v>Olinda</v>
      </c>
      <c r="B16367" s="11" t="s">
        <v>2985</v>
      </c>
      <c r="C16367" s="11" t="s">
        <v>1905</v>
      </c>
      <c r="D16367" s="11" t="s">
        <v>1909</v>
      </c>
      <c r="E16367" s="10">
        <v>3393536</v>
      </c>
      <c r="F16367" s="4" t="str">
        <f>IF(B16367=B16366,"",B16367)</f>
        <v/>
      </c>
    </row>
    <row r="16368" spans="1:6" ht="15.75" customHeight="1">
      <c r="A16368" s="8" t="str">
        <f ca="1">IFERROR(__xludf.DUMMYFUNCTION("GOOGLETRANSLATE(B24768,""en"",""pt"")"),"Olímpia")</f>
        <v>Olímpia</v>
      </c>
      <c r="B16368" s="9" t="s">
        <v>31576</v>
      </c>
      <c r="C16368" s="9" t="s">
        <v>1905</v>
      </c>
      <c r="D16368" s="9" t="s">
        <v>3354</v>
      </c>
      <c r="E16368" s="10">
        <v>3455923</v>
      </c>
      <c r="F16368" s="4" t="str">
        <f>IF(B16368=B16367,"",B16368)</f>
        <v>Olímpia</v>
      </c>
    </row>
    <row r="16369" spans="1:6" ht="15.75" customHeight="1">
      <c r="A16369" s="8" t="str">
        <f ca="1">IFERROR(__xludf.DUMMYFUNCTION("GOOGLETRANSLATE(B39591,""en"",""pt"")"),"Olhão")</f>
        <v>Olhão</v>
      </c>
      <c r="B16369" s="9" t="s">
        <v>35295</v>
      </c>
      <c r="C16369" s="9" t="s">
        <v>21606</v>
      </c>
      <c r="D16369" s="9" t="s">
        <v>21614</v>
      </c>
      <c r="E16369" s="10">
        <v>2265447</v>
      </c>
      <c r="F16369" s="4" t="str">
        <f>IF(B16369=B16368,"",B16369)</f>
        <v>Olhão</v>
      </c>
    </row>
    <row r="16370" spans="1:6" ht="15.75" customHeight="1">
      <c r="A16370" s="15" t="s">
        <v>21693</v>
      </c>
      <c r="B16370" s="15" t="s">
        <v>21694</v>
      </c>
      <c r="C16370" s="15" t="s">
        <v>21606</v>
      </c>
      <c r="D16370" s="15" t="s">
        <v>21614</v>
      </c>
      <c r="E16370" s="2">
        <v>2265447</v>
      </c>
      <c r="F16370" s="4" t="str">
        <f>IF(B16370=B16369,"",B16370)</f>
        <v>OlhÃ£o</v>
      </c>
    </row>
    <row r="16371" spans="1:6" ht="15.75" customHeight="1">
      <c r="A16371" s="8" t="str">
        <f ca="1">IFERROR(__xludf.DUMMYFUNCTION("GOOGLETRANSLATE(B36764,""en"",""pt"")"),"Ölgiy")</f>
        <v>Ölgiy</v>
      </c>
      <c r="B16371" s="9" t="s">
        <v>34636</v>
      </c>
      <c r="C16371" s="9" t="s">
        <v>18496</v>
      </c>
      <c r="D16371" s="9" t="s">
        <v>34637</v>
      </c>
      <c r="E16371" s="10">
        <v>1515436</v>
      </c>
      <c r="F16371" s="4" t="str">
        <f>IF(B16371=B16370,"",B16371)</f>
        <v>Ölgiy</v>
      </c>
    </row>
    <row r="16372" spans="1:6" ht="15.75" customHeight="1">
      <c r="A16372" s="8" t="str">
        <f ca="1">IFERROR(__xludf.DUMMYFUNCTION("GOOGLETRANSLATE(B39390,""en"",""pt"")"),"Oleśnica")</f>
        <v>Oleśnica</v>
      </c>
      <c r="B16372" s="11" t="s">
        <v>35187</v>
      </c>
      <c r="C16372" s="11" t="s">
        <v>21064</v>
      </c>
      <c r="D16372" s="11" t="s">
        <v>21118</v>
      </c>
      <c r="E16372" s="10">
        <v>3090170</v>
      </c>
      <c r="F16372" s="4" t="str">
        <f>IF(B16372=B16371,"",B16372)</f>
        <v>Oleśnica</v>
      </c>
    </row>
    <row r="16373" spans="1:6" ht="15.75" customHeight="1">
      <c r="A16373" s="16" t="s">
        <v>24661</v>
      </c>
      <c r="B16373" s="15" t="s">
        <v>24661</v>
      </c>
      <c r="C16373" s="16" t="s">
        <v>24200</v>
      </c>
      <c r="D16373" s="16" t="s">
        <v>24277</v>
      </c>
      <c r="E16373" s="2">
        <v>3115171</v>
      </c>
      <c r="F16373" s="4" t="str">
        <f>IF(B16373=B16372,"",B16373)</f>
        <v>Olesa de Montserrat</v>
      </c>
    </row>
    <row r="16374" spans="1:6" ht="15.75" customHeight="1">
      <c r="A16374" s="8" t="str">
        <f ca="1">IFERROR(__xludf.DUMMYFUNCTION("GOOGLETRANSLATE(B29340,""en"",""pt"")"),"Olesa de Montserrat")</f>
        <v>Olesa de Montserrat</v>
      </c>
      <c r="B16374" s="11" t="s">
        <v>24661</v>
      </c>
      <c r="C16374" s="11" t="s">
        <v>24200</v>
      </c>
      <c r="D16374" s="11" t="s">
        <v>24277</v>
      </c>
      <c r="E16374" s="10">
        <v>3115171</v>
      </c>
      <c r="F16374" s="4" t="str">
        <f>IF(B16374=B16373,"",B16374)</f>
        <v/>
      </c>
    </row>
    <row r="16375" spans="1:6" ht="15.75" customHeight="1">
      <c r="A16375" s="16" t="s">
        <v>22888</v>
      </c>
      <c r="B16375" s="15" t="s">
        <v>22888</v>
      </c>
      <c r="C16375" s="16" t="s">
        <v>22070</v>
      </c>
      <c r="D16375" s="16" t="s">
        <v>22143</v>
      </c>
      <c r="E16375" s="2">
        <v>515698</v>
      </c>
      <c r="F16375" s="4" t="str">
        <f>IF(B16375=B16374,"",B16375)</f>
        <v>Olenegorsk</v>
      </c>
    </row>
    <row r="16376" spans="1:6" ht="15.75" customHeight="1">
      <c r="A16376" s="8" t="str">
        <f ca="1">IFERROR(__xludf.DUMMYFUNCTION("GOOGLETRANSLATE(B40236,""en"",""pt"")"),"Olenegorsk")</f>
        <v>Olenegorsk</v>
      </c>
      <c r="B16376" s="11" t="s">
        <v>22888</v>
      </c>
      <c r="C16376" s="11" t="s">
        <v>22070</v>
      </c>
      <c r="D16376" s="11" t="s">
        <v>22143</v>
      </c>
      <c r="E16376" s="10">
        <v>515698</v>
      </c>
      <c r="F16376" s="4" t="str">
        <f>IF(B16376=B16375,"",B16376)</f>
        <v/>
      </c>
    </row>
    <row r="16377" spans="1:6" ht="15.75" customHeight="1">
      <c r="A16377" s="16" t="s">
        <v>27099</v>
      </c>
      <c r="B16377" s="15" t="s">
        <v>27099</v>
      </c>
      <c r="C16377" s="16" t="s">
        <v>26870</v>
      </c>
      <c r="D16377" s="16" t="s">
        <v>26949</v>
      </c>
      <c r="E16377" s="2">
        <v>698625</v>
      </c>
      <c r="F16377" s="4" t="str">
        <f>IF(B16377=B16376,"",B16377)</f>
        <v>Oleksandriya</v>
      </c>
    </row>
    <row r="16378" spans="1:6" ht="15.75" customHeight="1">
      <c r="A16378" s="8" t="str">
        <f ca="1">IFERROR(__xludf.DUMMYFUNCTION("GOOGLETRANSLATE(B42558,""en"",""pt"")"),"Oleksandriya")</f>
        <v>Oleksandriya</v>
      </c>
      <c r="B16378" s="11" t="s">
        <v>27099</v>
      </c>
      <c r="C16378" s="11" t="s">
        <v>26870</v>
      </c>
      <c r="D16378" s="11" t="s">
        <v>26949</v>
      </c>
      <c r="E16378" s="10">
        <v>698625</v>
      </c>
      <c r="F16378" s="4" t="str">
        <f>IF(B16378=B16377,"",B16378)</f>
        <v/>
      </c>
    </row>
    <row r="16379" spans="1:6" ht="15.75" customHeight="1">
      <c r="A16379" s="15" t="s">
        <v>24660</v>
      </c>
      <c r="B16379" s="15" t="s">
        <v>24660</v>
      </c>
      <c r="C16379" s="15" t="s">
        <v>24200</v>
      </c>
      <c r="D16379" s="15" t="s">
        <v>24201</v>
      </c>
      <c r="E16379" s="2">
        <v>3115177</v>
      </c>
      <c r="F16379" s="4" t="str">
        <f>IF(B16379=B16378,"",B16379)</f>
        <v>Oleiros</v>
      </c>
    </row>
    <row r="16380" spans="1:6" ht="15.75" customHeight="1">
      <c r="A16380" s="8" t="str">
        <f ca="1">IFERROR(__xludf.DUMMYFUNCTION("GOOGLETRANSLATE(B29341,""en"",""pt"")"),"Oleiros")</f>
        <v>Oleiros</v>
      </c>
      <c r="B16380" s="11" t="s">
        <v>24660</v>
      </c>
      <c r="C16380" s="11" t="s">
        <v>24200</v>
      </c>
      <c r="D16380" s="11" t="s">
        <v>24201</v>
      </c>
      <c r="E16380" s="10">
        <v>3115177</v>
      </c>
      <c r="F16380" s="4" t="str">
        <f>IF(B16380=B16379,"",B16380)</f>
        <v/>
      </c>
    </row>
    <row r="16381" spans="1:6" ht="15.75" customHeight="1">
      <c r="A16381" s="15" t="s">
        <v>21394</v>
      </c>
      <c r="B16381" s="15" t="s">
        <v>21394</v>
      </c>
      <c r="C16381" s="15" t="s">
        <v>21064</v>
      </c>
      <c r="D16381" s="15" t="s">
        <v>21131</v>
      </c>
      <c r="E16381" s="2">
        <v>763291</v>
      </c>
      <c r="F16381" s="4" t="str">
        <f>IF(B16381=B16380,"",B16381)</f>
        <v>Olecko</v>
      </c>
    </row>
    <row r="16382" spans="1:6" ht="15.75" customHeight="1">
      <c r="A16382" s="8" t="str">
        <f ca="1">IFERROR(__xludf.DUMMYFUNCTION("GOOGLETRANSLATE(B39235,""en"",""pt"")"),"Olecko")</f>
        <v>Olecko</v>
      </c>
      <c r="B16382" s="11" t="s">
        <v>21394</v>
      </c>
      <c r="C16382" s="11" t="s">
        <v>21064</v>
      </c>
      <c r="D16382" s="11" t="s">
        <v>21131</v>
      </c>
      <c r="E16382" s="10">
        <v>763291</v>
      </c>
      <c r="F16382" s="4" t="str">
        <f>IF(B16382=B16381,"",B16382)</f>
        <v/>
      </c>
    </row>
    <row r="16383" spans="1:6" ht="15.75" customHeight="1">
      <c r="A16383" s="16" t="s">
        <v>21392</v>
      </c>
      <c r="B16383" s="15" t="s">
        <v>21393</v>
      </c>
      <c r="C16383" s="16" t="s">
        <v>21064</v>
      </c>
      <c r="D16383" s="16" t="s">
        <v>21118</v>
      </c>
      <c r="E16383" s="2">
        <v>3090170</v>
      </c>
      <c r="F16383" s="4" t="str">
        <f>IF(B16383=B16382,"",B16383)</f>
        <v>OleÅ›nica</v>
      </c>
    </row>
    <row r="16384" spans="1:6" ht="15.75" customHeight="1">
      <c r="A16384" s="15" t="s">
        <v>27579</v>
      </c>
      <c r="B16384" s="15" t="s">
        <v>27579</v>
      </c>
      <c r="C16384" s="15" t="s">
        <v>27234</v>
      </c>
      <c r="D16384" s="15" t="s">
        <v>27241</v>
      </c>
      <c r="E16384" s="2">
        <v>2641022</v>
      </c>
      <c r="F16384" s="4" t="str">
        <f>IF(B16384=B16383,"",B16384)</f>
        <v>Oldham</v>
      </c>
    </row>
    <row r="16385" spans="1:6" ht="15.75" customHeight="1">
      <c r="A16385" s="8" t="str">
        <f ca="1">IFERROR(__xludf.DUMMYFUNCTION("GOOGLETRANSLATE(B30498,""en"",""pt"")"),"Oldham")</f>
        <v>Oldham</v>
      </c>
      <c r="B16385" s="9" t="s">
        <v>27579</v>
      </c>
      <c r="C16385" s="9" t="s">
        <v>27234</v>
      </c>
      <c r="D16385" s="9" t="s">
        <v>27241</v>
      </c>
      <c r="E16385" s="10">
        <v>2641022</v>
      </c>
      <c r="F16385" s="4" t="str">
        <f>IF(B16385=B16384,"",B16385)</f>
        <v/>
      </c>
    </row>
    <row r="16386" spans="1:6" ht="15.75" customHeight="1">
      <c r="A16386" s="16" t="s">
        <v>19060</v>
      </c>
      <c r="B16386" s="15" t="s">
        <v>19060</v>
      </c>
      <c r="C16386" s="16" t="s">
        <v>18862</v>
      </c>
      <c r="D16386" s="16" t="s">
        <v>18871</v>
      </c>
      <c r="E16386" s="2">
        <v>2749644</v>
      </c>
      <c r="F16386" s="4" t="str">
        <f>IF(B16386=B16385,"",B16386)</f>
        <v>Oldenzaal</v>
      </c>
    </row>
    <row r="16387" spans="1:6" ht="15.75" customHeight="1">
      <c r="A16387" s="8" t="str">
        <f ca="1">IFERROR(__xludf.DUMMYFUNCTION("GOOGLETRANSLATE(B37979,""en"",""pt"")"),"Oldenzaal")</f>
        <v>Oldenzaal</v>
      </c>
      <c r="B16387" s="9" t="s">
        <v>19060</v>
      </c>
      <c r="C16387" s="9" t="s">
        <v>18862</v>
      </c>
      <c r="D16387" s="9" t="s">
        <v>18871</v>
      </c>
      <c r="E16387" s="10">
        <v>2749644</v>
      </c>
      <c r="F16387" s="4" t="str">
        <f>IF(B16387=B16386,"",B16387)</f>
        <v/>
      </c>
    </row>
    <row r="16388" spans="1:6" ht="15.75" customHeight="1">
      <c r="A16388" s="16" t="s">
        <v>8963</v>
      </c>
      <c r="B16388" s="15" t="s">
        <v>8963</v>
      </c>
      <c r="C16388" s="16" t="s">
        <v>8028</v>
      </c>
      <c r="D16388" s="16" t="s">
        <v>8034</v>
      </c>
      <c r="E16388" s="2">
        <v>2857458</v>
      </c>
      <c r="F16388" s="4" t="str">
        <f>IF(B16388=B16387,"",B16388)</f>
        <v>Oldenburg</v>
      </c>
    </row>
    <row r="16389" spans="1:6" ht="15.75" customHeight="1">
      <c r="A16389" s="8" t="str">
        <f ca="1">IFERROR(__xludf.DUMMYFUNCTION("GOOGLETRANSLATE(B27672,""en"",""pt"")"),"Oldenburg")</f>
        <v>Oldenburg</v>
      </c>
      <c r="B16389" s="9" t="s">
        <v>8963</v>
      </c>
      <c r="C16389" s="9" t="s">
        <v>8028</v>
      </c>
      <c r="D16389" s="9" t="s">
        <v>8034</v>
      </c>
      <c r="E16389" s="10">
        <v>2857458</v>
      </c>
      <c r="F16389" s="4" t="str">
        <f>IF(B16389=B16388,"",B16389)</f>
        <v/>
      </c>
    </row>
    <row r="16390" spans="1:6" ht="15.75" customHeight="1">
      <c r="A16390" s="16" t="s">
        <v>19059</v>
      </c>
      <c r="B16390" s="15" t="s">
        <v>19059</v>
      </c>
      <c r="C16390" s="16" t="s">
        <v>18862</v>
      </c>
      <c r="D16390" s="16" t="s">
        <v>18865</v>
      </c>
      <c r="E16390" s="2">
        <v>2749668</v>
      </c>
      <c r="F16390" s="4" t="str">
        <f>IF(B16390=B16389,"",B16390)</f>
        <v>Oldebroek</v>
      </c>
    </row>
    <row r="16391" spans="1:6" ht="15.75" customHeight="1">
      <c r="A16391" s="8" t="str">
        <f ca="1">IFERROR(__xludf.DUMMYFUNCTION("GOOGLETRANSLATE(B37980,""en"",""pt"")"),"Oldebroek")</f>
        <v>Oldebroek</v>
      </c>
      <c r="B16391" s="9" t="s">
        <v>19059</v>
      </c>
      <c r="C16391" s="9" t="s">
        <v>18862</v>
      </c>
      <c r="D16391" s="9" t="s">
        <v>18865</v>
      </c>
      <c r="E16391" s="10">
        <v>2749668</v>
      </c>
      <c r="F16391" s="4" t="str">
        <f>IF(B16391=B16390,"",B16391)</f>
        <v/>
      </c>
    </row>
    <row r="16392" spans="1:6" ht="15.75" customHeight="1">
      <c r="A16392" s="16" t="s">
        <v>25732</v>
      </c>
      <c r="B16392" s="15" t="s">
        <v>25732</v>
      </c>
      <c r="C16392" s="16" t="s">
        <v>25560</v>
      </c>
      <c r="D16392" s="16" t="s">
        <v>25615</v>
      </c>
      <c r="E16392" s="2">
        <v>150885</v>
      </c>
      <c r="F16392" s="4" t="str">
        <f>IF(B16392=B16391,"",B16392)</f>
        <v>Old Shinyanga</v>
      </c>
    </row>
    <row r="16393" spans="1:6" ht="15.75" customHeight="1">
      <c r="A16393" s="8" t="str">
        <f ca="1">IFERROR(__xludf.DUMMYFUNCTION("GOOGLETRANSLATE(B42313,""en"",""pt"")"),"Old Shinyanga")</f>
        <v>Old Shinyanga</v>
      </c>
      <c r="B16393" s="9" t="s">
        <v>25732</v>
      </c>
      <c r="C16393" s="9" t="s">
        <v>25560</v>
      </c>
      <c r="D16393" s="9" t="s">
        <v>25615</v>
      </c>
      <c r="E16393" s="10">
        <v>150885</v>
      </c>
      <c r="F16393" s="4" t="str">
        <f>IF(B16393=B16392,"",B16393)</f>
        <v/>
      </c>
    </row>
    <row r="16394" spans="1:6" ht="15.75" customHeight="1">
      <c r="A16394" s="16" t="s">
        <v>15695</v>
      </c>
      <c r="B16394" s="15" t="s">
        <v>15696</v>
      </c>
      <c r="C16394" s="16" t="s">
        <v>15682</v>
      </c>
      <c r="D16394" s="16" t="s">
        <v>15686</v>
      </c>
      <c r="E16394" s="2">
        <v>3489227</v>
      </c>
      <c r="F16394" s="4" t="str">
        <f>IF(B16394=B16393,"",B16394)</f>
        <v>Old Harbour</v>
      </c>
    </row>
    <row r="16395" spans="1:6" ht="15.75" customHeight="1">
      <c r="A16395" s="8" t="str">
        <f ca="1">IFERROR(__xludf.DUMMYFUNCTION("GOOGLETRANSLATE(B35114,""en"",""pt"")"),"Antigo porto")</f>
        <v>Antigo porto</v>
      </c>
      <c r="B16395" s="9" t="s">
        <v>15696</v>
      </c>
      <c r="C16395" s="9" t="s">
        <v>15682</v>
      </c>
      <c r="D16395" s="9" t="s">
        <v>15686</v>
      </c>
      <c r="E16395" s="10">
        <v>3489227</v>
      </c>
      <c r="F16395" s="4" t="str">
        <f>IF(B16395=B16394,"",B16395)</f>
        <v/>
      </c>
    </row>
    <row r="16396" spans="1:6" ht="15.75" customHeight="1">
      <c r="A16396" s="16" t="s">
        <v>20357</v>
      </c>
      <c r="B16396" s="15" t="s">
        <v>20358</v>
      </c>
      <c r="C16396" s="16" t="s">
        <v>20297</v>
      </c>
      <c r="D16396" s="16" t="s">
        <v>20298</v>
      </c>
      <c r="E16396" s="2">
        <v>6945291</v>
      </c>
      <c r="F16396" s="4" t="str">
        <f>IF(B16396=B16395,"",B16396)</f>
        <v>Old City</v>
      </c>
    </row>
    <row r="16397" spans="1:6" ht="15.75" customHeight="1">
      <c r="A16397" s="8" t="str">
        <f ca="1">IFERROR(__xludf.DUMMYFUNCTION("GOOGLETRANSLATE(B39560,""en"",""pt"")"),"Cidade Velha")</f>
        <v>Cidade Velha</v>
      </c>
      <c r="B16397" s="9" t="s">
        <v>20358</v>
      </c>
      <c r="C16397" s="9" t="s">
        <v>20297</v>
      </c>
      <c r="D16397" s="9" t="s">
        <v>20298</v>
      </c>
      <c r="E16397" s="10">
        <v>6945291</v>
      </c>
      <c r="F16397" s="4" t="str">
        <f>IF(B16397=B16396,"",B16397)</f>
        <v/>
      </c>
    </row>
    <row r="16398" spans="1:6" ht="15.75" customHeight="1">
      <c r="A16398" s="16" t="s">
        <v>29546</v>
      </c>
      <c r="B16398" s="15" t="s">
        <v>29547</v>
      </c>
      <c r="C16398" s="16" t="s">
        <v>27788</v>
      </c>
      <c r="D16398" s="16" t="s">
        <v>27905</v>
      </c>
      <c r="E16398" s="2">
        <v>5102162</v>
      </c>
      <c r="F16398" s="4" t="str">
        <f>IF(B16398=B16397,"",B16398)</f>
        <v>Old Bridge</v>
      </c>
    </row>
    <row r="16399" spans="1:6" ht="15.75" customHeight="1">
      <c r="A16399" s="8" t="str">
        <f ca="1">IFERROR(__xludf.DUMMYFUNCTION("GOOGLETRANSLATE(B44292,""en"",""pt"")"),"Ponte Velha")</f>
        <v>Ponte Velha</v>
      </c>
      <c r="B16399" s="9" t="s">
        <v>29547</v>
      </c>
      <c r="C16399" s="9" t="s">
        <v>27788</v>
      </c>
      <c r="D16399" s="9" t="s">
        <v>27905</v>
      </c>
      <c r="E16399" s="10">
        <v>5102162</v>
      </c>
      <c r="F16399" s="4" t="str">
        <f>IF(B16399=B16398,"",B16399)</f>
        <v/>
      </c>
    </row>
    <row r="16400" spans="1:6" ht="15.75" customHeight="1">
      <c r="A16400" s="15" t="s">
        <v>8962</v>
      </c>
      <c r="B16400" s="15" t="s">
        <v>8962</v>
      </c>
      <c r="C16400" s="15" t="s">
        <v>8028</v>
      </c>
      <c r="D16400" s="15" t="s">
        <v>8044</v>
      </c>
      <c r="E16400" s="2">
        <v>2857472</v>
      </c>
      <c r="F16400" s="4" t="str">
        <f>IF(B16400=B16399,"",B16400)</f>
        <v>Olching</v>
      </c>
    </row>
    <row r="16401" spans="1:6" ht="15.75" customHeight="1">
      <c r="A16401" s="8" t="str">
        <f ca="1">IFERROR(__xludf.DUMMYFUNCTION("GOOGLETRANSLATE(B27673,""en"",""pt"")"),"Olching")</f>
        <v>Olching</v>
      </c>
      <c r="B16401" s="9" t="s">
        <v>8962</v>
      </c>
      <c r="C16401" s="9" t="s">
        <v>8028</v>
      </c>
      <c r="D16401" s="9" t="s">
        <v>8044</v>
      </c>
      <c r="E16401" s="10">
        <v>2857472</v>
      </c>
      <c r="F16401" s="4" t="str">
        <f>IF(B16401=B16400,"",B16401)</f>
        <v/>
      </c>
    </row>
    <row r="16402" spans="1:6" ht="15.75" customHeight="1">
      <c r="A16402" s="15" t="s">
        <v>15326</v>
      </c>
      <c r="B16402" s="15" t="s">
        <v>15326</v>
      </c>
      <c r="C16402" s="15" t="s">
        <v>14891</v>
      </c>
      <c r="D16402" s="15" t="s">
        <v>14925</v>
      </c>
      <c r="E16402" s="2">
        <v>3172087</v>
      </c>
      <c r="F16402" s="4" t="str">
        <f>IF(B16402=B16401,"",B16402)</f>
        <v>Olbia</v>
      </c>
    </row>
    <row r="16403" spans="1:6" ht="15.75" customHeight="1">
      <c r="A16403" s="8" t="str">
        <f ca="1">IFERROR(__xludf.DUMMYFUNCTION("GOOGLETRANSLATE(B34793,""en"",""pt"")"),"Olbia")</f>
        <v>Olbia</v>
      </c>
      <c r="B16403" s="9" t="s">
        <v>15326</v>
      </c>
      <c r="C16403" s="9" t="s">
        <v>14891</v>
      </c>
      <c r="D16403" s="9" t="s">
        <v>14925</v>
      </c>
      <c r="E16403" s="10">
        <v>3172087</v>
      </c>
      <c r="F16403" s="4" t="str">
        <f>IF(B16403=B16402,"",B16403)</f>
        <v/>
      </c>
    </row>
    <row r="16404" spans="1:6" ht="15.75" customHeight="1">
      <c r="A16404" s="8" t="str">
        <f ca="1">IFERROR(__xludf.DUMMYFUNCTION("GOOGLETRANSLATE(B39391,""en"",""pt"")"),"Oława")</f>
        <v>Oława</v>
      </c>
      <c r="B16404" s="11" t="s">
        <v>35188</v>
      </c>
      <c r="C16404" s="11" t="s">
        <v>21064</v>
      </c>
      <c r="D16404" s="11" t="s">
        <v>21118</v>
      </c>
      <c r="E16404" s="10">
        <v>3090205</v>
      </c>
      <c r="F16404" s="4" t="str">
        <f>IF(B16404=B16403,"",B16404)</f>
        <v>Oława</v>
      </c>
    </row>
    <row r="16405" spans="1:6" ht="15.75" customHeight="1">
      <c r="A16405" s="8" t="str">
        <f ca="1">IFERROR(__xludf.DUMMYFUNCTION("GOOGLETRANSLATE(B23298,""en"",""pt"")"),"Olavarría")</f>
        <v>Olavarría</v>
      </c>
      <c r="B16405" s="9" t="s">
        <v>31198</v>
      </c>
      <c r="C16405" s="9" t="s">
        <v>558</v>
      </c>
      <c r="D16405" s="9" t="s">
        <v>562</v>
      </c>
      <c r="E16405" s="10">
        <v>3842670</v>
      </c>
      <c r="F16405" s="4" t="str">
        <f>IF(B16405=B16404,"",B16405)</f>
        <v>Olavarría</v>
      </c>
    </row>
    <row r="16406" spans="1:6" ht="15.75" customHeight="1">
      <c r="A16406" s="15" t="s">
        <v>721</v>
      </c>
      <c r="B16406" s="15" t="s">
        <v>722</v>
      </c>
      <c r="C16406" s="15" t="s">
        <v>558</v>
      </c>
      <c r="D16406" s="15" t="s">
        <v>562</v>
      </c>
      <c r="E16406" s="2">
        <v>3842670</v>
      </c>
      <c r="F16406" s="4" t="str">
        <f>IF(B16406=B16405,"",B16406)</f>
        <v>OlavarrÃ­a</v>
      </c>
    </row>
    <row r="16407" spans="1:6" ht="15.75" customHeight="1">
      <c r="A16407" s="15" t="s">
        <v>29545</v>
      </c>
      <c r="B16407" s="15" t="s">
        <v>29545</v>
      </c>
      <c r="C16407" s="15" t="s">
        <v>27788</v>
      </c>
      <c r="D16407" s="15" t="s">
        <v>28419</v>
      </c>
      <c r="E16407" s="2">
        <v>4276614</v>
      </c>
      <c r="F16407" s="4" t="str">
        <f>IF(B16407=B16406,"",B16407)</f>
        <v>Olathe</v>
      </c>
    </row>
    <row r="16408" spans="1:6" ht="15.75" customHeight="1">
      <c r="A16408" s="8" t="str">
        <f ca="1">IFERROR(__xludf.DUMMYFUNCTION("GOOGLETRANSLATE(B43179,""en"",""pt"")"),"Olathe")</f>
        <v>Olathe</v>
      </c>
      <c r="B16408" s="11" t="s">
        <v>29545</v>
      </c>
      <c r="C16408" s="11" t="s">
        <v>27788</v>
      </c>
      <c r="D16408" s="11" t="s">
        <v>28419</v>
      </c>
      <c r="E16408" s="10">
        <v>4276614</v>
      </c>
      <c r="F16408" s="4" t="str">
        <f>IF(B16408=B16407,"",B16408)</f>
        <v/>
      </c>
    </row>
    <row r="16409" spans="1:6" ht="15.75" customHeight="1">
      <c r="A16409" s="15" t="s">
        <v>9924</v>
      </c>
      <c r="B16409" s="15" t="s">
        <v>9924</v>
      </c>
      <c r="C16409" s="15" t="s">
        <v>9907</v>
      </c>
      <c r="D16409" s="15" t="s">
        <v>9918</v>
      </c>
      <c r="E16409" s="2">
        <v>3604251</v>
      </c>
      <c r="F16409" s="4" t="str">
        <f>IF(B16409=B16408,"",B16409)</f>
        <v>Olanchito</v>
      </c>
    </row>
    <row r="16410" spans="1:6" ht="15.75" customHeight="1">
      <c r="A16410" s="8" t="str">
        <f ca="1">IFERROR(__xludf.DUMMYFUNCTION("GOOGLETRANSLATE(B31175,""en"",""pt"")"),"Olanchito")</f>
        <v>Olanchito</v>
      </c>
      <c r="B16410" s="11" t="s">
        <v>9924</v>
      </c>
      <c r="C16410" s="11" t="s">
        <v>9907</v>
      </c>
      <c r="D16410" s="11" t="s">
        <v>9918</v>
      </c>
      <c r="E16410" s="10">
        <v>3604251</v>
      </c>
      <c r="F16410" s="4" t="str">
        <f>IF(B16410=B16409,"",B16410)</f>
        <v/>
      </c>
    </row>
    <row r="16411" spans="1:6" ht="15.75" customHeight="1">
      <c r="A16411" s="15" t="s">
        <v>2983</v>
      </c>
      <c r="B16411" s="15" t="s">
        <v>2984</v>
      </c>
      <c r="C16411" s="15" t="s">
        <v>1905</v>
      </c>
      <c r="D16411" s="15" t="s">
        <v>1914</v>
      </c>
      <c r="E16411" s="2">
        <v>3455923</v>
      </c>
      <c r="F16411" s="4" t="str">
        <f>IF(B16411=B16410,"",B16411)</f>
        <v>OlÃ­mpia</v>
      </c>
    </row>
    <row r="16412" spans="1:6" ht="15.75" customHeight="1">
      <c r="A16412" s="15" t="s">
        <v>16837</v>
      </c>
      <c r="B16412" s="15" t="s">
        <v>16837</v>
      </c>
      <c r="C16412" s="15" t="s">
        <v>16781</v>
      </c>
      <c r="D16412" s="15" t="s">
        <v>16838</v>
      </c>
      <c r="E16412" s="2">
        <v>7931933</v>
      </c>
      <c r="F16412" s="4" t="str">
        <f>IF(B16412=B16411,"",B16412)</f>
        <v>Ol Kalou</v>
      </c>
    </row>
    <row r="16413" spans="1:6" ht="15.75" customHeight="1">
      <c r="A16413" s="8" t="str">
        <f ca="1">IFERROR(__xludf.DUMMYFUNCTION("GOOGLETRANSLATE(B35935,""en"",""pt"")"),"Ol Kalou")</f>
        <v>Ol Kalou</v>
      </c>
      <c r="B16413" s="9" t="s">
        <v>16837</v>
      </c>
      <c r="C16413" s="9" t="s">
        <v>16781</v>
      </c>
      <c r="D16413" s="9" t="s">
        <v>16838</v>
      </c>
      <c r="E16413" s="10">
        <v>7931933</v>
      </c>
      <c r="F16413" s="4" t="str">
        <f>IF(B16413=B16412,"",B16413)</f>
        <v/>
      </c>
    </row>
    <row r="16414" spans="1:6" ht="15.75" customHeight="1">
      <c r="A16414" s="15" t="s">
        <v>19537</v>
      </c>
      <c r="B16414" s="15" t="s">
        <v>19537</v>
      </c>
      <c r="C16414" s="15" t="s">
        <v>19294</v>
      </c>
      <c r="D16414" s="15" t="s">
        <v>19355</v>
      </c>
      <c r="E16414" s="2">
        <v>2326811</v>
      </c>
      <c r="F16414" s="4" t="str">
        <f>IF(B16414=B16413,"",B16414)</f>
        <v>Okuta</v>
      </c>
    </row>
    <row r="16415" spans="1:6" ht="15.75" customHeight="1">
      <c r="A16415" s="8" t="str">
        <f ca="1">IFERROR(__xludf.DUMMYFUNCTION("GOOGLETRANSLATE(B37652,""en"",""pt"")"),"Okuta")</f>
        <v>Okuta</v>
      </c>
      <c r="B16415" s="9" t="s">
        <v>19537</v>
      </c>
      <c r="C16415" s="9" t="s">
        <v>19294</v>
      </c>
      <c r="D16415" s="9" t="s">
        <v>19355</v>
      </c>
      <c r="E16415" s="10">
        <v>2326811</v>
      </c>
      <c r="F16415" s="4" t="str">
        <f>IF(B16415=B16414,"",B16415)</f>
        <v/>
      </c>
    </row>
    <row r="16416" spans="1:6" ht="15.75" customHeight="1">
      <c r="A16416" s="15" t="s">
        <v>16341</v>
      </c>
      <c r="B16416" s="15" t="s">
        <v>16341</v>
      </c>
      <c r="C16416" s="15" t="s">
        <v>15704</v>
      </c>
      <c r="D16416" s="15" t="s">
        <v>15724</v>
      </c>
      <c r="E16416" s="2">
        <v>2111441</v>
      </c>
      <c r="F16416" s="4" t="str">
        <f>IF(B16416=B16415,"",B16416)</f>
        <v>Okunoya</v>
      </c>
    </row>
    <row r="16417" spans="1:6" ht="15.75" customHeight="1">
      <c r="A16417" s="8" t="str">
        <f ca="1">IFERROR(__xludf.DUMMYFUNCTION("GOOGLETRANSLATE(B35746,""en"",""pt"")"),"Okunoya")</f>
        <v>Okunoya</v>
      </c>
      <c r="B16417" s="9" t="s">
        <v>16341</v>
      </c>
      <c r="C16417" s="9" t="s">
        <v>15704</v>
      </c>
      <c r="D16417" s="9" t="s">
        <v>15724</v>
      </c>
      <c r="E16417" s="10">
        <v>2111441</v>
      </c>
      <c r="F16417" s="4" t="str">
        <f>IF(B16417=B16416,"",B16417)</f>
        <v/>
      </c>
    </row>
    <row r="16418" spans="1:6" ht="15.75" customHeight="1">
      <c r="A16418" s="8" t="str">
        <f ca="1">IFERROR(__xludf.DUMMYFUNCTION("GOOGLETRANSLATE(B35353,""en"",""pt"")"),"Ōkuchi-shinohara")</f>
        <v>Ōkuchi-shinohara</v>
      </c>
      <c r="B16418" s="11" t="s">
        <v>34329</v>
      </c>
      <c r="C16418" s="11" t="s">
        <v>15704</v>
      </c>
      <c r="D16418" s="11" t="s">
        <v>15719</v>
      </c>
      <c r="E16418" s="10">
        <v>1854246</v>
      </c>
      <c r="F16418" s="4" t="str">
        <f>IF(B16418=B16417,"",B16418)</f>
        <v>Ōkuchi-shinohara</v>
      </c>
    </row>
    <row r="16419" spans="1:6" ht="15.75" customHeight="1">
      <c r="A16419" s="16" t="s">
        <v>22886</v>
      </c>
      <c r="B16419" s="15" t="s">
        <v>22887</v>
      </c>
      <c r="C16419" s="16" t="s">
        <v>22070</v>
      </c>
      <c r="D16419" s="16" t="s">
        <v>22088</v>
      </c>
      <c r="E16419" s="2">
        <v>515879</v>
      </c>
      <c r="F16419" s="4" t="str">
        <f>IF(B16419=B16418,"",B16419)</f>
        <v>Oktyabrâ€™skiy</v>
      </c>
    </row>
    <row r="16420" spans="1:6" ht="15.75" customHeight="1">
      <c r="A16420" s="8" t="str">
        <f ca="1">IFERROR(__xludf.DUMMYFUNCTION("GOOGLETRANSLATE(B40238,""en"",""pt"")"),"Oktyabr'skiy")</f>
        <v>Oktyabr'skiy</v>
      </c>
      <c r="B16420" s="11" t="s">
        <v>35477</v>
      </c>
      <c r="C16420" s="11" t="s">
        <v>22070</v>
      </c>
      <c r="D16420" s="11" t="s">
        <v>22088</v>
      </c>
      <c r="E16420" s="10">
        <v>515879</v>
      </c>
      <c r="F16420" s="4" t="str">
        <f>IF(B16420=B16419,"",B16420)</f>
        <v>Oktyabr’skiy</v>
      </c>
    </row>
    <row r="16421" spans="1:6" ht="15.75" customHeight="1">
      <c r="A16421" s="15" t="s">
        <v>19536</v>
      </c>
      <c r="B16421" s="15" t="s">
        <v>19536</v>
      </c>
      <c r="C16421" s="15" t="s">
        <v>19294</v>
      </c>
      <c r="D16421" s="15" t="s">
        <v>19357</v>
      </c>
      <c r="E16421" s="2">
        <v>2326899</v>
      </c>
      <c r="F16421" s="4" t="str">
        <f>IF(B16421=B16420,"",B16421)</f>
        <v>Okrika</v>
      </c>
    </row>
    <row r="16422" spans="1:6" ht="15.75" customHeight="1">
      <c r="A16422" s="8" t="str">
        <f ca="1">IFERROR(__xludf.DUMMYFUNCTION("GOOGLETRANSLATE(B37653,""en"",""pt"")"),"Okrika")</f>
        <v>Okrika</v>
      </c>
      <c r="B16422" s="11" t="s">
        <v>19536</v>
      </c>
      <c r="C16422" s="11" t="s">
        <v>19294</v>
      </c>
      <c r="D16422" s="11" t="s">
        <v>19357</v>
      </c>
      <c r="E16422" s="10">
        <v>2326899</v>
      </c>
      <c r="F16422" s="4" t="str">
        <f>IF(B16422=B16421,"",B16422)</f>
        <v/>
      </c>
    </row>
    <row r="16423" spans="1:6" ht="15.75" customHeight="1">
      <c r="A16423" s="15" t="s">
        <v>29544</v>
      </c>
      <c r="B16423" s="15" t="s">
        <v>29544</v>
      </c>
      <c r="C16423" s="15" t="s">
        <v>27788</v>
      </c>
      <c r="D16423" s="15" t="s">
        <v>27909</v>
      </c>
      <c r="E16423" s="2">
        <v>4303012</v>
      </c>
      <c r="F16423" s="4" t="str">
        <f>IF(B16423=B16422,"",B16423)</f>
        <v>Okolona</v>
      </c>
    </row>
    <row r="16424" spans="1:6" ht="15.75" customHeight="1">
      <c r="A16424" s="8" t="str">
        <f ca="1">IFERROR(__xludf.DUMMYFUNCTION("GOOGLETRANSLATE(B43214,""en"",""pt"")"),"Okolona")</f>
        <v>Okolona</v>
      </c>
      <c r="B16424" s="9" t="s">
        <v>29544</v>
      </c>
      <c r="C16424" s="9" t="s">
        <v>27788</v>
      </c>
      <c r="D16424" s="9" t="s">
        <v>27909</v>
      </c>
      <c r="E16424" s="10">
        <v>4303012</v>
      </c>
      <c r="F16424" s="4" t="str">
        <f>IF(B16424=B16423,"",B16424)</f>
        <v/>
      </c>
    </row>
    <row r="16425" spans="1:6" ht="15.75" customHeight="1">
      <c r="A16425" s="16" t="s">
        <v>29542</v>
      </c>
      <c r="B16425" s="15" t="s">
        <v>29543</v>
      </c>
      <c r="C16425" s="16" t="s">
        <v>27788</v>
      </c>
      <c r="D16425" s="16" t="s">
        <v>27797</v>
      </c>
      <c r="E16425" s="2">
        <v>4544349</v>
      </c>
      <c r="F16425" s="4" t="str">
        <f>IF(B16425=B16424,"",B16425)</f>
        <v>Oklahoma City</v>
      </c>
    </row>
    <row r="16426" spans="1:6" ht="15.75" customHeight="1">
      <c r="A16426" s="8" t="str">
        <f ca="1">IFERROR(__xludf.DUMMYFUNCTION("GOOGLETRANSLATE(B43560,""en"",""pt"")"),"Cidade de Oklahoma")</f>
        <v>Cidade de Oklahoma</v>
      </c>
      <c r="B16426" s="9" t="s">
        <v>29543</v>
      </c>
      <c r="C16426" s="9" t="s">
        <v>27788</v>
      </c>
      <c r="D16426" s="9" t="s">
        <v>27797</v>
      </c>
      <c r="E16426" s="10">
        <v>4544349</v>
      </c>
      <c r="F16426" s="4" t="str">
        <f>IF(B16426=B16425,"",B16426)</f>
        <v/>
      </c>
    </row>
    <row r="16427" spans="1:6" ht="15.75" customHeight="1">
      <c r="A16427" s="15" t="s">
        <v>15841</v>
      </c>
      <c r="B16427" s="15" t="s">
        <v>15841</v>
      </c>
      <c r="C16427" s="15" t="s">
        <v>15704</v>
      </c>
      <c r="D16427" s="15" t="s">
        <v>15841</v>
      </c>
      <c r="E16427" s="2">
        <v>1894616</v>
      </c>
      <c r="F16427" s="4" t="str">
        <f>IF(B16427=B16426,"",B16427)</f>
        <v>Okinawa</v>
      </c>
    </row>
    <row r="16428" spans="1:6" ht="15.75" customHeight="1">
      <c r="A16428" s="8" t="str">
        <f ca="1">IFERROR(__xludf.DUMMYFUNCTION("GOOGLETRANSLATE(B35684,""en"",""pt"")"),"Okinawa")</f>
        <v>Okinawa</v>
      </c>
      <c r="B16428" s="11" t="s">
        <v>15841</v>
      </c>
      <c r="C16428" s="11" t="s">
        <v>15704</v>
      </c>
      <c r="D16428" s="11" t="s">
        <v>15841</v>
      </c>
      <c r="E16428" s="10">
        <v>1894616</v>
      </c>
      <c r="F16428" s="4" t="str">
        <f>IF(B16428=B16427,"",B16428)</f>
        <v/>
      </c>
    </row>
    <row r="16429" spans="1:6" ht="15.75" customHeight="1">
      <c r="A16429" s="15" t="s">
        <v>19535</v>
      </c>
      <c r="B16429" s="15" t="s">
        <v>19535</v>
      </c>
      <c r="C16429" s="15" t="s">
        <v>19294</v>
      </c>
      <c r="D16429" s="15" t="s">
        <v>19513</v>
      </c>
      <c r="E16429" s="2">
        <v>2327143</v>
      </c>
      <c r="F16429" s="4" t="str">
        <f>IF(B16429=B16428,"",B16429)</f>
        <v>Okigwe</v>
      </c>
    </row>
    <row r="16430" spans="1:6" ht="15.75" customHeight="1">
      <c r="A16430" s="8" t="str">
        <f ca="1">IFERROR(__xludf.DUMMYFUNCTION("GOOGLETRANSLATE(B37654,""en"",""pt"")"),"Okigwe")</f>
        <v>Okigwe</v>
      </c>
      <c r="B16430" s="11" t="s">
        <v>19535</v>
      </c>
      <c r="C16430" s="11" t="s">
        <v>19294</v>
      </c>
      <c r="D16430" s="11" t="s">
        <v>19513</v>
      </c>
      <c r="E16430" s="10">
        <v>2327143</v>
      </c>
      <c r="F16430" s="4" t="str">
        <f>IF(B16430=B16429,"",B16430)</f>
        <v/>
      </c>
    </row>
    <row r="16431" spans="1:6" ht="15.75" customHeight="1">
      <c r="A16431" s="15" t="s">
        <v>27098</v>
      </c>
      <c r="B16431" s="15" t="s">
        <v>27098</v>
      </c>
      <c r="C16431" s="15" t="s">
        <v>26870</v>
      </c>
      <c r="D16431" s="15" t="s">
        <v>26911</v>
      </c>
      <c r="E16431" s="2">
        <v>713749</v>
      </c>
      <c r="F16431" s="4" t="str">
        <f>IF(B16431=B16430,"",B16431)</f>
        <v>Okhtyrka</v>
      </c>
    </row>
    <row r="16432" spans="1:6" ht="15.75" customHeight="1">
      <c r="A16432" s="8" t="str">
        <f ca="1">IFERROR(__xludf.DUMMYFUNCTION("GOOGLETRANSLATE(B42718,""en"",""pt"")"),"Okhtyrka")</f>
        <v>Okhtyrka</v>
      </c>
      <c r="B16432" s="11" t="s">
        <v>27098</v>
      </c>
      <c r="C16432" s="11" t="s">
        <v>26870</v>
      </c>
      <c r="D16432" s="11" t="s">
        <v>26911</v>
      </c>
      <c r="E16432" s="10">
        <v>713749</v>
      </c>
      <c r="F16432" s="4" t="str">
        <f>IF(B16432=B16431,"",B16432)</f>
        <v/>
      </c>
    </row>
    <row r="16433" spans="1:6" ht="15.75" customHeight="1">
      <c r="A16433" s="15" t="s">
        <v>12682</v>
      </c>
      <c r="B16433" s="15" t="s">
        <v>12682</v>
      </c>
      <c r="C16433" s="15" t="s">
        <v>10178</v>
      </c>
      <c r="D16433" s="15" t="s">
        <v>10209</v>
      </c>
      <c r="E16433" s="2">
        <v>1261066</v>
      </c>
      <c r="F16433" s="4" t="str">
        <f>IF(B16433=B16432,"",B16433)</f>
        <v>Okha</v>
      </c>
    </row>
    <row r="16434" spans="1:6" ht="15.75" customHeight="1">
      <c r="A16434" s="15" t="s">
        <v>12682</v>
      </c>
      <c r="B16434" s="15" t="s">
        <v>12682</v>
      </c>
      <c r="C16434" s="15" t="s">
        <v>22070</v>
      </c>
      <c r="D16434" s="15" t="s">
        <v>22508</v>
      </c>
      <c r="E16434" s="2">
        <v>2122614</v>
      </c>
      <c r="F16434" s="4" t="str">
        <f>IF(B16434=B16433,"",B16434)</f>
        <v/>
      </c>
    </row>
    <row r="16435" spans="1:6" ht="15.75" customHeight="1">
      <c r="A16435" s="8" t="str">
        <f ca="1">IFERROR(__xludf.DUMMYFUNCTION("GOOGLETRANSLATE(B32583,""en"",""pt"")"),"Okha")</f>
        <v>Okha</v>
      </c>
      <c r="B16435" s="9" t="s">
        <v>12682</v>
      </c>
      <c r="C16435" s="9" t="s">
        <v>10178</v>
      </c>
      <c r="D16435" s="9" t="s">
        <v>10209</v>
      </c>
      <c r="E16435" s="10">
        <v>1261066</v>
      </c>
      <c r="F16435" s="4" t="str">
        <f>IF(B16435=B16434,"",B16435)</f>
        <v/>
      </c>
    </row>
    <row r="16436" spans="1:6" ht="15.75" customHeight="1">
      <c r="A16436" s="8" t="str">
        <f ca="1">IFERROR(__xludf.DUMMYFUNCTION("GOOGLETRANSLATE(B40960,""en"",""pt"")"),"Okha")</f>
        <v>Okha</v>
      </c>
      <c r="B16436" s="11" t="s">
        <v>12682</v>
      </c>
      <c r="C16436" s="11" t="s">
        <v>22070</v>
      </c>
      <c r="D16436" s="11" t="s">
        <v>22508</v>
      </c>
      <c r="E16436" s="10">
        <v>2122614</v>
      </c>
      <c r="F16436" s="4" t="str">
        <f>IF(B16436=B16435,"",B16436)</f>
        <v/>
      </c>
    </row>
    <row r="16437" spans="1:6" ht="15.75" customHeight="1">
      <c r="A16437" s="15" t="s">
        <v>19533</v>
      </c>
      <c r="B16437" s="15" t="s">
        <v>19534</v>
      </c>
      <c r="C16437" s="15" t="s">
        <v>19294</v>
      </c>
      <c r="D16437" s="15" t="s">
        <v>19310</v>
      </c>
      <c r="E16437" s="2">
        <v>2327220</v>
      </c>
      <c r="F16437" s="4" t="str">
        <f>IF(B16437=B16436,"",B16437)</f>
        <v>Okene</v>
      </c>
    </row>
    <row r="16438" spans="1:6" ht="15.75" customHeight="1">
      <c r="A16438" s="8" t="str">
        <f ca="1">IFERROR(__xludf.DUMMYFUNCTION("GOOGLETRANSLATE(B37655,""en"",""pt"")"),"OKENE")</f>
        <v>OKENE</v>
      </c>
      <c r="B16438" s="9" t="s">
        <v>19534</v>
      </c>
      <c r="C16438" s="9" t="s">
        <v>19294</v>
      </c>
      <c r="D16438" s="9" t="s">
        <v>19310</v>
      </c>
      <c r="E16438" s="10">
        <v>2327220</v>
      </c>
      <c r="F16438" s="4" t="str">
        <f>IF(B16438=B16437,"",B16438)</f>
        <v/>
      </c>
    </row>
    <row r="16439" spans="1:6" ht="15.75" customHeight="1">
      <c r="A16439" s="15" t="s">
        <v>29541</v>
      </c>
      <c r="B16439" s="15" t="s">
        <v>29541</v>
      </c>
      <c r="C16439" s="15" t="s">
        <v>27788</v>
      </c>
      <c r="D16439" s="15" t="s">
        <v>27804</v>
      </c>
      <c r="E16439" s="2">
        <v>5004359</v>
      </c>
      <c r="F16439" s="4" t="str">
        <f>IF(B16439=B16438,"",B16439)</f>
        <v>Okemos</v>
      </c>
    </row>
    <row r="16440" spans="1:6" ht="15.75" customHeight="1">
      <c r="A16440" s="8" t="str">
        <f ca="1">IFERROR(__xludf.DUMMYFUNCTION("GOOGLETRANSLATE(B44110,""en"",""pt"")"),"Okemos")</f>
        <v>Okemos</v>
      </c>
      <c r="B16440" s="9" t="s">
        <v>29541</v>
      </c>
      <c r="C16440" s="9" t="s">
        <v>27788</v>
      </c>
      <c r="D16440" s="9" t="s">
        <v>27804</v>
      </c>
      <c r="E16440" s="10">
        <v>5004359</v>
      </c>
      <c r="F16440" s="4" t="str">
        <f>IF(B16440=B16439,"",B16440)</f>
        <v/>
      </c>
    </row>
    <row r="16441" spans="1:6" ht="15.75" customHeight="1">
      <c r="A16441" s="16" t="s">
        <v>16339</v>
      </c>
      <c r="B16441" s="15" t="s">
        <v>16340</v>
      </c>
      <c r="C16441" s="16" t="s">
        <v>15704</v>
      </c>
      <c r="D16441" s="16" t="s">
        <v>15710</v>
      </c>
      <c r="E16441" s="2">
        <v>1854371</v>
      </c>
      <c r="F16441" s="4" t="str">
        <f>IF(B16441=B16440,"",B16441)</f>
        <v>Okegawa</v>
      </c>
    </row>
    <row r="16442" spans="1:6" ht="15.75" customHeight="1">
      <c r="A16442" s="8" t="str">
        <f ca="1">IFERROR(__xludf.DUMMYFUNCTION("GOOGLETRANSLATE(B35354,""en"",""pt"")"),"OKEGAWA")</f>
        <v>OKEGAWA</v>
      </c>
      <c r="B16442" s="11" t="s">
        <v>16340</v>
      </c>
      <c r="C16442" s="11" t="s">
        <v>15704</v>
      </c>
      <c r="D16442" s="11" t="s">
        <v>15710</v>
      </c>
      <c r="E16442" s="10">
        <v>1854371</v>
      </c>
      <c r="F16442" s="4" t="str">
        <f>IF(B16442=B16441,"",B16442)</f>
        <v/>
      </c>
    </row>
    <row r="16443" spans="1:6" ht="15.75" customHeight="1">
      <c r="A16443" s="15" t="s">
        <v>19531</v>
      </c>
      <c r="B16443" s="15" t="s">
        <v>19532</v>
      </c>
      <c r="C16443" s="15" t="s">
        <v>19294</v>
      </c>
      <c r="D16443" s="15" t="s">
        <v>19322</v>
      </c>
      <c r="E16443" s="2">
        <v>2327223</v>
      </c>
      <c r="F16443" s="4" t="str">
        <f>IF(B16443=B16442,"",B16443)</f>
        <v>Oke Mesi</v>
      </c>
    </row>
    <row r="16444" spans="1:6" ht="15.75" customHeight="1">
      <c r="A16444" s="8" t="str">
        <f ca="1">IFERROR(__xludf.DUMMYFUNCTION("GOOGLETRANSLATE(B37656,""en"",""pt"")"),"Oke mesi")</f>
        <v>Oke mesi</v>
      </c>
      <c r="B16444" s="9" t="s">
        <v>19532</v>
      </c>
      <c r="C16444" s="9" t="s">
        <v>19294</v>
      </c>
      <c r="D16444" s="9" t="s">
        <v>19322</v>
      </c>
      <c r="E16444" s="10">
        <v>2327223</v>
      </c>
      <c r="F16444" s="4" t="str">
        <f>IF(B16444=B16443,"",B16444)</f>
        <v/>
      </c>
    </row>
    <row r="16445" spans="1:6" ht="15.75" customHeight="1">
      <c r="A16445" s="15" t="s">
        <v>19529</v>
      </c>
      <c r="B16445" s="15" t="s">
        <v>19530</v>
      </c>
      <c r="C16445" s="15" t="s">
        <v>19294</v>
      </c>
      <c r="D16445" s="15" t="s">
        <v>19304</v>
      </c>
      <c r="E16445" s="2">
        <v>2327233</v>
      </c>
      <c r="F16445" s="4" t="str">
        <f>IF(B16445=B16444,"",B16445)</f>
        <v>Oke Ila</v>
      </c>
    </row>
    <row r="16446" spans="1:6" ht="15.75" customHeight="1">
      <c r="A16446" s="8" t="str">
        <f ca="1">IFERROR(__xludf.DUMMYFUNCTION("GOOGLETRANSLATE(B37657,""en"",""pt"")"),"OKE ILA")</f>
        <v>OKE ILA</v>
      </c>
      <c r="B16446" s="11" t="s">
        <v>19530</v>
      </c>
      <c r="C16446" s="11" t="s">
        <v>19294</v>
      </c>
      <c r="D16446" s="11" t="s">
        <v>19304</v>
      </c>
      <c r="E16446" s="10">
        <v>2327233</v>
      </c>
      <c r="F16446" s="4" t="str">
        <f>IF(B16446=B16445,"",B16446)</f>
        <v/>
      </c>
    </row>
    <row r="16447" spans="1:6" ht="15.75" customHeight="1">
      <c r="A16447" s="15" t="s">
        <v>24128</v>
      </c>
      <c r="B16447" s="15" t="s">
        <v>24128</v>
      </c>
      <c r="C16447" s="15" t="s">
        <v>24024</v>
      </c>
      <c r="D16447" s="15" t="s">
        <v>24047</v>
      </c>
      <c r="E16447" s="2">
        <v>1839873</v>
      </c>
      <c r="F16447" s="4" t="str">
        <f>IF(B16447=B16446,"",B16447)</f>
        <v>Okcheon</v>
      </c>
    </row>
    <row r="16448" spans="1:6" ht="15.75" customHeight="1">
      <c r="A16448" s="8" t="str">
        <f ca="1">IFERROR(__xludf.DUMMYFUNCTION("GOOGLETRANSLATE(B36087,""en"",""pt"")"),"Okcheon")</f>
        <v>Okcheon</v>
      </c>
      <c r="B16448" s="11" t="s">
        <v>24128</v>
      </c>
      <c r="C16448" s="11" t="s">
        <v>24024</v>
      </c>
      <c r="D16448" s="11" t="s">
        <v>24047</v>
      </c>
      <c r="E16448" s="10">
        <v>1839873</v>
      </c>
      <c r="F16448" s="4" t="str">
        <f>IF(B16448=B16447,"",B16448)</f>
        <v/>
      </c>
    </row>
    <row r="16449" spans="1:6" ht="15.75" customHeight="1">
      <c r="A16449" s="15" t="s">
        <v>16338</v>
      </c>
      <c r="B16449" s="15" t="s">
        <v>16338</v>
      </c>
      <c r="C16449" s="15" t="s">
        <v>15704</v>
      </c>
      <c r="D16449" s="15" t="s">
        <v>15729</v>
      </c>
      <c r="E16449" s="2">
        <v>1854376</v>
      </c>
      <c r="F16449" s="4" t="str">
        <f>IF(B16449=B16448,"",B16449)</f>
        <v>Okazaki</v>
      </c>
    </row>
    <row r="16450" spans="1:6" ht="15.75" customHeight="1">
      <c r="A16450" s="8" t="str">
        <f ca="1">IFERROR(__xludf.DUMMYFUNCTION("GOOGLETRANSLATE(B35355,""en"",""pt"")"),"Okazaki")</f>
        <v>Okazaki</v>
      </c>
      <c r="B16450" s="11" t="s">
        <v>16338</v>
      </c>
      <c r="C16450" s="11" t="s">
        <v>15704</v>
      </c>
      <c r="D16450" s="11" t="s">
        <v>15729</v>
      </c>
      <c r="E16450" s="10">
        <v>1854376</v>
      </c>
      <c r="F16450" s="4" t="str">
        <f>IF(B16450=B16449,"",B16450)</f>
        <v/>
      </c>
    </row>
    <row r="16451" spans="1:6" ht="15.75" customHeight="1">
      <c r="A16451" s="16" t="s">
        <v>16337</v>
      </c>
      <c r="B16451" s="15" t="s">
        <v>15981</v>
      </c>
      <c r="C16451" s="16" t="s">
        <v>15704</v>
      </c>
      <c r="D16451" s="16" t="s">
        <v>15981</v>
      </c>
      <c r="E16451" s="2">
        <v>1854383</v>
      </c>
      <c r="F16451" s="4" t="str">
        <f>IF(B16451=B16450,"",B16451)</f>
        <v>Okayama</v>
      </c>
    </row>
    <row r="16452" spans="1:6" ht="15.75" customHeight="1">
      <c r="A16452" s="8" t="str">
        <f ca="1">IFERROR(__xludf.DUMMYFUNCTION("GOOGLETRANSLATE(B35356,""en"",""pt"")"),"Okingama")</f>
        <v>Okingama</v>
      </c>
      <c r="B16452" s="11" t="s">
        <v>15981</v>
      </c>
      <c r="C16452" s="11" t="s">
        <v>15704</v>
      </c>
      <c r="D16452" s="11" t="s">
        <v>15981</v>
      </c>
      <c r="E16452" s="10">
        <v>1854383</v>
      </c>
      <c r="F16452" s="4" t="str">
        <f>IF(B16452=B16451,"",B16452)</f>
        <v/>
      </c>
    </row>
    <row r="16453" spans="1:6" ht="15.75" customHeight="1">
      <c r="A16453" s="15" t="s">
        <v>16335</v>
      </c>
      <c r="B16453" s="15" t="s">
        <v>16336</v>
      </c>
      <c r="C16453" s="15" t="s">
        <v>15704</v>
      </c>
      <c r="D16453" s="15" t="s">
        <v>15769</v>
      </c>
      <c r="E16453" s="2">
        <v>1854384</v>
      </c>
      <c r="F16453" s="4" t="str">
        <f>IF(B16453=B16452,"",B16453)</f>
        <v>Okaya</v>
      </c>
    </row>
    <row r="16454" spans="1:6" ht="15.75" customHeight="1">
      <c r="A16454" s="8" t="str">
        <f ca="1">IFERROR(__xludf.DUMMYFUNCTION("GOOGLETRANSLATE(B35357,""en"",""pt"")"),"Oka")</f>
        <v>Oka</v>
      </c>
      <c r="B16454" s="11" t="s">
        <v>16336</v>
      </c>
      <c r="C16454" s="11" t="s">
        <v>15704</v>
      </c>
      <c r="D16454" s="11" t="s">
        <v>15769</v>
      </c>
      <c r="E16454" s="10">
        <v>1854384</v>
      </c>
      <c r="F16454" s="4" t="str">
        <f>IF(B16454=B16453,"",B16454)</f>
        <v/>
      </c>
    </row>
    <row r="16455" spans="1:6" ht="15.75" customHeight="1">
      <c r="A16455" s="8" t="str">
        <f ca="1">IFERROR(__xludf.DUMMYFUNCTION("GOOGLETRANSLATE(B35747,""en"",""pt"")"),"Ōkawara")</f>
        <v>Ōkawara</v>
      </c>
      <c r="B16455" s="9" t="s">
        <v>34409</v>
      </c>
      <c r="C16455" s="9" t="s">
        <v>15704</v>
      </c>
      <c r="D16455" s="9" t="s">
        <v>15764</v>
      </c>
      <c r="E16455" s="10">
        <v>2111461</v>
      </c>
      <c r="F16455" s="4" t="str">
        <f>IF(B16455=B16454,"",B16455)</f>
        <v>Ōkawara</v>
      </c>
    </row>
    <row r="16456" spans="1:6" ht="15.75" customHeight="1">
      <c r="A16456" s="8" t="str">
        <f ca="1">IFERROR(__xludf.DUMMYFUNCTION("GOOGLETRANSLATE(B35358,""en"",""pt"")"),"Ōkawa")</f>
        <v>Ōkawa</v>
      </c>
      <c r="B16456" s="11" t="s">
        <v>34330</v>
      </c>
      <c r="C16456" s="11" t="s">
        <v>15704</v>
      </c>
      <c r="D16456" s="11" t="s">
        <v>15761</v>
      </c>
      <c r="E16456" s="10">
        <v>1854405</v>
      </c>
      <c r="F16456" s="4" t="str">
        <f>IF(B16456=B16455,"",B16456)</f>
        <v>Ōkawa</v>
      </c>
    </row>
    <row r="16457" spans="1:6" ht="15.75" customHeight="1">
      <c r="A16457" s="8" t="str">
        <f ca="1">IFERROR(__xludf.DUMMYFUNCTION("GOOGLETRANSLATE(B38961,""en"",""pt"")"),"Okāra")</f>
        <v>Okāra</v>
      </c>
      <c r="B16457" s="9" t="s">
        <v>34940</v>
      </c>
      <c r="C16457" s="9" t="s">
        <v>19808</v>
      </c>
      <c r="D16457" s="9" t="s">
        <v>10184</v>
      </c>
      <c r="E16457" s="10">
        <v>1168718</v>
      </c>
      <c r="F16457" s="4" t="str">
        <f>IF(B16457=B16456,"",B16457)</f>
        <v>Okāra</v>
      </c>
    </row>
    <row r="16458" spans="1:6" ht="15.75" customHeight="1">
      <c r="A16458" s="15" t="s">
        <v>9893</v>
      </c>
      <c r="B16458" s="15" t="s">
        <v>9894</v>
      </c>
      <c r="C16458" s="15" t="s">
        <v>9866</v>
      </c>
      <c r="D16458" s="15" t="s">
        <v>3793</v>
      </c>
      <c r="E16458" s="2">
        <v>3728474</v>
      </c>
      <c r="F16458" s="4" t="str">
        <f>IF(B16458=B16457,"",B16458)</f>
        <v>Okap</v>
      </c>
    </row>
    <row r="16459" spans="1:6" ht="15.75" customHeight="1">
      <c r="A16459" s="8" t="str">
        <f ca="1">IFERROR(__xludf.DUMMYFUNCTION("GOOGLETRANSLATE(B31237,""en"",""pt"")"),"OKAP")</f>
        <v>OKAP</v>
      </c>
      <c r="B16459" s="9" t="s">
        <v>9894</v>
      </c>
      <c r="C16459" s="9" t="s">
        <v>9866</v>
      </c>
      <c r="D16459" s="9" t="s">
        <v>3793</v>
      </c>
      <c r="E16459" s="10">
        <v>3728474</v>
      </c>
      <c r="F16459" s="4" t="str">
        <f>IF(B16459=B16458,"",B16459)</f>
        <v/>
      </c>
    </row>
    <row r="16460" spans="1:6" ht="15.75" customHeight="1">
      <c r="A16460" s="16" t="s">
        <v>4130</v>
      </c>
      <c r="B16460" s="15" t="s">
        <v>4130</v>
      </c>
      <c r="C16460" s="16" t="s">
        <v>3975</v>
      </c>
      <c r="D16460" s="16" t="s">
        <v>3976</v>
      </c>
      <c r="E16460" s="2">
        <v>7281931</v>
      </c>
      <c r="F16460" s="4" t="str">
        <f>IF(B16460=B16459,"",B16460)</f>
        <v>Okanagan</v>
      </c>
    </row>
    <row r="16461" spans="1:6" ht="15.75" customHeight="1">
      <c r="A16461" s="8" t="str">
        <f ca="1">IFERROR(__xludf.DUMMYFUNCTION("GOOGLETRANSLATE(B25632,""en"",""pt"")"),"Okanagan")</f>
        <v>Okanagan</v>
      </c>
      <c r="B16461" s="9" t="s">
        <v>4130</v>
      </c>
      <c r="C16461" s="9" t="s">
        <v>3975</v>
      </c>
      <c r="D16461" s="9" t="s">
        <v>3976</v>
      </c>
      <c r="E16461" s="10">
        <v>7281931</v>
      </c>
      <c r="F16461" s="4" t="str">
        <f>IF(B16461=B16460,"",B16461)</f>
        <v/>
      </c>
    </row>
    <row r="16462" spans="1:6" ht="15.75" customHeight="1">
      <c r="A16462" s="16" t="s">
        <v>18783</v>
      </c>
      <c r="B16462" s="15" t="s">
        <v>18783</v>
      </c>
      <c r="C16462" s="16" t="s">
        <v>18773</v>
      </c>
      <c r="D16462" s="16" t="s">
        <v>18776</v>
      </c>
      <c r="E16462" s="2">
        <v>3354898</v>
      </c>
      <c r="F16462" s="4" t="str">
        <f>IF(B16462=B16461,"",B16462)</f>
        <v>Okahandja</v>
      </c>
    </row>
    <row r="16463" spans="1:6" ht="15.75" customHeight="1">
      <c r="A16463" s="8" t="str">
        <f ca="1">IFERROR(__xludf.DUMMYFUNCTION("GOOGLETRANSLATE(B37572,""en"",""pt"")"),"Okahandja")</f>
        <v>Okahandja</v>
      </c>
      <c r="B16463" s="9" t="s">
        <v>18783</v>
      </c>
      <c r="C16463" s="9" t="s">
        <v>18773</v>
      </c>
      <c r="D16463" s="9" t="s">
        <v>18776</v>
      </c>
      <c r="E16463" s="10">
        <v>3354898</v>
      </c>
      <c r="F16463" s="4" t="str">
        <f>IF(B16463=B16462,"",B16463)</f>
        <v/>
      </c>
    </row>
    <row r="16464" spans="1:6" ht="15.75" customHeight="1">
      <c r="A16464" s="15" t="s">
        <v>20143</v>
      </c>
      <c r="B16464" s="15" t="s">
        <v>20144</v>
      </c>
      <c r="C16464" s="15" t="s">
        <v>19808</v>
      </c>
      <c r="D16464" s="15" t="s">
        <v>10184</v>
      </c>
      <c r="E16464" s="2">
        <v>1168718</v>
      </c>
      <c r="F16464" s="4" t="str">
        <f>IF(B16464=B16463,"",B16464)</f>
        <v>OkÄra</v>
      </c>
    </row>
    <row r="16465" spans="1:6" ht="15.75" customHeight="1">
      <c r="A16465" s="15" t="s">
        <v>29540</v>
      </c>
      <c r="B16465" s="15" t="s">
        <v>29540</v>
      </c>
      <c r="C16465" s="15" t="s">
        <v>27788</v>
      </c>
      <c r="D16465" s="15" t="s">
        <v>5468</v>
      </c>
      <c r="E16465" s="2">
        <v>4166805</v>
      </c>
      <c r="F16465" s="4" t="str">
        <f>IF(B16465=B16464,"",B16465)</f>
        <v>Ojus</v>
      </c>
    </row>
    <row r="16466" spans="1:6" ht="15.75" customHeight="1">
      <c r="A16466" s="8" t="str">
        <f ca="1">IFERROR(__xludf.DUMMYFUNCTION("GOOGLETRANSLATE(B42969,""en"",""pt"")"),"Ojus")</f>
        <v>Ojus</v>
      </c>
      <c r="B16466" s="11" t="s">
        <v>29540</v>
      </c>
      <c r="C16466" s="11" t="s">
        <v>27788</v>
      </c>
      <c r="D16466" s="11" t="s">
        <v>5468</v>
      </c>
      <c r="E16466" s="10">
        <v>4166805</v>
      </c>
      <c r="F16466" s="4" t="str">
        <f>IF(B16466=B16465,"",B16466)</f>
        <v/>
      </c>
    </row>
    <row r="16467" spans="1:6" ht="15.75" customHeight="1">
      <c r="A16467" s="16" t="s">
        <v>18134</v>
      </c>
      <c r="B16467" s="15" t="s">
        <v>18134</v>
      </c>
      <c r="C16467" s="16" t="s">
        <v>17707</v>
      </c>
      <c r="D16467" s="16" t="s">
        <v>17736</v>
      </c>
      <c r="E16467" s="2">
        <v>3827598</v>
      </c>
      <c r="F16467" s="4" t="str">
        <f>IF(B16467=B16466,"",B16467)</f>
        <v>Ojo de Agua</v>
      </c>
    </row>
    <row r="16468" spans="1:6" ht="15.75" customHeight="1">
      <c r="A16468" s="8" t="str">
        <f ca="1">IFERROR(__xludf.DUMMYFUNCTION("GOOGLETRANSLATE(B37135,""en"",""pt"")"),"Ojo de Agua")</f>
        <v>Ojo de Agua</v>
      </c>
      <c r="B16468" s="11" t="s">
        <v>18134</v>
      </c>
      <c r="C16468" s="11" t="s">
        <v>17707</v>
      </c>
      <c r="D16468" s="11" t="s">
        <v>20902</v>
      </c>
      <c r="E16468" s="10">
        <v>3827598</v>
      </c>
      <c r="F16468" s="4" t="str">
        <f>IF(B16468=B16467,"",B16468)</f>
        <v/>
      </c>
    </row>
    <row r="16469" spans="1:6" ht="15.75" customHeight="1">
      <c r="A16469" s="15" t="s">
        <v>16333</v>
      </c>
      <c r="B16469" s="15" t="s">
        <v>16334</v>
      </c>
      <c r="C16469" s="15" t="s">
        <v>15704</v>
      </c>
      <c r="D16469" s="15" t="s">
        <v>15818</v>
      </c>
      <c r="E16469" s="2">
        <v>1854444</v>
      </c>
      <c r="F16469" s="4" t="str">
        <f>IF(B16469=B16468,"",B16469)</f>
        <v>Ojiya</v>
      </c>
    </row>
    <row r="16470" spans="1:6" ht="15.75" customHeight="1">
      <c r="A16470" s="8" t="str">
        <f ca="1">IFERROR(__xludf.DUMMYFUNCTION("GOOGLETRANSLATE(B35359,""en"",""pt"")"),"OJIYA")</f>
        <v>OJIYA</v>
      </c>
      <c r="B16470" s="11" t="s">
        <v>16334</v>
      </c>
      <c r="C16470" s="11" t="s">
        <v>15704</v>
      </c>
      <c r="D16470" s="11" t="s">
        <v>15818</v>
      </c>
      <c r="E16470" s="10">
        <v>1854444</v>
      </c>
      <c r="F16470" s="4" t="str">
        <f>IF(B16470=B16469,"",B16470)</f>
        <v/>
      </c>
    </row>
    <row r="16471" spans="1:6" ht="15.75" customHeight="1">
      <c r="A16471" s="15" t="s">
        <v>18133</v>
      </c>
      <c r="B16471" s="15" t="s">
        <v>18133</v>
      </c>
      <c r="C16471" s="15" t="s">
        <v>17707</v>
      </c>
      <c r="D16471" s="15" t="s">
        <v>17826</v>
      </c>
      <c r="E16471" s="2">
        <v>3994469</v>
      </c>
      <c r="F16471" s="4" t="str">
        <f>IF(B16471=B16470,"",B16471)</f>
        <v>Ojinaga</v>
      </c>
    </row>
    <row r="16472" spans="1:6" ht="15.75" customHeight="1">
      <c r="A16472" s="8" t="str">
        <f ca="1">IFERROR(__xludf.DUMMYFUNCTION("GOOGLETRANSLATE(B37229,""en"",""pt"")"),"Ojinaga")</f>
        <v>Ojinaga</v>
      </c>
      <c r="B16472" s="11" t="s">
        <v>18133</v>
      </c>
      <c r="C16472" s="11" t="s">
        <v>17707</v>
      </c>
      <c r="D16472" s="11" t="s">
        <v>17826</v>
      </c>
      <c r="E16472" s="10">
        <v>3994469</v>
      </c>
      <c r="F16472" s="4" t="str">
        <f>IF(B16472=B16471,"",B16472)</f>
        <v/>
      </c>
    </row>
    <row r="16473" spans="1:6" ht="15.75" customHeight="1">
      <c r="A16473" s="8" t="str">
        <f ca="1">IFERROR(__xludf.DUMMYFUNCTION("GOOGLETRANSLATE(B35360,""en"",""pt"")"),"Ōita")</f>
        <v>Ōita</v>
      </c>
      <c r="B16473" s="9" t="s">
        <v>34331</v>
      </c>
      <c r="C16473" s="9" t="s">
        <v>15704</v>
      </c>
      <c r="D16473" s="9" t="s">
        <v>15758</v>
      </c>
      <c r="E16473" s="10">
        <v>1854487</v>
      </c>
      <c r="F16473" s="4" t="str">
        <f>IF(B16473=B16472,"",B16473)</f>
        <v>Ōita</v>
      </c>
    </row>
    <row r="16474" spans="1:6" ht="15.75" customHeight="1">
      <c r="A16474" s="16" t="s">
        <v>19058</v>
      </c>
      <c r="B16474" s="15" t="s">
        <v>19058</v>
      </c>
      <c r="C16474" s="16" t="s">
        <v>18862</v>
      </c>
      <c r="D16474" s="16" t="s">
        <v>18888</v>
      </c>
      <c r="E16474" s="2">
        <v>2749680</v>
      </c>
      <c r="F16474" s="4" t="str">
        <f>IF(B16474=B16473,"",B16474)</f>
        <v>Oisterwijk</v>
      </c>
    </row>
    <row r="16475" spans="1:6" ht="15.75" customHeight="1">
      <c r="A16475" s="8" t="str">
        <f ca="1">IFERROR(__xludf.DUMMYFUNCTION("GOOGLETRANSLATE(B37981,""en"",""pt"")"),"Oisterwijk")</f>
        <v>Oisterwijk</v>
      </c>
      <c r="B16475" s="9" t="s">
        <v>19058</v>
      </c>
      <c r="C16475" s="9" t="s">
        <v>18862</v>
      </c>
      <c r="D16475" s="9" t="s">
        <v>18888</v>
      </c>
      <c r="E16475" s="10">
        <v>2749680</v>
      </c>
      <c r="F16475" s="4" t="str">
        <f>IF(B16475=B16474,"",B16475)</f>
        <v/>
      </c>
    </row>
    <row r="16476" spans="1:6" ht="15.75" customHeight="1">
      <c r="A16476" s="8" t="str">
        <f ca="1">IFERROR(__xludf.DUMMYFUNCTION("GOOGLETRANSLATE(B35361,""en"",""pt"")"),"Ōiso")</f>
        <v>Ōiso</v>
      </c>
      <c r="B16476" s="11" t="s">
        <v>34332</v>
      </c>
      <c r="C16476" s="11" t="s">
        <v>15704</v>
      </c>
      <c r="D16476" s="11" t="s">
        <v>15755</v>
      </c>
      <c r="E16476" s="10">
        <v>1854492</v>
      </c>
      <c r="F16476" s="4" t="str">
        <f>IF(B16476=B16475,"",B16476)</f>
        <v>Ōiso</v>
      </c>
    </row>
    <row r="16477" spans="1:6" ht="15.75" customHeight="1">
      <c r="A16477" s="15" t="s">
        <v>29539</v>
      </c>
      <c r="B16477" s="15" t="s">
        <v>29539</v>
      </c>
      <c r="C16477" s="15" t="s">
        <v>27788</v>
      </c>
      <c r="D16477" s="15" t="s">
        <v>27801</v>
      </c>
      <c r="E16477" s="2">
        <v>5378870</v>
      </c>
      <c r="F16477" s="4" t="str">
        <f>IF(B16477=B16476,"",B16477)</f>
        <v>Oildale</v>
      </c>
    </row>
    <row r="16478" spans="1:6" ht="15.75" customHeight="1">
      <c r="A16478" s="8" t="str">
        <f ca="1">IFERROR(__xludf.DUMMYFUNCTION("GOOGLETRANSLATE(B44938,""en"",""pt"")"),"Oildale")</f>
        <v>Oildale</v>
      </c>
      <c r="B16478" s="11" t="s">
        <v>29539</v>
      </c>
      <c r="C16478" s="11" t="s">
        <v>27788</v>
      </c>
      <c r="D16478" s="11" t="s">
        <v>27801</v>
      </c>
      <c r="E16478" s="10">
        <v>5378870</v>
      </c>
      <c r="F16478" s="4" t="str">
        <f>IF(B16478=B16477,"",B16478)</f>
        <v/>
      </c>
    </row>
    <row r="16479" spans="1:6" ht="15.75" customHeight="1">
      <c r="A16479" s="8" t="str">
        <f ca="1">IFERROR(__xludf.DUMMYFUNCTION("GOOGLETRANSLATE(B35362,""en"",""pt"")"),"Ōi")</f>
        <v>Ōi</v>
      </c>
      <c r="B16479" s="9" t="s">
        <v>34333</v>
      </c>
      <c r="C16479" s="9" t="s">
        <v>15704</v>
      </c>
      <c r="D16479" s="9" t="s">
        <v>15710</v>
      </c>
      <c r="E16479" s="10">
        <v>1854530</v>
      </c>
      <c r="F16479" s="4" t="str">
        <f>IF(B16479=B16478,"",B16479)</f>
        <v>Ōi</v>
      </c>
    </row>
    <row r="16480" spans="1:6" ht="15.75" customHeight="1">
      <c r="A16480" s="8" t="str">
        <f ca="1">IFERROR(__xludf.DUMMYFUNCTION("GOOGLETRANSLATE(B27674,""en"",""pt"")"),"Öhringen")</f>
        <v>Öhringen</v>
      </c>
      <c r="B16480" s="11" t="s">
        <v>32041</v>
      </c>
      <c r="C16480" s="11" t="s">
        <v>8028</v>
      </c>
      <c r="D16480" s="11" t="s">
        <v>32013</v>
      </c>
      <c r="E16480" s="10">
        <v>2857565</v>
      </c>
      <c r="F16480" s="4" t="str">
        <f>IF(B16480=B16479,"",B16480)</f>
        <v>Öhringen</v>
      </c>
    </row>
    <row r="16481" spans="1:6" ht="15.75" customHeight="1">
      <c r="A16481" s="15" t="s">
        <v>17278</v>
      </c>
      <c r="B16481" s="15" t="s">
        <v>17278</v>
      </c>
      <c r="C16481" s="15" t="s">
        <v>17221</v>
      </c>
      <c r="D16481" s="15" t="s">
        <v>17278</v>
      </c>
      <c r="E16481" s="2">
        <v>787487</v>
      </c>
      <c r="F16481" s="4" t="str">
        <f>IF(B16481=B16480,"",B16481)</f>
        <v>Ohrid</v>
      </c>
    </row>
    <row r="16482" spans="1:6" ht="15.75" customHeight="1">
      <c r="A16482" s="8" t="str">
        <f ca="1">IFERROR(__xludf.DUMMYFUNCTION("GOOGLETRANSLATE(B36655,""en"",""pt"")"),"Ohrid")</f>
        <v>Ohrid</v>
      </c>
      <c r="B16482" s="11" t="s">
        <v>17278</v>
      </c>
      <c r="C16482" s="11" t="s">
        <v>17221</v>
      </c>
      <c r="D16482" s="11" t="s">
        <v>17278</v>
      </c>
      <c r="E16482" s="10">
        <v>787487</v>
      </c>
      <c r="F16482" s="4" t="str">
        <f>IF(B16482=B16481,"",B16482)</f>
        <v/>
      </c>
    </row>
    <row r="16483" spans="1:6" ht="15.75" customHeight="1">
      <c r="A16483" s="8" t="str">
        <f ca="1">IFERROR(__xludf.DUMMYFUNCTION("GOOGLETRANSLATE(B35748,""en"",""pt"")"),"Ōhara")</f>
        <v>Ōhara</v>
      </c>
      <c r="B16483" s="9" t="s">
        <v>34410</v>
      </c>
      <c r="C16483" s="9" t="s">
        <v>15704</v>
      </c>
      <c r="D16483" s="9" t="s">
        <v>15707</v>
      </c>
      <c r="E16483" s="10">
        <v>2111495</v>
      </c>
      <c r="F16483" s="4" t="str">
        <f>IF(B16483=B16482,"",B16483)</f>
        <v>Ōhara</v>
      </c>
    </row>
    <row r="16484" spans="1:6" ht="15.75" customHeight="1">
      <c r="A16484" s="16" t="s">
        <v>30573</v>
      </c>
      <c r="B16484" s="15" t="s">
        <v>30573</v>
      </c>
      <c r="C16484" s="16" t="s">
        <v>30502</v>
      </c>
      <c r="D16484" s="16" t="s">
        <v>30504</v>
      </c>
      <c r="E16484" s="2">
        <v>1513072</v>
      </c>
      <c r="F16484" s="4" t="str">
        <f>IF(B16484=B16483,"",B16484)</f>
        <v>Ohangaron</v>
      </c>
    </row>
    <row r="16485" spans="1:6" ht="15.75" customHeight="1">
      <c r="A16485" s="8" t="str">
        <f ca="1">IFERROR(__xludf.DUMMYFUNCTION("GOOGLETRANSLATE(B45556,""en"",""pt"")"),"Ohangaron")</f>
        <v>Ohangaron</v>
      </c>
      <c r="B16485" s="9" t="s">
        <v>30573</v>
      </c>
      <c r="C16485" s="9" t="s">
        <v>30502</v>
      </c>
      <c r="D16485" s="9" t="s">
        <v>30504</v>
      </c>
      <c r="E16485" s="10">
        <v>1513072</v>
      </c>
      <c r="F16485" s="4" t="str">
        <f>IF(B16485=B16484,"",B16485)</f>
        <v/>
      </c>
    </row>
    <row r="16486" spans="1:6" ht="15.75" customHeight="1">
      <c r="A16486" s="16" t="s">
        <v>19527</v>
      </c>
      <c r="B16486" s="15" t="s">
        <v>19528</v>
      </c>
      <c r="C16486" s="16" t="s">
        <v>19294</v>
      </c>
      <c r="D16486" s="16" t="s">
        <v>19295</v>
      </c>
      <c r="E16486" s="2">
        <v>2327494</v>
      </c>
      <c r="F16486" s="4" t="str">
        <f>IF(B16486=B16485,"",B16486)</f>
        <v>Ohafia-Ifigh</v>
      </c>
    </row>
    <row r="16487" spans="1:6" ht="15.75" customHeight="1">
      <c r="A16487" s="8" t="str">
        <f ca="1">IFERROR(__xludf.DUMMYFUNCTION("GOOGLETRANSLATE(B37658,""en"",""pt"")"),"Ohafia-ifigh")</f>
        <v>Ohafia-ifigh</v>
      </c>
      <c r="B16487" s="9" t="s">
        <v>19528</v>
      </c>
      <c r="C16487" s="9" t="s">
        <v>19294</v>
      </c>
      <c r="D16487" s="9" t="s">
        <v>19295</v>
      </c>
      <c r="E16487" s="10">
        <v>2327494</v>
      </c>
      <c r="F16487" s="4" t="str">
        <f>IF(B16487=B16486,"",B16487)</f>
        <v/>
      </c>
    </row>
    <row r="16488" spans="1:6" ht="15.75" customHeight="1">
      <c r="A16488" s="16" t="s">
        <v>19525</v>
      </c>
      <c r="B16488" s="15" t="s">
        <v>19526</v>
      </c>
      <c r="C16488" s="16" t="s">
        <v>19294</v>
      </c>
      <c r="D16488" s="16" t="s">
        <v>4039</v>
      </c>
      <c r="E16488" s="2">
        <v>2327513</v>
      </c>
      <c r="F16488" s="4" t="str">
        <f>IF(B16488=B16487,"",B16488)</f>
        <v>Ogwashi-Uku</v>
      </c>
    </row>
    <row r="16489" spans="1:6" ht="15.75" customHeight="1">
      <c r="A16489" s="8" t="str">
        <f ca="1">IFERROR(__xludf.DUMMYFUNCTION("GOOGLETRANSLATE(B37659,""en"",""pt"")"),"Ogwashi-uku")</f>
        <v>Ogwashi-uku</v>
      </c>
      <c r="B16489" s="9" t="s">
        <v>19526</v>
      </c>
      <c r="C16489" s="9" t="s">
        <v>19294</v>
      </c>
      <c r="D16489" s="9" t="s">
        <v>4039</v>
      </c>
      <c r="E16489" s="10">
        <v>2327513</v>
      </c>
      <c r="F16489" s="4" t="str">
        <f>IF(B16489=B16488,"",B16489)</f>
        <v/>
      </c>
    </row>
    <row r="16490" spans="1:6" ht="15.75" customHeight="1">
      <c r="A16490" s="15" t="s">
        <v>19524</v>
      </c>
      <c r="B16490" s="15" t="s">
        <v>19524</v>
      </c>
      <c r="C16490" s="15" t="s">
        <v>19294</v>
      </c>
      <c r="D16490" s="15" t="s">
        <v>19513</v>
      </c>
      <c r="E16490" s="2">
        <v>2327521</v>
      </c>
      <c r="F16490" s="4" t="str">
        <f>IF(B16490=B16489,"",B16490)</f>
        <v>Oguta</v>
      </c>
    </row>
    <row r="16491" spans="1:6" ht="15.75" customHeight="1">
      <c r="A16491" s="8" t="str">
        <f ca="1">IFERROR(__xludf.DUMMYFUNCTION("GOOGLETRANSLATE(B37660,""en"",""pt"")"),"Oguta")</f>
        <v>Oguta</v>
      </c>
      <c r="B16491" s="9" t="s">
        <v>19524</v>
      </c>
      <c r="C16491" s="9" t="s">
        <v>19294</v>
      </c>
      <c r="D16491" s="9" t="s">
        <v>19513</v>
      </c>
      <c r="E16491" s="10">
        <v>2327521</v>
      </c>
      <c r="F16491" s="4" t="str">
        <f>IF(B16491=B16490,"",B16491)</f>
        <v/>
      </c>
    </row>
    <row r="16492" spans="1:6" ht="15.75" customHeight="1">
      <c r="A16492" s="15" t="s">
        <v>16994</v>
      </c>
      <c r="B16492" s="15" t="s">
        <v>16995</v>
      </c>
      <c r="C16492" s="15" t="s">
        <v>16982</v>
      </c>
      <c r="D16492" s="15" t="s">
        <v>16995</v>
      </c>
      <c r="E16492" s="2">
        <v>457065</v>
      </c>
      <c r="F16492" s="4" t="str">
        <f>IF(B16492=B16491,"",B16492)</f>
        <v>Ogre</v>
      </c>
    </row>
    <row r="16493" spans="1:6" ht="15.75" customHeight="1">
      <c r="A16493" s="8" t="str">
        <f ca="1">IFERROR(__xludf.DUMMYFUNCTION("GOOGLETRANSLATE(B36405,""en"",""pt"")"),"Ogro")</f>
        <v>Ogro</v>
      </c>
      <c r="B16493" s="11" t="s">
        <v>16995</v>
      </c>
      <c r="C16493" s="11" t="s">
        <v>16982</v>
      </c>
      <c r="D16493" s="11" t="s">
        <v>16995</v>
      </c>
      <c r="E16493" s="10">
        <v>457065</v>
      </c>
      <c r="F16493" s="4" t="str">
        <f>IF(B16493=B16492,"",B16493)</f>
        <v/>
      </c>
    </row>
    <row r="16494" spans="1:6" ht="15.75" customHeight="1">
      <c r="A16494" s="8" t="str">
        <f ca="1">IFERROR(__xludf.DUMMYFUNCTION("GOOGLETRANSLATE(B35363,""en"",""pt"")"),"Ogōri-Shimogō")</f>
        <v>Ogōri-Shimogō</v>
      </c>
      <c r="B16494" s="9" t="s">
        <v>34334</v>
      </c>
      <c r="C16494" s="9" t="s">
        <v>15704</v>
      </c>
      <c r="D16494" s="9" t="s">
        <v>15796</v>
      </c>
      <c r="E16494" s="10">
        <v>1854629</v>
      </c>
      <c r="F16494" s="4" t="str">
        <f>IF(B16494=B16493,"",B16494)</f>
        <v>Ogōri-shimogō</v>
      </c>
    </row>
    <row r="16495" spans="1:6" ht="15.75" customHeight="1">
      <c r="A16495" s="15" t="s">
        <v>19523</v>
      </c>
      <c r="B16495" s="15" t="s">
        <v>19523</v>
      </c>
      <c r="C16495" s="15" t="s">
        <v>19294</v>
      </c>
      <c r="D16495" s="15" t="s">
        <v>19362</v>
      </c>
      <c r="E16495" s="2">
        <v>2327650</v>
      </c>
      <c r="F16495" s="4" t="str">
        <f>IF(B16495=B16494,"",B16495)</f>
        <v>Ogoja</v>
      </c>
    </row>
    <row r="16496" spans="1:6" ht="15.75" customHeight="1">
      <c r="A16496" s="8" t="str">
        <f ca="1">IFERROR(__xludf.DUMMYFUNCTION("GOOGLETRANSLATE(B37661,""en"",""pt"")"),"Ogoja")</f>
        <v>Ogoja</v>
      </c>
      <c r="B16496" s="11" t="s">
        <v>19523</v>
      </c>
      <c r="C16496" s="11" t="s">
        <v>19294</v>
      </c>
      <c r="D16496" s="11" t="s">
        <v>19362</v>
      </c>
      <c r="E16496" s="10">
        <v>2327650</v>
      </c>
      <c r="F16496" s="4" t="str">
        <f>IF(B16496=B16495,"",B16496)</f>
        <v/>
      </c>
    </row>
    <row r="16497" spans="1:6" ht="15.75" customHeight="1">
      <c r="A16497" s="15" t="s">
        <v>29538</v>
      </c>
      <c r="B16497" s="15" t="s">
        <v>29538</v>
      </c>
      <c r="C16497" s="15" t="s">
        <v>27788</v>
      </c>
      <c r="D16497" s="15" t="s">
        <v>27856</v>
      </c>
      <c r="E16497" s="2">
        <v>5779206</v>
      </c>
      <c r="F16497" s="4" t="str">
        <f>IF(B16497=B16496,"",B16497)</f>
        <v>Ogden</v>
      </c>
    </row>
    <row r="16498" spans="1:6" ht="15.75" customHeight="1">
      <c r="A16498" s="8" t="str">
        <f ca="1">IFERROR(__xludf.DUMMYFUNCTION("GOOGLETRANSLATE(B45291,""en"",""pt"")"),"Ogden")</f>
        <v>Ogden</v>
      </c>
      <c r="B16498" s="11" t="s">
        <v>29538</v>
      </c>
      <c r="C16498" s="11" t="s">
        <v>27788</v>
      </c>
      <c r="D16498" s="11" t="s">
        <v>27856</v>
      </c>
      <c r="E16498" s="10">
        <v>5779206</v>
      </c>
      <c r="F16498" s="4" t="str">
        <f>IF(B16498=B16497,"",B16498)</f>
        <v/>
      </c>
    </row>
    <row r="16499" spans="1:6" ht="15.75" customHeight="1">
      <c r="A16499" s="15" t="s">
        <v>16332</v>
      </c>
      <c r="B16499" s="15" t="s">
        <v>16332</v>
      </c>
      <c r="C16499" s="15" t="s">
        <v>15704</v>
      </c>
      <c r="D16499" s="15" t="s">
        <v>15710</v>
      </c>
      <c r="E16499" s="2">
        <v>1854665</v>
      </c>
      <c r="F16499" s="4" t="str">
        <f>IF(B16499=B16498,"",B16499)</f>
        <v>Ogawa</v>
      </c>
    </row>
    <row r="16500" spans="1:6" ht="15.75" customHeight="1">
      <c r="A16500" s="8" t="str">
        <f ca="1">IFERROR(__xludf.DUMMYFUNCTION("GOOGLETRANSLATE(B35364,""en"",""pt"")"),"Ogawa")</f>
        <v>Ogawa</v>
      </c>
      <c r="B16500" s="11" t="s">
        <v>16332</v>
      </c>
      <c r="C16500" s="11" t="s">
        <v>15704</v>
      </c>
      <c r="D16500" s="11" t="s">
        <v>15710</v>
      </c>
      <c r="E16500" s="10">
        <v>1854665</v>
      </c>
      <c r="F16500" s="4" t="str">
        <f>IF(B16500=B16499,"",B16500)</f>
        <v/>
      </c>
    </row>
    <row r="16501" spans="1:6" ht="15.75" customHeight="1">
      <c r="A16501" s="16" t="s">
        <v>19522</v>
      </c>
      <c r="B16501" s="15" t="s">
        <v>19522</v>
      </c>
      <c r="C16501" s="16" t="s">
        <v>19294</v>
      </c>
      <c r="D16501" s="16" t="s">
        <v>19310</v>
      </c>
      <c r="E16501" s="2">
        <v>2327827</v>
      </c>
      <c r="F16501" s="4" t="str">
        <f>IF(B16501=B16500,"",B16501)</f>
        <v>Ogaminana</v>
      </c>
    </row>
    <row r="16502" spans="1:6" ht="15.75" customHeight="1">
      <c r="A16502" s="8" t="str">
        <f ca="1">IFERROR(__xludf.DUMMYFUNCTION("GOOGLETRANSLATE(B37662,""en"",""pt"")"),"Ogaminana")</f>
        <v>Ogaminana</v>
      </c>
      <c r="B16502" s="11" t="s">
        <v>19522</v>
      </c>
      <c r="C16502" s="11" t="s">
        <v>19294</v>
      </c>
      <c r="D16502" s="11" t="s">
        <v>19310</v>
      </c>
      <c r="E16502" s="10">
        <v>2327827</v>
      </c>
      <c r="F16502" s="4" t="str">
        <f>IF(B16502=B16501,"",B16502)</f>
        <v/>
      </c>
    </row>
    <row r="16503" spans="1:6" ht="15.75" customHeight="1">
      <c r="A16503" s="8" t="str">
        <f ca="1">IFERROR(__xludf.DUMMYFUNCTION("GOOGLETRANSLATE(B35365,""en"",""pt"")"),"Ōgaki")</f>
        <v>Ōgaki</v>
      </c>
      <c r="B16503" s="9" t="s">
        <v>34335</v>
      </c>
      <c r="C16503" s="9" t="s">
        <v>15704</v>
      </c>
      <c r="D16503" s="9" t="s">
        <v>15748</v>
      </c>
      <c r="E16503" s="10">
        <v>1854703</v>
      </c>
      <c r="F16503" s="4" t="str">
        <f>IF(B16503=B16502,"",B16503)</f>
        <v>Ōgaki</v>
      </c>
    </row>
    <row r="16504" spans="1:6" ht="15.75" customHeight="1">
      <c r="A16504" s="16" t="s">
        <v>16330</v>
      </c>
      <c r="B16504" s="15" t="s">
        <v>16331</v>
      </c>
      <c r="C16504" s="16" t="s">
        <v>15704</v>
      </c>
      <c r="D16504" s="16" t="s">
        <v>15796</v>
      </c>
      <c r="E16504" s="2">
        <v>1854629</v>
      </c>
      <c r="F16504" s="4" t="str">
        <f>IF(B16504=B16503,"",B16504)</f>
        <v>OgÅri-shimogÅ</v>
      </c>
    </row>
    <row r="16505" spans="1:6" ht="15.75" customHeight="1">
      <c r="A16505" s="8" t="str">
        <f ca="1">IFERROR(__xludf.DUMMYFUNCTION("GOOGLETRANSLATE(B35749,""en"",""pt"")"),"Ōfunato")</f>
        <v>Ōfunato</v>
      </c>
      <c r="B16505" s="9" t="s">
        <v>34411</v>
      </c>
      <c r="C16505" s="9" t="s">
        <v>15704</v>
      </c>
      <c r="D16505" s="9" t="s">
        <v>15745</v>
      </c>
      <c r="E16505" s="10">
        <v>2111530</v>
      </c>
      <c r="F16505" s="4" t="str">
        <f>IF(B16505=B16504,"",B16505)</f>
        <v>Ōfunato</v>
      </c>
    </row>
    <row r="16506" spans="1:6" ht="15.75" customHeight="1">
      <c r="A16506" s="16" t="s">
        <v>8961</v>
      </c>
      <c r="B16506" s="15" t="s">
        <v>8961</v>
      </c>
      <c r="C16506" s="16" t="s">
        <v>8028</v>
      </c>
      <c r="D16506" s="16" t="s">
        <v>8031</v>
      </c>
      <c r="E16506" s="2">
        <v>2857798</v>
      </c>
      <c r="F16506" s="4" t="str">
        <f>IF(B16506=B16505,"",B16506)</f>
        <v>Offenburg</v>
      </c>
    </row>
    <row r="16507" spans="1:6" ht="15.75" customHeight="1">
      <c r="A16507" s="8" t="str">
        <f ca="1">IFERROR(__xludf.DUMMYFUNCTION("GOOGLETRANSLATE(B27675,""en"",""pt"")"),"Offenburg")</f>
        <v>Offenburg</v>
      </c>
      <c r="B16507" s="9" t="s">
        <v>8961</v>
      </c>
      <c r="C16507" s="9" t="s">
        <v>8028</v>
      </c>
      <c r="D16507" s="9" t="s">
        <v>32013</v>
      </c>
      <c r="E16507" s="10">
        <v>2857798</v>
      </c>
      <c r="F16507" s="4" t="str">
        <f>IF(B16507=B16506,"",B16507)</f>
        <v/>
      </c>
    </row>
    <row r="16508" spans="1:6" ht="15.75" customHeight="1">
      <c r="A16508" s="16" t="s">
        <v>8960</v>
      </c>
      <c r="B16508" s="15" t="s">
        <v>8960</v>
      </c>
      <c r="C16508" s="16" t="s">
        <v>8028</v>
      </c>
      <c r="D16508" s="16" t="s">
        <v>8050</v>
      </c>
      <c r="E16508" s="2">
        <v>2857807</v>
      </c>
      <c r="F16508" s="4" t="str">
        <f>IF(B16508=B16507,"",B16508)</f>
        <v>Offenbach</v>
      </c>
    </row>
    <row r="16509" spans="1:6" ht="15.75" customHeight="1">
      <c r="A16509" s="8" t="str">
        <f ca="1">IFERROR(__xludf.DUMMYFUNCTION("GOOGLETRANSLATE(B27676,""en"",""pt"")"),"Offenbach")</f>
        <v>Offenbach</v>
      </c>
      <c r="B16509" s="9" t="s">
        <v>8960</v>
      </c>
      <c r="C16509" s="9" t="s">
        <v>8028</v>
      </c>
      <c r="D16509" s="9" t="s">
        <v>8050</v>
      </c>
      <c r="E16509" s="10">
        <v>2857807</v>
      </c>
      <c r="F16509" s="4" t="str">
        <f>IF(B16509=B16508,"",B16509)</f>
        <v/>
      </c>
    </row>
    <row r="16510" spans="1:6" ht="15.75" customHeight="1">
      <c r="A16510" s="15" t="s">
        <v>19521</v>
      </c>
      <c r="B16510" s="15" t="s">
        <v>19521</v>
      </c>
      <c r="C16510" s="15" t="s">
        <v>19294</v>
      </c>
      <c r="D16510" s="15" t="s">
        <v>19355</v>
      </c>
      <c r="E16510" s="2">
        <v>2327879</v>
      </c>
      <c r="F16510" s="4" t="str">
        <f>IF(B16510=B16509,"",B16510)</f>
        <v>Offa</v>
      </c>
    </row>
    <row r="16511" spans="1:6" ht="15.75" customHeight="1">
      <c r="A16511" s="8" t="str">
        <f ca="1">IFERROR(__xludf.DUMMYFUNCTION("GOOGLETRANSLATE(B37663,""en"",""pt"")"),"Offa")</f>
        <v>Offa</v>
      </c>
      <c r="B16511" s="9" t="s">
        <v>19521</v>
      </c>
      <c r="C16511" s="9" t="s">
        <v>19294</v>
      </c>
      <c r="D16511" s="9" t="s">
        <v>19355</v>
      </c>
      <c r="E16511" s="10">
        <v>2327879</v>
      </c>
      <c r="F16511" s="4" t="str">
        <f>IF(B16511=B16510,"",B16511)</f>
        <v/>
      </c>
    </row>
    <row r="16512" spans="1:6" ht="15.75" customHeight="1">
      <c r="A16512" s="15" t="s">
        <v>14845</v>
      </c>
      <c r="B16512" s="15" t="s">
        <v>14846</v>
      </c>
      <c r="C16512" s="15" t="s">
        <v>14773</v>
      </c>
      <c r="D16512" s="15" t="s">
        <v>14779</v>
      </c>
      <c r="E16512" s="2">
        <v>293992</v>
      </c>
      <c r="F16512" s="4" t="str">
        <f>IF(B16512=B16511,"",B16512)</f>
        <v>Ofaqim</v>
      </c>
    </row>
    <row r="16513" spans="1:6" ht="15.75" customHeight="1">
      <c r="A16513" s="8" t="str">
        <f ca="1">IFERROR(__xludf.DUMMYFUNCTION("GOOGLETRANSLATE(B31784,""en"",""pt"")"),"OFAQIM")</f>
        <v>OFAQIM</v>
      </c>
      <c r="B16513" s="9" t="s">
        <v>14846</v>
      </c>
      <c r="C16513" s="9" t="s">
        <v>14773</v>
      </c>
      <c r="D16513" s="9" t="s">
        <v>14779</v>
      </c>
      <c r="E16513" s="10">
        <v>293992</v>
      </c>
      <c r="F16513" s="4" t="str">
        <f>IF(B16513=B16512,"",B16513)</f>
        <v/>
      </c>
    </row>
    <row r="16514" spans="1:6" ht="15.75" customHeight="1">
      <c r="A16514" s="15" t="s">
        <v>29537</v>
      </c>
      <c r="B16514" s="15" t="s">
        <v>29537</v>
      </c>
      <c r="C16514" s="15" t="s">
        <v>27788</v>
      </c>
      <c r="D16514" s="15" t="s">
        <v>27799</v>
      </c>
      <c r="E16514" s="2">
        <v>4245926</v>
      </c>
      <c r="F16514" s="4" t="str">
        <f>IF(B16514=B16513,"",B16514)</f>
        <v>O'Fallon</v>
      </c>
    </row>
    <row r="16515" spans="1:6" ht="15.75" customHeight="1">
      <c r="A16515" s="15" t="s">
        <v>29537</v>
      </c>
      <c r="B16515" s="15" t="s">
        <v>29537</v>
      </c>
      <c r="C16515" s="15" t="s">
        <v>27788</v>
      </c>
      <c r="D16515" s="15" t="s">
        <v>27806</v>
      </c>
      <c r="E16515" s="2">
        <v>4401242</v>
      </c>
      <c r="F16515" s="4" t="str">
        <f>IF(B16515=B16514,"",B16515)</f>
        <v/>
      </c>
    </row>
    <row r="16516" spans="1:6" ht="15.75" customHeight="1">
      <c r="A16516" s="8" t="str">
        <f ca="1">IFERROR(__xludf.DUMMYFUNCTION("GOOGLETRANSLATE(B43139,""en"",""pt"")"),"O'Fallon")</f>
        <v>O'Fallon</v>
      </c>
      <c r="B16516" s="11" t="s">
        <v>29537</v>
      </c>
      <c r="C16516" s="11" t="s">
        <v>27788</v>
      </c>
      <c r="D16516" s="11" t="s">
        <v>27799</v>
      </c>
      <c r="E16516" s="10">
        <v>4245926</v>
      </c>
      <c r="F16516" s="4" t="str">
        <f>IF(B16516=B16515,"",B16516)</f>
        <v/>
      </c>
    </row>
    <row r="16517" spans="1:6" ht="15.75" customHeight="1">
      <c r="A16517" s="8" t="str">
        <f ca="1">IFERROR(__xludf.DUMMYFUNCTION("GOOGLETRANSLATE(B43378,""en"",""pt"")"),"O'Fallon")</f>
        <v>O'Fallon</v>
      </c>
      <c r="B16517" s="9" t="s">
        <v>29537</v>
      </c>
      <c r="C16517" s="9" t="s">
        <v>27788</v>
      </c>
      <c r="D16517" s="9" t="s">
        <v>27806</v>
      </c>
      <c r="E16517" s="10">
        <v>4401242</v>
      </c>
      <c r="F16517" s="4" t="str">
        <f>IF(B16517=B16516,"",B16517)</f>
        <v/>
      </c>
    </row>
    <row r="16518" spans="1:6" ht="15.75" customHeight="1">
      <c r="A16518" s="15" t="s">
        <v>26653</v>
      </c>
      <c r="B16518" s="15" t="s">
        <v>26654</v>
      </c>
      <c r="C16518" s="15" t="s">
        <v>26201</v>
      </c>
      <c r="D16518" s="15" t="s">
        <v>26286</v>
      </c>
      <c r="E16518" s="2">
        <v>741240</v>
      </c>
      <c r="F16518" s="4" t="str">
        <f>IF(B16518=B16517,"",B16518)</f>
        <v>Of</v>
      </c>
    </row>
    <row r="16519" spans="1:6" ht="15.75" customHeight="1">
      <c r="A16519" s="8" t="str">
        <f ca="1">IFERROR(__xludf.DUMMYFUNCTION("GOOGLETRANSLATE(B42130,""en"",""pt"")"),"De")</f>
        <v>De</v>
      </c>
      <c r="B16519" s="9" t="s">
        <v>26654</v>
      </c>
      <c r="C16519" s="9" t="s">
        <v>26201</v>
      </c>
      <c r="D16519" s="9" t="s">
        <v>26286</v>
      </c>
      <c r="E16519" s="10">
        <v>741240</v>
      </c>
      <c r="F16519" s="4" t="str">
        <f>IF(B16519=B16518,"",B16519)</f>
        <v/>
      </c>
    </row>
    <row r="16520" spans="1:6" ht="15.75" customHeight="1">
      <c r="A16520" s="16" t="s">
        <v>8959</v>
      </c>
      <c r="B16520" s="15" t="s">
        <v>8959</v>
      </c>
      <c r="C16520" s="16" t="s">
        <v>8028</v>
      </c>
      <c r="D16520" s="16" t="s">
        <v>8029</v>
      </c>
      <c r="E16520" s="2">
        <v>2857900</v>
      </c>
      <c r="F16520" s="4" t="str">
        <f>IF(B16520=B16519,"",B16520)</f>
        <v>Oerlinghausen</v>
      </c>
    </row>
    <row r="16521" spans="1:6" ht="15.75" customHeight="1">
      <c r="A16521" s="8" t="str">
        <f ca="1">IFERROR(__xludf.DUMMYFUNCTION("GOOGLETRANSLATE(B27677,""en"",""pt"")"),"Oerlinghausen")</f>
        <v>Oerlinghausen</v>
      </c>
      <c r="B16521" s="9" t="s">
        <v>8959</v>
      </c>
      <c r="C16521" s="9" t="s">
        <v>8028</v>
      </c>
      <c r="D16521" s="9" t="s">
        <v>8029</v>
      </c>
      <c r="E16521" s="10">
        <v>2857900</v>
      </c>
      <c r="F16521" s="4" t="str">
        <f>IF(B16521=B16520,"",B16521)</f>
        <v/>
      </c>
    </row>
    <row r="16522" spans="1:6" ht="15.75" customHeight="1">
      <c r="A16522" s="16" t="s">
        <v>8957</v>
      </c>
      <c r="B16522" s="15" t="s">
        <v>8958</v>
      </c>
      <c r="C16522" s="16" t="s">
        <v>8028</v>
      </c>
      <c r="D16522" s="16" t="s">
        <v>8029</v>
      </c>
      <c r="E16522" s="2">
        <v>2857904</v>
      </c>
      <c r="F16522" s="4" t="str">
        <f>IF(B16522=B16521,"",B16522)</f>
        <v>Oer-Erkenschwick</v>
      </c>
    </row>
    <row r="16523" spans="1:6" ht="15.75" customHeight="1">
      <c r="A16523" s="8" t="str">
        <f ca="1">IFERROR(__xludf.DUMMYFUNCTION("GOOGLETRANSLATE(B27678,""en"",""pt"")"),"Oer-wenschwick")</f>
        <v>Oer-wenschwick</v>
      </c>
      <c r="B16523" s="9" t="s">
        <v>8958</v>
      </c>
      <c r="C16523" s="9" t="s">
        <v>8028</v>
      </c>
      <c r="D16523" s="9" t="s">
        <v>8029</v>
      </c>
      <c r="E16523" s="10">
        <v>2857904</v>
      </c>
      <c r="F16523" s="4" t="str">
        <f>IF(B16523=B16522,"",B16523)</f>
        <v/>
      </c>
    </row>
    <row r="16524" spans="1:6" ht="15.75" customHeight="1">
      <c r="A16524" s="15" t="s">
        <v>8956</v>
      </c>
      <c r="B16524" s="15" t="s">
        <v>8956</v>
      </c>
      <c r="C16524" s="15" t="s">
        <v>8028</v>
      </c>
      <c r="D16524" s="15" t="s">
        <v>8029</v>
      </c>
      <c r="E16524" s="2">
        <v>2857943</v>
      </c>
      <c r="F16524" s="4" t="str">
        <f>IF(B16524=B16523,"",B16524)</f>
        <v>Oelde</v>
      </c>
    </row>
    <row r="16525" spans="1:6" ht="15.75" customHeight="1">
      <c r="A16525" s="8" t="str">
        <f ca="1">IFERROR(__xludf.DUMMYFUNCTION("GOOGLETRANSLATE(B27679,""en"",""pt"")"),"Oelde")</f>
        <v>Oelde</v>
      </c>
      <c r="B16525" s="9" t="s">
        <v>8956</v>
      </c>
      <c r="C16525" s="9" t="s">
        <v>8028</v>
      </c>
      <c r="D16525" s="9" t="s">
        <v>8029</v>
      </c>
      <c r="E16525" s="10">
        <v>2857943</v>
      </c>
      <c r="F16525" s="4" t="str">
        <f>IF(B16525=B16524,"",B16525)</f>
        <v/>
      </c>
    </row>
    <row r="16526" spans="1:6" ht="15.75" customHeight="1">
      <c r="A16526" s="15" t="s">
        <v>2981</v>
      </c>
      <c r="B16526" s="15" t="s">
        <v>2982</v>
      </c>
      <c r="C16526" s="15" t="s">
        <v>1905</v>
      </c>
      <c r="D16526" s="15" t="s">
        <v>1960</v>
      </c>
      <c r="E16526" s="2">
        <v>3393764</v>
      </c>
      <c r="F16526" s="4" t="str">
        <f>IF(B16526=B16525,"",B16526)</f>
        <v>Oeiras</v>
      </c>
    </row>
    <row r="16527" spans="1:6" ht="15.75" customHeight="1">
      <c r="A16527" s="8" t="str">
        <f ca="1">IFERROR(__xludf.DUMMYFUNCTION("GOOGLETRANSLATE(B24253,""en"",""pt"")"),"Oiras")</f>
        <v>Oiras</v>
      </c>
      <c r="B16527" s="9" t="s">
        <v>2982</v>
      </c>
      <c r="C16527" s="9" t="s">
        <v>1905</v>
      </c>
      <c r="D16527" s="9" t="s">
        <v>31349</v>
      </c>
      <c r="E16527" s="10">
        <v>3393764</v>
      </c>
      <c r="F16527" s="4" t="str">
        <f>IF(B16527=B16526,"",B16527)</f>
        <v/>
      </c>
    </row>
    <row r="16528" spans="1:6" ht="15.75" customHeight="1">
      <c r="A16528" s="16" t="s">
        <v>19057</v>
      </c>
      <c r="B16528" s="15" t="s">
        <v>19057</v>
      </c>
      <c r="C16528" s="16" t="s">
        <v>18862</v>
      </c>
      <c r="D16528" s="16" t="s">
        <v>18868</v>
      </c>
      <c r="E16528" s="2">
        <v>2749723</v>
      </c>
      <c r="F16528" s="4" t="str">
        <f>IF(B16528=B16527,"",B16528)</f>
        <v>Oegstgeest</v>
      </c>
    </row>
    <row r="16529" spans="1:6" ht="15.75" customHeight="1">
      <c r="A16529" s="8" t="str">
        <f ca="1">IFERROR(__xludf.DUMMYFUNCTION("GOOGLETRANSLATE(B37982,""en"",""pt"")"),"Oegstgeest")</f>
        <v>Oegstgeest</v>
      </c>
      <c r="B16529" s="9" t="s">
        <v>19057</v>
      </c>
      <c r="C16529" s="9" t="s">
        <v>18862</v>
      </c>
      <c r="D16529" s="9" t="s">
        <v>18868</v>
      </c>
      <c r="E16529" s="10">
        <v>2749723</v>
      </c>
      <c r="F16529" s="4" t="str">
        <f>IF(B16529=B16528,"",B16529)</f>
        <v/>
      </c>
    </row>
    <row r="16530" spans="1:6" ht="15.75" customHeight="1">
      <c r="A16530" s="16" t="s">
        <v>21971</v>
      </c>
      <c r="B16530" s="15" t="s">
        <v>21972</v>
      </c>
      <c r="C16530" s="16" t="s">
        <v>21824</v>
      </c>
      <c r="D16530" s="16" t="s">
        <v>21938</v>
      </c>
      <c r="E16530" s="2">
        <v>671964</v>
      </c>
      <c r="F16530" s="4" t="str">
        <f>IF(B16530=B16529,"",B16530)</f>
        <v>Odorheiu Secuiesc</v>
      </c>
    </row>
    <row r="16531" spans="1:6" ht="15.75" customHeight="1">
      <c r="A16531" s="8" t="str">
        <f ca="1">IFERROR(__xludf.DUMMYFUNCTION("GOOGLETRANSLATE(B39770,""en"",""pt"")"),"ODORHEIU SECUIESC")</f>
        <v>ODORHEIU SECUIESC</v>
      </c>
      <c r="B16531" s="9" t="s">
        <v>21972</v>
      </c>
      <c r="C16531" s="9" t="s">
        <v>21824</v>
      </c>
      <c r="D16531" s="9" t="s">
        <v>21938</v>
      </c>
      <c r="E16531" s="10">
        <v>671964</v>
      </c>
      <c r="F16531" s="4" t="str">
        <f>IF(B16531=B16530,"",B16531)</f>
        <v/>
      </c>
    </row>
    <row r="16532" spans="1:6" ht="15.75" customHeight="1">
      <c r="A16532" s="15" t="s">
        <v>21692</v>
      </c>
      <c r="B16532" s="15" t="s">
        <v>21692</v>
      </c>
      <c r="C16532" s="15" t="s">
        <v>21606</v>
      </c>
      <c r="D16532" s="15" t="s">
        <v>21616</v>
      </c>
      <c r="E16532" s="2">
        <v>2265467</v>
      </c>
      <c r="F16532" s="4" t="str">
        <f>IF(B16532=B16531,"",B16532)</f>
        <v>Odivelas</v>
      </c>
    </row>
    <row r="16533" spans="1:6" ht="15.75" customHeight="1">
      <c r="A16533" s="8" t="str">
        <f ca="1">IFERROR(__xludf.DUMMYFUNCTION("GOOGLETRANSLATE(B39592,""en"",""pt"")"),"Odivelas")</f>
        <v>Odivelas</v>
      </c>
      <c r="B16533" s="9" t="s">
        <v>21692</v>
      </c>
      <c r="C16533" s="9" t="s">
        <v>21606</v>
      </c>
      <c r="D16533" s="9" t="s">
        <v>21616</v>
      </c>
      <c r="E16533" s="10">
        <v>2265467</v>
      </c>
      <c r="F16533" s="4" t="str">
        <f>IF(B16533=B16532,"",B16533)</f>
        <v/>
      </c>
    </row>
    <row r="16534" spans="1:6" ht="15.75" customHeight="1">
      <c r="A16534" s="16" t="s">
        <v>22885</v>
      </c>
      <c r="B16534" s="15" t="s">
        <v>22885</v>
      </c>
      <c r="C16534" s="16" t="s">
        <v>22070</v>
      </c>
      <c r="D16534" s="16" t="s">
        <v>22119</v>
      </c>
      <c r="E16534" s="2">
        <v>516215</v>
      </c>
      <c r="F16534" s="4" t="str">
        <f>IF(B16534=B16533,"",B16534)</f>
        <v>Odintsovo</v>
      </c>
    </row>
    <row r="16535" spans="1:6" ht="15.75" customHeight="1">
      <c r="A16535" s="8" t="str">
        <f ca="1">IFERROR(__xludf.DUMMYFUNCTION("GOOGLETRANSLATE(B40239,""en"",""pt"")"),"Odintsovo")</f>
        <v>Odintsovo</v>
      </c>
      <c r="B16535" s="9" t="s">
        <v>22885</v>
      </c>
      <c r="C16535" s="9" t="s">
        <v>22070</v>
      </c>
      <c r="D16535" s="9" t="s">
        <v>22119</v>
      </c>
      <c r="E16535" s="10">
        <v>516215</v>
      </c>
      <c r="F16535" s="4" t="str">
        <f>IF(B16535=B16534,"",B16535)</f>
        <v/>
      </c>
    </row>
    <row r="16536" spans="1:6" ht="15.75" customHeight="1">
      <c r="A16536" s="8" t="str">
        <f ca="1">IFERROR(__xludf.DUMMYFUNCTION("GOOGLETRANSLATE(B25839,""en"",""pt"")"),"ODIENNÉ")</f>
        <v>ODIENNÉ</v>
      </c>
      <c r="B16536" s="11" t="s">
        <v>15654</v>
      </c>
      <c r="C16536" s="11" t="s">
        <v>15586</v>
      </c>
      <c r="D16536" s="11" t="s">
        <v>31785</v>
      </c>
      <c r="E16536" s="10">
        <v>2283016</v>
      </c>
      <c r="F16536" s="4" t="str">
        <f>IF(B16536=B16535,"",B16536)</f>
        <v>Odienné</v>
      </c>
    </row>
    <row r="16537" spans="1:6" ht="15.75" customHeight="1">
      <c r="A16537" s="15" t="s">
        <v>15654</v>
      </c>
      <c r="B16537" s="15" t="s">
        <v>15655</v>
      </c>
      <c r="C16537" s="15" t="s">
        <v>15586</v>
      </c>
      <c r="D16537" s="15" t="s">
        <v>15656</v>
      </c>
      <c r="E16537" s="2">
        <v>2283016</v>
      </c>
      <c r="F16537" s="4" t="str">
        <f>IF(B16537=B16536,"",B16537)</f>
        <v>OdiennÃ©</v>
      </c>
    </row>
    <row r="16538" spans="1:6" ht="15.75" customHeight="1">
      <c r="A16538" s="15" t="s">
        <v>26884</v>
      </c>
      <c r="B16538" s="15" t="s">
        <v>26884</v>
      </c>
      <c r="C16538" s="15" t="s">
        <v>26870</v>
      </c>
      <c r="D16538" s="15" t="s">
        <v>26884</v>
      </c>
      <c r="E16538" s="2">
        <v>698740</v>
      </c>
      <c r="F16538" s="4" t="str">
        <f>IF(B16538=B16537,"",B16538)</f>
        <v>Odessa</v>
      </c>
    </row>
    <row r="16539" spans="1:6" ht="15.75" customHeight="1">
      <c r="A16539" s="15" t="s">
        <v>26884</v>
      </c>
      <c r="B16539" s="15" t="s">
        <v>26884</v>
      </c>
      <c r="C16539" s="15" t="s">
        <v>27788</v>
      </c>
      <c r="D16539" s="15" t="s">
        <v>27792</v>
      </c>
      <c r="E16539" s="2">
        <v>5527554</v>
      </c>
      <c r="F16539" s="4" t="str">
        <f>IF(B16539=B16538,"",B16539)</f>
        <v/>
      </c>
    </row>
    <row r="16540" spans="1:6" ht="15.75" customHeight="1">
      <c r="A16540" s="8" t="str">
        <f ca="1">IFERROR(__xludf.DUMMYFUNCTION("GOOGLETRANSLATE(B42559,""en"",""pt"")"),"Odessa")</f>
        <v>Odessa</v>
      </c>
      <c r="B16540" s="11" t="s">
        <v>26884</v>
      </c>
      <c r="C16540" s="11" t="s">
        <v>26870</v>
      </c>
      <c r="D16540" s="11" t="s">
        <v>26884</v>
      </c>
      <c r="E16540" s="10">
        <v>698740</v>
      </c>
      <c r="F16540" s="4" t="str">
        <f>IF(B16540=B16539,"",B16540)</f>
        <v/>
      </c>
    </row>
    <row r="16541" spans="1:6" ht="15.75" customHeight="1">
      <c r="A16541" s="8" t="str">
        <f ca="1">IFERROR(__xludf.DUMMYFUNCTION("GOOGLETRANSLATE(B45165,""en"",""pt"")"),"Odessa")</f>
        <v>Odessa</v>
      </c>
      <c r="B16541" s="9" t="s">
        <v>26884</v>
      </c>
      <c r="C16541" s="9" t="s">
        <v>27788</v>
      </c>
      <c r="D16541" s="9" t="s">
        <v>27792</v>
      </c>
      <c r="E16541" s="10">
        <v>5527554</v>
      </c>
      <c r="F16541" s="4" t="str">
        <f>IF(B16541=B16540,"",B16541)</f>
        <v/>
      </c>
    </row>
    <row r="16542" spans="1:6" ht="15.75" customHeight="1">
      <c r="A16542" s="15" t="s">
        <v>15325</v>
      </c>
      <c r="B16542" s="15" t="s">
        <v>15325</v>
      </c>
      <c r="C16542" s="15" t="s">
        <v>14891</v>
      </c>
      <c r="D16542" s="15" t="s">
        <v>14892</v>
      </c>
      <c r="E16542" s="2">
        <v>3172116</v>
      </c>
      <c r="F16542" s="4" t="str">
        <f>IF(B16542=B16541,"",B16542)</f>
        <v>Oderzo</v>
      </c>
    </row>
    <row r="16543" spans="1:6" ht="15.75" customHeight="1">
      <c r="A16543" s="8" t="str">
        <f ca="1">IFERROR(__xludf.DUMMYFUNCTION("GOOGLETRANSLATE(B34794,""en"",""pt"")"),"Oderzo")</f>
        <v>Oderzo</v>
      </c>
      <c r="B16543" s="9" t="s">
        <v>15325</v>
      </c>
      <c r="C16543" s="9" t="s">
        <v>14891</v>
      </c>
      <c r="D16543" s="9" t="s">
        <v>14892</v>
      </c>
      <c r="E16543" s="10">
        <v>3172116</v>
      </c>
      <c r="F16543" s="4" t="str">
        <f>IF(B16543=B16542,"",B16543)</f>
        <v/>
      </c>
    </row>
    <row r="16544" spans="1:6" ht="15.75" customHeight="1">
      <c r="A16544" s="15" t="s">
        <v>29536</v>
      </c>
      <c r="B16544" s="15" t="s">
        <v>29536</v>
      </c>
      <c r="C16544" s="15" t="s">
        <v>27788</v>
      </c>
      <c r="D16544" s="15" t="s">
        <v>17061</v>
      </c>
      <c r="E16544" s="2">
        <v>4364362</v>
      </c>
      <c r="F16544" s="4" t="str">
        <f>IF(B16544=B16543,"",B16544)</f>
        <v>Odenton</v>
      </c>
    </row>
    <row r="16545" spans="1:6" ht="15.75" customHeight="1">
      <c r="A16545" s="8" t="str">
        <f ca="1">IFERROR(__xludf.DUMMYFUNCTION("GOOGLETRANSLATE(B43313,""en"",""pt"")"),"Odenton")</f>
        <v>Odenton</v>
      </c>
      <c r="B16545" s="9" t="s">
        <v>29536</v>
      </c>
      <c r="C16545" s="9" t="s">
        <v>27788</v>
      </c>
      <c r="D16545" s="9" t="s">
        <v>17061</v>
      </c>
      <c r="E16545" s="10">
        <v>4364362</v>
      </c>
      <c r="F16545" s="4" t="str">
        <f>IF(B16545=B16544,"",B16545)</f>
        <v/>
      </c>
    </row>
    <row r="16546" spans="1:6" ht="15.75" customHeight="1">
      <c r="A16546" s="15" t="s">
        <v>8955</v>
      </c>
      <c r="B16546" s="15" t="s">
        <v>8955</v>
      </c>
      <c r="C16546" s="15" t="s">
        <v>8028</v>
      </c>
      <c r="D16546" s="15" t="s">
        <v>8029</v>
      </c>
      <c r="E16546" s="2">
        <v>2858103</v>
      </c>
      <c r="F16546" s="4" t="str">
        <f>IF(B16546=B16545,"",B16546)</f>
        <v>Odenthal</v>
      </c>
    </row>
    <row r="16547" spans="1:6" ht="15.75" customHeight="1">
      <c r="A16547" s="8" t="str">
        <f ca="1">IFERROR(__xludf.DUMMYFUNCTION("GOOGLETRANSLATE(B27680,""en"",""pt"")"),"Odenthal")</f>
        <v>Odenthal</v>
      </c>
      <c r="B16547" s="9" t="s">
        <v>8955</v>
      </c>
      <c r="C16547" s="9" t="s">
        <v>8028</v>
      </c>
      <c r="D16547" s="9" t="s">
        <v>8029</v>
      </c>
      <c r="E16547" s="10">
        <v>2858103</v>
      </c>
      <c r="F16547" s="4" t="str">
        <f>IF(B16547=B16546,"",B16547)</f>
        <v/>
      </c>
    </row>
    <row r="16548" spans="1:6" ht="15.75" customHeight="1">
      <c r="A16548" s="15" t="s">
        <v>6268</v>
      </c>
      <c r="B16548" s="15" t="s">
        <v>6269</v>
      </c>
      <c r="C16548" s="15" t="s">
        <v>6209</v>
      </c>
      <c r="D16548" s="15" t="s">
        <v>6212</v>
      </c>
      <c r="E16548" s="2">
        <v>2615876</v>
      </c>
      <c r="F16548" s="4" t="str">
        <f>IF(B16548=B16547,"",B16548)</f>
        <v>Odense</v>
      </c>
    </row>
    <row r="16549" spans="1:6" ht="15.75" customHeight="1">
      <c r="A16549" s="8" t="str">
        <f ca="1">IFERROR(__xludf.DUMMYFUNCTION("GOOGLETRANSLATE(B28416,""en"",""pt"")"),"ODense")</f>
        <v>ODense</v>
      </c>
      <c r="B16549" s="11" t="s">
        <v>6269</v>
      </c>
      <c r="C16549" s="11" t="s">
        <v>6209</v>
      </c>
      <c r="D16549" s="11" t="s">
        <v>6212</v>
      </c>
      <c r="E16549" s="10">
        <v>2615876</v>
      </c>
      <c r="F16549" s="4" t="str">
        <f>IF(B16549=B16548,"",B16549)</f>
        <v/>
      </c>
    </row>
    <row r="16550" spans="1:6" ht="15.75" customHeight="1">
      <c r="A16550" s="8" t="str">
        <f ca="1">IFERROR(__xludf.DUMMYFUNCTION("GOOGLETRANSLATE(B41924,""en"",""pt"")"),"Ödemiş")</f>
        <v>Ödemiş</v>
      </c>
      <c r="B16550" s="9" t="s">
        <v>35850</v>
      </c>
      <c r="C16550" s="9" t="s">
        <v>26201</v>
      </c>
      <c r="D16550" s="9" t="s">
        <v>35825</v>
      </c>
      <c r="E16550" s="10">
        <v>303700</v>
      </c>
      <c r="F16550" s="4" t="str">
        <f>IF(B16550=B16549,"",B16550)</f>
        <v>Ödemiş</v>
      </c>
    </row>
    <row r="16551" spans="1:6" ht="15.75" customHeight="1">
      <c r="A16551" s="15" t="s">
        <v>19519</v>
      </c>
      <c r="B16551" s="15" t="s">
        <v>19520</v>
      </c>
      <c r="C16551" s="15" t="s">
        <v>19294</v>
      </c>
      <c r="D16551" s="15" t="s">
        <v>19314</v>
      </c>
      <c r="E16551" s="2">
        <v>2328090</v>
      </c>
      <c r="F16551" s="4" t="str">
        <f>IF(B16551=B16550,"",B16551)</f>
        <v>Ode</v>
      </c>
    </row>
    <row r="16552" spans="1:6" ht="15.75" customHeight="1">
      <c r="A16552" s="8" t="str">
        <f ca="1">IFERROR(__xludf.DUMMYFUNCTION("GOOGLETRANSLATE(B37664,""en"",""pt"")"),"Tributo")</f>
        <v>Tributo</v>
      </c>
      <c r="B16552" s="9" t="s">
        <v>19520</v>
      </c>
      <c r="C16552" s="9" t="s">
        <v>19294</v>
      </c>
      <c r="D16552" s="9" t="s">
        <v>19314</v>
      </c>
      <c r="E16552" s="10">
        <v>2328090</v>
      </c>
      <c r="F16552" s="4" t="str">
        <f>IF(B16552=B16551,"",B16552)</f>
        <v/>
      </c>
    </row>
    <row r="16553" spans="1:6" ht="15.75" customHeight="1">
      <c r="A16553" s="15" t="s">
        <v>16329</v>
      </c>
      <c r="B16553" s="15" t="s">
        <v>16329</v>
      </c>
      <c r="C16553" s="15" t="s">
        <v>15704</v>
      </c>
      <c r="D16553" s="15" t="s">
        <v>15755</v>
      </c>
      <c r="E16553" s="2">
        <v>1854747</v>
      </c>
      <c r="F16553" s="4" t="str">
        <f>IF(B16553=B16552,"",B16553)</f>
        <v>Odawara</v>
      </c>
    </row>
    <row r="16554" spans="1:6" ht="15.75" customHeight="1">
      <c r="A16554" s="8" t="str">
        <f ca="1">IFERROR(__xludf.DUMMYFUNCTION("GOOGLETRANSLATE(B35366,""en"",""pt"")"),"Odawara")</f>
        <v>Odawara</v>
      </c>
      <c r="B16554" s="9" t="s">
        <v>16329</v>
      </c>
      <c r="C16554" s="9" t="s">
        <v>15704</v>
      </c>
      <c r="D16554" s="9" t="s">
        <v>15755</v>
      </c>
      <c r="E16554" s="10">
        <v>1854747</v>
      </c>
      <c r="F16554" s="4" t="str">
        <f>IF(B16554=B16553,"",B16554)</f>
        <v/>
      </c>
    </row>
    <row r="16555" spans="1:6" ht="15.75" customHeight="1">
      <c r="A16555" s="8" t="str">
        <f ca="1">IFERROR(__xludf.DUMMYFUNCTION("GOOGLETRANSLATE(B35831,""en"",""pt"")"),"Ōdate")</f>
        <v>Ōdate</v>
      </c>
      <c r="B16555" s="11" t="s">
        <v>34418</v>
      </c>
      <c r="C16555" s="11" t="s">
        <v>15704</v>
      </c>
      <c r="D16555" s="11" t="s">
        <v>15716</v>
      </c>
      <c r="E16555" s="10">
        <v>2128787</v>
      </c>
      <c r="F16555" s="4" t="str">
        <f>IF(B16555=B16554,"",B16555)</f>
        <v>Ōdate</v>
      </c>
    </row>
    <row r="16556" spans="1:6" ht="15.75" customHeight="1">
      <c r="A16556" s="8" t="str">
        <f ca="1">IFERROR(__xludf.DUMMYFUNCTION("GOOGLETRANSLATE(B35367,""en"",""pt"")"),"Ōdachō-du")</f>
        <v>Ōdachō-du</v>
      </c>
      <c r="B16556" s="9" t="s">
        <v>34336</v>
      </c>
      <c r="C16556" s="9" t="s">
        <v>15704</v>
      </c>
      <c r="D16556" s="9" t="s">
        <v>15740</v>
      </c>
      <c r="E16556" s="10">
        <v>1854774</v>
      </c>
      <c r="F16556" s="4" t="str">
        <f>IF(B16556=B16555,"",B16556)</f>
        <v>Ōdachō-ōda</v>
      </c>
    </row>
    <row r="16557" spans="1:6" ht="15.75" customHeight="1">
      <c r="A16557" s="16" t="s">
        <v>30734</v>
      </c>
      <c r="B16557" s="15" t="s">
        <v>30734</v>
      </c>
      <c r="C16557" s="16" t="s">
        <v>5923</v>
      </c>
      <c r="D16557" s="16" t="s">
        <v>30647</v>
      </c>
      <c r="E16557" s="2">
        <v>3631412</v>
      </c>
      <c r="F16557" s="4" t="str">
        <f>IF(B16557=B16556,"",B16557)</f>
        <v>Ocumare del Tuy</v>
      </c>
    </row>
    <row r="16558" spans="1:6" ht="15.75" customHeight="1">
      <c r="A16558" s="8" t="str">
        <f ca="1">IFERROR(__xludf.DUMMYFUNCTION("GOOGLETRANSLATE(B45640,""en"",""pt"")"),"Ocumare del Tuy")</f>
        <v>Ocumare del Tuy</v>
      </c>
      <c r="B16558" s="9" t="s">
        <v>30734</v>
      </c>
      <c r="C16558" s="9" t="s">
        <v>5923</v>
      </c>
      <c r="D16558" s="9" t="s">
        <v>30647</v>
      </c>
      <c r="E16558" s="10">
        <v>3631412</v>
      </c>
      <c r="F16558" s="4" t="str">
        <f>IF(B16558=B16557,"",B16558)</f>
        <v/>
      </c>
    </row>
    <row r="16559" spans="1:6" ht="15.75" customHeight="1">
      <c r="A16559" s="15" t="s">
        <v>7653</v>
      </c>
      <c r="B16559" s="15" t="s">
        <v>7653</v>
      </c>
      <c r="C16559" s="15" t="s">
        <v>7052</v>
      </c>
      <c r="D16559" s="15" t="s">
        <v>7068</v>
      </c>
      <c r="E16559" s="2">
        <v>2989755</v>
      </c>
      <c r="F16559" s="4" t="str">
        <f>IF(B16559=B16558,"",B16559)</f>
        <v>Octeville</v>
      </c>
    </row>
    <row r="16560" spans="1:6" ht="15.75" customHeight="1">
      <c r="A16560" s="8" t="str">
        <f ca="1">IFERROR(__xludf.DUMMYFUNCTION("GOOGLETRANSLATE(B29872,""en"",""pt"")"),"Octeville")</f>
        <v>Octeville</v>
      </c>
      <c r="B16560" s="11" t="s">
        <v>7653</v>
      </c>
      <c r="C16560" s="11" t="s">
        <v>7052</v>
      </c>
      <c r="D16560" s="11" t="s">
        <v>7068</v>
      </c>
      <c r="E16560" s="10">
        <v>2989755</v>
      </c>
      <c r="F16560" s="4" t="str">
        <f>IF(B16560=B16559,"",B16560)</f>
        <v/>
      </c>
    </row>
    <row r="16561" spans="1:6" ht="15.75" customHeight="1">
      <c r="A16561" s="16" t="s">
        <v>18132</v>
      </c>
      <c r="B16561" s="15" t="s">
        <v>18132</v>
      </c>
      <c r="C16561" s="16" t="s">
        <v>17707</v>
      </c>
      <c r="D16561" s="16" t="s">
        <v>17770</v>
      </c>
      <c r="E16561" s="2">
        <v>3522444</v>
      </c>
      <c r="F16561" s="4" t="str">
        <f>IF(B16561=B16560,"",B16561)</f>
        <v>Ocozocoautla de Espinosa</v>
      </c>
    </row>
    <row r="16562" spans="1:6" ht="15.75" customHeight="1">
      <c r="A16562" s="8" t="str">
        <f ca="1">IFERROR(__xludf.DUMMYFUNCTION("GOOGLETRANSLATE(B36962,""en"",""pt"")"),"Ocozocoautla de Espinosa")</f>
        <v>Ocozocoautla de Espinosa</v>
      </c>
      <c r="B16562" s="9" t="s">
        <v>18132</v>
      </c>
      <c r="C16562" s="9" t="s">
        <v>17707</v>
      </c>
      <c r="D16562" s="9" t="s">
        <v>17770</v>
      </c>
      <c r="E16562" s="10">
        <v>3522444</v>
      </c>
      <c r="F16562" s="4" t="str">
        <f>IF(B16562=B16561,"",B16562)</f>
        <v/>
      </c>
    </row>
    <row r="16563" spans="1:6" ht="15.75" customHeight="1">
      <c r="A16563" s="16" t="s">
        <v>18131</v>
      </c>
      <c r="B16563" s="15" t="s">
        <v>18131</v>
      </c>
      <c r="C16563" s="16" t="s">
        <v>17707</v>
      </c>
      <c r="D16563" s="16" t="s">
        <v>17780</v>
      </c>
      <c r="E16563" s="2">
        <v>3522445</v>
      </c>
      <c r="F16563" s="4" t="str">
        <f>IF(B16563=B16562,"",B16563)</f>
        <v>Ocoyoacac</v>
      </c>
    </row>
    <row r="16564" spans="1:6" ht="15.75" customHeight="1">
      <c r="A16564" s="8" t="str">
        <f ca="1">IFERROR(__xludf.DUMMYFUNCTION("GOOGLETRANSLATE(B36963,""en"",""pt"")"),"Ocoyoacac")</f>
        <v>Ocoyoacac</v>
      </c>
      <c r="B16564" s="9" t="s">
        <v>18131</v>
      </c>
      <c r="C16564" s="9" t="s">
        <v>17707</v>
      </c>
      <c r="D16564" s="9" t="s">
        <v>17780</v>
      </c>
      <c r="E16564" s="10">
        <v>3522445</v>
      </c>
      <c r="F16564" s="4" t="str">
        <f>IF(B16564=B16563,"",B16564)</f>
        <v/>
      </c>
    </row>
    <row r="16565" spans="1:6" ht="15.75" customHeight="1">
      <c r="A16565" s="8" t="str">
        <f ca="1">IFERROR(__xludf.DUMMYFUNCTION("GOOGLETRANSLATE(B37230,""en"",""pt"")"),"Ocotlán")</f>
        <v>Ocotlán</v>
      </c>
      <c r="B16565" s="11" t="s">
        <v>34752</v>
      </c>
      <c r="C16565" s="11" t="s">
        <v>17707</v>
      </c>
      <c r="D16565" s="11" t="s">
        <v>17746</v>
      </c>
      <c r="E16565" s="10">
        <v>3994489</v>
      </c>
      <c r="F16565" s="4" t="str">
        <f>IF(B16565=B16564,"",B16565)</f>
        <v>Ocotlán</v>
      </c>
    </row>
    <row r="16566" spans="1:6" ht="15.75" customHeight="1">
      <c r="A16566" s="15" t="s">
        <v>18129</v>
      </c>
      <c r="B16566" s="15" t="s">
        <v>18130</v>
      </c>
      <c r="C16566" s="15" t="s">
        <v>17707</v>
      </c>
      <c r="D16566" s="15" t="s">
        <v>17746</v>
      </c>
      <c r="E16566" s="2">
        <v>3994489</v>
      </c>
      <c r="F16566" s="4" t="str">
        <f>IF(B16566=B16565,"",B16566)</f>
        <v>OcotlÃ¡n</v>
      </c>
    </row>
    <row r="16567" spans="1:6" ht="15.75" customHeight="1">
      <c r="A16567" s="15" t="s">
        <v>19246</v>
      </c>
      <c r="B16567" s="15" t="s">
        <v>19247</v>
      </c>
      <c r="C16567" s="15" t="s">
        <v>19217</v>
      </c>
      <c r="D16567" s="15" t="s">
        <v>19231</v>
      </c>
      <c r="E16567" s="2">
        <v>3617448</v>
      </c>
      <c r="F16567" s="4" t="str">
        <f>IF(B16567=B16566,"",B16567)</f>
        <v>Ocotal</v>
      </c>
    </row>
    <row r="16568" spans="1:6" ht="15.75" customHeight="1">
      <c r="A16568" s="8" t="str">
        <f ca="1">IFERROR(__xludf.DUMMYFUNCTION("GOOGLETRANSLATE(B37859,""en"",""pt"")"),"OCOTAL")</f>
        <v>OCOTAL</v>
      </c>
      <c r="B16568" s="11" t="s">
        <v>19247</v>
      </c>
      <c r="C16568" s="11" t="s">
        <v>19217</v>
      </c>
      <c r="D16568" s="11" t="s">
        <v>19231</v>
      </c>
      <c r="E16568" s="10">
        <v>3617448</v>
      </c>
      <c r="F16568" s="4" t="str">
        <f>IF(B16568=B16567,"",B16568)</f>
        <v/>
      </c>
    </row>
    <row r="16569" spans="1:6" ht="15.75" customHeight="1">
      <c r="A16569" s="16" t="s">
        <v>18127</v>
      </c>
      <c r="B16569" s="15" t="s">
        <v>18128</v>
      </c>
      <c r="C16569" s="16" t="s">
        <v>17707</v>
      </c>
      <c r="D16569" s="16" t="s">
        <v>17770</v>
      </c>
      <c r="E16569" s="2">
        <v>3522484</v>
      </c>
      <c r="F16569" s="4" t="str">
        <f>IF(B16569=B16568,"",B16569)</f>
        <v>Ocosingo</v>
      </c>
    </row>
    <row r="16570" spans="1:6" ht="15.75" customHeight="1">
      <c r="A16570" s="8" t="str">
        <f ca="1">IFERROR(__xludf.DUMMYFUNCTION("GOOGLETRANSLATE(B36964,""en"",""pt"")"),"OCOSOSO")</f>
        <v>OCOSOSO</v>
      </c>
      <c r="B16570" s="9" t="s">
        <v>18128</v>
      </c>
      <c r="C16570" s="9" t="s">
        <v>17707</v>
      </c>
      <c r="D16570" s="9" t="s">
        <v>17770</v>
      </c>
      <c r="E16570" s="10">
        <v>3522484</v>
      </c>
      <c r="F16570" s="4" t="str">
        <f>IF(B16570=B16569,"",B16570)</f>
        <v/>
      </c>
    </row>
    <row r="16571" spans="1:6" ht="15.75" customHeight="1">
      <c r="A16571" s="16" t="s">
        <v>29535</v>
      </c>
      <c r="B16571" s="15" t="s">
        <v>29535</v>
      </c>
      <c r="C16571" s="16" t="s">
        <v>27788</v>
      </c>
      <c r="D16571" s="16" t="s">
        <v>27890</v>
      </c>
      <c r="E16571" s="2">
        <v>5265499</v>
      </c>
      <c r="F16571" s="4" t="str">
        <f>IF(B16571=B16570,"",B16571)</f>
        <v>Oconomowoc</v>
      </c>
    </row>
    <row r="16572" spans="1:6" ht="15.75" customHeight="1">
      <c r="A16572" s="8" t="str">
        <f ca="1">IFERROR(__xludf.DUMMYFUNCTION("GOOGLETRANSLATE(B44666,""en"",""pt"")"),"Oconomowoc")</f>
        <v>Oconomowoc</v>
      </c>
      <c r="B16572" s="11" t="s">
        <v>29535</v>
      </c>
      <c r="C16572" s="11" t="s">
        <v>27788</v>
      </c>
      <c r="D16572" s="11" t="s">
        <v>27890</v>
      </c>
      <c r="E16572" s="10">
        <v>5265499</v>
      </c>
      <c r="F16572" s="4" t="str">
        <f>IF(B16572=B16571,"",B16572)</f>
        <v/>
      </c>
    </row>
    <row r="16573" spans="1:6" ht="15.75" customHeight="1">
      <c r="A16573" s="15" t="s">
        <v>29534</v>
      </c>
      <c r="B16573" s="15" t="s">
        <v>29534</v>
      </c>
      <c r="C16573" s="15" t="s">
        <v>27788</v>
      </c>
      <c r="D16573" s="15" t="s">
        <v>5468</v>
      </c>
      <c r="E16573" s="2">
        <v>4166776</v>
      </c>
      <c r="F16573" s="4" t="str">
        <f>IF(B16573=B16572,"",B16573)</f>
        <v>Ocoee</v>
      </c>
    </row>
    <row r="16574" spans="1:6" ht="15.75" customHeight="1">
      <c r="A16574" s="8" t="str">
        <f ca="1">IFERROR(__xludf.DUMMYFUNCTION("GOOGLETRANSLATE(B42968,""en"",""pt"")"),"Ocoee")</f>
        <v>Ocoee</v>
      </c>
      <c r="B16574" s="11" t="s">
        <v>29534</v>
      </c>
      <c r="C16574" s="11" t="s">
        <v>27788</v>
      </c>
      <c r="D16574" s="11" t="s">
        <v>5468</v>
      </c>
      <c r="E16574" s="10">
        <v>4166776</v>
      </c>
      <c r="F16574" s="4" t="str">
        <f>IF(B16574=B16573,"",B16574)</f>
        <v/>
      </c>
    </row>
    <row r="16575" spans="1:6" ht="15.75" customHeight="1">
      <c r="A16575" s="8" t="str">
        <f ca="1">IFERROR(__xludf.DUMMYFUNCTION("GOOGLETRANSLATE(B39771,""en"",""pt"")"),"OCNA MUREş")</f>
        <v>OCNA MUREş</v>
      </c>
      <c r="B16575" s="9" t="s">
        <v>35372</v>
      </c>
      <c r="C16575" s="9" t="s">
        <v>21824</v>
      </c>
      <c r="D16575" s="9" t="s">
        <v>14917</v>
      </c>
      <c r="E16575" s="10">
        <v>672024</v>
      </c>
      <c r="F16575" s="4" t="str">
        <f>IF(B16575=B16574,"",B16575)</f>
        <v>Ocna Mureş</v>
      </c>
    </row>
    <row r="16576" spans="1:6" ht="15.75" customHeight="1">
      <c r="A16576" s="16" t="s">
        <v>21969</v>
      </c>
      <c r="B16576" s="15" t="s">
        <v>21970</v>
      </c>
      <c r="C16576" s="16" t="s">
        <v>21824</v>
      </c>
      <c r="D16576" s="16" t="s">
        <v>14917</v>
      </c>
      <c r="E16576" s="2">
        <v>672024</v>
      </c>
      <c r="F16576" s="4" t="str">
        <f>IF(B16576=B16575,"",B16576)</f>
        <v>Ocna MureÅŸ</v>
      </c>
    </row>
    <row r="16577" spans="1:6" ht="15.75" customHeight="1">
      <c r="A16577" s="15" t="s">
        <v>8954</v>
      </c>
      <c r="B16577" s="15" t="s">
        <v>8954</v>
      </c>
      <c r="C16577" s="15" t="s">
        <v>8028</v>
      </c>
      <c r="D16577" s="15" t="s">
        <v>8029</v>
      </c>
      <c r="E16577" s="2">
        <v>2858245</v>
      </c>
      <c r="F16577" s="4" t="str">
        <f>IF(B16577=B16576,"",B16577)</f>
        <v>Ochtrup</v>
      </c>
    </row>
    <row r="16578" spans="1:6" ht="15.75" customHeight="1">
      <c r="A16578" s="8" t="str">
        <f ca="1">IFERROR(__xludf.DUMMYFUNCTION("GOOGLETRANSLATE(B27681,""en"",""pt"")"),"Ochtrup")</f>
        <v>Ochtrup</v>
      </c>
      <c r="B16578" s="11" t="s">
        <v>8954</v>
      </c>
      <c r="C16578" s="11" t="s">
        <v>8028</v>
      </c>
      <c r="D16578" s="11" t="s">
        <v>8029</v>
      </c>
      <c r="E16578" s="10">
        <v>2858245</v>
      </c>
      <c r="F16578" s="4" t="str">
        <f>IF(B16578=B16577,"",B16578)</f>
        <v/>
      </c>
    </row>
    <row r="16579" spans="1:6" ht="15.75" customHeight="1">
      <c r="A16579" s="15" t="s">
        <v>21390</v>
      </c>
      <c r="B16579" s="15" t="s">
        <v>21391</v>
      </c>
      <c r="C16579" s="15" t="s">
        <v>21064</v>
      </c>
      <c r="D16579" s="15" t="s">
        <v>21070</v>
      </c>
      <c r="E16579" s="2">
        <v>763442</v>
      </c>
      <c r="F16579" s="4" t="str">
        <f>IF(B16579=B16578,"",B16579)</f>
        <v>Ochota</v>
      </c>
    </row>
    <row r="16580" spans="1:6" ht="15.75" customHeight="1">
      <c r="A16580" s="8" t="str">
        <f ca="1">IFERROR(__xludf.DUMMYFUNCTION("GOOGLETRANSLATE(B39236,""en"",""pt"")"),"OCHOTA")</f>
        <v>OCHOTA</v>
      </c>
      <c r="B16580" s="11" t="s">
        <v>21391</v>
      </c>
      <c r="C16580" s="11" t="s">
        <v>21064</v>
      </c>
      <c r="D16580" s="11" t="s">
        <v>21070</v>
      </c>
      <c r="E16580" s="10">
        <v>763442</v>
      </c>
      <c r="F16580" s="4" t="str">
        <f>IF(B16580=B16579,"",B16580)</f>
        <v/>
      </c>
    </row>
    <row r="16581" spans="1:6" ht="15.75" customHeight="1">
      <c r="A16581" s="8" t="str">
        <f ca="1">IFERROR(__xludf.DUMMYFUNCTION("GOOGLETRANSLATE(B40240,""en"",""pt"")"),"Ocre")</f>
        <v>Ocre</v>
      </c>
      <c r="B16581" s="9" t="s">
        <v>35478</v>
      </c>
      <c r="C16581" s="9" t="s">
        <v>22070</v>
      </c>
      <c r="D16581" s="9" t="s">
        <v>22115</v>
      </c>
      <c r="E16581" s="10">
        <v>516256</v>
      </c>
      <c r="F16581" s="4" t="str">
        <f>IF(B16581=B16580,"",B16581)</f>
        <v>Ochër</v>
      </c>
    </row>
    <row r="16582" spans="1:6" ht="15.75" customHeight="1">
      <c r="A16582" s="16" t="s">
        <v>22884</v>
      </c>
      <c r="B16582" s="15" t="s">
        <v>22884</v>
      </c>
      <c r="C16582" s="16" t="s">
        <v>22070</v>
      </c>
      <c r="D16582" s="16" t="s">
        <v>22127</v>
      </c>
      <c r="E16582" s="2">
        <v>516264</v>
      </c>
      <c r="F16582" s="4" t="str">
        <f>IF(B16582=B16581,"",B16582)</f>
        <v>Ochakovo-Matveyevskoye</v>
      </c>
    </row>
    <row r="16583" spans="1:6" ht="15.75" customHeight="1">
      <c r="A16583" s="8" t="str">
        <f ca="1">IFERROR(__xludf.DUMMYFUNCTION("GOOGLETRANSLATE(B40241,""en"",""pt"")"),"Ochakovo-Matveyevskoye")</f>
        <v>Ochakovo-Matveyevskoye</v>
      </c>
      <c r="B16583" s="9" t="s">
        <v>22884</v>
      </c>
      <c r="C16583" s="9" t="s">
        <v>22070</v>
      </c>
      <c r="D16583" s="9" t="s">
        <v>22127</v>
      </c>
      <c r="E16583" s="10">
        <v>516264</v>
      </c>
      <c r="F16583" s="4" t="str">
        <f>IF(B16583=B16582,"",B16583)</f>
        <v/>
      </c>
    </row>
    <row r="16584" spans="1:6" ht="15.75" customHeight="1">
      <c r="A16584" s="15" t="s">
        <v>27097</v>
      </c>
      <c r="B16584" s="15" t="s">
        <v>27097</v>
      </c>
      <c r="C16584" s="15" t="s">
        <v>26870</v>
      </c>
      <c r="D16584" s="15" t="s">
        <v>27075</v>
      </c>
      <c r="E16584" s="2">
        <v>698770</v>
      </c>
      <c r="F16584" s="4" t="str">
        <f>IF(B16584=B16583,"",B16584)</f>
        <v>Ochakiv</v>
      </c>
    </row>
    <row r="16585" spans="1:6" ht="15.75" customHeight="1">
      <c r="A16585" s="8" t="str">
        <f ca="1">IFERROR(__xludf.DUMMYFUNCTION("GOOGLETRANSLATE(B42560,""en"",""pt"")"),"Ochakiv")</f>
        <v>Ochakiv</v>
      </c>
      <c r="B16585" s="9" t="s">
        <v>27097</v>
      </c>
      <c r="C16585" s="9" t="s">
        <v>26870</v>
      </c>
      <c r="D16585" s="9" t="s">
        <v>27075</v>
      </c>
      <c r="E16585" s="10">
        <v>698770</v>
      </c>
      <c r="F16585" s="4" t="str">
        <f>IF(B16585=B16584,"",B16585)</f>
        <v/>
      </c>
    </row>
    <row r="16586" spans="1:6" ht="15.75" customHeight="1">
      <c r="A16586" s="15" t="s">
        <v>22882</v>
      </c>
      <c r="B16586" s="15" t="s">
        <v>22883</v>
      </c>
      <c r="C16586" s="15" t="s">
        <v>22070</v>
      </c>
      <c r="D16586" s="15" t="s">
        <v>22115</v>
      </c>
      <c r="E16586" s="2">
        <v>516256</v>
      </c>
      <c r="F16586" s="4" t="str">
        <f>IF(B16586=B16585,"",B16586)</f>
        <v>OchÃ«r</v>
      </c>
    </row>
    <row r="16587" spans="1:6" ht="15.75" customHeight="1">
      <c r="A16587" s="16" t="s">
        <v>8000</v>
      </c>
      <c r="B16587" s="15" t="s">
        <v>8001</v>
      </c>
      <c r="C16587" s="16" t="s">
        <v>7988</v>
      </c>
      <c r="D16587" s="16" t="s">
        <v>8002</v>
      </c>
      <c r="E16587" s="2">
        <v>612652</v>
      </c>
      <c r="F16587" s="4" t="str">
        <f>IF(B16587=B16586,"",B16587)</f>
        <v>Ochâ€™amchâ€™ire</v>
      </c>
    </row>
    <row r="16588" spans="1:6" ht="15.75" customHeight="1">
      <c r="A16588" s="8" t="str">
        <f ca="1">IFERROR(__xludf.DUMMYFUNCTION("GOOGLETRANSLATE(B30840,""en"",""pt"")"),"Och'amch'ire")</f>
        <v>Och'amch'ire</v>
      </c>
      <c r="B16588" s="11" t="s">
        <v>32661</v>
      </c>
      <c r="C16588" s="11" t="s">
        <v>7988</v>
      </c>
      <c r="D16588" s="11" t="s">
        <v>8002</v>
      </c>
      <c r="E16588" s="10">
        <v>612652</v>
      </c>
      <c r="F16588" s="4" t="str">
        <f>IF(B16588=B16587,"",B16588)</f>
        <v>Och’amch’ire</v>
      </c>
    </row>
    <row r="16589" spans="1:6" ht="15.75" customHeight="1">
      <c r="A16589" s="15" t="s">
        <v>29532</v>
      </c>
      <c r="B16589" s="15" t="s">
        <v>29533</v>
      </c>
      <c r="C16589" s="15" t="s">
        <v>27788</v>
      </c>
      <c r="D16589" s="15" t="s">
        <v>27819</v>
      </c>
      <c r="E16589" s="2">
        <v>5129603</v>
      </c>
      <c r="F16589" s="4" t="str">
        <f>IF(B16589=B16588,"",B16589)</f>
        <v>Oceanside</v>
      </c>
    </row>
    <row r="16590" spans="1:6" ht="15.75" customHeight="1">
      <c r="A16590" s="15" t="s">
        <v>29532</v>
      </c>
      <c r="B16590" s="15" t="s">
        <v>29533</v>
      </c>
      <c r="C16590" s="15" t="s">
        <v>27788</v>
      </c>
      <c r="D16590" s="15" t="s">
        <v>27801</v>
      </c>
      <c r="E16590" s="2">
        <v>5378771</v>
      </c>
      <c r="F16590" s="4" t="str">
        <f>IF(B16590=B16589,"",B16590)</f>
        <v/>
      </c>
    </row>
    <row r="16591" spans="1:6" ht="15.75" customHeight="1">
      <c r="A16591" s="8" t="str">
        <f ca="1">IFERROR(__xludf.DUMMYFUNCTION("GOOGLETRANSLATE(B44428,""en"",""pt"")"),"Oceanse")</f>
        <v>Oceanse</v>
      </c>
      <c r="B16591" s="9" t="s">
        <v>29533</v>
      </c>
      <c r="C16591" s="9" t="s">
        <v>27788</v>
      </c>
      <c r="D16591" s="9" t="s">
        <v>27819</v>
      </c>
      <c r="E16591" s="10">
        <v>5129603</v>
      </c>
      <c r="F16591" s="4" t="str">
        <f>IF(B16591=B16590,"",B16591)</f>
        <v/>
      </c>
    </row>
    <row r="16592" spans="1:6" ht="15.75" customHeight="1">
      <c r="A16592" s="8" t="str">
        <f ca="1">IFERROR(__xludf.DUMMYFUNCTION("GOOGLETRANSLATE(B44937,""en"",""pt"")"),"Oceanse")</f>
        <v>Oceanse</v>
      </c>
      <c r="B16592" s="9" t="s">
        <v>29533</v>
      </c>
      <c r="C16592" s="9" t="s">
        <v>27788</v>
      </c>
      <c r="D16592" s="9" t="s">
        <v>27801</v>
      </c>
      <c r="E16592" s="10">
        <v>5378771</v>
      </c>
      <c r="F16592" s="4" t="str">
        <f>IF(B16592=B16591,"",B16592)</f>
        <v/>
      </c>
    </row>
    <row r="16593" spans="1:6" ht="15.75" customHeight="1">
      <c r="A16593" s="16" t="s">
        <v>29531</v>
      </c>
      <c r="B16593" s="15" t="s">
        <v>29531</v>
      </c>
      <c r="C16593" s="16" t="s">
        <v>27788</v>
      </c>
      <c r="D16593" s="16" t="s">
        <v>28040</v>
      </c>
      <c r="E16593" s="2">
        <v>4439506</v>
      </c>
      <c r="F16593" s="4" t="str">
        <f>IF(B16593=B16592,"",B16593)</f>
        <v>Ocean Springs</v>
      </c>
    </row>
    <row r="16594" spans="1:6" ht="15.75" customHeight="1">
      <c r="A16594" s="8" t="str">
        <f ca="1">IFERROR(__xludf.DUMMYFUNCTION("GOOGLETRANSLATE(B43415,""en"",""pt"")"),"Ocean Springs")</f>
        <v>Ocean Springs</v>
      </c>
      <c r="B16594" s="9" t="s">
        <v>29531</v>
      </c>
      <c r="C16594" s="9" t="s">
        <v>27788</v>
      </c>
      <c r="D16594" s="9" t="s">
        <v>28040</v>
      </c>
      <c r="E16594" s="10">
        <v>4439506</v>
      </c>
      <c r="F16594" s="4" t="str">
        <f>IF(B16594=B16593,"",B16594)</f>
        <v/>
      </c>
    </row>
    <row r="16595" spans="1:6" ht="15.75" customHeight="1">
      <c r="A16595" s="16" t="s">
        <v>29530</v>
      </c>
      <c r="B16595" s="15" t="s">
        <v>29530</v>
      </c>
      <c r="C16595" s="16" t="s">
        <v>27788</v>
      </c>
      <c r="D16595" s="16" t="s">
        <v>27905</v>
      </c>
      <c r="E16595" s="2">
        <v>4503346</v>
      </c>
      <c r="F16595" s="4" t="str">
        <f>IF(B16595=B16594,"",B16595)</f>
        <v>Ocean Acres</v>
      </c>
    </row>
    <row r="16596" spans="1:6" ht="15.75" customHeight="1">
      <c r="A16596" s="8" t="str">
        <f ca="1">IFERROR(__xludf.DUMMYFUNCTION("GOOGLETRANSLATE(B43496,""en"",""pt"")"),"Ocean Acres")</f>
        <v>Ocean Acres</v>
      </c>
      <c r="B16596" s="9" t="s">
        <v>29530</v>
      </c>
      <c r="C16596" s="9" t="s">
        <v>27788</v>
      </c>
      <c r="D16596" s="9" t="s">
        <v>27905</v>
      </c>
      <c r="E16596" s="10">
        <v>4503346</v>
      </c>
      <c r="F16596" s="4" t="str">
        <f>IF(B16596=B16595,"",B16596)</f>
        <v/>
      </c>
    </row>
    <row r="16597" spans="1:6" ht="15.75" customHeight="1">
      <c r="A16597" s="8" t="str">
        <f ca="1">IFERROR(__xludf.DUMMYFUNCTION("GOOGLETRANSLATE(B26930,""en"",""pt"")"),"OCAña")</f>
        <v>OCAña</v>
      </c>
      <c r="B16597" s="11" t="s">
        <v>31860</v>
      </c>
      <c r="C16597" s="11" t="s">
        <v>5348</v>
      </c>
      <c r="D16597" s="11" t="s">
        <v>5410</v>
      </c>
      <c r="E16597" s="10">
        <v>3673662</v>
      </c>
      <c r="F16597" s="4" t="str">
        <f>IF(B16597=B16596,"",B16597)</f>
        <v>Ocaña</v>
      </c>
    </row>
    <row r="16598" spans="1:6" ht="15.75" customHeight="1">
      <c r="A16598" s="15" t="s">
        <v>29529</v>
      </c>
      <c r="B16598" s="15" t="s">
        <v>29529</v>
      </c>
      <c r="C16598" s="15" t="s">
        <v>27788</v>
      </c>
      <c r="D16598" s="15" t="s">
        <v>5468</v>
      </c>
      <c r="E16598" s="2">
        <v>4166673</v>
      </c>
      <c r="F16598" s="4" t="str">
        <f>IF(B16598=B16597,"",B16598)</f>
        <v>Ocala</v>
      </c>
    </row>
    <row r="16599" spans="1:6" ht="15.75" customHeight="1">
      <c r="A16599" s="8" t="str">
        <f ca="1">IFERROR(__xludf.DUMMYFUNCTION("GOOGLETRANSLATE(B42967,""en"",""pt"")"),"Ocala")</f>
        <v>Ocala</v>
      </c>
      <c r="B16599" s="11" t="s">
        <v>29529</v>
      </c>
      <c r="C16599" s="11" t="s">
        <v>27788</v>
      </c>
      <c r="D16599" s="11" t="s">
        <v>5468</v>
      </c>
      <c r="E16599" s="10">
        <v>4166673</v>
      </c>
      <c r="F16599" s="4" t="str">
        <f>IF(B16599=B16598,"",B16599)</f>
        <v/>
      </c>
    </row>
    <row r="16600" spans="1:6" ht="15.75" customHeight="1">
      <c r="A16600" s="15" t="s">
        <v>5540</v>
      </c>
      <c r="B16600" s="15" t="s">
        <v>5541</v>
      </c>
      <c r="C16600" s="15" t="s">
        <v>5348</v>
      </c>
      <c r="D16600" s="15" t="s">
        <v>5410</v>
      </c>
      <c r="E16600" s="2">
        <v>3673662</v>
      </c>
      <c r="F16600" s="4" t="str">
        <f>IF(B16600=B16599,"",B16600)</f>
        <v>OcaÃ±a</v>
      </c>
    </row>
    <row r="16601" spans="1:6" ht="15.75" customHeight="1">
      <c r="A16601" s="16" t="s">
        <v>22881</v>
      </c>
      <c r="B16601" s="15" t="s">
        <v>22881</v>
      </c>
      <c r="C16601" s="16" t="s">
        <v>22070</v>
      </c>
      <c r="D16601" s="16" t="s">
        <v>22084</v>
      </c>
      <c r="E16601" s="2">
        <v>873901</v>
      </c>
      <c r="F16601" s="4" t="str">
        <f>IF(B16601=B16600,"",B16601)</f>
        <v>Obukhovo</v>
      </c>
    </row>
    <row r="16602" spans="1:6" ht="15.75" customHeight="1">
      <c r="A16602" s="8" t="str">
        <f ca="1">IFERROR(__xludf.DUMMYFUNCTION("GOOGLETRANSLATE(B40711,""en"",""pt"")"),"Obukhovo")</f>
        <v>Obukhovo</v>
      </c>
      <c r="B16602" s="11" t="s">
        <v>22881</v>
      </c>
      <c r="C16602" s="11" t="s">
        <v>22070</v>
      </c>
      <c r="D16602" s="11" t="s">
        <v>22084</v>
      </c>
      <c r="E16602" s="10">
        <v>873901</v>
      </c>
      <c r="F16602" s="4" t="str">
        <f>IF(B16602=B16601,"",B16602)</f>
        <v/>
      </c>
    </row>
    <row r="16603" spans="1:6" ht="15.75" customHeight="1">
      <c r="A16603" s="15" t="s">
        <v>27096</v>
      </c>
      <c r="B16603" s="15" t="s">
        <v>27096</v>
      </c>
      <c r="C16603" s="15" t="s">
        <v>26870</v>
      </c>
      <c r="D16603" s="15" t="s">
        <v>26905</v>
      </c>
      <c r="E16603" s="2">
        <v>698782</v>
      </c>
      <c r="F16603" s="4" t="str">
        <f>IF(B16603=B16602,"",B16603)</f>
        <v>Obukhiv</v>
      </c>
    </row>
    <row r="16604" spans="1:6" ht="15.75" customHeight="1">
      <c r="A16604" s="8" t="str">
        <f ca="1">IFERROR(__xludf.DUMMYFUNCTION("GOOGLETRANSLATE(B42561,""en"",""pt"")"),"Obukhiv")</f>
        <v>Obukhiv</v>
      </c>
      <c r="B16604" s="11" t="s">
        <v>27096</v>
      </c>
      <c r="C16604" s="11" t="s">
        <v>26870</v>
      </c>
      <c r="D16604" s="11" t="s">
        <v>26905</v>
      </c>
      <c r="E16604" s="10">
        <v>698782</v>
      </c>
      <c r="F16604" s="4" t="str">
        <f>IF(B16604=B16603,"",B16604)</f>
        <v/>
      </c>
    </row>
    <row r="16605" spans="1:6" ht="15.75" customHeight="1">
      <c r="A16605" s="15" t="s">
        <v>19518</v>
      </c>
      <c r="B16605" s="15" t="s">
        <v>19518</v>
      </c>
      <c r="C16605" s="15" t="s">
        <v>19294</v>
      </c>
      <c r="D16605" s="15" t="s">
        <v>19362</v>
      </c>
      <c r="E16605" s="2">
        <v>2328151</v>
      </c>
      <c r="F16605" s="4" t="str">
        <f>IF(B16605=B16604,"",B16605)</f>
        <v>Obudu</v>
      </c>
    </row>
    <row r="16606" spans="1:6" ht="15.75" customHeight="1">
      <c r="A16606" s="8" t="str">
        <f ca="1">IFERROR(__xludf.DUMMYFUNCTION("GOOGLETRANSLATE(B37665,""en"",""pt"")"),"Obudu")</f>
        <v>Obudu</v>
      </c>
      <c r="B16606" s="11" t="s">
        <v>19518</v>
      </c>
      <c r="C16606" s="11" t="s">
        <v>19294</v>
      </c>
      <c r="D16606" s="11" t="s">
        <v>19362</v>
      </c>
      <c r="E16606" s="10">
        <v>2328151</v>
      </c>
      <c r="F16606" s="4" t="str">
        <f>IF(B16606=B16605,"",B16606)</f>
        <v/>
      </c>
    </row>
    <row r="16607" spans="1:6" ht="15.75" customHeight="1">
      <c r="A16607" s="15" t="s">
        <v>9412</v>
      </c>
      <c r="B16607" s="15" t="s">
        <v>9412</v>
      </c>
      <c r="C16607" s="15" t="s">
        <v>9365</v>
      </c>
      <c r="D16607" s="15" t="s">
        <v>9371</v>
      </c>
      <c r="E16607" s="2">
        <v>2296606</v>
      </c>
      <c r="F16607" s="4" t="str">
        <f>IF(B16607=B16606,"",B16607)</f>
        <v>Obuasi</v>
      </c>
    </row>
    <row r="16608" spans="1:6" ht="15.75" customHeight="1">
      <c r="A16608" s="8" t="str">
        <f ca="1">IFERROR(__xludf.DUMMYFUNCTION("GOOGLETRANSLATE(B30878,""en"",""pt"")"),"Obuasi")</f>
        <v>Obuasi</v>
      </c>
      <c r="B16608" s="11" t="s">
        <v>9412</v>
      </c>
      <c r="C16608" s="11" t="s">
        <v>9365</v>
      </c>
      <c r="D16608" s="11" t="s">
        <v>9371</v>
      </c>
      <c r="E16608" s="10">
        <v>2296606</v>
      </c>
      <c r="F16608" s="4" t="str">
        <f>IF(B16608=B16607,"",B16608)</f>
        <v/>
      </c>
    </row>
    <row r="16609" spans="1:6" ht="15.75" customHeight="1">
      <c r="A16609" s="8" t="str">
        <f ca="1">IFERROR(__xludf.DUMMYFUNCTION("GOOGLETRANSLATE(B35368,""en"",""pt"")"),"Ōbu")</f>
        <v>Ōbu</v>
      </c>
      <c r="B16609" s="9" t="s">
        <v>34337</v>
      </c>
      <c r="C16609" s="9" t="s">
        <v>15704</v>
      </c>
      <c r="D16609" s="9" t="s">
        <v>15729</v>
      </c>
      <c r="E16609" s="10">
        <v>1854803</v>
      </c>
      <c r="F16609" s="4" t="str">
        <f>IF(B16609=B16608,"",B16609)</f>
        <v>Ōbu</v>
      </c>
    </row>
    <row r="16610" spans="1:6" ht="15.75" customHeight="1">
      <c r="A16610" s="16" t="s">
        <v>23642</v>
      </c>
      <c r="B16610" s="15" t="s">
        <v>23642</v>
      </c>
      <c r="C16610" s="16" t="s">
        <v>23602</v>
      </c>
      <c r="D16610" s="16" t="s">
        <v>23603</v>
      </c>
      <c r="E16610" s="2">
        <v>787516</v>
      </c>
      <c r="F16610" s="4" t="str">
        <f>IF(B16610=B16609,"",B16610)</f>
        <v>Obrenovac</v>
      </c>
    </row>
    <row r="16611" spans="1:6" ht="15.75" customHeight="1">
      <c r="A16611" s="8" t="str">
        <f ca="1">IFERROR(__xludf.DUMMYFUNCTION("GOOGLETRANSLATE(B39872,""en"",""pt"")"),"Obrenovac")</f>
        <v>Obrenovac</v>
      </c>
      <c r="B16611" s="11" t="s">
        <v>23642</v>
      </c>
      <c r="C16611" s="11" t="s">
        <v>23602</v>
      </c>
      <c r="D16611" s="11" t="s">
        <v>23603</v>
      </c>
      <c r="E16611" s="10">
        <v>787516</v>
      </c>
      <c r="F16611" s="4" t="str">
        <f>IF(B16611=B16610,"",B16611)</f>
        <v/>
      </c>
    </row>
    <row r="16612" spans="1:6" ht="15.75" customHeight="1">
      <c r="A16612" s="15" t="s">
        <v>12681</v>
      </c>
      <c r="B16612" s="15" t="s">
        <v>12681</v>
      </c>
      <c r="C16612" s="15" t="s">
        <v>10178</v>
      </c>
      <c r="D16612" s="15" t="s">
        <v>10193</v>
      </c>
      <c r="E16612" s="2">
        <v>1261086</v>
      </c>
      <c r="F16612" s="4" t="str">
        <f>IF(B16612=B16611,"",B16612)</f>
        <v>Obra</v>
      </c>
    </row>
    <row r="16613" spans="1:6" ht="15.75" customHeight="1">
      <c r="A16613" s="8" t="str">
        <f ca="1">IFERROR(__xludf.DUMMYFUNCTION("GOOGLETRANSLATE(B32585,""en"",""pt"")"),"Obra")</f>
        <v>Obra</v>
      </c>
      <c r="B16613" s="9" t="s">
        <v>12681</v>
      </c>
      <c r="C16613" s="9" t="s">
        <v>10178</v>
      </c>
      <c r="D16613" s="9" t="s">
        <v>10193</v>
      </c>
      <c r="E16613" s="10">
        <v>1261086</v>
      </c>
      <c r="F16613" s="4" t="str">
        <f>IF(B16613=B16612,"",B16613)</f>
        <v/>
      </c>
    </row>
    <row r="16614" spans="1:6" ht="15.75" customHeight="1">
      <c r="A16614" s="15" t="s">
        <v>21389</v>
      </c>
      <c r="B16614" s="15" t="s">
        <v>21389</v>
      </c>
      <c r="C16614" s="15" t="s">
        <v>21064</v>
      </c>
      <c r="D16614" s="15" t="s">
        <v>21112</v>
      </c>
      <c r="E16614" s="2">
        <v>3090403</v>
      </c>
      <c r="F16614" s="4" t="str">
        <f>IF(B16614=B16613,"",B16614)</f>
        <v>Oborniki</v>
      </c>
    </row>
    <row r="16615" spans="1:6" ht="15.75" customHeight="1">
      <c r="A16615" s="8" t="str">
        <f ca="1">IFERROR(__xludf.DUMMYFUNCTION("GOOGLETRANSLATE(B39392,""en"",""pt"")"),"Oborniki")</f>
        <v>Oborniki</v>
      </c>
      <c r="B16615" s="9" t="s">
        <v>21389</v>
      </c>
      <c r="C16615" s="9" t="s">
        <v>21064</v>
      </c>
      <c r="D16615" s="9" t="s">
        <v>21112</v>
      </c>
      <c r="E16615" s="10">
        <v>3090403</v>
      </c>
      <c r="F16615" s="4" t="str">
        <f>IF(B16615=B16614,"",B16615)</f>
        <v/>
      </c>
    </row>
    <row r="16616" spans="1:6" ht="15.75" customHeight="1">
      <c r="A16616" s="16" t="s">
        <v>19517</v>
      </c>
      <c r="B16616" s="15" t="s">
        <v>19517</v>
      </c>
      <c r="C16616" s="16" t="s">
        <v>19294</v>
      </c>
      <c r="D16616" s="16" t="s">
        <v>19357</v>
      </c>
      <c r="E16616" s="2">
        <v>2328185</v>
      </c>
      <c r="F16616" s="4" t="str">
        <f>IF(B16616=B16615,"",B16616)</f>
        <v>Obonoma</v>
      </c>
    </row>
    <row r="16617" spans="1:6" ht="15.75" customHeight="1">
      <c r="A16617" s="8" t="str">
        <f ca="1">IFERROR(__xludf.DUMMYFUNCTION("GOOGLETRANSLATE(B37666,""en"",""pt"")"),"Obonoma")</f>
        <v>Obonoma</v>
      </c>
      <c r="B16617" s="9" t="s">
        <v>19517</v>
      </c>
      <c r="C16617" s="9" t="s">
        <v>19294</v>
      </c>
      <c r="D16617" s="9" t="s">
        <v>19357</v>
      </c>
      <c r="E16617" s="10">
        <v>2328185</v>
      </c>
      <c r="F16617" s="4" t="str">
        <f>IF(B16617=B16616,"",B16617)</f>
        <v/>
      </c>
    </row>
    <row r="16618" spans="1:6" ht="15.75" customHeight="1">
      <c r="A16618" s="15" t="s">
        <v>6296</v>
      </c>
      <c r="B16618" s="15" t="s">
        <v>6296</v>
      </c>
      <c r="C16618" s="15" t="s">
        <v>6292</v>
      </c>
      <c r="D16618" s="15" t="s">
        <v>6296</v>
      </c>
      <c r="E16618" s="2">
        <v>221527</v>
      </c>
      <c r="F16618" s="4" t="str">
        <f>IF(B16618=B16617,"",B16618)</f>
        <v>Obock</v>
      </c>
    </row>
    <row r="16619" spans="1:6" ht="15.75" customHeight="1">
      <c r="A16619" s="8" t="str">
        <f ca="1">IFERROR(__xludf.DUMMYFUNCTION("GOOGLETRANSLATE(B28398,""en"",""pt"")"),"Obock")</f>
        <v>Obock</v>
      </c>
      <c r="B16619" s="9" t="s">
        <v>6296</v>
      </c>
      <c r="C16619" s="9" t="s">
        <v>6292</v>
      </c>
      <c r="D16619" s="9" t="s">
        <v>6296</v>
      </c>
      <c r="E16619" s="10">
        <v>221527</v>
      </c>
      <c r="F16619" s="4" t="str">
        <f>IF(B16619=B16618,"",B16619)</f>
        <v/>
      </c>
    </row>
    <row r="16620" spans="1:6" ht="15.75" customHeight="1">
      <c r="A16620" s="15" t="s">
        <v>22880</v>
      </c>
      <c r="B16620" s="15" t="s">
        <v>22880</v>
      </c>
      <c r="C16620" s="15" t="s">
        <v>22070</v>
      </c>
      <c r="D16620" s="15" t="s">
        <v>22184</v>
      </c>
      <c r="E16620" s="2">
        <v>516436</v>
      </c>
      <c r="F16620" s="4" t="str">
        <f>IF(B16620=B16619,"",B16620)</f>
        <v>Obninsk</v>
      </c>
    </row>
    <row r="16621" spans="1:6" ht="15.75" customHeight="1">
      <c r="A16621" s="8" t="str">
        <f ca="1">IFERROR(__xludf.DUMMYFUNCTION("GOOGLETRANSLATE(B40242,""en"",""pt"")"),"Obninsk")</f>
        <v>Obninsk</v>
      </c>
      <c r="B16621" s="9" t="s">
        <v>22880</v>
      </c>
      <c r="C16621" s="9" t="s">
        <v>22070</v>
      </c>
      <c r="D16621" s="9" t="s">
        <v>22184</v>
      </c>
      <c r="E16621" s="10">
        <v>516436</v>
      </c>
      <c r="F16621" s="4" t="str">
        <f>IF(B16621=B16620,"",B16621)</f>
        <v/>
      </c>
    </row>
    <row r="16622" spans="1:6" ht="15.75" customHeight="1">
      <c r="A16622" s="15" t="s">
        <v>16328</v>
      </c>
      <c r="B16622" s="15" t="s">
        <v>16328</v>
      </c>
      <c r="C16622" s="15" t="s">
        <v>15704</v>
      </c>
      <c r="D16622" s="15" t="s">
        <v>15784</v>
      </c>
      <c r="E16622" s="2">
        <v>1854807</v>
      </c>
      <c r="F16622" s="4" t="str">
        <f>IF(B16622=B16621,"",B16622)</f>
        <v>Obita</v>
      </c>
    </row>
    <row r="16623" spans="1:6" ht="15.75" customHeight="1">
      <c r="A16623" s="8" t="str">
        <f ca="1">IFERROR(__xludf.DUMMYFUNCTION("GOOGLETRANSLATE(B35369,""en"",""pt"")"),"Obita")</f>
        <v>Obita</v>
      </c>
      <c r="B16623" s="9" t="s">
        <v>16328</v>
      </c>
      <c r="C16623" s="9" t="s">
        <v>15704</v>
      </c>
      <c r="D16623" s="9" t="s">
        <v>15784</v>
      </c>
      <c r="E16623" s="10">
        <v>1854807</v>
      </c>
      <c r="F16623" s="4" t="str">
        <f>IF(B16623=B16622,"",B16623)</f>
        <v/>
      </c>
    </row>
    <row r="16624" spans="1:6" ht="15.75" customHeight="1">
      <c r="A16624" s="15" t="s">
        <v>16327</v>
      </c>
      <c r="B16624" s="15" t="s">
        <v>16327</v>
      </c>
      <c r="C16624" s="15" t="s">
        <v>15704</v>
      </c>
      <c r="D16624" s="15" t="s">
        <v>15705</v>
      </c>
      <c r="E16624" s="2">
        <v>2128815</v>
      </c>
      <c r="F16624" s="4" t="str">
        <f>IF(B16624=B16623,"",B16624)</f>
        <v>Obihiro</v>
      </c>
    </row>
    <row r="16625" spans="1:6" ht="15.75" customHeight="1">
      <c r="A16625" s="8" t="str">
        <f ca="1">IFERROR(__xludf.DUMMYFUNCTION("GOOGLETRANSLATE(B35832,""en"",""pt"")"),"Obihiro")</f>
        <v>Obihiro</v>
      </c>
      <c r="B16625" s="9" t="s">
        <v>16327</v>
      </c>
      <c r="C16625" s="9" t="s">
        <v>15704</v>
      </c>
      <c r="D16625" s="9" t="s">
        <v>15705</v>
      </c>
      <c r="E16625" s="10">
        <v>2128815</v>
      </c>
      <c r="F16625" s="4" t="str">
        <f>IF(B16625=B16624,"",B16625)</f>
        <v/>
      </c>
    </row>
    <row r="16626" spans="1:6" ht="15.75" customHeight="1">
      <c r="A16626" s="16" t="s">
        <v>25298</v>
      </c>
      <c r="B16626" s="15" t="s">
        <v>25298</v>
      </c>
      <c r="C16626" s="16" t="s">
        <v>25237</v>
      </c>
      <c r="D16626" s="16" t="s">
        <v>25240</v>
      </c>
      <c r="E16626" s="2">
        <v>6295536</v>
      </c>
      <c r="F16626" s="4" t="str">
        <f>IF(B16626=B16625,"",B16626)</f>
        <v>Oberwinterthur (Kreis 2)</v>
      </c>
    </row>
    <row r="16627" spans="1:6" ht="15.75" customHeight="1">
      <c r="A16627" s="8" t="str">
        <f ca="1">IFERROR(__xludf.DUMMYFUNCTION("GOOGLETRANSLATE(B25818,""en"",""pt"")"),"OBERWInterthur (Kreis 2)")</f>
        <v>OBERWInterthur (Kreis 2)</v>
      </c>
      <c r="B16627" s="11" t="s">
        <v>25298</v>
      </c>
      <c r="C16627" s="11" t="s">
        <v>25237</v>
      </c>
      <c r="D16627" s="11" t="s">
        <v>25240</v>
      </c>
      <c r="E16627" s="10">
        <v>6295536</v>
      </c>
      <c r="F16627" s="4" t="str">
        <f>IF(B16627=B16626,"",B16627)</f>
        <v/>
      </c>
    </row>
    <row r="16628" spans="1:6" ht="15.75" customHeight="1">
      <c r="A16628" s="16" t="s">
        <v>8952</v>
      </c>
      <c r="B16628" s="15" t="s">
        <v>8953</v>
      </c>
      <c r="C16628" s="16" t="s">
        <v>8028</v>
      </c>
      <c r="D16628" s="16" t="s">
        <v>8050</v>
      </c>
      <c r="E16628" s="2">
        <v>2858738</v>
      </c>
      <c r="F16628" s="4" t="str">
        <f>IF(B16628=B16627,"",B16628)</f>
        <v>Oberursel</v>
      </c>
    </row>
    <row r="16629" spans="1:6" ht="15.75" customHeight="1">
      <c r="A16629" s="8" t="str">
        <f ca="1">IFERROR(__xludf.DUMMYFUNCTION("GOOGLETRANSLATE(B27682,""en"",""pt"")"),"OBERURSEL")</f>
        <v>OBERURSEL</v>
      </c>
      <c r="B16629" s="9" t="s">
        <v>8953</v>
      </c>
      <c r="C16629" s="9" t="s">
        <v>8028</v>
      </c>
      <c r="D16629" s="9" t="s">
        <v>8050</v>
      </c>
      <c r="E16629" s="10">
        <v>2858738</v>
      </c>
      <c r="F16629" s="4" t="str">
        <f>IF(B16629=B16628,"",B16629)</f>
        <v/>
      </c>
    </row>
    <row r="16630" spans="1:6" ht="15.75" customHeight="1">
      <c r="A16630" s="16" t="s">
        <v>8951</v>
      </c>
      <c r="B16630" s="15" t="s">
        <v>8951</v>
      </c>
      <c r="C16630" s="16" t="s">
        <v>8028</v>
      </c>
      <c r="D16630" s="16" t="s">
        <v>8050</v>
      </c>
      <c r="E16630" s="2">
        <v>2858763</v>
      </c>
      <c r="F16630" s="4" t="str">
        <f>IF(B16630=B16629,"",B16630)</f>
        <v>Obertshausen</v>
      </c>
    </row>
    <row r="16631" spans="1:6" ht="15.75" customHeight="1">
      <c r="A16631" s="8" t="str">
        <f ca="1">IFERROR(__xludf.DUMMYFUNCTION("GOOGLETRANSLATE(B27683,""en"",""pt"")"),"Obertshausen")</f>
        <v>Obertshausen</v>
      </c>
      <c r="B16631" s="11" t="s">
        <v>8951</v>
      </c>
      <c r="C16631" s="11" t="s">
        <v>8028</v>
      </c>
      <c r="D16631" s="11" t="s">
        <v>8050</v>
      </c>
      <c r="E16631" s="10">
        <v>2858763</v>
      </c>
      <c r="F16631" s="4" t="str">
        <f>IF(B16631=B16630,"",B16631)</f>
        <v/>
      </c>
    </row>
    <row r="16632" spans="1:6" ht="15.75" customHeight="1">
      <c r="A16632" s="8" t="str">
        <f ca="1">IFERROR(__xludf.DUMMYFUNCTION("GOOGLETRANSLATE(B27684,""en"",""pt"")"),"Oberschöneweide")</f>
        <v>Oberschöneweide</v>
      </c>
      <c r="B16632" s="11" t="s">
        <v>32042</v>
      </c>
      <c r="C16632" s="11" t="s">
        <v>8028</v>
      </c>
      <c r="D16632" s="11" t="s">
        <v>8036</v>
      </c>
      <c r="E16632" s="10">
        <v>2859103</v>
      </c>
      <c r="F16632" s="4" t="str">
        <f>IF(B16632=B16631,"",B16632)</f>
        <v>Oberschöneweide</v>
      </c>
    </row>
    <row r="16633" spans="1:6" ht="15.75" customHeight="1">
      <c r="A16633" s="16" t="s">
        <v>8949</v>
      </c>
      <c r="B16633" s="15" t="s">
        <v>8950</v>
      </c>
      <c r="C16633" s="16" t="s">
        <v>8028</v>
      </c>
      <c r="D16633" s="16" t="s">
        <v>8036</v>
      </c>
      <c r="E16633" s="2">
        <v>2859103</v>
      </c>
      <c r="F16633" s="4" t="str">
        <f>IF(B16633=B16632,"",B16633)</f>
        <v>OberschÃ¶neweide</v>
      </c>
    </row>
    <row r="16634" spans="1:6" ht="15.75" customHeight="1">
      <c r="A16634" s="16" t="s">
        <v>8948</v>
      </c>
      <c r="B16634" s="15" t="s">
        <v>8948</v>
      </c>
      <c r="C16634" s="16" t="s">
        <v>8028</v>
      </c>
      <c r="D16634" s="16" t="s">
        <v>8050</v>
      </c>
      <c r="E16634" s="2">
        <v>2859380</v>
      </c>
      <c r="F16634" s="4" t="str">
        <f>IF(B16634=B16633,"",B16634)</f>
        <v>Ober-Ramstadt</v>
      </c>
    </row>
    <row r="16635" spans="1:6" ht="15.75" customHeight="1">
      <c r="A16635" s="8" t="str">
        <f ca="1">IFERROR(__xludf.DUMMYFUNCTION("GOOGLETRANSLATE(B27685,""en"",""pt"")"),"Ober-Ramstadt")</f>
        <v>Ober-Ramstadt</v>
      </c>
      <c r="B16635" s="9" t="s">
        <v>8948</v>
      </c>
      <c r="C16635" s="9" t="s">
        <v>8028</v>
      </c>
      <c r="D16635" s="9" t="s">
        <v>8050</v>
      </c>
      <c r="E16635" s="10">
        <v>2859380</v>
      </c>
      <c r="F16635" s="4" t="str">
        <f>IF(B16635=B16634,"",B16635)</f>
        <v/>
      </c>
    </row>
    <row r="16636" spans="1:6" ht="15.75" customHeight="1">
      <c r="A16636" s="16" t="s">
        <v>8947</v>
      </c>
      <c r="B16636" s="15" t="s">
        <v>8947</v>
      </c>
      <c r="C16636" s="16" t="s">
        <v>8028</v>
      </c>
      <c r="D16636" s="16" t="s">
        <v>8031</v>
      </c>
      <c r="E16636" s="2">
        <v>2860080</v>
      </c>
      <c r="F16636" s="4" t="str">
        <f>IF(B16636=B16635,"",B16636)</f>
        <v>Oberkirch</v>
      </c>
    </row>
    <row r="16637" spans="1:6" ht="15.75" customHeight="1">
      <c r="A16637" s="8" t="str">
        <f ca="1">IFERROR(__xludf.DUMMYFUNCTION("GOOGLETRANSLATE(B27686,""en"",""pt"")"),"Oberkirch")</f>
        <v>Oberkirch</v>
      </c>
      <c r="B16637" s="9" t="s">
        <v>8947</v>
      </c>
      <c r="C16637" s="9" t="s">
        <v>8028</v>
      </c>
      <c r="D16637" s="9" t="s">
        <v>32013</v>
      </c>
      <c r="E16637" s="10">
        <v>2860080</v>
      </c>
      <c r="F16637" s="4" t="str">
        <f>IF(B16637=B16636,"",B16637)</f>
        <v/>
      </c>
    </row>
    <row r="16638" spans="1:6" ht="15.75" customHeight="1">
      <c r="A16638" s="16" t="s">
        <v>8945</v>
      </c>
      <c r="B16638" s="15" t="s">
        <v>8946</v>
      </c>
      <c r="C16638" s="16" t="s">
        <v>8028</v>
      </c>
      <c r="D16638" s="16" t="s">
        <v>8029</v>
      </c>
      <c r="E16638" s="2">
        <v>2860410</v>
      </c>
      <c r="F16638" s="4" t="str">
        <f>IF(B16638=B16637,"",B16638)</f>
        <v>Oberhausen</v>
      </c>
    </row>
    <row r="16639" spans="1:6" ht="15.75" customHeight="1">
      <c r="A16639" s="8" t="str">
        <f ca="1">IFERROR(__xludf.DUMMYFUNCTION("GOOGLETRANSLATE(B27687,""en"",""pt"")"),"OBERHAUSEN")</f>
        <v>OBERHAUSEN</v>
      </c>
      <c r="B16639" s="9" t="s">
        <v>8946</v>
      </c>
      <c r="C16639" s="9" t="s">
        <v>8028</v>
      </c>
      <c r="D16639" s="9" t="s">
        <v>8029</v>
      </c>
      <c r="E16639" s="10">
        <v>2860410</v>
      </c>
      <c r="F16639" s="4" t="str">
        <f>IF(B16639=B16638,"",B16639)</f>
        <v/>
      </c>
    </row>
    <row r="16640" spans="1:6" ht="15.75" customHeight="1">
      <c r="A16640" s="16" t="s">
        <v>8943</v>
      </c>
      <c r="B16640" s="15" t="s">
        <v>8944</v>
      </c>
      <c r="C16640" s="16" t="s">
        <v>8028</v>
      </c>
      <c r="D16640" s="16" t="s">
        <v>8044</v>
      </c>
      <c r="E16640" s="2">
        <v>2861402</v>
      </c>
      <c r="F16640" s="4" t="str">
        <f>IF(B16640=B16639,"",B16640)</f>
        <v>Oberasbach</v>
      </c>
    </row>
    <row r="16641" spans="1:6" ht="15.75" customHeight="1">
      <c r="A16641" s="8" t="str">
        <f ca="1">IFERROR(__xludf.DUMMYFUNCTION("GOOGLETRANSLATE(B27688,""en"",""pt"")"),"OBERASBACH")</f>
        <v>OBERASBACH</v>
      </c>
      <c r="B16641" s="11" t="s">
        <v>8944</v>
      </c>
      <c r="C16641" s="11" t="s">
        <v>8028</v>
      </c>
      <c r="D16641" s="11" t="s">
        <v>8044</v>
      </c>
      <c r="E16641" s="10">
        <v>2861402</v>
      </c>
      <c r="F16641" s="4" t="str">
        <f>IF(B16641=B16640,"",B16641)</f>
        <v/>
      </c>
    </row>
    <row r="16642" spans="1:6" ht="15.75" customHeight="1">
      <c r="A16642" s="15" t="s">
        <v>719</v>
      </c>
      <c r="B16642" s="15" t="s">
        <v>720</v>
      </c>
      <c r="C16642" s="15" t="s">
        <v>558</v>
      </c>
      <c r="D16642" s="15" t="s">
        <v>576</v>
      </c>
      <c r="E16642" s="2">
        <v>3430340</v>
      </c>
      <c r="F16642" s="4" t="str">
        <f>IF(B16642=B16641,"",B16642)</f>
        <v>OberÃ¡</v>
      </c>
    </row>
    <row r="16643" spans="1:6" ht="15.75" customHeight="1">
      <c r="A16643" s="8" t="str">
        <f ca="1">IFERROR(__xludf.DUMMYFUNCTION("GOOGLETRANSLATE(B23196,""en"",""pt"")"),"OBERA")</f>
        <v>OBERA</v>
      </c>
      <c r="B16643" s="9" t="s">
        <v>31166</v>
      </c>
      <c r="C16643" s="9" t="s">
        <v>558</v>
      </c>
      <c r="D16643" s="9" t="s">
        <v>576</v>
      </c>
      <c r="E16643" s="10">
        <v>3430340</v>
      </c>
      <c r="F16643" s="4" t="str">
        <f>IF(B16643=B16642,"",B16643)</f>
        <v>Oberá</v>
      </c>
    </row>
    <row r="16644" spans="1:6" ht="15.75" customHeight="1">
      <c r="A16644" s="15" t="s">
        <v>20925</v>
      </c>
      <c r="B16644" s="15" t="s">
        <v>20925</v>
      </c>
      <c r="C16644" s="15" t="s">
        <v>20598</v>
      </c>
      <c r="D16644" s="15" t="s">
        <v>20599</v>
      </c>
      <c r="E16644" s="2">
        <v>1697376</v>
      </c>
      <c r="F16644" s="4" t="str">
        <f>IF(B16644=B16643,"",B16644)</f>
        <v>Obando</v>
      </c>
    </row>
    <row r="16645" spans="1:6" ht="15.75" customHeight="1">
      <c r="A16645" s="8" t="str">
        <f ca="1">IFERROR(__xludf.DUMMYFUNCTION("GOOGLETRANSLATE(B38582,""en"",""pt"")"),"Obando")</f>
        <v>Obando</v>
      </c>
      <c r="B16645" s="9" t="s">
        <v>20925</v>
      </c>
      <c r="C16645" s="9" t="s">
        <v>20598</v>
      </c>
      <c r="D16645" s="9" t="s">
        <v>20599</v>
      </c>
      <c r="E16645" s="10">
        <v>1697376</v>
      </c>
      <c r="F16645" s="4" t="str">
        <f>IF(B16645=B16644,"",B16645)</f>
        <v/>
      </c>
    </row>
    <row r="16646" spans="1:6" ht="15.75" customHeight="1">
      <c r="A16646" s="16" t="s">
        <v>16326</v>
      </c>
      <c r="B16646" s="15" t="s">
        <v>16326</v>
      </c>
      <c r="C16646" s="16" t="s">
        <v>15704</v>
      </c>
      <c r="D16646" s="16" t="s">
        <v>15951</v>
      </c>
      <c r="E16646" s="2">
        <v>2111559</v>
      </c>
      <c r="F16646" s="4" t="str">
        <f>IF(B16646=B16645,"",B16646)</f>
        <v>Obanazawa</v>
      </c>
    </row>
    <row r="16647" spans="1:6" ht="15.75" customHeight="1">
      <c r="A16647" s="8" t="str">
        <f ca="1">IFERROR(__xludf.DUMMYFUNCTION("GOOGLETRANSLATE(B35750,""en"",""pt"")"),"Obanazawa")</f>
        <v>Obanazawa</v>
      </c>
      <c r="B16647" s="9" t="s">
        <v>16326</v>
      </c>
      <c r="C16647" s="9" t="s">
        <v>15704</v>
      </c>
      <c r="D16647" s="9" t="s">
        <v>15951</v>
      </c>
      <c r="E16647" s="10">
        <v>2111559</v>
      </c>
      <c r="F16647" s="4" t="str">
        <f>IF(B16647=B16646,"",B16647)</f>
        <v/>
      </c>
    </row>
    <row r="16648" spans="1:6" ht="15.75" customHeight="1">
      <c r="A16648" s="15" t="s">
        <v>16325</v>
      </c>
      <c r="B16648" s="15" t="s">
        <v>16325</v>
      </c>
      <c r="C16648" s="15" t="s">
        <v>15704</v>
      </c>
      <c r="D16648" s="15" t="s">
        <v>15879</v>
      </c>
      <c r="E16648" s="2">
        <v>1854849</v>
      </c>
      <c r="F16648" s="4" t="str">
        <f>IF(B16648=B16647,"",B16648)</f>
        <v>Obama</v>
      </c>
    </row>
    <row r="16649" spans="1:6" ht="15.75" customHeight="1">
      <c r="A16649" s="8" t="str">
        <f ca="1">IFERROR(__xludf.DUMMYFUNCTION("GOOGLETRANSLATE(B35370,""en"",""pt"")"),"Obama")</f>
        <v>Obama</v>
      </c>
      <c r="B16649" s="9" t="s">
        <v>16325</v>
      </c>
      <c r="C16649" s="9" t="s">
        <v>15704</v>
      </c>
      <c r="D16649" s="9" t="s">
        <v>15879</v>
      </c>
      <c r="E16649" s="10">
        <v>1854849</v>
      </c>
      <c r="F16649" s="4" t="str">
        <f>IF(B16649=B16648,"",B16649)</f>
        <v/>
      </c>
    </row>
    <row r="16650" spans="1:6" ht="15.75" customHeight="1">
      <c r="A16650" s="15" t="s">
        <v>3960</v>
      </c>
      <c r="B16650" s="15" t="s">
        <v>3960</v>
      </c>
      <c r="C16650" s="15" t="s">
        <v>3884</v>
      </c>
      <c r="D16650" s="15" t="s">
        <v>3813</v>
      </c>
      <c r="E16650" s="2">
        <v>2223293</v>
      </c>
      <c r="F16650" s="4" t="str">
        <f>IF(B16650=B16649,"",B16650)</f>
        <v>Obala</v>
      </c>
    </row>
    <row r="16651" spans="1:6" ht="15.75" customHeight="1">
      <c r="A16651" s="8" t="str">
        <f ca="1">IFERROR(__xludf.DUMMYFUNCTION("GOOGLETRANSLATE(B25989,""en"",""pt"")"),"Obala")</f>
        <v>Obala</v>
      </c>
      <c r="B16651" s="9" t="s">
        <v>3960</v>
      </c>
      <c r="C16651" s="9" t="s">
        <v>3884</v>
      </c>
      <c r="D16651" s="9" t="s">
        <v>3813</v>
      </c>
      <c r="E16651" s="10">
        <v>2223293</v>
      </c>
      <c r="F16651" s="4" t="str">
        <f>IF(B16651=B16650,"",B16651)</f>
        <v/>
      </c>
    </row>
    <row r="16652" spans="1:6" ht="15.75" customHeight="1">
      <c r="A16652" s="15" t="s">
        <v>22878</v>
      </c>
      <c r="B16652" s="15" t="s">
        <v>22879</v>
      </c>
      <c r="C16652" s="15" t="s">
        <v>22070</v>
      </c>
      <c r="D16652" s="15" t="s">
        <v>22092</v>
      </c>
      <c r="E16652" s="2">
        <v>1496421</v>
      </c>
      <c r="F16652" s="4" t="str">
        <f>IF(B16652=B16651,"",B16652)</f>
        <v>Obâ€™</v>
      </c>
    </row>
    <row r="16653" spans="1:6" ht="15.75" customHeight="1">
      <c r="A16653" s="8" t="str">
        <f ca="1">IFERROR(__xludf.DUMMYFUNCTION("GOOGLETRANSLATE(B40778,""en"",""pt"")"),"Ob '")</f>
        <v>Ob '</v>
      </c>
      <c r="B16653" s="9" t="s">
        <v>35537</v>
      </c>
      <c r="C16653" s="9" t="s">
        <v>22070</v>
      </c>
      <c r="D16653" s="9" t="s">
        <v>22092</v>
      </c>
      <c r="E16653" s="10">
        <v>1496421</v>
      </c>
      <c r="F16653" s="4" t="str">
        <f>IF(B16653=B16652,"",B16653)</f>
        <v>Ob’</v>
      </c>
    </row>
    <row r="16654" spans="1:6" ht="15.75" customHeight="1">
      <c r="A16654" s="8" t="str">
        <f ca="1">IFERROR(__xludf.DUMMYFUNCTION("GOOGLETRANSLATE(B36965,""en"",""pt"")"),"Oaxaca de Juárez")</f>
        <v>Oaxaca de Juárez</v>
      </c>
      <c r="B16654" s="11" t="s">
        <v>34686</v>
      </c>
      <c r="C16654" s="11" t="s">
        <v>17707</v>
      </c>
      <c r="D16654" s="11" t="s">
        <v>17844</v>
      </c>
      <c r="E16654" s="10">
        <v>3522507</v>
      </c>
      <c r="F16654" s="4" t="str">
        <f>IF(B16654=B16653,"",B16654)</f>
        <v>Oaxaca de Juárez</v>
      </c>
    </row>
    <row r="16655" spans="1:6" ht="15.75" customHeight="1">
      <c r="A16655" s="16" t="s">
        <v>18125</v>
      </c>
      <c r="B16655" s="15" t="s">
        <v>18126</v>
      </c>
      <c r="C16655" s="16" t="s">
        <v>17707</v>
      </c>
      <c r="D16655" s="16" t="s">
        <v>17844</v>
      </c>
      <c r="E16655" s="2">
        <v>3522507</v>
      </c>
      <c r="F16655" s="4" t="str">
        <f>IF(B16655=B16654,"",B16655)</f>
        <v>Oaxaca de JuÃ¡rez</v>
      </c>
    </row>
    <row r="16656" spans="1:6" ht="15.75" customHeight="1">
      <c r="A16656" s="8" t="str">
        <f ca="1">IFERROR(__xludf.DUMMYFUNCTION("GOOGLETRANSLATE(B35751,""en"",""pt"")"),"Ōarai")</f>
        <v>Ōarai</v>
      </c>
      <c r="B16656" s="11" t="s">
        <v>34412</v>
      </c>
      <c r="C16656" s="11" t="s">
        <v>15704</v>
      </c>
      <c r="D16656" s="11" t="s">
        <v>15724</v>
      </c>
      <c r="E16656" s="10">
        <v>2111567</v>
      </c>
      <c r="F16656" s="4" t="str">
        <f>IF(B16656=B16655,"",B16656)</f>
        <v>Ōarai</v>
      </c>
    </row>
    <row r="16657" spans="1:6" ht="15.75" customHeight="1">
      <c r="A16657" s="8" t="str">
        <f ca="1">IFERROR(__xludf.DUMMYFUNCTION("GOOGLETRANSLATE(B35752,""en"",""pt"")"),"Ōami")</f>
        <v>Ōami</v>
      </c>
      <c r="B16657" s="9" t="s">
        <v>34413</v>
      </c>
      <c r="C16657" s="9" t="s">
        <v>15704</v>
      </c>
      <c r="D16657" s="9" t="s">
        <v>15707</v>
      </c>
      <c r="E16657" s="10">
        <v>2111568</v>
      </c>
      <c r="F16657" s="4" t="str">
        <f>IF(B16657=B16656,"",B16657)</f>
        <v>Ōami</v>
      </c>
    </row>
    <row r="16658" spans="1:6" ht="15.75" customHeight="1">
      <c r="A16658" s="15" t="s">
        <v>4129</v>
      </c>
      <c r="B16658" s="15" t="s">
        <v>4129</v>
      </c>
      <c r="C16658" s="15" t="s">
        <v>3975</v>
      </c>
      <c r="D16658" s="15" t="s">
        <v>3980</v>
      </c>
      <c r="E16658" s="2">
        <v>6092122</v>
      </c>
      <c r="F16658" s="4" t="str">
        <f>IF(B16658=B16657,"",B16658)</f>
        <v>Oakville</v>
      </c>
    </row>
    <row r="16659" spans="1:6" ht="15.75" customHeight="1">
      <c r="A16659" s="15" t="s">
        <v>4129</v>
      </c>
      <c r="B16659" s="15" t="s">
        <v>4129</v>
      </c>
      <c r="C16659" s="15" t="s">
        <v>27788</v>
      </c>
      <c r="D16659" s="15" t="s">
        <v>27806</v>
      </c>
      <c r="E16659" s="2">
        <v>4401618</v>
      </c>
      <c r="F16659" s="4" t="str">
        <f>IF(B16659=B16658,"",B16659)</f>
        <v/>
      </c>
    </row>
    <row r="16660" spans="1:6" ht="15.75" customHeight="1">
      <c r="A16660" s="8" t="str">
        <f ca="1">IFERROR(__xludf.DUMMYFUNCTION("GOOGLETRANSLATE(B25534,""en"",""pt"")"),"Oakville")</f>
        <v>Oakville</v>
      </c>
      <c r="B16660" s="11" t="s">
        <v>4129</v>
      </c>
      <c r="C16660" s="11" t="s">
        <v>3975</v>
      </c>
      <c r="D16660" s="11" t="s">
        <v>3980</v>
      </c>
      <c r="E16660" s="10">
        <v>6092122</v>
      </c>
      <c r="F16660" s="4" t="str">
        <f>IF(B16660=B16659,"",B16660)</f>
        <v/>
      </c>
    </row>
    <row r="16661" spans="1:6" ht="15.75" customHeight="1">
      <c r="A16661" s="8" t="str">
        <f ca="1">IFERROR(__xludf.DUMMYFUNCTION("GOOGLETRANSLATE(B43379,""en"",""pt"")"),"Oakville")</f>
        <v>Oakville</v>
      </c>
      <c r="B16661" s="9" t="s">
        <v>4129</v>
      </c>
      <c r="C16661" s="9" t="s">
        <v>27788</v>
      </c>
      <c r="D16661" s="9" t="s">
        <v>27806</v>
      </c>
      <c r="E16661" s="10">
        <v>4401618</v>
      </c>
      <c r="F16661" s="4" t="str">
        <f>IF(B16661=B16660,"",B16661)</f>
        <v/>
      </c>
    </row>
    <row r="16662" spans="1:6" ht="15.75" customHeight="1">
      <c r="A16662" s="15" t="s">
        <v>29528</v>
      </c>
      <c r="B16662" s="15" t="s">
        <v>29528</v>
      </c>
      <c r="C16662" s="15" t="s">
        <v>27788</v>
      </c>
      <c r="D16662" s="15" t="s">
        <v>27801</v>
      </c>
      <c r="E16662" s="2">
        <v>5378566</v>
      </c>
      <c r="F16662" s="4" t="str">
        <f>IF(B16662=B16661,"",B16662)</f>
        <v>Oakley</v>
      </c>
    </row>
    <row r="16663" spans="1:6" ht="15.75" customHeight="1">
      <c r="A16663" s="8" t="str">
        <f ca="1">IFERROR(__xludf.DUMMYFUNCTION("GOOGLETRANSLATE(B44936,""en"",""pt"")"),"Oakley")</f>
        <v>Oakley</v>
      </c>
      <c r="B16663" s="9" t="s">
        <v>29528</v>
      </c>
      <c r="C16663" s="9" t="s">
        <v>27788</v>
      </c>
      <c r="D16663" s="9" t="s">
        <v>27801</v>
      </c>
      <c r="E16663" s="10">
        <v>5378566</v>
      </c>
      <c r="F16663" s="4" t="str">
        <f>IF(B16663=B16662,"",B16663)</f>
        <v/>
      </c>
    </row>
    <row r="16664" spans="1:6" ht="15.75" customHeight="1">
      <c r="A16664" s="16" t="s">
        <v>29527</v>
      </c>
      <c r="B16664" s="15" t="s">
        <v>29527</v>
      </c>
      <c r="C16664" s="16" t="s">
        <v>27788</v>
      </c>
      <c r="D16664" s="16" t="s">
        <v>5468</v>
      </c>
      <c r="E16664" s="2">
        <v>4166638</v>
      </c>
      <c r="F16664" s="4" t="str">
        <f>IF(B16664=B16663,"",B16664)</f>
        <v>Oakland Park</v>
      </c>
    </row>
    <row r="16665" spans="1:6" ht="15.75" customHeight="1">
      <c r="A16665" s="8" t="str">
        <f ca="1">IFERROR(__xludf.DUMMYFUNCTION("GOOGLETRANSLATE(B42966,""en"",""pt"")"),"Oakland Park")</f>
        <v>Oakland Park</v>
      </c>
      <c r="B16665" s="9" t="s">
        <v>29527</v>
      </c>
      <c r="C16665" s="9" t="s">
        <v>27788</v>
      </c>
      <c r="D16665" s="9" t="s">
        <v>5468</v>
      </c>
      <c r="E16665" s="10">
        <v>4166638</v>
      </c>
      <c r="F16665" s="4" t="str">
        <f>IF(B16665=B16664,"",B16665)</f>
        <v/>
      </c>
    </row>
    <row r="16666" spans="1:6" ht="15.75" customHeight="1">
      <c r="A16666" s="15" t="s">
        <v>29526</v>
      </c>
      <c r="B16666" s="15" t="s">
        <v>29526</v>
      </c>
      <c r="C16666" s="15" t="s">
        <v>27788</v>
      </c>
      <c r="D16666" s="15" t="s">
        <v>27801</v>
      </c>
      <c r="E16666" s="2">
        <v>5378538</v>
      </c>
      <c r="F16666" s="4" t="str">
        <f>IF(B16666=B16665,"",B16666)</f>
        <v>Oakland</v>
      </c>
    </row>
    <row r="16667" spans="1:6" ht="15.75" customHeight="1">
      <c r="A16667" s="8" t="str">
        <f ca="1">IFERROR(__xludf.DUMMYFUNCTION("GOOGLETRANSLATE(B44935,""en"",""pt"")"),"Oakland")</f>
        <v>Oakland</v>
      </c>
      <c r="B16667" s="11" t="s">
        <v>29526</v>
      </c>
      <c r="C16667" s="11" t="s">
        <v>27788</v>
      </c>
      <c r="D16667" s="11" t="s">
        <v>27801</v>
      </c>
      <c r="E16667" s="10">
        <v>5378538</v>
      </c>
      <c r="F16667" s="4" t="str">
        <f>IF(B16667=B16666,"",B16667)</f>
        <v/>
      </c>
    </row>
    <row r="16668" spans="1:6" ht="15.75" customHeight="1">
      <c r="A16668" s="15" t="s">
        <v>29525</v>
      </c>
      <c r="B16668" s="15" t="s">
        <v>29525</v>
      </c>
      <c r="C16668" s="15" t="s">
        <v>27788</v>
      </c>
      <c r="D16668" s="15" t="s">
        <v>27824</v>
      </c>
      <c r="E16668" s="2">
        <v>5039978</v>
      </c>
      <c r="F16668" s="4" t="str">
        <f>IF(B16668=B16667,"",B16668)</f>
        <v>Oakdale</v>
      </c>
    </row>
    <row r="16669" spans="1:6" ht="15.75" customHeight="1">
      <c r="A16669" s="15" t="s">
        <v>29525</v>
      </c>
      <c r="B16669" s="15" t="s">
        <v>29525</v>
      </c>
      <c r="C16669" s="15" t="s">
        <v>27788</v>
      </c>
      <c r="D16669" s="15" t="s">
        <v>27801</v>
      </c>
      <c r="E16669" s="2">
        <v>5378500</v>
      </c>
      <c r="F16669" s="4" t="str">
        <f>IF(B16669=B16668,"",B16669)</f>
        <v/>
      </c>
    </row>
    <row r="16670" spans="1:6" ht="15.75" customHeight="1">
      <c r="A16670" s="8" t="str">
        <f ca="1">IFERROR(__xludf.DUMMYFUNCTION("GOOGLETRANSLATE(B44183,""en"",""pt"")"),"Oakdale")</f>
        <v>Oakdale</v>
      </c>
      <c r="B16670" s="11" t="s">
        <v>29525</v>
      </c>
      <c r="C16670" s="11" t="s">
        <v>27788</v>
      </c>
      <c r="D16670" s="11" t="s">
        <v>27824</v>
      </c>
      <c r="E16670" s="10">
        <v>5039978</v>
      </c>
      <c r="F16670" s="4" t="str">
        <f>IF(B16670=B16669,"",B16670)</f>
        <v/>
      </c>
    </row>
    <row r="16671" spans="1:6" ht="15.75" customHeight="1">
      <c r="A16671" s="8" t="str">
        <f ca="1">IFERROR(__xludf.DUMMYFUNCTION("GOOGLETRANSLATE(B44934,""en"",""pt"")"),"Oakdale")</f>
        <v>Oakdale</v>
      </c>
      <c r="B16671" s="9" t="s">
        <v>29525</v>
      </c>
      <c r="C16671" s="9" t="s">
        <v>27788</v>
      </c>
      <c r="D16671" s="9" t="s">
        <v>27801</v>
      </c>
      <c r="E16671" s="10">
        <v>5378500</v>
      </c>
      <c r="F16671" s="4" t="str">
        <f>IF(B16671=B16670,"",B16671)</f>
        <v/>
      </c>
    </row>
    <row r="16672" spans="1:6" ht="15.75" customHeight="1">
      <c r="A16672" s="16" t="s">
        <v>29524</v>
      </c>
      <c r="B16672" s="15" t="s">
        <v>29524</v>
      </c>
      <c r="C16672" s="16" t="s">
        <v>27788</v>
      </c>
      <c r="D16672" s="16" t="s">
        <v>5468</v>
      </c>
      <c r="E16672" s="2">
        <v>4166583</v>
      </c>
      <c r="F16672" s="4" t="str">
        <f>IF(B16672=B16671,"",B16672)</f>
        <v>Oak Ridge</v>
      </c>
    </row>
    <row r="16673" spans="1:6" ht="15.75" customHeight="1">
      <c r="A16673" s="16" t="s">
        <v>29524</v>
      </c>
      <c r="B16673" s="15" t="s">
        <v>29524</v>
      </c>
      <c r="C16673" s="16" t="s">
        <v>27788</v>
      </c>
      <c r="D16673" s="16" t="s">
        <v>27957</v>
      </c>
      <c r="E16673" s="2">
        <v>4646571</v>
      </c>
      <c r="F16673" s="4" t="str">
        <f>IF(B16673=B16672,"",B16673)</f>
        <v/>
      </c>
    </row>
    <row r="16674" spans="1:6" ht="15.75" customHeight="1">
      <c r="A16674" s="8" t="str">
        <f ca="1">IFERROR(__xludf.DUMMYFUNCTION("GOOGLETRANSLATE(B42965,""en"",""pt"")"),"Oak Ridge")</f>
        <v>Oak Ridge</v>
      </c>
      <c r="B16674" s="11" t="s">
        <v>29524</v>
      </c>
      <c r="C16674" s="11" t="s">
        <v>27788</v>
      </c>
      <c r="D16674" s="11" t="s">
        <v>5468</v>
      </c>
      <c r="E16674" s="10">
        <v>4166583</v>
      </c>
      <c r="F16674" s="4" t="str">
        <f>IF(B16674=B16673,"",B16674)</f>
        <v/>
      </c>
    </row>
    <row r="16675" spans="1:6" ht="15.75" customHeight="1">
      <c r="A16675" s="8" t="str">
        <f ca="1">IFERROR(__xludf.DUMMYFUNCTION("GOOGLETRANSLATE(B43641,""en"",""pt"")"),"Oak Ridge")</f>
        <v>Oak Ridge</v>
      </c>
      <c r="B16675" s="9" t="s">
        <v>29524</v>
      </c>
      <c r="C16675" s="9" t="s">
        <v>27788</v>
      </c>
      <c r="D16675" s="9" t="s">
        <v>27957</v>
      </c>
      <c r="E16675" s="10">
        <v>4646571</v>
      </c>
      <c r="F16675" s="4" t="str">
        <f>IF(B16675=B16674,"",B16675)</f>
        <v/>
      </c>
    </row>
    <row r="16676" spans="1:6" ht="15.75" customHeight="1">
      <c r="A16676" s="15" t="s">
        <v>29523</v>
      </c>
      <c r="B16676" s="15" t="s">
        <v>29523</v>
      </c>
      <c r="C16676" s="15" t="s">
        <v>27788</v>
      </c>
      <c r="D16676" s="15" t="s">
        <v>27799</v>
      </c>
      <c r="E16676" s="2">
        <v>4904381</v>
      </c>
      <c r="F16676" s="4" t="str">
        <f>IF(B16676=B16675,"",B16676)</f>
        <v>Oak Park</v>
      </c>
    </row>
    <row r="16677" spans="1:6" ht="15.75" customHeight="1">
      <c r="A16677" s="15" t="s">
        <v>29523</v>
      </c>
      <c r="B16677" s="15" t="s">
        <v>29523</v>
      </c>
      <c r="C16677" s="15" t="s">
        <v>27788</v>
      </c>
      <c r="D16677" s="15" t="s">
        <v>27804</v>
      </c>
      <c r="E16677" s="2">
        <v>5004188</v>
      </c>
      <c r="F16677" s="4" t="str">
        <f>IF(B16677=B16676,"",B16677)</f>
        <v/>
      </c>
    </row>
    <row r="16678" spans="1:6" ht="15.75" customHeight="1">
      <c r="A16678" s="8" t="str">
        <f ca="1">IFERROR(__xludf.DUMMYFUNCTION("GOOGLETRANSLATE(B43862,""en"",""pt"")"),"Oak Park")</f>
        <v>Oak Park</v>
      </c>
      <c r="B16678" s="11" t="s">
        <v>29523</v>
      </c>
      <c r="C16678" s="11" t="s">
        <v>27788</v>
      </c>
      <c r="D16678" s="11" t="s">
        <v>27799</v>
      </c>
      <c r="E16678" s="10">
        <v>4904381</v>
      </c>
      <c r="F16678" s="4" t="str">
        <f>IF(B16678=B16677,"",B16678)</f>
        <v/>
      </c>
    </row>
    <row r="16679" spans="1:6" ht="15.75" customHeight="1">
      <c r="A16679" s="8" t="str">
        <f ca="1">IFERROR(__xludf.DUMMYFUNCTION("GOOGLETRANSLATE(B44109,""en"",""pt"")"),"Oak Park")</f>
        <v>Oak Park</v>
      </c>
      <c r="B16679" s="9" t="s">
        <v>29523</v>
      </c>
      <c r="C16679" s="9" t="s">
        <v>27788</v>
      </c>
      <c r="D16679" s="9" t="s">
        <v>27804</v>
      </c>
      <c r="E16679" s="10">
        <v>5004188</v>
      </c>
      <c r="F16679" s="4" t="str">
        <f>IF(B16679=B16678,"",B16679)</f>
        <v/>
      </c>
    </row>
    <row r="16680" spans="1:6" ht="15.75" customHeight="1">
      <c r="A16680" s="15" t="s">
        <v>29522</v>
      </c>
      <c r="B16680" s="15" t="s">
        <v>29522</v>
      </c>
      <c r="C16680" s="15" t="s">
        <v>27788</v>
      </c>
      <c r="D16680" s="15" t="s">
        <v>27799</v>
      </c>
      <c r="E16680" s="2">
        <v>4904365</v>
      </c>
      <c r="F16680" s="4" t="str">
        <f>IF(B16680=B16679,"",B16680)</f>
        <v>Oak Lawn</v>
      </c>
    </row>
    <row r="16681" spans="1:6" ht="15.75" customHeight="1">
      <c r="A16681" s="8" t="str">
        <f ca="1">IFERROR(__xludf.DUMMYFUNCTION("GOOGLETRANSLATE(B43861,""en"",""pt"")"),"Oak Lawn")</f>
        <v>Oak Lawn</v>
      </c>
      <c r="B16681" s="9" t="s">
        <v>29522</v>
      </c>
      <c r="C16681" s="9" t="s">
        <v>27788</v>
      </c>
      <c r="D16681" s="9" t="s">
        <v>27799</v>
      </c>
      <c r="E16681" s="10">
        <v>4904365</v>
      </c>
      <c r="F16681" s="4" t="str">
        <f>IF(B16681=B16680,"",B16681)</f>
        <v/>
      </c>
    </row>
    <row r="16682" spans="1:6" ht="15.75" customHeight="1">
      <c r="A16682" s="15" t="s">
        <v>29521</v>
      </c>
      <c r="B16682" s="15" t="s">
        <v>29521</v>
      </c>
      <c r="C16682" s="15" t="s">
        <v>27788</v>
      </c>
      <c r="D16682" s="15" t="s">
        <v>24004</v>
      </c>
      <c r="E16682" s="2">
        <v>8097131</v>
      </c>
      <c r="F16682" s="4" t="str">
        <f>IF(B16682=B16681,"",B16682)</f>
        <v>Oak Hill</v>
      </c>
    </row>
    <row r="16683" spans="1:6" ht="15.75" customHeight="1">
      <c r="A16683" s="8" t="str">
        <f ca="1">IFERROR(__xludf.DUMMYFUNCTION("GOOGLETRANSLATE(B45459,""en"",""pt"")"),"Oak Hill")</f>
        <v>Oak Hill</v>
      </c>
      <c r="B16683" s="9" t="s">
        <v>29521</v>
      </c>
      <c r="C16683" s="9" t="s">
        <v>27788</v>
      </c>
      <c r="D16683" s="9" t="s">
        <v>24004</v>
      </c>
      <c r="E16683" s="10">
        <v>8097131</v>
      </c>
      <c r="F16683" s="4" t="str">
        <f>IF(B16683=B16682,"",B16683)</f>
        <v/>
      </c>
    </row>
    <row r="16684" spans="1:6" ht="15.75" customHeight="1">
      <c r="A16684" s="16" t="s">
        <v>29520</v>
      </c>
      <c r="B16684" s="15" t="s">
        <v>29520</v>
      </c>
      <c r="C16684" s="16" t="s">
        <v>27788</v>
      </c>
      <c r="D16684" s="16" t="s">
        <v>27733</v>
      </c>
      <c r="E16684" s="2">
        <v>5805441</v>
      </c>
      <c r="F16684" s="4" t="str">
        <f>IF(B16684=B16683,"",B16684)</f>
        <v>Oak Harbor</v>
      </c>
    </row>
    <row r="16685" spans="1:6" ht="15.75" customHeight="1">
      <c r="A16685" s="8" t="str">
        <f ca="1">IFERROR(__xludf.DUMMYFUNCTION("GOOGLETRANSLATE(B45359,""en"",""pt"")"),"Oak Harbor")</f>
        <v>Oak Harbor</v>
      </c>
      <c r="B16685" s="9" t="s">
        <v>29520</v>
      </c>
      <c r="C16685" s="9" t="s">
        <v>27788</v>
      </c>
      <c r="D16685" s="9" t="s">
        <v>27733</v>
      </c>
      <c r="E16685" s="10">
        <v>5805441</v>
      </c>
      <c r="F16685" s="4" t="str">
        <f>IF(B16685=B16684,"",B16685)</f>
        <v/>
      </c>
    </row>
    <row r="16686" spans="1:6" ht="15.75" customHeight="1">
      <c r="A16686" s="16" t="s">
        <v>29519</v>
      </c>
      <c r="B16686" s="15" t="s">
        <v>29519</v>
      </c>
      <c r="C16686" s="16" t="s">
        <v>27788</v>
      </c>
      <c r="D16686" s="16" t="s">
        <v>27820</v>
      </c>
      <c r="E16686" s="2">
        <v>5743731</v>
      </c>
      <c r="F16686" s="4" t="str">
        <f>IF(B16686=B16685,"",B16686)</f>
        <v>Oak Grove</v>
      </c>
    </row>
    <row r="16687" spans="1:6" ht="15.75" customHeight="1">
      <c r="A16687" s="8" t="str">
        <f ca="1">IFERROR(__xludf.DUMMYFUNCTION("GOOGLETRANSLATE(B45251,""en"",""pt"")"),"Oak Grove")</f>
        <v>Oak Grove</v>
      </c>
      <c r="B16687" s="9" t="s">
        <v>29519</v>
      </c>
      <c r="C16687" s="9" t="s">
        <v>27788</v>
      </c>
      <c r="D16687" s="9" t="s">
        <v>27820</v>
      </c>
      <c r="E16687" s="10">
        <v>5743731</v>
      </c>
      <c r="F16687" s="4" t="str">
        <f>IF(B16687=B16686,"",B16687)</f>
        <v/>
      </c>
    </row>
    <row r="16688" spans="1:6" ht="15.75" customHeight="1">
      <c r="A16688" s="16" t="s">
        <v>29517</v>
      </c>
      <c r="B16688" s="15" t="s">
        <v>29518</v>
      </c>
      <c r="C16688" s="16" t="s">
        <v>27788</v>
      </c>
      <c r="D16688" s="16" t="s">
        <v>27799</v>
      </c>
      <c r="E16688" s="2">
        <v>4904286</v>
      </c>
      <c r="F16688" s="4" t="str">
        <f>IF(B16688=B16687,"",B16688)</f>
        <v>Oak Forest</v>
      </c>
    </row>
    <row r="16689" spans="1:6" ht="15.75" customHeight="1">
      <c r="A16689" s="8" t="str">
        <f ca="1">IFERROR(__xludf.DUMMYFUNCTION("GOOGLETRANSLATE(B43860,""en"",""pt"")"),"Floresta de Oak")</f>
        <v>Floresta de Oak</v>
      </c>
      <c r="B16689" s="9" t="s">
        <v>29518</v>
      </c>
      <c r="C16689" s="9" t="s">
        <v>27788</v>
      </c>
      <c r="D16689" s="9" t="s">
        <v>27799</v>
      </c>
      <c r="E16689" s="10">
        <v>4904286</v>
      </c>
      <c r="F16689" s="4" t="str">
        <f>IF(B16689=B16688,"",B16689)</f>
        <v/>
      </c>
    </row>
    <row r="16690" spans="1:6" ht="15.75" customHeight="1">
      <c r="A16690" s="16" t="s">
        <v>29516</v>
      </c>
      <c r="B16690" s="15" t="s">
        <v>29516</v>
      </c>
      <c r="C16690" s="16" t="s">
        <v>27788</v>
      </c>
      <c r="D16690" s="16" t="s">
        <v>27890</v>
      </c>
      <c r="E16690" s="2">
        <v>5265228</v>
      </c>
      <c r="F16690" s="4" t="str">
        <f>IF(B16690=B16689,"",B16690)</f>
        <v>Oak Creek</v>
      </c>
    </row>
    <row r="16691" spans="1:6" ht="15.75" customHeight="1">
      <c r="A16691" s="8" t="str">
        <f ca="1">IFERROR(__xludf.DUMMYFUNCTION("GOOGLETRANSLATE(B44665,""en"",""pt"")"),"Oak Creek")</f>
        <v>Oak Creek</v>
      </c>
      <c r="B16691" s="9" t="s">
        <v>29516</v>
      </c>
      <c r="C16691" s="9" t="s">
        <v>27788</v>
      </c>
      <c r="D16691" s="9" t="s">
        <v>27890</v>
      </c>
      <c r="E16691" s="10">
        <v>5265228</v>
      </c>
      <c r="F16691" s="4" t="str">
        <f>IF(B16691=B16690,"",B16691)</f>
        <v/>
      </c>
    </row>
    <row r="16692" spans="1:6" ht="15.75" customHeight="1">
      <c r="A16692" s="15" t="s">
        <v>4128</v>
      </c>
      <c r="B16692" s="15" t="s">
        <v>4128</v>
      </c>
      <c r="C16692" s="15" t="s">
        <v>3975</v>
      </c>
      <c r="D16692" s="15" t="s">
        <v>3976</v>
      </c>
      <c r="E16692" s="2">
        <v>6091919</v>
      </c>
      <c r="F16692" s="4" t="str">
        <f>IF(B16692=B16691,"",B16692)</f>
        <v>Oak Bay</v>
      </c>
    </row>
    <row r="16693" spans="1:6" ht="15.75" customHeight="1">
      <c r="A16693" s="8" t="str">
        <f ca="1">IFERROR(__xludf.DUMMYFUNCTION("GOOGLETRANSLATE(B25533,""en"",""pt"")"),"Oak Bay")</f>
        <v>Oak Bay</v>
      </c>
      <c r="B16693" s="9" t="s">
        <v>4128</v>
      </c>
      <c r="C16693" s="9" t="s">
        <v>3975</v>
      </c>
      <c r="D16693" s="9" t="s">
        <v>3976</v>
      </c>
      <c r="E16693" s="10">
        <v>6091919</v>
      </c>
      <c r="F16693" s="4" t="str">
        <f>IF(B16693=B16692,"",B16693)</f>
        <v/>
      </c>
    </row>
    <row r="16694" spans="1:6" ht="15.75" customHeight="1">
      <c r="A16694" s="15" t="s">
        <v>27578</v>
      </c>
      <c r="B16694" s="15" t="s">
        <v>27578</v>
      </c>
      <c r="C16694" s="15" t="s">
        <v>27234</v>
      </c>
      <c r="D16694" s="15" t="s">
        <v>27241</v>
      </c>
      <c r="E16694" s="2">
        <v>2641134</v>
      </c>
      <c r="F16694" s="4" t="str">
        <f>IF(B16694=B16693,"",B16694)</f>
        <v>Oadby</v>
      </c>
    </row>
    <row r="16695" spans="1:6" ht="15.75" customHeight="1">
      <c r="A16695" s="8" t="str">
        <f ca="1">IFERROR(__xludf.DUMMYFUNCTION("GOOGLETRANSLATE(B30499,""en"",""pt"")"),"Oadby")</f>
        <v>Oadby</v>
      </c>
      <c r="B16695" s="9" t="s">
        <v>27578</v>
      </c>
      <c r="C16695" s="9" t="s">
        <v>27234</v>
      </c>
      <c r="D16695" s="9" t="s">
        <v>27241</v>
      </c>
      <c r="E16695" s="10">
        <v>2641134</v>
      </c>
      <c r="F16695" s="4" t="str">
        <f>IF(B16695=B16694,"",B16695)</f>
        <v/>
      </c>
    </row>
    <row r="16696" spans="1:6" ht="15.75" customHeight="1">
      <c r="A16696" s="16" t="s">
        <v>21387</v>
      </c>
      <c r="B16696" s="15" t="s">
        <v>21388</v>
      </c>
      <c r="C16696" s="16" t="s">
        <v>21064</v>
      </c>
      <c r="D16696" s="16" t="s">
        <v>21108</v>
      </c>
      <c r="E16696" s="2">
        <v>3089658</v>
      </c>
      <c r="F16696" s="4" t="str">
        <f>IF(B16696=B16695,"",B16696)</f>
        <v>OÅ›wiÄ™cim</v>
      </c>
    </row>
    <row r="16697" spans="1:6" ht="15.75" customHeight="1">
      <c r="A16697" s="15" t="s">
        <v>21385</v>
      </c>
      <c r="B16697" s="15" t="s">
        <v>21386</v>
      </c>
      <c r="C16697" s="15" t="s">
        <v>21064</v>
      </c>
      <c r="D16697" s="15" t="s">
        <v>21118</v>
      </c>
      <c r="E16697" s="2">
        <v>3090205</v>
      </c>
      <c r="F16697" s="4" t="str">
        <f>IF(B16697=B16696,"",B16697)</f>
        <v>OÅ‚awa</v>
      </c>
    </row>
    <row r="16698" spans="1:6" ht="15.75" customHeight="1">
      <c r="A16698" s="15" t="s">
        <v>540</v>
      </c>
      <c r="B16698" s="15" t="s">
        <v>540</v>
      </c>
      <c r="C16698" s="15" t="s">
        <v>507</v>
      </c>
      <c r="D16698" s="15" t="s">
        <v>533</v>
      </c>
      <c r="E16698" s="2">
        <v>2239001</v>
      </c>
      <c r="F16698" s="4" t="str">
        <f>IF(B16698=B16697,"",B16698)</f>
        <v>Nzeto</v>
      </c>
    </row>
    <row r="16699" spans="1:6" ht="15.75" customHeight="1">
      <c r="A16699" s="8" t="str">
        <f ca="1">IFERROR(__xludf.DUMMYFUNCTION("GOOGLETRANSLATE(B23146,""en"",""pt"")"),"Nzeto")</f>
        <v>Nzeto</v>
      </c>
      <c r="B16699" s="9" t="s">
        <v>540</v>
      </c>
      <c r="C16699" s="9" t="s">
        <v>507</v>
      </c>
      <c r="D16699" s="9" t="s">
        <v>533</v>
      </c>
      <c r="E16699" s="10">
        <v>2239001</v>
      </c>
      <c r="F16699" s="4" t="str">
        <f>IF(B16699=B16698,"",B16699)</f>
        <v/>
      </c>
    </row>
    <row r="16700" spans="1:6" ht="15.75" customHeight="1">
      <c r="A16700" s="8" t="str">
        <f ca="1">IFERROR(__xludf.DUMMYFUNCTION("GOOGLETRANSLATE(B30926,""en"",""pt"")"),"Nzérékoré")</f>
        <v>Nzérékoré</v>
      </c>
      <c r="B16700" s="11" t="s">
        <v>32664</v>
      </c>
      <c r="C16700" s="11" t="s">
        <v>9826</v>
      </c>
      <c r="D16700" s="11" t="s">
        <v>9834</v>
      </c>
      <c r="E16700" s="10">
        <v>2416969</v>
      </c>
      <c r="F16700" s="4" t="str">
        <f>IF(B16700=B16699,"",B16700)</f>
        <v>Nzérékoré</v>
      </c>
    </row>
    <row r="16701" spans="1:6" ht="15.75" customHeight="1">
      <c r="A16701" s="15" t="s">
        <v>23423</v>
      </c>
      <c r="B16701" s="15" t="s">
        <v>23424</v>
      </c>
      <c r="C16701" s="15" t="s">
        <v>23413</v>
      </c>
      <c r="D16701" s="15" t="s">
        <v>23414</v>
      </c>
      <c r="E16701" s="2">
        <v>201865</v>
      </c>
      <c r="F16701" s="4" t="str">
        <f>IF(B16701=B16700,"",B16701)</f>
        <v>Nzega</v>
      </c>
    </row>
    <row r="16702" spans="1:6" ht="15.75" customHeight="1">
      <c r="A16702" s="15" t="s">
        <v>23423</v>
      </c>
      <c r="B16702" s="15" t="s">
        <v>23424</v>
      </c>
      <c r="C16702" s="15" t="s">
        <v>25560</v>
      </c>
      <c r="D16702" s="15" t="s">
        <v>25604</v>
      </c>
      <c r="E16702" s="2">
        <v>150930</v>
      </c>
      <c r="F16702" s="4" t="str">
        <f>IF(B16702=B16701,"",B16702)</f>
        <v/>
      </c>
    </row>
    <row r="16703" spans="1:6" ht="15.75" customHeight="1">
      <c r="A16703" s="8" t="str">
        <f ca="1">IFERROR(__xludf.DUMMYFUNCTION("GOOGLETRANSLATE(B41000,""en"",""pt"")"),"NZEGA")</f>
        <v>NZEGA</v>
      </c>
      <c r="B16703" s="9" t="s">
        <v>23424</v>
      </c>
      <c r="C16703" s="9" t="s">
        <v>23413</v>
      </c>
      <c r="D16703" s="9" t="s">
        <v>23414</v>
      </c>
      <c r="E16703" s="10">
        <v>201865</v>
      </c>
      <c r="F16703" s="4" t="str">
        <f>IF(B16703=B16702,"",B16703)</f>
        <v/>
      </c>
    </row>
    <row r="16704" spans="1:6" ht="15.75" customHeight="1">
      <c r="A16704" s="8" t="str">
        <f ca="1">IFERROR(__xludf.DUMMYFUNCTION("GOOGLETRANSLATE(B42314,""en"",""pt"")"),"NZEGA")</f>
        <v>NZEGA</v>
      </c>
      <c r="B16704" s="11" t="s">
        <v>23424</v>
      </c>
      <c r="C16704" s="11" t="s">
        <v>25560</v>
      </c>
      <c r="D16704" s="11" t="s">
        <v>25604</v>
      </c>
      <c r="E16704" s="10">
        <v>150930</v>
      </c>
      <c r="F16704" s="4" t="str">
        <f>IF(B16704=B16703,"",B16704)</f>
        <v/>
      </c>
    </row>
    <row r="16705" spans="1:6" ht="15.75" customHeight="1">
      <c r="A16705" s="16" t="s">
        <v>9844</v>
      </c>
      <c r="B16705" s="15" t="s">
        <v>9845</v>
      </c>
      <c r="C16705" s="16" t="s">
        <v>9826</v>
      </c>
      <c r="D16705" s="16" t="s">
        <v>9834</v>
      </c>
      <c r="E16705" s="2">
        <v>2416969</v>
      </c>
      <c r="F16705" s="4" t="str">
        <f>IF(B16705=B16704,"",B16705)</f>
        <v>NzÃ©rÃ©korÃ©</v>
      </c>
    </row>
    <row r="16706" spans="1:6" ht="15.75" customHeight="1">
      <c r="A16706" s="16" t="s">
        <v>27094</v>
      </c>
      <c r="B16706" s="15" t="s">
        <v>27095</v>
      </c>
      <c r="C16706" s="16" t="s">
        <v>26870</v>
      </c>
      <c r="D16706" s="16" t="s">
        <v>26873</v>
      </c>
      <c r="E16706" s="2">
        <v>700019</v>
      </c>
      <c r="F16706" s="4" t="str">
        <f>IF(B16706=B16705,"",B16706)</f>
        <v>Nyzhnâ€™ohirsâ€™kyy</v>
      </c>
    </row>
    <row r="16707" spans="1:6" ht="15.75" customHeight="1">
      <c r="A16707" s="8" t="str">
        <f ca="1">IFERROR(__xludf.DUMMYFUNCTION("GOOGLETRANSLATE(B42570,""en"",""pt"")"),"Nyzhn'ohirs'kyy")</f>
        <v>Nyzhn'ohirs'kyy</v>
      </c>
      <c r="B16707" s="9" t="s">
        <v>36008</v>
      </c>
      <c r="C16707" s="9" t="s">
        <v>26870</v>
      </c>
      <c r="D16707" s="9" t="s">
        <v>26873</v>
      </c>
      <c r="E16707" s="10">
        <v>700019</v>
      </c>
      <c r="F16707" s="4" t="str">
        <f>IF(B16707=B16706,"",B16707)</f>
        <v>Nyzhn’ohirs’kyy</v>
      </c>
    </row>
    <row r="16708" spans="1:6" ht="15.75" customHeight="1">
      <c r="A16708" s="8" t="str">
        <f ca="1">IFERROR(__xludf.DUMMYFUNCTION("GOOGLETRANSLATE(B35371,""en"",""pt"")"),"NYūzen")</f>
        <v>NYūzen</v>
      </c>
      <c r="B16708" s="11" t="s">
        <v>34338</v>
      </c>
      <c r="C16708" s="11" t="s">
        <v>15704</v>
      </c>
      <c r="D16708" s="11" t="s">
        <v>15881</v>
      </c>
      <c r="E16708" s="10">
        <v>1854868</v>
      </c>
      <c r="F16708" s="4" t="str">
        <f>IF(B16708=B16707,"",B16708)</f>
        <v>Nyūzen</v>
      </c>
    </row>
    <row r="16709" spans="1:6" ht="15.75" customHeight="1">
      <c r="A16709" s="15" t="s">
        <v>22876</v>
      </c>
      <c r="B16709" s="15" t="s">
        <v>22877</v>
      </c>
      <c r="C16709" s="15" t="s">
        <v>22070</v>
      </c>
      <c r="D16709" s="15" t="s">
        <v>22115</v>
      </c>
      <c r="E16709" s="2">
        <v>516576</v>
      </c>
      <c r="F16709" s="4" t="str">
        <f>IF(B16709=B16708,"",B16709)</f>
        <v>Nytva</v>
      </c>
    </row>
    <row r="16710" spans="1:6" ht="15.75" customHeight="1">
      <c r="A16710" s="8" t="str">
        <f ca="1">IFERROR(__xludf.DUMMYFUNCTION("GOOGLETRANSLATE(B40243,""en"",""pt"")"),"NYTVA")</f>
        <v>NYTVA</v>
      </c>
      <c r="B16710" s="9" t="s">
        <v>22877</v>
      </c>
      <c r="C16710" s="9" t="s">
        <v>22070</v>
      </c>
      <c r="D16710" s="9" t="s">
        <v>22115</v>
      </c>
      <c r="E16710" s="10">
        <v>516576</v>
      </c>
      <c r="F16710" s="4" t="str">
        <f>IF(B16710=B16709,"",B16710)</f>
        <v/>
      </c>
    </row>
    <row r="16711" spans="1:6" ht="15.75" customHeight="1">
      <c r="A16711" s="15" t="s">
        <v>21383</v>
      </c>
      <c r="B16711" s="15" t="s">
        <v>21384</v>
      </c>
      <c r="C16711" s="15" t="s">
        <v>21064</v>
      </c>
      <c r="D16711" s="15" t="s">
        <v>21165</v>
      </c>
      <c r="E16711" s="2">
        <v>3090436</v>
      </c>
      <c r="F16711" s="4" t="str">
        <f>IF(B16711=B16710,"",B16711)</f>
        <v>Nysa</v>
      </c>
    </row>
    <row r="16712" spans="1:6" ht="15.75" customHeight="1">
      <c r="A16712" s="8" t="str">
        <f ca="1">IFERROR(__xludf.DUMMYFUNCTION("GOOGLETRANSLATE(B39393,""en"",""pt"")"),"NYSA")</f>
        <v>NYSA</v>
      </c>
      <c r="B16712" s="11" t="s">
        <v>21384</v>
      </c>
      <c r="C16712" s="11" t="s">
        <v>21064</v>
      </c>
      <c r="D16712" s="11" t="s">
        <v>21165</v>
      </c>
      <c r="E16712" s="10">
        <v>3090436</v>
      </c>
      <c r="F16712" s="4" t="str">
        <f>IF(B16712=B16711,"",B16712)</f>
        <v/>
      </c>
    </row>
    <row r="16713" spans="1:6" ht="15.75" customHeight="1">
      <c r="A16713" s="15" t="s">
        <v>25297</v>
      </c>
      <c r="B16713" s="15" t="s">
        <v>25297</v>
      </c>
      <c r="C16713" s="15" t="s">
        <v>25237</v>
      </c>
      <c r="D16713" s="15" t="s">
        <v>25284</v>
      </c>
      <c r="E16713" s="2">
        <v>2659422</v>
      </c>
      <c r="F16713" s="4" t="str">
        <f>IF(B16713=B16712,"",B16713)</f>
        <v>Nyon</v>
      </c>
    </row>
    <row r="16714" spans="1:6" ht="15.75" customHeight="1">
      <c r="A16714" s="8" t="str">
        <f ca="1">IFERROR(__xludf.DUMMYFUNCTION("GOOGLETRANSLATE(B25764,""en"",""pt"")"),"Nyon")</f>
        <v>Nyon</v>
      </c>
      <c r="B16714" s="11" t="s">
        <v>25297</v>
      </c>
      <c r="C16714" s="11" t="s">
        <v>25237</v>
      </c>
      <c r="D16714" s="11" t="s">
        <v>25284</v>
      </c>
      <c r="E16714" s="10">
        <v>2659422</v>
      </c>
      <c r="F16714" s="4" t="str">
        <f>IF(B16714=B16713,"",B16714)</f>
        <v/>
      </c>
    </row>
    <row r="16715" spans="1:6" ht="15.75" customHeight="1">
      <c r="A16715" s="8" t="str">
        <f ca="1">IFERROR(__xludf.DUMMYFUNCTION("GOOGLETRANSLATE(B41156,""en"",""pt"")"),"Nyköping")</f>
        <v>Nyköping</v>
      </c>
      <c r="B16715" s="9" t="s">
        <v>35641</v>
      </c>
      <c r="C16715" s="9" t="s">
        <v>25077</v>
      </c>
      <c r="D16715" s="9" t="s">
        <v>35642</v>
      </c>
      <c r="E16715" s="10">
        <v>2687700</v>
      </c>
      <c r="F16715" s="4" t="str">
        <f>IF(B16715=B16714,"",B16715)</f>
        <v>Nyköping</v>
      </c>
    </row>
    <row r="16716" spans="1:6" ht="15.75" customHeight="1">
      <c r="A16716" s="8" t="str">
        <f ca="1">IFERROR(__xludf.DUMMYFUNCTION("GOOGLETRANSLATE(B28417,""en"",""pt"")"),"Nykøbing Falster")</f>
        <v>Nykøbing Falster</v>
      </c>
      <c r="B16716" s="11" t="s">
        <v>32153</v>
      </c>
      <c r="C16716" s="11" t="s">
        <v>6209</v>
      </c>
      <c r="D16716" s="11" t="s">
        <v>6232</v>
      </c>
      <c r="E16716" s="10">
        <v>2615961</v>
      </c>
      <c r="F16716" s="4" t="str">
        <f>IF(B16716=B16715,"",B16716)</f>
        <v>Nykøbing Falster</v>
      </c>
    </row>
    <row r="16717" spans="1:6" ht="15.75" customHeight="1">
      <c r="A16717" s="15" t="s">
        <v>25185</v>
      </c>
      <c r="B16717" s="15" t="s">
        <v>25186</v>
      </c>
      <c r="C16717" s="15" t="s">
        <v>25077</v>
      </c>
      <c r="D16717" s="15" t="s">
        <v>25113</v>
      </c>
      <c r="E16717" s="2">
        <v>2687700</v>
      </c>
      <c r="F16717" s="4" t="str">
        <f>IF(B16717=B16716,"",B16717)</f>
        <v>NykÃ¶ping</v>
      </c>
    </row>
    <row r="16718" spans="1:6" ht="15.75" customHeight="1">
      <c r="A16718" s="16" t="s">
        <v>6266</v>
      </c>
      <c r="B16718" s="15" t="s">
        <v>6267</v>
      </c>
      <c r="C16718" s="16" t="s">
        <v>6209</v>
      </c>
      <c r="D16718" s="16" t="s">
        <v>6232</v>
      </c>
      <c r="E16718" s="2">
        <v>2615961</v>
      </c>
      <c r="F16718" s="4" t="str">
        <f>IF(B16718=B16717,"",B16718)</f>
        <v>NykÃ¸bing Falster</v>
      </c>
    </row>
    <row r="16719" spans="1:6" ht="15.75" customHeight="1">
      <c r="A16719" s="8" t="str">
        <f ca="1">IFERROR(__xludf.DUMMYFUNCTION("GOOGLETRANSLATE(B31249,""en"",""pt"")"),"Nyíregyháza")</f>
        <v>Nyíregyháza</v>
      </c>
      <c r="B16719" s="9" t="s">
        <v>32831</v>
      </c>
      <c r="C16719" s="9" t="s">
        <v>9955</v>
      </c>
      <c r="D16719" s="9" t="s">
        <v>32832</v>
      </c>
      <c r="E16719" s="10">
        <v>716935</v>
      </c>
      <c r="F16719" s="4" t="str">
        <f>IF(B16719=B16718,"",B16719)</f>
        <v>Nyíregyháza</v>
      </c>
    </row>
    <row r="16720" spans="1:6" ht="15.75" customHeight="1">
      <c r="A16720" s="15" t="s">
        <v>16836</v>
      </c>
      <c r="B16720" s="15" t="s">
        <v>16836</v>
      </c>
      <c r="C16720" s="15" t="s">
        <v>16781</v>
      </c>
      <c r="D16720" s="15" t="s">
        <v>16836</v>
      </c>
      <c r="E16720" s="2">
        <v>182701</v>
      </c>
      <c r="F16720" s="4" t="str">
        <f>IF(B16720=B16719,"",B16720)</f>
        <v>Nyeri</v>
      </c>
    </row>
    <row r="16721" spans="1:6" ht="15.75" customHeight="1">
      <c r="A16721" s="8" t="str">
        <f ca="1">IFERROR(__xludf.DUMMYFUNCTION("GOOGLETRANSLATE(B35890,""en"",""pt"")"),"Nyeri")</f>
        <v>Nyeri</v>
      </c>
      <c r="B16721" s="9" t="s">
        <v>16836</v>
      </c>
      <c r="C16721" s="9" t="s">
        <v>16781</v>
      </c>
      <c r="D16721" s="9" t="s">
        <v>16836</v>
      </c>
      <c r="E16721" s="10">
        <v>182701</v>
      </c>
      <c r="F16721" s="4" t="str">
        <f>IF(B16721=B16720,"",B16721)</f>
        <v/>
      </c>
    </row>
    <row r="16722" spans="1:6" ht="15.75" customHeight="1">
      <c r="A16722" s="15" t="s">
        <v>6265</v>
      </c>
      <c r="B16722" s="15" t="s">
        <v>6265</v>
      </c>
      <c r="C16722" s="15" t="s">
        <v>6209</v>
      </c>
      <c r="D16722" s="15" t="s">
        <v>6212</v>
      </c>
      <c r="E16722" s="2">
        <v>2616015</v>
      </c>
      <c r="F16722" s="4" t="str">
        <f>IF(B16722=B16721,"",B16722)</f>
        <v>Nyborg</v>
      </c>
    </row>
    <row r="16723" spans="1:6" ht="15.75" customHeight="1">
      <c r="A16723" s="8" t="str">
        <f ca="1">IFERROR(__xludf.DUMMYFUNCTION("GOOGLETRANSLATE(B28418,""en"",""pt"")"),"Nyborg")</f>
        <v>Nyborg</v>
      </c>
      <c r="B16723" s="9" t="s">
        <v>6265</v>
      </c>
      <c r="C16723" s="9" t="s">
        <v>6209</v>
      </c>
      <c r="D16723" s="9" t="s">
        <v>6212</v>
      </c>
      <c r="E16723" s="10">
        <v>2616015</v>
      </c>
      <c r="F16723" s="4" t="str">
        <f>IF(B16723=B16722,"",B16723)</f>
        <v/>
      </c>
    </row>
    <row r="16724" spans="1:6" ht="15.75" customHeight="1">
      <c r="A16724" s="16" t="s">
        <v>18743</v>
      </c>
      <c r="B16724" s="15" t="s">
        <v>18743</v>
      </c>
      <c r="C16724" s="16" t="s">
        <v>18696</v>
      </c>
      <c r="D16724" s="16" t="s">
        <v>18695</v>
      </c>
      <c r="E16724" s="2">
        <v>1303406</v>
      </c>
      <c r="F16724" s="4" t="str">
        <f>IF(B16724=B16723,"",B16724)</f>
        <v>Nyaunglebin</v>
      </c>
    </row>
    <row r="16725" spans="1:6" ht="15.75" customHeight="1">
      <c r="A16725" s="8" t="str">
        <f ca="1">IFERROR(__xludf.DUMMYFUNCTION("GOOGLETRANSLATE(B36726,""en"",""pt"")"),"Nyaunglebin")</f>
        <v>Nyaunglebin</v>
      </c>
      <c r="B16725" s="9" t="s">
        <v>18743</v>
      </c>
      <c r="C16725" s="9" t="s">
        <v>18696</v>
      </c>
      <c r="D16725" s="9" t="s">
        <v>18695</v>
      </c>
      <c r="E16725" s="10">
        <v>1303406</v>
      </c>
      <c r="F16725" s="4" t="str">
        <f>IF(B16725=B16724,"",B16725)</f>
        <v/>
      </c>
    </row>
    <row r="16726" spans="1:6" ht="15.75" customHeight="1">
      <c r="A16726" s="16" t="s">
        <v>18742</v>
      </c>
      <c r="B16726" s="15" t="s">
        <v>18742</v>
      </c>
      <c r="C16726" s="16" t="s">
        <v>18696</v>
      </c>
      <c r="D16726" s="16" t="s">
        <v>18700</v>
      </c>
      <c r="E16726" s="2">
        <v>1285871</v>
      </c>
      <c r="F16726" s="4" t="str">
        <f>IF(B16726=B16725,"",B16726)</f>
        <v>Nyaungdon</v>
      </c>
    </row>
    <row r="16727" spans="1:6" ht="15.75" customHeight="1">
      <c r="A16727" s="8" t="str">
        <f ca="1">IFERROR(__xludf.DUMMYFUNCTION("GOOGLETRANSLATE(B36699,""en"",""pt"")"),"Nyaungdon")</f>
        <v>Nyaungdon</v>
      </c>
      <c r="B16727" s="9" t="s">
        <v>18742</v>
      </c>
      <c r="C16727" s="9" t="s">
        <v>18696</v>
      </c>
      <c r="D16727" s="9" t="s">
        <v>18700</v>
      </c>
      <c r="E16727" s="10">
        <v>1285871</v>
      </c>
      <c r="F16727" s="4" t="str">
        <f>IF(B16727=B16726,"",B16727)</f>
        <v/>
      </c>
    </row>
    <row r="16728" spans="1:6" ht="15.75" customHeight="1">
      <c r="A16728" s="16" t="s">
        <v>10112</v>
      </c>
      <c r="B16728" s="15" t="s">
        <v>10113</v>
      </c>
      <c r="C16728" s="16" t="s">
        <v>9955</v>
      </c>
      <c r="D16728" s="16" t="s">
        <v>10089</v>
      </c>
      <c r="E16728" s="2">
        <v>716935</v>
      </c>
      <c r="F16728" s="4" t="str">
        <f>IF(B16728=B16727,"",B16728)</f>
        <v>NyÃ­regyhÃ¡za</v>
      </c>
    </row>
    <row r="16729" spans="1:6" ht="15.75" customHeight="1">
      <c r="A16729" s="15" t="s">
        <v>25731</v>
      </c>
      <c r="B16729" s="15" t="s">
        <v>25731</v>
      </c>
      <c r="C16729" s="15" t="s">
        <v>25560</v>
      </c>
      <c r="D16729" s="15" t="s">
        <v>25655</v>
      </c>
      <c r="E16729" s="2">
        <v>877471</v>
      </c>
      <c r="F16729" s="4" t="str">
        <f>IF(B16729=B16728,"",B16729)</f>
        <v>Nyangao</v>
      </c>
    </row>
    <row r="16730" spans="1:6" ht="15.75" customHeight="1">
      <c r="A16730" s="8" t="str">
        <f ca="1">IFERROR(__xludf.DUMMYFUNCTION("GOOGLETRANSLATE(B42449,""en"",""pt"")"),"Nyangao")</f>
        <v>Nyangao</v>
      </c>
      <c r="B16730" s="11" t="s">
        <v>25731</v>
      </c>
      <c r="C16730" s="11" t="s">
        <v>25560</v>
      </c>
      <c r="D16730" s="11" t="s">
        <v>25655</v>
      </c>
      <c r="E16730" s="10">
        <v>877471</v>
      </c>
      <c r="F16730" s="4" t="str">
        <f>IF(B16730=B16729,"",B16730)</f>
        <v/>
      </c>
    </row>
    <row r="16731" spans="1:6" ht="15.75" customHeight="1">
      <c r="A16731" s="16" t="s">
        <v>22875</v>
      </c>
      <c r="B16731" s="15" t="s">
        <v>22875</v>
      </c>
      <c r="C16731" s="16" t="s">
        <v>22070</v>
      </c>
      <c r="D16731" s="16" t="s">
        <v>22151</v>
      </c>
      <c r="E16731" s="2">
        <v>516647</v>
      </c>
      <c r="F16731" s="4" t="str">
        <f>IF(B16731=B16730,"",B16731)</f>
        <v>Nyandoma</v>
      </c>
    </row>
    <row r="16732" spans="1:6" ht="15.75" customHeight="1">
      <c r="A16732" s="8" t="str">
        <f ca="1">IFERROR(__xludf.DUMMYFUNCTION("GOOGLETRANSLATE(B40244,""en"",""pt"")"),"Nyandoma")</f>
        <v>Nyandoma</v>
      </c>
      <c r="B16732" s="11" t="s">
        <v>22875</v>
      </c>
      <c r="C16732" s="11" t="s">
        <v>22070</v>
      </c>
      <c r="D16732" s="11" t="s">
        <v>22151</v>
      </c>
      <c r="E16732" s="10">
        <v>516647</v>
      </c>
      <c r="F16732" s="4" t="str">
        <f>IF(B16732=B16731,"",B16732)</f>
        <v/>
      </c>
    </row>
    <row r="16733" spans="1:6" ht="15.75" customHeight="1">
      <c r="A16733" s="16" t="s">
        <v>25729</v>
      </c>
      <c r="B16733" s="15" t="s">
        <v>25730</v>
      </c>
      <c r="C16733" s="16" t="s">
        <v>25560</v>
      </c>
      <c r="D16733" s="16" t="s">
        <v>25574</v>
      </c>
      <c r="E16733" s="2">
        <v>151108</v>
      </c>
      <c r="F16733" s="4" t="str">
        <f>IF(B16733=B16732,"",B16733)</f>
        <v>Nyamuswa</v>
      </c>
    </row>
    <row r="16734" spans="1:6" ht="15.75" customHeight="1">
      <c r="A16734" s="8" t="str">
        <f ca="1">IFERROR(__xludf.DUMMYFUNCTION("GOOGLETRANSLATE(B42315,""en"",""pt"")"),"NYAMUSWA")</f>
        <v>NYAMUSWA</v>
      </c>
      <c r="B16734" s="11" t="s">
        <v>25730</v>
      </c>
      <c r="C16734" s="11" t="s">
        <v>25560</v>
      </c>
      <c r="D16734" s="11" t="s">
        <v>25574</v>
      </c>
      <c r="E16734" s="10">
        <v>151108</v>
      </c>
      <c r="F16734" s="4" t="str">
        <f>IF(B16734=B16733,"",B16734)</f>
        <v/>
      </c>
    </row>
    <row r="16735" spans="1:6" ht="15.75" customHeight="1">
      <c r="A16735" s="16" t="s">
        <v>25728</v>
      </c>
      <c r="B16735" s="15" t="s">
        <v>25728</v>
      </c>
      <c r="C16735" s="16" t="s">
        <v>25560</v>
      </c>
      <c r="D16735" s="16" t="s">
        <v>25566</v>
      </c>
      <c r="E16735" s="2">
        <v>151211</v>
      </c>
      <c r="F16735" s="4" t="str">
        <f>IF(B16735=B16734,"",B16735)</f>
        <v>Nyalikungu</v>
      </c>
    </row>
    <row r="16736" spans="1:6" ht="15.75" customHeight="1">
      <c r="A16736" s="8" t="str">
        <f ca="1">IFERROR(__xludf.DUMMYFUNCTION("GOOGLETRANSLATE(B42316,""en"",""pt"")"),"Nyalikungu")</f>
        <v>Nyalikungu</v>
      </c>
      <c r="B16736" s="11" t="s">
        <v>25728</v>
      </c>
      <c r="C16736" s="11" t="s">
        <v>25560</v>
      </c>
      <c r="D16736" s="11" t="s">
        <v>25566</v>
      </c>
      <c r="E16736" s="10">
        <v>151211</v>
      </c>
      <c r="F16736" s="4" t="str">
        <f>IF(B16736=B16735,"",B16736)</f>
        <v/>
      </c>
    </row>
    <row r="16737" spans="1:6" ht="15.75" customHeight="1">
      <c r="A16737" s="16" t="s">
        <v>25727</v>
      </c>
      <c r="B16737" s="15" t="s">
        <v>25727</v>
      </c>
      <c r="C16737" s="16" t="s">
        <v>25560</v>
      </c>
      <c r="D16737" s="16" t="s">
        <v>25566</v>
      </c>
      <c r="E16737" s="2">
        <v>151266</v>
      </c>
      <c r="F16737" s="4" t="str">
        <f>IF(B16737=B16736,"",B16737)</f>
        <v>Nyakabindi</v>
      </c>
    </row>
    <row r="16738" spans="1:6" ht="15.75" customHeight="1">
      <c r="A16738" s="8" t="str">
        <f ca="1">IFERROR(__xludf.DUMMYFUNCTION("GOOGLETRANSLATE(B42317,""en"",""pt"")"),"Nyakabindi")</f>
        <v>Nyakabindi</v>
      </c>
      <c r="B16738" s="11" t="s">
        <v>25727</v>
      </c>
      <c r="C16738" s="11" t="s">
        <v>25560</v>
      </c>
      <c r="D16738" s="11" t="s">
        <v>25566</v>
      </c>
      <c r="E16738" s="10">
        <v>151266</v>
      </c>
      <c r="F16738" s="4" t="str">
        <f>IF(B16738=B16737,"",B16738)</f>
        <v/>
      </c>
    </row>
    <row r="16739" spans="1:6" ht="15.75" customHeight="1">
      <c r="A16739" s="16" t="s">
        <v>16835</v>
      </c>
      <c r="B16739" s="15" t="s">
        <v>16835</v>
      </c>
      <c r="C16739" s="16" t="s">
        <v>16781</v>
      </c>
      <c r="D16739" s="16" t="s">
        <v>16833</v>
      </c>
      <c r="E16739" s="2">
        <v>183027</v>
      </c>
      <c r="F16739" s="4" t="str">
        <f>IF(B16739=B16738,"",B16739)</f>
        <v>Nyahururu</v>
      </c>
    </row>
    <row r="16740" spans="1:6" ht="15.75" customHeight="1">
      <c r="A16740" s="8" t="str">
        <f ca="1">IFERROR(__xludf.DUMMYFUNCTION("GOOGLETRANSLATE(B35891,""en"",""pt"")"),"Nyahururu")</f>
        <v>Nyahururu</v>
      </c>
      <c r="B16740" s="11" t="s">
        <v>16835</v>
      </c>
      <c r="C16740" s="11" t="s">
        <v>16781</v>
      </c>
      <c r="D16740" s="11" t="s">
        <v>16833</v>
      </c>
      <c r="E16740" s="10">
        <v>183027</v>
      </c>
      <c r="F16740" s="4" t="str">
        <f>IF(B16740=B16739,"",B16740)</f>
        <v/>
      </c>
    </row>
    <row r="16741" spans="1:6" ht="15.75" customHeight="1">
      <c r="A16741" s="15" t="s">
        <v>22874</v>
      </c>
      <c r="B16741" s="15" t="s">
        <v>22874</v>
      </c>
      <c r="C16741" s="15" t="s">
        <v>22070</v>
      </c>
      <c r="D16741" s="15" t="s">
        <v>22217</v>
      </c>
      <c r="E16741" s="2">
        <v>1496476</v>
      </c>
      <c r="F16741" s="4" t="str">
        <f>IF(B16741=B16740,"",B16741)</f>
        <v>Nyagan</v>
      </c>
    </row>
    <row r="16742" spans="1:6" ht="15.75" customHeight="1">
      <c r="A16742" s="8" t="str">
        <f ca="1">IFERROR(__xludf.DUMMYFUNCTION("GOOGLETRANSLATE(B40779,""en"",""pt"")"),"Nyagan")</f>
        <v>Nyagan</v>
      </c>
      <c r="B16742" s="11" t="s">
        <v>22874</v>
      </c>
      <c r="C16742" s="11" t="s">
        <v>22070</v>
      </c>
      <c r="D16742" s="11" t="s">
        <v>22217</v>
      </c>
      <c r="E16742" s="10">
        <v>1496476</v>
      </c>
      <c r="F16742" s="4" t="str">
        <f>IF(B16742=B16741,"",B16742)</f>
        <v/>
      </c>
    </row>
    <row r="16743" spans="1:6" ht="15.75" customHeight="1">
      <c r="A16743" s="15" t="s">
        <v>26859</v>
      </c>
      <c r="B16743" s="15" t="s">
        <v>26860</v>
      </c>
      <c r="C16743" s="15" t="s">
        <v>26820</v>
      </c>
      <c r="D16743" s="15" t="s">
        <v>18803</v>
      </c>
      <c r="E16743" s="2">
        <v>227528</v>
      </c>
      <c r="F16743" s="4" t="str">
        <f>IF(B16743=B16742,"",B16743)</f>
        <v>Nyachera</v>
      </c>
    </row>
    <row r="16744" spans="1:6" ht="15.75" customHeight="1">
      <c r="A16744" s="8" t="str">
        <f ca="1">IFERROR(__xludf.DUMMYFUNCTION("GOOGLETRANSLATE(B42730,""en"",""pt"")"),"Nyacera")</f>
        <v>Nyacera</v>
      </c>
      <c r="B16744" s="11" t="s">
        <v>26860</v>
      </c>
      <c r="C16744" s="11" t="s">
        <v>26820</v>
      </c>
      <c r="D16744" s="11" t="s">
        <v>18803</v>
      </c>
      <c r="E16744" s="10">
        <v>227528</v>
      </c>
      <c r="F16744" s="4" t="str">
        <f>IF(B16744=B16743,"",B16744)</f>
        <v/>
      </c>
    </row>
    <row r="16745" spans="1:6" ht="15.75" customHeight="1">
      <c r="A16745" s="15" t="s">
        <v>16323</v>
      </c>
      <c r="B16745" s="15" t="s">
        <v>16324</v>
      </c>
      <c r="C16745" s="15" t="s">
        <v>15704</v>
      </c>
      <c r="D16745" s="15" t="s">
        <v>15881</v>
      </c>
      <c r="E16745" s="2">
        <v>1854868</v>
      </c>
      <c r="F16745" s="4" t="str">
        <f>IF(B16745=B16744,"",B16745)</f>
        <v>NyÅ«zen</v>
      </c>
    </row>
    <row r="16746" spans="1:6" ht="15.75" customHeight="1">
      <c r="A16746" s="8" t="str">
        <f ca="1">IFERROR(__xludf.DUMMYFUNCTION("GOOGLETRANSLATE(B32586,""en"",""pt"")"),"Nūzvīd")</f>
        <v>Nūzvīd</v>
      </c>
      <c r="B16746" s="11" t="s">
        <v>33288</v>
      </c>
      <c r="C16746" s="11" t="s">
        <v>10178</v>
      </c>
      <c r="D16746" s="11" t="s">
        <v>10190</v>
      </c>
      <c r="E16746" s="10">
        <v>1261110</v>
      </c>
      <c r="F16746" s="4" t="str">
        <f>IF(B16746=B16745,"",B16746)</f>
        <v>Nūzvīd</v>
      </c>
    </row>
    <row r="16747" spans="1:6" ht="15.75" customHeight="1">
      <c r="A16747" s="16" t="s">
        <v>24968</v>
      </c>
      <c r="B16747" s="15" t="s">
        <v>24968</v>
      </c>
      <c r="C16747" s="16" t="s">
        <v>24924</v>
      </c>
      <c r="D16747" s="16" t="s">
        <v>1886</v>
      </c>
      <c r="E16747" s="2">
        <v>1232783</v>
      </c>
      <c r="F16747" s="4" t="str">
        <f>IF(B16747=B16746,"",B16747)</f>
        <v>Nuwara Eliya</v>
      </c>
    </row>
    <row r="16748" spans="1:6" ht="15.75" customHeight="1">
      <c r="A16748" s="8" t="str">
        <f ca="1">IFERROR(__xludf.DUMMYFUNCTION("GOOGLETRANSLATE(B36302,""en"",""pt"")"),"Nuwara Eliya")</f>
        <v>Nuwara Eliya</v>
      </c>
      <c r="B16748" s="9" t="s">
        <v>24968</v>
      </c>
      <c r="C16748" s="9" t="s">
        <v>24924</v>
      </c>
      <c r="D16748" s="9" t="s">
        <v>1886</v>
      </c>
      <c r="E16748" s="10">
        <v>1232783</v>
      </c>
      <c r="F16748" s="4" t="str">
        <f>IF(B16748=B16747,"",B16748)</f>
        <v/>
      </c>
    </row>
    <row r="16749" spans="1:6" ht="15.75" customHeight="1">
      <c r="A16749" s="15" t="s">
        <v>9664</v>
      </c>
      <c r="B16749" s="15" t="s">
        <v>9664</v>
      </c>
      <c r="C16749" s="15" t="s">
        <v>9665</v>
      </c>
      <c r="D16749" s="15" t="s">
        <v>9666</v>
      </c>
      <c r="E16749" s="2">
        <v>3421319</v>
      </c>
      <c r="F16749" s="4" t="str">
        <f>IF(B16749=B16748,"",B16749)</f>
        <v>Nuuk</v>
      </c>
    </row>
    <row r="16750" spans="1:6" ht="15.75" customHeight="1">
      <c r="A16750" s="8" t="str">
        <f ca="1">IFERROR(__xludf.DUMMYFUNCTION("GOOGLETRANSLATE(B30915,""en"",""pt"")"),"Nuuk")</f>
        <v>Nuuk</v>
      </c>
      <c r="B16750" s="11" t="s">
        <v>9664</v>
      </c>
      <c r="C16750" s="11" t="s">
        <v>9665</v>
      </c>
      <c r="D16750" s="11" t="s">
        <v>9666</v>
      </c>
      <c r="E16750" s="10">
        <v>3421319</v>
      </c>
      <c r="F16750" s="4" t="str">
        <f>IF(B16750=B16749,"",B16750)</f>
        <v/>
      </c>
    </row>
    <row r="16751" spans="1:6" ht="15.75" customHeight="1">
      <c r="A16751" s="15" t="s">
        <v>29515</v>
      </c>
      <c r="B16751" s="15" t="s">
        <v>29515</v>
      </c>
      <c r="C16751" s="15" t="s">
        <v>27788</v>
      </c>
      <c r="D16751" s="15" t="s">
        <v>27905</v>
      </c>
      <c r="E16751" s="2">
        <v>5102076</v>
      </c>
      <c r="F16751" s="4" t="str">
        <f>IF(B16751=B16750,"",B16751)</f>
        <v>Nutley</v>
      </c>
    </row>
    <row r="16752" spans="1:6" ht="15.75" customHeight="1">
      <c r="A16752" s="8" t="str">
        <f ca="1">IFERROR(__xludf.DUMMYFUNCTION("GOOGLETRANSLATE(B44291,""en"",""pt"")"),"Nutley")</f>
        <v>Nutley</v>
      </c>
      <c r="B16752" s="11" t="s">
        <v>29515</v>
      </c>
      <c r="C16752" s="11" t="s">
        <v>27788</v>
      </c>
      <c r="D16752" s="11" t="s">
        <v>27905</v>
      </c>
      <c r="E16752" s="10">
        <v>5102076</v>
      </c>
      <c r="F16752" s="4" t="str">
        <f>IF(B16752=B16751,"",B16752)</f>
        <v/>
      </c>
    </row>
    <row r="16753" spans="1:6" ht="15.75" customHeight="1">
      <c r="A16753" s="15" t="s">
        <v>19056</v>
      </c>
      <c r="B16753" s="15" t="s">
        <v>19056</v>
      </c>
      <c r="C16753" s="15" t="s">
        <v>18862</v>
      </c>
      <c r="D16753" s="15" t="s">
        <v>18893</v>
      </c>
      <c r="E16753" s="2">
        <v>2749753</v>
      </c>
      <c r="F16753" s="4" t="str">
        <f>IF(B16753=B16752,"",B16753)</f>
        <v>Nuth</v>
      </c>
    </row>
    <row r="16754" spans="1:6" ht="15.75" customHeight="1">
      <c r="A16754" s="8" t="str">
        <f ca="1">IFERROR(__xludf.DUMMYFUNCTION("GOOGLETRANSLATE(B37983,""en"",""pt"")"),"Nuth")</f>
        <v>Nuth</v>
      </c>
      <c r="B16754" s="11" t="s">
        <v>19056</v>
      </c>
      <c r="C16754" s="11" t="s">
        <v>18862</v>
      </c>
      <c r="D16754" s="11" t="s">
        <v>18893</v>
      </c>
      <c r="E16754" s="10">
        <v>2749753</v>
      </c>
      <c r="F16754" s="4" t="str">
        <f>IF(B16754=B16753,"",B16754)</f>
        <v/>
      </c>
    </row>
    <row r="16755" spans="1:6" ht="15.75" customHeight="1">
      <c r="A16755" s="15" t="s">
        <v>20142</v>
      </c>
      <c r="B16755" s="15" t="s">
        <v>20142</v>
      </c>
      <c r="C16755" s="15" t="s">
        <v>19808</v>
      </c>
      <c r="D16755" s="15" t="s">
        <v>19833</v>
      </c>
      <c r="E16755" s="2">
        <v>1168749</v>
      </c>
      <c r="F16755" s="4" t="str">
        <f>IF(B16755=B16754,"",B16755)</f>
        <v>Nushki</v>
      </c>
    </row>
    <row r="16756" spans="1:6" ht="15.75" customHeight="1">
      <c r="A16756" s="8" t="str">
        <f ca="1">IFERROR(__xludf.DUMMYFUNCTION("GOOGLETRANSLATE(B38962,""en"",""pt"")"),"Nushki")</f>
        <v>Nushki</v>
      </c>
      <c r="B16756" s="11" t="s">
        <v>20142</v>
      </c>
      <c r="C16756" s="11" t="s">
        <v>19808</v>
      </c>
      <c r="D16756" s="11" t="s">
        <v>34892</v>
      </c>
      <c r="E16756" s="10">
        <v>1168749</v>
      </c>
      <c r="F16756" s="4" t="str">
        <f>IF(B16756=B16755,"",B16756)</f>
        <v/>
      </c>
    </row>
    <row r="16757" spans="1:6" ht="15.75" customHeight="1">
      <c r="A16757" s="15" t="s">
        <v>26652</v>
      </c>
      <c r="B16757" s="15" t="s">
        <v>26652</v>
      </c>
      <c r="C16757" s="15" t="s">
        <v>26201</v>
      </c>
      <c r="D16757" s="15" t="s">
        <v>26440</v>
      </c>
      <c r="E16757" s="2">
        <v>303750</v>
      </c>
      <c r="F16757" s="4" t="str">
        <f>IF(B16757=B16756,"",B16757)</f>
        <v>Nusaybin</v>
      </c>
    </row>
    <row r="16758" spans="1:6" ht="15.75" customHeight="1">
      <c r="A16758" s="8" t="str">
        <f ca="1">IFERROR(__xludf.DUMMYFUNCTION("GOOGLETRANSLATE(B41925,""en"",""pt"")"),"Nusaybin")</f>
        <v>Nusaybin</v>
      </c>
      <c r="B16758" s="11" t="s">
        <v>26652</v>
      </c>
      <c r="C16758" s="11" t="s">
        <v>26201</v>
      </c>
      <c r="D16758" s="11" t="s">
        <v>26440</v>
      </c>
      <c r="E16758" s="10">
        <v>303750</v>
      </c>
      <c r="F16758" s="4" t="str">
        <f>IF(B16758=B16757,"",B16758)</f>
        <v/>
      </c>
    </row>
    <row r="16759" spans="1:6" ht="15.75" customHeight="1">
      <c r="A16759" s="8" t="str">
        <f ca="1">IFERROR(__xludf.DUMMYFUNCTION("GOOGLETRANSLATE(B27689,""en"",""pt"")"),"Nürtingen")</f>
        <v>Nürtingen</v>
      </c>
      <c r="B16759" s="9" t="s">
        <v>8876</v>
      </c>
      <c r="C16759" s="9" t="s">
        <v>8028</v>
      </c>
      <c r="D16759" s="9" t="s">
        <v>32013</v>
      </c>
      <c r="E16759" s="10">
        <v>2861632</v>
      </c>
      <c r="F16759" s="4" t="str">
        <f>IF(B16759=B16758,"",B16759)</f>
        <v>Nürtingen</v>
      </c>
    </row>
    <row r="16760" spans="1:6" ht="15.75" customHeight="1">
      <c r="A16760" s="8" t="str">
        <f ca="1">IFERROR(__xludf.DUMMYFUNCTION("GOOGLETRANSLATE(B32587,""en"",""pt"")"),"Nūrpur")</f>
        <v>Nūrpur</v>
      </c>
      <c r="B16760" s="11" t="s">
        <v>33289</v>
      </c>
      <c r="C16760" s="11" t="s">
        <v>10178</v>
      </c>
      <c r="D16760" s="11" t="s">
        <v>10193</v>
      </c>
      <c r="E16760" s="10">
        <v>1261122</v>
      </c>
      <c r="F16760" s="4" t="str">
        <f>IF(B16760=B16759,"",B16760)</f>
        <v>Nūrpur</v>
      </c>
    </row>
    <row r="16761" spans="1:6" ht="15.75" customHeight="1">
      <c r="A16761" s="15" t="s">
        <v>30572</v>
      </c>
      <c r="B16761" s="15" t="s">
        <v>30572</v>
      </c>
      <c r="C16761" s="15" t="s">
        <v>30502</v>
      </c>
      <c r="D16761" s="15" t="s">
        <v>30568</v>
      </c>
      <c r="E16761" s="2">
        <v>1513087</v>
      </c>
      <c r="F16761" s="4" t="str">
        <f>IF(B16761=B16760,"",B16761)</f>
        <v>Nurota</v>
      </c>
    </row>
    <row r="16762" spans="1:6" ht="15.75" customHeight="1">
      <c r="A16762" s="8" t="str">
        <f ca="1">IFERROR(__xludf.DUMMYFUNCTION("GOOGLETRANSLATE(B45557,""en"",""pt"")"),"Nurota")</f>
        <v>Nurota</v>
      </c>
      <c r="B16762" s="11" t="s">
        <v>30572</v>
      </c>
      <c r="C16762" s="11" t="s">
        <v>30502</v>
      </c>
      <c r="D16762" s="11" t="s">
        <v>30568</v>
      </c>
      <c r="E16762" s="10">
        <v>1513087</v>
      </c>
      <c r="F16762" s="4" t="str">
        <f>IF(B16762=B16761,"",B16762)</f>
        <v/>
      </c>
    </row>
    <row r="16763" spans="1:6" ht="15.75" customHeight="1">
      <c r="A16763" s="8" t="str">
        <f ca="1">IFERROR(__xludf.DUMMYFUNCTION("GOOGLETRANSLATE(B27690,""en"",""pt"")"),"Nürnberg")</f>
        <v>Nürnberg</v>
      </c>
      <c r="B16763" s="9" t="s">
        <v>8874</v>
      </c>
      <c r="C16763" s="9" t="s">
        <v>8028</v>
      </c>
      <c r="D16763" s="9" t="s">
        <v>8044</v>
      </c>
      <c r="E16763" s="10">
        <v>2861650</v>
      </c>
      <c r="F16763" s="4" t="str">
        <f>IF(B16763=B16762,"",B16763)</f>
        <v>Nürnberg</v>
      </c>
    </row>
    <row r="16764" spans="1:6" ht="15.75" customHeight="1">
      <c r="A16764" s="8" t="str">
        <f ca="1">IFERROR(__xludf.DUMMYFUNCTION("GOOGLETRANSLATE(B29621,""en"",""pt"")"),"Nurmijärvi")</f>
        <v>Nurmijärvi</v>
      </c>
      <c r="B16764" s="11" t="s">
        <v>7017</v>
      </c>
      <c r="C16764" s="11" t="s">
        <v>6948</v>
      </c>
      <c r="D16764" s="11" t="s">
        <v>6951</v>
      </c>
      <c r="E16764" s="10">
        <v>644171</v>
      </c>
      <c r="F16764" s="4" t="str">
        <f>IF(B16764=B16763,"",B16764)</f>
        <v>Nurmijärvi</v>
      </c>
    </row>
    <row r="16765" spans="1:6" ht="15.75" customHeight="1">
      <c r="A16765" s="16" t="s">
        <v>7017</v>
      </c>
      <c r="B16765" s="15" t="s">
        <v>7018</v>
      </c>
      <c r="C16765" s="16" t="s">
        <v>6948</v>
      </c>
      <c r="D16765" s="16" t="s">
        <v>6951</v>
      </c>
      <c r="E16765" s="2">
        <v>644171</v>
      </c>
      <c r="F16765" s="4" t="str">
        <f>IF(B16765=B16764,"",B16765)</f>
        <v>NurmijÃ¤rvi</v>
      </c>
    </row>
    <row r="16766" spans="1:6" ht="15.75" customHeight="1">
      <c r="A16766" s="15" t="s">
        <v>22873</v>
      </c>
      <c r="B16766" s="15" t="s">
        <v>22873</v>
      </c>
      <c r="C16766" s="15" t="s">
        <v>22070</v>
      </c>
      <c r="D16766" s="15" t="s">
        <v>22090</v>
      </c>
      <c r="E16766" s="2">
        <v>516716</v>
      </c>
      <c r="F16766" s="4" t="str">
        <f>IF(B16766=B16765,"",B16766)</f>
        <v>Nurlat</v>
      </c>
    </row>
    <row r="16767" spans="1:6" ht="15.75" customHeight="1">
      <c r="A16767" s="8" t="str">
        <f ca="1">IFERROR(__xludf.DUMMYFUNCTION("GOOGLETRANSLATE(B40245,""en"",""pt"")"),"Nurlat")</f>
        <v>Nurlat</v>
      </c>
      <c r="B16767" s="11" t="s">
        <v>22873</v>
      </c>
      <c r="C16767" s="11" t="s">
        <v>22070</v>
      </c>
      <c r="D16767" s="11" t="s">
        <v>22090</v>
      </c>
      <c r="E16767" s="10">
        <v>516716</v>
      </c>
      <c r="F16767" s="4" t="str">
        <f>IF(B16767=B16766,"",B16767)</f>
        <v/>
      </c>
    </row>
    <row r="16768" spans="1:6" ht="15.75" customHeight="1">
      <c r="A16768" s="8" t="str">
        <f ca="1">IFERROR(__xludf.DUMMYFUNCTION("GOOGLETRANSLATE(B34342,""en"",""pt"")"),"Nūrābād")</f>
        <v>Nūrābād</v>
      </c>
      <c r="B16768" s="9" t="s">
        <v>34121</v>
      </c>
      <c r="C16768" s="9" t="s">
        <v>14240</v>
      </c>
      <c r="D16768" s="9" t="s">
        <v>34122</v>
      </c>
      <c r="E16768" s="10">
        <v>24851</v>
      </c>
      <c r="F16768" s="4" t="str">
        <f>IF(B16768=B16767,"",B16768)</f>
        <v>Nūrābād</v>
      </c>
    </row>
    <row r="16769" spans="1:6" ht="15.75" customHeight="1">
      <c r="A16769" s="8" t="str">
        <f ca="1">IFERROR(__xludf.DUMMYFUNCTION("GOOGLETRANSLATE(B34403,""en"",""pt"")"),"Nūrābād")</f>
        <v>Nūrābād</v>
      </c>
      <c r="B16769" s="9" t="s">
        <v>34121</v>
      </c>
      <c r="C16769" s="9" t="s">
        <v>14240</v>
      </c>
      <c r="D16769" s="9" t="s">
        <v>14244</v>
      </c>
      <c r="E16769" s="10">
        <v>121925</v>
      </c>
      <c r="F16769" s="4" t="str">
        <f>IF(B16769=B16768,"",B16769)</f>
        <v/>
      </c>
    </row>
    <row r="16770" spans="1:6" ht="15.75" customHeight="1">
      <c r="A16770" s="15" t="s">
        <v>15324</v>
      </c>
      <c r="B16770" s="15" t="s">
        <v>15324</v>
      </c>
      <c r="C16770" s="15" t="s">
        <v>14891</v>
      </c>
      <c r="D16770" s="15" t="s">
        <v>14925</v>
      </c>
      <c r="E16770" s="2">
        <v>3172154</v>
      </c>
      <c r="F16770" s="4" t="str">
        <f>IF(B16770=B16769,"",B16770)</f>
        <v>Nuoro</v>
      </c>
    </row>
    <row r="16771" spans="1:6" ht="15.75" customHeight="1">
      <c r="A16771" s="8" t="str">
        <f ca="1">IFERROR(__xludf.DUMMYFUNCTION("GOOGLETRANSLATE(B34795,""en"",""pt"")"),"Nuoro")</f>
        <v>Nuoro</v>
      </c>
      <c r="B16771" s="9" t="s">
        <v>15324</v>
      </c>
      <c r="C16771" s="9" t="s">
        <v>14891</v>
      </c>
      <c r="D16771" s="9" t="s">
        <v>14925</v>
      </c>
      <c r="E16771" s="10">
        <v>3172154</v>
      </c>
      <c r="F16771" s="4" t="str">
        <f>IF(B16771=B16770,"",B16771)</f>
        <v/>
      </c>
    </row>
    <row r="16772" spans="1:6" ht="15.75" customHeight="1">
      <c r="A16772" s="16" t="s">
        <v>19054</v>
      </c>
      <c r="B16772" s="15" t="s">
        <v>19055</v>
      </c>
      <c r="C16772" s="16" t="s">
        <v>18862</v>
      </c>
      <c r="D16772" s="16" t="s">
        <v>18865</v>
      </c>
      <c r="E16772" s="2">
        <v>2749756</v>
      </c>
      <c r="F16772" s="4" t="str">
        <f>IF(B16772=B16771,"",B16772)</f>
        <v>Nunspeet</v>
      </c>
    </row>
    <row r="16773" spans="1:6" ht="15.75" customHeight="1">
      <c r="A16773" s="8" t="str">
        <f ca="1">IFERROR(__xludf.DUMMYFUNCTION("GOOGLETRANSLATE(B37984,""en"",""pt"")"),"NUNSPEET")</f>
        <v>NUNSPEET</v>
      </c>
      <c r="B16773" s="9" t="s">
        <v>19055</v>
      </c>
      <c r="C16773" s="9" t="s">
        <v>18862</v>
      </c>
      <c r="D16773" s="9" t="s">
        <v>18865</v>
      </c>
      <c r="E16773" s="10">
        <v>2749756</v>
      </c>
      <c r="F16773" s="4" t="str">
        <f>IF(B16773=B16772,"",B16773)</f>
        <v/>
      </c>
    </row>
    <row r="16774" spans="1:6" ht="15.75" customHeight="1">
      <c r="A16774" s="15" t="s">
        <v>9411</v>
      </c>
      <c r="B16774" s="15" t="s">
        <v>9411</v>
      </c>
      <c r="C16774" s="15" t="s">
        <v>9365</v>
      </c>
      <c r="D16774" s="15" t="s">
        <v>9368</v>
      </c>
      <c r="E16774" s="2">
        <v>2296969</v>
      </c>
      <c r="F16774" s="4" t="str">
        <f>IF(B16774=B16773,"",B16774)</f>
        <v>Nungua</v>
      </c>
    </row>
    <row r="16775" spans="1:6" ht="15.75" customHeight="1">
      <c r="A16775" s="8" t="str">
        <f ca="1">IFERROR(__xludf.DUMMYFUNCTION("GOOGLETRANSLATE(B30879,""en"",""pt"")"),"Nungua")</f>
        <v>Nungua</v>
      </c>
      <c r="B16775" s="9" t="s">
        <v>9411</v>
      </c>
      <c r="C16775" s="9" t="s">
        <v>9365</v>
      </c>
      <c r="D16775" s="9" t="s">
        <v>9368</v>
      </c>
      <c r="E16775" s="10">
        <v>2296969</v>
      </c>
      <c r="F16775" s="4" t="str">
        <f>IF(B16775=B16774,"",B16775)</f>
        <v/>
      </c>
    </row>
    <row r="16776" spans="1:6" ht="15.75" customHeight="1">
      <c r="A16776" s="16" t="s">
        <v>27577</v>
      </c>
      <c r="B16776" s="15" t="s">
        <v>27577</v>
      </c>
      <c r="C16776" s="16" t="s">
        <v>27234</v>
      </c>
      <c r="D16776" s="16" t="s">
        <v>27241</v>
      </c>
      <c r="E16776" s="2">
        <v>2641157</v>
      </c>
      <c r="F16776" s="4" t="str">
        <f>IF(B16776=B16775,"",B16776)</f>
        <v>Nuneaton</v>
      </c>
    </row>
    <row r="16777" spans="1:6" ht="15.75" customHeight="1">
      <c r="A16777" s="8" t="str">
        <f ca="1">IFERROR(__xludf.DUMMYFUNCTION("GOOGLETRANSLATE(B30500,""en"",""pt"")"),"Nuneaton")</f>
        <v>Nuneaton</v>
      </c>
      <c r="B16777" s="9" t="s">
        <v>27577</v>
      </c>
      <c r="C16777" s="9" t="s">
        <v>27234</v>
      </c>
      <c r="D16777" s="9" t="s">
        <v>27241</v>
      </c>
      <c r="E16777" s="10">
        <v>2641157</v>
      </c>
      <c r="F16777" s="4" t="str">
        <f>IF(B16777=B16776,"",B16777)</f>
        <v/>
      </c>
    </row>
    <row r="16778" spans="1:6" ht="15.75" customHeight="1">
      <c r="A16778" s="8" t="str">
        <f ca="1">IFERROR(__xludf.DUMMYFUNCTION("GOOGLETRANSLATE(B27691,""en"",""pt"")"),"Nümbrecht")</f>
        <v>Nümbrecht</v>
      </c>
      <c r="B16778" s="11" t="s">
        <v>32043</v>
      </c>
      <c r="C16778" s="11" t="s">
        <v>8028</v>
      </c>
      <c r="D16778" s="11" t="s">
        <v>8029</v>
      </c>
      <c r="E16778" s="10">
        <v>2861677</v>
      </c>
      <c r="F16778" s="4" t="str">
        <f>IF(B16778=B16777,"",B16778)</f>
        <v>Nümbrecht</v>
      </c>
    </row>
    <row r="16779" spans="1:6" ht="15.75" customHeight="1">
      <c r="A16779" s="15" t="s">
        <v>16322</v>
      </c>
      <c r="B16779" s="15" t="s">
        <v>16322</v>
      </c>
      <c r="C16779" s="15" t="s">
        <v>15704</v>
      </c>
      <c r="D16779" s="15" t="s">
        <v>15809</v>
      </c>
      <c r="E16779" s="2">
        <v>1854902</v>
      </c>
      <c r="F16779" s="4" t="str">
        <f>IF(B16779=B16778,"",B16779)</f>
        <v>Numazu</v>
      </c>
    </row>
    <row r="16780" spans="1:6" ht="15.75" customHeight="1">
      <c r="A16780" s="8" t="str">
        <f ca="1">IFERROR(__xludf.DUMMYFUNCTION("GOOGLETRANSLATE(B35372,""en"",""pt"")"),"Numazu")</f>
        <v>Numazu</v>
      </c>
      <c r="B16780" s="11" t="s">
        <v>16322</v>
      </c>
      <c r="C16780" s="11" t="s">
        <v>15704</v>
      </c>
      <c r="D16780" s="11" t="s">
        <v>15809</v>
      </c>
      <c r="E16780" s="10">
        <v>1854902</v>
      </c>
      <c r="F16780" s="4" t="str">
        <f>IF(B16780=B16779,"",B16780)</f>
        <v/>
      </c>
    </row>
    <row r="16781" spans="1:6" ht="15.75" customHeight="1">
      <c r="A16781" s="15" t="s">
        <v>16321</v>
      </c>
      <c r="B16781" s="15" t="s">
        <v>16321</v>
      </c>
      <c r="C16781" s="15" t="s">
        <v>15704</v>
      </c>
      <c r="D16781" s="15" t="s">
        <v>15731</v>
      </c>
      <c r="E16781" s="2">
        <v>1854905</v>
      </c>
      <c r="F16781" s="4" t="str">
        <f>IF(B16781=B16780,"",B16781)</f>
        <v>Numata</v>
      </c>
    </row>
    <row r="16782" spans="1:6" ht="15.75" customHeight="1">
      <c r="A16782" s="8" t="str">
        <f ca="1">IFERROR(__xludf.DUMMYFUNCTION("GOOGLETRANSLATE(B35373,""en"",""pt"")"),"Numata")</f>
        <v>Numata</v>
      </c>
      <c r="B16782" s="11" t="s">
        <v>16321</v>
      </c>
      <c r="C16782" s="11" t="s">
        <v>15704</v>
      </c>
      <c r="D16782" s="11" t="s">
        <v>15731</v>
      </c>
      <c r="E16782" s="10">
        <v>1854905</v>
      </c>
      <c r="F16782" s="4" t="str">
        <f>IF(B16782=B16781,"",B16782)</f>
        <v/>
      </c>
    </row>
    <row r="16783" spans="1:6" ht="15.75" customHeight="1">
      <c r="A16783" s="15" t="s">
        <v>19516</v>
      </c>
      <c r="B16783" s="15" t="s">
        <v>19516</v>
      </c>
      <c r="C16783" s="15" t="s">
        <v>19294</v>
      </c>
      <c r="D16783" s="15" t="s">
        <v>19403</v>
      </c>
      <c r="E16783" s="2">
        <v>2328617</v>
      </c>
      <c r="F16783" s="4" t="str">
        <f>IF(B16783=B16782,"",B16783)</f>
        <v>Numan</v>
      </c>
    </row>
    <row r="16784" spans="1:6" ht="15.75" customHeight="1">
      <c r="A16784" s="8" t="str">
        <f ca="1">IFERROR(__xludf.DUMMYFUNCTION("GOOGLETRANSLATE(B37667,""en"",""pt"")"),"Numan")</f>
        <v>Numan</v>
      </c>
      <c r="B16784" s="11" t="s">
        <v>19516</v>
      </c>
      <c r="C16784" s="11" t="s">
        <v>19294</v>
      </c>
      <c r="D16784" s="11" t="s">
        <v>19403</v>
      </c>
      <c r="E16784" s="10">
        <v>2328617</v>
      </c>
      <c r="F16784" s="4" t="str">
        <f>IF(B16784=B16783,"",B16784)</f>
        <v/>
      </c>
    </row>
    <row r="16785" spans="1:6" ht="15.75" customHeight="1">
      <c r="A16785" s="15" t="s">
        <v>30571</v>
      </c>
      <c r="B16785" s="15" t="s">
        <v>30571</v>
      </c>
      <c r="C16785" s="15" t="s">
        <v>30502</v>
      </c>
      <c r="D16785" s="15" t="s">
        <v>30511</v>
      </c>
      <c r="E16785" s="2">
        <v>601294</v>
      </c>
      <c r="F16785" s="4" t="str">
        <f>IF(B16785=B16784,"",B16785)</f>
        <v>Nukus</v>
      </c>
    </row>
    <row r="16786" spans="1:6" ht="15.75" customHeight="1">
      <c r="A16786" s="8" t="str">
        <f ca="1">IFERROR(__xludf.DUMMYFUNCTION("GOOGLETRANSLATE(B45500,""en"",""pt"")"),"Nukus")</f>
        <v>Nukus</v>
      </c>
      <c r="B16786" s="11" t="s">
        <v>30571</v>
      </c>
      <c r="C16786" s="11" t="s">
        <v>30502</v>
      </c>
      <c r="D16786" s="11" t="s">
        <v>30511</v>
      </c>
      <c r="E16786" s="10">
        <v>601294</v>
      </c>
      <c r="F16786" s="4" t="str">
        <f>IF(B16786=B16785,"",B16786)</f>
        <v/>
      </c>
    </row>
    <row r="16787" spans="1:6" ht="15.75" customHeight="1">
      <c r="A16787" s="16" t="s">
        <v>26065</v>
      </c>
      <c r="B16787" s="15" t="s">
        <v>26066</v>
      </c>
      <c r="C16787" s="16" t="s">
        <v>3968</v>
      </c>
      <c r="D16787" s="16" t="s">
        <v>26067</v>
      </c>
      <c r="E16787" s="2">
        <v>4032402</v>
      </c>
      <c r="F16787" s="4" t="str">
        <f>IF(B16787=B16786,"",B16787)</f>
        <v>Nukuâ€˜alofa</v>
      </c>
    </row>
    <row r="16788" spans="1:6" ht="15.75" customHeight="1">
      <c r="A16788" s="8" t="str">
        <f ca="1">IFERROR(__xludf.DUMMYFUNCTION("GOOGLETRANSLATE(B41862,""en"",""pt"")"),"Nuku‘alofa")</f>
        <v>Nuku‘alofa</v>
      </c>
      <c r="B16788" s="11" t="s">
        <v>35811</v>
      </c>
      <c r="C16788" s="11" t="s">
        <v>3968</v>
      </c>
      <c r="D16788" s="11" t="s">
        <v>26067</v>
      </c>
      <c r="E16788" s="10">
        <v>4032402</v>
      </c>
      <c r="F16788" s="4" t="str">
        <f>IF(B16788=B16787,"",B16788)</f>
        <v>Nuku‘alofa</v>
      </c>
    </row>
    <row r="16789" spans="1:6" ht="15.75" customHeight="1">
      <c r="A16789" s="16" t="s">
        <v>9761</v>
      </c>
      <c r="B16789" s="15" t="s">
        <v>9761</v>
      </c>
      <c r="C16789" s="16" t="s">
        <v>9700</v>
      </c>
      <c r="D16789" s="16" t="s">
        <v>9762</v>
      </c>
      <c r="E16789" s="2">
        <v>3592105</v>
      </c>
      <c r="F16789" s="4" t="str">
        <f>IF(B16789=B16788,"",B16789)</f>
        <v>Nuevo San Carlos</v>
      </c>
    </row>
    <row r="16790" spans="1:6" ht="15.75" customHeight="1">
      <c r="A16790" s="8" t="str">
        <f ca="1">IFERROR(__xludf.DUMMYFUNCTION("GOOGLETRANSLATE(B31103,""en"",""pt"")"),"Nuevo San Carlos")</f>
        <v>Nuevo San Carlos</v>
      </c>
      <c r="B16790" s="11" t="s">
        <v>9761</v>
      </c>
      <c r="C16790" s="11" t="s">
        <v>9700</v>
      </c>
      <c r="D16790" s="11" t="s">
        <v>9762</v>
      </c>
      <c r="E16790" s="10">
        <v>3592105</v>
      </c>
      <c r="F16790" s="4" t="str">
        <f>IF(B16790=B16789,"",B16790)</f>
        <v/>
      </c>
    </row>
    <row r="16791" spans="1:6" ht="15.75" customHeight="1">
      <c r="A16791" s="8" t="str">
        <f ca="1">IFERROR(__xludf.DUMMYFUNCTION("GOOGLETRANSLATE(B37231,""en"",""pt"")"),"Nuevo México")</f>
        <v>Nuevo México</v>
      </c>
      <c r="B16791" s="9" t="s">
        <v>34753</v>
      </c>
      <c r="C16791" s="9" t="s">
        <v>17707</v>
      </c>
      <c r="D16791" s="9" t="s">
        <v>17746</v>
      </c>
      <c r="E16791" s="10">
        <v>3994604</v>
      </c>
      <c r="F16791" s="4" t="str">
        <f>IF(B16791=B16790,"",B16791)</f>
        <v>Nuevo México</v>
      </c>
    </row>
    <row r="16792" spans="1:6" ht="15.75" customHeight="1">
      <c r="A16792" s="16" t="s">
        <v>18123</v>
      </c>
      <c r="B16792" s="15" t="s">
        <v>18124</v>
      </c>
      <c r="C16792" s="16" t="s">
        <v>17707</v>
      </c>
      <c r="D16792" s="16" t="s">
        <v>17746</v>
      </c>
      <c r="E16792" s="2">
        <v>3994604</v>
      </c>
      <c r="F16792" s="4" t="str">
        <f>IF(B16792=B16791,"",B16792)</f>
        <v>Nuevo MÃ©xico</v>
      </c>
    </row>
    <row r="16793" spans="1:6" ht="15.75" customHeight="1">
      <c r="A16793" s="16" t="s">
        <v>18122</v>
      </c>
      <c r="B16793" s="15" t="s">
        <v>18122</v>
      </c>
      <c r="C16793" s="16" t="s">
        <v>17707</v>
      </c>
      <c r="D16793" s="16" t="s">
        <v>17740</v>
      </c>
      <c r="E16793" s="2">
        <v>3522551</v>
      </c>
      <c r="F16793" s="4" t="str">
        <f>IF(B16793=B16792,"",B16793)</f>
        <v>Nuevo Laredo</v>
      </c>
    </row>
    <row r="16794" spans="1:6" ht="15.75" customHeight="1">
      <c r="A16794" s="8" t="str">
        <f ca="1">IFERROR(__xludf.DUMMYFUNCTION("GOOGLETRANSLATE(B36966,""en"",""pt"")"),"Nuevo Laredo")</f>
        <v>Nuevo Laredo</v>
      </c>
      <c r="B16794" s="11" t="s">
        <v>18122</v>
      </c>
      <c r="C16794" s="11" t="s">
        <v>17707</v>
      </c>
      <c r="D16794" s="11" t="s">
        <v>17740</v>
      </c>
      <c r="E16794" s="10">
        <v>3522551</v>
      </c>
      <c r="F16794" s="4" t="str">
        <f>IF(B16794=B16793,"",B16794)</f>
        <v/>
      </c>
    </row>
    <row r="16795" spans="1:6" ht="15.75" customHeight="1">
      <c r="A16795" s="16" t="s">
        <v>20551</v>
      </c>
      <c r="B16795" s="15" t="s">
        <v>20551</v>
      </c>
      <c r="C16795" s="16" t="s">
        <v>20470</v>
      </c>
      <c r="D16795" s="16" t="s">
        <v>20479</v>
      </c>
      <c r="E16795" s="2">
        <v>3934239</v>
      </c>
      <c r="F16795" s="4" t="str">
        <f>IF(B16795=B16794,"",B16795)</f>
        <v>Nuevo Imperial</v>
      </c>
    </row>
    <row r="16796" spans="1:6" ht="15.75" customHeight="1">
      <c r="A16796" s="8" t="str">
        <f ca="1">IFERROR(__xludf.DUMMYFUNCTION("GOOGLETRANSLATE(B38370,""en"",""pt"")"),"Nuevo Imperial")</f>
        <v>Nuevo Imperial</v>
      </c>
      <c r="B16796" s="11" t="s">
        <v>20551</v>
      </c>
      <c r="C16796" s="11" t="s">
        <v>20470</v>
      </c>
      <c r="D16796" s="11" t="s">
        <v>20479</v>
      </c>
      <c r="E16796" s="10">
        <v>3934239</v>
      </c>
      <c r="F16796" s="4" t="str">
        <f>IF(B16796=B16795,"",B16796)</f>
        <v/>
      </c>
    </row>
    <row r="16797" spans="1:6" ht="15.75" customHeight="1">
      <c r="A16797" s="16" t="s">
        <v>18121</v>
      </c>
      <c r="B16797" s="15" t="s">
        <v>18121</v>
      </c>
      <c r="C16797" s="16" t="s">
        <v>17707</v>
      </c>
      <c r="D16797" s="16" t="s">
        <v>17826</v>
      </c>
      <c r="E16797" s="2">
        <v>3994616</v>
      </c>
      <c r="F16797" s="4" t="str">
        <f>IF(B16797=B16796,"",B16797)</f>
        <v>Nuevo Casas Grandes</v>
      </c>
    </row>
    <row r="16798" spans="1:6" ht="15.75" customHeight="1">
      <c r="A16798" s="8" t="str">
        <f ca="1">IFERROR(__xludf.DUMMYFUNCTION("GOOGLETRANSLATE(B37232,""en"",""pt"")"),"Nuevo Casas Grandes")</f>
        <v>Nuevo Casas Grandes</v>
      </c>
      <c r="B16798" s="11" t="s">
        <v>18121</v>
      </c>
      <c r="C16798" s="11" t="s">
        <v>17707</v>
      </c>
      <c r="D16798" s="11" t="s">
        <v>17826</v>
      </c>
      <c r="E16798" s="10">
        <v>3994616</v>
      </c>
      <c r="F16798" s="4" t="str">
        <f>IF(B16798=B16797,"",B16798)</f>
        <v/>
      </c>
    </row>
    <row r="16799" spans="1:6" ht="15.75" customHeight="1">
      <c r="A16799" s="8" t="str">
        <f ca="1">IFERROR(__xludf.DUMMYFUNCTION("GOOGLETRANSLATE(B38286,""en"",""pt"")"),"Nuevo Arraiján")</f>
        <v>Nuevo Arraiján</v>
      </c>
      <c r="B16799" s="9" t="s">
        <v>34862</v>
      </c>
      <c r="C16799" s="9" t="s">
        <v>20370</v>
      </c>
      <c r="D16799" s="9" t="s">
        <v>20397</v>
      </c>
      <c r="E16799" s="10">
        <v>3703833</v>
      </c>
      <c r="F16799" s="4" t="str">
        <f>IF(B16799=B16798,"",B16799)</f>
        <v>Nuevo Arraiján</v>
      </c>
    </row>
    <row r="16800" spans="1:6" ht="15.75" customHeight="1">
      <c r="A16800" s="16" t="s">
        <v>20394</v>
      </c>
      <c r="B16800" s="15" t="s">
        <v>20395</v>
      </c>
      <c r="C16800" s="16" t="s">
        <v>20370</v>
      </c>
      <c r="D16800" s="16" t="s">
        <v>20374</v>
      </c>
      <c r="E16800" s="2">
        <v>3703833</v>
      </c>
      <c r="F16800" s="4" t="str">
        <f>IF(B16800=B16799,"",B16800)</f>
        <v>Nuevo ArraijÃ¡n</v>
      </c>
    </row>
    <row r="16801" spans="1:6" ht="15.75" customHeight="1">
      <c r="A16801" s="15" t="s">
        <v>5883</v>
      </c>
      <c r="B16801" s="15" t="s">
        <v>5883</v>
      </c>
      <c r="C16801" s="15" t="s">
        <v>5764</v>
      </c>
      <c r="D16801" s="15" t="s">
        <v>5806</v>
      </c>
      <c r="E16801" s="2">
        <v>3545841</v>
      </c>
      <c r="F16801" s="4" t="str">
        <f>IF(B16801=B16800,"",B16801)</f>
        <v>Nuevitas</v>
      </c>
    </row>
    <row r="16802" spans="1:6" ht="15.75" customHeight="1">
      <c r="A16802" s="8" t="str">
        <f ca="1">IFERROR(__xludf.DUMMYFUNCTION("GOOGLETRANSLATE(B27140,""en"",""pt"")"),"Nuevitas")</f>
        <v>Nuevitas</v>
      </c>
      <c r="B16802" s="11" t="s">
        <v>5883</v>
      </c>
      <c r="C16802" s="11" t="s">
        <v>5764</v>
      </c>
      <c r="D16802" s="11" t="s">
        <v>31904</v>
      </c>
      <c r="E16802" s="10">
        <v>3545841</v>
      </c>
      <c r="F16802" s="4" t="str">
        <f>IF(B16802=B16801,"",B16802)</f>
        <v/>
      </c>
    </row>
    <row r="16803" spans="1:6" ht="15.75" customHeight="1">
      <c r="A16803" s="16" t="s">
        <v>718</v>
      </c>
      <c r="B16803" s="15" t="s">
        <v>718</v>
      </c>
      <c r="C16803" s="16" t="s">
        <v>558</v>
      </c>
      <c r="D16803" s="16" t="s">
        <v>562</v>
      </c>
      <c r="E16803" s="2">
        <v>3842881</v>
      </c>
      <c r="F16803" s="4" t="str">
        <f>IF(B16803=B16802,"",B16803)</f>
        <v>Nueve de Julio</v>
      </c>
    </row>
    <row r="16804" spans="1:6" ht="15.75" customHeight="1">
      <c r="A16804" s="8" t="str">
        <f ca="1">IFERROR(__xludf.DUMMYFUNCTION("GOOGLETRANSLATE(B23299,""en"",""pt"")"),"Nueve de Julio")</f>
        <v>Nueve de Julio</v>
      </c>
      <c r="B16804" s="9" t="s">
        <v>718</v>
      </c>
      <c r="C16804" s="9" t="s">
        <v>558</v>
      </c>
      <c r="D16804" s="9" t="s">
        <v>562</v>
      </c>
      <c r="E16804" s="10">
        <v>3842881</v>
      </c>
      <c r="F16804" s="4" t="str">
        <f>IF(B16804=B16803,"",B16804)</f>
        <v/>
      </c>
    </row>
    <row r="16805" spans="1:6" ht="15.75" customHeight="1">
      <c r="A16805" s="16" t="s">
        <v>18120</v>
      </c>
      <c r="B16805" s="15" t="s">
        <v>18120</v>
      </c>
      <c r="C16805" s="16" t="s">
        <v>17707</v>
      </c>
      <c r="D16805" s="16" t="s">
        <v>17738</v>
      </c>
      <c r="E16805" s="2">
        <v>3994667</v>
      </c>
      <c r="F16805" s="4" t="str">
        <f>IF(B16805=B16804,"",B16805)</f>
        <v>Nueva Rosita</v>
      </c>
    </row>
    <row r="16806" spans="1:6" ht="15.75" customHeight="1">
      <c r="A16806" s="8" t="str">
        <f ca="1">IFERROR(__xludf.DUMMYFUNCTION("GOOGLETRANSLATE(B37233,""en"",""pt"")"),"Nueva Rosita")</f>
        <v>Nueva Rosita</v>
      </c>
      <c r="B16806" s="11" t="s">
        <v>18120</v>
      </c>
      <c r="C16806" s="11" t="s">
        <v>17707</v>
      </c>
      <c r="D16806" s="11" t="s">
        <v>17738</v>
      </c>
      <c r="E16806" s="10">
        <v>3994667</v>
      </c>
      <c r="F16806" s="4" t="str">
        <f>IF(B16806=B16805,"",B16806)</f>
        <v/>
      </c>
    </row>
    <row r="16807" spans="1:6" ht="15.75" customHeight="1">
      <c r="A16807" s="16" t="s">
        <v>6451</v>
      </c>
      <c r="B16807" s="15" t="s">
        <v>6451</v>
      </c>
      <c r="C16807" s="16" t="s">
        <v>6398</v>
      </c>
      <c r="D16807" s="16" t="s">
        <v>6452</v>
      </c>
      <c r="E16807" s="2">
        <v>3655185</v>
      </c>
      <c r="F16807" s="4" t="str">
        <f>IF(B16807=B16806,"",B16807)</f>
        <v>Nueva Loja</v>
      </c>
    </row>
    <row r="16808" spans="1:6" ht="15.75" customHeight="1">
      <c r="A16808" s="8" t="str">
        <f ca="1">IFERROR(__xludf.DUMMYFUNCTION("GOOGLETRANSLATE(B28788,""en"",""pt"")"),"Nueva Loja")</f>
        <v>Nueva Loja</v>
      </c>
      <c r="B16808" s="9" t="s">
        <v>6451</v>
      </c>
      <c r="C16808" s="9" t="s">
        <v>6398</v>
      </c>
      <c r="D16808" s="9" t="s">
        <v>6452</v>
      </c>
      <c r="E16808" s="10">
        <v>3655185</v>
      </c>
      <c r="F16808" s="4" t="str">
        <f>IF(B16808=B16807,"",B16808)</f>
        <v/>
      </c>
    </row>
    <row r="16809" spans="1:6" ht="15.75" customHeight="1">
      <c r="A16809" s="16" t="s">
        <v>18119</v>
      </c>
      <c r="B16809" s="15" t="s">
        <v>18119</v>
      </c>
      <c r="C16809" s="16" t="s">
        <v>17707</v>
      </c>
      <c r="D16809" s="16" t="s">
        <v>17761</v>
      </c>
      <c r="E16809" s="2">
        <v>3994674</v>
      </c>
      <c r="F16809" s="4" t="str">
        <f>IF(B16809=B16808,"",B16809)</f>
        <v>Nueva Italia de Ruiz</v>
      </c>
    </row>
    <row r="16810" spans="1:6" ht="15.75" customHeight="1">
      <c r="A16810" s="8" t="str">
        <f ca="1">IFERROR(__xludf.DUMMYFUNCTION("GOOGLETRANSLATE(B37234,""en"",""pt"")"),"Nueva Italia de Ruiz")</f>
        <v>Nueva Italia de Ruiz</v>
      </c>
      <c r="B16810" s="9" t="s">
        <v>18119</v>
      </c>
      <c r="C16810" s="9" t="s">
        <v>17707</v>
      </c>
      <c r="D16810" s="9" t="s">
        <v>34727</v>
      </c>
      <c r="E16810" s="10">
        <v>3994674</v>
      </c>
      <c r="F16810" s="4" t="str">
        <f>IF(B16810=B16809,"",B16810)</f>
        <v/>
      </c>
    </row>
    <row r="16811" spans="1:6" ht="15.75" customHeight="1">
      <c r="A16811" s="16" t="s">
        <v>4436</v>
      </c>
      <c r="B16811" s="15" t="s">
        <v>4436</v>
      </c>
      <c r="C16811" s="16" t="s">
        <v>4355</v>
      </c>
      <c r="D16811" s="16" t="s">
        <v>4358</v>
      </c>
      <c r="E16811" s="2">
        <v>3878456</v>
      </c>
      <c r="F16811" s="4" t="str">
        <f>IF(B16811=B16810,"",B16811)</f>
        <v>Nueva Imperial</v>
      </c>
    </row>
    <row r="16812" spans="1:6" ht="15.75" customHeight="1">
      <c r="A16812" s="8" t="str">
        <f ca="1">IFERROR(__xludf.DUMMYFUNCTION("GOOGLETRANSLATE(B25925,""en"",""pt"")"),"Nueva Imperial")</f>
        <v>Nueva Imperial</v>
      </c>
      <c r="B16812" s="9" t="s">
        <v>4436</v>
      </c>
      <c r="C16812" s="9" t="s">
        <v>4355</v>
      </c>
      <c r="D16812" s="9" t="s">
        <v>31794</v>
      </c>
      <c r="E16812" s="10">
        <v>3878456</v>
      </c>
      <c r="F16812" s="4" t="str">
        <f>IF(B16812=B16811,"",B16812)</f>
        <v/>
      </c>
    </row>
    <row r="16813" spans="1:6" ht="15.75" customHeight="1">
      <c r="A16813" s="16" t="s">
        <v>19244</v>
      </c>
      <c r="B16813" s="15" t="s">
        <v>19245</v>
      </c>
      <c r="C16813" s="16" t="s">
        <v>19217</v>
      </c>
      <c r="D16813" s="16" t="s">
        <v>19218</v>
      </c>
      <c r="E16813" s="2">
        <v>3617459</v>
      </c>
      <c r="F16813" s="4" t="str">
        <f>IF(B16813=B16812,"",B16813)</f>
        <v>Nueva Guinea</v>
      </c>
    </row>
    <row r="16814" spans="1:6" ht="15.75" customHeight="1">
      <c r="A16814" s="8" t="str">
        <f ca="1">IFERROR(__xludf.DUMMYFUNCTION("GOOGLETRANSLATE(B37860,""en"",""pt"")"),"Nueva Guiné")</f>
        <v>Nueva Guiné</v>
      </c>
      <c r="B16814" s="9" t="s">
        <v>19245</v>
      </c>
      <c r="C16814" s="9" t="s">
        <v>19217</v>
      </c>
      <c r="D16814" s="9" t="s">
        <v>34808</v>
      </c>
      <c r="E16814" s="10">
        <v>3617459</v>
      </c>
      <c r="F16814" s="4" t="str">
        <f>IF(B16814=B16813,"",B16814)</f>
        <v/>
      </c>
    </row>
    <row r="16815" spans="1:6" ht="15.75" customHeight="1">
      <c r="A16815" s="16" t="s">
        <v>5881</v>
      </c>
      <c r="B16815" s="15" t="s">
        <v>5881</v>
      </c>
      <c r="C16815" s="16" t="s">
        <v>5764</v>
      </c>
      <c r="D16815" s="16" t="s">
        <v>5882</v>
      </c>
      <c r="E16815" s="2">
        <v>3545867</v>
      </c>
      <c r="F16815" s="4" t="str">
        <f>IF(B16815=B16814,"",B16815)</f>
        <v>Nueva Gerona</v>
      </c>
    </row>
    <row r="16816" spans="1:6" ht="15.75" customHeight="1">
      <c r="A16816" s="8" t="str">
        <f ca="1">IFERROR(__xludf.DUMMYFUNCTION("GOOGLETRANSLATE(B27141,""en"",""pt"")"),"Nueva Gerona")</f>
        <v>Nueva Gerona</v>
      </c>
      <c r="B16816" s="9" t="s">
        <v>5881</v>
      </c>
      <c r="C16816" s="9" t="s">
        <v>5764</v>
      </c>
      <c r="D16816" s="9" t="s">
        <v>5882</v>
      </c>
      <c r="E16816" s="10">
        <v>3545867</v>
      </c>
      <c r="F16816" s="4" t="str">
        <f>IF(B16816=B16815,"",B16816)</f>
        <v/>
      </c>
    </row>
    <row r="16817" spans="1:6" ht="15.75" customHeight="1">
      <c r="A16817" s="15" t="s">
        <v>19053</v>
      </c>
      <c r="B16817" s="15" t="s">
        <v>19053</v>
      </c>
      <c r="C16817" s="15" t="s">
        <v>18862</v>
      </c>
      <c r="D16817" s="15" t="s">
        <v>18888</v>
      </c>
      <c r="E16817" s="2">
        <v>2749780</v>
      </c>
      <c r="F16817" s="4" t="str">
        <f>IF(B16817=B16816,"",B16817)</f>
        <v>Nuenen</v>
      </c>
    </row>
    <row r="16818" spans="1:6" ht="15.75" customHeight="1">
      <c r="A16818" s="8" t="str">
        <f ca="1">IFERROR(__xludf.DUMMYFUNCTION("GOOGLETRANSLATE(B37985,""en"",""pt"")"),"Nuenen")</f>
        <v>Nuenen</v>
      </c>
      <c r="B16818" s="11" t="s">
        <v>19053</v>
      </c>
      <c r="C16818" s="11" t="s">
        <v>18862</v>
      </c>
      <c r="D16818" s="11" t="s">
        <v>18888</v>
      </c>
      <c r="E16818" s="10">
        <v>2749780</v>
      </c>
      <c r="F16818" s="4" t="str">
        <f>IF(B16818=B16817,"",B16818)</f>
        <v/>
      </c>
    </row>
    <row r="16819" spans="1:6" ht="15.75" customHeight="1">
      <c r="A16819" s="15" t="s">
        <v>25476</v>
      </c>
      <c r="B16819" s="15" t="s">
        <v>25476</v>
      </c>
      <c r="C16819" s="15" t="s">
        <v>25366</v>
      </c>
      <c r="D16819" s="15" t="s">
        <v>25380</v>
      </c>
      <c r="E16819" s="2">
        <v>166331</v>
      </c>
      <c r="F16819" s="4" t="str">
        <f>IF(B16819=B16818,"",B16819)</f>
        <v>Nubl</v>
      </c>
    </row>
    <row r="16820" spans="1:6" ht="15.75" customHeight="1">
      <c r="A16820" s="8" t="str">
        <f ca="1">IFERROR(__xludf.DUMMYFUNCTION("GOOGLETRANSLATE(B41410,""en"",""pt"")"),"Nubl")</f>
        <v>Nubl</v>
      </c>
      <c r="B16820" s="9" t="s">
        <v>25476</v>
      </c>
      <c r="C16820" s="9" t="s">
        <v>25366</v>
      </c>
      <c r="D16820" s="9" t="s">
        <v>25380</v>
      </c>
      <c r="E16820" s="10">
        <v>166331</v>
      </c>
      <c r="F16820" s="4" t="str">
        <f>IF(B16820=B16819,"",B16820)</f>
        <v/>
      </c>
    </row>
    <row r="16821" spans="1:6" ht="15.75" customHeight="1">
      <c r="A16821" s="16" t="s">
        <v>26858</v>
      </c>
      <c r="B16821" s="15" t="s">
        <v>26858</v>
      </c>
      <c r="C16821" s="16" t="s">
        <v>26820</v>
      </c>
      <c r="D16821" s="16" t="s">
        <v>18803</v>
      </c>
      <c r="E16821" s="2">
        <v>227592</v>
      </c>
      <c r="F16821" s="4" t="str">
        <f>IF(B16821=B16820,"",B16821)</f>
        <v>Ntungamo</v>
      </c>
    </row>
    <row r="16822" spans="1:6" ht="15.75" customHeight="1">
      <c r="A16822" s="16" t="s">
        <v>26858</v>
      </c>
      <c r="B16822" s="15" t="s">
        <v>26858</v>
      </c>
      <c r="C16822" s="16" t="s">
        <v>26820</v>
      </c>
      <c r="D16822" s="16" t="s">
        <v>18803</v>
      </c>
      <c r="E16822" s="2">
        <v>227593</v>
      </c>
      <c r="F16822" s="4" t="str">
        <f>IF(B16822=B16821,"",B16822)</f>
        <v/>
      </c>
    </row>
    <row r="16823" spans="1:6" ht="15.75" customHeight="1">
      <c r="A16823" s="8" t="str">
        <f ca="1">IFERROR(__xludf.DUMMYFUNCTION("GOOGLETRANSLATE(B42731,""en"",""pt"")"),"Ntungamo")</f>
        <v>Ntungamo</v>
      </c>
      <c r="B16823" s="11" t="s">
        <v>26858</v>
      </c>
      <c r="C16823" s="11" t="s">
        <v>26820</v>
      </c>
      <c r="D16823" s="11" t="s">
        <v>18803</v>
      </c>
      <c r="E16823" s="10">
        <v>227592</v>
      </c>
      <c r="F16823" s="4" t="str">
        <f>IF(B16823=B16822,"",B16823)</f>
        <v/>
      </c>
    </row>
    <row r="16824" spans="1:6" ht="15.75" customHeight="1">
      <c r="A16824" s="8" t="str">
        <f ca="1">IFERROR(__xludf.DUMMYFUNCTION("GOOGLETRANSLATE(B42732,""en"",""pt"")"),"Ntungamo")</f>
        <v>Ntungamo</v>
      </c>
      <c r="B16824" s="9" t="s">
        <v>26858</v>
      </c>
      <c r="C16824" s="9" t="s">
        <v>26820</v>
      </c>
      <c r="D16824" s="9" t="s">
        <v>18803</v>
      </c>
      <c r="E16824" s="10">
        <v>227593</v>
      </c>
      <c r="F16824" s="4" t="str">
        <f>IF(B16824=B16823,"",B16824)</f>
        <v/>
      </c>
    </row>
    <row r="16825" spans="1:6" ht="15.75" customHeight="1">
      <c r="A16825" s="15" t="s">
        <v>25726</v>
      </c>
      <c r="B16825" s="15" t="s">
        <v>25726</v>
      </c>
      <c r="C16825" s="15" t="s">
        <v>25560</v>
      </c>
      <c r="D16825" s="15" t="s">
        <v>25570</v>
      </c>
      <c r="E16825" s="2">
        <v>151363</v>
      </c>
      <c r="F16825" s="4" t="str">
        <f>IF(B16825=B16824,"",B16825)</f>
        <v>Nsunga</v>
      </c>
    </row>
    <row r="16826" spans="1:6" ht="15.75" customHeight="1">
      <c r="A16826" s="8" t="str">
        <f ca="1">IFERROR(__xludf.DUMMYFUNCTION("GOOGLETRANSLATE(B42318,""en"",""pt"")"),"Nsunga")</f>
        <v>Nsunga</v>
      </c>
      <c r="B16826" s="9" t="s">
        <v>25726</v>
      </c>
      <c r="C16826" s="9" t="s">
        <v>25560</v>
      </c>
      <c r="D16826" s="9" t="s">
        <v>25570</v>
      </c>
      <c r="E16826" s="10">
        <v>151363</v>
      </c>
      <c r="F16826" s="4" t="str">
        <f>IF(B16826=B16825,"",B16826)</f>
        <v/>
      </c>
    </row>
    <row r="16827" spans="1:6" ht="15.75" customHeight="1">
      <c r="A16827" s="15" t="s">
        <v>19515</v>
      </c>
      <c r="B16827" s="15" t="s">
        <v>19515</v>
      </c>
      <c r="C16827" s="15" t="s">
        <v>19294</v>
      </c>
      <c r="D16827" s="15" t="s">
        <v>19312</v>
      </c>
      <c r="E16827" s="2">
        <v>2328684</v>
      </c>
      <c r="F16827" s="4" t="str">
        <f>IF(B16827=B16826,"",B16827)</f>
        <v>Nsukka</v>
      </c>
    </row>
    <row r="16828" spans="1:6" ht="15.75" customHeight="1">
      <c r="A16828" s="8" t="str">
        <f ca="1">IFERROR(__xludf.DUMMYFUNCTION("GOOGLETRANSLATE(B37668,""en"",""pt"")"),"Nsukka")</f>
        <v>Nsukka</v>
      </c>
      <c r="B16828" s="11" t="s">
        <v>19515</v>
      </c>
      <c r="C16828" s="11" t="s">
        <v>19294</v>
      </c>
      <c r="D16828" s="11" t="s">
        <v>19312</v>
      </c>
      <c r="E16828" s="10">
        <v>2328684</v>
      </c>
      <c r="F16828" s="4" t="str">
        <f>IF(B16828=B16827,"",B16828)</f>
        <v/>
      </c>
    </row>
    <row r="16829" spans="1:6" ht="15.75" customHeight="1">
      <c r="A16829" s="15" t="s">
        <v>25725</v>
      </c>
      <c r="B16829" s="15" t="s">
        <v>25725</v>
      </c>
      <c r="C16829" s="15" t="s">
        <v>25560</v>
      </c>
      <c r="D16829" s="15" t="s">
        <v>25570</v>
      </c>
      <c r="E16829" s="2">
        <v>151373</v>
      </c>
      <c r="F16829" s="4" t="str">
        <f>IF(B16829=B16828,"",B16829)</f>
        <v>Nshamba</v>
      </c>
    </row>
    <row r="16830" spans="1:6" ht="15.75" customHeight="1">
      <c r="A16830" s="8" t="str">
        <f ca="1">IFERROR(__xludf.DUMMYFUNCTION("GOOGLETRANSLATE(B42319,""en"",""pt"")"),"Nshamba")</f>
        <v>Nshamba</v>
      </c>
      <c r="B16830" s="11" t="s">
        <v>25725</v>
      </c>
      <c r="C16830" s="11" t="s">
        <v>25560</v>
      </c>
      <c r="D16830" s="11" t="s">
        <v>25570</v>
      </c>
      <c r="E16830" s="10">
        <v>151373</v>
      </c>
      <c r="F16830" s="4" t="str">
        <f>IF(B16830=B16829,"",B16830)</f>
        <v/>
      </c>
    </row>
    <row r="16831" spans="1:6" ht="15.75" customHeight="1">
      <c r="A16831" s="15" t="s">
        <v>9409</v>
      </c>
      <c r="B16831" s="15" t="s">
        <v>9410</v>
      </c>
      <c r="C16831" s="15" t="s">
        <v>9365</v>
      </c>
      <c r="D16831" s="15" t="s">
        <v>9366</v>
      </c>
      <c r="E16831" s="2">
        <v>2297141</v>
      </c>
      <c r="F16831" s="4" t="str">
        <f>IF(B16831=B16830,"",B16831)</f>
        <v>Nsawam</v>
      </c>
    </row>
    <row r="16832" spans="1:6" ht="15.75" customHeight="1">
      <c r="A16832" s="8" t="str">
        <f ca="1">IFERROR(__xludf.DUMMYFUNCTION("GOOGLETRANSLATE(B30880,""en"",""pt"")"),"NSAWAM")</f>
        <v>NSAWAM</v>
      </c>
      <c r="B16832" s="9" t="s">
        <v>9410</v>
      </c>
      <c r="C16832" s="9" t="s">
        <v>9365</v>
      </c>
      <c r="D16832" s="9" t="s">
        <v>9366</v>
      </c>
      <c r="E16832" s="10">
        <v>2297141</v>
      </c>
      <c r="F16832" s="4" t="str">
        <f>IF(B16832=B16831,"",B16832)</f>
        <v/>
      </c>
    </row>
    <row r="16833" spans="1:6" ht="15.75" customHeight="1">
      <c r="A16833" s="15" t="s">
        <v>17427</v>
      </c>
      <c r="B16833" s="15" t="s">
        <v>17427</v>
      </c>
      <c r="C16833" s="15" t="s">
        <v>17410</v>
      </c>
      <c r="D16833" s="15" t="s">
        <v>17411</v>
      </c>
      <c r="E16833" s="2">
        <v>924572</v>
      </c>
      <c r="F16833" s="4" t="str">
        <f>IF(B16833=B16832,"",B16833)</f>
        <v>Nsanje</v>
      </c>
    </row>
    <row r="16834" spans="1:6" ht="15.75" customHeight="1">
      <c r="A16834" s="8" t="str">
        <f ca="1">IFERROR(__xludf.DUMMYFUNCTION("GOOGLETRANSLATE(B36828,""en"",""pt"")"),"Nsanje")</f>
        <v>Nsanje</v>
      </c>
      <c r="B16834" s="9" t="s">
        <v>17427</v>
      </c>
      <c r="C16834" s="9" t="s">
        <v>17410</v>
      </c>
      <c r="D16834" s="9" t="s">
        <v>17411</v>
      </c>
      <c r="E16834" s="10">
        <v>924572</v>
      </c>
      <c r="F16834" s="4" t="str">
        <f>IF(B16834=B16833,"",B16834)</f>
        <v/>
      </c>
    </row>
    <row r="16835" spans="1:6" ht="15.75" customHeight="1">
      <c r="A16835" s="15" t="s">
        <v>7652</v>
      </c>
      <c r="B16835" s="15" t="s">
        <v>7652</v>
      </c>
      <c r="C16835" s="15" t="s">
        <v>7052</v>
      </c>
      <c r="D16835" s="15" t="s">
        <v>7078</v>
      </c>
      <c r="E16835" s="2">
        <v>2989877</v>
      </c>
      <c r="F16835" s="4" t="str">
        <f>IF(B16835=B16834,"",B16835)</f>
        <v>Noyon</v>
      </c>
    </row>
    <row r="16836" spans="1:6" ht="15.75" customHeight="1">
      <c r="A16836" s="8" t="str">
        <f ca="1">IFERROR(__xludf.DUMMYFUNCTION("GOOGLETRANSLATE(B29873,""en"",""pt"")"),"Noyon")</f>
        <v>Noyon</v>
      </c>
      <c r="B16836" s="9" t="s">
        <v>7652</v>
      </c>
      <c r="C16836" s="9" t="s">
        <v>7052</v>
      </c>
      <c r="D16836" s="9" t="s">
        <v>7078</v>
      </c>
      <c r="E16836" s="10">
        <v>2989877</v>
      </c>
      <c r="F16836" s="4" t="str">
        <f>IF(B16836=B16835,"",B16836)</f>
        <v/>
      </c>
    </row>
    <row r="16837" spans="1:6" ht="15.75" customHeight="1">
      <c r="A16837" s="15" t="s">
        <v>22872</v>
      </c>
      <c r="B16837" s="15" t="s">
        <v>22872</v>
      </c>
      <c r="C16837" s="15" t="s">
        <v>22070</v>
      </c>
      <c r="D16837" s="15" t="s">
        <v>22414</v>
      </c>
      <c r="E16837" s="2">
        <v>1496503</v>
      </c>
      <c r="F16837" s="4" t="str">
        <f>IF(B16837=B16836,"",B16837)</f>
        <v>Noyabrsk</v>
      </c>
    </row>
    <row r="16838" spans="1:6" ht="15.75" customHeight="1">
      <c r="A16838" s="8" t="str">
        <f ca="1">IFERROR(__xludf.DUMMYFUNCTION("GOOGLETRANSLATE(B40780,""en"",""pt"")"),"Noyabrsk")</f>
        <v>Noyabrsk</v>
      </c>
      <c r="B16838" s="9" t="s">
        <v>22872</v>
      </c>
      <c r="C16838" s="9" t="s">
        <v>22070</v>
      </c>
      <c r="D16838" s="9" t="s">
        <v>22414</v>
      </c>
      <c r="E16838" s="10">
        <v>1496503</v>
      </c>
      <c r="F16838" s="4" t="str">
        <f>IF(B16838=B16837,"",B16838)</f>
        <v/>
      </c>
    </row>
    <row r="16839" spans="1:6" ht="15.75" customHeight="1">
      <c r="A16839" s="8" t="str">
        <f ca="1">IFERROR(__xludf.DUMMYFUNCTION("GOOGLETRANSLATE(B39394,""en"",""pt"")"),"Nowy Tomyśl")</f>
        <v>Nowy Tomyśl</v>
      </c>
      <c r="B16839" s="11" t="s">
        <v>35189</v>
      </c>
      <c r="C16839" s="11" t="s">
        <v>21064</v>
      </c>
      <c r="D16839" s="11" t="s">
        <v>21112</v>
      </c>
      <c r="E16839" s="10">
        <v>3090452</v>
      </c>
      <c r="F16839" s="4" t="str">
        <f>IF(B16839=B16838,"",B16839)</f>
        <v>Nowy Tomyśl</v>
      </c>
    </row>
    <row r="16840" spans="1:6" ht="15.75" customHeight="1">
      <c r="A16840" s="16" t="s">
        <v>21381</v>
      </c>
      <c r="B16840" s="15" t="s">
        <v>21382</v>
      </c>
      <c r="C16840" s="16" t="s">
        <v>21064</v>
      </c>
      <c r="D16840" s="16" t="s">
        <v>21112</v>
      </c>
      <c r="E16840" s="2">
        <v>3090452</v>
      </c>
      <c r="F16840" s="4" t="str">
        <f>IF(B16840=B16839,"",B16840)</f>
        <v>Nowy TomyÅ›l</v>
      </c>
    </row>
    <row r="16841" spans="1:6" ht="15.75" customHeight="1">
      <c r="A16841" s="16" t="s">
        <v>21380</v>
      </c>
      <c r="B16841" s="15" t="s">
        <v>21380</v>
      </c>
      <c r="C16841" s="16" t="s">
        <v>21064</v>
      </c>
      <c r="D16841" s="16" t="s">
        <v>21108</v>
      </c>
      <c r="E16841" s="2">
        <v>763523</v>
      </c>
      <c r="F16841" s="4" t="str">
        <f>IF(B16841=B16840,"",B16841)</f>
        <v>Nowy Targ</v>
      </c>
    </row>
    <row r="16842" spans="1:6" ht="15.75" customHeight="1">
      <c r="A16842" s="8" t="str">
        <f ca="1">IFERROR(__xludf.DUMMYFUNCTION("GOOGLETRANSLATE(B39237,""en"",""pt"")"),"Nowy Targ")</f>
        <v>Nowy Targ</v>
      </c>
      <c r="B16842" s="9" t="s">
        <v>21380</v>
      </c>
      <c r="C16842" s="9" t="s">
        <v>21064</v>
      </c>
      <c r="D16842" s="9" t="s">
        <v>21108</v>
      </c>
      <c r="E16842" s="10">
        <v>763523</v>
      </c>
      <c r="F16842" s="4" t="str">
        <f>IF(B16842=B16841,"",B16842)</f>
        <v/>
      </c>
    </row>
    <row r="16843" spans="1:6" ht="15.75" customHeight="1">
      <c r="A16843" s="8" t="str">
        <f ca="1">IFERROR(__xludf.DUMMYFUNCTION("GOOGLETRANSLATE(B39238,""en"",""pt"")"),"Nowy Sącz")</f>
        <v>Nowy Sącz</v>
      </c>
      <c r="B16843" s="11" t="s">
        <v>35096</v>
      </c>
      <c r="C16843" s="11" t="s">
        <v>21064</v>
      </c>
      <c r="D16843" s="11" t="s">
        <v>21108</v>
      </c>
      <c r="E16843" s="10">
        <v>763534</v>
      </c>
      <c r="F16843" s="4" t="str">
        <f>IF(B16843=B16842,"",B16843)</f>
        <v>Nowy Sącz</v>
      </c>
    </row>
    <row r="16844" spans="1:6" ht="15.75" customHeight="1">
      <c r="A16844" s="16" t="s">
        <v>21378</v>
      </c>
      <c r="B16844" s="15" t="s">
        <v>21379</v>
      </c>
      <c r="C16844" s="16" t="s">
        <v>21064</v>
      </c>
      <c r="D16844" s="16" t="s">
        <v>21108</v>
      </c>
      <c r="E16844" s="2">
        <v>763534</v>
      </c>
      <c r="F16844" s="4" t="str">
        <f>IF(B16844=B16843,"",B16844)</f>
        <v>Nowy SÄ…cz</v>
      </c>
    </row>
    <row r="16845" spans="1:6" ht="15.75" customHeight="1">
      <c r="A16845" s="8" t="str">
        <f ca="1">IFERROR(__xludf.DUMMYFUNCTION("GOOGLETRANSLATE(B39239,""en"",""pt"")"),"Nowy Dwór Mazowiecki")</f>
        <v>Nowy Dwór Mazowiecki</v>
      </c>
      <c r="B16845" s="11" t="s">
        <v>35097</v>
      </c>
      <c r="C16845" s="11" t="s">
        <v>21064</v>
      </c>
      <c r="D16845" s="11" t="s">
        <v>21070</v>
      </c>
      <c r="E16845" s="10">
        <v>763556</v>
      </c>
      <c r="F16845" s="4" t="str">
        <f>IF(B16845=B16844,"",B16845)</f>
        <v>Nowy Dwór Mazowiecki</v>
      </c>
    </row>
    <row r="16846" spans="1:6" ht="15.75" customHeight="1">
      <c r="A16846" s="16" t="s">
        <v>21376</v>
      </c>
      <c r="B16846" s="15" t="s">
        <v>21377</v>
      </c>
      <c r="C16846" s="16" t="s">
        <v>21064</v>
      </c>
      <c r="D16846" s="16" t="s">
        <v>21070</v>
      </c>
      <c r="E16846" s="2">
        <v>763556</v>
      </c>
      <c r="F16846" s="4" t="str">
        <f>IF(B16846=B16845,"",B16846)</f>
        <v>Nowy DwÃ³r Mazowiecki</v>
      </c>
    </row>
    <row r="16847" spans="1:6" ht="15.75" customHeight="1">
      <c r="A16847" s="16" t="s">
        <v>20140</v>
      </c>
      <c r="B16847" s="15" t="s">
        <v>20141</v>
      </c>
      <c r="C16847" s="16" t="s">
        <v>19808</v>
      </c>
      <c r="D16847" s="16" t="s">
        <v>19811</v>
      </c>
      <c r="E16847" s="2">
        <v>1341204</v>
      </c>
      <c r="F16847" s="4" t="str">
        <f>IF(B16847=B16846,"",B16847)</f>
        <v>Nowshera Cantonment</v>
      </c>
    </row>
    <row r="16848" spans="1:6" ht="15.75" customHeight="1">
      <c r="A16848" s="8" t="str">
        <f ca="1">IFERROR(__xludf.DUMMYFUNCTION("GOOGLETRANSLATE(B39168,""en"",""pt"")"),"Cantonamento nothera")</f>
        <v>Cantonamento nothera</v>
      </c>
      <c r="B16848" s="9" t="s">
        <v>20141</v>
      </c>
      <c r="C16848" s="9" t="s">
        <v>19808</v>
      </c>
      <c r="D16848" s="9" t="s">
        <v>19811</v>
      </c>
      <c r="E16848" s="10">
        <v>1341204</v>
      </c>
      <c r="F16848" s="4" t="str">
        <f>IF(B16848=B16847,"",B16848)</f>
        <v/>
      </c>
    </row>
    <row r="16849" spans="1:6" ht="15.75" customHeight="1">
      <c r="A16849" s="15" t="s">
        <v>14479</v>
      </c>
      <c r="B16849" s="15" t="s">
        <v>14480</v>
      </c>
      <c r="C16849" s="15" t="s">
        <v>14240</v>
      </c>
      <c r="D16849" s="15" t="s">
        <v>14253</v>
      </c>
      <c r="E16849" s="2">
        <v>121959</v>
      </c>
      <c r="F16849" s="4" t="str">
        <f>IF(B16849=B16848,"",B16849)</f>
        <v>Nowshahr</v>
      </c>
    </row>
    <row r="16850" spans="1:6" ht="15.75" customHeight="1">
      <c r="A16850" s="8" t="str">
        <f ca="1">IFERROR(__xludf.DUMMYFUNCTION("GOOGLETRANSLATE(B34404,""en"",""pt"")"),"Nothahr")</f>
        <v>Nothahr</v>
      </c>
      <c r="B16850" s="9" t="s">
        <v>14480</v>
      </c>
      <c r="C16850" s="9" t="s">
        <v>14240</v>
      </c>
      <c r="D16850" s="9" t="s">
        <v>34132</v>
      </c>
      <c r="E16850" s="10">
        <v>121959</v>
      </c>
      <c r="F16850" s="4" t="str">
        <f>IF(B16850=B16849,"",B16850)</f>
        <v/>
      </c>
    </row>
    <row r="16851" spans="1:6" ht="15.75" customHeight="1">
      <c r="A16851" s="16" t="s">
        <v>12680</v>
      </c>
      <c r="B16851" s="15" t="s">
        <v>12680</v>
      </c>
      <c r="C16851" s="16" t="s">
        <v>10178</v>
      </c>
      <c r="D16851" s="16" t="s">
        <v>10229</v>
      </c>
      <c r="E16851" s="2">
        <v>1261162</v>
      </c>
      <c r="F16851" s="4" t="str">
        <f>IF(B16851=B16850,"",B16851)</f>
        <v>Nowrangapur</v>
      </c>
    </row>
    <row r="16852" spans="1:6" ht="15.75" customHeight="1">
      <c r="A16852" s="8" t="str">
        <f ca="1">IFERROR(__xludf.DUMMYFUNCTION("GOOGLETRANSLATE(B32588,""en"",""pt"")"),"Nowrangapur")</f>
        <v>Nowrangapur</v>
      </c>
      <c r="B16852" s="11" t="s">
        <v>12680</v>
      </c>
      <c r="C16852" s="11" t="s">
        <v>10178</v>
      </c>
      <c r="D16852" s="11" t="s">
        <v>10229</v>
      </c>
      <c r="E16852" s="10">
        <v>1261162</v>
      </c>
      <c r="F16852" s="4" t="str">
        <f>IF(B16852=B16851,"",B16852)</f>
        <v/>
      </c>
    </row>
    <row r="16853" spans="1:6" ht="15.75" customHeight="1">
      <c r="A16853" s="15" t="s">
        <v>1051</v>
      </c>
      <c r="B16853" s="15" t="s">
        <v>1051</v>
      </c>
      <c r="C16853" s="15" t="s">
        <v>885</v>
      </c>
      <c r="D16853" s="15" t="s">
        <v>891</v>
      </c>
      <c r="E16853" s="2">
        <v>2154787</v>
      </c>
      <c r="F16853" s="4" t="str">
        <f>IF(B16853=B16852,"",B16853)</f>
        <v>Nowra</v>
      </c>
    </row>
    <row r="16854" spans="1:6" ht="15.75" customHeight="1">
      <c r="A16854" s="8" t="str">
        <f ca="1">IFERROR(__xludf.DUMMYFUNCTION("GOOGLETRANSLATE(B23467,""en"",""pt"")"),"Nowra")</f>
        <v>Nowra</v>
      </c>
      <c r="B16854" s="9" t="s">
        <v>1051</v>
      </c>
      <c r="C16854" s="9" t="s">
        <v>885</v>
      </c>
      <c r="D16854" s="9" t="s">
        <v>891</v>
      </c>
      <c r="E16854" s="10">
        <v>2154787</v>
      </c>
      <c r="F16854" s="4" t="str">
        <f>IF(B16854=B16853,"",B16854)</f>
        <v/>
      </c>
    </row>
    <row r="16855" spans="1:6" ht="15.75" customHeight="1">
      <c r="A16855" s="16" t="s">
        <v>21375</v>
      </c>
      <c r="B16855" s="15" t="s">
        <v>21375</v>
      </c>
      <c r="C16855" s="16" t="s">
        <v>21064</v>
      </c>
      <c r="D16855" s="16" t="s">
        <v>21121</v>
      </c>
      <c r="E16855" s="2">
        <v>3090558</v>
      </c>
      <c r="F16855" s="4" t="str">
        <f>IF(B16855=B16854,"",B16855)</f>
        <v>Nowogard</v>
      </c>
    </row>
    <row r="16856" spans="1:6" ht="15.75" customHeight="1">
      <c r="A16856" s="8" t="str">
        <f ca="1">IFERROR(__xludf.DUMMYFUNCTION("GOOGLETRANSLATE(B39395,""en"",""pt"")"),"Nowogard")</f>
        <v>Nowogard</v>
      </c>
      <c r="B16856" s="9" t="s">
        <v>21375</v>
      </c>
      <c r="C16856" s="9" t="s">
        <v>21064</v>
      </c>
      <c r="D16856" s="9" t="s">
        <v>21121</v>
      </c>
      <c r="E16856" s="10">
        <v>3090558</v>
      </c>
      <c r="F16856" s="4" t="str">
        <f>IF(B16856=B16855,"",B16856)</f>
        <v/>
      </c>
    </row>
    <row r="16857" spans="1:6" ht="15.75" customHeight="1">
      <c r="A16857" s="8" t="str">
        <f ca="1">IFERROR(__xludf.DUMMYFUNCTION("GOOGLETRANSLATE(B39396,""en"",""pt"")"),"Nowa sól")</f>
        <v>Nowa sól</v>
      </c>
      <c r="B16857" s="11" t="s">
        <v>35190</v>
      </c>
      <c r="C16857" s="11" t="s">
        <v>21064</v>
      </c>
      <c r="D16857" s="11" t="s">
        <v>21065</v>
      </c>
      <c r="E16857" s="10">
        <v>3090764</v>
      </c>
      <c r="F16857" s="4" t="str">
        <f>IF(B16857=B16856,"",B16857)</f>
        <v>Nowa Sól</v>
      </c>
    </row>
    <row r="16858" spans="1:6" ht="15.75" customHeight="1">
      <c r="A16858" s="15" t="s">
        <v>21373</v>
      </c>
      <c r="B16858" s="15" t="s">
        <v>21374</v>
      </c>
      <c r="C16858" s="15" t="s">
        <v>21064</v>
      </c>
      <c r="D16858" s="15" t="s">
        <v>21065</v>
      </c>
      <c r="E16858" s="2">
        <v>3090764</v>
      </c>
      <c r="F16858" s="4" t="str">
        <f>IF(B16858=B16857,"",B16858)</f>
        <v>Nowa SÃ³l</v>
      </c>
    </row>
    <row r="16859" spans="1:6" ht="15.75" customHeight="1">
      <c r="A16859" s="16" t="s">
        <v>21371</v>
      </c>
      <c r="B16859" s="15" t="s">
        <v>21372</v>
      </c>
      <c r="C16859" s="16" t="s">
        <v>21064</v>
      </c>
      <c r="D16859" s="16" t="s">
        <v>21118</v>
      </c>
      <c r="E16859" s="2">
        <v>3090768</v>
      </c>
      <c r="F16859" s="4" t="str">
        <f>IF(B16859=B16858,"",B16859)</f>
        <v>Nowa Ruda</v>
      </c>
    </row>
    <row r="16860" spans="1:6" ht="15.75" customHeight="1">
      <c r="A16860" s="8" t="str">
        <f ca="1">IFERROR(__xludf.DUMMYFUNCTION("GOOGLETRANSLATE(B39397,""en"",""pt"")"),"Agora Ruda")</f>
        <v>Agora Ruda</v>
      </c>
      <c r="B16860" s="9" t="s">
        <v>21372</v>
      </c>
      <c r="C16860" s="9" t="s">
        <v>21064</v>
      </c>
      <c r="D16860" s="9" t="s">
        <v>21118</v>
      </c>
      <c r="E16860" s="10">
        <v>3090768</v>
      </c>
      <c r="F16860" s="4" t="str">
        <f>IF(B16860=B16859,"",B16860)</f>
        <v/>
      </c>
    </row>
    <row r="16861" spans="1:6" ht="15.75" customHeight="1">
      <c r="A16861" s="16" t="s">
        <v>22870</v>
      </c>
      <c r="B16861" s="15" t="s">
        <v>22871</v>
      </c>
      <c r="C16861" s="16" t="s">
        <v>22070</v>
      </c>
      <c r="D16861" s="16" t="s">
        <v>22127</v>
      </c>
      <c r="E16861" s="2">
        <v>517121</v>
      </c>
      <c r="F16861" s="4" t="str">
        <f>IF(B16861=B16860,"",B16861)</f>
        <v>Novyye Kuzâ€™minki</v>
      </c>
    </row>
    <row r="16862" spans="1:6" ht="15.75" customHeight="1">
      <c r="A16862" s="8" t="str">
        <f ca="1">IFERROR(__xludf.DUMMYFUNCTION("GOOGLETRANSLATE(B40247,""en"",""pt"")"),"Novyye Kuz'Minki")</f>
        <v>Novyye Kuz'Minki</v>
      </c>
      <c r="B16862" s="9" t="s">
        <v>35479</v>
      </c>
      <c r="C16862" s="9" t="s">
        <v>22070</v>
      </c>
      <c r="D16862" s="9" t="s">
        <v>22127</v>
      </c>
      <c r="E16862" s="10">
        <v>517121</v>
      </c>
      <c r="F16862" s="4" t="str">
        <f>IF(B16862=B16861,"",B16862)</f>
        <v>Novyye Kuz’minki</v>
      </c>
    </row>
    <row r="16863" spans="1:6" ht="15.75" customHeight="1">
      <c r="A16863" s="8" t="str">
        <f ca="1">IFERROR(__xludf.DUMMYFUNCTION("GOOGLETRANSLATE(B40248,""en"",""pt"")"),"Novyye Cherëmushki")</f>
        <v>Novyye Cherëmushki</v>
      </c>
      <c r="B16863" s="11" t="s">
        <v>35480</v>
      </c>
      <c r="C16863" s="11" t="s">
        <v>22070</v>
      </c>
      <c r="D16863" s="11" t="s">
        <v>22127</v>
      </c>
      <c r="E16863" s="10">
        <v>517161</v>
      </c>
      <c r="F16863" s="4" t="str">
        <f>IF(B16863=B16862,"",B16863)</f>
        <v>Novyye Cherëmushki</v>
      </c>
    </row>
    <row r="16864" spans="1:6" ht="15.75" customHeight="1">
      <c r="A16864" s="16" t="s">
        <v>22868</v>
      </c>
      <c r="B16864" s="15" t="s">
        <v>22869</v>
      </c>
      <c r="C16864" s="16" t="s">
        <v>22070</v>
      </c>
      <c r="D16864" s="16" t="s">
        <v>22127</v>
      </c>
      <c r="E16864" s="2">
        <v>517161</v>
      </c>
      <c r="F16864" s="4" t="str">
        <f>IF(B16864=B16863,"",B16864)</f>
        <v>Novyye CherÃ«mushki</v>
      </c>
    </row>
    <row r="16865" spans="1:6" ht="15.75" customHeight="1">
      <c r="A16865" s="16" t="s">
        <v>22867</v>
      </c>
      <c r="B16865" s="15" t="s">
        <v>22867</v>
      </c>
      <c r="C16865" s="16" t="s">
        <v>22070</v>
      </c>
      <c r="D16865" s="16" t="s">
        <v>22414</v>
      </c>
      <c r="E16865" s="2">
        <v>1496511</v>
      </c>
      <c r="F16865" s="4" t="str">
        <f>IF(B16865=B16864,"",B16865)</f>
        <v>Novyy Urengoy</v>
      </c>
    </row>
    <row r="16866" spans="1:6" ht="15.75" customHeight="1">
      <c r="A16866" s="8" t="str">
        <f ca="1">IFERROR(__xludf.DUMMYFUNCTION("GOOGLETRANSLATE(B40781,""en"",""pt"")"),"Novyy Urengoy")</f>
        <v>Novyy Urengoy</v>
      </c>
      <c r="B16866" s="9" t="s">
        <v>22867</v>
      </c>
      <c r="C16866" s="9" t="s">
        <v>22070</v>
      </c>
      <c r="D16866" s="9" t="s">
        <v>22414</v>
      </c>
      <c r="E16866" s="10">
        <v>1496511</v>
      </c>
      <c r="F16866" s="4" t="str">
        <f>IF(B16866=B16865,"",B16866)</f>
        <v/>
      </c>
    </row>
    <row r="16867" spans="1:6" ht="15.75" customHeight="1">
      <c r="A16867" s="16" t="s">
        <v>30569</v>
      </c>
      <c r="B16867" s="15" t="s">
        <v>30570</v>
      </c>
      <c r="C16867" s="16" t="s">
        <v>30502</v>
      </c>
      <c r="D16867" s="16" t="s">
        <v>30511</v>
      </c>
      <c r="E16867" s="2">
        <v>1513092</v>
      </c>
      <c r="F16867" s="4" t="str">
        <f>IF(B16867=B16866,"",B16867)</f>
        <v>Novyy Turtkulâ€™</v>
      </c>
    </row>
    <row r="16868" spans="1:6" ht="15.75" customHeight="1">
      <c r="A16868" s="8" t="str">
        <f ca="1">IFERROR(__xludf.DUMMYFUNCTION("GOOGLETRANSLATE(B45558,""en"",""pt"")"),"Novyy Turtkul '")</f>
        <v>Novyy Turtkul '</v>
      </c>
      <c r="B16868" s="9" t="s">
        <v>36073</v>
      </c>
      <c r="C16868" s="9" t="s">
        <v>30502</v>
      </c>
      <c r="D16868" s="9" t="s">
        <v>30511</v>
      </c>
      <c r="E16868" s="10">
        <v>1513092</v>
      </c>
      <c r="F16868" s="4" t="str">
        <f>IF(B16868=B16867,"",B16868)</f>
        <v>Novyy Turtkul’</v>
      </c>
    </row>
    <row r="16869" spans="1:6" ht="15.75" customHeight="1">
      <c r="A16869" s="16" t="s">
        <v>22866</v>
      </c>
      <c r="B16869" s="15" t="s">
        <v>22866</v>
      </c>
      <c r="C16869" s="16" t="s">
        <v>22070</v>
      </c>
      <c r="D16869" s="16" t="s">
        <v>22120</v>
      </c>
      <c r="E16869" s="2">
        <v>516931</v>
      </c>
      <c r="F16869" s="4" t="str">
        <f>IF(B16869=B16868,"",B16869)</f>
        <v>Novyy Oskol</v>
      </c>
    </row>
    <row r="16870" spans="1:6" ht="15.75" customHeight="1">
      <c r="A16870" s="8" t="str">
        <f ca="1">IFERROR(__xludf.DUMMYFUNCTION("GOOGLETRANSLATE(B40246,""en"",""pt"")"),"Novyy Oskol")</f>
        <v>Novyy Oskol</v>
      </c>
      <c r="B16870" s="9" t="s">
        <v>22866</v>
      </c>
      <c r="C16870" s="9" t="s">
        <v>22070</v>
      </c>
      <c r="D16870" s="9" t="s">
        <v>22120</v>
      </c>
      <c r="E16870" s="10">
        <v>516931</v>
      </c>
      <c r="F16870" s="4" t="str">
        <f>IF(B16870=B16869,"",B16870)</f>
        <v/>
      </c>
    </row>
    <row r="16871" spans="1:6" ht="15.75" customHeight="1">
      <c r="A16871" s="16" t="s">
        <v>27093</v>
      </c>
      <c r="B16871" s="15" t="s">
        <v>27093</v>
      </c>
      <c r="C16871" s="16" t="s">
        <v>26870</v>
      </c>
      <c r="D16871" s="16" t="s">
        <v>27075</v>
      </c>
      <c r="E16871" s="2">
        <v>698953</v>
      </c>
      <c r="F16871" s="4" t="str">
        <f>IF(B16871=B16870,"",B16871)</f>
        <v>Novyy Buh</v>
      </c>
    </row>
    <row r="16872" spans="1:6" ht="15.75" customHeight="1">
      <c r="A16872" s="8" t="str">
        <f ca="1">IFERROR(__xludf.DUMMYFUNCTION("GOOGLETRANSLATE(B42562,""en"",""pt"")"),"Novyy Buh")</f>
        <v>Novyy Buh</v>
      </c>
      <c r="B16872" s="11" t="s">
        <v>27093</v>
      </c>
      <c r="C16872" s="11" t="s">
        <v>26870</v>
      </c>
      <c r="D16872" s="11" t="s">
        <v>27075</v>
      </c>
      <c r="E16872" s="10">
        <v>698953</v>
      </c>
      <c r="F16872" s="4" t="str">
        <f>IF(B16872=B16871,"",B16872)</f>
        <v/>
      </c>
    </row>
    <row r="16873" spans="1:6" ht="15.75" customHeight="1">
      <c r="A16873" s="8" t="str">
        <f ca="1">IFERROR(__xludf.DUMMYFUNCTION("GOOGLETRANSLATE(B27285,""en"",""pt"")"),"Nový Jičín")</f>
        <v>Nový Jičín</v>
      </c>
      <c r="B16873" s="9" t="s">
        <v>31970</v>
      </c>
      <c r="C16873" s="9" t="s">
        <v>5947</v>
      </c>
      <c r="D16873" s="9" t="s">
        <v>31952</v>
      </c>
      <c r="E16873" s="10">
        <v>3069305</v>
      </c>
      <c r="F16873" s="4" t="str">
        <f>IF(B16873=B16872,"",B16873)</f>
        <v>Nový Jičín</v>
      </c>
    </row>
    <row r="16874" spans="1:6" ht="15.75" customHeight="1">
      <c r="A16874" s="16" t="s">
        <v>22865</v>
      </c>
      <c r="B16874" s="15" t="s">
        <v>22865</v>
      </c>
      <c r="C16874" s="16" t="s">
        <v>22070</v>
      </c>
      <c r="D16874" s="16" t="s">
        <v>22272</v>
      </c>
      <c r="E16874" s="2">
        <v>517269</v>
      </c>
      <c r="F16874" s="4" t="str">
        <f>IF(B16874=B16873,"",B16874)</f>
        <v>Novozybkov</v>
      </c>
    </row>
    <row r="16875" spans="1:6" ht="15.75" customHeight="1">
      <c r="A16875" s="8" t="str">
        <f ca="1">IFERROR(__xludf.DUMMYFUNCTION("GOOGLETRANSLATE(B40249,""en"",""pt"")"),"Novozybkov")</f>
        <v>Novozybkov</v>
      </c>
      <c r="B16875" s="9" t="s">
        <v>22865</v>
      </c>
      <c r="C16875" s="9" t="s">
        <v>22070</v>
      </c>
      <c r="D16875" s="9" t="s">
        <v>22272</v>
      </c>
      <c r="E16875" s="10">
        <v>517269</v>
      </c>
      <c r="F16875" s="4" t="str">
        <f>IF(B16875=B16874,"",B16875)</f>
        <v/>
      </c>
    </row>
    <row r="16876" spans="1:6" ht="15.75" customHeight="1">
      <c r="A16876" s="16" t="s">
        <v>1491</v>
      </c>
      <c r="B16876" s="15" t="s">
        <v>1491</v>
      </c>
      <c r="C16876" s="16" t="s">
        <v>1453</v>
      </c>
      <c r="D16876" s="16" t="s">
        <v>1483</v>
      </c>
      <c r="E16876" s="2">
        <v>624400</v>
      </c>
      <c r="F16876" s="4" t="str">
        <f>IF(B16876=B16875,"",B16876)</f>
        <v>Novoye Medvezhino</v>
      </c>
    </row>
    <row r="16877" spans="1:6" ht="15.75" customHeight="1">
      <c r="A16877" s="8" t="str">
        <f ca="1">IFERROR(__xludf.DUMMYFUNCTION("GOOGLETRANSLATE(B25388,""en"",""pt"")"),"Novoye Medvezhino")</f>
        <v>Novoye Medvezhino</v>
      </c>
      <c r="B16877" s="9" t="s">
        <v>1491</v>
      </c>
      <c r="C16877" s="9" t="s">
        <v>1453</v>
      </c>
      <c r="D16877" s="9" t="s">
        <v>1483</v>
      </c>
      <c r="E16877" s="10">
        <v>624400</v>
      </c>
      <c r="F16877" s="4" t="str">
        <f>IF(B16877=B16876,"",B16877)</f>
        <v/>
      </c>
    </row>
    <row r="16878" spans="1:6" ht="15.75" customHeight="1">
      <c r="A16878" s="16" t="s">
        <v>27091</v>
      </c>
      <c r="B16878" s="15" t="s">
        <v>27092</v>
      </c>
      <c r="C16878" s="16" t="s">
        <v>26870</v>
      </c>
      <c r="D16878" s="16" t="s">
        <v>26916</v>
      </c>
      <c r="E16878" s="2">
        <v>8468760</v>
      </c>
      <c r="F16878" s="4" t="str">
        <f>IF(B16878=B16877,"",B16878)</f>
        <v>Novoyavorivs'k</v>
      </c>
    </row>
    <row r="16879" spans="1:6" ht="15.75" customHeight="1">
      <c r="A16879" s="8" t="str">
        <f ca="1">IFERROR(__xludf.DUMMYFUNCTION("GOOGLETRANSLATE(B42722,""en"",""pt"")"),"Novoy Savorivs'k")</f>
        <v>Novoy Savorivs'k</v>
      </c>
      <c r="B16879" s="11" t="s">
        <v>27092</v>
      </c>
      <c r="C16879" s="11" t="s">
        <v>26870</v>
      </c>
      <c r="D16879" s="11" t="s">
        <v>26916</v>
      </c>
      <c r="E16879" s="10">
        <v>8468760</v>
      </c>
      <c r="F16879" s="4" t="str">
        <f>IF(B16879=B16878,"",B16879)</f>
        <v/>
      </c>
    </row>
    <row r="16880" spans="1:6" ht="15.75" customHeight="1">
      <c r="A16880" s="16" t="s">
        <v>22864</v>
      </c>
      <c r="B16880" s="15" t="s">
        <v>22864</v>
      </c>
      <c r="C16880" s="16" t="s">
        <v>22070</v>
      </c>
      <c r="D16880" s="16" t="s">
        <v>22137</v>
      </c>
      <c r="E16880" s="2">
        <v>517716</v>
      </c>
      <c r="F16880" s="4" t="str">
        <f>IF(B16880=B16879,"",B16880)</f>
        <v>Novovoronezh</v>
      </c>
    </row>
    <row r="16881" spans="1:6" ht="15.75" customHeight="1">
      <c r="A16881" s="8" t="str">
        <f ca="1">IFERROR(__xludf.DUMMYFUNCTION("GOOGLETRANSLATE(B40250,""en"",""pt"")"),"Novovoronezh")</f>
        <v>Novovoronezh</v>
      </c>
      <c r="B16881" s="9" t="s">
        <v>22864</v>
      </c>
      <c r="C16881" s="9" t="s">
        <v>22070</v>
      </c>
      <c r="D16881" s="9" t="s">
        <v>22137</v>
      </c>
      <c r="E16881" s="10">
        <v>517716</v>
      </c>
      <c r="F16881" s="4" t="str">
        <f>IF(B16881=B16880,"",B16881)</f>
        <v/>
      </c>
    </row>
    <row r="16882" spans="1:6" ht="15.75" customHeight="1">
      <c r="A16882" s="16" t="s">
        <v>27089</v>
      </c>
      <c r="B16882" s="15" t="s">
        <v>27090</v>
      </c>
      <c r="C16882" s="16" t="s">
        <v>26870</v>
      </c>
      <c r="D16882" s="16" t="s">
        <v>27007</v>
      </c>
      <c r="E16882" s="2">
        <v>699035</v>
      </c>
      <c r="F16882" s="4" t="str">
        <f>IF(B16882=B16881,"",B16882)</f>
        <v>Novovolynsâ€™k</v>
      </c>
    </row>
    <row r="16883" spans="1:6" ht="15.75" customHeight="1">
      <c r="A16883" s="8" t="str">
        <f ca="1">IFERROR(__xludf.DUMMYFUNCTION("GOOGLETRANSLATE(B42563,""en"",""pt"")"),"Novovolyns'k")</f>
        <v>Novovolyns'k</v>
      </c>
      <c r="B16883" s="9" t="s">
        <v>36005</v>
      </c>
      <c r="C16883" s="9" t="s">
        <v>26870</v>
      </c>
      <c r="D16883" s="9" t="s">
        <v>27007</v>
      </c>
      <c r="E16883" s="10">
        <v>699035</v>
      </c>
      <c r="F16883" s="4" t="str">
        <f>IF(B16883=B16882,"",B16883)</f>
        <v>Novovolyns’k</v>
      </c>
    </row>
    <row r="16884" spans="1:6" ht="15.75" customHeight="1">
      <c r="A16884" s="16" t="s">
        <v>22863</v>
      </c>
      <c r="B16884" s="15" t="s">
        <v>22863</v>
      </c>
      <c r="C16884" s="16" t="s">
        <v>22070</v>
      </c>
      <c r="D16884" s="16" t="s">
        <v>22127</v>
      </c>
      <c r="E16884" s="2">
        <v>473127</v>
      </c>
      <c r="F16884" s="4" t="str">
        <f>IF(B16884=B16883,"",B16884)</f>
        <v>Novovladykino</v>
      </c>
    </row>
    <row r="16885" spans="1:6" ht="15.75" customHeight="1">
      <c r="A16885" s="8" t="str">
        <f ca="1">IFERROR(__xludf.DUMMYFUNCTION("GOOGLETRANSLATE(B39984,""en"",""pt"")"),"Novovladykino")</f>
        <v>Novovladykino</v>
      </c>
      <c r="B16885" s="11" t="s">
        <v>22863</v>
      </c>
      <c r="C16885" s="11" t="s">
        <v>22070</v>
      </c>
      <c r="D16885" s="11" t="s">
        <v>22127</v>
      </c>
      <c r="E16885" s="10">
        <v>473127</v>
      </c>
      <c r="F16885" s="4" t="str">
        <f>IF(B16885=B16884,"",B16885)</f>
        <v/>
      </c>
    </row>
    <row r="16886" spans="1:6" ht="15.75" customHeight="1">
      <c r="A16886" s="16" t="s">
        <v>22862</v>
      </c>
      <c r="B16886" s="15" t="s">
        <v>22862</v>
      </c>
      <c r="C16886" s="16" t="s">
        <v>22070</v>
      </c>
      <c r="D16886" s="16" t="s">
        <v>22171</v>
      </c>
      <c r="E16886" s="2">
        <v>517739</v>
      </c>
      <c r="F16886" s="4" t="str">
        <f>IF(B16886=B16885,"",B16886)</f>
        <v>Novouzensk</v>
      </c>
    </row>
    <row r="16887" spans="1:6" ht="15.75" customHeight="1">
      <c r="A16887" s="8" t="str">
        <f ca="1">IFERROR(__xludf.DUMMYFUNCTION("GOOGLETRANSLATE(B40251,""en"",""pt"")"),"Novouzensk")</f>
        <v>Novouzensk</v>
      </c>
      <c r="B16887" s="11" t="s">
        <v>22862</v>
      </c>
      <c r="C16887" s="11" t="s">
        <v>22070</v>
      </c>
      <c r="D16887" s="11" t="s">
        <v>22171</v>
      </c>
      <c r="E16887" s="10">
        <v>517739</v>
      </c>
      <c r="F16887" s="4" t="str">
        <f>IF(B16887=B16886,"",B16887)</f>
        <v/>
      </c>
    </row>
    <row r="16888" spans="1:6" ht="15.75" customHeight="1">
      <c r="A16888" s="16" t="s">
        <v>22860</v>
      </c>
      <c r="B16888" s="15" t="s">
        <v>22861</v>
      </c>
      <c r="C16888" s="16" t="s">
        <v>22070</v>
      </c>
      <c r="D16888" s="16" t="s">
        <v>22106</v>
      </c>
      <c r="E16888" s="2">
        <v>1538636</v>
      </c>
      <c r="F16888" s="4" t="str">
        <f>IF(B16888=B16887,"",B16888)</f>
        <v>Novouralâ€™sk</v>
      </c>
    </row>
    <row r="16889" spans="1:6" ht="15.75" customHeight="1">
      <c r="A16889" s="8" t="str">
        <f ca="1">IFERROR(__xludf.DUMMYFUNCTION("GOOGLETRANSLATE(B40884,""en"",""pt"")"),"Novoural'sk")</f>
        <v>Novoural'sk</v>
      </c>
      <c r="B16889" s="11" t="s">
        <v>35552</v>
      </c>
      <c r="C16889" s="11" t="s">
        <v>22070</v>
      </c>
      <c r="D16889" s="11" t="s">
        <v>22106</v>
      </c>
      <c r="E16889" s="10">
        <v>1538636</v>
      </c>
      <c r="F16889" s="4" t="str">
        <f>IF(B16889=B16888,"",B16889)</f>
        <v>Novoural’sk</v>
      </c>
    </row>
    <row r="16890" spans="1:6" ht="15.75" customHeight="1">
      <c r="A16890" s="16" t="s">
        <v>22858</v>
      </c>
      <c r="B16890" s="15" t="s">
        <v>22859</v>
      </c>
      <c r="C16890" s="16" t="s">
        <v>22070</v>
      </c>
      <c r="D16890" s="16" t="s">
        <v>22195</v>
      </c>
      <c r="E16890" s="2">
        <v>517766</v>
      </c>
      <c r="F16890" s="4" t="str">
        <f>IF(B16890=B16889,"",B16890)</f>
        <v>Novoulâ€™yanovsk</v>
      </c>
    </row>
    <row r="16891" spans="1:6" ht="15.75" customHeight="1">
      <c r="A16891" s="8" t="str">
        <f ca="1">IFERROR(__xludf.DUMMYFUNCTION("GOOGLETRANSLATE(B40252,""en"",""pt"")"),"Novoul'yanovsk")</f>
        <v>Novoul'yanovsk</v>
      </c>
      <c r="B16891" s="9" t="s">
        <v>35481</v>
      </c>
      <c r="C16891" s="9" t="s">
        <v>22070</v>
      </c>
      <c r="D16891" s="9" t="s">
        <v>22195</v>
      </c>
      <c r="E16891" s="10">
        <v>517766</v>
      </c>
      <c r="F16891" s="4" t="str">
        <f>IF(B16891=B16890,"",B16891)</f>
        <v>Novoul’yanovsk</v>
      </c>
    </row>
    <row r="16892" spans="1:6" ht="15.75" customHeight="1">
      <c r="A16892" s="16" t="s">
        <v>27088</v>
      </c>
      <c r="B16892" s="15" t="s">
        <v>27088</v>
      </c>
      <c r="C16892" s="16" t="s">
        <v>26870</v>
      </c>
      <c r="D16892" s="16" t="s">
        <v>26949</v>
      </c>
      <c r="E16892" s="2">
        <v>699078</v>
      </c>
      <c r="F16892" s="4" t="str">
        <f>IF(B16892=B16891,"",B16892)</f>
        <v>Novoukrayinka</v>
      </c>
    </row>
    <row r="16893" spans="1:6" ht="15.75" customHeight="1">
      <c r="A16893" s="8" t="str">
        <f ca="1">IFERROR(__xludf.DUMMYFUNCTION("GOOGLETRANSLATE(B42564,""en"",""pt"")"),"Novoukrayinka")</f>
        <v>Novoukrayinka</v>
      </c>
      <c r="B16893" s="11" t="s">
        <v>27088</v>
      </c>
      <c r="C16893" s="11" t="s">
        <v>26870</v>
      </c>
      <c r="D16893" s="11" t="s">
        <v>26949</v>
      </c>
      <c r="E16893" s="10">
        <v>699078</v>
      </c>
      <c r="F16893" s="4" t="str">
        <f>IF(B16893=B16892,"",B16893)</f>
        <v/>
      </c>
    </row>
    <row r="16894" spans="1:6" ht="15.75" customHeight="1">
      <c r="A16894" s="16" t="s">
        <v>22856</v>
      </c>
      <c r="B16894" s="15" t="s">
        <v>22857</v>
      </c>
      <c r="C16894" s="16" t="s">
        <v>22070</v>
      </c>
      <c r="D16894" s="16" t="s">
        <v>22075</v>
      </c>
      <c r="E16894" s="2">
        <v>517836</v>
      </c>
      <c r="F16894" s="4" t="str">
        <f>IF(B16894=B16893,"",B16894)</f>
        <v>Novotroitsk</v>
      </c>
    </row>
    <row r="16895" spans="1:6" ht="15.75" customHeight="1">
      <c r="A16895" s="8" t="str">
        <f ca="1">IFERROR(__xludf.DUMMYFUNCTION("GOOGLETRANSLATE(B40253,""en"",""pt"")"),"NovoTroitsk")</f>
        <v>NovoTroitsk</v>
      </c>
      <c r="B16895" s="11" t="s">
        <v>22857</v>
      </c>
      <c r="C16895" s="11" t="s">
        <v>22070</v>
      </c>
      <c r="D16895" s="11" t="s">
        <v>22075</v>
      </c>
      <c r="E16895" s="10">
        <v>517836</v>
      </c>
      <c r="F16895" s="4" t="str">
        <f>IF(B16895=B16894,"",B16895)</f>
        <v/>
      </c>
    </row>
    <row r="16896" spans="1:6" ht="15.75" customHeight="1">
      <c r="A16896" s="16" t="s">
        <v>22855</v>
      </c>
      <c r="B16896" s="15" t="s">
        <v>22855</v>
      </c>
      <c r="C16896" s="16" t="s">
        <v>22070</v>
      </c>
      <c r="D16896" s="16" t="s">
        <v>22077</v>
      </c>
      <c r="E16896" s="2">
        <v>517842</v>
      </c>
      <c r="F16896" s="4" t="str">
        <f>IF(B16896=B16895,"",B16896)</f>
        <v>Novotitarovskaya</v>
      </c>
    </row>
    <row r="16897" spans="1:6" ht="15.75" customHeight="1">
      <c r="A16897" s="8" t="str">
        <f ca="1">IFERROR(__xludf.DUMMYFUNCTION("GOOGLETRANSLATE(B40254,""en"",""pt"")"),"Novotitarovskaya")</f>
        <v>Novotitarovskaya</v>
      </c>
      <c r="B16897" s="11" t="s">
        <v>22855</v>
      </c>
      <c r="C16897" s="11" t="s">
        <v>22070</v>
      </c>
      <c r="D16897" s="11" t="s">
        <v>22077</v>
      </c>
      <c r="E16897" s="10">
        <v>517842</v>
      </c>
      <c r="F16897" s="4" t="str">
        <f>IF(B16897=B16896,"",B16897)</f>
        <v/>
      </c>
    </row>
    <row r="16898" spans="1:6" ht="15.75" customHeight="1">
      <c r="A16898" s="16" t="s">
        <v>22854</v>
      </c>
      <c r="B16898" s="15" t="s">
        <v>22854</v>
      </c>
      <c r="C16898" s="16" t="s">
        <v>22070</v>
      </c>
      <c r="D16898" s="16" t="s">
        <v>22124</v>
      </c>
      <c r="E16898" s="2">
        <v>1496739</v>
      </c>
      <c r="F16898" s="4" t="str">
        <f>IF(B16898=B16897,"",B16898)</f>
        <v>Novosilikatnyy</v>
      </c>
    </row>
    <row r="16899" spans="1:6" ht="15.75" customHeight="1">
      <c r="A16899" s="8" t="str">
        <f ca="1">IFERROR(__xludf.DUMMYFUNCTION("GOOGLETRANSLATE(B40782,""en"",""pt"")"),"Novosilikatnyy")</f>
        <v>Novosilikatnyy</v>
      </c>
      <c r="B16899" s="11" t="s">
        <v>22854</v>
      </c>
      <c r="C16899" s="11" t="s">
        <v>22070</v>
      </c>
      <c r="D16899" s="11" t="s">
        <v>22124</v>
      </c>
      <c r="E16899" s="10">
        <v>1496739</v>
      </c>
      <c r="F16899" s="4" t="str">
        <f>IF(B16899=B16898,"",B16899)</f>
        <v/>
      </c>
    </row>
    <row r="16900" spans="1:6" ht="15.75" customHeight="1">
      <c r="A16900" s="16" t="s">
        <v>22092</v>
      </c>
      <c r="B16900" s="15" t="s">
        <v>22092</v>
      </c>
      <c r="C16900" s="16" t="s">
        <v>22070</v>
      </c>
      <c r="D16900" s="16" t="s">
        <v>22092</v>
      </c>
      <c r="E16900" s="2">
        <v>1496747</v>
      </c>
      <c r="F16900" s="4" t="str">
        <f>IF(B16900=B16899,"",B16900)</f>
        <v>Novosibirsk</v>
      </c>
    </row>
    <row r="16901" spans="1:6" ht="15.75" customHeight="1">
      <c r="A16901" s="8" t="str">
        <f ca="1">IFERROR(__xludf.DUMMYFUNCTION("GOOGLETRANSLATE(B40783,""en"",""pt"")"),"Novosibirsk")</f>
        <v>Novosibirsk</v>
      </c>
      <c r="B16901" s="11" t="s">
        <v>22092</v>
      </c>
      <c r="C16901" s="11" t="s">
        <v>22070</v>
      </c>
      <c r="D16901" s="11" t="s">
        <v>22092</v>
      </c>
      <c r="E16901" s="10">
        <v>1496747</v>
      </c>
      <c r="F16901" s="4" t="str">
        <f>IF(B16901=B16900,"",B16901)</f>
        <v/>
      </c>
    </row>
    <row r="16902" spans="1:6" ht="15.75" customHeight="1">
      <c r="A16902" s="16" t="s">
        <v>22853</v>
      </c>
      <c r="B16902" s="15" t="s">
        <v>22853</v>
      </c>
      <c r="C16902" s="16" t="s">
        <v>22070</v>
      </c>
      <c r="D16902" s="16" t="s">
        <v>22099</v>
      </c>
      <c r="E16902" s="2">
        <v>517963</v>
      </c>
      <c r="F16902" s="4" t="str">
        <f>IF(B16902=B16901,"",B16902)</f>
        <v>Novoshakhtinsk</v>
      </c>
    </row>
    <row r="16903" spans="1:6" ht="15.75" customHeight="1">
      <c r="A16903" s="8" t="str">
        <f ca="1">IFERROR(__xludf.DUMMYFUNCTION("GOOGLETRANSLATE(B40255,""en"",""pt"")"),"Novoshakhtinsk")</f>
        <v>Novoshakhtinsk</v>
      </c>
      <c r="B16903" s="11" t="s">
        <v>22853</v>
      </c>
      <c r="C16903" s="11" t="s">
        <v>22070</v>
      </c>
      <c r="D16903" s="11" t="s">
        <v>22099</v>
      </c>
      <c r="E16903" s="10">
        <v>517963</v>
      </c>
      <c r="F16903" s="4" t="str">
        <f>IF(B16903=B16902,"",B16903)</f>
        <v/>
      </c>
    </row>
    <row r="16904" spans="1:6" ht="15.75" customHeight="1">
      <c r="A16904" s="16" t="s">
        <v>22851</v>
      </c>
      <c r="B16904" s="15" t="s">
        <v>22852</v>
      </c>
      <c r="C16904" s="16" t="s">
        <v>22070</v>
      </c>
      <c r="D16904" s="16" t="s">
        <v>22077</v>
      </c>
      <c r="E16904" s="2">
        <v>518255</v>
      </c>
      <c r="F16904" s="4" t="str">
        <f>IF(B16904=B16903,"",B16904)</f>
        <v>Novorossiysk</v>
      </c>
    </row>
    <row r="16905" spans="1:6" ht="15.75" customHeight="1">
      <c r="A16905" s="8" t="str">
        <f ca="1">IFERROR(__xludf.DUMMYFUNCTION("GOOGLETRANSLATE(B40256,""en"",""pt"")"),"Novelossiysk")</f>
        <v>Novelossiysk</v>
      </c>
      <c r="B16905" s="11" t="s">
        <v>22852</v>
      </c>
      <c r="C16905" s="11" t="s">
        <v>22070</v>
      </c>
      <c r="D16905" s="11" t="s">
        <v>22077</v>
      </c>
      <c r="E16905" s="10">
        <v>518255</v>
      </c>
      <c r="F16905" s="4" t="str">
        <f>IF(B16905=B16904,"",B16905)</f>
        <v/>
      </c>
    </row>
    <row r="16906" spans="1:6" ht="15.75" customHeight="1">
      <c r="A16906" s="16" t="s">
        <v>22850</v>
      </c>
      <c r="B16906" s="15" t="s">
        <v>22850</v>
      </c>
      <c r="C16906" s="16" t="s">
        <v>22070</v>
      </c>
      <c r="D16906" s="16" t="s">
        <v>22077</v>
      </c>
      <c r="E16906" s="2">
        <v>518325</v>
      </c>
      <c r="F16906" s="4" t="str">
        <f>IF(B16906=B16905,"",B16906)</f>
        <v>Novopokrovskaya</v>
      </c>
    </row>
    <row r="16907" spans="1:6" ht="15.75" customHeight="1">
      <c r="A16907" s="8" t="str">
        <f ca="1">IFERROR(__xludf.DUMMYFUNCTION("GOOGLETRANSLATE(B40257,""en"",""pt"")"),"Novopokrovskaya")</f>
        <v>Novopokrovskaya</v>
      </c>
      <c r="B16907" s="11" t="s">
        <v>22850</v>
      </c>
      <c r="C16907" s="11" t="s">
        <v>22070</v>
      </c>
      <c r="D16907" s="11" t="s">
        <v>22077</v>
      </c>
      <c r="E16907" s="10">
        <v>518325</v>
      </c>
      <c r="F16907" s="4" t="str">
        <f>IF(B16907=B16906,"",B16907)</f>
        <v/>
      </c>
    </row>
    <row r="16908" spans="1:6" ht="15.75" customHeight="1">
      <c r="A16908" s="16" t="s">
        <v>22849</v>
      </c>
      <c r="B16908" s="15" t="s">
        <v>22849</v>
      </c>
      <c r="C16908" s="16" t="s">
        <v>22070</v>
      </c>
      <c r="D16908" s="16" t="s">
        <v>22127</v>
      </c>
      <c r="E16908" s="2">
        <v>511510</v>
      </c>
      <c r="F16908" s="4" t="str">
        <f>IF(B16908=B16907,"",B16908)</f>
        <v>Novo-Peredelkino</v>
      </c>
    </row>
    <row r="16909" spans="1:6" ht="15.75" customHeight="1">
      <c r="A16909" s="8" t="str">
        <f ca="1">IFERROR(__xludf.DUMMYFUNCTION("GOOGLETRANSLATE(B40207,""en"",""pt"")"),"Novo-Peredelkino")</f>
        <v>Novo-Peredelkino</v>
      </c>
      <c r="B16909" s="11" t="s">
        <v>22849</v>
      </c>
      <c r="C16909" s="11" t="s">
        <v>22070</v>
      </c>
      <c r="D16909" s="11" t="s">
        <v>22127</v>
      </c>
      <c r="E16909" s="10">
        <v>511510</v>
      </c>
      <c r="F16909" s="4" t="str">
        <f>IF(B16909=B16908,"",B16909)</f>
        <v/>
      </c>
    </row>
    <row r="16910" spans="1:6" ht="15.75" customHeight="1">
      <c r="A16910" s="16" t="s">
        <v>22848</v>
      </c>
      <c r="B16910" s="15" t="s">
        <v>22848</v>
      </c>
      <c r="C16910" s="16" t="s">
        <v>22070</v>
      </c>
      <c r="D16910" s="16" t="s">
        <v>22117</v>
      </c>
      <c r="E16910" s="2">
        <v>518383</v>
      </c>
      <c r="F16910" s="4" t="str">
        <f>IF(B16910=B16909,"",B16910)</f>
        <v>Novopavlovsk</v>
      </c>
    </row>
    <row r="16911" spans="1:6" ht="15.75" customHeight="1">
      <c r="A16911" s="8" t="str">
        <f ca="1">IFERROR(__xludf.DUMMYFUNCTION("GOOGLETRANSLATE(B40258,""en"",""pt"")"),"Novopavlovsk")</f>
        <v>Novopavlovsk</v>
      </c>
      <c r="B16911" s="9" t="s">
        <v>22848</v>
      </c>
      <c r="C16911" s="9" t="s">
        <v>22070</v>
      </c>
      <c r="D16911" s="9" t="s">
        <v>22117</v>
      </c>
      <c r="E16911" s="10">
        <v>518383</v>
      </c>
      <c r="F16911" s="4" t="str">
        <f>IF(B16911=B16910,"",B16911)</f>
        <v/>
      </c>
    </row>
    <row r="16912" spans="1:6" ht="15.75" customHeight="1">
      <c r="A16912" s="16" t="s">
        <v>22847</v>
      </c>
      <c r="B16912" s="15" t="s">
        <v>22847</v>
      </c>
      <c r="C16912" s="16" t="s">
        <v>22070</v>
      </c>
      <c r="D16912" s="16" t="s">
        <v>22122</v>
      </c>
      <c r="E16912" s="2">
        <v>518557</v>
      </c>
      <c r="F16912" s="4" t="str">
        <f>IF(B16912=B16911,"",B16912)</f>
        <v>Novomoskovsk</v>
      </c>
    </row>
    <row r="16913" spans="1:6" ht="15.75" customHeight="1">
      <c r="A16913" s="8" t="str">
        <f ca="1">IFERROR(__xludf.DUMMYFUNCTION("GOOGLETRANSLATE(B40259,""en"",""pt"")"),"Novomoskovsk")</f>
        <v>Novomoskovsk</v>
      </c>
      <c r="B16913" s="9" t="s">
        <v>22847</v>
      </c>
      <c r="C16913" s="9" t="s">
        <v>22070</v>
      </c>
      <c r="D16913" s="9" t="s">
        <v>22122</v>
      </c>
      <c r="E16913" s="10">
        <v>518557</v>
      </c>
      <c r="F16913" s="4" t="str">
        <f>IF(B16913=B16912,"",B16913)</f>
        <v/>
      </c>
    </row>
    <row r="16914" spans="1:6" ht="15.75" customHeight="1">
      <c r="A16914" s="16" t="s">
        <v>27086</v>
      </c>
      <c r="B16914" s="15" t="s">
        <v>27087</v>
      </c>
      <c r="C16914" s="16" t="s">
        <v>26870</v>
      </c>
      <c r="D16914" s="16" t="s">
        <v>26878</v>
      </c>
      <c r="E16914" s="2">
        <v>699445</v>
      </c>
      <c r="F16914" s="4" t="str">
        <f>IF(B16914=B16913,"",B16914)</f>
        <v>Novomoskovsâ€™k</v>
      </c>
    </row>
    <row r="16915" spans="1:6" ht="15.75" customHeight="1">
      <c r="A16915" s="8" t="str">
        <f ca="1">IFERROR(__xludf.DUMMYFUNCTION("GOOGLETRANSLATE(B42565,""en"",""pt"")"),"Novomoskovs")</f>
        <v>Novomoskovs</v>
      </c>
      <c r="B16915" s="9" t="s">
        <v>36006</v>
      </c>
      <c r="C16915" s="9" t="s">
        <v>26870</v>
      </c>
      <c r="D16915" s="9" t="s">
        <v>26878</v>
      </c>
      <c r="E16915" s="10">
        <v>699445</v>
      </c>
      <c r="F16915" s="4" t="str">
        <f>IF(B16915=B16914,"",B16915)</f>
        <v>Novomoskovs’k</v>
      </c>
    </row>
    <row r="16916" spans="1:6" ht="15.75" customHeight="1">
      <c r="A16916" s="16" t="s">
        <v>22846</v>
      </c>
      <c r="B16916" s="15" t="s">
        <v>22846</v>
      </c>
      <c r="C16916" s="16" t="s">
        <v>22070</v>
      </c>
      <c r="D16916" s="16" t="s">
        <v>22486</v>
      </c>
      <c r="E16916" s="2">
        <v>518602</v>
      </c>
      <c r="F16916" s="4" t="str">
        <f>IF(B16916=B16915,"",B16916)</f>
        <v>Novomichurinsk</v>
      </c>
    </row>
    <row r="16917" spans="1:6" ht="15.75" customHeight="1">
      <c r="A16917" s="8" t="str">
        <f ca="1">IFERROR(__xludf.DUMMYFUNCTION("GOOGLETRANSLATE(B40260,""en"",""pt"")"),"Novomichurinsk")</f>
        <v>Novomichurinsk</v>
      </c>
      <c r="B16917" s="9" t="s">
        <v>22846</v>
      </c>
      <c r="C16917" s="9" t="s">
        <v>22070</v>
      </c>
      <c r="D16917" s="9" t="s">
        <v>22486</v>
      </c>
      <c r="E16917" s="10">
        <v>518602</v>
      </c>
      <c r="F16917" s="4" t="str">
        <f>IF(B16917=B16916,"",B16917)</f>
        <v/>
      </c>
    </row>
    <row r="16918" spans="1:6" ht="15.75" customHeight="1">
      <c r="A16918" s="16" t="s">
        <v>22844</v>
      </c>
      <c r="B16918" s="15" t="s">
        <v>22845</v>
      </c>
      <c r="C16918" s="16" t="s">
        <v>22070</v>
      </c>
      <c r="D16918" s="16" t="s">
        <v>22140</v>
      </c>
      <c r="E16918" s="2">
        <v>1496990</v>
      </c>
      <c r="F16918" s="4" t="str">
        <f>IF(B16918=B16917,"",B16918)</f>
        <v>Novokuznetsk</v>
      </c>
    </row>
    <row r="16919" spans="1:6" ht="15.75" customHeight="1">
      <c r="A16919" s="8" t="str">
        <f ca="1">IFERROR(__xludf.DUMMYFUNCTION("GOOGLETRANSLATE(B40784,""en"",""pt"")"),"Novokuznetk")</f>
        <v>Novokuznetk</v>
      </c>
      <c r="B16919" s="9" t="s">
        <v>22845</v>
      </c>
      <c r="C16919" s="9" t="s">
        <v>22070</v>
      </c>
      <c r="D16919" s="9" t="s">
        <v>22140</v>
      </c>
      <c r="E16919" s="10">
        <v>1496990</v>
      </c>
      <c r="F16919" s="4" t="str">
        <f>IF(B16919=B16918,"",B16919)</f>
        <v/>
      </c>
    </row>
    <row r="16920" spans="1:6" ht="15.75" customHeight="1">
      <c r="A16920" s="16" t="s">
        <v>22842</v>
      </c>
      <c r="B16920" s="15" t="s">
        <v>22843</v>
      </c>
      <c r="C16920" s="16" t="s">
        <v>22070</v>
      </c>
      <c r="D16920" s="16" t="s">
        <v>22127</v>
      </c>
      <c r="E16920" s="2">
        <v>518657</v>
      </c>
      <c r="F16920" s="4" t="str">
        <f>IF(B16920=B16919,"",B16920)</f>
        <v>Novokuzâ€™minki</v>
      </c>
    </row>
    <row r="16921" spans="1:6" ht="15.75" customHeight="1">
      <c r="A16921" s="8" t="str">
        <f ca="1">IFERROR(__xludf.DUMMYFUNCTION("GOOGLETRANSLATE(B40261,""en"",""pt"")"),"Novokuz'Minki")</f>
        <v>Novokuz'Minki</v>
      </c>
      <c r="B16921" s="9" t="s">
        <v>35482</v>
      </c>
      <c r="C16921" s="9" t="s">
        <v>22070</v>
      </c>
      <c r="D16921" s="9" t="s">
        <v>22127</v>
      </c>
      <c r="E16921" s="10">
        <v>518657</v>
      </c>
      <c r="F16921" s="4" t="str">
        <f>IF(B16921=B16920,"",B16921)</f>
        <v>Novokuz’minki</v>
      </c>
    </row>
    <row r="16922" spans="1:6" ht="15.75" customHeight="1">
      <c r="A16922" s="16" t="s">
        <v>22841</v>
      </c>
      <c r="B16922" s="15" t="s">
        <v>22841</v>
      </c>
      <c r="C16922" s="16" t="s">
        <v>22070</v>
      </c>
      <c r="D16922" s="16" t="s">
        <v>22227</v>
      </c>
      <c r="E16922" s="2">
        <v>518659</v>
      </c>
      <c r="F16922" s="4" t="str">
        <f>IF(B16922=B16921,"",B16922)</f>
        <v>Novokuybyshevsk</v>
      </c>
    </row>
    <row r="16923" spans="1:6" ht="15.75" customHeight="1">
      <c r="A16923" s="8" t="str">
        <f ca="1">IFERROR(__xludf.DUMMYFUNCTION("GOOGLETRANSLATE(B40262,""en"",""pt"")"),"Novokuybyshevsk")</f>
        <v>Novokuybyshevsk</v>
      </c>
      <c r="B16923" s="9" t="s">
        <v>22841</v>
      </c>
      <c r="C16923" s="9" t="s">
        <v>22070</v>
      </c>
      <c r="D16923" s="9" t="s">
        <v>22227</v>
      </c>
      <c r="E16923" s="10">
        <v>518659</v>
      </c>
      <c r="F16923" s="4" t="str">
        <f>IF(B16923=B16922,"",B16923)</f>
        <v/>
      </c>
    </row>
    <row r="16924" spans="1:6" ht="15.75" customHeight="1">
      <c r="A16924" s="16" t="s">
        <v>22840</v>
      </c>
      <c r="B16924" s="15" t="s">
        <v>22840</v>
      </c>
      <c r="C16924" s="16" t="s">
        <v>22070</v>
      </c>
      <c r="D16924" s="16" t="s">
        <v>22077</v>
      </c>
      <c r="E16924" s="2">
        <v>518682</v>
      </c>
      <c r="F16924" s="4" t="str">
        <f>IF(B16924=B16923,"",B16924)</f>
        <v>Novokubansk</v>
      </c>
    </row>
    <row r="16925" spans="1:6" ht="15.75" customHeight="1">
      <c r="A16925" s="8" t="str">
        <f ca="1">IFERROR(__xludf.DUMMYFUNCTION("GOOGLETRANSLATE(B40263,""en"",""pt"")"),"Novokubansk")</f>
        <v>Novokubansk</v>
      </c>
      <c r="B16925" s="9" t="s">
        <v>22840</v>
      </c>
      <c r="C16925" s="9" t="s">
        <v>22070</v>
      </c>
      <c r="D16925" s="9" t="s">
        <v>22077</v>
      </c>
      <c r="E16925" s="10">
        <v>518682</v>
      </c>
      <c r="F16925" s="4" t="str">
        <f>IF(B16925=B16924,"",B16925)</f>
        <v/>
      </c>
    </row>
    <row r="16926" spans="1:6" ht="15.75" customHeight="1">
      <c r="A16926" s="16" t="s">
        <v>22839</v>
      </c>
      <c r="B16926" s="15" t="s">
        <v>22839</v>
      </c>
      <c r="C16926" s="16" t="s">
        <v>22070</v>
      </c>
      <c r="D16926" s="16" t="s">
        <v>22127</v>
      </c>
      <c r="E16926" s="2">
        <v>518740</v>
      </c>
      <c r="F16926" s="4" t="str">
        <f>IF(B16926=B16925,"",B16926)</f>
        <v>Novokhovrino</v>
      </c>
    </row>
    <row r="16927" spans="1:6" ht="15.75" customHeight="1">
      <c r="A16927" s="8" t="str">
        <f ca="1">IFERROR(__xludf.DUMMYFUNCTION("GOOGLETRANSLATE(B40264,""en"",""pt"")"),"Novokhovrino")</f>
        <v>Novokhovrino</v>
      </c>
      <c r="B16927" s="9" t="s">
        <v>22839</v>
      </c>
      <c r="C16927" s="9" t="s">
        <v>22070</v>
      </c>
      <c r="D16927" s="9" t="s">
        <v>22127</v>
      </c>
      <c r="E16927" s="10">
        <v>518740</v>
      </c>
      <c r="F16927" s="4" t="str">
        <f>IF(B16927=B16926,"",B16927)</f>
        <v/>
      </c>
    </row>
    <row r="16928" spans="1:6" ht="15.75" customHeight="1">
      <c r="A16928" s="16" t="s">
        <v>27084</v>
      </c>
      <c r="B16928" s="15" t="s">
        <v>27085</v>
      </c>
      <c r="C16928" s="16" t="s">
        <v>26870</v>
      </c>
      <c r="D16928" s="16" t="s">
        <v>26900</v>
      </c>
      <c r="E16928" s="2">
        <v>699553</v>
      </c>
      <c r="F16928" s="4" t="str">
        <f>IF(B16928=B16927,"",B16928)</f>
        <v>Novohrad-Volynsâ€™kyy</v>
      </c>
    </row>
    <row r="16929" spans="1:6" ht="15.75" customHeight="1">
      <c r="A16929" s="8" t="str">
        <f ca="1">IFERROR(__xludf.DUMMYFUNCTION("GOOGLETRANSLATE(B42566,""en"",""pt"")"),"Novohrad-volyns'kyy")</f>
        <v>Novohrad-volyns'kyy</v>
      </c>
      <c r="B16929" s="9" t="s">
        <v>36007</v>
      </c>
      <c r="C16929" s="9" t="s">
        <v>26870</v>
      </c>
      <c r="D16929" s="9" t="s">
        <v>26900</v>
      </c>
      <c r="E16929" s="10">
        <v>699553</v>
      </c>
      <c r="F16929" s="4" t="str">
        <f>IF(B16929=B16928,"",B16929)</f>
        <v>Novohrad-Volyns’kyy</v>
      </c>
    </row>
    <row r="16930" spans="1:6" ht="15.75" customHeight="1">
      <c r="A16930" s="16" t="s">
        <v>22837</v>
      </c>
      <c r="B16930" s="15" t="s">
        <v>22838</v>
      </c>
      <c r="C16930" s="16" t="s">
        <v>22070</v>
      </c>
      <c r="D16930" s="16" t="s">
        <v>22119</v>
      </c>
      <c r="E16930" s="2">
        <v>518879</v>
      </c>
      <c r="F16930" s="4" t="str">
        <f>IF(B16930=B16929,"",B16930)</f>
        <v>Novogireyevo</v>
      </c>
    </row>
    <row r="16931" spans="1:6" ht="15.75" customHeight="1">
      <c r="A16931" s="8" t="str">
        <f ca="1">IFERROR(__xludf.DUMMYFUNCTION("GOOGLETRANSLATE(B40265,""en"",""pt"")"),"NovoGireyevo")</f>
        <v>NovoGireyevo</v>
      </c>
      <c r="B16931" s="9" t="s">
        <v>22838</v>
      </c>
      <c r="C16931" s="9" t="s">
        <v>22070</v>
      </c>
      <c r="D16931" s="9" t="s">
        <v>22119</v>
      </c>
      <c r="E16931" s="10">
        <v>518879</v>
      </c>
      <c r="F16931" s="4" t="str">
        <f>IF(B16931=B16930,"",B16931)</f>
        <v/>
      </c>
    </row>
    <row r="16932" spans="1:6" ht="15.75" customHeight="1">
      <c r="A16932" s="16" t="s">
        <v>22836</v>
      </c>
      <c r="B16932" s="15" t="s">
        <v>22836</v>
      </c>
      <c r="C16932" s="16" t="s">
        <v>22070</v>
      </c>
      <c r="D16932" s="16" t="s">
        <v>22151</v>
      </c>
      <c r="E16932" s="2">
        <v>518909</v>
      </c>
      <c r="F16932" s="4" t="str">
        <f>IF(B16932=B16931,"",B16932)</f>
        <v>Novodvinsk</v>
      </c>
    </row>
    <row r="16933" spans="1:6" ht="15.75" customHeight="1">
      <c r="A16933" s="8" t="str">
        <f ca="1">IFERROR(__xludf.DUMMYFUNCTION("GOOGLETRANSLATE(B40266,""en"",""pt"")"),"Novodvinsk")</f>
        <v>Novodvinsk</v>
      </c>
      <c r="B16933" s="9" t="s">
        <v>22836</v>
      </c>
      <c r="C16933" s="9" t="s">
        <v>22070</v>
      </c>
      <c r="D16933" s="9" t="s">
        <v>22151</v>
      </c>
      <c r="E16933" s="10">
        <v>518909</v>
      </c>
      <c r="F16933" s="4" t="str">
        <f>IF(B16933=B16932,"",B16933)</f>
        <v/>
      </c>
    </row>
    <row r="16934" spans="1:6" ht="15.75" customHeight="1">
      <c r="A16934" s="16" t="s">
        <v>22835</v>
      </c>
      <c r="B16934" s="15" t="s">
        <v>22835</v>
      </c>
      <c r="C16934" s="16" t="s">
        <v>22070</v>
      </c>
      <c r="D16934" s="16" t="s">
        <v>22099</v>
      </c>
      <c r="E16934" s="2">
        <v>518970</v>
      </c>
      <c r="F16934" s="4" t="str">
        <f>IF(B16934=B16933,"",B16934)</f>
        <v>Novocherkassk</v>
      </c>
    </row>
    <row r="16935" spans="1:6" ht="15.75" customHeight="1">
      <c r="A16935" s="8" t="str">
        <f ca="1">IFERROR(__xludf.DUMMYFUNCTION("GOOGLETRANSLATE(B40267,""en"",""pt"")"),"Novocherkassk")</f>
        <v>Novocherkassk</v>
      </c>
      <c r="B16935" s="9" t="s">
        <v>22835</v>
      </c>
      <c r="C16935" s="9" t="s">
        <v>22070</v>
      </c>
      <c r="D16935" s="9" t="s">
        <v>22099</v>
      </c>
      <c r="E16935" s="10">
        <v>518970</v>
      </c>
      <c r="F16935" s="4" t="str">
        <f>IF(B16935=B16934,"",B16935)</f>
        <v/>
      </c>
    </row>
    <row r="16936" spans="1:6" ht="15.75" customHeight="1">
      <c r="A16936" s="16" t="s">
        <v>22833</v>
      </c>
      <c r="B16936" s="15" t="s">
        <v>22834</v>
      </c>
      <c r="C16936" s="16" t="s">
        <v>22070</v>
      </c>
      <c r="D16936" s="16" t="s">
        <v>22109</v>
      </c>
      <c r="E16936" s="2">
        <v>518976</v>
      </c>
      <c r="F16936" s="4" t="str">
        <f>IF(B16936=B16935,"",B16936)</f>
        <v>Novocheboksarsk</v>
      </c>
    </row>
    <row r="16937" spans="1:6" ht="15.75" customHeight="1">
      <c r="A16937" s="8" t="str">
        <f ca="1">IFERROR(__xludf.DUMMYFUNCTION("GOOGLETRANSLATE(B40268,""en"",""pt"")"),"NovocheBoksarsk")</f>
        <v>NovocheBoksarsk</v>
      </c>
      <c r="B16937" s="9" t="s">
        <v>22834</v>
      </c>
      <c r="C16937" s="9" t="s">
        <v>22070</v>
      </c>
      <c r="D16937" s="9" t="s">
        <v>22109</v>
      </c>
      <c r="E16937" s="10">
        <v>518976</v>
      </c>
      <c r="F16937" s="4" t="str">
        <f>IF(B16937=B16936,"",B16937)</f>
        <v/>
      </c>
    </row>
    <row r="16938" spans="1:6" ht="15.75" customHeight="1">
      <c r="A16938" s="16" t="s">
        <v>22832</v>
      </c>
      <c r="B16938" s="15" t="s">
        <v>22832</v>
      </c>
      <c r="C16938" s="16" t="s">
        <v>22070</v>
      </c>
      <c r="D16938" s="16" t="s">
        <v>22351</v>
      </c>
      <c r="E16938" s="2">
        <v>519062</v>
      </c>
      <c r="F16938" s="4" t="str">
        <f>IF(B16938=B16937,"",B16938)</f>
        <v>Novoanninskiy</v>
      </c>
    </row>
    <row r="16939" spans="1:6" ht="15.75" customHeight="1">
      <c r="A16939" s="8" t="str">
        <f ca="1">IFERROR(__xludf.DUMMYFUNCTION("GOOGLETRANSLATE(B40269,""en"",""pt"")"),"Novoanninskiy")</f>
        <v>Novoanninskiy</v>
      </c>
      <c r="B16939" s="9" t="s">
        <v>22832</v>
      </c>
      <c r="C16939" s="9" t="s">
        <v>22070</v>
      </c>
      <c r="D16939" s="9" t="s">
        <v>22351</v>
      </c>
      <c r="E16939" s="10">
        <v>519062</v>
      </c>
      <c r="F16939" s="4" t="str">
        <f>IF(B16939=B16938,"",B16939)</f>
        <v/>
      </c>
    </row>
    <row r="16940" spans="1:6" ht="15.75" customHeight="1">
      <c r="A16940" s="16" t="s">
        <v>22831</v>
      </c>
      <c r="B16940" s="15" t="s">
        <v>22831</v>
      </c>
      <c r="C16940" s="16" t="s">
        <v>22070</v>
      </c>
      <c r="D16940" s="16" t="s">
        <v>22124</v>
      </c>
      <c r="E16940" s="2">
        <v>1497173</v>
      </c>
      <c r="F16940" s="4" t="str">
        <f>IF(B16940=B16939,"",B16940)</f>
        <v>Novoaltaysk</v>
      </c>
    </row>
    <row r="16941" spans="1:6" ht="15.75" customHeight="1">
      <c r="A16941" s="8" t="str">
        <f ca="1">IFERROR(__xludf.DUMMYFUNCTION("GOOGLETRANSLATE(B40785,""en"",""pt"")"),"Novoaltaysk")</f>
        <v>Novoaltaysk</v>
      </c>
      <c r="B16941" s="9" t="s">
        <v>22831</v>
      </c>
      <c r="C16941" s="9" t="s">
        <v>22070</v>
      </c>
      <c r="D16941" s="9" t="s">
        <v>22124</v>
      </c>
      <c r="E16941" s="10">
        <v>1497173</v>
      </c>
      <c r="F16941" s="4" t="str">
        <f>IF(B16941=B16940,"",B16941)</f>
        <v/>
      </c>
    </row>
    <row r="16942" spans="1:6" ht="15.75" customHeight="1">
      <c r="A16942" s="16" t="s">
        <v>22830</v>
      </c>
      <c r="B16942" s="15" t="s">
        <v>22830</v>
      </c>
      <c r="C16942" s="16" t="s">
        <v>22070</v>
      </c>
      <c r="D16942" s="16" t="s">
        <v>22117</v>
      </c>
      <c r="E16942" s="2">
        <v>519106</v>
      </c>
      <c r="F16942" s="4" t="str">
        <f>IF(B16942=B16941,"",B16942)</f>
        <v>Novoaleksandrovsk</v>
      </c>
    </row>
    <row r="16943" spans="1:6" ht="15.75" customHeight="1">
      <c r="A16943" s="8" t="str">
        <f ca="1">IFERROR(__xludf.DUMMYFUNCTION("GOOGLETRANSLATE(B40270,""en"",""pt"")"),"Novoaleksandrovsk")</f>
        <v>Novoaleksandrovsk</v>
      </c>
      <c r="B16943" s="9" t="s">
        <v>22830</v>
      </c>
      <c r="C16943" s="9" t="s">
        <v>22070</v>
      </c>
      <c r="D16943" s="9" t="s">
        <v>22117</v>
      </c>
      <c r="E16943" s="10">
        <v>519106</v>
      </c>
      <c r="F16943" s="4" t="str">
        <f>IF(B16943=B16942,"",B16943)</f>
        <v/>
      </c>
    </row>
    <row r="16944" spans="1:6" ht="15.75" customHeight="1">
      <c r="A16944" s="16" t="s">
        <v>23792</v>
      </c>
      <c r="B16944" s="15" t="s">
        <v>23792</v>
      </c>
      <c r="C16944" s="16" t="s">
        <v>23786</v>
      </c>
      <c r="D16944" s="16" t="s">
        <v>23792</v>
      </c>
      <c r="E16944" s="2">
        <v>3194351</v>
      </c>
      <c r="F16944" s="4" t="str">
        <f>IF(B16944=B16943,"",B16944)</f>
        <v>Novo Mesto</v>
      </c>
    </row>
    <row r="16945" spans="1:6" ht="15.75" customHeight="1">
      <c r="A16945" s="8" t="str">
        <f ca="1">IFERROR(__xludf.DUMMYFUNCTION("GOOGLETRANSLATE(B41214,""en"",""pt"")"),"Novo Mesto")</f>
        <v>Novo Mesto</v>
      </c>
      <c r="B16945" s="9" t="s">
        <v>23792</v>
      </c>
      <c r="C16945" s="9" t="s">
        <v>23786</v>
      </c>
      <c r="D16945" s="9" t="s">
        <v>23792</v>
      </c>
      <c r="E16945" s="10">
        <v>3194351</v>
      </c>
      <c r="F16945" s="4" t="str">
        <f>IF(B16945=B16944,"",B16945)</f>
        <v/>
      </c>
    </row>
    <row r="16946" spans="1:6" ht="15.75" customHeight="1">
      <c r="A16946" s="16" t="s">
        <v>2980</v>
      </c>
      <c r="B16946" s="15" t="s">
        <v>2980</v>
      </c>
      <c r="C16946" s="16" t="s">
        <v>1905</v>
      </c>
      <c r="D16946" s="16" t="s">
        <v>1914</v>
      </c>
      <c r="E16946" s="2">
        <v>3456060</v>
      </c>
      <c r="F16946" s="4" t="str">
        <f>IF(B16946=B16945,"",B16946)</f>
        <v>Novo Horizonte</v>
      </c>
    </row>
    <row r="16947" spans="1:6" ht="15.75" customHeight="1">
      <c r="A16947" s="8" t="str">
        <f ca="1">IFERROR(__xludf.DUMMYFUNCTION("GOOGLETRANSLATE(B24769,""en"",""pt"")"),"Novo Horizonte")</f>
        <v>Novo Horizonte</v>
      </c>
      <c r="B16947" s="9" t="s">
        <v>2980</v>
      </c>
      <c r="C16947" s="9" t="s">
        <v>1905</v>
      </c>
      <c r="D16947" s="9" t="s">
        <v>3354</v>
      </c>
      <c r="E16947" s="10">
        <v>3456060</v>
      </c>
      <c r="F16947" s="4" t="str">
        <f>IF(B16947=B16946,"",B16947)</f>
        <v/>
      </c>
    </row>
    <row r="16948" spans="1:6" ht="15.75" customHeight="1">
      <c r="A16948" s="16" t="s">
        <v>2979</v>
      </c>
      <c r="B16948" s="15" t="s">
        <v>2979</v>
      </c>
      <c r="C16948" s="16" t="s">
        <v>1905</v>
      </c>
      <c r="D16948" s="16" t="s">
        <v>1951</v>
      </c>
      <c r="E16948" s="2">
        <v>3456068</v>
      </c>
      <c r="F16948" s="4" t="str">
        <f>IF(B16948=B16947,"",B16948)</f>
        <v>Novo Hamburgo</v>
      </c>
    </row>
    <row r="16949" spans="1:6" ht="15.75" customHeight="1">
      <c r="A16949" s="8" t="str">
        <f ca="1">IFERROR(__xludf.DUMMYFUNCTION("GOOGLETRANSLATE(B24770,""en"",""pt"")"),"Novo Hamburgo")</f>
        <v>Novo Hamburgo</v>
      </c>
      <c r="B16949" s="9" t="s">
        <v>2979</v>
      </c>
      <c r="C16949" s="9" t="s">
        <v>1905</v>
      </c>
      <c r="D16949" s="9" t="s">
        <v>1951</v>
      </c>
      <c r="E16949" s="10">
        <v>3456068</v>
      </c>
      <c r="F16949" s="4" t="str">
        <f>IF(B16949=B16948,"",B16949)</f>
        <v/>
      </c>
    </row>
    <row r="16950" spans="1:6" ht="15.75" customHeight="1">
      <c r="A16950" s="16" t="s">
        <v>23640</v>
      </c>
      <c r="B16950" s="15" t="s">
        <v>23641</v>
      </c>
      <c r="C16950" s="16" t="s">
        <v>23602</v>
      </c>
      <c r="D16950" s="16" t="s">
        <v>23610</v>
      </c>
      <c r="E16950" s="2">
        <v>3194360</v>
      </c>
      <c r="F16950" s="4" t="str">
        <f>IF(B16950=B16949,"",B16950)</f>
        <v>Novi Sad</v>
      </c>
    </row>
    <row r="16951" spans="1:6" ht="15.75" customHeight="1">
      <c r="A16951" s="8" t="str">
        <f ca="1">IFERROR(__xludf.DUMMYFUNCTION("GOOGLETRANSLATE(B39900,""en"",""pt"")"),"Novi triste")</f>
        <v>Novi triste</v>
      </c>
      <c r="B16951" s="9" t="s">
        <v>23641</v>
      </c>
      <c r="C16951" s="9" t="s">
        <v>23602</v>
      </c>
      <c r="D16951" s="9" t="s">
        <v>23610</v>
      </c>
      <c r="E16951" s="10">
        <v>3194360</v>
      </c>
      <c r="F16951" s="4" t="str">
        <f>IF(B16951=B16950,"",B16951)</f>
        <v/>
      </c>
    </row>
    <row r="16952" spans="1:6" ht="15.75" customHeight="1">
      <c r="A16952" s="16" t="s">
        <v>23639</v>
      </c>
      <c r="B16952" s="15" t="s">
        <v>23639</v>
      </c>
      <c r="C16952" s="16" t="s">
        <v>23602</v>
      </c>
      <c r="D16952" s="16" t="s">
        <v>23603</v>
      </c>
      <c r="E16952" s="2">
        <v>787595</v>
      </c>
      <c r="F16952" s="4" t="str">
        <f>IF(B16952=B16951,"",B16952)</f>
        <v>Novi Pazar</v>
      </c>
    </row>
    <row r="16953" spans="1:6" ht="15.75" customHeight="1">
      <c r="A16953" s="8" t="str">
        <f ca="1">IFERROR(__xludf.DUMMYFUNCTION("GOOGLETRANSLATE(B39873,""en"",""pt"")"),"Novi Pazar")</f>
        <v>Novi Pazar</v>
      </c>
      <c r="B16953" s="9" t="s">
        <v>23639</v>
      </c>
      <c r="C16953" s="9" t="s">
        <v>23602</v>
      </c>
      <c r="D16953" s="9" t="s">
        <v>23603</v>
      </c>
      <c r="E16953" s="10">
        <v>787595</v>
      </c>
      <c r="F16953" s="4" t="str">
        <f>IF(B16953=B16952,"",B16953)</f>
        <v/>
      </c>
    </row>
    <row r="16954" spans="1:6" ht="15.75" customHeight="1">
      <c r="A16954" s="16" t="s">
        <v>15323</v>
      </c>
      <c r="B16954" s="15" t="s">
        <v>15323</v>
      </c>
      <c r="C16954" s="16" t="s">
        <v>14891</v>
      </c>
      <c r="D16954" s="16" t="s">
        <v>14911</v>
      </c>
      <c r="E16954" s="2">
        <v>3172170</v>
      </c>
      <c r="F16954" s="4" t="str">
        <f>IF(B16954=B16953,"",B16954)</f>
        <v>Novi Ligure</v>
      </c>
    </row>
    <row r="16955" spans="1:6" ht="15.75" customHeight="1">
      <c r="A16955" s="8" t="str">
        <f ca="1">IFERROR(__xludf.DUMMYFUNCTION("GOOGLETRANSLATE(B34796,""en"",""pt"")"),"Novi Ligure")</f>
        <v>Novi Ligure</v>
      </c>
      <c r="B16955" s="9" t="s">
        <v>15323</v>
      </c>
      <c r="C16955" s="9" t="s">
        <v>14891</v>
      </c>
      <c r="D16955" s="9" t="s">
        <v>14911</v>
      </c>
      <c r="E16955" s="10">
        <v>3172170</v>
      </c>
      <c r="F16955" s="4" t="str">
        <f>IF(B16955=B16954,"",B16955)</f>
        <v/>
      </c>
    </row>
    <row r="16956" spans="1:6" ht="15.75" customHeight="1">
      <c r="A16956" s="15" t="s">
        <v>29514</v>
      </c>
      <c r="B16956" s="15" t="s">
        <v>29514</v>
      </c>
      <c r="C16956" s="15" t="s">
        <v>27788</v>
      </c>
      <c r="D16956" s="15" t="s">
        <v>27804</v>
      </c>
      <c r="E16956" s="2">
        <v>5004062</v>
      </c>
      <c r="F16956" s="4" t="str">
        <f>IF(B16956=B16955,"",B16956)</f>
        <v>Novi</v>
      </c>
    </row>
    <row r="16957" spans="1:6" ht="15.75" customHeight="1">
      <c r="A16957" s="8" t="str">
        <f ca="1">IFERROR(__xludf.DUMMYFUNCTION("GOOGLETRANSLATE(B44108,""en"",""pt"")"),"Novi")</f>
        <v>Novi</v>
      </c>
      <c r="B16957" s="9" t="s">
        <v>29514</v>
      </c>
      <c r="C16957" s="9" t="s">
        <v>27788</v>
      </c>
      <c r="D16957" s="9" t="s">
        <v>27804</v>
      </c>
      <c r="E16957" s="10">
        <v>5004062</v>
      </c>
      <c r="F16957" s="4" t="str">
        <f>IF(B16957=B16956,"",B16957)</f>
        <v/>
      </c>
    </row>
    <row r="16958" spans="1:6" ht="15.75" customHeight="1">
      <c r="A16958" s="15" t="s">
        <v>20924</v>
      </c>
      <c r="B16958" s="15" t="s">
        <v>20924</v>
      </c>
      <c r="C16958" s="15" t="s">
        <v>20598</v>
      </c>
      <c r="D16958" s="15" t="s">
        <v>20608</v>
      </c>
      <c r="E16958" s="2">
        <v>1697486</v>
      </c>
      <c r="F16958" s="4" t="str">
        <f>IF(B16958=B16957,"",B16958)</f>
        <v>Noveleta</v>
      </c>
    </row>
    <row r="16959" spans="1:6" ht="15.75" customHeight="1">
      <c r="A16959" s="8" t="str">
        <f ca="1">IFERROR(__xludf.DUMMYFUNCTION("GOOGLETRANSLATE(B38583,""en"",""pt"")"),"Noveleta")</f>
        <v>Noveleta</v>
      </c>
      <c r="B16959" s="9" t="s">
        <v>20924</v>
      </c>
      <c r="C16959" s="9" t="s">
        <v>20598</v>
      </c>
      <c r="D16959" s="9" t="s">
        <v>20608</v>
      </c>
      <c r="E16959" s="10">
        <v>1697486</v>
      </c>
      <c r="F16959" s="4" t="str">
        <f>IF(B16959=B16958,"",B16959)</f>
        <v/>
      </c>
    </row>
    <row r="16960" spans="1:6" ht="15.75" customHeight="1">
      <c r="A16960" s="15" t="s">
        <v>24659</v>
      </c>
      <c r="B16960" s="15" t="s">
        <v>24659</v>
      </c>
      <c r="C16960" s="15" t="s">
        <v>24200</v>
      </c>
      <c r="D16960" s="15" t="s">
        <v>21053</v>
      </c>
      <c r="E16960" s="2">
        <v>2513195</v>
      </c>
      <c r="F16960" s="4" t="str">
        <f>IF(B16960=B16959,"",B16960)</f>
        <v>Novelda</v>
      </c>
    </row>
    <row r="16961" spans="1:6" ht="15.75" customHeight="1">
      <c r="A16961" s="8" t="str">
        <f ca="1">IFERROR(__xludf.DUMMYFUNCTION("GOOGLETRANSLATE(B29038,""en"",""pt"")"),"Novelda")</f>
        <v>Novelda</v>
      </c>
      <c r="B16961" s="9" t="s">
        <v>24659</v>
      </c>
      <c r="C16961" s="9" t="s">
        <v>24200</v>
      </c>
      <c r="D16961" s="9" t="s">
        <v>21053</v>
      </c>
      <c r="E16961" s="10">
        <v>2513195</v>
      </c>
      <c r="F16961" s="4" t="str">
        <f>IF(B16961=B16960,"",B16961)</f>
        <v/>
      </c>
    </row>
    <row r="16962" spans="1:6" ht="15.75" customHeight="1">
      <c r="A16962" s="8" t="str">
        <f ca="1">IFERROR(__xludf.DUMMYFUNCTION("GOOGLETRANSLATE(B41251,""en"",""pt"")"),"Nové Zámky")</f>
        <v>Nové Zámky</v>
      </c>
      <c r="B16962" s="11" t="s">
        <v>35689</v>
      </c>
      <c r="C16962" s="11" t="s">
        <v>23694</v>
      </c>
      <c r="D16962" s="11" t="s">
        <v>23715</v>
      </c>
      <c r="E16962" s="10">
        <v>3058472</v>
      </c>
      <c r="F16962" s="4" t="str">
        <f>IF(B16962=B16961,"",B16962)</f>
        <v>Nové Zámky</v>
      </c>
    </row>
    <row r="16963" spans="1:6" ht="15.75" customHeight="1">
      <c r="A16963" s="8" t="str">
        <f ca="1">IFERROR(__xludf.DUMMYFUNCTION("GOOGLETRANSLATE(B41252,""en"",""pt"")"),"Nové Mesto Nad Váhom")</f>
        <v>Nové Mesto Nad Váhom</v>
      </c>
      <c r="B16963" s="9" t="s">
        <v>35690</v>
      </c>
      <c r="C16963" s="9" t="s">
        <v>23694</v>
      </c>
      <c r="D16963" s="9" t="s">
        <v>35682</v>
      </c>
      <c r="E16963" s="10">
        <v>3058477</v>
      </c>
      <c r="F16963" s="4" t="str">
        <f>IF(B16963=B16962,"",B16963)</f>
        <v>Nové Mesto nad Váhom</v>
      </c>
    </row>
    <row r="16964" spans="1:6" ht="15.75" customHeight="1">
      <c r="A16964" s="16" t="s">
        <v>22828</v>
      </c>
      <c r="B16964" s="15" t="s">
        <v>22829</v>
      </c>
      <c r="C16964" s="16" t="s">
        <v>22070</v>
      </c>
      <c r="D16964" s="16" t="s">
        <v>22137</v>
      </c>
      <c r="E16964" s="2">
        <v>519447</v>
      </c>
      <c r="F16964" s="4" t="str">
        <f>IF(B16964=B16963,"",B16964)</f>
        <v>Novaya Usmanâ€™</v>
      </c>
    </row>
    <row r="16965" spans="1:6" ht="15.75" customHeight="1">
      <c r="A16965" s="8" t="str">
        <f ca="1">IFERROR(__xludf.DUMMYFUNCTION("GOOGLETRANSLATE(B40272,""en"",""pt"")"),"Novaya Usman '")</f>
        <v>Novaya Usman '</v>
      </c>
      <c r="B16965" s="9" t="s">
        <v>35483</v>
      </c>
      <c r="C16965" s="9" t="s">
        <v>22070</v>
      </c>
      <c r="D16965" s="9" t="s">
        <v>22137</v>
      </c>
      <c r="E16965" s="10">
        <v>519447</v>
      </c>
      <c r="F16965" s="4" t="str">
        <f>IF(B16965=B16964,"",B16965)</f>
        <v>Novaya Usman’</v>
      </c>
    </row>
    <row r="16966" spans="1:6" ht="15.75" customHeight="1">
      <c r="A16966" s="16" t="s">
        <v>22827</v>
      </c>
      <c r="B16966" s="15" t="s">
        <v>22827</v>
      </c>
      <c r="C16966" s="16" t="s">
        <v>22070</v>
      </c>
      <c r="D16966" s="16" t="s">
        <v>22084</v>
      </c>
      <c r="E16966" s="2">
        <v>519711</v>
      </c>
      <c r="F16966" s="4" t="str">
        <f>IF(B16966=B16965,"",B16966)</f>
        <v>Novaya Derevnya</v>
      </c>
    </row>
    <row r="16967" spans="1:6" ht="15.75" customHeight="1">
      <c r="A16967" s="8" t="str">
        <f ca="1">IFERROR(__xludf.DUMMYFUNCTION("GOOGLETRANSLATE(B40273,""en"",""pt"")"),"Novaya Derevnya")</f>
        <v>Novaya Derevnya</v>
      </c>
      <c r="B16967" s="9" t="s">
        <v>22827</v>
      </c>
      <c r="C16967" s="9" t="s">
        <v>22070</v>
      </c>
      <c r="D16967" s="9" t="s">
        <v>22084</v>
      </c>
      <c r="E16967" s="10">
        <v>519711</v>
      </c>
      <c r="F16967" s="4" t="str">
        <f>IF(B16967=B16966,"",B16967)</f>
        <v/>
      </c>
    </row>
    <row r="16968" spans="1:6" ht="15.75" customHeight="1">
      <c r="A16968" s="16" t="s">
        <v>22826</v>
      </c>
      <c r="B16968" s="15" t="s">
        <v>22826</v>
      </c>
      <c r="C16968" s="16" t="s">
        <v>22070</v>
      </c>
      <c r="D16968" s="16" t="s">
        <v>22161</v>
      </c>
      <c r="E16968" s="2">
        <v>579514</v>
      </c>
      <c r="F16968" s="4" t="str">
        <f>IF(B16968=B16967,"",B16968)</f>
        <v>Novaya Balakhna</v>
      </c>
    </row>
    <row r="16969" spans="1:6" ht="15.75" customHeight="1">
      <c r="A16969" s="8" t="str">
        <f ca="1">IFERROR(__xludf.DUMMYFUNCTION("GOOGLETRANSLATE(B40649,""en"",""pt"")"),"Novaya Balakhna")</f>
        <v>Novaya Balakhna</v>
      </c>
      <c r="B16969" s="9" t="s">
        <v>22826</v>
      </c>
      <c r="C16969" s="9" t="s">
        <v>22070</v>
      </c>
      <c r="D16969" s="9" t="s">
        <v>22161</v>
      </c>
      <c r="E16969" s="10">
        <v>579514</v>
      </c>
      <c r="F16969" s="4" t="str">
        <f>IF(B16969=B16968,"",B16969)</f>
        <v/>
      </c>
    </row>
    <row r="16970" spans="1:6" ht="15.75" customHeight="1">
      <c r="A16970" s="15" t="s">
        <v>29513</v>
      </c>
      <c r="B16970" s="15" t="s">
        <v>29513</v>
      </c>
      <c r="C16970" s="15" t="s">
        <v>27788</v>
      </c>
      <c r="D16970" s="15" t="s">
        <v>27801</v>
      </c>
      <c r="E16970" s="2">
        <v>5378044</v>
      </c>
      <c r="F16970" s="4" t="str">
        <f>IF(B16970=B16969,"",B16970)</f>
        <v>Novato</v>
      </c>
    </row>
    <row r="16971" spans="1:6" ht="15.75" customHeight="1">
      <c r="A16971" s="8" t="str">
        <f ca="1">IFERROR(__xludf.DUMMYFUNCTION("GOOGLETRANSLATE(B44933,""en"",""pt"")"),"Novato")</f>
        <v>Novato</v>
      </c>
      <c r="B16971" s="9" t="s">
        <v>29513</v>
      </c>
      <c r="C16971" s="9" t="s">
        <v>27788</v>
      </c>
      <c r="D16971" s="9" t="s">
        <v>27801</v>
      </c>
      <c r="E16971" s="10">
        <v>5378044</v>
      </c>
      <c r="F16971" s="4" t="str">
        <f>IF(B16971=B16970,"",B16971)</f>
        <v/>
      </c>
    </row>
    <row r="16972" spans="1:6" ht="15.75" customHeight="1">
      <c r="A16972" s="16" t="s">
        <v>15321</v>
      </c>
      <c r="B16972" s="15" t="s">
        <v>15322</v>
      </c>
      <c r="C16972" s="16" t="s">
        <v>14891</v>
      </c>
      <c r="D16972" s="16" t="s">
        <v>14894</v>
      </c>
      <c r="E16972" s="2">
        <v>3172184</v>
      </c>
      <c r="F16972" s="4" t="str">
        <f>IF(B16972=B16971,"",B16972)</f>
        <v>Novate Milanese</v>
      </c>
    </row>
    <row r="16973" spans="1:6" ht="15.75" customHeight="1">
      <c r="A16973" s="8" t="str">
        <f ca="1">IFERROR(__xludf.DUMMYFUNCTION("GOOGLETRANSLATE(B34797,""en"",""pt"")"),"Novate milanese")</f>
        <v>Novate milanese</v>
      </c>
      <c r="B16973" s="9" t="s">
        <v>15322</v>
      </c>
      <c r="C16973" s="9" t="s">
        <v>14891</v>
      </c>
      <c r="D16973" s="9" t="s">
        <v>14894</v>
      </c>
      <c r="E16973" s="10">
        <v>3172184</v>
      </c>
      <c r="F16973" s="4" t="str">
        <f>IF(B16973=B16972,"",B16973)</f>
        <v/>
      </c>
    </row>
    <row r="16974" spans="1:6" ht="15.75" customHeight="1">
      <c r="A16974" s="15" t="s">
        <v>15320</v>
      </c>
      <c r="B16974" s="15" t="s">
        <v>15320</v>
      </c>
      <c r="C16974" s="15" t="s">
        <v>14891</v>
      </c>
      <c r="D16974" s="15" t="s">
        <v>14911</v>
      </c>
      <c r="E16974" s="2">
        <v>3172189</v>
      </c>
      <c r="F16974" s="4" t="str">
        <f>IF(B16974=B16973,"",B16974)</f>
        <v>Novara</v>
      </c>
    </row>
    <row r="16975" spans="1:6" ht="15.75" customHeight="1">
      <c r="A16975" s="8" t="str">
        <f ca="1">IFERROR(__xludf.DUMMYFUNCTION("GOOGLETRANSLATE(B34798,""en"",""pt"")"),"Novara")</f>
        <v>Novara</v>
      </c>
      <c r="B16975" s="9" t="s">
        <v>15320</v>
      </c>
      <c r="C16975" s="9" t="s">
        <v>14891</v>
      </c>
      <c r="D16975" s="9" t="s">
        <v>14911</v>
      </c>
      <c r="E16975" s="10">
        <v>3172189</v>
      </c>
      <c r="F16975" s="4" t="str">
        <f>IF(B16975=B16974,"",B16975)</f>
        <v/>
      </c>
    </row>
    <row r="16976" spans="1:6" ht="15.75" customHeight="1">
      <c r="A16976" s="16" t="s">
        <v>6069</v>
      </c>
      <c r="B16976" s="15" t="s">
        <v>6070</v>
      </c>
      <c r="C16976" s="16" t="s">
        <v>5947</v>
      </c>
      <c r="D16976" s="16" t="s">
        <v>5971</v>
      </c>
      <c r="E16976" s="2">
        <v>3069305</v>
      </c>
      <c r="F16976" s="4" t="str">
        <f>IF(B16976=B16975,"",B16976)</f>
        <v>NovÃ½ JiÄÃ­n</v>
      </c>
    </row>
    <row r="16977" spans="1:6" ht="15.75" customHeight="1">
      <c r="A16977" s="16" t="s">
        <v>23744</v>
      </c>
      <c r="B16977" s="15" t="s">
        <v>23745</v>
      </c>
      <c r="C16977" s="16" t="s">
        <v>23694</v>
      </c>
      <c r="D16977" s="16" t="s">
        <v>23715</v>
      </c>
      <c r="E16977" s="2">
        <v>3058472</v>
      </c>
      <c r="F16977" s="4" t="str">
        <f>IF(B16977=B16976,"",B16977)</f>
        <v>NovÃ© ZÃ¡mky</v>
      </c>
    </row>
    <row r="16978" spans="1:6" ht="15.75" customHeight="1">
      <c r="A16978" s="16" t="s">
        <v>23742</v>
      </c>
      <c r="B16978" s="15" t="s">
        <v>23743</v>
      </c>
      <c r="C16978" s="16" t="s">
        <v>23694</v>
      </c>
      <c r="D16978" s="16" t="s">
        <v>23702</v>
      </c>
      <c r="E16978" s="2">
        <v>3058477</v>
      </c>
      <c r="F16978" s="4" t="str">
        <f>IF(B16978=B16977,"",B16978)</f>
        <v>NovÃ© Mesto nad VÃ¡hom</v>
      </c>
    </row>
    <row r="16979" spans="1:6" ht="15.75" customHeight="1">
      <c r="A16979" s="16" t="s">
        <v>3734</v>
      </c>
      <c r="B16979" s="15" t="s">
        <v>3734</v>
      </c>
      <c r="C16979" s="16" t="s">
        <v>3701</v>
      </c>
      <c r="D16979" s="16" t="s">
        <v>3735</v>
      </c>
      <c r="E16979" s="2">
        <v>728742</v>
      </c>
      <c r="F16979" s="4" t="str">
        <f>IF(B16979=B16978,"",B16979)</f>
        <v>Nova Zagora</v>
      </c>
    </row>
    <row r="16980" spans="1:6" ht="15.75" customHeight="1">
      <c r="A16980" s="8" t="str">
        <f ca="1">IFERROR(__xludf.DUMMYFUNCTION("GOOGLETRANSLATE(B24039,""en"",""pt"")"),"Nova Zagora")</f>
        <v>Nova Zagora</v>
      </c>
      <c r="B16980" s="11" t="s">
        <v>3734</v>
      </c>
      <c r="C16980" s="11" t="s">
        <v>3701</v>
      </c>
      <c r="D16980" s="11" t="s">
        <v>3735</v>
      </c>
      <c r="E16980" s="10">
        <v>728742</v>
      </c>
      <c r="F16980" s="4" t="str">
        <f>IF(B16980=B16979,"",B16980)</f>
        <v/>
      </c>
    </row>
    <row r="16981" spans="1:6" ht="15.75" customHeight="1">
      <c r="A16981" s="8" t="str">
        <f ca="1">IFERROR(__xludf.DUMMYFUNCTION("GOOGLETRANSLATE(B24771,""en"",""pt"")"),"Nova VICOSA")</f>
        <v>Nova VICOSA</v>
      </c>
      <c r="B16981" s="9" t="s">
        <v>31577</v>
      </c>
      <c r="C16981" s="9" t="s">
        <v>1905</v>
      </c>
      <c r="D16981" s="9" t="s">
        <v>1947</v>
      </c>
      <c r="E16981" s="10">
        <v>3456102</v>
      </c>
      <c r="F16981" s="4" t="str">
        <f>IF(B16981=B16980,"",B16981)</f>
        <v>Nova Viçosa</v>
      </c>
    </row>
    <row r="16982" spans="1:6" ht="15.75" customHeight="1">
      <c r="A16982" s="16" t="s">
        <v>2977</v>
      </c>
      <c r="B16982" s="15" t="s">
        <v>2978</v>
      </c>
      <c r="C16982" s="16" t="s">
        <v>1905</v>
      </c>
      <c r="D16982" s="16" t="s">
        <v>1947</v>
      </c>
      <c r="E16982" s="2">
        <v>3456102</v>
      </c>
      <c r="F16982" s="4" t="str">
        <f>IF(B16982=B16981,"",B16982)</f>
        <v>Nova ViÃ§osa</v>
      </c>
    </row>
    <row r="16983" spans="1:6" ht="15.75" customHeight="1">
      <c r="A16983" s="8" t="str">
        <f ca="1">IFERROR(__xludf.DUMMYFUNCTION("GOOGLETRANSLATE(B24772,""en"",""pt"")"),"Nova Venécia")</f>
        <v>Nova Venécia</v>
      </c>
      <c r="B16983" s="9" t="s">
        <v>31578</v>
      </c>
      <c r="C16983" s="9" t="s">
        <v>1905</v>
      </c>
      <c r="D16983" s="9" t="s">
        <v>31426</v>
      </c>
      <c r="E16983" s="10">
        <v>3456110</v>
      </c>
      <c r="F16983" s="4" t="str">
        <f>IF(B16983=B16982,"",B16983)</f>
        <v>Nova Venécia</v>
      </c>
    </row>
    <row r="16984" spans="1:6" ht="15.75" customHeight="1">
      <c r="A16984" s="16" t="s">
        <v>2975</v>
      </c>
      <c r="B16984" s="15" t="s">
        <v>2976</v>
      </c>
      <c r="C16984" s="16" t="s">
        <v>1905</v>
      </c>
      <c r="D16984" s="16" t="s">
        <v>1949</v>
      </c>
      <c r="E16984" s="2">
        <v>3456110</v>
      </c>
      <c r="F16984" s="4" t="str">
        <f>IF(B16984=B16983,"",B16984)</f>
        <v>Nova VenÃ©cia</v>
      </c>
    </row>
    <row r="16985" spans="1:6" ht="15.75" customHeight="1">
      <c r="A16985" s="16" t="s">
        <v>2973</v>
      </c>
      <c r="B16985" s="15" t="s">
        <v>2974</v>
      </c>
      <c r="C16985" s="16" t="s">
        <v>1905</v>
      </c>
      <c r="D16985" s="16" t="s">
        <v>1930</v>
      </c>
      <c r="E16985" s="2">
        <v>3393832</v>
      </c>
      <c r="F16985" s="4" t="str">
        <f>IF(B16985=B16984,"",B16985)</f>
        <v>Nova Russas</v>
      </c>
    </row>
    <row r="16986" spans="1:6" ht="15.75" customHeight="1">
      <c r="A16986" s="8" t="str">
        <f ca="1">IFERROR(__xludf.DUMMYFUNCTION("GOOGLETRANSLATE(B24255,""en"",""pt"")"),"Nova Russa")</f>
        <v>Nova Russa</v>
      </c>
      <c r="B16986" s="11" t="s">
        <v>2974</v>
      </c>
      <c r="C16986" s="11" t="s">
        <v>1905</v>
      </c>
      <c r="D16986" s="11" t="s">
        <v>31345</v>
      </c>
      <c r="E16986" s="10">
        <v>3393832</v>
      </c>
      <c r="F16986" s="4" t="str">
        <f>IF(B16986=B16985,"",B16986)</f>
        <v/>
      </c>
    </row>
    <row r="16987" spans="1:6" ht="15.75" customHeight="1">
      <c r="A16987" s="16" t="s">
        <v>2972</v>
      </c>
      <c r="B16987" s="15" t="s">
        <v>2972</v>
      </c>
      <c r="C16987" s="16" t="s">
        <v>1905</v>
      </c>
      <c r="D16987" s="16" t="s">
        <v>1951</v>
      </c>
      <c r="E16987" s="2">
        <v>3456125</v>
      </c>
      <c r="F16987" s="4" t="str">
        <f>IF(B16987=B16986,"",B16987)</f>
        <v>Nova Prata</v>
      </c>
    </row>
    <row r="16988" spans="1:6" ht="15.75" customHeight="1">
      <c r="A16988" s="8" t="str">
        <f ca="1">IFERROR(__xludf.DUMMYFUNCTION("GOOGLETRANSLATE(B24773,""en"",""pt"")"),"Nova Prata")</f>
        <v>Nova Prata</v>
      </c>
      <c r="B16988" s="9" t="s">
        <v>2972</v>
      </c>
      <c r="C16988" s="9" t="s">
        <v>1905</v>
      </c>
      <c r="D16988" s="9" t="s">
        <v>1951</v>
      </c>
      <c r="E16988" s="10">
        <v>3456125</v>
      </c>
      <c r="F16988" s="4" t="str">
        <f>IF(B16988=B16987,"",B16988)</f>
        <v/>
      </c>
    </row>
    <row r="16989" spans="1:6" ht="15.75" customHeight="1">
      <c r="A16989" s="8" t="str">
        <f ca="1">IFERROR(__xludf.DUMMYFUNCTION("GOOGLETRANSLATE(B24774,""en"",""pt"")"),"Nova Petrópolis")</f>
        <v>Nova Petrópolis</v>
      </c>
      <c r="B16989" s="11" t="s">
        <v>31579</v>
      </c>
      <c r="C16989" s="11" t="s">
        <v>1905</v>
      </c>
      <c r="D16989" s="11" t="s">
        <v>1951</v>
      </c>
      <c r="E16989" s="10">
        <v>3456127</v>
      </c>
      <c r="F16989" s="4" t="str">
        <f>IF(B16989=B16988,"",B16989)</f>
        <v>Nova Petrópolis</v>
      </c>
    </row>
    <row r="16990" spans="1:6" ht="15.75" customHeight="1">
      <c r="A16990" s="16" t="s">
        <v>2970</v>
      </c>
      <c r="B16990" s="15" t="s">
        <v>2971</v>
      </c>
      <c r="C16990" s="16" t="s">
        <v>1905</v>
      </c>
      <c r="D16990" s="16" t="s">
        <v>1951</v>
      </c>
      <c r="E16990" s="2">
        <v>3456127</v>
      </c>
      <c r="F16990" s="4" t="str">
        <f>IF(B16990=B16989,"",B16990)</f>
        <v>Nova PetrÃ³polis</v>
      </c>
    </row>
    <row r="16991" spans="1:6" ht="15.75" customHeight="1">
      <c r="A16991" s="16" t="s">
        <v>23638</v>
      </c>
      <c r="B16991" s="15" t="s">
        <v>23638</v>
      </c>
      <c r="C16991" s="16" t="s">
        <v>23602</v>
      </c>
      <c r="D16991" s="16" t="s">
        <v>23610</v>
      </c>
      <c r="E16991" s="2">
        <v>787615</v>
      </c>
      <c r="F16991" s="4" t="str">
        <f>IF(B16991=B16990,"",B16991)</f>
        <v>Nova Pazova</v>
      </c>
    </row>
    <row r="16992" spans="1:6" ht="15.75" customHeight="1">
      <c r="A16992" s="8" t="str">
        <f ca="1">IFERROR(__xludf.DUMMYFUNCTION("GOOGLETRANSLATE(B39874,""en"",""pt"")"),"Nova Pazova")</f>
        <v>Nova Pazova</v>
      </c>
      <c r="B16992" s="11" t="s">
        <v>23638</v>
      </c>
      <c r="C16992" s="11" t="s">
        <v>23602</v>
      </c>
      <c r="D16992" s="11" t="s">
        <v>23610</v>
      </c>
      <c r="E16992" s="10">
        <v>787615</v>
      </c>
      <c r="F16992" s="4" t="str">
        <f>IF(B16992=B16991,"",B16992)</f>
        <v/>
      </c>
    </row>
    <row r="16993" spans="1:6" ht="15.75" customHeight="1">
      <c r="A16993" s="8" t="str">
        <f ca="1">IFERROR(__xludf.DUMMYFUNCTION("GOOGLETRANSLATE(B24775,""en"",""pt"")"),"Nova Olímpia")</f>
        <v>Nova Olímpia</v>
      </c>
      <c r="B16993" s="9" t="s">
        <v>31580</v>
      </c>
      <c r="C16993" s="9" t="s">
        <v>1905</v>
      </c>
      <c r="D16993" s="9" t="s">
        <v>2036</v>
      </c>
      <c r="E16993" s="10">
        <v>3456137</v>
      </c>
      <c r="F16993" s="4" t="str">
        <f>IF(B16993=B16992,"",B16993)</f>
        <v>Nova Olímpia</v>
      </c>
    </row>
    <row r="16994" spans="1:6" ht="15.75" customHeight="1">
      <c r="A16994" s="16" t="s">
        <v>2968</v>
      </c>
      <c r="B16994" s="15" t="s">
        <v>2969</v>
      </c>
      <c r="C16994" s="16" t="s">
        <v>1905</v>
      </c>
      <c r="D16994" s="16" t="s">
        <v>2036</v>
      </c>
      <c r="E16994" s="2">
        <v>3456137</v>
      </c>
      <c r="F16994" s="4" t="str">
        <f>IF(B16994=B16993,"",B16994)</f>
        <v>Nova OlÃ­mpia</v>
      </c>
    </row>
    <row r="16995" spans="1:6" ht="15.75" customHeight="1">
      <c r="A16995" s="16" t="s">
        <v>2967</v>
      </c>
      <c r="B16995" s="15" t="s">
        <v>2967</v>
      </c>
      <c r="C16995" s="16" t="s">
        <v>1905</v>
      </c>
      <c r="D16995" s="16" t="s">
        <v>1914</v>
      </c>
      <c r="E16995" s="2">
        <v>3456138</v>
      </c>
      <c r="F16995" s="4" t="str">
        <f>IF(B16995=B16994,"",B16995)</f>
        <v>Nova Odessa</v>
      </c>
    </row>
    <row r="16996" spans="1:6" ht="15.75" customHeight="1">
      <c r="A16996" s="8" t="str">
        <f ca="1">IFERROR(__xludf.DUMMYFUNCTION("GOOGLETRANSLATE(B24776,""en"",""pt"")"),"Nova Odessa")</f>
        <v>Nova Odessa</v>
      </c>
      <c r="B16996" s="9" t="s">
        <v>2967</v>
      </c>
      <c r="C16996" s="9" t="s">
        <v>1905</v>
      </c>
      <c r="D16996" s="9" t="s">
        <v>3354</v>
      </c>
      <c r="E16996" s="10">
        <v>3456138</v>
      </c>
      <c r="F16996" s="4" t="str">
        <f>IF(B16996=B16995,"",B16996)</f>
        <v/>
      </c>
    </row>
    <row r="16997" spans="1:6" ht="15.75" customHeight="1">
      <c r="A16997" s="16" t="s">
        <v>15318</v>
      </c>
      <c r="B16997" s="15" t="s">
        <v>15319</v>
      </c>
      <c r="C16997" s="16" t="s">
        <v>14891</v>
      </c>
      <c r="D16997" s="16" t="s">
        <v>14894</v>
      </c>
      <c r="E16997" s="2">
        <v>3172191</v>
      </c>
      <c r="F16997" s="4" t="str">
        <f>IF(B16997=B16996,"",B16997)</f>
        <v>Nova Milanese</v>
      </c>
    </row>
    <row r="16998" spans="1:6" ht="15.75" customHeight="1">
      <c r="A16998" s="8" t="str">
        <f ca="1">IFERROR(__xludf.DUMMYFUNCTION("GOOGLETRANSLATE(B34799,""en"",""pt"")"),"Nova milanese")</f>
        <v>Nova milanese</v>
      </c>
      <c r="B16998" s="9" t="s">
        <v>15319</v>
      </c>
      <c r="C16998" s="9" t="s">
        <v>14891</v>
      </c>
      <c r="D16998" s="9" t="s">
        <v>14894</v>
      </c>
      <c r="E16998" s="10">
        <v>3172191</v>
      </c>
      <c r="F16998" s="4" t="str">
        <f>IF(B16998=B16997,"",B16998)</f>
        <v/>
      </c>
    </row>
    <row r="16999" spans="1:6" ht="15.75" customHeight="1">
      <c r="A16999" s="16" t="s">
        <v>2966</v>
      </c>
      <c r="B16999" s="15" t="s">
        <v>2966</v>
      </c>
      <c r="C16999" s="16" t="s">
        <v>1905</v>
      </c>
      <c r="D16999" s="16" t="s">
        <v>1917</v>
      </c>
      <c r="E16999" s="2">
        <v>3456147</v>
      </c>
      <c r="F16999" s="4" t="str">
        <f>IF(B16999=B16998,"",B16999)</f>
        <v>Nova Lima</v>
      </c>
    </row>
    <row r="17000" spans="1:6" ht="15.75" customHeight="1">
      <c r="A17000" s="8" t="str">
        <f ca="1">IFERROR(__xludf.DUMMYFUNCTION("GOOGLETRANSLATE(B24777,""en"",""pt"")"),"Nova Lima")</f>
        <v>Nova Lima</v>
      </c>
      <c r="B17000" s="9" t="s">
        <v>2966</v>
      </c>
      <c r="C17000" s="9" t="s">
        <v>1905</v>
      </c>
      <c r="D17000" s="9" t="s">
        <v>1917</v>
      </c>
      <c r="E17000" s="10">
        <v>3456147</v>
      </c>
      <c r="F17000" s="4" t="str">
        <f>IF(B17000=B16999,"",B17000)</f>
        <v/>
      </c>
    </row>
    <row r="17001" spans="1:6" ht="15.75" customHeight="1">
      <c r="A17001" s="16" t="s">
        <v>27083</v>
      </c>
      <c r="B17001" s="15" t="s">
        <v>27083</v>
      </c>
      <c r="C17001" s="16" t="s">
        <v>26870</v>
      </c>
      <c r="D17001" s="16" t="s">
        <v>26969</v>
      </c>
      <c r="E17001" s="2">
        <v>699839</v>
      </c>
      <c r="F17001" s="4" t="str">
        <f>IF(B17001=B17000,"",B17001)</f>
        <v>Nova Kakhovka</v>
      </c>
    </row>
    <row r="17002" spans="1:6" ht="15.75" customHeight="1">
      <c r="A17002" s="8" t="str">
        <f ca="1">IFERROR(__xludf.DUMMYFUNCTION("GOOGLETRANSLATE(B42567,""en"",""pt"")"),"Nova Kakhovka")</f>
        <v>Nova Kakhovka</v>
      </c>
      <c r="B17002" s="9" t="s">
        <v>27083</v>
      </c>
      <c r="C17002" s="9" t="s">
        <v>26870</v>
      </c>
      <c r="D17002" s="9" t="s">
        <v>26969</v>
      </c>
      <c r="E17002" s="10">
        <v>699839</v>
      </c>
      <c r="F17002" s="4" t="str">
        <f>IF(B17002=B17001,"",B17002)</f>
        <v/>
      </c>
    </row>
    <row r="17003" spans="1:6" ht="15.75" customHeight="1">
      <c r="A17003" s="8" t="str">
        <f ca="1">IFERROR(__xludf.DUMMYFUNCTION("GOOGLETRANSLATE(B24778,""en"",""pt"")"),"Nova Iguaçu")</f>
        <v>Nova Iguaçu</v>
      </c>
      <c r="B17003" s="11" t="s">
        <v>31581</v>
      </c>
      <c r="C17003" s="11" t="s">
        <v>1905</v>
      </c>
      <c r="D17003" s="11" t="s">
        <v>1978</v>
      </c>
      <c r="E17003" s="10">
        <v>3456160</v>
      </c>
      <c r="F17003" s="4" t="str">
        <f>IF(B17003=B17002,"",B17003)</f>
        <v>Nova Iguaçu</v>
      </c>
    </row>
    <row r="17004" spans="1:6" ht="15.75" customHeight="1">
      <c r="A17004" s="16" t="s">
        <v>2964</v>
      </c>
      <c r="B17004" s="15" t="s">
        <v>2965</v>
      </c>
      <c r="C17004" s="16" t="s">
        <v>1905</v>
      </c>
      <c r="D17004" s="16" t="s">
        <v>1978</v>
      </c>
      <c r="E17004" s="2">
        <v>3456160</v>
      </c>
      <c r="F17004" s="4" t="str">
        <f>IF(B17004=B17003,"",B17004)</f>
        <v>Nova IguaÃ§u</v>
      </c>
    </row>
    <row r="17005" spans="1:6" ht="15.75" customHeight="1">
      <c r="A17005" s="16" t="s">
        <v>2963</v>
      </c>
      <c r="B17005" s="15" t="s">
        <v>2963</v>
      </c>
      <c r="C17005" s="16" t="s">
        <v>1905</v>
      </c>
      <c r="D17005" s="16" t="s">
        <v>1914</v>
      </c>
      <c r="E17005" s="2">
        <v>3456164</v>
      </c>
      <c r="F17005" s="4" t="str">
        <f>IF(B17005=B17004,"",B17005)</f>
        <v>Nova Granada</v>
      </c>
    </row>
    <row r="17006" spans="1:6" ht="15.75" customHeight="1">
      <c r="A17006" s="8" t="str">
        <f ca="1">IFERROR(__xludf.DUMMYFUNCTION("GOOGLETRANSLATE(B24779,""en"",""pt"")"),"Nova Granada")</f>
        <v>Nova Granada</v>
      </c>
      <c r="B17006" s="9" t="s">
        <v>2963</v>
      </c>
      <c r="C17006" s="9" t="s">
        <v>1905</v>
      </c>
      <c r="D17006" s="9" t="s">
        <v>3354</v>
      </c>
      <c r="E17006" s="10">
        <v>3456164</v>
      </c>
      <c r="F17006" s="4" t="str">
        <f>IF(B17006=B17005,"",B17006)</f>
        <v/>
      </c>
    </row>
    <row r="17007" spans="1:6" ht="15.75" customHeight="1">
      <c r="A17007" s="16" t="s">
        <v>2962</v>
      </c>
      <c r="B17007" s="15" t="s">
        <v>2962</v>
      </c>
      <c r="C17007" s="16" t="s">
        <v>1905</v>
      </c>
      <c r="D17007" s="16" t="s">
        <v>1978</v>
      </c>
      <c r="E17007" s="2">
        <v>3456166</v>
      </c>
      <c r="F17007" s="4" t="str">
        <f>IF(B17007=B17006,"",B17007)</f>
        <v>Nova Friburgo</v>
      </c>
    </row>
    <row r="17008" spans="1:6" ht="15.75" customHeight="1">
      <c r="A17008" s="8" t="str">
        <f ca="1">IFERROR(__xludf.DUMMYFUNCTION("GOOGLETRANSLATE(B24780,""en"",""pt"")"),"Nova Friburgo")</f>
        <v>Nova Friburgo</v>
      </c>
      <c r="B17008" s="9" t="s">
        <v>2962</v>
      </c>
      <c r="C17008" s="9" t="s">
        <v>1905</v>
      </c>
      <c r="D17008" s="9" t="s">
        <v>1978</v>
      </c>
      <c r="E17008" s="10">
        <v>3456166</v>
      </c>
      <c r="F17008" s="4" t="str">
        <f>IF(B17008=B17007,"",B17008)</f>
        <v/>
      </c>
    </row>
    <row r="17009" spans="1:6" ht="15.75" customHeight="1">
      <c r="A17009" s="15" t="s">
        <v>2961</v>
      </c>
      <c r="B17009" s="15" t="s">
        <v>2961</v>
      </c>
      <c r="C17009" s="15" t="s">
        <v>1905</v>
      </c>
      <c r="D17009" s="15" t="s">
        <v>1917</v>
      </c>
      <c r="E17009" s="2">
        <v>3456176</v>
      </c>
      <c r="F17009" s="4" t="str">
        <f>IF(B17009=B17008,"",B17009)</f>
        <v>Nova Era</v>
      </c>
    </row>
    <row r="17010" spans="1:6" ht="15.75" customHeight="1">
      <c r="A17010" s="8" t="str">
        <f ca="1">IFERROR(__xludf.DUMMYFUNCTION("GOOGLETRANSLATE(B24781,""en"",""pt"")"),"Nova Era")</f>
        <v>Nova Era</v>
      </c>
      <c r="B17010" s="11" t="s">
        <v>2961</v>
      </c>
      <c r="C17010" s="11" t="s">
        <v>1905</v>
      </c>
      <c r="D17010" s="11" t="s">
        <v>1917</v>
      </c>
      <c r="E17010" s="10">
        <v>3456176</v>
      </c>
      <c r="F17010" s="4" t="str">
        <f>IF(B17010=B17009,"",B17010)</f>
        <v/>
      </c>
    </row>
    <row r="17011" spans="1:6" ht="15.75" customHeight="1">
      <c r="A17011" s="16" t="s">
        <v>2960</v>
      </c>
      <c r="B17011" s="15" t="s">
        <v>2960</v>
      </c>
      <c r="C17011" s="16" t="s">
        <v>1905</v>
      </c>
      <c r="D17011" s="16" t="s">
        <v>1922</v>
      </c>
      <c r="E17011" s="2">
        <v>3393876</v>
      </c>
      <c r="F17011" s="4" t="str">
        <f>IF(B17011=B17010,"",B17011)</f>
        <v>Nova Cruz</v>
      </c>
    </row>
    <row r="17012" spans="1:6" ht="15.75" customHeight="1">
      <c r="A17012" s="8" t="str">
        <f ca="1">IFERROR(__xludf.DUMMYFUNCTION("GOOGLETRANSLATE(B24256,""en"",""pt"")"),"Nova Cruz")</f>
        <v>Nova Cruz</v>
      </c>
      <c r="B17012" s="9" t="s">
        <v>2960</v>
      </c>
      <c r="C17012" s="9" t="s">
        <v>1905</v>
      </c>
      <c r="D17012" s="9" t="s">
        <v>1922</v>
      </c>
      <c r="E17012" s="10">
        <v>3393876</v>
      </c>
      <c r="F17012" s="4" t="str">
        <f>IF(B17012=B17011,"",B17012)</f>
        <v/>
      </c>
    </row>
    <row r="17013" spans="1:6" ht="15.75" customHeight="1">
      <c r="A17013" s="16" t="s">
        <v>3809</v>
      </c>
      <c r="B17013" s="15" t="s">
        <v>3810</v>
      </c>
      <c r="C17013" s="16" t="s">
        <v>3768</v>
      </c>
      <c r="D17013" s="16" t="s">
        <v>3780</v>
      </c>
      <c r="E17013" s="2">
        <v>2357163</v>
      </c>
      <c r="F17013" s="4" t="str">
        <f>IF(B17013=B17012,"",B17013)</f>
        <v>Nouna</v>
      </c>
    </row>
    <row r="17014" spans="1:6" ht="15.75" customHeight="1">
      <c r="A17014" s="8" t="str">
        <f ca="1">IFERROR(__xludf.DUMMYFUNCTION("GOOGLETRANSLATE(B23984,""en"",""pt"")"),"Substantivo")</f>
        <v>Substantivo</v>
      </c>
      <c r="B17014" s="9" t="s">
        <v>3810</v>
      </c>
      <c r="C17014" s="9" t="s">
        <v>3768</v>
      </c>
      <c r="D17014" s="9" t="s">
        <v>3780</v>
      </c>
      <c r="E17014" s="10">
        <v>2357163</v>
      </c>
      <c r="F17014" s="4" t="str">
        <f>IF(B17014=B17013,"",B17014)</f>
        <v/>
      </c>
    </row>
    <row r="17015" spans="1:6" ht="15.75" customHeight="1">
      <c r="A17015" s="8" t="str">
        <f ca="1">IFERROR(__xludf.DUMMYFUNCTION("GOOGLETRANSLATE(B37578,""en"",""pt"")"),"Nouméa")</f>
        <v>Nouméa</v>
      </c>
      <c r="B17015" s="11" t="s">
        <v>34802</v>
      </c>
      <c r="C17015" s="11" t="s">
        <v>19164</v>
      </c>
      <c r="D17015" s="11" t="s">
        <v>3885</v>
      </c>
      <c r="E17015" s="10">
        <v>2139521</v>
      </c>
      <c r="F17015" s="4" t="str">
        <f>IF(B17015=B17014,"",B17015)</f>
        <v>Nouméa</v>
      </c>
    </row>
    <row r="17016" spans="1:6" ht="15.75" customHeight="1">
      <c r="A17016" s="15" t="s">
        <v>19166</v>
      </c>
      <c r="B17016" s="15" t="s">
        <v>19167</v>
      </c>
      <c r="C17016" s="15" t="s">
        <v>19164</v>
      </c>
      <c r="D17016" s="15" t="s">
        <v>3885</v>
      </c>
      <c r="E17016" s="2">
        <v>2139521</v>
      </c>
      <c r="F17016" s="4" t="str">
        <f>IF(B17016=B17015,"",B17016)</f>
        <v>NoumÃ©a</v>
      </c>
    </row>
    <row r="17017" spans="1:6" ht="15.75" customHeight="1">
      <c r="A17017" s="16" t="s">
        <v>17664</v>
      </c>
      <c r="B17017" s="15" t="s">
        <v>17665</v>
      </c>
      <c r="C17017" s="16" t="s">
        <v>17650</v>
      </c>
      <c r="D17017" s="16" t="s">
        <v>17665</v>
      </c>
      <c r="E17017" s="2">
        <v>2377450</v>
      </c>
      <c r="F17017" s="4" t="str">
        <f>IF(B17017=B17016,"",B17017)</f>
        <v>Nouakchott</v>
      </c>
    </row>
    <row r="17018" spans="1:6" ht="15.75" customHeight="1">
      <c r="A17018" s="8" t="str">
        <f ca="1">IFERROR(__xludf.DUMMYFUNCTION("GOOGLETRANSLATE(B36798,""en"",""pt"")"),"NouakChott")</f>
        <v>NouakChott</v>
      </c>
      <c r="B17018" s="9" t="s">
        <v>17665</v>
      </c>
      <c r="C17018" s="9" t="s">
        <v>17650</v>
      </c>
      <c r="D17018" s="9" t="s">
        <v>17665</v>
      </c>
      <c r="E17018" s="10">
        <v>2377450</v>
      </c>
      <c r="F17018" s="4" t="str">
        <f>IF(B17018=B17017,"",B17018)</f>
        <v/>
      </c>
    </row>
    <row r="17019" spans="1:6" ht="15.75" customHeight="1">
      <c r="A17019" s="8" t="str">
        <f ca="1">IFERROR(__xludf.DUMMYFUNCTION("GOOGLETRANSLATE(B36799,""en"",""pt"")"),"Nouâdhibou")</f>
        <v>Nouâdhibou</v>
      </c>
      <c r="B17019" s="11" t="s">
        <v>34647</v>
      </c>
      <c r="C17019" s="11" t="s">
        <v>17650</v>
      </c>
      <c r="D17019" s="11" t="s">
        <v>17663</v>
      </c>
      <c r="E17019" s="10">
        <v>2377457</v>
      </c>
      <c r="F17019" s="4" t="str">
        <f>IF(B17019=B17018,"",B17019)</f>
        <v>Nouâdhibou</v>
      </c>
    </row>
    <row r="17020" spans="1:6" ht="15.75" customHeight="1">
      <c r="A17020" s="16" t="s">
        <v>17661</v>
      </c>
      <c r="B17020" s="15" t="s">
        <v>17662</v>
      </c>
      <c r="C17020" s="16" t="s">
        <v>17650</v>
      </c>
      <c r="D17020" s="16" t="s">
        <v>17663</v>
      </c>
      <c r="E17020" s="2">
        <v>2377457</v>
      </c>
      <c r="F17020" s="4" t="str">
        <f>IF(B17020=B17019,"",B17020)</f>
        <v>NouÃ¢dhibou</v>
      </c>
    </row>
    <row r="17021" spans="1:6" ht="15.75" customHeight="1">
      <c r="A17021" s="16" t="s">
        <v>24658</v>
      </c>
      <c r="B17021" s="15" t="s">
        <v>24658</v>
      </c>
      <c r="C17021" s="16" t="s">
        <v>24200</v>
      </c>
      <c r="D17021" s="16" t="s">
        <v>24277</v>
      </c>
      <c r="E17021" s="2">
        <v>6252065</v>
      </c>
      <c r="F17021" s="4" t="str">
        <f>IF(B17021=B17020,"",B17021)</f>
        <v>Nou Barris</v>
      </c>
    </row>
    <row r="17022" spans="1:6" ht="15.75" customHeight="1">
      <c r="A17022" s="8" t="str">
        <f ca="1">IFERROR(__xludf.DUMMYFUNCTION("GOOGLETRANSLATE(B29477,""en"",""pt"")"),"Nou Barris")</f>
        <v>Nou Barris</v>
      </c>
      <c r="B17022" s="9" t="s">
        <v>24658</v>
      </c>
      <c r="C17022" s="9" t="s">
        <v>24200</v>
      </c>
      <c r="D17022" s="9" t="s">
        <v>24277</v>
      </c>
      <c r="E17022" s="10">
        <v>6252065</v>
      </c>
      <c r="F17022" s="4" t="str">
        <f>IF(B17022=B17021,"",B17022)</f>
        <v/>
      </c>
    </row>
    <row r="17023" spans="1:6" ht="15.75" customHeight="1">
      <c r="A17023" s="15" t="s">
        <v>8942</v>
      </c>
      <c r="B17023" s="15" t="s">
        <v>8942</v>
      </c>
      <c r="C17023" s="15" t="s">
        <v>8028</v>
      </c>
      <c r="D17023" s="15" t="s">
        <v>8029</v>
      </c>
      <c r="E17023" s="2">
        <v>2861733</v>
      </c>
      <c r="F17023" s="4" t="str">
        <f>IF(B17023=B17022,"",B17023)</f>
        <v>Nottuln</v>
      </c>
    </row>
    <row r="17024" spans="1:6" ht="15.75" customHeight="1">
      <c r="A17024" s="8" t="str">
        <f ca="1">IFERROR(__xludf.DUMMYFUNCTION("GOOGLETRANSLATE(B27692,""en"",""pt"")"),"Nottuln")</f>
        <v>Nottuln</v>
      </c>
      <c r="B17024" s="9" t="s">
        <v>8942</v>
      </c>
      <c r="C17024" s="9" t="s">
        <v>8028</v>
      </c>
      <c r="D17024" s="9" t="s">
        <v>8029</v>
      </c>
      <c r="E17024" s="10">
        <v>2861733</v>
      </c>
      <c r="F17024" s="4" t="str">
        <f>IF(B17024=B17023,"",B17024)</f>
        <v/>
      </c>
    </row>
    <row r="17025" spans="1:6" ht="15.75" customHeight="1">
      <c r="A17025" s="16" t="s">
        <v>27576</v>
      </c>
      <c r="B17025" s="15" t="s">
        <v>27576</v>
      </c>
      <c r="C17025" s="16" t="s">
        <v>27234</v>
      </c>
      <c r="D17025" s="16" t="s">
        <v>27241</v>
      </c>
      <c r="E17025" s="2">
        <v>2641170</v>
      </c>
      <c r="F17025" s="4" t="str">
        <f>IF(B17025=B17024,"",B17025)</f>
        <v>Nottingham</v>
      </c>
    </row>
    <row r="17026" spans="1:6" ht="15.75" customHeight="1">
      <c r="A17026" s="8" t="str">
        <f ca="1">IFERROR(__xludf.DUMMYFUNCTION("GOOGLETRANSLATE(B30501,""en"",""pt"")"),"Nottingham")</f>
        <v>Nottingham</v>
      </c>
      <c r="B17026" s="11" t="s">
        <v>27576</v>
      </c>
      <c r="C17026" s="11" t="s">
        <v>27234</v>
      </c>
      <c r="D17026" s="11" t="s">
        <v>27241</v>
      </c>
      <c r="E17026" s="10">
        <v>2641170</v>
      </c>
      <c r="F17026" s="4" t="str">
        <f>IF(B17026=B17025,"",B17026)</f>
        <v/>
      </c>
    </row>
    <row r="17027" spans="1:6" ht="15.75" customHeight="1">
      <c r="A17027" s="8" t="str">
        <f ca="1">IFERROR(__xludf.DUMMYFUNCTION("GOOGLETRANSLATE(B41499,""en"",""pt"")"),"Notsé")</f>
        <v>Notsé</v>
      </c>
      <c r="B17027" s="9" t="s">
        <v>35778</v>
      </c>
      <c r="C17027" s="9" t="s">
        <v>26038</v>
      </c>
      <c r="D17027" s="9" t="s">
        <v>21792</v>
      </c>
      <c r="E17027" s="10">
        <v>2364752</v>
      </c>
      <c r="F17027" s="4" t="str">
        <f>IF(B17027=B17026,"",B17027)</f>
        <v>Notsé</v>
      </c>
    </row>
    <row r="17028" spans="1:6" ht="15.75" customHeight="1">
      <c r="A17028" s="15" t="s">
        <v>26053</v>
      </c>
      <c r="B17028" s="15" t="s">
        <v>26054</v>
      </c>
      <c r="C17028" s="15" t="s">
        <v>26038</v>
      </c>
      <c r="D17028" s="15" t="s">
        <v>21792</v>
      </c>
      <c r="E17028" s="2">
        <v>2364752</v>
      </c>
      <c r="F17028" s="4" t="str">
        <f>IF(B17028=B17027,"",B17028)</f>
        <v>NotsÃ©</v>
      </c>
    </row>
    <row r="17029" spans="1:6" ht="15.75" customHeight="1">
      <c r="A17029" s="15" t="s">
        <v>15317</v>
      </c>
      <c r="B17029" s="15" t="s">
        <v>15317</v>
      </c>
      <c r="C17029" s="15" t="s">
        <v>14891</v>
      </c>
      <c r="D17029" s="15" t="s">
        <v>14899</v>
      </c>
      <c r="E17029" s="2">
        <v>2523998</v>
      </c>
      <c r="F17029" s="4" t="str">
        <f>IF(B17029=B17028,"",B17029)</f>
        <v>Noto</v>
      </c>
    </row>
    <row r="17030" spans="1:6" ht="15.75" customHeight="1">
      <c r="A17030" s="8" t="str">
        <f ca="1">IFERROR(__xludf.DUMMYFUNCTION("GOOGLETRANSLATE(B34573,""en"",""pt"")"),"Noto")</f>
        <v>Noto</v>
      </c>
      <c r="B17030" s="9" t="s">
        <v>15317</v>
      </c>
      <c r="C17030" s="9" t="s">
        <v>14891</v>
      </c>
      <c r="D17030" s="9" t="s">
        <v>14899</v>
      </c>
      <c r="E17030" s="10">
        <v>2523998</v>
      </c>
      <c r="F17030" s="4" t="str">
        <f>IF(B17030=B17029,"",B17030)</f>
        <v/>
      </c>
    </row>
    <row r="17031" spans="1:6" ht="15.75" customHeight="1">
      <c r="A17031" s="16" t="s">
        <v>17388</v>
      </c>
      <c r="B17031" s="15" t="s">
        <v>17388</v>
      </c>
      <c r="C17031" s="16" t="s">
        <v>17292</v>
      </c>
      <c r="D17031" s="16" t="s">
        <v>17310</v>
      </c>
      <c r="E17031" s="2">
        <v>1058080</v>
      </c>
      <c r="F17031" s="4" t="str">
        <f>IF(B17031=B17030,"",B17031)</f>
        <v>Nosy Varika</v>
      </c>
    </row>
    <row r="17032" spans="1:6" ht="15.75" customHeight="1">
      <c r="A17032" s="8" t="str">
        <f ca="1">IFERROR(__xludf.DUMMYFUNCTION("GOOGLETRANSLATE(B36574,""en"",""pt"")"),"Nosy Varika")</f>
        <v>Nosy Varika</v>
      </c>
      <c r="B17032" s="9" t="s">
        <v>17388</v>
      </c>
      <c r="C17032" s="9" t="s">
        <v>17292</v>
      </c>
      <c r="D17032" s="9" t="s">
        <v>17310</v>
      </c>
      <c r="E17032" s="10">
        <v>1058080</v>
      </c>
      <c r="F17032" s="4" t="str">
        <f>IF(B17032=B17031,"",B17032)</f>
        <v/>
      </c>
    </row>
    <row r="17033" spans="1:6" ht="15.75" customHeight="1">
      <c r="A17033" s="16" t="s">
        <v>2959</v>
      </c>
      <c r="B17033" s="15" t="s">
        <v>2959</v>
      </c>
      <c r="C17033" s="16" t="s">
        <v>1905</v>
      </c>
      <c r="D17033" s="16" t="s">
        <v>2002</v>
      </c>
      <c r="E17033" s="2">
        <v>3456223</v>
      </c>
      <c r="F17033" s="4" t="str">
        <f>IF(B17033=B17032,"",B17033)</f>
        <v>Nossa Senhora do Socorro</v>
      </c>
    </row>
    <row r="17034" spans="1:6" ht="15.75" customHeight="1">
      <c r="A17034" s="8" t="str">
        <f ca="1">IFERROR(__xludf.DUMMYFUNCTION("GOOGLETRANSLATE(B24782,""en"",""pt"")"),"Nossa Senhora do Socorro")</f>
        <v>Nossa Senhora do Socorro</v>
      </c>
      <c r="B17034" s="9" t="s">
        <v>2959</v>
      </c>
      <c r="C17034" s="9" t="s">
        <v>1905</v>
      </c>
      <c r="D17034" s="9" t="s">
        <v>2002</v>
      </c>
      <c r="E17034" s="10">
        <v>3456223</v>
      </c>
      <c r="F17034" s="4" t="str">
        <f>IF(B17034=B17033,"",B17034)</f>
        <v/>
      </c>
    </row>
    <row r="17035" spans="1:6" ht="15.75" customHeight="1">
      <c r="A17035" s="8" t="str">
        <f ca="1">IFERROR(__xludf.DUMMYFUNCTION("GOOGLETRANSLATE(B24783,""en"",""pt"")"),"Nossa senhora da glória")</f>
        <v>Nossa senhora da glória</v>
      </c>
      <c r="B17035" s="11" t="s">
        <v>31582</v>
      </c>
      <c r="C17035" s="11" t="s">
        <v>1905</v>
      </c>
      <c r="D17035" s="11" t="s">
        <v>2002</v>
      </c>
      <c r="E17035" s="10">
        <v>3456240</v>
      </c>
      <c r="F17035" s="4" t="str">
        <f>IF(B17035=B17034,"",B17035)</f>
        <v>Nossa Senhora da Glória</v>
      </c>
    </row>
    <row r="17036" spans="1:6" ht="15.75" customHeight="1">
      <c r="A17036" s="16" t="s">
        <v>2957</v>
      </c>
      <c r="B17036" s="15" t="s">
        <v>2958</v>
      </c>
      <c r="C17036" s="16" t="s">
        <v>1905</v>
      </c>
      <c r="D17036" s="16" t="s">
        <v>2002</v>
      </c>
      <c r="E17036" s="2">
        <v>3456240</v>
      </c>
      <c r="F17036" s="4" t="str">
        <f>IF(B17036=B17035,"",B17036)</f>
        <v>Nossa Senhora da GlÃ³ria</v>
      </c>
    </row>
    <row r="17037" spans="1:6" ht="15.75" customHeight="1">
      <c r="A17037" s="15" t="s">
        <v>27082</v>
      </c>
      <c r="B17037" s="15" t="s">
        <v>27082</v>
      </c>
      <c r="C17037" s="15" t="s">
        <v>26870</v>
      </c>
      <c r="D17037" s="15" t="s">
        <v>26889</v>
      </c>
      <c r="E17037" s="2">
        <v>699917</v>
      </c>
      <c r="F17037" s="4" t="str">
        <f>IF(B17037=B17036,"",B17037)</f>
        <v>Nosivka</v>
      </c>
    </row>
    <row r="17038" spans="1:6" ht="15.75" customHeight="1">
      <c r="A17038" s="8" t="str">
        <f ca="1">IFERROR(__xludf.DUMMYFUNCTION("GOOGLETRANSLATE(B42568,""en"",""pt"")"),"Nosivka")</f>
        <v>Nosivka</v>
      </c>
      <c r="B17038" s="9" t="s">
        <v>27082</v>
      </c>
      <c r="C17038" s="9" t="s">
        <v>26870</v>
      </c>
      <c r="D17038" s="9" t="s">
        <v>26889</v>
      </c>
      <c r="E17038" s="10">
        <v>699917</v>
      </c>
      <c r="F17038" s="4" t="str">
        <f>IF(B17038=B17037,"",B17038)</f>
        <v/>
      </c>
    </row>
    <row r="17039" spans="1:6" ht="15.75" customHeight="1">
      <c r="A17039" s="15" t="s">
        <v>16320</v>
      </c>
      <c r="B17039" s="15" t="s">
        <v>16320</v>
      </c>
      <c r="C17039" s="15" t="s">
        <v>15704</v>
      </c>
      <c r="D17039" s="15" t="s">
        <v>15716</v>
      </c>
      <c r="E17039" s="2">
        <v>2128867</v>
      </c>
      <c r="F17039" s="4" t="str">
        <f>IF(B17039=B17038,"",B17039)</f>
        <v>Noshiro</v>
      </c>
    </row>
    <row r="17040" spans="1:6" ht="15.75" customHeight="1">
      <c r="A17040" s="8" t="str">
        <f ca="1">IFERROR(__xludf.DUMMYFUNCTION("GOOGLETRANSLATE(B35833,""en"",""pt"")"),"Noshiro")</f>
        <v>Noshiro</v>
      </c>
      <c r="B17040" s="11" t="s">
        <v>16320</v>
      </c>
      <c r="C17040" s="11" t="s">
        <v>15704</v>
      </c>
      <c r="D17040" s="11" t="s">
        <v>15716</v>
      </c>
      <c r="E17040" s="10">
        <v>2128867</v>
      </c>
      <c r="F17040" s="4" t="str">
        <f>IF(B17040=B17039,"",B17040)</f>
        <v/>
      </c>
    </row>
    <row r="17041" spans="1:6" ht="15.75" customHeight="1">
      <c r="A17041" s="16" t="s">
        <v>20923</v>
      </c>
      <c r="B17041" s="15" t="s">
        <v>20923</v>
      </c>
      <c r="C17041" s="16" t="s">
        <v>20598</v>
      </c>
      <c r="D17041" s="16" t="s">
        <v>20599</v>
      </c>
      <c r="E17041" s="2">
        <v>1697497</v>
      </c>
      <c r="F17041" s="4" t="str">
        <f>IF(B17041=B17040,"",B17041)</f>
        <v>Norzagaray</v>
      </c>
    </row>
    <row r="17042" spans="1:6" ht="15.75" customHeight="1">
      <c r="A17042" s="8" t="str">
        <f ca="1">IFERROR(__xludf.DUMMYFUNCTION("GOOGLETRANSLATE(B38584,""en"",""pt"")"),"Norzagaray")</f>
        <v>Norzagaray</v>
      </c>
      <c r="B17042" s="11" t="s">
        <v>20923</v>
      </c>
      <c r="C17042" s="11" t="s">
        <v>20598</v>
      </c>
      <c r="D17042" s="11" t="s">
        <v>20599</v>
      </c>
      <c r="E17042" s="10">
        <v>1697497</v>
      </c>
      <c r="F17042" s="4" t="str">
        <f>IF(B17042=B17041,"",B17042)</f>
        <v/>
      </c>
    </row>
    <row r="17043" spans="1:6" ht="15.75" customHeight="1">
      <c r="A17043" s="15" t="s">
        <v>29512</v>
      </c>
      <c r="B17043" s="15" t="s">
        <v>29512</v>
      </c>
      <c r="C17043" s="15" t="s">
        <v>27788</v>
      </c>
      <c r="D17043" s="15" t="s">
        <v>27813</v>
      </c>
      <c r="E17043" s="2">
        <v>4519995</v>
      </c>
      <c r="F17043" s="4" t="str">
        <f>IF(B17043=B17042,"",B17043)</f>
        <v>Norwood</v>
      </c>
    </row>
    <row r="17044" spans="1:6" ht="15.75" customHeight="1">
      <c r="A17044" s="15" t="s">
        <v>29512</v>
      </c>
      <c r="B17044" s="15" t="s">
        <v>29512</v>
      </c>
      <c r="C17044" s="15" t="s">
        <v>27788</v>
      </c>
      <c r="D17044" s="15" t="s">
        <v>27794</v>
      </c>
      <c r="E17044" s="2">
        <v>4945952</v>
      </c>
      <c r="F17044" s="4" t="str">
        <f>IF(B17044=B17043,"",B17044)</f>
        <v/>
      </c>
    </row>
    <row r="17045" spans="1:6" ht="15.75" customHeight="1">
      <c r="A17045" s="8" t="str">
        <f ca="1">IFERROR(__xludf.DUMMYFUNCTION("GOOGLETRANSLATE(B43522,""en"",""pt"")"),"Norwood")</f>
        <v>Norwood</v>
      </c>
      <c r="B17045" s="9" t="s">
        <v>29512</v>
      </c>
      <c r="C17045" s="9" t="s">
        <v>27788</v>
      </c>
      <c r="D17045" s="9" t="s">
        <v>27813</v>
      </c>
      <c r="E17045" s="10">
        <v>4519995</v>
      </c>
      <c r="F17045" s="4" t="str">
        <f>IF(B17045=B17044,"",B17045)</f>
        <v/>
      </c>
    </row>
    <row r="17046" spans="1:6" ht="15.75" customHeight="1">
      <c r="A17046" s="8" t="str">
        <f ca="1">IFERROR(__xludf.DUMMYFUNCTION("GOOGLETRANSLATE(B44012,""en"",""pt"")"),"Norwood")</f>
        <v>Norwood</v>
      </c>
      <c r="B17046" s="11" t="s">
        <v>29512</v>
      </c>
      <c r="C17046" s="11" t="s">
        <v>27788</v>
      </c>
      <c r="D17046" s="11" t="s">
        <v>27794</v>
      </c>
      <c r="E17046" s="10">
        <v>4945952</v>
      </c>
      <c r="F17046" s="4" t="str">
        <f>IF(B17046=B17045,"",B17046)</f>
        <v/>
      </c>
    </row>
    <row r="17047" spans="1:6" ht="15.75" customHeight="1">
      <c r="A17047" s="15" t="s">
        <v>27575</v>
      </c>
      <c r="B17047" s="15" t="s">
        <v>27575</v>
      </c>
      <c r="C17047" s="15" t="s">
        <v>27234</v>
      </c>
      <c r="D17047" s="15" t="s">
        <v>27241</v>
      </c>
      <c r="E17047" s="2">
        <v>2641181</v>
      </c>
      <c r="F17047" s="4" t="str">
        <f>IF(B17047=B17046,"",B17047)</f>
        <v>Norwich</v>
      </c>
    </row>
    <row r="17048" spans="1:6" ht="15.75" customHeight="1">
      <c r="A17048" s="8" t="str">
        <f ca="1">IFERROR(__xludf.DUMMYFUNCTION("GOOGLETRANSLATE(B30502,""en"",""pt"")"),"Norwich")</f>
        <v>Norwich</v>
      </c>
      <c r="B17048" s="11" t="s">
        <v>27575</v>
      </c>
      <c r="C17048" s="11" t="s">
        <v>27234</v>
      </c>
      <c r="D17048" s="11" t="s">
        <v>27241</v>
      </c>
      <c r="E17048" s="10">
        <v>2641181</v>
      </c>
      <c r="F17048" s="4" t="str">
        <f>IF(B17048=B17047,"",B17048)</f>
        <v/>
      </c>
    </row>
    <row r="17049" spans="1:6" ht="15.75" customHeight="1">
      <c r="A17049" s="15" t="s">
        <v>29511</v>
      </c>
      <c r="B17049" s="15" t="s">
        <v>29511</v>
      </c>
      <c r="C17049" s="15" t="s">
        <v>27788</v>
      </c>
      <c r="D17049" s="15" t="s">
        <v>27813</v>
      </c>
      <c r="E17049" s="2">
        <v>5165101</v>
      </c>
      <c r="F17049" s="4" t="str">
        <f>IF(B17049=B17048,"",B17049)</f>
        <v>Norwalk</v>
      </c>
    </row>
    <row r="17050" spans="1:6" ht="15.75" customHeight="1">
      <c r="A17050" s="15" t="s">
        <v>29511</v>
      </c>
      <c r="B17050" s="15" t="s">
        <v>29511</v>
      </c>
      <c r="C17050" s="15" t="s">
        <v>27788</v>
      </c>
      <c r="D17050" s="15" t="s">
        <v>27801</v>
      </c>
      <c r="E17050" s="2">
        <v>5377995</v>
      </c>
      <c r="F17050" s="4" t="str">
        <f>IF(B17050=B17049,"",B17050)</f>
        <v/>
      </c>
    </row>
    <row r="17051" spans="1:6" ht="15.75" customHeight="1">
      <c r="A17051" s="8" t="str">
        <f ca="1">IFERROR(__xludf.DUMMYFUNCTION("GOOGLETRANSLATE(B44530,""en"",""pt"")"),"Norwalk")</f>
        <v>Norwalk</v>
      </c>
      <c r="B17051" s="9" t="s">
        <v>29511</v>
      </c>
      <c r="C17051" s="9" t="s">
        <v>27788</v>
      </c>
      <c r="D17051" s="9" t="s">
        <v>27813</v>
      </c>
      <c r="E17051" s="10">
        <v>5165101</v>
      </c>
      <c r="F17051" s="4" t="str">
        <f>IF(B17051=B17050,"",B17051)</f>
        <v/>
      </c>
    </row>
    <row r="17052" spans="1:6" ht="15.75" customHeight="1">
      <c r="A17052" s="8" t="str">
        <f ca="1">IFERROR(__xludf.DUMMYFUNCTION("GOOGLETRANSLATE(B44932,""en"",""pt"")"),"Norwalk")</f>
        <v>Norwalk</v>
      </c>
      <c r="B17052" s="9" t="s">
        <v>29511</v>
      </c>
      <c r="C17052" s="9" t="s">
        <v>27788</v>
      </c>
      <c r="D17052" s="9" t="s">
        <v>27801</v>
      </c>
      <c r="E17052" s="10">
        <v>5377995</v>
      </c>
      <c r="F17052" s="4" t="str">
        <f>IF(B17052=B17051,"",B17052)</f>
        <v/>
      </c>
    </row>
    <row r="17053" spans="1:6" ht="15.75" customHeight="1">
      <c r="A17053" s="16" t="s">
        <v>29510</v>
      </c>
      <c r="B17053" s="15" t="s">
        <v>29510</v>
      </c>
      <c r="C17053" s="16" t="s">
        <v>27788</v>
      </c>
      <c r="D17053" s="16" t="s">
        <v>27804</v>
      </c>
      <c r="E17053" s="2">
        <v>5004005</v>
      </c>
      <c r="F17053" s="4" t="str">
        <f>IF(B17053=B17052,"",B17053)</f>
        <v>Norton Shores</v>
      </c>
    </row>
    <row r="17054" spans="1:6" ht="15.75" customHeight="1">
      <c r="A17054" s="8" t="str">
        <f ca="1">IFERROR(__xludf.DUMMYFUNCTION("GOOGLETRANSLATE(B44107,""en"",""pt"")"),"Norton Shores")</f>
        <v>Norton Shores</v>
      </c>
      <c r="B17054" s="11" t="s">
        <v>29510</v>
      </c>
      <c r="C17054" s="11" t="s">
        <v>27788</v>
      </c>
      <c r="D17054" s="11" t="s">
        <v>27804</v>
      </c>
      <c r="E17054" s="10">
        <v>5004005</v>
      </c>
      <c r="F17054" s="4" t="str">
        <f>IF(B17054=B17053,"",B17054)</f>
        <v/>
      </c>
    </row>
    <row r="17055" spans="1:6" ht="15.75" customHeight="1">
      <c r="A17055" s="15" t="s">
        <v>29509</v>
      </c>
      <c r="B17055" s="15" t="s">
        <v>29509</v>
      </c>
      <c r="C17055" s="15" t="s">
        <v>27788</v>
      </c>
      <c r="D17055" s="15" t="s">
        <v>27794</v>
      </c>
      <c r="E17055" s="2">
        <v>4945911</v>
      </c>
      <c r="F17055" s="4" t="str">
        <f>IF(B17055=B17054,"",B17055)</f>
        <v>Norton</v>
      </c>
    </row>
    <row r="17056" spans="1:6" ht="15.75" customHeight="1">
      <c r="A17056" s="15" t="s">
        <v>29509</v>
      </c>
      <c r="B17056" s="15" t="s">
        <v>29509</v>
      </c>
      <c r="C17056" s="15" t="s">
        <v>31072</v>
      </c>
      <c r="D17056" s="15" t="s">
        <v>31078</v>
      </c>
      <c r="E17056" s="2">
        <v>884141</v>
      </c>
      <c r="F17056" s="4" t="str">
        <f>IF(B17056=B17055,"",B17056)</f>
        <v/>
      </c>
    </row>
    <row r="17057" spans="1:6" ht="15.75" customHeight="1">
      <c r="A17057" s="8" t="str">
        <f ca="1">IFERROR(__xludf.DUMMYFUNCTION("GOOGLETRANSLATE(B44011,""en"",""pt"")"),"Norton")</f>
        <v>Norton</v>
      </c>
      <c r="B17057" s="9" t="s">
        <v>29509</v>
      </c>
      <c r="C17057" s="9" t="s">
        <v>27788</v>
      </c>
      <c r="D17057" s="9" t="s">
        <v>27794</v>
      </c>
      <c r="E17057" s="10">
        <v>4945911</v>
      </c>
      <c r="F17057" s="4" t="str">
        <f>IF(B17057=B17056,"",B17057)</f>
        <v/>
      </c>
    </row>
    <row r="17058" spans="1:6" ht="15.75" customHeight="1">
      <c r="A17058" s="8" t="str">
        <f ca="1">IFERROR(__xludf.DUMMYFUNCTION("GOOGLETRANSLATE(B46036,""en"",""pt"")"),"Norton")</f>
        <v>Norton</v>
      </c>
      <c r="B17058" s="11" t="s">
        <v>29509</v>
      </c>
      <c r="C17058" s="11" t="s">
        <v>31072</v>
      </c>
      <c r="D17058" s="11" t="s">
        <v>31078</v>
      </c>
      <c r="E17058" s="10">
        <v>884141</v>
      </c>
      <c r="F17058" s="4" t="str">
        <f>IF(B17058=B17057,"",B17058)</f>
        <v/>
      </c>
    </row>
    <row r="17059" spans="1:6" ht="15.75" customHeight="1">
      <c r="A17059" s="16" t="s">
        <v>27574</v>
      </c>
      <c r="B17059" s="15" t="s">
        <v>27574</v>
      </c>
      <c r="C17059" s="16" t="s">
        <v>27234</v>
      </c>
      <c r="D17059" s="16" t="s">
        <v>27241</v>
      </c>
      <c r="E17059" s="2">
        <v>2641224</v>
      </c>
      <c r="F17059" s="4" t="str">
        <f>IF(B17059=B17058,"",B17059)</f>
        <v>Northwich</v>
      </c>
    </row>
    <row r="17060" spans="1:6" ht="15.75" customHeight="1">
      <c r="A17060" s="8" t="str">
        <f ca="1">IFERROR(__xludf.DUMMYFUNCTION("GOOGLETRANSLATE(B30503,""en"",""pt"")"),"Northwich")</f>
        <v>Northwich</v>
      </c>
      <c r="B17060" s="11" t="s">
        <v>27574</v>
      </c>
      <c r="C17060" s="11" t="s">
        <v>27234</v>
      </c>
      <c r="D17060" s="11" t="s">
        <v>27241</v>
      </c>
      <c r="E17060" s="10">
        <v>2641224</v>
      </c>
      <c r="F17060" s="4" t="str">
        <f>IF(B17060=B17059,"",B17060)</f>
        <v/>
      </c>
    </row>
    <row r="17061" spans="1:6" ht="15.75" customHeight="1">
      <c r="A17061" s="16" t="s">
        <v>29508</v>
      </c>
      <c r="B17061" s="15" t="s">
        <v>29508</v>
      </c>
      <c r="C17061" s="16" t="s">
        <v>27788</v>
      </c>
      <c r="D17061" s="16" t="s">
        <v>27801</v>
      </c>
      <c r="E17061" s="2">
        <v>5377985</v>
      </c>
      <c r="F17061" s="4" t="str">
        <f>IF(B17061=B17060,"",B17061)</f>
        <v>Northridge</v>
      </c>
    </row>
    <row r="17062" spans="1:6" ht="15.75" customHeight="1">
      <c r="A17062" s="8" t="str">
        <f ca="1">IFERROR(__xludf.DUMMYFUNCTION("GOOGLETRANSLATE(B44931,""en"",""pt"")"),"Northridge")</f>
        <v>Northridge</v>
      </c>
      <c r="B17062" s="11" t="s">
        <v>29508</v>
      </c>
      <c r="C17062" s="11" t="s">
        <v>27788</v>
      </c>
      <c r="D17062" s="11" t="s">
        <v>27801</v>
      </c>
      <c r="E17062" s="10">
        <v>5377985</v>
      </c>
      <c r="F17062" s="4" t="str">
        <f>IF(B17062=B17061,"",B17062)</f>
        <v/>
      </c>
    </row>
    <row r="17063" spans="1:6" ht="15.75" customHeight="1">
      <c r="A17063" s="16" t="s">
        <v>29507</v>
      </c>
      <c r="B17063" s="15" t="s">
        <v>29507</v>
      </c>
      <c r="C17063" s="16" t="s">
        <v>27788</v>
      </c>
      <c r="D17063" s="16" t="s">
        <v>28023</v>
      </c>
      <c r="E17063" s="2">
        <v>4080555</v>
      </c>
      <c r="F17063" s="4" t="str">
        <f>IF(B17063=B17062,"",B17063)</f>
        <v>Northport</v>
      </c>
    </row>
    <row r="17064" spans="1:6" ht="15.75" customHeight="1">
      <c r="A17064" s="8" t="str">
        <f ca="1">IFERROR(__xludf.DUMMYFUNCTION("GOOGLETRANSLATE(B42792,""en"",""pt"")"),"Northport")</f>
        <v>Northport</v>
      </c>
      <c r="B17064" s="9" t="s">
        <v>29507</v>
      </c>
      <c r="C17064" s="9" t="s">
        <v>27788</v>
      </c>
      <c r="D17064" s="9" t="s">
        <v>28023</v>
      </c>
      <c r="E17064" s="10">
        <v>4080555</v>
      </c>
      <c r="F17064" s="4" t="str">
        <f>IF(B17064=B17063,"",B17064)</f>
        <v/>
      </c>
    </row>
    <row r="17065" spans="1:6" ht="15.75" customHeight="1">
      <c r="A17065" s="15" t="s">
        <v>27573</v>
      </c>
      <c r="B17065" s="15" t="s">
        <v>27573</v>
      </c>
      <c r="C17065" s="15" t="s">
        <v>27234</v>
      </c>
      <c r="D17065" s="15" t="s">
        <v>27241</v>
      </c>
      <c r="E17065" s="2">
        <v>2641290</v>
      </c>
      <c r="F17065" s="4" t="str">
        <f>IF(B17065=B17064,"",B17065)</f>
        <v>Northolt</v>
      </c>
    </row>
    <row r="17066" spans="1:6" ht="15.75" customHeight="1">
      <c r="A17066" s="8" t="str">
        <f ca="1">IFERROR(__xludf.DUMMYFUNCTION("GOOGLETRANSLATE(B30505,""en"",""pt"")"),"Northolt")</f>
        <v>Northolt</v>
      </c>
      <c r="B17066" s="11" t="s">
        <v>27573</v>
      </c>
      <c r="C17066" s="11" t="s">
        <v>27234</v>
      </c>
      <c r="D17066" s="11" t="s">
        <v>27241</v>
      </c>
      <c r="E17066" s="10">
        <v>2641290</v>
      </c>
      <c r="F17066" s="4" t="str">
        <f>IF(B17066=B17065,"",B17066)</f>
        <v/>
      </c>
    </row>
    <row r="17067" spans="1:6" ht="15.75" customHeight="1">
      <c r="A17067" s="16" t="s">
        <v>29506</v>
      </c>
      <c r="B17067" s="15" t="s">
        <v>29506</v>
      </c>
      <c r="C17067" s="16" t="s">
        <v>27788</v>
      </c>
      <c r="D17067" s="16" t="s">
        <v>2341</v>
      </c>
      <c r="E17067" s="2">
        <v>5433124</v>
      </c>
      <c r="F17067" s="4" t="str">
        <f>IF(B17067=B17066,"",B17067)</f>
        <v>Northglenn</v>
      </c>
    </row>
    <row r="17068" spans="1:6" ht="15.75" customHeight="1">
      <c r="A17068" s="8" t="str">
        <f ca="1">IFERROR(__xludf.DUMMYFUNCTION("GOOGLETRANSLATE(B45114,""en"",""pt"")"),"Northglenn")</f>
        <v>Northglenn</v>
      </c>
      <c r="B17068" s="11" t="s">
        <v>29506</v>
      </c>
      <c r="C17068" s="11" t="s">
        <v>27788</v>
      </c>
      <c r="D17068" s="11" t="s">
        <v>2341</v>
      </c>
      <c r="E17068" s="10">
        <v>5433124</v>
      </c>
      <c r="F17068" s="4" t="str">
        <f>IF(B17068=B17067,"",B17068)</f>
        <v/>
      </c>
    </row>
    <row r="17069" spans="1:6" ht="15.75" customHeight="1">
      <c r="A17069" s="16" t="s">
        <v>29505</v>
      </c>
      <c r="B17069" s="15" t="s">
        <v>29505</v>
      </c>
      <c r="C17069" s="16" t="s">
        <v>27788</v>
      </c>
      <c r="D17069" s="16" t="s">
        <v>27824</v>
      </c>
      <c r="E17069" s="2">
        <v>5039675</v>
      </c>
      <c r="F17069" s="4" t="str">
        <f>IF(B17069=B17068,"",B17069)</f>
        <v>Northfield</v>
      </c>
    </row>
    <row r="17070" spans="1:6" ht="15.75" customHeight="1">
      <c r="A17070" s="8" t="str">
        <f ca="1">IFERROR(__xludf.DUMMYFUNCTION("GOOGLETRANSLATE(B44182,""en"",""pt"")"),"Northfield")</f>
        <v>Northfield</v>
      </c>
      <c r="B17070" s="11" t="s">
        <v>29505</v>
      </c>
      <c r="C17070" s="11" t="s">
        <v>27788</v>
      </c>
      <c r="D17070" s="11" t="s">
        <v>27824</v>
      </c>
      <c r="E17070" s="10">
        <v>5039675</v>
      </c>
      <c r="F17070" s="4" t="str">
        <f>IF(B17070=B17069,"",B17070)</f>
        <v/>
      </c>
    </row>
    <row r="17071" spans="1:6" ht="15.75" customHeight="1">
      <c r="A17071" s="15" t="s">
        <v>8941</v>
      </c>
      <c r="B17071" s="15" t="s">
        <v>8941</v>
      </c>
      <c r="C17071" s="15" t="s">
        <v>8028</v>
      </c>
      <c r="D17071" s="15" t="s">
        <v>8034</v>
      </c>
      <c r="E17071" s="2">
        <v>2861814</v>
      </c>
      <c r="F17071" s="4" t="str">
        <f>IF(B17071=B17070,"",B17071)</f>
        <v>Northeim</v>
      </c>
    </row>
    <row r="17072" spans="1:6" ht="15.75" customHeight="1">
      <c r="A17072" s="8" t="str">
        <f ca="1">IFERROR(__xludf.DUMMYFUNCTION("GOOGLETRANSLATE(B27693,""en"",""pt"")"),"Northeim")</f>
        <v>Northeim</v>
      </c>
      <c r="B17072" s="11" t="s">
        <v>8941</v>
      </c>
      <c r="C17072" s="11" t="s">
        <v>8028</v>
      </c>
      <c r="D17072" s="11" t="s">
        <v>8034</v>
      </c>
      <c r="E17072" s="10">
        <v>2861814</v>
      </c>
      <c r="F17072" s="4" t="str">
        <f>IF(B17072=B17071,"",B17072)</f>
        <v/>
      </c>
    </row>
    <row r="17073" spans="1:6" ht="15.75" customHeight="1">
      <c r="A17073" s="16" t="s">
        <v>1050</v>
      </c>
      <c r="B17073" s="15" t="s">
        <v>1050</v>
      </c>
      <c r="C17073" s="16" t="s">
        <v>885</v>
      </c>
      <c r="D17073" s="16" t="s">
        <v>827</v>
      </c>
      <c r="E17073" s="2">
        <v>2155001</v>
      </c>
      <c r="F17073" s="4" t="str">
        <f>IF(B17073=B17072,"",B17073)</f>
        <v>Northcote</v>
      </c>
    </row>
    <row r="17074" spans="1:6" ht="15.75" customHeight="1">
      <c r="A17074" s="8" t="str">
        <f ca="1">IFERROR(__xludf.DUMMYFUNCTION("GOOGLETRANSLATE(B23468,""en"",""pt"")"),"Northcote")</f>
        <v>Northcote</v>
      </c>
      <c r="B17074" s="11" t="s">
        <v>1050</v>
      </c>
      <c r="C17074" s="11" t="s">
        <v>885</v>
      </c>
      <c r="D17074" s="11" t="s">
        <v>827</v>
      </c>
      <c r="E17074" s="10">
        <v>2155001</v>
      </c>
      <c r="F17074" s="4" t="str">
        <f>IF(B17074=B17073,"",B17074)</f>
        <v/>
      </c>
    </row>
    <row r="17075" spans="1:6" ht="15.75" customHeight="1">
      <c r="A17075" s="16" t="s">
        <v>29504</v>
      </c>
      <c r="B17075" s="15" t="s">
        <v>29504</v>
      </c>
      <c r="C17075" s="16" t="s">
        <v>27788</v>
      </c>
      <c r="D17075" s="16" t="s">
        <v>27799</v>
      </c>
      <c r="E17075" s="2">
        <v>4904056</v>
      </c>
      <c r="F17075" s="4" t="str">
        <f>IF(B17075=B17074,"",B17075)</f>
        <v>Northbrook</v>
      </c>
    </row>
    <row r="17076" spans="1:6" ht="15.75" customHeight="1">
      <c r="A17076" s="8" t="str">
        <f ca="1">IFERROR(__xludf.DUMMYFUNCTION("GOOGLETRANSLATE(B43859,""en"",""pt"")"),"Northbrook")</f>
        <v>Northbrook</v>
      </c>
      <c r="B17076" s="11" t="s">
        <v>29504</v>
      </c>
      <c r="C17076" s="11" t="s">
        <v>27788</v>
      </c>
      <c r="D17076" s="11" t="s">
        <v>27799</v>
      </c>
      <c r="E17076" s="10">
        <v>4904056</v>
      </c>
      <c r="F17076" s="4" t="str">
        <f>IF(B17076=B17075,"",B17076)</f>
        <v/>
      </c>
    </row>
    <row r="17077" spans="1:6" ht="15.75" customHeight="1">
      <c r="A17077" s="16" t="s">
        <v>27572</v>
      </c>
      <c r="B17077" s="15" t="s">
        <v>27572</v>
      </c>
      <c r="C17077" s="16" t="s">
        <v>27234</v>
      </c>
      <c r="D17077" s="16" t="s">
        <v>27241</v>
      </c>
      <c r="E17077" s="2">
        <v>2641430</v>
      </c>
      <c r="F17077" s="4" t="str">
        <f>IF(B17077=B17076,"",B17077)</f>
        <v>Northampton</v>
      </c>
    </row>
    <row r="17078" spans="1:6" ht="15.75" customHeight="1">
      <c r="A17078" s="16" t="s">
        <v>27572</v>
      </c>
      <c r="B17078" s="15" t="s">
        <v>27572</v>
      </c>
      <c r="C17078" s="16" t="s">
        <v>27788</v>
      </c>
      <c r="D17078" s="16" t="s">
        <v>27794</v>
      </c>
      <c r="E17078" s="2">
        <v>4945819</v>
      </c>
      <c r="F17078" s="4" t="str">
        <f>IF(B17078=B17077,"",B17078)</f>
        <v/>
      </c>
    </row>
    <row r="17079" spans="1:6" ht="15.75" customHeight="1">
      <c r="A17079" s="8" t="str">
        <f ca="1">IFERROR(__xludf.DUMMYFUNCTION("GOOGLETRANSLATE(B30507,""en"",""pt"")"),"Northampton")</f>
        <v>Northampton</v>
      </c>
      <c r="B17079" s="9" t="s">
        <v>27572</v>
      </c>
      <c r="C17079" s="9" t="s">
        <v>27234</v>
      </c>
      <c r="D17079" s="9" t="s">
        <v>27241</v>
      </c>
      <c r="E17079" s="10">
        <v>2641430</v>
      </c>
      <c r="F17079" s="4" t="str">
        <f>IF(B17079=B17078,"",B17079)</f>
        <v/>
      </c>
    </row>
    <row r="17080" spans="1:6" ht="15.75" customHeight="1">
      <c r="A17080" s="8" t="str">
        <f ca="1">IFERROR(__xludf.DUMMYFUNCTION("GOOGLETRANSLATE(B44010,""en"",""pt"")"),"Northampton")</f>
        <v>Northampton</v>
      </c>
      <c r="B17080" s="11" t="s">
        <v>27572</v>
      </c>
      <c r="C17080" s="11" t="s">
        <v>27788</v>
      </c>
      <c r="D17080" s="11" t="s">
        <v>27794</v>
      </c>
      <c r="E17080" s="10">
        <v>4945819</v>
      </c>
      <c r="F17080" s="4" t="str">
        <f>IF(B17080=B17079,"",B17080)</f>
        <v/>
      </c>
    </row>
    <row r="17081" spans="1:6" ht="15.75" customHeight="1">
      <c r="A17081" s="16" t="s">
        <v>27571</v>
      </c>
      <c r="B17081" s="15" t="s">
        <v>27571</v>
      </c>
      <c r="C17081" s="16" t="s">
        <v>27234</v>
      </c>
      <c r="D17081" s="16" t="s">
        <v>27241</v>
      </c>
      <c r="E17081" s="2">
        <v>2641435</v>
      </c>
      <c r="F17081" s="4" t="str">
        <f>IF(B17081=B17080,"",B17081)</f>
        <v>Northallerton</v>
      </c>
    </row>
    <row r="17082" spans="1:6" ht="15.75" customHeight="1">
      <c r="A17082" s="8" t="str">
        <f ca="1">IFERROR(__xludf.DUMMYFUNCTION("GOOGLETRANSLATE(B30508,""en"",""pt"")"),"Northallerton")</f>
        <v>Northallerton</v>
      </c>
      <c r="B17082" s="9" t="s">
        <v>27571</v>
      </c>
      <c r="C17082" s="9" t="s">
        <v>27234</v>
      </c>
      <c r="D17082" s="9" t="s">
        <v>27241</v>
      </c>
      <c r="E17082" s="10">
        <v>2641435</v>
      </c>
      <c r="F17082" s="4" t="str">
        <f>IF(B17082=B17081,"",B17082)</f>
        <v/>
      </c>
    </row>
    <row r="17083" spans="1:6" ht="15.75" customHeight="1">
      <c r="A17083" s="16" t="s">
        <v>4127</v>
      </c>
      <c r="B17083" s="15" t="s">
        <v>4127</v>
      </c>
      <c r="C17083" s="16" t="s">
        <v>3975</v>
      </c>
      <c r="D17083" s="16" t="s">
        <v>3980</v>
      </c>
      <c r="E17083" s="2">
        <v>6091104</v>
      </c>
      <c r="F17083" s="4" t="str">
        <f>IF(B17083=B17082,"",B17083)</f>
        <v>North York</v>
      </c>
    </row>
    <row r="17084" spans="1:6" ht="15.75" customHeight="1">
      <c r="A17084" s="8" t="str">
        <f ca="1">IFERROR(__xludf.DUMMYFUNCTION("GOOGLETRANSLATE(B25532,""en"",""pt"")"),"North York")</f>
        <v>North York</v>
      </c>
      <c r="B17084" s="11" t="s">
        <v>4127</v>
      </c>
      <c r="C17084" s="11" t="s">
        <v>3975</v>
      </c>
      <c r="D17084" s="11" t="s">
        <v>3980</v>
      </c>
      <c r="E17084" s="10">
        <v>6091104</v>
      </c>
      <c r="F17084" s="4" t="str">
        <f>IF(B17084=B17083,"",B17084)</f>
        <v/>
      </c>
    </row>
    <row r="17085" spans="1:6" ht="15.75" customHeight="1">
      <c r="A17085" s="16" t="s">
        <v>4126</v>
      </c>
      <c r="B17085" s="15" t="s">
        <v>4126</v>
      </c>
      <c r="C17085" s="16" t="s">
        <v>3975</v>
      </c>
      <c r="D17085" s="16" t="s">
        <v>3976</v>
      </c>
      <c r="E17085" s="2">
        <v>6090785</v>
      </c>
      <c r="F17085" s="4" t="str">
        <f>IF(B17085=B17084,"",B17085)</f>
        <v>North Vancouver</v>
      </c>
    </row>
    <row r="17086" spans="1:6" ht="15.75" customHeight="1">
      <c r="A17086" s="8" t="str">
        <f ca="1">IFERROR(__xludf.DUMMYFUNCTION("GOOGLETRANSLATE(B25531,""en"",""pt"")"),"North Vancouver")</f>
        <v>North Vancouver</v>
      </c>
      <c r="B17086" s="11" t="s">
        <v>4126</v>
      </c>
      <c r="C17086" s="11" t="s">
        <v>3975</v>
      </c>
      <c r="D17086" s="11" t="s">
        <v>3976</v>
      </c>
      <c r="E17086" s="10">
        <v>6090785</v>
      </c>
      <c r="F17086" s="4" t="str">
        <f>IF(B17086=B17085,"",B17086)</f>
        <v/>
      </c>
    </row>
    <row r="17087" spans="1:6" ht="15.75" customHeight="1">
      <c r="A17087" s="16" t="s">
        <v>29502</v>
      </c>
      <c r="B17087" s="15" t="s">
        <v>29503</v>
      </c>
      <c r="C17087" s="16" t="s">
        <v>27788</v>
      </c>
      <c r="D17087" s="16" t="s">
        <v>27819</v>
      </c>
      <c r="E17087" s="2">
        <v>5129248</v>
      </c>
      <c r="F17087" s="4" t="str">
        <f>IF(B17087=B17086,"",B17087)</f>
        <v>North Valley Stream</v>
      </c>
    </row>
    <row r="17088" spans="1:6" ht="15.75" customHeight="1">
      <c r="A17088" s="8" t="str">
        <f ca="1">IFERROR(__xludf.DUMMYFUNCTION("GOOGLETRANSLATE(B44427,""en"",""pt"")"),"North Valley Stream")</f>
        <v>North Valley Stream</v>
      </c>
      <c r="B17088" s="9" t="s">
        <v>29503</v>
      </c>
      <c r="C17088" s="9" t="s">
        <v>27788</v>
      </c>
      <c r="D17088" s="9" t="s">
        <v>27819</v>
      </c>
      <c r="E17088" s="10">
        <v>5129248</v>
      </c>
      <c r="F17088" s="4" t="str">
        <f>IF(B17088=B17087,"",B17088)</f>
        <v/>
      </c>
    </row>
    <row r="17089" spans="1:6" ht="15.75" customHeight="1">
      <c r="A17089" s="16" t="s">
        <v>29501</v>
      </c>
      <c r="B17089" s="15" t="s">
        <v>29501</v>
      </c>
      <c r="C17089" s="16" t="s">
        <v>27788</v>
      </c>
      <c r="D17089" s="16" t="s">
        <v>27801</v>
      </c>
      <c r="E17089" s="2">
        <v>5404122</v>
      </c>
      <c r="F17089" s="4" t="str">
        <f>IF(B17089=B17088,"",B17089)</f>
        <v>North Tustin</v>
      </c>
    </row>
    <row r="17090" spans="1:6" ht="15.75" customHeight="1">
      <c r="A17090" s="8" t="str">
        <f ca="1">IFERROR(__xludf.DUMMYFUNCTION("GOOGLETRANSLATE(B45062,""en"",""pt"")"),"North Tustin")</f>
        <v>North Tustin</v>
      </c>
      <c r="B17090" s="11" t="s">
        <v>29501</v>
      </c>
      <c r="C17090" s="11" t="s">
        <v>27788</v>
      </c>
      <c r="D17090" s="11" t="s">
        <v>27801</v>
      </c>
      <c r="E17090" s="10">
        <v>5404122</v>
      </c>
      <c r="F17090" s="4" t="str">
        <f>IF(B17090=B17089,"",B17090)</f>
        <v/>
      </c>
    </row>
    <row r="17091" spans="1:6" ht="15.75" customHeight="1">
      <c r="A17091" s="16" t="s">
        <v>29500</v>
      </c>
      <c r="B17091" s="15" t="s">
        <v>29500</v>
      </c>
      <c r="C17091" s="16" t="s">
        <v>27788</v>
      </c>
      <c r="D17091" s="16" t="s">
        <v>27819</v>
      </c>
      <c r="E17091" s="2">
        <v>5129245</v>
      </c>
      <c r="F17091" s="4" t="str">
        <f>IF(B17091=B17090,"",B17091)</f>
        <v>North Tonawanda</v>
      </c>
    </row>
    <row r="17092" spans="1:6" ht="15.75" customHeight="1">
      <c r="A17092" s="8" t="str">
        <f ca="1">IFERROR(__xludf.DUMMYFUNCTION("GOOGLETRANSLATE(B44426,""en"",""pt"")"),"North Tonawanda")</f>
        <v>North Tonawanda</v>
      </c>
      <c r="B17092" s="11" t="s">
        <v>29500</v>
      </c>
      <c r="C17092" s="11" t="s">
        <v>27788</v>
      </c>
      <c r="D17092" s="11" t="s">
        <v>27819</v>
      </c>
      <c r="E17092" s="10">
        <v>5129245</v>
      </c>
      <c r="F17092" s="4" t="str">
        <f>IF(B17092=B17091,"",B17092)</f>
        <v/>
      </c>
    </row>
    <row r="17093" spans="1:6" ht="15.75" customHeight="1">
      <c r="A17093" s="16" t="s">
        <v>19196</v>
      </c>
      <c r="B17093" s="15" t="s">
        <v>19197</v>
      </c>
      <c r="C17093" s="16" t="s">
        <v>19169</v>
      </c>
      <c r="D17093" s="16" t="s">
        <v>19171</v>
      </c>
      <c r="E17093" s="2">
        <v>2185964</v>
      </c>
      <c r="F17093" s="4" t="str">
        <f>IF(B17093=B17092,"",B17093)</f>
        <v>North Shore</v>
      </c>
    </row>
    <row r="17094" spans="1:6" ht="15.75" customHeight="1">
      <c r="A17094" s="8" t="str">
        <f ca="1">IFERROR(__xludf.DUMMYFUNCTION("GOOGLETRANSLATE(B38225,""en"",""pt"")"),"Costa norte")</f>
        <v>Costa norte</v>
      </c>
      <c r="B17094" s="11" t="s">
        <v>19197</v>
      </c>
      <c r="C17094" s="11" t="s">
        <v>19169</v>
      </c>
      <c r="D17094" s="11" t="s">
        <v>19171</v>
      </c>
      <c r="E17094" s="10">
        <v>2185964</v>
      </c>
      <c r="F17094" s="4" t="str">
        <f>IF(B17094=B17093,"",B17094)</f>
        <v/>
      </c>
    </row>
    <row r="17095" spans="1:6" ht="15.75" customHeight="1">
      <c r="A17095" s="16" t="s">
        <v>27570</v>
      </c>
      <c r="B17095" s="15" t="s">
        <v>27570</v>
      </c>
      <c r="C17095" s="16" t="s">
        <v>27234</v>
      </c>
      <c r="D17095" s="16" t="s">
        <v>27241</v>
      </c>
      <c r="E17095" s="2">
        <v>2641267</v>
      </c>
      <c r="F17095" s="4" t="str">
        <f>IF(B17095=B17094,"",B17095)</f>
        <v>North Shields</v>
      </c>
    </row>
    <row r="17096" spans="1:6" ht="15.75" customHeight="1">
      <c r="A17096" s="8" t="str">
        <f ca="1">IFERROR(__xludf.DUMMYFUNCTION("GOOGLETRANSLATE(B30504,""en"",""pt"")"),"North Shields")</f>
        <v>North Shields</v>
      </c>
      <c r="B17096" s="11" t="s">
        <v>27570</v>
      </c>
      <c r="C17096" s="11" t="s">
        <v>27234</v>
      </c>
      <c r="D17096" s="11" t="s">
        <v>27241</v>
      </c>
      <c r="E17096" s="10">
        <v>2641267</v>
      </c>
      <c r="F17096" s="4" t="str">
        <f>IF(B17096=B17095,"",B17096)</f>
        <v/>
      </c>
    </row>
    <row r="17097" spans="1:6" ht="15.75" customHeight="1">
      <c r="A17097" s="16" t="s">
        <v>29499</v>
      </c>
      <c r="B17097" s="15" t="s">
        <v>29499</v>
      </c>
      <c r="C17097" s="16" t="s">
        <v>27788</v>
      </c>
      <c r="D17097" s="16" t="s">
        <v>27856</v>
      </c>
      <c r="E17097" s="2">
        <v>5779068</v>
      </c>
      <c r="F17097" s="4" t="str">
        <f>IF(B17097=B17096,"",B17097)</f>
        <v>North Salt Lake</v>
      </c>
    </row>
    <row r="17098" spans="1:6" ht="15.75" customHeight="1">
      <c r="A17098" s="8" t="str">
        <f ca="1">IFERROR(__xludf.DUMMYFUNCTION("GOOGLETRANSLATE(B45290,""en"",""pt"")"),"North Salt Lake")</f>
        <v>North Salt Lake</v>
      </c>
      <c r="B17098" s="11" t="s">
        <v>29499</v>
      </c>
      <c r="C17098" s="11" t="s">
        <v>27788</v>
      </c>
      <c r="D17098" s="11" t="s">
        <v>27856</v>
      </c>
      <c r="E17098" s="10">
        <v>5779068</v>
      </c>
      <c r="F17098" s="4" t="str">
        <f>IF(B17098=B17097,"",B17098)</f>
        <v/>
      </c>
    </row>
    <row r="17099" spans="1:6" ht="15.75" customHeight="1">
      <c r="A17099" s="16" t="s">
        <v>1049</v>
      </c>
      <c r="B17099" s="15" t="s">
        <v>1049</v>
      </c>
      <c r="C17099" s="16" t="s">
        <v>885</v>
      </c>
      <c r="D17099" s="16" t="s">
        <v>891</v>
      </c>
      <c r="E17099" s="2">
        <v>7281782</v>
      </c>
      <c r="F17099" s="4" t="str">
        <f>IF(B17099=B17098,"",B17099)</f>
        <v>North Ryde</v>
      </c>
    </row>
    <row r="17100" spans="1:6" ht="15.75" customHeight="1">
      <c r="A17100" s="8" t="str">
        <f ca="1">IFERROR(__xludf.DUMMYFUNCTION("GOOGLETRANSLATE(B23576,""en"",""pt"")"),"North Ryde")</f>
        <v>North Ryde</v>
      </c>
      <c r="B17100" s="11" t="s">
        <v>1049</v>
      </c>
      <c r="C17100" s="11" t="s">
        <v>885</v>
      </c>
      <c r="D17100" s="11" t="s">
        <v>891</v>
      </c>
      <c r="E17100" s="10">
        <v>7281782</v>
      </c>
      <c r="F17100" s="4" t="str">
        <f>IF(B17100=B17099,"",B17100)</f>
        <v/>
      </c>
    </row>
    <row r="17101" spans="1:6" ht="15.75" customHeight="1">
      <c r="A17101" s="16" t="s">
        <v>29498</v>
      </c>
      <c r="B17101" s="15" t="s">
        <v>29498</v>
      </c>
      <c r="C17101" s="16" t="s">
        <v>27788</v>
      </c>
      <c r="D17101" s="16" t="s">
        <v>27813</v>
      </c>
      <c r="E17101" s="2">
        <v>5164916</v>
      </c>
      <c r="F17101" s="4" t="str">
        <f>IF(B17101=B17100,"",B17101)</f>
        <v>North Royalton</v>
      </c>
    </row>
    <row r="17102" spans="1:6" ht="15.75" customHeight="1">
      <c r="A17102" s="8" t="str">
        <f ca="1">IFERROR(__xludf.DUMMYFUNCTION("GOOGLETRANSLATE(B44529,""en"",""pt"")"),"North Royalton")</f>
        <v>North Royalton</v>
      </c>
      <c r="B17102" s="11" t="s">
        <v>29498</v>
      </c>
      <c r="C17102" s="11" t="s">
        <v>27788</v>
      </c>
      <c r="D17102" s="11" t="s">
        <v>27813</v>
      </c>
      <c r="E17102" s="10">
        <v>5164916</v>
      </c>
      <c r="F17102" s="4" t="str">
        <f>IF(B17102=B17101,"",B17102)</f>
        <v/>
      </c>
    </row>
    <row r="17103" spans="1:6" ht="15.75" customHeight="1">
      <c r="A17103" s="16" t="s">
        <v>29497</v>
      </c>
      <c r="B17103" s="15" t="s">
        <v>29497</v>
      </c>
      <c r="C17103" s="16" t="s">
        <v>27788</v>
      </c>
      <c r="D17103" s="16" t="s">
        <v>27813</v>
      </c>
      <c r="E17103" s="2">
        <v>5164903</v>
      </c>
      <c r="F17103" s="4" t="str">
        <f>IF(B17103=B17102,"",B17103)</f>
        <v>North Ridgeville</v>
      </c>
    </row>
    <row r="17104" spans="1:6" ht="15.75" customHeight="1">
      <c r="A17104" s="8" t="str">
        <f ca="1">IFERROR(__xludf.DUMMYFUNCTION("GOOGLETRANSLATE(B44528,""en"",""pt"")"),"North Ridgeville")</f>
        <v>North Ridgeville</v>
      </c>
      <c r="B17104" s="11" t="s">
        <v>29497</v>
      </c>
      <c r="C17104" s="11" t="s">
        <v>27788</v>
      </c>
      <c r="D17104" s="11" t="s">
        <v>27813</v>
      </c>
      <c r="E17104" s="10">
        <v>5164903</v>
      </c>
      <c r="F17104" s="4" t="str">
        <f>IF(B17104=B17103,"",B17104)</f>
        <v/>
      </c>
    </row>
    <row r="17105" spans="1:6" ht="15.75" customHeight="1">
      <c r="A17105" s="16" t="s">
        <v>29496</v>
      </c>
      <c r="B17105" s="15" t="s">
        <v>29496</v>
      </c>
      <c r="C17105" s="16" t="s">
        <v>27788</v>
      </c>
      <c r="D17105" s="16" t="s">
        <v>27951</v>
      </c>
      <c r="E17105" s="2">
        <v>5223681</v>
      </c>
      <c r="F17105" s="4" t="str">
        <f>IF(B17105=B17104,"",B17105)</f>
        <v>North Providence</v>
      </c>
    </row>
    <row r="17106" spans="1:6" ht="15.75" customHeight="1">
      <c r="A17106" s="8" t="str">
        <f ca="1">IFERROR(__xludf.DUMMYFUNCTION("GOOGLETRANSLATE(B44614,""en"",""pt"")"),"North Providence")</f>
        <v>North Providence</v>
      </c>
      <c r="B17106" s="11" t="s">
        <v>29496</v>
      </c>
      <c r="C17106" s="11" t="s">
        <v>27788</v>
      </c>
      <c r="D17106" s="11" t="s">
        <v>27951</v>
      </c>
      <c r="E17106" s="10">
        <v>5223681</v>
      </c>
      <c r="F17106" s="4" t="str">
        <f>IF(B17106=B17105,"",B17106)</f>
        <v/>
      </c>
    </row>
    <row r="17107" spans="1:6" ht="15.75" customHeight="1">
      <c r="A17107" s="16" t="s">
        <v>29495</v>
      </c>
      <c r="B17107" s="15" t="s">
        <v>29495</v>
      </c>
      <c r="C17107" s="16" t="s">
        <v>27788</v>
      </c>
      <c r="D17107" s="16" t="s">
        <v>17061</v>
      </c>
      <c r="E17107" s="2">
        <v>4363990</v>
      </c>
      <c r="F17107" s="4" t="str">
        <f>IF(B17107=B17106,"",B17107)</f>
        <v>North Potomac</v>
      </c>
    </row>
    <row r="17108" spans="1:6" ht="15.75" customHeight="1">
      <c r="A17108" s="8" t="str">
        <f ca="1">IFERROR(__xludf.DUMMYFUNCTION("GOOGLETRANSLATE(B43312,""en"",""pt"")"),"North Potomac")</f>
        <v>North Potomac</v>
      </c>
      <c r="B17108" s="11" t="s">
        <v>29495</v>
      </c>
      <c r="C17108" s="11" t="s">
        <v>27788</v>
      </c>
      <c r="D17108" s="11" t="s">
        <v>17061</v>
      </c>
      <c r="E17108" s="10">
        <v>4363990</v>
      </c>
      <c r="F17108" s="4" t="str">
        <f>IF(B17108=B17107,"",B17108)</f>
        <v/>
      </c>
    </row>
    <row r="17109" spans="1:6" ht="15.75" customHeight="1">
      <c r="A17109" s="16" t="s">
        <v>29493</v>
      </c>
      <c r="B17109" s="15" t="s">
        <v>29494</v>
      </c>
      <c r="C17109" s="16" t="s">
        <v>27788</v>
      </c>
      <c r="D17109" s="16" t="s">
        <v>5468</v>
      </c>
      <c r="E17109" s="2">
        <v>4166274</v>
      </c>
      <c r="F17109" s="4" t="str">
        <f>IF(B17109=B17108,"",B17109)</f>
        <v>North Port</v>
      </c>
    </row>
    <row r="17110" spans="1:6" ht="15.75" customHeight="1">
      <c r="A17110" s="8" t="str">
        <f ca="1">IFERROR(__xludf.DUMMYFUNCTION("GOOGLETRANSLATE(B42964,""en"",""pt"")"),"Porto Norte")</f>
        <v>Porto Norte</v>
      </c>
      <c r="B17110" s="11" t="s">
        <v>29494</v>
      </c>
      <c r="C17110" s="11" t="s">
        <v>27788</v>
      </c>
      <c r="D17110" s="11" t="s">
        <v>5468</v>
      </c>
      <c r="E17110" s="10">
        <v>4166274</v>
      </c>
      <c r="F17110" s="4" t="str">
        <f>IF(B17110=B17109,"",B17110)</f>
        <v/>
      </c>
    </row>
    <row r="17111" spans="1:6" ht="15.75" customHeight="1">
      <c r="A17111" s="16" t="s">
        <v>29492</v>
      </c>
      <c r="B17111" s="15" t="s">
        <v>29492</v>
      </c>
      <c r="C17111" s="16" t="s">
        <v>27788</v>
      </c>
      <c r="D17111" s="16" t="s">
        <v>27995</v>
      </c>
      <c r="E17111" s="2">
        <v>5697939</v>
      </c>
      <c r="F17111" s="4" t="str">
        <f>IF(B17111=B17110,"",B17111)</f>
        <v>North Platte</v>
      </c>
    </row>
    <row r="17112" spans="1:6" ht="15.75" customHeight="1">
      <c r="A17112" s="8" t="str">
        <f ca="1">IFERROR(__xludf.DUMMYFUNCTION("GOOGLETRANSLATE(B45220,""en"",""pt"")"),"North Platte")</f>
        <v>North Platte</v>
      </c>
      <c r="B17112" s="11" t="s">
        <v>29492</v>
      </c>
      <c r="C17112" s="11" t="s">
        <v>27788</v>
      </c>
      <c r="D17112" s="11" t="s">
        <v>27995</v>
      </c>
      <c r="E17112" s="10">
        <v>5697939</v>
      </c>
      <c r="F17112" s="4" t="str">
        <f>IF(B17112=B17111,"",B17112)</f>
        <v/>
      </c>
    </row>
    <row r="17113" spans="1:6" ht="15.75" customHeight="1">
      <c r="A17113" s="16" t="s">
        <v>29491</v>
      </c>
      <c r="B17113" s="15" t="s">
        <v>29491</v>
      </c>
      <c r="C17113" s="16" t="s">
        <v>27788</v>
      </c>
      <c r="D17113" s="16" t="s">
        <v>27905</v>
      </c>
      <c r="E17113" s="2">
        <v>5101938</v>
      </c>
      <c r="F17113" s="4" t="str">
        <f>IF(B17113=B17112,"",B17113)</f>
        <v>North Plainfield</v>
      </c>
    </row>
    <row r="17114" spans="1:6" ht="15.75" customHeight="1">
      <c r="A17114" s="8" t="str">
        <f ca="1">IFERROR(__xludf.DUMMYFUNCTION("GOOGLETRANSLATE(B44290,""en"",""pt"")"),"North Plainfield")</f>
        <v>North Plainfield</v>
      </c>
      <c r="B17114" s="11" t="s">
        <v>29491</v>
      </c>
      <c r="C17114" s="11" t="s">
        <v>27788</v>
      </c>
      <c r="D17114" s="11" t="s">
        <v>27905</v>
      </c>
      <c r="E17114" s="10">
        <v>5101938</v>
      </c>
      <c r="F17114" s="4" t="str">
        <f>IF(B17114=B17113,"",B17114)</f>
        <v/>
      </c>
    </row>
    <row r="17115" spans="1:6" ht="15.75" customHeight="1">
      <c r="A17115" s="16" t="s">
        <v>29490</v>
      </c>
      <c r="B17115" s="15" t="s">
        <v>29490</v>
      </c>
      <c r="C17115" s="16" t="s">
        <v>27788</v>
      </c>
      <c r="D17115" s="16" t="s">
        <v>27799</v>
      </c>
      <c r="E17115" s="2">
        <v>4903976</v>
      </c>
      <c r="F17115" s="4" t="str">
        <f>IF(B17115=B17114,"",B17115)</f>
        <v>North Peoria</v>
      </c>
    </row>
    <row r="17116" spans="1:6" ht="15.75" customHeight="1">
      <c r="A17116" s="8" t="str">
        <f ca="1">IFERROR(__xludf.DUMMYFUNCTION("GOOGLETRANSLATE(B43858,""en"",""pt"")"),"North Peoria")</f>
        <v>North Peoria</v>
      </c>
      <c r="B17116" s="11" t="s">
        <v>29490</v>
      </c>
      <c r="C17116" s="11" t="s">
        <v>27788</v>
      </c>
      <c r="D17116" s="11" t="s">
        <v>27799</v>
      </c>
      <c r="E17116" s="10">
        <v>4903976</v>
      </c>
      <c r="F17116" s="4" t="str">
        <f>IF(B17116=B17115,"",B17116)</f>
        <v/>
      </c>
    </row>
    <row r="17117" spans="1:6" ht="15.75" customHeight="1">
      <c r="A17117" s="16" t="s">
        <v>29489</v>
      </c>
      <c r="B17117" s="15" t="s">
        <v>29489</v>
      </c>
      <c r="C17117" s="16" t="s">
        <v>27788</v>
      </c>
      <c r="D17117" s="16" t="s">
        <v>27813</v>
      </c>
      <c r="E17117" s="2">
        <v>5164862</v>
      </c>
      <c r="F17117" s="4" t="str">
        <f>IF(B17117=B17116,"",B17117)</f>
        <v>North Olmsted</v>
      </c>
    </row>
    <row r="17118" spans="1:6" ht="15.75" customHeight="1">
      <c r="A17118" s="8" t="str">
        <f ca="1">IFERROR(__xludf.DUMMYFUNCTION("GOOGLETRANSLATE(B44527,""en"",""pt"")"),"North Olmsted")</f>
        <v>North Olmsted</v>
      </c>
      <c r="B17118" s="11" t="s">
        <v>29489</v>
      </c>
      <c r="C17118" s="11" t="s">
        <v>27788</v>
      </c>
      <c r="D17118" s="11" t="s">
        <v>27813</v>
      </c>
      <c r="E17118" s="10">
        <v>5164862</v>
      </c>
      <c r="F17118" s="4" t="str">
        <f>IF(B17118=B17117,"",B17118)</f>
        <v/>
      </c>
    </row>
    <row r="17119" spans="1:6" ht="15.75" customHeight="1">
      <c r="A17119" s="16" t="s">
        <v>29488</v>
      </c>
      <c r="B17119" s="15" t="s">
        <v>29488</v>
      </c>
      <c r="C17119" s="16" t="s">
        <v>27788</v>
      </c>
      <c r="D17119" s="16" t="s">
        <v>27856</v>
      </c>
      <c r="E17119" s="2">
        <v>5779036</v>
      </c>
      <c r="F17119" s="4" t="str">
        <f>IF(B17119=B17118,"",B17119)</f>
        <v>North Ogden</v>
      </c>
    </row>
    <row r="17120" spans="1:6" ht="15.75" customHeight="1">
      <c r="A17120" s="8" t="str">
        <f ca="1">IFERROR(__xludf.DUMMYFUNCTION("GOOGLETRANSLATE(B45289,""en"",""pt"")"),"North Ogden")</f>
        <v>North Ogden</v>
      </c>
      <c r="B17120" s="11" t="s">
        <v>29488</v>
      </c>
      <c r="C17120" s="11" t="s">
        <v>27788</v>
      </c>
      <c r="D17120" s="11" t="s">
        <v>27856</v>
      </c>
      <c r="E17120" s="10">
        <v>5779036</v>
      </c>
      <c r="F17120" s="4" t="str">
        <f>IF(B17120=B17119,"",B17120)</f>
        <v/>
      </c>
    </row>
    <row r="17121" spans="1:6" ht="15.75" customHeight="1">
      <c r="A17121" s="16" t="s">
        <v>29487</v>
      </c>
      <c r="B17121" s="15" t="s">
        <v>29487</v>
      </c>
      <c r="C17121" s="16" t="s">
        <v>27788</v>
      </c>
      <c r="D17121" s="16" t="s">
        <v>5468</v>
      </c>
      <c r="E17121" s="2">
        <v>4166233</v>
      </c>
      <c r="F17121" s="4" t="str">
        <f>IF(B17121=B17120,"",B17121)</f>
        <v>North Miami Beach</v>
      </c>
    </row>
    <row r="17122" spans="1:6" ht="15.75" customHeight="1">
      <c r="A17122" s="8" t="str">
        <f ca="1">IFERROR(__xludf.DUMMYFUNCTION("GOOGLETRANSLATE(B42963,""en"",""pt"")"),"North Miami Beach")</f>
        <v>North Miami Beach</v>
      </c>
      <c r="B17122" s="11" t="s">
        <v>29487</v>
      </c>
      <c r="C17122" s="11" t="s">
        <v>27788</v>
      </c>
      <c r="D17122" s="11" t="s">
        <v>5468</v>
      </c>
      <c r="E17122" s="10">
        <v>4166233</v>
      </c>
      <c r="F17122" s="4" t="str">
        <f>IF(B17122=B17121,"",B17122)</f>
        <v/>
      </c>
    </row>
    <row r="17123" spans="1:6" ht="15.75" customHeight="1">
      <c r="A17123" s="16" t="s">
        <v>29486</v>
      </c>
      <c r="B17123" s="15" t="s">
        <v>29486</v>
      </c>
      <c r="C17123" s="16" t="s">
        <v>27788</v>
      </c>
      <c r="D17123" s="16" t="s">
        <v>5468</v>
      </c>
      <c r="E17123" s="2">
        <v>4166232</v>
      </c>
      <c r="F17123" s="4" t="str">
        <f>IF(B17123=B17122,"",B17123)</f>
        <v>North Miami</v>
      </c>
    </row>
    <row r="17124" spans="1:6" ht="15.75" customHeight="1">
      <c r="A17124" s="8" t="str">
        <f ca="1">IFERROR(__xludf.DUMMYFUNCTION("GOOGLETRANSLATE(B42962,""en"",""pt"")"),"North Miami")</f>
        <v>North Miami</v>
      </c>
      <c r="B17124" s="11" t="s">
        <v>29486</v>
      </c>
      <c r="C17124" s="11" t="s">
        <v>27788</v>
      </c>
      <c r="D17124" s="11" t="s">
        <v>5468</v>
      </c>
      <c r="E17124" s="10">
        <v>4166232</v>
      </c>
      <c r="F17124" s="4" t="str">
        <f>IF(B17124=B17123,"",B17124)</f>
        <v/>
      </c>
    </row>
    <row r="17125" spans="1:6" ht="15.75" customHeight="1">
      <c r="A17125" s="16" t="s">
        <v>29484</v>
      </c>
      <c r="B17125" s="15" t="s">
        <v>29485</v>
      </c>
      <c r="C17125" s="16" t="s">
        <v>27788</v>
      </c>
      <c r="D17125" s="16" t="s">
        <v>27819</v>
      </c>
      <c r="E17125" s="2">
        <v>5129134</v>
      </c>
      <c r="F17125" s="4" t="str">
        <f>IF(B17125=B17124,"",B17125)</f>
        <v>North Massapequa</v>
      </c>
    </row>
    <row r="17126" spans="1:6" ht="15.75" customHeight="1">
      <c r="A17126" s="8" t="str">
        <f ca="1">IFERROR(__xludf.DUMMYFUNCTION("GOOGLETRANSLATE(B44425,""en"",""pt"")"),"Massapequa do Norte")</f>
        <v>Massapequa do Norte</v>
      </c>
      <c r="B17126" s="11" t="s">
        <v>29485</v>
      </c>
      <c r="C17126" s="11" t="s">
        <v>27788</v>
      </c>
      <c r="D17126" s="11" t="s">
        <v>27819</v>
      </c>
      <c r="E17126" s="10">
        <v>5129134</v>
      </c>
      <c r="F17126" s="4" t="str">
        <f>IF(B17126=B17125,"",B17126)</f>
        <v/>
      </c>
    </row>
    <row r="17127" spans="1:6" ht="15.75" customHeight="1">
      <c r="A17127" s="16" t="s">
        <v>29483</v>
      </c>
      <c r="B17127" s="15" t="s">
        <v>29483</v>
      </c>
      <c r="C17127" s="16" t="s">
        <v>27788</v>
      </c>
      <c r="D17127" s="16" t="s">
        <v>27991</v>
      </c>
      <c r="E17127" s="2">
        <v>4124112</v>
      </c>
      <c r="F17127" s="4" t="str">
        <f>IF(B17127=B17126,"",B17127)</f>
        <v>North Little Rock</v>
      </c>
    </row>
    <row r="17128" spans="1:6" ht="15.75" customHeight="1">
      <c r="A17128" s="8" t="str">
        <f ca="1">IFERROR(__xludf.DUMMYFUNCTION("GOOGLETRANSLATE(B42822,""en"",""pt"")"),"North Little Rock")</f>
        <v>North Little Rock</v>
      </c>
      <c r="B17128" s="11" t="s">
        <v>29483</v>
      </c>
      <c r="C17128" s="11" t="s">
        <v>27788</v>
      </c>
      <c r="D17128" s="11" t="s">
        <v>27991</v>
      </c>
      <c r="E17128" s="10">
        <v>4124112</v>
      </c>
      <c r="F17128" s="4" t="str">
        <f>IF(B17128=B17127,"",B17128)</f>
        <v/>
      </c>
    </row>
    <row r="17129" spans="1:6" ht="15.75" customHeight="1">
      <c r="A17129" s="16" t="s">
        <v>29482</v>
      </c>
      <c r="B17129" s="15" t="s">
        <v>29482</v>
      </c>
      <c r="C17129" s="16" t="s">
        <v>27788</v>
      </c>
      <c r="D17129" s="16" t="s">
        <v>5468</v>
      </c>
      <c r="E17129" s="2">
        <v>4166222</v>
      </c>
      <c r="F17129" s="4" t="str">
        <f>IF(B17129=B17128,"",B17129)</f>
        <v>North Lauderdale</v>
      </c>
    </row>
    <row r="17130" spans="1:6" ht="15.75" customHeight="1">
      <c r="A17130" s="8" t="str">
        <f ca="1">IFERROR(__xludf.DUMMYFUNCTION("GOOGLETRANSLATE(B42961,""en"",""pt"")"),"North Lauderdale")</f>
        <v>North Lauderdale</v>
      </c>
      <c r="B17130" s="11" t="s">
        <v>29482</v>
      </c>
      <c r="C17130" s="11" t="s">
        <v>27788</v>
      </c>
      <c r="D17130" s="11" t="s">
        <v>5468</v>
      </c>
      <c r="E17130" s="10">
        <v>4166222</v>
      </c>
      <c r="F17130" s="4" t="str">
        <f>IF(B17130=B17129,"",B17130)</f>
        <v/>
      </c>
    </row>
    <row r="17131" spans="1:6" ht="15.75" customHeight="1">
      <c r="A17131" s="16" t="s">
        <v>29481</v>
      </c>
      <c r="B17131" s="15" t="s">
        <v>29481</v>
      </c>
      <c r="C17131" s="16" t="s">
        <v>27788</v>
      </c>
      <c r="D17131" s="16" t="s">
        <v>28073</v>
      </c>
      <c r="E17131" s="2">
        <v>5509403</v>
      </c>
      <c r="F17131" s="4" t="str">
        <f>IF(B17131=B17130,"",B17131)</f>
        <v>North Las Vegas</v>
      </c>
    </row>
    <row r="17132" spans="1:6" ht="15.75" customHeight="1">
      <c r="A17132" s="8" t="str">
        <f ca="1">IFERROR(__xludf.DUMMYFUNCTION("GOOGLETRANSLATE(B45145,""en"",""pt"")"),"North Las Vegas")</f>
        <v>North Las Vegas</v>
      </c>
      <c r="B17132" s="11" t="s">
        <v>29481</v>
      </c>
      <c r="C17132" s="11" t="s">
        <v>27788</v>
      </c>
      <c r="D17132" s="11" t="s">
        <v>28073</v>
      </c>
      <c r="E17132" s="10">
        <v>5509403</v>
      </c>
      <c r="F17132" s="4" t="str">
        <f>IF(B17132=B17131,"",B17132)</f>
        <v/>
      </c>
    </row>
    <row r="17133" spans="1:6" ht="15.75" customHeight="1">
      <c r="A17133" s="16" t="s">
        <v>12678</v>
      </c>
      <c r="B17133" s="15" t="s">
        <v>12679</v>
      </c>
      <c r="C17133" s="16" t="s">
        <v>10178</v>
      </c>
      <c r="D17133" s="16" t="s">
        <v>10239</v>
      </c>
      <c r="E17133" s="2">
        <v>1261181</v>
      </c>
      <c r="F17133" s="4" t="str">
        <f>IF(B17133=B17132,"",B17133)</f>
        <v>North Lakhimpur</v>
      </c>
    </row>
    <row r="17134" spans="1:6" ht="15.75" customHeight="1">
      <c r="A17134" s="8" t="str">
        <f ca="1">IFERROR(__xludf.DUMMYFUNCTION("GOOGLETRANSLATE(B32589,""en"",""pt"")"),"Lakhimpur do Norte")</f>
        <v>Lakhimpur do Norte</v>
      </c>
      <c r="B17134" s="11" t="s">
        <v>12679</v>
      </c>
      <c r="C17134" s="11" t="s">
        <v>10178</v>
      </c>
      <c r="D17134" s="11" t="s">
        <v>10239</v>
      </c>
      <c r="E17134" s="10">
        <v>1261181</v>
      </c>
      <c r="F17134" s="4" t="str">
        <f>IF(B17134=B17133,"",B17134)</f>
        <v/>
      </c>
    </row>
    <row r="17135" spans="1:6" ht="15.75" customHeight="1">
      <c r="A17135" s="16" t="s">
        <v>29480</v>
      </c>
      <c r="B17135" s="15" t="s">
        <v>29480</v>
      </c>
      <c r="C17135" s="16" t="s">
        <v>27788</v>
      </c>
      <c r="D17135" s="16" t="s">
        <v>27890</v>
      </c>
      <c r="E17135" s="2">
        <v>5264870</v>
      </c>
      <c r="F17135" s="4" t="str">
        <f>IF(B17135=B17134,"",B17135)</f>
        <v>North La Crosse</v>
      </c>
    </row>
    <row r="17136" spans="1:6" ht="15.75" customHeight="1">
      <c r="A17136" s="8" t="str">
        <f ca="1">IFERROR(__xludf.DUMMYFUNCTION("GOOGLETRANSLATE(B44664,""en"",""pt"")"),"North La Crosse")</f>
        <v>North La Crosse</v>
      </c>
      <c r="B17136" s="11" t="s">
        <v>29480</v>
      </c>
      <c r="C17136" s="11" t="s">
        <v>27788</v>
      </c>
      <c r="D17136" s="11" t="s">
        <v>27890</v>
      </c>
      <c r="E17136" s="10">
        <v>5264870</v>
      </c>
      <c r="F17136" s="4" t="str">
        <f>IF(B17136=B17135,"",B17136)</f>
        <v/>
      </c>
    </row>
    <row r="17137" spans="1:6" ht="15.75" customHeight="1">
      <c r="A17137" s="16" t="s">
        <v>29479</v>
      </c>
      <c r="B17137" s="15" t="s">
        <v>29479</v>
      </c>
      <c r="C17137" s="16" t="s">
        <v>27788</v>
      </c>
      <c r="D17137" s="16" t="s">
        <v>27951</v>
      </c>
      <c r="E17137" s="2">
        <v>5223672</v>
      </c>
      <c r="F17137" s="4" t="str">
        <f>IF(B17137=B17136,"",B17137)</f>
        <v>North Kingstown</v>
      </c>
    </row>
    <row r="17138" spans="1:6" ht="15.75" customHeight="1">
      <c r="A17138" s="8" t="str">
        <f ca="1">IFERROR(__xludf.DUMMYFUNCTION("GOOGLETRANSLATE(B44613,""en"",""pt"")"),"North Kingstown")</f>
        <v>North Kingstown</v>
      </c>
      <c r="B17138" s="11" t="s">
        <v>29479</v>
      </c>
      <c r="C17138" s="11" t="s">
        <v>27788</v>
      </c>
      <c r="D17138" s="11" t="s">
        <v>27951</v>
      </c>
      <c r="E17138" s="10">
        <v>5223672</v>
      </c>
      <c r="F17138" s="4" t="str">
        <f>IF(B17138=B17137,"",B17138)</f>
        <v/>
      </c>
    </row>
    <row r="17139" spans="1:6" ht="15.75" customHeight="1">
      <c r="A17139" s="16" t="s">
        <v>29478</v>
      </c>
      <c r="B17139" s="15" t="s">
        <v>29478</v>
      </c>
      <c r="C17139" s="16" t="s">
        <v>27788</v>
      </c>
      <c r="D17139" s="16" t="s">
        <v>27801</v>
      </c>
      <c r="E17139" s="2">
        <v>5377654</v>
      </c>
      <c r="F17139" s="4" t="str">
        <f>IF(B17139=B17138,"",B17139)</f>
        <v>North Hollywood</v>
      </c>
    </row>
    <row r="17140" spans="1:6" ht="15.75" customHeight="1">
      <c r="A17140" s="8" t="str">
        <f ca="1">IFERROR(__xludf.DUMMYFUNCTION("GOOGLETRANSLATE(B44930,""en"",""pt"")"),"North Hollywood")</f>
        <v>North Hollywood</v>
      </c>
      <c r="B17140" s="11" t="s">
        <v>29478</v>
      </c>
      <c r="C17140" s="11" t="s">
        <v>27788</v>
      </c>
      <c r="D17140" s="11" t="s">
        <v>27801</v>
      </c>
      <c r="E17140" s="10">
        <v>5377654</v>
      </c>
      <c r="F17140" s="4" t="str">
        <f>IF(B17140=B17139,"",B17140)</f>
        <v/>
      </c>
    </row>
    <row r="17141" spans="1:6" ht="15.75" customHeight="1">
      <c r="A17141" s="16" t="s">
        <v>29476</v>
      </c>
      <c r="B17141" s="15" t="s">
        <v>29477</v>
      </c>
      <c r="C17141" s="16" t="s">
        <v>27788</v>
      </c>
      <c r="D17141" s="16" t="s">
        <v>27801</v>
      </c>
      <c r="E17141" s="2">
        <v>5377640</v>
      </c>
      <c r="F17141" s="4" t="str">
        <f>IF(B17141=B17140,"",B17141)</f>
        <v>North Highlands</v>
      </c>
    </row>
    <row r="17142" spans="1:6" ht="15.75" customHeight="1">
      <c r="A17142" s="8" t="str">
        <f ca="1">IFERROR(__xludf.DUMMYFUNCTION("GOOGLETRANSLATE(B44929,""en"",""pt"")"),"Highlands do norte")</f>
        <v>Highlands do norte</v>
      </c>
      <c r="B17142" s="11" t="s">
        <v>29477</v>
      </c>
      <c r="C17142" s="11" t="s">
        <v>27788</v>
      </c>
      <c r="D17142" s="11" t="s">
        <v>27801</v>
      </c>
      <c r="E17142" s="10">
        <v>5377640</v>
      </c>
      <c r="F17142" s="4" t="str">
        <f>IF(B17142=B17141,"",B17142)</f>
        <v/>
      </c>
    </row>
    <row r="17143" spans="1:6" ht="15.75" customHeight="1">
      <c r="A17143" s="8" t="str">
        <f ca="1">IFERROR(__xludf.DUMMYFUNCTION("GOOGLETRANSLATE(B32590,""en"",""pt"")"),"North Guwāhāti")</f>
        <v>North Guwāhāti</v>
      </c>
      <c r="B17143" s="9" t="s">
        <v>33290</v>
      </c>
      <c r="C17143" s="9" t="s">
        <v>10178</v>
      </c>
      <c r="D17143" s="9" t="s">
        <v>10239</v>
      </c>
      <c r="E17143" s="10">
        <v>1261186</v>
      </c>
      <c r="F17143" s="4" t="str">
        <f>IF(B17143=B17142,"",B17143)</f>
        <v>North Guwāhāti</v>
      </c>
    </row>
    <row r="17144" spans="1:6" ht="15.75" customHeight="1">
      <c r="A17144" s="16" t="s">
        <v>12676</v>
      </c>
      <c r="B17144" s="15" t="s">
        <v>12677</v>
      </c>
      <c r="C17144" s="16" t="s">
        <v>10178</v>
      </c>
      <c r="D17144" s="16" t="s">
        <v>10239</v>
      </c>
      <c r="E17144" s="2">
        <v>1261186</v>
      </c>
      <c r="F17144" s="4" t="str">
        <f>IF(B17144=B17143,"",B17144)</f>
        <v>North GuwÄhÄti</v>
      </c>
    </row>
    <row r="17145" spans="1:6" ht="15.75" customHeight="1">
      <c r="A17145" s="16" t="s">
        <v>29475</v>
      </c>
      <c r="B17145" s="15" t="s">
        <v>29475</v>
      </c>
      <c r="C17145" s="16" t="s">
        <v>27788</v>
      </c>
      <c r="D17145" s="16" t="s">
        <v>27801</v>
      </c>
      <c r="E17145" s="2">
        <v>5377613</v>
      </c>
      <c r="F17145" s="4" t="str">
        <f>IF(B17145=B17144,"",B17145)</f>
        <v>North Glendale</v>
      </c>
    </row>
    <row r="17146" spans="1:6" ht="15.75" customHeight="1">
      <c r="A17146" s="8" t="str">
        <f ca="1">IFERROR(__xludf.DUMMYFUNCTION("GOOGLETRANSLATE(B44928,""en"",""pt"")"),"North Glendale")</f>
        <v>North Glendale</v>
      </c>
      <c r="B17146" s="11" t="s">
        <v>29475</v>
      </c>
      <c r="C17146" s="11" t="s">
        <v>27788</v>
      </c>
      <c r="D17146" s="11" t="s">
        <v>27801</v>
      </c>
      <c r="E17146" s="10">
        <v>5377613</v>
      </c>
      <c r="F17146" s="4" t="str">
        <f>IF(B17146=B17145,"",B17146)</f>
        <v/>
      </c>
    </row>
    <row r="17147" spans="1:6" ht="15.75" customHeight="1">
      <c r="A17147" s="16" t="s">
        <v>29474</v>
      </c>
      <c r="B17147" s="15" t="s">
        <v>29474</v>
      </c>
      <c r="C17147" s="16" t="s">
        <v>27788</v>
      </c>
      <c r="D17147" s="16" t="s">
        <v>5468</v>
      </c>
      <c r="E17147" s="2">
        <v>4166195</v>
      </c>
      <c r="F17147" s="4" t="str">
        <f>IF(B17147=B17146,"",B17147)</f>
        <v>North Fort Myers</v>
      </c>
    </row>
    <row r="17148" spans="1:6" ht="15.75" customHeight="1">
      <c r="A17148" s="8" t="str">
        <f ca="1">IFERROR(__xludf.DUMMYFUNCTION("GOOGLETRANSLATE(B42960,""en"",""pt"")"),"North Fort Myers")</f>
        <v>North Fort Myers</v>
      </c>
      <c r="B17148" s="9" t="s">
        <v>29474</v>
      </c>
      <c r="C17148" s="9" t="s">
        <v>27788</v>
      </c>
      <c r="D17148" s="9" t="s">
        <v>5468</v>
      </c>
      <c r="E17148" s="10">
        <v>4166195</v>
      </c>
      <c r="F17148" s="4" t="str">
        <f>IF(B17148=B17147,"",B17148)</f>
        <v/>
      </c>
    </row>
    <row r="17149" spans="1:6" ht="15.75" customHeight="1">
      <c r="A17149" s="16" t="s">
        <v>29472</v>
      </c>
      <c r="B17149" s="15" t="s">
        <v>29473</v>
      </c>
      <c r="C17149" s="16" t="s">
        <v>27788</v>
      </c>
      <c r="D17149" s="16" t="s">
        <v>7988</v>
      </c>
      <c r="E17149" s="2">
        <v>4212995</v>
      </c>
      <c r="F17149" s="4" t="str">
        <f>IF(B17149=B17148,"",B17149)</f>
        <v>North Druid Hills</v>
      </c>
    </row>
    <row r="17150" spans="1:6" ht="15.75" customHeight="1">
      <c r="A17150" s="8" t="str">
        <f ca="1">IFERROR(__xludf.DUMMYFUNCTION("GOOGLETRANSLATE(B43099,""en"",""pt"")"),"Hills do North Druid")</f>
        <v>Hills do North Druid</v>
      </c>
      <c r="B17150" s="11" t="s">
        <v>29473</v>
      </c>
      <c r="C17150" s="11" t="s">
        <v>27788</v>
      </c>
      <c r="D17150" s="11" t="s">
        <v>7988</v>
      </c>
      <c r="E17150" s="10">
        <v>4212995</v>
      </c>
      <c r="F17150" s="4" t="str">
        <f>IF(B17150=B17149,"",B17150)</f>
        <v/>
      </c>
    </row>
    <row r="17151" spans="1:6" ht="15.75" customHeight="1">
      <c r="A17151" s="16" t="s">
        <v>29471</v>
      </c>
      <c r="B17151" s="15" t="s">
        <v>29471</v>
      </c>
      <c r="C17151" s="16" t="s">
        <v>27788</v>
      </c>
      <c r="D17151" s="16" t="s">
        <v>7988</v>
      </c>
      <c r="E17151" s="2">
        <v>4212992</v>
      </c>
      <c r="F17151" s="4" t="str">
        <f>IF(B17151=B17150,"",B17151)</f>
        <v>North Decatur</v>
      </c>
    </row>
    <row r="17152" spans="1:6" ht="15.75" customHeight="1">
      <c r="A17152" s="8" t="str">
        <f ca="1">IFERROR(__xludf.DUMMYFUNCTION("GOOGLETRANSLATE(B43098,""en"",""pt"")"),"North Decatur")</f>
        <v>North Decatur</v>
      </c>
      <c r="B17152" s="11" t="s">
        <v>29471</v>
      </c>
      <c r="C17152" s="11" t="s">
        <v>27788</v>
      </c>
      <c r="D17152" s="11" t="s">
        <v>7988</v>
      </c>
      <c r="E17152" s="10">
        <v>4212992</v>
      </c>
      <c r="F17152" s="4" t="str">
        <f>IF(B17152=B17151,"",B17152)</f>
        <v/>
      </c>
    </row>
    <row r="17153" spans="1:6" ht="15.75" customHeight="1">
      <c r="A17153" s="16" t="s">
        <v>29470</v>
      </c>
      <c r="B17153" s="15" t="s">
        <v>29470</v>
      </c>
      <c r="C17153" s="16" t="s">
        <v>27788</v>
      </c>
      <c r="D17153" s="16" t="s">
        <v>27733</v>
      </c>
      <c r="E17153" s="2">
        <v>5804953</v>
      </c>
      <c r="F17153" s="4" t="str">
        <f>IF(B17153=B17152,"",B17153)</f>
        <v>North Creek</v>
      </c>
    </row>
    <row r="17154" spans="1:6" ht="15.75" customHeight="1">
      <c r="A17154" s="8" t="str">
        <f ca="1">IFERROR(__xludf.DUMMYFUNCTION("GOOGLETRANSLATE(B45358,""en"",""pt"")"),"North Creek")</f>
        <v>North Creek</v>
      </c>
      <c r="B17154" s="11" t="s">
        <v>29470</v>
      </c>
      <c r="C17154" s="11" t="s">
        <v>27788</v>
      </c>
      <c r="D17154" s="11" t="s">
        <v>27733</v>
      </c>
      <c r="E17154" s="10">
        <v>5804953</v>
      </c>
      <c r="F17154" s="4" t="str">
        <f>IF(B17154=B17153,"",B17154)</f>
        <v/>
      </c>
    </row>
    <row r="17155" spans="1:6" ht="15.75" customHeight="1">
      <c r="A17155" s="16" t="s">
        <v>4125</v>
      </c>
      <c r="B17155" s="15" t="s">
        <v>4125</v>
      </c>
      <c r="C17155" s="16" t="s">
        <v>3975</v>
      </c>
      <c r="D17155" s="16" t="s">
        <v>3976</v>
      </c>
      <c r="E17155" s="2">
        <v>6089661</v>
      </c>
      <c r="F17155" s="4" t="str">
        <f>IF(B17155=B17154,"",B17155)</f>
        <v>North Cowichan</v>
      </c>
    </row>
    <row r="17156" spans="1:6" ht="15.75" customHeight="1">
      <c r="A17156" s="8" t="str">
        <f ca="1">IFERROR(__xludf.DUMMYFUNCTION("GOOGLETRANSLATE(B25530,""en"",""pt"")"),"North Cowichan")</f>
        <v>North Cowichan</v>
      </c>
      <c r="B17156" s="11" t="s">
        <v>4125</v>
      </c>
      <c r="C17156" s="11" t="s">
        <v>3975</v>
      </c>
      <c r="D17156" s="11" t="s">
        <v>3976</v>
      </c>
      <c r="E17156" s="10">
        <v>6089661</v>
      </c>
      <c r="F17156" s="4" t="str">
        <f>IF(B17156=B17155,"",B17156)</f>
        <v/>
      </c>
    </row>
    <row r="17157" spans="1:6" ht="15.75" customHeight="1">
      <c r="A17157" s="16" t="s">
        <v>29469</v>
      </c>
      <c r="B17157" s="15" t="s">
        <v>29469</v>
      </c>
      <c r="C17157" s="16" t="s">
        <v>27788</v>
      </c>
      <c r="D17157" s="16" t="s">
        <v>27794</v>
      </c>
      <c r="E17157" s="2">
        <v>4945588</v>
      </c>
      <c r="F17157" s="4" t="str">
        <f>IF(B17157=B17156,"",B17157)</f>
        <v>North Chicopee</v>
      </c>
    </row>
    <row r="17158" spans="1:6" ht="15.75" customHeight="1">
      <c r="A17158" s="8" t="str">
        <f ca="1">IFERROR(__xludf.DUMMYFUNCTION("GOOGLETRANSLATE(B44009,""en"",""pt"")"),"North Chicopee")</f>
        <v>North Chicopee</v>
      </c>
      <c r="B17158" s="11" t="s">
        <v>29469</v>
      </c>
      <c r="C17158" s="11" t="s">
        <v>27788</v>
      </c>
      <c r="D17158" s="11" t="s">
        <v>27794</v>
      </c>
      <c r="E17158" s="10">
        <v>4945588</v>
      </c>
      <c r="F17158" s="4" t="str">
        <f>IF(B17158=B17157,"",B17158)</f>
        <v/>
      </c>
    </row>
    <row r="17159" spans="1:6" ht="15.75" customHeight="1">
      <c r="A17159" s="16" t="s">
        <v>29468</v>
      </c>
      <c r="B17159" s="15" t="s">
        <v>29468</v>
      </c>
      <c r="C17159" s="16" t="s">
        <v>27788</v>
      </c>
      <c r="D17159" s="16" t="s">
        <v>27799</v>
      </c>
      <c r="E17159" s="2">
        <v>4903862</v>
      </c>
      <c r="F17159" s="4" t="str">
        <f>IF(B17159=B17158,"",B17159)</f>
        <v>North Chicago</v>
      </c>
    </row>
    <row r="17160" spans="1:6" ht="15.75" customHeight="1">
      <c r="A17160" s="8" t="str">
        <f ca="1">IFERROR(__xludf.DUMMYFUNCTION("GOOGLETRANSLATE(B43857,""en"",""pt"")"),"North Chicago")</f>
        <v>North Chicago</v>
      </c>
      <c r="B17160" s="11" t="s">
        <v>29468</v>
      </c>
      <c r="C17160" s="11" t="s">
        <v>27788</v>
      </c>
      <c r="D17160" s="11" t="s">
        <v>27799</v>
      </c>
      <c r="E17160" s="10">
        <v>4903862</v>
      </c>
      <c r="F17160" s="4" t="str">
        <f>IF(B17160=B17159,"",B17160)</f>
        <v/>
      </c>
    </row>
    <row r="17161" spans="1:6" ht="15.75" customHeight="1">
      <c r="A17161" s="16" t="s">
        <v>29467</v>
      </c>
      <c r="B17161" s="15" t="s">
        <v>29467</v>
      </c>
      <c r="C17161" s="16" t="s">
        <v>27788</v>
      </c>
      <c r="D17161" s="16" t="s">
        <v>27811</v>
      </c>
      <c r="E17161" s="2">
        <v>4589387</v>
      </c>
      <c r="F17161" s="4" t="str">
        <f>IF(B17161=B17160,"",B17161)</f>
        <v>North Charleston</v>
      </c>
    </row>
    <row r="17162" spans="1:6" ht="15.75" customHeight="1">
      <c r="A17162" s="8" t="str">
        <f ca="1">IFERROR(__xludf.DUMMYFUNCTION("GOOGLETRANSLATE(B43596,""en"",""pt"")"),"North Charleston")</f>
        <v>North Charleston</v>
      </c>
      <c r="B17162" s="11" t="s">
        <v>29467</v>
      </c>
      <c r="C17162" s="11" t="s">
        <v>27788</v>
      </c>
      <c r="D17162" s="11" t="s">
        <v>27811</v>
      </c>
      <c r="E17162" s="10">
        <v>4589387</v>
      </c>
      <c r="F17162" s="4" t="str">
        <f>IF(B17162=B17161,"",B17162)</f>
        <v/>
      </c>
    </row>
    <row r="17163" spans="1:6" ht="15.75" customHeight="1">
      <c r="A17163" s="16" t="s">
        <v>29465</v>
      </c>
      <c r="B17163" s="15" t="s">
        <v>29466</v>
      </c>
      <c r="C17163" s="16" t="s">
        <v>27788</v>
      </c>
      <c r="D17163" s="16" t="s">
        <v>27813</v>
      </c>
      <c r="E17163" s="2">
        <v>5164706</v>
      </c>
      <c r="F17163" s="4" t="str">
        <f>IF(B17163=B17162,"",B17163)</f>
        <v>North Canton</v>
      </c>
    </row>
    <row r="17164" spans="1:6" ht="15.75" customHeight="1">
      <c r="A17164" s="8" t="str">
        <f ca="1">IFERROR(__xludf.DUMMYFUNCTION("GOOGLETRANSLATE(B44526,""en"",""pt"")"),"Canton do norte")</f>
        <v>Canton do norte</v>
      </c>
      <c r="B17164" s="11" t="s">
        <v>29466</v>
      </c>
      <c r="C17164" s="11" t="s">
        <v>27788</v>
      </c>
      <c r="D17164" s="11" t="s">
        <v>27813</v>
      </c>
      <c r="E17164" s="10">
        <v>5164706</v>
      </c>
      <c r="F17164" s="4" t="str">
        <f>IF(B17164=B17163,"",B17164)</f>
        <v/>
      </c>
    </row>
    <row r="17165" spans="1:6" ht="15.75" customHeight="1">
      <c r="A17165" s="16" t="s">
        <v>29463</v>
      </c>
      <c r="B17165" s="15" t="s">
        <v>29464</v>
      </c>
      <c r="C17165" s="16" t="s">
        <v>27788</v>
      </c>
      <c r="D17165" s="16" t="s">
        <v>17061</v>
      </c>
      <c r="E17165" s="2">
        <v>4363843</v>
      </c>
      <c r="F17165" s="4" t="str">
        <f>IF(B17165=B17164,"",B17165)</f>
        <v>North Bethesda</v>
      </c>
    </row>
    <row r="17166" spans="1:6" ht="15.75" customHeight="1">
      <c r="A17166" s="8" t="str">
        <f ca="1">IFERROR(__xludf.DUMMYFUNCTION("GOOGLETRANSLATE(B43311,""en"",""pt"")"),"NORTE BETHESDA")</f>
        <v>NORTE BETHESDA</v>
      </c>
      <c r="B17166" s="9" t="s">
        <v>29464</v>
      </c>
      <c r="C17166" s="9" t="s">
        <v>27788</v>
      </c>
      <c r="D17166" s="9" t="s">
        <v>17061</v>
      </c>
      <c r="E17166" s="10">
        <v>4363843</v>
      </c>
      <c r="F17166" s="4" t="str">
        <f>IF(B17166=B17165,"",B17166)</f>
        <v/>
      </c>
    </row>
    <row r="17167" spans="1:6" ht="15.75" customHeight="1">
      <c r="A17167" s="16" t="s">
        <v>29462</v>
      </c>
      <c r="B17167" s="15" t="s">
        <v>29462</v>
      </c>
      <c r="C17167" s="16" t="s">
        <v>27788</v>
      </c>
      <c r="D17167" s="16" t="s">
        <v>27905</v>
      </c>
      <c r="E17167" s="2">
        <v>5101879</v>
      </c>
      <c r="F17167" s="4" t="str">
        <f>IF(B17167=B17166,"",B17167)</f>
        <v>North Bergen</v>
      </c>
    </row>
    <row r="17168" spans="1:6" ht="15.75" customHeight="1">
      <c r="A17168" s="8" t="str">
        <f ca="1">IFERROR(__xludf.DUMMYFUNCTION("GOOGLETRANSLATE(B44289,""en"",""pt"")"),"North Bergen")</f>
        <v>North Bergen</v>
      </c>
      <c r="B17168" s="9" t="s">
        <v>29462</v>
      </c>
      <c r="C17168" s="9" t="s">
        <v>27788</v>
      </c>
      <c r="D17168" s="9" t="s">
        <v>27905</v>
      </c>
      <c r="E17168" s="10">
        <v>5101879</v>
      </c>
      <c r="F17168" s="4" t="str">
        <f>IF(B17168=B17167,"",B17168)</f>
        <v/>
      </c>
    </row>
    <row r="17169" spans="1:6" ht="15.75" customHeight="1">
      <c r="A17169" s="16" t="s">
        <v>29461</v>
      </c>
      <c r="B17169" s="15" t="s">
        <v>29461</v>
      </c>
      <c r="C17169" s="16" t="s">
        <v>27788</v>
      </c>
      <c r="D17169" s="16" t="s">
        <v>27819</v>
      </c>
      <c r="E17169" s="2">
        <v>5128904</v>
      </c>
      <c r="F17169" s="4" t="str">
        <f>IF(B17169=B17168,"",B17169)</f>
        <v>North Bellmore</v>
      </c>
    </row>
    <row r="17170" spans="1:6" ht="15.75" customHeight="1">
      <c r="A17170" s="8" t="str">
        <f ca="1">IFERROR(__xludf.DUMMYFUNCTION("GOOGLETRANSLATE(B44424,""en"",""pt"")"),"North Bellmore")</f>
        <v>North Bellmore</v>
      </c>
      <c r="B17170" s="9" t="s">
        <v>29461</v>
      </c>
      <c r="C17170" s="9" t="s">
        <v>27788</v>
      </c>
      <c r="D17170" s="9" t="s">
        <v>27819</v>
      </c>
      <c r="E17170" s="10">
        <v>5128904</v>
      </c>
      <c r="F17170" s="4" t="str">
        <f>IF(B17170=B17169,"",B17170)</f>
        <v/>
      </c>
    </row>
    <row r="17171" spans="1:6" ht="15.75" customHeight="1">
      <c r="A17171" s="16" t="s">
        <v>29460</v>
      </c>
      <c r="B17171" s="15" t="s">
        <v>29460</v>
      </c>
      <c r="C17171" s="16" t="s">
        <v>27788</v>
      </c>
      <c r="D17171" s="16" t="s">
        <v>17061</v>
      </c>
      <c r="E17171" s="2">
        <v>4363836</v>
      </c>
      <c r="F17171" s="4" t="str">
        <f>IF(B17171=B17170,"",B17171)</f>
        <v>North Bel Air</v>
      </c>
    </row>
    <row r="17172" spans="1:6" ht="15.75" customHeight="1">
      <c r="A17172" s="8" t="str">
        <f ca="1">IFERROR(__xludf.DUMMYFUNCTION("GOOGLETRANSLATE(B43310,""en"",""pt"")"),"North Bel Air")</f>
        <v>North Bel Air</v>
      </c>
      <c r="B17172" s="9" t="s">
        <v>29460</v>
      </c>
      <c r="C17172" s="9" t="s">
        <v>27788</v>
      </c>
      <c r="D17172" s="9" t="s">
        <v>17061</v>
      </c>
      <c r="E17172" s="10">
        <v>4363836</v>
      </c>
      <c r="F17172" s="4" t="str">
        <f>IF(B17172=B17171,"",B17172)</f>
        <v/>
      </c>
    </row>
    <row r="17173" spans="1:6" ht="15.75" customHeight="1">
      <c r="A17173" s="16" t="s">
        <v>29459</v>
      </c>
      <c r="B17173" s="15" t="s">
        <v>29459</v>
      </c>
      <c r="C17173" s="16" t="s">
        <v>27788</v>
      </c>
      <c r="D17173" s="16" t="s">
        <v>27819</v>
      </c>
      <c r="E17173" s="2">
        <v>5128898</v>
      </c>
      <c r="F17173" s="4" t="str">
        <f>IF(B17173=B17172,"",B17173)</f>
        <v>North Bay Shore</v>
      </c>
    </row>
    <row r="17174" spans="1:6" ht="15.75" customHeight="1">
      <c r="A17174" s="8" t="str">
        <f ca="1">IFERROR(__xludf.DUMMYFUNCTION("GOOGLETRANSLATE(B44423,""en"",""pt"")"),"North Bay Shore")</f>
        <v>North Bay Shore</v>
      </c>
      <c r="B17174" s="11" t="s">
        <v>29459</v>
      </c>
      <c r="C17174" s="11" t="s">
        <v>27788</v>
      </c>
      <c r="D17174" s="11" t="s">
        <v>27819</v>
      </c>
      <c r="E17174" s="10">
        <v>5128898</v>
      </c>
      <c r="F17174" s="4" t="str">
        <f>IF(B17174=B17173,"",B17174)</f>
        <v/>
      </c>
    </row>
    <row r="17175" spans="1:6" ht="15.75" customHeight="1">
      <c r="A17175" s="16" t="s">
        <v>4124</v>
      </c>
      <c r="B17175" s="15" t="s">
        <v>4124</v>
      </c>
      <c r="C17175" s="16" t="s">
        <v>3975</v>
      </c>
      <c r="D17175" s="16" t="s">
        <v>3980</v>
      </c>
      <c r="E17175" s="2">
        <v>6089426</v>
      </c>
      <c r="F17175" s="4" t="str">
        <f>IF(B17175=B17174,"",B17175)</f>
        <v>North Bay</v>
      </c>
    </row>
    <row r="17176" spans="1:6" ht="15.75" customHeight="1">
      <c r="A17176" s="8" t="str">
        <f ca="1">IFERROR(__xludf.DUMMYFUNCTION("GOOGLETRANSLATE(B25529,""en"",""pt"")"),"North Bay")</f>
        <v>North Bay</v>
      </c>
      <c r="B17176" s="9" t="s">
        <v>4124</v>
      </c>
      <c r="C17176" s="9" t="s">
        <v>3975</v>
      </c>
      <c r="D17176" s="9" t="s">
        <v>3980</v>
      </c>
      <c r="E17176" s="10">
        <v>6089426</v>
      </c>
      <c r="F17176" s="4" t="str">
        <f>IF(B17176=B17175,"",B17176)</f>
        <v/>
      </c>
    </row>
    <row r="17177" spans="1:6" ht="15.75" customHeight="1">
      <c r="A17177" s="16" t="s">
        <v>4123</v>
      </c>
      <c r="B17177" s="15" t="s">
        <v>4123</v>
      </c>
      <c r="C17177" s="16" t="s">
        <v>3975</v>
      </c>
      <c r="D17177" s="16" t="s">
        <v>4087</v>
      </c>
      <c r="E17177" s="2">
        <v>6089404</v>
      </c>
      <c r="F17177" s="4" t="str">
        <f>IF(B17177=B17176,"",B17177)</f>
        <v>North Battleford</v>
      </c>
    </row>
    <row r="17178" spans="1:6" ht="15.75" customHeight="1">
      <c r="A17178" s="8" t="str">
        <f ca="1">IFERROR(__xludf.DUMMYFUNCTION("GOOGLETRANSLATE(B25528,""en"",""pt"")"),"North Battleford")</f>
        <v>North Battleford</v>
      </c>
      <c r="B17178" s="9" t="s">
        <v>4123</v>
      </c>
      <c r="C17178" s="9" t="s">
        <v>3975</v>
      </c>
      <c r="D17178" s="9" t="s">
        <v>4087</v>
      </c>
      <c r="E17178" s="10">
        <v>6089404</v>
      </c>
      <c r="F17178" s="4" t="str">
        <f>IF(B17178=B17177,"",B17178)</f>
        <v/>
      </c>
    </row>
    <row r="17179" spans="1:6" ht="15.75" customHeight="1">
      <c r="A17179" s="16" t="s">
        <v>29457</v>
      </c>
      <c r="B17179" s="15" t="s">
        <v>29458</v>
      </c>
      <c r="C17179" s="16" t="s">
        <v>27788</v>
      </c>
      <c r="D17179" s="16" t="s">
        <v>27819</v>
      </c>
      <c r="E17179" s="2">
        <v>5128886</v>
      </c>
      <c r="F17179" s="4" t="str">
        <f>IF(B17179=B17178,"",B17179)</f>
        <v>North Babylon</v>
      </c>
    </row>
    <row r="17180" spans="1:6" ht="15.75" customHeight="1">
      <c r="A17180" s="8" t="str">
        <f ca="1">IFERROR(__xludf.DUMMYFUNCTION("GOOGLETRANSLATE(B44422,""en"",""pt"")"),"Babilônia do Norte")</f>
        <v>Babilônia do Norte</v>
      </c>
      <c r="B17180" s="9" t="s">
        <v>29458</v>
      </c>
      <c r="C17180" s="9" t="s">
        <v>27788</v>
      </c>
      <c r="D17180" s="9" t="s">
        <v>27819</v>
      </c>
      <c r="E17180" s="10">
        <v>5128886</v>
      </c>
      <c r="F17180" s="4" t="str">
        <f>IF(B17180=B17179,"",B17180)</f>
        <v/>
      </c>
    </row>
    <row r="17181" spans="1:6" ht="15.75" customHeight="1">
      <c r="A17181" s="16" t="s">
        <v>29455</v>
      </c>
      <c r="B17181" s="15" t="s">
        <v>29456</v>
      </c>
      <c r="C17181" s="16" t="s">
        <v>27788</v>
      </c>
      <c r="D17181" s="16" t="s">
        <v>27799</v>
      </c>
      <c r="E17181" s="2">
        <v>4903818</v>
      </c>
      <c r="F17181" s="4" t="str">
        <f>IF(B17181=B17180,"",B17181)</f>
        <v>North Aurora</v>
      </c>
    </row>
    <row r="17182" spans="1:6" ht="15.75" customHeight="1">
      <c r="A17182" s="8" t="str">
        <f ca="1">IFERROR(__xludf.DUMMYFUNCTION("GOOGLETRANSLATE(B43856,""en"",""pt"")"),"Aurora norte")</f>
        <v>Aurora norte</v>
      </c>
      <c r="B17182" s="9" t="s">
        <v>29456</v>
      </c>
      <c r="C17182" s="9" t="s">
        <v>27788</v>
      </c>
      <c r="D17182" s="9" t="s">
        <v>27799</v>
      </c>
      <c r="E17182" s="10">
        <v>4903818</v>
      </c>
      <c r="F17182" s="4" t="str">
        <f>IF(B17182=B17181,"",B17182)</f>
        <v/>
      </c>
    </row>
    <row r="17183" spans="1:6" ht="15.75" customHeight="1">
      <c r="A17183" s="16" t="s">
        <v>29453</v>
      </c>
      <c r="B17183" s="15" t="s">
        <v>29454</v>
      </c>
      <c r="C17183" s="16" t="s">
        <v>27788</v>
      </c>
      <c r="D17183" s="16" t="s">
        <v>27811</v>
      </c>
      <c r="E17183" s="2">
        <v>4589368</v>
      </c>
      <c r="F17183" s="4" t="str">
        <f>IF(B17183=B17182,"",B17183)</f>
        <v>North Augusta</v>
      </c>
    </row>
    <row r="17184" spans="1:6" ht="15.75" customHeight="1">
      <c r="A17184" s="8" t="str">
        <f ca="1">IFERROR(__xludf.DUMMYFUNCTION("GOOGLETRANSLATE(B43595,""en"",""pt"")"),"Augusta do Norte")</f>
        <v>Augusta do Norte</v>
      </c>
      <c r="B17184" s="9" t="s">
        <v>29454</v>
      </c>
      <c r="C17184" s="9" t="s">
        <v>27788</v>
      </c>
      <c r="D17184" s="9" t="s">
        <v>27811</v>
      </c>
      <c r="E17184" s="10">
        <v>4589368</v>
      </c>
      <c r="F17184" s="4" t="str">
        <f>IF(B17184=B17183,"",B17184)</f>
        <v/>
      </c>
    </row>
    <row r="17185" spans="1:6" ht="15.75" customHeight="1">
      <c r="A17185" s="16" t="s">
        <v>29452</v>
      </c>
      <c r="B17185" s="15" t="s">
        <v>29452</v>
      </c>
      <c r="C17185" s="16" t="s">
        <v>27788</v>
      </c>
      <c r="D17185" s="16" t="s">
        <v>27905</v>
      </c>
      <c r="E17185" s="2">
        <v>5101873</v>
      </c>
      <c r="F17185" s="4" t="str">
        <f>IF(B17185=B17184,"",B17185)</f>
        <v>North Arlington</v>
      </c>
    </row>
    <row r="17186" spans="1:6" ht="15.75" customHeight="1">
      <c r="A17186" s="8" t="str">
        <f ca="1">IFERROR(__xludf.DUMMYFUNCTION("GOOGLETRANSLATE(B44288,""en"",""pt"")"),"North Arlington")</f>
        <v>North Arlington</v>
      </c>
      <c r="B17186" s="9" t="s">
        <v>29452</v>
      </c>
      <c r="C17186" s="9" t="s">
        <v>27788</v>
      </c>
      <c r="D17186" s="9" t="s">
        <v>27905</v>
      </c>
      <c r="E17186" s="10">
        <v>5101873</v>
      </c>
      <c r="F17186" s="4" t="str">
        <f>IF(B17186=B17185,"",B17186)</f>
        <v/>
      </c>
    </row>
    <row r="17187" spans="1:6" ht="15.75" customHeight="1">
      <c r="A17187" s="16" t="s">
        <v>29451</v>
      </c>
      <c r="B17187" s="15" t="s">
        <v>29451</v>
      </c>
      <c r="C17187" s="16" t="s">
        <v>27788</v>
      </c>
      <c r="D17187" s="16" t="s">
        <v>27819</v>
      </c>
      <c r="E17187" s="2">
        <v>5128884</v>
      </c>
      <c r="F17187" s="4" t="str">
        <f>IF(B17187=B17186,"",B17187)</f>
        <v>North Amityville</v>
      </c>
    </row>
    <row r="17188" spans="1:6" ht="15.75" customHeight="1">
      <c r="A17188" s="8" t="str">
        <f ca="1">IFERROR(__xludf.DUMMYFUNCTION("GOOGLETRANSLATE(B44421,""en"",""pt"")"),"North Amityville")</f>
        <v>North Amityville</v>
      </c>
      <c r="B17188" s="9" t="s">
        <v>29451</v>
      </c>
      <c r="C17188" s="9" t="s">
        <v>27788</v>
      </c>
      <c r="D17188" s="9" t="s">
        <v>27819</v>
      </c>
      <c r="E17188" s="10">
        <v>5128884</v>
      </c>
      <c r="F17188" s="4" t="str">
        <f>IF(B17188=B17187,"",B17188)</f>
        <v/>
      </c>
    </row>
    <row r="17189" spans="1:6" ht="15.75" customHeight="1">
      <c r="A17189" s="8" t="str">
        <f ca="1">IFERROR(__xludf.DUMMYFUNCTION("GOOGLETRANSLATE(B41157,""en"",""pt"")"),"Norrtälje")</f>
        <v>Norrtälje</v>
      </c>
      <c r="B17189" s="11" t="s">
        <v>25183</v>
      </c>
      <c r="C17189" s="11" t="s">
        <v>25077</v>
      </c>
      <c r="D17189" s="11" t="s">
        <v>25081</v>
      </c>
      <c r="E17189" s="10">
        <v>2688250</v>
      </c>
      <c r="F17189" s="4" t="str">
        <f>IF(B17189=B17188,"",B17189)</f>
        <v>Norrtälje</v>
      </c>
    </row>
    <row r="17190" spans="1:6" ht="15.75" customHeight="1">
      <c r="A17190" s="15" t="s">
        <v>25183</v>
      </c>
      <c r="B17190" s="15" t="s">
        <v>25184</v>
      </c>
      <c r="C17190" s="15" t="s">
        <v>25077</v>
      </c>
      <c r="D17190" s="15" t="s">
        <v>25081</v>
      </c>
      <c r="E17190" s="2">
        <v>2688250</v>
      </c>
      <c r="F17190" s="4" t="str">
        <f>IF(B17190=B17189,"",B17190)</f>
        <v>NorrtÃ¤lje</v>
      </c>
    </row>
    <row r="17191" spans="1:6" ht="15.75" customHeight="1">
      <c r="A17191" s="8" t="str">
        <f ca="1">IFERROR(__xludf.DUMMYFUNCTION("GOOGLETRANSLATE(B41158,""en"",""pt"")"),"Norrköping")</f>
        <v>Norrköping</v>
      </c>
      <c r="B17191" s="11" t="s">
        <v>35643</v>
      </c>
      <c r="C17191" s="11" t="s">
        <v>25077</v>
      </c>
      <c r="D17191" s="11" t="s">
        <v>35644</v>
      </c>
      <c r="E17191" s="10">
        <v>2688368</v>
      </c>
      <c r="F17191" s="4" t="str">
        <f>IF(B17191=B17190,"",B17191)</f>
        <v>Norrköping</v>
      </c>
    </row>
    <row r="17192" spans="1:6" ht="15.75" customHeight="1">
      <c r="A17192" s="15" t="s">
        <v>25181</v>
      </c>
      <c r="B17192" s="15" t="s">
        <v>25182</v>
      </c>
      <c r="C17192" s="15" t="s">
        <v>25077</v>
      </c>
      <c r="D17192" s="15" t="s">
        <v>25165</v>
      </c>
      <c r="E17192" s="2">
        <v>2688368</v>
      </c>
      <c r="F17192" s="4" t="str">
        <f>IF(B17192=B17191,"",B17192)</f>
        <v>NorrkÃ¶ping</v>
      </c>
    </row>
    <row r="17193" spans="1:6" ht="15.75" customHeight="1">
      <c r="A17193" s="16" t="s">
        <v>29450</v>
      </c>
      <c r="B17193" s="15" t="s">
        <v>29450</v>
      </c>
      <c r="C17193" s="16" t="s">
        <v>27788</v>
      </c>
      <c r="D17193" s="16" t="s">
        <v>27836</v>
      </c>
      <c r="E17193" s="2">
        <v>5203506</v>
      </c>
      <c r="F17193" s="4" t="str">
        <f>IF(B17193=B17192,"",B17193)</f>
        <v>Norristown</v>
      </c>
    </row>
    <row r="17194" spans="1:6" ht="15.75" customHeight="1">
      <c r="A17194" s="8" t="str">
        <f ca="1">IFERROR(__xludf.DUMMYFUNCTION("GOOGLETRANSLATE(B44586,""en"",""pt"")"),"Norristown")</f>
        <v>Norristown</v>
      </c>
      <c r="B17194" s="9" t="s">
        <v>29450</v>
      </c>
      <c r="C17194" s="9" t="s">
        <v>27788</v>
      </c>
      <c r="D17194" s="9" t="s">
        <v>27836</v>
      </c>
      <c r="E17194" s="10">
        <v>5203506</v>
      </c>
      <c r="F17194" s="4" t="str">
        <f>IF(B17194=B17193,"",B17194)</f>
        <v/>
      </c>
    </row>
    <row r="17195" spans="1:6" ht="15.75" customHeight="1">
      <c r="A17195" s="8" t="str">
        <f ca="1">IFERROR(__xludf.DUMMYFUNCTION("GOOGLETRANSLATE(B28420,""en"",""pt"")"),"Nørresundby")</f>
        <v>Nørresundby</v>
      </c>
      <c r="B17195" s="11" t="s">
        <v>32155</v>
      </c>
      <c r="C17195" s="11" t="s">
        <v>6209</v>
      </c>
      <c r="D17195" s="11" t="s">
        <v>6214</v>
      </c>
      <c r="E17195" s="10">
        <v>2616235</v>
      </c>
      <c r="F17195" s="4" t="str">
        <f>IF(B17195=B17194,"",B17195)</f>
        <v>Nørresundby</v>
      </c>
    </row>
    <row r="17196" spans="1:6" ht="15.75" customHeight="1">
      <c r="A17196" s="16" t="s">
        <v>29448</v>
      </c>
      <c r="B17196" s="15" t="s">
        <v>29449</v>
      </c>
      <c r="C17196" s="16" t="s">
        <v>27788</v>
      </c>
      <c r="D17196" s="16" t="s">
        <v>27797</v>
      </c>
      <c r="E17196" s="2">
        <v>4543762</v>
      </c>
      <c r="F17196" s="4" t="str">
        <f>IF(B17196=B17195,"",B17196)</f>
        <v>Norman</v>
      </c>
    </row>
    <row r="17197" spans="1:6" ht="15.75" customHeight="1">
      <c r="A17197" s="8" t="str">
        <f ca="1">IFERROR(__xludf.DUMMYFUNCTION("GOOGLETRANSLATE(B43559,""en"",""pt"")"),"normando")</f>
        <v>normando</v>
      </c>
      <c r="B17197" s="9" t="s">
        <v>29449</v>
      </c>
      <c r="C17197" s="9" t="s">
        <v>27788</v>
      </c>
      <c r="D17197" s="9" t="s">
        <v>27797</v>
      </c>
      <c r="E17197" s="10">
        <v>4543762</v>
      </c>
      <c r="F17197" s="4" t="str">
        <f>IF(B17197=B17196,"",B17197)</f>
        <v/>
      </c>
    </row>
    <row r="17198" spans="1:6" ht="15.75" customHeight="1">
      <c r="A17198" s="15" t="s">
        <v>29447</v>
      </c>
      <c r="B17198" s="15" t="s">
        <v>29447</v>
      </c>
      <c r="C17198" s="15" t="s">
        <v>27788</v>
      </c>
      <c r="D17198" s="15" t="s">
        <v>27799</v>
      </c>
      <c r="E17198" s="2">
        <v>4903780</v>
      </c>
      <c r="F17198" s="4" t="str">
        <f>IF(B17198=B17197,"",B17198)</f>
        <v>Normal</v>
      </c>
    </row>
    <row r="17199" spans="1:6" ht="15.75" customHeight="1">
      <c r="A17199" s="8" t="str">
        <f ca="1">IFERROR(__xludf.DUMMYFUNCTION("GOOGLETRANSLATE(B43855,""en"",""pt"")"),"Normal")</f>
        <v>Normal</v>
      </c>
      <c r="B17199" s="9" t="s">
        <v>29447</v>
      </c>
      <c r="C17199" s="9" t="s">
        <v>27788</v>
      </c>
      <c r="D17199" s="9" t="s">
        <v>27799</v>
      </c>
      <c r="E17199" s="10">
        <v>4903780</v>
      </c>
      <c r="F17199" s="4" t="str">
        <f>IF(B17199=B17198,"",B17199)</f>
        <v/>
      </c>
    </row>
    <row r="17200" spans="1:6" ht="15.75" customHeight="1">
      <c r="A17200" s="15" t="s">
        <v>29446</v>
      </c>
      <c r="B17200" s="15" t="s">
        <v>29446</v>
      </c>
      <c r="C17200" s="15" t="s">
        <v>27788</v>
      </c>
      <c r="D17200" s="15" t="s">
        <v>5468</v>
      </c>
      <c r="E17200" s="2">
        <v>4166066</v>
      </c>
      <c r="F17200" s="4" t="str">
        <f>IF(B17200=B17199,"",B17200)</f>
        <v>Norland</v>
      </c>
    </row>
    <row r="17201" spans="1:6" ht="15.75" customHeight="1">
      <c r="A17201" s="8" t="str">
        <f ca="1">IFERROR(__xludf.DUMMYFUNCTION("GOOGLETRANSLATE(B42959,""en"",""pt"")"),"Norland")</f>
        <v>Norland</v>
      </c>
      <c r="B17201" s="9" t="s">
        <v>29446</v>
      </c>
      <c r="C17201" s="9" t="s">
        <v>27788</v>
      </c>
      <c r="D17201" s="9" t="s">
        <v>5468</v>
      </c>
      <c r="E17201" s="10">
        <v>4166066</v>
      </c>
      <c r="F17201" s="4" t="str">
        <f>IF(B17201=B17200,"",B17201)</f>
        <v/>
      </c>
    </row>
    <row r="17202" spans="1:6" ht="15.75" customHeight="1">
      <c r="A17202" s="15" t="s">
        <v>22825</v>
      </c>
      <c r="B17202" s="15" t="s">
        <v>22825</v>
      </c>
      <c r="C17202" s="15" t="s">
        <v>22070</v>
      </c>
      <c r="D17202" s="15" t="s">
        <v>22079</v>
      </c>
      <c r="E17202" s="2">
        <v>1497337</v>
      </c>
      <c r="F17202" s="4" t="str">
        <f>IF(B17202=B17201,"",B17202)</f>
        <v>Norilsk</v>
      </c>
    </row>
    <row r="17203" spans="1:6" ht="15.75" customHeight="1">
      <c r="A17203" s="8" t="str">
        <f ca="1">IFERROR(__xludf.DUMMYFUNCTION("GOOGLETRANSLATE(B40786,""en"",""pt"")"),"Norilsk")</f>
        <v>Norilsk</v>
      </c>
      <c r="B17203" s="9" t="s">
        <v>22825</v>
      </c>
      <c r="C17203" s="9" t="s">
        <v>22070</v>
      </c>
      <c r="D17203" s="9" t="s">
        <v>22079</v>
      </c>
      <c r="E17203" s="10">
        <v>1497337</v>
      </c>
      <c r="F17203" s="4" t="str">
        <f>IF(B17203=B17202,"",B17203)</f>
        <v/>
      </c>
    </row>
    <row r="17204" spans="1:6" ht="15.75" customHeight="1">
      <c r="A17204" s="16" t="s">
        <v>4121</v>
      </c>
      <c r="B17204" s="15" t="s">
        <v>4122</v>
      </c>
      <c r="C17204" s="16" t="s">
        <v>3975</v>
      </c>
      <c r="D17204" s="16" t="s">
        <v>3980</v>
      </c>
      <c r="E17204" s="2">
        <v>6089125</v>
      </c>
      <c r="F17204" s="4" t="str">
        <f>IF(B17204=B17203,"",B17204)</f>
        <v>Norfolk County</v>
      </c>
    </row>
    <row r="17205" spans="1:6" ht="15.75" customHeight="1">
      <c r="A17205" s="8" t="str">
        <f ca="1">IFERROR(__xludf.DUMMYFUNCTION("GOOGLETRANSLATE(B25527,""en"",""pt"")"),"Condado de Norfolk")</f>
        <v>Condado de Norfolk</v>
      </c>
      <c r="B17205" s="9" t="s">
        <v>4122</v>
      </c>
      <c r="C17205" s="9" t="s">
        <v>3975</v>
      </c>
      <c r="D17205" s="9" t="s">
        <v>3980</v>
      </c>
      <c r="E17205" s="10">
        <v>6089125</v>
      </c>
      <c r="F17205" s="4" t="str">
        <f>IF(B17205=B17204,"",B17205)</f>
        <v/>
      </c>
    </row>
    <row r="17206" spans="1:6" ht="15.75" customHeight="1">
      <c r="A17206" s="15" t="s">
        <v>29445</v>
      </c>
      <c r="B17206" s="15" t="s">
        <v>29445</v>
      </c>
      <c r="C17206" s="15" t="s">
        <v>27788</v>
      </c>
      <c r="D17206" s="15" t="s">
        <v>27995</v>
      </c>
      <c r="E17206" s="2">
        <v>5073965</v>
      </c>
      <c r="F17206" s="4" t="str">
        <f>IF(B17206=B17205,"",B17206)</f>
        <v>Norfolk</v>
      </c>
    </row>
    <row r="17207" spans="1:6" ht="15.75" customHeight="1">
      <c r="A17207" s="8" t="str">
        <f ca="1">IFERROR(__xludf.DUMMYFUNCTION("GOOGLETRANSLATE(B44222,""en"",""pt"")"),"Norfolk")</f>
        <v>Norfolk</v>
      </c>
      <c r="B17207" s="9" t="s">
        <v>29445</v>
      </c>
      <c r="C17207" s="9" t="s">
        <v>27788</v>
      </c>
      <c r="D17207" s="9" t="s">
        <v>27995</v>
      </c>
      <c r="E17207" s="10">
        <v>5073965</v>
      </c>
      <c r="F17207" s="4" t="str">
        <f>IF(B17207=B17206,"",B17207)</f>
        <v/>
      </c>
    </row>
    <row r="17208" spans="1:6" ht="15.75" customHeight="1">
      <c r="A17208" s="8" t="str">
        <f ca="1">IFERROR(__xludf.DUMMYFUNCTION("GOOGLETRANSLATE(B27694,""en"",""pt"")"),"Nördlingen")</f>
        <v>Nördlingen</v>
      </c>
      <c r="B17208" s="11" t="s">
        <v>32044</v>
      </c>
      <c r="C17208" s="11" t="s">
        <v>8028</v>
      </c>
      <c r="D17208" s="11" t="s">
        <v>8044</v>
      </c>
      <c r="E17208" s="10">
        <v>2861914</v>
      </c>
      <c r="F17208" s="4" t="str">
        <f>IF(B17208=B17207,"",B17208)</f>
        <v>Nördlingen</v>
      </c>
    </row>
    <row r="17209" spans="1:6" ht="15.75" customHeight="1">
      <c r="A17209" s="15" t="s">
        <v>8940</v>
      </c>
      <c r="B17209" s="15" t="s">
        <v>8940</v>
      </c>
      <c r="C17209" s="15" t="s">
        <v>8028</v>
      </c>
      <c r="D17209" s="15" t="s">
        <v>8034</v>
      </c>
      <c r="E17209" s="2">
        <v>2861934</v>
      </c>
      <c r="F17209" s="4" t="str">
        <f>IF(B17209=B17208,"",B17209)</f>
        <v>Nordhorn</v>
      </c>
    </row>
    <row r="17210" spans="1:6" ht="15.75" customHeight="1">
      <c r="A17210" s="8" t="str">
        <f ca="1">IFERROR(__xludf.DUMMYFUNCTION("GOOGLETRANSLATE(B27695,""en"",""pt"")"),"Nordhorn")</f>
        <v>Nordhorn</v>
      </c>
      <c r="B17210" s="11" t="s">
        <v>8940</v>
      </c>
      <c r="C17210" s="11" t="s">
        <v>8028</v>
      </c>
      <c r="D17210" s="11" t="s">
        <v>8034</v>
      </c>
      <c r="E17210" s="10">
        <v>2861934</v>
      </c>
      <c r="F17210" s="4" t="str">
        <f>IF(B17210=B17209,"",B17210)</f>
        <v/>
      </c>
    </row>
    <row r="17211" spans="1:6" ht="15.75" customHeight="1">
      <c r="A17211" s="16" t="s">
        <v>8939</v>
      </c>
      <c r="B17211" s="15" t="s">
        <v>8939</v>
      </c>
      <c r="C17211" s="16" t="s">
        <v>8028</v>
      </c>
      <c r="D17211" s="16" t="s">
        <v>8054</v>
      </c>
      <c r="E17211" s="2">
        <v>2861982</v>
      </c>
      <c r="F17211" s="4" t="str">
        <f>IF(B17211=B17210,"",B17211)</f>
        <v>Nordhausen</v>
      </c>
    </row>
    <row r="17212" spans="1:6" ht="15.75" customHeight="1">
      <c r="A17212" s="8" t="str">
        <f ca="1">IFERROR(__xludf.DUMMYFUNCTION("GOOGLETRANSLATE(B27696,""en"",""pt"")"),"Nordhausen")</f>
        <v>Nordhausen</v>
      </c>
      <c r="B17212" s="11" t="s">
        <v>8939</v>
      </c>
      <c r="C17212" s="11" t="s">
        <v>8028</v>
      </c>
      <c r="D17212" s="11" t="s">
        <v>8054</v>
      </c>
      <c r="E17212" s="10">
        <v>2861982</v>
      </c>
      <c r="F17212" s="4" t="str">
        <f>IF(B17212=B17211,"",B17212)</f>
        <v/>
      </c>
    </row>
    <row r="17213" spans="1:6" ht="15.75" customHeight="1">
      <c r="A17213" s="16" t="s">
        <v>8938</v>
      </c>
      <c r="B17213" s="15" t="s">
        <v>8938</v>
      </c>
      <c r="C17213" s="16" t="s">
        <v>8028</v>
      </c>
      <c r="D17213" s="16" t="s">
        <v>8040</v>
      </c>
      <c r="E17213" s="2">
        <v>2862026</v>
      </c>
      <c r="F17213" s="4" t="str">
        <f>IF(B17213=B17212,"",B17213)</f>
        <v>Norderstedt</v>
      </c>
    </row>
    <row r="17214" spans="1:6" ht="15.75" customHeight="1">
      <c r="A17214" s="8" t="str">
        <f ca="1">IFERROR(__xludf.DUMMYFUNCTION("GOOGLETRANSLATE(B27697,""en"",""pt"")"),"Norderstedt")</f>
        <v>Norderstedt</v>
      </c>
      <c r="B17214" s="11" t="s">
        <v>8938</v>
      </c>
      <c r="C17214" s="11" t="s">
        <v>8028</v>
      </c>
      <c r="D17214" s="11" t="s">
        <v>8040</v>
      </c>
      <c r="E17214" s="10">
        <v>2862026</v>
      </c>
      <c r="F17214" s="4" t="str">
        <f>IF(B17214=B17213,"",B17214)</f>
        <v/>
      </c>
    </row>
    <row r="17215" spans="1:6" ht="15.75" customHeight="1">
      <c r="A17215" s="16" t="s">
        <v>8937</v>
      </c>
      <c r="B17215" s="15" t="s">
        <v>8937</v>
      </c>
      <c r="C17215" s="16" t="s">
        <v>8028</v>
      </c>
      <c r="D17215" s="16" t="s">
        <v>8034</v>
      </c>
      <c r="E17215" s="2">
        <v>2862104</v>
      </c>
      <c r="F17215" s="4" t="str">
        <f>IF(B17215=B17214,"",B17215)</f>
        <v>Nordenham</v>
      </c>
    </row>
    <row r="17216" spans="1:6" ht="15.75" customHeight="1">
      <c r="A17216" s="8" t="str">
        <f ca="1">IFERROR(__xludf.DUMMYFUNCTION("GOOGLETRANSLATE(B27698,""en"",""pt"")"),"Nordenham")</f>
        <v>Nordenham</v>
      </c>
      <c r="B17216" s="11" t="s">
        <v>8937</v>
      </c>
      <c r="C17216" s="11" t="s">
        <v>8028</v>
      </c>
      <c r="D17216" s="11" t="s">
        <v>8034</v>
      </c>
      <c r="E17216" s="10">
        <v>2862104</v>
      </c>
      <c r="F17216" s="4" t="str">
        <f>IF(B17216=B17215,"",B17216)</f>
        <v/>
      </c>
    </row>
    <row r="17217" spans="1:6" ht="15.75" customHeight="1">
      <c r="A17217" s="15" t="s">
        <v>8936</v>
      </c>
      <c r="B17217" s="15" t="s">
        <v>8936</v>
      </c>
      <c r="C17217" s="15" t="s">
        <v>8028</v>
      </c>
      <c r="D17217" s="15" t="s">
        <v>8034</v>
      </c>
      <c r="E17217" s="2">
        <v>2862118</v>
      </c>
      <c r="F17217" s="4" t="str">
        <f>IF(B17217=B17216,"",B17217)</f>
        <v>Norden</v>
      </c>
    </row>
    <row r="17218" spans="1:6" ht="15.75" customHeight="1">
      <c r="A17218" s="8" t="str">
        <f ca="1">IFERROR(__xludf.DUMMYFUNCTION("GOOGLETRANSLATE(B27699,""en"",""pt"")"),"Norden")</f>
        <v>Norden</v>
      </c>
      <c r="B17218" s="11" t="s">
        <v>8936</v>
      </c>
      <c r="C17218" s="11" t="s">
        <v>8028</v>
      </c>
      <c r="D17218" s="11" t="s">
        <v>8034</v>
      </c>
      <c r="E17218" s="10">
        <v>2862118</v>
      </c>
      <c r="F17218" s="4" t="str">
        <f>IF(B17218=B17217,"",B17218)</f>
        <v/>
      </c>
    </row>
    <row r="17219" spans="1:6" ht="15.75" customHeight="1">
      <c r="A17219" s="15" t="s">
        <v>29444</v>
      </c>
      <c r="B17219" s="15" t="s">
        <v>29444</v>
      </c>
      <c r="C17219" s="15" t="s">
        <v>27788</v>
      </c>
      <c r="D17219" s="15" t="s">
        <v>27801</v>
      </c>
      <c r="E17219" s="2">
        <v>5377199</v>
      </c>
      <c r="F17219" s="4" t="str">
        <f>IF(B17219=B17218,"",B17219)</f>
        <v>Norco</v>
      </c>
    </row>
    <row r="17220" spans="1:6" ht="15.75" customHeight="1">
      <c r="A17220" s="8" t="str">
        <f ca="1">IFERROR(__xludf.DUMMYFUNCTION("GOOGLETRANSLATE(B44927,""en"",""pt"")"),"Norco")</f>
        <v>Norco</v>
      </c>
      <c r="B17220" s="11" t="s">
        <v>29444</v>
      </c>
      <c r="C17220" s="11" t="s">
        <v>27788</v>
      </c>
      <c r="D17220" s="11" t="s">
        <v>27801</v>
      </c>
      <c r="E17220" s="10">
        <v>5377199</v>
      </c>
      <c r="F17220" s="4" t="str">
        <f>IF(B17220=B17219,"",B17220)</f>
        <v/>
      </c>
    </row>
    <row r="17221" spans="1:6" ht="15.75" customHeight="1">
      <c r="A17221" s="15" t="s">
        <v>25548</v>
      </c>
      <c r="B17221" s="15" t="s">
        <v>25548</v>
      </c>
      <c r="C17221" s="15" t="s">
        <v>25527</v>
      </c>
      <c r="D17221" s="15" t="s">
        <v>25532</v>
      </c>
      <c r="E17221" s="2">
        <v>1220905</v>
      </c>
      <c r="F17221" s="4" t="str">
        <f>IF(B17221=B17220,"",B17221)</f>
        <v>Norak</v>
      </c>
    </row>
    <row r="17222" spans="1:6" ht="15.75" customHeight="1">
      <c r="A17222" s="8" t="str">
        <f ca="1">IFERROR(__xludf.DUMMYFUNCTION("GOOGLETRANSLATE(B41740,""en"",""pt"")"),"Norak")</f>
        <v>Norak</v>
      </c>
      <c r="B17222" s="9" t="s">
        <v>25548</v>
      </c>
      <c r="C17222" s="9" t="s">
        <v>25527</v>
      </c>
      <c r="D17222" s="9" t="s">
        <v>25532</v>
      </c>
      <c r="E17222" s="10">
        <v>1220905</v>
      </c>
      <c r="F17222" s="4" t="str">
        <f>IF(B17222=B17221,"",B17222)</f>
        <v/>
      </c>
    </row>
    <row r="17223" spans="1:6" ht="15.75" customHeight="1">
      <c r="A17223" s="16" t="s">
        <v>19052</v>
      </c>
      <c r="B17223" s="15" t="s">
        <v>19052</v>
      </c>
      <c r="C17223" s="16" t="s">
        <v>18862</v>
      </c>
      <c r="D17223" s="16" t="s">
        <v>18868</v>
      </c>
      <c r="E17223" s="2">
        <v>2749811</v>
      </c>
      <c r="F17223" s="4" t="str">
        <f>IF(B17223=B17222,"",B17223)</f>
        <v>Noordwijkerhout</v>
      </c>
    </row>
    <row r="17224" spans="1:6" ht="15.75" customHeight="1">
      <c r="A17224" s="8" t="str">
        <f ca="1">IFERROR(__xludf.DUMMYFUNCTION("GOOGLETRANSLATE(B37986,""en"",""pt"")"),"Noordwijkerhout")</f>
        <v>Noordwijkerhout</v>
      </c>
      <c r="B17224" s="9" t="s">
        <v>19052</v>
      </c>
      <c r="C17224" s="9" t="s">
        <v>18862</v>
      </c>
      <c r="D17224" s="9" t="s">
        <v>18868</v>
      </c>
      <c r="E17224" s="10">
        <v>2749811</v>
      </c>
      <c r="F17224" s="4" t="str">
        <f>IF(B17224=B17223,"",B17224)</f>
        <v/>
      </c>
    </row>
    <row r="17225" spans="1:6" ht="15.75" customHeight="1">
      <c r="A17225" s="16" t="s">
        <v>19050</v>
      </c>
      <c r="B17225" s="15" t="s">
        <v>19051</v>
      </c>
      <c r="C17225" s="16" t="s">
        <v>18862</v>
      </c>
      <c r="D17225" s="16" t="s">
        <v>18868</v>
      </c>
      <c r="E17225" s="2">
        <v>2749812</v>
      </c>
      <c r="F17225" s="4" t="str">
        <f>IF(B17225=B17224,"",B17225)</f>
        <v>Noordwijk-Binnen</v>
      </c>
    </row>
    <row r="17226" spans="1:6" ht="15.75" customHeight="1">
      <c r="A17226" s="8" t="str">
        <f ca="1">IFERROR(__xludf.DUMMYFUNCTION("GOOGLETRANSLATE(B37987,""en"",""pt"")"),"Noordwijk-binnen")</f>
        <v>Noordwijk-binnen</v>
      </c>
      <c r="B17226" s="11" t="s">
        <v>19051</v>
      </c>
      <c r="C17226" s="11" t="s">
        <v>18862</v>
      </c>
      <c r="D17226" s="11" t="s">
        <v>18868</v>
      </c>
      <c r="E17226" s="10">
        <v>2749812</v>
      </c>
      <c r="F17226" s="4" t="str">
        <f>IF(B17226=B17225,"",B17226)</f>
        <v/>
      </c>
    </row>
    <row r="17227" spans="1:6" ht="15.75" customHeight="1">
      <c r="A17227" s="15" t="s">
        <v>24127</v>
      </c>
      <c r="B17227" s="15" t="s">
        <v>24127</v>
      </c>
      <c r="C17227" s="15" t="s">
        <v>24024</v>
      </c>
      <c r="D17227" s="15" t="s">
        <v>24033</v>
      </c>
      <c r="E17227" s="2">
        <v>1840211</v>
      </c>
      <c r="F17227" s="4" t="str">
        <f>IF(B17227=B17226,"",B17227)</f>
        <v>Nonsan</v>
      </c>
    </row>
    <row r="17228" spans="1:6" ht="15.75" customHeight="1">
      <c r="A17228" s="8" t="str">
        <f ca="1">IFERROR(__xludf.DUMMYFUNCTION("GOOGLETRANSLATE(B36089,""en"",""pt"")"),"Nonsan")</f>
        <v>Nonsan</v>
      </c>
      <c r="B17228" s="11" t="s">
        <v>24127</v>
      </c>
      <c r="C17228" s="11" t="s">
        <v>24024</v>
      </c>
      <c r="D17228" s="11" t="s">
        <v>24033</v>
      </c>
      <c r="E17228" s="10">
        <v>1840211</v>
      </c>
      <c r="F17228" s="4" t="str">
        <f>IF(B17228=B17227,"",B17228)</f>
        <v/>
      </c>
    </row>
    <row r="17229" spans="1:6" ht="15.75" customHeight="1">
      <c r="A17229" s="16" t="s">
        <v>16318</v>
      </c>
      <c r="B17229" s="15" t="s">
        <v>16319</v>
      </c>
      <c r="C17229" s="16" t="s">
        <v>15704</v>
      </c>
      <c r="D17229" s="16" t="s">
        <v>15928</v>
      </c>
      <c r="E17229" s="2">
        <v>1854979</v>
      </c>
      <c r="F17229" s="4" t="str">
        <f>IF(B17229=B17228,"",B17229)</f>
        <v>Nonoichi</v>
      </c>
    </row>
    <row r="17230" spans="1:6" ht="15.75" customHeight="1">
      <c r="A17230" s="8" t="str">
        <f ca="1">IFERROR(__xludf.DUMMYFUNCTION("GOOGLETRANSLATE(B35374,""en"",""pt"")"),"NONOICHI")</f>
        <v>NONOICHI</v>
      </c>
      <c r="B17230" s="9" t="s">
        <v>16319</v>
      </c>
      <c r="C17230" s="9" t="s">
        <v>15704</v>
      </c>
      <c r="D17230" s="9" t="s">
        <v>15928</v>
      </c>
      <c r="E17230" s="10">
        <v>1854979</v>
      </c>
      <c r="F17230" s="4" t="str">
        <f>IF(B17230=B17229,"",B17230)</f>
        <v/>
      </c>
    </row>
    <row r="17231" spans="1:6" ht="15.75" customHeight="1">
      <c r="A17231" s="16" t="s">
        <v>12674</v>
      </c>
      <c r="B17231" s="15" t="s">
        <v>12675</v>
      </c>
      <c r="C17231" s="16" t="s">
        <v>10178</v>
      </c>
      <c r="D17231" s="16" t="s">
        <v>12353</v>
      </c>
      <c r="E17231" s="2">
        <v>1261205</v>
      </c>
      <c r="F17231" s="4" t="str">
        <f>IF(B17231=B17230,"",B17231)</f>
        <v>Nongstoin</v>
      </c>
    </row>
    <row r="17232" spans="1:6" ht="15.75" customHeight="1">
      <c r="A17232" s="8" t="str">
        <f ca="1">IFERROR(__xludf.DUMMYFUNCTION("GOOGLETRANSLATE(B32591,""en"",""pt"")"),"NongStoin")</f>
        <v>NongStoin</v>
      </c>
      <c r="B17232" s="11" t="s">
        <v>12675</v>
      </c>
      <c r="C17232" s="11" t="s">
        <v>10178</v>
      </c>
      <c r="D17232" s="11" t="s">
        <v>12353</v>
      </c>
      <c r="E17232" s="10">
        <v>1261205</v>
      </c>
      <c r="F17232" s="4" t="str">
        <f>IF(B17232=B17231,"",B17232)</f>
        <v/>
      </c>
    </row>
    <row r="17233" spans="1:6" ht="15.75" customHeight="1">
      <c r="A17233" s="16" t="s">
        <v>25950</v>
      </c>
      <c r="B17233" s="15" t="s">
        <v>25950</v>
      </c>
      <c r="C17233" s="16" t="s">
        <v>25771</v>
      </c>
      <c r="D17233" s="16" t="s">
        <v>25866</v>
      </c>
      <c r="E17233" s="2">
        <v>1608191</v>
      </c>
      <c r="F17233" s="4" t="str">
        <f>IF(B17233=B17232,"",B17233)</f>
        <v>Nong Phai</v>
      </c>
    </row>
    <row r="17234" spans="1:6" ht="15.75" customHeight="1">
      <c r="A17234" s="8" t="str">
        <f ca="1">IFERROR(__xludf.DUMMYFUNCTION("GOOGLETRANSLATE(B41647,""en"",""pt"")"),"Nong Phai")</f>
        <v>Nong Phai</v>
      </c>
      <c r="B17234" s="11" t="s">
        <v>25950</v>
      </c>
      <c r="C17234" s="11" t="s">
        <v>25771</v>
      </c>
      <c r="D17234" s="11" t="s">
        <v>25866</v>
      </c>
      <c r="E17234" s="10">
        <v>1608191</v>
      </c>
      <c r="F17234" s="4" t="str">
        <f>IF(B17234=B17233,"",B17234)</f>
        <v/>
      </c>
    </row>
    <row r="17235" spans="1:6" ht="15.75" customHeight="1">
      <c r="A17235" s="16" t="s">
        <v>25949</v>
      </c>
      <c r="B17235" s="15" t="s">
        <v>25949</v>
      </c>
      <c r="C17235" s="16" t="s">
        <v>25771</v>
      </c>
      <c r="D17235" s="16" t="s">
        <v>25893</v>
      </c>
      <c r="E17235" s="2">
        <v>1595679</v>
      </c>
      <c r="F17235" s="4" t="str">
        <f>IF(B17235=B17234,"",B17235)</f>
        <v>Nong Kung Si</v>
      </c>
    </row>
    <row r="17236" spans="1:6" ht="15.75" customHeight="1">
      <c r="A17236" s="8" t="str">
        <f ca="1">IFERROR(__xludf.DUMMYFUNCTION("GOOGLETRANSLATE(B41572,""en"",""pt"")"),"Nong Kung Si")</f>
        <v>Nong Kung Si</v>
      </c>
      <c r="B17236" s="11" t="s">
        <v>25949</v>
      </c>
      <c r="C17236" s="11" t="s">
        <v>25771</v>
      </c>
      <c r="D17236" s="11" t="s">
        <v>25893</v>
      </c>
      <c r="E17236" s="10">
        <v>1595679</v>
      </c>
      <c r="F17236" s="4" t="str">
        <f>IF(B17236=B17235,"",B17236)</f>
        <v/>
      </c>
    </row>
    <row r="17237" spans="1:6" ht="15.75" customHeight="1">
      <c r="A17237" s="16" t="s">
        <v>25948</v>
      </c>
      <c r="B17237" s="15" t="s">
        <v>25948</v>
      </c>
      <c r="C17237" s="16" t="s">
        <v>25771</v>
      </c>
      <c r="D17237" s="16" t="s">
        <v>25948</v>
      </c>
      <c r="E17237" s="2">
        <v>1608232</v>
      </c>
      <c r="F17237" s="4" t="str">
        <f>IF(B17237=B17236,"",B17237)</f>
        <v>Nong Khai</v>
      </c>
    </row>
    <row r="17238" spans="1:6" ht="15.75" customHeight="1">
      <c r="A17238" s="8" t="str">
        <f ca="1">IFERROR(__xludf.DUMMYFUNCTION("GOOGLETRANSLATE(B41648,""en"",""pt"")"),"Nong Khai")</f>
        <v>Nong Khai</v>
      </c>
      <c r="B17238" s="11" t="s">
        <v>25948</v>
      </c>
      <c r="C17238" s="11" t="s">
        <v>25771</v>
      </c>
      <c r="D17238" s="11" t="s">
        <v>25948</v>
      </c>
      <c r="E17238" s="10">
        <v>1608232</v>
      </c>
      <c r="F17238" s="4" t="str">
        <f>IF(B17238=B17237,"",B17238)</f>
        <v/>
      </c>
    </row>
    <row r="17239" spans="1:6" ht="15.75" customHeight="1">
      <c r="A17239" s="16" t="s">
        <v>25947</v>
      </c>
      <c r="B17239" s="15" t="s">
        <v>25947</v>
      </c>
      <c r="C17239" s="16" t="s">
        <v>25771</v>
      </c>
      <c r="D17239" s="16" t="s">
        <v>25797</v>
      </c>
      <c r="E17239" s="2">
        <v>1608239</v>
      </c>
      <c r="F17239" s="4" t="str">
        <f>IF(B17239=B17238,"",B17239)</f>
        <v>Nong Khae</v>
      </c>
    </row>
    <row r="17240" spans="1:6" ht="15.75" customHeight="1">
      <c r="A17240" s="8" t="str">
        <f ca="1">IFERROR(__xludf.DUMMYFUNCTION("GOOGLETRANSLATE(B41649,""en"",""pt"")"),"Nong Khae")</f>
        <v>Nong Khae</v>
      </c>
      <c r="B17240" s="11" t="s">
        <v>25947</v>
      </c>
      <c r="C17240" s="11" t="s">
        <v>25771</v>
      </c>
      <c r="D17240" s="11" t="s">
        <v>25797</v>
      </c>
      <c r="E17240" s="10">
        <v>1608239</v>
      </c>
      <c r="F17240" s="4" t="str">
        <f>IF(B17240=B17239,"",B17240)</f>
        <v/>
      </c>
    </row>
    <row r="17241" spans="1:6" ht="15.75" customHeight="1">
      <c r="A17241" s="16" t="s">
        <v>25945</v>
      </c>
      <c r="B17241" s="15" t="s">
        <v>25946</v>
      </c>
      <c r="C17241" s="16" t="s">
        <v>25771</v>
      </c>
      <c r="D17241" s="16" t="s">
        <v>25934</v>
      </c>
      <c r="E17241" s="2">
        <v>1608269</v>
      </c>
      <c r="F17241" s="4" t="str">
        <f>IF(B17241=B17240,"",B17241)</f>
        <v>Nong Bua Lamphu</v>
      </c>
    </row>
    <row r="17242" spans="1:6" ht="15.75" customHeight="1">
      <c r="A17242" s="8" t="str">
        <f ca="1">IFERROR(__xludf.DUMMYFUNCTION("GOOGLETRANSLATE(B41650,""en"",""pt"")"),"NONG BUA LAMPHU")</f>
        <v>NONG BUA LAMPHU</v>
      </c>
      <c r="B17242" s="11" t="s">
        <v>25946</v>
      </c>
      <c r="C17242" s="11" t="s">
        <v>25771</v>
      </c>
      <c r="D17242" s="11" t="s">
        <v>25934</v>
      </c>
      <c r="E17242" s="10">
        <v>1608269</v>
      </c>
      <c r="F17242" s="4" t="str">
        <f>IF(B17242=B17241,"",B17242)</f>
        <v/>
      </c>
    </row>
    <row r="17243" spans="1:6" ht="15.75" customHeight="1">
      <c r="A17243" s="16" t="s">
        <v>25943</v>
      </c>
      <c r="B17243" s="15" t="s">
        <v>25944</v>
      </c>
      <c r="C17243" s="16" t="s">
        <v>25771</v>
      </c>
      <c r="D17243" s="16" t="s">
        <v>25774</v>
      </c>
      <c r="E17243" s="2">
        <v>1608136</v>
      </c>
      <c r="F17243" s="4" t="str">
        <f>IF(B17243=B17242,"",B17243)</f>
        <v>Non Sung</v>
      </c>
    </row>
    <row r="17244" spans="1:6" ht="15.75" customHeight="1">
      <c r="A17244" s="8" t="str">
        <f ca="1">IFERROR(__xludf.DUMMYFUNCTION("GOOGLETRANSLATE(B41646,""en"",""pt"")"),"Não cantado")</f>
        <v>Não cantado</v>
      </c>
      <c r="B17244" s="11" t="s">
        <v>25944</v>
      </c>
      <c r="C17244" s="11" t="s">
        <v>25771</v>
      </c>
      <c r="D17244" s="11" t="s">
        <v>25774</v>
      </c>
      <c r="E17244" s="10">
        <v>1608136</v>
      </c>
      <c r="F17244" s="4" t="str">
        <f>IF(B17244=B17243,"",B17244)</f>
        <v/>
      </c>
    </row>
    <row r="17245" spans="1:6" ht="15.75" customHeight="1">
      <c r="A17245" s="15" t="s">
        <v>4296</v>
      </c>
      <c r="B17245" s="15" t="s">
        <v>4297</v>
      </c>
      <c r="C17245" s="15" t="s">
        <v>4264</v>
      </c>
      <c r="D17245" s="15" t="s">
        <v>4298</v>
      </c>
      <c r="E17245" s="2">
        <v>2383827</v>
      </c>
      <c r="F17245" s="4" t="str">
        <f>IF(B17245=B17244,"",B17245)</f>
        <v>Nola</v>
      </c>
    </row>
    <row r="17246" spans="1:6" ht="15.75" customHeight="1">
      <c r="A17246" s="15" t="s">
        <v>4296</v>
      </c>
      <c r="B17246" s="15" t="s">
        <v>4297</v>
      </c>
      <c r="C17246" s="15" t="s">
        <v>14891</v>
      </c>
      <c r="D17246" s="15" t="s">
        <v>14896</v>
      </c>
      <c r="E17246" s="2">
        <v>3172227</v>
      </c>
      <c r="F17246" s="4" t="str">
        <f>IF(B17246=B17245,"",B17246)</f>
        <v/>
      </c>
    </row>
    <row r="17247" spans="1:6" ht="15.75" customHeight="1">
      <c r="A17247" s="8" t="str">
        <f ca="1">IFERROR(__xludf.DUMMYFUNCTION("GOOGLETRANSLATE(B25717,""en"",""pt"")"),"NOLA")</f>
        <v>NOLA</v>
      </c>
      <c r="B17247" s="11" t="s">
        <v>4297</v>
      </c>
      <c r="C17247" s="11" t="s">
        <v>4264</v>
      </c>
      <c r="D17247" s="11" t="s">
        <v>31769</v>
      </c>
      <c r="E17247" s="10">
        <v>2383827</v>
      </c>
      <c r="F17247" s="4" t="str">
        <f>IF(B17247=B17246,"",B17247)</f>
        <v/>
      </c>
    </row>
    <row r="17248" spans="1:6" ht="15.75" customHeight="1">
      <c r="A17248" s="8" t="str">
        <f ca="1">IFERROR(__xludf.DUMMYFUNCTION("GOOGLETRANSLATE(B34800,""en"",""pt"")"),"NOLA")</f>
        <v>NOLA</v>
      </c>
      <c r="B17248" s="9" t="s">
        <v>4297</v>
      </c>
      <c r="C17248" s="9" t="s">
        <v>14891</v>
      </c>
      <c r="D17248" s="9" t="s">
        <v>14896</v>
      </c>
      <c r="E17248" s="10">
        <v>3172227</v>
      </c>
      <c r="F17248" s="4" t="str">
        <f>IF(B17248=B17247,"",B17248)</f>
        <v/>
      </c>
    </row>
    <row r="17249" spans="1:6" ht="15.75" customHeight="1">
      <c r="A17249" s="15" t="s">
        <v>7016</v>
      </c>
      <c r="B17249" s="15" t="s">
        <v>7016</v>
      </c>
      <c r="C17249" s="15" t="s">
        <v>6948</v>
      </c>
      <c r="D17249" s="15" t="s">
        <v>6987</v>
      </c>
      <c r="E17249" s="2">
        <v>644450</v>
      </c>
      <c r="F17249" s="4" t="str">
        <f>IF(B17249=B17248,"",B17249)</f>
        <v>Nokia</v>
      </c>
    </row>
    <row r="17250" spans="1:6" ht="15.75" customHeight="1">
      <c r="A17250" s="8" t="str">
        <f ca="1">IFERROR(__xludf.DUMMYFUNCTION("GOOGLETRANSLATE(B29622,""en"",""pt"")"),"Nokia")</f>
        <v>Nokia</v>
      </c>
      <c r="B17250" s="9" t="s">
        <v>7016</v>
      </c>
      <c r="C17250" s="9" t="s">
        <v>6948</v>
      </c>
      <c r="D17250" s="9" t="s">
        <v>6987</v>
      </c>
      <c r="E17250" s="10">
        <v>644450</v>
      </c>
      <c r="F17250" s="4" t="str">
        <f>IF(B17250=B17249,"",B17250)</f>
        <v/>
      </c>
    </row>
    <row r="17251" spans="1:6" ht="15.75" customHeight="1">
      <c r="A17251" s="15" t="s">
        <v>12673</v>
      </c>
      <c r="B17251" s="15" t="s">
        <v>12673</v>
      </c>
      <c r="C17251" s="15" t="s">
        <v>10178</v>
      </c>
      <c r="D17251" s="15" t="s">
        <v>10179</v>
      </c>
      <c r="E17251" s="2">
        <v>1261227</v>
      </c>
      <c r="F17251" s="4" t="str">
        <f>IF(B17251=B17250,"",B17251)</f>
        <v>Nokha</v>
      </c>
    </row>
    <row r="17252" spans="1:6" ht="15.75" customHeight="1">
      <c r="A17252" s="8" t="str">
        <f ca="1">IFERROR(__xludf.DUMMYFUNCTION("GOOGLETRANSLATE(B32592,""en"",""pt"")"),"Nokha")</f>
        <v>Nokha</v>
      </c>
      <c r="B17252" s="9" t="s">
        <v>12673</v>
      </c>
      <c r="C17252" s="9" t="s">
        <v>10178</v>
      </c>
      <c r="D17252" s="9" t="s">
        <v>10179</v>
      </c>
      <c r="E17252" s="10">
        <v>1261227</v>
      </c>
      <c r="F17252" s="4" t="str">
        <f>IF(B17252=B17251,"",B17252)</f>
        <v/>
      </c>
    </row>
    <row r="17253" spans="1:6" ht="15.75" customHeight="1">
      <c r="A17253" s="16" t="s">
        <v>7651</v>
      </c>
      <c r="B17253" s="15" t="s">
        <v>7651</v>
      </c>
      <c r="C17253" s="16" t="s">
        <v>7052</v>
      </c>
      <c r="D17253" s="16" t="s">
        <v>7058</v>
      </c>
      <c r="E17253" s="2">
        <v>2990187</v>
      </c>
      <c r="F17253" s="4" t="str">
        <f>IF(B17253=B17252,"",B17253)</f>
        <v>Noisy-le-Sec</v>
      </c>
    </row>
    <row r="17254" spans="1:6" ht="15.75" customHeight="1">
      <c r="A17254" s="8" t="str">
        <f ca="1">IFERROR(__xludf.DUMMYFUNCTION("GOOGLETRANSLATE(B29874,""en"",""pt"")"),"Noisy-le-Sec")</f>
        <v>Noisy-le-Sec</v>
      </c>
      <c r="B17254" s="9" t="s">
        <v>7651</v>
      </c>
      <c r="C17254" s="9" t="s">
        <v>7052</v>
      </c>
      <c r="D17254" s="9" t="s">
        <v>32531</v>
      </c>
      <c r="E17254" s="10">
        <v>2990187</v>
      </c>
      <c r="F17254" s="4" t="str">
        <f>IF(B17254=B17253,"",B17254)</f>
        <v/>
      </c>
    </row>
    <row r="17255" spans="1:6" ht="15.75" customHeight="1">
      <c r="A17255" s="16" t="s">
        <v>7649</v>
      </c>
      <c r="B17255" s="15" t="s">
        <v>7650</v>
      </c>
      <c r="C17255" s="16" t="s">
        <v>7052</v>
      </c>
      <c r="D17255" s="16" t="s">
        <v>7058</v>
      </c>
      <c r="E17255" s="2">
        <v>2990189</v>
      </c>
      <c r="F17255" s="4" t="str">
        <f>IF(B17255=B17254,"",B17255)</f>
        <v>Noisy-le-Grand</v>
      </c>
    </row>
    <row r="17256" spans="1:6" ht="15.75" customHeight="1">
      <c r="A17256" s="8" t="str">
        <f ca="1">IFERROR(__xludf.DUMMYFUNCTION("GOOGLETRANSLATE(B29875,""en"",""pt"")"),"Grand-le-neta")</f>
        <v>Grand-le-neta</v>
      </c>
      <c r="B17256" s="9" t="s">
        <v>7650</v>
      </c>
      <c r="C17256" s="9" t="s">
        <v>7052</v>
      </c>
      <c r="D17256" s="9" t="s">
        <v>32531</v>
      </c>
      <c r="E17256" s="10">
        <v>2990189</v>
      </c>
      <c r="F17256" s="4" t="str">
        <f>IF(B17256=B17255,"",B17256)</f>
        <v/>
      </c>
    </row>
    <row r="17257" spans="1:6" ht="15.75" customHeight="1">
      <c r="A17257" s="15" t="s">
        <v>7648</v>
      </c>
      <c r="B17257" s="15" t="s">
        <v>7648</v>
      </c>
      <c r="C17257" s="15" t="s">
        <v>7052</v>
      </c>
      <c r="D17257" s="15" t="s">
        <v>7058</v>
      </c>
      <c r="E17257" s="2">
        <v>2990192</v>
      </c>
      <c r="F17257" s="4" t="str">
        <f>IF(B17257=B17256,"",B17257)</f>
        <v>Noisiel</v>
      </c>
    </row>
    <row r="17258" spans="1:6" ht="15.75" customHeight="1">
      <c r="A17258" s="8" t="str">
        <f ca="1">IFERROR(__xludf.DUMMYFUNCTION("GOOGLETRANSLATE(B29876,""en"",""pt"")"),"Noisiel")</f>
        <v>Noisiel</v>
      </c>
      <c r="B17258" s="9" t="s">
        <v>7648</v>
      </c>
      <c r="C17258" s="9" t="s">
        <v>7052</v>
      </c>
      <c r="D17258" s="9" t="s">
        <v>32531</v>
      </c>
      <c r="E17258" s="10">
        <v>2990192</v>
      </c>
      <c r="F17258" s="4" t="str">
        <f>IF(B17258=B17257,"",B17258)</f>
        <v/>
      </c>
    </row>
    <row r="17259" spans="1:6" ht="15.75" customHeight="1">
      <c r="A17259" s="15" t="s">
        <v>12672</v>
      </c>
      <c r="B17259" s="15" t="s">
        <v>12672</v>
      </c>
      <c r="C17259" s="15" t="s">
        <v>10178</v>
      </c>
      <c r="D17259" s="15" t="s">
        <v>10193</v>
      </c>
      <c r="E17259" s="2">
        <v>7279746</v>
      </c>
      <c r="F17259" s="4" t="str">
        <f>IF(B17259=B17258,"",B17259)</f>
        <v>Noida</v>
      </c>
    </row>
    <row r="17260" spans="1:6" ht="15.75" customHeight="1">
      <c r="A17260" s="8" t="str">
        <f ca="1">IFERROR(__xludf.DUMMYFUNCTION("GOOGLETRANSLATE(B34220,""en"",""pt"")"),"Noida")</f>
        <v>Noida</v>
      </c>
      <c r="B17260" s="9" t="s">
        <v>12672</v>
      </c>
      <c r="C17260" s="9" t="s">
        <v>10178</v>
      </c>
      <c r="D17260" s="9" t="s">
        <v>10193</v>
      </c>
      <c r="E17260" s="10">
        <v>7279746</v>
      </c>
      <c r="F17260" s="4" t="str">
        <f>IF(B17260=B17259,"",B17260)</f>
        <v/>
      </c>
    </row>
    <row r="17261" spans="1:6" ht="15.75" customHeight="1">
      <c r="A17261" s="16" t="s">
        <v>15316</v>
      </c>
      <c r="B17261" s="15" t="s">
        <v>15316</v>
      </c>
      <c r="C17261" s="16" t="s">
        <v>14891</v>
      </c>
      <c r="D17261" s="16" t="s">
        <v>14908</v>
      </c>
      <c r="E17261" s="2">
        <v>3172228</v>
      </c>
      <c r="F17261" s="4" t="str">
        <f>IF(B17261=B17260,"",B17261)</f>
        <v>Noicattaro</v>
      </c>
    </row>
    <row r="17262" spans="1:6" ht="15.75" customHeight="1">
      <c r="A17262" s="8" t="str">
        <f ca="1">IFERROR(__xludf.DUMMYFUNCTION("GOOGLETRANSLATE(B34801,""en"",""pt"")"),"Noicattaro")</f>
        <v>Noicattaro</v>
      </c>
      <c r="B17262" s="11" t="s">
        <v>15316</v>
      </c>
      <c r="C17262" s="11" t="s">
        <v>14891</v>
      </c>
      <c r="D17262" s="11" t="s">
        <v>14908</v>
      </c>
      <c r="E17262" s="10">
        <v>3172228</v>
      </c>
      <c r="F17262" s="4" t="str">
        <f>IF(B17262=B17261,"",B17262)</f>
        <v/>
      </c>
    </row>
    <row r="17263" spans="1:6" ht="15.75" customHeight="1">
      <c r="A17263" s="15" t="s">
        <v>12671</v>
      </c>
      <c r="B17263" s="15" t="s">
        <v>12671</v>
      </c>
      <c r="C17263" s="15" t="s">
        <v>10178</v>
      </c>
      <c r="D17263" s="15" t="s">
        <v>10179</v>
      </c>
      <c r="E17263" s="2">
        <v>1261234</v>
      </c>
      <c r="F17263" s="4" t="str">
        <f>IF(B17263=B17262,"",B17263)</f>
        <v>Nohar</v>
      </c>
    </row>
    <row r="17264" spans="1:6" ht="15.75" customHeight="1">
      <c r="A17264" s="8" t="str">
        <f ca="1">IFERROR(__xludf.DUMMYFUNCTION("GOOGLETRANSLATE(B32593,""en"",""pt"")"),"Nohar")</f>
        <v>Nohar</v>
      </c>
      <c r="B17264" s="9" t="s">
        <v>12671</v>
      </c>
      <c r="C17264" s="9" t="s">
        <v>10178</v>
      </c>
      <c r="D17264" s="9" t="s">
        <v>10179</v>
      </c>
      <c r="E17264" s="10">
        <v>1261234</v>
      </c>
      <c r="F17264" s="4" t="str">
        <f>IF(B17264=B17263,"",B17264)</f>
        <v/>
      </c>
    </row>
    <row r="17265" spans="1:6" ht="15.75" customHeight="1">
      <c r="A17265" s="15" t="s">
        <v>22824</v>
      </c>
      <c r="B17265" s="15" t="s">
        <v>22824</v>
      </c>
      <c r="C17265" s="15" t="s">
        <v>22070</v>
      </c>
      <c r="D17265" s="15" t="s">
        <v>22119</v>
      </c>
      <c r="E17265" s="2">
        <v>520068</v>
      </c>
      <c r="F17265" s="4" t="str">
        <f>IF(B17265=B17264,"",B17265)</f>
        <v>Noginsk</v>
      </c>
    </row>
    <row r="17266" spans="1:6" ht="15.75" customHeight="1">
      <c r="A17266" s="8" t="str">
        <f ca="1">IFERROR(__xludf.DUMMYFUNCTION("GOOGLETRANSLATE(B40274,""en"",""pt"")"),"Noginsk")</f>
        <v>Noginsk</v>
      </c>
      <c r="B17266" s="9" t="s">
        <v>22824</v>
      </c>
      <c r="C17266" s="9" t="s">
        <v>22070</v>
      </c>
      <c r="D17266" s="9" t="s">
        <v>22119</v>
      </c>
      <c r="E17266" s="10">
        <v>520068</v>
      </c>
      <c r="F17266" s="4" t="str">
        <f>IF(B17266=B17265,"",B17266)</f>
        <v/>
      </c>
    </row>
    <row r="17267" spans="1:6" ht="15.75" customHeight="1">
      <c r="A17267" s="16" t="s">
        <v>7647</v>
      </c>
      <c r="B17267" s="15" t="s">
        <v>7647</v>
      </c>
      <c r="C17267" s="16" t="s">
        <v>7052</v>
      </c>
      <c r="D17267" s="16" t="s">
        <v>7078</v>
      </c>
      <c r="E17267" s="2">
        <v>2990264</v>
      </c>
      <c r="F17267" s="4" t="str">
        <f>IF(B17267=B17266,"",B17267)</f>
        <v>Nogent-sur-Oise</v>
      </c>
    </row>
    <row r="17268" spans="1:6" ht="15.75" customHeight="1">
      <c r="A17268" s="8" t="str">
        <f ca="1">IFERROR(__xludf.DUMMYFUNCTION("GOOGLETRANSLATE(B29877,""en"",""pt"")"),"Nogent-sur-Oise")</f>
        <v>Nogent-sur-Oise</v>
      </c>
      <c r="B17268" s="9" t="s">
        <v>7647</v>
      </c>
      <c r="C17268" s="9" t="s">
        <v>7052</v>
      </c>
      <c r="D17268" s="9" t="s">
        <v>7078</v>
      </c>
      <c r="E17268" s="10">
        <v>2990264</v>
      </c>
      <c r="F17268" s="4" t="str">
        <f>IF(B17268=B17267,"",B17268)</f>
        <v/>
      </c>
    </row>
    <row r="17269" spans="1:6" ht="15.75" customHeight="1">
      <c r="A17269" s="16" t="s">
        <v>7646</v>
      </c>
      <c r="B17269" s="15" t="s">
        <v>7646</v>
      </c>
      <c r="C17269" s="16" t="s">
        <v>7052</v>
      </c>
      <c r="D17269" s="16" t="s">
        <v>7058</v>
      </c>
      <c r="E17269" s="2">
        <v>2990265</v>
      </c>
      <c r="F17269" s="4" t="str">
        <f>IF(B17269=B17268,"",B17269)</f>
        <v>Nogent-sur-Marne</v>
      </c>
    </row>
    <row r="17270" spans="1:6" ht="15.75" customHeight="1">
      <c r="A17270" s="8" t="str">
        <f ca="1">IFERROR(__xludf.DUMMYFUNCTION("GOOGLETRANSLATE(B29878,""en"",""pt"")"),"Nogent-sur-Marne")</f>
        <v>Nogent-sur-Marne</v>
      </c>
      <c r="B17270" s="9" t="s">
        <v>7646</v>
      </c>
      <c r="C17270" s="9" t="s">
        <v>7052</v>
      </c>
      <c r="D17270" s="9" t="s">
        <v>32531</v>
      </c>
      <c r="E17270" s="10">
        <v>2990265</v>
      </c>
      <c r="F17270" s="4" t="str">
        <f>IF(B17270=B17269,"",B17270)</f>
        <v/>
      </c>
    </row>
    <row r="17271" spans="1:6" ht="15.75" customHeight="1">
      <c r="A17271" s="8" t="str">
        <f ca="1">IFERROR(__xludf.DUMMYFUNCTION("GOOGLETRANSLATE(B35375,""en"",""pt"")"),"Nōgata")</f>
        <v>Nōgata</v>
      </c>
      <c r="B17271" s="11" t="s">
        <v>34339</v>
      </c>
      <c r="C17271" s="11" t="s">
        <v>15704</v>
      </c>
      <c r="D17271" s="11" t="s">
        <v>15722</v>
      </c>
      <c r="E17271" s="10">
        <v>1855066</v>
      </c>
      <c r="F17271" s="4" t="str">
        <f>IF(B17271=B17270,"",B17271)</f>
        <v>Nōgata</v>
      </c>
    </row>
    <row r="17272" spans="1:6" ht="15.75" customHeight="1">
      <c r="A17272" s="15" t="s">
        <v>18118</v>
      </c>
      <c r="B17272" s="15" t="s">
        <v>18118</v>
      </c>
      <c r="C17272" s="15" t="s">
        <v>17707</v>
      </c>
      <c r="D17272" s="15" t="s">
        <v>17708</v>
      </c>
      <c r="E17272" s="2">
        <v>3522696</v>
      </c>
      <c r="F17272" s="4" t="str">
        <f>IF(B17272=B17271,"",B17272)</f>
        <v>Nogales</v>
      </c>
    </row>
    <row r="17273" spans="1:6" ht="15.75" customHeight="1">
      <c r="A17273" s="15" t="s">
        <v>18118</v>
      </c>
      <c r="B17273" s="15" t="s">
        <v>18118</v>
      </c>
      <c r="C17273" s="15" t="s">
        <v>17707</v>
      </c>
      <c r="D17273" s="15" t="s">
        <v>17732</v>
      </c>
      <c r="E17273" s="2">
        <v>4004886</v>
      </c>
      <c r="F17273" s="4" t="str">
        <f>IF(B17273=B17272,"",B17273)</f>
        <v/>
      </c>
    </row>
    <row r="17274" spans="1:6" ht="15.75" customHeight="1">
      <c r="A17274" s="15" t="s">
        <v>18118</v>
      </c>
      <c r="B17274" s="15" t="s">
        <v>18118</v>
      </c>
      <c r="C17274" s="15" t="s">
        <v>27788</v>
      </c>
      <c r="D17274" s="15" t="s">
        <v>27880</v>
      </c>
      <c r="E17274" s="2">
        <v>5306611</v>
      </c>
      <c r="F17274" s="4" t="str">
        <f>IF(B17274=B17273,"",B17274)</f>
        <v/>
      </c>
    </row>
    <row r="17275" spans="1:6" ht="15.75" customHeight="1">
      <c r="A17275" s="8" t="str">
        <f ca="1">IFERROR(__xludf.DUMMYFUNCTION("GOOGLETRANSLATE(B36967,""en"",""pt"")"),"Nogales")</f>
        <v>Nogales</v>
      </c>
      <c r="B17275" s="11" t="s">
        <v>18118</v>
      </c>
      <c r="C17275" s="11" t="s">
        <v>17707</v>
      </c>
      <c r="D17275" s="11" t="s">
        <v>17708</v>
      </c>
      <c r="E17275" s="10">
        <v>3522696</v>
      </c>
      <c r="F17275" s="4" t="str">
        <f>IF(B17275=B17274,"",B17275)</f>
        <v/>
      </c>
    </row>
    <row r="17276" spans="1:6" ht="15.75" customHeight="1">
      <c r="A17276" s="8" t="str">
        <f ca="1">IFERROR(__xludf.DUMMYFUNCTION("GOOGLETRANSLATE(B37282,""en"",""pt"")"),"Nogales")</f>
        <v>Nogales</v>
      </c>
      <c r="B17276" s="9" t="s">
        <v>18118</v>
      </c>
      <c r="C17276" s="9" t="s">
        <v>17707</v>
      </c>
      <c r="D17276" s="9" t="s">
        <v>17732</v>
      </c>
      <c r="E17276" s="10">
        <v>4004886</v>
      </c>
      <c r="F17276" s="4" t="str">
        <f>IF(B17276=B17275,"",B17276)</f>
        <v/>
      </c>
    </row>
    <row r="17277" spans="1:6" ht="15.75" customHeight="1">
      <c r="A17277" s="8" t="str">
        <f ca="1">IFERROR(__xludf.DUMMYFUNCTION("GOOGLETRANSLATE(B44716,""en"",""pt"")"),"Nogales")</f>
        <v>Nogales</v>
      </c>
      <c r="B17277" s="11" t="s">
        <v>18118</v>
      </c>
      <c r="C17277" s="11" t="s">
        <v>27788</v>
      </c>
      <c r="D17277" s="11" t="s">
        <v>27880</v>
      </c>
      <c r="E17277" s="10">
        <v>5306611</v>
      </c>
      <c r="F17277" s="4" t="str">
        <f>IF(B17277=B17276,"",B17277)</f>
        <v/>
      </c>
    </row>
    <row r="17278" spans="1:6" ht="15.75" customHeight="1">
      <c r="A17278" s="15" t="s">
        <v>16317</v>
      </c>
      <c r="B17278" s="15" t="s">
        <v>16317</v>
      </c>
      <c r="C17278" s="15" t="s">
        <v>15704</v>
      </c>
      <c r="D17278" s="15" t="s">
        <v>15707</v>
      </c>
      <c r="E17278" s="2">
        <v>1855078</v>
      </c>
      <c r="F17278" s="4" t="str">
        <f>IF(B17278=B17277,"",B17278)</f>
        <v>Noda</v>
      </c>
    </row>
    <row r="17279" spans="1:6" ht="15.75" customHeight="1">
      <c r="A17279" s="8" t="str">
        <f ca="1">IFERROR(__xludf.DUMMYFUNCTION("GOOGLETRANSLATE(B35376,""en"",""pt"")"),"Noda")</f>
        <v>Noda</v>
      </c>
      <c r="B17279" s="11" t="s">
        <v>16317</v>
      </c>
      <c r="C17279" s="11" t="s">
        <v>15704</v>
      </c>
      <c r="D17279" s="11" t="s">
        <v>15707</v>
      </c>
      <c r="E17279" s="10">
        <v>1855078</v>
      </c>
      <c r="F17279" s="4" t="str">
        <f>IF(B17279=B17278,"",B17279)</f>
        <v/>
      </c>
    </row>
    <row r="17280" spans="1:6" ht="15.75" customHeight="1">
      <c r="A17280" s="15" t="s">
        <v>15315</v>
      </c>
      <c r="B17280" s="15" t="s">
        <v>15315</v>
      </c>
      <c r="C17280" s="15" t="s">
        <v>14891</v>
      </c>
      <c r="D17280" s="15" t="s">
        <v>14908</v>
      </c>
      <c r="E17280" s="2">
        <v>3172240</v>
      </c>
      <c r="F17280" s="4" t="str">
        <f>IF(B17280=B17279,"",B17280)</f>
        <v>Noci</v>
      </c>
    </row>
    <row r="17281" spans="1:6" ht="15.75" customHeight="1">
      <c r="A17281" s="8" t="str">
        <f ca="1">IFERROR(__xludf.DUMMYFUNCTION("GOOGLETRANSLATE(B34802,""en"",""pt"")"),"Noci")</f>
        <v>Noci</v>
      </c>
      <c r="B17281" s="11" t="s">
        <v>15315</v>
      </c>
      <c r="C17281" s="11" t="s">
        <v>14891</v>
      </c>
      <c r="D17281" s="11" t="s">
        <v>14908</v>
      </c>
      <c r="E17281" s="10">
        <v>3172240</v>
      </c>
      <c r="F17281" s="4" t="str">
        <f>IF(B17281=B17280,"",B17281)</f>
        <v/>
      </c>
    </row>
    <row r="17282" spans="1:6" ht="15.75" customHeight="1">
      <c r="A17282" s="8" t="str">
        <f ca="1">IFERROR(__xludf.DUMMYFUNCTION("GOOGLETRANSLATE(B37235,""en"",""pt"")"),"Nochistlán")</f>
        <v>Nochistlán</v>
      </c>
      <c r="B17282" s="9" t="s">
        <v>34754</v>
      </c>
      <c r="C17282" s="9" t="s">
        <v>17707</v>
      </c>
      <c r="D17282" s="9" t="s">
        <v>17943</v>
      </c>
      <c r="E17282" s="10">
        <v>3994912</v>
      </c>
      <c r="F17282" s="4" t="str">
        <f>IF(B17282=B17281,"",B17282)</f>
        <v>Nochistlán</v>
      </c>
    </row>
    <row r="17283" spans="1:6" ht="15.75" customHeight="1">
      <c r="A17283" s="16" t="s">
        <v>18116</v>
      </c>
      <c r="B17283" s="15" t="s">
        <v>18117</v>
      </c>
      <c r="C17283" s="16" t="s">
        <v>17707</v>
      </c>
      <c r="D17283" s="16" t="s">
        <v>17943</v>
      </c>
      <c r="E17283" s="2">
        <v>3994912</v>
      </c>
      <c r="F17283" s="4" t="str">
        <f>IF(B17283=B17282,"",B17283)</f>
        <v>NochistlÃ¡n</v>
      </c>
    </row>
    <row r="17284" spans="1:6" ht="15.75" customHeight="1">
      <c r="A17284" s="16" t="s">
        <v>15314</v>
      </c>
      <c r="B17284" s="15" t="s">
        <v>15314</v>
      </c>
      <c r="C17284" s="16" t="s">
        <v>14891</v>
      </c>
      <c r="D17284" s="16" t="s">
        <v>14896</v>
      </c>
      <c r="E17284" s="2">
        <v>3172243</v>
      </c>
      <c r="F17284" s="4" t="str">
        <f>IF(B17284=B17283,"",B17284)</f>
        <v>Nocera Superiore</v>
      </c>
    </row>
    <row r="17285" spans="1:6" ht="15.75" customHeight="1">
      <c r="A17285" s="8" t="str">
        <f ca="1">IFERROR(__xludf.DUMMYFUNCTION("GOOGLETRANSLATE(B34803,""en"",""pt"")"),"Nocera Superiore")</f>
        <v>Nocera Superiore</v>
      </c>
      <c r="B17285" s="11" t="s">
        <v>15314</v>
      </c>
      <c r="C17285" s="11" t="s">
        <v>14891</v>
      </c>
      <c r="D17285" s="11" t="s">
        <v>14896</v>
      </c>
      <c r="E17285" s="10">
        <v>3172243</v>
      </c>
      <c r="F17285" s="4" t="str">
        <f>IF(B17285=B17284,"",B17285)</f>
        <v/>
      </c>
    </row>
    <row r="17286" spans="1:6" ht="15.75" customHeight="1">
      <c r="A17286" s="16" t="s">
        <v>15313</v>
      </c>
      <c r="B17286" s="15" t="s">
        <v>15313</v>
      </c>
      <c r="C17286" s="16" t="s">
        <v>14891</v>
      </c>
      <c r="D17286" s="16" t="s">
        <v>14896</v>
      </c>
      <c r="E17286" s="2">
        <v>3172244</v>
      </c>
      <c r="F17286" s="4" t="str">
        <f>IF(B17286=B17285,"",B17286)</f>
        <v>Nocera Inferiore</v>
      </c>
    </row>
    <row r="17287" spans="1:6" ht="15.75" customHeight="1">
      <c r="A17287" s="8" t="str">
        <f ca="1">IFERROR(__xludf.DUMMYFUNCTION("GOOGLETRANSLATE(B34804,""en"",""pt"")"),"Nocera Inferiore")</f>
        <v>Nocera Inferiore</v>
      </c>
      <c r="B17287" s="11" t="s">
        <v>15313</v>
      </c>
      <c r="C17287" s="11" t="s">
        <v>14891</v>
      </c>
      <c r="D17287" s="11" t="s">
        <v>14896</v>
      </c>
      <c r="E17287" s="10">
        <v>3172244</v>
      </c>
      <c r="F17287" s="4" t="str">
        <f>IF(B17287=B17286,"",B17287)</f>
        <v/>
      </c>
    </row>
    <row r="17288" spans="1:6" ht="15.75" customHeight="1">
      <c r="A17288" s="16" t="s">
        <v>29443</v>
      </c>
      <c r="B17288" s="15" t="s">
        <v>29443</v>
      </c>
      <c r="C17288" s="16" t="s">
        <v>27788</v>
      </c>
      <c r="D17288" s="16" t="s">
        <v>27869</v>
      </c>
      <c r="E17288" s="2">
        <v>4924198</v>
      </c>
      <c r="F17288" s="4" t="str">
        <f>IF(B17288=B17287,"",B17288)</f>
        <v>Noblesville</v>
      </c>
    </row>
    <row r="17289" spans="1:6" ht="15.75" customHeight="1">
      <c r="A17289" s="8" t="str">
        <f ca="1">IFERROR(__xludf.DUMMYFUNCTION("GOOGLETRANSLATE(B43934,""en"",""pt"")"),"Noblesville")</f>
        <v>Noblesville</v>
      </c>
      <c r="B17289" s="11" t="s">
        <v>29443</v>
      </c>
      <c r="C17289" s="11" t="s">
        <v>27788</v>
      </c>
      <c r="D17289" s="11" t="s">
        <v>27869</v>
      </c>
      <c r="E17289" s="10">
        <v>4924198</v>
      </c>
      <c r="F17289" s="4" t="str">
        <f>IF(B17289=B17288,"",B17289)</f>
        <v/>
      </c>
    </row>
    <row r="17290" spans="1:6" ht="15.75" customHeight="1">
      <c r="A17290" s="16" t="s">
        <v>1048</v>
      </c>
      <c r="B17290" s="15" t="s">
        <v>1048</v>
      </c>
      <c r="C17290" s="16" t="s">
        <v>885</v>
      </c>
      <c r="D17290" s="16" t="s">
        <v>827</v>
      </c>
      <c r="E17290" s="2">
        <v>2155204</v>
      </c>
      <c r="F17290" s="4" t="str">
        <f>IF(B17290=B17289,"",B17290)</f>
        <v>Noble Park</v>
      </c>
    </row>
    <row r="17291" spans="1:6" ht="15.75" customHeight="1">
      <c r="A17291" s="8" t="str">
        <f ca="1">IFERROR(__xludf.DUMMYFUNCTION("GOOGLETRANSLATE(B23469,""en"",""pt"")"),"Noble Park")</f>
        <v>Noble Park</v>
      </c>
      <c r="B17291" s="11" t="s">
        <v>1048</v>
      </c>
      <c r="C17291" s="11" t="s">
        <v>885</v>
      </c>
      <c r="D17291" s="11" t="s">
        <v>827</v>
      </c>
      <c r="E17291" s="10">
        <v>2155204</v>
      </c>
      <c r="F17291" s="4" t="str">
        <f>IF(B17291=B17290,"",B17291)</f>
        <v/>
      </c>
    </row>
    <row r="17292" spans="1:6" ht="15.75" customHeight="1">
      <c r="A17292" s="15" t="s">
        <v>16316</v>
      </c>
      <c r="B17292" s="15" t="s">
        <v>16316</v>
      </c>
      <c r="C17292" s="15" t="s">
        <v>15704</v>
      </c>
      <c r="D17292" s="15" t="s">
        <v>16148</v>
      </c>
      <c r="E17292" s="2">
        <v>1855095</v>
      </c>
      <c r="F17292" s="4" t="str">
        <f>IF(B17292=B17291,"",B17292)</f>
        <v>Nobeoka</v>
      </c>
    </row>
    <row r="17293" spans="1:6" ht="15.75" customHeight="1">
      <c r="A17293" s="8" t="str">
        <f ca="1">IFERROR(__xludf.DUMMYFUNCTION("GOOGLETRANSLATE(B35377,""en"",""pt"")"),"Nobeoka")</f>
        <v>Nobeoka</v>
      </c>
      <c r="B17293" s="11" t="s">
        <v>16316</v>
      </c>
      <c r="C17293" s="11" t="s">
        <v>15704</v>
      </c>
      <c r="D17293" s="11" t="s">
        <v>16148</v>
      </c>
      <c r="E17293" s="10">
        <v>1855095</v>
      </c>
      <c r="F17293" s="4" t="str">
        <f>IF(B17293=B17292,"",B17293)</f>
        <v/>
      </c>
    </row>
    <row r="17294" spans="1:6" ht="15.75" customHeight="1">
      <c r="A17294" s="8" t="str">
        <f ca="1">IFERROR(__xludf.DUMMYFUNCTION("GOOGLETRANSLATE(B32594,""en"",""pt"")"),"Nomundi")</f>
        <v>Nomundi</v>
      </c>
      <c r="B17294" s="9" t="s">
        <v>33291</v>
      </c>
      <c r="C17294" s="9" t="s">
        <v>10178</v>
      </c>
      <c r="D17294" s="9" t="s">
        <v>10430</v>
      </c>
      <c r="E17294" s="10">
        <v>1261242</v>
      </c>
      <c r="F17294" s="4" t="str">
        <f>IF(B17294=B17293,"",B17294)</f>
        <v>Noāmundi</v>
      </c>
    </row>
    <row r="17295" spans="1:6" ht="15.75" customHeight="1">
      <c r="A17295" s="16" t="s">
        <v>12669</v>
      </c>
      <c r="B17295" s="15" t="s">
        <v>12670</v>
      </c>
      <c r="C17295" s="16" t="s">
        <v>10178</v>
      </c>
      <c r="D17295" s="16" t="s">
        <v>10430</v>
      </c>
      <c r="E17295" s="2">
        <v>1261242</v>
      </c>
      <c r="F17295" s="4" t="str">
        <f>IF(B17295=B17294,"",B17295)</f>
        <v>NoÄmundi</v>
      </c>
    </row>
    <row r="17296" spans="1:6" ht="15.75" customHeight="1">
      <c r="A17296" s="15" t="s">
        <v>19514</v>
      </c>
      <c r="B17296" s="15" t="s">
        <v>19514</v>
      </c>
      <c r="C17296" s="15" t="s">
        <v>19294</v>
      </c>
      <c r="D17296" s="15" t="s">
        <v>19308</v>
      </c>
      <c r="E17296" s="2">
        <v>2328765</v>
      </c>
      <c r="F17296" s="4" t="str">
        <f>IF(B17296=B17295,"",B17296)</f>
        <v>Nnewi</v>
      </c>
    </row>
    <row r="17297" spans="1:6" ht="15.75" customHeight="1">
      <c r="A17297" s="8" t="str">
        <f ca="1">IFERROR(__xludf.DUMMYFUNCTION("GOOGLETRANSLATE(B37669,""en"",""pt"")"),"Nnewi")</f>
        <v>Nnewi</v>
      </c>
      <c r="B17297" s="11" t="s">
        <v>19514</v>
      </c>
      <c r="C17297" s="11" t="s">
        <v>19294</v>
      </c>
      <c r="D17297" s="11" t="s">
        <v>19308</v>
      </c>
      <c r="E17297" s="10">
        <v>2328765</v>
      </c>
      <c r="F17297" s="4" t="str">
        <f>IF(B17297=B17296,"",B17297)</f>
        <v/>
      </c>
    </row>
    <row r="17298" spans="1:6" ht="15.75" customHeight="1">
      <c r="A17298" s="15" t="s">
        <v>19512</v>
      </c>
      <c r="B17298" s="15" t="s">
        <v>19512</v>
      </c>
      <c r="C17298" s="15" t="s">
        <v>19294</v>
      </c>
      <c r="D17298" s="15" t="s">
        <v>19513</v>
      </c>
      <c r="E17298" s="2">
        <v>2328790</v>
      </c>
      <c r="F17298" s="4" t="str">
        <f>IF(B17298=B17297,"",B17298)</f>
        <v>Nkwerre</v>
      </c>
    </row>
    <row r="17299" spans="1:6" ht="15.75" customHeight="1">
      <c r="A17299" s="8" t="str">
        <f ca="1">IFERROR(__xludf.DUMMYFUNCTION("GOOGLETRANSLATE(B37670,""en"",""pt"")"),"Nkwerre")</f>
        <v>Nkwerre</v>
      </c>
      <c r="B17299" s="11" t="s">
        <v>19512</v>
      </c>
      <c r="C17299" s="11" t="s">
        <v>19294</v>
      </c>
      <c r="D17299" s="11" t="s">
        <v>19513</v>
      </c>
      <c r="E17299" s="10">
        <v>2328790</v>
      </c>
      <c r="F17299" s="4" t="str">
        <f>IF(B17299=B17298,"",B17299)</f>
        <v/>
      </c>
    </row>
    <row r="17300" spans="1:6" ht="15.75" customHeight="1">
      <c r="A17300" s="15" t="s">
        <v>19511</v>
      </c>
      <c r="B17300" s="15" t="s">
        <v>19511</v>
      </c>
      <c r="C17300" s="15" t="s">
        <v>19294</v>
      </c>
      <c r="D17300" s="15" t="s">
        <v>19308</v>
      </c>
      <c r="E17300" s="2">
        <v>2328811</v>
      </c>
      <c r="F17300" s="4" t="str">
        <f>IF(B17300=B17299,"",B17300)</f>
        <v>Nkpor</v>
      </c>
    </row>
    <row r="17301" spans="1:6" ht="15.75" customHeight="1">
      <c r="A17301" s="8" t="str">
        <f ca="1">IFERROR(__xludf.DUMMYFUNCTION("GOOGLETRANSLATE(B37671,""en"",""pt"")"),"Nkpor")</f>
        <v>Nkpor</v>
      </c>
      <c r="B17301" s="11" t="s">
        <v>19511</v>
      </c>
      <c r="C17301" s="11" t="s">
        <v>19294</v>
      </c>
      <c r="D17301" s="11" t="s">
        <v>19308</v>
      </c>
      <c r="E17301" s="10">
        <v>2328811</v>
      </c>
      <c r="F17301" s="4" t="str">
        <f>IF(B17301=B17300,"",B17301)</f>
        <v/>
      </c>
    </row>
    <row r="17302" spans="1:6" ht="15.75" customHeight="1">
      <c r="A17302" s="16" t="s">
        <v>23945</v>
      </c>
      <c r="B17302" s="15" t="s">
        <v>23945</v>
      </c>
      <c r="C17302" s="16" t="s">
        <v>23842</v>
      </c>
      <c r="D17302" s="16" t="s">
        <v>23885</v>
      </c>
      <c r="E17302" s="2">
        <v>970341</v>
      </c>
      <c r="F17302" s="4" t="str">
        <f>IF(B17302=B17301,"",B17302)</f>
        <v>Nkowakowa</v>
      </c>
    </row>
    <row r="17303" spans="1:6" ht="15.75" customHeight="1">
      <c r="A17303" s="8" t="str">
        <f ca="1">IFERROR(__xludf.DUMMYFUNCTION("GOOGLETRANSLATE(B45906,""en"",""pt"")"),"Nkowakowa")</f>
        <v>Nkowakowa</v>
      </c>
      <c r="B17303" s="11" t="s">
        <v>23945</v>
      </c>
      <c r="C17303" s="11" t="s">
        <v>23842</v>
      </c>
      <c r="D17303" s="11" t="s">
        <v>23885</v>
      </c>
      <c r="E17303" s="10">
        <v>970341</v>
      </c>
      <c r="F17303" s="4" t="str">
        <f>IF(B17303=B17302,"",B17303)</f>
        <v/>
      </c>
    </row>
    <row r="17304" spans="1:6" ht="15.75" customHeight="1">
      <c r="A17304" s="15" t="s">
        <v>3959</v>
      </c>
      <c r="B17304" s="15" t="s">
        <v>3959</v>
      </c>
      <c r="C17304" s="15" t="s">
        <v>3884</v>
      </c>
      <c r="D17304" s="15" t="s">
        <v>3813</v>
      </c>
      <c r="E17304" s="2">
        <v>2223734</v>
      </c>
      <c r="F17304" s="4" t="str">
        <f>IF(B17304=B17303,"",B17304)</f>
        <v>Nkoteng</v>
      </c>
    </row>
    <row r="17305" spans="1:6" ht="15.75" customHeight="1">
      <c r="A17305" s="8" t="str">
        <f ca="1">IFERROR(__xludf.DUMMYFUNCTION("GOOGLETRANSLATE(B25990,""en"",""pt"")"),"Nkoteng")</f>
        <v>Nkoteng</v>
      </c>
      <c r="B17305" s="11" t="s">
        <v>3959</v>
      </c>
      <c r="C17305" s="11" t="s">
        <v>3884</v>
      </c>
      <c r="D17305" s="11" t="s">
        <v>3813</v>
      </c>
      <c r="E17305" s="10">
        <v>2223734</v>
      </c>
      <c r="F17305" s="4" t="str">
        <f>IF(B17305=B17304,"",B17305)</f>
        <v/>
      </c>
    </row>
    <row r="17306" spans="1:6" ht="15.75" customHeight="1">
      <c r="A17306" s="16" t="s">
        <v>3958</v>
      </c>
      <c r="B17306" s="15" t="s">
        <v>3958</v>
      </c>
      <c r="C17306" s="16" t="s">
        <v>3884</v>
      </c>
      <c r="D17306" s="16" t="s">
        <v>1761</v>
      </c>
      <c r="E17306" s="2">
        <v>2223763</v>
      </c>
      <c r="F17306" s="4" t="str">
        <f>IF(B17306=B17305,"",B17306)</f>
        <v>Nkongsamba</v>
      </c>
    </row>
    <row r="17307" spans="1:6" ht="15.75" customHeight="1">
      <c r="A17307" s="8" t="str">
        <f ca="1">IFERROR(__xludf.DUMMYFUNCTION("GOOGLETRANSLATE(B25991,""en"",""pt"")"),"Nkongsamba")</f>
        <v>Nkongsamba</v>
      </c>
      <c r="B17307" s="11" t="s">
        <v>3958</v>
      </c>
      <c r="C17307" s="11" t="s">
        <v>3884</v>
      </c>
      <c r="D17307" s="11" t="s">
        <v>1761</v>
      </c>
      <c r="E17307" s="10">
        <v>2223763</v>
      </c>
      <c r="F17307" s="4" t="str">
        <f>IF(B17307=B17306,"",B17307)</f>
        <v/>
      </c>
    </row>
    <row r="17308" spans="1:6" ht="15.75" customHeight="1">
      <c r="A17308" s="16" t="s">
        <v>17426</v>
      </c>
      <c r="B17308" s="15" t="s">
        <v>17426</v>
      </c>
      <c r="C17308" s="16" t="s">
        <v>17410</v>
      </c>
      <c r="D17308" s="16" t="s">
        <v>17414</v>
      </c>
      <c r="E17308" s="2">
        <v>924705</v>
      </c>
      <c r="F17308" s="4" t="str">
        <f>IF(B17308=B17307,"",B17308)</f>
        <v>Nkhotakota</v>
      </c>
    </row>
    <row r="17309" spans="1:6" ht="15.75" customHeight="1">
      <c r="A17309" s="8" t="str">
        <f ca="1">IFERROR(__xludf.DUMMYFUNCTION("GOOGLETRANSLATE(B36829,""en"",""pt"")"),"Nkhotakota")</f>
        <v>Nkhotakota</v>
      </c>
      <c r="B17309" s="11" t="s">
        <v>17426</v>
      </c>
      <c r="C17309" s="11" t="s">
        <v>17410</v>
      </c>
      <c r="D17309" s="11" t="s">
        <v>17414</v>
      </c>
      <c r="E17309" s="10">
        <v>924705</v>
      </c>
      <c r="F17309" s="4" t="str">
        <f>IF(B17309=B17308,"",B17309)</f>
        <v/>
      </c>
    </row>
    <row r="17310" spans="1:6" ht="15.75" customHeight="1">
      <c r="A17310" s="15" t="s">
        <v>9408</v>
      </c>
      <c r="B17310" s="15" t="s">
        <v>9408</v>
      </c>
      <c r="C17310" s="15" t="s">
        <v>9365</v>
      </c>
      <c r="D17310" s="15" t="s">
        <v>9366</v>
      </c>
      <c r="E17310" s="2">
        <v>2297313</v>
      </c>
      <c r="F17310" s="4" t="str">
        <f>IF(B17310=B17309,"",B17310)</f>
        <v>Nkawkaw</v>
      </c>
    </row>
    <row r="17311" spans="1:6" ht="15.75" customHeight="1">
      <c r="A17311" s="8" t="str">
        <f ca="1">IFERROR(__xludf.DUMMYFUNCTION("GOOGLETRANSLATE(B30881,""en"",""pt"")"),"Nkawkaw")</f>
        <v>Nkawkaw</v>
      </c>
      <c r="B17311" s="9" t="s">
        <v>9408</v>
      </c>
      <c r="C17311" s="9" t="s">
        <v>9365</v>
      </c>
      <c r="D17311" s="9" t="s">
        <v>9366</v>
      </c>
      <c r="E17311" s="10">
        <v>2297313</v>
      </c>
      <c r="F17311" s="4" t="str">
        <f>IF(B17311=B17310,"",B17311)</f>
        <v/>
      </c>
    </row>
    <row r="17312" spans="1:6" ht="15.75" customHeight="1">
      <c r="A17312" s="15" t="s">
        <v>25608</v>
      </c>
      <c r="B17312" s="15" t="s">
        <v>25608</v>
      </c>
      <c r="C17312" s="15" t="s">
        <v>25560</v>
      </c>
      <c r="D17312" s="15" t="s">
        <v>25608</v>
      </c>
      <c r="E17312" s="2">
        <v>151479</v>
      </c>
      <c r="F17312" s="4" t="str">
        <f>IF(B17312=B17311,"",B17312)</f>
        <v>Njombe</v>
      </c>
    </row>
    <row r="17313" spans="1:6" ht="15.75" customHeight="1">
      <c r="A17313" s="8" t="str">
        <f ca="1">IFERROR(__xludf.DUMMYFUNCTION("GOOGLETRANSLATE(B42320,""en"",""pt"")"),"Njombe")</f>
        <v>Njombe</v>
      </c>
      <c r="B17313" s="9" t="s">
        <v>25608</v>
      </c>
      <c r="C17313" s="9" t="s">
        <v>25560</v>
      </c>
      <c r="D17313" s="9" t="s">
        <v>25608</v>
      </c>
      <c r="E17313" s="10">
        <v>151479</v>
      </c>
      <c r="F17313" s="4" t="str">
        <f>IF(B17313=B17312,"",B17313)</f>
        <v/>
      </c>
    </row>
    <row r="17314" spans="1:6" ht="15.75" customHeight="1">
      <c r="A17314" s="15" t="s">
        <v>26857</v>
      </c>
      <c r="B17314" s="15" t="s">
        <v>26857</v>
      </c>
      <c r="C17314" s="15" t="s">
        <v>26820</v>
      </c>
      <c r="D17314" s="15" t="s">
        <v>17414</v>
      </c>
      <c r="E17314" s="2">
        <v>227812</v>
      </c>
      <c r="F17314" s="4" t="str">
        <f>IF(B17314=B17313,"",B17314)</f>
        <v>Njeru</v>
      </c>
    </row>
    <row r="17315" spans="1:6" ht="15.75" customHeight="1">
      <c r="A17315" s="8" t="str">
        <f ca="1">IFERROR(__xludf.DUMMYFUNCTION("GOOGLETRANSLATE(B42733,""en"",""pt"")"),"Njeru")</f>
        <v>Njeru</v>
      </c>
      <c r="B17315" s="9" t="s">
        <v>26857</v>
      </c>
      <c r="C17315" s="9" t="s">
        <v>26820</v>
      </c>
      <c r="D17315" s="9" t="s">
        <v>17414</v>
      </c>
      <c r="E17315" s="10">
        <v>227812</v>
      </c>
      <c r="F17315" s="4" t="str">
        <f>IF(B17315=B17314,"",B17315)</f>
        <v/>
      </c>
    </row>
    <row r="17316" spans="1:6" ht="15.75" customHeight="1">
      <c r="A17316" s="15" t="s">
        <v>19794</v>
      </c>
      <c r="B17316" s="15" t="s">
        <v>19795</v>
      </c>
      <c r="C17316" s="15" t="s">
        <v>19755</v>
      </c>
      <c r="D17316" s="15" t="s">
        <v>19759</v>
      </c>
      <c r="E17316" s="2">
        <v>286987</v>
      </c>
      <c r="F17316" s="4" t="str">
        <f>IF(B17316=B17315,"",B17316)</f>
        <v>NizwÃ¡</v>
      </c>
    </row>
    <row r="17317" spans="1:6" ht="15.75" customHeight="1">
      <c r="A17317" s="8" t="str">
        <f ca="1">IFERROR(__xludf.DUMMYFUNCTION("GOOGLETRANSLATE(B38258,""en"",""pt"")"),"Nizwá")</f>
        <v>Nizwá</v>
      </c>
      <c r="B17317" s="11" t="s">
        <v>34848</v>
      </c>
      <c r="C17317" s="11" t="s">
        <v>19755</v>
      </c>
      <c r="D17317" s="11" t="s">
        <v>34843</v>
      </c>
      <c r="E17317" s="10">
        <v>286987</v>
      </c>
      <c r="F17317" s="4" t="str">
        <f>IF(B17317=B17316,"",B17317)</f>
        <v>Nizwá</v>
      </c>
    </row>
    <row r="17318" spans="1:6" ht="15.75" customHeight="1">
      <c r="A17318" s="15" t="s">
        <v>26651</v>
      </c>
      <c r="B17318" s="15" t="s">
        <v>26651</v>
      </c>
      <c r="C17318" s="15" t="s">
        <v>26201</v>
      </c>
      <c r="D17318" s="15" t="s">
        <v>26518</v>
      </c>
      <c r="E17318" s="2">
        <v>303798</v>
      </c>
      <c r="F17318" s="4" t="str">
        <f>IF(B17318=B17317,"",B17318)</f>
        <v>Nizip</v>
      </c>
    </row>
    <row r="17319" spans="1:6" ht="15.75" customHeight="1">
      <c r="A17319" s="8" t="str">
        <f ca="1">IFERROR(__xludf.DUMMYFUNCTION("GOOGLETRANSLATE(B41926,""en"",""pt"")"),"Nizip")</f>
        <v>Nizip</v>
      </c>
      <c r="B17319" s="9" t="s">
        <v>26651</v>
      </c>
      <c r="C17319" s="9" t="s">
        <v>26201</v>
      </c>
      <c r="D17319" s="9" t="s">
        <v>26518</v>
      </c>
      <c r="E17319" s="10">
        <v>303798</v>
      </c>
      <c r="F17319" s="4" t="str">
        <f>IF(B17319=B17318,"",B17319)</f>
        <v/>
      </c>
    </row>
    <row r="17320" spans="1:6" ht="15.75" customHeight="1">
      <c r="A17320" s="15" t="s">
        <v>27081</v>
      </c>
      <c r="B17320" s="15" t="s">
        <v>27081</v>
      </c>
      <c r="C17320" s="15" t="s">
        <v>26870</v>
      </c>
      <c r="D17320" s="15" t="s">
        <v>26889</v>
      </c>
      <c r="E17320" s="2">
        <v>699942</v>
      </c>
      <c r="F17320" s="4" t="str">
        <f>IF(B17320=B17319,"",B17320)</f>
        <v>Nizhyn</v>
      </c>
    </row>
    <row r="17321" spans="1:6" ht="15.75" customHeight="1">
      <c r="A17321" s="8" t="str">
        <f ca="1">IFERROR(__xludf.DUMMYFUNCTION("GOOGLETRANSLATE(B42569,""en"",""pt"")"),"Nizhyn")</f>
        <v>Nizhyn</v>
      </c>
      <c r="B17321" s="9" t="s">
        <v>27081</v>
      </c>
      <c r="C17321" s="9" t="s">
        <v>26870</v>
      </c>
      <c r="D17321" s="9" t="s">
        <v>26889</v>
      </c>
      <c r="E17321" s="10">
        <v>699942</v>
      </c>
      <c r="F17321" s="4" t="str">
        <f>IF(B17321=B17320,"",B17321)</f>
        <v/>
      </c>
    </row>
    <row r="17322" spans="1:6" ht="15.75" customHeight="1">
      <c r="A17322" s="16" t="s">
        <v>22823</v>
      </c>
      <c r="B17322" s="15" t="s">
        <v>22823</v>
      </c>
      <c r="C17322" s="16" t="s">
        <v>22070</v>
      </c>
      <c r="D17322" s="16" t="s">
        <v>22106</v>
      </c>
      <c r="E17322" s="2">
        <v>520204</v>
      </c>
      <c r="F17322" s="4" t="str">
        <f>IF(B17322=B17321,"",B17322)</f>
        <v>Nizhnyaya Tura</v>
      </c>
    </row>
    <row r="17323" spans="1:6" ht="15.75" customHeight="1">
      <c r="A17323" s="8" t="str">
        <f ca="1">IFERROR(__xludf.DUMMYFUNCTION("GOOGLETRANSLATE(B40275,""en"",""pt"")"),"Nizhnyaya Tura")</f>
        <v>Nizhnyaya Tura</v>
      </c>
      <c r="B17323" s="11" t="s">
        <v>22823</v>
      </c>
      <c r="C17323" s="11" t="s">
        <v>22070</v>
      </c>
      <c r="D17323" s="11" t="s">
        <v>22106</v>
      </c>
      <c r="E17323" s="10">
        <v>520204</v>
      </c>
      <c r="F17323" s="4" t="str">
        <f>IF(B17323=B17322,"",B17323)</f>
        <v/>
      </c>
    </row>
    <row r="17324" spans="1:6" ht="15.75" customHeight="1">
      <c r="A17324" s="16" t="s">
        <v>22822</v>
      </c>
      <c r="B17324" s="15" t="s">
        <v>22822</v>
      </c>
      <c r="C17324" s="16" t="s">
        <v>22070</v>
      </c>
      <c r="D17324" s="16" t="s">
        <v>22106</v>
      </c>
      <c r="E17324" s="2">
        <v>1497393</v>
      </c>
      <c r="F17324" s="4" t="str">
        <f>IF(B17324=B17323,"",B17324)</f>
        <v>Nizhnyaya Salda</v>
      </c>
    </row>
    <row r="17325" spans="1:6" ht="15.75" customHeight="1">
      <c r="A17325" s="8" t="str">
        <f ca="1">IFERROR(__xludf.DUMMYFUNCTION("GOOGLETRANSLATE(B40787,""en"",""pt"")"),"Nizhnyaya Salda")</f>
        <v>Nizhnyaya Salda</v>
      </c>
      <c r="B17325" s="11" t="s">
        <v>22822</v>
      </c>
      <c r="C17325" s="11" t="s">
        <v>22070</v>
      </c>
      <c r="D17325" s="11" t="s">
        <v>22106</v>
      </c>
      <c r="E17325" s="10">
        <v>1497393</v>
      </c>
      <c r="F17325" s="4" t="str">
        <f>IF(B17325=B17324,"",B17325)</f>
        <v/>
      </c>
    </row>
    <row r="17326" spans="1:6" ht="15.75" customHeight="1">
      <c r="A17326" s="16" t="s">
        <v>22821</v>
      </c>
      <c r="B17326" s="15" t="s">
        <v>22821</v>
      </c>
      <c r="C17326" s="16" t="s">
        <v>22070</v>
      </c>
      <c r="D17326" s="16" t="s">
        <v>22106</v>
      </c>
      <c r="E17326" s="2">
        <v>520494</v>
      </c>
      <c r="F17326" s="4" t="str">
        <f>IF(B17326=B17325,"",B17326)</f>
        <v>Nizhniy Tagil</v>
      </c>
    </row>
    <row r="17327" spans="1:6" ht="15.75" customHeight="1">
      <c r="A17327" s="8" t="str">
        <f ca="1">IFERROR(__xludf.DUMMYFUNCTION("GOOGLETRANSLATE(B40276,""en"",""pt"")"),"Nizhniy Tagil")</f>
        <v>Nizhniy Tagil</v>
      </c>
      <c r="B17327" s="11" t="s">
        <v>22821</v>
      </c>
      <c r="C17327" s="11" t="s">
        <v>22070</v>
      </c>
      <c r="D17327" s="11" t="s">
        <v>22106</v>
      </c>
      <c r="E17327" s="10">
        <v>520494</v>
      </c>
      <c r="F17327" s="4" t="str">
        <f>IF(B17327=B17326,"",B17327)</f>
        <v/>
      </c>
    </row>
    <row r="17328" spans="1:6" ht="15.75" customHeight="1">
      <c r="A17328" s="16" t="s">
        <v>22820</v>
      </c>
      <c r="B17328" s="15" t="s">
        <v>22820</v>
      </c>
      <c r="C17328" s="16" t="s">
        <v>22070</v>
      </c>
      <c r="D17328" s="16" t="s">
        <v>22161</v>
      </c>
      <c r="E17328" s="2">
        <v>520555</v>
      </c>
      <c r="F17328" s="4" t="str">
        <f>IF(B17328=B17327,"",B17328)</f>
        <v>Nizhniy Novgorod</v>
      </c>
    </row>
    <row r="17329" spans="1:6" ht="15.75" customHeight="1">
      <c r="A17329" s="8" t="str">
        <f ca="1">IFERROR(__xludf.DUMMYFUNCTION("GOOGLETRANSLATE(B40277,""en"",""pt"")"),"Nizhniy Novgorod")</f>
        <v>Nizhniy Novgorod</v>
      </c>
      <c r="B17329" s="9" t="s">
        <v>22820</v>
      </c>
      <c r="C17329" s="9" t="s">
        <v>22070</v>
      </c>
      <c r="D17329" s="9" t="s">
        <v>22161</v>
      </c>
      <c r="E17329" s="10">
        <v>520555</v>
      </c>
      <c r="F17329" s="4" t="str">
        <f>IF(B17329=B17328,"",B17329)</f>
        <v/>
      </c>
    </row>
    <row r="17330" spans="1:6" ht="15.75" customHeight="1">
      <c r="A17330" s="16" t="s">
        <v>22819</v>
      </c>
      <c r="B17330" s="15" t="s">
        <v>22819</v>
      </c>
      <c r="C17330" s="16" t="s">
        <v>22070</v>
      </c>
      <c r="D17330" s="16" t="s">
        <v>22649</v>
      </c>
      <c r="E17330" s="2">
        <v>520574</v>
      </c>
      <c r="F17330" s="4" t="str">
        <f>IF(B17330=B17329,"",B17330)</f>
        <v>Nizhniy Lomov</v>
      </c>
    </row>
    <row r="17331" spans="1:6" ht="15.75" customHeight="1">
      <c r="A17331" s="8" t="str">
        <f ca="1">IFERROR(__xludf.DUMMYFUNCTION("GOOGLETRANSLATE(B40278,""en"",""pt"")"),"Nizhniy Lomov")</f>
        <v>Nizhniy Lomov</v>
      </c>
      <c r="B17331" s="9" t="s">
        <v>22819</v>
      </c>
      <c r="C17331" s="9" t="s">
        <v>22070</v>
      </c>
      <c r="D17331" s="9" t="s">
        <v>22649</v>
      </c>
      <c r="E17331" s="10">
        <v>520574</v>
      </c>
      <c r="F17331" s="4" t="str">
        <f>IF(B17331=B17330,"",B17331)</f>
        <v/>
      </c>
    </row>
    <row r="17332" spans="1:6" ht="15.75" customHeight="1">
      <c r="A17332" s="16" t="s">
        <v>22818</v>
      </c>
      <c r="B17332" s="15" t="s">
        <v>22818</v>
      </c>
      <c r="C17332" s="16" t="s">
        <v>22070</v>
      </c>
      <c r="D17332" s="16" t="s">
        <v>22217</v>
      </c>
      <c r="E17332" s="2">
        <v>1497543</v>
      </c>
      <c r="F17332" s="4" t="str">
        <f>IF(B17332=B17331,"",B17332)</f>
        <v>Nizhnevartovsk</v>
      </c>
    </row>
    <row r="17333" spans="1:6" ht="15.75" customHeight="1">
      <c r="A17333" s="8" t="str">
        <f ca="1">IFERROR(__xludf.DUMMYFUNCTION("GOOGLETRANSLATE(B40788,""en"",""pt"")"),"Nizhnevartovsk")</f>
        <v>Nizhnevartovsk</v>
      </c>
      <c r="B17333" s="9" t="s">
        <v>22818</v>
      </c>
      <c r="C17333" s="9" t="s">
        <v>22070</v>
      </c>
      <c r="D17333" s="9" t="s">
        <v>22217</v>
      </c>
      <c r="E17333" s="10">
        <v>1497543</v>
      </c>
      <c r="F17333" s="4" t="str">
        <f>IF(B17333=B17332,"",B17333)</f>
        <v/>
      </c>
    </row>
    <row r="17334" spans="1:6" ht="15.75" customHeight="1">
      <c r="A17334" s="16" t="s">
        <v>22817</v>
      </c>
      <c r="B17334" s="15" t="s">
        <v>22817</v>
      </c>
      <c r="C17334" s="16" t="s">
        <v>22070</v>
      </c>
      <c r="D17334" s="16" t="s">
        <v>22135</v>
      </c>
      <c r="E17334" s="2">
        <v>1497549</v>
      </c>
      <c r="F17334" s="4" t="str">
        <f>IF(B17334=B17333,"",B17334)</f>
        <v>Nizhneudinsk</v>
      </c>
    </row>
    <row r="17335" spans="1:6" ht="15.75" customHeight="1">
      <c r="A17335" s="8" t="str">
        <f ca="1">IFERROR(__xludf.DUMMYFUNCTION("GOOGLETRANSLATE(B40789,""en"",""pt"")"),"Nizhneudinsk")</f>
        <v>Nizhneudinsk</v>
      </c>
      <c r="B17335" s="9" t="s">
        <v>22817</v>
      </c>
      <c r="C17335" s="9" t="s">
        <v>22070</v>
      </c>
      <c r="D17335" s="9" t="s">
        <v>22135</v>
      </c>
      <c r="E17335" s="10">
        <v>1497549</v>
      </c>
      <c r="F17335" s="4" t="str">
        <f>IF(B17335=B17334,"",B17335)</f>
        <v/>
      </c>
    </row>
    <row r="17336" spans="1:6" ht="15.75" customHeight="1">
      <c r="A17336" s="16" t="s">
        <v>22816</v>
      </c>
      <c r="B17336" s="15" t="s">
        <v>22816</v>
      </c>
      <c r="C17336" s="16" t="s">
        <v>22070</v>
      </c>
      <c r="D17336" s="16" t="s">
        <v>22217</v>
      </c>
      <c r="E17336" s="2">
        <v>7287775</v>
      </c>
      <c r="F17336" s="4" t="str">
        <f>IF(B17336=B17335,"",B17336)</f>
        <v>Nizhnesortymskiy</v>
      </c>
    </row>
    <row r="17337" spans="1:6" ht="15.75" customHeight="1">
      <c r="A17337" s="8" t="str">
        <f ca="1">IFERROR(__xludf.DUMMYFUNCTION("GOOGLETRANSLATE(B40979,""en"",""pt"")"),"Nizhnesortymskiy")</f>
        <v>Nizhnesortymskiy</v>
      </c>
      <c r="B17337" s="9" t="s">
        <v>22816</v>
      </c>
      <c r="C17337" s="9" t="s">
        <v>22070</v>
      </c>
      <c r="D17337" s="9" t="s">
        <v>22217</v>
      </c>
      <c r="E17337" s="10">
        <v>7287775</v>
      </c>
      <c r="F17337" s="4" t="str">
        <f>IF(B17337=B17336,"",B17337)</f>
        <v/>
      </c>
    </row>
    <row r="17338" spans="1:6" ht="15.75" customHeight="1">
      <c r="A17338" s="16" t="s">
        <v>22815</v>
      </c>
      <c r="B17338" s="15" t="s">
        <v>22815</v>
      </c>
      <c r="C17338" s="16" t="s">
        <v>22070</v>
      </c>
      <c r="D17338" s="16" t="s">
        <v>22090</v>
      </c>
      <c r="E17338" s="2">
        <v>521118</v>
      </c>
      <c r="F17338" s="4" t="str">
        <f>IF(B17338=B17337,"",B17338)</f>
        <v>Nizhnekamsk</v>
      </c>
    </row>
    <row r="17339" spans="1:6" ht="15.75" customHeight="1">
      <c r="A17339" s="8" t="str">
        <f ca="1">IFERROR(__xludf.DUMMYFUNCTION("GOOGLETRANSLATE(B40279,""en"",""pt"")"),"Nizhnekamsk")</f>
        <v>Nizhnekamsk</v>
      </c>
      <c r="B17339" s="9" t="s">
        <v>22815</v>
      </c>
      <c r="C17339" s="9" t="s">
        <v>22070</v>
      </c>
      <c r="D17339" s="9" t="s">
        <v>22090</v>
      </c>
      <c r="E17339" s="10">
        <v>521118</v>
      </c>
      <c r="F17339" s="4" t="str">
        <f>IF(B17339=B17338,"",B17339)</f>
        <v/>
      </c>
    </row>
    <row r="17340" spans="1:6" ht="15.75" customHeight="1">
      <c r="A17340" s="8" t="str">
        <f ca="1">IFERROR(__xludf.DUMMYFUNCTION("GOOGLETRANSLATE(B32595,""en"",""pt"")"),"Nizāmābād")</f>
        <v>Nizāmābād</v>
      </c>
      <c r="B17340" s="11" t="s">
        <v>33292</v>
      </c>
      <c r="C17340" s="11" t="s">
        <v>10178</v>
      </c>
      <c r="D17340" s="11" t="s">
        <v>10187</v>
      </c>
      <c r="E17340" s="10">
        <v>1261258</v>
      </c>
      <c r="F17340" s="4" t="str">
        <f>IF(B17340=B17339,"",B17340)</f>
        <v>Nizāmābād</v>
      </c>
    </row>
    <row r="17341" spans="1:6" ht="15.75" customHeight="1">
      <c r="A17341" s="16" t="s">
        <v>12667</v>
      </c>
      <c r="B17341" s="15" t="s">
        <v>12668</v>
      </c>
      <c r="C17341" s="16" t="s">
        <v>10178</v>
      </c>
      <c r="D17341" s="16" t="s">
        <v>10187</v>
      </c>
      <c r="E17341" s="2">
        <v>1261258</v>
      </c>
      <c r="F17341" s="4" t="str">
        <f>IF(B17341=B17340,"",B17341)</f>
        <v>NizÄmÄbÄd</v>
      </c>
    </row>
    <row r="17342" spans="1:6" ht="15.75" customHeight="1">
      <c r="A17342" s="15" t="s">
        <v>29441</v>
      </c>
      <c r="B17342" s="15" t="s">
        <v>29442</v>
      </c>
      <c r="C17342" s="15" t="s">
        <v>27788</v>
      </c>
      <c r="D17342" s="15" t="s">
        <v>27806</v>
      </c>
      <c r="E17342" s="2">
        <v>4400648</v>
      </c>
      <c r="F17342" s="4" t="str">
        <f>IF(B17342=B17341,"",B17342)</f>
        <v>Nixa</v>
      </c>
    </row>
    <row r="17343" spans="1:6" ht="15.75" customHeight="1">
      <c r="A17343" s="8" t="str">
        <f ca="1">IFERROR(__xludf.DUMMYFUNCTION("GOOGLETRANSLATE(B43377,""en"",""pt"")"),"NIXA")</f>
        <v>NIXA</v>
      </c>
      <c r="B17343" s="9" t="s">
        <v>29442</v>
      </c>
      <c r="C17343" s="9" t="s">
        <v>27788</v>
      </c>
      <c r="D17343" s="9" t="s">
        <v>27806</v>
      </c>
      <c r="E17343" s="10">
        <v>4400648</v>
      </c>
      <c r="F17343" s="4" t="str">
        <f>IF(B17343=B17342,"",B17343)</f>
        <v/>
      </c>
    </row>
    <row r="17344" spans="1:6" ht="15.75" customHeight="1">
      <c r="A17344" s="15" t="s">
        <v>12666</v>
      </c>
      <c r="B17344" s="15" t="s">
        <v>12666</v>
      </c>
      <c r="C17344" s="15" t="s">
        <v>10178</v>
      </c>
      <c r="D17344" s="15" t="s">
        <v>10179</v>
      </c>
      <c r="E17344" s="2">
        <v>1261614</v>
      </c>
      <c r="F17344" s="4" t="str">
        <f>IF(B17344=B17343,"",B17344)</f>
        <v>Niwai</v>
      </c>
    </row>
    <row r="17345" spans="1:6" ht="15.75" customHeight="1">
      <c r="A17345" s="8" t="str">
        <f ca="1">IFERROR(__xludf.DUMMYFUNCTION("GOOGLETRANSLATE(B32623,""en"",""pt"")"),"Niwai")</f>
        <v>Niwai</v>
      </c>
      <c r="B17345" s="9" t="s">
        <v>12666</v>
      </c>
      <c r="C17345" s="9" t="s">
        <v>10178</v>
      </c>
      <c r="D17345" s="9" t="s">
        <v>10179</v>
      </c>
      <c r="E17345" s="10">
        <v>1261614</v>
      </c>
      <c r="F17345" s="4" t="str">
        <f>IF(B17345=B17344,"",B17345)</f>
        <v/>
      </c>
    </row>
    <row r="17346" spans="1:6" ht="15.75" customHeight="1">
      <c r="A17346" s="15" t="s">
        <v>1651</v>
      </c>
      <c r="B17346" s="15" t="s">
        <v>1651</v>
      </c>
      <c r="C17346" s="15" t="s">
        <v>1512</v>
      </c>
      <c r="D17346" s="15" t="s">
        <v>1518</v>
      </c>
      <c r="E17346" s="2">
        <v>2790101</v>
      </c>
      <c r="F17346" s="4" t="str">
        <f>IF(B17346=B17345,"",B17346)</f>
        <v>Nivelles</v>
      </c>
    </row>
    <row r="17347" spans="1:6" ht="15.75" customHeight="1">
      <c r="A17347" s="8" t="str">
        <f ca="1">IFERROR(__xludf.DUMMYFUNCTION("GOOGLETRANSLATE(B23857,""en"",""pt"")"),"Nivelles")</f>
        <v>Nivelles</v>
      </c>
      <c r="B17347" s="9" t="s">
        <v>1651</v>
      </c>
      <c r="C17347" s="9" t="s">
        <v>1512</v>
      </c>
      <c r="D17347" s="9" t="s">
        <v>1518</v>
      </c>
      <c r="E17347" s="10">
        <v>2790101</v>
      </c>
      <c r="F17347" s="4" t="str">
        <f>IF(B17347=B17346,"",B17347)</f>
        <v/>
      </c>
    </row>
    <row r="17348" spans="1:6" ht="15.75" customHeight="1">
      <c r="A17348" s="15" t="s">
        <v>23741</v>
      </c>
      <c r="B17348" s="15" t="s">
        <v>23741</v>
      </c>
      <c r="C17348" s="15" t="s">
        <v>23694</v>
      </c>
      <c r="D17348" s="15" t="s">
        <v>23715</v>
      </c>
      <c r="E17348" s="2">
        <v>3058531</v>
      </c>
      <c r="F17348" s="4" t="str">
        <f>IF(B17348=B17347,"",B17348)</f>
        <v>Nitra</v>
      </c>
    </row>
    <row r="17349" spans="1:6" ht="15.75" customHeight="1">
      <c r="A17349" s="8" t="str">
        <f ca="1">IFERROR(__xludf.DUMMYFUNCTION("GOOGLETRANSLATE(B41253,""en"",""pt"")"),"Nitra")</f>
        <v>Nitra</v>
      </c>
      <c r="B17349" s="9" t="s">
        <v>23741</v>
      </c>
      <c r="C17349" s="9" t="s">
        <v>23694</v>
      </c>
      <c r="D17349" s="9" t="s">
        <v>23715</v>
      </c>
      <c r="E17349" s="10">
        <v>3058531</v>
      </c>
      <c r="F17349" s="4" t="str">
        <f>IF(B17349=B17348,"",B17349)</f>
        <v/>
      </c>
    </row>
    <row r="17350" spans="1:6" ht="15.75" customHeight="1">
      <c r="A17350" s="8" t="str">
        <f ca="1">IFERROR(__xludf.DUMMYFUNCTION("GOOGLETRANSLATE(B24784,""en"",""pt"")"),"Niterói")</f>
        <v>Niterói</v>
      </c>
      <c r="B17350" s="11" t="s">
        <v>31583</v>
      </c>
      <c r="C17350" s="11" t="s">
        <v>1905</v>
      </c>
      <c r="D17350" s="11" t="s">
        <v>1978</v>
      </c>
      <c r="E17350" s="10">
        <v>3456283</v>
      </c>
      <c r="F17350" s="4" t="str">
        <f>IF(B17350=B17349,"",B17350)</f>
        <v>Niterói</v>
      </c>
    </row>
    <row r="17351" spans="1:6" ht="15.75" customHeight="1">
      <c r="A17351" s="15" t="s">
        <v>2955</v>
      </c>
      <c r="B17351" s="15" t="s">
        <v>2956</v>
      </c>
      <c r="C17351" s="15" t="s">
        <v>1905</v>
      </c>
      <c r="D17351" s="15" t="s">
        <v>1978</v>
      </c>
      <c r="E17351" s="2">
        <v>3456283</v>
      </c>
      <c r="F17351" s="4" t="str">
        <f>IF(B17351=B17350,"",B17351)</f>
        <v>NiterÃ³i</v>
      </c>
    </row>
    <row r="17352" spans="1:6" ht="15.75" customHeight="1">
      <c r="A17352" s="15" t="s">
        <v>21370</v>
      </c>
      <c r="B17352" s="15" t="s">
        <v>21370</v>
      </c>
      <c r="C17352" s="15" t="s">
        <v>21064</v>
      </c>
      <c r="D17352" s="15" t="s">
        <v>21083</v>
      </c>
      <c r="E17352" s="2">
        <v>763829</v>
      </c>
      <c r="F17352" s="4" t="str">
        <f>IF(B17352=B17351,"",B17352)</f>
        <v>Nisko</v>
      </c>
    </row>
    <row r="17353" spans="1:6" ht="15.75" customHeight="1">
      <c r="A17353" s="8" t="str">
        <f ca="1">IFERROR(__xludf.DUMMYFUNCTION("GOOGLETRANSLATE(B39240,""en"",""pt"")"),"Nisko")</f>
        <v>Nisko</v>
      </c>
      <c r="B17353" s="9" t="s">
        <v>21370</v>
      </c>
      <c r="C17353" s="9" t="s">
        <v>21064</v>
      </c>
      <c r="D17353" s="9" t="s">
        <v>21083</v>
      </c>
      <c r="E17353" s="10">
        <v>763829</v>
      </c>
      <c r="F17353" s="4" t="str">
        <f>IF(B17353=B17352,"",B17353)</f>
        <v/>
      </c>
    </row>
    <row r="17354" spans="1:6" ht="15.75" customHeight="1">
      <c r="A17354" s="15" t="s">
        <v>16315</v>
      </c>
      <c r="B17354" s="15" t="s">
        <v>16315</v>
      </c>
      <c r="C17354" s="15" t="s">
        <v>15704</v>
      </c>
      <c r="D17354" s="15" t="s">
        <v>15712</v>
      </c>
      <c r="E17354" s="2">
        <v>1855134</v>
      </c>
      <c r="F17354" s="4" t="str">
        <f>IF(B17354=B17353,"",B17354)</f>
        <v>Nishiwaki</v>
      </c>
    </row>
    <row r="17355" spans="1:6" ht="15.75" customHeight="1">
      <c r="A17355" s="8" t="str">
        <f ca="1">IFERROR(__xludf.DUMMYFUNCTION("GOOGLETRANSLATE(B35378,""en"",""pt"")"),"Nishiwaki")</f>
        <v>Nishiwaki</v>
      </c>
      <c r="B17355" s="11" t="s">
        <v>16315</v>
      </c>
      <c r="C17355" s="11" t="s">
        <v>15704</v>
      </c>
      <c r="D17355" s="11" t="s">
        <v>34291</v>
      </c>
      <c r="E17355" s="10">
        <v>1855134</v>
      </c>
      <c r="F17355" s="4" t="str">
        <f>IF(B17355=B17354,"",B17355)</f>
        <v/>
      </c>
    </row>
    <row r="17356" spans="1:6" ht="15.75" customHeight="1">
      <c r="A17356" s="16" t="s">
        <v>16314</v>
      </c>
      <c r="B17356" s="15" t="s">
        <v>16314</v>
      </c>
      <c r="C17356" s="16" t="s">
        <v>15704</v>
      </c>
      <c r="D17356" s="16" t="s">
        <v>15776</v>
      </c>
      <c r="E17356" s="2">
        <v>1850692</v>
      </c>
      <c r="F17356" s="4" t="str">
        <f>IF(B17356=B17355,"",B17356)</f>
        <v>Nishi-Tokyo-shi</v>
      </c>
    </row>
    <row r="17357" spans="1:6" ht="15.75" customHeight="1">
      <c r="A17357" s="8" t="str">
        <f ca="1">IFERROR(__xludf.DUMMYFUNCTION("GOOGLETRANSLATE(B35246,""en"",""pt"")"),"Nishi-Tokyo-shi")</f>
        <v>Nishi-Tokyo-shi</v>
      </c>
      <c r="B17357" s="9" t="s">
        <v>16314</v>
      </c>
      <c r="C17357" s="9" t="s">
        <v>15704</v>
      </c>
      <c r="D17357" s="9" t="s">
        <v>15776</v>
      </c>
      <c r="E17357" s="10">
        <v>1850692</v>
      </c>
      <c r="F17357" s="4" t="str">
        <f>IF(B17357=B17356,"",B17357)</f>
        <v/>
      </c>
    </row>
    <row r="17358" spans="1:6" ht="15.75" customHeight="1">
      <c r="A17358" s="16" t="s">
        <v>16313</v>
      </c>
      <c r="B17358" s="15" t="s">
        <v>16313</v>
      </c>
      <c r="C17358" s="16" t="s">
        <v>15704</v>
      </c>
      <c r="D17358" s="16" t="s">
        <v>15881</v>
      </c>
      <c r="E17358" s="2">
        <v>1852385</v>
      </c>
      <c r="F17358" s="4" t="str">
        <f>IF(B17358=B17357,"",B17358)</f>
        <v>Nishishinminato</v>
      </c>
    </row>
    <row r="17359" spans="1:6" ht="15.75" customHeight="1">
      <c r="A17359" s="8" t="str">
        <f ca="1">IFERROR(__xludf.DUMMYFUNCTION("GOOGLETRANSLATE(B35301,""en"",""pt"")"),"Nishishinminato")</f>
        <v>Nishishinminato</v>
      </c>
      <c r="B17359" s="9" t="s">
        <v>16313</v>
      </c>
      <c r="C17359" s="9" t="s">
        <v>15704</v>
      </c>
      <c r="D17359" s="9" t="s">
        <v>15881</v>
      </c>
      <c r="E17359" s="10">
        <v>1852385</v>
      </c>
      <c r="F17359" s="4" t="str">
        <f>IF(B17359=B17358,"",B17359)</f>
        <v/>
      </c>
    </row>
    <row r="17360" spans="1:6" ht="15.75" customHeight="1">
      <c r="A17360" s="15" t="s">
        <v>16312</v>
      </c>
      <c r="B17360" s="15" t="s">
        <v>16312</v>
      </c>
      <c r="C17360" s="15" t="s">
        <v>15704</v>
      </c>
      <c r="D17360" s="15" t="s">
        <v>15729</v>
      </c>
      <c r="E17360" s="2">
        <v>1855189</v>
      </c>
      <c r="F17360" s="4" t="str">
        <f>IF(B17360=B17359,"",B17360)</f>
        <v>Nishio</v>
      </c>
    </row>
    <row r="17361" spans="1:6" ht="15.75" customHeight="1">
      <c r="A17361" s="8" t="str">
        <f ca="1">IFERROR(__xludf.DUMMYFUNCTION("GOOGLETRANSLATE(B35379,""en"",""pt"")"),"Nishio")</f>
        <v>Nishio</v>
      </c>
      <c r="B17361" s="9" t="s">
        <v>16312</v>
      </c>
      <c r="C17361" s="9" t="s">
        <v>15704</v>
      </c>
      <c r="D17361" s="9" t="s">
        <v>15729</v>
      </c>
      <c r="E17361" s="10">
        <v>1855189</v>
      </c>
      <c r="F17361" s="4" t="str">
        <f>IF(B17361=B17360,"",B17361)</f>
        <v/>
      </c>
    </row>
    <row r="17362" spans="1:6" ht="15.75" customHeight="1">
      <c r="A17362" s="16" t="s">
        <v>16311</v>
      </c>
      <c r="B17362" s="15" t="s">
        <v>16311</v>
      </c>
      <c r="C17362" s="16" t="s">
        <v>15704</v>
      </c>
      <c r="D17362" s="16" t="s">
        <v>15719</v>
      </c>
      <c r="E17362" s="2">
        <v>1855203</v>
      </c>
      <c r="F17362" s="4" t="str">
        <f>IF(B17362=B17361,"",B17362)</f>
        <v>Nishinoomote</v>
      </c>
    </row>
    <row r="17363" spans="1:6" ht="15.75" customHeight="1">
      <c r="A17363" s="8" t="str">
        <f ca="1">IFERROR(__xludf.DUMMYFUNCTION("GOOGLETRANSLATE(B35380,""en"",""pt"")"),"Nishinoomote")</f>
        <v>Nishinoomote</v>
      </c>
      <c r="B17363" s="9" t="s">
        <v>16311</v>
      </c>
      <c r="C17363" s="9" t="s">
        <v>15704</v>
      </c>
      <c r="D17363" s="9" t="s">
        <v>15719</v>
      </c>
      <c r="E17363" s="10">
        <v>1855203</v>
      </c>
      <c r="F17363" s="4" t="str">
        <f>IF(B17363=B17362,"",B17363)</f>
        <v/>
      </c>
    </row>
    <row r="17364" spans="1:6" ht="15.75" customHeight="1">
      <c r="A17364" s="16" t="s">
        <v>16310</v>
      </c>
      <c r="B17364" s="15" t="s">
        <v>16310</v>
      </c>
      <c r="C17364" s="16" t="s">
        <v>15704</v>
      </c>
      <c r="D17364" s="16" t="s">
        <v>15712</v>
      </c>
      <c r="E17364" s="2">
        <v>1855207</v>
      </c>
      <c r="F17364" s="4" t="str">
        <f>IF(B17364=B17363,"",B17364)</f>
        <v>Nishinomiya-hama</v>
      </c>
    </row>
    <row r="17365" spans="1:6" ht="15.75" customHeight="1">
      <c r="A17365" s="8" t="str">
        <f ca="1">IFERROR(__xludf.DUMMYFUNCTION("GOOGLETRANSLATE(B35381,""en"",""pt"")"),"Nishinomiya-hama")</f>
        <v>Nishinomiya-hama</v>
      </c>
      <c r="B17365" s="11" t="s">
        <v>16310</v>
      </c>
      <c r="C17365" s="11" t="s">
        <v>15704</v>
      </c>
      <c r="D17365" s="11" t="s">
        <v>34291</v>
      </c>
      <c r="E17365" s="10">
        <v>1855207</v>
      </c>
      <c r="F17365" s="4" t="str">
        <f>IF(B17365=B17364,"",B17365)</f>
        <v/>
      </c>
    </row>
    <row r="17366" spans="1:6" ht="15.75" customHeight="1">
      <c r="A17366" s="16" t="s">
        <v>16309</v>
      </c>
      <c r="B17366" s="15" t="s">
        <v>16309</v>
      </c>
      <c r="C17366" s="16" t="s">
        <v>15704</v>
      </c>
      <c r="D17366" s="16" t="s">
        <v>15722</v>
      </c>
      <c r="E17366" s="2">
        <v>1863978</v>
      </c>
      <c r="F17366" s="4" t="str">
        <f>IF(B17366=B17365,"",B17366)</f>
        <v>Nishifukuma</v>
      </c>
    </row>
    <row r="17367" spans="1:6" ht="15.75" customHeight="1">
      <c r="A17367" s="8" t="str">
        <f ca="1">IFERROR(__xludf.DUMMYFUNCTION("GOOGLETRANSLATE(B35646,""en"",""pt"")"),"Nishifukuma")</f>
        <v>Nishifukuma</v>
      </c>
      <c r="B17367" s="9" t="s">
        <v>16309</v>
      </c>
      <c r="C17367" s="9" t="s">
        <v>15704</v>
      </c>
      <c r="D17367" s="9" t="s">
        <v>15722</v>
      </c>
      <c r="E17367" s="10">
        <v>1863978</v>
      </c>
      <c r="F17367" s="4" t="str">
        <f>IF(B17367=B17366,"",B17367)</f>
        <v/>
      </c>
    </row>
    <row r="17368" spans="1:6" ht="15.75" customHeight="1">
      <c r="A17368" s="8" t="str">
        <f ca="1">IFERROR(__xludf.DUMMYFUNCTION("GOOGLETRANSLATE(B34405,""en"",""pt"")"),"Nīshābūr")</f>
        <v>Nīshābūr</v>
      </c>
      <c r="B17368" s="9" t="s">
        <v>34168</v>
      </c>
      <c r="C17368" s="9" t="s">
        <v>14240</v>
      </c>
      <c r="D17368" s="9" t="s">
        <v>14351</v>
      </c>
      <c r="E17368" s="10">
        <v>122285</v>
      </c>
      <c r="F17368" s="4" t="str">
        <f>IF(B17368=B17367,"",B17368)</f>
        <v>Nīshābūr</v>
      </c>
    </row>
    <row r="17369" spans="1:6" ht="15.75" customHeight="1">
      <c r="A17369" s="15" t="s">
        <v>15312</v>
      </c>
      <c r="B17369" s="15" t="s">
        <v>15312</v>
      </c>
      <c r="C17369" s="15" t="s">
        <v>14891</v>
      </c>
      <c r="D17369" s="15" t="s">
        <v>14899</v>
      </c>
      <c r="E17369" s="2">
        <v>2524006</v>
      </c>
      <c r="F17369" s="4" t="str">
        <f>IF(B17369=B17368,"",B17369)</f>
        <v>Niscemi</v>
      </c>
    </row>
    <row r="17370" spans="1:6" ht="15.75" customHeight="1">
      <c r="A17370" s="8" t="str">
        <f ca="1">IFERROR(__xludf.DUMMYFUNCTION("GOOGLETRANSLATE(B34574,""en"",""pt"")"),"Niscemi")</f>
        <v>Niscemi</v>
      </c>
      <c r="B17370" s="11" t="s">
        <v>15312</v>
      </c>
      <c r="C17370" s="11" t="s">
        <v>14891</v>
      </c>
      <c r="D17370" s="11" t="s">
        <v>14899</v>
      </c>
      <c r="E17370" s="10">
        <v>2524006</v>
      </c>
      <c r="F17370" s="4" t="str">
        <f>IF(B17370=B17369,"",B17370)</f>
        <v/>
      </c>
    </row>
    <row r="17371" spans="1:6" ht="15.75" customHeight="1">
      <c r="A17371" s="8" t="str">
        <f ca="1">IFERROR(__xludf.DUMMYFUNCTION("GOOGLETRANSLATE(B39875,""en"",""pt"")"),"Niš")</f>
        <v>Niš</v>
      </c>
      <c r="B17371" s="11" t="s">
        <v>35417</v>
      </c>
      <c r="C17371" s="11" t="s">
        <v>23602</v>
      </c>
      <c r="D17371" s="11" t="s">
        <v>23603</v>
      </c>
      <c r="E17371" s="10">
        <v>787657</v>
      </c>
      <c r="F17371" s="4" t="str">
        <f>IF(B17371=B17370,"",B17371)</f>
        <v>Niš</v>
      </c>
    </row>
    <row r="17372" spans="1:6" ht="15.75" customHeight="1">
      <c r="A17372" s="8" t="str">
        <f ca="1">IFERROR(__xludf.DUMMYFUNCTION("GOOGLETRANSLATE(B32596,""en"",""pt"")"),"Nirmāli")</f>
        <v>Nirmāli</v>
      </c>
      <c r="B17372" s="9" t="s">
        <v>33293</v>
      </c>
      <c r="C17372" s="9" t="s">
        <v>10178</v>
      </c>
      <c r="D17372" s="9" t="s">
        <v>10317</v>
      </c>
      <c r="E17372" s="10">
        <v>1261285</v>
      </c>
      <c r="F17372" s="4" t="str">
        <f>IF(B17372=B17371,"",B17372)</f>
        <v>Nirmāli</v>
      </c>
    </row>
    <row r="17373" spans="1:6" ht="15.75" customHeight="1">
      <c r="A17373" s="15" t="s">
        <v>12665</v>
      </c>
      <c r="B17373" s="15" t="s">
        <v>12665</v>
      </c>
      <c r="C17373" s="15" t="s">
        <v>10178</v>
      </c>
      <c r="D17373" s="15" t="s">
        <v>10187</v>
      </c>
      <c r="E17373" s="2">
        <v>1261288</v>
      </c>
      <c r="F17373" s="4" t="str">
        <f>IF(B17373=B17372,"",B17373)</f>
        <v>Nirmal</v>
      </c>
    </row>
    <row r="17374" spans="1:6" ht="15.75" customHeight="1">
      <c r="A17374" s="8" t="str">
        <f ca="1">IFERROR(__xludf.DUMMYFUNCTION("GOOGLETRANSLATE(B32597,""en"",""pt"")"),"Nirmal")</f>
        <v>Nirmal</v>
      </c>
      <c r="B17374" s="11" t="s">
        <v>12665</v>
      </c>
      <c r="C17374" s="11" t="s">
        <v>10178</v>
      </c>
      <c r="D17374" s="11" t="s">
        <v>10187</v>
      </c>
      <c r="E17374" s="10">
        <v>1261288</v>
      </c>
      <c r="F17374" s="4" t="str">
        <f>IF(B17374=B17373,"",B17374)</f>
        <v/>
      </c>
    </row>
    <row r="17375" spans="1:6" ht="15.75" customHeight="1">
      <c r="A17375" s="15" t="s">
        <v>12663</v>
      </c>
      <c r="B17375" s="15" t="s">
        <v>12664</v>
      </c>
      <c r="C17375" s="15" t="s">
        <v>10178</v>
      </c>
      <c r="D17375" s="15" t="s">
        <v>10317</v>
      </c>
      <c r="E17375" s="2">
        <v>1261285</v>
      </c>
      <c r="F17375" s="4" t="str">
        <f>IF(B17375=B17374,"",B17375)</f>
        <v>NirmÄli</v>
      </c>
    </row>
    <row r="17376" spans="1:6" ht="15.75" customHeight="1">
      <c r="A17376" s="15" t="s">
        <v>30733</v>
      </c>
      <c r="B17376" s="15" t="s">
        <v>30733</v>
      </c>
      <c r="C17376" s="15" t="s">
        <v>5923</v>
      </c>
      <c r="D17376" s="15" t="s">
        <v>30676</v>
      </c>
      <c r="E17376" s="2">
        <v>3631507</v>
      </c>
      <c r="F17376" s="4" t="str">
        <f>IF(B17376=B17375,"",B17376)</f>
        <v>Nirgua</v>
      </c>
    </row>
    <row r="17377" spans="1:6" ht="15.75" customHeight="1">
      <c r="A17377" s="8" t="str">
        <f ca="1">IFERROR(__xludf.DUMMYFUNCTION("GOOGLETRANSLATE(B45641,""en"",""pt"")"),"Nirgua")</f>
        <v>Nirgua</v>
      </c>
      <c r="B17377" s="9" t="s">
        <v>30733</v>
      </c>
      <c r="C17377" s="9" t="s">
        <v>5923</v>
      </c>
      <c r="D17377" s="9" t="s">
        <v>30676</v>
      </c>
      <c r="E17377" s="10">
        <v>3631507</v>
      </c>
      <c r="F17377" s="4" t="str">
        <f>IF(B17377=B17376,"",B17377)</f>
        <v/>
      </c>
    </row>
    <row r="17378" spans="1:6" ht="15.75" customHeight="1">
      <c r="A17378" s="15" t="s">
        <v>16308</v>
      </c>
      <c r="B17378" s="15" t="s">
        <v>16308</v>
      </c>
      <c r="C17378" s="15" t="s">
        <v>15704</v>
      </c>
      <c r="D17378" s="15" t="s">
        <v>15806</v>
      </c>
      <c r="E17378" s="2">
        <v>1855363</v>
      </c>
      <c r="F17378" s="4" t="str">
        <f>IF(B17378=B17377,"",B17378)</f>
        <v>Nirasaki</v>
      </c>
    </row>
    <row r="17379" spans="1:6" ht="15.75" customHeight="1">
      <c r="A17379" s="8" t="str">
        <f ca="1">IFERROR(__xludf.DUMMYFUNCTION("GOOGLETRANSLATE(B35382,""en"",""pt"")"),"Nirasaki")</f>
        <v>Nirasaki</v>
      </c>
      <c r="B17379" s="9" t="s">
        <v>16308</v>
      </c>
      <c r="C17379" s="9" t="s">
        <v>15704</v>
      </c>
      <c r="D17379" s="9" t="s">
        <v>15806</v>
      </c>
      <c r="E17379" s="10">
        <v>1855363</v>
      </c>
      <c r="F17379" s="4" t="str">
        <f>IF(B17379=B17378,"",B17379)</f>
        <v/>
      </c>
    </row>
    <row r="17380" spans="1:6" ht="15.75" customHeight="1">
      <c r="A17380" s="15" t="s">
        <v>5880</v>
      </c>
      <c r="B17380" s="15" t="s">
        <v>5880</v>
      </c>
      <c r="C17380" s="15" t="s">
        <v>5764</v>
      </c>
      <c r="D17380" s="15" t="s">
        <v>5788</v>
      </c>
      <c r="E17380" s="2">
        <v>3545981</v>
      </c>
      <c r="F17380" s="4" t="str">
        <f>IF(B17380=B17379,"",B17380)</f>
        <v>Niquero</v>
      </c>
    </row>
    <row r="17381" spans="1:6" ht="15.75" customHeight="1">
      <c r="A17381" s="8" t="str">
        <f ca="1">IFERROR(__xludf.DUMMYFUNCTION("GOOGLETRANSLATE(B27142,""en"",""pt"")"),"Niquero")</f>
        <v>Niquero</v>
      </c>
      <c r="B17381" s="9" t="s">
        <v>5880</v>
      </c>
      <c r="C17381" s="9" t="s">
        <v>5764</v>
      </c>
      <c r="D17381" s="9" t="s">
        <v>5788</v>
      </c>
      <c r="E17381" s="10">
        <v>3545981</v>
      </c>
      <c r="F17381" s="4" t="str">
        <f>IF(B17381=B17380,"",B17381)</f>
        <v/>
      </c>
    </row>
    <row r="17382" spans="1:6" ht="15.75" customHeight="1">
      <c r="A17382" s="8" t="str">
        <f ca="1">IFERROR(__xludf.DUMMYFUNCTION("GOOGLETRANSLATE(B24785,""en"",""pt"")"),"Niquelândia")</f>
        <v>Niquelândia</v>
      </c>
      <c r="B17382" s="11" t="s">
        <v>31584</v>
      </c>
      <c r="C17382" s="11" t="s">
        <v>1905</v>
      </c>
      <c r="D17382" s="11" t="s">
        <v>31436</v>
      </c>
      <c r="E17382" s="10">
        <v>3456285</v>
      </c>
      <c r="F17382" s="4" t="str">
        <f>IF(B17382=B17381,"",B17382)</f>
        <v>Niquelândia</v>
      </c>
    </row>
    <row r="17383" spans="1:6" ht="15.75" customHeight="1">
      <c r="A17383" s="16" t="s">
        <v>2953</v>
      </c>
      <c r="B17383" s="15" t="s">
        <v>2954</v>
      </c>
      <c r="C17383" s="16" t="s">
        <v>1905</v>
      </c>
      <c r="D17383" s="16" t="s">
        <v>1969</v>
      </c>
      <c r="E17383" s="2">
        <v>3456285</v>
      </c>
      <c r="F17383" s="4" t="str">
        <f>IF(B17383=B17382,"",B17383)</f>
        <v>NiquelÃ¢ndia</v>
      </c>
    </row>
    <row r="17384" spans="1:6" ht="15.75" customHeight="1">
      <c r="A17384" s="15" t="s">
        <v>8935</v>
      </c>
      <c r="B17384" s="15" t="s">
        <v>8935</v>
      </c>
      <c r="C17384" s="15" t="s">
        <v>8028</v>
      </c>
      <c r="D17384" s="15" t="s">
        <v>8029</v>
      </c>
      <c r="E17384" s="2">
        <v>2862375</v>
      </c>
      <c r="F17384" s="4" t="str">
        <f>IF(B17384=B17383,"",B17384)</f>
        <v>Nippes</v>
      </c>
    </row>
    <row r="17385" spans="1:6" ht="15.75" customHeight="1">
      <c r="A17385" s="8" t="str">
        <f ca="1">IFERROR(__xludf.DUMMYFUNCTION("GOOGLETRANSLATE(B27700,""en"",""pt"")"),"Nippes")</f>
        <v>Nippes</v>
      </c>
      <c r="B17385" s="9" t="s">
        <v>8935</v>
      </c>
      <c r="C17385" s="9" t="s">
        <v>8028</v>
      </c>
      <c r="D17385" s="9" t="s">
        <v>8029</v>
      </c>
      <c r="E17385" s="10">
        <v>2862375</v>
      </c>
      <c r="F17385" s="4" t="str">
        <f>IF(B17385=B17384,"",B17385)</f>
        <v/>
      </c>
    </row>
    <row r="17386" spans="1:6" ht="15.75" customHeight="1">
      <c r="A17386" s="15" t="s">
        <v>29440</v>
      </c>
      <c r="B17386" s="15" t="s">
        <v>29440</v>
      </c>
      <c r="C17386" s="15" t="s">
        <v>27788</v>
      </c>
      <c r="D17386" s="15" t="s">
        <v>27801</v>
      </c>
      <c r="E17386" s="2">
        <v>5377100</v>
      </c>
      <c r="F17386" s="4" t="str">
        <f>IF(B17386=B17385,"",B17386)</f>
        <v>Nipomo</v>
      </c>
    </row>
    <row r="17387" spans="1:6" ht="15.75" customHeight="1">
      <c r="A17387" s="8" t="str">
        <f ca="1">IFERROR(__xludf.DUMMYFUNCTION("GOOGLETRANSLATE(B44926,""en"",""pt"")"),"Nipomo")</f>
        <v>Nipomo</v>
      </c>
      <c r="B17387" s="9" t="s">
        <v>29440</v>
      </c>
      <c r="C17387" s="9" t="s">
        <v>27788</v>
      </c>
      <c r="D17387" s="9" t="s">
        <v>27801</v>
      </c>
      <c r="E17387" s="10">
        <v>5377100</v>
      </c>
      <c r="F17387" s="4" t="str">
        <f>IF(B17387=B17386,"",B17387)</f>
        <v/>
      </c>
    </row>
    <row r="17388" spans="1:6" ht="15.75" customHeight="1">
      <c r="A17388" s="8" t="str">
        <f ca="1">IFERROR(__xludf.DUMMYFUNCTION("GOOGLETRANSLATE(B32598,""en"",""pt"")"),"Nipāni")</f>
        <v>Nipāni</v>
      </c>
      <c r="B17388" s="11" t="s">
        <v>33294</v>
      </c>
      <c r="C17388" s="11" t="s">
        <v>10178</v>
      </c>
      <c r="D17388" s="11" t="s">
        <v>10214</v>
      </c>
      <c r="E17388" s="10">
        <v>1261309</v>
      </c>
      <c r="F17388" s="4" t="str">
        <f>IF(B17388=B17387,"",B17388)</f>
        <v>Nipāni</v>
      </c>
    </row>
    <row r="17389" spans="1:6" ht="15.75" customHeight="1">
      <c r="A17389" s="15" t="s">
        <v>12661</v>
      </c>
      <c r="B17389" s="15" t="s">
        <v>12662</v>
      </c>
      <c r="C17389" s="15" t="s">
        <v>10178</v>
      </c>
      <c r="D17389" s="15" t="s">
        <v>10214</v>
      </c>
      <c r="E17389" s="2">
        <v>1261309</v>
      </c>
      <c r="F17389" s="4" t="str">
        <f>IF(B17389=B17388,"",B17389)</f>
        <v>NipÄni</v>
      </c>
    </row>
    <row r="17390" spans="1:6" ht="15.75" customHeight="1">
      <c r="A17390" s="15" t="s">
        <v>7645</v>
      </c>
      <c r="B17390" s="15" t="s">
        <v>7645</v>
      </c>
      <c r="C17390" s="15" t="s">
        <v>7052</v>
      </c>
      <c r="D17390" s="15" t="s">
        <v>7084</v>
      </c>
      <c r="E17390" s="2">
        <v>2990355</v>
      </c>
      <c r="F17390" s="4" t="str">
        <f>IF(B17390=B17389,"",B17390)</f>
        <v>Niort</v>
      </c>
    </row>
    <row r="17391" spans="1:6" ht="15.75" customHeight="1">
      <c r="A17391" s="8" t="str">
        <f ca="1">IFERROR(__xludf.DUMMYFUNCTION("GOOGLETRANSLATE(B29879,""en"",""pt"")"),"Niort")</f>
        <v>Niort</v>
      </c>
      <c r="B17391" s="9" t="s">
        <v>7645</v>
      </c>
      <c r="C17391" s="9" t="s">
        <v>7052</v>
      </c>
      <c r="D17391" s="9" t="s">
        <v>7084</v>
      </c>
      <c r="E17391" s="10">
        <v>2990355</v>
      </c>
      <c r="F17391" s="4" t="str">
        <f>IF(B17391=B17390,"",B17391)</f>
        <v/>
      </c>
    </row>
    <row r="17392" spans="1:6" ht="15.75" customHeight="1">
      <c r="A17392" s="16" t="s">
        <v>23585</v>
      </c>
      <c r="B17392" s="15" t="s">
        <v>23585</v>
      </c>
      <c r="C17392" s="16" t="s">
        <v>23559</v>
      </c>
      <c r="D17392" s="16" t="s">
        <v>23572</v>
      </c>
      <c r="E17392" s="2">
        <v>2247157</v>
      </c>
      <c r="F17392" s="4" t="str">
        <f>IF(B17392=B17391,"",B17392)</f>
        <v>Nioro du Rip</v>
      </c>
    </row>
    <row r="17393" spans="1:6" ht="15.75" customHeight="1">
      <c r="A17393" s="8" t="str">
        <f ca="1">IFERROR(__xludf.DUMMYFUNCTION("GOOGLETRANSLATE(B41296,""en"",""pt"")"),"Nioro du Rip")</f>
        <v>Nioro du Rip</v>
      </c>
      <c r="B17393" s="9" t="s">
        <v>23585</v>
      </c>
      <c r="C17393" s="9" t="s">
        <v>23559</v>
      </c>
      <c r="D17393" s="9" t="s">
        <v>23572</v>
      </c>
      <c r="E17393" s="10">
        <v>2247157</v>
      </c>
      <c r="F17393" s="4" t="str">
        <f>IF(B17393=B17392,"",B17393)</f>
        <v/>
      </c>
    </row>
    <row r="17394" spans="1:6" ht="15.75" customHeight="1">
      <c r="A17394" s="15" t="s">
        <v>6198</v>
      </c>
      <c r="B17394" s="15" t="s">
        <v>6198</v>
      </c>
      <c r="C17394" s="15" t="s">
        <v>6127</v>
      </c>
      <c r="D17394" s="15" t="s">
        <v>6129</v>
      </c>
      <c r="E17394" s="2">
        <v>2311968</v>
      </c>
      <c r="F17394" s="4" t="str">
        <f>IF(B17394=B17393,"",B17394)</f>
        <v>Nioki</v>
      </c>
    </row>
    <row r="17395" spans="1:6" ht="15.75" customHeight="1">
      <c r="A17395" s="8" t="str">
        <f ca="1">IFERROR(__xludf.DUMMYFUNCTION("GOOGLETRANSLATE(B25693,""en"",""pt"")"),"Nioki")</f>
        <v>Nioki</v>
      </c>
      <c r="B17395" s="9" t="s">
        <v>6198</v>
      </c>
      <c r="C17395" s="9" t="s">
        <v>6127</v>
      </c>
      <c r="D17395" s="9" t="s">
        <v>6129</v>
      </c>
      <c r="E17395" s="10">
        <v>2311968</v>
      </c>
      <c r="F17395" s="4" t="str">
        <f>IF(B17395=B17394,"",B17395)</f>
        <v/>
      </c>
    </row>
    <row r="17396" spans="1:6" ht="15.75" customHeight="1">
      <c r="A17396" s="15" t="s">
        <v>1650</v>
      </c>
      <c r="B17396" s="15" t="s">
        <v>1650</v>
      </c>
      <c r="C17396" s="15" t="s">
        <v>1512</v>
      </c>
      <c r="D17396" s="15" t="s">
        <v>1513</v>
      </c>
      <c r="E17396" s="2">
        <v>2790114</v>
      </c>
      <c r="F17396" s="4" t="str">
        <f>IF(B17396=B17395,"",B17396)</f>
        <v>Ninove</v>
      </c>
    </row>
    <row r="17397" spans="1:6" ht="15.75" customHeight="1">
      <c r="A17397" s="8" t="str">
        <f ca="1">IFERROR(__xludf.DUMMYFUNCTION("GOOGLETRANSLATE(B23858,""en"",""pt"")"),"Ninove")</f>
        <v>Ninove</v>
      </c>
      <c r="B17397" s="9" t="s">
        <v>1650</v>
      </c>
      <c r="C17397" s="9" t="s">
        <v>1512</v>
      </c>
      <c r="D17397" s="9" t="s">
        <v>1513</v>
      </c>
      <c r="E17397" s="10">
        <v>2790114</v>
      </c>
      <c r="F17397" s="4" t="str">
        <f>IF(B17397=B17396,"",B17397)</f>
        <v/>
      </c>
    </row>
    <row r="17398" spans="1:6" ht="15.75" customHeight="1">
      <c r="A17398" s="15" t="s">
        <v>16307</v>
      </c>
      <c r="B17398" s="15" t="s">
        <v>16307</v>
      </c>
      <c r="C17398" s="15" t="s">
        <v>15704</v>
      </c>
      <c r="D17398" s="15" t="s">
        <v>15755</v>
      </c>
      <c r="E17398" s="2">
        <v>1855380</v>
      </c>
      <c r="F17398" s="4" t="str">
        <f>IF(B17398=B17397,"",B17398)</f>
        <v>Ninomiya</v>
      </c>
    </row>
    <row r="17399" spans="1:6" ht="15.75" customHeight="1">
      <c r="A17399" s="8" t="str">
        <f ca="1">IFERROR(__xludf.DUMMYFUNCTION("GOOGLETRANSLATE(B35383,""en"",""pt"")"),"Ninomiya")</f>
        <v>Ninomiya</v>
      </c>
      <c r="B17399" s="9" t="s">
        <v>16307</v>
      </c>
      <c r="C17399" s="9" t="s">
        <v>15704</v>
      </c>
      <c r="D17399" s="9" t="s">
        <v>15755</v>
      </c>
      <c r="E17399" s="10">
        <v>1855380</v>
      </c>
      <c r="F17399" s="4" t="str">
        <f>IF(B17399=B17398,"",B17399)</f>
        <v/>
      </c>
    </row>
    <row r="17400" spans="1:6" ht="15.75" customHeight="1">
      <c r="A17400" s="15" t="s">
        <v>4985</v>
      </c>
      <c r="B17400" s="15" t="s">
        <v>4985</v>
      </c>
      <c r="C17400" s="15" t="s">
        <v>4487</v>
      </c>
      <c r="D17400" s="15" t="s">
        <v>4503</v>
      </c>
      <c r="E17400" s="2">
        <v>1799348</v>
      </c>
      <c r="F17400" s="4" t="str">
        <f>IF(B17400=B17399,"",B17400)</f>
        <v>Ningyang</v>
      </c>
    </row>
    <row r="17401" spans="1:6" ht="15.75" customHeight="1">
      <c r="A17401" s="8" t="str">
        <f ca="1">IFERROR(__xludf.DUMMYFUNCTION("GOOGLETRANSLATE(B26328,""en"",""pt"")"),"Ningyang")</f>
        <v>Ningyang</v>
      </c>
      <c r="B17401" s="9" t="s">
        <v>4985</v>
      </c>
      <c r="C17401" s="9" t="s">
        <v>4487</v>
      </c>
      <c r="D17401" s="9" t="s">
        <v>4503</v>
      </c>
      <c r="E17401" s="10">
        <v>1799348</v>
      </c>
      <c r="F17401" s="4" t="str">
        <f>IF(B17401=B17400,"",B17401)</f>
        <v/>
      </c>
    </row>
    <row r="17402" spans="1:6" ht="15.75" customHeight="1">
      <c r="A17402" s="15" t="s">
        <v>4984</v>
      </c>
      <c r="B17402" s="15" t="s">
        <v>4984</v>
      </c>
      <c r="C17402" s="15" t="s">
        <v>4487</v>
      </c>
      <c r="D17402" s="15" t="s">
        <v>4503</v>
      </c>
      <c r="E17402" s="2">
        <v>1799383</v>
      </c>
      <c r="F17402" s="4" t="str">
        <f>IF(B17402=B17401,"",B17402)</f>
        <v>Ninghai</v>
      </c>
    </row>
    <row r="17403" spans="1:6" ht="15.75" customHeight="1">
      <c r="A17403" s="15" t="s">
        <v>4984</v>
      </c>
      <c r="B17403" s="15" t="s">
        <v>4984</v>
      </c>
      <c r="C17403" s="15" t="s">
        <v>4487</v>
      </c>
      <c r="D17403" s="15" t="s">
        <v>4631</v>
      </c>
      <c r="E17403" s="2">
        <v>1799384</v>
      </c>
      <c r="F17403" s="4" t="str">
        <f>IF(B17403=B17402,"",B17403)</f>
        <v/>
      </c>
    </row>
    <row r="17404" spans="1:6" ht="15.75" customHeight="1">
      <c r="A17404" s="8" t="str">
        <f ca="1">IFERROR(__xludf.DUMMYFUNCTION("GOOGLETRANSLATE(B26330,""en"",""pt"")"),"Ninghai")</f>
        <v>Ninghai</v>
      </c>
      <c r="B17404" s="11" t="s">
        <v>4984</v>
      </c>
      <c r="C17404" s="11" t="s">
        <v>4487</v>
      </c>
      <c r="D17404" s="11" t="s">
        <v>4503</v>
      </c>
      <c r="E17404" s="10">
        <v>1799383</v>
      </c>
      <c r="F17404" s="4" t="str">
        <f>IF(B17404=B17403,"",B17404)</f>
        <v/>
      </c>
    </row>
    <row r="17405" spans="1:6" ht="15.75" customHeight="1">
      <c r="A17405" s="8" t="str">
        <f ca="1">IFERROR(__xludf.DUMMYFUNCTION("GOOGLETRANSLATE(B26331,""en"",""pt"")"),"Ninghai")</f>
        <v>Ninghai</v>
      </c>
      <c r="B17405" s="9" t="s">
        <v>4984</v>
      </c>
      <c r="C17405" s="9" t="s">
        <v>4487</v>
      </c>
      <c r="D17405" s="9" t="s">
        <v>4631</v>
      </c>
      <c r="E17405" s="10">
        <v>1799384</v>
      </c>
      <c r="F17405" s="4" t="str">
        <f>IF(B17405=B17404,"",B17405)</f>
        <v/>
      </c>
    </row>
    <row r="17406" spans="1:6" ht="15.75" customHeight="1">
      <c r="A17406" s="15" t="s">
        <v>4983</v>
      </c>
      <c r="B17406" s="15" t="s">
        <v>4983</v>
      </c>
      <c r="C17406" s="15" t="s">
        <v>4487</v>
      </c>
      <c r="D17406" s="15" t="s">
        <v>4591</v>
      </c>
      <c r="E17406" s="2">
        <v>1806097</v>
      </c>
      <c r="F17406" s="4" t="str">
        <f>IF(B17406=B17405,"",B17406)</f>
        <v>Ningde</v>
      </c>
    </row>
    <row r="17407" spans="1:6" ht="15.75" customHeight="1">
      <c r="A17407" s="8" t="str">
        <f ca="1">IFERROR(__xludf.DUMMYFUNCTION("GOOGLETRANSLATE(B26456,""en"",""pt"")"),"Ningde")</f>
        <v>Ningde</v>
      </c>
      <c r="B17407" s="11" t="s">
        <v>4983</v>
      </c>
      <c r="C17407" s="11" t="s">
        <v>4487</v>
      </c>
      <c r="D17407" s="11" t="s">
        <v>4591</v>
      </c>
      <c r="E17407" s="10">
        <v>1806097</v>
      </c>
      <c r="F17407" s="4" t="str">
        <f>IF(B17407=B17406,"",B17407)</f>
        <v/>
      </c>
    </row>
    <row r="17408" spans="1:6" ht="15.75" customHeight="1">
      <c r="A17408" s="15" t="s">
        <v>4982</v>
      </c>
      <c r="B17408" s="15" t="s">
        <v>4982</v>
      </c>
      <c r="C17408" s="15" t="s">
        <v>4487</v>
      </c>
      <c r="D17408" s="15" t="s">
        <v>4631</v>
      </c>
      <c r="E17408" s="2">
        <v>1799397</v>
      </c>
      <c r="F17408" s="4" t="str">
        <f>IF(B17408=B17407,"",B17408)</f>
        <v>Ningbo</v>
      </c>
    </row>
    <row r="17409" spans="1:6" ht="15.75" customHeight="1">
      <c r="A17409" s="8" t="str">
        <f ca="1">IFERROR(__xludf.DUMMYFUNCTION("GOOGLETRANSLATE(B26332,""en"",""pt"")"),"Ningbo")</f>
        <v>Ningbo</v>
      </c>
      <c r="B17409" s="9" t="s">
        <v>4982</v>
      </c>
      <c r="C17409" s="9" t="s">
        <v>4487</v>
      </c>
      <c r="D17409" s="9" t="s">
        <v>4631</v>
      </c>
      <c r="E17409" s="10">
        <v>1799397</v>
      </c>
      <c r="F17409" s="4" t="str">
        <f>IF(B17409=B17408,"",B17409)</f>
        <v/>
      </c>
    </row>
    <row r="17410" spans="1:6" ht="15.75" customHeight="1">
      <c r="A17410" s="8" t="str">
        <f ca="1">IFERROR(__xludf.DUMMYFUNCTION("GOOGLETRANSLATE(B29880,""en"",""pt"")"),"Nîmes")</f>
        <v>Nîmes</v>
      </c>
      <c r="B17410" s="11" t="s">
        <v>32572</v>
      </c>
      <c r="C17410" s="11" t="s">
        <v>7052</v>
      </c>
      <c r="D17410" s="11" t="s">
        <v>32547</v>
      </c>
      <c r="E17410" s="10">
        <v>2990363</v>
      </c>
      <c r="F17410" s="4" t="str">
        <f>IF(B17410=B17409,"",B17410)</f>
        <v>Nîmes</v>
      </c>
    </row>
    <row r="17411" spans="1:6" ht="15.75" customHeight="1">
      <c r="A17411" s="8" t="str">
        <f ca="1">IFERROR(__xludf.DUMMYFUNCTION("GOOGLETRANSLATE(B32600,""en"",""pt"")"),"Nīmbāhera")</f>
        <v>Nīmbāhera</v>
      </c>
      <c r="B17411" s="9" t="s">
        <v>33295</v>
      </c>
      <c r="C17411" s="9" t="s">
        <v>10178</v>
      </c>
      <c r="D17411" s="9" t="s">
        <v>10179</v>
      </c>
      <c r="E17411" s="10">
        <v>1261369</v>
      </c>
      <c r="F17411" s="4" t="str">
        <f>IF(B17411=B17410,"",B17411)</f>
        <v>Nīmbāhera</v>
      </c>
    </row>
    <row r="17412" spans="1:6" ht="15.75" customHeight="1">
      <c r="A17412" s="8" t="str">
        <f ca="1">IFERROR(__xludf.DUMMYFUNCTION("GOOGLETRANSLATE(B32601,""en"",""pt"")"),"Nimāparha")</f>
        <v>Nimāparha</v>
      </c>
      <c r="B17412" s="11" t="s">
        <v>33296</v>
      </c>
      <c r="C17412" s="11" t="s">
        <v>10178</v>
      </c>
      <c r="D17412" s="11" t="s">
        <v>10229</v>
      </c>
      <c r="E17412" s="10">
        <v>1261375</v>
      </c>
      <c r="F17412" s="4" t="str">
        <f>IF(B17412=B17411,"",B17412)</f>
        <v>Nimāparha</v>
      </c>
    </row>
    <row r="17413" spans="1:6" ht="15.75" customHeight="1">
      <c r="A17413" s="8" t="str">
        <f ca="1">IFERROR(__xludf.DUMMYFUNCTION("GOOGLETRANSLATE(B32602,""en"",""pt"")"),"Nīmāj")</f>
        <v>Nīmāj</v>
      </c>
      <c r="B17413" s="9" t="s">
        <v>33297</v>
      </c>
      <c r="C17413" s="9" t="s">
        <v>10178</v>
      </c>
      <c r="D17413" s="9" t="s">
        <v>10179</v>
      </c>
      <c r="E17413" s="10">
        <v>1261378</v>
      </c>
      <c r="F17413" s="4" t="str">
        <f>IF(B17413=B17412,"",B17413)</f>
        <v>Nīmāj</v>
      </c>
    </row>
    <row r="17414" spans="1:6" ht="15.75" customHeight="1">
      <c r="A17414" s="16" t="s">
        <v>12659</v>
      </c>
      <c r="B17414" s="15" t="s">
        <v>12660</v>
      </c>
      <c r="C17414" s="16" t="s">
        <v>10178</v>
      </c>
      <c r="D17414" s="16" t="s">
        <v>10229</v>
      </c>
      <c r="E17414" s="2">
        <v>1261375</v>
      </c>
      <c r="F17414" s="4" t="str">
        <f>IF(B17414=B17413,"",B17414)</f>
        <v>NimÄparha</v>
      </c>
    </row>
    <row r="17415" spans="1:6" ht="15.75" customHeight="1">
      <c r="A17415" s="8" t="str">
        <f ca="1">IFERROR(__xludf.DUMMYFUNCTION("GOOGLETRANSLATE(B24786,""en"",""pt"")"),"Nilópolis")</f>
        <v>Nilópolis</v>
      </c>
      <c r="B17415" s="9" t="s">
        <v>31585</v>
      </c>
      <c r="C17415" s="9" t="s">
        <v>1905</v>
      </c>
      <c r="D17415" s="9" t="s">
        <v>1978</v>
      </c>
      <c r="E17415" s="10">
        <v>3456290</v>
      </c>
      <c r="F17415" s="4" t="str">
        <f>IF(B17415=B17414,"",B17415)</f>
        <v>Nilópolis</v>
      </c>
    </row>
    <row r="17416" spans="1:6" ht="15.75" customHeight="1">
      <c r="A17416" s="8" t="str">
        <f ca="1">IFERROR(__xludf.DUMMYFUNCTION("GOOGLETRANSLATE(B32603,""en"",""pt"")"),"Nīlokheri")</f>
        <v>Nīlokheri</v>
      </c>
      <c r="B17416" s="11" t="s">
        <v>33298</v>
      </c>
      <c r="C17416" s="11" t="s">
        <v>10178</v>
      </c>
      <c r="D17416" s="11" t="s">
        <v>10224</v>
      </c>
      <c r="E17416" s="10">
        <v>1261382</v>
      </c>
      <c r="F17416" s="4" t="str">
        <f>IF(B17416=B17415,"",B17416)</f>
        <v>Nīlokheri</v>
      </c>
    </row>
    <row r="17417" spans="1:6" ht="15.75" customHeight="1">
      <c r="A17417" s="8" t="str">
        <f ca="1">IFERROR(__xludf.DUMMYFUNCTION("GOOGLETRANSLATE(B32607,""en"",""pt"")"),"Nīlgiri")</f>
        <v>Nīlgiri</v>
      </c>
      <c r="B17417" s="9" t="s">
        <v>33300</v>
      </c>
      <c r="C17417" s="9" t="s">
        <v>10178</v>
      </c>
      <c r="D17417" s="9" t="s">
        <v>10229</v>
      </c>
      <c r="E17417" s="10">
        <v>1261402</v>
      </c>
      <c r="F17417" s="4" t="str">
        <f>IF(B17417=B17416,"",B17417)</f>
        <v>Nīlgiri</v>
      </c>
    </row>
    <row r="17418" spans="1:6" ht="15.75" customHeight="1">
      <c r="A17418" s="8" t="str">
        <f ca="1">IFERROR(__xludf.DUMMYFUNCTION("GOOGLETRANSLATE(B32604,""en"",""pt"")"),"Nīlēshwar")</f>
        <v>Nīlēshwar</v>
      </c>
      <c r="B17418" s="11" t="s">
        <v>33299</v>
      </c>
      <c r="C17418" s="11" t="s">
        <v>10178</v>
      </c>
      <c r="D17418" s="11" t="s">
        <v>10246</v>
      </c>
      <c r="E17418" s="10">
        <v>1261394</v>
      </c>
      <c r="F17418" s="4" t="str">
        <f>IF(B17418=B17417,"",B17418)</f>
        <v>Nīlēshwar</v>
      </c>
    </row>
    <row r="17419" spans="1:6" ht="15.75" customHeight="1">
      <c r="A17419" s="15" t="s">
        <v>29439</v>
      </c>
      <c r="B17419" s="15" t="s">
        <v>29439</v>
      </c>
      <c r="C17419" s="15" t="s">
        <v>27788</v>
      </c>
      <c r="D17419" s="15" t="s">
        <v>27799</v>
      </c>
      <c r="E17419" s="2">
        <v>4903730</v>
      </c>
      <c r="F17419" s="4" t="str">
        <f>IF(B17419=B17418,"",B17419)</f>
        <v>Niles</v>
      </c>
    </row>
    <row r="17420" spans="1:6" ht="15.75" customHeight="1">
      <c r="A17420" s="15" t="s">
        <v>29439</v>
      </c>
      <c r="B17420" s="15" t="s">
        <v>29439</v>
      </c>
      <c r="C17420" s="15" t="s">
        <v>27788</v>
      </c>
      <c r="D17420" s="15" t="s">
        <v>27813</v>
      </c>
      <c r="E17420" s="2">
        <v>5164582</v>
      </c>
      <c r="F17420" s="4" t="str">
        <f>IF(B17420=B17419,"",B17420)</f>
        <v/>
      </c>
    </row>
    <row r="17421" spans="1:6" ht="15.75" customHeight="1">
      <c r="A17421" s="8" t="str">
        <f ca="1">IFERROR(__xludf.DUMMYFUNCTION("GOOGLETRANSLATE(B43854,""en"",""pt"")"),"Niles")</f>
        <v>Niles</v>
      </c>
      <c r="B17421" s="9" t="s">
        <v>29439</v>
      </c>
      <c r="C17421" s="9" t="s">
        <v>27788</v>
      </c>
      <c r="D17421" s="9" t="s">
        <v>27799</v>
      </c>
      <c r="E17421" s="10">
        <v>4903730</v>
      </c>
      <c r="F17421" s="4" t="str">
        <f>IF(B17421=B17420,"",B17421)</f>
        <v/>
      </c>
    </row>
    <row r="17422" spans="1:6" ht="15.75" customHeight="1">
      <c r="A17422" s="8" t="str">
        <f ca="1">IFERROR(__xludf.DUMMYFUNCTION("GOOGLETRANSLATE(B44525,""en"",""pt"")"),"Niles")</f>
        <v>Niles</v>
      </c>
      <c r="B17422" s="11" t="s">
        <v>29439</v>
      </c>
      <c r="C17422" s="11" t="s">
        <v>27788</v>
      </c>
      <c r="D17422" s="11" t="s">
        <v>27813</v>
      </c>
      <c r="E17422" s="10">
        <v>5164582</v>
      </c>
      <c r="F17422" s="4" t="str">
        <f>IF(B17422=B17421,"",B17422)</f>
        <v/>
      </c>
    </row>
    <row r="17423" spans="1:6" ht="15.75" customHeight="1">
      <c r="A17423" s="15" t="s">
        <v>12658</v>
      </c>
      <c r="B17423" s="15" t="s">
        <v>12658</v>
      </c>
      <c r="C17423" s="15" t="s">
        <v>10178</v>
      </c>
      <c r="D17423" s="15" t="s">
        <v>10214</v>
      </c>
      <c r="E17423" s="2">
        <v>1261396</v>
      </c>
      <c r="F17423" s="4" t="str">
        <f>IF(B17423=B17422,"",B17423)</f>
        <v>Nilanga</v>
      </c>
    </row>
    <row r="17424" spans="1:6" ht="15.75" customHeight="1">
      <c r="A17424" s="8" t="str">
        <f ca="1">IFERROR(__xludf.DUMMYFUNCTION("GOOGLETRANSLATE(B32605,""en"",""pt"")"),"Nilanga")</f>
        <v>Nilanga</v>
      </c>
      <c r="B17424" s="11" t="s">
        <v>12658</v>
      </c>
      <c r="C17424" s="11" t="s">
        <v>10178</v>
      </c>
      <c r="D17424" s="11" t="s">
        <v>10214</v>
      </c>
      <c r="E17424" s="10">
        <v>1261396</v>
      </c>
      <c r="F17424" s="4" t="str">
        <f>IF(B17424=B17423,"",B17424)</f>
        <v/>
      </c>
    </row>
    <row r="17425" spans="1:6" ht="15.75" customHeight="1">
      <c r="A17425" s="15" t="s">
        <v>12657</v>
      </c>
      <c r="B17425" s="15" t="s">
        <v>12657</v>
      </c>
      <c r="C17425" s="15" t="s">
        <v>10178</v>
      </c>
      <c r="D17425" s="15" t="s">
        <v>10196</v>
      </c>
      <c r="E17425" s="2">
        <v>1261401</v>
      </c>
      <c r="F17425" s="4" t="str">
        <f>IF(B17425=B17424,"",B17425)</f>
        <v>Nilakottai</v>
      </c>
    </row>
    <row r="17426" spans="1:6" ht="15.75" customHeight="1">
      <c r="A17426" s="8" t="str">
        <f ca="1">IFERROR(__xludf.DUMMYFUNCTION("GOOGLETRANSLATE(B32606,""en"",""pt"")"),"Nilakottai")</f>
        <v>Nilakottai</v>
      </c>
      <c r="B17426" s="11" t="s">
        <v>12657</v>
      </c>
      <c r="C17426" s="11" t="s">
        <v>10178</v>
      </c>
      <c r="D17426" s="11" t="s">
        <v>10196</v>
      </c>
      <c r="E17426" s="10">
        <v>1261401</v>
      </c>
      <c r="F17426" s="4" t="str">
        <f>IF(B17426=B17425,"",B17426)</f>
        <v/>
      </c>
    </row>
    <row r="17427" spans="1:6" ht="15.75" customHeight="1">
      <c r="A17427" s="16" t="s">
        <v>2951</v>
      </c>
      <c r="B17427" s="15" t="s">
        <v>2952</v>
      </c>
      <c r="C17427" s="16" t="s">
        <v>1905</v>
      </c>
      <c r="D17427" s="16" t="s">
        <v>1978</v>
      </c>
      <c r="E17427" s="2">
        <v>3456290</v>
      </c>
      <c r="F17427" s="4" t="str">
        <f>IF(B17427=B17426,"",B17427)</f>
        <v>NilÃ³polis</v>
      </c>
    </row>
    <row r="17428" spans="1:6" ht="15.75" customHeight="1">
      <c r="A17428" s="15" t="s">
        <v>22814</v>
      </c>
      <c r="B17428" s="15" t="s">
        <v>22814</v>
      </c>
      <c r="C17428" s="15" t="s">
        <v>22070</v>
      </c>
      <c r="D17428" s="15" t="s">
        <v>22127</v>
      </c>
      <c r="E17428" s="2">
        <v>521416</v>
      </c>
      <c r="F17428" s="4" t="str">
        <f>IF(B17428=B17427,"",B17428)</f>
        <v>Nikulino</v>
      </c>
    </row>
    <row r="17429" spans="1:6" ht="15.75" customHeight="1">
      <c r="A17429" s="8" t="str">
        <f ca="1">IFERROR(__xludf.DUMMYFUNCTION("GOOGLETRANSLATE(B40280,""en"",""pt"")"),"Nikulino")</f>
        <v>Nikulino</v>
      </c>
      <c r="B17429" s="9" t="s">
        <v>22814</v>
      </c>
      <c r="C17429" s="9" t="s">
        <v>22070</v>
      </c>
      <c r="D17429" s="9" t="s">
        <v>22127</v>
      </c>
      <c r="E17429" s="10">
        <v>521416</v>
      </c>
      <c r="F17429" s="4" t="str">
        <f>IF(B17429=B17428,"",B17429)</f>
        <v/>
      </c>
    </row>
    <row r="17430" spans="1:6" ht="15.75" customHeight="1">
      <c r="A17430" s="8" t="str">
        <f ca="1">IFERROR(__xludf.DUMMYFUNCTION("GOOGLETRANSLATE(B36548,""en"",""pt"")"),"Nikšić")</f>
        <v>Nikšić</v>
      </c>
      <c r="B17430" s="11" t="s">
        <v>34612</v>
      </c>
      <c r="C17430" s="11" t="s">
        <v>2921</v>
      </c>
      <c r="D17430" s="11" t="s">
        <v>34613</v>
      </c>
      <c r="E17430" s="10">
        <v>3194494</v>
      </c>
      <c r="F17430" s="4" t="str">
        <f>IF(B17430=B17429,"",B17430)</f>
        <v>Nikšić</v>
      </c>
    </row>
    <row r="17431" spans="1:6" ht="15.75" customHeight="1">
      <c r="A17431" s="15" t="s">
        <v>26650</v>
      </c>
      <c r="B17431" s="15" t="s">
        <v>26650</v>
      </c>
      <c r="C17431" s="15" t="s">
        <v>26201</v>
      </c>
      <c r="D17431" s="15" t="s">
        <v>26474</v>
      </c>
      <c r="E17431" s="2">
        <v>741304</v>
      </c>
      <c r="F17431" s="4" t="str">
        <f>IF(B17431=B17430,"",B17431)</f>
        <v>Niksar</v>
      </c>
    </row>
    <row r="17432" spans="1:6" ht="15.75" customHeight="1">
      <c r="A17432" s="8" t="str">
        <f ca="1">IFERROR(__xludf.DUMMYFUNCTION("GOOGLETRANSLATE(B42131,""en"",""pt"")"),"Niksar")</f>
        <v>Niksar</v>
      </c>
      <c r="B17432" s="11" t="s">
        <v>26650</v>
      </c>
      <c r="C17432" s="11" t="s">
        <v>26201</v>
      </c>
      <c r="D17432" s="11" t="s">
        <v>26474</v>
      </c>
      <c r="E17432" s="10">
        <v>741304</v>
      </c>
      <c r="F17432" s="4" t="str">
        <f>IF(B17432=B17431,"",B17432)</f>
        <v/>
      </c>
    </row>
    <row r="17433" spans="1:6" ht="15.75" customHeight="1">
      <c r="A17433" s="16" t="s">
        <v>27079</v>
      </c>
      <c r="B17433" s="15" t="s">
        <v>27080</v>
      </c>
      <c r="C17433" s="16" t="s">
        <v>26870</v>
      </c>
      <c r="D17433" s="16" t="s">
        <v>26878</v>
      </c>
      <c r="E17433" s="2">
        <v>700051</v>
      </c>
      <c r="F17433" s="4" t="str">
        <f>IF(B17433=B17432,"",B17433)</f>
        <v>Nikopolâ€™</v>
      </c>
    </row>
    <row r="17434" spans="1:6" ht="15.75" customHeight="1">
      <c r="A17434" s="8" t="str">
        <f ca="1">IFERROR(__xludf.DUMMYFUNCTION("GOOGLETRANSLATE(B42571,""en"",""pt"")"),"Nikopol '")</f>
        <v>Nikopol '</v>
      </c>
      <c r="B17434" s="11" t="s">
        <v>36009</v>
      </c>
      <c r="C17434" s="11" t="s">
        <v>26870</v>
      </c>
      <c r="D17434" s="11" t="s">
        <v>26878</v>
      </c>
      <c r="E17434" s="10">
        <v>700051</v>
      </c>
      <c r="F17434" s="4" t="str">
        <f>IF(B17434=B17433,"",B17434)</f>
        <v>Nikopol’</v>
      </c>
    </row>
    <row r="17435" spans="1:6" ht="15.75" customHeight="1">
      <c r="A17435" s="16" t="s">
        <v>22812</v>
      </c>
      <c r="B17435" s="15" t="s">
        <v>22813</v>
      </c>
      <c r="C17435" s="16" t="s">
        <v>22070</v>
      </c>
      <c r="D17435" s="16" t="s">
        <v>22131</v>
      </c>
      <c r="E17435" s="2">
        <v>2122850</v>
      </c>
      <c r="F17435" s="4" t="str">
        <f>IF(B17435=B17434,"",B17435)</f>
        <v>Nikolayevsk-on-Amure</v>
      </c>
    </row>
    <row r="17436" spans="1:6" ht="15.75" customHeight="1">
      <c r="A17436" s="8" t="str">
        <f ca="1">IFERROR(__xludf.DUMMYFUNCTION("GOOGLETRANSLATE(B40961,""en"",""pt"")"),"Nikolayevsk-on-amure")</f>
        <v>Nikolayevsk-on-amure</v>
      </c>
      <c r="B17436" s="11" t="s">
        <v>22813</v>
      </c>
      <c r="C17436" s="11" t="s">
        <v>22070</v>
      </c>
      <c r="D17436" s="11" t="s">
        <v>22131</v>
      </c>
      <c r="E17436" s="10">
        <v>2122850</v>
      </c>
      <c r="F17436" s="4" t="str">
        <f>IF(B17436=B17435,"",B17436)</f>
        <v/>
      </c>
    </row>
    <row r="17437" spans="1:6" ht="15.75" customHeight="1">
      <c r="A17437" s="16" t="s">
        <v>22811</v>
      </c>
      <c r="B17437" s="15" t="s">
        <v>22811</v>
      </c>
      <c r="C17437" s="16" t="s">
        <v>22070</v>
      </c>
      <c r="D17437" s="16" t="s">
        <v>22351</v>
      </c>
      <c r="E17437" s="2">
        <v>521874</v>
      </c>
      <c r="F17437" s="4" t="str">
        <f>IF(B17437=B17436,"",B17437)</f>
        <v>Nikolayevsk</v>
      </c>
    </row>
    <row r="17438" spans="1:6" ht="15.75" customHeight="1">
      <c r="A17438" s="8" t="str">
        <f ca="1">IFERROR(__xludf.DUMMYFUNCTION("GOOGLETRANSLATE(B40284,""en"",""pt"")"),"Nikolayevsk")</f>
        <v>Nikolayevsk</v>
      </c>
      <c r="B17438" s="11" t="s">
        <v>22811</v>
      </c>
      <c r="C17438" s="11" t="s">
        <v>22070</v>
      </c>
      <c r="D17438" s="11" t="s">
        <v>22351</v>
      </c>
      <c r="E17438" s="10">
        <v>521874</v>
      </c>
      <c r="F17438" s="4" t="str">
        <f>IF(B17438=B17437,"",B17438)</f>
        <v/>
      </c>
    </row>
    <row r="17439" spans="1:6" ht="15.75" customHeight="1">
      <c r="A17439" s="16" t="s">
        <v>8934</v>
      </c>
      <c r="B17439" s="15" t="s">
        <v>8934</v>
      </c>
      <c r="C17439" s="16" t="s">
        <v>8028</v>
      </c>
      <c r="D17439" s="16" t="s">
        <v>8036</v>
      </c>
      <c r="E17439" s="2">
        <v>2862423</v>
      </c>
      <c r="F17439" s="4" t="str">
        <f>IF(B17439=B17438,"",B17439)</f>
        <v>Nikolassee</v>
      </c>
    </row>
    <row r="17440" spans="1:6" ht="15.75" customHeight="1">
      <c r="A17440" s="8" t="str">
        <f ca="1">IFERROR(__xludf.DUMMYFUNCTION("GOOGLETRANSLATE(B27701,""en"",""pt"")"),"Nikolassee")</f>
        <v>Nikolassee</v>
      </c>
      <c r="B17440" s="9" t="s">
        <v>8934</v>
      </c>
      <c r="C17440" s="9" t="s">
        <v>8028</v>
      </c>
      <c r="D17440" s="9" t="s">
        <v>8036</v>
      </c>
      <c r="E17440" s="10">
        <v>2862423</v>
      </c>
      <c r="F17440" s="4" t="str">
        <f>IF(B17440=B17439,"",B17440)</f>
        <v/>
      </c>
    </row>
    <row r="17441" spans="1:6" ht="15.75" customHeight="1">
      <c r="A17441" s="16" t="s">
        <v>22809</v>
      </c>
      <c r="B17441" s="15" t="s">
        <v>22810</v>
      </c>
      <c r="C17441" s="16" t="s">
        <v>22070</v>
      </c>
      <c r="D17441" s="16" t="s">
        <v>22127</v>
      </c>
      <c r="E17441" s="2">
        <v>521500</v>
      </c>
      <c r="F17441" s="4" t="str">
        <f>IF(B17441=B17440,"",B17441)</f>
        <v>Nikolâ€™skoye</v>
      </c>
    </row>
    <row r="17442" spans="1:6" ht="15.75" customHeight="1">
      <c r="A17442" s="16" t="s">
        <v>22809</v>
      </c>
      <c r="B17442" s="15" t="s">
        <v>22810</v>
      </c>
      <c r="C17442" s="16" t="s">
        <v>22070</v>
      </c>
      <c r="D17442" s="16" t="s">
        <v>22094</v>
      </c>
      <c r="E17442" s="2">
        <v>521509</v>
      </c>
      <c r="F17442" s="4" t="str">
        <f>IF(B17442=B17441,"",B17442)</f>
        <v/>
      </c>
    </row>
    <row r="17443" spans="1:6" ht="15.75" customHeight="1">
      <c r="A17443" s="15" t="s">
        <v>22807</v>
      </c>
      <c r="B17443" s="15" t="s">
        <v>22808</v>
      </c>
      <c r="C17443" s="15" t="s">
        <v>22070</v>
      </c>
      <c r="D17443" s="15" t="s">
        <v>22649</v>
      </c>
      <c r="E17443" s="2">
        <v>521776</v>
      </c>
      <c r="F17443" s="4" t="str">
        <f>IF(B17443=B17442,"",B17443)</f>
        <v>Nikolâ€™sk</v>
      </c>
    </row>
    <row r="17444" spans="1:6" ht="15.75" customHeight="1">
      <c r="A17444" s="8" t="str">
        <f ca="1">IFERROR(__xludf.DUMMYFUNCTION("GOOGLETRANSLATE(B40281,""en"",""pt"")"),"Nikol'skoye")</f>
        <v>Nikol'skoye</v>
      </c>
      <c r="B17444" s="11" t="s">
        <v>35484</v>
      </c>
      <c r="C17444" s="11" t="s">
        <v>22070</v>
      </c>
      <c r="D17444" s="11" t="s">
        <v>22127</v>
      </c>
      <c r="E17444" s="10">
        <v>521500</v>
      </c>
      <c r="F17444" s="4" t="str">
        <f>IF(B17444=B17443,"",B17444)</f>
        <v>Nikol’skoye</v>
      </c>
    </row>
    <row r="17445" spans="1:6" ht="15.75" customHeight="1">
      <c r="A17445" s="8" t="str">
        <f ca="1">IFERROR(__xludf.DUMMYFUNCTION("GOOGLETRANSLATE(B40282,""en"",""pt"")"),"Nikol'skoye")</f>
        <v>Nikol'skoye</v>
      </c>
      <c r="B17445" s="11" t="s">
        <v>35484</v>
      </c>
      <c r="C17445" s="11" t="s">
        <v>22070</v>
      </c>
      <c r="D17445" s="11" t="s">
        <v>22094</v>
      </c>
      <c r="E17445" s="10">
        <v>521509</v>
      </c>
      <c r="F17445" s="4" t="str">
        <f>IF(B17445=B17444,"",B17445)</f>
        <v/>
      </c>
    </row>
    <row r="17446" spans="1:6" ht="15.75" customHeight="1">
      <c r="A17446" s="8" t="str">
        <f ca="1">IFERROR(__xludf.DUMMYFUNCTION("GOOGLETRANSLATE(B40283,""en"",""pt"")"),"Nikol'sk")</f>
        <v>Nikol'sk</v>
      </c>
      <c r="B17446" s="9" t="s">
        <v>35485</v>
      </c>
      <c r="C17446" s="9" t="s">
        <v>22070</v>
      </c>
      <c r="D17446" s="9" t="s">
        <v>22649</v>
      </c>
      <c r="E17446" s="10">
        <v>521776</v>
      </c>
      <c r="F17446" s="4" t="str">
        <f>IF(B17446=B17445,"",B17446)</f>
        <v>Nikol’sk</v>
      </c>
    </row>
    <row r="17447" spans="1:6" ht="15.75" customHeight="1">
      <c r="A17447" s="8" t="str">
        <f ca="1">IFERROR(__xludf.DUMMYFUNCTION("GOOGLETRANSLATE(B35384,""en"",""pt"")"),"Nikkō")</f>
        <v>Nikkō</v>
      </c>
      <c r="B17447" s="9" t="s">
        <v>34340</v>
      </c>
      <c r="C17447" s="9" t="s">
        <v>15704</v>
      </c>
      <c r="D17447" s="9" t="s">
        <v>15799</v>
      </c>
      <c r="E17447" s="10">
        <v>1855395</v>
      </c>
      <c r="F17447" s="4" t="str">
        <f>IF(B17447=B17446,"",B17447)</f>
        <v>Nikkō</v>
      </c>
    </row>
    <row r="17448" spans="1:6" ht="15.75" customHeight="1">
      <c r="A17448" s="15" t="s">
        <v>1777</v>
      </c>
      <c r="B17448" s="15" t="s">
        <v>1777</v>
      </c>
      <c r="C17448" s="15" t="s">
        <v>1741</v>
      </c>
      <c r="D17448" s="15" t="s">
        <v>1755</v>
      </c>
      <c r="E17448" s="2">
        <v>2392505</v>
      </c>
      <c r="F17448" s="4" t="str">
        <f>IF(B17448=B17447,"",B17448)</f>
        <v>Nikki</v>
      </c>
    </row>
    <row r="17449" spans="1:6" ht="15.75" customHeight="1">
      <c r="A17449" s="8" t="str">
        <f ca="1">IFERROR(__xludf.DUMMYFUNCTION("GOOGLETRANSLATE(B24089,""en"",""pt"")"),"Nikki")</f>
        <v>Nikki</v>
      </c>
      <c r="B17449" s="11" t="s">
        <v>1777</v>
      </c>
      <c r="C17449" s="11" t="s">
        <v>1741</v>
      </c>
      <c r="D17449" s="11" t="s">
        <v>1755</v>
      </c>
      <c r="E17449" s="10">
        <v>2392505</v>
      </c>
      <c r="F17449" s="4" t="str">
        <f>IF(B17449=B17448,"",B17449)</f>
        <v/>
      </c>
    </row>
    <row r="17450" spans="1:6" ht="15.75" customHeight="1">
      <c r="A17450" s="15" t="s">
        <v>16305</v>
      </c>
      <c r="B17450" s="15" t="s">
        <v>16306</v>
      </c>
      <c r="C17450" s="15" t="s">
        <v>15704</v>
      </c>
      <c r="D17450" s="15" t="s">
        <v>15799</v>
      </c>
      <c r="E17450" s="2">
        <v>1855395</v>
      </c>
      <c r="F17450" s="4" t="str">
        <f>IF(B17450=B17449,"",B17450)</f>
        <v>NikkÅ</v>
      </c>
    </row>
    <row r="17451" spans="1:6" ht="15.75" customHeight="1">
      <c r="A17451" s="15" t="s">
        <v>22805</v>
      </c>
      <c r="B17451" s="15" t="s">
        <v>22806</v>
      </c>
      <c r="C17451" s="15" t="s">
        <v>22070</v>
      </c>
      <c r="D17451" s="15" t="s">
        <v>22143</v>
      </c>
      <c r="E17451" s="2">
        <v>522260</v>
      </c>
      <c r="F17451" s="4" t="str">
        <f>IF(B17451=B17450,"",B17451)</f>
        <v>Nikelâ€™</v>
      </c>
    </row>
    <row r="17452" spans="1:6" ht="15.75" customHeight="1">
      <c r="A17452" s="8" t="str">
        <f ca="1">IFERROR(__xludf.DUMMYFUNCTION("GOOGLETRANSLATE(B40285,""en"",""pt"")"),"Nikel '")</f>
        <v>Nikel '</v>
      </c>
      <c r="B17452" s="9" t="s">
        <v>35486</v>
      </c>
      <c r="C17452" s="9" t="s">
        <v>22070</v>
      </c>
      <c r="D17452" s="9" t="s">
        <v>22143</v>
      </c>
      <c r="E17452" s="10">
        <v>522260</v>
      </c>
      <c r="F17452" s="4" t="str">
        <f>IF(B17452=B17451,"",B17452)</f>
        <v>Nikel’</v>
      </c>
    </row>
    <row r="17453" spans="1:6" ht="15.75" customHeight="1">
      <c r="A17453" s="8" t="str">
        <f ca="1">IFERROR(__xludf.DUMMYFUNCTION("GOOGLETRANSLATE(B30971,""en"",""pt"")"),"Níkaia")</f>
        <v>Níkaia</v>
      </c>
      <c r="B17453" s="9" t="s">
        <v>32682</v>
      </c>
      <c r="C17453" s="9" t="s">
        <v>9441</v>
      </c>
      <c r="D17453" s="9" t="s">
        <v>9445</v>
      </c>
      <c r="E17453" s="10">
        <v>256429</v>
      </c>
      <c r="F17453" s="4" t="str">
        <f>IF(B17453=B17452,"",B17453)</f>
        <v>Níkaia</v>
      </c>
    </row>
    <row r="17454" spans="1:6" ht="15.75" customHeight="1">
      <c r="A17454" s="15" t="s">
        <v>18540</v>
      </c>
      <c r="B17454" s="15" t="s">
        <v>18541</v>
      </c>
      <c r="C17454" s="15" t="s">
        <v>2921</v>
      </c>
      <c r="D17454" s="15" t="s">
        <v>18542</v>
      </c>
      <c r="E17454" s="2">
        <v>3194494</v>
      </c>
      <c r="F17454" s="4" t="str">
        <f>IF(B17454=B17453,"",B17454)</f>
        <v>NikÅ¡iÄ‡</v>
      </c>
    </row>
    <row r="17455" spans="1:6" ht="15.75" customHeight="1">
      <c r="A17455" s="15" t="s">
        <v>19049</v>
      </c>
      <c r="B17455" s="15" t="s">
        <v>19049</v>
      </c>
      <c r="C17455" s="15" t="s">
        <v>18862</v>
      </c>
      <c r="D17455" s="15" t="s">
        <v>18865</v>
      </c>
      <c r="E17455" s="2">
        <v>2750053</v>
      </c>
      <c r="F17455" s="4" t="str">
        <f>IF(B17455=B17454,"",B17455)</f>
        <v>Nijmegen</v>
      </c>
    </row>
    <row r="17456" spans="1:6" ht="15.75" customHeight="1">
      <c r="A17456" s="8" t="str">
        <f ca="1">IFERROR(__xludf.DUMMYFUNCTION("GOOGLETRANSLATE(B37988,""en"",""pt"")"),"Nijmegen")</f>
        <v>Nijmegen</v>
      </c>
      <c r="B17456" s="11" t="s">
        <v>19049</v>
      </c>
      <c r="C17456" s="11" t="s">
        <v>18862</v>
      </c>
      <c r="D17456" s="11" t="s">
        <v>18865</v>
      </c>
      <c r="E17456" s="10">
        <v>2750053</v>
      </c>
      <c r="F17456" s="4" t="str">
        <f>IF(B17456=B17455,"",B17456)</f>
        <v/>
      </c>
    </row>
    <row r="17457" spans="1:6" ht="15.75" customHeight="1">
      <c r="A17457" s="15" t="s">
        <v>1649</v>
      </c>
      <c r="B17457" s="15" t="s">
        <v>1649</v>
      </c>
      <c r="C17457" s="15" t="s">
        <v>1512</v>
      </c>
      <c r="D17457" s="15" t="s">
        <v>1513</v>
      </c>
      <c r="E17457" s="2">
        <v>2790135</v>
      </c>
      <c r="F17457" s="4" t="str">
        <f>IF(B17457=B17456,"",B17457)</f>
        <v>Nijlen</v>
      </c>
    </row>
    <row r="17458" spans="1:6" ht="15.75" customHeight="1">
      <c r="A17458" s="8" t="str">
        <f ca="1">IFERROR(__xludf.DUMMYFUNCTION("GOOGLETRANSLATE(B23859,""en"",""pt"")"),"Nijlen")</f>
        <v>Nijlen</v>
      </c>
      <c r="B17458" s="11" t="s">
        <v>1649</v>
      </c>
      <c r="C17458" s="11" t="s">
        <v>1512</v>
      </c>
      <c r="D17458" s="11" t="s">
        <v>1513</v>
      </c>
      <c r="E17458" s="10">
        <v>2790135</v>
      </c>
      <c r="F17458" s="4" t="str">
        <f>IF(B17458=B17457,"",B17458)</f>
        <v/>
      </c>
    </row>
    <row r="17459" spans="1:6" ht="15.75" customHeight="1">
      <c r="A17459" s="15" t="s">
        <v>19048</v>
      </c>
      <c r="B17459" s="15" t="s">
        <v>19048</v>
      </c>
      <c r="C17459" s="15" t="s">
        <v>18862</v>
      </c>
      <c r="D17459" s="15" t="s">
        <v>18865</v>
      </c>
      <c r="E17459" s="2">
        <v>2750065</v>
      </c>
      <c r="F17459" s="4" t="str">
        <f>IF(B17459=B17458,"",B17459)</f>
        <v>Nijkerk</v>
      </c>
    </row>
    <row r="17460" spans="1:6" ht="15.75" customHeight="1">
      <c r="A17460" s="8" t="str">
        <f ca="1">IFERROR(__xludf.DUMMYFUNCTION("GOOGLETRANSLATE(B37989,""en"",""pt"")"),"Nijkerk")</f>
        <v>Nijkerk</v>
      </c>
      <c r="B17460" s="11" t="s">
        <v>19048</v>
      </c>
      <c r="C17460" s="11" t="s">
        <v>18862</v>
      </c>
      <c r="D17460" s="11" t="s">
        <v>18865</v>
      </c>
      <c r="E17460" s="10">
        <v>2750065</v>
      </c>
      <c r="F17460" s="4" t="str">
        <f>IF(B17460=B17459,"",B17460)</f>
        <v/>
      </c>
    </row>
    <row r="17461" spans="1:6" ht="15.75" customHeight="1">
      <c r="A17461" s="8" t="str">
        <f ca="1">IFERROR(__xludf.DUMMYFUNCTION("GOOGLETRANSLATE(B29039,""en"",""pt"")"),"Níjar")</f>
        <v>Níjar</v>
      </c>
      <c r="B17461" s="9" t="s">
        <v>32366</v>
      </c>
      <c r="C17461" s="9" t="s">
        <v>24200</v>
      </c>
      <c r="D17461" s="9" t="s">
        <v>24205</v>
      </c>
      <c r="E17461" s="10">
        <v>2513222</v>
      </c>
      <c r="F17461" s="4" t="str">
        <f>IF(B17461=B17460,"",B17461)</f>
        <v>Níjar</v>
      </c>
    </row>
    <row r="17462" spans="1:6" ht="15.75" customHeight="1">
      <c r="A17462" s="8" t="str">
        <f ca="1">IFERROR(__xludf.DUMMYFUNCTION("GOOGLETRANSLATE(B35385,""en"",""pt"")"),"Niitsu-Honchō")</f>
        <v>Niitsu-Honchō</v>
      </c>
      <c r="B17462" s="11" t="s">
        <v>34341</v>
      </c>
      <c r="C17462" s="11" t="s">
        <v>15704</v>
      </c>
      <c r="D17462" s="11" t="s">
        <v>15818</v>
      </c>
      <c r="E17462" s="10">
        <v>1855410</v>
      </c>
      <c r="F17462" s="4" t="str">
        <f>IF(B17462=B17461,"",B17462)</f>
        <v>Niitsu-honchō</v>
      </c>
    </row>
    <row r="17463" spans="1:6" ht="15.75" customHeight="1">
      <c r="A17463" s="16" t="s">
        <v>16303</v>
      </c>
      <c r="B17463" s="15" t="s">
        <v>16304</v>
      </c>
      <c r="C17463" s="16" t="s">
        <v>15704</v>
      </c>
      <c r="D17463" s="16" t="s">
        <v>15818</v>
      </c>
      <c r="E17463" s="2">
        <v>1855410</v>
      </c>
      <c r="F17463" s="4" t="str">
        <f>IF(B17463=B17462,"",B17463)</f>
        <v>Niitsu-honchÅ</v>
      </c>
    </row>
    <row r="17464" spans="1:6" ht="15.75" customHeight="1">
      <c r="A17464" s="15" t="s">
        <v>16302</v>
      </c>
      <c r="B17464" s="15" t="s">
        <v>16302</v>
      </c>
      <c r="C17464" s="15" t="s">
        <v>15704</v>
      </c>
      <c r="D17464" s="15" t="s">
        <v>15981</v>
      </c>
      <c r="E17464" s="2">
        <v>1855416</v>
      </c>
      <c r="F17464" s="4" t="str">
        <f>IF(B17464=B17463,"",B17464)</f>
        <v>Niimi</v>
      </c>
    </row>
    <row r="17465" spans="1:6" ht="15.75" customHeight="1">
      <c r="A17465" s="8" t="str">
        <f ca="1">IFERROR(__xludf.DUMMYFUNCTION("GOOGLETRANSLATE(B35386,""en"",""pt"")"),"Niimi")</f>
        <v>Niimi</v>
      </c>
      <c r="B17465" s="9" t="s">
        <v>16302</v>
      </c>
      <c r="C17465" s="9" t="s">
        <v>15704</v>
      </c>
      <c r="D17465" s="9" t="s">
        <v>15981</v>
      </c>
      <c r="E17465" s="10">
        <v>1855416</v>
      </c>
      <c r="F17465" s="4" t="str">
        <f>IF(B17465=B17464,"",B17465)</f>
        <v/>
      </c>
    </row>
    <row r="17466" spans="1:6" ht="15.75" customHeight="1">
      <c r="A17466" s="15" t="s">
        <v>16301</v>
      </c>
      <c r="B17466" s="15" t="s">
        <v>16301</v>
      </c>
      <c r="C17466" s="15" t="s">
        <v>15704</v>
      </c>
      <c r="D17466" s="15" t="s">
        <v>15813</v>
      </c>
      <c r="E17466" s="2">
        <v>1855425</v>
      </c>
      <c r="F17466" s="4" t="str">
        <f>IF(B17466=B17465,"",B17466)</f>
        <v>Niihama</v>
      </c>
    </row>
    <row r="17467" spans="1:6" ht="15.75" customHeight="1">
      <c r="A17467" s="8" t="str">
        <f ca="1">IFERROR(__xludf.DUMMYFUNCTION("GOOGLETRANSLATE(B35387,""en"",""pt"")"),"Niihama")</f>
        <v>Niihama</v>
      </c>
      <c r="B17467" s="9" t="s">
        <v>16301</v>
      </c>
      <c r="C17467" s="9" t="s">
        <v>15704</v>
      </c>
      <c r="D17467" s="9" t="s">
        <v>15813</v>
      </c>
      <c r="E17467" s="10">
        <v>1855425</v>
      </c>
      <c r="F17467" s="4" t="str">
        <f>IF(B17467=B17466,"",B17467)</f>
        <v/>
      </c>
    </row>
    <row r="17468" spans="1:6" ht="15.75" customHeight="1">
      <c r="A17468" s="15" t="s">
        <v>15818</v>
      </c>
      <c r="B17468" s="15" t="s">
        <v>15818</v>
      </c>
      <c r="C17468" s="15" t="s">
        <v>15704</v>
      </c>
      <c r="D17468" s="15" t="s">
        <v>15818</v>
      </c>
      <c r="E17468" s="2">
        <v>1855431</v>
      </c>
      <c r="F17468" s="4" t="str">
        <f>IF(B17468=B17467,"",B17468)</f>
        <v>Niigata</v>
      </c>
    </row>
    <row r="17469" spans="1:6" ht="15.75" customHeight="1">
      <c r="A17469" s="8" t="str">
        <f ca="1">IFERROR(__xludf.DUMMYFUNCTION("GOOGLETRANSLATE(B35388,""en"",""pt"")"),"Niigata")</f>
        <v>Niigata</v>
      </c>
      <c r="B17469" s="9" t="s">
        <v>15818</v>
      </c>
      <c r="C17469" s="9" t="s">
        <v>15704</v>
      </c>
      <c r="D17469" s="9" t="s">
        <v>15818</v>
      </c>
      <c r="E17469" s="10">
        <v>1855431</v>
      </c>
      <c r="F17469" s="4" t="str">
        <f>IF(B17469=B17468,"",B17469)</f>
        <v/>
      </c>
    </row>
    <row r="17470" spans="1:6" ht="15.75" customHeight="1">
      <c r="A17470" s="15" t="s">
        <v>12656</v>
      </c>
      <c r="B17470" s="15" t="s">
        <v>12656</v>
      </c>
      <c r="C17470" s="15" t="s">
        <v>10178</v>
      </c>
      <c r="D17470" s="15" t="s">
        <v>10193</v>
      </c>
      <c r="E17470" s="2">
        <v>1261415</v>
      </c>
      <c r="F17470" s="4" t="str">
        <f>IF(B17470=B17469,"",B17470)</f>
        <v>Nihtaur</v>
      </c>
    </row>
    <row r="17471" spans="1:6" ht="15.75" customHeight="1">
      <c r="A17471" s="8" t="str">
        <f ca="1">IFERROR(__xludf.DUMMYFUNCTION("GOOGLETRANSLATE(B32608,""en"",""pt"")"),"Nihtaur")</f>
        <v>Nihtaur</v>
      </c>
      <c r="B17471" s="9" t="s">
        <v>12656</v>
      </c>
      <c r="C17471" s="9" t="s">
        <v>10178</v>
      </c>
      <c r="D17471" s="9" t="s">
        <v>10193</v>
      </c>
      <c r="E17471" s="10">
        <v>1261415</v>
      </c>
      <c r="F17471" s="4" t="str">
        <f>IF(B17471=B17470,"",B17471)</f>
        <v/>
      </c>
    </row>
    <row r="17472" spans="1:6" ht="15.75" customHeight="1">
      <c r="A17472" s="16" t="s">
        <v>16300</v>
      </c>
      <c r="B17472" s="15" t="s">
        <v>16300</v>
      </c>
      <c r="C17472" s="16" t="s">
        <v>15704</v>
      </c>
      <c r="D17472" s="16" t="s">
        <v>15884</v>
      </c>
      <c r="E17472" s="2">
        <v>2111656</v>
      </c>
      <c r="F17472" s="4" t="str">
        <f>IF(B17472=B17471,"",B17472)</f>
        <v>Nihommatsu</v>
      </c>
    </row>
    <row r="17473" spans="1:6" ht="15.75" customHeight="1">
      <c r="A17473" s="8" t="str">
        <f ca="1">IFERROR(__xludf.DUMMYFUNCTION("GOOGLETRANSLATE(B35753,""en"",""pt"")"),"Nihommatsu")</f>
        <v>Nihommatsu</v>
      </c>
      <c r="B17473" s="9" t="s">
        <v>16300</v>
      </c>
      <c r="C17473" s="9" t="s">
        <v>15704</v>
      </c>
      <c r="D17473" s="9" t="s">
        <v>15884</v>
      </c>
      <c r="E17473" s="10">
        <v>2111656</v>
      </c>
      <c r="F17473" s="4" t="str">
        <f>IF(B17473=B17472,"",B17473)</f>
        <v/>
      </c>
    </row>
    <row r="17474" spans="1:6" ht="15.75" customHeight="1">
      <c r="A17474" s="8" t="str">
        <f ca="1">IFERROR(__xludf.DUMMYFUNCTION("GOOGLETRANSLATE(B29342,""en"",""pt"")"),"Nigrán")</f>
        <v>Nigrán</v>
      </c>
      <c r="B17474" s="11" t="s">
        <v>32445</v>
      </c>
      <c r="C17474" s="11" t="s">
        <v>24200</v>
      </c>
      <c r="D17474" s="11" t="s">
        <v>24201</v>
      </c>
      <c r="E17474" s="10">
        <v>3115463</v>
      </c>
      <c r="F17474" s="4" t="str">
        <f>IF(B17474=B17473,"",B17474)</f>
        <v>Nigrán</v>
      </c>
    </row>
    <row r="17475" spans="1:6" ht="15.75" customHeight="1">
      <c r="A17475" s="15" t="s">
        <v>24656</v>
      </c>
      <c r="B17475" s="15" t="s">
        <v>24657</v>
      </c>
      <c r="C17475" s="15" t="s">
        <v>24200</v>
      </c>
      <c r="D17475" s="15" t="s">
        <v>24201</v>
      </c>
      <c r="E17475" s="2">
        <v>3115463</v>
      </c>
      <c r="F17475" s="4" t="str">
        <f>IF(B17475=B17474,"",B17475)</f>
        <v>NigrÃ¡n</v>
      </c>
    </row>
    <row r="17476" spans="1:6" ht="15.75" customHeight="1">
      <c r="A17476" s="15" t="s">
        <v>23944</v>
      </c>
      <c r="B17476" s="15" t="s">
        <v>23944</v>
      </c>
      <c r="C17476" s="15" t="s">
        <v>23842</v>
      </c>
      <c r="D17476" s="15" t="s">
        <v>23855</v>
      </c>
      <c r="E17476" s="2">
        <v>970566</v>
      </c>
      <c r="F17476" s="4" t="str">
        <f>IF(B17476=B17475,"",B17476)</f>
        <v>Nigel</v>
      </c>
    </row>
    <row r="17477" spans="1:6" ht="15.75" customHeight="1">
      <c r="A17477" s="8" t="str">
        <f ca="1">IFERROR(__xludf.DUMMYFUNCTION("GOOGLETRANSLATE(B45907,""en"",""pt"")"),"Nigel")</f>
        <v>Nigel</v>
      </c>
      <c r="B17477" s="11" t="s">
        <v>23944</v>
      </c>
      <c r="C17477" s="11" t="s">
        <v>23842</v>
      </c>
      <c r="D17477" s="11" t="s">
        <v>23855</v>
      </c>
      <c r="E17477" s="10">
        <v>970566</v>
      </c>
      <c r="F17477" s="4" t="str">
        <f>IF(B17477=B17476,"",B17477)</f>
        <v/>
      </c>
    </row>
    <row r="17478" spans="1:6" ht="15.75" customHeight="1">
      <c r="A17478" s="8" t="str">
        <f ca="1">IFERROR(__xludf.DUMMYFUNCTION("GOOGLETRANSLATE(B41927,""en"",""pt"")"),"Niğde")</f>
        <v>Niğde</v>
      </c>
      <c r="B17478" s="9" t="s">
        <v>35851</v>
      </c>
      <c r="C17478" s="9" t="s">
        <v>26201</v>
      </c>
      <c r="D17478" s="9" t="s">
        <v>35851</v>
      </c>
      <c r="E17478" s="10">
        <v>303827</v>
      </c>
      <c r="F17478" s="4" t="str">
        <f>IF(B17478=B17477,"",B17478)</f>
        <v>Niğde</v>
      </c>
    </row>
    <row r="17479" spans="1:6" ht="15.75" customHeight="1">
      <c r="A17479" s="16" t="s">
        <v>19047</v>
      </c>
      <c r="B17479" s="15" t="s">
        <v>19047</v>
      </c>
      <c r="C17479" s="16" t="s">
        <v>18862</v>
      </c>
      <c r="D17479" s="16" t="s">
        <v>18877</v>
      </c>
      <c r="E17479" s="2">
        <v>2750325</v>
      </c>
      <c r="F17479" s="4" t="str">
        <f>IF(B17479=B17478,"",B17479)</f>
        <v>Nieuwegein</v>
      </c>
    </row>
    <row r="17480" spans="1:6" ht="15.75" customHeight="1">
      <c r="A17480" s="8" t="str">
        <f ca="1">IFERROR(__xludf.DUMMYFUNCTION("GOOGLETRANSLATE(B37990,""en"",""pt"")"),"Nieuwegein")</f>
        <v>Nieuwegein</v>
      </c>
      <c r="B17480" s="9" t="s">
        <v>19047</v>
      </c>
      <c r="C17480" s="9" t="s">
        <v>18862</v>
      </c>
      <c r="D17480" s="9" t="s">
        <v>18877</v>
      </c>
      <c r="E17480" s="10">
        <v>2750325</v>
      </c>
      <c r="F17480" s="4" t="str">
        <f>IF(B17480=B17479,"",B17480)</f>
        <v/>
      </c>
    </row>
    <row r="17481" spans="1:6" ht="15.75" customHeight="1">
      <c r="A17481" s="15" t="s">
        <v>8933</v>
      </c>
      <c r="B17481" s="15" t="s">
        <v>8933</v>
      </c>
      <c r="C17481" s="15" t="s">
        <v>8028</v>
      </c>
      <c r="D17481" s="15" t="s">
        <v>8034</v>
      </c>
      <c r="E17481" s="2">
        <v>2862620</v>
      </c>
      <c r="F17481" s="4" t="str">
        <f>IF(B17481=B17480,"",B17481)</f>
        <v>Nienburg</v>
      </c>
    </row>
    <row r="17482" spans="1:6" ht="15.75" customHeight="1">
      <c r="A17482" s="8" t="str">
        <f ca="1">IFERROR(__xludf.DUMMYFUNCTION("GOOGLETRANSLATE(B27702,""en"",""pt"")"),"Nienburg")</f>
        <v>Nienburg</v>
      </c>
      <c r="B17482" s="9" t="s">
        <v>8933</v>
      </c>
      <c r="C17482" s="9" t="s">
        <v>8028</v>
      </c>
      <c r="D17482" s="9" t="s">
        <v>8034</v>
      </c>
      <c r="E17482" s="10">
        <v>2862620</v>
      </c>
      <c r="F17482" s="4" t="str">
        <f>IF(B17482=B17481,"",B17482)</f>
        <v/>
      </c>
    </row>
    <row r="17483" spans="1:6" ht="15.75" customHeight="1">
      <c r="A17483" s="8" t="str">
        <f ca="1">IFERROR(__xludf.DUMMYFUNCTION("GOOGLETRANSLATE(B27703,""en"",""pt"")"),"Niederschönhausen")</f>
        <v>Niederschönhausen</v>
      </c>
      <c r="B17483" s="11" t="s">
        <v>32045</v>
      </c>
      <c r="C17483" s="11" t="s">
        <v>8028</v>
      </c>
      <c r="D17483" s="11" t="s">
        <v>8036</v>
      </c>
      <c r="E17483" s="10">
        <v>2862888</v>
      </c>
      <c r="F17483" s="4" t="str">
        <f>IF(B17483=B17482,"",B17483)</f>
        <v>Niederschönhausen</v>
      </c>
    </row>
    <row r="17484" spans="1:6" ht="15.75" customHeight="1">
      <c r="A17484" s="16" t="s">
        <v>8931</v>
      </c>
      <c r="B17484" s="15" t="s">
        <v>8932</v>
      </c>
      <c r="C17484" s="16" t="s">
        <v>8028</v>
      </c>
      <c r="D17484" s="16" t="s">
        <v>8036</v>
      </c>
      <c r="E17484" s="2">
        <v>2862888</v>
      </c>
      <c r="F17484" s="4" t="str">
        <f>IF(B17484=B17483,"",B17484)</f>
        <v>NiederschÃ¶nhausen</v>
      </c>
    </row>
    <row r="17485" spans="1:6" ht="15.75" customHeight="1">
      <c r="A17485" s="16" t="s">
        <v>8929</v>
      </c>
      <c r="B17485" s="15" t="s">
        <v>8930</v>
      </c>
      <c r="C17485" s="16" t="s">
        <v>8028</v>
      </c>
      <c r="D17485" s="16" t="s">
        <v>8050</v>
      </c>
      <c r="E17485" s="2">
        <v>7290401</v>
      </c>
      <c r="F17485" s="4" t="str">
        <f>IF(B17485=B17484,"",B17485)</f>
        <v>Niederrad</v>
      </c>
    </row>
    <row r="17486" spans="1:6" ht="15.75" customHeight="1">
      <c r="A17486" s="8" t="str">
        <f ca="1">IFERROR(__xludf.DUMMYFUNCTION("GOOGLETRANSLATE(B28382,""en"",""pt"")"),"NIEDERRAD")</f>
        <v>NIEDERRAD</v>
      </c>
      <c r="B17486" s="9" t="s">
        <v>8930</v>
      </c>
      <c r="C17486" s="9" t="s">
        <v>8028</v>
      </c>
      <c r="D17486" s="9" t="s">
        <v>8050</v>
      </c>
      <c r="E17486" s="10">
        <v>7290401</v>
      </c>
      <c r="F17486" s="4" t="str">
        <f>IF(B17486=B17485,"",B17486)</f>
        <v/>
      </c>
    </row>
    <row r="17487" spans="1:6" ht="15.75" customHeight="1">
      <c r="A17487" s="8" t="str">
        <f ca="1">IFERROR(__xludf.DUMMYFUNCTION("GOOGLETRANSLATE(B27704,""en"",""pt"")"),"Niederkrüchten")</f>
        <v>Niederkrüchten</v>
      </c>
      <c r="B17487" s="11" t="s">
        <v>32046</v>
      </c>
      <c r="C17487" s="11" t="s">
        <v>8028</v>
      </c>
      <c r="D17487" s="11" t="s">
        <v>8029</v>
      </c>
      <c r="E17487" s="10">
        <v>2863199</v>
      </c>
      <c r="F17487" s="4" t="str">
        <f>IF(B17487=B17486,"",B17487)</f>
        <v>Niederkrüchten</v>
      </c>
    </row>
    <row r="17488" spans="1:6" ht="15.75" customHeight="1">
      <c r="A17488" s="16" t="s">
        <v>8927</v>
      </c>
      <c r="B17488" s="15" t="s">
        <v>8928</v>
      </c>
      <c r="C17488" s="16" t="s">
        <v>8028</v>
      </c>
      <c r="D17488" s="16" t="s">
        <v>8029</v>
      </c>
      <c r="E17488" s="2">
        <v>2863199</v>
      </c>
      <c r="F17488" s="4" t="str">
        <f>IF(B17488=B17487,"",B17488)</f>
        <v>NiederkrÃ¼chten</v>
      </c>
    </row>
    <row r="17489" spans="1:6" ht="15.75" customHeight="1">
      <c r="A17489" s="16" t="s">
        <v>8926</v>
      </c>
      <c r="B17489" s="15" t="s">
        <v>8926</v>
      </c>
      <c r="C17489" s="16" t="s">
        <v>8028</v>
      </c>
      <c r="D17489" s="16" t="s">
        <v>8029</v>
      </c>
      <c r="E17489" s="2">
        <v>2863223</v>
      </c>
      <c r="F17489" s="4" t="str">
        <f>IF(B17489=B17488,"",B17489)</f>
        <v>Niederkassel</v>
      </c>
    </row>
    <row r="17490" spans="1:6" ht="15.75" customHeight="1">
      <c r="A17490" s="8" t="str">
        <f ca="1">IFERROR(__xludf.DUMMYFUNCTION("GOOGLETRANSLATE(B27705,""en"",""pt"")"),"Niederkassel")</f>
        <v>Niederkassel</v>
      </c>
      <c r="B17490" s="9" t="s">
        <v>8926</v>
      </c>
      <c r="C17490" s="9" t="s">
        <v>8028</v>
      </c>
      <c r="D17490" s="9" t="s">
        <v>8029</v>
      </c>
      <c r="E17490" s="10">
        <v>2863223</v>
      </c>
      <c r="F17490" s="4" t="str">
        <f>IF(B17490=B17489,"",B17490)</f>
        <v/>
      </c>
    </row>
    <row r="17491" spans="1:6" ht="15.75" customHeight="1">
      <c r="A17491" s="16" t="s">
        <v>8924</v>
      </c>
      <c r="B17491" s="15" t="s">
        <v>8925</v>
      </c>
      <c r="C17491" s="16" t="s">
        <v>8028</v>
      </c>
      <c r="D17491" s="16" t="s">
        <v>8065</v>
      </c>
      <c r="E17491" s="2">
        <v>2863240</v>
      </c>
      <c r="F17491" s="4" t="str">
        <f>IF(B17491=B17490,"",B17491)</f>
        <v>Nieder-Ingelheim</v>
      </c>
    </row>
    <row r="17492" spans="1:6" ht="15.75" customHeight="1">
      <c r="A17492" s="8" t="str">
        <f ca="1">IFERROR(__xludf.DUMMYFUNCTION("GOOGLETRANSLATE(B27706,""en"",""pt"")"),"Nieder-iningelheim")</f>
        <v>Nieder-iningelheim</v>
      </c>
      <c r="B17492" s="9" t="s">
        <v>8925</v>
      </c>
      <c r="C17492" s="9" t="s">
        <v>8028</v>
      </c>
      <c r="D17492" s="9" t="s">
        <v>8065</v>
      </c>
      <c r="E17492" s="10">
        <v>2863240</v>
      </c>
      <c r="F17492" s="4" t="str">
        <f>IF(B17492=B17491,"",B17492)</f>
        <v/>
      </c>
    </row>
    <row r="17493" spans="1:6" ht="15.75" customHeight="1">
      <c r="A17493" s="15" t="s">
        <v>8923</v>
      </c>
      <c r="B17493" s="15" t="s">
        <v>8923</v>
      </c>
      <c r="C17493" s="15" t="s">
        <v>8028</v>
      </c>
      <c r="D17493" s="15" t="s">
        <v>8050</v>
      </c>
      <c r="E17493" s="2">
        <v>2863712</v>
      </c>
      <c r="F17493" s="4" t="str">
        <f>IF(B17493=B17492,"",B17493)</f>
        <v>Nidderau</v>
      </c>
    </row>
    <row r="17494" spans="1:6" ht="15.75" customHeight="1">
      <c r="A17494" s="8" t="str">
        <f ca="1">IFERROR(__xludf.DUMMYFUNCTION("GOOGLETRANSLATE(B27707,""en"",""pt"")"),"Nidderau")</f>
        <v>Nidderau</v>
      </c>
      <c r="B17494" s="9" t="s">
        <v>8923</v>
      </c>
      <c r="C17494" s="9" t="s">
        <v>8028</v>
      </c>
      <c r="D17494" s="9" t="s">
        <v>8050</v>
      </c>
      <c r="E17494" s="10">
        <v>2863712</v>
      </c>
      <c r="F17494" s="4" t="str">
        <f>IF(B17494=B17493,"",B17494)</f>
        <v/>
      </c>
    </row>
    <row r="17495" spans="1:6" ht="15.75" customHeight="1">
      <c r="A17495" s="15" t="s">
        <v>8921</v>
      </c>
      <c r="B17495" s="15" t="s">
        <v>8922</v>
      </c>
      <c r="C17495" s="15" t="s">
        <v>8028</v>
      </c>
      <c r="D17495" s="15" t="s">
        <v>8050</v>
      </c>
      <c r="E17495" s="2">
        <v>2863716</v>
      </c>
      <c r="F17495" s="4" t="str">
        <f>IF(B17495=B17494,"",B17495)</f>
        <v>Nidda</v>
      </c>
    </row>
    <row r="17496" spans="1:6" ht="15.75" customHeight="1">
      <c r="A17496" s="8" t="str">
        <f ca="1">IFERROR(__xludf.DUMMYFUNCTION("GOOGLETRANSLATE(B27708,""en"",""pt"")"),"NIDDA")</f>
        <v>NIDDA</v>
      </c>
      <c r="B17496" s="9" t="s">
        <v>8922</v>
      </c>
      <c r="C17496" s="9" t="s">
        <v>8028</v>
      </c>
      <c r="D17496" s="9" t="s">
        <v>8050</v>
      </c>
      <c r="E17496" s="10">
        <v>2863716</v>
      </c>
      <c r="F17496" s="4" t="str">
        <f>IF(B17496=B17495,"",B17496)</f>
        <v/>
      </c>
    </row>
    <row r="17497" spans="1:6" ht="15.75" customHeight="1">
      <c r="A17497" s="16" t="s">
        <v>12655</v>
      </c>
      <c r="B17497" s="15" t="s">
        <v>12655</v>
      </c>
      <c r="C17497" s="16" t="s">
        <v>10178</v>
      </c>
      <c r="D17497" s="16" t="s">
        <v>10190</v>
      </c>
      <c r="E17497" s="2">
        <v>1261446</v>
      </c>
      <c r="F17497" s="4" t="str">
        <f>IF(B17497=B17496,"",B17497)</f>
        <v>Nidadavole</v>
      </c>
    </row>
    <row r="17498" spans="1:6" ht="15.75" customHeight="1">
      <c r="A17498" s="8" t="str">
        <f ca="1">IFERROR(__xludf.DUMMYFUNCTION("GOOGLETRANSLATE(B32609,""en"",""pt"")"),"Nidadavole")</f>
        <v>Nidadavole</v>
      </c>
      <c r="B17498" s="9" t="s">
        <v>12655</v>
      </c>
      <c r="C17498" s="9" t="s">
        <v>10178</v>
      </c>
      <c r="D17498" s="9" t="s">
        <v>10190</v>
      </c>
      <c r="E17498" s="10">
        <v>1261446</v>
      </c>
      <c r="F17498" s="4" t="str">
        <f>IF(B17498=B17497,"",B17498)</f>
        <v/>
      </c>
    </row>
    <row r="17499" spans="1:6" ht="15.75" customHeight="1">
      <c r="A17499" s="15" t="s">
        <v>5689</v>
      </c>
      <c r="B17499" s="15" t="s">
        <v>5689</v>
      </c>
      <c r="C17499" s="15" t="s">
        <v>5665</v>
      </c>
      <c r="D17499" s="15" t="s">
        <v>5671</v>
      </c>
      <c r="E17499" s="2">
        <v>3622716</v>
      </c>
      <c r="F17499" s="4" t="str">
        <f>IF(B17499=B17498,"",B17499)</f>
        <v>Nicoya</v>
      </c>
    </row>
    <row r="17500" spans="1:6" ht="15.75" customHeight="1">
      <c r="A17500" s="8" t="str">
        <f ca="1">IFERROR(__xludf.DUMMYFUNCTION("GOOGLETRANSLATE(B27085,""en"",""pt"")"),"Nicoya")</f>
        <v>Nicoya</v>
      </c>
      <c r="B17500" s="9" t="s">
        <v>5689</v>
      </c>
      <c r="C17500" s="9" t="s">
        <v>5665</v>
      </c>
      <c r="D17500" s="9" t="s">
        <v>5671</v>
      </c>
      <c r="E17500" s="10">
        <v>3622716</v>
      </c>
      <c r="F17500" s="4" t="str">
        <f>IF(B17500=B17499,"",B17500)</f>
        <v/>
      </c>
    </row>
    <row r="17501" spans="1:6" ht="15.75" customHeight="1">
      <c r="A17501" s="15" t="s">
        <v>5939</v>
      </c>
      <c r="B17501" s="15" t="s">
        <v>5940</v>
      </c>
      <c r="C17501" s="15" t="s">
        <v>5932</v>
      </c>
      <c r="D17501" s="15" t="s">
        <v>5941</v>
      </c>
      <c r="E17501" s="2">
        <v>146268</v>
      </c>
      <c r="F17501" s="4" t="str">
        <f>IF(B17501=B17500,"",B17501)</f>
        <v>Nicosia</v>
      </c>
    </row>
    <row r="17502" spans="1:6" ht="15.75" customHeight="1">
      <c r="A17502" s="8" t="str">
        <f ca="1">IFERROR(__xludf.DUMMYFUNCTION("GOOGLETRANSLATE(B27237,""en"",""pt"")"),"NICOSIA")</f>
        <v>NICOSIA</v>
      </c>
      <c r="B17502" s="9" t="s">
        <v>5940</v>
      </c>
      <c r="C17502" s="9" t="s">
        <v>5932</v>
      </c>
      <c r="D17502" s="9" t="s">
        <v>5941</v>
      </c>
      <c r="E17502" s="10">
        <v>146268</v>
      </c>
      <c r="F17502" s="4" t="str">
        <f>IF(B17502=B17501,"",B17502)</f>
        <v/>
      </c>
    </row>
    <row r="17503" spans="1:6" ht="15.75" customHeight="1">
      <c r="A17503" s="8" t="str">
        <f ca="1">IFERROR(__xludf.DUMMYFUNCTION("GOOGLETRANSLATE(B36968,""en"",""pt"")"),"Nicolás Romero")</f>
        <v>Nicolás Romero</v>
      </c>
      <c r="B17503" s="11" t="s">
        <v>34687</v>
      </c>
      <c r="C17503" s="11" t="s">
        <v>17707</v>
      </c>
      <c r="D17503" s="11" t="s">
        <v>20902</v>
      </c>
      <c r="E17503" s="10">
        <v>3522732</v>
      </c>
      <c r="F17503" s="4" t="str">
        <f>IF(B17503=B17502,"",B17503)</f>
        <v>Nicolás Romero</v>
      </c>
    </row>
    <row r="17504" spans="1:6" ht="15.75" customHeight="1">
      <c r="A17504" s="8" t="str">
        <f ca="1">IFERROR(__xludf.DUMMYFUNCTION("GOOGLETRANSLATE(B37206,""en"",""pt"")"),"Nicolás R Casillas")</f>
        <v>Nicolás R Casillas</v>
      </c>
      <c r="B17504" s="9" t="s">
        <v>34744</v>
      </c>
      <c r="C17504" s="9" t="s">
        <v>17707</v>
      </c>
      <c r="D17504" s="9" t="s">
        <v>17746</v>
      </c>
      <c r="E17504" s="10">
        <v>3988025</v>
      </c>
      <c r="F17504" s="4" t="str">
        <f>IF(B17504=B17503,"",B17504)</f>
        <v>Nicolás R Casillas</v>
      </c>
    </row>
    <row r="17505" spans="1:6" ht="15.75" customHeight="1">
      <c r="A17505" s="16" t="s">
        <v>18114</v>
      </c>
      <c r="B17505" s="15" t="s">
        <v>18115</v>
      </c>
      <c r="C17505" s="16" t="s">
        <v>17707</v>
      </c>
      <c r="D17505" s="16" t="s">
        <v>17736</v>
      </c>
      <c r="E17505" s="2">
        <v>3522732</v>
      </c>
      <c r="F17505" s="4" t="str">
        <f>IF(B17505=B17504,"",B17505)</f>
        <v>NicolÃ¡s Romero</v>
      </c>
    </row>
    <row r="17506" spans="1:6" ht="15.75" customHeight="1">
      <c r="A17506" s="16" t="s">
        <v>18112</v>
      </c>
      <c r="B17506" s="15" t="s">
        <v>18113</v>
      </c>
      <c r="C17506" s="16" t="s">
        <v>17707</v>
      </c>
      <c r="D17506" s="16" t="s">
        <v>17746</v>
      </c>
      <c r="E17506" s="2">
        <v>3988025</v>
      </c>
      <c r="F17506" s="4" t="str">
        <f>IF(B17506=B17505,"",B17506)</f>
        <v>NicolÃ¡s R Casillas</v>
      </c>
    </row>
    <row r="17507" spans="1:6" ht="15.75" customHeight="1">
      <c r="A17507" s="16" t="s">
        <v>29438</v>
      </c>
      <c r="B17507" s="15" t="s">
        <v>29438</v>
      </c>
      <c r="C17507" s="16" t="s">
        <v>27788</v>
      </c>
      <c r="D17507" s="16" t="s">
        <v>27909</v>
      </c>
      <c r="E17507" s="2">
        <v>4302561</v>
      </c>
      <c r="F17507" s="4" t="str">
        <f>IF(B17507=B17506,"",B17507)</f>
        <v>Nicholasville</v>
      </c>
    </row>
    <row r="17508" spans="1:6" ht="15.75" customHeight="1">
      <c r="A17508" s="8" t="str">
        <f ca="1">IFERROR(__xludf.DUMMYFUNCTION("GOOGLETRANSLATE(B43213,""en"",""pt"")"),"Nicholasville")</f>
        <v>Nicholasville</v>
      </c>
      <c r="B17508" s="9" t="s">
        <v>29438</v>
      </c>
      <c r="C17508" s="9" t="s">
        <v>27788</v>
      </c>
      <c r="D17508" s="9" t="s">
        <v>27909</v>
      </c>
      <c r="E17508" s="10">
        <v>4302561</v>
      </c>
      <c r="F17508" s="4" t="str">
        <f>IF(B17508=B17507,"",B17508)</f>
        <v/>
      </c>
    </row>
    <row r="17509" spans="1:6" ht="15.75" customHeight="1">
      <c r="A17509" s="15" t="s">
        <v>12654</v>
      </c>
      <c r="B17509" s="15" t="s">
        <v>12654</v>
      </c>
      <c r="C17509" s="15" t="s">
        <v>10178</v>
      </c>
      <c r="D17509" s="15" t="s">
        <v>10193</v>
      </c>
      <c r="E17509" s="2">
        <v>1261451</v>
      </c>
      <c r="F17509" s="4" t="str">
        <f>IF(B17509=B17508,"",B17509)</f>
        <v>Nichlaul</v>
      </c>
    </row>
    <row r="17510" spans="1:6" ht="15.75" customHeight="1">
      <c r="A17510" s="8" t="str">
        <f ca="1">IFERROR(__xludf.DUMMYFUNCTION("GOOGLETRANSLATE(B32610,""en"",""pt"")"),"Nichlaul")</f>
        <v>Nichlaul</v>
      </c>
      <c r="B17510" s="9" t="s">
        <v>12654</v>
      </c>
      <c r="C17510" s="9" t="s">
        <v>10178</v>
      </c>
      <c r="D17510" s="9" t="s">
        <v>10193</v>
      </c>
      <c r="E17510" s="10">
        <v>1261451</v>
      </c>
      <c r="F17510" s="4" t="str">
        <f>IF(B17510=B17509,"",B17510)</f>
        <v/>
      </c>
    </row>
    <row r="17511" spans="1:6" ht="15.75" customHeight="1">
      <c r="A17511" s="15" t="s">
        <v>16299</v>
      </c>
      <c r="B17511" s="15" t="s">
        <v>16299</v>
      </c>
      <c r="C17511" s="15" t="s">
        <v>15704</v>
      </c>
      <c r="D17511" s="15" t="s">
        <v>16148</v>
      </c>
      <c r="E17511" s="2">
        <v>1855476</v>
      </c>
      <c r="F17511" s="4" t="str">
        <f>IF(B17511=B17510,"",B17511)</f>
        <v>Nichinan</v>
      </c>
    </row>
    <row r="17512" spans="1:6" ht="15.75" customHeight="1">
      <c r="A17512" s="8" t="str">
        <f ca="1">IFERROR(__xludf.DUMMYFUNCTION("GOOGLETRANSLATE(B35389,""en"",""pt"")"),"Nichinan")</f>
        <v>Nichinan</v>
      </c>
      <c r="B17512" s="9" t="s">
        <v>16299</v>
      </c>
      <c r="C17512" s="9" t="s">
        <v>15704</v>
      </c>
      <c r="D17512" s="9" t="s">
        <v>16148</v>
      </c>
      <c r="E17512" s="10">
        <v>1855476</v>
      </c>
      <c r="F17512" s="4" t="str">
        <f>IF(B17512=B17511,"",B17512)</f>
        <v/>
      </c>
    </row>
    <row r="17513" spans="1:6" ht="15.75" customHeight="1">
      <c r="A17513" s="15" t="s">
        <v>15311</v>
      </c>
      <c r="B17513" s="15" t="s">
        <v>15311</v>
      </c>
      <c r="C17513" s="15" t="s">
        <v>14891</v>
      </c>
      <c r="D17513" s="15" t="s">
        <v>14911</v>
      </c>
      <c r="E17513" s="2">
        <v>3172269</v>
      </c>
      <c r="F17513" s="4" t="str">
        <f>IF(B17513=B17512,"",B17513)</f>
        <v>Nichelino</v>
      </c>
    </row>
    <row r="17514" spans="1:6" ht="15.75" customHeight="1">
      <c r="A17514" s="8" t="str">
        <f ca="1">IFERROR(__xludf.DUMMYFUNCTION("GOOGLETRANSLATE(B34805,""en"",""pt"")"),"Nichelino")</f>
        <v>Nichelino</v>
      </c>
      <c r="B17514" s="9" t="s">
        <v>15311</v>
      </c>
      <c r="C17514" s="9" t="s">
        <v>14891</v>
      </c>
      <c r="D17514" s="9" t="s">
        <v>14911</v>
      </c>
      <c r="E17514" s="10">
        <v>3172269</v>
      </c>
      <c r="F17514" s="4" t="str">
        <f>IF(B17514=B17513,"",B17514)</f>
        <v/>
      </c>
    </row>
    <row r="17515" spans="1:6" ht="15.75" customHeight="1">
      <c r="A17515" s="15" t="s">
        <v>7643</v>
      </c>
      <c r="B17515" s="15" t="s">
        <v>7644</v>
      </c>
      <c r="C17515" s="15" t="s">
        <v>7052</v>
      </c>
      <c r="D17515" s="15" t="s">
        <v>7087</v>
      </c>
      <c r="E17515" s="2">
        <v>2990440</v>
      </c>
      <c r="F17515" s="4" t="str">
        <f>IF(B17515=B17514,"",B17515)</f>
        <v>Nice</v>
      </c>
    </row>
    <row r="17516" spans="1:6" ht="15.75" customHeight="1">
      <c r="A17516" s="8" t="str">
        <f ca="1">IFERROR(__xludf.DUMMYFUNCTION("GOOGLETRANSLATE(B29881,""en"",""pt"")"),"Legal")</f>
        <v>Legal</v>
      </c>
      <c r="B17516" s="9" t="s">
        <v>7644</v>
      </c>
      <c r="C17516" s="9" t="s">
        <v>7052</v>
      </c>
      <c r="D17516" s="9" t="s">
        <v>32534</v>
      </c>
      <c r="E17516" s="10">
        <v>2990440</v>
      </c>
      <c r="F17516" s="4" t="str">
        <f>IF(B17516=B17515,"",B17516)</f>
        <v/>
      </c>
    </row>
    <row r="17517" spans="1:6" ht="15.75" customHeight="1">
      <c r="A17517" s="16" t="s">
        <v>15310</v>
      </c>
      <c r="B17517" s="15" t="s">
        <v>15310</v>
      </c>
      <c r="C17517" s="16" t="s">
        <v>14891</v>
      </c>
      <c r="D17517" s="16" t="s">
        <v>14929</v>
      </c>
      <c r="E17517" s="2">
        <v>2524013</v>
      </c>
      <c r="F17517" s="4" t="str">
        <f>IF(B17517=B17516,"",B17517)</f>
        <v>Nicastro-Sambiase</v>
      </c>
    </row>
    <row r="17518" spans="1:6" ht="15.75" customHeight="1">
      <c r="A17518" s="8" t="str">
        <f ca="1">IFERROR(__xludf.DUMMYFUNCTION("GOOGLETRANSLATE(B34575,""en"",""pt"")"),"Nicastro-Sambiase")</f>
        <v>Nicastro-Sambiase</v>
      </c>
      <c r="B17518" s="11" t="s">
        <v>15310</v>
      </c>
      <c r="C17518" s="11" t="s">
        <v>14891</v>
      </c>
      <c r="D17518" s="11" t="s">
        <v>14929</v>
      </c>
      <c r="E17518" s="10">
        <v>2524013</v>
      </c>
      <c r="F17518" s="4" t="str">
        <f>IF(B17518=B17517,"",B17518)</f>
        <v/>
      </c>
    </row>
    <row r="17519" spans="1:6" ht="15.75" customHeight="1">
      <c r="A17519" s="16" t="s">
        <v>17533</v>
      </c>
      <c r="B17519" s="15" t="s">
        <v>17533</v>
      </c>
      <c r="C17519" s="16" t="s">
        <v>17432</v>
      </c>
      <c r="D17519" s="16" t="s">
        <v>17461</v>
      </c>
      <c r="E17519" s="2">
        <v>1735086</v>
      </c>
      <c r="F17519" s="4" t="str">
        <f>IF(B17519=B17518,"",B17519)</f>
        <v>Nibong Tebal</v>
      </c>
    </row>
    <row r="17520" spans="1:6" ht="15.75" customHeight="1">
      <c r="A17520" s="8" t="str">
        <f ca="1">IFERROR(__xludf.DUMMYFUNCTION("GOOGLETRANSLATE(B37475,""en"",""pt"")"),"Nibong Tebal")</f>
        <v>Nibong Tebal</v>
      </c>
      <c r="B17520" s="9" t="s">
        <v>17533</v>
      </c>
      <c r="C17520" s="9" t="s">
        <v>17432</v>
      </c>
      <c r="D17520" s="9" t="s">
        <v>17461</v>
      </c>
      <c r="E17520" s="10">
        <v>1735086</v>
      </c>
      <c r="F17520" s="4" t="str">
        <f>IF(B17520=B17519,"",B17520)</f>
        <v/>
      </c>
    </row>
    <row r="17521" spans="1:6" ht="15.75" customHeight="1">
      <c r="A17521" s="15" t="s">
        <v>26649</v>
      </c>
      <c r="B17521" s="15" t="s">
        <v>26412</v>
      </c>
      <c r="C17521" s="15" t="s">
        <v>26201</v>
      </c>
      <c r="D17521" s="15" t="s">
        <v>26412</v>
      </c>
      <c r="E17521" s="2">
        <v>303827</v>
      </c>
      <c r="F17521" s="4" t="str">
        <f>IF(B17521=B17520,"",B17521)</f>
        <v>NiÄŸde</v>
      </c>
    </row>
    <row r="17522" spans="1:6" ht="15.75" customHeight="1">
      <c r="A17522" s="16" t="s">
        <v>4981</v>
      </c>
      <c r="B17522" s="15" t="s">
        <v>4981</v>
      </c>
      <c r="C17522" s="16" t="s">
        <v>4487</v>
      </c>
      <c r="D17522" s="16" t="s">
        <v>4488</v>
      </c>
      <c r="E17522" s="2">
        <v>2035593</v>
      </c>
      <c r="F17522" s="4" t="str">
        <f>IF(B17522=B17521,"",B17522)</f>
        <v>Nianzishan</v>
      </c>
    </row>
    <row r="17523" spans="1:6" ht="15.75" customHeight="1">
      <c r="A17523" s="8" t="str">
        <f ca="1">IFERROR(__xludf.DUMMYFUNCTION("GOOGLETRANSLATE(B26709,""en"",""pt"")"),"Nianzishan")</f>
        <v>Nianzishan</v>
      </c>
      <c r="B17523" s="11" t="s">
        <v>4981</v>
      </c>
      <c r="C17523" s="11" t="s">
        <v>4487</v>
      </c>
      <c r="D17523" s="11" t="s">
        <v>4488</v>
      </c>
      <c r="E17523" s="10">
        <v>2035593</v>
      </c>
      <c r="F17523" s="4" t="str">
        <f>IF(B17523=B17522,"",B17523)</f>
        <v/>
      </c>
    </row>
    <row r="17524" spans="1:6" ht="15.75" customHeight="1">
      <c r="A17524" s="16" t="s">
        <v>26052</v>
      </c>
      <c r="B17524" s="15" t="s">
        <v>26052</v>
      </c>
      <c r="C17524" s="16" t="s">
        <v>26038</v>
      </c>
      <c r="D17524" s="16" t="s">
        <v>26044</v>
      </c>
      <c r="E17524" s="2">
        <v>2364812</v>
      </c>
      <c r="F17524" s="4" t="str">
        <f>IF(B17524=B17523,"",B17524)</f>
        <v>Niamtougou</v>
      </c>
    </row>
    <row r="17525" spans="1:6" ht="15.75" customHeight="1">
      <c r="A17525" s="8" t="str">
        <f ca="1">IFERROR(__xludf.DUMMYFUNCTION("GOOGLETRANSLATE(B41500,""en"",""pt"")"),"Niamtougou")</f>
        <v>Niamtougou</v>
      </c>
      <c r="B17525" s="11" t="s">
        <v>26052</v>
      </c>
      <c r="C17525" s="11" t="s">
        <v>26038</v>
      </c>
      <c r="D17525" s="11" t="s">
        <v>26044</v>
      </c>
      <c r="E17525" s="10">
        <v>2364812</v>
      </c>
      <c r="F17525" s="4" t="str">
        <f>IF(B17525=B17524,"",B17525)</f>
        <v/>
      </c>
    </row>
    <row r="17526" spans="1:6" ht="15.75" customHeight="1">
      <c r="A17526" s="15" t="s">
        <v>19284</v>
      </c>
      <c r="B17526" s="15" t="s">
        <v>19284</v>
      </c>
      <c r="C17526" s="15" t="s">
        <v>19259</v>
      </c>
      <c r="D17526" s="15" t="s">
        <v>19284</v>
      </c>
      <c r="E17526" s="2">
        <v>2440485</v>
      </c>
      <c r="F17526" s="4" t="str">
        <f>IF(B17526=B17525,"",B17526)</f>
        <v>Niamey</v>
      </c>
    </row>
    <row r="17527" spans="1:6" ht="15.75" customHeight="1">
      <c r="A17527" s="8" t="str">
        <f ca="1">IFERROR(__xludf.DUMMYFUNCTION("GOOGLETRANSLATE(B37589,""en"",""pt"")"),"Niamey")</f>
        <v>Niamey</v>
      </c>
      <c r="B17527" s="11" t="s">
        <v>19284</v>
      </c>
      <c r="C17527" s="11" t="s">
        <v>19259</v>
      </c>
      <c r="D17527" s="11" t="s">
        <v>19284</v>
      </c>
      <c r="E17527" s="10">
        <v>2440485</v>
      </c>
      <c r="F17527" s="4" t="str">
        <f>IF(B17527=B17526,"",B17527)</f>
        <v/>
      </c>
    </row>
    <row r="17528" spans="1:6" ht="15.75" customHeight="1">
      <c r="A17528" s="16" t="s">
        <v>4119</v>
      </c>
      <c r="B17528" s="15" t="s">
        <v>4120</v>
      </c>
      <c r="C17528" s="16" t="s">
        <v>3975</v>
      </c>
      <c r="D17528" s="16" t="s">
        <v>3980</v>
      </c>
      <c r="E17528" s="2">
        <v>6087892</v>
      </c>
      <c r="F17528" s="4" t="str">
        <f>IF(B17528=B17527,"",B17528)</f>
        <v>Niagara Falls</v>
      </c>
    </row>
    <row r="17529" spans="1:6" ht="15.75" customHeight="1">
      <c r="A17529" s="16" t="s">
        <v>4119</v>
      </c>
      <c r="B17529" s="15" t="s">
        <v>4120</v>
      </c>
      <c r="C17529" s="16" t="s">
        <v>27788</v>
      </c>
      <c r="D17529" s="16" t="s">
        <v>27819</v>
      </c>
      <c r="E17529" s="2">
        <v>5128723</v>
      </c>
      <c r="F17529" s="4" t="str">
        <f>IF(B17529=B17528,"",B17529)</f>
        <v/>
      </c>
    </row>
    <row r="17530" spans="1:6" ht="15.75" customHeight="1">
      <c r="A17530" s="8" t="str">
        <f ca="1">IFERROR(__xludf.DUMMYFUNCTION("GOOGLETRANSLATE(B25526,""en"",""pt"")"),"Cataratas do Niágara")</f>
        <v>Cataratas do Niágara</v>
      </c>
      <c r="B17530" s="9" t="s">
        <v>4120</v>
      </c>
      <c r="C17530" s="9" t="s">
        <v>3975</v>
      </c>
      <c r="D17530" s="9" t="s">
        <v>3980</v>
      </c>
      <c r="E17530" s="10">
        <v>6087892</v>
      </c>
      <c r="F17530" s="4" t="str">
        <f>IF(B17530=B17529,"",B17530)</f>
        <v/>
      </c>
    </row>
    <row r="17531" spans="1:6" ht="15.75" customHeight="1">
      <c r="A17531" s="8" t="str">
        <f ca="1">IFERROR(__xludf.DUMMYFUNCTION("GOOGLETRANSLATE(B44420,""en"",""pt"")"),"Cataratas do Niágara")</f>
        <v>Cataratas do Niágara</v>
      </c>
      <c r="B17531" s="11" t="s">
        <v>4120</v>
      </c>
      <c r="C17531" s="11" t="s">
        <v>27788</v>
      </c>
      <c r="D17531" s="11" t="s">
        <v>27819</v>
      </c>
      <c r="E17531" s="10">
        <v>5128723</v>
      </c>
      <c r="F17531" s="4" t="str">
        <f>IF(B17531=B17530,"",B17531)</f>
        <v/>
      </c>
    </row>
    <row r="17532" spans="1:6" ht="15.75" customHeight="1">
      <c r="A17532" s="15" t="s">
        <v>23636</v>
      </c>
      <c r="B17532" s="15" t="s">
        <v>23637</v>
      </c>
      <c r="C17532" s="15" t="s">
        <v>23602</v>
      </c>
      <c r="D17532" s="15" t="s">
        <v>23603</v>
      </c>
      <c r="E17532" s="2">
        <v>787657</v>
      </c>
      <c r="F17532" s="4" t="str">
        <f>IF(B17532=B17531,"",B17532)</f>
        <v>NiÅ¡</v>
      </c>
    </row>
    <row r="17533" spans="1:6" ht="15.75" customHeight="1">
      <c r="A17533" s="16" t="s">
        <v>30877</v>
      </c>
      <c r="B17533" s="15" t="s">
        <v>30878</v>
      </c>
      <c r="C17533" s="16" t="s">
        <v>30784</v>
      </c>
      <c r="D17533" s="16" t="s">
        <v>30820</v>
      </c>
      <c r="E17533" s="2">
        <v>1572151</v>
      </c>
      <c r="F17533" s="4" t="str">
        <f>IF(B17533=B17532,"",B17533)</f>
        <v>Nha Trang</v>
      </c>
    </row>
    <row r="17534" spans="1:6" ht="15.75" customHeight="1">
      <c r="A17534" s="8" t="str">
        <f ca="1">IFERROR(__xludf.DUMMYFUNCTION("GOOGLETRANSLATE(B45744,""en"",""pt"")"),"NHA TRANG")</f>
        <v>NHA TRANG</v>
      </c>
      <c r="B17534" s="9" t="s">
        <v>30878</v>
      </c>
      <c r="C17534" s="9" t="s">
        <v>30784</v>
      </c>
      <c r="D17534" s="9" t="s">
        <v>36153</v>
      </c>
      <c r="E17534" s="10">
        <v>1572151</v>
      </c>
      <c r="F17534" s="4" t="str">
        <f>IF(B17534=B17533,"",B17534)</f>
        <v/>
      </c>
    </row>
    <row r="17535" spans="1:6" ht="15.75" customHeight="1">
      <c r="A17535" s="15" t="s">
        <v>25724</v>
      </c>
      <c r="B17535" s="15" t="s">
        <v>25724</v>
      </c>
      <c r="C17535" s="15" t="s">
        <v>25560</v>
      </c>
      <c r="D17535" s="15" t="s">
        <v>25621</v>
      </c>
      <c r="E17535" s="2">
        <v>151567</v>
      </c>
      <c r="F17535" s="4" t="str">
        <f>IF(B17535=B17534,"",B17535)</f>
        <v>Nguruka</v>
      </c>
    </row>
    <row r="17536" spans="1:6" ht="15.75" customHeight="1">
      <c r="A17536" s="8" t="str">
        <f ca="1">IFERROR(__xludf.DUMMYFUNCTION("GOOGLETRANSLATE(B42321,""en"",""pt"")"),"Nguruka")</f>
        <v>Nguruka</v>
      </c>
      <c r="B17536" s="9" t="s">
        <v>25724</v>
      </c>
      <c r="C17536" s="9" t="s">
        <v>25560</v>
      </c>
      <c r="D17536" s="9" t="s">
        <v>25621</v>
      </c>
      <c r="E17536" s="10">
        <v>151567</v>
      </c>
      <c r="F17536" s="4" t="str">
        <f>IF(B17536=B17535,"",B17536)</f>
        <v/>
      </c>
    </row>
    <row r="17537" spans="1:6" ht="15.75" customHeight="1">
      <c r="A17537" s="15" t="s">
        <v>19510</v>
      </c>
      <c r="B17537" s="15" t="s">
        <v>19510</v>
      </c>
      <c r="C17537" s="15" t="s">
        <v>19294</v>
      </c>
      <c r="D17537" s="15" t="s">
        <v>19364</v>
      </c>
      <c r="E17537" s="2">
        <v>2328952</v>
      </c>
      <c r="F17537" s="4" t="str">
        <f>IF(B17537=B17536,"",B17537)</f>
        <v>Nguru</v>
      </c>
    </row>
    <row r="17538" spans="1:6" ht="15.75" customHeight="1">
      <c r="A17538" s="8" t="str">
        <f ca="1">IFERROR(__xludf.DUMMYFUNCTION("GOOGLETRANSLATE(B37672,""en"",""pt"")"),"Nguru")</f>
        <v>Nguru</v>
      </c>
      <c r="B17538" s="9" t="s">
        <v>19510</v>
      </c>
      <c r="C17538" s="9" t="s">
        <v>19294</v>
      </c>
      <c r="D17538" s="9" t="s">
        <v>19364</v>
      </c>
      <c r="E17538" s="10">
        <v>2328952</v>
      </c>
      <c r="F17538" s="4" t="str">
        <f>IF(B17538=B17537,"",B17538)</f>
        <v/>
      </c>
    </row>
    <row r="17539" spans="1:6" ht="15.75" customHeight="1">
      <c r="A17539" s="15" t="s">
        <v>14058</v>
      </c>
      <c r="B17539" s="15" t="s">
        <v>14058</v>
      </c>
      <c r="C17539" s="15" t="s">
        <v>13800</v>
      </c>
      <c r="D17539" s="15" t="s">
        <v>13816</v>
      </c>
      <c r="E17539" s="2">
        <v>1633986</v>
      </c>
      <c r="F17539" s="4" t="str">
        <f>IF(B17539=B17538,"",B17539)</f>
        <v>Ngunut</v>
      </c>
    </row>
    <row r="17540" spans="1:6" ht="15.75" customHeight="1">
      <c r="A17540" s="8" t="str">
        <f ca="1">IFERROR(__xludf.DUMMYFUNCTION("GOOGLETRANSLATE(B31526,""en"",""pt"")"),"Ngunut")</f>
        <v>Ngunut</v>
      </c>
      <c r="B17540" s="9" t="s">
        <v>14058</v>
      </c>
      <c r="C17540" s="9" t="s">
        <v>13800</v>
      </c>
      <c r="D17540" s="9" t="s">
        <v>13816</v>
      </c>
      <c r="E17540" s="10">
        <v>1633986</v>
      </c>
      <c r="F17540" s="4" t="str">
        <f>IF(B17540=B17539,"",B17540)</f>
        <v/>
      </c>
    </row>
    <row r="17541" spans="1:6" ht="15.75" customHeight="1">
      <c r="A17541" s="15" t="s">
        <v>19283</v>
      </c>
      <c r="B17541" s="15" t="s">
        <v>19283</v>
      </c>
      <c r="C17541" s="15" t="s">
        <v>19259</v>
      </c>
      <c r="D17541" s="15" t="s">
        <v>19269</v>
      </c>
      <c r="E17541" s="2">
        <v>2440495</v>
      </c>
      <c r="F17541" s="4" t="str">
        <f>IF(B17541=B17540,"",B17541)</f>
        <v>Nguigmi</v>
      </c>
    </row>
    <row r="17542" spans="1:6" ht="15.75" customHeight="1">
      <c r="A17542" s="8" t="str">
        <f ca="1">IFERROR(__xludf.DUMMYFUNCTION("GOOGLETRANSLATE(B37590,""en"",""pt"")"),"Nguigmi")</f>
        <v>Nguigmi</v>
      </c>
      <c r="B17542" s="9" t="s">
        <v>19283</v>
      </c>
      <c r="C17542" s="9" t="s">
        <v>19259</v>
      </c>
      <c r="D17542" s="9" t="s">
        <v>19269</v>
      </c>
      <c r="E17542" s="10">
        <v>2440495</v>
      </c>
      <c r="F17542" s="4" t="str">
        <f>IF(B17542=B17541,"",B17542)</f>
        <v/>
      </c>
    </row>
    <row r="17543" spans="1:6" ht="15.75" customHeight="1">
      <c r="A17543" s="8" t="str">
        <f ca="1">IFERROR(__xludf.DUMMYFUNCTION("GOOGLETRANSLATE(B41297,""en"",""pt"")"),"Nguékhokh")</f>
        <v>Nguékhokh</v>
      </c>
      <c r="B17543" s="11" t="s">
        <v>35707</v>
      </c>
      <c r="C17543" s="11" t="s">
        <v>23559</v>
      </c>
      <c r="D17543" s="11" t="s">
        <v>35705</v>
      </c>
      <c r="E17543" s="10">
        <v>2247381</v>
      </c>
      <c r="F17543" s="4" t="str">
        <f>IF(B17543=B17542,"",B17543)</f>
        <v>Nguékhokh</v>
      </c>
    </row>
    <row r="17544" spans="1:6" ht="15.75" customHeight="1">
      <c r="A17544" s="15" t="s">
        <v>25723</v>
      </c>
      <c r="B17544" s="15" t="s">
        <v>25723</v>
      </c>
      <c r="C17544" s="15" t="s">
        <v>25560</v>
      </c>
      <c r="D17544" s="15" t="s">
        <v>25638</v>
      </c>
      <c r="E17544" s="2">
        <v>151599</v>
      </c>
      <c r="F17544" s="4" t="str">
        <f>IF(B17544=B17543,"",B17544)</f>
        <v>Ngudu</v>
      </c>
    </row>
    <row r="17545" spans="1:6" ht="15.75" customHeight="1">
      <c r="A17545" s="8" t="str">
        <f ca="1">IFERROR(__xludf.DUMMYFUNCTION("GOOGLETRANSLATE(B42322,""en"",""pt"")"),"Ngudu")</f>
        <v>Ngudu</v>
      </c>
      <c r="B17545" s="11" t="s">
        <v>25723</v>
      </c>
      <c r="C17545" s="11" t="s">
        <v>25560</v>
      </c>
      <c r="D17545" s="11" t="s">
        <v>25638</v>
      </c>
      <c r="E17545" s="10">
        <v>151599</v>
      </c>
      <c r="F17545" s="4" t="str">
        <f>IF(B17545=B17544,"",B17545)</f>
        <v/>
      </c>
    </row>
    <row r="17546" spans="1:6" ht="15.75" customHeight="1">
      <c r="A17546" s="16" t="s">
        <v>23583</v>
      </c>
      <c r="B17546" s="15" t="s">
        <v>23584</v>
      </c>
      <c r="C17546" s="16" t="s">
        <v>23559</v>
      </c>
      <c r="D17546" s="16" t="s">
        <v>23568</v>
      </c>
      <c r="E17546" s="2">
        <v>2247381</v>
      </c>
      <c r="F17546" s="4" t="str">
        <f>IF(B17546=B17545,"",B17546)</f>
        <v>NguÃ©khokh</v>
      </c>
    </row>
    <row r="17547" spans="1:6" ht="15.75" customHeight="1">
      <c r="A17547" s="15" t="s">
        <v>3833</v>
      </c>
      <c r="B17547" s="15" t="s">
        <v>3833</v>
      </c>
      <c r="C17547" s="15" t="s">
        <v>3825</v>
      </c>
      <c r="D17547" s="15" t="s">
        <v>3833</v>
      </c>
      <c r="E17547" s="2">
        <v>430569</v>
      </c>
      <c r="F17547" s="4" t="str">
        <f>IF(B17547=B17546,"",B17547)</f>
        <v>Ngozi</v>
      </c>
    </row>
    <row r="17548" spans="1:6" ht="15.75" customHeight="1">
      <c r="A17548" s="8" t="str">
        <f ca="1">IFERROR(__xludf.DUMMYFUNCTION("GOOGLETRANSLATE(B24076,""en"",""pt"")"),"Ngozi")</f>
        <v>Ngozi</v>
      </c>
      <c r="B17548" s="9" t="s">
        <v>3833</v>
      </c>
      <c r="C17548" s="9" t="s">
        <v>3825</v>
      </c>
      <c r="D17548" s="9" t="s">
        <v>3833</v>
      </c>
      <c r="E17548" s="10">
        <v>430569</v>
      </c>
      <c r="F17548" s="4" t="str">
        <f>IF(B17548=B17547,"",B17548)</f>
        <v/>
      </c>
    </row>
    <row r="17549" spans="1:6" ht="15.75" customHeight="1">
      <c r="A17549" s="15" t="s">
        <v>14057</v>
      </c>
      <c r="B17549" s="15" t="s">
        <v>14057</v>
      </c>
      <c r="C17549" s="15" t="s">
        <v>13800</v>
      </c>
      <c r="D17549" s="15" t="s">
        <v>13816</v>
      </c>
      <c r="E17549" s="2">
        <v>1634010</v>
      </c>
      <c r="F17549" s="4" t="str">
        <f>IF(B17549=B17548,"",B17549)</f>
        <v>Ngoro</v>
      </c>
    </row>
    <row r="17550" spans="1:6" ht="15.75" customHeight="1">
      <c r="A17550" s="8" t="str">
        <f ca="1">IFERROR(__xludf.DUMMYFUNCTION("GOOGLETRANSLATE(B31527,""en"",""pt"")"),"Ngoro")</f>
        <v>Ngoro</v>
      </c>
      <c r="B17550" s="9" t="s">
        <v>14057</v>
      </c>
      <c r="C17550" s="9" t="s">
        <v>13800</v>
      </c>
      <c r="D17550" s="9" t="s">
        <v>13816</v>
      </c>
      <c r="E17550" s="10">
        <v>1634010</v>
      </c>
      <c r="F17550" s="4" t="str">
        <f>IF(B17550=B17549,"",B17550)</f>
        <v/>
      </c>
    </row>
    <row r="17551" spans="1:6" ht="15.75" customHeight="1">
      <c r="A17551" s="16" t="s">
        <v>25722</v>
      </c>
      <c r="B17551" s="15" t="s">
        <v>25722</v>
      </c>
      <c r="C17551" s="16" t="s">
        <v>25560</v>
      </c>
      <c r="D17551" s="16" t="s">
        <v>25596</v>
      </c>
      <c r="E17551" s="2">
        <v>151678</v>
      </c>
      <c r="F17551" s="4" t="str">
        <f>IF(B17551=B17550,"",B17551)</f>
        <v>Ngerengere</v>
      </c>
    </row>
    <row r="17552" spans="1:6" ht="15.75" customHeight="1">
      <c r="A17552" s="8" t="str">
        <f ca="1">IFERROR(__xludf.DUMMYFUNCTION("GOOGLETRANSLATE(B42323,""en"",""pt"")"),"Ngerengere")</f>
        <v>Ngerengere</v>
      </c>
      <c r="B17552" s="9" t="s">
        <v>25722</v>
      </c>
      <c r="C17552" s="9" t="s">
        <v>25560</v>
      </c>
      <c r="D17552" s="9" t="s">
        <v>25596</v>
      </c>
      <c r="E17552" s="10">
        <v>151678</v>
      </c>
      <c r="F17552" s="4" t="str">
        <f>IF(B17552=B17551,"",B17552)</f>
        <v/>
      </c>
    </row>
    <row r="17553" spans="1:6" ht="15.75" customHeight="1">
      <c r="A17553" s="16" t="s">
        <v>14056</v>
      </c>
      <c r="B17553" s="15" t="s">
        <v>14056</v>
      </c>
      <c r="C17553" s="16" t="s">
        <v>13800</v>
      </c>
      <c r="D17553" s="16" t="s">
        <v>13803</v>
      </c>
      <c r="E17553" s="2">
        <v>2010971</v>
      </c>
      <c r="F17553" s="4" t="str">
        <f>IF(B17553=B17552,"",B17553)</f>
        <v>Ngemplak</v>
      </c>
    </row>
    <row r="17554" spans="1:6" ht="15.75" customHeight="1">
      <c r="A17554" s="8" t="str">
        <f ca="1">IFERROR(__xludf.DUMMYFUNCTION("GOOGLETRANSLATE(B31714,""en"",""pt"")"),"Ngemplak")</f>
        <v>Ngemplak</v>
      </c>
      <c r="B17554" s="9" t="s">
        <v>14056</v>
      </c>
      <c r="C17554" s="9" t="s">
        <v>13800</v>
      </c>
      <c r="D17554" s="9" t="s">
        <v>13803</v>
      </c>
      <c r="E17554" s="10">
        <v>2010971</v>
      </c>
      <c r="F17554" s="4" t="str">
        <f>IF(B17554=B17553,"",B17554)</f>
        <v/>
      </c>
    </row>
    <row r="17555" spans="1:6" ht="15.75" customHeight="1">
      <c r="A17555" s="15" t="s">
        <v>14055</v>
      </c>
      <c r="B17555" s="15" t="s">
        <v>14055</v>
      </c>
      <c r="C17555" s="15" t="s">
        <v>13800</v>
      </c>
      <c r="D17555" s="15" t="s">
        <v>13811</v>
      </c>
      <c r="E17555" s="2">
        <v>1634098</v>
      </c>
      <c r="F17555" s="4" t="str">
        <f>IF(B17555=B17554,"",B17555)</f>
        <v>Ngawi</v>
      </c>
    </row>
    <row r="17556" spans="1:6" ht="15.75" customHeight="1">
      <c r="A17556" s="8" t="str">
        <f ca="1">IFERROR(__xludf.DUMMYFUNCTION("GOOGLETRANSLATE(B31528,""en"",""pt"")"),"Ngawi")</f>
        <v>Ngawi</v>
      </c>
      <c r="B17556" s="9" t="s">
        <v>14055</v>
      </c>
      <c r="C17556" s="9" t="s">
        <v>13800</v>
      </c>
      <c r="D17556" s="9" t="s">
        <v>13811</v>
      </c>
      <c r="E17556" s="10">
        <v>1634098</v>
      </c>
      <c r="F17556" s="4" t="str">
        <f>IF(B17556=B17555,"",B17556)</f>
        <v/>
      </c>
    </row>
    <row r="17557" spans="1:6" ht="15.75" customHeight="1">
      <c r="A17557" s="15" t="s">
        <v>25721</v>
      </c>
      <c r="B17557" s="15" t="s">
        <v>25721</v>
      </c>
      <c r="C17557" s="15" t="s">
        <v>25560</v>
      </c>
      <c r="D17557" s="15" t="s">
        <v>25570</v>
      </c>
      <c r="E17557" s="2">
        <v>151711</v>
      </c>
      <c r="F17557" s="4" t="str">
        <f>IF(B17557=B17556,"",B17557)</f>
        <v>Ngara</v>
      </c>
    </row>
    <row r="17558" spans="1:6" ht="15.75" customHeight="1">
      <c r="A17558" s="8" t="str">
        <f ca="1">IFERROR(__xludf.DUMMYFUNCTION("GOOGLETRANSLATE(B42324,""en"",""pt"")"),"Ngara")</f>
        <v>Ngara</v>
      </c>
      <c r="B17558" s="9" t="s">
        <v>25721</v>
      </c>
      <c r="C17558" s="9" t="s">
        <v>25560</v>
      </c>
      <c r="D17558" s="9" t="s">
        <v>25570</v>
      </c>
      <c r="E17558" s="10">
        <v>151711</v>
      </c>
      <c r="F17558" s="4" t="str">
        <f>IF(B17558=B17557,"",B17558)</f>
        <v/>
      </c>
    </row>
    <row r="17559" spans="1:6" ht="15.75" customHeight="1">
      <c r="A17559" s="8" t="str">
        <f ca="1">IFERROR(__xludf.DUMMYFUNCTION("GOOGLETRANSLATE(B25992,""en"",""pt"")"),"Ngaoundéré")</f>
        <v>Ngaoundéré</v>
      </c>
      <c r="B17559" s="11" t="s">
        <v>31815</v>
      </c>
      <c r="C17559" s="11" t="s">
        <v>3884</v>
      </c>
      <c r="D17559" s="11" t="s">
        <v>3902</v>
      </c>
      <c r="E17559" s="10">
        <v>2224827</v>
      </c>
      <c r="F17559" s="4" t="str">
        <f>IF(B17559=B17558,"",B17559)</f>
        <v>Ngaoundéré</v>
      </c>
    </row>
    <row r="17560" spans="1:6" ht="15.75" customHeight="1">
      <c r="A17560" s="16" t="s">
        <v>3956</v>
      </c>
      <c r="B17560" s="15" t="s">
        <v>3957</v>
      </c>
      <c r="C17560" s="16" t="s">
        <v>3884</v>
      </c>
      <c r="D17560" s="16" t="s">
        <v>3902</v>
      </c>
      <c r="E17560" s="2">
        <v>2224827</v>
      </c>
      <c r="F17560" s="4" t="str">
        <f>IF(B17560=B17559,"",B17560)</f>
        <v>NgaoundÃ©rÃ©</v>
      </c>
    </row>
    <row r="17561" spans="1:6" ht="15.75" customHeight="1">
      <c r="A17561" s="15" t="s">
        <v>14054</v>
      </c>
      <c r="B17561" s="15" t="s">
        <v>14054</v>
      </c>
      <c r="C17561" s="15" t="s">
        <v>13800</v>
      </c>
      <c r="D17561" s="15" t="s">
        <v>13816</v>
      </c>
      <c r="E17561" s="2">
        <v>1634131</v>
      </c>
      <c r="F17561" s="4" t="str">
        <f>IF(B17561=B17560,"",B17561)</f>
        <v>Nganjuk</v>
      </c>
    </row>
    <row r="17562" spans="1:6" ht="15.75" customHeight="1">
      <c r="A17562" s="8" t="str">
        <f ca="1">IFERROR(__xludf.DUMMYFUNCTION("GOOGLETRANSLATE(B31529,""en"",""pt"")"),"Nganjuk")</f>
        <v>Nganjuk</v>
      </c>
      <c r="B17562" s="9" t="s">
        <v>14054</v>
      </c>
      <c r="C17562" s="9" t="s">
        <v>13800</v>
      </c>
      <c r="D17562" s="9" t="s">
        <v>13816</v>
      </c>
      <c r="E17562" s="10">
        <v>1634131</v>
      </c>
      <c r="F17562" s="4" t="str">
        <f>IF(B17562=B17561,"",B17562)</f>
        <v/>
      </c>
    </row>
    <row r="17563" spans="1:6" ht="15.75" customHeight="1">
      <c r="A17563" s="16" t="s">
        <v>22804</v>
      </c>
      <c r="B17563" s="15" t="s">
        <v>22804</v>
      </c>
      <c r="C17563" s="16" t="s">
        <v>22070</v>
      </c>
      <c r="D17563" s="16" t="s">
        <v>22117</v>
      </c>
      <c r="E17563" s="2">
        <v>522301</v>
      </c>
      <c r="F17563" s="4" t="str">
        <f>IF(B17563=B17562,"",B17563)</f>
        <v>Nezlobnaya</v>
      </c>
    </row>
    <row r="17564" spans="1:6" ht="15.75" customHeight="1">
      <c r="A17564" s="8" t="str">
        <f ca="1">IFERROR(__xludf.DUMMYFUNCTION("GOOGLETRANSLATE(B40286,""en"",""pt"")"),"Nezlobnaya")</f>
        <v>Nezlobnaya</v>
      </c>
      <c r="B17564" s="9" t="s">
        <v>22804</v>
      </c>
      <c r="C17564" s="9" t="s">
        <v>22070</v>
      </c>
      <c r="D17564" s="9" t="s">
        <v>22117</v>
      </c>
      <c r="E17564" s="10">
        <v>522301</v>
      </c>
      <c r="F17564" s="4" t="str">
        <f>IF(B17564=B17563,"",B17564)</f>
        <v/>
      </c>
    </row>
    <row r="17565" spans="1:6" ht="15.75" customHeight="1">
      <c r="A17565" s="8" t="str">
        <f ca="1">IFERROR(__xludf.DUMMYFUNCTION("GOOGLETRANSLATE(B32611,""en"",""pt"")"),"Neyyāttinkara")</f>
        <v>Neyyāttinkara</v>
      </c>
      <c r="B17565" s="11" t="s">
        <v>33301</v>
      </c>
      <c r="C17565" s="11" t="s">
        <v>10178</v>
      </c>
      <c r="D17565" s="11" t="s">
        <v>10246</v>
      </c>
      <c r="E17565" s="10">
        <v>1261470</v>
      </c>
      <c r="F17565" s="4" t="str">
        <f>IF(B17565=B17564,"",B17565)</f>
        <v>Neyyāttinkara</v>
      </c>
    </row>
    <row r="17566" spans="1:6" ht="15.75" customHeight="1">
      <c r="A17566" s="16" t="s">
        <v>12652</v>
      </c>
      <c r="B17566" s="15" t="s">
        <v>12653</v>
      </c>
      <c r="C17566" s="16" t="s">
        <v>10178</v>
      </c>
      <c r="D17566" s="16" t="s">
        <v>10246</v>
      </c>
      <c r="E17566" s="2">
        <v>1261470</v>
      </c>
      <c r="F17566" s="4" t="str">
        <f>IF(B17566=B17565,"",B17566)</f>
        <v>NeyyÄttinkara</v>
      </c>
    </row>
    <row r="17567" spans="1:6" ht="15.75" customHeight="1">
      <c r="A17567" s="8" t="str">
        <f ca="1">IFERROR(__xludf.DUMMYFUNCTION("GOOGLETRANSLATE(B34406,""en"",""pt"")"),"Neyrīz")</f>
        <v>Neyrīz</v>
      </c>
      <c r="B17567" s="11" t="s">
        <v>34169</v>
      </c>
      <c r="C17567" s="11" t="s">
        <v>14240</v>
      </c>
      <c r="D17567" s="11" t="s">
        <v>14244</v>
      </c>
      <c r="E17567" s="10">
        <v>122289</v>
      </c>
      <c r="F17567" s="4" t="str">
        <f>IF(B17567=B17566,"",B17567)</f>
        <v>Neyrīz</v>
      </c>
    </row>
    <row r="17568" spans="1:6" ht="15.75" customHeight="1">
      <c r="A17568" s="15" t="s">
        <v>14477</v>
      </c>
      <c r="B17568" s="15" t="s">
        <v>14478</v>
      </c>
      <c r="C17568" s="15" t="s">
        <v>14240</v>
      </c>
      <c r="D17568" s="15" t="s">
        <v>14244</v>
      </c>
      <c r="E17568" s="2">
        <v>122289</v>
      </c>
      <c r="F17568" s="4" t="str">
        <f>IF(B17568=B17567,"",B17568)</f>
        <v>NeyrÄ«z</v>
      </c>
    </row>
    <row r="17569" spans="1:6" ht="15.75" customHeight="1">
      <c r="A17569" s="16" t="s">
        <v>16298</v>
      </c>
      <c r="B17569" s="15" t="s">
        <v>16298</v>
      </c>
      <c r="C17569" s="16" t="s">
        <v>15704</v>
      </c>
      <c r="D17569" s="16" t="s">
        <v>15853</v>
      </c>
      <c r="E17569" s="2">
        <v>6697563</v>
      </c>
      <c r="F17569" s="4" t="str">
        <f>IF(B17569=B17568,"",B17569)</f>
        <v>Neyagawa</v>
      </c>
    </row>
    <row r="17570" spans="1:6" ht="15.75" customHeight="1">
      <c r="A17570" s="8" t="str">
        <f ca="1">IFERROR(__xludf.DUMMYFUNCTION("GOOGLETRANSLATE(B35870,""en"",""pt"")"),"Neyagawa")</f>
        <v>Neyagawa</v>
      </c>
      <c r="B17570" s="11" t="s">
        <v>16298</v>
      </c>
      <c r="C17570" s="11" t="s">
        <v>15704</v>
      </c>
      <c r="D17570" s="11" t="s">
        <v>34295</v>
      </c>
      <c r="E17570" s="10">
        <v>6697563</v>
      </c>
      <c r="F17570" s="4" t="str">
        <f>IF(B17570=B17569,"",B17570)</f>
        <v/>
      </c>
    </row>
    <row r="17571" spans="1:6" ht="15.75" customHeight="1">
      <c r="A17571" s="16" t="s">
        <v>27568</v>
      </c>
      <c r="B17571" s="15" t="s">
        <v>27569</v>
      </c>
      <c r="C17571" s="16" t="s">
        <v>27234</v>
      </c>
      <c r="D17571" s="16" t="s">
        <v>27259</v>
      </c>
      <c r="E17571" s="2">
        <v>2641519</v>
      </c>
      <c r="F17571" s="4" t="str">
        <f>IF(B17571=B17570,"",B17571)</f>
        <v>Newtownards</v>
      </c>
    </row>
    <row r="17572" spans="1:6" ht="15.75" customHeight="1">
      <c r="A17572" s="8" t="str">
        <f ca="1">IFERROR(__xludf.DUMMYFUNCTION("GOOGLETRANSLATE(B30509,""en"",""pt"")"),"Newtowards")</f>
        <v>Newtowards</v>
      </c>
      <c r="B17572" s="9" t="s">
        <v>27569</v>
      </c>
      <c r="C17572" s="9" t="s">
        <v>27234</v>
      </c>
      <c r="D17572" s="9" t="s">
        <v>27259</v>
      </c>
      <c r="E17572" s="10">
        <v>2641519</v>
      </c>
      <c r="F17572" s="4" t="str">
        <f>IF(B17572=B17571,"",B17572)</f>
        <v/>
      </c>
    </row>
    <row r="17573" spans="1:6" ht="15.75" customHeight="1">
      <c r="A17573" s="16" t="s">
        <v>27567</v>
      </c>
      <c r="B17573" s="15" t="s">
        <v>27567</v>
      </c>
      <c r="C17573" s="16" t="s">
        <v>27234</v>
      </c>
      <c r="D17573" s="16" t="s">
        <v>27259</v>
      </c>
      <c r="E17573" s="2">
        <v>2641520</v>
      </c>
      <c r="F17573" s="4" t="str">
        <f>IF(B17573=B17572,"",B17573)</f>
        <v>Newtownabbey</v>
      </c>
    </row>
    <row r="17574" spans="1:6" ht="15.75" customHeight="1">
      <c r="A17574" s="8" t="str">
        <f ca="1">IFERROR(__xludf.DUMMYFUNCTION("GOOGLETRANSLATE(B30510,""en"",""pt"")"),"Newtownabbey")</f>
        <v>Newtownabbey</v>
      </c>
      <c r="B17574" s="9" t="s">
        <v>27567</v>
      </c>
      <c r="C17574" s="9" t="s">
        <v>27234</v>
      </c>
      <c r="D17574" s="9" t="s">
        <v>27259</v>
      </c>
      <c r="E17574" s="10">
        <v>2641520</v>
      </c>
      <c r="F17574" s="4" t="str">
        <f>IF(B17574=B17573,"",B17574)</f>
        <v/>
      </c>
    </row>
    <row r="17575" spans="1:6" ht="15.75" customHeight="1">
      <c r="A17575" s="16" t="s">
        <v>27566</v>
      </c>
      <c r="B17575" s="15" t="s">
        <v>27566</v>
      </c>
      <c r="C17575" s="16" t="s">
        <v>27234</v>
      </c>
      <c r="D17575" s="16" t="s">
        <v>27241</v>
      </c>
      <c r="E17575" s="2">
        <v>2641546</v>
      </c>
      <c r="F17575" s="4" t="str">
        <f>IF(B17575=B17574,"",B17575)</f>
        <v>Newton-le-Willows</v>
      </c>
    </row>
    <row r="17576" spans="1:6" ht="15.75" customHeight="1">
      <c r="A17576" s="8" t="str">
        <f ca="1">IFERROR(__xludf.DUMMYFUNCTION("GOOGLETRANSLATE(B30512,""en"",""pt"")"),"Newton-le-Willows")</f>
        <v>Newton-le-Willows</v>
      </c>
      <c r="B17576" s="9" t="s">
        <v>27566</v>
      </c>
      <c r="C17576" s="9" t="s">
        <v>27234</v>
      </c>
      <c r="D17576" s="9" t="s">
        <v>27241</v>
      </c>
      <c r="E17576" s="10">
        <v>2641546</v>
      </c>
      <c r="F17576" s="4" t="str">
        <f>IF(B17576=B17575,"",B17576)</f>
        <v/>
      </c>
    </row>
    <row r="17577" spans="1:6" ht="15.75" customHeight="1">
      <c r="A17577" s="16" t="s">
        <v>27565</v>
      </c>
      <c r="B17577" s="15" t="s">
        <v>27565</v>
      </c>
      <c r="C17577" s="16" t="s">
        <v>27234</v>
      </c>
      <c r="D17577" s="16" t="s">
        <v>27237</v>
      </c>
      <c r="E17577" s="2">
        <v>2641544</v>
      </c>
      <c r="F17577" s="4" t="str">
        <f>IF(B17577=B17576,"",B17577)</f>
        <v>Newton Mearns</v>
      </c>
    </row>
    <row r="17578" spans="1:6" ht="15.75" customHeight="1">
      <c r="A17578" s="8" t="str">
        <f ca="1">IFERROR(__xludf.DUMMYFUNCTION("GOOGLETRANSLATE(B30511,""en"",""pt"")"),"Newton Mearns")</f>
        <v>Newton Mearns</v>
      </c>
      <c r="B17578" s="9" t="s">
        <v>27565</v>
      </c>
      <c r="C17578" s="9" t="s">
        <v>27234</v>
      </c>
      <c r="D17578" s="9" t="s">
        <v>27237</v>
      </c>
      <c r="E17578" s="10">
        <v>2641544</v>
      </c>
      <c r="F17578" s="4" t="str">
        <f>IF(B17578=B17577,"",B17578)</f>
        <v/>
      </c>
    </row>
    <row r="17579" spans="1:6" ht="15.75" customHeight="1">
      <c r="A17579" s="16" t="s">
        <v>27564</v>
      </c>
      <c r="B17579" s="15" t="s">
        <v>27564</v>
      </c>
      <c r="C17579" s="16" t="s">
        <v>27234</v>
      </c>
      <c r="D17579" s="16" t="s">
        <v>27241</v>
      </c>
      <c r="E17579" s="2">
        <v>2641555</v>
      </c>
      <c r="F17579" s="4" t="str">
        <f>IF(B17579=B17578,"",B17579)</f>
        <v>Newton Aycliffe</v>
      </c>
    </row>
    <row r="17580" spans="1:6" ht="15.75" customHeight="1">
      <c r="A17580" s="8" t="str">
        <f ca="1">IFERROR(__xludf.DUMMYFUNCTION("GOOGLETRANSLATE(B30513,""en"",""pt"")"),"Newton Aycliffe")</f>
        <v>Newton Aycliffe</v>
      </c>
      <c r="B17580" s="9" t="s">
        <v>27564</v>
      </c>
      <c r="C17580" s="9" t="s">
        <v>27234</v>
      </c>
      <c r="D17580" s="9" t="s">
        <v>27241</v>
      </c>
      <c r="E17580" s="10">
        <v>2641555</v>
      </c>
      <c r="F17580" s="4" t="str">
        <f>IF(B17580=B17579,"",B17580)</f>
        <v/>
      </c>
    </row>
    <row r="17581" spans="1:6" ht="15.75" customHeight="1">
      <c r="A17581" s="16" t="s">
        <v>27563</v>
      </c>
      <c r="B17581" s="15" t="s">
        <v>27563</v>
      </c>
      <c r="C17581" s="16" t="s">
        <v>27234</v>
      </c>
      <c r="D17581" s="16" t="s">
        <v>27241</v>
      </c>
      <c r="E17581" s="2">
        <v>2641557</v>
      </c>
      <c r="F17581" s="4" t="str">
        <f>IF(B17581=B17580,"",B17581)</f>
        <v>Newton Abbot</v>
      </c>
    </row>
    <row r="17582" spans="1:6" ht="15.75" customHeight="1">
      <c r="A17582" s="8" t="str">
        <f ca="1">IFERROR(__xludf.DUMMYFUNCTION("GOOGLETRANSLATE(B30514,""en"",""pt"")"),"Newton Abbot")</f>
        <v>Newton Abbot</v>
      </c>
      <c r="B17582" s="9" t="s">
        <v>27563</v>
      </c>
      <c r="C17582" s="9" t="s">
        <v>27234</v>
      </c>
      <c r="D17582" s="9" t="s">
        <v>27241</v>
      </c>
      <c r="E17582" s="10">
        <v>2641557</v>
      </c>
      <c r="F17582" s="4" t="str">
        <f>IF(B17582=B17581,"",B17582)</f>
        <v/>
      </c>
    </row>
    <row r="17583" spans="1:6" ht="15.75" customHeight="1">
      <c r="A17583" s="15" t="s">
        <v>29437</v>
      </c>
      <c r="B17583" s="15" t="s">
        <v>29437</v>
      </c>
      <c r="C17583" s="15" t="s">
        <v>27788</v>
      </c>
      <c r="D17583" s="15" t="s">
        <v>28419</v>
      </c>
      <c r="E17583" s="2">
        <v>4276248</v>
      </c>
      <c r="F17583" s="4" t="str">
        <f>IF(B17583=B17582,"",B17583)</f>
        <v>Newton</v>
      </c>
    </row>
    <row r="17584" spans="1:6" ht="15.75" customHeight="1">
      <c r="A17584" s="15" t="s">
        <v>29437</v>
      </c>
      <c r="B17584" s="15" t="s">
        <v>29437</v>
      </c>
      <c r="C17584" s="15" t="s">
        <v>27788</v>
      </c>
      <c r="D17584" s="15" t="s">
        <v>27859</v>
      </c>
      <c r="E17584" s="2">
        <v>4868907</v>
      </c>
      <c r="F17584" s="4" t="str">
        <f>IF(B17584=B17583,"",B17584)</f>
        <v/>
      </c>
    </row>
    <row r="17585" spans="1:6" ht="15.75" customHeight="1">
      <c r="A17585" s="15" t="s">
        <v>29437</v>
      </c>
      <c r="B17585" s="15" t="s">
        <v>29437</v>
      </c>
      <c r="C17585" s="15" t="s">
        <v>27788</v>
      </c>
      <c r="D17585" s="15" t="s">
        <v>27794</v>
      </c>
      <c r="E17585" s="2">
        <v>4945283</v>
      </c>
      <c r="F17585" s="4" t="str">
        <f>IF(B17585=B17584,"",B17585)</f>
        <v/>
      </c>
    </row>
    <row r="17586" spans="1:6" ht="15.75" customHeight="1">
      <c r="A17586" s="8" t="str">
        <f ca="1">IFERROR(__xludf.DUMMYFUNCTION("GOOGLETRANSLATE(B43178,""en"",""pt"")"),"Newton")</f>
        <v>Newton</v>
      </c>
      <c r="B17586" s="9" t="s">
        <v>29437</v>
      </c>
      <c r="C17586" s="9" t="s">
        <v>27788</v>
      </c>
      <c r="D17586" s="9" t="s">
        <v>28419</v>
      </c>
      <c r="E17586" s="10">
        <v>4276248</v>
      </c>
      <c r="F17586" s="4" t="str">
        <f>IF(B17586=B17585,"",B17586)</f>
        <v/>
      </c>
    </row>
    <row r="17587" spans="1:6" ht="15.75" customHeight="1">
      <c r="A17587" s="8" t="str">
        <f ca="1">IFERROR(__xludf.DUMMYFUNCTION("GOOGLETRANSLATE(B43754,""en"",""pt"")"),"Newton")</f>
        <v>Newton</v>
      </c>
      <c r="B17587" s="9" t="s">
        <v>29437</v>
      </c>
      <c r="C17587" s="9" t="s">
        <v>27788</v>
      </c>
      <c r="D17587" s="9" t="s">
        <v>27859</v>
      </c>
      <c r="E17587" s="10">
        <v>4868907</v>
      </c>
      <c r="F17587" s="4" t="str">
        <f>IF(B17587=B17586,"",B17587)</f>
        <v/>
      </c>
    </row>
    <row r="17588" spans="1:6" ht="15.75" customHeight="1">
      <c r="A17588" s="8" t="str">
        <f ca="1">IFERROR(__xludf.DUMMYFUNCTION("GOOGLETRANSLATE(B44008,""en"",""pt"")"),"Newton")</f>
        <v>Newton</v>
      </c>
      <c r="B17588" s="11" t="s">
        <v>29437</v>
      </c>
      <c r="C17588" s="11" t="s">
        <v>27788</v>
      </c>
      <c r="D17588" s="11" t="s">
        <v>27794</v>
      </c>
      <c r="E17588" s="10">
        <v>4945283</v>
      </c>
      <c r="F17588" s="4" t="str">
        <f>IF(B17588=B17587,"",B17588)</f>
        <v/>
      </c>
    </row>
    <row r="17589" spans="1:6" ht="15.75" customHeight="1">
      <c r="A17589" s="15" t="s">
        <v>27562</v>
      </c>
      <c r="B17589" s="15" t="s">
        <v>27562</v>
      </c>
      <c r="C17589" s="15" t="s">
        <v>27234</v>
      </c>
      <c r="D17589" s="15" t="s">
        <v>27259</v>
      </c>
      <c r="E17589" s="2">
        <v>2641581</v>
      </c>
      <c r="F17589" s="4" t="str">
        <f>IF(B17589=B17588,"",B17589)</f>
        <v>Newry</v>
      </c>
    </row>
    <row r="17590" spans="1:6" ht="15.75" customHeight="1">
      <c r="A17590" s="8" t="str">
        <f ca="1">IFERROR(__xludf.DUMMYFUNCTION("GOOGLETRANSLATE(B30515,""en"",""pt"")"),"Newry")</f>
        <v>Newry</v>
      </c>
      <c r="B17590" s="11" t="s">
        <v>27562</v>
      </c>
      <c r="C17590" s="11" t="s">
        <v>27234</v>
      </c>
      <c r="D17590" s="11" t="s">
        <v>27259</v>
      </c>
      <c r="E17590" s="10">
        <v>2641581</v>
      </c>
      <c r="F17590" s="4" t="str">
        <f>IF(B17590=B17589,"",B17590)</f>
        <v/>
      </c>
    </row>
    <row r="17591" spans="1:6" ht="15.75" customHeight="1">
      <c r="A17591" s="15" t="s">
        <v>27561</v>
      </c>
      <c r="B17591" s="15" t="s">
        <v>27561</v>
      </c>
      <c r="C17591" s="15" t="s">
        <v>27234</v>
      </c>
      <c r="D17591" s="15" t="s">
        <v>27241</v>
      </c>
      <c r="E17591" s="2">
        <v>2641589</v>
      </c>
      <c r="F17591" s="4" t="str">
        <f>IF(B17591=B17590,"",B17591)</f>
        <v>Newquay</v>
      </c>
    </row>
    <row r="17592" spans="1:6" ht="15.75" customHeight="1">
      <c r="A17592" s="8" t="str">
        <f ca="1">IFERROR(__xludf.DUMMYFUNCTION("GOOGLETRANSLATE(B30516,""en"",""pt"")"),"Newquay")</f>
        <v>Newquay</v>
      </c>
      <c r="B17592" s="11" t="s">
        <v>27561</v>
      </c>
      <c r="C17592" s="11" t="s">
        <v>27234</v>
      </c>
      <c r="D17592" s="11" t="s">
        <v>27241</v>
      </c>
      <c r="E17592" s="10">
        <v>2641589</v>
      </c>
      <c r="F17592" s="4" t="str">
        <f>IF(B17592=B17591,"",B17592)</f>
        <v/>
      </c>
    </row>
    <row r="17593" spans="1:6" ht="15.75" customHeight="1">
      <c r="A17593" s="16" t="s">
        <v>27560</v>
      </c>
      <c r="B17593" s="15" t="s">
        <v>27560</v>
      </c>
      <c r="C17593" s="16" t="s">
        <v>27234</v>
      </c>
      <c r="D17593" s="16" t="s">
        <v>27241</v>
      </c>
      <c r="E17593" s="2">
        <v>2641591</v>
      </c>
      <c r="F17593" s="4" t="str">
        <f>IF(B17593=B17592,"",B17593)</f>
        <v>Newport Pagnell</v>
      </c>
    </row>
    <row r="17594" spans="1:6" ht="15.75" customHeight="1">
      <c r="A17594" s="8" t="str">
        <f ca="1">IFERROR(__xludf.DUMMYFUNCTION("GOOGLETRANSLATE(B30517,""en"",""pt"")"),"Newport Pagnell")</f>
        <v>Newport Pagnell</v>
      </c>
      <c r="B17594" s="11" t="s">
        <v>27560</v>
      </c>
      <c r="C17594" s="11" t="s">
        <v>27234</v>
      </c>
      <c r="D17594" s="11" t="s">
        <v>27241</v>
      </c>
      <c r="E17594" s="10">
        <v>2641591</v>
      </c>
      <c r="F17594" s="4" t="str">
        <f>IF(B17594=B17593,"",B17594)</f>
        <v/>
      </c>
    </row>
    <row r="17595" spans="1:6" ht="15.75" customHeight="1">
      <c r="A17595" s="16" t="s">
        <v>29435</v>
      </c>
      <c r="B17595" s="15" t="s">
        <v>29436</v>
      </c>
      <c r="C17595" s="16" t="s">
        <v>27788</v>
      </c>
      <c r="D17595" s="16" t="s">
        <v>27801</v>
      </c>
      <c r="E17595" s="2">
        <v>5376890</v>
      </c>
      <c r="F17595" s="4" t="str">
        <f>IF(B17595=B17594,"",B17595)</f>
        <v>Newport Beach</v>
      </c>
    </row>
    <row r="17596" spans="1:6" ht="15.75" customHeight="1">
      <c r="A17596" s="8" t="str">
        <f ca="1">IFERROR(__xludf.DUMMYFUNCTION("GOOGLETRANSLATE(B44925,""en"",""pt"")"),"praia de Newport")</f>
        <v>praia de Newport</v>
      </c>
      <c r="B17596" s="11" t="s">
        <v>29436</v>
      </c>
      <c r="C17596" s="11" t="s">
        <v>27788</v>
      </c>
      <c r="D17596" s="11" t="s">
        <v>27801</v>
      </c>
      <c r="E17596" s="10">
        <v>5376890</v>
      </c>
      <c r="F17596" s="4" t="str">
        <f>IF(B17596=B17595,"",B17596)</f>
        <v/>
      </c>
    </row>
    <row r="17597" spans="1:6" ht="15.75" customHeight="1">
      <c r="A17597" s="15" t="s">
        <v>27559</v>
      </c>
      <c r="B17597" s="15" t="s">
        <v>27559</v>
      </c>
      <c r="C17597" s="15" t="s">
        <v>27234</v>
      </c>
      <c r="D17597" s="15" t="s">
        <v>27235</v>
      </c>
      <c r="E17597" s="2">
        <v>2641598</v>
      </c>
      <c r="F17597" s="4" t="str">
        <f>IF(B17597=B17596,"",B17597)</f>
        <v>Newport</v>
      </c>
    </row>
    <row r="17598" spans="1:6" ht="15.75" customHeight="1">
      <c r="A17598" s="15" t="s">
        <v>27559</v>
      </c>
      <c r="B17598" s="15" t="s">
        <v>27559</v>
      </c>
      <c r="C17598" s="15" t="s">
        <v>27234</v>
      </c>
      <c r="D17598" s="15" t="s">
        <v>27241</v>
      </c>
      <c r="E17598" s="2">
        <v>2641599</v>
      </c>
      <c r="F17598" s="4" t="str">
        <f>IF(B17598=B17597,"",B17598)</f>
        <v/>
      </c>
    </row>
    <row r="17599" spans="1:6" ht="15.75" customHeight="1">
      <c r="A17599" s="15" t="s">
        <v>27559</v>
      </c>
      <c r="B17599" s="15" t="s">
        <v>27559</v>
      </c>
      <c r="C17599" s="15" t="s">
        <v>27788</v>
      </c>
      <c r="D17599" s="15" t="s">
        <v>27909</v>
      </c>
      <c r="E17599" s="2">
        <v>4302529</v>
      </c>
      <c r="F17599" s="4" t="str">
        <f>IF(B17599=B17598,"",B17599)</f>
        <v/>
      </c>
    </row>
    <row r="17600" spans="1:6" ht="15.75" customHeight="1">
      <c r="A17600" s="15" t="s">
        <v>27559</v>
      </c>
      <c r="B17600" s="15" t="s">
        <v>27559</v>
      </c>
      <c r="C17600" s="15" t="s">
        <v>27788</v>
      </c>
      <c r="D17600" s="15" t="s">
        <v>27951</v>
      </c>
      <c r="E17600" s="2">
        <v>5223593</v>
      </c>
      <c r="F17600" s="4" t="str">
        <f>IF(B17600=B17599,"",B17600)</f>
        <v/>
      </c>
    </row>
    <row r="17601" spans="1:6" ht="15.75" customHeight="1">
      <c r="A17601" s="8" t="str">
        <f ca="1">IFERROR(__xludf.DUMMYFUNCTION("GOOGLETRANSLATE(B30518,""en"",""pt"")"),"Newport")</f>
        <v>Newport</v>
      </c>
      <c r="B17601" s="11" t="s">
        <v>27559</v>
      </c>
      <c r="C17601" s="11" t="s">
        <v>27234</v>
      </c>
      <c r="D17601" s="11" t="s">
        <v>27235</v>
      </c>
      <c r="E17601" s="10">
        <v>2641598</v>
      </c>
      <c r="F17601" s="4" t="str">
        <f>IF(B17601=B17600,"",B17601)</f>
        <v/>
      </c>
    </row>
    <row r="17602" spans="1:6" ht="15.75" customHeight="1">
      <c r="A17602" s="8" t="str">
        <f ca="1">IFERROR(__xludf.DUMMYFUNCTION("GOOGLETRANSLATE(B30519,""en"",""pt"")"),"Newport")</f>
        <v>Newport</v>
      </c>
      <c r="B17602" s="9" t="s">
        <v>27559</v>
      </c>
      <c r="C17602" s="9" t="s">
        <v>27234</v>
      </c>
      <c r="D17602" s="9" t="s">
        <v>27241</v>
      </c>
      <c r="E17602" s="10">
        <v>2641599</v>
      </c>
      <c r="F17602" s="4" t="str">
        <f>IF(B17602=B17601,"",B17602)</f>
        <v/>
      </c>
    </row>
    <row r="17603" spans="1:6" ht="15.75" customHeight="1">
      <c r="A17603" s="8" t="str">
        <f ca="1">IFERROR(__xludf.DUMMYFUNCTION("GOOGLETRANSLATE(B43212,""en"",""pt"")"),"Newport")</f>
        <v>Newport</v>
      </c>
      <c r="B17603" s="11" t="s">
        <v>27559</v>
      </c>
      <c r="C17603" s="11" t="s">
        <v>27788</v>
      </c>
      <c r="D17603" s="11" t="s">
        <v>27909</v>
      </c>
      <c r="E17603" s="10">
        <v>4302529</v>
      </c>
      <c r="F17603" s="4" t="str">
        <f>IF(B17603=B17602,"",B17603)</f>
        <v/>
      </c>
    </row>
    <row r="17604" spans="1:6" ht="15.75" customHeight="1">
      <c r="A17604" s="8" t="str">
        <f ca="1">IFERROR(__xludf.DUMMYFUNCTION("GOOGLETRANSLATE(B44612,""en"",""pt"")"),"Newport")</f>
        <v>Newport</v>
      </c>
      <c r="B17604" s="9" t="s">
        <v>27559</v>
      </c>
      <c r="C17604" s="9" t="s">
        <v>27788</v>
      </c>
      <c r="D17604" s="9" t="s">
        <v>27951</v>
      </c>
      <c r="E17604" s="10">
        <v>5223593</v>
      </c>
      <c r="F17604" s="4" t="str">
        <f>IF(B17604=B17603,"",B17604)</f>
        <v/>
      </c>
    </row>
    <row r="17605" spans="1:6" ht="15.75" customHeight="1">
      <c r="A17605" s="15" t="s">
        <v>29433</v>
      </c>
      <c r="B17605" s="15" t="s">
        <v>29434</v>
      </c>
      <c r="C17605" s="15" t="s">
        <v>27788</v>
      </c>
      <c r="D17605" s="15" t="s">
        <v>7988</v>
      </c>
      <c r="E17605" s="2">
        <v>4212684</v>
      </c>
      <c r="F17605" s="4" t="str">
        <f>IF(B17605=B17604,"",B17605)</f>
        <v>Newnan</v>
      </c>
    </row>
    <row r="17606" spans="1:6" ht="15.75" customHeight="1">
      <c r="A17606" s="8" t="str">
        <f ca="1">IFERROR(__xludf.DUMMYFUNCTION("GOOGLETRANSLATE(B43097,""en"",""pt"")"),"NEWNAN")</f>
        <v>NEWNAN</v>
      </c>
      <c r="B17606" s="9" t="s">
        <v>29434</v>
      </c>
      <c r="C17606" s="9" t="s">
        <v>27788</v>
      </c>
      <c r="D17606" s="9" t="s">
        <v>7988</v>
      </c>
      <c r="E17606" s="10">
        <v>4212684</v>
      </c>
      <c r="F17606" s="4" t="str">
        <f>IF(B17606=B17605,"",B17606)</f>
        <v/>
      </c>
    </row>
    <row r="17607" spans="1:6" ht="15.75" customHeight="1">
      <c r="A17607" s="16" t="s">
        <v>4117</v>
      </c>
      <c r="B17607" s="15" t="s">
        <v>4118</v>
      </c>
      <c r="C17607" s="16" t="s">
        <v>3975</v>
      </c>
      <c r="D17607" s="16" t="s">
        <v>3980</v>
      </c>
      <c r="E17607" s="2">
        <v>6087701</v>
      </c>
      <c r="F17607" s="4" t="str">
        <f>IF(B17607=B17606,"",B17607)</f>
        <v>Newmarket</v>
      </c>
    </row>
    <row r="17608" spans="1:6" ht="15.75" customHeight="1">
      <c r="A17608" s="16" t="s">
        <v>4117</v>
      </c>
      <c r="B17608" s="15" t="s">
        <v>4118</v>
      </c>
      <c r="C17608" s="16" t="s">
        <v>27234</v>
      </c>
      <c r="D17608" s="16" t="s">
        <v>27241</v>
      </c>
      <c r="E17608" s="2">
        <v>2641616</v>
      </c>
      <c r="F17608" s="4" t="str">
        <f>IF(B17608=B17607,"",B17608)</f>
        <v/>
      </c>
    </row>
    <row r="17609" spans="1:6" ht="15.75" customHeight="1">
      <c r="A17609" s="8" t="str">
        <f ca="1">IFERROR(__xludf.DUMMYFUNCTION("GOOGLETRANSLATE(B25524,""en"",""pt"")"),"Novo Mercado")</f>
        <v>Novo Mercado</v>
      </c>
      <c r="B17609" s="9" t="s">
        <v>4118</v>
      </c>
      <c r="C17609" s="9" t="s">
        <v>3975</v>
      </c>
      <c r="D17609" s="9" t="s">
        <v>3980</v>
      </c>
      <c r="E17609" s="10">
        <v>6087701</v>
      </c>
      <c r="F17609" s="4" t="str">
        <f>IF(B17609=B17608,"",B17609)</f>
        <v/>
      </c>
    </row>
    <row r="17610" spans="1:6" ht="15.75" customHeight="1">
      <c r="A17610" s="8" t="str">
        <f ca="1">IFERROR(__xludf.DUMMYFUNCTION("GOOGLETRANSLATE(B30521,""en"",""pt"")"),"Novo Mercado")</f>
        <v>Novo Mercado</v>
      </c>
      <c r="B17610" s="9" t="s">
        <v>4118</v>
      </c>
      <c r="C17610" s="9" t="s">
        <v>27234</v>
      </c>
      <c r="D17610" s="9" t="s">
        <v>27241</v>
      </c>
      <c r="E17610" s="10">
        <v>2641616</v>
      </c>
      <c r="F17610" s="4" t="str">
        <f>IF(B17610=B17609,"",B17610)</f>
        <v/>
      </c>
    </row>
    <row r="17611" spans="1:6" ht="15.75" customHeight="1">
      <c r="A17611" s="16" t="s">
        <v>27557</v>
      </c>
      <c r="B17611" s="15" t="s">
        <v>27558</v>
      </c>
      <c r="C17611" s="16" t="s">
        <v>27234</v>
      </c>
      <c r="D17611" s="16" t="s">
        <v>27241</v>
      </c>
      <c r="E17611" s="2">
        <v>2641673</v>
      </c>
      <c r="F17611" s="4" t="str">
        <f>IF(B17611=B17610,"",B17611)</f>
        <v>Newcastle upon Tyne</v>
      </c>
    </row>
    <row r="17612" spans="1:6" ht="15.75" customHeight="1">
      <c r="A17612" s="8" t="str">
        <f ca="1">IFERROR(__xludf.DUMMYFUNCTION("GOOGLETRANSLATE(B30523,""en"",""pt"")"),"Newcastle Upon Tyne")</f>
        <v>Newcastle Upon Tyne</v>
      </c>
      <c r="B17612" s="9" t="s">
        <v>27558</v>
      </c>
      <c r="C17612" s="9" t="s">
        <v>27234</v>
      </c>
      <c r="D17612" s="9" t="s">
        <v>27241</v>
      </c>
      <c r="E17612" s="10">
        <v>2641673</v>
      </c>
      <c r="F17612" s="4" t="str">
        <f>IF(B17612=B17611,"",B17612)</f>
        <v/>
      </c>
    </row>
    <row r="17613" spans="1:6" ht="15.75" customHeight="1">
      <c r="A17613" s="16" t="s">
        <v>27555</v>
      </c>
      <c r="B17613" s="15" t="s">
        <v>27556</v>
      </c>
      <c r="C17613" s="16" t="s">
        <v>27234</v>
      </c>
      <c r="D17613" s="16" t="s">
        <v>27241</v>
      </c>
      <c r="E17613" s="2">
        <v>2641674</v>
      </c>
      <c r="F17613" s="4" t="str">
        <f>IF(B17613=B17612,"",B17613)</f>
        <v>Newcastle under Lyme</v>
      </c>
    </row>
    <row r="17614" spans="1:6" ht="15.75" customHeight="1">
      <c r="A17614" s="8" t="str">
        <f ca="1">IFERROR(__xludf.DUMMYFUNCTION("GOOGLETRANSLATE(B30524,""en"",""pt"")"),"Newcastle sob Lyme")</f>
        <v>Newcastle sob Lyme</v>
      </c>
      <c r="B17614" s="9" t="s">
        <v>27556</v>
      </c>
      <c r="C17614" s="9" t="s">
        <v>27234</v>
      </c>
      <c r="D17614" s="9" t="s">
        <v>27241</v>
      </c>
      <c r="E17614" s="10">
        <v>2641674</v>
      </c>
      <c r="F17614" s="4" t="str">
        <f>IF(B17614=B17613,"",B17614)</f>
        <v/>
      </c>
    </row>
    <row r="17615" spans="1:6" ht="15.75" customHeight="1">
      <c r="A17615" s="16" t="s">
        <v>1047</v>
      </c>
      <c r="B17615" s="15" t="s">
        <v>1047</v>
      </c>
      <c r="C17615" s="16" t="s">
        <v>885</v>
      </c>
      <c r="D17615" s="16" t="s">
        <v>891</v>
      </c>
      <c r="E17615" s="2">
        <v>2155472</v>
      </c>
      <c r="F17615" s="4" t="str">
        <f>IF(B17615=B17614,"",B17615)</f>
        <v>Newcastle</v>
      </c>
    </row>
    <row r="17616" spans="1:6" ht="15.75" customHeight="1">
      <c r="A17616" s="16" t="s">
        <v>1047</v>
      </c>
      <c r="B17616" s="15" t="s">
        <v>1047</v>
      </c>
      <c r="C17616" s="16" t="s">
        <v>23842</v>
      </c>
      <c r="D17616" s="16" t="s">
        <v>23851</v>
      </c>
      <c r="E17616" s="2">
        <v>971421</v>
      </c>
      <c r="F17616" s="4" t="str">
        <f>IF(B17616=B17615,"",B17616)</f>
        <v/>
      </c>
    </row>
    <row r="17617" spans="1:6" ht="15.75" customHeight="1">
      <c r="A17617" s="8" t="str">
        <f ca="1">IFERROR(__xludf.DUMMYFUNCTION("GOOGLETRANSLATE(B23470,""en"",""pt"")"),"Newcastle")</f>
        <v>Newcastle</v>
      </c>
      <c r="B17617" s="11" t="s">
        <v>1047</v>
      </c>
      <c r="C17617" s="11" t="s">
        <v>885</v>
      </c>
      <c r="D17617" s="11" t="s">
        <v>891</v>
      </c>
      <c r="E17617" s="10">
        <v>2155472</v>
      </c>
      <c r="F17617" s="4" t="str">
        <f>IF(B17617=B17616,"",B17617)</f>
        <v/>
      </c>
    </row>
    <row r="17618" spans="1:6" ht="15.75" customHeight="1">
      <c r="A17618" s="8" t="str">
        <f ca="1">IFERROR(__xludf.DUMMYFUNCTION("GOOGLETRANSLATE(B45908,""en"",""pt"")"),"Newcastle")</f>
        <v>Newcastle</v>
      </c>
      <c r="B17618" s="9" t="s">
        <v>1047</v>
      </c>
      <c r="C17618" s="9" t="s">
        <v>23842</v>
      </c>
      <c r="D17618" s="9" t="s">
        <v>23851</v>
      </c>
      <c r="E17618" s="10">
        <v>971421</v>
      </c>
      <c r="F17618" s="4" t="str">
        <f>IF(B17618=B17617,"",B17618)</f>
        <v/>
      </c>
    </row>
    <row r="17619" spans="1:6" ht="15.75" customHeight="1">
      <c r="A17619" s="16" t="s">
        <v>29432</v>
      </c>
      <c r="B17619" s="15" t="s">
        <v>29432</v>
      </c>
      <c r="C17619" s="16" t="s">
        <v>27788</v>
      </c>
      <c r="D17619" s="16" t="s">
        <v>27794</v>
      </c>
      <c r="E17619" s="2">
        <v>4945256</v>
      </c>
      <c r="F17619" s="4" t="str">
        <f>IF(B17619=B17618,"",B17619)</f>
        <v>Newburyport</v>
      </c>
    </row>
    <row r="17620" spans="1:6" ht="15.75" customHeight="1">
      <c r="A17620" s="8" t="str">
        <f ca="1">IFERROR(__xludf.DUMMYFUNCTION("GOOGLETRANSLATE(B44007,""en"",""pt"")"),"Newburyport")</f>
        <v>Newburyport</v>
      </c>
      <c r="B17620" s="9" t="s">
        <v>29432</v>
      </c>
      <c r="C17620" s="9" t="s">
        <v>27788</v>
      </c>
      <c r="D17620" s="9" t="s">
        <v>27794</v>
      </c>
      <c r="E17620" s="10">
        <v>4945256</v>
      </c>
      <c r="F17620" s="4" t="str">
        <f>IF(B17620=B17619,"",B17620)</f>
        <v/>
      </c>
    </row>
    <row r="17621" spans="1:6" ht="15.75" customHeight="1">
      <c r="A17621" s="15" t="s">
        <v>27554</v>
      </c>
      <c r="B17621" s="15" t="s">
        <v>27554</v>
      </c>
      <c r="C17621" s="15" t="s">
        <v>27234</v>
      </c>
      <c r="D17621" s="15" t="s">
        <v>27241</v>
      </c>
      <c r="E17621" s="2">
        <v>2641689</v>
      </c>
      <c r="F17621" s="4" t="str">
        <f>IF(B17621=B17620,"",B17621)</f>
        <v>Newbury</v>
      </c>
    </row>
    <row r="17622" spans="1:6" ht="15.75" customHeight="1">
      <c r="A17622" s="8" t="str">
        <f ca="1">IFERROR(__xludf.DUMMYFUNCTION("GOOGLETRANSLATE(B30525,""en"",""pt"")"),"Newbury")</f>
        <v>Newbury</v>
      </c>
      <c r="B17622" s="9" t="s">
        <v>27554</v>
      </c>
      <c r="C17622" s="9" t="s">
        <v>27234</v>
      </c>
      <c r="D17622" s="9" t="s">
        <v>27241</v>
      </c>
      <c r="E17622" s="10">
        <v>2641689</v>
      </c>
      <c r="F17622" s="4" t="str">
        <f>IF(B17622=B17621,"",B17622)</f>
        <v/>
      </c>
    </row>
    <row r="17623" spans="1:6" ht="15.75" customHeight="1">
      <c r="A17623" s="15" t="s">
        <v>27553</v>
      </c>
      <c r="B17623" s="15" t="s">
        <v>27553</v>
      </c>
      <c r="C17623" s="15" t="s">
        <v>27234</v>
      </c>
      <c r="D17623" s="15" t="s">
        <v>27241</v>
      </c>
      <c r="E17623" s="2">
        <v>2641690</v>
      </c>
      <c r="F17623" s="4" t="str">
        <f>IF(B17623=B17622,"",B17623)</f>
        <v>Newburn</v>
      </c>
    </row>
    <row r="17624" spans="1:6" ht="15.75" customHeight="1">
      <c r="A17624" s="8" t="str">
        <f ca="1">IFERROR(__xludf.DUMMYFUNCTION("GOOGLETRANSLATE(B30526,""en"",""pt"")"),"Newburn")</f>
        <v>Newburn</v>
      </c>
      <c r="B17624" s="9" t="s">
        <v>27553</v>
      </c>
      <c r="C17624" s="9" t="s">
        <v>27234</v>
      </c>
      <c r="D17624" s="9" t="s">
        <v>27241</v>
      </c>
      <c r="E17624" s="10">
        <v>2641690</v>
      </c>
      <c r="F17624" s="4" t="str">
        <f>IF(B17624=B17623,"",B17624)</f>
        <v/>
      </c>
    </row>
    <row r="17625" spans="1:6" ht="15.75" customHeight="1">
      <c r="A17625" s="16" t="s">
        <v>29431</v>
      </c>
      <c r="B17625" s="15" t="s">
        <v>29431</v>
      </c>
      <c r="C17625" s="16" t="s">
        <v>27788</v>
      </c>
      <c r="D17625" s="16" t="s">
        <v>27819</v>
      </c>
      <c r="E17625" s="2">
        <v>5128654</v>
      </c>
      <c r="F17625" s="4" t="str">
        <f>IF(B17625=B17624,"",B17625)</f>
        <v>Newburgh</v>
      </c>
    </row>
    <row r="17626" spans="1:6" ht="15.75" customHeight="1">
      <c r="A17626" s="8" t="str">
        <f ca="1">IFERROR(__xludf.DUMMYFUNCTION("GOOGLETRANSLATE(B44419,""en"",""pt"")"),"Newburgh")</f>
        <v>Newburgh</v>
      </c>
      <c r="B17626" s="9" t="s">
        <v>29431</v>
      </c>
      <c r="C17626" s="9" t="s">
        <v>27788</v>
      </c>
      <c r="D17626" s="9" t="s">
        <v>27819</v>
      </c>
      <c r="E17626" s="10">
        <v>5128654</v>
      </c>
      <c r="F17626" s="4" t="str">
        <f>IF(B17626=B17625,"",B17626)</f>
        <v/>
      </c>
    </row>
    <row r="17627" spans="1:6" ht="15.75" customHeight="1">
      <c r="A17627" s="15" t="s">
        <v>29430</v>
      </c>
      <c r="B17627" s="15" t="s">
        <v>29430</v>
      </c>
      <c r="C17627" s="15" t="s">
        <v>27788</v>
      </c>
      <c r="D17627" s="15" t="s">
        <v>27909</v>
      </c>
      <c r="E17627" s="2">
        <v>4302504</v>
      </c>
      <c r="F17627" s="4" t="str">
        <f>IF(B17627=B17626,"",B17627)</f>
        <v>Newburg</v>
      </c>
    </row>
    <row r="17628" spans="1:6" ht="15.75" customHeight="1">
      <c r="A17628" s="8" t="str">
        <f ca="1">IFERROR(__xludf.DUMMYFUNCTION("GOOGLETRANSLATE(B43211,""en"",""pt"")"),"Newburg")</f>
        <v>Newburg</v>
      </c>
      <c r="B17628" s="9" t="s">
        <v>29430</v>
      </c>
      <c r="C17628" s="9" t="s">
        <v>27788</v>
      </c>
      <c r="D17628" s="9" t="s">
        <v>27909</v>
      </c>
      <c r="E17628" s="10">
        <v>4302504</v>
      </c>
      <c r="F17628" s="4" t="str">
        <f>IF(B17628=B17627,"",B17628)</f>
        <v/>
      </c>
    </row>
    <row r="17629" spans="1:6" ht="15.75" customHeight="1">
      <c r="A17629" s="15" t="s">
        <v>29429</v>
      </c>
      <c r="B17629" s="15" t="s">
        <v>29429</v>
      </c>
      <c r="C17629" s="15" t="s">
        <v>27788</v>
      </c>
      <c r="D17629" s="15" t="s">
        <v>27820</v>
      </c>
      <c r="E17629" s="2">
        <v>5742726</v>
      </c>
      <c r="F17629" s="4" t="str">
        <f>IF(B17629=B17628,"",B17629)</f>
        <v>Newberg</v>
      </c>
    </row>
    <row r="17630" spans="1:6" ht="15.75" customHeight="1">
      <c r="A17630" s="8" t="str">
        <f ca="1">IFERROR(__xludf.DUMMYFUNCTION("GOOGLETRANSLATE(B45250,""en"",""pt"")"),"Newberg")</f>
        <v>Newberg</v>
      </c>
      <c r="B17630" s="9" t="s">
        <v>29429</v>
      </c>
      <c r="C17630" s="9" t="s">
        <v>27788</v>
      </c>
      <c r="D17630" s="9" t="s">
        <v>27820</v>
      </c>
      <c r="E17630" s="10">
        <v>5742726</v>
      </c>
      <c r="F17630" s="4" t="str">
        <f>IF(B17630=B17629,"",B17630)</f>
        <v/>
      </c>
    </row>
    <row r="17631" spans="1:6" ht="15.75" customHeight="1">
      <c r="A17631" s="16" t="s">
        <v>27551</v>
      </c>
      <c r="B17631" s="15" t="s">
        <v>27552</v>
      </c>
      <c r="C17631" s="16" t="s">
        <v>27234</v>
      </c>
      <c r="D17631" s="16" t="s">
        <v>27241</v>
      </c>
      <c r="E17631" s="2">
        <v>2641731</v>
      </c>
      <c r="F17631" s="4" t="str">
        <f>IF(B17631=B17630,"",B17631)</f>
        <v>Newark on Trent</v>
      </c>
    </row>
    <row r="17632" spans="1:6" ht="15.75" customHeight="1">
      <c r="A17632" s="8" t="str">
        <f ca="1">IFERROR(__xludf.DUMMYFUNCTION("GOOGLETRANSLATE(B30527,""en"",""pt"")"),"Newark em Trent")</f>
        <v>Newark em Trent</v>
      </c>
      <c r="B17632" s="9" t="s">
        <v>27552</v>
      </c>
      <c r="C17632" s="9" t="s">
        <v>27234</v>
      </c>
      <c r="D17632" s="9" t="s">
        <v>27241</v>
      </c>
      <c r="E17632" s="10">
        <v>2641731</v>
      </c>
      <c r="F17632" s="4" t="str">
        <f>IF(B17632=B17631,"",B17632)</f>
        <v/>
      </c>
    </row>
    <row r="17633" spans="1:6" ht="15.75" customHeight="1">
      <c r="A17633" s="15" t="s">
        <v>29428</v>
      </c>
      <c r="B17633" s="15" t="s">
        <v>29428</v>
      </c>
      <c r="C17633" s="15" t="s">
        <v>27788</v>
      </c>
      <c r="D17633" s="15" t="s">
        <v>27978</v>
      </c>
      <c r="E17633" s="2">
        <v>4143861</v>
      </c>
      <c r="F17633" s="4" t="str">
        <f>IF(B17633=B17632,"",B17633)</f>
        <v>Newark</v>
      </c>
    </row>
    <row r="17634" spans="1:6" ht="15.75" customHeight="1">
      <c r="A17634" s="15" t="s">
        <v>29428</v>
      </c>
      <c r="B17634" s="15" t="s">
        <v>29428</v>
      </c>
      <c r="C17634" s="15" t="s">
        <v>27788</v>
      </c>
      <c r="D17634" s="15" t="s">
        <v>27905</v>
      </c>
      <c r="E17634" s="2">
        <v>5101798</v>
      </c>
      <c r="F17634" s="4" t="str">
        <f>IF(B17634=B17633,"",B17634)</f>
        <v/>
      </c>
    </row>
    <row r="17635" spans="1:6" ht="15.75" customHeight="1">
      <c r="A17635" s="15" t="s">
        <v>29428</v>
      </c>
      <c r="B17635" s="15" t="s">
        <v>29428</v>
      </c>
      <c r="C17635" s="15" t="s">
        <v>27788</v>
      </c>
      <c r="D17635" s="15" t="s">
        <v>27813</v>
      </c>
      <c r="E17635" s="2">
        <v>5164466</v>
      </c>
      <c r="F17635" s="4" t="str">
        <f>IF(B17635=B17634,"",B17635)</f>
        <v/>
      </c>
    </row>
    <row r="17636" spans="1:6" ht="15.75" customHeight="1">
      <c r="A17636" s="15" t="s">
        <v>29428</v>
      </c>
      <c r="B17636" s="15" t="s">
        <v>29428</v>
      </c>
      <c r="C17636" s="15" t="s">
        <v>27788</v>
      </c>
      <c r="D17636" s="15" t="s">
        <v>27801</v>
      </c>
      <c r="E17636" s="2">
        <v>5376803</v>
      </c>
      <c r="F17636" s="4" t="str">
        <f>IF(B17636=B17635,"",B17636)</f>
        <v/>
      </c>
    </row>
    <row r="17637" spans="1:6" ht="15.75" customHeight="1">
      <c r="A17637" s="8" t="str">
        <f ca="1">IFERROR(__xludf.DUMMYFUNCTION("GOOGLETRANSLATE(B42837,""en"",""pt"")"),"Newark")</f>
        <v>Newark</v>
      </c>
      <c r="B17637" s="11" t="s">
        <v>29428</v>
      </c>
      <c r="C17637" s="11" t="s">
        <v>27788</v>
      </c>
      <c r="D17637" s="11" t="s">
        <v>27978</v>
      </c>
      <c r="E17637" s="10">
        <v>4143861</v>
      </c>
      <c r="F17637" s="4" t="str">
        <f>IF(B17637=B17636,"",B17637)</f>
        <v/>
      </c>
    </row>
    <row r="17638" spans="1:6" ht="15.75" customHeight="1">
      <c r="A17638" s="8" t="str">
        <f ca="1">IFERROR(__xludf.DUMMYFUNCTION("GOOGLETRANSLATE(B44287,""en"",""pt"")"),"Newark")</f>
        <v>Newark</v>
      </c>
      <c r="B17638" s="9" t="s">
        <v>29428</v>
      </c>
      <c r="C17638" s="9" t="s">
        <v>27788</v>
      </c>
      <c r="D17638" s="9" t="s">
        <v>27905</v>
      </c>
      <c r="E17638" s="10">
        <v>5101798</v>
      </c>
      <c r="F17638" s="4" t="str">
        <f>IF(B17638=B17637,"",B17638)</f>
        <v/>
      </c>
    </row>
    <row r="17639" spans="1:6" ht="15.75" customHeight="1">
      <c r="A17639" s="8" t="str">
        <f ca="1">IFERROR(__xludf.DUMMYFUNCTION("GOOGLETRANSLATE(B44524,""en"",""pt"")"),"Newark")</f>
        <v>Newark</v>
      </c>
      <c r="B17639" s="11" t="s">
        <v>29428</v>
      </c>
      <c r="C17639" s="11" t="s">
        <v>27788</v>
      </c>
      <c r="D17639" s="11" t="s">
        <v>27813</v>
      </c>
      <c r="E17639" s="10">
        <v>5164466</v>
      </c>
      <c r="F17639" s="4" t="str">
        <f>IF(B17639=B17638,"",B17639)</f>
        <v/>
      </c>
    </row>
    <row r="17640" spans="1:6" ht="15.75" customHeight="1">
      <c r="A17640" s="8" t="str">
        <f ca="1">IFERROR(__xludf.DUMMYFUNCTION("GOOGLETRANSLATE(B44924,""en"",""pt"")"),"Newark")</f>
        <v>Newark</v>
      </c>
      <c r="B17640" s="9" t="s">
        <v>29428</v>
      </c>
      <c r="C17640" s="9" t="s">
        <v>27788</v>
      </c>
      <c r="D17640" s="9" t="s">
        <v>27801</v>
      </c>
      <c r="E17640" s="10">
        <v>5376803</v>
      </c>
      <c r="F17640" s="4" t="str">
        <f>IF(B17640=B17639,"",B17640)</f>
        <v/>
      </c>
    </row>
    <row r="17641" spans="1:6" ht="15.75" customHeight="1">
      <c r="A17641" s="16" t="s">
        <v>25720</v>
      </c>
      <c r="B17641" s="15" t="s">
        <v>25720</v>
      </c>
      <c r="C17641" s="16" t="s">
        <v>25560</v>
      </c>
      <c r="D17641" s="16" t="s">
        <v>25648</v>
      </c>
      <c r="E17641" s="2">
        <v>877532</v>
      </c>
      <c r="F17641" s="4" t="str">
        <f>IF(B17641=B17640,"",B17641)</f>
        <v>Newala Kisimani</v>
      </c>
    </row>
    <row r="17642" spans="1:6" ht="15.75" customHeight="1">
      <c r="A17642" s="8" t="str">
        <f ca="1">IFERROR(__xludf.DUMMYFUNCTION("GOOGLETRANSLATE(B42450,""en"",""pt"")"),"Newala Kisimani")</f>
        <v>Newala Kisimani</v>
      </c>
      <c r="B17642" s="9" t="s">
        <v>25720</v>
      </c>
      <c r="C17642" s="9" t="s">
        <v>25560</v>
      </c>
      <c r="D17642" s="9" t="s">
        <v>25648</v>
      </c>
      <c r="E17642" s="10">
        <v>877532</v>
      </c>
      <c r="F17642" s="4" t="str">
        <f>IF(B17642=B17641,"",B17642)</f>
        <v/>
      </c>
    </row>
    <row r="17643" spans="1:6" ht="15.75" customHeight="1">
      <c r="A17643" s="16" t="s">
        <v>29426</v>
      </c>
      <c r="B17643" s="15" t="s">
        <v>29427</v>
      </c>
      <c r="C17643" s="16" t="s">
        <v>27788</v>
      </c>
      <c r="D17643" s="16" t="s">
        <v>27819</v>
      </c>
      <c r="E17643" s="2">
        <v>5128581</v>
      </c>
      <c r="F17643" s="4" t="str">
        <f>IF(B17643=B17642,"",B17643)</f>
        <v>New York City</v>
      </c>
    </row>
    <row r="17644" spans="1:6" ht="15.75" customHeight="1">
      <c r="A17644" s="8" t="str">
        <f ca="1">IFERROR(__xludf.DUMMYFUNCTION("GOOGLETRANSLATE(B44418,""en"",""pt"")"),"Cidade de Nova York")</f>
        <v>Cidade de Nova York</v>
      </c>
      <c r="B17644" s="9" t="s">
        <v>29427</v>
      </c>
      <c r="C17644" s="9" t="s">
        <v>27788</v>
      </c>
      <c r="D17644" s="9" t="s">
        <v>27819</v>
      </c>
      <c r="E17644" s="10">
        <v>5128581</v>
      </c>
      <c r="F17644" s="4" t="str">
        <f>IF(B17644=B17643,"",B17644)</f>
        <v/>
      </c>
    </row>
    <row r="17645" spans="1:6" ht="15.75" customHeight="1">
      <c r="A17645" s="16" t="s">
        <v>17066</v>
      </c>
      <c r="B17645" s="15" t="s">
        <v>17067</v>
      </c>
      <c r="C17645" s="16" t="s">
        <v>5687</v>
      </c>
      <c r="D17645" s="16" t="s">
        <v>17068</v>
      </c>
      <c r="E17645" s="2">
        <v>2272790</v>
      </c>
      <c r="F17645" s="4" t="str">
        <f>IF(B17645=B17644,"",B17645)</f>
        <v>New Yekepa</v>
      </c>
    </row>
    <row r="17646" spans="1:6" ht="15.75" customHeight="1">
      <c r="A17646" s="8" t="str">
        <f ca="1">IFERROR(__xludf.DUMMYFUNCTION("GOOGLETRANSLATE(B36343,""en"",""pt"")"),"Novo Yekepa")</f>
        <v>Novo Yekepa</v>
      </c>
      <c r="B17646" s="9" t="s">
        <v>17067</v>
      </c>
      <c r="C17646" s="9" t="s">
        <v>5687</v>
      </c>
      <c r="D17646" s="9" t="s">
        <v>17068</v>
      </c>
      <c r="E17646" s="10">
        <v>2272790</v>
      </c>
      <c r="F17646" s="4" t="str">
        <f>IF(B17646=B17645,"",B17646)</f>
        <v/>
      </c>
    </row>
    <row r="17647" spans="1:6" ht="15.75" customHeight="1">
      <c r="A17647" s="16" t="s">
        <v>4116</v>
      </c>
      <c r="B17647" s="15" t="s">
        <v>4116</v>
      </c>
      <c r="C17647" s="16" t="s">
        <v>3975</v>
      </c>
      <c r="D17647" s="16" t="s">
        <v>3976</v>
      </c>
      <c r="E17647" s="2">
        <v>6087844</v>
      </c>
      <c r="F17647" s="4" t="str">
        <f>IF(B17647=B17646,"",B17647)</f>
        <v>New Westminster</v>
      </c>
    </row>
    <row r="17648" spans="1:6" ht="15.75" customHeight="1">
      <c r="A17648" s="8" t="str">
        <f ca="1">IFERROR(__xludf.DUMMYFUNCTION("GOOGLETRANSLATE(B25525,""en"",""pt"")"),"New Westminster")</f>
        <v>New Westminster</v>
      </c>
      <c r="B17648" s="9" t="s">
        <v>4116</v>
      </c>
      <c r="C17648" s="9" t="s">
        <v>3975</v>
      </c>
      <c r="D17648" s="9" t="s">
        <v>3976</v>
      </c>
      <c r="E17648" s="10">
        <v>6087844</v>
      </c>
      <c r="F17648" s="4" t="str">
        <f>IF(B17648=B17647,"",B17648)</f>
        <v/>
      </c>
    </row>
    <row r="17649" spans="1:6" ht="15.75" customHeight="1">
      <c r="A17649" s="16" t="s">
        <v>29425</v>
      </c>
      <c r="B17649" s="15" t="s">
        <v>29425</v>
      </c>
      <c r="C17649" s="16" t="s">
        <v>27788</v>
      </c>
      <c r="D17649" s="16" t="s">
        <v>27957</v>
      </c>
      <c r="E17649" s="2">
        <v>4645421</v>
      </c>
      <c r="F17649" s="4" t="str">
        <f>IF(B17649=B17648,"",B17649)</f>
        <v>New South Memphis</v>
      </c>
    </row>
    <row r="17650" spans="1:6" ht="15.75" customHeight="1">
      <c r="A17650" s="8" t="str">
        <f ca="1">IFERROR(__xludf.DUMMYFUNCTION("GOOGLETRANSLATE(B43640,""en"",""pt"")"),"New South Memphis")</f>
        <v>New South Memphis</v>
      </c>
      <c r="B17650" s="9" t="s">
        <v>29425</v>
      </c>
      <c r="C17650" s="9" t="s">
        <v>27788</v>
      </c>
      <c r="D17650" s="9" t="s">
        <v>27957</v>
      </c>
      <c r="E17650" s="10">
        <v>4645421</v>
      </c>
      <c r="F17650" s="4" t="str">
        <f>IF(B17650=B17649,"",B17650)</f>
        <v/>
      </c>
    </row>
    <row r="17651" spans="1:6" ht="15.75" customHeight="1">
      <c r="A17651" s="16" t="s">
        <v>29423</v>
      </c>
      <c r="B17651" s="15" t="s">
        <v>29424</v>
      </c>
      <c r="C17651" s="16" t="s">
        <v>27788</v>
      </c>
      <c r="D17651" s="16" t="s">
        <v>5468</v>
      </c>
      <c r="E17651" s="2">
        <v>4165913</v>
      </c>
      <c r="F17651" s="4" t="str">
        <f>IF(B17651=B17650,"",B17651)</f>
        <v>New Smyrna Beach</v>
      </c>
    </row>
    <row r="17652" spans="1:6" ht="15.75" customHeight="1">
      <c r="A17652" s="8" t="str">
        <f ca="1">IFERROR(__xludf.DUMMYFUNCTION("GOOGLETRANSLATE(B42958,""en"",""pt"")"),"Nova praia de Smyrna")</f>
        <v>Nova praia de Smyrna</v>
      </c>
      <c r="B17652" s="11" t="s">
        <v>29424</v>
      </c>
      <c r="C17652" s="11" t="s">
        <v>27788</v>
      </c>
      <c r="D17652" s="11" t="s">
        <v>5468</v>
      </c>
      <c r="E17652" s="10">
        <v>4165913</v>
      </c>
      <c r="F17652" s="4" t="str">
        <f>IF(B17652=B17651,"",B17652)</f>
        <v/>
      </c>
    </row>
    <row r="17653" spans="1:6" ht="15.75" customHeight="1">
      <c r="A17653" s="16" t="s">
        <v>29421</v>
      </c>
      <c r="B17653" s="15" t="s">
        <v>29422</v>
      </c>
      <c r="C17653" s="16" t="s">
        <v>27788</v>
      </c>
      <c r="D17653" s="16" t="s">
        <v>27819</v>
      </c>
      <c r="E17653" s="2">
        <v>5128549</v>
      </c>
      <c r="F17653" s="4" t="str">
        <f>IF(B17653=B17652,"",B17653)</f>
        <v>New Rochelle</v>
      </c>
    </row>
    <row r="17654" spans="1:6" ht="15.75" customHeight="1">
      <c r="A17654" s="8" t="str">
        <f ca="1">IFERROR(__xludf.DUMMYFUNCTION("GOOGLETRANSLATE(B44417,""en"",""pt"")"),"Nova Rochelle")</f>
        <v>Nova Rochelle</v>
      </c>
      <c r="B17654" s="9" t="s">
        <v>29422</v>
      </c>
      <c r="C17654" s="9" t="s">
        <v>27788</v>
      </c>
      <c r="D17654" s="9" t="s">
        <v>27819</v>
      </c>
      <c r="E17654" s="10">
        <v>5128549</v>
      </c>
      <c r="F17654" s="4" t="str">
        <f>IF(B17654=B17653,"",B17654)</f>
        <v/>
      </c>
    </row>
    <row r="17655" spans="1:6" ht="15.75" customHeight="1">
      <c r="A17655" s="16" t="s">
        <v>19194</v>
      </c>
      <c r="B17655" s="15" t="s">
        <v>19194</v>
      </c>
      <c r="C17655" s="16" t="s">
        <v>19169</v>
      </c>
      <c r="D17655" s="16" t="s">
        <v>19195</v>
      </c>
      <c r="E17655" s="2">
        <v>2186239</v>
      </c>
      <c r="F17655" s="4" t="str">
        <f>IF(B17655=B17654,"",B17655)</f>
        <v>New Plymouth</v>
      </c>
    </row>
    <row r="17656" spans="1:6" ht="15.75" customHeight="1">
      <c r="A17656" s="8" t="str">
        <f ca="1">IFERROR(__xludf.DUMMYFUNCTION("GOOGLETRANSLATE(B38226,""en"",""pt"")"),"New Plymouth")</f>
        <v>New Plymouth</v>
      </c>
      <c r="B17656" s="9" t="s">
        <v>19194</v>
      </c>
      <c r="C17656" s="9" t="s">
        <v>19169</v>
      </c>
      <c r="D17656" s="9" t="s">
        <v>19195</v>
      </c>
      <c r="E17656" s="10">
        <v>2186239</v>
      </c>
      <c r="F17656" s="4" t="str">
        <f>IF(B17656=B17655,"",B17656)</f>
        <v/>
      </c>
    </row>
    <row r="17657" spans="1:6" ht="15.75" customHeight="1">
      <c r="A17657" s="16" t="s">
        <v>29419</v>
      </c>
      <c r="B17657" s="15" t="s">
        <v>29420</v>
      </c>
      <c r="C17657" s="16" t="s">
        <v>27788</v>
      </c>
      <c r="D17657" s="16" t="s">
        <v>27813</v>
      </c>
      <c r="E17657" s="2">
        <v>5164390</v>
      </c>
      <c r="F17657" s="4" t="str">
        <f>IF(B17657=B17656,"",B17657)</f>
        <v>New Philadelphia</v>
      </c>
    </row>
    <row r="17658" spans="1:6" ht="15.75" customHeight="1">
      <c r="A17658" s="8" t="str">
        <f ca="1">IFERROR(__xludf.DUMMYFUNCTION("GOOGLETRANSLATE(B44523,""en"",""pt"")"),"Nova Filadélfia")</f>
        <v>Nova Filadélfia</v>
      </c>
      <c r="B17658" s="11" t="s">
        <v>29420</v>
      </c>
      <c r="C17658" s="11" t="s">
        <v>27788</v>
      </c>
      <c r="D17658" s="11" t="s">
        <v>27813</v>
      </c>
      <c r="E17658" s="10">
        <v>5164390</v>
      </c>
      <c r="F17658" s="4" t="str">
        <f>IF(B17658=B17657,"",B17658)</f>
        <v/>
      </c>
    </row>
    <row r="17659" spans="1:6" ht="15.75" customHeight="1">
      <c r="A17659" s="16" t="s">
        <v>29417</v>
      </c>
      <c r="B17659" s="15" t="s">
        <v>29418</v>
      </c>
      <c r="C17659" s="16" t="s">
        <v>27788</v>
      </c>
      <c r="D17659" s="16" t="s">
        <v>27827</v>
      </c>
      <c r="E17659" s="2">
        <v>4335045</v>
      </c>
      <c r="F17659" s="4" t="str">
        <f>IF(B17659=B17658,"",B17659)</f>
        <v>New Orleans</v>
      </c>
    </row>
    <row r="17660" spans="1:6" ht="15.75" customHeight="1">
      <c r="A17660" s="8" t="str">
        <f ca="1">IFERROR(__xludf.DUMMYFUNCTION("GOOGLETRANSLATE(B43244,""en"",""pt"")"),"Nova Orleans")</f>
        <v>Nova Orleans</v>
      </c>
      <c r="B17660" s="11" t="s">
        <v>29418</v>
      </c>
      <c r="C17660" s="11" t="s">
        <v>27788</v>
      </c>
      <c r="D17660" s="11" t="s">
        <v>27827</v>
      </c>
      <c r="E17660" s="10">
        <v>4335045</v>
      </c>
      <c r="F17660" s="4" t="str">
        <f>IF(B17660=B17659,"",B17660)</f>
        <v/>
      </c>
    </row>
    <row r="17661" spans="1:6" ht="15.75" customHeight="1">
      <c r="A17661" s="16" t="s">
        <v>27550</v>
      </c>
      <c r="B17661" s="15" t="s">
        <v>27550</v>
      </c>
      <c r="C17661" s="16" t="s">
        <v>27234</v>
      </c>
      <c r="D17661" s="16" t="s">
        <v>27241</v>
      </c>
      <c r="E17661" s="2">
        <v>2641609</v>
      </c>
      <c r="F17661" s="4" t="str">
        <f>IF(B17661=B17660,"",B17661)</f>
        <v>New Milton</v>
      </c>
    </row>
    <row r="17662" spans="1:6" ht="15.75" customHeight="1">
      <c r="A17662" s="8" t="str">
        <f ca="1">IFERROR(__xludf.DUMMYFUNCTION("GOOGLETRANSLATE(B30520,""en"",""pt"")"),"New Milton")</f>
        <v>New Milton</v>
      </c>
      <c r="B17662" s="9" t="s">
        <v>27550</v>
      </c>
      <c r="C17662" s="9" t="s">
        <v>27234</v>
      </c>
      <c r="D17662" s="9" t="s">
        <v>27241</v>
      </c>
      <c r="E17662" s="10">
        <v>2641609</v>
      </c>
      <c r="F17662" s="4" t="str">
        <f>IF(B17662=B17661,"",B17662)</f>
        <v/>
      </c>
    </row>
    <row r="17663" spans="1:6" ht="15.75" customHeight="1">
      <c r="A17663" s="16" t="s">
        <v>29416</v>
      </c>
      <c r="B17663" s="15" t="s">
        <v>29416</v>
      </c>
      <c r="C17663" s="16" t="s">
        <v>27788</v>
      </c>
      <c r="D17663" s="16" t="s">
        <v>27905</v>
      </c>
      <c r="E17663" s="2">
        <v>5101766</v>
      </c>
      <c r="F17663" s="4" t="str">
        <f>IF(B17663=B17662,"",B17663)</f>
        <v>New Milford</v>
      </c>
    </row>
    <row r="17664" spans="1:6" ht="15.75" customHeight="1">
      <c r="A17664" s="8" t="str">
        <f ca="1">IFERROR(__xludf.DUMMYFUNCTION("GOOGLETRANSLATE(B44286,""en"",""pt"")"),"New Milford")</f>
        <v>New Milford</v>
      </c>
      <c r="B17664" s="9" t="s">
        <v>29416</v>
      </c>
      <c r="C17664" s="9" t="s">
        <v>27788</v>
      </c>
      <c r="D17664" s="9" t="s">
        <v>27905</v>
      </c>
      <c r="E17664" s="10">
        <v>5101766</v>
      </c>
      <c r="F17664" s="4" t="str">
        <f>IF(B17664=B17663,"",B17664)</f>
        <v/>
      </c>
    </row>
    <row r="17665" spans="1:6" ht="15.75" customHeight="1">
      <c r="A17665" s="16" t="s">
        <v>27548</v>
      </c>
      <c r="B17665" s="15" t="s">
        <v>27549</v>
      </c>
      <c r="C17665" s="16" t="s">
        <v>27234</v>
      </c>
      <c r="D17665" s="16" t="s">
        <v>27241</v>
      </c>
      <c r="E17665" s="2">
        <v>2641617</v>
      </c>
      <c r="F17665" s="4" t="str">
        <f>IF(B17665=B17664,"",B17665)</f>
        <v>New Malden</v>
      </c>
    </row>
    <row r="17666" spans="1:6" ht="15.75" customHeight="1">
      <c r="A17666" s="8" t="str">
        <f ca="1">IFERROR(__xludf.DUMMYFUNCTION("GOOGLETRANSLATE(B30522,""en"",""pt"")"),"Novo malden")</f>
        <v>Novo malden</v>
      </c>
      <c r="B17666" s="9" t="s">
        <v>27549</v>
      </c>
      <c r="C17666" s="9" t="s">
        <v>27234</v>
      </c>
      <c r="D17666" s="9" t="s">
        <v>27241</v>
      </c>
      <c r="E17666" s="10">
        <v>2641617</v>
      </c>
      <c r="F17666" s="4" t="str">
        <f>IF(B17666=B17665,"",B17666)</f>
        <v/>
      </c>
    </row>
    <row r="17667" spans="1:6" ht="15.75" customHeight="1">
      <c r="A17667" s="16" t="s">
        <v>29414</v>
      </c>
      <c r="B17667" s="15" t="s">
        <v>29415</v>
      </c>
      <c r="C17667" s="16" t="s">
        <v>27788</v>
      </c>
      <c r="D17667" s="16" t="s">
        <v>27799</v>
      </c>
      <c r="E17667" s="2">
        <v>4903535</v>
      </c>
      <c r="F17667" s="4" t="str">
        <f>IF(B17667=B17666,"",B17667)</f>
        <v>New Lenox</v>
      </c>
    </row>
    <row r="17668" spans="1:6" ht="15.75" customHeight="1">
      <c r="A17668" s="8" t="str">
        <f ca="1">IFERROR(__xludf.DUMMYFUNCTION("GOOGLETRANSLATE(B43853,""en"",""pt"")"),"Novo Lenox")</f>
        <v>Novo Lenox</v>
      </c>
      <c r="B17668" s="9" t="s">
        <v>29415</v>
      </c>
      <c r="C17668" s="9" t="s">
        <v>27788</v>
      </c>
      <c r="D17668" s="9" t="s">
        <v>27799</v>
      </c>
      <c r="E17668" s="10">
        <v>4903535</v>
      </c>
      <c r="F17668" s="4" t="str">
        <f>IF(B17668=B17667,"",B17668)</f>
        <v/>
      </c>
    </row>
    <row r="17669" spans="1:6" ht="15.75" customHeight="1">
      <c r="A17669" s="16" t="s">
        <v>15694</v>
      </c>
      <c r="B17669" s="15" t="s">
        <v>15694</v>
      </c>
      <c r="C17669" s="16" t="s">
        <v>15682</v>
      </c>
      <c r="D17669" s="16" t="s">
        <v>15683</v>
      </c>
      <c r="E17669" s="2">
        <v>3489297</v>
      </c>
      <c r="F17669" s="4" t="str">
        <f>IF(B17669=B17668,"",B17669)</f>
        <v>New Kingston</v>
      </c>
    </row>
    <row r="17670" spans="1:6" ht="15.75" customHeight="1">
      <c r="A17670" s="8" t="str">
        <f ca="1">IFERROR(__xludf.DUMMYFUNCTION("GOOGLETRANSLATE(B35115,""en"",""pt"")"),"New Kingston")</f>
        <v>New Kingston</v>
      </c>
      <c r="B17670" s="9" t="s">
        <v>15694</v>
      </c>
      <c r="C17670" s="9" t="s">
        <v>15682</v>
      </c>
      <c r="D17670" s="9" t="s">
        <v>15683</v>
      </c>
      <c r="E17670" s="10">
        <v>3489297</v>
      </c>
      <c r="F17670" s="4" t="str">
        <f>IF(B17670=B17669,"",B17670)</f>
        <v/>
      </c>
    </row>
    <row r="17671" spans="1:6" ht="15.75" customHeight="1">
      <c r="A17671" s="16" t="s">
        <v>29412</v>
      </c>
      <c r="B17671" s="15" t="s">
        <v>29413</v>
      </c>
      <c r="C17671" s="16" t="s">
        <v>27788</v>
      </c>
      <c r="D17671" s="16" t="s">
        <v>27827</v>
      </c>
      <c r="E17671" s="2">
        <v>4334971</v>
      </c>
      <c r="F17671" s="4" t="str">
        <f>IF(B17671=B17670,"",B17671)</f>
        <v>New Iberia</v>
      </c>
    </row>
    <row r="17672" spans="1:6" ht="15.75" customHeight="1">
      <c r="A17672" s="8" t="str">
        <f ca="1">IFERROR(__xludf.DUMMYFUNCTION("GOOGLETRANSLATE(B43243,""en"",""pt"")"),"Nova Ibéria")</f>
        <v>Nova Ibéria</v>
      </c>
      <c r="B17672" s="9" t="s">
        <v>29413</v>
      </c>
      <c r="C17672" s="9" t="s">
        <v>27788</v>
      </c>
      <c r="D17672" s="9" t="s">
        <v>27827</v>
      </c>
      <c r="E17672" s="10">
        <v>4334971</v>
      </c>
      <c r="F17672" s="4" t="str">
        <f>IF(B17672=B17671,"",B17672)</f>
        <v/>
      </c>
    </row>
    <row r="17673" spans="1:6" ht="15.75" customHeight="1">
      <c r="A17673" s="16" t="s">
        <v>29410</v>
      </c>
      <c r="B17673" s="15" t="s">
        <v>29411</v>
      </c>
      <c r="C17673" s="16" t="s">
        <v>27788</v>
      </c>
      <c r="D17673" s="16" t="s">
        <v>27824</v>
      </c>
      <c r="E17673" s="2">
        <v>5039094</v>
      </c>
      <c r="F17673" s="4" t="str">
        <f>IF(B17673=B17672,"",B17673)</f>
        <v>New Hope</v>
      </c>
    </row>
    <row r="17674" spans="1:6" ht="15.75" customHeight="1">
      <c r="A17674" s="8" t="str">
        <f ca="1">IFERROR(__xludf.DUMMYFUNCTION("GOOGLETRANSLATE(B44181,""en"",""pt"")"),"Nova Esperança")</f>
        <v>Nova Esperança</v>
      </c>
      <c r="B17674" s="9" t="s">
        <v>29411</v>
      </c>
      <c r="C17674" s="9" t="s">
        <v>27788</v>
      </c>
      <c r="D17674" s="9" t="s">
        <v>27824</v>
      </c>
      <c r="E17674" s="10">
        <v>5039094</v>
      </c>
      <c r="F17674" s="4" t="str">
        <f>IF(B17674=B17673,"",B17674)</f>
        <v/>
      </c>
    </row>
    <row r="17675" spans="1:6" ht="15.75" customHeight="1">
      <c r="A17675" s="16" t="s">
        <v>4114</v>
      </c>
      <c r="B17675" s="15" t="s">
        <v>4115</v>
      </c>
      <c r="C17675" s="16" t="s">
        <v>3975</v>
      </c>
      <c r="D17675" s="16" t="s">
        <v>4027</v>
      </c>
      <c r="E17675" s="2">
        <v>6087579</v>
      </c>
      <c r="F17675" s="4" t="str">
        <f>IF(B17675=B17674,"",B17675)</f>
        <v>New Glasgow</v>
      </c>
    </row>
    <row r="17676" spans="1:6" ht="15.75" customHeight="1">
      <c r="A17676" s="8" t="str">
        <f ca="1">IFERROR(__xludf.DUMMYFUNCTION("GOOGLETRANSLATE(B25523,""en"",""pt"")"),"Novo Glasgow")</f>
        <v>Novo Glasgow</v>
      </c>
      <c r="B17676" s="9" t="s">
        <v>4115</v>
      </c>
      <c r="C17676" s="9" t="s">
        <v>3975</v>
      </c>
      <c r="D17676" s="9" t="s">
        <v>4027</v>
      </c>
      <c r="E17676" s="10">
        <v>6087579</v>
      </c>
      <c r="F17676" s="4" t="str">
        <f>IF(B17676=B17675,"",B17676)</f>
        <v/>
      </c>
    </row>
    <row r="17677" spans="1:6" ht="15.75" customHeight="1">
      <c r="A17677" s="16" t="s">
        <v>12650</v>
      </c>
      <c r="B17677" s="15" t="s">
        <v>12651</v>
      </c>
      <c r="C17677" s="16" t="s">
        <v>10178</v>
      </c>
      <c r="D17677" s="16" t="s">
        <v>10288</v>
      </c>
      <c r="E17677" s="2">
        <v>1261481</v>
      </c>
      <c r="F17677" s="4" t="str">
        <f>IF(B17677=B17676,"",B17677)</f>
        <v>New Delhi</v>
      </c>
    </row>
    <row r="17678" spans="1:6" ht="15.75" customHeight="1">
      <c r="A17678" s="8" t="str">
        <f ca="1">IFERROR(__xludf.DUMMYFUNCTION("GOOGLETRANSLATE(B32612,""en"",""pt"")"),"Nova Delhi")</f>
        <v>Nova Delhi</v>
      </c>
      <c r="B17678" s="9" t="s">
        <v>12651</v>
      </c>
      <c r="C17678" s="9" t="s">
        <v>10178</v>
      </c>
      <c r="D17678" s="9" t="s">
        <v>10288</v>
      </c>
      <c r="E17678" s="10">
        <v>1261481</v>
      </c>
      <c r="F17678" s="4" t="str">
        <f>IF(B17678=B17677,"",B17678)</f>
        <v/>
      </c>
    </row>
    <row r="17679" spans="1:6" ht="15.75" customHeight="1">
      <c r="A17679" s="16" t="s">
        <v>20921</v>
      </c>
      <c r="B17679" s="15" t="s">
        <v>20922</v>
      </c>
      <c r="C17679" s="16" t="s">
        <v>20598</v>
      </c>
      <c r="D17679" s="16" t="s">
        <v>20658</v>
      </c>
      <c r="E17679" s="2">
        <v>1697773</v>
      </c>
      <c r="F17679" s="4" t="str">
        <f>IF(B17679=B17678,"",B17679)</f>
        <v>New Corella</v>
      </c>
    </row>
    <row r="17680" spans="1:6" ht="15.75" customHeight="1">
      <c r="A17680" s="8" t="str">
        <f ca="1">IFERROR(__xludf.DUMMYFUNCTION("GOOGLETRANSLATE(B38585,""en"",""pt"")"),"Nova Corella")</f>
        <v>Nova Corella</v>
      </c>
      <c r="B17680" s="9" t="s">
        <v>20922</v>
      </c>
      <c r="C17680" s="9" t="s">
        <v>20598</v>
      </c>
      <c r="D17680" s="9" t="s">
        <v>20658</v>
      </c>
      <c r="E17680" s="10">
        <v>1697773</v>
      </c>
      <c r="F17680" s="4" t="str">
        <f>IF(B17680=B17679,"",B17680)</f>
        <v/>
      </c>
    </row>
    <row r="17681" spans="1:6" ht="15.75" customHeight="1">
      <c r="A17681" s="16" t="s">
        <v>29408</v>
      </c>
      <c r="B17681" s="15" t="s">
        <v>29409</v>
      </c>
      <c r="C17681" s="16" t="s">
        <v>27788</v>
      </c>
      <c r="D17681" s="16" t="s">
        <v>27819</v>
      </c>
      <c r="E17681" s="2">
        <v>5128481</v>
      </c>
      <c r="F17681" s="4" t="str">
        <f>IF(B17681=B17680,"",B17681)</f>
        <v>New City</v>
      </c>
    </row>
    <row r="17682" spans="1:6" ht="15.75" customHeight="1">
      <c r="A17682" s="8" t="str">
        <f ca="1">IFERROR(__xludf.DUMMYFUNCTION("GOOGLETRANSLATE(B44416,""en"",""pt"")"),"Nova cidade")</f>
        <v>Nova cidade</v>
      </c>
      <c r="B17682" s="9" t="s">
        <v>29409</v>
      </c>
      <c r="C17682" s="9" t="s">
        <v>27788</v>
      </c>
      <c r="D17682" s="9" t="s">
        <v>27819</v>
      </c>
      <c r="E17682" s="10">
        <v>5128481</v>
      </c>
      <c r="F17682" s="4" t="str">
        <f>IF(B17682=B17681,"",B17682)</f>
        <v/>
      </c>
    </row>
    <row r="17683" spans="1:6" ht="15.75" customHeight="1">
      <c r="A17683" s="16" t="s">
        <v>29406</v>
      </c>
      <c r="B17683" s="15" t="s">
        <v>29407</v>
      </c>
      <c r="C17683" s="16" t="s">
        <v>27788</v>
      </c>
      <c r="D17683" s="16" t="s">
        <v>27869</v>
      </c>
      <c r="E17683" s="2">
        <v>4262072</v>
      </c>
      <c r="F17683" s="4" t="str">
        <f>IF(B17683=B17682,"",B17683)</f>
        <v>New Castle</v>
      </c>
    </row>
    <row r="17684" spans="1:6" ht="15.75" customHeight="1">
      <c r="A17684" s="16" t="s">
        <v>29406</v>
      </c>
      <c r="B17684" s="15" t="s">
        <v>29407</v>
      </c>
      <c r="C17684" s="16" t="s">
        <v>27788</v>
      </c>
      <c r="D17684" s="16" t="s">
        <v>27836</v>
      </c>
      <c r="E17684" s="2">
        <v>5203127</v>
      </c>
      <c r="F17684" s="4" t="str">
        <f>IF(B17684=B17683,"",B17684)</f>
        <v/>
      </c>
    </row>
    <row r="17685" spans="1:6" ht="15.75" customHeight="1">
      <c r="A17685" s="8" t="str">
        <f ca="1">IFERROR(__xludf.DUMMYFUNCTION("GOOGLETRANSLATE(B43158,""en"",""pt"")"),"Novo castelo")</f>
        <v>Novo castelo</v>
      </c>
      <c r="B17685" s="11" t="s">
        <v>29407</v>
      </c>
      <c r="C17685" s="11" t="s">
        <v>27788</v>
      </c>
      <c r="D17685" s="11" t="s">
        <v>27869</v>
      </c>
      <c r="E17685" s="10">
        <v>4262072</v>
      </c>
      <c r="F17685" s="4" t="str">
        <f>IF(B17685=B17684,"",B17685)</f>
        <v/>
      </c>
    </row>
    <row r="17686" spans="1:6" ht="15.75" customHeight="1">
      <c r="A17686" s="8" t="str">
        <f ca="1">IFERROR(__xludf.DUMMYFUNCTION("GOOGLETRANSLATE(B44585,""en"",""pt"")"),"Novo castelo")</f>
        <v>Novo castelo</v>
      </c>
      <c r="B17686" s="9" t="s">
        <v>29407</v>
      </c>
      <c r="C17686" s="9" t="s">
        <v>27788</v>
      </c>
      <c r="D17686" s="9" t="s">
        <v>27836</v>
      </c>
      <c r="E17686" s="10">
        <v>5203127</v>
      </c>
      <c r="F17686" s="4" t="str">
        <f>IF(B17686=B17685,"",B17686)</f>
        <v/>
      </c>
    </row>
    <row r="17687" spans="1:6" ht="15.75" customHeight="1">
      <c r="A17687" s="16" t="s">
        <v>4042</v>
      </c>
      <c r="B17687" s="15" t="s">
        <v>4042</v>
      </c>
      <c r="C17687" s="16" t="s">
        <v>27788</v>
      </c>
      <c r="D17687" s="16" t="s">
        <v>27905</v>
      </c>
      <c r="E17687" s="2">
        <v>5101717</v>
      </c>
      <c r="F17687" s="4" t="str">
        <f>IF(B17687=B17686,"",B17687)</f>
        <v>New Brunswick</v>
      </c>
    </row>
    <row r="17688" spans="1:6" ht="15.75" customHeight="1">
      <c r="A17688" s="8" t="str">
        <f ca="1">IFERROR(__xludf.DUMMYFUNCTION("GOOGLETRANSLATE(B44285,""en"",""pt"")"),"New Brunswick")</f>
        <v>New Brunswick</v>
      </c>
      <c r="B17688" s="9" t="s">
        <v>4042</v>
      </c>
      <c r="C17688" s="9" t="s">
        <v>27788</v>
      </c>
      <c r="D17688" s="9" t="s">
        <v>27905</v>
      </c>
      <c r="E17688" s="10">
        <v>5101717</v>
      </c>
      <c r="F17688" s="4" t="str">
        <f>IF(B17688=B17687,"",B17688)</f>
        <v/>
      </c>
    </row>
    <row r="17689" spans="1:6" ht="15.75" customHeight="1">
      <c r="A17689" s="16" t="s">
        <v>29405</v>
      </c>
      <c r="B17689" s="15" t="s">
        <v>29405</v>
      </c>
      <c r="C17689" s="16" t="s">
        <v>27788</v>
      </c>
      <c r="D17689" s="16" t="s">
        <v>27824</v>
      </c>
      <c r="E17689" s="2">
        <v>5039080</v>
      </c>
      <c r="F17689" s="4" t="str">
        <f>IF(B17689=B17688,"",B17689)</f>
        <v>New Brighton</v>
      </c>
    </row>
    <row r="17690" spans="1:6" ht="15.75" customHeight="1">
      <c r="A17690" s="8" t="str">
        <f ca="1">IFERROR(__xludf.DUMMYFUNCTION("GOOGLETRANSLATE(B44180,""en"",""pt"")"),"New Brighton")</f>
        <v>New Brighton</v>
      </c>
      <c r="B17690" s="9" t="s">
        <v>29405</v>
      </c>
      <c r="C17690" s="9" t="s">
        <v>27788</v>
      </c>
      <c r="D17690" s="9" t="s">
        <v>27824</v>
      </c>
      <c r="E17690" s="10">
        <v>5039080</v>
      </c>
      <c r="F17690" s="4" t="str">
        <f>IF(B17690=B17689,"",B17690)</f>
        <v/>
      </c>
    </row>
    <row r="17691" spans="1:6" ht="15.75" customHeight="1">
      <c r="A17691" s="16" t="s">
        <v>29404</v>
      </c>
      <c r="B17691" s="15" t="s">
        <v>29404</v>
      </c>
      <c r="C17691" s="16" t="s">
        <v>27788</v>
      </c>
      <c r="D17691" s="16" t="s">
        <v>27822</v>
      </c>
      <c r="E17691" s="2">
        <v>4481682</v>
      </c>
      <c r="F17691" s="4" t="str">
        <f>IF(B17691=B17690,"",B17691)</f>
        <v>New Bern</v>
      </c>
    </row>
    <row r="17692" spans="1:6" ht="15.75" customHeight="1">
      <c r="A17692" s="8" t="str">
        <f ca="1">IFERROR(__xludf.DUMMYFUNCTION("GOOGLETRANSLATE(B43472,""en"",""pt"")"),"New Bern")</f>
        <v>New Bern</v>
      </c>
      <c r="B17692" s="9" t="s">
        <v>29404</v>
      </c>
      <c r="C17692" s="9" t="s">
        <v>27788</v>
      </c>
      <c r="D17692" s="9" t="s">
        <v>27822</v>
      </c>
      <c r="E17692" s="10">
        <v>4481682</v>
      </c>
      <c r="F17692" s="4" t="str">
        <f>IF(B17692=B17691,"",B17692)</f>
        <v/>
      </c>
    </row>
    <row r="17693" spans="1:6" ht="15.75" customHeight="1">
      <c r="A17693" s="16" t="s">
        <v>29402</v>
      </c>
      <c r="B17693" s="15" t="s">
        <v>29403</v>
      </c>
      <c r="C17693" s="16" t="s">
        <v>27788</v>
      </c>
      <c r="D17693" s="16" t="s">
        <v>27890</v>
      </c>
      <c r="E17693" s="2">
        <v>5264381</v>
      </c>
      <c r="F17693" s="4" t="str">
        <f>IF(B17693=B17692,"",B17693)</f>
        <v>New Berlin</v>
      </c>
    </row>
    <row r="17694" spans="1:6" ht="15.75" customHeight="1">
      <c r="A17694" s="8" t="str">
        <f ca="1">IFERROR(__xludf.DUMMYFUNCTION("GOOGLETRANSLATE(B44663,""en"",""pt"")"),"Nova Berlim")</f>
        <v>Nova Berlim</v>
      </c>
      <c r="B17694" s="9" t="s">
        <v>29403</v>
      </c>
      <c r="C17694" s="9" t="s">
        <v>27788</v>
      </c>
      <c r="D17694" s="9" t="s">
        <v>27890</v>
      </c>
      <c r="E17694" s="10">
        <v>5264381</v>
      </c>
      <c r="F17694" s="4" t="str">
        <f>IF(B17694=B17693,"",B17694)</f>
        <v/>
      </c>
    </row>
    <row r="17695" spans="1:6" ht="15.75" customHeight="1">
      <c r="A17695" s="16" t="s">
        <v>29401</v>
      </c>
      <c r="B17695" s="15" t="s">
        <v>29401</v>
      </c>
      <c r="C17695" s="16" t="s">
        <v>27788</v>
      </c>
      <c r="D17695" s="16" t="s">
        <v>27794</v>
      </c>
      <c r="E17695" s="2">
        <v>4945121</v>
      </c>
      <c r="F17695" s="4" t="str">
        <f>IF(B17695=B17694,"",B17695)</f>
        <v>New Bedford</v>
      </c>
    </row>
    <row r="17696" spans="1:6" ht="15.75" customHeight="1">
      <c r="A17696" s="8" t="str">
        <f ca="1">IFERROR(__xludf.DUMMYFUNCTION("GOOGLETRANSLATE(B44006,""en"",""pt"")"),"New Bedford")</f>
        <v>New Bedford</v>
      </c>
      <c r="B17696" s="9" t="s">
        <v>29401</v>
      </c>
      <c r="C17696" s="9" t="s">
        <v>27788</v>
      </c>
      <c r="D17696" s="9" t="s">
        <v>27794</v>
      </c>
      <c r="E17696" s="10">
        <v>4945121</v>
      </c>
      <c r="F17696" s="4" t="str">
        <f>IF(B17696=B17695,"",B17696)</f>
        <v/>
      </c>
    </row>
    <row r="17697" spans="1:6" ht="15.75" customHeight="1">
      <c r="A17697" s="8" t="str">
        <f ca="1">IFERROR(__xludf.DUMMYFUNCTION("GOOGLETRANSLATE(B39170,""en"",""pt"")"),"Novo Bādāh")</f>
        <v>Novo Bādāh</v>
      </c>
      <c r="B17697" s="11" t="s">
        <v>35057</v>
      </c>
      <c r="C17697" s="11" t="s">
        <v>19808</v>
      </c>
      <c r="D17697" s="11" t="s">
        <v>19823</v>
      </c>
      <c r="E17697" s="10">
        <v>1357699</v>
      </c>
      <c r="F17697" s="4" t="str">
        <f>IF(B17697=B17696,"",B17697)</f>
        <v>New Bādāh</v>
      </c>
    </row>
    <row r="17698" spans="1:6" ht="15.75" customHeight="1">
      <c r="A17698" s="16" t="s">
        <v>20138</v>
      </c>
      <c r="B17698" s="15" t="s">
        <v>20139</v>
      </c>
      <c r="C17698" s="16" t="s">
        <v>19808</v>
      </c>
      <c r="D17698" s="16" t="s">
        <v>19823</v>
      </c>
      <c r="E17698" s="2">
        <v>1357699</v>
      </c>
      <c r="F17698" s="4" t="str">
        <f>IF(B17698=B17697,"",B17698)</f>
        <v>New BÄdÄh</v>
      </c>
    </row>
    <row r="17699" spans="1:6" ht="15.75" customHeight="1">
      <c r="A17699" s="16" t="s">
        <v>9862</v>
      </c>
      <c r="B17699" s="15" t="s">
        <v>9863</v>
      </c>
      <c r="C17699" s="16" t="s">
        <v>9858</v>
      </c>
      <c r="D17699" s="16" t="s">
        <v>9864</v>
      </c>
      <c r="E17699" s="2">
        <v>3376762</v>
      </c>
      <c r="F17699" s="4" t="str">
        <f>IF(B17699=B17698,"",B17699)</f>
        <v>New Amsterdam</v>
      </c>
    </row>
    <row r="17700" spans="1:6" ht="15.75" customHeight="1">
      <c r="A17700" s="8" t="str">
        <f ca="1">IFERROR(__xludf.DUMMYFUNCTION("GOOGLETRANSLATE(B31153,""en"",""pt"")"),"Novo Amsterdã")</f>
        <v>Novo Amsterdã</v>
      </c>
      <c r="B17700" s="9" t="s">
        <v>9863</v>
      </c>
      <c r="C17700" s="9" t="s">
        <v>9858</v>
      </c>
      <c r="D17700" s="9" t="s">
        <v>9864</v>
      </c>
      <c r="E17700" s="10">
        <v>3376762</v>
      </c>
      <c r="F17700" s="4" t="str">
        <f>IF(B17700=B17699,"",B17700)</f>
        <v/>
      </c>
    </row>
    <row r="17701" spans="1:6" ht="15.75" customHeight="1">
      <c r="A17701" s="16" t="s">
        <v>29400</v>
      </c>
      <c r="B17701" s="15" t="s">
        <v>29400</v>
      </c>
      <c r="C17701" s="16" t="s">
        <v>27788</v>
      </c>
      <c r="D17701" s="16" t="s">
        <v>27869</v>
      </c>
      <c r="E17701" s="2">
        <v>4262045</v>
      </c>
      <c r="F17701" s="4" t="str">
        <f>IF(B17701=B17700,"",B17701)</f>
        <v>New Albany</v>
      </c>
    </row>
    <row r="17702" spans="1:6" ht="15.75" customHeight="1">
      <c r="A17702" s="8" t="str">
        <f ca="1">IFERROR(__xludf.DUMMYFUNCTION("GOOGLETRANSLATE(B43157,""en"",""pt"")"),"New Albany")</f>
        <v>New Albany</v>
      </c>
      <c r="B17702" s="9" t="s">
        <v>29400</v>
      </c>
      <c r="C17702" s="9" t="s">
        <v>27788</v>
      </c>
      <c r="D17702" s="9" t="s">
        <v>27869</v>
      </c>
      <c r="E17702" s="10">
        <v>4262045</v>
      </c>
      <c r="F17702" s="4" t="str">
        <f>IF(B17702=B17701,"",B17702)</f>
        <v/>
      </c>
    </row>
    <row r="17703" spans="1:6" ht="15.75" customHeight="1">
      <c r="A17703" s="8" t="str">
        <f ca="1">IFERROR(__xludf.DUMMYFUNCTION("GOOGLETRANSLATE(B41928,""en"",""pt"")"),"Nevşehir")</f>
        <v>Nevşehir</v>
      </c>
      <c r="B17703" s="11" t="s">
        <v>35827</v>
      </c>
      <c r="C17703" s="11" t="s">
        <v>26201</v>
      </c>
      <c r="D17703" s="11" t="s">
        <v>35827</v>
      </c>
      <c r="E17703" s="10">
        <v>303831</v>
      </c>
      <c r="F17703" s="4" t="str">
        <f>IF(B17703=B17702,"",B17703)</f>
        <v>Nevşehir</v>
      </c>
    </row>
    <row r="17704" spans="1:6" ht="15.75" customHeight="1">
      <c r="A17704" s="16" t="s">
        <v>22803</v>
      </c>
      <c r="B17704" s="15" t="s">
        <v>22803</v>
      </c>
      <c r="C17704" s="16" t="s">
        <v>22070</v>
      </c>
      <c r="D17704" s="16" t="s">
        <v>22117</v>
      </c>
      <c r="E17704" s="2">
        <v>522377</v>
      </c>
      <c r="F17704" s="4" t="str">
        <f>IF(B17704=B17703,"",B17704)</f>
        <v>Nevinnomyssk</v>
      </c>
    </row>
    <row r="17705" spans="1:6" ht="15.75" customHeight="1">
      <c r="A17705" s="8" t="str">
        <f ca="1">IFERROR(__xludf.DUMMYFUNCTION("GOOGLETRANSLATE(B40287,""en"",""pt"")"),"Nevinnomyssk")</f>
        <v>Nevinnomyssk</v>
      </c>
      <c r="B17705" s="11" t="s">
        <v>22803</v>
      </c>
      <c r="C17705" s="11" t="s">
        <v>22070</v>
      </c>
      <c r="D17705" s="11" t="s">
        <v>22117</v>
      </c>
      <c r="E17705" s="10">
        <v>522377</v>
      </c>
      <c r="F17705" s="4" t="str">
        <f>IF(B17705=B17704,"",B17705)</f>
        <v/>
      </c>
    </row>
    <row r="17706" spans="1:6" ht="15.75" customHeight="1">
      <c r="A17706" s="15" t="s">
        <v>7641</v>
      </c>
      <c r="B17706" s="15" t="s">
        <v>7642</v>
      </c>
      <c r="C17706" s="15" t="s">
        <v>7052</v>
      </c>
      <c r="D17706" s="15" t="s">
        <v>7128</v>
      </c>
      <c r="E17706" s="2">
        <v>2990474</v>
      </c>
      <c r="F17706" s="4" t="str">
        <f>IF(B17706=B17705,"",B17706)</f>
        <v>Nevers</v>
      </c>
    </row>
    <row r="17707" spans="1:6" ht="15.75" customHeight="1">
      <c r="A17707" s="8" t="str">
        <f ca="1">IFERROR(__xludf.DUMMYFUNCTION("GOOGLETRANSLATE(B29882,""en"",""pt"")"),"Nunca")</f>
        <v>Nunca</v>
      </c>
      <c r="B17707" s="11" t="s">
        <v>7642</v>
      </c>
      <c r="C17707" s="11" t="s">
        <v>7052</v>
      </c>
      <c r="D17707" s="11" t="s">
        <v>32540</v>
      </c>
      <c r="E17707" s="10">
        <v>2990474</v>
      </c>
      <c r="F17707" s="4" t="str">
        <f>IF(B17707=B17706,"",B17707)</f>
        <v/>
      </c>
    </row>
    <row r="17708" spans="1:6" ht="15.75" customHeight="1">
      <c r="A17708" s="15" t="s">
        <v>22801</v>
      </c>
      <c r="B17708" s="15" t="s">
        <v>22802</v>
      </c>
      <c r="C17708" s="15" t="s">
        <v>22070</v>
      </c>
      <c r="D17708" s="15" t="s">
        <v>22508</v>
      </c>
      <c r="E17708" s="2">
        <v>2122894</v>
      </c>
      <c r="F17708" s="4" t="str">
        <f>IF(B17708=B17707,"",B17708)</f>
        <v>Nevelâ€™sk</v>
      </c>
    </row>
    <row r="17709" spans="1:6" ht="15.75" customHeight="1">
      <c r="A17709" s="15" t="s">
        <v>22798</v>
      </c>
      <c r="B17709" s="15" t="s">
        <v>22799</v>
      </c>
      <c r="C17709" s="15" t="s">
        <v>22070</v>
      </c>
      <c r="D17709" s="15" t="s">
        <v>22800</v>
      </c>
      <c r="E17709" s="2">
        <v>522410</v>
      </c>
      <c r="F17709" s="4" t="str">
        <f>IF(B17709=B17708,"",B17709)</f>
        <v>Nevelâ€™</v>
      </c>
    </row>
    <row r="17710" spans="1:6" ht="15.75" customHeight="1">
      <c r="A17710" s="8" t="str">
        <f ca="1">IFERROR(__xludf.DUMMYFUNCTION("GOOGLETRANSLATE(B40962,""en"",""pt"")"),"Nevel'sk")</f>
        <v>Nevel'sk</v>
      </c>
      <c r="B17710" s="9" t="s">
        <v>35566</v>
      </c>
      <c r="C17710" s="9" t="s">
        <v>22070</v>
      </c>
      <c r="D17710" s="9" t="s">
        <v>22508</v>
      </c>
      <c r="E17710" s="10">
        <v>2122894</v>
      </c>
      <c r="F17710" s="4" t="str">
        <f>IF(B17710=B17709,"",B17710)</f>
        <v>Nevel’sk</v>
      </c>
    </row>
    <row r="17711" spans="1:6" ht="15.75" customHeight="1">
      <c r="A17711" s="8" t="str">
        <f ca="1">IFERROR(__xludf.DUMMYFUNCTION("GOOGLETRANSLATE(B40288,""en"",""pt"")"),"Nevel '")</f>
        <v>Nevel '</v>
      </c>
      <c r="B17711" s="11" t="s">
        <v>35487</v>
      </c>
      <c r="C17711" s="11" t="s">
        <v>22070</v>
      </c>
      <c r="D17711" s="11" t="s">
        <v>22800</v>
      </c>
      <c r="E17711" s="10">
        <v>522410</v>
      </c>
      <c r="F17711" s="4" t="str">
        <f>IF(B17711=B17710,"",B17711)</f>
        <v>Nevel’</v>
      </c>
    </row>
    <row r="17712" spans="1:6" ht="15.75" customHeight="1">
      <c r="A17712" s="16" t="s">
        <v>26648</v>
      </c>
      <c r="B17712" s="15" t="s">
        <v>26324</v>
      </c>
      <c r="C17712" s="16" t="s">
        <v>26201</v>
      </c>
      <c r="D17712" s="16" t="s">
        <v>26324</v>
      </c>
      <c r="E17712" s="2">
        <v>303831</v>
      </c>
      <c r="F17712" s="4" t="str">
        <f>IF(B17712=B17711,"",B17712)</f>
        <v>NevÅŸehir</v>
      </c>
    </row>
    <row r="17713" spans="1:6" ht="15.75" customHeight="1">
      <c r="A17713" s="16" t="s">
        <v>22796</v>
      </c>
      <c r="B17713" s="15" t="s">
        <v>22797</v>
      </c>
      <c r="C17713" s="16" t="s">
        <v>22070</v>
      </c>
      <c r="D17713" s="16" t="s">
        <v>22106</v>
      </c>
      <c r="E17713" s="2">
        <v>1497795</v>
      </c>
      <c r="F17713" s="4" t="str">
        <f>IF(B17713=B17712,"",B17713)</f>
        <v>Nevâ€™yansk</v>
      </c>
    </row>
    <row r="17714" spans="1:6" ht="15.75" customHeight="1">
      <c r="A17714" s="8" t="str">
        <f ca="1">IFERROR(__xludf.DUMMYFUNCTION("GOOGLETRANSLATE(B40790,""en"",""pt"")"),"Nev'yansk")</f>
        <v>Nev'yansk</v>
      </c>
      <c r="B17714" s="9" t="s">
        <v>35538</v>
      </c>
      <c r="C17714" s="9" t="s">
        <v>22070</v>
      </c>
      <c r="D17714" s="9" t="s">
        <v>22106</v>
      </c>
      <c r="E17714" s="10">
        <v>1497795</v>
      </c>
      <c r="F17714" s="4" t="str">
        <f>IF(B17714=B17713,"",B17714)</f>
        <v>Nev’yansk</v>
      </c>
    </row>
    <row r="17715" spans="1:6" ht="15.75" customHeight="1">
      <c r="A17715" s="15" t="s">
        <v>8920</v>
      </c>
      <c r="B17715" s="15" t="s">
        <v>8920</v>
      </c>
      <c r="C17715" s="15" t="s">
        <v>8028</v>
      </c>
      <c r="D17715" s="15" t="s">
        <v>8065</v>
      </c>
      <c r="E17715" s="2">
        <v>2863840</v>
      </c>
      <c r="F17715" s="4" t="str">
        <f>IF(B17715=B17714,"",B17715)</f>
        <v>Neuwied</v>
      </c>
    </row>
    <row r="17716" spans="1:6" ht="15.75" customHeight="1">
      <c r="A17716" s="8" t="str">
        <f ca="1">IFERROR(__xludf.DUMMYFUNCTION("GOOGLETRANSLATE(B27710,""en"",""pt"")"),"Neuwied")</f>
        <v>Neuwied</v>
      </c>
      <c r="B17716" s="9" t="s">
        <v>8920</v>
      </c>
      <c r="C17716" s="9" t="s">
        <v>8028</v>
      </c>
      <c r="D17716" s="9" t="s">
        <v>8065</v>
      </c>
      <c r="E17716" s="10">
        <v>2863840</v>
      </c>
      <c r="F17716" s="4" t="str">
        <f>IF(B17716=B17715,"",B17716)</f>
        <v/>
      </c>
    </row>
    <row r="17717" spans="1:6" ht="15.75" customHeight="1">
      <c r="A17717" s="15" t="s">
        <v>8918</v>
      </c>
      <c r="B17717" s="15" t="s">
        <v>8919</v>
      </c>
      <c r="C17717" s="15" t="s">
        <v>8028</v>
      </c>
      <c r="D17717" s="15" t="s">
        <v>8044</v>
      </c>
      <c r="E17717" s="2">
        <v>2863941</v>
      </c>
      <c r="F17717" s="4" t="str">
        <f>IF(B17717=B17716,"",B17717)</f>
        <v>Neu-Ulm</v>
      </c>
    </row>
    <row r="17718" spans="1:6" ht="15.75" customHeight="1">
      <c r="A17718" s="8" t="str">
        <f ca="1">IFERROR(__xludf.DUMMYFUNCTION("GOOGLETRANSLATE(B27711,""en"",""pt"")"),"Neu-ulm")</f>
        <v>Neu-ulm</v>
      </c>
      <c r="B17718" s="9" t="s">
        <v>8919</v>
      </c>
      <c r="C17718" s="9" t="s">
        <v>8028</v>
      </c>
      <c r="D17718" s="9" t="s">
        <v>8044</v>
      </c>
      <c r="E17718" s="10">
        <v>2863941</v>
      </c>
      <c r="F17718" s="4" t="str">
        <f>IF(B17718=B17717,"",B17718)</f>
        <v/>
      </c>
    </row>
    <row r="17719" spans="1:6" ht="15.75" customHeight="1">
      <c r="A17719" s="16" t="s">
        <v>8917</v>
      </c>
      <c r="B17719" s="15" t="s">
        <v>8917</v>
      </c>
      <c r="C17719" s="16" t="s">
        <v>8028</v>
      </c>
      <c r="D17719" s="16" t="s">
        <v>8436</v>
      </c>
      <c r="E17719" s="2">
        <v>2864005</v>
      </c>
      <c r="F17719" s="4" t="str">
        <f>IF(B17719=B17718,"",B17719)</f>
        <v>Neustrelitz</v>
      </c>
    </row>
    <row r="17720" spans="1:6" ht="15.75" customHeight="1">
      <c r="A17720" s="8" t="str">
        <f ca="1">IFERROR(__xludf.DUMMYFUNCTION("GOOGLETRANSLATE(B27712,""en"",""pt"")"),"Neustrelitz")</f>
        <v>Neustrelitz</v>
      </c>
      <c r="B17720" s="9" t="s">
        <v>8917</v>
      </c>
      <c r="C17720" s="9" t="s">
        <v>8028</v>
      </c>
      <c r="D17720" s="9" t="s">
        <v>8436</v>
      </c>
      <c r="E17720" s="10">
        <v>2864005</v>
      </c>
      <c r="F17720" s="4" t="str">
        <f>IF(B17720=B17719,"",B17720)</f>
        <v/>
      </c>
    </row>
    <row r="17721" spans="1:6" ht="15.75" customHeight="1">
      <c r="A17721" s="8" t="str">
        <f ca="1">IFERROR(__xludf.DUMMYFUNCTION("GOOGLETRANSLATE(B28393,""en"",""pt"")"),"Neustadt/Süd")</f>
        <v>Neustadt/Süd</v>
      </c>
      <c r="B17721" s="11" t="s">
        <v>32146</v>
      </c>
      <c r="C17721" s="11" t="s">
        <v>8028</v>
      </c>
      <c r="D17721" s="11" t="s">
        <v>8029</v>
      </c>
      <c r="E17721" s="10">
        <v>8593856</v>
      </c>
      <c r="F17721" s="4" t="str">
        <f>IF(B17721=B17720,"",B17721)</f>
        <v>Neustadt/Süd</v>
      </c>
    </row>
    <row r="17722" spans="1:6" ht="15.75" customHeight="1">
      <c r="A17722" s="16" t="s">
        <v>8915</v>
      </c>
      <c r="B17722" s="15" t="s">
        <v>8916</v>
      </c>
      <c r="C17722" s="16" t="s">
        <v>8028</v>
      </c>
      <c r="D17722" s="16" t="s">
        <v>8029</v>
      </c>
      <c r="E17722" s="2">
        <v>8593856</v>
      </c>
      <c r="F17722" s="4" t="str">
        <f>IF(B17722=B17721,"",B17722)</f>
        <v>Neustadt/SÃ¼d</v>
      </c>
    </row>
    <row r="17723" spans="1:6" ht="15.75" customHeight="1">
      <c r="A17723" s="16" t="s">
        <v>8914</v>
      </c>
      <c r="B17723" s="15" t="s">
        <v>8914</v>
      </c>
      <c r="C17723" s="16" t="s">
        <v>8028</v>
      </c>
      <c r="D17723" s="16" t="s">
        <v>8029</v>
      </c>
      <c r="E17723" s="2">
        <v>8593855</v>
      </c>
      <c r="F17723" s="4" t="str">
        <f>IF(B17723=B17722,"",B17723)</f>
        <v>Neustadt/Nord</v>
      </c>
    </row>
    <row r="17724" spans="1:6" ht="15.75" customHeight="1">
      <c r="A17724" s="8" t="str">
        <f ca="1">IFERROR(__xludf.DUMMYFUNCTION("GOOGLETRANSLATE(B28392,""en"",""pt"")"),"Neustadt/Nord")</f>
        <v>Neustadt/Nord</v>
      </c>
      <c r="B17724" s="9" t="s">
        <v>8914</v>
      </c>
      <c r="C17724" s="9" t="s">
        <v>8028</v>
      </c>
      <c r="D17724" s="9" t="s">
        <v>8029</v>
      </c>
      <c r="E17724" s="10">
        <v>8593855</v>
      </c>
      <c r="F17724" s="4" t="str">
        <f>IF(B17724=B17723,"",B17724)</f>
        <v/>
      </c>
    </row>
    <row r="17725" spans="1:6" ht="15.75" customHeight="1">
      <c r="A17725" s="16" t="s">
        <v>8912</v>
      </c>
      <c r="B17725" s="15" t="s">
        <v>8913</v>
      </c>
      <c r="C17725" s="16" t="s">
        <v>8028</v>
      </c>
      <c r="D17725" s="16" t="s">
        <v>8040</v>
      </c>
      <c r="E17725" s="2">
        <v>2864034</v>
      </c>
      <c r="F17725" s="4" t="str">
        <f>IF(B17725=B17724,"",B17725)</f>
        <v>Neustadt in Holstein</v>
      </c>
    </row>
    <row r="17726" spans="1:6" ht="15.75" customHeight="1">
      <c r="A17726" s="8" t="str">
        <f ca="1">IFERROR(__xludf.DUMMYFUNCTION("GOOGLETRANSLATE(B27713,""en"",""pt"")"),"Neustadt em Holstein")</f>
        <v>Neustadt em Holstein</v>
      </c>
      <c r="B17726" s="11" t="s">
        <v>8913</v>
      </c>
      <c r="C17726" s="11" t="s">
        <v>8028</v>
      </c>
      <c r="D17726" s="11" t="s">
        <v>8040</v>
      </c>
      <c r="E17726" s="10">
        <v>2864034</v>
      </c>
      <c r="F17726" s="4" t="str">
        <f>IF(B17726=B17725,"",B17726)</f>
        <v/>
      </c>
    </row>
    <row r="17727" spans="1:6" ht="15.75" customHeight="1">
      <c r="A17727" s="16" t="s">
        <v>8910</v>
      </c>
      <c r="B17727" s="15" t="s">
        <v>8911</v>
      </c>
      <c r="C17727" s="16" t="s">
        <v>8028</v>
      </c>
      <c r="D17727" s="16" t="s">
        <v>8044</v>
      </c>
      <c r="E17727" s="2">
        <v>2864053</v>
      </c>
      <c r="F17727" s="4" t="str">
        <f>IF(B17727=B17726,"",B17727)</f>
        <v>Neustadt bei Coburg</v>
      </c>
    </row>
    <row r="17728" spans="1:6" ht="15.75" customHeight="1">
      <c r="A17728" s="8" t="str">
        <f ca="1">IFERROR(__xludf.DUMMYFUNCTION("GOOGLETRANSLATE(B27714,""en"",""pt"")"),"Neustadt Bei Coburg")</f>
        <v>Neustadt Bei Coburg</v>
      </c>
      <c r="B17728" s="11" t="s">
        <v>8911</v>
      </c>
      <c r="C17728" s="11" t="s">
        <v>8028</v>
      </c>
      <c r="D17728" s="11" t="s">
        <v>8044</v>
      </c>
      <c r="E17728" s="10">
        <v>2864053</v>
      </c>
      <c r="F17728" s="4" t="str">
        <f>IF(B17728=B17727,"",B17728)</f>
        <v/>
      </c>
    </row>
    <row r="17729" spans="1:6" ht="15.75" customHeight="1">
      <c r="A17729" s="8" t="str">
        <f ca="1">IFERROR(__xludf.DUMMYFUNCTION("GOOGLETRANSLATE(B27716,""en"",""pt"")"),"Neustadt Am Rübenberge")</f>
        <v>Neustadt Am Rübenberge</v>
      </c>
      <c r="B17729" s="9" t="s">
        <v>32047</v>
      </c>
      <c r="C17729" s="9" t="s">
        <v>8028</v>
      </c>
      <c r="D17729" s="9" t="s">
        <v>8034</v>
      </c>
      <c r="E17729" s="10">
        <v>2864058</v>
      </c>
      <c r="F17729" s="4" t="str">
        <f>IF(B17729=B17728,"",B17729)</f>
        <v>Neustadt am Rübenberge</v>
      </c>
    </row>
    <row r="17730" spans="1:6" ht="15.75" customHeight="1">
      <c r="A17730" s="16" t="s">
        <v>8908</v>
      </c>
      <c r="B17730" s="15" t="s">
        <v>8909</v>
      </c>
      <c r="C17730" s="16" t="s">
        <v>8028</v>
      </c>
      <c r="D17730" s="16" t="s">
        <v>8034</v>
      </c>
      <c r="E17730" s="2">
        <v>2864058</v>
      </c>
      <c r="F17730" s="4" t="str">
        <f>IF(B17730=B17729,"",B17730)</f>
        <v>Neustadt am RÃ¼benberge</v>
      </c>
    </row>
    <row r="17731" spans="1:6" ht="15.75" customHeight="1">
      <c r="A17731" s="15" t="s">
        <v>8907</v>
      </c>
      <c r="B17731" s="15" t="s">
        <v>8907</v>
      </c>
      <c r="C17731" s="15" t="s">
        <v>8028</v>
      </c>
      <c r="D17731" s="15" t="s">
        <v>8065</v>
      </c>
      <c r="E17731" s="2">
        <v>2864054</v>
      </c>
      <c r="F17731" s="4" t="str">
        <f>IF(B17731=B17730,"",B17731)</f>
        <v>Neustadt</v>
      </c>
    </row>
    <row r="17732" spans="1:6" ht="15.75" customHeight="1">
      <c r="A17732" s="8" t="str">
        <f ca="1">IFERROR(__xludf.DUMMYFUNCTION("GOOGLETRANSLATE(B27715,""en"",""pt"")"),"Neustadt")</f>
        <v>Neustadt</v>
      </c>
      <c r="B17732" s="11" t="s">
        <v>8907</v>
      </c>
      <c r="C17732" s="11" t="s">
        <v>8028</v>
      </c>
      <c r="D17732" s="11" t="s">
        <v>8065</v>
      </c>
      <c r="E17732" s="10">
        <v>2864054</v>
      </c>
      <c r="F17732" s="4" t="str">
        <f>IF(B17732=B17731,"",B17732)</f>
        <v/>
      </c>
    </row>
    <row r="17733" spans="1:6" ht="15.75" customHeight="1">
      <c r="A17733" s="15" t="s">
        <v>8906</v>
      </c>
      <c r="B17733" s="15" t="s">
        <v>8906</v>
      </c>
      <c r="C17733" s="15" t="s">
        <v>8028</v>
      </c>
      <c r="D17733" s="15" t="s">
        <v>8029</v>
      </c>
      <c r="E17733" s="2">
        <v>2864118</v>
      </c>
      <c r="F17733" s="4" t="str">
        <f>IF(B17733=B17732,"",B17733)</f>
        <v>Neuss</v>
      </c>
    </row>
    <row r="17734" spans="1:6" ht="15.75" customHeight="1">
      <c r="A17734" s="8" t="str">
        <f ca="1">IFERROR(__xludf.DUMMYFUNCTION("GOOGLETRANSLATE(B27718,""en"",""pt"")"),"Neuss")</f>
        <v>Neuss</v>
      </c>
      <c r="B17734" s="11" t="s">
        <v>8906</v>
      </c>
      <c r="C17734" s="11" t="s">
        <v>8028</v>
      </c>
      <c r="D17734" s="11" t="s">
        <v>8029</v>
      </c>
      <c r="E17734" s="10">
        <v>2864118</v>
      </c>
      <c r="F17734" s="4" t="str">
        <f>IF(B17734=B17733,"",B17734)</f>
        <v/>
      </c>
    </row>
    <row r="17735" spans="1:6" ht="15.75" customHeight="1">
      <c r="A17735" s="16" t="s">
        <v>8905</v>
      </c>
      <c r="B17735" s="15" t="s">
        <v>8905</v>
      </c>
      <c r="C17735" s="16" t="s">
        <v>8028</v>
      </c>
      <c r="D17735" s="16" t="s">
        <v>8070</v>
      </c>
      <c r="E17735" s="2">
        <v>2864276</v>
      </c>
      <c r="F17735" s="4" t="str">
        <f>IF(B17735=B17734,"",B17735)</f>
        <v>Neuruppin</v>
      </c>
    </row>
    <row r="17736" spans="1:6" ht="15.75" customHeight="1">
      <c r="A17736" s="8" t="str">
        <f ca="1">IFERROR(__xludf.DUMMYFUNCTION("GOOGLETRANSLATE(B27719,""en"",""pt"")"),"Neuruppin")</f>
        <v>Neuruppin</v>
      </c>
      <c r="B17736" s="11" t="s">
        <v>8905</v>
      </c>
      <c r="C17736" s="11" t="s">
        <v>8028</v>
      </c>
      <c r="D17736" s="11" t="s">
        <v>8070</v>
      </c>
      <c r="E17736" s="10">
        <v>2864276</v>
      </c>
      <c r="F17736" s="4" t="str">
        <f>IF(B17736=B17735,"",B17736)</f>
        <v/>
      </c>
    </row>
    <row r="17737" spans="1:6" ht="15.75" customHeight="1">
      <c r="A17737" s="8" t="str">
        <f ca="1">IFERROR(__xludf.DUMMYFUNCTION("GOOGLETRANSLATE(B23300,""en"",""pt"")"),"Neuquén")</f>
        <v>Neuquén</v>
      </c>
      <c r="B17737" s="11" t="s">
        <v>31199</v>
      </c>
      <c r="C17737" s="11" t="s">
        <v>558</v>
      </c>
      <c r="D17737" s="11" t="s">
        <v>607</v>
      </c>
      <c r="E17737" s="10">
        <v>3843123</v>
      </c>
      <c r="F17737" s="4" t="str">
        <f>IF(B17737=B17736,"",B17737)</f>
        <v>Neuquén</v>
      </c>
    </row>
    <row r="17738" spans="1:6" ht="15.75" customHeight="1">
      <c r="A17738" s="15" t="s">
        <v>716</v>
      </c>
      <c r="B17738" s="15" t="s">
        <v>717</v>
      </c>
      <c r="C17738" s="15" t="s">
        <v>558</v>
      </c>
      <c r="D17738" s="15" t="s">
        <v>607</v>
      </c>
      <c r="E17738" s="2">
        <v>3843123</v>
      </c>
      <c r="F17738" s="4" t="str">
        <f>IF(B17738=B17737,"",B17738)</f>
        <v>NeuquÃ©n</v>
      </c>
    </row>
    <row r="17739" spans="1:6" ht="15.75" customHeight="1">
      <c r="A17739" s="16" t="s">
        <v>8904</v>
      </c>
      <c r="B17739" s="15" t="s">
        <v>8904</v>
      </c>
      <c r="C17739" s="16" t="s">
        <v>8028</v>
      </c>
      <c r="D17739" s="16" t="s">
        <v>8177</v>
      </c>
      <c r="E17739" s="2">
        <v>2864435</v>
      </c>
      <c r="F17739" s="4" t="str">
        <f>IF(B17739=B17738,"",B17739)</f>
        <v>Neunkirchen</v>
      </c>
    </row>
    <row r="17740" spans="1:6" ht="15.75" customHeight="1">
      <c r="A17740" s="8" t="str">
        <f ca="1">IFERROR(__xludf.DUMMYFUNCTION("GOOGLETRANSLATE(B27720,""en"",""pt"")"),"Neunkirchen")</f>
        <v>Neunkirchen</v>
      </c>
      <c r="B17740" s="11" t="s">
        <v>8904</v>
      </c>
      <c r="C17740" s="11" t="s">
        <v>8028</v>
      </c>
      <c r="D17740" s="11" t="s">
        <v>8177</v>
      </c>
      <c r="E17740" s="10">
        <v>2864435</v>
      </c>
      <c r="F17740" s="4" t="str">
        <f>IF(B17740=B17739,"",B17740)</f>
        <v/>
      </c>
    </row>
    <row r="17741" spans="1:6" ht="15.75" customHeight="1">
      <c r="A17741" s="8" t="str">
        <f ca="1">IFERROR(__xludf.DUMMYFUNCTION("GOOGLETRANSLATE(B27721,""en"",""pt"")"),"Neumünster")</f>
        <v>Neumünster</v>
      </c>
      <c r="B17741" s="9" t="s">
        <v>32048</v>
      </c>
      <c r="C17741" s="9" t="s">
        <v>8028</v>
      </c>
      <c r="D17741" s="9" t="s">
        <v>8040</v>
      </c>
      <c r="E17741" s="10">
        <v>2864475</v>
      </c>
      <c r="F17741" s="4" t="str">
        <f>IF(B17741=B17740,"",B17741)</f>
        <v>Neumünster</v>
      </c>
    </row>
    <row r="17742" spans="1:6" ht="15.75" customHeight="1">
      <c r="A17742" s="16" t="s">
        <v>8902</v>
      </c>
      <c r="B17742" s="15" t="s">
        <v>8903</v>
      </c>
      <c r="C17742" s="16" t="s">
        <v>8028</v>
      </c>
      <c r="D17742" s="16" t="s">
        <v>8044</v>
      </c>
      <c r="E17742" s="2">
        <v>2864549</v>
      </c>
      <c r="F17742" s="4" t="str">
        <f>IF(B17742=B17741,"",B17742)</f>
        <v>Neumarkt in der Oberpfalz</v>
      </c>
    </row>
    <row r="17743" spans="1:6" ht="15.75" customHeight="1">
      <c r="A17743" s="8" t="str">
        <f ca="1">IFERROR(__xludf.DUMMYFUNCTION("GOOGLETRANSLATE(B27722,""en"",""pt"")"),"Neumarkt em Der Oberpfalz")</f>
        <v>Neumarkt em Der Oberpfalz</v>
      </c>
      <c r="B17743" s="9" t="s">
        <v>8903</v>
      </c>
      <c r="C17743" s="9" t="s">
        <v>8028</v>
      </c>
      <c r="D17743" s="9" t="s">
        <v>8044</v>
      </c>
      <c r="E17743" s="10">
        <v>2864549</v>
      </c>
      <c r="F17743" s="4" t="str">
        <f>IF(B17743=B17742,"",B17743)</f>
        <v/>
      </c>
    </row>
    <row r="17744" spans="1:6" ht="15.75" customHeight="1">
      <c r="A17744" s="16" t="s">
        <v>8900</v>
      </c>
      <c r="B17744" s="15" t="s">
        <v>8901</v>
      </c>
      <c r="C17744" s="16" t="s">
        <v>8028</v>
      </c>
      <c r="D17744" s="16" t="s">
        <v>8040</v>
      </c>
      <c r="E17744" s="2">
        <v>2864475</v>
      </c>
      <c r="F17744" s="4" t="str">
        <f>IF(B17744=B17743,"",B17744)</f>
        <v>NeumÃ¼nster</v>
      </c>
    </row>
    <row r="17745" spans="1:6" ht="15.75" customHeight="1">
      <c r="A17745" s="16" t="s">
        <v>7639</v>
      </c>
      <c r="B17745" s="15" t="s">
        <v>7640</v>
      </c>
      <c r="C17745" s="16" t="s">
        <v>7052</v>
      </c>
      <c r="D17745" s="16" t="s">
        <v>7058</v>
      </c>
      <c r="E17745" s="2">
        <v>2990611</v>
      </c>
      <c r="F17745" s="4" t="str">
        <f>IF(B17745=B17744,"",B17745)</f>
        <v>Neuilly-sur-Seine</v>
      </c>
    </row>
    <row r="17746" spans="1:6" ht="15.75" customHeight="1">
      <c r="A17746" s="8" t="str">
        <f ca="1">IFERROR(__xludf.DUMMYFUNCTION("GOOGLETRANSLATE(B29883,""en"",""pt"")"),"Neuilly-sur-seine")</f>
        <v>Neuilly-sur-seine</v>
      </c>
      <c r="B17746" s="11" t="s">
        <v>7640</v>
      </c>
      <c r="C17746" s="11" t="s">
        <v>7052</v>
      </c>
      <c r="D17746" s="11" t="s">
        <v>32531</v>
      </c>
      <c r="E17746" s="10">
        <v>2990611</v>
      </c>
      <c r="F17746" s="4" t="str">
        <f>IF(B17746=B17745,"",B17746)</f>
        <v/>
      </c>
    </row>
    <row r="17747" spans="1:6" ht="15.75" customHeight="1">
      <c r="A17747" s="16" t="s">
        <v>7638</v>
      </c>
      <c r="B17747" s="15" t="s">
        <v>7638</v>
      </c>
      <c r="C17747" s="16" t="s">
        <v>7052</v>
      </c>
      <c r="D17747" s="16" t="s">
        <v>7058</v>
      </c>
      <c r="E17747" s="2">
        <v>2990612</v>
      </c>
      <c r="F17747" s="4" t="str">
        <f>IF(B17747=B17746,"",B17747)</f>
        <v>Neuilly-sur-Marne</v>
      </c>
    </row>
    <row r="17748" spans="1:6" ht="15.75" customHeight="1">
      <c r="A17748" s="8" t="str">
        <f ca="1">IFERROR(__xludf.DUMMYFUNCTION("GOOGLETRANSLATE(B29884,""en"",""pt"")"),"Neuilly-sur-Marne")</f>
        <v>Neuilly-sur-Marne</v>
      </c>
      <c r="B17748" s="11" t="s">
        <v>7638</v>
      </c>
      <c r="C17748" s="11" t="s">
        <v>7052</v>
      </c>
      <c r="D17748" s="11" t="s">
        <v>32531</v>
      </c>
      <c r="E17748" s="10">
        <v>2990612</v>
      </c>
      <c r="F17748" s="4" t="str">
        <f>IF(B17748=B17747,"",B17748)</f>
        <v/>
      </c>
    </row>
    <row r="17749" spans="1:6" ht="15.75" customHeight="1">
      <c r="A17749" s="16" t="s">
        <v>7636</v>
      </c>
      <c r="B17749" s="15" t="s">
        <v>7637</v>
      </c>
      <c r="C17749" s="16" t="s">
        <v>7052</v>
      </c>
      <c r="D17749" s="16" t="s">
        <v>7058</v>
      </c>
      <c r="E17749" s="2">
        <v>2990616</v>
      </c>
      <c r="F17749" s="4" t="str">
        <f>IF(B17749=B17748,"",B17749)</f>
        <v>Neuilly-Plaisance</v>
      </c>
    </row>
    <row r="17750" spans="1:6" ht="15.75" customHeight="1">
      <c r="A17750" s="8" t="str">
        <f ca="1">IFERROR(__xludf.DUMMYFUNCTION("GOOGLETRANSLATE(B29885,""en"",""pt"")"),"Neuilly-Plaince")</f>
        <v>Neuilly-Plaince</v>
      </c>
      <c r="B17750" s="11" t="s">
        <v>7637</v>
      </c>
      <c r="C17750" s="11" t="s">
        <v>7052</v>
      </c>
      <c r="D17750" s="11" t="s">
        <v>32531</v>
      </c>
      <c r="E17750" s="10">
        <v>2990616</v>
      </c>
      <c r="F17750" s="4" t="str">
        <f>IF(B17750=B17749,"",B17750)</f>
        <v/>
      </c>
    </row>
    <row r="17751" spans="1:6" ht="15.75" customHeight="1">
      <c r="A17751" s="8" t="str">
        <f ca="1">IFERROR(__xludf.DUMMYFUNCTION("GOOGLETRANSLATE(B28387,""en"",""pt"")"),"Neu-Hohenschönhausen")</f>
        <v>Neu-Hohenschönhausen</v>
      </c>
      <c r="B17751" s="9" t="s">
        <v>32144</v>
      </c>
      <c r="C17751" s="9" t="s">
        <v>8028</v>
      </c>
      <c r="D17751" s="9" t="s">
        <v>8036</v>
      </c>
      <c r="E17751" s="10">
        <v>8334622</v>
      </c>
      <c r="F17751" s="4" t="str">
        <f>IF(B17751=B17750,"",B17751)</f>
        <v>Neu-Hohenschönhausen</v>
      </c>
    </row>
    <row r="17752" spans="1:6" ht="15.75" customHeight="1">
      <c r="A17752" s="16" t="s">
        <v>8898</v>
      </c>
      <c r="B17752" s="15" t="s">
        <v>8899</v>
      </c>
      <c r="C17752" s="16" t="s">
        <v>8028</v>
      </c>
      <c r="D17752" s="16" t="s">
        <v>8036</v>
      </c>
      <c r="E17752" s="2">
        <v>8334622</v>
      </c>
      <c r="F17752" s="4" t="str">
        <f>IF(B17752=B17751,"",B17752)</f>
        <v>Neu-HohenschÃ¶nhausen</v>
      </c>
    </row>
    <row r="17753" spans="1:6" ht="15.75" customHeight="1">
      <c r="A17753" s="16" t="s">
        <v>8896</v>
      </c>
      <c r="B17753" s="15" t="s">
        <v>8897</v>
      </c>
      <c r="C17753" s="16" t="s">
        <v>8028</v>
      </c>
      <c r="D17753" s="16" t="s">
        <v>8044</v>
      </c>
      <c r="E17753" s="2">
        <v>2865376</v>
      </c>
      <c r="F17753" s="4" t="str">
        <f>IF(B17753=B17752,"",B17753)</f>
        <v>Neufahrn bei Freising</v>
      </c>
    </row>
    <row r="17754" spans="1:6" ht="15.75" customHeight="1">
      <c r="A17754" s="8" t="str">
        <f ca="1">IFERROR(__xludf.DUMMYFUNCTION("GOOGLETRANSLATE(B27724,""en"",""pt"")"),"Neufahrn Bei Freising")</f>
        <v>Neufahrn Bei Freising</v>
      </c>
      <c r="B17754" s="11" t="s">
        <v>8897</v>
      </c>
      <c r="C17754" s="11" t="s">
        <v>8028</v>
      </c>
      <c r="D17754" s="11" t="s">
        <v>8044</v>
      </c>
      <c r="E17754" s="10">
        <v>2865376</v>
      </c>
      <c r="F17754" s="4" t="str">
        <f>IF(B17754=B17753,"",B17754)</f>
        <v/>
      </c>
    </row>
    <row r="17755" spans="1:6" ht="15.75" customHeight="1">
      <c r="A17755" s="16" t="s">
        <v>8895</v>
      </c>
      <c r="B17755" s="15" t="s">
        <v>8895</v>
      </c>
      <c r="C17755" s="16" t="s">
        <v>8028</v>
      </c>
      <c r="D17755" s="16" t="s">
        <v>8070</v>
      </c>
      <c r="E17755" s="2">
        <v>2865716</v>
      </c>
      <c r="F17755" s="4" t="str">
        <f>IF(B17755=B17754,"",B17755)</f>
        <v>Neuenhagen</v>
      </c>
    </row>
    <row r="17756" spans="1:6" ht="15.75" customHeight="1">
      <c r="A17756" s="8" t="str">
        <f ca="1">IFERROR(__xludf.DUMMYFUNCTION("GOOGLETRANSLATE(B27725,""en"",""pt"")"),"Neuenhagen")</f>
        <v>Neuenhagen</v>
      </c>
      <c r="B17756" s="11" t="s">
        <v>8895</v>
      </c>
      <c r="C17756" s="11" t="s">
        <v>8028</v>
      </c>
      <c r="D17756" s="11" t="s">
        <v>8070</v>
      </c>
      <c r="E17756" s="10">
        <v>2865716</v>
      </c>
      <c r="F17756" s="4" t="str">
        <f>IF(B17756=B17755,"",B17756)</f>
        <v/>
      </c>
    </row>
    <row r="17757" spans="1:6" ht="15.75" customHeight="1">
      <c r="A17757" s="16" t="s">
        <v>8894</v>
      </c>
      <c r="B17757" s="15" t="s">
        <v>8894</v>
      </c>
      <c r="C17757" s="16" t="s">
        <v>8028</v>
      </c>
      <c r="D17757" s="16" t="s">
        <v>8029</v>
      </c>
      <c r="E17757" s="2">
        <v>6691076</v>
      </c>
      <c r="F17757" s="4" t="str">
        <f>IF(B17757=B17756,"",B17757)</f>
        <v>Neuehrenfeld</v>
      </c>
    </row>
    <row r="17758" spans="1:6" ht="15.75" customHeight="1">
      <c r="A17758" s="8" t="str">
        <f ca="1">IFERROR(__xludf.DUMMYFUNCTION("GOOGLETRANSLATE(B28371,""en"",""pt"")"),"Neuehrenfeld")</f>
        <v>Neuehrenfeld</v>
      </c>
      <c r="B17758" s="11" t="s">
        <v>8894</v>
      </c>
      <c r="C17758" s="11" t="s">
        <v>8028</v>
      </c>
      <c r="D17758" s="11" t="s">
        <v>8029</v>
      </c>
      <c r="E17758" s="10">
        <v>6691076</v>
      </c>
      <c r="F17758" s="4" t="str">
        <f>IF(B17758=B17757,"",B17758)</f>
        <v/>
      </c>
    </row>
    <row r="17759" spans="1:6" ht="15.75" customHeight="1">
      <c r="A17759" s="16" t="s">
        <v>8893</v>
      </c>
      <c r="B17759" s="15" t="s">
        <v>8893</v>
      </c>
      <c r="C17759" s="16" t="s">
        <v>8028</v>
      </c>
      <c r="D17759" s="16" t="s">
        <v>8085</v>
      </c>
      <c r="E17759" s="2">
        <v>2864072</v>
      </c>
      <c r="F17759" s="4" t="str">
        <f>IF(B17759=B17758,"",B17759)</f>
        <v>Neue Neustadt</v>
      </c>
    </row>
    <row r="17760" spans="1:6" ht="15.75" customHeight="1">
      <c r="A17760" s="8" t="str">
        <f ca="1">IFERROR(__xludf.DUMMYFUNCTION("GOOGLETRANSLATE(B27717,""en"",""pt"")"),"Neue Neustadt")</f>
        <v>Neue Neustadt</v>
      </c>
      <c r="B17760" s="9" t="s">
        <v>8893</v>
      </c>
      <c r="C17760" s="9" t="s">
        <v>8028</v>
      </c>
      <c r="D17760" s="9" t="s">
        <v>8085</v>
      </c>
      <c r="E17760" s="10">
        <v>2864072</v>
      </c>
      <c r="F17760" s="4" t="str">
        <f>IF(B17760=B17759,"",B17760)</f>
        <v/>
      </c>
    </row>
    <row r="17761" spans="1:6" ht="15.75" customHeight="1">
      <c r="A17761" s="8" t="str">
        <f ca="1">IFERROR(__xludf.DUMMYFUNCTION("GOOGLETRANSLATE(B25765,""en"",""pt"")"),"Neuchâtel")</f>
        <v>Neuchâtel</v>
      </c>
      <c r="B17761" s="11" t="s">
        <v>31776</v>
      </c>
      <c r="C17761" s="11" t="s">
        <v>25237</v>
      </c>
      <c r="D17761" s="11" t="s">
        <v>31776</v>
      </c>
      <c r="E17761" s="10">
        <v>2659496</v>
      </c>
      <c r="F17761" s="4" t="str">
        <f>IF(B17761=B17760,"",B17761)</f>
        <v>Neuchâtel</v>
      </c>
    </row>
    <row r="17762" spans="1:6" ht="15.75" customHeight="1">
      <c r="A17762" s="16" t="s">
        <v>25296</v>
      </c>
      <c r="B17762" s="15" t="s">
        <v>25281</v>
      </c>
      <c r="C17762" s="16" t="s">
        <v>25237</v>
      </c>
      <c r="D17762" s="16" t="s">
        <v>25281</v>
      </c>
      <c r="E17762" s="2">
        <v>2659496</v>
      </c>
      <c r="F17762" s="4" t="str">
        <f>IF(B17762=B17761,"",B17762)</f>
        <v>NeuchÃ¢tel</v>
      </c>
    </row>
    <row r="17763" spans="1:6" ht="15.75" customHeight="1">
      <c r="A17763" s="16" t="s">
        <v>8891</v>
      </c>
      <c r="B17763" s="15" t="s">
        <v>8892</v>
      </c>
      <c r="C17763" s="16" t="s">
        <v>8028</v>
      </c>
      <c r="D17763" s="16" t="s">
        <v>8044</v>
      </c>
      <c r="E17763" s="2">
        <v>2866070</v>
      </c>
      <c r="F17763" s="4" t="str">
        <f>IF(B17763=B17762,"",B17763)</f>
        <v>Neuburg an der Donau</v>
      </c>
    </row>
    <row r="17764" spans="1:6" ht="15.75" customHeight="1">
      <c r="A17764" s="8" t="str">
        <f ca="1">IFERROR(__xludf.DUMMYFUNCTION("GOOGLETRANSLATE(B27726,""en"",""pt"")"),"Neuburg e Dona")</f>
        <v>Neuburg e Dona</v>
      </c>
      <c r="B17764" s="9" t="s">
        <v>8892</v>
      </c>
      <c r="C17764" s="9" t="s">
        <v>8028</v>
      </c>
      <c r="D17764" s="9" t="s">
        <v>8044</v>
      </c>
      <c r="E17764" s="10">
        <v>2866070</v>
      </c>
      <c r="F17764" s="4" t="str">
        <f>IF(B17764=B17763,"",B17764)</f>
        <v/>
      </c>
    </row>
    <row r="17765" spans="1:6" ht="15.75" customHeight="1">
      <c r="A17765" s="8" t="str">
        <f ca="1">IFERROR(__xludf.DUMMYFUNCTION("GOOGLETRANSLATE(B27727,""en"",""pt"")"),"Neubrück")</f>
        <v>Neubrück</v>
      </c>
      <c r="B17765" s="11" t="s">
        <v>32049</v>
      </c>
      <c r="C17765" s="11" t="s">
        <v>8028</v>
      </c>
      <c r="D17765" s="11" t="s">
        <v>8029</v>
      </c>
      <c r="E17765" s="10">
        <v>2866110</v>
      </c>
      <c r="F17765" s="4" t="str">
        <f>IF(B17765=B17764,"",B17765)</f>
        <v>Neubrück</v>
      </c>
    </row>
    <row r="17766" spans="1:6" ht="15.75" customHeight="1">
      <c r="A17766" s="16" t="s">
        <v>8890</v>
      </c>
      <c r="B17766" s="15" t="s">
        <v>8890</v>
      </c>
      <c r="C17766" s="16" t="s">
        <v>8028</v>
      </c>
      <c r="D17766" s="16" t="s">
        <v>8436</v>
      </c>
      <c r="E17766" s="2">
        <v>2866135</v>
      </c>
      <c r="F17766" s="4" t="str">
        <f>IF(B17766=B17765,"",B17766)</f>
        <v>Neubrandenburg</v>
      </c>
    </row>
    <row r="17767" spans="1:6" ht="15.75" customHeight="1">
      <c r="A17767" s="8" t="str">
        <f ca="1">IFERROR(__xludf.DUMMYFUNCTION("GOOGLETRANSLATE(B27728,""en"",""pt"")"),"Neubrandenburg")</f>
        <v>Neubrandenburg</v>
      </c>
      <c r="B17767" s="11" t="s">
        <v>8890</v>
      </c>
      <c r="C17767" s="11" t="s">
        <v>8028</v>
      </c>
      <c r="D17767" s="11" t="s">
        <v>8436</v>
      </c>
      <c r="E17767" s="10">
        <v>2866135</v>
      </c>
      <c r="F17767" s="4" t="str">
        <f>IF(B17767=B17766,"",B17767)</f>
        <v/>
      </c>
    </row>
    <row r="17768" spans="1:6" ht="15.75" customHeight="1">
      <c r="A17768" s="15" t="s">
        <v>8888</v>
      </c>
      <c r="B17768" s="15" t="s">
        <v>8889</v>
      </c>
      <c r="C17768" s="15" t="s">
        <v>8028</v>
      </c>
      <c r="D17768" s="15" t="s">
        <v>8029</v>
      </c>
      <c r="E17768" s="2">
        <v>2866110</v>
      </c>
      <c r="F17768" s="4" t="str">
        <f>IF(B17768=B17767,"",B17768)</f>
        <v>NeubrÃ¼ck</v>
      </c>
    </row>
    <row r="17769" spans="1:6" ht="15.75" customHeight="1">
      <c r="A17769" s="16" t="s">
        <v>8887</v>
      </c>
      <c r="B17769" s="15" t="s">
        <v>8887</v>
      </c>
      <c r="C17769" s="16" t="s">
        <v>8028</v>
      </c>
      <c r="D17769" s="16" t="s">
        <v>8050</v>
      </c>
      <c r="E17769" s="2">
        <v>2866280</v>
      </c>
      <c r="F17769" s="4" t="str">
        <f>IF(B17769=B17768,"",B17769)</f>
        <v>Neu-Anspach</v>
      </c>
    </row>
    <row r="17770" spans="1:6" ht="15.75" customHeight="1">
      <c r="A17770" s="8" t="str">
        <f ca="1">IFERROR(__xludf.DUMMYFUNCTION("GOOGLETRANSLATE(B27729,""en"",""pt"")"),"Neu-Anspach")</f>
        <v>Neu-Anspach</v>
      </c>
      <c r="B17770" s="9" t="s">
        <v>8887</v>
      </c>
      <c r="C17770" s="9" t="s">
        <v>8028</v>
      </c>
      <c r="D17770" s="9" t="s">
        <v>8050</v>
      </c>
      <c r="E17770" s="10">
        <v>2866280</v>
      </c>
      <c r="F17770" s="4" t="str">
        <f>IF(B17770=B17769,"",B17770)</f>
        <v/>
      </c>
    </row>
    <row r="17771" spans="1:6" ht="15.75" customHeight="1">
      <c r="A17771" s="16" t="s">
        <v>8886</v>
      </c>
      <c r="B17771" s="15" t="s">
        <v>8886</v>
      </c>
      <c r="C17771" s="16" t="s">
        <v>8028</v>
      </c>
      <c r="D17771" s="16" t="s">
        <v>8034</v>
      </c>
      <c r="E17771" s="2">
        <v>2863795</v>
      </c>
      <c r="F17771" s="4" t="str">
        <f>IF(B17771=B17770,"",B17771)</f>
        <v>Neu Wulmstorf</v>
      </c>
    </row>
    <row r="17772" spans="1:6" ht="15.75" customHeight="1">
      <c r="A17772" s="8" t="str">
        <f ca="1">IFERROR(__xludf.DUMMYFUNCTION("GOOGLETRANSLATE(B27709,""en"",""pt"")"),"Neu Wulmstorf")</f>
        <v>Neu Wulmstorf</v>
      </c>
      <c r="B17772" s="9" t="s">
        <v>8886</v>
      </c>
      <c r="C17772" s="9" t="s">
        <v>8028</v>
      </c>
      <c r="D17772" s="9" t="s">
        <v>8034</v>
      </c>
      <c r="E17772" s="10">
        <v>2863795</v>
      </c>
      <c r="F17772" s="4" t="str">
        <f>IF(B17772=B17771,"",B17772)</f>
        <v/>
      </c>
    </row>
    <row r="17773" spans="1:6" ht="15.75" customHeight="1">
      <c r="A17773" s="16" t="s">
        <v>8885</v>
      </c>
      <c r="B17773" s="15" t="s">
        <v>8885</v>
      </c>
      <c r="C17773" s="16" t="s">
        <v>8028</v>
      </c>
      <c r="D17773" s="16" t="s">
        <v>8050</v>
      </c>
      <c r="E17773" s="2">
        <v>2864820</v>
      </c>
      <c r="F17773" s="4" t="str">
        <f>IF(B17773=B17772,"",B17773)</f>
        <v>Neu Isenburg</v>
      </c>
    </row>
    <row r="17774" spans="1:6" ht="15.75" customHeight="1">
      <c r="A17774" s="8" t="str">
        <f ca="1">IFERROR(__xludf.DUMMYFUNCTION("GOOGLETRANSLATE(B27723,""en"",""pt"")"),"Neu Isenburg")</f>
        <v>Neu Isenburg</v>
      </c>
      <c r="B17774" s="9" t="s">
        <v>8885</v>
      </c>
      <c r="C17774" s="9" t="s">
        <v>8028</v>
      </c>
      <c r="D17774" s="9" t="s">
        <v>8050</v>
      </c>
      <c r="E17774" s="10">
        <v>2864820</v>
      </c>
      <c r="F17774" s="4" t="str">
        <f>IF(B17774=B17773,"",B17774)</f>
        <v/>
      </c>
    </row>
    <row r="17775" spans="1:6" ht="15.75" customHeight="1">
      <c r="A17775" s="15" t="s">
        <v>15309</v>
      </c>
      <c r="B17775" s="15" t="s">
        <v>15309</v>
      </c>
      <c r="C17775" s="15" t="s">
        <v>14891</v>
      </c>
      <c r="D17775" s="15" t="s">
        <v>14904</v>
      </c>
      <c r="E17775" s="2">
        <v>3172287</v>
      </c>
      <c r="F17775" s="4" t="str">
        <f>IF(B17775=B17774,"",B17775)</f>
        <v>Nettuno</v>
      </c>
    </row>
    <row r="17776" spans="1:6" ht="15.75" customHeight="1">
      <c r="A17776" s="8" t="str">
        <f ca="1">IFERROR(__xludf.DUMMYFUNCTION("GOOGLETRANSLATE(B34806,""en"",""pt"")"),"Nettuno")</f>
        <v>Nettuno</v>
      </c>
      <c r="B17776" s="9" t="s">
        <v>15309</v>
      </c>
      <c r="C17776" s="9" t="s">
        <v>14891</v>
      </c>
      <c r="D17776" s="9" t="s">
        <v>14904</v>
      </c>
      <c r="E17776" s="10">
        <v>3172287</v>
      </c>
      <c r="F17776" s="4" t="str">
        <f>IF(B17776=B17775,"",B17776)</f>
        <v/>
      </c>
    </row>
    <row r="17777" spans="1:6" ht="15.75" customHeight="1">
      <c r="A17777" s="15" t="s">
        <v>8884</v>
      </c>
      <c r="B17777" s="15" t="s">
        <v>8884</v>
      </c>
      <c r="C17777" s="15" t="s">
        <v>8028</v>
      </c>
      <c r="D17777" s="15" t="s">
        <v>8029</v>
      </c>
      <c r="E17777" s="2">
        <v>2866333</v>
      </c>
      <c r="F17777" s="4" t="str">
        <f>IF(B17777=B17776,"",B17777)</f>
        <v>Nettetal</v>
      </c>
    </row>
    <row r="17778" spans="1:6" ht="15.75" customHeight="1">
      <c r="A17778" s="8" t="str">
        <f ca="1">IFERROR(__xludf.DUMMYFUNCTION("GOOGLETRANSLATE(B27730,""en"",""pt"")"),"Nettetal")</f>
        <v>Nettetal</v>
      </c>
      <c r="B17778" s="9" t="s">
        <v>8884</v>
      </c>
      <c r="C17778" s="9" t="s">
        <v>8028</v>
      </c>
      <c r="D17778" s="9" t="s">
        <v>8029</v>
      </c>
      <c r="E17778" s="10">
        <v>2866333</v>
      </c>
      <c r="F17778" s="4" t="str">
        <f>IF(B17778=B17777,"",B17778)</f>
        <v/>
      </c>
    </row>
    <row r="17779" spans="1:6" ht="15.75" customHeight="1">
      <c r="A17779" s="16" t="s">
        <v>1399</v>
      </c>
      <c r="B17779" s="15" t="s">
        <v>1399</v>
      </c>
      <c r="C17779" s="16" t="s">
        <v>1296</v>
      </c>
      <c r="D17779" s="16" t="s">
        <v>1297</v>
      </c>
      <c r="E17779" s="2">
        <v>1185116</v>
      </c>
      <c r="F17779" s="4" t="str">
        <f>IF(B17779=B17778,"",B17779)</f>
        <v>Netrakona</v>
      </c>
    </row>
    <row r="17780" spans="1:6" ht="15.75" customHeight="1">
      <c r="A17780" s="8" t="str">
        <f ca="1">IFERROR(__xludf.DUMMYFUNCTION("GOOGLETRANSLATE(B23702,""en"",""pt"")"),"Netrakona")</f>
        <v>Netrakona</v>
      </c>
      <c r="B17780" s="9" t="s">
        <v>1399</v>
      </c>
      <c r="C17780" s="9" t="s">
        <v>1296</v>
      </c>
      <c r="D17780" s="9" t="s">
        <v>1297</v>
      </c>
      <c r="E17780" s="10">
        <v>1185116</v>
      </c>
      <c r="F17780" s="4" t="str">
        <f>IF(B17780=B17779,"",B17780)</f>
        <v/>
      </c>
    </row>
    <row r="17781" spans="1:6" ht="15.75" customHeight="1">
      <c r="A17781" s="15" t="s">
        <v>8883</v>
      </c>
      <c r="B17781" s="15" t="s">
        <v>8883</v>
      </c>
      <c r="C17781" s="15" t="s">
        <v>8028</v>
      </c>
      <c r="D17781" s="15" t="s">
        <v>8029</v>
      </c>
      <c r="E17781" s="2">
        <v>2866375</v>
      </c>
      <c r="F17781" s="4" t="str">
        <f>IF(B17781=B17780,"",B17781)</f>
        <v>Netphen</v>
      </c>
    </row>
    <row r="17782" spans="1:6" ht="15.75" customHeight="1">
      <c r="A17782" s="8" t="str">
        <f ca="1">IFERROR(__xludf.DUMMYFUNCTION("GOOGLETRANSLATE(B27731,""en"",""pt"")"),"Netphen")</f>
        <v>Netphen</v>
      </c>
      <c r="B17782" s="11" t="s">
        <v>8883</v>
      </c>
      <c r="C17782" s="11" t="s">
        <v>8028</v>
      </c>
      <c r="D17782" s="11" t="s">
        <v>8029</v>
      </c>
      <c r="E17782" s="10">
        <v>2866375</v>
      </c>
      <c r="F17782" s="4" t="str">
        <f>IF(B17782=B17781,"",B17782)</f>
        <v/>
      </c>
    </row>
    <row r="17783" spans="1:6" ht="15.75" customHeight="1">
      <c r="A17783" s="15" t="s">
        <v>14844</v>
      </c>
      <c r="B17783" s="15" t="s">
        <v>14844</v>
      </c>
      <c r="C17783" s="15" t="s">
        <v>14773</v>
      </c>
      <c r="D17783" s="15" t="s">
        <v>14779</v>
      </c>
      <c r="E17783" s="2">
        <v>294068</v>
      </c>
      <c r="F17783" s="4" t="str">
        <f>IF(B17783=B17782,"",B17783)</f>
        <v>Netivot</v>
      </c>
    </row>
    <row r="17784" spans="1:6" ht="15.75" customHeight="1">
      <c r="A17784" s="8" t="str">
        <f ca="1">IFERROR(__xludf.DUMMYFUNCTION("GOOGLETRANSLATE(B31785,""en"",""pt"")"),"Netivot")</f>
        <v>Netivot</v>
      </c>
      <c r="B17784" s="11" t="s">
        <v>14844</v>
      </c>
      <c r="C17784" s="11" t="s">
        <v>14773</v>
      </c>
      <c r="D17784" s="11" t="s">
        <v>14779</v>
      </c>
      <c r="E17784" s="10">
        <v>294068</v>
      </c>
      <c r="F17784" s="4" t="str">
        <f>IF(B17784=B17783,"",B17784)</f>
        <v/>
      </c>
    </row>
    <row r="17785" spans="1:6" ht="15.75" customHeight="1">
      <c r="A17785" s="15" t="s">
        <v>27078</v>
      </c>
      <c r="B17785" s="15" t="s">
        <v>27078</v>
      </c>
      <c r="C17785" s="15" t="s">
        <v>26870</v>
      </c>
      <c r="D17785" s="15" t="s">
        <v>26955</v>
      </c>
      <c r="E17785" s="2">
        <v>700261</v>
      </c>
      <c r="F17785" s="4" t="str">
        <f>IF(B17785=B17784,"",B17785)</f>
        <v>Netishyn</v>
      </c>
    </row>
    <row r="17786" spans="1:6" ht="15.75" customHeight="1">
      <c r="A17786" s="8" t="str">
        <f ca="1">IFERROR(__xludf.DUMMYFUNCTION("GOOGLETRANSLATE(B42572,""en"",""pt"")"),"Netishyn")</f>
        <v>Netishyn</v>
      </c>
      <c r="B17786" s="11" t="s">
        <v>27078</v>
      </c>
      <c r="C17786" s="11" t="s">
        <v>26870</v>
      </c>
      <c r="D17786" s="11" t="s">
        <v>26955</v>
      </c>
      <c r="E17786" s="10">
        <v>700261</v>
      </c>
      <c r="F17786" s="4" t="str">
        <f>IF(B17786=B17785,"",B17786)</f>
        <v/>
      </c>
    </row>
    <row r="17787" spans="1:6" ht="15.75" customHeight="1">
      <c r="A17787" s="15" t="s">
        <v>14843</v>
      </c>
      <c r="B17787" s="15" t="s">
        <v>14843</v>
      </c>
      <c r="C17787" s="15" t="s">
        <v>14773</v>
      </c>
      <c r="D17787" s="15" t="s">
        <v>14800</v>
      </c>
      <c r="E17787" s="2">
        <v>294071</v>
      </c>
      <c r="F17787" s="4" t="str">
        <f>IF(B17787=B17786,"",B17787)</f>
        <v>Netanya</v>
      </c>
    </row>
    <row r="17788" spans="1:6" ht="15.75" customHeight="1">
      <c r="A17788" s="8" t="str">
        <f ca="1">IFERROR(__xludf.DUMMYFUNCTION("GOOGLETRANSLATE(B31786,""en"",""pt"")"),"Netanya")</f>
        <v>Netanya</v>
      </c>
      <c r="B17788" s="11" t="s">
        <v>14843</v>
      </c>
      <c r="C17788" s="11" t="s">
        <v>14773</v>
      </c>
      <c r="D17788" s="11" t="s">
        <v>14800</v>
      </c>
      <c r="E17788" s="10">
        <v>294071</v>
      </c>
      <c r="F17788" s="4" t="str">
        <f>IF(B17788=B17787,"",B17788)</f>
        <v/>
      </c>
    </row>
    <row r="17789" spans="1:6" ht="15.75" customHeight="1">
      <c r="A17789" s="15" t="s">
        <v>27547</v>
      </c>
      <c r="B17789" s="15" t="s">
        <v>27547</v>
      </c>
      <c r="C17789" s="15" t="s">
        <v>27234</v>
      </c>
      <c r="D17789" s="15" t="s">
        <v>27241</v>
      </c>
      <c r="E17789" s="2">
        <v>3345432</v>
      </c>
      <c r="F17789" s="4" t="str">
        <f>IF(B17789=B17788,"",B17789)</f>
        <v>Neston</v>
      </c>
    </row>
    <row r="17790" spans="1:6" ht="15.75" customHeight="1">
      <c r="A17790" s="8" t="str">
        <f ca="1">IFERROR(__xludf.DUMMYFUNCTION("GOOGLETRANSLATE(B30779,""en"",""pt"")"),"Neston")</f>
        <v>Neston</v>
      </c>
      <c r="B17790" s="9" t="s">
        <v>27547</v>
      </c>
      <c r="C17790" s="9" t="s">
        <v>27234</v>
      </c>
      <c r="D17790" s="9" t="s">
        <v>27241</v>
      </c>
      <c r="E17790" s="10">
        <v>3345432</v>
      </c>
      <c r="F17790" s="4" t="str">
        <f>IF(B17790=B17789,"",B17790)</f>
        <v/>
      </c>
    </row>
    <row r="17791" spans="1:6" ht="15.75" customHeight="1">
      <c r="A17791" s="16" t="s">
        <v>22794</v>
      </c>
      <c r="B17791" s="15" t="s">
        <v>22795</v>
      </c>
      <c r="C17791" s="16" t="s">
        <v>22070</v>
      </c>
      <c r="D17791" s="16" t="s">
        <v>22360</v>
      </c>
      <c r="E17791" s="2">
        <v>522470</v>
      </c>
      <c r="F17791" s="4" t="str">
        <f>IF(B17791=B17790,"",B17791)</f>
        <v>Nesterovskaya</v>
      </c>
    </row>
    <row r="17792" spans="1:6" ht="15.75" customHeight="1">
      <c r="A17792" s="8" t="str">
        <f ca="1">IFERROR(__xludf.DUMMYFUNCTION("GOOGLETRANSLATE(B40289,""en"",""pt"")"),"Nestevskaya")</f>
        <v>Nestevskaya</v>
      </c>
      <c r="B17792" s="11" t="s">
        <v>22795</v>
      </c>
      <c r="C17792" s="11" t="s">
        <v>22070</v>
      </c>
      <c r="D17792" s="11" t="s">
        <v>22360</v>
      </c>
      <c r="E17792" s="10">
        <v>522470</v>
      </c>
      <c r="F17792" s="4" t="str">
        <f>IF(B17792=B17791,"",B17792)</f>
        <v/>
      </c>
    </row>
    <row r="17793" spans="1:6" ht="15.75" customHeight="1">
      <c r="A17793" s="16" t="s">
        <v>14842</v>
      </c>
      <c r="B17793" s="15" t="s">
        <v>14842</v>
      </c>
      <c r="C17793" s="16" t="s">
        <v>14773</v>
      </c>
      <c r="D17793" s="16" t="s">
        <v>14800</v>
      </c>
      <c r="E17793" s="2">
        <v>294074</v>
      </c>
      <c r="F17793" s="4" t="str">
        <f>IF(B17793=B17792,"",B17793)</f>
        <v>Ness Ziona</v>
      </c>
    </row>
    <row r="17794" spans="1:6" ht="15.75" customHeight="1">
      <c r="A17794" s="8" t="str">
        <f ca="1">IFERROR(__xludf.DUMMYFUNCTION("GOOGLETRANSLATE(B31787,""en"",""pt"")"),"Ness Ziona")</f>
        <v>Ness Ziona</v>
      </c>
      <c r="B17794" s="9" t="s">
        <v>14842</v>
      </c>
      <c r="C17794" s="9" t="s">
        <v>14773</v>
      </c>
      <c r="D17794" s="9" t="s">
        <v>14800</v>
      </c>
      <c r="E17794" s="10">
        <v>294074</v>
      </c>
      <c r="F17794" s="4" t="str">
        <f>IF(B17794=B17793,"",B17794)</f>
        <v/>
      </c>
    </row>
    <row r="17795" spans="1:6" ht="15.75" customHeight="1">
      <c r="A17795" s="15" t="s">
        <v>14841</v>
      </c>
      <c r="B17795" s="15" t="s">
        <v>14841</v>
      </c>
      <c r="C17795" s="15" t="s">
        <v>14773</v>
      </c>
      <c r="D17795" s="15" t="s">
        <v>14796</v>
      </c>
      <c r="E17795" s="2">
        <v>294078</v>
      </c>
      <c r="F17795" s="4" t="str">
        <f>IF(B17795=B17794,"",B17795)</f>
        <v>Nesher</v>
      </c>
    </row>
    <row r="17796" spans="1:6" ht="15.75" customHeight="1">
      <c r="A17796" s="8" t="str">
        <f ca="1">IFERROR(__xludf.DUMMYFUNCTION("GOOGLETRANSLATE(B31788,""en"",""pt"")"),"Nesher")</f>
        <v>Nesher</v>
      </c>
      <c r="B17796" s="9" t="s">
        <v>14841</v>
      </c>
      <c r="C17796" s="9" t="s">
        <v>14773</v>
      </c>
      <c r="D17796" s="9" t="s">
        <v>14796</v>
      </c>
      <c r="E17796" s="10">
        <v>294078</v>
      </c>
      <c r="F17796" s="4" t="str">
        <f>IF(B17796=B17795,"",B17796)</f>
        <v/>
      </c>
    </row>
    <row r="17797" spans="1:6" ht="15.75" customHeight="1">
      <c r="A17797" s="16" t="s">
        <v>22793</v>
      </c>
      <c r="B17797" s="15" t="s">
        <v>22793</v>
      </c>
      <c r="C17797" s="16" t="s">
        <v>22070</v>
      </c>
      <c r="D17797" s="16" t="s">
        <v>22111</v>
      </c>
      <c r="E17797" s="2">
        <v>2019309</v>
      </c>
      <c r="F17797" s="4" t="str">
        <f>IF(B17797=B17796,"",B17797)</f>
        <v>Neryungri</v>
      </c>
    </row>
    <row r="17798" spans="1:6" ht="15.75" customHeight="1">
      <c r="A17798" s="8" t="str">
        <f ca="1">IFERROR(__xludf.DUMMYFUNCTION("GOOGLETRANSLATE(B40917,""en"",""pt"")"),"Neryungri")</f>
        <v>Neryungri</v>
      </c>
      <c r="B17798" s="11" t="s">
        <v>22793</v>
      </c>
      <c r="C17798" s="11" t="s">
        <v>22070</v>
      </c>
      <c r="D17798" s="11" t="s">
        <v>22111</v>
      </c>
      <c r="E17798" s="10">
        <v>2019309</v>
      </c>
      <c r="F17798" s="4" t="str">
        <f>IF(B17798=B17797,"",B17798)</f>
        <v/>
      </c>
    </row>
    <row r="17799" spans="1:6" ht="15.75" customHeight="1">
      <c r="A17799" s="16" t="s">
        <v>15307</v>
      </c>
      <c r="B17799" s="15" t="s">
        <v>15308</v>
      </c>
      <c r="C17799" s="16" t="s">
        <v>14891</v>
      </c>
      <c r="D17799" s="16" t="s">
        <v>14894</v>
      </c>
      <c r="E17799" s="2">
        <v>3172297</v>
      </c>
      <c r="F17799" s="4" t="str">
        <f>IF(B17799=B17798,"",B17799)</f>
        <v>Nerviano</v>
      </c>
    </row>
    <row r="17800" spans="1:6" ht="15.75" customHeight="1">
      <c r="A17800" s="8" t="str">
        <f ca="1">IFERROR(__xludf.DUMMYFUNCTION("GOOGLETRANSLATE(B34807,""en"",""pt"")"),"NERVRANO")</f>
        <v>NERVRANO</v>
      </c>
      <c r="B17800" s="11" t="s">
        <v>15308</v>
      </c>
      <c r="C17800" s="11" t="s">
        <v>14891</v>
      </c>
      <c r="D17800" s="11" t="s">
        <v>14894</v>
      </c>
      <c r="E17800" s="10">
        <v>3172297</v>
      </c>
      <c r="F17800" s="4" t="str">
        <f>IF(B17800=B17799,"",B17800)</f>
        <v/>
      </c>
    </row>
    <row r="17801" spans="1:6" ht="15.75" customHeight="1">
      <c r="A17801" s="8" t="str">
        <f ca="1">IFERROR(__xludf.DUMMYFUNCTION("GOOGLETRANSLATE(B24787,""en"",""pt"")"),"Nerópolis")</f>
        <v>Nerópolis</v>
      </c>
      <c r="B17801" s="9" t="s">
        <v>31586</v>
      </c>
      <c r="C17801" s="9" t="s">
        <v>1905</v>
      </c>
      <c r="D17801" s="9" t="s">
        <v>31436</v>
      </c>
      <c r="E17801" s="10">
        <v>3456322</v>
      </c>
      <c r="F17801" s="4" t="str">
        <f>IF(B17801=B17800,"",B17801)</f>
        <v>Nerópolis</v>
      </c>
    </row>
    <row r="17802" spans="1:6" ht="15.75" customHeight="1">
      <c r="A17802" s="15" t="s">
        <v>24655</v>
      </c>
      <c r="B17802" s="15" t="s">
        <v>24655</v>
      </c>
      <c r="C17802" s="15" t="s">
        <v>24200</v>
      </c>
      <c r="D17802" s="15" t="s">
        <v>24205</v>
      </c>
      <c r="E17802" s="2">
        <v>2513240</v>
      </c>
      <c r="F17802" s="4" t="str">
        <f>IF(B17802=B17801,"",B17802)</f>
        <v>Nerja</v>
      </c>
    </row>
    <row r="17803" spans="1:6" ht="15.75" customHeight="1">
      <c r="A17803" s="8" t="str">
        <f ca="1">IFERROR(__xludf.DUMMYFUNCTION("GOOGLETRANSLATE(B29040,""en"",""pt"")"),"Nerja")</f>
        <v>Nerja</v>
      </c>
      <c r="B17803" s="9" t="s">
        <v>24655</v>
      </c>
      <c r="C17803" s="9" t="s">
        <v>24200</v>
      </c>
      <c r="D17803" s="9" t="s">
        <v>24205</v>
      </c>
      <c r="E17803" s="10">
        <v>2513240</v>
      </c>
      <c r="F17803" s="4" t="str">
        <f>IF(B17803=B17802,"",B17803)</f>
        <v/>
      </c>
    </row>
    <row r="17804" spans="1:6" ht="15.75" customHeight="1">
      <c r="A17804" s="15" t="s">
        <v>22792</v>
      </c>
      <c r="B17804" s="15" t="s">
        <v>22792</v>
      </c>
      <c r="C17804" s="15" t="s">
        <v>22070</v>
      </c>
      <c r="D17804" s="15" t="s">
        <v>22284</v>
      </c>
      <c r="E17804" s="2">
        <v>522594</v>
      </c>
      <c r="F17804" s="4" t="str">
        <f>IF(B17804=B17803,"",B17804)</f>
        <v>Nerekhta</v>
      </c>
    </row>
    <row r="17805" spans="1:6" ht="15.75" customHeight="1">
      <c r="A17805" s="8" t="str">
        <f ca="1">IFERROR(__xludf.DUMMYFUNCTION("GOOGLETRANSLATE(B40290,""en"",""pt"")"),"Nerekhta")</f>
        <v>Nerekhta</v>
      </c>
      <c r="B17805" s="11" t="s">
        <v>22792</v>
      </c>
      <c r="C17805" s="11" t="s">
        <v>22070</v>
      </c>
      <c r="D17805" s="11" t="s">
        <v>22284</v>
      </c>
      <c r="E17805" s="10">
        <v>522594</v>
      </c>
      <c r="F17805" s="4" t="str">
        <f>IF(B17805=B17804,"",B17805)</f>
        <v/>
      </c>
    </row>
    <row r="17806" spans="1:6" ht="15.75" customHeight="1">
      <c r="A17806" s="16" t="s">
        <v>22791</v>
      </c>
      <c r="B17806" s="15" t="s">
        <v>22791</v>
      </c>
      <c r="C17806" s="16" t="s">
        <v>22070</v>
      </c>
      <c r="D17806" s="16" t="s">
        <v>22267</v>
      </c>
      <c r="E17806" s="2">
        <v>2019326</v>
      </c>
      <c r="F17806" s="4" t="str">
        <f>IF(B17806=B17805,"",B17806)</f>
        <v>Nerchinsk</v>
      </c>
    </row>
    <row r="17807" spans="1:6" ht="15.75" customHeight="1">
      <c r="A17807" s="8" t="str">
        <f ca="1">IFERROR(__xludf.DUMMYFUNCTION("GOOGLETRANSLATE(B40918,""en"",""pt"")"),"Nerchinsk")</f>
        <v>Nerchinsk</v>
      </c>
      <c r="B17807" s="11" t="s">
        <v>22791</v>
      </c>
      <c r="C17807" s="11" t="s">
        <v>22070</v>
      </c>
      <c r="D17807" s="11" t="s">
        <v>22267</v>
      </c>
      <c r="E17807" s="10">
        <v>2019326</v>
      </c>
      <c r="F17807" s="4" t="str">
        <f>IF(B17807=B17806,"",B17807)</f>
        <v/>
      </c>
    </row>
    <row r="17808" spans="1:6" ht="15.75" customHeight="1">
      <c r="A17808" s="16" t="s">
        <v>6068</v>
      </c>
      <c r="B17808" s="15" t="s">
        <v>6068</v>
      </c>
      <c r="C17808" s="16" t="s">
        <v>5947</v>
      </c>
      <c r="D17808" s="16" t="s">
        <v>5985</v>
      </c>
      <c r="E17808" s="2">
        <v>3069844</v>
      </c>
      <c r="F17808" s="4" t="str">
        <f>IF(B17808=B17807,"",B17808)</f>
        <v>Neratovice</v>
      </c>
    </row>
    <row r="17809" spans="1:6" ht="15.75" customHeight="1">
      <c r="A17809" s="8" t="str">
        <f ca="1">IFERROR(__xludf.DUMMYFUNCTION("GOOGLETRANSLATE(B27286,""en"",""pt"")"),"Neratovice")</f>
        <v>Neratovice</v>
      </c>
      <c r="B17809" s="11" t="s">
        <v>6068</v>
      </c>
      <c r="C17809" s="11" t="s">
        <v>5947</v>
      </c>
      <c r="D17809" s="11" t="s">
        <v>5985</v>
      </c>
      <c r="E17809" s="10">
        <v>3069844</v>
      </c>
      <c r="F17809" s="4" t="str">
        <f>IF(B17809=B17808,"",B17809)</f>
        <v/>
      </c>
    </row>
    <row r="17810" spans="1:6" ht="15.75" customHeight="1">
      <c r="A17810" s="15" t="s">
        <v>1046</v>
      </c>
      <c r="B17810" s="15" t="s">
        <v>1046</v>
      </c>
      <c r="C17810" s="15" t="s">
        <v>885</v>
      </c>
      <c r="D17810" s="15" t="s">
        <v>910</v>
      </c>
      <c r="E17810" s="2">
        <v>2155542</v>
      </c>
      <c r="F17810" s="4" t="str">
        <f>IF(B17810=B17809,"",B17810)</f>
        <v>Nerang</v>
      </c>
    </row>
    <row r="17811" spans="1:6" ht="15.75" customHeight="1">
      <c r="A17811" s="8" t="str">
        <f ca="1">IFERROR(__xludf.DUMMYFUNCTION("GOOGLETRANSLATE(B23471,""en"",""pt"")"),"Nerang")</f>
        <v>Nerang</v>
      </c>
      <c r="B17811" s="11" t="s">
        <v>1046</v>
      </c>
      <c r="C17811" s="11" t="s">
        <v>885</v>
      </c>
      <c r="D17811" s="11" t="s">
        <v>910</v>
      </c>
      <c r="E17811" s="10">
        <v>2155542</v>
      </c>
      <c r="F17811" s="4" t="str">
        <f>IF(B17811=B17810,"",B17811)</f>
        <v/>
      </c>
    </row>
    <row r="17812" spans="1:6" ht="15.75" customHeight="1">
      <c r="A17812" s="15" t="s">
        <v>12649</v>
      </c>
      <c r="B17812" s="15" t="s">
        <v>12649</v>
      </c>
      <c r="C17812" s="15" t="s">
        <v>10178</v>
      </c>
      <c r="D17812" s="15" t="s">
        <v>10214</v>
      </c>
      <c r="E17812" s="2">
        <v>1261512</v>
      </c>
      <c r="F17812" s="4" t="str">
        <f>IF(B17812=B17811,"",B17812)</f>
        <v>Neral</v>
      </c>
    </row>
    <row r="17813" spans="1:6" ht="15.75" customHeight="1">
      <c r="A17813" s="8" t="str">
        <f ca="1">IFERROR(__xludf.DUMMYFUNCTION("GOOGLETRANSLATE(B32613,""en"",""pt"")"),"Neral")</f>
        <v>Neral</v>
      </c>
      <c r="B17813" s="11" t="s">
        <v>12649</v>
      </c>
      <c r="C17813" s="11" t="s">
        <v>10178</v>
      </c>
      <c r="D17813" s="11" t="s">
        <v>10214</v>
      </c>
      <c r="E17813" s="10">
        <v>1261512</v>
      </c>
      <c r="F17813" s="4" t="str">
        <f>IF(B17813=B17812,"",B17813)</f>
        <v/>
      </c>
    </row>
    <row r="17814" spans="1:6" ht="15.75" customHeight="1">
      <c r="A17814" s="16" t="s">
        <v>2949</v>
      </c>
      <c r="B17814" s="15" t="s">
        <v>2950</v>
      </c>
      <c r="C17814" s="16" t="s">
        <v>1905</v>
      </c>
      <c r="D17814" s="16" t="s">
        <v>1969</v>
      </c>
      <c r="E17814" s="2">
        <v>3456322</v>
      </c>
      <c r="F17814" s="4" t="str">
        <f>IF(B17814=B17813,"",B17814)</f>
        <v>NerÃ³polis</v>
      </c>
    </row>
    <row r="17815" spans="1:6" ht="15.75" customHeight="1">
      <c r="A17815" s="16" t="s">
        <v>2948</v>
      </c>
      <c r="B17815" s="15" t="s">
        <v>2948</v>
      </c>
      <c r="C17815" s="16" t="s">
        <v>1905</v>
      </c>
      <c r="D17815" s="16" t="s">
        <v>1917</v>
      </c>
      <c r="E17815" s="2">
        <v>3456324</v>
      </c>
      <c r="F17815" s="4" t="str">
        <f>IF(B17815=B17814,"",B17815)</f>
        <v>Nepomuceno</v>
      </c>
    </row>
    <row r="17816" spans="1:6" ht="15.75" customHeight="1">
      <c r="A17816" s="8" t="str">
        <f ca="1">IFERROR(__xludf.DUMMYFUNCTION("GOOGLETRANSLATE(B24788,""en"",""pt"")"),"Nepomuceno")</f>
        <v>Nepomuceno</v>
      </c>
      <c r="B17816" s="11" t="s">
        <v>2948</v>
      </c>
      <c r="C17816" s="11" t="s">
        <v>1905</v>
      </c>
      <c r="D17816" s="11" t="s">
        <v>1917</v>
      </c>
      <c r="E17816" s="10">
        <v>3456324</v>
      </c>
      <c r="F17816" s="4" t="str">
        <f>IF(B17816=B17815,"",B17816)</f>
        <v/>
      </c>
    </row>
    <row r="17817" spans="1:6" ht="15.75" customHeight="1">
      <c r="A17817" s="8" t="str">
        <f ca="1">IFERROR(__xludf.DUMMYFUNCTION("GOOGLETRANSLATE(B32614,""en"",""pt"")"),"Nepānagar")</f>
        <v>Nepānagar</v>
      </c>
      <c r="B17817" s="9" t="s">
        <v>33302</v>
      </c>
      <c r="C17817" s="9" t="s">
        <v>10178</v>
      </c>
      <c r="D17817" s="9" t="s">
        <v>10219</v>
      </c>
      <c r="E17817" s="10">
        <v>1261517</v>
      </c>
      <c r="F17817" s="4" t="str">
        <f>IF(B17817=B17816,"",B17817)</f>
        <v>Nepānagar</v>
      </c>
    </row>
    <row r="17818" spans="1:6" ht="15.75" customHeight="1">
      <c r="A17818" s="16" t="s">
        <v>18847</v>
      </c>
      <c r="B17818" s="15" t="s">
        <v>18847</v>
      </c>
      <c r="C17818" s="16" t="s">
        <v>18800</v>
      </c>
      <c r="D17818" s="16" t="s">
        <v>18813</v>
      </c>
      <c r="E17818" s="2">
        <v>6941099</v>
      </c>
      <c r="F17818" s="4" t="str">
        <f>IF(B17818=B17817,"",B17818)</f>
        <v>Nepalgunj</v>
      </c>
    </row>
    <row r="17819" spans="1:6" ht="15.75" customHeight="1">
      <c r="A17819" s="8" t="str">
        <f ca="1">IFERROR(__xludf.DUMMYFUNCTION("GOOGLETRANSLATE(B38214,""en"",""pt"")"),"Nepalgunj")</f>
        <v>Nepalgunj</v>
      </c>
      <c r="B17819" s="9" t="s">
        <v>18847</v>
      </c>
      <c r="C17819" s="9" t="s">
        <v>18800</v>
      </c>
      <c r="D17819" s="9" t="s">
        <v>18813</v>
      </c>
      <c r="E17819" s="10">
        <v>6941099</v>
      </c>
      <c r="F17819" s="4" t="str">
        <f>IF(B17819=B17818,"",B17819)</f>
        <v/>
      </c>
    </row>
    <row r="17820" spans="1:6" ht="15.75" customHeight="1">
      <c r="A17820" s="16" t="s">
        <v>12647</v>
      </c>
      <c r="B17820" s="15" t="s">
        <v>12648</v>
      </c>
      <c r="C17820" s="16" t="s">
        <v>10178</v>
      </c>
      <c r="D17820" s="16" t="s">
        <v>10219</v>
      </c>
      <c r="E17820" s="2">
        <v>1261517</v>
      </c>
      <c r="F17820" s="4" t="str">
        <f>IF(B17820=B17819,"",B17820)</f>
        <v>NepÄnagar</v>
      </c>
    </row>
    <row r="17821" spans="1:6" ht="15.75" customHeight="1">
      <c r="A17821" s="15" t="s">
        <v>4980</v>
      </c>
      <c r="B17821" s="15" t="s">
        <v>4980</v>
      </c>
      <c r="C17821" s="15" t="s">
        <v>4487</v>
      </c>
      <c r="D17821" s="15" t="s">
        <v>4488</v>
      </c>
      <c r="E17821" s="2">
        <v>2035601</v>
      </c>
      <c r="F17821" s="4" t="str">
        <f>IF(B17821=B17820,"",B17821)</f>
        <v>Nenjiang</v>
      </c>
    </row>
    <row r="17822" spans="1:6" ht="15.75" customHeight="1">
      <c r="A17822" s="8" t="str">
        <f ca="1">IFERROR(__xludf.DUMMYFUNCTION("GOOGLETRANSLATE(B26710,""en"",""pt"")"),"Nenjiang")</f>
        <v>Nenjiang</v>
      </c>
      <c r="B17822" s="9" t="s">
        <v>4980</v>
      </c>
      <c r="C17822" s="9" t="s">
        <v>4487</v>
      </c>
      <c r="D17822" s="9" t="s">
        <v>4488</v>
      </c>
      <c r="E17822" s="10">
        <v>2035601</v>
      </c>
      <c r="F17822" s="4" t="str">
        <f>IF(B17822=B17821,"",B17822)</f>
        <v/>
      </c>
    </row>
    <row r="17823" spans="1:6" ht="15.75" customHeight="1">
      <c r="A17823" s="15" t="s">
        <v>16297</v>
      </c>
      <c r="B17823" s="15" t="s">
        <v>16297</v>
      </c>
      <c r="C17823" s="15" t="s">
        <v>15704</v>
      </c>
      <c r="D17823" s="15" t="s">
        <v>15705</v>
      </c>
      <c r="E17823" s="2">
        <v>2128975</v>
      </c>
      <c r="F17823" s="4" t="str">
        <f>IF(B17823=B17822,"",B17823)</f>
        <v>Nemuro</v>
      </c>
    </row>
    <row r="17824" spans="1:6" ht="15.75" customHeight="1">
      <c r="A17824" s="8" t="str">
        <f ca="1">IFERROR(__xludf.DUMMYFUNCTION("GOOGLETRANSLATE(B35834,""en"",""pt"")"),"Nemuro")</f>
        <v>Nemuro</v>
      </c>
      <c r="B17824" s="9" t="s">
        <v>16297</v>
      </c>
      <c r="C17824" s="9" t="s">
        <v>15704</v>
      </c>
      <c r="D17824" s="9" t="s">
        <v>15705</v>
      </c>
      <c r="E17824" s="10">
        <v>2128975</v>
      </c>
      <c r="F17824" s="4" t="str">
        <f>IF(B17824=B17823,"",B17824)</f>
        <v/>
      </c>
    </row>
    <row r="17825" spans="1:6" ht="15.75" customHeight="1">
      <c r="A17825" s="15" t="s">
        <v>20458</v>
      </c>
      <c r="B17825" s="15" t="s">
        <v>20458</v>
      </c>
      <c r="C17825" s="15" t="s">
        <v>20433</v>
      </c>
      <c r="D17825" s="15" t="s">
        <v>1886</v>
      </c>
      <c r="E17825" s="2">
        <v>3437665</v>
      </c>
      <c r="F17825" s="4" t="str">
        <f>IF(B17825=B17824,"",B17825)</f>
        <v>Nemby</v>
      </c>
    </row>
    <row r="17826" spans="1:6" ht="15.75" customHeight="1">
      <c r="A17826" s="8" t="str">
        <f ca="1">IFERROR(__xludf.DUMMYFUNCTION("GOOGLETRANSLATE(B39687,""en"",""pt"")"),"Nemby")</f>
        <v>Nemby</v>
      </c>
      <c r="B17826" s="9" t="s">
        <v>20458</v>
      </c>
      <c r="C17826" s="9" t="s">
        <v>20433</v>
      </c>
      <c r="D17826" s="9" t="s">
        <v>1886</v>
      </c>
      <c r="E17826" s="10">
        <v>3437665</v>
      </c>
      <c r="F17826" s="4" t="str">
        <f>IF(B17826=B17825,"",B17826)</f>
        <v/>
      </c>
    </row>
    <row r="17827" spans="1:6" ht="15.75" customHeight="1">
      <c r="A17827" s="8" t="str">
        <f ca="1">IFERROR(__xludf.DUMMYFUNCTION("GOOGLETRANSLATE(B36800,""en"",""pt"")"),"Néma")</f>
        <v>Néma</v>
      </c>
      <c r="B17827" s="11" t="s">
        <v>34648</v>
      </c>
      <c r="C17827" s="11" t="s">
        <v>17650</v>
      </c>
      <c r="D17827" s="11" t="s">
        <v>17660</v>
      </c>
      <c r="E17827" s="10">
        <v>2377539</v>
      </c>
      <c r="F17827" s="4" t="str">
        <f>IF(B17827=B17826,"",B17827)</f>
        <v>Néma</v>
      </c>
    </row>
    <row r="17828" spans="1:6" ht="15.75" customHeight="1">
      <c r="A17828" s="15" t="s">
        <v>23943</v>
      </c>
      <c r="B17828" s="15" t="s">
        <v>23943</v>
      </c>
      <c r="C17828" s="15" t="s">
        <v>23842</v>
      </c>
      <c r="D17828" s="15" t="s">
        <v>23849</v>
      </c>
      <c r="E17828" s="2">
        <v>971534</v>
      </c>
      <c r="F17828" s="4" t="str">
        <f>IF(B17828=B17827,"",B17828)</f>
        <v>Nelspruit</v>
      </c>
    </row>
    <row r="17829" spans="1:6" ht="15.75" customHeight="1">
      <c r="A17829" s="8" t="str">
        <f ca="1">IFERROR(__xludf.DUMMYFUNCTION("GOOGLETRANSLATE(B45909,""en"",""pt"")"),"Nelspruit")</f>
        <v>Nelspruit</v>
      </c>
      <c r="B17829" s="11" t="s">
        <v>23943</v>
      </c>
      <c r="C17829" s="11" t="s">
        <v>23842</v>
      </c>
      <c r="D17829" s="11" t="s">
        <v>23849</v>
      </c>
      <c r="E17829" s="10">
        <v>971534</v>
      </c>
      <c r="F17829" s="4" t="str">
        <f>IF(B17829=B17828,"",B17829)</f>
        <v/>
      </c>
    </row>
    <row r="17830" spans="1:6" ht="15.75" customHeight="1">
      <c r="A17830" s="15" t="s">
        <v>19193</v>
      </c>
      <c r="B17830" s="15" t="s">
        <v>19193</v>
      </c>
      <c r="C17830" s="15" t="s">
        <v>19169</v>
      </c>
      <c r="D17830" s="15" t="s">
        <v>19193</v>
      </c>
      <c r="E17830" s="2">
        <v>2186280</v>
      </c>
      <c r="F17830" s="4" t="str">
        <f>IF(B17830=B17829,"",B17830)</f>
        <v>Nelson</v>
      </c>
    </row>
    <row r="17831" spans="1:6" ht="15.75" customHeight="1">
      <c r="A17831" s="15" t="s">
        <v>19193</v>
      </c>
      <c r="B17831" s="15" t="s">
        <v>19193</v>
      </c>
      <c r="C17831" s="15" t="s">
        <v>27234</v>
      </c>
      <c r="D17831" s="15" t="s">
        <v>27241</v>
      </c>
      <c r="E17831" s="2">
        <v>2641810</v>
      </c>
      <c r="F17831" s="4" t="str">
        <f>IF(B17831=B17830,"",B17831)</f>
        <v/>
      </c>
    </row>
    <row r="17832" spans="1:6" ht="15.75" customHeight="1">
      <c r="A17832" s="8" t="str">
        <f ca="1">IFERROR(__xludf.DUMMYFUNCTION("GOOGLETRANSLATE(B30528,""en"",""pt"")"),"Nelson")</f>
        <v>Nelson</v>
      </c>
      <c r="B17832" s="9" t="s">
        <v>19193</v>
      </c>
      <c r="C17832" s="9" t="s">
        <v>27234</v>
      </c>
      <c r="D17832" s="9" t="s">
        <v>27241</v>
      </c>
      <c r="E17832" s="10">
        <v>2641810</v>
      </c>
      <c r="F17832" s="4" t="str">
        <f>IF(B17832=B17831,"",B17832)</f>
        <v/>
      </c>
    </row>
    <row r="17833" spans="1:6" ht="15.75" customHeight="1">
      <c r="A17833" s="8" t="str">
        <f ca="1">IFERROR(__xludf.DUMMYFUNCTION("GOOGLETRANSLATE(B38227,""en"",""pt"")"),"Nelson")</f>
        <v>Nelson</v>
      </c>
      <c r="B17833" s="11" t="s">
        <v>19193</v>
      </c>
      <c r="C17833" s="11" t="s">
        <v>19169</v>
      </c>
      <c r="D17833" s="11" t="s">
        <v>19193</v>
      </c>
      <c r="E17833" s="10">
        <v>2186280</v>
      </c>
      <c r="F17833" s="4" t="str">
        <f>IF(B17833=B17832,"",B17833)</f>
        <v/>
      </c>
    </row>
    <row r="17834" spans="1:6" ht="15.75" customHeight="1">
      <c r="A17834" s="15" t="s">
        <v>12645</v>
      </c>
      <c r="B17834" s="15" t="s">
        <v>12646</v>
      </c>
      <c r="C17834" s="15" t="s">
        <v>10178</v>
      </c>
      <c r="D17834" s="15" t="s">
        <v>10190</v>
      </c>
      <c r="E17834" s="2">
        <v>1261529</v>
      </c>
      <c r="F17834" s="4" t="str">
        <f>IF(B17834=B17833,"",B17834)</f>
        <v>Nellore</v>
      </c>
    </row>
    <row r="17835" spans="1:6" ht="15.75" customHeight="1">
      <c r="A17835" s="8" t="str">
        <f ca="1">IFERROR(__xludf.DUMMYFUNCTION("GOOGLETRANSLATE(B32615,""en"",""pt"")"),"Nelore")</f>
        <v>Nelore</v>
      </c>
      <c r="B17835" s="9" t="s">
        <v>12646</v>
      </c>
      <c r="C17835" s="9" t="s">
        <v>10178</v>
      </c>
      <c r="D17835" s="9" t="s">
        <v>10190</v>
      </c>
      <c r="E17835" s="10">
        <v>1261529</v>
      </c>
      <c r="F17835" s="4" t="str">
        <f>IF(B17835=B17834,"",B17835)</f>
        <v/>
      </c>
    </row>
    <row r="17836" spans="1:6" ht="15.75" customHeight="1">
      <c r="A17836" s="16" t="s">
        <v>12644</v>
      </c>
      <c r="B17836" s="15" t="s">
        <v>12644</v>
      </c>
      <c r="C17836" s="16" t="s">
        <v>10178</v>
      </c>
      <c r="D17836" s="16" t="s">
        <v>10196</v>
      </c>
      <c r="E17836" s="2">
        <v>1261532</v>
      </c>
      <c r="F17836" s="4" t="str">
        <f>IF(B17836=B17835,"",B17836)</f>
        <v>Nellikkuppam</v>
      </c>
    </row>
    <row r="17837" spans="1:6" ht="15.75" customHeight="1">
      <c r="A17837" s="8" t="str">
        <f ca="1">IFERROR(__xludf.DUMMYFUNCTION("GOOGLETRANSLATE(B32616,""en"",""pt"")"),"Nellikkuppam")</f>
        <v>Nellikkuppam</v>
      </c>
      <c r="B17837" s="11" t="s">
        <v>12644</v>
      </c>
      <c r="C17837" s="11" t="s">
        <v>10178</v>
      </c>
      <c r="D17837" s="11" t="s">
        <v>10196</v>
      </c>
      <c r="E17837" s="10">
        <v>1261532</v>
      </c>
      <c r="F17837" s="4" t="str">
        <f>IF(B17837=B17836,"",B17837)</f>
        <v/>
      </c>
    </row>
    <row r="17838" spans="1:6" ht="15.75" customHeight="1">
      <c r="A17838" s="15" t="s">
        <v>22790</v>
      </c>
      <c r="B17838" s="15" t="s">
        <v>22790</v>
      </c>
      <c r="C17838" s="15" t="s">
        <v>22070</v>
      </c>
      <c r="D17838" s="15" t="s">
        <v>22229</v>
      </c>
      <c r="E17838" s="2">
        <v>522775</v>
      </c>
      <c r="F17838" s="4" t="str">
        <f>IF(B17838=B17837,"",B17838)</f>
        <v>Nelidovo</v>
      </c>
    </row>
    <row r="17839" spans="1:6" ht="15.75" customHeight="1">
      <c r="A17839" s="8" t="str">
        <f ca="1">IFERROR(__xludf.DUMMYFUNCTION("GOOGLETRANSLATE(B40291,""en"",""pt"")"),"Nelidovo")</f>
        <v>Nelidovo</v>
      </c>
      <c r="B17839" s="9" t="s">
        <v>22790</v>
      </c>
      <c r="C17839" s="9" t="s">
        <v>22070</v>
      </c>
      <c r="D17839" s="9" t="s">
        <v>22229</v>
      </c>
      <c r="E17839" s="10">
        <v>522775</v>
      </c>
      <c r="F17839" s="4" t="str">
        <f>IF(B17839=B17838,"",B17839)</f>
        <v/>
      </c>
    </row>
    <row r="17840" spans="1:6" ht="15.75" customHeight="1">
      <c r="A17840" s="16" t="s">
        <v>12643</v>
      </c>
      <c r="B17840" s="15" t="s">
        <v>12643</v>
      </c>
      <c r="C17840" s="16" t="s">
        <v>10178</v>
      </c>
      <c r="D17840" s="16" t="s">
        <v>10252</v>
      </c>
      <c r="E17840" s="2">
        <v>1261539</v>
      </c>
      <c r="F17840" s="4" t="str">
        <f>IF(B17840=B17839,"",B17840)</f>
        <v>Nelamangala</v>
      </c>
    </row>
    <row r="17841" spans="1:6" ht="15.75" customHeight="1">
      <c r="A17841" s="8" t="str">
        <f ca="1">IFERROR(__xludf.DUMMYFUNCTION("GOOGLETRANSLATE(B32617,""en"",""pt"")"),"Nelamangala")</f>
        <v>Nelamangala</v>
      </c>
      <c r="B17841" s="9" t="s">
        <v>12643</v>
      </c>
      <c r="C17841" s="9" t="s">
        <v>10178</v>
      </c>
      <c r="D17841" s="9" t="s">
        <v>10252</v>
      </c>
      <c r="E17841" s="10">
        <v>1261539</v>
      </c>
      <c r="F17841" s="4" t="str">
        <f>IF(B17841=B17840,"",B17841)</f>
        <v/>
      </c>
    </row>
    <row r="17842" spans="1:6" ht="15.75" customHeight="1">
      <c r="A17842" s="15" t="s">
        <v>14475</v>
      </c>
      <c r="B17842" s="15" t="s">
        <v>14476</v>
      </c>
      <c r="C17842" s="15" t="s">
        <v>14240</v>
      </c>
      <c r="D17842" s="15" t="s">
        <v>14253</v>
      </c>
      <c r="E17842" s="2">
        <v>122397</v>
      </c>
      <c r="F17842" s="4" t="str">
        <f>IF(B17842=B17841,"",B17842)</f>
        <v>NekÄ</v>
      </c>
    </row>
    <row r="17843" spans="1:6" ht="15.75" customHeight="1">
      <c r="A17843" s="8" t="str">
        <f ca="1">IFERROR(__xludf.DUMMYFUNCTION("GOOGLETRANSLATE(B34407,""en"",""pt"")"),"Nekā")</f>
        <v>Nekā</v>
      </c>
      <c r="B17843" s="11" t="s">
        <v>34170</v>
      </c>
      <c r="C17843" s="11" t="s">
        <v>14240</v>
      </c>
      <c r="D17843" s="11" t="s">
        <v>34132</v>
      </c>
      <c r="E17843" s="10">
        <v>122397</v>
      </c>
      <c r="F17843" s="4" t="str">
        <f>IF(B17843=B17842,"",B17843)</f>
        <v>Nekā</v>
      </c>
    </row>
    <row r="17844" spans="1:6" ht="15.75" customHeight="1">
      <c r="A17844" s="15" t="s">
        <v>6914</v>
      </c>
      <c r="B17844" s="15" t="s">
        <v>6914</v>
      </c>
      <c r="C17844" s="15" t="s">
        <v>6807</v>
      </c>
      <c r="D17844" s="15" t="s">
        <v>6814</v>
      </c>
      <c r="E17844" s="2">
        <v>330120</v>
      </c>
      <c r="F17844" s="4" t="str">
        <f>IF(B17844=B17843,"",B17844)</f>
        <v>Nejo</v>
      </c>
    </row>
    <row r="17845" spans="1:6" ht="15.75" customHeight="1">
      <c r="A17845" s="8" t="str">
        <f ca="1">IFERROR(__xludf.DUMMYFUNCTION("GOOGLETRANSLATE(B29530,""en"",""pt"")"),"Nejo")</f>
        <v>Nejo</v>
      </c>
      <c r="B17845" s="9" t="s">
        <v>6914</v>
      </c>
      <c r="C17845" s="9" t="s">
        <v>6807</v>
      </c>
      <c r="D17845" s="9" t="s">
        <v>6814</v>
      </c>
      <c r="E17845" s="10">
        <v>330120</v>
      </c>
      <c r="F17845" s="4" t="str">
        <f>IF(B17845=B17844,"",B17845)</f>
        <v/>
      </c>
    </row>
    <row r="17846" spans="1:6" ht="15.75" customHeight="1">
      <c r="A17846" s="15" t="s">
        <v>5539</v>
      </c>
      <c r="B17846" s="15" t="s">
        <v>5539</v>
      </c>
      <c r="C17846" s="15" t="s">
        <v>5348</v>
      </c>
      <c r="D17846" s="15" t="s">
        <v>5406</v>
      </c>
      <c r="E17846" s="2">
        <v>3673899</v>
      </c>
      <c r="F17846" s="4" t="str">
        <f>IF(B17846=B17845,"",B17846)</f>
        <v>Neiva</v>
      </c>
    </row>
    <row r="17847" spans="1:6" ht="15.75" customHeight="1">
      <c r="A17847" s="8" t="str">
        <f ca="1">IFERROR(__xludf.DUMMYFUNCTION("GOOGLETRANSLATE(B26931,""en"",""pt"")"),"Neiva")</f>
        <v>Neiva</v>
      </c>
      <c r="B17847" s="11" t="s">
        <v>5539</v>
      </c>
      <c r="C17847" s="11" t="s">
        <v>5348</v>
      </c>
      <c r="D17847" s="11" t="s">
        <v>5406</v>
      </c>
      <c r="E17847" s="10">
        <v>3673899</v>
      </c>
      <c r="F17847" s="4" t="str">
        <f>IF(B17847=B17846,"",B17847)</f>
        <v/>
      </c>
    </row>
    <row r="17848" spans="1:6" ht="15.75" customHeight="1">
      <c r="A17848" s="15" t="s">
        <v>4979</v>
      </c>
      <c r="B17848" s="15" t="s">
        <v>4979</v>
      </c>
      <c r="C17848" s="15" t="s">
        <v>4487</v>
      </c>
      <c r="D17848" s="15" t="s">
        <v>4588</v>
      </c>
      <c r="E17848" s="2">
        <v>1799491</v>
      </c>
      <c r="F17848" s="4" t="str">
        <f>IF(B17848=B17847,"",B17848)</f>
        <v>Neijiang</v>
      </c>
    </row>
    <row r="17849" spans="1:6" ht="15.75" customHeight="1">
      <c r="A17849" s="8" t="str">
        <f ca="1">IFERROR(__xludf.DUMMYFUNCTION("GOOGLETRANSLATE(B26333,""en"",""pt"")"),"Neijiang")</f>
        <v>Neijiang</v>
      </c>
      <c r="B17849" s="11" t="s">
        <v>4979</v>
      </c>
      <c r="C17849" s="11" t="s">
        <v>4487</v>
      </c>
      <c r="D17849" s="11" t="s">
        <v>4588</v>
      </c>
      <c r="E17849" s="10">
        <v>1799491</v>
      </c>
      <c r="F17849" s="4" t="str">
        <f>IF(B17849=B17848,"",B17849)</f>
        <v/>
      </c>
    </row>
    <row r="17850" spans="1:6" ht="15.75" customHeight="1">
      <c r="A17850" s="15" t="s">
        <v>24126</v>
      </c>
      <c r="B17850" s="15" t="s">
        <v>24126</v>
      </c>
      <c r="C17850" s="15" t="s">
        <v>24024</v>
      </c>
      <c r="D17850" s="15" t="s">
        <v>24054</v>
      </c>
      <c r="E17850" s="2">
        <v>1832257</v>
      </c>
      <c r="F17850" s="4" t="str">
        <f>IF(B17850=B17849,"",B17850)</f>
        <v>Neietsu</v>
      </c>
    </row>
    <row r="17851" spans="1:6" ht="15.75" customHeight="1">
      <c r="A17851" s="8" t="str">
        <f ca="1">IFERROR(__xludf.DUMMYFUNCTION("GOOGLETRANSLATE(B36048,""en"",""pt"")"),"Neietsu")</f>
        <v>Neietsu</v>
      </c>
      <c r="B17851" s="11" t="s">
        <v>24126</v>
      </c>
      <c r="C17851" s="11" t="s">
        <v>24024</v>
      </c>
      <c r="D17851" s="11" t="s">
        <v>24054</v>
      </c>
      <c r="E17851" s="10">
        <v>1832257</v>
      </c>
      <c r="F17851" s="4" t="str">
        <f>IF(B17851=B17850,"",B17851)</f>
        <v/>
      </c>
    </row>
    <row r="17852" spans="1:6" ht="15.75" customHeight="1">
      <c r="A17852" s="15" t="s">
        <v>6339</v>
      </c>
      <c r="B17852" s="15" t="s">
        <v>6339</v>
      </c>
      <c r="C17852" s="15" t="s">
        <v>6303</v>
      </c>
      <c r="D17852" s="15" t="s">
        <v>6340</v>
      </c>
      <c r="E17852" s="2">
        <v>3495857</v>
      </c>
      <c r="F17852" s="4" t="str">
        <f>IF(B17852=B17851,"",B17852)</f>
        <v>Neiba</v>
      </c>
    </row>
    <row r="17853" spans="1:6" ht="15.75" customHeight="1">
      <c r="A17853" s="8" t="str">
        <f ca="1">IFERROR(__xludf.DUMMYFUNCTION("GOOGLETRANSLATE(B28475,""en"",""pt"")"),"Neiba")</f>
        <v>Neiba</v>
      </c>
      <c r="B17853" s="11" t="s">
        <v>6339</v>
      </c>
      <c r="C17853" s="11" t="s">
        <v>6303</v>
      </c>
      <c r="D17853" s="11" t="s">
        <v>6340</v>
      </c>
      <c r="E17853" s="10">
        <v>3495857</v>
      </c>
      <c r="F17853" s="4" t="str">
        <f>IF(B17853=B17852,"",B17853)</f>
        <v/>
      </c>
    </row>
    <row r="17854" spans="1:6" ht="15.75" customHeight="1">
      <c r="A17854" s="15" t="s">
        <v>4978</v>
      </c>
      <c r="B17854" s="15" t="s">
        <v>4978</v>
      </c>
      <c r="C17854" s="15" t="s">
        <v>4487</v>
      </c>
      <c r="D17854" s="15" t="s">
        <v>4488</v>
      </c>
      <c r="E17854" s="2">
        <v>2035610</v>
      </c>
      <c r="F17854" s="4" t="str">
        <f>IF(B17854=B17853,"",B17854)</f>
        <v>Nehe</v>
      </c>
    </row>
    <row r="17855" spans="1:6" ht="15.75" customHeight="1">
      <c r="A17855" s="8" t="str">
        <f ca="1">IFERROR(__xludf.DUMMYFUNCTION("GOOGLETRANSLATE(B26711,""en"",""pt"")"),"Nehe")</f>
        <v>Nehe</v>
      </c>
      <c r="B17855" s="11" t="s">
        <v>4978</v>
      </c>
      <c r="C17855" s="11" t="s">
        <v>4487</v>
      </c>
      <c r="D17855" s="11" t="s">
        <v>4488</v>
      </c>
      <c r="E17855" s="10">
        <v>2035610</v>
      </c>
      <c r="F17855" s="4" t="str">
        <f>IF(B17855=B17854,"",B17855)</f>
        <v/>
      </c>
    </row>
    <row r="17856" spans="1:6" ht="15.75" customHeight="1">
      <c r="A17856" s="16" t="s">
        <v>17276</v>
      </c>
      <c r="B17856" s="15" t="s">
        <v>17277</v>
      </c>
      <c r="C17856" s="16" t="s">
        <v>17221</v>
      </c>
      <c r="D17856" s="16" t="s">
        <v>17277</v>
      </c>
      <c r="E17856" s="2">
        <v>787716</v>
      </c>
      <c r="F17856" s="4" t="str">
        <f>IF(B17856=B17855,"",B17856)</f>
        <v>Negotino</v>
      </c>
    </row>
    <row r="17857" spans="1:6" ht="15.75" customHeight="1">
      <c r="A17857" s="8" t="str">
        <f ca="1">IFERROR(__xludf.DUMMYFUNCTION("GOOGLETRANSLATE(B36657,""en"",""pt"")"),"Negociação")</f>
        <v>Negociação</v>
      </c>
      <c r="B17857" s="11" t="s">
        <v>17277</v>
      </c>
      <c r="C17857" s="11" t="s">
        <v>17221</v>
      </c>
      <c r="D17857" s="11" t="s">
        <v>17277</v>
      </c>
      <c r="E17857" s="10">
        <v>787716</v>
      </c>
      <c r="F17857" s="4" t="str">
        <f>IF(B17857=B17856,"",B17857)</f>
        <v/>
      </c>
    </row>
    <row r="17858" spans="1:6" ht="15.75" customHeight="1">
      <c r="A17858" s="15" t="s">
        <v>23634</v>
      </c>
      <c r="B17858" s="15" t="s">
        <v>23635</v>
      </c>
      <c r="C17858" s="15" t="s">
        <v>23602</v>
      </c>
      <c r="D17858" s="15" t="s">
        <v>23603</v>
      </c>
      <c r="E17858" s="2">
        <v>787718</v>
      </c>
      <c r="F17858" s="4" t="str">
        <f>IF(B17858=B17857,"",B17858)</f>
        <v>Negotin</v>
      </c>
    </row>
    <row r="17859" spans="1:6" ht="15.75" customHeight="1">
      <c r="A17859" s="8" t="str">
        <f ca="1">IFERROR(__xludf.DUMMYFUNCTION("GOOGLETRANSLATE(B39876,""en"",""pt"")"),"Negociar")</f>
        <v>Negociar</v>
      </c>
      <c r="B17859" s="9" t="s">
        <v>23635</v>
      </c>
      <c r="C17859" s="9" t="s">
        <v>23602</v>
      </c>
      <c r="D17859" s="9" t="s">
        <v>23603</v>
      </c>
      <c r="E17859" s="10">
        <v>787718</v>
      </c>
      <c r="F17859" s="4" t="str">
        <f>IF(B17859=B17858,"",B17859)</f>
        <v/>
      </c>
    </row>
    <row r="17860" spans="1:6" ht="15.75" customHeight="1">
      <c r="A17860" s="15" t="s">
        <v>24967</v>
      </c>
      <c r="B17860" s="15" t="s">
        <v>24967</v>
      </c>
      <c r="C17860" s="15" t="s">
        <v>24924</v>
      </c>
      <c r="D17860" s="15" t="s">
        <v>6944</v>
      </c>
      <c r="E17860" s="2">
        <v>1233369</v>
      </c>
      <c r="F17860" s="4" t="str">
        <f>IF(B17860=B17859,"",B17860)</f>
        <v>Negombo</v>
      </c>
    </row>
    <row r="17861" spans="1:6" ht="15.75" customHeight="1">
      <c r="A17861" s="8" t="str">
        <f ca="1">IFERROR(__xludf.DUMMYFUNCTION("GOOGLETRANSLATE(B36303,""en"",""pt"")"),"Negombo")</f>
        <v>Negombo</v>
      </c>
      <c r="B17861" s="9" t="s">
        <v>24967</v>
      </c>
      <c r="C17861" s="9" t="s">
        <v>24924</v>
      </c>
      <c r="D17861" s="9" t="s">
        <v>6944</v>
      </c>
      <c r="E17861" s="10">
        <v>1233369</v>
      </c>
      <c r="F17861" s="4" t="str">
        <f>IF(B17861=B17860,"",B17861)</f>
        <v/>
      </c>
    </row>
    <row r="17862" spans="1:6" ht="15.75" customHeight="1">
      <c r="A17862" s="15" t="s">
        <v>14053</v>
      </c>
      <c r="B17862" s="15" t="s">
        <v>14053</v>
      </c>
      <c r="C17862" s="15" t="s">
        <v>13800</v>
      </c>
      <c r="D17862" s="15" t="s">
        <v>3894</v>
      </c>
      <c r="E17862" s="2">
        <v>1634266</v>
      </c>
      <c r="F17862" s="4" t="str">
        <f>IF(B17862=B17861,"",B17862)</f>
        <v>Negara</v>
      </c>
    </row>
    <row r="17863" spans="1:6" ht="15.75" customHeight="1">
      <c r="A17863" s="8" t="str">
        <f ca="1">IFERROR(__xludf.DUMMYFUNCTION("GOOGLETRANSLATE(B31530,""en"",""pt"")"),"Negara")</f>
        <v>Negara</v>
      </c>
      <c r="B17863" s="9" t="s">
        <v>14053</v>
      </c>
      <c r="C17863" s="9" t="s">
        <v>13800</v>
      </c>
      <c r="D17863" s="9" t="s">
        <v>3894</v>
      </c>
      <c r="E17863" s="10">
        <v>1634266</v>
      </c>
      <c r="F17863" s="4" t="str">
        <f>IF(B17863=B17862,"",B17863)</f>
        <v/>
      </c>
    </row>
    <row r="17864" spans="1:6" ht="15.75" customHeight="1">
      <c r="A17864" s="16" t="s">
        <v>22789</v>
      </c>
      <c r="B17864" s="15" t="s">
        <v>22789</v>
      </c>
      <c r="C17864" s="16" t="s">
        <v>22070</v>
      </c>
      <c r="D17864" s="16" t="s">
        <v>22217</v>
      </c>
      <c r="E17864" s="2">
        <v>1497917</v>
      </c>
      <c r="F17864" s="4" t="str">
        <f>IF(B17864=B17863,"",B17864)</f>
        <v>Nefteyugansk</v>
      </c>
    </row>
    <row r="17865" spans="1:6" ht="15.75" customHeight="1">
      <c r="A17865" s="8" t="str">
        <f ca="1">IFERROR(__xludf.DUMMYFUNCTION("GOOGLETRANSLATE(B40791,""en"",""pt"")"),"Nefteyugansk")</f>
        <v>Nefteyugansk</v>
      </c>
      <c r="B17865" s="9" t="s">
        <v>22789</v>
      </c>
      <c r="C17865" s="9" t="s">
        <v>22070</v>
      </c>
      <c r="D17865" s="9" t="s">
        <v>22217</v>
      </c>
      <c r="E17865" s="10">
        <v>1497917</v>
      </c>
      <c r="F17865" s="4" t="str">
        <f>IF(B17865=B17864,"",B17865)</f>
        <v/>
      </c>
    </row>
    <row r="17866" spans="1:6" ht="15.75" customHeight="1">
      <c r="A17866" s="16" t="s">
        <v>22788</v>
      </c>
      <c r="B17866" s="15" t="s">
        <v>22788</v>
      </c>
      <c r="C17866" s="16" t="s">
        <v>22070</v>
      </c>
      <c r="D17866" s="16" t="s">
        <v>22117</v>
      </c>
      <c r="E17866" s="2">
        <v>797781</v>
      </c>
      <c r="F17866" s="4" t="str">
        <f>IF(B17866=B17865,"",B17866)</f>
        <v>Neftekumsk</v>
      </c>
    </row>
    <row r="17867" spans="1:6" ht="15.75" customHeight="1">
      <c r="A17867" s="8" t="str">
        <f ca="1">IFERROR(__xludf.DUMMYFUNCTION("GOOGLETRANSLATE(B40695,""en"",""pt"")"),"Neftekumsk")</f>
        <v>Neftekumsk</v>
      </c>
      <c r="B17867" s="9" t="s">
        <v>22788</v>
      </c>
      <c r="C17867" s="9" t="s">
        <v>22070</v>
      </c>
      <c r="D17867" s="9" t="s">
        <v>22117</v>
      </c>
      <c r="E17867" s="10">
        <v>797781</v>
      </c>
      <c r="F17867" s="4" t="str">
        <f>IF(B17867=B17866,"",B17867)</f>
        <v/>
      </c>
    </row>
    <row r="17868" spans="1:6" ht="15.75" customHeight="1">
      <c r="A17868" s="16" t="s">
        <v>22787</v>
      </c>
      <c r="B17868" s="15" t="s">
        <v>22787</v>
      </c>
      <c r="C17868" s="16" t="s">
        <v>22070</v>
      </c>
      <c r="D17868" s="16" t="s">
        <v>22088</v>
      </c>
      <c r="E17868" s="2">
        <v>522942</v>
      </c>
      <c r="F17868" s="4" t="str">
        <f>IF(B17868=B17867,"",B17868)</f>
        <v>Neftekamsk</v>
      </c>
    </row>
    <row r="17869" spans="1:6" ht="15.75" customHeight="1">
      <c r="A17869" s="8" t="str">
        <f ca="1">IFERROR(__xludf.DUMMYFUNCTION("GOOGLETRANSLATE(B40292,""en"",""pt"")"),"Neftekamsk")</f>
        <v>Neftekamsk</v>
      </c>
      <c r="B17869" s="11" t="s">
        <v>22787</v>
      </c>
      <c r="C17869" s="11" t="s">
        <v>22070</v>
      </c>
      <c r="D17869" s="11" t="s">
        <v>22088</v>
      </c>
      <c r="E17869" s="10">
        <v>522942</v>
      </c>
      <c r="F17869" s="4" t="str">
        <f>IF(B17869=B17868,"",B17869)</f>
        <v/>
      </c>
    </row>
    <row r="17870" spans="1:6" ht="15.75" customHeight="1">
      <c r="A17870" s="16" t="s">
        <v>22786</v>
      </c>
      <c r="B17870" s="15" t="s">
        <v>22786</v>
      </c>
      <c r="C17870" s="16" t="s">
        <v>22070</v>
      </c>
      <c r="D17870" s="16" t="s">
        <v>22227</v>
      </c>
      <c r="E17870" s="2">
        <v>522945</v>
      </c>
      <c r="F17870" s="4" t="str">
        <f>IF(B17870=B17869,"",B17870)</f>
        <v>Neftegorsk</v>
      </c>
    </row>
    <row r="17871" spans="1:6" ht="15.75" customHeight="1">
      <c r="A17871" s="8" t="str">
        <f ca="1">IFERROR(__xludf.DUMMYFUNCTION("GOOGLETRANSLATE(B40293,""en"",""pt"")"),"Neftegorsk")</f>
        <v>Neftegorsk</v>
      </c>
      <c r="B17871" s="11" t="s">
        <v>22786</v>
      </c>
      <c r="C17871" s="11" t="s">
        <v>22070</v>
      </c>
      <c r="D17871" s="11" t="s">
        <v>22227</v>
      </c>
      <c r="E17871" s="10">
        <v>522945</v>
      </c>
      <c r="F17871" s="4" t="str">
        <f>IF(B17871=B17870,"",B17871)</f>
        <v/>
      </c>
    </row>
    <row r="17872" spans="1:6" ht="15.75" customHeight="1">
      <c r="A17872" s="8" t="str">
        <f ca="1">IFERROR(__xludf.DUMMYFUNCTION("GOOGLETRANSLATE(B23620,""en"",""pt"")"),"Neftçala")</f>
        <v>Neftçala</v>
      </c>
      <c r="B17872" s="9" t="s">
        <v>31229</v>
      </c>
      <c r="C17872" s="9" t="s">
        <v>1170</v>
      </c>
      <c r="D17872" s="9" t="s">
        <v>31229</v>
      </c>
      <c r="E17872" s="10">
        <v>147425</v>
      </c>
      <c r="F17872" s="4" t="str">
        <f>IF(B17872=B17871,"",B17872)</f>
        <v>Neftçala</v>
      </c>
    </row>
    <row r="17873" spans="1:6" ht="15.75" customHeight="1">
      <c r="A17873" s="15" t="s">
        <v>1230</v>
      </c>
      <c r="B17873" s="15" t="s">
        <v>1231</v>
      </c>
      <c r="C17873" s="15" t="s">
        <v>1170</v>
      </c>
      <c r="D17873" s="15" t="s">
        <v>1231</v>
      </c>
      <c r="E17873" s="2">
        <v>147425</v>
      </c>
      <c r="F17873" s="4" t="str">
        <f>IF(B17873=B17872,"",B17873)</f>
        <v>NeftÃ§ala</v>
      </c>
    </row>
    <row r="17874" spans="1:6" ht="15.75" customHeight="1">
      <c r="A17874" s="15" t="s">
        <v>26175</v>
      </c>
      <c r="B17874" s="15" t="s">
        <v>26175</v>
      </c>
      <c r="C17874" s="15" t="s">
        <v>26090</v>
      </c>
      <c r="D17874" s="15" t="s">
        <v>26176</v>
      </c>
      <c r="E17874" s="2">
        <v>2468561</v>
      </c>
      <c r="F17874" s="4" t="str">
        <f>IF(B17874=B17873,"",B17874)</f>
        <v>Nefta</v>
      </c>
    </row>
    <row r="17875" spans="1:6" ht="15.75" customHeight="1">
      <c r="A17875" s="8" t="str">
        <f ca="1">IFERROR(__xludf.DUMMYFUNCTION("GOOGLETRANSLATE(B41815,""en"",""pt"")"),"Nefta")</f>
        <v>Nefta</v>
      </c>
      <c r="B17875" s="11" t="s">
        <v>26175</v>
      </c>
      <c r="C17875" s="11" t="s">
        <v>26090</v>
      </c>
      <c r="D17875" s="11" t="s">
        <v>26176</v>
      </c>
      <c r="E17875" s="10">
        <v>2468561</v>
      </c>
      <c r="F17875" s="4" t="str">
        <f>IF(B17875=B17874,"",B17875)</f>
        <v/>
      </c>
    </row>
    <row r="17876" spans="1:6" ht="15.75" customHeight="1">
      <c r="A17876" s="15" t="s">
        <v>1648</v>
      </c>
      <c r="B17876" s="15" t="s">
        <v>1648</v>
      </c>
      <c r="C17876" s="15" t="s">
        <v>1512</v>
      </c>
      <c r="D17876" s="15" t="s">
        <v>1513</v>
      </c>
      <c r="E17876" s="2">
        <v>2790357</v>
      </c>
      <c r="F17876" s="4" t="str">
        <f>IF(B17876=B17875,"",B17876)</f>
        <v>Neerpelt</v>
      </c>
    </row>
    <row r="17877" spans="1:6" ht="15.75" customHeight="1">
      <c r="A17877" s="8" t="str">
        <f ca="1">IFERROR(__xludf.DUMMYFUNCTION("GOOGLETRANSLATE(B23860,""en"",""pt"")"),"Neerpelt")</f>
        <v>Neerpelt</v>
      </c>
      <c r="B17877" s="11" t="s">
        <v>1648</v>
      </c>
      <c r="C17877" s="11" t="s">
        <v>1512</v>
      </c>
      <c r="D17877" s="11" t="s">
        <v>1513</v>
      </c>
      <c r="E17877" s="10">
        <v>2790357</v>
      </c>
      <c r="F17877" s="4" t="str">
        <f>IF(B17877=B17876,"",B17877)</f>
        <v/>
      </c>
    </row>
    <row r="17878" spans="1:6" ht="15.75" customHeight="1">
      <c r="A17878" s="15" t="s">
        <v>29399</v>
      </c>
      <c r="B17878" s="15" t="s">
        <v>29399</v>
      </c>
      <c r="C17878" s="15" t="s">
        <v>27788</v>
      </c>
      <c r="D17878" s="15" t="s">
        <v>27890</v>
      </c>
      <c r="E17878" s="2">
        <v>5264223</v>
      </c>
      <c r="F17878" s="4" t="str">
        <f>IF(B17878=B17877,"",B17878)</f>
        <v>Neenah</v>
      </c>
    </row>
    <row r="17879" spans="1:6" ht="15.75" customHeight="1">
      <c r="A17879" s="8" t="str">
        <f ca="1">IFERROR(__xludf.DUMMYFUNCTION("GOOGLETRANSLATE(B44662,""en"",""pt"")"),"Neenah")</f>
        <v>Neenah</v>
      </c>
      <c r="B17879" s="11" t="s">
        <v>29399</v>
      </c>
      <c r="C17879" s="11" t="s">
        <v>27788</v>
      </c>
      <c r="D17879" s="11" t="s">
        <v>27890</v>
      </c>
      <c r="E17879" s="10">
        <v>5264223</v>
      </c>
      <c r="F17879" s="4" t="str">
        <f>IF(B17879=B17878,"",B17879)</f>
        <v/>
      </c>
    </row>
    <row r="17880" spans="1:6" ht="15.75" customHeight="1">
      <c r="A17880" s="16" t="s">
        <v>12641</v>
      </c>
      <c r="B17880" s="15" t="s">
        <v>12642</v>
      </c>
      <c r="C17880" s="16" t="s">
        <v>10178</v>
      </c>
      <c r="D17880" s="16" t="s">
        <v>10179</v>
      </c>
      <c r="E17880" s="2">
        <v>1261342</v>
      </c>
      <c r="F17880" s="4" t="str">
        <f>IF(B17880=B17879,"",B17880)</f>
        <v>Neem ka Thana</v>
      </c>
    </row>
    <row r="17881" spans="1:6" ht="15.75" customHeight="1">
      <c r="A17881" s="8" t="str">
        <f ca="1">IFERROR(__xludf.DUMMYFUNCTION("GOOGLETRANSLATE(B32599,""en"",""pt"")"),"Neem Ka Thana")</f>
        <v>Neem Ka Thana</v>
      </c>
      <c r="B17881" s="11" t="s">
        <v>12642</v>
      </c>
      <c r="C17881" s="11" t="s">
        <v>10178</v>
      </c>
      <c r="D17881" s="11" t="s">
        <v>10179</v>
      </c>
      <c r="E17881" s="10">
        <v>1261342</v>
      </c>
      <c r="F17881" s="4" t="str">
        <f>IF(B17881=B17880,"",B17881)</f>
        <v/>
      </c>
    </row>
    <row r="17882" spans="1:6" ht="15.75" customHeight="1">
      <c r="A17882" s="16" t="s">
        <v>12640</v>
      </c>
      <c r="B17882" s="15" t="s">
        <v>12640</v>
      </c>
      <c r="C17882" s="16" t="s">
        <v>10178</v>
      </c>
      <c r="D17882" s="16" t="s">
        <v>10196</v>
      </c>
      <c r="E17882" s="2">
        <v>9212568</v>
      </c>
      <c r="F17882" s="4" t="str">
        <f>IF(B17882=B17881,"",B17882)</f>
        <v>Neelankarai</v>
      </c>
    </row>
    <row r="17883" spans="1:6" ht="15.75" customHeight="1">
      <c r="A17883" s="8" t="str">
        <f ca="1">IFERROR(__xludf.DUMMYFUNCTION("GOOGLETRANSLATE(B34262,""en"",""pt"")"),"Neelankarai")</f>
        <v>Neelankarai</v>
      </c>
      <c r="B17883" s="11" t="s">
        <v>12640</v>
      </c>
      <c r="C17883" s="11" t="s">
        <v>10178</v>
      </c>
      <c r="D17883" s="11" t="s">
        <v>10196</v>
      </c>
      <c r="E17883" s="10">
        <v>9212568</v>
      </c>
      <c r="F17883" s="4" t="str">
        <f>IF(B17883=B17882,"",B17883)</f>
        <v/>
      </c>
    </row>
    <row r="17884" spans="1:6" ht="15.75" customHeight="1">
      <c r="A17884" s="15" t="s">
        <v>29398</v>
      </c>
      <c r="B17884" s="15" t="s">
        <v>29398</v>
      </c>
      <c r="C17884" s="15" t="s">
        <v>27788</v>
      </c>
      <c r="D17884" s="15" t="s">
        <v>27794</v>
      </c>
      <c r="E17884" s="2">
        <v>4945055</v>
      </c>
      <c r="F17884" s="4" t="str">
        <f>IF(B17884=B17883,"",B17884)</f>
        <v>Needham</v>
      </c>
    </row>
    <row r="17885" spans="1:6" ht="15.75" customHeight="1">
      <c r="A17885" s="8" t="str">
        <f ca="1">IFERROR(__xludf.DUMMYFUNCTION("GOOGLETRANSLATE(B44005,""en"",""pt"")"),"Needham")</f>
        <v>Needham</v>
      </c>
      <c r="B17885" s="9" t="s">
        <v>29398</v>
      </c>
      <c r="C17885" s="9" t="s">
        <v>27788</v>
      </c>
      <c r="D17885" s="9" t="s">
        <v>27794</v>
      </c>
      <c r="E17885" s="10">
        <v>4945055</v>
      </c>
      <c r="F17885" s="4" t="str">
        <f>IF(B17885=B17884,"",B17885)</f>
        <v/>
      </c>
    </row>
    <row r="17886" spans="1:6" ht="15.75" customHeight="1">
      <c r="A17886" s="8" t="str">
        <f ca="1">IFERROR(__xludf.DUMMYFUNCTION("GOOGLETRANSLATE(B32618,""en"",""pt"")"),"Nedumangād")</f>
        <v>Nedumangād</v>
      </c>
      <c r="B17886" s="11" t="s">
        <v>33303</v>
      </c>
      <c r="C17886" s="11" t="s">
        <v>10178</v>
      </c>
      <c r="D17886" s="11" t="s">
        <v>10246</v>
      </c>
      <c r="E17886" s="10">
        <v>1261553</v>
      </c>
      <c r="F17886" s="4" t="str">
        <f>IF(B17886=B17885,"",B17886)</f>
        <v>Nedumangād</v>
      </c>
    </row>
    <row r="17887" spans="1:6" ht="15.75" customHeight="1">
      <c r="A17887" s="16" t="s">
        <v>12638</v>
      </c>
      <c r="B17887" s="15" t="s">
        <v>12639</v>
      </c>
      <c r="C17887" s="16" t="s">
        <v>10178</v>
      </c>
      <c r="D17887" s="16" t="s">
        <v>10246</v>
      </c>
      <c r="E17887" s="2">
        <v>1261553</v>
      </c>
      <c r="F17887" s="4" t="str">
        <f>IF(B17887=B17886,"",B17887)</f>
        <v>NedumangÄd</v>
      </c>
    </row>
    <row r="17888" spans="1:6" ht="15.75" customHeight="1">
      <c r="A17888" s="15" t="s">
        <v>414</v>
      </c>
      <c r="B17888" s="15" t="s">
        <v>414</v>
      </c>
      <c r="C17888" s="15" t="s">
        <v>153</v>
      </c>
      <c r="D17888" s="15" t="s">
        <v>253</v>
      </c>
      <c r="E17888" s="2">
        <v>2486284</v>
      </c>
      <c r="F17888" s="4" t="str">
        <f>IF(B17888=B17887,"",B17888)</f>
        <v>Nedroma</v>
      </c>
    </row>
    <row r="17889" spans="1:6" ht="15.75" customHeight="1">
      <c r="A17889" s="8" t="str">
        <f ca="1">IFERROR(__xludf.DUMMYFUNCTION("GOOGLETRANSLATE(B28572,""en"",""pt"")"),"Nedroma")</f>
        <v>Nedroma</v>
      </c>
      <c r="B17889" s="11" t="s">
        <v>414</v>
      </c>
      <c r="C17889" s="11" t="s">
        <v>153</v>
      </c>
      <c r="D17889" s="11" t="s">
        <v>253</v>
      </c>
      <c r="E17889" s="10">
        <v>2486284</v>
      </c>
      <c r="F17889" s="4" t="str">
        <f>IF(B17889=B17888,"",B17889)</f>
        <v/>
      </c>
    </row>
    <row r="17890" spans="1:6" ht="15.75" customHeight="1">
      <c r="A17890" s="16" t="s">
        <v>19046</v>
      </c>
      <c r="B17890" s="15" t="s">
        <v>19046</v>
      </c>
      <c r="C17890" s="16" t="s">
        <v>18862</v>
      </c>
      <c r="D17890" s="16" t="s">
        <v>18893</v>
      </c>
      <c r="E17890" s="2">
        <v>2750467</v>
      </c>
      <c r="F17890" s="4" t="str">
        <f>IF(B17890=B17889,"",B17890)</f>
        <v>Nederweert</v>
      </c>
    </row>
    <row r="17891" spans="1:6" ht="15.75" customHeight="1">
      <c r="A17891" s="8" t="str">
        <f ca="1">IFERROR(__xludf.DUMMYFUNCTION("GOOGLETRANSLATE(B37991,""en"",""pt"")"),"Nederweert")</f>
        <v>Nederweert</v>
      </c>
      <c r="B17891" s="9" t="s">
        <v>19046</v>
      </c>
      <c r="C17891" s="9" t="s">
        <v>18862</v>
      </c>
      <c r="D17891" s="9" t="s">
        <v>18893</v>
      </c>
      <c r="E17891" s="10">
        <v>2750467</v>
      </c>
      <c r="F17891" s="4" t="str">
        <f>IF(B17891=B17890,"",B17891)</f>
        <v/>
      </c>
    </row>
    <row r="17892" spans="1:6" ht="15.75" customHeight="1">
      <c r="A17892" s="16" t="s">
        <v>715</v>
      </c>
      <c r="B17892" s="15" t="s">
        <v>715</v>
      </c>
      <c r="C17892" s="16" t="s">
        <v>558</v>
      </c>
      <c r="D17892" s="16" t="s">
        <v>562</v>
      </c>
      <c r="E17892" s="2">
        <v>3430443</v>
      </c>
      <c r="F17892" s="4" t="str">
        <f>IF(B17892=B17891,"",B17892)</f>
        <v>Necochea</v>
      </c>
    </row>
    <row r="17893" spans="1:6" ht="15.75" customHeight="1">
      <c r="A17893" s="8" t="str">
        <f ca="1">IFERROR(__xludf.DUMMYFUNCTION("GOOGLETRANSLATE(B23197,""en"",""pt"")"),"Necochea")</f>
        <v>Necochea</v>
      </c>
      <c r="B17893" s="9" t="s">
        <v>715</v>
      </c>
      <c r="C17893" s="9" t="s">
        <v>558</v>
      </c>
      <c r="D17893" s="9" t="s">
        <v>562</v>
      </c>
      <c r="E17893" s="10">
        <v>3430443</v>
      </c>
      <c r="F17893" s="4" t="str">
        <f>IF(B17893=B17892,"",B17893)</f>
        <v/>
      </c>
    </row>
    <row r="17894" spans="1:6" ht="15.75" customHeight="1">
      <c r="A17894" s="15" t="s">
        <v>8881</v>
      </c>
      <c r="B17894" s="15" t="s">
        <v>8882</v>
      </c>
      <c r="C17894" s="15" t="s">
        <v>8028</v>
      </c>
      <c r="D17894" s="15" t="s">
        <v>8031</v>
      </c>
      <c r="E17894" s="2">
        <v>2866758</v>
      </c>
      <c r="F17894" s="4" t="str">
        <f>IF(B17894=B17893,"",B17894)</f>
        <v>Neckarsulm</v>
      </c>
    </row>
    <row r="17895" spans="1:6" ht="15.75" customHeight="1">
      <c r="A17895" s="8" t="str">
        <f ca="1">IFERROR(__xludf.DUMMYFUNCTION("GOOGLETRANSLATE(B27732,""en"",""pt"")"),"Pescoço")</f>
        <v>Pescoço</v>
      </c>
      <c r="B17895" s="9" t="s">
        <v>8882</v>
      </c>
      <c r="C17895" s="9" t="s">
        <v>8028</v>
      </c>
      <c r="D17895" s="9" t="s">
        <v>32013</v>
      </c>
      <c r="E17895" s="10">
        <v>2866758</v>
      </c>
      <c r="F17895" s="4" t="str">
        <f>IF(B17895=B17894,"",B17895)</f>
        <v/>
      </c>
    </row>
    <row r="17896" spans="1:6" ht="15.75" customHeight="1">
      <c r="A17896" s="15" t="s">
        <v>26856</v>
      </c>
      <c r="B17896" s="15" t="s">
        <v>26856</v>
      </c>
      <c r="C17896" s="15" t="s">
        <v>26820</v>
      </c>
      <c r="D17896" s="15" t="s">
        <v>17416</v>
      </c>
      <c r="E17896" s="2">
        <v>227904</v>
      </c>
      <c r="F17896" s="4" t="str">
        <f>IF(B17896=B17895,"",B17896)</f>
        <v>Nebbi</v>
      </c>
    </row>
    <row r="17897" spans="1:6" ht="15.75" customHeight="1">
      <c r="A17897" s="8" t="str">
        <f ca="1">IFERROR(__xludf.DUMMYFUNCTION("GOOGLETRANSLATE(B42734,""en"",""pt"")"),"Nebbi")</f>
        <v>Nebbi</v>
      </c>
      <c r="B17897" s="9" t="s">
        <v>26856</v>
      </c>
      <c r="C17897" s="9" t="s">
        <v>26820</v>
      </c>
      <c r="D17897" s="9" t="s">
        <v>17416</v>
      </c>
      <c r="E17897" s="10">
        <v>227904</v>
      </c>
      <c r="F17897" s="4" t="str">
        <f>IF(B17897=B17896,"",B17897)</f>
        <v/>
      </c>
    </row>
    <row r="17898" spans="1:6" ht="15.75" customHeight="1">
      <c r="A17898" s="15" t="s">
        <v>9760</v>
      </c>
      <c r="B17898" s="15" t="s">
        <v>9760</v>
      </c>
      <c r="C17898" s="15" t="s">
        <v>9700</v>
      </c>
      <c r="D17898" s="15" t="s">
        <v>9716</v>
      </c>
      <c r="E17898" s="2">
        <v>3592237</v>
      </c>
      <c r="F17898" s="4" t="str">
        <f>IF(B17898=B17897,"",B17898)</f>
        <v>Nebaj</v>
      </c>
    </row>
    <row r="17899" spans="1:6" ht="15.75" customHeight="1">
      <c r="A17899" s="8" t="str">
        <f ca="1">IFERROR(__xludf.DUMMYFUNCTION("GOOGLETRANSLATE(B31104,""en"",""pt"")"),"Nebaj")</f>
        <v>Nebaj</v>
      </c>
      <c r="B17899" s="11" t="s">
        <v>9760</v>
      </c>
      <c r="C17899" s="11" t="s">
        <v>9700</v>
      </c>
      <c r="D17899" s="11" t="s">
        <v>32773</v>
      </c>
      <c r="E17899" s="10">
        <v>3592237</v>
      </c>
      <c r="F17899" s="4" t="str">
        <f>IF(B17899=B17898,"",B17899)</f>
        <v/>
      </c>
    </row>
    <row r="17900" spans="1:6" ht="15.75" customHeight="1">
      <c r="A17900" s="15" t="s">
        <v>27546</v>
      </c>
      <c r="B17900" s="15" t="s">
        <v>27546</v>
      </c>
      <c r="C17900" s="15" t="s">
        <v>27234</v>
      </c>
      <c r="D17900" s="15" t="s">
        <v>27235</v>
      </c>
      <c r="E17900" s="2">
        <v>2641843</v>
      </c>
      <c r="F17900" s="4" t="str">
        <f>IF(B17900=B17899,"",B17900)</f>
        <v>Neath</v>
      </c>
    </row>
    <row r="17901" spans="1:6" ht="15.75" customHeight="1">
      <c r="A17901" s="8" t="str">
        <f ca="1">IFERROR(__xludf.DUMMYFUNCTION("GOOGLETRANSLATE(B30529,""en"",""pt"")"),"Neath")</f>
        <v>Neath</v>
      </c>
      <c r="B17901" s="11" t="s">
        <v>27546</v>
      </c>
      <c r="C17901" s="11" t="s">
        <v>27234</v>
      </c>
      <c r="D17901" s="11" t="s">
        <v>27235</v>
      </c>
      <c r="E17901" s="10">
        <v>2641843</v>
      </c>
      <c r="F17901" s="4" t="str">
        <f>IF(B17901=B17900,"",B17901)</f>
        <v/>
      </c>
    </row>
    <row r="17902" spans="1:6" ht="15.75" customHeight="1">
      <c r="A17902" s="8" t="str">
        <f ca="1">IFERROR(__xludf.DUMMYFUNCTION("GOOGLETRANSLATE(B30972,""en"",""pt"")"),"Néa Smýrni")</f>
        <v>Néa Smýrni</v>
      </c>
      <c r="B17902" s="9" t="s">
        <v>32683</v>
      </c>
      <c r="C17902" s="9" t="s">
        <v>9441</v>
      </c>
      <c r="D17902" s="9" t="s">
        <v>9445</v>
      </c>
      <c r="E17902" s="10">
        <v>256575</v>
      </c>
      <c r="F17902" s="4" t="str">
        <f>IF(B17902=B17901,"",B17902)</f>
        <v>Néa Smýrni</v>
      </c>
    </row>
    <row r="17903" spans="1:6" ht="15.75" customHeight="1">
      <c r="A17903" s="8" t="str">
        <f ca="1">IFERROR(__xludf.DUMMYFUNCTION("GOOGLETRANSLATE(B30973,""en"",""pt"")"),"Néa Mákri")</f>
        <v>Néa Mákri</v>
      </c>
      <c r="B17903" s="11" t="s">
        <v>32684</v>
      </c>
      <c r="C17903" s="11" t="s">
        <v>9441</v>
      </c>
      <c r="D17903" s="11" t="s">
        <v>9445</v>
      </c>
      <c r="E17903" s="10">
        <v>256598</v>
      </c>
      <c r="F17903" s="4" t="str">
        <f>IF(B17903=B17902,"",B17903)</f>
        <v>Néa Mákri</v>
      </c>
    </row>
    <row r="17904" spans="1:6" ht="15.75" customHeight="1">
      <c r="A17904" s="8" t="str">
        <f ca="1">IFERROR(__xludf.DUMMYFUNCTION("GOOGLETRANSLATE(B30975,""en"",""pt"")"),"Néa ionía")</f>
        <v>Néa ionía</v>
      </c>
      <c r="B17904" s="9" t="s">
        <v>32686</v>
      </c>
      <c r="C17904" s="9" t="s">
        <v>9441</v>
      </c>
      <c r="D17904" s="9" t="s">
        <v>9445</v>
      </c>
      <c r="E17904" s="10">
        <v>256614</v>
      </c>
      <c r="F17904" s="4" t="str">
        <f>IF(B17904=B17903,"",B17904)</f>
        <v>Néa Ionía</v>
      </c>
    </row>
    <row r="17905" spans="1:6" ht="15.75" customHeight="1">
      <c r="A17905" s="8" t="str">
        <f ca="1">IFERROR(__xludf.DUMMYFUNCTION("GOOGLETRANSLATE(B31062,""en"",""pt"")"),"Néa ionía")</f>
        <v>Néa ionía</v>
      </c>
      <c r="B17905" s="11" t="s">
        <v>32686</v>
      </c>
      <c r="C17905" s="11" t="s">
        <v>9441</v>
      </c>
      <c r="D17905" s="11" t="s">
        <v>9542</v>
      </c>
      <c r="E17905" s="10">
        <v>9034728</v>
      </c>
      <c r="F17905" s="4" t="str">
        <f>IF(B17905=B17904,"",B17905)</f>
        <v/>
      </c>
    </row>
    <row r="17906" spans="1:6" ht="15.75" customHeight="1">
      <c r="A17906" s="8" t="str">
        <f ca="1">IFERROR(__xludf.DUMMYFUNCTION("GOOGLETRANSLATE(B30976,""en"",""pt"")"),"Néa Filadélfeia")</f>
        <v>Néa Filadélfeia</v>
      </c>
      <c r="B17906" s="9" t="s">
        <v>32687</v>
      </c>
      <c r="C17906" s="9" t="s">
        <v>9441</v>
      </c>
      <c r="D17906" s="9" t="s">
        <v>9445</v>
      </c>
      <c r="E17906" s="10">
        <v>256621</v>
      </c>
      <c r="F17906" s="4" t="str">
        <f>IF(B17906=B17905,"",B17906)</f>
        <v>Néa Filadélfeia</v>
      </c>
    </row>
    <row r="17907" spans="1:6" ht="15.75" customHeight="1">
      <c r="A17907" s="8" t="str">
        <f ca="1">IFERROR(__xludf.DUMMYFUNCTION("GOOGLETRANSLATE(B30977,""en"",""pt"")"),"Néa erythraía")</f>
        <v>Néa erythraía</v>
      </c>
      <c r="B17907" s="11" t="s">
        <v>32688</v>
      </c>
      <c r="C17907" s="11" t="s">
        <v>9441</v>
      </c>
      <c r="D17907" s="11" t="s">
        <v>9445</v>
      </c>
      <c r="E17907" s="10">
        <v>256622</v>
      </c>
      <c r="F17907" s="4" t="str">
        <f>IF(B17907=B17906,"",B17907)</f>
        <v>Néa Erythraía</v>
      </c>
    </row>
    <row r="17908" spans="1:6" ht="15.75" customHeight="1">
      <c r="A17908" s="15" t="s">
        <v>31066</v>
      </c>
      <c r="B17908" s="15" t="s">
        <v>31066</v>
      </c>
      <c r="C17908" s="15" t="s">
        <v>31038</v>
      </c>
      <c r="D17908" s="15" t="s">
        <v>31039</v>
      </c>
      <c r="E17908" s="2">
        <v>901344</v>
      </c>
      <c r="F17908" s="4" t="str">
        <f>IF(B17908=B17907,"",B17908)</f>
        <v>Ndola</v>
      </c>
    </row>
    <row r="17909" spans="1:6" ht="15.75" customHeight="1">
      <c r="A17909" s="8" t="str">
        <f ca="1">IFERROR(__xludf.DUMMYFUNCTION("GOOGLETRANSLATE(B46009,""en"",""pt"")"),"Ndola")</f>
        <v>Ndola</v>
      </c>
      <c r="B17909" s="11" t="s">
        <v>31066</v>
      </c>
      <c r="C17909" s="11" t="s">
        <v>31038</v>
      </c>
      <c r="D17909" s="11" t="s">
        <v>31039</v>
      </c>
      <c r="E17909" s="10">
        <v>901344</v>
      </c>
      <c r="F17909" s="4" t="str">
        <f>IF(B17909=B17908,"",B17909)</f>
        <v/>
      </c>
    </row>
    <row r="17910" spans="1:6" ht="15.75" customHeight="1">
      <c r="A17910" s="16" t="s">
        <v>4348</v>
      </c>
      <c r="B17910" s="15" t="s">
        <v>4349</v>
      </c>
      <c r="C17910" s="16" t="s">
        <v>4305</v>
      </c>
      <c r="D17910" s="16" t="s">
        <v>4324</v>
      </c>
      <c r="E17910" s="2">
        <v>2427123</v>
      </c>
      <c r="F17910" s="4" t="str">
        <f>IF(B17910=B17909,"",B17910)</f>
        <v>N'Djamena</v>
      </c>
    </row>
    <row r="17911" spans="1:6" ht="15.75" customHeight="1">
      <c r="A17911" s="8" t="str">
        <f ca="1">IFERROR(__xludf.DUMMYFUNCTION("GOOGLETRANSLATE(B41475,""en"",""pt"")"),"N'DJamena")</f>
        <v>N'DJamena</v>
      </c>
      <c r="B17911" s="11" t="s">
        <v>4349</v>
      </c>
      <c r="C17911" s="11" t="s">
        <v>4305</v>
      </c>
      <c r="D17911" s="11" t="s">
        <v>4324</v>
      </c>
      <c r="E17911" s="10">
        <v>2427123</v>
      </c>
      <c r="F17911" s="4" t="str">
        <f>IF(B17911=B17910,"",B17911)</f>
        <v/>
      </c>
    </row>
    <row r="17912" spans="1:6" ht="15.75" customHeight="1">
      <c r="A17912" s="8" t="str">
        <f ca="1">IFERROR(__xludf.DUMMYFUNCTION("GOOGLETRANSLATE(B41298,""en"",""pt"")"),"Ndibène Dahra")</f>
        <v>Ndibène Dahra</v>
      </c>
      <c r="B17912" s="9" t="s">
        <v>35708</v>
      </c>
      <c r="C17912" s="9" t="s">
        <v>23559</v>
      </c>
      <c r="D17912" s="9" t="s">
        <v>23563</v>
      </c>
      <c r="E17912" s="10">
        <v>2247813</v>
      </c>
      <c r="F17912" s="4" t="str">
        <f>IF(B17912=B17911,"",B17912)</f>
        <v>Ndibène Dahra</v>
      </c>
    </row>
    <row r="17913" spans="1:6" ht="15.75" customHeight="1">
      <c r="A17913" s="16" t="s">
        <v>23581</v>
      </c>
      <c r="B17913" s="15" t="s">
        <v>23582</v>
      </c>
      <c r="C17913" s="16" t="s">
        <v>23559</v>
      </c>
      <c r="D17913" s="16" t="s">
        <v>23563</v>
      </c>
      <c r="E17913" s="2">
        <v>2247813</v>
      </c>
      <c r="F17913" s="4" t="str">
        <f>IF(B17913=B17912,"",B17913)</f>
        <v>NdibÃ¨ne Dahra</v>
      </c>
    </row>
    <row r="17914" spans="1:6" ht="15.75" customHeight="1">
      <c r="A17914" s="16" t="s">
        <v>31064</v>
      </c>
      <c r="B17914" s="15" t="s">
        <v>31065</v>
      </c>
      <c r="C17914" s="16" t="s">
        <v>31038</v>
      </c>
      <c r="D17914" s="16" t="s">
        <v>31052</v>
      </c>
      <c r="E17914" s="2">
        <v>175499</v>
      </c>
      <c r="F17914" s="4" t="str">
        <f>IF(B17914=B17913,"",B17914)</f>
        <v>Nchelenge</v>
      </c>
    </row>
    <row r="17915" spans="1:6" ht="15.75" customHeight="1">
      <c r="A17915" s="8" t="str">
        <f ca="1">IFERROR(__xludf.DUMMYFUNCTION("GOOGLETRANSLATE(B46002,""en"",""pt"")"),"NCHELENGE")</f>
        <v>NCHELENGE</v>
      </c>
      <c r="B17915" s="9" t="s">
        <v>31065</v>
      </c>
      <c r="C17915" s="9" t="s">
        <v>31038</v>
      </c>
      <c r="D17915" s="9" t="s">
        <v>31052</v>
      </c>
      <c r="E17915" s="10">
        <v>175499</v>
      </c>
      <c r="F17915" s="4" t="str">
        <f>IF(B17915=B17914,"",B17915)</f>
        <v/>
      </c>
    </row>
    <row r="17916" spans="1:6" ht="15.75" customHeight="1">
      <c r="A17916" s="8" t="str">
        <f ca="1">IFERROR(__xludf.DUMMYFUNCTION("GOOGLETRANSLATE(B29531,""en"",""pt"")"),"Nazrēt")</f>
        <v>Nazrēt</v>
      </c>
      <c r="B17916" s="9" t="s">
        <v>32490</v>
      </c>
      <c r="C17916" s="9" t="s">
        <v>6807</v>
      </c>
      <c r="D17916" s="9" t="s">
        <v>6814</v>
      </c>
      <c r="E17916" s="10">
        <v>330186</v>
      </c>
      <c r="F17916" s="4" t="str">
        <f>IF(B17916=B17915,"",B17916)</f>
        <v>Nazrēt</v>
      </c>
    </row>
    <row r="17917" spans="1:6" ht="15.75" customHeight="1">
      <c r="A17917" s="15" t="s">
        <v>22784</v>
      </c>
      <c r="B17917" s="15" t="s">
        <v>22785</v>
      </c>
      <c r="C17917" s="15" t="s">
        <v>22070</v>
      </c>
      <c r="D17917" s="15" t="s">
        <v>22360</v>
      </c>
      <c r="E17917" s="2">
        <v>523064</v>
      </c>
      <c r="F17917" s="4" t="str">
        <f>IF(B17917=B17916,"",B17917)</f>
        <v>Nazranâ€™</v>
      </c>
    </row>
    <row r="17918" spans="1:6" ht="15.75" customHeight="1">
      <c r="A17918" s="8" t="str">
        <f ca="1">IFERROR(__xludf.DUMMYFUNCTION("GOOGLETRANSLATE(B40294,""en"",""pt"")"),"Nazran '")</f>
        <v>Nazran '</v>
      </c>
      <c r="B17918" s="9" t="s">
        <v>35488</v>
      </c>
      <c r="C17918" s="9" t="s">
        <v>22070</v>
      </c>
      <c r="D17918" s="9" t="s">
        <v>22360</v>
      </c>
      <c r="E17918" s="10">
        <v>523064</v>
      </c>
      <c r="F17918" s="4" t="str">
        <f>IF(B17918=B17917,"",B17918)</f>
        <v>Nazran’</v>
      </c>
    </row>
    <row r="17919" spans="1:6" ht="15.75" customHeight="1">
      <c r="A17919" s="15" t="s">
        <v>6912</v>
      </c>
      <c r="B17919" s="15" t="s">
        <v>6913</v>
      </c>
      <c r="C17919" s="15" t="s">
        <v>6807</v>
      </c>
      <c r="D17919" s="15" t="s">
        <v>6814</v>
      </c>
      <c r="E17919" s="2">
        <v>330186</v>
      </c>
      <c r="F17919" s="4" t="str">
        <f>IF(B17919=B17918,"",B17919)</f>
        <v>NazrÄ“t</v>
      </c>
    </row>
    <row r="17920" spans="1:6" ht="15.75" customHeight="1">
      <c r="A17920" s="15" t="s">
        <v>26647</v>
      </c>
      <c r="B17920" s="15" t="s">
        <v>26647</v>
      </c>
      <c r="C17920" s="15" t="s">
        <v>26201</v>
      </c>
      <c r="D17920" s="15" t="s">
        <v>26257</v>
      </c>
      <c r="E17920" s="2">
        <v>303873</v>
      </c>
      <c r="F17920" s="4" t="str">
        <f>IF(B17920=B17919,"",B17920)</f>
        <v>Nazilli</v>
      </c>
    </row>
    <row r="17921" spans="1:6" ht="15.75" customHeight="1">
      <c r="A17921" s="8" t="str">
        <f ca="1">IFERROR(__xludf.DUMMYFUNCTION("GOOGLETRANSLATE(B41929,""en"",""pt"")"),"Nazilli")</f>
        <v>Nazilli</v>
      </c>
      <c r="B17921" s="11" t="s">
        <v>26647</v>
      </c>
      <c r="C17921" s="11" t="s">
        <v>26201</v>
      </c>
      <c r="D17921" s="11" t="s">
        <v>35816</v>
      </c>
      <c r="E17921" s="10">
        <v>303873</v>
      </c>
      <c r="F17921" s="4" t="str">
        <f>IF(B17921=B17920,"",B17921)</f>
        <v/>
      </c>
    </row>
    <row r="17922" spans="1:6" ht="15.75" customHeight="1">
      <c r="A17922" s="16" t="s">
        <v>14473</v>
      </c>
      <c r="B17922" s="15" t="s">
        <v>14474</v>
      </c>
      <c r="C17922" s="16" t="s">
        <v>14240</v>
      </c>
      <c r="D17922" s="16" t="s">
        <v>14428</v>
      </c>
      <c r="E17922" s="2">
        <v>122438</v>
      </c>
      <c r="F17922" s="4" t="str">
        <f>IF(B17922=B17921,"",B17922)</f>
        <v>NazÌ§arÄbÄd</v>
      </c>
    </row>
    <row r="17923" spans="1:6" ht="15.75" customHeight="1">
      <c r="A17923" s="15" t="s">
        <v>16296</v>
      </c>
      <c r="B17923" s="15" t="s">
        <v>16296</v>
      </c>
      <c r="C17923" s="15" t="s">
        <v>15704</v>
      </c>
      <c r="D17923" s="15" t="s">
        <v>15719</v>
      </c>
      <c r="E17923" s="2">
        <v>1855540</v>
      </c>
      <c r="F17923" s="4" t="str">
        <f>IF(B17923=B17922,"",B17923)</f>
        <v>Naze</v>
      </c>
    </row>
    <row r="17924" spans="1:6" ht="15.75" customHeight="1">
      <c r="A17924" s="8" t="str">
        <f ca="1">IFERROR(__xludf.DUMMYFUNCTION("GOOGLETRANSLATE(B35390,""en"",""pt"")"),"Naze")</f>
        <v>Naze</v>
      </c>
      <c r="B17924" s="9" t="s">
        <v>16296</v>
      </c>
      <c r="C17924" s="9" t="s">
        <v>15704</v>
      </c>
      <c r="D17924" s="9" t="s">
        <v>15719</v>
      </c>
      <c r="E17924" s="10">
        <v>1855540</v>
      </c>
      <c r="F17924" s="4" t="str">
        <f>IF(B17924=B17923,"",B17924)</f>
        <v/>
      </c>
    </row>
    <row r="17925" spans="1:6" ht="15.75" customHeight="1">
      <c r="A17925" s="15" t="s">
        <v>20550</v>
      </c>
      <c r="B17925" s="15" t="s">
        <v>20550</v>
      </c>
      <c r="C17925" s="15" t="s">
        <v>20470</v>
      </c>
      <c r="D17925" s="15" t="s">
        <v>20499</v>
      </c>
      <c r="E17925" s="2">
        <v>3934356</v>
      </c>
      <c r="F17925" s="4" t="str">
        <f>IF(B17925=B17924,"",B17925)</f>
        <v>Nazca</v>
      </c>
    </row>
    <row r="17926" spans="1:6" ht="15.75" customHeight="1">
      <c r="A17926" s="8" t="str">
        <f ca="1">IFERROR(__xludf.DUMMYFUNCTION("GOOGLETRANSLATE(B38371,""en"",""pt"")"),"Nazca")</f>
        <v>Nazca</v>
      </c>
      <c r="B17926" s="9" t="s">
        <v>20550</v>
      </c>
      <c r="C17926" s="9" t="s">
        <v>20470</v>
      </c>
      <c r="D17926" s="9" t="s">
        <v>20499</v>
      </c>
      <c r="E17926" s="10">
        <v>3934356</v>
      </c>
      <c r="F17926" s="4" t="str">
        <f>IF(B17926=B17925,"",B17926)</f>
        <v/>
      </c>
    </row>
    <row r="17927" spans="1:6" ht="15.75" customHeight="1">
      <c r="A17927" s="15" t="s">
        <v>22783</v>
      </c>
      <c r="B17927" s="15" t="s">
        <v>22783</v>
      </c>
      <c r="C17927" s="15" t="s">
        <v>22070</v>
      </c>
      <c r="D17927" s="15" t="s">
        <v>22079</v>
      </c>
      <c r="E17927" s="2">
        <v>1497951</v>
      </c>
      <c r="F17927" s="4" t="str">
        <f>IF(B17927=B17926,"",B17927)</f>
        <v>Nazarovo</v>
      </c>
    </row>
    <row r="17928" spans="1:6" ht="15.75" customHeight="1">
      <c r="A17928" s="8" t="str">
        <f ca="1">IFERROR(__xludf.DUMMYFUNCTION("GOOGLETRANSLATE(B40792,""en"",""pt"")"),"Nazarovo")</f>
        <v>Nazarovo</v>
      </c>
      <c r="B17928" s="11" t="s">
        <v>22783</v>
      </c>
      <c r="C17928" s="11" t="s">
        <v>22070</v>
      </c>
      <c r="D17928" s="11" t="s">
        <v>22079</v>
      </c>
      <c r="E17928" s="10">
        <v>1497951</v>
      </c>
      <c r="F17928" s="4" t="str">
        <f>IF(B17928=B17927,"",B17928)</f>
        <v/>
      </c>
    </row>
    <row r="17929" spans="1:6" ht="15.75" customHeight="1">
      <c r="A17929" s="15" t="s">
        <v>2944</v>
      </c>
      <c r="B17929" s="15" t="s">
        <v>14840</v>
      </c>
      <c r="C17929" s="15" t="s">
        <v>14773</v>
      </c>
      <c r="D17929" s="15" t="s">
        <v>14774</v>
      </c>
      <c r="E17929" s="2">
        <v>294098</v>
      </c>
      <c r="F17929" s="4" t="str">
        <f>IF(B17929=B17928,"",B17929)</f>
        <v>Nazareth</v>
      </c>
    </row>
    <row r="17930" spans="1:6" ht="15.75" customHeight="1">
      <c r="A17930" s="8" t="str">
        <f ca="1">IFERROR(__xludf.DUMMYFUNCTION("GOOGLETRANSLATE(B31789,""en"",""pt"")"),"Nazaré")</f>
        <v>Nazaré</v>
      </c>
      <c r="B17930" s="11" t="s">
        <v>14840</v>
      </c>
      <c r="C17930" s="11" t="s">
        <v>14773</v>
      </c>
      <c r="D17930" s="11" t="s">
        <v>14774</v>
      </c>
      <c r="E17930" s="10">
        <v>294098</v>
      </c>
      <c r="F17930" s="4" t="str">
        <f>IF(B17930=B17929,"",B17930)</f>
        <v/>
      </c>
    </row>
    <row r="17931" spans="1:6" ht="15.75" customHeight="1">
      <c r="A17931" s="8" t="str">
        <f ca="1">IFERROR(__xludf.DUMMYFUNCTION("GOOGLETRANSLATE(B24257,""en"",""pt"")"),"Nazaré da Mata")</f>
        <v>Nazaré da Mata</v>
      </c>
      <c r="B17931" s="9" t="s">
        <v>31384</v>
      </c>
      <c r="C17931" s="9" t="s">
        <v>1905</v>
      </c>
      <c r="D17931" s="9" t="s">
        <v>1909</v>
      </c>
      <c r="E17931" s="10">
        <v>3393972</v>
      </c>
      <c r="F17931" s="4" t="str">
        <f>IF(B17931=B17930,"",B17931)</f>
        <v>Nazaré da Mata</v>
      </c>
    </row>
    <row r="17932" spans="1:6" ht="15.75" customHeight="1">
      <c r="A17932" s="8" t="str">
        <f ca="1">IFERROR(__xludf.DUMMYFUNCTION("GOOGLETRANSLATE(B24789,""en"",""pt"")"),"Nazaré")</f>
        <v>Nazaré</v>
      </c>
      <c r="B17932" s="11" t="s">
        <v>2944</v>
      </c>
      <c r="C17932" s="11" t="s">
        <v>1905</v>
      </c>
      <c r="D17932" s="11" t="s">
        <v>1947</v>
      </c>
      <c r="E17932" s="10">
        <v>3456366</v>
      </c>
      <c r="F17932" s="4" t="str">
        <f>IF(B17932=B17931,"",B17932)</f>
        <v>Nazaré</v>
      </c>
    </row>
    <row r="17933" spans="1:6" ht="15.75" customHeight="1">
      <c r="A17933" s="8" t="str">
        <f ca="1">IFERROR(__xludf.DUMMYFUNCTION("GOOGLETRANSLATE(B34408,""en"",""pt"")"),"Naz̧arābād")</f>
        <v>Naz̧arābād</v>
      </c>
      <c r="B17933" s="9" t="s">
        <v>34171</v>
      </c>
      <c r="C17933" s="9" t="s">
        <v>14240</v>
      </c>
      <c r="D17933" s="9" t="s">
        <v>14428</v>
      </c>
      <c r="E17933" s="10">
        <v>122438</v>
      </c>
      <c r="F17933" s="4" t="str">
        <f>IF(B17933=B17932,"",B17933)</f>
        <v>Naz̧arābād</v>
      </c>
    </row>
    <row r="17934" spans="1:6" ht="15.75" customHeight="1">
      <c r="A17934" s="16" t="s">
        <v>2946</v>
      </c>
      <c r="B17934" s="15" t="s">
        <v>2947</v>
      </c>
      <c r="C17934" s="16" t="s">
        <v>1905</v>
      </c>
      <c r="D17934" s="16" t="s">
        <v>1909</v>
      </c>
      <c r="E17934" s="2">
        <v>3393972</v>
      </c>
      <c r="F17934" s="4" t="str">
        <f>IF(B17934=B17933,"",B17934)</f>
        <v>NazarÃ© da Mata</v>
      </c>
    </row>
    <row r="17935" spans="1:6" ht="15.75" customHeight="1">
      <c r="A17935" s="15" t="s">
        <v>2944</v>
      </c>
      <c r="B17935" s="15" t="s">
        <v>2945</v>
      </c>
      <c r="C17935" s="15" t="s">
        <v>1905</v>
      </c>
      <c r="D17935" s="15" t="s">
        <v>1947</v>
      </c>
      <c r="E17935" s="2">
        <v>3456366</v>
      </c>
      <c r="F17935" s="4" t="str">
        <f>IF(B17935=B17934,"",B17935)</f>
        <v>NazarÃ©</v>
      </c>
    </row>
    <row r="17936" spans="1:6" ht="15.75" customHeight="1">
      <c r="A17936" s="8" t="str">
        <f ca="1">IFERROR(__xludf.DUMMYFUNCTION("GOOGLETRANSLATE(B32619,""en"",""pt"")"),"Nāyudupeta")</f>
        <v>Nāyudupeta</v>
      </c>
      <c r="B17936" s="11" t="s">
        <v>33304</v>
      </c>
      <c r="C17936" s="11" t="s">
        <v>10178</v>
      </c>
      <c r="D17936" s="11" t="s">
        <v>10190</v>
      </c>
      <c r="E17936" s="10">
        <v>1261567</v>
      </c>
      <c r="F17936" s="4" t="str">
        <f>IF(B17936=B17935,"",B17936)</f>
        <v>Nāyudupeta</v>
      </c>
    </row>
    <row r="17937" spans="1:6" ht="15.75" customHeight="1">
      <c r="A17937" s="15" t="s">
        <v>16295</v>
      </c>
      <c r="B17937" s="15" t="s">
        <v>16295</v>
      </c>
      <c r="C17937" s="15" t="s">
        <v>15704</v>
      </c>
      <c r="D17937" s="15" t="s">
        <v>15705</v>
      </c>
      <c r="E17937" s="2">
        <v>2128983</v>
      </c>
      <c r="F17937" s="4" t="str">
        <f>IF(B17937=B17936,"",B17937)</f>
        <v>Nayoro</v>
      </c>
    </row>
    <row r="17938" spans="1:6" ht="15.75" customHeight="1">
      <c r="A17938" s="8" t="str">
        <f ca="1">IFERROR(__xludf.DUMMYFUNCTION("GOOGLETRANSLATE(B35835,""en"",""pt"")"),"Nayoro")</f>
        <v>Nayoro</v>
      </c>
      <c r="B17938" s="11" t="s">
        <v>16295</v>
      </c>
      <c r="C17938" s="11" t="s">
        <v>15704</v>
      </c>
      <c r="D17938" s="11" t="s">
        <v>15705</v>
      </c>
      <c r="E17938" s="10">
        <v>2128983</v>
      </c>
      <c r="F17938" s="4" t="str">
        <f>IF(B17938=B17937,"",B17938)</f>
        <v/>
      </c>
    </row>
    <row r="17939" spans="1:6" ht="15.75" customHeight="1">
      <c r="A17939" s="8" t="str">
        <f ca="1">IFERROR(__xludf.DUMMYFUNCTION("GOOGLETRANSLATE(B32620,""en"",""pt"")"),"Nayāgarh")</f>
        <v>Nayāgarh</v>
      </c>
      <c r="B17939" s="9" t="s">
        <v>33305</v>
      </c>
      <c r="C17939" s="9" t="s">
        <v>10178</v>
      </c>
      <c r="D17939" s="9" t="s">
        <v>10229</v>
      </c>
      <c r="E17939" s="10">
        <v>1261580</v>
      </c>
      <c r="F17939" s="4" t="str">
        <f>IF(B17939=B17938,"",B17939)</f>
        <v>Nayāgarh</v>
      </c>
    </row>
    <row r="17940" spans="1:6" ht="15.75" customHeight="1">
      <c r="A17940" s="16" t="s">
        <v>12636</v>
      </c>
      <c r="B17940" s="15" t="s">
        <v>12637</v>
      </c>
      <c r="C17940" s="16" t="s">
        <v>10178</v>
      </c>
      <c r="D17940" s="16" t="s">
        <v>10229</v>
      </c>
      <c r="E17940" s="2">
        <v>1261580</v>
      </c>
      <c r="F17940" s="4" t="str">
        <f>IF(B17940=B17939,"",B17940)</f>
        <v>NayÄgarh</v>
      </c>
    </row>
    <row r="17941" spans="1:6" ht="15.75" customHeight="1">
      <c r="A17941" s="16" t="s">
        <v>18741</v>
      </c>
      <c r="B17941" s="15" t="s">
        <v>18741</v>
      </c>
      <c r="C17941" s="16" t="s">
        <v>18696</v>
      </c>
      <c r="D17941" s="16" t="s">
        <v>18718</v>
      </c>
      <c r="E17941" s="2">
        <v>6611854</v>
      </c>
      <c r="F17941" s="4" t="str">
        <f>IF(B17941=B17940,"",B17941)</f>
        <v>Nay Pyi Taw</v>
      </c>
    </row>
    <row r="17942" spans="1:6" ht="15.75" customHeight="1">
      <c r="A17942" s="8" t="str">
        <f ca="1">IFERROR(__xludf.DUMMYFUNCTION("GOOGLETRANSLATE(B36761,""en"",""pt"")"),"Nay Pyi Taw")</f>
        <v>Nay Pyi Taw</v>
      </c>
      <c r="B17942" s="11" t="s">
        <v>18741</v>
      </c>
      <c r="C17942" s="11" t="s">
        <v>18696</v>
      </c>
      <c r="D17942" s="11" t="s">
        <v>18718</v>
      </c>
      <c r="E17942" s="10">
        <v>6611854</v>
      </c>
      <c r="F17942" s="4" t="str">
        <f>IF(B17942=B17941,"",B17942)</f>
        <v/>
      </c>
    </row>
    <row r="17943" spans="1:6" ht="15.75" customHeight="1">
      <c r="A17943" s="8" t="str">
        <f ca="1">IFERROR(__xludf.DUMMYFUNCTION("GOOGLETRANSLATE(B32621,""en"",""pt"")"),"Nawāshahr")</f>
        <v>Nawāshahr</v>
      </c>
      <c r="B17943" s="11" t="s">
        <v>33306</v>
      </c>
      <c r="C17943" s="11" t="s">
        <v>10178</v>
      </c>
      <c r="D17943" s="11" t="s">
        <v>10184</v>
      </c>
      <c r="E17943" s="10">
        <v>1261598</v>
      </c>
      <c r="F17943" s="4" t="str">
        <f>IF(B17943=B17942,"",B17943)</f>
        <v>Nawāshahr</v>
      </c>
    </row>
    <row r="17944" spans="1:6" ht="15.75" customHeight="1">
      <c r="A17944" s="16" t="s">
        <v>12635</v>
      </c>
      <c r="B17944" s="15" t="s">
        <v>12635</v>
      </c>
      <c r="C17944" s="16" t="s">
        <v>10178</v>
      </c>
      <c r="D17944" s="16" t="s">
        <v>10179</v>
      </c>
      <c r="E17944" s="2">
        <v>1261613</v>
      </c>
      <c r="F17944" s="4" t="str">
        <f>IF(B17944=B17943,"",B17944)</f>
        <v>Nawalgarh</v>
      </c>
    </row>
    <row r="17945" spans="1:6" ht="15.75" customHeight="1">
      <c r="A17945" s="8" t="str">
        <f ca="1">IFERROR(__xludf.DUMMYFUNCTION("GOOGLETRANSLATE(B32622,""en"",""pt"")"),"Nawalgarh")</f>
        <v>Nawalgarh</v>
      </c>
      <c r="B17945" s="9" t="s">
        <v>12635</v>
      </c>
      <c r="C17945" s="9" t="s">
        <v>10178</v>
      </c>
      <c r="D17945" s="9" t="s">
        <v>10179</v>
      </c>
      <c r="E17945" s="10">
        <v>1261613</v>
      </c>
      <c r="F17945" s="4" t="str">
        <f>IF(B17945=B17944,"",B17945)</f>
        <v/>
      </c>
    </row>
    <row r="17946" spans="1:6" ht="15.75" customHeight="1">
      <c r="A17946" s="8" t="str">
        <f ca="1">IFERROR(__xludf.DUMMYFUNCTION("GOOGLETRANSLATE(B32624,""en"",""pt"")"),"Nawāda")</f>
        <v>Nawāda</v>
      </c>
      <c r="B17946" s="11" t="s">
        <v>33307</v>
      </c>
      <c r="C17946" s="11" t="s">
        <v>10178</v>
      </c>
      <c r="D17946" s="11" t="s">
        <v>10317</v>
      </c>
      <c r="E17946" s="10">
        <v>1261631</v>
      </c>
      <c r="F17946" s="4" t="str">
        <f>IF(B17946=B17945,"",B17946)</f>
        <v>Nawāda</v>
      </c>
    </row>
    <row r="17947" spans="1:6" ht="15.75" customHeight="1">
      <c r="A17947" s="8" t="str">
        <f ca="1">IFERROR(__xludf.DUMMYFUNCTION("GOOGLETRANSLATE(B38963,""en"",""pt"")"),"Nawābshāh")</f>
        <v>Nawābshāh</v>
      </c>
      <c r="B17947" s="9" t="s">
        <v>34941</v>
      </c>
      <c r="C17947" s="9" t="s">
        <v>19808</v>
      </c>
      <c r="D17947" s="9" t="s">
        <v>19823</v>
      </c>
      <c r="E17947" s="10">
        <v>1169116</v>
      </c>
      <c r="F17947" s="4" t="str">
        <f>IF(B17947=B17946,"",B17947)</f>
        <v>Nawābshāh</v>
      </c>
    </row>
    <row r="17948" spans="1:6" ht="15.75" customHeight="1">
      <c r="A17948" s="8" t="str">
        <f ca="1">IFERROR(__xludf.DUMMYFUNCTION("GOOGLETRANSLATE(B23781,""en"",""pt"")"),"Nawābganj")</f>
        <v>Nawābganj</v>
      </c>
      <c r="B17948" s="11" t="s">
        <v>31304</v>
      </c>
      <c r="C17948" s="11" t="s">
        <v>1296</v>
      </c>
      <c r="D17948" s="11" t="s">
        <v>31259</v>
      </c>
      <c r="E17948" s="10">
        <v>1337240</v>
      </c>
      <c r="F17948" s="4" t="str">
        <f>IF(B17948=B17947,"",B17948)</f>
        <v>Nawābganj</v>
      </c>
    </row>
    <row r="17949" spans="1:6" ht="15.75" customHeight="1">
      <c r="A17949" s="8" t="str">
        <f ca="1">IFERROR(__xludf.DUMMYFUNCTION("GOOGLETRANSLATE(B32625,""en"",""pt"")"),"Nawābganj")</f>
        <v>Nawābganj</v>
      </c>
      <c r="B17949" s="9" t="s">
        <v>31304</v>
      </c>
      <c r="C17949" s="9" t="s">
        <v>10178</v>
      </c>
      <c r="D17949" s="9" t="s">
        <v>10193</v>
      </c>
      <c r="E17949" s="10">
        <v>1261639</v>
      </c>
      <c r="F17949" s="4" t="str">
        <f>IF(B17949=B17948,"",B17949)</f>
        <v/>
      </c>
    </row>
    <row r="17950" spans="1:6" ht="15.75" customHeight="1">
      <c r="A17950" s="8" t="str">
        <f ca="1">IFERROR(__xludf.DUMMYFUNCTION("GOOGLETRANSLATE(B32626,""en"",""pt"")"),"Nawābganj")</f>
        <v>Nawābganj</v>
      </c>
      <c r="B17950" s="11" t="s">
        <v>31304</v>
      </c>
      <c r="C17950" s="11" t="s">
        <v>10178</v>
      </c>
      <c r="D17950" s="11" t="s">
        <v>10193</v>
      </c>
      <c r="E17950" s="10">
        <v>1261641</v>
      </c>
      <c r="F17950" s="4" t="str">
        <f>IF(B17950=B17949,"",B17950)</f>
        <v/>
      </c>
    </row>
    <row r="17951" spans="1:6" ht="15.75" customHeight="1">
      <c r="A17951" s="8" t="str">
        <f ca="1">IFERROR(__xludf.DUMMYFUNCTION("GOOGLETRANSLATE(B32627,""en"",""pt"")"),"Nawābganj")</f>
        <v>Nawābganj</v>
      </c>
      <c r="B17951" s="9" t="s">
        <v>31304</v>
      </c>
      <c r="C17951" s="9" t="s">
        <v>10178</v>
      </c>
      <c r="D17951" s="9" t="s">
        <v>10193</v>
      </c>
      <c r="E17951" s="10">
        <v>1261642</v>
      </c>
      <c r="F17951" s="4" t="str">
        <f>IF(B17951=B17950,"",B17951)</f>
        <v/>
      </c>
    </row>
    <row r="17952" spans="1:6" ht="15.75" customHeight="1">
      <c r="A17952" s="16" t="s">
        <v>12633</v>
      </c>
      <c r="B17952" s="15" t="s">
        <v>12634</v>
      </c>
      <c r="C17952" s="16" t="s">
        <v>10178</v>
      </c>
      <c r="D17952" s="16" t="s">
        <v>10184</v>
      </c>
      <c r="E17952" s="2">
        <v>1261598</v>
      </c>
      <c r="F17952" s="4" t="str">
        <f>IF(B17952=B17951,"",B17952)</f>
        <v>NawÄshahr</v>
      </c>
    </row>
    <row r="17953" spans="1:6" ht="15.75" customHeight="1">
      <c r="A17953" s="15" t="s">
        <v>12631</v>
      </c>
      <c r="B17953" s="15" t="s">
        <v>12632</v>
      </c>
      <c r="C17953" s="15" t="s">
        <v>10178</v>
      </c>
      <c r="D17953" s="15" t="s">
        <v>10317</v>
      </c>
      <c r="E17953" s="2">
        <v>1261631</v>
      </c>
      <c r="F17953" s="4" t="str">
        <f>IF(B17953=B17952,"",B17953)</f>
        <v>NawÄda</v>
      </c>
    </row>
    <row r="17954" spans="1:6" ht="15.75" customHeight="1">
      <c r="A17954" s="16" t="s">
        <v>20136</v>
      </c>
      <c r="B17954" s="15" t="s">
        <v>20137</v>
      </c>
      <c r="C17954" s="16" t="s">
        <v>19808</v>
      </c>
      <c r="D17954" s="16" t="s">
        <v>19823</v>
      </c>
      <c r="E17954" s="2">
        <v>1169116</v>
      </c>
      <c r="F17954" s="4" t="str">
        <f>IF(B17954=B17953,"",B17954)</f>
        <v>NawÄbshÄh</v>
      </c>
    </row>
    <row r="17955" spans="1:6" ht="15.75" customHeight="1">
      <c r="A17955" s="16" t="s">
        <v>1397</v>
      </c>
      <c r="B17955" s="15" t="s">
        <v>1398</v>
      </c>
      <c r="C17955" s="16" t="s">
        <v>1296</v>
      </c>
      <c r="D17955" s="16" t="s">
        <v>1310</v>
      </c>
      <c r="E17955" s="2">
        <v>1337240</v>
      </c>
      <c r="F17955" s="4" t="str">
        <f>IF(B17955=B17954,"",B17955)</f>
        <v>NawÄbganj</v>
      </c>
    </row>
    <row r="17956" spans="1:6" ht="15.75" customHeight="1">
      <c r="A17956" s="16" t="s">
        <v>1397</v>
      </c>
      <c r="B17956" s="15" t="s">
        <v>1398</v>
      </c>
      <c r="C17956" s="16" t="s">
        <v>10178</v>
      </c>
      <c r="D17956" s="16" t="s">
        <v>10193</v>
      </c>
      <c r="E17956" s="2">
        <v>1261639</v>
      </c>
      <c r="F17956" s="4" t="str">
        <f>IF(B17956=B17955,"",B17956)</f>
        <v/>
      </c>
    </row>
    <row r="17957" spans="1:6" ht="15.75" customHeight="1">
      <c r="A17957" s="16" t="s">
        <v>1397</v>
      </c>
      <c r="B17957" s="15" t="s">
        <v>1398</v>
      </c>
      <c r="C17957" s="16" t="s">
        <v>10178</v>
      </c>
      <c r="D17957" s="16" t="s">
        <v>10193</v>
      </c>
      <c r="E17957" s="2">
        <v>1261641</v>
      </c>
      <c r="F17957" s="4" t="str">
        <f>IF(B17957=B17956,"",B17957)</f>
        <v/>
      </c>
    </row>
    <row r="17958" spans="1:6" ht="15.75" customHeight="1">
      <c r="A17958" s="16" t="s">
        <v>1397</v>
      </c>
      <c r="B17958" s="15" t="s">
        <v>1398</v>
      </c>
      <c r="C17958" s="16" t="s">
        <v>10178</v>
      </c>
      <c r="D17958" s="16" t="s">
        <v>10193</v>
      </c>
      <c r="E17958" s="2">
        <v>1261642</v>
      </c>
      <c r="F17958" s="4" t="str">
        <f>IF(B17958=B17957,"",B17958)</f>
        <v/>
      </c>
    </row>
    <row r="17959" spans="1:6" ht="15.75" customHeight="1">
      <c r="A17959" s="8" t="str">
        <f ca="1">IFERROR(__xludf.DUMMYFUNCTION("GOOGLETRANSLATE(B32628,""en"",""pt"")"),"Nāwa")</f>
        <v>Nāwa</v>
      </c>
      <c r="B17959" s="9" t="s">
        <v>33308</v>
      </c>
      <c r="C17959" s="9" t="s">
        <v>10178</v>
      </c>
      <c r="D17959" s="9" t="s">
        <v>10179</v>
      </c>
      <c r="E17959" s="10">
        <v>1261647</v>
      </c>
      <c r="F17959" s="4" t="str">
        <f>IF(B17959=B17958,"",B17959)</f>
        <v>Nāwa</v>
      </c>
    </row>
    <row r="17960" spans="1:6" ht="15.75" customHeight="1">
      <c r="A17960" s="15" t="s">
        <v>9407</v>
      </c>
      <c r="B17960" s="15" t="s">
        <v>9407</v>
      </c>
      <c r="C17960" s="15" t="s">
        <v>9365</v>
      </c>
      <c r="D17960" s="15" t="s">
        <v>9380</v>
      </c>
      <c r="E17960" s="2">
        <v>2297505</v>
      </c>
      <c r="F17960" s="4" t="str">
        <f>IF(B17960=B17959,"",B17960)</f>
        <v>Navrongo</v>
      </c>
    </row>
    <row r="17961" spans="1:6" ht="15.75" customHeight="1">
      <c r="A17961" s="8" t="str">
        <f ca="1">IFERROR(__xludf.DUMMYFUNCTION("GOOGLETRANSLATE(B30882,""en"",""pt"")"),"Navrongo")</f>
        <v>Navrongo</v>
      </c>
      <c r="B17961" s="9" t="s">
        <v>9407</v>
      </c>
      <c r="C17961" s="9" t="s">
        <v>9365</v>
      </c>
      <c r="D17961" s="9" t="s">
        <v>9380</v>
      </c>
      <c r="E17961" s="10">
        <v>2297505</v>
      </c>
      <c r="F17961" s="4" t="str">
        <f>IF(B17961=B17960,"",B17961)</f>
        <v/>
      </c>
    </row>
    <row r="17962" spans="1:6" ht="15.75" customHeight="1">
      <c r="A17962" s="15" t="s">
        <v>18111</v>
      </c>
      <c r="B17962" s="15" t="s">
        <v>18111</v>
      </c>
      <c r="C17962" s="15" t="s">
        <v>17707</v>
      </c>
      <c r="D17962" s="15" t="s">
        <v>17916</v>
      </c>
      <c r="E17962" s="2">
        <v>3995017</v>
      </c>
      <c r="F17962" s="4" t="str">
        <f>IF(B17962=B17961,"",B17962)</f>
        <v>Navolato</v>
      </c>
    </row>
    <row r="17963" spans="1:6" ht="15.75" customHeight="1">
      <c r="A17963" s="8" t="str">
        <f ca="1">IFERROR(__xludf.DUMMYFUNCTION("GOOGLETRANSLATE(B37236,""en"",""pt"")"),"Navolato")</f>
        <v>Navolato</v>
      </c>
      <c r="B17963" s="9" t="s">
        <v>18111</v>
      </c>
      <c r="C17963" s="9" t="s">
        <v>17707</v>
      </c>
      <c r="D17963" s="9" t="s">
        <v>17916</v>
      </c>
      <c r="E17963" s="10">
        <v>3995017</v>
      </c>
      <c r="F17963" s="4" t="str">
        <f>IF(B17963=B17962,"",B17963)</f>
        <v/>
      </c>
    </row>
    <row r="17964" spans="1:6" ht="15.75" customHeight="1">
      <c r="A17964" s="15" t="s">
        <v>18110</v>
      </c>
      <c r="B17964" s="15" t="s">
        <v>18110</v>
      </c>
      <c r="C17964" s="15" t="s">
        <v>17707</v>
      </c>
      <c r="D17964" s="15" t="s">
        <v>17732</v>
      </c>
      <c r="E17964" s="2">
        <v>3995019</v>
      </c>
      <c r="F17964" s="4" t="str">
        <f>IF(B17964=B17963,"",B17964)</f>
        <v>Navojoa</v>
      </c>
    </row>
    <row r="17965" spans="1:6" ht="15.75" customHeight="1">
      <c r="A17965" s="8" t="str">
        <f ca="1">IFERROR(__xludf.DUMMYFUNCTION("GOOGLETRANSLATE(B37237,""en"",""pt"")"),"Navojoa")</f>
        <v>Navojoa</v>
      </c>
      <c r="B17965" s="9" t="s">
        <v>18110</v>
      </c>
      <c r="C17965" s="9" t="s">
        <v>17707</v>
      </c>
      <c r="D17965" s="9" t="s">
        <v>17732</v>
      </c>
      <c r="E17965" s="10">
        <v>3995019</v>
      </c>
      <c r="F17965" s="4" t="str">
        <f>IF(B17965=B17964,"",B17965)</f>
        <v/>
      </c>
    </row>
    <row r="17966" spans="1:6" ht="15.75" customHeight="1">
      <c r="A17966" s="15" t="s">
        <v>30568</v>
      </c>
      <c r="B17966" s="15" t="s">
        <v>30568</v>
      </c>
      <c r="C17966" s="15" t="s">
        <v>30502</v>
      </c>
      <c r="D17966" s="15" t="s">
        <v>30568</v>
      </c>
      <c r="E17966" s="2">
        <v>1513131</v>
      </c>
      <c r="F17966" s="4" t="str">
        <f>IF(B17966=B17965,"",B17966)</f>
        <v>Navoiy</v>
      </c>
    </row>
    <row r="17967" spans="1:6" ht="15.75" customHeight="1">
      <c r="A17967" s="15" t="s">
        <v>30568</v>
      </c>
      <c r="B17967" s="15" t="s">
        <v>30568</v>
      </c>
      <c r="C17967" s="15" t="s">
        <v>30502</v>
      </c>
      <c r="D17967" s="15" t="s">
        <v>30568</v>
      </c>
      <c r="E17967" s="2">
        <v>1538229</v>
      </c>
      <c r="F17967" s="4" t="str">
        <f>IF(B17967=B17966,"",B17967)</f>
        <v/>
      </c>
    </row>
    <row r="17968" spans="1:6" ht="15.75" customHeight="1">
      <c r="A17968" s="8" t="str">
        <f ca="1">IFERROR(__xludf.DUMMYFUNCTION("GOOGLETRANSLATE(B45559,""en"",""pt"")"),"Navoiy")</f>
        <v>Navoiy</v>
      </c>
      <c r="B17968" s="9" t="s">
        <v>30568</v>
      </c>
      <c r="C17968" s="9" t="s">
        <v>30502</v>
      </c>
      <c r="D17968" s="9" t="s">
        <v>30568</v>
      </c>
      <c r="E17968" s="10">
        <v>1513131</v>
      </c>
      <c r="F17968" s="4" t="str">
        <f>IF(B17968=B17967,"",B17968)</f>
        <v/>
      </c>
    </row>
    <row r="17969" spans="1:6" ht="15.75" customHeight="1">
      <c r="A17969" s="8" t="str">
        <f ca="1">IFERROR(__xludf.DUMMYFUNCTION("GOOGLETRANSLATE(B45595,""en"",""pt"")"),"Navoiy")</f>
        <v>Navoiy</v>
      </c>
      <c r="B17969" s="11" t="s">
        <v>30568</v>
      </c>
      <c r="C17969" s="11" t="s">
        <v>30502</v>
      </c>
      <c r="D17969" s="11" t="s">
        <v>30568</v>
      </c>
      <c r="E17969" s="10">
        <v>1538229</v>
      </c>
      <c r="F17969" s="4" t="str">
        <f>IF(B17969=B17968,"",B17969)</f>
        <v/>
      </c>
    </row>
    <row r="17970" spans="1:6" ht="15.75" customHeight="1">
      <c r="A17970" s="8" t="str">
        <f ca="1">IFERROR(__xludf.DUMMYFUNCTION("GOOGLETRANSLATE(B39772,""en"",""pt"")"),"Năvodari")</f>
        <v>Năvodari</v>
      </c>
      <c r="B17970" s="9" t="s">
        <v>35373</v>
      </c>
      <c r="C17970" s="9" t="s">
        <v>21824</v>
      </c>
      <c r="D17970" s="9" t="s">
        <v>35374</v>
      </c>
      <c r="E17970" s="10">
        <v>672486</v>
      </c>
      <c r="F17970" s="4" t="str">
        <f>IF(B17970=B17969,"",B17970)</f>
        <v>Năvodari</v>
      </c>
    </row>
    <row r="17971" spans="1:6" ht="15.75" customHeight="1">
      <c r="A17971" s="8" t="str">
        <f ca="1">IFERROR(__xludf.DUMMYFUNCTION("GOOGLETRANSLATE(B24790,""en"",""pt"")"),"Naviraí")</f>
        <v>Naviraí</v>
      </c>
      <c r="B17971" s="11" t="s">
        <v>31587</v>
      </c>
      <c r="C17971" s="11" t="s">
        <v>1905</v>
      </c>
      <c r="D17971" s="11" t="s">
        <v>1973</v>
      </c>
      <c r="E17971" s="10">
        <v>3456368</v>
      </c>
      <c r="F17971" s="4" t="str">
        <f>IF(B17971=B17970,"",B17971)</f>
        <v>Naviraí</v>
      </c>
    </row>
    <row r="17972" spans="1:6" ht="15.75" customHeight="1">
      <c r="A17972" s="15" t="s">
        <v>2942</v>
      </c>
      <c r="B17972" s="15" t="s">
        <v>2943</v>
      </c>
      <c r="C17972" s="15" t="s">
        <v>1905</v>
      </c>
      <c r="D17972" s="15" t="s">
        <v>1973</v>
      </c>
      <c r="E17972" s="2">
        <v>3456368</v>
      </c>
      <c r="F17972" s="4" t="str">
        <f>IF(B17972=B17971,"",B17972)</f>
        <v>NaviraÃ­</v>
      </c>
    </row>
    <row r="17973" spans="1:6" ht="15.75" customHeight="1">
      <c r="A17973" s="16" t="s">
        <v>12630</v>
      </c>
      <c r="B17973" s="15" t="s">
        <v>12630</v>
      </c>
      <c r="C17973" s="16" t="s">
        <v>10178</v>
      </c>
      <c r="D17973" s="16" t="s">
        <v>10214</v>
      </c>
      <c r="E17973" s="2">
        <v>6619347</v>
      </c>
      <c r="F17973" s="4" t="str">
        <f>IF(B17973=B17972,"",B17973)</f>
        <v>Navi Mumbai</v>
      </c>
    </row>
    <row r="17974" spans="1:6" ht="15.75" customHeight="1">
      <c r="A17974" s="8" t="str">
        <f ca="1">IFERROR(__xludf.DUMMYFUNCTION("GOOGLETRANSLATE(B34206,""en"",""pt"")"),"Navi Mumbai")</f>
        <v>Navi Mumbai</v>
      </c>
      <c r="B17974" s="9" t="s">
        <v>12630</v>
      </c>
      <c r="C17974" s="9" t="s">
        <v>10178</v>
      </c>
      <c r="D17974" s="9" t="s">
        <v>10214</v>
      </c>
      <c r="E17974" s="10">
        <v>6619347</v>
      </c>
      <c r="F17974" s="4" t="str">
        <f>IF(B17974=B17973,"",B17974)</f>
        <v/>
      </c>
    </row>
    <row r="17975" spans="1:6" ht="15.75" customHeight="1">
      <c r="A17975" s="16" t="s">
        <v>2941</v>
      </c>
      <c r="B17975" s="15" t="s">
        <v>2941</v>
      </c>
      <c r="C17975" s="16" t="s">
        <v>1905</v>
      </c>
      <c r="D17975" s="16" t="s">
        <v>2020</v>
      </c>
      <c r="E17975" s="2">
        <v>3456370</v>
      </c>
      <c r="F17975" s="4" t="str">
        <f>IF(B17975=B17974,"",B17975)</f>
        <v>Navegantes</v>
      </c>
    </row>
    <row r="17976" spans="1:6" ht="15.75" customHeight="1">
      <c r="A17976" s="8" t="str">
        <f ca="1">IFERROR(__xludf.DUMMYFUNCTION("GOOGLETRANSLATE(B24791,""en"",""pt"")"),"Navegantes")</f>
        <v>Navegantes</v>
      </c>
      <c r="B17976" s="9" t="s">
        <v>2941</v>
      </c>
      <c r="C17976" s="9" t="s">
        <v>1905</v>
      </c>
      <c r="D17976" s="9" t="s">
        <v>2020</v>
      </c>
      <c r="E17976" s="10">
        <v>3456370</v>
      </c>
      <c r="F17976" s="4" t="str">
        <f>IF(B17976=B17975,"",B17976)</f>
        <v/>
      </c>
    </row>
    <row r="17977" spans="1:6" ht="15.75" customHeight="1">
      <c r="A17977" s="16" t="s">
        <v>22782</v>
      </c>
      <c r="B17977" s="15" t="s">
        <v>22782</v>
      </c>
      <c r="C17977" s="16" t="s">
        <v>22070</v>
      </c>
      <c r="D17977" s="16" t="s">
        <v>22161</v>
      </c>
      <c r="E17977" s="2">
        <v>523198</v>
      </c>
      <c r="F17977" s="4" t="str">
        <f>IF(B17977=B17976,"",B17977)</f>
        <v>Navashino</v>
      </c>
    </row>
    <row r="17978" spans="1:6" ht="15.75" customHeight="1">
      <c r="A17978" s="8" t="str">
        <f ca="1">IFERROR(__xludf.DUMMYFUNCTION("GOOGLETRANSLATE(B40295,""en"",""pt"")"),"Navashino")</f>
        <v>Navashino</v>
      </c>
      <c r="B17978" s="9" t="s">
        <v>22782</v>
      </c>
      <c r="C17978" s="9" t="s">
        <v>22070</v>
      </c>
      <c r="D17978" s="9" t="s">
        <v>22161</v>
      </c>
      <c r="E17978" s="10">
        <v>523198</v>
      </c>
      <c r="F17978" s="4" t="str">
        <f>IF(B17978=B17977,"",B17978)</f>
        <v/>
      </c>
    </row>
    <row r="17979" spans="1:6" ht="15.75" customHeight="1">
      <c r="A17979" s="15" t="s">
        <v>29397</v>
      </c>
      <c r="B17979" s="15" t="s">
        <v>24320</v>
      </c>
      <c r="C17979" s="15" t="s">
        <v>27788</v>
      </c>
      <c r="D17979" s="15" t="s">
        <v>5468</v>
      </c>
      <c r="E17979" s="2">
        <v>4165637</v>
      </c>
      <c r="F17979" s="4" t="str">
        <f>IF(B17979=B17978,"",B17979)</f>
        <v>Navarre</v>
      </c>
    </row>
    <row r="17980" spans="1:6" ht="15.75" customHeight="1">
      <c r="A17980" s="8" t="str">
        <f ca="1">IFERROR(__xludf.DUMMYFUNCTION("GOOGLETRANSLATE(B42957,""en"",""pt"")"),"Navarra")</f>
        <v>Navarra</v>
      </c>
      <c r="B17980" s="9" t="s">
        <v>24320</v>
      </c>
      <c r="C17980" s="9" t="s">
        <v>27788</v>
      </c>
      <c r="D17980" s="9" t="s">
        <v>5468</v>
      </c>
      <c r="E17980" s="10">
        <v>4165637</v>
      </c>
      <c r="F17980" s="4" t="str">
        <f>IF(B17980=B17979,"",B17980)</f>
        <v/>
      </c>
    </row>
    <row r="17981" spans="1:6" ht="15.75" customHeight="1">
      <c r="A17981" s="16" t="s">
        <v>1490</v>
      </c>
      <c r="B17981" s="15" t="s">
        <v>1490</v>
      </c>
      <c r="C17981" s="16" t="s">
        <v>1453</v>
      </c>
      <c r="D17981" s="16" t="s">
        <v>1465</v>
      </c>
      <c r="E17981" s="2">
        <v>624784</v>
      </c>
      <c r="F17981" s="4" t="str">
        <f>IF(B17981=B17980,"",B17981)</f>
        <v>Navapolatsk</v>
      </c>
    </row>
    <row r="17982" spans="1:6" ht="15.75" customHeight="1">
      <c r="A17982" s="8" t="str">
        <f ca="1">IFERROR(__xludf.DUMMYFUNCTION("GOOGLETRANSLATE(B25389,""en"",""pt"")"),"Navapolatsk")</f>
        <v>Navapolatsk</v>
      </c>
      <c r="B17982" s="9" t="s">
        <v>1490</v>
      </c>
      <c r="C17982" s="9" t="s">
        <v>1453</v>
      </c>
      <c r="D17982" s="9" t="s">
        <v>1465</v>
      </c>
      <c r="E17982" s="10">
        <v>624784</v>
      </c>
      <c r="F17982" s="4" t="str">
        <f>IF(B17982=B17981,"",B17982)</f>
        <v/>
      </c>
    </row>
    <row r="17983" spans="1:6" ht="15.75" customHeight="1">
      <c r="A17983" s="15" t="s">
        <v>14760</v>
      </c>
      <c r="B17983" s="15" t="s">
        <v>14760</v>
      </c>
      <c r="C17983" s="15" t="s">
        <v>14728</v>
      </c>
      <c r="D17983" s="15" t="s">
        <v>14729</v>
      </c>
      <c r="E17983" s="2">
        <v>2962308</v>
      </c>
      <c r="F17983" s="4" t="str">
        <f>IF(B17983=B17982,"",B17983)</f>
        <v>Navan</v>
      </c>
    </row>
    <row r="17984" spans="1:6" ht="15.75" customHeight="1">
      <c r="A17984" s="8" t="str">
        <f ca="1">IFERROR(__xludf.DUMMYFUNCTION("GOOGLETRANSLATE(B31731,""en"",""pt"")"),"Navan")</f>
        <v>Navan</v>
      </c>
      <c r="B17984" s="9" t="s">
        <v>14760</v>
      </c>
      <c r="C17984" s="9" t="s">
        <v>14728</v>
      </c>
      <c r="D17984" s="9" t="s">
        <v>14729</v>
      </c>
      <c r="E17984" s="10">
        <v>2962308</v>
      </c>
      <c r="F17984" s="4" t="str">
        <f>IF(B17984=B17983,"",B17984)</f>
        <v/>
      </c>
    </row>
    <row r="17985" spans="1:6" ht="15.75" customHeight="1">
      <c r="A17985" s="16" t="s">
        <v>24654</v>
      </c>
      <c r="B17985" s="15" t="s">
        <v>24654</v>
      </c>
      <c r="C17985" s="16" t="s">
        <v>24200</v>
      </c>
      <c r="D17985" s="16" t="s">
        <v>24262</v>
      </c>
      <c r="E17985" s="2">
        <v>2513324</v>
      </c>
      <c r="F17985" s="4" t="str">
        <f>IF(B17985=B17984,"",B17985)</f>
        <v>Navalmoral de la Mata</v>
      </c>
    </row>
    <row r="17986" spans="1:6" ht="15.75" customHeight="1">
      <c r="A17986" s="8" t="str">
        <f ca="1">IFERROR(__xludf.DUMMYFUNCTION("GOOGLETRANSLATE(B29041,""en"",""pt"")"),"Navalmoral de la Mata")</f>
        <v>Navalmoral de la Mata</v>
      </c>
      <c r="B17986" s="9" t="s">
        <v>24654</v>
      </c>
      <c r="C17986" s="9" t="s">
        <v>24200</v>
      </c>
      <c r="D17986" s="9" t="s">
        <v>24262</v>
      </c>
      <c r="E17986" s="10">
        <v>2513324</v>
      </c>
      <c r="F17986" s="4" t="str">
        <f>IF(B17986=B17985,"",B17986)</f>
        <v/>
      </c>
    </row>
    <row r="17987" spans="1:6" ht="15.75" customHeight="1">
      <c r="A17987" s="16" t="s">
        <v>12629</v>
      </c>
      <c r="B17987" s="15" t="s">
        <v>12629</v>
      </c>
      <c r="C17987" s="16" t="s">
        <v>10178</v>
      </c>
      <c r="D17987" s="16" t="s">
        <v>10252</v>
      </c>
      <c r="E17987" s="2">
        <v>1261667</v>
      </c>
      <c r="F17987" s="4" t="str">
        <f>IF(B17987=B17986,"",B17987)</f>
        <v>Navalgund</v>
      </c>
    </row>
    <row r="17988" spans="1:6" ht="15.75" customHeight="1">
      <c r="A17988" s="8" t="str">
        <f ca="1">IFERROR(__xludf.DUMMYFUNCTION("GOOGLETRANSLATE(B32629,""en"",""pt"")"),"Navalgund")</f>
        <v>Navalgund</v>
      </c>
      <c r="B17988" s="9" t="s">
        <v>12629</v>
      </c>
      <c r="C17988" s="9" t="s">
        <v>10178</v>
      </c>
      <c r="D17988" s="9" t="s">
        <v>10252</v>
      </c>
      <c r="E17988" s="10">
        <v>1261667</v>
      </c>
      <c r="F17988" s="4" t="str">
        <f>IF(B17988=B17987,"",B17988)</f>
        <v/>
      </c>
    </row>
    <row r="17989" spans="1:6" ht="15.75" customHeight="1">
      <c r="A17989" s="16" t="s">
        <v>24652</v>
      </c>
      <c r="B17989" s="15" t="s">
        <v>24653</v>
      </c>
      <c r="C17989" s="16" t="s">
        <v>24200</v>
      </c>
      <c r="D17989" s="16" t="s">
        <v>5513</v>
      </c>
      <c r="E17989" s="2">
        <v>3115659</v>
      </c>
      <c r="F17989" s="4" t="str">
        <f>IF(B17989=B17988,"",B17989)</f>
        <v>Navalcarnero</v>
      </c>
    </row>
    <row r="17990" spans="1:6" ht="15.75" customHeight="1">
      <c r="A17990" s="8" t="str">
        <f ca="1">IFERROR(__xludf.DUMMYFUNCTION("GOOGLETRANSLATE(B29343,""en"",""pt"")"),"NavalCarnero")</f>
        <v>NavalCarnero</v>
      </c>
      <c r="B17990" s="9" t="s">
        <v>24653</v>
      </c>
      <c r="C17990" s="9" t="s">
        <v>24200</v>
      </c>
      <c r="D17990" s="9" t="s">
        <v>5513</v>
      </c>
      <c r="E17990" s="10">
        <v>3115659</v>
      </c>
      <c r="F17990" s="4" t="str">
        <f>IF(B17990=B17989,"",B17990)</f>
        <v/>
      </c>
    </row>
    <row r="17991" spans="1:6" ht="15.75" customHeight="1">
      <c r="A17991" s="16" t="s">
        <v>1489</v>
      </c>
      <c r="B17991" s="15" t="s">
        <v>1489</v>
      </c>
      <c r="C17991" s="16" t="s">
        <v>1453</v>
      </c>
      <c r="D17991" s="16" t="s">
        <v>1470</v>
      </c>
      <c r="E17991" s="2">
        <v>624785</v>
      </c>
      <c r="F17991" s="4" t="str">
        <f>IF(B17991=B17990,"",B17991)</f>
        <v>Navahrudak</v>
      </c>
    </row>
    <row r="17992" spans="1:6" ht="15.75" customHeight="1">
      <c r="A17992" s="8" t="str">
        <f ca="1">IFERROR(__xludf.DUMMYFUNCTION("GOOGLETRANSLATE(B25390,""en"",""pt"")"),"Navahrudak")</f>
        <v>Navahrudak</v>
      </c>
      <c r="B17992" s="9" t="s">
        <v>1489</v>
      </c>
      <c r="C17992" s="9" t="s">
        <v>1453</v>
      </c>
      <c r="D17992" s="9" t="s">
        <v>1470</v>
      </c>
      <c r="E17992" s="10">
        <v>624785</v>
      </c>
      <c r="F17992" s="4" t="str">
        <f>IF(B17992=B17991,"",B17992)</f>
        <v/>
      </c>
    </row>
    <row r="17993" spans="1:6" ht="15.75" customHeight="1">
      <c r="A17993" s="8" t="str">
        <f ca="1">IFERROR(__xludf.DUMMYFUNCTION("GOOGLETRANSLATE(B32630,""en"",""pt"")"),"Navadwīp")</f>
        <v>Navadwīp</v>
      </c>
      <c r="B17993" s="11" t="s">
        <v>33309</v>
      </c>
      <c r="C17993" s="11" t="s">
        <v>10178</v>
      </c>
      <c r="D17993" s="11" t="s">
        <v>10201</v>
      </c>
      <c r="E17993" s="10">
        <v>1261669</v>
      </c>
      <c r="F17993" s="4" t="str">
        <f>IF(B17993=B17992,"",B17993)</f>
        <v>Navadwīp</v>
      </c>
    </row>
    <row r="17994" spans="1:6" ht="15.75" customHeight="1">
      <c r="A17994" s="16" t="s">
        <v>12627</v>
      </c>
      <c r="B17994" s="15" t="s">
        <v>12628</v>
      </c>
      <c r="C17994" s="16" t="s">
        <v>10178</v>
      </c>
      <c r="D17994" s="16" t="s">
        <v>10201</v>
      </c>
      <c r="E17994" s="2">
        <v>1261669</v>
      </c>
      <c r="F17994" s="4" t="str">
        <f>IF(B17994=B17993,"",B17994)</f>
        <v>NavadwÄ«p</v>
      </c>
    </row>
    <row r="17995" spans="1:6" ht="15.75" customHeight="1">
      <c r="A17995" s="15" t="s">
        <v>18109</v>
      </c>
      <c r="B17995" s="15" t="s">
        <v>18109</v>
      </c>
      <c r="C17995" s="15" t="s">
        <v>17707</v>
      </c>
      <c r="D17995" s="15" t="s">
        <v>17738</v>
      </c>
      <c r="E17995" s="2">
        <v>3995050</v>
      </c>
      <c r="F17995" s="4" t="str">
        <f>IF(B17995=B17994,"",B17995)</f>
        <v>Nava</v>
      </c>
    </row>
    <row r="17996" spans="1:6" ht="15.75" customHeight="1">
      <c r="A17996" s="8" t="str">
        <f ca="1">IFERROR(__xludf.DUMMYFUNCTION("GOOGLETRANSLATE(B37238,""en"",""pt"")"),"Nava")</f>
        <v>Nava</v>
      </c>
      <c r="B17996" s="9" t="s">
        <v>18109</v>
      </c>
      <c r="C17996" s="9" t="s">
        <v>17707</v>
      </c>
      <c r="D17996" s="9" t="s">
        <v>17738</v>
      </c>
      <c r="E17996" s="10">
        <v>3995050</v>
      </c>
      <c r="F17996" s="4" t="str">
        <f>IF(B17996=B17995,"",B17996)</f>
        <v/>
      </c>
    </row>
    <row r="17997" spans="1:6" ht="15.75" customHeight="1">
      <c r="A17997" s="16" t="s">
        <v>12626</v>
      </c>
      <c r="B17997" s="15" t="s">
        <v>12626</v>
      </c>
      <c r="C17997" s="16" t="s">
        <v>10178</v>
      </c>
      <c r="D17997" s="16" t="s">
        <v>10193</v>
      </c>
      <c r="E17997" s="2">
        <v>1261672</v>
      </c>
      <c r="F17997" s="4" t="str">
        <f>IF(B17997=B17996,"",B17997)</f>
        <v>Nautanwa</v>
      </c>
    </row>
    <row r="17998" spans="1:6" ht="15.75" customHeight="1">
      <c r="A17998" s="8" t="str">
        <f ca="1">IFERROR(__xludf.DUMMYFUNCTION("GOOGLETRANSLATE(B32631,""en"",""pt"")"),"Nautanwa")</f>
        <v>Nautanwa</v>
      </c>
      <c r="B17998" s="9" t="s">
        <v>12626</v>
      </c>
      <c r="C17998" s="9" t="s">
        <v>10178</v>
      </c>
      <c r="D17998" s="9" t="s">
        <v>10193</v>
      </c>
      <c r="E17998" s="10">
        <v>1261672</v>
      </c>
      <c r="F17998" s="4" t="str">
        <f>IF(B17998=B17997,"",B17998)</f>
        <v/>
      </c>
    </row>
    <row r="17999" spans="1:6" ht="15.75" customHeight="1">
      <c r="A17999" s="8" t="str">
        <f ca="1">IFERROR(__xludf.DUMMYFUNCTION("GOOGLETRANSLATE(B38964,""en"",""pt"")"),"Naushahro Fīroz")</f>
        <v>Naushahro Fīroz</v>
      </c>
      <c r="B17999" s="11" t="s">
        <v>34942</v>
      </c>
      <c r="C17999" s="11" t="s">
        <v>19808</v>
      </c>
      <c r="D17999" s="11" t="s">
        <v>19823</v>
      </c>
      <c r="E17999" s="10">
        <v>1169143</v>
      </c>
      <c r="F17999" s="4" t="str">
        <f>IF(B17999=B17998,"",B17999)</f>
        <v>Naushahro Fīroz</v>
      </c>
    </row>
    <row r="18000" spans="1:6" ht="15.75" customHeight="1">
      <c r="A18000" s="16" t="s">
        <v>20134</v>
      </c>
      <c r="B18000" s="15" t="s">
        <v>20135</v>
      </c>
      <c r="C18000" s="16" t="s">
        <v>19808</v>
      </c>
      <c r="D18000" s="16" t="s">
        <v>19823</v>
      </c>
      <c r="E18000" s="2">
        <v>1169143</v>
      </c>
      <c r="F18000" s="4" t="str">
        <f>IF(B18000=B17999,"",B18000)</f>
        <v>Naushahro FÄ«roz</v>
      </c>
    </row>
    <row r="18001" spans="1:6" ht="15.75" customHeight="1">
      <c r="A18001" s="8" t="str">
        <f ca="1">IFERROR(__xludf.DUMMYFUNCTION("GOOGLETRANSLATE(B38965,""en"",""pt"")"),"Naushahra Virkān")</f>
        <v>Naushahra Virkān</v>
      </c>
      <c r="B18001" s="11" t="s">
        <v>34943</v>
      </c>
      <c r="C18001" s="11" t="s">
        <v>19808</v>
      </c>
      <c r="D18001" s="11" t="s">
        <v>10184</v>
      </c>
      <c r="E18001" s="10">
        <v>1169145</v>
      </c>
      <c r="F18001" s="4" t="str">
        <f>IF(B18001=B18000,"",B18001)</f>
        <v>Naushahra Virkān</v>
      </c>
    </row>
    <row r="18002" spans="1:6" ht="15.75" customHeight="1">
      <c r="A18002" s="16" t="s">
        <v>20132</v>
      </c>
      <c r="B18002" s="15" t="s">
        <v>20133</v>
      </c>
      <c r="C18002" s="16" t="s">
        <v>19808</v>
      </c>
      <c r="D18002" s="16" t="s">
        <v>10184</v>
      </c>
      <c r="E18002" s="2">
        <v>1169145</v>
      </c>
      <c r="F18002" s="4" t="str">
        <f>IF(B18002=B18001,"",B18002)</f>
        <v>Naushahra VirkÄn</v>
      </c>
    </row>
    <row r="18003" spans="1:6" ht="15.75" customHeight="1">
      <c r="A18003" s="16" t="s">
        <v>8880</v>
      </c>
      <c r="B18003" s="15" t="s">
        <v>8880</v>
      </c>
      <c r="C18003" s="16" t="s">
        <v>8028</v>
      </c>
      <c r="D18003" s="16" t="s">
        <v>8085</v>
      </c>
      <c r="E18003" s="2">
        <v>2866906</v>
      </c>
      <c r="F18003" s="4" t="str">
        <f>IF(B18003=B18002,"",B18003)</f>
        <v>Naumburg</v>
      </c>
    </row>
    <row r="18004" spans="1:6" ht="15.75" customHeight="1">
      <c r="A18004" s="8" t="str">
        <f ca="1">IFERROR(__xludf.DUMMYFUNCTION("GOOGLETRANSLATE(B27733,""en"",""pt"")"),"Naumburg")</f>
        <v>Naumburg</v>
      </c>
      <c r="B18004" s="9" t="s">
        <v>8880</v>
      </c>
      <c r="C18004" s="9" t="s">
        <v>8028</v>
      </c>
      <c r="D18004" s="9" t="s">
        <v>8085</v>
      </c>
      <c r="E18004" s="10">
        <v>2866906</v>
      </c>
      <c r="F18004" s="4" t="str">
        <f>IF(B18004=B18003,"",B18004)</f>
        <v/>
      </c>
    </row>
    <row r="18005" spans="1:6" ht="15.75" customHeight="1">
      <c r="A18005" s="15" t="s">
        <v>20131</v>
      </c>
      <c r="B18005" s="15" t="s">
        <v>20131</v>
      </c>
      <c r="C18005" s="15" t="s">
        <v>19808</v>
      </c>
      <c r="D18005" s="15" t="s">
        <v>19823</v>
      </c>
      <c r="E18005" s="2">
        <v>1169367</v>
      </c>
      <c r="F18005" s="4" t="str">
        <f>IF(B18005=B18004,"",B18005)</f>
        <v>Naukot</v>
      </c>
    </row>
    <row r="18006" spans="1:6" ht="15.75" customHeight="1">
      <c r="A18006" s="8" t="str">
        <f ca="1">IFERROR(__xludf.DUMMYFUNCTION("GOOGLETRANSLATE(B38970,""en"",""pt"")"),"Naukot")</f>
        <v>Naukot</v>
      </c>
      <c r="B18006" s="9" t="s">
        <v>20131</v>
      </c>
      <c r="C18006" s="9" t="s">
        <v>19808</v>
      </c>
      <c r="D18006" s="9" t="s">
        <v>19823</v>
      </c>
      <c r="E18006" s="10">
        <v>1169367</v>
      </c>
      <c r="F18006" s="4" t="str">
        <f>IF(B18006=B18005,"",B18006)</f>
        <v/>
      </c>
    </row>
    <row r="18007" spans="1:6" ht="15.75" customHeight="1">
      <c r="A18007" s="16" t="s">
        <v>17188</v>
      </c>
      <c r="B18007" s="15" t="s">
        <v>17188</v>
      </c>
      <c r="C18007" s="16" t="s">
        <v>17154</v>
      </c>
      <c r="D18007" s="16" t="s">
        <v>17155</v>
      </c>
      <c r="E18007" s="2">
        <v>10062607</v>
      </c>
      <c r="F18007" s="4" t="str">
        <f>IF(B18007=B18006,"",B18007)</f>
        <v>Naujamiestis</v>
      </c>
    </row>
    <row r="18008" spans="1:6" ht="15.75" customHeight="1">
      <c r="A18008" s="8" t="str">
        <f ca="1">IFERROR(__xludf.DUMMYFUNCTION("GOOGLETRANSLATE(B36394,""en"",""pt"")"),"Naujamiestis")</f>
        <v>Naujamiestis</v>
      </c>
      <c r="B18008" s="9" t="s">
        <v>17188</v>
      </c>
      <c r="C18008" s="9" t="s">
        <v>17154</v>
      </c>
      <c r="D18008" s="9" t="s">
        <v>17155</v>
      </c>
      <c r="E18008" s="10">
        <v>10062607</v>
      </c>
      <c r="F18008" s="4" t="str">
        <f>IF(B18008=B18007,"",B18008)</f>
        <v/>
      </c>
    </row>
    <row r="18009" spans="1:6" ht="15.75" customHeight="1">
      <c r="A18009" s="16" t="s">
        <v>12625</v>
      </c>
      <c r="B18009" s="15" t="s">
        <v>12625</v>
      </c>
      <c r="C18009" s="16" t="s">
        <v>10178</v>
      </c>
      <c r="D18009" s="16" t="s">
        <v>10317</v>
      </c>
      <c r="E18009" s="2">
        <v>1261696</v>
      </c>
      <c r="F18009" s="4" t="str">
        <f>IF(B18009=B18008,"",B18009)</f>
        <v>Naugachhia</v>
      </c>
    </row>
    <row r="18010" spans="1:6" ht="15.75" customHeight="1">
      <c r="A18010" s="8" t="str">
        <f ca="1">IFERROR(__xludf.DUMMYFUNCTION("GOOGLETRANSLATE(B32632,""en"",""pt"")"),"Naugachhia")</f>
        <v>Naugachhia</v>
      </c>
      <c r="B18010" s="9" t="s">
        <v>12625</v>
      </c>
      <c r="C18010" s="9" t="s">
        <v>10178</v>
      </c>
      <c r="D18010" s="9" t="s">
        <v>10317</v>
      </c>
      <c r="E18010" s="10">
        <v>1261696</v>
      </c>
      <c r="F18010" s="4" t="str">
        <f>IF(B18010=B18009,"",B18010)</f>
        <v/>
      </c>
    </row>
    <row r="18011" spans="1:6" ht="15.75" customHeight="1">
      <c r="A18011" s="15" t="s">
        <v>8879</v>
      </c>
      <c r="B18011" s="15" t="s">
        <v>8879</v>
      </c>
      <c r="C18011" s="15" t="s">
        <v>8028</v>
      </c>
      <c r="D18011" s="15" t="s">
        <v>8070</v>
      </c>
      <c r="E18011" s="2">
        <v>2866930</v>
      </c>
      <c r="F18011" s="4" t="str">
        <f>IF(B18011=B18010,"",B18011)</f>
        <v>Nauen</v>
      </c>
    </row>
    <row r="18012" spans="1:6" ht="15.75" customHeight="1">
      <c r="A18012" s="8" t="str">
        <f ca="1">IFERROR(__xludf.DUMMYFUNCTION("GOOGLETRANSLATE(B27734,""en"",""pt"")"),"Nauen")</f>
        <v>Nauen</v>
      </c>
      <c r="B18012" s="9" t="s">
        <v>8879</v>
      </c>
      <c r="C18012" s="9" t="s">
        <v>8028</v>
      </c>
      <c r="D18012" s="9" t="s">
        <v>8070</v>
      </c>
      <c r="E18012" s="10">
        <v>2866930</v>
      </c>
      <c r="F18012" s="4" t="str">
        <f>IF(B18012=B18011,"",B18012)</f>
        <v/>
      </c>
    </row>
    <row r="18013" spans="1:6" ht="15.75" customHeight="1">
      <c r="A18013" s="15" t="s">
        <v>20130</v>
      </c>
      <c r="B18013" s="15" t="s">
        <v>20130</v>
      </c>
      <c r="C18013" s="15" t="s">
        <v>19808</v>
      </c>
      <c r="D18013" s="15" t="s">
        <v>19823</v>
      </c>
      <c r="E18013" s="2">
        <v>1169187</v>
      </c>
      <c r="F18013" s="4" t="str">
        <f>IF(B18013=B18012,"",B18013)</f>
        <v>Naudero</v>
      </c>
    </row>
    <row r="18014" spans="1:6" ht="15.75" customHeight="1">
      <c r="A18014" s="8" t="str">
        <f ca="1">IFERROR(__xludf.DUMMYFUNCTION("GOOGLETRANSLATE(B38966,""en"",""pt"")"),"Naudero")</f>
        <v>Naudero</v>
      </c>
      <c r="B18014" s="9" t="s">
        <v>20130</v>
      </c>
      <c r="C18014" s="9" t="s">
        <v>19808</v>
      </c>
      <c r="D18014" s="9" t="s">
        <v>19823</v>
      </c>
      <c r="E18014" s="10">
        <v>1169187</v>
      </c>
      <c r="F18014" s="4" t="str">
        <f>IF(B18014=B18013,"",B18014)</f>
        <v/>
      </c>
    </row>
    <row r="18015" spans="1:6" ht="15.75" customHeight="1">
      <c r="A18015" s="8" t="str">
        <f ca="1">IFERROR(__xludf.DUMMYFUNCTION("GOOGLETRANSLATE(B36969,""en"",""pt"")"),"Naucalpan de Juárez")</f>
        <v>Naucalpan de Juárez</v>
      </c>
      <c r="B18015" s="9" t="s">
        <v>34688</v>
      </c>
      <c r="C18015" s="9" t="s">
        <v>17707</v>
      </c>
      <c r="D18015" s="9" t="s">
        <v>20902</v>
      </c>
      <c r="E18015" s="10">
        <v>3522790</v>
      </c>
      <c r="F18015" s="4" t="str">
        <f>IF(B18015=B18014,"",B18015)</f>
        <v>Naucalpan de Juárez</v>
      </c>
    </row>
    <row r="18016" spans="1:6" ht="15.75" customHeight="1">
      <c r="A18016" s="8" t="str">
        <f ca="1">IFERROR(__xludf.DUMMYFUNCTION("GOOGLETRANSLATE(B37361,""en"",""pt"")"),"Naucalpan de Juárez")</f>
        <v>Naucalpan de Juárez</v>
      </c>
      <c r="B18016" s="11" t="s">
        <v>34688</v>
      </c>
      <c r="C18016" s="11" t="s">
        <v>17707</v>
      </c>
      <c r="D18016" s="11" t="s">
        <v>20902</v>
      </c>
      <c r="E18016" s="10">
        <v>8858082</v>
      </c>
      <c r="F18016" s="4" t="str">
        <f>IF(B18016=B18015,"",B18016)</f>
        <v/>
      </c>
    </row>
    <row r="18017" spans="1:6" ht="15.75" customHeight="1">
      <c r="A18017" s="16" t="s">
        <v>18107</v>
      </c>
      <c r="B18017" s="15" t="s">
        <v>18108</v>
      </c>
      <c r="C18017" s="16" t="s">
        <v>17707</v>
      </c>
      <c r="D18017" s="16" t="s">
        <v>17736</v>
      </c>
      <c r="E18017" s="2">
        <v>3522790</v>
      </c>
      <c r="F18017" s="4" t="str">
        <f>IF(B18017=B18016,"",B18017)</f>
        <v>Naucalpan de JuÃ¡rez</v>
      </c>
    </row>
    <row r="18018" spans="1:6" ht="15.75" customHeight="1">
      <c r="A18018" s="16" t="s">
        <v>18107</v>
      </c>
      <c r="B18018" s="15" t="s">
        <v>18108</v>
      </c>
      <c r="C18018" s="16" t="s">
        <v>17707</v>
      </c>
      <c r="D18018" s="16" t="s">
        <v>17736</v>
      </c>
      <c r="E18018" s="2">
        <v>8858082</v>
      </c>
      <c r="F18018" s="4" t="str">
        <f>IF(B18018=B18017,"",B18018)</f>
        <v/>
      </c>
    </row>
    <row r="18019" spans="1:6" ht="15.75" customHeight="1">
      <c r="A18019" s="15" t="s">
        <v>12624</v>
      </c>
      <c r="B18019" s="15" t="s">
        <v>12624</v>
      </c>
      <c r="C18019" s="15" t="s">
        <v>10178</v>
      </c>
      <c r="D18019" s="15" t="s">
        <v>10196</v>
      </c>
      <c r="E18019" s="2">
        <v>1261705</v>
      </c>
      <c r="F18019" s="4" t="str">
        <f>IF(B18019=B18018,"",B18019)</f>
        <v>Nattam</v>
      </c>
    </row>
    <row r="18020" spans="1:6" ht="15.75" customHeight="1">
      <c r="A18020" s="8" t="str">
        <f ca="1">IFERROR(__xludf.DUMMYFUNCTION("GOOGLETRANSLATE(B32633,""en"",""pt"")"),"Nattam")</f>
        <v>Nattam</v>
      </c>
      <c r="B18020" s="11" t="s">
        <v>12624</v>
      </c>
      <c r="C18020" s="11" t="s">
        <v>10178</v>
      </c>
      <c r="D18020" s="11" t="s">
        <v>10196</v>
      </c>
      <c r="E18020" s="10">
        <v>1261705</v>
      </c>
      <c r="F18020" s="4" t="str">
        <f>IF(B18020=B18019,"",B18020)</f>
        <v/>
      </c>
    </row>
    <row r="18021" spans="1:6" ht="15.75" customHeight="1">
      <c r="A18021" s="16" t="s">
        <v>1776</v>
      </c>
      <c r="B18021" s="15" t="s">
        <v>1776</v>
      </c>
      <c r="C18021" s="16" t="s">
        <v>1741</v>
      </c>
      <c r="D18021" s="16" t="s">
        <v>1775</v>
      </c>
      <c r="E18021" s="2">
        <v>2392601</v>
      </c>
      <c r="F18021" s="4" t="str">
        <f>IF(B18021=B18020,"",B18021)</f>
        <v>Natitingou</v>
      </c>
    </row>
    <row r="18022" spans="1:6" ht="15.75" customHeight="1">
      <c r="A18022" s="8" t="str">
        <f ca="1">IFERROR(__xludf.DUMMYFUNCTION("GOOGLETRANSLATE(B24090,""en"",""pt"")"),"Natitingou")</f>
        <v>Natitingou</v>
      </c>
      <c r="B18022" s="11" t="s">
        <v>1776</v>
      </c>
      <c r="C18022" s="11" t="s">
        <v>1741</v>
      </c>
      <c r="D18022" s="11" t="s">
        <v>1775</v>
      </c>
      <c r="E18022" s="10">
        <v>2392601</v>
      </c>
      <c r="F18022" s="4" t="str">
        <f>IF(B18022=B18021,"",B18022)</f>
        <v/>
      </c>
    </row>
    <row r="18023" spans="1:6" ht="15.75" customHeight="1">
      <c r="A18023" s="16" t="s">
        <v>29395</v>
      </c>
      <c r="B18023" s="15" t="s">
        <v>29396</v>
      </c>
      <c r="C18023" s="16" t="s">
        <v>27788</v>
      </c>
      <c r="D18023" s="16" t="s">
        <v>27801</v>
      </c>
      <c r="E18023" s="2">
        <v>5376200</v>
      </c>
      <c r="F18023" s="4" t="str">
        <f>IF(B18023=B18022,"",B18023)</f>
        <v>National City</v>
      </c>
    </row>
    <row r="18024" spans="1:6" ht="15.75" customHeight="1">
      <c r="A18024" s="8" t="str">
        <f ca="1">IFERROR(__xludf.DUMMYFUNCTION("GOOGLETRANSLATE(B44923,""en"",""pt"")"),"Cidade Nacional")</f>
        <v>Cidade Nacional</v>
      </c>
      <c r="B18024" s="11" t="s">
        <v>29396</v>
      </c>
      <c r="C18024" s="11" t="s">
        <v>27788</v>
      </c>
      <c r="D18024" s="11" t="s">
        <v>27801</v>
      </c>
      <c r="E18024" s="10">
        <v>5376200</v>
      </c>
      <c r="F18024" s="4" t="str">
        <f>IF(B18024=B18023,"",B18024)</f>
        <v/>
      </c>
    </row>
    <row r="18025" spans="1:6" ht="15.75" customHeight="1">
      <c r="A18025" s="15" t="s">
        <v>29394</v>
      </c>
      <c r="B18025" s="15" t="s">
        <v>29394</v>
      </c>
      <c r="C18025" s="15" t="s">
        <v>27788</v>
      </c>
      <c r="D18025" s="15" t="s">
        <v>27794</v>
      </c>
      <c r="E18025" s="2">
        <v>4944994</v>
      </c>
      <c r="F18025" s="4" t="str">
        <f>IF(B18025=B18024,"",B18025)</f>
        <v>Natick</v>
      </c>
    </row>
    <row r="18026" spans="1:6" ht="15.75" customHeight="1">
      <c r="A18026" s="8" t="str">
        <f ca="1">IFERROR(__xludf.DUMMYFUNCTION("GOOGLETRANSLATE(B44004,""en"",""pt"")"),"Natick")</f>
        <v>Natick</v>
      </c>
      <c r="B18026" s="11" t="s">
        <v>29394</v>
      </c>
      <c r="C18026" s="11" t="s">
        <v>27788</v>
      </c>
      <c r="D18026" s="11" t="s">
        <v>27794</v>
      </c>
      <c r="E18026" s="10">
        <v>4944994</v>
      </c>
      <c r="F18026" s="4" t="str">
        <f>IF(B18026=B18025,"",B18026)</f>
        <v/>
      </c>
    </row>
    <row r="18027" spans="1:6" ht="15.75" customHeight="1">
      <c r="A18027" s="8" t="str">
        <f ca="1">IFERROR(__xludf.DUMMYFUNCTION("GOOGLETRANSLATE(B32634,""en"",""pt"")"),"Nāthdwāra")</f>
        <v>Nāthdwāra</v>
      </c>
      <c r="B18027" s="9" t="s">
        <v>33310</v>
      </c>
      <c r="C18027" s="9" t="s">
        <v>10178</v>
      </c>
      <c r="D18027" s="9" t="s">
        <v>10179</v>
      </c>
      <c r="E18027" s="10">
        <v>1261711</v>
      </c>
      <c r="F18027" s="4" t="str">
        <f>IF(B18027=B18026,"",B18027)</f>
        <v>Nāthdwāra</v>
      </c>
    </row>
    <row r="18028" spans="1:6" ht="15.75" customHeight="1">
      <c r="A18028" s="16" t="s">
        <v>29393</v>
      </c>
      <c r="B18028" s="15" t="s">
        <v>29393</v>
      </c>
      <c r="C18028" s="16" t="s">
        <v>27788</v>
      </c>
      <c r="D18028" s="16" t="s">
        <v>27827</v>
      </c>
      <c r="E18028" s="2">
        <v>4334720</v>
      </c>
      <c r="F18028" s="4" t="str">
        <f>IF(B18028=B18027,"",B18028)</f>
        <v>Natchitoches</v>
      </c>
    </row>
    <row r="18029" spans="1:6" ht="15.75" customHeight="1">
      <c r="A18029" s="8" t="str">
        <f ca="1">IFERROR(__xludf.DUMMYFUNCTION("GOOGLETRANSLATE(B43242,""en"",""pt"")"),"Natchitoches")</f>
        <v>Natchitoches</v>
      </c>
      <c r="B18029" s="9" t="s">
        <v>29393</v>
      </c>
      <c r="C18029" s="9" t="s">
        <v>27788</v>
      </c>
      <c r="D18029" s="9" t="s">
        <v>27827</v>
      </c>
      <c r="E18029" s="10">
        <v>4334720</v>
      </c>
      <c r="F18029" s="4" t="str">
        <f>IF(B18029=B18028,"",B18029)</f>
        <v/>
      </c>
    </row>
    <row r="18030" spans="1:6" ht="15.75" customHeight="1">
      <c r="A18030" s="15" t="s">
        <v>29392</v>
      </c>
      <c r="B18030" s="15" t="s">
        <v>29392</v>
      </c>
      <c r="C18030" s="15" t="s">
        <v>27788</v>
      </c>
      <c r="D18030" s="15" t="s">
        <v>28040</v>
      </c>
      <c r="E18030" s="2">
        <v>4437982</v>
      </c>
      <c r="F18030" s="4" t="str">
        <f>IF(B18030=B18029,"",B18030)</f>
        <v>Natchez</v>
      </c>
    </row>
    <row r="18031" spans="1:6" ht="15.75" customHeight="1">
      <c r="A18031" s="8" t="str">
        <f ca="1">IFERROR(__xludf.DUMMYFUNCTION("GOOGLETRANSLATE(B43414,""en"",""pt"")"),"Natchez")</f>
        <v>Natchez</v>
      </c>
      <c r="B18031" s="9" t="s">
        <v>29392</v>
      </c>
      <c r="C18031" s="9" t="s">
        <v>27788</v>
      </c>
      <c r="D18031" s="9" t="s">
        <v>28040</v>
      </c>
      <c r="E18031" s="10">
        <v>4437982</v>
      </c>
      <c r="F18031" s="4" t="str">
        <f>IF(B18031=B18030,"",B18031)</f>
        <v/>
      </c>
    </row>
    <row r="18032" spans="1:6" ht="15.75" customHeight="1">
      <c r="A18032" s="15" t="s">
        <v>2940</v>
      </c>
      <c r="B18032" s="15" t="s">
        <v>2940</v>
      </c>
      <c r="C18032" s="15" t="s">
        <v>1905</v>
      </c>
      <c r="D18032" s="15" t="s">
        <v>1922</v>
      </c>
      <c r="E18032" s="2">
        <v>3394023</v>
      </c>
      <c r="F18032" s="4" t="str">
        <f>IF(B18032=B18031,"",B18032)</f>
        <v>Natal</v>
      </c>
    </row>
    <row r="18033" spans="1:6" ht="15.75" customHeight="1">
      <c r="A18033" s="8" t="str">
        <f ca="1">IFERROR(__xludf.DUMMYFUNCTION("GOOGLETRANSLATE(B24258,""en"",""pt"")"),"Natal")</f>
        <v>Natal</v>
      </c>
      <c r="B18033" s="9" t="s">
        <v>2940</v>
      </c>
      <c r="C18033" s="9" t="s">
        <v>1905</v>
      </c>
      <c r="D18033" s="9" t="s">
        <v>1922</v>
      </c>
      <c r="E18033" s="10">
        <v>3394023</v>
      </c>
      <c r="F18033" s="4" t="str">
        <f>IF(B18033=B18032,"",B18033)</f>
        <v/>
      </c>
    </row>
    <row r="18034" spans="1:6" ht="15.75" customHeight="1">
      <c r="A18034" s="15" t="s">
        <v>24651</v>
      </c>
      <c r="B18034" s="15" t="s">
        <v>24651</v>
      </c>
      <c r="C18034" s="15" t="s">
        <v>24200</v>
      </c>
      <c r="D18034" s="15" t="s">
        <v>24303</v>
      </c>
      <c r="E18034" s="2">
        <v>8629192</v>
      </c>
      <c r="F18034" s="4" t="str">
        <f>IF(B18034=B18033,"",B18034)</f>
        <v>Natahoyo</v>
      </c>
    </row>
    <row r="18035" spans="1:6" ht="15.75" customHeight="1">
      <c r="A18035" s="8" t="str">
        <f ca="1">IFERROR(__xludf.DUMMYFUNCTION("GOOGLETRANSLATE(B29518,""en"",""pt"")"),"Natahoyo")</f>
        <v>Natahoyo</v>
      </c>
      <c r="B18035" s="9" t="s">
        <v>24651</v>
      </c>
      <c r="C18035" s="9" t="s">
        <v>24200</v>
      </c>
      <c r="D18035" s="9" t="s">
        <v>24303</v>
      </c>
      <c r="E18035" s="10">
        <v>8629192</v>
      </c>
      <c r="F18035" s="4" t="str">
        <f>IF(B18035=B18034,"",B18035)</f>
        <v/>
      </c>
    </row>
    <row r="18036" spans="1:6" ht="15.75" customHeight="1">
      <c r="A18036" s="15" t="s">
        <v>20920</v>
      </c>
      <c r="B18036" s="15" t="s">
        <v>20920</v>
      </c>
      <c r="C18036" s="15" t="s">
        <v>20598</v>
      </c>
      <c r="D18036" s="15" t="s">
        <v>20608</v>
      </c>
      <c r="E18036" s="2">
        <v>1698030</v>
      </c>
      <c r="F18036" s="4" t="str">
        <f>IF(B18036=B18035,"",B18036)</f>
        <v>Nasugbu</v>
      </c>
    </row>
    <row r="18037" spans="1:6" ht="15.75" customHeight="1">
      <c r="A18037" s="8" t="str">
        <f ca="1">IFERROR(__xludf.DUMMYFUNCTION("GOOGLETRANSLATE(B38586,""en"",""pt"")"),"Nasugbu")</f>
        <v>Nasugbu</v>
      </c>
      <c r="B18037" s="9" t="s">
        <v>20920</v>
      </c>
      <c r="C18037" s="9" t="s">
        <v>20598</v>
      </c>
      <c r="D18037" s="9" t="s">
        <v>20608</v>
      </c>
      <c r="E18037" s="10">
        <v>1698030</v>
      </c>
      <c r="F18037" s="4" t="str">
        <f>IF(B18037=B18036,"",B18037)</f>
        <v/>
      </c>
    </row>
    <row r="18038" spans="1:6" ht="15.75" customHeight="1">
      <c r="A18038" s="8" t="str">
        <f ca="1">IFERROR(__xludf.DUMMYFUNCTION("GOOGLETRANSLATE(B41159,""en"",""pt"")"),"Nässjö")</f>
        <v>Nässjö</v>
      </c>
      <c r="B18038" s="11" t="s">
        <v>35645</v>
      </c>
      <c r="C18038" s="11" t="s">
        <v>25077</v>
      </c>
      <c r="D18038" s="11" t="s">
        <v>35627</v>
      </c>
      <c r="E18038" s="10">
        <v>2690170</v>
      </c>
      <c r="F18038" s="4" t="str">
        <f>IF(B18038=B18037,"",B18038)</f>
        <v>Nässjö</v>
      </c>
    </row>
    <row r="18039" spans="1:6" ht="15.75" customHeight="1">
      <c r="A18039" s="15" t="s">
        <v>1276</v>
      </c>
      <c r="B18039" s="15" t="s">
        <v>1276</v>
      </c>
      <c r="C18039" s="15" t="s">
        <v>1274</v>
      </c>
      <c r="D18039" s="15" t="s">
        <v>1277</v>
      </c>
      <c r="E18039" s="2">
        <v>3571824</v>
      </c>
      <c r="F18039" s="4" t="str">
        <f>IF(B18039=B18038,"",B18039)</f>
        <v>Nassau</v>
      </c>
    </row>
    <row r="18040" spans="1:6" ht="15.75" customHeight="1">
      <c r="A18040" s="8" t="str">
        <f ca="1">IFERROR(__xludf.DUMMYFUNCTION("GOOGLETRANSLATE(B25343,""en"",""pt"")"),"Nassau")</f>
        <v>Nassau</v>
      </c>
      <c r="B18040" s="11" t="s">
        <v>1276</v>
      </c>
      <c r="C18040" s="11" t="s">
        <v>1274</v>
      </c>
      <c r="D18040" s="11" t="s">
        <v>1277</v>
      </c>
      <c r="E18040" s="10">
        <v>3571824</v>
      </c>
      <c r="F18040" s="4" t="str">
        <f>IF(B18040=B18039,"",B18040)</f>
        <v/>
      </c>
    </row>
    <row r="18041" spans="1:6" ht="15.75" customHeight="1">
      <c r="A18041" s="8" t="str">
        <f ca="1">IFERROR(__xludf.DUMMYFUNCTION("GOOGLETRANSLATE(B32635,""en"",""pt"")"),"Nasrullāhganj")</f>
        <v>Nasrullāhganj</v>
      </c>
      <c r="B18041" s="9" t="s">
        <v>33311</v>
      </c>
      <c r="C18041" s="9" t="s">
        <v>10178</v>
      </c>
      <c r="D18041" s="9" t="s">
        <v>10219</v>
      </c>
      <c r="E18041" s="10">
        <v>1261721</v>
      </c>
      <c r="F18041" s="4" t="str">
        <f>IF(B18041=B18040,"",B18041)</f>
        <v>Nasrullāhganj</v>
      </c>
    </row>
    <row r="18042" spans="1:6" ht="15.75" customHeight="1">
      <c r="A18042" s="16" t="s">
        <v>12622</v>
      </c>
      <c r="B18042" s="15" t="s">
        <v>12623</v>
      </c>
      <c r="C18042" s="16" t="s">
        <v>10178</v>
      </c>
      <c r="D18042" s="16" t="s">
        <v>10219</v>
      </c>
      <c r="E18042" s="2">
        <v>1261721</v>
      </c>
      <c r="F18042" s="4" t="str">
        <f>IF(B18042=B18041,"",B18042)</f>
        <v>NasrullÄhganj</v>
      </c>
    </row>
    <row r="18043" spans="1:6" ht="15.75" customHeight="1">
      <c r="A18043" s="8" t="str">
        <f ca="1">IFERROR(__xludf.DUMMYFUNCTION("GOOGLETRANSLATE(B32636,""en"",""pt"")"),"Nāsriganj")</f>
        <v>Nāsriganj</v>
      </c>
      <c r="B18043" s="9" t="s">
        <v>33312</v>
      </c>
      <c r="C18043" s="9" t="s">
        <v>10178</v>
      </c>
      <c r="D18043" s="9" t="s">
        <v>10317</v>
      </c>
      <c r="E18043" s="10">
        <v>1261722</v>
      </c>
      <c r="F18043" s="4" t="str">
        <f>IF(B18043=B18042,"",B18043)</f>
        <v>Nāsriganj</v>
      </c>
    </row>
    <row r="18044" spans="1:6" ht="15.75" customHeight="1">
      <c r="A18044" s="8" t="str">
        <f ca="1">IFERROR(__xludf.DUMMYFUNCTION("GOOGLETRANSLATE(B32637,""en"",""pt"")"),"Nāspur")</f>
        <v>Nāspur</v>
      </c>
      <c r="B18044" s="9" t="s">
        <v>33313</v>
      </c>
      <c r="C18044" s="9" t="s">
        <v>10178</v>
      </c>
      <c r="D18044" s="9" t="s">
        <v>10187</v>
      </c>
      <c r="E18044" s="10">
        <v>1261726</v>
      </c>
      <c r="F18044" s="4" t="str">
        <f>IF(B18044=B18043,"",B18044)</f>
        <v>Nāspur</v>
      </c>
    </row>
    <row r="18045" spans="1:6" ht="15.75" customHeight="1">
      <c r="A18045" s="8" t="str">
        <f ca="1">IFERROR(__xludf.DUMMYFUNCTION("GOOGLETRANSLATE(B32638,""en"",""pt"")"),"Nasīrābād")</f>
        <v>Nasīrābād</v>
      </c>
      <c r="B18045" s="11" t="s">
        <v>33314</v>
      </c>
      <c r="C18045" s="11" t="s">
        <v>10178</v>
      </c>
      <c r="D18045" s="11" t="s">
        <v>10179</v>
      </c>
      <c r="E18045" s="10">
        <v>1261727</v>
      </c>
      <c r="F18045" s="4" t="str">
        <f>IF(B18045=B18044,"",B18045)</f>
        <v>Nasīrābād</v>
      </c>
    </row>
    <row r="18046" spans="1:6" ht="15.75" customHeight="1">
      <c r="A18046" s="8" t="str">
        <f ca="1">IFERROR(__xludf.DUMMYFUNCTION("GOOGLETRANSLATE(B38967,""en"",""pt"")"),"Nasīrābād")</f>
        <v>Nasīrābād</v>
      </c>
      <c r="B18046" s="11" t="s">
        <v>33314</v>
      </c>
      <c r="C18046" s="11" t="s">
        <v>19808</v>
      </c>
      <c r="D18046" s="11" t="s">
        <v>19823</v>
      </c>
      <c r="E18046" s="10">
        <v>1169254</v>
      </c>
      <c r="F18046" s="4" t="str">
        <f>IF(B18046=B18045,"",B18046)</f>
        <v/>
      </c>
    </row>
    <row r="18047" spans="1:6" ht="15.75" customHeight="1">
      <c r="A18047" s="15" t="s">
        <v>29391</v>
      </c>
      <c r="B18047" s="15" t="s">
        <v>29391</v>
      </c>
      <c r="C18047" s="15" t="s">
        <v>27788</v>
      </c>
      <c r="D18047" s="15" t="s">
        <v>27957</v>
      </c>
      <c r="E18047" s="2">
        <v>4644585</v>
      </c>
      <c r="F18047" s="4" t="str">
        <f>IF(B18047=B18046,"",B18047)</f>
        <v>Nashville</v>
      </c>
    </row>
    <row r="18048" spans="1:6" ht="15.75" customHeight="1">
      <c r="A18048" s="8" t="str">
        <f ca="1">IFERROR(__xludf.DUMMYFUNCTION("GOOGLETRANSLATE(B43639,""en"",""pt"")"),"Nashville")</f>
        <v>Nashville</v>
      </c>
      <c r="B18048" s="11" t="s">
        <v>29391</v>
      </c>
      <c r="C18048" s="11" t="s">
        <v>27788</v>
      </c>
      <c r="D18048" s="11" t="s">
        <v>27957</v>
      </c>
      <c r="E18048" s="10">
        <v>4644585</v>
      </c>
      <c r="F18048" s="4" t="str">
        <f>IF(B18048=B18047,"",B18048)</f>
        <v/>
      </c>
    </row>
    <row r="18049" spans="1:6" ht="15.75" customHeight="1">
      <c r="A18049" s="15" t="s">
        <v>29390</v>
      </c>
      <c r="B18049" s="15" t="s">
        <v>29390</v>
      </c>
      <c r="C18049" s="15" t="s">
        <v>27788</v>
      </c>
      <c r="D18049" s="15" t="s">
        <v>27985</v>
      </c>
      <c r="E18049" s="2">
        <v>5090046</v>
      </c>
      <c r="F18049" s="4" t="str">
        <f>IF(B18049=B18048,"",B18049)</f>
        <v>Nashua</v>
      </c>
    </row>
    <row r="18050" spans="1:6" ht="15.75" customHeight="1">
      <c r="A18050" s="8" t="str">
        <f ca="1">IFERROR(__xludf.DUMMYFUNCTION("GOOGLETRANSLATE(B44235,""en"",""pt"")"),"Nashua")</f>
        <v>Nashua</v>
      </c>
      <c r="B18050" s="11" t="s">
        <v>29390</v>
      </c>
      <c r="C18050" s="11" t="s">
        <v>27788</v>
      </c>
      <c r="D18050" s="11" t="s">
        <v>27985</v>
      </c>
      <c r="E18050" s="10">
        <v>5090046</v>
      </c>
      <c r="F18050" s="4" t="str">
        <f>IF(B18050=B18049,"",B18050)</f>
        <v/>
      </c>
    </row>
    <row r="18051" spans="1:6" ht="15.75" customHeight="1">
      <c r="A18051" s="15" t="s">
        <v>12621</v>
      </c>
      <c r="B18051" s="15" t="s">
        <v>12621</v>
      </c>
      <c r="C18051" s="15" t="s">
        <v>10178</v>
      </c>
      <c r="D18051" s="15" t="s">
        <v>10214</v>
      </c>
      <c r="E18051" s="2">
        <v>1261731</v>
      </c>
      <c r="F18051" s="4" t="str">
        <f>IF(B18051=B18050,"",B18051)</f>
        <v>Nashik</v>
      </c>
    </row>
    <row r="18052" spans="1:6" ht="15.75" customHeight="1">
      <c r="A18052" s="8" t="str">
        <f ca="1">IFERROR(__xludf.DUMMYFUNCTION("GOOGLETRANSLATE(B32639,""en"",""pt"")"),"Nashik")</f>
        <v>Nashik</v>
      </c>
      <c r="B18052" s="11" t="s">
        <v>12621</v>
      </c>
      <c r="C18052" s="11" t="s">
        <v>10178</v>
      </c>
      <c r="D18052" s="11" t="s">
        <v>10214</v>
      </c>
      <c r="E18052" s="10">
        <v>1261731</v>
      </c>
      <c r="F18052" s="4" t="str">
        <f>IF(B18052=B18051,"",B18052)</f>
        <v/>
      </c>
    </row>
    <row r="18053" spans="1:6" ht="15.75" customHeight="1">
      <c r="A18053" s="15" t="s">
        <v>19509</v>
      </c>
      <c r="B18053" s="15" t="s">
        <v>19509</v>
      </c>
      <c r="C18053" s="15" t="s">
        <v>19294</v>
      </c>
      <c r="D18053" s="15" t="s">
        <v>19316</v>
      </c>
      <c r="E18053" s="2">
        <v>2329451</v>
      </c>
      <c r="F18053" s="4" t="str">
        <f>IF(B18053=B18052,"",B18053)</f>
        <v>Nasarawa</v>
      </c>
    </row>
    <row r="18054" spans="1:6" ht="15.75" customHeight="1">
      <c r="A18054" s="8" t="str">
        <f ca="1">IFERROR(__xludf.DUMMYFUNCTION("GOOGLETRANSLATE(B37673,""en"",""pt"")"),"Nasarawa")</f>
        <v>Nasarawa</v>
      </c>
      <c r="B18054" s="11" t="s">
        <v>19509</v>
      </c>
      <c r="C18054" s="11" t="s">
        <v>19294</v>
      </c>
      <c r="D18054" s="11" t="s">
        <v>19316</v>
      </c>
      <c r="E18054" s="10">
        <v>2329451</v>
      </c>
      <c r="F18054" s="4" t="str">
        <f>IF(B18054=B18053,"",B18054)</f>
        <v/>
      </c>
    </row>
    <row r="18055" spans="1:6" ht="15.75" customHeight="1">
      <c r="A18055" s="16" t="s">
        <v>12619</v>
      </c>
      <c r="B18055" s="15" t="s">
        <v>12620</v>
      </c>
      <c r="C18055" s="16" t="s">
        <v>10178</v>
      </c>
      <c r="D18055" s="16" t="s">
        <v>10179</v>
      </c>
      <c r="E18055" s="2">
        <v>1261727</v>
      </c>
      <c r="F18055" s="4" t="str">
        <f>IF(B18055=B18054,"",B18055)</f>
        <v>NasÄ«rÄbÄd</v>
      </c>
    </row>
    <row r="18056" spans="1:6" ht="15.75" customHeight="1">
      <c r="A18056" s="16" t="s">
        <v>12619</v>
      </c>
      <c r="B18056" s="15" t="s">
        <v>12620</v>
      </c>
      <c r="C18056" s="16" t="s">
        <v>19808</v>
      </c>
      <c r="D18056" s="16" t="s">
        <v>19823</v>
      </c>
      <c r="E18056" s="2">
        <v>1169254</v>
      </c>
      <c r="F18056" s="4" t="str">
        <f>IF(B18056=B18055,"",B18056)</f>
        <v/>
      </c>
    </row>
    <row r="18057" spans="1:6" ht="15.75" customHeight="1">
      <c r="A18057" s="15" t="s">
        <v>16925</v>
      </c>
      <c r="B18057" s="15" t="s">
        <v>16925</v>
      </c>
      <c r="C18057" s="15" t="s">
        <v>16924</v>
      </c>
      <c r="D18057" s="15" t="s">
        <v>16925</v>
      </c>
      <c r="E18057" s="2">
        <v>1527592</v>
      </c>
      <c r="F18057" s="4" t="str">
        <f>IF(B18057=B18056,"",B18057)</f>
        <v>Naryn</v>
      </c>
    </row>
    <row r="18058" spans="1:6" ht="15.75" customHeight="1">
      <c r="A18058" s="8" t="str">
        <f ca="1">IFERROR(__xludf.DUMMYFUNCTION("GOOGLETRANSLATE(B35945,""en"",""pt"")"),"Naryn")</f>
        <v>Naryn</v>
      </c>
      <c r="B18058" s="11" t="s">
        <v>16925</v>
      </c>
      <c r="C18058" s="11" t="s">
        <v>16924</v>
      </c>
      <c r="D18058" s="11" t="s">
        <v>16925</v>
      </c>
      <c r="E18058" s="10">
        <v>1527592</v>
      </c>
      <c r="F18058" s="4" t="str">
        <f>IF(B18058=B18057,"",B18058)</f>
        <v/>
      </c>
    </row>
    <row r="18059" spans="1:6" ht="15.75" customHeight="1">
      <c r="A18059" s="16" t="s">
        <v>22779</v>
      </c>
      <c r="B18059" s="15" t="s">
        <v>22780</v>
      </c>
      <c r="C18059" s="16" t="s">
        <v>22070</v>
      </c>
      <c r="D18059" s="16" t="s">
        <v>22781</v>
      </c>
      <c r="E18059" s="2">
        <v>523392</v>
      </c>
      <c r="F18059" s="4" t="str">
        <f>IF(B18059=B18058,"",B18059)</f>
        <v>Nar'yan-Mar</v>
      </c>
    </row>
    <row r="18060" spans="1:6" ht="15.75" customHeight="1">
      <c r="A18060" s="8" t="str">
        <f ca="1">IFERROR(__xludf.DUMMYFUNCTION("GOOGLETRANSLATE(B40296,""en"",""pt"")"),"Nar'yan-mar")</f>
        <v>Nar'yan-mar</v>
      </c>
      <c r="B18060" s="11" t="s">
        <v>22780</v>
      </c>
      <c r="C18060" s="11" t="s">
        <v>22070</v>
      </c>
      <c r="D18060" s="11" t="s">
        <v>22781</v>
      </c>
      <c r="E18060" s="10">
        <v>523392</v>
      </c>
      <c r="F18060" s="4" t="str">
        <f>IF(B18060=B18059,"",B18060)</f>
        <v/>
      </c>
    </row>
    <row r="18061" spans="1:6" ht="15.75" customHeight="1">
      <c r="A18061" s="15" t="s">
        <v>12618</v>
      </c>
      <c r="B18061" s="15" t="s">
        <v>12618</v>
      </c>
      <c r="C18061" s="15" t="s">
        <v>10178</v>
      </c>
      <c r="D18061" s="15" t="s">
        <v>10219</v>
      </c>
      <c r="E18061" s="2">
        <v>1261736</v>
      </c>
      <c r="F18061" s="4" t="str">
        <f>IF(B18061=B18060,"",B18061)</f>
        <v>Narwar</v>
      </c>
    </row>
    <row r="18062" spans="1:6" ht="15.75" customHeight="1">
      <c r="A18062" s="8" t="str">
        <f ca="1">IFERROR(__xludf.DUMMYFUNCTION("GOOGLETRANSLATE(B32640,""en"",""pt"")"),"Narwar")</f>
        <v>Narwar</v>
      </c>
      <c r="B18062" s="11" t="s">
        <v>12618</v>
      </c>
      <c r="C18062" s="11" t="s">
        <v>10178</v>
      </c>
      <c r="D18062" s="11" t="s">
        <v>10219</v>
      </c>
      <c r="E18062" s="10">
        <v>1261736</v>
      </c>
      <c r="F18062" s="4" t="str">
        <f>IF(B18062=B18061,"",B18062)</f>
        <v/>
      </c>
    </row>
    <row r="18063" spans="1:6" ht="15.75" customHeight="1">
      <c r="A18063" s="8" t="str">
        <f ca="1">IFERROR(__xludf.DUMMYFUNCTION("GOOGLETRANSLATE(B32641,""en"",""pt"")"),"Narwāna")</f>
        <v>Narwāna</v>
      </c>
      <c r="B18063" s="9" t="s">
        <v>33315</v>
      </c>
      <c r="C18063" s="9" t="s">
        <v>10178</v>
      </c>
      <c r="D18063" s="9" t="s">
        <v>10224</v>
      </c>
      <c r="E18063" s="10">
        <v>1261739</v>
      </c>
      <c r="F18063" s="4" t="str">
        <f>IF(B18063=B18062,"",B18063)</f>
        <v>Narwāna</v>
      </c>
    </row>
    <row r="18064" spans="1:6" ht="15.75" customHeight="1">
      <c r="A18064" s="16" t="s">
        <v>12616</v>
      </c>
      <c r="B18064" s="15" t="s">
        <v>12617</v>
      </c>
      <c r="C18064" s="16" t="s">
        <v>10178</v>
      </c>
      <c r="D18064" s="16" t="s">
        <v>10224</v>
      </c>
      <c r="E18064" s="2">
        <v>1261739</v>
      </c>
      <c r="F18064" s="4" t="str">
        <f>IF(B18064=B18063,"",B18064)</f>
        <v>NarwÄna</v>
      </c>
    </row>
    <row r="18065" spans="1:6" ht="15.75" customHeight="1">
      <c r="A18065" s="15" t="s">
        <v>6793</v>
      </c>
      <c r="B18065" s="15" t="s">
        <v>6793</v>
      </c>
      <c r="C18065" s="15" t="s">
        <v>6789</v>
      </c>
      <c r="D18065" s="15" t="s">
        <v>6790</v>
      </c>
      <c r="E18065" s="2">
        <v>590031</v>
      </c>
      <c r="F18065" s="4" t="str">
        <f>IF(B18065=B18064,"",B18065)</f>
        <v>Narva</v>
      </c>
    </row>
    <row r="18066" spans="1:6" ht="15.75" customHeight="1">
      <c r="A18066" s="8" t="str">
        <f ca="1">IFERROR(__xludf.DUMMYFUNCTION("GOOGLETRANSLATE(B28818,""en"",""pt"")"),"Narva")</f>
        <v>Narva</v>
      </c>
      <c r="B18066" s="11" t="s">
        <v>6793</v>
      </c>
      <c r="C18066" s="11" t="s">
        <v>6789</v>
      </c>
      <c r="D18066" s="11" t="s">
        <v>6790</v>
      </c>
      <c r="E18066" s="10">
        <v>590031</v>
      </c>
      <c r="F18066" s="4" t="str">
        <f>IF(B18066=B18065,"",B18066)</f>
        <v/>
      </c>
    </row>
    <row r="18067" spans="1:6" ht="15.75" customHeight="1">
      <c r="A18067" s="8" t="str">
        <f ca="1">IFERROR(__xludf.DUMMYFUNCTION("GOOGLETRANSLATE(B35391,""en"",""pt"")"),"Narutochō-Mitsuishi")</f>
        <v>Narutochō-Mitsuishi</v>
      </c>
      <c r="B18067" s="9" t="s">
        <v>34342</v>
      </c>
      <c r="C18067" s="9" t="s">
        <v>15704</v>
      </c>
      <c r="D18067" s="9" t="s">
        <v>15726</v>
      </c>
      <c r="E18067" s="10">
        <v>1855580</v>
      </c>
      <c r="F18067" s="4" t="str">
        <f>IF(B18067=B18066,"",B18067)</f>
        <v>Narutochō-mitsuishi</v>
      </c>
    </row>
    <row r="18068" spans="1:6" ht="15.75" customHeight="1">
      <c r="A18068" s="16" t="s">
        <v>16293</v>
      </c>
      <c r="B18068" s="15" t="s">
        <v>16294</v>
      </c>
      <c r="C18068" s="16" t="s">
        <v>15704</v>
      </c>
      <c r="D18068" s="16" t="s">
        <v>15726</v>
      </c>
      <c r="E18068" s="2">
        <v>1855580</v>
      </c>
      <c r="F18068" s="4" t="str">
        <f>IF(B18068=B18067,"",B18068)</f>
        <v>NarutochÅ-mitsuishi</v>
      </c>
    </row>
    <row r="18069" spans="1:6" ht="15.75" customHeight="1">
      <c r="A18069" s="8" t="str">
        <f ca="1">IFERROR(__xludf.DUMMYFUNCTION("GOOGLETRANSLATE(B35754,""en"",""pt"")"),"Narutō")</f>
        <v>Narutō</v>
      </c>
      <c r="B18069" s="11" t="s">
        <v>34414</v>
      </c>
      <c r="C18069" s="11" t="s">
        <v>15704</v>
      </c>
      <c r="D18069" s="11" t="s">
        <v>15707</v>
      </c>
      <c r="E18069" s="10">
        <v>2111677</v>
      </c>
      <c r="F18069" s="4" t="str">
        <f>IF(B18069=B18068,"",B18069)</f>
        <v>Narutō</v>
      </c>
    </row>
    <row r="18070" spans="1:6" ht="15.75" customHeight="1">
      <c r="A18070" s="15" t="s">
        <v>16291</v>
      </c>
      <c r="B18070" s="15" t="s">
        <v>16292</v>
      </c>
      <c r="C18070" s="15" t="s">
        <v>15704</v>
      </c>
      <c r="D18070" s="15" t="s">
        <v>15707</v>
      </c>
      <c r="E18070" s="2">
        <v>2111677</v>
      </c>
      <c r="F18070" s="4" t="str">
        <f>IF(B18070=B18069,"",B18070)</f>
        <v>NarutÅ</v>
      </c>
    </row>
    <row r="18071" spans="1:6" ht="15.75" customHeight="1">
      <c r="A18071" s="15" t="s">
        <v>22778</v>
      </c>
      <c r="B18071" s="15" t="s">
        <v>22778</v>
      </c>
      <c r="C18071" s="15" t="s">
        <v>22070</v>
      </c>
      <c r="D18071" s="15" t="s">
        <v>22182</v>
      </c>
      <c r="E18071" s="2">
        <v>523405</v>
      </c>
      <c r="F18071" s="4" t="str">
        <f>IF(B18071=B18070,"",B18071)</f>
        <v>Nartkala</v>
      </c>
    </row>
    <row r="18072" spans="1:6" ht="15.75" customHeight="1">
      <c r="A18072" s="8" t="str">
        <f ca="1">IFERROR(__xludf.DUMMYFUNCTION("GOOGLETRANSLATE(B40297,""en"",""pt"")"),"Nartkala")</f>
        <v>Nartkala</v>
      </c>
      <c r="B18072" s="9" t="s">
        <v>22778</v>
      </c>
      <c r="C18072" s="9" t="s">
        <v>22070</v>
      </c>
      <c r="D18072" s="9" t="s">
        <v>22182</v>
      </c>
      <c r="E18072" s="10">
        <v>523405</v>
      </c>
      <c r="F18072" s="4" t="str">
        <f>IF(B18072=B18071,"",B18072)</f>
        <v/>
      </c>
    </row>
    <row r="18073" spans="1:6" ht="15.75" customHeight="1">
      <c r="A18073" s="8" t="str">
        <f ca="1">IFERROR(__xludf.DUMMYFUNCTION("GOOGLETRANSLATE(B32642,""en"",""pt"")"),"Narsīpatnam")</f>
        <v>Narsīpatnam</v>
      </c>
      <c r="B18073" s="11" t="s">
        <v>33316</v>
      </c>
      <c r="C18073" s="11" t="s">
        <v>10178</v>
      </c>
      <c r="D18073" s="11" t="s">
        <v>10190</v>
      </c>
      <c r="E18073" s="10">
        <v>1261748</v>
      </c>
      <c r="F18073" s="4" t="str">
        <f>IF(B18073=B18072,"",B18073)</f>
        <v>Narsīpatnam</v>
      </c>
    </row>
    <row r="18074" spans="1:6" ht="15.75" customHeight="1">
      <c r="A18074" s="16" t="s">
        <v>12615</v>
      </c>
      <c r="B18074" s="15" t="s">
        <v>12615</v>
      </c>
      <c r="C18074" s="16" t="s">
        <v>10178</v>
      </c>
      <c r="D18074" s="16" t="s">
        <v>10219</v>
      </c>
      <c r="E18074" s="2">
        <v>1261752</v>
      </c>
      <c r="F18074" s="4" t="str">
        <f>IF(B18074=B18073,"",B18074)</f>
        <v>Narsinghgarh</v>
      </c>
    </row>
    <row r="18075" spans="1:6" ht="15.75" customHeight="1">
      <c r="A18075" s="8" t="str">
        <f ca="1">IFERROR(__xludf.DUMMYFUNCTION("GOOGLETRANSLATE(B32643,""en"",""pt"")"),"Narsinghgarh")</f>
        <v>Narsinghgarh</v>
      </c>
      <c r="B18075" s="11" t="s">
        <v>12615</v>
      </c>
      <c r="C18075" s="11" t="s">
        <v>10178</v>
      </c>
      <c r="D18075" s="11" t="s">
        <v>10219</v>
      </c>
      <c r="E18075" s="10">
        <v>1261752</v>
      </c>
      <c r="F18075" s="4" t="str">
        <f>IF(B18075=B18074,"",B18075)</f>
        <v/>
      </c>
    </row>
    <row r="18076" spans="1:6" ht="15.75" customHeight="1">
      <c r="A18076" s="15" t="s">
        <v>1396</v>
      </c>
      <c r="B18076" s="15" t="s">
        <v>1396</v>
      </c>
      <c r="C18076" s="15" t="s">
        <v>1296</v>
      </c>
      <c r="D18076" s="15" t="s">
        <v>1297</v>
      </c>
      <c r="E18076" s="2">
        <v>1185117</v>
      </c>
      <c r="F18076" s="4" t="str">
        <f>IF(B18076=B18075,"",B18076)</f>
        <v>Narsingdi</v>
      </c>
    </row>
    <row r="18077" spans="1:6" ht="15.75" customHeight="1">
      <c r="A18077" s="8" t="str">
        <f ca="1">IFERROR(__xludf.DUMMYFUNCTION("GOOGLETRANSLATE(B23703,""en"",""pt"")"),"Narsingdi")</f>
        <v>Narsingdi</v>
      </c>
      <c r="B18077" s="11" t="s">
        <v>1396</v>
      </c>
      <c r="C18077" s="11" t="s">
        <v>1296</v>
      </c>
      <c r="D18077" s="11" t="s">
        <v>1297</v>
      </c>
      <c r="E18077" s="10">
        <v>1185117</v>
      </c>
      <c r="F18077" s="4" t="str">
        <f>IF(B18077=B18076,"",B18077)</f>
        <v/>
      </c>
    </row>
    <row r="18078" spans="1:6" ht="15.75" customHeight="1">
      <c r="A18078" s="16" t="s">
        <v>12614</v>
      </c>
      <c r="B18078" s="15" t="s">
        <v>12614</v>
      </c>
      <c r="C18078" s="16" t="s">
        <v>10178</v>
      </c>
      <c r="D18078" s="16" t="s">
        <v>10219</v>
      </c>
      <c r="E18078" s="2">
        <v>1261754</v>
      </c>
      <c r="F18078" s="4" t="str">
        <f>IF(B18078=B18077,"",B18078)</f>
        <v>Narsimhapur</v>
      </c>
    </row>
    <row r="18079" spans="1:6" ht="15.75" customHeight="1">
      <c r="A18079" s="8" t="str">
        <f ca="1">IFERROR(__xludf.DUMMYFUNCTION("GOOGLETRANSLATE(B32644,""en"",""pt"")"),"Narsimhapur")</f>
        <v>Narsimhapur</v>
      </c>
      <c r="B18079" s="11" t="s">
        <v>12614</v>
      </c>
      <c r="C18079" s="11" t="s">
        <v>10178</v>
      </c>
      <c r="D18079" s="11" t="s">
        <v>10219</v>
      </c>
      <c r="E18079" s="10">
        <v>1261754</v>
      </c>
      <c r="F18079" s="4" t="str">
        <f>IF(B18079=B18078,"",B18079)</f>
        <v/>
      </c>
    </row>
    <row r="18080" spans="1:6" ht="15.75" customHeight="1">
      <c r="A18080" s="16" t="s">
        <v>12612</v>
      </c>
      <c r="B18080" s="15" t="s">
        <v>12613</v>
      </c>
      <c r="C18080" s="16" t="s">
        <v>10178</v>
      </c>
      <c r="D18080" s="16" t="s">
        <v>10190</v>
      </c>
      <c r="E18080" s="2">
        <v>1261748</v>
      </c>
      <c r="F18080" s="4" t="str">
        <f>IF(B18080=B18079,"",B18080)</f>
        <v>NarsÄ«patnam</v>
      </c>
    </row>
    <row r="18081" spans="1:6" ht="15.75" customHeight="1">
      <c r="A18081" s="16" t="s">
        <v>1045</v>
      </c>
      <c r="B18081" s="15" t="s">
        <v>1045</v>
      </c>
      <c r="C18081" s="16" t="s">
        <v>885</v>
      </c>
      <c r="D18081" s="16" t="s">
        <v>827</v>
      </c>
      <c r="E18081" s="2">
        <v>9972518</v>
      </c>
      <c r="F18081" s="4" t="str">
        <f>IF(B18081=B18080,"",B18081)</f>
        <v>Narre Warren South</v>
      </c>
    </row>
    <row r="18082" spans="1:6" ht="15.75" customHeight="1">
      <c r="A18082" s="8" t="str">
        <f ca="1">IFERROR(__xludf.DUMMYFUNCTION("GOOGLETRANSLATE(B23605,""en"",""pt"")"),"Narre Warren South")</f>
        <v>Narre Warren South</v>
      </c>
      <c r="B18082" s="9" t="s">
        <v>1045</v>
      </c>
      <c r="C18082" s="9" t="s">
        <v>885</v>
      </c>
      <c r="D18082" s="9" t="s">
        <v>827</v>
      </c>
      <c r="E18082" s="10">
        <v>9972518</v>
      </c>
      <c r="F18082" s="4" t="str">
        <f>IF(B18082=B18081,"",B18082)</f>
        <v/>
      </c>
    </row>
    <row r="18083" spans="1:6" ht="15.75" customHeight="1">
      <c r="A18083" s="16" t="s">
        <v>1044</v>
      </c>
      <c r="B18083" s="15" t="s">
        <v>1044</v>
      </c>
      <c r="C18083" s="16" t="s">
        <v>885</v>
      </c>
      <c r="D18083" s="16" t="s">
        <v>827</v>
      </c>
      <c r="E18083" s="2">
        <v>2155718</v>
      </c>
      <c r="F18083" s="4" t="str">
        <f>IF(B18083=B18082,"",B18083)</f>
        <v>Narre Warren</v>
      </c>
    </row>
    <row r="18084" spans="1:6" ht="15.75" customHeight="1">
      <c r="A18084" s="8" t="str">
        <f ca="1">IFERROR(__xludf.DUMMYFUNCTION("GOOGLETRANSLATE(B23472,""en"",""pt"")"),"Narre Warren")</f>
        <v>Narre Warren</v>
      </c>
      <c r="B18084" s="9" t="s">
        <v>1044</v>
      </c>
      <c r="C18084" s="9" t="s">
        <v>885</v>
      </c>
      <c r="D18084" s="9" t="s">
        <v>827</v>
      </c>
      <c r="E18084" s="10">
        <v>2155718</v>
      </c>
      <c r="F18084" s="4" t="str">
        <f>IF(B18084=B18083,"",B18084)</f>
        <v/>
      </c>
    </row>
    <row r="18085" spans="1:6" ht="15.75" customHeight="1">
      <c r="A18085" s="15" t="s">
        <v>20919</v>
      </c>
      <c r="B18085" s="15" t="s">
        <v>20919</v>
      </c>
      <c r="C18085" s="15" t="s">
        <v>20598</v>
      </c>
      <c r="D18085" s="15" t="s">
        <v>20715</v>
      </c>
      <c r="E18085" s="2">
        <v>1698103</v>
      </c>
      <c r="F18085" s="4" t="str">
        <f>IF(B18085=B18084,"",B18085)</f>
        <v>Narra</v>
      </c>
    </row>
    <row r="18086" spans="1:6" ht="15.75" customHeight="1">
      <c r="A18086" s="8" t="str">
        <f ca="1">IFERROR(__xludf.DUMMYFUNCTION("GOOGLETRANSLATE(B38587,""en"",""pt"")"),"Narra")</f>
        <v>Narra</v>
      </c>
      <c r="B18086" s="11" t="s">
        <v>20919</v>
      </c>
      <c r="C18086" s="11" t="s">
        <v>20598</v>
      </c>
      <c r="D18086" s="11" t="s">
        <v>20715</v>
      </c>
      <c r="E18086" s="10">
        <v>1698103</v>
      </c>
      <c r="F18086" s="4" t="str">
        <f>IF(B18086=B18085,"",B18086)</f>
        <v/>
      </c>
    </row>
    <row r="18087" spans="1:6" ht="15.75" customHeight="1">
      <c r="A18087" s="8" t="str">
        <f ca="1">IFERROR(__xludf.DUMMYFUNCTION("GOOGLETRANSLATE(B38968,""en"",""pt"")"),"Nārowāl")</f>
        <v>Nārowāl</v>
      </c>
      <c r="B18087" s="9" t="s">
        <v>34944</v>
      </c>
      <c r="C18087" s="9" t="s">
        <v>19808</v>
      </c>
      <c r="D18087" s="9" t="s">
        <v>10184</v>
      </c>
      <c r="E18087" s="10">
        <v>1169278</v>
      </c>
      <c r="F18087" s="4" t="str">
        <f>IF(B18087=B18086,"",B18087)</f>
        <v>Nārowāl</v>
      </c>
    </row>
    <row r="18088" spans="1:6" ht="15.75" customHeight="1">
      <c r="A18088" s="8" t="str">
        <f ca="1">IFERROR(__xludf.DUMMYFUNCTION("GOOGLETRANSLATE(B29344,""en"",""pt"")"),"Narón")</f>
        <v>Narón</v>
      </c>
      <c r="B18088" s="11" t="s">
        <v>32446</v>
      </c>
      <c r="C18088" s="11" t="s">
        <v>24200</v>
      </c>
      <c r="D18088" s="11" t="s">
        <v>24201</v>
      </c>
      <c r="E18088" s="10">
        <v>3115739</v>
      </c>
      <c r="F18088" s="4" t="str">
        <f>IF(B18088=B18087,"",B18088)</f>
        <v>Narón</v>
      </c>
    </row>
    <row r="18089" spans="1:6" ht="15.75" customHeight="1">
      <c r="A18089" s="15" t="s">
        <v>16834</v>
      </c>
      <c r="B18089" s="15" t="s">
        <v>16834</v>
      </c>
      <c r="C18089" s="15" t="s">
        <v>16781</v>
      </c>
      <c r="D18089" s="15" t="s">
        <v>16834</v>
      </c>
      <c r="E18089" s="2">
        <v>184379</v>
      </c>
      <c r="F18089" s="4" t="str">
        <f>IF(B18089=B18088,"",B18089)</f>
        <v>Narok</v>
      </c>
    </row>
    <row r="18090" spans="1:6" ht="15.75" customHeight="1">
      <c r="A18090" s="8" t="str">
        <f ca="1">IFERROR(__xludf.DUMMYFUNCTION("GOOGLETRANSLATE(B35892,""en"",""pt"")"),"Narok")</f>
        <v>Narok</v>
      </c>
      <c r="B18090" s="11" t="s">
        <v>16834</v>
      </c>
      <c r="C18090" s="11" t="s">
        <v>16781</v>
      </c>
      <c r="D18090" s="11" t="s">
        <v>16834</v>
      </c>
      <c r="E18090" s="10">
        <v>184379</v>
      </c>
      <c r="F18090" s="4" t="str">
        <f>IF(B18090=B18089,"",B18090)</f>
        <v/>
      </c>
    </row>
    <row r="18091" spans="1:6" ht="15.75" customHeight="1">
      <c r="A18091" s="16" t="s">
        <v>22777</v>
      </c>
      <c r="B18091" s="15" t="s">
        <v>22777</v>
      </c>
      <c r="C18091" s="16" t="s">
        <v>22070</v>
      </c>
      <c r="D18091" s="16" t="s">
        <v>22119</v>
      </c>
      <c r="E18091" s="2">
        <v>523426</v>
      </c>
      <c r="F18091" s="4" t="str">
        <f>IF(B18091=B18090,"",B18091)</f>
        <v>Naro-Fominsk</v>
      </c>
    </row>
    <row r="18092" spans="1:6" ht="15.75" customHeight="1">
      <c r="A18092" s="8" t="str">
        <f ca="1">IFERROR(__xludf.DUMMYFUNCTION("GOOGLETRANSLATE(B40298,""en"",""pt"")"),"Naro-Fominsk")</f>
        <v>Naro-Fominsk</v>
      </c>
      <c r="B18092" s="11" t="s">
        <v>22777</v>
      </c>
      <c r="C18092" s="11" t="s">
        <v>22070</v>
      </c>
      <c r="D18092" s="11" t="s">
        <v>22119</v>
      </c>
      <c r="E18092" s="10">
        <v>523426</v>
      </c>
      <c r="F18092" s="4" t="str">
        <f>IF(B18092=B18091,"",B18092)</f>
        <v/>
      </c>
    </row>
    <row r="18093" spans="1:6" ht="15.75" customHeight="1">
      <c r="A18093" s="8" t="str">
        <f ca="1">IFERROR(__xludf.DUMMYFUNCTION("GOOGLETRANSLATE(B32645,""en"",""pt"")"),"Nārnaund")</f>
        <v>Nārnaund</v>
      </c>
      <c r="B18093" s="11" t="s">
        <v>33317</v>
      </c>
      <c r="C18093" s="11" t="s">
        <v>10178</v>
      </c>
      <c r="D18093" s="11" t="s">
        <v>10224</v>
      </c>
      <c r="E18093" s="10">
        <v>1261771</v>
      </c>
      <c r="F18093" s="4" t="str">
        <f>IF(B18093=B18092,"",B18093)</f>
        <v>Nārnaund</v>
      </c>
    </row>
    <row r="18094" spans="1:6" ht="15.75" customHeight="1">
      <c r="A18094" s="8" t="str">
        <f ca="1">IFERROR(__xludf.DUMMYFUNCTION("GOOGLETRANSLATE(B32646,""en"",""pt"")"),"Nārnaul")</f>
        <v>Nārnaul</v>
      </c>
      <c r="B18094" s="11" t="s">
        <v>33318</v>
      </c>
      <c r="C18094" s="11" t="s">
        <v>10178</v>
      </c>
      <c r="D18094" s="11" t="s">
        <v>10224</v>
      </c>
      <c r="E18094" s="10">
        <v>1261772</v>
      </c>
      <c r="F18094" s="4" t="str">
        <f>IF(B18094=B18093,"",B18094)</f>
        <v>Nārnaul</v>
      </c>
    </row>
    <row r="18095" spans="1:6" ht="15.75" customHeight="1">
      <c r="A18095" s="15" t="s">
        <v>16290</v>
      </c>
      <c r="B18095" s="15" t="s">
        <v>16290</v>
      </c>
      <c r="C18095" s="15" t="s">
        <v>15704</v>
      </c>
      <c r="D18095" s="15" t="s">
        <v>15707</v>
      </c>
      <c r="E18095" s="2">
        <v>2111684</v>
      </c>
      <c r="F18095" s="4" t="str">
        <f>IF(B18095=B18094,"",B18095)</f>
        <v>Narita</v>
      </c>
    </row>
    <row r="18096" spans="1:6" ht="15.75" customHeight="1">
      <c r="A18096" s="8" t="str">
        <f ca="1">IFERROR(__xludf.DUMMYFUNCTION("GOOGLETRANSLATE(B35755,""en"",""pt"")"),"Narita")</f>
        <v>Narita</v>
      </c>
      <c r="B18096" s="11" t="s">
        <v>16290</v>
      </c>
      <c r="C18096" s="11" t="s">
        <v>15704</v>
      </c>
      <c r="D18096" s="11" t="s">
        <v>15707</v>
      </c>
      <c r="E18096" s="10">
        <v>2111684</v>
      </c>
      <c r="F18096" s="4" t="str">
        <f>IF(B18096=B18095,"",B18096)</f>
        <v/>
      </c>
    </row>
    <row r="18097" spans="1:6" ht="15.75" customHeight="1">
      <c r="A18097" s="15" t="s">
        <v>12611</v>
      </c>
      <c r="B18097" s="15" t="s">
        <v>12611</v>
      </c>
      <c r="C18097" s="15" t="s">
        <v>10178</v>
      </c>
      <c r="D18097" s="15" t="s">
        <v>10252</v>
      </c>
      <c r="E18097" s="2">
        <v>1261800</v>
      </c>
      <c r="F18097" s="4" t="str">
        <f>IF(B18097=B18096,"",B18097)</f>
        <v>Nargund</v>
      </c>
    </row>
    <row r="18098" spans="1:6" ht="15.75" customHeight="1">
      <c r="A18098" s="8" t="str">
        <f ca="1">IFERROR(__xludf.DUMMYFUNCTION("GOOGLETRANSLATE(B32647,""en"",""pt"")"),"Nargund")</f>
        <v>Nargund</v>
      </c>
      <c r="B18098" s="11" t="s">
        <v>12611</v>
      </c>
      <c r="C18098" s="11" t="s">
        <v>10178</v>
      </c>
      <c r="D18098" s="11" t="s">
        <v>10252</v>
      </c>
      <c r="E18098" s="10">
        <v>1261800</v>
      </c>
      <c r="F18098" s="4" t="str">
        <f>IF(B18098=B18097,"",B18098)</f>
        <v/>
      </c>
    </row>
    <row r="18099" spans="1:6" ht="15.75" customHeight="1">
      <c r="A18099" s="15" t="s">
        <v>12609</v>
      </c>
      <c r="B18099" s="15" t="s">
        <v>12610</v>
      </c>
      <c r="C18099" s="15" t="s">
        <v>10178</v>
      </c>
      <c r="D18099" s="15" t="s">
        <v>10252</v>
      </c>
      <c r="E18099" s="2">
        <v>1261810</v>
      </c>
      <c r="F18099" s="4" t="str">
        <f>IF(B18099=B18098,"",B18099)</f>
        <v>Naregal</v>
      </c>
    </row>
    <row r="18100" spans="1:6" ht="15.75" customHeight="1">
      <c r="A18100" s="8" t="str">
        <f ca="1">IFERROR(__xludf.DUMMYFUNCTION("GOOGLETRANSLATE(B32648,""en"",""pt"")"),"NARGAL")</f>
        <v>NARGAL</v>
      </c>
      <c r="B18100" s="11" t="s">
        <v>12610</v>
      </c>
      <c r="C18100" s="11" t="s">
        <v>10178</v>
      </c>
      <c r="D18100" s="11" t="s">
        <v>10252</v>
      </c>
      <c r="E18100" s="10">
        <v>1261810</v>
      </c>
      <c r="F18100" s="4" t="str">
        <f>IF(B18100=B18099,"",B18100)</f>
        <v/>
      </c>
    </row>
    <row r="18101" spans="1:6" ht="15.75" customHeight="1">
      <c r="A18101" s="8" t="str">
        <f ca="1">IFERROR(__xludf.DUMMYFUNCTION("GOOGLETRANSLATE(B34808,""en"",""pt"")"),"Nardò")</f>
        <v>Nardò</v>
      </c>
      <c r="B18101" s="11" t="s">
        <v>34269</v>
      </c>
      <c r="C18101" s="11" t="s">
        <v>14891</v>
      </c>
      <c r="D18101" s="11" t="s">
        <v>14908</v>
      </c>
      <c r="E18101" s="10">
        <v>3172379</v>
      </c>
      <c r="F18101" s="4" t="str">
        <f>IF(B18101=B18100,"",B18101)</f>
        <v>Nardò</v>
      </c>
    </row>
    <row r="18102" spans="1:6" ht="15.75" customHeight="1">
      <c r="A18102" s="15" t="s">
        <v>15305</v>
      </c>
      <c r="B18102" s="15" t="s">
        <v>15306</v>
      </c>
      <c r="C18102" s="15" t="s">
        <v>14891</v>
      </c>
      <c r="D18102" s="15" t="s">
        <v>14908</v>
      </c>
      <c r="E18102" s="2">
        <v>3172379</v>
      </c>
      <c r="F18102" s="4" t="str">
        <f>IF(B18102=B18101,"",B18102)</f>
        <v>NardÃ²</v>
      </c>
    </row>
    <row r="18103" spans="1:6" ht="15.75" customHeight="1">
      <c r="A18103" s="16" t="s">
        <v>7635</v>
      </c>
      <c r="B18103" s="15" t="s">
        <v>7635</v>
      </c>
      <c r="C18103" s="16" t="s">
        <v>7052</v>
      </c>
      <c r="D18103" s="16" t="s">
        <v>7082</v>
      </c>
      <c r="E18103" s="2">
        <v>2990919</v>
      </c>
      <c r="F18103" s="4" t="str">
        <f>IF(B18103=B18102,"",B18103)</f>
        <v>Narbonne</v>
      </c>
    </row>
    <row r="18104" spans="1:6" ht="15.75" customHeight="1">
      <c r="A18104" s="8" t="str">
        <f ca="1">IFERROR(__xludf.DUMMYFUNCTION("GOOGLETRANSLATE(B29886,""en"",""pt"")"),"Narbonne")</f>
        <v>Narbonne</v>
      </c>
      <c r="B18104" s="11" t="s">
        <v>7635</v>
      </c>
      <c r="C18104" s="11" t="s">
        <v>7052</v>
      </c>
      <c r="D18104" s="11" t="s">
        <v>32547</v>
      </c>
      <c r="E18104" s="10">
        <v>2990919</v>
      </c>
      <c r="F18104" s="4" t="str">
        <f>IF(B18104=B18103,"",B18104)</f>
        <v/>
      </c>
    </row>
    <row r="18105" spans="1:6" ht="15.75" customHeight="1">
      <c r="A18105" s="8" t="str">
        <f ca="1">IFERROR(__xludf.DUMMYFUNCTION("GOOGLETRANSLATE(B32649,""en"",""pt"")"),"Nārāyanpet")</f>
        <v>Nārāyanpet</v>
      </c>
      <c r="B18105" s="11" t="s">
        <v>33319</v>
      </c>
      <c r="C18105" s="11" t="s">
        <v>10178</v>
      </c>
      <c r="D18105" s="11" t="s">
        <v>10187</v>
      </c>
      <c r="E18105" s="10">
        <v>1261823</v>
      </c>
      <c r="F18105" s="4" t="str">
        <f>IF(B18105=B18104,"",B18105)</f>
        <v>Nārāyanpet</v>
      </c>
    </row>
    <row r="18106" spans="1:6" ht="15.75" customHeight="1">
      <c r="A18106" s="8" t="str">
        <f ca="1">IFERROR(__xludf.DUMMYFUNCTION("GOOGLETRANSLATE(B32650,""en"",""pt"")"),"Narāyangarh")</f>
        <v>Narāyangarh</v>
      </c>
      <c r="B18106" s="11" t="s">
        <v>33320</v>
      </c>
      <c r="C18106" s="11" t="s">
        <v>10178</v>
      </c>
      <c r="D18106" s="11" t="s">
        <v>10224</v>
      </c>
      <c r="E18106" s="10">
        <v>1261828</v>
      </c>
      <c r="F18106" s="4" t="str">
        <f>IF(B18106=B18105,"",B18106)</f>
        <v>Narāyangarh</v>
      </c>
    </row>
    <row r="18107" spans="1:6" ht="15.75" customHeight="1">
      <c r="A18107" s="8" t="str">
        <f ca="1">IFERROR(__xludf.DUMMYFUNCTION("GOOGLETRANSLATE(B23712,""en"",""pt"")"),"Nārāyanganj")</f>
        <v>Nārāyanganj</v>
      </c>
      <c r="B18107" s="11" t="s">
        <v>31266</v>
      </c>
      <c r="C18107" s="11" t="s">
        <v>1296</v>
      </c>
      <c r="D18107" s="11" t="s">
        <v>1297</v>
      </c>
      <c r="E18107" s="10">
        <v>1185155</v>
      </c>
      <c r="F18107" s="4" t="str">
        <f>IF(B18107=B18106,"",B18107)</f>
        <v>Nārāyanganj</v>
      </c>
    </row>
    <row r="18108" spans="1:6" ht="15.75" customHeight="1">
      <c r="A18108" s="8" t="str">
        <f ca="1">IFERROR(__xludf.DUMMYFUNCTION("GOOGLETRANSLATE(B32651,""en"",""pt"")"),"Nāravārikuppam")</f>
        <v>Nāravārikuppam</v>
      </c>
      <c r="B18108" s="11" t="s">
        <v>33321</v>
      </c>
      <c r="C18108" s="11" t="s">
        <v>10178</v>
      </c>
      <c r="D18108" s="11" t="s">
        <v>10196</v>
      </c>
      <c r="E18108" s="10">
        <v>1261835</v>
      </c>
      <c r="F18108" s="4" t="str">
        <f>IF(B18108=B18107,"",B18108)</f>
        <v>Nāravārikuppam</v>
      </c>
    </row>
    <row r="18109" spans="1:6" ht="15.75" customHeight="1">
      <c r="A18109" s="15" t="s">
        <v>12608</v>
      </c>
      <c r="B18109" s="15" t="s">
        <v>12608</v>
      </c>
      <c r="C18109" s="15" t="s">
        <v>10178</v>
      </c>
      <c r="D18109" s="15" t="s">
        <v>10193</v>
      </c>
      <c r="E18109" s="2">
        <v>1261837</v>
      </c>
      <c r="F18109" s="4" t="str">
        <f>IF(B18109=B18108,"",B18109)</f>
        <v>Naraura</v>
      </c>
    </row>
    <row r="18110" spans="1:6" ht="15.75" customHeight="1">
      <c r="A18110" s="8" t="str">
        <f ca="1">IFERROR(__xludf.DUMMYFUNCTION("GOOGLETRANSLATE(B32652,""en"",""pt"")"),"Naraura")</f>
        <v>Naraura</v>
      </c>
      <c r="B18110" s="11" t="s">
        <v>12608</v>
      </c>
      <c r="C18110" s="11" t="s">
        <v>10178</v>
      </c>
      <c r="D18110" s="11" t="s">
        <v>10193</v>
      </c>
      <c r="E18110" s="10">
        <v>1261837</v>
      </c>
      <c r="F18110" s="4" t="str">
        <f>IF(B18110=B18109,"",B18110)</f>
        <v/>
      </c>
    </row>
    <row r="18111" spans="1:6" ht="15.75" customHeight="1">
      <c r="A18111" s="15" t="s">
        <v>12607</v>
      </c>
      <c r="B18111" s="15" t="s">
        <v>12607</v>
      </c>
      <c r="C18111" s="15" t="s">
        <v>10178</v>
      </c>
      <c r="D18111" s="15" t="s">
        <v>10193</v>
      </c>
      <c r="E18111" s="2">
        <v>1261839</v>
      </c>
      <c r="F18111" s="4" t="str">
        <f>IF(B18111=B18110,"",B18111)</f>
        <v>Narauli</v>
      </c>
    </row>
    <row r="18112" spans="1:6" ht="15.75" customHeight="1">
      <c r="A18112" s="8" t="str">
        <f ca="1">IFERROR(__xludf.DUMMYFUNCTION("GOOGLETRANSLATE(B32653,""en"",""pt"")"),"Narauli")</f>
        <v>Narauli</v>
      </c>
      <c r="B18112" s="11" t="s">
        <v>12607</v>
      </c>
      <c r="C18112" s="11" t="s">
        <v>10178</v>
      </c>
      <c r="D18112" s="11" t="s">
        <v>10193</v>
      </c>
      <c r="E18112" s="10">
        <v>1261839</v>
      </c>
      <c r="F18112" s="4" t="str">
        <f>IF(B18112=B18111,"",B18112)</f>
        <v/>
      </c>
    </row>
    <row r="18113" spans="1:6" ht="15.75" customHeight="1">
      <c r="A18113" s="16" t="s">
        <v>25942</v>
      </c>
      <c r="B18113" s="15" t="s">
        <v>25942</v>
      </c>
      <c r="C18113" s="16" t="s">
        <v>25771</v>
      </c>
      <c r="D18113" s="16" t="s">
        <v>25942</v>
      </c>
      <c r="E18113" s="2">
        <v>1608409</v>
      </c>
      <c r="F18113" s="4" t="str">
        <f>IF(B18113=B18112,"",B18113)</f>
        <v>Narathiwat</v>
      </c>
    </row>
    <row r="18114" spans="1:6" ht="15.75" customHeight="1">
      <c r="A18114" s="8" t="str">
        <f ca="1">IFERROR(__xludf.DUMMYFUNCTION("GOOGLETRANSLATE(B41651,""en"",""pt"")"),"Narathiwat")</f>
        <v>Narathiwat</v>
      </c>
      <c r="B18114" s="11" t="s">
        <v>25942</v>
      </c>
      <c r="C18114" s="11" t="s">
        <v>25771</v>
      </c>
      <c r="D18114" s="11" t="s">
        <v>25942</v>
      </c>
      <c r="E18114" s="10">
        <v>1608409</v>
      </c>
      <c r="F18114" s="4" t="str">
        <f>IF(B18114=B18113,"",B18114)</f>
        <v/>
      </c>
    </row>
    <row r="18115" spans="1:6" ht="15.75" customHeight="1">
      <c r="A18115" s="15" t="s">
        <v>16289</v>
      </c>
      <c r="B18115" s="15" t="s">
        <v>16289</v>
      </c>
      <c r="C18115" s="15" t="s">
        <v>15704</v>
      </c>
      <c r="D18115" s="15" t="s">
        <v>15905</v>
      </c>
      <c r="E18115" s="2">
        <v>1855612</v>
      </c>
      <c r="F18115" s="4" t="str">
        <f>IF(B18115=B18114,"",B18115)</f>
        <v>Nara-shi</v>
      </c>
    </row>
    <row r="18116" spans="1:6" ht="15.75" customHeight="1">
      <c r="A18116" s="8" t="str">
        <f ca="1">IFERROR(__xludf.DUMMYFUNCTION("GOOGLETRANSLATE(B35392,""en"",""pt"")"),"Nara-shi")</f>
        <v>Nara-shi</v>
      </c>
      <c r="B18116" s="11" t="s">
        <v>16289</v>
      </c>
      <c r="C18116" s="11" t="s">
        <v>15704</v>
      </c>
      <c r="D18116" s="11" t="s">
        <v>15905</v>
      </c>
      <c r="E18116" s="10">
        <v>1855612</v>
      </c>
      <c r="F18116" s="4" t="str">
        <f>IF(B18116=B18115,"",B18116)</f>
        <v/>
      </c>
    </row>
    <row r="18117" spans="1:6" ht="15.75" customHeight="1">
      <c r="A18117" s="16" t="s">
        <v>12606</v>
      </c>
      <c r="B18117" s="15" t="s">
        <v>12606</v>
      </c>
      <c r="C18117" s="16" t="s">
        <v>10178</v>
      </c>
      <c r="D18117" s="16" t="s">
        <v>10190</v>
      </c>
      <c r="E18117" s="2">
        <v>1261848</v>
      </c>
      <c r="F18117" s="4" t="str">
        <f>IF(B18117=B18116,"",B18117)</f>
        <v>Narasaraopet</v>
      </c>
    </row>
    <row r="18118" spans="1:6" ht="15.75" customHeight="1">
      <c r="A18118" s="8" t="str">
        <f ca="1">IFERROR(__xludf.DUMMYFUNCTION("GOOGLETRANSLATE(B32654,""en"",""pt"")"),"Narasaraopet")</f>
        <v>Narasaraopet</v>
      </c>
      <c r="B18118" s="11" t="s">
        <v>12606</v>
      </c>
      <c r="C18118" s="11" t="s">
        <v>10178</v>
      </c>
      <c r="D18118" s="11" t="s">
        <v>10190</v>
      </c>
      <c r="E18118" s="10">
        <v>1261848</v>
      </c>
      <c r="F18118" s="4" t="str">
        <f>IF(B18118=B18117,"",B18118)</f>
        <v/>
      </c>
    </row>
    <row r="18119" spans="1:6" ht="15.75" customHeight="1">
      <c r="A18119" s="16" t="s">
        <v>12605</v>
      </c>
      <c r="B18119" s="15" t="s">
        <v>12605</v>
      </c>
      <c r="C18119" s="16" t="s">
        <v>10178</v>
      </c>
      <c r="D18119" s="16" t="s">
        <v>10190</v>
      </c>
      <c r="E18119" s="2">
        <v>1261852</v>
      </c>
      <c r="F18119" s="4" t="str">
        <f>IF(B18119=B18118,"",B18119)</f>
        <v>Narasapur</v>
      </c>
    </row>
    <row r="18120" spans="1:6" ht="15.75" customHeight="1">
      <c r="A18120" s="8" t="str">
        <f ca="1">IFERROR(__xludf.DUMMYFUNCTION("GOOGLETRANSLATE(B32655,""en"",""pt"")"),"Narasapur")</f>
        <v>Narasapur</v>
      </c>
      <c r="B18120" s="11" t="s">
        <v>12605</v>
      </c>
      <c r="C18120" s="11" t="s">
        <v>10178</v>
      </c>
      <c r="D18120" s="11" t="s">
        <v>10190</v>
      </c>
      <c r="E18120" s="10">
        <v>1261852</v>
      </c>
      <c r="F18120" s="4" t="str">
        <f>IF(B18120=B18119,"",B18120)</f>
        <v/>
      </c>
    </row>
    <row r="18121" spans="1:6" ht="15.75" customHeight="1">
      <c r="A18121" s="16" t="s">
        <v>12604</v>
      </c>
      <c r="B18121" s="15" t="s">
        <v>12604</v>
      </c>
      <c r="C18121" s="16" t="s">
        <v>10178</v>
      </c>
      <c r="D18121" s="16" t="s">
        <v>10190</v>
      </c>
      <c r="E18121" s="2">
        <v>1261853</v>
      </c>
      <c r="F18121" s="4" t="str">
        <f>IF(B18121=B18120,"",B18121)</f>
        <v>Narasannapeta</v>
      </c>
    </row>
    <row r="18122" spans="1:6" ht="15.75" customHeight="1">
      <c r="A18122" s="8" t="str">
        <f ca="1">IFERROR(__xludf.DUMMYFUNCTION("GOOGLETRANSLATE(B32656,""en"",""pt"")"),"Narasannapeta")</f>
        <v>Narasannapeta</v>
      </c>
      <c r="B18122" s="11" t="s">
        <v>12604</v>
      </c>
      <c r="C18122" s="11" t="s">
        <v>10178</v>
      </c>
      <c r="D18122" s="11" t="s">
        <v>10190</v>
      </c>
      <c r="E18122" s="10">
        <v>1261853</v>
      </c>
      <c r="F18122" s="4" t="str">
        <f>IF(B18122=B18121,"",B18122)</f>
        <v/>
      </c>
    </row>
    <row r="18123" spans="1:6" ht="15.75" customHeight="1">
      <c r="A18123" s="15" t="s">
        <v>18106</v>
      </c>
      <c r="B18123" s="15" t="s">
        <v>18106</v>
      </c>
      <c r="C18123" s="15" t="s">
        <v>17707</v>
      </c>
      <c r="D18123" s="15" t="s">
        <v>17708</v>
      </c>
      <c r="E18123" s="2">
        <v>3522804</v>
      </c>
      <c r="F18123" s="4" t="str">
        <f>IF(B18123=B18122,"",B18123)</f>
        <v>Naranjos</v>
      </c>
    </row>
    <row r="18124" spans="1:6" ht="15.75" customHeight="1">
      <c r="A18124" s="8" t="str">
        <f ca="1">IFERROR(__xludf.DUMMYFUNCTION("GOOGLETRANSLATE(B36970,""en"",""pt"")"),"Naranjos")</f>
        <v>Naranjos</v>
      </c>
      <c r="B18124" s="11" t="s">
        <v>18106</v>
      </c>
      <c r="C18124" s="11" t="s">
        <v>17707</v>
      </c>
      <c r="D18124" s="11" t="s">
        <v>17708</v>
      </c>
      <c r="E18124" s="10">
        <v>3522804</v>
      </c>
      <c r="F18124" s="4" t="str">
        <f>IF(B18124=B18123,"",B18124)</f>
        <v/>
      </c>
    </row>
    <row r="18125" spans="1:6" ht="15.75" customHeight="1">
      <c r="A18125" s="15" t="s">
        <v>6450</v>
      </c>
      <c r="B18125" s="15" t="s">
        <v>6450</v>
      </c>
      <c r="C18125" s="15" t="s">
        <v>6398</v>
      </c>
      <c r="D18125" s="15" t="s">
        <v>6410</v>
      </c>
      <c r="E18125" s="2">
        <v>3653873</v>
      </c>
      <c r="F18125" s="4" t="str">
        <f>IF(B18125=B18124,"",B18125)</f>
        <v>Naranjito</v>
      </c>
    </row>
    <row r="18126" spans="1:6" ht="15.75" customHeight="1">
      <c r="A18126" s="8" t="str">
        <f ca="1">IFERROR(__xludf.DUMMYFUNCTION("GOOGLETRANSLATE(B28775,""en"",""pt"")"),"Naranjito")</f>
        <v>Naranjito</v>
      </c>
      <c r="B18126" s="11" t="s">
        <v>6450</v>
      </c>
      <c r="C18126" s="11" t="s">
        <v>6398</v>
      </c>
      <c r="D18126" s="11" t="s">
        <v>6410</v>
      </c>
      <c r="E18126" s="10">
        <v>3653873</v>
      </c>
      <c r="F18126" s="4" t="str">
        <f>IF(B18126=B18125,"",B18126)</f>
        <v/>
      </c>
    </row>
    <row r="18127" spans="1:6" ht="15.75" customHeight="1">
      <c r="A18127" s="15" t="s">
        <v>6449</v>
      </c>
      <c r="B18127" s="15" t="s">
        <v>6449</v>
      </c>
      <c r="C18127" s="15" t="s">
        <v>6398</v>
      </c>
      <c r="D18127" s="15" t="s">
        <v>6410</v>
      </c>
      <c r="E18127" s="2">
        <v>3653882</v>
      </c>
      <c r="F18127" s="4" t="str">
        <f>IF(B18127=B18126,"",B18127)</f>
        <v>Naranjal</v>
      </c>
    </row>
    <row r="18128" spans="1:6" ht="15.75" customHeight="1">
      <c r="A18128" s="8" t="str">
        <f ca="1">IFERROR(__xludf.DUMMYFUNCTION("GOOGLETRANSLATE(B28776,""en"",""pt"")"),"Naranjal")</f>
        <v>Naranjal</v>
      </c>
      <c r="B18128" s="11" t="s">
        <v>6449</v>
      </c>
      <c r="C18128" s="11" t="s">
        <v>6398</v>
      </c>
      <c r="D18128" s="11" t="s">
        <v>6410</v>
      </c>
      <c r="E18128" s="10">
        <v>3653882</v>
      </c>
      <c r="F18128" s="4" t="str">
        <f>IF(B18128=B18127,"",B18128)</f>
        <v/>
      </c>
    </row>
    <row r="18129" spans="1:6" ht="15.75" customHeight="1">
      <c r="A18129" s="15" t="s">
        <v>1043</v>
      </c>
      <c r="B18129" s="15" t="s">
        <v>1043</v>
      </c>
      <c r="C18129" s="15" t="s">
        <v>885</v>
      </c>
      <c r="D18129" s="15" t="s">
        <v>910</v>
      </c>
      <c r="E18129" s="2">
        <v>2155787</v>
      </c>
      <c r="F18129" s="4" t="str">
        <f>IF(B18129=B18128,"",B18129)</f>
        <v>Narangba</v>
      </c>
    </row>
    <row r="18130" spans="1:6" ht="15.75" customHeight="1">
      <c r="A18130" s="8" t="str">
        <f ca="1">IFERROR(__xludf.DUMMYFUNCTION("GOOGLETRANSLATE(B23473,""en"",""pt"")"),"Narangba")</f>
        <v>Narangba</v>
      </c>
      <c r="B18130" s="11" t="s">
        <v>1043</v>
      </c>
      <c r="C18130" s="11" t="s">
        <v>885</v>
      </c>
      <c r="D18130" s="11" t="s">
        <v>910</v>
      </c>
      <c r="E18130" s="10">
        <v>2155787</v>
      </c>
      <c r="F18130" s="4" t="str">
        <f>IF(B18130=B18129,"",B18130)</f>
        <v/>
      </c>
    </row>
    <row r="18131" spans="1:6" ht="15.75" customHeight="1">
      <c r="A18131" s="8" t="str">
        <f ca="1">IFERROR(__xludf.DUMMYFUNCTION("GOOGLETRANSLATE(B38969,""en"",""pt"")"),"Nārang")</f>
        <v>Nārang</v>
      </c>
      <c r="B18131" s="11" t="s">
        <v>34945</v>
      </c>
      <c r="C18131" s="11" t="s">
        <v>19808</v>
      </c>
      <c r="D18131" s="11" t="s">
        <v>10184</v>
      </c>
      <c r="E18131" s="10">
        <v>1169334</v>
      </c>
      <c r="F18131" s="4" t="str">
        <f>IF(B18131=B18130,"",B18131)</f>
        <v>Nārang</v>
      </c>
    </row>
    <row r="18132" spans="1:6" ht="15.75" customHeight="1">
      <c r="A18132" s="15" t="s">
        <v>12603</v>
      </c>
      <c r="B18132" s="15" t="s">
        <v>12603</v>
      </c>
      <c r="C18132" s="15" t="s">
        <v>10178</v>
      </c>
      <c r="D18132" s="15" t="s">
        <v>10219</v>
      </c>
      <c r="E18132" s="2">
        <v>1261871</v>
      </c>
      <c r="F18132" s="4" t="str">
        <f>IF(B18132=B18131,"",B18132)</f>
        <v>Naraini</v>
      </c>
    </row>
    <row r="18133" spans="1:6" ht="15.75" customHeight="1">
      <c r="A18133" s="8" t="str">
        <f ca="1">IFERROR(__xludf.DUMMYFUNCTION("GOOGLETRANSLATE(B32657,""en"",""pt"")"),"Naraini")</f>
        <v>Naraini</v>
      </c>
      <c r="B18133" s="11" t="s">
        <v>12603</v>
      </c>
      <c r="C18133" s="11" t="s">
        <v>10178</v>
      </c>
      <c r="D18133" s="11" t="s">
        <v>10219</v>
      </c>
      <c r="E18133" s="10">
        <v>1261871</v>
      </c>
      <c r="F18133" s="4" t="str">
        <f>IF(B18133=B18132,"",B18133)</f>
        <v/>
      </c>
    </row>
    <row r="18134" spans="1:6" ht="15.75" customHeight="1">
      <c r="A18134" s="15" t="s">
        <v>12602</v>
      </c>
      <c r="B18134" s="15" t="s">
        <v>12602</v>
      </c>
      <c r="C18134" s="15" t="s">
        <v>10178</v>
      </c>
      <c r="D18134" s="15" t="s">
        <v>10179</v>
      </c>
      <c r="E18134" s="2">
        <v>1261872</v>
      </c>
      <c r="F18134" s="4" t="str">
        <f>IF(B18134=B18133,"",B18134)</f>
        <v>Naraina</v>
      </c>
    </row>
    <row r="18135" spans="1:6" ht="15.75" customHeight="1">
      <c r="A18135" s="8" t="str">
        <f ca="1">IFERROR(__xludf.DUMMYFUNCTION("GOOGLETRANSLATE(B32658,""en"",""pt"")"),"Naraina")</f>
        <v>Naraina</v>
      </c>
      <c r="B18135" s="11" t="s">
        <v>12602</v>
      </c>
      <c r="C18135" s="11" t="s">
        <v>10178</v>
      </c>
      <c r="D18135" s="11" t="s">
        <v>10179</v>
      </c>
      <c r="E18135" s="10">
        <v>1261872</v>
      </c>
      <c r="F18135" s="4" t="str">
        <f>IF(B18135=B18134,"",B18135)</f>
        <v/>
      </c>
    </row>
    <row r="18136" spans="1:6" ht="15.75" customHeight="1">
      <c r="A18136" s="15" t="s">
        <v>1394</v>
      </c>
      <c r="B18136" s="15" t="s">
        <v>1395</v>
      </c>
      <c r="C18136" s="15" t="s">
        <v>1296</v>
      </c>
      <c r="D18136" s="15" t="s">
        <v>1315</v>
      </c>
      <c r="E18136" s="2">
        <v>1185293</v>
      </c>
      <c r="F18136" s="4" t="str">
        <f>IF(B18136=B18135,"",B18136)</f>
        <v>Narail</v>
      </c>
    </row>
    <row r="18137" spans="1:6" ht="15.75" customHeight="1">
      <c r="A18137" s="8" t="str">
        <f ca="1">IFERROR(__xludf.DUMMYFUNCTION("GOOGLETRANSLATE(B23752,""en"",""pt"")"),"NARAIL")</f>
        <v>NARAIL</v>
      </c>
      <c r="B18137" s="11" t="s">
        <v>1395</v>
      </c>
      <c r="C18137" s="11" t="s">
        <v>1296</v>
      </c>
      <c r="D18137" s="11" t="s">
        <v>1315</v>
      </c>
      <c r="E18137" s="10">
        <v>1185293</v>
      </c>
      <c r="F18137" s="4" t="str">
        <f>IF(B18137=B18136,"",B18137)</f>
        <v/>
      </c>
    </row>
    <row r="18138" spans="1:6" ht="15.75" customHeight="1">
      <c r="A18138" s="15" t="s">
        <v>24649</v>
      </c>
      <c r="B18138" s="15" t="s">
        <v>24650</v>
      </c>
      <c r="C18138" s="15" t="s">
        <v>24200</v>
      </c>
      <c r="D18138" s="15" t="s">
        <v>24201</v>
      </c>
      <c r="E18138" s="2">
        <v>3115739</v>
      </c>
      <c r="F18138" s="4" t="str">
        <f>IF(B18138=B18137,"",B18138)</f>
        <v>NarÃ³n</v>
      </c>
    </row>
    <row r="18139" spans="1:6" ht="15.75" customHeight="1">
      <c r="A18139" s="16" t="s">
        <v>12600</v>
      </c>
      <c r="B18139" s="15" t="s">
        <v>12601</v>
      </c>
      <c r="C18139" s="16" t="s">
        <v>10178</v>
      </c>
      <c r="D18139" s="16" t="s">
        <v>10224</v>
      </c>
      <c r="E18139" s="2">
        <v>1261828</v>
      </c>
      <c r="F18139" s="4" t="str">
        <f>IF(B18139=B18138,"",B18139)</f>
        <v>NarÄyangarh</v>
      </c>
    </row>
    <row r="18140" spans="1:6" ht="15.75" customHeight="1">
      <c r="A18140" s="15" t="s">
        <v>14472</v>
      </c>
      <c r="B18140" s="15" t="s">
        <v>14472</v>
      </c>
      <c r="C18140" s="15" t="s">
        <v>14240</v>
      </c>
      <c r="D18140" s="15" t="s">
        <v>14302</v>
      </c>
      <c r="E18140" s="2">
        <v>122698</v>
      </c>
      <c r="F18140" s="4" t="str">
        <f>IF(B18140=B18139,"",B18140)</f>
        <v>Naqadeh</v>
      </c>
    </row>
    <row r="18141" spans="1:6" ht="15.75" customHeight="1">
      <c r="A18141" s="8" t="str">
        <f ca="1">IFERROR(__xludf.DUMMYFUNCTION("GOOGLETRANSLATE(B34409,""en"",""pt"")"),"Naqadeh")</f>
        <v>Naqadeh</v>
      </c>
      <c r="B18141" s="11" t="s">
        <v>14472</v>
      </c>
      <c r="C18141" s="11" t="s">
        <v>14240</v>
      </c>
      <c r="D18141" s="11" t="s">
        <v>34137</v>
      </c>
      <c r="E18141" s="10">
        <v>122698</v>
      </c>
      <c r="F18141" s="4" t="str">
        <f>IF(B18141=B18140,"",B18141)</f>
        <v/>
      </c>
    </row>
    <row r="18142" spans="1:6" ht="15.75" customHeight="1">
      <c r="A18142" s="15" t="s">
        <v>15304</v>
      </c>
      <c r="B18142" s="15" t="s">
        <v>15304</v>
      </c>
      <c r="C18142" s="15" t="s">
        <v>14891</v>
      </c>
      <c r="D18142" s="15" t="s">
        <v>14896</v>
      </c>
      <c r="E18142" s="2">
        <v>3172394</v>
      </c>
      <c r="F18142" s="4" t="str">
        <f>IF(B18142=B18141,"",B18142)</f>
        <v>Napoli</v>
      </c>
    </row>
    <row r="18143" spans="1:6" ht="15.75" customHeight="1">
      <c r="A18143" s="8" t="str">
        <f ca="1">IFERROR(__xludf.DUMMYFUNCTION("GOOGLETRANSLATE(B34809,""en"",""pt"")"),"Napoli")</f>
        <v>Napoli</v>
      </c>
      <c r="B18143" s="11" t="s">
        <v>15304</v>
      </c>
      <c r="C18143" s="11" t="s">
        <v>14891</v>
      </c>
      <c r="D18143" s="11" t="s">
        <v>14896</v>
      </c>
      <c r="E18143" s="10">
        <v>3172394</v>
      </c>
      <c r="F18143" s="4" t="str">
        <f>IF(B18143=B18142,"",B18143)</f>
        <v/>
      </c>
    </row>
    <row r="18144" spans="1:6" ht="15.75" customHeight="1">
      <c r="A18144" s="15" t="s">
        <v>29388</v>
      </c>
      <c r="B18144" s="15" t="s">
        <v>29389</v>
      </c>
      <c r="C18144" s="15" t="s">
        <v>27788</v>
      </c>
      <c r="D18144" s="15" t="s">
        <v>5468</v>
      </c>
      <c r="E18144" s="2">
        <v>4165565</v>
      </c>
      <c r="F18144" s="4" t="str">
        <f>IF(B18144=B18143,"",B18144)</f>
        <v>Naples</v>
      </c>
    </row>
    <row r="18145" spans="1:6" ht="15.75" customHeight="1">
      <c r="A18145" s="8" t="str">
        <f ca="1">IFERROR(__xludf.DUMMYFUNCTION("GOOGLETRANSLATE(B42956,""en"",""pt"")"),"Nápoles")</f>
        <v>Nápoles</v>
      </c>
      <c r="B18145" s="11" t="s">
        <v>29389</v>
      </c>
      <c r="C18145" s="11" t="s">
        <v>27788</v>
      </c>
      <c r="D18145" s="11" t="s">
        <v>5468</v>
      </c>
      <c r="E18145" s="10">
        <v>4165565</v>
      </c>
      <c r="F18145" s="4" t="str">
        <f>IF(B18145=B18144,"",B18145)</f>
        <v/>
      </c>
    </row>
    <row r="18146" spans="1:6" ht="15.75" customHeight="1">
      <c r="A18146" s="15" t="s">
        <v>19192</v>
      </c>
      <c r="B18146" s="15" t="s">
        <v>19192</v>
      </c>
      <c r="C18146" s="15" t="s">
        <v>19169</v>
      </c>
      <c r="D18146" s="15" t="s">
        <v>19180</v>
      </c>
      <c r="E18146" s="2">
        <v>2186313</v>
      </c>
      <c r="F18146" s="4" t="str">
        <f>IF(B18146=B18145,"",B18146)</f>
        <v>Napier</v>
      </c>
    </row>
    <row r="18147" spans="1:6" ht="15.75" customHeight="1">
      <c r="A18147" s="8" t="str">
        <f ca="1">IFERROR(__xludf.DUMMYFUNCTION("GOOGLETRANSLATE(B38228,""en"",""pt"")"),"Napier")</f>
        <v>Napier</v>
      </c>
      <c r="B18147" s="11" t="s">
        <v>19192</v>
      </c>
      <c r="C18147" s="11" t="s">
        <v>19169</v>
      </c>
      <c r="D18147" s="11" t="s">
        <v>19180</v>
      </c>
      <c r="E18147" s="10">
        <v>2186313</v>
      </c>
      <c r="F18147" s="4" t="str">
        <f>IF(B18147=B18146,"",B18147)</f>
        <v/>
      </c>
    </row>
    <row r="18148" spans="1:6" ht="15.75" customHeight="1">
      <c r="A18148" s="16" t="s">
        <v>29387</v>
      </c>
      <c r="B18148" s="15" t="s">
        <v>29387</v>
      </c>
      <c r="C18148" s="16" t="s">
        <v>27788</v>
      </c>
      <c r="D18148" s="16" t="s">
        <v>27799</v>
      </c>
      <c r="E18148" s="2">
        <v>4903279</v>
      </c>
      <c r="F18148" s="4" t="str">
        <f>IF(B18148=B18147,"",B18148)</f>
        <v>Naperville</v>
      </c>
    </row>
    <row r="18149" spans="1:6" ht="15.75" customHeight="1">
      <c r="A18149" s="8" t="str">
        <f ca="1">IFERROR(__xludf.DUMMYFUNCTION("GOOGLETRANSLATE(B43852,""en"",""pt"")"),"Naperville")</f>
        <v>Naperville</v>
      </c>
      <c r="B18149" s="11" t="s">
        <v>29387</v>
      </c>
      <c r="C18149" s="11" t="s">
        <v>27788</v>
      </c>
      <c r="D18149" s="11" t="s">
        <v>27799</v>
      </c>
      <c r="E18149" s="10">
        <v>4903279</v>
      </c>
      <c r="F18149" s="4" t="str">
        <f>IF(B18149=B18148,"",B18149)</f>
        <v/>
      </c>
    </row>
    <row r="18150" spans="1:6" ht="15.75" customHeight="1">
      <c r="A18150" s="8" t="str">
        <f ca="1">IFERROR(__xludf.DUMMYFUNCTION("GOOGLETRANSLATE(B32659,""en"",""pt"")"),"Napāsar")</f>
        <v>Napāsar</v>
      </c>
      <c r="B18150" s="11" t="s">
        <v>33322</v>
      </c>
      <c r="C18150" s="11" t="s">
        <v>10178</v>
      </c>
      <c r="D18150" s="11" t="s">
        <v>10179</v>
      </c>
      <c r="E18150" s="10">
        <v>1261882</v>
      </c>
      <c r="F18150" s="4" t="str">
        <f>IF(B18150=B18149,"",B18150)</f>
        <v>Napāsar</v>
      </c>
    </row>
    <row r="18151" spans="1:6" ht="15.75" customHeight="1">
      <c r="A18151" s="15" t="s">
        <v>12598</v>
      </c>
      <c r="B18151" s="15" t="s">
        <v>12599</v>
      </c>
      <c r="C18151" s="15" t="s">
        <v>10178</v>
      </c>
      <c r="D18151" s="15" t="s">
        <v>10179</v>
      </c>
      <c r="E18151" s="2">
        <v>1261882</v>
      </c>
      <c r="F18151" s="4" t="str">
        <f>IF(B18151=B18150,"",B18151)</f>
        <v>NapÄsar</v>
      </c>
    </row>
    <row r="18152" spans="1:6" ht="15.75" customHeight="1">
      <c r="A18152" s="15" t="s">
        <v>29386</v>
      </c>
      <c r="B18152" s="15" t="s">
        <v>29386</v>
      </c>
      <c r="C18152" s="15" t="s">
        <v>27788</v>
      </c>
      <c r="D18152" s="15" t="s">
        <v>27801</v>
      </c>
      <c r="E18152" s="2">
        <v>5376095</v>
      </c>
      <c r="F18152" s="4" t="str">
        <f>IF(B18152=B18151,"",B18152)</f>
        <v>Napa</v>
      </c>
    </row>
    <row r="18153" spans="1:6" ht="15.75" customHeight="1">
      <c r="A18153" s="8" t="str">
        <f ca="1">IFERROR(__xludf.DUMMYFUNCTION("GOOGLETRANSLATE(B44922,""en"",""pt"")"),"Napa")</f>
        <v>Napa</v>
      </c>
      <c r="B18153" s="11" t="s">
        <v>29386</v>
      </c>
      <c r="C18153" s="11" t="s">
        <v>27788</v>
      </c>
      <c r="D18153" s="11" t="s">
        <v>27801</v>
      </c>
      <c r="E18153" s="10">
        <v>5376095</v>
      </c>
      <c r="F18153" s="4" t="str">
        <f>IF(B18153=B18152,"",B18153)</f>
        <v/>
      </c>
    </row>
    <row r="18154" spans="1:6" ht="15.75" customHeight="1">
      <c r="A18154" s="8" t="str">
        <f ca="1">IFERROR(__xludf.DUMMYFUNCTION("GOOGLETRANSLATE(B31041,""en"",""pt"")"),"Náousa")</f>
        <v>Náousa</v>
      </c>
      <c r="B18154" s="9" t="s">
        <v>32747</v>
      </c>
      <c r="C18154" s="9" t="s">
        <v>9441</v>
      </c>
      <c r="D18154" s="9" t="s">
        <v>9442</v>
      </c>
      <c r="E18154" s="10">
        <v>735030</v>
      </c>
      <c r="F18154" s="4" t="str">
        <f>IF(B18154=B18153,"",B18154)</f>
        <v>Náousa</v>
      </c>
    </row>
    <row r="18155" spans="1:6" ht="15.75" customHeight="1">
      <c r="A18155" s="15" t="s">
        <v>4977</v>
      </c>
      <c r="B18155" s="15" t="s">
        <v>4977</v>
      </c>
      <c r="C18155" s="15" t="s">
        <v>4487</v>
      </c>
      <c r="D18155" s="15" t="s">
        <v>4495</v>
      </c>
      <c r="E18155" s="2">
        <v>1799552</v>
      </c>
      <c r="F18155" s="4" t="str">
        <f>IF(B18155=B18154,"",B18155)</f>
        <v>Nanzhou</v>
      </c>
    </row>
    <row r="18156" spans="1:6" ht="15.75" customHeight="1">
      <c r="A18156" s="8" t="str">
        <f ca="1">IFERROR(__xludf.DUMMYFUNCTION("GOOGLETRANSLATE(B26334,""en"",""pt"")"),"Nanzhou")</f>
        <v>Nanzhou</v>
      </c>
      <c r="B18156" s="9" t="s">
        <v>4977</v>
      </c>
      <c r="C18156" s="9" t="s">
        <v>4487</v>
      </c>
      <c r="D18156" s="9" t="s">
        <v>4495</v>
      </c>
      <c r="E18156" s="10">
        <v>1799552</v>
      </c>
      <c r="F18156" s="4" t="str">
        <f>IF(B18156=B18155,"",B18156)</f>
        <v/>
      </c>
    </row>
    <row r="18157" spans="1:6" ht="15.75" customHeight="1">
      <c r="A18157" s="16" t="s">
        <v>4976</v>
      </c>
      <c r="B18157" s="15" t="s">
        <v>4976</v>
      </c>
      <c r="C18157" s="16" t="s">
        <v>4487</v>
      </c>
      <c r="D18157" s="16" t="s">
        <v>4499</v>
      </c>
      <c r="E18157" s="2">
        <v>1799574</v>
      </c>
      <c r="F18157" s="4" t="str">
        <f>IF(B18157=B18156,"",B18157)</f>
        <v>Nanzhang Chengguanzhen</v>
      </c>
    </row>
    <row r="18158" spans="1:6" ht="15.75" customHeight="1">
      <c r="A18158" s="8" t="str">
        <f ca="1">IFERROR(__xludf.DUMMYFUNCTION("GOOGLETRANSLATE(B26335,""en"",""pt"")"),"Nanzhang Chengguanzhen")</f>
        <v>Nanzhang Chengguanzhen</v>
      </c>
      <c r="B18158" s="9" t="s">
        <v>4976</v>
      </c>
      <c r="C18158" s="9" t="s">
        <v>4487</v>
      </c>
      <c r="D18158" s="9" t="s">
        <v>4499</v>
      </c>
      <c r="E18158" s="10">
        <v>1799574</v>
      </c>
      <c r="F18158" s="4" t="str">
        <f>IF(B18158=B18157,"",B18158)</f>
        <v/>
      </c>
    </row>
    <row r="18159" spans="1:6" ht="15.75" customHeight="1">
      <c r="A18159" s="15" t="s">
        <v>16832</v>
      </c>
      <c r="B18159" s="15" t="s">
        <v>16832</v>
      </c>
      <c r="C18159" s="15" t="s">
        <v>16781</v>
      </c>
      <c r="D18159" s="15" t="s">
        <v>16833</v>
      </c>
      <c r="E18159" s="2">
        <v>184433</v>
      </c>
      <c r="F18159" s="4" t="str">
        <f>IF(B18159=B18158,"",B18159)</f>
        <v>Nanyuki</v>
      </c>
    </row>
    <row r="18160" spans="1:6" ht="15.75" customHeight="1">
      <c r="A18160" s="8" t="str">
        <f ca="1">IFERROR(__xludf.DUMMYFUNCTION("GOOGLETRANSLATE(B35893,""en"",""pt"")"),"Nanyuki")</f>
        <v>Nanyuki</v>
      </c>
      <c r="B18160" s="11" t="s">
        <v>16832</v>
      </c>
      <c r="C18160" s="11" t="s">
        <v>16781</v>
      </c>
      <c r="D18160" s="11" t="s">
        <v>16833</v>
      </c>
      <c r="E18160" s="10">
        <v>184433</v>
      </c>
      <c r="F18160" s="4" t="str">
        <f>IF(B18160=B18159,"",B18160)</f>
        <v/>
      </c>
    </row>
    <row r="18161" spans="1:6" ht="15.75" customHeight="1">
      <c r="A18161" s="15" t="s">
        <v>4975</v>
      </c>
      <c r="B18161" s="15" t="s">
        <v>4975</v>
      </c>
      <c r="C18161" s="15" t="s">
        <v>4487</v>
      </c>
      <c r="D18161" s="15" t="s">
        <v>4511</v>
      </c>
      <c r="E18161" s="2">
        <v>1799629</v>
      </c>
      <c r="F18161" s="4" t="str">
        <f>IF(B18161=B18160,"",B18161)</f>
        <v>Nanyang</v>
      </c>
    </row>
    <row r="18162" spans="1:6" ht="15.75" customHeight="1">
      <c r="A18162" s="8" t="str">
        <f ca="1">IFERROR(__xludf.DUMMYFUNCTION("GOOGLETRANSLATE(B26336,""en"",""pt"")"),"Nanyang")</f>
        <v>Nanyang</v>
      </c>
      <c r="B18162" s="9" t="s">
        <v>4975</v>
      </c>
      <c r="C18162" s="9" t="s">
        <v>4487</v>
      </c>
      <c r="D18162" s="9" t="s">
        <v>4511</v>
      </c>
      <c r="E18162" s="10">
        <v>1799629</v>
      </c>
      <c r="F18162" s="4" t="str">
        <f>IF(B18162=B18161,"",B18162)</f>
        <v/>
      </c>
    </row>
    <row r="18163" spans="1:6" ht="15.75" customHeight="1">
      <c r="A18163" s="16" t="s">
        <v>25719</v>
      </c>
      <c r="B18163" s="15" t="s">
        <v>25719</v>
      </c>
      <c r="C18163" s="16" t="s">
        <v>25560</v>
      </c>
      <c r="D18163" s="16" t="s">
        <v>25648</v>
      </c>
      <c r="E18163" s="2">
        <v>877581</v>
      </c>
      <c r="F18163" s="4" t="str">
        <f>IF(B18163=B18162,"",B18163)</f>
        <v>Nanyamba</v>
      </c>
    </row>
    <row r="18164" spans="1:6" ht="15.75" customHeight="1">
      <c r="A18164" s="8" t="str">
        <f ca="1">IFERROR(__xludf.DUMMYFUNCTION("GOOGLETRANSLATE(B42451,""en"",""pt"")"),"Nanyamba")</f>
        <v>Nanyamba</v>
      </c>
      <c r="B18164" s="9" t="s">
        <v>25719</v>
      </c>
      <c r="C18164" s="9" t="s">
        <v>25560</v>
      </c>
      <c r="D18164" s="9" t="s">
        <v>25648</v>
      </c>
      <c r="E18164" s="10">
        <v>877581</v>
      </c>
      <c r="F18164" s="4" t="str">
        <f>IF(B18164=B18163,"",B18164)</f>
        <v/>
      </c>
    </row>
    <row r="18165" spans="1:6" ht="15.75" customHeight="1">
      <c r="A18165" s="15" t="s">
        <v>2939</v>
      </c>
      <c r="B18165" s="15" t="s">
        <v>2939</v>
      </c>
      <c r="C18165" s="15" t="s">
        <v>1905</v>
      </c>
      <c r="D18165" s="15" t="s">
        <v>1917</v>
      </c>
      <c r="E18165" s="2">
        <v>3456398</v>
      </c>
      <c r="F18165" s="4" t="str">
        <f>IF(B18165=B18164,"",B18165)</f>
        <v>Nanuque</v>
      </c>
    </row>
    <row r="18166" spans="1:6" ht="15.75" customHeight="1">
      <c r="A18166" s="8" t="str">
        <f ca="1">IFERROR(__xludf.DUMMYFUNCTION("GOOGLETRANSLATE(B24792,""en"",""pt"")"),"Nanuque")</f>
        <v>Nanuque</v>
      </c>
      <c r="B18166" s="9" t="s">
        <v>2939</v>
      </c>
      <c r="C18166" s="9" t="s">
        <v>1905</v>
      </c>
      <c r="D18166" s="9" t="s">
        <v>1917</v>
      </c>
      <c r="E18166" s="10">
        <v>3456398</v>
      </c>
      <c r="F18166" s="4" t="str">
        <f>IF(B18166=B18165,"",B18166)</f>
        <v/>
      </c>
    </row>
    <row r="18167" spans="1:6" ht="15.75" customHeight="1">
      <c r="A18167" s="15" t="s">
        <v>29385</v>
      </c>
      <c r="B18167" s="15" t="s">
        <v>29385</v>
      </c>
      <c r="C18167" s="15" t="s">
        <v>27788</v>
      </c>
      <c r="D18167" s="15" t="s">
        <v>27819</v>
      </c>
      <c r="E18167" s="2">
        <v>5128266</v>
      </c>
      <c r="F18167" s="4" t="str">
        <f>IF(B18167=B18166,"",B18167)</f>
        <v>Nanuet</v>
      </c>
    </row>
    <row r="18168" spans="1:6" ht="15.75" customHeight="1">
      <c r="A18168" s="8" t="str">
        <f ca="1">IFERROR(__xludf.DUMMYFUNCTION("GOOGLETRANSLATE(B44415,""en"",""pt"")"),"Nanuet")</f>
        <v>Nanuet</v>
      </c>
      <c r="B18168" s="9" t="s">
        <v>29385</v>
      </c>
      <c r="C18168" s="9" t="s">
        <v>27788</v>
      </c>
      <c r="D18168" s="9" t="s">
        <v>27819</v>
      </c>
      <c r="E18168" s="10">
        <v>5128266</v>
      </c>
      <c r="F18168" s="4" t="str">
        <f>IF(B18168=B18167,"",B18168)</f>
        <v/>
      </c>
    </row>
    <row r="18169" spans="1:6" ht="15.75" customHeight="1">
      <c r="A18169" s="15" t="s">
        <v>25514</v>
      </c>
      <c r="B18169" s="15" t="s">
        <v>25514</v>
      </c>
      <c r="C18169" s="15" t="s">
        <v>25502</v>
      </c>
      <c r="D18169" s="15" t="s">
        <v>25502</v>
      </c>
      <c r="E18169" s="2">
        <v>1671566</v>
      </c>
      <c r="F18169" s="4" t="str">
        <f>IF(B18169=B18168,"",B18169)</f>
        <v>Nantou</v>
      </c>
    </row>
    <row r="18170" spans="1:6" ht="15.75" customHeight="1">
      <c r="A18170" s="8" t="str">
        <f ca="1">IFERROR(__xludf.DUMMYFUNCTION("GOOGLETRANSLATE(B42268,""en"",""pt"")"),"Nantou")</f>
        <v>Nantou</v>
      </c>
      <c r="B18170" s="9" t="s">
        <v>25514</v>
      </c>
      <c r="C18170" s="9" t="s">
        <v>25502</v>
      </c>
      <c r="D18170" s="9" t="s">
        <v>25502</v>
      </c>
      <c r="E18170" s="10">
        <v>1671566</v>
      </c>
      <c r="F18170" s="4" t="str">
        <f>IF(B18170=B18169,"",B18170)</f>
        <v/>
      </c>
    </row>
    <row r="18171" spans="1:6" ht="15.75" customHeight="1">
      <c r="A18171" s="15" t="s">
        <v>16288</v>
      </c>
      <c r="B18171" s="15" t="s">
        <v>16288</v>
      </c>
      <c r="C18171" s="15" t="s">
        <v>15704</v>
      </c>
      <c r="D18171" s="15" t="s">
        <v>15881</v>
      </c>
      <c r="E18171" s="2">
        <v>6694821</v>
      </c>
      <c r="F18171" s="4" t="str">
        <f>IF(B18171=B18170,"",B18171)</f>
        <v>Nanto-shi</v>
      </c>
    </row>
    <row r="18172" spans="1:6" ht="15.75" customHeight="1">
      <c r="A18172" s="8" t="str">
        <f ca="1">IFERROR(__xludf.DUMMYFUNCTION("GOOGLETRANSLATE(B35868,""en"",""pt"")"),"Nanto-shi")</f>
        <v>Nanto-shi</v>
      </c>
      <c r="B18172" s="9" t="s">
        <v>16288</v>
      </c>
      <c r="C18172" s="9" t="s">
        <v>15704</v>
      </c>
      <c r="D18172" s="9" t="s">
        <v>15881</v>
      </c>
      <c r="E18172" s="10">
        <v>6694821</v>
      </c>
      <c r="F18172" s="4" t="str">
        <f>IF(B18172=B18171,"",B18172)</f>
        <v/>
      </c>
    </row>
    <row r="18173" spans="1:6" ht="15.75" customHeight="1">
      <c r="A18173" s="16" t="s">
        <v>4973</v>
      </c>
      <c r="B18173" s="15" t="s">
        <v>4974</v>
      </c>
      <c r="C18173" s="16" t="s">
        <v>4487</v>
      </c>
      <c r="D18173" s="16" t="s">
        <v>4535</v>
      </c>
      <c r="E18173" s="2">
        <v>1799722</v>
      </c>
      <c r="F18173" s="4" t="str">
        <f>IF(B18173=B18172,"",B18173)</f>
        <v>Nantong</v>
      </c>
    </row>
    <row r="18174" spans="1:6" ht="15.75" customHeight="1">
      <c r="A18174" s="8" t="str">
        <f ca="1">IFERROR(__xludf.DUMMYFUNCTION("GOOGLETRANSLATE(B26337,""en"",""pt"")"),"NANTONG")</f>
        <v>NANTONG</v>
      </c>
      <c r="B18174" s="11" t="s">
        <v>4974</v>
      </c>
      <c r="C18174" s="11" t="s">
        <v>4487</v>
      </c>
      <c r="D18174" s="11" t="s">
        <v>4535</v>
      </c>
      <c r="E18174" s="10">
        <v>1799722</v>
      </c>
      <c r="F18174" s="4" t="str">
        <f>IF(B18174=B18173,"",B18174)</f>
        <v/>
      </c>
    </row>
    <row r="18175" spans="1:6" ht="15.75" customHeight="1">
      <c r="A18175" s="15" t="s">
        <v>7634</v>
      </c>
      <c r="B18175" s="15" t="s">
        <v>7634</v>
      </c>
      <c r="C18175" s="15" t="s">
        <v>7052</v>
      </c>
      <c r="D18175" s="15" t="s">
        <v>7102</v>
      </c>
      <c r="E18175" s="2">
        <v>2990969</v>
      </c>
      <c r="F18175" s="4" t="str">
        <f>IF(B18175=B18174,"",B18175)</f>
        <v>Nantes</v>
      </c>
    </row>
    <row r="18176" spans="1:6" ht="15.75" customHeight="1">
      <c r="A18176" s="8" t="str">
        <f ca="1">IFERROR(__xludf.DUMMYFUNCTION("GOOGLETRANSLATE(B29887,""en"",""pt"")"),"Nantes")</f>
        <v>Nantes</v>
      </c>
      <c r="B18176" s="11" t="s">
        <v>7634</v>
      </c>
      <c r="C18176" s="11" t="s">
        <v>7052</v>
      </c>
      <c r="D18176" s="11" t="s">
        <v>7102</v>
      </c>
      <c r="E18176" s="10">
        <v>2990969</v>
      </c>
      <c r="F18176" s="4" t="str">
        <f>IF(B18176=B18175,"",B18176)</f>
        <v/>
      </c>
    </row>
    <row r="18177" spans="1:6" ht="15.75" customHeight="1">
      <c r="A18177" s="15" t="s">
        <v>7632</v>
      </c>
      <c r="B18177" s="15" t="s">
        <v>7633</v>
      </c>
      <c r="C18177" s="15" t="s">
        <v>7052</v>
      </c>
      <c r="D18177" s="15" t="s">
        <v>7058</v>
      </c>
      <c r="E18177" s="2">
        <v>2990970</v>
      </c>
      <c r="F18177" s="4" t="str">
        <f>IF(B18177=B18176,"",B18177)</f>
        <v>Nanterre</v>
      </c>
    </row>
    <row r="18178" spans="1:6" ht="15.75" customHeight="1">
      <c r="A18178" s="8" t="str">
        <f ca="1">IFERROR(__xludf.DUMMYFUNCTION("GOOGLETRANSLATE(B29888,""en"",""pt"")"),"Nantere")</f>
        <v>Nantere</v>
      </c>
      <c r="B18178" s="11" t="s">
        <v>7633</v>
      </c>
      <c r="C18178" s="11" t="s">
        <v>7052</v>
      </c>
      <c r="D18178" s="11" t="s">
        <v>32531</v>
      </c>
      <c r="E18178" s="10">
        <v>2990970</v>
      </c>
      <c r="F18178" s="4" t="str">
        <f>IF(B18178=B18177,"",B18178)</f>
        <v/>
      </c>
    </row>
    <row r="18179" spans="1:6" ht="15.75" customHeight="1">
      <c r="A18179" s="15" t="s">
        <v>4972</v>
      </c>
      <c r="B18179" s="15" t="s">
        <v>4972</v>
      </c>
      <c r="C18179" s="15" t="s">
        <v>4487</v>
      </c>
      <c r="D18179" s="15" t="s">
        <v>4505</v>
      </c>
      <c r="E18179" s="2">
        <v>2035635</v>
      </c>
      <c r="F18179" s="4" t="str">
        <f>IF(B18179=B18178,"",B18179)</f>
        <v>Nantai</v>
      </c>
    </row>
    <row r="18180" spans="1:6" ht="15.75" customHeight="1">
      <c r="A18180" s="8" t="str">
        <f ca="1">IFERROR(__xludf.DUMMYFUNCTION("GOOGLETRANSLATE(B26712,""en"",""pt"")"),"Nantai")</f>
        <v>Nantai</v>
      </c>
      <c r="B18180" s="11" t="s">
        <v>4972</v>
      </c>
      <c r="C18180" s="11" t="s">
        <v>4487</v>
      </c>
      <c r="D18180" s="11" t="s">
        <v>4505</v>
      </c>
      <c r="E18180" s="10">
        <v>2035635</v>
      </c>
      <c r="F18180" s="4" t="str">
        <f>IF(B18180=B18179,"",B18180)</f>
        <v/>
      </c>
    </row>
    <row r="18181" spans="1:6" ht="15.75" customHeight="1">
      <c r="A18181" s="15" t="s">
        <v>4971</v>
      </c>
      <c r="B18181" s="15" t="s">
        <v>4971</v>
      </c>
      <c r="C18181" s="15" t="s">
        <v>4487</v>
      </c>
      <c r="D18181" s="15" t="s">
        <v>4591</v>
      </c>
      <c r="E18181" s="2">
        <v>1799846</v>
      </c>
      <c r="F18181" s="4" t="str">
        <f>IF(B18181=B18180,"",B18181)</f>
        <v>Nanping</v>
      </c>
    </row>
    <row r="18182" spans="1:6" ht="15.75" customHeight="1">
      <c r="A18182" s="8" t="str">
        <f ca="1">IFERROR(__xludf.DUMMYFUNCTION("GOOGLETRANSLATE(B26339,""en"",""pt"")"),"Nanping")</f>
        <v>Nanping</v>
      </c>
      <c r="B18182" s="11" t="s">
        <v>4971</v>
      </c>
      <c r="C18182" s="11" t="s">
        <v>4487</v>
      </c>
      <c r="D18182" s="11" t="s">
        <v>4591</v>
      </c>
      <c r="E18182" s="10">
        <v>1799846</v>
      </c>
      <c r="F18182" s="4" t="str">
        <f>IF(B18182=B18181,"",B18182)</f>
        <v/>
      </c>
    </row>
    <row r="18183" spans="1:6" ht="15.75" customHeight="1">
      <c r="A18183" s="15" t="s">
        <v>4970</v>
      </c>
      <c r="B18183" s="15" t="s">
        <v>4970</v>
      </c>
      <c r="C18183" s="15" t="s">
        <v>4487</v>
      </c>
      <c r="D18183" s="15" t="s">
        <v>4505</v>
      </c>
      <c r="E18183" s="2">
        <v>2035644</v>
      </c>
      <c r="F18183" s="4" t="str">
        <f>IF(B18183=B18182,"",B18183)</f>
        <v>Nanpiao</v>
      </c>
    </row>
    <row r="18184" spans="1:6" ht="15.75" customHeight="1">
      <c r="A18184" s="8" t="str">
        <f ca="1">IFERROR(__xludf.DUMMYFUNCTION("GOOGLETRANSLATE(B26713,""en"",""pt"")"),"Nanpiao")</f>
        <v>Nanpiao</v>
      </c>
      <c r="B18184" s="11" t="s">
        <v>4970</v>
      </c>
      <c r="C18184" s="11" t="s">
        <v>4487</v>
      </c>
      <c r="D18184" s="11" t="s">
        <v>4505</v>
      </c>
      <c r="E18184" s="10">
        <v>2035644</v>
      </c>
      <c r="F18184" s="4" t="str">
        <f>IF(B18184=B18183,"",B18184)</f>
        <v/>
      </c>
    </row>
    <row r="18185" spans="1:6" ht="15.75" customHeight="1">
      <c r="A18185" s="8" t="str">
        <f ca="1">IFERROR(__xludf.DUMMYFUNCTION("GOOGLETRANSLATE(B32660,""en"",""pt"")"),"Nānpāra")</f>
        <v>Nānpāra</v>
      </c>
      <c r="B18185" s="9" t="s">
        <v>33323</v>
      </c>
      <c r="C18185" s="9" t="s">
        <v>10178</v>
      </c>
      <c r="D18185" s="9" t="s">
        <v>10193</v>
      </c>
      <c r="E18185" s="10">
        <v>1261901</v>
      </c>
      <c r="F18185" s="4" t="str">
        <f>IF(B18185=B18184,"",B18185)</f>
        <v>Nānpāra</v>
      </c>
    </row>
    <row r="18186" spans="1:6" ht="15.75" customHeight="1">
      <c r="A18186" s="15" t="s">
        <v>4969</v>
      </c>
      <c r="B18186" s="15" t="s">
        <v>4969</v>
      </c>
      <c r="C18186" s="15" t="s">
        <v>4487</v>
      </c>
      <c r="D18186" s="15" t="s">
        <v>4516</v>
      </c>
      <c r="E18186" s="2">
        <v>1799869</v>
      </c>
      <c r="F18186" s="4" t="str">
        <f>IF(B18186=B18185,"",B18186)</f>
        <v>Nanning</v>
      </c>
    </row>
    <row r="18187" spans="1:6" ht="15.75" customHeight="1">
      <c r="A18187" s="8" t="str">
        <f ca="1">IFERROR(__xludf.DUMMYFUNCTION("GOOGLETRANSLATE(B26340,""en"",""pt"")"),"Nanning")</f>
        <v>Nanning</v>
      </c>
      <c r="B18187" s="11" t="s">
        <v>4969</v>
      </c>
      <c r="C18187" s="11" t="s">
        <v>4487</v>
      </c>
      <c r="D18187" s="11" t="s">
        <v>4516</v>
      </c>
      <c r="E18187" s="10">
        <v>1799869</v>
      </c>
      <c r="F18187" s="4" t="str">
        <f>IF(B18187=B18186,"",B18187)</f>
        <v/>
      </c>
    </row>
    <row r="18188" spans="1:6" ht="15.75" customHeight="1">
      <c r="A18188" s="15" t="s">
        <v>4968</v>
      </c>
      <c r="B18188" s="15" t="s">
        <v>4968</v>
      </c>
      <c r="C18188" s="15" t="s">
        <v>4487</v>
      </c>
      <c r="D18188" s="15" t="s">
        <v>4503</v>
      </c>
      <c r="E18188" s="2">
        <v>1799897</v>
      </c>
      <c r="F18188" s="4" t="str">
        <f>IF(B18188=B18187,"",B18188)</f>
        <v>Nanma</v>
      </c>
    </row>
    <row r="18189" spans="1:6" ht="15.75" customHeight="1">
      <c r="A18189" s="8" t="str">
        <f ca="1">IFERROR(__xludf.DUMMYFUNCTION("GOOGLETRANSLATE(B26341,""en"",""pt"")"),"Nanma")</f>
        <v>Nanma</v>
      </c>
      <c r="B18189" s="11" t="s">
        <v>4968</v>
      </c>
      <c r="C18189" s="11" t="s">
        <v>4487</v>
      </c>
      <c r="D18189" s="11" t="s">
        <v>4503</v>
      </c>
      <c r="E18189" s="10">
        <v>1799897</v>
      </c>
      <c r="F18189" s="4" t="str">
        <f>IF(B18189=B18188,"",B18189)</f>
        <v/>
      </c>
    </row>
    <row r="18190" spans="1:6" ht="15.75" customHeight="1">
      <c r="A18190" s="15" t="s">
        <v>4967</v>
      </c>
      <c r="B18190" s="15" t="s">
        <v>4967</v>
      </c>
      <c r="C18190" s="15" t="s">
        <v>4487</v>
      </c>
      <c r="D18190" s="15" t="s">
        <v>4588</v>
      </c>
      <c r="E18190" s="2">
        <v>1799908</v>
      </c>
      <c r="F18190" s="4" t="str">
        <f>IF(B18190=B18189,"",B18190)</f>
        <v>Nanlong</v>
      </c>
    </row>
    <row r="18191" spans="1:6" ht="15.75" customHeight="1">
      <c r="A18191" s="8" t="str">
        <f ca="1">IFERROR(__xludf.DUMMYFUNCTION("GOOGLETRANSLATE(B26342,""en"",""pt"")"),"Nanlong")</f>
        <v>Nanlong</v>
      </c>
      <c r="B18191" s="11" t="s">
        <v>4967</v>
      </c>
      <c r="C18191" s="11" t="s">
        <v>4487</v>
      </c>
      <c r="D18191" s="11" t="s">
        <v>4588</v>
      </c>
      <c r="E18191" s="10">
        <v>1799908</v>
      </c>
      <c r="F18191" s="4" t="str">
        <f>IF(B18191=B18190,"",B18191)</f>
        <v/>
      </c>
    </row>
    <row r="18192" spans="1:6" ht="15.75" customHeight="1">
      <c r="A18192" s="8" t="str">
        <f ca="1">IFERROR(__xludf.DUMMYFUNCTION("GOOGLETRANSLATE(B38971,""en"",""pt"")"),"Nankāna Sāhib")</f>
        <v>Nankāna Sāhib</v>
      </c>
      <c r="B18192" s="9" t="s">
        <v>34946</v>
      </c>
      <c r="C18192" s="9" t="s">
        <v>19808</v>
      </c>
      <c r="D18192" s="9" t="s">
        <v>10184</v>
      </c>
      <c r="E18192" s="10">
        <v>1169372</v>
      </c>
      <c r="F18192" s="4" t="str">
        <f>IF(B18192=B18191,"",B18192)</f>
        <v>Nankāna Sāhib</v>
      </c>
    </row>
    <row r="18193" spans="1:6" ht="15.75" customHeight="1">
      <c r="A18193" s="16" t="s">
        <v>20128</v>
      </c>
      <c r="B18193" s="15" t="s">
        <v>20129</v>
      </c>
      <c r="C18193" s="16" t="s">
        <v>19808</v>
      </c>
      <c r="D18193" s="16" t="s">
        <v>10184</v>
      </c>
      <c r="E18193" s="2">
        <v>1169372</v>
      </c>
      <c r="F18193" s="4" t="str">
        <f>IF(B18193=B18192,"",B18193)</f>
        <v>NankÄna SÄhib</v>
      </c>
    </row>
    <row r="18194" spans="1:6" ht="15.75" customHeight="1">
      <c r="A18194" s="15" t="s">
        <v>4966</v>
      </c>
      <c r="B18194" s="15" t="s">
        <v>4966</v>
      </c>
      <c r="C18194" s="15" t="s">
        <v>4487</v>
      </c>
      <c r="D18194" s="15" t="s">
        <v>4535</v>
      </c>
      <c r="E18194" s="2">
        <v>1799962</v>
      </c>
      <c r="F18194" s="4" t="str">
        <f>IF(B18194=B18193,"",B18194)</f>
        <v>Nanjing</v>
      </c>
    </row>
    <row r="18195" spans="1:6" ht="15.75" customHeight="1">
      <c r="A18195" s="8" t="str">
        <f ca="1">IFERROR(__xludf.DUMMYFUNCTION("GOOGLETRANSLATE(B26343,""en"",""pt"")"),"Nanjing")</f>
        <v>Nanjing</v>
      </c>
      <c r="B18195" s="11" t="s">
        <v>4966</v>
      </c>
      <c r="C18195" s="11" t="s">
        <v>4487</v>
      </c>
      <c r="D18195" s="11" t="s">
        <v>4535</v>
      </c>
      <c r="E18195" s="10">
        <v>1799962</v>
      </c>
      <c r="F18195" s="4" t="str">
        <f>IF(B18195=B18194,"",B18195)</f>
        <v/>
      </c>
    </row>
    <row r="18196" spans="1:6" ht="15.75" customHeight="1">
      <c r="A18196" s="8" t="str">
        <f ca="1">IFERROR(__xludf.DUMMYFUNCTION("GOOGLETRANSLATE(B32661,""en"",""pt"")"),"Nanjangūd")</f>
        <v>Nanjangūd</v>
      </c>
      <c r="B18196" s="9" t="s">
        <v>33324</v>
      </c>
      <c r="C18196" s="9" t="s">
        <v>10178</v>
      </c>
      <c r="D18196" s="9" t="s">
        <v>10252</v>
      </c>
      <c r="E18196" s="10">
        <v>1261910</v>
      </c>
      <c r="F18196" s="4" t="str">
        <f>IF(B18196=B18195,"",B18196)</f>
        <v>Nanjangūd</v>
      </c>
    </row>
    <row r="18197" spans="1:6" ht="15.75" customHeight="1">
      <c r="A18197" s="16" t="s">
        <v>12596</v>
      </c>
      <c r="B18197" s="15" t="s">
        <v>12597</v>
      </c>
      <c r="C18197" s="16" t="s">
        <v>10178</v>
      </c>
      <c r="D18197" s="16" t="s">
        <v>10252</v>
      </c>
      <c r="E18197" s="2">
        <v>1261910</v>
      </c>
      <c r="F18197" s="4" t="str">
        <f>IF(B18197=B18196,"",B18197)</f>
        <v>NanjangÅ«d</v>
      </c>
    </row>
    <row r="18198" spans="1:6" ht="15.75" customHeight="1">
      <c r="A18198" s="15" t="s">
        <v>25718</v>
      </c>
      <c r="B18198" s="15" t="s">
        <v>25718</v>
      </c>
      <c r="C18198" s="15" t="s">
        <v>25560</v>
      </c>
      <c r="D18198" s="15" t="s">
        <v>25562</v>
      </c>
      <c r="E18198" s="2">
        <v>151929</v>
      </c>
      <c r="F18198" s="4" t="str">
        <f>IF(B18198=B18197,"",B18198)</f>
        <v>Nangwa</v>
      </c>
    </row>
    <row r="18199" spans="1:6" ht="15.75" customHeight="1">
      <c r="A18199" s="8" t="str">
        <f ca="1">IFERROR(__xludf.DUMMYFUNCTION("GOOGLETRANSLATE(B42325,""en"",""pt"")"),"Nangwa")</f>
        <v>Nangwa</v>
      </c>
      <c r="B18199" s="11" t="s">
        <v>25718</v>
      </c>
      <c r="C18199" s="11" t="s">
        <v>25560</v>
      </c>
      <c r="D18199" s="11" t="s">
        <v>25562</v>
      </c>
      <c r="E18199" s="10">
        <v>151929</v>
      </c>
      <c r="F18199" s="4" t="str">
        <f>IF(B18199=B18198,"",B18199)</f>
        <v/>
      </c>
    </row>
    <row r="18200" spans="1:6" ht="15.75" customHeight="1">
      <c r="A18200" s="15" t="s">
        <v>4965</v>
      </c>
      <c r="B18200" s="15" t="s">
        <v>4965</v>
      </c>
      <c r="C18200" s="15" t="s">
        <v>4487</v>
      </c>
      <c r="D18200" s="15" t="s">
        <v>4529</v>
      </c>
      <c r="E18200" s="2">
        <v>1800065</v>
      </c>
      <c r="F18200" s="4" t="str">
        <f>IF(B18200=B18199,"",B18200)</f>
        <v>Nangong</v>
      </c>
    </row>
    <row r="18201" spans="1:6" ht="15.75" customHeight="1">
      <c r="A18201" s="8" t="str">
        <f ca="1">IFERROR(__xludf.DUMMYFUNCTION("GOOGLETRANSLATE(B26344,""en"",""pt"")"),"Nangong")</f>
        <v>Nangong</v>
      </c>
      <c r="B18201" s="11" t="s">
        <v>4965</v>
      </c>
      <c r="C18201" s="11" t="s">
        <v>4487</v>
      </c>
      <c r="D18201" s="11" t="s">
        <v>4529</v>
      </c>
      <c r="E18201" s="10">
        <v>1800065</v>
      </c>
      <c r="F18201" s="4" t="str">
        <f>IF(B18201=B18200,"",B18201)</f>
        <v/>
      </c>
    </row>
    <row r="18202" spans="1:6" ht="15.75" customHeight="1">
      <c r="A18202" s="16" t="s">
        <v>25717</v>
      </c>
      <c r="B18202" s="15" t="s">
        <v>25717</v>
      </c>
      <c r="C18202" s="16" t="s">
        <v>25560</v>
      </c>
      <c r="D18202" s="16" t="s">
        <v>25648</v>
      </c>
      <c r="E18202" s="2">
        <v>877597</v>
      </c>
      <c r="F18202" s="4" t="str">
        <f>IF(B18202=B18201,"",B18202)</f>
        <v>Nangomba</v>
      </c>
    </row>
    <row r="18203" spans="1:6" ht="15.75" customHeight="1">
      <c r="A18203" s="8" t="str">
        <f ca="1">IFERROR(__xludf.DUMMYFUNCTION("GOOGLETRANSLATE(B42452,""en"",""pt"")"),"Nangomba")</f>
        <v>Nangomba</v>
      </c>
      <c r="B18203" s="11" t="s">
        <v>25717</v>
      </c>
      <c r="C18203" s="11" t="s">
        <v>25560</v>
      </c>
      <c r="D18203" s="11" t="s">
        <v>25648</v>
      </c>
      <c r="E18203" s="10">
        <v>877597</v>
      </c>
      <c r="F18203" s="4" t="str">
        <f>IF(B18203=B18202,"",B18203)</f>
        <v/>
      </c>
    </row>
    <row r="18204" spans="1:6" ht="15.75" customHeight="1">
      <c r="A18204" s="8" t="str">
        <f ca="1">IFERROR(__xludf.DUMMYFUNCTION("GOOGLETRANSLATE(B32662,""en"",""pt"")"),"Nāngloi jāt")</f>
        <v>Nāngloi jāt</v>
      </c>
      <c r="B18204" s="9" t="s">
        <v>33325</v>
      </c>
      <c r="C18204" s="9" t="s">
        <v>10178</v>
      </c>
      <c r="D18204" s="9" t="s">
        <v>10288</v>
      </c>
      <c r="E18204" s="10">
        <v>1261913</v>
      </c>
      <c r="F18204" s="4" t="str">
        <f>IF(B18204=B18203,"",B18204)</f>
        <v>Nāngloi Jāt</v>
      </c>
    </row>
    <row r="18205" spans="1:6" ht="15.75" customHeight="1">
      <c r="A18205" s="15" t="s">
        <v>12595</v>
      </c>
      <c r="B18205" s="15" t="s">
        <v>12595</v>
      </c>
      <c r="C18205" s="15" t="s">
        <v>10178</v>
      </c>
      <c r="D18205" s="15" t="s">
        <v>10201</v>
      </c>
      <c r="E18205" s="2">
        <v>1348818</v>
      </c>
      <c r="F18205" s="4" t="str">
        <f>IF(B18205=B18204,"",B18205)</f>
        <v>Nangi</v>
      </c>
    </row>
    <row r="18206" spans="1:6" ht="15.75" customHeight="1">
      <c r="A18206" s="8" t="str">
        <f ca="1">IFERROR(__xludf.DUMMYFUNCTION("GOOGLETRANSLATE(B34192,""en"",""pt"")"),"Nangi")</f>
        <v>Nangi</v>
      </c>
      <c r="B18206" s="9" t="s">
        <v>12595</v>
      </c>
      <c r="C18206" s="9" t="s">
        <v>10178</v>
      </c>
      <c r="D18206" s="9" t="s">
        <v>10201</v>
      </c>
      <c r="E18206" s="10">
        <v>1348818</v>
      </c>
      <c r="F18206" s="4" t="str">
        <f>IF(B18206=B18205,"",B18206)</f>
        <v/>
      </c>
    </row>
    <row r="18207" spans="1:6" ht="15.75" customHeight="1">
      <c r="A18207" s="15" t="s">
        <v>24125</v>
      </c>
      <c r="B18207" s="15" t="s">
        <v>24125</v>
      </c>
      <c r="C18207" s="15" t="s">
        <v>24024</v>
      </c>
      <c r="D18207" s="15" t="s">
        <v>24042</v>
      </c>
      <c r="E18207" s="2">
        <v>1840379</v>
      </c>
      <c r="F18207" s="4" t="str">
        <f>IF(B18207=B18206,"",B18207)</f>
        <v>Nangen</v>
      </c>
    </row>
    <row r="18208" spans="1:6" ht="15.75" customHeight="1">
      <c r="A18208" s="8" t="str">
        <f ca="1">IFERROR(__xludf.DUMMYFUNCTION("GOOGLETRANSLATE(B36090,""en"",""pt"")"),"Nangen")</f>
        <v>Nangen</v>
      </c>
      <c r="B18208" s="9" t="s">
        <v>24125</v>
      </c>
      <c r="C18208" s="9" t="s">
        <v>24024</v>
      </c>
      <c r="D18208" s="9" t="s">
        <v>24042</v>
      </c>
      <c r="E18208" s="10">
        <v>1840379</v>
      </c>
      <c r="F18208" s="4" t="str">
        <f>IF(B18208=B18207,"",B18208)</f>
        <v/>
      </c>
    </row>
    <row r="18209" spans="1:6" ht="15.75" customHeight="1">
      <c r="A18209" s="16" t="s">
        <v>25716</v>
      </c>
      <c r="B18209" s="15" t="s">
        <v>25716</v>
      </c>
      <c r="C18209" s="16" t="s">
        <v>25560</v>
      </c>
      <c r="D18209" s="16" t="s">
        <v>25648</v>
      </c>
      <c r="E18209" s="2">
        <v>877605</v>
      </c>
      <c r="F18209" s="4" t="str">
        <f>IF(B18209=B18208,"",B18209)</f>
        <v>Nanganga</v>
      </c>
    </row>
    <row r="18210" spans="1:6" ht="15.75" customHeight="1">
      <c r="A18210" s="8" t="str">
        <f ca="1">IFERROR(__xludf.DUMMYFUNCTION("GOOGLETRANSLATE(B42453,""en"",""pt"")"),"Nanganga")</f>
        <v>Nanganga</v>
      </c>
      <c r="B18210" s="11" t="s">
        <v>25716</v>
      </c>
      <c r="C18210" s="11" t="s">
        <v>25560</v>
      </c>
      <c r="D18210" s="11" t="s">
        <v>25648</v>
      </c>
      <c r="E18210" s="10">
        <v>877605</v>
      </c>
      <c r="F18210" s="4" t="str">
        <f>IF(B18210=B18209,"",B18210)</f>
        <v/>
      </c>
    </row>
    <row r="18211" spans="1:6" ht="15.75" customHeight="1">
      <c r="A18211" s="16" t="s">
        <v>4964</v>
      </c>
      <c r="B18211" s="15" t="s">
        <v>4964</v>
      </c>
      <c r="C18211" s="16" t="s">
        <v>4487</v>
      </c>
      <c r="D18211" s="16" t="s">
        <v>4511</v>
      </c>
      <c r="E18211" s="2">
        <v>1788572</v>
      </c>
      <c r="F18211" s="4" t="str">
        <f>IF(B18211=B18210,"",B18211)</f>
        <v>Nangandao</v>
      </c>
    </row>
    <row r="18212" spans="1:6" ht="15.75" customHeight="1">
      <c r="A18212" s="8" t="str">
        <f ca="1">IFERROR(__xludf.DUMMYFUNCTION("GOOGLETRANSLATE(B26165,""en"",""pt"")"),"Nangandao")</f>
        <v>Nangandao</v>
      </c>
      <c r="B18212" s="11" t="s">
        <v>4964</v>
      </c>
      <c r="C18212" s="11" t="s">
        <v>4487</v>
      </c>
      <c r="D18212" s="11" t="s">
        <v>4511</v>
      </c>
      <c r="E18212" s="10">
        <v>1788572</v>
      </c>
      <c r="F18212" s="4" t="str">
        <f>IF(B18212=B18211,"",B18212)</f>
        <v/>
      </c>
    </row>
    <row r="18213" spans="1:6" ht="15.75" customHeight="1">
      <c r="A18213" s="8" t="str">
        <f ca="1">IFERROR(__xludf.DUMMYFUNCTION("GOOGLETRANSLATE(B32663,""en"",""pt"")"),"Township de Nāngal")</f>
        <v>Township de Nāngal</v>
      </c>
      <c r="B18213" s="11" t="s">
        <v>33326</v>
      </c>
      <c r="C18213" s="11" t="s">
        <v>10178</v>
      </c>
      <c r="D18213" s="11" t="s">
        <v>10184</v>
      </c>
      <c r="E18213" s="10">
        <v>1261922</v>
      </c>
      <c r="F18213" s="4" t="str">
        <f>IF(B18213=B18212,"",B18213)</f>
        <v>Nāngal Township</v>
      </c>
    </row>
    <row r="18214" spans="1:6" ht="15.75" customHeight="1">
      <c r="A18214" s="16" t="s">
        <v>3955</v>
      </c>
      <c r="B18214" s="15" t="s">
        <v>3955</v>
      </c>
      <c r="C18214" s="16" t="s">
        <v>3884</v>
      </c>
      <c r="D18214" s="16" t="s">
        <v>3813</v>
      </c>
      <c r="E18214" s="2">
        <v>2225457</v>
      </c>
      <c r="F18214" s="4" t="str">
        <f>IF(B18214=B18213,"",B18214)</f>
        <v>Nanga Eboko</v>
      </c>
    </row>
    <row r="18215" spans="1:6" ht="15.75" customHeight="1">
      <c r="A18215" s="8" t="str">
        <f ca="1">IFERROR(__xludf.DUMMYFUNCTION("GOOGLETRANSLATE(B25993,""en"",""pt"")"),"Nanga Eboko")</f>
        <v>Nanga Eboko</v>
      </c>
      <c r="B18215" s="9" t="s">
        <v>3955</v>
      </c>
      <c r="C18215" s="9" t="s">
        <v>3884</v>
      </c>
      <c r="D18215" s="9" t="s">
        <v>3813</v>
      </c>
      <c r="E18215" s="10">
        <v>2225457</v>
      </c>
      <c r="F18215" s="4" t="str">
        <f>IF(B18215=B18214,"",B18215)</f>
        <v/>
      </c>
    </row>
    <row r="18216" spans="1:6" ht="15.75" customHeight="1">
      <c r="A18216" s="16" t="s">
        <v>25941</v>
      </c>
      <c r="B18216" s="15" t="s">
        <v>25941</v>
      </c>
      <c r="C18216" s="16" t="s">
        <v>25771</v>
      </c>
      <c r="D18216" s="16" t="s">
        <v>25853</v>
      </c>
      <c r="E18216" s="2">
        <v>1608424</v>
      </c>
      <c r="F18216" s="4" t="str">
        <f>IF(B18216=B18215,"",B18216)</f>
        <v>Nang Rong</v>
      </c>
    </row>
    <row r="18217" spans="1:6" ht="15.75" customHeight="1">
      <c r="A18217" s="8" t="str">
        <f ca="1">IFERROR(__xludf.DUMMYFUNCTION("GOOGLETRANSLATE(B41652,""en"",""pt"")"),"Nang Rong")</f>
        <v>Nang Rong</v>
      </c>
      <c r="B18217" s="11" t="s">
        <v>25941</v>
      </c>
      <c r="C18217" s="11" t="s">
        <v>25771</v>
      </c>
      <c r="D18217" s="11" t="s">
        <v>25853</v>
      </c>
      <c r="E18217" s="10">
        <v>1608424</v>
      </c>
      <c r="F18217" s="4" t="str">
        <f>IF(B18217=B18216,"",B18217)</f>
        <v/>
      </c>
    </row>
    <row r="18218" spans="1:6" ht="15.75" customHeight="1">
      <c r="A18218" s="15" t="s">
        <v>4963</v>
      </c>
      <c r="B18218" s="15" t="s">
        <v>4963</v>
      </c>
      <c r="C18218" s="15" t="s">
        <v>4487</v>
      </c>
      <c r="D18218" s="15" t="s">
        <v>4492</v>
      </c>
      <c r="E18218" s="2">
        <v>1800088</v>
      </c>
      <c r="F18218" s="4" t="str">
        <f>IF(B18218=B18217,"",B18218)</f>
        <v>Nanfeng</v>
      </c>
    </row>
    <row r="18219" spans="1:6" ht="15.75" customHeight="1">
      <c r="A18219" s="8" t="str">
        <f ca="1">IFERROR(__xludf.DUMMYFUNCTION("GOOGLETRANSLATE(B26345,""en"",""pt"")"),"Nanfeng")</f>
        <v>Nanfeng</v>
      </c>
      <c r="B18219" s="9" t="s">
        <v>4963</v>
      </c>
      <c r="C18219" s="9" t="s">
        <v>4487</v>
      </c>
      <c r="D18219" s="9" t="s">
        <v>4492</v>
      </c>
      <c r="E18219" s="10">
        <v>1800088</v>
      </c>
      <c r="F18219" s="4" t="str">
        <f>IF(B18219=B18218,"",B18219)</f>
        <v/>
      </c>
    </row>
    <row r="18220" spans="1:6" ht="15.75" customHeight="1">
      <c r="A18220" s="8" t="str">
        <f ca="1">IFERROR(__xludf.DUMMYFUNCTION("GOOGLETRANSLATE(B32664,""en"",""pt"")"),"Nandyāl")</f>
        <v>Nandyāl</v>
      </c>
      <c r="B18220" s="11" t="s">
        <v>33327</v>
      </c>
      <c r="C18220" s="11" t="s">
        <v>10178</v>
      </c>
      <c r="D18220" s="11" t="s">
        <v>10190</v>
      </c>
      <c r="E18220" s="10">
        <v>1261927</v>
      </c>
      <c r="F18220" s="4" t="str">
        <f>IF(B18220=B18219,"",B18220)</f>
        <v>Nandyāl</v>
      </c>
    </row>
    <row r="18221" spans="1:6" ht="15.75" customHeight="1">
      <c r="A18221" s="15" t="s">
        <v>12593</v>
      </c>
      <c r="B18221" s="15" t="s">
        <v>12594</v>
      </c>
      <c r="C18221" s="15" t="s">
        <v>10178</v>
      </c>
      <c r="D18221" s="15" t="s">
        <v>10190</v>
      </c>
      <c r="E18221" s="2">
        <v>1261927</v>
      </c>
      <c r="F18221" s="4" t="str">
        <f>IF(B18221=B18220,"",B18221)</f>
        <v>NandyÄl</v>
      </c>
    </row>
    <row r="18222" spans="1:6" ht="15.75" customHeight="1">
      <c r="A18222" s="16" t="s">
        <v>12592</v>
      </c>
      <c r="B18222" s="15" t="s">
        <v>12592</v>
      </c>
      <c r="C18222" s="16" t="s">
        <v>10178</v>
      </c>
      <c r="D18222" s="16" t="s">
        <v>10214</v>
      </c>
      <c r="E18222" s="2">
        <v>1261931</v>
      </c>
      <c r="F18222" s="4" t="str">
        <f>IF(B18222=B18221,"",B18222)</f>
        <v>Nandurbar</v>
      </c>
    </row>
    <row r="18223" spans="1:6" ht="15.75" customHeight="1">
      <c r="A18223" s="8" t="str">
        <f ca="1">IFERROR(__xludf.DUMMYFUNCTION("GOOGLETRANSLATE(B32665,""en"",""pt"")"),"Nandurbar")</f>
        <v>Nandurbar</v>
      </c>
      <c r="B18223" s="11" t="s">
        <v>12592</v>
      </c>
      <c r="C18223" s="11" t="s">
        <v>10178</v>
      </c>
      <c r="D18223" s="11" t="s">
        <v>10214</v>
      </c>
      <c r="E18223" s="10">
        <v>1261931</v>
      </c>
      <c r="F18223" s="4" t="str">
        <f>IF(B18223=B18222,"",B18223)</f>
        <v/>
      </c>
    </row>
    <row r="18224" spans="1:6" ht="15.75" customHeight="1">
      <c r="A18224" s="8" t="str">
        <f ca="1">IFERROR(__xludf.DUMMYFUNCTION("GOOGLETRANSLATE(B32666,""en"",""pt"")"),"Nāndūra Buzurg")</f>
        <v>Nāndūra Buzurg</v>
      </c>
      <c r="B18224" s="9" t="s">
        <v>33328</v>
      </c>
      <c r="C18224" s="9" t="s">
        <v>10178</v>
      </c>
      <c r="D18224" s="9" t="s">
        <v>10214</v>
      </c>
      <c r="E18224" s="10">
        <v>1261932</v>
      </c>
      <c r="F18224" s="4" t="str">
        <f>IF(B18224=B18223,"",B18224)</f>
        <v>Nāndūra Buzurg</v>
      </c>
    </row>
    <row r="18225" spans="1:6" ht="15.75" customHeight="1">
      <c r="A18225" s="15" t="s">
        <v>4962</v>
      </c>
      <c r="B18225" s="15" t="s">
        <v>4962</v>
      </c>
      <c r="C18225" s="15" t="s">
        <v>4487</v>
      </c>
      <c r="D18225" s="15" t="s">
        <v>4516</v>
      </c>
      <c r="E18225" s="2">
        <v>1800101</v>
      </c>
      <c r="F18225" s="4" t="str">
        <f>IF(B18225=B18224,"",B18225)</f>
        <v>Nandu</v>
      </c>
    </row>
    <row r="18226" spans="1:6" ht="15.75" customHeight="1">
      <c r="A18226" s="8" t="str">
        <f ca="1">IFERROR(__xludf.DUMMYFUNCTION("GOOGLETRANSLATE(B26346,""en"",""pt"")"),"Nandu")</f>
        <v>Nandu</v>
      </c>
      <c r="B18226" s="9" t="s">
        <v>4962</v>
      </c>
      <c r="C18226" s="9" t="s">
        <v>4487</v>
      </c>
      <c r="D18226" s="9" t="s">
        <v>4516</v>
      </c>
      <c r="E18226" s="10">
        <v>1800101</v>
      </c>
      <c r="F18226" s="4" t="str">
        <f>IF(B18226=B18225,"",B18226)</f>
        <v/>
      </c>
    </row>
    <row r="18227" spans="1:6" ht="15.75" customHeight="1">
      <c r="A18227" s="16" t="s">
        <v>4960</v>
      </c>
      <c r="B18227" s="15" t="s">
        <v>4961</v>
      </c>
      <c r="C18227" s="16" t="s">
        <v>4487</v>
      </c>
      <c r="D18227" s="16" t="s">
        <v>4503</v>
      </c>
      <c r="E18227" s="2">
        <v>1800107</v>
      </c>
      <c r="F18227" s="4" t="str">
        <f>IF(B18227=B18226,"",B18227)</f>
        <v>Nanding</v>
      </c>
    </row>
    <row r="18228" spans="1:6" ht="15.75" customHeight="1">
      <c r="A18228" s="8" t="str">
        <f ca="1">IFERROR(__xludf.DUMMYFUNCTION("GOOGLETRANSLATE(B26347,""en"",""pt"")"),"NANDING")</f>
        <v>NANDING</v>
      </c>
      <c r="B18228" s="11" t="s">
        <v>4961</v>
      </c>
      <c r="C18228" s="11" t="s">
        <v>4487</v>
      </c>
      <c r="D18228" s="11" t="s">
        <v>4503</v>
      </c>
      <c r="E18228" s="10">
        <v>1800107</v>
      </c>
      <c r="F18228" s="4" t="str">
        <f>IF(B18228=B18227,"",B18228)</f>
        <v/>
      </c>
    </row>
    <row r="18229" spans="1:6" ht="15.75" customHeight="1">
      <c r="A18229" s="8" t="str">
        <f ca="1">IFERROR(__xludf.DUMMYFUNCTION("GOOGLETRANSLATE(B32667,""en"",""pt"")"),"Nandikotkūr")</f>
        <v>Nandikotkūr</v>
      </c>
      <c r="B18229" s="9" t="s">
        <v>33329</v>
      </c>
      <c r="C18229" s="9" t="s">
        <v>10178</v>
      </c>
      <c r="D18229" s="9" t="s">
        <v>10190</v>
      </c>
      <c r="E18229" s="10">
        <v>1261957</v>
      </c>
      <c r="F18229" s="4" t="str">
        <f>IF(B18229=B18228,"",B18229)</f>
        <v>Nandikotkūr</v>
      </c>
    </row>
    <row r="18230" spans="1:6" ht="15.75" customHeight="1">
      <c r="A18230" s="16" t="s">
        <v>12590</v>
      </c>
      <c r="B18230" s="15" t="s">
        <v>12591</v>
      </c>
      <c r="C18230" s="16" t="s">
        <v>10178</v>
      </c>
      <c r="D18230" s="16" t="s">
        <v>10190</v>
      </c>
      <c r="E18230" s="2">
        <v>1261957</v>
      </c>
      <c r="F18230" s="4" t="str">
        <f>IF(B18230=B18229,"",B18230)</f>
        <v>NandikotkÅ«r</v>
      </c>
    </row>
    <row r="18231" spans="1:6" ht="15.75" customHeight="1">
      <c r="A18231" s="8" t="str">
        <f ca="1">IFERROR(__xludf.DUMMYFUNCTION("GOOGLETRANSLATE(B32668,""en"",""pt"")"),"Nandigāma")</f>
        <v>Nandigāma</v>
      </c>
      <c r="B18231" s="11" t="s">
        <v>33330</v>
      </c>
      <c r="C18231" s="11" t="s">
        <v>10178</v>
      </c>
      <c r="D18231" s="11" t="s">
        <v>10190</v>
      </c>
      <c r="E18231" s="10">
        <v>1261960</v>
      </c>
      <c r="F18231" s="4" t="str">
        <f>IF(B18231=B18230,"",B18231)</f>
        <v>Nandigāma</v>
      </c>
    </row>
    <row r="18232" spans="1:6" ht="15.75" customHeight="1">
      <c r="A18232" s="16" t="s">
        <v>12588</v>
      </c>
      <c r="B18232" s="15" t="s">
        <v>12589</v>
      </c>
      <c r="C18232" s="16" t="s">
        <v>10178</v>
      </c>
      <c r="D18232" s="16" t="s">
        <v>10190</v>
      </c>
      <c r="E18232" s="2">
        <v>1261960</v>
      </c>
      <c r="F18232" s="4" t="str">
        <f>IF(B18232=B18231,"",B18232)</f>
        <v>NandigÄma</v>
      </c>
    </row>
    <row r="18233" spans="1:6" ht="15.75" customHeight="1">
      <c r="A18233" s="8" t="str">
        <f ca="1">IFERROR(__xludf.DUMMYFUNCTION("GOOGLETRANSLATE(B32669,""en"",""pt"")"),"Nāndgaon")</f>
        <v>Nāndgaon</v>
      </c>
      <c r="B18233" s="11" t="s">
        <v>33331</v>
      </c>
      <c r="C18233" s="11" t="s">
        <v>10178</v>
      </c>
      <c r="D18233" s="11" t="s">
        <v>10214</v>
      </c>
      <c r="E18233" s="10">
        <v>1261971</v>
      </c>
      <c r="F18233" s="4" t="str">
        <f>IF(B18233=B18232,"",B18233)</f>
        <v>Nāndgaon</v>
      </c>
    </row>
    <row r="18234" spans="1:6" ht="15.75" customHeight="1">
      <c r="A18234" s="15" t="s">
        <v>12587</v>
      </c>
      <c r="B18234" s="15" t="s">
        <v>12587</v>
      </c>
      <c r="C18234" s="15" t="s">
        <v>10178</v>
      </c>
      <c r="D18234" s="15" t="s">
        <v>10214</v>
      </c>
      <c r="E18234" s="2">
        <v>1261977</v>
      </c>
      <c r="F18234" s="4" t="str">
        <f>IF(B18234=B18233,"",B18234)</f>
        <v>Nanded</v>
      </c>
    </row>
    <row r="18235" spans="1:6" ht="15.75" customHeight="1">
      <c r="A18235" s="8" t="str">
        <f ca="1">IFERROR(__xludf.DUMMYFUNCTION("GOOGLETRANSLATE(B32670,""en"",""pt"")"),"Nanded")</f>
        <v>Nanded</v>
      </c>
      <c r="B18235" s="11" t="s">
        <v>12587</v>
      </c>
      <c r="C18235" s="11" t="s">
        <v>10178</v>
      </c>
      <c r="D18235" s="11" t="s">
        <v>10214</v>
      </c>
      <c r="E18235" s="10">
        <v>1261977</v>
      </c>
      <c r="F18235" s="4" t="str">
        <f>IF(B18235=B18234,"",B18235)</f>
        <v/>
      </c>
    </row>
    <row r="18236" spans="1:6" ht="15.75" customHeight="1">
      <c r="A18236" s="16" t="s">
        <v>19243</v>
      </c>
      <c r="B18236" s="15" t="s">
        <v>19243</v>
      </c>
      <c r="C18236" s="16" t="s">
        <v>19217</v>
      </c>
      <c r="D18236" s="16" t="s">
        <v>5484</v>
      </c>
      <c r="E18236" s="2">
        <v>3617513</v>
      </c>
      <c r="F18236" s="4" t="str">
        <f>IF(B18236=B18235,"",B18236)</f>
        <v>Nandaime</v>
      </c>
    </row>
    <row r="18237" spans="1:6" ht="15.75" customHeight="1">
      <c r="A18237" s="8" t="str">
        <f ca="1">IFERROR(__xludf.DUMMYFUNCTION("GOOGLETRANSLATE(B37861,""en"",""pt"")"),"Nandaime")</f>
        <v>Nandaime</v>
      </c>
      <c r="B18237" s="9" t="s">
        <v>19243</v>
      </c>
      <c r="C18237" s="9" t="s">
        <v>19217</v>
      </c>
      <c r="D18237" s="9" t="s">
        <v>5484</v>
      </c>
      <c r="E18237" s="10">
        <v>3617513</v>
      </c>
      <c r="F18237" s="4" t="str">
        <f>IF(B18237=B18236,"",B18237)</f>
        <v/>
      </c>
    </row>
    <row r="18238" spans="1:6" ht="15.75" customHeight="1">
      <c r="A18238" s="15" t="s">
        <v>7631</v>
      </c>
      <c r="B18238" s="15" t="s">
        <v>7631</v>
      </c>
      <c r="C18238" s="15" t="s">
        <v>7052</v>
      </c>
      <c r="D18238" s="15" t="s">
        <v>7061</v>
      </c>
      <c r="E18238" s="2">
        <v>2990999</v>
      </c>
      <c r="F18238" s="4" t="str">
        <f>IF(B18238=B18237,"",B18238)</f>
        <v>Nancy</v>
      </c>
    </row>
    <row r="18239" spans="1:6" ht="15.75" customHeight="1">
      <c r="A18239" s="8" t="str">
        <f ca="1">IFERROR(__xludf.DUMMYFUNCTION("GOOGLETRANSLATE(B29889,""en"",""pt"")"),"Nancy")</f>
        <v>Nancy</v>
      </c>
      <c r="B18239" s="9" t="s">
        <v>7631</v>
      </c>
      <c r="C18239" s="9" t="s">
        <v>7052</v>
      </c>
      <c r="D18239" s="9" t="s">
        <v>7061</v>
      </c>
      <c r="E18239" s="10">
        <v>2990999</v>
      </c>
      <c r="F18239" s="4" t="str">
        <f>IF(B18239=B18238,"",B18239)</f>
        <v/>
      </c>
    </row>
    <row r="18240" spans="1:6" ht="15.75" customHeight="1">
      <c r="A18240" s="16" t="s">
        <v>4959</v>
      </c>
      <c r="B18240" s="15" t="s">
        <v>4959</v>
      </c>
      <c r="C18240" s="16" t="s">
        <v>4487</v>
      </c>
      <c r="D18240" s="16" t="s">
        <v>4588</v>
      </c>
      <c r="E18240" s="2">
        <v>1800146</v>
      </c>
      <c r="F18240" s="4" t="str">
        <f>IF(B18240=B18239,"",B18240)</f>
        <v>Nanchong</v>
      </c>
    </row>
    <row r="18241" spans="1:6" ht="15.75" customHeight="1">
      <c r="A18241" s="8" t="str">
        <f ca="1">IFERROR(__xludf.DUMMYFUNCTION("GOOGLETRANSLATE(B26348,""en"",""pt"")"),"Nanchong")</f>
        <v>Nanchong</v>
      </c>
      <c r="B18241" s="9" t="s">
        <v>4959</v>
      </c>
      <c r="C18241" s="9" t="s">
        <v>4487</v>
      </c>
      <c r="D18241" s="9" t="s">
        <v>4588</v>
      </c>
      <c r="E18241" s="10">
        <v>1800146</v>
      </c>
      <c r="F18241" s="4" t="str">
        <f>IF(B18241=B18240,"",B18241)</f>
        <v/>
      </c>
    </row>
    <row r="18242" spans="1:6" ht="15.75" customHeight="1">
      <c r="A18242" s="16" t="s">
        <v>4958</v>
      </c>
      <c r="B18242" s="15" t="s">
        <v>4958</v>
      </c>
      <c r="C18242" s="16" t="s">
        <v>4487</v>
      </c>
      <c r="D18242" s="16" t="s">
        <v>4569</v>
      </c>
      <c r="E18242" s="2">
        <v>1800163</v>
      </c>
      <c r="F18242" s="4" t="str">
        <f>IF(B18242=B18241,"",B18242)</f>
        <v>Nanchang</v>
      </c>
    </row>
    <row r="18243" spans="1:6" ht="15.75" customHeight="1">
      <c r="A18243" s="8" t="str">
        <f ca="1">IFERROR(__xludf.DUMMYFUNCTION("GOOGLETRANSLATE(B26349,""en"",""pt"")"),"Nanchang")</f>
        <v>Nanchang</v>
      </c>
      <c r="B18243" s="11" t="s">
        <v>4958</v>
      </c>
      <c r="C18243" s="11" t="s">
        <v>4487</v>
      </c>
      <c r="D18243" s="11" t="s">
        <v>4569</v>
      </c>
      <c r="E18243" s="10">
        <v>1800163</v>
      </c>
      <c r="F18243" s="4" t="str">
        <f>IF(B18243=B18242,"",B18243)</f>
        <v/>
      </c>
    </row>
    <row r="18244" spans="1:6" ht="15.75" customHeight="1">
      <c r="A18244" s="15" t="s">
        <v>12586</v>
      </c>
      <c r="B18244" s="15" t="s">
        <v>12586</v>
      </c>
      <c r="C18244" s="15" t="s">
        <v>10178</v>
      </c>
      <c r="D18244" s="15" t="s">
        <v>10193</v>
      </c>
      <c r="E18244" s="2">
        <v>1261998</v>
      </c>
      <c r="F18244" s="4" t="str">
        <f>IF(B18244=B18243,"",B18244)</f>
        <v>Nanauta</v>
      </c>
    </row>
    <row r="18245" spans="1:6" ht="15.75" customHeight="1">
      <c r="A18245" s="8" t="str">
        <f ca="1">IFERROR(__xludf.DUMMYFUNCTION("GOOGLETRANSLATE(B32671,""en"",""pt"")"),"Nanauta")</f>
        <v>Nanauta</v>
      </c>
      <c r="B18245" s="11" t="s">
        <v>12586</v>
      </c>
      <c r="C18245" s="11" t="s">
        <v>10178</v>
      </c>
      <c r="D18245" s="11" t="s">
        <v>10193</v>
      </c>
      <c r="E18245" s="10">
        <v>1261998</v>
      </c>
      <c r="F18245" s="4" t="str">
        <f>IF(B18245=B18244,"",B18245)</f>
        <v/>
      </c>
    </row>
    <row r="18246" spans="1:6" ht="15.75" customHeight="1">
      <c r="A18246" s="15" t="s">
        <v>16287</v>
      </c>
      <c r="B18246" s="15" t="s">
        <v>16287</v>
      </c>
      <c r="C18246" s="15" t="s">
        <v>15704</v>
      </c>
      <c r="D18246" s="15" t="s">
        <v>15928</v>
      </c>
      <c r="E18246" s="2">
        <v>1855670</v>
      </c>
      <c r="F18246" s="4" t="str">
        <f>IF(B18246=B18245,"",B18246)</f>
        <v>Nanao</v>
      </c>
    </row>
    <row r="18247" spans="1:6" ht="15.75" customHeight="1">
      <c r="A18247" s="8" t="str">
        <f ca="1">IFERROR(__xludf.DUMMYFUNCTION("GOOGLETRANSLATE(B35393,""en"",""pt"")"),"Nanao")</f>
        <v>Nanao</v>
      </c>
      <c r="B18247" s="9" t="s">
        <v>16287</v>
      </c>
      <c r="C18247" s="9" t="s">
        <v>15704</v>
      </c>
      <c r="D18247" s="9" t="s">
        <v>15928</v>
      </c>
      <c r="E18247" s="10">
        <v>1855670</v>
      </c>
      <c r="F18247" s="4" t="str">
        <f>IF(B18247=B18246,"",B18247)</f>
        <v/>
      </c>
    </row>
    <row r="18248" spans="1:6" ht="15.75" customHeight="1">
      <c r="A18248" s="15" t="s">
        <v>19658</v>
      </c>
      <c r="B18248" s="15" t="s">
        <v>19658</v>
      </c>
      <c r="C18248" s="15" t="s">
        <v>19589</v>
      </c>
      <c r="D18248" s="15" t="s">
        <v>19599</v>
      </c>
      <c r="E18248" s="2">
        <v>2042498</v>
      </c>
      <c r="F18248" s="4" t="str">
        <f>IF(B18248=B18247,"",B18248)</f>
        <v>Nanam</v>
      </c>
    </row>
    <row r="18249" spans="1:6" ht="15.75" customHeight="1">
      <c r="A18249" s="8" t="str">
        <f ca="1">IFERROR(__xludf.DUMMYFUNCTION("GOOGLETRANSLATE(B36031,""en"",""pt"")"),"Nanam")</f>
        <v>Nanam</v>
      </c>
      <c r="B18249" s="9" t="s">
        <v>19658</v>
      </c>
      <c r="C18249" s="9" t="s">
        <v>19589</v>
      </c>
      <c r="D18249" s="9" t="s">
        <v>34462</v>
      </c>
      <c r="E18249" s="10">
        <v>2042498</v>
      </c>
      <c r="F18249" s="4" t="str">
        <f>IF(B18249=B18248,"",B18249)</f>
        <v/>
      </c>
    </row>
    <row r="18250" spans="1:6" ht="15.75" customHeight="1">
      <c r="A18250" s="15" t="s">
        <v>4113</v>
      </c>
      <c r="B18250" s="15" t="s">
        <v>4113</v>
      </c>
      <c r="C18250" s="15" t="s">
        <v>3975</v>
      </c>
      <c r="D18250" s="15" t="s">
        <v>3976</v>
      </c>
      <c r="E18250" s="2">
        <v>6085772</v>
      </c>
      <c r="F18250" s="4" t="str">
        <f>IF(B18250=B18249,"",B18250)</f>
        <v>Nanaimo</v>
      </c>
    </row>
    <row r="18251" spans="1:6" ht="15.75" customHeight="1">
      <c r="A18251" s="8" t="str">
        <f ca="1">IFERROR(__xludf.DUMMYFUNCTION("GOOGLETRANSLATE(B25522,""en"",""pt"")"),"Nanaimo")</f>
        <v>Nanaimo</v>
      </c>
      <c r="B18251" s="11" t="s">
        <v>4113</v>
      </c>
      <c r="C18251" s="11" t="s">
        <v>3975</v>
      </c>
      <c r="D18251" s="11" t="s">
        <v>3976</v>
      </c>
      <c r="E18251" s="10">
        <v>6085772</v>
      </c>
      <c r="F18251" s="4" t="str">
        <f>IF(B18251=B18250,"",B18251)</f>
        <v/>
      </c>
    </row>
    <row r="18252" spans="1:6" ht="15.75" customHeight="1">
      <c r="A18252" s="15" t="s">
        <v>16286</v>
      </c>
      <c r="B18252" s="15" t="s">
        <v>16286</v>
      </c>
      <c r="C18252" s="15" t="s">
        <v>15704</v>
      </c>
      <c r="D18252" s="15" t="s">
        <v>15705</v>
      </c>
      <c r="E18252" s="2">
        <v>2129003</v>
      </c>
      <c r="F18252" s="4" t="str">
        <f>IF(B18252=B18251,"",B18252)</f>
        <v>Nanae</v>
      </c>
    </row>
    <row r="18253" spans="1:6" ht="15.75" customHeight="1">
      <c r="A18253" s="8" t="str">
        <f ca="1">IFERROR(__xludf.DUMMYFUNCTION("GOOGLETRANSLATE(B35836,""en"",""pt"")"),"Nanae")</f>
        <v>Nanae</v>
      </c>
      <c r="B18253" s="9" t="s">
        <v>16286</v>
      </c>
      <c r="C18253" s="9" t="s">
        <v>15704</v>
      </c>
      <c r="D18253" s="9" t="s">
        <v>15705</v>
      </c>
      <c r="E18253" s="10">
        <v>2129003</v>
      </c>
      <c r="F18253" s="4" t="str">
        <f>IF(B18253=B18252,"",B18253)</f>
        <v/>
      </c>
    </row>
    <row r="18254" spans="1:6" ht="15.75" customHeight="1">
      <c r="A18254" s="15" t="s">
        <v>25940</v>
      </c>
      <c r="B18254" s="15" t="s">
        <v>25940</v>
      </c>
      <c r="C18254" s="15" t="s">
        <v>25771</v>
      </c>
      <c r="D18254" s="15" t="s">
        <v>25940</v>
      </c>
      <c r="E18254" s="2">
        <v>1608452</v>
      </c>
      <c r="F18254" s="4" t="str">
        <f>IF(B18254=B18253,"",B18254)</f>
        <v>Nan</v>
      </c>
    </row>
    <row r="18255" spans="1:6" ht="15.75" customHeight="1">
      <c r="A18255" s="8" t="str">
        <f ca="1">IFERROR(__xludf.DUMMYFUNCTION("GOOGLETRANSLATE(B41653,""en"",""pt"")"),"Nan")</f>
        <v>Nan</v>
      </c>
      <c r="B18255" s="9" t="s">
        <v>25940</v>
      </c>
      <c r="C18255" s="9" t="s">
        <v>25771</v>
      </c>
      <c r="D18255" s="9" t="s">
        <v>25940</v>
      </c>
      <c r="E18255" s="10">
        <v>1608452</v>
      </c>
      <c r="F18255" s="4" t="str">
        <f>IF(B18255=B18254,"",B18255)</f>
        <v/>
      </c>
    </row>
    <row r="18256" spans="1:6" ht="15.75" customHeight="1">
      <c r="A18256" s="8" t="str">
        <f ca="1">IFERROR(__xludf.DUMMYFUNCTION("GOOGLETRANSLATE(B39398,""en"",""pt"")"),"Namysłów")</f>
        <v>Namysłów</v>
      </c>
      <c r="B18256" s="11" t="s">
        <v>35191</v>
      </c>
      <c r="C18256" s="11" t="s">
        <v>21064</v>
      </c>
      <c r="D18256" s="11" t="s">
        <v>21165</v>
      </c>
      <c r="E18256" s="10">
        <v>3091141</v>
      </c>
      <c r="F18256" s="4" t="str">
        <f>IF(B18256=B18255,"",B18256)</f>
        <v>Namysłów</v>
      </c>
    </row>
    <row r="18257" spans="1:6" ht="15.75" customHeight="1">
      <c r="A18257" s="16" t="s">
        <v>21368</v>
      </c>
      <c r="B18257" s="15" t="s">
        <v>21369</v>
      </c>
      <c r="C18257" s="16" t="s">
        <v>21064</v>
      </c>
      <c r="D18257" s="16" t="s">
        <v>21165</v>
      </c>
      <c r="E18257" s="2">
        <v>3091141</v>
      </c>
      <c r="F18257" s="4" t="str">
        <f>IF(B18257=B18256,"",B18257)</f>
        <v>NamysÅ‚Ã³w</v>
      </c>
    </row>
    <row r="18258" spans="1:6" ht="15.75" customHeight="1">
      <c r="A18258" s="16" t="s">
        <v>24124</v>
      </c>
      <c r="B18258" s="15" t="s">
        <v>24124</v>
      </c>
      <c r="C18258" s="16" t="s">
        <v>24024</v>
      </c>
      <c r="D18258" s="16" t="s">
        <v>24028</v>
      </c>
      <c r="E18258" s="2">
        <v>1897122</v>
      </c>
      <c r="F18258" s="4" t="str">
        <f>IF(B18258=B18257,"",B18258)</f>
        <v>Namyangju</v>
      </c>
    </row>
    <row r="18259" spans="1:6" ht="15.75" customHeight="1">
      <c r="A18259" s="8" t="str">
        <f ca="1">IFERROR(__xludf.DUMMYFUNCTION("GOOGLETRANSLATE(B36156,""en"",""pt"")"),"Namyangju")</f>
        <v>Namyangju</v>
      </c>
      <c r="B18259" s="9" t="s">
        <v>24124</v>
      </c>
      <c r="C18259" s="9" t="s">
        <v>24024</v>
      </c>
      <c r="D18259" s="9" t="s">
        <v>24028</v>
      </c>
      <c r="E18259" s="10">
        <v>1897122</v>
      </c>
      <c r="F18259" s="4" t="str">
        <f>IF(B18259=B18258,"",B18259)</f>
        <v/>
      </c>
    </row>
    <row r="18260" spans="1:6" ht="15.75" customHeight="1">
      <c r="A18260" s="16" t="s">
        <v>19657</v>
      </c>
      <c r="B18260" s="15" t="s">
        <v>19657</v>
      </c>
      <c r="C18260" s="16" t="s">
        <v>19589</v>
      </c>
      <c r="D18260" s="16" t="s">
        <v>19599</v>
      </c>
      <c r="E18260" s="2">
        <v>2042503</v>
      </c>
      <c r="F18260" s="4" t="str">
        <f>IF(B18260=B18259,"",B18260)</f>
        <v>Namyang-dong</v>
      </c>
    </row>
    <row r="18261" spans="1:6" ht="15.75" customHeight="1">
      <c r="A18261" s="8" t="str">
        <f ca="1">IFERROR(__xludf.DUMMYFUNCTION("GOOGLETRANSLATE(B36032,""en"",""pt"")"),"Namyang-dong")</f>
        <v>Namyang-dong</v>
      </c>
      <c r="B18261" s="9" t="s">
        <v>19657</v>
      </c>
      <c r="C18261" s="9" t="s">
        <v>19589</v>
      </c>
      <c r="D18261" s="9" t="s">
        <v>34462</v>
      </c>
      <c r="E18261" s="10">
        <v>2042503</v>
      </c>
      <c r="F18261" s="4" t="str">
        <f>IF(B18261=B18260,"",B18261)</f>
        <v/>
      </c>
    </row>
    <row r="18262" spans="1:6" ht="15.75" customHeight="1">
      <c r="A18262" s="15" t="s">
        <v>1647</v>
      </c>
      <c r="B18262" s="15" t="s">
        <v>1647</v>
      </c>
      <c r="C18262" s="15" t="s">
        <v>1512</v>
      </c>
      <c r="D18262" s="15" t="s">
        <v>1518</v>
      </c>
      <c r="E18262" s="2">
        <v>2790471</v>
      </c>
      <c r="F18262" s="4" t="str">
        <f>IF(B18262=B18261,"",B18262)</f>
        <v>Namur</v>
      </c>
    </row>
    <row r="18263" spans="1:6" ht="15.75" customHeight="1">
      <c r="A18263" s="8" t="str">
        <f ca="1">IFERROR(__xludf.DUMMYFUNCTION("GOOGLETRANSLATE(B23861,""en"",""pt"")"),"Namur")</f>
        <v>Namur</v>
      </c>
      <c r="B18263" s="9" t="s">
        <v>1647</v>
      </c>
      <c r="C18263" s="9" t="s">
        <v>1512</v>
      </c>
      <c r="D18263" s="9" t="s">
        <v>1518</v>
      </c>
      <c r="E18263" s="10">
        <v>2790471</v>
      </c>
      <c r="F18263" s="4" t="str">
        <f>IF(B18263=B18262,"",B18263)</f>
        <v/>
      </c>
    </row>
    <row r="18264" spans="1:6" ht="15.75" customHeight="1">
      <c r="A18264" s="8" t="str">
        <f ca="1">IFERROR(__xludf.DUMMYFUNCTION("GOOGLETRANSLATE(B32672,""en"",""pt"")"),"Nāmrup")</f>
        <v>Nāmrup</v>
      </c>
      <c r="B18264" s="11" t="s">
        <v>33332</v>
      </c>
      <c r="C18264" s="11" t="s">
        <v>10178</v>
      </c>
      <c r="D18264" s="11" t="s">
        <v>10239</v>
      </c>
      <c r="E18264" s="10">
        <v>1262013</v>
      </c>
      <c r="F18264" s="4" t="str">
        <f>IF(B18264=B18263,"",B18264)</f>
        <v>Nāmrup</v>
      </c>
    </row>
    <row r="18265" spans="1:6" ht="15.75" customHeight="1">
      <c r="A18265" s="15" t="s">
        <v>18656</v>
      </c>
      <c r="B18265" s="15" t="s">
        <v>18656</v>
      </c>
      <c r="C18265" s="15" t="s">
        <v>18655</v>
      </c>
      <c r="D18265" s="15" t="s">
        <v>18656</v>
      </c>
      <c r="E18265" s="2">
        <v>1033356</v>
      </c>
      <c r="F18265" s="4" t="str">
        <f>IF(B18265=B18264,"",B18265)</f>
        <v>Nampula</v>
      </c>
    </row>
    <row r="18266" spans="1:6" ht="15.75" customHeight="1">
      <c r="A18266" s="8" t="str">
        <f ca="1">IFERROR(__xludf.DUMMYFUNCTION("GOOGLETRANSLATE(B37547,""en"",""pt"")"),"Nampula")</f>
        <v>Nampula</v>
      </c>
      <c r="B18266" s="11" t="s">
        <v>18656</v>
      </c>
      <c r="C18266" s="11" t="s">
        <v>18655</v>
      </c>
      <c r="D18266" s="11" t="s">
        <v>18656</v>
      </c>
      <c r="E18266" s="10">
        <v>1033356</v>
      </c>
      <c r="F18266" s="4" t="str">
        <f>IF(B18266=B18265,"",B18266)</f>
        <v/>
      </c>
    </row>
    <row r="18267" spans="1:6" ht="15.75" customHeight="1">
      <c r="A18267" s="15" t="s">
        <v>19655</v>
      </c>
      <c r="B18267" s="15" t="s">
        <v>19656</v>
      </c>
      <c r="C18267" s="15" t="s">
        <v>19589</v>
      </c>
      <c r="D18267" s="15" t="s">
        <v>19597</v>
      </c>
      <c r="E18267" s="2">
        <v>1873757</v>
      </c>
      <c r="F18267" s="4" t="str">
        <f>IF(B18267=B18266,"",B18267)</f>
        <v>Nampâ€™o</v>
      </c>
    </row>
    <row r="18268" spans="1:6" ht="15.75" customHeight="1">
      <c r="A18268" s="15" t="s">
        <v>29384</v>
      </c>
      <c r="B18268" s="15" t="s">
        <v>29384</v>
      </c>
      <c r="C18268" s="15" t="s">
        <v>27788</v>
      </c>
      <c r="D18268" s="15" t="s">
        <v>28059</v>
      </c>
      <c r="E18268" s="2">
        <v>5601933</v>
      </c>
      <c r="F18268" s="4" t="str">
        <f>IF(B18268=B18267,"",B18268)</f>
        <v>Nampa</v>
      </c>
    </row>
    <row r="18269" spans="1:6" ht="15.75" customHeight="1">
      <c r="A18269" s="8" t="str">
        <f ca="1">IFERROR(__xludf.DUMMYFUNCTION("GOOGLETRANSLATE(B45204,""en"",""pt"")"),"Nampa")</f>
        <v>Nampa</v>
      </c>
      <c r="B18269" s="9" t="s">
        <v>29384</v>
      </c>
      <c r="C18269" s="9" t="s">
        <v>27788</v>
      </c>
      <c r="D18269" s="9" t="s">
        <v>28059</v>
      </c>
      <c r="E18269" s="10">
        <v>5601933</v>
      </c>
      <c r="F18269" s="4" t="str">
        <f>IF(B18269=B18268,"",B18269)</f>
        <v/>
      </c>
    </row>
    <row r="18270" spans="1:6" ht="15.75" customHeight="1">
      <c r="A18270" s="8" t="str">
        <f ca="1">IFERROR(__xludf.DUMMYFUNCTION("GOOGLETRANSLATE(B36003,""en"",""pt"")"),"Namp'o")</f>
        <v>Namp'o</v>
      </c>
      <c r="B18270" s="11" t="s">
        <v>34441</v>
      </c>
      <c r="C18270" s="11" t="s">
        <v>19589</v>
      </c>
      <c r="D18270" s="11" t="s">
        <v>34437</v>
      </c>
      <c r="E18270" s="10">
        <v>1873757</v>
      </c>
      <c r="F18270" s="4" t="str">
        <f>IF(B18270=B18269,"",B18270)</f>
        <v>Namp’o</v>
      </c>
    </row>
    <row r="18271" spans="1:6" ht="15.75" customHeight="1">
      <c r="A18271" s="15" t="s">
        <v>16285</v>
      </c>
      <c r="B18271" s="15" t="s">
        <v>16285</v>
      </c>
      <c r="C18271" s="15" t="s">
        <v>15704</v>
      </c>
      <c r="D18271" s="15" t="s">
        <v>15815</v>
      </c>
      <c r="E18271" s="2">
        <v>2129005</v>
      </c>
      <c r="F18271" s="4" t="str">
        <f>IF(B18271=B18270,"",B18271)</f>
        <v>Namioka</v>
      </c>
    </row>
    <row r="18272" spans="1:6" ht="15.75" customHeight="1">
      <c r="A18272" s="8" t="str">
        <f ca="1">IFERROR(__xludf.DUMMYFUNCTION("GOOGLETRANSLATE(B35837,""en"",""pt"")"),"Namioka")</f>
        <v>Namioka</v>
      </c>
      <c r="B18272" s="11" t="s">
        <v>16285</v>
      </c>
      <c r="C18272" s="11" t="s">
        <v>15704</v>
      </c>
      <c r="D18272" s="11" t="s">
        <v>15815</v>
      </c>
      <c r="E18272" s="10">
        <v>2129005</v>
      </c>
      <c r="F18272" s="4" t="str">
        <f>IF(B18272=B18271,"",B18272)</f>
        <v/>
      </c>
    </row>
    <row r="18273" spans="1:6" ht="15.75" customHeight="1">
      <c r="A18273" s="15" t="s">
        <v>16284</v>
      </c>
      <c r="B18273" s="15" t="s">
        <v>16284</v>
      </c>
      <c r="C18273" s="15" t="s">
        <v>15704</v>
      </c>
      <c r="D18273" s="15" t="s">
        <v>15884</v>
      </c>
      <c r="E18273" s="2">
        <v>2111704</v>
      </c>
      <c r="F18273" s="4" t="str">
        <f>IF(B18273=B18272,"",B18273)</f>
        <v>Namie</v>
      </c>
    </row>
    <row r="18274" spans="1:6" ht="15.75" customHeight="1">
      <c r="A18274" s="8" t="str">
        <f ca="1">IFERROR(__xludf.DUMMYFUNCTION("GOOGLETRANSLATE(B35756,""en"",""pt"")"),"Namie")</f>
        <v>Namie</v>
      </c>
      <c r="B18274" s="11" t="s">
        <v>16284</v>
      </c>
      <c r="C18274" s="11" t="s">
        <v>15704</v>
      </c>
      <c r="D18274" s="11" t="s">
        <v>15884</v>
      </c>
      <c r="E18274" s="10">
        <v>2111704</v>
      </c>
      <c r="F18274" s="4" t="str">
        <f>IF(B18274=B18273,"",B18274)</f>
        <v/>
      </c>
    </row>
    <row r="18275" spans="1:6" ht="15.75" customHeight="1">
      <c r="A18275" s="15" t="s">
        <v>539</v>
      </c>
      <c r="B18275" s="15" t="s">
        <v>539</v>
      </c>
      <c r="C18275" s="15" t="s">
        <v>507</v>
      </c>
      <c r="D18275" s="15" t="s">
        <v>539</v>
      </c>
      <c r="E18275" s="2">
        <v>3347019</v>
      </c>
      <c r="F18275" s="4" t="str">
        <f>IF(B18275=B18274,"",B18275)</f>
        <v>Namibe</v>
      </c>
    </row>
    <row r="18276" spans="1:6" ht="15.75" customHeight="1">
      <c r="A18276" s="8" t="str">
        <f ca="1">IFERROR(__xludf.DUMMYFUNCTION("GOOGLETRANSLATE(B23154,""en"",""pt"")"),"Namibe")</f>
        <v>Namibe</v>
      </c>
      <c r="B18276" s="11" t="s">
        <v>539</v>
      </c>
      <c r="C18276" s="11" t="s">
        <v>507</v>
      </c>
      <c r="D18276" s="11" t="s">
        <v>539</v>
      </c>
      <c r="E18276" s="10">
        <v>3347019</v>
      </c>
      <c r="F18276" s="4" t="str">
        <f>IF(B18276=B18275,"",B18276)</f>
        <v/>
      </c>
    </row>
    <row r="18277" spans="1:6" ht="15.75" customHeight="1">
      <c r="A18277" s="16" t="s">
        <v>16283</v>
      </c>
      <c r="B18277" s="15" t="s">
        <v>16283</v>
      </c>
      <c r="C18277" s="16" t="s">
        <v>15704</v>
      </c>
      <c r="D18277" s="16" t="s">
        <v>15881</v>
      </c>
      <c r="E18277" s="2">
        <v>1855694</v>
      </c>
      <c r="F18277" s="4" t="str">
        <f>IF(B18277=B18276,"",B18277)</f>
        <v>Namerikawa</v>
      </c>
    </row>
    <row r="18278" spans="1:6" ht="15.75" customHeight="1">
      <c r="A18278" s="8" t="str">
        <f ca="1">IFERROR(__xludf.DUMMYFUNCTION("GOOGLETRANSLATE(B35394,""en"",""pt"")"),"Namerikawa")</f>
        <v>Namerikawa</v>
      </c>
      <c r="B18278" s="9" t="s">
        <v>16283</v>
      </c>
      <c r="C18278" s="9" t="s">
        <v>15704</v>
      </c>
      <c r="D18278" s="9" t="s">
        <v>15881</v>
      </c>
      <c r="E18278" s="10">
        <v>1855694</v>
      </c>
      <c r="F18278" s="4" t="str">
        <f>IF(B18278=B18277,"",B18278)</f>
        <v/>
      </c>
    </row>
    <row r="18279" spans="1:6" ht="15.75" customHeight="1">
      <c r="A18279" s="8" t="str">
        <f ca="1">IFERROR(__xludf.DUMMYFUNCTION("GOOGLETRANSLATE(B32673,""en"",""pt"")"),"Nambiyūr")</f>
        <v>Nambiyūr</v>
      </c>
      <c r="B18279" s="9" t="s">
        <v>33333</v>
      </c>
      <c r="C18279" s="9" t="s">
        <v>10178</v>
      </c>
      <c r="D18279" s="9" t="s">
        <v>10196</v>
      </c>
      <c r="E18279" s="10">
        <v>1262034</v>
      </c>
      <c r="F18279" s="4" t="str">
        <f>IF(B18279=B18278,"",B18279)</f>
        <v>Nambiyūr</v>
      </c>
    </row>
    <row r="18280" spans="1:6" ht="15.75" customHeight="1">
      <c r="A18280" s="16" t="s">
        <v>12584</v>
      </c>
      <c r="B18280" s="15" t="s">
        <v>12585</v>
      </c>
      <c r="C18280" s="16" t="s">
        <v>10178</v>
      </c>
      <c r="D18280" s="16" t="s">
        <v>10196</v>
      </c>
      <c r="E18280" s="2">
        <v>1262034</v>
      </c>
      <c r="F18280" s="4" t="str">
        <f>IF(B18280=B18279,"",B18280)</f>
        <v>NambiyÅ«r</v>
      </c>
    </row>
    <row r="18281" spans="1:6" ht="15.75" customHeight="1">
      <c r="A18281" s="16" t="s">
        <v>26855</v>
      </c>
      <c r="B18281" s="15" t="s">
        <v>26855</v>
      </c>
      <c r="C18281" s="16" t="s">
        <v>26820</v>
      </c>
      <c r="D18281" s="16" t="s">
        <v>17414</v>
      </c>
      <c r="E18281" s="2">
        <v>228227</v>
      </c>
      <c r="F18281" s="4" t="str">
        <f>IF(B18281=B18280,"",B18281)</f>
        <v>Namasuba</v>
      </c>
    </row>
    <row r="18282" spans="1:6" ht="15.75" customHeight="1">
      <c r="A18282" s="8" t="str">
        <f ca="1">IFERROR(__xludf.DUMMYFUNCTION("GOOGLETRANSLATE(B42735,""en"",""pt"")"),"Namasuba")</f>
        <v>Namasuba</v>
      </c>
      <c r="B18282" s="9" t="s">
        <v>26855</v>
      </c>
      <c r="C18282" s="9" t="s">
        <v>26820</v>
      </c>
      <c r="D18282" s="9" t="s">
        <v>17414</v>
      </c>
      <c r="E18282" s="10">
        <v>228227</v>
      </c>
      <c r="F18282" s="4" t="str">
        <f>IF(B18282=B18281,"",B18282)</f>
        <v/>
      </c>
    </row>
    <row r="18283" spans="1:6" ht="15.75" customHeight="1">
      <c r="A18283" s="16" t="s">
        <v>25715</v>
      </c>
      <c r="B18283" s="15" t="s">
        <v>25715</v>
      </c>
      <c r="C18283" s="16" t="s">
        <v>25560</v>
      </c>
      <c r="D18283" s="16" t="s">
        <v>25583</v>
      </c>
      <c r="E18283" s="2">
        <v>151986</v>
      </c>
      <c r="F18283" s="4" t="str">
        <f>IF(B18283=B18282,"",B18283)</f>
        <v>Namanyere</v>
      </c>
    </row>
    <row r="18284" spans="1:6" ht="15.75" customHeight="1">
      <c r="A18284" s="8" t="str">
        <f ca="1">IFERROR(__xludf.DUMMYFUNCTION("GOOGLETRANSLATE(B42326,""en"",""pt"")"),"Namanyere")</f>
        <v>Namanyere</v>
      </c>
      <c r="B18284" s="11" t="s">
        <v>25715</v>
      </c>
      <c r="C18284" s="11" t="s">
        <v>25560</v>
      </c>
      <c r="D18284" s="11" t="s">
        <v>25583</v>
      </c>
      <c r="E18284" s="10">
        <v>151986</v>
      </c>
      <c r="F18284" s="4" t="str">
        <f>IF(B18284=B18283,"",B18284)</f>
        <v/>
      </c>
    </row>
    <row r="18285" spans="1:6" ht="15.75" customHeight="1">
      <c r="A18285" s="16" t="s">
        <v>30528</v>
      </c>
      <c r="B18285" s="15" t="s">
        <v>30528</v>
      </c>
      <c r="C18285" s="16" t="s">
        <v>30502</v>
      </c>
      <c r="D18285" s="16" t="s">
        <v>30528</v>
      </c>
      <c r="E18285" s="2">
        <v>1513157</v>
      </c>
      <c r="F18285" s="4" t="str">
        <f>IF(B18285=B18284,"",B18285)</f>
        <v>Namangan</v>
      </c>
    </row>
    <row r="18286" spans="1:6" ht="15.75" customHeight="1">
      <c r="A18286" s="8" t="str">
        <f ca="1">IFERROR(__xludf.DUMMYFUNCTION("GOOGLETRANSLATE(B45560,""en"",""pt"")"),"Namangan")</f>
        <v>Namangan</v>
      </c>
      <c r="B18286" s="11" t="s">
        <v>30528</v>
      </c>
      <c r="C18286" s="11" t="s">
        <v>30502</v>
      </c>
      <c r="D18286" s="11" t="s">
        <v>30528</v>
      </c>
      <c r="E18286" s="10">
        <v>1513157</v>
      </c>
      <c r="F18286" s="4" t="str">
        <f>IF(B18286=B18285,"",B18286)</f>
        <v/>
      </c>
    </row>
    <row r="18287" spans="1:6" ht="15.75" customHeight="1">
      <c r="A18287" s="8" t="str">
        <f ca="1">IFERROR(__xludf.DUMMYFUNCTION("GOOGLETRANSLATE(B32674,""en"",""pt"")"),"Nāmakkal")</f>
        <v>Nāmakkal</v>
      </c>
      <c r="B18287" s="9" t="s">
        <v>33334</v>
      </c>
      <c r="C18287" s="9" t="s">
        <v>10178</v>
      </c>
      <c r="D18287" s="9" t="s">
        <v>10196</v>
      </c>
      <c r="E18287" s="10">
        <v>1262039</v>
      </c>
      <c r="F18287" s="4" t="str">
        <f>IF(B18287=B18286,"",B18287)</f>
        <v>Nāmakkal</v>
      </c>
    </row>
    <row r="18288" spans="1:6" ht="15.75" customHeight="1">
      <c r="A18288" s="8" t="str">
        <f ca="1">IFERROR(__xludf.DUMMYFUNCTION("GOOGLETRANSLATE(B32675,""en"",""pt"")"),"NāmagiriPettai")</f>
        <v>NāmagiriPettai</v>
      </c>
      <c r="B18288" s="9" t="s">
        <v>33335</v>
      </c>
      <c r="C18288" s="9" t="s">
        <v>10178</v>
      </c>
      <c r="D18288" s="9" t="s">
        <v>10196</v>
      </c>
      <c r="E18288" s="10">
        <v>1262040</v>
      </c>
      <c r="F18288" s="4" t="str">
        <f>IF(B18288=B18287,"",B18288)</f>
        <v>Nāmagiripettai</v>
      </c>
    </row>
    <row r="18289" spans="1:6" ht="15.75" customHeight="1">
      <c r="A18289" s="15" t="s">
        <v>25939</v>
      </c>
      <c r="B18289" s="15" t="s">
        <v>25939</v>
      </c>
      <c r="C18289" s="15" t="s">
        <v>25771</v>
      </c>
      <c r="D18289" s="15" t="s">
        <v>25786</v>
      </c>
      <c r="E18289" s="2">
        <v>1608462</v>
      </c>
      <c r="F18289" s="4" t="str">
        <f>IF(B18289=B18288,"",B18289)</f>
        <v>Nam Som</v>
      </c>
    </row>
    <row r="18290" spans="1:6" ht="15.75" customHeight="1">
      <c r="A18290" s="8" t="str">
        <f ca="1">IFERROR(__xludf.DUMMYFUNCTION("GOOGLETRANSLATE(B41654,""en"",""pt"")"),"Nam Som")</f>
        <v>Nam Som</v>
      </c>
      <c r="B18290" s="11" t="s">
        <v>25939</v>
      </c>
      <c r="C18290" s="11" t="s">
        <v>25771</v>
      </c>
      <c r="D18290" s="11" t="s">
        <v>25786</v>
      </c>
      <c r="E18290" s="10">
        <v>1608462</v>
      </c>
      <c r="F18290" s="4" t="str">
        <f>IF(B18290=B18289,"",B18290)</f>
        <v/>
      </c>
    </row>
    <row r="18291" spans="1:6" ht="15.75" customHeight="1">
      <c r="A18291" s="8" t="str">
        <f ca="1">IFERROR(__xludf.DUMMYFUNCTION("GOOGLETRANSLATE(B36437,""en"",""pt"")"),"Nālūt")</f>
        <v>Nālūt</v>
      </c>
      <c r="B18291" s="9" t="s">
        <v>34572</v>
      </c>
      <c r="C18291" s="9" t="s">
        <v>17074</v>
      </c>
      <c r="D18291" s="9" t="s">
        <v>34573</v>
      </c>
      <c r="E18291" s="10">
        <v>2214433</v>
      </c>
      <c r="F18291" s="4" t="str">
        <f>IF(B18291=B18290,"",B18291)</f>
        <v>Nālūt</v>
      </c>
    </row>
    <row r="18292" spans="1:6" ht="15.75" customHeight="1">
      <c r="A18292" s="8" t="str">
        <f ca="1">IFERROR(__xludf.DUMMYFUNCTION("GOOGLETRANSLATE(B42132,""en"",""pt"")"),"Nallıhan")</f>
        <v>Nallıhan</v>
      </c>
      <c r="B18292" s="11" t="s">
        <v>35928</v>
      </c>
      <c r="C18292" s="11" t="s">
        <v>26201</v>
      </c>
      <c r="D18292" s="11" t="s">
        <v>26229</v>
      </c>
      <c r="E18292" s="10">
        <v>741347</v>
      </c>
      <c r="F18292" s="4" t="str">
        <f>IF(B18292=B18291,"",B18292)</f>
        <v>Nallıhan</v>
      </c>
    </row>
    <row r="18293" spans="1:6" ht="15.75" customHeight="1">
      <c r="A18293" s="16" t="s">
        <v>26645</v>
      </c>
      <c r="B18293" s="15" t="s">
        <v>26646</v>
      </c>
      <c r="C18293" s="16" t="s">
        <v>26201</v>
      </c>
      <c r="D18293" s="16" t="s">
        <v>26229</v>
      </c>
      <c r="E18293" s="2">
        <v>741347</v>
      </c>
      <c r="F18293" s="4" t="str">
        <f>IF(B18293=B18292,"",B18293)</f>
        <v>NallÄ±han</v>
      </c>
    </row>
    <row r="18294" spans="1:6" ht="15.75" customHeight="1">
      <c r="A18294" s="8" t="str">
        <f ca="1">IFERROR(__xludf.DUMMYFUNCTION("GOOGLETRANSLATE(B32676,""en"",""pt"")"),"Nalhāti")</f>
        <v>Nalhāti</v>
      </c>
      <c r="B18294" s="11" t="s">
        <v>33336</v>
      </c>
      <c r="C18294" s="11" t="s">
        <v>10178</v>
      </c>
      <c r="D18294" s="11" t="s">
        <v>10201</v>
      </c>
      <c r="E18294" s="10">
        <v>1262065</v>
      </c>
      <c r="F18294" s="4" t="str">
        <f>IF(B18294=B18293,"",B18294)</f>
        <v>Nalhāti</v>
      </c>
    </row>
    <row r="18295" spans="1:6" ht="15.75" customHeight="1">
      <c r="A18295" s="15" t="s">
        <v>12582</v>
      </c>
      <c r="B18295" s="15" t="s">
        <v>12583</v>
      </c>
      <c r="C18295" s="15" t="s">
        <v>10178</v>
      </c>
      <c r="D18295" s="15" t="s">
        <v>10201</v>
      </c>
      <c r="E18295" s="2">
        <v>1262065</v>
      </c>
      <c r="F18295" s="4" t="str">
        <f>IF(B18295=B18294,"",B18295)</f>
        <v>NalhÄti</v>
      </c>
    </row>
    <row r="18296" spans="1:6" ht="15.75" customHeight="1">
      <c r="A18296" s="15" t="s">
        <v>12581</v>
      </c>
      <c r="B18296" s="15" t="s">
        <v>12581</v>
      </c>
      <c r="C18296" s="15" t="s">
        <v>10178</v>
      </c>
      <c r="D18296" s="15" t="s">
        <v>10187</v>
      </c>
      <c r="E18296" s="2">
        <v>1262067</v>
      </c>
      <c r="F18296" s="4" t="str">
        <f>IF(B18296=B18295,"",B18296)</f>
        <v>Nalgonda</v>
      </c>
    </row>
    <row r="18297" spans="1:6" ht="15.75" customHeight="1">
      <c r="A18297" s="8" t="str">
        <f ca="1">IFERROR(__xludf.DUMMYFUNCTION("GOOGLETRANSLATE(B32677,""en"",""pt"")"),"Nalgonda")</f>
        <v>Nalgonda</v>
      </c>
      <c r="B18297" s="9" t="s">
        <v>12581</v>
      </c>
      <c r="C18297" s="9" t="s">
        <v>10178</v>
      </c>
      <c r="D18297" s="9" t="s">
        <v>10187</v>
      </c>
      <c r="E18297" s="10">
        <v>1262067</v>
      </c>
      <c r="F18297" s="4" t="str">
        <f>IF(B18297=B18296,"",B18297)</f>
        <v/>
      </c>
    </row>
    <row r="18298" spans="1:6" ht="15.75" customHeight="1">
      <c r="A18298" s="15" t="s">
        <v>12580</v>
      </c>
      <c r="B18298" s="15" t="s">
        <v>12580</v>
      </c>
      <c r="C18298" s="15" t="s">
        <v>10178</v>
      </c>
      <c r="D18298" s="15" t="s">
        <v>10214</v>
      </c>
      <c r="E18298" s="2">
        <v>1262073</v>
      </c>
      <c r="F18298" s="4" t="str">
        <f>IF(B18298=B18297,"",B18298)</f>
        <v>Naldurg</v>
      </c>
    </row>
    <row r="18299" spans="1:6" ht="15.75" customHeight="1">
      <c r="A18299" s="8" t="str">
        <f ca="1">IFERROR(__xludf.DUMMYFUNCTION("GOOGLETRANSLATE(B32678,""en"",""pt"")"),"Naldurg")</f>
        <v>Naldurg</v>
      </c>
      <c r="B18299" s="9" t="s">
        <v>12580</v>
      </c>
      <c r="C18299" s="9" t="s">
        <v>10178</v>
      </c>
      <c r="D18299" s="9" t="s">
        <v>10214</v>
      </c>
      <c r="E18299" s="10">
        <v>1262073</v>
      </c>
      <c r="F18299" s="4" t="str">
        <f>IF(B18299=B18298,"",B18299)</f>
        <v/>
      </c>
    </row>
    <row r="18300" spans="1:6" ht="15.75" customHeight="1">
      <c r="A18300" s="8" t="str">
        <f ca="1">IFERROR(__xludf.DUMMYFUNCTION("GOOGLETRANSLATE(B23713,""en"",""pt"")"),"Nālchiti")</f>
        <v>Nālchiti</v>
      </c>
      <c r="B18300" s="11" t="s">
        <v>31267</v>
      </c>
      <c r="C18300" s="11" t="s">
        <v>1296</v>
      </c>
      <c r="D18300" s="11" t="s">
        <v>31265</v>
      </c>
      <c r="E18300" s="10">
        <v>1185156</v>
      </c>
      <c r="F18300" s="4" t="str">
        <f>IF(B18300=B18299,"",B18300)</f>
        <v>Nālchiti</v>
      </c>
    </row>
    <row r="18301" spans="1:6" ht="15.75" customHeight="1">
      <c r="A18301" s="16" t="s">
        <v>22775</v>
      </c>
      <c r="B18301" s="15" t="s">
        <v>22776</v>
      </c>
      <c r="C18301" s="16" t="s">
        <v>22070</v>
      </c>
      <c r="D18301" s="16" t="s">
        <v>22182</v>
      </c>
      <c r="E18301" s="2">
        <v>523523</v>
      </c>
      <c r="F18301" s="4" t="str">
        <f>IF(B18301=B18300,"",B18301)</f>
        <v>Nalâ€™chik</v>
      </c>
    </row>
    <row r="18302" spans="1:6" ht="15.75" customHeight="1">
      <c r="A18302" s="8" t="str">
        <f ca="1">IFERROR(__xludf.DUMMYFUNCTION("GOOGLETRANSLATE(B40299,""en"",""pt"")"),"Nal'chik")</f>
        <v>Nal'chik</v>
      </c>
      <c r="B18302" s="11" t="s">
        <v>35489</v>
      </c>
      <c r="C18302" s="11" t="s">
        <v>22070</v>
      </c>
      <c r="D18302" s="11" t="s">
        <v>22182</v>
      </c>
      <c r="E18302" s="10">
        <v>523523</v>
      </c>
      <c r="F18302" s="4" t="str">
        <f>IF(B18302=B18301,"",B18302)</f>
        <v>Nal’chik</v>
      </c>
    </row>
    <row r="18303" spans="1:6" ht="15.75" customHeight="1">
      <c r="A18303" s="15" t="s">
        <v>16824</v>
      </c>
      <c r="B18303" s="15" t="s">
        <v>16824</v>
      </c>
      <c r="C18303" s="15" t="s">
        <v>16781</v>
      </c>
      <c r="D18303" s="15" t="s">
        <v>16824</v>
      </c>
      <c r="E18303" s="2">
        <v>184622</v>
      </c>
      <c r="F18303" s="4" t="str">
        <f>IF(B18303=B18302,"",B18303)</f>
        <v>Nakuru</v>
      </c>
    </row>
    <row r="18304" spans="1:6" ht="15.75" customHeight="1">
      <c r="A18304" s="8" t="str">
        <f ca="1">IFERROR(__xludf.DUMMYFUNCTION("GOOGLETRANSLATE(B35894,""en"",""pt"")"),"Nakuru")</f>
        <v>Nakuru</v>
      </c>
      <c r="B18304" s="11" t="s">
        <v>16824</v>
      </c>
      <c r="C18304" s="11" t="s">
        <v>16781</v>
      </c>
      <c r="D18304" s="11" t="s">
        <v>16824</v>
      </c>
      <c r="E18304" s="10">
        <v>184622</v>
      </c>
      <c r="F18304" s="4" t="str">
        <f>IF(B18304=B18303,"",B18304)</f>
        <v/>
      </c>
    </row>
    <row r="18305" spans="1:6" ht="15.75" customHeight="1">
      <c r="A18305" s="8" t="str">
        <f ca="1">IFERROR(__xludf.DUMMYFUNCTION("GOOGLETRANSLATE(B32679,""en"",""pt"")"),"Nakūr")</f>
        <v>Nakūr</v>
      </c>
      <c r="B18305" s="9" t="s">
        <v>33337</v>
      </c>
      <c r="C18305" s="9" t="s">
        <v>10178</v>
      </c>
      <c r="D18305" s="9" t="s">
        <v>10193</v>
      </c>
      <c r="E18305" s="10">
        <v>1262089</v>
      </c>
      <c r="F18305" s="4" t="str">
        <f>IF(B18305=B18304,"",B18305)</f>
        <v>Nakūr</v>
      </c>
    </row>
    <row r="18306" spans="1:6" ht="15.75" customHeight="1">
      <c r="A18306" s="8" t="str">
        <f ca="1">IFERROR(__xludf.DUMMYFUNCTION("GOOGLETRANSLATE(B32680,""en"",""pt"")"),"Naksalbāri")</f>
        <v>Naksalbāri</v>
      </c>
      <c r="B18306" s="9" t="s">
        <v>33338</v>
      </c>
      <c r="C18306" s="9" t="s">
        <v>10178</v>
      </c>
      <c r="D18306" s="9" t="s">
        <v>10201</v>
      </c>
      <c r="E18306" s="10">
        <v>1262092</v>
      </c>
      <c r="F18306" s="4" t="str">
        <f>IF(B18306=B18305,"",B18306)</f>
        <v>Naksalbāri</v>
      </c>
    </row>
    <row r="18307" spans="1:6" ht="15.75" customHeight="1">
      <c r="A18307" s="16" t="s">
        <v>12578</v>
      </c>
      <c r="B18307" s="15" t="s">
        <v>12579</v>
      </c>
      <c r="C18307" s="16" t="s">
        <v>10178</v>
      </c>
      <c r="D18307" s="16" t="s">
        <v>10201</v>
      </c>
      <c r="E18307" s="2">
        <v>1262092</v>
      </c>
      <c r="F18307" s="4" t="str">
        <f>IF(B18307=B18306,"",B18307)</f>
        <v>NaksalbÄri</v>
      </c>
    </row>
    <row r="18308" spans="1:6" ht="15.75" customHeight="1">
      <c r="A18308" s="15" t="s">
        <v>12577</v>
      </c>
      <c r="B18308" s="15" t="s">
        <v>12577</v>
      </c>
      <c r="C18308" s="15" t="s">
        <v>10178</v>
      </c>
      <c r="D18308" s="15" t="s">
        <v>10184</v>
      </c>
      <c r="E18308" s="2">
        <v>1262097</v>
      </c>
      <c r="F18308" s="4" t="str">
        <f>IF(B18308=B18307,"",B18308)</f>
        <v>Nakodar</v>
      </c>
    </row>
    <row r="18309" spans="1:6" ht="15.75" customHeight="1">
      <c r="A18309" s="8" t="str">
        <f ca="1">IFERROR(__xludf.DUMMYFUNCTION("GOOGLETRANSLATE(B32681,""en"",""pt"")"),"Nakodar")</f>
        <v>Nakodar</v>
      </c>
      <c r="B18309" s="11" t="s">
        <v>12577</v>
      </c>
      <c r="C18309" s="11" t="s">
        <v>10178</v>
      </c>
      <c r="D18309" s="11" t="s">
        <v>10184</v>
      </c>
      <c r="E18309" s="10">
        <v>1262097</v>
      </c>
      <c r="F18309" s="4" t="str">
        <f>IF(B18309=B18308,"",B18309)</f>
        <v/>
      </c>
    </row>
    <row r="18310" spans="1:6" ht="15.75" customHeight="1">
      <c r="A18310" s="8" t="str">
        <f ca="1">IFERROR(__xludf.DUMMYFUNCTION("GOOGLETRANSLATE(B39399,""en"",""pt"")"),"Nakło nad notecią")</f>
        <v>Nakło nad notecią</v>
      </c>
      <c r="B18310" s="9" t="s">
        <v>35192</v>
      </c>
      <c r="C18310" s="9" t="s">
        <v>21064</v>
      </c>
      <c r="D18310" s="9" t="s">
        <v>21125</v>
      </c>
      <c r="E18310" s="10">
        <v>3091150</v>
      </c>
      <c r="F18310" s="4" t="str">
        <f>IF(B18310=B18309,"",B18310)</f>
        <v>Nakło nad Notecią</v>
      </c>
    </row>
    <row r="18311" spans="1:6" ht="15.75" customHeight="1">
      <c r="A18311" s="16" t="s">
        <v>25938</v>
      </c>
      <c r="B18311" s="15" t="s">
        <v>25938</v>
      </c>
      <c r="C18311" s="16" t="s">
        <v>25771</v>
      </c>
      <c r="D18311" s="16" t="s">
        <v>25938</v>
      </c>
      <c r="E18311" s="2">
        <v>1151933</v>
      </c>
      <c r="F18311" s="4" t="str">
        <f>IF(B18311=B18310,"",B18311)</f>
        <v>Nakhon Si Thammarat</v>
      </c>
    </row>
    <row r="18312" spans="1:6" ht="15.75" customHeight="1">
      <c r="A18312" s="8" t="str">
        <f ca="1">IFERROR(__xludf.DUMMYFUNCTION("GOOGLETRANSLATE(B41538,""en"",""pt"")"),"Nakhon Si Thammarat")</f>
        <v>Nakhon Si Thammarat</v>
      </c>
      <c r="B18312" s="9" t="s">
        <v>25938</v>
      </c>
      <c r="C18312" s="9" t="s">
        <v>25771</v>
      </c>
      <c r="D18312" s="9" t="s">
        <v>25938</v>
      </c>
      <c r="E18312" s="10">
        <v>1151933</v>
      </c>
      <c r="F18312" s="4" t="str">
        <f>IF(B18312=B18311,"",B18312)</f>
        <v/>
      </c>
    </row>
    <row r="18313" spans="1:6" ht="15.75" customHeight="1">
      <c r="A18313" s="16" t="s">
        <v>25921</v>
      </c>
      <c r="B18313" s="15" t="s">
        <v>25921</v>
      </c>
      <c r="C18313" s="16" t="s">
        <v>25771</v>
      </c>
      <c r="D18313" s="16" t="s">
        <v>25921</v>
      </c>
      <c r="E18313" s="2">
        <v>1608527</v>
      </c>
      <c r="F18313" s="4" t="str">
        <f>IF(B18313=B18312,"",B18313)</f>
        <v>Nakhon Sawan</v>
      </c>
    </row>
    <row r="18314" spans="1:6" ht="15.75" customHeight="1">
      <c r="A18314" s="8" t="str">
        <f ca="1">IFERROR(__xludf.DUMMYFUNCTION("GOOGLETRANSLATE(B41655,""en"",""pt"")"),"Nakhon Sawan")</f>
        <v>Nakhon Sawan</v>
      </c>
      <c r="B18314" s="9" t="s">
        <v>25921</v>
      </c>
      <c r="C18314" s="9" t="s">
        <v>25771</v>
      </c>
      <c r="D18314" s="9" t="s">
        <v>25921</v>
      </c>
      <c r="E18314" s="10">
        <v>1608527</v>
      </c>
      <c r="F18314" s="4" t="str">
        <f>IF(B18314=B18313,"",B18314)</f>
        <v/>
      </c>
    </row>
    <row r="18315" spans="1:6" ht="15.75" customHeight="1">
      <c r="A18315" s="16" t="s">
        <v>25774</v>
      </c>
      <c r="B18315" s="15" t="s">
        <v>25774</v>
      </c>
      <c r="C18315" s="16" t="s">
        <v>25771</v>
      </c>
      <c r="D18315" s="16" t="s">
        <v>25774</v>
      </c>
      <c r="E18315" s="2">
        <v>1608529</v>
      </c>
      <c r="F18315" s="4" t="str">
        <f>IF(B18315=B18314,"",B18315)</f>
        <v>Nakhon Ratchasima</v>
      </c>
    </row>
    <row r="18316" spans="1:6" ht="15.75" customHeight="1">
      <c r="A18316" s="8" t="str">
        <f ca="1">IFERROR(__xludf.DUMMYFUNCTION("GOOGLETRANSLATE(B41656,""en"",""pt"")"),"Nakhon Ratchasima")</f>
        <v>Nakhon Ratchasima</v>
      </c>
      <c r="B18316" s="9" t="s">
        <v>25774</v>
      </c>
      <c r="C18316" s="9" t="s">
        <v>25771</v>
      </c>
      <c r="D18316" s="9" t="s">
        <v>25774</v>
      </c>
      <c r="E18316" s="10">
        <v>1608529</v>
      </c>
      <c r="F18316" s="4" t="str">
        <f>IF(B18316=B18315,"",B18316)</f>
        <v/>
      </c>
    </row>
    <row r="18317" spans="1:6" ht="15.75" customHeight="1">
      <c r="A18317" s="16" t="s">
        <v>25937</v>
      </c>
      <c r="B18317" s="15" t="s">
        <v>25937</v>
      </c>
      <c r="C18317" s="16" t="s">
        <v>25771</v>
      </c>
      <c r="D18317" s="16" t="s">
        <v>25937</v>
      </c>
      <c r="E18317" s="2">
        <v>1608531</v>
      </c>
      <c r="F18317" s="4" t="str">
        <f>IF(B18317=B18316,"",B18317)</f>
        <v>Nakhon Phanom</v>
      </c>
    </row>
    <row r="18318" spans="1:6" ht="15.75" customHeight="1">
      <c r="A18318" s="8" t="str">
        <f ca="1">IFERROR(__xludf.DUMMYFUNCTION("GOOGLETRANSLATE(B41657,""en"",""pt"")"),"Nakhon Phanom")</f>
        <v>Nakhon Phanom</v>
      </c>
      <c r="B18318" s="9" t="s">
        <v>25937</v>
      </c>
      <c r="C18318" s="9" t="s">
        <v>25771</v>
      </c>
      <c r="D18318" s="9" t="s">
        <v>25937</v>
      </c>
      <c r="E18318" s="10">
        <v>1608531</v>
      </c>
      <c r="F18318" s="4" t="str">
        <f>IF(B18318=B18317,"",B18318)</f>
        <v/>
      </c>
    </row>
    <row r="18319" spans="1:6" ht="15.75" customHeight="1">
      <c r="A18319" s="16" t="s">
        <v>25834</v>
      </c>
      <c r="B18319" s="15" t="s">
        <v>25834</v>
      </c>
      <c r="C18319" s="16" t="s">
        <v>25771</v>
      </c>
      <c r="D18319" s="16" t="s">
        <v>25834</v>
      </c>
      <c r="E18319" s="2">
        <v>1608534</v>
      </c>
      <c r="F18319" s="4" t="str">
        <f>IF(B18319=B18318,"",B18319)</f>
        <v>Nakhon Pathom</v>
      </c>
    </row>
    <row r="18320" spans="1:6" ht="15.75" customHeight="1">
      <c r="A18320" s="8" t="str">
        <f ca="1">IFERROR(__xludf.DUMMYFUNCTION("GOOGLETRANSLATE(B41658,""en"",""pt"")"),"Nakhon Pathom")</f>
        <v>Nakhon Pathom</v>
      </c>
      <c r="B18320" s="9" t="s">
        <v>25834</v>
      </c>
      <c r="C18320" s="9" t="s">
        <v>25771</v>
      </c>
      <c r="D18320" s="9" t="s">
        <v>25834</v>
      </c>
      <c r="E18320" s="10">
        <v>1608534</v>
      </c>
      <c r="F18320" s="4" t="str">
        <f>IF(B18320=B18319,"",B18320)</f>
        <v/>
      </c>
    </row>
    <row r="18321" spans="1:6" ht="15.75" customHeight="1">
      <c r="A18321" s="16" t="s">
        <v>25936</v>
      </c>
      <c r="B18321" s="15" t="s">
        <v>25936</v>
      </c>
      <c r="C18321" s="16" t="s">
        <v>25771</v>
      </c>
      <c r="D18321" s="16" t="s">
        <v>25936</v>
      </c>
      <c r="E18321" s="2">
        <v>1608539</v>
      </c>
      <c r="F18321" s="4" t="str">
        <f>IF(B18321=B18320,"",B18321)</f>
        <v>Nakhon Nayok</v>
      </c>
    </row>
    <row r="18322" spans="1:6" ht="15.75" customHeight="1">
      <c r="A18322" s="8" t="str">
        <f ca="1">IFERROR(__xludf.DUMMYFUNCTION("GOOGLETRANSLATE(B41659,""en"",""pt"")"),"Nakhon Nayok")</f>
        <v>Nakhon Nayok</v>
      </c>
      <c r="B18322" s="9" t="s">
        <v>25936</v>
      </c>
      <c r="C18322" s="9" t="s">
        <v>25771</v>
      </c>
      <c r="D18322" s="9" t="s">
        <v>25936</v>
      </c>
      <c r="E18322" s="10">
        <v>1608539</v>
      </c>
      <c r="F18322" s="4" t="str">
        <f>IF(B18322=B18321,"",B18322)</f>
        <v/>
      </c>
    </row>
    <row r="18323" spans="1:6" ht="15.75" customHeight="1">
      <c r="A18323" s="16" t="s">
        <v>25935</v>
      </c>
      <c r="B18323" s="15" t="s">
        <v>25935</v>
      </c>
      <c r="C18323" s="16" t="s">
        <v>25771</v>
      </c>
      <c r="D18323" s="16" t="s">
        <v>25778</v>
      </c>
      <c r="E18323" s="2">
        <v>1608541</v>
      </c>
      <c r="F18323" s="4" t="str">
        <f>IF(B18323=B18322,"",B18323)</f>
        <v>Nakhon Luang</v>
      </c>
    </row>
    <row r="18324" spans="1:6" ht="15.75" customHeight="1">
      <c r="A18324" s="8" t="str">
        <f ca="1">IFERROR(__xludf.DUMMYFUNCTION("GOOGLETRANSLATE(B41660,""en"",""pt"")"),"Nakhon Luang")</f>
        <v>Nakhon Luang</v>
      </c>
      <c r="B18324" s="11" t="s">
        <v>25935</v>
      </c>
      <c r="C18324" s="11" t="s">
        <v>25771</v>
      </c>
      <c r="D18324" s="11" t="s">
        <v>25778</v>
      </c>
      <c r="E18324" s="10">
        <v>1608541</v>
      </c>
      <c r="F18324" s="4" t="str">
        <f>IF(B18324=B18323,"",B18324)</f>
        <v/>
      </c>
    </row>
    <row r="18325" spans="1:6" ht="15.75" customHeight="1">
      <c r="A18325" s="16" t="s">
        <v>22774</v>
      </c>
      <c r="B18325" s="15" t="s">
        <v>22774</v>
      </c>
      <c r="C18325" s="16" t="s">
        <v>22070</v>
      </c>
      <c r="D18325" s="16" t="s">
        <v>22154</v>
      </c>
      <c r="E18325" s="2">
        <v>2019528</v>
      </c>
      <c r="F18325" s="4" t="str">
        <f>IF(B18325=B18324,"",B18325)</f>
        <v>Nakhodka</v>
      </c>
    </row>
    <row r="18326" spans="1:6" ht="15.75" customHeight="1">
      <c r="A18326" s="8" t="str">
        <f ca="1">IFERROR(__xludf.DUMMYFUNCTION("GOOGLETRANSLATE(B40919,""en"",""pt"")"),"Nakhodka")</f>
        <v>Nakhodka</v>
      </c>
      <c r="B18326" s="11" t="s">
        <v>22774</v>
      </c>
      <c r="C18326" s="11" t="s">
        <v>22070</v>
      </c>
      <c r="D18326" s="11" t="s">
        <v>22154</v>
      </c>
      <c r="E18326" s="10">
        <v>2019528</v>
      </c>
      <c r="F18326" s="4" t="str">
        <f>IF(B18326=B18325,"",B18326)</f>
        <v/>
      </c>
    </row>
    <row r="18327" spans="1:6" ht="15.75" customHeight="1">
      <c r="A18327" s="16" t="s">
        <v>1228</v>
      </c>
      <c r="B18327" s="15" t="s">
        <v>1228</v>
      </c>
      <c r="C18327" s="16" t="s">
        <v>1170</v>
      </c>
      <c r="D18327" s="16" t="s">
        <v>1229</v>
      </c>
      <c r="E18327" s="2">
        <v>147429</v>
      </c>
      <c r="F18327" s="4" t="str">
        <f>IF(B18327=B18326,"",B18327)</f>
        <v>Nakhchivan</v>
      </c>
    </row>
    <row r="18328" spans="1:6" ht="15.75" customHeight="1">
      <c r="A18328" s="8" t="str">
        <f ca="1">IFERROR(__xludf.DUMMYFUNCTION("GOOGLETRANSLATE(B23621,""en"",""pt"")"),"Nakhchivan")</f>
        <v>Nakhchivan</v>
      </c>
      <c r="B18328" s="11" t="s">
        <v>1228</v>
      </c>
      <c r="C18328" s="11" t="s">
        <v>1170</v>
      </c>
      <c r="D18328" s="11" t="s">
        <v>1229</v>
      </c>
      <c r="E18328" s="10">
        <v>147429</v>
      </c>
      <c r="F18328" s="4" t="str">
        <f>IF(B18328=B18327,"",B18328)</f>
        <v/>
      </c>
    </row>
    <row r="18329" spans="1:6" ht="15.75" customHeight="1">
      <c r="A18329" s="16" t="s">
        <v>22773</v>
      </c>
      <c r="B18329" s="15" t="s">
        <v>22773</v>
      </c>
      <c r="C18329" s="16" t="s">
        <v>22070</v>
      </c>
      <c r="D18329" s="16" t="s">
        <v>22119</v>
      </c>
      <c r="E18329" s="2">
        <v>523553</v>
      </c>
      <c r="F18329" s="4" t="str">
        <f>IF(B18329=B18328,"",B18329)</f>
        <v>Nakhabino</v>
      </c>
    </row>
    <row r="18330" spans="1:6" ht="15.75" customHeight="1">
      <c r="A18330" s="8" t="str">
        <f ca="1">IFERROR(__xludf.DUMMYFUNCTION("GOOGLETRANSLATE(B40300,""en"",""pt"")"),"Nakhabino")</f>
        <v>Nakhabino</v>
      </c>
      <c r="B18330" s="11" t="s">
        <v>22773</v>
      </c>
      <c r="C18330" s="11" t="s">
        <v>22070</v>
      </c>
      <c r="D18330" s="11" t="s">
        <v>22119</v>
      </c>
      <c r="E18330" s="10">
        <v>523553</v>
      </c>
      <c r="F18330" s="4" t="str">
        <f>IF(B18330=B18329,"",B18330)</f>
        <v/>
      </c>
    </row>
    <row r="18331" spans="1:6" ht="15.75" customHeight="1">
      <c r="A18331" s="16" t="s">
        <v>16282</v>
      </c>
      <c r="B18331" s="15" t="s">
        <v>16282</v>
      </c>
      <c r="C18331" s="16" t="s">
        <v>15704</v>
      </c>
      <c r="D18331" s="16" t="s">
        <v>15748</v>
      </c>
      <c r="E18331" s="2">
        <v>1855753</v>
      </c>
      <c r="F18331" s="4" t="str">
        <f>IF(B18331=B18330,"",B18331)</f>
        <v>Nakatsugawa</v>
      </c>
    </row>
    <row r="18332" spans="1:6" ht="15.75" customHeight="1">
      <c r="A18332" s="8" t="str">
        <f ca="1">IFERROR(__xludf.DUMMYFUNCTION("GOOGLETRANSLATE(B35395,""en"",""pt"")"),"Nakatsugawa")</f>
        <v>Nakatsugawa</v>
      </c>
      <c r="B18332" s="11" t="s">
        <v>16282</v>
      </c>
      <c r="C18332" s="11" t="s">
        <v>15704</v>
      </c>
      <c r="D18332" s="11" t="s">
        <v>15748</v>
      </c>
      <c r="E18332" s="10">
        <v>1855753</v>
      </c>
      <c r="F18332" s="4" t="str">
        <f>IF(B18332=B18331,"",B18332)</f>
        <v/>
      </c>
    </row>
    <row r="18333" spans="1:6" ht="15.75" customHeight="1">
      <c r="A18333" s="15" t="s">
        <v>16281</v>
      </c>
      <c r="B18333" s="15" t="s">
        <v>16281</v>
      </c>
      <c r="C18333" s="15" t="s">
        <v>15704</v>
      </c>
      <c r="D18333" s="15" t="s">
        <v>15722</v>
      </c>
      <c r="E18333" s="2">
        <v>1855757</v>
      </c>
      <c r="F18333" s="4" t="str">
        <f>IF(B18333=B18332,"",B18333)</f>
        <v>Nakatsu</v>
      </c>
    </row>
    <row r="18334" spans="1:6" ht="15.75" customHeight="1">
      <c r="A18334" s="8" t="str">
        <f ca="1">IFERROR(__xludf.DUMMYFUNCTION("GOOGLETRANSLATE(B35396,""en"",""pt"")"),"Nakatsu")</f>
        <v>Nakatsu</v>
      </c>
      <c r="B18334" s="11" t="s">
        <v>16281</v>
      </c>
      <c r="C18334" s="11" t="s">
        <v>15704</v>
      </c>
      <c r="D18334" s="11" t="s">
        <v>15722</v>
      </c>
      <c r="E18334" s="10">
        <v>1855757</v>
      </c>
      <c r="F18334" s="4" t="str">
        <f>IF(B18334=B18333,"",B18334)</f>
        <v/>
      </c>
    </row>
    <row r="18335" spans="1:6" ht="15.75" customHeight="1">
      <c r="A18335" s="8" t="str">
        <f ca="1">IFERROR(__xludf.DUMMYFUNCTION("GOOGLETRANSLATE(B35397,""en"",""pt"")"),"Nakanojōmachi")</f>
        <v>Nakanojōmachi</v>
      </c>
      <c r="B18335" s="9" t="s">
        <v>34343</v>
      </c>
      <c r="C18335" s="9" t="s">
        <v>15704</v>
      </c>
      <c r="D18335" s="9" t="s">
        <v>15731</v>
      </c>
      <c r="E18335" s="10">
        <v>1855852</v>
      </c>
      <c r="F18335" s="4" t="str">
        <f>IF(B18335=B18334,"",B18335)</f>
        <v>Nakanojōmachi</v>
      </c>
    </row>
    <row r="18336" spans="1:6" ht="15.75" customHeight="1">
      <c r="A18336" s="16" t="s">
        <v>16279</v>
      </c>
      <c r="B18336" s="15" t="s">
        <v>16280</v>
      </c>
      <c r="C18336" s="16" t="s">
        <v>15704</v>
      </c>
      <c r="D18336" s="16" t="s">
        <v>15731</v>
      </c>
      <c r="E18336" s="2">
        <v>1855852</v>
      </c>
      <c r="F18336" s="4" t="str">
        <f>IF(B18336=B18335,"",B18336)</f>
        <v>NakanojÅmachi</v>
      </c>
    </row>
    <row r="18337" spans="1:6" ht="15.75" customHeight="1">
      <c r="A18337" s="15" t="s">
        <v>16278</v>
      </c>
      <c r="B18337" s="15" t="s">
        <v>16278</v>
      </c>
      <c r="C18337" s="15" t="s">
        <v>15704</v>
      </c>
      <c r="D18337" s="15" t="s">
        <v>15769</v>
      </c>
      <c r="E18337" s="2">
        <v>1855863</v>
      </c>
      <c r="F18337" s="4" t="str">
        <f>IF(B18337=B18336,"",B18337)</f>
        <v>Nakano</v>
      </c>
    </row>
    <row r="18338" spans="1:6" ht="15.75" customHeight="1">
      <c r="A18338" s="8" t="str">
        <f ca="1">IFERROR(__xludf.DUMMYFUNCTION("GOOGLETRANSLATE(B35398,""en"",""pt"")"),"Nakano")</f>
        <v>Nakano</v>
      </c>
      <c r="B18338" s="11" t="s">
        <v>16278</v>
      </c>
      <c r="C18338" s="11" t="s">
        <v>15704</v>
      </c>
      <c r="D18338" s="11" t="s">
        <v>15769</v>
      </c>
      <c r="E18338" s="10">
        <v>1855863</v>
      </c>
      <c r="F18338" s="4" t="str">
        <f>IF(B18338=B18337,"",B18338)</f>
        <v/>
      </c>
    </row>
    <row r="18339" spans="1:6" ht="15.75" customHeight="1">
      <c r="A18339" s="16" t="s">
        <v>16277</v>
      </c>
      <c r="B18339" s="15" t="s">
        <v>16277</v>
      </c>
      <c r="C18339" s="16" t="s">
        <v>15704</v>
      </c>
      <c r="D18339" s="16" t="s">
        <v>15715</v>
      </c>
      <c r="E18339" s="2">
        <v>1855891</v>
      </c>
      <c r="F18339" s="4" t="str">
        <f>IF(B18339=B18338,"",B18339)</f>
        <v>Nakamura</v>
      </c>
    </row>
    <row r="18340" spans="1:6" ht="15.75" customHeight="1">
      <c r="A18340" s="8" t="str">
        <f ca="1">IFERROR(__xludf.DUMMYFUNCTION("GOOGLETRANSLATE(B35399,""en"",""pt"")"),"Nakamura")</f>
        <v>Nakamura</v>
      </c>
      <c r="B18340" s="11" t="s">
        <v>16277</v>
      </c>
      <c r="C18340" s="11" t="s">
        <v>15704</v>
      </c>
      <c r="D18340" s="11" t="s">
        <v>15715</v>
      </c>
      <c r="E18340" s="10">
        <v>1855891</v>
      </c>
      <c r="F18340" s="4" t="str">
        <f>IF(B18340=B18339,"",B18340)</f>
        <v/>
      </c>
    </row>
    <row r="18341" spans="1:6" ht="15.75" customHeight="1">
      <c r="A18341" s="15" t="s">
        <v>16276</v>
      </c>
      <c r="B18341" s="15" t="s">
        <v>16276</v>
      </c>
      <c r="C18341" s="15" t="s">
        <v>15704</v>
      </c>
      <c r="D18341" s="15" t="s">
        <v>15722</v>
      </c>
      <c r="E18341" s="2">
        <v>1855907</v>
      </c>
      <c r="F18341" s="4" t="str">
        <f>IF(B18341=B18340,"",B18341)</f>
        <v>Nakama</v>
      </c>
    </row>
    <row r="18342" spans="1:6" ht="15.75" customHeight="1">
      <c r="A18342" s="8" t="str">
        <f ca="1">IFERROR(__xludf.DUMMYFUNCTION("GOOGLETRANSLATE(B35400,""en"",""pt"")"),"Nakama")</f>
        <v>Nakama</v>
      </c>
      <c r="B18342" s="11" t="s">
        <v>16276</v>
      </c>
      <c r="C18342" s="11" t="s">
        <v>15704</v>
      </c>
      <c r="D18342" s="11" t="s">
        <v>15722</v>
      </c>
      <c r="E18342" s="10">
        <v>1855907</v>
      </c>
      <c r="F18342" s="4" t="str">
        <f>IF(B18342=B18341,"",B18342)</f>
        <v/>
      </c>
    </row>
    <row r="18343" spans="1:6" ht="15.75" customHeight="1">
      <c r="A18343" s="15" t="s">
        <v>9597</v>
      </c>
      <c r="B18343" s="15" t="s">
        <v>9598</v>
      </c>
      <c r="C18343" s="15" t="s">
        <v>9441</v>
      </c>
      <c r="D18343" s="15" t="s">
        <v>9445</v>
      </c>
      <c r="E18343" s="2">
        <v>256429</v>
      </c>
      <c r="F18343" s="4" t="str">
        <f>IF(B18343=B18342,"",B18343)</f>
        <v>NÃ­kaia</v>
      </c>
    </row>
    <row r="18344" spans="1:6" ht="15.75" customHeight="1">
      <c r="A18344" s="15" t="s">
        <v>12575</v>
      </c>
      <c r="B18344" s="15" t="s">
        <v>12576</v>
      </c>
      <c r="C18344" s="15" t="s">
        <v>10178</v>
      </c>
      <c r="D18344" s="15" t="s">
        <v>10193</v>
      </c>
      <c r="E18344" s="2">
        <v>1262089</v>
      </c>
      <c r="F18344" s="4" t="str">
        <f>IF(B18344=B18343,"",B18344)</f>
        <v>NakÅ«r</v>
      </c>
    </row>
    <row r="18345" spans="1:6" ht="15.75" customHeight="1">
      <c r="A18345" s="16" t="s">
        <v>21366</v>
      </c>
      <c r="B18345" s="15" t="s">
        <v>21367</v>
      </c>
      <c r="C18345" s="16" t="s">
        <v>21064</v>
      </c>
      <c r="D18345" s="16" t="s">
        <v>21125</v>
      </c>
      <c r="E18345" s="2">
        <v>3091150</v>
      </c>
      <c r="F18345" s="4" t="str">
        <f>IF(B18345=B18344,"",B18345)</f>
        <v>NakÅ‚o nad NoteciÄ…</v>
      </c>
    </row>
    <row r="18346" spans="1:6" ht="15.75" customHeight="1">
      <c r="A18346" s="15" t="s">
        <v>16275</v>
      </c>
      <c r="B18346" s="15" t="s">
        <v>16275</v>
      </c>
      <c r="C18346" s="15" t="s">
        <v>15704</v>
      </c>
      <c r="D18346" s="15" t="s">
        <v>15724</v>
      </c>
      <c r="E18346" s="2">
        <v>2111749</v>
      </c>
      <c r="F18346" s="4" t="str">
        <f>IF(B18346=B18345,"",B18346)</f>
        <v>Naka</v>
      </c>
    </row>
    <row r="18347" spans="1:6" ht="15.75" customHeight="1">
      <c r="A18347" s="8" t="str">
        <f ca="1">IFERROR(__xludf.DUMMYFUNCTION("GOOGLETRANSLATE(B35757,""en"",""pt"")"),"Naka")</f>
        <v>Naka</v>
      </c>
      <c r="B18347" s="9" t="s">
        <v>16275</v>
      </c>
      <c r="C18347" s="9" t="s">
        <v>15704</v>
      </c>
      <c r="D18347" s="9" t="s">
        <v>15724</v>
      </c>
      <c r="E18347" s="10">
        <v>2111749</v>
      </c>
      <c r="F18347" s="4" t="str">
        <f>IF(B18347=B18346,"",B18347)</f>
        <v/>
      </c>
    </row>
    <row r="18348" spans="1:6" ht="15.75" customHeight="1">
      <c r="A18348" s="15" t="s">
        <v>24123</v>
      </c>
      <c r="B18348" s="15" t="s">
        <v>24123</v>
      </c>
      <c r="C18348" s="15" t="s">
        <v>24024</v>
      </c>
      <c r="D18348" s="15" t="s">
        <v>24035</v>
      </c>
      <c r="E18348" s="2">
        <v>1840536</v>
      </c>
      <c r="F18348" s="4" t="str">
        <f>IF(B18348=B18347,"",B18348)</f>
        <v>Naju</v>
      </c>
    </row>
    <row r="18349" spans="1:6" ht="15.75" customHeight="1">
      <c r="A18349" s="8" t="str">
        <f ca="1">IFERROR(__xludf.DUMMYFUNCTION("GOOGLETRANSLATE(B36091,""en"",""pt"")"),"Naju")</f>
        <v>Naju</v>
      </c>
      <c r="B18349" s="9" t="s">
        <v>24123</v>
      </c>
      <c r="C18349" s="9" t="s">
        <v>24024</v>
      </c>
      <c r="D18349" s="9" t="s">
        <v>24035</v>
      </c>
      <c r="E18349" s="10">
        <v>1840536</v>
      </c>
      <c r="F18349" s="4" t="str">
        <f>IF(B18349=B18348,"",B18349)</f>
        <v/>
      </c>
    </row>
    <row r="18350" spans="1:6" ht="15.75" customHeight="1">
      <c r="A18350" s="8" t="str">
        <f ca="1">IFERROR(__xludf.DUMMYFUNCTION("GOOGLETRANSLATE(B41025,""en"",""pt"")"),"Najrān")</f>
        <v>Najrān</v>
      </c>
      <c r="B18350" s="11" t="s">
        <v>35582</v>
      </c>
      <c r="C18350" s="11" t="s">
        <v>23454</v>
      </c>
      <c r="D18350" s="11" t="s">
        <v>35582</v>
      </c>
      <c r="E18350" s="10">
        <v>103630</v>
      </c>
      <c r="F18350" s="4" t="str">
        <f>IF(B18350=B18349,"",B18350)</f>
        <v>Najrān</v>
      </c>
    </row>
    <row r="18351" spans="1:6" ht="15.75" customHeight="1">
      <c r="A18351" s="15" t="s">
        <v>23534</v>
      </c>
      <c r="B18351" s="15" t="s">
        <v>23535</v>
      </c>
      <c r="C18351" s="15" t="s">
        <v>23454</v>
      </c>
      <c r="D18351" s="15" t="s">
        <v>23535</v>
      </c>
      <c r="E18351" s="2">
        <v>103630</v>
      </c>
      <c r="F18351" s="4" t="str">
        <f>IF(B18351=B18350,"",B18351)</f>
        <v>NajrÄn</v>
      </c>
    </row>
    <row r="18352" spans="1:6" ht="15.75" customHeight="1">
      <c r="A18352" s="15" t="s">
        <v>19653</v>
      </c>
      <c r="B18352" s="15" t="s">
        <v>19653</v>
      </c>
      <c r="C18352" s="15" t="s">
        <v>19589</v>
      </c>
      <c r="D18352" s="15" t="s">
        <v>19654</v>
      </c>
      <c r="E18352" s="2">
        <v>2042645</v>
      </c>
      <c r="F18352" s="4" t="str">
        <f>IF(B18352=B18351,"",B18352)</f>
        <v>Najin</v>
      </c>
    </row>
    <row r="18353" spans="1:6" ht="15.75" customHeight="1">
      <c r="A18353" s="8" t="str">
        <f ca="1">IFERROR(__xludf.DUMMYFUNCTION("GOOGLETRANSLATE(B36033,""en"",""pt"")"),"Najin")</f>
        <v>Najin</v>
      </c>
      <c r="B18353" s="9" t="s">
        <v>19653</v>
      </c>
      <c r="C18353" s="9" t="s">
        <v>19589</v>
      </c>
      <c r="D18353" s="9" t="s">
        <v>19654</v>
      </c>
      <c r="E18353" s="10">
        <v>2042645</v>
      </c>
      <c r="F18353" s="4" t="str">
        <f>IF(B18353=B18352,"",B18353)</f>
        <v/>
      </c>
    </row>
    <row r="18354" spans="1:6" ht="15.75" customHeight="1">
      <c r="A18354" s="8" t="str">
        <f ca="1">IFERROR(__xludf.DUMMYFUNCTION("GOOGLETRANSLATE(B32682,""en"",""pt"")"),"Najībābād")</f>
        <v>Najībābād</v>
      </c>
      <c r="B18354" s="11" t="s">
        <v>33339</v>
      </c>
      <c r="C18354" s="11" t="s">
        <v>10178</v>
      </c>
      <c r="D18354" s="11" t="s">
        <v>10193</v>
      </c>
      <c r="E18354" s="10">
        <v>1262109</v>
      </c>
      <c r="F18354" s="4" t="str">
        <f>IF(B18354=B18353,"",B18354)</f>
        <v>Najībābād</v>
      </c>
    </row>
    <row r="18355" spans="1:6" ht="15.75" customHeight="1">
      <c r="A18355" s="15" t="s">
        <v>24647</v>
      </c>
      <c r="B18355" s="15" t="s">
        <v>24648</v>
      </c>
      <c r="C18355" s="15" t="s">
        <v>24200</v>
      </c>
      <c r="D18355" s="15" t="s">
        <v>24205</v>
      </c>
      <c r="E18355" s="2">
        <v>2513222</v>
      </c>
      <c r="F18355" s="4" t="str">
        <f>IF(B18355=B18354,"",B18355)</f>
        <v>NÃ­jar</v>
      </c>
    </row>
    <row r="18356" spans="1:6" ht="15.75" customHeight="1">
      <c r="A18356" s="8" t="str">
        <f ca="1">IFERROR(__xludf.DUMMYFUNCTION("GOOGLETRANSLATE(B34517,""en"",""pt"")"),"Najafābād")</f>
        <v>Najafābād</v>
      </c>
      <c r="B18356" s="11" t="s">
        <v>34252</v>
      </c>
      <c r="C18356" s="11" t="s">
        <v>14240</v>
      </c>
      <c r="D18356" s="11" t="s">
        <v>14294</v>
      </c>
      <c r="E18356" s="10">
        <v>418606</v>
      </c>
      <c r="F18356" s="4" t="str">
        <f>IF(B18356=B18355,"",B18356)</f>
        <v>Najafābād</v>
      </c>
    </row>
    <row r="18357" spans="1:6" ht="15.75" customHeight="1">
      <c r="A18357" s="16" t="s">
        <v>14470</v>
      </c>
      <c r="B18357" s="15" t="s">
        <v>14471</v>
      </c>
      <c r="C18357" s="16" t="s">
        <v>14240</v>
      </c>
      <c r="D18357" s="16" t="s">
        <v>14294</v>
      </c>
      <c r="E18357" s="2">
        <v>418606</v>
      </c>
      <c r="F18357" s="4" t="str">
        <f>IF(B18357=B18356,"",B18357)</f>
        <v>NajafÄbÄd</v>
      </c>
    </row>
    <row r="18358" spans="1:6" ht="15.75" customHeight="1">
      <c r="A18358" s="15" t="s">
        <v>14707</v>
      </c>
      <c r="B18358" s="15" t="s">
        <v>14707</v>
      </c>
      <c r="C18358" s="15" t="s">
        <v>14594</v>
      </c>
      <c r="D18358" s="15" t="s">
        <v>14651</v>
      </c>
      <c r="E18358" s="2">
        <v>98860</v>
      </c>
      <c r="F18358" s="4" t="str">
        <f>IF(B18358=B18357,"",B18358)</f>
        <v>Najaf</v>
      </c>
    </row>
    <row r="18359" spans="1:6" ht="15.75" customHeight="1">
      <c r="A18359" s="8" t="str">
        <f ca="1">IFERROR(__xludf.DUMMYFUNCTION("GOOGLETRANSLATE(B34311,""en"",""pt"")"),"Najaf")</f>
        <v>Najaf</v>
      </c>
      <c r="B18359" s="11" t="s">
        <v>14707</v>
      </c>
      <c r="C18359" s="11" t="s">
        <v>14594</v>
      </c>
      <c r="D18359" s="11" t="s">
        <v>14651</v>
      </c>
      <c r="E18359" s="10">
        <v>98860</v>
      </c>
      <c r="F18359" s="4" t="str">
        <f>IF(B18359=B18358,"",B18359)</f>
        <v/>
      </c>
    </row>
    <row r="18360" spans="1:6" ht="15.75" customHeight="1">
      <c r="A18360" s="16" t="s">
        <v>12573</v>
      </c>
      <c r="B18360" s="15" t="s">
        <v>12574</v>
      </c>
      <c r="C18360" s="16" t="s">
        <v>10178</v>
      </c>
      <c r="D18360" s="16" t="s">
        <v>10193</v>
      </c>
      <c r="E18360" s="2">
        <v>1262109</v>
      </c>
      <c r="F18360" s="4" t="str">
        <f>IF(B18360=B18359,"",B18360)</f>
        <v>NajÄ«bÄbÄd</v>
      </c>
    </row>
    <row r="18361" spans="1:6" ht="15.75" customHeight="1">
      <c r="A18361" s="16" t="s">
        <v>6689</v>
      </c>
      <c r="B18361" s="15" t="s">
        <v>6690</v>
      </c>
      <c r="C18361" s="16" t="s">
        <v>6495</v>
      </c>
      <c r="D18361" s="16" t="s">
        <v>6634</v>
      </c>
      <c r="E18361" s="2">
        <v>351434</v>
      </c>
      <c r="F18361" s="4" t="str">
        <f>IF(B18361=B18360,"",B18361)</f>
        <v>Najâ€˜ á¸¨ammÄdÄ«</v>
      </c>
    </row>
    <row r="18362" spans="1:6" ht="15.75" customHeight="1">
      <c r="A18362" s="8" t="str">
        <f ca="1">IFERROR(__xludf.DUMMYFUNCTION("GOOGLETRANSLATE(B28843,""en"",""pt"")"),"Naj ‘mammādī")</f>
        <v>Naj ‘mammādī</v>
      </c>
      <c r="B18362" s="9" t="s">
        <v>32269</v>
      </c>
      <c r="C18362" s="9" t="s">
        <v>6495</v>
      </c>
      <c r="D18362" s="9" t="s">
        <v>32267</v>
      </c>
      <c r="E18362" s="10">
        <v>351434</v>
      </c>
      <c r="F18362" s="4" t="str">
        <f>IF(B18362=B18361,"",B18362)</f>
        <v>Naj‘ Ḩammādī</v>
      </c>
    </row>
    <row r="18363" spans="1:6" ht="15.75" customHeight="1">
      <c r="A18363" s="15" t="s">
        <v>16831</v>
      </c>
      <c r="B18363" s="15" t="s">
        <v>16831</v>
      </c>
      <c r="C18363" s="15" t="s">
        <v>16781</v>
      </c>
      <c r="D18363" s="15" t="s">
        <v>16824</v>
      </c>
      <c r="E18363" s="2">
        <v>184707</v>
      </c>
      <c r="F18363" s="4" t="str">
        <f>IF(B18363=B18362,"",B18363)</f>
        <v>Naivasha</v>
      </c>
    </row>
    <row r="18364" spans="1:6" ht="15.75" customHeight="1">
      <c r="A18364" s="8" t="str">
        <f ca="1">IFERROR(__xludf.DUMMYFUNCTION("GOOGLETRANSLATE(B35895,""en"",""pt"")"),"Naivasha")</f>
        <v>Naivasha</v>
      </c>
      <c r="B18364" s="11" t="s">
        <v>16831</v>
      </c>
      <c r="C18364" s="11" t="s">
        <v>16781</v>
      </c>
      <c r="D18364" s="11" t="s">
        <v>16824</v>
      </c>
      <c r="E18364" s="10">
        <v>184707</v>
      </c>
      <c r="F18364" s="4" t="str">
        <f>IF(B18364=B18363,"",B18364)</f>
        <v/>
      </c>
    </row>
    <row r="18365" spans="1:6" ht="15.75" customHeight="1">
      <c r="A18365" s="15" t="s">
        <v>16829</v>
      </c>
      <c r="B18365" s="15" t="s">
        <v>16829</v>
      </c>
      <c r="C18365" s="15" t="s">
        <v>16781</v>
      </c>
      <c r="D18365" s="15" t="s">
        <v>16830</v>
      </c>
      <c r="E18365" s="2">
        <v>184745</v>
      </c>
      <c r="F18365" s="4" t="str">
        <f>IF(B18365=B18364,"",B18365)</f>
        <v>Nairobi</v>
      </c>
    </row>
    <row r="18366" spans="1:6" ht="15.75" customHeight="1">
      <c r="A18366" s="8" t="str">
        <f ca="1">IFERROR(__xludf.DUMMYFUNCTION("GOOGLETRANSLATE(B35896,""en"",""pt"")"),"Nairobi")</f>
        <v>Nairobi</v>
      </c>
      <c r="B18366" s="9" t="s">
        <v>16829</v>
      </c>
      <c r="C18366" s="9" t="s">
        <v>16781</v>
      </c>
      <c r="D18366" s="9" t="s">
        <v>16830</v>
      </c>
      <c r="E18366" s="10">
        <v>184745</v>
      </c>
      <c r="F18366" s="4" t="str">
        <f>IF(B18366=B18365,"",B18366)</f>
        <v/>
      </c>
    </row>
    <row r="18367" spans="1:6" ht="15.75" customHeight="1">
      <c r="A18367" s="15" t="s">
        <v>12572</v>
      </c>
      <c r="B18367" s="15" t="s">
        <v>12572</v>
      </c>
      <c r="C18367" s="15" t="s">
        <v>10178</v>
      </c>
      <c r="D18367" s="15" t="s">
        <v>10179</v>
      </c>
      <c r="E18367" s="2">
        <v>1262115</v>
      </c>
      <c r="F18367" s="4" t="str">
        <f>IF(B18367=B18366,"",B18367)</f>
        <v>Nainwa</v>
      </c>
    </row>
    <row r="18368" spans="1:6" ht="15.75" customHeight="1">
      <c r="A18368" s="8" t="str">
        <f ca="1">IFERROR(__xludf.DUMMYFUNCTION("GOOGLETRANSLATE(B32683,""en"",""pt"")"),"Nainwa")</f>
        <v>Nainwa</v>
      </c>
      <c r="B18368" s="9" t="s">
        <v>12572</v>
      </c>
      <c r="C18368" s="9" t="s">
        <v>10178</v>
      </c>
      <c r="D18368" s="9" t="s">
        <v>10179</v>
      </c>
      <c r="E18368" s="10">
        <v>1262115</v>
      </c>
      <c r="F18368" s="4" t="str">
        <f>IF(B18368=B18367,"",B18368)</f>
        <v/>
      </c>
    </row>
    <row r="18369" spans="1:6" ht="15.75" customHeight="1">
      <c r="A18369" s="15" t="s">
        <v>12571</v>
      </c>
      <c r="B18369" s="15" t="s">
        <v>12571</v>
      </c>
      <c r="C18369" s="15" t="s">
        <v>10178</v>
      </c>
      <c r="D18369" s="15" t="s">
        <v>10219</v>
      </c>
      <c r="E18369" s="2">
        <v>1262116</v>
      </c>
      <c r="F18369" s="4" t="str">
        <f>IF(B18369=B18368,"",B18369)</f>
        <v>Nainpur</v>
      </c>
    </row>
    <row r="18370" spans="1:6" ht="15.75" customHeight="1">
      <c r="A18370" s="8" t="str">
        <f ca="1">IFERROR(__xludf.DUMMYFUNCTION("GOOGLETRANSLATE(B32684,""en"",""pt"")"),"Nainpur")</f>
        <v>Nainpur</v>
      </c>
      <c r="B18370" s="9" t="s">
        <v>12571</v>
      </c>
      <c r="C18370" s="9" t="s">
        <v>10178</v>
      </c>
      <c r="D18370" s="9" t="s">
        <v>10219</v>
      </c>
      <c r="E18370" s="10">
        <v>1262116</v>
      </c>
      <c r="F18370" s="4" t="str">
        <f>IF(B18370=B18369,"",B18370)</f>
        <v/>
      </c>
    </row>
    <row r="18371" spans="1:6" ht="15.75" customHeight="1">
      <c r="A18371" s="8" t="str">
        <f ca="1">IFERROR(__xludf.DUMMYFUNCTION("GOOGLETRANSLATE(B32685,""en"",""pt"")"),"Naini Tāl")</f>
        <v>Naini Tāl</v>
      </c>
      <c r="B18371" s="11" t="s">
        <v>33340</v>
      </c>
      <c r="C18371" s="11" t="s">
        <v>10178</v>
      </c>
      <c r="D18371" s="11" t="s">
        <v>10299</v>
      </c>
      <c r="E18371" s="10">
        <v>1262117</v>
      </c>
      <c r="F18371" s="4" t="str">
        <f>IF(B18371=B18370,"",B18371)</f>
        <v>Naini Tāl</v>
      </c>
    </row>
    <row r="18372" spans="1:6" ht="15.75" customHeight="1">
      <c r="A18372" s="15" t="s">
        <v>12569</v>
      </c>
      <c r="B18372" s="15" t="s">
        <v>12570</v>
      </c>
      <c r="C18372" s="15" t="s">
        <v>10178</v>
      </c>
      <c r="D18372" s="15" t="s">
        <v>10299</v>
      </c>
      <c r="E18372" s="2">
        <v>1262117</v>
      </c>
      <c r="F18372" s="4" t="str">
        <f>IF(B18372=B18371,"",B18372)</f>
        <v>Naini TÄl</v>
      </c>
    </row>
    <row r="18373" spans="1:6" ht="15.75" customHeight="1">
      <c r="A18373" s="15" t="s">
        <v>27545</v>
      </c>
      <c r="B18373" s="15" t="s">
        <v>27545</v>
      </c>
      <c r="C18373" s="15" t="s">
        <v>27234</v>
      </c>
      <c r="D18373" s="15" t="s">
        <v>27241</v>
      </c>
      <c r="E18373" s="2">
        <v>2641913</v>
      </c>
      <c r="F18373" s="4" t="str">
        <f>IF(B18373=B18372,"",B18373)</f>
        <v>Nailsea</v>
      </c>
    </row>
    <row r="18374" spans="1:6" ht="15.75" customHeight="1">
      <c r="A18374" s="8" t="str">
        <f ca="1">IFERROR(__xludf.DUMMYFUNCTION("GOOGLETRANSLATE(B30530,""en"",""pt"")"),"Nailsea")</f>
        <v>Nailsea</v>
      </c>
      <c r="B18374" s="9" t="s">
        <v>27545</v>
      </c>
      <c r="C18374" s="9" t="s">
        <v>27234</v>
      </c>
      <c r="D18374" s="9" t="s">
        <v>27241</v>
      </c>
      <c r="E18374" s="10">
        <v>2641913</v>
      </c>
      <c r="F18374" s="4" t="str">
        <f>IF(B18374=B18373,"",B18374)</f>
        <v/>
      </c>
    </row>
    <row r="18375" spans="1:6" ht="15.75" customHeight="1">
      <c r="A18375" s="8" t="str">
        <f ca="1">IFERROR(__xludf.DUMMYFUNCTION("GOOGLETRANSLATE(B32686,""en"",""pt"")"),"Naihāti")</f>
        <v>Naihāti</v>
      </c>
      <c r="B18375" s="11" t="s">
        <v>33341</v>
      </c>
      <c r="C18375" s="11" t="s">
        <v>10178</v>
      </c>
      <c r="D18375" s="11" t="s">
        <v>10201</v>
      </c>
      <c r="E18375" s="10">
        <v>1262131</v>
      </c>
      <c r="F18375" s="4" t="str">
        <f>IF(B18375=B18374,"",B18375)</f>
        <v>Naihāti</v>
      </c>
    </row>
    <row r="18376" spans="1:6" ht="15.75" customHeight="1">
      <c r="A18376" s="15" t="s">
        <v>12567</v>
      </c>
      <c r="B18376" s="15" t="s">
        <v>12568</v>
      </c>
      <c r="C18376" s="15" t="s">
        <v>10178</v>
      </c>
      <c r="D18376" s="15" t="s">
        <v>10201</v>
      </c>
      <c r="E18376" s="2">
        <v>1262131</v>
      </c>
      <c r="F18376" s="4" t="str">
        <f>IF(B18376=B18375,"",B18376)</f>
        <v>NaihÄti</v>
      </c>
    </row>
    <row r="18377" spans="1:6" ht="15.75" customHeight="1">
      <c r="A18377" s="15" t="s">
        <v>20918</v>
      </c>
      <c r="B18377" s="15" t="s">
        <v>20918</v>
      </c>
      <c r="C18377" s="15" t="s">
        <v>20598</v>
      </c>
      <c r="D18377" s="15" t="s">
        <v>20608</v>
      </c>
      <c r="E18377" s="2">
        <v>1698548</v>
      </c>
      <c r="F18377" s="4" t="str">
        <f>IF(B18377=B18376,"",B18377)</f>
        <v>Naic</v>
      </c>
    </row>
    <row r="18378" spans="1:6" ht="15.75" customHeight="1">
      <c r="A18378" s="8" t="str">
        <f ca="1">IFERROR(__xludf.DUMMYFUNCTION("GOOGLETRANSLATE(B38588,""en"",""pt"")"),"Naic")</f>
        <v>Naic</v>
      </c>
      <c r="B18378" s="11" t="s">
        <v>20918</v>
      </c>
      <c r="C18378" s="11" t="s">
        <v>20598</v>
      </c>
      <c r="D18378" s="11" t="s">
        <v>20608</v>
      </c>
      <c r="E18378" s="10">
        <v>1698548</v>
      </c>
      <c r="F18378" s="4" t="str">
        <f>IF(B18378=B18377,"",B18378)</f>
        <v/>
      </c>
    </row>
    <row r="18379" spans="1:6" ht="15.75" customHeight="1">
      <c r="A18379" s="15" t="s">
        <v>9757</v>
      </c>
      <c r="B18379" s="15" t="s">
        <v>9758</v>
      </c>
      <c r="C18379" s="15" t="s">
        <v>9700</v>
      </c>
      <c r="D18379" s="15" t="s">
        <v>9759</v>
      </c>
      <c r="E18379" s="2">
        <v>3592286</v>
      </c>
      <c r="F18379" s="4" t="str">
        <f>IF(B18379=B18378,"",B18379)</f>
        <v>NahualÃ¡</v>
      </c>
    </row>
    <row r="18380" spans="1:6" ht="15.75" customHeight="1">
      <c r="A18380" s="8" t="str">
        <f ca="1">IFERROR(__xludf.DUMMYFUNCTION("GOOGLETRANSLATE(B31105,""en"",""pt"")"),"Nahualá")</f>
        <v>Nahualá</v>
      </c>
      <c r="B18380" s="9" t="s">
        <v>32786</v>
      </c>
      <c r="C18380" s="9" t="s">
        <v>9700</v>
      </c>
      <c r="D18380" s="9" t="s">
        <v>32768</v>
      </c>
      <c r="E18380" s="10">
        <v>3592286</v>
      </c>
      <c r="F18380" s="4" t="str">
        <f>IF(B18380=B18379,"",B18380)</f>
        <v>Nahualá</v>
      </c>
    </row>
    <row r="18381" spans="1:6" ht="15.75" customHeight="1">
      <c r="A18381" s="8" t="str">
        <f ca="1">IFERROR(__xludf.DUMMYFUNCTION("GOOGLETRANSLATE(B23067,""en"",""pt"")"),"Nahrīn")</f>
        <v>Nahrīn</v>
      </c>
      <c r="B18381" s="9" t="s">
        <v>31121</v>
      </c>
      <c r="C18381" s="9" t="s">
        <v>8</v>
      </c>
      <c r="D18381" s="9" t="s">
        <v>31119</v>
      </c>
      <c r="E18381" s="10">
        <v>1132495</v>
      </c>
      <c r="F18381" s="4" t="str">
        <f>IF(B18381=B18380,"",B18381)</f>
        <v>Nahrīn</v>
      </c>
    </row>
    <row r="18382" spans="1:6" ht="15.75" customHeight="1">
      <c r="A18382" s="15" t="s">
        <v>84</v>
      </c>
      <c r="B18382" s="15" t="s">
        <v>85</v>
      </c>
      <c r="C18382" s="15" t="s">
        <v>8</v>
      </c>
      <c r="D18382" s="15" t="s">
        <v>29</v>
      </c>
      <c r="E18382" s="2">
        <v>1132495</v>
      </c>
      <c r="F18382" s="4" t="str">
        <f>IF(B18382=B18381,"",B18382)</f>
        <v>NahrÄ«n</v>
      </c>
    </row>
    <row r="18383" spans="1:6" ht="15.75" customHeight="1">
      <c r="A18383" s="16" t="s">
        <v>12566</v>
      </c>
      <c r="B18383" s="15" t="s">
        <v>12566</v>
      </c>
      <c r="C18383" s="16" t="s">
        <v>10178</v>
      </c>
      <c r="D18383" s="16" t="s">
        <v>10239</v>
      </c>
      <c r="E18383" s="2">
        <v>1262140</v>
      </c>
      <c r="F18383" s="4" t="str">
        <f>IF(B18383=B18382,"",B18383)</f>
        <v>Nahorkatiya</v>
      </c>
    </row>
    <row r="18384" spans="1:6" ht="15.75" customHeight="1">
      <c r="A18384" s="8" t="str">
        <f ca="1">IFERROR(__xludf.DUMMYFUNCTION("GOOGLETRANSLATE(B32687,""en"",""pt"")"),"Nahorkatiya")</f>
        <v>Nahorkatiya</v>
      </c>
      <c r="B18384" s="11" t="s">
        <v>12566</v>
      </c>
      <c r="C18384" s="11" t="s">
        <v>10178</v>
      </c>
      <c r="D18384" s="11" t="s">
        <v>10239</v>
      </c>
      <c r="E18384" s="10">
        <v>1262140</v>
      </c>
      <c r="F18384" s="4" t="str">
        <f>IF(B18384=B18383,"",B18384)</f>
        <v/>
      </c>
    </row>
    <row r="18385" spans="1:6" ht="15.75" customHeight="1">
      <c r="A18385" s="8" t="str">
        <f ca="1">IFERROR(__xludf.DUMMYFUNCTION("GOOGLETRANSLATE(B34279,""en"",""pt"")"),"Nāḩīyat Saddat Al Hindīyah")</f>
        <v>Nāḩīyat Saddat Al Hindīyah</v>
      </c>
      <c r="B18385" s="9" t="s">
        <v>34072</v>
      </c>
      <c r="C18385" s="9" t="s">
        <v>14594</v>
      </c>
      <c r="D18385" s="9" t="s">
        <v>34073</v>
      </c>
      <c r="E18385" s="10">
        <v>91812</v>
      </c>
      <c r="F18385" s="4" t="str">
        <f>IF(B18385=B18384,"",B18385)</f>
        <v>Nāḩīyat Saddat al Hindīyah</v>
      </c>
    </row>
    <row r="18386" spans="1:6" ht="15.75" customHeight="1">
      <c r="A18386" s="16" t="s">
        <v>14706</v>
      </c>
      <c r="B18386" s="15" t="s">
        <v>14706</v>
      </c>
      <c r="C18386" s="16" t="s">
        <v>14594</v>
      </c>
      <c r="D18386" s="16" t="s">
        <v>14601</v>
      </c>
      <c r="E18386" s="2">
        <v>99434</v>
      </c>
      <c r="F18386" s="4" t="str">
        <f>IF(B18386=B18385,"",B18386)</f>
        <v>Nahiyat Ghammas</v>
      </c>
    </row>
    <row r="18387" spans="1:6" ht="15.75" customHeight="1">
      <c r="A18387" s="8" t="str">
        <f ca="1">IFERROR(__xludf.DUMMYFUNCTION("GOOGLETRANSLATE(B34327,""en"",""pt"")"),"Nahiyat Ghammas")</f>
        <v>Nahiyat Ghammas</v>
      </c>
      <c r="B18387" s="9" t="s">
        <v>14706</v>
      </c>
      <c r="C18387" s="9" t="s">
        <v>14594</v>
      </c>
      <c r="D18387" s="9" t="s">
        <v>34090</v>
      </c>
      <c r="E18387" s="10">
        <v>99434</v>
      </c>
      <c r="F18387" s="4" t="str">
        <f>IF(B18387=B18386,"",B18387)</f>
        <v/>
      </c>
    </row>
    <row r="18388" spans="1:6" ht="15.75" customHeight="1">
      <c r="A18388" s="8" t="str">
        <f ca="1">IFERROR(__xludf.DUMMYFUNCTION("GOOGLETRANSLATE(B34303,""en"",""pt"")"),"Nāḩiyat Ash Shināfīyah")</f>
        <v>Nāḩiyat Ash Shināfīyah</v>
      </c>
      <c r="B18388" s="11" t="s">
        <v>34089</v>
      </c>
      <c r="C18388" s="11" t="s">
        <v>14594</v>
      </c>
      <c r="D18388" s="11" t="s">
        <v>34090</v>
      </c>
      <c r="E18388" s="10">
        <v>98589</v>
      </c>
      <c r="F18388" s="4" t="str">
        <f>IF(B18388=B18387,"",B18388)</f>
        <v>Nāḩiyat ash Shināfīyah</v>
      </c>
    </row>
    <row r="18389" spans="1:6" ht="15.75" customHeight="1">
      <c r="A18389" s="8" t="str">
        <f ca="1">IFERROR(__xludf.DUMMYFUNCTION("GOOGLETRANSLATE(B34328,""en"",""pt"")"),"Nāḩiyat al fuhūd")</f>
        <v>Nāḩiyat al fuhūd</v>
      </c>
      <c r="B18389" s="9" t="s">
        <v>34107</v>
      </c>
      <c r="C18389" s="9" t="s">
        <v>14594</v>
      </c>
      <c r="D18389" s="9" t="s">
        <v>14657</v>
      </c>
      <c r="E18389" s="10">
        <v>99439</v>
      </c>
      <c r="F18389" s="4" t="str">
        <f>IF(B18389=B18388,"",B18389)</f>
        <v>Nāḩiyat al Fuhūd</v>
      </c>
    </row>
    <row r="18390" spans="1:6" ht="15.75" customHeight="1">
      <c r="A18390" s="8" t="str">
        <f ca="1">IFERROR(__xludf.DUMMYFUNCTION("GOOGLETRANSLATE(B34410,""en"",""pt"")"),"Nahāvand")</f>
        <v>Nahāvand</v>
      </c>
      <c r="B18390" s="11" t="s">
        <v>34172</v>
      </c>
      <c r="C18390" s="11" t="s">
        <v>14240</v>
      </c>
      <c r="D18390" s="11" t="s">
        <v>34118</v>
      </c>
      <c r="E18390" s="10">
        <v>122915</v>
      </c>
      <c r="F18390" s="4" t="str">
        <f>IF(B18390=B18389,"",B18390)</f>
        <v>Nahāvand</v>
      </c>
    </row>
    <row r="18391" spans="1:6" ht="15.75" customHeight="1">
      <c r="A18391" s="16" t="s">
        <v>12565</v>
      </c>
      <c r="B18391" s="15" t="s">
        <v>12565</v>
      </c>
      <c r="C18391" s="16" t="s">
        <v>10178</v>
      </c>
      <c r="D18391" s="16" t="s">
        <v>10304</v>
      </c>
      <c r="E18391" s="2">
        <v>7302855</v>
      </c>
      <c r="F18391" s="4" t="str">
        <f>IF(B18391=B18390,"",B18391)</f>
        <v>Naharlagun</v>
      </c>
    </row>
    <row r="18392" spans="1:6" ht="15.75" customHeight="1">
      <c r="A18392" s="8" t="str">
        <f ca="1">IFERROR(__xludf.DUMMYFUNCTION("GOOGLETRANSLATE(B34248,""en"",""pt"")"),"Naharlagun")</f>
        <v>Naharlagun</v>
      </c>
      <c r="B18392" s="11" t="s">
        <v>12565</v>
      </c>
      <c r="C18392" s="11" t="s">
        <v>10178</v>
      </c>
      <c r="D18392" s="11" t="s">
        <v>10304</v>
      </c>
      <c r="E18392" s="10">
        <v>7302855</v>
      </c>
      <c r="F18392" s="4" t="str">
        <f>IF(B18392=B18391,"",B18392)</f>
        <v/>
      </c>
    </row>
    <row r="18393" spans="1:6" ht="15.75" customHeight="1">
      <c r="A18393" s="15" t="s">
        <v>14839</v>
      </c>
      <c r="B18393" s="15" t="s">
        <v>14839</v>
      </c>
      <c r="C18393" s="15" t="s">
        <v>14773</v>
      </c>
      <c r="D18393" s="15" t="s">
        <v>14774</v>
      </c>
      <c r="E18393" s="2">
        <v>294117</v>
      </c>
      <c r="F18393" s="4" t="str">
        <f>IF(B18393=B18392,"",B18393)</f>
        <v>Nahariya</v>
      </c>
    </row>
    <row r="18394" spans="1:6" ht="15.75" customHeight="1">
      <c r="A18394" s="8" t="str">
        <f ca="1">IFERROR(__xludf.DUMMYFUNCTION("GOOGLETRANSLATE(B31790,""en"",""pt"")"),"Nahariya")</f>
        <v>Nahariya</v>
      </c>
      <c r="B18394" s="11" t="s">
        <v>14839</v>
      </c>
      <c r="C18394" s="11" t="s">
        <v>14773</v>
      </c>
      <c r="D18394" s="11" t="s">
        <v>14774</v>
      </c>
      <c r="E18394" s="10">
        <v>294117</v>
      </c>
      <c r="F18394" s="4" t="str">
        <f>IF(B18394=B18393,"",B18394)</f>
        <v/>
      </c>
    </row>
    <row r="18395" spans="1:6" ht="15.75" customHeight="1">
      <c r="A18395" s="8" t="str">
        <f ca="1">IFERROR(__xludf.DUMMYFUNCTION("GOOGLETRANSLATE(B32688,""en"",""pt"")"),"Nāhan")</f>
        <v>Nāhan</v>
      </c>
      <c r="B18395" s="9" t="s">
        <v>33342</v>
      </c>
      <c r="C18395" s="9" t="s">
        <v>10178</v>
      </c>
      <c r="D18395" s="9" t="s">
        <v>10538</v>
      </c>
      <c r="E18395" s="10">
        <v>1262151</v>
      </c>
      <c r="F18395" s="4" t="str">
        <f>IF(B18395=B18394,"",B18395)</f>
        <v>Nāhan</v>
      </c>
    </row>
    <row r="18396" spans="1:6" ht="15.75" customHeight="1">
      <c r="A18396" s="16" t="s">
        <v>14468</v>
      </c>
      <c r="B18396" s="15" t="s">
        <v>14469</v>
      </c>
      <c r="C18396" s="16" t="s">
        <v>14240</v>
      </c>
      <c r="D18396" s="16" t="s">
        <v>14261</v>
      </c>
      <c r="E18396" s="2">
        <v>122915</v>
      </c>
      <c r="F18396" s="4" t="str">
        <f>IF(B18396=B18395,"",B18396)</f>
        <v>NahÄvand</v>
      </c>
    </row>
    <row r="18397" spans="1:6" ht="15.75" customHeight="1">
      <c r="A18397" s="15" t="s">
        <v>16274</v>
      </c>
      <c r="B18397" s="15" t="s">
        <v>16274</v>
      </c>
      <c r="C18397" s="15" t="s">
        <v>15704</v>
      </c>
      <c r="D18397" s="15" t="s">
        <v>15841</v>
      </c>
      <c r="E18397" s="2">
        <v>1856035</v>
      </c>
      <c r="F18397" s="4" t="str">
        <f>IF(B18397=B18396,"",B18397)</f>
        <v>Naha</v>
      </c>
    </row>
    <row r="18398" spans="1:6" ht="15.75" customHeight="1">
      <c r="A18398" s="8" t="str">
        <f ca="1">IFERROR(__xludf.DUMMYFUNCTION("GOOGLETRANSLATE(B35401,""en"",""pt"")"),"Naha")</f>
        <v>Naha</v>
      </c>
      <c r="B18398" s="9" t="s">
        <v>16274</v>
      </c>
      <c r="C18398" s="9" t="s">
        <v>15704</v>
      </c>
      <c r="D18398" s="9" t="s">
        <v>15841</v>
      </c>
      <c r="E18398" s="10">
        <v>1856035</v>
      </c>
      <c r="F18398" s="4" t="str">
        <f>IF(B18398=B18397,"",B18398)</f>
        <v/>
      </c>
    </row>
    <row r="18399" spans="1:6" ht="15.75" customHeight="1">
      <c r="A18399" s="8" t="str">
        <f ca="1">IFERROR(__xludf.DUMMYFUNCTION("GOOGLETRANSLATE(B31295,""en"",""pt"")"),"Nagykőrös")</f>
        <v>Nagykőrös</v>
      </c>
      <c r="B18399" s="11" t="s">
        <v>32867</v>
      </c>
      <c r="C18399" s="11" t="s">
        <v>9955</v>
      </c>
      <c r="D18399" s="11" t="s">
        <v>9959</v>
      </c>
      <c r="E18399" s="10">
        <v>3047651</v>
      </c>
      <c r="F18399" s="4" t="str">
        <f>IF(B18399=B18398,"",B18399)</f>
        <v>Nagykőrös</v>
      </c>
    </row>
    <row r="18400" spans="1:6" ht="15.75" customHeight="1">
      <c r="A18400" s="16" t="s">
        <v>10111</v>
      </c>
      <c r="B18400" s="15" t="s">
        <v>10111</v>
      </c>
      <c r="C18400" s="16" t="s">
        <v>9955</v>
      </c>
      <c r="D18400" s="16" t="s">
        <v>10081</v>
      </c>
      <c r="E18400" s="2">
        <v>3047679</v>
      </c>
      <c r="F18400" s="4" t="str">
        <f>IF(B18400=B18399,"",B18400)</f>
        <v>Nagykanizsa</v>
      </c>
    </row>
    <row r="18401" spans="1:6" ht="15.75" customHeight="1">
      <c r="A18401" s="8" t="str">
        <f ca="1">IFERROR(__xludf.DUMMYFUNCTION("GOOGLETRANSLATE(B31296,""en"",""pt"")"),"Nagykanizsa")</f>
        <v>Nagykanizsa</v>
      </c>
      <c r="B18401" s="11" t="s">
        <v>10111</v>
      </c>
      <c r="C18401" s="11" t="s">
        <v>9955</v>
      </c>
      <c r="D18401" s="11" t="s">
        <v>10081</v>
      </c>
      <c r="E18401" s="10">
        <v>3047679</v>
      </c>
      <c r="F18401" s="4" t="str">
        <f>IF(B18401=B18400,"",B18401)</f>
        <v/>
      </c>
    </row>
    <row r="18402" spans="1:6" ht="15.75" customHeight="1">
      <c r="A18402" s="16" t="s">
        <v>10109</v>
      </c>
      <c r="B18402" s="15" t="s">
        <v>10110</v>
      </c>
      <c r="C18402" s="16" t="s">
        <v>9955</v>
      </c>
      <c r="D18402" s="16" t="s">
        <v>9959</v>
      </c>
      <c r="E18402" s="2">
        <v>3047651</v>
      </c>
      <c r="F18402" s="4" t="str">
        <f>IF(B18402=B18401,"",B18402)</f>
        <v>NagykÅ‘rÃ¶s</v>
      </c>
    </row>
    <row r="18403" spans="1:6" ht="15.75" customHeight="1">
      <c r="A18403" s="15" t="s">
        <v>6336</v>
      </c>
      <c r="B18403" s="15" t="s">
        <v>6337</v>
      </c>
      <c r="C18403" s="15" t="s">
        <v>6303</v>
      </c>
      <c r="D18403" s="15" t="s">
        <v>6338</v>
      </c>
      <c r="E18403" s="2">
        <v>3496021</v>
      </c>
      <c r="F18403" s="4" t="str">
        <f>IF(B18403=B18402,"",B18403)</f>
        <v>Nagua</v>
      </c>
    </row>
    <row r="18404" spans="1:6" ht="15.75" customHeight="1">
      <c r="A18404" s="8" t="str">
        <f ca="1">IFERROR(__xludf.DUMMYFUNCTION("GOOGLETRANSLATE(B28476,""en"",""pt"")"),"NAGUA")</f>
        <v>NAGUA</v>
      </c>
      <c r="B18404" s="9" t="s">
        <v>6337</v>
      </c>
      <c r="C18404" s="9" t="s">
        <v>6303</v>
      </c>
      <c r="D18404" s="9" t="s">
        <v>32175</v>
      </c>
      <c r="E18404" s="10">
        <v>3496021</v>
      </c>
      <c r="F18404" s="4" t="str">
        <f>IF(B18404=B18403,"",B18404)</f>
        <v/>
      </c>
    </row>
    <row r="18405" spans="1:6" ht="15.75" customHeight="1">
      <c r="A18405" s="15" t="s">
        <v>4957</v>
      </c>
      <c r="B18405" s="15" t="s">
        <v>4957</v>
      </c>
      <c r="C18405" s="15" t="s">
        <v>4487</v>
      </c>
      <c r="D18405" s="15" t="s">
        <v>4603</v>
      </c>
      <c r="E18405" s="2">
        <v>1280517</v>
      </c>
      <c r="F18405" s="4" t="str">
        <f>IF(B18405=B18404,"",B18405)</f>
        <v>Nagqu</v>
      </c>
    </row>
    <row r="18406" spans="1:6" ht="15.75" customHeight="1">
      <c r="A18406" s="8" t="str">
        <f ca="1">IFERROR(__xludf.DUMMYFUNCTION("GOOGLETRANSLATE(B26048,""en"",""pt"")"),"Nagqu")</f>
        <v>Nagqu</v>
      </c>
      <c r="B18406" s="9" t="s">
        <v>4957</v>
      </c>
      <c r="C18406" s="9" t="s">
        <v>4487</v>
      </c>
      <c r="D18406" s="9" t="s">
        <v>4603</v>
      </c>
      <c r="E18406" s="10">
        <v>1280517</v>
      </c>
      <c r="F18406" s="4" t="str">
        <f>IF(B18406=B18405,"",B18406)</f>
        <v/>
      </c>
    </row>
    <row r="18407" spans="1:6" ht="15.75" customHeight="1">
      <c r="A18407" s="15" t="s">
        <v>12564</v>
      </c>
      <c r="B18407" s="15" t="s">
        <v>12564</v>
      </c>
      <c r="C18407" s="15" t="s">
        <v>10178</v>
      </c>
      <c r="D18407" s="15" t="s">
        <v>10214</v>
      </c>
      <c r="E18407" s="2">
        <v>1262180</v>
      </c>
      <c r="F18407" s="4" t="str">
        <f>IF(B18407=B18406,"",B18407)</f>
        <v>Nagpur</v>
      </c>
    </row>
    <row r="18408" spans="1:6" ht="15.75" customHeight="1">
      <c r="A18408" s="8" t="str">
        <f ca="1">IFERROR(__xludf.DUMMYFUNCTION("GOOGLETRANSLATE(B32689,""en"",""pt"")"),"Nagpur")</f>
        <v>Nagpur</v>
      </c>
      <c r="B18408" s="9" t="s">
        <v>12564</v>
      </c>
      <c r="C18408" s="9" t="s">
        <v>10178</v>
      </c>
      <c r="D18408" s="9" t="s">
        <v>10214</v>
      </c>
      <c r="E18408" s="10">
        <v>1262180</v>
      </c>
      <c r="F18408" s="4" t="str">
        <f>IF(B18408=B18407,"",B18408)</f>
        <v/>
      </c>
    </row>
    <row r="18409" spans="1:6" ht="15.75" customHeight="1">
      <c r="A18409" s="15" t="s">
        <v>16273</v>
      </c>
      <c r="B18409" s="15" t="s">
        <v>16273</v>
      </c>
      <c r="C18409" s="15" t="s">
        <v>15704</v>
      </c>
      <c r="D18409" s="15" t="s">
        <v>15729</v>
      </c>
      <c r="E18409" s="2">
        <v>1856057</v>
      </c>
      <c r="F18409" s="4" t="str">
        <f>IF(B18409=B18408,"",B18409)</f>
        <v>Nagoya</v>
      </c>
    </row>
    <row r="18410" spans="1:6" ht="15.75" customHeight="1">
      <c r="A18410" s="8" t="str">
        <f ca="1">IFERROR(__xludf.DUMMYFUNCTION("GOOGLETRANSLATE(B35402,""en"",""pt"")"),"Nagoya")</f>
        <v>Nagoya</v>
      </c>
      <c r="B18410" s="9" t="s">
        <v>16273</v>
      </c>
      <c r="C18410" s="9" t="s">
        <v>15704</v>
      </c>
      <c r="D18410" s="9" t="s">
        <v>15729</v>
      </c>
      <c r="E18410" s="10">
        <v>1856057</v>
      </c>
      <c r="F18410" s="4" t="str">
        <f>IF(B18410=B18409,"",B18410)</f>
        <v/>
      </c>
    </row>
    <row r="18411" spans="1:6" ht="15.75" customHeight="1">
      <c r="A18411" s="15" t="s">
        <v>22772</v>
      </c>
      <c r="B18411" s="15" t="s">
        <v>22772</v>
      </c>
      <c r="C18411" s="15" t="s">
        <v>22070</v>
      </c>
      <c r="D18411" s="15" t="s">
        <v>22127</v>
      </c>
      <c r="E18411" s="2">
        <v>472732</v>
      </c>
      <c r="F18411" s="4" t="str">
        <f>IF(B18411=B18410,"",B18411)</f>
        <v>Nagornyy</v>
      </c>
    </row>
    <row r="18412" spans="1:6" ht="15.75" customHeight="1">
      <c r="A18412" s="8" t="str">
        <f ca="1">IFERROR(__xludf.DUMMYFUNCTION("GOOGLETRANSLATE(B39979,""en"",""pt"")"),"Nagornyy")</f>
        <v>Nagornyy</v>
      </c>
      <c r="B18412" s="9" t="s">
        <v>22772</v>
      </c>
      <c r="C18412" s="9" t="s">
        <v>22070</v>
      </c>
      <c r="D18412" s="9" t="s">
        <v>22127</v>
      </c>
      <c r="E18412" s="10">
        <v>472732</v>
      </c>
      <c r="F18412" s="4" t="str">
        <f>IF(B18412=B18411,"",B18412)</f>
        <v/>
      </c>
    </row>
    <row r="18413" spans="1:6" ht="15.75" customHeight="1">
      <c r="A18413" s="15" t="s">
        <v>8878</v>
      </c>
      <c r="B18413" s="15" t="s">
        <v>8878</v>
      </c>
      <c r="C18413" s="15" t="s">
        <v>8028</v>
      </c>
      <c r="D18413" s="15" t="s">
        <v>8031</v>
      </c>
      <c r="E18413" s="2">
        <v>2867164</v>
      </c>
      <c r="F18413" s="4" t="str">
        <f>IF(B18413=B18412,"",B18413)</f>
        <v>Nagold</v>
      </c>
    </row>
    <row r="18414" spans="1:6" ht="15.75" customHeight="1">
      <c r="A18414" s="8" t="str">
        <f ca="1">IFERROR(__xludf.DUMMYFUNCTION("GOOGLETRANSLATE(B27735,""en"",""pt"")"),"Nagold")</f>
        <v>Nagold</v>
      </c>
      <c r="B18414" s="9" t="s">
        <v>8878</v>
      </c>
      <c r="C18414" s="9" t="s">
        <v>8028</v>
      </c>
      <c r="D18414" s="9" t="s">
        <v>32013</v>
      </c>
      <c r="E18414" s="10">
        <v>2867164</v>
      </c>
      <c r="F18414" s="4" t="str">
        <f>IF(B18414=B18413,"",B18414)</f>
        <v/>
      </c>
    </row>
    <row r="18415" spans="1:6" ht="15.75" customHeight="1">
      <c r="A18415" s="8" t="str">
        <f ca="1">IFERROR(__xludf.DUMMYFUNCTION("GOOGLETRANSLATE(B32690,""en"",""pt"")"),"Nāgod")</f>
        <v>Nāgod</v>
      </c>
      <c r="B18415" s="11" t="s">
        <v>33343</v>
      </c>
      <c r="C18415" s="11" t="s">
        <v>10178</v>
      </c>
      <c r="D18415" s="11" t="s">
        <v>10219</v>
      </c>
      <c r="E18415" s="10">
        <v>1262187</v>
      </c>
      <c r="F18415" s="4" t="str">
        <f>IF(B18415=B18414,"",B18415)</f>
        <v>Nāgod</v>
      </c>
    </row>
    <row r="18416" spans="1:6" ht="15.75" customHeight="1">
      <c r="A18416" s="15" t="s">
        <v>16272</v>
      </c>
      <c r="B18416" s="15" t="s">
        <v>16272</v>
      </c>
      <c r="C18416" s="15" t="s">
        <v>15704</v>
      </c>
      <c r="D18416" s="15" t="s">
        <v>15841</v>
      </c>
      <c r="E18416" s="2">
        <v>1856068</v>
      </c>
      <c r="F18416" s="4" t="str">
        <f>IF(B18416=B18415,"",B18416)</f>
        <v>Nago</v>
      </c>
    </row>
    <row r="18417" spans="1:6" ht="15.75" customHeight="1">
      <c r="A18417" s="8" t="str">
        <f ca="1">IFERROR(__xludf.DUMMYFUNCTION("GOOGLETRANSLATE(B35403,""en"",""pt"")"),"Nago")</f>
        <v>Nago</v>
      </c>
      <c r="B18417" s="11" t="s">
        <v>16272</v>
      </c>
      <c r="C18417" s="11" t="s">
        <v>15704</v>
      </c>
      <c r="D18417" s="11" t="s">
        <v>15841</v>
      </c>
      <c r="E18417" s="10">
        <v>1856068</v>
      </c>
      <c r="F18417" s="4" t="str">
        <f>IF(B18417=B18416,"",B18417)</f>
        <v/>
      </c>
    </row>
    <row r="18418" spans="1:6" ht="15.75" customHeight="1">
      <c r="A18418" s="8" t="str">
        <f ca="1">IFERROR(__xludf.DUMMYFUNCTION("GOOGLETRANSLATE(B32691,""en"",""pt"")"),"Nagīna")</f>
        <v>Nagīna</v>
      </c>
      <c r="B18418" s="9" t="s">
        <v>33344</v>
      </c>
      <c r="C18418" s="9" t="s">
        <v>10178</v>
      </c>
      <c r="D18418" s="9" t="s">
        <v>10193</v>
      </c>
      <c r="E18418" s="10">
        <v>1262200</v>
      </c>
      <c r="F18418" s="4" t="str">
        <f>IF(B18418=B18417,"",B18418)</f>
        <v>Nagīna</v>
      </c>
    </row>
    <row r="18419" spans="1:6" ht="15.75" customHeight="1">
      <c r="A18419" s="16" t="s">
        <v>1393</v>
      </c>
      <c r="B18419" s="15" t="s">
        <v>1393</v>
      </c>
      <c r="C18419" s="16" t="s">
        <v>1296</v>
      </c>
      <c r="D18419" s="16" t="s">
        <v>1304</v>
      </c>
      <c r="E18419" s="2">
        <v>1185160</v>
      </c>
      <c r="F18419" s="4" t="str">
        <f>IF(B18419=B18418,"",B18419)</f>
        <v>Nageswari</v>
      </c>
    </row>
    <row r="18420" spans="1:6" ht="15.75" customHeight="1">
      <c r="A18420" s="8" t="str">
        <f ca="1">IFERROR(__xludf.DUMMYFUNCTION("GOOGLETRANSLATE(B23715,""en"",""pt"")"),"Nageswari")</f>
        <v>Nageswari</v>
      </c>
      <c r="B18420" s="9" t="s">
        <v>1393</v>
      </c>
      <c r="C18420" s="9" t="s">
        <v>1296</v>
      </c>
      <c r="D18420" s="9" t="s">
        <v>1304</v>
      </c>
      <c r="E18420" s="10">
        <v>1185160</v>
      </c>
      <c r="F18420" s="4" t="str">
        <f>IF(B18420=B18419,"",B18420)</f>
        <v/>
      </c>
    </row>
    <row r="18421" spans="1:6" ht="15.75" customHeight="1">
      <c r="A18421" s="8" t="str">
        <f ca="1">IFERROR(__xludf.DUMMYFUNCTION("GOOGLETRANSLATE(B32692,""en"",""pt"")"),"Nāgercoil")</f>
        <v>Nāgercoil</v>
      </c>
      <c r="B18421" s="11" t="s">
        <v>33345</v>
      </c>
      <c r="C18421" s="11" t="s">
        <v>10178</v>
      </c>
      <c r="D18421" s="11" t="s">
        <v>10196</v>
      </c>
      <c r="E18421" s="10">
        <v>1262204</v>
      </c>
      <c r="F18421" s="4" t="str">
        <f>IF(B18421=B18420,"",B18421)</f>
        <v>Nāgercoil</v>
      </c>
    </row>
    <row r="18422" spans="1:6" ht="15.75" customHeight="1">
      <c r="A18422" s="15" t="s">
        <v>12563</v>
      </c>
      <c r="B18422" s="15" t="s">
        <v>12563</v>
      </c>
      <c r="C18422" s="15" t="s">
        <v>10178</v>
      </c>
      <c r="D18422" s="15" t="s">
        <v>10219</v>
      </c>
      <c r="E18422" s="2">
        <v>1262209</v>
      </c>
      <c r="F18422" s="4" t="str">
        <f>IF(B18422=B18421,"",B18422)</f>
        <v>Nagda</v>
      </c>
    </row>
    <row r="18423" spans="1:6" ht="15.75" customHeight="1">
      <c r="A18423" s="8" t="str">
        <f ca="1">IFERROR(__xludf.DUMMYFUNCTION("GOOGLETRANSLATE(B32693,""en"",""pt"")"),"Nagda")</f>
        <v>Nagda</v>
      </c>
      <c r="B18423" s="11" t="s">
        <v>12563</v>
      </c>
      <c r="C18423" s="11" t="s">
        <v>10178</v>
      </c>
      <c r="D18423" s="11" t="s">
        <v>10219</v>
      </c>
      <c r="E18423" s="10">
        <v>1262209</v>
      </c>
      <c r="F18423" s="4" t="str">
        <f>IF(B18423=B18422,"",B18423)</f>
        <v/>
      </c>
    </row>
    <row r="18424" spans="1:6" ht="15.75" customHeight="1">
      <c r="A18424" s="16" t="s">
        <v>20917</v>
      </c>
      <c r="B18424" s="15" t="s">
        <v>20917</v>
      </c>
      <c r="C18424" s="16" t="s">
        <v>20598</v>
      </c>
      <c r="D18424" s="16" t="s">
        <v>20608</v>
      </c>
      <c r="E18424" s="2">
        <v>1698740</v>
      </c>
      <c r="F18424" s="4" t="str">
        <f>IF(B18424=B18423,"",B18424)</f>
        <v>Nagcarlan</v>
      </c>
    </row>
    <row r="18425" spans="1:6" ht="15.75" customHeight="1">
      <c r="A18425" s="8" t="str">
        <f ca="1">IFERROR(__xludf.DUMMYFUNCTION("GOOGLETRANSLATE(B38589,""en"",""pt"")"),"Nagcarlan")</f>
        <v>Nagcarlan</v>
      </c>
      <c r="B18425" s="11" t="s">
        <v>20917</v>
      </c>
      <c r="C18425" s="11" t="s">
        <v>20598</v>
      </c>
      <c r="D18425" s="11" t="s">
        <v>20608</v>
      </c>
      <c r="E18425" s="10">
        <v>1698740</v>
      </c>
      <c r="F18425" s="4" t="str">
        <f>IF(B18425=B18424,"",B18425)</f>
        <v/>
      </c>
    </row>
    <row r="18426" spans="1:6" ht="15.75" customHeight="1">
      <c r="A18426" s="8" t="str">
        <f ca="1">IFERROR(__xludf.DUMMYFUNCTION("GOOGLETRANSLATE(B32694,""en"",""pt"")"),"Nāgaur")</f>
        <v>Nāgaur</v>
      </c>
      <c r="B18426" s="9" t="s">
        <v>33346</v>
      </c>
      <c r="C18426" s="9" t="s">
        <v>10178</v>
      </c>
      <c r="D18426" s="9" t="s">
        <v>10179</v>
      </c>
      <c r="E18426" s="10">
        <v>1262216</v>
      </c>
      <c r="F18426" s="4" t="str">
        <f>IF(B18426=B18425,"",B18426)</f>
        <v>Nāgaur</v>
      </c>
    </row>
    <row r="18427" spans="1:6" ht="15.75" customHeight="1">
      <c r="A18427" s="15" t="s">
        <v>16271</v>
      </c>
      <c r="B18427" s="15" t="s">
        <v>16271</v>
      </c>
      <c r="C18427" s="15" t="s">
        <v>15704</v>
      </c>
      <c r="D18427" s="15" t="s">
        <v>15796</v>
      </c>
      <c r="E18427" s="2">
        <v>1899102</v>
      </c>
      <c r="F18427" s="4" t="str">
        <f>IF(B18427=B18426,"",B18427)</f>
        <v>Nagato</v>
      </c>
    </row>
    <row r="18428" spans="1:6" ht="15.75" customHeight="1">
      <c r="A18428" s="8" t="str">
        <f ca="1">IFERROR(__xludf.DUMMYFUNCTION("GOOGLETRANSLATE(B35687,""en"",""pt"")"),"Nagato")</f>
        <v>Nagato</v>
      </c>
      <c r="B18428" s="9" t="s">
        <v>16271</v>
      </c>
      <c r="C18428" s="9" t="s">
        <v>15704</v>
      </c>
      <c r="D18428" s="9" t="s">
        <v>15796</v>
      </c>
      <c r="E18428" s="10">
        <v>1899102</v>
      </c>
      <c r="F18428" s="4" t="str">
        <f>IF(B18428=B18427,"",B18428)</f>
        <v/>
      </c>
    </row>
    <row r="18429" spans="1:6" ht="15.75" customHeight="1">
      <c r="A18429" s="15" t="s">
        <v>15784</v>
      </c>
      <c r="B18429" s="15" t="s">
        <v>15784</v>
      </c>
      <c r="C18429" s="15" t="s">
        <v>15704</v>
      </c>
      <c r="D18429" s="15" t="s">
        <v>15784</v>
      </c>
      <c r="E18429" s="2">
        <v>1856177</v>
      </c>
      <c r="F18429" s="4" t="str">
        <f>IF(B18429=B18428,"",B18429)</f>
        <v>Nagasaki</v>
      </c>
    </row>
    <row r="18430" spans="1:6" ht="15.75" customHeight="1">
      <c r="A18430" s="8" t="str">
        <f ca="1">IFERROR(__xludf.DUMMYFUNCTION("GOOGLETRANSLATE(B35404,""en"",""pt"")"),"Nagasaki")</f>
        <v>Nagasaki</v>
      </c>
      <c r="B18430" s="9" t="s">
        <v>15784</v>
      </c>
      <c r="C18430" s="9" t="s">
        <v>15704</v>
      </c>
      <c r="D18430" s="9" t="s">
        <v>15784</v>
      </c>
      <c r="E18430" s="10">
        <v>1856177</v>
      </c>
      <c r="F18430" s="4" t="str">
        <f>IF(B18430=B18429,"",B18430)</f>
        <v/>
      </c>
    </row>
    <row r="18431" spans="1:6" ht="15.75" customHeight="1">
      <c r="A18431" s="8" t="str">
        <f ca="1">IFERROR(__xludf.DUMMYFUNCTION("GOOGLETRANSLATE(B23714,""en"",""pt"")"),"Nāgarpur")</f>
        <v>Nāgarpur</v>
      </c>
      <c r="B18431" s="11" t="s">
        <v>31268</v>
      </c>
      <c r="C18431" s="11" t="s">
        <v>1296</v>
      </c>
      <c r="D18431" s="11" t="s">
        <v>1297</v>
      </c>
      <c r="E18431" s="10">
        <v>1185159</v>
      </c>
      <c r="F18431" s="4" t="str">
        <f>IF(B18431=B18430,"",B18431)</f>
        <v>Nāgarpur</v>
      </c>
    </row>
    <row r="18432" spans="1:6" ht="15.75" customHeight="1">
      <c r="A18432" s="15" t="s">
        <v>19242</v>
      </c>
      <c r="B18432" s="15" t="s">
        <v>19242</v>
      </c>
      <c r="C18432" s="15" t="s">
        <v>19217</v>
      </c>
      <c r="D18432" s="15" t="s">
        <v>18048</v>
      </c>
      <c r="E18432" s="2">
        <v>3617522</v>
      </c>
      <c r="F18432" s="4" t="str">
        <f>IF(B18432=B18431,"",B18432)</f>
        <v>Nagarote</v>
      </c>
    </row>
    <row r="18433" spans="1:6" ht="15.75" customHeight="1">
      <c r="A18433" s="8" t="str">
        <f ca="1">IFERROR(__xludf.DUMMYFUNCTION("GOOGLETRANSLATE(B37862,""en"",""pt"")"),"Nagarote")</f>
        <v>Nagarote</v>
      </c>
      <c r="B18433" s="11" t="s">
        <v>19242</v>
      </c>
      <c r="C18433" s="11" t="s">
        <v>19217</v>
      </c>
      <c r="D18433" s="11" t="s">
        <v>32456</v>
      </c>
      <c r="E18433" s="10">
        <v>3617522</v>
      </c>
      <c r="F18433" s="4" t="str">
        <f>IF(B18433=B18432,"",B18433)</f>
        <v/>
      </c>
    </row>
    <row r="18434" spans="1:6" ht="15.75" customHeight="1">
      <c r="A18434" s="15" t="s">
        <v>12562</v>
      </c>
      <c r="B18434" s="15" t="s">
        <v>12562</v>
      </c>
      <c r="C18434" s="15" t="s">
        <v>10178</v>
      </c>
      <c r="D18434" s="15" t="s">
        <v>10190</v>
      </c>
      <c r="E18434" s="2">
        <v>1262240</v>
      </c>
      <c r="F18434" s="4" t="str">
        <f>IF(B18434=B18433,"",B18434)</f>
        <v>Nagari</v>
      </c>
    </row>
    <row r="18435" spans="1:6" ht="15.75" customHeight="1">
      <c r="A18435" s="8" t="str">
        <f ca="1">IFERROR(__xludf.DUMMYFUNCTION("GOOGLETRANSLATE(B32696,""en"",""pt"")"),"Nagari")</f>
        <v>Nagari</v>
      </c>
      <c r="B18435" s="9" t="s">
        <v>12562</v>
      </c>
      <c r="C18435" s="9" t="s">
        <v>10178</v>
      </c>
      <c r="D18435" s="9" t="s">
        <v>10190</v>
      </c>
      <c r="E18435" s="10">
        <v>1262240</v>
      </c>
      <c r="F18435" s="4" t="str">
        <f>IF(B18435=B18434,"",B18435)</f>
        <v/>
      </c>
    </row>
    <row r="18436" spans="1:6" ht="15.75" customHeight="1">
      <c r="A18436" s="16" t="s">
        <v>16270</v>
      </c>
      <c r="B18436" s="15" t="s">
        <v>16270</v>
      </c>
      <c r="C18436" s="16" t="s">
        <v>15704</v>
      </c>
      <c r="D18436" s="16" t="s">
        <v>15707</v>
      </c>
      <c r="E18436" s="2">
        <v>1856184</v>
      </c>
      <c r="F18436" s="4" t="str">
        <f>IF(B18436=B18435,"",B18436)</f>
        <v>Nagareyama</v>
      </c>
    </row>
    <row r="18437" spans="1:6" ht="15.75" customHeight="1">
      <c r="A18437" s="8" t="str">
        <f ca="1">IFERROR(__xludf.DUMMYFUNCTION("GOOGLETRANSLATE(B35405,""en"",""pt"")"),"Nagareyama")</f>
        <v>Nagareyama</v>
      </c>
      <c r="B18437" s="9" t="s">
        <v>16270</v>
      </c>
      <c r="C18437" s="9" t="s">
        <v>15704</v>
      </c>
      <c r="D18437" s="9" t="s">
        <v>15707</v>
      </c>
      <c r="E18437" s="10">
        <v>1856184</v>
      </c>
      <c r="F18437" s="4" t="str">
        <f>IF(B18437=B18436,"",B18437)</f>
        <v/>
      </c>
    </row>
    <row r="18438" spans="1:6" ht="15.75" customHeight="1">
      <c r="A18438" s="8" t="str">
        <f ca="1">IFERROR(__xludf.DUMMYFUNCTION("GOOGLETRANSLATE(B32695,""en"",""pt"")"),"Nāgar Karnūl")</f>
        <v>Nāgar Karnūl</v>
      </c>
      <c r="B18438" s="11" t="s">
        <v>33347</v>
      </c>
      <c r="C18438" s="11" t="s">
        <v>10178</v>
      </c>
      <c r="D18438" s="11" t="s">
        <v>10187</v>
      </c>
      <c r="E18438" s="10">
        <v>1262230</v>
      </c>
      <c r="F18438" s="4" t="str">
        <f>IF(B18438=B18437,"",B18438)</f>
        <v>Nāgar Karnūl</v>
      </c>
    </row>
    <row r="18439" spans="1:6" ht="15.75" customHeight="1">
      <c r="A18439" s="15" t="s">
        <v>12561</v>
      </c>
      <c r="B18439" s="15" t="s">
        <v>12561</v>
      </c>
      <c r="C18439" s="15" t="s">
        <v>10178</v>
      </c>
      <c r="D18439" s="15" t="s">
        <v>10179</v>
      </c>
      <c r="E18439" s="2">
        <v>1262253</v>
      </c>
      <c r="F18439" s="4" t="str">
        <f>IF(B18439=B18438,"",B18439)</f>
        <v>Nagar</v>
      </c>
    </row>
    <row r="18440" spans="1:6" ht="15.75" customHeight="1">
      <c r="A18440" s="8" t="str">
        <f ca="1">IFERROR(__xludf.DUMMYFUNCTION("GOOGLETRANSLATE(B32697,""en"",""pt"")"),"Nagar")</f>
        <v>Nagar</v>
      </c>
      <c r="B18440" s="11" t="s">
        <v>12561</v>
      </c>
      <c r="C18440" s="11" t="s">
        <v>10178</v>
      </c>
      <c r="D18440" s="11" t="s">
        <v>10179</v>
      </c>
      <c r="E18440" s="10">
        <v>1262253</v>
      </c>
      <c r="F18440" s="4" t="str">
        <f>IF(B18440=B18439,"",B18440)</f>
        <v/>
      </c>
    </row>
    <row r="18441" spans="1:6" ht="15.75" customHeight="1">
      <c r="A18441" s="8" t="str">
        <f ca="1">IFERROR(__xludf.DUMMYFUNCTION("GOOGLETRANSLATE(B32698,""en"",""pt"")"),"Nāgappattinam")</f>
        <v>Nāgappattinam</v>
      </c>
      <c r="B18441" s="9" t="s">
        <v>33348</v>
      </c>
      <c r="C18441" s="9" t="s">
        <v>10178</v>
      </c>
      <c r="D18441" s="9" t="s">
        <v>10196</v>
      </c>
      <c r="E18441" s="10">
        <v>1262260</v>
      </c>
      <c r="F18441" s="4" t="str">
        <f>IF(B18441=B18440,"",B18441)</f>
        <v>Nāgappattinam</v>
      </c>
    </row>
    <row r="18442" spans="1:6" ht="15.75" customHeight="1">
      <c r="A18442" s="15" t="s">
        <v>16269</v>
      </c>
      <c r="B18442" s="15" t="s">
        <v>16269</v>
      </c>
      <c r="C18442" s="15" t="s">
        <v>15704</v>
      </c>
      <c r="D18442" s="15" t="s">
        <v>15818</v>
      </c>
      <c r="E18442" s="2">
        <v>1856199</v>
      </c>
      <c r="F18442" s="4" t="str">
        <f>IF(B18442=B18441,"",B18442)</f>
        <v>Nagaoka</v>
      </c>
    </row>
    <row r="18443" spans="1:6" ht="15.75" customHeight="1">
      <c r="A18443" s="8" t="str">
        <f ca="1">IFERROR(__xludf.DUMMYFUNCTION("GOOGLETRANSLATE(B35406,""en"",""pt"")"),"Nagaoka")</f>
        <v>Nagaoka</v>
      </c>
      <c r="B18443" s="9" t="s">
        <v>16269</v>
      </c>
      <c r="C18443" s="9" t="s">
        <v>15704</v>
      </c>
      <c r="D18443" s="9" t="s">
        <v>15818</v>
      </c>
      <c r="E18443" s="10">
        <v>1856199</v>
      </c>
      <c r="F18443" s="4" t="str">
        <f>IF(B18443=B18442,"",B18443)</f>
        <v/>
      </c>
    </row>
    <row r="18444" spans="1:6" ht="15.75" customHeight="1">
      <c r="A18444" s="15" t="s">
        <v>15769</v>
      </c>
      <c r="B18444" s="15" t="s">
        <v>15769</v>
      </c>
      <c r="C18444" s="15" t="s">
        <v>15704</v>
      </c>
      <c r="D18444" s="15" t="s">
        <v>15769</v>
      </c>
      <c r="E18444" s="2">
        <v>1856215</v>
      </c>
      <c r="F18444" s="4" t="str">
        <f>IF(B18444=B18443,"",B18444)</f>
        <v>Nagano</v>
      </c>
    </row>
    <row r="18445" spans="1:6" ht="15.75" customHeight="1">
      <c r="A18445" s="8" t="str">
        <f ca="1">IFERROR(__xludf.DUMMYFUNCTION("GOOGLETRANSLATE(B35407,""en"",""pt"")"),"Nagano")</f>
        <v>Nagano</v>
      </c>
      <c r="B18445" s="11" t="s">
        <v>15769</v>
      </c>
      <c r="C18445" s="11" t="s">
        <v>15704</v>
      </c>
      <c r="D18445" s="11" t="s">
        <v>15769</v>
      </c>
      <c r="E18445" s="10">
        <v>1856215</v>
      </c>
      <c r="F18445" s="4" t="str">
        <f>IF(B18445=B18444,"",B18445)</f>
        <v/>
      </c>
    </row>
    <row r="18446" spans="1:6" ht="15.75" customHeight="1">
      <c r="A18446" s="8" t="str">
        <f ca="1">IFERROR(__xludf.DUMMYFUNCTION("GOOGLETRANSLATE(B32699,""en"",""pt"")"),"Nāgamangala")</f>
        <v>Nāgamangala</v>
      </c>
      <c r="B18446" s="9" t="s">
        <v>33349</v>
      </c>
      <c r="C18446" s="9" t="s">
        <v>10178</v>
      </c>
      <c r="D18446" s="9" t="s">
        <v>10252</v>
      </c>
      <c r="E18446" s="10">
        <v>1262266</v>
      </c>
      <c r="F18446" s="4" t="str">
        <f>IF(B18446=B18445,"",B18446)</f>
        <v>Nāgamangala</v>
      </c>
    </row>
    <row r="18447" spans="1:6" ht="15.75" customHeight="1">
      <c r="A18447" s="15" t="s">
        <v>16268</v>
      </c>
      <c r="B18447" s="15" t="s">
        <v>16268</v>
      </c>
      <c r="C18447" s="15" t="s">
        <v>15704</v>
      </c>
      <c r="D18447" s="15" t="s">
        <v>15951</v>
      </c>
      <c r="E18447" s="2">
        <v>2111781</v>
      </c>
      <c r="F18447" s="4" t="str">
        <f>IF(B18447=B18446,"",B18447)</f>
        <v>Nagai</v>
      </c>
    </row>
    <row r="18448" spans="1:6" ht="15.75" customHeight="1">
      <c r="A18448" s="8" t="str">
        <f ca="1">IFERROR(__xludf.DUMMYFUNCTION("GOOGLETRANSLATE(B35758,""en"",""pt"")"),"Nagai")</f>
        <v>Nagai</v>
      </c>
      <c r="B18448" s="9" t="s">
        <v>16268</v>
      </c>
      <c r="C18448" s="9" t="s">
        <v>15704</v>
      </c>
      <c r="D18448" s="9" t="s">
        <v>15951</v>
      </c>
      <c r="E18448" s="10">
        <v>2111781</v>
      </c>
      <c r="F18448" s="4" t="str">
        <f>IF(B18448=B18447,"",B18448)</f>
        <v/>
      </c>
    </row>
    <row r="18449" spans="1:6" ht="15.75" customHeight="1">
      <c r="A18449" s="16" t="s">
        <v>16267</v>
      </c>
      <c r="B18449" s="15" t="s">
        <v>16267</v>
      </c>
      <c r="C18449" s="16" t="s">
        <v>15704</v>
      </c>
      <c r="D18449" s="16" t="s">
        <v>15779</v>
      </c>
      <c r="E18449" s="2">
        <v>1856243</v>
      </c>
      <c r="F18449" s="4" t="str">
        <f>IF(B18449=B18448,"",B18449)</f>
        <v>Nagahama</v>
      </c>
    </row>
    <row r="18450" spans="1:6" ht="15.75" customHeight="1">
      <c r="A18450" s="8" t="str">
        <f ca="1">IFERROR(__xludf.DUMMYFUNCTION("GOOGLETRANSLATE(B35408,""en"",""pt"")"),"Nagahama")</f>
        <v>Nagahama</v>
      </c>
      <c r="B18450" s="9" t="s">
        <v>16267</v>
      </c>
      <c r="C18450" s="9" t="s">
        <v>15704</v>
      </c>
      <c r="D18450" s="9" t="s">
        <v>15779</v>
      </c>
      <c r="E18450" s="10">
        <v>1856243</v>
      </c>
      <c r="F18450" s="4" t="str">
        <f>IF(B18450=B18449,"",B18450)</f>
        <v/>
      </c>
    </row>
    <row r="18451" spans="1:6" ht="15.75" customHeight="1">
      <c r="A18451" s="15" t="s">
        <v>12559</v>
      </c>
      <c r="B18451" s="15" t="s">
        <v>12560</v>
      </c>
      <c r="C18451" s="15" t="s">
        <v>10178</v>
      </c>
      <c r="D18451" s="15" t="s">
        <v>10193</v>
      </c>
      <c r="E18451" s="2">
        <v>1262200</v>
      </c>
      <c r="F18451" s="4" t="str">
        <f>IF(B18451=B18450,"",B18451)</f>
        <v>NagÄ«na</v>
      </c>
    </row>
    <row r="18452" spans="1:6" ht="15.75" customHeight="1">
      <c r="A18452" s="15" t="s">
        <v>20916</v>
      </c>
      <c r="B18452" s="15" t="s">
        <v>20916</v>
      </c>
      <c r="C18452" s="15" t="s">
        <v>20598</v>
      </c>
      <c r="D18452" s="15" t="s">
        <v>20634</v>
      </c>
      <c r="E18452" s="2">
        <v>1698829</v>
      </c>
      <c r="F18452" s="4" t="str">
        <f>IF(B18452=B18451,"",B18452)</f>
        <v>Naga</v>
      </c>
    </row>
    <row r="18453" spans="1:6" ht="15.75" customHeight="1">
      <c r="A18453" s="15" t="s">
        <v>20916</v>
      </c>
      <c r="B18453" s="15" t="s">
        <v>20916</v>
      </c>
      <c r="C18453" s="15" t="s">
        <v>20598</v>
      </c>
      <c r="D18453" s="15" t="s">
        <v>20622</v>
      </c>
      <c r="E18453" s="2">
        <v>1698839</v>
      </c>
      <c r="F18453" s="4" t="str">
        <f>IF(B18453=B18452,"",B18453)</f>
        <v/>
      </c>
    </row>
    <row r="18454" spans="1:6" ht="15.75" customHeight="1">
      <c r="A18454" s="8" t="str">
        <f ca="1">IFERROR(__xludf.DUMMYFUNCTION("GOOGLETRANSLATE(B38590,""en"",""pt"")"),"Naga")</f>
        <v>Naga</v>
      </c>
      <c r="B18454" s="9" t="s">
        <v>20916</v>
      </c>
      <c r="C18454" s="9" t="s">
        <v>20598</v>
      </c>
      <c r="D18454" s="9" t="s">
        <v>20634</v>
      </c>
      <c r="E18454" s="10">
        <v>1698829</v>
      </c>
      <c r="F18454" s="4" t="str">
        <f>IF(B18454=B18453,"",B18454)</f>
        <v/>
      </c>
    </row>
    <row r="18455" spans="1:6" ht="15.75" customHeight="1">
      <c r="A18455" s="8" t="str">
        <f ca="1">IFERROR(__xludf.DUMMYFUNCTION("GOOGLETRANSLATE(B38591,""en"",""pt"")"),"Naga")</f>
        <v>Naga</v>
      </c>
      <c r="B18455" s="9" t="s">
        <v>20916</v>
      </c>
      <c r="C18455" s="9" t="s">
        <v>20598</v>
      </c>
      <c r="D18455" s="9" t="s">
        <v>20622</v>
      </c>
      <c r="E18455" s="10">
        <v>1698839</v>
      </c>
      <c r="F18455" s="4" t="str">
        <f>IF(B18455=B18454,"",B18455)</f>
        <v/>
      </c>
    </row>
    <row r="18456" spans="1:6" ht="15.75" customHeight="1">
      <c r="A18456" s="15" t="s">
        <v>21967</v>
      </c>
      <c r="B18456" s="15" t="s">
        <v>21968</v>
      </c>
      <c r="C18456" s="15" t="s">
        <v>21824</v>
      </c>
      <c r="D18456" s="15" t="s">
        <v>21893</v>
      </c>
      <c r="E18456" s="2">
        <v>672486</v>
      </c>
      <c r="F18456" s="4" t="str">
        <f>IF(B18456=B18455,"",B18456)</f>
        <v>NÄƒvodari</v>
      </c>
    </row>
    <row r="18457" spans="1:6" ht="15.75" customHeight="1">
      <c r="A18457" s="15" t="s">
        <v>19508</v>
      </c>
      <c r="B18457" s="15" t="s">
        <v>19508</v>
      </c>
      <c r="C18457" s="15" t="s">
        <v>19294</v>
      </c>
      <c r="D18457" s="15" t="s">
        <v>19348</v>
      </c>
      <c r="E18457" s="2">
        <v>2329562</v>
      </c>
      <c r="F18457" s="4" t="str">
        <f>IF(B18457=B18456,"",B18457)</f>
        <v>Nafada</v>
      </c>
    </row>
    <row r="18458" spans="1:6" ht="15.75" customHeight="1">
      <c r="A18458" s="8" t="str">
        <f ca="1">IFERROR(__xludf.DUMMYFUNCTION("GOOGLETRANSLATE(B37674,""en"",""pt"")"),"Nafada")</f>
        <v>Nafada</v>
      </c>
      <c r="B18458" s="11" t="s">
        <v>19508</v>
      </c>
      <c r="C18458" s="11" t="s">
        <v>19294</v>
      </c>
      <c r="D18458" s="11" t="s">
        <v>19348</v>
      </c>
      <c r="E18458" s="10">
        <v>2329562</v>
      </c>
      <c r="F18458" s="4" t="str">
        <f>IF(B18458=B18457,"",B18458)</f>
        <v/>
      </c>
    </row>
    <row r="18459" spans="1:6" ht="15.75" customHeight="1">
      <c r="A18459" s="8" t="str">
        <f ca="1">IFERROR(__xludf.DUMMYFUNCTION("GOOGLETRANSLATE(B28419,""en"",""pt"")"),"Næstved")</f>
        <v>Næstved</v>
      </c>
      <c r="B18459" s="9" t="s">
        <v>32154</v>
      </c>
      <c r="C18459" s="9" t="s">
        <v>6209</v>
      </c>
      <c r="D18459" s="9" t="s">
        <v>6232</v>
      </c>
      <c r="E18459" s="10">
        <v>2616038</v>
      </c>
      <c r="F18459" s="4" t="str">
        <f>IF(B18459=B18458,"",B18459)</f>
        <v>Næstved</v>
      </c>
    </row>
    <row r="18460" spans="1:6" ht="15.75" customHeight="1">
      <c r="A18460" s="8" t="str">
        <f ca="1">IFERROR(__xludf.DUMMYFUNCTION("GOOGLETRANSLATE(B36159,""en"",""pt"")"),"Naesŏ")</f>
        <v>Naesŏ</v>
      </c>
      <c r="B18460" s="11" t="s">
        <v>34476</v>
      </c>
      <c r="C18460" s="11" t="s">
        <v>24024</v>
      </c>
      <c r="D18460" s="11" t="s">
        <v>24040</v>
      </c>
      <c r="E18460" s="10">
        <v>1925936</v>
      </c>
      <c r="F18460" s="4" t="str">
        <f>IF(B18460=B18459,"",B18460)</f>
        <v>Naesŏ</v>
      </c>
    </row>
    <row r="18461" spans="1:6" ht="15.75" customHeight="1">
      <c r="A18461" s="15" t="s">
        <v>24121</v>
      </c>
      <c r="B18461" s="15" t="s">
        <v>24122</v>
      </c>
      <c r="C18461" s="15" t="s">
        <v>24024</v>
      </c>
      <c r="D18461" s="15" t="s">
        <v>24040</v>
      </c>
      <c r="E18461" s="2">
        <v>1925936</v>
      </c>
      <c r="F18461" s="4" t="str">
        <f>IF(B18461=B18460,"",B18461)</f>
        <v>NaesÅ</v>
      </c>
    </row>
    <row r="18462" spans="1:6" ht="15.75" customHeight="1">
      <c r="A18462" s="15" t="s">
        <v>22771</v>
      </c>
      <c r="B18462" s="15" t="s">
        <v>22771</v>
      </c>
      <c r="C18462" s="15" t="s">
        <v>22070</v>
      </c>
      <c r="D18462" s="15" t="s">
        <v>22414</v>
      </c>
      <c r="E18462" s="2">
        <v>1498087</v>
      </c>
      <c r="F18462" s="4" t="str">
        <f>IF(B18462=B18461,"",B18462)</f>
        <v>Nadym</v>
      </c>
    </row>
    <row r="18463" spans="1:6" ht="15.75" customHeight="1">
      <c r="A18463" s="8" t="str">
        <f ca="1">IFERROR(__xludf.DUMMYFUNCTION("GOOGLETRANSLATE(B40793,""en"",""pt"")"),"Nadym")</f>
        <v>Nadym</v>
      </c>
      <c r="B18463" s="9" t="s">
        <v>22771</v>
      </c>
      <c r="C18463" s="9" t="s">
        <v>22070</v>
      </c>
      <c r="D18463" s="9" t="s">
        <v>22414</v>
      </c>
      <c r="E18463" s="10">
        <v>1498087</v>
      </c>
      <c r="F18463" s="4" t="str">
        <f>IF(B18463=B18462,"",B18463)</f>
        <v/>
      </c>
    </row>
    <row r="18464" spans="1:6" ht="15.75" customHeight="1">
      <c r="A18464" s="15" t="s">
        <v>27077</v>
      </c>
      <c r="B18464" s="15" t="s">
        <v>27077</v>
      </c>
      <c r="C18464" s="15" t="s">
        <v>26870</v>
      </c>
      <c r="D18464" s="15" t="s">
        <v>26947</v>
      </c>
      <c r="E18464" s="2">
        <v>700507</v>
      </c>
      <c r="F18464" s="4" t="str">
        <f>IF(B18464=B18463,"",B18464)</f>
        <v>Nadvirna</v>
      </c>
    </row>
    <row r="18465" spans="1:6" ht="15.75" customHeight="1">
      <c r="A18465" s="8" t="str">
        <f ca="1">IFERROR(__xludf.DUMMYFUNCTION("GOOGLETRANSLATE(B42573,""en"",""pt"")"),"Nadvirna")</f>
        <v>Nadvirna</v>
      </c>
      <c r="B18465" s="11" t="s">
        <v>27077</v>
      </c>
      <c r="C18465" s="11" t="s">
        <v>26870</v>
      </c>
      <c r="D18465" s="11" t="s">
        <v>26947</v>
      </c>
      <c r="E18465" s="10">
        <v>700507</v>
      </c>
      <c r="F18465" s="4" t="str">
        <f>IF(B18465=B18464,"",B18465)</f>
        <v/>
      </c>
    </row>
    <row r="18466" spans="1:6" ht="15.75" customHeight="1">
      <c r="A18466" s="8" t="str">
        <f ca="1">IFERROR(__xludf.DUMMYFUNCTION("GOOGLETRANSLATE(B32700,""en"",""pt"")"),"Naduvannūr")</f>
        <v>Naduvannūr</v>
      </c>
      <c r="B18466" s="9" t="s">
        <v>33350</v>
      </c>
      <c r="C18466" s="9" t="s">
        <v>10178</v>
      </c>
      <c r="D18466" s="9" t="s">
        <v>10246</v>
      </c>
      <c r="E18466" s="10">
        <v>1262285</v>
      </c>
      <c r="F18466" s="4" t="str">
        <f>IF(B18466=B18465,"",B18466)</f>
        <v>Naduvannūr</v>
      </c>
    </row>
    <row r="18467" spans="1:6" ht="15.75" customHeight="1">
      <c r="A18467" s="16" t="s">
        <v>12557</v>
      </c>
      <c r="B18467" s="15" t="s">
        <v>12558</v>
      </c>
      <c r="C18467" s="16" t="s">
        <v>10178</v>
      </c>
      <c r="D18467" s="16" t="s">
        <v>10246</v>
      </c>
      <c r="E18467" s="2">
        <v>1262285</v>
      </c>
      <c r="F18467" s="4" t="str">
        <f>IF(B18467=B18466,"",B18467)</f>
        <v>NaduvannÅ«r</v>
      </c>
    </row>
    <row r="18468" spans="1:6" ht="15.75" customHeight="1">
      <c r="A18468" s="15" t="s">
        <v>18611</v>
      </c>
      <c r="B18468" s="15" t="s">
        <v>18611</v>
      </c>
      <c r="C18468" s="15" t="s">
        <v>18551</v>
      </c>
      <c r="D18468" s="15" t="s">
        <v>18554</v>
      </c>
      <c r="E18468" s="2">
        <v>2541479</v>
      </c>
      <c r="F18468" s="4" t="str">
        <f>IF(B18468=B18467,"",B18468)</f>
        <v>Nador</v>
      </c>
    </row>
    <row r="18469" spans="1:6" ht="15.75" customHeight="1">
      <c r="A18469" s="8" t="str">
        <f ca="1">IFERROR(__xludf.DUMMYFUNCTION("GOOGLETRANSLATE(B36484,""en"",""pt"")"),"Nador")</f>
        <v>Nador</v>
      </c>
      <c r="B18469" s="11" t="s">
        <v>18611</v>
      </c>
      <c r="C18469" s="11" t="s">
        <v>18551</v>
      </c>
      <c r="D18469" s="11" t="s">
        <v>18554</v>
      </c>
      <c r="E18469" s="10">
        <v>2541479</v>
      </c>
      <c r="F18469" s="4" t="str">
        <f>IF(B18469=B18468,"",B18469)</f>
        <v/>
      </c>
    </row>
    <row r="18470" spans="1:6" ht="15.75" customHeight="1">
      <c r="A18470" s="8" t="str">
        <f ca="1">IFERROR(__xludf.DUMMYFUNCTION("GOOGLETRANSLATE(B32701,""en"",""pt"")"),"Nadiād")</f>
        <v>Nadiād</v>
      </c>
      <c r="B18470" s="9" t="s">
        <v>33351</v>
      </c>
      <c r="C18470" s="9" t="s">
        <v>10178</v>
      </c>
      <c r="D18470" s="9" t="s">
        <v>10209</v>
      </c>
      <c r="E18470" s="10">
        <v>1262292</v>
      </c>
      <c r="F18470" s="4" t="str">
        <f>IF(B18470=B18469,"",B18470)</f>
        <v>Nadiād</v>
      </c>
    </row>
    <row r="18471" spans="1:6" ht="15.75" customHeight="1">
      <c r="A18471" s="15" t="s">
        <v>12555</v>
      </c>
      <c r="B18471" s="15" t="s">
        <v>12556</v>
      </c>
      <c r="C18471" s="15" t="s">
        <v>10178</v>
      </c>
      <c r="D18471" s="15" t="s">
        <v>10209</v>
      </c>
      <c r="E18471" s="2">
        <v>1262292</v>
      </c>
      <c r="F18471" s="4" t="str">
        <f>IF(B18471=B18470,"",B18471)</f>
        <v>NadiÄd</v>
      </c>
    </row>
    <row r="18472" spans="1:6" ht="15.75" customHeight="1">
      <c r="A18472" s="15" t="s">
        <v>6945</v>
      </c>
      <c r="B18472" s="15" t="s">
        <v>6945</v>
      </c>
      <c r="C18472" s="15" t="s">
        <v>6941</v>
      </c>
      <c r="D18472" s="15" t="s">
        <v>6944</v>
      </c>
      <c r="E18472" s="2">
        <v>2202064</v>
      </c>
      <c r="F18472" s="4" t="str">
        <f>IF(B18472=B18471,"",B18472)</f>
        <v>Nadi</v>
      </c>
    </row>
    <row r="18473" spans="1:6" ht="15.75" customHeight="1">
      <c r="A18473" s="8" t="str">
        <f ca="1">IFERROR(__xludf.DUMMYFUNCTION("GOOGLETRANSLATE(B29666,""en"",""pt"")"),"Nadi")</f>
        <v>Nadi</v>
      </c>
      <c r="B18473" s="11" t="s">
        <v>6945</v>
      </c>
      <c r="C18473" s="11" t="s">
        <v>6941</v>
      </c>
      <c r="D18473" s="11" t="s">
        <v>6944</v>
      </c>
      <c r="E18473" s="10">
        <v>2202064</v>
      </c>
      <c r="F18473" s="4" t="str">
        <f>IF(B18473=B18472,"",B18473)</f>
        <v/>
      </c>
    </row>
    <row r="18474" spans="1:6" ht="15.75" customHeight="1">
      <c r="A18474" s="8" t="str">
        <f ca="1">IFERROR(__xludf.DUMMYFUNCTION("GOOGLETRANSLATE(B32702,""en"",""pt"")"),"Nādbai")</f>
        <v>Nādbai</v>
      </c>
      <c r="B18474" s="9" t="s">
        <v>33352</v>
      </c>
      <c r="C18474" s="9" t="s">
        <v>10178</v>
      </c>
      <c r="D18474" s="9" t="s">
        <v>10179</v>
      </c>
      <c r="E18474" s="10">
        <v>1262296</v>
      </c>
      <c r="F18474" s="4" t="str">
        <f>IF(B18474=B18473,"",B18474)</f>
        <v>Nādbai</v>
      </c>
    </row>
    <row r="18475" spans="1:6" ht="15.75" customHeight="1">
      <c r="A18475" s="8" t="str">
        <f ca="1">IFERROR(__xludf.DUMMYFUNCTION("GOOGLETRANSLATE(B32703,""en"",""pt"")"),"Nādāpuram")</f>
        <v>Nādāpuram</v>
      </c>
      <c r="B18475" s="11" t="s">
        <v>33353</v>
      </c>
      <c r="C18475" s="11" t="s">
        <v>10178</v>
      </c>
      <c r="D18475" s="11" t="s">
        <v>10246</v>
      </c>
      <c r="E18475" s="10">
        <v>1262302</v>
      </c>
      <c r="F18475" s="4" t="str">
        <f>IF(B18475=B18474,"",B18475)</f>
        <v>Nādāpuram</v>
      </c>
    </row>
    <row r="18476" spans="1:6" ht="15.75" customHeight="1">
      <c r="A18476" s="15" t="s">
        <v>25180</v>
      </c>
      <c r="B18476" s="15" t="s">
        <v>25180</v>
      </c>
      <c r="C18476" s="15" t="s">
        <v>25077</v>
      </c>
      <c r="D18476" s="15" t="s">
        <v>25081</v>
      </c>
      <c r="E18476" s="2">
        <v>2690580</v>
      </c>
      <c r="F18476" s="4" t="str">
        <f>IF(B18476=B18475,"",B18476)</f>
        <v>Nacka</v>
      </c>
    </row>
    <row r="18477" spans="1:6" ht="15.75" customHeight="1">
      <c r="A18477" s="8" t="str">
        <f ca="1">IFERROR(__xludf.DUMMYFUNCTION("GOOGLETRANSLATE(B41160,""en"",""pt"")"),"Nacka")</f>
        <v>Nacka</v>
      </c>
      <c r="B18477" s="11" t="s">
        <v>25180</v>
      </c>
      <c r="C18477" s="11" t="s">
        <v>25077</v>
      </c>
      <c r="D18477" s="11" t="s">
        <v>25081</v>
      </c>
      <c r="E18477" s="10">
        <v>2690580</v>
      </c>
      <c r="F18477" s="4" t="str">
        <f>IF(B18477=B18476,"",B18477)</f>
        <v/>
      </c>
    </row>
    <row r="18478" spans="1:6" ht="15.75" customHeight="1">
      <c r="A18478" s="15" t="s">
        <v>413</v>
      </c>
      <c r="B18478" s="15" t="s">
        <v>413</v>
      </c>
      <c r="C18478" s="15" t="s">
        <v>153</v>
      </c>
      <c r="D18478" s="15" t="s">
        <v>229</v>
      </c>
      <c r="E18478" s="2">
        <v>2486505</v>
      </c>
      <c r="F18478" s="4" t="str">
        <f>IF(B18478=B18477,"",B18478)</f>
        <v>Naciria</v>
      </c>
    </row>
    <row r="18479" spans="1:6" ht="15.75" customHeight="1">
      <c r="A18479" s="8" t="str">
        <f ca="1">IFERROR(__xludf.DUMMYFUNCTION("GOOGLETRANSLATE(B28573,""en"",""pt"")"),"Naciria")</f>
        <v>Naciria</v>
      </c>
      <c r="B18479" s="11" t="s">
        <v>413</v>
      </c>
      <c r="C18479" s="11" t="s">
        <v>153</v>
      </c>
      <c r="D18479" s="11" t="s">
        <v>229</v>
      </c>
      <c r="E18479" s="10">
        <v>2486505</v>
      </c>
      <c r="F18479" s="4" t="str">
        <f>IF(B18479=B18478,"",B18479)</f>
        <v/>
      </c>
    </row>
    <row r="18480" spans="1:6" ht="15.75" customHeight="1">
      <c r="A18480" s="16" t="s">
        <v>4435</v>
      </c>
      <c r="B18480" s="15" t="s">
        <v>4435</v>
      </c>
      <c r="C18480" s="16" t="s">
        <v>4355</v>
      </c>
      <c r="D18480" s="16" t="s">
        <v>4361</v>
      </c>
      <c r="E18480" s="2">
        <v>3879123</v>
      </c>
      <c r="F18480" s="4" t="str">
        <f>IF(B18480=B18479,"",B18480)</f>
        <v>Nacimiento</v>
      </c>
    </row>
    <row r="18481" spans="1:6" ht="15.75" customHeight="1">
      <c r="A18481" s="8" t="str">
        <f ca="1">IFERROR(__xludf.DUMMYFUNCTION("GOOGLETRANSLATE(B25926,""en"",""pt"")"),"Nacimiento")</f>
        <v>Nacimiento</v>
      </c>
      <c r="B18481" s="11" t="s">
        <v>4435</v>
      </c>
      <c r="C18481" s="11" t="s">
        <v>4355</v>
      </c>
      <c r="D18481" s="11" t="s">
        <v>31796</v>
      </c>
      <c r="E18481" s="10">
        <v>3879123</v>
      </c>
      <c r="F18481" s="4" t="str">
        <f>IF(B18481=B18480,"",B18481)</f>
        <v/>
      </c>
    </row>
    <row r="18482" spans="1:6" ht="15.75" customHeight="1">
      <c r="A18482" s="8" t="str">
        <f ca="1">IFERROR(__xludf.DUMMYFUNCTION("GOOGLETRANSLATE(B27287,""en"",""pt"")"),"Nácod")</f>
        <v>Nácod</v>
      </c>
      <c r="B18482" s="9" t="s">
        <v>31971</v>
      </c>
      <c r="C18482" s="9" t="s">
        <v>5947</v>
      </c>
      <c r="D18482" s="9" t="s">
        <v>31936</v>
      </c>
      <c r="E18482" s="10">
        <v>3070122</v>
      </c>
      <c r="F18482" s="4" t="str">
        <f>IF(B18482=B18481,"",B18482)</f>
        <v>Náchod</v>
      </c>
    </row>
    <row r="18483" spans="1:6" ht="15.75" customHeight="1">
      <c r="A18483" s="16" t="s">
        <v>25714</v>
      </c>
      <c r="B18483" s="15" t="s">
        <v>25714</v>
      </c>
      <c r="C18483" s="16" t="s">
        <v>25560</v>
      </c>
      <c r="D18483" s="16" t="s">
        <v>25655</v>
      </c>
      <c r="E18483" s="2">
        <v>877702</v>
      </c>
      <c r="F18483" s="4" t="str">
        <f>IF(B18483=B18482,"",B18483)</f>
        <v>Nachingwea</v>
      </c>
    </row>
    <row r="18484" spans="1:6" ht="15.75" customHeight="1">
      <c r="A18484" s="8" t="str">
        <f ca="1">IFERROR(__xludf.DUMMYFUNCTION("GOOGLETRANSLATE(B42454,""en"",""pt"")"),"Nachingwea")</f>
        <v>Nachingwea</v>
      </c>
      <c r="B18484" s="11" t="s">
        <v>25714</v>
      </c>
      <c r="C18484" s="11" t="s">
        <v>25560</v>
      </c>
      <c r="D18484" s="11" t="s">
        <v>25655</v>
      </c>
      <c r="E18484" s="10">
        <v>877702</v>
      </c>
      <c r="F18484" s="4" t="str">
        <f>IF(B18484=B18483,"",B18484)</f>
        <v/>
      </c>
    </row>
    <row r="18485" spans="1:6" ht="15.75" customHeight="1">
      <c r="A18485" s="15" t="s">
        <v>18687</v>
      </c>
      <c r="B18485" s="15" t="s">
        <v>18687</v>
      </c>
      <c r="C18485" s="15" t="s">
        <v>18655</v>
      </c>
      <c r="D18485" s="15" t="s">
        <v>18656</v>
      </c>
      <c r="E18485" s="2">
        <v>1035025</v>
      </c>
      <c r="F18485" s="4" t="str">
        <f>IF(B18485=B18484,"",B18485)</f>
        <v>Nacala</v>
      </c>
    </row>
    <row r="18486" spans="1:6" ht="15.75" customHeight="1">
      <c r="A18486" s="8" t="str">
        <f ca="1">IFERROR(__xludf.DUMMYFUNCTION("GOOGLETRANSLATE(B37548,""en"",""pt"")"),"Nacala")</f>
        <v>Nacala</v>
      </c>
      <c r="B18486" s="11" t="s">
        <v>18687</v>
      </c>
      <c r="C18486" s="11" t="s">
        <v>18655</v>
      </c>
      <c r="D18486" s="11" t="s">
        <v>18656</v>
      </c>
      <c r="E18486" s="10">
        <v>1035025</v>
      </c>
      <c r="F18486" s="4" t="str">
        <f>IF(B18486=B18485,"",B18486)</f>
        <v/>
      </c>
    </row>
    <row r="18487" spans="1:6" ht="15.75" customHeight="1">
      <c r="A18487" s="16" t="s">
        <v>20915</v>
      </c>
      <c r="B18487" s="15" t="s">
        <v>20915</v>
      </c>
      <c r="C18487" s="16" t="s">
        <v>20598</v>
      </c>
      <c r="D18487" s="16" t="s">
        <v>20658</v>
      </c>
      <c r="E18487" s="2">
        <v>1698887</v>
      </c>
      <c r="F18487" s="4" t="str">
        <f>IF(B18487=B18486,"",B18487)</f>
        <v>Nabunturan</v>
      </c>
    </row>
    <row r="18488" spans="1:6" ht="15.75" customHeight="1">
      <c r="A18488" s="8" t="str">
        <f ca="1">IFERROR(__xludf.DUMMYFUNCTION("GOOGLETRANSLATE(B38592,""en"",""pt"")"),"Nabunturan")</f>
        <v>Nabunturan</v>
      </c>
      <c r="B18488" s="11" t="s">
        <v>20915</v>
      </c>
      <c r="C18488" s="11" t="s">
        <v>20598</v>
      </c>
      <c r="D18488" s="11" t="s">
        <v>20658</v>
      </c>
      <c r="E18488" s="10">
        <v>1698887</v>
      </c>
      <c r="F18488" s="4" t="str">
        <f>IF(B18488=B18487,"",B18488)</f>
        <v/>
      </c>
    </row>
    <row r="18489" spans="1:6" ht="15.75" customHeight="1">
      <c r="A18489" s="15" t="s">
        <v>20914</v>
      </c>
      <c r="B18489" s="15" t="s">
        <v>20914</v>
      </c>
      <c r="C18489" s="15" t="s">
        <v>20598</v>
      </c>
      <c r="D18489" s="15" t="s">
        <v>20634</v>
      </c>
      <c r="E18489" s="2">
        <v>1698921</v>
      </c>
      <c r="F18489" s="4" t="str">
        <f>IF(B18489=B18488,"",B18489)</f>
        <v>Nabua</v>
      </c>
    </row>
    <row r="18490" spans="1:6" ht="15.75" customHeight="1">
      <c r="A18490" s="8" t="str">
        <f ca="1">IFERROR(__xludf.DUMMYFUNCTION("GOOGLETRANSLATE(B38593,""en"",""pt"")"),"Nabua")</f>
        <v>Nabua</v>
      </c>
      <c r="B18490" s="11" t="s">
        <v>20914</v>
      </c>
      <c r="C18490" s="11" t="s">
        <v>20598</v>
      </c>
      <c r="D18490" s="11" t="s">
        <v>20634</v>
      </c>
      <c r="E18490" s="10">
        <v>1698921</v>
      </c>
      <c r="F18490" s="4" t="str">
        <f>IF(B18490=B18489,"",B18490)</f>
        <v/>
      </c>
    </row>
    <row r="18491" spans="1:6" ht="15.75" customHeight="1">
      <c r="A18491" s="15" t="s">
        <v>20356</v>
      </c>
      <c r="B18491" s="15" t="s">
        <v>20356</v>
      </c>
      <c r="C18491" s="15" t="s">
        <v>20297</v>
      </c>
      <c r="D18491" s="15" t="s">
        <v>20298</v>
      </c>
      <c r="E18491" s="2">
        <v>282615</v>
      </c>
      <c r="F18491" s="4" t="str">
        <f>IF(B18491=B18490,"",B18491)</f>
        <v>Nablus</v>
      </c>
    </row>
    <row r="18492" spans="1:6" ht="15.75" customHeight="1">
      <c r="A18492" s="8" t="str">
        <f ca="1">IFERROR(__xludf.DUMMYFUNCTION("GOOGLETRANSLATE(B39543,""en"",""pt"")"),"Nablus")</f>
        <v>Nablus</v>
      </c>
      <c r="B18492" s="11" t="s">
        <v>20356</v>
      </c>
      <c r="C18492" s="11" t="s">
        <v>20297</v>
      </c>
      <c r="D18492" s="11" t="s">
        <v>20298</v>
      </c>
      <c r="E18492" s="10">
        <v>282615</v>
      </c>
      <c r="F18492" s="4" t="str">
        <f>IF(B18492=B18491,"",B18492)</f>
        <v/>
      </c>
    </row>
    <row r="18493" spans="1:6" ht="15.75" customHeight="1">
      <c r="A18493" s="15" t="s">
        <v>14052</v>
      </c>
      <c r="B18493" s="15" t="s">
        <v>14052</v>
      </c>
      <c r="C18493" s="15" t="s">
        <v>13800</v>
      </c>
      <c r="D18493" s="15" t="s">
        <v>13801</v>
      </c>
      <c r="E18493" s="2">
        <v>1634614</v>
      </c>
      <c r="F18493" s="4" t="str">
        <f>IF(B18493=B18492,"",B18493)</f>
        <v>Nabire</v>
      </c>
    </row>
    <row r="18494" spans="1:6" ht="15.75" customHeight="1">
      <c r="A18494" s="8" t="str">
        <f ca="1">IFERROR(__xludf.DUMMYFUNCTION("GOOGLETRANSLATE(B31531,""en"",""pt"")"),"Nabire")</f>
        <v>Nabire</v>
      </c>
      <c r="B18494" s="11" t="s">
        <v>14052</v>
      </c>
      <c r="C18494" s="11" t="s">
        <v>13800</v>
      </c>
      <c r="D18494" s="11" t="s">
        <v>13801</v>
      </c>
      <c r="E18494" s="10">
        <v>1634614</v>
      </c>
      <c r="F18494" s="4" t="str">
        <f>IF(B18494=B18493,"",B18494)</f>
        <v/>
      </c>
    </row>
    <row r="18495" spans="1:6" ht="15.75" customHeight="1">
      <c r="A18495" s="8" t="str">
        <f ca="1">IFERROR(__xludf.DUMMYFUNCTION("GOOGLETRANSLATE(B23760,""en"",""pt"")"),"Nabīnagar")</f>
        <v>Nabīnagar</v>
      </c>
      <c r="B18495" s="9" t="s">
        <v>31292</v>
      </c>
      <c r="C18495" s="9" t="s">
        <v>1296</v>
      </c>
      <c r="D18495" s="9" t="s">
        <v>1302</v>
      </c>
      <c r="E18495" s="10">
        <v>1193823</v>
      </c>
      <c r="F18495" s="4" t="str">
        <f>IF(B18495=B18494,"",B18495)</f>
        <v>Nabīnagar</v>
      </c>
    </row>
    <row r="18496" spans="1:6" ht="15.75" customHeight="1">
      <c r="A18496" s="8" t="str">
        <f ca="1">IFERROR(__xludf.DUMMYFUNCTION("GOOGLETRANSLATE(B32704,""en"",""pt"")"),"Nabīnagar")</f>
        <v>Nabīnagar</v>
      </c>
      <c r="B18496" s="11" t="s">
        <v>31292</v>
      </c>
      <c r="C18496" s="11" t="s">
        <v>10178</v>
      </c>
      <c r="D18496" s="11" t="s">
        <v>10317</v>
      </c>
      <c r="E18496" s="10">
        <v>1262318</v>
      </c>
      <c r="F18496" s="4" t="str">
        <f>IF(B18496=B18495,"",B18496)</f>
        <v/>
      </c>
    </row>
    <row r="18497" spans="1:6" ht="15.75" customHeight="1">
      <c r="A18497" s="8" t="str">
        <f ca="1">IFERROR(__xludf.DUMMYFUNCTION("GOOGLETRANSLATE(B32705,""en"",""pt"")"),"Nābha")</f>
        <v>Nābha</v>
      </c>
      <c r="B18497" s="9" t="s">
        <v>33354</v>
      </c>
      <c r="C18497" s="9" t="s">
        <v>10178</v>
      </c>
      <c r="D18497" s="9" t="s">
        <v>10184</v>
      </c>
      <c r="E18497" s="10">
        <v>1262319</v>
      </c>
      <c r="F18497" s="4" t="str">
        <f>IF(B18497=B18496,"",B18497)</f>
        <v>Nābha</v>
      </c>
    </row>
    <row r="18498" spans="1:6" ht="15.75" customHeight="1">
      <c r="A18498" s="15" t="s">
        <v>26174</v>
      </c>
      <c r="B18498" s="15" t="s">
        <v>26174</v>
      </c>
      <c r="C18498" s="15" t="s">
        <v>26090</v>
      </c>
      <c r="D18498" s="15" t="s">
        <v>26108</v>
      </c>
      <c r="E18498" s="2">
        <v>2468579</v>
      </c>
      <c r="F18498" s="4" t="str">
        <f>IF(B18498=B18497,"",B18498)</f>
        <v>Nabeul</v>
      </c>
    </row>
    <row r="18499" spans="1:6" ht="15.75" customHeight="1">
      <c r="A18499" s="8" t="str">
        <f ca="1">IFERROR(__xludf.DUMMYFUNCTION("GOOGLETRANSLATE(B41816,""en"",""pt"")"),"Nabeul")</f>
        <v>Nabeul</v>
      </c>
      <c r="B18499" s="9" t="s">
        <v>26174</v>
      </c>
      <c r="C18499" s="9" t="s">
        <v>26090</v>
      </c>
      <c r="D18499" s="9" t="s">
        <v>35796</v>
      </c>
      <c r="E18499" s="10">
        <v>2468579</v>
      </c>
      <c r="F18499" s="4" t="str">
        <f>IF(B18499=B18498,"",B18499)</f>
        <v/>
      </c>
    </row>
    <row r="18500" spans="1:6" ht="15.75" customHeight="1">
      <c r="A18500" s="16" t="s">
        <v>22770</v>
      </c>
      <c r="B18500" s="15" t="s">
        <v>22770</v>
      </c>
      <c r="C18500" s="16" t="s">
        <v>22070</v>
      </c>
      <c r="D18500" s="16" t="s">
        <v>22090</v>
      </c>
      <c r="E18500" s="2">
        <v>523750</v>
      </c>
      <c r="F18500" s="4" t="str">
        <f>IF(B18500=B18499,"",B18500)</f>
        <v>Naberezhnyye Chelny</v>
      </c>
    </row>
    <row r="18501" spans="1:6" ht="15.75" customHeight="1">
      <c r="A18501" s="8" t="str">
        <f ca="1">IFERROR(__xludf.DUMMYFUNCTION("GOOGLETRANSLATE(B40301,""en"",""pt"")"),"Naberezhnyye Chelny")</f>
        <v>Naberezhnyye Chelny</v>
      </c>
      <c r="B18501" s="9" t="s">
        <v>22770</v>
      </c>
      <c r="C18501" s="9" t="s">
        <v>22070</v>
      </c>
      <c r="D18501" s="9" t="s">
        <v>22090</v>
      </c>
      <c r="E18501" s="10">
        <v>523750</v>
      </c>
      <c r="F18501" s="4" t="str">
        <f>IF(B18501=B18500,"",B18501)</f>
        <v/>
      </c>
    </row>
    <row r="18502" spans="1:6" ht="15.75" customHeight="1">
      <c r="A18502" s="8" t="str">
        <f ca="1">IFERROR(__xludf.DUMMYFUNCTION("GOOGLETRANSLATE(B36287,""en"",""pt"")"),"Nabatîyé et tahta")</f>
        <v>Nabatîyé et tahta</v>
      </c>
      <c r="B18502" s="11" t="s">
        <v>34520</v>
      </c>
      <c r="C18502" s="11" t="s">
        <v>17008</v>
      </c>
      <c r="D18502" s="11" t="s">
        <v>34518</v>
      </c>
      <c r="E18502" s="10">
        <v>278913</v>
      </c>
      <c r="F18502" s="4" t="str">
        <f>IF(B18502=B18501,"",B18502)</f>
        <v>Nabatîyé et Tahta</v>
      </c>
    </row>
    <row r="18503" spans="1:6" ht="15.75" customHeight="1">
      <c r="A18503" s="16" t="s">
        <v>17026</v>
      </c>
      <c r="B18503" s="15" t="s">
        <v>17027</v>
      </c>
      <c r="C18503" s="16" t="s">
        <v>17008</v>
      </c>
      <c r="D18503" s="16" t="s">
        <v>17023</v>
      </c>
      <c r="E18503" s="2">
        <v>278913</v>
      </c>
      <c r="F18503" s="4" t="str">
        <f>IF(B18503=B18502,"",B18503)</f>
        <v>NabatÃ®yÃ© et Tahta</v>
      </c>
    </row>
    <row r="18504" spans="1:6" ht="15.75" customHeight="1">
      <c r="A18504" s="15" t="s">
        <v>16266</v>
      </c>
      <c r="B18504" s="15" t="s">
        <v>16266</v>
      </c>
      <c r="C18504" s="15" t="s">
        <v>15704</v>
      </c>
      <c r="D18504" s="15" t="s">
        <v>15967</v>
      </c>
      <c r="E18504" s="2">
        <v>1856293</v>
      </c>
      <c r="F18504" s="4" t="str">
        <f>IF(B18504=B18503,"",B18504)</f>
        <v>Nabari</v>
      </c>
    </row>
    <row r="18505" spans="1:6" ht="15.75" customHeight="1">
      <c r="A18505" s="8" t="str">
        <f ca="1">IFERROR(__xludf.DUMMYFUNCTION("GOOGLETRANSLATE(B35409,""en"",""pt"")"),"Nabari")</f>
        <v>Nabari</v>
      </c>
      <c r="B18505" s="9" t="s">
        <v>16266</v>
      </c>
      <c r="C18505" s="9" t="s">
        <v>15704</v>
      </c>
      <c r="D18505" s="9" t="s">
        <v>15967</v>
      </c>
      <c r="E18505" s="10">
        <v>1856293</v>
      </c>
      <c r="F18505" s="4" t="str">
        <f>IF(B18505=B18504,"",B18505)</f>
        <v/>
      </c>
    </row>
    <row r="18506" spans="1:6" ht="15.75" customHeight="1">
      <c r="A18506" s="8" t="str">
        <f ca="1">IFERROR(__xludf.DUMMYFUNCTION("GOOGLETRANSLATE(B34195,""en"",""pt"")"),"Nabagra")</f>
        <v>Nabagra</v>
      </c>
      <c r="B18506" s="11" t="s">
        <v>34062</v>
      </c>
      <c r="C18506" s="11" t="s">
        <v>10178</v>
      </c>
      <c r="D18506" s="11" t="s">
        <v>10201</v>
      </c>
      <c r="E18506" s="10">
        <v>1349357</v>
      </c>
      <c r="F18506" s="4" t="str">
        <f>IF(B18506=B18505,"",B18506)</f>
        <v>Nabagrām</v>
      </c>
    </row>
    <row r="18507" spans="1:6" ht="15.75" customHeight="1">
      <c r="A18507" s="16" t="s">
        <v>12553</v>
      </c>
      <c r="B18507" s="15" t="s">
        <v>12554</v>
      </c>
      <c r="C18507" s="16" t="s">
        <v>10178</v>
      </c>
      <c r="D18507" s="16" t="s">
        <v>10201</v>
      </c>
      <c r="E18507" s="2">
        <v>1349357</v>
      </c>
      <c r="F18507" s="4" t="str">
        <f>IF(B18507=B18506,"",B18507)</f>
        <v>NabagrÄm</v>
      </c>
    </row>
    <row r="18508" spans="1:6" ht="15.75" customHeight="1">
      <c r="A18508" s="16" t="s">
        <v>1391</v>
      </c>
      <c r="B18508" s="15" t="s">
        <v>1392</v>
      </c>
      <c r="C18508" s="16" t="s">
        <v>1296</v>
      </c>
      <c r="D18508" s="16" t="s">
        <v>1302</v>
      </c>
      <c r="E18508" s="2">
        <v>1193823</v>
      </c>
      <c r="F18508" s="4" t="str">
        <f>IF(B18508=B18507,"",B18508)</f>
        <v>NabÄ«nagar</v>
      </c>
    </row>
    <row r="18509" spans="1:6" ht="15.75" customHeight="1">
      <c r="A18509" s="16" t="s">
        <v>1391</v>
      </c>
      <c r="B18509" s="15" t="s">
        <v>1392</v>
      </c>
      <c r="C18509" s="16" t="s">
        <v>10178</v>
      </c>
      <c r="D18509" s="16" t="s">
        <v>10317</v>
      </c>
      <c r="E18509" s="2">
        <v>1262318</v>
      </c>
      <c r="F18509" s="4" t="str">
        <f>IF(B18509=B18508,"",B18509)</f>
        <v/>
      </c>
    </row>
    <row r="18510" spans="1:6" ht="15.75" customHeight="1">
      <c r="A18510" s="15" t="s">
        <v>14758</v>
      </c>
      <c r="B18510" s="15" t="s">
        <v>14759</v>
      </c>
      <c r="C18510" s="15" t="s">
        <v>14728</v>
      </c>
      <c r="D18510" s="15" t="s">
        <v>14729</v>
      </c>
      <c r="E18510" s="2">
        <v>2962334</v>
      </c>
      <c r="F18510" s="4" t="str">
        <f>IF(B18510=B18509,"",B18510)</f>
        <v>Naas</v>
      </c>
    </row>
    <row r="18511" spans="1:6" ht="15.75" customHeight="1">
      <c r="A18511" s="8" t="str">
        <f ca="1">IFERROR(__xludf.DUMMYFUNCTION("GOOGLETRANSLATE(B31732,""en"",""pt"")"),"NaAS")</f>
        <v>NaAS</v>
      </c>
      <c r="B18511" s="9" t="s">
        <v>14759</v>
      </c>
      <c r="C18511" s="9" t="s">
        <v>14728</v>
      </c>
      <c r="D18511" s="9" t="s">
        <v>14729</v>
      </c>
      <c r="E18511" s="10">
        <v>2962334</v>
      </c>
      <c r="F18511" s="4" t="str">
        <f>IF(B18511=B18510,"",B18511)</f>
        <v/>
      </c>
    </row>
    <row r="18512" spans="1:6" ht="15.75" customHeight="1">
      <c r="A18512" s="15" t="s">
        <v>19045</v>
      </c>
      <c r="B18512" s="15" t="s">
        <v>19045</v>
      </c>
      <c r="C18512" s="15" t="s">
        <v>18862</v>
      </c>
      <c r="D18512" s="15" t="s">
        <v>18863</v>
      </c>
      <c r="E18512" s="2">
        <v>2750521</v>
      </c>
      <c r="F18512" s="4" t="str">
        <f>IF(B18512=B18511,"",B18512)</f>
        <v>Naarden</v>
      </c>
    </row>
    <row r="18513" spans="1:6" ht="15.75" customHeight="1">
      <c r="A18513" s="8" t="str">
        <f ca="1">IFERROR(__xludf.DUMMYFUNCTION("GOOGLETRANSLATE(B37992,""en"",""pt"")"),"Naarden")</f>
        <v>Naarden</v>
      </c>
      <c r="B18513" s="9" t="s">
        <v>19045</v>
      </c>
      <c r="C18513" s="9" t="s">
        <v>18862</v>
      </c>
      <c r="D18513" s="9" t="s">
        <v>18863</v>
      </c>
      <c r="E18513" s="10">
        <v>2750521</v>
      </c>
      <c r="F18513" s="4" t="str">
        <f>IF(B18513=B18512,"",B18513)</f>
        <v/>
      </c>
    </row>
    <row r="18514" spans="1:6" ht="15.75" customHeight="1">
      <c r="A18514" s="16" t="s">
        <v>19044</v>
      </c>
      <c r="B18514" s="15" t="s">
        <v>19044</v>
      </c>
      <c r="C18514" s="16" t="s">
        <v>18862</v>
      </c>
      <c r="D18514" s="16" t="s">
        <v>18868</v>
      </c>
      <c r="E18514" s="2">
        <v>2750523</v>
      </c>
      <c r="F18514" s="4" t="str">
        <f>IF(B18514=B18513,"",B18514)</f>
        <v>Naaldwijk</v>
      </c>
    </row>
    <row r="18515" spans="1:6" ht="15.75" customHeight="1">
      <c r="A18515" s="8" t="str">
        <f ca="1">IFERROR(__xludf.DUMMYFUNCTION("GOOGLETRANSLATE(B37993,""en"",""pt"")"),"Naaldwijk")</f>
        <v>Naaldwijk</v>
      </c>
      <c r="B18515" s="11" t="s">
        <v>19044</v>
      </c>
      <c r="C18515" s="11" t="s">
        <v>18862</v>
      </c>
      <c r="D18515" s="11" t="s">
        <v>18868</v>
      </c>
      <c r="E18515" s="10">
        <v>2750523</v>
      </c>
      <c r="F18515" s="4" t="str">
        <f>IF(B18515=B18514,"",B18515)</f>
        <v/>
      </c>
    </row>
    <row r="18516" spans="1:6" ht="15.75" customHeight="1">
      <c r="A18516" s="16" t="s">
        <v>8876</v>
      </c>
      <c r="B18516" s="15" t="s">
        <v>8877</v>
      </c>
      <c r="C18516" s="16" t="s">
        <v>8028</v>
      </c>
      <c r="D18516" s="16" t="s">
        <v>8031</v>
      </c>
      <c r="E18516" s="2">
        <v>2861632</v>
      </c>
      <c r="F18516" s="4" t="str">
        <f>IF(B18516=B18515,"",B18516)</f>
        <v>NÃ¼rtingen</v>
      </c>
    </row>
    <row r="18517" spans="1:6" ht="15.75" customHeight="1">
      <c r="A18517" s="15" t="s">
        <v>8874</v>
      </c>
      <c r="B18517" s="15" t="s">
        <v>8875</v>
      </c>
      <c r="C18517" s="15" t="s">
        <v>8028</v>
      </c>
      <c r="D18517" s="15" t="s">
        <v>8044</v>
      </c>
      <c r="E18517" s="2">
        <v>2861650</v>
      </c>
      <c r="F18517" s="4" t="str">
        <f>IF(B18517=B18516,"",B18517)</f>
        <v>NÃ¼rnberg</v>
      </c>
    </row>
    <row r="18518" spans="1:6" ht="15.75" customHeight="1">
      <c r="A18518" s="16" t="s">
        <v>8872</v>
      </c>
      <c r="B18518" s="15" t="s">
        <v>8873</v>
      </c>
      <c r="C18518" s="16" t="s">
        <v>8028</v>
      </c>
      <c r="D18518" s="16" t="s">
        <v>8029</v>
      </c>
      <c r="E18518" s="2">
        <v>2861677</v>
      </c>
      <c r="F18518" s="4" t="str">
        <f>IF(B18518=B18517,"",B18518)</f>
        <v>NÃ¼mbrecht</v>
      </c>
    </row>
    <row r="18519" spans="1:6" ht="15.75" customHeight="1">
      <c r="A18519" s="16" t="s">
        <v>12551</v>
      </c>
      <c r="B18519" s="15" t="s">
        <v>12552</v>
      </c>
      <c r="C18519" s="16" t="s">
        <v>10178</v>
      </c>
      <c r="D18519" s="16" t="s">
        <v>10190</v>
      </c>
      <c r="E18519" s="2">
        <v>1261567</v>
      </c>
      <c r="F18519" s="4" t="str">
        <f>IF(B18519=B18518,"",B18519)</f>
        <v>NÄyudupeta</v>
      </c>
    </row>
    <row r="18520" spans="1:6" ht="15.75" customHeight="1">
      <c r="A18520" s="15" t="s">
        <v>12549</v>
      </c>
      <c r="B18520" s="15" t="s">
        <v>12550</v>
      </c>
      <c r="C18520" s="15" t="s">
        <v>10178</v>
      </c>
      <c r="D18520" s="15" t="s">
        <v>10179</v>
      </c>
      <c r="E18520" s="2">
        <v>1261647</v>
      </c>
      <c r="F18520" s="4" t="str">
        <f>IF(B18520=B18519,"",B18520)</f>
        <v>NÄwa</v>
      </c>
    </row>
    <row r="18521" spans="1:6" ht="15.75" customHeight="1">
      <c r="A18521" s="16" t="s">
        <v>12547</v>
      </c>
      <c r="B18521" s="15" t="s">
        <v>12548</v>
      </c>
      <c r="C18521" s="16" t="s">
        <v>10178</v>
      </c>
      <c r="D18521" s="16" t="s">
        <v>10179</v>
      </c>
      <c r="E18521" s="2">
        <v>1261711</v>
      </c>
      <c r="F18521" s="4" t="str">
        <f>IF(B18521=B18520,"",B18521)</f>
        <v>NÄthdwÄra</v>
      </c>
    </row>
    <row r="18522" spans="1:6" ht="15.75" customHeight="1">
      <c r="A18522" s="16" t="s">
        <v>12545</v>
      </c>
      <c r="B18522" s="15" t="s">
        <v>12546</v>
      </c>
      <c r="C18522" s="16" t="s">
        <v>10178</v>
      </c>
      <c r="D18522" s="16" t="s">
        <v>10317</v>
      </c>
      <c r="E18522" s="2">
        <v>1261722</v>
      </c>
      <c r="F18522" s="4" t="str">
        <f>IF(B18522=B18521,"",B18522)</f>
        <v>NÄsriganj</v>
      </c>
    </row>
    <row r="18523" spans="1:6" ht="15.75" customHeight="1">
      <c r="A18523" s="15" t="s">
        <v>12543</v>
      </c>
      <c r="B18523" s="15" t="s">
        <v>12544</v>
      </c>
      <c r="C18523" s="15" t="s">
        <v>10178</v>
      </c>
      <c r="D18523" s="15" t="s">
        <v>10187</v>
      </c>
      <c r="E18523" s="2">
        <v>1261726</v>
      </c>
      <c r="F18523" s="4" t="str">
        <f>IF(B18523=B18522,"",B18523)</f>
        <v>NÄspur</v>
      </c>
    </row>
    <row r="18524" spans="1:6" ht="15.75" customHeight="1">
      <c r="A18524" s="16" t="s">
        <v>20126</v>
      </c>
      <c r="B18524" s="15" t="s">
        <v>20127</v>
      </c>
      <c r="C18524" s="16" t="s">
        <v>19808</v>
      </c>
      <c r="D18524" s="16" t="s">
        <v>10184</v>
      </c>
      <c r="E18524" s="2">
        <v>1169278</v>
      </c>
      <c r="F18524" s="4" t="str">
        <f>IF(B18524=B18523,"",B18524)</f>
        <v>NÄrowÄl</v>
      </c>
    </row>
    <row r="18525" spans="1:6" ht="15.75" customHeight="1">
      <c r="A18525" s="16" t="s">
        <v>12541</v>
      </c>
      <c r="B18525" s="15" t="s">
        <v>12542</v>
      </c>
      <c r="C18525" s="16" t="s">
        <v>10178</v>
      </c>
      <c r="D18525" s="16" t="s">
        <v>10224</v>
      </c>
      <c r="E18525" s="2">
        <v>1261771</v>
      </c>
      <c r="F18525" s="4" t="str">
        <f>IF(B18525=B18524,"",B18525)</f>
        <v>NÄrnaund</v>
      </c>
    </row>
    <row r="18526" spans="1:6" ht="15.75" customHeight="1">
      <c r="A18526" s="15" t="s">
        <v>12539</v>
      </c>
      <c r="B18526" s="15" t="s">
        <v>12540</v>
      </c>
      <c r="C18526" s="15" t="s">
        <v>10178</v>
      </c>
      <c r="D18526" s="15" t="s">
        <v>10224</v>
      </c>
      <c r="E18526" s="2">
        <v>1261772</v>
      </c>
      <c r="F18526" s="4" t="str">
        <f>IF(B18526=B18525,"",B18526)</f>
        <v>NÄrnaul</v>
      </c>
    </row>
    <row r="18527" spans="1:6" ht="15.75" customHeight="1">
      <c r="A18527" s="16" t="s">
        <v>12537</v>
      </c>
      <c r="B18527" s="15" t="s">
        <v>12538</v>
      </c>
      <c r="C18527" s="16" t="s">
        <v>10178</v>
      </c>
      <c r="D18527" s="16" t="s">
        <v>10196</v>
      </c>
      <c r="E18527" s="2">
        <v>1261835</v>
      </c>
      <c r="F18527" s="4" t="str">
        <f>IF(B18527=B18526,"",B18527)</f>
        <v>NÄravÄrikuppam</v>
      </c>
    </row>
    <row r="18528" spans="1:6" ht="15.75" customHeight="1">
      <c r="A18528" s="15" t="s">
        <v>20124</v>
      </c>
      <c r="B18528" s="15" t="s">
        <v>20125</v>
      </c>
      <c r="C18528" s="15" t="s">
        <v>19808</v>
      </c>
      <c r="D18528" s="15" t="s">
        <v>10184</v>
      </c>
      <c r="E18528" s="2">
        <v>1169334</v>
      </c>
      <c r="F18528" s="4" t="str">
        <f>IF(B18528=B18527,"",B18528)</f>
        <v>NÄrang</v>
      </c>
    </row>
    <row r="18529" spans="1:6" ht="15.75" customHeight="1">
      <c r="A18529" s="16" t="s">
        <v>12535</v>
      </c>
      <c r="B18529" s="15" t="s">
        <v>12536</v>
      </c>
      <c r="C18529" s="16" t="s">
        <v>10178</v>
      </c>
      <c r="D18529" s="16" t="s">
        <v>10187</v>
      </c>
      <c r="E18529" s="2">
        <v>1261823</v>
      </c>
      <c r="F18529" s="4" t="str">
        <f>IF(B18529=B18528,"",B18529)</f>
        <v>NÄrÄyanpet</v>
      </c>
    </row>
    <row r="18530" spans="1:6" ht="15.75" customHeight="1">
      <c r="A18530" s="16" t="s">
        <v>1389</v>
      </c>
      <c r="B18530" s="15" t="s">
        <v>1390</v>
      </c>
      <c r="C18530" s="16" t="s">
        <v>1296</v>
      </c>
      <c r="D18530" s="16" t="s">
        <v>1297</v>
      </c>
      <c r="E18530" s="2">
        <v>1185155</v>
      </c>
      <c r="F18530" s="4" t="str">
        <f>IF(B18530=B18529,"",B18530)</f>
        <v>NÄrÄyanganj</v>
      </c>
    </row>
    <row r="18531" spans="1:6" ht="15.75" customHeight="1">
      <c r="A18531" s="15" t="s">
        <v>12533</v>
      </c>
      <c r="B18531" s="15" t="s">
        <v>12534</v>
      </c>
      <c r="C18531" s="15" t="s">
        <v>10178</v>
      </c>
      <c r="D18531" s="15" t="s">
        <v>10193</v>
      </c>
      <c r="E18531" s="2">
        <v>1261901</v>
      </c>
      <c r="F18531" s="4" t="str">
        <f>IF(B18531=B18530,"",B18531)</f>
        <v>NÄnpÄra</v>
      </c>
    </row>
    <row r="18532" spans="1:6" ht="15.75" customHeight="1">
      <c r="A18532" s="15" t="s">
        <v>12531</v>
      </c>
      <c r="B18532" s="15" t="s">
        <v>12532</v>
      </c>
      <c r="C18532" s="15" t="s">
        <v>10178</v>
      </c>
      <c r="D18532" s="15" t="s">
        <v>10288</v>
      </c>
      <c r="E18532" s="2">
        <v>1261913</v>
      </c>
      <c r="F18532" s="4" t="str">
        <f>IF(B18532=B18531,"",B18532)</f>
        <v>NÄngloi JÄt</v>
      </c>
    </row>
    <row r="18533" spans="1:6" ht="15.75" customHeight="1">
      <c r="A18533" s="16" t="s">
        <v>12529</v>
      </c>
      <c r="B18533" s="15" t="s">
        <v>12530</v>
      </c>
      <c r="C18533" s="16" t="s">
        <v>10178</v>
      </c>
      <c r="D18533" s="16" t="s">
        <v>10184</v>
      </c>
      <c r="E18533" s="2">
        <v>1261922</v>
      </c>
      <c r="F18533" s="4" t="str">
        <f>IF(B18533=B18532,"",B18533)</f>
        <v>NÄngal Township</v>
      </c>
    </row>
    <row r="18534" spans="1:6" ht="15.75" customHeight="1">
      <c r="A18534" s="15" t="s">
        <v>12527</v>
      </c>
      <c r="B18534" s="15" t="s">
        <v>12528</v>
      </c>
      <c r="C18534" s="15" t="s">
        <v>10178</v>
      </c>
      <c r="D18534" s="15" t="s">
        <v>10214</v>
      </c>
      <c r="E18534" s="2">
        <v>1261971</v>
      </c>
      <c r="F18534" s="4" t="str">
        <f>IF(B18534=B18533,"",B18534)</f>
        <v>NÄndgaon</v>
      </c>
    </row>
    <row r="18535" spans="1:6" ht="15.75" customHeight="1">
      <c r="A18535" s="16" t="s">
        <v>12525</v>
      </c>
      <c r="B18535" s="15" t="s">
        <v>12526</v>
      </c>
      <c r="C18535" s="16" t="s">
        <v>10178</v>
      </c>
      <c r="D18535" s="16" t="s">
        <v>10214</v>
      </c>
      <c r="E18535" s="2">
        <v>1261932</v>
      </c>
      <c r="F18535" s="4" t="str">
        <f>IF(B18535=B18534,"",B18535)</f>
        <v>NÄndÅ«ra Buzurg</v>
      </c>
    </row>
    <row r="18536" spans="1:6" ht="15.75" customHeight="1">
      <c r="A18536" s="16" t="s">
        <v>12523</v>
      </c>
      <c r="B18536" s="15" t="s">
        <v>12524</v>
      </c>
      <c r="C18536" s="16" t="s">
        <v>10178</v>
      </c>
      <c r="D18536" s="16" t="s">
        <v>10239</v>
      </c>
      <c r="E18536" s="2">
        <v>1262013</v>
      </c>
      <c r="F18536" s="4" t="str">
        <f>IF(B18536=B18535,"",B18536)</f>
        <v>NÄmrup</v>
      </c>
    </row>
    <row r="18537" spans="1:6" ht="15.75" customHeight="1">
      <c r="A18537" s="16" t="s">
        <v>12521</v>
      </c>
      <c r="B18537" s="15" t="s">
        <v>12522</v>
      </c>
      <c r="C18537" s="16" t="s">
        <v>10178</v>
      </c>
      <c r="D18537" s="16" t="s">
        <v>10196</v>
      </c>
      <c r="E18537" s="2">
        <v>1262039</v>
      </c>
      <c r="F18537" s="4" t="str">
        <f>IF(B18537=B18536,"",B18537)</f>
        <v>NÄmakkal</v>
      </c>
    </row>
    <row r="18538" spans="1:6" ht="15.75" customHeight="1">
      <c r="A18538" s="16" t="s">
        <v>12519</v>
      </c>
      <c r="B18538" s="15" t="s">
        <v>12520</v>
      </c>
      <c r="C18538" s="16" t="s">
        <v>10178</v>
      </c>
      <c r="D18538" s="16" t="s">
        <v>10196</v>
      </c>
      <c r="E18538" s="2">
        <v>1262040</v>
      </c>
      <c r="F18538" s="4" t="str">
        <f>IF(B18538=B18537,"",B18538)</f>
        <v>NÄmagiripettai</v>
      </c>
    </row>
    <row r="18539" spans="1:6" ht="15.75" customHeight="1">
      <c r="A18539" s="15" t="s">
        <v>1387</v>
      </c>
      <c r="B18539" s="15" t="s">
        <v>1388</v>
      </c>
      <c r="C18539" s="15" t="s">
        <v>1296</v>
      </c>
      <c r="D18539" s="15" t="s">
        <v>1308</v>
      </c>
      <c r="E18539" s="2">
        <v>1185156</v>
      </c>
      <c r="F18539" s="4" t="str">
        <f>IF(B18539=B18538,"",B18539)</f>
        <v>NÄlchiti</v>
      </c>
    </row>
    <row r="18540" spans="1:6" ht="15.75" customHeight="1">
      <c r="A18540" s="15" t="s">
        <v>17126</v>
      </c>
      <c r="B18540" s="15" t="s">
        <v>17127</v>
      </c>
      <c r="C18540" s="15" t="s">
        <v>17074</v>
      </c>
      <c r="D18540" s="15" t="s">
        <v>17128</v>
      </c>
      <c r="E18540" s="2">
        <v>2214433</v>
      </c>
      <c r="F18540" s="4" t="str">
        <f>IF(B18540=B18539,"",B18540)</f>
        <v>NÄlÅ«t</v>
      </c>
    </row>
    <row r="18541" spans="1:6" ht="15.75" customHeight="1">
      <c r="A18541" s="15" t="s">
        <v>12517</v>
      </c>
      <c r="B18541" s="15" t="s">
        <v>12518</v>
      </c>
      <c r="C18541" s="15" t="s">
        <v>10178</v>
      </c>
      <c r="D18541" s="15" t="s">
        <v>10538</v>
      </c>
      <c r="E18541" s="2">
        <v>1262151</v>
      </c>
      <c r="F18541" s="4" t="str">
        <f>IF(B18541=B18540,"",B18541)</f>
        <v>NÄhan</v>
      </c>
    </row>
    <row r="18542" spans="1:6" ht="15.75" customHeight="1">
      <c r="A18542" s="15" t="s">
        <v>12515</v>
      </c>
      <c r="B18542" s="15" t="s">
        <v>12516</v>
      </c>
      <c r="C18542" s="15" t="s">
        <v>10178</v>
      </c>
      <c r="D18542" s="15" t="s">
        <v>10219</v>
      </c>
      <c r="E18542" s="2">
        <v>1262187</v>
      </c>
      <c r="F18542" s="4" t="str">
        <f>IF(B18542=B18541,"",B18542)</f>
        <v>NÄgod</v>
      </c>
    </row>
    <row r="18543" spans="1:6" ht="15.75" customHeight="1">
      <c r="A18543" s="16" t="s">
        <v>12513</v>
      </c>
      <c r="B18543" s="15" t="s">
        <v>12514</v>
      </c>
      <c r="C18543" s="16" t="s">
        <v>10178</v>
      </c>
      <c r="D18543" s="16" t="s">
        <v>10196</v>
      </c>
      <c r="E18543" s="2">
        <v>1262204</v>
      </c>
      <c r="F18543" s="4" t="str">
        <f>IF(B18543=B18542,"",B18543)</f>
        <v>NÄgercoil</v>
      </c>
    </row>
    <row r="18544" spans="1:6" ht="15.75" customHeight="1">
      <c r="A18544" s="15" t="s">
        <v>12511</v>
      </c>
      <c r="B18544" s="15" t="s">
        <v>12512</v>
      </c>
      <c r="C18544" s="15" t="s">
        <v>10178</v>
      </c>
      <c r="D18544" s="15" t="s">
        <v>10179</v>
      </c>
      <c r="E18544" s="2">
        <v>1262216</v>
      </c>
      <c r="F18544" s="4" t="str">
        <f>IF(B18544=B18543,"",B18544)</f>
        <v>NÄgaur</v>
      </c>
    </row>
    <row r="18545" spans="1:6" ht="15.75" customHeight="1">
      <c r="A18545" s="15" t="s">
        <v>16264</v>
      </c>
      <c r="B18545" s="15" t="s">
        <v>16265</v>
      </c>
      <c r="C18545" s="15" t="s">
        <v>15704</v>
      </c>
      <c r="D18545" s="15" t="s">
        <v>15722</v>
      </c>
      <c r="E18545" s="2">
        <v>1855066</v>
      </c>
      <c r="F18545" s="4" t="str">
        <f>IF(B18545=B18544,"",B18545)</f>
        <v>NÅgata</v>
      </c>
    </row>
    <row r="18546" spans="1:6" ht="15.75" customHeight="1">
      <c r="A18546" s="16" t="s">
        <v>1385</v>
      </c>
      <c r="B18546" s="15" t="s">
        <v>1386</v>
      </c>
      <c r="C18546" s="16" t="s">
        <v>1296</v>
      </c>
      <c r="D18546" s="16" t="s">
        <v>1297</v>
      </c>
      <c r="E18546" s="2">
        <v>1185159</v>
      </c>
      <c r="F18546" s="4" t="str">
        <f>IF(B18546=B18545,"",B18546)</f>
        <v>NÄgarpur</v>
      </c>
    </row>
    <row r="18547" spans="1:6" ht="15.75" customHeight="1">
      <c r="A18547" s="16" t="s">
        <v>12509</v>
      </c>
      <c r="B18547" s="15" t="s">
        <v>12510</v>
      </c>
      <c r="C18547" s="16" t="s">
        <v>10178</v>
      </c>
      <c r="D18547" s="16" t="s">
        <v>10187</v>
      </c>
      <c r="E18547" s="2">
        <v>1262230</v>
      </c>
      <c r="F18547" s="4" t="str">
        <f>IF(B18547=B18546,"",B18547)</f>
        <v>NÄgar KarnÅ«l</v>
      </c>
    </row>
    <row r="18548" spans="1:6" ht="15.75" customHeight="1">
      <c r="A18548" s="16" t="s">
        <v>12507</v>
      </c>
      <c r="B18548" s="15" t="s">
        <v>12508</v>
      </c>
      <c r="C18548" s="16" t="s">
        <v>10178</v>
      </c>
      <c r="D18548" s="16" t="s">
        <v>10196</v>
      </c>
      <c r="E18548" s="2">
        <v>1262260</v>
      </c>
      <c r="F18548" s="4" t="str">
        <f>IF(B18548=B18547,"",B18548)</f>
        <v>NÄgappattinam</v>
      </c>
    </row>
    <row r="18549" spans="1:6" ht="15.75" customHeight="1">
      <c r="A18549" s="16" t="s">
        <v>12505</v>
      </c>
      <c r="B18549" s="15" t="s">
        <v>12506</v>
      </c>
      <c r="C18549" s="16" t="s">
        <v>10178</v>
      </c>
      <c r="D18549" s="16" t="s">
        <v>10252</v>
      </c>
      <c r="E18549" s="2">
        <v>1262266</v>
      </c>
      <c r="F18549" s="4" t="str">
        <f>IF(B18549=B18548,"",B18549)</f>
        <v>NÄgamangala</v>
      </c>
    </row>
    <row r="18550" spans="1:6" ht="15.75" customHeight="1">
      <c r="A18550" s="15" t="s">
        <v>12503</v>
      </c>
      <c r="B18550" s="15" t="s">
        <v>12504</v>
      </c>
      <c r="C18550" s="15" t="s">
        <v>10178</v>
      </c>
      <c r="D18550" s="15" t="s">
        <v>10179</v>
      </c>
      <c r="E18550" s="2">
        <v>1262296</v>
      </c>
      <c r="F18550" s="4" t="str">
        <f>IF(B18550=B18549,"",B18550)</f>
        <v>NÄdbai</v>
      </c>
    </row>
    <row r="18551" spans="1:6" ht="15.75" customHeight="1">
      <c r="A18551" s="16" t="s">
        <v>12501</v>
      </c>
      <c r="B18551" s="15" t="s">
        <v>12502</v>
      </c>
      <c r="C18551" s="16" t="s">
        <v>10178</v>
      </c>
      <c r="D18551" s="16" t="s">
        <v>10246</v>
      </c>
      <c r="E18551" s="2">
        <v>1262302</v>
      </c>
      <c r="F18551" s="4" t="str">
        <f>IF(B18551=B18550,"",B18551)</f>
        <v>NÄdÄpuram</v>
      </c>
    </row>
    <row r="18552" spans="1:6" ht="15.75" customHeight="1">
      <c r="A18552" s="15" t="s">
        <v>12499</v>
      </c>
      <c r="B18552" s="15" t="s">
        <v>12500</v>
      </c>
      <c r="C18552" s="15" t="s">
        <v>10178</v>
      </c>
      <c r="D18552" s="15" t="s">
        <v>10184</v>
      </c>
      <c r="E18552" s="2">
        <v>1262319</v>
      </c>
      <c r="F18552" s="4" t="str">
        <f>IF(B18552=B18551,"",B18552)</f>
        <v>NÄbha</v>
      </c>
    </row>
    <row r="18553" spans="1:6" ht="15.75" customHeight="1">
      <c r="A18553" s="16" t="s">
        <v>14704</v>
      </c>
      <c r="B18553" s="15" t="s">
        <v>14705</v>
      </c>
      <c r="C18553" s="16" t="s">
        <v>14594</v>
      </c>
      <c r="D18553" s="16" t="s">
        <v>14601</v>
      </c>
      <c r="E18553" s="2">
        <v>98589</v>
      </c>
      <c r="F18553" s="4" t="str">
        <f>IF(B18553=B18552,"",B18553)</f>
        <v>NÄá¸©iyat ash ShinÄfÄ«yah</v>
      </c>
    </row>
    <row r="18554" spans="1:6" ht="15.75" customHeight="1">
      <c r="A18554" s="16" t="s">
        <v>14702</v>
      </c>
      <c r="B18554" s="15" t="s">
        <v>14703</v>
      </c>
      <c r="C18554" s="16" t="s">
        <v>14594</v>
      </c>
      <c r="D18554" s="16" t="s">
        <v>14657</v>
      </c>
      <c r="E18554" s="2">
        <v>99439</v>
      </c>
      <c r="F18554" s="4" t="str">
        <f>IF(B18554=B18553,"",B18554)</f>
        <v>NÄá¸©iyat al FuhÅ«d</v>
      </c>
    </row>
    <row r="18555" spans="1:6" ht="15.75" customHeight="1">
      <c r="A18555" s="16" t="s">
        <v>14700</v>
      </c>
      <c r="B18555" s="15" t="s">
        <v>14701</v>
      </c>
      <c r="C18555" s="16" t="s">
        <v>14594</v>
      </c>
      <c r="D18555" s="16" t="s">
        <v>14625</v>
      </c>
      <c r="E18555" s="2">
        <v>91812</v>
      </c>
      <c r="F18555" s="4" t="str">
        <f>IF(B18555=B18554,"",B18555)</f>
        <v>NÄá¸©Ä«yat Saddat al HindÄ«yah</v>
      </c>
    </row>
    <row r="18556" spans="1:6" ht="15.75" customHeight="1">
      <c r="A18556" s="16" t="s">
        <v>8870</v>
      </c>
      <c r="B18556" s="15" t="s">
        <v>8871</v>
      </c>
      <c r="C18556" s="16" t="s">
        <v>8028</v>
      </c>
      <c r="D18556" s="16" t="s">
        <v>8044</v>
      </c>
      <c r="E18556" s="2">
        <v>2861914</v>
      </c>
      <c r="F18556" s="4" t="str">
        <f>IF(B18556=B18555,"",B18556)</f>
        <v>NÃ¶rdlingen</v>
      </c>
    </row>
    <row r="18557" spans="1:6" ht="15.75" customHeight="1">
      <c r="A18557" s="15" t="s">
        <v>7629</v>
      </c>
      <c r="B18557" s="15" t="s">
        <v>7630</v>
      </c>
      <c r="C18557" s="15" t="s">
        <v>7052</v>
      </c>
      <c r="D18557" s="15" t="s">
        <v>7082</v>
      </c>
      <c r="E18557" s="2">
        <v>2990363</v>
      </c>
      <c r="F18557" s="4" t="str">
        <f>IF(B18557=B18556,"",B18557)</f>
        <v>NÃ®mes</v>
      </c>
    </row>
    <row r="18558" spans="1:6" ht="15.75" customHeight="1">
      <c r="A18558" s="15" t="s">
        <v>17658</v>
      </c>
      <c r="B18558" s="15" t="s">
        <v>17659</v>
      </c>
      <c r="C18558" s="15" t="s">
        <v>17650</v>
      </c>
      <c r="D18558" s="15" t="s">
        <v>17660</v>
      </c>
      <c r="E18558" s="2">
        <v>2377539</v>
      </c>
      <c r="F18558" s="4" t="str">
        <f>IF(B18558=B18557,"",B18558)</f>
        <v>NÃ©ma</v>
      </c>
    </row>
    <row r="18559" spans="1:6" ht="15.75" customHeight="1">
      <c r="A18559" s="16" t="s">
        <v>9595</v>
      </c>
      <c r="B18559" s="15" t="s">
        <v>9596</v>
      </c>
      <c r="C18559" s="16" t="s">
        <v>9441</v>
      </c>
      <c r="D18559" s="16" t="s">
        <v>9445</v>
      </c>
      <c r="E18559" s="2">
        <v>256575</v>
      </c>
      <c r="F18559" s="4" t="str">
        <f>IF(B18559=B18558,"",B18559)</f>
        <v>NÃ©a SmÃ½rni</v>
      </c>
    </row>
    <row r="18560" spans="1:6" ht="15.75" customHeight="1">
      <c r="A18560" s="15" t="s">
        <v>9593</v>
      </c>
      <c r="B18560" s="15" t="s">
        <v>9594</v>
      </c>
      <c r="C18560" s="15" t="s">
        <v>9441</v>
      </c>
      <c r="D18560" s="15" t="s">
        <v>9445</v>
      </c>
      <c r="E18560" s="2">
        <v>256598</v>
      </c>
      <c r="F18560" s="4" t="str">
        <f>IF(B18560=B18559,"",B18560)</f>
        <v>NÃ©a MÃ¡kri</v>
      </c>
    </row>
    <row r="18561" spans="1:6" ht="15.75" customHeight="1">
      <c r="A18561" s="16" t="s">
        <v>9591</v>
      </c>
      <c r="B18561" s="15" t="s">
        <v>9592</v>
      </c>
      <c r="C18561" s="16" t="s">
        <v>9441</v>
      </c>
      <c r="D18561" s="16" t="s">
        <v>9445</v>
      </c>
      <c r="E18561" s="2">
        <v>256614</v>
      </c>
      <c r="F18561" s="4" t="str">
        <f>IF(B18561=B18560,"",B18561)</f>
        <v>NÃ©a IonÃ­a</v>
      </c>
    </row>
    <row r="18562" spans="1:6" ht="15.75" customHeight="1">
      <c r="A18562" s="16" t="s">
        <v>9591</v>
      </c>
      <c r="B18562" s="15" t="s">
        <v>9592</v>
      </c>
      <c r="C18562" s="16" t="s">
        <v>9441</v>
      </c>
      <c r="D18562" s="16" t="s">
        <v>9542</v>
      </c>
      <c r="E18562" s="2">
        <v>9034728</v>
      </c>
      <c r="F18562" s="4" t="str">
        <f>IF(B18562=B18561,"",B18562)</f>
        <v/>
      </c>
    </row>
    <row r="18563" spans="1:6" ht="15.75" customHeight="1">
      <c r="A18563" s="16" t="s">
        <v>9589</v>
      </c>
      <c r="B18563" s="15" t="s">
        <v>9590</v>
      </c>
      <c r="C18563" s="16" t="s">
        <v>9441</v>
      </c>
      <c r="D18563" s="16" t="s">
        <v>9445</v>
      </c>
      <c r="E18563" s="2">
        <v>256621</v>
      </c>
      <c r="F18563" s="4" t="str">
        <f>IF(B18563=B18562,"",B18563)</f>
        <v>NÃ©a FiladÃ©lfeia</v>
      </c>
    </row>
    <row r="18564" spans="1:6" ht="15.75" customHeight="1">
      <c r="A18564" s="16" t="s">
        <v>9587</v>
      </c>
      <c r="B18564" s="15" t="s">
        <v>9588</v>
      </c>
      <c r="C18564" s="16" t="s">
        <v>9441</v>
      </c>
      <c r="D18564" s="16" t="s">
        <v>9445</v>
      </c>
      <c r="E18564" s="2">
        <v>256622</v>
      </c>
      <c r="F18564" s="4" t="str">
        <f>IF(B18564=B18563,"",B18564)</f>
        <v>NÃ©a ErythraÃ­a</v>
      </c>
    </row>
    <row r="18565" spans="1:6" ht="15.75" customHeight="1">
      <c r="A18565" s="16" t="s">
        <v>12497</v>
      </c>
      <c r="B18565" s="15" t="s">
        <v>12498</v>
      </c>
      <c r="C18565" s="16" t="s">
        <v>10178</v>
      </c>
      <c r="D18565" s="16" t="s">
        <v>10190</v>
      </c>
      <c r="E18565" s="2">
        <v>1261110</v>
      </c>
      <c r="F18565" s="4" t="str">
        <f>IF(B18565=B18564,"",B18565)</f>
        <v>NÅ«zvÄ«d</v>
      </c>
    </row>
    <row r="18566" spans="1:6" ht="15.75" customHeight="1">
      <c r="A18566" s="16" t="s">
        <v>14466</v>
      </c>
      <c r="B18566" s="15" t="s">
        <v>14467</v>
      </c>
      <c r="C18566" s="16" t="s">
        <v>14240</v>
      </c>
      <c r="D18566" s="16" t="s">
        <v>14351</v>
      </c>
      <c r="E18566" s="2">
        <v>122285</v>
      </c>
      <c r="F18566" s="4" t="str">
        <f>IF(B18566=B18565,"",B18566)</f>
        <v>NÄ«shÄbÅ«r</v>
      </c>
    </row>
    <row r="18567" spans="1:6" ht="15.75" customHeight="1">
      <c r="A18567" s="15" t="s">
        <v>12495</v>
      </c>
      <c r="B18567" s="15" t="s">
        <v>12496</v>
      </c>
      <c r="C18567" s="15" t="s">
        <v>10178</v>
      </c>
      <c r="D18567" s="15" t="s">
        <v>10193</v>
      </c>
      <c r="E18567" s="2">
        <v>1261122</v>
      </c>
      <c r="F18567" s="4" t="str">
        <f>IF(B18567=B18566,"",B18567)</f>
        <v>NÅ«rpur</v>
      </c>
    </row>
    <row r="18568" spans="1:6" ht="15.75" customHeight="1">
      <c r="A18568" s="16" t="s">
        <v>14464</v>
      </c>
      <c r="B18568" s="15" t="s">
        <v>14465</v>
      </c>
      <c r="C18568" s="16" t="s">
        <v>14240</v>
      </c>
      <c r="D18568" s="16" t="s">
        <v>14281</v>
      </c>
      <c r="E18568" s="2">
        <v>24851</v>
      </c>
      <c r="F18568" s="4" t="str">
        <f>IF(B18568=B18567,"",B18568)</f>
        <v>NÅ«rÄbÄd</v>
      </c>
    </row>
    <row r="18569" spans="1:6" ht="15.75" customHeight="1">
      <c r="A18569" s="16" t="s">
        <v>14464</v>
      </c>
      <c r="B18569" s="15" t="s">
        <v>14465</v>
      </c>
      <c r="C18569" s="16" t="s">
        <v>14240</v>
      </c>
      <c r="D18569" s="16" t="s">
        <v>14244</v>
      </c>
      <c r="E18569" s="2">
        <v>121925</v>
      </c>
      <c r="F18569" s="4" t="str">
        <f>IF(B18569=B18568,"",B18569)</f>
        <v/>
      </c>
    </row>
    <row r="18570" spans="1:6" ht="15.75" customHeight="1">
      <c r="A18570" s="16" t="s">
        <v>12493</v>
      </c>
      <c r="B18570" s="15" t="s">
        <v>12494</v>
      </c>
      <c r="C18570" s="16" t="s">
        <v>10178</v>
      </c>
      <c r="D18570" s="16" t="s">
        <v>10179</v>
      </c>
      <c r="E18570" s="2">
        <v>1261369</v>
      </c>
      <c r="F18570" s="4" t="str">
        <f>IF(B18570=B18569,"",B18570)</f>
        <v>NÄ«mbÄhera</v>
      </c>
    </row>
    <row r="18571" spans="1:6" ht="15.75" customHeight="1">
      <c r="A18571" s="15" t="s">
        <v>12491</v>
      </c>
      <c r="B18571" s="15" t="s">
        <v>12492</v>
      </c>
      <c r="C18571" s="15" t="s">
        <v>10178</v>
      </c>
      <c r="D18571" s="15" t="s">
        <v>10179</v>
      </c>
      <c r="E18571" s="2">
        <v>1261378</v>
      </c>
      <c r="F18571" s="4" t="str">
        <f>IF(B18571=B18570,"",B18571)</f>
        <v>NÄ«mÄj</v>
      </c>
    </row>
    <row r="18572" spans="1:6" ht="15.75" customHeight="1">
      <c r="A18572" s="16" t="s">
        <v>12489</v>
      </c>
      <c r="B18572" s="15" t="s">
        <v>12490</v>
      </c>
      <c r="C18572" s="16" t="s">
        <v>10178</v>
      </c>
      <c r="D18572" s="16" t="s">
        <v>10224</v>
      </c>
      <c r="E18572" s="2">
        <v>1261382</v>
      </c>
      <c r="F18572" s="4" t="str">
        <f>IF(B18572=B18571,"",B18572)</f>
        <v>NÄ«lokheri</v>
      </c>
    </row>
    <row r="18573" spans="1:6" ht="15.75" customHeight="1">
      <c r="A18573" s="15" t="s">
        <v>12487</v>
      </c>
      <c r="B18573" s="15" t="s">
        <v>12488</v>
      </c>
      <c r="C18573" s="15" t="s">
        <v>10178</v>
      </c>
      <c r="D18573" s="15" t="s">
        <v>10229</v>
      </c>
      <c r="E18573" s="2">
        <v>1261402</v>
      </c>
      <c r="F18573" s="4" t="str">
        <f>IF(B18573=B18572,"",B18573)</f>
        <v>NÄ«lgiri</v>
      </c>
    </row>
    <row r="18574" spans="1:6" ht="15.75" customHeight="1">
      <c r="A18574" s="16" t="s">
        <v>12485</v>
      </c>
      <c r="B18574" s="15" t="s">
        <v>12486</v>
      </c>
      <c r="C18574" s="16" t="s">
        <v>10178</v>
      </c>
      <c r="D18574" s="16" t="s">
        <v>10246</v>
      </c>
      <c r="E18574" s="2">
        <v>1261394</v>
      </c>
      <c r="F18574" s="4" t="str">
        <f>IF(B18574=B18573,"",B18574)</f>
        <v>NÄ«lÄ“shwar</v>
      </c>
    </row>
    <row r="18575" spans="1:6" ht="15.75" customHeight="1">
      <c r="A18575" s="16" t="s">
        <v>536</v>
      </c>
      <c r="B18575" s="15" t="s">
        <v>537</v>
      </c>
      <c r="C18575" s="16" t="s">
        <v>507</v>
      </c>
      <c r="D18575" s="16" t="s">
        <v>538</v>
      </c>
      <c r="E18575" s="2">
        <v>2239076</v>
      </c>
      <c r="F18575" s="4" t="str">
        <f>IF(B18575=B18574,"",B18575)</f>
        <v>Nâ€™dalatando</v>
      </c>
    </row>
    <row r="18576" spans="1:6" ht="15.75" customHeight="1">
      <c r="A18576" s="15" t="s">
        <v>25178</v>
      </c>
      <c r="B18576" s="15" t="s">
        <v>25179</v>
      </c>
      <c r="C18576" s="15" t="s">
        <v>25077</v>
      </c>
      <c r="D18576" s="15" t="s">
        <v>25137</v>
      </c>
      <c r="E18576" s="2">
        <v>2690170</v>
      </c>
      <c r="F18576" s="4" t="str">
        <f>IF(B18576=B18575,"",B18576)</f>
        <v>NÃ¤ssjÃ¶</v>
      </c>
    </row>
    <row r="18577" spans="1:6" ht="15.75" customHeight="1">
      <c r="A18577" s="16" t="s">
        <v>6263</v>
      </c>
      <c r="B18577" s="15" t="s">
        <v>6264</v>
      </c>
      <c r="C18577" s="16" t="s">
        <v>6209</v>
      </c>
      <c r="D18577" s="16" t="s">
        <v>6214</v>
      </c>
      <c r="E18577" s="2">
        <v>2616235</v>
      </c>
      <c r="F18577" s="4" t="str">
        <f>IF(B18577=B18576,"",B18577)</f>
        <v>NÃ¸rresundby</v>
      </c>
    </row>
    <row r="18578" spans="1:6" ht="15.75" customHeight="1">
      <c r="A18578" s="16" t="s">
        <v>6261</v>
      </c>
      <c r="B18578" s="15" t="s">
        <v>6262</v>
      </c>
      <c r="C18578" s="16" t="s">
        <v>6209</v>
      </c>
      <c r="D18578" s="16" t="s">
        <v>6232</v>
      </c>
      <c r="E18578" s="2">
        <v>2616038</v>
      </c>
      <c r="F18578" s="4" t="str">
        <f>IF(B18578=B18577,"",B18578)</f>
        <v>NÃ¦stved</v>
      </c>
    </row>
    <row r="18579" spans="1:6" ht="15.75" customHeight="1">
      <c r="A18579" s="15" t="s">
        <v>9585</v>
      </c>
      <c r="B18579" s="15" t="s">
        <v>9586</v>
      </c>
      <c r="C18579" s="15" t="s">
        <v>9441</v>
      </c>
      <c r="D18579" s="15" t="s">
        <v>9442</v>
      </c>
      <c r="E18579" s="2">
        <v>735030</v>
      </c>
      <c r="F18579" s="4" t="str">
        <f>IF(B18579=B18578,"",B18579)</f>
        <v>NÃ¡ousa</v>
      </c>
    </row>
    <row r="18580" spans="1:6" ht="15.75" customHeight="1">
      <c r="A18580" s="15" t="s">
        <v>6066</v>
      </c>
      <c r="B18580" s="15" t="s">
        <v>6067</v>
      </c>
      <c r="C18580" s="15" t="s">
        <v>5947</v>
      </c>
      <c r="D18580" s="15" t="s">
        <v>6005</v>
      </c>
      <c r="E18580" s="2">
        <v>3070122</v>
      </c>
      <c r="F18580" s="4" t="str">
        <f>IF(B18580=B18579,"",B18580)</f>
        <v>NÃ¡chod</v>
      </c>
    </row>
    <row r="18581" spans="1:6" ht="15.75" customHeight="1">
      <c r="A18581" s="15" t="s">
        <v>25933</v>
      </c>
      <c r="B18581" s="15" t="s">
        <v>25933</v>
      </c>
      <c r="C18581" s="15" t="s">
        <v>25771</v>
      </c>
      <c r="D18581" s="15" t="s">
        <v>25934</v>
      </c>
      <c r="E18581" s="2">
        <v>1604654</v>
      </c>
      <c r="F18581" s="4" t="str">
        <f>IF(B18581=B18580,"",B18581)</f>
        <v>Na Klang</v>
      </c>
    </row>
    <row r="18582" spans="1:6" ht="15.75" customHeight="1">
      <c r="A18582" s="8" t="str">
        <f ca="1">IFERROR(__xludf.DUMMYFUNCTION("GOOGLETRANSLATE(B41577,""en"",""pt"")"),"Na Klang")</f>
        <v>Na Klang</v>
      </c>
      <c r="B18582" s="11" t="s">
        <v>25933</v>
      </c>
      <c r="C18582" s="11" t="s">
        <v>25771</v>
      </c>
      <c r="D18582" s="11" t="s">
        <v>25934</v>
      </c>
      <c r="E18582" s="10">
        <v>1604654</v>
      </c>
      <c r="F18582" s="4" t="str">
        <f>IF(B18582=B18581,"",B18582)</f>
        <v/>
      </c>
    </row>
    <row r="18583" spans="1:6" ht="15.75" customHeight="1">
      <c r="A18583" s="8" t="str">
        <f ca="1">IFERROR(__xludf.DUMMYFUNCTION("GOOGLETRANSLATE(B23147,""en"",""pt"")"),"N'Dalatando")</f>
        <v>N'Dalatando</v>
      </c>
      <c r="B18583" s="9" t="s">
        <v>31161</v>
      </c>
      <c r="C18583" s="9" t="s">
        <v>507</v>
      </c>
      <c r="D18583" s="9" t="s">
        <v>538</v>
      </c>
      <c r="E18583" s="10">
        <v>2239076</v>
      </c>
      <c r="F18583" s="4" t="str">
        <f>IF(B18583=B18582,"",B18583)</f>
        <v>N’dalatando</v>
      </c>
    </row>
    <row r="18584" spans="1:6" ht="15.75" customHeight="1">
      <c r="A18584" s="15" t="s">
        <v>17425</v>
      </c>
      <c r="B18584" s="15" t="s">
        <v>17425</v>
      </c>
      <c r="C18584" s="15" t="s">
        <v>17410</v>
      </c>
      <c r="D18584" s="15" t="s">
        <v>17416</v>
      </c>
      <c r="E18584" s="2">
        <v>925475</v>
      </c>
      <c r="F18584" s="4" t="str">
        <f>IF(B18584=B18583,"",B18584)</f>
        <v>Mzuzu</v>
      </c>
    </row>
    <row r="18585" spans="1:6" ht="15.75" customHeight="1">
      <c r="A18585" s="8" t="str">
        <f ca="1">IFERROR(__xludf.DUMMYFUNCTION("GOOGLETRANSLATE(B36830,""en"",""pt"")"),"Mzuzu")</f>
        <v>Mzuzu</v>
      </c>
      <c r="B18585" s="9" t="s">
        <v>17425</v>
      </c>
      <c r="C18585" s="9" t="s">
        <v>17410</v>
      </c>
      <c r="D18585" s="9" t="s">
        <v>17416</v>
      </c>
      <c r="E18585" s="10">
        <v>925475</v>
      </c>
      <c r="F18585" s="4" t="str">
        <f>IF(B18585=B18584,"",B18585)</f>
        <v/>
      </c>
    </row>
    <row r="18586" spans="1:6" ht="15.75" customHeight="1">
      <c r="A18586" s="15" t="s">
        <v>17424</v>
      </c>
      <c r="B18586" s="15" t="s">
        <v>17424</v>
      </c>
      <c r="C18586" s="15" t="s">
        <v>17410</v>
      </c>
      <c r="D18586" s="15" t="s">
        <v>17416</v>
      </c>
      <c r="E18586" s="2">
        <v>925498</v>
      </c>
      <c r="F18586" s="4" t="str">
        <f>IF(B18586=B18585,"",B18586)</f>
        <v>Mzimba</v>
      </c>
    </row>
    <row r="18587" spans="1:6" ht="15.75" customHeight="1">
      <c r="A18587" s="8" t="str">
        <f ca="1">IFERROR(__xludf.DUMMYFUNCTION("GOOGLETRANSLATE(B36831,""en"",""pt"")"),"Mzimba")</f>
        <v>Mzimba</v>
      </c>
      <c r="B18587" s="9" t="s">
        <v>17424</v>
      </c>
      <c r="C18587" s="9" t="s">
        <v>17410</v>
      </c>
      <c r="D18587" s="9" t="s">
        <v>17416</v>
      </c>
      <c r="E18587" s="10">
        <v>925498</v>
      </c>
      <c r="F18587" s="4" t="str">
        <f>IF(B18587=B18586,"",B18587)</f>
        <v/>
      </c>
    </row>
    <row r="18588" spans="1:6" ht="15.75" customHeight="1">
      <c r="A18588" s="16" t="s">
        <v>22768</v>
      </c>
      <c r="B18588" s="15" t="s">
        <v>22769</v>
      </c>
      <c r="C18588" s="16" t="s">
        <v>22070</v>
      </c>
      <c r="D18588" s="16" t="s">
        <v>22119</v>
      </c>
      <c r="E18588" s="2">
        <v>523812</v>
      </c>
      <c r="F18588" s="4" t="str">
        <f>IF(B18588=B18587,"",B18588)</f>
        <v>Mytishchi</v>
      </c>
    </row>
    <row r="18589" spans="1:6" ht="15.75" customHeight="1">
      <c r="A18589" s="8" t="str">
        <f ca="1">IFERROR(__xludf.DUMMYFUNCTION("GOOGLETRANSLATE(B40302,""en"",""pt"")"),"MyTishchi")</f>
        <v>MyTishchi</v>
      </c>
      <c r="B18589" s="11" t="s">
        <v>22769</v>
      </c>
      <c r="C18589" s="11" t="s">
        <v>22070</v>
      </c>
      <c r="D18589" s="11" t="s">
        <v>22119</v>
      </c>
      <c r="E18589" s="10">
        <v>523812</v>
      </c>
      <c r="F18589" s="4" t="str">
        <f>IF(B18589=B18588,"",B18589)</f>
        <v/>
      </c>
    </row>
    <row r="18590" spans="1:6" ht="15.75" customHeight="1">
      <c r="A18590" s="8" t="str">
        <f ca="1">IFERROR(__xludf.DUMMYFUNCTION("GOOGLETRANSLATE(B30979,""en"",""pt"")"),"Mytilíni")</f>
        <v>Mytilíni</v>
      </c>
      <c r="B18590" s="9" t="s">
        <v>32690</v>
      </c>
      <c r="C18590" s="9" t="s">
        <v>9441</v>
      </c>
      <c r="D18590" s="9" t="s">
        <v>9496</v>
      </c>
      <c r="E18590" s="10">
        <v>256866</v>
      </c>
      <c r="F18590" s="4" t="str">
        <f>IF(B18590=B18589,"",B18590)</f>
        <v>Mytilíni</v>
      </c>
    </row>
    <row r="18591" spans="1:6" ht="15.75" customHeight="1">
      <c r="A18591" s="15" t="s">
        <v>9583</v>
      </c>
      <c r="B18591" s="15" t="s">
        <v>9584</v>
      </c>
      <c r="C18591" s="15" t="s">
        <v>9441</v>
      </c>
      <c r="D18591" s="15" t="s">
        <v>9496</v>
      </c>
      <c r="E18591" s="2">
        <v>256866</v>
      </c>
      <c r="F18591" s="4" t="str">
        <f>IF(B18591=B18590,"",B18591)</f>
        <v>MytilÃ­ni</v>
      </c>
    </row>
    <row r="18592" spans="1:6" ht="15.75" customHeight="1">
      <c r="A18592" s="8" t="str">
        <f ca="1">IFERROR(__xludf.DUMMYFUNCTION("GOOGLETRANSLATE(B39400,""en"",""pt"")"),"Myszków")</f>
        <v>Myszków</v>
      </c>
      <c r="B18592" s="9" t="s">
        <v>35193</v>
      </c>
      <c r="C18592" s="9" t="s">
        <v>21064</v>
      </c>
      <c r="D18592" s="9" t="s">
        <v>21073</v>
      </c>
      <c r="E18592" s="10">
        <v>3091217</v>
      </c>
      <c r="F18592" s="4" t="str">
        <f>IF(B18592=B18591,"",B18592)</f>
        <v>Myszków</v>
      </c>
    </row>
    <row r="18593" spans="1:6" ht="15.75" customHeight="1">
      <c r="A18593" s="15" t="s">
        <v>21364</v>
      </c>
      <c r="B18593" s="15" t="s">
        <v>21365</v>
      </c>
      <c r="C18593" s="15" t="s">
        <v>21064</v>
      </c>
      <c r="D18593" s="15" t="s">
        <v>21073</v>
      </c>
      <c r="E18593" s="2">
        <v>3091217</v>
      </c>
      <c r="F18593" s="4" t="str">
        <f>IF(B18593=B18592,"",B18593)</f>
        <v>MyszkÃ³w</v>
      </c>
    </row>
    <row r="18594" spans="1:6" ht="15.75" customHeight="1">
      <c r="A18594" s="15" t="s">
        <v>12484</v>
      </c>
      <c r="B18594" s="15" t="s">
        <v>12484</v>
      </c>
      <c r="C18594" s="15" t="s">
        <v>10178</v>
      </c>
      <c r="D18594" s="15" t="s">
        <v>10252</v>
      </c>
      <c r="E18594" s="2">
        <v>1262321</v>
      </c>
      <c r="F18594" s="4" t="str">
        <f>IF(B18594=B18593,"",B18594)</f>
        <v>Mysore</v>
      </c>
    </row>
    <row r="18595" spans="1:6" ht="15.75" customHeight="1">
      <c r="A18595" s="8" t="str">
        <f ca="1">IFERROR(__xludf.DUMMYFUNCTION("GOOGLETRANSLATE(B32706,""en"",""pt"")"),"Mysore")</f>
        <v>Mysore</v>
      </c>
      <c r="B18595" s="9" t="s">
        <v>12484</v>
      </c>
      <c r="C18595" s="9" t="s">
        <v>10178</v>
      </c>
      <c r="D18595" s="9" t="s">
        <v>10252</v>
      </c>
      <c r="E18595" s="10">
        <v>1262321</v>
      </c>
      <c r="F18595" s="4" t="str">
        <f>IF(B18595=B18594,"",B18595)</f>
        <v/>
      </c>
    </row>
    <row r="18596" spans="1:6" ht="15.75" customHeight="1">
      <c r="A18596" s="8" t="str">
        <f ca="1">IFERROR(__xludf.DUMMYFUNCTION("GOOGLETRANSLATE(B39401,""en"",""pt"")"),"Mysłowice")</f>
        <v>Mysłowice</v>
      </c>
      <c r="B18596" s="11" t="s">
        <v>35194</v>
      </c>
      <c r="C18596" s="11" t="s">
        <v>21064</v>
      </c>
      <c r="D18596" s="11" t="s">
        <v>21073</v>
      </c>
      <c r="E18596" s="10">
        <v>3091232</v>
      </c>
      <c r="F18596" s="4" t="str">
        <f>IF(B18596=B18595,"",B18596)</f>
        <v>Mysłowice</v>
      </c>
    </row>
    <row r="18597" spans="1:6" ht="15.75" customHeight="1">
      <c r="A18597" s="8" t="str">
        <f ca="1">IFERROR(__xludf.DUMMYFUNCTION("GOOGLETRANSLATE(B39402,""en"",""pt"")"),"Myślenice")</f>
        <v>Myślenice</v>
      </c>
      <c r="B18597" s="9" t="s">
        <v>35195</v>
      </c>
      <c r="C18597" s="9" t="s">
        <v>21064</v>
      </c>
      <c r="D18597" s="9" t="s">
        <v>21108</v>
      </c>
      <c r="E18597" s="10">
        <v>3091256</v>
      </c>
      <c r="F18597" s="4" t="str">
        <f>IF(B18597=B18596,"",B18597)</f>
        <v>Myślenice</v>
      </c>
    </row>
    <row r="18598" spans="1:6" ht="15.75" customHeight="1">
      <c r="A18598" s="15" t="s">
        <v>22767</v>
      </c>
      <c r="B18598" s="15" t="s">
        <v>22767</v>
      </c>
      <c r="C18598" s="15" t="s">
        <v>22070</v>
      </c>
      <c r="D18598" s="15" t="s">
        <v>22140</v>
      </c>
      <c r="E18598" s="2">
        <v>1498129</v>
      </c>
      <c r="F18598" s="4" t="str">
        <f>IF(B18598=B18597,"",B18598)</f>
        <v>Myski</v>
      </c>
    </row>
    <row r="18599" spans="1:6" ht="15.75" customHeight="1">
      <c r="A18599" s="8" t="str">
        <f ca="1">IFERROR(__xludf.DUMMYFUNCTION("GOOGLETRANSLATE(B40794,""en"",""pt"")"),"Myski")</f>
        <v>Myski</v>
      </c>
      <c r="B18599" s="9" t="s">
        <v>22767</v>
      </c>
      <c r="C18599" s="9" t="s">
        <v>22070</v>
      </c>
      <c r="D18599" s="9" t="s">
        <v>22140</v>
      </c>
      <c r="E18599" s="10">
        <v>1498129</v>
      </c>
      <c r="F18599" s="4" t="str">
        <f>IF(B18599=B18598,"",B18599)</f>
        <v/>
      </c>
    </row>
    <row r="18600" spans="1:6" ht="15.75" customHeight="1">
      <c r="A18600" s="16" t="s">
        <v>21362</v>
      </c>
      <c r="B18600" s="15" t="s">
        <v>21363</v>
      </c>
      <c r="C18600" s="16" t="s">
        <v>21064</v>
      </c>
      <c r="D18600" s="16" t="s">
        <v>21073</v>
      </c>
      <c r="E18600" s="2">
        <v>3091232</v>
      </c>
      <c r="F18600" s="4" t="str">
        <f>IF(B18600=B18599,"",B18600)</f>
        <v>MysÅ‚owice</v>
      </c>
    </row>
    <row r="18601" spans="1:6" ht="15.75" customHeight="1">
      <c r="A18601" s="16" t="s">
        <v>29383</v>
      </c>
      <c r="B18601" s="15" t="s">
        <v>29383</v>
      </c>
      <c r="C18601" s="16" t="s">
        <v>27788</v>
      </c>
      <c r="D18601" s="16" t="s">
        <v>5468</v>
      </c>
      <c r="E18601" s="2">
        <v>4165519</v>
      </c>
      <c r="F18601" s="4" t="str">
        <f>IF(B18601=B18600,"",B18601)</f>
        <v>Myrtle Grove</v>
      </c>
    </row>
    <row r="18602" spans="1:6" ht="15.75" customHeight="1">
      <c r="A18602" s="8" t="str">
        <f ca="1">IFERROR(__xludf.DUMMYFUNCTION("GOOGLETRANSLATE(B42955,""en"",""pt"")"),"Myrtle Grove")</f>
        <v>Myrtle Grove</v>
      </c>
      <c r="B18602" s="11" t="s">
        <v>29383</v>
      </c>
      <c r="C18602" s="11" t="s">
        <v>27788</v>
      </c>
      <c r="D18602" s="11" t="s">
        <v>5468</v>
      </c>
      <c r="E18602" s="10">
        <v>4165519</v>
      </c>
      <c r="F18602" s="4" t="str">
        <f>IF(B18602=B18601,"",B18602)</f>
        <v/>
      </c>
    </row>
    <row r="18603" spans="1:6" ht="15.75" customHeight="1">
      <c r="A18603" s="16" t="s">
        <v>29382</v>
      </c>
      <c r="B18603" s="15" t="s">
        <v>29382</v>
      </c>
      <c r="C18603" s="16" t="s">
        <v>27788</v>
      </c>
      <c r="D18603" s="16" t="s">
        <v>27811</v>
      </c>
      <c r="E18603" s="2">
        <v>4588718</v>
      </c>
      <c r="F18603" s="4" t="str">
        <f>IF(B18603=B18602,"",B18603)</f>
        <v>Myrtle Beach</v>
      </c>
    </row>
    <row r="18604" spans="1:6" ht="15.75" customHeight="1">
      <c r="A18604" s="8" t="str">
        <f ca="1">IFERROR(__xludf.DUMMYFUNCTION("GOOGLETRANSLATE(B43594,""en"",""pt"")"),"Myrtle Beach")</f>
        <v>Myrtle Beach</v>
      </c>
      <c r="B18604" s="11" t="s">
        <v>29382</v>
      </c>
      <c r="C18604" s="11" t="s">
        <v>27788</v>
      </c>
      <c r="D18604" s="11" t="s">
        <v>27811</v>
      </c>
      <c r="E18604" s="10">
        <v>4588718</v>
      </c>
      <c r="F18604" s="4" t="str">
        <f>IF(B18604=B18603,"",B18604)</f>
        <v/>
      </c>
    </row>
    <row r="18605" spans="1:6" ht="15.75" customHeight="1">
      <c r="A18605" s="16" t="s">
        <v>27076</v>
      </c>
      <c r="B18605" s="15" t="s">
        <v>27076</v>
      </c>
      <c r="C18605" s="16" t="s">
        <v>26870</v>
      </c>
      <c r="D18605" s="16" t="s">
        <v>26964</v>
      </c>
      <c r="E18605" s="2">
        <v>701075</v>
      </c>
      <c r="F18605" s="4" t="str">
        <f>IF(B18605=B18604,"",B18605)</f>
        <v>Myrhorod</v>
      </c>
    </row>
    <row r="18606" spans="1:6" ht="15.75" customHeight="1">
      <c r="A18606" s="8" t="str">
        <f ca="1">IFERROR(__xludf.DUMMYFUNCTION("GOOGLETRANSLATE(B42579,""en"",""pt"")"),"Myrhorod")</f>
        <v>Myrhorod</v>
      </c>
      <c r="B18606" s="11" t="s">
        <v>27076</v>
      </c>
      <c r="C18606" s="11" t="s">
        <v>26870</v>
      </c>
      <c r="D18606" s="11" t="s">
        <v>26964</v>
      </c>
      <c r="E18606" s="10">
        <v>701075</v>
      </c>
      <c r="F18606" s="4" t="str">
        <f>IF(B18606=B18605,"",B18606)</f>
        <v/>
      </c>
    </row>
    <row r="18607" spans="1:6" ht="15.75" customHeight="1">
      <c r="A18607" s="16" t="s">
        <v>1384</v>
      </c>
      <c r="B18607" s="15" t="s">
        <v>1384</v>
      </c>
      <c r="C18607" s="16" t="s">
        <v>1296</v>
      </c>
      <c r="D18607" s="16" t="s">
        <v>1297</v>
      </c>
      <c r="E18607" s="2">
        <v>1185162</v>
      </c>
      <c r="F18607" s="4" t="str">
        <f>IF(B18607=B18606,"",B18607)</f>
        <v>Mymensingh</v>
      </c>
    </row>
    <row r="18608" spans="1:6" ht="15.75" customHeight="1">
      <c r="A18608" s="8" t="str">
        <f ca="1">IFERROR(__xludf.DUMMYFUNCTION("GOOGLETRANSLATE(B23716,""en"",""pt"")"),"Mymensingh")</f>
        <v>Mymensingh</v>
      </c>
      <c r="B18608" s="11" t="s">
        <v>1384</v>
      </c>
      <c r="C18608" s="11" t="s">
        <v>1296</v>
      </c>
      <c r="D18608" s="11" t="s">
        <v>1297</v>
      </c>
      <c r="E18608" s="10">
        <v>1185162</v>
      </c>
      <c r="F18608" s="4" t="str">
        <f>IF(B18608=B18607,"",B18608)</f>
        <v/>
      </c>
    </row>
    <row r="18609" spans="1:6" ht="15.75" customHeight="1">
      <c r="A18609" s="16" t="s">
        <v>27074</v>
      </c>
      <c r="B18609" s="15" t="s">
        <v>27074</v>
      </c>
      <c r="C18609" s="16" t="s">
        <v>26870</v>
      </c>
      <c r="D18609" s="16" t="s">
        <v>27075</v>
      </c>
      <c r="E18609" s="2">
        <v>700569</v>
      </c>
      <c r="F18609" s="4" t="str">
        <f>IF(B18609=B18608,"",B18609)</f>
        <v>Mykolayiv</v>
      </c>
    </row>
    <row r="18610" spans="1:6" ht="15.75" customHeight="1">
      <c r="A18610" s="8" t="str">
        <f ca="1">IFERROR(__xludf.DUMMYFUNCTION("GOOGLETRANSLATE(B42574,""en"",""pt"")"),"Mykolayiv")</f>
        <v>Mykolayiv</v>
      </c>
      <c r="B18610" s="11" t="s">
        <v>27074</v>
      </c>
      <c r="C18610" s="11" t="s">
        <v>26870</v>
      </c>
      <c r="D18610" s="11" t="s">
        <v>27075</v>
      </c>
      <c r="E18610" s="10">
        <v>700569</v>
      </c>
      <c r="F18610" s="4" t="str">
        <f>IF(B18610=B18609,"",B18610)</f>
        <v/>
      </c>
    </row>
    <row r="18611" spans="1:6" ht="15.75" customHeight="1">
      <c r="A18611" s="16" t="s">
        <v>18740</v>
      </c>
      <c r="B18611" s="15" t="s">
        <v>18740</v>
      </c>
      <c r="C18611" s="16" t="s">
        <v>18696</v>
      </c>
      <c r="D18611" s="16" t="s">
        <v>18698</v>
      </c>
      <c r="E18611" s="2">
        <v>1307741</v>
      </c>
      <c r="F18611" s="4" t="str">
        <f>IF(B18611=B18610,"",B18611)</f>
        <v>Myitkyina</v>
      </c>
    </row>
    <row r="18612" spans="1:6" ht="15.75" customHeight="1">
      <c r="A18612" s="8" t="str">
        <f ca="1">IFERROR(__xludf.DUMMYFUNCTION("GOOGLETRANSLATE(B36727,""en"",""pt"")"),"Myitkyina")</f>
        <v>Myitkyina</v>
      </c>
      <c r="B18612" s="11" t="s">
        <v>18740</v>
      </c>
      <c r="C18612" s="11" t="s">
        <v>18696</v>
      </c>
      <c r="D18612" s="11" t="s">
        <v>18698</v>
      </c>
      <c r="E18612" s="10">
        <v>1307741</v>
      </c>
      <c r="F18612" s="4" t="str">
        <f>IF(B18612=B18611,"",B18612)</f>
        <v/>
      </c>
    </row>
    <row r="18613" spans="1:6" ht="15.75" customHeight="1">
      <c r="A18613" s="15" t="s">
        <v>18739</v>
      </c>
      <c r="B18613" s="15" t="s">
        <v>18739</v>
      </c>
      <c r="C18613" s="15" t="s">
        <v>18696</v>
      </c>
      <c r="D18613" s="15" t="s">
        <v>18718</v>
      </c>
      <c r="E18613" s="2">
        <v>1307835</v>
      </c>
      <c r="F18613" s="4" t="str">
        <f>IF(B18613=B18612,"",B18613)</f>
        <v>Myingyan</v>
      </c>
    </row>
    <row r="18614" spans="1:6" ht="15.75" customHeight="1">
      <c r="A18614" s="8" t="str">
        <f ca="1">IFERROR(__xludf.DUMMYFUNCTION("GOOGLETRANSLATE(B36728,""en"",""pt"")"),"Myingyan")</f>
        <v>Myingyan</v>
      </c>
      <c r="B18614" s="11" t="s">
        <v>18739</v>
      </c>
      <c r="C18614" s="11" t="s">
        <v>18696</v>
      </c>
      <c r="D18614" s="11" t="s">
        <v>18718</v>
      </c>
      <c r="E18614" s="10">
        <v>1307835</v>
      </c>
      <c r="F18614" s="4" t="str">
        <f>IF(B18614=B18613,"",B18614)</f>
        <v/>
      </c>
    </row>
    <row r="18615" spans="1:6" ht="15.75" customHeight="1">
      <c r="A18615" s="15" t="s">
        <v>18738</v>
      </c>
      <c r="B18615" s="15" t="s">
        <v>18738</v>
      </c>
      <c r="C18615" s="15" t="s">
        <v>18696</v>
      </c>
      <c r="D18615" s="15" t="s">
        <v>18704</v>
      </c>
      <c r="E18615" s="2">
        <v>1309611</v>
      </c>
      <c r="F18615" s="4" t="str">
        <f>IF(B18615=B18614,"",B18615)</f>
        <v>Myeik</v>
      </c>
    </row>
    <row r="18616" spans="1:6" ht="15.75" customHeight="1">
      <c r="A18616" s="8" t="str">
        <f ca="1">IFERROR(__xludf.DUMMYFUNCTION("GOOGLETRANSLATE(B36737,""en"",""pt"")"),"Myeik")</f>
        <v>Myeik</v>
      </c>
      <c r="B18616" s="11" t="s">
        <v>18738</v>
      </c>
      <c r="C18616" s="11" t="s">
        <v>18696</v>
      </c>
      <c r="D18616" s="11" t="s">
        <v>18704</v>
      </c>
      <c r="E18616" s="10">
        <v>1309611</v>
      </c>
      <c r="F18616" s="4" t="str">
        <f>IF(B18616=B18615,"",B18616)</f>
        <v/>
      </c>
    </row>
    <row r="18617" spans="1:6" ht="15.75" customHeight="1">
      <c r="A18617" s="15" t="s">
        <v>18737</v>
      </c>
      <c r="B18617" s="15" t="s">
        <v>18737</v>
      </c>
      <c r="C18617" s="15" t="s">
        <v>18696</v>
      </c>
      <c r="D18617" s="15" t="s">
        <v>18702</v>
      </c>
      <c r="E18617" s="2">
        <v>1329239</v>
      </c>
      <c r="F18617" s="4" t="str">
        <f>IF(B18617=B18616,"",B18617)</f>
        <v>Myaydo</v>
      </c>
    </row>
    <row r="18618" spans="1:6" ht="15.75" customHeight="1">
      <c r="A18618" s="8" t="str">
        <f ca="1">IFERROR(__xludf.DUMMYFUNCTION("GOOGLETRANSLATE(B36760,""en"",""pt"")"),"Myaydo")</f>
        <v>Myaydo</v>
      </c>
      <c r="B18618" s="11" t="s">
        <v>18737</v>
      </c>
      <c r="C18618" s="11" t="s">
        <v>18696</v>
      </c>
      <c r="D18618" s="11" t="s">
        <v>18702</v>
      </c>
      <c r="E18618" s="10">
        <v>1329239</v>
      </c>
      <c r="F18618" s="4" t="str">
        <f>IF(B18618=B18617,"",B18618)</f>
        <v/>
      </c>
    </row>
    <row r="18619" spans="1:6" ht="15.75" customHeight="1">
      <c r="A18619" s="15" t="s">
        <v>18736</v>
      </c>
      <c r="B18619" s="15" t="s">
        <v>18736</v>
      </c>
      <c r="C18619" s="15" t="s">
        <v>18696</v>
      </c>
      <c r="D18619" s="15" t="s">
        <v>18710</v>
      </c>
      <c r="E18619" s="2">
        <v>1308052</v>
      </c>
      <c r="F18619" s="4" t="str">
        <f>IF(B18619=B18618,"",B18619)</f>
        <v>Myawadi</v>
      </c>
    </row>
    <row r="18620" spans="1:6" ht="15.75" customHeight="1">
      <c r="A18620" s="8" t="str">
        <f ca="1">IFERROR(__xludf.DUMMYFUNCTION("GOOGLETRANSLATE(B36729,""en"",""pt"")"),"Myawadi")</f>
        <v>Myawadi</v>
      </c>
      <c r="B18620" s="11" t="s">
        <v>18736</v>
      </c>
      <c r="C18620" s="11" t="s">
        <v>18696</v>
      </c>
      <c r="D18620" s="11" t="s">
        <v>18710</v>
      </c>
      <c r="E18620" s="10">
        <v>1308052</v>
      </c>
      <c r="F18620" s="4" t="str">
        <f>IF(B18620=B18619,"",B18620)</f>
        <v/>
      </c>
    </row>
    <row r="18621" spans="1:6" ht="15.75" customHeight="1">
      <c r="A18621" s="16" t="s">
        <v>18735</v>
      </c>
      <c r="B18621" s="15" t="s">
        <v>18735</v>
      </c>
      <c r="C18621" s="16" t="s">
        <v>18696</v>
      </c>
      <c r="D18621" s="16" t="s">
        <v>18700</v>
      </c>
      <c r="E18621" s="2">
        <v>1308204</v>
      </c>
      <c r="F18621" s="4" t="str">
        <f>IF(B18621=B18620,"",B18621)</f>
        <v>Myanaung</v>
      </c>
    </row>
    <row r="18622" spans="1:6" ht="15.75" customHeight="1">
      <c r="A18622" s="8" t="str">
        <f ca="1">IFERROR(__xludf.DUMMYFUNCTION("GOOGLETRANSLATE(B36730,""en"",""pt"")"),"Myanaung")</f>
        <v>Myanaung</v>
      </c>
      <c r="B18622" s="9" t="s">
        <v>18735</v>
      </c>
      <c r="C18622" s="9" t="s">
        <v>18696</v>
      </c>
      <c r="D18622" s="9" t="s">
        <v>18700</v>
      </c>
      <c r="E18622" s="10">
        <v>1308204</v>
      </c>
      <c r="F18622" s="4" t="str">
        <f>IF(B18622=B18621,"",B18622)</f>
        <v/>
      </c>
    </row>
    <row r="18623" spans="1:6" ht="15.75" customHeight="1">
      <c r="A18623" s="16" t="s">
        <v>21360</v>
      </c>
      <c r="B18623" s="15" t="s">
        <v>21361</v>
      </c>
      <c r="C18623" s="16" t="s">
        <v>21064</v>
      </c>
      <c r="D18623" s="16" t="s">
        <v>21108</v>
      </c>
      <c r="E18623" s="2">
        <v>3091256</v>
      </c>
      <c r="F18623" s="4" t="str">
        <f>IF(B18623=B18622,"",B18623)</f>
        <v>MyÅ›lenice</v>
      </c>
    </row>
    <row r="18624" spans="1:6" ht="15.75" customHeight="1">
      <c r="A18624" s="8" t="str">
        <f ca="1">IFERROR(__xludf.DUMMYFUNCTION("GOOGLETRANSLATE(B45746,""en"",""pt"")"),"Mỹ tho")</f>
        <v>Mỹ tho</v>
      </c>
      <c r="B18624" s="9" t="s">
        <v>36156</v>
      </c>
      <c r="C18624" s="9" t="s">
        <v>30784</v>
      </c>
      <c r="D18624" s="9" t="s">
        <v>36157</v>
      </c>
      <c r="E18624" s="10">
        <v>1574023</v>
      </c>
      <c r="F18624" s="4" t="str">
        <f>IF(B18624=B18623,"",B18624)</f>
        <v>Mỹ Tho</v>
      </c>
    </row>
    <row r="18625" spans="1:6" ht="15.75" customHeight="1">
      <c r="A18625" s="16" t="s">
        <v>6196</v>
      </c>
      <c r="B18625" s="15" t="s">
        <v>6197</v>
      </c>
      <c r="C18625" s="16" t="s">
        <v>6127</v>
      </c>
      <c r="D18625" s="16" t="s">
        <v>6150</v>
      </c>
      <c r="E18625" s="2">
        <v>207570</v>
      </c>
      <c r="F18625" s="4" t="str">
        <f>IF(B18625=B18624,"",B18625)</f>
        <v>Mwene-Ditu</v>
      </c>
    </row>
    <row r="18626" spans="1:6" ht="15.75" customHeight="1">
      <c r="A18626" s="8" t="str">
        <f ca="1">IFERROR(__xludf.DUMMYFUNCTION("GOOGLETRANSLATE(B25650,""en"",""pt"")"),"Mwene-ditu")</f>
        <v>Mwene-ditu</v>
      </c>
      <c r="B18626" s="11" t="s">
        <v>6197</v>
      </c>
      <c r="C18626" s="11" t="s">
        <v>6127</v>
      </c>
      <c r="D18626" s="11" t="s">
        <v>31765</v>
      </c>
      <c r="E18626" s="10">
        <v>207570</v>
      </c>
      <c r="F18626" s="4" t="str">
        <f>IF(B18626=B18625,"",B18626)</f>
        <v/>
      </c>
    </row>
    <row r="18627" spans="1:6" ht="15.75" customHeight="1">
      <c r="A18627" s="15" t="s">
        <v>6195</v>
      </c>
      <c r="B18627" s="15" t="s">
        <v>6195</v>
      </c>
      <c r="C18627" s="15" t="s">
        <v>6127</v>
      </c>
      <c r="D18627" s="15" t="s">
        <v>6148</v>
      </c>
      <c r="E18627" s="2">
        <v>207596</v>
      </c>
      <c r="F18627" s="4" t="str">
        <f>IF(B18627=B18626,"",B18627)</f>
        <v>Mweka</v>
      </c>
    </row>
    <row r="18628" spans="1:6" ht="15.75" customHeight="1">
      <c r="A18628" s="8" t="str">
        <f ca="1">IFERROR(__xludf.DUMMYFUNCTION("GOOGLETRANSLATE(B25651,""en"",""pt"")"),"Mweka")</f>
        <v>Mweka</v>
      </c>
      <c r="B18628" s="11" t="s">
        <v>6195</v>
      </c>
      <c r="C18628" s="11" t="s">
        <v>6127</v>
      </c>
      <c r="D18628" s="11" t="s">
        <v>31764</v>
      </c>
      <c r="E18628" s="10">
        <v>207596</v>
      </c>
      <c r="F18628" s="4" t="str">
        <f>IF(B18628=B18627,"",B18628)</f>
        <v/>
      </c>
    </row>
    <row r="18629" spans="1:6" ht="15.75" customHeight="1">
      <c r="A18629" s="15" t="s">
        <v>25638</v>
      </c>
      <c r="B18629" s="15" t="s">
        <v>25638</v>
      </c>
      <c r="C18629" s="15" t="s">
        <v>25560</v>
      </c>
      <c r="D18629" s="15" t="s">
        <v>25638</v>
      </c>
      <c r="E18629" s="2">
        <v>152224</v>
      </c>
      <c r="F18629" s="4" t="str">
        <f>IF(B18629=B18628,"",B18629)</f>
        <v>Mwanza</v>
      </c>
    </row>
    <row r="18630" spans="1:6" ht="15.75" customHeight="1">
      <c r="A18630" s="8" t="str">
        <f ca="1">IFERROR(__xludf.DUMMYFUNCTION("GOOGLETRANSLATE(B42327,""en"",""pt"")"),"Mwanza")</f>
        <v>Mwanza</v>
      </c>
      <c r="B18630" s="9" t="s">
        <v>25638</v>
      </c>
      <c r="C18630" s="9" t="s">
        <v>25560</v>
      </c>
      <c r="D18630" s="9" t="s">
        <v>25638</v>
      </c>
      <c r="E18630" s="10">
        <v>152224</v>
      </c>
      <c r="F18630" s="4" t="str">
        <f>IF(B18630=B18629,"",B18630)</f>
        <v/>
      </c>
    </row>
    <row r="18631" spans="1:6" ht="15.75" customHeight="1">
      <c r="A18631" s="16" t="s">
        <v>25713</v>
      </c>
      <c r="B18631" s="15" t="s">
        <v>25713</v>
      </c>
      <c r="C18631" s="16" t="s">
        <v>25560</v>
      </c>
      <c r="D18631" s="16" t="s">
        <v>25621</v>
      </c>
      <c r="E18631" s="2">
        <v>153709</v>
      </c>
      <c r="F18631" s="4" t="str">
        <f>IF(B18631=B18630,"",B18631)</f>
        <v>Mwandiga</v>
      </c>
    </row>
    <row r="18632" spans="1:6" ht="15.75" customHeight="1">
      <c r="A18632" s="8" t="str">
        <f ca="1">IFERROR(__xludf.DUMMYFUNCTION("GOOGLETRANSLATE(B42349,""en"",""pt"")"),"Mwandiga")</f>
        <v>Mwandiga</v>
      </c>
      <c r="B18632" s="9" t="s">
        <v>25713</v>
      </c>
      <c r="C18632" s="9" t="s">
        <v>25560</v>
      </c>
      <c r="D18632" s="9" t="s">
        <v>25621</v>
      </c>
      <c r="E18632" s="10">
        <v>153709</v>
      </c>
      <c r="F18632" s="4" t="str">
        <f>IF(B18632=B18631,"",B18632)</f>
        <v/>
      </c>
    </row>
    <row r="18633" spans="1:6" ht="15.75" customHeight="1">
      <c r="A18633" s="15" t="s">
        <v>25712</v>
      </c>
      <c r="B18633" s="15" t="s">
        <v>25712</v>
      </c>
      <c r="C18633" s="15" t="s">
        <v>25560</v>
      </c>
      <c r="D18633" s="15" t="s">
        <v>25615</v>
      </c>
      <c r="E18633" s="2">
        <v>152376</v>
      </c>
      <c r="F18633" s="4" t="str">
        <f>IF(B18633=B18632,"",B18633)</f>
        <v>Mwadui</v>
      </c>
    </row>
    <row r="18634" spans="1:6" ht="15.75" customHeight="1">
      <c r="A18634" s="8" t="str">
        <f ca="1">IFERROR(__xludf.DUMMYFUNCTION("GOOGLETRANSLATE(B42328,""en"",""pt"")"),"Mwadui")</f>
        <v>Mwadui</v>
      </c>
      <c r="B18634" s="9" t="s">
        <v>25712</v>
      </c>
      <c r="C18634" s="9" t="s">
        <v>25560</v>
      </c>
      <c r="D18634" s="9" t="s">
        <v>25615</v>
      </c>
      <c r="E18634" s="10">
        <v>152376</v>
      </c>
      <c r="F18634" s="4" t="str">
        <f>IF(B18634=B18633,"",B18634)</f>
        <v/>
      </c>
    </row>
    <row r="18635" spans="1:6" ht="15.75" customHeight="1">
      <c r="A18635" s="15" t="s">
        <v>25711</v>
      </c>
      <c r="B18635" s="15" t="s">
        <v>25711</v>
      </c>
      <c r="C18635" s="15" t="s">
        <v>25560</v>
      </c>
      <c r="D18635" s="15" t="s">
        <v>25564</v>
      </c>
      <c r="E18635" s="2">
        <v>152403</v>
      </c>
      <c r="F18635" s="4" t="str">
        <f>IF(B18635=B18634,"",B18635)</f>
        <v>Mvomero</v>
      </c>
    </row>
    <row r="18636" spans="1:6" ht="15.75" customHeight="1">
      <c r="A18636" s="8" t="str">
        <f ca="1">IFERROR(__xludf.DUMMYFUNCTION("GOOGLETRANSLATE(B42329,""en"",""pt"")"),"Mvomero")</f>
        <v>Mvomero</v>
      </c>
      <c r="B18636" s="9" t="s">
        <v>25711</v>
      </c>
      <c r="C18636" s="9" t="s">
        <v>25560</v>
      </c>
      <c r="D18636" s="9" t="s">
        <v>25564</v>
      </c>
      <c r="E18636" s="10">
        <v>152403</v>
      </c>
      <c r="F18636" s="4" t="str">
        <f>IF(B18636=B18635,"",B18636)</f>
        <v/>
      </c>
    </row>
    <row r="18637" spans="1:6" ht="15.75" customHeight="1">
      <c r="A18637" s="16" t="s">
        <v>2937</v>
      </c>
      <c r="B18637" s="15" t="s">
        <v>2938</v>
      </c>
      <c r="C18637" s="16" t="s">
        <v>1905</v>
      </c>
      <c r="D18637" s="16" t="s">
        <v>1917</v>
      </c>
      <c r="E18637" s="2">
        <v>3456412</v>
      </c>
      <c r="F18637" s="4" t="str">
        <f>IF(B18637=B18636,"",B18637)</f>
        <v>Muzambinho</v>
      </c>
    </row>
    <row r="18638" spans="1:6" ht="15.75" customHeight="1">
      <c r="A18638" s="8" t="str">
        <f ca="1">IFERROR(__xludf.DUMMYFUNCTION("GOOGLETRANSLATE(B24793,""en"",""pt"")"),"MUZAMBINHO")</f>
        <v>MUZAMBINHO</v>
      </c>
      <c r="B18638" s="9" t="s">
        <v>2938</v>
      </c>
      <c r="C18638" s="9" t="s">
        <v>1905</v>
      </c>
      <c r="D18638" s="9" t="s">
        <v>1917</v>
      </c>
      <c r="E18638" s="10">
        <v>3456412</v>
      </c>
      <c r="F18638" s="4" t="str">
        <f>IF(B18638=B18637,"",B18638)</f>
        <v/>
      </c>
    </row>
    <row r="18639" spans="1:6" ht="15.75" customHeight="1">
      <c r="A18639" s="16" t="s">
        <v>12483</v>
      </c>
      <c r="B18639" s="15" t="s">
        <v>12483</v>
      </c>
      <c r="C18639" s="16" t="s">
        <v>10178</v>
      </c>
      <c r="D18639" s="16" t="s">
        <v>10317</v>
      </c>
      <c r="E18639" s="2">
        <v>1262330</v>
      </c>
      <c r="F18639" s="4" t="str">
        <f>IF(B18639=B18638,"",B18639)</f>
        <v>Muzaffarpur</v>
      </c>
    </row>
    <row r="18640" spans="1:6" ht="15.75" customHeight="1">
      <c r="A18640" s="8" t="str">
        <f ca="1">IFERROR(__xludf.DUMMYFUNCTION("GOOGLETRANSLATE(B32707,""en"",""pt"")"),"Muzaffarpur")</f>
        <v>Muzaffarpur</v>
      </c>
      <c r="B18640" s="9" t="s">
        <v>12483</v>
      </c>
      <c r="C18640" s="9" t="s">
        <v>10178</v>
      </c>
      <c r="D18640" s="9" t="s">
        <v>10317</v>
      </c>
      <c r="E18640" s="10">
        <v>1262330</v>
      </c>
      <c r="F18640" s="4" t="str">
        <f>IF(B18640=B18639,"",B18640)</f>
        <v/>
      </c>
    </row>
    <row r="18641" spans="1:6" ht="15.75" customHeight="1">
      <c r="A18641" s="16" t="s">
        <v>12482</v>
      </c>
      <c r="B18641" s="15" t="s">
        <v>12482</v>
      </c>
      <c r="C18641" s="16" t="s">
        <v>10178</v>
      </c>
      <c r="D18641" s="16" t="s">
        <v>10193</v>
      </c>
      <c r="E18641" s="2">
        <v>1262332</v>
      </c>
      <c r="F18641" s="4" t="str">
        <f>IF(B18641=B18640,"",B18641)</f>
        <v>Muzaffarnagar</v>
      </c>
    </row>
    <row r="18642" spans="1:6" ht="15.75" customHeight="1">
      <c r="A18642" s="8" t="str">
        <f ca="1">IFERROR(__xludf.DUMMYFUNCTION("GOOGLETRANSLATE(B32708,""en"",""pt"")"),"Muzaffarnagar")</f>
        <v>Muzaffarnagar</v>
      </c>
      <c r="B18642" s="11" t="s">
        <v>12482</v>
      </c>
      <c r="C18642" s="11" t="s">
        <v>10178</v>
      </c>
      <c r="D18642" s="11" t="s">
        <v>10193</v>
      </c>
      <c r="E18642" s="10">
        <v>1262332</v>
      </c>
      <c r="F18642" s="4" t="str">
        <f>IF(B18642=B18641,"",B18642)</f>
        <v/>
      </c>
    </row>
    <row r="18643" spans="1:6" ht="15.75" customHeight="1">
      <c r="A18643" s="16" t="s">
        <v>20123</v>
      </c>
      <c r="B18643" s="15" t="s">
        <v>20123</v>
      </c>
      <c r="C18643" s="16" t="s">
        <v>19808</v>
      </c>
      <c r="D18643" s="16" t="s">
        <v>10184</v>
      </c>
      <c r="E18643" s="2">
        <v>1169605</v>
      </c>
      <c r="F18643" s="4" t="str">
        <f>IF(B18643=B18642,"",B18643)</f>
        <v>Muzaffargarh</v>
      </c>
    </row>
    <row r="18644" spans="1:6" ht="15.75" customHeight="1">
      <c r="A18644" s="8" t="str">
        <f ca="1">IFERROR(__xludf.DUMMYFUNCTION("GOOGLETRANSLATE(B38972,""en"",""pt"")"),"Muzaffargarh")</f>
        <v>Muzaffargarh</v>
      </c>
      <c r="B18644" s="11" t="s">
        <v>20123</v>
      </c>
      <c r="C18644" s="11" t="s">
        <v>19808</v>
      </c>
      <c r="D18644" s="11" t="s">
        <v>10184</v>
      </c>
      <c r="E18644" s="10">
        <v>1169605</v>
      </c>
      <c r="F18644" s="4" t="str">
        <f>IF(B18644=B18643,"",B18644)</f>
        <v/>
      </c>
    </row>
    <row r="18645" spans="1:6" ht="15.75" customHeight="1">
      <c r="A18645" s="8" t="str">
        <f ca="1">IFERROR(__xludf.DUMMYFUNCTION("GOOGLETRANSLATE(B38973,""en"",""pt"")"),"Muzaffarābād")</f>
        <v>Muzaffarābād</v>
      </c>
      <c r="B18645" s="9" t="s">
        <v>34947</v>
      </c>
      <c r="C18645" s="9" t="s">
        <v>19808</v>
      </c>
      <c r="D18645" s="9" t="s">
        <v>19845</v>
      </c>
      <c r="E18645" s="10">
        <v>1169607</v>
      </c>
      <c r="F18645" s="4" t="str">
        <f>IF(B18645=B18644,"",B18645)</f>
        <v>Muzaffarābād</v>
      </c>
    </row>
    <row r="18646" spans="1:6" ht="15.75" customHeight="1">
      <c r="A18646" s="16" t="s">
        <v>20121</v>
      </c>
      <c r="B18646" s="15" t="s">
        <v>20122</v>
      </c>
      <c r="C18646" s="16" t="s">
        <v>19808</v>
      </c>
      <c r="D18646" s="16" t="s">
        <v>19845</v>
      </c>
      <c r="E18646" s="2">
        <v>1169607</v>
      </c>
      <c r="F18646" s="4" t="str">
        <f>IF(B18646=B18645,"",B18646)</f>
        <v>MuzaffarÄbÄd</v>
      </c>
    </row>
    <row r="18647" spans="1:6" ht="15.75" customHeight="1">
      <c r="A18647" s="15" t="s">
        <v>3954</v>
      </c>
      <c r="B18647" s="15" t="s">
        <v>3954</v>
      </c>
      <c r="C18647" s="15" t="s">
        <v>3884</v>
      </c>
      <c r="D18647" s="15" t="s">
        <v>3898</v>
      </c>
      <c r="E18647" s="2">
        <v>2225726</v>
      </c>
      <c r="F18647" s="4" t="str">
        <f>IF(B18647=B18646,"",B18647)</f>
        <v>Muyuka</v>
      </c>
    </row>
    <row r="18648" spans="1:6" ht="15.75" customHeight="1">
      <c r="A18648" s="8" t="str">
        <f ca="1">IFERROR(__xludf.DUMMYFUNCTION("GOOGLETRANSLATE(B25994,""en"",""pt"")"),"Muyuka")</f>
        <v>Muyuka</v>
      </c>
      <c r="B18648" s="11" t="s">
        <v>3954</v>
      </c>
      <c r="C18648" s="11" t="s">
        <v>3884</v>
      </c>
      <c r="D18648" s="11" t="s">
        <v>3898</v>
      </c>
      <c r="E18648" s="10">
        <v>2225726</v>
      </c>
      <c r="F18648" s="4" t="str">
        <f>IF(B18648=B18647,"",B18648)</f>
        <v/>
      </c>
    </row>
    <row r="18649" spans="1:6" ht="15.75" customHeight="1">
      <c r="A18649" s="15" t="s">
        <v>3832</v>
      </c>
      <c r="B18649" s="15" t="s">
        <v>3832</v>
      </c>
      <c r="C18649" s="15" t="s">
        <v>3825</v>
      </c>
      <c r="D18649" s="15" t="s">
        <v>3832</v>
      </c>
      <c r="E18649" s="2">
        <v>431748</v>
      </c>
      <c r="F18649" s="4" t="str">
        <f>IF(B18649=B18648,"",B18649)</f>
        <v>Muyinga</v>
      </c>
    </row>
    <row r="18650" spans="1:6" ht="15.75" customHeight="1">
      <c r="A18650" s="8" t="str">
        <f ca="1">IFERROR(__xludf.DUMMYFUNCTION("GOOGLETRANSLATE(B24078,""en"",""pt"")"),"Muyinga")</f>
        <v>Muyinga</v>
      </c>
      <c r="B18650" s="11" t="s">
        <v>3832</v>
      </c>
      <c r="C18650" s="11" t="s">
        <v>3825</v>
      </c>
      <c r="D18650" s="11" t="s">
        <v>3832</v>
      </c>
      <c r="E18650" s="10">
        <v>431748</v>
      </c>
      <c r="F18650" s="4" t="str">
        <f>IF(B18650=B18649,"",B18650)</f>
        <v/>
      </c>
    </row>
    <row r="18651" spans="1:6" ht="15.75" customHeight="1">
      <c r="A18651" s="16" t="s">
        <v>12481</v>
      </c>
      <c r="B18651" s="15" t="s">
        <v>12481</v>
      </c>
      <c r="C18651" s="16" t="s">
        <v>10178</v>
      </c>
      <c r="D18651" s="16" t="s">
        <v>10246</v>
      </c>
      <c r="E18651" s="2">
        <v>7279735</v>
      </c>
      <c r="F18651" s="4" t="str">
        <f>IF(B18651=B18650,"",B18651)</f>
        <v>Muvattupuzha</v>
      </c>
    </row>
    <row r="18652" spans="1:6" ht="15.75" customHeight="1">
      <c r="A18652" s="8" t="str">
        <f ca="1">IFERROR(__xludf.DUMMYFUNCTION("GOOGLETRANSLATE(B34216,""en"",""pt"")"),"Muvattupuzha")</f>
        <v>Muvattupuzha</v>
      </c>
      <c r="B18652" s="9" t="s">
        <v>12481</v>
      </c>
      <c r="C18652" s="9" t="s">
        <v>10178</v>
      </c>
      <c r="D18652" s="9" t="s">
        <v>10246</v>
      </c>
      <c r="E18652" s="10">
        <v>7279735</v>
      </c>
      <c r="F18652" s="4" t="str">
        <f>IF(B18652=B18651,"",B18652)</f>
        <v/>
      </c>
    </row>
    <row r="18653" spans="1:6" ht="15.75" customHeight="1">
      <c r="A18653" s="8" t="str">
        <f ca="1">IFERROR(__xludf.DUMMYFUNCTION("GOOGLETRANSLATE(B32709,""en"",""pt"")"),"Mūvattupula")</f>
        <v>Mūvattupula</v>
      </c>
      <c r="B18653" s="9" t="s">
        <v>33355</v>
      </c>
      <c r="C18653" s="9" t="s">
        <v>10178</v>
      </c>
      <c r="D18653" s="9" t="s">
        <v>10246</v>
      </c>
      <c r="E18653" s="10">
        <v>1262338</v>
      </c>
      <c r="F18653" s="4" t="str">
        <f>IF(B18653=B18652,"",B18653)</f>
        <v>Mūvattupula</v>
      </c>
    </row>
    <row r="18654" spans="1:6" ht="15.75" customHeight="1">
      <c r="A18654" s="8" t="str">
        <f ca="1">IFERROR(__xludf.DUMMYFUNCTION("GOOGLETRANSLATE(B37564,""en"",""pt"")"),"Mutuáli")</f>
        <v>Mutuáli</v>
      </c>
      <c r="B18654" s="11" t="s">
        <v>34800</v>
      </c>
      <c r="C18654" s="11" t="s">
        <v>18655</v>
      </c>
      <c r="D18654" s="11" t="s">
        <v>18656</v>
      </c>
      <c r="E18654" s="10">
        <v>1088155</v>
      </c>
      <c r="F18654" s="4" t="str">
        <f>IF(B18654=B18653,"",B18654)</f>
        <v>Mutuáli</v>
      </c>
    </row>
    <row r="18655" spans="1:6" ht="15.75" customHeight="1">
      <c r="A18655" s="16" t="s">
        <v>18685</v>
      </c>
      <c r="B18655" s="15" t="s">
        <v>18686</v>
      </c>
      <c r="C18655" s="16" t="s">
        <v>18655</v>
      </c>
      <c r="D18655" s="16" t="s">
        <v>18656</v>
      </c>
      <c r="E18655" s="2">
        <v>1088155</v>
      </c>
      <c r="F18655" s="4" t="str">
        <f>IF(B18655=B18654,"",B18655)</f>
        <v>MutuÃ¡li</v>
      </c>
    </row>
    <row r="18656" spans="1:6" ht="15.75" customHeight="1">
      <c r="A18656" s="15" t="s">
        <v>12480</v>
      </c>
      <c r="B18656" s="15" t="s">
        <v>12480</v>
      </c>
      <c r="C18656" s="15" t="s">
        <v>10178</v>
      </c>
      <c r="D18656" s="15" t="s">
        <v>10196</v>
      </c>
      <c r="E18656" s="2">
        <v>1262346</v>
      </c>
      <c r="F18656" s="4" t="str">
        <f>IF(B18656=B18655,"",B18656)</f>
        <v>Muttupet</v>
      </c>
    </row>
    <row r="18657" spans="1:6" ht="15.75" customHeight="1">
      <c r="A18657" s="8" t="str">
        <f ca="1">IFERROR(__xludf.DUMMYFUNCTION("GOOGLETRANSLATE(B32710,""en"",""pt"")"),"Muttupet")</f>
        <v>Muttupet</v>
      </c>
      <c r="B18657" s="9" t="s">
        <v>12480</v>
      </c>
      <c r="C18657" s="9" t="s">
        <v>10178</v>
      </c>
      <c r="D18657" s="9" t="s">
        <v>10196</v>
      </c>
      <c r="E18657" s="10">
        <v>1262346</v>
      </c>
      <c r="F18657" s="4" t="str">
        <f>IF(B18657=B18656,"",B18657)</f>
        <v/>
      </c>
    </row>
    <row r="18658" spans="1:6" ht="15.75" customHeight="1">
      <c r="A18658" s="15" t="s">
        <v>25295</v>
      </c>
      <c r="B18658" s="15" t="s">
        <v>25295</v>
      </c>
      <c r="C18658" s="15" t="s">
        <v>25237</v>
      </c>
      <c r="D18658" s="15" t="s">
        <v>25242</v>
      </c>
      <c r="E18658" s="2">
        <v>2659522</v>
      </c>
      <c r="F18658" s="4" t="str">
        <f>IF(B18658=B18657,"",B18658)</f>
        <v>Muttenz</v>
      </c>
    </row>
    <row r="18659" spans="1:6" ht="15.75" customHeight="1">
      <c r="A18659" s="8" t="str">
        <f ca="1">IFERROR(__xludf.DUMMYFUNCTION("GOOGLETRANSLATE(B25766,""en"",""pt"")"),"Muttenz")</f>
        <v>Muttenz</v>
      </c>
      <c r="B18659" s="9" t="s">
        <v>25295</v>
      </c>
      <c r="C18659" s="9" t="s">
        <v>25237</v>
      </c>
      <c r="D18659" s="9" t="s">
        <v>25242</v>
      </c>
      <c r="E18659" s="10">
        <v>2659522</v>
      </c>
      <c r="F18659" s="4" t="str">
        <f>IF(B18659=B18658,"",B18659)</f>
        <v/>
      </c>
    </row>
    <row r="18660" spans="1:6" ht="15.75" customHeight="1">
      <c r="A18660" s="15" t="s">
        <v>16263</v>
      </c>
      <c r="B18660" s="15" t="s">
        <v>16263</v>
      </c>
      <c r="C18660" s="15" t="s">
        <v>15704</v>
      </c>
      <c r="D18660" s="15" t="s">
        <v>15815</v>
      </c>
      <c r="E18660" s="2">
        <v>2127878</v>
      </c>
      <c r="F18660" s="4" t="str">
        <f>IF(B18660=B18659,"",B18660)</f>
        <v>Mutsu</v>
      </c>
    </row>
    <row r="18661" spans="1:6" ht="15.75" customHeight="1">
      <c r="A18661" s="8" t="str">
        <f ca="1">IFERROR(__xludf.DUMMYFUNCTION("GOOGLETRANSLATE(B35819,""en"",""pt"")"),"Mutsu")</f>
        <v>Mutsu</v>
      </c>
      <c r="B18661" s="9" t="s">
        <v>16263</v>
      </c>
      <c r="C18661" s="9" t="s">
        <v>15704</v>
      </c>
      <c r="D18661" s="9" t="s">
        <v>15815</v>
      </c>
      <c r="E18661" s="10">
        <v>2127878</v>
      </c>
      <c r="F18661" s="4" t="str">
        <f>IF(B18661=B18660,"",B18661)</f>
        <v/>
      </c>
    </row>
    <row r="18662" spans="1:6" ht="15.75" customHeight="1">
      <c r="A18662" s="16" t="s">
        <v>3953</v>
      </c>
      <c r="B18662" s="15" t="s">
        <v>3953</v>
      </c>
      <c r="C18662" s="16" t="s">
        <v>3884</v>
      </c>
      <c r="D18662" s="16" t="s">
        <v>3898</v>
      </c>
      <c r="E18662" s="2">
        <v>2225728</v>
      </c>
      <c r="F18662" s="4" t="str">
        <f>IF(B18662=B18661,"",B18662)</f>
        <v>Mutengene</v>
      </c>
    </row>
    <row r="18663" spans="1:6" ht="15.75" customHeight="1">
      <c r="A18663" s="8" t="str">
        <f ca="1">IFERROR(__xludf.DUMMYFUNCTION("GOOGLETRANSLATE(B25995,""en"",""pt"")"),"Mutengene")</f>
        <v>Mutengene</v>
      </c>
      <c r="B18663" s="9" t="s">
        <v>3953</v>
      </c>
      <c r="C18663" s="9" t="s">
        <v>3884</v>
      </c>
      <c r="D18663" s="9" t="s">
        <v>3898</v>
      </c>
      <c r="E18663" s="10">
        <v>2225728</v>
      </c>
      <c r="F18663" s="4" t="str">
        <f>IF(B18663=B18662,"",B18663)</f>
        <v/>
      </c>
    </row>
    <row r="18664" spans="1:6" ht="15.75" customHeight="1">
      <c r="A18664" s="15" t="s">
        <v>31097</v>
      </c>
      <c r="B18664" s="15" t="s">
        <v>31097</v>
      </c>
      <c r="C18664" s="15" t="s">
        <v>31072</v>
      </c>
      <c r="D18664" s="15" t="s">
        <v>31081</v>
      </c>
      <c r="E18664" s="2">
        <v>884979</v>
      </c>
      <c r="F18664" s="4" t="str">
        <f>IF(B18664=B18663,"",B18664)</f>
        <v>Mutare</v>
      </c>
    </row>
    <row r="18665" spans="1:6" ht="15.75" customHeight="1">
      <c r="A18665" s="8" t="str">
        <f ca="1">IFERROR(__xludf.DUMMYFUNCTION("GOOGLETRANSLATE(B46037,""en"",""pt"")"),"Mutare")</f>
        <v>Mutare</v>
      </c>
      <c r="B18665" s="9" t="s">
        <v>31097</v>
      </c>
      <c r="C18665" s="9" t="s">
        <v>31072</v>
      </c>
      <c r="D18665" s="9" t="s">
        <v>31081</v>
      </c>
      <c r="E18665" s="10">
        <v>884979</v>
      </c>
      <c r="F18665" s="4" t="str">
        <f>IF(B18665=B18664,"",B18665)</f>
        <v/>
      </c>
    </row>
    <row r="18666" spans="1:6" ht="15.75" customHeight="1">
      <c r="A18666" s="15" t="s">
        <v>26644</v>
      </c>
      <c r="B18666" s="15" t="s">
        <v>26644</v>
      </c>
      <c r="C18666" s="15" t="s">
        <v>26201</v>
      </c>
      <c r="D18666" s="15" t="s">
        <v>26315</v>
      </c>
      <c r="E18666" s="2">
        <v>304013</v>
      </c>
      <c r="F18666" s="4" t="str">
        <f>IF(B18666=B18665,"",B18666)</f>
        <v>Mut</v>
      </c>
    </row>
    <row r="18667" spans="1:6" ht="15.75" customHeight="1">
      <c r="A18667" s="8" t="str">
        <f ca="1">IFERROR(__xludf.DUMMYFUNCTION("GOOGLETRANSLATE(B41930,""en"",""pt"")"),"Mut")</f>
        <v>Mut</v>
      </c>
      <c r="B18667" s="9" t="s">
        <v>26644</v>
      </c>
      <c r="C18667" s="9" t="s">
        <v>26201</v>
      </c>
      <c r="D18667" s="9" t="s">
        <v>26315</v>
      </c>
      <c r="E18667" s="10">
        <v>304013</v>
      </c>
      <c r="F18667" s="4" t="str">
        <f>IF(B18667=B18666,"",B18667)</f>
        <v/>
      </c>
    </row>
    <row r="18668" spans="1:6" ht="15.75" customHeight="1">
      <c r="A18668" s="15" t="s">
        <v>29381</v>
      </c>
      <c r="B18668" s="15" t="s">
        <v>29381</v>
      </c>
      <c r="C18668" s="15" t="s">
        <v>27788</v>
      </c>
      <c r="D18668" s="15" t="s">
        <v>27797</v>
      </c>
      <c r="E18668" s="2">
        <v>4543352</v>
      </c>
      <c r="F18668" s="4" t="str">
        <f>IF(B18668=B18667,"",B18668)</f>
        <v>Mustang</v>
      </c>
    </row>
    <row r="18669" spans="1:6" ht="15.75" customHeight="1">
      <c r="A18669" s="8" t="str">
        <f ca="1">IFERROR(__xludf.DUMMYFUNCTION("GOOGLETRANSLATE(B43558,""en"",""pt"")"),"Mustang")</f>
        <v>Mustang</v>
      </c>
      <c r="B18669" s="9" t="s">
        <v>29381</v>
      </c>
      <c r="C18669" s="9" t="s">
        <v>27788</v>
      </c>
      <c r="D18669" s="9" t="s">
        <v>27797</v>
      </c>
      <c r="E18669" s="10">
        <v>4543352</v>
      </c>
      <c r="F18669" s="4" t="str">
        <f>IF(B18669=B18668,"",B18669)</f>
        <v/>
      </c>
    </row>
    <row r="18670" spans="1:6" ht="15.75" customHeight="1">
      <c r="A18670" s="8" t="str">
        <f ca="1">IFERROR(__xludf.DUMMYFUNCTION("GOOGLETRANSLATE(B42133,""en"",""pt"")"),"Mustafakemalpaşa")</f>
        <v>Mustafakemalpaşa</v>
      </c>
      <c r="B18670" s="11" t="s">
        <v>35929</v>
      </c>
      <c r="C18670" s="11" t="s">
        <v>26201</v>
      </c>
      <c r="D18670" s="11" t="s">
        <v>26205</v>
      </c>
      <c r="E18670" s="10">
        <v>741385</v>
      </c>
      <c r="F18670" s="4" t="str">
        <f>IF(B18670=B18669,"",B18670)</f>
        <v>Mustafakemalpaşa</v>
      </c>
    </row>
    <row r="18671" spans="1:6" ht="15.75" customHeight="1">
      <c r="A18671" s="16" t="s">
        <v>26642</v>
      </c>
      <c r="B18671" s="15" t="s">
        <v>26643</v>
      </c>
      <c r="C18671" s="16" t="s">
        <v>26201</v>
      </c>
      <c r="D18671" s="16" t="s">
        <v>26205</v>
      </c>
      <c r="E18671" s="2">
        <v>741385</v>
      </c>
      <c r="F18671" s="4" t="str">
        <f>IF(B18671=B18670,"",B18671)</f>
        <v>MustafakemalpaÅŸa</v>
      </c>
    </row>
    <row r="18672" spans="1:6" ht="15.75" customHeight="1">
      <c r="A18672" s="8" t="str">
        <f ca="1">IFERROR(__xludf.DUMMYFUNCTION("GOOGLETRANSLATE(B38974,""en"",""pt"")"),"Mustafābād")</f>
        <v>Mustafābād</v>
      </c>
      <c r="B18672" s="11" t="s">
        <v>34948</v>
      </c>
      <c r="C18672" s="11" t="s">
        <v>19808</v>
      </c>
      <c r="D18672" s="11" t="s">
        <v>10184</v>
      </c>
      <c r="E18672" s="10">
        <v>1169620</v>
      </c>
      <c r="F18672" s="4" t="str">
        <f>IF(B18672=B18671,"",B18672)</f>
        <v>Mustafābād</v>
      </c>
    </row>
    <row r="18673" spans="1:6" ht="15.75" customHeight="1">
      <c r="A18673" s="16" t="s">
        <v>20119</v>
      </c>
      <c r="B18673" s="15" t="s">
        <v>20120</v>
      </c>
      <c r="C18673" s="16" t="s">
        <v>19808</v>
      </c>
      <c r="D18673" s="16" t="s">
        <v>10184</v>
      </c>
      <c r="E18673" s="2">
        <v>1169620</v>
      </c>
      <c r="F18673" s="4" t="str">
        <f>IF(B18673=B18672,"",B18673)</f>
        <v>MustafÄbÄd</v>
      </c>
    </row>
    <row r="18674" spans="1:6" ht="15.75" customHeight="1">
      <c r="A18674" s="16" t="s">
        <v>12479</v>
      </c>
      <c r="B18674" s="15" t="s">
        <v>12479</v>
      </c>
      <c r="C18674" s="16" t="s">
        <v>10178</v>
      </c>
      <c r="D18674" s="16" t="s">
        <v>10299</v>
      </c>
      <c r="E18674" s="2">
        <v>1262374</v>
      </c>
      <c r="F18674" s="4" t="str">
        <f>IF(B18674=B18673,"",B18674)</f>
        <v>Mussoorie</v>
      </c>
    </row>
    <row r="18675" spans="1:6" ht="15.75" customHeight="1">
      <c r="A18675" s="8" t="str">
        <f ca="1">IFERROR(__xludf.DUMMYFUNCTION("GOOGLETRANSLATE(B32711,""en"",""pt"")"),"Mussoorie")</f>
        <v>Mussoorie</v>
      </c>
      <c r="B18675" s="9" t="s">
        <v>12479</v>
      </c>
      <c r="C18675" s="9" t="s">
        <v>10178</v>
      </c>
      <c r="D18675" s="9" t="s">
        <v>10299</v>
      </c>
      <c r="E18675" s="10">
        <v>1262374</v>
      </c>
      <c r="F18675" s="4" t="str">
        <f>IF(B18675=B18674,"",B18675)</f>
        <v/>
      </c>
    </row>
    <row r="18676" spans="1:6" ht="15.75" customHeight="1">
      <c r="A18676" s="16" t="s">
        <v>27544</v>
      </c>
      <c r="B18676" s="15" t="s">
        <v>27544</v>
      </c>
      <c r="C18676" s="16" t="s">
        <v>27234</v>
      </c>
      <c r="D18676" s="16" t="s">
        <v>27237</v>
      </c>
      <c r="E18676" s="2">
        <v>2641942</v>
      </c>
      <c r="F18676" s="4" t="str">
        <f>IF(B18676=B18675,"",B18676)</f>
        <v>Musselburgh</v>
      </c>
    </row>
    <row r="18677" spans="1:6" ht="15.75" customHeight="1">
      <c r="A18677" s="8" t="str">
        <f ca="1">IFERROR(__xludf.DUMMYFUNCTION("GOOGLETRANSLATE(B30531,""en"",""pt"")"),"Musselburgh")</f>
        <v>Musselburgh</v>
      </c>
      <c r="B18677" s="9" t="s">
        <v>27544</v>
      </c>
      <c r="C18677" s="9" t="s">
        <v>27234</v>
      </c>
      <c r="D18677" s="9" t="s">
        <v>27237</v>
      </c>
      <c r="E18677" s="10">
        <v>2641942</v>
      </c>
      <c r="F18677" s="4" t="str">
        <f>IF(B18677=B18676,"",B18677)</f>
        <v/>
      </c>
    </row>
    <row r="18678" spans="1:6" ht="15.75" customHeight="1">
      <c r="A18678" s="15" t="s">
        <v>25710</v>
      </c>
      <c r="B18678" s="15" t="s">
        <v>25710</v>
      </c>
      <c r="C18678" s="15" t="s">
        <v>25560</v>
      </c>
      <c r="D18678" s="15" t="s">
        <v>25574</v>
      </c>
      <c r="E18678" s="2">
        <v>152451</v>
      </c>
      <c r="F18678" s="4" t="str">
        <f>IF(B18678=B18677,"",B18678)</f>
        <v>Musoma</v>
      </c>
    </row>
    <row r="18679" spans="1:6" ht="15.75" customHeight="1">
      <c r="A18679" s="8" t="str">
        <f ca="1">IFERROR(__xludf.DUMMYFUNCTION("GOOGLETRANSLATE(B42330,""en"",""pt"")"),"Musoma")</f>
        <v>Musoma</v>
      </c>
      <c r="B18679" s="9" t="s">
        <v>25710</v>
      </c>
      <c r="C18679" s="9" t="s">
        <v>25560</v>
      </c>
      <c r="D18679" s="9" t="s">
        <v>25574</v>
      </c>
      <c r="E18679" s="10">
        <v>152451</v>
      </c>
      <c r="F18679" s="4" t="str">
        <f>IF(B18679=B18678,"",B18679)</f>
        <v/>
      </c>
    </row>
    <row r="18680" spans="1:6" ht="15.75" customHeight="1">
      <c r="A18680" s="16" t="s">
        <v>29380</v>
      </c>
      <c r="B18680" s="15" t="s">
        <v>29380</v>
      </c>
      <c r="C18680" s="16" t="s">
        <v>27788</v>
      </c>
      <c r="D18680" s="16" t="s">
        <v>27797</v>
      </c>
      <c r="E18680" s="2">
        <v>4543338</v>
      </c>
      <c r="F18680" s="4" t="str">
        <f>IF(B18680=B18679,"",B18680)</f>
        <v>Muskogee</v>
      </c>
    </row>
    <row r="18681" spans="1:6" ht="15.75" customHeight="1">
      <c r="A18681" s="8" t="str">
        <f ca="1">IFERROR(__xludf.DUMMYFUNCTION("GOOGLETRANSLATE(B43557,""en"",""pt"")"),"Muskogee")</f>
        <v>Muskogee</v>
      </c>
      <c r="B18681" s="9" t="s">
        <v>29380</v>
      </c>
      <c r="C18681" s="9" t="s">
        <v>27788</v>
      </c>
      <c r="D18681" s="9" t="s">
        <v>27797</v>
      </c>
      <c r="E18681" s="10">
        <v>4543338</v>
      </c>
      <c r="F18681" s="4" t="str">
        <f>IF(B18681=B18680,"",B18681)</f>
        <v/>
      </c>
    </row>
    <row r="18682" spans="1:6" ht="15.75" customHeight="1">
      <c r="A18682" s="16" t="s">
        <v>29379</v>
      </c>
      <c r="B18682" s="15" t="s">
        <v>29379</v>
      </c>
      <c r="C18682" s="16" t="s">
        <v>27788</v>
      </c>
      <c r="D18682" s="16" t="s">
        <v>27804</v>
      </c>
      <c r="E18682" s="2">
        <v>5003132</v>
      </c>
      <c r="F18682" s="4" t="str">
        <f>IF(B18682=B18681,"",B18682)</f>
        <v>Muskegon</v>
      </c>
    </row>
    <row r="18683" spans="1:6" ht="15.75" customHeight="1">
      <c r="A18683" s="8" t="str">
        <f ca="1">IFERROR(__xludf.DUMMYFUNCTION("GOOGLETRANSLATE(B44106,""en"",""pt"")"),"Muskegon")</f>
        <v>Muskegon</v>
      </c>
      <c r="B18683" s="9" t="s">
        <v>29379</v>
      </c>
      <c r="C18683" s="9" t="s">
        <v>27788</v>
      </c>
      <c r="D18683" s="9" t="s">
        <v>27804</v>
      </c>
      <c r="E18683" s="10">
        <v>5003132</v>
      </c>
      <c r="F18683" s="4" t="str">
        <f>IF(B18683=B18682,"",B18683)</f>
        <v/>
      </c>
    </row>
    <row r="18684" spans="1:6" ht="15.75" customHeight="1">
      <c r="A18684" s="15" t="s">
        <v>29378</v>
      </c>
      <c r="B18684" s="15" t="s">
        <v>29378</v>
      </c>
      <c r="C18684" s="15" t="s">
        <v>27788</v>
      </c>
      <c r="D18684" s="15" t="s">
        <v>27890</v>
      </c>
      <c r="E18684" s="2">
        <v>5264049</v>
      </c>
      <c r="F18684" s="4" t="str">
        <f>IF(B18684=B18683,"",B18684)</f>
        <v>Muskego</v>
      </c>
    </row>
    <row r="18685" spans="1:6" ht="15.75" customHeight="1">
      <c r="A18685" s="8" t="str">
        <f ca="1">IFERROR(__xludf.DUMMYFUNCTION("GOOGLETRANSLATE(B44661,""en"",""pt"")"),"Muskego")</f>
        <v>Muskego</v>
      </c>
      <c r="B18685" s="9" t="s">
        <v>29378</v>
      </c>
      <c r="C18685" s="9" t="s">
        <v>27788</v>
      </c>
      <c r="D18685" s="9" t="s">
        <v>27890</v>
      </c>
      <c r="E18685" s="10">
        <v>5264049</v>
      </c>
      <c r="F18685" s="4" t="str">
        <f>IF(B18685=B18684,"",B18685)</f>
        <v/>
      </c>
    </row>
    <row r="18686" spans="1:6" ht="15.75" customHeight="1">
      <c r="A18686" s="15" t="s">
        <v>12478</v>
      </c>
      <c r="B18686" s="15" t="s">
        <v>12478</v>
      </c>
      <c r="C18686" s="15" t="s">
        <v>10178</v>
      </c>
      <c r="D18686" s="15" t="s">
        <v>10196</v>
      </c>
      <c r="E18686" s="2">
        <v>1262380</v>
      </c>
      <c r="F18686" s="4" t="str">
        <f>IF(B18686=B18685,"",B18686)</f>
        <v>Musiri</v>
      </c>
    </row>
    <row r="18687" spans="1:6" ht="15.75" customHeight="1">
      <c r="A18687" s="8" t="str">
        <f ca="1">IFERROR(__xludf.DUMMYFUNCTION("GOOGLETRANSLATE(B32712,""en"",""pt"")"),"Musiri")</f>
        <v>Musiri</v>
      </c>
      <c r="B18687" s="9" t="s">
        <v>12478</v>
      </c>
      <c r="C18687" s="9" t="s">
        <v>10178</v>
      </c>
      <c r="D18687" s="9" t="s">
        <v>10196</v>
      </c>
      <c r="E18687" s="10">
        <v>1262380</v>
      </c>
      <c r="F18687" s="4" t="str">
        <f>IF(B18687=B18686,"",B18687)</f>
        <v/>
      </c>
    </row>
    <row r="18688" spans="1:6" ht="15.75" customHeight="1">
      <c r="A18688" s="15" t="s">
        <v>6194</v>
      </c>
      <c r="B18688" s="15" t="s">
        <v>6194</v>
      </c>
      <c r="C18688" s="15" t="s">
        <v>6127</v>
      </c>
      <c r="D18688" s="15" t="s">
        <v>6129</v>
      </c>
      <c r="E18688" s="2">
        <v>2312249</v>
      </c>
      <c r="F18688" s="4" t="str">
        <f>IF(B18688=B18687,"",B18688)</f>
        <v>Mushie</v>
      </c>
    </row>
    <row r="18689" spans="1:6" ht="15.75" customHeight="1">
      <c r="A18689" s="8" t="str">
        <f ca="1">IFERROR(__xludf.DUMMYFUNCTION("GOOGLETRANSLATE(B25694,""en"",""pt"")"),"Mushie")</f>
        <v>Mushie</v>
      </c>
      <c r="B18689" s="9" t="s">
        <v>6194</v>
      </c>
      <c r="C18689" s="9" t="s">
        <v>6127</v>
      </c>
      <c r="D18689" s="9" t="s">
        <v>6129</v>
      </c>
      <c r="E18689" s="10">
        <v>2312249</v>
      </c>
      <c r="F18689" s="4" t="str">
        <f>IF(B18689=B18688,"",B18689)</f>
        <v/>
      </c>
    </row>
    <row r="18690" spans="1:6" ht="15.75" customHeight="1">
      <c r="A18690" s="8" t="str">
        <f ca="1">IFERROR(__xludf.DUMMYFUNCTION("GOOGLETRANSLATE(B32713,""en"",""pt"")"),"Mushābani")</f>
        <v>Mushābani</v>
      </c>
      <c r="B18690" s="11" t="s">
        <v>33356</v>
      </c>
      <c r="C18690" s="11" t="s">
        <v>10178</v>
      </c>
      <c r="D18690" s="11" t="s">
        <v>10430</v>
      </c>
      <c r="E18690" s="10">
        <v>1262382</v>
      </c>
      <c r="F18690" s="4" t="str">
        <f>IF(B18690=B18689,"",B18690)</f>
        <v>Mushābani</v>
      </c>
    </row>
    <row r="18691" spans="1:6" ht="15.75" customHeight="1">
      <c r="A18691" s="16" t="s">
        <v>12476</v>
      </c>
      <c r="B18691" s="15" t="s">
        <v>12477</v>
      </c>
      <c r="C18691" s="16" t="s">
        <v>10178</v>
      </c>
      <c r="D18691" s="16" t="s">
        <v>10430</v>
      </c>
      <c r="E18691" s="2">
        <v>1262382</v>
      </c>
      <c r="F18691" s="4" t="str">
        <f>IF(B18691=B18690,"",B18691)</f>
        <v>MushÄbani</v>
      </c>
    </row>
    <row r="18692" spans="1:6" ht="15.75" customHeight="1">
      <c r="A18692" s="16" t="s">
        <v>29377</v>
      </c>
      <c r="B18692" s="15" t="s">
        <v>29377</v>
      </c>
      <c r="C18692" s="16" t="s">
        <v>27788</v>
      </c>
      <c r="D18692" s="16" t="s">
        <v>27859</v>
      </c>
      <c r="E18692" s="2">
        <v>4868404</v>
      </c>
      <c r="F18692" s="4" t="str">
        <f>IF(B18692=B18691,"",B18692)</f>
        <v>Muscatine</v>
      </c>
    </row>
    <row r="18693" spans="1:6" ht="15.75" customHeight="1">
      <c r="A18693" s="8" t="str">
        <f ca="1">IFERROR(__xludf.DUMMYFUNCTION("GOOGLETRANSLATE(B43753,""en"",""pt"")"),"Muscatine")</f>
        <v>Muscatine</v>
      </c>
      <c r="B18693" s="9" t="s">
        <v>29377</v>
      </c>
      <c r="C18693" s="9" t="s">
        <v>27788</v>
      </c>
      <c r="D18693" s="9" t="s">
        <v>27859</v>
      </c>
      <c r="E18693" s="10">
        <v>4868404</v>
      </c>
      <c r="F18693" s="4" t="str">
        <f>IF(B18693=B18692,"",B18693)</f>
        <v/>
      </c>
    </row>
    <row r="18694" spans="1:6" ht="15.75" customHeight="1">
      <c r="A18694" s="15" t="s">
        <v>19793</v>
      </c>
      <c r="B18694" s="15" t="s">
        <v>19793</v>
      </c>
      <c r="C18694" s="15" t="s">
        <v>19755</v>
      </c>
      <c r="D18694" s="15" t="s">
        <v>19785</v>
      </c>
      <c r="E18694" s="2">
        <v>287286</v>
      </c>
      <c r="F18694" s="4" t="str">
        <f>IF(B18694=B18693,"",B18694)</f>
        <v>Muscat</v>
      </c>
    </row>
    <row r="18695" spans="1:6" ht="15.75" customHeight="1">
      <c r="A18695" s="8" t="str">
        <f ca="1">IFERROR(__xludf.DUMMYFUNCTION("GOOGLETRANSLATE(B38259,""en"",""pt"")"),"Muscat")</f>
        <v>Muscat</v>
      </c>
      <c r="B18695" s="9" t="s">
        <v>19793</v>
      </c>
      <c r="C18695" s="9" t="s">
        <v>19755</v>
      </c>
      <c r="D18695" s="9" t="s">
        <v>34849</v>
      </c>
      <c r="E18695" s="10">
        <v>287286</v>
      </c>
      <c r="F18695" s="4" t="str">
        <f>IF(B18695=B18694,"",B18695)</f>
        <v/>
      </c>
    </row>
    <row r="18696" spans="1:6" ht="15.75" customHeight="1">
      <c r="A18696" s="16" t="s">
        <v>16262</v>
      </c>
      <c r="B18696" s="15" t="s">
        <v>16262</v>
      </c>
      <c r="C18696" s="16" t="s">
        <v>15704</v>
      </c>
      <c r="D18696" s="16" t="s">
        <v>15776</v>
      </c>
      <c r="E18696" s="2">
        <v>1856367</v>
      </c>
      <c r="F18696" s="4" t="str">
        <f>IF(B18696=B18695,"",B18696)</f>
        <v>Musashino</v>
      </c>
    </row>
    <row r="18697" spans="1:6" ht="15.75" customHeight="1">
      <c r="A18697" s="8" t="str">
        <f ca="1">IFERROR(__xludf.DUMMYFUNCTION("GOOGLETRANSLATE(B35410,""en"",""pt"")"),"Musashino")</f>
        <v>Musashino</v>
      </c>
      <c r="B18697" s="9" t="s">
        <v>16262</v>
      </c>
      <c r="C18697" s="9" t="s">
        <v>15704</v>
      </c>
      <c r="D18697" s="9" t="s">
        <v>15776</v>
      </c>
      <c r="E18697" s="10">
        <v>1856367</v>
      </c>
      <c r="F18697" s="4" t="str">
        <f>IF(B18697=B18696,"",B18697)</f>
        <v/>
      </c>
    </row>
    <row r="18698" spans="1:6" ht="15.75" customHeight="1">
      <c r="A18698" s="15" t="s">
        <v>23422</v>
      </c>
      <c r="B18698" s="15" t="s">
        <v>23422</v>
      </c>
      <c r="C18698" s="15" t="s">
        <v>23413</v>
      </c>
      <c r="D18698" s="15" t="s">
        <v>20426</v>
      </c>
      <c r="E18698" s="2">
        <v>201521</v>
      </c>
      <c r="F18698" s="4" t="str">
        <f>IF(B18698=B18697,"",B18698)</f>
        <v>Musanze</v>
      </c>
    </row>
    <row r="18699" spans="1:6" ht="15.75" customHeight="1">
      <c r="A18699" s="8" t="str">
        <f ca="1">IFERROR(__xludf.DUMMYFUNCTION("GOOGLETRANSLATE(B40999,""en"",""pt"")"),"Musanze")</f>
        <v>Musanze</v>
      </c>
      <c r="B18699" s="11" t="s">
        <v>23422</v>
      </c>
      <c r="C18699" s="11" t="s">
        <v>23413</v>
      </c>
      <c r="D18699" s="11" t="s">
        <v>20426</v>
      </c>
      <c r="E18699" s="10">
        <v>201521</v>
      </c>
      <c r="F18699" s="4" t="str">
        <f>IF(B18699=B18698,"",B18699)</f>
        <v/>
      </c>
    </row>
    <row r="18700" spans="1:6" ht="15.75" customHeight="1">
      <c r="A18700" s="8" t="str">
        <f ca="1">IFERROR(__xludf.DUMMYFUNCTION("GOOGLETRANSLATE(B36034,""en"",""pt"")"),"Musan-ŭp")</f>
        <v>Musan-ŭp</v>
      </c>
      <c r="B18700" s="11" t="s">
        <v>34463</v>
      </c>
      <c r="C18700" s="11" t="s">
        <v>19589</v>
      </c>
      <c r="D18700" s="11" t="s">
        <v>34462</v>
      </c>
      <c r="E18700" s="10">
        <v>2042738</v>
      </c>
      <c r="F18700" s="4" t="str">
        <f>IF(B18700=B18699,"",B18700)</f>
        <v>Musan-ŭp</v>
      </c>
    </row>
    <row r="18701" spans="1:6" ht="15.75" customHeight="1">
      <c r="A18701" s="16" t="s">
        <v>19651</v>
      </c>
      <c r="B18701" s="15" t="s">
        <v>19652</v>
      </c>
      <c r="C18701" s="16" t="s">
        <v>19589</v>
      </c>
      <c r="D18701" s="16" t="s">
        <v>19599</v>
      </c>
      <c r="E18701" s="2">
        <v>2042738</v>
      </c>
      <c r="F18701" s="4" t="str">
        <f>IF(B18701=B18700,"",B18701)</f>
        <v>Musan-Å­p</v>
      </c>
    </row>
    <row r="18702" spans="1:6" ht="15.75" customHeight="1">
      <c r="A18702" s="8" t="str">
        <f ca="1">IFERROR(__xludf.DUMMYFUNCTION("GOOGLETRANSLATE(B41931,""en"",""pt"")"),"Muş")</f>
        <v>Muş</v>
      </c>
      <c r="B18702" s="9" t="s">
        <v>35823</v>
      </c>
      <c r="C18702" s="9" t="s">
        <v>26201</v>
      </c>
      <c r="D18702" s="9" t="s">
        <v>35823</v>
      </c>
      <c r="E18702" s="10">
        <v>304081</v>
      </c>
      <c r="F18702" s="4" t="str">
        <f>IF(B18702=B18701,"",B18702)</f>
        <v>Muş</v>
      </c>
    </row>
    <row r="18703" spans="1:6" ht="15.75" customHeight="1">
      <c r="A18703" s="15" t="s">
        <v>17125</v>
      </c>
      <c r="B18703" s="15" t="s">
        <v>17125</v>
      </c>
      <c r="C18703" s="15" t="s">
        <v>17074</v>
      </c>
      <c r="D18703" s="15" t="s">
        <v>17125</v>
      </c>
      <c r="E18703" s="2">
        <v>2214603</v>
      </c>
      <c r="F18703" s="4" t="str">
        <f>IF(B18703=B18702,"",B18703)</f>
        <v>Murzuq</v>
      </c>
    </row>
    <row r="18704" spans="1:6" ht="15.75" customHeight="1">
      <c r="A18704" s="8" t="str">
        <f ca="1">IFERROR(__xludf.DUMMYFUNCTION("GOOGLETRANSLATE(B36438,""en"",""pt"")"),"Murzuq")</f>
        <v>Murzuq</v>
      </c>
      <c r="B18704" s="9" t="s">
        <v>17125</v>
      </c>
      <c r="C18704" s="9" t="s">
        <v>17074</v>
      </c>
      <c r="D18704" s="9" t="s">
        <v>17125</v>
      </c>
      <c r="E18704" s="10">
        <v>2214603</v>
      </c>
      <c r="F18704" s="4" t="str">
        <f>IF(B18704=B18703,"",B18704)</f>
        <v/>
      </c>
    </row>
    <row r="18705" spans="1:6" ht="15.75" customHeight="1">
      <c r="A18705" s="8" t="str">
        <f ca="1">IFERROR(__xludf.DUMMYFUNCTION("GOOGLETRANSLATE(B32714,""en"",""pt"")"),"Murwāra")</f>
        <v>Murwāra</v>
      </c>
      <c r="B18705" s="11" t="s">
        <v>33357</v>
      </c>
      <c r="C18705" s="11" t="s">
        <v>10178</v>
      </c>
      <c r="D18705" s="11" t="s">
        <v>10219</v>
      </c>
      <c r="E18705" s="10">
        <v>1262395</v>
      </c>
      <c r="F18705" s="4" t="str">
        <f>IF(B18705=B18704,"",B18705)</f>
        <v>Murwāra</v>
      </c>
    </row>
    <row r="18706" spans="1:6" ht="15.75" customHeight="1">
      <c r="A18706" s="15" t="s">
        <v>12474</v>
      </c>
      <c r="B18706" s="15" t="s">
        <v>12475</v>
      </c>
      <c r="C18706" s="15" t="s">
        <v>10178</v>
      </c>
      <c r="D18706" s="15" t="s">
        <v>10219</v>
      </c>
      <c r="E18706" s="2">
        <v>1262395</v>
      </c>
      <c r="F18706" s="4" t="str">
        <f>IF(B18706=B18705,"",B18706)</f>
        <v>MurwÄra</v>
      </c>
    </row>
    <row r="18707" spans="1:6" ht="15.75" customHeight="1">
      <c r="A18707" s="16" t="s">
        <v>18522</v>
      </c>
      <c r="B18707" s="15" t="s">
        <v>18523</v>
      </c>
      <c r="C18707" s="16" t="s">
        <v>18496</v>
      </c>
      <c r="D18707" s="16" t="s">
        <v>18524</v>
      </c>
      <c r="E18707" s="2">
        <v>2029945</v>
      </c>
      <c r="F18707" s="4" t="str">
        <f>IF(B18707=B18706,"",B18707)</f>
        <v>Murun-kuren</v>
      </c>
    </row>
    <row r="18708" spans="1:6" ht="15.75" customHeight="1">
      <c r="A18708" s="8" t="str">
        <f ca="1">IFERROR(__xludf.DUMMYFUNCTION("GOOGLETRANSLATE(B36769,""en"",""pt"")"),"Murun-Kuren")</f>
        <v>Murun-Kuren</v>
      </c>
      <c r="B18708" s="9" t="s">
        <v>18523</v>
      </c>
      <c r="C18708" s="9" t="s">
        <v>18496</v>
      </c>
      <c r="D18708" s="9" t="s">
        <v>34638</v>
      </c>
      <c r="E18708" s="10">
        <v>2029945</v>
      </c>
      <c r="F18708" s="4" t="str">
        <f>IF(B18708=B18707,"",B18708)</f>
        <v/>
      </c>
    </row>
    <row r="18709" spans="1:6" ht="15.75" customHeight="1">
      <c r="A18709" s="16" t="s">
        <v>12473</v>
      </c>
      <c r="B18709" s="15" t="s">
        <v>12473</v>
      </c>
      <c r="C18709" s="16" t="s">
        <v>10178</v>
      </c>
      <c r="D18709" s="16" t="s">
        <v>10252</v>
      </c>
      <c r="E18709" s="2">
        <v>6941937</v>
      </c>
      <c r="F18709" s="4" t="str">
        <f>IF(B18709=B18708,"",B18709)</f>
        <v>Murudeshwara</v>
      </c>
    </row>
    <row r="18710" spans="1:6" ht="15.75" customHeight="1">
      <c r="A18710" s="8" t="str">
        <f ca="1">IFERROR(__xludf.DUMMYFUNCTION("GOOGLETRANSLATE(B34207,""en"",""pt"")"),"Murudeshwara")</f>
        <v>Murudeshwara</v>
      </c>
      <c r="B18710" s="11" t="s">
        <v>12473</v>
      </c>
      <c r="C18710" s="11" t="s">
        <v>10178</v>
      </c>
      <c r="D18710" s="11" t="s">
        <v>10252</v>
      </c>
      <c r="E18710" s="10">
        <v>6941937</v>
      </c>
      <c r="F18710" s="4" t="str">
        <f>IF(B18710=B18709,"",B18710)</f>
        <v/>
      </c>
    </row>
    <row r="18711" spans="1:6" ht="15.75" customHeight="1">
      <c r="A18711" s="8" t="str">
        <f ca="1">IFERROR(__xludf.DUMMYFUNCTION("GOOGLETRANSLATE(B32715,""en"",""pt"")"),"Murtajāpur")</f>
        <v>Murtajāpur</v>
      </c>
      <c r="B18711" s="11" t="s">
        <v>33358</v>
      </c>
      <c r="C18711" s="11" t="s">
        <v>10178</v>
      </c>
      <c r="D18711" s="11" t="s">
        <v>10214</v>
      </c>
      <c r="E18711" s="10">
        <v>1262410</v>
      </c>
      <c r="F18711" s="4" t="str">
        <f>IF(B18711=B18710,"",B18711)</f>
        <v>Murtajāpur</v>
      </c>
    </row>
    <row r="18712" spans="1:6" ht="15.75" customHeight="1">
      <c r="A18712" s="16" t="s">
        <v>12471</v>
      </c>
      <c r="B18712" s="15" t="s">
        <v>12472</v>
      </c>
      <c r="C18712" s="16" t="s">
        <v>10178</v>
      </c>
      <c r="D18712" s="16" t="s">
        <v>10214</v>
      </c>
      <c r="E18712" s="2">
        <v>1262410</v>
      </c>
      <c r="F18712" s="4" t="str">
        <f>IF(B18712=B18711,"",B18712)</f>
        <v>MurtajÄpur</v>
      </c>
    </row>
    <row r="18713" spans="1:6" ht="15.75" customHeight="1">
      <c r="A18713" s="8" t="str">
        <f ca="1">IFERROR(__xludf.DUMMYFUNCTION("GOOGLETRANSLATE(B32716,""en"",""pt"")"),"Murshidābād")</f>
        <v>Murshidābād</v>
      </c>
      <c r="B18713" s="11" t="s">
        <v>33359</v>
      </c>
      <c r="C18713" s="11" t="s">
        <v>10178</v>
      </c>
      <c r="D18713" s="11" t="s">
        <v>10201</v>
      </c>
      <c r="E18713" s="10">
        <v>1262412</v>
      </c>
      <c r="F18713" s="4" t="str">
        <f>IF(B18713=B18712,"",B18713)</f>
        <v>Murshidābād</v>
      </c>
    </row>
    <row r="18714" spans="1:6" ht="15.75" customHeight="1">
      <c r="A18714" s="16" t="s">
        <v>12469</v>
      </c>
      <c r="B18714" s="15" t="s">
        <v>12470</v>
      </c>
      <c r="C18714" s="16" t="s">
        <v>10178</v>
      </c>
      <c r="D18714" s="16" t="s">
        <v>10201</v>
      </c>
      <c r="E18714" s="2">
        <v>1262412</v>
      </c>
      <c r="F18714" s="4" t="str">
        <f>IF(B18714=B18713,"",B18714)</f>
        <v>MurshidÄbÄd</v>
      </c>
    </row>
    <row r="18715" spans="1:6" ht="15.75" customHeight="1">
      <c r="A18715" s="16" t="s">
        <v>29376</v>
      </c>
      <c r="B18715" s="15" t="s">
        <v>29376</v>
      </c>
      <c r="C18715" s="16" t="s">
        <v>27788</v>
      </c>
      <c r="D18715" s="16" t="s">
        <v>27836</v>
      </c>
      <c r="E18715" s="2">
        <v>5202765</v>
      </c>
      <c r="F18715" s="4" t="str">
        <f>IF(B18715=B18714,"",B18715)</f>
        <v>Murrysville</v>
      </c>
    </row>
    <row r="18716" spans="1:6" ht="15.75" customHeight="1">
      <c r="A18716" s="8" t="str">
        <f ca="1">IFERROR(__xludf.DUMMYFUNCTION("GOOGLETRANSLATE(B44584,""en"",""pt"")"),"Murrysville")</f>
        <v>Murrysville</v>
      </c>
      <c r="B18716" s="11" t="s">
        <v>29376</v>
      </c>
      <c r="C18716" s="11" t="s">
        <v>27788</v>
      </c>
      <c r="D18716" s="11" t="s">
        <v>27836</v>
      </c>
      <c r="E18716" s="10">
        <v>5202765</v>
      </c>
      <c r="F18716" s="4" t="str">
        <f>IF(B18716=B18715,"",B18716)</f>
        <v/>
      </c>
    </row>
    <row r="18717" spans="1:6" ht="15.75" customHeight="1">
      <c r="A18717" s="15" t="s">
        <v>29375</v>
      </c>
      <c r="B18717" s="15" t="s">
        <v>29375</v>
      </c>
      <c r="C18717" s="15" t="s">
        <v>27788</v>
      </c>
      <c r="D18717" s="15" t="s">
        <v>27801</v>
      </c>
      <c r="E18717" s="2">
        <v>5375911</v>
      </c>
      <c r="F18717" s="4" t="str">
        <f>IF(B18717=B18716,"",B18717)</f>
        <v>Murrieta</v>
      </c>
    </row>
    <row r="18718" spans="1:6" ht="15.75" customHeight="1">
      <c r="A18718" s="8" t="str">
        <f ca="1">IFERROR(__xludf.DUMMYFUNCTION("GOOGLETRANSLATE(B44921,""en"",""pt"")"),"Murrieta")</f>
        <v>Murrieta</v>
      </c>
      <c r="B18718" s="9" t="s">
        <v>29375</v>
      </c>
      <c r="C18718" s="9" t="s">
        <v>27788</v>
      </c>
      <c r="D18718" s="9" t="s">
        <v>27801</v>
      </c>
      <c r="E18718" s="10">
        <v>5375911</v>
      </c>
      <c r="F18718" s="4" t="str">
        <f>IF(B18718=B18717,"",B18718)</f>
        <v/>
      </c>
    </row>
    <row r="18719" spans="1:6" ht="15.75" customHeight="1">
      <c r="A18719" s="15" t="s">
        <v>20118</v>
      </c>
      <c r="B18719" s="15" t="s">
        <v>20118</v>
      </c>
      <c r="C18719" s="15" t="s">
        <v>19808</v>
      </c>
      <c r="D18719" s="15" t="s">
        <v>10184</v>
      </c>
      <c r="E18719" s="2">
        <v>1169684</v>
      </c>
      <c r="F18719" s="4" t="str">
        <f>IF(B18719=B18718,"",B18719)</f>
        <v>Murree</v>
      </c>
    </row>
    <row r="18720" spans="1:6" ht="15.75" customHeight="1">
      <c r="A18720" s="8" t="str">
        <f ca="1">IFERROR(__xludf.DUMMYFUNCTION("GOOGLETRANSLATE(B38975,""en"",""pt"")"),"Murree")</f>
        <v>Murree</v>
      </c>
      <c r="B18720" s="9" t="s">
        <v>20118</v>
      </c>
      <c r="C18720" s="9" t="s">
        <v>19808</v>
      </c>
      <c r="D18720" s="9" t="s">
        <v>10184</v>
      </c>
      <c r="E18720" s="10">
        <v>1169684</v>
      </c>
      <c r="F18720" s="4" t="str">
        <f>IF(B18720=B18719,"",B18720)</f>
        <v/>
      </c>
    </row>
    <row r="18721" spans="1:6" ht="15.75" customHeight="1">
      <c r="A18721" s="16" t="s">
        <v>1042</v>
      </c>
      <c r="B18721" s="15" t="s">
        <v>1042</v>
      </c>
      <c r="C18721" s="16" t="s">
        <v>885</v>
      </c>
      <c r="D18721" s="16" t="s">
        <v>886</v>
      </c>
      <c r="E18721" s="2">
        <v>2065176</v>
      </c>
      <c r="F18721" s="4" t="str">
        <f>IF(B18721=B18720,"",B18721)</f>
        <v>Murray Bridge</v>
      </c>
    </row>
    <row r="18722" spans="1:6" ht="15.75" customHeight="1">
      <c r="A18722" s="8" t="str">
        <f ca="1">IFERROR(__xludf.DUMMYFUNCTION("GOOGLETRANSLATE(B23412,""en"",""pt"")"),"Murray Bridge")</f>
        <v>Murray Bridge</v>
      </c>
      <c r="B18722" s="9" t="s">
        <v>1042</v>
      </c>
      <c r="C18722" s="9" t="s">
        <v>885</v>
      </c>
      <c r="D18722" s="9" t="s">
        <v>886</v>
      </c>
      <c r="E18722" s="10">
        <v>2065176</v>
      </c>
      <c r="F18722" s="4" t="str">
        <f>IF(B18722=B18721,"",B18722)</f>
        <v/>
      </c>
    </row>
    <row r="18723" spans="1:6" ht="15.75" customHeight="1">
      <c r="A18723" s="15" t="s">
        <v>29374</v>
      </c>
      <c r="B18723" s="15" t="s">
        <v>29374</v>
      </c>
      <c r="C18723" s="15" t="s">
        <v>27788</v>
      </c>
      <c r="D18723" s="15" t="s">
        <v>27909</v>
      </c>
      <c r="E18723" s="2">
        <v>4302035</v>
      </c>
      <c r="F18723" s="4" t="str">
        <f>IF(B18723=B18722,"",B18723)</f>
        <v>Murray</v>
      </c>
    </row>
    <row r="18724" spans="1:6" ht="15.75" customHeight="1">
      <c r="A18724" s="15" t="s">
        <v>29374</v>
      </c>
      <c r="B18724" s="15" t="s">
        <v>29374</v>
      </c>
      <c r="C18724" s="15" t="s">
        <v>27788</v>
      </c>
      <c r="D18724" s="15" t="s">
        <v>27856</v>
      </c>
      <c r="E18724" s="2">
        <v>5778755</v>
      </c>
      <c r="F18724" s="4" t="str">
        <f>IF(B18724=B18723,"",B18724)</f>
        <v/>
      </c>
    </row>
    <row r="18725" spans="1:6" ht="15.75" customHeight="1">
      <c r="A18725" s="8" t="str">
        <f ca="1">IFERROR(__xludf.DUMMYFUNCTION("GOOGLETRANSLATE(B43210,""en"",""pt"")"),"Murray")</f>
        <v>Murray</v>
      </c>
      <c r="B18725" s="9" t="s">
        <v>29374</v>
      </c>
      <c r="C18725" s="9" t="s">
        <v>27788</v>
      </c>
      <c r="D18725" s="9" t="s">
        <v>27909</v>
      </c>
      <c r="E18725" s="10">
        <v>4302035</v>
      </c>
      <c r="F18725" s="4" t="str">
        <f>IF(B18725=B18724,"",B18725)</f>
        <v/>
      </c>
    </row>
    <row r="18726" spans="1:6" ht="15.75" customHeight="1">
      <c r="A18726" s="8" t="str">
        <f ca="1">IFERROR(__xludf.DUMMYFUNCTION("GOOGLETRANSLATE(B45288,""en"",""pt"")"),"Murray")</f>
        <v>Murray</v>
      </c>
      <c r="B18726" s="11" t="s">
        <v>29374</v>
      </c>
      <c r="C18726" s="11" t="s">
        <v>27788</v>
      </c>
      <c r="D18726" s="11" t="s">
        <v>27856</v>
      </c>
      <c r="E18726" s="10">
        <v>5778755</v>
      </c>
      <c r="F18726" s="4" t="str">
        <f>IF(B18726=B18725,"",B18726)</f>
        <v/>
      </c>
    </row>
    <row r="18727" spans="1:6" ht="15.75" customHeight="1">
      <c r="A18727" s="16" t="s">
        <v>16260</v>
      </c>
      <c r="B18727" s="15" t="s">
        <v>16261</v>
      </c>
      <c r="C18727" s="16" t="s">
        <v>15704</v>
      </c>
      <c r="D18727" s="16" t="s">
        <v>15715</v>
      </c>
      <c r="E18727" s="2">
        <v>1856392</v>
      </c>
      <c r="F18727" s="4" t="str">
        <f>IF(B18727=B18726,"",B18727)</f>
        <v>Muroto-misakicho</v>
      </c>
    </row>
    <row r="18728" spans="1:6" ht="15.75" customHeight="1">
      <c r="A18728" s="8" t="str">
        <f ca="1">IFERROR(__xludf.DUMMYFUNCTION("GOOGLETRANSLATE(B35411,""en"",""pt"")"),"Muroto-Misakicho")</f>
        <v>Muroto-Misakicho</v>
      </c>
      <c r="B18728" s="11" t="s">
        <v>16261</v>
      </c>
      <c r="C18728" s="11" t="s">
        <v>15704</v>
      </c>
      <c r="D18728" s="11" t="s">
        <v>15715</v>
      </c>
      <c r="E18728" s="10">
        <v>1856392</v>
      </c>
      <c r="F18728" s="4" t="str">
        <f>IF(B18728=B18727,"",B18728)</f>
        <v/>
      </c>
    </row>
    <row r="18729" spans="1:6" ht="15.75" customHeight="1">
      <c r="A18729" s="15" t="s">
        <v>16259</v>
      </c>
      <c r="B18729" s="15" t="s">
        <v>16259</v>
      </c>
      <c r="C18729" s="15" t="s">
        <v>15704</v>
      </c>
      <c r="D18729" s="15" t="s">
        <v>15705</v>
      </c>
      <c r="E18729" s="2">
        <v>2129101</v>
      </c>
      <c r="F18729" s="4" t="str">
        <f>IF(B18729=B18728,"",B18729)</f>
        <v>Muroran</v>
      </c>
    </row>
    <row r="18730" spans="1:6" ht="15.75" customHeight="1">
      <c r="A18730" s="8" t="str">
        <f ca="1">IFERROR(__xludf.DUMMYFUNCTION("GOOGLETRANSLATE(B35838,""en"",""pt"")"),"Muroran")</f>
        <v>Muroran</v>
      </c>
      <c r="B18730" s="11" t="s">
        <v>16259</v>
      </c>
      <c r="C18730" s="11" t="s">
        <v>15704</v>
      </c>
      <c r="D18730" s="11" t="s">
        <v>15705</v>
      </c>
      <c r="E18730" s="10">
        <v>2129101</v>
      </c>
      <c r="F18730" s="4" t="str">
        <f>IF(B18730=B18729,"",B18730)</f>
        <v/>
      </c>
    </row>
    <row r="18731" spans="1:6" ht="15.75" customHeight="1">
      <c r="A18731" s="15" t="s">
        <v>22766</v>
      </c>
      <c r="B18731" s="15" t="s">
        <v>22766</v>
      </c>
      <c r="C18731" s="15" t="s">
        <v>22070</v>
      </c>
      <c r="D18731" s="15" t="s">
        <v>22113</v>
      </c>
      <c r="E18731" s="2">
        <v>524294</v>
      </c>
      <c r="F18731" s="4" t="str">
        <f>IF(B18731=B18730,"",B18731)</f>
        <v>Murom</v>
      </c>
    </row>
    <row r="18732" spans="1:6" ht="15.75" customHeight="1">
      <c r="A18732" s="8" t="str">
        <f ca="1">IFERROR(__xludf.DUMMYFUNCTION("GOOGLETRANSLATE(B40303,""en"",""pt"")"),"Murom")</f>
        <v>Murom</v>
      </c>
      <c r="B18732" s="9" t="s">
        <v>22766</v>
      </c>
      <c r="C18732" s="9" t="s">
        <v>22070</v>
      </c>
      <c r="D18732" s="9" t="s">
        <v>22113</v>
      </c>
      <c r="E18732" s="10">
        <v>524294</v>
      </c>
      <c r="F18732" s="4" t="str">
        <f>IF(B18732=B18731,"",B18732)</f>
        <v/>
      </c>
    </row>
    <row r="18733" spans="1:6" ht="15.75" customHeight="1">
      <c r="A18733" s="16" t="s">
        <v>22143</v>
      </c>
      <c r="B18733" s="15" t="s">
        <v>22143</v>
      </c>
      <c r="C18733" s="16" t="s">
        <v>22070</v>
      </c>
      <c r="D18733" s="16" t="s">
        <v>22143</v>
      </c>
      <c r="E18733" s="2">
        <v>524305</v>
      </c>
      <c r="F18733" s="4" t="str">
        <f>IF(B18733=B18732,"",B18733)</f>
        <v>Murmansk</v>
      </c>
    </row>
    <row r="18734" spans="1:6" ht="15.75" customHeight="1">
      <c r="A18734" s="8" t="str">
        <f ca="1">IFERROR(__xludf.DUMMYFUNCTION("GOOGLETRANSLATE(B40304,""en"",""pt"")"),"Murmansk")</f>
        <v>Murmansk</v>
      </c>
      <c r="B18734" s="11" t="s">
        <v>22143</v>
      </c>
      <c r="C18734" s="11" t="s">
        <v>22070</v>
      </c>
      <c r="D18734" s="11" t="s">
        <v>22143</v>
      </c>
      <c r="E18734" s="10">
        <v>524305</v>
      </c>
      <c r="F18734" s="4" t="str">
        <f>IF(B18734=B18733,"",B18734)</f>
        <v/>
      </c>
    </row>
    <row r="18735" spans="1:6" ht="15.75" customHeight="1">
      <c r="A18735" s="8" t="str">
        <f ca="1">IFERROR(__xludf.DUMMYFUNCTION("GOOGLETRANSLATE(B32717,""en"",""pt"")"),"Murlīganj")</f>
        <v>Murlīganj</v>
      </c>
      <c r="B18735" s="9" t="s">
        <v>33360</v>
      </c>
      <c r="C18735" s="9" t="s">
        <v>10178</v>
      </c>
      <c r="D18735" s="9" t="s">
        <v>10317</v>
      </c>
      <c r="E18735" s="10">
        <v>1262419</v>
      </c>
      <c r="F18735" s="4" t="str">
        <f>IF(B18735=B18734,"",B18735)</f>
        <v>Murlīganj</v>
      </c>
    </row>
    <row r="18736" spans="1:6" ht="15.75" customHeight="1">
      <c r="A18736" s="16" t="s">
        <v>12467</v>
      </c>
      <c r="B18736" s="15" t="s">
        <v>12468</v>
      </c>
      <c r="C18736" s="16" t="s">
        <v>10178</v>
      </c>
      <c r="D18736" s="16" t="s">
        <v>10317</v>
      </c>
      <c r="E18736" s="2">
        <v>1262419</v>
      </c>
      <c r="F18736" s="4" t="str">
        <f>IF(B18736=B18735,"",B18736)</f>
        <v>MurlÄ«ganj</v>
      </c>
    </row>
    <row r="18737" spans="1:6" ht="15.75" customHeight="1">
      <c r="A18737" s="15" t="s">
        <v>2936</v>
      </c>
      <c r="B18737" s="15" t="s">
        <v>2936</v>
      </c>
      <c r="C18737" s="15" t="s">
        <v>1905</v>
      </c>
      <c r="D18737" s="15" t="s">
        <v>1947</v>
      </c>
      <c r="E18737" s="2">
        <v>3456483</v>
      </c>
      <c r="F18737" s="4" t="str">
        <f>IF(B18737=B18736,"",B18737)</f>
        <v>Muritiba</v>
      </c>
    </row>
    <row r="18738" spans="1:6" ht="15.75" customHeight="1">
      <c r="A18738" s="8" t="str">
        <f ca="1">IFERROR(__xludf.DUMMYFUNCTION("GOOGLETRANSLATE(B24794,""en"",""pt"")"),"Muritiba")</f>
        <v>Muritiba</v>
      </c>
      <c r="B18738" s="11" t="s">
        <v>2936</v>
      </c>
      <c r="C18738" s="11" t="s">
        <v>1905</v>
      </c>
      <c r="D18738" s="11" t="s">
        <v>1947</v>
      </c>
      <c r="E18738" s="10">
        <v>3456483</v>
      </c>
      <c r="F18738" s="4" t="str">
        <f>IF(B18738=B18737,"",B18738)</f>
        <v/>
      </c>
    </row>
    <row r="18739" spans="1:6" ht="15.75" customHeight="1">
      <c r="A18739" s="15" t="s">
        <v>25709</v>
      </c>
      <c r="B18739" s="15" t="s">
        <v>25709</v>
      </c>
      <c r="C18739" s="15" t="s">
        <v>25560</v>
      </c>
      <c r="D18739" s="15" t="s">
        <v>25574</v>
      </c>
      <c r="E18739" s="2">
        <v>152497</v>
      </c>
      <c r="F18739" s="4" t="str">
        <f>IF(B18739=B18738,"",B18739)</f>
        <v>Muriti</v>
      </c>
    </row>
    <row r="18740" spans="1:6" ht="15.75" customHeight="1">
      <c r="A18740" s="8" t="str">
        <f ca="1">IFERROR(__xludf.DUMMYFUNCTION("GOOGLETRANSLATE(B42331,""en"",""pt"")"),"Muriti")</f>
        <v>Muriti</v>
      </c>
      <c r="B18740" s="11" t="s">
        <v>25709</v>
      </c>
      <c r="C18740" s="11" t="s">
        <v>25560</v>
      </c>
      <c r="D18740" s="11" t="s">
        <v>25574</v>
      </c>
      <c r="E18740" s="10">
        <v>152497</v>
      </c>
      <c r="F18740" s="4" t="str">
        <f>IF(B18740=B18739,"",B18740)</f>
        <v/>
      </c>
    </row>
    <row r="18741" spans="1:6" ht="15.75" customHeight="1">
      <c r="A18741" s="8" t="str">
        <f ca="1">IFERROR(__xludf.DUMMYFUNCTION("GOOGLETRANSLATE(B38976,""en"",""pt"")"),"Murīdke")</f>
        <v>Murīdke</v>
      </c>
      <c r="B18741" s="9" t="s">
        <v>34949</v>
      </c>
      <c r="C18741" s="9" t="s">
        <v>19808</v>
      </c>
      <c r="D18741" s="9" t="s">
        <v>10184</v>
      </c>
      <c r="E18741" s="10">
        <v>1169692</v>
      </c>
      <c r="F18741" s="4" t="str">
        <f>IF(B18741=B18740,"",B18741)</f>
        <v>Murīdke</v>
      </c>
    </row>
    <row r="18742" spans="1:6" ht="15.75" customHeight="1">
      <c r="A18742" s="15" t="s">
        <v>2935</v>
      </c>
      <c r="B18742" s="15" t="s">
        <v>2935</v>
      </c>
      <c r="C18742" s="15" t="s">
        <v>1905</v>
      </c>
      <c r="D18742" s="15" t="s">
        <v>2015</v>
      </c>
      <c r="E18742" s="2">
        <v>3394116</v>
      </c>
      <c r="F18742" s="4" t="str">
        <f>IF(B18742=B18741,"",B18742)</f>
        <v>Murici</v>
      </c>
    </row>
    <row r="18743" spans="1:6" ht="15.75" customHeight="1">
      <c r="A18743" s="8" t="str">
        <f ca="1">IFERROR(__xludf.DUMMYFUNCTION("GOOGLETRANSLATE(B24259,""en"",""pt"")"),"Murici")</f>
        <v>Murici</v>
      </c>
      <c r="B18743" s="9" t="s">
        <v>2935</v>
      </c>
      <c r="C18743" s="9" t="s">
        <v>1905</v>
      </c>
      <c r="D18743" s="9" t="s">
        <v>2015</v>
      </c>
      <c r="E18743" s="10">
        <v>3394116</v>
      </c>
      <c r="F18743" s="4" t="str">
        <f>IF(B18743=B18742,"",B18743)</f>
        <v/>
      </c>
    </row>
    <row r="18744" spans="1:6" ht="15.75" customHeight="1">
      <c r="A18744" s="15" t="s">
        <v>20913</v>
      </c>
      <c r="B18744" s="15" t="s">
        <v>20913</v>
      </c>
      <c r="C18744" s="15" t="s">
        <v>20598</v>
      </c>
      <c r="D18744" s="15" t="s">
        <v>20752</v>
      </c>
      <c r="E18744" s="2">
        <v>1699054</v>
      </c>
      <c r="F18744" s="4" t="str">
        <f>IF(B18744=B18743,"",B18744)</f>
        <v>Muricay</v>
      </c>
    </row>
    <row r="18745" spans="1:6" ht="15.75" customHeight="1">
      <c r="A18745" s="8" t="str">
        <f ca="1">IFERROR(__xludf.DUMMYFUNCTION("GOOGLETRANSLATE(B38594,""en"",""pt"")"),"Muricay")</f>
        <v>Muricay</v>
      </c>
      <c r="B18745" s="9" t="s">
        <v>20913</v>
      </c>
      <c r="C18745" s="9" t="s">
        <v>20598</v>
      </c>
      <c r="D18745" s="9" t="s">
        <v>20752</v>
      </c>
      <c r="E18745" s="10">
        <v>1699054</v>
      </c>
      <c r="F18745" s="4" t="str">
        <f>IF(B18745=B18744,"",B18745)</f>
        <v/>
      </c>
    </row>
    <row r="18746" spans="1:6" ht="15.75" customHeight="1">
      <c r="A18746" s="8" t="str">
        <f ca="1">IFERROR(__xludf.DUMMYFUNCTION("GOOGLETRANSLATE(B24795,""en"",""pt"")"),"Muriaé")</f>
        <v>Muriaé</v>
      </c>
      <c r="B18746" s="11" t="s">
        <v>2933</v>
      </c>
      <c r="C18746" s="11" t="s">
        <v>1905</v>
      </c>
      <c r="D18746" s="11" t="s">
        <v>1917</v>
      </c>
      <c r="E18746" s="10">
        <v>3456500</v>
      </c>
      <c r="F18746" s="4" t="str">
        <f>IF(B18746=B18745,"",B18746)</f>
        <v>Muriaé</v>
      </c>
    </row>
    <row r="18747" spans="1:6" ht="15.75" customHeight="1">
      <c r="A18747" s="15" t="s">
        <v>2933</v>
      </c>
      <c r="B18747" s="15" t="s">
        <v>2934</v>
      </c>
      <c r="C18747" s="15" t="s">
        <v>1905</v>
      </c>
      <c r="D18747" s="15" t="s">
        <v>1917</v>
      </c>
      <c r="E18747" s="2">
        <v>3456500</v>
      </c>
      <c r="F18747" s="4" t="str">
        <f>IF(B18747=B18746,"",B18747)</f>
        <v>MuriaÃ©</v>
      </c>
    </row>
    <row r="18748" spans="1:6" ht="15.75" customHeight="1">
      <c r="A18748" s="16" t="s">
        <v>29373</v>
      </c>
      <c r="B18748" s="15" t="s">
        <v>29373</v>
      </c>
      <c r="C18748" s="16" t="s">
        <v>27788</v>
      </c>
      <c r="D18748" s="16" t="s">
        <v>27957</v>
      </c>
      <c r="E18748" s="2">
        <v>4644312</v>
      </c>
      <c r="F18748" s="4" t="str">
        <f>IF(B18748=B18747,"",B18748)</f>
        <v>Murfreesboro</v>
      </c>
    </row>
    <row r="18749" spans="1:6" ht="15.75" customHeight="1">
      <c r="A18749" s="8" t="str">
        <f ca="1">IFERROR(__xludf.DUMMYFUNCTION("GOOGLETRANSLATE(B43638,""en"",""pt"")"),"Murfreesboro")</f>
        <v>Murfreesboro</v>
      </c>
      <c r="B18749" s="11" t="s">
        <v>29373</v>
      </c>
      <c r="C18749" s="11" t="s">
        <v>27788</v>
      </c>
      <c r="D18749" s="11" t="s">
        <v>27957</v>
      </c>
      <c r="E18749" s="10">
        <v>4644312</v>
      </c>
      <c r="F18749" s="4" t="str">
        <f>IF(B18749=B18748,"",B18749)</f>
        <v/>
      </c>
    </row>
    <row r="18750" spans="1:6" ht="15.75" customHeight="1">
      <c r="A18750" s="15" t="s">
        <v>7627</v>
      </c>
      <c r="B18750" s="15" t="s">
        <v>7628</v>
      </c>
      <c r="C18750" s="15" t="s">
        <v>7052</v>
      </c>
      <c r="D18750" s="15" t="s">
        <v>7082</v>
      </c>
      <c r="E18750" s="2">
        <v>2991153</v>
      </c>
      <c r="F18750" s="4" t="str">
        <f>IF(B18750=B18749,"",B18750)</f>
        <v>Muret</v>
      </c>
    </row>
    <row r="18751" spans="1:6" ht="15.75" customHeight="1">
      <c r="A18751" s="8" t="str">
        <f ca="1">IFERROR(__xludf.DUMMYFUNCTION("GOOGLETRANSLATE(B29890,""en"",""pt"")"),"MURET")</f>
        <v>MURET</v>
      </c>
      <c r="B18751" s="11" t="s">
        <v>7628</v>
      </c>
      <c r="C18751" s="11" t="s">
        <v>7052</v>
      </c>
      <c r="D18751" s="11" t="s">
        <v>32547</v>
      </c>
      <c r="E18751" s="10">
        <v>2991153</v>
      </c>
      <c r="F18751" s="4" t="str">
        <f>IF(B18751=B18750,"",B18751)</f>
        <v/>
      </c>
    </row>
    <row r="18752" spans="1:6" ht="15.75" customHeight="1">
      <c r="A18752" s="15" t="s">
        <v>20912</v>
      </c>
      <c r="B18752" s="15" t="s">
        <v>20912</v>
      </c>
      <c r="C18752" s="15" t="s">
        <v>20598</v>
      </c>
      <c r="D18752" s="15" t="s">
        <v>20627</v>
      </c>
      <c r="E18752" s="2">
        <v>1699060</v>
      </c>
      <c r="F18752" s="4" t="str">
        <f>IF(B18752=B18751,"",B18752)</f>
        <v>Murcia</v>
      </c>
    </row>
    <row r="18753" spans="1:6" ht="15.75" customHeight="1">
      <c r="A18753" s="15" t="s">
        <v>20912</v>
      </c>
      <c r="B18753" s="15" t="s">
        <v>20912</v>
      </c>
      <c r="C18753" s="15" t="s">
        <v>24200</v>
      </c>
      <c r="D18753" s="15" t="s">
        <v>20912</v>
      </c>
      <c r="E18753" s="2">
        <v>2513416</v>
      </c>
      <c r="F18753" s="4" t="str">
        <f>IF(B18753=B18752,"",B18753)</f>
        <v/>
      </c>
    </row>
    <row r="18754" spans="1:6" ht="15.75" customHeight="1">
      <c r="A18754" s="8" t="str">
        <f ca="1">IFERROR(__xludf.DUMMYFUNCTION("GOOGLETRANSLATE(B29042,""en"",""pt"")"),"Murcia")</f>
        <v>Murcia</v>
      </c>
      <c r="B18754" s="9" t="s">
        <v>20912</v>
      </c>
      <c r="C18754" s="9" t="s">
        <v>24200</v>
      </c>
      <c r="D18754" s="9" t="s">
        <v>20912</v>
      </c>
      <c r="E18754" s="10">
        <v>2513416</v>
      </c>
      <c r="F18754" s="4" t="str">
        <f>IF(B18754=B18753,"",B18754)</f>
        <v/>
      </c>
    </row>
    <row r="18755" spans="1:6" ht="15.75" customHeight="1">
      <c r="A18755" s="8" t="str">
        <f ca="1">IFERROR(__xludf.DUMMYFUNCTION("GOOGLETRANSLATE(B38595,""en"",""pt"")"),"Murcia")</f>
        <v>Murcia</v>
      </c>
      <c r="B18755" s="11" t="s">
        <v>20912</v>
      </c>
      <c r="C18755" s="11" t="s">
        <v>20598</v>
      </c>
      <c r="D18755" s="11" t="s">
        <v>20627</v>
      </c>
      <c r="E18755" s="10">
        <v>1699060</v>
      </c>
      <c r="F18755" s="4" t="str">
        <f>IF(B18755=B18754,"",B18755)</f>
        <v/>
      </c>
    </row>
    <row r="18756" spans="1:6" ht="15.75" customHeight="1">
      <c r="A18756" s="8" t="str">
        <f ca="1">IFERROR(__xludf.DUMMYFUNCTION("GOOGLETRANSLATE(B32719,""en"",""pt"")"),"Murbād")</f>
        <v>Murbād</v>
      </c>
      <c r="B18756" s="9" t="s">
        <v>33361</v>
      </c>
      <c r="C18756" s="9" t="s">
        <v>10178</v>
      </c>
      <c r="D18756" s="9" t="s">
        <v>10214</v>
      </c>
      <c r="E18756" s="10">
        <v>1262444</v>
      </c>
      <c r="F18756" s="4" t="str">
        <f>IF(B18756=B18755,"",B18756)</f>
        <v>Murbād</v>
      </c>
    </row>
    <row r="18757" spans="1:6" ht="15.75" customHeight="1">
      <c r="A18757" s="15" t="s">
        <v>12465</v>
      </c>
      <c r="B18757" s="15" t="s">
        <v>12466</v>
      </c>
      <c r="C18757" s="15" t="s">
        <v>10178</v>
      </c>
      <c r="D18757" s="15" t="s">
        <v>10214</v>
      </c>
      <c r="E18757" s="2">
        <v>1262444</v>
      </c>
      <c r="F18757" s="4" t="str">
        <f>IF(B18757=B18756,"",B18757)</f>
        <v>MurbÄd</v>
      </c>
    </row>
    <row r="18758" spans="1:6" ht="15.75" customHeight="1">
      <c r="A18758" s="16" t="s">
        <v>22764</v>
      </c>
      <c r="B18758" s="15" t="s">
        <v>22765</v>
      </c>
      <c r="C18758" s="16" t="s">
        <v>22070</v>
      </c>
      <c r="D18758" s="16" t="s">
        <v>22414</v>
      </c>
      <c r="E18758" s="2">
        <v>1540711</v>
      </c>
      <c r="F18758" s="4" t="str">
        <f>IF(B18758=B18757,"",B18758)</f>
        <v>Muravlenko</v>
      </c>
    </row>
    <row r="18759" spans="1:6" ht="15.75" customHeight="1">
      <c r="A18759" s="8" t="str">
        <f ca="1">IFERROR(__xludf.DUMMYFUNCTION("GOOGLETRANSLATE(B40888,""en"",""pt"")"),"MURAVLENKO")</f>
        <v>MURAVLENKO</v>
      </c>
      <c r="B18759" s="11" t="s">
        <v>22765</v>
      </c>
      <c r="C18759" s="11" t="s">
        <v>22070</v>
      </c>
      <c r="D18759" s="11" t="s">
        <v>22414</v>
      </c>
      <c r="E18759" s="10">
        <v>1540711</v>
      </c>
      <c r="F18759" s="4" t="str">
        <f>IF(B18759=B18758,"",B18759)</f>
        <v/>
      </c>
    </row>
    <row r="18760" spans="1:6" ht="15.75" customHeight="1">
      <c r="A18760" s="8" t="str">
        <f ca="1">IFERROR(__xludf.DUMMYFUNCTION("GOOGLETRANSLATE(B42245,""en"",""pt"")"),"Muratpaşa")</f>
        <v>Muratpaşa</v>
      </c>
      <c r="B18760" s="9" t="s">
        <v>35981</v>
      </c>
      <c r="C18760" s="9" t="s">
        <v>26201</v>
      </c>
      <c r="D18760" s="9" t="s">
        <v>26308</v>
      </c>
      <c r="E18760" s="10">
        <v>8074174</v>
      </c>
      <c r="F18760" s="4" t="str">
        <f>IF(B18760=B18759,"",B18760)</f>
        <v>Muratpaşa</v>
      </c>
    </row>
    <row r="18761" spans="1:6" ht="15.75" customHeight="1">
      <c r="A18761" s="16" t="s">
        <v>26640</v>
      </c>
      <c r="B18761" s="15" t="s">
        <v>26641</v>
      </c>
      <c r="C18761" s="16" t="s">
        <v>26201</v>
      </c>
      <c r="D18761" s="16" t="s">
        <v>26308</v>
      </c>
      <c r="E18761" s="2">
        <v>8074174</v>
      </c>
      <c r="F18761" s="4" t="str">
        <f>IF(B18761=B18760,"",B18761)</f>
        <v>MuratpaÅŸa</v>
      </c>
    </row>
    <row r="18762" spans="1:6" ht="15.75" customHeight="1">
      <c r="A18762" s="16" t="s">
        <v>3831</v>
      </c>
      <c r="B18762" s="15" t="s">
        <v>3831</v>
      </c>
      <c r="C18762" s="16" t="s">
        <v>3825</v>
      </c>
      <c r="D18762" s="16" t="s">
        <v>3831</v>
      </c>
      <c r="E18762" s="2">
        <v>425551</v>
      </c>
      <c r="F18762" s="4" t="str">
        <f>IF(B18762=B18761,"",B18762)</f>
        <v>Muramvya</v>
      </c>
    </row>
    <row r="18763" spans="1:6" ht="15.75" customHeight="1">
      <c r="A18763" s="8" t="str">
        <f ca="1">IFERROR(__xludf.DUMMYFUNCTION("GOOGLETRANSLATE(B24073,""en"",""pt"")"),"Muramvya")</f>
        <v>Muramvya</v>
      </c>
      <c r="B18763" s="9" t="s">
        <v>3831</v>
      </c>
      <c r="C18763" s="9" t="s">
        <v>3825</v>
      </c>
      <c r="D18763" s="9" t="s">
        <v>3831</v>
      </c>
      <c r="E18763" s="10">
        <v>425551</v>
      </c>
      <c r="F18763" s="4" t="str">
        <f>IF(B18763=B18762,"",B18763)</f>
        <v/>
      </c>
    </row>
    <row r="18764" spans="1:6" ht="15.75" customHeight="1">
      <c r="A18764" s="16" t="s">
        <v>16258</v>
      </c>
      <c r="B18764" s="15" t="s">
        <v>16258</v>
      </c>
      <c r="C18764" s="16" t="s">
        <v>15704</v>
      </c>
      <c r="D18764" s="16" t="s">
        <v>15818</v>
      </c>
      <c r="E18764" s="2">
        <v>1856426</v>
      </c>
      <c r="F18764" s="4" t="str">
        <f>IF(B18764=B18763,"",B18764)</f>
        <v>Muramatsu</v>
      </c>
    </row>
    <row r="18765" spans="1:6" ht="15.75" customHeight="1">
      <c r="A18765" s="8" t="str">
        <f ca="1">IFERROR(__xludf.DUMMYFUNCTION("GOOGLETRANSLATE(B35412,""en"",""pt"")"),"Muramatsu")</f>
        <v>Muramatsu</v>
      </c>
      <c r="B18765" s="9" t="s">
        <v>16258</v>
      </c>
      <c r="C18765" s="9" t="s">
        <v>15704</v>
      </c>
      <c r="D18765" s="9" t="s">
        <v>15818</v>
      </c>
      <c r="E18765" s="10">
        <v>1856426</v>
      </c>
      <c r="F18765" s="4" t="str">
        <f>IF(B18765=B18764,"",B18765)</f>
        <v/>
      </c>
    </row>
    <row r="18766" spans="1:6" ht="15.75" customHeight="1">
      <c r="A18766" s="16" t="s">
        <v>16257</v>
      </c>
      <c r="B18766" s="15" t="s">
        <v>16257</v>
      </c>
      <c r="C18766" s="16" t="s">
        <v>15704</v>
      </c>
      <c r="D18766" s="16" t="s">
        <v>15818</v>
      </c>
      <c r="E18766" s="2">
        <v>1856434</v>
      </c>
      <c r="F18766" s="4" t="str">
        <f>IF(B18766=B18765,"",B18766)</f>
        <v>Murakami</v>
      </c>
    </row>
    <row r="18767" spans="1:6" ht="15.75" customHeight="1">
      <c r="A18767" s="8" t="str">
        <f ca="1">IFERROR(__xludf.DUMMYFUNCTION("GOOGLETRANSLATE(B35413,""en"",""pt"")"),"Murakami")</f>
        <v>Murakami</v>
      </c>
      <c r="B18767" s="11" t="s">
        <v>16257</v>
      </c>
      <c r="C18767" s="11" t="s">
        <v>15704</v>
      </c>
      <c r="D18767" s="11" t="s">
        <v>15818</v>
      </c>
      <c r="E18767" s="10">
        <v>1856434</v>
      </c>
      <c r="F18767" s="4" t="str">
        <f>IF(B18767=B18766,"",B18767)</f>
        <v/>
      </c>
    </row>
    <row r="18768" spans="1:6" ht="15.75" customHeight="1">
      <c r="A18768" s="8" t="str">
        <f ca="1">IFERROR(__xludf.DUMMYFUNCTION("GOOGLETRANSLATE(B32720,""en"",""pt"")"),"Murādnagar")</f>
        <v>Murādnagar</v>
      </c>
      <c r="B18768" s="9" t="s">
        <v>33362</v>
      </c>
      <c r="C18768" s="9" t="s">
        <v>10178</v>
      </c>
      <c r="D18768" s="9" t="s">
        <v>10193</v>
      </c>
      <c r="E18768" s="10">
        <v>1262453</v>
      </c>
      <c r="F18768" s="4" t="str">
        <f>IF(B18768=B18767,"",B18768)</f>
        <v>Murādnagar</v>
      </c>
    </row>
    <row r="18769" spans="1:6" ht="15.75" customHeight="1">
      <c r="A18769" s="16" t="s">
        <v>12463</v>
      </c>
      <c r="B18769" s="15" t="s">
        <v>12464</v>
      </c>
      <c r="C18769" s="16" t="s">
        <v>10178</v>
      </c>
      <c r="D18769" s="16" t="s">
        <v>10193</v>
      </c>
      <c r="E18769" s="2">
        <v>1262453</v>
      </c>
      <c r="F18769" s="4" t="str">
        <f>IF(B18769=B18768,"",B18769)</f>
        <v>MurÄdnagar</v>
      </c>
    </row>
    <row r="18770" spans="1:6" ht="15.75" customHeight="1">
      <c r="A18770" s="16" t="s">
        <v>20116</v>
      </c>
      <c r="B18770" s="15" t="s">
        <v>20117</v>
      </c>
      <c r="C18770" s="16" t="s">
        <v>19808</v>
      </c>
      <c r="D18770" s="16" t="s">
        <v>10184</v>
      </c>
      <c r="E18770" s="2">
        <v>1169692</v>
      </c>
      <c r="F18770" s="4" t="str">
        <f>IF(B18770=B18769,"",B18770)</f>
        <v>MurÄ«dke</v>
      </c>
    </row>
    <row r="18771" spans="1:6" ht="15.75" customHeight="1">
      <c r="A18771" s="15" t="s">
        <v>14051</v>
      </c>
      <c r="B18771" s="15" t="s">
        <v>14051</v>
      </c>
      <c r="C18771" s="15" t="s">
        <v>13800</v>
      </c>
      <c r="D18771" s="15" t="s">
        <v>14026</v>
      </c>
      <c r="E18771" s="2">
        <v>1634678</v>
      </c>
      <c r="F18771" s="4" t="str">
        <f>IF(B18771=B18770,"",B18771)</f>
        <v>Muntok</v>
      </c>
    </row>
    <row r="18772" spans="1:6" ht="15.75" customHeight="1">
      <c r="A18772" s="8" t="str">
        <f ca="1">IFERROR(__xludf.DUMMYFUNCTION("GOOGLETRANSLATE(B31532,""en"",""pt"")"),"Muntok")</f>
        <v>Muntok</v>
      </c>
      <c r="B18772" s="9" t="s">
        <v>14051</v>
      </c>
      <c r="C18772" s="9" t="s">
        <v>13800</v>
      </c>
      <c r="D18772" s="9" t="s">
        <v>32911</v>
      </c>
      <c r="E18772" s="10">
        <v>1634678</v>
      </c>
      <c r="F18772" s="4" t="str">
        <f>IF(B18772=B18771,"",B18772)</f>
        <v/>
      </c>
    </row>
    <row r="18773" spans="1:6" ht="15.75" customHeight="1">
      <c r="A18773" s="15" t="s">
        <v>14050</v>
      </c>
      <c r="B18773" s="15" t="s">
        <v>14050</v>
      </c>
      <c r="C18773" s="15" t="s">
        <v>13800</v>
      </c>
      <c r="D18773" s="15" t="s">
        <v>13803</v>
      </c>
      <c r="E18773" s="2">
        <v>1634680</v>
      </c>
      <c r="F18773" s="4" t="str">
        <f>IF(B18773=B18772,"",B18773)</f>
        <v>Muntilan</v>
      </c>
    </row>
    <row r="18774" spans="1:6" ht="15.75" customHeight="1">
      <c r="A18774" s="8" t="str">
        <f ca="1">IFERROR(__xludf.DUMMYFUNCTION("GOOGLETRANSLATE(B31533,""en"",""pt"")"),"Muntilan")</f>
        <v>Muntilan</v>
      </c>
      <c r="B18774" s="9" t="s">
        <v>14050</v>
      </c>
      <c r="C18774" s="9" t="s">
        <v>13800</v>
      </c>
      <c r="D18774" s="9" t="s">
        <v>13803</v>
      </c>
      <c r="E18774" s="10">
        <v>1634680</v>
      </c>
      <c r="F18774" s="4" t="str">
        <f>IF(B18774=B18773,"",B18774)</f>
        <v/>
      </c>
    </row>
    <row r="18775" spans="1:6" ht="15.75" customHeight="1">
      <c r="A18775" s="15" t="s">
        <v>8868</v>
      </c>
      <c r="B18775" s="15" t="s">
        <v>8869</v>
      </c>
      <c r="C18775" s="15" t="s">
        <v>8028</v>
      </c>
      <c r="D18775" s="15" t="s">
        <v>8044</v>
      </c>
      <c r="E18775" s="2">
        <v>2867714</v>
      </c>
      <c r="F18775" s="4" t="str">
        <f>IF(B18775=B18774,"",B18775)</f>
        <v>Münster</v>
      </c>
    </row>
    <row r="18776" spans="1:6" ht="15.75" customHeight="1">
      <c r="A18776" s="8" t="str">
        <f ca="1">IFERROR(__xludf.DUMMYFUNCTION("GOOGLETRANSLATE(B27737,""en"",""pt"")"),"Münster")</f>
        <v>Münster</v>
      </c>
      <c r="B18776" s="9" t="s">
        <v>8869</v>
      </c>
      <c r="C18776" s="9" t="s">
        <v>8028</v>
      </c>
      <c r="D18776" s="9" t="s">
        <v>8029</v>
      </c>
      <c r="E18776" s="10">
        <v>2867543</v>
      </c>
      <c r="F18776" s="4" t="str">
        <f>IF(B18776=B18775,"",B18776)</f>
        <v/>
      </c>
    </row>
    <row r="18777" spans="1:6" ht="15.75" customHeight="1">
      <c r="A18777" s="15" t="s">
        <v>8868</v>
      </c>
      <c r="B18777" s="15" t="s">
        <v>8868</v>
      </c>
      <c r="C18777" s="15" t="s">
        <v>8028</v>
      </c>
      <c r="D18777" s="15" t="s">
        <v>8034</v>
      </c>
      <c r="E18777" s="2">
        <v>2867542</v>
      </c>
      <c r="F18777" s="4" t="str">
        <f>IF(B18777=B18776,"",B18777)</f>
        <v>Munster</v>
      </c>
    </row>
    <row r="18778" spans="1:6" ht="15.75" customHeight="1">
      <c r="A18778" s="15" t="s">
        <v>8868</v>
      </c>
      <c r="B18778" s="15" t="s">
        <v>8868</v>
      </c>
      <c r="C18778" s="15" t="s">
        <v>27788</v>
      </c>
      <c r="D18778" s="15" t="s">
        <v>27869</v>
      </c>
      <c r="E18778" s="2">
        <v>4924014</v>
      </c>
      <c r="F18778" s="4" t="str">
        <f>IF(B18778=B18777,"",B18778)</f>
        <v/>
      </c>
    </row>
    <row r="18779" spans="1:6" ht="15.75" customHeight="1">
      <c r="A18779" s="8" t="str">
        <f ca="1">IFERROR(__xludf.DUMMYFUNCTION("GOOGLETRANSLATE(B27736,""en"",""pt"")"),"Munster")</f>
        <v>Munster</v>
      </c>
      <c r="B18779" s="11" t="s">
        <v>8868</v>
      </c>
      <c r="C18779" s="11" t="s">
        <v>8028</v>
      </c>
      <c r="D18779" s="11" t="s">
        <v>8034</v>
      </c>
      <c r="E18779" s="10">
        <v>2867542</v>
      </c>
      <c r="F18779" s="4" t="str">
        <f>IF(B18779=B18778,"",B18779)</f>
        <v/>
      </c>
    </row>
    <row r="18780" spans="1:6" ht="15.75" customHeight="1">
      <c r="A18780" s="8" t="str">
        <f ca="1">IFERROR(__xludf.DUMMYFUNCTION("GOOGLETRANSLATE(B43933,""en"",""pt"")"),"Munster")</f>
        <v>Munster</v>
      </c>
      <c r="B18780" s="9" t="s">
        <v>8868</v>
      </c>
      <c r="C18780" s="9" t="s">
        <v>27788</v>
      </c>
      <c r="D18780" s="9" t="s">
        <v>27869</v>
      </c>
      <c r="E18780" s="10">
        <v>4924014</v>
      </c>
      <c r="F18780" s="4" t="str">
        <f>IF(B18780=B18779,"",B18780)</f>
        <v/>
      </c>
    </row>
    <row r="18781" spans="1:6" ht="15.75" customHeight="1">
      <c r="A18781" s="15" t="s">
        <v>24120</v>
      </c>
      <c r="B18781" s="15" t="s">
        <v>24120</v>
      </c>
      <c r="C18781" s="15" t="s">
        <v>24024</v>
      </c>
      <c r="D18781" s="15" t="s">
        <v>24028</v>
      </c>
      <c r="E18781" s="2">
        <v>1840862</v>
      </c>
      <c r="F18781" s="4" t="str">
        <f>IF(B18781=B18780,"",B18781)</f>
        <v>Munsan</v>
      </c>
    </row>
    <row r="18782" spans="1:6" ht="15.75" customHeight="1">
      <c r="A18782" s="8" t="str">
        <f ca="1">IFERROR(__xludf.DUMMYFUNCTION("GOOGLETRANSLATE(B36092,""en"",""pt"")"),"Munsan")</f>
        <v>Munsan</v>
      </c>
      <c r="B18782" s="9" t="s">
        <v>24120</v>
      </c>
      <c r="C18782" s="9" t="s">
        <v>24024</v>
      </c>
      <c r="D18782" s="9" t="s">
        <v>24028</v>
      </c>
      <c r="E18782" s="10">
        <v>1840862</v>
      </c>
      <c r="F18782" s="4" t="str">
        <f>IF(B18782=B18781,"",B18782)</f>
        <v/>
      </c>
    </row>
    <row r="18783" spans="1:6" ht="15.75" customHeight="1">
      <c r="A18783" s="8" t="str">
        <f ca="1">IFERROR(__xludf.DUMMYFUNCTION("GOOGLETRANSLATE(B38596,""en"",""pt"")"),"Muñoz")</f>
        <v>Muñoz</v>
      </c>
      <c r="B18783" s="11" t="s">
        <v>34881</v>
      </c>
      <c r="C18783" s="11" t="s">
        <v>20598</v>
      </c>
      <c r="D18783" s="11" t="s">
        <v>20599</v>
      </c>
      <c r="E18783" s="10">
        <v>1699088</v>
      </c>
      <c r="F18783" s="4" t="str">
        <f>IF(B18783=B18782,"",B18783)</f>
        <v>Muñoz</v>
      </c>
    </row>
    <row r="18784" spans="1:6" ht="15.75" customHeight="1">
      <c r="A18784" s="15" t="s">
        <v>12462</v>
      </c>
      <c r="B18784" s="15" t="s">
        <v>12462</v>
      </c>
      <c r="C18784" s="15" t="s">
        <v>10178</v>
      </c>
      <c r="D18784" s="15" t="s">
        <v>10246</v>
      </c>
      <c r="E18784" s="2">
        <v>1262463</v>
      </c>
      <c r="F18784" s="4" t="str">
        <f>IF(B18784=B18783,"",B18784)</f>
        <v>Munnar</v>
      </c>
    </row>
    <row r="18785" spans="1:6" ht="15.75" customHeight="1">
      <c r="A18785" s="8" t="str">
        <f ca="1">IFERROR(__xludf.DUMMYFUNCTION("GOOGLETRANSLATE(B32721,""en"",""pt"")"),"Munnar")</f>
        <v>Munnar</v>
      </c>
      <c r="B18785" s="11" t="s">
        <v>12462</v>
      </c>
      <c r="C18785" s="11" t="s">
        <v>10178</v>
      </c>
      <c r="D18785" s="11" t="s">
        <v>10246</v>
      </c>
      <c r="E18785" s="10">
        <v>1262463</v>
      </c>
      <c r="F18785" s="4" t="str">
        <f>IF(B18785=B18784,"",B18785)</f>
        <v/>
      </c>
    </row>
    <row r="18786" spans="1:6" ht="15.75" customHeight="1">
      <c r="A18786" s="16" t="s">
        <v>5538</v>
      </c>
      <c r="B18786" s="15" t="s">
        <v>5538</v>
      </c>
      <c r="C18786" s="16" t="s">
        <v>5348</v>
      </c>
      <c r="D18786" s="16" t="s">
        <v>5362</v>
      </c>
      <c r="E18786" s="2">
        <v>3685949</v>
      </c>
      <c r="F18786" s="4" t="str">
        <f>IF(B18786=B18785,"",B18786)</f>
        <v>Municipio de Copacabana</v>
      </c>
    </row>
    <row r="18787" spans="1:6" ht="15.75" customHeight="1">
      <c r="A18787" s="8" t="str">
        <f ca="1">IFERROR(__xludf.DUMMYFUNCTION("GOOGLETRANSLATE(B27002,""en"",""pt"")"),"Municipio de Copacabana")</f>
        <v>Municipio de Copacabana</v>
      </c>
      <c r="B18787" s="11" t="s">
        <v>5538</v>
      </c>
      <c r="C18787" s="11" t="s">
        <v>5348</v>
      </c>
      <c r="D18787" s="11" t="s">
        <v>5362</v>
      </c>
      <c r="E18787" s="10">
        <v>3685949</v>
      </c>
      <c r="F18787" s="4" t="str">
        <f>IF(B18787=B18786,"",B18787)</f>
        <v/>
      </c>
    </row>
    <row r="18788" spans="1:6" ht="15.75" customHeight="1">
      <c r="A18788" s="15" t="s">
        <v>8865</v>
      </c>
      <c r="B18788" s="15" t="s">
        <v>8866</v>
      </c>
      <c r="C18788" s="15" t="s">
        <v>8028</v>
      </c>
      <c r="D18788" s="15" t="s">
        <v>8044</v>
      </c>
      <c r="E18788" s="2">
        <v>2867714</v>
      </c>
      <c r="F18788" s="4" t="str">
        <f>IF(B18788=B18787,"",B18788)</f>
        <v>Munich</v>
      </c>
    </row>
    <row r="18789" spans="1:6" ht="15.75" customHeight="1">
      <c r="A18789" s="8" t="str">
        <f ca="1">IFERROR(__xludf.DUMMYFUNCTION("GOOGLETRANSLATE(B27739,""en"",""pt"")"),"Munique")</f>
        <v>Munique</v>
      </c>
      <c r="B18789" s="11" t="s">
        <v>8866</v>
      </c>
      <c r="C18789" s="11" t="s">
        <v>8028</v>
      </c>
      <c r="D18789" s="11" t="s">
        <v>8044</v>
      </c>
      <c r="E18789" s="10">
        <v>2867714</v>
      </c>
      <c r="F18789" s="4" t="str">
        <f>IF(B18789=B18788,"",B18789)</f>
        <v/>
      </c>
    </row>
    <row r="18790" spans="1:6" ht="15.75" customHeight="1">
      <c r="A18790" s="16" t="s">
        <v>24119</v>
      </c>
      <c r="B18790" s="15" t="s">
        <v>24119</v>
      </c>
      <c r="C18790" s="16" t="s">
        <v>24024</v>
      </c>
      <c r="D18790" s="16" t="s">
        <v>24025</v>
      </c>
      <c r="E18790" s="2">
        <v>1840886</v>
      </c>
      <c r="F18790" s="4" t="str">
        <f>IF(B18790=B18789,"",B18790)</f>
        <v>Mungyeong</v>
      </c>
    </row>
    <row r="18791" spans="1:6" ht="15.75" customHeight="1">
      <c r="A18791" s="8" t="str">
        <f ca="1">IFERROR(__xludf.DUMMYFUNCTION("GOOGLETRANSLATE(B36093,""en"",""pt"")"),"Mungyeong")</f>
        <v>Mungyeong</v>
      </c>
      <c r="B18791" s="11" t="s">
        <v>24119</v>
      </c>
      <c r="C18791" s="11" t="s">
        <v>24024</v>
      </c>
      <c r="D18791" s="11" t="s">
        <v>24025</v>
      </c>
      <c r="E18791" s="10">
        <v>1840886</v>
      </c>
      <c r="F18791" s="4" t="str">
        <f>IF(B18791=B18790,"",B18791)</f>
        <v/>
      </c>
    </row>
    <row r="18792" spans="1:6" ht="15.75" customHeight="1">
      <c r="A18792" s="15" t="s">
        <v>24646</v>
      </c>
      <c r="B18792" s="15" t="s">
        <v>24646</v>
      </c>
      <c r="C18792" s="15" t="s">
        <v>24200</v>
      </c>
      <c r="D18792" s="15" t="s">
        <v>24249</v>
      </c>
      <c r="E18792" s="2">
        <v>3115907</v>
      </c>
      <c r="F18792" s="4" t="str">
        <f>IF(B18792=B18791,"",B18792)</f>
        <v>Mungia</v>
      </c>
    </row>
    <row r="18793" spans="1:6" ht="15.75" customHeight="1">
      <c r="A18793" s="8" t="str">
        <f ca="1">IFERROR(__xludf.DUMMYFUNCTION("GOOGLETRANSLATE(B29345,""en"",""pt"")"),"Mungia")</f>
        <v>Mungia</v>
      </c>
      <c r="B18793" s="11" t="s">
        <v>24646</v>
      </c>
      <c r="C18793" s="11" t="s">
        <v>24200</v>
      </c>
      <c r="D18793" s="11" t="s">
        <v>24249</v>
      </c>
      <c r="E18793" s="10">
        <v>3115907</v>
      </c>
      <c r="F18793" s="4" t="str">
        <f>IF(B18793=B18792,"",B18793)</f>
        <v/>
      </c>
    </row>
    <row r="18794" spans="1:6" ht="15.75" customHeight="1">
      <c r="A18794" s="15" t="s">
        <v>12461</v>
      </c>
      <c r="B18794" s="15" t="s">
        <v>12461</v>
      </c>
      <c r="C18794" s="15" t="s">
        <v>10178</v>
      </c>
      <c r="D18794" s="15" t="s">
        <v>10272</v>
      </c>
      <c r="E18794" s="2">
        <v>1262484</v>
      </c>
      <c r="F18794" s="4" t="str">
        <f>IF(B18794=B18793,"",B18794)</f>
        <v>Mungeli</v>
      </c>
    </row>
    <row r="18795" spans="1:6" ht="15.75" customHeight="1">
      <c r="A18795" s="8" t="str">
        <f ca="1">IFERROR(__xludf.DUMMYFUNCTION("GOOGLETRANSLATE(B32723,""en"",""pt"")"),"Mungeli")</f>
        <v>Mungeli</v>
      </c>
      <c r="B18795" s="11" t="s">
        <v>12461</v>
      </c>
      <c r="C18795" s="11" t="s">
        <v>10178</v>
      </c>
      <c r="D18795" s="11" t="s">
        <v>10272</v>
      </c>
      <c r="E18795" s="10">
        <v>1262484</v>
      </c>
      <c r="F18795" s="4" t="str">
        <f>IF(B18795=B18794,"",B18795)</f>
        <v/>
      </c>
    </row>
    <row r="18796" spans="1:6" ht="15.75" customHeight="1">
      <c r="A18796" s="15" t="s">
        <v>12460</v>
      </c>
      <c r="B18796" s="15" t="s">
        <v>12460</v>
      </c>
      <c r="C18796" s="15" t="s">
        <v>10178</v>
      </c>
      <c r="D18796" s="15" t="s">
        <v>10219</v>
      </c>
      <c r="E18796" s="2">
        <v>1262485</v>
      </c>
      <c r="F18796" s="4" t="str">
        <f>IF(B18796=B18795,"",B18796)</f>
        <v>Mungaoli</v>
      </c>
    </row>
    <row r="18797" spans="1:6" ht="15.75" customHeight="1">
      <c r="A18797" s="8" t="str">
        <f ca="1">IFERROR(__xludf.DUMMYFUNCTION("GOOGLETRANSLATE(B32724,""en"",""pt"")"),"Mungaoli")</f>
        <v>Mungaoli</v>
      </c>
      <c r="B18797" s="11" t="s">
        <v>12460</v>
      </c>
      <c r="C18797" s="11" t="s">
        <v>10178</v>
      </c>
      <c r="D18797" s="11" t="s">
        <v>10219</v>
      </c>
      <c r="E18797" s="10">
        <v>1262485</v>
      </c>
      <c r="F18797" s="4" t="str">
        <f>IF(B18797=B18796,"",B18797)</f>
        <v/>
      </c>
    </row>
    <row r="18798" spans="1:6" ht="15.75" customHeight="1">
      <c r="A18798" s="15" t="s">
        <v>25708</v>
      </c>
      <c r="B18798" s="15" t="s">
        <v>25708</v>
      </c>
      <c r="C18798" s="15" t="s">
        <v>25560</v>
      </c>
      <c r="D18798" s="15" t="s">
        <v>25602</v>
      </c>
      <c r="E18798" s="2">
        <v>152546</v>
      </c>
      <c r="F18798" s="4" t="str">
        <f>IF(B18798=B18797,"",B18798)</f>
        <v>Mungaa</v>
      </c>
    </row>
    <row r="18799" spans="1:6" ht="15.75" customHeight="1">
      <c r="A18799" s="8" t="str">
        <f ca="1">IFERROR(__xludf.DUMMYFUNCTION("GOOGLETRANSLATE(B42332,""en"",""pt"")"),"Mungaa")</f>
        <v>Mungaa</v>
      </c>
      <c r="B18799" s="11" t="s">
        <v>25708</v>
      </c>
      <c r="C18799" s="11" t="s">
        <v>25560</v>
      </c>
      <c r="D18799" s="11" t="s">
        <v>25602</v>
      </c>
      <c r="E18799" s="10">
        <v>152546</v>
      </c>
      <c r="F18799" s="4" t="str">
        <f>IF(B18799=B18798,"",B18799)</f>
        <v/>
      </c>
    </row>
    <row r="18800" spans="1:6" ht="15.75" customHeight="1">
      <c r="A18800" s="8" t="str">
        <f ca="1">IFERROR(__xludf.DUMMYFUNCTION("GOOGLETRANSLATE(B32725,""en"",""pt"")"),"Mūndwa")</f>
        <v>Mūndwa</v>
      </c>
      <c r="B18800" s="9" t="s">
        <v>33363</v>
      </c>
      <c r="C18800" s="9" t="s">
        <v>10178</v>
      </c>
      <c r="D18800" s="9" t="s">
        <v>10179</v>
      </c>
      <c r="E18800" s="10">
        <v>1262491</v>
      </c>
      <c r="F18800" s="4" t="str">
        <f>IF(B18800=B18799,"",B18800)</f>
        <v>Mūndwa</v>
      </c>
    </row>
    <row r="18801" spans="1:6" ht="15.75" customHeight="1">
      <c r="A18801" s="15" t="s">
        <v>12459</v>
      </c>
      <c r="B18801" s="15" t="s">
        <v>12459</v>
      </c>
      <c r="C18801" s="15" t="s">
        <v>10178</v>
      </c>
      <c r="D18801" s="15" t="s">
        <v>10209</v>
      </c>
      <c r="E18801" s="2">
        <v>1262497</v>
      </c>
      <c r="F18801" s="4" t="str">
        <f>IF(B18801=B18800,"",B18801)</f>
        <v>Mundra</v>
      </c>
    </row>
    <row r="18802" spans="1:6" ht="15.75" customHeight="1">
      <c r="A18802" s="8" t="str">
        <f ca="1">IFERROR(__xludf.DUMMYFUNCTION("GOOGLETRANSLATE(B32726,""en"",""pt"")"),"Mundra")</f>
        <v>Mundra</v>
      </c>
      <c r="B18802" s="9" t="s">
        <v>12459</v>
      </c>
      <c r="C18802" s="9" t="s">
        <v>10178</v>
      </c>
      <c r="D18802" s="9" t="s">
        <v>10209</v>
      </c>
      <c r="E18802" s="10">
        <v>1262497</v>
      </c>
      <c r="F18802" s="4" t="str">
        <f>IF(B18802=B18801,"",B18802)</f>
        <v/>
      </c>
    </row>
    <row r="18803" spans="1:6" ht="15.75" customHeight="1">
      <c r="A18803" s="15" t="s">
        <v>12458</v>
      </c>
      <c r="B18803" s="15" t="s">
        <v>12458</v>
      </c>
      <c r="C18803" s="15" t="s">
        <v>10178</v>
      </c>
      <c r="D18803" s="15" t="s">
        <v>10252</v>
      </c>
      <c r="E18803" s="2">
        <v>1262510</v>
      </c>
      <c r="F18803" s="4" t="str">
        <f>IF(B18803=B18802,"",B18803)</f>
        <v>Mundgod</v>
      </c>
    </row>
    <row r="18804" spans="1:6" ht="15.75" customHeight="1">
      <c r="A18804" s="8" t="str">
        <f ca="1">IFERROR(__xludf.DUMMYFUNCTION("GOOGLETRANSLATE(B32727,""en"",""pt"")"),"Mundgod")</f>
        <v>Mundgod</v>
      </c>
      <c r="B18804" s="9" t="s">
        <v>12458</v>
      </c>
      <c r="C18804" s="9" t="s">
        <v>10178</v>
      </c>
      <c r="D18804" s="9" t="s">
        <v>10252</v>
      </c>
      <c r="E18804" s="10">
        <v>1262510</v>
      </c>
      <c r="F18804" s="4" t="str">
        <f>IF(B18804=B18803,"",B18804)</f>
        <v/>
      </c>
    </row>
    <row r="18805" spans="1:6" ht="15.75" customHeight="1">
      <c r="A18805" s="16" t="s">
        <v>29372</v>
      </c>
      <c r="B18805" s="15" t="s">
        <v>29372</v>
      </c>
      <c r="C18805" s="16" t="s">
        <v>27788</v>
      </c>
      <c r="D18805" s="16" t="s">
        <v>27799</v>
      </c>
      <c r="E18805" s="2">
        <v>4903184</v>
      </c>
      <c r="F18805" s="4" t="str">
        <f>IF(B18805=B18804,"",B18805)</f>
        <v>Mundelein</v>
      </c>
    </row>
    <row r="18806" spans="1:6" ht="15.75" customHeight="1">
      <c r="A18806" s="8" t="str">
        <f ca="1">IFERROR(__xludf.DUMMYFUNCTION("GOOGLETRANSLATE(B43851,""en"",""pt"")"),"Mundelein")</f>
        <v>Mundelein</v>
      </c>
      <c r="B18806" s="9" t="s">
        <v>29372</v>
      </c>
      <c r="C18806" s="9" t="s">
        <v>27788</v>
      </c>
      <c r="D18806" s="9" t="s">
        <v>27799</v>
      </c>
      <c r="E18806" s="10">
        <v>4903184</v>
      </c>
      <c r="F18806" s="4" t="str">
        <f>IF(B18806=B18805,"",B18806)</f>
        <v/>
      </c>
    </row>
    <row r="18807" spans="1:6" ht="15.75" customHeight="1">
      <c r="A18807" s="15" t="s">
        <v>12457</v>
      </c>
      <c r="B18807" s="15" t="s">
        <v>12457</v>
      </c>
      <c r="C18807" s="15" t="s">
        <v>10178</v>
      </c>
      <c r="D18807" s="15" t="s">
        <v>10252</v>
      </c>
      <c r="E18807" s="2">
        <v>1262516</v>
      </c>
      <c r="F18807" s="4" t="str">
        <f>IF(B18807=B18806,"",B18807)</f>
        <v>Mundargi</v>
      </c>
    </row>
    <row r="18808" spans="1:6" ht="15.75" customHeight="1">
      <c r="A18808" s="8" t="str">
        <f ca="1">IFERROR(__xludf.DUMMYFUNCTION("GOOGLETRANSLATE(B32728,""en"",""pt"")"),"Mundargi")</f>
        <v>Mundargi</v>
      </c>
      <c r="B18808" s="9" t="s">
        <v>12457</v>
      </c>
      <c r="C18808" s="9" t="s">
        <v>10178</v>
      </c>
      <c r="D18808" s="9" t="s">
        <v>10252</v>
      </c>
      <c r="E18808" s="10">
        <v>1262516</v>
      </c>
      <c r="F18808" s="4" t="str">
        <f>IF(B18808=B18807,"",B18808)</f>
        <v/>
      </c>
    </row>
    <row r="18809" spans="1:6" ht="15.75" customHeight="1">
      <c r="A18809" s="15" t="s">
        <v>29371</v>
      </c>
      <c r="B18809" s="15" t="s">
        <v>29371</v>
      </c>
      <c r="C18809" s="15" t="s">
        <v>27788</v>
      </c>
      <c r="D18809" s="15" t="s">
        <v>27869</v>
      </c>
      <c r="E18809" s="2">
        <v>4924006</v>
      </c>
      <c r="F18809" s="4" t="str">
        <f>IF(B18809=B18808,"",B18809)</f>
        <v>Muncie</v>
      </c>
    </row>
    <row r="18810" spans="1:6" ht="15.75" customHeight="1">
      <c r="A18810" s="8" t="str">
        <f ca="1">IFERROR(__xludf.DUMMYFUNCTION("GOOGLETRANSLATE(B43932,""en"",""pt"")"),"Muncie")</f>
        <v>Muncie</v>
      </c>
      <c r="B18810" s="9" t="s">
        <v>29371</v>
      </c>
      <c r="C18810" s="9" t="s">
        <v>27788</v>
      </c>
      <c r="D18810" s="9" t="s">
        <v>27869</v>
      </c>
      <c r="E18810" s="10">
        <v>4924006</v>
      </c>
      <c r="F18810" s="4" t="str">
        <f>IF(B18810=B18809,"",B18810)</f>
        <v/>
      </c>
    </row>
    <row r="18811" spans="1:6" ht="15.75" customHeight="1">
      <c r="A18811" s="15" t="s">
        <v>8865</v>
      </c>
      <c r="B18811" s="15" t="s">
        <v>8867</v>
      </c>
      <c r="C18811" s="15" t="s">
        <v>8028</v>
      </c>
      <c r="D18811" s="15" t="s">
        <v>8044</v>
      </c>
      <c r="E18811" s="2">
        <v>2867714</v>
      </c>
      <c r="F18811" s="4" t="str">
        <f>IF(B18811=B18810,"",B18811)</f>
        <v>München</v>
      </c>
    </row>
    <row r="18812" spans="1:6" ht="15.75" customHeight="1">
      <c r="A18812" s="15" t="s">
        <v>14049</v>
      </c>
      <c r="B18812" s="15" t="s">
        <v>14049</v>
      </c>
      <c r="C18812" s="15" t="s">
        <v>13800</v>
      </c>
      <c r="D18812" s="15" t="s">
        <v>13816</v>
      </c>
      <c r="E18812" s="2">
        <v>1634718</v>
      </c>
      <c r="F18812" s="4" t="str">
        <f>IF(B18812=B18811,"",B18812)</f>
        <v>Muncar</v>
      </c>
    </row>
    <row r="18813" spans="1:6" ht="15.75" customHeight="1">
      <c r="A18813" s="8" t="str">
        <f ca="1">IFERROR(__xludf.DUMMYFUNCTION("GOOGLETRANSLATE(B31534,""en"",""pt"")"),"Muncar")</f>
        <v>Muncar</v>
      </c>
      <c r="B18813" s="11" t="s">
        <v>14049</v>
      </c>
      <c r="C18813" s="11" t="s">
        <v>13800</v>
      </c>
      <c r="D18813" s="11" t="s">
        <v>13816</v>
      </c>
      <c r="E18813" s="10">
        <v>1634718</v>
      </c>
      <c r="F18813" s="4" t="str">
        <f>IF(B18813=B18812,"",B18813)</f>
        <v/>
      </c>
    </row>
    <row r="18814" spans="1:6" ht="15.75" customHeight="1">
      <c r="A18814" s="15" t="s">
        <v>16828</v>
      </c>
      <c r="B18814" s="15" t="s">
        <v>16828</v>
      </c>
      <c r="C18814" s="15" t="s">
        <v>16781</v>
      </c>
      <c r="D18814" s="15" t="s">
        <v>16793</v>
      </c>
      <c r="E18814" s="2">
        <v>185702</v>
      </c>
      <c r="F18814" s="4" t="str">
        <f>IF(B18814=B18813,"",B18814)</f>
        <v>Mumias</v>
      </c>
    </row>
    <row r="18815" spans="1:6" ht="15.75" customHeight="1">
      <c r="A18815" s="8" t="str">
        <f ca="1">IFERROR(__xludf.DUMMYFUNCTION("GOOGLETRANSLATE(B35897,""en"",""pt"")"),"Mumias")</f>
        <v>Mumias</v>
      </c>
      <c r="B18815" s="11" t="s">
        <v>16828</v>
      </c>
      <c r="C18815" s="11" t="s">
        <v>16781</v>
      </c>
      <c r="D18815" s="11" t="s">
        <v>16793</v>
      </c>
      <c r="E18815" s="10">
        <v>185702</v>
      </c>
      <c r="F18815" s="4" t="str">
        <f>IF(B18815=B18814,"",B18815)</f>
        <v/>
      </c>
    </row>
    <row r="18816" spans="1:6" ht="15.75" customHeight="1">
      <c r="A18816" s="15" t="s">
        <v>31063</v>
      </c>
      <c r="B18816" s="15" t="s">
        <v>31063</v>
      </c>
      <c r="C18816" s="15" t="s">
        <v>31038</v>
      </c>
      <c r="D18816" s="15" t="s">
        <v>1886</v>
      </c>
      <c r="E18816" s="2">
        <v>904422</v>
      </c>
      <c r="F18816" s="4" t="str">
        <f>IF(B18816=B18815,"",B18816)</f>
        <v>Mumbwa</v>
      </c>
    </row>
    <row r="18817" spans="1:6" ht="15.75" customHeight="1">
      <c r="A18817" s="8" t="str">
        <f ca="1">IFERROR(__xludf.DUMMYFUNCTION("GOOGLETRANSLATE(B46010,""en"",""pt"")"),"Mumbwa")</f>
        <v>Mumbwa</v>
      </c>
      <c r="B18817" s="11" t="s">
        <v>31063</v>
      </c>
      <c r="C18817" s="11" t="s">
        <v>31038</v>
      </c>
      <c r="D18817" s="11" t="s">
        <v>1886</v>
      </c>
      <c r="E18817" s="10">
        <v>904422</v>
      </c>
      <c r="F18817" s="4" t="str">
        <f>IF(B18817=B18816,"",B18817)</f>
        <v/>
      </c>
    </row>
    <row r="18818" spans="1:6" ht="15.75" customHeight="1">
      <c r="A18818" s="15" t="s">
        <v>12456</v>
      </c>
      <c r="B18818" s="15" t="s">
        <v>12456</v>
      </c>
      <c r="C18818" s="15" t="s">
        <v>10178</v>
      </c>
      <c r="D18818" s="15" t="s">
        <v>10214</v>
      </c>
      <c r="E18818" s="2">
        <v>1275339</v>
      </c>
      <c r="F18818" s="4" t="str">
        <f>IF(B18818=B18817,"",B18818)</f>
        <v>Mumbai</v>
      </c>
    </row>
    <row r="18819" spans="1:6" ht="15.75" customHeight="1">
      <c r="A18819" s="8" t="str">
        <f ca="1">IFERROR(__xludf.DUMMYFUNCTION("GOOGLETRANSLATE(B33785,""en"",""pt"")"),"Mumbai")</f>
        <v>Mumbai</v>
      </c>
      <c r="B18819" s="11" t="s">
        <v>12456</v>
      </c>
      <c r="C18819" s="11" t="s">
        <v>10178</v>
      </c>
      <c r="D18819" s="11" t="s">
        <v>10214</v>
      </c>
      <c r="E18819" s="10">
        <v>1275339</v>
      </c>
      <c r="F18819" s="4" t="str">
        <f>IF(B18819=B18818,"",B18819)</f>
        <v/>
      </c>
    </row>
    <row r="18820" spans="1:6" ht="15.75" customHeight="1">
      <c r="A18820" s="16" t="s">
        <v>12455</v>
      </c>
      <c r="B18820" s="15" t="s">
        <v>12455</v>
      </c>
      <c r="C18820" s="16" t="s">
        <v>10178</v>
      </c>
      <c r="D18820" s="16" t="s">
        <v>10246</v>
      </c>
      <c r="E18820" s="2">
        <v>1262566</v>
      </c>
      <c r="F18820" s="4" t="str">
        <f>IF(B18820=B18819,"",B18820)</f>
        <v>Muluppilagadu</v>
      </c>
    </row>
    <row r="18821" spans="1:6" ht="15.75" customHeight="1">
      <c r="A18821" s="8" t="str">
        <f ca="1">IFERROR(__xludf.DUMMYFUNCTION("GOOGLETRANSLATE(B32733,""en"",""pt"")"),"Muluppilagadu")</f>
        <v>Muluppilagadu</v>
      </c>
      <c r="B18821" s="11" t="s">
        <v>12455</v>
      </c>
      <c r="C18821" s="11" t="s">
        <v>10178</v>
      </c>
      <c r="D18821" s="11" t="s">
        <v>10246</v>
      </c>
      <c r="E18821" s="10">
        <v>1262566</v>
      </c>
      <c r="F18821" s="4" t="str">
        <f>IF(B18821=B18820,"",B18821)</f>
        <v/>
      </c>
    </row>
    <row r="18822" spans="1:6" ht="15.75" customHeight="1">
      <c r="A18822" s="8" t="str">
        <f ca="1">IFERROR(__xludf.DUMMYFUNCTION("GOOGLETRANSLATE(B38977,""en"",""pt"")"),"Multān")</f>
        <v>Multān</v>
      </c>
      <c r="B18822" s="9" t="s">
        <v>34950</v>
      </c>
      <c r="C18822" s="9" t="s">
        <v>19808</v>
      </c>
      <c r="D18822" s="9" t="s">
        <v>10184</v>
      </c>
      <c r="E18822" s="10">
        <v>1169825</v>
      </c>
      <c r="F18822" s="4" t="str">
        <f>IF(B18822=B18821,"",B18822)</f>
        <v>Multān</v>
      </c>
    </row>
    <row r="18823" spans="1:6" ht="15.75" customHeight="1">
      <c r="A18823" s="15" t="s">
        <v>12453</v>
      </c>
      <c r="B18823" s="15" t="s">
        <v>12454</v>
      </c>
      <c r="C18823" s="15" t="s">
        <v>10178</v>
      </c>
      <c r="D18823" s="15" t="s">
        <v>10219</v>
      </c>
      <c r="E18823" s="2">
        <v>1262534</v>
      </c>
      <c r="F18823" s="4" t="str">
        <f>IF(B18823=B18822,"",B18823)</f>
        <v>Multai</v>
      </c>
    </row>
    <row r="18824" spans="1:6" ht="15.75" customHeight="1">
      <c r="A18824" s="8" t="str">
        <f ca="1">IFERROR(__xludf.DUMMYFUNCTION("GOOGLETRANSLATE(B32729,""en"",""pt"")"),"MultAi")</f>
        <v>MultAi</v>
      </c>
      <c r="B18824" s="9" t="s">
        <v>12454</v>
      </c>
      <c r="C18824" s="9" t="s">
        <v>10178</v>
      </c>
      <c r="D18824" s="9" t="s">
        <v>10219</v>
      </c>
      <c r="E18824" s="10">
        <v>1262534</v>
      </c>
      <c r="F18824" s="4" t="str">
        <f>IF(B18824=B18823,"",B18824)</f>
        <v/>
      </c>
    </row>
    <row r="18825" spans="1:6" ht="15.75" customHeight="1">
      <c r="A18825" s="15" t="s">
        <v>20114</v>
      </c>
      <c r="B18825" s="15" t="s">
        <v>20115</v>
      </c>
      <c r="C18825" s="15" t="s">
        <v>19808</v>
      </c>
      <c r="D18825" s="15" t="s">
        <v>10184</v>
      </c>
      <c r="E18825" s="2">
        <v>1169825</v>
      </c>
      <c r="F18825" s="4" t="str">
        <f>IF(B18825=B18824,"",B18825)</f>
        <v>MultÄn</v>
      </c>
    </row>
    <row r="18826" spans="1:6" ht="15.75" customHeight="1">
      <c r="A18826" s="8" t="str">
        <f ca="1">IFERROR(__xludf.DUMMYFUNCTION("GOOGLETRANSLATE(B27740,""en"",""pt"")"),"Müllheim")</f>
        <v>Müllheim</v>
      </c>
      <c r="B18826" s="11" t="s">
        <v>32051</v>
      </c>
      <c r="C18826" s="11" t="s">
        <v>8028</v>
      </c>
      <c r="D18826" s="11" t="s">
        <v>32013</v>
      </c>
      <c r="E18826" s="10">
        <v>2867770</v>
      </c>
      <c r="F18826" s="4" t="str">
        <f>IF(B18826=B18825,"",B18826)</f>
        <v>Müllheim</v>
      </c>
    </row>
    <row r="18827" spans="1:6" ht="15.75" customHeight="1">
      <c r="A18827" s="16" t="s">
        <v>24966</v>
      </c>
      <c r="B18827" s="15" t="s">
        <v>24966</v>
      </c>
      <c r="C18827" s="16" t="s">
        <v>24924</v>
      </c>
      <c r="D18827" s="16" t="s">
        <v>6944</v>
      </c>
      <c r="E18827" s="2">
        <v>1234378</v>
      </c>
      <c r="F18827" s="4" t="str">
        <f>IF(B18827=B18826,"",B18827)</f>
        <v>Mulleriyawa</v>
      </c>
    </row>
    <row r="18828" spans="1:6" ht="15.75" customHeight="1">
      <c r="A18828" s="8" t="str">
        <f ca="1">IFERROR(__xludf.DUMMYFUNCTION("GOOGLETRANSLATE(B36304,""en"",""pt"")"),"Mulleriyawa")</f>
        <v>Mulleriyawa</v>
      </c>
      <c r="B18828" s="9" t="s">
        <v>24966</v>
      </c>
      <c r="C18828" s="9" t="s">
        <v>24924</v>
      </c>
      <c r="D18828" s="9" t="s">
        <v>6944</v>
      </c>
      <c r="E18828" s="10">
        <v>1234378</v>
      </c>
      <c r="F18828" s="4" t="str">
        <f>IF(B18828=B18827,"",B18828)</f>
        <v/>
      </c>
    </row>
    <row r="18829" spans="1:6" ht="15.75" customHeight="1">
      <c r="A18829" s="8" t="str">
        <f ca="1">IFERROR(__xludf.DUMMYFUNCTION("GOOGLETRANSLATE(B32730,""en"",""pt"")"),"Mūlki")</f>
        <v>Mūlki</v>
      </c>
      <c r="B18829" s="11" t="s">
        <v>33364</v>
      </c>
      <c r="C18829" s="11" t="s">
        <v>10178</v>
      </c>
      <c r="D18829" s="11" t="s">
        <v>10252</v>
      </c>
      <c r="E18829" s="10">
        <v>1262546</v>
      </c>
      <c r="F18829" s="4" t="str">
        <f>IF(B18829=B18828,"",B18829)</f>
        <v>Mūlki</v>
      </c>
    </row>
    <row r="18830" spans="1:6" ht="15.75" customHeight="1">
      <c r="A18830" s="16" t="s">
        <v>7626</v>
      </c>
      <c r="B18830" s="15" t="s">
        <v>7626</v>
      </c>
      <c r="C18830" s="16" t="s">
        <v>7052</v>
      </c>
      <c r="D18830" s="16" t="s">
        <v>7061</v>
      </c>
      <c r="E18830" s="2">
        <v>2991214</v>
      </c>
      <c r="F18830" s="4" t="str">
        <f>IF(B18830=B18829,"",B18830)</f>
        <v>Mulhouse</v>
      </c>
    </row>
    <row r="18831" spans="1:6" ht="15.75" customHeight="1">
      <c r="A18831" s="8" t="str">
        <f ca="1">IFERROR(__xludf.DUMMYFUNCTION("GOOGLETRANSLATE(B29891,""en"",""pt"")"),"Mulhouse")</f>
        <v>Mulhouse</v>
      </c>
      <c r="B18831" s="11" t="s">
        <v>7626</v>
      </c>
      <c r="C18831" s="11" t="s">
        <v>7052</v>
      </c>
      <c r="D18831" s="11" t="s">
        <v>7061</v>
      </c>
      <c r="E18831" s="10">
        <v>2991214</v>
      </c>
      <c r="F18831" s="4" t="str">
        <f>IF(B18831=B18830,"",B18831)</f>
        <v/>
      </c>
    </row>
    <row r="18832" spans="1:6" ht="15.75" customHeight="1">
      <c r="A18832" s="8" t="str">
        <f ca="1">IFERROR(__xludf.DUMMYFUNCTION("GOOGLETRANSLATE(B27741,""en"",""pt"")"),"Mülheim (Ruhr)")</f>
        <v>Mülheim (Ruhr)</v>
      </c>
      <c r="B18832" s="9" t="s">
        <v>32052</v>
      </c>
      <c r="C18832" s="9" t="s">
        <v>8028</v>
      </c>
      <c r="D18832" s="9" t="s">
        <v>8029</v>
      </c>
      <c r="E18832" s="10">
        <v>2867838</v>
      </c>
      <c r="F18832" s="4" t="str">
        <f>IF(B18832=B18831,"",B18832)</f>
        <v>Mülheim (Ruhr)</v>
      </c>
    </row>
    <row r="18833" spans="1:6" ht="15.75" customHeight="1">
      <c r="A18833" s="8" t="str">
        <f ca="1">IFERROR(__xludf.DUMMYFUNCTION("GOOGLETRANSLATE(B28395,""en"",""pt"")"),"Mülheim")</f>
        <v>Mülheim</v>
      </c>
      <c r="B18833" s="11" t="s">
        <v>32147</v>
      </c>
      <c r="C18833" s="11" t="s">
        <v>8028</v>
      </c>
      <c r="D18833" s="11" t="s">
        <v>8029</v>
      </c>
      <c r="E18833" s="10">
        <v>8593865</v>
      </c>
      <c r="F18833" s="4" t="str">
        <f>IF(B18833=B18832,"",B18833)</f>
        <v>Mülheim</v>
      </c>
    </row>
    <row r="18834" spans="1:6" ht="15.75" customHeight="1">
      <c r="A18834" s="15" t="s">
        <v>12452</v>
      </c>
      <c r="B18834" s="15" t="s">
        <v>12452</v>
      </c>
      <c r="C18834" s="15" t="s">
        <v>10178</v>
      </c>
      <c r="D18834" s="15" t="s">
        <v>10252</v>
      </c>
      <c r="E18834" s="2">
        <v>1262553</v>
      </c>
      <c r="F18834" s="4" t="str">
        <f>IF(B18834=B18833,"",B18834)</f>
        <v>Mulgund</v>
      </c>
    </row>
    <row r="18835" spans="1:6" ht="15.75" customHeight="1">
      <c r="A18835" s="8" t="str">
        <f ca="1">IFERROR(__xludf.DUMMYFUNCTION("GOOGLETRANSLATE(B32731,""en"",""pt"")"),"Mulgund")</f>
        <v>Mulgund</v>
      </c>
      <c r="B18835" s="11" t="s">
        <v>12452</v>
      </c>
      <c r="C18835" s="11" t="s">
        <v>10178</v>
      </c>
      <c r="D18835" s="11" t="s">
        <v>10252</v>
      </c>
      <c r="E18835" s="10">
        <v>1262553</v>
      </c>
      <c r="F18835" s="4" t="str">
        <f>IF(B18835=B18834,"",B18835)</f>
        <v/>
      </c>
    </row>
    <row r="18836" spans="1:6" ht="15.75" customHeight="1">
      <c r="A18836" s="15" t="s">
        <v>1041</v>
      </c>
      <c r="B18836" s="15" t="s">
        <v>1041</v>
      </c>
      <c r="C18836" s="15" t="s">
        <v>885</v>
      </c>
      <c r="D18836" s="15" t="s">
        <v>827</v>
      </c>
      <c r="E18836" s="2">
        <v>2156340</v>
      </c>
      <c r="F18836" s="4" t="str">
        <f>IF(B18836=B18835,"",B18836)</f>
        <v>Mulgrave</v>
      </c>
    </row>
    <row r="18837" spans="1:6" ht="15.75" customHeight="1">
      <c r="A18837" s="8" t="str">
        <f ca="1">IFERROR(__xludf.DUMMYFUNCTION("GOOGLETRANSLATE(B23474,""en"",""pt"")"),"Mulgrave")</f>
        <v>Mulgrave</v>
      </c>
      <c r="B18837" s="9" t="s">
        <v>1041</v>
      </c>
      <c r="C18837" s="9" t="s">
        <v>885</v>
      </c>
      <c r="D18837" s="9" t="s">
        <v>827</v>
      </c>
      <c r="E18837" s="10">
        <v>2156340</v>
      </c>
      <c r="F18837" s="4" t="str">
        <f>IF(B18837=B18836,"",B18837)</f>
        <v/>
      </c>
    </row>
    <row r="18838" spans="1:6" ht="15.75" customHeight="1">
      <c r="A18838" s="8" t="str">
        <f ca="1">IFERROR(__xludf.DUMMYFUNCTION("GOOGLETRANSLATE(B25927,""en"",""pt"")"),"Mulchén")</f>
        <v>Mulchén</v>
      </c>
      <c r="B18838" s="9" t="s">
        <v>31803</v>
      </c>
      <c r="C18838" s="9" t="s">
        <v>4355</v>
      </c>
      <c r="D18838" s="9" t="s">
        <v>31796</v>
      </c>
      <c r="E18838" s="10">
        <v>3879200</v>
      </c>
      <c r="F18838" s="4" t="str">
        <f>IF(B18838=B18837,"",B18838)</f>
        <v>Mulchén</v>
      </c>
    </row>
    <row r="18839" spans="1:6" ht="15.75" customHeight="1">
      <c r="A18839" s="16" t="s">
        <v>4433</v>
      </c>
      <c r="B18839" s="15" t="s">
        <v>4434</v>
      </c>
      <c r="C18839" s="16" t="s">
        <v>4355</v>
      </c>
      <c r="D18839" s="16" t="s">
        <v>4361</v>
      </c>
      <c r="E18839" s="2">
        <v>3879200</v>
      </c>
      <c r="F18839" s="4" t="str">
        <f>IF(B18839=B18838,"",B18839)</f>
        <v>MulchÃ©n</v>
      </c>
    </row>
    <row r="18840" spans="1:6" ht="15.75" customHeight="1">
      <c r="A18840" s="8" t="str">
        <f ca="1">IFERROR(__xludf.DUMMYFUNCTION("GOOGLETRANSLATE(B32732,""en"",""pt"")"),"Mulbāgal")</f>
        <v>Mulbāgal</v>
      </c>
      <c r="B18840" s="9" t="s">
        <v>33365</v>
      </c>
      <c r="C18840" s="9" t="s">
        <v>10178</v>
      </c>
      <c r="D18840" s="9" t="s">
        <v>10252</v>
      </c>
      <c r="E18840" s="10">
        <v>1262562</v>
      </c>
      <c r="F18840" s="4" t="str">
        <f>IF(B18840=B18839,"",B18840)</f>
        <v>Mulbāgal</v>
      </c>
    </row>
    <row r="18841" spans="1:6" ht="15.75" customHeight="1">
      <c r="A18841" s="16" t="s">
        <v>12450</v>
      </c>
      <c r="B18841" s="15" t="s">
        <v>12451</v>
      </c>
      <c r="C18841" s="16" t="s">
        <v>10178</v>
      </c>
      <c r="D18841" s="16" t="s">
        <v>10252</v>
      </c>
      <c r="E18841" s="2">
        <v>1262562</v>
      </c>
      <c r="F18841" s="4" t="str">
        <f>IF(B18841=B18840,"",B18841)</f>
        <v>MulbÄgal</v>
      </c>
    </row>
    <row r="18842" spans="1:6" ht="15.75" customHeight="1">
      <c r="A18842" s="15" t="s">
        <v>17423</v>
      </c>
      <c r="B18842" s="15" t="s">
        <v>17423</v>
      </c>
      <c r="C18842" s="15" t="s">
        <v>17410</v>
      </c>
      <c r="D18842" s="15" t="s">
        <v>17411</v>
      </c>
      <c r="E18842" s="2">
        <v>925789</v>
      </c>
      <c r="F18842" s="4" t="str">
        <f>IF(B18842=B18841,"",B18842)</f>
        <v>Mulanje</v>
      </c>
    </row>
    <row r="18843" spans="1:6" ht="15.75" customHeight="1">
      <c r="A18843" s="8" t="str">
        <f ca="1">IFERROR(__xludf.DUMMYFUNCTION("GOOGLETRANSLATE(B36832,""en"",""pt"")"),"Mulanje")</f>
        <v>Mulanje</v>
      </c>
      <c r="B18843" s="9" t="s">
        <v>17423</v>
      </c>
      <c r="C18843" s="9" t="s">
        <v>17410</v>
      </c>
      <c r="D18843" s="9" t="s">
        <v>17411</v>
      </c>
      <c r="E18843" s="10">
        <v>925789</v>
      </c>
      <c r="F18843" s="4" t="str">
        <f>IF(B18843=B18842,"",B18843)</f>
        <v/>
      </c>
    </row>
    <row r="18844" spans="1:6" ht="15.75" customHeight="1">
      <c r="A18844" s="15" t="s">
        <v>24645</v>
      </c>
      <c r="B18844" s="15" t="s">
        <v>24645</v>
      </c>
      <c r="C18844" s="15" t="s">
        <v>24200</v>
      </c>
      <c r="D18844" s="15" t="s">
        <v>20912</v>
      </c>
      <c r="E18844" s="2">
        <v>2513436</v>
      </c>
      <c r="F18844" s="4" t="str">
        <f>IF(B18844=B18843,"",B18844)</f>
        <v>Mula</v>
      </c>
    </row>
    <row r="18845" spans="1:6" ht="15.75" customHeight="1">
      <c r="A18845" s="8" t="str">
        <f ca="1">IFERROR(__xludf.DUMMYFUNCTION("GOOGLETRANSLATE(B29043,""en"",""pt"")"),"Mula")</f>
        <v>Mula</v>
      </c>
      <c r="B18845" s="9" t="s">
        <v>24645</v>
      </c>
      <c r="C18845" s="9" t="s">
        <v>24200</v>
      </c>
      <c r="D18845" s="9" t="s">
        <v>20912</v>
      </c>
      <c r="E18845" s="10">
        <v>2513436</v>
      </c>
      <c r="F18845" s="4" t="str">
        <f>IF(B18845=B18844,"",B18845)</f>
        <v/>
      </c>
    </row>
    <row r="18846" spans="1:6" ht="15.75" customHeight="1">
      <c r="A18846" s="8" t="str">
        <f ca="1">IFERROR(__xludf.DUMMYFUNCTION("GOOGLETRANSLATE(B32734,""en"",""pt"")"),"Mūl")</f>
        <v>Mūl</v>
      </c>
      <c r="B18846" s="11" t="s">
        <v>33366</v>
      </c>
      <c r="C18846" s="11" t="s">
        <v>10178</v>
      </c>
      <c r="D18846" s="11" t="s">
        <v>10214</v>
      </c>
      <c r="E18846" s="10">
        <v>1262574</v>
      </c>
      <c r="F18846" s="4" t="str">
        <f>IF(B18846=B18845,"",B18846)</f>
        <v>Mūl</v>
      </c>
    </row>
    <row r="18847" spans="1:6" ht="15.75" customHeight="1">
      <c r="A18847" s="15" t="s">
        <v>12449</v>
      </c>
      <c r="B18847" s="15" t="s">
        <v>12449</v>
      </c>
      <c r="C18847" s="15" t="s">
        <v>10178</v>
      </c>
      <c r="D18847" s="15" t="s">
        <v>10184</v>
      </c>
      <c r="E18847" s="2">
        <v>1262578</v>
      </c>
      <c r="F18847" s="4" t="str">
        <f>IF(B18847=B18846,"",B18847)</f>
        <v>Muktsar</v>
      </c>
    </row>
    <row r="18848" spans="1:6" ht="15.75" customHeight="1">
      <c r="A18848" s="8" t="str">
        <f ca="1">IFERROR(__xludf.DUMMYFUNCTION("GOOGLETRANSLATE(B32735,""en"",""pt"")"),"Muktsar")</f>
        <v>Muktsar</v>
      </c>
      <c r="B18848" s="11" t="s">
        <v>12449</v>
      </c>
      <c r="C18848" s="11" t="s">
        <v>10178</v>
      </c>
      <c r="D18848" s="11" t="s">
        <v>10184</v>
      </c>
      <c r="E18848" s="10">
        <v>1262578</v>
      </c>
      <c r="F18848" s="4" t="str">
        <f>IF(B18848=B18847,"",B18848)</f>
        <v/>
      </c>
    </row>
    <row r="18849" spans="1:6" ht="15.75" customHeight="1">
      <c r="A18849" s="8" t="str">
        <f ca="1">IFERROR(__xludf.DUMMYFUNCTION("GOOGLETRANSLATE(B23717,""en"",""pt"")"),"Muktāgācha")</f>
        <v>Muktāgācha</v>
      </c>
      <c r="B18849" s="11" t="s">
        <v>31269</v>
      </c>
      <c r="C18849" s="11" t="s">
        <v>1296</v>
      </c>
      <c r="D18849" s="11" t="s">
        <v>1297</v>
      </c>
      <c r="E18849" s="10">
        <v>1185164</v>
      </c>
      <c r="F18849" s="4" t="str">
        <f>IF(B18849=B18848,"",B18849)</f>
        <v>Muktāgācha</v>
      </c>
    </row>
    <row r="18850" spans="1:6" ht="15.75" customHeight="1">
      <c r="A18850" s="16" t="s">
        <v>1382</v>
      </c>
      <c r="B18850" s="15" t="s">
        <v>1383</v>
      </c>
      <c r="C18850" s="16" t="s">
        <v>1296</v>
      </c>
      <c r="D18850" s="16" t="s">
        <v>1297</v>
      </c>
      <c r="E18850" s="2">
        <v>1185164</v>
      </c>
      <c r="F18850" s="4" t="str">
        <f>IF(B18850=B18849,"",B18850)</f>
        <v>MuktÄgÄcha</v>
      </c>
    </row>
    <row r="18851" spans="1:6" ht="15.75" customHeight="1">
      <c r="A18851" s="15" t="s">
        <v>26854</v>
      </c>
      <c r="B18851" s="15" t="s">
        <v>26854</v>
      </c>
      <c r="C18851" s="15" t="s">
        <v>26820</v>
      </c>
      <c r="D18851" s="15" t="s">
        <v>17414</v>
      </c>
      <c r="E18851" s="2">
        <v>228853</v>
      </c>
      <c r="F18851" s="4" t="str">
        <f>IF(B18851=B18850,"",B18851)</f>
        <v>Mukono</v>
      </c>
    </row>
    <row r="18852" spans="1:6" ht="15.75" customHeight="1">
      <c r="A18852" s="8" t="str">
        <f ca="1">IFERROR(__xludf.DUMMYFUNCTION("GOOGLETRANSLATE(B42736,""en"",""pt"")"),"Mukono")</f>
        <v>Mukono</v>
      </c>
      <c r="B18852" s="11" t="s">
        <v>26854</v>
      </c>
      <c r="C18852" s="11" t="s">
        <v>26820</v>
      </c>
      <c r="D18852" s="11" t="s">
        <v>17414</v>
      </c>
      <c r="E18852" s="10">
        <v>228853</v>
      </c>
      <c r="F18852" s="4" t="str">
        <f>IF(B18852=B18851,"",B18852)</f>
        <v/>
      </c>
    </row>
    <row r="18853" spans="1:6" ht="15.75" customHeight="1">
      <c r="A18853" s="8" t="str">
        <f ca="1">IFERROR(__xludf.DUMMYFUNCTION("GOOGLETRANSLATE(B35414,""en"",""pt"")"),"Mukō")</f>
        <v>Mukō</v>
      </c>
      <c r="B18853" s="9" t="s">
        <v>34344</v>
      </c>
      <c r="C18853" s="9" t="s">
        <v>15704</v>
      </c>
      <c r="D18853" s="9" t="s">
        <v>15831</v>
      </c>
      <c r="E18853" s="10">
        <v>1856456</v>
      </c>
      <c r="F18853" s="4" t="str">
        <f>IF(B18853=B18852,"",B18853)</f>
        <v>Mukō</v>
      </c>
    </row>
    <row r="18854" spans="1:6" ht="15.75" customHeight="1">
      <c r="A18854" s="15" t="s">
        <v>29370</v>
      </c>
      <c r="B18854" s="15" t="s">
        <v>29370</v>
      </c>
      <c r="C18854" s="15" t="s">
        <v>27788</v>
      </c>
      <c r="D18854" s="15" t="s">
        <v>27733</v>
      </c>
      <c r="E18854" s="2">
        <v>5804306</v>
      </c>
      <c r="F18854" s="4" t="str">
        <f>IF(B18854=B18853,"",B18854)</f>
        <v>Mukilteo</v>
      </c>
    </row>
    <row r="18855" spans="1:6" ht="15.75" customHeight="1">
      <c r="A18855" s="8" t="str">
        <f ca="1">IFERROR(__xludf.DUMMYFUNCTION("GOOGLETRANSLATE(B45357,""en"",""pt"")"),"Mukilteo")</f>
        <v>Mukilteo</v>
      </c>
      <c r="B18855" s="11" t="s">
        <v>29370</v>
      </c>
      <c r="C18855" s="11" t="s">
        <v>27788</v>
      </c>
      <c r="D18855" s="11" t="s">
        <v>27733</v>
      </c>
      <c r="E18855" s="10">
        <v>5804306</v>
      </c>
      <c r="F18855" s="4" t="str">
        <f>IF(B18855=B18854,"",B18855)</f>
        <v/>
      </c>
    </row>
    <row r="18856" spans="1:6" ht="15.75" customHeight="1">
      <c r="A18856" s="15" t="s">
        <v>12448</v>
      </c>
      <c r="B18856" s="15" t="s">
        <v>12448</v>
      </c>
      <c r="C18856" s="15" t="s">
        <v>10178</v>
      </c>
      <c r="D18856" s="15" t="s">
        <v>10214</v>
      </c>
      <c r="E18856" s="2">
        <v>1262591</v>
      </c>
      <c r="F18856" s="4" t="str">
        <f>IF(B18856=B18855,"",B18856)</f>
        <v>Mukher</v>
      </c>
    </row>
    <row r="18857" spans="1:6" ht="15.75" customHeight="1">
      <c r="A18857" s="8" t="str">
        <f ca="1">IFERROR(__xludf.DUMMYFUNCTION("GOOGLETRANSLATE(B32736,""en"",""pt"")"),"Mukher")</f>
        <v>Mukher</v>
      </c>
      <c r="B18857" s="11" t="s">
        <v>12448</v>
      </c>
      <c r="C18857" s="11" t="s">
        <v>10178</v>
      </c>
      <c r="D18857" s="11" t="s">
        <v>10214</v>
      </c>
      <c r="E18857" s="10">
        <v>1262591</v>
      </c>
      <c r="F18857" s="4" t="str">
        <f>IF(B18857=B18856,"",B18857)</f>
        <v/>
      </c>
    </row>
    <row r="18858" spans="1:6" ht="15.75" customHeight="1">
      <c r="A18858" s="8" t="str">
        <f ca="1">IFERROR(__xludf.DUMMYFUNCTION("GOOGLETRANSLATE(B32737,""en"",""pt"")"),"Mukeriān")</f>
        <v>Mukeriān</v>
      </c>
      <c r="B18858" s="9" t="s">
        <v>33367</v>
      </c>
      <c r="C18858" s="9" t="s">
        <v>10178</v>
      </c>
      <c r="D18858" s="9" t="s">
        <v>10184</v>
      </c>
      <c r="E18858" s="10">
        <v>1262596</v>
      </c>
      <c r="F18858" s="4" t="str">
        <f>IF(B18858=B18857,"",B18858)</f>
        <v>Mukeriān</v>
      </c>
    </row>
    <row r="18859" spans="1:6" ht="15.75" customHeight="1">
      <c r="A18859" s="16" t="s">
        <v>12446</v>
      </c>
      <c r="B18859" s="15" t="s">
        <v>12447</v>
      </c>
      <c r="C18859" s="16" t="s">
        <v>10178</v>
      </c>
      <c r="D18859" s="16" t="s">
        <v>10184</v>
      </c>
      <c r="E18859" s="2">
        <v>1262596</v>
      </c>
      <c r="F18859" s="4" t="str">
        <f>IF(B18859=B18858,"",B18859)</f>
        <v>MukeriÄn</v>
      </c>
    </row>
    <row r="18860" spans="1:6" ht="15.75" customHeight="1">
      <c r="A18860" s="16" t="s">
        <v>25932</v>
      </c>
      <c r="B18860" s="15" t="s">
        <v>25932</v>
      </c>
      <c r="C18860" s="16" t="s">
        <v>25771</v>
      </c>
      <c r="D18860" s="16" t="s">
        <v>25932</v>
      </c>
      <c r="E18860" s="2">
        <v>1608597</v>
      </c>
      <c r="F18860" s="4" t="str">
        <f>IF(B18860=B18859,"",B18860)</f>
        <v>Mukdahan</v>
      </c>
    </row>
    <row r="18861" spans="1:6" ht="15.75" customHeight="1">
      <c r="A18861" s="8" t="str">
        <f ca="1">IFERROR(__xludf.DUMMYFUNCTION("GOOGLETRANSLATE(B41661,""en"",""pt"")"),"Mukdahan")</f>
        <v>Mukdahan</v>
      </c>
      <c r="B18861" s="11" t="s">
        <v>25932</v>
      </c>
      <c r="C18861" s="11" t="s">
        <v>25771</v>
      </c>
      <c r="D18861" s="11" t="s">
        <v>25932</v>
      </c>
      <c r="E18861" s="10">
        <v>1608597</v>
      </c>
      <c r="F18861" s="4" t="str">
        <f>IF(B18861=B18860,"",B18861)</f>
        <v/>
      </c>
    </row>
    <row r="18862" spans="1:6" ht="15.75" customHeight="1">
      <c r="A18862" s="16" t="s">
        <v>27073</v>
      </c>
      <c r="B18862" s="15" t="s">
        <v>27073</v>
      </c>
      <c r="C18862" s="16" t="s">
        <v>26870</v>
      </c>
      <c r="D18862" s="16" t="s">
        <v>26902</v>
      </c>
      <c r="E18862" s="2">
        <v>700646</v>
      </c>
      <c r="F18862" s="4" t="str">
        <f>IF(B18862=B18861,"",B18862)</f>
        <v>Mukacheve</v>
      </c>
    </row>
    <row r="18863" spans="1:6" ht="15.75" customHeight="1">
      <c r="A18863" s="8" t="str">
        <f ca="1">IFERROR(__xludf.DUMMYFUNCTION("GOOGLETRANSLATE(B42575,""en"",""pt"")"),"Mukacheve")</f>
        <v>Mukacheve</v>
      </c>
      <c r="B18863" s="11" t="s">
        <v>27073</v>
      </c>
      <c r="C18863" s="11" t="s">
        <v>26870</v>
      </c>
      <c r="D18863" s="11" t="s">
        <v>26902</v>
      </c>
      <c r="E18863" s="10">
        <v>700646</v>
      </c>
      <c r="F18863" s="4" t="str">
        <f>IF(B18863=B18862,"",B18863)</f>
        <v/>
      </c>
    </row>
    <row r="18864" spans="1:6" ht="15.75" customHeight="1">
      <c r="A18864" s="15" t="s">
        <v>16255</v>
      </c>
      <c r="B18864" s="15" t="s">
        <v>16256</v>
      </c>
      <c r="C18864" s="15" t="s">
        <v>15704</v>
      </c>
      <c r="D18864" s="15" t="s">
        <v>15831</v>
      </c>
      <c r="E18864" s="2">
        <v>1856456</v>
      </c>
      <c r="F18864" s="4" t="str">
        <f>IF(B18864=B18863,"",B18864)</f>
        <v>MukÅ</v>
      </c>
    </row>
    <row r="18865" spans="1:6" ht="15.75" customHeight="1">
      <c r="A18865" s="16" t="s">
        <v>4956</v>
      </c>
      <c r="B18865" s="15" t="s">
        <v>4956</v>
      </c>
      <c r="C18865" s="16" t="s">
        <v>4487</v>
      </c>
      <c r="D18865" s="16" t="s">
        <v>4533</v>
      </c>
      <c r="E18865" s="2">
        <v>2035707</v>
      </c>
      <c r="F18865" s="4" t="str">
        <f>IF(B18865=B18864,"",B18865)</f>
        <v>Mujiayingzi</v>
      </c>
    </row>
    <row r="18866" spans="1:6" ht="15.75" customHeight="1">
      <c r="A18866" s="8" t="str">
        <f ca="1">IFERROR(__xludf.DUMMYFUNCTION("GOOGLETRANSLATE(B26715,""en"",""pt"")"),"Mujiayingzi")</f>
        <v>Mujiayingzi</v>
      </c>
      <c r="B18866" s="9" t="s">
        <v>4956</v>
      </c>
      <c r="C18866" s="9" t="s">
        <v>4487</v>
      </c>
      <c r="D18866" s="9" t="s">
        <v>4533</v>
      </c>
      <c r="E18866" s="10">
        <v>2035707</v>
      </c>
      <c r="F18866" s="4" t="str">
        <f>IF(B18866=B18865,"",B18866)</f>
        <v/>
      </c>
    </row>
    <row r="18867" spans="1:6" ht="15.75" customHeight="1">
      <c r="A18867" s="16" t="s">
        <v>16254</v>
      </c>
      <c r="B18867" s="15" t="s">
        <v>16254</v>
      </c>
      <c r="C18867" s="16" t="s">
        <v>15704</v>
      </c>
      <c r="D18867" s="16" t="s">
        <v>15818</v>
      </c>
      <c r="E18867" s="2">
        <v>1856476</v>
      </c>
      <c r="F18867" s="4" t="str">
        <f>IF(B18867=B18866,"",B18867)</f>
        <v>Muikamachi</v>
      </c>
    </row>
    <row r="18868" spans="1:6" ht="15.75" customHeight="1">
      <c r="A18868" s="8" t="str">
        <f ca="1">IFERROR(__xludf.DUMMYFUNCTION("GOOGLETRANSLATE(B35415,""en"",""pt"")"),"Muikamachi")</f>
        <v>Muikamachi</v>
      </c>
      <c r="B18868" s="11" t="s">
        <v>16254</v>
      </c>
      <c r="C18868" s="11" t="s">
        <v>15704</v>
      </c>
      <c r="D18868" s="11" t="s">
        <v>15818</v>
      </c>
      <c r="E18868" s="10">
        <v>1856476</v>
      </c>
      <c r="F18868" s="4" t="str">
        <f>IF(B18868=B18867,"",B18868)</f>
        <v/>
      </c>
    </row>
    <row r="18869" spans="1:6" ht="15.75" customHeight="1">
      <c r="A18869" s="16" t="s">
        <v>16827</v>
      </c>
      <c r="B18869" s="15" t="s">
        <v>16827</v>
      </c>
      <c r="C18869" s="16" t="s">
        <v>16781</v>
      </c>
      <c r="D18869" s="16" t="s">
        <v>16805</v>
      </c>
      <c r="E18869" s="2">
        <v>185939</v>
      </c>
      <c r="F18869" s="4" t="str">
        <f>IF(B18869=B18868,"",B18869)</f>
        <v>Muhoroni</v>
      </c>
    </row>
    <row r="18870" spans="1:6" ht="15.75" customHeight="1">
      <c r="A18870" s="8" t="str">
        <f ca="1">IFERROR(__xludf.DUMMYFUNCTION("GOOGLETRANSLATE(B35898,""en"",""pt"")"),"Muhoroni")</f>
        <v>Muhoroni</v>
      </c>
      <c r="B18870" s="11" t="s">
        <v>16827</v>
      </c>
      <c r="C18870" s="11" t="s">
        <v>16781</v>
      </c>
      <c r="D18870" s="11" t="s">
        <v>16805</v>
      </c>
      <c r="E18870" s="10">
        <v>185939</v>
      </c>
      <c r="F18870" s="4" t="str">
        <f>IF(B18870=B18869,"",B18870)</f>
        <v/>
      </c>
    </row>
    <row r="18871" spans="1:6" ht="15.75" customHeight="1">
      <c r="A18871" s="8" t="str">
        <f ca="1">IFERROR(__xludf.DUMMYFUNCTION("GOOGLETRANSLATE(B27742,""en"",""pt"")"),"Mühlheim am Main")</f>
        <v>Mühlheim am Main</v>
      </c>
      <c r="B18871" s="9" t="s">
        <v>32053</v>
      </c>
      <c r="C18871" s="9" t="s">
        <v>8028</v>
      </c>
      <c r="D18871" s="9" t="s">
        <v>8050</v>
      </c>
      <c r="E18871" s="10">
        <v>2867985</v>
      </c>
      <c r="F18871" s="4" t="str">
        <f>IF(B18871=B18870,"",B18871)</f>
        <v>Mühlheim am Main</v>
      </c>
    </row>
    <row r="18872" spans="1:6" ht="15.75" customHeight="1">
      <c r="A18872" s="8" t="str">
        <f ca="1">IFERROR(__xludf.DUMMYFUNCTION("GOOGLETRANSLATE(B27744,""en"",""pt"")"),"Mühlhausen")</f>
        <v>Mühlhausen</v>
      </c>
      <c r="B18872" s="11" t="s">
        <v>32055</v>
      </c>
      <c r="C18872" s="11" t="s">
        <v>8028</v>
      </c>
      <c r="D18872" s="11" t="s">
        <v>8054</v>
      </c>
      <c r="E18872" s="10">
        <v>2867996</v>
      </c>
      <c r="F18872" s="4" t="str">
        <f>IF(B18872=B18871,"",B18872)</f>
        <v>Mühlhausen</v>
      </c>
    </row>
    <row r="18873" spans="1:6" ht="15.75" customHeight="1">
      <c r="A18873" s="8" t="str">
        <f ca="1">IFERROR(__xludf.DUMMYFUNCTION("GOOGLETRANSLATE(B27745,""en"",""pt"")"),"Mühldorf")</f>
        <v>Mühldorf</v>
      </c>
      <c r="B18873" s="9" t="s">
        <v>32056</v>
      </c>
      <c r="C18873" s="9" t="s">
        <v>8028</v>
      </c>
      <c r="D18873" s="9" t="s">
        <v>8044</v>
      </c>
      <c r="E18873" s="10">
        <v>2868506</v>
      </c>
      <c r="F18873" s="4" t="str">
        <f>IF(B18873=B18872,"",B18873)</f>
        <v>Mühldorf</v>
      </c>
    </row>
    <row r="18874" spans="1:6" ht="15.75" customHeight="1">
      <c r="A18874" s="8" t="str">
        <f ca="1">IFERROR(__xludf.DUMMYFUNCTION("GOOGLETRANSLATE(B27746,""en"",""pt"")"),"Mühlacker")</f>
        <v>Mühlacker</v>
      </c>
      <c r="B18874" s="11" t="s">
        <v>32057</v>
      </c>
      <c r="C18874" s="11" t="s">
        <v>8028</v>
      </c>
      <c r="D18874" s="11" t="s">
        <v>32013</v>
      </c>
      <c r="E18874" s="10">
        <v>2868788</v>
      </c>
      <c r="F18874" s="4" t="str">
        <f>IF(B18874=B18873,"",B18874)</f>
        <v>Mühlacker</v>
      </c>
    </row>
    <row r="18875" spans="1:6" ht="15.75" customHeight="1">
      <c r="A18875" s="15" t="s">
        <v>25707</v>
      </c>
      <c r="B18875" s="15" t="s">
        <v>25707</v>
      </c>
      <c r="C18875" s="15" t="s">
        <v>25560</v>
      </c>
      <c r="D18875" s="15" t="s">
        <v>25586</v>
      </c>
      <c r="E18875" s="2">
        <v>152632</v>
      </c>
      <c r="F18875" s="4" t="str">
        <f>IF(B18875=B18874,"",B18875)</f>
        <v>Muheza</v>
      </c>
    </row>
    <row r="18876" spans="1:6" ht="15.75" customHeight="1">
      <c r="A18876" s="8" t="str">
        <f ca="1">IFERROR(__xludf.DUMMYFUNCTION("GOOGLETRANSLATE(B42333,""en"",""pt"")"),"Muheza")</f>
        <v>Muheza</v>
      </c>
      <c r="B18876" s="11" t="s">
        <v>25707</v>
      </c>
      <c r="C18876" s="11" t="s">
        <v>25560</v>
      </c>
      <c r="D18876" s="11" t="s">
        <v>25586</v>
      </c>
      <c r="E18876" s="10">
        <v>152632</v>
      </c>
      <c r="F18876" s="4" t="str">
        <f>IF(B18876=B18875,"",B18876)</f>
        <v/>
      </c>
    </row>
    <row r="18877" spans="1:6" ht="15.75" customHeight="1">
      <c r="A18877" s="8" t="str">
        <f ca="1">IFERROR(__xludf.DUMMYFUNCTION("GOOGLETRANSLATE(B32738,""en"",""pt"")"),"Muhammadābād")</f>
        <v>Muhammadābād</v>
      </c>
      <c r="B18877" s="9" t="s">
        <v>33368</v>
      </c>
      <c r="C18877" s="9" t="s">
        <v>10178</v>
      </c>
      <c r="D18877" s="9" t="s">
        <v>10193</v>
      </c>
      <c r="E18877" s="10">
        <v>1262624</v>
      </c>
      <c r="F18877" s="4" t="str">
        <f>IF(B18877=B18876,"",B18877)</f>
        <v>Muhammadābād</v>
      </c>
    </row>
    <row r="18878" spans="1:6" ht="15.75" customHeight="1">
      <c r="A18878" s="8" t="str">
        <f ca="1">IFERROR(__xludf.DUMMYFUNCTION("GOOGLETRANSLATE(B32739,""en"",""pt"")"),"Muhammadābād")</f>
        <v>Muhammadābād</v>
      </c>
      <c r="B18878" s="11" t="s">
        <v>33368</v>
      </c>
      <c r="C18878" s="11" t="s">
        <v>10178</v>
      </c>
      <c r="D18878" s="11" t="s">
        <v>10193</v>
      </c>
      <c r="E18878" s="10">
        <v>1262625</v>
      </c>
      <c r="F18878" s="4" t="str">
        <f>IF(B18878=B18877,"",B18878)</f>
        <v/>
      </c>
    </row>
    <row r="18879" spans="1:6" ht="15.75" customHeight="1">
      <c r="A18879" s="8" t="str">
        <f ca="1">IFERROR(__xludf.DUMMYFUNCTION("GOOGLETRANSLATE(B32740,""en"",""pt"")"),"Muhammadābād")</f>
        <v>Muhammadābād</v>
      </c>
      <c r="B18879" s="9" t="s">
        <v>33368</v>
      </c>
      <c r="C18879" s="9" t="s">
        <v>10178</v>
      </c>
      <c r="D18879" s="9" t="s">
        <v>10193</v>
      </c>
      <c r="E18879" s="10">
        <v>1262626</v>
      </c>
      <c r="F18879" s="4" t="str">
        <f>IF(B18879=B18878,"",B18879)</f>
        <v/>
      </c>
    </row>
    <row r="18880" spans="1:6" ht="15.75" customHeight="1">
      <c r="A18880" s="16" t="s">
        <v>12444</v>
      </c>
      <c r="B18880" s="15" t="s">
        <v>12445</v>
      </c>
      <c r="C18880" s="16" t="s">
        <v>10178</v>
      </c>
      <c r="D18880" s="16" t="s">
        <v>10193</v>
      </c>
      <c r="E18880" s="2">
        <v>1262624</v>
      </c>
      <c r="F18880" s="4" t="str">
        <f>IF(B18880=B18879,"",B18880)</f>
        <v>MuhammadÄbÄd</v>
      </c>
    </row>
    <row r="18881" spans="1:6" ht="15.75" customHeight="1">
      <c r="A18881" s="16" t="s">
        <v>12444</v>
      </c>
      <c r="B18881" s="15" t="s">
        <v>12445</v>
      </c>
      <c r="C18881" s="16" t="s">
        <v>10178</v>
      </c>
      <c r="D18881" s="16" t="s">
        <v>10193</v>
      </c>
      <c r="E18881" s="2">
        <v>1262625</v>
      </c>
      <c r="F18881" s="4" t="str">
        <f>IF(B18881=B18880,"",B18881)</f>
        <v/>
      </c>
    </row>
    <row r="18882" spans="1:6" ht="15.75" customHeight="1">
      <c r="A18882" s="16" t="s">
        <v>12444</v>
      </c>
      <c r="B18882" s="15" t="s">
        <v>12445</v>
      </c>
      <c r="C18882" s="16" t="s">
        <v>10178</v>
      </c>
      <c r="D18882" s="16" t="s">
        <v>10193</v>
      </c>
      <c r="E18882" s="2">
        <v>1262626</v>
      </c>
      <c r="F18882" s="4" t="str">
        <f>IF(B18882=B18881,"",B18882)</f>
        <v/>
      </c>
    </row>
    <row r="18883" spans="1:6" ht="15.75" customHeight="1">
      <c r="A18883" s="15" t="s">
        <v>25706</v>
      </c>
      <c r="B18883" s="15" t="s">
        <v>25706</v>
      </c>
      <c r="C18883" s="15" t="s">
        <v>25560</v>
      </c>
      <c r="D18883" s="15" t="s">
        <v>25574</v>
      </c>
      <c r="E18883" s="2">
        <v>152663</v>
      </c>
      <c r="F18883" s="4" t="str">
        <f>IF(B18883=B18882,"",B18883)</f>
        <v>Mugumu</v>
      </c>
    </row>
    <row r="18884" spans="1:6" ht="15.75" customHeight="1">
      <c r="A18884" s="8" t="str">
        <f ca="1">IFERROR(__xludf.DUMMYFUNCTION("GOOGLETRANSLATE(B42334,""en"",""pt"")"),"Mugumu")</f>
        <v>Mugumu</v>
      </c>
      <c r="B18884" s="11" t="s">
        <v>25706</v>
      </c>
      <c r="C18884" s="11" t="s">
        <v>25560</v>
      </c>
      <c r="D18884" s="11" t="s">
        <v>25574</v>
      </c>
      <c r="E18884" s="10">
        <v>152663</v>
      </c>
      <c r="F18884" s="4" t="str">
        <f>IF(B18884=B18883,"",B18884)</f>
        <v/>
      </c>
    </row>
    <row r="18885" spans="1:6" ht="15.75" customHeight="1">
      <c r="A18885" s="16" t="s">
        <v>15303</v>
      </c>
      <c r="B18885" s="15" t="s">
        <v>15303</v>
      </c>
      <c r="C18885" s="16" t="s">
        <v>14891</v>
      </c>
      <c r="D18885" s="16" t="s">
        <v>14896</v>
      </c>
      <c r="E18885" s="2">
        <v>3172472</v>
      </c>
      <c r="F18885" s="4" t="str">
        <f>IF(B18885=B18884,"",B18885)</f>
        <v>Mugnano di Napoli</v>
      </c>
    </row>
    <row r="18886" spans="1:6" ht="15.75" customHeight="1">
      <c r="A18886" s="8" t="str">
        <f ca="1">IFERROR(__xludf.DUMMYFUNCTION("GOOGLETRANSLATE(B34810,""en"",""pt"")"),"Mugnano di Napoli")</f>
        <v>Mugnano di Napoli</v>
      </c>
      <c r="B18886" s="11" t="s">
        <v>15303</v>
      </c>
      <c r="C18886" s="11" t="s">
        <v>14891</v>
      </c>
      <c r="D18886" s="11" t="s">
        <v>14896</v>
      </c>
      <c r="E18886" s="10">
        <v>3172472</v>
      </c>
      <c r="F18886" s="4" t="str">
        <f>IF(B18886=B18885,"",B18886)</f>
        <v/>
      </c>
    </row>
    <row r="18887" spans="1:6" ht="15.75" customHeight="1">
      <c r="A18887" s="8" t="str">
        <f ca="1">IFERROR(__xludf.DUMMYFUNCTION("GOOGLETRANSLATE(B41932,""en"",""pt"")"),"Muğla")</f>
        <v>Muğla</v>
      </c>
      <c r="B18887" s="9" t="s">
        <v>35818</v>
      </c>
      <c r="C18887" s="9" t="s">
        <v>26201</v>
      </c>
      <c r="D18887" s="9" t="s">
        <v>35818</v>
      </c>
      <c r="E18887" s="10">
        <v>304184</v>
      </c>
      <c r="F18887" s="4" t="str">
        <f>IF(B18887=B18886,"",B18887)</f>
        <v>Muğla</v>
      </c>
    </row>
    <row r="18888" spans="1:6" ht="15.75" customHeight="1">
      <c r="A18888" s="8" t="str">
        <f ca="1">IFERROR(__xludf.DUMMYFUNCTION("GOOGLETRANSLATE(B32741,""en"",""pt"")"),"Mughal Sarāi")</f>
        <v>Mughal Sarāi</v>
      </c>
      <c r="B18888" s="11" t="s">
        <v>33369</v>
      </c>
      <c r="C18888" s="11" t="s">
        <v>10178</v>
      </c>
      <c r="D18888" s="11" t="s">
        <v>10193</v>
      </c>
      <c r="E18888" s="10">
        <v>1262634</v>
      </c>
      <c r="F18888" s="4" t="str">
        <f>IF(B18888=B18887,"",B18888)</f>
        <v>Mughal Sarāi</v>
      </c>
    </row>
    <row r="18889" spans="1:6" ht="15.75" customHeight="1">
      <c r="A18889" s="16" t="s">
        <v>12442</v>
      </c>
      <c r="B18889" s="15" t="s">
        <v>12443</v>
      </c>
      <c r="C18889" s="16" t="s">
        <v>10178</v>
      </c>
      <c r="D18889" s="16" t="s">
        <v>10193</v>
      </c>
      <c r="E18889" s="2">
        <v>1262634</v>
      </c>
      <c r="F18889" s="4" t="str">
        <f>IF(B18889=B18888,"",B18889)</f>
        <v>Mughal SarÄi</v>
      </c>
    </row>
    <row r="18890" spans="1:6" ht="15.75" customHeight="1">
      <c r="A18890" s="8" t="str">
        <f ca="1">IFERROR(__xludf.DUMMYFUNCTION("GOOGLETRANSLATE(B34811,""en"",""pt"")"),"Muggiò")</f>
        <v>Muggiò</v>
      </c>
      <c r="B18890" s="11" t="s">
        <v>34270</v>
      </c>
      <c r="C18890" s="11" t="s">
        <v>14891</v>
      </c>
      <c r="D18890" s="11" t="s">
        <v>14894</v>
      </c>
      <c r="E18890" s="10">
        <v>3172479</v>
      </c>
      <c r="F18890" s="4" t="str">
        <f>IF(B18890=B18889,"",B18890)</f>
        <v>Muggiò</v>
      </c>
    </row>
    <row r="18891" spans="1:6" ht="15.75" customHeight="1">
      <c r="A18891" s="15" t="s">
        <v>15301</v>
      </c>
      <c r="B18891" s="15" t="s">
        <v>15302</v>
      </c>
      <c r="C18891" s="15" t="s">
        <v>14891</v>
      </c>
      <c r="D18891" s="15" t="s">
        <v>14894</v>
      </c>
      <c r="E18891" s="2">
        <v>3172479</v>
      </c>
      <c r="F18891" s="4" t="str">
        <f>IF(B18891=B18890,"",B18891)</f>
        <v>MuggiÃ²</v>
      </c>
    </row>
    <row r="18892" spans="1:6" ht="15.75" customHeight="1">
      <c r="A18892" s="15" t="s">
        <v>31062</v>
      </c>
      <c r="B18892" s="15" t="s">
        <v>31062</v>
      </c>
      <c r="C18892" s="15" t="s">
        <v>31038</v>
      </c>
      <c r="D18892" s="15" t="s">
        <v>31039</v>
      </c>
      <c r="E18892" s="2">
        <v>905395</v>
      </c>
      <c r="F18892" s="4" t="str">
        <f>IF(B18892=B18891,"",B18892)</f>
        <v>Mufulira</v>
      </c>
    </row>
    <row r="18893" spans="1:6" ht="15.75" customHeight="1">
      <c r="A18893" s="8" t="str">
        <f ca="1">IFERROR(__xludf.DUMMYFUNCTION("GOOGLETRANSLATE(B46011,""en"",""pt"")"),"Mufulira")</f>
        <v>Mufulira</v>
      </c>
      <c r="B18893" s="9" t="s">
        <v>31062</v>
      </c>
      <c r="C18893" s="9" t="s">
        <v>31038</v>
      </c>
      <c r="D18893" s="9" t="s">
        <v>31039</v>
      </c>
      <c r="E18893" s="10">
        <v>905395</v>
      </c>
      <c r="F18893" s="4" t="str">
        <f>IF(B18893=B18892,"",B18893)</f>
        <v/>
      </c>
    </row>
    <row r="18894" spans="1:6" ht="15.75" customHeight="1">
      <c r="A18894" s="16" t="s">
        <v>25930</v>
      </c>
      <c r="B18894" s="15" t="s">
        <v>25931</v>
      </c>
      <c r="C18894" s="16" t="s">
        <v>25771</v>
      </c>
      <c r="D18894" s="16" t="s">
        <v>25828</v>
      </c>
      <c r="E18894" s="2">
        <v>1608133</v>
      </c>
      <c r="F18894" s="4" t="str">
        <f>IF(B18894=B18893,"",B18894)</f>
        <v>Mueang Nonthaburi</v>
      </c>
    </row>
    <row r="18895" spans="1:6" ht="15.75" customHeight="1">
      <c r="A18895" s="8" t="str">
        <f ca="1">IFERROR(__xludf.DUMMYFUNCTION("GOOGLETRANSLATE(B41645,""en"",""pt"")"),"MUEANG NONTHABURI")</f>
        <v>MUEANG NONTHABURI</v>
      </c>
      <c r="B18895" s="9" t="s">
        <v>25931</v>
      </c>
      <c r="C18895" s="9" t="s">
        <v>25771</v>
      </c>
      <c r="D18895" s="9" t="s">
        <v>25828</v>
      </c>
      <c r="E18895" s="10">
        <v>1608133</v>
      </c>
      <c r="F18895" s="4" t="str">
        <f>IF(B18895=B18894,"",B18895)</f>
        <v/>
      </c>
    </row>
    <row r="18896" spans="1:6" ht="15.75" customHeight="1">
      <c r="A18896" s="15" t="s">
        <v>4955</v>
      </c>
      <c r="B18896" s="15" t="s">
        <v>4955</v>
      </c>
      <c r="C18896" s="15" t="s">
        <v>4487</v>
      </c>
      <c r="D18896" s="15" t="s">
        <v>4535</v>
      </c>
      <c r="E18896" s="2">
        <v>1898359</v>
      </c>
      <c r="F18896" s="4" t="str">
        <f>IF(B18896=B18895,"",B18896)</f>
        <v>Mudu</v>
      </c>
    </row>
    <row r="18897" spans="1:6" ht="15.75" customHeight="1">
      <c r="A18897" s="8" t="str">
        <f ca="1">IFERROR(__xludf.DUMMYFUNCTION("GOOGLETRANSLATE(B26637,""en"",""pt"")"),"Mudu")</f>
        <v>Mudu</v>
      </c>
      <c r="B18897" s="9" t="s">
        <v>4955</v>
      </c>
      <c r="C18897" s="9" t="s">
        <v>4487</v>
      </c>
      <c r="D18897" s="9" t="s">
        <v>4535</v>
      </c>
      <c r="E18897" s="10">
        <v>1898359</v>
      </c>
      <c r="F18897" s="4" t="str">
        <f>IF(B18897=B18896,"",B18897)</f>
        <v/>
      </c>
    </row>
    <row r="18898" spans="1:6" ht="15.75" customHeight="1">
      <c r="A18898" s="15" t="s">
        <v>18734</v>
      </c>
      <c r="B18898" s="15" t="s">
        <v>18734</v>
      </c>
      <c r="C18898" s="15" t="s">
        <v>18696</v>
      </c>
      <c r="D18898" s="15" t="s">
        <v>12419</v>
      </c>
      <c r="E18898" s="2">
        <v>1308415</v>
      </c>
      <c r="F18898" s="4" t="str">
        <f>IF(B18898=B18897,"",B18898)</f>
        <v>Mudon</v>
      </c>
    </row>
    <row r="18899" spans="1:6" ht="15.75" customHeight="1">
      <c r="A18899" s="8" t="str">
        <f ca="1">IFERROR(__xludf.DUMMYFUNCTION("GOOGLETRANSLATE(B36731,""en"",""pt"")"),"Mudon")</f>
        <v>Mudon</v>
      </c>
      <c r="B18899" s="9" t="s">
        <v>18734</v>
      </c>
      <c r="C18899" s="9" t="s">
        <v>18696</v>
      </c>
      <c r="D18899" s="9" t="s">
        <v>12419</v>
      </c>
      <c r="E18899" s="10">
        <v>1308415</v>
      </c>
      <c r="F18899" s="4" t="str">
        <f>IF(B18899=B18898,"",B18899)</f>
        <v/>
      </c>
    </row>
    <row r="18900" spans="1:6" ht="15.75" customHeight="1">
      <c r="A18900" s="15" t="s">
        <v>12441</v>
      </c>
      <c r="B18900" s="15" t="s">
        <v>12441</v>
      </c>
      <c r="C18900" s="15" t="s">
        <v>10178</v>
      </c>
      <c r="D18900" s="15" t="s">
        <v>10214</v>
      </c>
      <c r="E18900" s="2">
        <v>1262651</v>
      </c>
      <c r="F18900" s="4" t="str">
        <f>IF(B18900=B18899,"",B18900)</f>
        <v>Mudkhed</v>
      </c>
    </row>
    <row r="18901" spans="1:6" ht="15.75" customHeight="1">
      <c r="A18901" s="8" t="str">
        <f ca="1">IFERROR(__xludf.DUMMYFUNCTION("GOOGLETRANSLATE(B32742,""en"",""pt"")"),"Mudkhed")</f>
        <v>Mudkhed</v>
      </c>
      <c r="B18901" s="11" t="s">
        <v>12441</v>
      </c>
      <c r="C18901" s="11" t="s">
        <v>10178</v>
      </c>
      <c r="D18901" s="11" t="s">
        <v>10214</v>
      </c>
      <c r="E18901" s="10">
        <v>1262651</v>
      </c>
      <c r="F18901" s="4" t="str">
        <f>IF(B18901=B18900,"",B18901)</f>
        <v/>
      </c>
    </row>
    <row r="18902" spans="1:6" ht="15.75" customHeight="1">
      <c r="A18902" s="15" t="s">
        <v>12440</v>
      </c>
      <c r="B18902" s="15" t="s">
        <v>12440</v>
      </c>
      <c r="C18902" s="15" t="s">
        <v>10178</v>
      </c>
      <c r="D18902" s="15" t="s">
        <v>10252</v>
      </c>
      <c r="E18902" s="2">
        <v>1262663</v>
      </c>
      <c r="F18902" s="4" t="str">
        <f>IF(B18902=B18901,"",B18902)</f>
        <v>Mudhol</v>
      </c>
    </row>
    <row r="18903" spans="1:6" ht="15.75" customHeight="1">
      <c r="A18903" s="8" t="str">
        <f ca="1">IFERROR(__xludf.DUMMYFUNCTION("GOOGLETRANSLATE(B32743,""en"",""pt"")"),"Mudhol")</f>
        <v>Mudhol</v>
      </c>
      <c r="B18903" s="9" t="s">
        <v>12440</v>
      </c>
      <c r="C18903" s="9" t="s">
        <v>10178</v>
      </c>
      <c r="D18903" s="9" t="s">
        <v>10252</v>
      </c>
      <c r="E18903" s="10">
        <v>1262663</v>
      </c>
      <c r="F18903" s="4" t="str">
        <f>IF(B18903=B18902,"",B18903)</f>
        <v/>
      </c>
    </row>
    <row r="18904" spans="1:6" ht="15.75" customHeight="1">
      <c r="A18904" s="15" t="s">
        <v>12439</v>
      </c>
      <c r="B18904" s="15" t="s">
        <v>12439</v>
      </c>
      <c r="C18904" s="15" t="s">
        <v>10178</v>
      </c>
      <c r="D18904" s="15" t="s">
        <v>10252</v>
      </c>
      <c r="E18904" s="2">
        <v>1262664</v>
      </c>
      <c r="F18904" s="4" t="str">
        <f>IF(B18904=B18903,"",B18904)</f>
        <v>Mudgal</v>
      </c>
    </row>
    <row r="18905" spans="1:6" ht="15.75" customHeight="1">
      <c r="A18905" s="8" t="str">
        <f ca="1">IFERROR(__xludf.DUMMYFUNCTION("GOOGLETRANSLATE(B32744,""en"",""pt"")"),"Mudgal")</f>
        <v>Mudgal</v>
      </c>
      <c r="B18905" s="9" t="s">
        <v>12439</v>
      </c>
      <c r="C18905" s="9" t="s">
        <v>10178</v>
      </c>
      <c r="D18905" s="9" t="s">
        <v>10252</v>
      </c>
      <c r="E18905" s="10">
        <v>1262664</v>
      </c>
      <c r="F18905" s="4" t="str">
        <f>IF(B18905=B18904,"",B18905)</f>
        <v/>
      </c>
    </row>
    <row r="18906" spans="1:6" ht="15.75" customHeight="1">
      <c r="A18906" s="8" t="str">
        <f ca="1">IFERROR(__xludf.DUMMYFUNCTION("GOOGLETRANSLATE(B32745,""en"",""pt"")"),"Muddebihāl")</f>
        <v>Muddebihāl</v>
      </c>
      <c r="B18906" s="11" t="s">
        <v>33370</v>
      </c>
      <c r="C18906" s="11" t="s">
        <v>10178</v>
      </c>
      <c r="D18906" s="11" t="s">
        <v>10252</v>
      </c>
      <c r="E18906" s="10">
        <v>1262669</v>
      </c>
      <c r="F18906" s="4" t="str">
        <f>IF(B18906=B18905,"",B18906)</f>
        <v>Muddebihāl</v>
      </c>
    </row>
    <row r="18907" spans="1:6" ht="15.75" customHeight="1">
      <c r="A18907" s="16" t="s">
        <v>12437</v>
      </c>
      <c r="B18907" s="15" t="s">
        <v>12438</v>
      </c>
      <c r="C18907" s="16" t="s">
        <v>10178</v>
      </c>
      <c r="D18907" s="16" t="s">
        <v>10252</v>
      </c>
      <c r="E18907" s="2">
        <v>1262669</v>
      </c>
      <c r="F18907" s="4" t="str">
        <f>IF(B18907=B18906,"",B18907)</f>
        <v>MuddebihÄl</v>
      </c>
    </row>
    <row r="18908" spans="1:6" ht="15.75" customHeight="1">
      <c r="A18908" s="8" t="str">
        <f ca="1">IFERROR(__xludf.DUMMYFUNCTION("GOOGLETRANSLATE(B32746,""en"",""pt"")"),"Mūdbidri")</f>
        <v>Mūdbidri</v>
      </c>
      <c r="B18908" s="11" t="s">
        <v>33371</v>
      </c>
      <c r="C18908" s="11" t="s">
        <v>10178</v>
      </c>
      <c r="D18908" s="11" t="s">
        <v>10252</v>
      </c>
      <c r="E18908" s="10">
        <v>1262672</v>
      </c>
      <c r="F18908" s="4" t="str">
        <f>IF(B18908=B18907,"",B18908)</f>
        <v>Mūdbidri</v>
      </c>
    </row>
    <row r="18909" spans="1:6" ht="15.75" customHeight="1">
      <c r="A18909" s="15" t="s">
        <v>26639</v>
      </c>
      <c r="B18909" s="15" t="s">
        <v>26639</v>
      </c>
      <c r="C18909" s="15" t="s">
        <v>26201</v>
      </c>
      <c r="D18909" s="15" t="s">
        <v>26205</v>
      </c>
      <c r="E18909" s="2">
        <v>741487</v>
      </c>
      <c r="F18909" s="4" t="str">
        <f>IF(B18909=B18908,"",B18909)</f>
        <v>Mudanya</v>
      </c>
    </row>
    <row r="18910" spans="1:6" ht="15.75" customHeight="1">
      <c r="A18910" s="8" t="str">
        <f ca="1">IFERROR(__xludf.DUMMYFUNCTION("GOOGLETRANSLATE(B42134,""en"",""pt"")"),"Mudanya")</f>
        <v>Mudanya</v>
      </c>
      <c r="B18910" s="11" t="s">
        <v>26639</v>
      </c>
      <c r="C18910" s="11" t="s">
        <v>26201</v>
      </c>
      <c r="D18910" s="11" t="s">
        <v>26205</v>
      </c>
      <c r="E18910" s="10">
        <v>741487</v>
      </c>
      <c r="F18910" s="4" t="str">
        <f>IF(B18910=B18909,"",B18910)</f>
        <v/>
      </c>
    </row>
    <row r="18911" spans="1:6" ht="15.75" customHeight="1">
      <c r="A18911" s="16" t="s">
        <v>4954</v>
      </c>
      <c r="B18911" s="15" t="s">
        <v>4954</v>
      </c>
      <c r="C18911" s="16" t="s">
        <v>4487</v>
      </c>
      <c r="D18911" s="16" t="s">
        <v>4488</v>
      </c>
      <c r="E18911" s="2">
        <v>2035715</v>
      </c>
      <c r="F18911" s="4" t="str">
        <f>IF(B18911=B18910,"",B18911)</f>
        <v>Mudanjiang</v>
      </c>
    </row>
    <row r="18912" spans="1:6" ht="15.75" customHeight="1">
      <c r="A18912" s="8" t="str">
        <f ca="1">IFERROR(__xludf.DUMMYFUNCTION("GOOGLETRANSLATE(B26716,""en"",""pt"")"),"Mudanjiang")</f>
        <v>Mudanjiang</v>
      </c>
      <c r="B18912" s="11" t="s">
        <v>4954</v>
      </c>
      <c r="C18912" s="11" t="s">
        <v>4487</v>
      </c>
      <c r="D18912" s="11" t="s">
        <v>4488</v>
      </c>
      <c r="E18912" s="10">
        <v>2035715</v>
      </c>
      <c r="F18912" s="4" t="str">
        <f>IF(B18912=B18911,"",B18912)</f>
        <v/>
      </c>
    </row>
    <row r="18913" spans="1:6" ht="15.75" customHeight="1">
      <c r="A18913" s="15" t="s">
        <v>2932</v>
      </c>
      <c r="B18913" s="15" t="s">
        <v>2932</v>
      </c>
      <c r="C18913" s="15" t="s">
        <v>1905</v>
      </c>
      <c r="D18913" s="15" t="s">
        <v>1947</v>
      </c>
      <c r="E18913" s="2">
        <v>3456593</v>
      </c>
      <c r="F18913" s="4" t="str">
        <f>IF(B18913=B18912,"",B18913)</f>
        <v>Mucuri</v>
      </c>
    </row>
    <row r="18914" spans="1:6" ht="15.75" customHeight="1">
      <c r="A18914" s="8" t="str">
        <f ca="1">IFERROR(__xludf.DUMMYFUNCTION("GOOGLETRANSLATE(B24796,""en"",""pt"")"),"Mucuri")</f>
        <v>Mucuri</v>
      </c>
      <c r="B18914" s="11" t="s">
        <v>2932</v>
      </c>
      <c r="C18914" s="11" t="s">
        <v>1905</v>
      </c>
      <c r="D18914" s="11" t="s">
        <v>1947</v>
      </c>
      <c r="E18914" s="10">
        <v>3456593</v>
      </c>
      <c r="F18914" s="4" t="str">
        <f>IF(B18914=B18913,"",B18914)</f>
        <v/>
      </c>
    </row>
    <row r="18915" spans="1:6" ht="15.75" customHeight="1">
      <c r="A18915" s="15" t="s">
        <v>26638</v>
      </c>
      <c r="B18915" s="15" t="s">
        <v>26638</v>
      </c>
      <c r="C18915" s="15" t="s">
        <v>26201</v>
      </c>
      <c r="D18915" s="15" t="s">
        <v>26557</v>
      </c>
      <c r="E18915" s="2">
        <v>304196</v>
      </c>
      <c r="F18915" s="4" t="str">
        <f>IF(B18915=B18914,"",B18915)</f>
        <v>Mucur</v>
      </c>
    </row>
    <row r="18916" spans="1:6" ht="15.75" customHeight="1">
      <c r="A18916" s="8" t="str">
        <f ca="1">IFERROR(__xludf.DUMMYFUNCTION("GOOGLETRANSLATE(B41933,""en"",""pt"")"),"Mucur")</f>
        <v>Mucur</v>
      </c>
      <c r="B18916" s="11" t="s">
        <v>26638</v>
      </c>
      <c r="C18916" s="11" t="s">
        <v>26201</v>
      </c>
      <c r="D18916" s="11" t="s">
        <v>35852</v>
      </c>
      <c r="E18916" s="10">
        <v>304196</v>
      </c>
      <c r="F18916" s="4" t="str">
        <f>IF(B18916=B18915,"",B18916)</f>
        <v/>
      </c>
    </row>
    <row r="18917" spans="1:6" ht="15.75" customHeight="1">
      <c r="A18917" s="16" t="s">
        <v>30732</v>
      </c>
      <c r="B18917" s="15" t="s">
        <v>30732</v>
      </c>
      <c r="C18917" s="16" t="s">
        <v>5923</v>
      </c>
      <c r="D18917" s="16" t="s">
        <v>18059</v>
      </c>
      <c r="E18917" s="2">
        <v>3631741</v>
      </c>
      <c r="F18917" s="4" t="str">
        <f>IF(B18917=B18916,"",B18917)</f>
        <v>Mucumpiz</v>
      </c>
    </row>
    <row r="18918" spans="1:6" ht="15.75" customHeight="1">
      <c r="A18918" s="8" t="str">
        <f ca="1">IFERROR(__xludf.DUMMYFUNCTION("GOOGLETRANSLATE(B45642,""en"",""pt"")"),"Mucumpiz")</f>
        <v>Mucumpiz</v>
      </c>
      <c r="B18918" s="11" t="s">
        <v>30732</v>
      </c>
      <c r="C18918" s="11" t="s">
        <v>5923</v>
      </c>
      <c r="D18918" s="11" t="s">
        <v>32369</v>
      </c>
      <c r="E18918" s="10">
        <v>3631741</v>
      </c>
      <c r="F18918" s="4" t="str">
        <f>IF(B18918=B18917,"",B18918)</f>
        <v/>
      </c>
    </row>
    <row r="18919" spans="1:6" ht="15.75" customHeight="1">
      <c r="A18919" s="16" t="s">
        <v>24644</v>
      </c>
      <c r="B18919" s="15" t="s">
        <v>24644</v>
      </c>
      <c r="C18919" s="16" t="s">
        <v>24200</v>
      </c>
      <c r="D18919" s="16" t="s">
        <v>21053</v>
      </c>
      <c r="E18919" s="2">
        <v>2513465</v>
      </c>
      <c r="F18919" s="4" t="str">
        <f>IF(B18919=B18918,"",B18919)</f>
        <v>Muchamiel</v>
      </c>
    </row>
    <row r="18920" spans="1:6" ht="15.75" customHeight="1">
      <c r="A18920" s="8" t="str">
        <f ca="1">IFERROR(__xludf.DUMMYFUNCTION("GOOGLETRANSLATE(B29044,""en"",""pt"")"),"Muchamiel")</f>
        <v>Muchamiel</v>
      </c>
      <c r="B18920" s="11" t="s">
        <v>24644</v>
      </c>
      <c r="C18920" s="11" t="s">
        <v>24200</v>
      </c>
      <c r="D18920" s="11" t="s">
        <v>21053</v>
      </c>
      <c r="E18920" s="10">
        <v>2513465</v>
      </c>
      <c r="F18920" s="4" t="str">
        <f>IF(B18920=B18919,"",B18920)</f>
        <v/>
      </c>
    </row>
    <row r="18921" spans="1:6" ht="15.75" customHeight="1">
      <c r="A18921" s="15" t="s">
        <v>1147</v>
      </c>
      <c r="B18921" s="15" t="s">
        <v>8864</v>
      </c>
      <c r="C18921" s="15" t="s">
        <v>8028</v>
      </c>
      <c r="D18921" s="15" t="s">
        <v>8029</v>
      </c>
      <c r="E18921" s="2">
        <v>2868936</v>
      </c>
      <c r="F18921" s="4" t="str">
        <f>IF(B18921=B18920,"",B18921)</f>
        <v>Much</v>
      </c>
    </row>
    <row r="18922" spans="1:6" ht="15.75" customHeight="1">
      <c r="A18922" s="8" t="str">
        <f ca="1">IFERROR(__xludf.DUMMYFUNCTION("GOOGLETRANSLATE(B27747,""en"",""pt"")"),"Muito")</f>
        <v>Muito</v>
      </c>
      <c r="B18922" s="11" t="s">
        <v>8864</v>
      </c>
      <c r="C18922" s="11" t="s">
        <v>8028</v>
      </c>
      <c r="D18922" s="11" t="s">
        <v>8029</v>
      </c>
      <c r="E18922" s="10">
        <v>2868936</v>
      </c>
      <c r="F18922" s="4" t="str">
        <f>IF(B18922=B18921,"",B18922)</f>
        <v/>
      </c>
    </row>
    <row r="18923" spans="1:6" ht="15.75" customHeight="1">
      <c r="A18923" s="15" t="s">
        <v>30567</v>
      </c>
      <c r="B18923" s="15" t="s">
        <v>30567</v>
      </c>
      <c r="C18923" s="15" t="s">
        <v>30502</v>
      </c>
      <c r="D18923" s="15" t="s">
        <v>30515</v>
      </c>
      <c r="E18923" s="2">
        <v>1216475</v>
      </c>
      <c r="F18923" s="4" t="str">
        <f>IF(B18923=B18922,"",B18923)</f>
        <v>Muborak</v>
      </c>
    </row>
    <row r="18924" spans="1:6" ht="15.75" customHeight="1">
      <c r="A18924" s="8" t="str">
        <f ca="1">IFERROR(__xludf.DUMMYFUNCTION("GOOGLETRANSLATE(B45510,""en"",""pt"")"),"Muborak")</f>
        <v>Muborak</v>
      </c>
      <c r="B18924" s="11" t="s">
        <v>30567</v>
      </c>
      <c r="C18924" s="11" t="s">
        <v>30502</v>
      </c>
      <c r="D18924" s="11" t="s">
        <v>30515</v>
      </c>
      <c r="E18924" s="10">
        <v>1216475</v>
      </c>
      <c r="F18924" s="4" t="str">
        <f>IF(B18924=B18923,"",B18924)</f>
        <v/>
      </c>
    </row>
    <row r="18925" spans="1:6" ht="15.75" customHeight="1">
      <c r="A18925" s="15" t="s">
        <v>19507</v>
      </c>
      <c r="B18925" s="15" t="s">
        <v>19507</v>
      </c>
      <c r="C18925" s="15" t="s">
        <v>19294</v>
      </c>
      <c r="D18925" s="15" t="s">
        <v>19403</v>
      </c>
      <c r="E18925" s="2">
        <v>2329821</v>
      </c>
      <c r="F18925" s="4" t="str">
        <f>IF(B18925=B18924,"",B18925)</f>
        <v>Mubi</v>
      </c>
    </row>
    <row r="18926" spans="1:6" ht="15.75" customHeight="1">
      <c r="A18926" s="8" t="str">
        <f ca="1">IFERROR(__xludf.DUMMYFUNCTION("GOOGLETRANSLATE(B37675,""en"",""pt"")"),"Mubi")</f>
        <v>Mubi</v>
      </c>
      <c r="B18926" s="9" t="s">
        <v>19507</v>
      </c>
      <c r="C18926" s="9" t="s">
        <v>19294</v>
      </c>
      <c r="D18926" s="9" t="s">
        <v>19403</v>
      </c>
      <c r="E18926" s="10">
        <v>2329821</v>
      </c>
      <c r="F18926" s="4" t="str">
        <f>IF(B18926=B18925,"",B18926)</f>
        <v/>
      </c>
    </row>
    <row r="18927" spans="1:6" ht="15.75" customHeight="1">
      <c r="A18927" s="15" t="s">
        <v>26853</v>
      </c>
      <c r="B18927" s="15" t="s">
        <v>26853</v>
      </c>
      <c r="C18927" s="15" t="s">
        <v>26820</v>
      </c>
      <c r="D18927" s="15" t="s">
        <v>17414</v>
      </c>
      <c r="E18927" s="2">
        <v>228971</v>
      </c>
      <c r="F18927" s="4" t="str">
        <f>IF(B18927=B18926,"",B18927)</f>
        <v>Mubende</v>
      </c>
    </row>
    <row r="18928" spans="1:6" ht="15.75" customHeight="1">
      <c r="A18928" s="8" t="str">
        <f ca="1">IFERROR(__xludf.DUMMYFUNCTION("GOOGLETRANSLATE(B42737,""en"",""pt"")"),"Mubende")</f>
        <v>Mubende</v>
      </c>
      <c r="B18928" s="11" t="s">
        <v>26853</v>
      </c>
      <c r="C18928" s="11" t="s">
        <v>26820</v>
      </c>
      <c r="D18928" s="11" t="s">
        <v>17414</v>
      </c>
      <c r="E18928" s="10">
        <v>228971</v>
      </c>
      <c r="F18928" s="4" t="str">
        <f>IF(B18928=B18927,"",B18928)</f>
        <v/>
      </c>
    </row>
    <row r="18929" spans="1:6" ht="15.75" customHeight="1">
      <c r="A18929" s="8" t="str">
        <f ca="1">IFERROR(__xludf.DUMMYFUNCTION("GOOGLETRANSLATE(B32747,""en"",""pt"")"),"Mubārakpur")</f>
        <v>Mubārakpur</v>
      </c>
      <c r="B18929" s="9" t="s">
        <v>33372</v>
      </c>
      <c r="C18929" s="9" t="s">
        <v>10178</v>
      </c>
      <c r="D18929" s="9" t="s">
        <v>10193</v>
      </c>
      <c r="E18929" s="10">
        <v>1262678</v>
      </c>
      <c r="F18929" s="4" t="str">
        <f>IF(B18929=B18928,"",B18929)</f>
        <v>Mubārakpur</v>
      </c>
    </row>
    <row r="18930" spans="1:6" ht="15.75" customHeight="1">
      <c r="A18930" s="16" t="s">
        <v>12435</v>
      </c>
      <c r="B18930" s="15" t="s">
        <v>12436</v>
      </c>
      <c r="C18930" s="16" t="s">
        <v>10178</v>
      </c>
      <c r="D18930" s="16" t="s">
        <v>10193</v>
      </c>
      <c r="E18930" s="2">
        <v>1262678</v>
      </c>
      <c r="F18930" s="4" t="str">
        <f>IF(B18930=B18929,"",B18930)</f>
        <v>MubÄrakpur</v>
      </c>
    </row>
    <row r="18931" spans="1:6" ht="15.75" customHeight="1">
      <c r="A18931" s="15" t="s">
        <v>26637</v>
      </c>
      <c r="B18931" s="15" t="s">
        <v>26409</v>
      </c>
      <c r="C18931" s="15" t="s">
        <v>26201</v>
      </c>
      <c r="D18931" s="15" t="s">
        <v>26409</v>
      </c>
      <c r="E18931" s="2">
        <v>304184</v>
      </c>
      <c r="F18931" s="4" t="str">
        <f>IF(B18931=B18930,"",B18931)</f>
        <v>MuÄŸla</v>
      </c>
    </row>
    <row r="18932" spans="1:6" ht="15.75" customHeight="1">
      <c r="A18932" s="15" t="s">
        <v>26636</v>
      </c>
      <c r="B18932" s="15" t="s">
        <v>26423</v>
      </c>
      <c r="C18932" s="15" t="s">
        <v>26201</v>
      </c>
      <c r="D18932" s="15" t="s">
        <v>26423</v>
      </c>
      <c r="E18932" s="2">
        <v>304081</v>
      </c>
      <c r="F18932" s="4" t="str">
        <f>IF(B18932=B18931,"",B18932)</f>
        <v>MuÅŸ</v>
      </c>
    </row>
    <row r="18933" spans="1:6" ht="15.75" customHeight="1">
      <c r="A18933" s="15" t="s">
        <v>17532</v>
      </c>
      <c r="B18933" s="15" t="s">
        <v>17532</v>
      </c>
      <c r="C18933" s="15" t="s">
        <v>17432</v>
      </c>
      <c r="D18933" s="15" t="s">
        <v>17442</v>
      </c>
      <c r="E18933" s="2">
        <v>1732869</v>
      </c>
      <c r="F18933" s="4" t="str">
        <f>IF(B18933=B18932,"",B18933)</f>
        <v>Muar</v>
      </c>
    </row>
    <row r="18934" spans="1:6" ht="15.75" customHeight="1">
      <c r="A18934" s="8" t="str">
        <f ca="1">IFERROR(__xludf.DUMMYFUNCTION("GOOGLETRANSLATE(B37421,""en"",""pt"")"),"Muar")</f>
        <v>Muar</v>
      </c>
      <c r="B18934" s="11" t="s">
        <v>17532</v>
      </c>
      <c r="C18934" s="11" t="s">
        <v>17432</v>
      </c>
      <c r="D18934" s="11" t="s">
        <v>17442</v>
      </c>
      <c r="E18934" s="10">
        <v>1732869</v>
      </c>
      <c r="F18934" s="4" t="str">
        <f>IF(B18934=B18933,"",B18934)</f>
        <v/>
      </c>
    </row>
    <row r="18935" spans="1:6" ht="15.75" customHeight="1">
      <c r="A18935" s="16" t="s">
        <v>16963</v>
      </c>
      <c r="B18935" s="15" t="s">
        <v>16963</v>
      </c>
      <c r="C18935" s="16" t="s">
        <v>16954</v>
      </c>
      <c r="D18935" s="16" t="s">
        <v>16964</v>
      </c>
      <c r="E18935" s="2">
        <v>1655078</v>
      </c>
      <c r="F18935" s="4" t="str">
        <f>IF(B18935=B18934,"",B18935)</f>
        <v>Muang Xay</v>
      </c>
    </row>
    <row r="18936" spans="1:6" ht="15.75" customHeight="1">
      <c r="A18936" s="8" t="str">
        <f ca="1">IFERROR(__xludf.DUMMYFUNCTION("GOOGLETRANSLATE(B36267,""en"",""pt"")"),"Muang Xay")</f>
        <v>Muang Xay</v>
      </c>
      <c r="B18936" s="11" t="s">
        <v>16963</v>
      </c>
      <c r="C18936" s="11" t="s">
        <v>16954</v>
      </c>
      <c r="D18936" s="11" t="s">
        <v>34511</v>
      </c>
      <c r="E18936" s="10">
        <v>1655078</v>
      </c>
      <c r="F18936" s="4" t="str">
        <f>IF(B18936=B18935,"",B18936)</f>
        <v/>
      </c>
    </row>
    <row r="18937" spans="1:6" ht="15.75" customHeight="1">
      <c r="A18937" s="8" t="str">
        <f ca="1">IFERROR(__xludf.DUMMYFUNCTION("GOOGLETRANSLATE(B36269,""en"",""pt"")"),"Muang Phônsavan")</f>
        <v>Muang Phônsavan</v>
      </c>
      <c r="B18937" s="9" t="s">
        <v>34512</v>
      </c>
      <c r="C18937" s="9" t="s">
        <v>16954</v>
      </c>
      <c r="D18937" s="9" t="s">
        <v>16962</v>
      </c>
      <c r="E18937" s="10">
        <v>1655123</v>
      </c>
      <c r="F18937" s="4" t="str">
        <f>IF(B18937=B18936,"",B18937)</f>
        <v>Muang Phônsavan</v>
      </c>
    </row>
    <row r="18938" spans="1:6" ht="15.75" customHeight="1">
      <c r="A18938" s="16" t="s">
        <v>16960</v>
      </c>
      <c r="B18938" s="15" t="s">
        <v>16961</v>
      </c>
      <c r="C18938" s="16" t="s">
        <v>16954</v>
      </c>
      <c r="D18938" s="16" t="s">
        <v>16962</v>
      </c>
      <c r="E18938" s="2">
        <v>1655123</v>
      </c>
      <c r="F18938" s="4" t="str">
        <f>IF(B18938=B18937,"",B18938)</f>
        <v>Muang PhÃ´nsavan</v>
      </c>
    </row>
    <row r="18939" spans="1:6" ht="15.75" customHeight="1">
      <c r="A18939" s="16" t="s">
        <v>16958</v>
      </c>
      <c r="B18939" s="15" t="s">
        <v>16958</v>
      </c>
      <c r="C18939" s="16" t="s">
        <v>16954</v>
      </c>
      <c r="D18939" s="16" t="s">
        <v>16959</v>
      </c>
      <c r="E18939" s="2">
        <v>1655140</v>
      </c>
      <c r="F18939" s="4" t="str">
        <f>IF(B18939=B18938,"",B18939)</f>
        <v>Muang Pakxan</v>
      </c>
    </row>
    <row r="18940" spans="1:6" ht="15.75" customHeight="1">
      <c r="A18940" s="8" t="str">
        <f ca="1">IFERROR(__xludf.DUMMYFUNCTION("GOOGLETRANSLATE(B36270,""en"",""pt"")"),"Muang Pakxan")</f>
        <v>Muang Pakxan</v>
      </c>
      <c r="B18940" s="11" t="s">
        <v>16958</v>
      </c>
      <c r="C18940" s="11" t="s">
        <v>16954</v>
      </c>
      <c r="D18940" s="11" t="s">
        <v>16959</v>
      </c>
      <c r="E18940" s="10">
        <v>1655140</v>
      </c>
      <c r="F18940" s="4" t="str">
        <f>IF(B18940=B18939,"",B18940)</f>
        <v/>
      </c>
    </row>
    <row r="18941" spans="1:6" ht="15.75" customHeight="1">
      <c r="A18941" s="15" t="s">
        <v>24118</v>
      </c>
      <c r="B18941" s="15" t="s">
        <v>24118</v>
      </c>
      <c r="C18941" s="15" t="s">
        <v>24024</v>
      </c>
      <c r="D18941" s="15" t="s">
        <v>24035</v>
      </c>
      <c r="E18941" s="2">
        <v>1840982</v>
      </c>
      <c r="F18941" s="4" t="str">
        <f>IF(B18941=B18940,"",B18941)</f>
        <v>Muan</v>
      </c>
    </row>
    <row r="18942" spans="1:6" ht="15.75" customHeight="1">
      <c r="A18942" s="8" t="str">
        <f ca="1">IFERROR(__xludf.DUMMYFUNCTION("GOOGLETRANSLATE(B36094,""en"",""pt"")"),"Muan")</f>
        <v>Muan</v>
      </c>
      <c r="B18942" s="11" t="s">
        <v>24118</v>
      </c>
      <c r="C18942" s="11" t="s">
        <v>24024</v>
      </c>
      <c r="D18942" s="11" t="s">
        <v>24035</v>
      </c>
      <c r="E18942" s="10">
        <v>1840982</v>
      </c>
      <c r="F18942" s="4" t="str">
        <f>IF(B18942=B18941,"",B18942)</f>
        <v/>
      </c>
    </row>
    <row r="18943" spans="1:6" ht="15.75" customHeight="1">
      <c r="A18943" s="15" t="s">
        <v>20910</v>
      </c>
      <c r="B18943" s="15" t="s">
        <v>20911</v>
      </c>
      <c r="C18943" s="15" t="s">
        <v>20598</v>
      </c>
      <c r="D18943" s="15" t="s">
        <v>20599</v>
      </c>
      <c r="E18943" s="2">
        <v>1699088</v>
      </c>
      <c r="F18943" s="4" t="str">
        <f>IF(B18943=B18942,"",B18943)</f>
        <v>MuÃ±oz</v>
      </c>
    </row>
    <row r="18944" spans="1:6" ht="15.75" customHeight="1">
      <c r="A18944" s="15" t="s">
        <v>25648</v>
      </c>
      <c r="B18944" s="15" t="s">
        <v>25648</v>
      </c>
      <c r="C18944" s="15" t="s">
        <v>25560</v>
      </c>
      <c r="D18944" s="15" t="s">
        <v>25648</v>
      </c>
      <c r="E18944" s="2">
        <v>877747</v>
      </c>
      <c r="F18944" s="4" t="str">
        <f>IF(B18944=B18943,"",B18944)</f>
        <v>Mtwara</v>
      </c>
    </row>
    <row r="18945" spans="1:6" ht="15.75" customHeight="1">
      <c r="A18945" s="8" t="str">
        <f ca="1">IFERROR(__xludf.DUMMYFUNCTION("GOOGLETRANSLATE(B42455,""en"",""pt"")"),"Mtwara")</f>
        <v>Mtwara</v>
      </c>
      <c r="B18945" s="9" t="s">
        <v>25648</v>
      </c>
      <c r="C18945" s="9" t="s">
        <v>25560</v>
      </c>
      <c r="D18945" s="9" t="s">
        <v>25648</v>
      </c>
      <c r="E18945" s="10">
        <v>877747</v>
      </c>
      <c r="F18945" s="4" t="str">
        <f>IF(B18945=B18944,"",B18945)</f>
        <v/>
      </c>
    </row>
    <row r="18946" spans="1:6" ht="15.75" customHeight="1">
      <c r="A18946" s="15" t="s">
        <v>25705</v>
      </c>
      <c r="B18946" s="15" t="s">
        <v>25705</v>
      </c>
      <c r="C18946" s="15" t="s">
        <v>25560</v>
      </c>
      <c r="D18946" s="15" t="s">
        <v>25608</v>
      </c>
      <c r="E18946" s="2">
        <v>152718</v>
      </c>
      <c r="F18946" s="4" t="str">
        <f>IF(B18946=B18945,"",B18946)</f>
        <v>Mtwango</v>
      </c>
    </row>
    <row r="18947" spans="1:6" ht="15.75" customHeight="1">
      <c r="A18947" s="8" t="str">
        <f ca="1">IFERROR(__xludf.DUMMYFUNCTION("GOOGLETRANSLATE(B42335,""en"",""pt"")"),"Mtwango")</f>
        <v>Mtwango</v>
      </c>
      <c r="B18947" s="9" t="s">
        <v>25705</v>
      </c>
      <c r="C18947" s="9" t="s">
        <v>25560</v>
      </c>
      <c r="D18947" s="9" t="s">
        <v>25608</v>
      </c>
      <c r="E18947" s="10">
        <v>152718</v>
      </c>
      <c r="F18947" s="4" t="str">
        <f>IF(B18947=B18946,"",B18947)</f>
        <v/>
      </c>
    </row>
    <row r="18948" spans="1:6" ht="15.75" customHeight="1">
      <c r="A18948" s="15" t="s">
        <v>22762</v>
      </c>
      <c r="B18948" s="15" t="s">
        <v>22763</v>
      </c>
      <c r="C18948" s="15" t="s">
        <v>22070</v>
      </c>
      <c r="D18948" s="15" t="s">
        <v>22688</v>
      </c>
      <c r="E18948" s="2">
        <v>524640</v>
      </c>
      <c r="F18948" s="4" t="str">
        <f>IF(B18948=B18947,"",B18948)</f>
        <v>Mtsensk</v>
      </c>
    </row>
    <row r="18949" spans="1:6" ht="15.75" customHeight="1">
      <c r="A18949" s="8" t="str">
        <f ca="1">IFERROR(__xludf.DUMMYFUNCTION("GOOGLETRANSLATE(B40305,""en"",""pt"")"),"MTSENSK")</f>
        <v>MTSENSK</v>
      </c>
      <c r="B18949" s="9" t="s">
        <v>22763</v>
      </c>
      <c r="C18949" s="9" t="s">
        <v>22070</v>
      </c>
      <c r="D18949" s="9" t="s">
        <v>22688</v>
      </c>
      <c r="E18949" s="10">
        <v>524640</v>
      </c>
      <c r="F18949" s="4" t="str">
        <f>IF(B18949=B18948,"",B18949)</f>
        <v/>
      </c>
    </row>
    <row r="18950" spans="1:6" ht="15.75" customHeight="1">
      <c r="A18950" s="16" t="s">
        <v>25703</v>
      </c>
      <c r="B18950" s="15" t="s">
        <v>25704</v>
      </c>
      <c r="C18950" s="16" t="s">
        <v>25560</v>
      </c>
      <c r="D18950" s="16" t="s">
        <v>25559</v>
      </c>
      <c r="E18950" s="2">
        <v>152743</v>
      </c>
      <c r="F18950" s="4" t="str">
        <f>IF(B18950=B18949,"",B18950)</f>
        <v>Mto wa Mbu</v>
      </c>
    </row>
    <row r="18951" spans="1:6" ht="15.75" customHeight="1">
      <c r="A18951" s="8" t="str">
        <f ca="1">IFERROR(__xludf.DUMMYFUNCTION("GOOGLETRANSLATE(B42336,""en"",""pt"")"),"Mto wa mbu")</f>
        <v>Mto wa mbu</v>
      </c>
      <c r="B18951" s="9" t="s">
        <v>25704</v>
      </c>
      <c r="C18951" s="9" t="s">
        <v>25560</v>
      </c>
      <c r="D18951" s="9" t="s">
        <v>25559</v>
      </c>
      <c r="E18951" s="10">
        <v>152743</v>
      </c>
      <c r="F18951" s="4" t="str">
        <f>IF(B18951=B18950,"",B18951)</f>
        <v/>
      </c>
    </row>
    <row r="18952" spans="1:6" ht="15.75" customHeight="1">
      <c r="A18952" s="15" t="s">
        <v>25702</v>
      </c>
      <c r="B18952" s="15" t="s">
        <v>25702</v>
      </c>
      <c r="C18952" s="15" t="s">
        <v>25560</v>
      </c>
      <c r="D18952" s="15" t="s">
        <v>25602</v>
      </c>
      <c r="E18952" s="2">
        <v>152781</v>
      </c>
      <c r="F18952" s="4" t="str">
        <f>IF(B18952=B18951,"",B18952)</f>
        <v>Mtinko</v>
      </c>
    </row>
    <row r="18953" spans="1:6" ht="15.75" customHeight="1">
      <c r="A18953" s="8" t="str">
        <f ca="1">IFERROR(__xludf.DUMMYFUNCTION("GOOGLETRANSLATE(B42337,""en"",""pt"")"),"Mtinko")</f>
        <v>Mtinko</v>
      </c>
      <c r="B18953" s="9" t="s">
        <v>25702</v>
      </c>
      <c r="C18953" s="9" t="s">
        <v>25560</v>
      </c>
      <c r="D18953" s="9" t="s">
        <v>25602</v>
      </c>
      <c r="E18953" s="10">
        <v>152781</v>
      </c>
      <c r="F18953" s="4" t="str">
        <f>IF(B18953=B18952,"",B18953)</f>
        <v/>
      </c>
    </row>
    <row r="18954" spans="1:6" ht="15.75" customHeight="1">
      <c r="A18954" s="15" t="s">
        <v>23942</v>
      </c>
      <c r="B18954" s="15" t="s">
        <v>23942</v>
      </c>
      <c r="C18954" s="15" t="s">
        <v>23842</v>
      </c>
      <c r="D18954" s="15" t="s">
        <v>23843</v>
      </c>
      <c r="E18954" s="2">
        <v>946058</v>
      </c>
      <c r="F18954" s="4" t="str">
        <f>IF(B18954=B18953,"",B18954)</f>
        <v>Mthatha</v>
      </c>
    </row>
    <row r="18955" spans="1:6" ht="15.75" customHeight="1">
      <c r="A18955" s="8" t="str">
        <f ca="1">IFERROR(__xludf.DUMMYFUNCTION("GOOGLETRANSLATE(B45860,""en"",""pt"")"),"Mthatha")</f>
        <v>Mthatha</v>
      </c>
      <c r="B18955" s="11" t="s">
        <v>23942</v>
      </c>
      <c r="C18955" s="11" t="s">
        <v>23842</v>
      </c>
      <c r="D18955" s="11" t="s">
        <v>23843</v>
      </c>
      <c r="E18955" s="10">
        <v>946058</v>
      </c>
      <c r="F18955" s="4" t="str">
        <f>IF(B18955=B18954,"",B18955)</f>
        <v/>
      </c>
    </row>
    <row r="18956" spans="1:6" ht="15.75" customHeight="1">
      <c r="A18956" s="15" t="s">
        <v>25701</v>
      </c>
      <c r="B18956" s="15" t="s">
        <v>25701</v>
      </c>
      <c r="C18956" s="15" t="s">
        <v>25560</v>
      </c>
      <c r="D18956" s="15" t="s">
        <v>25596</v>
      </c>
      <c r="E18956" s="2">
        <v>152933</v>
      </c>
      <c r="F18956" s="4" t="str">
        <f>IF(B18956=B18955,"",B18956)</f>
        <v>Msowero</v>
      </c>
    </row>
    <row r="18957" spans="1:6" ht="15.75" customHeight="1">
      <c r="A18957" s="8" t="str">
        <f ca="1">IFERROR(__xludf.DUMMYFUNCTION("GOOGLETRANSLATE(B42338,""en"",""pt"")"),"Msowero")</f>
        <v>Msowero</v>
      </c>
      <c r="B18957" s="9" t="s">
        <v>25701</v>
      </c>
      <c r="C18957" s="9" t="s">
        <v>25560</v>
      </c>
      <c r="D18957" s="9" t="s">
        <v>25596</v>
      </c>
      <c r="E18957" s="10">
        <v>152933</v>
      </c>
      <c r="F18957" s="4" t="str">
        <f>IF(B18957=B18956,"",B18957)</f>
        <v/>
      </c>
    </row>
    <row r="18958" spans="1:6" ht="15.75" customHeight="1">
      <c r="A18958" s="15" t="s">
        <v>26172</v>
      </c>
      <c r="B18958" s="15" t="s">
        <v>26173</v>
      </c>
      <c r="C18958" s="15" t="s">
        <v>26090</v>
      </c>
      <c r="D18958" s="15" t="s">
        <v>26091</v>
      </c>
      <c r="E18958" s="2">
        <v>2469140</v>
      </c>
      <c r="F18958" s="4" t="str">
        <f>IF(B18958=B18957,"",B18958)</f>
        <v>Msaken</v>
      </c>
    </row>
    <row r="18959" spans="1:6" ht="15.75" customHeight="1">
      <c r="A18959" s="8" t="str">
        <f ca="1">IFERROR(__xludf.DUMMYFUNCTION("GOOGLETRANSLATE(B41819,""en"",""pt"")"),"MSAKEN")</f>
        <v>MSAKEN</v>
      </c>
      <c r="B18959" s="11" t="s">
        <v>26173</v>
      </c>
      <c r="C18959" s="11" t="s">
        <v>26090</v>
      </c>
      <c r="D18959" s="11" t="s">
        <v>35797</v>
      </c>
      <c r="E18959" s="10">
        <v>2469140</v>
      </c>
      <c r="F18959" s="4" t="str">
        <f>IF(B18959=B18958,"",B18959)</f>
        <v/>
      </c>
    </row>
    <row r="18960" spans="1:6" ht="15.75" customHeight="1">
      <c r="A18960" s="16" t="s">
        <v>14047</v>
      </c>
      <c r="B18960" s="15" t="s">
        <v>14048</v>
      </c>
      <c r="C18960" s="16" t="s">
        <v>13800</v>
      </c>
      <c r="D18960" s="16" t="s">
        <v>13803</v>
      </c>
      <c r="E18960" s="2">
        <v>1634954</v>
      </c>
      <c r="F18960" s="4" t="str">
        <f>IF(B18960=B18959,"",B18960)</f>
        <v>Mranggen</v>
      </c>
    </row>
    <row r="18961" spans="1:6" ht="15.75" customHeight="1">
      <c r="A18961" s="8" t="str">
        <f ca="1">IFERROR(__xludf.DUMMYFUNCTION("GOOGLETRANSLATE(B31535,""en"",""pt"")"),"MRANGGEN")</f>
        <v>MRANGGEN</v>
      </c>
      <c r="B18961" s="11" t="s">
        <v>14048</v>
      </c>
      <c r="C18961" s="11" t="s">
        <v>13800</v>
      </c>
      <c r="D18961" s="11" t="s">
        <v>13803</v>
      </c>
      <c r="E18961" s="10">
        <v>1634954</v>
      </c>
      <c r="F18961" s="4" t="str">
        <f>IF(B18961=B18960,"",B18961)</f>
        <v/>
      </c>
    </row>
    <row r="18962" spans="1:6" ht="15.75" customHeight="1">
      <c r="A18962" s="8" t="str">
        <f ca="1">IFERROR(__xludf.DUMMYFUNCTION("GOOGLETRANSLATE(B39241,""en"",""pt"")"),"Mrągowo")</f>
        <v>Mrągowo</v>
      </c>
      <c r="B18962" s="9" t="s">
        <v>35098</v>
      </c>
      <c r="C18962" s="9" t="s">
        <v>21064</v>
      </c>
      <c r="D18962" s="9" t="s">
        <v>21131</v>
      </c>
      <c r="E18962" s="10">
        <v>764312</v>
      </c>
      <c r="F18962" s="4" t="str">
        <f>IF(B18962=B18961,"",B18962)</f>
        <v>Mrągowo</v>
      </c>
    </row>
    <row r="18963" spans="1:6" ht="15.75" customHeight="1">
      <c r="A18963" s="16" t="s">
        <v>21358</v>
      </c>
      <c r="B18963" s="15" t="s">
        <v>21359</v>
      </c>
      <c r="C18963" s="16" t="s">
        <v>21064</v>
      </c>
      <c r="D18963" s="16" t="s">
        <v>21131</v>
      </c>
      <c r="E18963" s="2">
        <v>764312</v>
      </c>
      <c r="F18963" s="4" t="str">
        <f>IF(B18963=B18962,"",B18963)</f>
        <v>MrÄ…gowo</v>
      </c>
    </row>
    <row r="18964" spans="1:6" ht="15.75" customHeight="1">
      <c r="A18964" s="16" t="s">
        <v>25700</v>
      </c>
      <c r="B18964" s="15" t="s">
        <v>25700</v>
      </c>
      <c r="C18964" s="16" t="s">
        <v>25560</v>
      </c>
      <c r="D18964" s="16" t="s">
        <v>25592</v>
      </c>
      <c r="E18964" s="2">
        <v>153094</v>
      </c>
      <c r="F18964" s="4" t="str">
        <f>IF(B18964=B18963,"",B18964)</f>
        <v>Mpwapwa</v>
      </c>
    </row>
    <row r="18965" spans="1:6" ht="15.75" customHeight="1">
      <c r="A18965" s="8" t="str">
        <f ca="1">IFERROR(__xludf.DUMMYFUNCTION("GOOGLETRANSLATE(B42339,""en"",""pt"")"),"Mpwapwa")</f>
        <v>Mpwapwa</v>
      </c>
      <c r="B18965" s="9" t="s">
        <v>25700</v>
      </c>
      <c r="C18965" s="9" t="s">
        <v>25560</v>
      </c>
      <c r="D18965" s="9" t="s">
        <v>25592</v>
      </c>
      <c r="E18965" s="10">
        <v>153094</v>
      </c>
      <c r="F18965" s="4" t="str">
        <f>IF(B18965=B18964,"",B18965)</f>
        <v/>
      </c>
    </row>
    <row r="18966" spans="1:6" ht="15.75" customHeight="1">
      <c r="A18966" s="16" t="s">
        <v>23849</v>
      </c>
      <c r="B18966" s="15" t="s">
        <v>23849</v>
      </c>
      <c r="C18966" s="16" t="s">
        <v>23842</v>
      </c>
      <c r="D18966" s="16" t="s">
        <v>23851</v>
      </c>
      <c r="E18966" s="2">
        <v>973111</v>
      </c>
      <c r="F18966" s="4" t="str">
        <f>IF(B18966=B18965,"",B18966)</f>
        <v>Mpumalanga</v>
      </c>
    </row>
    <row r="18967" spans="1:6" ht="15.75" customHeight="1">
      <c r="A18967" s="8" t="str">
        <f ca="1">IFERROR(__xludf.DUMMYFUNCTION("GOOGLETRANSLATE(B45910,""en"",""pt"")"),"Mpumalanga")</f>
        <v>Mpumalanga</v>
      </c>
      <c r="B18967" s="9" t="s">
        <v>23849</v>
      </c>
      <c r="C18967" s="9" t="s">
        <v>23842</v>
      </c>
      <c r="D18967" s="9" t="s">
        <v>23851</v>
      </c>
      <c r="E18967" s="10">
        <v>973111</v>
      </c>
      <c r="F18967" s="4" t="str">
        <f>IF(B18967=B18966,"",B18967)</f>
        <v/>
      </c>
    </row>
    <row r="18968" spans="1:6" ht="15.75" customHeight="1">
      <c r="A18968" s="16" t="s">
        <v>23941</v>
      </c>
      <c r="B18968" s="15" t="s">
        <v>23941</v>
      </c>
      <c r="C18968" s="16" t="s">
        <v>23842</v>
      </c>
      <c r="D18968" s="16" t="s">
        <v>23851</v>
      </c>
      <c r="E18968" s="2">
        <v>973139</v>
      </c>
      <c r="F18968" s="4" t="str">
        <f>IF(B18968=B18967,"",B18968)</f>
        <v>Mpophomeni</v>
      </c>
    </row>
    <row r="18969" spans="1:6" ht="15.75" customHeight="1">
      <c r="A18969" s="8" t="str">
        <f ca="1">IFERROR(__xludf.DUMMYFUNCTION("GOOGLETRANSLATE(B45911,""en"",""pt"")"),"Mpophomeni")</f>
        <v>Mpophomeni</v>
      </c>
      <c r="B18969" s="9" t="s">
        <v>23941</v>
      </c>
      <c r="C18969" s="9" t="s">
        <v>23842</v>
      </c>
      <c r="D18969" s="9" t="s">
        <v>23851</v>
      </c>
      <c r="E18969" s="10">
        <v>973139</v>
      </c>
      <c r="F18969" s="4" t="str">
        <f>IF(B18969=B18968,"",B18969)</f>
        <v/>
      </c>
    </row>
    <row r="18970" spans="1:6" ht="15.75" customHeight="1">
      <c r="A18970" s="15" t="s">
        <v>31061</v>
      </c>
      <c r="B18970" s="15" t="s">
        <v>31061</v>
      </c>
      <c r="C18970" s="15" t="s">
        <v>31038</v>
      </c>
      <c r="D18970" s="15" t="s">
        <v>6942</v>
      </c>
      <c r="E18970" s="2">
        <v>905846</v>
      </c>
      <c r="F18970" s="4" t="str">
        <f>IF(B18970=B18969,"",B18970)</f>
        <v>Mpika</v>
      </c>
    </row>
    <row r="18971" spans="1:6" ht="15.75" customHeight="1">
      <c r="A18971" s="8" t="str">
        <f ca="1">IFERROR(__xludf.DUMMYFUNCTION("GOOGLETRANSLATE(B46012,""en"",""pt"")"),"Mpika")</f>
        <v>Mpika</v>
      </c>
      <c r="B18971" s="9" t="s">
        <v>31061</v>
      </c>
      <c r="C18971" s="9" t="s">
        <v>31038</v>
      </c>
      <c r="D18971" s="9" t="s">
        <v>6942</v>
      </c>
      <c r="E18971" s="10">
        <v>905846</v>
      </c>
      <c r="F18971" s="4" t="str">
        <f>IF(B18971=B18970,"",B18971)</f>
        <v/>
      </c>
    </row>
    <row r="18972" spans="1:6" ht="15.75" customHeight="1">
      <c r="A18972" s="15" t="s">
        <v>25698</v>
      </c>
      <c r="B18972" s="15" t="s">
        <v>25698</v>
      </c>
      <c r="C18972" s="15" t="s">
        <v>25560</v>
      </c>
      <c r="D18972" s="15" t="s">
        <v>25699</v>
      </c>
      <c r="E18972" s="2">
        <v>153176</v>
      </c>
      <c r="F18972" s="4" t="str">
        <f>IF(B18972=B18971,"",B18972)</f>
        <v>Mpanda</v>
      </c>
    </row>
    <row r="18973" spans="1:6" ht="15.75" customHeight="1">
      <c r="A18973" s="8" t="str">
        <f ca="1">IFERROR(__xludf.DUMMYFUNCTION("GOOGLETRANSLATE(B42340,""en"",""pt"")"),"Mpanda")</f>
        <v>Mpanda</v>
      </c>
      <c r="B18973" s="9" t="s">
        <v>25698</v>
      </c>
      <c r="C18973" s="9" t="s">
        <v>25560</v>
      </c>
      <c r="D18973" s="9" t="s">
        <v>25699</v>
      </c>
      <c r="E18973" s="10">
        <v>153176</v>
      </c>
      <c r="F18973" s="4" t="str">
        <f>IF(B18973=B18972,"",B18973)</f>
        <v/>
      </c>
    </row>
    <row r="18974" spans="1:6" ht="15.75" customHeight="1">
      <c r="A18974" s="15" t="s">
        <v>22761</v>
      </c>
      <c r="B18974" s="15" t="s">
        <v>22761</v>
      </c>
      <c r="C18974" s="15" t="s">
        <v>22070</v>
      </c>
      <c r="D18974" s="15" t="s">
        <v>22189</v>
      </c>
      <c r="E18974" s="2">
        <v>524699</v>
      </c>
      <c r="F18974" s="4" t="str">
        <f>IF(B18974=B18973,"",B18974)</f>
        <v>Mozhga</v>
      </c>
    </row>
    <row r="18975" spans="1:6" ht="15.75" customHeight="1">
      <c r="A18975" s="8" t="str">
        <f ca="1">IFERROR(__xludf.DUMMYFUNCTION("GOOGLETRANSLATE(B40306,""en"",""pt"")"),"Mozhga")</f>
        <v>Mozhga</v>
      </c>
      <c r="B18975" s="9" t="s">
        <v>22761</v>
      </c>
      <c r="C18975" s="9" t="s">
        <v>22070</v>
      </c>
      <c r="D18975" s="9" t="s">
        <v>22189</v>
      </c>
      <c r="E18975" s="10">
        <v>524699</v>
      </c>
      <c r="F18975" s="4" t="str">
        <f>IF(B18975=B18974,"",B18975)</f>
        <v/>
      </c>
    </row>
    <row r="18976" spans="1:6" ht="15.75" customHeight="1">
      <c r="A18976" s="16" t="s">
        <v>22760</v>
      </c>
      <c r="B18976" s="15" t="s">
        <v>22760</v>
      </c>
      <c r="C18976" s="16" t="s">
        <v>22070</v>
      </c>
      <c r="D18976" s="16" t="s">
        <v>22119</v>
      </c>
      <c r="E18976" s="2">
        <v>524712</v>
      </c>
      <c r="F18976" s="4" t="str">
        <f>IF(B18976=B18975,"",B18976)</f>
        <v>Mozhaysk</v>
      </c>
    </row>
    <row r="18977" spans="1:6" ht="15.75" customHeight="1">
      <c r="A18977" s="8" t="str">
        <f ca="1">IFERROR(__xludf.DUMMYFUNCTION("GOOGLETRANSLATE(B40307,""en"",""pt"")"),"Mozhaysk")</f>
        <v>Mozhaysk</v>
      </c>
      <c r="B18977" s="9" t="s">
        <v>22760</v>
      </c>
      <c r="C18977" s="9" t="s">
        <v>22070</v>
      </c>
      <c r="D18977" s="9" t="s">
        <v>22119</v>
      </c>
      <c r="E18977" s="10">
        <v>524712</v>
      </c>
      <c r="F18977" s="4" t="str">
        <f>IF(B18977=B18976,"",B18977)</f>
        <v/>
      </c>
    </row>
    <row r="18978" spans="1:6" ht="15.75" customHeight="1">
      <c r="A18978" s="15" t="s">
        <v>22759</v>
      </c>
      <c r="B18978" s="15" t="s">
        <v>22759</v>
      </c>
      <c r="C18978" s="15" t="s">
        <v>22070</v>
      </c>
      <c r="D18978" s="15" t="s">
        <v>22104</v>
      </c>
      <c r="E18978" s="2">
        <v>524736</v>
      </c>
      <c r="F18978" s="4" t="str">
        <f>IF(B18978=B18977,"",B18978)</f>
        <v>Mozdok</v>
      </c>
    </row>
    <row r="18979" spans="1:6" ht="15.75" customHeight="1">
      <c r="A18979" s="8" t="str">
        <f ca="1">IFERROR(__xludf.DUMMYFUNCTION("GOOGLETRANSLATE(B40308,""en"",""pt"")"),"Mozdok")</f>
        <v>Mozdok</v>
      </c>
      <c r="B18979" s="9" t="s">
        <v>22759</v>
      </c>
      <c r="C18979" s="9" t="s">
        <v>22070</v>
      </c>
      <c r="D18979" s="9" t="s">
        <v>22104</v>
      </c>
      <c r="E18979" s="10">
        <v>524736</v>
      </c>
      <c r="F18979" s="4" t="str">
        <f>IF(B18979=B18978,"",B18979)</f>
        <v/>
      </c>
    </row>
    <row r="18980" spans="1:6" ht="15.75" customHeight="1">
      <c r="A18980" s="16" t="s">
        <v>18105</v>
      </c>
      <c r="B18980" s="15" t="s">
        <v>18105</v>
      </c>
      <c r="C18980" s="16" t="s">
        <v>17707</v>
      </c>
      <c r="D18980" s="16" t="s">
        <v>17717</v>
      </c>
      <c r="E18980" s="2">
        <v>3517231</v>
      </c>
      <c r="F18980" s="4" t="str">
        <f>IF(B18980=B18979,"",B18980)</f>
        <v>Moyotzingo</v>
      </c>
    </row>
    <row r="18981" spans="1:6" ht="15.75" customHeight="1">
      <c r="A18981" s="8" t="str">
        <f ca="1">IFERROR(__xludf.DUMMYFUNCTION("GOOGLETRANSLATE(B36915,""en"",""pt"")"),"Moyotzingo")</f>
        <v>Moyotzingo</v>
      </c>
      <c r="B18981" s="9" t="s">
        <v>18105</v>
      </c>
      <c r="C18981" s="9" t="s">
        <v>17707</v>
      </c>
      <c r="D18981" s="9" t="s">
        <v>17717</v>
      </c>
      <c r="E18981" s="10">
        <v>3517231</v>
      </c>
      <c r="F18981" s="4" t="str">
        <f>IF(B18981=B18980,"",B18981)</f>
        <v/>
      </c>
    </row>
    <row r="18982" spans="1:6" ht="15.75" customHeight="1">
      <c r="A18982" s="16" t="s">
        <v>20549</v>
      </c>
      <c r="B18982" s="15" t="s">
        <v>20549</v>
      </c>
      <c r="C18982" s="16" t="s">
        <v>20470</v>
      </c>
      <c r="D18982" s="16" t="s">
        <v>787</v>
      </c>
      <c r="E18982" s="2">
        <v>3694564</v>
      </c>
      <c r="F18982" s="4" t="str">
        <f>IF(B18982=B18981,"",B18982)</f>
        <v>Moyobamba</v>
      </c>
    </row>
    <row r="18983" spans="1:6" ht="15.75" customHeight="1">
      <c r="A18983" s="8" t="str">
        <f ca="1">IFERROR(__xludf.DUMMYFUNCTION("GOOGLETRANSLATE(B38324,""en"",""pt"")"),"Moyobamba")</f>
        <v>Moyobamba</v>
      </c>
      <c r="B18983" s="11" t="s">
        <v>20549</v>
      </c>
      <c r="C18983" s="11" t="s">
        <v>20470</v>
      </c>
      <c r="D18983" s="11" t="s">
        <v>31188</v>
      </c>
      <c r="E18983" s="10">
        <v>3694564</v>
      </c>
      <c r="F18983" s="4" t="str">
        <f>IF(B18983=B18982,"",B18983)</f>
        <v/>
      </c>
    </row>
    <row r="18984" spans="1:6" ht="15.75" customHeight="1">
      <c r="A18984" s="15" t="s">
        <v>26852</v>
      </c>
      <c r="B18984" s="15" t="s">
        <v>26852</v>
      </c>
      <c r="C18984" s="15" t="s">
        <v>26820</v>
      </c>
      <c r="D18984" s="15" t="s">
        <v>17416</v>
      </c>
      <c r="E18984" s="2">
        <v>229059</v>
      </c>
      <c r="F18984" s="4" t="str">
        <f>IF(B18984=B18983,"",B18984)</f>
        <v>Moyo</v>
      </c>
    </row>
    <row r="18985" spans="1:6" ht="15.75" customHeight="1">
      <c r="A18985" s="8" t="str">
        <f ca="1">IFERROR(__xludf.DUMMYFUNCTION("GOOGLETRANSLATE(B42738,""en"",""pt"")"),"Moyo")</f>
        <v>Moyo</v>
      </c>
      <c r="B18985" s="9" t="s">
        <v>26852</v>
      </c>
      <c r="C18985" s="9" t="s">
        <v>26820</v>
      </c>
      <c r="D18985" s="9" t="s">
        <v>17416</v>
      </c>
      <c r="E18985" s="10">
        <v>229059</v>
      </c>
      <c r="F18985" s="4" t="str">
        <f>IF(B18985=B18984,"",B18985)</f>
        <v/>
      </c>
    </row>
    <row r="18986" spans="1:6" ht="15.75" customHeight="1">
      <c r="A18986" s="15" t="s">
        <v>16826</v>
      </c>
      <c r="B18986" s="15" t="s">
        <v>16826</v>
      </c>
      <c r="C18986" s="15" t="s">
        <v>16781</v>
      </c>
      <c r="D18986" s="15" t="s">
        <v>16818</v>
      </c>
      <c r="E18986" s="2">
        <v>186180</v>
      </c>
      <c r="F18986" s="4" t="str">
        <f>IF(B18986=B18985,"",B18986)</f>
        <v>Moyale</v>
      </c>
    </row>
    <row r="18987" spans="1:6" ht="15.75" customHeight="1">
      <c r="A18987" s="8" t="str">
        <f ca="1">IFERROR(__xludf.DUMMYFUNCTION("GOOGLETRANSLATE(B35899,""en"",""pt"")"),"Moyale")</f>
        <v>Moyale</v>
      </c>
      <c r="B18987" s="9" t="s">
        <v>16826</v>
      </c>
      <c r="C18987" s="9" t="s">
        <v>16781</v>
      </c>
      <c r="D18987" s="9" t="s">
        <v>16818</v>
      </c>
      <c r="E18987" s="10">
        <v>186180</v>
      </c>
      <c r="F18987" s="4" t="str">
        <f>IF(B18987=B18986,"",B18987)</f>
        <v/>
      </c>
    </row>
    <row r="18988" spans="1:6" ht="15.75" customHeight="1">
      <c r="A18988" s="8" t="str">
        <f ca="1">IFERROR(__xludf.DUMMYFUNCTION("GOOGLETRANSLATE(B28575,""en"",""pt"")"),"Mouzaïa")</f>
        <v>Mouzaïa</v>
      </c>
      <c r="B18988" s="11" t="s">
        <v>32197</v>
      </c>
      <c r="C18988" s="11" t="s">
        <v>153</v>
      </c>
      <c r="D18988" s="11" t="s">
        <v>160</v>
      </c>
      <c r="E18988" s="10">
        <v>2486825</v>
      </c>
      <c r="F18988" s="4" t="str">
        <f>IF(B18988=B18987,"",B18988)</f>
        <v>Mouzaïa</v>
      </c>
    </row>
    <row r="18989" spans="1:6" ht="15.75" customHeight="1">
      <c r="A18989" s="15" t="s">
        <v>411</v>
      </c>
      <c r="B18989" s="15" t="s">
        <v>412</v>
      </c>
      <c r="C18989" s="15" t="s">
        <v>153</v>
      </c>
      <c r="D18989" s="15" t="s">
        <v>160</v>
      </c>
      <c r="E18989" s="2">
        <v>2486825</v>
      </c>
      <c r="F18989" s="4" t="str">
        <f>IF(B18989=B18988,"",B18989)</f>
        <v>MouzaÃ¯a</v>
      </c>
    </row>
    <row r="18990" spans="1:6" ht="15.75" customHeight="1">
      <c r="A18990" s="16" t="s">
        <v>5659</v>
      </c>
      <c r="B18990" s="15" t="s">
        <v>5659</v>
      </c>
      <c r="C18990" s="16" t="s">
        <v>5657</v>
      </c>
      <c r="D18990" s="16" t="s">
        <v>5660</v>
      </c>
      <c r="E18990" s="2">
        <v>921753</v>
      </c>
      <c r="F18990" s="4" t="str">
        <f>IF(B18990=B18989,"",B18990)</f>
        <v>Moutsamoudou</v>
      </c>
    </row>
    <row r="18991" spans="1:6" ht="15.75" customHeight="1">
      <c r="A18991" s="8" t="str">
        <f ca="1">IFERROR(__xludf.DUMMYFUNCTION("GOOGLETRANSLATE(B35986,""en"",""pt"")"),"Moutsamoudou")</f>
        <v>Moutsamoudou</v>
      </c>
      <c r="B18991" s="9" t="s">
        <v>5659</v>
      </c>
      <c r="C18991" s="9" t="s">
        <v>5657</v>
      </c>
      <c r="D18991" s="9" t="s">
        <v>5660</v>
      </c>
      <c r="E18991" s="10">
        <v>921753</v>
      </c>
      <c r="F18991" s="4" t="str">
        <f>IF(B18991=B18990,"",B18991)</f>
        <v/>
      </c>
    </row>
    <row r="18992" spans="1:6" ht="15.75" customHeight="1">
      <c r="A18992" s="16" t="s">
        <v>4346</v>
      </c>
      <c r="B18992" s="15" t="s">
        <v>4346</v>
      </c>
      <c r="C18992" s="16" t="s">
        <v>4305</v>
      </c>
      <c r="D18992" s="16" t="s">
        <v>4347</v>
      </c>
      <c r="E18992" s="2">
        <v>2427336</v>
      </c>
      <c r="F18992" s="4" t="str">
        <f>IF(B18992=B18991,"",B18992)</f>
        <v>Moussoro</v>
      </c>
    </row>
    <row r="18993" spans="1:6" ht="15.75" customHeight="1">
      <c r="A18993" s="8" t="str">
        <f ca="1">IFERROR(__xludf.DUMMYFUNCTION("GOOGLETRANSLATE(B41476,""en"",""pt"")"),"Moussoro")</f>
        <v>Moussoro</v>
      </c>
      <c r="B18993" s="9" t="s">
        <v>4346</v>
      </c>
      <c r="C18993" s="9" t="s">
        <v>4305</v>
      </c>
      <c r="D18993" s="9" t="s">
        <v>4347</v>
      </c>
      <c r="E18993" s="10">
        <v>2427336</v>
      </c>
      <c r="F18993" s="4" t="str">
        <f>IF(B18993=B18992,"",B18993)</f>
        <v/>
      </c>
    </row>
    <row r="18994" spans="1:6" ht="15.75" customHeight="1">
      <c r="A18994" s="16" t="s">
        <v>1646</v>
      </c>
      <c r="B18994" s="15" t="s">
        <v>1646</v>
      </c>
      <c r="C18994" s="16" t="s">
        <v>1512</v>
      </c>
      <c r="D18994" s="16" t="s">
        <v>1518</v>
      </c>
      <c r="E18994" s="2">
        <v>2790595</v>
      </c>
      <c r="F18994" s="4" t="str">
        <f>IF(B18994=B18993,"",B18994)</f>
        <v>Mouscron</v>
      </c>
    </row>
    <row r="18995" spans="1:6" ht="15.75" customHeight="1">
      <c r="A18995" s="8" t="str">
        <f ca="1">IFERROR(__xludf.DUMMYFUNCTION("GOOGLETRANSLATE(B23862,""en"",""pt"")"),"Mouscron")</f>
        <v>Mouscron</v>
      </c>
      <c r="B18995" s="9" t="s">
        <v>1646</v>
      </c>
      <c r="C18995" s="9" t="s">
        <v>1512</v>
      </c>
      <c r="D18995" s="9" t="s">
        <v>1518</v>
      </c>
      <c r="E18995" s="10">
        <v>2790595</v>
      </c>
      <c r="F18995" s="4" t="str">
        <f>IF(B18995=B18994,"",B18995)</f>
        <v/>
      </c>
    </row>
    <row r="18996" spans="1:6" ht="15.75" customHeight="1">
      <c r="A18996" s="16" t="s">
        <v>29369</v>
      </c>
      <c r="B18996" s="15" t="s">
        <v>29369</v>
      </c>
      <c r="C18996" s="16" t="s">
        <v>27788</v>
      </c>
      <c r="D18996" s="16" t="s">
        <v>27733</v>
      </c>
      <c r="E18996" s="2">
        <v>5804191</v>
      </c>
      <c r="F18996" s="4" t="str">
        <f>IF(B18996=B18995,"",B18996)</f>
        <v>Mountlake Terrace</v>
      </c>
    </row>
    <row r="18997" spans="1:6" ht="15.75" customHeight="1">
      <c r="A18997" s="8" t="str">
        <f ca="1">IFERROR(__xludf.DUMMYFUNCTION("GOOGLETRANSLATE(B45356,""en"",""pt"")"),"Mountlake Terrace")</f>
        <v>Mountlake Terrace</v>
      </c>
      <c r="B18997" s="9" t="s">
        <v>29369</v>
      </c>
      <c r="C18997" s="9" t="s">
        <v>27788</v>
      </c>
      <c r="D18997" s="9" t="s">
        <v>27733</v>
      </c>
      <c r="E18997" s="10">
        <v>5804191</v>
      </c>
      <c r="F18997" s="4" t="str">
        <f>IF(B18997=B18996,"",B18997)</f>
        <v/>
      </c>
    </row>
    <row r="18998" spans="1:6" ht="15.75" customHeight="1">
      <c r="A18998" s="16" t="s">
        <v>29367</v>
      </c>
      <c r="B18998" s="15" t="s">
        <v>29368</v>
      </c>
      <c r="C18998" s="16" t="s">
        <v>27788</v>
      </c>
      <c r="D18998" s="16" t="s">
        <v>27801</v>
      </c>
      <c r="E18998" s="2">
        <v>5375480</v>
      </c>
      <c r="F18998" s="4" t="str">
        <f>IF(B18998=B18997,"",B18998)</f>
        <v>Mountain View</v>
      </c>
    </row>
    <row r="18999" spans="1:6" ht="15.75" customHeight="1">
      <c r="A18999" s="8" t="str">
        <f ca="1">IFERROR(__xludf.DUMMYFUNCTION("GOOGLETRANSLATE(B44920,""en"",""pt"")"),"vista da montanha")</f>
        <v>vista da montanha</v>
      </c>
      <c r="B18999" s="9" t="s">
        <v>29368</v>
      </c>
      <c r="C18999" s="9" t="s">
        <v>27788</v>
      </c>
      <c r="D18999" s="9" t="s">
        <v>27801</v>
      </c>
      <c r="E18999" s="10">
        <v>5375480</v>
      </c>
      <c r="F18999" s="4" t="str">
        <f>IF(B18999=B18998,"",B18999)</f>
        <v/>
      </c>
    </row>
    <row r="19000" spans="1:6" ht="15.75" customHeight="1">
      <c r="A19000" s="16" t="s">
        <v>29365</v>
      </c>
      <c r="B19000" s="15" t="s">
        <v>29366</v>
      </c>
      <c r="C19000" s="16" t="s">
        <v>27788</v>
      </c>
      <c r="D19000" s="16" t="s">
        <v>27836</v>
      </c>
      <c r="E19000" s="2">
        <v>5202534</v>
      </c>
      <c r="F19000" s="4" t="str">
        <f>IF(B19000=B18999,"",B19000)</f>
        <v>Mountain Top</v>
      </c>
    </row>
    <row r="19001" spans="1:6" ht="15.75" customHeight="1">
      <c r="A19001" s="8" t="str">
        <f ca="1">IFERROR(__xludf.DUMMYFUNCTION("GOOGLETRANSLATE(B44583,""en"",""pt"")"),"Topo da montanha")</f>
        <v>Topo da montanha</v>
      </c>
      <c r="B19001" s="9" t="s">
        <v>29366</v>
      </c>
      <c r="C19001" s="9" t="s">
        <v>27788</v>
      </c>
      <c r="D19001" s="9" t="s">
        <v>27836</v>
      </c>
      <c r="E19001" s="10">
        <v>5202534</v>
      </c>
      <c r="F19001" s="4" t="str">
        <f>IF(B19001=B19000,"",B19001)</f>
        <v/>
      </c>
    </row>
    <row r="19002" spans="1:6" ht="15.75" customHeight="1">
      <c r="A19002" s="16" t="s">
        <v>29364</v>
      </c>
      <c r="B19002" s="15" t="s">
        <v>29364</v>
      </c>
      <c r="C19002" s="16" t="s">
        <v>27788</v>
      </c>
      <c r="D19002" s="16" t="s">
        <v>28023</v>
      </c>
      <c r="E19002" s="2">
        <v>4078646</v>
      </c>
      <c r="F19002" s="4" t="str">
        <f>IF(B19002=B19001,"",B19002)</f>
        <v>Mountain Brook</v>
      </c>
    </row>
    <row r="19003" spans="1:6" ht="15.75" customHeight="1">
      <c r="A19003" s="8" t="str">
        <f ca="1">IFERROR(__xludf.DUMMYFUNCTION("GOOGLETRANSLATE(B42791,""en"",""pt"")"),"Mountain Brook")</f>
        <v>Mountain Brook</v>
      </c>
      <c r="B19003" s="9" t="s">
        <v>29364</v>
      </c>
      <c r="C19003" s="9" t="s">
        <v>27788</v>
      </c>
      <c r="D19003" s="9" t="s">
        <v>28023</v>
      </c>
      <c r="E19003" s="10">
        <v>4078646</v>
      </c>
      <c r="F19003" s="4" t="str">
        <f>IF(B19003=B19002,"",B19003)</f>
        <v/>
      </c>
    </row>
    <row r="19004" spans="1:6" ht="15.75" customHeight="1">
      <c r="A19004" s="16" t="s">
        <v>29362</v>
      </c>
      <c r="B19004" s="15" t="s">
        <v>29363</v>
      </c>
      <c r="C19004" s="16" t="s">
        <v>27788</v>
      </c>
      <c r="D19004" s="16" t="s">
        <v>27799</v>
      </c>
      <c r="E19004" s="2">
        <v>4245152</v>
      </c>
      <c r="F19004" s="4" t="str">
        <f>IF(B19004=B19003,"",B19004)</f>
        <v>Mount Vernon</v>
      </c>
    </row>
    <row r="19005" spans="1:6" ht="15.75" customHeight="1">
      <c r="A19005" s="16" t="s">
        <v>29362</v>
      </c>
      <c r="B19005" s="15" t="s">
        <v>29363</v>
      </c>
      <c r="C19005" s="16" t="s">
        <v>27788</v>
      </c>
      <c r="D19005" s="16" t="s">
        <v>27819</v>
      </c>
      <c r="E19005" s="2">
        <v>5127835</v>
      </c>
      <c r="F19005" s="4" t="str">
        <f>IF(B19005=B19004,"",B19005)</f>
        <v/>
      </c>
    </row>
    <row r="19006" spans="1:6" ht="15.75" customHeight="1">
      <c r="A19006" s="16" t="s">
        <v>29362</v>
      </c>
      <c r="B19006" s="15" t="s">
        <v>29363</v>
      </c>
      <c r="C19006" s="16" t="s">
        <v>27788</v>
      </c>
      <c r="D19006" s="16" t="s">
        <v>27813</v>
      </c>
      <c r="E19006" s="2">
        <v>5163799</v>
      </c>
      <c r="F19006" s="4" t="str">
        <f>IF(B19006=B19005,"",B19006)</f>
        <v/>
      </c>
    </row>
    <row r="19007" spans="1:6" ht="15.75" customHeight="1">
      <c r="A19007" s="16" t="s">
        <v>29362</v>
      </c>
      <c r="B19007" s="15" t="s">
        <v>29363</v>
      </c>
      <c r="C19007" s="16" t="s">
        <v>27788</v>
      </c>
      <c r="D19007" s="16" t="s">
        <v>27733</v>
      </c>
      <c r="E19007" s="2">
        <v>5804127</v>
      </c>
      <c r="F19007" s="4" t="str">
        <f>IF(B19007=B19006,"",B19007)</f>
        <v/>
      </c>
    </row>
    <row r="19008" spans="1:6" ht="15.75" customHeight="1">
      <c r="A19008" s="8" t="str">
        <f ca="1">IFERROR(__xludf.DUMMYFUNCTION("GOOGLETRANSLATE(B43138,""en"",""pt"")"),"Monte Vernon")</f>
        <v>Monte Vernon</v>
      </c>
      <c r="B19008" s="11" t="s">
        <v>29363</v>
      </c>
      <c r="C19008" s="11" t="s">
        <v>27788</v>
      </c>
      <c r="D19008" s="11" t="s">
        <v>27799</v>
      </c>
      <c r="E19008" s="10">
        <v>4245152</v>
      </c>
      <c r="F19008" s="4" t="str">
        <f>IF(B19008=B19007,"",B19008)</f>
        <v/>
      </c>
    </row>
    <row r="19009" spans="1:6" ht="15.75" customHeight="1">
      <c r="A19009" s="8" t="str">
        <f ca="1">IFERROR(__xludf.DUMMYFUNCTION("GOOGLETRANSLATE(B44414,""en"",""pt"")"),"Monte Vernon")</f>
        <v>Monte Vernon</v>
      </c>
      <c r="B19009" s="9" t="s">
        <v>29363</v>
      </c>
      <c r="C19009" s="9" t="s">
        <v>27788</v>
      </c>
      <c r="D19009" s="9" t="s">
        <v>27819</v>
      </c>
      <c r="E19009" s="10">
        <v>5127835</v>
      </c>
      <c r="F19009" s="4" t="str">
        <f>IF(B19009=B19008,"",B19009)</f>
        <v/>
      </c>
    </row>
    <row r="19010" spans="1:6" ht="15.75" customHeight="1">
      <c r="A19010" s="8" t="str">
        <f ca="1">IFERROR(__xludf.DUMMYFUNCTION("GOOGLETRANSLATE(B44522,""en"",""pt"")"),"Monte Vernon")</f>
        <v>Monte Vernon</v>
      </c>
      <c r="B19010" s="11" t="s">
        <v>29363</v>
      </c>
      <c r="C19010" s="11" t="s">
        <v>27788</v>
      </c>
      <c r="D19010" s="11" t="s">
        <v>27813</v>
      </c>
      <c r="E19010" s="10">
        <v>5163799</v>
      </c>
      <c r="F19010" s="4" t="str">
        <f>IF(B19010=B19009,"",B19010)</f>
        <v/>
      </c>
    </row>
    <row r="19011" spans="1:6" ht="15.75" customHeight="1">
      <c r="A19011" s="8" t="str">
        <f ca="1">IFERROR(__xludf.DUMMYFUNCTION("GOOGLETRANSLATE(B45355,""en"",""pt"")"),"Monte Vernon")</f>
        <v>Monte Vernon</v>
      </c>
      <c r="B19011" s="11" t="s">
        <v>29363</v>
      </c>
      <c r="C19011" s="9" t="s">
        <v>27788</v>
      </c>
      <c r="D19011" s="9" t="s">
        <v>27733</v>
      </c>
      <c r="E19011" s="10">
        <v>5804127</v>
      </c>
      <c r="F19011" s="4" t="str">
        <f>IF(B19011=B19010,"",B19011)</f>
        <v/>
      </c>
    </row>
    <row r="19012" spans="1:6" ht="15.75" customHeight="1">
      <c r="A19012" s="16" t="s">
        <v>29361</v>
      </c>
      <c r="B19012" s="15" t="s">
        <v>29361</v>
      </c>
      <c r="C19012" s="16" t="s">
        <v>27788</v>
      </c>
      <c r="D19012" s="16" t="s">
        <v>27799</v>
      </c>
      <c r="E19012" s="2">
        <v>4903024</v>
      </c>
      <c r="F19012" s="4" t="str">
        <f>IF(B19012=B19011,"",B19012)</f>
        <v>Mount Prospect</v>
      </c>
    </row>
    <row r="19013" spans="1:6" ht="15.75" customHeight="1">
      <c r="A19013" s="8" t="str">
        <f ca="1">IFERROR(__xludf.DUMMYFUNCTION("GOOGLETRANSLATE(B43850,""en"",""pt"")"),"Mount Prospect")</f>
        <v>Mount Prospect</v>
      </c>
      <c r="B19013" s="9" t="s">
        <v>29361</v>
      </c>
      <c r="C19013" s="9" t="s">
        <v>27788</v>
      </c>
      <c r="D19013" s="9" t="s">
        <v>27799</v>
      </c>
      <c r="E19013" s="10">
        <v>4903024</v>
      </c>
      <c r="F19013" s="4" t="str">
        <f>IF(B19013=B19012,"",B19013)</f>
        <v/>
      </c>
    </row>
    <row r="19014" spans="1:6" ht="15.75" customHeight="1">
      <c r="A19014" s="16" t="s">
        <v>29359</v>
      </c>
      <c r="B19014" s="15" t="s">
        <v>29360</v>
      </c>
      <c r="C19014" s="16" t="s">
        <v>27788</v>
      </c>
      <c r="D19014" s="16" t="s">
        <v>27811</v>
      </c>
      <c r="E19014" s="2">
        <v>4588165</v>
      </c>
      <c r="F19014" s="4" t="str">
        <f>IF(B19014=B19013,"",B19014)</f>
        <v>Mount Pleasant</v>
      </c>
    </row>
    <row r="19015" spans="1:6" ht="15.75" customHeight="1">
      <c r="A19015" s="16" t="s">
        <v>29359</v>
      </c>
      <c r="B19015" s="15" t="s">
        <v>29360</v>
      </c>
      <c r="C19015" s="16" t="s">
        <v>27788</v>
      </c>
      <c r="D19015" s="16" t="s">
        <v>27804</v>
      </c>
      <c r="E19015" s="2">
        <v>5002714</v>
      </c>
      <c r="F19015" s="4" t="str">
        <f>IF(B19015=B19014,"",B19015)</f>
        <v/>
      </c>
    </row>
    <row r="19016" spans="1:6" ht="15.75" customHeight="1">
      <c r="A19016" s="8" t="str">
        <f ca="1">IFERROR(__xludf.DUMMYFUNCTION("GOOGLETRANSLATE(B43593,""en"",""pt"")"),"Monte Pleasant")</f>
        <v>Monte Pleasant</v>
      </c>
      <c r="B19016" s="11" t="s">
        <v>29360</v>
      </c>
      <c r="C19016" s="11" t="s">
        <v>27788</v>
      </c>
      <c r="D19016" s="11" t="s">
        <v>27811</v>
      </c>
      <c r="E19016" s="10">
        <v>4588165</v>
      </c>
      <c r="F19016" s="4" t="str">
        <f>IF(B19016=B19015,"",B19016)</f>
        <v/>
      </c>
    </row>
    <row r="19017" spans="1:6" ht="15.75" customHeight="1">
      <c r="A19017" s="8" t="str">
        <f ca="1">IFERROR(__xludf.DUMMYFUNCTION("GOOGLETRANSLATE(B44105,""en"",""pt"")"),"Monte Pleasant")</f>
        <v>Monte Pleasant</v>
      </c>
      <c r="B19017" s="9" t="s">
        <v>29360</v>
      </c>
      <c r="C19017" s="9" t="s">
        <v>27788</v>
      </c>
      <c r="D19017" s="9" t="s">
        <v>27804</v>
      </c>
      <c r="E19017" s="10">
        <v>5002714</v>
      </c>
      <c r="F19017" s="4" t="str">
        <f>IF(B19017=B19016,"",B19017)</f>
        <v/>
      </c>
    </row>
    <row r="19018" spans="1:6" ht="15.75" customHeight="1">
      <c r="A19018" s="16" t="s">
        <v>4111</v>
      </c>
      <c r="B19018" s="15" t="s">
        <v>4112</v>
      </c>
      <c r="C19018" s="16" t="s">
        <v>3975</v>
      </c>
      <c r="D19018" s="16" t="s">
        <v>4031</v>
      </c>
      <c r="E19018" s="2">
        <v>6082231</v>
      </c>
      <c r="F19018" s="4" t="str">
        <f>IF(B19018=B19017,"",B19018)</f>
        <v>Mount Pearl</v>
      </c>
    </row>
    <row r="19019" spans="1:6" ht="15.75" customHeight="1">
      <c r="A19019" s="8" t="str">
        <f ca="1">IFERROR(__xludf.DUMMYFUNCTION("GOOGLETRANSLATE(B25521,""en"",""pt"")"),"Monte Pearl")</f>
        <v>Monte Pearl</v>
      </c>
      <c r="B19019" s="9" t="s">
        <v>4112</v>
      </c>
      <c r="C19019" s="9" t="s">
        <v>3975</v>
      </c>
      <c r="D19019" s="9" t="s">
        <v>4031</v>
      </c>
      <c r="E19019" s="10">
        <v>6082231</v>
      </c>
      <c r="F19019" s="4" t="str">
        <f>IF(B19019=B19018,"",B19019)</f>
        <v/>
      </c>
    </row>
    <row r="19020" spans="1:6" ht="15.75" customHeight="1">
      <c r="A19020" s="16" t="s">
        <v>1039</v>
      </c>
      <c r="B19020" s="15" t="s">
        <v>1040</v>
      </c>
      <c r="C19020" s="16" t="s">
        <v>885</v>
      </c>
      <c r="D19020" s="16" t="s">
        <v>827</v>
      </c>
      <c r="E19020" s="2">
        <v>2156578</v>
      </c>
      <c r="F19020" s="4" t="str">
        <f>IF(B19020=B19019,"",B19020)</f>
        <v>Mount Martha</v>
      </c>
    </row>
    <row r="19021" spans="1:6" ht="15.75" customHeight="1">
      <c r="A19021" s="8" t="str">
        <f ca="1">IFERROR(__xludf.DUMMYFUNCTION("GOOGLETRANSLATE(B23475,""en"",""pt"")"),"Monte Martha")</f>
        <v>Monte Martha</v>
      </c>
      <c r="B19021" s="9" t="s">
        <v>1040</v>
      </c>
      <c r="C19021" s="9" t="s">
        <v>885</v>
      </c>
      <c r="D19021" s="9" t="s">
        <v>827</v>
      </c>
      <c r="E19021" s="10">
        <v>2156578</v>
      </c>
      <c r="F19021" s="4" t="str">
        <f>IF(B19021=B19020,"",B19021)</f>
        <v/>
      </c>
    </row>
    <row r="19022" spans="1:6" ht="15.75" customHeight="1">
      <c r="A19022" s="16" t="s">
        <v>29357</v>
      </c>
      <c r="B19022" s="15" t="s">
        <v>29358</v>
      </c>
      <c r="C19022" s="16" t="s">
        <v>27788</v>
      </c>
      <c r="D19022" s="16" t="s">
        <v>27836</v>
      </c>
      <c r="E19022" s="2">
        <v>5202215</v>
      </c>
      <c r="F19022" s="4" t="str">
        <f>IF(B19022=B19021,"",B19022)</f>
        <v>Mount Lebanon</v>
      </c>
    </row>
    <row r="19023" spans="1:6" ht="15.75" customHeight="1">
      <c r="A19023" s="8" t="str">
        <f ca="1">IFERROR(__xludf.DUMMYFUNCTION("GOOGLETRANSLATE(B44582,""en"",""pt"")"),"Mount Líbano")</f>
        <v>Mount Líbano</v>
      </c>
      <c r="B19023" s="9" t="s">
        <v>29358</v>
      </c>
      <c r="C19023" s="9" t="s">
        <v>27788</v>
      </c>
      <c r="D19023" s="9" t="s">
        <v>27836</v>
      </c>
      <c r="E19023" s="10">
        <v>5202215</v>
      </c>
      <c r="F19023" s="4" t="str">
        <f>IF(B19023=B19022,"",B19023)</f>
        <v/>
      </c>
    </row>
    <row r="19024" spans="1:6" ht="15.75" customHeight="1">
      <c r="A19024" s="16" t="s">
        <v>24964</v>
      </c>
      <c r="B19024" s="15" t="s">
        <v>24965</v>
      </c>
      <c r="C19024" s="16" t="s">
        <v>24924</v>
      </c>
      <c r="D19024" s="16" t="s">
        <v>6944</v>
      </c>
      <c r="E19024" s="2">
        <v>9259456</v>
      </c>
      <c r="F19024" s="4" t="str">
        <f>IF(B19024=B19023,"",B19024)</f>
        <v>Mount Lavinia</v>
      </c>
    </row>
    <row r="19025" spans="1:6" ht="15.75" customHeight="1">
      <c r="A19025" s="8" t="str">
        <f ca="1">IFERROR(__xludf.DUMMYFUNCTION("GOOGLETRANSLATE(B36341,""en"",""pt"")"),"Monte Lavinia")</f>
        <v>Monte Lavinia</v>
      </c>
      <c r="B19025" s="9" t="s">
        <v>24965</v>
      </c>
      <c r="C19025" s="9" t="s">
        <v>24924</v>
      </c>
      <c r="D19025" s="9" t="s">
        <v>6944</v>
      </c>
      <c r="E19025" s="10">
        <v>9259456</v>
      </c>
      <c r="F19025" s="4" t="str">
        <f>IF(B19025=B19024,"",B19025)</f>
        <v/>
      </c>
    </row>
    <row r="19026" spans="1:6" ht="15.75" customHeight="1">
      <c r="A19026" s="16" t="s">
        <v>29355</v>
      </c>
      <c r="B19026" s="15" t="s">
        <v>29356</v>
      </c>
      <c r="C19026" s="16" t="s">
        <v>27788</v>
      </c>
      <c r="D19026" s="16" t="s">
        <v>27905</v>
      </c>
      <c r="E19026" s="2">
        <v>4503136</v>
      </c>
      <c r="F19026" s="4" t="str">
        <f>IF(B19026=B19025,"",B19026)</f>
        <v>Mount Laurel</v>
      </c>
    </row>
    <row r="19027" spans="1:6" ht="15.75" customHeight="1">
      <c r="A19027" s="8" t="str">
        <f ca="1">IFERROR(__xludf.DUMMYFUNCTION("GOOGLETRANSLATE(B43495,""en"",""pt"")"),"Monte Laurel")</f>
        <v>Monte Laurel</v>
      </c>
      <c r="B19027" s="9" t="s">
        <v>29356</v>
      </c>
      <c r="C19027" s="9" t="s">
        <v>27788</v>
      </c>
      <c r="D19027" s="9" t="s">
        <v>27905</v>
      </c>
      <c r="E19027" s="10">
        <v>4503136</v>
      </c>
      <c r="F19027" s="4" t="str">
        <f>IF(B19027=B19026,"",B19027)</f>
        <v/>
      </c>
    </row>
    <row r="19028" spans="1:6" ht="15.75" customHeight="1">
      <c r="A19028" s="16" t="s">
        <v>29353</v>
      </c>
      <c r="B19028" s="15" t="s">
        <v>29354</v>
      </c>
      <c r="C19028" s="16" t="s">
        <v>27788</v>
      </c>
      <c r="D19028" s="16" t="s">
        <v>27957</v>
      </c>
      <c r="E19028" s="2">
        <v>4643336</v>
      </c>
      <c r="F19028" s="4" t="str">
        <f>IF(B19028=B19027,"",B19028)</f>
        <v>Mount Juliet</v>
      </c>
    </row>
    <row r="19029" spans="1:6" ht="15.75" customHeight="1">
      <c r="A19029" s="8" t="str">
        <f ca="1">IFERROR(__xludf.DUMMYFUNCTION("GOOGLETRANSLATE(B43637,""en"",""pt"")"),"Monte Juliet")</f>
        <v>Monte Juliet</v>
      </c>
      <c r="B19029" s="11" t="s">
        <v>29354</v>
      </c>
      <c r="C19029" s="11" t="s">
        <v>27788</v>
      </c>
      <c r="D19029" s="11" t="s">
        <v>27957</v>
      </c>
      <c r="E19029" s="10">
        <v>4643336</v>
      </c>
      <c r="F19029" s="4" t="str">
        <f>IF(B19029=B19028,"",B19029)</f>
        <v/>
      </c>
    </row>
    <row r="19030" spans="1:6" ht="15.75" customHeight="1">
      <c r="A19030" s="16" t="s">
        <v>1037</v>
      </c>
      <c r="B19030" s="15" t="s">
        <v>1038</v>
      </c>
      <c r="C19030" s="16" t="s">
        <v>885</v>
      </c>
      <c r="D19030" s="16" t="s">
        <v>910</v>
      </c>
      <c r="E19030" s="2">
        <v>2065594</v>
      </c>
      <c r="F19030" s="4" t="str">
        <f>IF(B19030=B19029,"",B19030)</f>
        <v>Mount Isa</v>
      </c>
    </row>
    <row r="19031" spans="1:6" ht="15.75" customHeight="1">
      <c r="A19031" s="8" t="str">
        <f ca="1">IFERROR(__xludf.DUMMYFUNCTION("GOOGLETRANSLATE(B23413,""en"",""pt"")"),"Monte Isa")</f>
        <v>Monte Isa</v>
      </c>
      <c r="B19031" s="11" t="s">
        <v>1038</v>
      </c>
      <c r="C19031" s="11" t="s">
        <v>885</v>
      </c>
      <c r="D19031" s="11" t="s">
        <v>910</v>
      </c>
      <c r="E19031" s="10">
        <v>2065594</v>
      </c>
      <c r="F19031" s="4" t="str">
        <f>IF(B19031=B19030,"",B19031)</f>
        <v/>
      </c>
    </row>
    <row r="19032" spans="1:6" ht="15.75" customHeight="1">
      <c r="A19032" s="16" t="s">
        <v>20422</v>
      </c>
      <c r="B19032" s="15" t="s">
        <v>20423</v>
      </c>
      <c r="C19032" s="16" t="s">
        <v>20406</v>
      </c>
      <c r="D19032" s="16" t="s">
        <v>20424</v>
      </c>
      <c r="E19032" s="2">
        <v>2090409</v>
      </c>
      <c r="F19032" s="4" t="str">
        <f>IF(B19032=B19031,"",B19032)</f>
        <v>Mount Hagen</v>
      </c>
    </row>
    <row r="19033" spans="1:6" ht="15.75" customHeight="1">
      <c r="A19033" s="8" t="str">
        <f ca="1">IFERROR(__xludf.DUMMYFUNCTION("GOOGLETRANSLATE(B38414,""en"",""pt"")"),"Monte Hagen")</f>
        <v>Monte Hagen</v>
      </c>
      <c r="B19033" s="9" t="s">
        <v>20423</v>
      </c>
      <c r="C19033" s="9" t="s">
        <v>20406</v>
      </c>
      <c r="D19033" s="9" t="s">
        <v>20424</v>
      </c>
      <c r="E19033" s="10">
        <v>2090409</v>
      </c>
      <c r="F19033" s="4" t="str">
        <f>IF(B19033=B19032,"",B19033)</f>
        <v/>
      </c>
    </row>
    <row r="19034" spans="1:6" ht="15.75" customHeight="1">
      <c r="A19034" s="16" t="s">
        <v>1036</v>
      </c>
      <c r="B19034" s="15" t="s">
        <v>1036</v>
      </c>
      <c r="C19034" s="16" t="s">
        <v>885</v>
      </c>
      <c r="D19034" s="16" t="s">
        <v>886</v>
      </c>
      <c r="E19034" s="2">
        <v>2156643</v>
      </c>
      <c r="F19034" s="4" t="str">
        <f>IF(B19034=B19033,"",B19034)</f>
        <v>Mount Gambier</v>
      </c>
    </row>
    <row r="19035" spans="1:6" ht="15.75" customHeight="1">
      <c r="A19035" s="8" t="str">
        <f ca="1">IFERROR(__xludf.DUMMYFUNCTION("GOOGLETRANSLATE(B23476,""en"",""pt"")"),"Mount Gambier")</f>
        <v>Mount Gambier</v>
      </c>
      <c r="B19035" s="9" t="s">
        <v>1036</v>
      </c>
      <c r="C19035" s="9" t="s">
        <v>885</v>
      </c>
      <c r="D19035" s="9" t="s">
        <v>886</v>
      </c>
      <c r="E19035" s="10">
        <v>2156643</v>
      </c>
      <c r="F19035" s="4" t="str">
        <f>IF(B19035=B19034,"",B19035)</f>
        <v/>
      </c>
    </row>
    <row r="19036" spans="1:6" ht="15.75" customHeight="1">
      <c r="A19036" s="16" t="s">
        <v>1034</v>
      </c>
      <c r="B19036" s="15" t="s">
        <v>1035</v>
      </c>
      <c r="C19036" s="16" t="s">
        <v>885</v>
      </c>
      <c r="D19036" s="16" t="s">
        <v>827</v>
      </c>
      <c r="E19036" s="2">
        <v>2156663</v>
      </c>
      <c r="F19036" s="4" t="str">
        <f>IF(B19036=B19035,"",B19036)</f>
        <v>Mount Eliza</v>
      </c>
    </row>
    <row r="19037" spans="1:6" ht="15.75" customHeight="1">
      <c r="A19037" s="8" t="str">
        <f ca="1">IFERROR(__xludf.DUMMYFUNCTION("GOOGLETRANSLATE(B23477,""en"",""pt"")"),"Monte Eliza")</f>
        <v>Monte Eliza</v>
      </c>
      <c r="B19037" s="9" t="s">
        <v>1035</v>
      </c>
      <c r="C19037" s="9" t="s">
        <v>885</v>
      </c>
      <c r="D19037" s="9" t="s">
        <v>827</v>
      </c>
      <c r="E19037" s="10">
        <v>2156663</v>
      </c>
      <c r="F19037" s="4" t="str">
        <f>IF(B19037=B19036,"",B19037)</f>
        <v/>
      </c>
    </row>
    <row r="19038" spans="1:6" ht="15.75" customHeight="1">
      <c r="A19038" s="16" t="s">
        <v>29351</v>
      </c>
      <c r="B19038" s="15" t="s">
        <v>29352</v>
      </c>
      <c r="C19038" s="16" t="s">
        <v>27788</v>
      </c>
      <c r="D19038" s="16" t="s">
        <v>27804</v>
      </c>
      <c r="E19038" s="2">
        <v>5002656</v>
      </c>
      <c r="F19038" s="4" t="str">
        <f>IF(B19038=B19037,"",B19038)</f>
        <v>Mount Clemens</v>
      </c>
    </row>
    <row r="19039" spans="1:6" ht="15.75" customHeight="1">
      <c r="A19039" s="8" t="str">
        <f ca="1">IFERROR(__xludf.DUMMYFUNCTION("GOOGLETRANSLATE(B44104,""en"",""pt"")"),"Monte Clemens")</f>
        <v>Monte Clemens</v>
      </c>
      <c r="B19039" s="9" t="s">
        <v>29352</v>
      </c>
      <c r="C19039" s="9" t="s">
        <v>27788</v>
      </c>
      <c r="D19039" s="9" t="s">
        <v>27804</v>
      </c>
      <c r="E19039" s="10">
        <v>5002656</v>
      </c>
      <c r="F19039" s="4" t="str">
        <f>IF(B19039=B19038,"",B19039)</f>
        <v/>
      </c>
    </row>
    <row r="19040" spans="1:6" ht="15.75" customHeight="1">
      <c r="A19040" s="16" t="s">
        <v>4345</v>
      </c>
      <c r="B19040" s="15" t="s">
        <v>4345</v>
      </c>
      <c r="C19040" s="16" t="s">
        <v>4305</v>
      </c>
      <c r="D19040" s="16" t="s">
        <v>4314</v>
      </c>
      <c r="E19040" s="2">
        <v>2427455</v>
      </c>
      <c r="F19040" s="4" t="str">
        <f>IF(B19040=B19039,"",B19040)</f>
        <v>Moundou</v>
      </c>
    </row>
    <row r="19041" spans="1:6" ht="15.75" customHeight="1">
      <c r="A19041" s="8" t="str">
        <f ca="1">IFERROR(__xludf.DUMMYFUNCTION("GOOGLETRANSLATE(B41477,""en"",""pt"")"),"Moundou")</f>
        <v>Moundou</v>
      </c>
      <c r="B19041" s="9" t="s">
        <v>4345</v>
      </c>
      <c r="C19041" s="9" t="s">
        <v>4305</v>
      </c>
      <c r="D19041" s="9" t="s">
        <v>4314</v>
      </c>
      <c r="E19041" s="10">
        <v>2427455</v>
      </c>
      <c r="F19041" s="4" t="str">
        <f>IF(B19041=B19040,"",B19041)</f>
        <v/>
      </c>
    </row>
    <row r="19042" spans="1:6" ht="15.75" customHeight="1">
      <c r="A19042" s="15" t="s">
        <v>7625</v>
      </c>
      <c r="B19042" s="15" t="s">
        <v>7625</v>
      </c>
      <c r="C19042" s="15" t="s">
        <v>7052</v>
      </c>
      <c r="D19042" s="15" t="s">
        <v>7053</v>
      </c>
      <c r="E19042" s="2">
        <v>2991481</v>
      </c>
      <c r="F19042" s="4" t="str">
        <f>IF(B19042=B19041,"",B19042)</f>
        <v>Moulins</v>
      </c>
    </row>
    <row r="19043" spans="1:6" ht="15.75" customHeight="1">
      <c r="A19043" s="8" t="str">
        <f ca="1">IFERROR(__xludf.DUMMYFUNCTION("GOOGLETRANSLATE(B29892,""en"",""pt"")"),"Moulins")</f>
        <v>Moulins</v>
      </c>
      <c r="B19043" s="9" t="s">
        <v>7625</v>
      </c>
      <c r="C19043" s="9" t="s">
        <v>7052</v>
      </c>
      <c r="D19043" s="9" t="s">
        <v>32532</v>
      </c>
      <c r="E19043" s="10">
        <v>2991481</v>
      </c>
      <c r="F19043" s="4" t="str">
        <f>IF(B19043=B19042,"",B19043)</f>
        <v/>
      </c>
    </row>
    <row r="19044" spans="1:6" ht="15.75" customHeight="1">
      <c r="A19044" s="15" t="s">
        <v>7971</v>
      </c>
      <c r="B19044" s="15" t="s">
        <v>7971</v>
      </c>
      <c r="C19044" s="15" t="s">
        <v>7960</v>
      </c>
      <c r="D19044" s="15" t="s">
        <v>7972</v>
      </c>
      <c r="E19044" s="2">
        <v>2398073</v>
      </c>
      <c r="F19044" s="4" t="str">
        <f>IF(B19044=B19043,"",B19044)</f>
        <v>Mouila</v>
      </c>
    </row>
    <row r="19045" spans="1:6" ht="15.75" customHeight="1">
      <c r="A19045" s="8" t="str">
        <f ca="1">IFERROR(__xludf.DUMMYFUNCTION("GOOGLETRANSLATE(B30308,""en"",""pt"")"),"Mouila")</f>
        <v>Mouila</v>
      </c>
      <c r="B19045" s="9" t="s">
        <v>7971</v>
      </c>
      <c r="C19045" s="9" t="s">
        <v>7960</v>
      </c>
      <c r="D19045" s="9" t="s">
        <v>32652</v>
      </c>
      <c r="E19045" s="10">
        <v>2398073</v>
      </c>
      <c r="F19045" s="4" t="str">
        <f>IF(B19045=B19044,"",B19045)</f>
        <v/>
      </c>
    </row>
    <row r="19046" spans="1:6" ht="15.75" customHeight="1">
      <c r="A19046" s="15" t="s">
        <v>7624</v>
      </c>
      <c r="B19046" s="15" t="s">
        <v>7624</v>
      </c>
      <c r="C19046" s="15" t="s">
        <v>7052</v>
      </c>
      <c r="D19046" s="15" t="s">
        <v>7087</v>
      </c>
      <c r="E19046" s="2">
        <v>2991551</v>
      </c>
      <c r="F19046" s="4" t="str">
        <f>IF(B19046=B19045,"",B19046)</f>
        <v>Mougins</v>
      </c>
    </row>
    <row r="19047" spans="1:6" ht="15.75" customHeight="1">
      <c r="A19047" s="8" t="str">
        <f ca="1">IFERROR(__xludf.DUMMYFUNCTION("GOOGLETRANSLATE(B29893,""en"",""pt"")"),"Mougins")</f>
        <v>Mougins</v>
      </c>
      <c r="B19047" s="9" t="s">
        <v>7624</v>
      </c>
      <c r="C19047" s="9" t="s">
        <v>7052</v>
      </c>
      <c r="D19047" s="9" t="s">
        <v>32534</v>
      </c>
      <c r="E19047" s="10">
        <v>2991551</v>
      </c>
      <c r="F19047" s="4" t="str">
        <f>IF(B19047=B19046,"",B19047)</f>
        <v/>
      </c>
    </row>
    <row r="19048" spans="1:6" ht="15.75" customHeight="1">
      <c r="A19048" s="15" t="s">
        <v>18104</v>
      </c>
      <c r="B19048" s="15" t="s">
        <v>18104</v>
      </c>
      <c r="C19048" s="15" t="s">
        <v>17707</v>
      </c>
      <c r="D19048" s="15" t="s">
        <v>17823</v>
      </c>
      <c r="E19048" s="2">
        <v>3522924</v>
      </c>
      <c r="F19048" s="4" t="str">
        <f>IF(B19048=B19047,"",B19048)</f>
        <v>Motul</v>
      </c>
    </row>
    <row r="19049" spans="1:6" ht="15.75" customHeight="1">
      <c r="A19049" s="8" t="str">
        <f ca="1">IFERROR(__xludf.DUMMYFUNCTION("GOOGLETRANSLATE(B36972,""en"",""pt"")"),"Motul")</f>
        <v>Motul</v>
      </c>
      <c r="B19049" s="9" t="s">
        <v>18104</v>
      </c>
      <c r="C19049" s="9" t="s">
        <v>17707</v>
      </c>
      <c r="D19049" s="9" t="s">
        <v>34661</v>
      </c>
      <c r="E19049" s="10">
        <v>3522924</v>
      </c>
      <c r="F19049" s="4" t="str">
        <f>IF(B19049=B19048,"",B19049)</f>
        <v/>
      </c>
    </row>
    <row r="19050" spans="1:6" ht="15.75" customHeight="1">
      <c r="A19050" s="15" t="s">
        <v>21964</v>
      </c>
      <c r="B19050" s="15" t="s">
        <v>21965</v>
      </c>
      <c r="C19050" s="15" t="s">
        <v>21824</v>
      </c>
      <c r="D19050" s="15" t="s">
        <v>21966</v>
      </c>
      <c r="E19050" s="2">
        <v>672757</v>
      </c>
      <c r="F19050" s="4" t="str">
        <f>IF(B19050=B19049,"",B19050)</f>
        <v>Motru</v>
      </c>
    </row>
    <row r="19051" spans="1:6" ht="15.75" customHeight="1">
      <c r="A19051" s="8" t="str">
        <f ca="1">IFERROR(__xludf.DUMMYFUNCTION("GOOGLETRANSLATE(B39773,""en"",""pt"")"),"Monte")</f>
        <v>Monte</v>
      </c>
      <c r="B19051" s="11" t="s">
        <v>21965</v>
      </c>
      <c r="C19051" s="11" t="s">
        <v>21824</v>
      </c>
      <c r="D19051" s="11" t="s">
        <v>21966</v>
      </c>
      <c r="E19051" s="10">
        <v>672757</v>
      </c>
      <c r="F19051" s="4" t="str">
        <f>IF(B19051=B19050,"",B19051)</f>
        <v/>
      </c>
    </row>
    <row r="19052" spans="1:6" ht="15.75" customHeight="1">
      <c r="A19052" s="15" t="s">
        <v>24643</v>
      </c>
      <c r="B19052" s="15" t="s">
        <v>24643</v>
      </c>
      <c r="C19052" s="15" t="s">
        <v>24200</v>
      </c>
      <c r="D19052" s="15" t="s">
        <v>24205</v>
      </c>
      <c r="E19052" s="2">
        <v>2513477</v>
      </c>
      <c r="F19052" s="4" t="str">
        <f>IF(B19052=B19051,"",B19052)</f>
        <v>Motril</v>
      </c>
    </row>
    <row r="19053" spans="1:6" ht="15.75" customHeight="1">
      <c r="A19053" s="8" t="str">
        <f ca="1">IFERROR(__xludf.DUMMYFUNCTION("GOOGLETRANSLATE(B29045,""en"",""pt"")"),"Motril")</f>
        <v>Motril</v>
      </c>
      <c r="B19053" s="9" t="s">
        <v>24643</v>
      </c>
      <c r="C19053" s="9" t="s">
        <v>24200</v>
      </c>
      <c r="D19053" s="9" t="s">
        <v>24205</v>
      </c>
      <c r="E19053" s="10">
        <v>2513477</v>
      </c>
      <c r="F19053" s="4" t="str">
        <f>IF(B19053=B19052,"",B19053)</f>
        <v/>
      </c>
    </row>
    <row r="19054" spans="1:6" ht="15.75" customHeight="1">
      <c r="A19054" s="16" t="s">
        <v>18103</v>
      </c>
      <c r="B19054" s="15" t="s">
        <v>18103</v>
      </c>
      <c r="C19054" s="16" t="s">
        <v>17707</v>
      </c>
      <c r="D19054" s="16" t="s">
        <v>17770</v>
      </c>
      <c r="E19054" s="2">
        <v>3522926</v>
      </c>
      <c r="F19054" s="4" t="str">
        <f>IF(B19054=B19053,"",B19054)</f>
        <v>Motozintla</v>
      </c>
    </row>
    <row r="19055" spans="1:6" ht="15.75" customHeight="1">
      <c r="A19055" s="8" t="str">
        <f ca="1">IFERROR(__xludf.DUMMYFUNCTION("GOOGLETRANSLATE(B36973,""en"",""pt"")"),"Motozintla")</f>
        <v>Motozintla</v>
      </c>
      <c r="B19055" s="9" t="s">
        <v>18103</v>
      </c>
      <c r="C19055" s="9" t="s">
        <v>17707</v>
      </c>
      <c r="D19055" s="9" t="s">
        <v>17770</v>
      </c>
      <c r="E19055" s="10">
        <v>3522926</v>
      </c>
      <c r="F19055" s="4" t="str">
        <f>IF(B19055=B19054,"",B19055)</f>
        <v/>
      </c>
    </row>
    <row r="19056" spans="1:6" ht="15.75" customHeight="1">
      <c r="A19056" s="16" t="s">
        <v>16253</v>
      </c>
      <c r="B19056" s="15" t="s">
        <v>16253</v>
      </c>
      <c r="C19056" s="16" t="s">
        <v>15704</v>
      </c>
      <c r="D19056" s="16" t="s">
        <v>15884</v>
      </c>
      <c r="E19056" s="2">
        <v>2111824</v>
      </c>
      <c r="F19056" s="4" t="str">
        <f>IF(B19056=B19055,"",B19056)</f>
        <v>Motomiya</v>
      </c>
    </row>
    <row r="19057" spans="1:6" ht="15.75" customHeight="1">
      <c r="A19057" s="8" t="str">
        <f ca="1">IFERROR(__xludf.DUMMYFUNCTION("GOOGLETRANSLATE(B35759,""en"",""pt"")"),"Motomiya")</f>
        <v>Motomiya</v>
      </c>
      <c r="B19057" s="9" t="s">
        <v>16253</v>
      </c>
      <c r="C19057" s="9" t="s">
        <v>15704</v>
      </c>
      <c r="D19057" s="9" t="s">
        <v>15884</v>
      </c>
      <c r="E19057" s="10">
        <v>2111824</v>
      </c>
      <c r="F19057" s="4" t="str">
        <f>IF(B19057=B19056,"",B19057)</f>
        <v/>
      </c>
    </row>
    <row r="19058" spans="1:6" ht="15.75" customHeight="1">
      <c r="A19058" s="8" t="str">
        <f ca="1">IFERROR(__xludf.DUMMYFUNCTION("GOOGLETRANSLATE(B32748,""en"",""pt"")"),"Mothīhāri")</f>
        <v>Mothīhāri</v>
      </c>
      <c r="B19058" s="11" t="s">
        <v>33373</v>
      </c>
      <c r="C19058" s="11" t="s">
        <v>10178</v>
      </c>
      <c r="D19058" s="11" t="s">
        <v>10317</v>
      </c>
      <c r="E19058" s="10">
        <v>1262710</v>
      </c>
      <c r="F19058" s="4" t="str">
        <f>IF(B19058=B19057,"",B19058)</f>
        <v>Mothīhāri</v>
      </c>
    </row>
    <row r="19059" spans="1:6" ht="15.75" customHeight="1">
      <c r="A19059" s="16" t="s">
        <v>27543</v>
      </c>
      <c r="B19059" s="15" t="s">
        <v>27543</v>
      </c>
      <c r="C19059" s="16" t="s">
        <v>27234</v>
      </c>
      <c r="D19059" s="16" t="s">
        <v>27237</v>
      </c>
      <c r="E19059" s="2">
        <v>2642135</v>
      </c>
      <c r="F19059" s="4" t="str">
        <f>IF(B19059=B19058,"",B19059)</f>
        <v>Motherwell</v>
      </c>
    </row>
    <row r="19060" spans="1:6" ht="15.75" customHeight="1">
      <c r="A19060" s="8" t="str">
        <f ca="1">IFERROR(__xludf.DUMMYFUNCTION("GOOGLETRANSLATE(B30532,""en"",""pt"")"),"Motherwell")</f>
        <v>Motherwell</v>
      </c>
      <c r="B19060" s="9" t="s">
        <v>27543</v>
      </c>
      <c r="C19060" s="9" t="s">
        <v>27234</v>
      </c>
      <c r="D19060" s="9" t="s">
        <v>27237</v>
      </c>
      <c r="E19060" s="10">
        <v>2642135</v>
      </c>
      <c r="F19060" s="4" t="str">
        <f>IF(B19060=B19059,"",B19060)</f>
        <v/>
      </c>
    </row>
    <row r="19061" spans="1:6" ht="15.75" customHeight="1">
      <c r="A19061" s="16" t="s">
        <v>12433</v>
      </c>
      <c r="B19061" s="15" t="s">
        <v>12434</v>
      </c>
      <c r="C19061" s="16" t="s">
        <v>10178</v>
      </c>
      <c r="D19061" s="16" t="s">
        <v>10317</v>
      </c>
      <c r="E19061" s="2">
        <v>1262710</v>
      </c>
      <c r="F19061" s="4" t="str">
        <f>IF(B19061=B19060,"",B19061)</f>
        <v>MothÄ«hÄri</v>
      </c>
    </row>
    <row r="19062" spans="1:6" ht="15.75" customHeight="1">
      <c r="A19062" s="15" t="s">
        <v>16252</v>
      </c>
      <c r="B19062" s="15" t="s">
        <v>16252</v>
      </c>
      <c r="C19062" s="15" t="s">
        <v>15704</v>
      </c>
      <c r="D19062" s="15" t="s">
        <v>15799</v>
      </c>
      <c r="E19062" s="2">
        <v>2111827</v>
      </c>
      <c r="F19062" s="4" t="str">
        <f>IF(B19062=B19061,"",B19062)</f>
        <v>Motegi</v>
      </c>
    </row>
    <row r="19063" spans="1:6" ht="15.75" customHeight="1">
      <c r="A19063" s="8" t="str">
        <f ca="1">IFERROR(__xludf.DUMMYFUNCTION("GOOGLETRANSLATE(B35760,""en"",""pt"")"),"Motegi")</f>
        <v>Motegi</v>
      </c>
      <c r="B19063" s="9" t="s">
        <v>16252</v>
      </c>
      <c r="C19063" s="9" t="s">
        <v>15704</v>
      </c>
      <c r="D19063" s="9" t="s">
        <v>15799</v>
      </c>
      <c r="E19063" s="10">
        <v>2111827</v>
      </c>
      <c r="F19063" s="4" t="str">
        <f>IF(B19063=B19062,"",B19063)</f>
        <v/>
      </c>
    </row>
    <row r="19064" spans="1:6" ht="15.75" customHeight="1">
      <c r="A19064" s="15" t="s">
        <v>25177</v>
      </c>
      <c r="B19064" s="15" t="s">
        <v>25177</v>
      </c>
      <c r="C19064" s="15" t="s">
        <v>25077</v>
      </c>
      <c r="D19064" s="15" t="s">
        <v>25165</v>
      </c>
      <c r="E19064" s="2">
        <v>2690960</v>
      </c>
      <c r="F19064" s="4" t="str">
        <f>IF(B19064=B19063,"",B19064)</f>
        <v>Motala</v>
      </c>
    </row>
    <row r="19065" spans="1:6" ht="15.75" customHeight="1">
      <c r="A19065" s="8" t="str">
        <f ca="1">IFERROR(__xludf.DUMMYFUNCTION("GOOGLETRANSLATE(B41161,""en"",""pt"")"),"Motala")</f>
        <v>Motala</v>
      </c>
      <c r="B19065" s="11" t="s">
        <v>25177</v>
      </c>
      <c r="C19065" s="11" t="s">
        <v>25077</v>
      </c>
      <c r="D19065" s="11" t="s">
        <v>35644</v>
      </c>
      <c r="E19065" s="10">
        <v>2690960</v>
      </c>
      <c r="F19065" s="4" t="str">
        <f>IF(B19065=B19064,"",B19065)</f>
        <v/>
      </c>
    </row>
    <row r="19066" spans="1:6" ht="15.75" customHeight="1">
      <c r="A19066" s="15" t="s">
        <v>14699</v>
      </c>
      <c r="B19066" s="15" t="s">
        <v>14699</v>
      </c>
      <c r="C19066" s="15" t="s">
        <v>14594</v>
      </c>
      <c r="D19066" s="15" t="s">
        <v>14609</v>
      </c>
      <c r="E19066" s="2">
        <v>99072</v>
      </c>
      <c r="F19066" s="4" t="str">
        <f>IF(B19066=B19065,"",B19066)</f>
        <v>Mosul</v>
      </c>
    </row>
    <row r="19067" spans="1:6" ht="15.75" customHeight="1">
      <c r="A19067" s="8" t="str">
        <f ca="1">IFERROR(__xludf.DUMMYFUNCTION("GOOGLETRANSLATE(B34318,""en"",""pt"")"),"Mosul")</f>
        <v>Mosul</v>
      </c>
      <c r="B19067" s="11" t="s">
        <v>14699</v>
      </c>
      <c r="C19067" s="11" t="s">
        <v>14594</v>
      </c>
      <c r="D19067" s="11" t="s">
        <v>34069</v>
      </c>
      <c r="E19067" s="10">
        <v>99072</v>
      </c>
      <c r="F19067" s="4" t="str">
        <f>IF(B19067=B19066,"",B19067)</f>
        <v/>
      </c>
    </row>
    <row r="19068" spans="1:6" ht="15.75" customHeight="1">
      <c r="A19068" s="16" t="s">
        <v>22757</v>
      </c>
      <c r="B19068" s="15" t="s">
        <v>22758</v>
      </c>
      <c r="C19068" s="16" t="s">
        <v>22070</v>
      </c>
      <c r="D19068" s="16" t="s">
        <v>22077</v>
      </c>
      <c r="E19068" s="2">
        <v>524809</v>
      </c>
      <c r="F19068" s="4" t="str">
        <f>IF(B19068=B19067,"",B19068)</f>
        <v>Mostovskoy</v>
      </c>
    </row>
    <row r="19069" spans="1:6" ht="15.75" customHeight="1">
      <c r="A19069" s="8" t="str">
        <f ca="1">IFERROR(__xludf.DUMMYFUNCTION("GOOGLETRANSLATE(B40309,""en"",""pt"")"),"MOSTOVSKOY")</f>
        <v>MOSTOVSKOY</v>
      </c>
      <c r="B19069" s="9" t="s">
        <v>22758</v>
      </c>
      <c r="C19069" s="9" t="s">
        <v>22070</v>
      </c>
      <c r="D19069" s="9" t="s">
        <v>22077</v>
      </c>
      <c r="E19069" s="10">
        <v>524809</v>
      </c>
      <c r="F19069" s="4" t="str">
        <f>IF(B19069=B19068,"",B19069)</f>
        <v/>
      </c>
    </row>
    <row r="19070" spans="1:6" ht="15.75" customHeight="1">
      <c r="A19070" s="8" t="str">
        <f ca="1">IFERROR(__xludf.DUMMYFUNCTION("GOOGLETRANSLATE(B29346,""en"",""pt"")"),"Móstoles")</f>
        <v>Móstoles</v>
      </c>
      <c r="B19070" s="9" t="s">
        <v>32447</v>
      </c>
      <c r="C19070" s="9" t="s">
        <v>24200</v>
      </c>
      <c r="D19070" s="9" t="s">
        <v>5513</v>
      </c>
      <c r="E19070" s="10">
        <v>3116025</v>
      </c>
      <c r="F19070" s="4" t="str">
        <f>IF(B19070=B19069,"",B19070)</f>
        <v>Móstoles</v>
      </c>
    </row>
    <row r="19071" spans="1:6" ht="15.75" customHeight="1">
      <c r="A19071" s="15" t="s">
        <v>1865</v>
      </c>
      <c r="B19071" s="15" t="s">
        <v>1866</v>
      </c>
      <c r="C19071" s="15" t="s">
        <v>1845</v>
      </c>
      <c r="D19071" s="15" t="s">
        <v>1849</v>
      </c>
      <c r="E19071" s="2">
        <v>3194828</v>
      </c>
      <c r="F19071" s="4" t="str">
        <f>IF(B19071=B19070,"",B19071)</f>
        <v>Mostar</v>
      </c>
    </row>
    <row r="19072" spans="1:6" ht="15.75" customHeight="1">
      <c r="A19072" s="8" t="str">
        <f ca="1">IFERROR(__xludf.DUMMYFUNCTION("GOOGLETRANSLATE(B23679,""en"",""pt"")"),"MOSTAR")</f>
        <v>MOSTAR</v>
      </c>
      <c r="B19072" s="11" t="s">
        <v>1866</v>
      </c>
      <c r="C19072" s="11" t="s">
        <v>1845</v>
      </c>
      <c r="D19072" s="11" t="s">
        <v>1849</v>
      </c>
      <c r="E19072" s="10">
        <v>3194828</v>
      </c>
      <c r="F19072" s="4" t="str">
        <f>IF(B19072=B19071,"",B19072)</f>
        <v/>
      </c>
    </row>
    <row r="19073" spans="1:6" ht="15.75" customHeight="1">
      <c r="A19073" s="16" t="s">
        <v>409</v>
      </c>
      <c r="B19073" s="15" t="s">
        <v>410</v>
      </c>
      <c r="C19073" s="16" t="s">
        <v>153</v>
      </c>
      <c r="D19073" s="16" t="s">
        <v>410</v>
      </c>
      <c r="E19073" s="2">
        <v>2487134</v>
      </c>
      <c r="F19073" s="4" t="str">
        <f>IF(B19073=B19072,"",B19073)</f>
        <v>Mostaganem</v>
      </c>
    </row>
    <row r="19074" spans="1:6" ht="15.75" customHeight="1">
      <c r="A19074" s="8" t="str">
        <f ca="1">IFERROR(__xludf.DUMMYFUNCTION("GOOGLETRANSLATE(B28576,""en"",""pt"")"),"MOSTAGANEM")</f>
        <v>MOSTAGANEM</v>
      </c>
      <c r="B19074" s="11" t="s">
        <v>410</v>
      </c>
      <c r="C19074" s="11" t="s">
        <v>153</v>
      </c>
      <c r="D19074" s="11" t="s">
        <v>410</v>
      </c>
      <c r="E19074" s="10">
        <v>2487134</v>
      </c>
      <c r="F19074" s="4" t="str">
        <f>IF(B19074=B19073,"",B19074)</f>
        <v/>
      </c>
    </row>
    <row r="19075" spans="1:6" ht="15.75" customHeight="1">
      <c r="A19075" s="15" t="s">
        <v>17624</v>
      </c>
      <c r="B19075" s="15" t="s">
        <v>17625</v>
      </c>
      <c r="C19075" s="15" t="s">
        <v>17621</v>
      </c>
      <c r="D19075" s="15" t="s">
        <v>17626</v>
      </c>
      <c r="E19075" s="2">
        <v>2562704</v>
      </c>
      <c r="F19075" s="4" t="str">
        <f>IF(B19075=B19074,"",B19075)</f>
        <v>Mosta</v>
      </c>
    </row>
    <row r="19076" spans="1:6" ht="15.75" customHeight="1">
      <c r="A19076" s="8" t="str">
        <f ca="1">IFERROR(__xludf.DUMMYFUNCTION("GOOGLETRANSLATE(B36810,""en"",""pt"")"),"MOSTA")</f>
        <v>MOSTA</v>
      </c>
      <c r="B19076" s="11" t="s">
        <v>17625</v>
      </c>
      <c r="C19076" s="11" t="s">
        <v>17621</v>
      </c>
      <c r="D19076" s="11" t="s">
        <v>17626</v>
      </c>
      <c r="E19076" s="10">
        <v>2562704</v>
      </c>
      <c r="F19076" s="4" t="str">
        <f>IF(B19076=B19075,"",B19076)</f>
        <v/>
      </c>
    </row>
    <row r="19077" spans="1:6" ht="15.75" customHeight="1">
      <c r="A19077" s="15" t="s">
        <v>6064</v>
      </c>
      <c r="B19077" s="15" t="s">
        <v>6065</v>
      </c>
      <c r="C19077" s="15" t="s">
        <v>5947</v>
      </c>
      <c r="D19077" s="15" t="s">
        <v>5956</v>
      </c>
      <c r="E19077" s="2">
        <v>3070291</v>
      </c>
      <c r="F19077" s="4" t="str">
        <f>IF(B19077=B19076,"",B19077)</f>
        <v>Most</v>
      </c>
    </row>
    <row r="19078" spans="1:6" ht="15.75" customHeight="1">
      <c r="A19078" s="8" t="str">
        <f ca="1">IFERROR(__xludf.DUMMYFUNCTION("GOOGLETRANSLATE(B27288,""en"",""pt"")"),"Maioria")</f>
        <v>Maioria</v>
      </c>
      <c r="B19078" s="11" t="s">
        <v>6065</v>
      </c>
      <c r="C19078" s="11" t="s">
        <v>5947</v>
      </c>
      <c r="D19078" s="11" t="s">
        <v>31942</v>
      </c>
      <c r="E19078" s="10">
        <v>3070291</v>
      </c>
      <c r="F19078" s="4" t="str">
        <f>IF(B19078=B19077,"",B19078)</f>
        <v/>
      </c>
    </row>
    <row r="19079" spans="1:6" ht="15.75" customHeight="1">
      <c r="A19079" s="8" t="str">
        <f ca="1">IFERROR(__xludf.DUMMYFUNCTION("GOOGLETRANSLATE(B24266,""en"",""pt"")"),"Mossoró")</f>
        <v>Mossoró</v>
      </c>
      <c r="B19079" s="9" t="s">
        <v>31386</v>
      </c>
      <c r="C19079" s="9" t="s">
        <v>1905</v>
      </c>
      <c r="D19079" s="9" t="s">
        <v>1922</v>
      </c>
      <c r="E19079" s="10">
        <v>3394682</v>
      </c>
      <c r="F19079" s="4" t="str">
        <f>IF(B19079=B19078,"",B19079)</f>
        <v>Mossoró</v>
      </c>
    </row>
    <row r="19080" spans="1:6" ht="15.75" customHeight="1">
      <c r="A19080" s="15" t="s">
        <v>2930</v>
      </c>
      <c r="B19080" s="15" t="s">
        <v>2931</v>
      </c>
      <c r="C19080" s="15" t="s">
        <v>1905</v>
      </c>
      <c r="D19080" s="15" t="s">
        <v>1922</v>
      </c>
      <c r="E19080" s="2">
        <v>3394682</v>
      </c>
      <c r="F19080" s="4" t="str">
        <f>IF(B19080=B19079,"",B19080)</f>
        <v>MossorÃ³</v>
      </c>
    </row>
    <row r="19081" spans="1:6" ht="15.75" customHeight="1">
      <c r="A19081" s="8" t="str">
        <f ca="1">IFERROR(__xludf.DUMMYFUNCTION("GOOGLETRANSLATE(B27748,""en"",""pt"")"),"Mössingen")</f>
        <v>Mössingen</v>
      </c>
      <c r="B19081" s="11" t="s">
        <v>32058</v>
      </c>
      <c r="C19081" s="11" t="s">
        <v>8028</v>
      </c>
      <c r="D19081" s="11" t="s">
        <v>32013</v>
      </c>
      <c r="E19081" s="10">
        <v>2869019</v>
      </c>
      <c r="F19081" s="4" t="str">
        <f>IF(B19081=B19080,"",B19081)</f>
        <v>Mössingen</v>
      </c>
    </row>
    <row r="19082" spans="1:6" ht="15.75" customHeight="1">
      <c r="A19082" s="16" t="s">
        <v>21799</v>
      </c>
      <c r="B19082" s="15" t="s">
        <v>21799</v>
      </c>
      <c r="C19082" s="16" t="s">
        <v>21788</v>
      </c>
      <c r="D19082" s="16" t="s">
        <v>21790</v>
      </c>
      <c r="E19082" s="2">
        <v>2256895</v>
      </c>
      <c r="F19082" s="4" t="str">
        <f>IF(B19082=B19081,"",B19082)</f>
        <v>Mossendjo</v>
      </c>
    </row>
    <row r="19083" spans="1:6" ht="15.75" customHeight="1">
      <c r="A19083" s="8" t="str">
        <f ca="1">IFERROR(__xludf.DUMMYFUNCTION("GOOGLETRANSLATE(B25734,""en"",""pt"")"),"Mossendjo")</f>
        <v>Mossendjo</v>
      </c>
      <c r="B19083" s="9" t="s">
        <v>21799</v>
      </c>
      <c r="C19083" s="9" t="s">
        <v>21788</v>
      </c>
      <c r="D19083" s="9" t="s">
        <v>21790</v>
      </c>
      <c r="E19083" s="10">
        <v>2256895</v>
      </c>
      <c r="F19083" s="4" t="str">
        <f>IF(B19083=B19082,"",B19083)</f>
        <v/>
      </c>
    </row>
    <row r="19084" spans="1:6" ht="15.75" customHeight="1">
      <c r="A19084" s="16" t="s">
        <v>23940</v>
      </c>
      <c r="B19084" s="15" t="s">
        <v>23940</v>
      </c>
      <c r="C19084" s="16" t="s">
        <v>23842</v>
      </c>
      <c r="D19084" s="16" t="s">
        <v>23847</v>
      </c>
      <c r="E19084" s="2">
        <v>973709</v>
      </c>
      <c r="F19084" s="4" t="str">
        <f>IF(B19084=B19083,"",B19084)</f>
        <v>Mossel Bay</v>
      </c>
    </row>
    <row r="19085" spans="1:6" ht="15.75" customHeight="1">
      <c r="A19085" s="8" t="str">
        <f ca="1">IFERROR(__xludf.DUMMYFUNCTION("GOOGLETRANSLATE(B45912,""en"",""pt"")"),"Mossel Bay")</f>
        <v>Mossel Bay</v>
      </c>
      <c r="B19085" s="9" t="s">
        <v>23940</v>
      </c>
      <c r="C19085" s="9" t="s">
        <v>23842</v>
      </c>
      <c r="D19085" s="9" t="s">
        <v>23847</v>
      </c>
      <c r="E19085" s="10">
        <v>973709</v>
      </c>
      <c r="F19085" s="4" t="str">
        <f>IF(B19085=B19084,"",B19085)</f>
        <v/>
      </c>
    </row>
    <row r="19086" spans="1:6" ht="15.75" customHeight="1">
      <c r="A19086" s="15" t="s">
        <v>19732</v>
      </c>
      <c r="B19086" s="15" t="s">
        <v>19733</v>
      </c>
      <c r="C19086" s="15" t="s">
        <v>19695</v>
      </c>
      <c r="D19086" s="15" t="s">
        <v>19709</v>
      </c>
      <c r="E19086" s="2">
        <v>3145375</v>
      </c>
      <c r="F19086" s="4" t="str">
        <f>IF(B19086=B19085,"",B19086)</f>
        <v>Moss</v>
      </c>
    </row>
    <row r="19087" spans="1:6" ht="15.75" customHeight="1">
      <c r="A19087" s="8" t="str">
        <f ca="1">IFERROR(__xludf.DUMMYFUNCTION("GOOGLETRANSLATE(B38154,""en"",""pt"")"),"Musgo")</f>
        <v>Musgo</v>
      </c>
      <c r="B19087" s="9" t="s">
        <v>19733</v>
      </c>
      <c r="C19087" s="9" t="s">
        <v>19695</v>
      </c>
      <c r="D19087" s="9" t="s">
        <v>34816</v>
      </c>
      <c r="E19087" s="10">
        <v>3145375</v>
      </c>
      <c r="F19087" s="4" t="str">
        <f>IF(B19087=B19086,"",B19087)</f>
        <v/>
      </c>
    </row>
    <row r="19088" spans="1:6" ht="15.75" customHeight="1">
      <c r="A19088" s="16" t="s">
        <v>5537</v>
      </c>
      <c r="B19088" s="15" t="s">
        <v>5537</v>
      </c>
      <c r="C19088" s="16" t="s">
        <v>5348</v>
      </c>
      <c r="D19088" s="16" t="s">
        <v>5400</v>
      </c>
      <c r="E19088" s="2">
        <v>3674292</v>
      </c>
      <c r="F19088" s="4" t="str">
        <f>IF(B19088=B19087,"",B19088)</f>
        <v>Mosquera</v>
      </c>
    </row>
    <row r="19089" spans="1:6" ht="15.75" customHeight="1">
      <c r="A19089" s="8" t="str">
        <f ca="1">IFERROR(__xludf.DUMMYFUNCTION("GOOGLETRANSLATE(B26932,""en"",""pt"")"),"Mosquera")</f>
        <v>Mosquera</v>
      </c>
      <c r="B19089" s="9" t="s">
        <v>5537</v>
      </c>
      <c r="C19089" s="9" t="s">
        <v>5348</v>
      </c>
      <c r="D19089" s="9" t="s">
        <v>5400</v>
      </c>
      <c r="E19089" s="10">
        <v>3674292</v>
      </c>
      <c r="F19089" s="4" t="str">
        <f>IF(B19089=B19088,"",B19089)</f>
        <v/>
      </c>
    </row>
    <row r="19090" spans="1:6" ht="15.75" customHeight="1">
      <c r="A19090" s="15" t="s">
        <v>1896</v>
      </c>
      <c r="B19090" s="15" t="s">
        <v>1896</v>
      </c>
      <c r="C19090" s="15" t="s">
        <v>1878</v>
      </c>
      <c r="D19090" s="15" t="s">
        <v>1884</v>
      </c>
      <c r="E19090" s="2">
        <v>933271</v>
      </c>
      <c r="F19090" s="4" t="str">
        <f>IF(B19090=B19089,"",B19090)</f>
        <v>Mosopa</v>
      </c>
    </row>
    <row r="19091" spans="1:6" ht="15.75" customHeight="1">
      <c r="A19091" s="8" t="str">
        <f ca="1">IFERROR(__xludf.DUMMYFUNCTION("GOOGLETRANSLATE(B25356,""en"",""pt"")"),"Mosopa")</f>
        <v>Mosopa</v>
      </c>
      <c r="B19091" s="9" t="s">
        <v>1896</v>
      </c>
      <c r="C19091" s="9" t="s">
        <v>1878</v>
      </c>
      <c r="D19091" s="9" t="s">
        <v>1884</v>
      </c>
      <c r="E19091" s="10">
        <v>933271</v>
      </c>
      <c r="F19091" s="4" t="str">
        <f>IF(B19091=B19090,"",B19091)</f>
        <v/>
      </c>
    </row>
    <row r="19092" spans="1:6" ht="15.75" customHeight="1">
      <c r="A19092" s="8" t="str">
        <f ca="1">IFERROR(__xludf.DUMMYFUNCTION("GOOGLETRANSLATE(B31297,""en"",""pt"")"),"Mosonmagyaróvár")</f>
        <v>Mosonmagyaróvár</v>
      </c>
      <c r="B19092" s="11" t="s">
        <v>32868</v>
      </c>
      <c r="C19092" s="11" t="s">
        <v>9955</v>
      </c>
      <c r="D19092" s="11" t="s">
        <v>32858</v>
      </c>
      <c r="E19092" s="10">
        <v>3047896</v>
      </c>
      <c r="F19092" s="4" t="str">
        <f>IF(B19092=B19091,"",B19092)</f>
        <v>Mosonmagyaróvár</v>
      </c>
    </row>
    <row r="19093" spans="1:6" ht="15.75" customHeight="1">
      <c r="A19093" s="16" t="s">
        <v>10107</v>
      </c>
      <c r="B19093" s="15" t="s">
        <v>10108</v>
      </c>
      <c r="C19093" s="16" t="s">
        <v>9955</v>
      </c>
      <c r="D19093" s="16" t="s">
        <v>10054</v>
      </c>
      <c r="E19093" s="2">
        <v>3047896</v>
      </c>
      <c r="F19093" s="4" t="str">
        <f>IF(B19093=B19092,"",B19093)</f>
        <v>MosonmagyarÃ³vÃ¡r</v>
      </c>
    </row>
    <row r="19094" spans="1:6" ht="15.75" customHeight="1">
      <c r="A19094" s="15" t="s">
        <v>1033</v>
      </c>
      <c r="B19094" s="15" t="s">
        <v>1033</v>
      </c>
      <c r="C19094" s="15" t="s">
        <v>885</v>
      </c>
      <c r="D19094" s="15" t="s">
        <v>891</v>
      </c>
      <c r="E19094" s="2">
        <v>2156813</v>
      </c>
      <c r="F19094" s="4" t="str">
        <f>IF(B19094=B19093,"",B19094)</f>
        <v>Mosman</v>
      </c>
    </row>
    <row r="19095" spans="1:6" ht="15.75" customHeight="1">
      <c r="A19095" s="8" t="str">
        <f ca="1">IFERROR(__xludf.DUMMYFUNCTION("GOOGLETRANSLATE(B23478,""en"",""pt"")"),"Mosman")</f>
        <v>Mosman</v>
      </c>
      <c r="B19095" s="9" t="s">
        <v>1033</v>
      </c>
      <c r="C19095" s="9" t="s">
        <v>885</v>
      </c>
      <c r="D19095" s="9" t="s">
        <v>891</v>
      </c>
      <c r="E19095" s="10">
        <v>2156813</v>
      </c>
      <c r="F19095" s="4" t="str">
        <f>IF(B19095=B19094,"",B19095)</f>
        <v/>
      </c>
    </row>
    <row r="19096" spans="1:6" ht="15.75" customHeight="1">
      <c r="A19096" s="16" t="s">
        <v>22756</v>
      </c>
      <c r="B19096" s="15" t="s">
        <v>22756</v>
      </c>
      <c r="C19096" s="16" t="s">
        <v>22070</v>
      </c>
      <c r="D19096" s="16" t="s">
        <v>22127</v>
      </c>
      <c r="E19096" s="2">
        <v>857690</v>
      </c>
      <c r="F19096" s="4" t="str">
        <f>IF(B19096=B19095,"",B19096)</f>
        <v>Moskovskiy</v>
      </c>
    </row>
    <row r="19097" spans="1:6" ht="15.75" customHeight="1">
      <c r="A19097" s="16" t="s">
        <v>22756</v>
      </c>
      <c r="B19097" s="15" t="s">
        <v>22756</v>
      </c>
      <c r="C19097" s="16" t="s">
        <v>25527</v>
      </c>
      <c r="D19097" s="16" t="s">
        <v>25532</v>
      </c>
      <c r="E19097" s="2">
        <v>8416817</v>
      </c>
      <c r="F19097" s="4" t="str">
        <f>IF(B19097=B19096,"",B19097)</f>
        <v/>
      </c>
    </row>
    <row r="19098" spans="1:6" ht="15.75" customHeight="1">
      <c r="A19098" s="8" t="str">
        <f ca="1">IFERROR(__xludf.DUMMYFUNCTION("GOOGLETRANSLATE(B40709,""en"",""pt"")"),"Moskovskiy")</f>
        <v>Moskovskiy</v>
      </c>
      <c r="B19098" s="11" t="s">
        <v>22756</v>
      </c>
      <c r="C19098" s="11" t="s">
        <v>22070</v>
      </c>
      <c r="D19098" s="11" t="s">
        <v>22127</v>
      </c>
      <c r="E19098" s="10">
        <v>857690</v>
      </c>
      <c r="F19098" s="4" t="str">
        <f>IF(B19098=B19097,"",B19098)</f>
        <v/>
      </c>
    </row>
    <row r="19099" spans="1:6" ht="15.75" customHeight="1">
      <c r="A19099" s="8" t="str">
        <f ca="1">IFERROR(__xludf.DUMMYFUNCTION("GOOGLETRANSLATE(B41755,""en"",""pt"")"),"Moskovskiy")</f>
        <v>Moskovskiy</v>
      </c>
      <c r="B19099" s="9" t="s">
        <v>22756</v>
      </c>
      <c r="C19099" s="9" t="s">
        <v>25527</v>
      </c>
      <c r="D19099" s="9" t="s">
        <v>25532</v>
      </c>
      <c r="E19099" s="10">
        <v>8416817</v>
      </c>
      <c r="F19099" s="4" t="str">
        <f>IF(B19099=B19098,"",B19099)</f>
        <v/>
      </c>
    </row>
    <row r="19100" spans="1:6" ht="15.75" customHeight="1">
      <c r="A19100" s="8" t="str">
        <f ca="1">IFERROR(__xludf.DUMMYFUNCTION("GOOGLETRANSLATE(B30978,""en"",""pt"")"),"Moskháton")</f>
        <v>Moskháton</v>
      </c>
      <c r="B19100" s="11" t="s">
        <v>32689</v>
      </c>
      <c r="C19100" s="11" t="s">
        <v>9441</v>
      </c>
      <c r="D19100" s="11" t="s">
        <v>9445</v>
      </c>
      <c r="E19100" s="10">
        <v>256750</v>
      </c>
      <c r="F19100" s="4" t="str">
        <f>IF(B19100=B19099,"",B19100)</f>
        <v>Moskháton</v>
      </c>
    </row>
    <row r="19101" spans="1:6" ht="15.75" customHeight="1">
      <c r="A19101" s="16" t="s">
        <v>9581</v>
      </c>
      <c r="B19101" s="15" t="s">
        <v>9582</v>
      </c>
      <c r="C19101" s="16" t="s">
        <v>9441</v>
      </c>
      <c r="D19101" s="16" t="s">
        <v>9445</v>
      </c>
      <c r="E19101" s="2">
        <v>256750</v>
      </c>
      <c r="F19101" s="4" t="str">
        <f>IF(B19101=B19100,"",B19101)</f>
        <v>MoskhÃ¡ton</v>
      </c>
    </row>
    <row r="19102" spans="1:6" ht="15.75" customHeight="1">
      <c r="A19102" s="15" t="s">
        <v>25697</v>
      </c>
      <c r="B19102" s="15" t="s">
        <v>25697</v>
      </c>
      <c r="C19102" s="15" t="s">
        <v>25560</v>
      </c>
      <c r="D19102" s="15" t="s">
        <v>25598</v>
      </c>
      <c r="E19102" s="2">
        <v>153209</v>
      </c>
      <c r="F19102" s="4" t="str">
        <f>IF(B19102=B19101,"",B19102)</f>
        <v>Moshi</v>
      </c>
    </row>
    <row r="19103" spans="1:6" ht="15.75" customHeight="1">
      <c r="A19103" s="8" t="str">
        <f ca="1">IFERROR(__xludf.DUMMYFUNCTION("GOOGLETRANSLATE(B42341,""en"",""pt"")"),"Moshi")</f>
        <v>Moshi</v>
      </c>
      <c r="B19103" s="9" t="s">
        <v>25697</v>
      </c>
      <c r="C19103" s="9" t="s">
        <v>25560</v>
      </c>
      <c r="D19103" s="9" t="s">
        <v>25598</v>
      </c>
      <c r="E19103" s="10">
        <v>153209</v>
      </c>
      <c r="F19103" s="4" t="str">
        <f>IF(B19103=B19102,"",B19103)</f>
        <v/>
      </c>
    </row>
    <row r="19104" spans="1:6" ht="15.75" customHeight="1">
      <c r="A19104" s="16" t="s">
        <v>29349</v>
      </c>
      <c r="B19104" s="15" t="s">
        <v>29350</v>
      </c>
      <c r="C19104" s="16" t="s">
        <v>27788</v>
      </c>
      <c r="D19104" s="16" t="s">
        <v>27733</v>
      </c>
      <c r="E19104" s="2">
        <v>5803990</v>
      </c>
      <c r="F19104" s="4" t="str">
        <f>IF(B19104=B19103,"",B19104)</f>
        <v>Moses Lake</v>
      </c>
    </row>
    <row r="19105" spans="1:6" ht="15.75" customHeight="1">
      <c r="A19105" s="8" t="str">
        <f ca="1">IFERROR(__xludf.DUMMYFUNCTION("GOOGLETRANSLATE(B45354,""en"",""pt"")"),"Lago Moses")</f>
        <v>Lago Moses</v>
      </c>
      <c r="B19105" s="9" t="s">
        <v>29350</v>
      </c>
      <c r="C19105" s="9" t="s">
        <v>27788</v>
      </c>
      <c r="D19105" s="9" t="s">
        <v>27733</v>
      </c>
      <c r="E19105" s="10">
        <v>5803990</v>
      </c>
      <c r="F19105" s="4" t="str">
        <f>IF(B19105=B19104,"",B19105)</f>
        <v/>
      </c>
    </row>
    <row r="19106" spans="1:6" ht="15.75" customHeight="1">
      <c r="A19106" s="15" t="s">
        <v>22755</v>
      </c>
      <c r="B19106" s="15" t="s">
        <v>22127</v>
      </c>
      <c r="C19106" s="15" t="s">
        <v>22070</v>
      </c>
      <c r="D19106" s="15" t="s">
        <v>22127</v>
      </c>
      <c r="E19106" s="2">
        <v>524901</v>
      </c>
      <c r="F19106" s="4" t="str">
        <f>IF(B19106=B19105,"",B19106)</f>
        <v>Moscow</v>
      </c>
    </row>
    <row r="19107" spans="1:6" ht="15.75" customHeight="1">
      <c r="A19107" s="15" t="s">
        <v>22755</v>
      </c>
      <c r="B19107" s="15" t="s">
        <v>22127</v>
      </c>
      <c r="C19107" s="15" t="s">
        <v>27788</v>
      </c>
      <c r="D19107" s="15" t="s">
        <v>28059</v>
      </c>
      <c r="E19107" s="2">
        <v>5601538</v>
      </c>
      <c r="F19107" s="4" t="str">
        <f>IF(B19107=B19106,"",B19107)</f>
        <v/>
      </c>
    </row>
    <row r="19108" spans="1:6" ht="15.75" customHeight="1">
      <c r="A19108" s="8" t="str">
        <f ca="1">IFERROR(__xludf.DUMMYFUNCTION("GOOGLETRANSLATE(B40310,""en"",""pt"")"),"Moscou")</f>
        <v>Moscou</v>
      </c>
      <c r="B19108" s="11" t="s">
        <v>22127</v>
      </c>
      <c r="C19108" s="11" t="s">
        <v>22070</v>
      </c>
      <c r="D19108" s="11" t="s">
        <v>22127</v>
      </c>
      <c r="E19108" s="10">
        <v>524901</v>
      </c>
      <c r="F19108" s="4" t="str">
        <f>IF(B19108=B19107,"",B19108)</f>
        <v/>
      </c>
    </row>
    <row r="19109" spans="1:6" ht="15.75" customHeight="1">
      <c r="A19109" s="8" t="str">
        <f ca="1">IFERROR(__xludf.DUMMYFUNCTION("GOOGLETRANSLATE(B45203,""en"",""pt"")"),"Moscou")</f>
        <v>Moscou</v>
      </c>
      <c r="B19109" s="9" t="s">
        <v>22127</v>
      </c>
      <c r="C19109" s="9" t="s">
        <v>27788</v>
      </c>
      <c r="D19109" s="9" t="s">
        <v>28059</v>
      </c>
      <c r="E19109" s="10">
        <v>5601538</v>
      </c>
      <c r="F19109" s="4" t="str">
        <f>IF(B19109=B19108,"",B19109)</f>
        <v/>
      </c>
    </row>
    <row r="19110" spans="1:6" ht="15.75" customHeight="1">
      <c r="A19110" s="15" t="s">
        <v>8863</v>
      </c>
      <c r="B19110" s="15" t="s">
        <v>8863</v>
      </c>
      <c r="C19110" s="15" t="s">
        <v>8028</v>
      </c>
      <c r="D19110" s="15" t="s">
        <v>8031</v>
      </c>
      <c r="E19110" s="2">
        <v>2869120</v>
      </c>
      <c r="F19110" s="4" t="str">
        <f>IF(B19110=B19109,"",B19110)</f>
        <v>Mosbach</v>
      </c>
    </row>
    <row r="19111" spans="1:6" ht="15.75" customHeight="1">
      <c r="A19111" s="8" t="str">
        <f ca="1">IFERROR(__xludf.DUMMYFUNCTION("GOOGLETRANSLATE(B27749,""en"",""pt"")"),"Mosbach")</f>
        <v>Mosbach</v>
      </c>
      <c r="B19111" s="9" t="s">
        <v>8863</v>
      </c>
      <c r="C19111" s="9" t="s">
        <v>8028</v>
      </c>
      <c r="D19111" s="9" t="s">
        <v>32013</v>
      </c>
      <c r="E19111" s="10">
        <v>2869120</v>
      </c>
      <c r="F19111" s="4" t="str">
        <f>IF(B19111=B19110,"",B19111)</f>
        <v/>
      </c>
    </row>
    <row r="19112" spans="1:6" ht="15.75" customHeight="1">
      <c r="A19112" s="15" t="s">
        <v>12432</v>
      </c>
      <c r="B19112" s="15" t="s">
        <v>12432</v>
      </c>
      <c r="C19112" s="15" t="s">
        <v>10178</v>
      </c>
      <c r="D19112" s="15" t="s">
        <v>10209</v>
      </c>
      <c r="E19112" s="2">
        <v>1262734</v>
      </c>
      <c r="F19112" s="4" t="str">
        <f>IF(B19112=B19111,"",B19112)</f>
        <v>Morwa</v>
      </c>
    </row>
    <row r="19113" spans="1:6" ht="15.75" customHeight="1">
      <c r="A19113" s="8" t="str">
        <f ca="1">IFERROR(__xludf.DUMMYFUNCTION("GOOGLETRANSLATE(B32749,""en"",""pt"")"),"Morwa")</f>
        <v>Morwa</v>
      </c>
      <c r="B19113" s="9" t="s">
        <v>12432</v>
      </c>
      <c r="C19113" s="9" t="s">
        <v>10178</v>
      </c>
      <c r="D19113" s="9" t="s">
        <v>10209</v>
      </c>
      <c r="E19113" s="10">
        <v>1262734</v>
      </c>
      <c r="F19113" s="4" t="str">
        <f>IF(B19113=B19112,"",B19113)</f>
        <v/>
      </c>
    </row>
    <row r="19114" spans="1:6" ht="15.75" customHeight="1">
      <c r="A19114" s="15" t="s">
        <v>1645</v>
      </c>
      <c r="B19114" s="15" t="s">
        <v>1645</v>
      </c>
      <c r="C19114" s="15" t="s">
        <v>1512</v>
      </c>
      <c r="D19114" s="15" t="s">
        <v>1513</v>
      </c>
      <c r="E19114" s="2">
        <v>2790676</v>
      </c>
      <c r="F19114" s="4" t="str">
        <f>IF(B19114=B19113,"",B19114)</f>
        <v>Mortsel</v>
      </c>
    </row>
    <row r="19115" spans="1:6" ht="15.75" customHeight="1">
      <c r="A19115" s="8" t="str">
        <f ca="1">IFERROR(__xludf.DUMMYFUNCTION("GOOGLETRANSLATE(B23863,""en"",""pt"")"),"Mortsel")</f>
        <v>Mortsel</v>
      </c>
      <c r="B19115" s="9" t="s">
        <v>1645</v>
      </c>
      <c r="C19115" s="9" t="s">
        <v>1512</v>
      </c>
      <c r="D19115" s="9" t="s">
        <v>1513</v>
      </c>
      <c r="E19115" s="10">
        <v>2790676</v>
      </c>
      <c r="F19115" s="4" t="str">
        <f>IF(B19115=B19114,"",B19115)</f>
        <v/>
      </c>
    </row>
    <row r="19116" spans="1:6" ht="15.75" customHeight="1">
      <c r="A19116" s="16" t="s">
        <v>29348</v>
      </c>
      <c r="B19116" s="15" t="s">
        <v>29348</v>
      </c>
      <c r="C19116" s="16" t="s">
        <v>27788</v>
      </c>
      <c r="D19116" s="16" t="s">
        <v>27799</v>
      </c>
      <c r="E19116" s="2">
        <v>4902763</v>
      </c>
      <c r="F19116" s="4" t="str">
        <f>IF(B19116=B19115,"",B19116)</f>
        <v>Morton Grove</v>
      </c>
    </row>
    <row r="19117" spans="1:6" ht="15.75" customHeight="1">
      <c r="A19117" s="8" t="str">
        <f ca="1">IFERROR(__xludf.DUMMYFUNCTION("GOOGLETRANSLATE(B43849,""en"",""pt"")"),"Morton Grove")</f>
        <v>Morton Grove</v>
      </c>
      <c r="B19117" s="9" t="s">
        <v>29348</v>
      </c>
      <c r="C19117" s="9" t="s">
        <v>27788</v>
      </c>
      <c r="D19117" s="9" t="s">
        <v>27799</v>
      </c>
      <c r="E19117" s="10">
        <v>4902763</v>
      </c>
      <c r="F19117" s="4" t="str">
        <f>IF(B19117=B19116,"",B19117)</f>
        <v/>
      </c>
    </row>
    <row r="19118" spans="1:6" ht="15.75" customHeight="1">
      <c r="A19118" s="15" t="s">
        <v>29347</v>
      </c>
      <c r="B19118" s="15" t="s">
        <v>29347</v>
      </c>
      <c r="C19118" s="15" t="s">
        <v>27788</v>
      </c>
      <c r="D19118" s="15" t="s">
        <v>27799</v>
      </c>
      <c r="E19118" s="2">
        <v>4902754</v>
      </c>
      <c r="F19118" s="4" t="str">
        <f>IF(B19118=B19117,"",B19118)</f>
        <v>Morton</v>
      </c>
    </row>
    <row r="19119" spans="1:6" ht="15.75" customHeight="1">
      <c r="A19119" s="8" t="str">
        <f ca="1">IFERROR(__xludf.DUMMYFUNCTION("GOOGLETRANSLATE(B43848,""en"",""pt"")"),"Morton")</f>
        <v>Morton</v>
      </c>
      <c r="B19119" s="9" t="s">
        <v>29347</v>
      </c>
      <c r="C19119" s="9" t="s">
        <v>27788</v>
      </c>
      <c r="D19119" s="9" t="s">
        <v>27799</v>
      </c>
      <c r="E19119" s="10">
        <v>4902754</v>
      </c>
      <c r="F19119" s="4" t="str">
        <f>IF(B19119=B19118,"",B19119)</f>
        <v/>
      </c>
    </row>
    <row r="19120" spans="1:6" ht="15.75" customHeight="1">
      <c r="A19120" s="15" t="s">
        <v>714</v>
      </c>
      <c r="B19120" s="15" t="s">
        <v>714</v>
      </c>
      <c r="C19120" s="15" t="s">
        <v>558</v>
      </c>
      <c r="D19120" s="15" t="s">
        <v>573</v>
      </c>
      <c r="E19120" s="2">
        <v>3843619</v>
      </c>
      <c r="F19120" s="4" t="str">
        <f>IF(B19120=B19119,"",B19120)</f>
        <v>Morteros</v>
      </c>
    </row>
    <row r="19121" spans="1:6" ht="15.75" customHeight="1">
      <c r="A19121" s="8" t="str">
        <f ca="1">IFERROR(__xludf.DUMMYFUNCTION("GOOGLETRANSLATE(B23301,""en"",""pt"")"),"Morteros")</f>
        <v>Morteros</v>
      </c>
      <c r="B19121" s="9" t="s">
        <v>714</v>
      </c>
      <c r="C19121" s="9" t="s">
        <v>558</v>
      </c>
      <c r="D19121" s="9" t="s">
        <v>573</v>
      </c>
      <c r="E19121" s="10">
        <v>3843619</v>
      </c>
      <c r="F19121" s="4" t="str">
        <f>IF(B19121=B19120,"",B19121)</f>
        <v/>
      </c>
    </row>
    <row r="19122" spans="1:6" ht="15.75" customHeight="1">
      <c r="A19122" s="15" t="s">
        <v>12431</v>
      </c>
      <c r="B19122" s="15" t="s">
        <v>12431</v>
      </c>
      <c r="C19122" s="15" t="s">
        <v>10178</v>
      </c>
      <c r="D19122" s="15" t="s">
        <v>10214</v>
      </c>
      <c r="E19122" s="2">
        <v>1262740</v>
      </c>
      <c r="F19122" s="4" t="str">
        <f>IF(B19122=B19121,"",B19122)</f>
        <v>Morsi</v>
      </c>
    </row>
    <row r="19123" spans="1:6" ht="15.75" customHeight="1">
      <c r="A19123" s="8" t="str">
        <f ca="1">IFERROR(__xludf.DUMMYFUNCTION("GOOGLETRANSLATE(B32750,""en"",""pt"")"),"Morsi")</f>
        <v>Morsi</v>
      </c>
      <c r="B19123" s="11" t="s">
        <v>12431</v>
      </c>
      <c r="C19123" s="11" t="s">
        <v>10178</v>
      </c>
      <c r="D19123" s="11" t="s">
        <v>10214</v>
      </c>
      <c r="E19123" s="10">
        <v>1262740</v>
      </c>
      <c r="F19123" s="4" t="str">
        <f>IF(B19123=B19122,"",B19123)</f>
        <v/>
      </c>
    </row>
    <row r="19124" spans="1:6" ht="15.75" customHeight="1">
      <c r="A19124" s="16" t="s">
        <v>22754</v>
      </c>
      <c r="B19124" s="15" t="s">
        <v>22754</v>
      </c>
      <c r="C19124" s="16" t="s">
        <v>22070</v>
      </c>
      <c r="D19124" s="16" t="s">
        <v>22529</v>
      </c>
      <c r="E19124" s="2">
        <v>525138</v>
      </c>
      <c r="F19124" s="4" t="str">
        <f>IF(B19124=B19123,"",B19124)</f>
        <v>Morshansk</v>
      </c>
    </row>
    <row r="19125" spans="1:6" ht="15.75" customHeight="1">
      <c r="A19125" s="8" t="str">
        <f ca="1">IFERROR(__xludf.DUMMYFUNCTION("GOOGLETRANSLATE(B40311,""en"",""pt"")"),"Morshansk")</f>
        <v>Morshansk</v>
      </c>
      <c r="B19125" s="9" t="s">
        <v>22754</v>
      </c>
      <c r="C19125" s="9" t="s">
        <v>22070</v>
      </c>
      <c r="D19125" s="9" t="s">
        <v>22529</v>
      </c>
      <c r="E19125" s="10">
        <v>525138</v>
      </c>
      <c r="F19125" s="4" t="str">
        <f>IF(B19125=B19124,"",B19125)</f>
        <v/>
      </c>
    </row>
    <row r="19126" spans="1:6" ht="15.75" customHeight="1">
      <c r="A19126" s="16" t="s">
        <v>7622</v>
      </c>
      <c r="B19126" s="15" t="s">
        <v>7623</v>
      </c>
      <c r="C19126" s="16" t="s">
        <v>7052</v>
      </c>
      <c r="D19126" s="16" t="s">
        <v>7058</v>
      </c>
      <c r="E19126" s="2">
        <v>2991719</v>
      </c>
      <c r="F19126" s="4" t="str">
        <f>IF(B19126=B19125,"",B19126)</f>
        <v>Morsang-sur-Orge</v>
      </c>
    </row>
    <row r="19127" spans="1:6" ht="15.75" customHeight="1">
      <c r="A19127" s="8" t="str">
        <f ca="1">IFERROR(__xludf.DUMMYFUNCTION("GOOGLETRANSLATE(B29894,""en"",""pt"")"),"Morsang-sur-rege")</f>
        <v>Morsang-sur-rege</v>
      </c>
      <c r="B19127" s="9" t="s">
        <v>7623</v>
      </c>
      <c r="C19127" s="9" t="s">
        <v>7052</v>
      </c>
      <c r="D19127" s="9" t="s">
        <v>32531</v>
      </c>
      <c r="E19127" s="10">
        <v>2991719</v>
      </c>
      <c r="F19127" s="4" t="str">
        <f>IF(B19127=B19126,"",B19127)</f>
        <v/>
      </c>
    </row>
    <row r="19128" spans="1:6" ht="15.75" customHeight="1">
      <c r="A19128" s="8" t="str">
        <f ca="1">IFERROR(__xludf.DUMMYFUNCTION("GOOGLETRANSLATE(B24797,""en"",""pt"")"),"Morro do Chapéu")</f>
        <v>Morro do Chapéu</v>
      </c>
      <c r="B19128" s="11" t="s">
        <v>31588</v>
      </c>
      <c r="C19128" s="11" t="s">
        <v>1905</v>
      </c>
      <c r="D19128" s="11" t="s">
        <v>1947</v>
      </c>
      <c r="E19128" s="10">
        <v>3456696</v>
      </c>
      <c r="F19128" s="4" t="str">
        <f>IF(B19128=B19127,"",B19128)</f>
        <v>Morro do Chapéu</v>
      </c>
    </row>
    <row r="19129" spans="1:6" ht="15.75" customHeight="1">
      <c r="A19129" s="16" t="s">
        <v>2928</v>
      </c>
      <c r="B19129" s="15" t="s">
        <v>2929</v>
      </c>
      <c r="C19129" s="16" t="s">
        <v>1905</v>
      </c>
      <c r="D19129" s="16" t="s">
        <v>1947</v>
      </c>
      <c r="E19129" s="2">
        <v>3456696</v>
      </c>
      <c r="F19129" s="4" t="str">
        <f>IF(B19129=B19128,"",B19129)</f>
        <v>Morro do ChapÃ©u</v>
      </c>
    </row>
    <row r="19130" spans="1:6" ht="15.75" customHeight="1">
      <c r="A19130" s="16" t="s">
        <v>2927</v>
      </c>
      <c r="B19130" s="15" t="s">
        <v>2927</v>
      </c>
      <c r="C19130" s="16" t="s">
        <v>1905</v>
      </c>
      <c r="D19130" s="16" t="s">
        <v>1914</v>
      </c>
      <c r="E19130" s="2">
        <v>3456724</v>
      </c>
      <c r="F19130" s="4" t="str">
        <f>IF(B19130=B19129,"",B19130)</f>
        <v>Morro Agudo</v>
      </c>
    </row>
    <row r="19131" spans="1:6" ht="15.75" customHeight="1">
      <c r="A19131" s="8" t="str">
        <f ca="1">IFERROR(__xludf.DUMMYFUNCTION("GOOGLETRANSLATE(B24798,""en"",""pt"")"),"Morro Agudo")</f>
        <v>Morro Agudo</v>
      </c>
      <c r="B19131" s="9" t="s">
        <v>2927</v>
      </c>
      <c r="C19131" s="9" t="s">
        <v>1905</v>
      </c>
      <c r="D19131" s="9" t="s">
        <v>3354</v>
      </c>
      <c r="E19131" s="10">
        <v>3456724</v>
      </c>
      <c r="F19131" s="4" t="str">
        <f>IF(B19131=B19130,"",B19131)</f>
        <v/>
      </c>
    </row>
    <row r="19132" spans="1:6" ht="15.75" customHeight="1">
      <c r="A19132" s="16" t="s">
        <v>29346</v>
      </c>
      <c r="B19132" s="15" t="s">
        <v>29346</v>
      </c>
      <c r="C19132" s="16" t="s">
        <v>27788</v>
      </c>
      <c r="D19132" s="16" t="s">
        <v>27822</v>
      </c>
      <c r="E19132" s="2">
        <v>4480285</v>
      </c>
      <c r="F19132" s="4" t="str">
        <f>IF(B19132=B19131,"",B19132)</f>
        <v>Morrisville</v>
      </c>
    </row>
    <row r="19133" spans="1:6" ht="15.75" customHeight="1">
      <c r="A19133" s="8" t="str">
        <f ca="1">IFERROR(__xludf.DUMMYFUNCTION("GOOGLETRANSLATE(B43471,""en"",""pt"")"),"Morrisville")</f>
        <v>Morrisville</v>
      </c>
      <c r="B19133" s="9" t="s">
        <v>29346</v>
      </c>
      <c r="C19133" s="9" t="s">
        <v>27788</v>
      </c>
      <c r="D19133" s="9" t="s">
        <v>27822</v>
      </c>
      <c r="E19133" s="10">
        <v>4480285</v>
      </c>
      <c r="F19133" s="4" t="str">
        <f>IF(B19133=B19132,"",B19133)</f>
        <v/>
      </c>
    </row>
    <row r="19134" spans="1:6" ht="15.75" customHeight="1">
      <c r="A19134" s="16" t="s">
        <v>29345</v>
      </c>
      <c r="B19134" s="15" t="s">
        <v>29345</v>
      </c>
      <c r="C19134" s="16" t="s">
        <v>27788</v>
      </c>
      <c r="D19134" s="16" t="s">
        <v>27957</v>
      </c>
      <c r="E19134" s="2">
        <v>4642938</v>
      </c>
      <c r="F19134" s="4" t="str">
        <f>IF(B19134=B19133,"",B19134)</f>
        <v>Morristown</v>
      </c>
    </row>
    <row r="19135" spans="1:6" ht="15.75" customHeight="1">
      <c r="A19135" s="16" t="s">
        <v>29345</v>
      </c>
      <c r="B19135" s="15" t="s">
        <v>29345</v>
      </c>
      <c r="C19135" s="16" t="s">
        <v>27788</v>
      </c>
      <c r="D19135" s="16" t="s">
        <v>27905</v>
      </c>
      <c r="E19135" s="2">
        <v>5101427</v>
      </c>
      <c r="F19135" s="4" t="str">
        <f>IF(B19135=B19134,"",B19135)</f>
        <v/>
      </c>
    </row>
    <row r="19136" spans="1:6" ht="15.75" customHeight="1">
      <c r="A19136" s="8" t="str">
        <f ca="1">IFERROR(__xludf.DUMMYFUNCTION("GOOGLETRANSLATE(B43636,""en"",""pt"")"),"Morristown")</f>
        <v>Morristown</v>
      </c>
      <c r="B19136" s="11" t="s">
        <v>29345</v>
      </c>
      <c r="C19136" s="11" t="s">
        <v>27788</v>
      </c>
      <c r="D19136" s="11" t="s">
        <v>27957</v>
      </c>
      <c r="E19136" s="10">
        <v>4642938</v>
      </c>
      <c r="F19136" s="4" t="str">
        <f>IF(B19136=B19135,"",B19136)</f>
        <v/>
      </c>
    </row>
    <row r="19137" spans="1:6" ht="15.75" customHeight="1">
      <c r="A19137" s="8" t="str">
        <f ca="1">IFERROR(__xludf.DUMMYFUNCTION("GOOGLETRANSLATE(B44284,""en"",""pt"")"),"Morristown")</f>
        <v>Morristown</v>
      </c>
      <c r="B19137" s="11" t="s">
        <v>29345</v>
      </c>
      <c r="C19137" s="11" t="s">
        <v>27788</v>
      </c>
      <c r="D19137" s="11" t="s">
        <v>27905</v>
      </c>
      <c r="E19137" s="10">
        <v>5101427</v>
      </c>
      <c r="F19137" s="4" t="str">
        <f>IF(B19137=B19136,"",B19137)</f>
        <v/>
      </c>
    </row>
    <row r="19138" spans="1:6" ht="15.75" customHeight="1">
      <c r="A19138" s="15" t="s">
        <v>2925</v>
      </c>
      <c r="B19138" s="15" t="s">
        <v>2926</v>
      </c>
      <c r="C19138" s="15" t="s">
        <v>1905</v>
      </c>
      <c r="D19138" s="15" t="s">
        <v>1969</v>
      </c>
      <c r="E19138" s="2">
        <v>3456735</v>
      </c>
      <c r="F19138" s="4" t="str">
        <f>IF(B19138=B19137,"",B19138)</f>
        <v>Morrinhos</v>
      </c>
    </row>
    <row r="19139" spans="1:6" ht="15.75" customHeight="1">
      <c r="A19139" s="8" t="str">
        <f ca="1">IFERROR(__xludf.DUMMYFUNCTION("GOOGLETRANSLATE(B24799,""en"",""pt"")"),"Morrins")</f>
        <v>Morrins</v>
      </c>
      <c r="B19139" s="9" t="s">
        <v>2926</v>
      </c>
      <c r="C19139" s="9" t="s">
        <v>1905</v>
      </c>
      <c r="D19139" s="9" t="s">
        <v>31436</v>
      </c>
      <c r="E19139" s="10">
        <v>3456735</v>
      </c>
      <c r="F19139" s="4" t="str">
        <f>IF(B19139=B19138,"",B19139)</f>
        <v/>
      </c>
    </row>
    <row r="19140" spans="1:6" ht="15.75" customHeight="1">
      <c r="A19140" s="16" t="s">
        <v>1381</v>
      </c>
      <c r="B19140" s="15" t="s">
        <v>1381</v>
      </c>
      <c r="C19140" s="16" t="s">
        <v>1296</v>
      </c>
      <c r="D19140" s="16" t="s">
        <v>1315</v>
      </c>
      <c r="E19140" s="2">
        <v>1185167</v>
      </c>
      <c r="F19140" s="4" t="str">
        <f>IF(B19140=B19139,"",B19140)</f>
        <v>Morrelgonj</v>
      </c>
    </row>
    <row r="19141" spans="1:6" ht="15.75" customHeight="1">
      <c r="A19141" s="8" t="str">
        <f ca="1">IFERROR(__xludf.DUMMYFUNCTION("GOOGLETRANSLATE(B23720,""en"",""pt"")"),"Morrelgonj")</f>
        <v>Morrelgonj</v>
      </c>
      <c r="B19141" s="11" t="s">
        <v>1381</v>
      </c>
      <c r="C19141" s="11" t="s">
        <v>1296</v>
      </c>
      <c r="D19141" s="11" t="s">
        <v>1315</v>
      </c>
      <c r="E19141" s="10">
        <v>1185167</v>
      </c>
      <c r="F19141" s="4" t="str">
        <f>IF(B19141=B19140,"",B19141)</f>
        <v/>
      </c>
    </row>
    <row r="19142" spans="1:6" ht="15.75" customHeight="1">
      <c r="A19142" s="16" t="s">
        <v>1032</v>
      </c>
      <c r="B19142" s="15" t="s">
        <v>1032</v>
      </c>
      <c r="C19142" s="16" t="s">
        <v>885</v>
      </c>
      <c r="D19142" s="16" t="s">
        <v>886</v>
      </c>
      <c r="E19142" s="2">
        <v>2065740</v>
      </c>
      <c r="F19142" s="4" t="str">
        <f>IF(B19142=B19141,"",B19142)</f>
        <v>Morphett Vale</v>
      </c>
    </row>
    <row r="19143" spans="1:6" ht="15.75" customHeight="1">
      <c r="A19143" s="8" t="str">
        <f ca="1">IFERROR(__xludf.DUMMYFUNCTION("GOOGLETRANSLATE(B23414,""en"",""pt"")"),"Morphett Vale")</f>
        <v>Morphett Vale</v>
      </c>
      <c r="B19143" s="11" t="s">
        <v>1032</v>
      </c>
      <c r="C19143" s="11" t="s">
        <v>885</v>
      </c>
      <c r="D19143" s="11" t="s">
        <v>886</v>
      </c>
      <c r="E19143" s="10">
        <v>2065740</v>
      </c>
      <c r="F19143" s="4" t="str">
        <f>IF(B19143=B19142,"",B19143)</f>
        <v/>
      </c>
    </row>
    <row r="19144" spans="1:6" ht="15.75" customHeight="1">
      <c r="A19144" s="16" t="s">
        <v>22753</v>
      </c>
      <c r="B19144" s="15" t="s">
        <v>22753</v>
      </c>
      <c r="C19144" s="16" t="s">
        <v>22070</v>
      </c>
      <c r="D19144" s="16" t="s">
        <v>22099</v>
      </c>
      <c r="E19144" s="2">
        <v>525162</v>
      </c>
      <c r="F19144" s="4" t="str">
        <f>IF(B19144=B19143,"",B19144)</f>
        <v>Morozovsk</v>
      </c>
    </row>
    <row r="19145" spans="1:6" ht="15.75" customHeight="1">
      <c r="A19145" s="8" t="str">
        <f ca="1">IFERROR(__xludf.DUMMYFUNCTION("GOOGLETRANSLATE(B40312,""en"",""pt"")"),"Morozovsk")</f>
        <v>Morozovsk</v>
      </c>
      <c r="B19145" s="11" t="s">
        <v>22753</v>
      </c>
      <c r="C19145" s="11" t="s">
        <v>22070</v>
      </c>
      <c r="D19145" s="11" t="s">
        <v>22099</v>
      </c>
      <c r="E19145" s="10">
        <v>525162</v>
      </c>
      <c r="F19145" s="4" t="str">
        <f>IF(B19145=B19144,"",B19145)</f>
        <v/>
      </c>
    </row>
    <row r="19146" spans="1:6" ht="15.75" customHeight="1">
      <c r="A19146" s="15" t="s">
        <v>5656</v>
      </c>
      <c r="B19146" s="15" t="s">
        <v>5656</v>
      </c>
      <c r="C19146" s="15" t="s">
        <v>5657</v>
      </c>
      <c r="D19146" s="15" t="s">
        <v>5658</v>
      </c>
      <c r="E19146" s="2">
        <v>921772</v>
      </c>
      <c r="F19146" s="4" t="str">
        <f>IF(B19146=B19145,"",B19146)</f>
        <v>Moroni</v>
      </c>
    </row>
    <row r="19147" spans="1:6" ht="15.75" customHeight="1">
      <c r="A19147" s="8" t="str">
        <f ca="1">IFERROR(__xludf.DUMMYFUNCTION("GOOGLETRANSLATE(B35987,""en"",""pt"")"),"Moroni")</f>
        <v>Moroni</v>
      </c>
      <c r="B19147" s="11" t="s">
        <v>5656</v>
      </c>
      <c r="C19147" s="11" t="s">
        <v>5657</v>
      </c>
      <c r="D19147" s="11" t="s">
        <v>5658</v>
      </c>
      <c r="E19147" s="10">
        <v>921772</v>
      </c>
      <c r="F19147" s="4" t="str">
        <f>IF(B19147=B19146,"",B19147)</f>
        <v/>
      </c>
    </row>
    <row r="19148" spans="1:6" ht="15.75" customHeight="1">
      <c r="A19148" s="15" t="s">
        <v>20909</v>
      </c>
      <c r="B19148" s="15" t="s">
        <v>20909</v>
      </c>
      <c r="C19148" s="15" t="s">
        <v>20598</v>
      </c>
      <c r="D19148" s="15" t="s">
        <v>20599</v>
      </c>
      <c r="E19148" s="2">
        <v>1699204</v>
      </c>
      <c r="F19148" s="4" t="str">
        <f>IF(B19148=B19147,"",B19148)</f>
        <v>Morong</v>
      </c>
    </row>
    <row r="19149" spans="1:6" ht="15.75" customHeight="1">
      <c r="A19149" s="15" t="s">
        <v>20909</v>
      </c>
      <c r="B19149" s="15" t="s">
        <v>20909</v>
      </c>
      <c r="C19149" s="15" t="s">
        <v>20598</v>
      </c>
      <c r="D19149" s="15" t="s">
        <v>20608</v>
      </c>
      <c r="E19149" s="2">
        <v>1699205</v>
      </c>
      <c r="F19149" s="4" t="str">
        <f>IF(B19149=B19148,"",B19149)</f>
        <v/>
      </c>
    </row>
    <row r="19150" spans="1:6" ht="15.75" customHeight="1">
      <c r="A19150" s="8" t="str">
        <f ca="1">IFERROR(__xludf.DUMMYFUNCTION("GOOGLETRANSLATE(B38597,""en"",""pt"")"),"Morong")</f>
        <v>Morong</v>
      </c>
      <c r="B19150" s="11" t="s">
        <v>20909</v>
      </c>
      <c r="C19150" s="11" t="s">
        <v>20598</v>
      </c>
      <c r="D19150" s="11" t="s">
        <v>20599</v>
      </c>
      <c r="E19150" s="10">
        <v>1699204</v>
      </c>
      <c r="F19150" s="4" t="str">
        <f>IF(B19150=B19149,"",B19150)</f>
        <v/>
      </c>
    </row>
    <row r="19151" spans="1:6" ht="15.75" customHeight="1">
      <c r="A19151" s="8" t="str">
        <f ca="1">IFERROR(__xludf.DUMMYFUNCTION("GOOGLETRANSLATE(B38598,""en"",""pt"")"),"Morong")</f>
        <v>Morong</v>
      </c>
      <c r="B19151" s="9" t="s">
        <v>20909</v>
      </c>
      <c r="C19151" s="9" t="s">
        <v>20598</v>
      </c>
      <c r="D19151" s="9" t="s">
        <v>20608</v>
      </c>
      <c r="E19151" s="10">
        <v>1699205</v>
      </c>
      <c r="F19151" s="4" t="str">
        <f>IF(B19151=B19150,"",B19151)</f>
        <v/>
      </c>
    </row>
    <row r="19152" spans="1:6" ht="15.75" customHeight="1">
      <c r="A19152" s="16" t="s">
        <v>17387</v>
      </c>
      <c r="B19152" s="15" t="s">
        <v>17387</v>
      </c>
      <c r="C19152" s="16" t="s">
        <v>17292</v>
      </c>
      <c r="D19152" s="16" t="s">
        <v>17345</v>
      </c>
      <c r="E19152" s="2">
        <v>1058381</v>
      </c>
      <c r="F19152" s="4" t="str">
        <f>IF(B19152=B19151,"",B19152)</f>
        <v>Morondava</v>
      </c>
    </row>
    <row r="19153" spans="1:6" ht="15.75" customHeight="1">
      <c r="A19153" s="8" t="str">
        <f ca="1">IFERROR(__xludf.DUMMYFUNCTION("GOOGLETRANSLATE(B36575,""en"",""pt"")"),"Morondava")</f>
        <v>Morondava</v>
      </c>
      <c r="B19153" s="9" t="s">
        <v>17387</v>
      </c>
      <c r="C19153" s="9" t="s">
        <v>17292</v>
      </c>
      <c r="D19153" s="9" t="s">
        <v>17345</v>
      </c>
      <c r="E19153" s="10">
        <v>1058381</v>
      </c>
      <c r="F19153" s="4" t="str">
        <f>IF(B19153=B19152,"",B19153)</f>
        <v/>
      </c>
    </row>
    <row r="19154" spans="1:6" ht="15.75" customHeight="1">
      <c r="A19154" s="8" t="str">
        <f ca="1">IFERROR(__xludf.DUMMYFUNCTION("GOOGLETRANSLATE(B29046,""en"",""pt"")"),"Morón de la Frontera")</f>
        <v>Morón de la Frontera</v>
      </c>
      <c r="B19154" s="11" t="s">
        <v>32367</v>
      </c>
      <c r="C19154" s="11" t="s">
        <v>24200</v>
      </c>
      <c r="D19154" s="11" t="s">
        <v>24205</v>
      </c>
      <c r="E19154" s="10">
        <v>2513509</v>
      </c>
      <c r="F19154" s="4" t="str">
        <f>IF(B19154=B19153,"",B19154)</f>
        <v>Morón de la Frontera</v>
      </c>
    </row>
    <row r="19155" spans="1:6" ht="15.75" customHeight="1">
      <c r="A19155" s="8" t="str">
        <f ca="1">IFERROR(__xludf.DUMMYFUNCTION("GOOGLETRANSLATE(B23198,""en"",""pt"")"),"Idiota")</f>
        <v>Idiota</v>
      </c>
      <c r="B19155" s="9" t="s">
        <v>31167</v>
      </c>
      <c r="C19155" s="9" t="s">
        <v>558</v>
      </c>
      <c r="D19155" s="9" t="s">
        <v>562</v>
      </c>
      <c r="E19155" s="10">
        <v>3430545</v>
      </c>
      <c r="F19155" s="4" t="str">
        <f>IF(B19155=B19154,"",B19155)</f>
        <v>Morón</v>
      </c>
    </row>
    <row r="19156" spans="1:6" ht="15.75" customHeight="1">
      <c r="A19156" s="8" t="str">
        <f ca="1">IFERROR(__xludf.DUMMYFUNCTION("GOOGLETRANSLATE(B27143,""en"",""pt"")"),"Idiota")</f>
        <v>Idiota</v>
      </c>
      <c r="B19156" s="11" t="s">
        <v>31167</v>
      </c>
      <c r="C19156" s="11" t="s">
        <v>5764</v>
      </c>
      <c r="D19156" s="11" t="s">
        <v>31905</v>
      </c>
      <c r="E19156" s="10">
        <v>3546434</v>
      </c>
      <c r="F19156" s="4" t="str">
        <f>IF(B19156=B19155,"",B19156)</f>
        <v/>
      </c>
    </row>
    <row r="19157" spans="1:6" ht="15.75" customHeight="1">
      <c r="A19157" s="8" t="str">
        <f ca="1">IFERROR(__xludf.DUMMYFUNCTION("GOOGLETRANSLATE(B45643,""en"",""pt"")"),"Idiota")</f>
        <v>Idiota</v>
      </c>
      <c r="B19157" s="9" t="s">
        <v>31167</v>
      </c>
      <c r="C19157" s="9" t="s">
        <v>5923</v>
      </c>
      <c r="D19157" s="9" t="s">
        <v>30693</v>
      </c>
      <c r="E19157" s="10">
        <v>3631878</v>
      </c>
      <c r="F19157" s="4" t="str">
        <f>IF(B19157=B19156,"",B19157)</f>
        <v/>
      </c>
    </row>
    <row r="19158" spans="1:6" ht="15.75" customHeight="1">
      <c r="A19158" s="8" t="str">
        <f ca="1">IFERROR(__xludf.DUMMYFUNCTION("GOOGLETRANSLATE(B37239,""en"",""pt"")"),"Moroleón")</f>
        <v>Moroleón</v>
      </c>
      <c r="B19158" s="11" t="s">
        <v>34755</v>
      </c>
      <c r="C19158" s="11" t="s">
        <v>17707</v>
      </c>
      <c r="D19158" s="11" t="s">
        <v>17713</v>
      </c>
      <c r="E19158" s="10">
        <v>3995343</v>
      </c>
      <c r="F19158" s="4" t="str">
        <f>IF(B19158=B19157,"",B19158)</f>
        <v>Moroleón</v>
      </c>
    </row>
    <row r="19159" spans="1:6" ht="15.75" customHeight="1">
      <c r="A19159" s="15" t="s">
        <v>18101</v>
      </c>
      <c r="B19159" s="15" t="s">
        <v>18102</v>
      </c>
      <c r="C19159" s="15" t="s">
        <v>17707</v>
      </c>
      <c r="D19159" s="15" t="s">
        <v>17713</v>
      </c>
      <c r="E19159" s="2">
        <v>3995343</v>
      </c>
      <c r="F19159" s="4" t="str">
        <f>IF(B19159=B19158,"",B19159)</f>
        <v>MoroleÃ³n</v>
      </c>
    </row>
    <row r="19160" spans="1:6" ht="15.75" customHeight="1">
      <c r="A19160" s="8" t="str">
        <f ca="1">IFERROR(__xludf.DUMMYFUNCTION("GOOGLETRANSLATE(B35416,""en"",""pt"")"),"Morohongō")</f>
        <v>Morohongō</v>
      </c>
      <c r="B19160" s="11" t="s">
        <v>34345</v>
      </c>
      <c r="C19160" s="11" t="s">
        <v>15704</v>
      </c>
      <c r="D19160" s="11" t="s">
        <v>15710</v>
      </c>
      <c r="E19160" s="10">
        <v>1856560</v>
      </c>
      <c r="F19160" s="4" t="str">
        <f>IF(B19160=B19159,"",B19160)</f>
        <v>Morohongō</v>
      </c>
    </row>
    <row r="19161" spans="1:6" ht="15.75" customHeight="1">
      <c r="A19161" s="16" t="s">
        <v>16250</v>
      </c>
      <c r="B19161" s="15" t="s">
        <v>16251</v>
      </c>
      <c r="C19161" s="16" t="s">
        <v>15704</v>
      </c>
      <c r="D19161" s="16" t="s">
        <v>15710</v>
      </c>
      <c r="E19161" s="2">
        <v>1856560</v>
      </c>
      <c r="F19161" s="4" t="str">
        <f>IF(B19161=B19160,"",B19161)</f>
        <v>MorohongÅ</v>
      </c>
    </row>
    <row r="19162" spans="1:6" ht="15.75" customHeight="1">
      <c r="A19162" s="16" t="s">
        <v>25596</v>
      </c>
      <c r="B19162" s="15" t="s">
        <v>25596</v>
      </c>
      <c r="C19162" s="16" t="s">
        <v>25560</v>
      </c>
      <c r="D19162" s="16" t="s">
        <v>25596</v>
      </c>
      <c r="E19162" s="2">
        <v>153220</v>
      </c>
      <c r="F19162" s="4" t="str">
        <f>IF(B19162=B19161,"",B19162)</f>
        <v>Morogoro</v>
      </c>
    </row>
    <row r="19163" spans="1:6" ht="15.75" customHeight="1">
      <c r="A19163" s="8" t="str">
        <f ca="1">IFERROR(__xludf.DUMMYFUNCTION("GOOGLETRANSLATE(B42342,""en"",""pt"")"),"Morogoro")</f>
        <v>Morogoro</v>
      </c>
      <c r="B19163" s="11" t="s">
        <v>25596</v>
      </c>
      <c r="C19163" s="11" t="s">
        <v>25560</v>
      </c>
      <c r="D19163" s="11" t="s">
        <v>25596</v>
      </c>
      <c r="E19163" s="10">
        <v>153220</v>
      </c>
      <c r="F19163" s="4" t="str">
        <f>IF(B19163=B19162,"",B19163)</f>
        <v/>
      </c>
    </row>
    <row r="19164" spans="1:6" ht="15.75" customHeight="1">
      <c r="A19164" s="15" t="s">
        <v>20113</v>
      </c>
      <c r="B19164" s="15" t="s">
        <v>20113</v>
      </c>
      <c r="C19164" s="15" t="s">
        <v>19808</v>
      </c>
      <c r="D19164" s="15" t="s">
        <v>19823</v>
      </c>
      <c r="E19164" s="2">
        <v>1170013</v>
      </c>
      <c r="F19164" s="4" t="str">
        <f>IF(B19164=B19163,"",B19164)</f>
        <v>Moro</v>
      </c>
    </row>
    <row r="19165" spans="1:6" ht="15.75" customHeight="1">
      <c r="A19165" s="8" t="str">
        <f ca="1">IFERROR(__xludf.DUMMYFUNCTION("GOOGLETRANSLATE(B38978,""en"",""pt"")"),"Moro")</f>
        <v>Moro</v>
      </c>
      <c r="B19165" s="9" t="s">
        <v>20113</v>
      </c>
      <c r="C19165" s="9" t="s">
        <v>19808</v>
      </c>
      <c r="D19165" s="9" t="s">
        <v>19823</v>
      </c>
      <c r="E19165" s="10">
        <v>1170013</v>
      </c>
      <c r="F19165" s="4" t="str">
        <f>IF(B19165=B19164,"",B19165)</f>
        <v/>
      </c>
    </row>
    <row r="19166" spans="1:6" ht="15.75" customHeight="1">
      <c r="A19166" s="16" t="s">
        <v>1031</v>
      </c>
      <c r="B19166" s="15" t="s">
        <v>1031</v>
      </c>
      <c r="C19166" s="16" t="s">
        <v>885</v>
      </c>
      <c r="D19166" s="16" t="s">
        <v>827</v>
      </c>
      <c r="E19166" s="2">
        <v>2156878</v>
      </c>
      <c r="F19166" s="4" t="str">
        <f>IF(B19166=B19165,"",B19166)</f>
        <v>Mornington</v>
      </c>
    </row>
    <row r="19167" spans="1:6" ht="15.75" customHeight="1">
      <c r="A19167" s="8" t="str">
        <f ca="1">IFERROR(__xludf.DUMMYFUNCTION("GOOGLETRANSLATE(B23479,""en"",""pt"")"),"Mornington")</f>
        <v>Mornington</v>
      </c>
      <c r="B19167" s="9" t="s">
        <v>1031</v>
      </c>
      <c r="C19167" s="9" t="s">
        <v>885</v>
      </c>
      <c r="D19167" s="9" t="s">
        <v>827</v>
      </c>
      <c r="E19167" s="10">
        <v>2156878</v>
      </c>
      <c r="F19167" s="4" t="str">
        <f>IF(B19167=B19166,"",B19167)</f>
        <v/>
      </c>
    </row>
    <row r="19168" spans="1:6" ht="15.75" customHeight="1">
      <c r="A19168" s="15" t="s">
        <v>27542</v>
      </c>
      <c r="B19168" s="15" t="s">
        <v>27542</v>
      </c>
      <c r="C19168" s="15" t="s">
        <v>27234</v>
      </c>
      <c r="D19168" s="15" t="s">
        <v>27241</v>
      </c>
      <c r="E19168" s="2">
        <v>2642189</v>
      </c>
      <c r="F19168" s="4" t="str">
        <f>IF(B19168=B19167,"",B19168)</f>
        <v>Morley</v>
      </c>
    </row>
    <row r="19169" spans="1:6" ht="15.75" customHeight="1">
      <c r="A19169" s="8" t="str">
        <f ca="1">IFERROR(__xludf.DUMMYFUNCTION("GOOGLETRANSLATE(B30533,""en"",""pt"")"),"Morley")</f>
        <v>Morley</v>
      </c>
      <c r="B19169" s="9" t="s">
        <v>27542</v>
      </c>
      <c r="C19169" s="9" t="s">
        <v>27234</v>
      </c>
      <c r="D19169" s="9" t="s">
        <v>27241</v>
      </c>
      <c r="E19169" s="10">
        <v>2642189</v>
      </c>
      <c r="F19169" s="4" t="str">
        <f>IF(B19169=B19168,"",B19169)</f>
        <v/>
      </c>
    </row>
    <row r="19170" spans="1:6" ht="15.75" customHeight="1">
      <c r="A19170" s="16" t="s">
        <v>1644</v>
      </c>
      <c r="B19170" s="15" t="s">
        <v>1644</v>
      </c>
      <c r="C19170" s="16" t="s">
        <v>1512</v>
      </c>
      <c r="D19170" s="16" t="s">
        <v>1518</v>
      </c>
      <c r="E19170" s="2">
        <v>2790697</v>
      </c>
      <c r="F19170" s="4" t="str">
        <f>IF(B19170=B19169,"",B19170)</f>
        <v>Morlanwelz-Mariemont</v>
      </c>
    </row>
    <row r="19171" spans="1:6" ht="15.75" customHeight="1">
      <c r="A19171" s="8" t="str">
        <f ca="1">IFERROR(__xludf.DUMMYFUNCTION("GOOGLETRANSLATE(B23864,""en"",""pt"")"),"Morlanwelz-Mariemont")</f>
        <v>Morlanwelz-Mariemont</v>
      </c>
      <c r="B19171" s="9" t="s">
        <v>1644</v>
      </c>
      <c r="C19171" s="9" t="s">
        <v>1512</v>
      </c>
      <c r="D19171" s="9" t="s">
        <v>1518</v>
      </c>
      <c r="E19171" s="10">
        <v>2790697</v>
      </c>
      <c r="F19171" s="4" t="str">
        <f>IF(B19171=B19170,"",B19171)</f>
        <v/>
      </c>
    </row>
    <row r="19172" spans="1:6" ht="15.75" customHeight="1">
      <c r="A19172" s="15" t="s">
        <v>7621</v>
      </c>
      <c r="B19172" s="15" t="s">
        <v>7621</v>
      </c>
      <c r="C19172" s="15" t="s">
        <v>7052</v>
      </c>
      <c r="D19172" s="15" t="s">
        <v>7190</v>
      </c>
      <c r="E19172" s="2">
        <v>2991772</v>
      </c>
      <c r="F19172" s="4" t="str">
        <f>IF(B19172=B19171,"",B19172)</f>
        <v>Morlaix</v>
      </c>
    </row>
    <row r="19173" spans="1:6" ht="15.75" customHeight="1">
      <c r="A19173" s="8" t="str">
        <f ca="1">IFERROR(__xludf.DUMMYFUNCTION("GOOGLETRANSLATE(B29895,""en"",""pt"")"),"Morlaix")</f>
        <v>Morlaix</v>
      </c>
      <c r="B19173" s="9" t="s">
        <v>7621</v>
      </c>
      <c r="C19173" s="9" t="s">
        <v>7052</v>
      </c>
      <c r="D19173" s="9" t="s">
        <v>7190</v>
      </c>
      <c r="E19173" s="10">
        <v>2991772</v>
      </c>
      <c r="F19173" s="4" t="str">
        <f>IF(B19173=B19172,"",B19173)</f>
        <v/>
      </c>
    </row>
    <row r="19174" spans="1:6" ht="15.75" customHeight="1">
      <c r="A19174" s="16" t="s">
        <v>16249</v>
      </c>
      <c r="B19174" s="15" t="s">
        <v>16249</v>
      </c>
      <c r="C19174" s="16" t="s">
        <v>15704</v>
      </c>
      <c r="D19174" s="16" t="s">
        <v>15779</v>
      </c>
      <c r="E19174" s="2">
        <v>1856569</v>
      </c>
      <c r="F19174" s="4" t="str">
        <f>IF(B19174=B19173,"",B19174)</f>
        <v>Moriyama</v>
      </c>
    </row>
    <row r="19175" spans="1:6" ht="15.75" customHeight="1">
      <c r="A19175" s="8" t="str">
        <f ca="1">IFERROR(__xludf.DUMMYFUNCTION("GOOGLETRANSLATE(B35417,""en"",""pt"")"),"Moriyama")</f>
        <v>Moriyama</v>
      </c>
      <c r="B19175" s="9" t="s">
        <v>16249</v>
      </c>
      <c r="C19175" s="9" t="s">
        <v>15704</v>
      </c>
      <c r="D19175" s="9" t="s">
        <v>15779</v>
      </c>
      <c r="E19175" s="10">
        <v>1856569</v>
      </c>
      <c r="F19175" s="4" t="str">
        <f>IF(B19175=B19174,"",B19175)</f>
        <v/>
      </c>
    </row>
    <row r="19176" spans="1:6" ht="15.75" customHeight="1">
      <c r="A19176" s="15" t="s">
        <v>16248</v>
      </c>
      <c r="B19176" s="15" t="s">
        <v>16248</v>
      </c>
      <c r="C19176" s="15" t="s">
        <v>15704</v>
      </c>
      <c r="D19176" s="15" t="s">
        <v>15724</v>
      </c>
      <c r="E19176" s="2">
        <v>2111831</v>
      </c>
      <c r="F19176" s="4" t="str">
        <f>IF(B19176=B19175,"",B19176)</f>
        <v>Moriya</v>
      </c>
    </row>
    <row r="19177" spans="1:6" ht="15.75" customHeight="1">
      <c r="A19177" s="8" t="str">
        <f ca="1">IFERROR(__xludf.DUMMYFUNCTION("GOOGLETRANSLATE(B35761,""en"",""pt"")"),"Moriya")</f>
        <v>Moriya</v>
      </c>
      <c r="B19177" s="9" t="s">
        <v>16248</v>
      </c>
      <c r="C19177" s="9" t="s">
        <v>15704</v>
      </c>
      <c r="D19177" s="9" t="s">
        <v>15724</v>
      </c>
      <c r="E19177" s="10">
        <v>2111831</v>
      </c>
      <c r="F19177" s="4" t="str">
        <f>IF(B19177=B19176,"",B19177)</f>
        <v/>
      </c>
    </row>
    <row r="19178" spans="1:6" ht="15.75" customHeight="1">
      <c r="A19178" s="15" t="s">
        <v>16247</v>
      </c>
      <c r="B19178" s="15" t="s">
        <v>16247</v>
      </c>
      <c r="C19178" s="15" t="s">
        <v>15704</v>
      </c>
      <c r="D19178" s="15" t="s">
        <v>15745</v>
      </c>
      <c r="E19178" s="2">
        <v>2111834</v>
      </c>
      <c r="F19178" s="4" t="str">
        <f>IF(B19178=B19177,"",B19178)</f>
        <v>Morioka</v>
      </c>
    </row>
    <row r="19179" spans="1:6" ht="15.75" customHeight="1">
      <c r="A19179" s="8" t="str">
        <f ca="1">IFERROR(__xludf.DUMMYFUNCTION("GOOGLETRANSLATE(B35762,""en"",""pt"")"),"Morioka")</f>
        <v>Morioka</v>
      </c>
      <c r="B19179" s="9" t="s">
        <v>16247</v>
      </c>
      <c r="C19179" s="9" t="s">
        <v>15704</v>
      </c>
      <c r="D19179" s="9" t="s">
        <v>15745</v>
      </c>
      <c r="E19179" s="10">
        <v>2111834</v>
      </c>
      <c r="F19179" s="4" t="str">
        <f>IF(B19179=B19178,"",B19179)</f>
        <v/>
      </c>
    </row>
    <row r="19180" spans="1:6" ht="15.75" customHeight="1">
      <c r="A19180" s="15" t="s">
        <v>12430</v>
      </c>
      <c r="B19180" s="15" t="s">
        <v>12430</v>
      </c>
      <c r="C19180" s="15" t="s">
        <v>10178</v>
      </c>
      <c r="D19180" s="15" t="s">
        <v>10184</v>
      </c>
      <c r="E19180" s="2">
        <v>1262426</v>
      </c>
      <c r="F19180" s="4" t="str">
        <f>IF(B19180=B19179,"",B19180)</f>
        <v>Morinda</v>
      </c>
    </row>
    <row r="19181" spans="1:6" ht="15.75" customHeight="1">
      <c r="A19181" s="8" t="str">
        <f ca="1">IFERROR(__xludf.DUMMYFUNCTION("GOOGLETRANSLATE(B32718,""en"",""pt"")"),"Morinda")</f>
        <v>Morinda</v>
      </c>
      <c r="B19181" s="9" t="s">
        <v>12430</v>
      </c>
      <c r="C19181" s="9" t="s">
        <v>10178</v>
      </c>
      <c r="D19181" s="9" t="s">
        <v>10184</v>
      </c>
      <c r="E19181" s="10">
        <v>1262426</v>
      </c>
      <c r="F19181" s="4" t="str">
        <f>IF(B19181=B19180,"",B19181)</f>
        <v/>
      </c>
    </row>
    <row r="19182" spans="1:6" ht="15.75" customHeight="1">
      <c r="A19182" s="15" t="s">
        <v>19506</v>
      </c>
      <c r="B19182" s="15" t="s">
        <v>19506</v>
      </c>
      <c r="C19182" s="15" t="s">
        <v>19294</v>
      </c>
      <c r="D19182" s="15" t="s">
        <v>19413</v>
      </c>
      <c r="E19182" s="2">
        <v>2329920</v>
      </c>
      <c r="F19182" s="4" t="str">
        <f>IF(B19182=B19181,"",B19182)</f>
        <v>Moriki</v>
      </c>
    </row>
    <row r="19183" spans="1:6" ht="15.75" customHeight="1">
      <c r="A19183" s="8" t="str">
        <f ca="1">IFERROR(__xludf.DUMMYFUNCTION("GOOGLETRANSLATE(B37676,""en"",""pt"")"),"Moriki")</f>
        <v>Moriki</v>
      </c>
      <c r="B19183" s="9" t="s">
        <v>19506</v>
      </c>
      <c r="C19183" s="9" t="s">
        <v>19294</v>
      </c>
      <c r="D19183" s="9" t="s">
        <v>19413</v>
      </c>
      <c r="E19183" s="10">
        <v>2329920</v>
      </c>
      <c r="F19183" s="4" t="str">
        <f>IF(B19183=B19182,"",B19183)</f>
        <v/>
      </c>
    </row>
    <row r="19184" spans="1:6" ht="15.75" customHeight="1">
      <c r="A19184" s="16" t="s">
        <v>16246</v>
      </c>
      <c r="B19184" s="15" t="s">
        <v>16246</v>
      </c>
      <c r="C19184" s="16" t="s">
        <v>15704</v>
      </c>
      <c r="D19184" s="16" t="s">
        <v>15853</v>
      </c>
      <c r="E19184" s="2">
        <v>1856584</v>
      </c>
      <c r="F19184" s="4" t="str">
        <f>IF(B19184=B19183,"",B19184)</f>
        <v>Moriguchi</v>
      </c>
    </row>
    <row r="19185" spans="1:6" ht="15.75" customHeight="1">
      <c r="A19185" s="8" t="str">
        <f ca="1">IFERROR(__xludf.DUMMYFUNCTION("GOOGLETRANSLATE(B35418,""en"",""pt"")"),"Moriguchi")</f>
        <v>Moriguchi</v>
      </c>
      <c r="B19185" s="9" t="s">
        <v>16246</v>
      </c>
      <c r="C19185" s="9" t="s">
        <v>15704</v>
      </c>
      <c r="D19185" s="9" t="s">
        <v>34295</v>
      </c>
      <c r="E19185" s="10">
        <v>1856584</v>
      </c>
      <c r="F19185" s="4" t="str">
        <f>IF(B19185=B19184,"",B19185)</f>
        <v/>
      </c>
    </row>
    <row r="19186" spans="1:6" ht="15.75" customHeight="1">
      <c r="A19186" s="15" t="s">
        <v>16245</v>
      </c>
      <c r="B19186" s="15" t="s">
        <v>16245</v>
      </c>
      <c r="C19186" s="15" t="s">
        <v>15704</v>
      </c>
      <c r="D19186" s="15" t="s">
        <v>15809</v>
      </c>
      <c r="E19186" s="2">
        <v>1856586</v>
      </c>
      <c r="F19186" s="4" t="str">
        <f>IF(B19186=B19185,"",B19186)</f>
        <v>Mori</v>
      </c>
    </row>
    <row r="19187" spans="1:6" ht="15.75" customHeight="1">
      <c r="A19187" s="8" t="str">
        <f ca="1">IFERROR(__xludf.DUMMYFUNCTION("GOOGLETRANSLATE(B35419,""en"",""pt"")"),"Mori")</f>
        <v>Mori</v>
      </c>
      <c r="B19187" s="9" t="s">
        <v>16245</v>
      </c>
      <c r="C19187" s="9" t="s">
        <v>15704</v>
      </c>
      <c r="D19187" s="9" t="s">
        <v>15809</v>
      </c>
      <c r="E19187" s="10">
        <v>1856586</v>
      </c>
      <c r="F19187" s="4" t="str">
        <f>IF(B19187=B19186,"",B19187)</f>
        <v/>
      </c>
    </row>
    <row r="19188" spans="1:6" ht="15.75" customHeight="1">
      <c r="A19188" s="16" t="s">
        <v>29344</v>
      </c>
      <c r="B19188" s="15" t="s">
        <v>29344</v>
      </c>
      <c r="C19188" s="16" t="s">
        <v>27788</v>
      </c>
      <c r="D19188" s="16" t="s">
        <v>27822</v>
      </c>
      <c r="E19188" s="2">
        <v>4480219</v>
      </c>
      <c r="F19188" s="4" t="str">
        <f>IF(B19188=B19187,"",B19188)</f>
        <v>Morganton</v>
      </c>
    </row>
    <row r="19189" spans="1:6" ht="15.75" customHeight="1">
      <c r="A19189" s="8" t="str">
        <f ca="1">IFERROR(__xludf.DUMMYFUNCTION("GOOGLETRANSLATE(B43470,""en"",""pt"")"),"Morganton")</f>
        <v>Morganton</v>
      </c>
      <c r="B19189" s="9" t="s">
        <v>29344</v>
      </c>
      <c r="C19189" s="9" t="s">
        <v>27788</v>
      </c>
      <c r="D19189" s="9" t="s">
        <v>27822</v>
      </c>
      <c r="E19189" s="10">
        <v>4480219</v>
      </c>
      <c r="F19189" s="4" t="str">
        <f>IF(B19189=B19188,"",B19189)</f>
        <v/>
      </c>
    </row>
    <row r="19190" spans="1:6" ht="15.75" customHeight="1">
      <c r="A19190" s="16" t="s">
        <v>29343</v>
      </c>
      <c r="B19190" s="15" t="s">
        <v>29343</v>
      </c>
      <c r="C19190" s="16" t="s">
        <v>27788</v>
      </c>
      <c r="D19190" s="16" t="s">
        <v>27801</v>
      </c>
      <c r="E19190" s="2">
        <v>5374764</v>
      </c>
      <c r="F19190" s="4" t="str">
        <f>IF(B19190=B19189,"",B19190)</f>
        <v>Morgan Hill</v>
      </c>
    </row>
    <row r="19191" spans="1:6" ht="15.75" customHeight="1">
      <c r="A19191" s="8" t="str">
        <f ca="1">IFERROR(__xludf.DUMMYFUNCTION("GOOGLETRANSLATE(B44919,""en"",""pt"")"),"Morgan Hill")</f>
        <v>Morgan Hill</v>
      </c>
      <c r="B19191" s="11" t="s">
        <v>29343</v>
      </c>
      <c r="C19191" s="11" t="s">
        <v>27788</v>
      </c>
      <c r="D19191" s="11" t="s">
        <v>27801</v>
      </c>
      <c r="E19191" s="10">
        <v>5374764</v>
      </c>
      <c r="F19191" s="4" t="str">
        <f>IF(B19191=B19190,"",B19191)</f>
        <v/>
      </c>
    </row>
    <row r="19192" spans="1:6" ht="15.75" customHeight="1">
      <c r="A19192" s="8" t="str">
        <f ca="1">IFERROR(__xludf.DUMMYFUNCTION("GOOGLETRANSLATE(B28357,""en"",""pt"")"),"Mörfelden-Walldorf")</f>
        <v>Mörfelden-Walldorf</v>
      </c>
      <c r="B19192" s="9" t="s">
        <v>32141</v>
      </c>
      <c r="C19192" s="9" t="s">
        <v>8028</v>
      </c>
      <c r="D19192" s="9" t="s">
        <v>8050</v>
      </c>
      <c r="E19192" s="10">
        <v>3272460</v>
      </c>
      <c r="F19192" s="4" t="str">
        <f>IF(B19192=B19191,"",B19192)</f>
        <v>Mörfelden-Walldorf</v>
      </c>
    </row>
    <row r="19193" spans="1:6" ht="15.75" customHeight="1">
      <c r="A19193" s="15" t="s">
        <v>27541</v>
      </c>
      <c r="B19193" s="15" t="s">
        <v>27541</v>
      </c>
      <c r="C19193" s="15" t="s">
        <v>27234</v>
      </c>
      <c r="D19193" s="15" t="s">
        <v>27241</v>
      </c>
      <c r="E19193" s="2">
        <v>2642204</v>
      </c>
      <c r="F19193" s="4" t="str">
        <f>IF(B19193=B19192,"",B19193)</f>
        <v>Moreton</v>
      </c>
    </row>
    <row r="19194" spans="1:6" ht="15.75" customHeight="1">
      <c r="A19194" s="8" t="str">
        <f ca="1">IFERROR(__xludf.DUMMYFUNCTION("GOOGLETRANSLATE(B30534,""en"",""pt"")"),"Moreton")</f>
        <v>Moreton</v>
      </c>
      <c r="B19194" s="9" t="s">
        <v>27541</v>
      </c>
      <c r="C19194" s="9" t="s">
        <v>27234</v>
      </c>
      <c r="D19194" s="9" t="s">
        <v>27241</v>
      </c>
      <c r="E19194" s="10">
        <v>2642204</v>
      </c>
      <c r="F19194" s="4" t="str">
        <f>IF(B19194=B19193,"",B19194)</f>
        <v/>
      </c>
    </row>
    <row r="19195" spans="1:6" ht="15.75" customHeight="1">
      <c r="A19195" s="16" t="s">
        <v>29342</v>
      </c>
      <c r="B19195" s="15" t="s">
        <v>29342</v>
      </c>
      <c r="C19195" s="16" t="s">
        <v>27788</v>
      </c>
      <c r="D19195" s="16" t="s">
        <v>27801</v>
      </c>
      <c r="E19195" s="2">
        <v>5374732</v>
      </c>
      <c r="F19195" s="4" t="str">
        <f>IF(B19195=B19194,"",B19195)</f>
        <v>Moreno Valley</v>
      </c>
    </row>
    <row r="19196" spans="1:6" ht="15.75" customHeight="1">
      <c r="A19196" s="8" t="str">
        <f ca="1">IFERROR(__xludf.DUMMYFUNCTION("GOOGLETRANSLATE(B44918,""en"",""pt"")"),"Moreno Valley")</f>
        <v>Moreno Valley</v>
      </c>
      <c r="B19196" s="9" t="s">
        <v>29342</v>
      </c>
      <c r="C19196" s="9" t="s">
        <v>27788</v>
      </c>
      <c r="D19196" s="9" t="s">
        <v>27801</v>
      </c>
      <c r="E19196" s="10">
        <v>5374732</v>
      </c>
      <c r="F19196" s="4" t="str">
        <f>IF(B19196=B19195,"",B19196)</f>
        <v/>
      </c>
    </row>
    <row r="19197" spans="1:6" ht="15.75" customHeight="1">
      <c r="A19197" s="15" t="s">
        <v>2924</v>
      </c>
      <c r="B19197" s="15" t="s">
        <v>2924</v>
      </c>
      <c r="C19197" s="15" t="s">
        <v>1905</v>
      </c>
      <c r="D19197" s="15" t="s">
        <v>1909</v>
      </c>
      <c r="E19197" s="2">
        <v>3394453</v>
      </c>
      <c r="F19197" s="4" t="str">
        <f>IF(B19197=B19196,"",B19197)</f>
        <v>Moreno</v>
      </c>
    </row>
    <row r="19198" spans="1:6" ht="15.75" customHeight="1">
      <c r="A19198" s="8" t="str">
        <f ca="1">IFERROR(__xludf.DUMMYFUNCTION("GOOGLETRANSLATE(B24260,""en"",""pt"")"),"Moreno")</f>
        <v>Moreno</v>
      </c>
      <c r="B19198" s="9" t="s">
        <v>2924</v>
      </c>
      <c r="C19198" s="9" t="s">
        <v>1905</v>
      </c>
      <c r="D19198" s="9" t="s">
        <v>1909</v>
      </c>
      <c r="E19198" s="10">
        <v>3394453</v>
      </c>
      <c r="F19198" s="4" t="str">
        <f>IF(B19198=B19197,"",B19198)</f>
        <v/>
      </c>
    </row>
    <row r="19199" spans="1:6" ht="15.75" customHeight="1">
      <c r="A19199" s="15" t="s">
        <v>21963</v>
      </c>
      <c r="B19199" s="15" t="s">
        <v>21963</v>
      </c>
      <c r="C19199" s="15" t="s">
        <v>21824</v>
      </c>
      <c r="D19199" s="15" t="s">
        <v>21934</v>
      </c>
      <c r="E19199" s="2">
        <v>672862</v>
      </c>
      <c r="F19199" s="4" t="str">
        <f>IF(B19199=B19198,"",B19199)</f>
        <v>Moreni</v>
      </c>
    </row>
    <row r="19200" spans="1:6" ht="15.75" customHeight="1">
      <c r="A19200" s="8" t="str">
        <f ca="1">IFERROR(__xludf.DUMMYFUNCTION("GOOGLETRANSLATE(B39774,""en"",""pt"")"),"Moreni")</f>
        <v>Moreni</v>
      </c>
      <c r="B19200" s="9" t="s">
        <v>21963</v>
      </c>
      <c r="C19200" s="9" t="s">
        <v>21824</v>
      </c>
      <c r="D19200" s="9" t="s">
        <v>35345</v>
      </c>
      <c r="E19200" s="10">
        <v>672862</v>
      </c>
      <c r="F19200" s="4" t="str">
        <f>IF(B19200=B19199,"",B19200)</f>
        <v/>
      </c>
    </row>
    <row r="19201" spans="1:6" ht="15.75" customHeight="1">
      <c r="A19201" s="15" t="s">
        <v>12428</v>
      </c>
      <c r="B19201" s="15" t="s">
        <v>12429</v>
      </c>
      <c r="C19201" s="15" t="s">
        <v>10178</v>
      </c>
      <c r="D19201" s="15" t="s">
        <v>10219</v>
      </c>
      <c r="E19201" s="2">
        <v>1262771</v>
      </c>
      <c r="F19201" s="4" t="str">
        <f>IF(B19201=B19200,"",B19201)</f>
        <v>Morena</v>
      </c>
    </row>
    <row r="19202" spans="1:6" ht="15.75" customHeight="1">
      <c r="A19202" s="8" t="str">
        <f ca="1">IFERROR(__xludf.DUMMYFUNCTION("GOOGLETRANSLATE(B32751,""en"",""pt"")"),"morena")</f>
        <v>morena</v>
      </c>
      <c r="B19202" s="9" t="s">
        <v>12429</v>
      </c>
      <c r="C19202" s="9" t="s">
        <v>10178</v>
      </c>
      <c r="D19202" s="9" t="s">
        <v>10219</v>
      </c>
      <c r="E19202" s="10">
        <v>1262771</v>
      </c>
      <c r="F19202" s="4" t="str">
        <f>IF(B19202=B19201,"",B19202)</f>
        <v/>
      </c>
    </row>
    <row r="19203" spans="1:6" ht="15.75" customHeight="1">
      <c r="A19203" s="15" t="s">
        <v>18100</v>
      </c>
      <c r="B19203" s="15" t="s">
        <v>18100</v>
      </c>
      <c r="C19203" s="15" t="s">
        <v>17707</v>
      </c>
      <c r="D19203" s="15" t="s">
        <v>17761</v>
      </c>
      <c r="E19203" s="2">
        <v>3995402</v>
      </c>
      <c r="F19203" s="4" t="str">
        <f>IF(B19203=B19202,"",B19203)</f>
        <v>Morelia</v>
      </c>
    </row>
    <row r="19204" spans="1:6" ht="15.75" customHeight="1">
      <c r="A19204" s="8" t="str">
        <f ca="1">IFERROR(__xludf.DUMMYFUNCTION("GOOGLETRANSLATE(B37240,""en"",""pt"")"),"Morelia")</f>
        <v>Morelia</v>
      </c>
      <c r="B19204" s="9" t="s">
        <v>18100</v>
      </c>
      <c r="C19204" s="9" t="s">
        <v>17707</v>
      </c>
      <c r="D19204" s="9" t="s">
        <v>34727</v>
      </c>
      <c r="E19204" s="10">
        <v>3995402</v>
      </c>
      <c r="F19204" s="4" t="str">
        <f>IF(B19204=B19203,"",B19204)</f>
        <v/>
      </c>
    </row>
    <row r="19205" spans="1:6" ht="15.75" customHeight="1">
      <c r="A19205" s="16" t="s">
        <v>27540</v>
      </c>
      <c r="B19205" s="15" t="s">
        <v>27540</v>
      </c>
      <c r="C19205" s="16" t="s">
        <v>27234</v>
      </c>
      <c r="D19205" s="16" t="s">
        <v>27241</v>
      </c>
      <c r="E19205" s="2">
        <v>2642214</v>
      </c>
      <c r="F19205" s="4" t="str">
        <f>IF(B19205=B19204,"",B19205)</f>
        <v>Morecambe</v>
      </c>
    </row>
    <row r="19206" spans="1:6" ht="15.75" customHeight="1">
      <c r="A19206" s="8" t="str">
        <f ca="1">IFERROR(__xludf.DUMMYFUNCTION("GOOGLETRANSLATE(B30535,""en"",""pt"")"),"Morecambe")</f>
        <v>Morecambe</v>
      </c>
      <c r="B19206" s="9" t="s">
        <v>27540</v>
      </c>
      <c r="C19206" s="9" t="s">
        <v>27234</v>
      </c>
      <c r="D19206" s="9" t="s">
        <v>27241</v>
      </c>
      <c r="E19206" s="10">
        <v>2642214</v>
      </c>
      <c r="F19206" s="4" t="str">
        <f>IF(B19206=B19205,"",B19206)</f>
        <v/>
      </c>
    </row>
    <row r="19207" spans="1:6" ht="15.75" customHeight="1">
      <c r="A19207" s="15" t="s">
        <v>12427</v>
      </c>
      <c r="B19207" s="15" t="s">
        <v>12427</v>
      </c>
      <c r="C19207" s="15" t="s">
        <v>10178</v>
      </c>
      <c r="D19207" s="15" t="s">
        <v>10209</v>
      </c>
      <c r="E19207" s="2">
        <v>1262775</v>
      </c>
      <c r="F19207" s="4" t="str">
        <f>IF(B19207=B19206,"",B19207)</f>
        <v>Morbi</v>
      </c>
    </row>
    <row r="19208" spans="1:6" ht="15.75" customHeight="1">
      <c r="A19208" s="8" t="str">
        <f ca="1">IFERROR(__xludf.DUMMYFUNCTION("GOOGLETRANSLATE(B32752,""en"",""pt"")"),"Morbi")</f>
        <v>Morbi</v>
      </c>
      <c r="B19208" s="11" t="s">
        <v>12427</v>
      </c>
      <c r="C19208" s="11" t="s">
        <v>10178</v>
      </c>
      <c r="D19208" s="11" t="s">
        <v>10209</v>
      </c>
      <c r="E19208" s="10">
        <v>1262775</v>
      </c>
      <c r="F19208" s="4" t="str">
        <f>IF(B19208=B19207,"",B19208)</f>
        <v/>
      </c>
    </row>
    <row r="19209" spans="1:6" ht="15.75" customHeight="1">
      <c r="A19209" s="16" t="s">
        <v>1030</v>
      </c>
      <c r="B19209" s="15" t="s">
        <v>1030</v>
      </c>
      <c r="C19209" s="16" t="s">
        <v>885</v>
      </c>
      <c r="D19209" s="16" t="s">
        <v>910</v>
      </c>
      <c r="E19209" s="2">
        <v>2156934</v>
      </c>
      <c r="F19209" s="4" t="str">
        <f>IF(B19209=B19208,"",B19209)</f>
        <v>Morayfield</v>
      </c>
    </row>
    <row r="19210" spans="1:6" ht="15.75" customHeight="1">
      <c r="A19210" s="8" t="str">
        <f ca="1">IFERROR(__xludf.DUMMYFUNCTION("GOOGLETRANSLATE(B23480,""en"",""pt"")"),"Morayfield")</f>
        <v>Morayfield</v>
      </c>
      <c r="B19210" s="11" t="s">
        <v>1030</v>
      </c>
      <c r="C19210" s="11" t="s">
        <v>885</v>
      </c>
      <c r="D19210" s="11" t="s">
        <v>910</v>
      </c>
      <c r="E19210" s="10">
        <v>2156934</v>
      </c>
      <c r="F19210" s="4" t="str">
        <f>IF(B19210=B19209,"",B19210)</f>
        <v/>
      </c>
    </row>
    <row r="19211" spans="1:6" ht="15.75" customHeight="1">
      <c r="A19211" s="16" t="s">
        <v>24963</v>
      </c>
      <c r="B19211" s="15" t="s">
        <v>24963</v>
      </c>
      <c r="C19211" s="16" t="s">
        <v>24924</v>
      </c>
      <c r="D19211" s="16" t="s">
        <v>6944</v>
      </c>
      <c r="E19211" s="2">
        <v>1234633</v>
      </c>
      <c r="F19211" s="4" t="str">
        <f>IF(B19211=B19210,"",B19211)</f>
        <v>Moratuwa</v>
      </c>
    </row>
    <row r="19212" spans="1:6" ht="15.75" customHeight="1">
      <c r="A19212" s="8" t="str">
        <f ca="1">IFERROR(__xludf.DUMMYFUNCTION("GOOGLETRANSLATE(B36306,""en"",""pt"")"),"Moratuwa")</f>
        <v>Moratuwa</v>
      </c>
      <c r="B19212" s="11" t="s">
        <v>24963</v>
      </c>
      <c r="C19212" s="11" t="s">
        <v>24924</v>
      </c>
      <c r="D19212" s="11" t="s">
        <v>6944</v>
      </c>
      <c r="E19212" s="10">
        <v>1234633</v>
      </c>
      <c r="F19212" s="4" t="str">
        <f>IF(B19212=B19211,"",B19212)</f>
        <v/>
      </c>
    </row>
    <row r="19213" spans="1:6" ht="15.75" customHeight="1">
      <c r="A19213" s="16" t="s">
        <v>24642</v>
      </c>
      <c r="B19213" s="15" t="s">
        <v>24642</v>
      </c>
      <c r="C19213" s="16" t="s">
        <v>24200</v>
      </c>
      <c r="D19213" s="16" t="s">
        <v>5513</v>
      </c>
      <c r="E19213" s="2">
        <v>3116156</v>
      </c>
      <c r="F19213" s="4" t="str">
        <f>IF(B19213=B19212,"",B19213)</f>
        <v>Moratalaz</v>
      </c>
    </row>
    <row r="19214" spans="1:6" ht="15.75" customHeight="1">
      <c r="A19214" s="8" t="str">
        <f ca="1">IFERROR(__xludf.DUMMYFUNCTION("GOOGLETRANSLATE(B29347,""en"",""pt"")"),"Moratalaz")</f>
        <v>Moratalaz</v>
      </c>
      <c r="B19214" s="11" t="s">
        <v>24642</v>
      </c>
      <c r="C19214" s="11" t="s">
        <v>24200</v>
      </c>
      <c r="D19214" s="11" t="s">
        <v>5513</v>
      </c>
      <c r="E19214" s="10">
        <v>3116156</v>
      </c>
      <c r="F19214" s="4" t="str">
        <f>IF(B19214=B19213,"",B19214)</f>
        <v/>
      </c>
    </row>
    <row r="19215" spans="1:6" ht="15.75" customHeight="1">
      <c r="A19215" s="8" t="str">
        <f ca="1">IFERROR(__xludf.DUMMYFUNCTION("GOOGLETRANSLATE(B32753,""en"",""pt"")"),"Morār")</f>
        <v>Morār</v>
      </c>
      <c r="B19215" s="9" t="s">
        <v>33374</v>
      </c>
      <c r="C19215" s="9" t="s">
        <v>10178</v>
      </c>
      <c r="D19215" s="9" t="s">
        <v>10219</v>
      </c>
      <c r="E19215" s="10">
        <v>1262783</v>
      </c>
      <c r="F19215" s="4" t="str">
        <f>IF(B19215=B19214,"",B19215)</f>
        <v>Morār</v>
      </c>
    </row>
    <row r="19216" spans="1:6" ht="15.75" customHeight="1">
      <c r="A19216" s="16" t="s">
        <v>17386</v>
      </c>
      <c r="B19216" s="15" t="s">
        <v>17386</v>
      </c>
      <c r="C19216" s="16" t="s">
        <v>17292</v>
      </c>
      <c r="D19216" s="16" t="s">
        <v>17306</v>
      </c>
      <c r="E19216" s="2">
        <v>1058532</v>
      </c>
      <c r="F19216" s="4" t="str">
        <f>IF(B19216=B19215,"",B19216)</f>
        <v>Moramanga</v>
      </c>
    </row>
    <row r="19217" spans="1:6" ht="15.75" customHeight="1">
      <c r="A19217" s="8" t="str">
        <f ca="1">IFERROR(__xludf.DUMMYFUNCTION("GOOGLETRANSLATE(B36576,""en"",""pt"")"),"Moramanga")</f>
        <v>Moramanga</v>
      </c>
      <c r="B19217" s="11" t="s">
        <v>17386</v>
      </c>
      <c r="C19217" s="11" t="s">
        <v>17292</v>
      </c>
      <c r="D19217" s="11" t="s">
        <v>17306</v>
      </c>
      <c r="E19217" s="10">
        <v>1058532</v>
      </c>
      <c r="F19217" s="4" t="str">
        <f>IF(B19217=B19216,"",B19217)</f>
        <v/>
      </c>
    </row>
    <row r="19218" spans="1:6" ht="15.75" customHeight="1">
      <c r="A19218" s="15" t="s">
        <v>12426</v>
      </c>
      <c r="B19218" s="15" t="s">
        <v>12426</v>
      </c>
      <c r="C19218" s="15" t="s">
        <v>10178</v>
      </c>
      <c r="D19218" s="15" t="s">
        <v>10214</v>
      </c>
      <c r="E19218" s="2">
        <v>1262794</v>
      </c>
      <c r="F19218" s="4" t="str">
        <f>IF(B19218=B19217,"",B19218)</f>
        <v>Moram</v>
      </c>
    </row>
    <row r="19219" spans="1:6" ht="15.75" customHeight="1">
      <c r="A19219" s="8" t="str">
        <f ca="1">IFERROR(__xludf.DUMMYFUNCTION("GOOGLETRANSLATE(B32754,""en"",""pt"")"),"Moram")</f>
        <v>Moram</v>
      </c>
      <c r="B19219" s="11" t="s">
        <v>12426</v>
      </c>
      <c r="C19219" s="11" t="s">
        <v>10178</v>
      </c>
      <c r="D19219" s="11" t="s">
        <v>10214</v>
      </c>
      <c r="E19219" s="10">
        <v>1262794</v>
      </c>
      <c r="F19219" s="4" t="str">
        <f>IF(B19219=B19218,"",B19219)</f>
        <v/>
      </c>
    </row>
    <row r="19220" spans="1:6" ht="15.75" customHeight="1">
      <c r="A19220" s="15" t="s">
        <v>5536</v>
      </c>
      <c r="B19220" s="15" t="s">
        <v>5536</v>
      </c>
      <c r="C19220" s="15" t="s">
        <v>5348</v>
      </c>
      <c r="D19220" s="15" t="s">
        <v>5373</v>
      </c>
      <c r="E19220" s="2">
        <v>3674412</v>
      </c>
      <c r="F19220" s="4" t="str">
        <f>IF(B19220=B19219,"",B19220)</f>
        <v>Morales</v>
      </c>
    </row>
    <row r="19221" spans="1:6" ht="15.75" customHeight="1">
      <c r="A19221" s="15" t="s">
        <v>5536</v>
      </c>
      <c r="B19221" s="15" t="s">
        <v>5536</v>
      </c>
      <c r="C19221" s="15" t="s">
        <v>5348</v>
      </c>
      <c r="D19221" s="15" t="s">
        <v>5388</v>
      </c>
      <c r="E19221" s="2">
        <v>3770718</v>
      </c>
      <c r="F19221" s="4" t="str">
        <f>IF(B19221=B19220,"",B19221)</f>
        <v/>
      </c>
    </row>
    <row r="19222" spans="1:6" ht="15.75" customHeight="1">
      <c r="A19222" s="15" t="s">
        <v>5536</v>
      </c>
      <c r="B19222" s="15" t="s">
        <v>5536</v>
      </c>
      <c r="C19222" s="15" t="s">
        <v>9700</v>
      </c>
      <c r="D19222" s="15" t="s">
        <v>9732</v>
      </c>
      <c r="E19222" s="2">
        <v>3592362</v>
      </c>
      <c r="F19222" s="4" t="str">
        <f>IF(B19222=B19221,"",B19222)</f>
        <v/>
      </c>
    </row>
    <row r="19223" spans="1:6" ht="15.75" customHeight="1">
      <c r="A19223" s="8" t="str">
        <f ca="1">IFERROR(__xludf.DUMMYFUNCTION("GOOGLETRANSLATE(B26933,""en"",""pt"")"),"Morales")</f>
        <v>Morales</v>
      </c>
      <c r="B19223" s="9" t="s">
        <v>5536</v>
      </c>
      <c r="C19223" s="9" t="s">
        <v>5348</v>
      </c>
      <c r="D19223" s="9" t="s">
        <v>31836</v>
      </c>
      <c r="E19223" s="10">
        <v>3674412</v>
      </c>
      <c r="F19223" s="4" t="str">
        <f>IF(B19223=B19222,"",B19223)</f>
        <v/>
      </c>
    </row>
    <row r="19224" spans="1:6" ht="15.75" customHeight="1">
      <c r="A19224" s="8" t="str">
        <f ca="1">IFERROR(__xludf.DUMMYFUNCTION("GOOGLETRANSLATE(B27054,""en"",""pt"")"),"Morales")</f>
        <v>Morales</v>
      </c>
      <c r="B19224" s="9" t="s">
        <v>5536</v>
      </c>
      <c r="C19224" s="9" t="s">
        <v>5348</v>
      </c>
      <c r="D19224" s="9" t="s">
        <v>5388</v>
      </c>
      <c r="E19224" s="10">
        <v>3770718</v>
      </c>
      <c r="F19224" s="4" t="str">
        <f>IF(B19224=B19223,"",B19224)</f>
        <v/>
      </c>
    </row>
    <row r="19225" spans="1:6" ht="15.75" customHeight="1">
      <c r="A19225" s="8" t="str">
        <f ca="1">IFERROR(__xludf.DUMMYFUNCTION("GOOGLETRANSLATE(B31106,""en"",""pt"")"),"Morales")</f>
        <v>Morales</v>
      </c>
      <c r="B19225" s="11" t="s">
        <v>5536</v>
      </c>
      <c r="C19225" s="11" t="s">
        <v>9700</v>
      </c>
      <c r="D19225" s="11" t="s">
        <v>9732</v>
      </c>
      <c r="E19225" s="10">
        <v>3592362</v>
      </c>
      <c r="F19225" s="4" t="str">
        <f>IF(B19225=B19224,"",B19225)</f>
        <v/>
      </c>
    </row>
    <row r="19226" spans="1:6" ht="15.75" customHeight="1">
      <c r="A19226" s="15" t="s">
        <v>29341</v>
      </c>
      <c r="B19226" s="15" t="s">
        <v>29341</v>
      </c>
      <c r="C19226" s="15" t="s">
        <v>27788</v>
      </c>
      <c r="D19226" s="15" t="s">
        <v>27801</v>
      </c>
      <c r="E19226" s="2">
        <v>5374671</v>
      </c>
      <c r="F19226" s="4" t="str">
        <f>IF(B19226=B19225,"",B19226)</f>
        <v>Moraga</v>
      </c>
    </row>
    <row r="19227" spans="1:6" ht="15.75" customHeight="1">
      <c r="A19227" s="8" t="str">
        <f ca="1">IFERROR(__xludf.DUMMYFUNCTION("GOOGLETRANSLATE(B44917,""en"",""pt"")"),"Moraga")</f>
        <v>Moraga</v>
      </c>
      <c r="B19227" s="11" t="s">
        <v>29341</v>
      </c>
      <c r="C19227" s="11" t="s">
        <v>27788</v>
      </c>
      <c r="D19227" s="11" t="s">
        <v>27801</v>
      </c>
      <c r="E19227" s="10">
        <v>5374671</v>
      </c>
      <c r="F19227" s="4" t="str">
        <f>IF(B19227=B19226,"",B19227)</f>
        <v/>
      </c>
    </row>
    <row r="19228" spans="1:6" ht="15.75" customHeight="1">
      <c r="A19228" s="8" t="str">
        <f ca="1">IFERROR(__xludf.DUMMYFUNCTION("GOOGLETRANSLATE(B32755,""en"",""pt"")"),"Morādābād")</f>
        <v>Morādābād</v>
      </c>
      <c r="B19228" s="11" t="s">
        <v>33375</v>
      </c>
      <c r="C19228" s="11" t="s">
        <v>10178</v>
      </c>
      <c r="D19228" s="11" t="s">
        <v>10193</v>
      </c>
      <c r="E19228" s="10">
        <v>1262801</v>
      </c>
      <c r="F19228" s="4" t="str">
        <f>IF(B19228=B19227,"",B19228)</f>
        <v>Morādābād</v>
      </c>
    </row>
    <row r="19229" spans="1:6" ht="15.75" customHeight="1">
      <c r="A19229" s="16" t="s">
        <v>2923</v>
      </c>
      <c r="B19229" s="15" t="s">
        <v>2923</v>
      </c>
      <c r="C19229" s="16" t="s">
        <v>1905</v>
      </c>
      <c r="D19229" s="16" t="s">
        <v>1930</v>
      </c>
      <c r="E19229" s="2">
        <v>3394500</v>
      </c>
      <c r="F19229" s="4" t="str">
        <f>IF(B19229=B19228,"",B19229)</f>
        <v>Morada Nova</v>
      </c>
    </row>
    <row r="19230" spans="1:6" ht="15.75" customHeight="1">
      <c r="A19230" s="8" t="str">
        <f ca="1">IFERROR(__xludf.DUMMYFUNCTION("GOOGLETRANSLATE(B24261,""en"",""pt"")"),"Morada Nova")</f>
        <v>Morada Nova</v>
      </c>
      <c r="B19230" s="11" t="s">
        <v>2923</v>
      </c>
      <c r="C19230" s="11" t="s">
        <v>1905</v>
      </c>
      <c r="D19230" s="11" t="s">
        <v>31345</v>
      </c>
      <c r="E19230" s="10">
        <v>3394500</v>
      </c>
      <c r="F19230" s="4" t="str">
        <f>IF(B19230=B19229,"",B19230)</f>
        <v/>
      </c>
    </row>
    <row r="19231" spans="1:6" ht="15.75" customHeight="1">
      <c r="A19231" s="16" t="s">
        <v>24640</v>
      </c>
      <c r="B19231" s="15" t="s">
        <v>24641</v>
      </c>
      <c r="C19231" s="16" t="s">
        <v>24200</v>
      </c>
      <c r="D19231" s="16" t="s">
        <v>24205</v>
      </c>
      <c r="E19231" s="2">
        <v>2513509</v>
      </c>
      <c r="F19231" s="4" t="str">
        <f>IF(B19231=B19230,"",B19231)</f>
        <v>MorÃ³n de la Frontera</v>
      </c>
    </row>
    <row r="19232" spans="1:6" ht="15.75" customHeight="1">
      <c r="A19232" s="15" t="s">
        <v>712</v>
      </c>
      <c r="B19232" s="15" t="s">
        <v>713</v>
      </c>
      <c r="C19232" s="15" t="s">
        <v>558</v>
      </c>
      <c r="D19232" s="15" t="s">
        <v>562</v>
      </c>
      <c r="E19232" s="2">
        <v>3430545</v>
      </c>
      <c r="F19232" s="4" t="str">
        <f>IF(B19232=B19231,"",B19232)</f>
        <v>MorÃ³n</v>
      </c>
    </row>
    <row r="19233" spans="1:6" ht="15.75" customHeight="1">
      <c r="A19233" s="15" t="s">
        <v>712</v>
      </c>
      <c r="B19233" s="15" t="s">
        <v>713</v>
      </c>
      <c r="C19233" s="15" t="s">
        <v>5764</v>
      </c>
      <c r="D19233" s="15" t="s">
        <v>5785</v>
      </c>
      <c r="E19233" s="2">
        <v>3546434</v>
      </c>
      <c r="F19233" s="4" t="str">
        <f>IF(B19233=B19232,"",B19233)</f>
        <v/>
      </c>
    </row>
    <row r="19234" spans="1:6" ht="15.75" customHeight="1">
      <c r="A19234" s="15" t="s">
        <v>712</v>
      </c>
      <c r="B19234" s="15" t="s">
        <v>713</v>
      </c>
      <c r="C19234" s="15" t="s">
        <v>5923</v>
      </c>
      <c r="D19234" s="15" t="s">
        <v>30693</v>
      </c>
      <c r="E19234" s="2">
        <v>3631878</v>
      </c>
      <c r="F19234" s="4" t="str">
        <f>IF(B19234=B19233,"",B19234)</f>
        <v/>
      </c>
    </row>
    <row r="19235" spans="1:6" ht="15.75" customHeight="1">
      <c r="A19235" s="15" t="s">
        <v>12424</v>
      </c>
      <c r="B19235" s="15" t="s">
        <v>12425</v>
      </c>
      <c r="C19235" s="15" t="s">
        <v>10178</v>
      </c>
      <c r="D19235" s="15" t="s">
        <v>10219</v>
      </c>
      <c r="E19235" s="2">
        <v>1262783</v>
      </c>
      <c r="F19235" s="4" t="str">
        <f>IF(B19235=B19234,"",B19235)</f>
        <v>MorÄr</v>
      </c>
    </row>
    <row r="19236" spans="1:6" ht="15.75" customHeight="1">
      <c r="A19236" s="16" t="s">
        <v>12422</v>
      </c>
      <c r="B19236" s="15" t="s">
        <v>12423</v>
      </c>
      <c r="C19236" s="16" t="s">
        <v>10178</v>
      </c>
      <c r="D19236" s="16" t="s">
        <v>10193</v>
      </c>
      <c r="E19236" s="2">
        <v>1262801</v>
      </c>
      <c r="F19236" s="4" t="str">
        <f>IF(B19236=B19235,"",B19236)</f>
        <v>MorÄdÄbÄd</v>
      </c>
    </row>
    <row r="19237" spans="1:6" ht="15.75" customHeight="1">
      <c r="A19237" s="15" t="s">
        <v>3952</v>
      </c>
      <c r="B19237" s="15" t="s">
        <v>3952</v>
      </c>
      <c r="C19237" s="15" t="s">
        <v>3884</v>
      </c>
      <c r="D19237" s="15" t="s">
        <v>3906</v>
      </c>
      <c r="E19237" s="2">
        <v>2225991</v>
      </c>
      <c r="F19237" s="4" t="str">
        <f>IF(B19237=B19236,"",B19237)</f>
        <v>Mora</v>
      </c>
    </row>
    <row r="19238" spans="1:6" ht="15.75" customHeight="1">
      <c r="A19238" s="8" t="str">
        <f ca="1">IFERROR(__xludf.DUMMYFUNCTION("GOOGLETRANSLATE(B25996,""en"",""pt"")"),"Mora")</f>
        <v>Mora</v>
      </c>
      <c r="B19238" s="9" t="s">
        <v>3952</v>
      </c>
      <c r="C19238" s="9" t="s">
        <v>3884</v>
      </c>
      <c r="D19238" s="9" t="s">
        <v>3906</v>
      </c>
      <c r="E19238" s="10">
        <v>2225991</v>
      </c>
      <c r="F19238" s="4" t="str">
        <f>IF(B19238=B19237,"",B19238)</f>
        <v/>
      </c>
    </row>
    <row r="19239" spans="1:6" ht="15.75" customHeight="1">
      <c r="A19239" s="16" t="s">
        <v>20548</v>
      </c>
      <c r="B19239" s="15" t="s">
        <v>20525</v>
      </c>
      <c r="C19239" s="16" t="s">
        <v>20470</v>
      </c>
      <c r="D19239" s="16" t="s">
        <v>20525</v>
      </c>
      <c r="E19239" s="2">
        <v>3934608</v>
      </c>
      <c r="F19239" s="4" t="str">
        <f>IF(B19239=B19238,"",B19239)</f>
        <v>Moquegua</v>
      </c>
    </row>
    <row r="19240" spans="1:6" ht="15.75" customHeight="1">
      <c r="A19240" s="8" t="str">
        <f ca="1">IFERROR(__xludf.DUMMYFUNCTION("GOOGLETRANSLATE(B38372,""en"",""pt"")"),"Maquegua")</f>
        <v>Maquegua</v>
      </c>
      <c r="B19240" s="9" t="s">
        <v>20525</v>
      </c>
      <c r="C19240" s="9" t="s">
        <v>20470</v>
      </c>
      <c r="D19240" s="9" t="s">
        <v>20525</v>
      </c>
      <c r="E19240" s="10">
        <v>3934608</v>
      </c>
      <c r="F19240" s="4" t="str">
        <f>IF(B19240=B19239,"",B19240)</f>
        <v/>
      </c>
    </row>
    <row r="19241" spans="1:6" ht="15.75" customHeight="1">
      <c r="A19241" s="15" t="s">
        <v>17605</v>
      </c>
      <c r="B19241" s="15" t="s">
        <v>17605</v>
      </c>
      <c r="C19241" s="15" t="s">
        <v>17596</v>
      </c>
      <c r="D19241" s="15" t="s">
        <v>17605</v>
      </c>
      <c r="E19241" s="2">
        <v>2453348</v>
      </c>
      <c r="F19241" s="4" t="str">
        <f>IF(B19241=B19240,"",B19241)</f>
        <v>Mopti</v>
      </c>
    </row>
    <row r="19242" spans="1:6" ht="15.75" customHeight="1">
      <c r="A19242" s="8" t="str">
        <f ca="1">IFERROR(__xludf.DUMMYFUNCTION("GOOGLETRANSLATE(B36684,""en"",""pt"")"),"Mopti")</f>
        <v>Mopti</v>
      </c>
      <c r="B19242" s="11" t="s">
        <v>17605</v>
      </c>
      <c r="C19242" s="11" t="s">
        <v>17596</v>
      </c>
      <c r="D19242" s="11" t="s">
        <v>17605</v>
      </c>
      <c r="E19242" s="10">
        <v>2453348</v>
      </c>
      <c r="F19242" s="4" t="str">
        <f>IF(B19242=B19241,"",B19242)</f>
        <v/>
      </c>
    </row>
    <row r="19243" spans="1:6" ht="15.75" customHeight="1">
      <c r="A19243" s="15" t="s">
        <v>24116</v>
      </c>
      <c r="B19243" s="15" t="s">
        <v>24117</v>
      </c>
      <c r="C19243" s="15" t="s">
        <v>24024</v>
      </c>
      <c r="D19243" s="15" t="s">
        <v>24035</v>
      </c>
      <c r="E19243" s="2">
        <v>1841066</v>
      </c>
      <c r="F19243" s="4" t="str">
        <f>IF(B19243=B19242,"",B19243)</f>
        <v>Moppo</v>
      </c>
    </row>
    <row r="19244" spans="1:6" ht="15.75" customHeight="1">
      <c r="A19244" s="8" t="str">
        <f ca="1">IFERROR(__xludf.DUMMYFUNCTION("GOOGLETRANSLATE(B36095,""en"",""pt"")"),"MOPPO")</f>
        <v>MOPPO</v>
      </c>
      <c r="B19244" s="11" t="s">
        <v>24117</v>
      </c>
      <c r="C19244" s="11" t="s">
        <v>24024</v>
      </c>
      <c r="D19244" s="11" t="s">
        <v>24035</v>
      </c>
      <c r="E19244" s="10">
        <v>1841066</v>
      </c>
      <c r="F19244" s="4" t="str">
        <f>IF(B19244=B19243,"",B19244)</f>
        <v/>
      </c>
    </row>
    <row r="19245" spans="1:6" ht="15.75" customHeight="1">
      <c r="A19245" s="16" t="s">
        <v>4109</v>
      </c>
      <c r="B19245" s="15" t="s">
        <v>4110</v>
      </c>
      <c r="C19245" s="16" t="s">
        <v>3975</v>
      </c>
      <c r="D19245" s="16" t="s">
        <v>4087</v>
      </c>
      <c r="E19245" s="2">
        <v>6078112</v>
      </c>
      <c r="F19245" s="4" t="str">
        <f>IF(B19245=B19244,"",B19245)</f>
        <v>Moose Jaw</v>
      </c>
    </row>
    <row r="19246" spans="1:6" ht="15.75" customHeight="1">
      <c r="A19246" s="8" t="str">
        <f ca="1">IFERROR(__xludf.DUMMYFUNCTION("GOOGLETRANSLATE(B25520,""en"",""pt"")"),"maxilar de alce")</f>
        <v>maxilar de alce</v>
      </c>
      <c r="B19246" s="11" t="s">
        <v>4110</v>
      </c>
      <c r="C19246" s="11" t="s">
        <v>3975</v>
      </c>
      <c r="D19246" s="11" t="s">
        <v>4087</v>
      </c>
      <c r="E19246" s="10">
        <v>6078112</v>
      </c>
      <c r="F19246" s="4" t="str">
        <f>IF(B19246=B19245,"",B19246)</f>
        <v/>
      </c>
    </row>
    <row r="19247" spans="1:6" ht="15.75" customHeight="1">
      <c r="A19247" s="16" t="s">
        <v>8861</v>
      </c>
      <c r="B19247" s="15" t="s">
        <v>8862</v>
      </c>
      <c r="C19247" s="16" t="s">
        <v>8028</v>
      </c>
      <c r="D19247" s="16" t="s">
        <v>8044</v>
      </c>
      <c r="E19247" s="2">
        <v>2869449</v>
      </c>
      <c r="F19247" s="4" t="str">
        <f>IF(B19247=B19246,"",B19247)</f>
        <v>Moosburg</v>
      </c>
    </row>
    <row r="19248" spans="1:6" ht="15.75" customHeight="1">
      <c r="A19248" s="8" t="str">
        <f ca="1">IFERROR(__xludf.DUMMYFUNCTION("GOOGLETRANSLATE(B27750,""en"",""pt"")"),"Moosburgo")</f>
        <v>Moosburgo</v>
      </c>
      <c r="B19248" s="9" t="s">
        <v>8862</v>
      </c>
      <c r="C19248" s="9" t="s">
        <v>8028</v>
      </c>
      <c r="D19248" s="9" t="s">
        <v>8044</v>
      </c>
      <c r="E19248" s="10">
        <v>2869449</v>
      </c>
      <c r="F19248" s="4" t="str">
        <f>IF(B19248=B19247,"",B19248)</f>
        <v/>
      </c>
    </row>
    <row r="19249" spans="1:6" ht="15.75" customHeight="1">
      <c r="A19249" s="16" t="s">
        <v>29340</v>
      </c>
      <c r="B19249" s="15" t="s">
        <v>29340</v>
      </c>
      <c r="C19249" s="16" t="s">
        <v>27788</v>
      </c>
      <c r="D19249" s="16" t="s">
        <v>27801</v>
      </c>
      <c r="E19249" s="2">
        <v>5374648</v>
      </c>
      <c r="F19249" s="4" t="str">
        <f>IF(B19249=B19248,"",B19249)</f>
        <v>Moorpark</v>
      </c>
    </row>
    <row r="19250" spans="1:6" ht="15.75" customHeight="1">
      <c r="A19250" s="8" t="str">
        <f ca="1">IFERROR(__xludf.DUMMYFUNCTION("GOOGLETRANSLATE(B44916,""en"",""pt"")"),"Moorpark")</f>
        <v>Moorpark</v>
      </c>
      <c r="B19250" s="9" t="s">
        <v>29340</v>
      </c>
      <c r="C19250" s="9" t="s">
        <v>27788</v>
      </c>
      <c r="D19250" s="9" t="s">
        <v>27801</v>
      </c>
      <c r="E19250" s="10">
        <v>5374648</v>
      </c>
      <c r="F19250" s="4" t="str">
        <f>IF(B19250=B19249,"",B19250)</f>
        <v/>
      </c>
    </row>
    <row r="19251" spans="1:6" ht="15.75" customHeight="1">
      <c r="A19251" s="16" t="s">
        <v>29339</v>
      </c>
      <c r="B19251" s="15" t="s">
        <v>29339</v>
      </c>
      <c r="C19251" s="16" t="s">
        <v>27788</v>
      </c>
      <c r="D19251" s="16" t="s">
        <v>27824</v>
      </c>
      <c r="E19251" s="2">
        <v>5038108</v>
      </c>
      <c r="F19251" s="4" t="str">
        <f>IF(B19251=B19250,"",B19251)</f>
        <v>Moorhead</v>
      </c>
    </row>
    <row r="19252" spans="1:6" ht="15.75" customHeight="1">
      <c r="A19252" s="8" t="str">
        <f ca="1">IFERROR(__xludf.DUMMYFUNCTION("GOOGLETRANSLATE(B44179,""en"",""pt"")"),"Moorhead")</f>
        <v>Moorhead</v>
      </c>
      <c r="B19252" s="9" t="s">
        <v>29339</v>
      </c>
      <c r="C19252" s="9" t="s">
        <v>27788</v>
      </c>
      <c r="D19252" s="9" t="s">
        <v>27824</v>
      </c>
      <c r="E19252" s="10">
        <v>5038108</v>
      </c>
      <c r="F19252" s="4" t="str">
        <f>IF(B19252=B19251,"",B19252)</f>
        <v/>
      </c>
    </row>
    <row r="19253" spans="1:6" ht="15.75" customHeight="1">
      <c r="A19253" s="16" t="s">
        <v>29338</v>
      </c>
      <c r="B19253" s="15" t="s">
        <v>29338</v>
      </c>
      <c r="C19253" s="16" t="s">
        <v>27788</v>
      </c>
      <c r="D19253" s="16" t="s">
        <v>27822</v>
      </c>
      <c r="E19253" s="2">
        <v>4480125</v>
      </c>
      <c r="F19253" s="4" t="str">
        <f>IF(B19253=B19252,"",B19253)</f>
        <v>Mooresville</v>
      </c>
    </row>
    <row r="19254" spans="1:6" ht="15.75" customHeight="1">
      <c r="A19254" s="8" t="str">
        <f ca="1">IFERROR(__xludf.DUMMYFUNCTION("GOOGLETRANSLATE(B43469,""en"",""pt"")"),"Mooresville")</f>
        <v>Mooresville</v>
      </c>
      <c r="B19254" s="11" t="s">
        <v>29338</v>
      </c>
      <c r="C19254" s="11" t="s">
        <v>27788</v>
      </c>
      <c r="D19254" s="11" t="s">
        <v>27822</v>
      </c>
      <c r="E19254" s="10">
        <v>4480125</v>
      </c>
      <c r="F19254" s="4" t="str">
        <f>IF(B19254=B19253,"",B19254)</f>
        <v/>
      </c>
    </row>
    <row r="19255" spans="1:6" ht="15.75" customHeight="1">
      <c r="A19255" s="15" t="s">
        <v>29337</v>
      </c>
      <c r="B19255" s="15" t="s">
        <v>29337</v>
      </c>
      <c r="C19255" s="15" t="s">
        <v>27788</v>
      </c>
      <c r="D19255" s="15" t="s">
        <v>27797</v>
      </c>
      <c r="E19255" s="2">
        <v>4542975</v>
      </c>
      <c r="F19255" s="4" t="str">
        <f>IF(B19255=B19254,"",B19255)</f>
        <v>Moore</v>
      </c>
    </row>
    <row r="19256" spans="1:6" ht="15.75" customHeight="1">
      <c r="A19256" s="8" t="str">
        <f ca="1">IFERROR(__xludf.DUMMYFUNCTION("GOOGLETRANSLATE(B43556,""en"",""pt"")"),"Moore")</f>
        <v>Moore</v>
      </c>
      <c r="B19256" s="9" t="s">
        <v>29337</v>
      </c>
      <c r="C19256" s="9" t="s">
        <v>27788</v>
      </c>
      <c r="D19256" s="9" t="s">
        <v>27797</v>
      </c>
      <c r="E19256" s="10">
        <v>4542975</v>
      </c>
      <c r="F19256" s="4" t="str">
        <f>IF(B19256=B19255,"",B19256)</f>
        <v/>
      </c>
    </row>
    <row r="19257" spans="1:6" ht="15.75" customHeight="1">
      <c r="A19257" s="15" t="s">
        <v>16244</v>
      </c>
      <c r="B19257" s="15" t="s">
        <v>16244</v>
      </c>
      <c r="C19257" s="15" t="s">
        <v>15704</v>
      </c>
      <c r="D19257" s="15" t="s">
        <v>15799</v>
      </c>
      <c r="E19257" s="2">
        <v>2111836</v>
      </c>
      <c r="F19257" s="4" t="str">
        <f>IF(B19257=B19256,"",B19257)</f>
        <v>Mooka</v>
      </c>
    </row>
    <row r="19258" spans="1:6" ht="15.75" customHeight="1">
      <c r="A19258" s="8" t="str">
        <f ca="1">IFERROR(__xludf.DUMMYFUNCTION("GOOGLETRANSLATE(B35763,""en"",""pt"")"),"Mooka")</f>
        <v>Mooka</v>
      </c>
      <c r="B19258" s="9" t="s">
        <v>16244</v>
      </c>
      <c r="C19258" s="9" t="s">
        <v>15704</v>
      </c>
      <c r="D19258" s="9" t="s">
        <v>15799</v>
      </c>
      <c r="E19258" s="10">
        <v>2111836</v>
      </c>
      <c r="F19258" s="4" t="str">
        <f>IF(B19258=B19257,"",B19258)</f>
        <v/>
      </c>
    </row>
    <row r="19259" spans="1:6" ht="15.75" customHeight="1">
      <c r="A19259" s="8" t="str">
        <f ca="1">IFERROR(__xludf.DUMMYFUNCTION("GOOGLETRANSLATE(B29348,""en"",""pt"")"),"Monzón")</f>
        <v>Monzón</v>
      </c>
      <c r="B19259" s="11" t="s">
        <v>32448</v>
      </c>
      <c r="C19259" s="11" t="s">
        <v>24200</v>
      </c>
      <c r="D19259" s="11" t="s">
        <v>24226</v>
      </c>
      <c r="E19259" s="10">
        <v>3116224</v>
      </c>
      <c r="F19259" s="4" t="str">
        <f>IF(B19259=B19258,"",B19259)</f>
        <v>Monzón</v>
      </c>
    </row>
    <row r="19260" spans="1:6" ht="15.75" customHeight="1">
      <c r="A19260" s="15" t="s">
        <v>31060</v>
      </c>
      <c r="B19260" s="15" t="s">
        <v>31060</v>
      </c>
      <c r="C19260" s="15" t="s">
        <v>31038</v>
      </c>
      <c r="D19260" s="15" t="s">
        <v>1884</v>
      </c>
      <c r="E19260" s="2">
        <v>906044</v>
      </c>
      <c r="F19260" s="4" t="str">
        <f>IF(B19260=B19259,"",B19260)</f>
        <v>Monze</v>
      </c>
    </row>
    <row r="19261" spans="1:6" ht="15.75" customHeight="1">
      <c r="A19261" s="8" t="str">
        <f ca="1">IFERROR(__xludf.DUMMYFUNCTION("GOOGLETRANSLATE(B46013,""en"",""pt"")"),"Monze")</f>
        <v>Monze</v>
      </c>
      <c r="B19261" s="11" t="s">
        <v>31060</v>
      </c>
      <c r="C19261" s="11" t="s">
        <v>31038</v>
      </c>
      <c r="D19261" s="11" t="s">
        <v>1884</v>
      </c>
      <c r="E19261" s="10">
        <v>906044</v>
      </c>
      <c r="F19261" s="4" t="str">
        <f>IF(B19261=B19260,"",B19261)</f>
        <v/>
      </c>
    </row>
    <row r="19262" spans="1:6" ht="15.75" customHeight="1">
      <c r="A19262" s="15" t="s">
        <v>24638</v>
      </c>
      <c r="B19262" s="15" t="s">
        <v>24639</v>
      </c>
      <c r="C19262" s="15" t="s">
        <v>24200</v>
      </c>
      <c r="D19262" s="15" t="s">
        <v>24226</v>
      </c>
      <c r="E19262" s="2">
        <v>3116224</v>
      </c>
      <c r="F19262" s="4" t="str">
        <f>IF(B19262=B19261,"",B19262)</f>
        <v>MonzÃ³n</v>
      </c>
    </row>
    <row r="19263" spans="1:6" ht="15.75" customHeight="1">
      <c r="A19263" s="15" t="s">
        <v>15300</v>
      </c>
      <c r="B19263" s="15" t="s">
        <v>15300</v>
      </c>
      <c r="C19263" s="15" t="s">
        <v>14891</v>
      </c>
      <c r="D19263" s="15" t="s">
        <v>14894</v>
      </c>
      <c r="E19263" s="2">
        <v>3172629</v>
      </c>
      <c r="F19263" s="4" t="str">
        <f>IF(B19263=B19262,"",B19263)</f>
        <v>Monza</v>
      </c>
    </row>
    <row r="19264" spans="1:6" ht="15.75" customHeight="1">
      <c r="A19264" s="8" t="str">
        <f ca="1">IFERROR(__xludf.DUMMYFUNCTION("GOOGLETRANSLATE(B34812,""en"",""pt"")"),"Monza")</f>
        <v>Monza</v>
      </c>
      <c r="B19264" s="11" t="s">
        <v>15300</v>
      </c>
      <c r="C19264" s="11" t="s">
        <v>14891</v>
      </c>
      <c r="D19264" s="11" t="s">
        <v>14894</v>
      </c>
      <c r="E19264" s="10">
        <v>3172629</v>
      </c>
      <c r="F19264" s="4" t="str">
        <f>IF(B19264=B19263,"",B19264)</f>
        <v/>
      </c>
    </row>
    <row r="19265" spans="1:6" ht="15.75" customHeight="1">
      <c r="A19265" s="15" t="s">
        <v>18733</v>
      </c>
      <c r="B19265" s="15" t="s">
        <v>18733</v>
      </c>
      <c r="C19265" s="15" t="s">
        <v>18696</v>
      </c>
      <c r="D19265" s="15" t="s">
        <v>18727</v>
      </c>
      <c r="E19265" s="2">
        <v>1308522</v>
      </c>
      <c r="F19265" s="4" t="str">
        <f>IF(B19265=B19264,"",B19265)</f>
        <v>Monywa</v>
      </c>
    </row>
    <row r="19266" spans="1:6" ht="15.75" customHeight="1">
      <c r="A19266" s="8" t="str">
        <f ca="1">IFERROR(__xludf.DUMMYFUNCTION("GOOGLETRANSLATE(B36734,""en"",""pt"")"),"Monywa")</f>
        <v>Monywa</v>
      </c>
      <c r="B19266" s="9" t="s">
        <v>18733</v>
      </c>
      <c r="C19266" s="9" t="s">
        <v>18696</v>
      </c>
      <c r="D19266" s="9" t="s">
        <v>18727</v>
      </c>
      <c r="E19266" s="10">
        <v>1308522</v>
      </c>
      <c r="F19266" s="4" t="str">
        <f>IF(B19266=B19265,"",B19266)</f>
        <v/>
      </c>
    </row>
    <row r="19267" spans="1:6" ht="15.75" customHeight="1">
      <c r="A19267" s="16" t="s">
        <v>4108</v>
      </c>
      <c r="B19267" s="15" t="s">
        <v>4108</v>
      </c>
      <c r="C19267" s="16" t="s">
        <v>3975</v>
      </c>
      <c r="D19267" s="16" t="s">
        <v>3982</v>
      </c>
      <c r="E19267" s="2">
        <v>6077340</v>
      </c>
      <c r="F19267" s="4" t="str">
        <f>IF(B19267=B19266,"",B19267)</f>
        <v>Mont-Saint-Hilaire</v>
      </c>
    </row>
    <row r="19268" spans="1:6" ht="15.75" customHeight="1">
      <c r="A19268" s="8" t="str">
        <f ca="1">IFERROR(__xludf.DUMMYFUNCTION("GOOGLETRANSLATE(B25519,""en"",""pt"")"),"Mont-Saint-Hilaire")</f>
        <v>Mont-Saint-Hilaire</v>
      </c>
      <c r="B19268" s="9" t="s">
        <v>4108</v>
      </c>
      <c r="C19268" s="9" t="s">
        <v>3975</v>
      </c>
      <c r="D19268" s="9" t="s">
        <v>3982</v>
      </c>
      <c r="E19268" s="10">
        <v>6077340</v>
      </c>
      <c r="F19268" s="4" t="str">
        <f>IF(B19268=B19267,"",B19268)</f>
        <v/>
      </c>
    </row>
    <row r="19269" spans="1:6" ht="15.75" customHeight="1">
      <c r="A19269" s="16" t="s">
        <v>7619</v>
      </c>
      <c r="B19269" s="15" t="s">
        <v>7620</v>
      </c>
      <c r="C19269" s="16" t="s">
        <v>7052</v>
      </c>
      <c r="D19269" s="16" t="s">
        <v>7068</v>
      </c>
      <c r="E19269" s="2">
        <v>2992003</v>
      </c>
      <c r="F19269" s="4" t="str">
        <f>IF(B19269=B19268,"",B19269)</f>
        <v>Mont-Saint-Aignan</v>
      </c>
    </row>
    <row r="19270" spans="1:6" ht="15.75" customHeight="1">
      <c r="A19270" s="8" t="str">
        <f ca="1">IFERROR(__xludf.DUMMYFUNCTION("GOOGLETRANSLATE(B29896,""en"",""pt"")"),"Mont-Saint-Reignan")</f>
        <v>Mont-Saint-Reignan</v>
      </c>
      <c r="B19270" s="9" t="s">
        <v>7620</v>
      </c>
      <c r="C19270" s="9" t="s">
        <v>7052</v>
      </c>
      <c r="D19270" s="9" t="s">
        <v>7068</v>
      </c>
      <c r="E19270" s="10">
        <v>2992003</v>
      </c>
      <c r="F19270" s="4" t="str">
        <f>IF(B19270=B19269,"",B19270)</f>
        <v/>
      </c>
    </row>
    <row r="19271" spans="1:6" ht="15.75" customHeight="1">
      <c r="A19271" s="16" t="s">
        <v>4107</v>
      </c>
      <c r="B19271" s="15" t="s">
        <v>4107</v>
      </c>
      <c r="C19271" s="16" t="s">
        <v>3975</v>
      </c>
      <c r="D19271" s="16" t="s">
        <v>3982</v>
      </c>
      <c r="E19271" s="2">
        <v>6077315</v>
      </c>
      <c r="F19271" s="4" t="str">
        <f>IF(B19271=B19270,"",B19271)</f>
        <v>Mont-Royal</v>
      </c>
    </row>
    <row r="19272" spans="1:6" ht="15.75" customHeight="1">
      <c r="A19272" s="8" t="str">
        <f ca="1">IFERROR(__xludf.DUMMYFUNCTION("GOOGLETRANSLATE(B25518,""en"",""pt"")"),"Mont-Royal")</f>
        <v>Mont-Royal</v>
      </c>
      <c r="B19272" s="9" t="s">
        <v>4107</v>
      </c>
      <c r="C19272" s="9" t="s">
        <v>3975</v>
      </c>
      <c r="D19272" s="9" t="s">
        <v>3982</v>
      </c>
      <c r="E19272" s="10">
        <v>6077315</v>
      </c>
      <c r="F19272" s="4" t="str">
        <f>IF(B19272=B19271,"",B19272)</f>
        <v/>
      </c>
    </row>
    <row r="19273" spans="1:6" ht="15.75" customHeight="1">
      <c r="A19273" s="16" t="s">
        <v>7618</v>
      </c>
      <c r="B19273" s="15" t="s">
        <v>7618</v>
      </c>
      <c r="C19273" s="16" t="s">
        <v>7052</v>
      </c>
      <c r="D19273" s="16" t="s">
        <v>7058</v>
      </c>
      <c r="E19273" s="2">
        <v>2992017</v>
      </c>
      <c r="F19273" s="4" t="str">
        <f>IF(B19273=B19272,"",B19273)</f>
        <v>Montrouge</v>
      </c>
    </row>
    <row r="19274" spans="1:6" ht="15.75" customHeight="1">
      <c r="A19274" s="8" t="str">
        <f ca="1">IFERROR(__xludf.DUMMYFUNCTION("GOOGLETRANSLATE(B29897,""en"",""pt"")"),"Montrouge")</f>
        <v>Montrouge</v>
      </c>
      <c r="B19274" s="9" t="s">
        <v>7618</v>
      </c>
      <c r="C19274" s="9" t="s">
        <v>7052</v>
      </c>
      <c r="D19274" s="9" t="s">
        <v>32531</v>
      </c>
      <c r="E19274" s="10">
        <v>2992017</v>
      </c>
      <c r="F19274" s="4" t="str">
        <f>IF(B19274=B19273,"",B19274)</f>
        <v/>
      </c>
    </row>
    <row r="19275" spans="1:6" ht="15.75" customHeight="1">
      <c r="A19275" s="15" t="s">
        <v>29336</v>
      </c>
      <c r="B19275" s="15" t="s">
        <v>29336</v>
      </c>
      <c r="C19275" s="15" t="s">
        <v>27788</v>
      </c>
      <c r="D19275" s="15" t="s">
        <v>2341</v>
      </c>
      <c r="E19275" s="2">
        <v>5431710</v>
      </c>
      <c r="F19275" s="4" t="str">
        <f>IF(B19275=B19274,"",B19275)</f>
        <v>Montrose</v>
      </c>
    </row>
    <row r="19276" spans="1:6" ht="15.75" customHeight="1">
      <c r="A19276" s="8" t="str">
        <f ca="1">IFERROR(__xludf.DUMMYFUNCTION("GOOGLETRANSLATE(B45113,""en"",""pt"")"),"Montrose")</f>
        <v>Montrose</v>
      </c>
      <c r="B19276" s="9" t="s">
        <v>29336</v>
      </c>
      <c r="C19276" s="9" t="s">
        <v>27788</v>
      </c>
      <c r="D19276" s="9" t="s">
        <v>2341</v>
      </c>
      <c r="E19276" s="10">
        <v>5431710</v>
      </c>
      <c r="F19276" s="4" t="str">
        <f>IF(B19276=B19275,"",B19276)</f>
        <v/>
      </c>
    </row>
    <row r="19277" spans="1:6" ht="15.75" customHeight="1">
      <c r="A19277" s="16" t="s">
        <v>25294</v>
      </c>
      <c r="B19277" s="15" t="s">
        <v>25294</v>
      </c>
      <c r="C19277" s="16" t="s">
        <v>25237</v>
      </c>
      <c r="D19277" s="16" t="s">
        <v>25284</v>
      </c>
      <c r="E19277" s="2">
        <v>2659601</v>
      </c>
      <c r="F19277" s="4" t="str">
        <f>IF(B19277=B19276,"",B19277)</f>
        <v>Montreux</v>
      </c>
    </row>
    <row r="19278" spans="1:6" ht="15.75" customHeight="1">
      <c r="A19278" s="8" t="str">
        <f ca="1">IFERROR(__xludf.DUMMYFUNCTION("GOOGLETRANSLATE(B25767,""en"",""pt"")"),"Montreux")</f>
        <v>Montreux</v>
      </c>
      <c r="B19278" s="9" t="s">
        <v>25294</v>
      </c>
      <c r="C19278" s="9" t="s">
        <v>25237</v>
      </c>
      <c r="D19278" s="9" t="s">
        <v>25284</v>
      </c>
      <c r="E19278" s="10">
        <v>2659601</v>
      </c>
      <c r="F19278" s="4" t="str">
        <f>IF(B19278=B19277,"",B19278)</f>
        <v/>
      </c>
    </row>
    <row r="19279" spans="1:6" ht="15.75" customHeight="1">
      <c r="A19279" s="16" t="s">
        <v>7617</v>
      </c>
      <c r="B19279" s="15" t="s">
        <v>7617</v>
      </c>
      <c r="C19279" s="16" t="s">
        <v>7052</v>
      </c>
      <c r="D19279" s="16" t="s">
        <v>7058</v>
      </c>
      <c r="E19279" s="2">
        <v>2992090</v>
      </c>
      <c r="F19279" s="4" t="str">
        <f>IF(B19279=B19278,"",B19279)</f>
        <v>Montreuil</v>
      </c>
    </row>
    <row r="19280" spans="1:6" ht="15.75" customHeight="1">
      <c r="A19280" s="8" t="str">
        <f ca="1">IFERROR(__xludf.DUMMYFUNCTION("GOOGLETRANSLATE(B29898,""en"",""pt"")"),"Montreuil")</f>
        <v>Montreuil</v>
      </c>
      <c r="B19280" s="9" t="s">
        <v>7617</v>
      </c>
      <c r="C19280" s="9" t="s">
        <v>7052</v>
      </c>
      <c r="D19280" s="9" t="s">
        <v>32531</v>
      </c>
      <c r="E19280" s="10">
        <v>2992090</v>
      </c>
      <c r="F19280" s="4" t="str">
        <f>IF(B19280=B19279,"",B19280)</f>
        <v/>
      </c>
    </row>
    <row r="19281" spans="1:6" ht="15.75" customHeight="1">
      <c r="A19281" s="8" t="str">
        <f ca="1">IFERROR(__xludf.DUMMYFUNCTION("GOOGLETRANSLATE(B25517,""en"",""pt"")"),"Montreal")</f>
        <v>Montreal</v>
      </c>
      <c r="B19281" s="11" t="s">
        <v>31754</v>
      </c>
      <c r="C19281" s="11" t="s">
        <v>3975</v>
      </c>
      <c r="D19281" s="11" t="s">
        <v>3982</v>
      </c>
      <c r="E19281" s="10">
        <v>6077243</v>
      </c>
      <c r="F19281" s="4" t="str">
        <f>IF(B19281=B19280,"",B19281)</f>
        <v>Montréal</v>
      </c>
    </row>
    <row r="19282" spans="1:6" ht="15.75" customHeight="1">
      <c r="A19282" s="16" t="s">
        <v>4105</v>
      </c>
      <c r="B19282" s="15" t="s">
        <v>4106</v>
      </c>
      <c r="C19282" s="16" t="s">
        <v>3975</v>
      </c>
      <c r="D19282" s="16" t="s">
        <v>3982</v>
      </c>
      <c r="E19282" s="2">
        <v>6077243</v>
      </c>
      <c r="F19282" s="4" t="str">
        <f>IF(B19282=B19281,"",B19282)</f>
        <v>MontrÃ©al</v>
      </c>
    </row>
    <row r="19283" spans="1:6" ht="15.75" customHeight="1">
      <c r="A19283" s="16" t="s">
        <v>7616</v>
      </c>
      <c r="B19283" s="15" t="s">
        <v>7616</v>
      </c>
      <c r="C19283" s="16" t="s">
        <v>7052</v>
      </c>
      <c r="D19283" s="16" t="s">
        <v>7082</v>
      </c>
      <c r="E19283" s="2">
        <v>2992166</v>
      </c>
      <c r="F19283" s="4" t="str">
        <f>IF(B19283=B19282,"",B19283)</f>
        <v>Montpellier</v>
      </c>
    </row>
    <row r="19284" spans="1:6" ht="15.75" customHeight="1">
      <c r="A19284" s="8" t="str">
        <f ca="1">IFERROR(__xludf.DUMMYFUNCTION("GOOGLETRANSLATE(B29899,""en"",""pt"")"),"Montpellier")</f>
        <v>Montpellier</v>
      </c>
      <c r="B19284" s="9" t="s">
        <v>7616</v>
      </c>
      <c r="C19284" s="9" t="s">
        <v>7052</v>
      </c>
      <c r="D19284" s="9" t="s">
        <v>32547</v>
      </c>
      <c r="E19284" s="10">
        <v>2992166</v>
      </c>
      <c r="F19284" s="4" t="str">
        <f>IF(B19284=B19283,"",B19284)</f>
        <v/>
      </c>
    </row>
    <row r="19285" spans="1:6" ht="15.75" customHeight="1">
      <c r="A19285" s="8" t="str">
        <f ca="1">IFERROR(__xludf.DUMMYFUNCTION("GOOGLETRANSLATE(B29349,""en"",""pt"")"),"Montornès del Vallès")</f>
        <v>Montornès del Vallès</v>
      </c>
      <c r="B19285" s="11" t="s">
        <v>32449</v>
      </c>
      <c r="C19285" s="11" t="s">
        <v>24200</v>
      </c>
      <c r="D19285" s="11" t="s">
        <v>24277</v>
      </c>
      <c r="E19285" s="10">
        <v>3116262</v>
      </c>
      <c r="F19285" s="4" t="str">
        <f>IF(B19285=B19284,"",B19285)</f>
        <v>Montornès del Vallès</v>
      </c>
    </row>
    <row r="19286" spans="1:6" ht="15.75" customHeight="1">
      <c r="A19286" s="16" t="s">
        <v>24636</v>
      </c>
      <c r="B19286" s="15" t="s">
        <v>24637</v>
      </c>
      <c r="C19286" s="16" t="s">
        <v>24200</v>
      </c>
      <c r="D19286" s="16" t="s">
        <v>24277</v>
      </c>
      <c r="E19286" s="2">
        <v>3116262</v>
      </c>
      <c r="F19286" s="4" t="str">
        <f>IF(B19286=B19285,"",B19286)</f>
        <v>MontornÃ¨s del VallÃ¨s</v>
      </c>
    </row>
    <row r="19287" spans="1:6" ht="15.75" customHeight="1">
      <c r="A19287" s="16" t="s">
        <v>7615</v>
      </c>
      <c r="B19287" s="15" t="s">
        <v>7615</v>
      </c>
      <c r="C19287" s="16" t="s">
        <v>7052</v>
      </c>
      <c r="D19287" s="16" t="s">
        <v>7058</v>
      </c>
      <c r="E19287" s="2">
        <v>2992229</v>
      </c>
      <c r="F19287" s="4" t="str">
        <f>IF(B19287=B19286,"",B19287)</f>
        <v>Montmorency</v>
      </c>
    </row>
    <row r="19288" spans="1:6" ht="15.75" customHeight="1">
      <c r="A19288" s="8" t="str">
        <f ca="1">IFERROR(__xludf.DUMMYFUNCTION("GOOGLETRANSLATE(B29900,""en"",""pt"")"),"Montmorency")</f>
        <v>Montmorency</v>
      </c>
      <c r="B19288" s="9" t="s">
        <v>7615</v>
      </c>
      <c r="C19288" s="9" t="s">
        <v>7052</v>
      </c>
      <c r="D19288" s="9" t="s">
        <v>32531</v>
      </c>
      <c r="E19288" s="10">
        <v>2992229</v>
      </c>
      <c r="F19288" s="4" t="str">
        <f>IF(B19288=B19287,"",B19288)</f>
        <v/>
      </c>
    </row>
    <row r="19289" spans="1:6" ht="15.75" customHeight="1">
      <c r="A19289" s="8" t="str">
        <f ca="1">IFERROR(__xludf.DUMMYFUNCTION("GOOGLETRANSLATE(B29901,""en"",""pt"")"),"Montluçon")</f>
        <v>Montluçon</v>
      </c>
      <c r="B19289" s="11" t="s">
        <v>32573</v>
      </c>
      <c r="C19289" s="11" t="s">
        <v>7052</v>
      </c>
      <c r="D19289" s="11" t="s">
        <v>32532</v>
      </c>
      <c r="E19289" s="10">
        <v>2992292</v>
      </c>
      <c r="F19289" s="4" t="str">
        <f>IF(B19289=B19288,"",B19289)</f>
        <v>Montluçon</v>
      </c>
    </row>
    <row r="19290" spans="1:6" ht="15.75" customHeight="1">
      <c r="A19290" s="15" t="s">
        <v>7613</v>
      </c>
      <c r="B19290" s="15" t="s">
        <v>7614</v>
      </c>
      <c r="C19290" s="15" t="s">
        <v>7052</v>
      </c>
      <c r="D19290" s="15" t="s">
        <v>7053</v>
      </c>
      <c r="E19290" s="2">
        <v>2992292</v>
      </c>
      <c r="F19290" s="4" t="str">
        <f>IF(B19290=B19289,"",B19290)</f>
        <v>MontluÃ§on</v>
      </c>
    </row>
    <row r="19291" spans="1:6" ht="15.75" customHeight="1">
      <c r="A19291" s="16" t="s">
        <v>7612</v>
      </c>
      <c r="B19291" s="15" t="s">
        <v>7612</v>
      </c>
      <c r="C19291" s="16" t="s">
        <v>7052</v>
      </c>
      <c r="D19291" s="16" t="s">
        <v>7068</v>
      </c>
      <c r="E19291" s="2">
        <v>2992367</v>
      </c>
      <c r="F19291" s="4" t="str">
        <f>IF(B19291=B19290,"",B19291)</f>
        <v>Montivilliers</v>
      </c>
    </row>
    <row r="19292" spans="1:6" ht="15.75" customHeight="1">
      <c r="A19292" s="8" t="str">
        <f ca="1">IFERROR(__xludf.DUMMYFUNCTION("GOOGLETRANSLATE(B29902,""en"",""pt"")"),"Montivilliers")</f>
        <v>Montivilliers</v>
      </c>
      <c r="B19292" s="9" t="s">
        <v>7612</v>
      </c>
      <c r="C19292" s="9" t="s">
        <v>7052</v>
      </c>
      <c r="D19292" s="9" t="s">
        <v>7068</v>
      </c>
      <c r="E19292" s="10">
        <v>2992367</v>
      </c>
      <c r="F19292" s="4" t="str">
        <f>IF(B19292=B19291,"",B19292)</f>
        <v/>
      </c>
    </row>
    <row r="19293" spans="1:6" ht="15.75" customHeight="1">
      <c r="A19293" s="15" t="s">
        <v>24635</v>
      </c>
      <c r="B19293" s="15" t="s">
        <v>24635</v>
      </c>
      <c r="C19293" s="15" t="s">
        <v>24200</v>
      </c>
      <c r="D19293" s="15" t="s">
        <v>24205</v>
      </c>
      <c r="E19293" s="2">
        <v>2513601</v>
      </c>
      <c r="F19293" s="4" t="str">
        <f>IF(B19293=B19292,"",B19293)</f>
        <v>Montilla</v>
      </c>
    </row>
    <row r="19294" spans="1:6" ht="15.75" customHeight="1">
      <c r="A19294" s="8" t="str">
        <f ca="1">IFERROR(__xludf.DUMMYFUNCTION("GOOGLETRANSLATE(B29047,""en"",""pt"")"),"Montilla")</f>
        <v>Montilla</v>
      </c>
      <c r="B19294" s="11" t="s">
        <v>24635</v>
      </c>
      <c r="C19294" s="11" t="s">
        <v>24200</v>
      </c>
      <c r="D19294" s="11" t="s">
        <v>24205</v>
      </c>
      <c r="E19294" s="10">
        <v>2513601</v>
      </c>
      <c r="F19294" s="4" t="str">
        <f>IF(B19294=B19293,"",B19294)</f>
        <v/>
      </c>
    </row>
    <row r="19295" spans="1:6" ht="15.75" customHeight="1">
      <c r="A19295" s="15" t="s">
        <v>21691</v>
      </c>
      <c r="B19295" s="15" t="s">
        <v>21691</v>
      </c>
      <c r="C19295" s="15" t="s">
        <v>21606</v>
      </c>
      <c r="D19295" s="15" t="s">
        <v>21620</v>
      </c>
      <c r="E19295" s="2">
        <v>2265788</v>
      </c>
      <c r="F19295" s="4" t="str">
        <f>IF(B19295=B19294,"",B19295)</f>
        <v>Montijo</v>
      </c>
    </row>
    <row r="19296" spans="1:6" ht="15.75" customHeight="1">
      <c r="A19296" s="15" t="s">
        <v>21691</v>
      </c>
      <c r="B19296" s="15" t="s">
        <v>21691</v>
      </c>
      <c r="C19296" s="15" t="s">
        <v>24200</v>
      </c>
      <c r="D19296" s="15" t="s">
        <v>24262</v>
      </c>
      <c r="E19296" s="2">
        <v>2513604</v>
      </c>
      <c r="F19296" s="4" t="str">
        <f>IF(B19296=B19295,"",B19296)</f>
        <v/>
      </c>
    </row>
    <row r="19297" spans="1:6" ht="15.75" customHeight="1">
      <c r="A19297" s="8" t="str">
        <f ca="1">IFERROR(__xludf.DUMMYFUNCTION("GOOGLETRANSLATE(B29048,""en"",""pt"")"),"Montijo")</f>
        <v>Montijo</v>
      </c>
      <c r="B19297" s="9" t="s">
        <v>21691</v>
      </c>
      <c r="C19297" s="9" t="s">
        <v>24200</v>
      </c>
      <c r="D19297" s="9" t="s">
        <v>24262</v>
      </c>
      <c r="E19297" s="10">
        <v>2513604</v>
      </c>
      <c r="F19297" s="4" t="str">
        <f>IF(B19297=B19296,"",B19297)</f>
        <v/>
      </c>
    </row>
    <row r="19298" spans="1:6" ht="15.75" customHeight="1">
      <c r="A19298" s="8" t="str">
        <f ca="1">IFERROR(__xludf.DUMMYFUNCTION("GOOGLETRANSLATE(B39593,""en"",""pt"")"),"Montijo")</f>
        <v>Montijo</v>
      </c>
      <c r="B19298" s="11" t="s">
        <v>21691</v>
      </c>
      <c r="C19298" s="11" t="s">
        <v>21606</v>
      </c>
      <c r="D19298" s="11" t="s">
        <v>35287</v>
      </c>
      <c r="E19298" s="10">
        <v>2265788</v>
      </c>
      <c r="F19298" s="4" t="str">
        <f>IF(B19298=B19297,"",B19298)</f>
        <v/>
      </c>
    </row>
    <row r="19299" spans="1:6" ht="15.75" customHeight="1">
      <c r="A19299" s="8" t="str">
        <f ca="1">IFERROR(__xludf.DUMMYFUNCTION("GOOGLETRANSLATE(B29903,""en"",""pt"")"),"Montigny-Lès-Metz")</f>
        <v>Montigny-Lès-Metz</v>
      </c>
      <c r="B19299" s="9" t="s">
        <v>32574</v>
      </c>
      <c r="C19299" s="9" t="s">
        <v>7052</v>
      </c>
      <c r="D19299" s="9" t="s">
        <v>7061</v>
      </c>
      <c r="E19299" s="10">
        <v>2992402</v>
      </c>
      <c r="F19299" s="4" t="str">
        <f>IF(B19299=B19298,"",B19299)</f>
        <v>Montigny-lès-Metz</v>
      </c>
    </row>
    <row r="19300" spans="1:6" ht="15.75" customHeight="1">
      <c r="A19300" s="8" t="str">
        <f ca="1">IFERROR(__xludf.DUMMYFUNCTION("GOOGLETRANSLATE(B29904,""en"",""pt"")"),"Montigny-Lès-Cormeilles")</f>
        <v>Montigny-Lès-Cormeilles</v>
      </c>
      <c r="B19300" s="9" t="s">
        <v>32575</v>
      </c>
      <c r="C19300" s="9" t="s">
        <v>7052</v>
      </c>
      <c r="D19300" s="9" t="s">
        <v>32531</v>
      </c>
      <c r="E19300" s="10">
        <v>2992404</v>
      </c>
      <c r="F19300" s="4" t="str">
        <f>IF(B19300=B19299,"",B19300)</f>
        <v>Montigny-lès-Cormeilles</v>
      </c>
    </row>
    <row r="19301" spans="1:6" ht="15.75" customHeight="1">
      <c r="A19301" s="16" t="s">
        <v>7611</v>
      </c>
      <c r="B19301" s="15" t="s">
        <v>7611</v>
      </c>
      <c r="C19301" s="16" t="s">
        <v>7052</v>
      </c>
      <c r="D19301" s="16" t="s">
        <v>7058</v>
      </c>
      <c r="E19301" s="2">
        <v>2992415</v>
      </c>
      <c r="F19301" s="4" t="str">
        <f>IF(B19301=B19300,"",B19301)</f>
        <v>Montigny-le-Bretonneux</v>
      </c>
    </row>
    <row r="19302" spans="1:6" ht="15.75" customHeight="1">
      <c r="A19302" s="8" t="str">
        <f ca="1">IFERROR(__xludf.DUMMYFUNCTION("GOOGLETRANSLATE(B29905,""en"",""pt"")"),"Montigny-le-Bretonneux")</f>
        <v>Montigny-le-Bretonneux</v>
      </c>
      <c r="B19302" s="9" t="s">
        <v>7611</v>
      </c>
      <c r="C19302" s="9" t="s">
        <v>7052</v>
      </c>
      <c r="D19302" s="9" t="s">
        <v>32531</v>
      </c>
      <c r="E19302" s="10">
        <v>2992415</v>
      </c>
      <c r="F19302" s="4" t="str">
        <f>IF(B19302=B19301,"",B19302)</f>
        <v/>
      </c>
    </row>
    <row r="19303" spans="1:6" ht="15.75" customHeight="1">
      <c r="A19303" s="16" t="s">
        <v>7609</v>
      </c>
      <c r="B19303" s="15" t="s">
        <v>7610</v>
      </c>
      <c r="C19303" s="16" t="s">
        <v>7052</v>
      </c>
      <c r="D19303" s="16" t="s">
        <v>7061</v>
      </c>
      <c r="E19303" s="2">
        <v>2992402</v>
      </c>
      <c r="F19303" s="4" t="str">
        <f>IF(B19303=B19302,"",B19303)</f>
        <v>Montigny-lÃ¨s-Metz</v>
      </c>
    </row>
    <row r="19304" spans="1:6" ht="15.75" customHeight="1">
      <c r="A19304" s="16" t="s">
        <v>7607</v>
      </c>
      <c r="B19304" s="15" t="s">
        <v>7608</v>
      </c>
      <c r="C19304" s="16" t="s">
        <v>7052</v>
      </c>
      <c r="D19304" s="16" t="s">
        <v>7058</v>
      </c>
      <c r="E19304" s="2">
        <v>2992404</v>
      </c>
      <c r="F19304" s="4" t="str">
        <f>IF(B19304=B19303,"",B19304)</f>
        <v>Montigny-lÃ¨s-Cormeilles</v>
      </c>
    </row>
    <row r="19305" spans="1:6" ht="15.75" customHeight="1">
      <c r="A19305" s="16" t="s">
        <v>15299</v>
      </c>
      <c r="B19305" s="15" t="s">
        <v>15299</v>
      </c>
      <c r="C19305" s="16" t="s">
        <v>14891</v>
      </c>
      <c r="D19305" s="16" t="s">
        <v>14894</v>
      </c>
      <c r="E19305" s="2">
        <v>3172681</v>
      </c>
      <c r="F19305" s="4" t="str">
        <f>IF(B19305=B19304,"",B19305)</f>
        <v>Montichiari</v>
      </c>
    </row>
    <row r="19306" spans="1:6" ht="15.75" customHeight="1">
      <c r="A19306" s="8" t="str">
        <f ca="1">IFERROR(__xludf.DUMMYFUNCTION("GOOGLETRANSLATE(B34813,""en"",""pt"")"),"Montichiari")</f>
        <v>Montichiari</v>
      </c>
      <c r="B19306" s="9" t="s">
        <v>15299</v>
      </c>
      <c r="C19306" s="9" t="s">
        <v>14891</v>
      </c>
      <c r="D19306" s="9" t="s">
        <v>14894</v>
      </c>
      <c r="E19306" s="10">
        <v>3172681</v>
      </c>
      <c r="F19306" s="4" t="str">
        <f>IF(B19306=B19305,"",B19306)</f>
        <v/>
      </c>
    </row>
    <row r="19307" spans="1:6" ht="15.75" customHeight="1">
      <c r="A19307" s="15" t="s">
        <v>25292</v>
      </c>
      <c r="B19307" s="15" t="s">
        <v>25292</v>
      </c>
      <c r="C19307" s="15" t="s">
        <v>25237</v>
      </c>
      <c r="D19307" s="15" t="s">
        <v>25293</v>
      </c>
      <c r="E19307" s="2">
        <v>2659613</v>
      </c>
      <c r="F19307" s="4" t="str">
        <f>IF(B19307=B19306,"",B19307)</f>
        <v>Monthey</v>
      </c>
    </row>
    <row r="19308" spans="1:6" ht="15.75" customHeight="1">
      <c r="A19308" s="8" t="str">
        <f ca="1">IFERROR(__xludf.DUMMYFUNCTION("GOOGLETRANSLATE(B25768,""en"",""pt"")"),"Monthey")</f>
        <v>Monthey</v>
      </c>
      <c r="B19308" s="9" t="s">
        <v>25292</v>
      </c>
      <c r="C19308" s="9" t="s">
        <v>25237</v>
      </c>
      <c r="D19308" s="9" t="s">
        <v>25293</v>
      </c>
      <c r="E19308" s="10">
        <v>2659613</v>
      </c>
      <c r="F19308" s="4" t="str">
        <f>IF(B19308=B19307,"",B19308)</f>
        <v/>
      </c>
    </row>
    <row r="19309" spans="1:6" ht="15.75" customHeight="1">
      <c r="A19309" s="16" t="s">
        <v>29335</v>
      </c>
      <c r="B19309" s="15" t="s">
        <v>29335</v>
      </c>
      <c r="C19309" s="16" t="s">
        <v>27788</v>
      </c>
      <c r="D19309" s="16" t="s">
        <v>17061</v>
      </c>
      <c r="E19309" s="2">
        <v>4362743</v>
      </c>
      <c r="F19309" s="4" t="str">
        <f>IF(B19309=B19308,"",B19309)</f>
        <v>Montgomery Village</v>
      </c>
    </row>
    <row r="19310" spans="1:6" ht="15.75" customHeight="1">
      <c r="A19310" s="8" t="str">
        <f ca="1">IFERROR(__xludf.DUMMYFUNCTION("GOOGLETRANSLATE(B43309,""en"",""pt"")"),"Montgomery Village")</f>
        <v>Montgomery Village</v>
      </c>
      <c r="B19310" s="9" t="s">
        <v>29335</v>
      </c>
      <c r="C19310" s="9" t="s">
        <v>27788</v>
      </c>
      <c r="D19310" s="9" t="s">
        <v>17061</v>
      </c>
      <c r="E19310" s="10">
        <v>4362743</v>
      </c>
      <c r="F19310" s="4" t="str">
        <f>IF(B19310=B19309,"",B19310)</f>
        <v/>
      </c>
    </row>
    <row r="19311" spans="1:6" ht="15.75" customHeight="1">
      <c r="A19311" s="16" t="s">
        <v>29334</v>
      </c>
      <c r="B19311" s="15" t="s">
        <v>29334</v>
      </c>
      <c r="C19311" s="16" t="s">
        <v>27788</v>
      </c>
      <c r="D19311" s="16" t="s">
        <v>28023</v>
      </c>
      <c r="E19311" s="2">
        <v>4076784</v>
      </c>
      <c r="F19311" s="4" t="str">
        <f>IF(B19311=B19310,"",B19311)</f>
        <v>Montgomery</v>
      </c>
    </row>
    <row r="19312" spans="1:6" ht="15.75" customHeight="1">
      <c r="A19312" s="16" t="s">
        <v>29334</v>
      </c>
      <c r="B19312" s="15" t="s">
        <v>29334</v>
      </c>
      <c r="C19312" s="16" t="s">
        <v>27788</v>
      </c>
      <c r="D19312" s="16" t="s">
        <v>27799</v>
      </c>
      <c r="E19312" s="2">
        <v>4902559</v>
      </c>
      <c r="F19312" s="4" t="str">
        <f>IF(B19312=B19311,"",B19312)</f>
        <v/>
      </c>
    </row>
    <row r="19313" spans="1:6" ht="15.75" customHeight="1">
      <c r="A19313" s="8" t="str">
        <f ca="1">IFERROR(__xludf.DUMMYFUNCTION("GOOGLETRANSLATE(B42790,""en"",""pt"")"),"Montgomery")</f>
        <v>Montgomery</v>
      </c>
      <c r="B19313" s="11" t="s">
        <v>29334</v>
      </c>
      <c r="C19313" s="11" t="s">
        <v>27788</v>
      </c>
      <c r="D19313" s="11" t="s">
        <v>28023</v>
      </c>
      <c r="E19313" s="10">
        <v>4076784</v>
      </c>
      <c r="F19313" s="4" t="str">
        <f>IF(B19313=B19312,"",B19313)</f>
        <v/>
      </c>
    </row>
    <row r="19314" spans="1:6" ht="15.75" customHeight="1">
      <c r="A19314" s="8" t="str">
        <f ca="1">IFERROR(__xludf.DUMMYFUNCTION("GOOGLETRANSLATE(B43847,""en"",""pt"")"),"Montgomery")</f>
        <v>Montgomery</v>
      </c>
      <c r="B19314" s="9" t="s">
        <v>29334</v>
      </c>
      <c r="C19314" s="9" t="s">
        <v>27788</v>
      </c>
      <c r="D19314" s="9" t="s">
        <v>27799</v>
      </c>
      <c r="E19314" s="10">
        <v>4902559</v>
      </c>
      <c r="F19314" s="4" t="str">
        <f>IF(B19314=B19313,"",B19314)</f>
        <v/>
      </c>
    </row>
    <row r="19315" spans="1:6" ht="15.75" customHeight="1">
      <c r="A19315" s="16" t="s">
        <v>7606</v>
      </c>
      <c r="B19315" s="15" t="s">
        <v>7606</v>
      </c>
      <c r="C19315" s="16" t="s">
        <v>7052</v>
      </c>
      <c r="D19315" s="16" t="s">
        <v>7058</v>
      </c>
      <c r="E19315" s="2">
        <v>2992536</v>
      </c>
      <c r="F19315" s="4" t="str">
        <f>IF(B19315=B19314,"",B19315)</f>
        <v>Montgeron</v>
      </c>
    </row>
    <row r="19316" spans="1:6" ht="15.75" customHeight="1">
      <c r="A19316" s="8" t="str">
        <f ca="1">IFERROR(__xludf.DUMMYFUNCTION("GOOGLETRANSLATE(B29906,""en"",""pt"")"),"Montgeron")</f>
        <v>Montgeron</v>
      </c>
      <c r="B19316" s="9" t="s">
        <v>7606</v>
      </c>
      <c r="C19316" s="9" t="s">
        <v>7052</v>
      </c>
      <c r="D19316" s="9" t="s">
        <v>32531</v>
      </c>
      <c r="E19316" s="10">
        <v>2992536</v>
      </c>
      <c r="F19316" s="4" t="str">
        <f>IF(B19316=B19315,"",B19316)</f>
        <v/>
      </c>
    </row>
    <row r="19317" spans="1:6" ht="15.75" customHeight="1">
      <c r="A19317" s="16" t="s">
        <v>7605</v>
      </c>
      <c r="B19317" s="15" t="s">
        <v>7605</v>
      </c>
      <c r="C19317" s="16" t="s">
        <v>7052</v>
      </c>
      <c r="D19317" s="16" t="s">
        <v>7058</v>
      </c>
      <c r="E19317" s="2">
        <v>2992616</v>
      </c>
      <c r="F19317" s="4" t="str">
        <f>IF(B19317=B19316,"",B19317)</f>
        <v>Montfermeil</v>
      </c>
    </row>
    <row r="19318" spans="1:6" ht="15.75" customHeight="1">
      <c r="A19318" s="8" t="str">
        <f ca="1">IFERROR(__xludf.DUMMYFUNCTION("GOOGLETRANSLATE(B29907,""en"",""pt"")"),"Montfermeil")</f>
        <v>Montfermeil</v>
      </c>
      <c r="B19318" s="9" t="s">
        <v>7605</v>
      </c>
      <c r="C19318" s="9" t="s">
        <v>7052</v>
      </c>
      <c r="D19318" s="9" t="s">
        <v>32531</v>
      </c>
      <c r="E19318" s="10">
        <v>2992616</v>
      </c>
      <c r="F19318" s="4" t="str">
        <f>IF(B19318=B19317,"",B19318)</f>
        <v/>
      </c>
    </row>
    <row r="19319" spans="1:6" ht="15.75" customHeight="1">
      <c r="A19319" s="16" t="s">
        <v>30486</v>
      </c>
      <c r="B19319" s="15" t="s">
        <v>30487</v>
      </c>
      <c r="C19319" s="16" t="s">
        <v>30472</v>
      </c>
      <c r="D19319" s="16" t="s">
        <v>30487</v>
      </c>
      <c r="E19319" s="2">
        <v>3441575</v>
      </c>
      <c r="F19319" s="4" t="str">
        <f>IF(B19319=B19318,"",B19319)</f>
        <v>Montevideo</v>
      </c>
    </row>
    <row r="19320" spans="1:6" ht="15.75" customHeight="1">
      <c r="A19320" s="8" t="str">
        <f ca="1">IFERROR(__xludf.DUMMYFUNCTION("GOOGLETRANSLATE(B45484,""en"",""pt"")"),"Montevidideo")</f>
        <v>Montevidideo</v>
      </c>
      <c r="B19320" s="9" t="s">
        <v>30487</v>
      </c>
      <c r="C19320" s="9" t="s">
        <v>30472</v>
      </c>
      <c r="D19320" s="9" t="s">
        <v>30487</v>
      </c>
      <c r="E19320" s="10">
        <v>3441575</v>
      </c>
      <c r="F19320" s="4" t="str">
        <f>IF(B19320=B19319,"",B19320)</f>
        <v/>
      </c>
    </row>
    <row r="19321" spans="1:6" ht="15.75" customHeight="1">
      <c r="A19321" s="16" t="s">
        <v>15298</v>
      </c>
      <c r="B19321" s="15" t="s">
        <v>15298</v>
      </c>
      <c r="C19321" s="16" t="s">
        <v>14891</v>
      </c>
      <c r="D19321" s="16" t="s">
        <v>14943</v>
      </c>
      <c r="E19321" s="2">
        <v>3172718</v>
      </c>
      <c r="F19321" s="4" t="str">
        <f>IF(B19321=B19320,"",B19321)</f>
        <v>Montevarchi</v>
      </c>
    </row>
    <row r="19322" spans="1:6" ht="15.75" customHeight="1">
      <c r="A19322" s="8" t="str">
        <f ca="1">IFERROR(__xludf.DUMMYFUNCTION("GOOGLETRANSLATE(B34814,""en"",""pt"")"),"Montevarchi")</f>
        <v>Montevarchi</v>
      </c>
      <c r="B19322" s="9" t="s">
        <v>15298</v>
      </c>
      <c r="C19322" s="9" t="s">
        <v>14891</v>
      </c>
      <c r="D19322" s="9" t="s">
        <v>14943</v>
      </c>
      <c r="E19322" s="10">
        <v>3172718</v>
      </c>
      <c r="F19322" s="4" t="str">
        <f>IF(B19322=B19321,"",B19322)</f>
        <v/>
      </c>
    </row>
    <row r="19323" spans="1:6" ht="15.75" customHeight="1">
      <c r="A19323" s="16" t="s">
        <v>7604</v>
      </c>
      <c r="B19323" s="15" t="s">
        <v>7604</v>
      </c>
      <c r="C19323" s="16" t="s">
        <v>7052</v>
      </c>
      <c r="D19323" s="16" t="s">
        <v>7058</v>
      </c>
      <c r="E19323" s="2">
        <v>2992650</v>
      </c>
      <c r="F19323" s="4" t="str">
        <f>IF(B19323=B19322,"",B19323)</f>
        <v>Montesson</v>
      </c>
    </row>
    <row r="19324" spans="1:6" ht="15.75" customHeight="1">
      <c r="A19324" s="8" t="str">
        <f ca="1">IFERROR(__xludf.DUMMYFUNCTION("GOOGLETRANSLATE(B29908,""en"",""pt"")"),"Montesson")</f>
        <v>Montesson</v>
      </c>
      <c r="B19324" s="9" t="s">
        <v>7604</v>
      </c>
      <c r="C19324" s="9" t="s">
        <v>7052</v>
      </c>
      <c r="D19324" s="9" t="s">
        <v>32531</v>
      </c>
      <c r="E19324" s="10">
        <v>2992650</v>
      </c>
      <c r="F19324" s="4" t="str">
        <f>IF(B19324=B19323,"",B19324)</f>
        <v/>
      </c>
    </row>
    <row r="19325" spans="1:6" ht="15.75" customHeight="1">
      <c r="A19325" s="16" t="s">
        <v>15297</v>
      </c>
      <c r="B19325" s="15" t="s">
        <v>15297</v>
      </c>
      <c r="C19325" s="16" t="s">
        <v>14891</v>
      </c>
      <c r="D19325" s="16" t="s">
        <v>14957</v>
      </c>
      <c r="E19325" s="2">
        <v>3172729</v>
      </c>
      <c r="F19325" s="4" t="str">
        <f>IF(B19325=B19324,"",B19325)</f>
        <v>Montesilvano Marina</v>
      </c>
    </row>
    <row r="19326" spans="1:6" ht="15.75" customHeight="1">
      <c r="A19326" s="8" t="str">
        <f ca="1">IFERROR(__xludf.DUMMYFUNCTION("GOOGLETRANSLATE(B34815,""en"",""pt"")"),"Montesilvano Marina")</f>
        <v>Montesilvano Marina</v>
      </c>
      <c r="B19326" s="9" t="s">
        <v>15297</v>
      </c>
      <c r="C19326" s="9" t="s">
        <v>14891</v>
      </c>
      <c r="D19326" s="9" t="s">
        <v>14957</v>
      </c>
      <c r="E19326" s="10">
        <v>3172729</v>
      </c>
      <c r="F19326" s="4" t="str">
        <f>IF(B19326=B19325,"",B19326)</f>
        <v/>
      </c>
    </row>
    <row r="19327" spans="1:6" ht="15.75" customHeight="1">
      <c r="A19327" s="16" t="s">
        <v>2922</v>
      </c>
      <c r="B19327" s="15" t="s">
        <v>2922</v>
      </c>
      <c r="C19327" s="16" t="s">
        <v>1905</v>
      </c>
      <c r="D19327" s="16" t="s">
        <v>1917</v>
      </c>
      <c r="E19327" s="2">
        <v>3456814</v>
      </c>
      <c r="F19327" s="4" t="str">
        <f>IF(B19327=B19326,"",B19327)</f>
        <v>Montes Claros</v>
      </c>
    </row>
    <row r="19328" spans="1:6" ht="15.75" customHeight="1">
      <c r="A19328" s="8" t="str">
        <f ca="1">IFERROR(__xludf.DUMMYFUNCTION("GOOGLETRANSLATE(B24800,""en"",""pt"")"),"Montes Claros")</f>
        <v>Montes Claros</v>
      </c>
      <c r="B19328" s="9" t="s">
        <v>2922</v>
      </c>
      <c r="C19328" s="9" t="s">
        <v>1905</v>
      </c>
      <c r="D19328" s="9" t="s">
        <v>1917</v>
      </c>
      <c r="E19328" s="10">
        <v>3456814</v>
      </c>
      <c r="F19328" s="4" t="str">
        <f>IF(B19328=B19327,"",B19328)</f>
        <v/>
      </c>
    </row>
    <row r="19329" spans="1:6" ht="15.75" customHeight="1">
      <c r="A19329" s="16" t="s">
        <v>15296</v>
      </c>
      <c r="B19329" s="15" t="s">
        <v>15296</v>
      </c>
      <c r="C19329" s="16" t="s">
        <v>14891</v>
      </c>
      <c r="D19329" s="16" t="s">
        <v>14896</v>
      </c>
      <c r="E19329" s="2">
        <v>8948704</v>
      </c>
      <c r="F19329" s="4" t="str">
        <f>IF(B19329=B19328,"",B19329)</f>
        <v>Monterusciello</v>
      </c>
    </row>
    <row r="19330" spans="1:6" ht="15.75" customHeight="1">
      <c r="A19330" s="8" t="str">
        <f ca="1">IFERROR(__xludf.DUMMYFUNCTION("GOOGLETRANSLATE(B35104,""en"",""pt"")"),"Monterusciello")</f>
        <v>Monterusciello</v>
      </c>
      <c r="B19330" s="9" t="s">
        <v>15296</v>
      </c>
      <c r="C19330" s="9" t="s">
        <v>14891</v>
      </c>
      <c r="D19330" s="9" t="s">
        <v>14896</v>
      </c>
      <c r="E19330" s="10">
        <v>8948704</v>
      </c>
      <c r="F19330" s="4" t="str">
        <f>IF(B19330=B19329,"",B19330)</f>
        <v/>
      </c>
    </row>
    <row r="19331" spans="1:6" ht="15.75" customHeight="1">
      <c r="A19331" s="16" t="s">
        <v>18099</v>
      </c>
      <c r="B19331" s="15" t="s">
        <v>18099</v>
      </c>
      <c r="C19331" s="16" t="s">
        <v>17707</v>
      </c>
      <c r="D19331" s="16" t="s">
        <v>17739</v>
      </c>
      <c r="E19331" s="2">
        <v>3995465</v>
      </c>
      <c r="F19331" s="4" t="str">
        <f>IF(B19331=B19330,"",B19331)</f>
        <v>Monterrey</v>
      </c>
    </row>
    <row r="19332" spans="1:6" ht="15.75" customHeight="1">
      <c r="A19332" s="8" t="str">
        <f ca="1">IFERROR(__xludf.DUMMYFUNCTION("GOOGLETRANSLATE(B37241,""en"",""pt"")"),"Monterrey")</f>
        <v>Monterrey</v>
      </c>
      <c r="B19332" s="9" t="s">
        <v>18099</v>
      </c>
      <c r="C19332" s="9" t="s">
        <v>17707</v>
      </c>
      <c r="D19332" s="9" t="s">
        <v>34689</v>
      </c>
      <c r="E19332" s="10">
        <v>3995465</v>
      </c>
      <c r="F19332" s="4" t="str">
        <f>IF(B19332=B19331,"",B19332)</f>
        <v/>
      </c>
    </row>
    <row r="19333" spans="1:6" ht="15.75" customHeight="1">
      <c r="A19333" s="16" t="s">
        <v>15295</v>
      </c>
      <c r="B19333" s="15" t="s">
        <v>15295</v>
      </c>
      <c r="C19333" s="16" t="s">
        <v>14891</v>
      </c>
      <c r="D19333" s="16" t="s">
        <v>14904</v>
      </c>
      <c r="E19333" s="2">
        <v>3172768</v>
      </c>
      <c r="F19333" s="4" t="str">
        <f>IF(B19333=B19332,"",B19333)</f>
        <v>Monterotondo</v>
      </c>
    </row>
    <row r="19334" spans="1:6" ht="15.75" customHeight="1">
      <c r="A19334" s="8" t="str">
        <f ca="1">IFERROR(__xludf.DUMMYFUNCTION("GOOGLETRANSLATE(B34816,""en"",""pt"")"),"Monterotondo")</f>
        <v>Monterotondo</v>
      </c>
      <c r="B19334" s="9" t="s">
        <v>15295</v>
      </c>
      <c r="C19334" s="9" t="s">
        <v>14891</v>
      </c>
      <c r="D19334" s="9" t="s">
        <v>14904</v>
      </c>
      <c r="E19334" s="10">
        <v>3172768</v>
      </c>
      <c r="F19334" s="4" t="str">
        <f>IF(B19334=B19333,"",B19334)</f>
        <v/>
      </c>
    </row>
    <row r="19335" spans="1:6" ht="15.75" customHeight="1">
      <c r="A19335" s="15" t="s">
        <v>711</v>
      </c>
      <c r="B19335" s="15" t="s">
        <v>711</v>
      </c>
      <c r="C19335" s="15" t="s">
        <v>558</v>
      </c>
      <c r="D19335" s="15" t="s">
        <v>565</v>
      </c>
      <c r="E19335" s="2">
        <v>3843803</v>
      </c>
      <c r="F19335" s="4" t="str">
        <f>IF(B19335=B19334,"",B19335)</f>
        <v>Monteros</v>
      </c>
    </row>
    <row r="19336" spans="1:6" ht="15.75" customHeight="1">
      <c r="A19336" s="8" t="str">
        <f ca="1">IFERROR(__xludf.DUMMYFUNCTION("GOOGLETRANSLATE(B23302,""en"",""pt"")"),"Monteros")</f>
        <v>Monteros</v>
      </c>
      <c r="B19336" s="9" t="s">
        <v>711</v>
      </c>
      <c r="C19336" s="9" t="s">
        <v>558</v>
      </c>
      <c r="D19336" s="9" t="s">
        <v>31177</v>
      </c>
      <c r="E19336" s="10">
        <v>3843803</v>
      </c>
      <c r="F19336" s="4" t="str">
        <f>IF(B19336=B19335,"",B19336)</f>
        <v/>
      </c>
    </row>
    <row r="19337" spans="1:6" ht="15.75" customHeight="1">
      <c r="A19337" s="15" t="s">
        <v>1820</v>
      </c>
      <c r="B19337" s="15" t="s">
        <v>1820</v>
      </c>
      <c r="C19337" s="15" t="s">
        <v>1806</v>
      </c>
      <c r="D19337" s="15" t="s">
        <v>595</v>
      </c>
      <c r="E19337" s="2">
        <v>3910027</v>
      </c>
      <c r="F19337" s="4" t="str">
        <f>IF(B19337=B19336,"",B19337)</f>
        <v>Montero</v>
      </c>
    </row>
    <row r="19338" spans="1:6" ht="15.75" customHeight="1">
      <c r="A19338" s="8" t="str">
        <f ca="1">IFERROR(__xludf.DUMMYFUNCTION("GOOGLETRANSLATE(B24132,""en"",""pt"")"),"Montero")</f>
        <v>Montero</v>
      </c>
      <c r="B19338" s="9" t="s">
        <v>1820</v>
      </c>
      <c r="C19338" s="9" t="s">
        <v>1806</v>
      </c>
      <c r="D19338" s="9" t="s">
        <v>595</v>
      </c>
      <c r="E19338" s="10">
        <v>3910027</v>
      </c>
      <c r="F19338" s="4" t="str">
        <f>IF(B19338=B19337,"",B19338)</f>
        <v/>
      </c>
    </row>
    <row r="19339" spans="1:6" ht="15.75" customHeight="1">
      <c r="A19339" s="8" t="str">
        <f ca="1">IFERROR(__xludf.DUMMYFUNCTION("GOOGLETRANSLATE(B26934,""en"",""pt"")"),"Montería")</f>
        <v>Montería</v>
      </c>
      <c r="B19339" s="11" t="s">
        <v>31861</v>
      </c>
      <c r="C19339" s="11" t="s">
        <v>5348</v>
      </c>
      <c r="D19339" s="11" t="s">
        <v>31214</v>
      </c>
      <c r="E19339" s="10">
        <v>3674453</v>
      </c>
      <c r="F19339" s="4" t="str">
        <f>IF(B19339=B19338,"",B19339)</f>
        <v>Montería</v>
      </c>
    </row>
    <row r="19340" spans="1:6" ht="15.75" customHeight="1">
      <c r="A19340" s="16" t="s">
        <v>29333</v>
      </c>
      <c r="B19340" s="15" t="s">
        <v>29333</v>
      </c>
      <c r="C19340" s="16" t="s">
        <v>27788</v>
      </c>
      <c r="D19340" s="16" t="s">
        <v>27801</v>
      </c>
      <c r="E19340" s="2">
        <v>5374406</v>
      </c>
      <c r="F19340" s="4" t="str">
        <f>IF(B19340=B19339,"",B19340)</f>
        <v>Monterey Park</v>
      </c>
    </row>
    <row r="19341" spans="1:6" ht="15.75" customHeight="1">
      <c r="A19341" s="8" t="str">
        <f ca="1">IFERROR(__xludf.DUMMYFUNCTION("GOOGLETRANSLATE(B44915,""en"",""pt"")"),"Monterey Park")</f>
        <v>Monterey Park</v>
      </c>
      <c r="B19341" s="11" t="s">
        <v>29333</v>
      </c>
      <c r="C19341" s="11" t="s">
        <v>27788</v>
      </c>
      <c r="D19341" s="11" t="s">
        <v>27801</v>
      </c>
      <c r="E19341" s="10">
        <v>5374406</v>
      </c>
      <c r="F19341" s="4" t="str">
        <f>IF(B19341=B19340,"",B19341)</f>
        <v/>
      </c>
    </row>
    <row r="19342" spans="1:6" ht="15.75" customHeight="1">
      <c r="A19342" s="16" t="s">
        <v>29332</v>
      </c>
      <c r="B19342" s="15" t="s">
        <v>29332</v>
      </c>
      <c r="C19342" s="16" t="s">
        <v>27788</v>
      </c>
      <c r="D19342" s="16" t="s">
        <v>27801</v>
      </c>
      <c r="E19342" s="2">
        <v>5374361</v>
      </c>
      <c r="F19342" s="4" t="str">
        <f>IF(B19342=B19341,"",B19342)</f>
        <v>Monterey</v>
      </c>
    </row>
    <row r="19343" spans="1:6" ht="15.75" customHeight="1">
      <c r="A19343" s="8" t="str">
        <f ca="1">IFERROR(__xludf.DUMMYFUNCTION("GOOGLETRANSLATE(B44914,""en"",""pt"")"),"Monterey")</f>
        <v>Monterey</v>
      </c>
      <c r="B19343" s="11" t="s">
        <v>29332</v>
      </c>
      <c r="C19343" s="11" t="s">
        <v>27788</v>
      </c>
      <c r="D19343" s="11" t="s">
        <v>27801</v>
      </c>
      <c r="E19343" s="10">
        <v>5374361</v>
      </c>
      <c r="F19343" s="4" t="str">
        <f>IF(B19343=B19342,"",B19343)</f>
        <v/>
      </c>
    </row>
    <row r="19344" spans="1:6" ht="15.75" customHeight="1">
      <c r="A19344" s="16" t="s">
        <v>7603</v>
      </c>
      <c r="B19344" s="15" t="s">
        <v>7603</v>
      </c>
      <c r="C19344" s="16" t="s">
        <v>7052</v>
      </c>
      <c r="D19344" s="16" t="s">
        <v>7058</v>
      </c>
      <c r="E19344" s="2">
        <v>2992671</v>
      </c>
      <c r="F19344" s="4" t="str">
        <f>IF(B19344=B19343,"",B19344)</f>
        <v>Montereau-Fault-Yonne</v>
      </c>
    </row>
    <row r="19345" spans="1:6" ht="15.75" customHeight="1">
      <c r="A19345" s="8" t="str">
        <f ca="1">IFERROR(__xludf.DUMMYFUNCTION("GOOGLETRANSLATE(B29909,""en"",""pt"")"),"Montereau-Fault-Yonne")</f>
        <v>Montereau-Fault-Yonne</v>
      </c>
      <c r="B19345" s="11" t="s">
        <v>7603</v>
      </c>
      <c r="C19345" s="11" t="s">
        <v>7052</v>
      </c>
      <c r="D19345" s="11" t="s">
        <v>32531</v>
      </c>
      <c r="E19345" s="10">
        <v>2992671</v>
      </c>
      <c r="F19345" s="4" t="str">
        <f>IF(B19345=B19344,"",B19345)</f>
        <v/>
      </c>
    </row>
    <row r="19346" spans="1:6" ht="15.75" customHeight="1">
      <c r="A19346" s="16" t="s">
        <v>5534</v>
      </c>
      <c r="B19346" s="15" t="s">
        <v>5535</v>
      </c>
      <c r="C19346" s="16" t="s">
        <v>5348</v>
      </c>
      <c r="D19346" s="16" t="s">
        <v>591</v>
      </c>
      <c r="E19346" s="2">
        <v>3674453</v>
      </c>
      <c r="F19346" s="4" t="str">
        <f>IF(B19346=B19345,"",B19346)</f>
        <v>MonterÃ­a</v>
      </c>
    </row>
    <row r="19347" spans="1:6" ht="15.75" customHeight="1">
      <c r="A19347" s="16" t="s">
        <v>18684</v>
      </c>
      <c r="B19347" s="15" t="s">
        <v>18684</v>
      </c>
      <c r="C19347" s="16" t="s">
        <v>18655</v>
      </c>
      <c r="D19347" s="16" t="s">
        <v>18683</v>
      </c>
      <c r="E19347" s="2">
        <v>1037125</v>
      </c>
      <c r="F19347" s="4" t="str">
        <f>IF(B19347=B19346,"",B19347)</f>
        <v>Montepuez</v>
      </c>
    </row>
    <row r="19348" spans="1:6" ht="15.75" customHeight="1">
      <c r="A19348" s="8" t="str">
        <f ca="1">IFERROR(__xludf.DUMMYFUNCTION("GOOGLETRANSLATE(B37549,""en"",""pt"")"),"Montepuez")</f>
        <v>Montepuez</v>
      </c>
      <c r="B19348" s="9" t="s">
        <v>18684</v>
      </c>
      <c r="C19348" s="9" t="s">
        <v>18655</v>
      </c>
      <c r="D19348" s="9" t="s">
        <v>18683</v>
      </c>
      <c r="E19348" s="10">
        <v>1037125</v>
      </c>
      <c r="F19348" s="4" t="str">
        <f>IF(B19348=B19347,"",B19348)</f>
        <v/>
      </c>
    </row>
    <row r="19349" spans="1:6" ht="15.75" customHeight="1">
      <c r="A19349" s="16" t="s">
        <v>2921</v>
      </c>
      <c r="B19349" s="15" t="s">
        <v>2921</v>
      </c>
      <c r="C19349" s="16" t="s">
        <v>1905</v>
      </c>
      <c r="D19349" s="16" t="s">
        <v>1951</v>
      </c>
      <c r="E19349" s="2">
        <v>3456826</v>
      </c>
      <c r="F19349" s="4" t="str">
        <f>IF(B19349=B19348,"",B19349)</f>
        <v>Montenegro</v>
      </c>
    </row>
    <row r="19350" spans="1:6" ht="15.75" customHeight="1">
      <c r="A19350" s="16" t="s">
        <v>2921</v>
      </c>
      <c r="B19350" s="15" t="s">
        <v>2921</v>
      </c>
      <c r="C19350" s="16" t="s">
        <v>5348</v>
      </c>
      <c r="D19350" s="16" t="s">
        <v>5375</v>
      </c>
      <c r="E19350" s="2">
        <v>3674463</v>
      </c>
      <c r="F19350" s="4" t="str">
        <f>IF(B19350=B19349,"",B19350)</f>
        <v/>
      </c>
    </row>
    <row r="19351" spans="1:6" ht="15.75" customHeight="1">
      <c r="A19351" s="8" t="str">
        <f ca="1">IFERROR(__xludf.DUMMYFUNCTION("GOOGLETRANSLATE(B24802,""en"",""pt"")"),"Montenegro")</f>
        <v>Montenegro</v>
      </c>
      <c r="B19351" s="9" t="s">
        <v>2921</v>
      </c>
      <c r="C19351" s="9" t="s">
        <v>1905</v>
      </c>
      <c r="D19351" s="9" t="s">
        <v>1951</v>
      </c>
      <c r="E19351" s="10">
        <v>3456826</v>
      </c>
      <c r="F19351" s="4" t="str">
        <f>IF(B19351=B19350,"",B19351)</f>
        <v/>
      </c>
    </row>
    <row r="19352" spans="1:6" ht="15.75" customHeight="1">
      <c r="A19352" s="8" t="str">
        <f ca="1">IFERROR(__xludf.DUMMYFUNCTION("GOOGLETRANSLATE(B26935,""en"",""pt"")"),"Montenegro")</f>
        <v>Montenegro</v>
      </c>
      <c r="B19352" s="11" t="s">
        <v>2921</v>
      </c>
      <c r="C19352" s="11" t="s">
        <v>5348</v>
      </c>
      <c r="D19352" s="11" t="s">
        <v>31851</v>
      </c>
      <c r="E19352" s="10">
        <v>3674463</v>
      </c>
      <c r="F19352" s="4" t="str">
        <f>IF(B19352=B19351,"",B19352)</f>
        <v/>
      </c>
    </row>
    <row r="19353" spans="1:6" ht="15.75" customHeight="1">
      <c r="A19353" s="16" t="s">
        <v>15294</v>
      </c>
      <c r="B19353" s="15" t="s">
        <v>15294</v>
      </c>
      <c r="C19353" s="16" t="s">
        <v>14891</v>
      </c>
      <c r="D19353" s="16" t="s">
        <v>14943</v>
      </c>
      <c r="E19353" s="2">
        <v>3172828</v>
      </c>
      <c r="F19353" s="4" t="str">
        <f>IF(B19353=B19352,"",B19353)</f>
        <v>Montemurlo</v>
      </c>
    </row>
    <row r="19354" spans="1:6" ht="15.75" customHeight="1">
      <c r="A19354" s="8" t="str">
        <f ca="1">IFERROR(__xludf.DUMMYFUNCTION("GOOGLETRANSLATE(B34817,""en"",""pt"")"),"Montemurlo")</f>
        <v>Montemurlo</v>
      </c>
      <c r="B19354" s="9" t="s">
        <v>15294</v>
      </c>
      <c r="C19354" s="9" t="s">
        <v>14891</v>
      </c>
      <c r="D19354" s="9" t="s">
        <v>14943</v>
      </c>
      <c r="E19354" s="10">
        <v>3172828</v>
      </c>
      <c r="F19354" s="4" t="str">
        <f>IF(B19354=B19353,"",B19354)</f>
        <v/>
      </c>
    </row>
    <row r="19355" spans="1:6" ht="15.75" customHeight="1">
      <c r="A19355" s="16" t="s">
        <v>18098</v>
      </c>
      <c r="B19355" s="15" t="s">
        <v>18098</v>
      </c>
      <c r="C19355" s="16" t="s">
        <v>17707</v>
      </c>
      <c r="D19355" s="16" t="s">
        <v>17739</v>
      </c>
      <c r="E19355" s="2">
        <v>3523011</v>
      </c>
      <c r="F19355" s="4" t="str">
        <f>IF(B19355=B19354,"",B19355)</f>
        <v>Montemorelos</v>
      </c>
    </row>
    <row r="19356" spans="1:6" ht="15.75" customHeight="1">
      <c r="A19356" s="8" t="str">
        <f ca="1">IFERROR(__xludf.DUMMYFUNCTION("GOOGLETRANSLATE(B36974,""en"",""pt"")"),"Montemorelos")</f>
        <v>Montemorelos</v>
      </c>
      <c r="B19356" s="9" t="s">
        <v>18098</v>
      </c>
      <c r="C19356" s="9" t="s">
        <v>17707</v>
      </c>
      <c r="D19356" s="9" t="s">
        <v>34689</v>
      </c>
      <c r="E19356" s="10">
        <v>3523011</v>
      </c>
      <c r="F19356" s="4" t="str">
        <f>IF(B19356=B19355,"",B19356)</f>
        <v/>
      </c>
    </row>
    <row r="19357" spans="1:6" ht="15.75" customHeight="1">
      <c r="A19357" s="8" t="str">
        <f ca="1">IFERROR(__xludf.DUMMYFUNCTION("GOOGLETRANSLATE(B29910,""en"",""pt"")"),"MONTÉLIMAR")</f>
        <v>MONTÉLIMAR</v>
      </c>
      <c r="B19357" s="11" t="s">
        <v>32576</v>
      </c>
      <c r="C19357" s="11" t="s">
        <v>7052</v>
      </c>
      <c r="D19357" s="11" t="s">
        <v>32532</v>
      </c>
      <c r="E19357" s="10">
        <v>2992703</v>
      </c>
      <c r="F19357" s="4" t="str">
        <f>IF(B19357=B19356,"",B19357)</f>
        <v>Montélimar</v>
      </c>
    </row>
    <row r="19358" spans="1:6" ht="15.75" customHeight="1">
      <c r="A19358" s="8" t="str">
        <f ca="1">IFERROR(__xludf.DUMMYFUNCTION("GOOGLETRANSLATE(B26936,""en"",""pt"")"),"Montelíbano")</f>
        <v>Montelíbano</v>
      </c>
      <c r="B19358" s="9" t="s">
        <v>31862</v>
      </c>
      <c r="C19358" s="9" t="s">
        <v>5348</v>
      </c>
      <c r="D19358" s="9" t="s">
        <v>31214</v>
      </c>
      <c r="E19358" s="10">
        <v>3674470</v>
      </c>
      <c r="F19358" s="4" t="str">
        <f>IF(B19358=B19357,"",B19358)</f>
        <v>Montelíbano</v>
      </c>
    </row>
    <row r="19359" spans="1:6" ht="15.75" customHeight="1">
      <c r="A19359" s="16" t="s">
        <v>5532</v>
      </c>
      <c r="B19359" s="15" t="s">
        <v>5533</v>
      </c>
      <c r="C19359" s="16" t="s">
        <v>5348</v>
      </c>
      <c r="D19359" s="16" t="s">
        <v>591</v>
      </c>
      <c r="E19359" s="2">
        <v>3674470</v>
      </c>
      <c r="F19359" s="4" t="str">
        <f>IF(B19359=B19358,"",B19359)</f>
        <v>MontelÃ­bano</v>
      </c>
    </row>
    <row r="19360" spans="1:6" ht="15.75" customHeight="1">
      <c r="A19360" s="15" t="s">
        <v>2920</v>
      </c>
      <c r="B19360" s="15" t="s">
        <v>2920</v>
      </c>
      <c r="C19360" s="15" t="s">
        <v>1905</v>
      </c>
      <c r="D19360" s="15" t="s">
        <v>1944</v>
      </c>
      <c r="E19360" s="2">
        <v>3394549</v>
      </c>
      <c r="F19360" s="4" t="str">
        <f>IF(B19360=B19359,"",B19360)</f>
        <v>Monteiro</v>
      </c>
    </row>
    <row r="19361" spans="1:6" ht="15.75" customHeight="1">
      <c r="A19361" s="8" t="str">
        <f ca="1">IFERROR(__xludf.DUMMYFUNCTION("GOOGLETRANSLATE(B24262,""en"",""pt"")"),"Monteiro")</f>
        <v>Monteiro</v>
      </c>
      <c r="B19361" s="11" t="s">
        <v>2920</v>
      </c>
      <c r="C19361" s="11" t="s">
        <v>1905</v>
      </c>
      <c r="D19361" s="11" t="s">
        <v>31343</v>
      </c>
      <c r="E19361" s="10">
        <v>3394549</v>
      </c>
      <c r="F19361" s="4" t="str">
        <f>IF(B19361=B19360,"",B19361)</f>
        <v/>
      </c>
    </row>
    <row r="19362" spans="1:6" ht="15.75" customHeight="1">
      <c r="A19362" s="16" t="s">
        <v>15691</v>
      </c>
      <c r="B19362" s="15" t="s">
        <v>15692</v>
      </c>
      <c r="C19362" s="16" t="s">
        <v>15682</v>
      </c>
      <c r="D19362" s="16" t="s">
        <v>15693</v>
      </c>
      <c r="E19362" s="2">
        <v>3489460</v>
      </c>
      <c r="F19362" s="4" t="str">
        <f>IF(B19362=B19361,"",B19362)</f>
        <v>Montego Bay</v>
      </c>
    </row>
    <row r="19363" spans="1:6" ht="15.75" customHeight="1">
      <c r="A19363" s="8" t="str">
        <f ca="1">IFERROR(__xludf.DUMMYFUNCTION("GOOGLETRANSLATE(B35116,""en"",""pt"")"),"Baía de Montego")</f>
        <v>Baía de Montego</v>
      </c>
      <c r="B19363" s="11" t="s">
        <v>15692</v>
      </c>
      <c r="C19363" s="11" t="s">
        <v>15682</v>
      </c>
      <c r="D19363" s="11" t="s">
        <v>15693</v>
      </c>
      <c r="E19363" s="10">
        <v>3489460</v>
      </c>
      <c r="F19363" s="4" t="str">
        <f>IF(B19363=B19362,"",B19363)</f>
        <v/>
      </c>
    </row>
    <row r="19364" spans="1:6" ht="15.75" customHeight="1">
      <c r="A19364" s="16" t="s">
        <v>6448</v>
      </c>
      <c r="B19364" s="15" t="s">
        <v>6448</v>
      </c>
      <c r="C19364" s="16" t="s">
        <v>6398</v>
      </c>
      <c r="D19364" s="16" t="s">
        <v>6408</v>
      </c>
      <c r="E19364" s="2">
        <v>3654055</v>
      </c>
      <c r="F19364" s="4" t="str">
        <f>IF(B19364=B19363,"",B19364)</f>
        <v>Montecristi</v>
      </c>
    </row>
    <row r="19365" spans="1:6" ht="15.75" customHeight="1">
      <c r="A19365" s="8" t="str">
        <f ca="1">IFERROR(__xludf.DUMMYFUNCTION("GOOGLETRANSLATE(B28777,""en"",""pt"")"),"Montecristi")</f>
        <v>Montecristi</v>
      </c>
      <c r="B19365" s="11" t="s">
        <v>6448</v>
      </c>
      <c r="C19365" s="11" t="s">
        <v>6398</v>
      </c>
      <c r="D19365" s="11" t="s">
        <v>32234</v>
      </c>
      <c r="E19365" s="10">
        <v>3654055</v>
      </c>
      <c r="F19365" s="4" t="str">
        <f>IF(B19365=B19364,"",B19365)</f>
        <v/>
      </c>
    </row>
    <row r="19366" spans="1:6" ht="15.75" customHeight="1">
      <c r="A19366" s="16" t="s">
        <v>15293</v>
      </c>
      <c r="B19366" s="15" t="s">
        <v>15293</v>
      </c>
      <c r="C19366" s="16" t="s">
        <v>14891</v>
      </c>
      <c r="D19366" s="16" t="s">
        <v>14892</v>
      </c>
      <c r="E19366" s="2">
        <v>3172979</v>
      </c>
      <c r="F19366" s="4" t="str">
        <f>IF(B19366=B19365,"",B19366)</f>
        <v>Montecchio Maggiore-Alte Ceccato</v>
      </c>
    </row>
    <row r="19367" spans="1:6" ht="15.75" customHeight="1">
      <c r="A19367" s="8" t="str">
        <f ca="1">IFERROR(__xludf.DUMMYFUNCTION("GOOGLETRANSLATE(B34818,""en"",""pt"")"),"Montecchio Maggiore-Alte Ceccato")</f>
        <v>Montecchio Maggiore-Alte Ceccato</v>
      </c>
      <c r="B19367" s="11" t="s">
        <v>15293</v>
      </c>
      <c r="C19367" s="11" t="s">
        <v>14891</v>
      </c>
      <c r="D19367" s="11" t="s">
        <v>14892</v>
      </c>
      <c r="E19367" s="10">
        <v>3172979</v>
      </c>
      <c r="F19367" s="4" t="str">
        <f>IF(B19367=B19366,"",B19367)</f>
        <v/>
      </c>
    </row>
    <row r="19368" spans="1:6" ht="15.75" customHeight="1">
      <c r="A19368" s="16" t="s">
        <v>15291</v>
      </c>
      <c r="B19368" s="15" t="s">
        <v>15292</v>
      </c>
      <c r="C19368" s="16" t="s">
        <v>14891</v>
      </c>
      <c r="D19368" s="16" t="s">
        <v>14943</v>
      </c>
      <c r="E19368" s="2">
        <v>3172996</v>
      </c>
      <c r="F19368" s="4" t="str">
        <f>IF(B19368=B19367,"",B19368)</f>
        <v>Montecatini-Terme</v>
      </c>
    </row>
    <row r="19369" spans="1:6" ht="15.75" customHeight="1">
      <c r="A19369" s="8" t="str">
        <f ca="1">IFERROR(__xludf.DUMMYFUNCTION("GOOGLETRANSLATE(B34819,""en"",""pt"")"),"Montecatini-terme")</f>
        <v>Montecatini-terme</v>
      </c>
      <c r="B19369" s="11" t="s">
        <v>15292</v>
      </c>
      <c r="C19369" s="11" t="s">
        <v>14891</v>
      </c>
      <c r="D19369" s="11" t="s">
        <v>14943</v>
      </c>
      <c r="E19369" s="10">
        <v>3172996</v>
      </c>
      <c r="F19369" s="4" t="str">
        <f>IF(B19369=B19368,"",B19369)</f>
        <v/>
      </c>
    </row>
    <row r="19370" spans="1:6" ht="15.75" customHeight="1">
      <c r="A19370" s="16" t="s">
        <v>18493</v>
      </c>
      <c r="B19370" s="15" t="s">
        <v>18493</v>
      </c>
      <c r="C19370" s="16" t="s">
        <v>18492</v>
      </c>
      <c r="D19370" s="16"/>
      <c r="E19370" s="2">
        <v>2992741</v>
      </c>
      <c r="F19370" s="4" t="str">
        <f>IF(B19370=B19369,"",B19370)</f>
        <v>Monte-Carlo</v>
      </c>
    </row>
    <row r="19371" spans="1:6" ht="15.75" customHeight="1">
      <c r="A19371" s="8" t="str">
        <f ca="1">IFERROR(__xludf.DUMMYFUNCTION("GOOGLETRANSLATE(B36524,""en"",""pt"")"),"Monte-Carlo")</f>
        <v>Monte-Carlo</v>
      </c>
      <c r="B19371" s="11" t="s">
        <v>18493</v>
      </c>
      <c r="C19371" s="11" t="s">
        <v>18492</v>
      </c>
      <c r="D19371" s="11"/>
      <c r="E19371" s="10">
        <v>2992741</v>
      </c>
      <c r="F19371" s="4" t="str">
        <f>IF(B19371=B19370,"",B19371)</f>
        <v/>
      </c>
    </row>
    <row r="19372" spans="1:6" ht="15.75" customHeight="1">
      <c r="A19372" s="16" t="s">
        <v>710</v>
      </c>
      <c r="B19372" s="15" t="s">
        <v>710</v>
      </c>
      <c r="C19372" s="16" t="s">
        <v>558</v>
      </c>
      <c r="D19372" s="16" t="s">
        <v>576</v>
      </c>
      <c r="E19372" s="2">
        <v>3430601</v>
      </c>
      <c r="F19372" s="4" t="str">
        <f>IF(B19372=B19371,"",B19372)</f>
        <v>Montecarlo</v>
      </c>
    </row>
    <row r="19373" spans="1:6" ht="15.75" customHeight="1">
      <c r="A19373" s="8" t="str">
        <f ca="1">IFERROR(__xludf.DUMMYFUNCTION("GOOGLETRANSLATE(B23200,""en"",""pt"")"),"Montecarlo")</f>
        <v>Montecarlo</v>
      </c>
      <c r="B19373" s="11" t="s">
        <v>710</v>
      </c>
      <c r="C19373" s="11" t="s">
        <v>558</v>
      </c>
      <c r="D19373" s="11" t="s">
        <v>576</v>
      </c>
      <c r="E19373" s="10">
        <v>3430601</v>
      </c>
      <c r="F19373" s="4" t="str">
        <f>IF(B19373=B19372,"",B19373)</f>
        <v/>
      </c>
    </row>
    <row r="19374" spans="1:6" ht="15.75" customHeight="1">
      <c r="A19374" s="16" t="s">
        <v>24634</v>
      </c>
      <c r="B19374" s="15" t="s">
        <v>24634</v>
      </c>
      <c r="C19374" s="16" t="s">
        <v>24200</v>
      </c>
      <c r="D19374" s="16" t="s">
        <v>24226</v>
      </c>
      <c r="E19374" s="2">
        <v>6615443</v>
      </c>
      <c r="F19374" s="4" t="str">
        <f>IF(B19374=B19373,"",B19374)</f>
        <v>Montecanal</v>
      </c>
    </row>
    <row r="19375" spans="1:6" ht="15.75" customHeight="1">
      <c r="A19375" s="8" t="str">
        <f ca="1">IFERROR(__xludf.DUMMYFUNCTION("GOOGLETRANSLATE(B29503,""en"",""pt"")"),"Montecanal")</f>
        <v>Montecanal</v>
      </c>
      <c r="B19375" s="11" t="s">
        <v>24634</v>
      </c>
      <c r="C19375" s="11" t="s">
        <v>24200</v>
      </c>
      <c r="D19375" s="11" t="s">
        <v>24226</v>
      </c>
      <c r="E19375" s="10">
        <v>6615443</v>
      </c>
      <c r="F19375" s="4" t="str">
        <f>IF(B19375=B19374,"",B19375)</f>
        <v/>
      </c>
    </row>
    <row r="19376" spans="1:6" ht="15.75" customHeight="1">
      <c r="A19376" s="16" t="s">
        <v>15290</v>
      </c>
      <c r="B19376" s="15" t="s">
        <v>15290</v>
      </c>
      <c r="C19376" s="16" t="s">
        <v>14891</v>
      </c>
      <c r="D19376" s="16" t="s">
        <v>14892</v>
      </c>
      <c r="E19376" s="2">
        <v>3173029</v>
      </c>
      <c r="F19376" s="4" t="str">
        <f>IF(B19376=B19375,"",B19376)</f>
        <v>Montebelluna</v>
      </c>
    </row>
    <row r="19377" spans="1:6" ht="15.75" customHeight="1">
      <c r="A19377" s="8" t="str">
        <f ca="1">IFERROR(__xludf.DUMMYFUNCTION("GOOGLETRANSLATE(B34820,""en"",""pt"")"),"Montebelluna")</f>
        <v>Montebelluna</v>
      </c>
      <c r="B19377" s="11" t="s">
        <v>15290</v>
      </c>
      <c r="C19377" s="11" t="s">
        <v>14891</v>
      </c>
      <c r="D19377" s="11" t="s">
        <v>14892</v>
      </c>
      <c r="E19377" s="10">
        <v>3173029</v>
      </c>
      <c r="F19377" s="4" t="str">
        <f>IF(B19377=B19376,"",B19377)</f>
        <v/>
      </c>
    </row>
    <row r="19378" spans="1:6" ht="15.75" customHeight="1">
      <c r="A19378" s="16" t="s">
        <v>29331</v>
      </c>
      <c r="B19378" s="15" t="s">
        <v>29331</v>
      </c>
      <c r="C19378" s="16" t="s">
        <v>27788</v>
      </c>
      <c r="D19378" s="16" t="s">
        <v>27801</v>
      </c>
      <c r="E19378" s="2">
        <v>5374322</v>
      </c>
      <c r="F19378" s="4" t="str">
        <f>IF(B19378=B19377,"",B19378)</f>
        <v>Montebello</v>
      </c>
    </row>
    <row r="19379" spans="1:6" ht="15.75" customHeight="1">
      <c r="A19379" s="8" t="str">
        <f ca="1">IFERROR(__xludf.DUMMYFUNCTION("GOOGLETRANSLATE(B44913,""en"",""pt"")"),"Montebello")</f>
        <v>Montebello</v>
      </c>
      <c r="B19379" s="11" t="s">
        <v>29331</v>
      </c>
      <c r="C19379" s="11" t="s">
        <v>27788</v>
      </c>
      <c r="D19379" s="11" t="s">
        <v>27801</v>
      </c>
      <c r="E19379" s="10">
        <v>5374322</v>
      </c>
      <c r="F19379" s="4" t="str">
        <f>IF(B19379=B19378,"",B19379)</f>
        <v/>
      </c>
    </row>
    <row r="19380" spans="1:6" ht="15.75" customHeight="1">
      <c r="A19380" s="16" t="s">
        <v>2919</v>
      </c>
      <c r="B19380" s="15" t="s">
        <v>2919</v>
      </c>
      <c r="C19380" s="16" t="s">
        <v>1905</v>
      </c>
      <c r="D19380" s="16" t="s">
        <v>1917</v>
      </c>
      <c r="E19380" s="2">
        <v>3456816</v>
      </c>
      <c r="F19380" s="4" t="str">
        <f>IF(B19380=B19379,"",B19380)</f>
        <v>Monte Santo de Minas</v>
      </c>
    </row>
    <row r="19381" spans="1:6" ht="15.75" customHeight="1">
      <c r="A19381" s="8" t="str">
        <f ca="1">IFERROR(__xludf.DUMMYFUNCTION("GOOGLETRANSLATE(B24801,""en"",""pt"")"),"Monte Santo de Minas")</f>
        <v>Monte Santo de Minas</v>
      </c>
      <c r="B19381" s="11" t="s">
        <v>2919</v>
      </c>
      <c r="C19381" s="11" t="s">
        <v>1905</v>
      </c>
      <c r="D19381" s="11" t="s">
        <v>1917</v>
      </c>
      <c r="E19381" s="10">
        <v>3456816</v>
      </c>
      <c r="F19381" s="4" t="str">
        <f>IF(B19381=B19380,"",B19381)</f>
        <v/>
      </c>
    </row>
    <row r="19382" spans="1:6" ht="15.75" customHeight="1">
      <c r="A19382" s="16" t="s">
        <v>6310</v>
      </c>
      <c r="B19382" s="15" t="s">
        <v>6310</v>
      </c>
      <c r="C19382" s="16" t="s">
        <v>6303</v>
      </c>
      <c r="D19382" s="16" t="s">
        <v>6310</v>
      </c>
      <c r="E19382" s="2">
        <v>3496134</v>
      </c>
      <c r="F19382" s="4" t="str">
        <f>IF(B19382=B19381,"",B19382)</f>
        <v>Monte Plata</v>
      </c>
    </row>
    <row r="19383" spans="1:6" ht="15.75" customHeight="1">
      <c r="A19383" s="8" t="str">
        <f ca="1">IFERROR(__xludf.DUMMYFUNCTION("GOOGLETRANSLATE(B28477,""en"",""pt"")"),"Monte Plata")</f>
        <v>Monte Plata</v>
      </c>
      <c r="B19383" s="11" t="s">
        <v>6310</v>
      </c>
      <c r="C19383" s="11" t="s">
        <v>6303</v>
      </c>
      <c r="D19383" s="11" t="s">
        <v>6310</v>
      </c>
      <c r="E19383" s="10">
        <v>3496134</v>
      </c>
      <c r="F19383" s="4" t="str">
        <f>IF(B19383=B19382,"",B19383)</f>
        <v/>
      </c>
    </row>
    <row r="19384" spans="1:6" ht="15.75" customHeight="1">
      <c r="A19384" s="16" t="s">
        <v>2918</v>
      </c>
      <c r="B19384" s="15" t="s">
        <v>2918</v>
      </c>
      <c r="C19384" s="16" t="s">
        <v>1905</v>
      </c>
      <c r="D19384" s="16" t="s">
        <v>1914</v>
      </c>
      <c r="E19384" s="2">
        <v>3456827</v>
      </c>
      <c r="F19384" s="4" t="str">
        <f>IF(B19384=B19383,"",B19384)</f>
        <v>Monte Mor</v>
      </c>
    </row>
    <row r="19385" spans="1:6" ht="15.75" customHeight="1">
      <c r="A19385" s="8" t="str">
        <f ca="1">IFERROR(__xludf.DUMMYFUNCTION("GOOGLETRANSLATE(B24803,""en"",""pt"")"),"Monte Mor")</f>
        <v>Monte Mor</v>
      </c>
      <c r="B19385" s="11" t="s">
        <v>2918</v>
      </c>
      <c r="C19385" s="11" t="s">
        <v>1905</v>
      </c>
      <c r="D19385" s="11" t="s">
        <v>3354</v>
      </c>
      <c r="E19385" s="10">
        <v>3456827</v>
      </c>
      <c r="F19385" s="4" t="str">
        <f>IF(B19385=B19384,"",B19385)</f>
        <v/>
      </c>
    </row>
    <row r="19386" spans="1:6" ht="15.75" customHeight="1">
      <c r="A19386" s="16" t="s">
        <v>21690</v>
      </c>
      <c r="B19386" s="15" t="s">
        <v>21690</v>
      </c>
      <c r="C19386" s="16" t="s">
        <v>21606</v>
      </c>
      <c r="D19386" s="16" t="s">
        <v>21616</v>
      </c>
      <c r="E19386" s="2">
        <v>2265927</v>
      </c>
      <c r="F19386" s="4" t="str">
        <f>IF(B19386=B19385,"",B19386)</f>
        <v>Monte Estoril</v>
      </c>
    </row>
    <row r="19387" spans="1:6" ht="15.75" customHeight="1">
      <c r="A19387" s="8" t="str">
        <f ca="1">IFERROR(__xludf.DUMMYFUNCTION("GOOGLETRANSLATE(B39594,""en"",""pt"")"),"Monte Estoril")</f>
        <v>Monte Estoril</v>
      </c>
      <c r="B19387" s="11" t="s">
        <v>21690</v>
      </c>
      <c r="C19387" s="11" t="s">
        <v>21606</v>
      </c>
      <c r="D19387" s="11" t="s">
        <v>21616</v>
      </c>
      <c r="E19387" s="10">
        <v>2265927</v>
      </c>
      <c r="F19387" s="4" t="str">
        <f>IF(B19387=B19386,"",B19387)</f>
        <v/>
      </c>
    </row>
    <row r="19388" spans="1:6" ht="15.75" customHeight="1">
      <c r="A19388" s="16" t="s">
        <v>709</v>
      </c>
      <c r="B19388" s="15" t="s">
        <v>709</v>
      </c>
      <c r="C19388" s="16" t="s">
        <v>558</v>
      </c>
      <c r="D19388" s="16" t="s">
        <v>629</v>
      </c>
      <c r="E19388" s="2">
        <v>3430598</v>
      </c>
      <c r="F19388" s="4" t="str">
        <f>IF(B19388=B19387,"",B19388)</f>
        <v>Monte Caseros</v>
      </c>
    </row>
    <row r="19389" spans="1:6" ht="15.75" customHeight="1">
      <c r="A19389" s="8" t="str">
        <f ca="1">IFERROR(__xludf.DUMMYFUNCTION("GOOGLETRANSLATE(B23199,""en"",""pt"")"),"Monte Caseros")</f>
        <v>Monte Caseros</v>
      </c>
      <c r="B19389" s="11" t="s">
        <v>709</v>
      </c>
      <c r="C19389" s="11" t="s">
        <v>558</v>
      </c>
      <c r="D19389" s="11" t="s">
        <v>629</v>
      </c>
      <c r="E19389" s="10">
        <v>3430598</v>
      </c>
      <c r="F19389" s="4" t="str">
        <f>IF(B19389=B19388,"",B19389)</f>
        <v/>
      </c>
    </row>
    <row r="19390" spans="1:6" ht="15.75" customHeight="1">
      <c r="A19390" s="16" t="s">
        <v>2917</v>
      </c>
      <c r="B19390" s="15" t="s">
        <v>2917</v>
      </c>
      <c r="C19390" s="16" t="s">
        <v>1905</v>
      </c>
      <c r="D19390" s="16" t="s">
        <v>1917</v>
      </c>
      <c r="E19390" s="2">
        <v>3456848</v>
      </c>
      <c r="F19390" s="4" t="str">
        <f>IF(B19390=B19389,"",B19390)</f>
        <v>Monte Carmelo</v>
      </c>
    </row>
    <row r="19391" spans="1:6" ht="15.75" customHeight="1">
      <c r="A19391" s="8" t="str">
        <f ca="1">IFERROR(__xludf.DUMMYFUNCTION("GOOGLETRANSLATE(B24804,""en"",""pt"")"),"Monte Carmelo")</f>
        <v>Monte Carmelo</v>
      </c>
      <c r="B19391" s="11" t="s">
        <v>2917</v>
      </c>
      <c r="C19391" s="11" t="s">
        <v>1905</v>
      </c>
      <c r="D19391" s="11" t="s">
        <v>1917</v>
      </c>
      <c r="E19391" s="10">
        <v>3456848</v>
      </c>
      <c r="F19391" s="4" t="str">
        <f>IF(B19391=B19390,"",B19391)</f>
        <v/>
      </c>
    </row>
    <row r="19392" spans="1:6" ht="15.75" customHeight="1">
      <c r="A19392" s="16" t="s">
        <v>2916</v>
      </c>
      <c r="B19392" s="15" t="s">
        <v>2916</v>
      </c>
      <c r="C19392" s="16" t="s">
        <v>1905</v>
      </c>
      <c r="D19392" s="16" t="s">
        <v>1914</v>
      </c>
      <c r="E19392" s="2">
        <v>3456863</v>
      </c>
      <c r="F19392" s="4" t="str">
        <f>IF(B19392=B19391,"",B19392)</f>
        <v>Monte Azul Paulista</v>
      </c>
    </row>
    <row r="19393" spans="1:6" ht="15.75" customHeight="1">
      <c r="A19393" s="8" t="str">
        <f ca="1">IFERROR(__xludf.DUMMYFUNCTION("GOOGLETRANSLATE(B24805,""en"",""pt"")"),"Monte Azul Paulista")</f>
        <v>Monte Azul Paulista</v>
      </c>
      <c r="B19393" s="11" t="s">
        <v>2916</v>
      </c>
      <c r="C19393" s="11" t="s">
        <v>1905</v>
      </c>
      <c r="D19393" s="11" t="s">
        <v>3354</v>
      </c>
      <c r="E19393" s="10">
        <v>3456863</v>
      </c>
      <c r="F19393" s="4" t="str">
        <f>IF(B19393=B19392,"",B19393)</f>
        <v/>
      </c>
    </row>
    <row r="19394" spans="1:6" ht="15.75" customHeight="1">
      <c r="A19394" s="8" t="str">
        <f ca="1">IFERROR(__xludf.DUMMYFUNCTION("GOOGLETRANSLATE(B24806,""en"",""pt"")"),"Monte Aprazível")</f>
        <v>Monte Aprazível</v>
      </c>
      <c r="B19394" s="9" t="s">
        <v>31589</v>
      </c>
      <c r="C19394" s="9" t="s">
        <v>1905</v>
      </c>
      <c r="D19394" s="9" t="s">
        <v>3354</v>
      </c>
      <c r="E19394" s="10">
        <v>3456866</v>
      </c>
      <c r="F19394" s="4" t="str">
        <f>IF(B19394=B19393,"",B19394)</f>
        <v>Monte Aprazível</v>
      </c>
    </row>
    <row r="19395" spans="1:6" ht="15.75" customHeight="1">
      <c r="A19395" s="16" t="s">
        <v>2914</v>
      </c>
      <c r="B19395" s="15" t="s">
        <v>2915</v>
      </c>
      <c r="C19395" s="16" t="s">
        <v>1905</v>
      </c>
      <c r="D19395" s="16" t="s">
        <v>1914</v>
      </c>
      <c r="E19395" s="2">
        <v>3456866</v>
      </c>
      <c r="F19395" s="4" t="str">
        <f>IF(B19395=B19394,"",B19395)</f>
        <v>Monte AprazÃ­vel</v>
      </c>
    </row>
    <row r="19396" spans="1:6" ht="15.75" customHeight="1">
      <c r="A19396" s="16" t="s">
        <v>2913</v>
      </c>
      <c r="B19396" s="15" t="s">
        <v>2913</v>
      </c>
      <c r="C19396" s="16" t="s">
        <v>1905</v>
      </c>
      <c r="D19396" s="16" t="s">
        <v>1914</v>
      </c>
      <c r="E19396" s="2">
        <v>3456873</v>
      </c>
      <c r="F19396" s="4" t="str">
        <f>IF(B19396=B19395,"",B19396)</f>
        <v>Monte Alto</v>
      </c>
    </row>
    <row r="19397" spans="1:6" ht="15.75" customHeight="1">
      <c r="A19397" s="8" t="str">
        <f ca="1">IFERROR(__xludf.DUMMYFUNCTION("GOOGLETRANSLATE(B24807,""en"",""pt"")"),"Monte Alto")</f>
        <v>Monte Alto</v>
      </c>
      <c r="B19397" s="9" t="s">
        <v>2913</v>
      </c>
      <c r="C19397" s="9" t="s">
        <v>1905</v>
      </c>
      <c r="D19397" s="9" t="s">
        <v>3354</v>
      </c>
      <c r="E19397" s="10">
        <v>3456873</v>
      </c>
      <c r="F19397" s="4" t="str">
        <f>IF(B19397=B19396,"",B19397)</f>
        <v/>
      </c>
    </row>
    <row r="19398" spans="1:6" ht="15.75" customHeight="1">
      <c r="A19398" s="16" t="s">
        <v>2912</v>
      </c>
      <c r="B19398" s="15" t="s">
        <v>2912</v>
      </c>
      <c r="C19398" s="16" t="s">
        <v>1905</v>
      </c>
      <c r="D19398" s="16" t="s">
        <v>1906</v>
      </c>
      <c r="E19398" s="2">
        <v>3394605</v>
      </c>
      <c r="F19398" s="4" t="str">
        <f>IF(B19398=B19397,"",B19398)</f>
        <v>Monte Alegre</v>
      </c>
    </row>
    <row r="19399" spans="1:6" ht="15.75" customHeight="1">
      <c r="A19399" s="8" t="str">
        <f ca="1">IFERROR(__xludf.DUMMYFUNCTION("GOOGLETRANSLATE(B24263,""en"",""pt"")"),"Monte Alegre")</f>
        <v>Monte Alegre</v>
      </c>
      <c r="B19399" s="9" t="s">
        <v>2912</v>
      </c>
      <c r="C19399" s="9" t="s">
        <v>1905</v>
      </c>
      <c r="D19399" s="9" t="s">
        <v>31342</v>
      </c>
      <c r="E19399" s="10">
        <v>3394605</v>
      </c>
      <c r="F19399" s="4" t="str">
        <f>IF(B19399=B19398,"",B19399)</f>
        <v/>
      </c>
    </row>
    <row r="19400" spans="1:6" ht="15.75" customHeight="1">
      <c r="A19400" s="16" t="s">
        <v>19165</v>
      </c>
      <c r="B19400" s="15" t="s">
        <v>19165</v>
      </c>
      <c r="C19400" s="16" t="s">
        <v>19164</v>
      </c>
      <c r="D19400" s="16" t="s">
        <v>3885</v>
      </c>
      <c r="E19400" s="2">
        <v>2140066</v>
      </c>
      <c r="F19400" s="4" t="str">
        <f>IF(B19400=B19399,"",B19400)</f>
        <v>Mont-Dore</v>
      </c>
    </row>
    <row r="19401" spans="1:6" ht="15.75" customHeight="1">
      <c r="A19401" s="8" t="str">
        <f ca="1">IFERROR(__xludf.DUMMYFUNCTION("GOOGLETRANSLATE(B37579,""en"",""pt"")"),"Mont-Dore")</f>
        <v>Mont-Dore</v>
      </c>
      <c r="B19401" s="9" t="s">
        <v>19165</v>
      </c>
      <c r="C19401" s="9" t="s">
        <v>19164</v>
      </c>
      <c r="D19401" s="9" t="s">
        <v>3885</v>
      </c>
      <c r="E19401" s="10">
        <v>2140066</v>
      </c>
      <c r="F19401" s="4" t="str">
        <f>IF(B19401=B19400,"",B19401)</f>
        <v/>
      </c>
    </row>
    <row r="19402" spans="1:6" ht="15.75" customHeight="1">
      <c r="A19402" s="16" t="s">
        <v>7602</v>
      </c>
      <c r="B19402" s="15" t="s">
        <v>7602</v>
      </c>
      <c r="C19402" s="16" t="s">
        <v>7052</v>
      </c>
      <c r="D19402" s="16" t="s">
        <v>7084</v>
      </c>
      <c r="E19402" s="2">
        <v>2992771</v>
      </c>
      <c r="F19402" s="4" t="str">
        <f>IF(B19402=B19401,"",B19402)</f>
        <v>Mont-de-Marsan</v>
      </c>
    </row>
    <row r="19403" spans="1:6" ht="15.75" customHeight="1">
      <c r="A19403" s="8" t="str">
        <f ca="1">IFERROR(__xludf.DUMMYFUNCTION("GOOGLETRANSLATE(B29911,""en"",""pt"")"),"Mont-de-Marsan")</f>
        <v>Mont-de-Marsan</v>
      </c>
      <c r="B19403" s="9" t="s">
        <v>7602</v>
      </c>
      <c r="C19403" s="9" t="s">
        <v>7052</v>
      </c>
      <c r="D19403" s="9" t="s">
        <v>7084</v>
      </c>
      <c r="E19403" s="10">
        <v>2992771</v>
      </c>
      <c r="F19403" s="4" t="str">
        <f>IF(B19403=B19402,"",B19403)</f>
        <v/>
      </c>
    </row>
    <row r="19404" spans="1:6" ht="15.75" customHeight="1">
      <c r="A19404" s="15" t="s">
        <v>29330</v>
      </c>
      <c r="B19404" s="15" t="s">
        <v>29330</v>
      </c>
      <c r="C19404" s="15" t="s">
        <v>27788</v>
      </c>
      <c r="D19404" s="15" t="s">
        <v>27905</v>
      </c>
      <c r="E19404" s="2">
        <v>5101334</v>
      </c>
      <c r="F19404" s="4" t="str">
        <f>IF(B19404=B19403,"",B19404)</f>
        <v>Montclair</v>
      </c>
    </row>
    <row r="19405" spans="1:6" ht="15.75" customHeight="1">
      <c r="A19405" s="15" t="s">
        <v>29330</v>
      </c>
      <c r="B19405" s="15" t="s">
        <v>29330</v>
      </c>
      <c r="C19405" s="15" t="s">
        <v>27788</v>
      </c>
      <c r="D19405" s="15" t="s">
        <v>27801</v>
      </c>
      <c r="E19405" s="2">
        <v>5374232</v>
      </c>
      <c r="F19405" s="4" t="str">
        <f>IF(B19405=B19404,"",B19405)</f>
        <v/>
      </c>
    </row>
    <row r="19406" spans="1:6" ht="15.75" customHeight="1">
      <c r="A19406" s="8" t="str">
        <f ca="1">IFERROR(__xludf.DUMMYFUNCTION("GOOGLETRANSLATE(B44283,""en"",""pt"")"),"Montclair")</f>
        <v>Montclair</v>
      </c>
      <c r="B19406" s="11" t="s">
        <v>29330</v>
      </c>
      <c r="C19406" s="11" t="s">
        <v>27788</v>
      </c>
      <c r="D19406" s="11" t="s">
        <v>27905</v>
      </c>
      <c r="E19406" s="10">
        <v>5101334</v>
      </c>
      <c r="F19406" s="4" t="str">
        <f>IF(B19406=B19405,"",B19406)</f>
        <v/>
      </c>
    </row>
    <row r="19407" spans="1:6" ht="15.75" customHeight="1">
      <c r="A19407" s="8" t="str">
        <f ca="1">IFERROR(__xludf.DUMMYFUNCTION("GOOGLETRANSLATE(B44912,""en"",""pt"")"),"Montclair")</f>
        <v>Montclair</v>
      </c>
      <c r="B19407" s="9" t="s">
        <v>29330</v>
      </c>
      <c r="C19407" s="9" t="s">
        <v>27788</v>
      </c>
      <c r="D19407" s="9" t="s">
        <v>27801</v>
      </c>
      <c r="E19407" s="10">
        <v>5374232</v>
      </c>
      <c r="F19407" s="4" t="str">
        <f>IF(B19407=B19406,"",B19407)</f>
        <v/>
      </c>
    </row>
    <row r="19408" spans="1:6" ht="15.75" customHeight="1">
      <c r="A19408" s="16" t="s">
        <v>7601</v>
      </c>
      <c r="B19408" s="15" t="s">
        <v>7601</v>
      </c>
      <c r="C19408" s="16" t="s">
        <v>7052</v>
      </c>
      <c r="D19408" s="16" t="s">
        <v>7128</v>
      </c>
      <c r="E19408" s="2">
        <v>2992863</v>
      </c>
      <c r="F19408" s="4" t="str">
        <f>IF(B19408=B19407,"",B19408)</f>
        <v>Montceau-les-Mines</v>
      </c>
    </row>
    <row r="19409" spans="1:6" ht="15.75" customHeight="1">
      <c r="A19409" s="8" t="str">
        <f ca="1">IFERROR(__xludf.DUMMYFUNCTION("GOOGLETRANSLATE(B29912,""en"",""pt"")"),"Montceau-les-Mines")</f>
        <v>Montceau-les-Mines</v>
      </c>
      <c r="B19409" s="9" t="s">
        <v>7601</v>
      </c>
      <c r="C19409" s="9" t="s">
        <v>7052</v>
      </c>
      <c r="D19409" s="9" t="s">
        <v>32540</v>
      </c>
      <c r="E19409" s="10">
        <v>2992863</v>
      </c>
      <c r="F19409" s="4" t="str">
        <f>IF(B19409=B19408,"",B19409)</f>
        <v/>
      </c>
    </row>
    <row r="19410" spans="1:6" ht="15.75" customHeight="1">
      <c r="A19410" s="16" t="s">
        <v>24632</v>
      </c>
      <c r="B19410" s="15" t="s">
        <v>24633</v>
      </c>
      <c r="C19410" s="16" t="s">
        <v>24200</v>
      </c>
      <c r="D19410" s="16" t="s">
        <v>24277</v>
      </c>
      <c r="E19410" s="2">
        <v>3116527</v>
      </c>
      <c r="F19410" s="4" t="str">
        <f>IF(B19410=B19409,"",B19410)</f>
        <v>Montcada i Reixac</v>
      </c>
    </row>
    <row r="19411" spans="1:6" ht="15.75" customHeight="1">
      <c r="A19411" s="8" t="str">
        <f ca="1">IFERROR(__xludf.DUMMYFUNCTION("GOOGLETRANSLATE(B29352,""en"",""pt"")"),"Montcada I Reixac")</f>
        <v>Montcada I Reixac</v>
      </c>
      <c r="B19411" s="9" t="s">
        <v>24633</v>
      </c>
      <c r="C19411" s="9" t="s">
        <v>24200</v>
      </c>
      <c r="D19411" s="9" t="s">
        <v>24277</v>
      </c>
      <c r="E19411" s="10">
        <v>3116527</v>
      </c>
      <c r="F19411" s="4" t="str">
        <f>IF(B19411=B19410,"",B19411)</f>
        <v/>
      </c>
    </row>
    <row r="19412" spans="1:6" ht="15.75" customHeight="1">
      <c r="A19412" s="16" t="s">
        <v>7600</v>
      </c>
      <c r="B19412" s="15" t="s">
        <v>7600</v>
      </c>
      <c r="C19412" s="16" t="s">
        <v>7052</v>
      </c>
      <c r="D19412" s="16" t="s">
        <v>7053</v>
      </c>
      <c r="E19412" s="2">
        <v>2992890</v>
      </c>
      <c r="F19412" s="4" t="str">
        <f>IF(B19412=B19411,"",B19412)</f>
        <v>Montbrison</v>
      </c>
    </row>
    <row r="19413" spans="1:6" ht="15.75" customHeight="1">
      <c r="A19413" s="8" t="str">
        <f ca="1">IFERROR(__xludf.DUMMYFUNCTION("GOOGLETRANSLATE(B29913,""en"",""pt"")"),"Montbrison")</f>
        <v>Montbrison</v>
      </c>
      <c r="B19413" s="9" t="s">
        <v>7600</v>
      </c>
      <c r="C19413" s="9" t="s">
        <v>7052</v>
      </c>
      <c r="D19413" s="9" t="s">
        <v>32532</v>
      </c>
      <c r="E19413" s="10">
        <v>2992890</v>
      </c>
      <c r="F19413" s="4" t="str">
        <f>IF(B19413=B19412,"",B19413)</f>
        <v/>
      </c>
    </row>
    <row r="19414" spans="1:6" ht="15.75" customHeight="1">
      <c r="A19414" s="8" t="str">
        <f ca="1">IFERROR(__xludf.DUMMYFUNCTION("GOOGLETRANSLATE(B29914,""en"",""pt"")"),"Montbéliard")</f>
        <v>Montbéliard</v>
      </c>
      <c r="B19414" s="11" t="s">
        <v>32577</v>
      </c>
      <c r="C19414" s="11" t="s">
        <v>7052</v>
      </c>
      <c r="D19414" s="11" t="s">
        <v>32540</v>
      </c>
      <c r="E19414" s="10">
        <v>2992938</v>
      </c>
      <c r="F19414" s="4" t="str">
        <f>IF(B19414=B19413,"",B19414)</f>
        <v>Montbéliard</v>
      </c>
    </row>
    <row r="19415" spans="1:6" ht="15.75" customHeight="1">
      <c r="A19415" s="16" t="s">
        <v>7598</v>
      </c>
      <c r="B19415" s="15" t="s">
        <v>7599</v>
      </c>
      <c r="C19415" s="16" t="s">
        <v>7052</v>
      </c>
      <c r="D19415" s="16" t="s">
        <v>7128</v>
      </c>
      <c r="E19415" s="2">
        <v>2992938</v>
      </c>
      <c r="F19415" s="4" t="str">
        <f>IF(B19415=B19414,"",B19415)</f>
        <v>MontbÃ©liard</v>
      </c>
    </row>
    <row r="19416" spans="1:6" ht="15.75" customHeight="1">
      <c r="A19416" s="16" t="s">
        <v>7597</v>
      </c>
      <c r="B19416" s="15" t="s">
        <v>7597</v>
      </c>
      <c r="C19416" s="16" t="s">
        <v>7052</v>
      </c>
      <c r="D19416" s="16" t="s">
        <v>7082</v>
      </c>
      <c r="E19416" s="2">
        <v>2993002</v>
      </c>
      <c r="F19416" s="4" t="str">
        <f>IF(B19416=B19415,"",B19416)</f>
        <v>Montauban</v>
      </c>
    </row>
    <row r="19417" spans="1:6" ht="15.75" customHeight="1">
      <c r="A19417" s="8" t="str">
        <f ca="1">IFERROR(__xludf.DUMMYFUNCTION("GOOGLETRANSLATE(B29915,""en"",""pt"")"),"Montauban")</f>
        <v>Montauban</v>
      </c>
      <c r="B19417" s="9" t="s">
        <v>7597</v>
      </c>
      <c r="C19417" s="9" t="s">
        <v>7052</v>
      </c>
      <c r="D19417" s="9" t="s">
        <v>32547</v>
      </c>
      <c r="E19417" s="10">
        <v>2993002</v>
      </c>
      <c r="F19417" s="4" t="str">
        <f>IF(B19417=B19416,"",B19417)</f>
        <v/>
      </c>
    </row>
    <row r="19418" spans="1:6" ht="15.75" customHeight="1">
      <c r="A19418" s="16" t="s">
        <v>7596</v>
      </c>
      <c r="B19418" s="15" t="s">
        <v>7596</v>
      </c>
      <c r="C19418" s="16" t="s">
        <v>7052</v>
      </c>
      <c r="D19418" s="16" t="s">
        <v>3813</v>
      </c>
      <c r="E19418" s="2">
        <v>2993024</v>
      </c>
      <c r="F19418" s="4" t="str">
        <f>IF(B19418=B19417,"",B19418)</f>
        <v>Montargis</v>
      </c>
    </row>
    <row r="19419" spans="1:6" ht="15.75" customHeight="1">
      <c r="A19419" s="8" t="str">
        <f ca="1">IFERROR(__xludf.DUMMYFUNCTION("GOOGLETRANSLATE(B29916,""en"",""pt"")"),"Montargis")</f>
        <v>Montargis</v>
      </c>
      <c r="B19419" s="9" t="s">
        <v>7596</v>
      </c>
      <c r="C19419" s="9" t="s">
        <v>7052</v>
      </c>
      <c r="D19419" s="9" t="s">
        <v>3813</v>
      </c>
      <c r="E19419" s="10">
        <v>2993024</v>
      </c>
      <c r="F19419" s="4" t="str">
        <f>IF(B19419=B19418,"",B19419)</f>
        <v/>
      </c>
    </row>
    <row r="19420" spans="1:6" ht="15.75" customHeight="1">
      <c r="A19420" s="15" t="s">
        <v>3706</v>
      </c>
      <c r="B19420" s="15" t="s">
        <v>3706</v>
      </c>
      <c r="C19420" s="15" t="s">
        <v>3701</v>
      </c>
      <c r="D19420" s="15" t="s">
        <v>3706</v>
      </c>
      <c r="E19420" s="2">
        <v>729114</v>
      </c>
      <c r="F19420" s="4" t="str">
        <f>IF(B19420=B19419,"",B19420)</f>
        <v>Montana</v>
      </c>
    </row>
    <row r="19421" spans="1:6" ht="15.75" customHeight="1">
      <c r="A19421" s="8" t="str">
        <f ca="1">IFERROR(__xludf.DUMMYFUNCTION("GOOGLETRANSLATE(B24040,""en"",""pt"")"),"Montana")</f>
        <v>Montana</v>
      </c>
      <c r="B19421" s="11" t="s">
        <v>3706</v>
      </c>
      <c r="C19421" s="11" t="s">
        <v>3701</v>
      </c>
      <c r="D19421" s="11" t="s">
        <v>3706</v>
      </c>
      <c r="E19421" s="10">
        <v>729114</v>
      </c>
      <c r="F19421" s="4" t="str">
        <f>IF(B19421=B19420,"",B19421)</f>
        <v/>
      </c>
    </row>
    <row r="19422" spans="1:6" ht="15.75" customHeight="1">
      <c r="A19422" s="15" t="s">
        <v>6447</v>
      </c>
      <c r="B19422" s="15" t="s">
        <v>6447</v>
      </c>
      <c r="C19422" s="15" t="s">
        <v>6398</v>
      </c>
      <c r="D19422" s="15" t="s">
        <v>4411</v>
      </c>
      <c r="E19422" s="2">
        <v>3654064</v>
      </c>
      <c r="F19422" s="4" t="str">
        <f>IF(B19422=B19421,"",B19422)</f>
        <v>Montalvo</v>
      </c>
    </row>
    <row r="19423" spans="1:6" ht="15.75" customHeight="1">
      <c r="A19423" s="8" t="str">
        <f ca="1">IFERROR(__xludf.DUMMYFUNCTION("GOOGLETRANSLATE(B28778,""en"",""pt"")"),"Montalvo")</f>
        <v>Montalvo</v>
      </c>
      <c r="B19423" s="9" t="s">
        <v>6447</v>
      </c>
      <c r="C19423" s="9" t="s">
        <v>6398</v>
      </c>
      <c r="D19423" s="9" t="s">
        <v>31795</v>
      </c>
      <c r="E19423" s="10">
        <v>3654064</v>
      </c>
      <c r="F19423" s="4" t="str">
        <f>IF(B19423=B19422,"",B19423)</f>
        <v/>
      </c>
    </row>
    <row r="19424" spans="1:6" ht="15.75" customHeight="1">
      <c r="A19424" s="16" t="s">
        <v>7594</v>
      </c>
      <c r="B19424" s="15" t="s">
        <v>7595</v>
      </c>
      <c r="C19424" s="16" t="s">
        <v>7052</v>
      </c>
      <c r="D19424" s="16" t="s">
        <v>7053</v>
      </c>
      <c r="E19424" s="2">
        <v>2992703</v>
      </c>
      <c r="F19424" s="4" t="str">
        <f>IF(B19424=B19423,"",B19424)</f>
        <v>MontÃ©limar</v>
      </c>
    </row>
    <row r="19425" spans="1:6" ht="15.75" customHeight="1">
      <c r="A19425" s="15" t="s">
        <v>29329</v>
      </c>
      <c r="B19425" s="15" t="s">
        <v>29329</v>
      </c>
      <c r="C19425" s="15" t="s">
        <v>27788</v>
      </c>
      <c r="D19425" s="15" t="s">
        <v>27819</v>
      </c>
      <c r="E19425" s="2">
        <v>5127315</v>
      </c>
      <c r="F19425" s="4" t="str">
        <f>IF(B19425=B19424,"",B19425)</f>
        <v>Monsey</v>
      </c>
    </row>
    <row r="19426" spans="1:6" ht="15.75" customHeight="1">
      <c r="A19426" s="8" t="str">
        <f ca="1">IFERROR(__xludf.DUMMYFUNCTION("GOOGLETRANSLATE(B44413,""en"",""pt"")"),"Monsey")</f>
        <v>Monsey</v>
      </c>
      <c r="B19426" s="11" t="s">
        <v>29329</v>
      </c>
      <c r="C19426" s="11" t="s">
        <v>27788</v>
      </c>
      <c r="D19426" s="11" t="s">
        <v>27819</v>
      </c>
      <c r="E19426" s="10">
        <v>5127315</v>
      </c>
      <c r="F19426" s="4" t="str">
        <f>IF(B19426=B19425,"",B19426)</f>
        <v/>
      </c>
    </row>
    <row r="19427" spans="1:6" ht="15.75" customHeight="1">
      <c r="A19427" s="16" t="s">
        <v>15289</v>
      </c>
      <c r="B19427" s="15" t="s">
        <v>15289</v>
      </c>
      <c r="C19427" s="16" t="s">
        <v>14891</v>
      </c>
      <c r="D19427" s="16" t="s">
        <v>14925</v>
      </c>
      <c r="E19427" s="2">
        <v>2524084</v>
      </c>
      <c r="F19427" s="4" t="str">
        <f>IF(B19427=B19426,"",B19427)</f>
        <v>Monserrato</v>
      </c>
    </row>
    <row r="19428" spans="1:6" ht="15.75" customHeight="1">
      <c r="A19428" s="8" t="str">
        <f ca="1">IFERROR(__xludf.DUMMYFUNCTION("GOOGLETRANSLATE(B34576,""en"",""pt"")"),"Monserrato")</f>
        <v>Monserrato</v>
      </c>
      <c r="B19428" s="11" t="s">
        <v>15289</v>
      </c>
      <c r="C19428" s="11" t="s">
        <v>14891</v>
      </c>
      <c r="D19428" s="11" t="s">
        <v>14925</v>
      </c>
      <c r="E19428" s="10">
        <v>2524084</v>
      </c>
      <c r="F19428" s="4" t="str">
        <f>IF(B19428=B19427,"",B19428)</f>
        <v/>
      </c>
    </row>
    <row r="19429" spans="1:6" ht="15.75" customHeight="1">
      <c r="A19429" s="8" t="str">
        <f ca="1">IFERROR(__xludf.DUMMYFUNCTION("GOOGLETRANSLATE(B29917,""en"",""pt"")"),"Mons-en-barœul")</f>
        <v>Mons-en-barœul</v>
      </c>
      <c r="B19429" s="9" t="s">
        <v>32578</v>
      </c>
      <c r="C19429" s="9" t="s">
        <v>7052</v>
      </c>
      <c r="D19429" s="9" t="s">
        <v>7078</v>
      </c>
      <c r="E19429" s="10">
        <v>2993207</v>
      </c>
      <c r="F19429" s="4" t="str">
        <f>IF(B19429=B19428,"",B19429)</f>
        <v>Mons-en-Barœul</v>
      </c>
    </row>
    <row r="19430" spans="1:6" ht="15.75" customHeight="1">
      <c r="A19430" s="16" t="s">
        <v>7592</v>
      </c>
      <c r="B19430" s="15" t="s">
        <v>7593</v>
      </c>
      <c r="C19430" s="16" t="s">
        <v>7052</v>
      </c>
      <c r="D19430" s="16" t="s">
        <v>7078</v>
      </c>
      <c r="E19430" s="2">
        <v>2993207</v>
      </c>
      <c r="F19430" s="4" t="str">
        <f>IF(B19430=B19429,"",B19430)</f>
        <v>Mons-en-BarÅ“ul</v>
      </c>
    </row>
    <row r="19431" spans="1:6" ht="15.75" customHeight="1">
      <c r="A19431" s="8" t="str">
        <f ca="1">IFERROR(__xludf.DUMMYFUNCTION("GOOGLETRANSLATE(B38325,""en"",""pt"")"),"Monsefú")</f>
        <v>Monsefú</v>
      </c>
      <c r="B19431" s="9" t="s">
        <v>34872</v>
      </c>
      <c r="C19431" s="9" t="s">
        <v>20470</v>
      </c>
      <c r="D19431" s="9" t="s">
        <v>20495</v>
      </c>
      <c r="E19431" s="10">
        <v>3694666</v>
      </c>
      <c r="F19431" s="4" t="str">
        <f>IF(B19431=B19430,"",B19431)</f>
        <v>Monsefú</v>
      </c>
    </row>
    <row r="19432" spans="1:6" ht="15.75" customHeight="1">
      <c r="A19432" s="15" t="s">
        <v>20546</v>
      </c>
      <c r="B19432" s="15" t="s">
        <v>20547</v>
      </c>
      <c r="C19432" s="15" t="s">
        <v>20470</v>
      </c>
      <c r="D19432" s="15" t="s">
        <v>20495</v>
      </c>
      <c r="E19432" s="2">
        <v>3694666</v>
      </c>
      <c r="F19432" s="4" t="str">
        <f>IF(B19432=B19431,"",B19432)</f>
        <v>MonsefÃº</v>
      </c>
    </row>
    <row r="19433" spans="1:6" ht="15.75" customHeight="1">
      <c r="A19433" s="16" t="s">
        <v>21689</v>
      </c>
      <c r="B19433" s="15" t="s">
        <v>21689</v>
      </c>
      <c r="C19433" s="16" t="s">
        <v>21606</v>
      </c>
      <c r="D19433" s="16" t="s">
        <v>3428</v>
      </c>
      <c r="E19433" s="2">
        <v>2266249</v>
      </c>
      <c r="F19433" s="4" t="str">
        <f>IF(B19433=B19432,"",B19433)</f>
        <v>Monsanto</v>
      </c>
    </row>
    <row r="19434" spans="1:6" ht="15.75" customHeight="1">
      <c r="A19434" s="8" t="str">
        <f ca="1">IFERROR(__xludf.DUMMYFUNCTION("GOOGLETRANSLATE(B39595,""en"",""pt"")"),"Monsanto")</f>
        <v>Monsanto</v>
      </c>
      <c r="B19434" s="11" t="s">
        <v>21689</v>
      </c>
      <c r="C19434" s="11" t="s">
        <v>21606</v>
      </c>
      <c r="D19434" s="11" t="s">
        <v>31373</v>
      </c>
      <c r="E19434" s="10">
        <v>2266249</v>
      </c>
      <c r="F19434" s="4" t="str">
        <f>IF(B19434=B19433,"",B19434)</f>
        <v/>
      </c>
    </row>
    <row r="19435" spans="1:6" ht="15.75" customHeight="1">
      <c r="A19435" s="15" t="s">
        <v>1643</v>
      </c>
      <c r="B19435" s="15" t="s">
        <v>1643</v>
      </c>
      <c r="C19435" s="15" t="s">
        <v>1512</v>
      </c>
      <c r="D19435" s="15" t="s">
        <v>1518</v>
      </c>
      <c r="E19435" s="2">
        <v>2790869</v>
      </c>
      <c r="F19435" s="4" t="str">
        <f>IF(B19435=B19434,"",B19435)</f>
        <v>Mons</v>
      </c>
    </row>
    <row r="19436" spans="1:6" ht="15.75" customHeight="1">
      <c r="A19436" s="8" t="str">
        <f ca="1">IFERROR(__xludf.DUMMYFUNCTION("GOOGLETRANSLATE(B23865,""en"",""pt"")"),"Mons")</f>
        <v>Mons</v>
      </c>
      <c r="B19436" s="11" t="s">
        <v>1643</v>
      </c>
      <c r="C19436" s="11" t="s">
        <v>1512</v>
      </c>
      <c r="D19436" s="11" t="s">
        <v>1518</v>
      </c>
      <c r="E19436" s="10">
        <v>2790869</v>
      </c>
      <c r="F19436" s="4" t="str">
        <f>IF(B19436=B19435,"",B19436)</f>
        <v/>
      </c>
    </row>
    <row r="19437" spans="1:6" ht="15.75" customHeight="1">
      <c r="A19437" s="15" t="s">
        <v>17064</v>
      </c>
      <c r="B19437" s="15" t="s">
        <v>17065</v>
      </c>
      <c r="C19437" s="15" t="s">
        <v>5687</v>
      </c>
      <c r="D19437" s="15" t="s">
        <v>17052</v>
      </c>
      <c r="E19437" s="2">
        <v>2274895</v>
      </c>
      <c r="F19437" s="4" t="str">
        <f>IF(B19437=B19436,"",B19437)</f>
        <v>Monrovia</v>
      </c>
    </row>
    <row r="19438" spans="1:6" ht="15.75" customHeight="1">
      <c r="A19438" s="15" t="s">
        <v>17064</v>
      </c>
      <c r="B19438" s="15" t="s">
        <v>17065</v>
      </c>
      <c r="C19438" s="15" t="s">
        <v>27788</v>
      </c>
      <c r="D19438" s="15" t="s">
        <v>27801</v>
      </c>
      <c r="E19438" s="2">
        <v>5374175</v>
      </c>
      <c r="F19438" s="4" t="str">
        <f>IF(B19438=B19437,"",B19438)</f>
        <v/>
      </c>
    </row>
    <row r="19439" spans="1:6" ht="15.75" customHeight="1">
      <c r="A19439" s="8" t="str">
        <f ca="1">IFERROR(__xludf.DUMMYFUNCTION("GOOGLETRANSLATE(B36345,""en"",""pt"")"),"Monróvia")</f>
        <v>Monróvia</v>
      </c>
      <c r="B19439" s="9" t="s">
        <v>17065</v>
      </c>
      <c r="C19439" s="9" t="s">
        <v>5687</v>
      </c>
      <c r="D19439" s="9" t="s">
        <v>17052</v>
      </c>
      <c r="E19439" s="10">
        <v>2274895</v>
      </c>
      <c r="F19439" s="4" t="str">
        <f>IF(B19439=B19438,"",B19439)</f>
        <v/>
      </c>
    </row>
    <row r="19440" spans="1:6" ht="15.75" customHeight="1">
      <c r="A19440" s="8" t="str">
        <f ca="1">IFERROR(__xludf.DUMMYFUNCTION("GOOGLETRANSLATE(B44911,""en"",""pt"")"),"Monróvia")</f>
        <v>Monróvia</v>
      </c>
      <c r="B19440" s="11" t="s">
        <v>17065</v>
      </c>
      <c r="C19440" s="11" t="s">
        <v>27788</v>
      </c>
      <c r="D19440" s="11" t="s">
        <v>27801</v>
      </c>
      <c r="E19440" s="10">
        <v>5374175</v>
      </c>
      <c r="F19440" s="4" t="str">
        <f>IF(B19440=B19439,"",B19440)</f>
        <v/>
      </c>
    </row>
    <row r="19441" spans="1:6" ht="15.75" customHeight="1">
      <c r="A19441" s="16" t="s">
        <v>29328</v>
      </c>
      <c r="B19441" s="15" t="s">
        <v>29328</v>
      </c>
      <c r="C19441" s="16" t="s">
        <v>27788</v>
      </c>
      <c r="D19441" s="16" t="s">
        <v>27836</v>
      </c>
      <c r="E19441" s="2">
        <v>5201734</v>
      </c>
      <c r="F19441" s="4" t="str">
        <f>IF(B19441=B19440,"",B19441)</f>
        <v>Monroeville</v>
      </c>
    </row>
    <row r="19442" spans="1:6" ht="15.75" customHeight="1">
      <c r="A19442" s="8" t="str">
        <f ca="1">IFERROR(__xludf.DUMMYFUNCTION("GOOGLETRANSLATE(B44581,""en"",""pt"")"),"Monroeville")</f>
        <v>Monroeville</v>
      </c>
      <c r="B19442" s="11" t="s">
        <v>29328</v>
      </c>
      <c r="C19442" s="11" t="s">
        <v>27788</v>
      </c>
      <c r="D19442" s="11" t="s">
        <v>27836</v>
      </c>
      <c r="E19442" s="10">
        <v>5201734</v>
      </c>
      <c r="F19442" s="4" t="str">
        <f>IF(B19442=B19441,"",B19442)</f>
        <v/>
      </c>
    </row>
    <row r="19443" spans="1:6" ht="15.75" customHeight="1">
      <c r="A19443" s="15" t="s">
        <v>29327</v>
      </c>
      <c r="B19443" s="15" t="s">
        <v>29327</v>
      </c>
      <c r="C19443" s="15" t="s">
        <v>27788</v>
      </c>
      <c r="D19443" s="15" t="s">
        <v>27827</v>
      </c>
      <c r="E19443" s="2">
        <v>4333669</v>
      </c>
      <c r="F19443" s="4" t="str">
        <f>IF(B19443=B19442,"",B19443)</f>
        <v>Monroe</v>
      </c>
    </row>
    <row r="19444" spans="1:6" ht="15.75" customHeight="1">
      <c r="A19444" s="15" t="s">
        <v>29327</v>
      </c>
      <c r="B19444" s="15" t="s">
        <v>29327</v>
      </c>
      <c r="C19444" s="15" t="s">
        <v>27788</v>
      </c>
      <c r="D19444" s="15" t="s">
        <v>27822</v>
      </c>
      <c r="E19444" s="2">
        <v>4479946</v>
      </c>
      <c r="F19444" s="4" t="str">
        <f>IF(B19444=B19443,"",B19444)</f>
        <v/>
      </c>
    </row>
    <row r="19445" spans="1:6" ht="15.75" customHeight="1">
      <c r="A19445" s="15" t="s">
        <v>29327</v>
      </c>
      <c r="B19445" s="15" t="s">
        <v>29327</v>
      </c>
      <c r="C19445" s="15" t="s">
        <v>27788</v>
      </c>
      <c r="D19445" s="15" t="s">
        <v>27804</v>
      </c>
      <c r="E19445" s="2">
        <v>5002344</v>
      </c>
      <c r="F19445" s="4" t="str">
        <f>IF(B19445=B19444,"",B19445)</f>
        <v/>
      </c>
    </row>
    <row r="19446" spans="1:6" ht="15.75" customHeight="1">
      <c r="A19446" s="15" t="s">
        <v>29327</v>
      </c>
      <c r="B19446" s="15" t="s">
        <v>29327</v>
      </c>
      <c r="C19446" s="15" t="s">
        <v>27788</v>
      </c>
      <c r="D19446" s="15" t="s">
        <v>27733</v>
      </c>
      <c r="E19446" s="2">
        <v>5803786</v>
      </c>
      <c r="F19446" s="4" t="str">
        <f>IF(B19446=B19445,"",B19446)</f>
        <v/>
      </c>
    </row>
    <row r="19447" spans="1:6" ht="15.75" customHeight="1">
      <c r="A19447" s="8" t="str">
        <f ca="1">IFERROR(__xludf.DUMMYFUNCTION("GOOGLETRANSLATE(B43241,""en"",""pt"")"),"Monroe")</f>
        <v>Monroe</v>
      </c>
      <c r="B19447" s="9" t="s">
        <v>29327</v>
      </c>
      <c r="C19447" s="9" t="s">
        <v>27788</v>
      </c>
      <c r="D19447" s="9" t="s">
        <v>27827</v>
      </c>
      <c r="E19447" s="10">
        <v>4333669</v>
      </c>
      <c r="F19447" s="4" t="str">
        <f>IF(B19447=B19446,"",B19447)</f>
        <v/>
      </c>
    </row>
    <row r="19448" spans="1:6" ht="15.75" customHeight="1">
      <c r="A19448" s="8" t="str">
        <f ca="1">IFERROR(__xludf.DUMMYFUNCTION("GOOGLETRANSLATE(B43468,""en"",""pt"")"),"Monroe")</f>
        <v>Monroe</v>
      </c>
      <c r="B19448" s="11" t="s">
        <v>29327</v>
      </c>
      <c r="C19448" s="11" t="s">
        <v>27788</v>
      </c>
      <c r="D19448" s="11" t="s">
        <v>27822</v>
      </c>
      <c r="E19448" s="10">
        <v>4479946</v>
      </c>
      <c r="F19448" s="4" t="str">
        <f>IF(B19448=B19447,"",B19448)</f>
        <v/>
      </c>
    </row>
    <row r="19449" spans="1:6" ht="15.75" customHeight="1">
      <c r="A19449" s="8" t="str">
        <f ca="1">IFERROR(__xludf.DUMMYFUNCTION("GOOGLETRANSLATE(B44103,""en"",""pt"")"),"Monroe")</f>
        <v>Monroe</v>
      </c>
      <c r="B19449" s="9" t="s">
        <v>29327</v>
      </c>
      <c r="C19449" s="9" t="s">
        <v>27788</v>
      </c>
      <c r="D19449" s="9" t="s">
        <v>27804</v>
      </c>
      <c r="E19449" s="10">
        <v>5002344</v>
      </c>
      <c r="F19449" s="4" t="str">
        <f>IF(B19449=B19448,"",B19449)</f>
        <v/>
      </c>
    </row>
    <row r="19450" spans="1:6" ht="15.75" customHeight="1">
      <c r="A19450" s="8" t="str">
        <f ca="1">IFERROR(__xludf.DUMMYFUNCTION("GOOGLETRANSLATE(B45353,""en"",""pt"")"),"Monroe")</f>
        <v>Monroe</v>
      </c>
      <c r="B19450" s="11" t="s">
        <v>29327</v>
      </c>
      <c r="C19450" s="11" t="s">
        <v>27788</v>
      </c>
      <c r="D19450" s="11" t="s">
        <v>27733</v>
      </c>
      <c r="E19450" s="10">
        <v>5803786</v>
      </c>
      <c r="F19450" s="4" t="str">
        <f>IF(B19450=B19449,"",B19450)</f>
        <v/>
      </c>
    </row>
    <row r="19451" spans="1:6" ht="15.75" customHeight="1">
      <c r="A19451" s="15" t="s">
        <v>15288</v>
      </c>
      <c r="B19451" s="15" t="s">
        <v>15288</v>
      </c>
      <c r="C19451" s="15" t="s">
        <v>14891</v>
      </c>
      <c r="D19451" s="15" t="s">
        <v>14899</v>
      </c>
      <c r="E19451" s="2">
        <v>2524085</v>
      </c>
      <c r="F19451" s="4" t="str">
        <f>IF(B19451=B19450,"",B19451)</f>
        <v>Monreale</v>
      </c>
    </row>
    <row r="19452" spans="1:6" ht="15.75" customHeight="1">
      <c r="A19452" s="8" t="str">
        <f ca="1">IFERROR(__xludf.DUMMYFUNCTION("GOOGLETRANSLATE(B34577,""en"",""pt"")"),"Monreale")</f>
        <v>Monreale</v>
      </c>
      <c r="B19452" s="11" t="s">
        <v>15288</v>
      </c>
      <c r="C19452" s="11" t="s">
        <v>14891</v>
      </c>
      <c r="D19452" s="11" t="s">
        <v>14899</v>
      </c>
      <c r="E19452" s="10">
        <v>2524085</v>
      </c>
      <c r="F19452" s="4" t="str">
        <f>IF(B19452=B19451,"",B19452)</f>
        <v/>
      </c>
    </row>
    <row r="19453" spans="1:6" ht="15.75" customHeight="1">
      <c r="A19453" s="15" t="s">
        <v>10106</v>
      </c>
      <c r="B19453" s="15" t="s">
        <v>10106</v>
      </c>
      <c r="C19453" s="15" t="s">
        <v>9955</v>
      </c>
      <c r="D19453" s="15" t="s">
        <v>9959</v>
      </c>
      <c r="E19453" s="2">
        <v>3047942</v>
      </c>
      <c r="F19453" s="4" t="str">
        <f>IF(B19453=B19452,"",B19453)</f>
        <v>Monor</v>
      </c>
    </row>
    <row r="19454" spans="1:6" ht="15.75" customHeight="1">
      <c r="A19454" s="8" t="str">
        <f ca="1">IFERROR(__xludf.DUMMYFUNCTION("GOOGLETRANSLATE(B31298,""en"",""pt"")"),"Monor")</f>
        <v>Monor</v>
      </c>
      <c r="B19454" s="11" t="s">
        <v>10106</v>
      </c>
      <c r="C19454" s="11" t="s">
        <v>9955</v>
      </c>
      <c r="D19454" s="11" t="s">
        <v>9959</v>
      </c>
      <c r="E19454" s="10">
        <v>3047942</v>
      </c>
      <c r="F19454" s="4" t="str">
        <f>IF(B19454=B19453,"",B19454)</f>
        <v/>
      </c>
    </row>
    <row r="19455" spans="1:6" ht="15.75" customHeight="1">
      <c r="A19455" s="15" t="s">
        <v>15287</v>
      </c>
      <c r="B19455" s="15" t="s">
        <v>15287</v>
      </c>
      <c r="C19455" s="15" t="s">
        <v>14891</v>
      </c>
      <c r="D19455" s="15" t="s">
        <v>14908</v>
      </c>
      <c r="E19455" s="2">
        <v>3173131</v>
      </c>
      <c r="F19455" s="4" t="str">
        <f>IF(B19455=B19454,"",B19455)</f>
        <v>Monopoli</v>
      </c>
    </row>
    <row r="19456" spans="1:6" ht="15.75" customHeight="1">
      <c r="A19456" s="8" t="str">
        <f ca="1">IFERROR(__xludf.DUMMYFUNCTION("GOOGLETRANSLATE(B34821,""en"",""pt"")"),"Monopoli")</f>
        <v>Monopoli</v>
      </c>
      <c r="B19456" s="11" t="s">
        <v>15287</v>
      </c>
      <c r="C19456" s="11" t="s">
        <v>14891</v>
      </c>
      <c r="D19456" s="11" t="s">
        <v>14908</v>
      </c>
      <c r="E19456" s="10">
        <v>3173131</v>
      </c>
      <c r="F19456" s="4" t="str">
        <f>IF(B19456=B19455,"",B19456)</f>
        <v/>
      </c>
    </row>
    <row r="19457" spans="1:6" ht="15.75" customHeight="1">
      <c r="A19457" s="16" t="s">
        <v>12421</v>
      </c>
      <c r="B19457" s="15" t="s">
        <v>12421</v>
      </c>
      <c r="C19457" s="16" t="s">
        <v>10178</v>
      </c>
      <c r="D19457" s="16" t="s">
        <v>10201</v>
      </c>
      <c r="E19457" s="2">
        <v>1349041</v>
      </c>
      <c r="F19457" s="4" t="str">
        <f>IF(B19457=B19456,"",B19457)</f>
        <v>Monoharpur</v>
      </c>
    </row>
    <row r="19458" spans="1:6" ht="15.75" customHeight="1">
      <c r="A19458" s="8" t="str">
        <f ca="1">IFERROR(__xludf.DUMMYFUNCTION("GOOGLETRANSLATE(B34194,""en"",""pt"")"),"Monoharpur")</f>
        <v>Monoharpur</v>
      </c>
      <c r="B19458" s="11" t="s">
        <v>12421</v>
      </c>
      <c r="C19458" s="11" t="s">
        <v>10178</v>
      </c>
      <c r="D19458" s="11" t="s">
        <v>10201</v>
      </c>
      <c r="E19458" s="10">
        <v>1349041</v>
      </c>
      <c r="F19458" s="4" t="str">
        <f>IF(B19458=B19457,"",B19458)</f>
        <v/>
      </c>
    </row>
    <row r="19459" spans="1:6" ht="15.75" customHeight="1">
      <c r="A19459" s="15" t="s">
        <v>20908</v>
      </c>
      <c r="B19459" s="15" t="s">
        <v>20908</v>
      </c>
      <c r="C19459" s="15" t="s">
        <v>20598</v>
      </c>
      <c r="D19459" s="15" t="s">
        <v>20658</v>
      </c>
      <c r="E19459" s="2">
        <v>1699323</v>
      </c>
      <c r="F19459" s="4" t="str">
        <f>IF(B19459=B19458,"",B19459)</f>
        <v>Monkayo</v>
      </c>
    </row>
    <row r="19460" spans="1:6" ht="15.75" customHeight="1">
      <c r="A19460" s="8" t="str">
        <f ca="1">IFERROR(__xludf.DUMMYFUNCTION("GOOGLETRANSLATE(B38600,""en"",""pt"")"),"Monkayo")</f>
        <v>Monkayo</v>
      </c>
      <c r="B19460" s="9" t="s">
        <v>20908</v>
      </c>
      <c r="C19460" s="9" t="s">
        <v>20598</v>
      </c>
      <c r="D19460" s="9" t="s">
        <v>20658</v>
      </c>
      <c r="E19460" s="10">
        <v>1699323</v>
      </c>
      <c r="F19460" s="4" t="str">
        <f>IF(B19460=B19459,"",B19460)</f>
        <v/>
      </c>
    </row>
    <row r="19461" spans="1:6" ht="15.75" customHeight="1">
      <c r="A19461" s="15" t="s">
        <v>22752</v>
      </c>
      <c r="B19461" s="15" t="s">
        <v>22752</v>
      </c>
      <c r="C19461" s="15" t="s">
        <v>22070</v>
      </c>
      <c r="D19461" s="15" t="s">
        <v>22119</v>
      </c>
      <c r="E19461" s="2">
        <v>525396</v>
      </c>
      <c r="F19461" s="4" t="str">
        <f>IF(B19461=B19460,"",B19461)</f>
        <v>Monino</v>
      </c>
    </row>
    <row r="19462" spans="1:6" ht="15.75" customHeight="1">
      <c r="A19462" s="8" t="str">
        <f ca="1">IFERROR(__xludf.DUMMYFUNCTION("GOOGLETRANSLATE(B40313,""en"",""pt"")"),"Monino")</f>
        <v>Monino</v>
      </c>
      <c r="B19462" s="9" t="s">
        <v>22752</v>
      </c>
      <c r="C19462" s="9" t="s">
        <v>22070</v>
      </c>
      <c r="D19462" s="9" t="s">
        <v>22119</v>
      </c>
      <c r="E19462" s="10">
        <v>525396</v>
      </c>
      <c r="F19462" s="4" t="str">
        <f>IF(B19462=B19461,"",B19462)</f>
        <v/>
      </c>
    </row>
    <row r="19463" spans="1:6" ht="15.75" customHeight="1">
      <c r="A19463" s="16" t="s">
        <v>8860</v>
      </c>
      <c r="B19463" s="15" t="s">
        <v>8860</v>
      </c>
      <c r="C19463" s="16" t="s">
        <v>8028</v>
      </c>
      <c r="D19463" s="16" t="s">
        <v>8029</v>
      </c>
      <c r="E19463" s="2">
        <v>2869791</v>
      </c>
      <c r="F19463" s="4" t="str">
        <f>IF(B19463=B19462,"",B19463)</f>
        <v>Monheim am Rhein</v>
      </c>
    </row>
    <row r="19464" spans="1:6" ht="15.75" customHeight="1">
      <c r="A19464" s="8" t="str">
        <f ca="1">IFERROR(__xludf.DUMMYFUNCTION("GOOGLETRANSLATE(B27751,""en"",""pt"")"),"Monheim am Rhein")</f>
        <v>Monheim am Rhein</v>
      </c>
      <c r="B19464" s="9" t="s">
        <v>8860</v>
      </c>
      <c r="C19464" s="9" t="s">
        <v>8028</v>
      </c>
      <c r="D19464" s="9" t="s">
        <v>8029</v>
      </c>
      <c r="E19464" s="10">
        <v>2869791</v>
      </c>
      <c r="F19464" s="4" t="str">
        <f>IF(B19464=B19463,"",B19464)</f>
        <v/>
      </c>
    </row>
    <row r="19465" spans="1:6" ht="15.75" customHeight="1">
      <c r="A19465" s="15" t="s">
        <v>19505</v>
      </c>
      <c r="B19465" s="15" t="s">
        <v>19505</v>
      </c>
      <c r="C19465" s="15" t="s">
        <v>19294</v>
      </c>
      <c r="D19465" s="15" t="s">
        <v>19338</v>
      </c>
      <c r="E19465" s="2">
        <v>2329946</v>
      </c>
      <c r="F19465" s="4" t="str">
        <f>IF(B19465=B19464,"",B19465)</f>
        <v>Monguno</v>
      </c>
    </row>
    <row r="19466" spans="1:6" ht="15.75" customHeight="1">
      <c r="A19466" s="8" t="str">
        <f ca="1">IFERROR(__xludf.DUMMYFUNCTION("GOOGLETRANSLATE(B37677,""en"",""pt"")"),"Monguno")</f>
        <v>Monguno</v>
      </c>
      <c r="B19466" s="9" t="s">
        <v>19505</v>
      </c>
      <c r="C19466" s="9" t="s">
        <v>19294</v>
      </c>
      <c r="D19466" s="9" t="s">
        <v>19338</v>
      </c>
      <c r="E19466" s="10">
        <v>2329946</v>
      </c>
      <c r="F19466" s="4" t="str">
        <f>IF(B19466=B19465,"",B19466)</f>
        <v/>
      </c>
    </row>
    <row r="19467" spans="1:6" ht="15.75" customHeight="1">
      <c r="A19467" s="15" t="s">
        <v>31059</v>
      </c>
      <c r="B19467" s="15" t="s">
        <v>31059</v>
      </c>
      <c r="C19467" s="15" t="s">
        <v>31038</v>
      </c>
      <c r="D19467" s="15" t="s">
        <v>6944</v>
      </c>
      <c r="E19467" s="2">
        <v>906054</v>
      </c>
      <c r="F19467" s="4" t="str">
        <f>IF(B19467=B19466,"",B19467)</f>
        <v>Mongu</v>
      </c>
    </row>
    <row r="19468" spans="1:6" ht="15.75" customHeight="1">
      <c r="A19468" s="8" t="str">
        <f ca="1">IFERROR(__xludf.DUMMYFUNCTION("GOOGLETRANSLATE(B46014,""en"",""pt"")"),"Mongu")</f>
        <v>Mongu</v>
      </c>
      <c r="B19468" s="9" t="s">
        <v>31059</v>
      </c>
      <c r="C19468" s="9" t="s">
        <v>31038</v>
      </c>
      <c r="D19468" s="9" t="s">
        <v>6944</v>
      </c>
      <c r="E19468" s="10">
        <v>906054</v>
      </c>
      <c r="F19468" s="4" t="str">
        <f>IF(B19468=B19467,"",B19468)</f>
        <v/>
      </c>
    </row>
    <row r="19469" spans="1:6" ht="15.75" customHeight="1">
      <c r="A19469" s="15" t="s">
        <v>4344</v>
      </c>
      <c r="B19469" s="15" t="s">
        <v>4344</v>
      </c>
      <c r="C19469" s="15" t="s">
        <v>4305</v>
      </c>
      <c r="D19469" s="15" t="s">
        <v>4316</v>
      </c>
      <c r="E19469" s="2">
        <v>2427637</v>
      </c>
      <c r="F19469" s="4" t="str">
        <f>IF(B19469=B19468,"",B19469)</f>
        <v>Mongo</v>
      </c>
    </row>
    <row r="19470" spans="1:6" ht="15.75" customHeight="1">
      <c r="A19470" s="8" t="str">
        <f ca="1">IFERROR(__xludf.DUMMYFUNCTION("GOOGLETRANSLATE(B41478,""en"",""pt"")"),"Mongo")</f>
        <v>Mongo</v>
      </c>
      <c r="B19470" s="9" t="s">
        <v>4344</v>
      </c>
      <c r="C19470" s="9" t="s">
        <v>4305</v>
      </c>
      <c r="D19470" s="9" t="s">
        <v>35772</v>
      </c>
      <c r="E19470" s="10">
        <v>2427637</v>
      </c>
      <c r="F19470" s="4" t="str">
        <f>IF(B19470=B19469,"",B19470)</f>
        <v/>
      </c>
    </row>
    <row r="19471" spans="1:6" ht="15.75" customHeight="1">
      <c r="A19471" s="15" t="s">
        <v>12420</v>
      </c>
      <c r="B19471" s="15" t="s">
        <v>12420</v>
      </c>
      <c r="C19471" s="15" t="s">
        <v>10178</v>
      </c>
      <c r="D19471" s="15" t="s">
        <v>10317</v>
      </c>
      <c r="E19471" s="2">
        <v>1262482</v>
      </c>
      <c r="F19471" s="4" t="str">
        <f>IF(B19471=B19470,"",B19471)</f>
        <v>Monghyr</v>
      </c>
    </row>
    <row r="19472" spans="1:6" ht="15.75" customHeight="1">
      <c r="A19472" s="8" t="str">
        <f ca="1">IFERROR(__xludf.DUMMYFUNCTION("GOOGLETRANSLATE(B32722,""en"",""pt"")"),"Monghyr")</f>
        <v>Monghyr</v>
      </c>
      <c r="B19472" s="9" t="s">
        <v>12420</v>
      </c>
      <c r="C19472" s="9" t="s">
        <v>10178</v>
      </c>
      <c r="D19472" s="9" t="s">
        <v>10317</v>
      </c>
      <c r="E19472" s="10">
        <v>1262482</v>
      </c>
      <c r="F19472" s="4" t="str">
        <f>IF(B19472=B19471,"",B19472)</f>
        <v/>
      </c>
    </row>
    <row r="19473" spans="1:6" ht="15.75" customHeight="1">
      <c r="A19473" s="16" t="s">
        <v>2910</v>
      </c>
      <c r="B19473" s="15" t="s">
        <v>2911</v>
      </c>
      <c r="C19473" s="16" t="s">
        <v>1905</v>
      </c>
      <c r="D19473" s="16" t="s">
        <v>1914</v>
      </c>
      <c r="E19473" s="2">
        <v>3456944</v>
      </c>
      <c r="F19473" s="4" t="str">
        <f>IF(B19473=B19472,"",B19473)</f>
        <v>MongaguÃ¡</v>
      </c>
    </row>
    <row r="19474" spans="1:6" ht="15.75" customHeight="1">
      <c r="A19474" s="8" t="str">
        <f ca="1">IFERROR(__xludf.DUMMYFUNCTION("GOOGLETRANSLATE(B24808,""en"",""pt"")"),"Mongaguá")</f>
        <v>Mongaguá</v>
      </c>
      <c r="B19474" s="11" t="s">
        <v>31590</v>
      </c>
      <c r="C19474" s="11" t="s">
        <v>1905</v>
      </c>
      <c r="D19474" s="11" t="s">
        <v>3354</v>
      </c>
      <c r="E19474" s="10">
        <v>3456944</v>
      </c>
      <c r="F19474" s="4" t="str">
        <f>IF(B19474=B19473,"",B19474)</f>
        <v>Mongaguá</v>
      </c>
    </row>
    <row r="19475" spans="1:6" ht="15.75" customHeight="1">
      <c r="A19475" s="8" t="str">
        <f ca="1">IFERROR(__xludf.DUMMYFUNCTION("GOOGLETRANSLATE(B45747,""en"",""pt"")"),"Móng Cái")</f>
        <v>Móng Cái</v>
      </c>
      <c r="B19475" s="9" t="s">
        <v>36158</v>
      </c>
      <c r="C19475" s="9" t="s">
        <v>30784</v>
      </c>
      <c r="D19475" s="9" t="s">
        <v>36115</v>
      </c>
      <c r="E19475" s="10">
        <v>1574507</v>
      </c>
      <c r="F19475" s="4" t="str">
        <f>IF(B19475=B19474,"",B19475)</f>
        <v>Móng Cái</v>
      </c>
    </row>
    <row r="19476" spans="1:6" ht="15.75" customHeight="1">
      <c r="A19476" s="16" t="s">
        <v>24631</v>
      </c>
      <c r="B19476" s="15" t="s">
        <v>24631</v>
      </c>
      <c r="C19476" s="16" t="s">
        <v>24200</v>
      </c>
      <c r="D19476" s="16" t="s">
        <v>24201</v>
      </c>
      <c r="E19476" s="2">
        <v>3116478</v>
      </c>
      <c r="F19476" s="4" t="str">
        <f>IF(B19476=B19475,"",B19476)</f>
        <v>Monforte de Lemos</v>
      </c>
    </row>
    <row r="19477" spans="1:6" ht="15.75" customHeight="1">
      <c r="A19477" s="8" t="str">
        <f ca="1">IFERROR(__xludf.DUMMYFUNCTION("GOOGLETRANSLATE(B29350,""en"",""pt"")"),"Monforte de Lemos")</f>
        <v>Monforte de Lemos</v>
      </c>
      <c r="B19477" s="9" t="s">
        <v>24631</v>
      </c>
      <c r="C19477" s="9" t="s">
        <v>24200</v>
      </c>
      <c r="D19477" s="9" t="s">
        <v>24201</v>
      </c>
      <c r="E19477" s="10">
        <v>3116478</v>
      </c>
      <c r="F19477" s="4" t="str">
        <f>IF(B19477=B19476,"",B19477)</f>
        <v/>
      </c>
    </row>
    <row r="19478" spans="1:6" ht="15.75" customHeight="1">
      <c r="A19478" s="16" t="s">
        <v>15286</v>
      </c>
      <c r="B19478" s="15" t="s">
        <v>15286</v>
      </c>
      <c r="C19478" s="16" t="s">
        <v>14891</v>
      </c>
      <c r="D19478" s="16" t="s">
        <v>15105</v>
      </c>
      <c r="E19478" s="2">
        <v>3173153</v>
      </c>
      <c r="F19478" s="4" t="str">
        <f>IF(B19478=B19477,"",B19478)</f>
        <v>Monfalcone</v>
      </c>
    </row>
    <row r="19479" spans="1:6" ht="15.75" customHeight="1">
      <c r="A19479" s="8" t="str">
        <f ca="1">IFERROR(__xludf.DUMMYFUNCTION("GOOGLETRANSLATE(B34822,""en"",""pt"")"),"Monfalcone")</f>
        <v>Monfalcone</v>
      </c>
      <c r="B19479" s="9" t="s">
        <v>15286</v>
      </c>
      <c r="C19479" s="9" t="s">
        <v>14891</v>
      </c>
      <c r="D19479" s="9" t="s">
        <v>15105</v>
      </c>
      <c r="E19479" s="10">
        <v>3173153</v>
      </c>
      <c r="F19479" s="4" t="str">
        <f>IF(B19479=B19478,"",B19479)</f>
        <v/>
      </c>
    </row>
    <row r="19480" spans="1:6" ht="15.75" customHeight="1">
      <c r="A19480" s="16" t="s">
        <v>15285</v>
      </c>
      <c r="B19480" s="15" t="s">
        <v>15285</v>
      </c>
      <c r="C19480" s="16" t="s">
        <v>14891</v>
      </c>
      <c r="D19480" s="16" t="s">
        <v>14896</v>
      </c>
      <c r="E19480" s="2">
        <v>3173160</v>
      </c>
      <c r="F19480" s="4" t="str">
        <f>IF(B19480=B19479,"",B19480)</f>
        <v>Mondragone</v>
      </c>
    </row>
    <row r="19481" spans="1:6" ht="15.75" customHeight="1">
      <c r="A19481" s="8" t="str">
        <f ca="1">IFERROR(__xludf.DUMMYFUNCTION("GOOGLETRANSLATE(B34823,""en"",""pt"")"),"Mondragone")</f>
        <v>Mondragone</v>
      </c>
      <c r="B19481" s="9" t="s">
        <v>15285</v>
      </c>
      <c r="C19481" s="9" t="s">
        <v>14891</v>
      </c>
      <c r="D19481" s="9" t="s">
        <v>14896</v>
      </c>
      <c r="E19481" s="10">
        <v>3173160</v>
      </c>
      <c r="F19481" s="4" t="str">
        <f>IF(B19481=B19480,"",B19481)</f>
        <v/>
      </c>
    </row>
    <row r="19482" spans="1:6" ht="15.75" customHeight="1">
      <c r="A19482" s="8" t="str">
        <f ca="1">IFERROR(__xludf.DUMMYFUNCTION("GOOGLETRANSLATE(B34824,""en"",""pt"")"),"Mondovì")</f>
        <v>Mondovì</v>
      </c>
      <c r="B19482" s="11" t="s">
        <v>34271</v>
      </c>
      <c r="C19482" s="11" t="s">
        <v>14891</v>
      </c>
      <c r="D19482" s="11" t="s">
        <v>14911</v>
      </c>
      <c r="E19482" s="10">
        <v>3173162</v>
      </c>
      <c r="F19482" s="4" t="str">
        <f>IF(B19482=B19481,"",B19482)</f>
        <v>Mondovì</v>
      </c>
    </row>
    <row r="19483" spans="1:6" ht="15.75" customHeight="1">
      <c r="A19483" s="15" t="s">
        <v>15283</v>
      </c>
      <c r="B19483" s="15" t="s">
        <v>15284</v>
      </c>
      <c r="C19483" s="15" t="s">
        <v>14891</v>
      </c>
      <c r="D19483" s="15" t="s">
        <v>14911</v>
      </c>
      <c r="E19483" s="2">
        <v>3173162</v>
      </c>
      <c r="F19483" s="4" t="str">
        <f>IF(B19483=B19482,"",B19483)</f>
        <v>MondovÃ¬</v>
      </c>
    </row>
    <row r="19484" spans="1:6" ht="15.75" customHeight="1">
      <c r="A19484" s="15" t="s">
        <v>23939</v>
      </c>
      <c r="B19484" s="15" t="s">
        <v>23939</v>
      </c>
      <c r="C19484" s="15" t="s">
        <v>23842</v>
      </c>
      <c r="D19484" s="15" t="s">
        <v>23851</v>
      </c>
      <c r="E19484" s="2">
        <v>974670</v>
      </c>
      <c r="F19484" s="4" t="str">
        <f>IF(B19484=B19483,"",B19484)</f>
        <v>Mondlo</v>
      </c>
    </row>
    <row r="19485" spans="1:6" ht="15.75" customHeight="1">
      <c r="A19485" s="8" t="str">
        <f ca="1">IFERROR(__xludf.DUMMYFUNCTION("GOOGLETRANSLATE(B45913,""en"",""pt"")"),"Mondlo")</f>
        <v>Mondlo</v>
      </c>
      <c r="B19485" s="9" t="s">
        <v>23939</v>
      </c>
      <c r="C19485" s="9" t="s">
        <v>23842</v>
      </c>
      <c r="D19485" s="9" t="s">
        <v>23851</v>
      </c>
      <c r="E19485" s="10">
        <v>974670</v>
      </c>
      <c r="F19485" s="4" t="str">
        <f>IF(B19485=B19484,"",B19485)</f>
        <v/>
      </c>
    </row>
    <row r="19486" spans="1:6" ht="15.75" customHeight="1">
      <c r="A19486" s="15" t="s">
        <v>4104</v>
      </c>
      <c r="B19486" s="15" t="s">
        <v>4104</v>
      </c>
      <c r="C19486" s="15" t="s">
        <v>3975</v>
      </c>
      <c r="D19486" s="15" t="s">
        <v>4042</v>
      </c>
      <c r="E19486" s="2">
        <v>6076211</v>
      </c>
      <c r="F19486" s="4" t="str">
        <f>IF(B19486=B19485,"",B19486)</f>
        <v>Moncton</v>
      </c>
    </row>
    <row r="19487" spans="1:6" ht="15.75" customHeight="1">
      <c r="A19487" s="8" t="str">
        <f ca="1">IFERROR(__xludf.DUMMYFUNCTION("GOOGLETRANSLATE(B25516,""en"",""pt"")"),"Moncton")</f>
        <v>Moncton</v>
      </c>
      <c r="B19487" s="9" t="s">
        <v>4104</v>
      </c>
      <c r="C19487" s="9" t="s">
        <v>3975</v>
      </c>
      <c r="D19487" s="9" t="s">
        <v>4042</v>
      </c>
      <c r="E19487" s="10">
        <v>6076211</v>
      </c>
      <c r="F19487" s="4" t="str">
        <f>IF(B19487=B19486,"",B19487)</f>
        <v/>
      </c>
    </row>
    <row r="19488" spans="1:6" ht="15.75" customHeight="1">
      <c r="A19488" s="16" t="s">
        <v>18097</v>
      </c>
      <c r="B19488" s="15" t="s">
        <v>18097</v>
      </c>
      <c r="C19488" s="16" t="s">
        <v>17707</v>
      </c>
      <c r="D19488" s="16" t="s">
        <v>17738</v>
      </c>
      <c r="E19488" s="2">
        <v>3995523</v>
      </c>
      <c r="F19488" s="4" t="str">
        <f>IF(B19488=B19487,"",B19488)</f>
        <v>Monclova</v>
      </c>
    </row>
    <row r="19489" spans="1:6" ht="15.75" customHeight="1">
      <c r="A19489" s="8" t="str">
        <f ca="1">IFERROR(__xludf.DUMMYFUNCTION("GOOGLETRANSLATE(B37242,""en"",""pt"")"),"Monclova")</f>
        <v>Monclova</v>
      </c>
      <c r="B19489" s="9" t="s">
        <v>18097</v>
      </c>
      <c r="C19489" s="9" t="s">
        <v>17707</v>
      </c>
      <c r="D19489" s="9" t="s">
        <v>17738</v>
      </c>
      <c r="E19489" s="10">
        <v>3995523</v>
      </c>
      <c r="F19489" s="4" t="str">
        <f>IF(B19489=B19488,"",B19489)</f>
        <v/>
      </c>
    </row>
    <row r="19490" spans="1:6" ht="15.75" customHeight="1">
      <c r="A19490" s="16" t="s">
        <v>24629</v>
      </c>
      <c r="B19490" s="15" t="s">
        <v>24630</v>
      </c>
      <c r="C19490" s="16" t="s">
        <v>24200</v>
      </c>
      <c r="D19490" s="16" t="s">
        <v>5513</v>
      </c>
      <c r="E19490" s="2">
        <v>6544099</v>
      </c>
      <c r="F19490" s="4" t="str">
        <f>IF(B19490=B19489,"",B19490)</f>
        <v>Moncloa-Aravaca</v>
      </c>
    </row>
    <row r="19491" spans="1:6" ht="15.75" customHeight="1">
      <c r="A19491" s="8" t="str">
        <f ca="1">IFERROR(__xludf.DUMMYFUNCTION("GOOGLETRANSLATE(B29482,""en"",""pt"")"),"Moncloa-aravaca")</f>
        <v>Moncloa-aravaca</v>
      </c>
      <c r="B19491" s="9" t="s">
        <v>24630</v>
      </c>
      <c r="C19491" s="9" t="s">
        <v>24200</v>
      </c>
      <c r="D19491" s="9" t="s">
        <v>5513</v>
      </c>
      <c r="E19491" s="10">
        <v>6544099</v>
      </c>
      <c r="F19491" s="4" t="str">
        <f>IF(B19491=B19490,"",B19491)</f>
        <v/>
      </c>
    </row>
    <row r="19492" spans="1:6" ht="15.75" customHeight="1">
      <c r="A19492" s="8" t="str">
        <f ca="1">IFERROR(__xludf.DUMMYFUNCTION("GOOGLETRANSLATE(B27752,""en"",""pt"")"),"Mönchengladbach")</f>
        <v>Mönchengladbach</v>
      </c>
      <c r="B19492" s="11" t="s">
        <v>32059</v>
      </c>
      <c r="C19492" s="11" t="s">
        <v>8028</v>
      </c>
      <c r="D19492" s="11" t="s">
        <v>8029</v>
      </c>
      <c r="E19492" s="10">
        <v>2869894</v>
      </c>
      <c r="F19492" s="4" t="str">
        <f>IF(B19492=B19491,"",B19492)</f>
        <v>Mönchengladbach</v>
      </c>
    </row>
    <row r="19493" spans="1:6" ht="15.75" customHeight="1">
      <c r="A19493" s="16" t="s">
        <v>22751</v>
      </c>
      <c r="B19493" s="15" t="s">
        <v>22751</v>
      </c>
      <c r="C19493" s="16" t="s">
        <v>22070</v>
      </c>
      <c r="D19493" s="16" t="s">
        <v>22143</v>
      </c>
      <c r="E19493" s="2">
        <v>525404</v>
      </c>
      <c r="F19493" s="4" t="str">
        <f>IF(B19493=B19492,"",B19493)</f>
        <v>Monchegorsk</v>
      </c>
    </row>
    <row r="19494" spans="1:6" ht="15.75" customHeight="1">
      <c r="A19494" s="8" t="str">
        <f ca="1">IFERROR(__xludf.DUMMYFUNCTION("GOOGLETRANSLATE(B40314,""en"",""pt"")"),"Monchegorsk")</f>
        <v>Monchegorsk</v>
      </c>
      <c r="B19494" s="11" t="s">
        <v>22751</v>
      </c>
      <c r="C19494" s="11" t="s">
        <v>22070</v>
      </c>
      <c r="D19494" s="11" t="s">
        <v>22143</v>
      </c>
      <c r="E19494" s="10">
        <v>525404</v>
      </c>
      <c r="F19494" s="4" t="str">
        <f>IF(B19494=B19493,"",B19494)</f>
        <v/>
      </c>
    </row>
    <row r="19495" spans="1:6" ht="15.75" customHeight="1">
      <c r="A19495" s="8" t="str">
        <f ca="1">IFERROR(__xludf.DUMMYFUNCTION("GOOGLETRANSLATE(B39650,""en"",""pt"")"),"Monça")</f>
        <v>Monça</v>
      </c>
      <c r="B19495" s="9" t="s">
        <v>35305</v>
      </c>
      <c r="C19495" s="9" t="s">
        <v>21606</v>
      </c>
      <c r="D19495" s="9" t="s">
        <v>21688</v>
      </c>
      <c r="E19495" s="10">
        <v>2737523</v>
      </c>
      <c r="F19495" s="4" t="str">
        <f>IF(B19495=B19494,"",B19495)</f>
        <v>Monção</v>
      </c>
    </row>
    <row r="19496" spans="1:6" ht="15.75" customHeight="1">
      <c r="A19496" s="16" t="s">
        <v>15282</v>
      </c>
      <c r="B19496" s="15" t="s">
        <v>15282</v>
      </c>
      <c r="C19496" s="16" t="s">
        <v>14891</v>
      </c>
      <c r="D19496" s="16" t="s">
        <v>14911</v>
      </c>
      <c r="E19496" s="2">
        <v>3173180</v>
      </c>
      <c r="F19496" s="4" t="str">
        <f>IF(B19496=B19495,"",B19496)</f>
        <v>Moncalieri</v>
      </c>
    </row>
    <row r="19497" spans="1:6" ht="15.75" customHeight="1">
      <c r="A19497" s="8" t="str">
        <f ca="1">IFERROR(__xludf.DUMMYFUNCTION("GOOGLETRANSLATE(B34825,""en"",""pt"")"),"Moncalieri")</f>
        <v>Moncalieri</v>
      </c>
      <c r="B19497" s="9" t="s">
        <v>15282</v>
      </c>
      <c r="C19497" s="9" t="s">
        <v>14891</v>
      </c>
      <c r="D19497" s="9" t="s">
        <v>14911</v>
      </c>
      <c r="E19497" s="10">
        <v>3173180</v>
      </c>
      <c r="F19497" s="4" t="str">
        <f>IF(B19497=B19496,"",B19497)</f>
        <v/>
      </c>
    </row>
    <row r="19498" spans="1:6" ht="15.75" customHeight="1">
      <c r="A19498" s="15" t="s">
        <v>24628</v>
      </c>
      <c r="B19498" s="15" t="s">
        <v>24628</v>
      </c>
      <c r="C19498" s="15" t="s">
        <v>24200</v>
      </c>
      <c r="D19498" s="15" t="s">
        <v>21053</v>
      </c>
      <c r="E19498" s="2">
        <v>2513703</v>
      </c>
      <c r="F19498" s="4" t="str">
        <f>IF(B19498=B19497,"",B19498)</f>
        <v>Moncada</v>
      </c>
    </row>
    <row r="19499" spans="1:6" ht="15.75" customHeight="1">
      <c r="A19499" s="8" t="str">
        <f ca="1">IFERROR(__xludf.DUMMYFUNCTION("GOOGLETRANSLATE(B29049,""en"",""pt"")"),"Moncada")</f>
        <v>Moncada</v>
      </c>
      <c r="B19499" s="9" t="s">
        <v>24628</v>
      </c>
      <c r="C19499" s="9" t="s">
        <v>24200</v>
      </c>
      <c r="D19499" s="9" t="s">
        <v>21053</v>
      </c>
      <c r="E19499" s="10">
        <v>2513703</v>
      </c>
      <c r="F19499" s="4" t="str">
        <f>IF(B19499=B19498,"",B19499)</f>
        <v/>
      </c>
    </row>
    <row r="19500" spans="1:6" ht="15.75" customHeight="1">
      <c r="A19500" s="15" t="s">
        <v>26171</v>
      </c>
      <c r="B19500" s="15" t="s">
        <v>26171</v>
      </c>
      <c r="C19500" s="15" t="s">
        <v>26090</v>
      </c>
      <c r="D19500" s="15" t="s">
        <v>26103</v>
      </c>
      <c r="E19500" s="2">
        <v>2473493</v>
      </c>
      <c r="F19500" s="4" t="str">
        <f>IF(B19500=B19499,"",B19500)</f>
        <v>Monastir</v>
      </c>
    </row>
    <row r="19501" spans="1:6" ht="15.75" customHeight="1">
      <c r="A19501" s="8" t="str">
        <f ca="1">IFERROR(__xludf.DUMMYFUNCTION("GOOGLETRANSLATE(B41849,""en"",""pt"")"),"Monastir")</f>
        <v>Monastir</v>
      </c>
      <c r="B19501" s="9" t="s">
        <v>26171</v>
      </c>
      <c r="C19501" s="9" t="s">
        <v>26090</v>
      </c>
      <c r="D19501" s="9" t="s">
        <v>35800</v>
      </c>
      <c r="E19501" s="10">
        <v>2473493</v>
      </c>
      <c r="F19501" s="4" t="str">
        <f>IF(B19501=B19500,"",B19501)</f>
        <v/>
      </c>
    </row>
    <row r="19502" spans="1:6" ht="15.75" customHeight="1">
      <c r="A19502" s="15" t="s">
        <v>18491</v>
      </c>
      <c r="B19502" s="15" t="s">
        <v>18492</v>
      </c>
      <c r="C19502" s="15" t="s">
        <v>18492</v>
      </c>
      <c r="D19502" s="15"/>
      <c r="E19502" s="2">
        <v>2993458</v>
      </c>
      <c r="F19502" s="4" t="str">
        <f>IF(B19502=B19501,"",B19502)</f>
        <v>Monaco</v>
      </c>
    </row>
    <row r="19503" spans="1:6" ht="15.75" customHeight="1">
      <c r="A19503" s="8" t="str">
        <f ca="1">IFERROR(__xludf.DUMMYFUNCTION("GOOGLETRANSLATE(B36525,""en"",""pt"")"),"Mônaco")</f>
        <v>Mônaco</v>
      </c>
      <c r="B19503" s="9" t="s">
        <v>18492</v>
      </c>
      <c r="C19503" s="9" t="s">
        <v>18492</v>
      </c>
      <c r="D19503" s="9"/>
      <c r="E19503" s="10">
        <v>2993458</v>
      </c>
      <c r="F19503" s="4" t="str">
        <f>IF(B19503=B19502,"",B19503)</f>
        <v/>
      </c>
    </row>
    <row r="19504" spans="1:6" ht="15.75" customHeight="1">
      <c r="A19504" s="15" t="s">
        <v>21686</v>
      </c>
      <c r="B19504" s="15" t="s">
        <v>21687</v>
      </c>
      <c r="C19504" s="15" t="s">
        <v>21606</v>
      </c>
      <c r="D19504" s="15" t="s">
        <v>21688</v>
      </c>
      <c r="E19504" s="2">
        <v>2737523</v>
      </c>
      <c r="F19504" s="4" t="str">
        <f>IF(B19504=B19503,"",B19504)</f>
        <v>MonÃ§Ã£o</v>
      </c>
    </row>
    <row r="19505" spans="1:6" ht="15.75" customHeight="1">
      <c r="A19505" s="16" t="s">
        <v>26077</v>
      </c>
      <c r="B19505" s="15" t="s">
        <v>26078</v>
      </c>
      <c r="C19505" s="16" t="s">
        <v>26070</v>
      </c>
      <c r="D19505" s="16" t="s">
        <v>26076</v>
      </c>
      <c r="E19505" s="2">
        <v>3574116</v>
      </c>
      <c r="F19505" s="4" t="str">
        <f>IF(B19505=B19504,"",B19505)</f>
        <v>Mon Repos</v>
      </c>
    </row>
    <row r="19506" spans="1:6" ht="15.75" customHeight="1">
      <c r="A19506" s="8" t="str">
        <f ca="1">IFERROR(__xludf.DUMMYFUNCTION("GOOGLETRANSLATE(B42254,""en"",""pt"")"),"MON Repos")</f>
        <v>MON Repos</v>
      </c>
      <c r="B19506" s="11" t="s">
        <v>26078</v>
      </c>
      <c r="C19506" s="11" t="s">
        <v>26070</v>
      </c>
      <c r="D19506" s="11" t="s">
        <v>26076</v>
      </c>
      <c r="E19506" s="10">
        <v>3574116</v>
      </c>
      <c r="F19506" s="4" t="str">
        <f>IF(B19506=B19505,"",B19506)</f>
        <v/>
      </c>
    </row>
    <row r="19507" spans="1:6" ht="15.75" customHeight="1">
      <c r="A19507" s="15" t="s">
        <v>12418</v>
      </c>
      <c r="B19507" s="15" t="s">
        <v>12419</v>
      </c>
      <c r="C19507" s="15" t="s">
        <v>10178</v>
      </c>
      <c r="D19507" s="15" t="s">
        <v>11179</v>
      </c>
      <c r="E19507" s="2">
        <v>1262824</v>
      </c>
      <c r="F19507" s="4" t="str">
        <f>IF(B19507=B19506,"",B19507)</f>
        <v>Mon</v>
      </c>
    </row>
    <row r="19508" spans="1:6" ht="15.75" customHeight="1">
      <c r="A19508" s="8" t="str">
        <f ca="1">IFERROR(__xludf.DUMMYFUNCTION("GOOGLETRANSLATE(B32756,""en"",""pt"")"),"seg")</f>
        <v>seg</v>
      </c>
      <c r="B19508" s="11" t="s">
        <v>12419</v>
      </c>
      <c r="C19508" s="11" t="s">
        <v>10178</v>
      </c>
      <c r="D19508" s="11" t="s">
        <v>11179</v>
      </c>
      <c r="E19508" s="10">
        <v>1262824</v>
      </c>
      <c r="F19508" s="4" t="str">
        <f>IF(B19508=B19507,"",B19508)</f>
        <v/>
      </c>
    </row>
    <row r="19509" spans="1:6" ht="15.75" customHeight="1">
      <c r="A19509" s="8" t="str">
        <f ca="1">IFERROR(__xludf.DUMMYFUNCTION("GOOGLETRANSLATE(B26937,""en"",""pt"")"),"Mompós")</f>
        <v>Mompós</v>
      </c>
      <c r="B19509" s="9" t="s">
        <v>31863</v>
      </c>
      <c r="C19509" s="9" t="s">
        <v>5348</v>
      </c>
      <c r="D19509" s="9" t="s">
        <v>31836</v>
      </c>
      <c r="E19509" s="10">
        <v>3674597</v>
      </c>
      <c r="F19509" s="4" t="str">
        <f>IF(B19509=B19508,"",B19509)</f>
        <v>Mompós</v>
      </c>
    </row>
    <row r="19510" spans="1:6" ht="15.75" customHeight="1">
      <c r="A19510" s="15" t="s">
        <v>5530</v>
      </c>
      <c r="B19510" s="15" t="s">
        <v>5531</v>
      </c>
      <c r="C19510" s="15" t="s">
        <v>5348</v>
      </c>
      <c r="D19510" s="15" t="s">
        <v>5373</v>
      </c>
      <c r="E19510" s="2">
        <v>3674597</v>
      </c>
      <c r="F19510" s="4" t="str">
        <f>IF(B19510=B19509,"",B19510)</f>
        <v>MompÃ³s</v>
      </c>
    </row>
    <row r="19511" spans="1:6" ht="15.75" customHeight="1">
      <c r="A19511" s="16" t="s">
        <v>9754</v>
      </c>
      <c r="B19511" s="15" t="s">
        <v>9755</v>
      </c>
      <c r="C19511" s="16" t="s">
        <v>9700</v>
      </c>
      <c r="D19511" s="16" t="s">
        <v>9756</v>
      </c>
      <c r="E19511" s="2">
        <v>3592483</v>
      </c>
      <c r="F19511" s="4" t="str">
        <f>IF(B19511=B19510,"",B19511)</f>
        <v>Momostenango</v>
      </c>
    </row>
    <row r="19512" spans="1:6" ht="15.75" customHeight="1">
      <c r="A19512" s="8" t="str">
        <f ca="1">IFERROR(__xludf.DUMMYFUNCTION("GOOGLETRANSLATE(B31107,""en"",""pt"")"),"MOMOSTENANGO")</f>
        <v>MOMOSTENANGO</v>
      </c>
      <c r="B19512" s="11" t="s">
        <v>9755</v>
      </c>
      <c r="C19512" s="11" t="s">
        <v>9700</v>
      </c>
      <c r="D19512" s="11" t="s">
        <v>32765</v>
      </c>
      <c r="E19512" s="10">
        <v>3592483</v>
      </c>
      <c r="F19512" s="4" t="str">
        <f>IF(B19512=B19511,"",B19512)</f>
        <v/>
      </c>
    </row>
    <row r="19513" spans="1:6" ht="15.75" customHeight="1">
      <c r="A19513" s="16" t="s">
        <v>16243</v>
      </c>
      <c r="B19513" s="15" t="s">
        <v>16243</v>
      </c>
      <c r="C19513" s="16" t="s">
        <v>15704</v>
      </c>
      <c r="D19513" s="16" t="s">
        <v>15705</v>
      </c>
      <c r="E19513" s="2">
        <v>2129163</v>
      </c>
      <c r="F19513" s="4" t="str">
        <f>IF(B19513=B19512,"",B19513)</f>
        <v>Mombetsu</v>
      </c>
    </row>
    <row r="19514" spans="1:6" ht="15.75" customHeight="1">
      <c r="A19514" s="8" t="str">
        <f ca="1">IFERROR(__xludf.DUMMYFUNCTION("GOOGLETRANSLATE(B35839,""en"",""pt"")"),"Mombetsu")</f>
        <v>Mombetsu</v>
      </c>
      <c r="B19514" s="11" t="s">
        <v>16243</v>
      </c>
      <c r="C19514" s="11" t="s">
        <v>15704</v>
      </c>
      <c r="D19514" s="11" t="s">
        <v>15705</v>
      </c>
      <c r="E19514" s="10">
        <v>2129163</v>
      </c>
      <c r="F19514" s="4" t="str">
        <f>IF(B19514=B19513,"",B19514)</f>
        <v/>
      </c>
    </row>
    <row r="19515" spans="1:6" ht="15.75" customHeight="1">
      <c r="A19515" s="16" t="s">
        <v>16825</v>
      </c>
      <c r="B19515" s="15" t="s">
        <v>16825</v>
      </c>
      <c r="C19515" s="16" t="s">
        <v>16781</v>
      </c>
      <c r="D19515" s="16" t="s">
        <v>16825</v>
      </c>
      <c r="E19515" s="2">
        <v>186301</v>
      </c>
      <c r="F19515" s="4" t="str">
        <f>IF(B19515=B19514,"",B19515)</f>
        <v>Mombasa</v>
      </c>
    </row>
    <row r="19516" spans="1:6" ht="15.75" customHeight="1">
      <c r="A19516" s="8" t="str">
        <f ca="1">IFERROR(__xludf.DUMMYFUNCTION("GOOGLETRANSLATE(B35900,""en"",""pt"")"),"Mombasa")</f>
        <v>Mombasa</v>
      </c>
      <c r="B19516" s="11" t="s">
        <v>16825</v>
      </c>
      <c r="C19516" s="11" t="s">
        <v>16781</v>
      </c>
      <c r="D19516" s="11" t="s">
        <v>16825</v>
      </c>
      <c r="E19516" s="10">
        <v>186301</v>
      </c>
      <c r="F19516" s="4" t="str">
        <f>IF(B19516=B19515,"",B19516)</f>
        <v/>
      </c>
    </row>
    <row r="19517" spans="1:6" ht="15.75" customHeight="1">
      <c r="A19517" s="8" t="str">
        <f ca="1">IFERROR(__xludf.DUMMYFUNCTION("GOOGLETRANSLATE(B24264,""en"",""pt"")"),"Mombaça")</f>
        <v>Mombaça</v>
      </c>
      <c r="B19517" s="9" t="s">
        <v>31385</v>
      </c>
      <c r="C19517" s="9" t="s">
        <v>1905</v>
      </c>
      <c r="D19517" s="9" t="s">
        <v>31345</v>
      </c>
      <c r="E19517" s="10">
        <v>3394649</v>
      </c>
      <c r="F19517" s="4" t="str">
        <f>IF(B19517=B19516,"",B19517)</f>
        <v>Mombaça</v>
      </c>
    </row>
    <row r="19518" spans="1:6" ht="15.75" customHeight="1">
      <c r="A19518" s="16" t="s">
        <v>2908</v>
      </c>
      <c r="B19518" s="15" t="s">
        <v>2909</v>
      </c>
      <c r="C19518" s="16" t="s">
        <v>1905</v>
      </c>
      <c r="D19518" s="16" t="s">
        <v>1930</v>
      </c>
      <c r="E19518" s="2">
        <v>3394649</v>
      </c>
      <c r="F19518" s="4" t="str">
        <f>IF(B19518=B19517,"",B19518)</f>
        <v>MombaÃ§a</v>
      </c>
    </row>
    <row r="19519" spans="1:6" ht="15.75" customHeight="1">
      <c r="A19519" s="16" t="s">
        <v>27071</v>
      </c>
      <c r="B19519" s="15" t="s">
        <v>27072</v>
      </c>
      <c r="C19519" s="16" t="s">
        <v>26870</v>
      </c>
      <c r="D19519" s="16" t="s">
        <v>26871</v>
      </c>
      <c r="E19519" s="2">
        <v>700829</v>
      </c>
      <c r="F19519" s="4" t="str">
        <f>IF(B19519=B19518,"",B19519)</f>
        <v>Molodohvardiysâ€™k</v>
      </c>
    </row>
    <row r="19520" spans="1:6" ht="15.75" customHeight="1">
      <c r="A19520" s="8" t="str">
        <f ca="1">IFERROR(__xludf.DUMMYFUNCTION("GOOGLETRANSLATE(B42576,""en"",""pt"")"),"Molodohvardiys'k")</f>
        <v>Molodohvardiys'k</v>
      </c>
      <c r="B19520" s="11" t="s">
        <v>36010</v>
      </c>
      <c r="C19520" s="11" t="s">
        <v>26870</v>
      </c>
      <c r="D19520" s="11" t="s">
        <v>26871</v>
      </c>
      <c r="E19520" s="10">
        <v>700829</v>
      </c>
      <c r="F19520" s="4" t="str">
        <f>IF(B19520=B19519,"",B19520)</f>
        <v>Molodohvardiys’k</v>
      </c>
    </row>
    <row r="19521" spans="1:6" ht="15.75" customHeight="1">
      <c r="A19521" s="15" t="s">
        <v>16823</v>
      </c>
      <c r="B19521" s="15" t="s">
        <v>16823</v>
      </c>
      <c r="C19521" s="15" t="s">
        <v>16781</v>
      </c>
      <c r="D19521" s="15" t="s">
        <v>16824</v>
      </c>
      <c r="E19521" s="2">
        <v>186315</v>
      </c>
      <c r="F19521" s="4" t="str">
        <f>IF(B19521=B19520,"",B19521)</f>
        <v>Molo</v>
      </c>
    </row>
    <row r="19522" spans="1:6" ht="15.75" customHeight="1">
      <c r="A19522" s="8" t="str">
        <f ca="1">IFERROR(__xludf.DUMMYFUNCTION("GOOGLETRANSLATE(B35901,""en"",""pt"")"),"Molo")</f>
        <v>Molo</v>
      </c>
      <c r="B19522" s="11" t="s">
        <v>16823</v>
      </c>
      <c r="C19522" s="11" t="s">
        <v>16781</v>
      </c>
      <c r="D19522" s="11" t="s">
        <v>16824</v>
      </c>
      <c r="E19522" s="10">
        <v>186315</v>
      </c>
      <c r="F19522" s="4" t="str">
        <f>IF(B19522=B19521,"",B19522)</f>
        <v/>
      </c>
    </row>
    <row r="19523" spans="1:6" ht="15.75" customHeight="1">
      <c r="A19523" s="8" t="str">
        <f ca="1">IFERROR(__xludf.DUMMYFUNCTION("GOOGLETRANSLATE(B41162,""en"",""pt"")"),"Mölndal")</f>
        <v>Mölndal</v>
      </c>
      <c r="B19523" s="9" t="s">
        <v>35646</v>
      </c>
      <c r="C19523" s="9" t="s">
        <v>25077</v>
      </c>
      <c r="D19523" s="9" t="s">
        <v>35628</v>
      </c>
      <c r="E19523" s="10">
        <v>2691459</v>
      </c>
      <c r="F19523" s="4" t="str">
        <f>IF(B19523=B19522,"",B19523)</f>
        <v>Mölndal</v>
      </c>
    </row>
    <row r="19524" spans="1:6" ht="15.75" customHeight="1">
      <c r="A19524" s="8" t="str">
        <f ca="1">IFERROR(__xludf.DUMMYFUNCTION("GOOGLETRANSLATE(B27753,""en"",""pt"")"),"Mölln")</f>
        <v>Mölln</v>
      </c>
      <c r="B19524" s="11" t="s">
        <v>32060</v>
      </c>
      <c r="C19524" s="11" t="s">
        <v>8028</v>
      </c>
      <c r="D19524" s="11" t="s">
        <v>8040</v>
      </c>
      <c r="E19524" s="10">
        <v>2869994</v>
      </c>
      <c r="F19524" s="4" t="str">
        <f>IF(B19524=B19523,"",B19524)</f>
        <v>Mölln</v>
      </c>
    </row>
    <row r="19525" spans="1:6" ht="15.75" customHeight="1">
      <c r="A19525" s="8" t="str">
        <f ca="1">IFERROR(__xludf.DUMMYFUNCTION("GOOGLETRANSLATE(B29353,""en"",""pt"")"),"Mollet del Vallès")</f>
        <v>Mollet del Vallès</v>
      </c>
      <c r="B19525" s="9" t="s">
        <v>32451</v>
      </c>
      <c r="C19525" s="9" t="s">
        <v>24200</v>
      </c>
      <c r="D19525" s="9" t="s">
        <v>24277</v>
      </c>
      <c r="E19525" s="10">
        <v>3116553</v>
      </c>
      <c r="F19525" s="4" t="str">
        <f>IF(B19525=B19524,"",B19525)</f>
        <v>Mollet del Vallès</v>
      </c>
    </row>
    <row r="19526" spans="1:6" ht="15.75" customHeight="1">
      <c r="A19526" s="16" t="s">
        <v>24626</v>
      </c>
      <c r="B19526" s="15" t="s">
        <v>24627</v>
      </c>
      <c r="C19526" s="16" t="s">
        <v>24200</v>
      </c>
      <c r="D19526" s="16" t="s">
        <v>24277</v>
      </c>
      <c r="E19526" s="2">
        <v>3116553</v>
      </c>
      <c r="F19526" s="4" t="str">
        <f>IF(B19526=B19525,"",B19526)</f>
        <v>Mollet del VallÃ¨s</v>
      </c>
    </row>
    <row r="19527" spans="1:6" ht="15.75" customHeight="1">
      <c r="A19527" s="15" t="s">
        <v>20545</v>
      </c>
      <c r="B19527" s="15" t="s">
        <v>20545</v>
      </c>
      <c r="C19527" s="15" t="s">
        <v>20470</v>
      </c>
      <c r="D19527" s="15" t="s">
        <v>20473</v>
      </c>
      <c r="E19527" s="2">
        <v>3934707</v>
      </c>
      <c r="F19527" s="4" t="str">
        <f>IF(B19527=B19526,"",B19527)</f>
        <v>Mollendo</v>
      </c>
    </row>
    <row r="19528" spans="1:6" ht="15.75" customHeight="1">
      <c r="A19528" s="8" t="str">
        <f ca="1">IFERROR(__xludf.DUMMYFUNCTION("GOOGLETRANSLATE(B38373,""en"",""pt"")"),"Mollendo")</f>
        <v>Mollendo</v>
      </c>
      <c r="B19528" s="11" t="s">
        <v>20545</v>
      </c>
      <c r="C19528" s="11" t="s">
        <v>20470</v>
      </c>
      <c r="D19528" s="11" t="s">
        <v>20473</v>
      </c>
      <c r="E19528" s="10">
        <v>3934707</v>
      </c>
      <c r="F19528" s="4" t="str">
        <f>IF(B19528=B19527,"",B19528)</f>
        <v/>
      </c>
    </row>
    <row r="19529" spans="1:6" ht="15.75" customHeight="1">
      <c r="A19529" s="16" t="s">
        <v>24625</v>
      </c>
      <c r="B19529" s="15" t="s">
        <v>24625</v>
      </c>
      <c r="C19529" s="16" t="s">
        <v>24200</v>
      </c>
      <c r="D19529" s="16" t="s">
        <v>24277</v>
      </c>
      <c r="E19529" s="2">
        <v>3116562</v>
      </c>
      <c r="F19529" s="4" t="str">
        <f>IF(B19529=B19528,"",B19529)</f>
        <v>Molins de Rei</v>
      </c>
    </row>
    <row r="19530" spans="1:6" ht="15.75" customHeight="1">
      <c r="A19530" s="8" t="str">
        <f ca="1">IFERROR(__xludf.DUMMYFUNCTION("GOOGLETRANSLATE(B29354,""en"",""pt"")"),"Molins de Rei")</f>
        <v>Molins de Rei</v>
      </c>
      <c r="B19530" s="11" t="s">
        <v>24625</v>
      </c>
      <c r="C19530" s="11" t="s">
        <v>24200</v>
      </c>
      <c r="D19530" s="11" t="s">
        <v>24277</v>
      </c>
      <c r="E19530" s="10">
        <v>3116562</v>
      </c>
      <c r="F19530" s="4" t="str">
        <f>IF(B19530=B19529,"",B19530)</f>
        <v/>
      </c>
    </row>
    <row r="19531" spans="1:6" ht="15.75" customHeight="1">
      <c r="A19531" s="15" t="s">
        <v>29326</v>
      </c>
      <c r="B19531" s="15" t="s">
        <v>29326</v>
      </c>
      <c r="C19531" s="15" t="s">
        <v>27788</v>
      </c>
      <c r="D19531" s="15" t="s">
        <v>27799</v>
      </c>
      <c r="E19531" s="2">
        <v>4902476</v>
      </c>
      <c r="F19531" s="4" t="str">
        <f>IF(B19531=B19530,"",B19531)</f>
        <v>Moline</v>
      </c>
    </row>
    <row r="19532" spans="1:6" ht="15.75" customHeight="1">
      <c r="A19532" s="8" t="str">
        <f ca="1">IFERROR(__xludf.DUMMYFUNCTION("GOOGLETRANSLATE(B43846,""en"",""pt"")"),"Moline")</f>
        <v>Moline</v>
      </c>
      <c r="B19532" s="11" t="s">
        <v>29326</v>
      </c>
      <c r="C19532" s="11" t="s">
        <v>27788</v>
      </c>
      <c r="D19532" s="11" t="s">
        <v>27799</v>
      </c>
      <c r="E19532" s="10">
        <v>4902476</v>
      </c>
      <c r="F19532" s="4" t="str">
        <f>IF(B19532=B19531,"",B19532)</f>
        <v/>
      </c>
    </row>
    <row r="19533" spans="1:6" ht="15.75" customHeight="1">
      <c r="A19533" s="16" t="s">
        <v>24624</v>
      </c>
      <c r="B19533" s="15" t="s">
        <v>24624</v>
      </c>
      <c r="C19533" s="16" t="s">
        <v>24200</v>
      </c>
      <c r="D19533" s="16" t="s">
        <v>20912</v>
      </c>
      <c r="E19533" s="2">
        <v>2513759</v>
      </c>
      <c r="F19533" s="4" t="str">
        <f>IF(B19533=B19532,"",B19533)</f>
        <v>Molina de Segura</v>
      </c>
    </row>
    <row r="19534" spans="1:6" ht="15.75" customHeight="1">
      <c r="A19534" s="8" t="str">
        <f ca="1">IFERROR(__xludf.DUMMYFUNCTION("GOOGLETRANSLATE(B29050,""en"",""pt"")"),"Molina de Segura")</f>
        <v>Molina de Segura</v>
      </c>
      <c r="B19534" s="11" t="s">
        <v>24624</v>
      </c>
      <c r="C19534" s="11" t="s">
        <v>24200</v>
      </c>
      <c r="D19534" s="11" t="s">
        <v>20912</v>
      </c>
      <c r="E19534" s="10">
        <v>2513759</v>
      </c>
      <c r="F19534" s="4" t="str">
        <f>IF(B19534=B19533,"",B19534)</f>
        <v/>
      </c>
    </row>
    <row r="19535" spans="1:6" ht="15.75" customHeight="1">
      <c r="A19535" s="15" t="s">
        <v>4432</v>
      </c>
      <c r="B19535" s="15" t="s">
        <v>4432</v>
      </c>
      <c r="C19535" s="15" t="s">
        <v>4355</v>
      </c>
      <c r="D19535" s="15" t="s">
        <v>4373</v>
      </c>
      <c r="E19535" s="2">
        <v>3879627</v>
      </c>
      <c r="F19535" s="4" t="str">
        <f>IF(B19535=B19534,"",B19535)</f>
        <v>Molina</v>
      </c>
    </row>
    <row r="19536" spans="1:6" ht="15.75" customHeight="1">
      <c r="A19536" s="8" t="str">
        <f ca="1">IFERROR(__xludf.DUMMYFUNCTION("GOOGLETRANSLATE(B25928,""en"",""pt"")"),"Molina")</f>
        <v>Molina</v>
      </c>
      <c r="B19536" s="11" t="s">
        <v>4432</v>
      </c>
      <c r="C19536" s="11" t="s">
        <v>4355</v>
      </c>
      <c r="D19536" s="11" t="s">
        <v>4373</v>
      </c>
      <c r="E19536" s="10">
        <v>3879627</v>
      </c>
      <c r="F19536" s="4" t="str">
        <f>IF(B19536=B19535,"",B19536)</f>
        <v/>
      </c>
    </row>
    <row r="19537" spans="1:6" ht="15.75" customHeight="1">
      <c r="A19537" s="15" t="s">
        <v>15281</v>
      </c>
      <c r="B19537" s="15" t="s">
        <v>15281</v>
      </c>
      <c r="C19537" s="15" t="s">
        <v>14891</v>
      </c>
      <c r="D19537" s="15" t="s">
        <v>14908</v>
      </c>
      <c r="E19537" s="2">
        <v>3173287</v>
      </c>
      <c r="F19537" s="4" t="str">
        <f>IF(B19537=B19536,"",B19537)</f>
        <v>Molfetta</v>
      </c>
    </row>
    <row r="19538" spans="1:6" ht="15.75" customHeight="1">
      <c r="A19538" s="8" t="str">
        <f ca="1">IFERROR(__xludf.DUMMYFUNCTION("GOOGLETRANSLATE(B34826,""en"",""pt"")"),"Molfetta")</f>
        <v>Molfetta</v>
      </c>
      <c r="B19538" s="11" t="s">
        <v>15281</v>
      </c>
      <c r="C19538" s="11" t="s">
        <v>14891</v>
      </c>
      <c r="D19538" s="11" t="s">
        <v>14908</v>
      </c>
      <c r="E19538" s="10">
        <v>3173287</v>
      </c>
      <c r="F19538" s="4" t="str">
        <f>IF(B19538=B19537,"",B19538)</f>
        <v/>
      </c>
    </row>
    <row r="19539" spans="1:6" ht="15.75" customHeight="1">
      <c r="A19539" s="16" t="s">
        <v>1895</v>
      </c>
      <c r="B19539" s="15" t="s">
        <v>1895</v>
      </c>
      <c r="C19539" s="16" t="s">
        <v>1878</v>
      </c>
      <c r="D19539" s="16" t="s">
        <v>1894</v>
      </c>
      <c r="E19539" s="2">
        <v>933305</v>
      </c>
      <c r="F19539" s="4" t="str">
        <f>IF(B19539=B19538,"",B19539)</f>
        <v>Molepolole</v>
      </c>
    </row>
    <row r="19540" spans="1:6" ht="15.75" customHeight="1">
      <c r="A19540" s="8" t="str">
        <f ca="1">IFERROR(__xludf.DUMMYFUNCTION("GOOGLETRANSLATE(B25357,""en"",""pt"")"),"Molepolole")</f>
        <v>Molepolole</v>
      </c>
      <c r="B19540" s="11" t="s">
        <v>1895</v>
      </c>
      <c r="C19540" s="11" t="s">
        <v>1878</v>
      </c>
      <c r="D19540" s="11" t="s">
        <v>1894</v>
      </c>
      <c r="E19540" s="10">
        <v>933305</v>
      </c>
      <c r="F19540" s="4" t="str">
        <f>IF(B19540=B19539,"",B19540)</f>
        <v/>
      </c>
    </row>
    <row r="19541" spans="1:6" ht="15.75" customHeight="1">
      <c r="A19541" s="15" t="s">
        <v>19731</v>
      </c>
      <c r="B19541" s="15" t="s">
        <v>19731</v>
      </c>
      <c r="C19541" s="15" t="s">
        <v>19695</v>
      </c>
      <c r="D19541" s="15" t="s">
        <v>19696</v>
      </c>
      <c r="E19541" s="2">
        <v>3145580</v>
      </c>
      <c r="F19541" s="4" t="str">
        <f>IF(B19541=B19540,"",B19541)</f>
        <v>Molde</v>
      </c>
    </row>
    <row r="19542" spans="1:6" ht="15.75" customHeight="1">
      <c r="A19542" s="8" t="str">
        <f ca="1">IFERROR(__xludf.DUMMYFUNCTION("GOOGLETRANSLATE(B38155,""en"",""pt"")"),"Molde")</f>
        <v>Molde</v>
      </c>
      <c r="B19542" s="11" t="s">
        <v>19731</v>
      </c>
      <c r="C19542" s="11" t="s">
        <v>19695</v>
      </c>
      <c r="D19542" s="11" t="s">
        <v>34817</v>
      </c>
      <c r="E19542" s="10">
        <v>3145580</v>
      </c>
      <c r="F19542" s="4" t="str">
        <f>IF(B19542=B19541,"",B19542)</f>
        <v/>
      </c>
    </row>
    <row r="19543" spans="1:6" ht="15.75" customHeight="1">
      <c r="A19543" s="15" t="s">
        <v>20907</v>
      </c>
      <c r="B19543" s="15" t="s">
        <v>20907</v>
      </c>
      <c r="C19543" s="15" t="s">
        <v>20598</v>
      </c>
      <c r="D19543" s="15" t="s">
        <v>20752</v>
      </c>
      <c r="E19543" s="2">
        <v>1699388</v>
      </c>
      <c r="F19543" s="4" t="str">
        <f>IF(B19543=B19542,"",B19543)</f>
        <v>Molave</v>
      </c>
    </row>
    <row r="19544" spans="1:6" ht="15.75" customHeight="1">
      <c r="A19544" s="8" t="str">
        <f ca="1">IFERROR(__xludf.DUMMYFUNCTION("GOOGLETRANSLATE(B38601,""en"",""pt"")"),"Molave")</f>
        <v>Molave</v>
      </c>
      <c r="B19544" s="11" t="s">
        <v>20907</v>
      </c>
      <c r="C19544" s="11" t="s">
        <v>20598</v>
      </c>
      <c r="D19544" s="11" t="s">
        <v>20752</v>
      </c>
      <c r="E19544" s="10">
        <v>1699388</v>
      </c>
      <c r="F19544" s="4" t="str">
        <f>IF(B19544=B19543,"",B19544)</f>
        <v/>
      </c>
    </row>
    <row r="19545" spans="1:6" ht="15.75" customHeight="1">
      <c r="A19545" s="16" t="s">
        <v>15280</v>
      </c>
      <c r="B19545" s="15" t="s">
        <v>15280</v>
      </c>
      <c r="C19545" s="16" t="s">
        <v>14891</v>
      </c>
      <c r="D19545" s="16" t="s">
        <v>14908</v>
      </c>
      <c r="E19545" s="2">
        <v>3173302</v>
      </c>
      <c r="F19545" s="4" t="str">
        <f>IF(B19545=B19544,"",B19545)</f>
        <v>Mola di Bari</v>
      </c>
    </row>
    <row r="19546" spans="1:6" ht="15.75" customHeight="1">
      <c r="A19546" s="8" t="str">
        <f ca="1">IFERROR(__xludf.DUMMYFUNCTION("GOOGLETRANSLATE(B34827,""en"",""pt"")"),"Mola di Bari")</f>
        <v>Mola di Bari</v>
      </c>
      <c r="B19546" s="11" t="s">
        <v>15280</v>
      </c>
      <c r="C19546" s="11" t="s">
        <v>14891</v>
      </c>
      <c r="D19546" s="11" t="s">
        <v>14908</v>
      </c>
      <c r="E19546" s="10">
        <v>3173302</v>
      </c>
      <c r="F19546" s="4" t="str">
        <f>IF(B19546=B19545,"",B19546)</f>
        <v/>
      </c>
    </row>
    <row r="19547" spans="1:6" ht="15.75" customHeight="1">
      <c r="A19547" s="15" t="s">
        <v>1642</v>
      </c>
      <c r="B19547" s="15" t="s">
        <v>1642</v>
      </c>
      <c r="C19547" s="15" t="s">
        <v>1512</v>
      </c>
      <c r="D19547" s="15" t="s">
        <v>1513</v>
      </c>
      <c r="E19547" s="2">
        <v>2791067</v>
      </c>
      <c r="F19547" s="4" t="str">
        <f>IF(B19547=B19546,"",B19547)</f>
        <v>Mol</v>
      </c>
    </row>
    <row r="19548" spans="1:6" ht="15.75" customHeight="1">
      <c r="A19548" s="8" t="str">
        <f ca="1">IFERROR(__xludf.DUMMYFUNCTION("GOOGLETRANSLATE(B23866,""en"",""pt"")"),"Mol")</f>
        <v>Mol</v>
      </c>
      <c r="B19548" s="11" t="s">
        <v>1642</v>
      </c>
      <c r="C19548" s="11" t="s">
        <v>1512</v>
      </c>
      <c r="D19548" s="11" t="s">
        <v>1513</v>
      </c>
      <c r="E19548" s="10">
        <v>2791067</v>
      </c>
      <c r="F19548" s="4" t="str">
        <f>IF(B19548=B19547,"",B19548)</f>
        <v/>
      </c>
    </row>
    <row r="19549" spans="1:6" ht="15.75" customHeight="1">
      <c r="A19549" s="15" t="s">
        <v>19504</v>
      </c>
      <c r="B19549" s="15" t="s">
        <v>19504</v>
      </c>
      <c r="C19549" s="15" t="s">
        <v>19294</v>
      </c>
      <c r="D19549" s="15" t="s">
        <v>19259</v>
      </c>
      <c r="E19549" s="2">
        <v>2329981</v>
      </c>
      <c r="F19549" s="4" t="str">
        <f>IF(B19549=B19548,"",B19549)</f>
        <v>Mokwa</v>
      </c>
    </row>
    <row r="19550" spans="1:6" ht="15.75" customHeight="1">
      <c r="A19550" s="8" t="str">
        <f ca="1">IFERROR(__xludf.DUMMYFUNCTION("GOOGLETRANSLATE(B37678,""en"",""pt"")"),"Mokwa")</f>
        <v>Mokwa</v>
      </c>
      <c r="B19550" s="11" t="s">
        <v>19504</v>
      </c>
      <c r="C19550" s="11" t="s">
        <v>19294</v>
      </c>
      <c r="D19550" s="11" t="s">
        <v>19259</v>
      </c>
      <c r="E19550" s="10">
        <v>2329981</v>
      </c>
      <c r="F19550" s="4" t="str">
        <f>IF(B19550=B19549,"",B19550)</f>
        <v/>
      </c>
    </row>
    <row r="19551" spans="1:6" ht="15.75" customHeight="1">
      <c r="A19551" s="8" t="str">
        <f ca="1">IFERROR(__xludf.DUMMYFUNCTION("GOOGLETRANSLATE(B39242,""en"",""pt"")"),"Mokotów")</f>
        <v>Mokotów</v>
      </c>
      <c r="B19551" s="9" t="s">
        <v>35099</v>
      </c>
      <c r="C19551" s="9" t="s">
        <v>21064</v>
      </c>
      <c r="D19551" s="9" t="s">
        <v>21070</v>
      </c>
      <c r="E19551" s="10">
        <v>764484</v>
      </c>
      <c r="F19551" s="4" t="str">
        <f>IF(B19551=B19550,"",B19551)</f>
        <v>Mokotów</v>
      </c>
    </row>
    <row r="19552" spans="1:6" ht="15.75" customHeight="1">
      <c r="A19552" s="16" t="s">
        <v>21356</v>
      </c>
      <c r="B19552" s="15" t="s">
        <v>21357</v>
      </c>
      <c r="C19552" s="16" t="s">
        <v>21064</v>
      </c>
      <c r="D19552" s="16" t="s">
        <v>21070</v>
      </c>
      <c r="E19552" s="2">
        <v>764484</v>
      </c>
      <c r="F19552" s="4" t="str">
        <f>IF(B19552=B19551,"",B19552)</f>
        <v>MokotÃ³w</v>
      </c>
    </row>
    <row r="19553" spans="1:6" ht="15.75" customHeight="1">
      <c r="A19553" s="16" t="s">
        <v>23938</v>
      </c>
      <c r="B19553" s="15" t="s">
        <v>23938</v>
      </c>
      <c r="C19553" s="16" t="s">
        <v>23842</v>
      </c>
      <c r="D19553" s="16" t="s">
        <v>23885</v>
      </c>
      <c r="E19553" s="2">
        <v>964315</v>
      </c>
      <c r="F19553" s="4" t="str">
        <f>IF(B19553=B19552,"",B19553)</f>
        <v>Mokopane</v>
      </c>
    </row>
    <row r="19554" spans="1:6" ht="15.75" customHeight="1">
      <c r="A19554" s="8" t="str">
        <f ca="1">IFERROR(__xludf.DUMMYFUNCTION("GOOGLETRANSLATE(B45890,""en"",""pt"")"),"Mokopane")</f>
        <v>Mokopane</v>
      </c>
      <c r="B19554" s="11" t="s">
        <v>23938</v>
      </c>
      <c r="C19554" s="11" t="s">
        <v>23842</v>
      </c>
      <c r="D19554" s="11" t="s">
        <v>23885</v>
      </c>
      <c r="E19554" s="10">
        <v>964315</v>
      </c>
      <c r="F19554" s="4" t="str">
        <f>IF(B19554=B19553,"",B19554)</f>
        <v/>
      </c>
    </row>
    <row r="19555" spans="1:6" ht="15.75" customHeight="1">
      <c r="A19555" s="15" t="s">
        <v>3951</v>
      </c>
      <c r="B19555" s="15" t="s">
        <v>3951</v>
      </c>
      <c r="C19555" s="15" t="s">
        <v>3884</v>
      </c>
      <c r="D19555" s="15" t="s">
        <v>3906</v>
      </c>
      <c r="E19555" s="2">
        <v>2226275</v>
      </c>
      <c r="F19555" s="4" t="str">
        <f>IF(B19555=B19554,"",B19555)</f>
        <v>Mokolo</v>
      </c>
    </row>
    <row r="19556" spans="1:6" ht="15.75" customHeight="1">
      <c r="A19556" s="8" t="str">
        <f ca="1">IFERROR(__xludf.DUMMYFUNCTION("GOOGLETRANSLATE(B25997,""en"",""pt"")"),"Mokolo")</f>
        <v>Mokolo</v>
      </c>
      <c r="B19556" s="11" t="s">
        <v>3951</v>
      </c>
      <c r="C19556" s="11" t="s">
        <v>3884</v>
      </c>
      <c r="D19556" s="11" t="s">
        <v>3906</v>
      </c>
      <c r="E19556" s="10">
        <v>2226275</v>
      </c>
      <c r="F19556" s="4" t="str">
        <f>IF(B19556=B19555,"",B19556)</f>
        <v/>
      </c>
    </row>
    <row r="19557" spans="1:6" ht="15.75" customHeight="1">
      <c r="A19557" s="8" t="str">
        <f ca="1">IFERROR(__xludf.DUMMYFUNCTION("GOOGLETRANSLATE(B32757,""en"",""pt"")"),"Mokokchūng")</f>
        <v>Mokokchūng</v>
      </c>
      <c r="B19557" s="9" t="s">
        <v>33376</v>
      </c>
      <c r="C19557" s="9" t="s">
        <v>10178</v>
      </c>
      <c r="D19557" s="9" t="s">
        <v>11179</v>
      </c>
      <c r="E19557" s="10">
        <v>1262843</v>
      </c>
      <c r="F19557" s="4" t="str">
        <f>IF(B19557=B19556,"",B19557)</f>
        <v>Mokokchūng</v>
      </c>
    </row>
    <row r="19558" spans="1:6" ht="15.75" customHeight="1">
      <c r="A19558" s="16" t="s">
        <v>12416</v>
      </c>
      <c r="B19558" s="15" t="s">
        <v>12417</v>
      </c>
      <c r="C19558" s="16" t="s">
        <v>10178</v>
      </c>
      <c r="D19558" s="16" t="s">
        <v>11179</v>
      </c>
      <c r="E19558" s="2">
        <v>1262843</v>
      </c>
      <c r="F19558" s="4" t="str">
        <f>IF(B19558=B19557,"",B19558)</f>
        <v>MokokchÅ«ng</v>
      </c>
    </row>
    <row r="19559" spans="1:6" ht="15.75" customHeight="1">
      <c r="A19559" s="15" t="s">
        <v>29324</v>
      </c>
      <c r="B19559" s="15" t="s">
        <v>29325</v>
      </c>
      <c r="C19559" s="15" t="s">
        <v>27788</v>
      </c>
      <c r="D19559" s="15" t="s">
        <v>27799</v>
      </c>
      <c r="E19559" s="2">
        <v>4902475</v>
      </c>
      <c r="F19559" s="4" t="str">
        <f>IF(B19559=B19558,"",B19559)</f>
        <v>Mokena</v>
      </c>
    </row>
    <row r="19560" spans="1:6" ht="15.75" customHeight="1">
      <c r="A19560" s="8" t="str">
        <f ca="1">IFERROR(__xludf.DUMMYFUNCTION("GOOGLETRANSLATE(B43845,""en"",""pt"")"),"MOKENA")</f>
        <v>MOKENA</v>
      </c>
      <c r="B19560" s="11" t="s">
        <v>29325</v>
      </c>
      <c r="C19560" s="11" t="s">
        <v>27788</v>
      </c>
      <c r="D19560" s="11" t="s">
        <v>27799</v>
      </c>
      <c r="E19560" s="10">
        <v>4902475</v>
      </c>
      <c r="F19560" s="4" t="str">
        <f>IF(B19560=B19559,"",B19560)</f>
        <v/>
      </c>
    </row>
    <row r="19561" spans="1:6" ht="15.75" customHeight="1">
      <c r="A19561" s="16" t="s">
        <v>12415</v>
      </c>
      <c r="B19561" s="15" t="s">
        <v>12415</v>
      </c>
      <c r="C19561" s="16" t="s">
        <v>10178</v>
      </c>
      <c r="D19561" s="16" t="s">
        <v>10317</v>
      </c>
      <c r="E19561" s="2">
        <v>1262852</v>
      </c>
      <c r="F19561" s="4" t="str">
        <f>IF(B19561=B19560,"",B19561)</f>
        <v>Mokameh</v>
      </c>
    </row>
    <row r="19562" spans="1:6" ht="15.75" customHeight="1">
      <c r="A19562" s="8" t="str">
        <f ca="1">IFERROR(__xludf.DUMMYFUNCTION("GOOGLETRANSLATE(B32758,""en"",""pt"")"),"Mokameh")</f>
        <v>Mokameh</v>
      </c>
      <c r="B19562" s="11" t="s">
        <v>12415</v>
      </c>
      <c r="C19562" s="11" t="s">
        <v>10178</v>
      </c>
      <c r="D19562" s="11" t="s">
        <v>10317</v>
      </c>
      <c r="E19562" s="10">
        <v>1262852</v>
      </c>
      <c r="F19562" s="4" t="str">
        <f>IF(B19562=B19561,"",B19562)</f>
        <v/>
      </c>
    </row>
    <row r="19563" spans="1:6" ht="15.75" customHeight="1">
      <c r="A19563" s="15" t="s">
        <v>2907</v>
      </c>
      <c r="B19563" s="15" t="s">
        <v>2907</v>
      </c>
      <c r="C19563" s="15" t="s">
        <v>1905</v>
      </c>
      <c r="D19563" s="15" t="s">
        <v>1906</v>
      </c>
      <c r="E19563" s="2">
        <v>3394661</v>
      </c>
      <c r="F19563" s="4" t="str">
        <f>IF(B19563=B19562,"",B19563)</f>
        <v>Moju</v>
      </c>
    </row>
    <row r="19564" spans="1:6" ht="15.75" customHeight="1">
      <c r="A19564" s="8" t="str">
        <f ca="1">IFERROR(__xludf.DUMMYFUNCTION("GOOGLETRANSLATE(B24265,""en"",""pt"")"),"Moju")</f>
        <v>Moju</v>
      </c>
      <c r="B19564" s="11" t="s">
        <v>2907</v>
      </c>
      <c r="C19564" s="11" t="s">
        <v>1905</v>
      </c>
      <c r="D19564" s="11" t="s">
        <v>31342</v>
      </c>
      <c r="E19564" s="10">
        <v>3394661</v>
      </c>
      <c r="F19564" s="4" t="str">
        <f>IF(B19564=B19563,"",B19564)</f>
        <v/>
      </c>
    </row>
    <row r="19565" spans="1:6" ht="15.75" customHeight="1">
      <c r="A19565" s="16" t="s">
        <v>14046</v>
      </c>
      <c r="B19565" s="15" t="s">
        <v>14046</v>
      </c>
      <c r="C19565" s="16" t="s">
        <v>13800</v>
      </c>
      <c r="D19565" s="16" t="s">
        <v>13816</v>
      </c>
      <c r="E19565" s="2">
        <v>1635111</v>
      </c>
      <c r="F19565" s="4" t="str">
        <f>IF(B19565=B19564,"",B19565)</f>
        <v>Mojokerto</v>
      </c>
    </row>
    <row r="19566" spans="1:6" ht="15.75" customHeight="1">
      <c r="A19566" s="8" t="str">
        <f ca="1">IFERROR(__xludf.DUMMYFUNCTION("GOOGLETRANSLATE(B31536,""en"",""pt"")"),"Mojokerto")</f>
        <v>Mojokerto</v>
      </c>
      <c r="B19566" s="11" t="s">
        <v>14046</v>
      </c>
      <c r="C19566" s="11" t="s">
        <v>13800</v>
      </c>
      <c r="D19566" s="11" t="s">
        <v>13816</v>
      </c>
      <c r="E19566" s="10">
        <v>1635111</v>
      </c>
      <c r="F19566" s="4" t="str">
        <f>IF(B19566=B19565,"",B19566)</f>
        <v/>
      </c>
    </row>
    <row r="19567" spans="1:6" ht="15.75" customHeight="1">
      <c r="A19567" s="16" t="s">
        <v>14045</v>
      </c>
      <c r="B19567" s="15" t="s">
        <v>14045</v>
      </c>
      <c r="C19567" s="16" t="s">
        <v>13800</v>
      </c>
      <c r="D19567" s="16" t="s">
        <v>13816</v>
      </c>
      <c r="E19567" s="2">
        <v>1635116</v>
      </c>
      <c r="F19567" s="4" t="str">
        <f>IF(B19567=B19566,"",B19567)</f>
        <v>Mojoagung</v>
      </c>
    </row>
    <row r="19568" spans="1:6" ht="15.75" customHeight="1">
      <c r="A19568" s="8" t="str">
        <f ca="1">IFERROR(__xludf.DUMMYFUNCTION("GOOGLETRANSLATE(B31537,""en"",""pt"")"),"Mojoagung")</f>
        <v>Mojoagung</v>
      </c>
      <c r="B19568" s="11" t="s">
        <v>14045</v>
      </c>
      <c r="C19568" s="11" t="s">
        <v>13800</v>
      </c>
      <c r="D19568" s="11" t="s">
        <v>13816</v>
      </c>
      <c r="E19568" s="10">
        <v>1635116</v>
      </c>
      <c r="F19568" s="4" t="str">
        <f>IF(B19568=B19567,"",B19568)</f>
        <v/>
      </c>
    </row>
    <row r="19569" spans="1:6" ht="15.75" customHeight="1">
      <c r="A19569" s="15" t="s">
        <v>6911</v>
      </c>
      <c r="B19569" s="15" t="s">
        <v>6911</v>
      </c>
      <c r="C19569" s="15" t="s">
        <v>6807</v>
      </c>
      <c r="D19569" s="15" t="s">
        <v>6814</v>
      </c>
      <c r="E19569" s="2">
        <v>330491</v>
      </c>
      <c r="F19569" s="4" t="str">
        <f>IF(B19569=B19568,"",B19569)</f>
        <v>Mojo</v>
      </c>
    </row>
    <row r="19570" spans="1:6" ht="15.75" customHeight="1">
      <c r="A19570" s="8" t="str">
        <f ca="1">IFERROR(__xludf.DUMMYFUNCTION("GOOGLETRANSLATE(B29532,""en"",""pt"")"),"Mojo")</f>
        <v>Mojo</v>
      </c>
      <c r="B19570" s="11" t="s">
        <v>6911</v>
      </c>
      <c r="C19570" s="11" t="s">
        <v>6807</v>
      </c>
      <c r="D19570" s="11" t="s">
        <v>6814</v>
      </c>
      <c r="E19570" s="10">
        <v>330491</v>
      </c>
      <c r="F19570" s="4" t="str">
        <f>IF(B19570=B19569,"",B19570)</f>
        <v/>
      </c>
    </row>
    <row r="19571" spans="1:6" ht="15.75" customHeight="1">
      <c r="A19571" s="15" t="s">
        <v>21685</v>
      </c>
      <c r="B19571" s="15" t="s">
        <v>21685</v>
      </c>
      <c r="C19571" s="15" t="s">
        <v>21606</v>
      </c>
      <c r="D19571" s="15" t="s">
        <v>21620</v>
      </c>
      <c r="E19571" s="2">
        <v>2266319</v>
      </c>
      <c r="F19571" s="4" t="str">
        <f>IF(B19571=B19570,"",B19571)</f>
        <v>Moita</v>
      </c>
    </row>
    <row r="19572" spans="1:6" ht="15.75" customHeight="1">
      <c r="A19572" s="8" t="str">
        <f ca="1">IFERROR(__xludf.DUMMYFUNCTION("GOOGLETRANSLATE(B39596,""en"",""pt"")"),"Moita")</f>
        <v>Moita</v>
      </c>
      <c r="B19572" s="11" t="s">
        <v>21685</v>
      </c>
      <c r="C19572" s="11" t="s">
        <v>21606</v>
      </c>
      <c r="D19572" s="11" t="s">
        <v>35287</v>
      </c>
      <c r="E19572" s="10">
        <v>2266319</v>
      </c>
      <c r="F19572" s="4" t="str">
        <f>IF(B19572=B19571,"",B19572)</f>
        <v/>
      </c>
    </row>
    <row r="19573" spans="1:6" ht="15.75" customHeight="1">
      <c r="A19573" s="16" t="s">
        <v>7590</v>
      </c>
      <c r="B19573" s="15" t="s">
        <v>7591</v>
      </c>
      <c r="C19573" s="16" t="s">
        <v>7052</v>
      </c>
      <c r="D19573" s="16" t="s">
        <v>7058</v>
      </c>
      <c r="E19573" s="2">
        <v>2993572</v>
      </c>
      <c r="F19573" s="4" t="str">
        <f>IF(B19573=B19572,"",B19573)</f>
        <v>Moissy-Cramayel</v>
      </c>
    </row>
    <row r="19574" spans="1:6" ht="15.75" customHeight="1">
      <c r="A19574" s="8" t="str">
        <f ca="1">IFERROR(__xludf.DUMMYFUNCTION("GOOGLETRANSLATE(B29918,""en"",""pt"")"),"Moíio-Cramayel")</f>
        <v>Moíio-Cramayel</v>
      </c>
      <c r="B19574" s="11" t="s">
        <v>7591</v>
      </c>
      <c r="C19574" s="11" t="s">
        <v>7052</v>
      </c>
      <c r="D19574" s="11" t="s">
        <v>32531</v>
      </c>
      <c r="E19574" s="10">
        <v>2993572</v>
      </c>
      <c r="F19574" s="4" t="str">
        <f>IF(B19574=B19573,"",B19574)</f>
        <v/>
      </c>
    </row>
    <row r="19575" spans="1:6" ht="15.75" customHeight="1">
      <c r="A19575" s="8" t="str">
        <f ca="1">IFERROR(__xludf.DUMMYFUNCTION("GOOGLETRANSLATE(B32759,""en"",""pt"")"),"Moirāng")</f>
        <v>Moirāng</v>
      </c>
      <c r="B19575" s="9" t="s">
        <v>33377</v>
      </c>
      <c r="C19575" s="9" t="s">
        <v>10178</v>
      </c>
      <c r="D19575" s="9" t="s">
        <v>11001</v>
      </c>
      <c r="E19575" s="10">
        <v>1262863</v>
      </c>
      <c r="F19575" s="4" t="str">
        <f>IF(B19575=B19574,"",B19575)</f>
        <v>Moirāng</v>
      </c>
    </row>
    <row r="19576" spans="1:6" ht="15.75" customHeight="1">
      <c r="A19576" s="15" t="s">
        <v>12413</v>
      </c>
      <c r="B19576" s="15" t="s">
        <v>12414</v>
      </c>
      <c r="C19576" s="15" t="s">
        <v>10178</v>
      </c>
      <c r="D19576" s="15" t="s">
        <v>11001</v>
      </c>
      <c r="E19576" s="2">
        <v>1262863</v>
      </c>
      <c r="F19576" s="4" t="str">
        <f>IF(B19576=B19575,"",B19576)</f>
        <v>MoirÄng</v>
      </c>
    </row>
    <row r="19577" spans="1:6" ht="15.75" customHeight="1">
      <c r="A19577" s="8" t="str">
        <f ca="1">IFERROR(__xludf.DUMMYFUNCTION("GOOGLETRANSLATE(B39775,""en"",""pt"")"),"Moineşti")</f>
        <v>Moineşti</v>
      </c>
      <c r="B19577" s="9" t="s">
        <v>35375</v>
      </c>
      <c r="C19577" s="9" t="s">
        <v>21824</v>
      </c>
      <c r="D19577" s="9" t="s">
        <v>35376</v>
      </c>
      <c r="E19577" s="10">
        <v>672926</v>
      </c>
      <c r="F19577" s="4" t="str">
        <f>IF(B19577=B19576,"",B19577)</f>
        <v>Moineşti</v>
      </c>
    </row>
    <row r="19578" spans="1:6" ht="15.75" customHeight="1">
      <c r="A19578" s="16" t="s">
        <v>21961</v>
      </c>
      <c r="B19578" s="15" t="s">
        <v>21962</v>
      </c>
      <c r="C19578" s="16" t="s">
        <v>21824</v>
      </c>
      <c r="D19578" s="16" t="s">
        <v>21837</v>
      </c>
      <c r="E19578" s="2">
        <v>672926</v>
      </c>
      <c r="F19578" s="4" t="str">
        <f>IF(B19578=B19577,"",B19578)</f>
        <v>MoineÅŸti</v>
      </c>
    </row>
    <row r="19579" spans="1:6" ht="15.75" customHeight="1">
      <c r="A19579" s="16" t="s">
        <v>27069</v>
      </c>
      <c r="B19579" s="15" t="s">
        <v>27070</v>
      </c>
      <c r="C19579" s="16" t="s">
        <v>26870</v>
      </c>
      <c r="D19579" s="16" t="s">
        <v>26895</v>
      </c>
      <c r="E19579" s="2">
        <v>700918</v>
      </c>
      <c r="F19579" s="4" t="str">
        <f>IF(B19579=B19578,"",B19579)</f>
        <v>Mohyliv-Podilâ€™sâ€™kyy</v>
      </c>
    </row>
    <row r="19580" spans="1:6" ht="15.75" customHeight="1">
      <c r="A19580" s="8" t="str">
        <f ca="1">IFERROR(__xludf.DUMMYFUNCTION("GOOGLETRANSLATE(B42577,""en"",""pt"")"),"Mohyliv-Podil'S'kyy")</f>
        <v>Mohyliv-Podil'S'kyy</v>
      </c>
      <c r="B19580" s="11" t="s">
        <v>36011</v>
      </c>
      <c r="C19580" s="11" t="s">
        <v>26870</v>
      </c>
      <c r="D19580" s="11" t="s">
        <v>26895</v>
      </c>
      <c r="E19580" s="10">
        <v>700918</v>
      </c>
      <c r="F19580" s="4" t="str">
        <f>IF(B19580=B19579,"",B19580)</f>
        <v>Mohyliv-Podil’s’kyy</v>
      </c>
    </row>
    <row r="19581" spans="1:6" ht="15.75" customHeight="1">
      <c r="A19581" s="16" t="s">
        <v>18610</v>
      </c>
      <c r="B19581" s="15" t="s">
        <v>18610</v>
      </c>
      <c r="C19581" s="16" t="s">
        <v>18551</v>
      </c>
      <c r="D19581" s="16" t="s">
        <v>18572</v>
      </c>
      <c r="E19581" s="2">
        <v>2542051</v>
      </c>
      <c r="F19581" s="4" t="str">
        <f>IF(B19581=B19580,"",B19581)</f>
        <v>Mohammedia</v>
      </c>
    </row>
    <row r="19582" spans="1:6" ht="15.75" customHeight="1">
      <c r="A19582" s="8" t="str">
        <f ca="1">IFERROR(__xludf.DUMMYFUNCTION("GOOGLETRANSLATE(B36485,""en"",""pt"")"),"Mohammedia")</f>
        <v>Mohammedia</v>
      </c>
      <c r="B19582" s="11" t="s">
        <v>18610</v>
      </c>
      <c r="C19582" s="11" t="s">
        <v>18551</v>
      </c>
      <c r="D19582" s="11" t="s">
        <v>18572</v>
      </c>
      <c r="E19582" s="10">
        <v>2542051</v>
      </c>
      <c r="F19582" s="4" t="str">
        <f>IF(B19582=B19581,"",B19582)</f>
        <v/>
      </c>
    </row>
    <row r="19583" spans="1:6" ht="15.75" customHeight="1">
      <c r="A19583" s="15" t="s">
        <v>12412</v>
      </c>
      <c r="B19583" s="15" t="s">
        <v>12412</v>
      </c>
      <c r="C19583" s="15" t="s">
        <v>10178</v>
      </c>
      <c r="D19583" s="15" t="s">
        <v>10184</v>
      </c>
      <c r="E19583" s="2">
        <v>6992326</v>
      </c>
      <c r="F19583" s="4" t="str">
        <f>IF(B19583=B19582,"",B19583)</f>
        <v>Mohali</v>
      </c>
    </row>
    <row r="19584" spans="1:6" ht="15.75" customHeight="1">
      <c r="A19584" s="8" t="str">
        <f ca="1">IFERROR(__xludf.DUMMYFUNCTION("GOOGLETRANSLATE(B34210,""en"",""pt"")"),"Mohali")</f>
        <v>Mohali</v>
      </c>
      <c r="B19584" s="11" t="s">
        <v>12412</v>
      </c>
      <c r="C19584" s="11" t="s">
        <v>10178</v>
      </c>
      <c r="D19584" s="11" t="s">
        <v>10184</v>
      </c>
      <c r="E19584" s="10">
        <v>6992326</v>
      </c>
      <c r="F19584" s="4" t="str">
        <f>IF(B19584=B19583,"",B19584)</f>
        <v/>
      </c>
    </row>
    <row r="19585" spans="1:6" ht="15.75" customHeight="1">
      <c r="A19585" s="16" t="s">
        <v>17044</v>
      </c>
      <c r="B19585" s="15" t="s">
        <v>17045</v>
      </c>
      <c r="C19585" s="16" t="s">
        <v>17039</v>
      </c>
      <c r="D19585" s="16" t="s">
        <v>17046</v>
      </c>
      <c r="E19585" s="2">
        <v>932438</v>
      </c>
      <c r="F19585" s="4" t="str">
        <f>IF(B19585=B19584,"",B19585)</f>
        <v>Mohaleâ€™s Hoek</v>
      </c>
    </row>
    <row r="19586" spans="1:6" ht="15.75" customHeight="1">
      <c r="A19586" s="8" t="str">
        <f ca="1">IFERROR(__xludf.DUMMYFUNCTION("GOOGLETRANSLATE(B36354,""en"",""pt"")"),"Mohale's Hoek")</f>
        <v>Mohale's Hoek</v>
      </c>
      <c r="B19586" s="11" t="s">
        <v>34523</v>
      </c>
      <c r="C19586" s="11" t="s">
        <v>17039</v>
      </c>
      <c r="D19586" s="11" t="s">
        <v>34524</v>
      </c>
      <c r="E19586" s="10">
        <v>932438</v>
      </c>
      <c r="F19586" s="4" t="str">
        <f>IF(B19586=B19585,"",B19586)</f>
        <v>Mohale’s Hoek</v>
      </c>
    </row>
    <row r="19587" spans="1:6" ht="15.75" customHeight="1">
      <c r="A19587" s="8" t="str">
        <f ca="1">IFERROR(__xludf.DUMMYFUNCTION("GOOGLETRANSLATE(B31299,""en"",""pt"")"),"Mohács")</f>
        <v>Mohács</v>
      </c>
      <c r="B19587" s="9" t="s">
        <v>32869</v>
      </c>
      <c r="C19587" s="9" t="s">
        <v>9955</v>
      </c>
      <c r="D19587" s="9" t="s">
        <v>10094</v>
      </c>
      <c r="E19587" s="10">
        <v>3047967</v>
      </c>
      <c r="F19587" s="4" t="str">
        <f>IF(B19587=B19586,"",B19587)</f>
        <v>Mohács</v>
      </c>
    </row>
    <row r="19588" spans="1:6" ht="15.75" customHeight="1">
      <c r="A19588" s="15" t="s">
        <v>10104</v>
      </c>
      <c r="B19588" s="15" t="s">
        <v>10105</v>
      </c>
      <c r="C19588" s="15" t="s">
        <v>9955</v>
      </c>
      <c r="D19588" s="15" t="s">
        <v>10094</v>
      </c>
      <c r="E19588" s="2">
        <v>3047967</v>
      </c>
      <c r="F19588" s="4" t="str">
        <f>IF(B19588=B19587,"",B19588)</f>
        <v>MohÃ¡cs</v>
      </c>
    </row>
    <row r="19589" spans="1:6" ht="15.75" customHeight="1">
      <c r="A19589" s="15" t="s">
        <v>24623</v>
      </c>
      <c r="B19589" s="15" t="s">
        <v>24623</v>
      </c>
      <c r="C19589" s="15" t="s">
        <v>24200</v>
      </c>
      <c r="D19589" s="15" t="s">
        <v>24205</v>
      </c>
      <c r="E19589" s="2">
        <v>2513791</v>
      </c>
      <c r="F19589" s="4" t="str">
        <f>IF(B19589=B19588,"",B19589)</f>
        <v>Moguer</v>
      </c>
    </row>
    <row r="19590" spans="1:6" ht="15.75" customHeight="1">
      <c r="A19590" s="8" t="str">
        <f ca="1">IFERROR(__xludf.DUMMYFUNCTION("GOOGLETRANSLATE(B29051,""en"",""pt"")"),"Moguer")</f>
        <v>Moguer</v>
      </c>
      <c r="B19590" s="9" t="s">
        <v>24623</v>
      </c>
      <c r="C19590" s="9" t="s">
        <v>24200</v>
      </c>
      <c r="D19590" s="9" t="s">
        <v>24205</v>
      </c>
      <c r="E19590" s="10">
        <v>2513791</v>
      </c>
      <c r="F19590" s="4" t="str">
        <f>IF(B19590=B19589,"",B19590)</f>
        <v/>
      </c>
    </row>
    <row r="19591" spans="1:6" ht="15.75" customHeight="1">
      <c r="A19591" s="15" t="s">
        <v>18732</v>
      </c>
      <c r="B19591" s="15" t="s">
        <v>18732</v>
      </c>
      <c r="C19591" s="15" t="s">
        <v>18696</v>
      </c>
      <c r="D19591" s="15" t="s">
        <v>18718</v>
      </c>
      <c r="E19591" s="2">
        <v>1308937</v>
      </c>
      <c r="F19591" s="4" t="str">
        <f>IF(B19591=B19590,"",B19591)</f>
        <v>Mogok</v>
      </c>
    </row>
    <row r="19592" spans="1:6" ht="15.75" customHeight="1">
      <c r="A19592" s="8" t="str">
        <f ca="1">IFERROR(__xludf.DUMMYFUNCTION("GOOGLETRANSLATE(B36735,""en"",""pt"")"),"Mogok")</f>
        <v>Mogok</v>
      </c>
      <c r="B19592" s="11" t="s">
        <v>18732</v>
      </c>
      <c r="C19592" s="11" t="s">
        <v>18696</v>
      </c>
      <c r="D19592" s="11" t="s">
        <v>18718</v>
      </c>
      <c r="E19592" s="10">
        <v>1308937</v>
      </c>
      <c r="F19592" s="4" t="str">
        <f>IF(B19592=B19591,"",B19592)</f>
        <v/>
      </c>
    </row>
    <row r="19593" spans="1:6" ht="15.75" customHeight="1">
      <c r="A19593" s="16" t="s">
        <v>1893</v>
      </c>
      <c r="B19593" s="15" t="s">
        <v>1893</v>
      </c>
      <c r="C19593" s="16" t="s">
        <v>1878</v>
      </c>
      <c r="D19593" s="16" t="s">
        <v>1894</v>
      </c>
      <c r="E19593" s="2">
        <v>933331</v>
      </c>
      <c r="F19593" s="4" t="str">
        <f>IF(B19593=B19592,"",B19593)</f>
        <v>Mogoditshane</v>
      </c>
    </row>
    <row r="19594" spans="1:6" ht="15.75" customHeight="1">
      <c r="A19594" s="8" t="str">
        <f ca="1">IFERROR(__xludf.DUMMYFUNCTION("GOOGLETRANSLATE(B25358,""en"",""pt"")"),"Mogoditshane")</f>
        <v>Mogoditshane</v>
      </c>
      <c r="B19594" s="11" t="s">
        <v>1893</v>
      </c>
      <c r="C19594" s="11" t="s">
        <v>1878</v>
      </c>
      <c r="D19594" s="11" t="s">
        <v>1894</v>
      </c>
      <c r="E19594" s="10">
        <v>933331</v>
      </c>
      <c r="F19594" s="4" t="str">
        <f>IF(B19594=B19593,"",B19594)</f>
        <v/>
      </c>
    </row>
    <row r="19595" spans="1:6" ht="15.75" customHeight="1">
      <c r="A19595" s="16" t="s">
        <v>15279</v>
      </c>
      <c r="B19595" s="15" t="s">
        <v>15279</v>
      </c>
      <c r="C19595" s="16" t="s">
        <v>14891</v>
      </c>
      <c r="D19595" s="16" t="s">
        <v>14892</v>
      </c>
      <c r="E19595" s="2">
        <v>3173314</v>
      </c>
      <c r="F19595" s="4" t="str">
        <f>IF(B19595=B19594,"",B19595)</f>
        <v>Mogliano Veneto</v>
      </c>
    </row>
    <row r="19596" spans="1:6" ht="15.75" customHeight="1">
      <c r="A19596" s="8" t="str">
        <f ca="1">IFERROR(__xludf.DUMMYFUNCTION("GOOGLETRANSLATE(B34828,""en"",""pt"")"),"Mogliano Veneto")</f>
        <v>Mogliano Veneto</v>
      </c>
      <c r="B19596" s="11" t="s">
        <v>15279</v>
      </c>
      <c r="C19596" s="11" t="s">
        <v>14891</v>
      </c>
      <c r="D19596" s="11" t="s">
        <v>14892</v>
      </c>
      <c r="E19596" s="10">
        <v>3173314</v>
      </c>
      <c r="F19596" s="4" t="str">
        <f>IF(B19596=B19595,"",B19596)</f>
        <v/>
      </c>
    </row>
    <row r="19597" spans="1:6" ht="15.75" customHeight="1">
      <c r="A19597" s="16" t="s">
        <v>2905</v>
      </c>
      <c r="B19597" s="15" t="s">
        <v>2906</v>
      </c>
      <c r="C19597" s="16" t="s">
        <v>1905</v>
      </c>
      <c r="D19597" s="16" t="s">
        <v>1914</v>
      </c>
      <c r="E19597" s="2">
        <v>3457000</v>
      </c>
      <c r="F19597" s="4" t="str">
        <f>IF(B19597=B19596,"",B19597)</f>
        <v>Mogi-Gaucu</v>
      </c>
    </row>
    <row r="19598" spans="1:6" ht="15.75" customHeight="1">
      <c r="A19598" s="8" t="str">
        <f ca="1">IFERROR(__xludf.DUMMYFUNCTION("GOOGLETRANSLATE(B24810,""en"",""pt"")"),"Mogi-gaucu")</f>
        <v>Mogi-gaucu</v>
      </c>
      <c r="B19598" s="11" t="s">
        <v>2906</v>
      </c>
      <c r="C19598" s="11" t="s">
        <v>1905</v>
      </c>
      <c r="D19598" s="11" t="s">
        <v>3354</v>
      </c>
      <c r="E19598" s="10">
        <v>3457000</v>
      </c>
      <c r="F19598" s="4" t="str">
        <f>IF(B19598=B19597,"",B19598)</f>
        <v/>
      </c>
    </row>
    <row r="19599" spans="1:6" ht="15.75" customHeight="1">
      <c r="A19599" s="16" t="s">
        <v>2904</v>
      </c>
      <c r="B19599" s="15" t="s">
        <v>2904</v>
      </c>
      <c r="C19599" s="16" t="s">
        <v>1905</v>
      </c>
      <c r="D19599" s="16" t="s">
        <v>1914</v>
      </c>
      <c r="E19599" s="2">
        <v>3456998</v>
      </c>
      <c r="F19599" s="4" t="str">
        <f>IF(B19599=B19598,"",B19599)</f>
        <v>Mogi Mirim</v>
      </c>
    </row>
    <row r="19600" spans="1:6" ht="15.75" customHeight="1">
      <c r="A19600" s="8" t="str">
        <f ca="1">IFERROR(__xludf.DUMMYFUNCTION("GOOGLETRANSLATE(B24809,""en"",""pt"")"),"Mogi Mirim")</f>
        <v>Mogi Mirim</v>
      </c>
      <c r="B19600" s="11" t="s">
        <v>2904</v>
      </c>
      <c r="C19600" s="11" t="s">
        <v>1905</v>
      </c>
      <c r="D19600" s="11" t="s">
        <v>3354</v>
      </c>
      <c r="E19600" s="10">
        <v>3456998</v>
      </c>
      <c r="F19600" s="4" t="str">
        <f>IF(B19600=B19599,"",B19600)</f>
        <v/>
      </c>
    </row>
    <row r="19601" spans="1:6" ht="15.75" customHeight="1">
      <c r="A19601" s="16" t="s">
        <v>2902</v>
      </c>
      <c r="B19601" s="15" t="s">
        <v>2903</v>
      </c>
      <c r="C19601" s="16" t="s">
        <v>1905</v>
      </c>
      <c r="D19601" s="16" t="s">
        <v>1914</v>
      </c>
      <c r="E19601" s="2">
        <v>3457001</v>
      </c>
      <c r="F19601" s="4" t="str">
        <f>IF(B19601=B19600,"",B19601)</f>
        <v>Mogi das Cruzes</v>
      </c>
    </row>
    <row r="19602" spans="1:6" ht="15.75" customHeight="1">
      <c r="A19602" s="8" t="str">
        <f ca="1">IFERROR(__xludf.DUMMYFUNCTION("GOOGLETRANSLATE(B24811,""en"",""pt"")"),"Mogi Das Cruzes")</f>
        <v>Mogi Das Cruzes</v>
      </c>
      <c r="B19602" s="11" t="s">
        <v>2903</v>
      </c>
      <c r="C19602" s="11" t="s">
        <v>1905</v>
      </c>
      <c r="D19602" s="11" t="s">
        <v>3354</v>
      </c>
      <c r="E19602" s="10">
        <v>3457001</v>
      </c>
      <c r="F19602" s="4" t="str">
        <f>IF(B19602=B19601,"",B19602)</f>
        <v/>
      </c>
    </row>
    <row r="19603" spans="1:6" ht="15.75" customHeight="1">
      <c r="A19603" s="8" t="str">
        <f ca="1">IFERROR(__xludf.DUMMYFUNCTION("GOOGLETRANSLATE(B29052,""en"",""pt"")"),"Mogán")</f>
        <v>Mogán</v>
      </c>
      <c r="B19603" s="9" t="s">
        <v>32368</v>
      </c>
      <c r="C19603" s="9" t="s">
        <v>24200</v>
      </c>
      <c r="D19603" s="9" t="s">
        <v>24212</v>
      </c>
      <c r="E19603" s="10">
        <v>2513798</v>
      </c>
      <c r="F19603" s="4" t="str">
        <f>IF(B19603=B19602,"",B19603)</f>
        <v>Mogán</v>
      </c>
    </row>
    <row r="19604" spans="1:6" ht="15.75" customHeight="1">
      <c r="A19604" s="16" t="s">
        <v>23836</v>
      </c>
      <c r="B19604" s="15" t="s">
        <v>23836</v>
      </c>
      <c r="C19604" s="16" t="s">
        <v>23800</v>
      </c>
      <c r="D19604" s="16" t="s">
        <v>23837</v>
      </c>
      <c r="E19604" s="2">
        <v>53654</v>
      </c>
      <c r="F19604" s="4" t="str">
        <f>IF(B19604=B19603,"",B19604)</f>
        <v>Mogadishu</v>
      </c>
    </row>
    <row r="19605" spans="1:6" ht="15.75" customHeight="1">
      <c r="A19605" s="8" t="str">
        <f ca="1">IFERROR(__xludf.DUMMYFUNCTION("GOOGLETRANSLATE(B41316,""en"",""pt"")"),"Mogadishu")</f>
        <v>Mogadishu</v>
      </c>
      <c r="B19605" s="9" t="s">
        <v>23836</v>
      </c>
      <c r="C19605" s="9" t="s">
        <v>23800</v>
      </c>
      <c r="D19605" s="9" t="s">
        <v>23837</v>
      </c>
      <c r="E19605" s="10">
        <v>53654</v>
      </c>
      <c r="F19605" s="4" t="str">
        <f>IF(B19605=B19604,"",B19605)</f>
        <v/>
      </c>
    </row>
    <row r="19606" spans="1:6" ht="15.75" customHeight="1">
      <c r="A19606" s="15" t="s">
        <v>24621</v>
      </c>
      <c r="B19606" s="15" t="s">
        <v>24622</v>
      </c>
      <c r="C19606" s="15" t="s">
        <v>24200</v>
      </c>
      <c r="D19606" s="15" t="s">
        <v>24212</v>
      </c>
      <c r="E19606" s="2">
        <v>2513798</v>
      </c>
      <c r="F19606" s="4" t="str">
        <f>IF(B19606=B19605,"",B19606)</f>
        <v>MogÃ¡n</v>
      </c>
    </row>
    <row r="19607" spans="1:6" ht="15.75" customHeight="1">
      <c r="A19607" s="15" t="s">
        <v>12411</v>
      </c>
      <c r="B19607" s="15" t="s">
        <v>12411</v>
      </c>
      <c r="C19607" s="15" t="s">
        <v>10178</v>
      </c>
      <c r="D19607" s="15" t="s">
        <v>10184</v>
      </c>
      <c r="E19607" s="2">
        <v>1262951</v>
      </c>
      <c r="F19607" s="4" t="str">
        <f>IF(B19607=B19606,"",B19607)</f>
        <v>Moga</v>
      </c>
    </row>
    <row r="19608" spans="1:6" ht="15.75" customHeight="1">
      <c r="A19608" s="8" t="str">
        <f ca="1">IFERROR(__xludf.DUMMYFUNCTION("GOOGLETRANSLATE(B32760,""en"",""pt"")"),"Moga")</f>
        <v>Moga</v>
      </c>
      <c r="B19608" s="11" t="s">
        <v>12411</v>
      </c>
      <c r="C19608" s="11" t="s">
        <v>10178</v>
      </c>
      <c r="D19608" s="11" t="s">
        <v>10184</v>
      </c>
      <c r="E19608" s="10">
        <v>1262951</v>
      </c>
      <c r="F19608" s="4" t="str">
        <f>IF(B19608=B19607,"",B19608)</f>
        <v/>
      </c>
    </row>
    <row r="19609" spans="1:6" ht="15.75" customHeight="1">
      <c r="A19609" s="15" t="s">
        <v>8859</v>
      </c>
      <c r="B19609" s="15" t="s">
        <v>8859</v>
      </c>
      <c r="C19609" s="15" t="s">
        <v>8028</v>
      </c>
      <c r="D19609" s="15" t="s">
        <v>8029</v>
      </c>
      <c r="E19609" s="2">
        <v>2870221</v>
      </c>
      <c r="F19609" s="4" t="str">
        <f>IF(B19609=B19608,"",B19609)</f>
        <v>Moers</v>
      </c>
    </row>
    <row r="19610" spans="1:6" ht="15.75" customHeight="1">
      <c r="A19610" s="8" t="str">
        <f ca="1">IFERROR(__xludf.DUMMYFUNCTION("GOOGLETRANSLATE(B27754,""en"",""pt"")"),"Moers")</f>
        <v>Moers</v>
      </c>
      <c r="B19610" s="11" t="s">
        <v>8859</v>
      </c>
      <c r="C19610" s="11" t="s">
        <v>8028</v>
      </c>
      <c r="D19610" s="11" t="s">
        <v>8029</v>
      </c>
      <c r="E19610" s="10">
        <v>2870221</v>
      </c>
      <c r="F19610" s="4" t="str">
        <f>IF(B19610=B19609,"",B19610)</f>
        <v/>
      </c>
    </row>
    <row r="19611" spans="1:6" ht="15.75" customHeight="1">
      <c r="A19611" s="15" t="s">
        <v>1029</v>
      </c>
      <c r="B19611" s="15" t="s">
        <v>1029</v>
      </c>
      <c r="C19611" s="15" t="s">
        <v>885</v>
      </c>
      <c r="D19611" s="15" t="s">
        <v>827</v>
      </c>
      <c r="E19611" s="2">
        <v>2157343</v>
      </c>
      <c r="F19611" s="4" t="str">
        <f>IF(B19611=B19610,"",B19611)</f>
        <v>Moe</v>
      </c>
    </row>
    <row r="19612" spans="1:6" ht="15.75" customHeight="1">
      <c r="A19612" s="8" t="str">
        <f ca="1">IFERROR(__xludf.DUMMYFUNCTION("GOOGLETRANSLATE(B23481,""en"",""pt"")"),"Moe")</f>
        <v>Moe</v>
      </c>
      <c r="B19612" s="9" t="s">
        <v>1029</v>
      </c>
      <c r="C19612" s="9" t="s">
        <v>885</v>
      </c>
      <c r="D19612" s="9" t="s">
        <v>827</v>
      </c>
      <c r="E19612" s="10">
        <v>2157343</v>
      </c>
      <c r="F19612" s="4" t="str">
        <f>IF(B19612=B19611,"",B19612)</f>
        <v/>
      </c>
    </row>
    <row r="19613" spans="1:6" ht="15.75" customHeight="1">
      <c r="A19613" s="16" t="s">
        <v>15277</v>
      </c>
      <c r="B19613" s="15" t="s">
        <v>15278</v>
      </c>
      <c r="C19613" s="16" t="s">
        <v>14891</v>
      </c>
      <c r="D19613" s="16" t="s">
        <v>14908</v>
      </c>
      <c r="E19613" s="2">
        <v>3173326</v>
      </c>
      <c r="F19613" s="4" t="str">
        <f>IF(B19613=B19612,"",B19613)</f>
        <v>Modugno</v>
      </c>
    </row>
    <row r="19614" spans="1:6" ht="15.75" customHeight="1">
      <c r="A19614" s="8" t="str">
        <f ca="1">IFERROR(__xludf.DUMMYFUNCTION("GOOGLETRANSLATE(B34829,""en"",""pt"")"),"Moduguno")</f>
        <v>Moduguno</v>
      </c>
      <c r="B19614" s="11" t="s">
        <v>15278</v>
      </c>
      <c r="C19614" s="11" t="s">
        <v>14891</v>
      </c>
      <c r="D19614" s="11" t="s">
        <v>14908</v>
      </c>
      <c r="E19614" s="10">
        <v>3173326</v>
      </c>
      <c r="F19614" s="4" t="str">
        <f>IF(B19614=B19613,"",B19614)</f>
        <v/>
      </c>
    </row>
    <row r="19615" spans="1:6" ht="15.75" customHeight="1">
      <c r="A19615" s="8" t="str">
        <f ca="1">IFERROR(__xludf.DUMMYFUNCTION("GOOGLETRANSLATE(B27289,""en"",""pt"")"),"Modřany")</f>
        <v>Modřany</v>
      </c>
      <c r="B19615" s="9" t="s">
        <v>31972</v>
      </c>
      <c r="C19615" s="9" t="s">
        <v>5947</v>
      </c>
      <c r="D19615" s="9" t="s">
        <v>5959</v>
      </c>
      <c r="E19615" s="10">
        <v>3070420</v>
      </c>
      <c r="F19615" s="4" t="str">
        <f>IF(B19615=B19614,"",B19615)</f>
        <v>Modřany</v>
      </c>
    </row>
    <row r="19616" spans="1:6" ht="15.75" customHeight="1">
      <c r="A19616" s="8" t="str">
        <f ca="1">IFERROR(__xludf.DUMMYFUNCTION("GOOGLETRANSLATE(B23387,""en"",""pt"")"),"Möling")</f>
        <v>Möling</v>
      </c>
      <c r="B19616" s="11" t="s">
        <v>31223</v>
      </c>
      <c r="C19616" s="11" t="s">
        <v>1117</v>
      </c>
      <c r="D19616" s="11" t="s">
        <v>1118</v>
      </c>
      <c r="E19616" s="10">
        <v>2771335</v>
      </c>
      <c r="F19616" s="4" t="str">
        <f>IF(B19616=B19615,"",B19616)</f>
        <v>Mödling</v>
      </c>
    </row>
    <row r="19617" spans="1:6" ht="15.75" customHeight="1">
      <c r="A19617" s="16" t="s">
        <v>23937</v>
      </c>
      <c r="B19617" s="15" t="s">
        <v>23937</v>
      </c>
      <c r="C19617" s="16" t="s">
        <v>23842</v>
      </c>
      <c r="D19617" s="16" t="s">
        <v>23885</v>
      </c>
      <c r="E19617" s="2">
        <v>968665</v>
      </c>
      <c r="F19617" s="4" t="str">
        <f>IF(B19617=B19616,"",B19617)</f>
        <v>Modimolle</v>
      </c>
    </row>
    <row r="19618" spans="1:6" ht="15.75" customHeight="1">
      <c r="A19618" s="8" t="str">
        <f ca="1">IFERROR(__xludf.DUMMYFUNCTION("GOOGLETRANSLATE(B45905,""en"",""pt"")"),"Modimolle")</f>
        <v>Modimolle</v>
      </c>
      <c r="B19618" s="9" t="s">
        <v>23937</v>
      </c>
      <c r="C19618" s="9" t="s">
        <v>23842</v>
      </c>
      <c r="D19618" s="9" t="s">
        <v>23885</v>
      </c>
      <c r="E19618" s="10">
        <v>968665</v>
      </c>
      <c r="F19618" s="4" t="str">
        <f>IF(B19618=B19617,"",B19618)</f>
        <v/>
      </c>
    </row>
    <row r="19619" spans="1:6" ht="15.75" customHeight="1">
      <c r="A19619" s="16" t="s">
        <v>14837</v>
      </c>
      <c r="B19619" s="15" t="s">
        <v>14838</v>
      </c>
      <c r="C19619" s="16" t="s">
        <v>14773</v>
      </c>
      <c r="D19619" s="16" t="s">
        <v>14781</v>
      </c>
      <c r="E19619" s="2">
        <v>8199378</v>
      </c>
      <c r="F19619" s="4" t="str">
        <f>IF(B19619=B19618,"",B19619)</f>
        <v>Modiin Ilit</v>
      </c>
    </row>
    <row r="19620" spans="1:6" ht="15.75" customHeight="1">
      <c r="A19620" s="8" t="str">
        <f ca="1">IFERROR(__xludf.DUMMYFUNCTION("GOOGLETRANSLATE(B31826,""en"",""pt"")"),"Modiin ilit")</f>
        <v>Modiin ilit</v>
      </c>
      <c r="B19620" s="11" t="s">
        <v>14838</v>
      </c>
      <c r="C19620" s="11" t="s">
        <v>14773</v>
      </c>
      <c r="D19620" s="11" t="s">
        <v>14781</v>
      </c>
      <c r="E19620" s="10">
        <v>8199378</v>
      </c>
      <c r="F19620" s="4" t="str">
        <f>IF(B19620=B19619,"",B19620)</f>
        <v/>
      </c>
    </row>
    <row r="19621" spans="1:6" ht="15.75" customHeight="1">
      <c r="A19621" s="15" t="s">
        <v>14836</v>
      </c>
      <c r="B19621" s="15" t="s">
        <v>14836</v>
      </c>
      <c r="C19621" s="15" t="s">
        <v>14773</v>
      </c>
      <c r="D19621" s="15" t="s">
        <v>14800</v>
      </c>
      <c r="E19621" s="2">
        <v>6693679</v>
      </c>
      <c r="F19621" s="4" t="str">
        <f>IF(B19621=B19620,"",B19621)</f>
        <v>Modiin</v>
      </c>
    </row>
    <row r="19622" spans="1:6" ht="15.75" customHeight="1">
      <c r="A19622" s="8" t="str">
        <f ca="1">IFERROR(__xludf.DUMMYFUNCTION("GOOGLETRANSLATE(B31824,""en"",""pt"")"),"Modiin")</f>
        <v>Modiin</v>
      </c>
      <c r="B19622" s="11" t="s">
        <v>14836</v>
      </c>
      <c r="C19622" s="11" t="s">
        <v>14773</v>
      </c>
      <c r="D19622" s="11" t="s">
        <v>14800</v>
      </c>
      <c r="E19622" s="10">
        <v>6693679</v>
      </c>
      <c r="F19622" s="4" t="str">
        <f>IF(B19622=B19621,"",B19622)</f>
        <v/>
      </c>
    </row>
    <row r="19623" spans="1:6" ht="15.75" customHeight="1">
      <c r="A19623" s="15" t="s">
        <v>15276</v>
      </c>
      <c r="B19623" s="15" t="s">
        <v>15276</v>
      </c>
      <c r="C19623" s="15" t="s">
        <v>14891</v>
      </c>
      <c r="D19623" s="15" t="s">
        <v>14899</v>
      </c>
      <c r="E19623" s="2">
        <v>2524119</v>
      </c>
      <c r="F19623" s="4" t="str">
        <f>IF(B19623=B19622,"",B19623)</f>
        <v>Modica</v>
      </c>
    </row>
    <row r="19624" spans="1:6" ht="15.75" customHeight="1">
      <c r="A19624" s="8" t="str">
        <f ca="1">IFERROR(__xludf.DUMMYFUNCTION("GOOGLETRANSLATE(B34578,""en"",""pt"")"),"Modica")</f>
        <v>Modica</v>
      </c>
      <c r="B19624" s="9" t="s">
        <v>15276</v>
      </c>
      <c r="C19624" s="9" t="s">
        <v>14891</v>
      </c>
      <c r="D19624" s="9" t="s">
        <v>14899</v>
      </c>
      <c r="E19624" s="10">
        <v>2524119</v>
      </c>
      <c r="F19624" s="4" t="str">
        <f>IF(B19624=B19623,"",B19624)</f>
        <v/>
      </c>
    </row>
    <row r="19625" spans="1:6" ht="15.75" customHeight="1">
      <c r="A19625" s="15" t="s">
        <v>29323</v>
      </c>
      <c r="B19625" s="15" t="s">
        <v>29323</v>
      </c>
      <c r="C19625" s="15" t="s">
        <v>27788</v>
      </c>
      <c r="D19625" s="15" t="s">
        <v>27801</v>
      </c>
      <c r="E19625" s="2">
        <v>5373900</v>
      </c>
      <c r="F19625" s="4" t="str">
        <f>IF(B19625=B19624,"",B19625)</f>
        <v>Modesto</v>
      </c>
    </row>
    <row r="19626" spans="1:6" ht="15.75" customHeight="1">
      <c r="A19626" s="8" t="str">
        <f ca="1">IFERROR(__xludf.DUMMYFUNCTION("GOOGLETRANSLATE(B44910,""en"",""pt"")"),"Modesto")</f>
        <v>Modesto</v>
      </c>
      <c r="B19626" s="11" t="s">
        <v>29323</v>
      </c>
      <c r="C19626" s="11" t="s">
        <v>27788</v>
      </c>
      <c r="D19626" s="11" t="s">
        <v>27801</v>
      </c>
      <c r="E19626" s="10">
        <v>5373900</v>
      </c>
      <c r="F19626" s="4" t="str">
        <f>IF(B19626=B19625,"",B19626)</f>
        <v/>
      </c>
    </row>
    <row r="19627" spans="1:6" ht="15.75" customHeight="1">
      <c r="A19627" s="15" t="s">
        <v>15275</v>
      </c>
      <c r="B19627" s="15" t="s">
        <v>15275</v>
      </c>
      <c r="C19627" s="15" t="s">
        <v>14891</v>
      </c>
      <c r="D19627" s="15" t="s">
        <v>14973</v>
      </c>
      <c r="E19627" s="2">
        <v>3173331</v>
      </c>
      <c r="F19627" s="4" t="str">
        <f>IF(B19627=B19626,"",B19627)</f>
        <v>Modena</v>
      </c>
    </row>
    <row r="19628" spans="1:6" ht="15.75" customHeight="1">
      <c r="A19628" s="8" t="str">
        <f ca="1">IFERROR(__xludf.DUMMYFUNCTION("GOOGLETRANSLATE(B34830,""en"",""pt"")"),"Modena")</f>
        <v>Modena</v>
      </c>
      <c r="B19628" s="11" t="s">
        <v>15275</v>
      </c>
      <c r="C19628" s="11" t="s">
        <v>14891</v>
      </c>
      <c r="D19628" s="11" t="s">
        <v>14973</v>
      </c>
      <c r="E19628" s="10">
        <v>3173331</v>
      </c>
      <c r="F19628" s="4" t="str">
        <f>IF(B19628=B19627,"",B19628)</f>
        <v/>
      </c>
    </row>
    <row r="19629" spans="1:6" ht="15.75" customHeight="1">
      <c r="A19629" s="16" t="s">
        <v>6062</v>
      </c>
      <c r="B19629" s="15" t="s">
        <v>6063</v>
      </c>
      <c r="C19629" s="16" t="s">
        <v>5947</v>
      </c>
      <c r="D19629" s="16" t="s">
        <v>5959</v>
      </c>
      <c r="E19629" s="2">
        <v>3070420</v>
      </c>
      <c r="F19629" s="4" t="str">
        <f>IF(B19629=B19628,"",B19629)</f>
        <v>ModÅ™any</v>
      </c>
    </row>
    <row r="19630" spans="1:6" ht="15.75" customHeight="1">
      <c r="A19630" s="8" t="str">
        <f ca="1">IFERROR(__xludf.DUMMYFUNCTION("GOOGLETRANSLATE(B32761,""en"",""pt"")"),"Modāsa")</f>
        <v>Modāsa</v>
      </c>
      <c r="B19630" s="11" t="s">
        <v>33378</v>
      </c>
      <c r="C19630" s="11" t="s">
        <v>10178</v>
      </c>
      <c r="D19630" s="11" t="s">
        <v>10209</v>
      </c>
      <c r="E19630" s="10">
        <v>1262958</v>
      </c>
      <c r="F19630" s="4" t="str">
        <f>IF(B19630=B19629,"",B19630)</f>
        <v>Modāsa</v>
      </c>
    </row>
    <row r="19631" spans="1:6" ht="15.75" customHeight="1">
      <c r="A19631" s="16" t="s">
        <v>19503</v>
      </c>
      <c r="B19631" s="15" t="s">
        <v>19503</v>
      </c>
      <c r="C19631" s="16" t="s">
        <v>19294</v>
      </c>
      <c r="D19631" s="16" t="s">
        <v>19322</v>
      </c>
      <c r="E19631" s="2">
        <v>2330028</v>
      </c>
      <c r="F19631" s="4" t="str">
        <f>IF(B19631=B19630,"",B19631)</f>
        <v>Modakeke</v>
      </c>
    </row>
    <row r="19632" spans="1:6" ht="15.75" customHeight="1">
      <c r="A19632" s="8" t="str">
        <f ca="1">IFERROR(__xludf.DUMMYFUNCTION("GOOGLETRANSLATE(B37679,""en"",""pt"")"),"Modakeke")</f>
        <v>Modakeke</v>
      </c>
      <c r="B19632" s="11" t="s">
        <v>19503</v>
      </c>
      <c r="C19632" s="11" t="s">
        <v>19294</v>
      </c>
      <c r="D19632" s="11" t="s">
        <v>19322</v>
      </c>
      <c r="E19632" s="10">
        <v>2330028</v>
      </c>
      <c r="F19632" s="4" t="str">
        <f>IF(B19632=B19631,"",B19632)</f>
        <v/>
      </c>
    </row>
    <row r="19633" spans="1:6" ht="15.75" customHeight="1">
      <c r="A19633" s="15" t="s">
        <v>12409</v>
      </c>
      <c r="B19633" s="15" t="s">
        <v>12410</v>
      </c>
      <c r="C19633" s="15" t="s">
        <v>10178</v>
      </c>
      <c r="D19633" s="15" t="s">
        <v>10209</v>
      </c>
      <c r="E19633" s="2">
        <v>1262958</v>
      </c>
      <c r="F19633" s="4" t="str">
        <f>IF(B19633=B19632,"",B19633)</f>
        <v>ModÄsa</v>
      </c>
    </row>
    <row r="19634" spans="1:6" ht="15.75" customHeight="1">
      <c r="A19634" s="15" t="s">
        <v>2901</v>
      </c>
      <c r="B19634" s="15" t="s">
        <v>2901</v>
      </c>
      <c r="C19634" s="15" t="s">
        <v>1905</v>
      </c>
      <c r="D19634" s="15" t="s">
        <v>1914</v>
      </c>
      <c r="E19634" s="2">
        <v>3457025</v>
      </c>
      <c r="F19634" s="4" t="str">
        <f>IF(B19634=B19633,"",B19634)</f>
        <v>Mococa</v>
      </c>
    </row>
    <row r="19635" spans="1:6" ht="15.75" customHeight="1">
      <c r="A19635" s="8" t="str">
        <f ca="1">IFERROR(__xludf.DUMMYFUNCTION("GOOGLETRANSLATE(B24812,""en"",""pt"")"),"Mococa")</f>
        <v>Mococa</v>
      </c>
      <c r="B19635" s="9" t="s">
        <v>2901</v>
      </c>
      <c r="C19635" s="9" t="s">
        <v>1905</v>
      </c>
      <c r="D19635" s="9" t="s">
        <v>3354</v>
      </c>
      <c r="E19635" s="10">
        <v>3457025</v>
      </c>
      <c r="F19635" s="4" t="str">
        <f>IF(B19635=B19634,"",B19635)</f>
        <v/>
      </c>
    </row>
    <row r="19636" spans="1:6" ht="15.75" customHeight="1">
      <c r="A19636" s="15" t="s">
        <v>5527</v>
      </c>
      <c r="B19636" s="15" t="s">
        <v>5528</v>
      </c>
      <c r="C19636" s="15" t="s">
        <v>5348</v>
      </c>
      <c r="D19636" s="15" t="s">
        <v>5529</v>
      </c>
      <c r="E19636" s="2">
        <v>3674654</v>
      </c>
      <c r="F19636" s="4" t="str">
        <f>IF(B19636=B19635,"",B19636)</f>
        <v>Mocoa</v>
      </c>
    </row>
    <row r="19637" spans="1:6" ht="15.75" customHeight="1">
      <c r="A19637" s="8" t="str">
        <f ca="1">IFERROR(__xludf.DUMMYFUNCTION("GOOGLETRANSLATE(B26938,""en"",""pt"")"),"MOCOA")</f>
        <v>MOCOA</v>
      </c>
      <c r="B19637" s="9" t="s">
        <v>5528</v>
      </c>
      <c r="C19637" s="9" t="s">
        <v>5348</v>
      </c>
      <c r="D19637" s="9" t="s">
        <v>5529</v>
      </c>
      <c r="E19637" s="10">
        <v>3674654</v>
      </c>
      <c r="F19637" s="4" t="str">
        <f>IF(B19637=B19636,"",B19637)</f>
        <v/>
      </c>
    </row>
    <row r="19638" spans="1:6" ht="15.75" customHeight="1">
      <c r="A19638" s="8" t="str">
        <f ca="1">IFERROR(__xludf.DUMMYFUNCTION("GOOGLETRANSLATE(B37550,""en"",""pt"")"),"Mocímboa")</f>
        <v>Mocímboa</v>
      </c>
      <c r="B19638" s="11" t="s">
        <v>34797</v>
      </c>
      <c r="C19638" s="11" t="s">
        <v>18655</v>
      </c>
      <c r="D19638" s="11" t="s">
        <v>18683</v>
      </c>
      <c r="E19638" s="10">
        <v>1037370</v>
      </c>
      <c r="F19638" s="4" t="str">
        <f>IF(B19638=B19637,"",B19638)</f>
        <v>Mocímboa</v>
      </c>
    </row>
    <row r="19639" spans="1:6" ht="15.75" customHeight="1">
      <c r="A19639" s="15" t="s">
        <v>1891</v>
      </c>
      <c r="B19639" s="15" t="s">
        <v>1891</v>
      </c>
      <c r="C19639" s="15" t="s">
        <v>1878</v>
      </c>
      <c r="D19639" s="15" t="s">
        <v>1892</v>
      </c>
      <c r="E19639" s="2">
        <v>933340</v>
      </c>
      <c r="F19639" s="4" t="str">
        <f>IF(B19639=B19638,"",B19639)</f>
        <v>Mochudi</v>
      </c>
    </row>
    <row r="19640" spans="1:6" ht="15.75" customHeight="1">
      <c r="A19640" s="8" t="str">
        <f ca="1">IFERROR(__xludf.DUMMYFUNCTION("GOOGLETRANSLATE(B25359,""en"",""pt"")"),"Mochudi")</f>
        <v>Mochudi</v>
      </c>
      <c r="B19640" s="11" t="s">
        <v>1891</v>
      </c>
      <c r="C19640" s="11" t="s">
        <v>1878</v>
      </c>
      <c r="D19640" s="11" t="s">
        <v>1892</v>
      </c>
      <c r="E19640" s="10">
        <v>933340</v>
      </c>
      <c r="F19640" s="4" t="str">
        <f>IF(B19640=B19639,"",B19640)</f>
        <v/>
      </c>
    </row>
    <row r="19641" spans="1:6" ht="15.75" customHeight="1">
      <c r="A19641" s="15" t="s">
        <v>20544</v>
      </c>
      <c r="B19641" s="15" t="s">
        <v>20544</v>
      </c>
      <c r="C19641" s="15" t="s">
        <v>20470</v>
      </c>
      <c r="D19641" s="15" t="s">
        <v>6435</v>
      </c>
      <c r="E19641" s="2">
        <v>3694725</v>
      </c>
      <c r="F19641" s="4" t="str">
        <f>IF(B19641=B19640,"",B19641)</f>
        <v>Moche</v>
      </c>
    </row>
    <row r="19642" spans="1:6" ht="15.75" customHeight="1">
      <c r="A19642" s="8" t="str">
        <f ca="1">IFERROR(__xludf.DUMMYFUNCTION("GOOGLETRANSLATE(B38326,""en"",""pt"")"),"Moche")</f>
        <v>Moche</v>
      </c>
      <c r="B19642" s="11" t="s">
        <v>20544</v>
      </c>
      <c r="C19642" s="11" t="s">
        <v>20470</v>
      </c>
      <c r="D19642" s="11" t="s">
        <v>6435</v>
      </c>
      <c r="E19642" s="10">
        <v>3694725</v>
      </c>
      <c r="F19642" s="4" t="str">
        <f>IF(B19642=B19641,"",B19642)</f>
        <v/>
      </c>
    </row>
    <row r="19643" spans="1:6" ht="15.75" customHeight="1">
      <c r="A19643" s="16" t="s">
        <v>18681</v>
      </c>
      <c r="B19643" s="15" t="s">
        <v>18682</v>
      </c>
      <c r="C19643" s="16" t="s">
        <v>18655</v>
      </c>
      <c r="D19643" s="16" t="s">
        <v>18683</v>
      </c>
      <c r="E19643" s="2">
        <v>1037370</v>
      </c>
      <c r="F19643" s="4" t="str">
        <f>IF(B19643=B19642,"",B19643)</f>
        <v>MocÃ­mboa</v>
      </c>
    </row>
    <row r="19644" spans="1:6" ht="15.75" customHeight="1">
      <c r="A19644" s="16" t="s">
        <v>2900</v>
      </c>
      <c r="B19644" s="15" t="s">
        <v>2900</v>
      </c>
      <c r="C19644" s="16" t="s">
        <v>1905</v>
      </c>
      <c r="D19644" s="16" t="s">
        <v>1906</v>
      </c>
      <c r="E19644" s="2">
        <v>3394745</v>
      </c>
      <c r="F19644" s="4" t="str">
        <f>IF(B19644=B19643,"",B19644)</f>
        <v>Mocajuba</v>
      </c>
    </row>
    <row r="19645" spans="1:6" ht="15.75" customHeight="1">
      <c r="A19645" s="8" t="str">
        <f ca="1">IFERROR(__xludf.DUMMYFUNCTION("GOOGLETRANSLATE(B24267,""en"",""pt"")"),"Mocajuba")</f>
        <v>Mocajuba</v>
      </c>
      <c r="B19645" s="9" t="s">
        <v>2900</v>
      </c>
      <c r="C19645" s="9" t="s">
        <v>1905</v>
      </c>
      <c r="D19645" s="9" t="s">
        <v>31342</v>
      </c>
      <c r="E19645" s="10">
        <v>3394745</v>
      </c>
      <c r="F19645" s="4" t="str">
        <f>IF(B19645=B19644,"",B19645)</f>
        <v/>
      </c>
    </row>
    <row r="19646" spans="1:6" ht="15.75" customHeight="1">
      <c r="A19646" s="15" t="s">
        <v>6333</v>
      </c>
      <c r="B19646" s="15" t="s">
        <v>6334</v>
      </c>
      <c r="C19646" s="15" t="s">
        <v>6303</v>
      </c>
      <c r="D19646" s="15" t="s">
        <v>6335</v>
      </c>
      <c r="E19646" s="2">
        <v>3496331</v>
      </c>
      <c r="F19646" s="4" t="str">
        <f>IF(B19646=B19645,"",B19646)</f>
        <v>Moca</v>
      </c>
    </row>
    <row r="19647" spans="1:6" ht="15.75" customHeight="1">
      <c r="A19647" s="8" t="str">
        <f ca="1">IFERROR(__xludf.DUMMYFUNCTION("GOOGLETRANSLATE(B28478,""en"",""pt"")"),"MOCA")</f>
        <v>MOCA</v>
      </c>
      <c r="B19647" s="9" t="s">
        <v>6334</v>
      </c>
      <c r="C19647" s="9" t="s">
        <v>6303</v>
      </c>
      <c r="D19647" s="9" t="s">
        <v>6335</v>
      </c>
      <c r="E19647" s="10">
        <v>3496331</v>
      </c>
      <c r="F19647" s="4" t="str">
        <f>IF(B19647=B19646,"",B19647)</f>
        <v/>
      </c>
    </row>
    <row r="19648" spans="1:6" ht="15.75" customHeight="1">
      <c r="A19648" s="15" t="s">
        <v>29321</v>
      </c>
      <c r="B19648" s="15" t="s">
        <v>29322</v>
      </c>
      <c r="C19648" s="15" t="s">
        <v>27788</v>
      </c>
      <c r="D19648" s="15" t="s">
        <v>28023</v>
      </c>
      <c r="E19648" s="2">
        <v>4076598</v>
      </c>
      <c r="F19648" s="4" t="str">
        <f>IF(B19648=B19647,"",B19648)</f>
        <v>Mobile</v>
      </c>
    </row>
    <row r="19649" spans="1:6" ht="15.75" customHeight="1">
      <c r="A19649" s="8" t="str">
        <f ca="1">IFERROR(__xludf.DUMMYFUNCTION("GOOGLETRANSLATE(B42789,""en"",""pt"")"),"Móvel")</f>
        <v>Móvel</v>
      </c>
      <c r="B19649" s="9" t="s">
        <v>29322</v>
      </c>
      <c r="C19649" s="9" t="s">
        <v>27788</v>
      </c>
      <c r="D19649" s="9" t="s">
        <v>28023</v>
      </c>
      <c r="E19649" s="10">
        <v>4076598</v>
      </c>
      <c r="F19649" s="4" t="str">
        <f>IF(B19649=B19648,"",B19649)</f>
        <v/>
      </c>
    </row>
    <row r="19650" spans="1:6" ht="15.75" customHeight="1">
      <c r="A19650" s="15" t="s">
        <v>4294</v>
      </c>
      <c r="B19650" s="15" t="s">
        <v>4294</v>
      </c>
      <c r="C19650" s="15" t="s">
        <v>4264</v>
      </c>
      <c r="D19650" s="15" t="s">
        <v>4295</v>
      </c>
      <c r="E19650" s="2">
        <v>237478</v>
      </c>
      <c r="F19650" s="4" t="str">
        <f>IF(B19650=B19649,"",B19650)</f>
        <v>Mobaye</v>
      </c>
    </row>
    <row r="19651" spans="1:6" ht="15.75" customHeight="1">
      <c r="A19651" s="8" t="str">
        <f ca="1">IFERROR(__xludf.DUMMYFUNCTION("GOOGLETRANSLATE(B25710,""en"",""pt"")"),"Mobaye")</f>
        <v>Mobaye</v>
      </c>
      <c r="B19651" s="9" t="s">
        <v>4294</v>
      </c>
      <c r="C19651" s="9" t="s">
        <v>4264</v>
      </c>
      <c r="D19651" s="9" t="s">
        <v>4295</v>
      </c>
      <c r="E19651" s="10">
        <v>237478</v>
      </c>
      <c r="F19651" s="4" t="str">
        <f>IF(B19651=B19650,"",B19651)</f>
        <v/>
      </c>
    </row>
    <row r="19652" spans="1:6" ht="15.75" customHeight="1">
      <c r="A19652" s="15" t="s">
        <v>16242</v>
      </c>
      <c r="B19652" s="15" t="s">
        <v>16242</v>
      </c>
      <c r="C19652" s="15" t="s">
        <v>15704</v>
      </c>
      <c r="D19652" s="15" t="s">
        <v>15707</v>
      </c>
      <c r="E19652" s="2">
        <v>2111855</v>
      </c>
      <c r="F19652" s="4" t="str">
        <f>IF(B19652=B19651,"",B19652)</f>
        <v>Mobara</v>
      </c>
    </row>
    <row r="19653" spans="1:6" ht="15.75" customHeight="1">
      <c r="A19653" s="8" t="str">
        <f ca="1">IFERROR(__xludf.DUMMYFUNCTION("GOOGLETRANSLATE(B35764,""en"",""pt"")"),"Mobara")</f>
        <v>Mobara</v>
      </c>
      <c r="B19653" s="9" t="s">
        <v>16242</v>
      </c>
      <c r="C19653" s="9" t="s">
        <v>15704</v>
      </c>
      <c r="D19653" s="9" t="s">
        <v>15707</v>
      </c>
      <c r="E19653" s="10">
        <v>2111855</v>
      </c>
      <c r="F19653" s="4" t="str">
        <f>IF(B19653=B19652,"",B19653)</f>
        <v/>
      </c>
    </row>
    <row r="19654" spans="1:6" ht="15.75" customHeight="1">
      <c r="A19654" s="15" t="s">
        <v>7970</v>
      </c>
      <c r="B19654" s="15" t="s">
        <v>7970</v>
      </c>
      <c r="C19654" s="15" t="s">
        <v>7960</v>
      </c>
      <c r="D19654" s="15" t="s">
        <v>7961</v>
      </c>
      <c r="E19654" s="2">
        <v>2398269</v>
      </c>
      <c r="F19654" s="4" t="str">
        <f>IF(B19654=B19653,"",B19654)</f>
        <v>Moanda</v>
      </c>
    </row>
    <row r="19655" spans="1:6" ht="15.75" customHeight="1">
      <c r="A19655" s="8" t="str">
        <f ca="1">IFERROR(__xludf.DUMMYFUNCTION("GOOGLETRANSLATE(B30309,""en"",""pt"")"),"Moanda")</f>
        <v>Moanda</v>
      </c>
      <c r="B19655" s="9" t="s">
        <v>7970</v>
      </c>
      <c r="C19655" s="9" t="s">
        <v>7960</v>
      </c>
      <c r="D19655" s="9" t="s">
        <v>32653</v>
      </c>
      <c r="E19655" s="10">
        <v>2398269</v>
      </c>
      <c r="F19655" s="4" t="str">
        <f>IF(B19655=B19654,"",B19655)</f>
        <v/>
      </c>
    </row>
    <row r="19656" spans="1:6" ht="15.75" customHeight="1">
      <c r="A19656" s="8" t="str">
        <f ca="1">IFERROR(__xludf.DUMMYFUNCTION("GOOGLETRANSLATE(B29355,""en"",""pt"")"),"Moaña")</f>
        <v>Moaña</v>
      </c>
      <c r="B19656" s="11" t="s">
        <v>32452</v>
      </c>
      <c r="C19656" s="11" t="s">
        <v>24200</v>
      </c>
      <c r="D19656" s="11" t="s">
        <v>24201</v>
      </c>
      <c r="E19656" s="10">
        <v>3116653</v>
      </c>
      <c r="F19656" s="4" t="str">
        <f>IF(B19656=B19655,"",B19656)</f>
        <v>Moaña</v>
      </c>
    </row>
    <row r="19657" spans="1:6" ht="15.75" customHeight="1">
      <c r="A19657" s="15" t="s">
        <v>8858</v>
      </c>
      <c r="B19657" s="15" t="s">
        <v>8858</v>
      </c>
      <c r="C19657" s="15" t="s">
        <v>8028</v>
      </c>
      <c r="D19657" s="15" t="s">
        <v>8036</v>
      </c>
      <c r="E19657" s="2">
        <v>2870310</v>
      </c>
      <c r="F19657" s="4" t="str">
        <f>IF(B19657=B19656,"",B19657)</f>
        <v>Moabit</v>
      </c>
    </row>
    <row r="19658" spans="1:6" ht="15.75" customHeight="1">
      <c r="A19658" s="8" t="str">
        <f ca="1">IFERROR(__xludf.DUMMYFUNCTION("GOOGLETRANSLATE(B27755,""en"",""pt"")"),"Moabit")</f>
        <v>Moabit</v>
      </c>
      <c r="B19658" s="11" t="s">
        <v>8858</v>
      </c>
      <c r="C19658" s="11" t="s">
        <v>8028</v>
      </c>
      <c r="D19658" s="11" t="s">
        <v>8036</v>
      </c>
      <c r="E19658" s="10">
        <v>2870310</v>
      </c>
      <c r="F19658" s="4" t="str">
        <f>IF(B19658=B19657,"",B19658)</f>
        <v/>
      </c>
    </row>
    <row r="19659" spans="1:6" ht="15.75" customHeight="1">
      <c r="A19659" s="15" t="s">
        <v>24619</v>
      </c>
      <c r="B19659" s="15" t="s">
        <v>24620</v>
      </c>
      <c r="C19659" s="15" t="s">
        <v>24200</v>
      </c>
      <c r="D19659" s="15" t="s">
        <v>24201</v>
      </c>
      <c r="E19659" s="2">
        <v>3116653</v>
      </c>
      <c r="F19659" s="4" t="str">
        <f>IF(B19659=B19658,"",B19659)</f>
        <v>MoaÃ±a</v>
      </c>
    </row>
    <row r="19660" spans="1:6" ht="15.75" customHeight="1">
      <c r="A19660" s="15" t="s">
        <v>5878</v>
      </c>
      <c r="B19660" s="15" t="s">
        <v>5879</v>
      </c>
      <c r="C19660" s="15" t="s">
        <v>5764</v>
      </c>
      <c r="D19660" s="15" t="s">
        <v>5777</v>
      </c>
      <c r="E19660" s="2">
        <v>3546791</v>
      </c>
      <c r="F19660" s="4" t="str">
        <f>IF(B19660=B19659,"",B19660)</f>
        <v>Moa</v>
      </c>
    </row>
    <row r="19661" spans="1:6" ht="15.75" customHeight="1">
      <c r="A19661" s="8" t="str">
        <f ca="1">IFERROR(__xludf.DUMMYFUNCTION("GOOGLETRANSLATE(B27144,""en"",""pt"")"),"MOA")</f>
        <v>MOA</v>
      </c>
      <c r="B19661" s="9" t="s">
        <v>5879</v>
      </c>
      <c r="C19661" s="9" t="s">
        <v>5764</v>
      </c>
      <c r="D19661" s="9" t="s">
        <v>31907</v>
      </c>
      <c r="E19661" s="10">
        <v>3546791</v>
      </c>
      <c r="F19661" s="4" t="str">
        <f>IF(B19661=B19660,"",B19661)</f>
        <v/>
      </c>
    </row>
    <row r="19662" spans="1:6" ht="15.75" customHeight="1">
      <c r="A19662" s="15" t="s">
        <v>19729</v>
      </c>
      <c r="B19662" s="15" t="s">
        <v>19730</v>
      </c>
      <c r="C19662" s="15" t="s">
        <v>19695</v>
      </c>
      <c r="D19662" s="15" t="s">
        <v>19705</v>
      </c>
      <c r="E19662" s="2">
        <v>3145614</v>
      </c>
      <c r="F19662" s="4" t="str">
        <f>IF(B19662=B19661,"",B19662)</f>
        <v>Mo i Rana</v>
      </c>
    </row>
    <row r="19663" spans="1:6" ht="15.75" customHeight="1">
      <c r="A19663" s="8" t="str">
        <f ca="1">IFERROR(__xludf.DUMMYFUNCTION("GOOGLETRANSLATE(B38156,""en"",""pt"")"),"Mo i rana")</f>
        <v>Mo i rana</v>
      </c>
      <c r="B19663" s="9" t="s">
        <v>19730</v>
      </c>
      <c r="C19663" s="9" t="s">
        <v>19695</v>
      </c>
      <c r="D19663" s="9" t="s">
        <v>19705</v>
      </c>
      <c r="E19663" s="10">
        <v>3145614</v>
      </c>
      <c r="F19663" s="4" t="str">
        <f>IF(B19663=B19662,"",B19663)</f>
        <v/>
      </c>
    </row>
    <row r="19664" spans="1:6" ht="15.75" customHeight="1">
      <c r="A19664" s="16" t="s">
        <v>23936</v>
      </c>
      <c r="B19664" s="15" t="s">
        <v>23936</v>
      </c>
      <c r="C19664" s="16" t="s">
        <v>23842</v>
      </c>
      <c r="D19664" s="16" t="s">
        <v>23860</v>
      </c>
      <c r="E19664" s="2">
        <v>975436</v>
      </c>
      <c r="F19664" s="4" t="str">
        <f>IF(B19664=B19663,"",B19664)</f>
        <v>Mmabatho</v>
      </c>
    </row>
    <row r="19665" spans="1:6" ht="15.75" customHeight="1">
      <c r="A19665" s="8" t="str">
        <f ca="1">IFERROR(__xludf.DUMMYFUNCTION("GOOGLETRANSLATE(B45914,""en"",""pt"")"),"Mmabatho")</f>
        <v>Mmabatho</v>
      </c>
      <c r="B19665" s="9" t="s">
        <v>23936</v>
      </c>
      <c r="C19665" s="9" t="s">
        <v>23842</v>
      </c>
      <c r="D19665" s="9" t="s">
        <v>23860</v>
      </c>
      <c r="E19665" s="10">
        <v>975436</v>
      </c>
      <c r="F19665" s="4" t="str">
        <f>IF(B19665=B19664,"",B19665)</f>
        <v/>
      </c>
    </row>
    <row r="19666" spans="1:6" ht="15.75" customHeight="1">
      <c r="A19666" s="15" t="s">
        <v>25696</v>
      </c>
      <c r="B19666" s="15" t="s">
        <v>25696</v>
      </c>
      <c r="C19666" s="15" t="s">
        <v>25560</v>
      </c>
      <c r="D19666" s="15" t="s">
        <v>25589</v>
      </c>
      <c r="E19666" s="2">
        <v>153352</v>
      </c>
      <c r="F19666" s="4" t="str">
        <f>IF(B19666=B19665,"",B19666)</f>
        <v>Mlowo</v>
      </c>
    </row>
    <row r="19667" spans="1:6" ht="15.75" customHeight="1">
      <c r="A19667" s="8" t="str">
        <f ca="1">IFERROR(__xludf.DUMMYFUNCTION("GOOGLETRANSLATE(B42343,""en"",""pt"")"),"Mlowo")</f>
        <v>Mlowo</v>
      </c>
      <c r="B19667" s="9" t="s">
        <v>25696</v>
      </c>
      <c r="C19667" s="9" t="s">
        <v>25560</v>
      </c>
      <c r="D19667" s="9" t="s">
        <v>25589</v>
      </c>
      <c r="E19667" s="10">
        <v>153352</v>
      </c>
      <c r="F19667" s="4" t="str">
        <f>IF(B19667=B19666,"",B19667)</f>
        <v/>
      </c>
    </row>
    <row r="19668" spans="1:6" ht="15.75" customHeight="1">
      <c r="A19668" s="15" t="s">
        <v>14044</v>
      </c>
      <c r="B19668" s="15" t="s">
        <v>14044</v>
      </c>
      <c r="C19668" s="15" t="s">
        <v>13800</v>
      </c>
      <c r="D19668" s="15" t="s">
        <v>13803</v>
      </c>
      <c r="E19668" s="2">
        <v>1635164</v>
      </c>
      <c r="F19668" s="4" t="str">
        <f>IF(B19668=B19667,"",B19668)</f>
        <v>Mlonggo</v>
      </c>
    </row>
    <row r="19669" spans="1:6" ht="15.75" customHeight="1">
      <c r="A19669" s="8" t="str">
        <f ca="1">IFERROR(__xludf.DUMMYFUNCTION("GOOGLETRANSLATE(B31538,""en"",""pt"")"),"Mlonggo")</f>
        <v>Mlonggo</v>
      </c>
      <c r="B19669" s="9" t="s">
        <v>14044</v>
      </c>
      <c r="C19669" s="9" t="s">
        <v>13800</v>
      </c>
      <c r="D19669" s="9" t="s">
        <v>13803</v>
      </c>
      <c r="E19669" s="10">
        <v>1635164</v>
      </c>
      <c r="F19669" s="4" t="str">
        <f>IF(B19669=B19668,"",B19669)</f>
        <v/>
      </c>
    </row>
    <row r="19670" spans="1:6" ht="15.75" customHeight="1">
      <c r="A19670" s="15" t="s">
        <v>25695</v>
      </c>
      <c r="B19670" s="15" t="s">
        <v>25695</v>
      </c>
      <c r="C19670" s="15" t="s">
        <v>25560</v>
      </c>
      <c r="D19670" s="15" t="s">
        <v>25596</v>
      </c>
      <c r="E19670" s="2">
        <v>153384</v>
      </c>
      <c r="F19670" s="4" t="str">
        <f>IF(B19670=B19669,"",B19670)</f>
        <v>Mlimba</v>
      </c>
    </row>
    <row r="19671" spans="1:6" ht="15.75" customHeight="1">
      <c r="A19671" s="8" t="str">
        <f ca="1">IFERROR(__xludf.DUMMYFUNCTION("GOOGLETRANSLATE(B42344,""en"",""pt"")"),"Mlimba")</f>
        <v>Mlimba</v>
      </c>
      <c r="B19671" s="9" t="s">
        <v>25695</v>
      </c>
      <c r="C19671" s="9" t="s">
        <v>25560</v>
      </c>
      <c r="D19671" s="9" t="s">
        <v>25596</v>
      </c>
      <c r="E19671" s="10">
        <v>153384</v>
      </c>
      <c r="F19671" s="4" t="str">
        <f>IF(B19671=B19670,"",B19671)</f>
        <v/>
      </c>
    </row>
    <row r="19672" spans="1:6" ht="15.75" customHeight="1">
      <c r="A19672" s="8" t="str">
        <f ca="1">IFERROR(__xludf.DUMMYFUNCTION("GOOGLETRANSLATE(B39243,""en"",""pt"")"),"Mława")</f>
        <v>Mława</v>
      </c>
      <c r="B19672" s="11" t="s">
        <v>35100</v>
      </c>
      <c r="C19672" s="11" t="s">
        <v>21064</v>
      </c>
      <c r="D19672" s="11" t="s">
        <v>21070</v>
      </c>
      <c r="E19672" s="10">
        <v>764634</v>
      </c>
      <c r="F19672" s="4" t="str">
        <f>IF(B19672=B19671,"",B19672)</f>
        <v>Mława</v>
      </c>
    </row>
    <row r="19673" spans="1:6" ht="15.75" customHeight="1">
      <c r="A19673" s="15" t="s">
        <v>25694</v>
      </c>
      <c r="B19673" s="15" t="s">
        <v>25694</v>
      </c>
      <c r="C19673" s="15" t="s">
        <v>25560</v>
      </c>
      <c r="D19673" s="15" t="s">
        <v>25608</v>
      </c>
      <c r="E19673" s="2">
        <v>153408</v>
      </c>
      <c r="F19673" s="4" t="str">
        <f>IF(B19673=B19672,"",B19673)</f>
        <v>Mlangali</v>
      </c>
    </row>
    <row r="19674" spans="1:6" ht="15.75" customHeight="1">
      <c r="A19674" s="8" t="str">
        <f ca="1">IFERROR(__xludf.DUMMYFUNCTION("GOOGLETRANSLATE(B42345,""en"",""pt"")"),"Mlangali")</f>
        <v>Mlangali</v>
      </c>
      <c r="B19674" s="11" t="s">
        <v>25694</v>
      </c>
      <c r="C19674" s="11" t="s">
        <v>25560</v>
      </c>
      <c r="D19674" s="11" t="s">
        <v>25608</v>
      </c>
      <c r="E19674" s="10">
        <v>153408</v>
      </c>
      <c r="F19674" s="4" t="str">
        <f>IF(B19674=B19673,"",B19674)</f>
        <v/>
      </c>
    </row>
    <row r="19675" spans="1:6" ht="15.75" customHeight="1">
      <c r="A19675" s="15" t="s">
        <v>25693</v>
      </c>
      <c r="B19675" s="15" t="s">
        <v>25693</v>
      </c>
      <c r="C19675" s="15" t="s">
        <v>25560</v>
      </c>
      <c r="D19675" s="15" t="s">
        <v>25564</v>
      </c>
      <c r="E19675" s="2">
        <v>153412</v>
      </c>
      <c r="F19675" s="4" t="str">
        <f>IF(B19675=B19674,"",B19675)</f>
        <v>Mlandizi</v>
      </c>
    </row>
    <row r="19676" spans="1:6" ht="15.75" customHeight="1">
      <c r="A19676" s="8" t="str">
        <f ca="1">IFERROR(__xludf.DUMMYFUNCTION("GOOGLETRANSLATE(B42346,""en"",""pt"")"),"Mlandizi")</f>
        <v>Mlandizi</v>
      </c>
      <c r="B19676" s="11" t="s">
        <v>25693</v>
      </c>
      <c r="C19676" s="11" t="s">
        <v>25560</v>
      </c>
      <c r="D19676" s="11" t="s">
        <v>25564</v>
      </c>
      <c r="E19676" s="10">
        <v>153412</v>
      </c>
      <c r="F19676" s="4" t="str">
        <f>IF(B19676=B19675,"",B19676)</f>
        <v/>
      </c>
    </row>
    <row r="19677" spans="1:6" ht="15.75" customHeight="1">
      <c r="A19677" s="15" t="s">
        <v>25692</v>
      </c>
      <c r="B19677" s="15" t="s">
        <v>25692</v>
      </c>
      <c r="C19677" s="15" t="s">
        <v>25560</v>
      </c>
      <c r="D19677" s="15" t="s">
        <v>25586</v>
      </c>
      <c r="E19677" s="2">
        <v>153423</v>
      </c>
      <c r="F19677" s="4" t="str">
        <f>IF(B19677=B19676,"",B19677)</f>
        <v>Mlalo</v>
      </c>
    </row>
    <row r="19678" spans="1:6" ht="15.75" customHeight="1">
      <c r="A19678" s="8" t="str">
        <f ca="1">IFERROR(__xludf.DUMMYFUNCTION("GOOGLETRANSLATE(B42347,""en"",""pt"")"),"Mlalo")</f>
        <v>Mlalo</v>
      </c>
      <c r="B19678" s="11" t="s">
        <v>25692</v>
      </c>
      <c r="C19678" s="11" t="s">
        <v>25560</v>
      </c>
      <c r="D19678" s="11" t="s">
        <v>25586</v>
      </c>
      <c r="E19678" s="10">
        <v>153423</v>
      </c>
      <c r="F19678" s="4" t="str">
        <f>IF(B19678=B19677,"",B19678)</f>
        <v/>
      </c>
    </row>
    <row r="19679" spans="1:6" ht="15.75" customHeight="1">
      <c r="A19679" s="16" t="s">
        <v>6060</v>
      </c>
      <c r="B19679" s="15" t="s">
        <v>6061</v>
      </c>
      <c r="C19679" s="16" t="s">
        <v>5947</v>
      </c>
      <c r="D19679" s="16" t="s">
        <v>5985</v>
      </c>
      <c r="E19679" s="2">
        <v>3070544</v>
      </c>
      <c r="F19679" s="4" t="str">
        <f>IF(B19679=B19678,"",B19679)</f>
        <v>MladÃ¡ Boleslav</v>
      </c>
    </row>
    <row r="19680" spans="1:6" ht="15.75" customHeight="1">
      <c r="A19680" s="8" t="str">
        <f ca="1">IFERROR(__xludf.DUMMYFUNCTION("GOOGLETRANSLATE(B27290,""en"",""pt"")"),"Mladá Boleslav")</f>
        <v>Mladá Boleslav</v>
      </c>
      <c r="B19680" s="11" t="s">
        <v>6060</v>
      </c>
      <c r="C19680" s="11" t="s">
        <v>5947</v>
      </c>
      <c r="D19680" s="11" t="s">
        <v>5985</v>
      </c>
      <c r="E19680" s="10">
        <v>3070544</v>
      </c>
      <c r="F19680" s="4" t="str">
        <f>IF(B19680=B19679,"",B19680)</f>
        <v>Mladá Boleslav</v>
      </c>
    </row>
    <row r="19681" spans="1:6" ht="15.75" customHeight="1">
      <c r="A19681" s="16" t="s">
        <v>25691</v>
      </c>
      <c r="B19681" s="15" t="s">
        <v>25691</v>
      </c>
      <c r="C19681" s="16" t="s">
        <v>25560</v>
      </c>
      <c r="D19681" s="16" t="s">
        <v>25564</v>
      </c>
      <c r="E19681" s="2">
        <v>153482</v>
      </c>
      <c r="F19681" s="4" t="str">
        <f>IF(B19681=B19680,"",B19681)</f>
        <v>Mkuranga</v>
      </c>
    </row>
    <row r="19682" spans="1:6" ht="15.75" customHeight="1">
      <c r="A19682" s="8" t="str">
        <f ca="1">IFERROR(__xludf.DUMMYFUNCTION("GOOGLETRANSLATE(B42348,""en"",""pt"")"),"Mkuranga")</f>
        <v>Mkuranga</v>
      </c>
      <c r="B19682" s="11" t="s">
        <v>25691</v>
      </c>
      <c r="C19682" s="11" t="s">
        <v>25560</v>
      </c>
      <c r="D19682" s="11" t="s">
        <v>25564</v>
      </c>
      <c r="E19682" s="10">
        <v>153482</v>
      </c>
      <c r="F19682" s="4" t="str">
        <f>IF(B19682=B19681,"",B19682)</f>
        <v/>
      </c>
    </row>
    <row r="19683" spans="1:6" ht="15.75" customHeight="1">
      <c r="A19683" s="16" t="s">
        <v>16241</v>
      </c>
      <c r="B19683" s="15" t="s">
        <v>16241</v>
      </c>
      <c r="C19683" s="16" t="s">
        <v>15704</v>
      </c>
      <c r="D19683" s="16" t="s">
        <v>15745</v>
      </c>
      <c r="E19683" s="2">
        <v>2111859</v>
      </c>
      <c r="F19683" s="4" t="str">
        <f>IF(B19683=B19682,"",B19683)</f>
        <v>Mizusawa</v>
      </c>
    </row>
    <row r="19684" spans="1:6" ht="15.75" customHeight="1">
      <c r="A19684" s="8" t="str">
        <f ca="1">IFERROR(__xludf.DUMMYFUNCTION("GOOGLETRANSLATE(B35765,""en"",""pt"")"),"Mizusawa")</f>
        <v>Mizusawa</v>
      </c>
      <c r="B19684" s="11" t="s">
        <v>16241</v>
      </c>
      <c r="C19684" s="11" t="s">
        <v>15704</v>
      </c>
      <c r="D19684" s="11" t="s">
        <v>15745</v>
      </c>
      <c r="E19684" s="10">
        <v>2111859</v>
      </c>
      <c r="F19684" s="4" t="str">
        <f>IF(B19684=B19683,"",B19684)</f>
        <v/>
      </c>
    </row>
    <row r="19685" spans="1:6" ht="15.75" customHeight="1">
      <c r="A19685" s="16" t="s">
        <v>16240</v>
      </c>
      <c r="B19685" s="15" t="s">
        <v>16240</v>
      </c>
      <c r="C19685" s="16" t="s">
        <v>15704</v>
      </c>
      <c r="D19685" s="16" t="s">
        <v>15748</v>
      </c>
      <c r="E19685" s="2">
        <v>1856667</v>
      </c>
      <c r="F19685" s="4" t="str">
        <f>IF(B19685=B19684,"",B19685)</f>
        <v>Mizunami</v>
      </c>
    </row>
    <row r="19686" spans="1:6" ht="15.75" customHeight="1">
      <c r="A19686" s="8" t="str">
        <f ca="1">IFERROR(__xludf.DUMMYFUNCTION("GOOGLETRANSLATE(B35420,""en"",""pt"")"),"Mizunami")</f>
        <v>Mizunami</v>
      </c>
      <c r="B19686" s="11" t="s">
        <v>16240</v>
      </c>
      <c r="C19686" s="11" t="s">
        <v>15704</v>
      </c>
      <c r="D19686" s="11" t="s">
        <v>15748</v>
      </c>
      <c r="E19686" s="10">
        <v>1856667</v>
      </c>
      <c r="F19686" s="4" t="str">
        <f>IF(B19686=B19685,"",B19686)</f>
        <v/>
      </c>
    </row>
    <row r="19687" spans="1:6" ht="15.75" customHeight="1">
      <c r="A19687" s="15" t="s">
        <v>1819</v>
      </c>
      <c r="B19687" s="15" t="s">
        <v>1819</v>
      </c>
      <c r="C19687" s="15" t="s">
        <v>1806</v>
      </c>
      <c r="D19687" s="15" t="s">
        <v>1809</v>
      </c>
      <c r="E19687" s="2">
        <v>3910291</v>
      </c>
      <c r="F19687" s="4" t="str">
        <f>IF(B19687=B19686,"",B19687)</f>
        <v>Mizque</v>
      </c>
    </row>
    <row r="19688" spans="1:6" ht="15.75" customHeight="1">
      <c r="A19688" s="8" t="str">
        <f ca="1">IFERROR(__xludf.DUMMYFUNCTION("GOOGLETRANSLATE(B24133,""en"",""pt"")"),"Mizque")</f>
        <v>Mizque</v>
      </c>
      <c r="B19688" s="11" t="s">
        <v>1819</v>
      </c>
      <c r="C19688" s="11" t="s">
        <v>1806</v>
      </c>
      <c r="D19688" s="11" t="s">
        <v>1809</v>
      </c>
      <c r="E19688" s="10">
        <v>3910291</v>
      </c>
      <c r="F19688" s="4" t="str">
        <f>IF(B19688=B19687,"",B19688)</f>
        <v/>
      </c>
    </row>
    <row r="19689" spans="1:6" ht="15.75" customHeight="1">
      <c r="A19689" s="15" t="s">
        <v>21960</v>
      </c>
      <c r="B19689" s="15" t="s">
        <v>21960</v>
      </c>
      <c r="C19689" s="15" t="s">
        <v>21824</v>
      </c>
      <c r="D19689" s="15" t="s">
        <v>21840</v>
      </c>
      <c r="E19689" s="2">
        <v>673033</v>
      </c>
      <c r="F19689" s="4" t="str">
        <f>IF(B19689=B19688,"",B19689)</f>
        <v>Mizil</v>
      </c>
    </row>
    <row r="19690" spans="1:6" ht="15.75" customHeight="1">
      <c r="A19690" s="8" t="str">
        <f ca="1">IFERROR(__xludf.DUMMYFUNCTION("GOOGLETRANSLATE(B39776,""en"",""pt"")"),"Mizil")</f>
        <v>Mizil</v>
      </c>
      <c r="B19690" s="11" t="s">
        <v>21960</v>
      </c>
      <c r="C19690" s="11" t="s">
        <v>21824</v>
      </c>
      <c r="D19690" s="11" t="s">
        <v>21840</v>
      </c>
      <c r="E19690" s="10">
        <v>673033</v>
      </c>
      <c r="F19690" s="4" t="str">
        <f>IF(B19690=B19689,"",B19690)</f>
        <v/>
      </c>
    </row>
    <row r="19691" spans="1:6" ht="15.75" customHeight="1">
      <c r="A19691" s="15" t="s">
        <v>4953</v>
      </c>
      <c r="B19691" s="15" t="s">
        <v>4953</v>
      </c>
      <c r="C19691" s="15" t="s">
        <v>4487</v>
      </c>
      <c r="D19691" s="15" t="s">
        <v>4503</v>
      </c>
      <c r="E19691" s="2">
        <v>1783988</v>
      </c>
      <c r="F19691" s="4" t="str">
        <f>IF(B19691=B19690,"",B19691)</f>
        <v>Mizhou</v>
      </c>
    </row>
    <row r="19692" spans="1:6" ht="15.75" customHeight="1">
      <c r="A19692" s="8" t="str">
        <f ca="1">IFERROR(__xludf.DUMMYFUNCTION("GOOGLETRANSLATE(B26076,""en"",""pt"")"),"Mizhou")</f>
        <v>Mizhou</v>
      </c>
      <c r="B19692" s="11" t="s">
        <v>4953</v>
      </c>
      <c r="C19692" s="11" t="s">
        <v>4487</v>
      </c>
      <c r="D19692" s="11" t="s">
        <v>4503</v>
      </c>
      <c r="E19692" s="10">
        <v>1783988</v>
      </c>
      <c r="F19692" s="4" t="str">
        <f>IF(B19692=B19691,"",B19692)</f>
        <v/>
      </c>
    </row>
    <row r="19693" spans="1:6" ht="15.75" customHeight="1">
      <c r="A19693" s="15" t="s">
        <v>17124</v>
      </c>
      <c r="B19693" s="15" t="s">
        <v>17124</v>
      </c>
      <c r="C19693" s="15" t="s">
        <v>17074</v>
      </c>
      <c r="D19693" s="15" t="s">
        <v>17101</v>
      </c>
      <c r="E19693" s="2">
        <v>2214827</v>
      </c>
      <c r="F19693" s="4" t="str">
        <f>IF(B19693=B19692,"",B19693)</f>
        <v>Mizdah</v>
      </c>
    </row>
    <row r="19694" spans="1:6" ht="15.75" customHeight="1">
      <c r="A19694" s="8" t="str">
        <f ca="1">IFERROR(__xludf.DUMMYFUNCTION("GOOGLETRANSLATE(B36439,""en"",""pt"")"),"Mizdah")</f>
        <v>Mizdah</v>
      </c>
      <c r="B19694" s="9" t="s">
        <v>17124</v>
      </c>
      <c r="C19694" s="9" t="s">
        <v>17074</v>
      </c>
      <c r="D19694" s="9" t="s">
        <v>34566</v>
      </c>
      <c r="E19694" s="10">
        <v>2214827</v>
      </c>
      <c r="F19694" s="4" t="str">
        <f>IF(B19694=B19693,"",B19694)</f>
        <v/>
      </c>
    </row>
    <row r="19695" spans="1:6" ht="15.75" customHeight="1">
      <c r="A19695" s="15" t="s">
        <v>16239</v>
      </c>
      <c r="B19695" s="15" t="s">
        <v>16239</v>
      </c>
      <c r="C19695" s="15" t="s">
        <v>15704</v>
      </c>
      <c r="D19695" s="15" t="s">
        <v>15789</v>
      </c>
      <c r="E19695" s="2">
        <v>1856698</v>
      </c>
      <c r="F19695" s="4" t="str">
        <f>IF(B19695=B19694,"",B19695)</f>
        <v>Miyoshi</v>
      </c>
    </row>
    <row r="19696" spans="1:6" ht="15.75" customHeight="1">
      <c r="A19696" s="8" t="str">
        <f ca="1">IFERROR(__xludf.DUMMYFUNCTION("GOOGLETRANSLATE(B35421,""en"",""pt"")"),"Miyoshi")</f>
        <v>Miyoshi</v>
      </c>
      <c r="B19696" s="9" t="s">
        <v>16239</v>
      </c>
      <c r="C19696" s="9" t="s">
        <v>15704</v>
      </c>
      <c r="D19696" s="9" t="s">
        <v>15789</v>
      </c>
      <c r="E19696" s="10">
        <v>1856698</v>
      </c>
      <c r="F19696" s="4" t="str">
        <f>IF(B19696=B19695,"",B19696)</f>
        <v/>
      </c>
    </row>
    <row r="19697" spans="1:6" ht="15.75" customHeight="1">
      <c r="A19697" s="15" t="s">
        <v>16238</v>
      </c>
      <c r="B19697" s="15" t="s">
        <v>16238</v>
      </c>
      <c r="C19697" s="15" t="s">
        <v>15704</v>
      </c>
      <c r="D19697" s="15" t="s">
        <v>15831</v>
      </c>
      <c r="E19697" s="2">
        <v>1856703</v>
      </c>
      <c r="F19697" s="4" t="str">
        <f>IF(B19697=B19696,"",B19697)</f>
        <v>Miyazu</v>
      </c>
    </row>
    <row r="19698" spans="1:6" ht="15.75" customHeight="1">
      <c r="A19698" s="8" t="str">
        <f ca="1">IFERROR(__xludf.DUMMYFUNCTION("GOOGLETRANSLATE(B35422,""en"",""pt"")"),"Miyazu")</f>
        <v>Miyazu</v>
      </c>
      <c r="B19698" s="9" t="s">
        <v>16238</v>
      </c>
      <c r="C19698" s="9" t="s">
        <v>15704</v>
      </c>
      <c r="D19698" s="9" t="s">
        <v>15831</v>
      </c>
      <c r="E19698" s="10">
        <v>1856703</v>
      </c>
      <c r="F19698" s="4" t="str">
        <f>IF(B19698=B19697,"",B19698)</f>
        <v/>
      </c>
    </row>
    <row r="19699" spans="1:6" ht="15.75" customHeight="1">
      <c r="A19699" s="15" t="s">
        <v>16148</v>
      </c>
      <c r="B19699" s="15" t="s">
        <v>16148</v>
      </c>
      <c r="C19699" s="15" t="s">
        <v>15704</v>
      </c>
      <c r="D19699" s="15" t="s">
        <v>16148</v>
      </c>
      <c r="E19699" s="2">
        <v>1856717</v>
      </c>
      <c r="F19699" s="4" t="str">
        <f>IF(B19699=B19698,"",B19699)</f>
        <v>Miyazaki</v>
      </c>
    </row>
    <row r="19700" spans="1:6" ht="15.75" customHeight="1">
      <c r="A19700" s="8" t="str">
        <f ca="1">IFERROR(__xludf.DUMMYFUNCTION("GOOGLETRANSLATE(B35423,""en"",""pt"")"),"Miyazaki")</f>
        <v>Miyazaki</v>
      </c>
      <c r="B19700" s="9" t="s">
        <v>16148</v>
      </c>
      <c r="C19700" s="9" t="s">
        <v>15704</v>
      </c>
      <c r="D19700" s="9" t="s">
        <v>16148</v>
      </c>
      <c r="E19700" s="10">
        <v>1856717</v>
      </c>
      <c r="F19700" s="4" t="str">
        <f>IF(B19700=B19699,"",B19700)</f>
        <v/>
      </c>
    </row>
    <row r="19701" spans="1:6" ht="15.75" customHeight="1">
      <c r="A19701" s="15" t="s">
        <v>16237</v>
      </c>
      <c r="B19701" s="15" t="s">
        <v>16237</v>
      </c>
      <c r="C19701" s="15" t="s">
        <v>15704</v>
      </c>
      <c r="D19701" s="15" t="s">
        <v>15722</v>
      </c>
      <c r="E19701" s="2">
        <v>1856828</v>
      </c>
      <c r="F19701" s="4" t="str">
        <f>IF(B19701=B19700,"",B19701)</f>
        <v>Miyata</v>
      </c>
    </row>
    <row r="19702" spans="1:6" ht="15.75" customHeight="1">
      <c r="A19702" s="8" t="str">
        <f ca="1">IFERROR(__xludf.DUMMYFUNCTION("GOOGLETRANSLATE(B35425,""en"",""pt"")"),"Miyata")</f>
        <v>Miyata</v>
      </c>
      <c r="B19702" s="9" t="s">
        <v>16237</v>
      </c>
      <c r="C19702" s="9" t="s">
        <v>15704</v>
      </c>
      <c r="D19702" s="9" t="s">
        <v>15722</v>
      </c>
      <c r="E19702" s="10">
        <v>1856828</v>
      </c>
      <c r="F19702" s="4" t="str">
        <f>IF(B19702=B19701,"",B19702)</f>
        <v/>
      </c>
    </row>
    <row r="19703" spans="1:6" ht="15.75" customHeight="1">
      <c r="A19703" s="15" t="s">
        <v>4952</v>
      </c>
      <c r="B19703" s="15" t="s">
        <v>4952</v>
      </c>
      <c r="C19703" s="15" t="s">
        <v>4487</v>
      </c>
      <c r="D19703" s="15" t="s">
        <v>4607</v>
      </c>
      <c r="E19703" s="2">
        <v>1800430</v>
      </c>
      <c r="F19703" s="4" t="str">
        <f>IF(B19703=B19702,"",B19703)</f>
        <v>Miyang</v>
      </c>
    </row>
    <row r="19704" spans="1:6" ht="15.75" customHeight="1">
      <c r="A19704" s="8" t="str">
        <f ca="1">IFERROR(__xludf.DUMMYFUNCTION("GOOGLETRANSLATE(B26350,""en"",""pt"")"),"Miyang")</f>
        <v>Miyang</v>
      </c>
      <c r="B19704" s="11" t="s">
        <v>4952</v>
      </c>
      <c r="C19704" s="11" t="s">
        <v>4487</v>
      </c>
      <c r="D19704" s="11" t="s">
        <v>4607</v>
      </c>
      <c r="E19704" s="10">
        <v>1800430</v>
      </c>
      <c r="F19704" s="4" t="str">
        <f>IF(B19704=B19703,"",B19704)</f>
        <v/>
      </c>
    </row>
    <row r="19705" spans="1:6" ht="15.75" customHeight="1">
      <c r="A19705" s="8" t="str">
        <f ca="1">IFERROR(__xludf.DUMMYFUNCTION("GOOGLETRANSLATE(B35424,""en"",""pt"")"),"Miyakonojō")</f>
        <v>Miyakonojō</v>
      </c>
      <c r="B19705" s="9" t="s">
        <v>34346</v>
      </c>
      <c r="C19705" s="9" t="s">
        <v>15704</v>
      </c>
      <c r="D19705" s="9" t="s">
        <v>16148</v>
      </c>
      <c r="E19705" s="10">
        <v>1856775</v>
      </c>
      <c r="F19705" s="4" t="str">
        <f>IF(B19705=B19704,"",B19705)</f>
        <v>Miyakonojō</v>
      </c>
    </row>
    <row r="19706" spans="1:6" ht="15.75" customHeight="1">
      <c r="A19706" s="16" t="s">
        <v>16235</v>
      </c>
      <c r="B19706" s="15" t="s">
        <v>16236</v>
      </c>
      <c r="C19706" s="16" t="s">
        <v>15704</v>
      </c>
      <c r="D19706" s="16" t="s">
        <v>16148</v>
      </c>
      <c r="E19706" s="2">
        <v>1856775</v>
      </c>
      <c r="F19706" s="4" t="str">
        <f>IF(B19706=B19705,"",B19706)</f>
        <v>MiyakonojÅ</v>
      </c>
    </row>
    <row r="19707" spans="1:6" ht="15.75" customHeight="1">
      <c r="A19707" s="15" t="s">
        <v>16234</v>
      </c>
      <c r="B19707" s="15" t="s">
        <v>16234</v>
      </c>
      <c r="C19707" s="15" t="s">
        <v>15704</v>
      </c>
      <c r="D19707" s="15" t="s">
        <v>15745</v>
      </c>
      <c r="E19707" s="2">
        <v>2111884</v>
      </c>
      <c r="F19707" s="4" t="str">
        <f>IF(B19707=B19706,"",B19707)</f>
        <v>Miyako</v>
      </c>
    </row>
    <row r="19708" spans="1:6" ht="15.75" customHeight="1">
      <c r="A19708" s="8" t="str">
        <f ca="1">IFERROR(__xludf.DUMMYFUNCTION("GOOGLETRANSLATE(B35766,""en"",""pt"")"),"Miyako")</f>
        <v>Miyako</v>
      </c>
      <c r="B19708" s="9" t="s">
        <v>16234</v>
      </c>
      <c r="C19708" s="9" t="s">
        <v>15704</v>
      </c>
      <c r="D19708" s="9" t="s">
        <v>15745</v>
      </c>
      <c r="E19708" s="10">
        <v>2111884</v>
      </c>
      <c r="F19708" s="4" t="str">
        <f>IF(B19708=B19707,"",B19708)</f>
        <v/>
      </c>
    </row>
    <row r="19709" spans="1:6" ht="15.75" customHeight="1">
      <c r="A19709" s="16" t="s">
        <v>18096</v>
      </c>
      <c r="B19709" s="15" t="s">
        <v>18096</v>
      </c>
      <c r="C19709" s="16" t="s">
        <v>17707</v>
      </c>
      <c r="D19709" s="16" t="s">
        <v>17729</v>
      </c>
      <c r="E19709" s="2">
        <v>3523127</v>
      </c>
      <c r="F19709" s="4" t="str">
        <f>IF(B19709=B19708,"",B19709)</f>
        <v>Mixquiahuala de Juarez</v>
      </c>
    </row>
    <row r="19710" spans="1:6" ht="15.75" customHeight="1">
      <c r="A19710" s="8" t="str">
        <f ca="1">IFERROR(__xludf.DUMMYFUNCTION("GOOGLETRANSLATE(B36976,""en"",""pt"")"),"Mixquiahuala de Juarez")</f>
        <v>Mixquiahuala de Juarez</v>
      </c>
      <c r="B19710" s="9" t="s">
        <v>18096</v>
      </c>
      <c r="C19710" s="9" t="s">
        <v>17707</v>
      </c>
      <c r="D19710" s="9" t="s">
        <v>17729</v>
      </c>
      <c r="E19710" s="10">
        <v>3523127</v>
      </c>
      <c r="F19710" s="4" t="str">
        <f>IF(B19710=B19709,"",B19710)</f>
        <v/>
      </c>
    </row>
    <row r="19711" spans="1:6" ht="15.75" customHeight="1">
      <c r="A19711" s="15" t="s">
        <v>9753</v>
      </c>
      <c r="B19711" s="15" t="s">
        <v>9753</v>
      </c>
      <c r="C19711" s="15" t="s">
        <v>9700</v>
      </c>
      <c r="D19711" s="15" t="s">
        <v>9700</v>
      </c>
      <c r="E19711" s="2">
        <v>3592519</v>
      </c>
      <c r="F19711" s="4" t="str">
        <f>IF(B19711=B19710,"",B19711)</f>
        <v>Mixco</v>
      </c>
    </row>
    <row r="19712" spans="1:6" ht="15.75" customHeight="1">
      <c r="A19712" s="8" t="str">
        <f ca="1">IFERROR(__xludf.DUMMYFUNCTION("GOOGLETRANSLATE(B31108,""en"",""pt"")"),"Mixco")</f>
        <v>Mixco</v>
      </c>
      <c r="B19712" s="9" t="s">
        <v>9753</v>
      </c>
      <c r="C19712" s="9" t="s">
        <v>9700</v>
      </c>
      <c r="D19712" s="9" t="s">
        <v>9700</v>
      </c>
      <c r="E19712" s="10">
        <v>3592519</v>
      </c>
      <c r="F19712" s="4" t="str">
        <f>IF(B19712=B19711,"",B19712)</f>
        <v/>
      </c>
    </row>
    <row r="19713" spans="1:6" ht="15.75" customHeight="1">
      <c r="A19713" s="15" t="s">
        <v>16233</v>
      </c>
      <c r="B19713" s="15" t="s">
        <v>16233</v>
      </c>
      <c r="C19713" s="15" t="s">
        <v>15704</v>
      </c>
      <c r="D19713" s="15" t="s">
        <v>15755</v>
      </c>
      <c r="E19713" s="2">
        <v>1907309</v>
      </c>
      <c r="F19713" s="4" t="str">
        <f>IF(B19713=B19712,"",B19713)</f>
        <v>Miura</v>
      </c>
    </row>
    <row r="19714" spans="1:6" ht="15.75" customHeight="1">
      <c r="A19714" s="8" t="str">
        <f ca="1">IFERROR(__xludf.DUMMYFUNCTION("GOOGLETRANSLATE(B35696,""en"",""pt"")"),"Miura")</f>
        <v>Miura</v>
      </c>
      <c r="B19714" s="9" t="s">
        <v>16233</v>
      </c>
      <c r="C19714" s="9" t="s">
        <v>15704</v>
      </c>
      <c r="D19714" s="9" t="s">
        <v>15755</v>
      </c>
      <c r="E19714" s="10">
        <v>1907309</v>
      </c>
      <c r="F19714" s="4" t="str">
        <f>IF(B19714=B19713,"",B19714)</f>
        <v/>
      </c>
    </row>
    <row r="19715" spans="1:6" ht="15.75" customHeight="1">
      <c r="A19715" s="15" t="s">
        <v>26851</v>
      </c>
      <c r="B19715" s="15" t="s">
        <v>26851</v>
      </c>
      <c r="C19715" s="15" t="s">
        <v>26820</v>
      </c>
      <c r="D19715" s="15" t="s">
        <v>17414</v>
      </c>
      <c r="E19715" s="2">
        <v>229139</v>
      </c>
      <c r="F19715" s="4" t="str">
        <f>IF(B19715=B19714,"",B19715)</f>
        <v>Mityana</v>
      </c>
    </row>
    <row r="19716" spans="1:6" ht="15.75" customHeight="1">
      <c r="A19716" s="8" t="str">
        <f ca="1">IFERROR(__xludf.DUMMYFUNCTION("GOOGLETRANSLATE(B42739,""en"",""pt"")"),"Mityana")</f>
        <v>Mityana</v>
      </c>
      <c r="B19716" s="9" t="s">
        <v>26851</v>
      </c>
      <c r="C19716" s="9" t="s">
        <v>26820</v>
      </c>
      <c r="D19716" s="9" t="s">
        <v>17414</v>
      </c>
      <c r="E19716" s="10">
        <v>229139</v>
      </c>
      <c r="F19716" s="4" t="str">
        <f>IF(B19716=B19715,"",B19716)</f>
        <v/>
      </c>
    </row>
    <row r="19717" spans="1:6" ht="15.75" customHeight="1">
      <c r="A19717" s="16" t="s">
        <v>8857</v>
      </c>
      <c r="B19717" s="15" t="s">
        <v>8857</v>
      </c>
      <c r="C19717" s="16" t="s">
        <v>8028</v>
      </c>
      <c r="D19717" s="16" t="s">
        <v>8072</v>
      </c>
      <c r="E19717" s="2">
        <v>2870318</v>
      </c>
      <c r="F19717" s="4" t="str">
        <f>IF(B19717=B19716,"",B19717)</f>
        <v>Mittweida</v>
      </c>
    </row>
    <row r="19718" spans="1:6" ht="15.75" customHeight="1">
      <c r="A19718" s="8" t="str">
        <f ca="1">IFERROR(__xludf.DUMMYFUNCTION("GOOGLETRANSLATE(B27756,""en"",""pt"")"),"Mittweida")</f>
        <v>Mittweida</v>
      </c>
      <c r="B19718" s="9" t="s">
        <v>8857</v>
      </c>
      <c r="C19718" s="9" t="s">
        <v>8028</v>
      </c>
      <c r="D19718" s="9" t="s">
        <v>8072</v>
      </c>
      <c r="E19718" s="10">
        <v>2870318</v>
      </c>
      <c r="F19718" s="4" t="str">
        <f>IF(B19718=B19717,"",B19718)</f>
        <v/>
      </c>
    </row>
    <row r="19719" spans="1:6" ht="15.75" customHeight="1">
      <c r="A19719" s="15" t="s">
        <v>8856</v>
      </c>
      <c r="B19719" s="15" t="s">
        <v>8856</v>
      </c>
      <c r="C19719" s="15" t="s">
        <v>8028</v>
      </c>
      <c r="D19719" s="15" t="s">
        <v>8036</v>
      </c>
      <c r="E19719" s="2">
        <v>6545310</v>
      </c>
      <c r="F19719" s="4" t="str">
        <f>IF(B19719=B19718,"",B19719)</f>
        <v>Mitte</v>
      </c>
    </row>
    <row r="19720" spans="1:6" ht="15.75" customHeight="1">
      <c r="A19720" s="8" t="str">
        <f ca="1">IFERROR(__xludf.DUMMYFUNCTION("GOOGLETRANSLATE(B28366,""en"",""pt"")"),"Mitte")</f>
        <v>Mitte</v>
      </c>
      <c r="B19720" s="9" t="s">
        <v>8856</v>
      </c>
      <c r="C19720" s="9" t="s">
        <v>8028</v>
      </c>
      <c r="D19720" s="9" t="s">
        <v>8036</v>
      </c>
      <c r="E19720" s="10">
        <v>6545310</v>
      </c>
      <c r="F19720" s="4" t="str">
        <f>IF(B19720=B19719,"",B19720)</f>
        <v/>
      </c>
    </row>
    <row r="19721" spans="1:6" ht="15.75" customHeight="1">
      <c r="A19721" s="15" t="s">
        <v>16232</v>
      </c>
      <c r="B19721" s="15" t="s">
        <v>16232</v>
      </c>
      <c r="C19721" s="15" t="s">
        <v>15704</v>
      </c>
      <c r="D19721" s="15" t="s">
        <v>15818</v>
      </c>
      <c r="E19721" s="2">
        <v>1856878</v>
      </c>
      <c r="F19721" s="4" t="str">
        <f>IF(B19721=B19720,"",B19721)</f>
        <v>Mitsuke</v>
      </c>
    </row>
    <row r="19722" spans="1:6" ht="15.75" customHeight="1">
      <c r="A19722" s="8" t="str">
        <f ca="1">IFERROR(__xludf.DUMMYFUNCTION("GOOGLETRANSLATE(B35426,""en"",""pt"")"),"Mitsuke")</f>
        <v>Mitsuke</v>
      </c>
      <c r="B19722" s="9" t="s">
        <v>16232</v>
      </c>
      <c r="C19722" s="9" t="s">
        <v>15704</v>
      </c>
      <c r="D19722" s="9" t="s">
        <v>15818</v>
      </c>
      <c r="E19722" s="10">
        <v>1856878</v>
      </c>
      <c r="F19722" s="4" t="str">
        <f>IF(B19722=B19721,"",B19722)</f>
        <v/>
      </c>
    </row>
    <row r="19723" spans="1:6" ht="15.75" customHeight="1">
      <c r="A19723" s="8" t="str">
        <f ca="1">IFERROR(__xludf.DUMMYFUNCTION("GOOGLETRANSLATE(B35427,""en"",""pt"")"),"Mitsukaidō")</f>
        <v>Mitsukaidō</v>
      </c>
      <c r="B19723" s="11" t="s">
        <v>34347</v>
      </c>
      <c r="C19723" s="11" t="s">
        <v>15704</v>
      </c>
      <c r="D19723" s="11" t="s">
        <v>15724</v>
      </c>
      <c r="E19723" s="10">
        <v>1856881</v>
      </c>
      <c r="F19723" s="4" t="str">
        <f>IF(B19723=B19722,"",B19723)</f>
        <v>Mitsukaidō</v>
      </c>
    </row>
    <row r="19724" spans="1:6" ht="15.75" customHeight="1">
      <c r="A19724" s="16" t="s">
        <v>16230</v>
      </c>
      <c r="B19724" s="15" t="s">
        <v>16231</v>
      </c>
      <c r="C19724" s="16" t="s">
        <v>15704</v>
      </c>
      <c r="D19724" s="16" t="s">
        <v>15724</v>
      </c>
      <c r="E19724" s="2">
        <v>1856881</v>
      </c>
      <c r="F19724" s="4" t="str">
        <f>IF(B19724=B19723,"",B19724)</f>
        <v>MitsukaidÅ</v>
      </c>
    </row>
    <row r="19725" spans="1:6" ht="15.75" customHeight="1">
      <c r="A19725" s="16" t="s">
        <v>7589</v>
      </c>
      <c r="B19725" s="15" t="s">
        <v>7589</v>
      </c>
      <c r="C19725" s="16" t="s">
        <v>7052</v>
      </c>
      <c r="D19725" s="16" t="s">
        <v>7058</v>
      </c>
      <c r="E19725" s="2">
        <v>2993679</v>
      </c>
      <c r="F19725" s="4" t="str">
        <f>IF(B19725=B19724,"",B19725)</f>
        <v>Mitry-Mory</v>
      </c>
    </row>
    <row r="19726" spans="1:6" ht="15.75" customHeight="1">
      <c r="A19726" s="8" t="str">
        <f ca="1">IFERROR(__xludf.DUMMYFUNCTION("GOOGLETRANSLATE(B29919,""en"",""pt"")"),"Mitry-Mory")</f>
        <v>Mitry-Mory</v>
      </c>
      <c r="B19726" s="9" t="s">
        <v>7589</v>
      </c>
      <c r="C19726" s="9" t="s">
        <v>7052</v>
      </c>
      <c r="D19726" s="9" t="s">
        <v>32531</v>
      </c>
      <c r="E19726" s="10">
        <v>2993679</v>
      </c>
      <c r="F19726" s="4" t="str">
        <f>IF(B19726=B19725,"",B19726)</f>
        <v/>
      </c>
    </row>
    <row r="19727" spans="1:6" ht="15.75" customHeight="1">
      <c r="A19727" s="8" t="str">
        <f ca="1">IFERROR(__xludf.DUMMYFUNCTION("GOOGLETRANSLATE(B45808,""en"",""pt"")"),"Mitrovicë")</f>
        <v>Mitrovicë</v>
      </c>
      <c r="B19727" s="11" t="s">
        <v>36208</v>
      </c>
      <c r="C19727" s="11" t="s">
        <v>16852</v>
      </c>
      <c r="D19727" s="11" t="s">
        <v>16866</v>
      </c>
      <c r="E19727" s="10">
        <v>789225</v>
      </c>
      <c r="F19727" s="4" t="str">
        <f>IF(B19727=B19726,"",B19727)</f>
        <v>Mitrovicë</v>
      </c>
    </row>
    <row r="19728" spans="1:6" ht="15.75" customHeight="1">
      <c r="A19728" s="15" t="s">
        <v>16869</v>
      </c>
      <c r="B19728" s="15" t="s">
        <v>16870</v>
      </c>
      <c r="C19728" s="15" t="s">
        <v>16852</v>
      </c>
      <c r="D19728" s="15" t="s">
        <v>16866</v>
      </c>
      <c r="E19728" s="2">
        <v>789225</v>
      </c>
      <c r="F19728" s="4" t="str">
        <f>IF(B19728=B19727,"",B19728)</f>
        <v>MitrovicÃ«</v>
      </c>
    </row>
    <row r="19729" spans="1:6" ht="15.75" customHeight="1">
      <c r="A19729" s="16" t="s">
        <v>18095</v>
      </c>
      <c r="B19729" s="15" t="s">
        <v>18095</v>
      </c>
      <c r="C19729" s="16" t="s">
        <v>17707</v>
      </c>
      <c r="D19729" s="16" t="s">
        <v>17739</v>
      </c>
      <c r="E19729" s="2">
        <v>8858110</v>
      </c>
      <c r="F19729" s="4" t="str">
        <f>IF(B19729=B19728,"",B19729)</f>
        <v>Mitras Poniente</v>
      </c>
    </row>
    <row r="19730" spans="1:6" ht="15.75" customHeight="1">
      <c r="A19730" s="8" t="str">
        <f ca="1">IFERROR(__xludf.DUMMYFUNCTION("GOOGLETRANSLATE(B37387,""en"",""pt"")"),"Mitras Poniente")</f>
        <v>Mitras Poniente</v>
      </c>
      <c r="B19730" s="9" t="s">
        <v>18095</v>
      </c>
      <c r="C19730" s="9" t="s">
        <v>17707</v>
      </c>
      <c r="D19730" s="9" t="s">
        <v>34689</v>
      </c>
      <c r="E19730" s="10">
        <v>8858110</v>
      </c>
      <c r="F19730" s="4" t="str">
        <f>IF(B19730=B19729,"",B19730)</f>
        <v/>
      </c>
    </row>
    <row r="19731" spans="1:6" ht="15.75" customHeight="1">
      <c r="A19731" s="15" t="s">
        <v>16229</v>
      </c>
      <c r="B19731" s="15" t="s">
        <v>16229</v>
      </c>
      <c r="C19731" s="15" t="s">
        <v>15704</v>
      </c>
      <c r="D19731" s="15" t="s">
        <v>15724</v>
      </c>
      <c r="E19731" s="2">
        <v>2111901</v>
      </c>
      <c r="F19731" s="4" t="str">
        <f>IF(B19731=B19730,"",B19731)</f>
        <v>Mito</v>
      </c>
    </row>
    <row r="19732" spans="1:6" ht="15.75" customHeight="1">
      <c r="A19732" s="8" t="str">
        <f ca="1">IFERROR(__xludf.DUMMYFUNCTION("GOOGLETRANSLATE(B35767,""en"",""pt"")"),"Mito")</f>
        <v>Mito</v>
      </c>
      <c r="B19732" s="9" t="s">
        <v>16229</v>
      </c>
      <c r="C19732" s="9" t="s">
        <v>15704</v>
      </c>
      <c r="D19732" s="9" t="s">
        <v>15724</v>
      </c>
      <c r="E19732" s="10">
        <v>2111901</v>
      </c>
      <c r="F19732" s="4" t="str">
        <f>IF(B19732=B19731,"",B19732)</f>
        <v/>
      </c>
    </row>
    <row r="19733" spans="1:6" ht="15.75" customHeight="1">
      <c r="A19733" s="15" t="s">
        <v>20112</v>
      </c>
      <c r="B19733" s="15" t="s">
        <v>20112</v>
      </c>
      <c r="C19733" s="15" t="s">
        <v>19808</v>
      </c>
      <c r="D19733" s="15" t="s">
        <v>19823</v>
      </c>
      <c r="E19733" s="2">
        <v>1170219</v>
      </c>
      <c r="F19733" s="4" t="str">
        <f>IF(B19733=B19732,"",B19733)</f>
        <v>Mithi</v>
      </c>
    </row>
    <row r="19734" spans="1:6" ht="15.75" customHeight="1">
      <c r="A19734" s="8" t="str">
        <f ca="1">IFERROR(__xludf.DUMMYFUNCTION("GOOGLETRANSLATE(B38979,""en"",""pt"")"),"Mithi")</f>
        <v>Mithi</v>
      </c>
      <c r="B19734" s="9" t="s">
        <v>20112</v>
      </c>
      <c r="C19734" s="9" t="s">
        <v>19808</v>
      </c>
      <c r="D19734" s="9" t="s">
        <v>19823</v>
      </c>
      <c r="E19734" s="10">
        <v>1170219</v>
      </c>
      <c r="F19734" s="4" t="str">
        <f>IF(B19734=B19733,"",B19734)</f>
        <v/>
      </c>
    </row>
    <row r="19735" spans="1:6" ht="15.75" customHeight="1">
      <c r="A19735" s="8" t="str">
        <f ca="1">IFERROR(__xludf.DUMMYFUNCTION("GOOGLETRANSLATE(B38980,""en"",""pt"")"),"Mitha Tiwāna")</f>
        <v>Mitha Tiwāna</v>
      </c>
      <c r="B19735" s="11" t="s">
        <v>34951</v>
      </c>
      <c r="C19735" s="11" t="s">
        <v>19808</v>
      </c>
      <c r="D19735" s="11" t="s">
        <v>10184</v>
      </c>
      <c r="E19735" s="10">
        <v>1170222</v>
      </c>
      <c r="F19735" s="4" t="str">
        <f>IF(B19735=B19734,"",B19735)</f>
        <v>Mitha Tiwāna</v>
      </c>
    </row>
    <row r="19736" spans="1:6" ht="15.75" customHeight="1">
      <c r="A19736" s="16" t="s">
        <v>20110</v>
      </c>
      <c r="B19736" s="15" t="s">
        <v>20111</v>
      </c>
      <c r="C19736" s="16" t="s">
        <v>19808</v>
      </c>
      <c r="D19736" s="16" t="s">
        <v>10184</v>
      </c>
      <c r="E19736" s="2">
        <v>1170222</v>
      </c>
      <c r="F19736" s="4" t="str">
        <f>IF(B19736=B19735,"",B19736)</f>
        <v>Mitha TiwÄna</v>
      </c>
    </row>
    <row r="19737" spans="1:6" ht="15.75" customHeight="1">
      <c r="A19737" s="15" t="s">
        <v>29320</v>
      </c>
      <c r="B19737" s="15" t="s">
        <v>29320</v>
      </c>
      <c r="C19737" s="15" t="s">
        <v>27788</v>
      </c>
      <c r="D19737" s="15" t="s">
        <v>27790</v>
      </c>
      <c r="E19737" s="2">
        <v>5229794</v>
      </c>
      <c r="F19737" s="4" t="str">
        <f>IF(B19737=B19736,"",B19737)</f>
        <v>Mitchell</v>
      </c>
    </row>
    <row r="19738" spans="1:6" ht="15.75" customHeight="1">
      <c r="A19738" s="8" t="str">
        <f ca="1">IFERROR(__xludf.DUMMYFUNCTION("GOOGLETRANSLATE(B44625,""en"",""pt"")"),"Mitchell")</f>
        <v>Mitchell</v>
      </c>
      <c r="B19738" s="9" t="s">
        <v>29320</v>
      </c>
      <c r="C19738" s="9" t="s">
        <v>27788</v>
      </c>
      <c r="D19738" s="9" t="s">
        <v>27790</v>
      </c>
      <c r="E19738" s="10">
        <v>5229794</v>
      </c>
      <c r="F19738" s="4" t="str">
        <f>IF(B19738=B19737,"",B19738)</f>
        <v/>
      </c>
    </row>
    <row r="19739" spans="1:6" ht="15.75" customHeight="1">
      <c r="A19739" s="15" t="s">
        <v>27539</v>
      </c>
      <c r="B19739" s="15" t="s">
        <v>27539</v>
      </c>
      <c r="C19739" s="15" t="s">
        <v>27234</v>
      </c>
      <c r="D19739" s="15" t="s">
        <v>27241</v>
      </c>
      <c r="E19739" s="2">
        <v>2642414</v>
      </c>
      <c r="F19739" s="4" t="str">
        <f>IF(B19739=B19738,"",B19739)</f>
        <v>Mitcham</v>
      </c>
    </row>
    <row r="19740" spans="1:6" ht="15.75" customHeight="1">
      <c r="A19740" s="8" t="str">
        <f ca="1">IFERROR(__xludf.DUMMYFUNCTION("GOOGLETRANSLATE(B30536,""en"",""pt"")"),"Mitcham")</f>
        <v>Mitcham</v>
      </c>
      <c r="B19740" s="11" t="s">
        <v>27539</v>
      </c>
      <c r="C19740" s="11" t="s">
        <v>27234</v>
      </c>
      <c r="D19740" s="11" t="s">
        <v>27241</v>
      </c>
      <c r="E19740" s="10">
        <v>2642414</v>
      </c>
      <c r="F19740" s="4" t="str">
        <f>IF(B19740=B19739,"",B19740)</f>
        <v/>
      </c>
    </row>
    <row r="19741" spans="1:6" ht="15.75" customHeight="1">
      <c r="A19741" s="15" t="s">
        <v>16228</v>
      </c>
      <c r="B19741" s="15" t="s">
        <v>16228</v>
      </c>
      <c r="C19741" s="15" t="s">
        <v>15704</v>
      </c>
      <c r="D19741" s="15" t="s">
        <v>15748</v>
      </c>
      <c r="E19741" s="2">
        <v>1856938</v>
      </c>
      <c r="F19741" s="4" t="str">
        <f>IF(B19741=B19740,"",B19741)</f>
        <v>Mitake</v>
      </c>
    </row>
    <row r="19742" spans="1:6" ht="15.75" customHeight="1">
      <c r="A19742" s="8" t="str">
        <f ca="1">IFERROR(__xludf.DUMMYFUNCTION("GOOGLETRANSLATE(B35428,""en"",""pt"")"),"Mitake")</f>
        <v>Mitake</v>
      </c>
      <c r="B19742" s="9" t="s">
        <v>16228</v>
      </c>
      <c r="C19742" s="9" t="s">
        <v>15704</v>
      </c>
      <c r="D19742" s="9" t="s">
        <v>15748</v>
      </c>
      <c r="E19742" s="10">
        <v>1856938</v>
      </c>
      <c r="F19742" s="4" t="str">
        <f>IF(B19742=B19741,"",B19742)</f>
        <v/>
      </c>
    </row>
    <row r="19743" spans="1:6" ht="15.75" customHeight="1">
      <c r="A19743" s="16" t="s">
        <v>16227</v>
      </c>
      <c r="B19743" s="15" t="s">
        <v>16227</v>
      </c>
      <c r="C19743" s="16" t="s">
        <v>15704</v>
      </c>
      <c r="D19743" s="16" t="s">
        <v>15776</v>
      </c>
      <c r="E19743" s="2">
        <v>1856942</v>
      </c>
      <c r="F19743" s="4" t="str">
        <f>IF(B19743=B19742,"",B19743)</f>
        <v>Mitaka-shi</v>
      </c>
    </row>
    <row r="19744" spans="1:6" ht="15.75" customHeight="1">
      <c r="A19744" s="8" t="str">
        <f ca="1">IFERROR(__xludf.DUMMYFUNCTION("GOOGLETRANSLATE(B35429,""en"",""pt"")"),"Mitaka-shi")</f>
        <v>Mitaka-shi</v>
      </c>
      <c r="B19744" s="9" t="s">
        <v>16227</v>
      </c>
      <c r="C19744" s="9" t="s">
        <v>15704</v>
      </c>
      <c r="D19744" s="9" t="s">
        <v>15776</v>
      </c>
      <c r="E19744" s="10">
        <v>1856942</v>
      </c>
      <c r="F19744" s="4" t="str">
        <f>IF(B19744=B19743,"",B19744)</f>
        <v/>
      </c>
    </row>
    <row r="19745" spans="1:6" ht="15.75" customHeight="1">
      <c r="A19745" s="15" t="s">
        <v>25690</v>
      </c>
      <c r="B19745" s="15" t="s">
        <v>25690</v>
      </c>
      <c r="C19745" s="15" t="s">
        <v>25560</v>
      </c>
      <c r="D19745" s="15" t="s">
        <v>25638</v>
      </c>
      <c r="E19745" s="2">
        <v>153759</v>
      </c>
      <c r="F19745" s="4" t="str">
        <f>IF(B19745=B19744,"",B19745)</f>
        <v>Misungwi</v>
      </c>
    </row>
    <row r="19746" spans="1:6" ht="15.75" customHeight="1">
      <c r="A19746" s="8" t="str">
        <f ca="1">IFERROR(__xludf.DUMMYFUNCTION("GOOGLETRANSLATE(B42350,""en"",""pt"")"),"Misungwi")</f>
        <v>Misungwi</v>
      </c>
      <c r="B19746" s="9" t="s">
        <v>25690</v>
      </c>
      <c r="C19746" s="9" t="s">
        <v>25560</v>
      </c>
      <c r="D19746" s="9" t="s">
        <v>25638</v>
      </c>
      <c r="E19746" s="10">
        <v>153759</v>
      </c>
      <c r="F19746" s="4" t="str">
        <f>IF(B19746=B19745,"",B19746)</f>
        <v/>
      </c>
    </row>
    <row r="19747" spans="1:6" ht="15.75" customHeight="1">
      <c r="A19747" s="16" t="s">
        <v>15274</v>
      </c>
      <c r="B19747" s="15" t="s">
        <v>15274</v>
      </c>
      <c r="C19747" s="16" t="s">
        <v>14891</v>
      </c>
      <c r="D19747" s="16" t="s">
        <v>14899</v>
      </c>
      <c r="E19747" s="2">
        <v>2524123</v>
      </c>
      <c r="F19747" s="4" t="str">
        <f>IF(B19747=B19746,"",B19747)</f>
        <v>Misterbianco</v>
      </c>
    </row>
    <row r="19748" spans="1:6" ht="15.75" customHeight="1">
      <c r="A19748" s="8" t="str">
        <f ca="1">IFERROR(__xludf.DUMMYFUNCTION("GOOGLETRANSLATE(B34579,""en"",""pt"")"),"Misterbianco")</f>
        <v>Misterbianco</v>
      </c>
      <c r="B19748" s="11" t="s">
        <v>15274</v>
      </c>
      <c r="C19748" s="11" t="s">
        <v>14891</v>
      </c>
      <c r="D19748" s="11" t="s">
        <v>14899</v>
      </c>
      <c r="E19748" s="10">
        <v>2524123</v>
      </c>
      <c r="F19748" s="4" t="str">
        <f>IF(B19748=B19747,"",B19748)</f>
        <v/>
      </c>
    </row>
    <row r="19749" spans="1:6" ht="15.75" customHeight="1">
      <c r="A19749" s="15" t="s">
        <v>29319</v>
      </c>
      <c r="B19749" s="15" t="s">
        <v>29319</v>
      </c>
      <c r="C19749" s="15" t="s">
        <v>27788</v>
      </c>
      <c r="D19749" s="15" t="s">
        <v>3706</v>
      </c>
      <c r="E19749" s="2">
        <v>5666639</v>
      </c>
      <c r="F19749" s="4" t="str">
        <f>IF(B19749=B19748,"",B19749)</f>
        <v>Missoula</v>
      </c>
    </row>
    <row r="19750" spans="1:6" ht="15.75" customHeight="1">
      <c r="A19750" s="8" t="str">
        <f ca="1">IFERROR(__xludf.DUMMYFUNCTION("GOOGLETRANSLATE(B45215,""en"",""pt"")"),"Missoula")</f>
        <v>Missoula</v>
      </c>
      <c r="B19750" s="9" t="s">
        <v>29319</v>
      </c>
      <c r="C19750" s="9" t="s">
        <v>27788</v>
      </c>
      <c r="D19750" s="9" t="s">
        <v>3706</v>
      </c>
      <c r="E19750" s="10">
        <v>5666639</v>
      </c>
      <c r="F19750" s="4" t="str">
        <f>IF(B19750=B19749,"",B19750)</f>
        <v/>
      </c>
    </row>
    <row r="19751" spans="1:6" ht="15.75" customHeight="1">
      <c r="A19751" s="16" t="s">
        <v>4103</v>
      </c>
      <c r="B19751" s="15" t="s">
        <v>4103</v>
      </c>
      <c r="C19751" s="16" t="s">
        <v>3975</v>
      </c>
      <c r="D19751" s="16" t="s">
        <v>3980</v>
      </c>
      <c r="E19751" s="2">
        <v>6075357</v>
      </c>
      <c r="F19751" s="4" t="str">
        <f>IF(B19751=B19750,"",B19751)</f>
        <v>Mississauga</v>
      </c>
    </row>
    <row r="19752" spans="1:6" ht="15.75" customHeight="1">
      <c r="A19752" s="8" t="str">
        <f ca="1">IFERROR(__xludf.DUMMYFUNCTION("GOOGLETRANSLATE(B25515,""en"",""pt"")"),"Mississauga")</f>
        <v>Mississauga</v>
      </c>
      <c r="B19752" s="9" t="s">
        <v>4103</v>
      </c>
      <c r="C19752" s="9" t="s">
        <v>3975</v>
      </c>
      <c r="D19752" s="9" t="s">
        <v>3980</v>
      </c>
      <c r="E19752" s="10">
        <v>6075357</v>
      </c>
      <c r="F19752" s="4" t="str">
        <f>IF(B19752=B19751,"",B19752)</f>
        <v/>
      </c>
    </row>
    <row r="19753" spans="1:6" ht="15.75" customHeight="1">
      <c r="A19753" s="16" t="s">
        <v>29317</v>
      </c>
      <c r="B19753" s="15" t="s">
        <v>29318</v>
      </c>
      <c r="C19753" s="16" t="s">
        <v>27788</v>
      </c>
      <c r="D19753" s="16" t="s">
        <v>27801</v>
      </c>
      <c r="E19753" s="2">
        <v>5373763</v>
      </c>
      <c r="F19753" s="4" t="str">
        <f>IF(B19753=B19752,"",B19753)</f>
        <v>Mission Viejo</v>
      </c>
    </row>
    <row r="19754" spans="1:6" ht="15.75" customHeight="1">
      <c r="A19754" s="8" t="str">
        <f ca="1">IFERROR(__xludf.DUMMYFUNCTION("GOOGLETRANSLATE(B44909,""en"",""pt"")"),"Missão Viejo")</f>
        <v>Missão Viejo</v>
      </c>
      <c r="B19754" s="11" t="s">
        <v>29318</v>
      </c>
      <c r="C19754" s="11" t="s">
        <v>27788</v>
      </c>
      <c r="D19754" s="11" t="s">
        <v>27801</v>
      </c>
      <c r="E19754" s="10">
        <v>5373763</v>
      </c>
      <c r="F19754" s="4" t="str">
        <f>IF(B19754=B19753,"",B19754)</f>
        <v/>
      </c>
    </row>
    <row r="19755" spans="1:6" ht="15.75" customHeight="1">
      <c r="A19755" s="15" t="s">
        <v>12408</v>
      </c>
      <c r="B19755" s="15" t="s">
        <v>12408</v>
      </c>
      <c r="C19755" s="15" t="s">
        <v>10178</v>
      </c>
      <c r="D19755" s="15" t="s">
        <v>10193</v>
      </c>
      <c r="E19755" s="2">
        <v>1262988</v>
      </c>
      <c r="F19755" s="4" t="str">
        <f>IF(B19755=B19754,"",B19755)</f>
        <v>Misrikh</v>
      </c>
    </row>
    <row r="19756" spans="1:6" ht="15.75" customHeight="1">
      <c r="A19756" s="8" t="str">
        <f ca="1">IFERROR(__xludf.DUMMYFUNCTION("GOOGLETRANSLATE(B32762,""en"",""pt"")"),"Misrikh")</f>
        <v>Misrikh</v>
      </c>
      <c r="B19756" s="9" t="s">
        <v>12408</v>
      </c>
      <c r="C19756" s="9" t="s">
        <v>10178</v>
      </c>
      <c r="D19756" s="9" t="s">
        <v>10193</v>
      </c>
      <c r="E19756" s="10">
        <v>1262988</v>
      </c>
      <c r="F19756" s="4" t="str">
        <f>IF(B19756=B19755,"",B19756)</f>
        <v/>
      </c>
    </row>
    <row r="19757" spans="1:6" ht="15.75" customHeight="1">
      <c r="A19757" s="8" t="str">
        <f ca="1">IFERROR(__xludf.DUMMYFUNCTION("GOOGLETRANSLATE(B36440,""en"",""pt"")"),"Mişrātah")</f>
        <v>Mişrātah</v>
      </c>
      <c r="B19757" s="11" t="s">
        <v>34564</v>
      </c>
      <c r="C19757" s="11" t="s">
        <v>17074</v>
      </c>
      <c r="D19757" s="11" t="s">
        <v>34564</v>
      </c>
      <c r="E19757" s="10">
        <v>2214846</v>
      </c>
      <c r="F19757" s="4" t="str">
        <f>IF(B19757=B19756,"",B19757)</f>
        <v>Mişrātah</v>
      </c>
    </row>
    <row r="19758" spans="1:6" ht="15.75" customHeight="1">
      <c r="A19758" s="15" t="s">
        <v>24618</v>
      </c>
      <c r="B19758" s="15" t="s">
        <v>24618</v>
      </c>
      <c r="C19758" s="15" t="s">
        <v>24200</v>
      </c>
      <c r="D19758" s="15" t="s">
        <v>21053</v>
      </c>
      <c r="E19758" s="2">
        <v>2513811</v>
      </c>
      <c r="F19758" s="4" t="str">
        <f>IF(B19758=B19757,"",B19758)</f>
        <v>Mislata</v>
      </c>
    </row>
    <row r="19759" spans="1:6" ht="15.75" customHeight="1">
      <c r="A19759" s="8" t="str">
        <f ca="1">IFERROR(__xludf.DUMMYFUNCTION("GOOGLETRANSLATE(B29053,""en"",""pt"")"),"Mislata")</f>
        <v>Mislata</v>
      </c>
      <c r="B19759" s="11" t="s">
        <v>24618</v>
      </c>
      <c r="C19759" s="11" t="s">
        <v>24200</v>
      </c>
      <c r="D19759" s="11" t="s">
        <v>21053</v>
      </c>
      <c r="E19759" s="10">
        <v>2513811</v>
      </c>
      <c r="F19759" s="4" t="str">
        <f>IF(B19759=B19758,"",B19759)</f>
        <v/>
      </c>
    </row>
    <row r="19760" spans="1:6" ht="15.75" customHeight="1">
      <c r="A19760" s="15" t="s">
        <v>10103</v>
      </c>
      <c r="B19760" s="15" t="s">
        <v>10103</v>
      </c>
      <c r="C19760" s="15" t="s">
        <v>9955</v>
      </c>
      <c r="D19760" s="15" t="s">
        <v>9956</v>
      </c>
      <c r="E19760" s="2">
        <v>717582</v>
      </c>
      <c r="F19760" s="4" t="str">
        <f>IF(B19760=B19759,"",B19760)</f>
        <v>Miskolc</v>
      </c>
    </row>
    <row r="19761" spans="1:6" ht="15.75" customHeight="1">
      <c r="A19761" s="8" t="str">
        <f ca="1">IFERROR(__xludf.DUMMYFUNCTION("GOOGLETRANSLATE(B31250,""en"",""pt"")"),"Miskolc")</f>
        <v>Miskolc</v>
      </c>
      <c r="B19761" s="11" t="s">
        <v>10103</v>
      </c>
      <c r="C19761" s="11" t="s">
        <v>9955</v>
      </c>
      <c r="D19761" s="11" t="s">
        <v>32824</v>
      </c>
      <c r="E19761" s="10">
        <v>717582</v>
      </c>
      <c r="F19761" s="4" t="str">
        <f>IF(B19761=B19760,"",B19761)</f>
        <v/>
      </c>
    </row>
    <row r="19762" spans="1:6" ht="15.75" customHeight="1">
      <c r="A19762" s="15" t="s">
        <v>27068</v>
      </c>
      <c r="B19762" s="15" t="s">
        <v>27068</v>
      </c>
      <c r="C19762" s="15" t="s">
        <v>26870</v>
      </c>
      <c r="D19762" s="15" t="s">
        <v>26873</v>
      </c>
      <c r="E19762" s="2">
        <v>700997</v>
      </c>
      <c r="F19762" s="4" t="str">
        <f>IF(B19762=B19761,"",B19762)</f>
        <v>Miskhor</v>
      </c>
    </row>
    <row r="19763" spans="1:6" ht="15.75" customHeight="1">
      <c r="A19763" s="8" t="str">
        <f ca="1">IFERROR(__xludf.DUMMYFUNCTION("GOOGLETRANSLATE(B42578,""en"",""pt"")"),"Miskhor")</f>
        <v>Miskhor</v>
      </c>
      <c r="B19763" s="11" t="s">
        <v>27068</v>
      </c>
      <c r="C19763" s="11" t="s">
        <v>26870</v>
      </c>
      <c r="D19763" s="11" t="s">
        <v>26873</v>
      </c>
      <c r="E19763" s="10">
        <v>700997</v>
      </c>
      <c r="F19763" s="4" t="str">
        <f>IF(B19763=B19762,"",B19763)</f>
        <v/>
      </c>
    </row>
    <row r="19764" spans="1:6" ht="15.75" customHeight="1">
      <c r="A19764" s="15" t="s">
        <v>15273</v>
      </c>
      <c r="B19764" s="15" t="s">
        <v>15273</v>
      </c>
      <c r="C19764" s="15" t="s">
        <v>14891</v>
      </c>
      <c r="D19764" s="15" t="s">
        <v>14899</v>
      </c>
      <c r="E19764" s="2">
        <v>2524126</v>
      </c>
      <c r="F19764" s="4" t="str">
        <f>IF(B19764=B19763,"",B19764)</f>
        <v>Misilmeri</v>
      </c>
    </row>
    <row r="19765" spans="1:6" ht="15.75" customHeight="1">
      <c r="A19765" s="8" t="str">
        <f ca="1">IFERROR(__xludf.DUMMYFUNCTION("GOOGLETRANSLATE(B34580,""en"",""pt"")"),"Misilmeri")</f>
        <v>Misilmeri</v>
      </c>
      <c r="B19765" s="11" t="s">
        <v>15273</v>
      </c>
      <c r="C19765" s="11" t="s">
        <v>14891</v>
      </c>
      <c r="D19765" s="11" t="s">
        <v>14899</v>
      </c>
      <c r="E19765" s="10">
        <v>2524126</v>
      </c>
      <c r="F19765" s="4" t="str">
        <f>IF(B19765=B19764,"",B19765)</f>
        <v/>
      </c>
    </row>
    <row r="19766" spans="1:6" ht="15.75" customHeight="1">
      <c r="A19766" s="15" t="s">
        <v>16226</v>
      </c>
      <c r="B19766" s="15" t="s">
        <v>16226</v>
      </c>
      <c r="C19766" s="15" t="s">
        <v>15704</v>
      </c>
      <c r="D19766" s="15" t="s">
        <v>15809</v>
      </c>
      <c r="E19766" s="2">
        <v>1856977</v>
      </c>
      <c r="F19766" s="4" t="str">
        <f>IF(B19766=B19765,"",B19766)</f>
        <v>Mishima</v>
      </c>
    </row>
    <row r="19767" spans="1:6" ht="15.75" customHeight="1">
      <c r="A19767" s="8" t="str">
        <f ca="1">IFERROR(__xludf.DUMMYFUNCTION("GOOGLETRANSLATE(B35430,""en"",""pt"")"),"Mishima")</f>
        <v>Mishima</v>
      </c>
      <c r="B19767" s="11" t="s">
        <v>16226</v>
      </c>
      <c r="C19767" s="11" t="s">
        <v>15704</v>
      </c>
      <c r="D19767" s="11" t="s">
        <v>15809</v>
      </c>
      <c r="E19767" s="10">
        <v>1856977</v>
      </c>
      <c r="F19767" s="4" t="str">
        <f>IF(B19767=B19766,"",B19767)</f>
        <v/>
      </c>
    </row>
    <row r="19768" spans="1:6" ht="15.75" customHeight="1">
      <c r="A19768" s="16" t="s">
        <v>29316</v>
      </c>
      <c r="B19768" s="15" t="s">
        <v>29316</v>
      </c>
      <c r="C19768" s="16" t="s">
        <v>27788</v>
      </c>
      <c r="D19768" s="16" t="s">
        <v>27869</v>
      </c>
      <c r="E19768" s="2">
        <v>4923670</v>
      </c>
      <c r="F19768" s="4" t="str">
        <f>IF(B19768=B19767,"",B19768)</f>
        <v>Mishawaka</v>
      </c>
    </row>
    <row r="19769" spans="1:6" ht="15.75" customHeight="1">
      <c r="A19769" s="8" t="str">
        <f ca="1">IFERROR(__xludf.DUMMYFUNCTION("GOOGLETRANSLATE(B43931,""en"",""pt"")"),"Mishawaka")</f>
        <v>Mishawaka</v>
      </c>
      <c r="B19769" s="11" t="s">
        <v>29316</v>
      </c>
      <c r="C19769" s="11" t="s">
        <v>27788</v>
      </c>
      <c r="D19769" s="11" t="s">
        <v>27869</v>
      </c>
      <c r="E19769" s="10">
        <v>4923670</v>
      </c>
      <c r="F19769" s="4" t="str">
        <f>IF(B19769=B19768,"",B19769)</f>
        <v/>
      </c>
    </row>
    <row r="19770" spans="1:6" ht="15.75" customHeight="1">
      <c r="A19770" s="15" t="s">
        <v>4951</v>
      </c>
      <c r="B19770" s="15" t="s">
        <v>4951</v>
      </c>
      <c r="C19770" s="15" t="s">
        <v>4487</v>
      </c>
      <c r="D19770" s="15" t="s">
        <v>4488</v>
      </c>
      <c r="E19770" s="2">
        <v>2035746</v>
      </c>
      <c r="F19770" s="4" t="str">
        <f>IF(B19770=B19769,"",B19770)</f>
        <v>Mishan</v>
      </c>
    </row>
    <row r="19771" spans="1:6" ht="15.75" customHeight="1">
      <c r="A19771" s="8" t="str">
        <f ca="1">IFERROR(__xludf.DUMMYFUNCTION("GOOGLETRANSLATE(B26717,""en"",""pt"")"),"Mishan")</f>
        <v>Mishan</v>
      </c>
      <c r="B19771" s="11" t="s">
        <v>4951</v>
      </c>
      <c r="C19771" s="11" t="s">
        <v>4487</v>
      </c>
      <c r="D19771" s="11" t="s">
        <v>4488</v>
      </c>
      <c r="E19771" s="10">
        <v>2035746</v>
      </c>
      <c r="F19771" s="4" t="str">
        <f>IF(B19771=B19770,"",B19771)</f>
        <v/>
      </c>
    </row>
    <row r="19772" spans="1:6" ht="15.75" customHeight="1">
      <c r="A19772" s="15" t="s">
        <v>16225</v>
      </c>
      <c r="B19772" s="15" t="s">
        <v>16225</v>
      </c>
      <c r="C19772" s="15" t="s">
        <v>15704</v>
      </c>
      <c r="D19772" s="15" t="s">
        <v>15815</v>
      </c>
      <c r="E19772" s="2">
        <v>2129211</v>
      </c>
      <c r="F19772" s="4" t="str">
        <f>IF(B19772=B19771,"",B19772)</f>
        <v>Misawa</v>
      </c>
    </row>
    <row r="19773" spans="1:6" ht="15.75" customHeight="1">
      <c r="A19773" s="8" t="str">
        <f ca="1">IFERROR(__xludf.DUMMYFUNCTION("GOOGLETRANSLATE(B35840,""en"",""pt"")"),"Misawa")</f>
        <v>Misawa</v>
      </c>
      <c r="B19773" s="11" t="s">
        <v>16225</v>
      </c>
      <c r="C19773" s="11" t="s">
        <v>15704</v>
      </c>
      <c r="D19773" s="11" t="s">
        <v>15815</v>
      </c>
      <c r="E19773" s="10">
        <v>2129211</v>
      </c>
      <c r="F19773" s="4" t="str">
        <f>IF(B19773=B19772,"",B19773)</f>
        <v/>
      </c>
    </row>
    <row r="19774" spans="1:6" ht="15.75" customHeight="1">
      <c r="A19774" s="15" t="s">
        <v>18094</v>
      </c>
      <c r="B19774" s="15" t="s">
        <v>18094</v>
      </c>
      <c r="C19774" s="15" t="s">
        <v>17707</v>
      </c>
      <c r="D19774" s="15" t="s">
        <v>17708</v>
      </c>
      <c r="E19774" s="2">
        <v>3523141</v>
      </c>
      <c r="F19774" s="4" t="str">
        <f>IF(B19774=B19773,"",B19774)</f>
        <v>Misantla</v>
      </c>
    </row>
    <row r="19775" spans="1:6" ht="15.75" customHeight="1">
      <c r="A19775" s="8" t="str">
        <f ca="1">IFERROR(__xludf.DUMMYFUNCTION("GOOGLETRANSLATE(B36977,""en"",""pt"")"),"Misantla")</f>
        <v>Misantla</v>
      </c>
      <c r="B19775" s="11" t="s">
        <v>18094</v>
      </c>
      <c r="C19775" s="11" t="s">
        <v>17707</v>
      </c>
      <c r="D19775" s="11" t="s">
        <v>17708</v>
      </c>
      <c r="E19775" s="10">
        <v>3523141</v>
      </c>
      <c r="F19775" s="4" t="str">
        <f>IF(B19775=B19774,"",B19775)</f>
        <v/>
      </c>
    </row>
    <row r="19776" spans="1:6" ht="15.75" customHeight="1">
      <c r="A19776" s="8" t="str">
        <f ca="1">IFERROR(__xludf.DUMMYFUNCTION("GOOGLETRANSLATE(B23718,""en"",""pt"")"),"Mirzāpur")</f>
        <v>Mirzāpur</v>
      </c>
      <c r="B19776" s="9" t="s">
        <v>31270</v>
      </c>
      <c r="C19776" s="9" t="s">
        <v>1296</v>
      </c>
      <c r="D19776" s="9" t="s">
        <v>1297</v>
      </c>
      <c r="E19776" s="10">
        <v>1185165</v>
      </c>
      <c r="F19776" s="4" t="str">
        <f>IF(B19776=B19775,"",B19776)</f>
        <v>Mirzāpur</v>
      </c>
    </row>
    <row r="19777" spans="1:6" ht="15.75" customHeight="1">
      <c r="A19777" s="8" t="str">
        <f ca="1">IFERROR(__xludf.DUMMYFUNCTION("GOOGLETRANSLATE(B32763,""en"",""pt"")"),"Mirzāpur")</f>
        <v>Mirzāpur</v>
      </c>
      <c r="B19777" s="9" t="s">
        <v>31270</v>
      </c>
      <c r="C19777" s="9" t="s">
        <v>10178</v>
      </c>
      <c r="D19777" s="9" t="s">
        <v>10193</v>
      </c>
      <c r="E19777" s="10">
        <v>1262995</v>
      </c>
      <c r="F19777" s="4" t="str">
        <f>IF(B19777=B19776,"",B19777)</f>
        <v/>
      </c>
    </row>
    <row r="19778" spans="1:6" ht="15.75" customHeight="1">
      <c r="A19778" s="15" t="s">
        <v>1379</v>
      </c>
      <c r="B19778" s="15" t="s">
        <v>1380</v>
      </c>
      <c r="C19778" s="15" t="s">
        <v>1296</v>
      </c>
      <c r="D19778" s="15" t="s">
        <v>1297</v>
      </c>
      <c r="E19778" s="2">
        <v>1185165</v>
      </c>
      <c r="F19778" s="4" t="str">
        <f>IF(B19778=B19777,"",B19778)</f>
        <v>MirzÄpur</v>
      </c>
    </row>
    <row r="19779" spans="1:6" ht="15.75" customHeight="1">
      <c r="A19779" s="15" t="s">
        <v>1379</v>
      </c>
      <c r="B19779" s="15" t="s">
        <v>1380</v>
      </c>
      <c r="C19779" s="15" t="s">
        <v>10178</v>
      </c>
      <c r="D19779" s="15" t="s">
        <v>10193</v>
      </c>
      <c r="E19779" s="2">
        <v>1262995</v>
      </c>
      <c r="F19779" s="4" t="str">
        <f>IF(B19779=B19778,"",B19779)</f>
        <v/>
      </c>
    </row>
    <row r="19780" spans="1:6" ht="15.75" customHeight="1">
      <c r="A19780" s="15" t="s">
        <v>24115</v>
      </c>
      <c r="B19780" s="15" t="s">
        <v>24115</v>
      </c>
      <c r="C19780" s="15" t="s">
        <v>24024</v>
      </c>
      <c r="D19780" s="15" t="s">
        <v>24040</v>
      </c>
      <c r="E19780" s="2">
        <v>1841149</v>
      </c>
      <c r="F19780" s="4" t="str">
        <f>IF(B19780=B19779,"",B19780)</f>
        <v>Miryang</v>
      </c>
    </row>
    <row r="19781" spans="1:6" ht="15.75" customHeight="1">
      <c r="A19781" s="8" t="str">
        <f ca="1">IFERROR(__xludf.DUMMYFUNCTION("GOOGLETRANSLATE(B36096,""en"",""pt"")"),"Miryang")</f>
        <v>Miryang</v>
      </c>
      <c r="B19781" s="11" t="s">
        <v>24115</v>
      </c>
      <c r="C19781" s="11" t="s">
        <v>24024</v>
      </c>
      <c r="D19781" s="11" t="s">
        <v>24040</v>
      </c>
      <c r="E19781" s="10">
        <v>1841149</v>
      </c>
      <c r="F19781" s="4" t="str">
        <f>IF(B19781=B19780,"",B19781)</f>
        <v/>
      </c>
    </row>
    <row r="19782" spans="1:6" ht="15.75" customHeight="1">
      <c r="A19782" s="15" t="s">
        <v>19281</v>
      </c>
      <c r="B19782" s="15" t="s">
        <v>19282</v>
      </c>
      <c r="C19782" s="15" t="s">
        <v>19259</v>
      </c>
      <c r="D19782" s="15" t="s">
        <v>19278</v>
      </c>
      <c r="E19782" s="2">
        <v>2440921</v>
      </c>
      <c r="F19782" s="4" t="str">
        <f>IF(B19782=B19781,"",B19782)</f>
        <v>Mirriah</v>
      </c>
    </row>
    <row r="19783" spans="1:6" ht="15.75" customHeight="1">
      <c r="A19783" s="8" t="str">
        <f ca="1">IFERROR(__xludf.DUMMYFUNCTION("GOOGLETRANSLATE(B37591,""en"",""pt"")"),"Espelia")</f>
        <v>Espelia</v>
      </c>
      <c r="B19783" s="11" t="s">
        <v>19282</v>
      </c>
      <c r="C19783" s="11" t="s">
        <v>19259</v>
      </c>
      <c r="D19783" s="11" t="s">
        <v>19278</v>
      </c>
      <c r="E19783" s="10">
        <v>2440921</v>
      </c>
      <c r="F19783" s="4" t="str">
        <f>IF(B19783=B19782,"",B19783)</f>
        <v/>
      </c>
    </row>
    <row r="19784" spans="1:6" ht="15.75" customHeight="1">
      <c r="A19784" s="8" t="str">
        <f ca="1">IFERROR(__xludf.DUMMYFUNCTION("GOOGLETRANSLATE(B38981,""en"",""pt"")"),"Mīrpur Māthelo")</f>
        <v>Mīrpur Māthelo</v>
      </c>
      <c r="B19784" s="9" t="s">
        <v>34952</v>
      </c>
      <c r="C19784" s="9" t="s">
        <v>19808</v>
      </c>
      <c r="D19784" s="9" t="s">
        <v>19823</v>
      </c>
      <c r="E19784" s="10">
        <v>1170294</v>
      </c>
      <c r="F19784" s="4" t="str">
        <f>IF(B19784=B19783,"",B19784)</f>
        <v>Mīrpur Māthelo</v>
      </c>
    </row>
    <row r="19785" spans="1:6" ht="15.75" customHeight="1">
      <c r="A19785" s="16" t="s">
        <v>20109</v>
      </c>
      <c r="B19785" s="15" t="s">
        <v>20109</v>
      </c>
      <c r="C19785" s="16" t="s">
        <v>19808</v>
      </c>
      <c r="D19785" s="16" t="s">
        <v>19823</v>
      </c>
      <c r="E19785" s="2">
        <v>1170295</v>
      </c>
      <c r="F19785" s="4" t="str">
        <f>IF(B19785=B19784,"",B19785)</f>
        <v>Mirpur Khas</v>
      </c>
    </row>
    <row r="19786" spans="1:6" ht="15.75" customHeight="1">
      <c r="A19786" s="8" t="str">
        <f ca="1">IFERROR(__xludf.DUMMYFUNCTION("GOOGLETRANSLATE(B38982,""en"",""pt"")"),"Mirpur Khas")</f>
        <v>Mirpur Khas</v>
      </c>
      <c r="B19786" s="11" t="s">
        <v>20109</v>
      </c>
      <c r="C19786" s="11" t="s">
        <v>19808</v>
      </c>
      <c r="D19786" s="11" t="s">
        <v>19823</v>
      </c>
      <c r="E19786" s="10">
        <v>1170295</v>
      </c>
      <c r="F19786" s="4" t="str">
        <f>IF(B19786=B19785,"",B19786)</f>
        <v/>
      </c>
    </row>
    <row r="19787" spans="1:6" ht="15.75" customHeight="1">
      <c r="A19787" s="15" t="s">
        <v>22750</v>
      </c>
      <c r="B19787" s="15" t="s">
        <v>22750</v>
      </c>
      <c r="C19787" s="15" t="s">
        <v>22070</v>
      </c>
      <c r="D19787" s="15" t="s">
        <v>22151</v>
      </c>
      <c r="E19787" s="2">
        <v>526346</v>
      </c>
      <c r="F19787" s="4" t="str">
        <f>IF(B19787=B19786,"",B19787)</f>
        <v>Mirnyy</v>
      </c>
    </row>
    <row r="19788" spans="1:6" ht="15.75" customHeight="1">
      <c r="A19788" s="15" t="s">
        <v>22750</v>
      </c>
      <c r="B19788" s="15" t="s">
        <v>22750</v>
      </c>
      <c r="C19788" s="15" t="s">
        <v>22070</v>
      </c>
      <c r="D19788" s="15" t="s">
        <v>22151</v>
      </c>
      <c r="E19788" s="2">
        <v>831129</v>
      </c>
      <c r="F19788" s="4" t="str">
        <f>IF(B19788=B19787,"",B19788)</f>
        <v/>
      </c>
    </row>
    <row r="19789" spans="1:6" ht="15.75" customHeight="1">
      <c r="A19789" s="8" t="str">
        <f ca="1">IFERROR(__xludf.DUMMYFUNCTION("GOOGLETRANSLATE(B40315,""en"",""pt"")"),"Mirnyy")</f>
        <v>Mirnyy</v>
      </c>
      <c r="B19789" s="11" t="s">
        <v>22750</v>
      </c>
      <c r="C19789" s="11" t="s">
        <v>22070</v>
      </c>
      <c r="D19789" s="11" t="s">
        <v>22151</v>
      </c>
      <c r="E19789" s="10">
        <v>526346</v>
      </c>
      <c r="F19789" s="4" t="str">
        <f>IF(B19789=B19788,"",B19789)</f>
        <v/>
      </c>
    </row>
    <row r="19790" spans="1:6" ht="15.75" customHeight="1">
      <c r="A19790" s="8" t="str">
        <f ca="1">IFERROR(__xludf.DUMMYFUNCTION("GOOGLETRANSLATE(B40704,""en"",""pt"")"),"Mirnyy")</f>
        <v>Mirnyy</v>
      </c>
      <c r="B19790" s="9" t="s">
        <v>22750</v>
      </c>
      <c r="C19790" s="9" t="s">
        <v>22070</v>
      </c>
      <c r="D19790" s="9" t="s">
        <v>22151</v>
      </c>
      <c r="E19790" s="10">
        <v>831129</v>
      </c>
      <c r="F19790" s="4" t="str">
        <f>IF(B19790=B19789,"",B19790)</f>
        <v/>
      </c>
    </row>
    <row r="19791" spans="1:6" ht="15.75" customHeight="1">
      <c r="A19791" s="15" t="s">
        <v>22749</v>
      </c>
      <c r="B19791" s="15" t="s">
        <v>22749</v>
      </c>
      <c r="C19791" s="15" t="s">
        <v>22070</v>
      </c>
      <c r="D19791" s="15" t="s">
        <v>22111</v>
      </c>
      <c r="E19791" s="2">
        <v>2019951</v>
      </c>
      <c r="F19791" s="4" t="str">
        <f>IF(B19791=B19790,"",B19791)</f>
        <v>Mirny</v>
      </c>
    </row>
    <row r="19792" spans="1:6" ht="15.75" customHeight="1">
      <c r="A19792" s="8" t="str">
        <f ca="1">IFERROR(__xludf.DUMMYFUNCTION("GOOGLETRANSLATE(B40920,""en"",""pt"")"),"Mirny")</f>
        <v>Mirny</v>
      </c>
      <c r="B19792" s="9" t="s">
        <v>22749</v>
      </c>
      <c r="C19792" s="9" t="s">
        <v>22070</v>
      </c>
      <c r="D19792" s="9" t="s">
        <v>22111</v>
      </c>
      <c r="E19792" s="10">
        <v>2019951</v>
      </c>
      <c r="F19792" s="4" t="str">
        <f>IF(B19792=B19791,"",B19792)</f>
        <v/>
      </c>
    </row>
    <row r="19793" spans="1:6" ht="15.75" customHeight="1">
      <c r="A19793" s="8" t="str">
        <f ca="1">IFERROR(__xludf.DUMMYFUNCTION("GOOGLETRANSLATE(B32764,""en"",""pt"")"),"Miriālgūda")</f>
        <v>Miriālgūda</v>
      </c>
      <c r="B19793" s="11" t="s">
        <v>33379</v>
      </c>
      <c r="C19793" s="11" t="s">
        <v>10178</v>
      </c>
      <c r="D19793" s="11" t="s">
        <v>10187</v>
      </c>
      <c r="E19793" s="10">
        <v>1263012</v>
      </c>
      <c r="F19793" s="4" t="str">
        <f>IF(B19793=B19792,"",B19793)</f>
        <v>Miriālgūda</v>
      </c>
    </row>
    <row r="19794" spans="1:6" ht="15.75" customHeight="1">
      <c r="A19794" s="16" t="s">
        <v>12406</v>
      </c>
      <c r="B19794" s="15" t="s">
        <v>12407</v>
      </c>
      <c r="C19794" s="16" t="s">
        <v>10178</v>
      </c>
      <c r="D19794" s="16" t="s">
        <v>10187</v>
      </c>
      <c r="E19794" s="2">
        <v>1263012</v>
      </c>
      <c r="F19794" s="4" t="str">
        <f>IF(B19794=B19793,"",B19794)</f>
        <v>MiriÄlgÅ«da</v>
      </c>
    </row>
    <row r="19795" spans="1:6" ht="15.75" customHeight="1">
      <c r="A19795" s="15" t="s">
        <v>17531</v>
      </c>
      <c r="B19795" s="15" t="s">
        <v>17531</v>
      </c>
      <c r="C19795" s="15" t="s">
        <v>17432</v>
      </c>
      <c r="D19795" s="15" t="s">
        <v>17459</v>
      </c>
      <c r="E19795" s="2">
        <v>1738050</v>
      </c>
      <c r="F19795" s="4" t="str">
        <f>IF(B19795=B19794,"",B19795)</f>
        <v>Miri</v>
      </c>
    </row>
    <row r="19796" spans="1:6" ht="15.75" customHeight="1">
      <c r="A19796" s="8" t="str">
        <f ca="1">IFERROR(__xludf.DUMMYFUNCTION("GOOGLETRANSLATE(B37510,""en"",""pt"")"),"Miri")</f>
        <v>Miri</v>
      </c>
      <c r="B19796" s="11" t="s">
        <v>17531</v>
      </c>
      <c r="C19796" s="11" t="s">
        <v>17432</v>
      </c>
      <c r="D19796" s="11" t="s">
        <v>17459</v>
      </c>
      <c r="E19796" s="10">
        <v>1738050</v>
      </c>
      <c r="F19796" s="4" t="str">
        <f>IF(B19796=B19795,"",B19796)</f>
        <v/>
      </c>
    </row>
    <row r="19797" spans="1:6" ht="15.75" customHeight="1">
      <c r="A19797" s="8" t="str">
        <f ca="1">IFERROR(__xludf.DUMMYFUNCTION("GOOGLETRANSLATE(B32765,""en"",""pt"")"),"Mīrganj")</f>
        <v>Mīrganj</v>
      </c>
      <c r="B19797" s="9" t="s">
        <v>33380</v>
      </c>
      <c r="C19797" s="9" t="s">
        <v>10178</v>
      </c>
      <c r="D19797" s="9" t="s">
        <v>10193</v>
      </c>
      <c r="E19797" s="10">
        <v>1263015</v>
      </c>
      <c r="F19797" s="4" t="str">
        <f>IF(B19797=B19796,"",B19797)</f>
        <v>Mīrganj</v>
      </c>
    </row>
    <row r="19798" spans="1:6" ht="15.75" customHeight="1">
      <c r="A19798" s="15" t="s">
        <v>27538</v>
      </c>
      <c r="B19798" s="15" t="s">
        <v>27538</v>
      </c>
      <c r="C19798" s="15" t="s">
        <v>27234</v>
      </c>
      <c r="D19798" s="15" t="s">
        <v>27241</v>
      </c>
      <c r="E19798" s="2">
        <v>2642423</v>
      </c>
      <c r="F19798" s="4" t="str">
        <f>IF(B19798=B19797,"",B19798)</f>
        <v>Mirfield</v>
      </c>
    </row>
    <row r="19799" spans="1:6" ht="15.75" customHeight="1">
      <c r="A19799" s="8" t="str">
        <f ca="1">IFERROR(__xludf.DUMMYFUNCTION("GOOGLETRANSLATE(B30537,""en"",""pt"")"),"Mirfield")</f>
        <v>Mirfield</v>
      </c>
      <c r="B19799" s="9" t="s">
        <v>27538</v>
      </c>
      <c r="C19799" s="9" t="s">
        <v>27234</v>
      </c>
      <c r="D19799" s="9" t="s">
        <v>27241</v>
      </c>
      <c r="E19799" s="10">
        <v>2642423</v>
      </c>
      <c r="F19799" s="4" t="str">
        <f>IF(B19799=B19798,"",B19799)</f>
        <v/>
      </c>
    </row>
    <row r="19800" spans="1:6" ht="15.75" customHeight="1">
      <c r="A19800" s="8" t="str">
        <f ca="1">IFERROR(__xludf.DUMMYFUNCTION("GOOGLETRANSLATE(B32766,""en"",""pt"")"),"Mīrānpur Katra")</f>
        <v>Mīrānpur Katra</v>
      </c>
      <c r="B19800" s="9" t="s">
        <v>33381</v>
      </c>
      <c r="C19800" s="9" t="s">
        <v>10178</v>
      </c>
      <c r="D19800" s="9" t="s">
        <v>10193</v>
      </c>
      <c r="E19800" s="10">
        <v>1263021</v>
      </c>
      <c r="F19800" s="4" t="str">
        <f>IF(B19800=B19799,"",B19800)</f>
        <v>Mīrānpur Katra</v>
      </c>
    </row>
    <row r="19801" spans="1:6" ht="15.75" customHeight="1">
      <c r="A19801" s="8" t="str">
        <f ca="1">IFERROR(__xludf.DUMMYFUNCTION("GOOGLETRANSLATE(B32767,""en"",""pt"")"),"Mīrānpur")</f>
        <v>Mīrānpur</v>
      </c>
      <c r="B19801" s="11" t="s">
        <v>33382</v>
      </c>
      <c r="C19801" s="11" t="s">
        <v>10178</v>
      </c>
      <c r="D19801" s="11" t="s">
        <v>10193</v>
      </c>
      <c r="E19801" s="10">
        <v>1263022</v>
      </c>
      <c r="F19801" s="4" t="str">
        <f>IF(B19801=B19800,"",B19801)</f>
        <v>Mīrānpur</v>
      </c>
    </row>
    <row r="19802" spans="1:6" ht="15.75" customHeight="1">
      <c r="A19802" s="15" t="s">
        <v>15272</v>
      </c>
      <c r="B19802" s="15" t="s">
        <v>15272</v>
      </c>
      <c r="C19802" s="15" t="s">
        <v>14891</v>
      </c>
      <c r="D19802" s="15" t="s">
        <v>14892</v>
      </c>
      <c r="E19802" s="2">
        <v>3173369</v>
      </c>
      <c r="F19802" s="4" t="str">
        <f>IF(B19802=B19801,"",B19802)</f>
        <v>Mirano</v>
      </c>
    </row>
    <row r="19803" spans="1:6" ht="15.75" customHeight="1">
      <c r="A19803" s="8" t="str">
        <f ca="1">IFERROR(__xludf.DUMMYFUNCTION("GOOGLETRANSLATE(B34831,""en"",""pt"")"),"Mirano")</f>
        <v>Mirano</v>
      </c>
      <c r="B19803" s="9" t="s">
        <v>15272</v>
      </c>
      <c r="C19803" s="9" t="s">
        <v>14891</v>
      </c>
      <c r="D19803" s="9" t="s">
        <v>14892</v>
      </c>
      <c r="E19803" s="10">
        <v>3173369</v>
      </c>
      <c r="F19803" s="4" t="str">
        <f>IF(B19803=B19802,"",B19803)</f>
        <v/>
      </c>
    </row>
    <row r="19804" spans="1:6" ht="15.75" customHeight="1">
      <c r="A19804" s="8" t="str">
        <f ca="1">IFERROR(__xludf.DUMMYFUNCTION("GOOGLETRANSLATE(B24813,""en"",""pt"")"),"Mirandopólis")</f>
        <v>Mirandopólis</v>
      </c>
      <c r="B19804" s="11" t="s">
        <v>31591</v>
      </c>
      <c r="C19804" s="11" t="s">
        <v>1905</v>
      </c>
      <c r="D19804" s="11" t="s">
        <v>3354</v>
      </c>
      <c r="E19804" s="10">
        <v>3457107</v>
      </c>
      <c r="F19804" s="4" t="str">
        <f>IF(B19804=B19803,"",B19804)</f>
        <v>Mirandopólis</v>
      </c>
    </row>
    <row r="19805" spans="1:6" ht="15.75" customHeight="1">
      <c r="A19805" s="16" t="s">
        <v>2898</v>
      </c>
      <c r="B19805" s="15" t="s">
        <v>2899</v>
      </c>
      <c r="C19805" s="16" t="s">
        <v>1905</v>
      </c>
      <c r="D19805" s="16" t="s">
        <v>1914</v>
      </c>
      <c r="E19805" s="2">
        <v>3457107</v>
      </c>
      <c r="F19805" s="4" t="str">
        <f>IF(B19805=B19804,"",B19805)</f>
        <v>MirandopÃ³lis</v>
      </c>
    </row>
    <row r="19806" spans="1:6" ht="15.75" customHeight="1">
      <c r="A19806" s="16" t="s">
        <v>15271</v>
      </c>
      <c r="B19806" s="15" t="s">
        <v>15271</v>
      </c>
      <c r="C19806" s="16" t="s">
        <v>14891</v>
      </c>
      <c r="D19806" s="16" t="s">
        <v>14973</v>
      </c>
      <c r="E19806" s="2">
        <v>3173370</v>
      </c>
      <c r="F19806" s="4" t="str">
        <f>IF(B19806=B19805,"",B19806)</f>
        <v>Mirandola</v>
      </c>
    </row>
    <row r="19807" spans="1:6" ht="15.75" customHeight="1">
      <c r="A19807" s="8" t="str">
        <f ca="1">IFERROR(__xludf.DUMMYFUNCTION("GOOGLETRANSLATE(B34832,""en"",""pt"")"),"Mirandola")</f>
        <v>Mirandola</v>
      </c>
      <c r="B19807" s="11" t="s">
        <v>15271</v>
      </c>
      <c r="C19807" s="11" t="s">
        <v>14891</v>
      </c>
      <c r="D19807" s="11" t="s">
        <v>14973</v>
      </c>
      <c r="E19807" s="10">
        <v>3173370</v>
      </c>
      <c r="F19807" s="4" t="str">
        <f>IF(B19807=B19806,"",B19807)</f>
        <v/>
      </c>
    </row>
    <row r="19808" spans="1:6" ht="15.75" customHeight="1">
      <c r="A19808" s="16" t="s">
        <v>24617</v>
      </c>
      <c r="B19808" s="15" t="s">
        <v>24617</v>
      </c>
      <c r="C19808" s="16" t="s">
        <v>24200</v>
      </c>
      <c r="D19808" s="16" t="s">
        <v>24210</v>
      </c>
      <c r="E19808" s="2">
        <v>3116689</v>
      </c>
      <c r="F19808" s="4" t="str">
        <f>IF(B19808=B19807,"",B19808)</f>
        <v>Miranda de Ebro</v>
      </c>
    </row>
    <row r="19809" spans="1:6" ht="15.75" customHeight="1">
      <c r="A19809" s="8" t="str">
        <f ca="1">IFERROR(__xludf.DUMMYFUNCTION("GOOGLETRANSLATE(B29356,""en"",""pt"")"),"Miranda de Ebro")</f>
        <v>Miranda de Ebro</v>
      </c>
      <c r="B19809" s="9" t="s">
        <v>24617</v>
      </c>
      <c r="C19809" s="9" t="s">
        <v>24200</v>
      </c>
      <c r="D19809" s="9" t="s">
        <v>32412</v>
      </c>
      <c r="E19809" s="10">
        <v>3116689</v>
      </c>
      <c r="F19809" s="4" t="str">
        <f>IF(B19809=B19808,"",B19809)</f>
        <v/>
      </c>
    </row>
    <row r="19810" spans="1:6" ht="15.75" customHeight="1">
      <c r="A19810" s="16" t="s">
        <v>4102</v>
      </c>
      <c r="B19810" s="15" t="s">
        <v>4102</v>
      </c>
      <c r="C19810" s="16" t="s">
        <v>3975</v>
      </c>
      <c r="D19810" s="16" t="s">
        <v>4042</v>
      </c>
      <c r="E19810" s="2">
        <v>6075081</v>
      </c>
      <c r="F19810" s="4" t="str">
        <f>IF(B19810=B19809,"",B19810)</f>
        <v>Miramichi</v>
      </c>
    </row>
    <row r="19811" spans="1:6" ht="15.75" customHeight="1">
      <c r="A19811" s="8" t="str">
        <f ca="1">IFERROR(__xludf.DUMMYFUNCTION("GOOGLETRANSLATE(B25514,""en"",""pt"")"),"Miramichi")</f>
        <v>Miramichi</v>
      </c>
      <c r="B19811" s="9" t="s">
        <v>4102</v>
      </c>
      <c r="C19811" s="9" t="s">
        <v>3975</v>
      </c>
      <c r="D19811" s="9" t="s">
        <v>4042</v>
      </c>
      <c r="E19811" s="10">
        <v>6075081</v>
      </c>
      <c r="F19811" s="4" t="str">
        <f>IF(B19811=B19810,"",B19811)</f>
        <v/>
      </c>
    </row>
    <row r="19812" spans="1:6" ht="15.75" customHeight="1">
      <c r="A19812" s="15" t="s">
        <v>7588</v>
      </c>
      <c r="B19812" s="15" t="s">
        <v>7588</v>
      </c>
      <c r="C19812" s="15" t="s">
        <v>7052</v>
      </c>
      <c r="D19812" s="15" t="s">
        <v>7087</v>
      </c>
      <c r="E19812" s="2">
        <v>2993760</v>
      </c>
      <c r="F19812" s="4" t="str">
        <f>IF(B19812=B19811,"",B19812)</f>
        <v>Miramas</v>
      </c>
    </row>
    <row r="19813" spans="1:6" ht="15.75" customHeight="1">
      <c r="A19813" s="8" t="str">
        <f ca="1">IFERROR(__xludf.DUMMYFUNCTION("GOOGLETRANSLATE(B29920,""en"",""pt"")"),"Miramas")</f>
        <v>Miramas</v>
      </c>
      <c r="B19813" s="9" t="s">
        <v>7588</v>
      </c>
      <c r="C19813" s="9" t="s">
        <v>7052</v>
      </c>
      <c r="D19813" s="9" t="s">
        <v>32534</v>
      </c>
      <c r="E19813" s="10">
        <v>2993760</v>
      </c>
      <c r="F19813" s="4" t="str">
        <f>IF(B19813=B19812,"",B19813)</f>
        <v/>
      </c>
    </row>
    <row r="19814" spans="1:6" ht="15.75" customHeight="1">
      <c r="A19814" s="15" t="s">
        <v>18093</v>
      </c>
      <c r="B19814" s="15" t="s">
        <v>18093</v>
      </c>
      <c r="C19814" s="15" t="s">
        <v>17707</v>
      </c>
      <c r="D19814" s="15" t="s">
        <v>17740</v>
      </c>
      <c r="E19814" s="2">
        <v>3523149</v>
      </c>
      <c r="F19814" s="4" t="str">
        <f>IF(B19814=B19813,"",B19814)</f>
        <v>Miramar</v>
      </c>
    </row>
    <row r="19815" spans="1:6" ht="15.75" customHeight="1">
      <c r="A19815" s="15" t="s">
        <v>18093</v>
      </c>
      <c r="B19815" s="15" t="s">
        <v>18093</v>
      </c>
      <c r="C19815" s="15" t="s">
        <v>27788</v>
      </c>
      <c r="D19815" s="15" t="s">
        <v>5468</v>
      </c>
      <c r="E19815" s="2">
        <v>4164601</v>
      </c>
      <c r="F19815" s="4" t="str">
        <f>IF(B19815=B19814,"",B19815)</f>
        <v/>
      </c>
    </row>
    <row r="19816" spans="1:6" ht="15.75" customHeight="1">
      <c r="A19816" s="8" t="str">
        <f ca="1">IFERROR(__xludf.DUMMYFUNCTION("GOOGLETRANSLATE(B36978,""en"",""pt"")"),"Miramar")</f>
        <v>Miramar</v>
      </c>
      <c r="B19816" s="11" t="s">
        <v>18093</v>
      </c>
      <c r="C19816" s="11" t="s">
        <v>17707</v>
      </c>
      <c r="D19816" s="11" t="s">
        <v>17740</v>
      </c>
      <c r="E19816" s="10">
        <v>3523149</v>
      </c>
      <c r="F19816" s="4" t="str">
        <f>IF(B19816=B19815,"",B19816)</f>
        <v/>
      </c>
    </row>
    <row r="19817" spans="1:6" ht="15.75" customHeight="1">
      <c r="A19817" s="8" t="str">
        <f ca="1">IFERROR(__xludf.DUMMYFUNCTION("GOOGLETRANSLATE(B42954,""en"",""pt"")"),"Miramar")</f>
        <v>Miramar</v>
      </c>
      <c r="B19817" s="9" t="s">
        <v>18093</v>
      </c>
      <c r="C19817" s="9" t="s">
        <v>27788</v>
      </c>
      <c r="D19817" s="9" t="s">
        <v>5468</v>
      </c>
      <c r="E19817" s="10">
        <v>4164601</v>
      </c>
      <c r="F19817" s="4" t="str">
        <f>IF(B19817=B19816,"",B19817)</f>
        <v/>
      </c>
    </row>
    <row r="19818" spans="1:6" ht="15.75" customHeight="1">
      <c r="A19818" s="8" t="str">
        <f ca="1">IFERROR(__xludf.DUMMYFUNCTION("GOOGLETRANSLATE(B31221,""en"",""pt"")"),"Miragoâne")</f>
        <v>Miragoâne</v>
      </c>
      <c r="B19818" s="11" t="s">
        <v>32816</v>
      </c>
      <c r="C19818" s="11" t="s">
        <v>9866</v>
      </c>
      <c r="D19818" s="11" t="s">
        <v>8935</v>
      </c>
      <c r="E19818" s="10">
        <v>3720824</v>
      </c>
      <c r="F19818" s="4" t="str">
        <f>IF(B19818=B19817,"",B19818)</f>
        <v>Miragoâne</v>
      </c>
    </row>
    <row r="19819" spans="1:6" ht="15.75" customHeight="1">
      <c r="A19819" s="16" t="s">
        <v>9891</v>
      </c>
      <c r="B19819" s="15" t="s">
        <v>9892</v>
      </c>
      <c r="C19819" s="16" t="s">
        <v>9866</v>
      </c>
      <c r="D19819" s="16" t="s">
        <v>8935</v>
      </c>
      <c r="E19819" s="2">
        <v>3720824</v>
      </c>
      <c r="F19819" s="4" t="str">
        <f>IF(B19819=B19818,"",B19819)</f>
        <v>MiragoÃ¢ne</v>
      </c>
    </row>
    <row r="19820" spans="1:6" ht="15.75" customHeight="1">
      <c r="A19820" s="16" t="s">
        <v>2897</v>
      </c>
      <c r="B19820" s="15" t="s">
        <v>2897</v>
      </c>
      <c r="C19820" s="16" t="s">
        <v>1905</v>
      </c>
      <c r="D19820" s="16" t="s">
        <v>1978</v>
      </c>
      <c r="E19820" s="2">
        <v>3457133</v>
      </c>
      <c r="F19820" s="4" t="str">
        <f>IF(B19820=B19819,"",B19820)</f>
        <v>Miracema</v>
      </c>
    </row>
    <row r="19821" spans="1:6" ht="15.75" customHeight="1">
      <c r="A19821" s="8" t="str">
        <f ca="1">IFERROR(__xludf.DUMMYFUNCTION("GOOGLETRANSLATE(B24814,""en"",""pt"")"),"Miracema")</f>
        <v>Miracema</v>
      </c>
      <c r="B19821" s="9" t="s">
        <v>2897</v>
      </c>
      <c r="C19821" s="9" t="s">
        <v>1905</v>
      </c>
      <c r="D19821" s="9" t="s">
        <v>1978</v>
      </c>
      <c r="E19821" s="10">
        <v>3457133</v>
      </c>
      <c r="F19821" s="4" t="str">
        <f>IF(B19821=B19820,"",B19821)</f>
        <v/>
      </c>
    </row>
    <row r="19822" spans="1:6" ht="15.75" customHeight="1">
      <c r="A19822" s="15" t="s">
        <v>4101</v>
      </c>
      <c r="B19822" s="15" t="s">
        <v>4101</v>
      </c>
      <c r="C19822" s="15" t="s">
        <v>3975</v>
      </c>
      <c r="D19822" s="15" t="s">
        <v>3982</v>
      </c>
      <c r="E19822" s="2">
        <v>6075061</v>
      </c>
      <c r="F19822" s="4" t="str">
        <f>IF(B19822=B19821,"",B19822)</f>
        <v>Mirabel</v>
      </c>
    </row>
    <row r="19823" spans="1:6" ht="15.75" customHeight="1">
      <c r="A19823" s="8" t="str">
        <f ca="1">IFERROR(__xludf.DUMMYFUNCTION("GOOGLETRANSLATE(B25513,""en"",""pt"")"),"Mirabel")</f>
        <v>Mirabel</v>
      </c>
      <c r="B19823" s="9" t="s">
        <v>4101</v>
      </c>
      <c r="C19823" s="9" t="s">
        <v>3975</v>
      </c>
      <c r="D19823" s="9" t="s">
        <v>3982</v>
      </c>
      <c r="E19823" s="10">
        <v>6075061</v>
      </c>
      <c r="F19823" s="4" t="str">
        <f>IF(B19823=B19822,"",B19823)</f>
        <v/>
      </c>
    </row>
    <row r="19824" spans="1:6" ht="15.75" customHeight="1">
      <c r="A19824" s="16" t="s">
        <v>15270</v>
      </c>
      <c r="B19824" s="15" t="s">
        <v>15270</v>
      </c>
      <c r="C19824" s="16" t="s">
        <v>14891</v>
      </c>
      <c r="D19824" s="16" t="s">
        <v>14892</v>
      </c>
      <c r="E19824" s="2">
        <v>3173385</v>
      </c>
      <c r="F19824" s="4" t="str">
        <f>IF(B19824=B19823,"",B19824)</f>
        <v>Mira Taglio</v>
      </c>
    </row>
    <row r="19825" spans="1:6" ht="15.75" customHeight="1">
      <c r="A19825" s="8" t="str">
        <f ca="1">IFERROR(__xludf.DUMMYFUNCTION("GOOGLETRANSLATE(B34833,""en"",""pt"")"),"Mira Taglio")</f>
        <v>Mira Taglio</v>
      </c>
      <c r="B19825" s="9" t="s">
        <v>15270</v>
      </c>
      <c r="C19825" s="9" t="s">
        <v>14891</v>
      </c>
      <c r="D19825" s="9" t="s">
        <v>14892</v>
      </c>
      <c r="E19825" s="10">
        <v>3173385</v>
      </c>
      <c r="F19825" s="4" t="str">
        <f>IF(B19825=B19824,"",B19825)</f>
        <v/>
      </c>
    </row>
    <row r="19826" spans="1:6" ht="15.75" customHeight="1">
      <c r="A19826" s="16" t="s">
        <v>29315</v>
      </c>
      <c r="B19826" s="15" t="s">
        <v>29315</v>
      </c>
      <c r="C19826" s="16" t="s">
        <v>27788</v>
      </c>
      <c r="D19826" s="16" t="s">
        <v>27801</v>
      </c>
      <c r="E19826" s="2">
        <v>5373492</v>
      </c>
      <c r="F19826" s="4" t="str">
        <f>IF(B19826=B19825,"",B19826)</f>
        <v>Mira Loma</v>
      </c>
    </row>
    <row r="19827" spans="1:6" ht="15.75" customHeight="1">
      <c r="A19827" s="8" t="str">
        <f ca="1">IFERROR(__xludf.DUMMYFUNCTION("GOOGLETRANSLATE(B44908,""en"",""pt"")"),"Mira Loma")</f>
        <v>Mira Loma</v>
      </c>
      <c r="B19827" s="9" t="s">
        <v>29315</v>
      </c>
      <c r="C19827" s="9" t="s">
        <v>27788</v>
      </c>
      <c r="D19827" s="9" t="s">
        <v>27801</v>
      </c>
      <c r="E19827" s="10">
        <v>5373492</v>
      </c>
      <c r="F19827" s="4" t="str">
        <f>IF(B19827=B19826,"",B19827)</f>
        <v/>
      </c>
    </row>
    <row r="19828" spans="1:6" ht="15.75" customHeight="1">
      <c r="A19828" s="15" t="s">
        <v>21959</v>
      </c>
      <c r="B19828" s="15" t="s">
        <v>21959</v>
      </c>
      <c r="C19828" s="15" t="s">
        <v>21824</v>
      </c>
      <c r="D19828" s="15" t="s">
        <v>21909</v>
      </c>
      <c r="E19828" s="2">
        <v>7733099</v>
      </c>
      <c r="F19828" s="4" t="str">
        <f>IF(B19828=B19827,"",B19828)</f>
        <v>Mioveni</v>
      </c>
    </row>
    <row r="19829" spans="1:6" ht="15.75" customHeight="1">
      <c r="A19829" s="8" t="str">
        <f ca="1">IFERROR(__xludf.DUMMYFUNCTION("GOOGLETRANSLATE(B39848,""en"",""pt"")"),"Mioveni")</f>
        <v>Mioveni</v>
      </c>
      <c r="B19829" s="9" t="s">
        <v>21959</v>
      </c>
      <c r="C19829" s="9" t="s">
        <v>21824</v>
      </c>
      <c r="D19829" s="9" t="s">
        <v>35366</v>
      </c>
      <c r="E19829" s="10">
        <v>7733099</v>
      </c>
      <c r="F19829" s="4" t="str">
        <f>IF(B19829=B19828,"",B19829)</f>
        <v/>
      </c>
    </row>
    <row r="19830" spans="1:6" ht="15.75" customHeight="1">
      <c r="A19830" s="15" t="s">
        <v>4950</v>
      </c>
      <c r="B19830" s="15" t="s">
        <v>4950</v>
      </c>
      <c r="C19830" s="15" t="s">
        <v>4487</v>
      </c>
      <c r="D19830" s="15" t="s">
        <v>4518</v>
      </c>
      <c r="E19830" s="2">
        <v>2036536</v>
      </c>
      <c r="F19830" s="4" t="str">
        <f>IF(B19830=B19829,"",B19830)</f>
        <v>Minzhu</v>
      </c>
    </row>
    <row r="19831" spans="1:6" ht="15.75" customHeight="1">
      <c r="A19831" s="8" t="str">
        <f ca="1">IFERROR(__xludf.DUMMYFUNCTION("GOOGLETRANSLATE(B26749,""en"",""pt"")"),"Minzhu")</f>
        <v>Minzhu</v>
      </c>
      <c r="B19831" s="9" t="s">
        <v>4950</v>
      </c>
      <c r="C19831" s="9" t="s">
        <v>4487</v>
      </c>
      <c r="D19831" s="9" t="s">
        <v>4518</v>
      </c>
      <c r="E19831" s="10">
        <v>2036536</v>
      </c>
      <c r="F19831" s="4" t="str">
        <f>IF(B19831=B19830,"",B19831)</f>
        <v/>
      </c>
    </row>
    <row r="19832" spans="1:6" ht="15.75" customHeight="1">
      <c r="A19832" s="8" t="str">
        <f ca="1">IFERROR(__xludf.DUMMYFUNCTION("GOOGLETRANSLATE(B28844,""en"",""pt"")"),"Minyat An Naşr")</f>
        <v>Minyat An Naşr</v>
      </c>
      <c r="B19832" s="11" t="s">
        <v>32270</v>
      </c>
      <c r="C19832" s="11" t="s">
        <v>6495</v>
      </c>
      <c r="D19832" s="11" t="s">
        <v>32250</v>
      </c>
      <c r="E19832" s="10">
        <v>352344</v>
      </c>
      <c r="F19832" s="4" t="str">
        <f>IF(B19832=B19831,"",B19832)</f>
        <v>Minyat an Naşr</v>
      </c>
    </row>
    <row r="19833" spans="1:6" ht="15.75" customHeight="1">
      <c r="A19833" s="16" t="s">
        <v>6687</v>
      </c>
      <c r="B19833" s="15" t="s">
        <v>6688</v>
      </c>
      <c r="C19833" s="16" t="s">
        <v>6495</v>
      </c>
      <c r="D19833" s="16" t="s">
        <v>6508</v>
      </c>
      <c r="E19833" s="2">
        <v>352344</v>
      </c>
      <c r="F19833" s="4" t="str">
        <f>IF(B19833=B19832,"",B19833)</f>
        <v>Minyat an NaÅŸr</v>
      </c>
    </row>
    <row r="19834" spans="1:6" ht="15.75" customHeight="1">
      <c r="A19834" s="16" t="s">
        <v>22748</v>
      </c>
      <c r="B19834" s="15" t="s">
        <v>22748</v>
      </c>
      <c r="C19834" s="16" t="s">
        <v>22070</v>
      </c>
      <c r="D19834" s="16" t="s">
        <v>22079</v>
      </c>
      <c r="E19834" s="2">
        <v>1498693</v>
      </c>
      <c r="F19834" s="4" t="str">
        <f>IF(B19834=B19833,"",B19834)</f>
        <v>Minusinsk</v>
      </c>
    </row>
    <row r="19835" spans="1:6" ht="15.75" customHeight="1">
      <c r="A19835" s="8" t="str">
        <f ca="1">IFERROR(__xludf.DUMMYFUNCTION("GOOGLETRANSLATE(B40795,""en"",""pt"")"),"Minusinsk")</f>
        <v>Minusinsk</v>
      </c>
      <c r="B19835" s="9" t="s">
        <v>22748</v>
      </c>
      <c r="C19835" s="9" t="s">
        <v>22070</v>
      </c>
      <c r="D19835" s="9" t="s">
        <v>22079</v>
      </c>
      <c r="E19835" s="10">
        <v>1498693</v>
      </c>
      <c r="F19835" s="4" t="str">
        <f>IF(B19835=B19834,"",B19835)</f>
        <v/>
      </c>
    </row>
    <row r="19836" spans="1:6" ht="15.75" customHeight="1">
      <c r="A19836" s="8" t="str">
        <f ca="1">IFERROR(__xludf.DUMMYFUNCTION("GOOGLETRANSLATE(B28845,""en"",""pt"")"),"Minūf")</f>
        <v>Minūf</v>
      </c>
      <c r="B19836" s="11" t="s">
        <v>32271</v>
      </c>
      <c r="C19836" s="11" t="s">
        <v>6495</v>
      </c>
      <c r="D19836" s="11" t="s">
        <v>32252</v>
      </c>
      <c r="E19836" s="10">
        <v>352354</v>
      </c>
      <c r="F19836" s="4" t="str">
        <f>IF(B19836=B19835,"",B19836)</f>
        <v>Minūf</v>
      </c>
    </row>
    <row r="19837" spans="1:6" ht="15.75" customHeight="1">
      <c r="A19837" s="15" t="s">
        <v>15269</v>
      </c>
      <c r="B19837" s="15" t="s">
        <v>15269</v>
      </c>
      <c r="C19837" s="15" t="s">
        <v>14891</v>
      </c>
      <c r="D19837" s="15" t="s">
        <v>14904</v>
      </c>
      <c r="E19837" s="2">
        <v>3173391</v>
      </c>
      <c r="F19837" s="4" t="str">
        <f>IF(B19837=B19836,"",B19837)</f>
        <v>Minturno</v>
      </c>
    </row>
    <row r="19838" spans="1:6" ht="15.75" customHeight="1">
      <c r="A19838" s="8" t="str">
        <f ca="1">IFERROR(__xludf.DUMMYFUNCTION("GOOGLETRANSLATE(B34834,""en"",""pt"")"),"Minturno")</f>
        <v>Minturno</v>
      </c>
      <c r="B19838" s="11" t="s">
        <v>15269</v>
      </c>
      <c r="C19838" s="11" t="s">
        <v>14891</v>
      </c>
      <c r="D19838" s="11" t="s">
        <v>14904</v>
      </c>
      <c r="E19838" s="10">
        <v>3173391</v>
      </c>
      <c r="F19838" s="4" t="str">
        <f>IF(B19838=B19837,"",B19838)</f>
        <v/>
      </c>
    </row>
    <row r="19839" spans="1:6" ht="15.75" customHeight="1">
      <c r="A19839" s="15" t="s">
        <v>29314</v>
      </c>
      <c r="B19839" s="15" t="s">
        <v>29314</v>
      </c>
      <c r="C19839" s="15" t="s">
        <v>27788</v>
      </c>
      <c r="D19839" s="15" t="s">
        <v>27822</v>
      </c>
      <c r="E19839" s="2">
        <v>4479759</v>
      </c>
      <c r="F19839" s="4" t="str">
        <f>IF(B19839=B19838,"",B19839)</f>
        <v>Mint Hill</v>
      </c>
    </row>
    <row r="19840" spans="1:6" ht="15.75" customHeight="1">
      <c r="A19840" s="8" t="str">
        <f ca="1">IFERROR(__xludf.DUMMYFUNCTION("GOOGLETRANSLATE(B43467,""en"",""pt"")"),"Mint Hill")</f>
        <v>Mint Hill</v>
      </c>
      <c r="B19840" s="11" t="s">
        <v>29314</v>
      </c>
      <c r="C19840" s="11" t="s">
        <v>27788</v>
      </c>
      <c r="D19840" s="11" t="s">
        <v>27822</v>
      </c>
      <c r="E19840" s="10">
        <v>4479759</v>
      </c>
      <c r="F19840" s="4" t="str">
        <f>IF(B19840=B19839,"",B19840)</f>
        <v/>
      </c>
    </row>
    <row r="19841" spans="1:6" ht="15.75" customHeight="1">
      <c r="A19841" s="8" t="str">
        <f ca="1">IFERROR(__xludf.DUMMYFUNCTION("GOOGLETRANSLATE(B39244,""en"",""pt"")"),"Mińsk Mazowiecki")</f>
        <v>Mińsk Mazowiecki</v>
      </c>
      <c r="B19841" s="9" t="s">
        <v>35101</v>
      </c>
      <c r="C19841" s="9" t="s">
        <v>21064</v>
      </c>
      <c r="D19841" s="9" t="s">
        <v>21070</v>
      </c>
      <c r="E19841" s="10">
        <v>764679</v>
      </c>
      <c r="F19841" s="4" t="str">
        <f>IF(B19841=B19840,"",B19841)</f>
        <v>Mińsk Mazowiecki</v>
      </c>
    </row>
    <row r="19842" spans="1:6" ht="15.75" customHeight="1">
      <c r="A19842" s="15" t="s">
        <v>1463</v>
      </c>
      <c r="B19842" s="15" t="s">
        <v>1463</v>
      </c>
      <c r="C19842" s="15" t="s">
        <v>1453</v>
      </c>
      <c r="D19842" s="15" t="s">
        <v>1483</v>
      </c>
      <c r="E19842" s="2">
        <v>625144</v>
      </c>
      <c r="F19842" s="4" t="str">
        <f>IF(B19842=B19841,"",B19842)</f>
        <v>Minsk</v>
      </c>
    </row>
    <row r="19843" spans="1:6" ht="15.75" customHeight="1">
      <c r="A19843" s="8" t="str">
        <f ca="1">IFERROR(__xludf.DUMMYFUNCTION("GOOGLETRANSLATE(B25391,""en"",""pt"")"),"Minsk")</f>
        <v>Minsk</v>
      </c>
      <c r="B19843" s="9" t="s">
        <v>1463</v>
      </c>
      <c r="C19843" s="9" t="s">
        <v>1453</v>
      </c>
      <c r="D19843" s="9" t="s">
        <v>1483</v>
      </c>
      <c r="E19843" s="10">
        <v>625144</v>
      </c>
      <c r="F19843" s="4" t="str">
        <f>IF(B19843=B19842,"",B19843)</f>
        <v/>
      </c>
    </row>
    <row r="19844" spans="1:6" ht="15.75" customHeight="1">
      <c r="A19844" s="15" t="s">
        <v>29313</v>
      </c>
      <c r="B19844" s="15" t="s">
        <v>29313</v>
      </c>
      <c r="C19844" s="15" t="s">
        <v>27788</v>
      </c>
      <c r="D19844" s="15" t="s">
        <v>28043</v>
      </c>
      <c r="E19844" s="2">
        <v>5690532</v>
      </c>
      <c r="F19844" s="4" t="str">
        <f>IF(B19844=B19843,"",B19844)</f>
        <v>Minot</v>
      </c>
    </row>
    <row r="19845" spans="1:6" ht="15.75" customHeight="1">
      <c r="A19845" s="8" t="str">
        <f ca="1">IFERROR(__xludf.DUMMYFUNCTION("GOOGLETRANSLATE(B45219,""en"",""pt"")"),"Minot")</f>
        <v>Minot</v>
      </c>
      <c r="B19845" s="11" t="s">
        <v>29313</v>
      </c>
      <c r="C19845" s="11" t="s">
        <v>27788</v>
      </c>
      <c r="D19845" s="11" t="s">
        <v>28043</v>
      </c>
      <c r="E19845" s="10">
        <v>5690532</v>
      </c>
      <c r="F19845" s="4" t="str">
        <f>IF(B19845=B19844,"",B19845)</f>
        <v/>
      </c>
    </row>
    <row r="19846" spans="1:6" ht="15.75" customHeight="1">
      <c r="A19846" s="16" t="s">
        <v>16224</v>
      </c>
      <c r="B19846" s="15" t="s">
        <v>16224</v>
      </c>
      <c r="C19846" s="16" t="s">
        <v>15704</v>
      </c>
      <c r="D19846" s="16" t="s">
        <v>15748</v>
      </c>
      <c r="E19846" s="2">
        <v>6822217</v>
      </c>
      <c r="F19846" s="4" t="str">
        <f>IF(B19846=B19845,"",B19846)</f>
        <v>Minokamo</v>
      </c>
    </row>
    <row r="19847" spans="1:6" ht="15.75" customHeight="1">
      <c r="A19847" s="8" t="str">
        <f ca="1">IFERROR(__xludf.DUMMYFUNCTION("GOOGLETRANSLATE(B35874,""en"",""pt"")"),"Minokamo")</f>
        <v>Minokamo</v>
      </c>
      <c r="B19847" s="9" t="s">
        <v>16224</v>
      </c>
      <c r="C19847" s="9" t="s">
        <v>15704</v>
      </c>
      <c r="D19847" s="9" t="s">
        <v>15748</v>
      </c>
      <c r="E19847" s="10">
        <v>6822217</v>
      </c>
      <c r="F19847" s="4" t="str">
        <f>IF(B19847=B19846,"",B19847)</f>
        <v/>
      </c>
    </row>
    <row r="19848" spans="1:6" ht="15.75" customHeight="1">
      <c r="A19848" s="15" t="s">
        <v>16223</v>
      </c>
      <c r="B19848" s="15" t="s">
        <v>16223</v>
      </c>
      <c r="C19848" s="15" t="s">
        <v>15704</v>
      </c>
      <c r="D19848" s="15" t="s">
        <v>15853</v>
      </c>
      <c r="E19848" s="2">
        <v>1857046</v>
      </c>
      <c r="F19848" s="4" t="str">
        <f>IF(B19848=B19847,"",B19848)</f>
        <v>Mino</v>
      </c>
    </row>
    <row r="19849" spans="1:6" ht="15.75" customHeight="1">
      <c r="A19849" s="15" t="s">
        <v>16223</v>
      </c>
      <c r="B19849" s="15" t="s">
        <v>16223</v>
      </c>
      <c r="C19849" s="15" t="s">
        <v>15704</v>
      </c>
      <c r="D19849" s="15" t="s">
        <v>15748</v>
      </c>
      <c r="E19849" s="2">
        <v>1857062</v>
      </c>
      <c r="F19849" s="4" t="str">
        <f>IF(B19849=B19848,"",B19849)</f>
        <v/>
      </c>
    </row>
    <row r="19850" spans="1:6" ht="15.75" customHeight="1">
      <c r="A19850" s="8" t="str">
        <f ca="1">IFERROR(__xludf.DUMMYFUNCTION("GOOGLETRANSLATE(B35431,""en"",""pt"")"),"Mino")</f>
        <v>Mino</v>
      </c>
      <c r="B19850" s="11" t="s">
        <v>16223</v>
      </c>
      <c r="C19850" s="11" t="s">
        <v>15704</v>
      </c>
      <c r="D19850" s="11" t="s">
        <v>34295</v>
      </c>
      <c r="E19850" s="10">
        <v>1857046</v>
      </c>
      <c r="F19850" s="4" t="str">
        <f>IF(B19850=B19849,"",B19850)</f>
        <v/>
      </c>
    </row>
    <row r="19851" spans="1:6" ht="15.75" customHeight="1">
      <c r="A19851" s="8" t="str">
        <f ca="1">IFERROR(__xludf.DUMMYFUNCTION("GOOGLETRANSLATE(B35432,""en"",""pt"")"),"Mino")</f>
        <v>Mino</v>
      </c>
      <c r="B19851" s="9" t="s">
        <v>16223</v>
      </c>
      <c r="C19851" s="9" t="s">
        <v>15704</v>
      </c>
      <c r="D19851" s="9" t="s">
        <v>15748</v>
      </c>
      <c r="E19851" s="10">
        <v>1857062</v>
      </c>
      <c r="F19851" s="4" t="str">
        <f>IF(B19851=B19850,"",B19851)</f>
        <v/>
      </c>
    </row>
    <row r="19852" spans="1:6" ht="15.75" customHeight="1">
      <c r="A19852" s="16" t="s">
        <v>29312</v>
      </c>
      <c r="B19852" s="15" t="s">
        <v>29312</v>
      </c>
      <c r="C19852" s="16" t="s">
        <v>27788</v>
      </c>
      <c r="D19852" s="16" t="s">
        <v>27824</v>
      </c>
      <c r="E19852" s="2">
        <v>5037790</v>
      </c>
      <c r="F19852" s="4" t="str">
        <f>IF(B19852=B19851,"",B19852)</f>
        <v>Minnetonka Mills</v>
      </c>
    </row>
    <row r="19853" spans="1:6" ht="15.75" customHeight="1">
      <c r="A19853" s="8" t="str">
        <f ca="1">IFERROR(__xludf.DUMMYFUNCTION("GOOGLETRANSLATE(B44178,""en"",""pt"")"),"Minnetonka Mills")</f>
        <v>Minnetonka Mills</v>
      </c>
      <c r="B19853" s="9" t="s">
        <v>29312</v>
      </c>
      <c r="C19853" s="9" t="s">
        <v>27788</v>
      </c>
      <c r="D19853" s="9" t="s">
        <v>27824</v>
      </c>
      <c r="E19853" s="10">
        <v>5037790</v>
      </c>
      <c r="F19853" s="4" t="str">
        <f>IF(B19853=B19852,"",B19853)</f>
        <v/>
      </c>
    </row>
    <row r="19854" spans="1:6" ht="15.75" customHeight="1">
      <c r="A19854" s="16" t="s">
        <v>29311</v>
      </c>
      <c r="B19854" s="15" t="s">
        <v>29311</v>
      </c>
      <c r="C19854" s="16" t="s">
        <v>27788</v>
      </c>
      <c r="D19854" s="16" t="s">
        <v>27824</v>
      </c>
      <c r="E19854" s="2">
        <v>5037784</v>
      </c>
      <c r="F19854" s="4" t="str">
        <f>IF(B19854=B19853,"",B19854)</f>
        <v>Minnetonka</v>
      </c>
    </row>
    <row r="19855" spans="1:6" ht="15.75" customHeight="1">
      <c r="A19855" s="8" t="str">
        <f ca="1">IFERROR(__xludf.DUMMYFUNCTION("GOOGLETRANSLATE(B44177,""en"",""pt"")"),"Minnetonka")</f>
        <v>Minnetonka</v>
      </c>
      <c r="B19855" s="9" t="s">
        <v>29311</v>
      </c>
      <c r="C19855" s="9" t="s">
        <v>27788</v>
      </c>
      <c r="D19855" s="9" t="s">
        <v>27824</v>
      </c>
      <c r="E19855" s="10">
        <v>5037784</v>
      </c>
      <c r="F19855" s="4" t="str">
        <f>IF(B19855=B19854,"",B19855)</f>
        <v/>
      </c>
    </row>
    <row r="19856" spans="1:6" ht="15.75" customHeight="1">
      <c r="A19856" s="16" t="s">
        <v>29310</v>
      </c>
      <c r="B19856" s="15" t="s">
        <v>29310</v>
      </c>
      <c r="C19856" s="16" t="s">
        <v>27788</v>
      </c>
      <c r="D19856" s="16" t="s">
        <v>27824</v>
      </c>
      <c r="E19856" s="2">
        <v>5037649</v>
      </c>
      <c r="F19856" s="4" t="str">
        <f>IF(B19856=B19855,"",B19856)</f>
        <v>Minneapolis</v>
      </c>
    </row>
    <row r="19857" spans="1:6" ht="15.75" customHeight="1">
      <c r="A19857" s="8" t="str">
        <f ca="1">IFERROR(__xludf.DUMMYFUNCTION("GOOGLETRANSLATE(B44176,""en"",""pt"")"),"Minneapolis")</f>
        <v>Minneapolis</v>
      </c>
      <c r="B19857" s="9" t="s">
        <v>29310</v>
      </c>
      <c r="C19857" s="9" t="s">
        <v>27788</v>
      </c>
      <c r="D19857" s="9" t="s">
        <v>27824</v>
      </c>
      <c r="E19857" s="10">
        <v>5037649</v>
      </c>
      <c r="F19857" s="4" t="str">
        <f>IF(B19857=B19856,"",B19857)</f>
        <v/>
      </c>
    </row>
    <row r="19858" spans="1:6" ht="15.75" customHeight="1">
      <c r="A19858" s="15" t="s">
        <v>19502</v>
      </c>
      <c r="B19858" s="15" t="s">
        <v>19502</v>
      </c>
      <c r="C19858" s="15" t="s">
        <v>19294</v>
      </c>
      <c r="D19858" s="15" t="s">
        <v>19259</v>
      </c>
      <c r="E19858" s="2">
        <v>2330100</v>
      </c>
      <c r="F19858" s="4" t="str">
        <f>IF(B19858=B19857,"",B19858)</f>
        <v>Minna</v>
      </c>
    </row>
    <row r="19859" spans="1:6" ht="15.75" customHeight="1">
      <c r="A19859" s="8" t="str">
        <f ca="1">IFERROR(__xludf.DUMMYFUNCTION("GOOGLETRANSLATE(B37680,""en"",""pt"")"),"Minna")</f>
        <v>Minna</v>
      </c>
      <c r="B19859" s="9" t="s">
        <v>19502</v>
      </c>
      <c r="C19859" s="9" t="s">
        <v>19294</v>
      </c>
      <c r="D19859" s="9" t="s">
        <v>19259</v>
      </c>
      <c r="E19859" s="10">
        <v>2330100</v>
      </c>
      <c r="F19859" s="4" t="str">
        <f>IF(B19859=B19858,"",B19859)</f>
        <v/>
      </c>
    </row>
    <row r="19860" spans="1:6" ht="15.75" customHeight="1">
      <c r="A19860" s="8" t="str">
        <f ca="1">IFERROR(__xludf.DUMMYFUNCTION("GOOGLETRANSLATE(B32768,""en"",""pt"")"),"Mīnjūr")</f>
        <v>Mīnjūr</v>
      </c>
      <c r="B19860" s="11" t="s">
        <v>33383</v>
      </c>
      <c r="C19860" s="11" t="s">
        <v>10178</v>
      </c>
      <c r="D19860" s="11" t="s">
        <v>10196</v>
      </c>
      <c r="E19860" s="10">
        <v>1263034</v>
      </c>
      <c r="F19860" s="4" t="str">
        <f>IF(B19860=B19859,"",B19860)</f>
        <v>Mīnjūr</v>
      </c>
    </row>
    <row r="19861" spans="1:6" ht="15.75" customHeight="1">
      <c r="A19861" s="15" t="s">
        <v>4949</v>
      </c>
      <c r="B19861" s="15" t="s">
        <v>4949</v>
      </c>
      <c r="C19861" s="15" t="s">
        <v>4487</v>
      </c>
      <c r="D19861" s="15" t="s">
        <v>4518</v>
      </c>
      <c r="E19861" s="2">
        <v>2035754</v>
      </c>
      <c r="F19861" s="4" t="str">
        <f>IF(B19861=B19860,"",B19861)</f>
        <v>Mingyue</v>
      </c>
    </row>
    <row r="19862" spans="1:6" ht="15.75" customHeight="1">
      <c r="A19862" s="8" t="str">
        <f ca="1">IFERROR(__xludf.DUMMYFUNCTION("GOOGLETRANSLATE(B26718,""en"",""pt"")"),"Mingyue")</f>
        <v>Mingyue</v>
      </c>
      <c r="B19862" s="11" t="s">
        <v>4949</v>
      </c>
      <c r="C19862" s="11" t="s">
        <v>4487</v>
      </c>
      <c r="D19862" s="11" t="s">
        <v>4518</v>
      </c>
      <c r="E19862" s="10">
        <v>2035754</v>
      </c>
      <c r="F19862" s="4" t="str">
        <f>IF(B19862=B19861,"",B19862)</f>
        <v/>
      </c>
    </row>
    <row r="19863" spans="1:6" ht="15.75" customHeight="1">
      <c r="A19863" s="15" t="s">
        <v>4948</v>
      </c>
      <c r="B19863" s="15" t="s">
        <v>4948</v>
      </c>
      <c r="C19863" s="15" t="s">
        <v>4487</v>
      </c>
      <c r="D19863" s="15" t="s">
        <v>4503</v>
      </c>
      <c r="E19863" s="2">
        <v>1800498</v>
      </c>
      <c r="F19863" s="4" t="str">
        <f>IF(B19863=B19862,"",B19863)</f>
        <v>Mingshui</v>
      </c>
    </row>
    <row r="19864" spans="1:6" ht="15.75" customHeight="1">
      <c r="A19864" s="15" t="s">
        <v>4948</v>
      </c>
      <c r="B19864" s="15" t="s">
        <v>4948</v>
      </c>
      <c r="C19864" s="15" t="s">
        <v>4487</v>
      </c>
      <c r="D19864" s="15" t="s">
        <v>4488</v>
      </c>
      <c r="E19864" s="2">
        <v>2035758</v>
      </c>
      <c r="F19864" s="4" t="str">
        <f>IF(B19864=B19863,"",B19864)</f>
        <v/>
      </c>
    </row>
    <row r="19865" spans="1:6" ht="15.75" customHeight="1">
      <c r="A19865" s="8" t="str">
        <f ca="1">IFERROR(__xludf.DUMMYFUNCTION("GOOGLETRANSLATE(B26351,""en"",""pt"")"),"Mingshui")</f>
        <v>Mingshui</v>
      </c>
      <c r="B19865" s="9" t="s">
        <v>4948</v>
      </c>
      <c r="C19865" s="9" t="s">
        <v>4487</v>
      </c>
      <c r="D19865" s="9" t="s">
        <v>4503</v>
      </c>
      <c r="E19865" s="10">
        <v>1800498</v>
      </c>
      <c r="F19865" s="4" t="str">
        <f>IF(B19865=B19864,"",B19865)</f>
        <v/>
      </c>
    </row>
    <row r="19866" spans="1:6" ht="15.75" customHeight="1">
      <c r="A19866" s="8" t="str">
        <f ca="1">IFERROR(__xludf.DUMMYFUNCTION("GOOGLETRANSLATE(B26719,""en"",""pt"")"),"Mingshui")</f>
        <v>Mingshui</v>
      </c>
      <c r="B19866" s="11" t="s">
        <v>4948</v>
      </c>
      <c r="C19866" s="11" t="s">
        <v>4487</v>
      </c>
      <c r="D19866" s="11" t="s">
        <v>4488</v>
      </c>
      <c r="E19866" s="10">
        <v>2035758</v>
      </c>
      <c r="F19866" s="4" t="str">
        <f>IF(B19866=B19865,"",B19866)</f>
        <v/>
      </c>
    </row>
    <row r="19867" spans="1:6" ht="15.75" customHeight="1">
      <c r="A19867" s="15" t="s">
        <v>20108</v>
      </c>
      <c r="B19867" s="15" t="s">
        <v>20108</v>
      </c>
      <c r="C19867" s="15" t="s">
        <v>19808</v>
      </c>
      <c r="D19867" s="15" t="s">
        <v>19811</v>
      </c>
      <c r="E19867" s="2">
        <v>1170395</v>
      </c>
      <c r="F19867" s="4" t="str">
        <f>IF(B19867=B19866,"",B19867)</f>
        <v>Mingora</v>
      </c>
    </row>
    <row r="19868" spans="1:6" ht="15.75" customHeight="1">
      <c r="A19868" s="8" t="str">
        <f ca="1">IFERROR(__xludf.DUMMYFUNCTION("GOOGLETRANSLATE(B38983,""en"",""pt"")"),"Mingora")</f>
        <v>Mingora</v>
      </c>
      <c r="B19868" s="11" t="s">
        <v>20108</v>
      </c>
      <c r="C19868" s="11" t="s">
        <v>19808</v>
      </c>
      <c r="D19868" s="11" t="s">
        <v>19811</v>
      </c>
      <c r="E19868" s="10">
        <v>1170395</v>
      </c>
      <c r="F19868" s="4" t="str">
        <f>IF(B19868=B19867,"",B19868)</f>
        <v/>
      </c>
    </row>
    <row r="19869" spans="1:6" ht="15.75" customHeight="1">
      <c r="A19869" s="16" t="s">
        <v>20906</v>
      </c>
      <c r="B19869" s="15" t="s">
        <v>20906</v>
      </c>
      <c r="C19869" s="16" t="s">
        <v>20598</v>
      </c>
      <c r="D19869" s="16" t="s">
        <v>20622</v>
      </c>
      <c r="E19869" s="2">
        <v>1699572</v>
      </c>
      <c r="F19869" s="4" t="str">
        <f>IF(B19869=B19868,"",B19869)</f>
        <v>Minglanilla</v>
      </c>
    </row>
    <row r="19870" spans="1:6" ht="15.75" customHeight="1">
      <c r="A19870" s="8" t="str">
        <f ca="1">IFERROR(__xludf.DUMMYFUNCTION("GOOGLETRANSLATE(B38602,""en"",""pt"")"),"Minglanilla")</f>
        <v>Minglanilla</v>
      </c>
      <c r="B19870" s="11" t="s">
        <v>20906</v>
      </c>
      <c r="C19870" s="11" t="s">
        <v>20598</v>
      </c>
      <c r="D19870" s="11" t="s">
        <v>20622</v>
      </c>
      <c r="E19870" s="10">
        <v>1699572</v>
      </c>
      <c r="F19870" s="4" t="str">
        <f>IF(B19870=B19869,"",B19870)</f>
        <v/>
      </c>
    </row>
    <row r="19871" spans="1:6" ht="15.75" customHeight="1">
      <c r="A19871" s="16" t="s">
        <v>4947</v>
      </c>
      <c r="B19871" s="15" t="s">
        <v>4947</v>
      </c>
      <c r="C19871" s="16" t="s">
        <v>4487</v>
      </c>
      <c r="D19871" s="16" t="s">
        <v>4501</v>
      </c>
      <c r="E19871" s="2">
        <v>1800519</v>
      </c>
      <c r="F19871" s="4" t="str">
        <f>IF(B19871=B19870,"",B19871)</f>
        <v>Mingguang</v>
      </c>
    </row>
    <row r="19872" spans="1:6" ht="15.75" customHeight="1">
      <c r="A19872" s="8" t="str">
        <f ca="1">IFERROR(__xludf.DUMMYFUNCTION("GOOGLETRANSLATE(B26352,""en"",""pt"")"),"Mingguang")</f>
        <v>Mingguang</v>
      </c>
      <c r="B19872" s="11" t="s">
        <v>4947</v>
      </c>
      <c r="C19872" s="11" t="s">
        <v>4487</v>
      </c>
      <c r="D19872" s="11" t="s">
        <v>4501</v>
      </c>
      <c r="E19872" s="10">
        <v>1800519</v>
      </c>
      <c r="F19872" s="4" t="str">
        <f>IF(B19872=B19871,"",B19872)</f>
        <v/>
      </c>
    </row>
    <row r="19873" spans="1:6" ht="15.75" customHeight="1">
      <c r="A19873" s="16" t="s">
        <v>4946</v>
      </c>
      <c r="B19873" s="15" t="s">
        <v>4946</v>
      </c>
      <c r="C19873" s="16" t="s">
        <v>4487</v>
      </c>
      <c r="D19873" s="16" t="s">
        <v>4511</v>
      </c>
      <c r="E19873" s="2">
        <v>1800521</v>
      </c>
      <c r="F19873" s="4" t="str">
        <f>IF(B19873=B19872,"",B19873)</f>
        <v>Minggang</v>
      </c>
    </row>
    <row r="19874" spans="1:6" ht="15.75" customHeight="1">
      <c r="A19874" s="8" t="str">
        <f ca="1">IFERROR(__xludf.DUMMYFUNCTION("GOOGLETRANSLATE(B26353,""en"",""pt"")"),"Minggang")</f>
        <v>Minggang</v>
      </c>
      <c r="B19874" s="11" t="s">
        <v>4946</v>
      </c>
      <c r="C19874" s="11" t="s">
        <v>4487</v>
      </c>
      <c r="D19874" s="11" t="s">
        <v>4511</v>
      </c>
      <c r="E19874" s="10">
        <v>1800521</v>
      </c>
      <c r="F19874" s="4" t="str">
        <f>IF(B19874=B19873,"",B19874)</f>
        <v/>
      </c>
    </row>
    <row r="19875" spans="1:6" ht="15.75" customHeight="1">
      <c r="A19875" s="16" t="s">
        <v>1226</v>
      </c>
      <c r="B19875" s="15" t="s">
        <v>1226</v>
      </c>
      <c r="C19875" s="16" t="s">
        <v>1170</v>
      </c>
      <c r="D19875" s="16" t="s">
        <v>1227</v>
      </c>
      <c r="E19875" s="2">
        <v>585514</v>
      </c>
      <c r="F19875" s="4" t="str">
        <f>IF(B19875=B19874,"",B19875)</f>
        <v>Mingelchaur</v>
      </c>
    </row>
    <row r="19876" spans="1:6" ht="15.75" customHeight="1">
      <c r="A19876" s="8" t="str">
        <f ca="1">IFERROR(__xludf.DUMMYFUNCTION("GOOGLETRANSLATE(B23650,""en"",""pt"")"),"Mingelchaur")</f>
        <v>Mingelchaur</v>
      </c>
      <c r="B19876" s="11" t="s">
        <v>1226</v>
      </c>
      <c r="C19876" s="11" t="s">
        <v>1170</v>
      </c>
      <c r="D19876" s="11" t="s">
        <v>31242</v>
      </c>
      <c r="E19876" s="10">
        <v>585514</v>
      </c>
      <c r="F19876" s="4" t="str">
        <f>IF(B19876=B19875,"",B19876)</f>
        <v/>
      </c>
    </row>
    <row r="19877" spans="1:6" ht="15.75" customHeight="1">
      <c r="A19877" s="16" t="s">
        <v>22747</v>
      </c>
      <c r="B19877" s="15" t="s">
        <v>22747</v>
      </c>
      <c r="C19877" s="16" t="s">
        <v>22070</v>
      </c>
      <c r="D19877" s="16" t="s">
        <v>22117</v>
      </c>
      <c r="E19877" s="2">
        <v>526480</v>
      </c>
      <c r="F19877" s="4" t="str">
        <f>IF(B19877=B19876,"",B19877)</f>
        <v>Mineralnye Vody</v>
      </c>
    </row>
    <row r="19878" spans="1:6" ht="15.75" customHeight="1">
      <c r="A19878" s="8" t="str">
        <f ca="1">IFERROR(__xludf.DUMMYFUNCTION("GOOGLETRANSLATE(B40316,""en"",""pt"")"),"Mineralnye Vody")</f>
        <v>Mineralnye Vody</v>
      </c>
      <c r="B19878" s="11" t="s">
        <v>22747</v>
      </c>
      <c r="C19878" s="11" t="s">
        <v>22070</v>
      </c>
      <c r="D19878" s="11" t="s">
        <v>22117</v>
      </c>
      <c r="E19878" s="10">
        <v>526480</v>
      </c>
      <c r="F19878" s="4" t="str">
        <f>IF(B19878=B19877,"",B19878)</f>
        <v/>
      </c>
    </row>
    <row r="19879" spans="1:6" ht="15.75" customHeight="1">
      <c r="A19879" s="15" t="s">
        <v>29309</v>
      </c>
      <c r="B19879" s="15" t="s">
        <v>29309</v>
      </c>
      <c r="C19879" s="15" t="s">
        <v>27788</v>
      </c>
      <c r="D19879" s="15" t="s">
        <v>27819</v>
      </c>
      <c r="E19879" s="2">
        <v>5127134</v>
      </c>
      <c r="F19879" s="4" t="str">
        <f>IF(B19879=B19878,"",B19879)</f>
        <v>Mineola</v>
      </c>
    </row>
    <row r="19880" spans="1:6" ht="15.75" customHeight="1">
      <c r="A19880" s="8" t="str">
        <f ca="1">IFERROR(__xludf.DUMMYFUNCTION("GOOGLETRANSLATE(B44412,""en"",""pt"")"),"Mineola")</f>
        <v>Mineola</v>
      </c>
      <c r="B19880" s="9" t="s">
        <v>29309</v>
      </c>
      <c r="C19880" s="9" t="s">
        <v>27788</v>
      </c>
      <c r="D19880" s="9" t="s">
        <v>27819</v>
      </c>
      <c r="E19880" s="10">
        <v>5127134</v>
      </c>
      <c r="F19880" s="4" t="str">
        <f>IF(B19880=B19879,"",B19880)</f>
        <v/>
      </c>
    </row>
    <row r="19881" spans="1:6" ht="15.75" customHeight="1">
      <c r="A19881" s="15" t="s">
        <v>2896</v>
      </c>
      <c r="B19881" s="15" t="s">
        <v>2896</v>
      </c>
      <c r="C19881" s="15" t="s">
        <v>1905</v>
      </c>
      <c r="D19881" s="15" t="s">
        <v>1969</v>
      </c>
      <c r="E19881" s="2">
        <v>3457147</v>
      </c>
      <c r="F19881" s="4" t="str">
        <f>IF(B19881=B19880,"",B19881)</f>
        <v>Mineiros</v>
      </c>
    </row>
    <row r="19882" spans="1:6" ht="15.75" customHeight="1">
      <c r="A19882" s="8" t="str">
        <f ca="1">IFERROR(__xludf.DUMMYFUNCTION("GOOGLETRANSLATE(B24815,""en"",""pt"")"),"Mineiros")</f>
        <v>Mineiros</v>
      </c>
      <c r="B19882" s="11" t="s">
        <v>2896</v>
      </c>
      <c r="C19882" s="11" t="s">
        <v>1905</v>
      </c>
      <c r="D19882" s="11" t="s">
        <v>31436</v>
      </c>
      <c r="E19882" s="10">
        <v>3457147</v>
      </c>
      <c r="F19882" s="4" t="str">
        <f>IF(B19882=B19881,"",B19882)</f>
        <v/>
      </c>
    </row>
    <row r="19883" spans="1:6" ht="15.75" customHeight="1">
      <c r="A19883" s="15" t="s">
        <v>8855</v>
      </c>
      <c r="B19883" s="15" t="s">
        <v>8855</v>
      </c>
      <c r="C19883" s="15" t="s">
        <v>8028</v>
      </c>
      <c r="D19883" s="15" t="s">
        <v>8029</v>
      </c>
      <c r="E19883" s="2">
        <v>2871039</v>
      </c>
      <c r="F19883" s="4" t="str">
        <f>IF(B19883=B19882,"",B19883)</f>
        <v>Minden</v>
      </c>
    </row>
    <row r="19884" spans="1:6" ht="15.75" customHeight="1">
      <c r="A19884" s="8" t="str">
        <f ca="1">IFERROR(__xludf.DUMMYFUNCTION("GOOGLETRANSLATE(B27757,""en"",""pt"")"),"Minden")</f>
        <v>Minden</v>
      </c>
      <c r="B19884" s="11" t="s">
        <v>8855</v>
      </c>
      <c r="C19884" s="11" t="s">
        <v>8028</v>
      </c>
      <c r="D19884" s="11" t="s">
        <v>8029</v>
      </c>
      <c r="E19884" s="10">
        <v>2871039</v>
      </c>
      <c r="F19884" s="4" t="str">
        <f>IF(B19884=B19883,"",B19884)</f>
        <v/>
      </c>
    </row>
    <row r="19885" spans="1:6" ht="15.75" customHeight="1">
      <c r="A19885" s="15" t="s">
        <v>4258</v>
      </c>
      <c r="B19885" s="15" t="s">
        <v>4258</v>
      </c>
      <c r="C19885" s="15" t="s">
        <v>4256</v>
      </c>
      <c r="D19885" s="15" t="s">
        <v>3374</v>
      </c>
      <c r="E19885" s="2">
        <v>3374462</v>
      </c>
      <c r="F19885" s="4" t="str">
        <f>IF(B19885=B19884,"",B19885)</f>
        <v>Mindelo</v>
      </c>
    </row>
    <row r="19886" spans="1:6" ht="15.75" customHeight="1">
      <c r="A19886" s="8" t="str">
        <f ca="1">IFERROR(__xludf.DUMMYFUNCTION("GOOGLETRANSLATE(B27231,""en"",""pt"")"),"Mindelo")</f>
        <v>Mindelo</v>
      </c>
      <c r="B19886" s="11" t="s">
        <v>4258</v>
      </c>
      <c r="C19886" s="11" t="s">
        <v>4256</v>
      </c>
      <c r="D19886" s="11" t="s">
        <v>31467</v>
      </c>
      <c r="E19886" s="10">
        <v>3374462</v>
      </c>
      <c r="F19886" s="4" t="str">
        <f>IF(B19886=B19885,"",B19886)</f>
        <v/>
      </c>
    </row>
    <row r="19887" spans="1:6" ht="15.75" customHeight="1">
      <c r="A19887" s="8" t="str">
        <f ca="1">IFERROR(__xludf.DUMMYFUNCTION("GOOGLETRANSLATE(B38984,""en"",""pt"")"),"Minchinābād")</f>
        <v>Minchinābād</v>
      </c>
      <c r="B19887" s="9" t="s">
        <v>34953</v>
      </c>
      <c r="C19887" s="9" t="s">
        <v>19808</v>
      </c>
      <c r="D19887" s="9" t="s">
        <v>10184</v>
      </c>
      <c r="E19887" s="10">
        <v>1170398</v>
      </c>
      <c r="F19887" s="4" t="str">
        <f>IF(B19887=B19886,"",B19887)</f>
        <v>Minchinābād</v>
      </c>
    </row>
    <row r="19888" spans="1:6" ht="15.75" customHeight="1">
      <c r="A19888" s="16" t="s">
        <v>20106</v>
      </c>
      <c r="B19888" s="15" t="s">
        <v>20107</v>
      </c>
      <c r="C19888" s="16" t="s">
        <v>19808</v>
      </c>
      <c r="D19888" s="16" t="s">
        <v>10184</v>
      </c>
      <c r="E19888" s="2">
        <v>1170398</v>
      </c>
      <c r="F19888" s="4" t="str">
        <f>IF(B19888=B19887,"",B19888)</f>
        <v>MinchinÄbÄd</v>
      </c>
    </row>
    <row r="19889" spans="1:6" ht="15.75" customHeight="1">
      <c r="A19889" s="15" t="s">
        <v>18731</v>
      </c>
      <c r="B19889" s="15" t="s">
        <v>18731</v>
      </c>
      <c r="C19889" s="15" t="s">
        <v>18696</v>
      </c>
      <c r="D19889" s="15" t="s">
        <v>18702</v>
      </c>
      <c r="E19889" s="2">
        <v>1309289</v>
      </c>
      <c r="F19889" s="4" t="str">
        <f>IF(B19889=B19888,"",B19889)</f>
        <v>Minbu</v>
      </c>
    </row>
    <row r="19890" spans="1:6" ht="15.75" customHeight="1">
      <c r="A19890" s="8" t="str">
        <f ca="1">IFERROR(__xludf.DUMMYFUNCTION("GOOGLETRANSLATE(B36736,""en"",""pt"")"),"Minbu")</f>
        <v>Minbu</v>
      </c>
      <c r="B19890" s="9" t="s">
        <v>18731</v>
      </c>
      <c r="C19890" s="9" t="s">
        <v>18696</v>
      </c>
      <c r="D19890" s="9" t="s">
        <v>18702</v>
      </c>
      <c r="E19890" s="10">
        <v>1309289</v>
      </c>
      <c r="F19890" s="4" t="str">
        <f>IF(B19890=B19889,"",B19890)</f>
        <v/>
      </c>
    </row>
    <row r="19891" spans="1:6" ht="15.75" customHeight="1">
      <c r="A19891" s="15" t="s">
        <v>16222</v>
      </c>
      <c r="B19891" s="15" t="s">
        <v>16222</v>
      </c>
      <c r="C19891" s="15" t="s">
        <v>15704</v>
      </c>
      <c r="D19891" s="15" t="s">
        <v>15902</v>
      </c>
      <c r="E19891" s="2">
        <v>1852383</v>
      </c>
      <c r="F19891" s="4" t="str">
        <f>IF(B19891=B19890,"",B19891)</f>
        <v>Minato</v>
      </c>
    </row>
    <row r="19892" spans="1:6" ht="15.75" customHeight="1">
      <c r="A19892" s="8" t="str">
        <f ca="1">IFERROR(__xludf.DUMMYFUNCTION("GOOGLETRANSLATE(B35300,""en"",""pt"")"),"Minato")</f>
        <v>Minato</v>
      </c>
      <c r="B19892" s="9" t="s">
        <v>16222</v>
      </c>
      <c r="C19892" s="9" t="s">
        <v>15704</v>
      </c>
      <c r="D19892" s="9" t="s">
        <v>15902</v>
      </c>
      <c r="E19892" s="10">
        <v>1852383</v>
      </c>
      <c r="F19892" s="4" t="str">
        <f>IF(B19892=B19891,"",B19892)</f>
        <v/>
      </c>
    </row>
    <row r="19893" spans="1:6" ht="15.75" customHeight="1">
      <c r="A19893" s="16" t="s">
        <v>18092</v>
      </c>
      <c r="B19893" s="15" t="s">
        <v>18092</v>
      </c>
      <c r="C19893" s="16" t="s">
        <v>17707</v>
      </c>
      <c r="D19893" s="16" t="s">
        <v>17708</v>
      </c>
      <c r="E19893" s="2">
        <v>3523183</v>
      </c>
      <c r="F19893" s="4" t="str">
        <f>IF(B19893=B19892,"",B19893)</f>
        <v>Minatitlan</v>
      </c>
    </row>
    <row r="19894" spans="1:6" ht="15.75" customHeight="1">
      <c r="A19894" s="8" t="str">
        <f ca="1">IFERROR(__xludf.DUMMYFUNCTION("GOOGLETRANSLATE(B36979,""en"",""pt"")"),"Minatitlan")</f>
        <v>Minatitlan</v>
      </c>
      <c r="B19894" s="9" t="s">
        <v>18092</v>
      </c>
      <c r="C19894" s="9" t="s">
        <v>17707</v>
      </c>
      <c r="D19894" s="9" t="s">
        <v>17708</v>
      </c>
      <c r="E19894" s="10">
        <v>3523183</v>
      </c>
      <c r="F19894" s="4" t="str">
        <f>IF(B19894=B19893,"",B19894)</f>
        <v/>
      </c>
    </row>
    <row r="19895" spans="1:6" ht="15.75" customHeight="1">
      <c r="A19895" s="16" t="s">
        <v>5877</v>
      </c>
      <c r="B19895" s="15" t="s">
        <v>5877</v>
      </c>
      <c r="C19895" s="16" t="s">
        <v>5764</v>
      </c>
      <c r="D19895" s="16" t="s">
        <v>5824</v>
      </c>
      <c r="E19895" s="2">
        <v>3546882</v>
      </c>
      <c r="F19895" s="4" t="str">
        <f>IF(B19895=B19894,"",B19895)</f>
        <v>Minas de Matahambre</v>
      </c>
    </row>
    <row r="19896" spans="1:6" ht="15.75" customHeight="1">
      <c r="A19896" s="8" t="str">
        <f ca="1">IFERROR(__xludf.DUMMYFUNCTION("GOOGLETRANSLATE(B27145,""en"",""pt"")"),"Minas de Matahambre")</f>
        <v>Minas de Matahambre</v>
      </c>
      <c r="B19896" s="9" t="s">
        <v>5877</v>
      </c>
      <c r="C19896" s="9" t="s">
        <v>5764</v>
      </c>
      <c r="D19896" s="9" t="s">
        <v>31903</v>
      </c>
      <c r="E19896" s="10">
        <v>3546882</v>
      </c>
      <c r="F19896" s="4" t="str">
        <f>IF(B19896=B19895,"",B19896)</f>
        <v/>
      </c>
    </row>
    <row r="19897" spans="1:6" ht="15.75" customHeight="1">
      <c r="A19897" s="16" t="s">
        <v>20543</v>
      </c>
      <c r="B19897" s="15" t="s">
        <v>20543</v>
      </c>
      <c r="C19897" s="16" t="s">
        <v>20470</v>
      </c>
      <c r="D19897" s="16" t="s">
        <v>20499</v>
      </c>
      <c r="E19897" s="2">
        <v>3935288</v>
      </c>
      <c r="F19897" s="4" t="str">
        <f>IF(B19897=B19896,"",B19897)</f>
        <v>Minas de Marcona</v>
      </c>
    </row>
    <row r="19898" spans="1:6" ht="15.75" customHeight="1">
      <c r="A19898" s="8" t="str">
        <f ca="1">IFERROR(__xludf.DUMMYFUNCTION("GOOGLETRANSLATE(B38374,""en"",""pt"")"),"Minas de Marcona")</f>
        <v>Minas de Marcona</v>
      </c>
      <c r="B19898" s="9" t="s">
        <v>20543</v>
      </c>
      <c r="C19898" s="9" t="s">
        <v>20470</v>
      </c>
      <c r="D19898" s="9" t="s">
        <v>20499</v>
      </c>
      <c r="E19898" s="10">
        <v>3935288</v>
      </c>
      <c r="F19898" s="4" t="str">
        <f>IF(B19898=B19897,"",B19898)</f>
        <v/>
      </c>
    </row>
    <row r="19899" spans="1:6" ht="15.75" customHeight="1">
      <c r="A19899" s="15" t="s">
        <v>5876</v>
      </c>
      <c r="B19899" s="15" t="s">
        <v>5876</v>
      </c>
      <c r="C19899" s="15" t="s">
        <v>5764</v>
      </c>
      <c r="D19899" s="15" t="s">
        <v>5806</v>
      </c>
      <c r="E19899" s="2">
        <v>3546894</v>
      </c>
      <c r="F19899" s="4" t="str">
        <f>IF(B19899=B19898,"",B19899)</f>
        <v>Minas</v>
      </c>
    </row>
    <row r="19900" spans="1:6" ht="15.75" customHeight="1">
      <c r="A19900" s="15" t="s">
        <v>5876</v>
      </c>
      <c r="B19900" s="15" t="s">
        <v>5876</v>
      </c>
      <c r="C19900" s="15" t="s">
        <v>30472</v>
      </c>
      <c r="D19900" s="15" t="s">
        <v>30485</v>
      </c>
      <c r="E19900" s="2">
        <v>3441665</v>
      </c>
      <c r="F19900" s="4" t="str">
        <f>IF(B19900=B19899,"",B19900)</f>
        <v/>
      </c>
    </row>
    <row r="19901" spans="1:6" ht="15.75" customHeight="1">
      <c r="A19901" s="8" t="str">
        <f ca="1">IFERROR(__xludf.DUMMYFUNCTION("GOOGLETRANSLATE(B27146,""en"",""pt"")"),"Minas")</f>
        <v>Minas</v>
      </c>
      <c r="B19901" s="11" t="s">
        <v>5876</v>
      </c>
      <c r="C19901" s="11" t="s">
        <v>5764</v>
      </c>
      <c r="D19901" s="11" t="s">
        <v>31904</v>
      </c>
      <c r="E19901" s="10">
        <v>3546894</v>
      </c>
      <c r="F19901" s="4" t="str">
        <f>IF(B19901=B19900,"",B19901)</f>
        <v/>
      </c>
    </row>
    <row r="19902" spans="1:6" ht="15.75" customHeight="1">
      <c r="A19902" s="8" t="str">
        <f ca="1">IFERROR(__xludf.DUMMYFUNCTION("GOOGLETRANSLATE(B45485,""en"",""pt"")"),"Minas")</f>
        <v>Minas</v>
      </c>
      <c r="B19902" s="9" t="s">
        <v>5876</v>
      </c>
      <c r="C19902" s="9" t="s">
        <v>30472</v>
      </c>
      <c r="D19902" s="9" t="s">
        <v>30485</v>
      </c>
      <c r="E19902" s="10">
        <v>3441665</v>
      </c>
      <c r="F19902" s="4" t="str">
        <f>IF(B19902=B19901,"",B19902)</f>
        <v/>
      </c>
    </row>
    <row r="19903" spans="1:6" ht="15.75" customHeight="1">
      <c r="A19903" s="16" t="s">
        <v>16221</v>
      </c>
      <c r="B19903" s="15" t="s">
        <v>16221</v>
      </c>
      <c r="C19903" s="16" t="s">
        <v>15704</v>
      </c>
      <c r="D19903" s="16" t="s">
        <v>15755</v>
      </c>
      <c r="E19903" s="2">
        <v>1857144</v>
      </c>
      <c r="F19903" s="4" t="str">
        <f>IF(B19903=B19902,"",B19903)</f>
        <v>Minamirinkan</v>
      </c>
    </row>
    <row r="19904" spans="1:6" ht="15.75" customHeight="1">
      <c r="A19904" s="8" t="str">
        <f ca="1">IFERROR(__xludf.DUMMYFUNCTION("GOOGLETRANSLATE(B35433,""en"",""pt"")"),"Minamirinkan")</f>
        <v>Minamirinkan</v>
      </c>
      <c r="B19904" s="9" t="s">
        <v>16221</v>
      </c>
      <c r="C19904" s="9" t="s">
        <v>15704</v>
      </c>
      <c r="D19904" s="9" t="s">
        <v>15755</v>
      </c>
      <c r="E19904" s="10">
        <v>1857144</v>
      </c>
      <c r="F19904" s="4" t="str">
        <f>IF(B19904=B19903,"",B19904)</f>
        <v/>
      </c>
    </row>
    <row r="19905" spans="1:6" ht="15.75" customHeight="1">
      <c r="A19905" s="16" t="s">
        <v>16220</v>
      </c>
      <c r="B19905" s="15" t="s">
        <v>16220</v>
      </c>
      <c r="C19905" s="16" t="s">
        <v>15704</v>
      </c>
      <c r="D19905" s="16" t="s">
        <v>15812</v>
      </c>
      <c r="E19905" s="2">
        <v>1857208</v>
      </c>
      <c r="F19905" s="4" t="str">
        <f>IF(B19905=B19904,"",B19905)</f>
        <v>Minamata</v>
      </c>
    </row>
    <row r="19906" spans="1:6" ht="15.75" customHeight="1">
      <c r="A19906" s="8" t="str">
        <f ca="1">IFERROR(__xludf.DUMMYFUNCTION("GOOGLETRANSLATE(B35434,""en"",""pt"")"),"Minamata")</f>
        <v>Minamata</v>
      </c>
      <c r="B19906" s="11" t="s">
        <v>16220</v>
      </c>
      <c r="C19906" s="11" t="s">
        <v>15704</v>
      </c>
      <c r="D19906" s="11" t="s">
        <v>15812</v>
      </c>
      <c r="E19906" s="10">
        <v>1857208</v>
      </c>
      <c r="F19906" s="4" t="str">
        <f>IF(B19906=B19905,"",B19906)</f>
        <v/>
      </c>
    </row>
    <row r="19907" spans="1:6" ht="15.75" customHeight="1">
      <c r="A19907" s="8" t="str">
        <f ca="1">IFERROR(__xludf.DUMMYFUNCTION("GOOGLETRANSLATE(B35435,""en"",""pt"")"),"Minakuchichō-Matoba")</f>
        <v>Minakuchichō-Matoba</v>
      </c>
      <c r="B19907" s="9" t="s">
        <v>34348</v>
      </c>
      <c r="C19907" s="9" t="s">
        <v>15704</v>
      </c>
      <c r="D19907" s="9" t="s">
        <v>15779</v>
      </c>
      <c r="E19907" s="10">
        <v>1857209</v>
      </c>
      <c r="F19907" s="4" t="str">
        <f>IF(B19907=B19906,"",B19907)</f>
        <v>Minakuchichō-matoba</v>
      </c>
    </row>
    <row r="19908" spans="1:6" ht="15.75" customHeight="1">
      <c r="A19908" s="16" t="s">
        <v>16218</v>
      </c>
      <c r="B19908" s="15" t="s">
        <v>16219</v>
      </c>
      <c r="C19908" s="16" t="s">
        <v>15704</v>
      </c>
      <c r="D19908" s="16" t="s">
        <v>15779</v>
      </c>
      <c r="E19908" s="2">
        <v>1857209</v>
      </c>
      <c r="F19908" s="4" t="str">
        <f>IF(B19908=B19907,"",B19908)</f>
        <v>MinakuchichÅ-matoba</v>
      </c>
    </row>
    <row r="19909" spans="1:6" ht="15.75" customHeight="1">
      <c r="A19909" s="8" t="str">
        <f ca="1">IFERROR(__xludf.DUMMYFUNCTION("GOOGLETRANSLATE(B34411,""en"",""pt"")"),"Mīnāb")</f>
        <v>Mīnāb</v>
      </c>
      <c r="B19909" s="9" t="s">
        <v>34173</v>
      </c>
      <c r="C19909" s="9" t="s">
        <v>14240</v>
      </c>
      <c r="D19909" s="9" t="s">
        <v>14320</v>
      </c>
      <c r="E19909" s="10">
        <v>123941</v>
      </c>
      <c r="F19909" s="4" t="str">
        <f>IF(B19909=B19908,"",B19909)</f>
        <v>Mīnāb</v>
      </c>
    </row>
    <row r="19910" spans="1:6" ht="15.75" customHeight="1">
      <c r="A19910" s="15" t="s">
        <v>6685</v>
      </c>
      <c r="B19910" s="15" t="s">
        <v>6686</v>
      </c>
      <c r="C19910" s="15" t="s">
        <v>6495</v>
      </c>
      <c r="D19910" s="15" t="s">
        <v>6543</v>
      </c>
      <c r="E19910" s="2">
        <v>352354</v>
      </c>
      <c r="F19910" s="4" t="str">
        <f>IF(B19910=B19909,"",B19910)</f>
        <v>MinÅ«f</v>
      </c>
    </row>
    <row r="19911" spans="1:6" ht="15.75" customHeight="1">
      <c r="A19911" s="16" t="s">
        <v>26635</v>
      </c>
      <c r="B19911" s="15" t="s">
        <v>26635</v>
      </c>
      <c r="C19911" s="16" t="s">
        <v>26201</v>
      </c>
      <c r="D19911" s="16" t="s">
        <v>26211</v>
      </c>
      <c r="E19911" s="2">
        <v>741529</v>
      </c>
      <c r="F19911" s="4" t="str">
        <f>IF(B19911=B19910,"",B19911)</f>
        <v>Mimarsinan</v>
      </c>
    </row>
    <row r="19912" spans="1:6" ht="15.75" customHeight="1">
      <c r="A19912" s="8" t="str">
        <f ca="1">IFERROR(__xludf.DUMMYFUNCTION("GOOGLETRANSLATE(B42135,""en"",""pt"")"),"Mimarsinan")</f>
        <v>Mimarsinan</v>
      </c>
      <c r="B19912" s="11" t="s">
        <v>26635</v>
      </c>
      <c r="C19912" s="11" t="s">
        <v>26201</v>
      </c>
      <c r="D19912" s="11" t="s">
        <v>26211</v>
      </c>
      <c r="E19912" s="10">
        <v>741529</v>
      </c>
      <c r="F19912" s="4" t="str">
        <f>IF(B19912=B19911,"",B19912)</f>
        <v/>
      </c>
    </row>
    <row r="19913" spans="1:6" ht="15.75" customHeight="1">
      <c r="A19913" s="16" t="s">
        <v>29308</v>
      </c>
      <c r="B19913" s="15" t="s">
        <v>29308</v>
      </c>
      <c r="C19913" s="16" t="s">
        <v>27788</v>
      </c>
      <c r="D19913" s="16" t="s">
        <v>27820</v>
      </c>
      <c r="E19913" s="2">
        <v>5740900</v>
      </c>
      <c r="F19913" s="4" t="str">
        <f>IF(B19913=B19912,"",B19913)</f>
        <v>Milwaukie</v>
      </c>
    </row>
    <row r="19914" spans="1:6" ht="15.75" customHeight="1">
      <c r="A19914" s="8" t="str">
        <f ca="1">IFERROR(__xludf.DUMMYFUNCTION("GOOGLETRANSLATE(B45249,""en"",""pt"")"),"Milwaukie")</f>
        <v>Milwaukie</v>
      </c>
      <c r="B19914" s="11" t="s">
        <v>29308</v>
      </c>
      <c r="C19914" s="11" t="s">
        <v>27788</v>
      </c>
      <c r="D19914" s="11" t="s">
        <v>27820</v>
      </c>
      <c r="E19914" s="10">
        <v>5740900</v>
      </c>
      <c r="F19914" s="4" t="str">
        <f>IF(B19914=B19913,"",B19914)</f>
        <v/>
      </c>
    </row>
    <row r="19915" spans="1:6" ht="15.75" customHeight="1">
      <c r="A19915" s="16" t="s">
        <v>29307</v>
      </c>
      <c r="B19915" s="15" t="s">
        <v>29307</v>
      </c>
      <c r="C19915" s="16" t="s">
        <v>27788</v>
      </c>
      <c r="D19915" s="16" t="s">
        <v>27890</v>
      </c>
      <c r="E19915" s="2">
        <v>5263045</v>
      </c>
      <c r="F19915" s="4" t="str">
        <f>IF(B19915=B19914,"",B19915)</f>
        <v>Milwaukee</v>
      </c>
    </row>
    <row r="19916" spans="1:6" ht="15.75" customHeight="1">
      <c r="A19916" s="8" t="str">
        <f ca="1">IFERROR(__xludf.DUMMYFUNCTION("GOOGLETRANSLATE(B44660,""en"",""pt"")"),"Milwaukee")</f>
        <v>Milwaukee</v>
      </c>
      <c r="B19916" s="11" t="s">
        <v>29307</v>
      </c>
      <c r="C19916" s="11" t="s">
        <v>27788</v>
      </c>
      <c r="D19916" s="11" t="s">
        <v>27890</v>
      </c>
      <c r="E19916" s="10">
        <v>5263045</v>
      </c>
      <c r="F19916" s="4" t="str">
        <f>IF(B19916=B19915,"",B19916)</f>
        <v/>
      </c>
    </row>
    <row r="19917" spans="1:6" ht="15.75" customHeight="1">
      <c r="A19917" s="16" t="s">
        <v>27537</v>
      </c>
      <c r="B19917" s="15" t="s">
        <v>27537</v>
      </c>
      <c r="C19917" s="16" t="s">
        <v>27234</v>
      </c>
      <c r="D19917" s="16" t="s">
        <v>27241</v>
      </c>
      <c r="E19917" s="2">
        <v>2642465</v>
      </c>
      <c r="F19917" s="4" t="str">
        <f>IF(B19917=B19916,"",B19917)</f>
        <v>Milton Keynes</v>
      </c>
    </row>
    <row r="19918" spans="1:6" ht="15.75" customHeight="1">
      <c r="A19918" s="8" t="str">
        <f ca="1">IFERROR(__xludf.DUMMYFUNCTION("GOOGLETRANSLATE(B30538,""en"",""pt"")"),"Milton Keynes")</f>
        <v>Milton Keynes</v>
      </c>
      <c r="B19918" s="11" t="s">
        <v>27537</v>
      </c>
      <c r="C19918" s="11" t="s">
        <v>27234</v>
      </c>
      <c r="D19918" s="11" t="s">
        <v>27241</v>
      </c>
      <c r="E19918" s="10">
        <v>2642465</v>
      </c>
      <c r="F19918" s="4" t="str">
        <f>IF(B19918=B19917,"",B19918)</f>
        <v/>
      </c>
    </row>
    <row r="19919" spans="1:6" ht="15.75" customHeight="1">
      <c r="A19919" s="15" t="s">
        <v>4100</v>
      </c>
      <c r="B19919" s="15" t="s">
        <v>4100</v>
      </c>
      <c r="C19919" s="15" t="s">
        <v>3975</v>
      </c>
      <c r="D19919" s="15" t="s">
        <v>3980</v>
      </c>
      <c r="E19919" s="2">
        <v>6074377</v>
      </c>
      <c r="F19919" s="4" t="str">
        <f>IF(B19919=B19918,"",B19919)</f>
        <v>Milton</v>
      </c>
    </row>
    <row r="19920" spans="1:6" ht="15.75" customHeight="1">
      <c r="A19920" s="15" t="s">
        <v>4100</v>
      </c>
      <c r="B19920" s="15" t="s">
        <v>4100</v>
      </c>
      <c r="C19920" s="15" t="s">
        <v>27788</v>
      </c>
      <c r="D19920" s="15" t="s">
        <v>27794</v>
      </c>
      <c r="E19920" s="2">
        <v>4944193</v>
      </c>
      <c r="F19920" s="4" t="str">
        <f>IF(B19920=B19919,"",B19920)</f>
        <v/>
      </c>
    </row>
    <row r="19921" spans="1:6" ht="15.75" customHeight="1">
      <c r="A19921" s="15" t="s">
        <v>4100</v>
      </c>
      <c r="B19921" s="15" t="s">
        <v>4100</v>
      </c>
      <c r="C19921" s="15" t="s">
        <v>27788</v>
      </c>
      <c r="D19921" s="15" t="s">
        <v>7988</v>
      </c>
      <c r="E19921" s="2">
        <v>6331908</v>
      </c>
      <c r="F19921" s="4" t="str">
        <f>IF(B19921=B19920,"",B19921)</f>
        <v/>
      </c>
    </row>
    <row r="19922" spans="1:6" ht="15.75" customHeight="1">
      <c r="A19922" s="8" t="str">
        <f ca="1">IFERROR(__xludf.DUMMYFUNCTION("GOOGLETRANSLATE(B25512,""en"",""pt"")"),"Milton")</f>
        <v>Milton</v>
      </c>
      <c r="B19922" s="9" t="s">
        <v>4100</v>
      </c>
      <c r="C19922" s="9" t="s">
        <v>3975</v>
      </c>
      <c r="D19922" s="9" t="s">
        <v>3980</v>
      </c>
      <c r="E19922" s="10">
        <v>6074377</v>
      </c>
      <c r="F19922" s="4" t="str">
        <f>IF(B19922=B19921,"",B19922)</f>
        <v/>
      </c>
    </row>
    <row r="19923" spans="1:6" ht="15.75" customHeight="1">
      <c r="A19923" s="8" t="str">
        <f ca="1">IFERROR(__xludf.DUMMYFUNCTION("GOOGLETRANSLATE(B44003,""en"",""pt"")"),"Milton")</f>
        <v>Milton</v>
      </c>
      <c r="B19923" s="11" t="s">
        <v>4100</v>
      </c>
      <c r="C19923" s="11" t="s">
        <v>27788</v>
      </c>
      <c r="D19923" s="11" t="s">
        <v>27794</v>
      </c>
      <c r="E19923" s="10">
        <v>4944193</v>
      </c>
      <c r="F19923" s="4" t="str">
        <f>IF(B19923=B19922,"",B19923)</f>
        <v/>
      </c>
    </row>
    <row r="19924" spans="1:6" ht="15.75" customHeight="1">
      <c r="A19924" s="8" t="str">
        <f ca="1">IFERROR(__xludf.DUMMYFUNCTION("GOOGLETRANSLATE(B45417,""en"",""pt"")"),"Milton")</f>
        <v>Milton</v>
      </c>
      <c r="B19924" s="11" t="s">
        <v>4100</v>
      </c>
      <c r="C19924" s="11" t="s">
        <v>27788</v>
      </c>
      <c r="D19924" s="11" t="s">
        <v>7988</v>
      </c>
      <c r="E19924" s="10">
        <v>6331908</v>
      </c>
      <c r="F19924" s="4" t="str">
        <f>IF(B19924=B19923,"",B19924)</f>
        <v/>
      </c>
    </row>
    <row r="19925" spans="1:6" ht="15.75" customHeight="1">
      <c r="A19925" s="15" t="s">
        <v>29306</v>
      </c>
      <c r="B19925" s="15" t="s">
        <v>29306</v>
      </c>
      <c r="C19925" s="15" t="s">
        <v>27788</v>
      </c>
      <c r="D19925" s="15" t="s">
        <v>27801</v>
      </c>
      <c r="E19925" s="2">
        <v>5373327</v>
      </c>
      <c r="F19925" s="4" t="str">
        <f>IF(B19925=B19924,"",B19925)</f>
        <v>Milpitas</v>
      </c>
    </row>
    <row r="19926" spans="1:6" ht="15.75" customHeight="1">
      <c r="A19926" s="8" t="str">
        <f ca="1">IFERROR(__xludf.DUMMYFUNCTION("GOOGLETRANSLATE(B44907,""en"",""pt"")"),"Milpitas")</f>
        <v>Milpitas</v>
      </c>
      <c r="B19926" s="11" t="s">
        <v>29306</v>
      </c>
      <c r="C19926" s="11" t="s">
        <v>27788</v>
      </c>
      <c r="D19926" s="11" t="s">
        <v>27801</v>
      </c>
      <c r="E19926" s="10">
        <v>5373327</v>
      </c>
      <c r="F19926" s="4" t="str">
        <f>IF(B19926=B19925,"",B19926)</f>
        <v/>
      </c>
    </row>
    <row r="19927" spans="1:6" ht="15.75" customHeight="1">
      <c r="A19927" s="16" t="s">
        <v>18091</v>
      </c>
      <c r="B19927" s="15" t="s">
        <v>18091</v>
      </c>
      <c r="C19927" s="16" t="s">
        <v>17707</v>
      </c>
      <c r="D19927" s="16" t="s">
        <v>17711</v>
      </c>
      <c r="E19927" s="2">
        <v>3523202</v>
      </c>
      <c r="F19927" s="4" t="str">
        <f>IF(B19927=B19926,"",B19927)</f>
        <v>Milpa Alta</v>
      </c>
    </row>
    <row r="19928" spans="1:6" ht="15.75" customHeight="1">
      <c r="A19928" s="8" t="str">
        <f ca="1">IFERROR(__xludf.DUMMYFUNCTION("GOOGLETRANSLATE(B36980,""en"",""pt"")"),"Milpa Alta")</f>
        <v>Milpa Alta</v>
      </c>
      <c r="B19928" s="11" t="s">
        <v>18091</v>
      </c>
      <c r="C19928" s="11" t="s">
        <v>17707</v>
      </c>
      <c r="D19928" s="11" t="s">
        <v>17711</v>
      </c>
      <c r="E19928" s="10">
        <v>3523202</v>
      </c>
      <c r="F19928" s="4" t="str">
        <f>IF(B19928=B19927,"",B19928)</f>
        <v/>
      </c>
    </row>
    <row r="19929" spans="1:6" ht="15.75" customHeight="1">
      <c r="A19929" s="15" t="s">
        <v>29305</v>
      </c>
      <c r="B19929" s="15" t="s">
        <v>29305</v>
      </c>
      <c r="C19929" s="15" t="s">
        <v>27788</v>
      </c>
      <c r="D19929" s="15" t="s">
        <v>27905</v>
      </c>
      <c r="E19929" s="2">
        <v>4503078</v>
      </c>
      <c r="F19929" s="4" t="str">
        <f>IF(B19929=B19928,"",B19929)</f>
        <v>Millville</v>
      </c>
    </row>
    <row r="19930" spans="1:6" ht="15.75" customHeight="1">
      <c r="A19930" s="8" t="str">
        <f ca="1">IFERROR(__xludf.DUMMYFUNCTION("GOOGLETRANSLATE(B43494,""en"",""pt"")"),"Millville")</f>
        <v>Millville</v>
      </c>
      <c r="B19930" s="11" t="s">
        <v>29305</v>
      </c>
      <c r="C19930" s="11" t="s">
        <v>27788</v>
      </c>
      <c r="D19930" s="11" t="s">
        <v>27905</v>
      </c>
      <c r="E19930" s="10">
        <v>4503078</v>
      </c>
      <c r="F19930" s="4" t="str">
        <f>IF(B19930=B19929,"",B19930)</f>
        <v/>
      </c>
    </row>
    <row r="19931" spans="1:6" ht="15.75" customHeight="1">
      <c r="A19931" s="15" t="s">
        <v>22746</v>
      </c>
      <c r="B19931" s="15" t="s">
        <v>22746</v>
      </c>
      <c r="C19931" s="15" t="s">
        <v>22070</v>
      </c>
      <c r="D19931" s="15" t="s">
        <v>22099</v>
      </c>
      <c r="E19931" s="2">
        <v>526558</v>
      </c>
      <c r="F19931" s="4" t="str">
        <f>IF(B19931=B19930,"",B19931)</f>
        <v>Millerovo</v>
      </c>
    </row>
    <row r="19932" spans="1:6" ht="15.75" customHeight="1">
      <c r="A19932" s="8" t="str">
        <f ca="1">IFERROR(__xludf.DUMMYFUNCTION("GOOGLETRANSLATE(B40317,""en"",""pt"")"),"Millerovo")</f>
        <v>Millerovo</v>
      </c>
      <c r="B19932" s="11" t="s">
        <v>22746</v>
      </c>
      <c r="C19932" s="11" t="s">
        <v>22070</v>
      </c>
      <c r="D19932" s="11" t="s">
        <v>22099</v>
      </c>
      <c r="E19932" s="10">
        <v>526558</v>
      </c>
      <c r="F19932" s="4" t="str">
        <f>IF(B19932=B19931,"",B19932)</f>
        <v/>
      </c>
    </row>
    <row r="19933" spans="1:6" ht="15.75" customHeight="1">
      <c r="A19933" s="16" t="s">
        <v>29304</v>
      </c>
      <c r="B19933" s="15" t="s">
        <v>29304</v>
      </c>
      <c r="C19933" s="16" t="s">
        <v>27788</v>
      </c>
      <c r="D19933" s="16" t="s">
        <v>7988</v>
      </c>
      <c r="E19933" s="2">
        <v>4209448</v>
      </c>
      <c r="F19933" s="4" t="str">
        <f>IF(B19933=B19932,"",B19933)</f>
        <v>Milledgeville</v>
      </c>
    </row>
    <row r="19934" spans="1:6" ht="15.75" customHeight="1">
      <c r="A19934" s="8" t="str">
        <f ca="1">IFERROR(__xludf.DUMMYFUNCTION("GOOGLETRANSLATE(B43096,""en"",""pt"")"),"Milledgeville")</f>
        <v>Milledgeville</v>
      </c>
      <c r="B19934" s="11" t="s">
        <v>29304</v>
      </c>
      <c r="C19934" s="11" t="s">
        <v>27788</v>
      </c>
      <c r="D19934" s="11" t="s">
        <v>7988</v>
      </c>
      <c r="E19934" s="10">
        <v>4209448</v>
      </c>
      <c r="F19934" s="4" t="str">
        <f>IF(B19934=B19933,"",B19934)</f>
        <v/>
      </c>
    </row>
    <row r="19935" spans="1:6" ht="15.75" customHeight="1">
      <c r="A19935" s="15" t="s">
        <v>29303</v>
      </c>
      <c r="B19935" s="15" t="s">
        <v>29303</v>
      </c>
      <c r="C19935" s="15" t="s">
        <v>27788</v>
      </c>
      <c r="D19935" s="15" t="s">
        <v>27856</v>
      </c>
      <c r="E19935" s="2">
        <v>5778352</v>
      </c>
      <c r="F19935" s="4" t="str">
        <f>IF(B19935=B19934,"",B19935)</f>
        <v>Millcreek</v>
      </c>
    </row>
    <row r="19936" spans="1:6" ht="15.75" customHeight="1">
      <c r="A19936" s="8" t="str">
        <f ca="1">IFERROR(__xludf.DUMMYFUNCTION("GOOGLETRANSLATE(B45287,""en"",""pt"")"),"Millcreek")</f>
        <v>Millcreek</v>
      </c>
      <c r="B19936" s="11" t="s">
        <v>29303</v>
      </c>
      <c r="C19936" s="11" t="s">
        <v>27788</v>
      </c>
      <c r="D19936" s="11" t="s">
        <v>27856</v>
      </c>
      <c r="E19936" s="10">
        <v>5778352</v>
      </c>
      <c r="F19936" s="4" t="str">
        <f>IF(B19936=B19935,"",B19936)</f>
        <v/>
      </c>
    </row>
    <row r="19937" spans="1:6" ht="15.75" customHeight="1">
      <c r="A19937" s="15" t="s">
        <v>29302</v>
      </c>
      <c r="B19937" s="15" t="s">
        <v>29302</v>
      </c>
      <c r="C19937" s="15" t="s">
        <v>27788</v>
      </c>
      <c r="D19937" s="15" t="s">
        <v>27801</v>
      </c>
      <c r="E19937" s="2">
        <v>5373129</v>
      </c>
      <c r="F19937" s="4" t="str">
        <f>IF(B19937=B19936,"",B19937)</f>
        <v>Millbrae</v>
      </c>
    </row>
    <row r="19938" spans="1:6" ht="15.75" customHeight="1">
      <c r="A19938" s="8" t="str">
        <f ca="1">IFERROR(__xludf.DUMMYFUNCTION("GOOGLETRANSLATE(B44906,""en"",""pt"")"),"Millbrae")</f>
        <v>Millbrae</v>
      </c>
      <c r="B19938" s="11" t="s">
        <v>29302</v>
      </c>
      <c r="C19938" s="11" t="s">
        <v>27788</v>
      </c>
      <c r="D19938" s="11" t="s">
        <v>27801</v>
      </c>
      <c r="E19938" s="10">
        <v>5373129</v>
      </c>
      <c r="F19938" s="4" t="str">
        <f>IF(B19938=B19937,"",B19938)</f>
        <v/>
      </c>
    </row>
    <row r="19939" spans="1:6" ht="15.75" customHeight="1">
      <c r="A19939" s="15" t="s">
        <v>7587</v>
      </c>
      <c r="B19939" s="15" t="s">
        <v>7587</v>
      </c>
      <c r="C19939" s="15" t="s">
        <v>7052</v>
      </c>
      <c r="D19939" s="15" t="s">
        <v>7082</v>
      </c>
      <c r="E19939" s="2">
        <v>2993875</v>
      </c>
      <c r="F19939" s="4" t="str">
        <f>IF(B19939=B19938,"",B19939)</f>
        <v>Millau</v>
      </c>
    </row>
    <row r="19940" spans="1:6" ht="15.75" customHeight="1">
      <c r="A19940" s="8" t="str">
        <f ca="1">IFERROR(__xludf.DUMMYFUNCTION("GOOGLETRANSLATE(B29921,""en"",""pt"")"),"Millau")</f>
        <v>Millau</v>
      </c>
      <c r="B19940" s="11" t="s">
        <v>7587</v>
      </c>
      <c r="C19940" s="11" t="s">
        <v>7052</v>
      </c>
      <c r="D19940" s="11" t="s">
        <v>32547</v>
      </c>
      <c r="E19940" s="10">
        <v>2993875</v>
      </c>
      <c r="F19940" s="4" t="str">
        <f>IF(B19940=B19939,"",B19940)</f>
        <v/>
      </c>
    </row>
    <row r="19941" spans="1:6" ht="15.75" customHeight="1">
      <c r="A19941" s="15" t="s">
        <v>1028</v>
      </c>
      <c r="B19941" s="15" t="s">
        <v>1028</v>
      </c>
      <c r="C19941" s="15" t="s">
        <v>885</v>
      </c>
      <c r="D19941" s="15" t="s">
        <v>827</v>
      </c>
      <c r="E19941" s="2">
        <v>2157635</v>
      </c>
      <c r="F19941" s="4" t="str">
        <f>IF(B19941=B19940,"",B19941)</f>
        <v>Mill Park</v>
      </c>
    </row>
    <row r="19942" spans="1:6" ht="15.75" customHeight="1">
      <c r="A19942" s="8" t="str">
        <f ca="1">IFERROR(__xludf.DUMMYFUNCTION("GOOGLETRANSLATE(B23482,""en"",""pt"")"),"Mill Park")</f>
        <v>Mill Park</v>
      </c>
      <c r="B19942" s="9" t="s">
        <v>1028</v>
      </c>
      <c r="C19942" s="9" t="s">
        <v>885</v>
      </c>
      <c r="D19942" s="9" t="s">
        <v>827</v>
      </c>
      <c r="E19942" s="10">
        <v>2157635</v>
      </c>
      <c r="F19942" s="4" t="str">
        <f>IF(B19942=B19941,"",B19942)</f>
        <v/>
      </c>
    </row>
    <row r="19943" spans="1:6" ht="15.75" customHeight="1">
      <c r="A19943" s="16" t="s">
        <v>29301</v>
      </c>
      <c r="B19943" s="15" t="s">
        <v>29301</v>
      </c>
      <c r="C19943" s="16" t="s">
        <v>27788</v>
      </c>
      <c r="D19943" s="16" t="s">
        <v>27733</v>
      </c>
      <c r="E19943" s="2">
        <v>5803457</v>
      </c>
      <c r="F19943" s="4" t="str">
        <f>IF(B19943=B19942,"",B19943)</f>
        <v>Mill Creek</v>
      </c>
    </row>
    <row r="19944" spans="1:6" ht="15.75" customHeight="1">
      <c r="A19944" s="8" t="str">
        <f ca="1">IFERROR(__xludf.DUMMYFUNCTION("GOOGLETRANSLATE(B45352,""en"",""pt"")"),"Mill Creek")</f>
        <v>Mill Creek</v>
      </c>
      <c r="B19944" s="9" t="s">
        <v>29301</v>
      </c>
      <c r="C19944" s="9" t="s">
        <v>27788</v>
      </c>
      <c r="D19944" s="9" t="s">
        <v>27733</v>
      </c>
      <c r="E19944" s="10">
        <v>5803457</v>
      </c>
      <c r="F19944" s="4" t="str">
        <f>IF(B19944=B19943,"",B19944)</f>
        <v/>
      </c>
    </row>
    <row r="19945" spans="1:6" ht="15.75" customHeight="1">
      <c r="A19945" s="16" t="s">
        <v>29299</v>
      </c>
      <c r="B19945" s="15" t="s">
        <v>29300</v>
      </c>
      <c r="C19945" s="16" t="s">
        <v>27788</v>
      </c>
      <c r="D19945" s="16" t="s">
        <v>27789</v>
      </c>
      <c r="E19945" s="2">
        <v>5851030</v>
      </c>
      <c r="F19945" s="4" t="str">
        <f>IF(B19945=B19944,"",B19945)</f>
        <v>Mililani Town</v>
      </c>
    </row>
    <row r="19946" spans="1:6" ht="15.75" customHeight="1">
      <c r="A19946" s="8" t="str">
        <f ca="1">IFERROR(__xludf.DUMMYFUNCTION("GOOGLETRANSLATE(B45405,""en"",""pt"")"),"Cidade de Mililani")</f>
        <v>Cidade de Mililani</v>
      </c>
      <c r="B19946" s="9" t="s">
        <v>29300</v>
      </c>
      <c r="C19946" s="9" t="s">
        <v>27788</v>
      </c>
      <c r="D19946" s="9" t="s">
        <v>27789</v>
      </c>
      <c r="E19946" s="10">
        <v>5851030</v>
      </c>
      <c r="F19946" s="4" t="str">
        <f>IF(B19946=B19945,"",B19946)</f>
        <v/>
      </c>
    </row>
    <row r="19947" spans="1:6" ht="15.75" customHeight="1">
      <c r="A19947" s="16" t="s">
        <v>29298</v>
      </c>
      <c r="B19947" s="15" t="s">
        <v>29298</v>
      </c>
      <c r="C19947" s="16" t="s">
        <v>27788</v>
      </c>
      <c r="D19947" s="16" t="s">
        <v>17061</v>
      </c>
      <c r="E19947" s="2">
        <v>4362438</v>
      </c>
      <c r="F19947" s="4" t="str">
        <f>IF(B19947=B19946,"",B19947)</f>
        <v>Milford Mill</v>
      </c>
    </row>
    <row r="19948" spans="1:6" ht="15.75" customHeight="1">
      <c r="A19948" s="8" t="str">
        <f ca="1">IFERROR(__xludf.DUMMYFUNCTION("GOOGLETRANSLATE(B43308,""en"",""pt"")"),"Milford Mill")</f>
        <v>Milford Mill</v>
      </c>
      <c r="B19948" s="9" t="s">
        <v>29298</v>
      </c>
      <c r="C19948" s="9" t="s">
        <v>27788</v>
      </c>
      <c r="D19948" s="9" t="s">
        <v>17061</v>
      </c>
      <c r="E19948" s="10">
        <v>4362438</v>
      </c>
      <c r="F19948" s="4" t="str">
        <f>IF(B19948=B19947,"",B19948)</f>
        <v/>
      </c>
    </row>
    <row r="19949" spans="1:6" ht="15.75" customHeight="1">
      <c r="A19949" s="15" t="s">
        <v>29297</v>
      </c>
      <c r="B19949" s="15" t="s">
        <v>29297</v>
      </c>
      <c r="C19949" s="15" t="s">
        <v>27788</v>
      </c>
      <c r="D19949" s="15" t="s">
        <v>27794</v>
      </c>
      <c r="E19949" s="2">
        <v>4943958</v>
      </c>
      <c r="F19949" s="4" t="str">
        <f>IF(B19949=B19948,"",B19949)</f>
        <v>Milford</v>
      </c>
    </row>
    <row r="19950" spans="1:6" ht="15.75" customHeight="1">
      <c r="A19950" s="8" t="str">
        <f ca="1">IFERROR(__xludf.DUMMYFUNCTION("GOOGLETRANSLATE(B44002,""en"",""pt"")"),"Milford")</f>
        <v>Milford</v>
      </c>
      <c r="B19950" s="11" t="s">
        <v>29297</v>
      </c>
      <c r="C19950" s="11" t="s">
        <v>27788</v>
      </c>
      <c r="D19950" s="11" t="s">
        <v>27794</v>
      </c>
      <c r="E19950" s="10">
        <v>4943958</v>
      </c>
      <c r="F19950" s="4" t="str">
        <f>IF(B19950=B19949,"",B19950)</f>
        <v/>
      </c>
    </row>
    <row r="19951" spans="1:6" ht="15.75" customHeight="1">
      <c r="A19951" s="15" t="s">
        <v>1027</v>
      </c>
      <c r="B19951" s="15" t="s">
        <v>1027</v>
      </c>
      <c r="C19951" s="15" t="s">
        <v>885</v>
      </c>
      <c r="D19951" s="15" t="s">
        <v>827</v>
      </c>
      <c r="E19951" s="2">
        <v>2157698</v>
      </c>
      <c r="F19951" s="4" t="str">
        <f>IF(B19951=B19950,"",B19951)</f>
        <v>Mildura</v>
      </c>
    </row>
    <row r="19952" spans="1:6" ht="15.75" customHeight="1">
      <c r="A19952" s="8" t="str">
        <f ca="1">IFERROR(__xludf.DUMMYFUNCTION("GOOGLETRANSLATE(B23483,""en"",""pt"")"),"Mildura")</f>
        <v>Mildura</v>
      </c>
      <c r="B19952" s="9" t="s">
        <v>1027</v>
      </c>
      <c r="C19952" s="9" t="s">
        <v>885</v>
      </c>
      <c r="D19952" s="9" t="s">
        <v>827</v>
      </c>
      <c r="E19952" s="10">
        <v>2157698</v>
      </c>
      <c r="F19952" s="4" t="str">
        <f>IF(B19952=B19951,"",B19952)</f>
        <v/>
      </c>
    </row>
    <row r="19953" spans="1:6" ht="15.75" customHeight="1">
      <c r="A19953" s="15" t="s">
        <v>15268</v>
      </c>
      <c r="B19953" s="15" t="s">
        <v>15268</v>
      </c>
      <c r="C19953" s="15" t="s">
        <v>14891</v>
      </c>
      <c r="D19953" s="15" t="s">
        <v>14899</v>
      </c>
      <c r="E19953" s="2">
        <v>2524155</v>
      </c>
      <c r="F19953" s="4" t="str">
        <f>IF(B19953=B19952,"",B19953)</f>
        <v>Milazzo</v>
      </c>
    </row>
    <row r="19954" spans="1:6" ht="15.75" customHeight="1">
      <c r="A19954" s="8" t="str">
        <f ca="1">IFERROR(__xludf.DUMMYFUNCTION("GOOGLETRANSLATE(B34581,""en"",""pt"")"),"Milazzo")</f>
        <v>Milazzo</v>
      </c>
      <c r="B19954" s="11" t="s">
        <v>15268</v>
      </c>
      <c r="C19954" s="11" t="s">
        <v>14891</v>
      </c>
      <c r="D19954" s="11" t="s">
        <v>14899</v>
      </c>
      <c r="E19954" s="10">
        <v>2524155</v>
      </c>
      <c r="F19954" s="4" t="str">
        <f>IF(B19954=B19953,"",B19954)</f>
        <v/>
      </c>
    </row>
    <row r="19955" spans="1:6" ht="15.75" customHeight="1">
      <c r="A19955" s="15" t="s">
        <v>26634</v>
      </c>
      <c r="B19955" s="15" t="s">
        <v>26634</v>
      </c>
      <c r="C19955" s="15" t="s">
        <v>26201</v>
      </c>
      <c r="D19955" s="15" t="s">
        <v>26409</v>
      </c>
      <c r="E19955" s="2">
        <v>304355</v>
      </c>
      <c r="F19955" s="4" t="str">
        <f>IF(B19955=B19954,"",B19955)</f>
        <v>Milas</v>
      </c>
    </row>
    <row r="19956" spans="1:6" ht="15.75" customHeight="1">
      <c r="A19956" s="8" t="str">
        <f ca="1">IFERROR(__xludf.DUMMYFUNCTION("GOOGLETRANSLATE(B41934,""en"",""pt"")"),"Milas")</f>
        <v>Milas</v>
      </c>
      <c r="B19956" s="11" t="s">
        <v>26634</v>
      </c>
      <c r="C19956" s="11" t="s">
        <v>26201</v>
      </c>
      <c r="D19956" s="11" t="s">
        <v>35818</v>
      </c>
      <c r="E19956" s="10">
        <v>304355</v>
      </c>
      <c r="F19956" s="4" t="str">
        <f>IF(B19956=B19955,"",B19956)</f>
        <v/>
      </c>
    </row>
    <row r="19957" spans="1:6" ht="15.75" customHeight="1">
      <c r="A19957" s="8" t="str">
        <f ca="1">IFERROR(__xludf.DUMMYFUNCTION("GOOGLETRANSLATE(B39245,""en"",""pt"")"),"Milanówek")</f>
        <v>Milanówek</v>
      </c>
      <c r="B19957" s="9" t="s">
        <v>35102</v>
      </c>
      <c r="C19957" s="9" t="s">
        <v>21064</v>
      </c>
      <c r="D19957" s="9" t="s">
        <v>21070</v>
      </c>
      <c r="E19957" s="10">
        <v>764749</v>
      </c>
      <c r="F19957" s="4" t="str">
        <f>IF(B19957=B19956,"",B19957)</f>
        <v>Milanówek</v>
      </c>
    </row>
    <row r="19958" spans="1:6" ht="15.75" customHeight="1">
      <c r="A19958" s="15" t="s">
        <v>15267</v>
      </c>
      <c r="B19958" s="15" t="s">
        <v>15267</v>
      </c>
      <c r="C19958" s="15" t="s">
        <v>14891</v>
      </c>
      <c r="D19958" s="15" t="s">
        <v>14894</v>
      </c>
      <c r="E19958" s="2">
        <v>3173435</v>
      </c>
      <c r="F19958" s="4" t="str">
        <f>IF(B19958=B19957,"",B19958)</f>
        <v>Milano</v>
      </c>
    </row>
    <row r="19959" spans="1:6" ht="15.75" customHeight="1">
      <c r="A19959" s="8" t="str">
        <f ca="1">IFERROR(__xludf.DUMMYFUNCTION("GOOGLETRANSLATE(B34835,""en"",""pt"")"),"Milano")</f>
        <v>Milano</v>
      </c>
      <c r="B19959" s="9" t="s">
        <v>15267</v>
      </c>
      <c r="C19959" s="9" t="s">
        <v>14891</v>
      </c>
      <c r="D19959" s="9" t="s">
        <v>14894</v>
      </c>
      <c r="E19959" s="10">
        <v>3173435</v>
      </c>
      <c r="F19959" s="4" t="str">
        <f>IF(B19959=B19958,"",B19959)</f>
        <v/>
      </c>
    </row>
    <row r="19960" spans="1:6" ht="15.75" customHeight="1">
      <c r="A19960" s="16" t="s">
        <v>21354</v>
      </c>
      <c r="B19960" s="15" t="s">
        <v>21355</v>
      </c>
      <c r="C19960" s="16" t="s">
        <v>21064</v>
      </c>
      <c r="D19960" s="16" t="s">
        <v>21070</v>
      </c>
      <c r="E19960" s="2">
        <v>764749</v>
      </c>
      <c r="F19960" s="4" t="str">
        <f>IF(B19960=B19959,"",B19960)</f>
        <v>MilanÃ³wek</v>
      </c>
    </row>
    <row r="19961" spans="1:6" ht="15.75" customHeight="1">
      <c r="A19961" s="15" t="s">
        <v>12405</v>
      </c>
      <c r="B19961" s="15" t="s">
        <v>12405</v>
      </c>
      <c r="C19961" s="15" t="s">
        <v>10178</v>
      </c>
      <c r="D19961" s="15" t="s">
        <v>10193</v>
      </c>
      <c r="E19961" s="2">
        <v>1263051</v>
      </c>
      <c r="F19961" s="4" t="str">
        <f>IF(B19961=B19960,"",B19961)</f>
        <v>Milak</v>
      </c>
    </row>
    <row r="19962" spans="1:6" ht="15.75" customHeight="1">
      <c r="A19962" s="8" t="str">
        <f ca="1">IFERROR(__xludf.DUMMYFUNCTION("GOOGLETRANSLATE(B32769,""en"",""pt"")"),"Milak")</f>
        <v>Milak</v>
      </c>
      <c r="B19962" s="11" t="s">
        <v>12405</v>
      </c>
      <c r="C19962" s="11" t="s">
        <v>10178</v>
      </c>
      <c r="D19962" s="11" t="s">
        <v>10193</v>
      </c>
      <c r="E19962" s="10">
        <v>1263051</v>
      </c>
      <c r="F19962" s="4" t="str">
        <f>IF(B19962=B19961,"",B19962)</f>
        <v/>
      </c>
    </row>
    <row r="19963" spans="1:6" ht="15.75" customHeight="1">
      <c r="A19963" s="15" t="s">
        <v>306</v>
      </c>
      <c r="B19963" s="15" t="s">
        <v>306</v>
      </c>
      <c r="C19963" s="15" t="s">
        <v>153</v>
      </c>
      <c r="D19963" s="15" t="s">
        <v>306</v>
      </c>
      <c r="E19963" s="2">
        <v>2487452</v>
      </c>
      <c r="F19963" s="4" t="str">
        <f>IF(B19963=B19962,"",B19963)</f>
        <v>Mila</v>
      </c>
    </row>
    <row r="19964" spans="1:6" ht="15.75" customHeight="1">
      <c r="A19964" s="8" t="str">
        <f ca="1">IFERROR(__xludf.DUMMYFUNCTION("GOOGLETRANSLATE(B28577,""en"",""pt"")"),"Mila")</f>
        <v>Mila</v>
      </c>
      <c r="B19964" s="11" t="s">
        <v>306</v>
      </c>
      <c r="C19964" s="11" t="s">
        <v>153</v>
      </c>
      <c r="D19964" s="11" t="s">
        <v>306</v>
      </c>
      <c r="E19964" s="10">
        <v>2487452</v>
      </c>
      <c r="F19964" s="4" t="str">
        <f>IF(B19964=B19963,"",B19964)</f>
        <v/>
      </c>
    </row>
    <row r="19965" spans="1:6" ht="15.75" customHeight="1">
      <c r="A19965" s="15" t="s">
        <v>16217</v>
      </c>
      <c r="B19965" s="15" t="s">
        <v>16217</v>
      </c>
      <c r="C19965" s="15" t="s">
        <v>15704</v>
      </c>
      <c r="D19965" s="15" t="s">
        <v>15879</v>
      </c>
      <c r="E19965" s="2">
        <v>1857260</v>
      </c>
      <c r="F19965" s="4" t="str">
        <f>IF(B19965=B19964,"",B19965)</f>
        <v>Mikuni</v>
      </c>
    </row>
    <row r="19966" spans="1:6" ht="15.75" customHeight="1">
      <c r="A19966" s="8" t="str">
        <f ca="1">IFERROR(__xludf.DUMMYFUNCTION("GOOGLETRANSLATE(B35436,""en"",""pt"")"),"Mikuni")</f>
        <v>Mikuni</v>
      </c>
      <c r="B19966" s="9" t="s">
        <v>16217</v>
      </c>
      <c r="C19966" s="9" t="s">
        <v>15704</v>
      </c>
      <c r="D19966" s="9" t="s">
        <v>15879</v>
      </c>
      <c r="E19966" s="10">
        <v>1857260</v>
      </c>
      <c r="F19966" s="4" t="str">
        <f>IF(B19966=B19965,"",B19966)</f>
        <v/>
      </c>
    </row>
    <row r="19967" spans="1:6" ht="15.75" customHeight="1">
      <c r="A19967" s="15" t="s">
        <v>25689</v>
      </c>
      <c r="B19967" s="15" t="s">
        <v>25689</v>
      </c>
      <c r="C19967" s="15" t="s">
        <v>25560</v>
      </c>
      <c r="D19967" s="15" t="s">
        <v>25596</v>
      </c>
      <c r="E19967" s="2">
        <v>153871</v>
      </c>
      <c r="F19967" s="4" t="str">
        <f>IF(B19967=B19966,"",B19967)</f>
        <v>Mikumi</v>
      </c>
    </row>
    <row r="19968" spans="1:6" ht="15.75" customHeight="1">
      <c r="A19968" s="8" t="str">
        <f ca="1">IFERROR(__xludf.DUMMYFUNCTION("GOOGLETRANSLATE(B42351,""en"",""pt"")"),"Mikumi")</f>
        <v>Mikumi</v>
      </c>
      <c r="B19968" s="9" t="s">
        <v>25689</v>
      </c>
      <c r="C19968" s="9" t="s">
        <v>25560</v>
      </c>
      <c r="D19968" s="9" t="s">
        <v>25596</v>
      </c>
      <c r="E19968" s="10">
        <v>153871</v>
      </c>
      <c r="F19968" s="4" t="str">
        <f>IF(B19968=B19967,"",B19968)</f>
        <v/>
      </c>
    </row>
    <row r="19969" spans="1:6" ht="15.75" customHeight="1">
      <c r="A19969" s="8" t="str">
        <f ca="1">IFERROR(__xludf.DUMMYFUNCTION("GOOGLETRANSLATE(B39403,""en"",""pt"")"),"Mikołów")</f>
        <v>Mikołów</v>
      </c>
      <c r="B19969" s="11" t="s">
        <v>35196</v>
      </c>
      <c r="C19969" s="11" t="s">
        <v>21064</v>
      </c>
      <c r="D19969" s="11" t="s">
        <v>21073</v>
      </c>
      <c r="E19969" s="10">
        <v>3091831</v>
      </c>
      <c r="F19969" s="4" t="str">
        <f>IF(B19969=B19968,"",B19969)</f>
        <v>Mikołów</v>
      </c>
    </row>
    <row r="19970" spans="1:6" ht="15.75" customHeight="1">
      <c r="A19970" s="16" t="s">
        <v>21352</v>
      </c>
      <c r="B19970" s="15" t="s">
        <v>21353</v>
      </c>
      <c r="C19970" s="16" t="s">
        <v>21064</v>
      </c>
      <c r="D19970" s="16" t="s">
        <v>21073</v>
      </c>
      <c r="E19970" s="2">
        <v>3091831</v>
      </c>
      <c r="F19970" s="4" t="str">
        <f>IF(B19970=B19969,"",B19970)</f>
        <v>MikoÅ‚Ã³w</v>
      </c>
    </row>
    <row r="19971" spans="1:6" ht="15.75" customHeight="1">
      <c r="A19971" s="15" t="s">
        <v>7014</v>
      </c>
      <c r="B19971" s="15" t="s">
        <v>7014</v>
      </c>
      <c r="C19971" s="15" t="s">
        <v>6948</v>
      </c>
      <c r="D19971" s="15" t="s">
        <v>7015</v>
      </c>
      <c r="E19971" s="2">
        <v>646005</v>
      </c>
      <c r="F19971" s="4" t="str">
        <f>IF(B19971=B19970,"",B19971)</f>
        <v>Mikkeli</v>
      </c>
    </row>
    <row r="19972" spans="1:6" ht="15.75" customHeight="1">
      <c r="A19972" s="8" t="str">
        <f ca="1">IFERROR(__xludf.DUMMYFUNCTION("GOOGLETRANSLATE(B29623,""en"",""pt"")"),"Mikkeli")</f>
        <v>Mikkeli</v>
      </c>
      <c r="B19972" s="11" t="s">
        <v>7014</v>
      </c>
      <c r="C19972" s="11" t="s">
        <v>6948</v>
      </c>
      <c r="D19972" s="11" t="s">
        <v>7015</v>
      </c>
      <c r="E19972" s="10">
        <v>646005</v>
      </c>
      <c r="F19972" s="4" t="str">
        <f>IF(B19972=B19971,"",B19972)</f>
        <v/>
      </c>
    </row>
    <row r="19973" spans="1:6" ht="15.75" customHeight="1">
      <c r="A19973" s="15" t="s">
        <v>16216</v>
      </c>
      <c r="B19973" s="15" t="s">
        <v>16216</v>
      </c>
      <c r="C19973" s="15" t="s">
        <v>15704</v>
      </c>
      <c r="D19973" s="15" t="s">
        <v>15712</v>
      </c>
      <c r="E19973" s="2">
        <v>1857276</v>
      </c>
      <c r="F19973" s="4" t="str">
        <f>IF(B19973=B19972,"",B19973)</f>
        <v>Miki</v>
      </c>
    </row>
    <row r="19974" spans="1:6" ht="15.75" customHeight="1">
      <c r="A19974" s="8" t="str">
        <f ca="1">IFERROR(__xludf.DUMMYFUNCTION("GOOGLETRANSLATE(B35437,""en"",""pt"")"),"Miki")</f>
        <v>Miki</v>
      </c>
      <c r="B19974" s="9" t="s">
        <v>16216</v>
      </c>
      <c r="C19974" s="9" t="s">
        <v>15704</v>
      </c>
      <c r="D19974" s="9" t="s">
        <v>34291</v>
      </c>
      <c r="E19974" s="10">
        <v>1857276</v>
      </c>
      <c r="F19974" s="4" t="str">
        <f>IF(B19974=B19973,"",B19974)</f>
        <v/>
      </c>
    </row>
    <row r="19975" spans="1:6" ht="15.75" customHeight="1">
      <c r="A19975" s="16" t="s">
        <v>22745</v>
      </c>
      <c r="B19975" s="15" t="s">
        <v>22745</v>
      </c>
      <c r="C19975" s="16" t="s">
        <v>22070</v>
      </c>
      <c r="D19975" s="16" t="s">
        <v>22117</v>
      </c>
      <c r="E19975" s="2">
        <v>493702</v>
      </c>
      <c r="F19975" s="4" t="str">
        <f>IF(B19975=B19974,"",B19975)</f>
        <v>Mikhaylovsk</v>
      </c>
    </row>
    <row r="19976" spans="1:6" ht="15.75" customHeight="1">
      <c r="A19976" s="8" t="str">
        <f ca="1">IFERROR(__xludf.DUMMYFUNCTION("GOOGLETRANSLATE(B40100,""en"",""pt"")"),"Mikhaylovsk")</f>
        <v>Mikhaylovsk</v>
      </c>
      <c r="B19976" s="9" t="s">
        <v>22745</v>
      </c>
      <c r="C19976" s="9" t="s">
        <v>22070</v>
      </c>
      <c r="D19976" s="9" t="s">
        <v>22117</v>
      </c>
      <c r="E19976" s="10">
        <v>493702</v>
      </c>
      <c r="F19976" s="4" t="str">
        <f>IF(B19976=B19975,"",B19976)</f>
        <v/>
      </c>
    </row>
    <row r="19977" spans="1:6" ht="15.75" customHeight="1">
      <c r="A19977" s="16" t="s">
        <v>22744</v>
      </c>
      <c r="B19977" s="15" t="s">
        <v>22744</v>
      </c>
      <c r="C19977" s="16" t="s">
        <v>22070</v>
      </c>
      <c r="D19977" s="16" t="s">
        <v>22351</v>
      </c>
      <c r="E19977" s="2">
        <v>527012</v>
      </c>
      <c r="F19977" s="4" t="str">
        <f>IF(B19977=B19976,"",B19977)</f>
        <v>Mikhaylovka</v>
      </c>
    </row>
    <row r="19978" spans="1:6" ht="15.75" customHeight="1">
      <c r="A19978" s="8" t="str">
        <f ca="1">IFERROR(__xludf.DUMMYFUNCTION("GOOGLETRANSLATE(B40318,""en"",""pt"")"),"Mikhaylovka")</f>
        <v>Mikhaylovka</v>
      </c>
      <c r="B19978" s="9" t="s">
        <v>22744</v>
      </c>
      <c r="C19978" s="9" t="s">
        <v>22070</v>
      </c>
      <c r="D19978" s="9" t="s">
        <v>22351</v>
      </c>
      <c r="E19978" s="10">
        <v>527012</v>
      </c>
      <c r="F19978" s="4" t="str">
        <f>IF(B19978=B19977,"",B19978)</f>
        <v/>
      </c>
    </row>
    <row r="19979" spans="1:6" ht="15.75" customHeight="1">
      <c r="A19979" s="16" t="s">
        <v>22743</v>
      </c>
      <c r="B19979" s="15" t="s">
        <v>22743</v>
      </c>
      <c r="C19979" s="16" t="s">
        <v>22070</v>
      </c>
      <c r="D19979" s="16" t="s">
        <v>22127</v>
      </c>
      <c r="E19979" s="2">
        <v>527057</v>
      </c>
      <c r="F19979" s="4" t="str">
        <f>IF(B19979=B19978,"",B19979)</f>
        <v>Mikhalkovo</v>
      </c>
    </row>
    <row r="19980" spans="1:6" ht="15.75" customHeight="1">
      <c r="A19980" s="8" t="str">
        <f ca="1">IFERROR(__xludf.DUMMYFUNCTION("GOOGLETRANSLATE(B40319,""en"",""pt"")"),"Mikhalkovo")</f>
        <v>Mikhalkovo</v>
      </c>
      <c r="B19980" s="9" t="s">
        <v>22743</v>
      </c>
      <c r="C19980" s="9" t="s">
        <v>22070</v>
      </c>
      <c r="D19980" s="9" t="s">
        <v>22127</v>
      </c>
      <c r="E19980" s="10">
        <v>527057</v>
      </c>
      <c r="F19980" s="4" t="str">
        <f>IF(B19980=B19979,"",B19980)</f>
        <v/>
      </c>
    </row>
    <row r="19981" spans="1:6" ht="15.75" customHeight="1">
      <c r="A19981" s="15" t="s">
        <v>19043</v>
      </c>
      <c r="B19981" s="15" t="s">
        <v>19043</v>
      </c>
      <c r="C19981" s="15" t="s">
        <v>18862</v>
      </c>
      <c r="D19981" s="15" t="s">
        <v>18877</v>
      </c>
      <c r="E19981" s="2">
        <v>2750815</v>
      </c>
      <c r="F19981" s="4" t="str">
        <f>IF(B19981=B19980,"",B19981)</f>
        <v>Mijdrecht</v>
      </c>
    </row>
    <row r="19982" spans="1:6" ht="15.75" customHeight="1">
      <c r="A19982" s="8" t="str">
        <f ca="1">IFERROR(__xludf.DUMMYFUNCTION("GOOGLETRANSLATE(B37994,""en"",""pt"")"),"Mijdrecht")</f>
        <v>Mijdrecht</v>
      </c>
      <c r="B19982" s="9" t="s">
        <v>19043</v>
      </c>
      <c r="C19982" s="9" t="s">
        <v>18862</v>
      </c>
      <c r="D19982" s="9" t="s">
        <v>18877</v>
      </c>
      <c r="E19982" s="10">
        <v>2750815</v>
      </c>
      <c r="F19982" s="4" t="str">
        <f>IF(B19982=B19981,"",B19982)</f>
        <v/>
      </c>
    </row>
    <row r="19983" spans="1:6" ht="15.75" customHeight="1">
      <c r="A19983" s="15" t="s">
        <v>24616</v>
      </c>
      <c r="B19983" s="15" t="s">
        <v>24616</v>
      </c>
      <c r="C19983" s="15" t="s">
        <v>24200</v>
      </c>
      <c r="D19983" s="15" t="s">
        <v>24205</v>
      </c>
      <c r="E19983" s="2">
        <v>2513882</v>
      </c>
      <c r="F19983" s="4" t="str">
        <f>IF(B19983=B19982,"",B19983)</f>
        <v>Mijas</v>
      </c>
    </row>
    <row r="19984" spans="1:6" ht="15.75" customHeight="1">
      <c r="A19984" s="8" t="str">
        <f ca="1">IFERROR(__xludf.DUMMYFUNCTION("GOOGLETRANSLATE(B29054,""en"",""pt"")"),"Mijas")</f>
        <v>Mijas</v>
      </c>
      <c r="B19984" s="9" t="s">
        <v>24616</v>
      </c>
      <c r="C19984" s="9" t="s">
        <v>24200</v>
      </c>
      <c r="D19984" s="9" t="s">
        <v>24205</v>
      </c>
      <c r="E19984" s="10">
        <v>2513882</v>
      </c>
      <c r="F19984" s="4" t="str">
        <f>IF(B19984=B19983,"",B19984)</f>
        <v/>
      </c>
    </row>
    <row r="19985" spans="1:6" ht="15.75" customHeight="1">
      <c r="A19985" s="15" t="s">
        <v>12404</v>
      </c>
      <c r="B19985" s="15" t="s">
        <v>12404</v>
      </c>
      <c r="C19985" s="15" t="s">
        <v>10178</v>
      </c>
      <c r="D19985" s="15" t="s">
        <v>10219</v>
      </c>
      <c r="E19985" s="2">
        <v>1263057</v>
      </c>
      <c r="F19985" s="4" t="str">
        <f>IF(B19985=B19984,"",B19985)</f>
        <v>Mihona</v>
      </c>
    </row>
    <row r="19986" spans="1:6" ht="15.75" customHeight="1">
      <c r="A19986" s="8" t="str">
        <f ca="1">IFERROR(__xludf.DUMMYFUNCTION("GOOGLETRANSLATE(B32770,""en"",""pt"")"),"Mihona")</f>
        <v>Mihona</v>
      </c>
      <c r="B19986" s="9" t="s">
        <v>12404</v>
      </c>
      <c r="C19986" s="9" t="s">
        <v>10178</v>
      </c>
      <c r="D19986" s="9" t="s">
        <v>10219</v>
      </c>
      <c r="E19986" s="10">
        <v>1263057</v>
      </c>
      <c r="F19986" s="4" t="str">
        <f>IF(B19986=B19985,"",B19986)</f>
        <v/>
      </c>
    </row>
    <row r="19987" spans="1:6" ht="15.75" customHeight="1">
      <c r="A19987" s="15" t="s">
        <v>16215</v>
      </c>
      <c r="B19987" s="15" t="s">
        <v>16215</v>
      </c>
      <c r="C19987" s="15" t="s">
        <v>15704</v>
      </c>
      <c r="D19987" s="15" t="s">
        <v>15884</v>
      </c>
      <c r="E19987" s="2">
        <v>2111943</v>
      </c>
      <c r="F19987" s="4" t="str">
        <f>IF(B19987=B19986,"",B19987)</f>
        <v>Miharu</v>
      </c>
    </row>
    <row r="19988" spans="1:6" ht="15.75" customHeight="1">
      <c r="A19988" s="8" t="str">
        <f ca="1">IFERROR(__xludf.DUMMYFUNCTION("GOOGLETRANSLATE(B35768,""en"",""pt"")"),"Miharu")</f>
        <v>Miharu</v>
      </c>
      <c r="B19988" s="9" t="s">
        <v>16215</v>
      </c>
      <c r="C19988" s="9" t="s">
        <v>15704</v>
      </c>
      <c r="D19988" s="9" t="s">
        <v>15884</v>
      </c>
      <c r="E19988" s="10">
        <v>2111943</v>
      </c>
      <c r="F19988" s="4" t="str">
        <f>IF(B19988=B19987,"",B19988)</f>
        <v/>
      </c>
    </row>
    <row r="19989" spans="1:6" ht="15.75" customHeight="1">
      <c r="A19989" s="15" t="s">
        <v>16214</v>
      </c>
      <c r="B19989" s="15" t="s">
        <v>16214</v>
      </c>
      <c r="C19989" s="15" t="s">
        <v>15704</v>
      </c>
      <c r="D19989" s="15" t="s">
        <v>15789</v>
      </c>
      <c r="E19989" s="2">
        <v>1857334</v>
      </c>
      <c r="F19989" s="4" t="str">
        <f>IF(B19989=B19988,"",B19989)</f>
        <v>Mihara</v>
      </c>
    </row>
    <row r="19990" spans="1:6" ht="15.75" customHeight="1">
      <c r="A19990" s="8" t="str">
        <f ca="1">IFERROR(__xludf.DUMMYFUNCTION("GOOGLETRANSLATE(B35438,""en"",""pt"")"),"Mihara")</f>
        <v>Mihara</v>
      </c>
      <c r="B19990" s="11" t="s">
        <v>16214</v>
      </c>
      <c r="C19990" s="11" t="s">
        <v>15704</v>
      </c>
      <c r="D19990" s="11" t="s">
        <v>15789</v>
      </c>
      <c r="E19990" s="10">
        <v>1857334</v>
      </c>
      <c r="F19990" s="4" t="str">
        <f>IF(B19990=B19989,"",B19990)</f>
        <v/>
      </c>
    </row>
    <row r="19991" spans="1:6" ht="15.75" customHeight="1">
      <c r="A19991" s="8" t="str">
        <f ca="1">IFERROR(__xludf.DUMMYFUNCTION("GOOGLETRANSLATE(B24817,""en"",""pt"")"),"Miguelópolis")</f>
        <v>Miguelópolis</v>
      </c>
      <c r="B19991" s="9" t="s">
        <v>31592</v>
      </c>
      <c r="C19991" s="9" t="s">
        <v>1905</v>
      </c>
      <c r="D19991" s="9" t="s">
        <v>3354</v>
      </c>
      <c r="E19991" s="10">
        <v>3457192</v>
      </c>
      <c r="F19991" s="4" t="str">
        <f>IF(B19991=B19990,"",B19991)</f>
        <v>Miguelópolis</v>
      </c>
    </row>
    <row r="19992" spans="1:6" ht="15.75" customHeight="1">
      <c r="A19992" s="16" t="s">
        <v>2894</v>
      </c>
      <c r="B19992" s="15" t="s">
        <v>2895</v>
      </c>
      <c r="C19992" s="16" t="s">
        <v>1905</v>
      </c>
      <c r="D19992" s="16" t="s">
        <v>1914</v>
      </c>
      <c r="E19992" s="2">
        <v>3457192</v>
      </c>
      <c r="F19992" s="4" t="str">
        <f>IF(B19992=B19991,"",B19992)</f>
        <v>MiguelÃ³polis</v>
      </c>
    </row>
    <row r="19993" spans="1:6" ht="15.75" customHeight="1">
      <c r="A19993" s="16" t="s">
        <v>2893</v>
      </c>
      <c r="B19993" s="15" t="s">
        <v>2893</v>
      </c>
      <c r="C19993" s="16" t="s">
        <v>1905</v>
      </c>
      <c r="D19993" s="16" t="s">
        <v>1978</v>
      </c>
      <c r="E19993" s="2">
        <v>3457191</v>
      </c>
      <c r="F19993" s="4" t="str">
        <f>IF(B19993=B19992,"",B19993)</f>
        <v>Miguel Pereira</v>
      </c>
    </row>
    <row r="19994" spans="1:6" ht="15.75" customHeight="1">
      <c r="A19994" s="8" t="str">
        <f ca="1">IFERROR(__xludf.DUMMYFUNCTION("GOOGLETRANSLATE(B24816,""en"",""pt"")"),"Miguel Pereira")</f>
        <v>Miguel Pereira</v>
      </c>
      <c r="B19994" s="11" t="s">
        <v>2893</v>
      </c>
      <c r="C19994" s="11" t="s">
        <v>1905</v>
      </c>
      <c r="D19994" s="11" t="s">
        <v>1978</v>
      </c>
      <c r="E19994" s="10">
        <v>3457191</v>
      </c>
      <c r="F19994" s="4" t="str">
        <f>IF(B19994=B19993,"",B19994)</f>
        <v/>
      </c>
    </row>
    <row r="19995" spans="1:6" ht="15.75" customHeight="1">
      <c r="A19995" s="16" t="s">
        <v>18090</v>
      </c>
      <c r="B19995" s="15" t="s">
        <v>18090</v>
      </c>
      <c r="C19995" s="16" t="s">
        <v>17707</v>
      </c>
      <c r="D19995" s="16" t="s">
        <v>17711</v>
      </c>
      <c r="E19995" s="2">
        <v>3827408</v>
      </c>
      <c r="F19995" s="4" t="str">
        <f>IF(B19995=B19994,"",B19995)</f>
        <v>Miguel Hidalgo</v>
      </c>
    </row>
    <row r="19996" spans="1:6" ht="15.75" customHeight="1">
      <c r="A19996" s="8" t="str">
        <f ca="1">IFERROR(__xludf.DUMMYFUNCTION("GOOGLETRANSLATE(B37129,""en"",""pt"")"),"Miguel Hidalgo")</f>
        <v>Miguel Hidalgo</v>
      </c>
      <c r="B19996" s="9" t="s">
        <v>18090</v>
      </c>
      <c r="C19996" s="9" t="s">
        <v>17707</v>
      </c>
      <c r="D19996" s="9" t="s">
        <v>17711</v>
      </c>
      <c r="E19996" s="10">
        <v>3827408</v>
      </c>
      <c r="F19996" s="4" t="str">
        <f>IF(B19996=B19995,"",B19996)</f>
        <v/>
      </c>
    </row>
    <row r="19997" spans="1:6" ht="15.75" customHeight="1">
      <c r="A19997" s="8" t="str">
        <f ca="1">IFERROR(__xludf.DUMMYFUNCTION("GOOGLETRANSLATE(B37137,""en"",""pt"")"),"Miguel Alemán (La Doce)")</f>
        <v>Miguel Alemán (La Doce)</v>
      </c>
      <c r="B19997" s="11" t="s">
        <v>34725</v>
      </c>
      <c r="C19997" s="11" t="s">
        <v>17707</v>
      </c>
      <c r="D19997" s="11" t="s">
        <v>17732</v>
      </c>
      <c r="E19997" s="10">
        <v>3970972</v>
      </c>
      <c r="F19997" s="4" t="str">
        <f>IF(B19997=B19996,"",B19997)</f>
        <v>Miguel Alemán (La Doce)</v>
      </c>
    </row>
    <row r="19998" spans="1:6" ht="15.75" customHeight="1">
      <c r="A19998" s="16" t="s">
        <v>18088</v>
      </c>
      <c r="B19998" s="15" t="s">
        <v>18089</v>
      </c>
      <c r="C19998" s="16" t="s">
        <v>17707</v>
      </c>
      <c r="D19998" s="16" t="s">
        <v>17732</v>
      </c>
      <c r="E19998" s="2">
        <v>3970972</v>
      </c>
      <c r="F19998" s="4" t="str">
        <f>IF(B19998=B19997,"",B19998)</f>
        <v>Miguel AlemÃ¡n (La Doce)</v>
      </c>
    </row>
    <row r="19999" spans="1:6" ht="15.75" customHeight="1">
      <c r="A19999" s="15" t="s">
        <v>16822</v>
      </c>
      <c r="B19999" s="15" t="s">
        <v>16822</v>
      </c>
      <c r="C19999" s="15" t="s">
        <v>16781</v>
      </c>
      <c r="D19999" s="15" t="s">
        <v>16822</v>
      </c>
      <c r="E19999" s="2">
        <v>186731</v>
      </c>
      <c r="F19999" s="4" t="str">
        <f>IF(B19999=B19998,"",B19999)</f>
        <v>Migori</v>
      </c>
    </row>
    <row r="20000" spans="1:6" ht="15.75" customHeight="1">
      <c r="A20000" s="8" t="str">
        <f ca="1">IFERROR(__xludf.DUMMYFUNCTION("GOOGLETRANSLATE(B35902,""en"",""pt"")"),"Migori")</f>
        <v>Migori</v>
      </c>
      <c r="B20000" s="9" t="s">
        <v>16822</v>
      </c>
      <c r="C20000" s="9" t="s">
        <v>16781</v>
      </c>
      <c r="D20000" s="9" t="s">
        <v>16822</v>
      </c>
      <c r="E20000" s="10">
        <v>186731</v>
      </c>
      <c r="F20000" s="4" t="str">
        <f>IF(B20000=B19999,"",B20000)</f>
        <v/>
      </c>
    </row>
    <row r="20001" spans="1:6" ht="15.75" customHeight="1">
      <c r="A20001" s="16" t="s">
        <v>14834</v>
      </c>
      <c r="B20001" s="15" t="s">
        <v>14835</v>
      </c>
      <c r="C20001" s="16" t="s">
        <v>14773</v>
      </c>
      <c r="D20001" s="16" t="s">
        <v>14774</v>
      </c>
      <c r="E20001" s="2">
        <v>294210</v>
      </c>
      <c r="F20001" s="4" t="str">
        <f>IF(B20001=B20000,"",B20001)</f>
        <v>Migdal Haâ€˜Emeq</v>
      </c>
    </row>
    <row r="20002" spans="1:6" ht="15.75" customHeight="1">
      <c r="A20002" s="8" t="str">
        <f ca="1">IFERROR(__xludf.DUMMYFUNCTION("GOOGLETRANSLATE(B31791,""en"",""pt"")"),"Migdal Ha‘emeq")</f>
        <v>Migdal Ha‘emeq</v>
      </c>
      <c r="B20002" s="9" t="s">
        <v>32920</v>
      </c>
      <c r="C20002" s="9" t="s">
        <v>14773</v>
      </c>
      <c r="D20002" s="9" t="s">
        <v>14774</v>
      </c>
      <c r="E20002" s="10">
        <v>294210</v>
      </c>
      <c r="F20002" s="4" t="str">
        <f>IF(B20002=B20001,"",B20002)</f>
        <v>Migdal Ha‘Emeq</v>
      </c>
    </row>
    <row r="20003" spans="1:6" ht="15.75" customHeight="1">
      <c r="A20003" s="15" t="s">
        <v>24615</v>
      </c>
      <c r="B20003" s="15" t="s">
        <v>24615</v>
      </c>
      <c r="C20003" s="15" t="s">
        <v>24200</v>
      </c>
      <c r="D20003" s="15" t="s">
        <v>24303</v>
      </c>
      <c r="E20003" s="2">
        <v>3116789</v>
      </c>
      <c r="F20003" s="4" t="str">
        <f>IF(B20003=B20002,"",B20003)</f>
        <v>Mieres</v>
      </c>
    </row>
    <row r="20004" spans="1:6" ht="15.75" customHeight="1">
      <c r="A20004" s="8" t="str">
        <f ca="1">IFERROR(__xludf.DUMMYFUNCTION("GOOGLETRANSLATE(B29357,""en"",""pt"")"),"Mieres")</f>
        <v>Mieres</v>
      </c>
      <c r="B20004" s="9" t="s">
        <v>24615</v>
      </c>
      <c r="C20004" s="9" t="s">
        <v>24200</v>
      </c>
      <c r="D20004" s="9" t="s">
        <v>24303</v>
      </c>
      <c r="E20004" s="10">
        <v>3116789</v>
      </c>
      <c r="F20004" s="4" t="str">
        <f>IF(B20004=B20003,"",B20004)</f>
        <v/>
      </c>
    </row>
    <row r="20005" spans="1:6" ht="15.75" customHeight="1">
      <c r="A20005" s="16" t="s">
        <v>21957</v>
      </c>
      <c r="B20005" s="15" t="s">
        <v>21958</v>
      </c>
      <c r="C20005" s="16" t="s">
        <v>21824</v>
      </c>
      <c r="D20005" s="16" t="s">
        <v>21938</v>
      </c>
      <c r="E20005" s="2">
        <v>673441</v>
      </c>
      <c r="F20005" s="4" t="str">
        <f>IF(B20005=B20004,"",B20005)</f>
        <v>Miercurea-Ciuc</v>
      </c>
    </row>
    <row r="20006" spans="1:6" ht="15.75" customHeight="1">
      <c r="A20006" s="8" t="str">
        <f ca="1">IFERROR(__xludf.DUMMYFUNCTION("GOOGLETRANSLATE(B39777,""en"",""pt"")"),"Miercurea-ciuc")</f>
        <v>Miercurea-ciuc</v>
      </c>
      <c r="B20006" s="9" t="s">
        <v>21958</v>
      </c>
      <c r="C20006" s="9" t="s">
        <v>21824</v>
      </c>
      <c r="D20006" s="9" t="s">
        <v>21938</v>
      </c>
      <c r="E20006" s="10">
        <v>673441</v>
      </c>
      <c r="F20006" s="4" t="str">
        <f>IF(B20006=B20005,"",B20006)</f>
        <v/>
      </c>
    </row>
    <row r="20007" spans="1:6" ht="15.75" customHeight="1">
      <c r="A20007" s="15" t="s">
        <v>21350</v>
      </c>
      <c r="B20007" s="15" t="s">
        <v>21351</v>
      </c>
      <c r="C20007" s="15" t="s">
        <v>21064</v>
      </c>
      <c r="D20007" s="15" t="s">
        <v>21083</v>
      </c>
      <c r="E20007" s="2">
        <v>764849</v>
      </c>
      <c r="F20007" s="4" t="str">
        <f>IF(B20007=B20006,"",B20007)</f>
        <v>Mielec</v>
      </c>
    </row>
    <row r="20008" spans="1:6" ht="15.75" customHeight="1">
      <c r="A20008" s="8" t="str">
        <f ca="1">IFERROR(__xludf.DUMMYFUNCTION("GOOGLETRANSLATE(B39246,""en"",""pt"")"),"MIELEC")</f>
        <v>MIELEC</v>
      </c>
      <c r="B20008" s="11" t="s">
        <v>21351</v>
      </c>
      <c r="C20008" s="11" t="s">
        <v>21064</v>
      </c>
      <c r="D20008" s="11" t="s">
        <v>21083</v>
      </c>
      <c r="E20008" s="10">
        <v>764849</v>
      </c>
      <c r="F20008" s="4" t="str">
        <f>IF(B20008=B20007,"",B20008)</f>
        <v/>
      </c>
    </row>
    <row r="20009" spans="1:6" ht="15.75" customHeight="1">
      <c r="A20009" s="8" t="str">
        <f ca="1">IFERROR(__xludf.DUMMYFUNCTION("GOOGLETRANSLATE(B39404,""en"",""pt"")"),"Międzyrzecz")</f>
        <v>Międzyrzecz</v>
      </c>
      <c r="B20009" s="9" t="s">
        <v>35197</v>
      </c>
      <c r="C20009" s="9" t="s">
        <v>21064</v>
      </c>
      <c r="D20009" s="9" t="s">
        <v>21065</v>
      </c>
      <c r="E20009" s="10">
        <v>3091969</v>
      </c>
      <c r="F20009" s="4" t="str">
        <f>IF(B20009=B20008,"",B20009)</f>
        <v>Międzyrzecz</v>
      </c>
    </row>
    <row r="20010" spans="1:6" ht="15.75" customHeight="1">
      <c r="A20010" s="8" t="str">
        <f ca="1">IFERROR(__xludf.DUMMYFUNCTION("GOOGLETRANSLATE(B39247,""en"",""pt"")"),"Międzyrzec Podlaski")</f>
        <v>Międzyrzec Podlaski</v>
      </c>
      <c r="B20010" s="9" t="s">
        <v>35103</v>
      </c>
      <c r="C20010" s="9" t="s">
        <v>21064</v>
      </c>
      <c r="D20010" s="9" t="s">
        <v>21091</v>
      </c>
      <c r="E20010" s="10">
        <v>764862</v>
      </c>
      <c r="F20010" s="4" t="str">
        <f>IF(B20010=B20009,"",B20010)</f>
        <v>Międzyrzec Podlaski</v>
      </c>
    </row>
    <row r="20011" spans="1:6" ht="15.75" customHeight="1">
      <c r="A20011" s="15" t="s">
        <v>26633</v>
      </c>
      <c r="B20011" s="15" t="s">
        <v>26633</v>
      </c>
      <c r="C20011" s="15" t="s">
        <v>26201</v>
      </c>
      <c r="D20011" s="15" t="s">
        <v>26440</v>
      </c>
      <c r="E20011" s="2">
        <v>304382</v>
      </c>
      <c r="F20011" s="4" t="str">
        <f>IF(B20011=B20010,"",B20011)</f>
        <v>Midyat</v>
      </c>
    </row>
    <row r="20012" spans="1:6" ht="15.75" customHeight="1">
      <c r="A20012" s="8" t="str">
        <f ca="1">IFERROR(__xludf.DUMMYFUNCTION("GOOGLETRANSLATE(B41935,""en"",""pt"")"),"Midyat")</f>
        <v>Midyat</v>
      </c>
      <c r="B20012" s="9" t="s">
        <v>26633</v>
      </c>
      <c r="C20012" s="9" t="s">
        <v>26201</v>
      </c>
      <c r="D20012" s="9" t="s">
        <v>26440</v>
      </c>
      <c r="E20012" s="10">
        <v>304382</v>
      </c>
      <c r="F20012" s="4" t="str">
        <f>IF(B20012=B20011,"",B20012)</f>
        <v/>
      </c>
    </row>
    <row r="20013" spans="1:6" ht="15.75" customHeight="1">
      <c r="A20013" s="16" t="s">
        <v>29295</v>
      </c>
      <c r="B20013" s="15" t="s">
        <v>29296</v>
      </c>
      <c r="C20013" s="16" t="s">
        <v>27788</v>
      </c>
      <c r="D20013" s="16" t="s">
        <v>27797</v>
      </c>
      <c r="E20013" s="2">
        <v>4542765</v>
      </c>
      <c r="F20013" s="4" t="str">
        <f>IF(B20013=B20012,"",B20013)</f>
        <v>Midwest City</v>
      </c>
    </row>
    <row r="20014" spans="1:6" ht="15.75" customHeight="1">
      <c r="A20014" s="8" t="str">
        <f ca="1">IFERROR(__xludf.DUMMYFUNCTION("GOOGLETRANSLATE(B43555,""en"",""pt"")"),"Cidade do Centro -Oeste")</f>
        <v>Cidade do Centro -Oeste</v>
      </c>
      <c r="B20014" s="9" t="s">
        <v>29296</v>
      </c>
      <c r="C20014" s="9" t="s">
        <v>27788</v>
      </c>
      <c r="D20014" s="9" t="s">
        <v>27797</v>
      </c>
      <c r="E20014" s="10">
        <v>4542765</v>
      </c>
      <c r="F20014" s="4" t="str">
        <f>IF(B20014=B20013,"",B20014)</f>
        <v/>
      </c>
    </row>
    <row r="20015" spans="1:6" ht="15.75" customHeight="1">
      <c r="A20015" s="15" t="s">
        <v>29294</v>
      </c>
      <c r="B20015" s="15" t="s">
        <v>29294</v>
      </c>
      <c r="C20015" s="15" t="s">
        <v>27788</v>
      </c>
      <c r="D20015" s="15" t="s">
        <v>27856</v>
      </c>
      <c r="E20015" s="2">
        <v>5778244</v>
      </c>
      <c r="F20015" s="4" t="str">
        <f>IF(B20015=B20014,"",B20015)</f>
        <v>Midvale</v>
      </c>
    </row>
    <row r="20016" spans="1:6" ht="15.75" customHeight="1">
      <c r="A20016" s="8" t="str">
        <f ca="1">IFERROR(__xludf.DUMMYFUNCTION("GOOGLETRANSLATE(B45286,""en"",""pt"")"),"Midvale")</f>
        <v>Midvale</v>
      </c>
      <c r="B20016" s="11" t="s">
        <v>29294</v>
      </c>
      <c r="C20016" s="11" t="s">
        <v>27788</v>
      </c>
      <c r="D20016" s="11" t="s">
        <v>27856</v>
      </c>
      <c r="E20016" s="10">
        <v>5778244</v>
      </c>
      <c r="F20016" s="4" t="str">
        <f>IF(B20016=B20015,"",B20016)</f>
        <v/>
      </c>
    </row>
    <row r="20017" spans="1:6" ht="15.75" customHeight="1">
      <c r="A20017" s="15" t="s">
        <v>20904</v>
      </c>
      <c r="B20017" s="15" t="s">
        <v>20905</v>
      </c>
      <c r="C20017" s="15" t="s">
        <v>20598</v>
      </c>
      <c r="D20017" s="15" t="s">
        <v>20606</v>
      </c>
      <c r="E20017" s="2">
        <v>1699755</v>
      </c>
      <c r="F20017" s="4" t="str">
        <f>IF(B20017=B20016,"",B20017)</f>
        <v>Midsayap</v>
      </c>
    </row>
    <row r="20018" spans="1:6" ht="15.75" customHeight="1">
      <c r="A20018" s="8" t="str">
        <f ca="1">IFERROR(__xludf.DUMMYFUNCTION("GOOGLETRANSLATE(B38603,""en"",""pt"")"),"MidSayap")</f>
        <v>MidSayap</v>
      </c>
      <c r="B20018" s="9" t="s">
        <v>20905</v>
      </c>
      <c r="C20018" s="9" t="s">
        <v>20598</v>
      </c>
      <c r="D20018" s="9" t="s">
        <v>20606</v>
      </c>
      <c r="E20018" s="10">
        <v>1699755</v>
      </c>
      <c r="F20018" s="4" t="str">
        <f>IF(B20018=B20017,"",B20018)</f>
        <v/>
      </c>
    </row>
    <row r="20019" spans="1:6" ht="15.75" customHeight="1">
      <c r="A20019" s="15" t="s">
        <v>23935</v>
      </c>
      <c r="B20019" s="15" t="s">
        <v>23935</v>
      </c>
      <c r="C20019" s="15" t="s">
        <v>23842</v>
      </c>
      <c r="D20019" s="15" t="s">
        <v>23855</v>
      </c>
      <c r="E20019" s="2">
        <v>1105776</v>
      </c>
      <c r="F20019" s="4" t="str">
        <f>IF(B20019=B20018,"",B20019)</f>
        <v>Midrand</v>
      </c>
    </row>
    <row r="20020" spans="1:6" ht="15.75" customHeight="1">
      <c r="A20020" s="8" t="str">
        <f ca="1">IFERROR(__xludf.DUMMYFUNCTION("GOOGLETRANSLATE(B45985,""en"",""pt"")"),"Midrand")</f>
        <v>Midrand</v>
      </c>
      <c r="B20020" s="9" t="s">
        <v>23935</v>
      </c>
      <c r="C20020" s="9" t="s">
        <v>23842</v>
      </c>
      <c r="D20020" s="9" t="s">
        <v>23855</v>
      </c>
      <c r="E20020" s="10">
        <v>1105776</v>
      </c>
      <c r="F20020" s="4" t="str">
        <f>IF(B20020=B20019,"",B20020)</f>
        <v/>
      </c>
    </row>
    <row r="20021" spans="1:6" ht="15.75" customHeight="1">
      <c r="A20021" s="15" t="s">
        <v>26170</v>
      </c>
      <c r="B20021" s="15" t="s">
        <v>26170</v>
      </c>
      <c r="C20021" s="15" t="s">
        <v>26090</v>
      </c>
      <c r="D20021" s="15" t="s">
        <v>26140</v>
      </c>
      <c r="E20021" s="2">
        <v>2468925</v>
      </c>
      <c r="F20021" s="4" t="str">
        <f>IF(B20021=B20020,"",B20021)</f>
        <v>Midoun</v>
      </c>
    </row>
    <row r="20022" spans="1:6" ht="15.75" customHeight="1">
      <c r="A20022" s="8" t="str">
        <f ca="1">IFERROR(__xludf.DUMMYFUNCTION("GOOGLETRANSLATE(B41817,""en"",""pt"")"),"Midoun")</f>
        <v>Midoun</v>
      </c>
      <c r="B20022" s="9" t="s">
        <v>26170</v>
      </c>
      <c r="C20022" s="9" t="s">
        <v>26090</v>
      </c>
      <c r="D20022" s="9" t="s">
        <v>35807</v>
      </c>
      <c r="E20022" s="10">
        <v>2468925</v>
      </c>
      <c r="F20022" s="4" t="str">
        <f>IF(B20022=B20021,"",B20022)</f>
        <v/>
      </c>
    </row>
    <row r="20023" spans="1:6" ht="15.75" customHeight="1">
      <c r="A20023" s="15" t="s">
        <v>4099</v>
      </c>
      <c r="B20023" s="15" t="s">
        <v>4099</v>
      </c>
      <c r="C20023" s="15" t="s">
        <v>3975</v>
      </c>
      <c r="D20023" s="15" t="s">
        <v>3980</v>
      </c>
      <c r="E20023" s="2">
        <v>6073363</v>
      </c>
      <c r="F20023" s="4" t="str">
        <f>IF(B20023=B20022,"",B20023)</f>
        <v>Midland</v>
      </c>
    </row>
    <row r="20024" spans="1:6" ht="15.75" customHeight="1">
      <c r="A20024" s="15" t="s">
        <v>4099</v>
      </c>
      <c r="B20024" s="15" t="s">
        <v>4099</v>
      </c>
      <c r="C20024" s="15" t="s">
        <v>27788</v>
      </c>
      <c r="D20024" s="15" t="s">
        <v>27804</v>
      </c>
      <c r="E20024" s="2">
        <v>5001929</v>
      </c>
      <c r="F20024" s="4" t="str">
        <f>IF(B20024=B20023,"",B20024)</f>
        <v/>
      </c>
    </row>
    <row r="20025" spans="1:6" ht="15.75" customHeight="1">
      <c r="A20025" s="15" t="s">
        <v>4099</v>
      </c>
      <c r="B20025" s="15" t="s">
        <v>4099</v>
      </c>
      <c r="C20025" s="15" t="s">
        <v>27788</v>
      </c>
      <c r="D20025" s="15" t="s">
        <v>27792</v>
      </c>
      <c r="E20025" s="2">
        <v>5526337</v>
      </c>
      <c r="F20025" s="4" t="str">
        <f>IF(B20025=B20024,"",B20025)</f>
        <v/>
      </c>
    </row>
    <row r="20026" spans="1:6" ht="15.75" customHeight="1">
      <c r="A20026" s="8" t="str">
        <f ca="1">IFERROR(__xludf.DUMMYFUNCTION("GOOGLETRANSLATE(B25511,""en"",""pt"")"),"Midland")</f>
        <v>Midland</v>
      </c>
      <c r="B20026" s="11" t="s">
        <v>4099</v>
      </c>
      <c r="C20026" s="11" t="s">
        <v>3975</v>
      </c>
      <c r="D20026" s="11" t="s">
        <v>3980</v>
      </c>
      <c r="E20026" s="10">
        <v>6073363</v>
      </c>
      <c r="F20026" s="4" t="str">
        <f>IF(B20026=B20025,"",B20026)</f>
        <v/>
      </c>
    </row>
    <row r="20027" spans="1:6" ht="15.75" customHeight="1">
      <c r="A20027" s="8" t="str">
        <f ca="1">IFERROR(__xludf.DUMMYFUNCTION("GOOGLETRANSLATE(B44102,""en"",""pt"")"),"Midland")</f>
        <v>Midland</v>
      </c>
      <c r="B20027" s="11" t="s">
        <v>4099</v>
      </c>
      <c r="C20027" s="11" t="s">
        <v>27788</v>
      </c>
      <c r="D20027" s="11" t="s">
        <v>27804</v>
      </c>
      <c r="E20027" s="10">
        <v>5001929</v>
      </c>
      <c r="F20027" s="4" t="str">
        <f>IF(B20027=B20026,"",B20027)</f>
        <v/>
      </c>
    </row>
    <row r="20028" spans="1:6" ht="15.75" customHeight="1">
      <c r="A20028" s="8" t="str">
        <f ca="1">IFERROR(__xludf.DUMMYFUNCTION("GOOGLETRANSLATE(B45164,""en"",""pt"")"),"Midland")</f>
        <v>Midland</v>
      </c>
      <c r="B20028" s="9" t="s">
        <v>4099</v>
      </c>
      <c r="C20028" s="9" t="s">
        <v>27788</v>
      </c>
      <c r="D20028" s="9" t="s">
        <v>27792</v>
      </c>
      <c r="E20028" s="10">
        <v>5526337</v>
      </c>
      <c r="F20028" s="4" t="str">
        <f>IF(B20028=B20027,"",B20028)</f>
        <v/>
      </c>
    </row>
    <row r="20029" spans="1:6" ht="15.75" customHeight="1">
      <c r="A20029" s="15" t="s">
        <v>18609</v>
      </c>
      <c r="B20029" s="15" t="s">
        <v>18609</v>
      </c>
      <c r="C20029" s="15" t="s">
        <v>18551</v>
      </c>
      <c r="D20029" s="15" t="s">
        <v>18563</v>
      </c>
      <c r="E20029" s="2">
        <v>2542227</v>
      </c>
      <c r="F20029" s="4" t="str">
        <f>IF(B20029=B20028,"",B20029)</f>
        <v>Midelt</v>
      </c>
    </row>
    <row r="20030" spans="1:6" ht="15.75" customHeight="1">
      <c r="A20030" s="8" t="str">
        <f ca="1">IFERROR(__xludf.DUMMYFUNCTION("GOOGLETRANSLATE(B36486,""en"",""pt"")"),"Midelt")</f>
        <v>Midelt</v>
      </c>
      <c r="B20030" s="9" t="s">
        <v>18609</v>
      </c>
      <c r="C20030" s="9" t="s">
        <v>18551</v>
      </c>
      <c r="D20030" s="9" t="s">
        <v>34591</v>
      </c>
      <c r="E20030" s="10">
        <v>2542227</v>
      </c>
      <c r="F20030" s="4" t="str">
        <f>IF(B20030=B20029,"",B20030)</f>
        <v/>
      </c>
    </row>
    <row r="20031" spans="1:6" ht="15.75" customHeight="1">
      <c r="A20031" s="16" t="s">
        <v>29293</v>
      </c>
      <c r="B20031" s="15" t="s">
        <v>29293</v>
      </c>
      <c r="C20031" s="16" t="s">
        <v>27788</v>
      </c>
      <c r="D20031" s="16" t="s">
        <v>27978</v>
      </c>
      <c r="E20031" s="2">
        <v>4143637</v>
      </c>
      <c r="F20031" s="4" t="str">
        <f>IF(B20031=B20030,"",B20031)</f>
        <v>Middletown</v>
      </c>
    </row>
    <row r="20032" spans="1:6" ht="15.75" customHeight="1">
      <c r="A20032" s="16" t="s">
        <v>29293</v>
      </c>
      <c r="B20032" s="15" t="s">
        <v>29293</v>
      </c>
      <c r="C20032" s="16" t="s">
        <v>27788</v>
      </c>
      <c r="D20032" s="16" t="s">
        <v>27813</v>
      </c>
      <c r="E20032" s="2">
        <v>4518264</v>
      </c>
      <c r="F20032" s="4" t="str">
        <f>IF(B20032=B20031,"",B20032)</f>
        <v/>
      </c>
    </row>
    <row r="20033" spans="1:6" ht="15.75" customHeight="1">
      <c r="A20033" s="16" t="s">
        <v>29293</v>
      </c>
      <c r="B20033" s="15" t="s">
        <v>29293</v>
      </c>
      <c r="C20033" s="16" t="s">
        <v>27788</v>
      </c>
      <c r="D20033" s="16" t="s">
        <v>27819</v>
      </c>
      <c r="E20033" s="2">
        <v>5126842</v>
      </c>
      <c r="F20033" s="4" t="str">
        <f>IF(B20033=B20032,"",B20033)</f>
        <v/>
      </c>
    </row>
    <row r="20034" spans="1:6" ht="15.75" customHeight="1">
      <c r="A20034" s="16" t="s">
        <v>29293</v>
      </c>
      <c r="B20034" s="15" t="s">
        <v>29293</v>
      </c>
      <c r="C20034" s="16" t="s">
        <v>27788</v>
      </c>
      <c r="D20034" s="16" t="s">
        <v>27951</v>
      </c>
      <c r="E20034" s="2">
        <v>5223358</v>
      </c>
      <c r="F20034" s="4" t="str">
        <f>IF(B20034=B20033,"",B20034)</f>
        <v/>
      </c>
    </row>
    <row r="20035" spans="1:6" ht="15.75" customHeight="1">
      <c r="A20035" s="8" t="str">
        <f ca="1">IFERROR(__xludf.DUMMYFUNCTION("GOOGLETRANSLATE(B42836,""en"",""pt"")"),"Middletown")</f>
        <v>Middletown</v>
      </c>
      <c r="B20035" s="11" t="s">
        <v>29293</v>
      </c>
      <c r="C20035" s="11" t="s">
        <v>27788</v>
      </c>
      <c r="D20035" s="11" t="s">
        <v>27978</v>
      </c>
      <c r="E20035" s="10">
        <v>4143637</v>
      </c>
      <c r="F20035" s="4" t="str">
        <f>IF(B20035=B20034,"",B20035)</f>
        <v/>
      </c>
    </row>
    <row r="20036" spans="1:6" ht="15.75" customHeight="1">
      <c r="A20036" s="8" t="str">
        <f ca="1">IFERROR(__xludf.DUMMYFUNCTION("GOOGLETRANSLATE(B43521,""en"",""pt"")"),"Middletown")</f>
        <v>Middletown</v>
      </c>
      <c r="B20036" s="9" t="s">
        <v>29293</v>
      </c>
      <c r="C20036" s="9" t="s">
        <v>27788</v>
      </c>
      <c r="D20036" s="9" t="s">
        <v>27813</v>
      </c>
      <c r="E20036" s="10">
        <v>4518264</v>
      </c>
      <c r="F20036" s="4" t="str">
        <f>IF(B20036=B20035,"",B20036)</f>
        <v/>
      </c>
    </row>
    <row r="20037" spans="1:6" ht="15.75" customHeight="1">
      <c r="A20037" s="8" t="str">
        <f ca="1">IFERROR(__xludf.DUMMYFUNCTION("GOOGLETRANSLATE(B44411,""en"",""pt"")"),"Middletown")</f>
        <v>Middletown</v>
      </c>
      <c r="B20037" s="11" t="s">
        <v>29293</v>
      </c>
      <c r="C20037" s="11" t="s">
        <v>27788</v>
      </c>
      <c r="D20037" s="11" t="s">
        <v>27819</v>
      </c>
      <c r="E20037" s="10">
        <v>5126842</v>
      </c>
      <c r="F20037" s="4" t="str">
        <f>IF(B20037=B20036,"",B20037)</f>
        <v/>
      </c>
    </row>
    <row r="20038" spans="1:6" ht="15.75" customHeight="1">
      <c r="A20038" s="8" t="str">
        <f ca="1">IFERROR(__xludf.DUMMYFUNCTION("GOOGLETRANSLATE(B44611,""en"",""pt"")"),"Middletown")</f>
        <v>Middletown</v>
      </c>
      <c r="B20038" s="9" t="s">
        <v>29293</v>
      </c>
      <c r="C20038" s="9" t="s">
        <v>27788</v>
      </c>
      <c r="D20038" s="9" t="s">
        <v>27951</v>
      </c>
      <c r="E20038" s="10">
        <v>5223358</v>
      </c>
      <c r="F20038" s="4" t="str">
        <f>IF(B20038=B20037,"",B20038)</f>
        <v/>
      </c>
    </row>
    <row r="20039" spans="1:6" ht="15.75" customHeight="1">
      <c r="A20039" s="16" t="s">
        <v>27536</v>
      </c>
      <c r="B20039" s="15" t="s">
        <v>27536</v>
      </c>
      <c r="C20039" s="16" t="s">
        <v>27234</v>
      </c>
      <c r="D20039" s="16" t="s">
        <v>27241</v>
      </c>
      <c r="E20039" s="2">
        <v>2642593</v>
      </c>
      <c r="F20039" s="4" t="str">
        <f>IF(B20039=B20038,"",B20039)</f>
        <v>Middleton</v>
      </c>
    </row>
    <row r="20040" spans="1:6" ht="15.75" customHeight="1">
      <c r="A20040" s="16" t="s">
        <v>27536</v>
      </c>
      <c r="B20040" s="15" t="s">
        <v>27536</v>
      </c>
      <c r="C20040" s="16" t="s">
        <v>27788</v>
      </c>
      <c r="D20040" s="16" t="s">
        <v>27890</v>
      </c>
      <c r="E20040" s="2">
        <v>5262838</v>
      </c>
      <c r="F20040" s="4" t="str">
        <f>IF(B20040=B20039,"",B20040)</f>
        <v/>
      </c>
    </row>
    <row r="20041" spans="1:6" ht="15.75" customHeight="1">
      <c r="A20041" s="8" t="str">
        <f ca="1">IFERROR(__xludf.DUMMYFUNCTION("GOOGLETRANSLATE(B30539,""en"",""pt"")"),"Middleton")</f>
        <v>Middleton</v>
      </c>
      <c r="B20041" s="11" t="s">
        <v>27536</v>
      </c>
      <c r="C20041" s="11" t="s">
        <v>27234</v>
      </c>
      <c r="D20041" s="11" t="s">
        <v>27241</v>
      </c>
      <c r="E20041" s="10">
        <v>2642593</v>
      </c>
      <c r="F20041" s="4" t="str">
        <f>IF(B20041=B20040,"",B20041)</f>
        <v/>
      </c>
    </row>
    <row r="20042" spans="1:6" ht="15.75" customHeight="1">
      <c r="A20042" s="8" t="str">
        <f ca="1">IFERROR(__xludf.DUMMYFUNCTION("GOOGLETRANSLATE(B44659,""en"",""pt"")"),"Middleton")</f>
        <v>Middleton</v>
      </c>
      <c r="B20042" s="9" t="s">
        <v>27536</v>
      </c>
      <c r="C20042" s="9" t="s">
        <v>27788</v>
      </c>
      <c r="D20042" s="9" t="s">
        <v>27890</v>
      </c>
      <c r="E20042" s="10">
        <v>5262838</v>
      </c>
      <c r="F20042" s="4" t="str">
        <f>IF(B20042=B20041,"",B20042)</f>
        <v/>
      </c>
    </row>
    <row r="20043" spans="1:6" ht="15.75" customHeight="1">
      <c r="A20043" s="16" t="s">
        <v>27535</v>
      </c>
      <c r="B20043" s="15" t="s">
        <v>27535</v>
      </c>
      <c r="C20043" s="16" t="s">
        <v>27234</v>
      </c>
      <c r="D20043" s="16" t="s">
        <v>27241</v>
      </c>
      <c r="E20043" s="2">
        <v>2642607</v>
      </c>
      <c r="F20043" s="4" t="str">
        <f>IF(B20043=B20042,"",B20043)</f>
        <v>Middlesbrough</v>
      </c>
    </row>
    <row r="20044" spans="1:6" ht="15.75" customHeight="1">
      <c r="A20044" s="8" t="str">
        <f ca="1">IFERROR(__xludf.DUMMYFUNCTION("GOOGLETRANSLATE(B30540,""en"",""pt"")"),"Middlesbrough")</f>
        <v>Middlesbrough</v>
      </c>
      <c r="B20044" s="9" t="s">
        <v>27535</v>
      </c>
      <c r="C20044" s="9" t="s">
        <v>27234</v>
      </c>
      <c r="D20044" s="9" t="s">
        <v>27241</v>
      </c>
      <c r="E20044" s="10">
        <v>2642607</v>
      </c>
      <c r="F20044" s="4" t="str">
        <f>IF(B20044=B20043,"",B20044)</f>
        <v/>
      </c>
    </row>
    <row r="20045" spans="1:6" ht="15.75" customHeight="1">
      <c r="A20045" s="16" t="s">
        <v>29292</v>
      </c>
      <c r="B20045" s="15" t="s">
        <v>29292</v>
      </c>
      <c r="C20045" s="16" t="s">
        <v>27788</v>
      </c>
      <c r="D20045" s="16" t="s">
        <v>27813</v>
      </c>
      <c r="E20045" s="2">
        <v>5162851</v>
      </c>
      <c r="F20045" s="4" t="str">
        <f>IF(B20045=B20044,"",B20045)</f>
        <v>Middleburg Heights</v>
      </c>
    </row>
    <row r="20046" spans="1:6" ht="15.75" customHeight="1">
      <c r="A20046" s="8" t="str">
        <f ca="1">IFERROR(__xludf.DUMMYFUNCTION("GOOGLETRANSLATE(B44521,""en"",""pt"")"),"Middleburg Heights")</f>
        <v>Middleburg Heights</v>
      </c>
      <c r="B20046" s="9" t="s">
        <v>29292</v>
      </c>
      <c r="C20046" s="9" t="s">
        <v>27788</v>
      </c>
      <c r="D20046" s="9" t="s">
        <v>27813</v>
      </c>
      <c r="E20046" s="10">
        <v>5162851</v>
      </c>
      <c r="F20046" s="4" t="str">
        <f>IF(B20046=B20045,"",B20046)</f>
        <v/>
      </c>
    </row>
    <row r="20047" spans="1:6" ht="15.75" customHeight="1">
      <c r="A20047" s="16" t="s">
        <v>29290</v>
      </c>
      <c r="B20047" s="15" t="s">
        <v>29291</v>
      </c>
      <c r="C20047" s="16" t="s">
        <v>27788</v>
      </c>
      <c r="D20047" s="16" t="s">
        <v>17061</v>
      </c>
      <c r="E20047" s="2">
        <v>4362344</v>
      </c>
      <c r="F20047" s="4" t="str">
        <f>IF(B20047=B20046,"",B20047)</f>
        <v>Middle River</v>
      </c>
    </row>
    <row r="20048" spans="1:6" ht="15.75" customHeight="1">
      <c r="A20048" s="8" t="str">
        <f ca="1">IFERROR(__xludf.DUMMYFUNCTION("GOOGLETRANSLATE(B43307,""en"",""pt"")"),"Rio médio")</f>
        <v>Rio médio</v>
      </c>
      <c r="B20048" s="9" t="s">
        <v>29291</v>
      </c>
      <c r="C20048" s="9" t="s">
        <v>27788</v>
      </c>
      <c r="D20048" s="9" t="s">
        <v>17061</v>
      </c>
      <c r="E20048" s="10">
        <v>4362344</v>
      </c>
      <c r="F20048" s="4" t="str">
        <f>IF(B20048=B20047,"",B20048)</f>
        <v/>
      </c>
    </row>
    <row r="20049" spans="1:6" ht="15.75" customHeight="1">
      <c r="A20049" s="16" t="s">
        <v>1641</v>
      </c>
      <c r="B20049" s="15" t="s">
        <v>1641</v>
      </c>
      <c r="C20049" s="16" t="s">
        <v>1512</v>
      </c>
      <c r="D20049" s="16" t="s">
        <v>1513</v>
      </c>
      <c r="E20049" s="2">
        <v>2791194</v>
      </c>
      <c r="F20049" s="4" t="str">
        <f>IF(B20049=B20048,"",B20049)</f>
        <v>Middelkerke</v>
      </c>
    </row>
    <row r="20050" spans="1:6" ht="15.75" customHeight="1">
      <c r="A20050" s="8" t="str">
        <f ca="1">IFERROR(__xludf.DUMMYFUNCTION("GOOGLETRANSLATE(B23867,""en"",""pt"")"),"Middelkerke")</f>
        <v>Middelkerke</v>
      </c>
      <c r="B20050" s="9" t="s">
        <v>1641</v>
      </c>
      <c r="C20050" s="9" t="s">
        <v>1512</v>
      </c>
      <c r="D20050" s="9" t="s">
        <v>1513</v>
      </c>
      <c r="E20050" s="10">
        <v>2791194</v>
      </c>
      <c r="F20050" s="4" t="str">
        <f>IF(B20050=B20049,"",B20050)</f>
        <v/>
      </c>
    </row>
    <row r="20051" spans="1:6" ht="15.75" customHeight="1">
      <c r="A20051" s="16" t="s">
        <v>19041</v>
      </c>
      <c r="B20051" s="15" t="s">
        <v>19042</v>
      </c>
      <c r="C20051" s="16" t="s">
        <v>18862</v>
      </c>
      <c r="D20051" s="16" t="s">
        <v>18868</v>
      </c>
      <c r="E20051" s="2">
        <v>2750884</v>
      </c>
      <c r="F20051" s="4" t="str">
        <f>IF(B20051=B20050,"",B20051)</f>
        <v>Middelharnis</v>
      </c>
    </row>
    <row r="20052" spans="1:6" ht="15.75" customHeight="1">
      <c r="A20052" s="8" t="str">
        <f ca="1">IFERROR(__xludf.DUMMYFUNCTION("GOOGLETRANSLATE(B37995,""en"",""pt"")"),"MIDDELHARNIS")</f>
        <v>MIDDELHARNIS</v>
      </c>
      <c r="B20052" s="9" t="s">
        <v>19042</v>
      </c>
      <c r="C20052" s="9" t="s">
        <v>18862</v>
      </c>
      <c r="D20052" s="9" t="s">
        <v>18868</v>
      </c>
      <c r="E20052" s="10">
        <v>2750884</v>
      </c>
      <c r="F20052" s="4" t="str">
        <f>IF(B20052=B20051,"",B20052)</f>
        <v/>
      </c>
    </row>
    <row r="20053" spans="1:6" ht="15.75" customHeight="1">
      <c r="A20053" s="16" t="s">
        <v>19040</v>
      </c>
      <c r="B20053" s="15" t="s">
        <v>19040</v>
      </c>
      <c r="C20053" s="16" t="s">
        <v>18862</v>
      </c>
      <c r="D20053" s="16" t="s">
        <v>18913</v>
      </c>
      <c r="E20053" s="2">
        <v>2750896</v>
      </c>
      <c r="F20053" s="4" t="str">
        <f>IF(B20053=B20052,"",B20053)</f>
        <v>Middelburg</v>
      </c>
    </row>
    <row r="20054" spans="1:6" ht="15.75" customHeight="1">
      <c r="A20054" s="16" t="s">
        <v>19040</v>
      </c>
      <c r="B20054" s="15" t="s">
        <v>19040</v>
      </c>
      <c r="C20054" s="16" t="s">
        <v>23842</v>
      </c>
      <c r="D20054" s="16" t="s">
        <v>23843</v>
      </c>
      <c r="E20054" s="2">
        <v>976358</v>
      </c>
      <c r="F20054" s="4" t="str">
        <f>IF(B20054=B20053,"",B20054)</f>
        <v/>
      </c>
    </row>
    <row r="20055" spans="1:6" ht="15.75" customHeight="1">
      <c r="A20055" s="16" t="s">
        <v>19040</v>
      </c>
      <c r="B20055" s="15" t="s">
        <v>19040</v>
      </c>
      <c r="C20055" s="16" t="s">
        <v>23842</v>
      </c>
      <c r="D20055" s="16" t="s">
        <v>23849</v>
      </c>
      <c r="E20055" s="2">
        <v>976361</v>
      </c>
      <c r="F20055" s="4" t="str">
        <f>IF(B20055=B20054,"",B20055)</f>
        <v/>
      </c>
    </row>
    <row r="20056" spans="1:6" ht="15.75" customHeight="1">
      <c r="A20056" s="8" t="str">
        <f ca="1">IFERROR(__xludf.DUMMYFUNCTION("GOOGLETRANSLATE(B37996,""en"",""pt"")"),"Middelburg")</f>
        <v>Middelburg</v>
      </c>
      <c r="B20056" s="9" t="s">
        <v>19040</v>
      </c>
      <c r="C20056" s="9" t="s">
        <v>18862</v>
      </c>
      <c r="D20056" s="9" t="s">
        <v>18913</v>
      </c>
      <c r="E20056" s="10">
        <v>2750896</v>
      </c>
      <c r="F20056" s="4" t="str">
        <f>IF(B20056=B20055,"",B20056)</f>
        <v/>
      </c>
    </row>
    <row r="20057" spans="1:6" ht="15.75" customHeight="1">
      <c r="A20057" s="8" t="str">
        <f ca="1">IFERROR(__xludf.DUMMYFUNCTION("GOOGLETRANSLATE(B45915,""en"",""pt"")"),"Middelburg")</f>
        <v>Middelburg</v>
      </c>
      <c r="B20057" s="11" t="s">
        <v>19040</v>
      </c>
      <c r="C20057" s="11" t="s">
        <v>23842</v>
      </c>
      <c r="D20057" s="11" t="s">
        <v>23843</v>
      </c>
      <c r="E20057" s="10">
        <v>976358</v>
      </c>
      <c r="F20057" s="4" t="str">
        <f>IF(B20057=B20056,"",B20057)</f>
        <v/>
      </c>
    </row>
    <row r="20058" spans="1:6" ht="15.75" customHeight="1">
      <c r="A20058" s="8" t="str">
        <f ca="1">IFERROR(__xludf.DUMMYFUNCTION("GOOGLETRANSLATE(B45916,""en"",""pt"")"),"Middelburg")</f>
        <v>Middelburg</v>
      </c>
      <c r="B20058" s="9" t="s">
        <v>19040</v>
      </c>
      <c r="C20058" s="9" t="s">
        <v>23842</v>
      </c>
      <c r="D20058" s="9" t="s">
        <v>23849</v>
      </c>
      <c r="E20058" s="10">
        <v>976361</v>
      </c>
      <c r="F20058" s="4" t="str">
        <f>IF(B20058=B20057,"",B20058)</f>
        <v/>
      </c>
    </row>
    <row r="20059" spans="1:6" ht="15.75" customHeight="1">
      <c r="A20059" s="16" t="s">
        <v>22742</v>
      </c>
      <c r="B20059" s="15" t="s">
        <v>22742</v>
      </c>
      <c r="C20059" s="16" t="s">
        <v>22070</v>
      </c>
      <c r="D20059" s="16" t="s">
        <v>22529</v>
      </c>
      <c r="E20059" s="2">
        <v>527191</v>
      </c>
      <c r="F20059" s="4" t="str">
        <f>IF(B20059=B20058,"",B20059)</f>
        <v>Michurinsk</v>
      </c>
    </row>
    <row r="20060" spans="1:6" ht="15.75" customHeight="1">
      <c r="A20060" s="8" t="str">
        <f ca="1">IFERROR(__xludf.DUMMYFUNCTION("GOOGLETRANSLATE(B40320,""en"",""pt"")"),"Michurinsk")</f>
        <v>Michurinsk</v>
      </c>
      <c r="B20060" s="11" t="s">
        <v>22742</v>
      </c>
      <c r="C20060" s="11" t="s">
        <v>22070</v>
      </c>
      <c r="D20060" s="11" t="s">
        <v>22529</v>
      </c>
      <c r="E20060" s="10">
        <v>527191</v>
      </c>
      <c r="F20060" s="4" t="str">
        <f>IF(B20060=B20059,"",B20060)</f>
        <v/>
      </c>
    </row>
    <row r="20061" spans="1:6" ht="15.75" customHeight="1">
      <c r="A20061" s="16" t="s">
        <v>29288</v>
      </c>
      <c r="B20061" s="15" t="s">
        <v>29289</v>
      </c>
      <c r="C20061" s="16" t="s">
        <v>27788</v>
      </c>
      <c r="D20061" s="16" t="s">
        <v>27869</v>
      </c>
      <c r="E20061" s="2">
        <v>4923531</v>
      </c>
      <c r="F20061" s="4" t="str">
        <f>IF(B20061=B20060,"",B20061)</f>
        <v>Michigan City</v>
      </c>
    </row>
    <row r="20062" spans="1:6" ht="15.75" customHeight="1">
      <c r="A20062" s="8" t="str">
        <f ca="1">IFERROR(__xludf.DUMMYFUNCTION("GOOGLETRANSLATE(B43930,""en"",""pt"")"),"Cidade de Michigan")</f>
        <v>Cidade de Michigan</v>
      </c>
      <c r="B20062" s="11" t="s">
        <v>29289</v>
      </c>
      <c r="C20062" s="11" t="s">
        <v>27788</v>
      </c>
      <c r="D20062" s="11" t="s">
        <v>27869</v>
      </c>
      <c r="E20062" s="10">
        <v>4923531</v>
      </c>
      <c r="F20062" s="4" t="str">
        <f>IF(B20062=B20061,"",B20062)</f>
        <v/>
      </c>
    </row>
    <row r="20063" spans="1:6" ht="15.75" customHeight="1">
      <c r="A20063" s="16" t="s">
        <v>8854</v>
      </c>
      <c r="B20063" s="15" t="s">
        <v>8854</v>
      </c>
      <c r="C20063" s="16" t="s">
        <v>8028</v>
      </c>
      <c r="D20063" s="16" t="s">
        <v>8050</v>
      </c>
      <c r="E20063" s="2">
        <v>2871284</v>
      </c>
      <c r="F20063" s="4" t="str">
        <f>IF(B20063=B20062,"",B20063)</f>
        <v>Michelstadt</v>
      </c>
    </row>
    <row r="20064" spans="1:6" ht="15.75" customHeight="1">
      <c r="A20064" s="8" t="str">
        <f ca="1">IFERROR(__xludf.DUMMYFUNCTION("GOOGLETRANSLATE(B27758,""en"",""pt"")"),"Michelstadt")</f>
        <v>Michelstadt</v>
      </c>
      <c r="B20064" s="11" t="s">
        <v>8854</v>
      </c>
      <c r="C20064" s="11" t="s">
        <v>8028</v>
      </c>
      <c r="D20064" s="11" t="s">
        <v>8050</v>
      </c>
      <c r="E20064" s="10">
        <v>2871284</v>
      </c>
      <c r="F20064" s="4" t="str">
        <f>IF(B20064=B20063,"",B20064)</f>
        <v/>
      </c>
    </row>
    <row r="20065" spans="1:6" ht="15.75" customHeight="1">
      <c r="A20065" s="16" t="s">
        <v>23740</v>
      </c>
      <c r="B20065" s="15" t="s">
        <v>23740</v>
      </c>
      <c r="C20065" s="16" t="s">
        <v>23694</v>
      </c>
      <c r="D20065" s="16" t="s">
        <v>23729</v>
      </c>
      <c r="E20065" s="2">
        <v>724144</v>
      </c>
      <c r="F20065" s="4" t="str">
        <f>IF(B20065=B20064,"",B20065)</f>
        <v>Michalovce</v>
      </c>
    </row>
    <row r="20066" spans="1:6" ht="15.75" customHeight="1">
      <c r="A20066" s="8" t="str">
        <f ca="1">IFERROR(__xludf.DUMMYFUNCTION("GOOGLETRANSLATE(B41230,""en"",""pt"")"),"Michalovce")</f>
        <v>Michalovce</v>
      </c>
      <c r="B20066" s="11" t="s">
        <v>23740</v>
      </c>
      <c r="C20066" s="11" t="s">
        <v>23694</v>
      </c>
      <c r="D20066" s="11" t="s">
        <v>35668</v>
      </c>
      <c r="E20066" s="10">
        <v>724144</v>
      </c>
      <c r="F20066" s="4" t="str">
        <f>IF(B20066=B20065,"",B20066)</f>
        <v/>
      </c>
    </row>
    <row r="20067" spans="1:6" ht="15.75" customHeight="1">
      <c r="A20067" s="15" t="s">
        <v>16213</v>
      </c>
      <c r="B20067" s="15" t="s">
        <v>16213</v>
      </c>
      <c r="C20067" s="15" t="s">
        <v>15704</v>
      </c>
      <c r="D20067" s="15" t="s">
        <v>15799</v>
      </c>
      <c r="E20067" s="2">
        <v>1857379</v>
      </c>
      <c r="F20067" s="4" t="str">
        <f>IF(B20067=B20066,"",B20067)</f>
        <v>Mibu</v>
      </c>
    </row>
    <row r="20068" spans="1:6" ht="15.75" customHeight="1">
      <c r="A20068" s="8" t="str">
        <f ca="1">IFERROR(__xludf.DUMMYFUNCTION("GOOGLETRANSLATE(B35439,""en"",""pt"")"),"Mibu")</f>
        <v>Mibu</v>
      </c>
      <c r="B20068" s="11" t="s">
        <v>16213</v>
      </c>
      <c r="C20068" s="11" t="s">
        <v>15704</v>
      </c>
      <c r="D20068" s="11" t="s">
        <v>15799</v>
      </c>
      <c r="E20068" s="10">
        <v>1857379</v>
      </c>
      <c r="F20068" s="4" t="str">
        <f>IF(B20068=B20067,"",B20068)</f>
        <v/>
      </c>
    </row>
    <row r="20069" spans="1:6" ht="15.75" customHeight="1">
      <c r="A20069" s="16" t="s">
        <v>17123</v>
      </c>
      <c r="B20069" s="15" t="s">
        <v>17110</v>
      </c>
      <c r="C20069" s="16" t="s">
        <v>17074</v>
      </c>
      <c r="D20069" s="16" t="s">
        <v>17110</v>
      </c>
      <c r="E20069" s="2">
        <v>2214846</v>
      </c>
      <c r="F20069" s="4" t="str">
        <f>IF(B20069=B20068,"",B20069)</f>
        <v>MiÅŸrÄtah</v>
      </c>
    </row>
    <row r="20070" spans="1:6" ht="15.75" customHeight="1">
      <c r="A20070" s="16" t="s">
        <v>21348</v>
      </c>
      <c r="B20070" s="15" t="s">
        <v>21349</v>
      </c>
      <c r="C20070" s="16" t="s">
        <v>21064</v>
      </c>
      <c r="D20070" s="16" t="s">
        <v>21065</v>
      </c>
      <c r="E20070" s="2">
        <v>3091969</v>
      </c>
      <c r="F20070" s="4" t="str">
        <f>IF(B20070=B20069,"",B20070)</f>
        <v>MiÄ™dzyrzecz</v>
      </c>
    </row>
    <row r="20071" spans="1:6" ht="15.75" customHeight="1">
      <c r="A20071" s="16" t="s">
        <v>21346</v>
      </c>
      <c r="B20071" s="15" t="s">
        <v>21347</v>
      </c>
      <c r="C20071" s="16" t="s">
        <v>21064</v>
      </c>
      <c r="D20071" s="16" t="s">
        <v>21091</v>
      </c>
      <c r="E20071" s="2">
        <v>764862</v>
      </c>
      <c r="F20071" s="4" t="str">
        <f>IF(B20071=B20070,"",B20071)</f>
        <v>MiÄ™dzyrzec Podlaski</v>
      </c>
    </row>
    <row r="20072" spans="1:6" ht="15.75" customHeight="1">
      <c r="A20072" s="15" t="s">
        <v>22741</v>
      </c>
      <c r="B20072" s="15" t="s">
        <v>22741</v>
      </c>
      <c r="C20072" s="15" t="s">
        <v>22070</v>
      </c>
      <c r="D20072" s="15" t="s">
        <v>22166</v>
      </c>
      <c r="E20072" s="2">
        <v>1498894</v>
      </c>
      <c r="F20072" s="4" t="str">
        <f>IF(B20072=B20071,"",B20072)</f>
        <v>Miass</v>
      </c>
    </row>
    <row r="20073" spans="1:6" ht="15.75" customHeight="1">
      <c r="A20073" s="8" t="str">
        <f ca="1">IFERROR(__xludf.DUMMYFUNCTION("GOOGLETRANSLATE(B40796,""en"",""pt"")"),"Miass")</f>
        <v>Miass</v>
      </c>
      <c r="B20073" s="9" t="s">
        <v>22741</v>
      </c>
      <c r="C20073" s="9" t="s">
        <v>22070</v>
      </c>
      <c r="D20073" s="9" t="s">
        <v>22166</v>
      </c>
      <c r="E20073" s="10">
        <v>1498894</v>
      </c>
      <c r="F20073" s="4" t="str">
        <f>IF(B20073=B20072,"",B20073)</f>
        <v/>
      </c>
    </row>
    <row r="20074" spans="1:6" ht="15.75" customHeight="1">
      <c r="A20074" s="15" t="s">
        <v>4945</v>
      </c>
      <c r="B20074" s="15" t="s">
        <v>4945</v>
      </c>
      <c r="C20074" s="15" t="s">
        <v>4487</v>
      </c>
      <c r="D20074" s="15" t="s">
        <v>4588</v>
      </c>
      <c r="E20074" s="2">
        <v>1800627</v>
      </c>
      <c r="F20074" s="4" t="str">
        <f>IF(B20074=B20073,"",B20074)</f>
        <v>Mianyang</v>
      </c>
    </row>
    <row r="20075" spans="1:6" ht="15.75" customHeight="1">
      <c r="A20075" s="8" t="str">
        <f ca="1">IFERROR(__xludf.DUMMYFUNCTION("GOOGLETRANSLATE(B26354,""en"",""pt"")"),"Mianyang")</f>
        <v>Mianyang</v>
      </c>
      <c r="B20075" s="9" t="s">
        <v>4945</v>
      </c>
      <c r="C20075" s="9" t="s">
        <v>4487</v>
      </c>
      <c r="D20075" s="9" t="s">
        <v>4588</v>
      </c>
      <c r="E20075" s="10">
        <v>1800627</v>
      </c>
      <c r="F20075" s="4" t="str">
        <f>IF(B20075=B20074,"",B20075)</f>
        <v/>
      </c>
    </row>
    <row r="20076" spans="1:6" ht="15.75" customHeight="1">
      <c r="A20076" s="8" t="str">
        <f ca="1">IFERROR(__xludf.DUMMYFUNCTION("GOOGLETRANSLATE(B38985,""en"",""pt"")"),"Miānwāli")</f>
        <v>Miānwāli</v>
      </c>
      <c r="B20076" s="11" t="s">
        <v>34954</v>
      </c>
      <c r="C20076" s="11" t="s">
        <v>19808</v>
      </c>
      <c r="D20076" s="11" t="s">
        <v>10184</v>
      </c>
      <c r="E20076" s="10">
        <v>1170425</v>
      </c>
      <c r="F20076" s="4" t="str">
        <f>IF(B20076=B20075,"",B20076)</f>
        <v>Miānwāli</v>
      </c>
    </row>
    <row r="20077" spans="1:6" ht="15.75" customHeight="1">
      <c r="A20077" s="16" t="s">
        <v>17385</v>
      </c>
      <c r="B20077" s="15" t="s">
        <v>17385</v>
      </c>
      <c r="C20077" s="16" t="s">
        <v>17292</v>
      </c>
      <c r="D20077" s="16" t="s">
        <v>17345</v>
      </c>
      <c r="E20077" s="2">
        <v>1059051</v>
      </c>
      <c r="F20077" s="4" t="str">
        <f>IF(B20077=B20076,"",B20077)</f>
        <v>Miandrivazo</v>
      </c>
    </row>
    <row r="20078" spans="1:6" ht="15.75" customHeight="1">
      <c r="A20078" s="8" t="str">
        <f ca="1">IFERROR(__xludf.DUMMYFUNCTION("GOOGLETRANSLATE(B36577,""en"",""pt"")"),"Miandrivazo")</f>
        <v>Miandrivazo</v>
      </c>
      <c r="B20078" s="9" t="s">
        <v>17385</v>
      </c>
      <c r="C20078" s="9" t="s">
        <v>17292</v>
      </c>
      <c r="D20078" s="9" t="s">
        <v>17345</v>
      </c>
      <c r="E20078" s="10">
        <v>1059051</v>
      </c>
      <c r="F20078" s="4" t="str">
        <f>IF(B20078=B20077,"",B20078)</f>
        <v/>
      </c>
    </row>
    <row r="20079" spans="1:6" ht="15.75" customHeight="1">
      <c r="A20079" s="16" t="s">
        <v>17384</v>
      </c>
      <c r="B20079" s="15" t="s">
        <v>17384</v>
      </c>
      <c r="C20079" s="16" t="s">
        <v>17292</v>
      </c>
      <c r="D20079" s="16" t="s">
        <v>17304</v>
      </c>
      <c r="E20079" s="2">
        <v>1059059</v>
      </c>
      <c r="F20079" s="4" t="str">
        <f>IF(B20079=B20078,"",B20079)</f>
        <v>Miandrarivo</v>
      </c>
    </row>
    <row r="20080" spans="1:6" ht="15.75" customHeight="1">
      <c r="A20080" s="8" t="str">
        <f ca="1">IFERROR(__xludf.DUMMYFUNCTION("GOOGLETRANSLATE(B36578,""en"",""pt"")"),"Miandrarivo")</f>
        <v>Miandrarivo</v>
      </c>
      <c r="B20080" s="9" t="s">
        <v>17384</v>
      </c>
      <c r="C20080" s="9" t="s">
        <v>17292</v>
      </c>
      <c r="D20080" s="9" t="s">
        <v>17304</v>
      </c>
      <c r="E20080" s="10">
        <v>1059059</v>
      </c>
      <c r="F20080" s="4" t="str">
        <f>IF(B20080=B20079,"",B20080)</f>
        <v/>
      </c>
    </row>
    <row r="20081" spans="1:6" ht="15.75" customHeight="1">
      <c r="A20081" s="8" t="str">
        <f ca="1">IFERROR(__xludf.DUMMYFUNCTION("GOOGLETRANSLATE(B34412,""en"",""pt"")"),"Mīāndoāb")</f>
        <v>Mīāndoāb</v>
      </c>
      <c r="B20081" s="11" t="s">
        <v>34174</v>
      </c>
      <c r="C20081" s="11" t="s">
        <v>14240</v>
      </c>
      <c r="D20081" s="11" t="s">
        <v>34137</v>
      </c>
      <c r="E20081" s="10">
        <v>124085</v>
      </c>
      <c r="F20081" s="4" t="str">
        <f>IF(B20081=B20080,"",B20081)</f>
        <v>Mīāndoāb</v>
      </c>
    </row>
    <row r="20082" spans="1:6" ht="15.75" customHeight="1">
      <c r="A20082" s="8" t="str">
        <f ca="1">IFERROR(__xludf.DUMMYFUNCTION("GOOGLETRANSLATE(B38986,""en"",""pt"")"),"Miān Channūn")</f>
        <v>Miān Channūn</v>
      </c>
      <c r="B20082" s="11" t="s">
        <v>34955</v>
      </c>
      <c r="C20082" s="11" t="s">
        <v>19808</v>
      </c>
      <c r="D20082" s="11" t="s">
        <v>10184</v>
      </c>
      <c r="E20082" s="10">
        <v>1170486</v>
      </c>
      <c r="F20082" s="4" t="str">
        <f>IF(B20082=B20081,"",B20082)</f>
        <v>Miān Channūn</v>
      </c>
    </row>
    <row r="20083" spans="1:6" ht="15.75" customHeight="1">
      <c r="A20083" s="16" t="s">
        <v>29287</v>
      </c>
      <c r="B20083" s="15" t="s">
        <v>29287</v>
      </c>
      <c r="C20083" s="16" t="s">
        <v>27788</v>
      </c>
      <c r="D20083" s="16" t="s">
        <v>27813</v>
      </c>
      <c r="E20083" s="2">
        <v>4518188</v>
      </c>
      <c r="F20083" s="4" t="str">
        <f>IF(B20083=B20082,"",B20083)</f>
        <v>Miamisburg</v>
      </c>
    </row>
    <row r="20084" spans="1:6" ht="15.75" customHeight="1">
      <c r="A20084" s="8" t="str">
        <f ca="1">IFERROR(__xludf.DUMMYFUNCTION("GOOGLETRANSLATE(B43520,""en"",""pt"")"),"Miamisburg")</f>
        <v>Miamisburg</v>
      </c>
      <c r="B20084" s="9" t="s">
        <v>29287</v>
      </c>
      <c r="C20084" s="9" t="s">
        <v>27788</v>
      </c>
      <c r="D20084" s="9" t="s">
        <v>27813</v>
      </c>
      <c r="E20084" s="10">
        <v>4518188</v>
      </c>
      <c r="F20084" s="4" t="str">
        <f>IF(B20084=B20083,"",B20084)</f>
        <v/>
      </c>
    </row>
    <row r="20085" spans="1:6" ht="15.75" customHeight="1">
      <c r="A20085" s="16" t="s">
        <v>29286</v>
      </c>
      <c r="B20085" s="15" t="s">
        <v>29286</v>
      </c>
      <c r="C20085" s="16" t="s">
        <v>27788</v>
      </c>
      <c r="D20085" s="16" t="s">
        <v>5468</v>
      </c>
      <c r="E20085" s="2">
        <v>4164186</v>
      </c>
      <c r="F20085" s="4" t="str">
        <f>IF(B20085=B20084,"",B20085)</f>
        <v>Miami Lakes</v>
      </c>
    </row>
    <row r="20086" spans="1:6" ht="15.75" customHeight="1">
      <c r="A20086" s="8" t="str">
        <f ca="1">IFERROR(__xludf.DUMMYFUNCTION("GOOGLETRANSLATE(B42953,""en"",""pt"")"),"Lagos de Miami")</f>
        <v>Lagos de Miami</v>
      </c>
      <c r="B20086" s="9" t="s">
        <v>29286</v>
      </c>
      <c r="C20086" s="9" t="s">
        <v>27788</v>
      </c>
      <c r="D20086" s="9" t="s">
        <v>5468</v>
      </c>
      <c r="E20086" s="10">
        <v>4164186</v>
      </c>
      <c r="F20086" s="4" t="str">
        <f>IF(B20086=B20085,"",B20086)</f>
        <v/>
      </c>
    </row>
    <row r="20087" spans="1:6" ht="15.75" customHeight="1">
      <c r="A20087" s="16" t="s">
        <v>29285</v>
      </c>
      <c r="B20087" s="15" t="s">
        <v>29285</v>
      </c>
      <c r="C20087" s="16" t="s">
        <v>27788</v>
      </c>
      <c r="D20087" s="16" t="s">
        <v>5468</v>
      </c>
      <c r="E20087" s="2">
        <v>4164167</v>
      </c>
      <c r="F20087" s="4" t="str">
        <f>IF(B20087=B20086,"",B20087)</f>
        <v>Miami Gardens</v>
      </c>
    </row>
    <row r="20088" spans="1:6" ht="15.75" customHeight="1">
      <c r="A20088" s="8" t="str">
        <f ca="1">IFERROR(__xludf.DUMMYFUNCTION("GOOGLETRANSLATE(B42952,""en"",""pt"")"),"Miami Gardens")</f>
        <v>Miami Gardens</v>
      </c>
      <c r="B20088" s="11" t="s">
        <v>29285</v>
      </c>
      <c r="C20088" s="11" t="s">
        <v>27788</v>
      </c>
      <c r="D20088" s="11" t="s">
        <v>5468</v>
      </c>
      <c r="E20088" s="10">
        <v>4164167</v>
      </c>
      <c r="F20088" s="4" t="str">
        <f>IF(B20088=B20087,"",B20088)</f>
        <v/>
      </c>
    </row>
    <row r="20089" spans="1:6" ht="15.75" customHeight="1">
      <c r="A20089" s="16" t="s">
        <v>29283</v>
      </c>
      <c r="B20089" s="15" t="s">
        <v>29284</v>
      </c>
      <c r="C20089" s="16" t="s">
        <v>27788</v>
      </c>
      <c r="D20089" s="16" t="s">
        <v>5468</v>
      </c>
      <c r="E20089" s="2">
        <v>4164143</v>
      </c>
      <c r="F20089" s="4" t="str">
        <f>IF(B20089=B20088,"",B20089)</f>
        <v>Miami Beach</v>
      </c>
    </row>
    <row r="20090" spans="1:6" ht="15.75" customHeight="1">
      <c r="A20090" s="8" t="str">
        <f ca="1">IFERROR(__xludf.DUMMYFUNCTION("GOOGLETRANSLATE(B42951,""en"",""pt"")"),"Praia de Miami")</f>
        <v>Praia de Miami</v>
      </c>
      <c r="B20090" s="11" t="s">
        <v>29284</v>
      </c>
      <c r="C20090" s="11" t="s">
        <v>27788</v>
      </c>
      <c r="D20090" s="11" t="s">
        <v>5468</v>
      </c>
      <c r="E20090" s="10">
        <v>4164143</v>
      </c>
      <c r="F20090" s="4" t="str">
        <f>IF(B20090=B20089,"",B20090)</f>
        <v/>
      </c>
    </row>
    <row r="20091" spans="1:6" ht="15.75" customHeight="1">
      <c r="A20091" s="15" t="s">
        <v>29282</v>
      </c>
      <c r="B20091" s="15" t="s">
        <v>29282</v>
      </c>
      <c r="C20091" s="15" t="s">
        <v>27788</v>
      </c>
      <c r="D20091" s="15" t="s">
        <v>5468</v>
      </c>
      <c r="E20091" s="2">
        <v>4164138</v>
      </c>
      <c r="F20091" s="4" t="str">
        <f>IF(B20091=B20090,"",B20091)</f>
        <v>Miami</v>
      </c>
    </row>
    <row r="20092" spans="1:6" ht="15.75" customHeight="1">
      <c r="A20092" s="8" t="str">
        <f ca="1">IFERROR(__xludf.DUMMYFUNCTION("GOOGLETRANSLATE(B42950,""en"",""pt"")"),"Miami")</f>
        <v>Miami</v>
      </c>
      <c r="B20092" s="11" t="s">
        <v>29282</v>
      </c>
      <c r="C20092" s="11" t="s">
        <v>27788</v>
      </c>
      <c r="D20092" s="11" t="s">
        <v>5468</v>
      </c>
      <c r="E20092" s="10">
        <v>4164138</v>
      </c>
      <c r="F20092" s="4" t="str">
        <f>IF(B20092=B20091,"",B20092)</f>
        <v/>
      </c>
    </row>
    <row r="20093" spans="1:6" ht="15.75" customHeight="1">
      <c r="A20093" s="8" t="str">
        <f ca="1">IFERROR(__xludf.DUMMYFUNCTION("GOOGLETRANSLATE(B36981,""en"",""pt"")"),"Miahuatlán de Porfirio Díaz")</f>
        <v>Miahuatlán de Porfirio Díaz</v>
      </c>
      <c r="B20093" s="9" t="s">
        <v>34690</v>
      </c>
      <c r="C20093" s="9" t="s">
        <v>17707</v>
      </c>
      <c r="D20093" s="9" t="s">
        <v>17844</v>
      </c>
      <c r="E20093" s="10">
        <v>3523240</v>
      </c>
      <c r="F20093" s="4" t="str">
        <f>IF(B20093=B20092,"",B20093)</f>
        <v>Miahuatlán de Porfirio Díaz</v>
      </c>
    </row>
    <row r="20094" spans="1:6" ht="15.75" customHeight="1">
      <c r="A20094" s="16" t="s">
        <v>18086</v>
      </c>
      <c r="B20094" s="15" t="s">
        <v>18087</v>
      </c>
      <c r="C20094" s="16" t="s">
        <v>17707</v>
      </c>
      <c r="D20094" s="16" t="s">
        <v>17844</v>
      </c>
      <c r="E20094" s="2">
        <v>3523240</v>
      </c>
      <c r="F20094" s="4" t="str">
        <f>IF(B20094=B20093,"",B20094)</f>
        <v>MiahuatlÃ¡n de Porfirio DÃ­az</v>
      </c>
    </row>
    <row r="20095" spans="1:6" ht="15.75" customHeight="1">
      <c r="A20095" s="16" t="s">
        <v>20104</v>
      </c>
      <c r="B20095" s="15" t="s">
        <v>20105</v>
      </c>
      <c r="C20095" s="16" t="s">
        <v>19808</v>
      </c>
      <c r="D20095" s="16" t="s">
        <v>10184</v>
      </c>
      <c r="E20095" s="2">
        <v>1170425</v>
      </c>
      <c r="F20095" s="4" t="str">
        <f>IF(B20095=B20094,"",B20095)</f>
        <v>MiÄnwÄli</v>
      </c>
    </row>
    <row r="20096" spans="1:6" ht="15.75" customHeight="1">
      <c r="A20096" s="16" t="s">
        <v>20102</v>
      </c>
      <c r="B20096" s="15" t="s">
        <v>20103</v>
      </c>
      <c r="C20096" s="16" t="s">
        <v>19808</v>
      </c>
      <c r="D20096" s="16" t="s">
        <v>10184</v>
      </c>
      <c r="E20096" s="2">
        <v>1170486</v>
      </c>
      <c r="F20096" s="4" t="str">
        <f>IF(B20096=B20095,"",B20096)</f>
        <v>MiÄn ChannÅ«n</v>
      </c>
    </row>
    <row r="20097" spans="1:6" ht="15.75" customHeight="1">
      <c r="A20097" s="16" t="s">
        <v>21344</v>
      </c>
      <c r="B20097" s="15" t="s">
        <v>21345</v>
      </c>
      <c r="C20097" s="16" t="s">
        <v>21064</v>
      </c>
      <c r="D20097" s="16" t="s">
        <v>21070</v>
      </c>
      <c r="E20097" s="2">
        <v>764679</v>
      </c>
      <c r="F20097" s="4" t="str">
        <f>IF(B20097=B20096,"",B20097)</f>
        <v>MiÅ„sk Mazowiecki</v>
      </c>
    </row>
    <row r="20098" spans="1:6" ht="15.75" customHeight="1">
      <c r="A20098" s="8" t="str">
        <f ca="1">IFERROR(__xludf.DUMMYFUNCTION("GOOGLETRANSLATE(B32771,""en"",""pt"")"),"Mhāsvād")</f>
        <v>Mhāsvād</v>
      </c>
      <c r="B20098" s="11" t="s">
        <v>33384</v>
      </c>
      <c r="C20098" s="11" t="s">
        <v>10178</v>
      </c>
      <c r="D20098" s="11" t="s">
        <v>10214</v>
      </c>
      <c r="E20098" s="10">
        <v>1263083</v>
      </c>
      <c r="F20098" s="4" t="str">
        <f>IF(B20098=B20097,"",B20098)</f>
        <v>Mhāsvād</v>
      </c>
    </row>
    <row r="20099" spans="1:6" ht="15.75" customHeight="1">
      <c r="A20099" s="15" t="s">
        <v>25688</v>
      </c>
      <c r="B20099" s="15" t="s">
        <v>25688</v>
      </c>
      <c r="C20099" s="15" t="s">
        <v>25560</v>
      </c>
      <c r="D20099" s="15" t="s">
        <v>25615</v>
      </c>
      <c r="E20099" s="2">
        <v>154002</v>
      </c>
      <c r="F20099" s="4" t="str">
        <f>IF(B20099=B20098,"",B20099)</f>
        <v>Mhango</v>
      </c>
    </row>
    <row r="20100" spans="1:6" ht="15.75" customHeight="1">
      <c r="A20100" s="8" t="str">
        <f ca="1">IFERROR(__xludf.DUMMYFUNCTION("GOOGLETRANSLATE(B42352,""en"",""pt"")"),"Mhango")</f>
        <v>Mhango</v>
      </c>
      <c r="B20100" s="11" t="s">
        <v>25688</v>
      </c>
      <c r="C20100" s="11" t="s">
        <v>25560</v>
      </c>
      <c r="D20100" s="11" t="s">
        <v>25615</v>
      </c>
      <c r="E20100" s="10">
        <v>154002</v>
      </c>
      <c r="F20100" s="4" t="str">
        <f>IF(B20100=B20099,"",B20100)</f>
        <v/>
      </c>
    </row>
    <row r="20101" spans="1:6" ht="15.75" customHeight="1">
      <c r="A20101" s="16" t="s">
        <v>12402</v>
      </c>
      <c r="B20101" s="15" t="s">
        <v>12403</v>
      </c>
      <c r="C20101" s="16" t="s">
        <v>10178</v>
      </c>
      <c r="D20101" s="16" t="s">
        <v>10214</v>
      </c>
      <c r="E20101" s="2">
        <v>1263083</v>
      </c>
      <c r="F20101" s="4" t="str">
        <f>IF(B20101=B20100,"",B20101)</f>
        <v>MhÄsvÄd</v>
      </c>
    </row>
    <row r="20102" spans="1:6" ht="15.75" customHeight="1">
      <c r="A20102" s="15" t="s">
        <v>25686</v>
      </c>
      <c r="B20102" s="15" t="s">
        <v>25687</v>
      </c>
      <c r="C20102" s="15" t="s">
        <v>25560</v>
      </c>
      <c r="D20102" s="15" t="s">
        <v>25602</v>
      </c>
      <c r="E20102" s="2">
        <v>154097</v>
      </c>
      <c r="F20102" s="4" t="str">
        <f>IF(B20102=B20101,"",B20102)</f>
        <v>Mgandu</v>
      </c>
    </row>
    <row r="20103" spans="1:6" ht="15.75" customHeight="1">
      <c r="A20103" s="8" t="str">
        <f ca="1">IFERROR(__xludf.DUMMYFUNCTION("GOOGLETRANSLATE(B42353,""en"",""pt"")"),"MGANDU")</f>
        <v>MGANDU</v>
      </c>
      <c r="B20103" s="9" t="s">
        <v>25687</v>
      </c>
      <c r="C20103" s="9" t="s">
        <v>25560</v>
      </c>
      <c r="D20103" s="9" t="s">
        <v>25602</v>
      </c>
      <c r="E20103" s="10">
        <v>154097</v>
      </c>
      <c r="F20103" s="4" t="str">
        <f>IF(B20103=B20102,"",B20103)</f>
        <v/>
      </c>
    </row>
    <row r="20104" spans="1:6" ht="15.75" customHeight="1">
      <c r="A20104" s="8" t="str">
        <f ca="1">IFERROR(__xludf.DUMMYFUNCTION("GOOGLETRANSLATE(B31251,""en"",""pt"")"),"Mezőtúr")</f>
        <v>Mezőtúr</v>
      </c>
      <c r="B20104" s="11" t="s">
        <v>32833</v>
      </c>
      <c r="C20104" s="11" t="s">
        <v>9955</v>
      </c>
      <c r="D20104" s="11" t="s">
        <v>32822</v>
      </c>
      <c r="E20104" s="10">
        <v>717635</v>
      </c>
      <c r="F20104" s="4" t="str">
        <f>IF(B20104=B20103,"",B20104)</f>
        <v>Mezőtúr</v>
      </c>
    </row>
    <row r="20105" spans="1:6" ht="15.75" customHeight="1">
      <c r="A20105" s="8" t="str">
        <f ca="1">IFERROR(__xludf.DUMMYFUNCTION("GOOGLETRANSLATE(B31252,""en"",""pt"")"),"Mezőkövesd")</f>
        <v>Mezőkövesd</v>
      </c>
      <c r="B20105" s="9" t="s">
        <v>32834</v>
      </c>
      <c r="C20105" s="9" t="s">
        <v>9955</v>
      </c>
      <c r="D20105" s="9" t="s">
        <v>32824</v>
      </c>
      <c r="E20105" s="10">
        <v>717652</v>
      </c>
      <c r="F20105" s="4" t="str">
        <f>IF(B20105=B20104,"",B20105)</f>
        <v>Mezőkövesd</v>
      </c>
    </row>
    <row r="20106" spans="1:6" ht="15.75" customHeight="1">
      <c r="A20106" s="16" t="s">
        <v>22740</v>
      </c>
      <c r="B20106" s="15" t="s">
        <v>22740</v>
      </c>
      <c r="C20106" s="16" t="s">
        <v>22070</v>
      </c>
      <c r="D20106" s="16" t="s">
        <v>22140</v>
      </c>
      <c r="E20106" s="2">
        <v>1498920</v>
      </c>
      <c r="F20106" s="4" t="str">
        <f>IF(B20106=B20105,"",B20106)</f>
        <v>Mezhdurechensk</v>
      </c>
    </row>
    <row r="20107" spans="1:6" ht="15.75" customHeight="1">
      <c r="A20107" s="8" t="str">
        <f ca="1">IFERROR(__xludf.DUMMYFUNCTION("GOOGLETRANSLATE(B40797,""en"",""pt"")"),"Mezhdurechensk")</f>
        <v>Mezhdurechensk</v>
      </c>
      <c r="B20107" s="9" t="s">
        <v>22740</v>
      </c>
      <c r="C20107" s="9" t="s">
        <v>22070</v>
      </c>
      <c r="D20107" s="9" t="s">
        <v>22140</v>
      </c>
      <c r="E20107" s="10">
        <v>1498920</v>
      </c>
      <c r="F20107" s="4" t="str">
        <f>IF(B20107=B20106,"",B20107)</f>
        <v/>
      </c>
    </row>
    <row r="20108" spans="1:6" ht="15.75" customHeight="1">
      <c r="A20108" s="15" t="s">
        <v>10101</v>
      </c>
      <c r="B20108" s="15" t="s">
        <v>10102</v>
      </c>
      <c r="C20108" s="15" t="s">
        <v>9955</v>
      </c>
      <c r="D20108" s="15" t="s">
        <v>10071</v>
      </c>
      <c r="E20108" s="2">
        <v>717635</v>
      </c>
      <c r="F20108" s="4" t="str">
        <f>IF(B20108=B20107,"",B20108)</f>
        <v>MezÅ‘tÃºr</v>
      </c>
    </row>
    <row r="20109" spans="1:6" ht="15.75" customHeight="1">
      <c r="A20109" s="16" t="s">
        <v>10099</v>
      </c>
      <c r="B20109" s="15" t="s">
        <v>10100</v>
      </c>
      <c r="C20109" s="16" t="s">
        <v>9955</v>
      </c>
      <c r="D20109" s="16" t="s">
        <v>9956</v>
      </c>
      <c r="E20109" s="2">
        <v>717652</v>
      </c>
      <c r="F20109" s="4" t="str">
        <f>IF(B20109=B20108,"",B20109)</f>
        <v>MezÅ‘kÃ¶vesd</v>
      </c>
    </row>
    <row r="20110" spans="1:6" ht="15.75" customHeight="1">
      <c r="A20110" s="15" t="s">
        <v>7586</v>
      </c>
      <c r="B20110" s="15" t="s">
        <v>7586</v>
      </c>
      <c r="C20110" s="15" t="s">
        <v>7052</v>
      </c>
      <c r="D20110" s="15" t="s">
        <v>7053</v>
      </c>
      <c r="E20110" s="2">
        <v>2994048</v>
      </c>
      <c r="F20110" s="4" t="str">
        <f>IF(B20110=B20109,"",B20110)</f>
        <v>Meyzieu</v>
      </c>
    </row>
    <row r="20111" spans="1:6" ht="15.75" customHeight="1">
      <c r="A20111" s="8" t="str">
        <f ca="1">IFERROR(__xludf.DUMMYFUNCTION("GOOGLETRANSLATE(B29922,""en"",""pt"")"),"Meyzieu")</f>
        <v>Meyzieu</v>
      </c>
      <c r="B20111" s="9" t="s">
        <v>7586</v>
      </c>
      <c r="C20111" s="9" t="s">
        <v>7052</v>
      </c>
      <c r="D20111" s="9" t="s">
        <v>32532</v>
      </c>
      <c r="E20111" s="10">
        <v>2994048</v>
      </c>
      <c r="F20111" s="4" t="str">
        <f>IF(B20111=B20110,"",B20111)</f>
        <v/>
      </c>
    </row>
    <row r="20112" spans="1:6" ht="15.75" customHeight="1">
      <c r="A20112" s="15" t="s">
        <v>25291</v>
      </c>
      <c r="B20112" s="15" t="s">
        <v>25291</v>
      </c>
      <c r="C20112" s="15" t="s">
        <v>25237</v>
      </c>
      <c r="D20112" s="15" t="s">
        <v>25253</v>
      </c>
      <c r="E20112" s="2">
        <v>2659667</v>
      </c>
      <c r="F20112" s="4" t="str">
        <f>IF(B20112=B20111,"",B20112)</f>
        <v>Meyrin</v>
      </c>
    </row>
    <row r="20113" spans="1:6" ht="15.75" customHeight="1">
      <c r="A20113" s="8" t="str">
        <f ca="1">IFERROR(__xludf.DUMMYFUNCTION("GOOGLETRANSLATE(B25769,""en"",""pt"")"),"Meyrin")</f>
        <v>Meyrin</v>
      </c>
      <c r="B20113" s="9" t="s">
        <v>25291</v>
      </c>
      <c r="C20113" s="9" t="s">
        <v>25237</v>
      </c>
      <c r="D20113" s="9" t="s">
        <v>25253</v>
      </c>
      <c r="E20113" s="10">
        <v>2659667</v>
      </c>
      <c r="F20113" s="4" t="str">
        <f>IF(B20113=B20112,"",B20113)</f>
        <v/>
      </c>
    </row>
    <row r="20114" spans="1:6" ht="15.75" customHeight="1">
      <c r="A20114" s="15" t="s">
        <v>7585</v>
      </c>
      <c r="B20114" s="15" t="s">
        <v>7585</v>
      </c>
      <c r="C20114" s="15" t="s">
        <v>7052</v>
      </c>
      <c r="D20114" s="15" t="s">
        <v>7053</v>
      </c>
      <c r="E20114" s="2">
        <v>2994087</v>
      </c>
      <c r="F20114" s="4" t="str">
        <f>IF(B20114=B20113,"",B20114)</f>
        <v>Meylan</v>
      </c>
    </row>
    <row r="20115" spans="1:6" ht="15.75" customHeight="1">
      <c r="A20115" s="8" t="str">
        <f ca="1">IFERROR(__xludf.DUMMYFUNCTION("GOOGLETRANSLATE(B29923,""en"",""pt"")"),"Meylan")</f>
        <v>Meylan</v>
      </c>
      <c r="B20115" s="9" t="s">
        <v>7585</v>
      </c>
      <c r="C20115" s="9" t="s">
        <v>7052</v>
      </c>
      <c r="D20115" s="9" t="s">
        <v>32532</v>
      </c>
      <c r="E20115" s="10">
        <v>2994087</v>
      </c>
      <c r="F20115" s="4" t="str">
        <f>IF(B20115=B20114,"",B20115)</f>
        <v/>
      </c>
    </row>
    <row r="20116" spans="1:6" ht="15.75" customHeight="1">
      <c r="A20116" s="16" t="s">
        <v>20903</v>
      </c>
      <c r="B20116" s="15" t="s">
        <v>20903</v>
      </c>
      <c r="C20116" s="16" t="s">
        <v>20598</v>
      </c>
      <c r="D20116" s="16" t="s">
        <v>20599</v>
      </c>
      <c r="E20116" s="2">
        <v>1699802</v>
      </c>
      <c r="F20116" s="4" t="str">
        <f>IF(B20116=B20115,"",B20116)</f>
        <v>Meycauayan</v>
      </c>
    </row>
    <row r="20117" spans="1:6" ht="15.75" customHeight="1">
      <c r="A20117" s="8" t="str">
        <f ca="1">IFERROR(__xludf.DUMMYFUNCTION("GOOGLETRANSLATE(B38604,""en"",""pt"")"),"Meycauayan")</f>
        <v>Meycauayan</v>
      </c>
      <c r="B20117" s="9" t="s">
        <v>20903</v>
      </c>
      <c r="C20117" s="9" t="s">
        <v>20598</v>
      </c>
      <c r="D20117" s="9" t="s">
        <v>20599</v>
      </c>
      <c r="E20117" s="10">
        <v>1699802</v>
      </c>
      <c r="F20117" s="4" t="str">
        <f>IF(B20117=B20116,"",B20117)</f>
        <v/>
      </c>
    </row>
    <row r="20118" spans="1:6" ht="15.75" customHeight="1">
      <c r="A20118" s="15" t="s">
        <v>14463</v>
      </c>
      <c r="B20118" s="15" t="s">
        <v>14463</v>
      </c>
      <c r="C20118" s="15" t="s">
        <v>14240</v>
      </c>
      <c r="D20118" s="15" t="s">
        <v>14291</v>
      </c>
      <c r="E20118" s="2">
        <v>124193</v>
      </c>
      <c r="F20118" s="4" t="str">
        <f>IF(B20118=B20117,"",B20118)</f>
        <v>Meybod</v>
      </c>
    </row>
    <row r="20119" spans="1:6" ht="15.75" customHeight="1">
      <c r="A20119" s="8" t="str">
        <f ca="1">IFERROR(__xludf.DUMMYFUNCTION("GOOGLETRANSLATE(B34413,""en"",""pt"")"),"Meybod")</f>
        <v>Meybod</v>
      </c>
      <c r="B20119" s="11" t="s">
        <v>14463</v>
      </c>
      <c r="C20119" s="11" t="s">
        <v>14240</v>
      </c>
      <c r="D20119" s="11" t="s">
        <v>14291</v>
      </c>
      <c r="E20119" s="10">
        <v>124193</v>
      </c>
      <c r="F20119" s="4" t="str">
        <f>IF(B20119=B20118,"",B20119)</f>
        <v/>
      </c>
    </row>
    <row r="20120" spans="1:6" ht="15.75" customHeight="1">
      <c r="A20120" s="16" t="s">
        <v>18084</v>
      </c>
      <c r="B20120" s="15" t="s">
        <v>18085</v>
      </c>
      <c r="C20120" s="16" t="s">
        <v>17707</v>
      </c>
      <c r="D20120" s="16" t="s">
        <v>17711</v>
      </c>
      <c r="E20120" s="2">
        <v>3530597</v>
      </c>
      <c r="F20120" s="4" t="str">
        <f>IF(B20120=B20119,"",B20120)</f>
        <v>México D.F.</v>
      </c>
    </row>
    <row r="20121" spans="1:6" ht="15.75" customHeight="1">
      <c r="A20121" s="16" t="s">
        <v>18084</v>
      </c>
      <c r="B20121" s="15" t="s">
        <v>17711</v>
      </c>
      <c r="C20121" s="16" t="s">
        <v>17707</v>
      </c>
      <c r="D20121" s="16" t="s">
        <v>17711</v>
      </c>
      <c r="E20121" s="2">
        <v>3530597</v>
      </c>
      <c r="F20121" s="4" t="str">
        <f>IF(B20121=B20120,"",B20121)</f>
        <v>Mexico City</v>
      </c>
    </row>
    <row r="20122" spans="1:6" ht="15.75" customHeight="1">
      <c r="A20122" s="8" t="str">
        <f ca="1">IFERROR(__xludf.DUMMYFUNCTION("GOOGLETRANSLATE(B37061,""en"",""pt"")"),"Cidade do México")</f>
        <v>Cidade do México</v>
      </c>
      <c r="B20122" s="9" t="s">
        <v>17711</v>
      </c>
      <c r="C20122" s="9" t="s">
        <v>17707</v>
      </c>
      <c r="D20122" s="9" t="s">
        <v>17711</v>
      </c>
      <c r="E20122" s="10">
        <v>3530597</v>
      </c>
      <c r="F20122" s="4" t="str">
        <f>IF(B20122=B20121,"",B20122)</f>
        <v/>
      </c>
    </row>
    <row r="20123" spans="1:6" ht="15.75" customHeight="1">
      <c r="A20123" s="15" t="s">
        <v>20902</v>
      </c>
      <c r="B20123" s="15" t="s">
        <v>17707</v>
      </c>
      <c r="C20123" s="15" t="s">
        <v>20598</v>
      </c>
      <c r="D20123" s="15" t="s">
        <v>20599</v>
      </c>
      <c r="E20123" s="2">
        <v>1699805</v>
      </c>
      <c r="F20123" s="4" t="str">
        <f>IF(B20123=B20122,"",B20123)</f>
        <v>Mexico</v>
      </c>
    </row>
    <row r="20124" spans="1:6" ht="15.75" customHeight="1">
      <c r="A20124" s="8" t="str">
        <f ca="1">IFERROR(__xludf.DUMMYFUNCTION("GOOGLETRANSLATE(B38605,""en"",""pt"")"),"México")</f>
        <v>México</v>
      </c>
      <c r="B20124" s="9" t="s">
        <v>17707</v>
      </c>
      <c r="C20124" s="9" t="s">
        <v>20598</v>
      </c>
      <c r="D20124" s="9" t="s">
        <v>20599</v>
      </c>
      <c r="E20124" s="10">
        <v>1699805</v>
      </c>
      <c r="F20124" s="4" t="str">
        <f>IF(B20124=B20123,"",B20124)</f>
        <v/>
      </c>
    </row>
    <row r="20125" spans="1:6" ht="15.75" customHeight="1">
      <c r="A20125" s="15" t="s">
        <v>18083</v>
      </c>
      <c r="B20125" s="15" t="s">
        <v>18083</v>
      </c>
      <c r="C20125" s="15" t="s">
        <v>17707</v>
      </c>
      <c r="D20125" s="15" t="s">
        <v>17932</v>
      </c>
      <c r="E20125" s="2">
        <v>3996069</v>
      </c>
      <c r="F20125" s="4" t="str">
        <f>IF(B20125=B20124,"",B20125)</f>
        <v>Mexicali</v>
      </c>
    </row>
    <row r="20126" spans="1:6" ht="15.75" customHeight="1">
      <c r="A20126" s="8" t="str">
        <f ca="1">IFERROR(__xludf.DUMMYFUNCTION("GOOGLETRANSLATE(B37243,""en"",""pt"")"),"Mexicali")</f>
        <v>Mexicali</v>
      </c>
      <c r="B20126" s="9" t="s">
        <v>18083</v>
      </c>
      <c r="C20126" s="9" t="s">
        <v>17707</v>
      </c>
      <c r="D20126" s="9" t="s">
        <v>17932</v>
      </c>
      <c r="E20126" s="10">
        <v>3996069</v>
      </c>
      <c r="F20126" s="4" t="str">
        <f>IF(B20126=B20125,"",B20126)</f>
        <v/>
      </c>
    </row>
    <row r="20127" spans="1:6" ht="15.75" customHeight="1">
      <c r="A20127" s="16" t="s">
        <v>27533</v>
      </c>
      <c r="B20127" s="15" t="s">
        <v>27534</v>
      </c>
      <c r="C20127" s="16" t="s">
        <v>27234</v>
      </c>
      <c r="D20127" s="16" t="s">
        <v>27241</v>
      </c>
      <c r="E20127" s="2">
        <v>2642683</v>
      </c>
      <c r="F20127" s="4" t="str">
        <f>IF(B20127=B20126,"",B20127)</f>
        <v>Mexborough</v>
      </c>
    </row>
    <row r="20128" spans="1:6" ht="15.75" customHeight="1">
      <c r="A20128" s="8" t="str">
        <f ca="1">IFERROR(__xludf.DUMMYFUNCTION("GOOGLETRANSLATE(B30541,""en"",""pt"")"),"MEXBOROUGH")</f>
        <v>MEXBOROUGH</v>
      </c>
      <c r="B20128" s="11" t="s">
        <v>27534</v>
      </c>
      <c r="C20128" s="11" t="s">
        <v>27234</v>
      </c>
      <c r="D20128" s="11" t="s">
        <v>27241</v>
      </c>
      <c r="E20128" s="10">
        <v>2642683</v>
      </c>
      <c r="F20128" s="4" t="str">
        <f>IF(B20128=B20127,"",B20128)</f>
        <v/>
      </c>
    </row>
    <row r="20129" spans="1:6" ht="15.75" customHeight="1">
      <c r="A20129" s="16" t="s">
        <v>14832</v>
      </c>
      <c r="B20129" s="15" t="s">
        <v>14833</v>
      </c>
      <c r="C20129" s="16" t="s">
        <v>14773</v>
      </c>
      <c r="D20129" s="16" t="s">
        <v>14781</v>
      </c>
      <c r="E20129" s="2">
        <v>294244</v>
      </c>
      <c r="F20129" s="4" t="str">
        <f>IF(B20129=B20128,"",B20129)</f>
        <v>Mevo Betar</v>
      </c>
    </row>
    <row r="20130" spans="1:6" ht="15.75" customHeight="1">
      <c r="A20130" s="8" t="str">
        <f ca="1">IFERROR(__xludf.DUMMYFUNCTION("GOOGLETRANSLATE(B31792,""en"",""pt"")"),"Mevo betar")</f>
        <v>Mevo betar</v>
      </c>
      <c r="B20130" s="9" t="s">
        <v>14833</v>
      </c>
      <c r="C20130" s="9" t="s">
        <v>14773</v>
      </c>
      <c r="D20130" s="9" t="s">
        <v>14781</v>
      </c>
      <c r="E20130" s="10">
        <v>294244</v>
      </c>
      <c r="F20130" s="4" t="str">
        <f>IF(B20130=B20129,"",B20130)</f>
        <v/>
      </c>
    </row>
    <row r="20131" spans="1:6" ht="15.75" customHeight="1">
      <c r="A20131" s="16" t="s">
        <v>14043</v>
      </c>
      <c r="B20131" s="15" t="s">
        <v>14043</v>
      </c>
      <c r="C20131" s="16" t="s">
        <v>13800</v>
      </c>
      <c r="D20131" s="16" t="s">
        <v>13828</v>
      </c>
      <c r="E20131" s="2">
        <v>1214488</v>
      </c>
      <c r="F20131" s="4" t="str">
        <f>IF(B20131=B20130,"",B20131)</f>
        <v>Meulaboh</v>
      </c>
    </row>
    <row r="20132" spans="1:6" ht="15.75" customHeight="1">
      <c r="A20132" s="8" t="str">
        <f ca="1">IFERROR(__xludf.DUMMYFUNCTION("GOOGLETRANSLATE(B31370,""en"",""pt"")"),"Meulaboh")</f>
        <v>Meulaboh</v>
      </c>
      <c r="B20132" s="9" t="s">
        <v>14043</v>
      </c>
      <c r="C20132" s="9" t="s">
        <v>13800</v>
      </c>
      <c r="D20132" s="9" t="s">
        <v>13828</v>
      </c>
      <c r="E20132" s="10">
        <v>1214488</v>
      </c>
      <c r="F20132" s="4" t="str">
        <f>IF(B20132=B20131,"",B20132)</f>
        <v/>
      </c>
    </row>
    <row r="20133" spans="1:6" ht="15.75" customHeight="1">
      <c r="A20133" s="15" t="s">
        <v>7584</v>
      </c>
      <c r="B20133" s="15" t="s">
        <v>7584</v>
      </c>
      <c r="C20133" s="15" t="s">
        <v>7052</v>
      </c>
      <c r="D20133" s="15" t="s">
        <v>7058</v>
      </c>
      <c r="E20133" s="2">
        <v>2994144</v>
      </c>
      <c r="F20133" s="4" t="str">
        <f>IF(B20133=B20132,"",B20133)</f>
        <v>Meudon</v>
      </c>
    </row>
    <row r="20134" spans="1:6" ht="15.75" customHeight="1">
      <c r="A20134" s="8" t="str">
        <f ca="1">IFERROR(__xludf.DUMMYFUNCTION("GOOGLETRANSLATE(B29924,""en"",""pt"")"),"Meudon")</f>
        <v>Meudon</v>
      </c>
      <c r="B20134" s="9" t="s">
        <v>7584</v>
      </c>
      <c r="C20134" s="9" t="s">
        <v>7052</v>
      </c>
      <c r="D20134" s="9" t="s">
        <v>32531</v>
      </c>
      <c r="E20134" s="10">
        <v>2994144</v>
      </c>
      <c r="F20134" s="4" t="str">
        <f>IF(B20134=B20133,"",B20134)</f>
        <v/>
      </c>
    </row>
    <row r="20135" spans="1:6" ht="15.75" customHeight="1">
      <c r="A20135" s="16" t="s">
        <v>8853</v>
      </c>
      <c r="B20135" s="15" t="s">
        <v>8853</v>
      </c>
      <c r="C20135" s="16" t="s">
        <v>8028</v>
      </c>
      <c r="D20135" s="16" t="s">
        <v>8031</v>
      </c>
      <c r="E20135" s="2">
        <v>2871486</v>
      </c>
      <c r="F20135" s="4" t="str">
        <f>IF(B20135=B20134,"",B20135)</f>
        <v>Metzingen</v>
      </c>
    </row>
    <row r="20136" spans="1:6" ht="15.75" customHeight="1">
      <c r="A20136" s="8" t="str">
        <f ca="1">IFERROR(__xludf.DUMMYFUNCTION("GOOGLETRANSLATE(B27759,""en"",""pt"")"),"Metzingen")</f>
        <v>Metzingen</v>
      </c>
      <c r="B20136" s="9" t="s">
        <v>8853</v>
      </c>
      <c r="C20136" s="9" t="s">
        <v>8028</v>
      </c>
      <c r="D20136" s="9" t="s">
        <v>32013</v>
      </c>
      <c r="E20136" s="10">
        <v>2871486</v>
      </c>
      <c r="F20136" s="4" t="str">
        <f>IF(B20136=B20135,"",B20136)</f>
        <v/>
      </c>
    </row>
    <row r="20137" spans="1:6" ht="15.75" customHeight="1">
      <c r="A20137" s="15" t="s">
        <v>7583</v>
      </c>
      <c r="B20137" s="15" t="s">
        <v>7583</v>
      </c>
      <c r="C20137" s="15" t="s">
        <v>7052</v>
      </c>
      <c r="D20137" s="15" t="s">
        <v>7061</v>
      </c>
      <c r="E20137" s="2">
        <v>2994160</v>
      </c>
      <c r="F20137" s="4" t="str">
        <f>IF(B20137=B20136,"",B20137)</f>
        <v>Metz</v>
      </c>
    </row>
    <row r="20138" spans="1:6" ht="15.75" customHeight="1">
      <c r="A20138" s="8" t="str">
        <f ca="1">IFERROR(__xludf.DUMMYFUNCTION("GOOGLETRANSLATE(B29925,""en"",""pt"")"),"Metz")</f>
        <v>Metz</v>
      </c>
      <c r="B20138" s="9" t="s">
        <v>7583</v>
      </c>
      <c r="C20138" s="9" t="s">
        <v>7052</v>
      </c>
      <c r="D20138" s="9" t="s">
        <v>7061</v>
      </c>
      <c r="E20138" s="10">
        <v>2994160</v>
      </c>
      <c r="F20138" s="4" t="str">
        <f>IF(B20138=B20137,"",B20138)</f>
        <v/>
      </c>
    </row>
    <row r="20139" spans="1:6" ht="15.75" customHeight="1">
      <c r="A20139" s="15" t="s">
        <v>6910</v>
      </c>
      <c r="B20139" s="15" t="s">
        <v>6910</v>
      </c>
      <c r="C20139" s="15" t="s">
        <v>6807</v>
      </c>
      <c r="D20139" s="15" t="s">
        <v>6814</v>
      </c>
      <c r="E20139" s="2">
        <v>330764</v>
      </c>
      <c r="F20139" s="4" t="str">
        <f>IF(B20139=B20138,"",B20139)</f>
        <v>Metu</v>
      </c>
    </row>
    <row r="20140" spans="1:6" ht="15.75" customHeight="1">
      <c r="A20140" s="8" t="str">
        <f ca="1">IFERROR(__xludf.DUMMYFUNCTION("GOOGLETRANSLATE(B29533,""en"",""pt"")"),"Metu")</f>
        <v>Metu</v>
      </c>
      <c r="B20140" s="9" t="s">
        <v>6910</v>
      </c>
      <c r="C20140" s="9" t="s">
        <v>6807</v>
      </c>
      <c r="D20140" s="9" t="s">
        <v>6814</v>
      </c>
      <c r="E20140" s="10">
        <v>330764</v>
      </c>
      <c r="F20140" s="4" t="str">
        <f>IF(B20140=B20139,"",B20140)</f>
        <v/>
      </c>
    </row>
    <row r="20141" spans="1:6" ht="15.75" customHeight="1">
      <c r="A20141" s="15" t="s">
        <v>12401</v>
      </c>
      <c r="B20141" s="15" t="s">
        <v>12401</v>
      </c>
      <c r="C20141" s="15" t="s">
        <v>10178</v>
      </c>
      <c r="D20141" s="15" t="s">
        <v>10196</v>
      </c>
      <c r="E20141" s="2">
        <v>1263101</v>
      </c>
      <c r="F20141" s="4" t="str">
        <f>IF(B20141=B20140,"",B20141)</f>
        <v>Mettur</v>
      </c>
    </row>
    <row r="20142" spans="1:6" ht="15.75" customHeight="1">
      <c r="A20142" s="8" t="str">
        <f ca="1">IFERROR(__xludf.DUMMYFUNCTION("GOOGLETRANSLATE(B32772,""en"",""pt"")"),"Mettur")</f>
        <v>Mettur</v>
      </c>
      <c r="B20142" s="9" t="s">
        <v>12401</v>
      </c>
      <c r="C20142" s="9" t="s">
        <v>10178</v>
      </c>
      <c r="D20142" s="9" t="s">
        <v>10196</v>
      </c>
      <c r="E20142" s="10">
        <v>1263101</v>
      </c>
      <c r="F20142" s="4" t="str">
        <f>IF(B20142=B20141,"",B20142)</f>
        <v/>
      </c>
    </row>
    <row r="20143" spans="1:6" ht="15.75" customHeight="1">
      <c r="A20143" s="16" t="s">
        <v>12400</v>
      </c>
      <c r="B20143" s="15" t="s">
        <v>12400</v>
      </c>
      <c r="C20143" s="16" t="s">
        <v>10178</v>
      </c>
      <c r="D20143" s="16" t="s">
        <v>10196</v>
      </c>
      <c r="E20143" s="2">
        <v>1263103</v>
      </c>
      <c r="F20143" s="4" t="str">
        <f>IF(B20143=B20142,"",B20143)</f>
        <v>Mettupalayam</v>
      </c>
    </row>
    <row r="20144" spans="1:6" ht="15.75" customHeight="1">
      <c r="A20144" s="8" t="str">
        <f ca="1">IFERROR(__xludf.DUMMYFUNCTION("GOOGLETRANSLATE(B32773,""en"",""pt"")"),"Mettupalayam")</f>
        <v>Mettupalayam</v>
      </c>
      <c r="B20144" s="9" t="s">
        <v>12400</v>
      </c>
      <c r="C20144" s="9" t="s">
        <v>10178</v>
      </c>
      <c r="D20144" s="9" t="s">
        <v>10196</v>
      </c>
      <c r="E20144" s="10">
        <v>1263103</v>
      </c>
      <c r="F20144" s="4" t="str">
        <f>IF(B20144=B20143,"",B20144)</f>
        <v/>
      </c>
    </row>
    <row r="20145" spans="1:6" ht="15.75" customHeight="1">
      <c r="A20145" s="16" t="s">
        <v>8852</v>
      </c>
      <c r="B20145" s="15" t="s">
        <v>8852</v>
      </c>
      <c r="C20145" s="16" t="s">
        <v>8028</v>
      </c>
      <c r="D20145" s="16" t="s">
        <v>8029</v>
      </c>
      <c r="E20145" s="2">
        <v>2871535</v>
      </c>
      <c r="F20145" s="4" t="str">
        <f>IF(B20145=B20144,"",B20145)</f>
        <v>Mettmann</v>
      </c>
    </row>
    <row r="20146" spans="1:6" ht="15.75" customHeight="1">
      <c r="A20146" s="8" t="str">
        <f ca="1">IFERROR(__xludf.DUMMYFUNCTION("GOOGLETRANSLATE(B27760,""en"",""pt"")"),"Mettmann")</f>
        <v>Mettmann</v>
      </c>
      <c r="B20146" s="9" t="s">
        <v>8852</v>
      </c>
      <c r="C20146" s="9" t="s">
        <v>8028</v>
      </c>
      <c r="D20146" s="9" t="s">
        <v>8029</v>
      </c>
      <c r="E20146" s="10">
        <v>2871535</v>
      </c>
      <c r="F20146" s="4" t="str">
        <f>IF(B20146=B20145,"",B20146)</f>
        <v/>
      </c>
    </row>
    <row r="20147" spans="1:6" ht="15.75" customHeight="1">
      <c r="A20147" s="16" t="s">
        <v>22738</v>
      </c>
      <c r="B20147" s="15" t="s">
        <v>22739</v>
      </c>
      <c r="C20147" s="16" t="s">
        <v>22070</v>
      </c>
      <c r="D20147" s="16" t="s">
        <v>22127</v>
      </c>
      <c r="E20147" s="2">
        <v>6418787</v>
      </c>
      <c r="F20147" s="4" t="str">
        <f>IF(B20147=B20146,"",B20147)</f>
        <v>Metrogorodok</v>
      </c>
    </row>
    <row r="20148" spans="1:6" ht="15.75" customHeight="1">
      <c r="A20148" s="8" t="str">
        <f ca="1">IFERROR(__xludf.DUMMYFUNCTION("GOOGLETRANSLATE(B40972,""en"",""pt"")"),"METROGORODOK")</f>
        <v>METROGORODOK</v>
      </c>
      <c r="B20148" s="9" t="s">
        <v>22739</v>
      </c>
      <c r="C20148" s="9" t="s">
        <v>22070</v>
      </c>
      <c r="D20148" s="9" t="s">
        <v>22127</v>
      </c>
      <c r="E20148" s="10">
        <v>6418787</v>
      </c>
      <c r="F20148" s="4" t="str">
        <f>IF(B20148=B20147,"",B20148)</f>
        <v/>
      </c>
    </row>
    <row r="20149" spans="1:6" ht="15.75" customHeight="1">
      <c r="A20149" s="15" t="s">
        <v>14041</v>
      </c>
      <c r="B20149" s="15" t="s">
        <v>14042</v>
      </c>
      <c r="C20149" s="15" t="s">
        <v>13800</v>
      </c>
      <c r="D20149" s="15" t="s">
        <v>13832</v>
      </c>
      <c r="E20149" s="2">
        <v>1635283</v>
      </c>
      <c r="F20149" s="4" t="str">
        <f>IF(B20149=B20148,"",B20149)</f>
        <v>Metro</v>
      </c>
    </row>
    <row r="20150" spans="1:6" ht="15.75" customHeight="1">
      <c r="A20150" s="8" t="str">
        <f ca="1">IFERROR(__xludf.DUMMYFUNCTION("GOOGLETRANSLATE(B31539,""en"",""pt"")"),"Metrô")</f>
        <v>Metrô</v>
      </c>
      <c r="B20150" s="9" t="s">
        <v>14042</v>
      </c>
      <c r="C20150" s="9" t="s">
        <v>13800</v>
      </c>
      <c r="D20150" s="9" t="s">
        <v>13832</v>
      </c>
      <c r="E20150" s="10">
        <v>1635283</v>
      </c>
      <c r="F20150" s="4" t="str">
        <f>IF(B20150=B20149,"",B20150)</f>
        <v/>
      </c>
    </row>
    <row r="20151" spans="1:6" ht="15.75" customHeight="1">
      <c r="A20151" s="16" t="s">
        <v>408</v>
      </c>
      <c r="B20151" s="15" t="s">
        <v>408</v>
      </c>
      <c r="C20151" s="16" t="s">
        <v>153</v>
      </c>
      <c r="D20151" s="16" t="s">
        <v>258</v>
      </c>
      <c r="E20151" s="2">
        <v>2487620</v>
      </c>
      <c r="F20151" s="4" t="str">
        <f>IF(B20151=B20150,"",B20151)</f>
        <v>Metlili Chaamba</v>
      </c>
    </row>
    <row r="20152" spans="1:6" ht="15.75" customHeight="1">
      <c r="A20152" s="8" t="str">
        <f ca="1">IFERROR(__xludf.DUMMYFUNCTION("GOOGLETRANSLATE(B28578,""en"",""pt"")"),"Metlili Chaamba")</f>
        <v>Metlili Chaamba</v>
      </c>
      <c r="B20152" s="11" t="s">
        <v>408</v>
      </c>
      <c r="C20152" s="11" t="s">
        <v>153</v>
      </c>
      <c r="D20152" s="11" t="s">
        <v>32198</v>
      </c>
      <c r="E20152" s="10">
        <v>2487620</v>
      </c>
      <c r="F20152" s="4" t="str">
        <f>IF(B20152=B20151,"",B20152)</f>
        <v/>
      </c>
    </row>
    <row r="20153" spans="1:6" ht="15.75" customHeight="1">
      <c r="A20153" s="15" t="s">
        <v>26169</v>
      </c>
      <c r="B20153" s="15" t="s">
        <v>26169</v>
      </c>
      <c r="C20153" s="15" t="s">
        <v>26090</v>
      </c>
      <c r="D20153" s="15" t="s">
        <v>26097</v>
      </c>
      <c r="E20153" s="2">
        <v>2473517</v>
      </c>
      <c r="F20153" s="4" t="str">
        <f>IF(B20153=B20152,"",B20153)</f>
        <v>Metlaoui</v>
      </c>
    </row>
    <row r="20154" spans="1:6" ht="15.75" customHeight="1">
      <c r="A20154" s="8" t="str">
        <f ca="1">IFERROR(__xludf.DUMMYFUNCTION("GOOGLETRANSLATE(B41851,""en"",""pt"")"),"Metlaoui")</f>
        <v>Metlaoui</v>
      </c>
      <c r="B20154" s="9" t="s">
        <v>26169</v>
      </c>
      <c r="C20154" s="9" t="s">
        <v>26090</v>
      </c>
      <c r="D20154" s="9" t="s">
        <v>26097</v>
      </c>
      <c r="E20154" s="10">
        <v>2473517</v>
      </c>
      <c r="F20154" s="4" t="str">
        <f>IF(B20154=B20153,"",B20154)</f>
        <v/>
      </c>
    </row>
    <row r="20155" spans="1:6" ht="15.75" customHeight="1">
      <c r="A20155" s="15" t="s">
        <v>29281</v>
      </c>
      <c r="B20155" s="15" t="s">
        <v>29281</v>
      </c>
      <c r="C20155" s="15" t="s">
        <v>27788</v>
      </c>
      <c r="D20155" s="15" t="s">
        <v>27794</v>
      </c>
      <c r="E20155" s="2">
        <v>4943828</v>
      </c>
      <c r="F20155" s="4" t="str">
        <f>IF(B20155=B20154,"",B20155)</f>
        <v>Methuen</v>
      </c>
    </row>
    <row r="20156" spans="1:6" ht="15.75" customHeight="1">
      <c r="A20156" s="8" t="str">
        <f ca="1">IFERROR(__xludf.DUMMYFUNCTION("GOOGLETRANSLATE(B44001,""en"",""pt"")"),"Methuen")</f>
        <v>Methuen</v>
      </c>
      <c r="B20156" s="9" t="s">
        <v>29281</v>
      </c>
      <c r="C20156" s="9" t="s">
        <v>27788</v>
      </c>
      <c r="D20156" s="9" t="s">
        <v>27794</v>
      </c>
      <c r="E20156" s="10">
        <v>4943828</v>
      </c>
      <c r="F20156" s="4" t="str">
        <f>IF(B20156=B20155,"",B20156)</f>
        <v/>
      </c>
    </row>
    <row r="20157" spans="1:6" ht="15.75" customHeight="1">
      <c r="A20157" s="15" t="s">
        <v>18082</v>
      </c>
      <c r="B20157" s="15" t="s">
        <v>18082</v>
      </c>
      <c r="C20157" s="15" t="s">
        <v>17707</v>
      </c>
      <c r="D20157" s="15" t="s">
        <v>17780</v>
      </c>
      <c r="E20157" s="2">
        <v>3523303</v>
      </c>
      <c r="F20157" s="4" t="str">
        <f>IF(B20157=B20156,"",B20157)</f>
        <v>Metepec</v>
      </c>
    </row>
    <row r="20158" spans="1:6" ht="15.75" customHeight="1">
      <c r="A20158" s="8" t="str">
        <f ca="1">IFERROR(__xludf.DUMMYFUNCTION("GOOGLETRANSLATE(B36982,""en"",""pt"")"),"Metepec")</f>
        <v>Metepec</v>
      </c>
      <c r="B20158" s="9" t="s">
        <v>18082</v>
      </c>
      <c r="C20158" s="9" t="s">
        <v>17707</v>
      </c>
      <c r="D20158" s="9" t="s">
        <v>17780</v>
      </c>
      <c r="E20158" s="10">
        <v>3523303</v>
      </c>
      <c r="F20158" s="4" t="str">
        <f>IF(B20158=B20157,"",B20158)</f>
        <v/>
      </c>
    </row>
    <row r="20159" spans="1:6" ht="15.75" customHeight="1">
      <c r="A20159" s="8" t="str">
        <f ca="1">IFERROR(__xludf.DUMMYFUNCTION("GOOGLETRANSLATE(B41373,""en"",""pt"")"),"Metapán")</f>
        <v>Metapán</v>
      </c>
      <c r="B20159" s="11" t="s">
        <v>35719</v>
      </c>
      <c r="C20159" s="11" t="s">
        <v>6727</v>
      </c>
      <c r="D20159" s="11" t="s">
        <v>6738</v>
      </c>
      <c r="E20159" s="10">
        <v>3584384</v>
      </c>
      <c r="F20159" s="4" t="str">
        <f>IF(B20159=B20158,"",B20159)</f>
        <v>Metapán</v>
      </c>
    </row>
    <row r="20160" spans="1:6" ht="15.75" customHeight="1">
      <c r="A20160" s="15" t="s">
        <v>6746</v>
      </c>
      <c r="B20160" s="15" t="s">
        <v>6747</v>
      </c>
      <c r="C20160" s="15" t="s">
        <v>6727</v>
      </c>
      <c r="D20160" s="15" t="s">
        <v>6738</v>
      </c>
      <c r="E20160" s="2">
        <v>3584384</v>
      </c>
      <c r="F20160" s="4" t="str">
        <f>IF(B20160=B20159,"",B20160)</f>
        <v>MetapÃ¡n</v>
      </c>
    </row>
    <row r="20161" spans="1:6" ht="15.75" customHeight="1">
      <c r="A20161" s="8" t="str">
        <f ca="1">IFERROR(__xludf.DUMMYFUNCTION("GOOGLETRANSLATE(B30986,""en"",""pt"")"),"Metamórfosi")</f>
        <v>Metamórfosi</v>
      </c>
      <c r="B20161" s="11" t="s">
        <v>32697</v>
      </c>
      <c r="C20161" s="11" t="s">
        <v>9441</v>
      </c>
      <c r="D20161" s="11" t="s">
        <v>9445</v>
      </c>
      <c r="E20161" s="10">
        <v>259128</v>
      </c>
      <c r="F20161" s="4" t="str">
        <f>IF(B20161=B20160,"",B20161)</f>
        <v>Metamórfosi</v>
      </c>
    </row>
    <row r="20162" spans="1:6" ht="15.75" customHeight="1">
      <c r="A20162" s="16" t="s">
        <v>9579</v>
      </c>
      <c r="B20162" s="15" t="s">
        <v>9580</v>
      </c>
      <c r="C20162" s="16" t="s">
        <v>9441</v>
      </c>
      <c r="D20162" s="16" t="s">
        <v>9445</v>
      </c>
      <c r="E20162" s="2">
        <v>259128</v>
      </c>
      <c r="F20162" s="4" t="str">
        <f>IF(B20162=B20161,"",B20162)</f>
        <v>MetamÃ³rfosi</v>
      </c>
    </row>
    <row r="20163" spans="1:6" ht="15.75" customHeight="1">
      <c r="A20163" s="16" t="s">
        <v>22736</v>
      </c>
      <c r="B20163" s="15" t="s">
        <v>22737</v>
      </c>
      <c r="C20163" s="16" t="s">
        <v>22070</v>
      </c>
      <c r="D20163" s="16" t="s">
        <v>22084</v>
      </c>
      <c r="E20163" s="2">
        <v>527361</v>
      </c>
      <c r="F20163" s="4" t="str">
        <f>IF(B20163=B20162,"",B20163)</f>
        <v>Metallostroy</v>
      </c>
    </row>
    <row r="20164" spans="1:6" ht="15.75" customHeight="1">
      <c r="A20164" s="8" t="str">
        <f ca="1">IFERROR(__xludf.DUMMYFUNCTION("GOOGLETRANSLATE(B40321,""en"",""pt"")"),"Metalostroy")</f>
        <v>Metalostroy</v>
      </c>
      <c r="B20164" s="11" t="s">
        <v>22737</v>
      </c>
      <c r="C20164" s="11" t="s">
        <v>22070</v>
      </c>
      <c r="D20164" s="11" t="s">
        <v>22084</v>
      </c>
      <c r="E20164" s="10">
        <v>527361</v>
      </c>
      <c r="F20164" s="4" t="str">
        <f>IF(B20164=B20163,"",B20164)</f>
        <v/>
      </c>
    </row>
    <row r="20165" spans="1:6" ht="15.75" customHeight="1">
      <c r="A20165" s="16" t="s">
        <v>29280</v>
      </c>
      <c r="B20165" s="15" t="s">
        <v>29280</v>
      </c>
      <c r="C20165" s="16" t="s">
        <v>27788</v>
      </c>
      <c r="D20165" s="16" t="s">
        <v>27827</v>
      </c>
      <c r="E20165" s="2">
        <v>4333190</v>
      </c>
      <c r="F20165" s="4" t="str">
        <f>IF(B20165=B20164,"",B20165)</f>
        <v>Metairie Terrace</v>
      </c>
    </row>
    <row r="20166" spans="1:6" ht="15.75" customHeight="1">
      <c r="A20166" s="8" t="str">
        <f ca="1">IFERROR(__xludf.DUMMYFUNCTION("GOOGLETRANSLATE(B43240,""en"",""pt"")"),"Metairie Terrace")</f>
        <v>Metairie Terrace</v>
      </c>
      <c r="B20166" s="11" t="s">
        <v>29280</v>
      </c>
      <c r="C20166" s="11" t="s">
        <v>27788</v>
      </c>
      <c r="D20166" s="11" t="s">
        <v>27827</v>
      </c>
      <c r="E20166" s="10">
        <v>4333190</v>
      </c>
      <c r="F20166" s="4" t="str">
        <f>IF(B20166=B20165,"",B20166)</f>
        <v/>
      </c>
    </row>
    <row r="20167" spans="1:6" ht="15.75" customHeight="1">
      <c r="A20167" s="15" t="s">
        <v>29279</v>
      </c>
      <c r="B20167" s="15" t="s">
        <v>29279</v>
      </c>
      <c r="C20167" s="15" t="s">
        <v>27788</v>
      </c>
      <c r="D20167" s="15" t="s">
        <v>27827</v>
      </c>
      <c r="E20167" s="2">
        <v>4333177</v>
      </c>
      <c r="F20167" s="4" t="str">
        <f>IF(B20167=B20166,"",B20167)</f>
        <v>Metairie</v>
      </c>
    </row>
    <row r="20168" spans="1:6" ht="15.75" customHeight="1">
      <c r="A20168" s="8" t="str">
        <f ca="1">IFERROR(__xludf.DUMMYFUNCTION("GOOGLETRANSLATE(B43239,""en"",""pt"")"),"Metairie")</f>
        <v>Metairie</v>
      </c>
      <c r="B20168" s="11" t="s">
        <v>29279</v>
      </c>
      <c r="C20168" s="11" t="s">
        <v>27788</v>
      </c>
      <c r="D20168" s="11" t="s">
        <v>27827</v>
      </c>
      <c r="E20168" s="10">
        <v>4333177</v>
      </c>
      <c r="F20168" s="4" t="str">
        <f>IF(B20168=B20167,"",B20168)</f>
        <v/>
      </c>
    </row>
    <row r="20169" spans="1:6" ht="15.75" customHeight="1">
      <c r="A20169" s="8" t="str">
        <f ca="1">IFERROR(__xludf.DUMMYFUNCTION("GOOGLETRANSLATE(B29534,""en"",""pt"")"),"Metahāra")</f>
        <v>Metahāra</v>
      </c>
      <c r="B20169" s="9" t="s">
        <v>32491</v>
      </c>
      <c r="C20169" s="9" t="s">
        <v>6807</v>
      </c>
      <c r="D20169" s="9" t="s">
        <v>6814</v>
      </c>
      <c r="E20169" s="10">
        <v>330811</v>
      </c>
      <c r="F20169" s="4" t="str">
        <f>IF(B20169=B20168,"",B20169)</f>
        <v>Metahāra</v>
      </c>
    </row>
    <row r="20170" spans="1:6" ht="15.75" customHeight="1">
      <c r="A20170" s="16" t="s">
        <v>6908</v>
      </c>
      <c r="B20170" s="15" t="s">
        <v>6909</v>
      </c>
      <c r="C20170" s="16" t="s">
        <v>6807</v>
      </c>
      <c r="D20170" s="16" t="s">
        <v>6814</v>
      </c>
      <c r="E20170" s="2">
        <v>330811</v>
      </c>
      <c r="F20170" s="4" t="str">
        <f>IF(B20170=B20169,"",B20170)</f>
        <v>MetahÄra</v>
      </c>
    </row>
    <row r="20171" spans="1:6" ht="15.75" customHeight="1">
      <c r="A20171" s="15" t="s">
        <v>15266</v>
      </c>
      <c r="B20171" s="15" t="s">
        <v>15266</v>
      </c>
      <c r="C20171" s="15" t="s">
        <v>14891</v>
      </c>
      <c r="D20171" s="15" t="s">
        <v>14892</v>
      </c>
      <c r="E20171" s="2">
        <v>3173529</v>
      </c>
      <c r="F20171" s="4" t="str">
        <f>IF(B20171=B20170,"",B20171)</f>
        <v>Mestre</v>
      </c>
    </row>
    <row r="20172" spans="1:6" ht="15.75" customHeight="1">
      <c r="A20172" s="8" t="str">
        <f ca="1">IFERROR(__xludf.DUMMYFUNCTION("GOOGLETRANSLATE(B34836,""en"",""pt"")"),"Mestre")</f>
        <v>Mestre</v>
      </c>
      <c r="B20172" s="11" t="s">
        <v>15266</v>
      </c>
      <c r="C20172" s="11" t="s">
        <v>14891</v>
      </c>
      <c r="D20172" s="11" t="s">
        <v>14892</v>
      </c>
      <c r="E20172" s="10">
        <v>3173529</v>
      </c>
      <c r="F20172" s="4" t="str">
        <f>IF(B20172=B20171,"",B20172)</f>
        <v/>
      </c>
    </row>
    <row r="20173" spans="1:6" ht="15.75" customHeight="1">
      <c r="A20173" s="15" t="s">
        <v>15265</v>
      </c>
      <c r="B20173" s="15" t="s">
        <v>15265</v>
      </c>
      <c r="C20173" s="15" t="s">
        <v>14891</v>
      </c>
      <c r="D20173" s="15" t="s">
        <v>14899</v>
      </c>
      <c r="E20173" s="2">
        <v>2524170</v>
      </c>
      <c r="F20173" s="4" t="str">
        <f>IF(B20173=B20172,"",B20173)</f>
        <v>Messina</v>
      </c>
    </row>
    <row r="20174" spans="1:6" ht="15.75" customHeight="1">
      <c r="A20174" s="15" t="s">
        <v>15265</v>
      </c>
      <c r="B20174" s="15" t="s">
        <v>15265</v>
      </c>
      <c r="C20174" s="15" t="s">
        <v>23842</v>
      </c>
      <c r="D20174" s="15" t="s">
        <v>23885</v>
      </c>
      <c r="E20174" s="2">
        <v>976885</v>
      </c>
      <c r="F20174" s="4" t="str">
        <f>IF(B20174=B20173,"",B20174)</f>
        <v/>
      </c>
    </row>
    <row r="20175" spans="1:6" ht="15.75" customHeight="1">
      <c r="A20175" s="8" t="str">
        <f ca="1">IFERROR(__xludf.DUMMYFUNCTION("GOOGLETRANSLATE(B34582,""en"",""pt"")"),"Messina")</f>
        <v>Messina</v>
      </c>
      <c r="B20175" s="11" t="s">
        <v>15265</v>
      </c>
      <c r="C20175" s="11" t="s">
        <v>14891</v>
      </c>
      <c r="D20175" s="11" t="s">
        <v>14899</v>
      </c>
      <c r="E20175" s="10">
        <v>2524170</v>
      </c>
      <c r="F20175" s="4" t="str">
        <f>IF(B20175=B20174,"",B20175)</f>
        <v/>
      </c>
    </row>
    <row r="20176" spans="1:6" ht="15.75" customHeight="1">
      <c r="A20176" s="8" t="str">
        <f ca="1">IFERROR(__xludf.DUMMYFUNCTION("GOOGLETRANSLATE(B45917,""en"",""pt"")"),"Messina")</f>
        <v>Messina</v>
      </c>
      <c r="B20176" s="9" t="s">
        <v>15265</v>
      </c>
      <c r="C20176" s="9" t="s">
        <v>23842</v>
      </c>
      <c r="D20176" s="9" t="s">
        <v>23885</v>
      </c>
      <c r="E20176" s="10">
        <v>976885</v>
      </c>
      <c r="F20176" s="4" t="str">
        <f>IF(B20176=B20175,"",B20176)</f>
        <v/>
      </c>
    </row>
    <row r="20177" spans="1:6" ht="15.75" customHeight="1">
      <c r="A20177" s="15" t="s">
        <v>407</v>
      </c>
      <c r="B20177" s="15" t="s">
        <v>407</v>
      </c>
      <c r="C20177" s="15" t="s">
        <v>153</v>
      </c>
      <c r="D20177" s="15" t="s">
        <v>166</v>
      </c>
      <c r="E20177" s="2">
        <v>2487772</v>
      </c>
      <c r="F20177" s="4" t="str">
        <f>IF(B20177=B20176,"",B20177)</f>
        <v>Messaad</v>
      </c>
    </row>
    <row r="20178" spans="1:6" ht="15.75" customHeight="1">
      <c r="A20178" s="8" t="str">
        <f ca="1">IFERROR(__xludf.DUMMYFUNCTION("GOOGLETRANSLATE(B28579,""en"",""pt"")"),"MESSAAD")</f>
        <v>MESSAAD</v>
      </c>
      <c r="B20178" s="9" t="s">
        <v>407</v>
      </c>
      <c r="C20178" s="9" t="s">
        <v>153</v>
      </c>
      <c r="D20178" s="9" t="s">
        <v>166</v>
      </c>
      <c r="E20178" s="10">
        <v>2487772</v>
      </c>
      <c r="F20178" s="4" t="str">
        <f>IF(B20178=B20177,"",B20178)</f>
        <v/>
      </c>
    </row>
    <row r="20179" spans="1:6" ht="15.75" customHeight="1">
      <c r="A20179" s="15" t="s">
        <v>29278</v>
      </c>
      <c r="B20179" s="15" t="s">
        <v>29278</v>
      </c>
      <c r="C20179" s="15" t="s">
        <v>27788</v>
      </c>
      <c r="D20179" s="15" t="s">
        <v>28073</v>
      </c>
      <c r="E20179" s="2">
        <v>5508180</v>
      </c>
      <c r="F20179" s="4" t="str">
        <f>IF(B20179=B20178,"",B20179)</f>
        <v>Mesquite</v>
      </c>
    </row>
    <row r="20180" spans="1:6" ht="15.75" customHeight="1">
      <c r="A20180" s="8" t="str">
        <f ca="1">IFERROR(__xludf.DUMMYFUNCTION("GOOGLETRANSLATE(B45144,""en"",""pt"")"),"Mesquite")</f>
        <v>Mesquite</v>
      </c>
      <c r="B20180" s="9" t="s">
        <v>29278</v>
      </c>
      <c r="C20180" s="9" t="s">
        <v>27788</v>
      </c>
      <c r="D20180" s="9" t="s">
        <v>28073</v>
      </c>
      <c r="E20180" s="10">
        <v>5508180</v>
      </c>
      <c r="F20180" s="4" t="str">
        <f>IF(B20180=B20179,"",B20180)</f>
        <v/>
      </c>
    </row>
    <row r="20181" spans="1:6" ht="15.75" customHeight="1">
      <c r="A20181" s="15" t="s">
        <v>406</v>
      </c>
      <c r="B20181" s="15" t="s">
        <v>406</v>
      </c>
      <c r="C20181" s="15" t="s">
        <v>153</v>
      </c>
      <c r="D20181" s="15" t="s">
        <v>186</v>
      </c>
      <c r="E20181" s="2">
        <v>2487805</v>
      </c>
      <c r="F20181" s="4" t="str">
        <f>IF(B20181=B20180,"",B20181)</f>
        <v>Meskiana</v>
      </c>
    </row>
    <row r="20182" spans="1:6" ht="15.75" customHeight="1">
      <c r="A20182" s="8" t="str">
        <f ca="1">IFERROR(__xludf.DUMMYFUNCTION("GOOGLETRANSLATE(B28580,""en"",""pt"")"),"Meskiana")</f>
        <v>Meskiana</v>
      </c>
      <c r="B20182" s="9" t="s">
        <v>406</v>
      </c>
      <c r="C20182" s="9" t="s">
        <v>153</v>
      </c>
      <c r="D20182" s="9" t="s">
        <v>186</v>
      </c>
      <c r="E20182" s="10">
        <v>2487805</v>
      </c>
      <c r="F20182" s="4" t="str">
        <f>IF(B20182=B20181,"",B20182)</f>
        <v/>
      </c>
    </row>
    <row r="20183" spans="1:6" ht="15.75" customHeight="1">
      <c r="A20183" s="16" t="s">
        <v>8851</v>
      </c>
      <c r="B20183" s="15" t="s">
        <v>8851</v>
      </c>
      <c r="C20183" s="16" t="s">
        <v>8028</v>
      </c>
      <c r="D20183" s="16" t="s">
        <v>8029</v>
      </c>
      <c r="E20183" s="2">
        <v>2871668</v>
      </c>
      <c r="F20183" s="4" t="str">
        <f>IF(B20183=B20182,"",B20183)</f>
        <v>Meschede</v>
      </c>
    </row>
    <row r="20184" spans="1:6" ht="15.75" customHeight="1">
      <c r="A20184" s="8" t="str">
        <f ca="1">IFERROR(__xludf.DUMMYFUNCTION("GOOGLETRANSLATE(B27761,""en"",""pt"")"),"Meschede")</f>
        <v>Meschede</v>
      </c>
      <c r="B20184" s="9" t="s">
        <v>8851</v>
      </c>
      <c r="C20184" s="9" t="s">
        <v>8028</v>
      </c>
      <c r="D20184" s="9" t="s">
        <v>8029</v>
      </c>
      <c r="E20184" s="10">
        <v>2871668</v>
      </c>
      <c r="F20184" s="4" t="str">
        <f>IF(B20184=B20183,"",B20184)</f>
        <v/>
      </c>
    </row>
    <row r="20185" spans="1:6" ht="15.75" customHeight="1">
      <c r="A20185" s="15" t="s">
        <v>15264</v>
      </c>
      <c r="B20185" s="15" t="s">
        <v>15264</v>
      </c>
      <c r="C20185" s="15" t="s">
        <v>14891</v>
      </c>
      <c r="D20185" s="15" t="s">
        <v>14908</v>
      </c>
      <c r="E20185" s="2">
        <v>3173537</v>
      </c>
      <c r="F20185" s="4" t="str">
        <f>IF(B20185=B20184,"",B20185)</f>
        <v>Mesagne</v>
      </c>
    </row>
    <row r="20186" spans="1:6" ht="15.75" customHeight="1">
      <c r="A20186" s="8" t="str">
        <f ca="1">IFERROR(__xludf.DUMMYFUNCTION("GOOGLETRANSLATE(B34837,""en"",""pt"")"),"Mesagne")</f>
        <v>Mesagne</v>
      </c>
      <c r="B20186" s="11" t="s">
        <v>15264</v>
      </c>
      <c r="C20186" s="11" t="s">
        <v>14891</v>
      </c>
      <c r="D20186" s="11" t="s">
        <v>14908</v>
      </c>
      <c r="E20186" s="10">
        <v>3173537</v>
      </c>
      <c r="F20186" s="4" t="str">
        <f>IF(B20186=B20185,"",B20186)</f>
        <v/>
      </c>
    </row>
    <row r="20187" spans="1:6" ht="15.75" customHeight="1">
      <c r="A20187" s="15" t="s">
        <v>29277</v>
      </c>
      <c r="B20187" s="15" t="s">
        <v>29277</v>
      </c>
      <c r="C20187" s="15" t="s">
        <v>27788</v>
      </c>
      <c r="D20187" s="15" t="s">
        <v>27880</v>
      </c>
      <c r="E20187" s="2">
        <v>5304391</v>
      </c>
      <c r="F20187" s="4" t="str">
        <f>IF(B20187=B20186,"",B20187)</f>
        <v>Mesa</v>
      </c>
    </row>
    <row r="20188" spans="1:6" ht="15.75" customHeight="1">
      <c r="A20188" s="8" t="str">
        <f ca="1">IFERROR(__xludf.DUMMYFUNCTION("GOOGLETRANSLATE(B44715,""en"",""pt"")"),"Mesa")</f>
        <v>Mesa</v>
      </c>
      <c r="B20188" s="9" t="s">
        <v>29277</v>
      </c>
      <c r="C20188" s="9" t="s">
        <v>27788</v>
      </c>
      <c r="D20188" s="9" t="s">
        <v>27880</v>
      </c>
      <c r="E20188" s="10">
        <v>5304391</v>
      </c>
      <c r="F20188" s="4" t="str">
        <f>IF(B20188=B20187,"",B20188)</f>
        <v/>
      </c>
    </row>
    <row r="20189" spans="1:6" ht="15.75" customHeight="1">
      <c r="A20189" s="15" t="s">
        <v>8850</v>
      </c>
      <c r="B20189" s="15" t="s">
        <v>8850</v>
      </c>
      <c r="C20189" s="15" t="s">
        <v>8028</v>
      </c>
      <c r="D20189" s="15" t="s">
        <v>8177</v>
      </c>
      <c r="E20189" s="2">
        <v>2871675</v>
      </c>
      <c r="F20189" s="4" t="str">
        <f>IF(B20189=B20188,"",B20189)</f>
        <v>Merzig</v>
      </c>
    </row>
    <row r="20190" spans="1:6" ht="15.75" customHeight="1">
      <c r="A20190" s="8" t="str">
        <f ca="1">IFERROR(__xludf.DUMMYFUNCTION("GOOGLETRANSLATE(B27762,""en"",""pt"")"),"Merzig")</f>
        <v>Merzig</v>
      </c>
      <c r="B20190" s="11" t="s">
        <v>8850</v>
      </c>
      <c r="C20190" s="11" t="s">
        <v>8028</v>
      </c>
      <c r="D20190" s="11" t="s">
        <v>8177</v>
      </c>
      <c r="E20190" s="10">
        <v>2871675</v>
      </c>
      <c r="F20190" s="4" t="str">
        <f>IF(B20190=B20189,"",B20190)</f>
        <v/>
      </c>
    </row>
    <row r="20191" spans="1:6" ht="15.75" customHeight="1">
      <c r="A20191" s="15" t="s">
        <v>26632</v>
      </c>
      <c r="B20191" s="15" t="s">
        <v>26632</v>
      </c>
      <c r="C20191" s="15" t="s">
        <v>26201</v>
      </c>
      <c r="D20191" s="15" t="s">
        <v>26313</v>
      </c>
      <c r="E20191" s="2">
        <v>741609</v>
      </c>
      <c r="F20191" s="4" t="str">
        <f>IF(B20191=B20190,"",B20191)</f>
        <v>Merzifon</v>
      </c>
    </row>
    <row r="20192" spans="1:6" ht="15.75" customHeight="1">
      <c r="A20192" s="8" t="str">
        <f ca="1">IFERROR(__xludf.DUMMYFUNCTION("GOOGLETRANSLATE(B42136,""en"",""pt"")"),"Merzifon")</f>
        <v>Merzifon</v>
      </c>
      <c r="B20192" s="9" t="s">
        <v>26632</v>
      </c>
      <c r="C20192" s="9" t="s">
        <v>26201</v>
      </c>
      <c r="D20192" s="9" t="s">
        <v>26313</v>
      </c>
      <c r="E20192" s="10">
        <v>741609</v>
      </c>
      <c r="F20192" s="4" t="str">
        <f>IF(B20192=B20191,"",B20192)</f>
        <v/>
      </c>
    </row>
    <row r="20193" spans="1:6" ht="15.75" customHeight="1">
      <c r="A20193" s="15" t="s">
        <v>16821</v>
      </c>
      <c r="B20193" s="15" t="s">
        <v>16821</v>
      </c>
      <c r="C20193" s="15" t="s">
        <v>16781</v>
      </c>
      <c r="D20193" s="15" t="s">
        <v>16821</v>
      </c>
      <c r="E20193" s="2">
        <v>186827</v>
      </c>
      <c r="F20193" s="4" t="str">
        <f>IF(B20193=B20192,"",B20193)</f>
        <v>Meru</v>
      </c>
    </row>
    <row r="20194" spans="1:6" ht="15.75" customHeight="1">
      <c r="A20194" s="8" t="str">
        <f ca="1">IFERROR(__xludf.DUMMYFUNCTION("GOOGLETRANSLATE(B35903,""en"",""pt"")"),"Meru")</f>
        <v>Meru</v>
      </c>
      <c r="B20194" s="9" t="s">
        <v>16821</v>
      </c>
      <c r="C20194" s="9" t="s">
        <v>16781</v>
      </c>
      <c r="D20194" s="9" t="s">
        <v>16821</v>
      </c>
      <c r="E20194" s="10">
        <v>186827</v>
      </c>
      <c r="F20194" s="4" t="str">
        <f>IF(B20194=B20193,"",B20194)</f>
        <v/>
      </c>
    </row>
    <row r="20195" spans="1:6" ht="15.75" customHeight="1">
      <c r="A20195" s="16" t="s">
        <v>14040</v>
      </c>
      <c r="B20195" s="15" t="s">
        <v>14040</v>
      </c>
      <c r="C20195" s="16" t="s">
        <v>13800</v>
      </c>
      <c r="D20195" s="16" t="s">
        <v>13803</v>
      </c>
      <c r="E20195" s="2">
        <v>1635342</v>
      </c>
      <c r="F20195" s="4" t="str">
        <f>IF(B20195=B20194,"",B20195)</f>
        <v>Mertoyudan</v>
      </c>
    </row>
    <row r="20196" spans="1:6" ht="15.75" customHeight="1">
      <c r="A20196" s="8" t="str">
        <f ca="1">IFERROR(__xludf.DUMMYFUNCTION("GOOGLETRANSLATE(B31540,""en"",""pt"")"),"Mertoyudan")</f>
        <v>Mertoyudan</v>
      </c>
      <c r="B20196" s="11" t="s">
        <v>14040</v>
      </c>
      <c r="C20196" s="11" t="s">
        <v>13800</v>
      </c>
      <c r="D20196" s="11" t="s">
        <v>13803</v>
      </c>
      <c r="E20196" s="10">
        <v>1635342</v>
      </c>
      <c r="F20196" s="4" t="str">
        <f>IF(B20196=B20195,"",B20196)</f>
        <v/>
      </c>
    </row>
    <row r="20197" spans="1:6" ht="15.75" customHeight="1">
      <c r="A20197" s="16" t="s">
        <v>27532</v>
      </c>
      <c r="B20197" s="15" t="s">
        <v>27532</v>
      </c>
      <c r="C20197" s="16" t="s">
        <v>27234</v>
      </c>
      <c r="D20197" s="16" t="s">
        <v>27235</v>
      </c>
      <c r="E20197" s="2">
        <v>2642705</v>
      </c>
      <c r="F20197" s="4" t="str">
        <f>IF(B20197=B20196,"",B20197)</f>
        <v>Merthyr Tydfil</v>
      </c>
    </row>
    <row r="20198" spans="1:6" ht="15.75" customHeight="1">
      <c r="A20198" s="8" t="str">
        <f ca="1">IFERROR(__xludf.DUMMYFUNCTION("GOOGLETRANSLATE(B30542,""en"",""pt"")"),"Merthyr Tydfil")</f>
        <v>Merthyr Tydfil</v>
      </c>
      <c r="B20198" s="11" t="s">
        <v>27532</v>
      </c>
      <c r="C20198" s="11" t="s">
        <v>27234</v>
      </c>
      <c r="D20198" s="11" t="s">
        <v>27235</v>
      </c>
      <c r="E20198" s="10">
        <v>2642705</v>
      </c>
      <c r="F20198" s="4" t="str">
        <f>IF(B20198=B20197,"",B20198)</f>
        <v/>
      </c>
    </row>
    <row r="20199" spans="1:6" ht="15.75" customHeight="1">
      <c r="A20199" s="16" t="s">
        <v>26630</v>
      </c>
      <c r="B20199" s="15" t="s">
        <v>26631</v>
      </c>
      <c r="C20199" s="16" t="s">
        <v>26201</v>
      </c>
      <c r="D20199" s="16" t="s">
        <v>26211</v>
      </c>
      <c r="E20199" s="2">
        <v>6354984</v>
      </c>
      <c r="F20199" s="4" t="str">
        <f>IF(B20199=B20198,"",B20199)</f>
        <v>merter keresteciler</v>
      </c>
    </row>
    <row r="20200" spans="1:6" ht="15.75" customHeight="1">
      <c r="A20200" s="8" t="str">
        <f ca="1">IFERROR(__xludf.DUMMYFUNCTION("GOOGLETRANSLATE(B42231,""en"",""pt"")"),"Merter KeresteCiler")</f>
        <v>Merter KeresteCiler</v>
      </c>
      <c r="B20200" s="11" t="s">
        <v>26631</v>
      </c>
      <c r="C20200" s="11" t="s">
        <v>26201</v>
      </c>
      <c r="D20200" s="11" t="s">
        <v>26211</v>
      </c>
      <c r="E20200" s="10">
        <v>6354984</v>
      </c>
      <c r="F20200" s="4" t="str">
        <f>IF(B20200=B20199,"",B20200)</f>
        <v/>
      </c>
    </row>
    <row r="20201" spans="1:6" ht="15.75" customHeight="1">
      <c r="A20201" s="15" t="s">
        <v>12399</v>
      </c>
      <c r="B20201" s="15" t="s">
        <v>12399</v>
      </c>
      <c r="C20201" s="15" t="s">
        <v>10178</v>
      </c>
      <c r="D20201" s="15" t="s">
        <v>10179</v>
      </c>
      <c r="E20201" s="2">
        <v>1263120</v>
      </c>
      <c r="F20201" s="4" t="str">
        <f>IF(B20201=B20200,"",B20201)</f>
        <v>Merta</v>
      </c>
    </row>
    <row r="20202" spans="1:6" ht="15.75" customHeight="1">
      <c r="A20202" s="8" t="str">
        <f ca="1">IFERROR(__xludf.DUMMYFUNCTION("GOOGLETRANSLATE(B32774,""en"",""pt"")"),"Merta")</f>
        <v>Merta</v>
      </c>
      <c r="B20202" s="11" t="s">
        <v>12399</v>
      </c>
      <c r="C20202" s="11" t="s">
        <v>10178</v>
      </c>
      <c r="D20202" s="11" t="s">
        <v>10179</v>
      </c>
      <c r="E20202" s="10">
        <v>1263120</v>
      </c>
      <c r="F20202" s="4" t="str">
        <f>IF(B20202=B20201,"",B20202)</f>
        <v/>
      </c>
    </row>
    <row r="20203" spans="1:6" ht="15.75" customHeight="1">
      <c r="A20203" s="15" t="s">
        <v>17530</v>
      </c>
      <c r="B20203" s="15" t="s">
        <v>17530</v>
      </c>
      <c r="C20203" s="15" t="s">
        <v>17432</v>
      </c>
      <c r="D20203" s="15" t="s">
        <v>17442</v>
      </c>
      <c r="E20203" s="2">
        <v>1732826</v>
      </c>
      <c r="F20203" s="4" t="str">
        <f>IF(B20203=B20202,"",B20203)</f>
        <v>Mersing</v>
      </c>
    </row>
    <row r="20204" spans="1:6" ht="15.75" customHeight="1">
      <c r="A20204" s="8" t="str">
        <f ca="1">IFERROR(__xludf.DUMMYFUNCTION("GOOGLETRANSLATE(B37418,""en"",""pt"")"),"Mersing")</f>
        <v>Mersing</v>
      </c>
      <c r="B20204" s="11" t="s">
        <v>17530</v>
      </c>
      <c r="C20204" s="11" t="s">
        <v>17432</v>
      </c>
      <c r="D20204" s="11" t="s">
        <v>17442</v>
      </c>
      <c r="E20204" s="10">
        <v>1732826</v>
      </c>
      <c r="F20204" s="4" t="str">
        <f>IF(B20204=B20203,"",B20204)</f>
        <v/>
      </c>
    </row>
    <row r="20205" spans="1:6" ht="15.75" customHeight="1">
      <c r="A20205" s="16" t="s">
        <v>8848</v>
      </c>
      <c r="B20205" s="15" t="s">
        <v>8849</v>
      </c>
      <c r="C20205" s="16" t="s">
        <v>8028</v>
      </c>
      <c r="D20205" s="16" t="s">
        <v>8085</v>
      </c>
      <c r="E20205" s="2">
        <v>2871736</v>
      </c>
      <c r="F20205" s="4" t="str">
        <f>IF(B20205=B20204,"",B20205)</f>
        <v>Merseburg</v>
      </c>
    </row>
    <row r="20206" spans="1:6" ht="15.75" customHeight="1">
      <c r="A20206" s="8" t="str">
        <f ca="1">IFERROR(__xludf.DUMMYFUNCTION("GOOGLETRANSLATE(B27763,""en"",""pt"")"),"MEREBURGO")</f>
        <v>MEREBURGO</v>
      </c>
      <c r="B20206" s="9" t="s">
        <v>8849</v>
      </c>
      <c r="C20206" s="9" t="s">
        <v>8028</v>
      </c>
      <c r="D20206" s="9" t="s">
        <v>8085</v>
      </c>
      <c r="E20206" s="10">
        <v>2871736</v>
      </c>
      <c r="F20206" s="4" t="str">
        <f>IF(B20206=B20205,"",B20206)</f>
        <v/>
      </c>
    </row>
    <row r="20207" spans="1:6" ht="15.75" customHeight="1">
      <c r="A20207" s="16" t="s">
        <v>6683</v>
      </c>
      <c r="B20207" s="15" t="s">
        <v>6683</v>
      </c>
      <c r="C20207" s="16" t="s">
        <v>6495</v>
      </c>
      <c r="D20207" s="16" t="s">
        <v>6684</v>
      </c>
      <c r="E20207" s="2">
        <v>352733</v>
      </c>
      <c r="F20207" s="4" t="str">
        <f>IF(B20207=B20206,"",B20207)</f>
        <v>Mersa Matruh</v>
      </c>
    </row>
    <row r="20208" spans="1:6" ht="15.75" customHeight="1">
      <c r="A20208" s="8" t="str">
        <f ca="1">IFERROR(__xludf.DUMMYFUNCTION("GOOGLETRANSLATE(B28848,""en"",""pt"")"),"Mersa Matruh")</f>
        <v>Mersa Matruh</v>
      </c>
      <c r="B20208" s="9" t="s">
        <v>6683</v>
      </c>
      <c r="C20208" s="9" t="s">
        <v>6495</v>
      </c>
      <c r="D20208" s="9" t="s">
        <v>32274</v>
      </c>
      <c r="E20208" s="10">
        <v>352733</v>
      </c>
      <c r="F20208" s="4" t="str">
        <f>IF(B20208=B20207,"",B20208)</f>
        <v/>
      </c>
    </row>
    <row r="20209" spans="1:6" ht="15.75" customHeight="1">
      <c r="A20209" s="16" t="s">
        <v>404</v>
      </c>
      <c r="B20209" s="15" t="s">
        <v>405</v>
      </c>
      <c r="C20209" s="16" t="s">
        <v>153</v>
      </c>
      <c r="D20209" s="16" t="s">
        <v>177</v>
      </c>
      <c r="E20209" s="2">
        <v>2487852</v>
      </c>
      <c r="F20209" s="4" t="str">
        <f>IF(B20209=B20208,"",B20209)</f>
        <v>Mers el Kebir</v>
      </c>
    </row>
    <row r="20210" spans="1:6" ht="15.75" customHeight="1">
      <c r="A20210" s="8" t="str">
        <f ca="1">IFERROR(__xludf.DUMMYFUNCTION("GOOGLETRANSLATE(B28581,""en"",""pt"")"),"Mers El Kebir")</f>
        <v>Mers El Kebir</v>
      </c>
      <c r="B20210" s="9" t="s">
        <v>405</v>
      </c>
      <c r="C20210" s="9" t="s">
        <v>153</v>
      </c>
      <c r="D20210" s="9" t="s">
        <v>177</v>
      </c>
      <c r="E20210" s="10">
        <v>2487852</v>
      </c>
      <c r="F20210" s="4" t="str">
        <f>IF(B20210=B20209,"",B20210)</f>
        <v/>
      </c>
    </row>
    <row r="20211" spans="1:6" ht="15.75" customHeight="1">
      <c r="A20211" s="16" t="s">
        <v>29275</v>
      </c>
      <c r="B20211" s="15" t="s">
        <v>29276</v>
      </c>
      <c r="C20211" s="16" t="s">
        <v>27788</v>
      </c>
      <c r="D20211" s="16" t="s">
        <v>5468</v>
      </c>
      <c r="E20211" s="2">
        <v>4164092</v>
      </c>
      <c r="F20211" s="4" t="str">
        <f>IF(B20211=B20210,"",B20211)</f>
        <v>Merritt Island</v>
      </c>
    </row>
    <row r="20212" spans="1:6" ht="15.75" customHeight="1">
      <c r="A20212" s="8" t="str">
        <f ca="1">IFERROR(__xludf.DUMMYFUNCTION("GOOGLETRANSLATE(B42949,""en"",""pt"")"),"Ilha Merritt")</f>
        <v>Ilha Merritt</v>
      </c>
      <c r="B20212" s="9" t="s">
        <v>29276</v>
      </c>
      <c r="C20212" s="9" t="s">
        <v>27788</v>
      </c>
      <c r="D20212" s="9" t="s">
        <v>5468</v>
      </c>
      <c r="E20212" s="10">
        <v>4164092</v>
      </c>
      <c r="F20212" s="4" t="str">
        <f>IF(B20212=B20211,"",B20212)</f>
        <v/>
      </c>
    </row>
    <row r="20213" spans="1:6" ht="15.75" customHeight="1">
      <c r="A20213" s="16" t="s">
        <v>29274</v>
      </c>
      <c r="B20213" s="15" t="s">
        <v>29274</v>
      </c>
      <c r="C20213" s="16" t="s">
        <v>27788</v>
      </c>
      <c r="D20213" s="16" t="s">
        <v>27985</v>
      </c>
      <c r="E20213" s="2">
        <v>5089478</v>
      </c>
      <c r="F20213" s="4" t="str">
        <f>IF(B20213=B20212,"",B20213)</f>
        <v>Merrimack</v>
      </c>
    </row>
    <row r="20214" spans="1:6" ht="15.75" customHeight="1">
      <c r="A20214" s="8" t="str">
        <f ca="1">IFERROR(__xludf.DUMMYFUNCTION("GOOGLETRANSLATE(B44234,""en"",""pt"")"),"Merrimack")</f>
        <v>Merrimack</v>
      </c>
      <c r="B20214" s="11" t="s">
        <v>29274</v>
      </c>
      <c r="C20214" s="11" t="s">
        <v>27788</v>
      </c>
      <c r="D20214" s="11" t="s">
        <v>27985</v>
      </c>
      <c r="E20214" s="10">
        <v>5089478</v>
      </c>
      <c r="F20214" s="4" t="str">
        <f>IF(B20214=B20213,"",B20214)</f>
        <v/>
      </c>
    </row>
    <row r="20215" spans="1:6" ht="15.75" customHeight="1">
      <c r="A20215" s="16" t="s">
        <v>29273</v>
      </c>
      <c r="B20215" s="15" t="s">
        <v>29273</v>
      </c>
      <c r="C20215" s="16" t="s">
        <v>27788</v>
      </c>
      <c r="D20215" s="16" t="s">
        <v>27869</v>
      </c>
      <c r="E20215" s="2">
        <v>4923482</v>
      </c>
      <c r="F20215" s="4" t="str">
        <f>IF(B20215=B20214,"",B20215)</f>
        <v>Merrillville</v>
      </c>
    </row>
    <row r="20216" spans="1:6" ht="15.75" customHeight="1">
      <c r="A20216" s="8" t="str">
        <f ca="1">IFERROR(__xludf.DUMMYFUNCTION("GOOGLETRANSLATE(B43929,""en"",""pt"")"),"Merrillville")</f>
        <v>Merrillville</v>
      </c>
      <c r="B20216" s="11" t="s">
        <v>29273</v>
      </c>
      <c r="C20216" s="11" t="s">
        <v>27788</v>
      </c>
      <c r="D20216" s="11" t="s">
        <v>27869</v>
      </c>
      <c r="E20216" s="10">
        <v>4923482</v>
      </c>
      <c r="F20216" s="4" t="str">
        <f>IF(B20216=B20215,"",B20216)</f>
        <v/>
      </c>
    </row>
    <row r="20217" spans="1:6" ht="15.75" customHeight="1">
      <c r="A20217" s="15" t="s">
        <v>29272</v>
      </c>
      <c r="B20217" s="15" t="s">
        <v>29272</v>
      </c>
      <c r="C20217" s="15" t="s">
        <v>27788</v>
      </c>
      <c r="D20217" s="15" t="s">
        <v>27819</v>
      </c>
      <c r="E20217" s="2">
        <v>5126630</v>
      </c>
      <c r="F20217" s="4" t="str">
        <f>IF(B20217=B20216,"",B20217)</f>
        <v>Merrick</v>
      </c>
    </row>
    <row r="20218" spans="1:6" ht="15.75" customHeight="1">
      <c r="A20218" s="8" t="str">
        <f ca="1">IFERROR(__xludf.DUMMYFUNCTION("GOOGLETRANSLATE(B44410,""en"",""pt"")"),"Merrick")</f>
        <v>Merrick</v>
      </c>
      <c r="B20218" s="11" t="s">
        <v>29272</v>
      </c>
      <c r="C20218" s="11" t="s">
        <v>27788</v>
      </c>
      <c r="D20218" s="11" t="s">
        <v>27819</v>
      </c>
      <c r="E20218" s="10">
        <v>5126630</v>
      </c>
      <c r="F20218" s="4" t="str">
        <f>IF(B20218=B20217,"",B20218)</f>
        <v/>
      </c>
    </row>
    <row r="20219" spans="1:6" ht="15.75" customHeight="1">
      <c r="A20219" s="16" t="s">
        <v>403</v>
      </c>
      <c r="B20219" s="15" t="s">
        <v>403</v>
      </c>
      <c r="C20219" s="16" t="s">
        <v>153</v>
      </c>
      <c r="D20219" s="16" t="s">
        <v>212</v>
      </c>
      <c r="E20219" s="2">
        <v>2487882</v>
      </c>
      <c r="F20219" s="4" t="str">
        <f>IF(B20219=B20218,"",B20219)</f>
        <v>Merouana</v>
      </c>
    </row>
    <row r="20220" spans="1:6" ht="15.75" customHeight="1">
      <c r="A20220" s="8" t="str">
        <f ca="1">IFERROR(__xludf.DUMMYFUNCTION("GOOGLETRANSLATE(B28582,""en"",""pt"")"),"Merouana")</f>
        <v>Merouana</v>
      </c>
      <c r="B20220" s="11" t="s">
        <v>403</v>
      </c>
      <c r="C20220" s="11" t="s">
        <v>153</v>
      </c>
      <c r="D20220" s="11" t="s">
        <v>212</v>
      </c>
      <c r="E20220" s="10">
        <v>2487882</v>
      </c>
      <c r="F20220" s="4" t="str">
        <f>IF(B20220=B20219,"",B20220)</f>
        <v/>
      </c>
    </row>
    <row r="20221" spans="1:6" ht="15.75" customHeight="1">
      <c r="A20221" s="15" t="s">
        <v>16729</v>
      </c>
      <c r="B20221" s="15" t="s">
        <v>16729</v>
      </c>
      <c r="C20221" s="15" t="s">
        <v>16671</v>
      </c>
      <c r="D20221" s="15" t="s">
        <v>16707</v>
      </c>
      <c r="E20221" s="2">
        <v>1520969</v>
      </c>
      <c r="F20221" s="4" t="str">
        <f>IF(B20221=B20220,"",B20221)</f>
        <v>Merke</v>
      </c>
    </row>
    <row r="20222" spans="1:6" ht="15.75" customHeight="1">
      <c r="A20222" s="8" t="str">
        <f ca="1">IFERROR(__xludf.DUMMYFUNCTION("GOOGLETRANSLATE(B36234,""en"",""pt"")"),"Merke")</f>
        <v>Merke</v>
      </c>
      <c r="B20222" s="11" t="s">
        <v>16729</v>
      </c>
      <c r="C20222" s="11" t="s">
        <v>16671</v>
      </c>
      <c r="D20222" s="11" t="s">
        <v>16707</v>
      </c>
      <c r="E20222" s="10">
        <v>1520969</v>
      </c>
      <c r="F20222" s="4" t="str">
        <f>IF(B20222=B20221,"",B20222)</f>
        <v/>
      </c>
    </row>
    <row r="20223" spans="1:6" ht="15.75" customHeight="1">
      <c r="A20223" s="8" t="str">
        <f ca="1">IFERROR(__xludf.DUMMYFUNCTION("GOOGLETRANSLATE(B29926,""en"",""pt"")"),"MÉRIGNAC")</f>
        <v>MÉRIGNAC</v>
      </c>
      <c r="B20223" s="9" t="s">
        <v>32579</v>
      </c>
      <c r="C20223" s="9" t="s">
        <v>7052</v>
      </c>
      <c r="D20223" s="9" t="s">
        <v>7084</v>
      </c>
      <c r="E20223" s="10">
        <v>2994393</v>
      </c>
      <c r="F20223" s="4" t="str">
        <f>IF(B20223=B20222,"",B20223)</f>
        <v>Mérignac</v>
      </c>
    </row>
    <row r="20224" spans="1:6" ht="15.75" customHeight="1">
      <c r="A20224" s="16" t="s">
        <v>29270</v>
      </c>
      <c r="B20224" s="15" t="s">
        <v>29271</v>
      </c>
      <c r="C20224" s="16" t="s">
        <v>27788</v>
      </c>
      <c r="D20224" s="16" t="s">
        <v>28040</v>
      </c>
      <c r="E20224" s="2">
        <v>4435764</v>
      </c>
      <c r="F20224" s="4" t="str">
        <f>IF(B20224=B20223,"",B20224)</f>
        <v>Meridian</v>
      </c>
    </row>
    <row r="20225" spans="1:6" ht="15.75" customHeight="1">
      <c r="A20225" s="16" t="s">
        <v>29270</v>
      </c>
      <c r="B20225" s="15" t="s">
        <v>29271</v>
      </c>
      <c r="C20225" s="16" t="s">
        <v>27788</v>
      </c>
      <c r="D20225" s="16" t="s">
        <v>28059</v>
      </c>
      <c r="E20225" s="2">
        <v>5600685</v>
      </c>
      <c r="F20225" s="4" t="str">
        <f>IF(B20225=B20224,"",B20225)</f>
        <v/>
      </c>
    </row>
    <row r="20226" spans="1:6" ht="15.75" customHeight="1">
      <c r="A20226" s="8" t="str">
        <f ca="1">IFERROR(__xludf.DUMMYFUNCTION("GOOGLETRANSLATE(B43413,""en"",""pt"")"),"Meridiano")</f>
        <v>Meridiano</v>
      </c>
      <c r="B20226" s="11" t="s">
        <v>29271</v>
      </c>
      <c r="C20226" s="11" t="s">
        <v>27788</v>
      </c>
      <c r="D20226" s="11" t="s">
        <v>28040</v>
      </c>
      <c r="E20226" s="10">
        <v>4435764</v>
      </c>
      <c r="F20226" s="4" t="str">
        <f>IF(B20226=B20225,"",B20226)</f>
        <v/>
      </c>
    </row>
    <row r="20227" spans="1:6" ht="15.75" customHeight="1">
      <c r="A20227" s="8" t="str">
        <f ca="1">IFERROR(__xludf.DUMMYFUNCTION("GOOGLETRANSLATE(B45202,""en"",""pt"")"),"Meridiano")</f>
        <v>Meridiano</v>
      </c>
      <c r="B20227" s="9" t="s">
        <v>29271</v>
      </c>
      <c r="C20227" s="9" t="s">
        <v>27788</v>
      </c>
      <c r="D20227" s="9" t="s">
        <v>28059</v>
      </c>
      <c r="E20227" s="10">
        <v>5600685</v>
      </c>
      <c r="F20227" s="4" t="str">
        <f>IF(B20227=B20226,"",B20227)</f>
        <v/>
      </c>
    </row>
    <row r="20228" spans="1:6" ht="15.75" customHeight="1">
      <c r="A20228" s="8" t="str">
        <f ca="1">IFERROR(__xludf.DUMMYFUNCTION("GOOGLETRANSLATE(B29055,""en"",""pt"")"),"Mérida")</f>
        <v>Mérida</v>
      </c>
      <c r="B20228" s="11" t="s">
        <v>32369</v>
      </c>
      <c r="C20228" s="11" t="s">
        <v>24200</v>
      </c>
      <c r="D20228" s="11" t="s">
        <v>24262</v>
      </c>
      <c r="E20228" s="10">
        <v>2513917</v>
      </c>
      <c r="F20228" s="4" t="str">
        <f>IF(B20228=B20227,"",B20228)</f>
        <v>Mérida</v>
      </c>
    </row>
    <row r="20229" spans="1:6" ht="15.75" customHeight="1">
      <c r="A20229" s="8" t="str">
        <f ca="1">IFERROR(__xludf.DUMMYFUNCTION("GOOGLETRANSLATE(B36983,""en"",""pt"")"),"Mérida")</f>
        <v>Mérida</v>
      </c>
      <c r="B20229" s="9" t="s">
        <v>32369</v>
      </c>
      <c r="C20229" s="9" t="s">
        <v>17707</v>
      </c>
      <c r="D20229" s="9" t="s">
        <v>34661</v>
      </c>
      <c r="E20229" s="10">
        <v>3523349</v>
      </c>
      <c r="F20229" s="4" t="str">
        <f>IF(B20229=B20228,"",B20229)</f>
        <v/>
      </c>
    </row>
    <row r="20230" spans="1:6" ht="15.75" customHeight="1">
      <c r="A20230" s="8" t="str">
        <f ca="1">IFERROR(__xludf.DUMMYFUNCTION("GOOGLETRANSLATE(B45644,""en"",""pt"")"),"Mérida")</f>
        <v>Mérida</v>
      </c>
      <c r="B20230" s="11" t="s">
        <v>32369</v>
      </c>
      <c r="C20230" s="11" t="s">
        <v>5923</v>
      </c>
      <c r="D20230" s="11" t="s">
        <v>32369</v>
      </c>
      <c r="E20230" s="10">
        <v>3632308</v>
      </c>
      <c r="F20230" s="4" t="str">
        <f>IF(B20230=B20229,"",B20230)</f>
        <v/>
      </c>
    </row>
    <row r="20231" spans="1:6" ht="15.75" customHeight="1">
      <c r="A20231" s="16" t="s">
        <v>1640</v>
      </c>
      <c r="B20231" s="15" t="s">
        <v>1640</v>
      </c>
      <c r="C20231" s="16" t="s">
        <v>1512</v>
      </c>
      <c r="D20231" s="16" t="s">
        <v>1513</v>
      </c>
      <c r="E20231" s="2">
        <v>2791315</v>
      </c>
      <c r="F20231" s="4" t="str">
        <f>IF(B20231=B20230,"",B20231)</f>
        <v>Merelbeke</v>
      </c>
    </row>
    <row r="20232" spans="1:6" ht="15.75" customHeight="1">
      <c r="A20232" s="8" t="str">
        <f ca="1">IFERROR(__xludf.DUMMYFUNCTION("GOOGLETRANSLATE(B23868,""en"",""pt"")"),"Merelbeke")</f>
        <v>Merelbeke</v>
      </c>
      <c r="B20232" s="11" t="s">
        <v>1640</v>
      </c>
      <c r="C20232" s="11" t="s">
        <v>1512</v>
      </c>
      <c r="D20232" s="11" t="s">
        <v>1513</v>
      </c>
      <c r="E20232" s="10">
        <v>2791315</v>
      </c>
      <c r="F20232" s="4" t="str">
        <f>IF(B20232=B20231,"",B20232)</f>
        <v/>
      </c>
    </row>
    <row r="20233" spans="1:6" ht="15.75" customHeight="1">
      <c r="A20233" s="15" t="s">
        <v>25685</v>
      </c>
      <c r="B20233" s="15" t="s">
        <v>25685</v>
      </c>
      <c r="C20233" s="15" t="s">
        <v>25560</v>
      </c>
      <c r="D20233" s="15" t="s">
        <v>25559</v>
      </c>
      <c r="E20233" s="2">
        <v>6640202</v>
      </c>
      <c r="F20233" s="4" t="str">
        <f>IF(B20233=B20232,"",B20233)</f>
        <v>Merelani</v>
      </c>
    </row>
    <row r="20234" spans="1:6" ht="15.75" customHeight="1">
      <c r="A20234" s="8" t="str">
        <f ca="1">IFERROR(__xludf.DUMMYFUNCTION("GOOGLETRANSLATE(B42465,""en"",""pt"")"),"Merelani")</f>
        <v>Merelani</v>
      </c>
      <c r="B20234" s="9" t="s">
        <v>25685</v>
      </c>
      <c r="C20234" s="9" t="s">
        <v>25560</v>
      </c>
      <c r="D20234" s="9" t="s">
        <v>25559</v>
      </c>
      <c r="E20234" s="10">
        <v>6640202</v>
      </c>
      <c r="F20234" s="4" t="str">
        <f>IF(B20234=B20233,"",B20234)</f>
        <v/>
      </c>
    </row>
    <row r="20235" spans="1:6" ht="15.75" customHeight="1">
      <c r="A20235" s="15" t="s">
        <v>27067</v>
      </c>
      <c r="B20235" s="15" t="s">
        <v>27067</v>
      </c>
      <c r="C20235" s="15" t="s">
        <v>26870</v>
      </c>
      <c r="D20235" s="15" t="s">
        <v>26893</v>
      </c>
      <c r="E20235" s="2">
        <v>701347</v>
      </c>
      <c r="F20235" s="4" t="str">
        <f>IF(B20235=B20234,"",B20235)</f>
        <v>Merefa</v>
      </c>
    </row>
    <row r="20236" spans="1:6" ht="15.75" customHeight="1">
      <c r="A20236" s="8" t="str">
        <f ca="1">IFERROR(__xludf.DUMMYFUNCTION("GOOGLETRANSLATE(B42580,""en"",""pt"")"),"Merefa")</f>
        <v>Merefa</v>
      </c>
      <c r="B20236" s="11" t="s">
        <v>27067</v>
      </c>
      <c r="C20236" s="11" t="s">
        <v>26870</v>
      </c>
      <c r="D20236" s="11" t="s">
        <v>26893</v>
      </c>
      <c r="E20236" s="10">
        <v>701347</v>
      </c>
      <c r="F20236" s="4" t="str">
        <f>IF(B20236=B20235,"",B20236)</f>
        <v/>
      </c>
    </row>
    <row r="20237" spans="1:6" ht="15.75" customHeight="1">
      <c r="A20237" s="15" t="s">
        <v>26629</v>
      </c>
      <c r="B20237" s="15" t="s">
        <v>26629</v>
      </c>
      <c r="C20237" s="15" t="s">
        <v>26201</v>
      </c>
      <c r="D20237" s="15" t="s">
        <v>26315</v>
      </c>
      <c r="E20237" s="2">
        <v>304531</v>
      </c>
      <c r="F20237" s="4" t="str">
        <f>IF(B20237=B20236,"",B20237)</f>
        <v>Mercin</v>
      </c>
    </row>
    <row r="20238" spans="1:6" ht="15.75" customHeight="1">
      <c r="A20238" s="8" t="str">
        <f ca="1">IFERROR(__xludf.DUMMYFUNCTION("GOOGLETRANSLATE(B41936,""en"",""pt"")"),"Mercin")</f>
        <v>Mercin</v>
      </c>
      <c r="B20238" s="11" t="s">
        <v>26629</v>
      </c>
      <c r="C20238" s="11" t="s">
        <v>26201</v>
      </c>
      <c r="D20238" s="11" t="s">
        <v>26315</v>
      </c>
      <c r="E20238" s="10">
        <v>304531</v>
      </c>
      <c r="F20238" s="4" t="str">
        <f>IF(B20238=B20237,"",B20238)</f>
        <v/>
      </c>
    </row>
    <row r="20239" spans="1:6" ht="15.75" customHeight="1">
      <c r="A20239" s="16" t="s">
        <v>29269</v>
      </c>
      <c r="B20239" s="15" t="s">
        <v>29269</v>
      </c>
      <c r="C20239" s="16" t="s">
        <v>27788</v>
      </c>
      <c r="D20239" s="16" t="s">
        <v>27733</v>
      </c>
      <c r="E20239" s="2">
        <v>5803139</v>
      </c>
      <c r="F20239" s="4" t="str">
        <f>IF(B20239=B20238,"",B20239)</f>
        <v>Mercer Island</v>
      </c>
    </row>
    <row r="20240" spans="1:6" ht="15.75" customHeight="1">
      <c r="A20240" s="8" t="str">
        <f ca="1">IFERROR(__xludf.DUMMYFUNCTION("GOOGLETRANSLATE(B45351,""en"",""pt"")"),"Mercer Island")</f>
        <v>Mercer Island</v>
      </c>
      <c r="B20240" s="11" t="s">
        <v>29269</v>
      </c>
      <c r="C20240" s="11" t="s">
        <v>27788</v>
      </c>
      <c r="D20240" s="11" t="s">
        <v>27733</v>
      </c>
      <c r="E20240" s="10">
        <v>5803139</v>
      </c>
      <c r="F20240" s="4" t="str">
        <f>IF(B20240=B20239,"",B20240)</f>
        <v/>
      </c>
    </row>
    <row r="20241" spans="1:6" ht="15.75" customHeight="1">
      <c r="A20241" s="16" t="s">
        <v>708</v>
      </c>
      <c r="B20241" s="15" t="s">
        <v>708</v>
      </c>
      <c r="C20241" s="16" t="s">
        <v>558</v>
      </c>
      <c r="D20241" s="16" t="s">
        <v>562</v>
      </c>
      <c r="E20241" s="2">
        <v>3430708</v>
      </c>
      <c r="F20241" s="4" t="str">
        <f>IF(B20241=B20240,"",B20241)</f>
        <v>Mercedes</v>
      </c>
    </row>
    <row r="20242" spans="1:6" ht="15.75" customHeight="1">
      <c r="A20242" s="16" t="s">
        <v>708</v>
      </c>
      <c r="B20242" s="15" t="s">
        <v>708</v>
      </c>
      <c r="C20242" s="16" t="s">
        <v>558</v>
      </c>
      <c r="D20242" s="16" t="s">
        <v>629</v>
      </c>
      <c r="E20242" s="2">
        <v>3430709</v>
      </c>
      <c r="F20242" s="4" t="str">
        <f>IF(B20242=B20241,"",B20242)</f>
        <v/>
      </c>
    </row>
    <row r="20243" spans="1:6" ht="15.75" customHeight="1">
      <c r="A20243" s="16" t="s">
        <v>708</v>
      </c>
      <c r="B20243" s="15" t="s">
        <v>708</v>
      </c>
      <c r="C20243" s="16" t="s">
        <v>5665</v>
      </c>
      <c r="D20243" s="16" t="s">
        <v>5683</v>
      </c>
      <c r="E20243" s="2">
        <v>3622881</v>
      </c>
      <c r="F20243" s="4" t="str">
        <f>IF(B20243=B20242,"",B20243)</f>
        <v/>
      </c>
    </row>
    <row r="20244" spans="1:6" ht="15.75" customHeight="1">
      <c r="A20244" s="16" t="s">
        <v>708</v>
      </c>
      <c r="B20244" s="15" t="s">
        <v>708</v>
      </c>
      <c r="C20244" s="16" t="s">
        <v>20598</v>
      </c>
      <c r="D20244" s="16" t="s">
        <v>20634</v>
      </c>
      <c r="E20244" s="2">
        <v>1699833</v>
      </c>
      <c r="F20244" s="4" t="str">
        <f>IF(B20244=B20243,"",B20244)</f>
        <v/>
      </c>
    </row>
    <row r="20245" spans="1:6" ht="15.75" customHeight="1">
      <c r="A20245" s="16" t="s">
        <v>708</v>
      </c>
      <c r="B20245" s="15" t="s">
        <v>708</v>
      </c>
      <c r="C20245" s="16" t="s">
        <v>30472</v>
      </c>
      <c r="D20245" s="16" t="s">
        <v>30477</v>
      </c>
      <c r="E20245" s="2">
        <v>3441684</v>
      </c>
      <c r="F20245" s="4" t="str">
        <f>IF(B20245=B20244,"",B20245)</f>
        <v/>
      </c>
    </row>
    <row r="20246" spans="1:6" ht="15.75" customHeight="1">
      <c r="A20246" s="8" t="str">
        <f ca="1">IFERROR(__xludf.DUMMYFUNCTION("GOOGLETRANSLATE(B23201,""en"",""pt"")"),"Mercedes")</f>
        <v>Mercedes</v>
      </c>
      <c r="B20246" s="11" t="s">
        <v>708</v>
      </c>
      <c r="C20246" s="11" t="s">
        <v>558</v>
      </c>
      <c r="D20246" s="11" t="s">
        <v>562</v>
      </c>
      <c r="E20246" s="10">
        <v>3430708</v>
      </c>
      <c r="F20246" s="4" t="str">
        <f>IF(B20246=B20245,"",B20246)</f>
        <v/>
      </c>
    </row>
    <row r="20247" spans="1:6" ht="15.75" customHeight="1">
      <c r="A20247" s="8" t="str">
        <f ca="1">IFERROR(__xludf.DUMMYFUNCTION("GOOGLETRANSLATE(B23202,""en"",""pt"")"),"Mercedes")</f>
        <v>Mercedes</v>
      </c>
      <c r="B20247" s="9" t="s">
        <v>708</v>
      </c>
      <c r="C20247" s="9" t="s">
        <v>558</v>
      </c>
      <c r="D20247" s="9" t="s">
        <v>629</v>
      </c>
      <c r="E20247" s="10">
        <v>3430709</v>
      </c>
      <c r="F20247" s="4" t="str">
        <f>IF(B20247=B20246,"",B20247)</f>
        <v/>
      </c>
    </row>
    <row r="20248" spans="1:6" ht="15.75" customHeight="1">
      <c r="A20248" s="8" t="str">
        <f ca="1">IFERROR(__xludf.DUMMYFUNCTION("GOOGLETRANSLATE(B27086,""en"",""pt"")"),"Mercedes")</f>
        <v>Mercedes</v>
      </c>
      <c r="B20248" s="9" t="s">
        <v>708</v>
      </c>
      <c r="C20248" s="9" t="s">
        <v>5665</v>
      </c>
      <c r="D20248" s="9" t="s">
        <v>5683</v>
      </c>
      <c r="E20248" s="10">
        <v>3622881</v>
      </c>
      <c r="F20248" s="4" t="str">
        <f>IF(B20248=B20247,"",B20248)</f>
        <v/>
      </c>
    </row>
    <row r="20249" spans="1:6" ht="15.75" customHeight="1">
      <c r="A20249" s="8" t="str">
        <f ca="1">IFERROR(__xludf.DUMMYFUNCTION("GOOGLETRANSLATE(B38606,""en"",""pt"")"),"Mercedes")</f>
        <v>Mercedes</v>
      </c>
      <c r="B20249" s="11" t="s">
        <v>708</v>
      </c>
      <c r="C20249" s="11" t="s">
        <v>20598</v>
      </c>
      <c r="D20249" s="11" t="s">
        <v>20634</v>
      </c>
      <c r="E20249" s="10">
        <v>1699833</v>
      </c>
      <c r="F20249" s="4" t="str">
        <f>IF(B20249=B20248,"",B20249)</f>
        <v/>
      </c>
    </row>
    <row r="20250" spans="1:6" ht="15.75" customHeight="1">
      <c r="A20250" s="8" t="str">
        <f ca="1">IFERROR(__xludf.DUMMYFUNCTION("GOOGLETRANSLATE(B45486,""en"",""pt"")"),"Mercedes")</f>
        <v>Mercedes</v>
      </c>
      <c r="B20250" s="9" t="s">
        <v>708</v>
      </c>
      <c r="C20250" s="9" t="s">
        <v>30472</v>
      </c>
      <c r="D20250" s="9" t="s">
        <v>30477</v>
      </c>
      <c r="E20250" s="10">
        <v>3441684</v>
      </c>
      <c r="F20250" s="4" t="str">
        <f>IF(B20250=B20249,"",B20250)</f>
        <v/>
      </c>
    </row>
    <row r="20251" spans="1:6" ht="15.75" customHeight="1">
      <c r="A20251" s="15" t="s">
        <v>29268</v>
      </c>
      <c r="B20251" s="15" t="s">
        <v>29268</v>
      </c>
      <c r="C20251" s="15" t="s">
        <v>27788</v>
      </c>
      <c r="D20251" s="15" t="s">
        <v>27801</v>
      </c>
      <c r="E20251" s="2">
        <v>5372253</v>
      </c>
      <c r="F20251" s="4" t="str">
        <f>IF(B20251=B20250,"",B20251)</f>
        <v>Merced</v>
      </c>
    </row>
    <row r="20252" spans="1:6" ht="15.75" customHeight="1">
      <c r="A20252" s="8" t="str">
        <f ca="1">IFERROR(__xludf.DUMMYFUNCTION("GOOGLETRANSLATE(B44905,""en"",""pt"")"),"Merced")</f>
        <v>Merced</v>
      </c>
      <c r="B20252" s="9" t="s">
        <v>29268</v>
      </c>
      <c r="C20252" s="9" t="s">
        <v>27788</v>
      </c>
      <c r="D20252" s="9" t="s">
        <v>27801</v>
      </c>
      <c r="E20252" s="10">
        <v>5372253</v>
      </c>
      <c r="F20252" s="4" t="str">
        <f>IF(B20252=B20251,"",B20252)</f>
        <v/>
      </c>
    </row>
    <row r="20253" spans="1:6" ht="15.75" customHeight="1">
      <c r="A20253" s="15" t="s">
        <v>15263</v>
      </c>
      <c r="B20253" s="15" t="s">
        <v>15263</v>
      </c>
      <c r="C20253" s="15" t="s">
        <v>14891</v>
      </c>
      <c r="D20253" s="15" t="s">
        <v>14986</v>
      </c>
      <c r="E20253" s="2">
        <v>3173577</v>
      </c>
      <c r="F20253" s="4" t="str">
        <f>IF(B20253=B20252,"",B20253)</f>
        <v>Merano</v>
      </c>
    </row>
    <row r="20254" spans="1:6" ht="15.75" customHeight="1">
      <c r="A20254" s="8" t="str">
        <f ca="1">IFERROR(__xludf.DUMMYFUNCTION("GOOGLETRANSLATE(B34838,""en"",""pt"")"),"Merano")</f>
        <v>Merano</v>
      </c>
      <c r="B20254" s="9" t="s">
        <v>15263</v>
      </c>
      <c r="C20254" s="9" t="s">
        <v>14891</v>
      </c>
      <c r="D20254" s="9" t="s">
        <v>14986</v>
      </c>
      <c r="E20254" s="10">
        <v>3173577</v>
      </c>
      <c r="F20254" s="4" t="str">
        <f>IF(B20254=B20253,"",B20254)</f>
        <v/>
      </c>
    </row>
    <row r="20255" spans="1:6" ht="15.75" customHeight="1">
      <c r="A20255" s="15" t="s">
        <v>29267</v>
      </c>
      <c r="B20255" s="15" t="s">
        <v>29267</v>
      </c>
      <c r="C20255" s="15" t="s">
        <v>27788</v>
      </c>
      <c r="D20255" s="15" t="s">
        <v>27890</v>
      </c>
      <c r="E20255" s="2">
        <v>5262649</v>
      </c>
      <c r="F20255" s="4" t="str">
        <f>IF(B20255=B20254,"",B20255)</f>
        <v>Mequon</v>
      </c>
    </row>
    <row r="20256" spans="1:6" ht="15.75" customHeight="1">
      <c r="A20256" s="8" t="str">
        <f ca="1">IFERROR(__xludf.DUMMYFUNCTION("GOOGLETRANSLATE(B44658,""en"",""pt"")"),"Mequon")</f>
        <v>Mequon</v>
      </c>
      <c r="B20256" s="9" t="s">
        <v>29267</v>
      </c>
      <c r="C20256" s="9" t="s">
        <v>27788</v>
      </c>
      <c r="D20256" s="9" t="s">
        <v>27890</v>
      </c>
      <c r="E20256" s="10">
        <v>5262649</v>
      </c>
      <c r="F20256" s="4" t="str">
        <f>IF(B20256=B20255,"",B20256)</f>
        <v/>
      </c>
    </row>
    <row r="20257" spans="1:6" ht="15.75" customHeight="1">
      <c r="A20257" s="15" t="s">
        <v>8847</v>
      </c>
      <c r="B20257" s="15" t="s">
        <v>8847</v>
      </c>
      <c r="C20257" s="15" t="s">
        <v>8028</v>
      </c>
      <c r="D20257" s="15" t="s">
        <v>8034</v>
      </c>
      <c r="E20257" s="2">
        <v>2871845</v>
      </c>
      <c r="F20257" s="4" t="str">
        <f>IF(B20257=B20256,"",B20257)</f>
        <v>Meppen</v>
      </c>
    </row>
    <row r="20258" spans="1:6" ht="15.75" customHeight="1">
      <c r="A20258" s="8" t="str">
        <f ca="1">IFERROR(__xludf.DUMMYFUNCTION("GOOGLETRANSLATE(B27764,""en"",""pt"")"),"Meppen")</f>
        <v>Meppen</v>
      </c>
      <c r="B20258" s="11" t="s">
        <v>8847</v>
      </c>
      <c r="C20258" s="11" t="s">
        <v>8028</v>
      </c>
      <c r="D20258" s="11" t="s">
        <v>8034</v>
      </c>
      <c r="E20258" s="10">
        <v>2871845</v>
      </c>
      <c r="F20258" s="4" t="str">
        <f>IF(B20258=B20257,"",B20258)</f>
        <v/>
      </c>
    </row>
    <row r="20259" spans="1:6" ht="15.75" customHeight="1">
      <c r="A20259" s="15" t="s">
        <v>19039</v>
      </c>
      <c r="B20259" s="15" t="s">
        <v>19039</v>
      </c>
      <c r="C20259" s="15" t="s">
        <v>18862</v>
      </c>
      <c r="D20259" s="15" t="s">
        <v>18883</v>
      </c>
      <c r="E20259" s="2">
        <v>2750947</v>
      </c>
      <c r="F20259" s="4" t="str">
        <f>IF(B20259=B20258,"",B20259)</f>
        <v>Meppel</v>
      </c>
    </row>
    <row r="20260" spans="1:6" ht="15.75" customHeight="1">
      <c r="A20260" s="8" t="str">
        <f ca="1">IFERROR(__xludf.DUMMYFUNCTION("GOOGLETRANSLATE(B37997,""en"",""pt"")"),"Meppel")</f>
        <v>Meppel</v>
      </c>
      <c r="B20260" s="11" t="s">
        <v>19039</v>
      </c>
      <c r="C20260" s="11" t="s">
        <v>18862</v>
      </c>
      <c r="D20260" s="11" t="s">
        <v>18883</v>
      </c>
      <c r="E20260" s="10">
        <v>2750947</v>
      </c>
      <c r="F20260" s="4" t="str">
        <f>IF(B20260=B20259,"",B20260)</f>
        <v/>
      </c>
    </row>
    <row r="20261" spans="1:6" ht="15.75" customHeight="1">
      <c r="A20261" s="16" t="s">
        <v>22735</v>
      </c>
      <c r="B20261" s="15" t="s">
        <v>22735</v>
      </c>
      <c r="C20261" s="16" t="s">
        <v>22070</v>
      </c>
      <c r="D20261" s="16" t="s">
        <v>22090</v>
      </c>
      <c r="E20261" s="2">
        <v>527529</v>
      </c>
      <c r="F20261" s="4" t="str">
        <f>IF(B20261=B20260,"",B20261)</f>
        <v>Menzelinsk</v>
      </c>
    </row>
    <row r="20262" spans="1:6" ht="15.75" customHeight="1">
      <c r="A20262" s="8" t="str">
        <f ca="1">IFERROR(__xludf.DUMMYFUNCTION("GOOGLETRANSLATE(B40322,""en"",""pt"")"),"Menzelinsk")</f>
        <v>Menzelinsk</v>
      </c>
      <c r="B20262" s="11" t="s">
        <v>22735</v>
      </c>
      <c r="C20262" s="11" t="s">
        <v>22070</v>
      </c>
      <c r="D20262" s="11" t="s">
        <v>22090</v>
      </c>
      <c r="E20262" s="10">
        <v>527529</v>
      </c>
      <c r="F20262" s="4" t="str">
        <f>IF(B20262=B20261,"",B20262)</f>
        <v/>
      </c>
    </row>
    <row r="20263" spans="1:6" ht="15.75" customHeight="1">
      <c r="A20263" s="16" t="s">
        <v>26168</v>
      </c>
      <c r="B20263" s="15" t="s">
        <v>26168</v>
      </c>
      <c r="C20263" s="16" t="s">
        <v>26090</v>
      </c>
      <c r="D20263" s="16" t="s">
        <v>26110</v>
      </c>
      <c r="E20263" s="2">
        <v>2469256</v>
      </c>
      <c r="F20263" s="4" t="str">
        <f>IF(B20263=B20262,"",B20263)</f>
        <v>Menzel Jemil</v>
      </c>
    </row>
    <row r="20264" spans="1:6" ht="15.75" customHeight="1">
      <c r="A20264" s="8" t="str">
        <f ca="1">IFERROR(__xludf.DUMMYFUNCTION("GOOGLETRANSLATE(B41820,""en"",""pt"")"),"Menzel Jemil")</f>
        <v>Menzel Jemil</v>
      </c>
      <c r="B20264" s="9" t="s">
        <v>26168</v>
      </c>
      <c r="C20264" s="9" t="s">
        <v>26090</v>
      </c>
      <c r="D20264" s="9" t="s">
        <v>26110</v>
      </c>
      <c r="E20264" s="10">
        <v>2469256</v>
      </c>
      <c r="F20264" s="4" t="str">
        <f>IF(B20264=B20263,"",B20264)</f>
        <v/>
      </c>
    </row>
    <row r="20265" spans="1:6" ht="15.75" customHeight="1">
      <c r="A20265" s="16" t="s">
        <v>26167</v>
      </c>
      <c r="B20265" s="15" t="s">
        <v>26167</v>
      </c>
      <c r="C20265" s="16" t="s">
        <v>26090</v>
      </c>
      <c r="D20265" s="16" t="s">
        <v>26110</v>
      </c>
      <c r="E20265" s="2">
        <v>2469264</v>
      </c>
      <c r="F20265" s="4" t="str">
        <f>IF(B20265=B20264,"",B20265)</f>
        <v>Menzel Bourguiba</v>
      </c>
    </row>
    <row r="20266" spans="1:6" ht="15.75" customHeight="1">
      <c r="A20266" s="8" t="str">
        <f ca="1">IFERROR(__xludf.DUMMYFUNCTION("GOOGLETRANSLATE(B41822,""en"",""pt"")"),"Menzel Bourguiba")</f>
        <v>Menzel Bourguiba</v>
      </c>
      <c r="B20266" s="9" t="s">
        <v>26167</v>
      </c>
      <c r="C20266" s="9" t="s">
        <v>26090</v>
      </c>
      <c r="D20266" s="9" t="s">
        <v>26110</v>
      </c>
      <c r="E20266" s="10">
        <v>2469264</v>
      </c>
      <c r="F20266" s="4" t="str">
        <f>IF(B20266=B20265,"",B20266)</f>
        <v/>
      </c>
    </row>
    <row r="20267" spans="1:6" ht="15.75" customHeight="1">
      <c r="A20267" s="16" t="s">
        <v>26166</v>
      </c>
      <c r="B20267" s="15" t="s">
        <v>26166</v>
      </c>
      <c r="C20267" s="16" t="s">
        <v>26090</v>
      </c>
      <c r="D20267" s="16" t="s">
        <v>26110</v>
      </c>
      <c r="E20267" s="2">
        <v>2469268</v>
      </c>
      <c r="F20267" s="4" t="str">
        <f>IF(B20267=B20266,"",B20267)</f>
        <v>Menzel Abderhaman</v>
      </c>
    </row>
    <row r="20268" spans="1:6" ht="15.75" customHeight="1">
      <c r="A20268" s="8" t="str">
        <f ca="1">IFERROR(__xludf.DUMMYFUNCTION("GOOGLETRANSLATE(B41823,""en"",""pt"")"),"Menzel Abderhaman")</f>
        <v>Menzel Abderhaman</v>
      </c>
      <c r="B20268" s="9" t="s">
        <v>26166</v>
      </c>
      <c r="C20268" s="9" t="s">
        <v>26090</v>
      </c>
      <c r="D20268" s="9" t="s">
        <v>26110</v>
      </c>
      <c r="E20268" s="10">
        <v>2469268</v>
      </c>
      <c r="F20268" s="4" t="str">
        <f>IF(B20268=B20267,"",B20268)</f>
        <v/>
      </c>
    </row>
    <row r="20269" spans="1:6" ht="15.75" customHeight="1">
      <c r="A20269" s="15" t="s">
        <v>16212</v>
      </c>
      <c r="B20269" s="15" t="s">
        <v>16212</v>
      </c>
      <c r="C20269" s="15" t="s">
        <v>15704</v>
      </c>
      <c r="D20269" s="15" t="s">
        <v>15710</v>
      </c>
      <c r="E20269" s="2">
        <v>1857403</v>
      </c>
      <c r="F20269" s="4" t="str">
        <f>IF(B20269=B20268,"",B20269)</f>
        <v>Menuma</v>
      </c>
    </row>
    <row r="20270" spans="1:6" ht="15.75" customHeight="1">
      <c r="A20270" s="8" t="str">
        <f ca="1">IFERROR(__xludf.DUMMYFUNCTION("GOOGLETRANSLATE(B35440,""en"",""pt"")"),"Menuma")</f>
        <v>Menuma</v>
      </c>
      <c r="B20270" s="9" t="s">
        <v>16212</v>
      </c>
      <c r="C20270" s="9" t="s">
        <v>15704</v>
      </c>
      <c r="D20270" s="9" t="s">
        <v>15710</v>
      </c>
      <c r="E20270" s="10">
        <v>1857403</v>
      </c>
      <c r="F20270" s="4" t="str">
        <f>IF(B20270=B20269,"",B20270)</f>
        <v/>
      </c>
    </row>
    <row r="20271" spans="1:6" ht="15.75" customHeight="1">
      <c r="A20271" s="16" t="s">
        <v>4944</v>
      </c>
      <c r="B20271" s="15" t="s">
        <v>4944</v>
      </c>
      <c r="C20271" s="16" t="s">
        <v>4487</v>
      </c>
      <c r="D20271" s="16" t="s">
        <v>4546</v>
      </c>
      <c r="E20271" s="2">
        <v>1800657</v>
      </c>
      <c r="F20271" s="4" t="str">
        <f>IF(B20271=B20270,"",B20271)</f>
        <v>Mentougou</v>
      </c>
    </row>
    <row r="20272" spans="1:6" ht="15.75" customHeight="1">
      <c r="A20272" s="8" t="str">
        <f ca="1">IFERROR(__xludf.DUMMYFUNCTION("GOOGLETRANSLATE(B26355,""en"",""pt"")"),"Mentougou")</f>
        <v>Mentougou</v>
      </c>
      <c r="B20272" s="9" t="s">
        <v>4944</v>
      </c>
      <c r="C20272" s="9" t="s">
        <v>4487</v>
      </c>
      <c r="D20272" s="9" t="s">
        <v>4546</v>
      </c>
      <c r="E20272" s="10">
        <v>1800657</v>
      </c>
      <c r="F20272" s="4" t="str">
        <f>IF(B20272=B20271,"",B20272)</f>
        <v/>
      </c>
    </row>
    <row r="20273" spans="1:6" ht="15.75" customHeight="1">
      <c r="A20273" s="15" t="s">
        <v>29266</v>
      </c>
      <c r="B20273" s="15" t="s">
        <v>29266</v>
      </c>
      <c r="C20273" s="15" t="s">
        <v>27788</v>
      </c>
      <c r="D20273" s="15" t="s">
        <v>27813</v>
      </c>
      <c r="E20273" s="2">
        <v>5162645</v>
      </c>
      <c r="F20273" s="4" t="str">
        <f>IF(B20273=B20272,"",B20273)</f>
        <v>Mentor</v>
      </c>
    </row>
    <row r="20274" spans="1:6" ht="15.75" customHeight="1">
      <c r="A20274" s="8" t="str">
        <f ca="1">IFERROR(__xludf.DUMMYFUNCTION("GOOGLETRANSLATE(B44520,""en"",""pt"")"),"Mentor")</f>
        <v>Mentor</v>
      </c>
      <c r="B20274" s="9" t="s">
        <v>29266</v>
      </c>
      <c r="C20274" s="9" t="s">
        <v>27788</v>
      </c>
      <c r="D20274" s="9" t="s">
        <v>27813</v>
      </c>
      <c r="E20274" s="10">
        <v>5162645</v>
      </c>
      <c r="F20274" s="4" t="str">
        <f>IF(B20274=B20273,"",B20274)</f>
        <v/>
      </c>
    </row>
    <row r="20275" spans="1:6" ht="15.75" customHeight="1">
      <c r="A20275" s="15" t="s">
        <v>7582</v>
      </c>
      <c r="B20275" s="15" t="s">
        <v>7582</v>
      </c>
      <c r="C20275" s="15" t="s">
        <v>7052</v>
      </c>
      <c r="D20275" s="15" t="s">
        <v>7087</v>
      </c>
      <c r="E20275" s="2">
        <v>2994497</v>
      </c>
      <c r="F20275" s="4" t="str">
        <f>IF(B20275=B20274,"",B20275)</f>
        <v>Menton</v>
      </c>
    </row>
    <row r="20276" spans="1:6" ht="15.75" customHeight="1">
      <c r="A20276" s="8" t="str">
        <f ca="1">IFERROR(__xludf.DUMMYFUNCTION("GOOGLETRANSLATE(B29927,""en"",""pt"")"),"Menton")</f>
        <v>Menton</v>
      </c>
      <c r="B20276" s="9" t="s">
        <v>7582</v>
      </c>
      <c r="C20276" s="9" t="s">
        <v>7052</v>
      </c>
      <c r="D20276" s="9" t="s">
        <v>32534</v>
      </c>
      <c r="E20276" s="10">
        <v>2994497</v>
      </c>
      <c r="F20276" s="4" t="str">
        <f>IF(B20276=B20275,"",B20276)</f>
        <v/>
      </c>
    </row>
    <row r="20277" spans="1:6" ht="15.75" customHeight="1">
      <c r="A20277" s="16" t="s">
        <v>17529</v>
      </c>
      <c r="B20277" s="15" t="s">
        <v>17529</v>
      </c>
      <c r="C20277" s="16" t="s">
        <v>17432</v>
      </c>
      <c r="D20277" s="16" t="s">
        <v>17456</v>
      </c>
      <c r="E20277" s="2">
        <v>1735018</v>
      </c>
      <c r="F20277" s="4" t="str">
        <f>IF(B20277=B20276,"",B20277)</f>
        <v>Mentekab</v>
      </c>
    </row>
    <row r="20278" spans="1:6" ht="15.75" customHeight="1">
      <c r="A20278" s="8" t="str">
        <f ca="1">IFERROR(__xludf.DUMMYFUNCTION("GOOGLETRANSLATE(B37470,""en"",""pt"")"),"Mentekab")</f>
        <v>Mentekab</v>
      </c>
      <c r="B20278" s="9" t="s">
        <v>17529</v>
      </c>
      <c r="C20278" s="9" t="s">
        <v>17432</v>
      </c>
      <c r="D20278" s="9" t="s">
        <v>17456</v>
      </c>
      <c r="E20278" s="10">
        <v>1735018</v>
      </c>
      <c r="F20278" s="4" t="str">
        <f>IF(B20278=B20277,"",B20278)</f>
        <v/>
      </c>
    </row>
    <row r="20279" spans="1:6" ht="15.75" customHeight="1">
      <c r="A20279" s="15" t="s">
        <v>15262</v>
      </c>
      <c r="B20279" s="15" t="s">
        <v>15262</v>
      </c>
      <c r="C20279" s="15" t="s">
        <v>14891</v>
      </c>
      <c r="D20279" s="15" t="s">
        <v>14904</v>
      </c>
      <c r="E20279" s="2">
        <v>3173582</v>
      </c>
      <c r="F20279" s="4" t="str">
        <f>IF(B20279=B20278,"",B20279)</f>
        <v>Mentana</v>
      </c>
    </row>
    <row r="20280" spans="1:6" ht="15.75" customHeight="1">
      <c r="A20280" s="8" t="str">
        <f ca="1">IFERROR(__xludf.DUMMYFUNCTION("GOOGLETRANSLATE(B34839,""en"",""pt"")"),"Mentana")</f>
        <v>Mentana</v>
      </c>
      <c r="B20280" s="9" t="s">
        <v>15262</v>
      </c>
      <c r="C20280" s="9" t="s">
        <v>14891</v>
      </c>
      <c r="D20280" s="9" t="s">
        <v>14904</v>
      </c>
      <c r="E20280" s="10">
        <v>3173582</v>
      </c>
      <c r="F20280" s="4" t="str">
        <f>IF(B20280=B20279,"",B20280)</f>
        <v/>
      </c>
    </row>
    <row r="20281" spans="1:6" ht="15.75" customHeight="1">
      <c r="A20281" s="16" t="s">
        <v>534</v>
      </c>
      <c r="B20281" s="15" t="s">
        <v>534</v>
      </c>
      <c r="C20281" s="16" t="s">
        <v>507</v>
      </c>
      <c r="D20281" s="16" t="s">
        <v>535</v>
      </c>
      <c r="E20281" s="2">
        <v>3347353</v>
      </c>
      <c r="F20281" s="4" t="str">
        <f>IF(B20281=B20280,"",B20281)</f>
        <v>Menongue</v>
      </c>
    </row>
    <row r="20282" spans="1:6" ht="15.75" customHeight="1">
      <c r="A20282" s="8" t="str">
        <f ca="1">IFERROR(__xludf.DUMMYFUNCTION("GOOGLETRANSLATE(B23155,""en"",""pt"")"),"Menongue")</f>
        <v>Menongue</v>
      </c>
      <c r="B20282" s="9" t="s">
        <v>534</v>
      </c>
      <c r="C20282" s="9" t="s">
        <v>507</v>
      </c>
      <c r="D20282" s="9" t="s">
        <v>535</v>
      </c>
      <c r="E20282" s="10">
        <v>3347353</v>
      </c>
      <c r="F20282" s="4" t="str">
        <f>IF(B20282=B20281,"",B20282)</f>
        <v/>
      </c>
    </row>
    <row r="20283" spans="1:6" ht="15.75" customHeight="1">
      <c r="A20283" s="16" t="s">
        <v>29265</v>
      </c>
      <c r="B20283" s="15" t="s">
        <v>29265</v>
      </c>
      <c r="C20283" s="16" t="s">
        <v>27788</v>
      </c>
      <c r="D20283" s="16" t="s">
        <v>27890</v>
      </c>
      <c r="E20283" s="2">
        <v>5262634</v>
      </c>
      <c r="F20283" s="4" t="str">
        <f>IF(B20283=B20282,"",B20283)</f>
        <v>Menomonie</v>
      </c>
    </row>
    <row r="20284" spans="1:6" ht="15.75" customHeight="1">
      <c r="A20284" s="8" t="str">
        <f ca="1">IFERROR(__xludf.DUMMYFUNCTION("GOOGLETRANSLATE(B44657,""en"",""pt"")"),"Menomonie")</f>
        <v>Menomonie</v>
      </c>
      <c r="B20284" s="9" t="s">
        <v>29265</v>
      </c>
      <c r="C20284" s="9" t="s">
        <v>27788</v>
      </c>
      <c r="D20284" s="9" t="s">
        <v>27890</v>
      </c>
      <c r="E20284" s="10">
        <v>5262634</v>
      </c>
      <c r="F20284" s="4" t="str">
        <f>IF(B20284=B20283,"",B20284)</f>
        <v/>
      </c>
    </row>
    <row r="20285" spans="1:6" ht="15.75" customHeight="1">
      <c r="A20285" s="16" t="s">
        <v>29263</v>
      </c>
      <c r="B20285" s="15" t="s">
        <v>29264</v>
      </c>
      <c r="C20285" s="16" t="s">
        <v>27788</v>
      </c>
      <c r="D20285" s="16" t="s">
        <v>27890</v>
      </c>
      <c r="E20285" s="2">
        <v>5262630</v>
      </c>
      <c r="F20285" s="4" t="str">
        <f>IF(B20285=B20284,"",B20285)</f>
        <v>Menomonee Falls</v>
      </c>
    </row>
    <row r="20286" spans="1:6" ht="15.75" customHeight="1">
      <c r="A20286" s="8" t="str">
        <f ca="1">IFERROR(__xludf.DUMMYFUNCTION("GOOGLETRANSLATE(B44656,""en"",""pt"")"),"Menomonee cai")</f>
        <v>Menomonee cai</v>
      </c>
      <c r="B20286" s="11" t="s">
        <v>29264</v>
      </c>
      <c r="C20286" s="11" t="s">
        <v>27788</v>
      </c>
      <c r="D20286" s="11" t="s">
        <v>27890</v>
      </c>
      <c r="E20286" s="10">
        <v>5262630</v>
      </c>
      <c r="F20286" s="4" t="str">
        <f>IF(B20286=B20285,"",B20286)</f>
        <v/>
      </c>
    </row>
    <row r="20287" spans="1:6" ht="15.75" customHeight="1">
      <c r="A20287" s="16" t="s">
        <v>26165</v>
      </c>
      <c r="B20287" s="15" t="s">
        <v>26165</v>
      </c>
      <c r="C20287" s="16" t="s">
        <v>26090</v>
      </c>
      <c r="D20287" s="16" t="s">
        <v>26108</v>
      </c>
      <c r="E20287" s="2">
        <v>2469262</v>
      </c>
      <c r="F20287" s="4" t="str">
        <f>IF(B20287=B20286,"",B20287)</f>
        <v>Mennzel Bou Zelfa</v>
      </c>
    </row>
    <row r="20288" spans="1:6" ht="15.75" customHeight="1">
      <c r="A20288" s="8" t="str">
        <f ca="1">IFERROR(__xludf.DUMMYFUNCTION("GOOGLETRANSLATE(B41821,""en"",""pt"")"),"Mennzel Bou Zelfa")</f>
        <v>Mennzel Bou Zelfa</v>
      </c>
      <c r="B20288" s="11" t="s">
        <v>26165</v>
      </c>
      <c r="C20288" s="11" t="s">
        <v>26090</v>
      </c>
      <c r="D20288" s="11" t="s">
        <v>35796</v>
      </c>
      <c r="E20288" s="10">
        <v>2469262</v>
      </c>
      <c r="F20288" s="4" t="str">
        <f>IF(B20288=B20287,"",B20288)</f>
        <v/>
      </c>
    </row>
    <row r="20289" spans="1:6" ht="15.75" customHeight="1">
      <c r="A20289" s="16" t="s">
        <v>29261</v>
      </c>
      <c r="B20289" s="15" t="s">
        <v>29262</v>
      </c>
      <c r="C20289" s="16" t="s">
        <v>27788</v>
      </c>
      <c r="D20289" s="16" t="s">
        <v>27801</v>
      </c>
      <c r="E20289" s="2">
        <v>5372223</v>
      </c>
      <c r="F20289" s="4" t="str">
        <f>IF(B20289=B20288,"",B20289)</f>
        <v>Menlo Park</v>
      </c>
    </row>
    <row r="20290" spans="1:6" ht="15.75" customHeight="1">
      <c r="A20290" s="8" t="str">
        <f ca="1">IFERROR(__xludf.DUMMYFUNCTION("GOOGLETRANSLATE(B44904,""en"",""pt"")"),"Parque Menlo")</f>
        <v>Parque Menlo</v>
      </c>
      <c r="B20290" s="11" t="s">
        <v>29262</v>
      </c>
      <c r="C20290" s="11" t="s">
        <v>27788</v>
      </c>
      <c r="D20290" s="11" t="s">
        <v>27801</v>
      </c>
      <c r="E20290" s="10">
        <v>5372223</v>
      </c>
      <c r="F20290" s="4" t="str">
        <f>IF(B20290=B20289,"",B20290)</f>
        <v/>
      </c>
    </row>
    <row r="20291" spans="1:6" ht="15.75" customHeight="1">
      <c r="A20291" s="15" t="s">
        <v>29260</v>
      </c>
      <c r="B20291" s="15" t="s">
        <v>29260</v>
      </c>
      <c r="C20291" s="15" t="s">
        <v>27788</v>
      </c>
      <c r="D20291" s="15" t="s">
        <v>27801</v>
      </c>
      <c r="E20291" s="2">
        <v>5372205</v>
      </c>
      <c r="F20291" s="4" t="str">
        <f>IF(B20291=B20290,"",B20291)</f>
        <v>Menifee</v>
      </c>
    </row>
    <row r="20292" spans="1:6" ht="15.75" customHeight="1">
      <c r="A20292" s="8" t="str">
        <f ca="1">IFERROR(__xludf.DUMMYFUNCTION("GOOGLETRANSLATE(B44903,""en"",""pt"")"),"Menifee")</f>
        <v>Menifee</v>
      </c>
      <c r="B20292" s="11" t="s">
        <v>29260</v>
      </c>
      <c r="C20292" s="11" t="s">
        <v>27788</v>
      </c>
      <c r="D20292" s="11" t="s">
        <v>27801</v>
      </c>
      <c r="E20292" s="10">
        <v>5372205</v>
      </c>
      <c r="F20292" s="4" t="str">
        <f>IF(B20292=B20291,"",B20292)</f>
        <v/>
      </c>
    </row>
    <row r="20293" spans="1:6" ht="15.75" customHeight="1">
      <c r="A20293" s="15" t="s">
        <v>4942</v>
      </c>
      <c r="B20293" s="15" t="s">
        <v>4943</v>
      </c>
      <c r="C20293" s="15" t="s">
        <v>4487</v>
      </c>
      <c r="D20293" s="15" t="s">
        <v>4503</v>
      </c>
      <c r="E20293" s="2">
        <v>1800675</v>
      </c>
      <c r="F20293" s="4" t="str">
        <f>IF(B20293=B20292,"",B20293)</f>
        <v>Mengyin</v>
      </c>
    </row>
    <row r="20294" spans="1:6" ht="15.75" customHeight="1">
      <c r="A20294" s="8" t="str">
        <f ca="1">IFERROR(__xludf.DUMMYFUNCTION("GOOGLETRANSLATE(B26356,""en"",""pt"")"),"Mengia")</f>
        <v>Mengia</v>
      </c>
      <c r="B20294" s="11" t="s">
        <v>4943</v>
      </c>
      <c r="C20294" s="11" t="s">
        <v>4487</v>
      </c>
      <c r="D20294" s="11" t="s">
        <v>4503</v>
      </c>
      <c r="E20294" s="10">
        <v>1800675</v>
      </c>
      <c r="F20294" s="4" t="str">
        <f>IF(B20294=B20293,"",B20294)</f>
        <v/>
      </c>
    </row>
    <row r="20295" spans="1:6" ht="15.75" customHeight="1">
      <c r="A20295" s="16" t="s">
        <v>4941</v>
      </c>
      <c r="B20295" s="15" t="s">
        <v>4941</v>
      </c>
      <c r="C20295" s="16" t="s">
        <v>4487</v>
      </c>
      <c r="D20295" s="16" t="s">
        <v>4501</v>
      </c>
      <c r="E20295" s="2">
        <v>1800764</v>
      </c>
      <c r="F20295" s="4" t="str">
        <f>IF(B20295=B20294,"",B20295)</f>
        <v>Mengcheng Chengguanzhen</v>
      </c>
    </row>
    <row r="20296" spans="1:6" ht="15.75" customHeight="1">
      <c r="A20296" s="8" t="str">
        <f ca="1">IFERROR(__xludf.DUMMYFUNCTION("GOOGLETRANSLATE(B26357,""en"",""pt"")"),"Mengcheng Chengguanzhen")</f>
        <v>Mengcheng Chengguanzhen</v>
      </c>
      <c r="B20296" s="9" t="s">
        <v>4941</v>
      </c>
      <c r="C20296" s="9" t="s">
        <v>4487</v>
      </c>
      <c r="D20296" s="9" t="s">
        <v>4501</v>
      </c>
      <c r="E20296" s="10">
        <v>1800764</v>
      </c>
      <c r="F20296" s="4" t="str">
        <f>IF(B20296=B20295,"",B20296)</f>
        <v/>
      </c>
    </row>
    <row r="20297" spans="1:6" ht="15.75" customHeight="1">
      <c r="A20297" s="15" t="s">
        <v>1639</v>
      </c>
      <c r="B20297" s="15" t="s">
        <v>1639</v>
      </c>
      <c r="C20297" s="15" t="s">
        <v>1512</v>
      </c>
      <c r="D20297" s="15" t="s">
        <v>1513</v>
      </c>
      <c r="E20297" s="2">
        <v>2791343</v>
      </c>
      <c r="F20297" s="4" t="str">
        <f>IF(B20297=B20296,"",B20297)</f>
        <v>Menen</v>
      </c>
    </row>
    <row r="20298" spans="1:6" ht="15.75" customHeight="1">
      <c r="A20298" s="8" t="str">
        <f ca="1">IFERROR(__xludf.DUMMYFUNCTION("GOOGLETRANSLATE(B23869,""en"",""pt"")"),"Menen")</f>
        <v>Menen</v>
      </c>
      <c r="B20298" s="11" t="s">
        <v>1639</v>
      </c>
      <c r="C20298" s="11" t="s">
        <v>1512</v>
      </c>
      <c r="D20298" s="11" t="s">
        <v>1513</v>
      </c>
      <c r="E20298" s="10">
        <v>2791343</v>
      </c>
      <c r="F20298" s="4" t="str">
        <f>IF(B20298=B20297,"",B20298)</f>
        <v/>
      </c>
    </row>
    <row r="20299" spans="1:6" ht="15.75" customHeight="1">
      <c r="A20299" s="8" t="str">
        <f ca="1">IFERROR(__xludf.DUMMYFUNCTION("GOOGLETRANSLATE(B31042,""en"",""pt"")"),"Meneméni")</f>
        <v>Meneméni</v>
      </c>
      <c r="B20299" s="9" t="s">
        <v>32748</v>
      </c>
      <c r="C20299" s="9" t="s">
        <v>9441</v>
      </c>
      <c r="D20299" s="9" t="s">
        <v>9442</v>
      </c>
      <c r="E20299" s="10">
        <v>735215</v>
      </c>
      <c r="F20299" s="4" t="str">
        <f>IF(B20299=B20298,"",B20299)</f>
        <v>Meneméni</v>
      </c>
    </row>
    <row r="20300" spans="1:6" ht="15.75" customHeight="1">
      <c r="A20300" s="16" t="s">
        <v>26628</v>
      </c>
      <c r="B20300" s="15" t="s">
        <v>26628</v>
      </c>
      <c r="C20300" s="16" t="s">
        <v>26201</v>
      </c>
      <c r="D20300" s="16" t="s">
        <v>26213</v>
      </c>
      <c r="E20300" s="2">
        <v>304612</v>
      </c>
      <c r="F20300" s="4" t="str">
        <f>IF(B20300=B20299,"",B20300)</f>
        <v>Menemen</v>
      </c>
    </row>
    <row r="20301" spans="1:6" ht="15.75" customHeight="1">
      <c r="A20301" s="8" t="str">
        <f ca="1">IFERROR(__xludf.DUMMYFUNCTION("GOOGLETRANSLATE(B41937,""en"",""pt"")"),"Menemen")</f>
        <v>Menemen</v>
      </c>
      <c r="B20301" s="11" t="s">
        <v>26628</v>
      </c>
      <c r="C20301" s="11" t="s">
        <v>26201</v>
      </c>
      <c r="D20301" s="11" t="s">
        <v>35825</v>
      </c>
      <c r="E20301" s="10">
        <v>304612</v>
      </c>
      <c r="F20301" s="4" t="str">
        <f>IF(B20301=B20300,"",B20301)</f>
        <v/>
      </c>
    </row>
    <row r="20302" spans="1:6" ht="15.75" customHeight="1">
      <c r="A20302" s="16" t="s">
        <v>9577</v>
      </c>
      <c r="B20302" s="15" t="s">
        <v>9578</v>
      </c>
      <c r="C20302" s="16" t="s">
        <v>9441</v>
      </c>
      <c r="D20302" s="16" t="s">
        <v>9442</v>
      </c>
      <c r="E20302" s="2">
        <v>735215</v>
      </c>
      <c r="F20302" s="4" t="str">
        <f>IF(B20302=B20301,"",B20302)</f>
        <v>MenemÃ©ni</v>
      </c>
    </row>
    <row r="20303" spans="1:6" ht="15.75" customHeight="1">
      <c r="A20303" s="15" t="s">
        <v>707</v>
      </c>
      <c r="B20303" s="15" t="s">
        <v>707</v>
      </c>
      <c r="C20303" s="15" t="s">
        <v>558</v>
      </c>
      <c r="D20303" s="15" t="s">
        <v>707</v>
      </c>
      <c r="E20303" s="2">
        <v>3844421</v>
      </c>
      <c r="F20303" s="4" t="str">
        <f>IF(B20303=B20302,"",B20303)</f>
        <v>Mendoza</v>
      </c>
    </row>
    <row r="20304" spans="1:6" ht="15.75" customHeight="1">
      <c r="A20304" s="8" t="str">
        <f ca="1">IFERROR(__xludf.DUMMYFUNCTION("GOOGLETRANSLATE(B23303,""en"",""pt"")"),"Mendoza")</f>
        <v>Mendoza</v>
      </c>
      <c r="B20304" s="9" t="s">
        <v>707</v>
      </c>
      <c r="C20304" s="9" t="s">
        <v>558</v>
      </c>
      <c r="D20304" s="9" t="s">
        <v>707</v>
      </c>
      <c r="E20304" s="10">
        <v>3844421</v>
      </c>
      <c r="F20304" s="4" t="str">
        <f>IF(B20304=B20303,"",B20304)</f>
        <v/>
      </c>
    </row>
    <row r="20305" spans="1:6" ht="15.75" customHeight="1">
      <c r="A20305" s="15" t="s">
        <v>27531</v>
      </c>
      <c r="B20305" s="15" t="s">
        <v>27531</v>
      </c>
      <c r="C20305" s="15" t="s">
        <v>27234</v>
      </c>
      <c r="D20305" s="15" t="s">
        <v>27241</v>
      </c>
      <c r="E20305" s="2">
        <v>6947756</v>
      </c>
      <c r="F20305" s="4" t="str">
        <f>IF(B20305=B20304,"",B20305)</f>
        <v>Mendip</v>
      </c>
    </row>
    <row r="20306" spans="1:6" ht="15.75" customHeight="1">
      <c r="A20306" s="8" t="str">
        <f ca="1">IFERROR(__xludf.DUMMYFUNCTION("GOOGLETRANSLATE(B30810,""en"",""pt"")"),"Mendip")</f>
        <v>Mendip</v>
      </c>
      <c r="B20306" s="9" t="s">
        <v>27531</v>
      </c>
      <c r="C20306" s="9" t="s">
        <v>27234</v>
      </c>
      <c r="D20306" s="9" t="s">
        <v>27241</v>
      </c>
      <c r="E20306" s="10">
        <v>6947756</v>
      </c>
      <c r="F20306" s="4" t="str">
        <f>IF(B20306=B20305,"",B20306)</f>
        <v/>
      </c>
    </row>
    <row r="20307" spans="1:6" ht="15.75" customHeight="1">
      <c r="A20307" s="8" t="str">
        <f ca="1">IFERROR(__xludf.DUMMYFUNCTION("GOOGLETRANSLATE(B29535,""en"",""pt"")"),"Mendī")</f>
        <v>Mendī</v>
      </c>
      <c r="B20307" s="11" t="s">
        <v>32492</v>
      </c>
      <c r="C20307" s="11" t="s">
        <v>6807</v>
      </c>
      <c r="D20307" s="11" t="s">
        <v>6814</v>
      </c>
      <c r="E20307" s="10">
        <v>331038</v>
      </c>
      <c r="F20307" s="4" t="str">
        <f>IF(B20307=B20306,"",B20307)</f>
        <v>Mendī</v>
      </c>
    </row>
    <row r="20308" spans="1:6" ht="15.75" customHeight="1">
      <c r="A20308" s="15" t="s">
        <v>20420</v>
      </c>
      <c r="B20308" s="15" t="s">
        <v>20420</v>
      </c>
      <c r="C20308" s="15" t="s">
        <v>20406</v>
      </c>
      <c r="D20308" s="15" t="s">
        <v>20421</v>
      </c>
      <c r="E20308" s="2">
        <v>2090990</v>
      </c>
      <c r="F20308" s="4" t="str">
        <f>IF(B20308=B20307,"",B20308)</f>
        <v>Mendi</v>
      </c>
    </row>
    <row r="20309" spans="1:6" ht="15.75" customHeight="1">
      <c r="A20309" s="8" t="str">
        <f ca="1">IFERROR(__xludf.DUMMYFUNCTION("GOOGLETRANSLATE(B38415,""en"",""pt"")"),"Mendi")</f>
        <v>Mendi</v>
      </c>
      <c r="B20309" s="11" t="s">
        <v>20420</v>
      </c>
      <c r="C20309" s="11" t="s">
        <v>20406</v>
      </c>
      <c r="D20309" s="11" t="s">
        <v>20421</v>
      </c>
      <c r="E20309" s="10">
        <v>2090990</v>
      </c>
      <c r="F20309" s="4" t="str">
        <f>IF(B20309=B20308,"",B20309)</f>
        <v/>
      </c>
    </row>
    <row r="20310" spans="1:6" ht="15.75" customHeight="1">
      <c r="A20310" s="8" t="str">
        <f ca="1">IFERROR(__xludf.DUMMYFUNCTION("GOOGLETRANSLATE(B38607,""en"",""pt"")"),"Mendez-Nuñez")</f>
        <v>Mendez-Nuñez</v>
      </c>
      <c r="B20310" s="9" t="s">
        <v>34882</v>
      </c>
      <c r="C20310" s="9" t="s">
        <v>20598</v>
      </c>
      <c r="D20310" s="9" t="s">
        <v>20608</v>
      </c>
      <c r="E20310" s="10">
        <v>1699858</v>
      </c>
      <c r="F20310" s="4" t="str">
        <f>IF(B20310=B20309,"",B20310)</f>
        <v>Mendez-Nuñez</v>
      </c>
    </row>
    <row r="20311" spans="1:6" ht="15.75" customHeight="1">
      <c r="A20311" s="16" t="s">
        <v>20900</v>
      </c>
      <c r="B20311" s="15" t="s">
        <v>20901</v>
      </c>
      <c r="C20311" s="16" t="s">
        <v>20598</v>
      </c>
      <c r="D20311" s="16" t="s">
        <v>20608</v>
      </c>
      <c r="E20311" s="2">
        <v>1699858</v>
      </c>
      <c r="F20311" s="4" t="str">
        <f>IF(B20311=B20310,"",B20311)</f>
        <v>Mendez-NuÃ±ez</v>
      </c>
    </row>
    <row r="20312" spans="1:6" ht="15.75" customHeight="1">
      <c r="A20312" s="15" t="s">
        <v>2892</v>
      </c>
      <c r="B20312" s="15" t="s">
        <v>2892</v>
      </c>
      <c r="C20312" s="15" t="s">
        <v>1905</v>
      </c>
      <c r="D20312" s="15" t="s">
        <v>1978</v>
      </c>
      <c r="E20312" s="2">
        <v>3457247</v>
      </c>
      <c r="F20312" s="4" t="str">
        <f>IF(B20312=B20311,"",B20312)</f>
        <v>Mendes</v>
      </c>
    </row>
    <row r="20313" spans="1:6" ht="15.75" customHeight="1">
      <c r="A20313" s="8" t="str">
        <f ca="1">IFERROR(__xludf.DUMMYFUNCTION("GOOGLETRANSLATE(B24818,""en"",""pt"")"),"Mendes")</f>
        <v>Mendes</v>
      </c>
      <c r="B20313" s="11" t="s">
        <v>2892</v>
      </c>
      <c r="C20313" s="11" t="s">
        <v>1905</v>
      </c>
      <c r="D20313" s="11" t="s">
        <v>1978</v>
      </c>
      <c r="E20313" s="10">
        <v>3457247</v>
      </c>
      <c r="F20313" s="4" t="str">
        <f>IF(B20313=B20312,"",B20313)</f>
        <v/>
      </c>
    </row>
    <row r="20314" spans="1:6" ht="15.75" customHeight="1">
      <c r="A20314" s="16" t="s">
        <v>26627</v>
      </c>
      <c r="B20314" s="15" t="s">
        <v>26627</v>
      </c>
      <c r="C20314" s="16" t="s">
        <v>26201</v>
      </c>
      <c r="D20314" s="16" t="s">
        <v>26213</v>
      </c>
      <c r="E20314" s="2">
        <v>317851</v>
      </c>
      <c r="F20314" s="4" t="str">
        <f>IF(B20314=B20313,"",B20314)</f>
        <v>Menderes</v>
      </c>
    </row>
    <row r="20315" spans="1:6" ht="15.75" customHeight="1">
      <c r="A20315" s="8" t="str">
        <f ca="1">IFERROR(__xludf.DUMMYFUNCTION("GOOGLETRANSLATE(B42027,""en"",""pt"")"),"Menderes")</f>
        <v>Menderes</v>
      </c>
      <c r="B20315" s="11" t="s">
        <v>26627</v>
      </c>
      <c r="C20315" s="11" t="s">
        <v>26201</v>
      </c>
      <c r="D20315" s="11" t="s">
        <v>35825</v>
      </c>
      <c r="E20315" s="10">
        <v>317851</v>
      </c>
      <c r="F20315" s="4" t="str">
        <f>IF(B20315=B20314,"",B20315)</f>
        <v/>
      </c>
    </row>
    <row r="20316" spans="1:6" ht="15.75" customHeight="1">
      <c r="A20316" s="15" t="s">
        <v>8846</v>
      </c>
      <c r="B20316" s="15" t="s">
        <v>8846</v>
      </c>
      <c r="C20316" s="15" t="s">
        <v>8028</v>
      </c>
      <c r="D20316" s="15" t="s">
        <v>8029</v>
      </c>
      <c r="E20316" s="2">
        <v>2871983</v>
      </c>
      <c r="F20316" s="4" t="str">
        <f>IF(B20316=B20315,"",B20316)</f>
        <v>Menden</v>
      </c>
    </row>
    <row r="20317" spans="1:6" ht="15.75" customHeight="1">
      <c r="A20317" s="8" t="str">
        <f ca="1">IFERROR(__xludf.DUMMYFUNCTION("GOOGLETRANSLATE(B27765,""en"",""pt"")"),"Menden")</f>
        <v>Menden</v>
      </c>
      <c r="B20317" s="11" t="s">
        <v>8846</v>
      </c>
      <c r="C20317" s="11" t="s">
        <v>8028</v>
      </c>
      <c r="D20317" s="11" t="s">
        <v>8029</v>
      </c>
      <c r="E20317" s="10">
        <v>2871983</v>
      </c>
      <c r="F20317" s="4" t="str">
        <f>IF(B20317=B20316,"",B20317)</f>
        <v/>
      </c>
    </row>
    <row r="20318" spans="1:6" ht="15.75" customHeight="1">
      <c r="A20318" s="16" t="s">
        <v>22734</v>
      </c>
      <c r="B20318" s="15" t="s">
        <v>22734</v>
      </c>
      <c r="C20318" s="16" t="s">
        <v>22070</v>
      </c>
      <c r="D20318" s="16" t="s">
        <v>22090</v>
      </c>
      <c r="E20318" s="2">
        <v>527579</v>
      </c>
      <c r="F20318" s="4" t="str">
        <f>IF(B20318=B20317,"",B20318)</f>
        <v>Mendeleyevsk</v>
      </c>
    </row>
    <row r="20319" spans="1:6" ht="15.75" customHeight="1">
      <c r="A20319" s="8" t="str">
        <f ca="1">IFERROR(__xludf.DUMMYFUNCTION("GOOGLETRANSLATE(B40323,""en"",""pt"")"),"Mendeleyevsk")</f>
        <v>Mendeleyevsk</v>
      </c>
      <c r="B20319" s="11" t="s">
        <v>22734</v>
      </c>
      <c r="C20319" s="11" t="s">
        <v>22070</v>
      </c>
      <c r="D20319" s="11" t="s">
        <v>22090</v>
      </c>
      <c r="E20319" s="10">
        <v>527579</v>
      </c>
      <c r="F20319" s="4" t="str">
        <f>IF(B20319=B20318,"",B20319)</f>
        <v/>
      </c>
    </row>
    <row r="20320" spans="1:6" ht="15.75" customHeight="1">
      <c r="A20320" s="16" t="s">
        <v>6785</v>
      </c>
      <c r="B20320" s="15" t="s">
        <v>6785</v>
      </c>
      <c r="C20320" s="16" t="s">
        <v>6775</v>
      </c>
      <c r="D20320" s="16" t="s">
        <v>6786</v>
      </c>
      <c r="E20320" s="2">
        <v>344901</v>
      </c>
      <c r="F20320" s="4" t="str">
        <f>IF(B20320=B20319,"",B20320)</f>
        <v>Mendefera</v>
      </c>
    </row>
    <row r="20321" spans="1:6" ht="15.75" customHeight="1">
      <c r="A20321" s="8" t="str">
        <f ca="1">IFERROR(__xludf.DUMMYFUNCTION("GOOGLETRANSLATE(B28949,""en"",""pt"")"),"Mendefera")</f>
        <v>Mendefera</v>
      </c>
      <c r="B20321" s="11" t="s">
        <v>6785</v>
      </c>
      <c r="C20321" s="11" t="s">
        <v>6775</v>
      </c>
      <c r="D20321" s="11" t="s">
        <v>6786</v>
      </c>
      <c r="E20321" s="10">
        <v>344901</v>
      </c>
      <c r="F20321" s="4" t="str">
        <f>IF(B20321=B20320,"",B20321)</f>
        <v/>
      </c>
    </row>
    <row r="20322" spans="1:6" ht="15.75" customHeight="1">
      <c r="A20322" s="16" t="s">
        <v>12398</v>
      </c>
      <c r="B20322" s="15" t="s">
        <v>12398</v>
      </c>
      <c r="C20322" s="16" t="s">
        <v>10178</v>
      </c>
      <c r="D20322" s="16" t="s">
        <v>10209</v>
      </c>
      <c r="E20322" s="2">
        <v>1263142</v>
      </c>
      <c r="F20322" s="4" t="str">
        <f>IF(B20322=B20321,"",B20322)</f>
        <v>Mendarda</v>
      </c>
    </row>
    <row r="20323" spans="1:6" ht="15.75" customHeight="1">
      <c r="A20323" s="8" t="str">
        <f ca="1">IFERROR(__xludf.DUMMYFUNCTION("GOOGLETRANSLATE(B32775,""en"",""pt"")"),"Mendarda")</f>
        <v>Mendarda</v>
      </c>
      <c r="B20323" s="11" t="s">
        <v>12398</v>
      </c>
      <c r="C20323" s="11" t="s">
        <v>10178</v>
      </c>
      <c r="D20323" s="11" t="s">
        <v>10209</v>
      </c>
      <c r="E20323" s="10">
        <v>1263142</v>
      </c>
      <c r="F20323" s="4" t="str">
        <f>IF(B20323=B20322,"",B20323)</f>
        <v/>
      </c>
    </row>
    <row r="20324" spans="1:6" ht="15.75" customHeight="1">
      <c r="A20324" s="15" t="s">
        <v>14039</v>
      </c>
      <c r="B20324" s="15" t="s">
        <v>14039</v>
      </c>
      <c r="C20324" s="15" t="s">
        <v>13800</v>
      </c>
      <c r="D20324" s="15" t="s">
        <v>13940</v>
      </c>
      <c r="E20324" s="2">
        <v>1636507</v>
      </c>
      <c r="F20324" s="4" t="str">
        <f>IF(B20324=B20323,"",B20324)</f>
        <v>Mendaha</v>
      </c>
    </row>
    <row r="20325" spans="1:6" ht="15.75" customHeight="1">
      <c r="A20325" s="8" t="str">
        <f ca="1">IFERROR(__xludf.DUMMYFUNCTION("GOOGLETRANSLATE(B31550,""en"",""pt"")"),"Mendaha")</f>
        <v>Mendaha</v>
      </c>
      <c r="B20325" s="11" t="s">
        <v>14039</v>
      </c>
      <c r="C20325" s="11" t="s">
        <v>13800</v>
      </c>
      <c r="D20325" s="11" t="s">
        <v>13940</v>
      </c>
      <c r="E20325" s="10">
        <v>1636507</v>
      </c>
      <c r="F20325" s="4" t="str">
        <f>IF(B20325=B20324,"",B20325)</f>
        <v/>
      </c>
    </row>
    <row r="20326" spans="1:6" ht="15.75" customHeight="1">
      <c r="A20326" s="15" t="s">
        <v>6906</v>
      </c>
      <c r="B20326" s="15" t="s">
        <v>6907</v>
      </c>
      <c r="C20326" s="15" t="s">
        <v>6807</v>
      </c>
      <c r="D20326" s="15" t="s">
        <v>6814</v>
      </c>
      <c r="E20326" s="2">
        <v>331038</v>
      </c>
      <c r="F20326" s="4" t="str">
        <f>IF(B20326=B20325,"",B20326)</f>
        <v>MendÄ«</v>
      </c>
    </row>
    <row r="20327" spans="1:6" ht="15.75" customHeight="1">
      <c r="A20327" s="15" t="s">
        <v>29259</v>
      </c>
      <c r="B20327" s="15" t="s">
        <v>29259</v>
      </c>
      <c r="C20327" s="15" t="s">
        <v>27788</v>
      </c>
      <c r="D20327" s="15" t="s">
        <v>27890</v>
      </c>
      <c r="E20327" s="2">
        <v>5262596</v>
      </c>
      <c r="F20327" s="4" t="str">
        <f>IF(B20327=B20326,"",B20327)</f>
        <v>Menasha</v>
      </c>
    </row>
    <row r="20328" spans="1:6" ht="15.75" customHeight="1">
      <c r="A20328" s="8" t="str">
        <f ca="1">IFERROR(__xludf.DUMMYFUNCTION("GOOGLETRANSLATE(B44655,""en"",""pt"")"),"Menasha")</f>
        <v>Menasha</v>
      </c>
      <c r="B20328" s="9" t="s">
        <v>29259</v>
      </c>
      <c r="C20328" s="9" t="s">
        <v>27788</v>
      </c>
      <c r="D20328" s="9" t="s">
        <v>27890</v>
      </c>
      <c r="E20328" s="10">
        <v>5262596</v>
      </c>
      <c r="F20328" s="4" t="str">
        <f>IF(B20328=B20327,"",B20328)</f>
        <v/>
      </c>
    </row>
    <row r="20329" spans="1:6" ht="15.75" customHeight="1">
      <c r="A20329" s="15" t="s">
        <v>29258</v>
      </c>
      <c r="B20329" s="15" t="s">
        <v>29258</v>
      </c>
      <c r="C20329" s="15" t="s">
        <v>27788</v>
      </c>
      <c r="D20329" s="15" t="s">
        <v>27957</v>
      </c>
      <c r="E20329" s="2">
        <v>4641239</v>
      </c>
      <c r="F20329" s="4" t="str">
        <f>IF(B20329=B20328,"",B20329)</f>
        <v>Memphis</v>
      </c>
    </row>
    <row r="20330" spans="1:6" ht="15.75" customHeight="1">
      <c r="A20330" s="8" t="str">
        <f ca="1">IFERROR(__xludf.DUMMYFUNCTION("GOOGLETRANSLATE(B43635,""en"",""pt"")"),"Memphis")</f>
        <v>Memphis</v>
      </c>
      <c r="B20330" s="9" t="s">
        <v>29258</v>
      </c>
      <c r="C20330" s="9" t="s">
        <v>27788</v>
      </c>
      <c r="D20330" s="9" t="s">
        <v>27957</v>
      </c>
      <c r="E20330" s="10">
        <v>4641239</v>
      </c>
      <c r="F20330" s="4" t="str">
        <f>IF(B20330=B20329,"",B20330)</f>
        <v/>
      </c>
    </row>
    <row r="20331" spans="1:6" ht="15.75" customHeight="1">
      <c r="A20331" s="16" t="s">
        <v>8845</v>
      </c>
      <c r="B20331" s="15" t="s">
        <v>8845</v>
      </c>
      <c r="C20331" s="16" t="s">
        <v>8028</v>
      </c>
      <c r="D20331" s="16" t="s">
        <v>8044</v>
      </c>
      <c r="E20331" s="2">
        <v>2871992</v>
      </c>
      <c r="F20331" s="4" t="str">
        <f>IF(B20331=B20330,"",B20331)</f>
        <v>Memmingen</v>
      </c>
    </row>
    <row r="20332" spans="1:6" ht="15.75" customHeight="1">
      <c r="A20332" s="8" t="str">
        <f ca="1">IFERROR(__xludf.DUMMYFUNCTION("GOOGLETRANSLATE(B27766,""en"",""pt"")"),"Memmingen")</f>
        <v>Memmingen</v>
      </c>
      <c r="B20332" s="9" t="s">
        <v>8845</v>
      </c>
      <c r="C20332" s="9" t="s">
        <v>8028</v>
      </c>
      <c r="D20332" s="9" t="s">
        <v>8044</v>
      </c>
      <c r="E20332" s="10">
        <v>2871992</v>
      </c>
      <c r="F20332" s="4" t="str">
        <f>IF(B20332=B20331,"",B20332)</f>
        <v/>
      </c>
    </row>
    <row r="20333" spans="1:6" ht="15.75" customHeight="1">
      <c r="A20333" s="8" t="str">
        <f ca="1">IFERROR(__xludf.DUMMYFUNCTION("GOOGLETRANSLATE(B32776,""en"",""pt"")"),"Memāri")</f>
        <v>Memāri</v>
      </c>
      <c r="B20333" s="11" t="s">
        <v>33385</v>
      </c>
      <c r="C20333" s="11" t="s">
        <v>10178</v>
      </c>
      <c r="D20333" s="11" t="s">
        <v>10201</v>
      </c>
      <c r="E20333" s="10">
        <v>1263148</v>
      </c>
      <c r="F20333" s="4" t="str">
        <f>IF(B20333=B20332,"",B20333)</f>
        <v>Memāri</v>
      </c>
    </row>
    <row r="20334" spans="1:6" ht="15.75" customHeight="1">
      <c r="A20334" s="15" t="s">
        <v>12396</v>
      </c>
      <c r="B20334" s="15" t="s">
        <v>12397</v>
      </c>
      <c r="C20334" s="15" t="s">
        <v>10178</v>
      </c>
      <c r="D20334" s="15" t="s">
        <v>10201</v>
      </c>
      <c r="E20334" s="2">
        <v>1263148</v>
      </c>
      <c r="F20334" s="4" t="str">
        <f>IF(B20334=B20333,"",B20334)</f>
        <v>MemÄri</v>
      </c>
    </row>
    <row r="20335" spans="1:6" ht="15.75" customHeight="1">
      <c r="A20335" s="15" t="s">
        <v>15261</v>
      </c>
      <c r="B20335" s="15" t="s">
        <v>15261</v>
      </c>
      <c r="C20335" s="15" t="s">
        <v>14891</v>
      </c>
      <c r="D20335" s="15" t="s">
        <v>14894</v>
      </c>
      <c r="E20335" s="2">
        <v>3173599</v>
      </c>
      <c r="F20335" s="4" t="str">
        <f>IF(B20335=B20334,"",B20335)</f>
        <v>Melzo</v>
      </c>
    </row>
    <row r="20336" spans="1:6" ht="15.75" customHeight="1">
      <c r="A20336" s="8" t="str">
        <f ca="1">IFERROR(__xludf.DUMMYFUNCTION("GOOGLETRANSLATE(B34840,""en"",""pt"")"),"Melzo")</f>
        <v>Melzo</v>
      </c>
      <c r="B20336" s="9" t="s">
        <v>15261</v>
      </c>
      <c r="C20336" s="9" t="s">
        <v>14891</v>
      </c>
      <c r="D20336" s="9" t="s">
        <v>14894</v>
      </c>
      <c r="E20336" s="10">
        <v>3173599</v>
      </c>
      <c r="F20336" s="4" t="str">
        <f>IF(B20336=B20335,"",B20336)</f>
        <v/>
      </c>
    </row>
    <row r="20337" spans="1:6" ht="15.75" customHeight="1">
      <c r="A20337" s="15" t="s">
        <v>29257</v>
      </c>
      <c r="B20337" s="15" t="s">
        <v>29257</v>
      </c>
      <c r="C20337" s="15" t="s">
        <v>27788</v>
      </c>
      <c r="D20337" s="15" t="s">
        <v>27819</v>
      </c>
      <c r="E20337" s="2">
        <v>5126555</v>
      </c>
      <c r="F20337" s="4" t="str">
        <f>IF(B20337=B20336,"",B20337)</f>
        <v>Melville</v>
      </c>
    </row>
    <row r="20338" spans="1:6" ht="15.75" customHeight="1">
      <c r="A20338" s="8" t="str">
        <f ca="1">IFERROR(__xludf.DUMMYFUNCTION("GOOGLETRANSLATE(B44409,""en"",""pt"")"),"Melville")</f>
        <v>Melville</v>
      </c>
      <c r="B20338" s="9" t="s">
        <v>29257</v>
      </c>
      <c r="C20338" s="9" t="s">
        <v>27788</v>
      </c>
      <c r="D20338" s="9" t="s">
        <v>27819</v>
      </c>
      <c r="E20338" s="10">
        <v>5126555</v>
      </c>
      <c r="F20338" s="4" t="str">
        <f>IF(B20338=B20337,"",B20338)</f>
        <v/>
      </c>
    </row>
    <row r="20339" spans="1:6" ht="15.75" customHeight="1">
      <c r="A20339" s="15" t="s">
        <v>12395</v>
      </c>
      <c r="B20339" s="15" t="s">
        <v>12395</v>
      </c>
      <c r="C20339" s="15" t="s">
        <v>10178</v>
      </c>
      <c r="D20339" s="15" t="s">
        <v>10196</v>
      </c>
      <c r="E20339" s="2">
        <v>1263151</v>
      </c>
      <c r="F20339" s="4" t="str">
        <f>IF(B20339=B20338,"",B20339)</f>
        <v>Melur</v>
      </c>
    </row>
    <row r="20340" spans="1:6" ht="15.75" customHeight="1">
      <c r="A20340" s="8" t="str">
        <f ca="1">IFERROR(__xludf.DUMMYFUNCTION("GOOGLETRANSLATE(B32777,""en"",""pt"")"),"Melur")</f>
        <v>Melur</v>
      </c>
      <c r="B20340" s="11" t="s">
        <v>12395</v>
      </c>
      <c r="C20340" s="11" t="s">
        <v>10178</v>
      </c>
      <c r="D20340" s="11" t="s">
        <v>10196</v>
      </c>
      <c r="E20340" s="10">
        <v>1263151</v>
      </c>
      <c r="F20340" s="4" t="str">
        <f>IF(B20340=B20339,"",B20340)</f>
        <v/>
      </c>
    </row>
    <row r="20341" spans="1:6" ht="15.75" customHeight="1">
      <c r="A20341" s="15" t="s">
        <v>7581</v>
      </c>
      <c r="B20341" s="15" t="s">
        <v>7581</v>
      </c>
      <c r="C20341" s="15" t="s">
        <v>7052</v>
      </c>
      <c r="D20341" s="15" t="s">
        <v>7058</v>
      </c>
      <c r="E20341" s="2">
        <v>2994651</v>
      </c>
      <c r="F20341" s="4" t="str">
        <f>IF(B20341=B20340,"",B20341)</f>
        <v>Melun</v>
      </c>
    </row>
    <row r="20342" spans="1:6" ht="15.75" customHeight="1">
      <c r="A20342" s="8" t="str">
        <f ca="1">IFERROR(__xludf.DUMMYFUNCTION("GOOGLETRANSLATE(B29928,""en"",""pt"")"),"Melun")</f>
        <v>Melun</v>
      </c>
      <c r="B20342" s="9" t="s">
        <v>7581</v>
      </c>
      <c r="C20342" s="9" t="s">
        <v>7052</v>
      </c>
      <c r="D20342" s="9" t="s">
        <v>32531</v>
      </c>
      <c r="E20342" s="10">
        <v>2994651</v>
      </c>
      <c r="F20342" s="4" t="str">
        <f>IF(B20342=B20341,"",B20342)</f>
        <v/>
      </c>
    </row>
    <row r="20343" spans="1:6" ht="15.75" customHeight="1">
      <c r="A20343" s="16" t="s">
        <v>27530</v>
      </c>
      <c r="B20343" s="15" t="s">
        <v>27530</v>
      </c>
      <c r="C20343" s="16" t="s">
        <v>27234</v>
      </c>
      <c r="D20343" s="16" t="s">
        <v>27241</v>
      </c>
      <c r="E20343" s="2">
        <v>2642763</v>
      </c>
      <c r="F20343" s="4" t="str">
        <f>IF(B20343=B20342,"",B20343)</f>
        <v>Melton Mowbray</v>
      </c>
    </row>
    <row r="20344" spans="1:6" ht="15.75" customHeight="1">
      <c r="A20344" s="8" t="str">
        <f ca="1">IFERROR(__xludf.DUMMYFUNCTION("GOOGLETRANSLATE(B30543,""en"",""pt"")"),"Melton Mowbray")</f>
        <v>Melton Mowbray</v>
      </c>
      <c r="B20344" s="9" t="s">
        <v>27530</v>
      </c>
      <c r="C20344" s="9" t="s">
        <v>27234</v>
      </c>
      <c r="D20344" s="9" t="s">
        <v>27241</v>
      </c>
      <c r="E20344" s="10">
        <v>2642763</v>
      </c>
      <c r="F20344" s="4" t="str">
        <f>IF(B20344=B20343,"",B20344)</f>
        <v/>
      </c>
    </row>
    <row r="20345" spans="1:6" ht="15.75" customHeight="1">
      <c r="A20345" s="15" t="s">
        <v>1026</v>
      </c>
      <c r="B20345" s="15" t="s">
        <v>1026</v>
      </c>
      <c r="C20345" s="15" t="s">
        <v>885</v>
      </c>
      <c r="D20345" s="15" t="s">
        <v>827</v>
      </c>
      <c r="E20345" s="2">
        <v>2158151</v>
      </c>
      <c r="F20345" s="4" t="str">
        <f>IF(B20345=B20344,"",B20345)</f>
        <v>Melton</v>
      </c>
    </row>
    <row r="20346" spans="1:6" ht="15.75" customHeight="1">
      <c r="A20346" s="8" t="str">
        <f ca="1">IFERROR(__xludf.DUMMYFUNCTION("GOOGLETRANSLATE(B23484,""en"",""pt"")"),"Melton")</f>
        <v>Melton</v>
      </c>
      <c r="B20346" s="9" t="s">
        <v>1026</v>
      </c>
      <c r="C20346" s="9" t="s">
        <v>885</v>
      </c>
      <c r="D20346" s="9" t="s">
        <v>827</v>
      </c>
      <c r="E20346" s="10">
        <v>2158151</v>
      </c>
      <c r="F20346" s="4" t="str">
        <f>IF(B20346=B20345,"",B20346)</f>
        <v/>
      </c>
    </row>
    <row r="20347" spans="1:6" ht="15.75" customHeight="1">
      <c r="A20347" s="16" t="s">
        <v>29256</v>
      </c>
      <c r="B20347" s="15" t="s">
        <v>29256</v>
      </c>
      <c r="C20347" s="16" t="s">
        <v>27788</v>
      </c>
      <c r="D20347" s="16" t="s">
        <v>27799</v>
      </c>
      <c r="E20347" s="2">
        <v>4901868</v>
      </c>
      <c r="F20347" s="4" t="str">
        <f>IF(B20347=B20346,"",B20347)</f>
        <v>Melrose Park</v>
      </c>
    </row>
    <row r="20348" spans="1:6" ht="15.75" customHeight="1">
      <c r="A20348" s="8" t="str">
        <f ca="1">IFERROR(__xludf.DUMMYFUNCTION("GOOGLETRANSLATE(B43844,""en"",""pt"")"),"Melrose Park")</f>
        <v>Melrose Park</v>
      </c>
      <c r="B20348" s="9" t="s">
        <v>29256</v>
      </c>
      <c r="C20348" s="9" t="s">
        <v>27788</v>
      </c>
      <c r="D20348" s="9" t="s">
        <v>27799</v>
      </c>
      <c r="E20348" s="10">
        <v>4901868</v>
      </c>
      <c r="F20348" s="4" t="str">
        <f>IF(B20348=B20347,"",B20348)</f>
        <v/>
      </c>
    </row>
    <row r="20349" spans="1:6" ht="15.75" customHeight="1">
      <c r="A20349" s="15" t="s">
        <v>29255</v>
      </c>
      <c r="B20349" s="15" t="s">
        <v>29255</v>
      </c>
      <c r="C20349" s="15" t="s">
        <v>27788</v>
      </c>
      <c r="D20349" s="15" t="s">
        <v>27794</v>
      </c>
      <c r="E20349" s="2">
        <v>4943677</v>
      </c>
      <c r="F20349" s="4" t="str">
        <f>IF(B20349=B20348,"",B20349)</f>
        <v>Melrose</v>
      </c>
    </row>
    <row r="20350" spans="1:6" ht="15.75" customHeight="1">
      <c r="A20350" s="8" t="str">
        <f ca="1">IFERROR(__xludf.DUMMYFUNCTION("GOOGLETRANSLATE(B44000,""en"",""pt"")"),"Melrose")</f>
        <v>Melrose</v>
      </c>
      <c r="B20350" s="11" t="s">
        <v>29255</v>
      </c>
      <c r="C20350" s="11" t="s">
        <v>27788</v>
      </c>
      <c r="D20350" s="11" t="s">
        <v>27794</v>
      </c>
      <c r="E20350" s="10">
        <v>4943677</v>
      </c>
      <c r="F20350" s="4" t="str">
        <f>IF(B20350=B20349,"",B20350)</f>
        <v/>
      </c>
    </row>
    <row r="20351" spans="1:6" ht="15.75" customHeight="1">
      <c r="A20351" s="15" t="s">
        <v>402</v>
      </c>
      <c r="B20351" s="15" t="s">
        <v>402</v>
      </c>
      <c r="C20351" s="15" t="s">
        <v>153</v>
      </c>
      <c r="D20351" s="15" t="s">
        <v>274</v>
      </c>
      <c r="E20351" s="2">
        <v>2488202</v>
      </c>
      <c r="F20351" s="4" t="str">
        <f>IF(B20351=B20350,"",B20351)</f>
        <v>Melouza</v>
      </c>
    </row>
    <row r="20352" spans="1:6" ht="15.75" customHeight="1">
      <c r="A20352" s="8" t="str">
        <f ca="1">IFERROR(__xludf.DUMMYFUNCTION("GOOGLETRANSLATE(B28583,""en"",""pt"")"),"Melouza")</f>
        <v>Melouza</v>
      </c>
      <c r="B20352" s="11" t="s">
        <v>402</v>
      </c>
      <c r="C20352" s="11" t="s">
        <v>153</v>
      </c>
      <c r="D20352" s="11" t="s">
        <v>32194</v>
      </c>
      <c r="E20352" s="10">
        <v>2488202</v>
      </c>
      <c r="F20352" s="4" t="str">
        <f>IF(B20352=B20351,"",B20352)</f>
        <v/>
      </c>
    </row>
    <row r="20353" spans="1:6" ht="15.75" customHeight="1">
      <c r="A20353" s="15" t="s">
        <v>3950</v>
      </c>
      <c r="B20353" s="15" t="s">
        <v>3950</v>
      </c>
      <c r="C20353" s="15" t="s">
        <v>3884</v>
      </c>
      <c r="D20353" s="15" t="s">
        <v>1761</v>
      </c>
      <c r="E20353" s="2">
        <v>2227230</v>
      </c>
      <c r="F20353" s="4" t="str">
        <f>IF(B20353=B20352,"",B20353)</f>
        <v>Melong</v>
      </c>
    </row>
    <row r="20354" spans="1:6" ht="15.75" customHeight="1">
      <c r="A20354" s="8" t="str">
        <f ca="1">IFERROR(__xludf.DUMMYFUNCTION("GOOGLETRANSLATE(B25998,""en"",""pt"")"),"Melong")</f>
        <v>Melong</v>
      </c>
      <c r="B20354" s="9" t="s">
        <v>3950</v>
      </c>
      <c r="C20354" s="9" t="s">
        <v>3884</v>
      </c>
      <c r="D20354" s="9" t="s">
        <v>1761</v>
      </c>
      <c r="E20354" s="10">
        <v>2227230</v>
      </c>
      <c r="F20354" s="4" t="str">
        <f>IF(B20354=B20353,"",B20354)</f>
        <v/>
      </c>
    </row>
    <row r="20355" spans="1:6" ht="15.75" customHeight="1">
      <c r="A20355" s="15" t="s">
        <v>30483</v>
      </c>
      <c r="B20355" s="15" t="s">
        <v>30483</v>
      </c>
      <c r="C20355" s="15" t="s">
        <v>30472</v>
      </c>
      <c r="D20355" s="15" t="s">
        <v>30484</v>
      </c>
      <c r="E20355" s="2">
        <v>3441702</v>
      </c>
      <c r="F20355" s="4" t="str">
        <f>IF(B20355=B20354,"",B20355)</f>
        <v>Melo</v>
      </c>
    </row>
    <row r="20356" spans="1:6" ht="15.75" customHeight="1">
      <c r="A20356" s="8" t="str">
        <f ca="1">IFERROR(__xludf.DUMMYFUNCTION("GOOGLETRANSLATE(B45487,""en"",""pt"")"),"Melo")</f>
        <v>Melo</v>
      </c>
      <c r="B20356" s="9" t="s">
        <v>30483</v>
      </c>
      <c r="C20356" s="9" t="s">
        <v>30472</v>
      </c>
      <c r="D20356" s="9" t="s">
        <v>30484</v>
      </c>
      <c r="E20356" s="10">
        <v>3441702</v>
      </c>
      <c r="F20356" s="4" t="str">
        <f>IF(B20356=B20355,"",B20356)</f>
        <v/>
      </c>
    </row>
    <row r="20357" spans="1:6" ht="15.75" customHeight="1">
      <c r="A20357" s="8" t="str">
        <f ca="1">IFERROR(__xludf.DUMMYFUNCTION("GOOGLETRANSLATE(B27291,""en"",""pt"")"),"Mělník")</f>
        <v>Mělník</v>
      </c>
      <c r="B20357" s="9" t="s">
        <v>31973</v>
      </c>
      <c r="C20357" s="9" t="s">
        <v>5947</v>
      </c>
      <c r="D20357" s="9" t="s">
        <v>5985</v>
      </c>
      <c r="E20357" s="10">
        <v>3070862</v>
      </c>
      <c r="F20357" s="4" t="str">
        <f>IF(B20357=B20356,"",B20357)</f>
        <v>Mělník</v>
      </c>
    </row>
    <row r="20358" spans="1:6" ht="15.75" customHeight="1">
      <c r="A20358" s="15" t="s">
        <v>8844</v>
      </c>
      <c r="B20358" s="15" t="s">
        <v>8844</v>
      </c>
      <c r="C20358" s="15" t="s">
        <v>8028</v>
      </c>
      <c r="D20358" s="15" t="s">
        <v>8034</v>
      </c>
      <c r="E20358" s="2">
        <v>2872079</v>
      </c>
      <c r="F20358" s="4" t="str">
        <f>IF(B20358=B20357,"",B20358)</f>
        <v>Melle</v>
      </c>
    </row>
    <row r="20359" spans="1:6" ht="15.75" customHeight="1">
      <c r="A20359" s="8" t="str">
        <f ca="1">IFERROR(__xludf.DUMMYFUNCTION("GOOGLETRANSLATE(B27767,""en"",""pt"")"),"Melle")</f>
        <v>Melle</v>
      </c>
      <c r="B20359" s="9" t="s">
        <v>8844</v>
      </c>
      <c r="C20359" s="9" t="s">
        <v>8028</v>
      </c>
      <c r="D20359" s="9" t="s">
        <v>8034</v>
      </c>
      <c r="E20359" s="10">
        <v>2872079</v>
      </c>
      <c r="F20359" s="4" t="str">
        <f>IF(B20359=B20358,"",B20359)</f>
        <v/>
      </c>
    </row>
    <row r="20360" spans="1:6" ht="15.75" customHeight="1">
      <c r="A20360" s="16" t="s">
        <v>27065</v>
      </c>
      <c r="B20360" s="15" t="s">
        <v>27066</v>
      </c>
      <c r="C20360" s="16" t="s">
        <v>26870</v>
      </c>
      <c r="D20360" s="16" t="s">
        <v>26898</v>
      </c>
      <c r="E20360" s="2">
        <v>701404</v>
      </c>
      <c r="F20360" s="4" t="str">
        <f>IF(B20360=B20359,"",B20360)</f>
        <v>Melitopolâ€™</v>
      </c>
    </row>
    <row r="20361" spans="1:6" ht="15.75" customHeight="1">
      <c r="A20361" s="8" t="str">
        <f ca="1">IFERROR(__xludf.DUMMYFUNCTION("GOOGLETRANSLATE(B42581,""en"",""pt"")"),"Melitopol '")</f>
        <v>Melitopol '</v>
      </c>
      <c r="B20361" s="11" t="s">
        <v>36012</v>
      </c>
      <c r="C20361" s="11" t="s">
        <v>26870</v>
      </c>
      <c r="D20361" s="11" t="s">
        <v>26898</v>
      </c>
      <c r="E20361" s="10">
        <v>701404</v>
      </c>
      <c r="F20361" s="4" t="str">
        <f>IF(B20361=B20360,"",B20361)</f>
        <v>Melitopol’</v>
      </c>
    </row>
    <row r="20362" spans="1:6" ht="15.75" customHeight="1">
      <c r="A20362" s="16" t="s">
        <v>15260</v>
      </c>
      <c r="B20362" s="15" t="s">
        <v>15260</v>
      </c>
      <c r="C20362" s="16" t="s">
        <v>14891</v>
      </c>
      <c r="D20362" s="16" t="s">
        <v>14896</v>
      </c>
      <c r="E20362" s="2">
        <v>3173614</v>
      </c>
      <c r="F20362" s="4" t="str">
        <f>IF(B20362=B20361,"",B20362)</f>
        <v>Melito di Napoli</v>
      </c>
    </row>
    <row r="20363" spans="1:6" ht="15.75" customHeight="1">
      <c r="A20363" s="8" t="str">
        <f ca="1">IFERROR(__xludf.DUMMYFUNCTION("GOOGLETRANSLATE(B34841,""en"",""pt"")"),"Melito di Napoli")</f>
        <v>Melito di Napoli</v>
      </c>
      <c r="B20363" s="9" t="s">
        <v>15260</v>
      </c>
      <c r="C20363" s="9" t="s">
        <v>14891</v>
      </c>
      <c r="D20363" s="9" t="s">
        <v>14896</v>
      </c>
      <c r="E20363" s="10">
        <v>3173614</v>
      </c>
      <c r="F20363" s="4" t="str">
        <f>IF(B20363=B20362,"",B20363)</f>
        <v/>
      </c>
    </row>
    <row r="20364" spans="1:6" ht="15.75" customHeight="1">
      <c r="A20364" s="8" t="str">
        <f ca="1">IFERROR(__xludf.DUMMYFUNCTION("GOOGLETRANSLATE(B30980,""en"",""pt"")"),"Melíssia")</f>
        <v>Melíssia</v>
      </c>
      <c r="B20364" s="9" t="s">
        <v>32691</v>
      </c>
      <c r="C20364" s="9" t="s">
        <v>9441</v>
      </c>
      <c r="D20364" s="9" t="s">
        <v>9445</v>
      </c>
      <c r="E20364" s="10">
        <v>257302</v>
      </c>
      <c r="F20364" s="4" t="str">
        <f>IF(B20364=B20363,"",B20364)</f>
        <v>Melíssia</v>
      </c>
    </row>
    <row r="20365" spans="1:6" ht="15.75" customHeight="1">
      <c r="A20365" s="15" t="s">
        <v>4431</v>
      </c>
      <c r="B20365" s="15" t="s">
        <v>4431</v>
      </c>
      <c r="C20365" s="15" t="s">
        <v>4355</v>
      </c>
      <c r="D20365" s="15" t="s">
        <v>4366</v>
      </c>
      <c r="E20365" s="2">
        <v>3880107</v>
      </c>
      <c r="F20365" s="4" t="str">
        <f>IF(B20365=B20364,"",B20365)</f>
        <v>Melipilla</v>
      </c>
    </row>
    <row r="20366" spans="1:6" ht="15.75" customHeight="1">
      <c r="A20366" s="8" t="str">
        <f ca="1">IFERROR(__xludf.DUMMYFUNCTION("GOOGLETRANSLATE(B25929,""en"",""pt"")"),"Melipilla")</f>
        <v>Melipilla</v>
      </c>
      <c r="B20366" s="9" t="s">
        <v>4431</v>
      </c>
      <c r="C20366" s="9" t="s">
        <v>4355</v>
      </c>
      <c r="D20366" s="9" t="s">
        <v>4366</v>
      </c>
      <c r="E20366" s="10">
        <v>3880107</v>
      </c>
      <c r="F20366" s="4" t="str">
        <f>IF(B20366=B20365,"",B20366)</f>
        <v/>
      </c>
    </row>
    <row r="20367" spans="1:6" ht="15.75" customHeight="1">
      <c r="A20367" s="15" t="s">
        <v>24614</v>
      </c>
      <c r="B20367" s="15" t="s">
        <v>24614</v>
      </c>
      <c r="C20367" s="15" t="s">
        <v>24200</v>
      </c>
      <c r="D20367" s="15" t="s">
        <v>24614</v>
      </c>
      <c r="E20367" s="2">
        <v>2513947</v>
      </c>
      <c r="F20367" s="4" t="str">
        <f>IF(B20367=B20366,"",B20367)</f>
        <v>Melilla</v>
      </c>
    </row>
    <row r="20368" spans="1:6" ht="15.75" customHeight="1">
      <c r="A20368" s="8" t="str">
        <f ca="1">IFERROR(__xludf.DUMMYFUNCTION("GOOGLETRANSLATE(B29056,""en"",""pt"")"),"Melilla")</f>
        <v>Melilla</v>
      </c>
      <c r="B20368" s="9" t="s">
        <v>24614</v>
      </c>
      <c r="C20368" s="9" t="s">
        <v>24200</v>
      </c>
      <c r="D20368" s="9" t="s">
        <v>24614</v>
      </c>
      <c r="E20368" s="10">
        <v>2513947</v>
      </c>
      <c r="F20368" s="4" t="str">
        <f>IF(B20368=B20367,"",B20368)</f>
        <v/>
      </c>
    </row>
    <row r="20369" spans="1:6" ht="15.75" customHeight="1">
      <c r="A20369" s="15" t="s">
        <v>5526</v>
      </c>
      <c r="B20369" s="15" t="s">
        <v>5526</v>
      </c>
      <c r="C20369" s="15" t="s">
        <v>5348</v>
      </c>
      <c r="D20369" s="15" t="s">
        <v>5422</v>
      </c>
      <c r="E20369" s="2">
        <v>3674885</v>
      </c>
      <c r="F20369" s="4" t="str">
        <f>IF(B20369=B20368,"",B20369)</f>
        <v>Melgar</v>
      </c>
    </row>
    <row r="20370" spans="1:6" ht="15.75" customHeight="1">
      <c r="A20370" s="8" t="str">
        <f ca="1">IFERROR(__xludf.DUMMYFUNCTION("GOOGLETRANSLATE(B26939,""en"",""pt"")"),"Melgar")</f>
        <v>Melgar</v>
      </c>
      <c r="B20370" s="9" t="s">
        <v>5526</v>
      </c>
      <c r="C20370" s="9" t="s">
        <v>5348</v>
      </c>
      <c r="D20370" s="9" t="s">
        <v>5422</v>
      </c>
      <c r="E20370" s="10">
        <v>3674885</v>
      </c>
      <c r="F20370" s="4" t="str">
        <f>IF(B20370=B20369,"",B20370)</f>
        <v/>
      </c>
    </row>
    <row r="20371" spans="1:6" ht="15.75" customHeight="1">
      <c r="A20371" s="15" t="s">
        <v>22733</v>
      </c>
      <c r="B20371" s="15" t="s">
        <v>22733</v>
      </c>
      <c r="C20371" s="15" t="s">
        <v>22070</v>
      </c>
      <c r="D20371" s="15" t="s">
        <v>22088</v>
      </c>
      <c r="E20371" s="2">
        <v>527717</v>
      </c>
      <c r="F20371" s="4" t="str">
        <f>IF(B20371=B20370,"",B20371)</f>
        <v>Meleuz</v>
      </c>
    </row>
    <row r="20372" spans="1:6" ht="15.75" customHeight="1">
      <c r="A20372" s="8" t="str">
        <f ca="1">IFERROR(__xludf.DUMMYFUNCTION("GOOGLETRANSLATE(B40324,""en"",""pt"")"),"Meleuz")</f>
        <v>Meleuz</v>
      </c>
      <c r="B20372" s="9" t="s">
        <v>22733</v>
      </c>
      <c r="C20372" s="9" t="s">
        <v>22070</v>
      </c>
      <c r="D20372" s="9" t="s">
        <v>22088</v>
      </c>
      <c r="E20372" s="10">
        <v>527717</v>
      </c>
      <c r="F20372" s="4" t="str">
        <f>IF(B20372=B20371,"",B20372)</f>
        <v/>
      </c>
    </row>
    <row r="20373" spans="1:6" ht="15.75" customHeight="1">
      <c r="A20373" s="15" t="s">
        <v>22732</v>
      </c>
      <c r="B20373" s="15" t="s">
        <v>22732</v>
      </c>
      <c r="C20373" s="15" t="s">
        <v>22070</v>
      </c>
      <c r="D20373" s="15" t="s">
        <v>22113</v>
      </c>
      <c r="E20373" s="2">
        <v>527740</v>
      </c>
      <c r="F20373" s="4" t="str">
        <f>IF(B20373=B20372,"",B20373)</f>
        <v>Melenki</v>
      </c>
    </row>
    <row r="20374" spans="1:6" ht="15.75" customHeight="1">
      <c r="A20374" s="8" t="str">
        <f ca="1">IFERROR(__xludf.DUMMYFUNCTION("GOOGLETRANSLATE(B40325,""en"",""pt"")"),"Melenki")</f>
        <v>Melenki</v>
      </c>
      <c r="B20374" s="9" t="s">
        <v>22732</v>
      </c>
      <c r="C20374" s="9" t="s">
        <v>22070</v>
      </c>
      <c r="D20374" s="9" t="s">
        <v>22113</v>
      </c>
      <c r="E20374" s="10">
        <v>527740</v>
      </c>
      <c r="F20374" s="4" t="str">
        <f>IF(B20374=B20373,"",B20374)</f>
        <v/>
      </c>
    </row>
    <row r="20375" spans="1:6" ht="15.75" customHeight="1">
      <c r="A20375" s="16" t="s">
        <v>20293</v>
      </c>
      <c r="B20375" s="15" t="s">
        <v>20294</v>
      </c>
      <c r="C20375" s="16" t="s">
        <v>18149</v>
      </c>
      <c r="D20375" s="16" t="s">
        <v>20294</v>
      </c>
      <c r="E20375" s="2">
        <v>7303944</v>
      </c>
      <c r="F20375" s="4" t="str">
        <f>IF(B20375=B20374,"",B20375)</f>
        <v>Melekeok</v>
      </c>
    </row>
    <row r="20376" spans="1:6" ht="15.75" customHeight="1">
      <c r="A20376" s="8" t="str">
        <f ca="1">IFERROR(__xludf.DUMMYFUNCTION("GOOGLETRANSLATE(B39677,""en"",""pt"")"),"MELEKEOK")</f>
        <v>MELEKEOK</v>
      </c>
      <c r="B20376" s="9" t="s">
        <v>20294</v>
      </c>
      <c r="C20376" s="9" t="s">
        <v>18149</v>
      </c>
      <c r="D20376" s="9" t="s">
        <v>20294</v>
      </c>
      <c r="E20376" s="10">
        <v>7303944</v>
      </c>
      <c r="F20376" s="4" t="str">
        <f>IF(B20376=B20375,"",B20376)</f>
        <v/>
      </c>
    </row>
    <row r="20377" spans="1:6" ht="15.75" customHeight="1">
      <c r="A20377" s="16" t="s">
        <v>15258</v>
      </c>
      <c r="B20377" s="15" t="s">
        <v>15259</v>
      </c>
      <c r="C20377" s="16" t="s">
        <v>14891</v>
      </c>
      <c r="D20377" s="16" t="s">
        <v>14894</v>
      </c>
      <c r="E20377" s="2">
        <v>3173631</v>
      </c>
      <c r="F20377" s="4" t="str">
        <f>IF(B20377=B20376,"",B20377)</f>
        <v>Melegnano</v>
      </c>
    </row>
    <row r="20378" spans="1:6" ht="15.75" customHeight="1">
      <c r="A20378" s="8" t="str">
        <f ca="1">IFERROR(__xludf.DUMMYFUNCTION("GOOGLETRANSLATE(B34842,""en"",""pt"")"),"Meleglano")</f>
        <v>Meleglano</v>
      </c>
      <c r="B20378" s="9" t="s">
        <v>15259</v>
      </c>
      <c r="C20378" s="9" t="s">
        <v>14891</v>
      </c>
      <c r="D20378" s="9" t="s">
        <v>14894</v>
      </c>
      <c r="E20378" s="10">
        <v>3173631</v>
      </c>
      <c r="F20378" s="4" t="str">
        <f>IF(B20378=B20377,"",B20378)</f>
        <v/>
      </c>
    </row>
    <row r="20379" spans="1:6" ht="15.75" customHeight="1">
      <c r="A20379" s="16" t="s">
        <v>18081</v>
      </c>
      <c r="B20379" s="15" t="s">
        <v>18081</v>
      </c>
      <c r="C20379" s="16" t="s">
        <v>17707</v>
      </c>
      <c r="D20379" s="16" t="s">
        <v>17736</v>
      </c>
      <c r="E20379" s="2">
        <v>3827586</v>
      </c>
      <c r="F20379" s="4" t="str">
        <f>IF(B20379=B20378,"",B20379)</f>
        <v>Melchor Ocampo</v>
      </c>
    </row>
    <row r="20380" spans="1:6" ht="15.75" customHeight="1">
      <c r="A20380" s="8" t="str">
        <f ca="1">IFERROR(__xludf.DUMMYFUNCTION("GOOGLETRANSLATE(B37132,""en"",""pt"")"),"Melchor Ocampo")</f>
        <v>Melchor Ocampo</v>
      </c>
      <c r="B20380" s="9" t="s">
        <v>18081</v>
      </c>
      <c r="C20380" s="9" t="s">
        <v>17707</v>
      </c>
      <c r="D20380" s="9" t="s">
        <v>20902</v>
      </c>
      <c r="E20380" s="10">
        <v>3827586</v>
      </c>
      <c r="F20380" s="4" t="str">
        <f>IF(B20380=B20379,"",B20380)</f>
        <v/>
      </c>
    </row>
    <row r="20381" spans="1:6" ht="15.75" customHeight="1">
      <c r="A20381" s="8" t="str">
        <f ca="1">IFERROR(__xludf.DUMMYFUNCTION("GOOGLETRANSLATE(B37245,""en"",""pt"")"),"Melchor Múzquiz")</f>
        <v>Melchor Múzquiz</v>
      </c>
      <c r="B20381" s="11" t="s">
        <v>34756</v>
      </c>
      <c r="C20381" s="11" t="s">
        <v>17707</v>
      </c>
      <c r="D20381" s="11" t="s">
        <v>17738</v>
      </c>
      <c r="E20381" s="10">
        <v>3996271</v>
      </c>
      <c r="F20381" s="4" t="str">
        <f>IF(B20381=B20380,"",B20381)</f>
        <v>Melchor Múzquiz</v>
      </c>
    </row>
    <row r="20382" spans="1:6" ht="15.75" customHeight="1">
      <c r="A20382" s="16" t="s">
        <v>18079</v>
      </c>
      <c r="B20382" s="15" t="s">
        <v>18080</v>
      </c>
      <c r="C20382" s="16" t="s">
        <v>17707</v>
      </c>
      <c r="D20382" s="16" t="s">
        <v>17738</v>
      </c>
      <c r="E20382" s="2">
        <v>3996271</v>
      </c>
      <c r="F20382" s="4" t="str">
        <f>IF(B20382=B20381,"",B20382)</f>
        <v>Melchor MÃºzquiz</v>
      </c>
    </row>
    <row r="20383" spans="1:6" ht="15.75" customHeight="1">
      <c r="A20383" s="16" t="s">
        <v>1025</v>
      </c>
      <c r="B20383" s="15" t="s">
        <v>1025</v>
      </c>
      <c r="C20383" s="16" t="s">
        <v>885</v>
      </c>
      <c r="D20383" s="16" t="s">
        <v>827</v>
      </c>
      <c r="E20383" s="2">
        <v>2158177</v>
      </c>
      <c r="F20383" s="4" t="str">
        <f>IF(B20383=B20382,"",B20383)</f>
        <v>Melbourne</v>
      </c>
    </row>
    <row r="20384" spans="1:6" ht="15.75" customHeight="1">
      <c r="A20384" s="16" t="s">
        <v>1025</v>
      </c>
      <c r="B20384" s="15" t="s">
        <v>1025</v>
      </c>
      <c r="C20384" s="16" t="s">
        <v>27788</v>
      </c>
      <c r="D20384" s="16" t="s">
        <v>5468</v>
      </c>
      <c r="E20384" s="2">
        <v>4163971</v>
      </c>
      <c r="F20384" s="4" t="str">
        <f>IF(B20384=B20383,"",B20384)</f>
        <v/>
      </c>
    </row>
    <row r="20385" spans="1:6" ht="15.75" customHeight="1">
      <c r="A20385" s="8" t="str">
        <f ca="1">IFERROR(__xludf.DUMMYFUNCTION("GOOGLETRANSLATE(B23485,""en"",""pt"")"),"Melbourne")</f>
        <v>Melbourne</v>
      </c>
      <c r="B20385" s="11" t="s">
        <v>1025</v>
      </c>
      <c r="C20385" s="11" t="s">
        <v>885</v>
      </c>
      <c r="D20385" s="11" t="s">
        <v>827</v>
      </c>
      <c r="E20385" s="10">
        <v>2158177</v>
      </c>
      <c r="F20385" s="4" t="str">
        <f>IF(B20385=B20384,"",B20385)</f>
        <v/>
      </c>
    </row>
    <row r="20386" spans="1:6" ht="15.75" customHeight="1">
      <c r="A20386" s="8" t="str">
        <f ca="1">IFERROR(__xludf.DUMMYFUNCTION("GOOGLETRANSLATE(B42948,""en"",""pt"")"),"Melbourne")</f>
        <v>Melbourne</v>
      </c>
      <c r="B20386" s="9" t="s">
        <v>1025</v>
      </c>
      <c r="C20386" s="9" t="s">
        <v>27788</v>
      </c>
      <c r="D20386" s="9" t="s">
        <v>5468</v>
      </c>
      <c r="E20386" s="10">
        <v>4163971</v>
      </c>
      <c r="F20386" s="4" t="str">
        <f>IF(B20386=B20385,"",B20386)</f>
        <v/>
      </c>
    </row>
    <row r="20387" spans="1:6" ht="15.75" customHeight="1">
      <c r="A20387" s="15" t="s">
        <v>14038</v>
      </c>
      <c r="B20387" s="15" t="s">
        <v>14038</v>
      </c>
      <c r="C20387" s="15" t="s">
        <v>13800</v>
      </c>
      <c r="D20387" s="15" t="s">
        <v>13826</v>
      </c>
      <c r="E20387" s="2">
        <v>1635660</v>
      </c>
      <c r="F20387" s="4" t="str">
        <f>IF(B20387=B20386,"",B20387)</f>
        <v>Melati</v>
      </c>
    </row>
    <row r="20388" spans="1:6" ht="15.75" customHeight="1">
      <c r="A20388" s="8" t="str">
        <f ca="1">IFERROR(__xludf.DUMMYFUNCTION("GOOGLETRANSLATE(B31541,""en"",""pt"")"),"Melati")</f>
        <v>Melati</v>
      </c>
      <c r="B20388" s="11" t="s">
        <v>14038</v>
      </c>
      <c r="C20388" s="11" t="s">
        <v>13800</v>
      </c>
      <c r="D20388" s="11" t="s">
        <v>13826</v>
      </c>
      <c r="E20388" s="10">
        <v>1635660</v>
      </c>
      <c r="F20388" s="4" t="str">
        <f>IF(B20388=B20387,"",B20388)</f>
        <v/>
      </c>
    </row>
    <row r="20389" spans="1:6" ht="15.75" customHeight="1">
      <c r="A20389" s="15" t="s">
        <v>9575</v>
      </c>
      <c r="B20389" s="15" t="s">
        <v>9576</v>
      </c>
      <c r="C20389" s="15" t="s">
        <v>9441</v>
      </c>
      <c r="D20389" s="15" t="s">
        <v>9445</v>
      </c>
      <c r="E20389" s="2">
        <v>257302</v>
      </c>
      <c r="F20389" s="4" t="str">
        <f>IF(B20389=B20388,"",B20389)</f>
        <v>MelÃ­ssia</v>
      </c>
    </row>
    <row r="20390" spans="1:6" ht="15.75" customHeight="1">
      <c r="A20390" s="8" t="str">
        <f ca="1">IFERROR(__xludf.DUMMYFUNCTION("GOOGLETRANSLATE(B36487,""en"",""pt"")"),"Meknès")</f>
        <v>Meknès</v>
      </c>
      <c r="B20390" s="9" t="s">
        <v>34592</v>
      </c>
      <c r="C20390" s="9" t="s">
        <v>18551</v>
      </c>
      <c r="D20390" s="9" t="s">
        <v>34591</v>
      </c>
      <c r="E20390" s="10">
        <v>2542715</v>
      </c>
      <c r="F20390" s="4" t="str">
        <f>IF(B20390=B20389,"",B20390)</f>
        <v>Meknès</v>
      </c>
    </row>
    <row r="20391" spans="1:6" ht="15.75" customHeight="1">
      <c r="A20391" s="15" t="s">
        <v>18607</v>
      </c>
      <c r="B20391" s="15" t="s">
        <v>18608</v>
      </c>
      <c r="C20391" s="15" t="s">
        <v>18551</v>
      </c>
      <c r="D20391" s="15" t="s">
        <v>18563</v>
      </c>
      <c r="E20391" s="2">
        <v>2542715</v>
      </c>
      <c r="F20391" s="4" t="str">
        <f>IF(B20391=B20390,"",B20391)</f>
        <v>MeknÃ¨s</v>
      </c>
    </row>
    <row r="20392" spans="1:6" ht="15.75" customHeight="1">
      <c r="A20392" s="15" t="s">
        <v>401</v>
      </c>
      <c r="B20392" s="15" t="s">
        <v>401</v>
      </c>
      <c r="C20392" s="15" t="s">
        <v>153</v>
      </c>
      <c r="D20392" s="15" t="s">
        <v>172</v>
      </c>
      <c r="E20392" s="2">
        <v>2488500</v>
      </c>
      <c r="F20392" s="4" t="str">
        <f>IF(B20392=B20391,"",B20392)</f>
        <v>Mekla</v>
      </c>
    </row>
    <row r="20393" spans="1:6" ht="15.75" customHeight="1">
      <c r="A20393" s="8" t="str">
        <f ca="1">IFERROR(__xludf.DUMMYFUNCTION("GOOGLETRANSLATE(B28584,""en"",""pt"")"),"Mekla")</f>
        <v>Mekla</v>
      </c>
      <c r="B20393" s="9" t="s">
        <v>401</v>
      </c>
      <c r="C20393" s="9" t="s">
        <v>153</v>
      </c>
      <c r="D20393" s="9" t="s">
        <v>172</v>
      </c>
      <c r="E20393" s="10">
        <v>2488500</v>
      </c>
      <c r="F20393" s="4" t="str">
        <f>IF(B20393=B20392,"",B20393)</f>
        <v/>
      </c>
    </row>
    <row r="20394" spans="1:6" ht="15.75" customHeight="1">
      <c r="A20394" s="8" t="str">
        <f ca="1">IFERROR(__xludf.DUMMYFUNCTION("GOOGLETRANSLATE(B41299,""en"",""pt"")"),"Mékhé")</f>
        <v>Mékhé</v>
      </c>
      <c r="B20394" s="9" t="s">
        <v>35709</v>
      </c>
      <c r="C20394" s="9" t="s">
        <v>23559</v>
      </c>
      <c r="D20394" s="9" t="s">
        <v>35705</v>
      </c>
      <c r="E20394" s="10">
        <v>2248409</v>
      </c>
      <c r="F20394" s="4" t="str">
        <f>IF(B20394=B20393,"",B20394)</f>
        <v>Mékhé</v>
      </c>
    </row>
    <row r="20395" spans="1:6" ht="15.75" customHeight="1">
      <c r="A20395" s="15" t="s">
        <v>6905</v>
      </c>
      <c r="B20395" s="15" t="s">
        <v>6905</v>
      </c>
      <c r="C20395" s="15" t="s">
        <v>6807</v>
      </c>
      <c r="D20395" s="15" t="s">
        <v>6808</v>
      </c>
      <c r="E20395" s="2">
        <v>331180</v>
      </c>
      <c r="F20395" s="4" t="str">
        <f>IF(B20395=B20394,"",B20395)</f>
        <v>Mekele</v>
      </c>
    </row>
    <row r="20396" spans="1:6" ht="15.75" customHeight="1">
      <c r="A20396" s="8" t="str">
        <f ca="1">IFERROR(__xludf.DUMMYFUNCTION("GOOGLETRANSLATE(B29536,""en"",""pt"")"),"Mekele")</f>
        <v>Mekele</v>
      </c>
      <c r="B20396" s="9" t="s">
        <v>6905</v>
      </c>
      <c r="C20396" s="9" t="s">
        <v>6807</v>
      </c>
      <c r="D20396" s="9" t="s">
        <v>6808</v>
      </c>
      <c r="E20396" s="10">
        <v>331180</v>
      </c>
      <c r="F20396" s="4" t="str">
        <f>IF(B20396=B20395,"",B20396)</f>
        <v/>
      </c>
    </row>
    <row r="20397" spans="1:6" ht="15.75" customHeight="1">
      <c r="A20397" s="16" t="s">
        <v>24613</v>
      </c>
      <c r="B20397" s="15" t="s">
        <v>24613</v>
      </c>
      <c r="C20397" s="16" t="s">
        <v>24200</v>
      </c>
      <c r="D20397" s="16" t="s">
        <v>5513</v>
      </c>
      <c r="E20397" s="2">
        <v>3116963</v>
      </c>
      <c r="F20397" s="4" t="str">
        <f>IF(B20397=B20396,"",B20397)</f>
        <v>Mejorada del Campo</v>
      </c>
    </row>
    <row r="20398" spans="1:6" ht="15.75" customHeight="1">
      <c r="A20398" s="8" t="str">
        <f ca="1">IFERROR(__xludf.DUMMYFUNCTION("GOOGLETRANSLATE(B29358,""en"",""pt"")"),"Mejorada del Campo")</f>
        <v>Mejorada del Campo</v>
      </c>
      <c r="B20398" s="9" t="s">
        <v>24613</v>
      </c>
      <c r="C20398" s="9" t="s">
        <v>24200</v>
      </c>
      <c r="D20398" s="9" t="s">
        <v>5513</v>
      </c>
      <c r="E20398" s="10">
        <v>3116963</v>
      </c>
      <c r="F20398" s="4" t="str">
        <f>IF(B20398=B20397,"",B20398)</f>
        <v/>
      </c>
    </row>
    <row r="20399" spans="1:6" ht="15.75" customHeight="1">
      <c r="A20399" s="16" t="s">
        <v>6745</v>
      </c>
      <c r="B20399" s="15" t="s">
        <v>6745</v>
      </c>
      <c r="C20399" s="16" t="s">
        <v>6727</v>
      </c>
      <c r="D20399" s="16" t="s">
        <v>6729</v>
      </c>
      <c r="E20399" s="2">
        <v>3584399</v>
      </c>
      <c r="F20399" s="4" t="str">
        <f>IF(B20399=B20398,"",B20399)</f>
        <v>Mejicanos</v>
      </c>
    </row>
    <row r="20400" spans="1:6" ht="15.75" customHeight="1">
      <c r="A20400" s="8" t="str">
        <f ca="1">IFERROR(__xludf.DUMMYFUNCTION("GOOGLETRANSLATE(B41374,""en"",""pt"")"),"Mejicanos")</f>
        <v>Mejicanos</v>
      </c>
      <c r="B20400" s="9" t="s">
        <v>6745</v>
      </c>
      <c r="C20400" s="9" t="s">
        <v>6727</v>
      </c>
      <c r="D20400" s="9" t="s">
        <v>6729</v>
      </c>
      <c r="E20400" s="10">
        <v>3584399</v>
      </c>
      <c r="F20400" s="4" t="str">
        <f>IF(B20400=B20399,"",B20400)</f>
        <v/>
      </c>
    </row>
    <row r="20401" spans="1:6" ht="15.75" customHeight="1">
      <c r="A20401" s="15" t="s">
        <v>4940</v>
      </c>
      <c r="B20401" s="15" t="s">
        <v>4940</v>
      </c>
      <c r="C20401" s="15" t="s">
        <v>4487</v>
      </c>
      <c r="D20401" s="15" t="s">
        <v>4492</v>
      </c>
      <c r="E20401" s="2">
        <v>1800779</v>
      </c>
      <c r="F20401" s="4" t="str">
        <f>IF(B20401=B20400,"",B20401)</f>
        <v>Meizhou</v>
      </c>
    </row>
    <row r="20402" spans="1:6" ht="15.75" customHeight="1">
      <c r="A20402" s="8" t="str">
        <f ca="1">IFERROR(__xludf.DUMMYFUNCTION("GOOGLETRANSLATE(B26358,""en"",""pt"")"),"Meizhou")</f>
        <v>Meizhou</v>
      </c>
      <c r="B20402" s="9" t="s">
        <v>4940</v>
      </c>
      <c r="C20402" s="9" t="s">
        <v>4487</v>
      </c>
      <c r="D20402" s="9" t="s">
        <v>4492</v>
      </c>
      <c r="E20402" s="10">
        <v>1800779</v>
      </c>
      <c r="F20402" s="4" t="str">
        <f>IF(B20402=B20401,"",B20402)</f>
        <v/>
      </c>
    </row>
    <row r="20403" spans="1:6" ht="15.75" customHeight="1">
      <c r="A20403" s="15" t="s">
        <v>8843</v>
      </c>
      <c r="B20403" s="15" t="s">
        <v>8843</v>
      </c>
      <c r="C20403" s="15" t="s">
        <v>8028</v>
      </c>
      <c r="D20403" s="15" t="s">
        <v>8072</v>
      </c>
      <c r="E20403" s="2">
        <v>2872155</v>
      </c>
      <c r="F20403" s="4" t="str">
        <f>IF(B20403=B20402,"",B20403)</f>
        <v>Meissen</v>
      </c>
    </row>
    <row r="20404" spans="1:6" ht="15.75" customHeight="1">
      <c r="A20404" s="8" t="str">
        <f ca="1">IFERROR(__xludf.DUMMYFUNCTION("GOOGLETRANSLATE(B27768,""en"",""pt"")"),"Meissen")</f>
        <v>Meissen</v>
      </c>
      <c r="B20404" s="9" t="s">
        <v>8843</v>
      </c>
      <c r="C20404" s="9" t="s">
        <v>8028</v>
      </c>
      <c r="D20404" s="9" t="s">
        <v>8072</v>
      </c>
      <c r="E20404" s="10">
        <v>2872155</v>
      </c>
      <c r="F20404" s="4" t="str">
        <f>IF(B20404=B20403,"",B20404)</f>
        <v/>
      </c>
    </row>
    <row r="20405" spans="1:6" ht="15.75" customHeight="1">
      <c r="A20405" s="15" t="s">
        <v>1638</v>
      </c>
      <c r="B20405" s="15" t="s">
        <v>1638</v>
      </c>
      <c r="C20405" s="15" t="s">
        <v>1512</v>
      </c>
      <c r="D20405" s="15" t="s">
        <v>1513</v>
      </c>
      <c r="E20405" s="2">
        <v>2791424</v>
      </c>
      <c r="F20405" s="4" t="str">
        <f>IF(B20405=B20404,"",B20405)</f>
        <v>Meise</v>
      </c>
    </row>
    <row r="20406" spans="1:6" ht="15.75" customHeight="1">
      <c r="A20406" s="8" t="str">
        <f ca="1">IFERROR(__xludf.DUMMYFUNCTION("GOOGLETRANSLATE(B23870,""en"",""pt"")"),"Meise")</f>
        <v>Meise</v>
      </c>
      <c r="B20406" s="9" t="s">
        <v>1638</v>
      </c>
      <c r="C20406" s="9" t="s">
        <v>1512</v>
      </c>
      <c r="D20406" s="9" t="s">
        <v>1513</v>
      </c>
      <c r="E20406" s="10">
        <v>2791424</v>
      </c>
      <c r="F20406" s="4" t="str">
        <f>IF(B20406=B20405,"",B20406)</f>
        <v/>
      </c>
    </row>
    <row r="20407" spans="1:6" ht="15.75" customHeight="1">
      <c r="A20407" s="16" t="s">
        <v>8842</v>
      </c>
      <c r="B20407" s="15" t="s">
        <v>8842</v>
      </c>
      <c r="C20407" s="16" t="s">
        <v>8028</v>
      </c>
      <c r="D20407" s="16" t="s">
        <v>8054</v>
      </c>
      <c r="E20407" s="2">
        <v>2872225</v>
      </c>
      <c r="F20407" s="4" t="str">
        <f>IF(B20407=B20406,"",B20407)</f>
        <v>Meiningen</v>
      </c>
    </row>
    <row r="20408" spans="1:6" ht="15.75" customHeight="1">
      <c r="A20408" s="8" t="str">
        <f ca="1">IFERROR(__xludf.DUMMYFUNCTION("GOOGLETRANSLATE(B27769,""en"",""pt"")"),"Meiningen")</f>
        <v>Meiningen</v>
      </c>
      <c r="B20408" s="9" t="s">
        <v>8842</v>
      </c>
      <c r="C20408" s="9" t="s">
        <v>8028</v>
      </c>
      <c r="D20408" s="9" t="s">
        <v>8054</v>
      </c>
      <c r="E20408" s="10">
        <v>2872225</v>
      </c>
      <c r="F20408" s="4" t="str">
        <f>IF(B20408=B20407,"",B20408)</f>
        <v/>
      </c>
    </row>
    <row r="20409" spans="1:6" ht="15.75" customHeight="1">
      <c r="A20409" s="16" t="s">
        <v>8841</v>
      </c>
      <c r="B20409" s="15" t="s">
        <v>8841</v>
      </c>
      <c r="C20409" s="16" t="s">
        <v>8028</v>
      </c>
      <c r="D20409" s="16" t="s">
        <v>8029</v>
      </c>
      <c r="E20409" s="2">
        <v>2872237</v>
      </c>
      <c r="F20409" s="4" t="str">
        <f>IF(B20409=B20408,"",B20409)</f>
        <v>Meinerzhagen</v>
      </c>
    </row>
    <row r="20410" spans="1:6" ht="15.75" customHeight="1">
      <c r="A20410" s="8" t="str">
        <f ca="1">IFERROR(__xludf.DUMMYFUNCTION("GOOGLETRANSLATE(B27770,""en"",""pt"")"),"Meinerzhagen")</f>
        <v>Meinerzhagen</v>
      </c>
      <c r="B20410" s="9" t="s">
        <v>8841</v>
      </c>
      <c r="C20410" s="9" t="s">
        <v>8028</v>
      </c>
      <c r="D20410" s="9" t="s">
        <v>8029</v>
      </c>
      <c r="E20410" s="10">
        <v>2872237</v>
      </c>
      <c r="F20410" s="4" t="str">
        <f>IF(B20410=B20409,"",B20410)</f>
        <v/>
      </c>
    </row>
    <row r="20411" spans="1:6" ht="15.75" customHeight="1">
      <c r="A20411" s="15" t="s">
        <v>18730</v>
      </c>
      <c r="B20411" s="15" t="s">
        <v>18730</v>
      </c>
      <c r="C20411" s="15" t="s">
        <v>18696</v>
      </c>
      <c r="D20411" s="15" t="s">
        <v>18718</v>
      </c>
      <c r="E20411" s="2">
        <v>1309793</v>
      </c>
      <c r="F20411" s="4" t="str">
        <f>IF(B20411=B20410,"",B20411)</f>
        <v>Meiktila</v>
      </c>
    </row>
    <row r="20412" spans="1:6" ht="15.75" customHeight="1">
      <c r="A20412" s="8" t="str">
        <f ca="1">IFERROR(__xludf.DUMMYFUNCTION("GOOGLETRANSLATE(B36738,""en"",""pt"")"),"Meiktila")</f>
        <v>Meiktila</v>
      </c>
      <c r="B20412" s="9" t="s">
        <v>18730</v>
      </c>
      <c r="C20412" s="9" t="s">
        <v>18696</v>
      </c>
      <c r="D20412" s="9" t="s">
        <v>18718</v>
      </c>
      <c r="E20412" s="10">
        <v>1309793</v>
      </c>
      <c r="F20412" s="4" t="str">
        <f>IF(B20412=B20411,"",B20412)</f>
        <v/>
      </c>
    </row>
    <row r="20413" spans="1:6" ht="15.75" customHeight="1">
      <c r="A20413" s="16" t="s">
        <v>4939</v>
      </c>
      <c r="B20413" s="15" t="s">
        <v>4939</v>
      </c>
      <c r="C20413" s="16" t="s">
        <v>4487</v>
      </c>
      <c r="D20413" s="16" t="s">
        <v>4518</v>
      </c>
      <c r="E20413" s="2">
        <v>2035801</v>
      </c>
      <c r="F20413" s="4" t="str">
        <f>IF(B20413=B20412,"",B20413)</f>
        <v>Meihekou</v>
      </c>
    </row>
    <row r="20414" spans="1:6" ht="15.75" customHeight="1">
      <c r="A20414" s="8" t="str">
        <f ca="1">IFERROR(__xludf.DUMMYFUNCTION("GOOGLETRANSLATE(B26720,""en"",""pt"")"),"Meihekou")</f>
        <v>Meihekou</v>
      </c>
      <c r="B20414" s="9" t="s">
        <v>4939</v>
      </c>
      <c r="C20414" s="9" t="s">
        <v>4487</v>
      </c>
      <c r="D20414" s="9" t="s">
        <v>4518</v>
      </c>
      <c r="E20414" s="10">
        <v>2035801</v>
      </c>
      <c r="F20414" s="4" t="str">
        <f>IF(B20414=B20413,"",B20414)</f>
        <v/>
      </c>
    </row>
    <row r="20415" spans="1:6" ht="15.75" customHeight="1">
      <c r="A20415" s="8" t="str">
        <f ca="1">IFERROR(__xludf.DUMMYFUNCTION("GOOGLETRANSLATE(B25999,""en"",""pt"")"),"Meïganga")</f>
        <v>Meïganga</v>
      </c>
      <c r="B20415" s="11" t="s">
        <v>31816</v>
      </c>
      <c r="C20415" s="11" t="s">
        <v>3884</v>
      </c>
      <c r="D20415" s="11" t="s">
        <v>3902</v>
      </c>
      <c r="E20415" s="10">
        <v>2227402</v>
      </c>
      <c r="F20415" s="4" t="str">
        <f>IF(B20415=B20414,"",B20415)</f>
        <v>Meïganga</v>
      </c>
    </row>
    <row r="20416" spans="1:6" ht="15.75" customHeight="1">
      <c r="A20416" s="16" t="s">
        <v>8840</v>
      </c>
      <c r="B20416" s="15" t="s">
        <v>8840</v>
      </c>
      <c r="C20416" s="16" t="s">
        <v>8028</v>
      </c>
      <c r="D20416" s="16" t="s">
        <v>8029</v>
      </c>
      <c r="E20416" s="2">
        <v>2872347</v>
      </c>
      <c r="F20416" s="4" t="str">
        <f>IF(B20416=B20415,"",B20416)</f>
        <v>Meiderich</v>
      </c>
    </row>
    <row r="20417" spans="1:6" ht="15.75" customHeight="1">
      <c r="A20417" s="8" t="str">
        <f ca="1">IFERROR(__xludf.DUMMYFUNCTION("GOOGLETRANSLATE(B27771,""en"",""pt"")"),"Meiderich")</f>
        <v>Meiderich</v>
      </c>
      <c r="B20417" s="11" t="s">
        <v>8840</v>
      </c>
      <c r="C20417" s="11" t="s">
        <v>8028</v>
      </c>
      <c r="D20417" s="11" t="s">
        <v>8029</v>
      </c>
      <c r="E20417" s="10">
        <v>2872347</v>
      </c>
      <c r="F20417" s="4" t="str">
        <f>IF(B20417=B20416,"",B20417)</f>
        <v/>
      </c>
    </row>
    <row r="20418" spans="1:6" ht="15.75" customHeight="1">
      <c r="A20418" s="8" t="str">
        <f ca="1">IFERROR(__xludf.DUMMYFUNCTION("GOOGLETRANSLATE(B23069,""en"",""pt"")"),"Mehtar lām")</f>
        <v>Mehtar lām</v>
      </c>
      <c r="B20418" s="9" t="s">
        <v>31122</v>
      </c>
      <c r="C20418" s="9" t="s">
        <v>8</v>
      </c>
      <c r="D20418" s="9" t="s">
        <v>31123</v>
      </c>
      <c r="E20418" s="10">
        <v>1133574</v>
      </c>
      <c r="F20418" s="4" t="str">
        <f>IF(B20418=B20417,"",B20418)</f>
        <v>Mehtar Lām</v>
      </c>
    </row>
    <row r="20419" spans="1:6" ht="15.75" customHeight="1">
      <c r="A20419" s="16" t="s">
        <v>81</v>
      </c>
      <c r="B20419" s="15" t="s">
        <v>82</v>
      </c>
      <c r="C20419" s="16" t="s">
        <v>8</v>
      </c>
      <c r="D20419" s="16" t="s">
        <v>83</v>
      </c>
      <c r="E20419" s="2">
        <v>1133574</v>
      </c>
      <c r="F20419" s="4" t="str">
        <f>IF(B20419=B20418,"",B20419)</f>
        <v>Mehtar LÄm</v>
      </c>
    </row>
    <row r="20420" spans="1:6" ht="15.75" customHeight="1">
      <c r="A20420" s="8" t="str">
        <f ca="1">IFERROR(__xludf.DUMMYFUNCTION("GOOGLETRANSLATE(B38987,""en"",""pt"")"),"Mehrābpur")</f>
        <v>Mehrābpur</v>
      </c>
      <c r="B20420" s="9" t="s">
        <v>34956</v>
      </c>
      <c r="C20420" s="9" t="s">
        <v>19808</v>
      </c>
      <c r="D20420" s="9" t="s">
        <v>34892</v>
      </c>
      <c r="E20420" s="10">
        <v>1170564</v>
      </c>
      <c r="F20420" s="4" t="str">
        <f>IF(B20420=B20419,"",B20420)</f>
        <v>Mehrābpur</v>
      </c>
    </row>
    <row r="20421" spans="1:6" ht="15.75" customHeight="1">
      <c r="A20421" s="16" t="s">
        <v>20100</v>
      </c>
      <c r="B20421" s="15" t="s">
        <v>20101</v>
      </c>
      <c r="C20421" s="16" t="s">
        <v>19808</v>
      </c>
      <c r="D20421" s="16" t="s">
        <v>19833</v>
      </c>
      <c r="E20421" s="2">
        <v>1170564</v>
      </c>
      <c r="F20421" s="4" t="str">
        <f>IF(B20421=B20420,"",B20421)</f>
        <v>MehrÄbpur</v>
      </c>
    </row>
    <row r="20422" spans="1:6" ht="15.75" customHeight="1">
      <c r="A20422" s="8" t="str">
        <f ca="1">IFERROR(__xludf.DUMMYFUNCTION("GOOGLETRANSLATE(B32778,""en"",""pt"")"),"Mehndāwal")</f>
        <v>Mehndāwal</v>
      </c>
      <c r="B20422" s="9" t="s">
        <v>33386</v>
      </c>
      <c r="C20422" s="9" t="s">
        <v>10178</v>
      </c>
      <c r="D20422" s="9" t="s">
        <v>10193</v>
      </c>
      <c r="E20422" s="10">
        <v>1263185</v>
      </c>
      <c r="F20422" s="4" t="str">
        <f>IF(B20422=B20421,"",B20422)</f>
        <v>Mehndāwal</v>
      </c>
    </row>
    <row r="20423" spans="1:6" ht="15.75" customHeight="1">
      <c r="A20423" s="16" t="s">
        <v>12393</v>
      </c>
      <c r="B20423" s="15" t="s">
        <v>12394</v>
      </c>
      <c r="C20423" s="16" t="s">
        <v>10178</v>
      </c>
      <c r="D20423" s="16" t="s">
        <v>10193</v>
      </c>
      <c r="E20423" s="2">
        <v>1263185</v>
      </c>
      <c r="F20423" s="4" t="str">
        <f>IF(B20423=B20422,"",B20423)</f>
        <v>MehndÄwal</v>
      </c>
    </row>
    <row r="20424" spans="1:6" ht="15.75" customHeight="1">
      <c r="A20424" s="15" t="s">
        <v>29254</v>
      </c>
      <c r="B20424" s="15" t="s">
        <v>29254</v>
      </c>
      <c r="C20424" s="15" t="s">
        <v>27788</v>
      </c>
      <c r="D20424" s="15" t="s">
        <v>27806</v>
      </c>
      <c r="E20424" s="2">
        <v>4397962</v>
      </c>
      <c r="F20424" s="4" t="str">
        <f>IF(B20424=B20423,"",B20424)</f>
        <v>Mehlville</v>
      </c>
    </row>
    <row r="20425" spans="1:6" ht="15.75" customHeight="1">
      <c r="A20425" s="8" t="str">
        <f ca="1">IFERROR(__xludf.DUMMYFUNCTION("GOOGLETRANSLATE(B43376,""en"",""pt"")"),"Mehlville")</f>
        <v>Mehlville</v>
      </c>
      <c r="B20425" s="11" t="s">
        <v>29254</v>
      </c>
      <c r="C20425" s="11" t="s">
        <v>27788</v>
      </c>
      <c r="D20425" s="11" t="s">
        <v>27806</v>
      </c>
      <c r="E20425" s="10">
        <v>4397962</v>
      </c>
      <c r="F20425" s="4" t="str">
        <f>IF(B20425=B20424,"",B20425)</f>
        <v/>
      </c>
    </row>
    <row r="20426" spans="1:6" ht="15.75" customHeight="1">
      <c r="A20426" s="16" t="s">
        <v>1378</v>
      </c>
      <c r="B20426" s="15" t="s">
        <v>1378</v>
      </c>
      <c r="C20426" s="16" t="s">
        <v>1296</v>
      </c>
      <c r="D20426" s="16" t="s">
        <v>1308</v>
      </c>
      <c r="E20426" s="2">
        <v>1185171</v>
      </c>
      <c r="F20426" s="4" t="str">
        <f>IF(B20426=B20425,"",B20426)</f>
        <v>Mehendiganj</v>
      </c>
    </row>
    <row r="20427" spans="1:6" ht="15.75" customHeight="1">
      <c r="A20427" s="8" t="str">
        <f ca="1">IFERROR(__xludf.DUMMYFUNCTION("GOOGLETRANSLATE(B23721,""en"",""pt"")"),"Mehendiganj")</f>
        <v>Mehendiganj</v>
      </c>
      <c r="B20427" s="11" t="s">
        <v>1378</v>
      </c>
      <c r="C20427" s="11" t="s">
        <v>1296</v>
      </c>
      <c r="D20427" s="11" t="s">
        <v>31265</v>
      </c>
      <c r="E20427" s="10">
        <v>1185171</v>
      </c>
      <c r="F20427" s="4" t="str">
        <f>IF(B20427=B20426,"",B20427)</f>
        <v/>
      </c>
    </row>
    <row r="20428" spans="1:6" ht="15.75" customHeight="1">
      <c r="A20428" s="15" t="s">
        <v>12392</v>
      </c>
      <c r="B20428" s="15" t="s">
        <v>12392</v>
      </c>
      <c r="C20428" s="15" t="s">
        <v>10178</v>
      </c>
      <c r="D20428" s="15" t="s">
        <v>10214</v>
      </c>
      <c r="E20428" s="2">
        <v>1263195</v>
      </c>
      <c r="F20428" s="4" t="str">
        <f>IF(B20428=B20427,"",B20428)</f>
        <v>Mehekar</v>
      </c>
    </row>
    <row r="20429" spans="1:6" ht="15.75" customHeight="1">
      <c r="A20429" s="8" t="str">
        <f ca="1">IFERROR(__xludf.DUMMYFUNCTION("GOOGLETRANSLATE(B32779,""en"",""pt"")"),"Mehekar")</f>
        <v>Mehekar</v>
      </c>
      <c r="B20429" s="11" t="s">
        <v>12392</v>
      </c>
      <c r="C20429" s="11" t="s">
        <v>10178</v>
      </c>
      <c r="D20429" s="11" t="s">
        <v>10214</v>
      </c>
      <c r="E20429" s="10">
        <v>1263195</v>
      </c>
      <c r="F20429" s="4" t="str">
        <f>IF(B20429=B20428,"",B20429)</f>
        <v/>
      </c>
    </row>
    <row r="20430" spans="1:6" ht="15.75" customHeight="1">
      <c r="A20430" s="15" t="s">
        <v>400</v>
      </c>
      <c r="B20430" s="15" t="s">
        <v>400</v>
      </c>
      <c r="C20430" s="15" t="s">
        <v>153</v>
      </c>
      <c r="D20430" s="15" t="s">
        <v>163</v>
      </c>
      <c r="E20430" s="2">
        <v>2488616</v>
      </c>
      <c r="F20430" s="4" t="str">
        <f>IF(B20430=B20429,"",B20430)</f>
        <v>Mehdia</v>
      </c>
    </row>
    <row r="20431" spans="1:6" ht="15.75" customHeight="1">
      <c r="A20431" s="8" t="str">
        <f ca="1">IFERROR(__xludf.DUMMYFUNCTION("GOOGLETRANSLATE(B28585,""en"",""pt"")"),"Mehdia")</f>
        <v>Mehdia</v>
      </c>
      <c r="B20431" s="11" t="s">
        <v>400</v>
      </c>
      <c r="C20431" s="11" t="s">
        <v>153</v>
      </c>
      <c r="D20431" s="11" t="s">
        <v>163</v>
      </c>
      <c r="E20431" s="10">
        <v>2488616</v>
      </c>
      <c r="F20431" s="4" t="str">
        <f>IF(B20431=B20430,"",B20431)</f>
        <v/>
      </c>
    </row>
    <row r="20432" spans="1:6" ht="15.75" customHeight="1">
      <c r="A20432" s="15" t="s">
        <v>20099</v>
      </c>
      <c r="B20432" s="15" t="s">
        <v>20099</v>
      </c>
      <c r="C20432" s="15" t="s">
        <v>19808</v>
      </c>
      <c r="D20432" s="15" t="s">
        <v>19823</v>
      </c>
      <c r="E20432" s="2">
        <v>1170584</v>
      </c>
      <c r="F20432" s="4" t="str">
        <f>IF(B20432=B20431,"",B20432)</f>
        <v>Mehar</v>
      </c>
    </row>
    <row r="20433" spans="1:6" ht="15.75" customHeight="1">
      <c r="A20433" s="8" t="str">
        <f ca="1">IFERROR(__xludf.DUMMYFUNCTION("GOOGLETRANSLATE(B38988,""en"",""pt"")"),"Mehar")</f>
        <v>Mehar</v>
      </c>
      <c r="B20433" s="9" t="s">
        <v>20099</v>
      </c>
      <c r="C20433" s="9" t="s">
        <v>19808</v>
      </c>
      <c r="D20433" s="9" t="s">
        <v>19823</v>
      </c>
      <c r="E20433" s="10">
        <v>1170584</v>
      </c>
      <c r="F20433" s="4" t="str">
        <f>IF(B20433=B20432,"",B20433)</f>
        <v/>
      </c>
    </row>
    <row r="20434" spans="1:6" ht="15.75" customHeight="1">
      <c r="A20434" s="15" t="s">
        <v>22731</v>
      </c>
      <c r="B20434" s="15" t="s">
        <v>22731</v>
      </c>
      <c r="C20434" s="15" t="s">
        <v>22070</v>
      </c>
      <c r="D20434" s="15" t="s">
        <v>22217</v>
      </c>
      <c r="E20434" s="2">
        <v>1499053</v>
      </c>
      <c r="F20434" s="4" t="str">
        <f>IF(B20434=B20433,"",B20434)</f>
        <v>Megion</v>
      </c>
    </row>
    <row r="20435" spans="1:6" ht="15.75" customHeight="1">
      <c r="A20435" s="8" t="str">
        <f ca="1">IFERROR(__xludf.DUMMYFUNCTION("GOOGLETRANSLATE(B40798,""en"",""pt"")"),"Megion")</f>
        <v>Megion</v>
      </c>
      <c r="B20435" s="11" t="s">
        <v>22731</v>
      </c>
      <c r="C20435" s="11" t="s">
        <v>22070</v>
      </c>
      <c r="D20435" s="11" t="s">
        <v>22217</v>
      </c>
      <c r="E20435" s="10">
        <v>1499053</v>
      </c>
      <c r="F20435" s="4" t="str">
        <f>IF(B20435=B20434,"",B20435)</f>
        <v/>
      </c>
    </row>
    <row r="20436" spans="1:6" ht="15.75" customHeight="1">
      <c r="A20436" s="15" t="s">
        <v>399</v>
      </c>
      <c r="B20436" s="15" t="s">
        <v>399</v>
      </c>
      <c r="C20436" s="15" t="s">
        <v>153</v>
      </c>
      <c r="D20436" s="15" t="s">
        <v>323</v>
      </c>
      <c r="E20436" s="2">
        <v>2488716</v>
      </c>
      <c r="F20436" s="4" t="str">
        <f>IF(B20436=B20435,"",B20436)</f>
        <v>Megarine</v>
      </c>
    </row>
    <row r="20437" spans="1:6" ht="15.75" customHeight="1">
      <c r="A20437" s="8" t="str">
        <f ca="1">IFERROR(__xludf.DUMMYFUNCTION("GOOGLETRANSLATE(B28586,""en"",""pt"")"),"Megarine")</f>
        <v>Megarine</v>
      </c>
      <c r="B20437" s="11" t="s">
        <v>399</v>
      </c>
      <c r="C20437" s="11" t="s">
        <v>153</v>
      </c>
      <c r="D20437" s="11" t="s">
        <v>323</v>
      </c>
      <c r="E20437" s="10">
        <v>2488716</v>
      </c>
      <c r="F20437" s="4" t="str">
        <f>IF(B20437=B20436,"",B20437)</f>
        <v/>
      </c>
    </row>
    <row r="20438" spans="1:6" ht="15.75" customHeight="1">
      <c r="A20438" s="8" t="str">
        <f ca="1">IFERROR(__xludf.DUMMYFUNCTION("GOOGLETRANSLATE(B30981,""en"",""pt"")"),"Mégara")</f>
        <v>Mégara</v>
      </c>
      <c r="B20438" s="9" t="s">
        <v>32692</v>
      </c>
      <c r="C20438" s="9" t="s">
        <v>9441</v>
      </c>
      <c r="D20438" s="9" t="s">
        <v>9445</v>
      </c>
      <c r="E20438" s="10">
        <v>257365</v>
      </c>
      <c r="F20438" s="4" t="str">
        <f>IF(B20438=B20437,"",B20438)</f>
        <v>Mégara</v>
      </c>
    </row>
    <row r="20439" spans="1:6" ht="15.75" customHeight="1">
      <c r="A20439" s="15" t="s">
        <v>398</v>
      </c>
      <c r="B20439" s="15" t="s">
        <v>398</v>
      </c>
      <c r="C20439" s="15" t="s">
        <v>153</v>
      </c>
      <c r="D20439" s="15" t="s">
        <v>250</v>
      </c>
      <c r="E20439" s="2">
        <v>2488722</v>
      </c>
      <c r="F20439" s="4" t="str">
        <f>IF(B20439=B20438,"",B20439)</f>
        <v>Meftah</v>
      </c>
    </row>
    <row r="20440" spans="1:6" ht="15.75" customHeight="1">
      <c r="A20440" s="8" t="str">
        <f ca="1">IFERROR(__xludf.DUMMYFUNCTION("GOOGLETRANSLATE(B28587,""en"",""pt"")"),"Meftah")</f>
        <v>Meftah</v>
      </c>
      <c r="B20440" s="9" t="s">
        <v>398</v>
      </c>
      <c r="C20440" s="9" t="s">
        <v>153</v>
      </c>
      <c r="D20440" s="9" t="s">
        <v>250</v>
      </c>
      <c r="E20440" s="10">
        <v>2488722</v>
      </c>
      <c r="F20440" s="4" t="str">
        <f>IF(B20440=B20439,"",B20440)</f>
        <v/>
      </c>
    </row>
    <row r="20441" spans="1:6" ht="15.75" customHeight="1">
      <c r="A20441" s="15" t="s">
        <v>12391</v>
      </c>
      <c r="B20441" s="15" t="s">
        <v>12391</v>
      </c>
      <c r="C20441" s="15" t="s">
        <v>10178</v>
      </c>
      <c r="D20441" s="15" t="s">
        <v>10193</v>
      </c>
      <c r="E20441" s="2">
        <v>1263214</v>
      </c>
      <c r="F20441" s="4" t="str">
        <f>IF(B20441=B20440,"",B20441)</f>
        <v>Meerut</v>
      </c>
    </row>
    <row r="20442" spans="1:6" ht="15.75" customHeight="1">
      <c r="A20442" s="8" t="str">
        <f ca="1">IFERROR(__xludf.DUMMYFUNCTION("GOOGLETRANSLATE(B32780,""en"",""pt"")"),"Meerut")</f>
        <v>Meerut</v>
      </c>
      <c r="B20442" s="9" t="s">
        <v>12391</v>
      </c>
      <c r="C20442" s="9" t="s">
        <v>10178</v>
      </c>
      <c r="D20442" s="9" t="s">
        <v>10193</v>
      </c>
      <c r="E20442" s="10">
        <v>1263214</v>
      </c>
      <c r="F20442" s="4" t="str">
        <f>IF(B20442=B20441,"",B20442)</f>
        <v/>
      </c>
    </row>
    <row r="20443" spans="1:6" ht="15.75" customHeight="1">
      <c r="A20443" s="15" t="s">
        <v>19038</v>
      </c>
      <c r="B20443" s="15" t="s">
        <v>19038</v>
      </c>
      <c r="C20443" s="15" t="s">
        <v>18862</v>
      </c>
      <c r="D20443" s="15" t="s">
        <v>18893</v>
      </c>
      <c r="E20443" s="2">
        <v>2751037</v>
      </c>
      <c r="F20443" s="4" t="str">
        <f>IF(B20443=B20442,"",B20443)</f>
        <v>Meerssen</v>
      </c>
    </row>
    <row r="20444" spans="1:6" ht="15.75" customHeight="1">
      <c r="A20444" s="8" t="str">
        <f ca="1">IFERROR(__xludf.DUMMYFUNCTION("GOOGLETRANSLATE(B37998,""en"",""pt"")"),"Meerssen")</f>
        <v>Meerssen</v>
      </c>
      <c r="B20444" s="9" t="s">
        <v>19038</v>
      </c>
      <c r="C20444" s="9" t="s">
        <v>18862</v>
      </c>
      <c r="D20444" s="9" t="s">
        <v>18893</v>
      </c>
      <c r="E20444" s="10">
        <v>2751037</v>
      </c>
      <c r="F20444" s="4" t="str">
        <f>IF(B20444=B20443,"",B20444)</f>
        <v/>
      </c>
    </row>
    <row r="20445" spans="1:6" ht="15.75" customHeight="1">
      <c r="A20445" s="16" t="s">
        <v>8839</v>
      </c>
      <c r="B20445" s="15" t="s">
        <v>8839</v>
      </c>
      <c r="C20445" s="16" t="s">
        <v>8028</v>
      </c>
      <c r="D20445" s="16" t="s">
        <v>8029</v>
      </c>
      <c r="E20445" s="2">
        <v>2872504</v>
      </c>
      <c r="F20445" s="4" t="str">
        <f>IF(B20445=B20444,"",B20445)</f>
        <v>Meerbusch</v>
      </c>
    </row>
    <row r="20446" spans="1:6" ht="15.75" customHeight="1">
      <c r="A20446" s="8" t="str">
        <f ca="1">IFERROR(__xludf.DUMMYFUNCTION("GOOGLETRANSLATE(B27772,""en"",""pt"")"),"Meerbusch")</f>
        <v>Meerbusch</v>
      </c>
      <c r="B20446" s="11" t="s">
        <v>8839</v>
      </c>
      <c r="C20446" s="11" t="s">
        <v>8028</v>
      </c>
      <c r="D20446" s="11" t="s">
        <v>8029</v>
      </c>
      <c r="E20446" s="10">
        <v>2872504</v>
      </c>
      <c r="F20446" s="4" t="str">
        <f>IF(B20446=B20445,"",B20446)</f>
        <v/>
      </c>
    </row>
    <row r="20447" spans="1:6" ht="15.75" customHeight="1">
      <c r="A20447" s="15" t="s">
        <v>8838</v>
      </c>
      <c r="B20447" s="15" t="s">
        <v>8838</v>
      </c>
      <c r="C20447" s="15" t="s">
        <v>8028</v>
      </c>
      <c r="D20447" s="15" t="s">
        <v>8072</v>
      </c>
      <c r="E20447" s="2">
        <v>2872519</v>
      </c>
      <c r="F20447" s="4" t="str">
        <f>IF(B20447=B20446,"",B20447)</f>
        <v>Meerane</v>
      </c>
    </row>
    <row r="20448" spans="1:6" ht="15.75" customHeight="1">
      <c r="A20448" s="8" t="str">
        <f ca="1">IFERROR(__xludf.DUMMYFUNCTION("GOOGLETRANSLATE(B27773,""en"",""pt"")"),"Meerane")</f>
        <v>Meerane</v>
      </c>
      <c r="B20448" s="11" t="s">
        <v>8838</v>
      </c>
      <c r="C20448" s="11" t="s">
        <v>8028</v>
      </c>
      <c r="D20448" s="11" t="s">
        <v>8072</v>
      </c>
      <c r="E20448" s="10">
        <v>2872519</v>
      </c>
      <c r="F20448" s="4" t="str">
        <f>IF(B20448=B20447,"",B20448)</f>
        <v/>
      </c>
    </row>
    <row r="20449" spans="1:6" ht="15.75" customHeight="1">
      <c r="A20449" s="16" t="s">
        <v>22729</v>
      </c>
      <c r="B20449" s="15" t="s">
        <v>22730</v>
      </c>
      <c r="C20449" s="16" t="s">
        <v>22070</v>
      </c>
      <c r="D20449" s="16" t="s">
        <v>22559</v>
      </c>
      <c r="E20449" s="2">
        <v>527888</v>
      </c>
      <c r="F20449" s="4" t="str">
        <f>IF(B20449=B20448,"",B20449)</f>
        <v>Medvezhâ€™yegorsk</v>
      </c>
    </row>
    <row r="20450" spans="1:6" ht="15.75" customHeight="1">
      <c r="A20450" s="8" t="str">
        <f ca="1">IFERROR(__xludf.DUMMYFUNCTION("GOOGLETRANSLATE(B40326,""en"",""pt"")"),"MedVezh'yegorsk")</f>
        <v>MedVezh'yegorsk</v>
      </c>
      <c r="B20450" s="9" t="s">
        <v>35490</v>
      </c>
      <c r="C20450" s="9" t="s">
        <v>22070</v>
      </c>
      <c r="D20450" s="9" t="s">
        <v>22559</v>
      </c>
      <c r="E20450" s="10">
        <v>527888</v>
      </c>
      <c r="F20450" s="4" t="str">
        <f>IF(B20450=B20449,"",B20450)</f>
        <v>Medvezh’yegorsk</v>
      </c>
    </row>
    <row r="20451" spans="1:6" ht="15.75" customHeight="1">
      <c r="A20451" s="16" t="s">
        <v>22727</v>
      </c>
      <c r="B20451" s="15" t="s">
        <v>22728</v>
      </c>
      <c r="C20451" s="16" t="s">
        <v>22070</v>
      </c>
      <c r="D20451" s="16" t="s">
        <v>22077</v>
      </c>
      <c r="E20451" s="2">
        <v>527968</v>
      </c>
      <c r="F20451" s="4" t="str">
        <f>IF(B20451=B20450,"",B20451)</f>
        <v>Medvedovskaya</v>
      </c>
    </row>
    <row r="20452" spans="1:6" ht="15.75" customHeight="1">
      <c r="A20452" s="8" t="str">
        <f ca="1">IFERROR(__xludf.DUMMYFUNCTION("GOOGLETRANSLATE(B40327,""en"",""pt"")"),"MEDVEDOVSKAYA")</f>
        <v>MEDVEDOVSKAYA</v>
      </c>
      <c r="B20452" s="9" t="s">
        <v>22728</v>
      </c>
      <c r="C20452" s="9" t="s">
        <v>22070</v>
      </c>
      <c r="D20452" s="9" t="s">
        <v>22077</v>
      </c>
      <c r="E20452" s="10">
        <v>527968</v>
      </c>
      <c r="F20452" s="4" t="str">
        <f>IF(B20452=B20451,"",B20452)</f>
        <v/>
      </c>
    </row>
    <row r="20453" spans="1:6" ht="15.75" customHeight="1">
      <c r="A20453" s="16" t="s">
        <v>22726</v>
      </c>
      <c r="B20453" s="15" t="s">
        <v>22726</v>
      </c>
      <c r="C20453" s="16" t="s">
        <v>22070</v>
      </c>
      <c r="D20453" s="16" t="s">
        <v>22588</v>
      </c>
      <c r="E20453" s="2">
        <v>528056</v>
      </c>
      <c r="F20453" s="4" t="str">
        <f>IF(B20453=B20452,"",B20453)</f>
        <v>Medvedevo</v>
      </c>
    </row>
    <row r="20454" spans="1:6" ht="15.75" customHeight="1">
      <c r="A20454" s="8" t="str">
        <f ca="1">IFERROR(__xludf.DUMMYFUNCTION("GOOGLETRANSLATE(B40328,""en"",""pt"")"),"Medvedevo")</f>
        <v>Medvedevo</v>
      </c>
      <c r="B20454" s="9" t="s">
        <v>22726</v>
      </c>
      <c r="C20454" s="9" t="s">
        <v>22070</v>
      </c>
      <c r="D20454" s="9" t="s">
        <v>22588</v>
      </c>
      <c r="E20454" s="10">
        <v>528056</v>
      </c>
      <c r="F20454" s="4" t="str">
        <f>IF(B20454=B20453,"",B20454)</f>
        <v/>
      </c>
    </row>
    <row r="20455" spans="1:6" ht="15.75" customHeight="1">
      <c r="A20455" s="16" t="s">
        <v>22725</v>
      </c>
      <c r="B20455" s="15" t="s">
        <v>22725</v>
      </c>
      <c r="C20455" s="16" t="s">
        <v>22070</v>
      </c>
      <c r="D20455" s="16" t="s">
        <v>22075</v>
      </c>
      <c r="E20455" s="2">
        <v>528109</v>
      </c>
      <c r="F20455" s="4" t="str">
        <f>IF(B20455=B20454,"",B20455)</f>
        <v>Mednogorsk</v>
      </c>
    </row>
    <row r="20456" spans="1:6" ht="15.75" customHeight="1">
      <c r="A20456" s="8" t="str">
        <f ca="1">IFERROR(__xludf.DUMMYFUNCTION("GOOGLETRANSLATE(B40329,""en"",""pt"")"),"Mednogorsk")</f>
        <v>Mednogorsk</v>
      </c>
      <c r="B20456" s="9" t="s">
        <v>22725</v>
      </c>
      <c r="C20456" s="9" t="s">
        <v>22070</v>
      </c>
      <c r="D20456" s="9" t="s">
        <v>22075</v>
      </c>
      <c r="E20456" s="10">
        <v>528109</v>
      </c>
      <c r="F20456" s="4" t="str">
        <f>IF(B20456=B20455,"",B20456)</f>
        <v/>
      </c>
    </row>
    <row r="20457" spans="1:6" ht="15.75" customHeight="1">
      <c r="A20457" s="16" t="s">
        <v>26163</v>
      </c>
      <c r="B20457" s="15" t="s">
        <v>26164</v>
      </c>
      <c r="C20457" s="16" t="s">
        <v>26090</v>
      </c>
      <c r="D20457" s="16" t="s">
        <v>26101</v>
      </c>
      <c r="E20457" s="2">
        <v>2469386</v>
      </c>
      <c r="F20457" s="4" t="str">
        <f>IF(B20457=B20456,"",B20457)</f>
        <v>Medjez el Bab</v>
      </c>
    </row>
    <row r="20458" spans="1:6" ht="15.75" customHeight="1">
      <c r="A20458" s="8" t="str">
        <f ca="1">IFERROR(__xludf.DUMMYFUNCTION("GOOGLETRANSLATE(B41825,""en"",""pt"")"),"Medjez El Bab")</f>
        <v>Medjez El Bab</v>
      </c>
      <c r="B20458" s="9" t="s">
        <v>26164</v>
      </c>
      <c r="C20458" s="9" t="s">
        <v>26090</v>
      </c>
      <c r="D20458" s="9" t="s">
        <v>35808</v>
      </c>
      <c r="E20458" s="10">
        <v>2469386</v>
      </c>
      <c r="F20458" s="4" t="str">
        <f>IF(B20458=B20457,"",B20458)</f>
        <v/>
      </c>
    </row>
    <row r="20459" spans="1:6" ht="15.75" customHeight="1">
      <c r="A20459" s="8" t="str">
        <f ca="1">IFERROR(__xludf.DUMMYFUNCTION("GOOGLETRANSLATE(B32781,""en"",""pt"")"),"Medinīpur")</f>
        <v>Medinīpur</v>
      </c>
      <c r="B20459" s="11" t="s">
        <v>33387</v>
      </c>
      <c r="C20459" s="11" t="s">
        <v>10178</v>
      </c>
      <c r="D20459" s="11" t="s">
        <v>10201</v>
      </c>
      <c r="E20459" s="10">
        <v>1263220</v>
      </c>
      <c r="F20459" s="4" t="str">
        <f>IF(B20459=B20458,"",B20459)</f>
        <v>Medinīpur</v>
      </c>
    </row>
    <row r="20460" spans="1:6" ht="15.75" customHeight="1">
      <c r="A20460" s="16" t="s">
        <v>12389</v>
      </c>
      <c r="B20460" s="15" t="s">
        <v>12390</v>
      </c>
      <c r="C20460" s="16" t="s">
        <v>10178</v>
      </c>
      <c r="D20460" s="16" t="s">
        <v>10201</v>
      </c>
      <c r="E20460" s="2">
        <v>1263220</v>
      </c>
      <c r="F20460" s="4" t="str">
        <f>IF(B20460=B20459,"",B20460)</f>
        <v>MedinÄ«pur</v>
      </c>
    </row>
    <row r="20461" spans="1:6" ht="15.75" customHeight="1">
      <c r="A20461" s="16" t="s">
        <v>9406</v>
      </c>
      <c r="B20461" s="15" t="s">
        <v>9406</v>
      </c>
      <c r="C20461" s="16" t="s">
        <v>9365</v>
      </c>
      <c r="D20461" s="16" t="s">
        <v>9368</v>
      </c>
      <c r="E20461" s="2">
        <v>2298330</v>
      </c>
      <c r="F20461" s="4" t="str">
        <f>IF(B20461=B20460,"",B20461)</f>
        <v>Medina Estates</v>
      </c>
    </row>
    <row r="20462" spans="1:6" ht="15.75" customHeight="1">
      <c r="A20462" s="8" t="str">
        <f ca="1">IFERROR(__xludf.DUMMYFUNCTION("GOOGLETRANSLATE(B30884,""en"",""pt"")"),"Medina Estates")</f>
        <v>Medina Estates</v>
      </c>
      <c r="B20462" s="9" t="s">
        <v>9406</v>
      </c>
      <c r="C20462" s="9" t="s">
        <v>9365</v>
      </c>
      <c r="D20462" s="9" t="s">
        <v>9368</v>
      </c>
      <c r="E20462" s="10">
        <v>2298330</v>
      </c>
      <c r="F20462" s="4" t="str">
        <f>IF(B20462=B20461,"",B20462)</f>
        <v/>
      </c>
    </row>
    <row r="20463" spans="1:6" ht="15.75" customHeight="1">
      <c r="A20463" s="16" t="s">
        <v>24611</v>
      </c>
      <c r="B20463" s="15" t="s">
        <v>24612</v>
      </c>
      <c r="C20463" s="16" t="s">
        <v>24200</v>
      </c>
      <c r="D20463" s="16" t="s">
        <v>24210</v>
      </c>
      <c r="E20463" s="2">
        <v>3117010</v>
      </c>
      <c r="F20463" s="4" t="str">
        <f>IF(B20463=B20462,"",B20463)</f>
        <v>Medina del Campo</v>
      </c>
    </row>
    <row r="20464" spans="1:6" ht="15.75" customHeight="1">
      <c r="A20464" s="8" t="str">
        <f ca="1">IFERROR(__xludf.DUMMYFUNCTION("GOOGLETRANSLATE(B29359,""en"",""pt"")"),"Medina Del Campo")</f>
        <v>Medina Del Campo</v>
      </c>
      <c r="B20464" s="9" t="s">
        <v>24612</v>
      </c>
      <c r="C20464" s="9" t="s">
        <v>24200</v>
      </c>
      <c r="D20464" s="9" t="s">
        <v>32412</v>
      </c>
      <c r="E20464" s="10">
        <v>3117010</v>
      </c>
      <c r="F20464" s="4" t="str">
        <f>IF(B20464=B20463,"",B20464)</f>
        <v/>
      </c>
    </row>
    <row r="20465" spans="1:6" ht="15.75" customHeight="1">
      <c r="A20465" s="15" t="s">
        <v>18078</v>
      </c>
      <c r="B20465" s="15" t="s">
        <v>18078</v>
      </c>
      <c r="C20465" s="15" t="s">
        <v>17707</v>
      </c>
      <c r="D20465" s="15" t="s">
        <v>17713</v>
      </c>
      <c r="E20465" s="2">
        <v>3996299</v>
      </c>
      <c r="F20465" s="4" t="str">
        <f>IF(B20465=B20464,"",B20465)</f>
        <v>Medina</v>
      </c>
    </row>
    <row r="20466" spans="1:6" ht="15.75" customHeight="1">
      <c r="A20466" s="15" t="s">
        <v>18078</v>
      </c>
      <c r="B20466" s="15" t="s">
        <v>18078</v>
      </c>
      <c r="C20466" s="15" t="s">
        <v>23454</v>
      </c>
      <c r="D20466" s="15" t="s">
        <v>23477</v>
      </c>
      <c r="E20466" s="2">
        <v>109223</v>
      </c>
      <c r="F20466" s="4" t="str">
        <f>IF(B20466=B20465,"",B20466)</f>
        <v/>
      </c>
    </row>
    <row r="20467" spans="1:6" ht="15.75" customHeight="1">
      <c r="A20467" s="15" t="s">
        <v>18078</v>
      </c>
      <c r="B20467" s="15" t="s">
        <v>18078</v>
      </c>
      <c r="C20467" s="15" t="s">
        <v>27788</v>
      </c>
      <c r="D20467" s="15" t="s">
        <v>27813</v>
      </c>
      <c r="E20467" s="2">
        <v>5162512</v>
      </c>
      <c r="F20467" s="4" t="str">
        <f>IF(B20467=B20466,"",B20467)</f>
        <v/>
      </c>
    </row>
    <row r="20468" spans="1:6" ht="15.75" customHeight="1">
      <c r="A20468" s="8" t="str">
        <f ca="1">IFERROR(__xludf.DUMMYFUNCTION("GOOGLETRANSLATE(B37246,""en"",""pt"")"),"Medina")</f>
        <v>Medina</v>
      </c>
      <c r="B20468" s="11" t="s">
        <v>18078</v>
      </c>
      <c r="C20468" s="11" t="s">
        <v>17707</v>
      </c>
      <c r="D20468" s="11" t="s">
        <v>17713</v>
      </c>
      <c r="E20468" s="10">
        <v>3996299</v>
      </c>
      <c r="F20468" s="4" t="str">
        <f>IF(B20468=B20467,"",B20468)</f>
        <v/>
      </c>
    </row>
    <row r="20469" spans="1:6" ht="15.75" customHeight="1">
      <c r="A20469" s="8" t="str">
        <f ca="1">IFERROR(__xludf.DUMMYFUNCTION("GOOGLETRANSLATE(B41052,""en"",""pt"")"),"Medina")</f>
        <v>Medina</v>
      </c>
      <c r="B20469" s="9" t="s">
        <v>18078</v>
      </c>
      <c r="C20469" s="9" t="s">
        <v>23454</v>
      </c>
      <c r="D20469" s="9" t="s">
        <v>35568</v>
      </c>
      <c r="E20469" s="10">
        <v>109223</v>
      </c>
      <c r="F20469" s="4" t="str">
        <f>IF(B20469=B20468,"",B20469)</f>
        <v/>
      </c>
    </row>
    <row r="20470" spans="1:6" ht="15.75" customHeight="1">
      <c r="A20470" s="8" t="str">
        <f ca="1">IFERROR(__xludf.DUMMYFUNCTION("GOOGLETRANSLATE(B44519,""en"",""pt"")"),"Medina")</f>
        <v>Medina</v>
      </c>
      <c r="B20470" s="11" t="s">
        <v>18078</v>
      </c>
      <c r="C20470" s="11" t="s">
        <v>27788</v>
      </c>
      <c r="D20470" s="11" t="s">
        <v>27813</v>
      </c>
      <c r="E20470" s="10">
        <v>5162512</v>
      </c>
      <c r="F20470" s="4" t="str">
        <f>IF(B20470=B20469,"",B20470)</f>
        <v/>
      </c>
    </row>
    <row r="20471" spans="1:6" ht="15.75" customHeight="1">
      <c r="A20471" s="16" t="s">
        <v>4097</v>
      </c>
      <c r="B20471" s="15" t="s">
        <v>4098</v>
      </c>
      <c r="C20471" s="16" t="s">
        <v>3975</v>
      </c>
      <c r="D20471" s="16" t="s">
        <v>3978</v>
      </c>
      <c r="E20471" s="2">
        <v>6071618</v>
      </c>
      <c r="F20471" s="4" t="str">
        <f>IF(B20471=B20470,"",B20471)</f>
        <v>Medicine Hat</v>
      </c>
    </row>
    <row r="20472" spans="1:6" ht="15.75" customHeight="1">
      <c r="A20472" s="8" t="str">
        <f ca="1">IFERROR(__xludf.DUMMYFUNCTION("GOOGLETRANSLATE(B25510,""en"",""pt"")"),"Chapéu de medicina")</f>
        <v>Chapéu de medicina</v>
      </c>
      <c r="B20472" s="11" t="s">
        <v>4098</v>
      </c>
      <c r="C20472" s="11" t="s">
        <v>3975</v>
      </c>
      <c r="D20472" s="11" t="s">
        <v>3978</v>
      </c>
      <c r="E20472" s="10">
        <v>6071618</v>
      </c>
      <c r="F20472" s="4" t="str">
        <f>IF(B20472=B20471,"",B20472)</f>
        <v/>
      </c>
    </row>
    <row r="20473" spans="1:6" ht="15.75" customHeight="1">
      <c r="A20473" s="8" t="str">
        <f ca="1">IFERROR(__xludf.DUMMYFUNCTION("GOOGLETRANSLATE(B39778,""en"",""pt"")"),"Mediaş")</f>
        <v>Mediaş</v>
      </c>
      <c r="B20473" s="9" t="s">
        <v>35377</v>
      </c>
      <c r="C20473" s="9" t="s">
        <v>21824</v>
      </c>
      <c r="D20473" s="9" t="s">
        <v>21896</v>
      </c>
      <c r="E20473" s="10">
        <v>673634</v>
      </c>
      <c r="F20473" s="4" t="str">
        <f>IF(B20473=B20472,"",B20473)</f>
        <v>Mediaş</v>
      </c>
    </row>
    <row r="20474" spans="1:6" ht="15.75" customHeight="1">
      <c r="A20474" s="16" t="s">
        <v>2891</v>
      </c>
      <c r="B20474" s="15" t="s">
        <v>2891</v>
      </c>
      <c r="C20474" s="16" t="s">
        <v>1905</v>
      </c>
      <c r="D20474" s="16" t="s">
        <v>728</v>
      </c>
      <c r="E20474" s="2">
        <v>3457359</v>
      </c>
      <c r="F20474" s="4" t="str">
        <f>IF(B20474=B20473,"",B20474)</f>
        <v>Medianeira</v>
      </c>
    </row>
    <row r="20475" spans="1:6" ht="15.75" customHeight="1">
      <c r="A20475" s="8" t="str">
        <f ca="1">IFERROR(__xludf.DUMMYFUNCTION("GOOGLETRANSLATE(B24819,""en"",""pt"")"),"Medianeira")</f>
        <v>Medianeira</v>
      </c>
      <c r="B20475" s="9" t="s">
        <v>2891</v>
      </c>
      <c r="C20475" s="9" t="s">
        <v>1905</v>
      </c>
      <c r="D20475" s="9" t="s">
        <v>727</v>
      </c>
      <c r="E20475" s="10">
        <v>3457359</v>
      </c>
      <c r="F20475" s="4" t="str">
        <f>IF(B20475=B20474,"",B20475)</f>
        <v/>
      </c>
    </row>
    <row r="20476" spans="1:6" ht="15.75" customHeight="1">
      <c r="A20476" s="16" t="s">
        <v>21955</v>
      </c>
      <c r="B20476" s="15" t="s">
        <v>21956</v>
      </c>
      <c r="C20476" s="16" t="s">
        <v>21824</v>
      </c>
      <c r="D20476" s="16" t="s">
        <v>21896</v>
      </c>
      <c r="E20476" s="2">
        <v>673634</v>
      </c>
      <c r="F20476" s="4" t="str">
        <f>IF(B20476=B20475,"",B20476)</f>
        <v>MediaÅŸ</v>
      </c>
    </row>
    <row r="20477" spans="1:6" ht="15.75" customHeight="1">
      <c r="A20477" s="16" t="s">
        <v>5874</v>
      </c>
      <c r="B20477" s="15" t="s">
        <v>5875</v>
      </c>
      <c r="C20477" s="16" t="s">
        <v>5764</v>
      </c>
      <c r="D20477" s="16" t="s">
        <v>5788</v>
      </c>
      <c r="E20477" s="2">
        <v>3547260</v>
      </c>
      <c r="F20477" s="4" t="str">
        <f>IF(B20477=B20476,"",B20477)</f>
        <v>Media Luna</v>
      </c>
    </row>
    <row r="20478" spans="1:6" ht="15.75" customHeight="1">
      <c r="A20478" s="8" t="str">
        <f ca="1">IFERROR(__xludf.DUMMYFUNCTION("GOOGLETRANSLATE(B27147,""en"",""pt"")"),"Mídia Luna")</f>
        <v>Mídia Luna</v>
      </c>
      <c r="B20478" s="9" t="s">
        <v>5875</v>
      </c>
      <c r="C20478" s="9" t="s">
        <v>5764</v>
      </c>
      <c r="D20478" s="9" t="s">
        <v>5788</v>
      </c>
      <c r="E20478" s="10">
        <v>3547260</v>
      </c>
      <c r="F20478" s="4" t="str">
        <f>IF(B20478=B20477,"",B20478)</f>
        <v/>
      </c>
    </row>
    <row r="20479" spans="1:6" ht="15.75" customHeight="1">
      <c r="A20479" s="15" t="s">
        <v>21954</v>
      </c>
      <c r="B20479" s="15" t="s">
        <v>21954</v>
      </c>
      <c r="C20479" s="15" t="s">
        <v>21824</v>
      </c>
      <c r="D20479" s="15" t="s">
        <v>21893</v>
      </c>
      <c r="E20479" s="2">
        <v>673636</v>
      </c>
      <c r="F20479" s="4" t="str">
        <f>IF(B20479=B20478,"",B20479)</f>
        <v>Medgidia</v>
      </c>
    </row>
    <row r="20480" spans="1:6" ht="15.75" customHeight="1">
      <c r="A20480" s="8" t="str">
        <f ca="1">IFERROR(__xludf.DUMMYFUNCTION("GOOGLETRANSLATE(B39779,""en"",""pt"")"),"Medgidia")</f>
        <v>Medgidia</v>
      </c>
      <c r="B20480" s="9" t="s">
        <v>21954</v>
      </c>
      <c r="C20480" s="9" t="s">
        <v>21824</v>
      </c>
      <c r="D20480" s="9" t="s">
        <v>35374</v>
      </c>
      <c r="E20480" s="10">
        <v>673636</v>
      </c>
      <c r="F20480" s="4" t="str">
        <f>IF(B20480=B20479,"",B20480)</f>
        <v/>
      </c>
    </row>
    <row r="20481" spans="1:6" ht="15.75" customHeight="1">
      <c r="A20481" s="15" t="s">
        <v>29253</v>
      </c>
      <c r="B20481" s="15" t="s">
        <v>29253</v>
      </c>
      <c r="C20481" s="15" t="s">
        <v>27788</v>
      </c>
      <c r="D20481" s="15" t="s">
        <v>27794</v>
      </c>
      <c r="E20481" s="2">
        <v>4943629</v>
      </c>
      <c r="F20481" s="4" t="str">
        <f>IF(B20481=B20480,"",B20481)</f>
        <v>Medford</v>
      </c>
    </row>
    <row r="20482" spans="1:6" ht="15.75" customHeight="1">
      <c r="A20482" s="15" t="s">
        <v>29253</v>
      </c>
      <c r="B20482" s="15" t="s">
        <v>29253</v>
      </c>
      <c r="C20482" s="15" t="s">
        <v>27788</v>
      </c>
      <c r="D20482" s="15" t="s">
        <v>27819</v>
      </c>
      <c r="E20482" s="2">
        <v>5126518</v>
      </c>
      <c r="F20482" s="4" t="str">
        <f>IF(B20482=B20481,"",B20482)</f>
        <v/>
      </c>
    </row>
    <row r="20483" spans="1:6" ht="15.75" customHeight="1">
      <c r="A20483" s="15" t="s">
        <v>29253</v>
      </c>
      <c r="B20483" s="15" t="s">
        <v>29253</v>
      </c>
      <c r="C20483" s="15" t="s">
        <v>27788</v>
      </c>
      <c r="D20483" s="15" t="s">
        <v>27820</v>
      </c>
      <c r="E20483" s="2">
        <v>5740099</v>
      </c>
      <c r="F20483" s="4" t="str">
        <f>IF(B20483=B20482,"",B20483)</f>
        <v/>
      </c>
    </row>
    <row r="20484" spans="1:6" ht="15.75" customHeight="1">
      <c r="A20484" s="8" t="str">
        <f ca="1">IFERROR(__xludf.DUMMYFUNCTION("GOOGLETRANSLATE(B43999,""en"",""pt"")"),"Medford")</f>
        <v>Medford</v>
      </c>
      <c r="B20484" s="9" t="s">
        <v>29253</v>
      </c>
      <c r="C20484" s="9" t="s">
        <v>27788</v>
      </c>
      <c r="D20484" s="9" t="s">
        <v>27794</v>
      </c>
      <c r="E20484" s="10">
        <v>4943629</v>
      </c>
      <c r="F20484" s="4" t="str">
        <f>IF(B20484=B20483,"",B20484)</f>
        <v/>
      </c>
    </row>
    <row r="20485" spans="1:6" ht="15.75" customHeight="1">
      <c r="A20485" s="8" t="str">
        <f ca="1">IFERROR(__xludf.DUMMYFUNCTION("GOOGLETRANSLATE(B44408,""en"",""pt"")"),"Medford")</f>
        <v>Medford</v>
      </c>
      <c r="B20485" s="11" t="s">
        <v>29253</v>
      </c>
      <c r="C20485" s="11" t="s">
        <v>27788</v>
      </c>
      <c r="D20485" s="11" t="s">
        <v>27819</v>
      </c>
      <c r="E20485" s="10">
        <v>5126518</v>
      </c>
      <c r="F20485" s="4" t="str">
        <f>IF(B20485=B20484,"",B20485)</f>
        <v/>
      </c>
    </row>
    <row r="20486" spans="1:6" ht="15.75" customHeight="1">
      <c r="A20486" s="8" t="str">
        <f ca="1">IFERROR(__xludf.DUMMYFUNCTION("GOOGLETRANSLATE(B45248,""en"",""pt"")"),"Medford")</f>
        <v>Medford</v>
      </c>
      <c r="B20486" s="9" t="s">
        <v>29253</v>
      </c>
      <c r="C20486" s="9" t="s">
        <v>27788</v>
      </c>
      <c r="D20486" s="9" t="s">
        <v>27820</v>
      </c>
      <c r="E20486" s="10">
        <v>5740099</v>
      </c>
      <c r="F20486" s="4" t="str">
        <f>IF(B20486=B20485,"",B20486)</f>
        <v/>
      </c>
    </row>
    <row r="20487" spans="1:6" ht="15.75" customHeight="1">
      <c r="A20487" s="16" t="s">
        <v>26161</v>
      </c>
      <c r="B20487" s="15" t="s">
        <v>26162</v>
      </c>
      <c r="C20487" s="16" t="s">
        <v>26090</v>
      </c>
      <c r="D20487" s="16" t="s">
        <v>26140</v>
      </c>
      <c r="E20487" s="2">
        <v>2469473</v>
      </c>
      <c r="F20487" s="4" t="str">
        <f>IF(B20487=B20486,"",B20487)</f>
        <v>Medenine</v>
      </c>
    </row>
    <row r="20488" spans="1:6" ht="15.75" customHeight="1">
      <c r="A20488" s="8" t="str">
        <f ca="1">IFERROR(__xludf.DUMMYFUNCTION("GOOGLETRANSLATE(B41826,""en"",""pt"")"),"Medenina")</f>
        <v>Medenina</v>
      </c>
      <c r="B20488" s="9" t="s">
        <v>26162</v>
      </c>
      <c r="C20488" s="9" t="s">
        <v>26090</v>
      </c>
      <c r="D20488" s="9" t="s">
        <v>35807</v>
      </c>
      <c r="E20488" s="10">
        <v>2469473</v>
      </c>
      <c r="F20488" s="4" t="str">
        <f>IF(B20488=B20487,"",B20488)</f>
        <v/>
      </c>
    </row>
    <row r="20489" spans="1:6" ht="15.75" customHeight="1">
      <c r="A20489" s="16" t="s">
        <v>19037</v>
      </c>
      <c r="B20489" s="15" t="s">
        <v>19037</v>
      </c>
      <c r="C20489" s="16" t="s">
        <v>18862</v>
      </c>
      <c r="D20489" s="16" t="s">
        <v>18863</v>
      </c>
      <c r="E20489" s="2">
        <v>2751073</v>
      </c>
      <c r="F20489" s="4" t="str">
        <f>IF(B20489=B20488,"",B20489)</f>
        <v>Medemblik</v>
      </c>
    </row>
    <row r="20490" spans="1:6" ht="15.75" customHeight="1">
      <c r="A20490" s="8" t="str">
        <f ca="1">IFERROR(__xludf.DUMMYFUNCTION("GOOGLETRANSLATE(B37999,""en"",""pt"")"),"Medemblik")</f>
        <v>Medemblik</v>
      </c>
      <c r="B20490" s="11" t="s">
        <v>19037</v>
      </c>
      <c r="C20490" s="11" t="s">
        <v>18862</v>
      </c>
      <c r="D20490" s="11" t="s">
        <v>18863</v>
      </c>
      <c r="E20490" s="10">
        <v>2751073</v>
      </c>
      <c r="F20490" s="4" t="str">
        <f>IF(B20490=B20489,"",B20490)</f>
        <v/>
      </c>
    </row>
    <row r="20491" spans="1:6" ht="15.75" customHeight="1">
      <c r="A20491" s="8" t="str">
        <f ca="1">IFERROR(__xludf.DUMMYFUNCTION("GOOGLETRANSLATE(B26940,""en"",""pt"")"),"Medellín")</f>
        <v>Medellín</v>
      </c>
      <c r="B20491" s="9" t="s">
        <v>31864</v>
      </c>
      <c r="C20491" s="9" t="s">
        <v>5348</v>
      </c>
      <c r="D20491" s="9" t="s">
        <v>5362</v>
      </c>
      <c r="E20491" s="10">
        <v>3674962</v>
      </c>
      <c r="F20491" s="4" t="str">
        <f>IF(B20491=B20490,"",B20491)</f>
        <v>Medellín</v>
      </c>
    </row>
    <row r="20492" spans="1:6" ht="15.75" customHeight="1">
      <c r="A20492" s="15" t="s">
        <v>5524</v>
      </c>
      <c r="B20492" s="15" t="s">
        <v>5525</v>
      </c>
      <c r="C20492" s="15" t="s">
        <v>5348</v>
      </c>
      <c r="D20492" s="15" t="s">
        <v>5362</v>
      </c>
      <c r="E20492" s="2">
        <v>3674962</v>
      </c>
      <c r="F20492" s="4" t="str">
        <f>IF(B20492=B20491,"",B20492)</f>
        <v>MedellÃ­n</v>
      </c>
    </row>
    <row r="20493" spans="1:6" ht="15.75" customHeight="1">
      <c r="A20493" s="16" t="s">
        <v>2889</v>
      </c>
      <c r="B20493" s="15" t="s">
        <v>2890</v>
      </c>
      <c r="C20493" s="16" t="s">
        <v>1905</v>
      </c>
      <c r="D20493" s="16" t="s">
        <v>1947</v>
      </c>
      <c r="E20493" s="2">
        <v>3457360</v>
      </c>
      <c r="F20493" s="4" t="str">
        <f>IF(B20493=B20492,"",B20493)</f>
        <v>Medeiros Neto</v>
      </c>
    </row>
    <row r="20494" spans="1:6" ht="15.75" customHeight="1">
      <c r="A20494" s="8" t="str">
        <f ca="1">IFERROR(__xludf.DUMMYFUNCTION("GOOGLETRANSLATE(B24820,""en"",""pt"")"),"Medeiros neto")</f>
        <v>Medeiros neto</v>
      </c>
      <c r="B20494" s="11" t="s">
        <v>2890</v>
      </c>
      <c r="C20494" s="11" t="s">
        <v>1905</v>
      </c>
      <c r="D20494" s="11" t="s">
        <v>1947</v>
      </c>
      <c r="E20494" s="10">
        <v>3457360</v>
      </c>
      <c r="F20494" s="4" t="str">
        <f>IF(B20494=B20493,"",B20494)</f>
        <v/>
      </c>
    </row>
    <row r="20495" spans="1:6" ht="15.75" customHeight="1">
      <c r="A20495" s="8" t="str">
        <f ca="1">IFERROR(__xludf.DUMMYFUNCTION("GOOGLETRANSLATE(B28588,""en"",""pt"")"),"Médéa")</f>
        <v>Médéa</v>
      </c>
      <c r="B20495" s="9" t="s">
        <v>32199</v>
      </c>
      <c r="C20495" s="9" t="s">
        <v>153</v>
      </c>
      <c r="D20495" s="9" t="s">
        <v>32199</v>
      </c>
      <c r="E20495" s="10">
        <v>2488835</v>
      </c>
      <c r="F20495" s="4" t="str">
        <f>IF(B20495=B20494,"",B20495)</f>
        <v>Médéa</v>
      </c>
    </row>
    <row r="20496" spans="1:6" ht="15.75" customHeight="1">
      <c r="A20496" s="15" t="s">
        <v>14037</v>
      </c>
      <c r="B20496" s="15" t="s">
        <v>14037</v>
      </c>
      <c r="C20496" s="15" t="s">
        <v>13800</v>
      </c>
      <c r="D20496" s="15" t="s">
        <v>13830</v>
      </c>
      <c r="E20496" s="2">
        <v>1214520</v>
      </c>
      <c r="F20496" s="4" t="str">
        <f>IF(B20496=B20495,"",B20496)</f>
        <v>Medan</v>
      </c>
    </row>
    <row r="20497" spans="1:6" ht="15.75" customHeight="1">
      <c r="A20497" s="8" t="str">
        <f ca="1">IFERROR(__xludf.DUMMYFUNCTION("GOOGLETRANSLATE(B31371,""en"",""pt"")"),"Medan")</f>
        <v>Medan</v>
      </c>
      <c r="B20497" s="9" t="s">
        <v>14037</v>
      </c>
      <c r="C20497" s="9" t="s">
        <v>13800</v>
      </c>
      <c r="D20497" s="9" t="s">
        <v>13830</v>
      </c>
      <c r="E20497" s="10">
        <v>1214520</v>
      </c>
      <c r="F20497" s="4" t="str">
        <f>IF(B20497=B20496,"",B20497)</f>
        <v/>
      </c>
    </row>
    <row r="20498" spans="1:6" ht="15.75" customHeight="1">
      <c r="A20498" s="15" t="s">
        <v>12388</v>
      </c>
      <c r="B20498" s="15" t="s">
        <v>12388</v>
      </c>
      <c r="C20498" s="15" t="s">
        <v>10178</v>
      </c>
      <c r="D20498" s="15" t="s">
        <v>10187</v>
      </c>
      <c r="E20498" s="2">
        <v>1263230</v>
      </c>
      <c r="F20498" s="4" t="str">
        <f>IF(B20498=B20497,"",B20498)</f>
        <v>Medak</v>
      </c>
    </row>
    <row r="20499" spans="1:6" ht="15.75" customHeight="1">
      <c r="A20499" s="8" t="str">
        <f ca="1">IFERROR(__xludf.DUMMYFUNCTION("GOOGLETRANSLATE(B32782,""en"",""pt"")"),"Medak")</f>
        <v>Medak</v>
      </c>
      <c r="B20499" s="9" t="s">
        <v>12388</v>
      </c>
      <c r="C20499" s="9" t="s">
        <v>10178</v>
      </c>
      <c r="D20499" s="9" t="s">
        <v>10187</v>
      </c>
      <c r="E20499" s="10">
        <v>1263230</v>
      </c>
      <c r="F20499" s="4" t="str">
        <f>IF(B20499=B20498,"",B20499)</f>
        <v/>
      </c>
    </row>
    <row r="20500" spans="1:6" ht="15.75" customHeight="1">
      <c r="A20500" s="15" t="s">
        <v>15257</v>
      </c>
      <c r="B20500" s="15" t="s">
        <v>15257</v>
      </c>
      <c r="C20500" s="15" t="s">
        <v>14891</v>
      </c>
      <c r="D20500" s="15" t="s">
        <v>14894</v>
      </c>
      <c r="E20500" s="2">
        <v>3173671</v>
      </c>
      <c r="F20500" s="4" t="str">
        <f>IF(B20500=B20499,"",B20500)</f>
        <v>Meda</v>
      </c>
    </row>
    <row r="20501" spans="1:6" ht="15.75" customHeight="1">
      <c r="A20501" s="8" t="str">
        <f ca="1">IFERROR(__xludf.DUMMYFUNCTION("GOOGLETRANSLATE(B34843,""en"",""pt"")"),"Meda")</f>
        <v>Meda</v>
      </c>
      <c r="B20501" s="9" t="s">
        <v>15257</v>
      </c>
      <c r="C20501" s="9" t="s">
        <v>14891</v>
      </c>
      <c r="D20501" s="9" t="s">
        <v>14894</v>
      </c>
      <c r="E20501" s="10">
        <v>3173671</v>
      </c>
      <c r="F20501" s="4" t="str">
        <f>IF(B20501=B20500,"",B20501)</f>
        <v/>
      </c>
    </row>
    <row r="20502" spans="1:6" ht="15.75" customHeight="1">
      <c r="A20502" s="16" t="s">
        <v>8837</v>
      </c>
      <c r="B20502" s="15" t="s">
        <v>8837</v>
      </c>
      <c r="C20502" s="16" t="s">
        <v>8028</v>
      </c>
      <c r="D20502" s="16" t="s">
        <v>8029</v>
      </c>
      <c r="E20502" s="2">
        <v>2872582</v>
      </c>
      <c r="F20502" s="4" t="str">
        <f>IF(B20502=B20501,"",B20502)</f>
        <v>Meckenheim</v>
      </c>
    </row>
    <row r="20503" spans="1:6" ht="15.75" customHeight="1">
      <c r="A20503" s="8" t="str">
        <f ca="1">IFERROR(__xludf.DUMMYFUNCTION("GOOGLETRANSLATE(B27774,""en"",""pt"")"),"Meckenheim")</f>
        <v>Meckenheim</v>
      </c>
      <c r="B20503" s="9" t="s">
        <v>8837</v>
      </c>
      <c r="C20503" s="9" t="s">
        <v>8028</v>
      </c>
      <c r="D20503" s="9" t="s">
        <v>8029</v>
      </c>
      <c r="E20503" s="10">
        <v>2872582</v>
      </c>
      <c r="F20503" s="4" t="str">
        <f>IF(B20503=B20502,"",B20503)</f>
        <v/>
      </c>
    </row>
    <row r="20504" spans="1:6" ht="15.75" customHeight="1">
      <c r="A20504" s="16" t="s">
        <v>18606</v>
      </c>
      <c r="B20504" s="15" t="s">
        <v>18606</v>
      </c>
      <c r="C20504" s="16" t="s">
        <v>18551</v>
      </c>
      <c r="D20504" s="16" t="s">
        <v>18596</v>
      </c>
      <c r="E20504" s="2">
        <v>2542866</v>
      </c>
      <c r="F20504" s="4" t="str">
        <f>IF(B20504=B20503,"",B20504)</f>
        <v>Mechraa Bel Ksiri</v>
      </c>
    </row>
    <row r="20505" spans="1:6" ht="15.75" customHeight="1">
      <c r="A20505" s="8" t="str">
        <f ca="1">IFERROR(__xludf.DUMMYFUNCTION("GOOGLETRANSLATE(B36488,""en"",""pt"")"),"Mechraa Bel Ksiri")</f>
        <v>Mechraa Bel Ksiri</v>
      </c>
      <c r="B20505" s="9" t="s">
        <v>18606</v>
      </c>
      <c r="C20505" s="9" t="s">
        <v>18551</v>
      </c>
      <c r="D20505" s="9" t="s">
        <v>18596</v>
      </c>
      <c r="E20505" s="10">
        <v>2542866</v>
      </c>
      <c r="F20505" s="4" t="str">
        <f>IF(B20505=B20504,"",B20505)</f>
        <v/>
      </c>
    </row>
    <row r="20506" spans="1:6" ht="15.75" customHeight="1">
      <c r="A20506" s="16" t="s">
        <v>8835</v>
      </c>
      <c r="B20506" s="15" t="s">
        <v>8836</v>
      </c>
      <c r="C20506" s="16" t="s">
        <v>8028</v>
      </c>
      <c r="D20506" s="16" t="s">
        <v>8029</v>
      </c>
      <c r="E20506" s="2">
        <v>2872611</v>
      </c>
      <c r="F20506" s="4" t="str">
        <f>IF(B20506=B20505,"",B20506)</f>
        <v>Mechernich</v>
      </c>
    </row>
    <row r="20507" spans="1:6" ht="15.75" customHeight="1">
      <c r="A20507" s="8" t="str">
        <f ca="1">IFERROR(__xludf.DUMMYFUNCTION("GOOGLETRANSLATE(B27775,""en"",""pt"")"),"MECHERNICH")</f>
        <v>MECHERNICH</v>
      </c>
      <c r="B20507" s="9" t="s">
        <v>8836</v>
      </c>
      <c r="C20507" s="9" t="s">
        <v>8028</v>
      </c>
      <c r="D20507" s="9" t="s">
        <v>8029</v>
      </c>
      <c r="E20507" s="10">
        <v>2872611</v>
      </c>
      <c r="F20507" s="4" t="str">
        <f>IF(B20507=B20506,"",B20507)</f>
        <v/>
      </c>
    </row>
    <row r="20508" spans="1:6" ht="15.75" customHeight="1">
      <c r="A20508" s="16" t="s">
        <v>1637</v>
      </c>
      <c r="B20508" s="15" t="s">
        <v>1637</v>
      </c>
      <c r="C20508" s="16" t="s">
        <v>1512</v>
      </c>
      <c r="D20508" s="16" t="s">
        <v>1513</v>
      </c>
      <c r="E20508" s="2">
        <v>2791537</v>
      </c>
      <c r="F20508" s="4" t="str">
        <f>IF(B20508=B20507,"",B20508)</f>
        <v>Mechelen</v>
      </c>
    </row>
    <row r="20509" spans="1:6" ht="15.75" customHeight="1">
      <c r="A20509" s="8" t="str">
        <f ca="1">IFERROR(__xludf.DUMMYFUNCTION("GOOGLETRANSLATE(B23871,""en"",""pt"")"),"Mechelen")</f>
        <v>Mechelen</v>
      </c>
      <c r="B20509" s="9" t="s">
        <v>1637</v>
      </c>
      <c r="C20509" s="9" t="s">
        <v>1512</v>
      </c>
      <c r="D20509" s="9" t="s">
        <v>1513</v>
      </c>
      <c r="E20509" s="10">
        <v>2791537</v>
      </c>
      <c r="F20509" s="4" t="str">
        <f>IF(B20509=B20508,"",B20509)</f>
        <v/>
      </c>
    </row>
    <row r="20510" spans="1:6" ht="15.75" customHeight="1">
      <c r="A20510" s="15" t="s">
        <v>23532</v>
      </c>
      <c r="B20510" s="15" t="s">
        <v>23533</v>
      </c>
      <c r="C20510" s="15" t="s">
        <v>23454</v>
      </c>
      <c r="D20510" s="15" t="s">
        <v>23491</v>
      </c>
      <c r="E20510" s="2">
        <v>104515</v>
      </c>
      <c r="F20510" s="4" t="str">
        <f>IF(B20510=B20509,"",B20510)</f>
        <v>Mecca</v>
      </c>
    </row>
    <row r="20511" spans="1:6" ht="15.75" customHeight="1">
      <c r="A20511" s="8" t="str">
        <f ca="1">IFERROR(__xludf.DUMMYFUNCTION("GOOGLETRANSLATE(B41026,""en"",""pt"")"),"Meca")</f>
        <v>Meca</v>
      </c>
      <c r="B20511" s="9" t="s">
        <v>23533</v>
      </c>
      <c r="C20511" s="9" t="s">
        <v>23454</v>
      </c>
      <c r="D20511" s="9" t="s">
        <v>23491</v>
      </c>
      <c r="E20511" s="10">
        <v>104515</v>
      </c>
      <c r="F20511" s="4" t="str">
        <f>IF(B20511=B20510,"",B20511)</f>
        <v/>
      </c>
    </row>
    <row r="20512" spans="1:6" ht="15.75" customHeight="1">
      <c r="A20512" s="15" t="s">
        <v>7580</v>
      </c>
      <c r="B20512" s="15" t="s">
        <v>7580</v>
      </c>
      <c r="C20512" s="15" t="s">
        <v>7052</v>
      </c>
      <c r="D20512" s="15" t="s">
        <v>7058</v>
      </c>
      <c r="E20512" s="2">
        <v>2994798</v>
      </c>
      <c r="F20512" s="4" t="str">
        <f>IF(B20512=B20511,"",B20512)</f>
        <v>Meaux</v>
      </c>
    </row>
    <row r="20513" spans="1:6" ht="15.75" customHeight="1">
      <c r="A20513" s="8" t="str">
        <f ca="1">IFERROR(__xludf.DUMMYFUNCTION("GOOGLETRANSLATE(B29929,""en"",""pt"")"),"Meaux")</f>
        <v>Meaux</v>
      </c>
      <c r="B20513" s="9" t="s">
        <v>7580</v>
      </c>
      <c r="C20513" s="9" t="s">
        <v>7052</v>
      </c>
      <c r="D20513" s="9" t="s">
        <v>32531</v>
      </c>
      <c r="E20513" s="10">
        <v>2994798</v>
      </c>
      <c r="F20513" s="4" t="str">
        <f>IF(B20513=B20512,"",B20513)</f>
        <v/>
      </c>
    </row>
    <row r="20514" spans="1:6" ht="15.75" customHeight="1">
      <c r="A20514" s="15" t="s">
        <v>29251</v>
      </c>
      <c r="B20514" s="15" t="s">
        <v>29252</v>
      </c>
      <c r="C20514" s="15" t="s">
        <v>27788</v>
      </c>
      <c r="D20514" s="15" t="s">
        <v>27909</v>
      </c>
      <c r="E20514" s="2">
        <v>4300488</v>
      </c>
      <c r="F20514" s="4" t="str">
        <f>IF(B20514=B20513,"",B20514)</f>
        <v>Meads</v>
      </c>
    </row>
    <row r="20515" spans="1:6" ht="15.75" customHeight="1">
      <c r="A20515" s="8" t="str">
        <f ca="1">IFERROR(__xludf.DUMMYFUNCTION("GOOGLETRANSLATE(B43209,""en"",""pt"")"),"Mades")</f>
        <v>Mades</v>
      </c>
      <c r="B20515" s="9" t="s">
        <v>29252</v>
      </c>
      <c r="C20515" s="9" t="s">
        <v>27788</v>
      </c>
      <c r="D20515" s="9" t="s">
        <v>27909</v>
      </c>
      <c r="E20515" s="10">
        <v>4300488</v>
      </c>
      <c r="F20515" s="4" t="str">
        <f>IF(B20515=B20514,"",B20515)</f>
        <v/>
      </c>
    </row>
    <row r="20516" spans="1:6" ht="15.75" customHeight="1">
      <c r="A20516" s="16" t="s">
        <v>29249</v>
      </c>
      <c r="B20516" s="15" t="s">
        <v>29250</v>
      </c>
      <c r="C20516" s="16" t="s">
        <v>27788</v>
      </c>
      <c r="D20516" s="16" t="s">
        <v>5468</v>
      </c>
      <c r="E20516" s="2">
        <v>4163918</v>
      </c>
      <c r="F20516" s="4" t="str">
        <f>IF(B20516=B20515,"",B20516)</f>
        <v>Meadow Woods</v>
      </c>
    </row>
    <row r="20517" spans="1:6" ht="15.75" customHeight="1">
      <c r="A20517" s="8" t="str">
        <f ca="1">IFERROR(__xludf.DUMMYFUNCTION("GOOGLETRANSLATE(B42947,""en"",""pt"")"),"Woods de Meadow")</f>
        <v>Woods de Meadow</v>
      </c>
      <c r="B20517" s="11" t="s">
        <v>29250</v>
      </c>
      <c r="C20517" s="11" t="s">
        <v>27788</v>
      </c>
      <c r="D20517" s="11" t="s">
        <v>5468</v>
      </c>
      <c r="E20517" s="10">
        <v>4163918</v>
      </c>
      <c r="F20517" s="4" t="str">
        <f>IF(B20517=B20516,"",B20517)</f>
        <v/>
      </c>
    </row>
    <row r="20518" spans="1:6" ht="15.75" customHeight="1">
      <c r="A20518" s="16" t="s">
        <v>29247</v>
      </c>
      <c r="B20518" s="15" t="s">
        <v>29248</v>
      </c>
      <c r="C20518" s="16" t="s">
        <v>27788</v>
      </c>
      <c r="D20518" s="16" t="s">
        <v>27801</v>
      </c>
      <c r="E20518" s="2">
        <v>5371858</v>
      </c>
      <c r="F20518" s="4" t="str">
        <f>IF(B20518=B20517,"",B20518)</f>
        <v>Mead Valley</v>
      </c>
    </row>
    <row r="20519" spans="1:6" ht="15.75" customHeight="1">
      <c r="A20519" s="8" t="str">
        <f ca="1">IFERROR(__xludf.DUMMYFUNCTION("GOOGLETRANSLATE(B44902,""en"",""pt"")"),"Vale do Mead")</f>
        <v>Vale do Mead</v>
      </c>
      <c r="B20519" s="9" t="s">
        <v>29248</v>
      </c>
      <c r="C20519" s="9" t="s">
        <v>27788</v>
      </c>
      <c r="D20519" s="9" t="s">
        <v>27801</v>
      </c>
      <c r="E20519" s="10">
        <v>5371858</v>
      </c>
      <c r="F20519" s="4" t="str">
        <f>IF(B20519=B20518,"",B20519)</f>
        <v/>
      </c>
    </row>
    <row r="20520" spans="1:6" ht="15.75" customHeight="1">
      <c r="A20520" s="16" t="s">
        <v>3948</v>
      </c>
      <c r="B20520" s="15" t="s">
        <v>3949</v>
      </c>
      <c r="C20520" s="16" t="s">
        <v>3884</v>
      </c>
      <c r="D20520" s="16" t="s">
        <v>3902</v>
      </c>
      <c r="E20520" s="2">
        <v>2227402</v>
      </c>
      <c r="F20520" s="4" t="str">
        <f>IF(B20520=B20519,"",B20520)</f>
        <v>MeÃ¯ganga</v>
      </c>
    </row>
    <row r="20521" spans="1:6" ht="15.75" customHeight="1">
      <c r="A20521" s="16" t="s">
        <v>29246</v>
      </c>
      <c r="B20521" s="15" t="s">
        <v>29246</v>
      </c>
      <c r="C20521" s="16" t="s">
        <v>27788</v>
      </c>
      <c r="D20521" s="16" t="s">
        <v>27820</v>
      </c>
      <c r="E20521" s="2">
        <v>5739936</v>
      </c>
      <c r="F20521" s="4" t="str">
        <f>IF(B20521=B20520,"",B20521)</f>
        <v>McMinnville</v>
      </c>
    </row>
    <row r="20522" spans="1:6" ht="15.75" customHeight="1">
      <c r="A20522" s="8" t="str">
        <f ca="1">IFERROR(__xludf.DUMMYFUNCTION("GOOGLETRANSLATE(B45247,""en"",""pt"")"),"McMinnville")</f>
        <v>McMinnville</v>
      </c>
      <c r="B20522" s="9" t="s">
        <v>29246</v>
      </c>
      <c r="C20522" s="9" t="s">
        <v>27788</v>
      </c>
      <c r="D20522" s="9" t="s">
        <v>27820</v>
      </c>
      <c r="E20522" s="10">
        <v>5739936</v>
      </c>
      <c r="F20522" s="4" t="str">
        <f>IF(B20522=B20521,"",B20522)</f>
        <v/>
      </c>
    </row>
    <row r="20523" spans="1:6" ht="15.75" customHeight="1">
      <c r="A20523" s="16" t="s">
        <v>29245</v>
      </c>
      <c r="B20523" s="15" t="s">
        <v>29245</v>
      </c>
      <c r="C20523" s="16" t="s">
        <v>27788</v>
      </c>
      <c r="D20523" s="16" t="s">
        <v>27801</v>
      </c>
      <c r="E20523" s="2">
        <v>5567770</v>
      </c>
      <c r="F20523" s="4" t="str">
        <f>IF(B20523=B20522,"",B20523)</f>
        <v>McKinleyville</v>
      </c>
    </row>
    <row r="20524" spans="1:6" ht="15.75" customHeight="1">
      <c r="A20524" s="8" t="str">
        <f ca="1">IFERROR(__xludf.DUMMYFUNCTION("GOOGLETRANSLATE(B45183,""en"",""pt"")"),"McKinleyville")</f>
        <v>McKinleyville</v>
      </c>
      <c r="B20524" s="11" t="s">
        <v>29245</v>
      </c>
      <c r="C20524" s="11" t="s">
        <v>27788</v>
      </c>
      <c r="D20524" s="11" t="s">
        <v>27801</v>
      </c>
      <c r="E20524" s="10">
        <v>5567770</v>
      </c>
      <c r="F20524" s="4" t="str">
        <f>IF(B20524=B20523,"",B20524)</f>
        <v/>
      </c>
    </row>
    <row r="20525" spans="1:6" ht="15.75" customHeight="1">
      <c r="A20525" s="16" t="s">
        <v>29244</v>
      </c>
      <c r="B20525" s="15" t="s">
        <v>29244</v>
      </c>
      <c r="C20525" s="16" t="s">
        <v>27788</v>
      </c>
      <c r="D20525" s="16" t="s">
        <v>27836</v>
      </c>
      <c r="E20525" s="2">
        <v>5200499</v>
      </c>
      <c r="F20525" s="4" t="str">
        <f>IF(B20525=B20524,"",B20525)</f>
        <v>McKeesport</v>
      </c>
    </row>
    <row r="20526" spans="1:6" ht="15.75" customHeight="1">
      <c r="A20526" s="8" t="str">
        <f ca="1">IFERROR(__xludf.DUMMYFUNCTION("GOOGLETRANSLATE(B44580,""en"",""pt"")"),"McKeesport")</f>
        <v>McKeesport</v>
      </c>
      <c r="B20526" s="11" t="s">
        <v>29244</v>
      </c>
      <c r="C20526" s="11" t="s">
        <v>27788</v>
      </c>
      <c r="D20526" s="11" t="s">
        <v>27836</v>
      </c>
      <c r="E20526" s="10">
        <v>5200499</v>
      </c>
      <c r="F20526" s="4" t="str">
        <f>IF(B20526=B20525,"",B20526)</f>
        <v/>
      </c>
    </row>
    <row r="20527" spans="1:6" ht="15.75" customHeight="1">
      <c r="A20527" s="15" t="s">
        <v>17421</v>
      </c>
      <c r="B20527" s="15" t="s">
        <v>17422</v>
      </c>
      <c r="C20527" s="15" t="s">
        <v>17410</v>
      </c>
      <c r="D20527" s="15" t="s">
        <v>17414</v>
      </c>
      <c r="E20527" s="2">
        <v>926747</v>
      </c>
      <c r="F20527" s="4" t="str">
        <f>IF(B20527=B20526,"",B20527)</f>
        <v>Mchinji</v>
      </c>
    </row>
    <row r="20528" spans="1:6" ht="15.75" customHeight="1">
      <c r="A20528" s="8" t="str">
        <f ca="1">IFERROR(__xludf.DUMMYFUNCTION("GOOGLETRANSLATE(B36833,""en"",""pt"")"),"MCHINJI")</f>
        <v>MCHINJI</v>
      </c>
      <c r="B20528" s="9" t="s">
        <v>17422</v>
      </c>
      <c r="C20528" s="9" t="s">
        <v>17410</v>
      </c>
      <c r="D20528" s="9" t="s">
        <v>17414</v>
      </c>
      <c r="E20528" s="10">
        <v>926747</v>
      </c>
      <c r="F20528" s="4" t="str">
        <f>IF(B20528=B20527,"",B20528)</f>
        <v/>
      </c>
    </row>
    <row r="20529" spans="1:6" ht="15.75" customHeight="1">
      <c r="A20529" s="15" t="s">
        <v>29243</v>
      </c>
      <c r="B20529" s="15" t="s">
        <v>29243</v>
      </c>
      <c r="C20529" s="15" t="s">
        <v>27788</v>
      </c>
      <c r="D20529" s="15" t="s">
        <v>27799</v>
      </c>
      <c r="E20529" s="2">
        <v>4901663</v>
      </c>
      <c r="F20529" s="4" t="str">
        <f>IF(B20529=B20528,"",B20529)</f>
        <v>McHenry</v>
      </c>
    </row>
    <row r="20530" spans="1:6" ht="15.75" customHeight="1">
      <c r="A20530" s="8" t="str">
        <f ca="1">IFERROR(__xludf.DUMMYFUNCTION("GOOGLETRANSLATE(B43843,""en"",""pt"")"),"McHenry")</f>
        <v>McHenry</v>
      </c>
      <c r="B20530" s="9" t="s">
        <v>29243</v>
      </c>
      <c r="C20530" s="9" t="s">
        <v>27788</v>
      </c>
      <c r="D20530" s="9" t="s">
        <v>27799</v>
      </c>
      <c r="E20530" s="10">
        <v>4901663</v>
      </c>
      <c r="F20530" s="4" t="str">
        <f>IF(B20530=B20529,"",B20530)</f>
        <v/>
      </c>
    </row>
    <row r="20531" spans="1:6" ht="15.75" customHeight="1">
      <c r="A20531" s="16" t="s">
        <v>29242</v>
      </c>
      <c r="B20531" s="15" t="s">
        <v>29242</v>
      </c>
      <c r="C20531" s="16" t="s">
        <v>27788</v>
      </c>
      <c r="D20531" s="16" t="s">
        <v>7988</v>
      </c>
      <c r="E20531" s="2">
        <v>4208442</v>
      </c>
      <c r="F20531" s="4" t="str">
        <f>IF(B20531=B20530,"",B20531)</f>
        <v>McDonough</v>
      </c>
    </row>
    <row r="20532" spans="1:6" ht="15.75" customHeight="1">
      <c r="A20532" s="8" t="str">
        <f ca="1">IFERROR(__xludf.DUMMYFUNCTION("GOOGLETRANSLATE(B43095,""en"",""pt"")"),"McDonough")</f>
        <v>McDonough</v>
      </c>
      <c r="B20532" s="9" t="s">
        <v>29242</v>
      </c>
      <c r="C20532" s="9" t="s">
        <v>27788</v>
      </c>
      <c r="D20532" s="9" t="s">
        <v>7988</v>
      </c>
      <c r="E20532" s="10">
        <v>4208442</v>
      </c>
      <c r="F20532" s="4" t="str">
        <f>IF(B20532=B20531,"",B20532)</f>
        <v/>
      </c>
    </row>
    <row r="20533" spans="1:6" ht="15.75" customHeight="1">
      <c r="A20533" s="16" t="s">
        <v>29241</v>
      </c>
      <c r="B20533" s="15" t="s">
        <v>29241</v>
      </c>
      <c r="C20533" s="16" t="s">
        <v>27788</v>
      </c>
      <c r="D20533" s="16" t="s">
        <v>27797</v>
      </c>
      <c r="E20533" s="2">
        <v>4542367</v>
      </c>
      <c r="F20533" s="4" t="str">
        <f>IF(B20533=B20532,"",B20533)</f>
        <v>McAlester</v>
      </c>
    </row>
    <row r="20534" spans="1:6" ht="15.75" customHeight="1">
      <c r="A20534" s="8" t="str">
        <f ca="1">IFERROR(__xludf.DUMMYFUNCTION("GOOGLETRANSLATE(B43554,""en"",""pt"")"),"McAlester")</f>
        <v>McAlester</v>
      </c>
      <c r="B20534" s="9" t="s">
        <v>29241</v>
      </c>
      <c r="C20534" s="9" t="s">
        <v>27788</v>
      </c>
      <c r="D20534" s="9" t="s">
        <v>27797</v>
      </c>
      <c r="E20534" s="10">
        <v>4542367</v>
      </c>
      <c r="F20534" s="4" t="str">
        <f>IF(B20534=B20533,"",B20534)</f>
        <v/>
      </c>
    </row>
    <row r="20535" spans="1:6" ht="15.75" customHeight="1">
      <c r="A20535" s="16" t="s">
        <v>6192</v>
      </c>
      <c r="B20535" s="15" t="s">
        <v>6193</v>
      </c>
      <c r="C20535" s="16" t="s">
        <v>6127</v>
      </c>
      <c r="D20535" s="16" t="s">
        <v>6150</v>
      </c>
      <c r="E20535" s="2">
        <v>209228</v>
      </c>
      <c r="F20535" s="4" t="str">
        <f>IF(B20535=B20534,"",B20535)</f>
        <v>Mbuji-Mayi</v>
      </c>
    </row>
    <row r="20536" spans="1:6" ht="15.75" customHeight="1">
      <c r="A20536" s="8" t="str">
        <f ca="1">IFERROR(__xludf.DUMMYFUNCTION("GOOGLETRANSLATE(B25652,""en"",""pt"")"),"Mbuji-mayi")</f>
        <v>Mbuji-mayi</v>
      </c>
      <c r="B20536" s="11" t="s">
        <v>6193</v>
      </c>
      <c r="C20536" s="11" t="s">
        <v>6127</v>
      </c>
      <c r="D20536" s="11" t="s">
        <v>31765</v>
      </c>
      <c r="E20536" s="10">
        <v>209228</v>
      </c>
      <c r="F20536" s="4" t="str">
        <f>IF(B20536=B20535,"",B20536)</f>
        <v/>
      </c>
    </row>
    <row r="20537" spans="1:6" ht="15.75" customHeight="1">
      <c r="A20537" s="15" t="s">
        <v>25684</v>
      </c>
      <c r="B20537" s="15" t="s">
        <v>25684</v>
      </c>
      <c r="C20537" s="15" t="s">
        <v>25560</v>
      </c>
      <c r="D20537" s="15" t="s">
        <v>25559</v>
      </c>
      <c r="E20537" s="2">
        <v>154321</v>
      </c>
      <c r="F20537" s="4" t="str">
        <f>IF(B20537=B20536,"",B20537)</f>
        <v>Mbuguni</v>
      </c>
    </row>
    <row r="20538" spans="1:6" ht="15.75" customHeight="1">
      <c r="A20538" s="8" t="str">
        <f ca="1">IFERROR(__xludf.DUMMYFUNCTION("GOOGLETRANSLATE(B42354,""en"",""pt"")"),"Mbuguni")</f>
        <v>Mbuguni</v>
      </c>
      <c r="B20538" s="11" t="s">
        <v>25684</v>
      </c>
      <c r="C20538" s="11" t="s">
        <v>25560</v>
      </c>
      <c r="D20538" s="11" t="s">
        <v>25559</v>
      </c>
      <c r="E20538" s="10">
        <v>154321</v>
      </c>
      <c r="F20538" s="4" t="str">
        <f>IF(B20538=B20537,"",B20538)</f>
        <v/>
      </c>
    </row>
    <row r="20539" spans="1:6" ht="15.75" customHeight="1">
      <c r="A20539" s="8" t="str">
        <f ca="1">IFERROR(__xludf.DUMMYFUNCTION("GOOGLETRANSLATE(B41479,""en"",""pt"")"),"Mboursou Léré")</f>
        <v>Mboursou Léré</v>
      </c>
      <c r="B20539" s="9" t="s">
        <v>35773</v>
      </c>
      <c r="C20539" s="9" t="s">
        <v>4305</v>
      </c>
      <c r="D20539" s="9" t="s">
        <v>4343</v>
      </c>
      <c r="E20539" s="10">
        <v>2428042</v>
      </c>
      <c r="F20539" s="4" t="str">
        <f>IF(B20539=B20538,"",B20539)</f>
        <v>Mboursou Léré</v>
      </c>
    </row>
    <row r="20540" spans="1:6" ht="15.75" customHeight="1">
      <c r="A20540" s="16" t="s">
        <v>4341</v>
      </c>
      <c r="B20540" s="15" t="s">
        <v>4342</v>
      </c>
      <c r="C20540" s="16" t="s">
        <v>4305</v>
      </c>
      <c r="D20540" s="16" t="s">
        <v>4343</v>
      </c>
      <c r="E20540" s="2">
        <v>2428042</v>
      </c>
      <c r="F20540" s="4" t="str">
        <f>IF(B20540=B20539,"",B20540)</f>
        <v>Mboursou LÃ©rÃ©</v>
      </c>
    </row>
    <row r="20541" spans="1:6" ht="15.75" customHeight="1">
      <c r="A20541" s="15" t="s">
        <v>3947</v>
      </c>
      <c r="B20541" s="15" t="s">
        <v>3947</v>
      </c>
      <c r="C20541" s="15" t="s">
        <v>3884</v>
      </c>
      <c r="D20541" s="15" t="s">
        <v>3891</v>
      </c>
      <c r="E20541" s="2">
        <v>2227613</v>
      </c>
      <c r="F20541" s="4" t="str">
        <f>IF(B20541=B20540,"",B20541)</f>
        <v>Mbouda</v>
      </c>
    </row>
    <row r="20542" spans="1:6" ht="15.75" customHeight="1">
      <c r="A20542" s="8" t="str">
        <f ca="1">IFERROR(__xludf.DUMMYFUNCTION("GOOGLETRANSLATE(B26000,""en"",""pt"")"),"Mbouda")</f>
        <v>Mbouda</v>
      </c>
      <c r="B20542" s="11" t="s">
        <v>3947</v>
      </c>
      <c r="C20542" s="11" t="s">
        <v>3884</v>
      </c>
      <c r="D20542" s="11" t="s">
        <v>3891</v>
      </c>
      <c r="E20542" s="10">
        <v>2227613</v>
      </c>
      <c r="F20542" s="4" t="str">
        <f>IF(B20542=B20541,"",B20542)</f>
        <v/>
      </c>
    </row>
    <row r="20543" spans="1:6" ht="15.75" customHeight="1">
      <c r="A20543" s="15" t="s">
        <v>25682</v>
      </c>
      <c r="B20543" s="15" t="s">
        <v>25683</v>
      </c>
      <c r="C20543" s="15" t="s">
        <v>25560</v>
      </c>
      <c r="D20543" s="15" t="s">
        <v>25636</v>
      </c>
      <c r="E20543" s="2">
        <v>877998</v>
      </c>
      <c r="F20543" s="4" t="str">
        <f>IF(B20543=B20542,"",B20543)</f>
        <v>Mbinga</v>
      </c>
    </row>
    <row r="20544" spans="1:6" ht="15.75" customHeight="1">
      <c r="A20544" s="8" t="str">
        <f ca="1">IFERROR(__xludf.DUMMYFUNCTION("GOOGLETRANSLATE(B42456,""en"",""pt"")"),"Mbingda")</f>
        <v>Mbingda</v>
      </c>
      <c r="B20544" s="11" t="s">
        <v>25683</v>
      </c>
      <c r="C20544" s="11" t="s">
        <v>25560</v>
      </c>
      <c r="D20544" s="11" t="s">
        <v>25636</v>
      </c>
      <c r="E20544" s="10">
        <v>877998</v>
      </c>
      <c r="F20544" s="4" t="str">
        <f>IF(B20544=B20543,"",B20544)</f>
        <v/>
      </c>
    </row>
    <row r="20545" spans="1:6" ht="15.75" customHeight="1">
      <c r="A20545" s="15" t="s">
        <v>25589</v>
      </c>
      <c r="B20545" s="15" t="s">
        <v>25589</v>
      </c>
      <c r="C20545" s="15" t="s">
        <v>25560</v>
      </c>
      <c r="D20545" s="15" t="s">
        <v>25589</v>
      </c>
      <c r="E20545" s="2">
        <v>154380</v>
      </c>
      <c r="F20545" s="4" t="str">
        <f>IF(B20545=B20544,"",B20545)</f>
        <v>Mbeya</v>
      </c>
    </row>
    <row r="20546" spans="1:6" ht="15.75" customHeight="1">
      <c r="A20546" s="8" t="str">
        <f ca="1">IFERROR(__xludf.DUMMYFUNCTION("GOOGLETRANSLATE(B42355,""en"",""pt"")"),"Mbeya")</f>
        <v>Mbeya</v>
      </c>
      <c r="B20546" s="9" t="s">
        <v>25589</v>
      </c>
      <c r="C20546" s="9" t="s">
        <v>25560</v>
      </c>
      <c r="D20546" s="9" t="s">
        <v>25589</v>
      </c>
      <c r="E20546" s="10">
        <v>154380</v>
      </c>
      <c r="F20546" s="4" t="str">
        <f>IF(B20546=B20545,"",B20546)</f>
        <v/>
      </c>
    </row>
    <row r="20547" spans="1:6" ht="15.75" customHeight="1">
      <c r="A20547" s="15" t="s">
        <v>26850</v>
      </c>
      <c r="B20547" s="15" t="s">
        <v>26850</v>
      </c>
      <c r="C20547" s="15" t="s">
        <v>26820</v>
      </c>
      <c r="D20547" s="15" t="s">
        <v>18803</v>
      </c>
      <c r="E20547" s="2">
        <v>229268</v>
      </c>
      <c r="F20547" s="4" t="str">
        <f>IF(B20547=B20546,"",B20547)</f>
        <v>Mbarara</v>
      </c>
    </row>
    <row r="20548" spans="1:6" ht="15.75" customHeight="1">
      <c r="A20548" s="8" t="str">
        <f ca="1">IFERROR(__xludf.DUMMYFUNCTION("GOOGLETRANSLATE(B42740,""en"",""pt"")"),"Mbarara")</f>
        <v>Mbarara</v>
      </c>
      <c r="B20548" s="9" t="s">
        <v>26850</v>
      </c>
      <c r="C20548" s="9" t="s">
        <v>26820</v>
      </c>
      <c r="D20548" s="9" t="s">
        <v>18803</v>
      </c>
      <c r="E20548" s="10">
        <v>229268</v>
      </c>
      <c r="F20548" s="4" t="str">
        <f>IF(B20548=B20547,"",B20548)</f>
        <v/>
      </c>
    </row>
    <row r="20549" spans="1:6" ht="15.75" customHeight="1">
      <c r="A20549" s="16" t="s">
        <v>6190</v>
      </c>
      <c r="B20549" s="15" t="s">
        <v>6191</v>
      </c>
      <c r="C20549" s="16" t="s">
        <v>6127</v>
      </c>
      <c r="D20549" s="16" t="s">
        <v>6167</v>
      </c>
      <c r="E20549" s="2">
        <v>2312888</v>
      </c>
      <c r="F20549" s="4" t="str">
        <f>IF(B20549=B20548,"",B20549)</f>
        <v>Mbanza-Ngungu</v>
      </c>
    </row>
    <row r="20550" spans="1:6" ht="15.75" customHeight="1">
      <c r="A20550" s="8" t="str">
        <f ca="1">IFERROR(__xludf.DUMMYFUNCTION("GOOGLETRANSLATE(B25695,""en"",""pt"")"),"MBANZA-NGUNgu")</f>
        <v>MBANZA-NGUNgu</v>
      </c>
      <c r="B20550" s="9" t="s">
        <v>6191</v>
      </c>
      <c r="C20550" s="9" t="s">
        <v>6127</v>
      </c>
      <c r="D20550" s="9" t="s">
        <v>6167</v>
      </c>
      <c r="E20550" s="10">
        <v>2312888</v>
      </c>
      <c r="F20550" s="4" t="str">
        <f>IF(B20550=B20549,"",B20550)</f>
        <v/>
      </c>
    </row>
    <row r="20551" spans="1:6" ht="15.75" customHeight="1">
      <c r="A20551" s="16" t="s">
        <v>531</v>
      </c>
      <c r="B20551" s="15" t="s">
        <v>532</v>
      </c>
      <c r="C20551" s="16" t="s">
        <v>507</v>
      </c>
      <c r="D20551" s="16" t="s">
        <v>533</v>
      </c>
      <c r="E20551" s="2">
        <v>2239520</v>
      </c>
      <c r="F20551" s="4" t="str">
        <f>IF(B20551=B20550,"",B20551)</f>
        <v>Mbanza Congo</v>
      </c>
    </row>
    <row r="20552" spans="1:6" ht="15.75" customHeight="1">
      <c r="A20552" s="8" t="str">
        <f ca="1">IFERROR(__xludf.DUMMYFUNCTION("GOOGLETRANSLATE(B23148,""en"",""pt"")"),"Mbanza Congo")</f>
        <v>Mbanza Congo</v>
      </c>
      <c r="B20552" s="9" t="s">
        <v>532</v>
      </c>
      <c r="C20552" s="9" t="s">
        <v>507</v>
      </c>
      <c r="D20552" s="9" t="s">
        <v>533</v>
      </c>
      <c r="E20552" s="10">
        <v>2239520</v>
      </c>
      <c r="F20552" s="4" t="str">
        <f>IF(B20552=B20551,"",B20552)</f>
        <v/>
      </c>
    </row>
    <row r="20553" spans="1:6" ht="15.75" customHeight="1">
      <c r="A20553" s="15" t="s">
        <v>3946</v>
      </c>
      <c r="B20553" s="15" t="s">
        <v>3946</v>
      </c>
      <c r="C20553" s="15" t="s">
        <v>3884</v>
      </c>
      <c r="D20553" s="15" t="s">
        <v>1761</v>
      </c>
      <c r="E20553" s="2">
        <v>2228005</v>
      </c>
      <c r="F20553" s="4" t="str">
        <f>IF(B20553=B20552,"",B20553)</f>
        <v>Mbanga</v>
      </c>
    </row>
    <row r="20554" spans="1:6" ht="15.75" customHeight="1">
      <c r="A20554" s="8" t="str">
        <f ca="1">IFERROR(__xludf.DUMMYFUNCTION("GOOGLETRANSLATE(B26001,""en"",""pt"")"),"Mbanga")</f>
        <v>Mbanga</v>
      </c>
      <c r="B20554" s="9" t="s">
        <v>3946</v>
      </c>
      <c r="C20554" s="9" t="s">
        <v>3884</v>
      </c>
      <c r="D20554" s="9" t="s">
        <v>1761</v>
      </c>
      <c r="E20554" s="10">
        <v>2228005</v>
      </c>
      <c r="F20554" s="4" t="str">
        <f>IF(B20554=B20553,"",B20554)</f>
        <v/>
      </c>
    </row>
    <row r="20555" spans="1:6" ht="15.75" customHeight="1">
      <c r="A20555" s="16" t="s">
        <v>3945</v>
      </c>
      <c r="B20555" s="15" t="s">
        <v>3945</v>
      </c>
      <c r="C20555" s="16" t="s">
        <v>3884</v>
      </c>
      <c r="D20555" s="16" t="s">
        <v>3813</v>
      </c>
      <c r="E20555" s="2">
        <v>2228028</v>
      </c>
      <c r="F20555" s="4" t="str">
        <f>IF(B20555=B20554,"",B20555)</f>
        <v>Mbandjok</v>
      </c>
    </row>
    <row r="20556" spans="1:6" ht="15.75" customHeight="1">
      <c r="A20556" s="8" t="str">
        <f ca="1">IFERROR(__xludf.DUMMYFUNCTION("GOOGLETRANSLATE(B26002,""en"",""pt"")"),"Mbandjok")</f>
        <v>Mbandjok</v>
      </c>
      <c r="B20556" s="11" t="s">
        <v>3945</v>
      </c>
      <c r="C20556" s="11" t="s">
        <v>3884</v>
      </c>
      <c r="D20556" s="11" t="s">
        <v>3813</v>
      </c>
      <c r="E20556" s="10">
        <v>2228028</v>
      </c>
      <c r="F20556" s="4" t="str">
        <f>IF(B20556=B20555,"",B20556)</f>
        <v/>
      </c>
    </row>
    <row r="20557" spans="1:6" ht="15.75" customHeight="1">
      <c r="A20557" s="16" t="s">
        <v>6189</v>
      </c>
      <c r="B20557" s="15" t="s">
        <v>6189</v>
      </c>
      <c r="C20557" s="16" t="s">
        <v>6127</v>
      </c>
      <c r="D20557" s="16" t="s">
        <v>6134</v>
      </c>
      <c r="E20557" s="2">
        <v>2312895</v>
      </c>
      <c r="F20557" s="4" t="str">
        <f>IF(B20557=B20556,"",B20557)</f>
        <v>Mbandaka</v>
      </c>
    </row>
    <row r="20558" spans="1:6" ht="15.75" customHeight="1">
      <c r="A20558" s="8" t="str">
        <f ca="1">IFERROR(__xludf.DUMMYFUNCTION("GOOGLETRANSLATE(B25696,""en"",""pt"")"),"Mbandaka")</f>
        <v>Mbandaka</v>
      </c>
      <c r="B20558" s="11" t="s">
        <v>6189</v>
      </c>
      <c r="C20558" s="11" t="s">
        <v>6127</v>
      </c>
      <c r="D20558" s="11" t="s">
        <v>31766</v>
      </c>
      <c r="E20558" s="10">
        <v>2312895</v>
      </c>
      <c r="F20558" s="4" t="str">
        <f>IF(B20558=B20557,"",B20558)</f>
        <v/>
      </c>
    </row>
    <row r="20559" spans="1:6" ht="15.75" customHeight="1">
      <c r="A20559" s="16" t="s">
        <v>3944</v>
      </c>
      <c r="B20559" s="15" t="s">
        <v>3944</v>
      </c>
      <c r="C20559" s="16" t="s">
        <v>3884</v>
      </c>
      <c r="D20559" s="16" t="s">
        <v>3813</v>
      </c>
      <c r="E20559" s="2">
        <v>2228079</v>
      </c>
      <c r="F20559" s="4" t="str">
        <f>IF(B20559=B20558,"",B20559)</f>
        <v>Mbalmayo</v>
      </c>
    </row>
    <row r="20560" spans="1:6" ht="15.75" customHeight="1">
      <c r="A20560" s="8" t="str">
        <f ca="1">IFERROR(__xludf.DUMMYFUNCTION("GOOGLETRANSLATE(B26003,""en"",""pt"")"),"Mbalmayo")</f>
        <v>Mbalmayo</v>
      </c>
      <c r="B20560" s="11" t="s">
        <v>3944</v>
      </c>
      <c r="C20560" s="11" t="s">
        <v>3884</v>
      </c>
      <c r="D20560" s="11" t="s">
        <v>3813</v>
      </c>
      <c r="E20560" s="10">
        <v>2228079</v>
      </c>
      <c r="F20560" s="4" t="str">
        <f>IF(B20560=B20559,"",B20560)</f>
        <v/>
      </c>
    </row>
    <row r="20561" spans="1:6" ht="15.75" customHeight="1">
      <c r="A20561" s="15" t="s">
        <v>16819</v>
      </c>
      <c r="B20561" s="15" t="s">
        <v>16819</v>
      </c>
      <c r="C20561" s="15" t="s">
        <v>16781</v>
      </c>
      <c r="D20561" s="15" t="s">
        <v>16820</v>
      </c>
      <c r="E20561" s="2">
        <v>187110</v>
      </c>
      <c r="F20561" s="4" t="str">
        <f>IF(B20561=B20560,"",B20561)</f>
        <v>Mbale</v>
      </c>
    </row>
    <row r="20562" spans="1:6" ht="15.75" customHeight="1">
      <c r="A20562" s="15" t="s">
        <v>16819</v>
      </c>
      <c r="B20562" s="15" t="s">
        <v>16819</v>
      </c>
      <c r="C20562" s="15" t="s">
        <v>26820</v>
      </c>
      <c r="D20562" s="15" t="s">
        <v>18807</v>
      </c>
      <c r="E20562" s="2">
        <v>229278</v>
      </c>
      <c r="F20562" s="4" t="str">
        <f>IF(B20562=B20561,"",B20562)</f>
        <v/>
      </c>
    </row>
    <row r="20563" spans="1:6" ht="15.75" customHeight="1">
      <c r="A20563" s="8" t="str">
        <f ca="1">IFERROR(__xludf.DUMMYFUNCTION("GOOGLETRANSLATE(B35904,""en"",""pt"")"),"Mbale")</f>
        <v>Mbale</v>
      </c>
      <c r="B20563" s="9" t="s">
        <v>16819</v>
      </c>
      <c r="C20563" s="9" t="s">
        <v>16781</v>
      </c>
      <c r="D20563" s="9" t="s">
        <v>16820</v>
      </c>
      <c r="E20563" s="10">
        <v>187110</v>
      </c>
      <c r="F20563" s="4" t="str">
        <f>IF(B20563=B20562,"",B20563)</f>
        <v/>
      </c>
    </row>
    <row r="20564" spans="1:6" ht="15.75" customHeight="1">
      <c r="A20564" s="8" t="str">
        <f ca="1">IFERROR(__xludf.DUMMYFUNCTION("GOOGLETRANSLATE(B42741,""en"",""pt"")"),"Mbale")</f>
        <v>Mbale</v>
      </c>
      <c r="B20564" s="11" t="s">
        <v>16819</v>
      </c>
      <c r="C20564" s="11" t="s">
        <v>26820</v>
      </c>
      <c r="D20564" s="11" t="s">
        <v>18807</v>
      </c>
      <c r="E20564" s="10">
        <v>229278</v>
      </c>
      <c r="F20564" s="4" t="str">
        <f>IF(B20564=B20563,"",B20564)</f>
        <v/>
      </c>
    </row>
    <row r="20565" spans="1:6" ht="15.75" customHeight="1">
      <c r="A20565" s="15" t="s">
        <v>31058</v>
      </c>
      <c r="B20565" s="15" t="s">
        <v>31058</v>
      </c>
      <c r="C20565" s="15" t="s">
        <v>31038</v>
      </c>
      <c r="D20565" s="15" t="s">
        <v>6942</v>
      </c>
      <c r="E20565" s="2">
        <v>176146</v>
      </c>
      <c r="F20565" s="4" t="str">
        <f>IF(B20565=B20564,"",B20565)</f>
        <v>Mbala</v>
      </c>
    </row>
    <row r="20566" spans="1:6" ht="15.75" customHeight="1">
      <c r="A20566" s="8" t="str">
        <f ca="1">IFERROR(__xludf.DUMMYFUNCTION("GOOGLETRANSLATE(B46003,""en"",""pt"")"),"Mbala")</f>
        <v>Mbala</v>
      </c>
      <c r="B20566" s="11" t="s">
        <v>31058</v>
      </c>
      <c r="C20566" s="11" t="s">
        <v>31038</v>
      </c>
      <c r="D20566" s="11" t="s">
        <v>6942</v>
      </c>
      <c r="E20566" s="10">
        <v>176146</v>
      </c>
      <c r="F20566" s="4" t="str">
        <f>IF(B20566=B20565,"",B20566)</f>
        <v/>
      </c>
    </row>
    <row r="20567" spans="1:6" ht="15.75" customHeight="1">
      <c r="A20567" s="8" t="str">
        <f ca="1">IFERROR(__xludf.DUMMYFUNCTION("GOOGLETRANSLATE(B41300,""en"",""pt"")"),"Mbaké")</f>
        <v>Mbaké</v>
      </c>
      <c r="B20567" s="9" t="s">
        <v>23578</v>
      </c>
      <c r="C20567" s="9" t="s">
        <v>23559</v>
      </c>
      <c r="D20567" s="9" t="s">
        <v>23580</v>
      </c>
      <c r="E20567" s="10">
        <v>2248698</v>
      </c>
      <c r="F20567" s="4" t="str">
        <f>IF(B20567=B20566,"",B20567)</f>
        <v>Mbaké</v>
      </c>
    </row>
    <row r="20568" spans="1:6" ht="15.75" customHeight="1">
      <c r="A20568" s="15" t="s">
        <v>23578</v>
      </c>
      <c r="B20568" s="15" t="s">
        <v>23579</v>
      </c>
      <c r="C20568" s="15" t="s">
        <v>23559</v>
      </c>
      <c r="D20568" s="15" t="s">
        <v>23580</v>
      </c>
      <c r="E20568" s="2">
        <v>2248698</v>
      </c>
      <c r="F20568" s="4" t="str">
        <f>IF(B20568=B20567,"",B20568)</f>
        <v>MbakÃ©</v>
      </c>
    </row>
    <row r="20569" spans="1:6" ht="15.75" customHeight="1">
      <c r="A20569" s="8" t="str">
        <f ca="1">IFERROR(__xludf.DUMMYFUNCTION("GOOGLETRANSLATE(B25718,""en"",""pt"")"),"MBAïki")</f>
        <v>MBAïki</v>
      </c>
      <c r="B20569" s="9" t="s">
        <v>31770</v>
      </c>
      <c r="C20569" s="9" t="s">
        <v>4264</v>
      </c>
      <c r="D20569" s="9" t="s">
        <v>4279</v>
      </c>
      <c r="E20569" s="10">
        <v>2384770</v>
      </c>
      <c r="F20569" s="4" t="str">
        <f>IF(B20569=B20568,"",B20569)</f>
        <v>Mbaïki</v>
      </c>
    </row>
    <row r="20570" spans="1:6" ht="15.75" customHeight="1">
      <c r="A20570" s="15" t="s">
        <v>25074</v>
      </c>
      <c r="B20570" s="15" t="s">
        <v>25074</v>
      </c>
      <c r="C20570" s="15" t="s">
        <v>25071</v>
      </c>
      <c r="D20570" s="15" t="s">
        <v>25072</v>
      </c>
      <c r="E20570" s="2">
        <v>934985</v>
      </c>
      <c r="F20570" s="4" t="str">
        <f>IF(B20570=B20569,"",B20570)</f>
        <v>Mbabane</v>
      </c>
    </row>
    <row r="20571" spans="1:6" ht="15.75" customHeight="1">
      <c r="A20571" s="8" t="str">
        <f ca="1">IFERROR(__xludf.DUMMYFUNCTION("GOOGLETRANSLATE(B41465,""en"",""pt"")"),"Mbabane")</f>
        <v>Mbabane</v>
      </c>
      <c r="B20571" s="9" t="s">
        <v>25074</v>
      </c>
      <c r="C20571" s="9" t="s">
        <v>25071</v>
      </c>
      <c r="D20571" s="9" t="s">
        <v>25072</v>
      </c>
      <c r="E20571" s="10">
        <v>934985</v>
      </c>
      <c r="F20571" s="4" t="str">
        <f>IF(B20571=B20570,"",B20571)</f>
        <v/>
      </c>
    </row>
    <row r="20572" spans="1:6" ht="15.75" customHeight="1">
      <c r="A20572" s="15" t="s">
        <v>4292</v>
      </c>
      <c r="B20572" s="15" t="s">
        <v>4293</v>
      </c>
      <c r="C20572" s="15" t="s">
        <v>4264</v>
      </c>
      <c r="D20572" s="15" t="s">
        <v>4279</v>
      </c>
      <c r="E20572" s="2">
        <v>2384770</v>
      </c>
      <c r="F20572" s="4" t="str">
        <f>IF(B20572=B20571,"",B20572)</f>
        <v>MbaÃ¯ki</v>
      </c>
    </row>
    <row r="20573" spans="1:6" ht="15.75" customHeight="1">
      <c r="A20573" s="15" t="s">
        <v>1488</v>
      </c>
      <c r="B20573" s="15" t="s">
        <v>1488</v>
      </c>
      <c r="C20573" s="15" t="s">
        <v>1453</v>
      </c>
      <c r="D20573" s="15" t="s">
        <v>1461</v>
      </c>
      <c r="E20573" s="2">
        <v>625324</v>
      </c>
      <c r="F20573" s="4" t="str">
        <f>IF(B20573=B20572,"",B20573)</f>
        <v>Mazyr</v>
      </c>
    </row>
    <row r="20574" spans="1:6" ht="15.75" customHeight="1">
      <c r="A20574" s="8" t="str">
        <f ca="1">IFERROR(__xludf.DUMMYFUNCTION("GOOGLETRANSLATE(B25392,""en"",""pt"")"),"Mazyr")</f>
        <v>Mazyr</v>
      </c>
      <c r="B20574" s="11" t="s">
        <v>1488</v>
      </c>
      <c r="C20574" s="11" t="s">
        <v>1453</v>
      </c>
      <c r="D20574" s="11" t="s">
        <v>1461</v>
      </c>
      <c r="E20574" s="10">
        <v>625324</v>
      </c>
      <c r="F20574" s="4" t="str">
        <f>IF(B20574=B20573,"",B20574)</f>
        <v/>
      </c>
    </row>
    <row r="20575" spans="1:6" ht="15.75" customHeight="1">
      <c r="A20575" s="15" t="s">
        <v>397</v>
      </c>
      <c r="B20575" s="15" t="s">
        <v>397</v>
      </c>
      <c r="C20575" s="15" t="s">
        <v>153</v>
      </c>
      <c r="D20575" s="15" t="s">
        <v>180</v>
      </c>
      <c r="E20575" s="2">
        <v>2489987</v>
      </c>
      <c r="F20575" s="4" t="str">
        <f>IF(B20575=B20574,"",B20575)</f>
        <v>Mazouna</v>
      </c>
    </row>
    <row r="20576" spans="1:6" ht="15.75" customHeight="1">
      <c r="A20576" s="8" t="str">
        <f ca="1">IFERROR(__xludf.DUMMYFUNCTION("GOOGLETRANSLATE(B28589,""en"",""pt"")"),"Mazouna")</f>
        <v>Mazouna</v>
      </c>
      <c r="B20576" s="11" t="s">
        <v>397</v>
      </c>
      <c r="C20576" s="11" t="s">
        <v>153</v>
      </c>
      <c r="D20576" s="11" t="s">
        <v>180</v>
      </c>
      <c r="E20576" s="10">
        <v>2489987</v>
      </c>
      <c r="F20576" s="4" t="str">
        <f>IF(B20576=B20575,"",B20576)</f>
        <v/>
      </c>
    </row>
    <row r="20577" spans="1:6" ht="15.75" customHeight="1">
      <c r="A20577" s="15" t="s">
        <v>25681</v>
      </c>
      <c r="B20577" s="15" t="s">
        <v>25681</v>
      </c>
      <c r="C20577" s="15" t="s">
        <v>25560</v>
      </c>
      <c r="D20577" s="15" t="s">
        <v>25586</v>
      </c>
      <c r="E20577" s="2">
        <v>154470</v>
      </c>
      <c r="F20577" s="4" t="str">
        <f>IF(B20577=B20576,"",B20577)</f>
        <v>Mazinde</v>
      </c>
    </row>
    <row r="20578" spans="1:6" ht="15.75" customHeight="1">
      <c r="A20578" s="8" t="str">
        <f ca="1">IFERROR(__xludf.DUMMYFUNCTION("GOOGLETRANSLATE(B42356,""en"",""pt"")"),"Mazinde")</f>
        <v>Mazinde</v>
      </c>
      <c r="B20578" s="9" t="s">
        <v>25681</v>
      </c>
      <c r="C20578" s="9" t="s">
        <v>25560</v>
      </c>
      <c r="D20578" s="9" t="s">
        <v>25586</v>
      </c>
      <c r="E20578" s="10">
        <v>154470</v>
      </c>
      <c r="F20578" s="4" t="str">
        <f>IF(B20578=B20577,"",B20578)</f>
        <v/>
      </c>
    </row>
    <row r="20579" spans="1:6" ht="15.75" customHeight="1">
      <c r="A20579" s="15" t="s">
        <v>17186</v>
      </c>
      <c r="B20579" s="15" t="s">
        <v>17186</v>
      </c>
      <c r="C20579" s="15" t="s">
        <v>17154</v>
      </c>
      <c r="D20579" s="15" t="s">
        <v>17187</v>
      </c>
      <c r="E20579" s="2">
        <v>597188</v>
      </c>
      <c r="F20579" s="4" t="str">
        <f>IF(B20579=B20578,"",B20579)</f>
        <v>Mazeikiai</v>
      </c>
    </row>
    <row r="20580" spans="1:6" ht="15.75" customHeight="1">
      <c r="A20580" s="8" t="str">
        <f ca="1">IFERROR(__xludf.DUMMYFUNCTION("GOOGLETRANSLATE(B36374,""en"",""pt"")"),"Mazeikiai")</f>
        <v>Mazeikiai</v>
      </c>
      <c r="B20580" s="9" t="s">
        <v>17186</v>
      </c>
      <c r="C20580" s="9" t="s">
        <v>17154</v>
      </c>
      <c r="D20580" s="9" t="s">
        <v>34525</v>
      </c>
      <c r="E20580" s="10">
        <v>597188</v>
      </c>
      <c r="F20580" s="4" t="str">
        <f>IF(B20580=B20579,"",B20580)</f>
        <v/>
      </c>
    </row>
    <row r="20581" spans="1:6" ht="15.75" customHeight="1">
      <c r="A20581" s="8" t="str">
        <f ca="1">IFERROR(__xludf.DUMMYFUNCTION("GOOGLETRANSLATE(B37247,""en"",""pt"")"),"Mazatlán")</f>
        <v>Mazatlán</v>
      </c>
      <c r="B20581" s="11" t="s">
        <v>34757</v>
      </c>
      <c r="C20581" s="11" t="s">
        <v>17707</v>
      </c>
      <c r="D20581" s="11" t="s">
        <v>17916</v>
      </c>
      <c r="E20581" s="10">
        <v>3996322</v>
      </c>
      <c r="F20581" s="4" t="str">
        <f>IF(B20581=B20580,"",B20581)</f>
        <v>Mazatlán</v>
      </c>
    </row>
    <row r="20582" spans="1:6" ht="15.75" customHeight="1">
      <c r="A20582" s="15" t="s">
        <v>18076</v>
      </c>
      <c r="B20582" s="15" t="s">
        <v>18077</v>
      </c>
      <c r="C20582" s="15" t="s">
        <v>17707</v>
      </c>
      <c r="D20582" s="15" t="s">
        <v>17916</v>
      </c>
      <c r="E20582" s="2">
        <v>3996322</v>
      </c>
      <c r="F20582" s="4" t="str">
        <f>IF(B20582=B20581,"",B20582)</f>
        <v>MazatlÃ¡n</v>
      </c>
    </row>
    <row r="20583" spans="1:6" ht="15.75" customHeight="1">
      <c r="A20583" s="16" t="s">
        <v>9752</v>
      </c>
      <c r="B20583" s="15" t="s">
        <v>9752</v>
      </c>
      <c r="C20583" s="16" t="s">
        <v>9700</v>
      </c>
      <c r="D20583" s="16" t="s">
        <v>9714</v>
      </c>
      <c r="E20583" s="2">
        <v>3592609</v>
      </c>
      <c r="F20583" s="4" t="str">
        <f>IF(B20583=B20582,"",B20583)</f>
        <v>Mazatenango</v>
      </c>
    </row>
    <row r="20584" spans="1:6" ht="15.75" customHeight="1">
      <c r="A20584" s="8" t="str">
        <f ca="1">IFERROR(__xludf.DUMMYFUNCTION("GOOGLETRANSLATE(B31109,""en"",""pt"")"),"Mazatenango")</f>
        <v>Mazatenango</v>
      </c>
      <c r="B20584" s="9" t="s">
        <v>9752</v>
      </c>
      <c r="C20584" s="9" t="s">
        <v>9700</v>
      </c>
      <c r="D20584" s="9" t="s">
        <v>9714</v>
      </c>
      <c r="E20584" s="10">
        <v>3592609</v>
      </c>
      <c r="F20584" s="4" t="str">
        <f>IF(B20584=B20583,"",B20584)</f>
        <v/>
      </c>
    </row>
    <row r="20585" spans="1:6" ht="15.75" customHeight="1">
      <c r="A20585" s="8" t="str">
        <f ca="1">IFERROR(__xludf.DUMMYFUNCTION("GOOGLETRANSLATE(B29057,""en"",""pt"")"),"Mazarrón")</f>
        <v>Mazarrón</v>
      </c>
      <c r="B20585" s="11" t="s">
        <v>32370</v>
      </c>
      <c r="C20585" s="11" t="s">
        <v>24200</v>
      </c>
      <c r="D20585" s="11" t="s">
        <v>20912</v>
      </c>
      <c r="E20585" s="10">
        <v>2513983</v>
      </c>
      <c r="F20585" s="4" t="str">
        <f>IF(B20585=B20584,"",B20585)</f>
        <v>Mazarrón</v>
      </c>
    </row>
    <row r="20586" spans="1:6" ht="15.75" customHeight="1">
      <c r="A20586" s="15" t="s">
        <v>24609</v>
      </c>
      <c r="B20586" s="15" t="s">
        <v>24610</v>
      </c>
      <c r="C20586" s="15" t="s">
        <v>24200</v>
      </c>
      <c r="D20586" s="15" t="s">
        <v>20912</v>
      </c>
      <c r="E20586" s="2">
        <v>2513983</v>
      </c>
      <c r="F20586" s="4" t="str">
        <f>IF(B20586=B20585,"",B20586)</f>
        <v>MazarrÃ³n</v>
      </c>
    </row>
    <row r="20587" spans="1:6" ht="15.75" customHeight="1">
      <c r="A20587" s="8" t="str">
        <f ca="1">IFERROR(__xludf.DUMMYFUNCTION("GOOGLETRANSLATE(B23070,""en"",""pt"")"),"Mazār-e sharīf")</f>
        <v>Mazār-e sharīf</v>
      </c>
      <c r="B20587" s="11" t="s">
        <v>31124</v>
      </c>
      <c r="C20587" s="11" t="s">
        <v>8</v>
      </c>
      <c r="D20587" s="11" t="s">
        <v>30</v>
      </c>
      <c r="E20587" s="10">
        <v>1133616</v>
      </c>
      <c r="F20587" s="4" t="str">
        <f>IF(B20587=B20586,"",B20587)</f>
        <v>Mazār-e Sharīf</v>
      </c>
    </row>
    <row r="20588" spans="1:6" ht="15.75" customHeight="1">
      <c r="A20588" s="16" t="s">
        <v>15256</v>
      </c>
      <c r="B20588" s="15" t="s">
        <v>15256</v>
      </c>
      <c r="C20588" s="16" t="s">
        <v>14891</v>
      </c>
      <c r="D20588" s="16" t="s">
        <v>14899</v>
      </c>
      <c r="E20588" s="2">
        <v>2524205</v>
      </c>
      <c r="F20588" s="4" t="str">
        <f>IF(B20588=B20587,"",B20588)</f>
        <v>Mazara del Vallo</v>
      </c>
    </row>
    <row r="20589" spans="1:6" ht="15.75" customHeight="1">
      <c r="A20589" s="8" t="str">
        <f ca="1">IFERROR(__xludf.DUMMYFUNCTION("GOOGLETRANSLATE(B34583,""en"",""pt"")"),"Mazara del Vallo")</f>
        <v>Mazara del Vallo</v>
      </c>
      <c r="B20589" s="9" t="s">
        <v>15256</v>
      </c>
      <c r="C20589" s="9" t="s">
        <v>14891</v>
      </c>
      <c r="D20589" s="9" t="s">
        <v>14899</v>
      </c>
      <c r="E20589" s="10">
        <v>2524205</v>
      </c>
      <c r="F20589" s="4" t="str">
        <f>IF(B20589=B20588,"",B20589)</f>
        <v/>
      </c>
    </row>
    <row r="20590" spans="1:6" ht="15.75" customHeight="1">
      <c r="A20590" s="16" t="s">
        <v>31057</v>
      </c>
      <c r="B20590" s="15" t="s">
        <v>31057</v>
      </c>
      <c r="C20590" s="16" t="s">
        <v>31038</v>
      </c>
      <c r="D20590" s="16" t="s">
        <v>1884</v>
      </c>
      <c r="E20590" s="2">
        <v>907111</v>
      </c>
      <c r="F20590" s="4" t="str">
        <f>IF(B20590=B20589,"",B20590)</f>
        <v>Mazabuka</v>
      </c>
    </row>
    <row r="20591" spans="1:6" ht="15.75" customHeight="1">
      <c r="A20591" s="8" t="str">
        <f ca="1">IFERROR(__xludf.DUMMYFUNCTION("GOOGLETRANSLATE(B46015,""en"",""pt"")"),"Mazabuka")</f>
        <v>Mazabuka</v>
      </c>
      <c r="B20591" s="9" t="s">
        <v>31057</v>
      </c>
      <c r="C20591" s="9" t="s">
        <v>31038</v>
      </c>
      <c r="D20591" s="9" t="s">
        <v>1884</v>
      </c>
      <c r="E20591" s="10">
        <v>907111</v>
      </c>
      <c r="F20591" s="4" t="str">
        <f>IF(B20591=B20590,"",B20591)</f>
        <v/>
      </c>
    </row>
    <row r="20592" spans="1:6" ht="15.75" customHeight="1">
      <c r="A20592" s="16" t="s">
        <v>79</v>
      </c>
      <c r="B20592" s="15" t="s">
        <v>80</v>
      </c>
      <c r="C20592" s="16" t="s">
        <v>8</v>
      </c>
      <c r="D20592" s="16" t="s">
        <v>30</v>
      </c>
      <c r="E20592" s="2">
        <v>1133616</v>
      </c>
      <c r="F20592" s="4" t="str">
        <f>IF(B20592=B20591,"",B20592)</f>
        <v>MazÄr-e SharÄ«f</v>
      </c>
    </row>
    <row r="20593" spans="1:6" ht="15.75" customHeight="1">
      <c r="A20593" s="16" t="s">
        <v>29240</v>
      </c>
      <c r="B20593" s="15" t="s">
        <v>29240</v>
      </c>
      <c r="C20593" s="16" t="s">
        <v>27788</v>
      </c>
      <c r="D20593" s="16" t="s">
        <v>27799</v>
      </c>
      <c r="E20593" s="2">
        <v>4901514</v>
      </c>
      <c r="F20593" s="4" t="str">
        <f>IF(B20593=B20592,"",B20593)</f>
        <v>Maywood</v>
      </c>
    </row>
    <row r="20594" spans="1:6" ht="15.75" customHeight="1">
      <c r="A20594" s="16" t="s">
        <v>29240</v>
      </c>
      <c r="B20594" s="15" t="s">
        <v>29240</v>
      </c>
      <c r="C20594" s="16" t="s">
        <v>27788</v>
      </c>
      <c r="D20594" s="16" t="s">
        <v>27801</v>
      </c>
      <c r="E20594" s="2">
        <v>5371261</v>
      </c>
      <c r="F20594" s="4" t="str">
        <f>IF(B20594=B20593,"",B20594)</f>
        <v/>
      </c>
    </row>
    <row r="20595" spans="1:6" ht="15.75" customHeight="1">
      <c r="A20595" s="8" t="str">
        <f ca="1">IFERROR(__xludf.DUMMYFUNCTION("GOOGLETRANSLATE(B43842,""en"",""pt"")"),"Maywood")</f>
        <v>Maywood</v>
      </c>
      <c r="B20595" s="9" t="s">
        <v>29240</v>
      </c>
      <c r="C20595" s="9" t="s">
        <v>27788</v>
      </c>
      <c r="D20595" s="9" t="s">
        <v>27799</v>
      </c>
      <c r="E20595" s="10">
        <v>4901514</v>
      </c>
      <c r="F20595" s="4" t="str">
        <f>IF(B20595=B20594,"",B20595)</f>
        <v/>
      </c>
    </row>
    <row r="20596" spans="1:6" ht="15.75" customHeight="1">
      <c r="A20596" s="8" t="str">
        <f ca="1">IFERROR(__xludf.DUMMYFUNCTION("GOOGLETRANSLATE(B44901,""en"",""pt"")"),"Maywood")</f>
        <v>Maywood</v>
      </c>
      <c r="B20596" s="11" t="s">
        <v>29240</v>
      </c>
      <c r="C20596" s="11" t="s">
        <v>27788</v>
      </c>
      <c r="D20596" s="11" t="s">
        <v>27801</v>
      </c>
      <c r="E20596" s="10">
        <v>5371261</v>
      </c>
      <c r="F20596" s="4" t="str">
        <f>IF(B20596=B20595,"",B20596)</f>
        <v/>
      </c>
    </row>
    <row r="20597" spans="1:6" ht="15.75" customHeight="1">
      <c r="A20597" s="16" t="s">
        <v>78</v>
      </c>
      <c r="B20597" s="15" t="s">
        <v>78</v>
      </c>
      <c r="C20597" s="16" t="s">
        <v>8</v>
      </c>
      <c r="D20597" s="16" t="s">
        <v>18</v>
      </c>
      <c r="E20597" s="2">
        <v>1133453</v>
      </c>
      <c r="F20597" s="4" t="str">
        <f>IF(B20597=B20596,"",B20597)</f>
        <v>Maymana</v>
      </c>
    </row>
    <row r="20598" spans="1:6" ht="15.75" customHeight="1">
      <c r="A20598" s="8" t="str">
        <f ca="1">IFERROR(__xludf.DUMMYFUNCTION("GOOGLETRANSLATE(B23068,""en"",""pt"")"),"Maymana")</f>
        <v>Maymana</v>
      </c>
      <c r="B20598" s="11" t="s">
        <v>78</v>
      </c>
      <c r="C20598" s="11" t="s">
        <v>8</v>
      </c>
      <c r="D20598" s="11" t="s">
        <v>18</v>
      </c>
      <c r="E20598" s="10">
        <v>1133453</v>
      </c>
      <c r="F20598" s="4" t="str">
        <f>IF(B20598=B20597,"",B20598)</f>
        <v/>
      </c>
    </row>
    <row r="20599" spans="1:6" ht="15.75" customHeight="1">
      <c r="A20599" s="15" t="s">
        <v>22724</v>
      </c>
      <c r="B20599" s="15" t="s">
        <v>22724</v>
      </c>
      <c r="C20599" s="15" t="s">
        <v>22070</v>
      </c>
      <c r="D20599" s="15" t="s">
        <v>22399</v>
      </c>
      <c r="E20599" s="2">
        <v>1499163</v>
      </c>
      <c r="F20599" s="4" t="str">
        <f>IF(B20599=B20598,"",B20599)</f>
        <v>Mayma</v>
      </c>
    </row>
    <row r="20600" spans="1:6" ht="15.75" customHeight="1">
      <c r="A20600" s="8" t="str">
        <f ca="1">IFERROR(__xludf.DUMMYFUNCTION("GOOGLETRANSLATE(B40799,""en"",""pt"")"),"Mayma")</f>
        <v>Mayma</v>
      </c>
      <c r="B20600" s="11" t="s">
        <v>22724</v>
      </c>
      <c r="C20600" s="11" t="s">
        <v>22070</v>
      </c>
      <c r="D20600" s="11" t="s">
        <v>22399</v>
      </c>
      <c r="E20600" s="10">
        <v>1499163</v>
      </c>
      <c r="F20600" s="4" t="str">
        <f>IF(B20600=B20599,"",B20600)</f>
        <v/>
      </c>
    </row>
    <row r="20601" spans="1:6" ht="15.75" customHeight="1">
      <c r="A20601" s="15" t="s">
        <v>22723</v>
      </c>
      <c r="B20601" s="15" t="s">
        <v>22723</v>
      </c>
      <c r="C20601" s="15" t="s">
        <v>22070</v>
      </c>
      <c r="D20601" s="15" t="s">
        <v>22369</v>
      </c>
      <c r="E20601" s="2">
        <v>528293</v>
      </c>
      <c r="F20601" s="4" t="str">
        <f>IF(B20601=B20600,"",B20601)</f>
        <v>Maykop</v>
      </c>
    </row>
    <row r="20602" spans="1:6" ht="15.75" customHeight="1">
      <c r="A20602" s="8" t="str">
        <f ca="1">IFERROR(__xludf.DUMMYFUNCTION("GOOGLETRANSLATE(B40330,""en"",""pt"")"),"Maykop")</f>
        <v>Maykop</v>
      </c>
      <c r="B20602" s="11" t="s">
        <v>22723</v>
      </c>
      <c r="C20602" s="11" t="s">
        <v>22070</v>
      </c>
      <c r="D20602" s="11" t="s">
        <v>22369</v>
      </c>
      <c r="E20602" s="10">
        <v>528293</v>
      </c>
      <c r="F20602" s="4" t="str">
        <f>IF(B20602=B20601,"",B20602)</f>
        <v/>
      </c>
    </row>
    <row r="20603" spans="1:6" ht="15.75" customHeight="1">
      <c r="A20603" s="16" t="s">
        <v>12387</v>
      </c>
      <c r="B20603" s="15" t="s">
        <v>12387</v>
      </c>
      <c r="C20603" s="16" t="s">
        <v>10178</v>
      </c>
      <c r="D20603" s="16" t="s">
        <v>10196</v>
      </c>
      <c r="E20603" s="2">
        <v>1263247</v>
      </c>
      <c r="F20603" s="4" t="str">
        <f>IF(B20603=B20602,"",B20603)</f>
        <v>Mayiladuthurai</v>
      </c>
    </row>
    <row r="20604" spans="1:6" ht="15.75" customHeight="1">
      <c r="A20604" s="8" t="str">
        <f ca="1">IFERROR(__xludf.DUMMYFUNCTION("GOOGLETRANSLATE(B32783,""en"",""pt"")"),"Mayiladuthurai")</f>
        <v>Mayiladuthurai</v>
      </c>
      <c r="B20604" s="11" t="s">
        <v>12387</v>
      </c>
      <c r="C20604" s="11" t="s">
        <v>10178</v>
      </c>
      <c r="D20604" s="11" t="s">
        <v>10196</v>
      </c>
      <c r="E20604" s="10">
        <v>1263247</v>
      </c>
      <c r="F20604" s="4" t="str">
        <f>IF(B20604=B20603,"",B20604)</f>
        <v/>
      </c>
    </row>
    <row r="20605" spans="1:6" ht="15.75" customHeight="1">
      <c r="A20605" s="16" t="s">
        <v>29239</v>
      </c>
      <c r="B20605" s="15" t="s">
        <v>29239</v>
      </c>
      <c r="C20605" s="16" t="s">
        <v>27788</v>
      </c>
      <c r="D20605" s="16" t="s">
        <v>27813</v>
      </c>
      <c r="E20605" s="2">
        <v>5162188</v>
      </c>
      <c r="F20605" s="4" t="str">
        <f>IF(B20605=B20604,"",B20605)</f>
        <v>Mayfield Heights</v>
      </c>
    </row>
    <row r="20606" spans="1:6" ht="15.75" customHeight="1">
      <c r="A20606" s="8" t="str">
        <f ca="1">IFERROR(__xludf.DUMMYFUNCTION("GOOGLETRANSLATE(B44518,""en"",""pt"")"),"Mayfield Heights")</f>
        <v>Mayfield Heights</v>
      </c>
      <c r="B20606" s="11" t="s">
        <v>29239</v>
      </c>
      <c r="C20606" s="11" t="s">
        <v>27788</v>
      </c>
      <c r="D20606" s="11" t="s">
        <v>27813</v>
      </c>
      <c r="E20606" s="10">
        <v>5162188</v>
      </c>
      <c r="F20606" s="4" t="str">
        <f>IF(B20606=B20605,"",B20606)</f>
        <v/>
      </c>
    </row>
    <row r="20607" spans="1:6" ht="15.75" customHeight="1">
      <c r="A20607" s="15" t="s">
        <v>7579</v>
      </c>
      <c r="B20607" s="15" t="s">
        <v>7579</v>
      </c>
      <c r="C20607" s="15" t="s">
        <v>7052</v>
      </c>
      <c r="D20607" s="15" t="s">
        <v>7102</v>
      </c>
      <c r="E20607" s="2">
        <v>2994935</v>
      </c>
      <c r="F20607" s="4" t="str">
        <f>IF(B20607=B20606,"",B20607)</f>
        <v>Mayenne</v>
      </c>
    </row>
    <row r="20608" spans="1:6" ht="15.75" customHeight="1">
      <c r="A20608" s="8" t="str">
        <f ca="1">IFERROR(__xludf.DUMMYFUNCTION("GOOGLETRANSLATE(B29930,""en"",""pt"")"),"Mayenne")</f>
        <v>Mayenne</v>
      </c>
      <c r="B20608" s="11" t="s">
        <v>7579</v>
      </c>
      <c r="C20608" s="11" t="s">
        <v>7052</v>
      </c>
      <c r="D20608" s="11" t="s">
        <v>7102</v>
      </c>
      <c r="E20608" s="10">
        <v>2994935</v>
      </c>
      <c r="F20608" s="4" t="str">
        <f>IF(B20608=B20607,"",B20608)</f>
        <v/>
      </c>
    </row>
    <row r="20609" spans="1:6" ht="15.75" customHeight="1">
      <c r="A20609" s="15" t="s">
        <v>8834</v>
      </c>
      <c r="B20609" s="15" t="s">
        <v>8834</v>
      </c>
      <c r="C20609" s="15" t="s">
        <v>8028</v>
      </c>
      <c r="D20609" s="15" t="s">
        <v>8065</v>
      </c>
      <c r="E20609" s="2">
        <v>2872649</v>
      </c>
      <c r="F20609" s="4" t="str">
        <f>IF(B20609=B20608,"",B20609)</f>
        <v>Mayen</v>
      </c>
    </row>
    <row r="20610" spans="1:6" ht="15.75" customHeight="1">
      <c r="A20610" s="8" t="str">
        <f ca="1">IFERROR(__xludf.DUMMYFUNCTION("GOOGLETRANSLATE(B27776,""en"",""pt"")"),"Mayen")</f>
        <v>Mayen</v>
      </c>
      <c r="B20610" s="11" t="s">
        <v>8834</v>
      </c>
      <c r="C20610" s="11" t="s">
        <v>8028</v>
      </c>
      <c r="D20610" s="11" t="s">
        <v>8065</v>
      </c>
      <c r="E20610" s="10">
        <v>2872649</v>
      </c>
      <c r="F20610" s="4" t="str">
        <f>IF(B20610=B20609,"",B20610)</f>
        <v/>
      </c>
    </row>
    <row r="20611" spans="1:6" ht="15.75" customHeight="1">
      <c r="A20611" s="16" t="s">
        <v>6903</v>
      </c>
      <c r="B20611" s="15" t="s">
        <v>6904</v>
      </c>
      <c r="C20611" s="16" t="s">
        <v>6807</v>
      </c>
      <c r="D20611" s="16" t="s">
        <v>6808</v>
      </c>
      <c r="E20611" s="2">
        <v>331416</v>
      </c>
      <c r="F20611" s="4" t="str">
        <f>IF(B20611=B20610,"",B20611)</f>
        <v>Maychâ€™ew</v>
      </c>
    </row>
    <row r="20612" spans="1:6" ht="15.75" customHeight="1">
      <c r="A20612" s="8" t="str">
        <f ca="1">IFERROR(__xludf.DUMMYFUNCTION("GOOGLETRANSLATE(B29537,""en"",""pt"")"),"Maych'ew")</f>
        <v>Maych'ew</v>
      </c>
      <c r="B20612" s="11" t="s">
        <v>32493</v>
      </c>
      <c r="C20612" s="11" t="s">
        <v>6807</v>
      </c>
      <c r="D20612" s="11" t="s">
        <v>6808</v>
      </c>
      <c r="E20612" s="10">
        <v>331416</v>
      </c>
      <c r="F20612" s="4" t="str">
        <f>IF(B20612=B20611,"",B20612)</f>
        <v>Maych’ew</v>
      </c>
    </row>
    <row r="20613" spans="1:6" ht="15.75" customHeight="1">
      <c r="A20613" s="8" t="str">
        <f ca="1">IFERROR(__xludf.DUMMYFUNCTION("GOOGLETRANSLATE(B32784,""en"",""pt"")"),"Mayāng Imphāl")</f>
        <v>Mayāng Imphāl</v>
      </c>
      <c r="B20613" s="9" t="s">
        <v>33388</v>
      </c>
      <c r="C20613" s="9" t="s">
        <v>10178</v>
      </c>
      <c r="D20613" s="9" t="s">
        <v>11001</v>
      </c>
      <c r="E20613" s="10">
        <v>1263255</v>
      </c>
      <c r="F20613" s="4" t="str">
        <f>IF(B20613=B20612,"",B20613)</f>
        <v>Mayāng Imphāl</v>
      </c>
    </row>
    <row r="20614" spans="1:6" ht="15.75" customHeight="1">
      <c r="A20614" s="15" t="s">
        <v>19280</v>
      </c>
      <c r="B20614" s="15" t="s">
        <v>19280</v>
      </c>
      <c r="C20614" s="15" t="s">
        <v>19259</v>
      </c>
      <c r="D20614" s="15" t="s">
        <v>19267</v>
      </c>
      <c r="E20614" s="2">
        <v>2441194</v>
      </c>
      <c r="F20614" s="4" t="str">
        <f>IF(B20614=B20613,"",B20614)</f>
        <v>Mayahi</v>
      </c>
    </row>
    <row r="20615" spans="1:6" ht="15.75" customHeight="1">
      <c r="A20615" s="8" t="str">
        <f ca="1">IFERROR(__xludf.DUMMYFUNCTION("GOOGLETRANSLATE(B37592,""en"",""pt"")"),"Mayahi")</f>
        <v>Mayahi</v>
      </c>
      <c r="B20615" s="9" t="s">
        <v>19280</v>
      </c>
      <c r="C20615" s="9" t="s">
        <v>19259</v>
      </c>
      <c r="D20615" s="9" t="s">
        <v>19267</v>
      </c>
      <c r="E20615" s="10">
        <v>2441194</v>
      </c>
      <c r="F20615" s="4" t="str">
        <f>IF(B20615=B20614,"",B20615)</f>
        <v/>
      </c>
    </row>
    <row r="20616" spans="1:6" ht="15.75" customHeight="1">
      <c r="A20616" s="8" t="str">
        <f ca="1">IFERROR(__xludf.DUMMYFUNCTION("GOOGLETRANSLATE(B39519,""en"",""pt"")"),"Mayagüez")</f>
        <v>Mayagüez</v>
      </c>
      <c r="B20616" s="11" t="s">
        <v>35257</v>
      </c>
      <c r="C20616" s="11" t="s">
        <v>747</v>
      </c>
      <c r="D20616" s="11" t="s">
        <v>21771</v>
      </c>
      <c r="E20616" s="10">
        <v>4566385</v>
      </c>
      <c r="F20616" s="4" t="str">
        <f>IF(B20616=B20615,"",B20616)</f>
        <v>Mayagüez</v>
      </c>
    </row>
    <row r="20617" spans="1:6" ht="15.75" customHeight="1">
      <c r="A20617" s="16" t="s">
        <v>21769</v>
      </c>
      <c r="B20617" s="15" t="s">
        <v>21770</v>
      </c>
      <c r="C20617" s="16" t="s">
        <v>747</v>
      </c>
      <c r="D20617" s="16" t="s">
        <v>21771</v>
      </c>
      <c r="E20617" s="2">
        <v>4566385</v>
      </c>
      <c r="F20617" s="4" t="str">
        <f>IF(B20617=B20616,"",B20617)</f>
        <v>MayagÃ¼ez</v>
      </c>
    </row>
    <row r="20618" spans="1:6" ht="15.75" customHeight="1">
      <c r="A20618" s="16" t="s">
        <v>12385</v>
      </c>
      <c r="B20618" s="15" t="s">
        <v>12386</v>
      </c>
      <c r="C20618" s="16" t="s">
        <v>10178</v>
      </c>
      <c r="D20618" s="16" t="s">
        <v>11001</v>
      </c>
      <c r="E20618" s="2">
        <v>1263255</v>
      </c>
      <c r="F20618" s="4" t="str">
        <f>IF(B20618=B20617,"",B20618)</f>
        <v>MayÄng ImphÄl</v>
      </c>
    </row>
    <row r="20619" spans="1:6" ht="15.75" customHeight="1">
      <c r="A20619" s="15" t="s">
        <v>15689</v>
      </c>
      <c r="B20619" s="15" t="s">
        <v>15689</v>
      </c>
      <c r="C20619" s="15" t="s">
        <v>15682</v>
      </c>
      <c r="D20619" s="15" t="s">
        <v>15690</v>
      </c>
      <c r="E20619" s="2">
        <v>3489523</v>
      </c>
      <c r="F20619" s="4" t="str">
        <f>IF(B20619=B20618,"",B20619)</f>
        <v>May Pen</v>
      </c>
    </row>
    <row r="20620" spans="1:6" ht="15.75" customHeight="1">
      <c r="A20620" s="8" t="str">
        <f ca="1">IFERROR(__xludf.DUMMYFUNCTION("GOOGLETRANSLATE(B35117,""en"",""pt"")"),"May Pen")</f>
        <v>May Pen</v>
      </c>
      <c r="B20620" s="11" t="s">
        <v>15689</v>
      </c>
      <c r="C20620" s="11" t="s">
        <v>15682</v>
      </c>
      <c r="D20620" s="11" t="s">
        <v>15690</v>
      </c>
      <c r="E20620" s="10">
        <v>3489523</v>
      </c>
      <c r="F20620" s="4" t="str">
        <f>IF(B20620=B20619,"",B20620)</f>
        <v/>
      </c>
    </row>
    <row r="20621" spans="1:6" ht="15.75" customHeight="1">
      <c r="A20621" s="15" t="s">
        <v>18680</v>
      </c>
      <c r="B20621" s="15" t="s">
        <v>18680</v>
      </c>
      <c r="C20621" s="15" t="s">
        <v>18655</v>
      </c>
      <c r="D20621" s="15" t="s">
        <v>18673</v>
      </c>
      <c r="E20621" s="2">
        <v>1039536</v>
      </c>
      <c r="F20621" s="4" t="str">
        <f>IF(B20621=B20620,"",B20621)</f>
        <v>Maxixe</v>
      </c>
    </row>
    <row r="20622" spans="1:6" ht="15.75" customHeight="1">
      <c r="A20622" s="8" t="str">
        <f ca="1">IFERROR(__xludf.DUMMYFUNCTION("GOOGLETRANSLATE(B37552,""en"",""pt"")"),"Maxixe")</f>
        <v>Maxixe</v>
      </c>
      <c r="B20622" s="11" t="s">
        <v>18680</v>
      </c>
      <c r="C20622" s="11" t="s">
        <v>18655</v>
      </c>
      <c r="D20622" s="11" t="s">
        <v>18673</v>
      </c>
      <c r="E20622" s="10">
        <v>1039536</v>
      </c>
      <c r="F20622" s="4" t="str">
        <f>IF(B20622=B20621,"",B20622)</f>
        <v/>
      </c>
    </row>
    <row r="20623" spans="1:6" ht="15.75" customHeight="1">
      <c r="A20623" s="16" t="s">
        <v>18729</v>
      </c>
      <c r="B20623" s="15" t="s">
        <v>18729</v>
      </c>
      <c r="C20623" s="16" t="s">
        <v>18696</v>
      </c>
      <c r="D20623" s="16" t="s">
        <v>18700</v>
      </c>
      <c r="E20623" s="2">
        <v>1308464</v>
      </c>
      <c r="F20623" s="4" t="str">
        <f>IF(B20623=B20622,"",B20623)</f>
        <v>Mawlamyinegyunn</v>
      </c>
    </row>
    <row r="20624" spans="1:6" ht="15.75" customHeight="1">
      <c r="A20624" s="8" t="str">
        <f ca="1">IFERROR(__xludf.DUMMYFUNCTION("GOOGLETRANSLATE(B36732,""en"",""pt"")"),"Mawlamyinegyunn")</f>
        <v>Mawlamyinegyunn</v>
      </c>
      <c r="B20624" s="11" t="s">
        <v>18729</v>
      </c>
      <c r="C20624" s="11" t="s">
        <v>18696</v>
      </c>
      <c r="D20624" s="11" t="s">
        <v>18700</v>
      </c>
      <c r="E20624" s="10">
        <v>1308464</v>
      </c>
      <c r="F20624" s="4" t="str">
        <f>IF(B20624=B20623,"",B20624)</f>
        <v/>
      </c>
    </row>
    <row r="20625" spans="1:6" ht="15.75" customHeight="1">
      <c r="A20625" s="16" t="s">
        <v>18728</v>
      </c>
      <c r="B20625" s="15" t="s">
        <v>18728</v>
      </c>
      <c r="C20625" s="16" t="s">
        <v>18696</v>
      </c>
      <c r="D20625" s="16" t="s">
        <v>12419</v>
      </c>
      <c r="E20625" s="2">
        <v>1308465</v>
      </c>
      <c r="F20625" s="4" t="str">
        <f>IF(B20625=B20624,"",B20625)</f>
        <v>Mawlamyine</v>
      </c>
    </row>
    <row r="20626" spans="1:6" ht="15.75" customHeight="1">
      <c r="A20626" s="8" t="str">
        <f ca="1">IFERROR(__xludf.DUMMYFUNCTION("GOOGLETRANSLATE(B36733,""en"",""pt"")"),"Mawlamyine")</f>
        <v>Mawlamyine</v>
      </c>
      <c r="B20626" s="11" t="s">
        <v>18728</v>
      </c>
      <c r="C20626" s="11" t="s">
        <v>18696</v>
      </c>
      <c r="D20626" s="11" t="s">
        <v>12419</v>
      </c>
      <c r="E20626" s="10">
        <v>1308465</v>
      </c>
      <c r="F20626" s="4" t="str">
        <f>IF(B20626=B20625,"",B20626)</f>
        <v/>
      </c>
    </row>
    <row r="20627" spans="1:6" ht="15.75" customHeight="1">
      <c r="A20627" s="15" t="s">
        <v>18726</v>
      </c>
      <c r="B20627" s="15" t="s">
        <v>18726</v>
      </c>
      <c r="C20627" s="15" t="s">
        <v>18696</v>
      </c>
      <c r="D20627" s="15" t="s">
        <v>18727</v>
      </c>
      <c r="E20627" s="2">
        <v>1310120</v>
      </c>
      <c r="F20627" s="4" t="str">
        <f>IF(B20627=B20626,"",B20627)</f>
        <v>Mawlaik</v>
      </c>
    </row>
    <row r="20628" spans="1:6" ht="15.75" customHeight="1">
      <c r="A20628" s="8" t="str">
        <f ca="1">IFERROR(__xludf.DUMMYFUNCTION("GOOGLETRANSLATE(B36740,""en"",""pt"")"),"Mawlaik")</f>
        <v>Mawlaik</v>
      </c>
      <c r="B20628" s="11" t="s">
        <v>18726</v>
      </c>
      <c r="C20628" s="11" t="s">
        <v>18696</v>
      </c>
      <c r="D20628" s="11" t="s">
        <v>18727</v>
      </c>
      <c r="E20628" s="10">
        <v>1310120</v>
      </c>
      <c r="F20628" s="4" t="str">
        <f>IF(B20628=B20627,"",B20628)</f>
        <v/>
      </c>
    </row>
    <row r="20629" spans="1:6" ht="15.75" customHeight="1">
      <c r="A20629" s="8" t="str">
        <f ca="1">IFERROR(__xludf.DUMMYFUNCTION("GOOGLETRANSLATE(B32785,""en"",""pt"")"),"Mawāna")</f>
        <v>Mawāna</v>
      </c>
      <c r="B20629" s="9" t="s">
        <v>33389</v>
      </c>
      <c r="C20629" s="9" t="s">
        <v>10178</v>
      </c>
      <c r="D20629" s="9" t="s">
        <v>10193</v>
      </c>
      <c r="E20629" s="10">
        <v>1263275</v>
      </c>
      <c r="F20629" s="4" t="str">
        <f>IF(B20629=B20628,"",B20629)</f>
        <v>Mawāna</v>
      </c>
    </row>
    <row r="20630" spans="1:6" ht="15.75" customHeight="1">
      <c r="A20630" s="15" t="s">
        <v>12383</v>
      </c>
      <c r="B20630" s="15" t="s">
        <v>12384</v>
      </c>
      <c r="C20630" s="15" t="s">
        <v>10178</v>
      </c>
      <c r="D20630" s="15" t="s">
        <v>10193</v>
      </c>
      <c r="E20630" s="2">
        <v>1263275</v>
      </c>
      <c r="F20630" s="4" t="str">
        <f>IF(B20630=B20629,"",B20630)</f>
        <v>MawÄna</v>
      </c>
    </row>
    <row r="20631" spans="1:6" ht="15.75" customHeight="1">
      <c r="A20631" s="15" t="s">
        <v>12382</v>
      </c>
      <c r="B20631" s="15" t="s">
        <v>12382</v>
      </c>
      <c r="C20631" s="15" t="s">
        <v>10178</v>
      </c>
      <c r="D20631" s="15" t="s">
        <v>10246</v>
      </c>
      <c r="E20631" s="2">
        <v>1263280</v>
      </c>
      <c r="F20631" s="4" t="str">
        <f>IF(B20631=B20630,"",B20631)</f>
        <v>Mavoor</v>
      </c>
    </row>
    <row r="20632" spans="1:6" ht="15.75" customHeight="1">
      <c r="A20632" s="8" t="str">
        <f ca="1">IFERROR(__xludf.DUMMYFUNCTION("GOOGLETRANSLATE(B32786,""en"",""pt"")"),"Mavoor")</f>
        <v>Mavoor</v>
      </c>
      <c r="B20632" s="11" t="s">
        <v>12382</v>
      </c>
      <c r="C20632" s="11" t="s">
        <v>10178</v>
      </c>
      <c r="D20632" s="11" t="s">
        <v>10246</v>
      </c>
      <c r="E20632" s="10">
        <v>1263280</v>
      </c>
      <c r="F20632" s="4" t="str">
        <f>IF(B20632=B20631,"",B20632)</f>
        <v/>
      </c>
    </row>
    <row r="20633" spans="1:6" ht="15.75" customHeight="1">
      <c r="A20633" s="8" t="str">
        <f ca="1">IFERROR(__xludf.DUMMYFUNCTION("GOOGLETRANSLATE(B32787,""en"",""pt"")"),"Māvelikara")</f>
        <v>Māvelikara</v>
      </c>
      <c r="B20633" s="9" t="s">
        <v>33390</v>
      </c>
      <c r="C20633" s="9" t="s">
        <v>10178</v>
      </c>
      <c r="D20633" s="9" t="s">
        <v>10246</v>
      </c>
      <c r="E20633" s="10">
        <v>1263285</v>
      </c>
      <c r="F20633" s="4" t="str">
        <f>IF(B20633=B20632,"",B20633)</f>
        <v>Māvelikara</v>
      </c>
    </row>
    <row r="20634" spans="1:6" ht="15.75" customHeight="1">
      <c r="A20634" s="16" t="s">
        <v>7578</v>
      </c>
      <c r="B20634" s="15" t="s">
        <v>7578</v>
      </c>
      <c r="C20634" s="16" t="s">
        <v>7052</v>
      </c>
      <c r="D20634" s="16" t="s">
        <v>7058</v>
      </c>
      <c r="E20634" s="2">
        <v>2995041</v>
      </c>
      <c r="F20634" s="4" t="str">
        <f>IF(B20634=B20633,"",B20634)</f>
        <v>Maurepas</v>
      </c>
    </row>
    <row r="20635" spans="1:6" ht="15.75" customHeight="1">
      <c r="A20635" s="8" t="str">
        <f ca="1">IFERROR(__xludf.DUMMYFUNCTION("GOOGLETRANSLATE(B29931,""en"",""pt"")"),"Maurepas")</f>
        <v>Maurepas</v>
      </c>
      <c r="B20635" s="11" t="s">
        <v>7578</v>
      </c>
      <c r="C20635" s="11" t="s">
        <v>7052</v>
      </c>
      <c r="D20635" s="11" t="s">
        <v>32531</v>
      </c>
      <c r="E20635" s="10">
        <v>2995041</v>
      </c>
      <c r="F20635" s="4" t="str">
        <f>IF(B20635=B20634,"",B20635)</f>
        <v/>
      </c>
    </row>
    <row r="20636" spans="1:6" ht="15.75" customHeight="1">
      <c r="A20636" s="15" t="s">
        <v>12381</v>
      </c>
      <c r="B20636" s="15" t="s">
        <v>12381</v>
      </c>
      <c r="C20636" s="15" t="s">
        <v>10178</v>
      </c>
      <c r="D20636" s="15" t="s">
        <v>10184</v>
      </c>
      <c r="E20636" s="2">
        <v>1263293</v>
      </c>
      <c r="F20636" s="4" t="str">
        <f>IF(B20636=B20635,"",B20636)</f>
        <v>Maur</v>
      </c>
    </row>
    <row r="20637" spans="1:6" ht="15.75" customHeight="1">
      <c r="A20637" s="8" t="str">
        <f ca="1">IFERROR(__xludf.DUMMYFUNCTION("GOOGLETRANSLATE(B32788,""en"",""pt"")"),"Maur")</f>
        <v>Maur</v>
      </c>
      <c r="B20637" s="11" t="s">
        <v>12381</v>
      </c>
      <c r="C20637" s="11" t="s">
        <v>10178</v>
      </c>
      <c r="D20637" s="11" t="s">
        <v>10184</v>
      </c>
      <c r="E20637" s="10">
        <v>1263293</v>
      </c>
      <c r="F20637" s="4" t="str">
        <f>IF(B20637=B20636,"",B20637)</f>
        <v/>
      </c>
    </row>
    <row r="20638" spans="1:6" ht="15.75" customHeight="1">
      <c r="A20638" s="15" t="s">
        <v>1889</v>
      </c>
      <c r="B20638" s="15" t="s">
        <v>1889</v>
      </c>
      <c r="C20638" s="15" t="s">
        <v>1878</v>
      </c>
      <c r="D20638" s="15" t="s">
        <v>1890</v>
      </c>
      <c r="E20638" s="2">
        <v>933366</v>
      </c>
      <c r="F20638" s="4" t="str">
        <f>IF(B20638=B20637,"",B20638)</f>
        <v>Maun</v>
      </c>
    </row>
    <row r="20639" spans="1:6" ht="15.75" customHeight="1">
      <c r="A20639" s="8" t="str">
        <f ca="1">IFERROR(__xludf.DUMMYFUNCTION("GOOGLETRANSLATE(B25360,""en"",""pt"")"),"Maun")</f>
        <v>Maun</v>
      </c>
      <c r="B20639" s="11" t="s">
        <v>1889</v>
      </c>
      <c r="C20639" s="11" t="s">
        <v>1878</v>
      </c>
      <c r="D20639" s="11" t="s">
        <v>1890</v>
      </c>
      <c r="E20639" s="10">
        <v>933366</v>
      </c>
      <c r="F20639" s="4" t="str">
        <f>IF(B20639=B20638,"",B20639)</f>
        <v/>
      </c>
    </row>
    <row r="20640" spans="1:6" ht="15.75" customHeight="1">
      <c r="A20640" s="15" t="s">
        <v>14036</v>
      </c>
      <c r="B20640" s="15" t="s">
        <v>14036</v>
      </c>
      <c r="C20640" s="15" t="s">
        <v>13800</v>
      </c>
      <c r="D20640" s="15" t="s">
        <v>13814</v>
      </c>
      <c r="E20640" s="2">
        <v>1635815</v>
      </c>
      <c r="F20640" s="4" t="str">
        <f>IF(B20640=B20639,"",B20640)</f>
        <v>Maumere</v>
      </c>
    </row>
    <row r="20641" spans="1:6" ht="15.75" customHeight="1">
      <c r="A20641" s="8" t="str">
        <f ca="1">IFERROR(__xludf.DUMMYFUNCTION("GOOGLETRANSLATE(B31542,""en"",""pt"")"),"Maumere")</f>
        <v>Maumere</v>
      </c>
      <c r="B20641" s="11" t="s">
        <v>14036</v>
      </c>
      <c r="C20641" s="11" t="s">
        <v>13800</v>
      </c>
      <c r="D20641" s="11" t="s">
        <v>13814</v>
      </c>
      <c r="E20641" s="10">
        <v>1635815</v>
      </c>
      <c r="F20641" s="4" t="str">
        <f>IF(B20641=B20640,"",B20641)</f>
        <v/>
      </c>
    </row>
    <row r="20642" spans="1:6" ht="15.75" customHeight="1">
      <c r="A20642" s="16" t="s">
        <v>29238</v>
      </c>
      <c r="B20642" s="15" t="s">
        <v>29238</v>
      </c>
      <c r="C20642" s="16" t="s">
        <v>27788</v>
      </c>
      <c r="D20642" s="16" t="s">
        <v>27991</v>
      </c>
      <c r="E20642" s="2">
        <v>4120792</v>
      </c>
      <c r="F20642" s="4" t="str">
        <f>IF(B20642=B20641,"",B20642)</f>
        <v>Maumelle</v>
      </c>
    </row>
    <row r="20643" spans="1:6" ht="15.75" customHeight="1">
      <c r="A20643" s="8" t="str">
        <f ca="1">IFERROR(__xludf.DUMMYFUNCTION("GOOGLETRANSLATE(B42821,""en"",""pt"")"),"Maumelle")</f>
        <v>Maumelle</v>
      </c>
      <c r="B20643" s="11" t="s">
        <v>29238</v>
      </c>
      <c r="C20643" s="11" t="s">
        <v>27788</v>
      </c>
      <c r="D20643" s="11" t="s">
        <v>27991</v>
      </c>
      <c r="E20643" s="10">
        <v>4120792</v>
      </c>
      <c r="F20643" s="4" t="str">
        <f>IF(B20643=B20642,"",B20643)</f>
        <v/>
      </c>
    </row>
    <row r="20644" spans="1:6" ht="15.75" customHeight="1">
      <c r="A20644" s="15" t="s">
        <v>29237</v>
      </c>
      <c r="B20644" s="15" t="s">
        <v>29237</v>
      </c>
      <c r="C20644" s="15" t="s">
        <v>27788</v>
      </c>
      <c r="D20644" s="15" t="s">
        <v>27811</v>
      </c>
      <c r="E20644" s="2">
        <v>4586523</v>
      </c>
      <c r="F20644" s="4" t="str">
        <f>IF(B20644=B20643,"",B20644)</f>
        <v>Mauldin</v>
      </c>
    </row>
    <row r="20645" spans="1:6" ht="15.75" customHeight="1">
      <c r="A20645" s="8" t="str">
        <f ca="1">IFERROR(__xludf.DUMMYFUNCTION("GOOGLETRANSLATE(B43592,""en"",""pt"")"),"Mauldin")</f>
        <v>Mauldin</v>
      </c>
      <c r="B20645" s="11" t="s">
        <v>29237</v>
      </c>
      <c r="C20645" s="11" t="s">
        <v>27788</v>
      </c>
      <c r="D20645" s="11" t="s">
        <v>27811</v>
      </c>
      <c r="E20645" s="10">
        <v>4586523</v>
      </c>
      <c r="F20645" s="4" t="str">
        <f>IF(B20645=B20644,"",B20645)</f>
        <v/>
      </c>
    </row>
    <row r="20646" spans="1:6" ht="15.75" customHeight="1">
      <c r="A20646" s="8" t="str">
        <f ca="1">IFERROR(__xludf.DUMMYFUNCTION("GOOGLETRANSLATE(B23719,""en"",""pt"")"),"Maulavi Bāzār")</f>
        <v>Maulavi Bāzār</v>
      </c>
      <c r="B20646" s="9" t="s">
        <v>31271</v>
      </c>
      <c r="C20646" s="9" t="s">
        <v>1296</v>
      </c>
      <c r="D20646" s="9" t="s">
        <v>1306</v>
      </c>
      <c r="E20646" s="10">
        <v>1185166</v>
      </c>
      <c r="F20646" s="4" t="str">
        <f>IF(B20646=B20645,"",B20646)</f>
        <v>Maulavi Bāzār</v>
      </c>
    </row>
    <row r="20647" spans="1:6" ht="15.75" customHeight="1">
      <c r="A20647" s="16" t="s">
        <v>1376</v>
      </c>
      <c r="B20647" s="15" t="s">
        <v>1377</v>
      </c>
      <c r="C20647" s="16" t="s">
        <v>1296</v>
      </c>
      <c r="D20647" s="16" t="s">
        <v>1306</v>
      </c>
      <c r="E20647" s="2">
        <v>1185166</v>
      </c>
      <c r="F20647" s="4" t="str">
        <f>IF(B20647=B20646,"",B20647)</f>
        <v>Maulavi BÄzÄr</v>
      </c>
    </row>
    <row r="20648" spans="1:6" ht="15.75" customHeight="1">
      <c r="A20648" s="15" t="s">
        <v>7577</v>
      </c>
      <c r="B20648" s="15" t="s">
        <v>7577</v>
      </c>
      <c r="C20648" s="15" t="s">
        <v>7052</v>
      </c>
      <c r="D20648" s="15" t="s">
        <v>7082</v>
      </c>
      <c r="E20648" s="2">
        <v>2995121</v>
      </c>
      <c r="F20648" s="4" t="str">
        <f>IF(B20648=B20647,"",B20648)</f>
        <v>Mauguio</v>
      </c>
    </row>
    <row r="20649" spans="1:6" ht="15.75" customHeight="1">
      <c r="A20649" s="8" t="str">
        <f ca="1">IFERROR(__xludf.DUMMYFUNCTION("GOOGLETRANSLATE(B29932,""en"",""pt"")"),"Mauguio")</f>
        <v>Mauguio</v>
      </c>
      <c r="B20649" s="11" t="s">
        <v>7577</v>
      </c>
      <c r="C20649" s="11" t="s">
        <v>7052</v>
      </c>
      <c r="D20649" s="11" t="s">
        <v>32547</v>
      </c>
      <c r="E20649" s="10">
        <v>2995121</v>
      </c>
      <c r="F20649" s="4" t="str">
        <f>IF(B20649=B20648,"",B20649)</f>
        <v/>
      </c>
    </row>
    <row r="20650" spans="1:6" ht="15.75" customHeight="1">
      <c r="A20650" s="15" t="s">
        <v>12380</v>
      </c>
      <c r="B20650" s="15" t="s">
        <v>12380</v>
      </c>
      <c r="C20650" s="15" t="s">
        <v>10178</v>
      </c>
      <c r="D20650" s="15" t="s">
        <v>10219</v>
      </c>
      <c r="E20650" s="2">
        <v>1263300</v>
      </c>
      <c r="F20650" s="4" t="str">
        <f>IF(B20650=B20649,"",B20650)</f>
        <v>Mauganj</v>
      </c>
    </row>
    <row r="20651" spans="1:6" ht="15.75" customHeight="1">
      <c r="A20651" s="8" t="str">
        <f ca="1">IFERROR(__xludf.DUMMYFUNCTION("GOOGLETRANSLATE(B32789,""en"",""pt"")"),"Mauganj")</f>
        <v>Mauganj</v>
      </c>
      <c r="B20651" s="9" t="s">
        <v>12380</v>
      </c>
      <c r="C20651" s="9" t="s">
        <v>10178</v>
      </c>
      <c r="D20651" s="9" t="s">
        <v>10219</v>
      </c>
      <c r="E20651" s="10">
        <v>1263300</v>
      </c>
      <c r="F20651" s="4" t="str">
        <f>IF(B20651=B20650,"",B20651)</f>
        <v/>
      </c>
    </row>
    <row r="20652" spans="1:6" ht="15.75" customHeight="1">
      <c r="A20652" s="8" t="str">
        <f ca="1">IFERROR(__xludf.DUMMYFUNCTION("GOOGLETRANSLATE(B24268,""en"",""pt"")"),"Maués")</f>
        <v>Maués</v>
      </c>
      <c r="B20652" s="9" t="s">
        <v>31387</v>
      </c>
      <c r="C20652" s="9" t="s">
        <v>1905</v>
      </c>
      <c r="D20652" s="9" t="s">
        <v>2287</v>
      </c>
      <c r="E20652" s="10">
        <v>3395062</v>
      </c>
      <c r="F20652" s="4" t="str">
        <f>IF(B20652=B20651,"",B20652)</f>
        <v>Maués</v>
      </c>
    </row>
    <row r="20653" spans="1:6" ht="15.75" customHeight="1">
      <c r="A20653" s="15" t="s">
        <v>12379</v>
      </c>
      <c r="B20653" s="15" t="s">
        <v>12379</v>
      </c>
      <c r="C20653" s="15" t="s">
        <v>10178</v>
      </c>
      <c r="D20653" s="15" t="s">
        <v>10193</v>
      </c>
      <c r="E20653" s="2">
        <v>1263303</v>
      </c>
      <c r="F20653" s="4" t="str">
        <f>IF(B20653=B20652,"",B20653)</f>
        <v>Maudaha</v>
      </c>
    </row>
    <row r="20654" spans="1:6" ht="15.75" customHeight="1">
      <c r="A20654" s="8" t="str">
        <f ca="1">IFERROR(__xludf.DUMMYFUNCTION("GOOGLETRANSLATE(B32790,""en"",""pt"")"),"Maudaha")</f>
        <v>Maudaha</v>
      </c>
      <c r="B20654" s="9" t="s">
        <v>12379</v>
      </c>
      <c r="C20654" s="9" t="s">
        <v>10178</v>
      </c>
      <c r="D20654" s="9" t="s">
        <v>10193</v>
      </c>
      <c r="E20654" s="10">
        <v>1263303</v>
      </c>
      <c r="F20654" s="4" t="str">
        <f>IF(B20654=B20653,"",B20654)</f>
        <v/>
      </c>
    </row>
    <row r="20655" spans="1:6" ht="15.75" customHeight="1">
      <c r="A20655" s="15" t="s">
        <v>18725</v>
      </c>
      <c r="B20655" s="15" t="s">
        <v>18725</v>
      </c>
      <c r="C20655" s="15" t="s">
        <v>18696</v>
      </c>
      <c r="D20655" s="15" t="s">
        <v>18700</v>
      </c>
      <c r="E20655" s="2">
        <v>1310362</v>
      </c>
      <c r="F20655" s="4" t="str">
        <f>IF(B20655=B20654,"",B20655)</f>
        <v>Maubin</v>
      </c>
    </row>
    <row r="20656" spans="1:6" ht="15.75" customHeight="1">
      <c r="A20656" s="8" t="str">
        <f ca="1">IFERROR(__xludf.DUMMYFUNCTION("GOOGLETRANSLATE(B36741,""en"",""pt"")"),"Maubin")</f>
        <v>Maubin</v>
      </c>
      <c r="B20656" s="11" t="s">
        <v>18725</v>
      </c>
      <c r="C20656" s="11" t="s">
        <v>18696</v>
      </c>
      <c r="D20656" s="11" t="s">
        <v>18700</v>
      </c>
      <c r="E20656" s="10">
        <v>1310362</v>
      </c>
      <c r="F20656" s="4" t="str">
        <f>IF(B20656=B20655,"",B20656)</f>
        <v/>
      </c>
    </row>
    <row r="20657" spans="1:6" ht="15.75" customHeight="1">
      <c r="A20657" s="16" t="s">
        <v>7576</v>
      </c>
      <c r="B20657" s="15" t="s">
        <v>7576</v>
      </c>
      <c r="C20657" s="16" t="s">
        <v>7052</v>
      </c>
      <c r="D20657" s="16" t="s">
        <v>7078</v>
      </c>
      <c r="E20657" s="2">
        <v>2995150</v>
      </c>
      <c r="F20657" s="4" t="str">
        <f>IF(B20657=B20656,"",B20657)</f>
        <v>Maubeuge</v>
      </c>
    </row>
    <row r="20658" spans="1:6" ht="15.75" customHeight="1">
      <c r="A20658" s="8" t="str">
        <f ca="1">IFERROR(__xludf.DUMMYFUNCTION("GOOGLETRANSLATE(B29933,""en"",""pt"")"),"Maubeuge")</f>
        <v>Maubeuge</v>
      </c>
      <c r="B20658" s="11" t="s">
        <v>7576</v>
      </c>
      <c r="C20658" s="11" t="s">
        <v>7052</v>
      </c>
      <c r="D20658" s="11" t="s">
        <v>7078</v>
      </c>
      <c r="E20658" s="10">
        <v>2995150</v>
      </c>
      <c r="F20658" s="4" t="str">
        <f>IF(B20658=B20657,"",B20658)</f>
        <v/>
      </c>
    </row>
    <row r="20659" spans="1:6" ht="15.75" customHeight="1">
      <c r="A20659" s="15" t="s">
        <v>6390</v>
      </c>
      <c r="B20659" s="15" t="s">
        <v>6390</v>
      </c>
      <c r="C20659" s="15" t="s">
        <v>6380</v>
      </c>
      <c r="D20659" s="15" t="s">
        <v>6385</v>
      </c>
      <c r="E20659" s="2">
        <v>1635826</v>
      </c>
      <c r="F20659" s="4" t="str">
        <f>IF(B20659=B20658,"",B20659)</f>
        <v>Maubara</v>
      </c>
    </row>
    <row r="20660" spans="1:6" ht="15.75" customHeight="1">
      <c r="A20660" s="8" t="str">
        <f ca="1">IFERROR(__xludf.DUMMYFUNCTION("GOOGLETRANSLATE(B41757,""en"",""pt"")"),"Maubara")</f>
        <v>Maubara</v>
      </c>
      <c r="B20660" s="11" t="s">
        <v>6390</v>
      </c>
      <c r="C20660" s="11" t="s">
        <v>6380</v>
      </c>
      <c r="D20660" s="11" t="s">
        <v>35785</v>
      </c>
      <c r="E20660" s="10">
        <v>1635826</v>
      </c>
      <c r="F20660" s="4" t="str">
        <f>IF(B20660=B20659,"",B20660)</f>
        <v/>
      </c>
    </row>
    <row r="20661" spans="1:6" ht="15.75" customHeight="1">
      <c r="A20661" s="15" t="s">
        <v>20899</v>
      </c>
      <c r="B20661" s="15" t="s">
        <v>20899</v>
      </c>
      <c r="C20661" s="15" t="s">
        <v>20598</v>
      </c>
      <c r="D20661" s="15" t="s">
        <v>20608</v>
      </c>
      <c r="E20661" s="2">
        <v>1700179</v>
      </c>
      <c r="F20661" s="4" t="str">
        <f>IF(B20661=B20660,"",B20661)</f>
        <v>Mauban</v>
      </c>
    </row>
    <row r="20662" spans="1:6" ht="15.75" customHeight="1">
      <c r="A20662" s="8" t="str">
        <f ca="1">IFERROR(__xludf.DUMMYFUNCTION("GOOGLETRANSLATE(B38608,""en"",""pt"")"),"Mauban")</f>
        <v>Mauban</v>
      </c>
      <c r="B20662" s="11" t="s">
        <v>20899</v>
      </c>
      <c r="C20662" s="11" t="s">
        <v>20598</v>
      </c>
      <c r="D20662" s="11" t="s">
        <v>20608</v>
      </c>
      <c r="E20662" s="10">
        <v>1700179</v>
      </c>
      <c r="F20662" s="4" t="str">
        <f>IF(B20662=B20661,"",B20662)</f>
        <v/>
      </c>
    </row>
    <row r="20663" spans="1:6" ht="15.75" customHeight="1">
      <c r="A20663" s="15" t="s">
        <v>2887</v>
      </c>
      <c r="B20663" s="15" t="s">
        <v>2888</v>
      </c>
      <c r="C20663" s="15" t="s">
        <v>1905</v>
      </c>
      <c r="D20663" s="15" t="s">
        <v>2287</v>
      </c>
      <c r="E20663" s="2">
        <v>3395062</v>
      </c>
      <c r="F20663" s="4" t="str">
        <f>IF(B20663=B20662,"",B20663)</f>
        <v>MauÃ©s</v>
      </c>
    </row>
    <row r="20664" spans="1:6" ht="15.75" customHeight="1">
      <c r="A20664" s="15" t="s">
        <v>2885</v>
      </c>
      <c r="B20664" s="15" t="s">
        <v>2886</v>
      </c>
      <c r="C20664" s="15" t="s">
        <v>1905</v>
      </c>
      <c r="D20664" s="15" t="s">
        <v>1914</v>
      </c>
      <c r="E20664" s="2">
        <v>3457381</v>
      </c>
      <c r="F20664" s="4" t="str">
        <f>IF(B20664=B20663,"",B20664)</f>
        <v>MauÃ¡</v>
      </c>
    </row>
    <row r="20665" spans="1:6" ht="15.75" customHeight="1">
      <c r="A20665" s="8" t="str">
        <f ca="1">IFERROR(__xludf.DUMMYFUNCTION("GOOGLETRANSLATE(B24821,""en"",""pt"")"),"Mauá")</f>
        <v>Mauá</v>
      </c>
      <c r="B20665" s="11" t="s">
        <v>2885</v>
      </c>
      <c r="C20665" s="11" t="s">
        <v>1905</v>
      </c>
      <c r="D20665" s="11" t="s">
        <v>3354</v>
      </c>
      <c r="E20665" s="10">
        <v>3457381</v>
      </c>
      <c r="F20665" s="4" t="str">
        <f>IF(B20665=B20664,"",B20665)</f>
        <v>Mauá</v>
      </c>
    </row>
    <row r="20666" spans="1:6" ht="15.75" customHeight="1">
      <c r="A20666" s="16" t="s">
        <v>12377</v>
      </c>
      <c r="B20666" s="15" t="s">
        <v>12378</v>
      </c>
      <c r="C20666" s="16" t="s">
        <v>10178</v>
      </c>
      <c r="D20666" s="16" t="s">
        <v>10193</v>
      </c>
      <c r="E20666" s="2">
        <v>1263306</v>
      </c>
      <c r="F20666" s="4" t="str">
        <f>IF(B20666=B20665,"",B20666)</f>
        <v>Mau Aimma</v>
      </c>
    </row>
    <row r="20667" spans="1:6" ht="15.75" customHeight="1">
      <c r="A20667" s="8" t="str">
        <f ca="1">IFERROR(__xludf.DUMMYFUNCTION("GOOGLETRANSLATE(B32791,""en"",""pt"")"),"Mau aimma")</f>
        <v>Mau aimma</v>
      </c>
      <c r="B20667" s="9" t="s">
        <v>12378</v>
      </c>
      <c r="C20667" s="9" t="s">
        <v>10178</v>
      </c>
      <c r="D20667" s="9" t="s">
        <v>10193</v>
      </c>
      <c r="E20667" s="10">
        <v>1263306</v>
      </c>
      <c r="F20667" s="4" t="str">
        <f>IF(B20667=B20666,"",B20667)</f>
        <v/>
      </c>
    </row>
    <row r="20668" spans="1:6" ht="15.75" customHeight="1">
      <c r="A20668" s="15" t="s">
        <v>12376</v>
      </c>
      <c r="B20668" s="15" t="s">
        <v>12376</v>
      </c>
      <c r="C20668" s="15" t="s">
        <v>10178</v>
      </c>
      <c r="D20668" s="15" t="s">
        <v>10219</v>
      </c>
      <c r="E20668" s="2">
        <v>1263309</v>
      </c>
      <c r="F20668" s="4" t="str">
        <f>IF(B20668=B20667,"",B20668)</f>
        <v>Mau</v>
      </c>
    </row>
    <row r="20669" spans="1:6" ht="15.75" customHeight="1">
      <c r="A20669" s="15" t="s">
        <v>12376</v>
      </c>
      <c r="B20669" s="15" t="s">
        <v>12376</v>
      </c>
      <c r="C20669" s="15" t="s">
        <v>10178</v>
      </c>
      <c r="D20669" s="15" t="s">
        <v>10193</v>
      </c>
      <c r="E20669" s="2">
        <v>1263311</v>
      </c>
      <c r="F20669" s="4" t="str">
        <f>IF(B20669=B20668,"",B20669)</f>
        <v/>
      </c>
    </row>
    <row r="20670" spans="1:6" ht="15.75" customHeight="1">
      <c r="A20670" s="8" t="str">
        <f ca="1">IFERROR(__xludf.DUMMYFUNCTION("GOOGLETRANSLATE(B32792,""en"",""pt"")"),"Mau")</f>
        <v>Mau</v>
      </c>
      <c r="B20670" s="9" t="s">
        <v>12376</v>
      </c>
      <c r="C20670" s="9" t="s">
        <v>10178</v>
      </c>
      <c r="D20670" s="9" t="s">
        <v>10219</v>
      </c>
      <c r="E20670" s="10">
        <v>1263309</v>
      </c>
      <c r="F20670" s="4" t="str">
        <f>IF(B20670=B20669,"",B20670)</f>
        <v/>
      </c>
    </row>
    <row r="20671" spans="1:6" ht="15.75" customHeight="1">
      <c r="A20671" s="8" t="str">
        <f ca="1">IFERROR(__xludf.DUMMYFUNCTION("GOOGLETRANSLATE(B32793,""en"",""pt"")"),"Mau")</f>
        <v>Mau</v>
      </c>
      <c r="B20671" s="11" t="s">
        <v>12376</v>
      </c>
      <c r="C20671" s="11" t="s">
        <v>10178</v>
      </c>
      <c r="D20671" s="11" t="s">
        <v>10193</v>
      </c>
      <c r="E20671" s="10">
        <v>1263311</v>
      </c>
      <c r="F20671" s="4" t="str">
        <f>IF(B20671=B20670,"",B20671)</f>
        <v/>
      </c>
    </row>
    <row r="20672" spans="1:6" ht="15.75" customHeight="1">
      <c r="A20672" s="16" t="s">
        <v>22722</v>
      </c>
      <c r="B20672" s="15" t="s">
        <v>22722</v>
      </c>
      <c r="C20672" s="16" t="s">
        <v>22070</v>
      </c>
      <c r="D20672" s="16" t="s">
        <v>22127</v>
      </c>
      <c r="E20672" s="2">
        <v>528454</v>
      </c>
      <c r="F20672" s="4" t="str">
        <f>IF(B20672=B20671,"",B20672)</f>
        <v>Matveyevskoye</v>
      </c>
    </row>
    <row r="20673" spans="1:6" ht="15.75" customHeight="1">
      <c r="A20673" s="8" t="str">
        <f ca="1">IFERROR(__xludf.DUMMYFUNCTION("GOOGLETRANSLATE(B40331,""en"",""pt"")"),"Matveyevskoye")</f>
        <v>Matveyevskoye</v>
      </c>
      <c r="B20673" s="11" t="s">
        <v>22722</v>
      </c>
      <c r="C20673" s="11" t="s">
        <v>22070</v>
      </c>
      <c r="D20673" s="11" t="s">
        <v>22127</v>
      </c>
      <c r="E20673" s="10">
        <v>528454</v>
      </c>
      <c r="F20673" s="4" t="str">
        <f>IF(B20673=B20672,"",B20673)</f>
        <v/>
      </c>
    </row>
    <row r="20674" spans="1:6" ht="15.75" customHeight="1">
      <c r="A20674" s="8" t="str">
        <f ca="1">IFERROR(__xludf.DUMMYFUNCTION("GOOGLETRANSLATE(B45698,""en"",""pt"")"),"Maturín")</f>
        <v>Maturín</v>
      </c>
      <c r="B20674" s="9" t="s">
        <v>36101</v>
      </c>
      <c r="C20674" s="9" t="s">
        <v>5923</v>
      </c>
      <c r="D20674" s="9" t="s">
        <v>30731</v>
      </c>
      <c r="E20674" s="10">
        <v>3778045</v>
      </c>
      <c r="F20674" s="4" t="str">
        <f>IF(B20674=B20673,"",B20674)</f>
        <v>Maturín</v>
      </c>
    </row>
    <row r="20675" spans="1:6" ht="15.75" customHeight="1">
      <c r="A20675" s="15" t="s">
        <v>30729</v>
      </c>
      <c r="B20675" s="15" t="s">
        <v>30730</v>
      </c>
      <c r="C20675" s="15" t="s">
        <v>5923</v>
      </c>
      <c r="D20675" s="15" t="s">
        <v>30731</v>
      </c>
      <c r="E20675" s="2">
        <v>3778045</v>
      </c>
      <c r="F20675" s="4" t="str">
        <f>IF(B20675=B20674,"",B20675)</f>
        <v>MaturÃ­n</v>
      </c>
    </row>
    <row r="20676" spans="1:6" ht="15.75" customHeight="1">
      <c r="A20676" s="15" t="s">
        <v>25680</v>
      </c>
      <c r="B20676" s="15" t="s">
        <v>25680</v>
      </c>
      <c r="C20676" s="15" t="s">
        <v>25560</v>
      </c>
      <c r="D20676" s="15" t="s">
        <v>25586</v>
      </c>
      <c r="E20676" s="2">
        <v>154566</v>
      </c>
      <c r="F20676" s="4" t="str">
        <f>IF(B20676=B20675,"",B20676)</f>
        <v>Matui</v>
      </c>
    </row>
    <row r="20677" spans="1:6" ht="15.75" customHeight="1">
      <c r="A20677" s="8" t="str">
        <f ca="1">IFERROR(__xludf.DUMMYFUNCTION("GOOGLETRANSLATE(B42357,""en"",""pt"")"),"Matui")</f>
        <v>Matui</v>
      </c>
      <c r="B20677" s="11" t="s">
        <v>25680</v>
      </c>
      <c r="C20677" s="11" t="s">
        <v>25560</v>
      </c>
      <c r="D20677" s="11" t="s">
        <v>25586</v>
      </c>
      <c r="E20677" s="10">
        <v>154566</v>
      </c>
      <c r="F20677" s="4" t="str">
        <f>IF(B20677=B20676,"",B20677)</f>
        <v/>
      </c>
    </row>
    <row r="20678" spans="1:6" ht="15.75" customHeight="1">
      <c r="A20678" s="15" t="s">
        <v>29236</v>
      </c>
      <c r="B20678" s="15" t="s">
        <v>29236</v>
      </c>
      <c r="C20678" s="15" t="s">
        <v>27788</v>
      </c>
      <c r="D20678" s="15" t="s">
        <v>27799</v>
      </c>
      <c r="E20678" s="2">
        <v>4244099</v>
      </c>
      <c r="F20678" s="4" t="str">
        <f>IF(B20678=B20677,"",B20678)</f>
        <v>Mattoon</v>
      </c>
    </row>
    <row r="20679" spans="1:6" ht="15.75" customHeight="1">
      <c r="A20679" s="8" t="str">
        <f ca="1">IFERROR(__xludf.DUMMYFUNCTION("GOOGLETRANSLATE(B43137,""en"",""pt"")"),"Mattoon")</f>
        <v>Mattoon</v>
      </c>
      <c r="B20679" s="11" t="s">
        <v>29236</v>
      </c>
      <c r="C20679" s="11" t="s">
        <v>27788</v>
      </c>
      <c r="D20679" s="11" t="s">
        <v>27799</v>
      </c>
      <c r="E20679" s="10">
        <v>4244099</v>
      </c>
      <c r="F20679" s="4" t="str">
        <f>IF(B20679=B20678,"",B20679)</f>
        <v/>
      </c>
    </row>
    <row r="20680" spans="1:6" ht="15.75" customHeight="1">
      <c r="A20680" s="16" t="s">
        <v>29235</v>
      </c>
      <c r="B20680" s="15" t="s">
        <v>29235</v>
      </c>
      <c r="C20680" s="16" t="s">
        <v>27788</v>
      </c>
      <c r="D20680" s="16" t="s">
        <v>27822</v>
      </c>
      <c r="E20680" s="2">
        <v>4478334</v>
      </c>
      <c r="F20680" s="4" t="str">
        <f>IF(B20680=B20679,"",B20680)</f>
        <v>Matthews</v>
      </c>
    </row>
    <row r="20681" spans="1:6" ht="15.75" customHeight="1">
      <c r="A20681" s="8" t="str">
        <f ca="1">IFERROR(__xludf.DUMMYFUNCTION("GOOGLETRANSLATE(B43466,""en"",""pt"")"),"Matthews")</f>
        <v>Matthews</v>
      </c>
      <c r="B20681" s="11" t="s">
        <v>29235</v>
      </c>
      <c r="C20681" s="11" t="s">
        <v>27788</v>
      </c>
      <c r="D20681" s="11" t="s">
        <v>27822</v>
      </c>
      <c r="E20681" s="10">
        <v>4478334</v>
      </c>
      <c r="F20681" s="4" t="str">
        <f>IF(B20681=B20680,"",B20681)</f>
        <v/>
      </c>
    </row>
    <row r="20682" spans="1:6" ht="15.75" customHeight="1">
      <c r="A20682" s="15" t="s">
        <v>29234</v>
      </c>
      <c r="B20682" s="15" t="s">
        <v>29234</v>
      </c>
      <c r="C20682" s="15" t="s">
        <v>27788</v>
      </c>
      <c r="D20682" s="15" t="s">
        <v>27799</v>
      </c>
      <c r="E20682" s="2">
        <v>4901445</v>
      </c>
      <c r="F20682" s="4" t="str">
        <f>IF(B20682=B20681,"",B20682)</f>
        <v>Matteson</v>
      </c>
    </row>
    <row r="20683" spans="1:6" ht="15.75" customHeight="1">
      <c r="A20683" s="8" t="str">
        <f ca="1">IFERROR(__xludf.DUMMYFUNCTION("GOOGLETRANSLATE(B43841,""en"",""pt"")"),"Matteson")</f>
        <v>Matteson</v>
      </c>
      <c r="B20683" s="9" t="s">
        <v>29234</v>
      </c>
      <c r="C20683" s="9" t="s">
        <v>27788</v>
      </c>
      <c r="D20683" s="9" t="s">
        <v>27799</v>
      </c>
      <c r="E20683" s="10">
        <v>4901445</v>
      </c>
      <c r="F20683" s="4" t="str">
        <f>IF(B20683=B20682,"",B20683)</f>
        <v/>
      </c>
    </row>
    <row r="20684" spans="1:6" ht="15.75" customHeight="1">
      <c r="A20684" s="8" t="str">
        <f ca="1">IFERROR(__xludf.DUMMYFUNCTION("GOOGLETRANSLATE(B32794,""en"",""pt"")"),"Mattanūr")</f>
        <v>Mattanūr</v>
      </c>
      <c r="B20684" s="9" t="s">
        <v>33391</v>
      </c>
      <c r="C20684" s="9" t="s">
        <v>10178</v>
      </c>
      <c r="D20684" s="9" t="s">
        <v>10246</v>
      </c>
      <c r="E20684" s="10">
        <v>1263331</v>
      </c>
      <c r="F20684" s="4" t="str">
        <f>IF(B20684=B20683,"",B20684)</f>
        <v>Mattanūr</v>
      </c>
    </row>
    <row r="20685" spans="1:6" ht="15.75" customHeight="1">
      <c r="A20685" s="16" t="s">
        <v>12374</v>
      </c>
      <c r="B20685" s="15" t="s">
        <v>12375</v>
      </c>
      <c r="C20685" s="16" t="s">
        <v>10178</v>
      </c>
      <c r="D20685" s="16" t="s">
        <v>10246</v>
      </c>
      <c r="E20685" s="2">
        <v>1263331</v>
      </c>
      <c r="F20685" s="4" t="str">
        <f>IF(B20685=B20684,"",B20685)</f>
        <v>MattanÅ«r</v>
      </c>
    </row>
    <row r="20686" spans="1:6" ht="15.75" customHeight="1">
      <c r="A20686" s="16" t="s">
        <v>16211</v>
      </c>
      <c r="B20686" s="15" t="s">
        <v>16211</v>
      </c>
      <c r="C20686" s="16" t="s">
        <v>15704</v>
      </c>
      <c r="D20686" s="16" t="s">
        <v>15813</v>
      </c>
      <c r="E20686" s="2">
        <v>1926099</v>
      </c>
      <c r="F20686" s="4" t="str">
        <f>IF(B20686=B20685,"",B20686)</f>
        <v>Matsuyama</v>
      </c>
    </row>
    <row r="20687" spans="1:6" ht="15.75" customHeight="1">
      <c r="A20687" s="8" t="str">
        <f ca="1">IFERROR(__xludf.DUMMYFUNCTION("GOOGLETRANSLATE(B35702,""en"",""pt"")"),"Matsuyama")</f>
        <v>Matsuyama</v>
      </c>
      <c r="B20687" s="9" t="s">
        <v>16211</v>
      </c>
      <c r="C20687" s="9" t="s">
        <v>15704</v>
      </c>
      <c r="D20687" s="9" t="s">
        <v>15813</v>
      </c>
      <c r="E20687" s="10">
        <v>1926099</v>
      </c>
      <c r="F20687" s="4" t="str">
        <f>IF(B20687=B20686,"",B20687)</f>
        <v/>
      </c>
    </row>
    <row r="20688" spans="1:6" ht="15.75" customHeight="1">
      <c r="A20688" s="8" t="str">
        <f ca="1">IFERROR(__xludf.DUMMYFUNCTION("GOOGLETRANSLATE(B35441,""en"",""pt"")"),"Matsutō")</f>
        <v>Matsutō</v>
      </c>
      <c r="B20688" s="9" t="s">
        <v>34349</v>
      </c>
      <c r="C20688" s="9" t="s">
        <v>15704</v>
      </c>
      <c r="D20688" s="9" t="s">
        <v>15928</v>
      </c>
      <c r="E20688" s="10">
        <v>1857470</v>
      </c>
      <c r="F20688" s="4" t="str">
        <f>IF(B20688=B20687,"",B20688)</f>
        <v>Matsutō</v>
      </c>
    </row>
    <row r="20689" spans="1:6" ht="15.75" customHeight="1">
      <c r="A20689" s="15" t="s">
        <v>16209</v>
      </c>
      <c r="B20689" s="15" t="s">
        <v>16210</v>
      </c>
      <c r="C20689" s="15" t="s">
        <v>15704</v>
      </c>
      <c r="D20689" s="15" t="s">
        <v>15928</v>
      </c>
      <c r="E20689" s="2">
        <v>1857470</v>
      </c>
      <c r="F20689" s="4" t="str">
        <f>IF(B20689=B20688,"",B20689)</f>
        <v>MatsutÅ</v>
      </c>
    </row>
    <row r="20690" spans="1:6" ht="15.75" customHeight="1">
      <c r="A20690" s="16" t="s">
        <v>16208</v>
      </c>
      <c r="B20690" s="15" t="s">
        <v>16208</v>
      </c>
      <c r="C20690" s="16" t="s">
        <v>15704</v>
      </c>
      <c r="D20690" s="16" t="s">
        <v>15764</v>
      </c>
      <c r="E20690" s="2">
        <v>2111964</v>
      </c>
      <c r="F20690" s="4" t="str">
        <f>IF(B20690=B20689,"",B20690)</f>
        <v>Matsushima</v>
      </c>
    </row>
    <row r="20691" spans="1:6" ht="15.75" customHeight="1">
      <c r="A20691" s="8" t="str">
        <f ca="1">IFERROR(__xludf.DUMMYFUNCTION("GOOGLETRANSLATE(B35769,""en"",""pt"")"),"Matsushima")</f>
        <v>Matsushima</v>
      </c>
      <c r="B20691" s="9" t="s">
        <v>16208</v>
      </c>
      <c r="C20691" s="9" t="s">
        <v>15704</v>
      </c>
      <c r="D20691" s="9" t="s">
        <v>15764</v>
      </c>
      <c r="E20691" s="10">
        <v>2111964</v>
      </c>
      <c r="F20691" s="4" t="str">
        <f>IF(B20691=B20690,"",B20691)</f>
        <v/>
      </c>
    </row>
    <row r="20692" spans="1:6" ht="15.75" customHeight="1">
      <c r="A20692" s="16" t="s">
        <v>16207</v>
      </c>
      <c r="B20692" s="15" t="s">
        <v>16207</v>
      </c>
      <c r="C20692" s="16" t="s">
        <v>15704</v>
      </c>
      <c r="D20692" s="16" t="s">
        <v>15769</v>
      </c>
      <c r="E20692" s="2">
        <v>1857519</v>
      </c>
      <c r="F20692" s="4" t="str">
        <f>IF(B20692=B20691,"",B20692)</f>
        <v>Matsumoto</v>
      </c>
    </row>
    <row r="20693" spans="1:6" ht="15.75" customHeight="1">
      <c r="A20693" s="8" t="str">
        <f ca="1">IFERROR(__xludf.DUMMYFUNCTION("GOOGLETRANSLATE(B35442,""en"",""pt"")"),"Matsumoto")</f>
        <v>Matsumoto</v>
      </c>
      <c r="B20693" s="9" t="s">
        <v>16207</v>
      </c>
      <c r="C20693" s="9" t="s">
        <v>15704</v>
      </c>
      <c r="D20693" s="9" t="s">
        <v>15769</v>
      </c>
      <c r="E20693" s="10">
        <v>1857519</v>
      </c>
      <c r="F20693" s="4" t="str">
        <f>IF(B20693=B20692,"",B20693)</f>
        <v/>
      </c>
    </row>
    <row r="20694" spans="1:6" ht="15.75" customHeight="1">
      <c r="A20694" s="15" t="s">
        <v>16206</v>
      </c>
      <c r="B20694" s="15" t="s">
        <v>16206</v>
      </c>
      <c r="C20694" s="15" t="s">
        <v>15704</v>
      </c>
      <c r="D20694" s="15" t="s">
        <v>15740</v>
      </c>
      <c r="E20694" s="2">
        <v>1857550</v>
      </c>
      <c r="F20694" s="4" t="str">
        <f>IF(B20694=B20693,"",B20694)</f>
        <v>Matsue</v>
      </c>
    </row>
    <row r="20695" spans="1:6" ht="15.75" customHeight="1">
      <c r="A20695" s="8" t="str">
        <f ca="1">IFERROR(__xludf.DUMMYFUNCTION("GOOGLETRANSLATE(B35443,""en"",""pt"")"),"Matsue")</f>
        <v>Matsue</v>
      </c>
      <c r="B20695" s="9" t="s">
        <v>16206</v>
      </c>
      <c r="C20695" s="9" t="s">
        <v>15704</v>
      </c>
      <c r="D20695" s="9" t="s">
        <v>15740</v>
      </c>
      <c r="E20695" s="10">
        <v>1857550</v>
      </c>
      <c r="F20695" s="4" t="str">
        <f>IF(B20695=B20694,"",B20695)</f>
        <v/>
      </c>
    </row>
    <row r="20696" spans="1:6" ht="15.75" customHeight="1">
      <c r="A20696" s="15" t="s">
        <v>16205</v>
      </c>
      <c r="B20696" s="15" t="s">
        <v>16205</v>
      </c>
      <c r="C20696" s="15" t="s">
        <v>15704</v>
      </c>
      <c r="D20696" s="15" t="s">
        <v>15707</v>
      </c>
      <c r="E20696" s="2">
        <v>1857553</v>
      </c>
      <c r="F20696" s="4" t="str">
        <f>IF(B20696=B20695,"",B20696)</f>
        <v>Matsudo</v>
      </c>
    </row>
    <row r="20697" spans="1:6" ht="15.75" customHeight="1">
      <c r="A20697" s="8" t="str">
        <f ca="1">IFERROR(__xludf.DUMMYFUNCTION("GOOGLETRANSLATE(B35444,""en"",""pt"")"),"Matsudo")</f>
        <v>Matsudo</v>
      </c>
      <c r="B20697" s="11" t="s">
        <v>16205</v>
      </c>
      <c r="C20697" s="11" t="s">
        <v>15704</v>
      </c>
      <c r="D20697" s="11" t="s">
        <v>15707</v>
      </c>
      <c r="E20697" s="10">
        <v>1857553</v>
      </c>
      <c r="F20697" s="4" t="str">
        <f>IF(B20697=B20696,"",B20697)</f>
        <v/>
      </c>
    </row>
    <row r="20698" spans="1:6" ht="15.75" customHeight="1">
      <c r="A20698" s="16" t="s">
        <v>16204</v>
      </c>
      <c r="B20698" s="15" t="s">
        <v>16204</v>
      </c>
      <c r="C20698" s="16" t="s">
        <v>15704</v>
      </c>
      <c r="D20698" s="16" t="s">
        <v>15812</v>
      </c>
      <c r="E20698" s="2">
        <v>1857560</v>
      </c>
      <c r="F20698" s="4" t="str">
        <f>IF(B20698=B20697,"",B20698)</f>
        <v>Matsubase</v>
      </c>
    </row>
    <row r="20699" spans="1:6" ht="15.75" customHeight="1">
      <c r="A20699" s="8" t="str">
        <f ca="1">IFERROR(__xludf.DUMMYFUNCTION("GOOGLETRANSLATE(B35445,""en"",""pt"")"),"Matsubase")</f>
        <v>Matsubase</v>
      </c>
      <c r="B20699" s="11" t="s">
        <v>16204</v>
      </c>
      <c r="C20699" s="11" t="s">
        <v>15704</v>
      </c>
      <c r="D20699" s="11" t="s">
        <v>15812</v>
      </c>
      <c r="E20699" s="10">
        <v>1857560</v>
      </c>
      <c r="F20699" s="4" t="str">
        <f>IF(B20699=B20698,"",B20699)</f>
        <v/>
      </c>
    </row>
    <row r="20700" spans="1:6" ht="15.75" customHeight="1">
      <c r="A20700" s="16" t="s">
        <v>16203</v>
      </c>
      <c r="B20700" s="15" t="s">
        <v>16203</v>
      </c>
      <c r="C20700" s="16" t="s">
        <v>15704</v>
      </c>
      <c r="D20700" s="16" t="s">
        <v>15853</v>
      </c>
      <c r="E20700" s="2">
        <v>1857568</v>
      </c>
      <c r="F20700" s="4" t="str">
        <f>IF(B20700=B20699,"",B20700)</f>
        <v>Matsubara</v>
      </c>
    </row>
    <row r="20701" spans="1:6" ht="15.75" customHeight="1">
      <c r="A20701" s="8" t="str">
        <f ca="1">IFERROR(__xludf.DUMMYFUNCTION("GOOGLETRANSLATE(B35446,""en"",""pt"")"),"Matsubara")</f>
        <v>Matsubara</v>
      </c>
      <c r="B20701" s="11" t="s">
        <v>16203</v>
      </c>
      <c r="C20701" s="11" t="s">
        <v>15704</v>
      </c>
      <c r="D20701" s="11" t="s">
        <v>34295</v>
      </c>
      <c r="E20701" s="10">
        <v>1857568</v>
      </c>
      <c r="F20701" s="4" t="str">
        <f>IF(B20701=B20700,"",B20701)</f>
        <v/>
      </c>
    </row>
    <row r="20702" spans="1:6" ht="15.75" customHeight="1">
      <c r="A20702" s="16" t="s">
        <v>2884</v>
      </c>
      <c r="B20702" s="15" t="s">
        <v>2884</v>
      </c>
      <c r="C20702" s="16" t="s">
        <v>1905</v>
      </c>
      <c r="D20702" s="16" t="s">
        <v>2015</v>
      </c>
      <c r="E20702" s="2">
        <v>3395077</v>
      </c>
      <c r="F20702" s="4" t="str">
        <f>IF(B20702=B20701,"",B20702)</f>
        <v>Matriz de Camaragibe</v>
      </c>
    </row>
    <row r="20703" spans="1:6" ht="15.75" customHeight="1">
      <c r="A20703" s="8" t="str">
        <f ca="1">IFERROR(__xludf.DUMMYFUNCTION("GOOGLETRANSLATE(B24269,""en"",""pt"")"),"Matriz de Camaragibe")</f>
        <v>Matriz de Camaragibe</v>
      </c>
      <c r="B20703" s="11" t="s">
        <v>2884</v>
      </c>
      <c r="C20703" s="11" t="s">
        <v>1905</v>
      </c>
      <c r="D20703" s="11" t="s">
        <v>2015</v>
      </c>
      <c r="E20703" s="10">
        <v>3395077</v>
      </c>
      <c r="F20703" s="4" t="str">
        <f>IF(B20703=B20702,"",B20703)</f>
        <v/>
      </c>
    </row>
    <row r="20704" spans="1:6" ht="15.75" customHeight="1">
      <c r="A20704" s="16" t="s">
        <v>2883</v>
      </c>
      <c r="B20704" s="15" t="s">
        <v>2883</v>
      </c>
      <c r="C20704" s="16" t="s">
        <v>1905</v>
      </c>
      <c r="D20704" s="16" t="s">
        <v>1917</v>
      </c>
      <c r="E20704" s="2">
        <v>3457393</v>
      </c>
      <c r="F20704" s="4" t="str">
        <f>IF(B20704=B20703,"",B20704)</f>
        <v>Matozinhos</v>
      </c>
    </row>
    <row r="20705" spans="1:6" ht="15.75" customHeight="1">
      <c r="A20705" s="8" t="str">
        <f ca="1">IFERROR(__xludf.DUMMYFUNCTION("GOOGLETRANSLATE(B24822,""en"",""pt"")"),"Matozinhos")</f>
        <v>Matozinhos</v>
      </c>
      <c r="B20705" s="11" t="s">
        <v>2883</v>
      </c>
      <c r="C20705" s="11" t="s">
        <v>1905</v>
      </c>
      <c r="D20705" s="11" t="s">
        <v>1917</v>
      </c>
      <c r="E20705" s="10">
        <v>3457393</v>
      </c>
      <c r="F20705" s="4" t="str">
        <f>IF(B20705=B20704,"",B20705)</f>
        <v/>
      </c>
    </row>
    <row r="20706" spans="1:6" ht="15.75" customHeight="1">
      <c r="A20706" s="15" t="s">
        <v>7945</v>
      </c>
      <c r="B20706" s="15" t="s">
        <v>7945</v>
      </c>
      <c r="C20706" s="15" t="s">
        <v>7942</v>
      </c>
      <c r="D20706" s="15" t="s">
        <v>7943</v>
      </c>
      <c r="E20706" s="2">
        <v>3380965</v>
      </c>
      <c r="F20706" s="4" t="str">
        <f>IF(B20706=B20705,"",B20706)</f>
        <v>Matoury</v>
      </c>
    </row>
    <row r="20707" spans="1:6" ht="15.75" customHeight="1">
      <c r="A20707" s="8" t="str">
        <f ca="1">IFERROR(__xludf.DUMMYFUNCTION("GOOGLETRANSLATE(B30852,""en"",""pt"")"),"Matoury")</f>
        <v>Matoury</v>
      </c>
      <c r="B20707" s="9" t="s">
        <v>7945</v>
      </c>
      <c r="C20707" s="9" t="s">
        <v>7942</v>
      </c>
      <c r="D20707" s="9" t="s">
        <v>7943</v>
      </c>
      <c r="E20707" s="10">
        <v>3380965</v>
      </c>
      <c r="F20707" s="4" t="str">
        <f>IF(B20707=B20706,"",B20707)</f>
        <v/>
      </c>
    </row>
    <row r="20708" spans="1:6" ht="15.75" customHeight="1">
      <c r="A20708" s="15" t="s">
        <v>21683</v>
      </c>
      <c r="B20708" s="15" t="s">
        <v>21684</v>
      </c>
      <c r="C20708" s="15" t="s">
        <v>21606</v>
      </c>
      <c r="D20708" s="15" t="s">
        <v>21609</v>
      </c>
      <c r="E20708" s="2">
        <v>2737824</v>
      </c>
      <c r="F20708" s="4" t="str">
        <f>IF(B20708=B20707,"",B20708)</f>
        <v>Matosinhos</v>
      </c>
    </row>
    <row r="20709" spans="1:6" ht="15.75" customHeight="1">
      <c r="A20709" s="8" t="str">
        <f ca="1">IFERROR(__xludf.DUMMYFUNCTION("GOOGLETRANSLATE(B39651,""en"",""pt"")"),"Matoscos")</f>
        <v>Matoscos</v>
      </c>
      <c r="B20709" s="11" t="s">
        <v>21684</v>
      </c>
      <c r="C20709" s="11" t="s">
        <v>21606</v>
      </c>
      <c r="D20709" s="11" t="s">
        <v>21609</v>
      </c>
      <c r="E20709" s="10">
        <v>2737824</v>
      </c>
      <c r="F20709" s="4" t="str">
        <f>IF(B20709=B20708,"",B20709)</f>
        <v/>
      </c>
    </row>
    <row r="20710" spans="1:6" ht="15.75" customHeight="1">
      <c r="A20710" s="15" t="s">
        <v>18679</v>
      </c>
      <c r="B20710" s="15" t="s">
        <v>18679</v>
      </c>
      <c r="C20710" s="15" t="s">
        <v>18655</v>
      </c>
      <c r="D20710" s="15" t="s">
        <v>18677</v>
      </c>
      <c r="E20710" s="2">
        <v>1039854</v>
      </c>
      <c r="F20710" s="4" t="str">
        <f>IF(B20710=B20709,"",B20710)</f>
        <v>Matola</v>
      </c>
    </row>
    <row r="20711" spans="1:6" ht="15.75" customHeight="1">
      <c r="A20711" s="8" t="str">
        <f ca="1">IFERROR(__xludf.DUMMYFUNCTION("GOOGLETRANSLATE(B37553,""en"",""pt"")"),"Matola")</f>
        <v>Matola</v>
      </c>
      <c r="B20711" s="11" t="s">
        <v>18679</v>
      </c>
      <c r="C20711" s="11" t="s">
        <v>18655</v>
      </c>
      <c r="D20711" s="11" t="s">
        <v>18677</v>
      </c>
      <c r="E20711" s="10">
        <v>1039854</v>
      </c>
      <c r="F20711" s="4" t="str">
        <f>IF(B20711=B20710,"",B20711)</f>
        <v/>
      </c>
    </row>
    <row r="20712" spans="1:6" ht="15.75" customHeight="1">
      <c r="A20712" s="8" t="str">
        <f ca="1">IFERROR(__xludf.DUMMYFUNCTION("GOOGLETRANSLATE(B38989,""en"",""pt"")"),"Mātli")</f>
        <v>Mātli</v>
      </c>
      <c r="B20712" s="11" t="s">
        <v>34957</v>
      </c>
      <c r="C20712" s="11" t="s">
        <v>19808</v>
      </c>
      <c r="D20712" s="11" t="s">
        <v>19823</v>
      </c>
      <c r="E20712" s="10">
        <v>1170667</v>
      </c>
      <c r="F20712" s="4" t="str">
        <f>IF(B20712=B20711,"",B20712)</f>
        <v>Mātli</v>
      </c>
    </row>
    <row r="20713" spans="1:6" ht="15.75" customHeight="1">
      <c r="A20713" s="15" t="s">
        <v>25679</v>
      </c>
      <c r="B20713" s="15" t="s">
        <v>25679</v>
      </c>
      <c r="C20713" s="15" t="s">
        <v>25560</v>
      </c>
      <c r="D20713" s="15" t="s">
        <v>25636</v>
      </c>
      <c r="E20713" s="2">
        <v>878041</v>
      </c>
      <c r="F20713" s="4" t="str">
        <f>IF(B20713=B20712,"",B20713)</f>
        <v>Matiri</v>
      </c>
    </row>
    <row r="20714" spans="1:6" ht="15.75" customHeight="1">
      <c r="A20714" s="8" t="str">
        <f ca="1">IFERROR(__xludf.DUMMYFUNCTION("GOOGLETRANSLATE(B42457,""en"",""pt"")"),"Matiri")</f>
        <v>Matiri</v>
      </c>
      <c r="B20714" s="9" t="s">
        <v>25679</v>
      </c>
      <c r="C20714" s="9" t="s">
        <v>25560</v>
      </c>
      <c r="D20714" s="9" t="s">
        <v>25636</v>
      </c>
      <c r="E20714" s="10">
        <v>878041</v>
      </c>
      <c r="F20714" s="4" t="str">
        <f>IF(B20714=B20713,"",B20714)</f>
        <v/>
      </c>
    </row>
    <row r="20715" spans="1:6" ht="15.75" customHeight="1">
      <c r="A20715" s="8" t="str">
        <f ca="1">IFERROR(__xludf.DUMMYFUNCTION("GOOGLETRANSLATE(B36984,""en"",""pt"")"),"Matías Romero")</f>
        <v>Matías Romero</v>
      </c>
      <c r="B20715" s="9" t="s">
        <v>34691</v>
      </c>
      <c r="C20715" s="9" t="s">
        <v>17707</v>
      </c>
      <c r="D20715" s="9" t="s">
        <v>17844</v>
      </c>
      <c r="E20715" s="10">
        <v>3523450</v>
      </c>
      <c r="F20715" s="4" t="str">
        <f>IF(B20715=B20714,"",B20715)</f>
        <v>Matías Romero</v>
      </c>
    </row>
    <row r="20716" spans="1:6" ht="15.75" customHeight="1">
      <c r="A20716" s="8" t="str">
        <f ca="1">IFERROR(__xludf.DUMMYFUNCTION("GOOGLETRANSLATE(B38990,""en"",""pt"")"),"Matiāri")</f>
        <v>Matiāri</v>
      </c>
      <c r="B20716" s="9" t="s">
        <v>34958</v>
      </c>
      <c r="C20716" s="9" t="s">
        <v>19808</v>
      </c>
      <c r="D20716" s="9" t="s">
        <v>19823</v>
      </c>
      <c r="E20716" s="10">
        <v>1170677</v>
      </c>
      <c r="F20716" s="4" t="str">
        <f>IF(B20716=B20715,"",B20716)</f>
        <v>Matiāri</v>
      </c>
    </row>
    <row r="20717" spans="1:6" ht="15.75" customHeight="1">
      <c r="A20717" s="15" t="s">
        <v>20097</v>
      </c>
      <c r="B20717" s="15" t="s">
        <v>20098</v>
      </c>
      <c r="C20717" s="15" t="s">
        <v>19808</v>
      </c>
      <c r="D20717" s="15" t="s">
        <v>19823</v>
      </c>
      <c r="E20717" s="2">
        <v>1170677</v>
      </c>
      <c r="F20717" s="4" t="str">
        <f>IF(B20717=B20716,"",B20717)</f>
        <v>MatiÄri</v>
      </c>
    </row>
    <row r="20718" spans="1:6" ht="15.75" customHeight="1">
      <c r="A20718" s="15" t="s">
        <v>20898</v>
      </c>
      <c r="B20718" s="15" t="s">
        <v>20898</v>
      </c>
      <c r="C20718" s="15" t="s">
        <v>20598</v>
      </c>
      <c r="D20718" s="15" t="s">
        <v>20658</v>
      </c>
      <c r="E20718" s="2">
        <v>1700360</v>
      </c>
      <c r="F20718" s="4" t="str">
        <f>IF(B20718=B20717,"",B20718)</f>
        <v>Mati</v>
      </c>
    </row>
    <row r="20719" spans="1:6" ht="15.75" customHeight="1">
      <c r="A20719" s="8" t="str">
        <f ca="1">IFERROR(__xludf.DUMMYFUNCTION("GOOGLETRANSLATE(B38609,""en"",""pt"")"),"Mati")</f>
        <v>Mati</v>
      </c>
      <c r="B20719" s="9" t="s">
        <v>20898</v>
      </c>
      <c r="C20719" s="9" t="s">
        <v>20598</v>
      </c>
      <c r="D20719" s="9" t="s">
        <v>20658</v>
      </c>
      <c r="E20719" s="10">
        <v>1700360</v>
      </c>
      <c r="F20719" s="4" t="str">
        <f>IF(B20719=B20718,"",B20719)</f>
        <v/>
      </c>
    </row>
    <row r="20720" spans="1:6" ht="15.75" customHeight="1">
      <c r="A20720" s="15" t="s">
        <v>12373</v>
      </c>
      <c r="B20720" s="15" t="s">
        <v>12373</v>
      </c>
      <c r="C20720" s="15" t="s">
        <v>10178</v>
      </c>
      <c r="D20720" s="15" t="s">
        <v>10193</v>
      </c>
      <c r="E20720" s="2">
        <v>1263364</v>
      </c>
      <c r="F20720" s="4" t="str">
        <f>IF(B20720=B20719,"",B20720)</f>
        <v>Mathura</v>
      </c>
    </row>
    <row r="20721" spans="1:6" ht="15.75" customHeight="1">
      <c r="A20721" s="8" t="str">
        <f ca="1">IFERROR(__xludf.DUMMYFUNCTION("GOOGLETRANSLATE(B32795,""en"",""pt"")"),"Mathura")</f>
        <v>Mathura</v>
      </c>
      <c r="B20721" s="9" t="s">
        <v>12373</v>
      </c>
      <c r="C20721" s="9" t="s">
        <v>10178</v>
      </c>
      <c r="D20721" s="9" t="s">
        <v>10193</v>
      </c>
      <c r="E20721" s="10">
        <v>1263364</v>
      </c>
      <c r="F20721" s="4" t="str">
        <f>IF(B20721=B20720,"",B20721)</f>
        <v/>
      </c>
    </row>
    <row r="20722" spans="1:6" ht="15.75" customHeight="1">
      <c r="A20722" s="15" t="s">
        <v>1375</v>
      </c>
      <c r="B20722" s="15" t="s">
        <v>1375</v>
      </c>
      <c r="C20722" s="15" t="s">
        <v>1296</v>
      </c>
      <c r="D20722" s="15" t="s">
        <v>1308</v>
      </c>
      <c r="E20722" s="2">
        <v>1185173</v>
      </c>
      <c r="F20722" s="4" t="str">
        <f>IF(B20722=B20721,"",B20722)</f>
        <v>Mathba</v>
      </c>
    </row>
    <row r="20723" spans="1:6" ht="15.75" customHeight="1">
      <c r="A20723" s="8" t="str">
        <f ca="1">IFERROR(__xludf.DUMMYFUNCTION("GOOGLETRANSLATE(B23722,""en"",""pt"")"),"Mathba")</f>
        <v>Mathba</v>
      </c>
      <c r="B20723" s="11" t="s">
        <v>1375</v>
      </c>
      <c r="C20723" s="11" t="s">
        <v>1296</v>
      </c>
      <c r="D20723" s="11" t="s">
        <v>31265</v>
      </c>
      <c r="E20723" s="10">
        <v>1185173</v>
      </c>
      <c r="F20723" s="4" t="str">
        <f>IF(B20723=B20722,"",B20723)</f>
        <v/>
      </c>
    </row>
    <row r="20724" spans="1:6" ht="15.75" customHeight="1">
      <c r="A20724" s="16" t="s">
        <v>2882</v>
      </c>
      <c r="B20724" s="15" t="s">
        <v>2882</v>
      </c>
      <c r="C20724" s="16" t="s">
        <v>1905</v>
      </c>
      <c r="D20724" s="16" t="s">
        <v>1917</v>
      </c>
      <c r="E20724" s="2">
        <v>3457484</v>
      </c>
      <c r="F20724" s="4" t="str">
        <f>IF(B20724=B20723,"",B20724)</f>
        <v>Mateus Leme</v>
      </c>
    </row>
    <row r="20725" spans="1:6" ht="15.75" customHeight="1">
      <c r="A20725" s="8" t="str">
        <f ca="1">IFERROR(__xludf.DUMMYFUNCTION("GOOGLETRANSLATE(B24823,""en"",""pt"")"),"Mateus Leme")</f>
        <v>Mateus Leme</v>
      </c>
      <c r="B20725" s="9" t="s">
        <v>2882</v>
      </c>
      <c r="C20725" s="9" t="s">
        <v>1905</v>
      </c>
      <c r="D20725" s="9" t="s">
        <v>1917</v>
      </c>
      <c r="E20725" s="10">
        <v>3457484</v>
      </c>
      <c r="F20725" s="4" t="str">
        <f>IF(B20725=B20724,"",B20725)</f>
        <v/>
      </c>
    </row>
    <row r="20726" spans="1:6" ht="15.75" customHeight="1">
      <c r="A20726" s="15" t="s">
        <v>26160</v>
      </c>
      <c r="B20726" s="15" t="s">
        <v>26160</v>
      </c>
      <c r="C20726" s="15" t="s">
        <v>26090</v>
      </c>
      <c r="D20726" s="15" t="s">
        <v>26110</v>
      </c>
      <c r="E20726" s="2">
        <v>2469088</v>
      </c>
      <c r="F20726" s="4" t="str">
        <f>IF(B20726=B20725,"",B20726)</f>
        <v>Mateur</v>
      </c>
    </row>
    <row r="20727" spans="1:6" ht="15.75" customHeight="1">
      <c r="A20727" s="8" t="str">
        <f ca="1">IFERROR(__xludf.DUMMYFUNCTION("GOOGLETRANSLATE(B41818,""en"",""pt"")"),"Mateur")</f>
        <v>Mateur</v>
      </c>
      <c r="B20727" s="9" t="s">
        <v>26160</v>
      </c>
      <c r="C20727" s="9" t="s">
        <v>26090</v>
      </c>
      <c r="D20727" s="9" t="s">
        <v>26110</v>
      </c>
      <c r="E20727" s="10">
        <v>2469088</v>
      </c>
      <c r="F20727" s="4" t="str">
        <f>IF(B20727=B20726,"",B20727)</f>
        <v/>
      </c>
    </row>
    <row r="20728" spans="1:6" ht="15.75" customHeight="1">
      <c r="A20728" s="8" t="str">
        <f ca="1">IFERROR(__xludf.DUMMYFUNCTION("GOOGLETRANSLATE(B31253,""en"",""pt"")"),"Mátészalka")</f>
        <v>Mátészalka</v>
      </c>
      <c r="B20728" s="11" t="s">
        <v>32835</v>
      </c>
      <c r="C20728" s="11" t="s">
        <v>9955</v>
      </c>
      <c r="D20728" s="11" t="s">
        <v>32832</v>
      </c>
      <c r="E20728" s="10">
        <v>717771</v>
      </c>
      <c r="F20728" s="4" t="str">
        <f>IF(B20728=B20727,"",B20728)</f>
        <v>Mátészalka</v>
      </c>
    </row>
    <row r="20729" spans="1:6" ht="15.75" customHeight="1">
      <c r="A20729" s="15" t="s">
        <v>15254</v>
      </c>
      <c r="B20729" s="15" t="s">
        <v>15254</v>
      </c>
      <c r="C20729" s="15" t="s">
        <v>14891</v>
      </c>
      <c r="D20729" s="15" t="s">
        <v>15255</v>
      </c>
      <c r="E20729" s="2">
        <v>3173721</v>
      </c>
      <c r="F20729" s="4" t="str">
        <f>IF(B20729=B20728,"",B20729)</f>
        <v>Matera</v>
      </c>
    </row>
    <row r="20730" spans="1:6" ht="15.75" customHeight="1">
      <c r="A20730" s="8" t="str">
        <f ca="1">IFERROR(__xludf.DUMMYFUNCTION("GOOGLETRANSLATE(B34844,""en"",""pt"")"),"Matera")</f>
        <v>Matera</v>
      </c>
      <c r="B20730" s="11" t="s">
        <v>15254</v>
      </c>
      <c r="C20730" s="11" t="s">
        <v>14891</v>
      </c>
      <c r="D20730" s="11" t="s">
        <v>15255</v>
      </c>
      <c r="E20730" s="10">
        <v>3173721</v>
      </c>
      <c r="F20730" s="4" t="str">
        <f>IF(B20730=B20729,"",B20730)</f>
        <v/>
      </c>
    </row>
    <row r="20731" spans="1:6" ht="15.75" customHeight="1">
      <c r="A20731" s="16" t="s">
        <v>18075</v>
      </c>
      <c r="B20731" s="15" t="s">
        <v>18075</v>
      </c>
      <c r="C20731" s="16" t="s">
        <v>17707</v>
      </c>
      <c r="D20731" s="16" t="s">
        <v>17802</v>
      </c>
      <c r="E20731" s="2">
        <v>3996387</v>
      </c>
      <c r="F20731" s="4" t="str">
        <f>IF(B20731=B20730,"",B20731)</f>
        <v>Matehuala</v>
      </c>
    </row>
    <row r="20732" spans="1:6" ht="15.75" customHeight="1">
      <c r="A20732" s="8" t="str">
        <f ca="1">IFERROR(__xludf.DUMMYFUNCTION("GOOGLETRANSLATE(B37248,""en"",""pt"")"),"Matehuala")</f>
        <v>Matehuala</v>
      </c>
      <c r="B20732" s="11" t="s">
        <v>18075</v>
      </c>
      <c r="C20732" s="11" t="s">
        <v>17707</v>
      </c>
      <c r="D20732" s="11" t="s">
        <v>34674</v>
      </c>
      <c r="E20732" s="10">
        <v>3996387</v>
      </c>
      <c r="F20732" s="4" t="str">
        <f>IF(B20732=B20731,"",B20732)</f>
        <v/>
      </c>
    </row>
    <row r="20733" spans="1:6" ht="15.75" customHeight="1">
      <c r="A20733" s="8" t="str">
        <f ca="1">IFERROR(__xludf.DUMMYFUNCTION("GOOGLETRANSLATE(B28846,""en"",""pt"")"),"Maţāy")</f>
        <v>Maţāy</v>
      </c>
      <c r="B20733" s="9" t="s">
        <v>32272</v>
      </c>
      <c r="C20733" s="9" t="s">
        <v>6495</v>
      </c>
      <c r="D20733" s="9" t="s">
        <v>32263</v>
      </c>
      <c r="E20733" s="10">
        <v>352628</v>
      </c>
      <c r="F20733" s="4" t="str">
        <f>IF(B20733=B20732,"",B20733)</f>
        <v>Maţāy</v>
      </c>
    </row>
    <row r="20734" spans="1:6" ht="15.75" customHeight="1">
      <c r="A20734" s="15" t="s">
        <v>30981</v>
      </c>
      <c r="B20734" s="15" t="s">
        <v>30982</v>
      </c>
      <c r="C20734" s="15" t="s">
        <v>30983</v>
      </c>
      <c r="D20734" s="15" t="s">
        <v>30984</v>
      </c>
      <c r="E20734" s="2">
        <v>4034821</v>
      </c>
      <c r="F20734" s="4" t="str">
        <f>IF(B20734=B20733,"",B20734)</f>
        <v>Mata-Utu</v>
      </c>
    </row>
    <row r="20735" spans="1:6" ht="15.75" customHeight="1">
      <c r="A20735" s="8" t="str">
        <f ca="1">IFERROR(__xludf.DUMMYFUNCTION("GOOGLETRANSLATE(B45793,""en"",""pt"")"),"Mata-utu")</f>
        <v>Mata-utu</v>
      </c>
      <c r="B20735" s="9" t="s">
        <v>30982</v>
      </c>
      <c r="C20735" s="9" t="s">
        <v>30983</v>
      </c>
      <c r="D20735" s="9" t="s">
        <v>36204</v>
      </c>
      <c r="E20735" s="10">
        <v>4034821</v>
      </c>
      <c r="F20735" s="4" t="str">
        <f>IF(B20735=B20734,"",B20735)</f>
        <v/>
      </c>
    </row>
    <row r="20736" spans="1:6" ht="15.75" customHeight="1">
      <c r="A20736" s="8" t="str">
        <f ca="1">IFERROR(__xludf.DUMMYFUNCTION("GOOGLETRANSLATE(B29360,""en"",""pt"")"),"Mataró")</f>
        <v>Mataró</v>
      </c>
      <c r="B20736" s="11" t="s">
        <v>32453</v>
      </c>
      <c r="C20736" s="11" t="s">
        <v>24200</v>
      </c>
      <c r="D20736" s="11" t="s">
        <v>24277</v>
      </c>
      <c r="E20736" s="10">
        <v>3117164</v>
      </c>
      <c r="F20736" s="4" t="str">
        <f>IF(B20736=B20735,"",B20736)</f>
        <v>Mataró</v>
      </c>
    </row>
    <row r="20737" spans="1:6" ht="15.75" customHeight="1">
      <c r="A20737" s="15" t="s">
        <v>14035</v>
      </c>
      <c r="B20737" s="15" t="s">
        <v>14035</v>
      </c>
      <c r="C20737" s="15" t="s">
        <v>13800</v>
      </c>
      <c r="D20737" s="15" t="s">
        <v>13855</v>
      </c>
      <c r="E20737" s="2">
        <v>1635882</v>
      </c>
      <c r="F20737" s="4" t="str">
        <f>IF(B20737=B20736,"",B20737)</f>
        <v>Mataram</v>
      </c>
    </row>
    <row r="20738" spans="1:6" ht="15.75" customHeight="1">
      <c r="A20738" s="8" t="str">
        <f ca="1">IFERROR(__xludf.DUMMYFUNCTION("GOOGLETRANSLATE(B31543,""en"",""pt"")"),"Mataram")</f>
        <v>Mataram</v>
      </c>
      <c r="B20738" s="9" t="s">
        <v>14035</v>
      </c>
      <c r="C20738" s="9" t="s">
        <v>13800</v>
      </c>
      <c r="D20738" s="9" t="s">
        <v>13855</v>
      </c>
      <c r="E20738" s="10">
        <v>1635882</v>
      </c>
      <c r="F20738" s="4" t="str">
        <f>IF(B20738=B20737,"",B20738)</f>
        <v/>
      </c>
    </row>
    <row r="20739" spans="1:6" ht="15.75" customHeight="1">
      <c r="A20739" s="15" t="s">
        <v>24607</v>
      </c>
      <c r="B20739" s="15" t="s">
        <v>24608</v>
      </c>
      <c r="C20739" s="15" t="s">
        <v>24200</v>
      </c>
      <c r="D20739" s="15" t="s">
        <v>24277</v>
      </c>
      <c r="E20739" s="2">
        <v>3117164</v>
      </c>
      <c r="F20739" s="4" t="str">
        <f>IF(B20739=B20738,"",B20739)</f>
        <v>MatarÃ³</v>
      </c>
    </row>
    <row r="20740" spans="1:6" ht="15.75" customHeight="1">
      <c r="A20740" s="15" t="s">
        <v>24962</v>
      </c>
      <c r="B20740" s="15" t="s">
        <v>24962</v>
      </c>
      <c r="C20740" s="15" t="s">
        <v>24924</v>
      </c>
      <c r="D20740" s="15" t="s">
        <v>1884</v>
      </c>
      <c r="E20740" s="2">
        <v>1235846</v>
      </c>
      <c r="F20740" s="4" t="str">
        <f>IF(B20740=B20739,"",B20740)</f>
        <v>Matara</v>
      </c>
    </row>
    <row r="20741" spans="1:6" ht="15.75" customHeight="1">
      <c r="A20741" s="8" t="str">
        <f ca="1">IFERROR(__xludf.DUMMYFUNCTION("GOOGLETRANSLATE(B36307,""en"",""pt"")"),"Matara")</f>
        <v>Matara</v>
      </c>
      <c r="B20741" s="11" t="s">
        <v>24962</v>
      </c>
      <c r="C20741" s="11" t="s">
        <v>24924</v>
      </c>
      <c r="D20741" s="11" t="s">
        <v>1884</v>
      </c>
      <c r="E20741" s="10">
        <v>1235846</v>
      </c>
      <c r="F20741" s="4" t="str">
        <f>IF(B20741=B20740,"",B20741)</f>
        <v/>
      </c>
    </row>
    <row r="20742" spans="1:6" ht="15.75" customHeight="1">
      <c r="A20742" s="8" t="str">
        <f ca="1">IFERROR(__xludf.DUMMYFUNCTION("GOOGLETRANSLATE(B24824,""en"",""pt"")"),"Matão")</f>
        <v>Matão</v>
      </c>
      <c r="B20742" s="9" t="s">
        <v>31593</v>
      </c>
      <c r="C20742" s="9" t="s">
        <v>1905</v>
      </c>
      <c r="D20742" s="9" t="s">
        <v>3354</v>
      </c>
      <c r="E20742" s="10">
        <v>3457509</v>
      </c>
      <c r="F20742" s="4" t="str">
        <f>IF(B20742=B20741,"",B20742)</f>
        <v>Matão</v>
      </c>
    </row>
    <row r="20743" spans="1:6" ht="15.75" customHeight="1">
      <c r="A20743" s="15" t="s">
        <v>5796</v>
      </c>
      <c r="B20743" s="15" t="s">
        <v>5796</v>
      </c>
      <c r="C20743" s="15" t="s">
        <v>5764</v>
      </c>
      <c r="D20743" s="15" t="s">
        <v>5796</v>
      </c>
      <c r="E20743" s="2">
        <v>3547398</v>
      </c>
      <c r="F20743" s="4" t="str">
        <f>IF(B20743=B20742,"",B20743)</f>
        <v>Matanzas</v>
      </c>
    </row>
    <row r="20744" spans="1:6" ht="15.75" customHeight="1">
      <c r="A20744" s="8" t="str">
        <f ca="1">IFERROR(__xludf.DUMMYFUNCTION("GOOGLETRANSLATE(B27148,""en"",""pt"")"),"Matanzas")</f>
        <v>Matanzas</v>
      </c>
      <c r="B20744" s="9" t="s">
        <v>5796</v>
      </c>
      <c r="C20744" s="9" t="s">
        <v>5764</v>
      </c>
      <c r="D20744" s="9" t="s">
        <v>5796</v>
      </c>
      <c r="E20744" s="10">
        <v>3547398</v>
      </c>
      <c r="F20744" s="4" t="str">
        <f>IF(B20744=B20743,"",B20744)</f>
        <v/>
      </c>
    </row>
    <row r="20745" spans="1:6" ht="15.75" customHeight="1">
      <c r="A20745" s="16" t="s">
        <v>18074</v>
      </c>
      <c r="B20745" s="15" t="s">
        <v>18074</v>
      </c>
      <c r="C20745" s="16" t="s">
        <v>17707</v>
      </c>
      <c r="D20745" s="16" t="s">
        <v>17738</v>
      </c>
      <c r="E20745" s="2">
        <v>3996426</v>
      </c>
      <c r="F20745" s="4" t="str">
        <f>IF(B20745=B20744,"",B20745)</f>
        <v>Matamoros</v>
      </c>
    </row>
    <row r="20746" spans="1:6" ht="15.75" customHeight="1">
      <c r="A20746" s="8" t="str">
        <f ca="1">IFERROR(__xludf.DUMMYFUNCTION("GOOGLETRANSLATE(B37249,""en"",""pt"")"),"Matamoros")</f>
        <v>Matamoros</v>
      </c>
      <c r="B20746" s="9" t="s">
        <v>18074</v>
      </c>
      <c r="C20746" s="9" t="s">
        <v>17707</v>
      </c>
      <c r="D20746" s="9" t="s">
        <v>17738</v>
      </c>
      <c r="E20746" s="10">
        <v>3996426</v>
      </c>
      <c r="F20746" s="4" t="str">
        <f>IF(B20746=B20745,"",B20746)</f>
        <v/>
      </c>
    </row>
    <row r="20747" spans="1:6" ht="15.75" customHeight="1">
      <c r="A20747" s="15" t="s">
        <v>19279</v>
      </c>
      <c r="B20747" s="15" t="s">
        <v>19279</v>
      </c>
      <c r="C20747" s="15" t="s">
        <v>19259</v>
      </c>
      <c r="D20747" s="15" t="s">
        <v>19278</v>
      </c>
      <c r="E20747" s="2">
        <v>2441217</v>
      </c>
      <c r="F20747" s="4" t="str">
        <f>IF(B20747=B20746,"",B20747)</f>
        <v>Matamey</v>
      </c>
    </row>
    <row r="20748" spans="1:6" ht="15.75" customHeight="1">
      <c r="A20748" s="8" t="str">
        <f ca="1">IFERROR(__xludf.DUMMYFUNCTION("GOOGLETRANSLATE(B37593,""en"",""pt"")"),"Matamey")</f>
        <v>Matamey</v>
      </c>
      <c r="B20748" s="9" t="s">
        <v>19279</v>
      </c>
      <c r="C20748" s="9" t="s">
        <v>19259</v>
      </c>
      <c r="D20748" s="9" t="s">
        <v>19278</v>
      </c>
      <c r="E20748" s="10">
        <v>2441217</v>
      </c>
      <c r="F20748" s="4" t="str">
        <f>IF(B20748=B20747,"",B20748)</f>
        <v/>
      </c>
    </row>
    <row r="20749" spans="1:6" ht="15.75" customHeight="1">
      <c r="A20749" s="15" t="s">
        <v>23577</v>
      </c>
      <c r="B20749" s="15" t="s">
        <v>23577</v>
      </c>
      <c r="C20749" s="15" t="s">
        <v>23559</v>
      </c>
      <c r="D20749" s="15" t="s">
        <v>23577</v>
      </c>
      <c r="E20749" s="2">
        <v>2248752</v>
      </c>
      <c r="F20749" s="4" t="str">
        <f>IF(B20749=B20748,"",B20749)</f>
        <v>Matam</v>
      </c>
    </row>
    <row r="20750" spans="1:6" ht="15.75" customHeight="1">
      <c r="A20750" s="8" t="str">
        <f ca="1">IFERROR(__xludf.DUMMYFUNCTION("GOOGLETRANSLATE(B41301,""en"",""pt"")"),"Matam")</f>
        <v>Matam</v>
      </c>
      <c r="B20750" s="9" t="s">
        <v>23577</v>
      </c>
      <c r="C20750" s="9" t="s">
        <v>23559</v>
      </c>
      <c r="D20750" s="9" t="s">
        <v>23577</v>
      </c>
      <c r="E20750" s="10">
        <v>2248752</v>
      </c>
      <c r="F20750" s="4" t="str">
        <f>IF(B20750=B20749,"",B20750)</f>
        <v/>
      </c>
    </row>
    <row r="20751" spans="1:6" ht="15.75" customHeight="1">
      <c r="A20751" s="15" t="s">
        <v>25678</v>
      </c>
      <c r="B20751" s="15" t="s">
        <v>25678</v>
      </c>
      <c r="C20751" s="15" t="s">
        <v>25560</v>
      </c>
      <c r="D20751" s="15" t="s">
        <v>25583</v>
      </c>
      <c r="E20751" s="2">
        <v>154638</v>
      </c>
      <c r="F20751" s="4" t="str">
        <f>IF(B20751=B20750,"",B20751)</f>
        <v>Matai</v>
      </c>
    </row>
    <row r="20752" spans="1:6" ht="15.75" customHeight="1">
      <c r="A20752" s="8" t="str">
        <f ca="1">IFERROR(__xludf.DUMMYFUNCTION("GOOGLETRANSLATE(B42358,""en"",""pt"")"),"Matai")</f>
        <v>Matai</v>
      </c>
      <c r="B20752" s="9" t="s">
        <v>25678</v>
      </c>
      <c r="C20752" s="9" t="s">
        <v>25560</v>
      </c>
      <c r="D20752" s="9" t="s">
        <v>25583</v>
      </c>
      <c r="E20752" s="10">
        <v>154638</v>
      </c>
      <c r="F20752" s="4" t="str">
        <f>IF(B20752=B20751,"",B20752)</f>
        <v/>
      </c>
    </row>
    <row r="20753" spans="1:6" ht="15.75" customHeight="1">
      <c r="A20753" s="16" t="s">
        <v>19240</v>
      </c>
      <c r="B20753" s="15" t="s">
        <v>19241</v>
      </c>
      <c r="C20753" s="16" t="s">
        <v>19217</v>
      </c>
      <c r="D20753" s="16" t="s">
        <v>19241</v>
      </c>
      <c r="E20753" s="2">
        <v>3617708</v>
      </c>
      <c r="F20753" s="4" t="str">
        <f>IF(B20753=B20752,"",B20753)</f>
        <v>Matagalpa</v>
      </c>
    </row>
    <row r="20754" spans="1:6" ht="15.75" customHeight="1">
      <c r="A20754" s="8" t="str">
        <f ca="1">IFERROR(__xludf.DUMMYFUNCTION("GOOGLETRANSLATE(B37863,""en"",""pt"")"),"MATAGALPA")</f>
        <v>MATAGALPA</v>
      </c>
      <c r="B20754" s="9" t="s">
        <v>19241</v>
      </c>
      <c r="C20754" s="9" t="s">
        <v>19217</v>
      </c>
      <c r="D20754" s="9" t="s">
        <v>19241</v>
      </c>
      <c r="E20754" s="10">
        <v>3617708</v>
      </c>
      <c r="F20754" s="4" t="str">
        <f>IF(B20754=B20753,"",B20754)</f>
        <v/>
      </c>
    </row>
    <row r="20755" spans="1:6" ht="15.75" customHeight="1">
      <c r="A20755" s="15" t="s">
        <v>6188</v>
      </c>
      <c r="B20755" s="15" t="s">
        <v>6188</v>
      </c>
      <c r="C20755" s="15" t="s">
        <v>6127</v>
      </c>
      <c r="D20755" s="15" t="s">
        <v>6167</v>
      </c>
      <c r="E20755" s="2">
        <v>2313002</v>
      </c>
      <c r="F20755" s="4" t="str">
        <f>IF(B20755=B20754,"",B20755)</f>
        <v>Matadi</v>
      </c>
    </row>
    <row r="20756" spans="1:6" ht="15.75" customHeight="1">
      <c r="A20756" s="8" t="str">
        <f ca="1">IFERROR(__xludf.DUMMYFUNCTION("GOOGLETRANSLATE(B25697,""en"",""pt"")"),"Matadi")</f>
        <v>Matadi</v>
      </c>
      <c r="B20756" s="9" t="s">
        <v>6188</v>
      </c>
      <c r="C20756" s="9" t="s">
        <v>6127</v>
      </c>
      <c r="D20756" s="9" t="s">
        <v>6167</v>
      </c>
      <c r="E20756" s="10">
        <v>2313002</v>
      </c>
      <c r="F20756" s="4" t="str">
        <f>IF(B20756=B20755,"",B20756)</f>
        <v/>
      </c>
    </row>
    <row r="20757" spans="1:6" ht="15.75" customHeight="1">
      <c r="A20757" s="8" t="str">
        <f ca="1">IFERROR(__xludf.DUMMYFUNCTION("GOOGLETRANSLATE(B32796,""en"",""pt"")"),"Mātābhānga")</f>
        <v>Mātābhānga</v>
      </c>
      <c r="B20757" s="11" t="s">
        <v>33392</v>
      </c>
      <c r="C20757" s="11" t="s">
        <v>10178</v>
      </c>
      <c r="D20757" s="11" t="s">
        <v>10201</v>
      </c>
      <c r="E20757" s="10">
        <v>1263395</v>
      </c>
      <c r="F20757" s="4" t="str">
        <f>IF(B20757=B20756,"",B20757)</f>
        <v>Mātābhānga</v>
      </c>
    </row>
    <row r="20758" spans="1:6" ht="15.75" customHeight="1">
      <c r="A20758" s="16" t="s">
        <v>18072</v>
      </c>
      <c r="B20758" s="15" t="s">
        <v>18073</v>
      </c>
      <c r="C20758" s="16" t="s">
        <v>17707</v>
      </c>
      <c r="D20758" s="16" t="s">
        <v>17844</v>
      </c>
      <c r="E20758" s="2">
        <v>3523450</v>
      </c>
      <c r="F20758" s="4" t="str">
        <f>IF(B20758=B20757,"",B20758)</f>
        <v>MatÃ­as Romero</v>
      </c>
    </row>
    <row r="20759" spans="1:6" ht="15.75" customHeight="1">
      <c r="A20759" s="15" t="s">
        <v>2880</v>
      </c>
      <c r="B20759" s="15" t="s">
        <v>2881</v>
      </c>
      <c r="C20759" s="15" t="s">
        <v>1905</v>
      </c>
      <c r="D20759" s="15" t="s">
        <v>1914</v>
      </c>
      <c r="E20759" s="2">
        <v>3457509</v>
      </c>
      <c r="F20759" s="4" t="str">
        <f>IF(B20759=B20758,"",B20759)</f>
        <v>MatÃ£o</v>
      </c>
    </row>
    <row r="20760" spans="1:6" ht="15.75" customHeight="1">
      <c r="A20760" s="8" t="str">
        <f ca="1">IFERROR(__xludf.DUMMYFUNCTION("GOOGLETRANSLATE(B24825,""en"",""pt"")"),"Mata de São João")</f>
        <v>Mata de São João</v>
      </c>
      <c r="B20760" s="9" t="s">
        <v>31594</v>
      </c>
      <c r="C20760" s="9" t="s">
        <v>1905</v>
      </c>
      <c r="D20760" s="9" t="s">
        <v>1947</v>
      </c>
      <c r="E20760" s="10">
        <v>3457528</v>
      </c>
      <c r="F20760" s="4" t="str">
        <f>IF(B20760=B20759,"",B20760)</f>
        <v>Mata de São João</v>
      </c>
    </row>
    <row r="20761" spans="1:6" ht="15.75" customHeight="1">
      <c r="A20761" s="16" t="s">
        <v>2878</v>
      </c>
      <c r="B20761" s="15" t="s">
        <v>2879</v>
      </c>
      <c r="C20761" s="16" t="s">
        <v>1905</v>
      </c>
      <c r="D20761" s="16" t="s">
        <v>1947</v>
      </c>
      <c r="E20761" s="2">
        <v>3457528</v>
      </c>
      <c r="F20761" s="4" t="str">
        <f>IF(B20761=B20760,"",B20761)</f>
        <v>Mata de SÃ£o JoÃ£o</v>
      </c>
    </row>
    <row r="20762" spans="1:6" ht="15.75" customHeight="1">
      <c r="A20762" s="8" t="str">
        <f ca="1">IFERROR(__xludf.DUMMYFUNCTION("GOOGLETRANSLATE(B41411,""en"",""pt"")"),"Maşyāf")</f>
        <v>Maşyāf</v>
      </c>
      <c r="B20762" s="9" t="s">
        <v>35736</v>
      </c>
      <c r="C20762" s="9" t="s">
        <v>25366</v>
      </c>
      <c r="D20762" s="9" t="s">
        <v>25367</v>
      </c>
      <c r="E20762" s="10">
        <v>167046</v>
      </c>
      <c r="F20762" s="4" t="str">
        <f>IF(B20762=B20761,"",B20762)</f>
        <v>Maşyāf</v>
      </c>
    </row>
    <row r="20763" spans="1:6" ht="15.75" customHeight="1">
      <c r="A20763" s="15" t="s">
        <v>25677</v>
      </c>
      <c r="B20763" s="15" t="s">
        <v>25677</v>
      </c>
      <c r="C20763" s="15" t="s">
        <v>25560</v>
      </c>
      <c r="D20763" s="15" t="s">
        <v>25566</v>
      </c>
      <c r="E20763" s="2">
        <v>154648</v>
      </c>
      <c r="F20763" s="4" t="str">
        <f>IF(B20763=B20762,"",B20763)</f>
        <v>Maswa</v>
      </c>
    </row>
    <row r="20764" spans="1:6" ht="15.75" customHeight="1">
      <c r="A20764" s="8" t="str">
        <f ca="1">IFERROR(__xludf.DUMMYFUNCTION("GOOGLETRANSLATE(B42359,""en"",""pt"")"),"Maswa")</f>
        <v>Maswa</v>
      </c>
      <c r="B20764" s="9" t="s">
        <v>25677</v>
      </c>
      <c r="C20764" s="9" t="s">
        <v>25560</v>
      </c>
      <c r="D20764" s="9" t="s">
        <v>25566</v>
      </c>
      <c r="E20764" s="10">
        <v>154648</v>
      </c>
      <c r="F20764" s="4" t="str">
        <f>IF(B20764=B20763,"",B20764)</f>
        <v/>
      </c>
    </row>
    <row r="20765" spans="1:6" ht="15.75" customHeight="1">
      <c r="A20765" s="15" t="s">
        <v>31083</v>
      </c>
      <c r="B20765" s="15" t="s">
        <v>31083</v>
      </c>
      <c r="C20765" s="15" t="s">
        <v>31072</v>
      </c>
      <c r="D20765" s="15" t="s">
        <v>31083</v>
      </c>
      <c r="E20765" s="2">
        <v>886763</v>
      </c>
      <c r="F20765" s="4" t="str">
        <f>IF(B20765=B20764,"",B20765)</f>
        <v>Masvingo</v>
      </c>
    </row>
    <row r="20766" spans="1:6" ht="15.75" customHeight="1">
      <c r="A20766" s="8" t="str">
        <f ca="1">IFERROR(__xludf.DUMMYFUNCTION("GOOGLETRANSLATE(B46038,""en"",""pt"")"),"Masvingo")</f>
        <v>Masvingo</v>
      </c>
      <c r="B20766" s="9" t="s">
        <v>31083</v>
      </c>
      <c r="C20766" s="9" t="s">
        <v>31072</v>
      </c>
      <c r="D20766" s="9" t="s">
        <v>31083</v>
      </c>
      <c r="E20766" s="10">
        <v>886763</v>
      </c>
      <c r="F20766" s="4" t="str">
        <f>IF(B20766=B20765,"",B20766)</f>
        <v/>
      </c>
    </row>
    <row r="20767" spans="1:6" ht="15.75" customHeight="1">
      <c r="A20767" s="16" t="s">
        <v>25676</v>
      </c>
      <c r="B20767" s="15" t="s">
        <v>25676</v>
      </c>
      <c r="C20767" s="16" t="s">
        <v>25560</v>
      </c>
      <c r="D20767" s="16" t="s">
        <v>25578</v>
      </c>
      <c r="E20767" s="2">
        <v>154654</v>
      </c>
      <c r="F20767" s="4" t="str">
        <f>IF(B20767=B20766,"",B20767)</f>
        <v>Masumbwe</v>
      </c>
    </row>
    <row r="20768" spans="1:6" ht="15.75" customHeight="1">
      <c r="A20768" s="8" t="str">
        <f ca="1">IFERROR(__xludf.DUMMYFUNCTION("GOOGLETRANSLATE(B42360,""en"",""pt"")"),"Masumbwe")</f>
        <v>Masumbwe</v>
      </c>
      <c r="B20768" s="11" t="s">
        <v>25676</v>
      </c>
      <c r="C20768" s="11" t="s">
        <v>25560</v>
      </c>
      <c r="D20768" s="11" t="s">
        <v>25578</v>
      </c>
      <c r="E20768" s="10">
        <v>154654</v>
      </c>
      <c r="F20768" s="4" t="str">
        <f>IF(B20768=B20767,"",B20768)</f>
        <v/>
      </c>
    </row>
    <row r="20769" spans="1:6" ht="15.75" customHeight="1">
      <c r="A20769" s="15" t="s">
        <v>16202</v>
      </c>
      <c r="B20769" s="15" t="s">
        <v>16202</v>
      </c>
      <c r="C20769" s="15" t="s">
        <v>15704</v>
      </c>
      <c r="D20769" s="15" t="s">
        <v>15740</v>
      </c>
      <c r="E20769" s="2">
        <v>1857594</v>
      </c>
      <c r="F20769" s="4" t="str">
        <f>IF(B20769=B20768,"",B20769)</f>
        <v>Masuda</v>
      </c>
    </row>
    <row r="20770" spans="1:6" ht="15.75" customHeight="1">
      <c r="A20770" s="8" t="str">
        <f ca="1">IFERROR(__xludf.DUMMYFUNCTION("GOOGLETRANSLATE(B35447,""en"",""pt"")"),"Masuda")</f>
        <v>Masuda</v>
      </c>
      <c r="B20770" s="11" t="s">
        <v>16202</v>
      </c>
      <c r="C20770" s="11" t="s">
        <v>15704</v>
      </c>
      <c r="D20770" s="11" t="s">
        <v>15740</v>
      </c>
      <c r="E20770" s="10">
        <v>1857594</v>
      </c>
      <c r="F20770" s="4" t="str">
        <f>IF(B20770=B20769,"",B20770)</f>
        <v/>
      </c>
    </row>
    <row r="20771" spans="1:6" ht="15.75" customHeight="1">
      <c r="A20771" s="15" t="s">
        <v>1486</v>
      </c>
      <c r="B20771" s="15" t="s">
        <v>1487</v>
      </c>
      <c r="C20771" s="15" t="s">
        <v>1453</v>
      </c>
      <c r="D20771" s="15" t="s">
        <v>1470</v>
      </c>
      <c r="E20771" s="2">
        <v>625367</v>
      </c>
      <c r="F20771" s="4" t="str">
        <f>IF(B20771=B20770,"",B20771)</f>
        <v>Masty</v>
      </c>
    </row>
    <row r="20772" spans="1:6" ht="15.75" customHeight="1">
      <c r="A20772" s="8" t="str">
        <f ca="1">IFERROR(__xludf.DUMMYFUNCTION("GOOGLETRANSLATE(B25393,""en"",""pt"")"),"Sava")</f>
        <v>Sava</v>
      </c>
      <c r="B20772" s="11" t="s">
        <v>1487</v>
      </c>
      <c r="C20772" s="11" t="s">
        <v>1453</v>
      </c>
      <c r="D20772" s="11" t="s">
        <v>1470</v>
      </c>
      <c r="E20772" s="10">
        <v>625367</v>
      </c>
      <c r="F20772" s="4" t="str">
        <f>IF(B20772=B20771,"",B20772)</f>
        <v/>
      </c>
    </row>
    <row r="20773" spans="1:6" ht="15.75" customHeight="1">
      <c r="A20773" s="15" t="s">
        <v>20096</v>
      </c>
      <c r="B20773" s="15" t="s">
        <v>20096</v>
      </c>
      <c r="C20773" s="15" t="s">
        <v>19808</v>
      </c>
      <c r="D20773" s="15" t="s">
        <v>19833</v>
      </c>
      <c r="E20773" s="2">
        <v>1170706</v>
      </c>
      <c r="F20773" s="4" t="str">
        <f>IF(B20773=B20772,"",B20773)</f>
        <v>Mastung</v>
      </c>
    </row>
    <row r="20774" spans="1:6" ht="15.75" customHeight="1">
      <c r="A20774" s="8" t="str">
        <f ca="1">IFERROR(__xludf.DUMMYFUNCTION("GOOGLETRANSLATE(B38991,""en"",""pt"")"),"Mastung")</f>
        <v>Mastung</v>
      </c>
      <c r="B20774" s="11" t="s">
        <v>20096</v>
      </c>
      <c r="C20774" s="11" t="s">
        <v>19808</v>
      </c>
      <c r="D20774" s="11" t="s">
        <v>34892</v>
      </c>
      <c r="E20774" s="10">
        <v>1170706</v>
      </c>
      <c r="F20774" s="4" t="str">
        <f>IF(B20774=B20773,"",B20774)</f>
        <v/>
      </c>
    </row>
    <row r="20775" spans="1:6" ht="15.75" customHeight="1">
      <c r="A20775" s="15" t="s">
        <v>29232</v>
      </c>
      <c r="B20775" s="15" t="s">
        <v>29233</v>
      </c>
      <c r="C20775" s="15" t="s">
        <v>27788</v>
      </c>
      <c r="D20775" s="15" t="s">
        <v>27819</v>
      </c>
      <c r="E20775" s="2">
        <v>5126208</v>
      </c>
      <c r="F20775" s="4" t="str">
        <f>IF(B20775=B20774,"",B20775)</f>
        <v>Mastic</v>
      </c>
    </row>
    <row r="20776" spans="1:6" ht="15.75" customHeight="1">
      <c r="A20776" s="8" t="str">
        <f ca="1">IFERROR(__xludf.DUMMYFUNCTION("GOOGLETRANSLATE(B44407,""en"",""pt"")"),"mástique")</f>
        <v>mástique</v>
      </c>
      <c r="B20776" s="11" t="s">
        <v>29233</v>
      </c>
      <c r="C20776" s="11" t="s">
        <v>27788</v>
      </c>
      <c r="D20776" s="11" t="s">
        <v>27819</v>
      </c>
      <c r="E20776" s="10">
        <v>5126208</v>
      </c>
      <c r="F20776" s="4" t="str">
        <f>IF(B20776=B20775,"",B20776)</f>
        <v/>
      </c>
    </row>
    <row r="20777" spans="1:6" ht="15.75" customHeight="1">
      <c r="A20777" s="16" t="s">
        <v>19191</v>
      </c>
      <c r="B20777" s="15" t="s">
        <v>19191</v>
      </c>
      <c r="C20777" s="16" t="s">
        <v>19169</v>
      </c>
      <c r="D20777" s="16" t="s">
        <v>13773</v>
      </c>
      <c r="E20777" s="2">
        <v>2206890</v>
      </c>
      <c r="F20777" s="4" t="str">
        <f>IF(B20777=B20776,"",B20777)</f>
        <v>Masterton</v>
      </c>
    </row>
    <row r="20778" spans="1:6" ht="15.75" customHeight="1">
      <c r="A20778" s="8" t="str">
        <f ca="1">IFERROR(__xludf.DUMMYFUNCTION("GOOGLETRANSLATE(B38240,""en"",""pt"")"),"Masterton")</f>
        <v>Masterton</v>
      </c>
      <c r="B20778" s="11" t="s">
        <v>19191</v>
      </c>
      <c r="C20778" s="11" t="s">
        <v>19169</v>
      </c>
      <c r="D20778" s="11" t="s">
        <v>13773</v>
      </c>
      <c r="E20778" s="10">
        <v>2206890</v>
      </c>
      <c r="F20778" s="4" t="str">
        <f>IF(B20778=B20777,"",B20778)</f>
        <v/>
      </c>
    </row>
    <row r="20779" spans="1:6" ht="15.75" customHeight="1">
      <c r="A20779" s="8" t="str">
        <f ca="1">IFERROR(__xludf.DUMMYFUNCTION("GOOGLETRANSLATE(B23651,""en"",""pt"")"),"Maştağa")</f>
        <v>Maştağa</v>
      </c>
      <c r="B20779" s="9" t="s">
        <v>31243</v>
      </c>
      <c r="C20779" s="9" t="s">
        <v>1170</v>
      </c>
      <c r="D20779" s="9" t="s">
        <v>1181</v>
      </c>
      <c r="E20779" s="10">
        <v>585557</v>
      </c>
      <c r="F20779" s="4" t="str">
        <f>IF(B20779=B20778,"",B20779)</f>
        <v>Maştağa</v>
      </c>
    </row>
    <row r="20780" spans="1:6" ht="15.75" customHeight="1">
      <c r="A20780" s="15" t="s">
        <v>7575</v>
      </c>
      <c r="B20780" s="15" t="s">
        <v>7575</v>
      </c>
      <c r="C20780" s="15" t="s">
        <v>7052</v>
      </c>
      <c r="D20780" s="15" t="s">
        <v>7058</v>
      </c>
      <c r="E20780" s="2">
        <v>2995206</v>
      </c>
      <c r="F20780" s="4" t="str">
        <f>IF(B20780=B20779,"",B20780)</f>
        <v>Massy</v>
      </c>
    </row>
    <row r="20781" spans="1:6" ht="15.75" customHeight="1">
      <c r="A20781" s="8" t="str">
        <f ca="1">IFERROR(__xludf.DUMMYFUNCTION("GOOGLETRANSLATE(B29934,""en"",""pt"")"),"Massy")</f>
        <v>Massy</v>
      </c>
      <c r="B20781" s="9" t="s">
        <v>7575</v>
      </c>
      <c r="C20781" s="9" t="s">
        <v>7052</v>
      </c>
      <c r="D20781" s="9" t="s">
        <v>32531</v>
      </c>
      <c r="E20781" s="10">
        <v>2995206</v>
      </c>
      <c r="F20781" s="4" t="str">
        <f>IF(B20781=B20780,"",B20781)</f>
        <v/>
      </c>
    </row>
    <row r="20782" spans="1:6" ht="15.75" customHeight="1">
      <c r="A20782" s="15" t="s">
        <v>29231</v>
      </c>
      <c r="B20782" s="15" t="s">
        <v>29231</v>
      </c>
      <c r="C20782" s="15" t="s">
        <v>27788</v>
      </c>
      <c r="D20782" s="15" t="s">
        <v>27813</v>
      </c>
      <c r="E20782" s="2">
        <v>5162097</v>
      </c>
      <c r="F20782" s="4" t="str">
        <f>IF(B20782=B20781,"",B20782)</f>
        <v>Massillon</v>
      </c>
    </row>
    <row r="20783" spans="1:6" ht="15.75" customHeight="1">
      <c r="A20783" s="8" t="str">
        <f ca="1">IFERROR(__xludf.DUMMYFUNCTION("GOOGLETRANSLATE(B44517,""en"",""pt"")"),"Massillon")</f>
        <v>Massillon</v>
      </c>
      <c r="B20783" s="9" t="s">
        <v>29231</v>
      </c>
      <c r="C20783" s="9" t="s">
        <v>27788</v>
      </c>
      <c r="D20783" s="9" t="s">
        <v>27813</v>
      </c>
      <c r="E20783" s="10">
        <v>5162097</v>
      </c>
      <c r="F20783" s="4" t="str">
        <f>IF(B20783=B20782,"",B20783)</f>
        <v/>
      </c>
    </row>
    <row r="20784" spans="1:6" ht="15.75" customHeight="1">
      <c r="A20784" s="15" t="s">
        <v>6783</v>
      </c>
      <c r="B20784" s="15" t="s">
        <v>6783</v>
      </c>
      <c r="C20784" s="15" t="s">
        <v>6775</v>
      </c>
      <c r="D20784" s="15" t="s">
        <v>6784</v>
      </c>
      <c r="E20784" s="2">
        <v>330546</v>
      </c>
      <c r="F20784" s="4" t="str">
        <f>IF(B20784=B20783,"",B20784)</f>
        <v>Massawa</v>
      </c>
    </row>
    <row r="20785" spans="1:6" ht="15.75" customHeight="1">
      <c r="A20785" s="8" t="str">
        <f ca="1">IFERROR(__xludf.DUMMYFUNCTION("GOOGLETRANSLATE(B28944,""en"",""pt"")"),"Massawa")</f>
        <v>Massawa</v>
      </c>
      <c r="B20785" s="9" t="s">
        <v>6783</v>
      </c>
      <c r="C20785" s="9" t="s">
        <v>6775</v>
      </c>
      <c r="D20785" s="9" t="s">
        <v>6784</v>
      </c>
      <c r="E20785" s="10">
        <v>330546</v>
      </c>
      <c r="F20785" s="4" t="str">
        <f>IF(B20785=B20784,"",B20785)</f>
        <v/>
      </c>
    </row>
    <row r="20786" spans="1:6" ht="15.75" customHeight="1">
      <c r="A20786" s="16" t="s">
        <v>29229</v>
      </c>
      <c r="B20786" s="15" t="s">
        <v>29230</v>
      </c>
      <c r="C20786" s="16" t="s">
        <v>27788</v>
      </c>
      <c r="D20786" s="16" t="s">
        <v>27819</v>
      </c>
      <c r="E20786" s="2">
        <v>5126187</v>
      </c>
      <c r="F20786" s="4" t="str">
        <f>IF(B20786=B20785,"",B20786)</f>
        <v>Massapequa Park</v>
      </c>
    </row>
    <row r="20787" spans="1:6" ht="15.75" customHeight="1">
      <c r="A20787" s="8" t="str">
        <f ca="1">IFERROR(__xludf.DUMMYFUNCTION("GOOGLETRANSLATE(B44406,""en"",""pt"")"),"Parque Massapequa")</f>
        <v>Parque Massapequa</v>
      </c>
      <c r="B20787" s="9" t="s">
        <v>29230</v>
      </c>
      <c r="C20787" s="9" t="s">
        <v>27788</v>
      </c>
      <c r="D20787" s="9" t="s">
        <v>27819</v>
      </c>
      <c r="E20787" s="10">
        <v>5126187</v>
      </c>
      <c r="F20787" s="4" t="str">
        <f>IF(B20787=B20786,"",B20787)</f>
        <v/>
      </c>
    </row>
    <row r="20788" spans="1:6" ht="15.75" customHeight="1">
      <c r="A20788" s="16" t="s">
        <v>29228</v>
      </c>
      <c r="B20788" s="15" t="s">
        <v>29228</v>
      </c>
      <c r="C20788" s="16" t="s">
        <v>27788</v>
      </c>
      <c r="D20788" s="16" t="s">
        <v>27819</v>
      </c>
      <c r="E20788" s="2">
        <v>5126183</v>
      </c>
      <c r="F20788" s="4" t="str">
        <f>IF(B20788=B20787,"",B20788)</f>
        <v>Massapequa</v>
      </c>
    </row>
    <row r="20789" spans="1:6" ht="15.75" customHeight="1">
      <c r="A20789" s="8" t="str">
        <f ca="1">IFERROR(__xludf.DUMMYFUNCTION("GOOGLETRANSLATE(B44405,""en"",""pt"")"),"Massapequa")</f>
        <v>Massapequa</v>
      </c>
      <c r="B20789" s="9" t="s">
        <v>29228</v>
      </c>
      <c r="C20789" s="9" t="s">
        <v>27788</v>
      </c>
      <c r="D20789" s="9" t="s">
        <v>27819</v>
      </c>
      <c r="E20789" s="10">
        <v>5126183</v>
      </c>
      <c r="F20789" s="4" t="str">
        <f>IF(B20789=B20788,"",B20789)</f>
        <v/>
      </c>
    </row>
    <row r="20790" spans="1:6" ht="15.75" customHeight="1">
      <c r="A20790" s="16" t="s">
        <v>24606</v>
      </c>
      <c r="B20790" s="15" t="s">
        <v>24606</v>
      </c>
      <c r="C20790" s="16" t="s">
        <v>24200</v>
      </c>
      <c r="D20790" s="16" t="s">
        <v>21053</v>
      </c>
      <c r="E20790" s="2">
        <v>2514066</v>
      </c>
      <c r="F20790" s="4" t="str">
        <f>IF(B20790=B20789,"",B20790)</f>
        <v>Massamagrell</v>
      </c>
    </row>
    <row r="20791" spans="1:6" ht="15.75" customHeight="1">
      <c r="A20791" s="8" t="str">
        <f ca="1">IFERROR(__xludf.DUMMYFUNCTION("GOOGLETRANSLATE(B29059,""en"",""pt"")"),"Massamagrell")</f>
        <v>Massamagrell</v>
      </c>
      <c r="B20791" s="9" t="s">
        <v>24606</v>
      </c>
      <c r="C20791" s="9" t="s">
        <v>24200</v>
      </c>
      <c r="D20791" s="9" t="s">
        <v>21053</v>
      </c>
      <c r="E20791" s="10">
        <v>2514066</v>
      </c>
      <c r="F20791" s="4" t="str">
        <f>IF(B20791=B20790,"",B20791)</f>
        <v/>
      </c>
    </row>
    <row r="20792" spans="1:6" ht="15.75" customHeight="1">
      <c r="A20792" s="16" t="s">
        <v>4340</v>
      </c>
      <c r="B20792" s="15" t="s">
        <v>4340</v>
      </c>
      <c r="C20792" s="16" t="s">
        <v>4305</v>
      </c>
      <c r="D20792" s="16" t="s">
        <v>4339</v>
      </c>
      <c r="E20792" s="2">
        <v>2428228</v>
      </c>
      <c r="F20792" s="4" t="str">
        <f>IF(B20792=B20791,"",B20792)</f>
        <v>Massakory</v>
      </c>
    </row>
    <row r="20793" spans="1:6" ht="15.75" customHeight="1">
      <c r="A20793" s="8" t="str">
        <f ca="1">IFERROR(__xludf.DUMMYFUNCTION("GOOGLETRANSLATE(B41480,""en"",""pt"")"),"Massakory")</f>
        <v>Massakory</v>
      </c>
      <c r="B20793" s="9" t="s">
        <v>4340</v>
      </c>
      <c r="C20793" s="9" t="s">
        <v>4305</v>
      </c>
      <c r="D20793" s="9" t="s">
        <v>4339</v>
      </c>
      <c r="E20793" s="10">
        <v>2428228</v>
      </c>
      <c r="F20793" s="4" t="str">
        <f>IF(B20793=B20792,"",B20793)</f>
        <v/>
      </c>
    </row>
    <row r="20794" spans="1:6" ht="15.75" customHeight="1">
      <c r="A20794" s="16" t="s">
        <v>4338</v>
      </c>
      <c r="B20794" s="15" t="s">
        <v>4338</v>
      </c>
      <c r="C20794" s="16" t="s">
        <v>4305</v>
      </c>
      <c r="D20794" s="16" t="s">
        <v>4339</v>
      </c>
      <c r="E20794" s="2">
        <v>2428231</v>
      </c>
      <c r="F20794" s="4" t="str">
        <f>IF(B20794=B20793,"",B20794)</f>
        <v>Massaguet</v>
      </c>
    </row>
    <row r="20795" spans="1:6" ht="15.75" customHeight="1">
      <c r="A20795" s="8" t="str">
        <f ca="1">IFERROR(__xludf.DUMMYFUNCTION("GOOGLETRANSLATE(B41481,""en"",""pt"")"),"Massaguet")</f>
        <v>Massaguet</v>
      </c>
      <c r="B20795" s="9" t="s">
        <v>4338</v>
      </c>
      <c r="C20795" s="9" t="s">
        <v>4305</v>
      </c>
      <c r="D20795" s="9" t="s">
        <v>4339</v>
      </c>
      <c r="E20795" s="10">
        <v>2428231</v>
      </c>
      <c r="F20795" s="4" t="str">
        <f>IF(B20795=B20794,"",B20795)</f>
        <v/>
      </c>
    </row>
    <row r="20796" spans="1:6" ht="15.75" customHeight="1">
      <c r="A20796" s="15" t="s">
        <v>15253</v>
      </c>
      <c r="B20796" s="15" t="s">
        <v>15253</v>
      </c>
      <c r="C20796" s="15" t="s">
        <v>14891</v>
      </c>
      <c r="D20796" s="15" t="s">
        <v>14908</v>
      </c>
      <c r="E20796" s="2">
        <v>3173762</v>
      </c>
      <c r="F20796" s="4" t="str">
        <f>IF(B20796=B20795,"",B20796)</f>
        <v>Massafra</v>
      </c>
    </row>
    <row r="20797" spans="1:6" ht="15.75" customHeight="1">
      <c r="A20797" s="8" t="str">
        <f ca="1">IFERROR(__xludf.DUMMYFUNCTION("GOOGLETRANSLATE(B34845,""en"",""pt"")"),"Massafra")</f>
        <v>Massafra</v>
      </c>
      <c r="B20797" s="9" t="s">
        <v>15253</v>
      </c>
      <c r="C20797" s="9" t="s">
        <v>14891</v>
      </c>
      <c r="D20797" s="9" t="s">
        <v>14908</v>
      </c>
      <c r="E20797" s="10">
        <v>3173762</v>
      </c>
      <c r="F20797" s="4" t="str">
        <f>IF(B20797=B20796,"",B20797)</f>
        <v/>
      </c>
    </row>
    <row r="20798" spans="1:6" ht="15.75" customHeight="1">
      <c r="A20798" s="15" t="s">
        <v>15252</v>
      </c>
      <c r="B20798" s="15" t="s">
        <v>15252</v>
      </c>
      <c r="C20798" s="15" t="s">
        <v>14891</v>
      </c>
      <c r="D20798" s="15" t="s">
        <v>14943</v>
      </c>
      <c r="E20798" s="2">
        <v>3173775</v>
      </c>
      <c r="F20798" s="4" t="str">
        <f>IF(B20798=B20797,"",B20798)</f>
        <v>Massa</v>
      </c>
    </row>
    <row r="20799" spans="1:6" ht="15.75" customHeight="1">
      <c r="A20799" s="8" t="str">
        <f ca="1">IFERROR(__xludf.DUMMYFUNCTION("GOOGLETRANSLATE(B34846,""en"",""pt"")"),"Massa")</f>
        <v>Massa</v>
      </c>
      <c r="B20799" s="9" t="s">
        <v>15252</v>
      </c>
      <c r="C20799" s="9" t="s">
        <v>14891</v>
      </c>
      <c r="D20799" s="9" t="s">
        <v>14943</v>
      </c>
      <c r="E20799" s="10">
        <v>3173775</v>
      </c>
      <c r="F20799" s="4" t="str">
        <f>IF(B20799=B20798,"",B20799)</f>
        <v/>
      </c>
    </row>
    <row r="20800" spans="1:6" ht="15.75" customHeight="1">
      <c r="A20800" s="16" t="s">
        <v>24605</v>
      </c>
      <c r="B20800" s="15" t="s">
        <v>24605</v>
      </c>
      <c r="C20800" s="16" t="s">
        <v>24200</v>
      </c>
      <c r="D20800" s="16" t="s">
        <v>24212</v>
      </c>
      <c r="E20800" s="2">
        <v>2514042</v>
      </c>
      <c r="F20800" s="4" t="str">
        <f>IF(B20800=B20799,"",B20800)</f>
        <v>Maspalomas</v>
      </c>
    </row>
    <row r="20801" spans="1:6" ht="15.75" customHeight="1">
      <c r="A20801" s="8" t="str">
        <f ca="1">IFERROR(__xludf.DUMMYFUNCTION("GOOGLETRANSLATE(B29058,""en"",""pt"")"),"Maspalomas")</f>
        <v>Maspalomas</v>
      </c>
      <c r="B20801" s="9" t="s">
        <v>24605</v>
      </c>
      <c r="C20801" s="9" t="s">
        <v>24200</v>
      </c>
      <c r="D20801" s="9" t="s">
        <v>24212</v>
      </c>
      <c r="E20801" s="10">
        <v>2514042</v>
      </c>
      <c r="F20801" s="4" t="str">
        <f>IF(B20801=B20800,"",B20801)</f>
        <v/>
      </c>
    </row>
    <row r="20802" spans="1:6" ht="15.75" customHeight="1">
      <c r="A20802" s="16" t="s">
        <v>29226</v>
      </c>
      <c r="B20802" s="15" t="s">
        <v>29227</v>
      </c>
      <c r="C20802" s="16" t="s">
        <v>27788</v>
      </c>
      <c r="D20802" s="16" t="s">
        <v>27859</v>
      </c>
      <c r="E20802" s="2">
        <v>4866445</v>
      </c>
      <c r="F20802" s="4" t="str">
        <f>IF(B20802=B20801,"",B20802)</f>
        <v>Mason City</v>
      </c>
    </row>
    <row r="20803" spans="1:6" ht="15.75" customHeight="1">
      <c r="A20803" s="8" t="str">
        <f ca="1">IFERROR(__xludf.DUMMYFUNCTION("GOOGLETRANSLATE(B43752,""en"",""pt"")"),"Cidade de Mason")</f>
        <v>Cidade de Mason</v>
      </c>
      <c r="B20803" s="9" t="s">
        <v>29227</v>
      </c>
      <c r="C20803" s="9" t="s">
        <v>27788</v>
      </c>
      <c r="D20803" s="9" t="s">
        <v>27859</v>
      </c>
      <c r="E20803" s="10">
        <v>4866445</v>
      </c>
      <c r="F20803" s="4" t="str">
        <f>IF(B20803=B20802,"",B20803)</f>
        <v/>
      </c>
    </row>
    <row r="20804" spans="1:6" ht="15.75" customHeight="1">
      <c r="A20804" s="15" t="s">
        <v>29224</v>
      </c>
      <c r="B20804" s="15" t="s">
        <v>29225</v>
      </c>
      <c r="C20804" s="15" t="s">
        <v>27788</v>
      </c>
      <c r="D20804" s="15" t="s">
        <v>27813</v>
      </c>
      <c r="E20804" s="2">
        <v>4517698</v>
      </c>
      <c r="F20804" s="4" t="str">
        <f>IF(B20804=B20803,"",B20804)</f>
        <v>Mason</v>
      </c>
    </row>
    <row r="20805" spans="1:6" ht="15.75" customHeight="1">
      <c r="A20805" s="8" t="str">
        <f ca="1">IFERROR(__xludf.DUMMYFUNCTION("GOOGLETRANSLATE(B43519,""en"",""pt"")"),"Pedreiro")</f>
        <v>Pedreiro</v>
      </c>
      <c r="B20805" s="9" t="s">
        <v>29225</v>
      </c>
      <c r="C20805" s="9" t="s">
        <v>27788</v>
      </c>
      <c r="D20805" s="9" t="s">
        <v>27813</v>
      </c>
      <c r="E20805" s="10">
        <v>4517698</v>
      </c>
      <c r="F20805" s="4" t="str">
        <f>IF(B20805=B20804,"",B20805)</f>
        <v/>
      </c>
    </row>
    <row r="20806" spans="1:6" ht="15.75" customHeight="1">
      <c r="A20806" s="8" t="str">
        <f ca="1">IFERROR(__xludf.DUMMYFUNCTION("GOOGLETRANSLATE(B34415,""en"",""pt"")"),"Masjed Soleymān")</f>
        <v>Masjed Soleymān</v>
      </c>
      <c r="B20806" s="11" t="s">
        <v>34176</v>
      </c>
      <c r="C20806" s="11" t="s">
        <v>14240</v>
      </c>
      <c r="D20806" s="11" t="s">
        <v>14271</v>
      </c>
      <c r="E20806" s="10">
        <v>124620</v>
      </c>
      <c r="F20806" s="4" t="str">
        <f>IF(B20806=B20805,"",B20806)</f>
        <v>Masjed Soleymān</v>
      </c>
    </row>
    <row r="20807" spans="1:6" ht="15.75" customHeight="1">
      <c r="A20807" s="16" t="s">
        <v>14461</v>
      </c>
      <c r="B20807" s="15" t="s">
        <v>14462</v>
      </c>
      <c r="C20807" s="16" t="s">
        <v>14240</v>
      </c>
      <c r="D20807" s="16" t="s">
        <v>14271</v>
      </c>
      <c r="E20807" s="2">
        <v>124620</v>
      </c>
      <c r="F20807" s="4" t="str">
        <f>IF(B20807=B20806,"",B20807)</f>
        <v>Masjed SoleymÄn</v>
      </c>
    </row>
    <row r="20808" spans="1:6" ht="15.75" customHeight="1">
      <c r="A20808" s="15" t="s">
        <v>874</v>
      </c>
      <c r="B20808" s="15" t="s">
        <v>874</v>
      </c>
      <c r="C20808" s="15" t="s">
        <v>853</v>
      </c>
      <c r="D20808" s="15" t="s">
        <v>857</v>
      </c>
      <c r="E20808" s="2">
        <v>616435</v>
      </c>
      <c r="F20808" s="4" t="str">
        <f>IF(B20808=B20807,"",B20808)</f>
        <v>Masis</v>
      </c>
    </row>
    <row r="20809" spans="1:6" ht="15.75" customHeight="1">
      <c r="A20809" s="8" t="str">
        <f ca="1">IFERROR(__xludf.DUMMYFUNCTION("GOOGLETRANSLATE(B23133,""en"",""pt"")"),"Masis")</f>
        <v>Masis</v>
      </c>
      <c r="B20809" s="9" t="s">
        <v>874</v>
      </c>
      <c r="C20809" s="9" t="s">
        <v>853</v>
      </c>
      <c r="D20809" s="9" t="s">
        <v>857</v>
      </c>
      <c r="E20809" s="10">
        <v>616435</v>
      </c>
      <c r="F20809" s="4" t="str">
        <f>IF(B20809=B20808,"",B20809)</f>
        <v/>
      </c>
    </row>
    <row r="20810" spans="1:6" ht="15.75" customHeight="1">
      <c r="A20810" s="15" t="s">
        <v>20897</v>
      </c>
      <c r="B20810" s="15" t="s">
        <v>20897</v>
      </c>
      <c r="C20810" s="15" t="s">
        <v>20598</v>
      </c>
      <c r="D20810" s="15" t="s">
        <v>20599</v>
      </c>
      <c r="E20810" s="2">
        <v>1700665</v>
      </c>
      <c r="F20810" s="4" t="str">
        <f>IF(B20810=B20809,"",B20810)</f>
        <v>Masinloc</v>
      </c>
    </row>
    <row r="20811" spans="1:6" ht="15.75" customHeight="1">
      <c r="A20811" s="8" t="str">
        <f ca="1">IFERROR(__xludf.DUMMYFUNCTION("GOOGLETRANSLATE(B38610,""en"",""pt"")"),"Masinloc")</f>
        <v>Masinloc</v>
      </c>
      <c r="B20811" s="9" t="s">
        <v>20897</v>
      </c>
      <c r="C20811" s="9" t="s">
        <v>20598</v>
      </c>
      <c r="D20811" s="9" t="s">
        <v>20599</v>
      </c>
      <c r="E20811" s="10">
        <v>1700665</v>
      </c>
      <c r="F20811" s="4" t="str">
        <f>IF(B20811=B20810,"",B20811)</f>
        <v/>
      </c>
    </row>
    <row r="20812" spans="1:6" ht="15.75" customHeight="1">
      <c r="A20812" s="15" t="s">
        <v>26849</v>
      </c>
      <c r="B20812" s="15" t="s">
        <v>26849</v>
      </c>
      <c r="C20812" s="15" t="s">
        <v>26820</v>
      </c>
      <c r="D20812" s="15" t="s">
        <v>18803</v>
      </c>
      <c r="E20812" s="2">
        <v>229362</v>
      </c>
      <c r="F20812" s="4" t="str">
        <f>IF(B20812=B20811,"",B20812)</f>
        <v>Masindi</v>
      </c>
    </row>
    <row r="20813" spans="1:6" ht="15.75" customHeight="1">
      <c r="A20813" s="8" t="str">
        <f ca="1">IFERROR(__xludf.DUMMYFUNCTION("GOOGLETRANSLATE(B42742,""en"",""pt"")"),"Masindi")</f>
        <v>Masindi</v>
      </c>
      <c r="B20813" s="9" t="s">
        <v>26849</v>
      </c>
      <c r="C20813" s="9" t="s">
        <v>26820</v>
      </c>
      <c r="D20813" s="9" t="s">
        <v>18803</v>
      </c>
      <c r="E20813" s="10">
        <v>229362</v>
      </c>
      <c r="F20813" s="4" t="str">
        <f>IF(B20813=B20812,"",B20813)</f>
        <v/>
      </c>
    </row>
    <row r="20814" spans="1:6" ht="15.75" customHeight="1">
      <c r="A20814" s="15" t="s">
        <v>6187</v>
      </c>
      <c r="B20814" s="15" t="s">
        <v>6187</v>
      </c>
      <c r="C20814" s="15" t="s">
        <v>6127</v>
      </c>
      <c r="D20814" s="15" t="s">
        <v>6172</v>
      </c>
      <c r="E20814" s="2">
        <v>2593460</v>
      </c>
      <c r="F20814" s="4" t="str">
        <f>IF(B20814=B20813,"",B20814)</f>
        <v>Masina</v>
      </c>
    </row>
    <row r="20815" spans="1:6" ht="15.75" customHeight="1">
      <c r="A20815" s="8" t="str">
        <f ca="1">IFERROR(__xludf.DUMMYFUNCTION("GOOGLETRANSLATE(B25709,""en"",""pt"")"),"Masina")</f>
        <v>Masina</v>
      </c>
      <c r="B20815" s="9" t="s">
        <v>6187</v>
      </c>
      <c r="C20815" s="9" t="s">
        <v>6127</v>
      </c>
      <c r="D20815" s="9" t="s">
        <v>6172</v>
      </c>
      <c r="E20815" s="10">
        <v>2593460</v>
      </c>
      <c r="F20815" s="4" t="str">
        <f>IF(B20815=B20814,"",B20815)</f>
        <v/>
      </c>
    </row>
    <row r="20816" spans="1:6" ht="15.75" customHeight="1">
      <c r="A20816" s="8" t="str">
        <f ca="1">IFERROR(__xludf.DUMMYFUNCTION("GOOGLETRANSLATE(B28847,""en"",""pt"")"),"Mashtūl como Sūq")</f>
        <v>Mashtūl como Sūq</v>
      </c>
      <c r="B20816" s="11" t="s">
        <v>32273</v>
      </c>
      <c r="C20816" s="11" t="s">
        <v>6495</v>
      </c>
      <c r="D20816" s="11" t="s">
        <v>6128</v>
      </c>
      <c r="E20816" s="10">
        <v>352679</v>
      </c>
      <c r="F20816" s="4" t="str">
        <f>IF(B20816=B20815,"",B20816)</f>
        <v>Mashtūl as Sūq</v>
      </c>
    </row>
    <row r="20817" spans="1:6" ht="15.75" customHeight="1">
      <c r="A20817" s="16" t="s">
        <v>6681</v>
      </c>
      <c r="B20817" s="15" t="s">
        <v>6682</v>
      </c>
      <c r="C20817" s="16" t="s">
        <v>6495</v>
      </c>
      <c r="D20817" s="16" t="s">
        <v>6128</v>
      </c>
      <c r="E20817" s="2">
        <v>352679</v>
      </c>
      <c r="F20817" s="4" t="str">
        <f>IF(B20817=B20816,"",B20817)</f>
        <v>MashtÅ«l as SÅ«q</v>
      </c>
    </row>
    <row r="20818" spans="1:6" ht="15.75" customHeight="1">
      <c r="A20818" s="15" t="s">
        <v>16201</v>
      </c>
      <c r="B20818" s="15" t="s">
        <v>16201</v>
      </c>
      <c r="C20818" s="15" t="s">
        <v>15704</v>
      </c>
      <c r="D20818" s="15" t="s">
        <v>15799</v>
      </c>
      <c r="E20818" s="2">
        <v>2111999</v>
      </c>
      <c r="F20818" s="4" t="str">
        <f>IF(B20818=B20817,"",B20818)</f>
        <v>Mashiko</v>
      </c>
    </row>
    <row r="20819" spans="1:6" ht="15.75" customHeight="1">
      <c r="A20819" s="8" t="str">
        <f ca="1">IFERROR(__xludf.DUMMYFUNCTION("GOOGLETRANSLATE(B35770,""en"",""pt"")"),"Mashiko")</f>
        <v>Mashiko</v>
      </c>
      <c r="B20819" s="9" t="s">
        <v>16201</v>
      </c>
      <c r="C20819" s="9" t="s">
        <v>15704</v>
      </c>
      <c r="D20819" s="9" t="s">
        <v>15799</v>
      </c>
      <c r="E20819" s="10">
        <v>2111999</v>
      </c>
      <c r="F20819" s="4" t="str">
        <f>IF(B20819=B20818,"",B20819)</f>
        <v/>
      </c>
    </row>
    <row r="20820" spans="1:6" ht="15.75" customHeight="1">
      <c r="A20820" s="15" t="s">
        <v>14460</v>
      </c>
      <c r="B20820" s="15" t="s">
        <v>14460</v>
      </c>
      <c r="C20820" s="15" t="s">
        <v>14240</v>
      </c>
      <c r="D20820" s="15" t="s">
        <v>14351</v>
      </c>
      <c r="E20820" s="2">
        <v>124665</v>
      </c>
      <c r="F20820" s="4" t="str">
        <f>IF(B20820=B20819,"",B20820)</f>
        <v>Mashhad</v>
      </c>
    </row>
    <row r="20821" spans="1:6" ht="15.75" customHeight="1">
      <c r="A20821" s="8" t="str">
        <f ca="1">IFERROR(__xludf.DUMMYFUNCTION("GOOGLETRANSLATE(B34417,""en"",""pt"")"),"Mashhad")</f>
        <v>Mashhad</v>
      </c>
      <c r="B20821" s="9" t="s">
        <v>14460</v>
      </c>
      <c r="C20821" s="9" t="s">
        <v>14240</v>
      </c>
      <c r="D20821" s="9" t="s">
        <v>14351</v>
      </c>
      <c r="E20821" s="10">
        <v>124665</v>
      </c>
      <c r="F20821" s="4" t="str">
        <f>IF(B20821=B20820,"",B20821)</f>
        <v/>
      </c>
    </row>
    <row r="20822" spans="1:6" ht="15.75" customHeight="1">
      <c r="A20822" s="15" t="s">
        <v>17043</v>
      </c>
      <c r="B20822" s="15" t="s">
        <v>17043</v>
      </c>
      <c r="C20822" s="15" t="s">
        <v>17039</v>
      </c>
      <c r="D20822" s="15" t="s">
        <v>17043</v>
      </c>
      <c r="E20822" s="2">
        <v>932505</v>
      </c>
      <c r="F20822" s="4" t="str">
        <f>IF(B20822=B20821,"",B20822)</f>
        <v>Maseru</v>
      </c>
    </row>
    <row r="20823" spans="1:6" ht="15.75" customHeight="1">
      <c r="A20823" s="8" t="str">
        <f ca="1">IFERROR(__xludf.DUMMYFUNCTION("GOOGLETRANSLATE(B36355,""en"",""pt"")"),"Maseru")</f>
        <v>Maseru</v>
      </c>
      <c r="B20823" s="9" t="s">
        <v>17043</v>
      </c>
      <c r="C20823" s="9" t="s">
        <v>17039</v>
      </c>
      <c r="D20823" s="9" t="s">
        <v>17043</v>
      </c>
      <c r="E20823" s="10">
        <v>932505</v>
      </c>
      <c r="F20823" s="4" t="str">
        <f>IF(B20823=B20822,"",B20823)</f>
        <v/>
      </c>
    </row>
    <row r="20824" spans="1:6" ht="15.75" customHeight="1">
      <c r="A20824" s="16" t="s">
        <v>4096</v>
      </c>
      <c r="B20824" s="15" t="s">
        <v>4096</v>
      </c>
      <c r="C20824" s="16" t="s">
        <v>3975</v>
      </c>
      <c r="D20824" s="16" t="s">
        <v>3982</v>
      </c>
      <c r="E20824" s="2">
        <v>6067494</v>
      </c>
      <c r="F20824" s="4" t="str">
        <f>IF(B20824=B20823,"",B20824)</f>
        <v>Mascouche</v>
      </c>
    </row>
    <row r="20825" spans="1:6" ht="15.75" customHeight="1">
      <c r="A20825" s="8" t="str">
        <f ca="1">IFERROR(__xludf.DUMMYFUNCTION("GOOGLETRANSLATE(B25509,""en"",""pt"")"),"Mascouche")</f>
        <v>Mascouche</v>
      </c>
      <c r="B20825" s="9" t="s">
        <v>4096</v>
      </c>
      <c r="C20825" s="9" t="s">
        <v>3975</v>
      </c>
      <c r="D20825" s="9" t="s">
        <v>3982</v>
      </c>
      <c r="E20825" s="10">
        <v>6067494</v>
      </c>
      <c r="F20825" s="4" t="str">
        <f>IF(B20825=B20824,"",B20825)</f>
        <v/>
      </c>
    </row>
    <row r="20826" spans="1:6" ht="15.75" customHeight="1">
      <c r="A20826" s="15" t="s">
        <v>2877</v>
      </c>
      <c r="B20826" s="15" t="s">
        <v>2877</v>
      </c>
      <c r="C20826" s="15" t="s">
        <v>1905</v>
      </c>
      <c r="D20826" s="15" t="s">
        <v>1947</v>
      </c>
      <c r="E20826" s="2">
        <v>3457566</v>
      </c>
      <c r="F20826" s="4" t="str">
        <f>IF(B20826=B20825,"",B20826)</f>
        <v>Mascote</v>
      </c>
    </row>
    <row r="20827" spans="1:6" ht="15.75" customHeight="1">
      <c r="A20827" s="8" t="str">
        <f ca="1">IFERROR(__xludf.DUMMYFUNCTION("GOOGLETRANSLATE(B24826,""en"",""pt"")"),"Mascote")</f>
        <v>Mascote</v>
      </c>
      <c r="B20827" s="9" t="s">
        <v>2877</v>
      </c>
      <c r="C20827" s="9" t="s">
        <v>1905</v>
      </c>
      <c r="D20827" s="9" t="s">
        <v>1947</v>
      </c>
      <c r="E20827" s="10">
        <v>3457566</v>
      </c>
      <c r="F20827" s="4" t="str">
        <f>IF(B20827=B20826,"",B20827)</f>
        <v/>
      </c>
    </row>
    <row r="20828" spans="1:6" ht="15.75" customHeight="1">
      <c r="A20828" s="15" t="s">
        <v>396</v>
      </c>
      <c r="B20828" s="15" t="s">
        <v>281</v>
      </c>
      <c r="C20828" s="15" t="s">
        <v>153</v>
      </c>
      <c r="D20828" s="15" t="s">
        <v>281</v>
      </c>
      <c r="E20828" s="2">
        <v>2490098</v>
      </c>
      <c r="F20828" s="4" t="str">
        <f>IF(B20828=B20827,"",B20828)</f>
        <v>Mascara</v>
      </c>
    </row>
    <row r="20829" spans="1:6" ht="15.75" customHeight="1">
      <c r="A20829" s="8" t="str">
        <f ca="1">IFERROR(__xludf.DUMMYFUNCTION("GOOGLETRANSLATE(B28590,""en"",""pt"")"),"Rímel")</f>
        <v>Rímel</v>
      </c>
      <c r="B20829" s="9" t="s">
        <v>281</v>
      </c>
      <c r="C20829" s="9" t="s">
        <v>153</v>
      </c>
      <c r="D20829" s="9" t="s">
        <v>281</v>
      </c>
      <c r="E20829" s="10">
        <v>2490098</v>
      </c>
      <c r="F20829" s="4" t="str">
        <f>IF(B20829=B20828,"",B20829)</f>
        <v/>
      </c>
    </row>
    <row r="20830" spans="1:6" ht="15.75" customHeight="1">
      <c r="A20830" s="16" t="s">
        <v>15251</v>
      </c>
      <c r="B20830" s="15" t="s">
        <v>15251</v>
      </c>
      <c r="C20830" s="16" t="s">
        <v>14891</v>
      </c>
      <c r="D20830" s="16" t="s">
        <v>14899</v>
      </c>
      <c r="E20830" s="2">
        <v>2524236</v>
      </c>
      <c r="F20830" s="4" t="str">
        <f>IF(B20830=B20829,"",B20830)</f>
        <v>Mascalucia</v>
      </c>
    </row>
    <row r="20831" spans="1:6" ht="15.75" customHeight="1">
      <c r="A20831" s="8" t="str">
        <f ca="1">IFERROR(__xludf.DUMMYFUNCTION("GOOGLETRANSLATE(B34584,""en"",""pt"")"),"Mascalucia")</f>
        <v>Mascalucia</v>
      </c>
      <c r="B20831" s="9" t="s">
        <v>15251</v>
      </c>
      <c r="C20831" s="9" t="s">
        <v>14891</v>
      </c>
      <c r="D20831" s="9" t="s">
        <v>14899</v>
      </c>
      <c r="E20831" s="10">
        <v>2524236</v>
      </c>
      <c r="F20831" s="4" t="str">
        <f>IF(B20831=B20830,"",B20831)</f>
        <v/>
      </c>
    </row>
    <row r="20832" spans="1:6" ht="15.75" customHeight="1">
      <c r="A20832" s="15" t="s">
        <v>20896</v>
      </c>
      <c r="B20832" s="15" t="s">
        <v>20896</v>
      </c>
      <c r="C20832" s="15" t="s">
        <v>20598</v>
      </c>
      <c r="D20832" s="15" t="s">
        <v>20634</v>
      </c>
      <c r="E20832" s="2">
        <v>1700712</v>
      </c>
      <c r="F20832" s="4" t="str">
        <f>IF(B20832=B20831,"",B20832)</f>
        <v>Masbate</v>
      </c>
    </row>
    <row r="20833" spans="1:6" ht="15.75" customHeight="1">
      <c r="A20833" s="8" t="str">
        <f ca="1">IFERROR(__xludf.DUMMYFUNCTION("GOOGLETRANSLATE(B38611,""en"",""pt"")"),"Masbate")</f>
        <v>Masbate</v>
      </c>
      <c r="B20833" s="9" t="s">
        <v>20896</v>
      </c>
      <c r="C20833" s="9" t="s">
        <v>20598</v>
      </c>
      <c r="D20833" s="9" t="s">
        <v>20634</v>
      </c>
      <c r="E20833" s="10">
        <v>1700712</v>
      </c>
      <c r="F20833" s="4" t="str">
        <f>IF(B20833=B20832,"",B20833)</f>
        <v/>
      </c>
    </row>
    <row r="20834" spans="1:6" ht="15.75" customHeight="1">
      <c r="A20834" s="15" t="s">
        <v>19239</v>
      </c>
      <c r="B20834" s="15" t="s">
        <v>19239</v>
      </c>
      <c r="C20834" s="15" t="s">
        <v>19217</v>
      </c>
      <c r="D20834" s="15" t="s">
        <v>19239</v>
      </c>
      <c r="E20834" s="2">
        <v>3617723</v>
      </c>
      <c r="F20834" s="4" t="str">
        <f>IF(B20834=B20833,"",B20834)</f>
        <v>Masaya</v>
      </c>
    </row>
    <row r="20835" spans="1:6" ht="15.75" customHeight="1">
      <c r="A20835" s="8" t="str">
        <f ca="1">IFERROR(__xludf.DUMMYFUNCTION("GOOGLETRANSLATE(B37864,""en"",""pt"")"),"Masaya")</f>
        <v>Masaya</v>
      </c>
      <c r="B20835" s="9" t="s">
        <v>19239</v>
      </c>
      <c r="C20835" s="9" t="s">
        <v>19217</v>
      </c>
      <c r="D20835" s="9" t="s">
        <v>19239</v>
      </c>
      <c r="E20835" s="10">
        <v>3617723</v>
      </c>
      <c r="F20835" s="4" t="str">
        <f>IF(B20835=B20834,"",B20835)</f>
        <v/>
      </c>
    </row>
    <row r="20836" spans="1:6" ht="15.75" customHeight="1">
      <c r="A20836" s="16" t="s">
        <v>12372</v>
      </c>
      <c r="B20836" s="15" t="s">
        <v>12372</v>
      </c>
      <c r="C20836" s="16" t="s">
        <v>10178</v>
      </c>
      <c r="D20836" s="16" t="s">
        <v>10317</v>
      </c>
      <c r="E20836" s="2">
        <v>1263427</v>
      </c>
      <c r="F20836" s="4" t="str">
        <f>IF(B20836=B20835,"",B20836)</f>
        <v>Masaurhi Buzurg</v>
      </c>
    </row>
    <row r="20837" spans="1:6" ht="15.75" customHeight="1">
      <c r="A20837" s="8" t="str">
        <f ca="1">IFERROR(__xludf.DUMMYFUNCTION("GOOGLETRANSLATE(B32797,""en"",""pt"")"),"Masaurhi Buzurg")</f>
        <v>Masaurhi Buzurg</v>
      </c>
      <c r="B20837" s="9" t="s">
        <v>12372</v>
      </c>
      <c r="C20837" s="9" t="s">
        <v>10178</v>
      </c>
      <c r="D20837" s="9" t="s">
        <v>10317</v>
      </c>
      <c r="E20837" s="10">
        <v>1263427</v>
      </c>
      <c r="F20837" s="4" t="str">
        <f>IF(B20837=B20836,"",B20837)</f>
        <v/>
      </c>
    </row>
    <row r="20838" spans="1:6" ht="15.75" customHeight="1">
      <c r="A20838" s="16" t="s">
        <v>19238</v>
      </c>
      <c r="B20838" s="15" t="s">
        <v>19238</v>
      </c>
      <c r="C20838" s="16" t="s">
        <v>19217</v>
      </c>
      <c r="D20838" s="16" t="s">
        <v>19239</v>
      </c>
      <c r="E20838" s="2">
        <v>3617725</v>
      </c>
      <c r="F20838" s="4" t="str">
        <f>IF(B20838=B20837,"",B20838)</f>
        <v>Masatepe</v>
      </c>
    </row>
    <row r="20839" spans="1:6" ht="15.75" customHeight="1">
      <c r="A20839" s="8" t="str">
        <f ca="1">IFERROR(__xludf.DUMMYFUNCTION("GOOGLETRANSLATE(B37865,""en"",""pt"")"),"Masatepe")</f>
        <v>Masatepe</v>
      </c>
      <c r="B20839" s="9" t="s">
        <v>19238</v>
      </c>
      <c r="C20839" s="9" t="s">
        <v>19217</v>
      </c>
      <c r="D20839" s="9" t="s">
        <v>19239</v>
      </c>
      <c r="E20839" s="10">
        <v>3617725</v>
      </c>
      <c r="F20839" s="4" t="str">
        <f>IF(B20839=B20838,"",B20839)</f>
        <v/>
      </c>
    </row>
    <row r="20840" spans="1:6" ht="15.75" customHeight="1">
      <c r="A20840" s="15" t="s">
        <v>25675</v>
      </c>
      <c r="B20840" s="15" t="s">
        <v>25675</v>
      </c>
      <c r="C20840" s="15" t="s">
        <v>25560</v>
      </c>
      <c r="D20840" s="15" t="s">
        <v>25648</v>
      </c>
      <c r="E20840" s="2">
        <v>878058</v>
      </c>
      <c r="F20840" s="4" t="str">
        <f>IF(B20840=B20839,"",B20840)</f>
        <v>Masasi</v>
      </c>
    </row>
    <row r="20841" spans="1:6" ht="15.75" customHeight="1">
      <c r="A20841" s="8" t="str">
        <f ca="1">IFERROR(__xludf.DUMMYFUNCTION("GOOGLETRANSLATE(B42458,""en"",""pt"")"),"Masasi")</f>
        <v>Masasi</v>
      </c>
      <c r="B20841" s="9" t="s">
        <v>25675</v>
      </c>
      <c r="C20841" s="9" t="s">
        <v>25560</v>
      </c>
      <c r="D20841" s="9" t="s">
        <v>25648</v>
      </c>
      <c r="E20841" s="10">
        <v>878058</v>
      </c>
      <c r="F20841" s="4" t="str">
        <f>IF(B20841=B20840,"",B20841)</f>
        <v/>
      </c>
    </row>
    <row r="20842" spans="1:6" ht="15.75" customHeight="1">
      <c r="A20842" s="15" t="s">
        <v>20895</v>
      </c>
      <c r="B20842" s="15" t="s">
        <v>20895</v>
      </c>
      <c r="C20842" s="15" t="s">
        <v>20598</v>
      </c>
      <c r="D20842" s="15" t="s">
        <v>20599</v>
      </c>
      <c r="E20842" s="2">
        <v>1700753</v>
      </c>
      <c r="F20842" s="4" t="str">
        <f>IF(B20842=B20841,"",B20842)</f>
        <v>Masantol</v>
      </c>
    </row>
    <row r="20843" spans="1:6" ht="15.75" customHeight="1">
      <c r="A20843" s="8" t="str">
        <f ca="1">IFERROR(__xludf.DUMMYFUNCTION("GOOGLETRANSLATE(B38612,""en"",""pt"")"),"Masantol")</f>
        <v>Masantol</v>
      </c>
      <c r="B20843" s="11" t="s">
        <v>20895</v>
      </c>
      <c r="C20843" s="11" t="s">
        <v>20598</v>
      </c>
      <c r="D20843" s="11" t="s">
        <v>20599</v>
      </c>
      <c r="E20843" s="10">
        <v>1700753</v>
      </c>
      <c r="F20843" s="4" t="str">
        <f>IF(B20843=B20842,"",B20843)</f>
        <v/>
      </c>
    </row>
    <row r="20844" spans="1:6" ht="15.75" customHeight="1">
      <c r="A20844" s="8" t="str">
        <f ca="1">IFERROR(__xludf.DUMMYFUNCTION("GOOGLETRANSLATE(B36441,""en"",""pt"")"),"Masallātah")</f>
        <v>Masallātah</v>
      </c>
      <c r="B20844" s="11" t="s">
        <v>34574</v>
      </c>
      <c r="C20844" s="11" t="s">
        <v>17074</v>
      </c>
      <c r="D20844" s="11" t="s">
        <v>17088</v>
      </c>
      <c r="E20844" s="10">
        <v>2215163</v>
      </c>
      <c r="F20844" s="4" t="str">
        <f>IF(B20844=B20843,"",B20844)</f>
        <v>Masallātah</v>
      </c>
    </row>
    <row r="20845" spans="1:6" ht="15.75" customHeight="1">
      <c r="A20845" s="16" t="s">
        <v>17121</v>
      </c>
      <c r="B20845" s="15" t="s">
        <v>17122</v>
      </c>
      <c r="C20845" s="16" t="s">
        <v>17074</v>
      </c>
      <c r="D20845" s="16" t="s">
        <v>17088</v>
      </c>
      <c r="E20845" s="2">
        <v>2215163</v>
      </c>
      <c r="F20845" s="4" t="str">
        <f>IF(B20845=B20844,"",B20845)</f>
        <v>MasallÄtah</v>
      </c>
    </row>
    <row r="20846" spans="1:6" ht="15.75" customHeight="1">
      <c r="A20846" s="8" t="str">
        <f ca="1">IFERROR(__xludf.DUMMYFUNCTION("GOOGLETRANSLATE(B35703,""en"",""pt"")"),"Masaki-chō")</f>
        <v>Masaki-chō</v>
      </c>
      <c r="B20846" s="9" t="s">
        <v>34394</v>
      </c>
      <c r="C20846" s="9" t="s">
        <v>15704</v>
      </c>
      <c r="D20846" s="9" t="s">
        <v>15813</v>
      </c>
      <c r="E20846" s="10">
        <v>1926101</v>
      </c>
      <c r="F20846" s="4" t="str">
        <f>IF(B20846=B20845,"",B20846)</f>
        <v>Masaki-chō</v>
      </c>
    </row>
    <row r="20847" spans="1:6" ht="15.75" customHeight="1">
      <c r="A20847" s="16" t="s">
        <v>16199</v>
      </c>
      <c r="B20847" s="15" t="s">
        <v>16200</v>
      </c>
      <c r="C20847" s="16" t="s">
        <v>15704</v>
      </c>
      <c r="D20847" s="16" t="s">
        <v>15813</v>
      </c>
      <c r="E20847" s="2">
        <v>1926101</v>
      </c>
      <c r="F20847" s="4" t="str">
        <f>IF(B20847=B20846,"",B20847)</f>
        <v>Masaki-chÅ</v>
      </c>
    </row>
    <row r="20848" spans="1:6" ht="15.75" customHeight="1">
      <c r="A20848" s="15" t="s">
        <v>26848</v>
      </c>
      <c r="B20848" s="15" t="s">
        <v>26848</v>
      </c>
      <c r="C20848" s="15" t="s">
        <v>26820</v>
      </c>
      <c r="D20848" s="15" t="s">
        <v>17414</v>
      </c>
      <c r="E20848" s="2">
        <v>229380</v>
      </c>
      <c r="F20848" s="4" t="str">
        <f>IF(B20848=B20847,"",B20848)</f>
        <v>Masaka</v>
      </c>
    </row>
    <row r="20849" spans="1:6" ht="15.75" customHeight="1">
      <c r="A20849" s="8" t="str">
        <f ca="1">IFERROR(__xludf.DUMMYFUNCTION("GOOGLETRANSLATE(B42743,""en"",""pt"")"),"Masaka")</f>
        <v>Masaka</v>
      </c>
      <c r="B20849" s="9" t="s">
        <v>26848</v>
      </c>
      <c r="C20849" s="9" t="s">
        <v>26820</v>
      </c>
      <c r="D20849" s="9" t="s">
        <v>17414</v>
      </c>
      <c r="E20849" s="10">
        <v>229380</v>
      </c>
      <c r="F20849" s="4" t="str">
        <f>IF(B20849=B20848,"",B20849)</f>
        <v/>
      </c>
    </row>
    <row r="20850" spans="1:6" ht="15.75" customHeight="1">
      <c r="A20850" s="15" t="s">
        <v>8833</v>
      </c>
      <c r="B20850" s="15" t="s">
        <v>8833</v>
      </c>
      <c r="C20850" s="15" t="s">
        <v>8028</v>
      </c>
      <c r="D20850" s="15" t="s">
        <v>8036</v>
      </c>
      <c r="E20850" s="2">
        <v>2873074</v>
      </c>
      <c r="F20850" s="4" t="str">
        <f>IF(B20850=B20849,"",B20850)</f>
        <v>Marzahn</v>
      </c>
    </row>
    <row r="20851" spans="1:6" ht="15.75" customHeight="1">
      <c r="A20851" s="8" t="str">
        <f ca="1">IFERROR(__xludf.DUMMYFUNCTION("GOOGLETRANSLATE(B27777,""en"",""pt"")"),"Marzahn")</f>
        <v>Marzahn</v>
      </c>
      <c r="B20851" s="9" t="s">
        <v>8833</v>
      </c>
      <c r="C20851" s="9" t="s">
        <v>8028</v>
      </c>
      <c r="D20851" s="9" t="s">
        <v>8036</v>
      </c>
      <c r="E20851" s="10">
        <v>2873074</v>
      </c>
      <c r="F20851" s="4" t="str">
        <f>IF(B20851=B20850,"",B20851)</f>
        <v/>
      </c>
    </row>
    <row r="20852" spans="1:6" ht="15.75" customHeight="1">
      <c r="A20852" s="15" t="s">
        <v>29223</v>
      </c>
      <c r="B20852" s="15" t="s">
        <v>29223</v>
      </c>
      <c r="C20852" s="15" t="s">
        <v>27788</v>
      </c>
      <c r="D20852" s="15" t="s">
        <v>27957</v>
      </c>
      <c r="E20852" s="2">
        <v>4639848</v>
      </c>
      <c r="F20852" s="4" t="str">
        <f>IF(B20852=B20851,"",B20852)</f>
        <v>Maryville</v>
      </c>
    </row>
    <row r="20853" spans="1:6" ht="15.75" customHeight="1">
      <c r="A20853" s="8" t="str">
        <f ca="1">IFERROR(__xludf.DUMMYFUNCTION("GOOGLETRANSLATE(B43634,""en"",""pt"")"),"Maryville")</f>
        <v>Maryville</v>
      </c>
      <c r="B20853" s="9" t="s">
        <v>29223</v>
      </c>
      <c r="C20853" s="9" t="s">
        <v>27788</v>
      </c>
      <c r="D20853" s="9" t="s">
        <v>27957</v>
      </c>
      <c r="E20853" s="10">
        <v>4639848</v>
      </c>
      <c r="F20853" s="4" t="str">
        <f>IF(B20853=B20852,"",B20853)</f>
        <v/>
      </c>
    </row>
    <row r="20854" spans="1:6" ht="15.75" customHeight="1">
      <c r="A20854" s="16" t="s">
        <v>29222</v>
      </c>
      <c r="B20854" s="15" t="s">
        <v>29222</v>
      </c>
      <c r="C20854" s="16" t="s">
        <v>27788</v>
      </c>
      <c r="D20854" s="16" t="s">
        <v>27813</v>
      </c>
      <c r="E20854" s="2">
        <v>5162077</v>
      </c>
      <c r="F20854" s="4" t="str">
        <f>IF(B20854=B20853,"",B20854)</f>
        <v>Marysville</v>
      </c>
    </row>
    <row r="20855" spans="1:6" ht="15.75" customHeight="1">
      <c r="A20855" s="16" t="s">
        <v>29222</v>
      </c>
      <c r="B20855" s="15" t="s">
        <v>29222</v>
      </c>
      <c r="C20855" s="16" t="s">
        <v>27788</v>
      </c>
      <c r="D20855" s="16" t="s">
        <v>27733</v>
      </c>
      <c r="E20855" s="2">
        <v>5802570</v>
      </c>
      <c r="F20855" s="4" t="str">
        <f>IF(B20855=B20854,"",B20855)</f>
        <v/>
      </c>
    </row>
    <row r="20856" spans="1:6" ht="15.75" customHeight="1">
      <c r="A20856" s="8" t="str">
        <f ca="1">IFERROR(__xludf.DUMMYFUNCTION("GOOGLETRANSLATE(B44516,""en"",""pt"")"),"Marysville")</f>
        <v>Marysville</v>
      </c>
      <c r="B20856" s="11" t="s">
        <v>29222</v>
      </c>
      <c r="C20856" s="11" t="s">
        <v>27788</v>
      </c>
      <c r="D20856" s="11" t="s">
        <v>27813</v>
      </c>
      <c r="E20856" s="10">
        <v>5162077</v>
      </c>
      <c r="F20856" s="4" t="str">
        <f>IF(B20856=B20855,"",B20856)</f>
        <v/>
      </c>
    </row>
    <row r="20857" spans="1:6" ht="15.75" customHeight="1">
      <c r="A20857" s="8" t="str">
        <f ca="1">IFERROR(__xludf.DUMMYFUNCTION("GOOGLETRANSLATE(B45350,""en"",""pt"")"),"Marysville")</f>
        <v>Marysville</v>
      </c>
      <c r="B20857" s="9" t="s">
        <v>29222</v>
      </c>
      <c r="C20857" s="9" t="s">
        <v>27788</v>
      </c>
      <c r="D20857" s="9" t="s">
        <v>27733</v>
      </c>
      <c r="E20857" s="10">
        <v>5802570</v>
      </c>
      <c r="F20857" s="4" t="str">
        <f>IF(B20857=B20856,"",B20857)</f>
        <v/>
      </c>
    </row>
    <row r="20858" spans="1:6" ht="15.75" customHeight="1">
      <c r="A20858" s="16" t="s">
        <v>29221</v>
      </c>
      <c r="B20858" s="15" t="s">
        <v>29221</v>
      </c>
      <c r="C20858" s="16" t="s">
        <v>27788</v>
      </c>
      <c r="D20858" s="16" t="s">
        <v>27806</v>
      </c>
      <c r="E20858" s="2">
        <v>4397340</v>
      </c>
      <c r="F20858" s="4" t="str">
        <f>IF(B20858=B20857,"",B20858)</f>
        <v>Maryland Heights</v>
      </c>
    </row>
    <row r="20859" spans="1:6" ht="15.75" customHeight="1">
      <c r="A20859" s="8" t="str">
        <f ca="1">IFERROR(__xludf.DUMMYFUNCTION("GOOGLETRANSLATE(B43375,""en"",""pt"")"),"Maryland Heights")</f>
        <v>Maryland Heights</v>
      </c>
      <c r="B20859" s="9" t="s">
        <v>29221</v>
      </c>
      <c r="C20859" s="9" t="s">
        <v>27788</v>
      </c>
      <c r="D20859" s="9" t="s">
        <v>27806</v>
      </c>
      <c r="E20859" s="10">
        <v>4397340</v>
      </c>
      <c r="F20859" s="4" t="str">
        <f>IF(B20859=B20858,"",B20859)</f>
        <v/>
      </c>
    </row>
    <row r="20860" spans="1:6" ht="15.75" customHeight="1">
      <c r="A20860" s="16" t="s">
        <v>29219</v>
      </c>
      <c r="B20860" s="15" t="s">
        <v>29220</v>
      </c>
      <c r="C20860" s="16" t="s">
        <v>27788</v>
      </c>
      <c r="D20860" s="16" t="s">
        <v>17061</v>
      </c>
      <c r="E20860" s="2">
        <v>4361831</v>
      </c>
      <c r="F20860" s="4" t="str">
        <f>IF(B20860=B20859,"",B20860)</f>
        <v>Maryland City</v>
      </c>
    </row>
    <row r="20861" spans="1:6" ht="15.75" customHeight="1">
      <c r="A20861" s="8" t="str">
        <f ca="1">IFERROR(__xludf.DUMMYFUNCTION("GOOGLETRANSLATE(B43306,""en"",""pt"")"),"Cidade de Maryland")</f>
        <v>Cidade de Maryland</v>
      </c>
      <c r="B20861" s="11" t="s">
        <v>29220</v>
      </c>
      <c r="C20861" s="11" t="s">
        <v>27788</v>
      </c>
      <c r="D20861" s="11" t="s">
        <v>17061</v>
      </c>
      <c r="E20861" s="10">
        <v>4361831</v>
      </c>
      <c r="F20861" s="4" t="str">
        <f>IF(B20861=B20860,"",B20861)</f>
        <v/>
      </c>
    </row>
    <row r="20862" spans="1:6" ht="15.75" customHeight="1">
      <c r="A20862" s="16" t="s">
        <v>1024</v>
      </c>
      <c r="B20862" s="15" t="s">
        <v>1024</v>
      </c>
      <c r="C20862" s="16" t="s">
        <v>885</v>
      </c>
      <c r="D20862" s="16" t="s">
        <v>910</v>
      </c>
      <c r="E20862" s="2">
        <v>2158562</v>
      </c>
      <c r="F20862" s="4" t="str">
        <f>IF(B20862=B20861,"",B20862)</f>
        <v>Maryborough</v>
      </c>
    </row>
    <row r="20863" spans="1:6" ht="15.75" customHeight="1">
      <c r="A20863" s="8" t="str">
        <f ca="1">IFERROR(__xludf.DUMMYFUNCTION("GOOGLETRANSLATE(B23486,""en"",""pt"")"),"Maryborough")</f>
        <v>Maryborough</v>
      </c>
      <c r="B20863" s="11" t="s">
        <v>1024</v>
      </c>
      <c r="C20863" s="11" t="s">
        <v>885</v>
      </c>
      <c r="D20863" s="11" t="s">
        <v>910</v>
      </c>
      <c r="E20863" s="10">
        <v>2158562</v>
      </c>
      <c r="F20863" s="4" t="str">
        <f>IF(B20863=B20862,"",B20863)</f>
        <v/>
      </c>
    </row>
    <row r="20864" spans="1:6" ht="15.75" customHeight="1">
      <c r="A20864" s="15" t="s">
        <v>26785</v>
      </c>
      <c r="B20864" s="15" t="s">
        <v>26785</v>
      </c>
      <c r="C20864" s="15" t="s">
        <v>26774</v>
      </c>
      <c r="D20864" s="15" t="s">
        <v>26785</v>
      </c>
      <c r="E20864" s="2">
        <v>1218667</v>
      </c>
      <c r="F20864" s="4" t="str">
        <f>IF(B20864=B20863,"",B20864)</f>
        <v>Mary</v>
      </c>
    </row>
    <row r="20865" spans="1:6" ht="15.75" customHeight="1">
      <c r="A20865" s="8" t="str">
        <f ca="1">IFERROR(__xludf.DUMMYFUNCTION("GOOGLETRANSLATE(B41784,""en"",""pt"")"),"Mary")</f>
        <v>Mary</v>
      </c>
      <c r="B20865" s="11" t="s">
        <v>26785</v>
      </c>
      <c r="C20865" s="11" t="s">
        <v>26774</v>
      </c>
      <c r="D20865" s="11" t="s">
        <v>26785</v>
      </c>
      <c r="E20865" s="10">
        <v>1218667</v>
      </c>
      <c r="F20865" s="4" t="str">
        <f>IF(B20865=B20864,"",B20865)</f>
        <v/>
      </c>
    </row>
    <row r="20866" spans="1:6" ht="15.75" customHeight="1">
      <c r="A20866" s="15" t="s">
        <v>16198</v>
      </c>
      <c r="B20866" s="15" t="s">
        <v>16198</v>
      </c>
      <c r="C20866" s="15" t="s">
        <v>15704</v>
      </c>
      <c r="D20866" s="15" t="s">
        <v>15879</v>
      </c>
      <c r="E20866" s="2">
        <v>1857651</v>
      </c>
      <c r="F20866" s="4" t="str">
        <f>IF(B20866=B20865,"",B20866)</f>
        <v>Maruoka</v>
      </c>
    </row>
    <row r="20867" spans="1:6" ht="15.75" customHeight="1">
      <c r="A20867" s="8" t="str">
        <f ca="1">IFERROR(__xludf.DUMMYFUNCTION("GOOGLETRANSLATE(B35448,""en"",""pt"")"),"Maruoka")</f>
        <v>Maruoka</v>
      </c>
      <c r="B20867" s="11" t="s">
        <v>16198</v>
      </c>
      <c r="C20867" s="11" t="s">
        <v>15704</v>
      </c>
      <c r="D20867" s="11" t="s">
        <v>15879</v>
      </c>
      <c r="E20867" s="10">
        <v>1857651</v>
      </c>
      <c r="F20867" s="4" t="str">
        <f>IF(B20867=B20866,"",B20867)</f>
        <v/>
      </c>
    </row>
    <row r="20868" spans="1:6" ht="15.75" customHeight="1">
      <c r="A20868" s="16" t="s">
        <v>16197</v>
      </c>
      <c r="B20868" s="15" t="s">
        <v>16197</v>
      </c>
      <c r="C20868" s="16" t="s">
        <v>15704</v>
      </c>
      <c r="D20868" s="16" t="s">
        <v>15764</v>
      </c>
      <c r="E20868" s="2">
        <v>2112008</v>
      </c>
      <c r="F20868" s="4" t="str">
        <f>IF(B20868=B20867,"",B20868)</f>
        <v>Marumori</v>
      </c>
    </row>
    <row r="20869" spans="1:6" ht="15.75" customHeight="1">
      <c r="A20869" s="8" t="str">
        <f ca="1">IFERROR(__xludf.DUMMYFUNCTION("GOOGLETRANSLATE(B35771,""en"",""pt"")"),"Marumori")</f>
        <v>Marumori</v>
      </c>
      <c r="B20869" s="11" t="s">
        <v>16197</v>
      </c>
      <c r="C20869" s="11" t="s">
        <v>15704</v>
      </c>
      <c r="D20869" s="11" t="s">
        <v>15764</v>
      </c>
      <c r="E20869" s="10">
        <v>2112008</v>
      </c>
      <c r="F20869" s="4" t="str">
        <f>IF(B20869=B20868,"",B20869)</f>
        <v/>
      </c>
    </row>
    <row r="20870" spans="1:6" ht="15.75" customHeight="1">
      <c r="A20870" s="16" t="s">
        <v>16196</v>
      </c>
      <c r="B20870" s="15" t="s">
        <v>16196</v>
      </c>
      <c r="C20870" s="16" t="s">
        <v>15704</v>
      </c>
      <c r="D20870" s="16" t="s">
        <v>16087</v>
      </c>
      <c r="E20870" s="2">
        <v>1857665</v>
      </c>
      <c r="F20870" s="4" t="str">
        <f>IF(B20870=B20869,"",B20870)</f>
        <v>Marugame</v>
      </c>
    </row>
    <row r="20871" spans="1:6" ht="15.75" customHeight="1">
      <c r="A20871" s="8" t="str">
        <f ca="1">IFERROR(__xludf.DUMMYFUNCTION("GOOGLETRANSLATE(B35450,""en"",""pt"")"),"Marugame")</f>
        <v>Marugame</v>
      </c>
      <c r="B20871" s="11" t="s">
        <v>16196</v>
      </c>
      <c r="C20871" s="11" t="s">
        <v>15704</v>
      </c>
      <c r="D20871" s="11" t="s">
        <v>16087</v>
      </c>
      <c r="E20871" s="10">
        <v>1857665</v>
      </c>
      <c r="F20871" s="4" t="str">
        <f>IF(B20871=B20870,"",B20871)</f>
        <v/>
      </c>
    </row>
    <row r="20872" spans="1:6" ht="15.75" customHeight="1">
      <c r="A20872" s="15" t="s">
        <v>24604</v>
      </c>
      <c r="B20872" s="15" t="s">
        <v>24604</v>
      </c>
      <c r="C20872" s="15" t="s">
        <v>24200</v>
      </c>
      <c r="D20872" s="15" t="s">
        <v>24205</v>
      </c>
      <c r="E20872" s="2">
        <v>2514073</v>
      </c>
      <c r="F20872" s="4" t="str">
        <f>IF(B20872=B20871,"",B20872)</f>
        <v>Martos</v>
      </c>
    </row>
    <row r="20873" spans="1:6" ht="15.75" customHeight="1">
      <c r="A20873" s="8" t="str">
        <f ca="1">IFERROR(__xludf.DUMMYFUNCTION("GOOGLETRANSLATE(B29060,""en"",""pt"")"),"Martos")</f>
        <v>Martos</v>
      </c>
      <c r="B20873" s="9" t="s">
        <v>24604</v>
      </c>
      <c r="C20873" s="9" t="s">
        <v>24200</v>
      </c>
      <c r="D20873" s="9" t="s">
        <v>24205</v>
      </c>
      <c r="E20873" s="10">
        <v>2514073</v>
      </c>
      <c r="F20873" s="4" t="str">
        <f>IF(B20873=B20872,"",B20873)</f>
        <v/>
      </c>
    </row>
    <row r="20874" spans="1:6" ht="15.75" customHeight="1">
      <c r="A20874" s="15" t="s">
        <v>24603</v>
      </c>
      <c r="B20874" s="15" t="s">
        <v>24603</v>
      </c>
      <c r="C20874" s="15" t="s">
        <v>24200</v>
      </c>
      <c r="D20874" s="15" t="s">
        <v>24277</v>
      </c>
      <c r="E20874" s="2">
        <v>3117331</v>
      </c>
      <c r="F20874" s="4" t="str">
        <f>IF(B20874=B20873,"",B20874)</f>
        <v>Martorell</v>
      </c>
    </row>
    <row r="20875" spans="1:6" ht="15.75" customHeight="1">
      <c r="A20875" s="8" t="str">
        <f ca="1">IFERROR(__xludf.DUMMYFUNCTION("GOOGLETRANSLATE(B29362,""en"",""pt"")"),"Martorell")</f>
        <v>Martorell</v>
      </c>
      <c r="B20875" s="9" t="s">
        <v>24603</v>
      </c>
      <c r="C20875" s="9" t="s">
        <v>24200</v>
      </c>
      <c r="D20875" s="9" t="s">
        <v>24277</v>
      </c>
      <c r="E20875" s="10">
        <v>3117331</v>
      </c>
      <c r="F20875" s="4" t="str">
        <f>IF(B20875=B20874,"",B20875)</f>
        <v/>
      </c>
    </row>
    <row r="20876" spans="1:6" ht="15.75" customHeight="1">
      <c r="A20876" s="8" t="str">
        <f ca="1">IFERROR(__xludf.DUMMYFUNCTION("GOOGLETRANSLATE(B24827,""en"",""pt"")"),"Martinópolis")</f>
        <v>Martinópolis</v>
      </c>
      <c r="B20876" s="11" t="s">
        <v>31595</v>
      </c>
      <c r="C20876" s="11" t="s">
        <v>1905</v>
      </c>
      <c r="D20876" s="11" t="s">
        <v>3354</v>
      </c>
      <c r="E20876" s="10">
        <v>3457595</v>
      </c>
      <c r="F20876" s="4" t="str">
        <f>IF(B20876=B20875,"",B20876)</f>
        <v>Martinópolis</v>
      </c>
    </row>
    <row r="20877" spans="1:6" ht="15.75" customHeight="1">
      <c r="A20877" s="8" t="str">
        <f ca="1">IFERROR(__xludf.DUMMYFUNCTION("GOOGLETRANSLATE(B36986,""en"",""pt"")"),"Martínez de la torre")</f>
        <v>Martínez de la torre</v>
      </c>
      <c r="B20877" s="9" t="s">
        <v>34692</v>
      </c>
      <c r="C20877" s="9" t="s">
        <v>17707</v>
      </c>
      <c r="D20877" s="9" t="s">
        <v>17708</v>
      </c>
      <c r="E20877" s="10">
        <v>3523513</v>
      </c>
      <c r="F20877" s="4" t="str">
        <f>IF(B20877=B20876,"",B20877)</f>
        <v>Martínez de la Torre</v>
      </c>
    </row>
    <row r="20878" spans="1:6" ht="15.75" customHeight="1">
      <c r="A20878" s="15" t="s">
        <v>29218</v>
      </c>
      <c r="B20878" s="15" t="s">
        <v>29218</v>
      </c>
      <c r="C20878" s="15" t="s">
        <v>27788</v>
      </c>
      <c r="D20878" s="15" t="s">
        <v>7988</v>
      </c>
      <c r="E20878" s="2">
        <v>4207981</v>
      </c>
      <c r="F20878" s="4" t="str">
        <f>IF(B20878=B20877,"",B20878)</f>
        <v>Martinez</v>
      </c>
    </row>
    <row r="20879" spans="1:6" ht="15.75" customHeight="1">
      <c r="A20879" s="15" t="s">
        <v>29218</v>
      </c>
      <c r="B20879" s="15" t="s">
        <v>29218</v>
      </c>
      <c r="C20879" s="15" t="s">
        <v>27788</v>
      </c>
      <c r="D20879" s="15" t="s">
        <v>27801</v>
      </c>
      <c r="E20879" s="2">
        <v>5370868</v>
      </c>
      <c r="F20879" s="4" t="str">
        <f>IF(B20879=B20878,"",B20879)</f>
        <v/>
      </c>
    </row>
    <row r="20880" spans="1:6" ht="15.75" customHeight="1">
      <c r="A20880" s="8" t="str">
        <f ca="1">IFERROR(__xludf.DUMMYFUNCTION("GOOGLETRANSLATE(B43094,""en"",""pt"")"),"Martinez")</f>
        <v>Martinez</v>
      </c>
      <c r="B20880" s="9" t="s">
        <v>29218</v>
      </c>
      <c r="C20880" s="9" t="s">
        <v>27788</v>
      </c>
      <c r="D20880" s="9" t="s">
        <v>7988</v>
      </c>
      <c r="E20880" s="10">
        <v>4207981</v>
      </c>
      <c r="F20880" s="4" t="str">
        <f>IF(B20880=B20879,"",B20880)</f>
        <v/>
      </c>
    </row>
    <row r="20881" spans="1:6" ht="15.75" customHeight="1">
      <c r="A20881" s="8" t="str">
        <f ca="1">IFERROR(__xludf.DUMMYFUNCTION("GOOGLETRANSLATE(B44900,""en"",""pt"")"),"Martinez")</f>
        <v>Martinez</v>
      </c>
      <c r="B20881" s="11" t="s">
        <v>29218</v>
      </c>
      <c r="C20881" s="11" t="s">
        <v>27788</v>
      </c>
      <c r="D20881" s="11" t="s">
        <v>27801</v>
      </c>
      <c r="E20881" s="10">
        <v>5370868</v>
      </c>
      <c r="F20881" s="4" t="str">
        <f>IF(B20881=B20880,"",B20881)</f>
        <v/>
      </c>
    </row>
    <row r="20882" spans="1:6" ht="15.75" customHeight="1">
      <c r="A20882" s="16" t="s">
        <v>2875</v>
      </c>
      <c r="B20882" s="15" t="s">
        <v>2876</v>
      </c>
      <c r="C20882" s="16" t="s">
        <v>1905</v>
      </c>
      <c r="D20882" s="16" t="s">
        <v>1914</v>
      </c>
      <c r="E20882" s="2">
        <v>3457595</v>
      </c>
      <c r="F20882" s="4" t="str">
        <f>IF(B20882=B20881,"",B20882)</f>
        <v>MartinÃ³polis</v>
      </c>
    </row>
    <row r="20883" spans="1:6" ht="15.75" customHeight="1">
      <c r="A20883" s="16" t="s">
        <v>15250</v>
      </c>
      <c r="B20883" s="15" t="s">
        <v>15250</v>
      </c>
      <c r="C20883" s="16" t="s">
        <v>14891</v>
      </c>
      <c r="D20883" s="16" t="s">
        <v>14908</v>
      </c>
      <c r="E20883" s="2">
        <v>3173841</v>
      </c>
      <c r="F20883" s="4" t="str">
        <f>IF(B20883=B20882,"",B20883)</f>
        <v>Martina Franca</v>
      </c>
    </row>
    <row r="20884" spans="1:6" ht="15.75" customHeight="1">
      <c r="A20884" s="8" t="str">
        <f ca="1">IFERROR(__xludf.DUMMYFUNCTION("GOOGLETRANSLATE(B34847,""en"",""pt"")"),"Martina Franca")</f>
        <v>Martina Franca</v>
      </c>
      <c r="B20884" s="11" t="s">
        <v>15250</v>
      </c>
      <c r="C20884" s="11" t="s">
        <v>14891</v>
      </c>
      <c r="D20884" s="11" t="s">
        <v>14908</v>
      </c>
      <c r="E20884" s="10">
        <v>3173841</v>
      </c>
      <c r="F20884" s="4" t="str">
        <f>IF(B20884=B20883,"",B20884)</f>
        <v/>
      </c>
    </row>
    <row r="20885" spans="1:6" ht="15.75" customHeight="1">
      <c r="A20885" s="15" t="s">
        <v>23739</v>
      </c>
      <c r="B20885" s="15" t="s">
        <v>23739</v>
      </c>
      <c r="C20885" s="15" t="s">
        <v>23694</v>
      </c>
      <c r="D20885" s="15" t="s">
        <v>23697</v>
      </c>
      <c r="E20885" s="2">
        <v>3058780</v>
      </c>
      <c r="F20885" s="4" t="str">
        <f>IF(B20885=B20884,"",B20885)</f>
        <v>Martin</v>
      </c>
    </row>
    <row r="20886" spans="1:6" ht="15.75" customHeight="1">
      <c r="A20886" s="8" t="str">
        <f ca="1">IFERROR(__xludf.DUMMYFUNCTION("GOOGLETRANSLATE(B41254,""en"",""pt"")"),"Martin")</f>
        <v>Martin</v>
      </c>
      <c r="B20886" s="11" t="s">
        <v>23739</v>
      </c>
      <c r="C20886" s="11" t="s">
        <v>23694</v>
      </c>
      <c r="D20886" s="11" t="s">
        <v>35678</v>
      </c>
      <c r="E20886" s="10">
        <v>3058780</v>
      </c>
      <c r="F20886" s="4" t="str">
        <f>IF(B20886=B20885,"",B20886)</f>
        <v/>
      </c>
    </row>
    <row r="20887" spans="1:6" ht="15.75" customHeight="1">
      <c r="A20887" s="15" t="s">
        <v>18605</v>
      </c>
      <c r="B20887" s="15" t="s">
        <v>18605</v>
      </c>
      <c r="C20887" s="15" t="s">
        <v>18551</v>
      </c>
      <c r="D20887" s="15" t="s">
        <v>18559</v>
      </c>
      <c r="E20887" s="2">
        <v>2542987</v>
      </c>
      <c r="F20887" s="4" t="str">
        <f>IF(B20887=B20886,"",B20887)</f>
        <v>Martil</v>
      </c>
    </row>
    <row r="20888" spans="1:6" ht="15.75" customHeight="1">
      <c r="A20888" s="8" t="str">
        <f ca="1">IFERROR(__xludf.DUMMYFUNCTION("GOOGLETRANSLATE(B36489,""en"",""pt"")"),"Martil")</f>
        <v>Martil</v>
      </c>
      <c r="B20888" s="9" t="s">
        <v>18605</v>
      </c>
      <c r="C20888" s="9" t="s">
        <v>18551</v>
      </c>
      <c r="D20888" s="9" t="s">
        <v>34587</v>
      </c>
      <c r="E20888" s="10">
        <v>2542987</v>
      </c>
      <c r="F20888" s="4" t="str">
        <f>IF(B20888=B20887,"",B20888)</f>
        <v/>
      </c>
    </row>
    <row r="20889" spans="1:6" ht="15.75" customHeight="1">
      <c r="A20889" s="16" t="s">
        <v>7574</v>
      </c>
      <c r="B20889" s="15" t="s">
        <v>7574</v>
      </c>
      <c r="C20889" s="16" t="s">
        <v>7052</v>
      </c>
      <c r="D20889" s="16" t="s">
        <v>7087</v>
      </c>
      <c r="E20889" s="2">
        <v>2995387</v>
      </c>
      <c r="F20889" s="4" t="str">
        <f>IF(B20889=B20888,"",B20889)</f>
        <v>Martigues</v>
      </c>
    </row>
    <row r="20890" spans="1:6" ht="15.75" customHeight="1">
      <c r="A20890" s="8" t="str">
        <f ca="1">IFERROR(__xludf.DUMMYFUNCTION("GOOGLETRANSLATE(B29935,""en"",""pt"")"),"Martigues")</f>
        <v>Martigues</v>
      </c>
      <c r="B20890" s="11" t="s">
        <v>7574</v>
      </c>
      <c r="C20890" s="11" t="s">
        <v>7052</v>
      </c>
      <c r="D20890" s="11" t="s">
        <v>32534</v>
      </c>
      <c r="E20890" s="10">
        <v>2995387</v>
      </c>
      <c r="F20890" s="4" t="str">
        <f>IF(B20890=B20889,"",B20890)</f>
        <v/>
      </c>
    </row>
    <row r="20891" spans="1:6" ht="15.75" customHeight="1">
      <c r="A20891" s="16" t="s">
        <v>29217</v>
      </c>
      <c r="B20891" s="15" t="s">
        <v>29217</v>
      </c>
      <c r="C20891" s="16" t="s">
        <v>27788</v>
      </c>
      <c r="D20891" s="16" t="s">
        <v>27733</v>
      </c>
      <c r="E20891" s="2">
        <v>5802493</v>
      </c>
      <c r="F20891" s="4" t="str">
        <f>IF(B20891=B20890,"",B20891)</f>
        <v>Martha Lake</v>
      </c>
    </row>
    <row r="20892" spans="1:6" ht="15.75" customHeight="1">
      <c r="A20892" s="8" t="str">
        <f ca="1">IFERROR(__xludf.DUMMYFUNCTION("GOOGLETRANSLATE(B45349,""en"",""pt"")"),"Martha Lake")</f>
        <v>Martha Lake</v>
      </c>
      <c r="B20892" s="11" t="s">
        <v>29217</v>
      </c>
      <c r="C20892" s="11" t="s">
        <v>27788</v>
      </c>
      <c r="D20892" s="11" t="s">
        <v>27733</v>
      </c>
      <c r="E20892" s="10">
        <v>5802493</v>
      </c>
      <c r="F20892" s="4" t="str">
        <f>IF(B20892=B20891,"",B20892)</f>
        <v/>
      </c>
    </row>
    <row r="20893" spans="1:6" ht="15.75" customHeight="1">
      <c r="A20893" s="15" t="s">
        <v>19501</v>
      </c>
      <c r="B20893" s="15" t="s">
        <v>19501</v>
      </c>
      <c r="C20893" s="15" t="s">
        <v>19294</v>
      </c>
      <c r="D20893" s="15" t="s">
        <v>19338</v>
      </c>
      <c r="E20893" s="2">
        <v>2330719</v>
      </c>
      <c r="F20893" s="4" t="str">
        <f>IF(B20893=B20892,"",B20893)</f>
        <v>Marte</v>
      </c>
    </row>
    <row r="20894" spans="1:6" ht="15.75" customHeight="1">
      <c r="A20894" s="8" t="str">
        <f ca="1">IFERROR(__xludf.DUMMYFUNCTION("GOOGLETRANSLATE(B37681,""en"",""pt"")"),"Marte")</f>
        <v>Marte</v>
      </c>
      <c r="B20894" s="11" t="s">
        <v>19501</v>
      </c>
      <c r="C20894" s="11" t="s">
        <v>19294</v>
      </c>
      <c r="D20894" s="11" t="s">
        <v>19338</v>
      </c>
      <c r="E20894" s="10">
        <v>2330719</v>
      </c>
      <c r="F20894" s="4" t="str">
        <f>IF(B20894=B20893,"",B20894)</f>
        <v/>
      </c>
    </row>
    <row r="20895" spans="1:6" ht="15.75" customHeight="1">
      <c r="A20895" s="16" t="s">
        <v>14034</v>
      </c>
      <c r="B20895" s="15" t="s">
        <v>14034</v>
      </c>
      <c r="C20895" s="16" t="s">
        <v>13800</v>
      </c>
      <c r="D20895" s="16" t="s">
        <v>13809</v>
      </c>
      <c r="E20895" s="2">
        <v>1636022</v>
      </c>
      <c r="F20895" s="4" t="str">
        <f>IF(B20895=B20894,"",B20895)</f>
        <v>Martapura</v>
      </c>
    </row>
    <row r="20896" spans="1:6" ht="15.75" customHeight="1">
      <c r="A20896" s="8" t="str">
        <f ca="1">IFERROR(__xludf.DUMMYFUNCTION("GOOGLETRANSLATE(B31544,""en"",""pt"")"),"Martapura")</f>
        <v>Martapura</v>
      </c>
      <c r="B20896" s="9" t="s">
        <v>14034</v>
      </c>
      <c r="C20896" s="9" t="s">
        <v>13800</v>
      </c>
      <c r="D20896" s="9" t="s">
        <v>13809</v>
      </c>
      <c r="E20896" s="10">
        <v>1636022</v>
      </c>
      <c r="F20896" s="4" t="str">
        <f>IF(B20896=B20895,"",B20896)</f>
        <v/>
      </c>
    </row>
    <row r="20897" spans="1:6" ht="15.75" customHeight="1">
      <c r="A20897" s="16" t="s">
        <v>18070</v>
      </c>
      <c r="B20897" s="15" t="s">
        <v>18071</v>
      </c>
      <c r="C20897" s="16" t="s">
        <v>17707</v>
      </c>
      <c r="D20897" s="16" t="s">
        <v>17708</v>
      </c>
      <c r="E20897" s="2">
        <v>3523513</v>
      </c>
      <c r="F20897" s="4" t="str">
        <f>IF(B20897=B20896,"",B20897)</f>
        <v>MartÃ­nez de la Torre</v>
      </c>
    </row>
    <row r="20898" spans="1:6" ht="15.75" customHeight="1">
      <c r="A20898" s="16" t="s">
        <v>18724</v>
      </c>
      <c r="B20898" s="15" t="s">
        <v>18724</v>
      </c>
      <c r="C20898" s="16" t="s">
        <v>18696</v>
      </c>
      <c r="D20898" s="16" t="s">
        <v>12419</v>
      </c>
      <c r="E20898" s="2">
        <v>1310460</v>
      </c>
      <c r="F20898" s="4" t="str">
        <f>IF(B20898=B20897,"",B20898)</f>
        <v>Martaban</v>
      </c>
    </row>
    <row r="20899" spans="1:6" ht="15.75" customHeight="1">
      <c r="A20899" s="8" t="str">
        <f ca="1">IFERROR(__xludf.DUMMYFUNCTION("GOOGLETRANSLATE(B36742,""en"",""pt"")"),"Martaban")</f>
        <v>Martaban</v>
      </c>
      <c r="B20899" s="9" t="s">
        <v>18724</v>
      </c>
      <c r="C20899" s="9" t="s">
        <v>18696</v>
      </c>
      <c r="D20899" s="9" t="s">
        <v>12419</v>
      </c>
      <c r="E20899" s="10">
        <v>1310460</v>
      </c>
      <c r="F20899" s="4" t="str">
        <f>IF(B20899=B20898,"",B20899)</f>
        <v/>
      </c>
    </row>
    <row r="20900" spans="1:6" ht="15.75" customHeight="1">
      <c r="A20900" s="8" t="str">
        <f ca="1">IFERROR(__xludf.DUMMYFUNCTION("GOOGLETRANSLATE(B41163,""en"",""pt"")"),"Märsta")</f>
        <v>Märsta</v>
      </c>
      <c r="B20900" s="11" t="s">
        <v>25170</v>
      </c>
      <c r="C20900" s="11" t="s">
        <v>25077</v>
      </c>
      <c r="D20900" s="11" t="s">
        <v>25081</v>
      </c>
      <c r="E20900" s="10">
        <v>2692475</v>
      </c>
      <c r="F20900" s="4" t="str">
        <f>IF(B20900=B20899,"",B20900)</f>
        <v>Märsta</v>
      </c>
    </row>
    <row r="20901" spans="1:6" ht="15.75" customHeight="1">
      <c r="A20901" s="16" t="s">
        <v>29216</v>
      </c>
      <c r="B20901" s="15" t="s">
        <v>29216</v>
      </c>
      <c r="C20901" s="16" t="s">
        <v>27788</v>
      </c>
      <c r="D20901" s="16" t="s">
        <v>27890</v>
      </c>
      <c r="E20901" s="2">
        <v>5261969</v>
      </c>
      <c r="F20901" s="4" t="str">
        <f>IF(B20901=B20900,"",B20901)</f>
        <v>Marshfield</v>
      </c>
    </row>
    <row r="20902" spans="1:6" ht="15.75" customHeight="1">
      <c r="A20902" s="8" t="str">
        <f ca="1">IFERROR(__xludf.DUMMYFUNCTION("GOOGLETRANSLATE(B44654,""en"",""pt"")"),"Marshfield")</f>
        <v>Marshfield</v>
      </c>
      <c r="B20902" s="11" t="s">
        <v>29216</v>
      </c>
      <c r="C20902" s="11" t="s">
        <v>27788</v>
      </c>
      <c r="D20902" s="11" t="s">
        <v>27890</v>
      </c>
      <c r="E20902" s="10">
        <v>5261969</v>
      </c>
      <c r="F20902" s="4" t="str">
        <f>IF(B20902=B20901,"",B20902)</f>
        <v/>
      </c>
    </row>
    <row r="20903" spans="1:6" ht="15.75" customHeight="1">
      <c r="A20903" s="16" t="s">
        <v>29215</v>
      </c>
      <c r="B20903" s="15" t="s">
        <v>29215</v>
      </c>
      <c r="C20903" s="16" t="s">
        <v>27788</v>
      </c>
      <c r="D20903" s="16" t="s">
        <v>27859</v>
      </c>
      <c r="E20903" s="2">
        <v>4866371</v>
      </c>
      <c r="F20903" s="4" t="str">
        <f>IF(B20903=B20902,"",B20903)</f>
        <v>Marshalltown</v>
      </c>
    </row>
    <row r="20904" spans="1:6" ht="15.75" customHeight="1">
      <c r="A20904" s="8" t="str">
        <f ca="1">IFERROR(__xludf.DUMMYFUNCTION("GOOGLETRANSLATE(B43751,""en"",""pt"")"),"Marshalltown")</f>
        <v>Marshalltown</v>
      </c>
      <c r="B20904" s="11" t="s">
        <v>29215</v>
      </c>
      <c r="C20904" s="11" t="s">
        <v>27788</v>
      </c>
      <c r="D20904" s="11" t="s">
        <v>27859</v>
      </c>
      <c r="E20904" s="10">
        <v>4866371</v>
      </c>
      <c r="F20904" s="4" t="str">
        <f>IF(B20904=B20903,"",B20904)</f>
        <v/>
      </c>
    </row>
    <row r="20905" spans="1:6" ht="15.75" customHeight="1">
      <c r="A20905" s="16" t="s">
        <v>7572</v>
      </c>
      <c r="B20905" s="15" t="s">
        <v>7573</v>
      </c>
      <c r="C20905" s="16" t="s">
        <v>7052</v>
      </c>
      <c r="D20905" s="16" t="s">
        <v>7087</v>
      </c>
      <c r="E20905" s="2">
        <v>7284897</v>
      </c>
      <c r="F20905" s="4" t="str">
        <f>IF(B20905=B20904,"",B20905)</f>
        <v>Marseille 16</v>
      </c>
    </row>
    <row r="20906" spans="1:6" ht="15.75" customHeight="1">
      <c r="A20906" s="8" t="str">
        <f ca="1">IFERROR(__xludf.DUMMYFUNCTION("GOOGLETRANSLATE(B30301,""en"",""pt"")"),"Marselha 16")</f>
        <v>Marselha 16</v>
      </c>
      <c r="B20906" s="11" t="s">
        <v>7573</v>
      </c>
      <c r="C20906" s="11" t="s">
        <v>7052</v>
      </c>
      <c r="D20906" s="11" t="s">
        <v>32534</v>
      </c>
      <c r="E20906" s="10">
        <v>7284897</v>
      </c>
      <c r="F20906" s="4" t="str">
        <f>IF(B20906=B20905,"",B20906)</f>
        <v/>
      </c>
    </row>
    <row r="20907" spans="1:6" ht="15.75" customHeight="1">
      <c r="A20907" s="16" t="s">
        <v>7570</v>
      </c>
      <c r="B20907" s="15" t="s">
        <v>7571</v>
      </c>
      <c r="C20907" s="16" t="s">
        <v>7052</v>
      </c>
      <c r="D20907" s="16" t="s">
        <v>7087</v>
      </c>
      <c r="E20907" s="2">
        <v>7284896</v>
      </c>
      <c r="F20907" s="4" t="str">
        <f>IF(B20907=B20906,"",B20907)</f>
        <v>Marseille 15</v>
      </c>
    </row>
    <row r="20908" spans="1:6" ht="15.75" customHeight="1">
      <c r="A20908" s="8" t="str">
        <f ca="1">IFERROR(__xludf.DUMMYFUNCTION("GOOGLETRANSLATE(B30300,""en"",""pt"")"),"Marselha 15")</f>
        <v>Marselha 15</v>
      </c>
      <c r="B20908" s="11" t="s">
        <v>7571</v>
      </c>
      <c r="C20908" s="11" t="s">
        <v>7052</v>
      </c>
      <c r="D20908" s="11" t="s">
        <v>32534</v>
      </c>
      <c r="E20908" s="10">
        <v>7284896</v>
      </c>
      <c r="F20908" s="4" t="str">
        <f>IF(B20908=B20907,"",B20908)</f>
        <v/>
      </c>
    </row>
    <row r="20909" spans="1:6" ht="15.75" customHeight="1">
      <c r="A20909" s="16" t="s">
        <v>7568</v>
      </c>
      <c r="B20909" s="15" t="s">
        <v>7569</v>
      </c>
      <c r="C20909" s="16" t="s">
        <v>7052</v>
      </c>
      <c r="D20909" s="16" t="s">
        <v>7087</v>
      </c>
      <c r="E20909" s="2">
        <v>7284895</v>
      </c>
      <c r="F20909" s="4" t="str">
        <f>IF(B20909=B20908,"",B20909)</f>
        <v>Marseille 14</v>
      </c>
    </row>
    <row r="20910" spans="1:6" ht="15.75" customHeight="1">
      <c r="A20910" s="8" t="str">
        <f ca="1">IFERROR(__xludf.DUMMYFUNCTION("GOOGLETRANSLATE(B30299,""en"",""pt"")"),"Marselha 14")</f>
        <v>Marselha 14</v>
      </c>
      <c r="B20910" s="11" t="s">
        <v>7569</v>
      </c>
      <c r="C20910" s="11" t="s">
        <v>7052</v>
      </c>
      <c r="D20910" s="11" t="s">
        <v>32534</v>
      </c>
      <c r="E20910" s="10">
        <v>7284895</v>
      </c>
      <c r="F20910" s="4" t="str">
        <f>IF(B20910=B20909,"",B20910)</f>
        <v/>
      </c>
    </row>
    <row r="20911" spans="1:6" ht="15.75" customHeight="1">
      <c r="A20911" s="16" t="s">
        <v>7566</v>
      </c>
      <c r="B20911" s="15" t="s">
        <v>7567</v>
      </c>
      <c r="C20911" s="16" t="s">
        <v>7052</v>
      </c>
      <c r="D20911" s="16" t="s">
        <v>7087</v>
      </c>
      <c r="E20911" s="2">
        <v>7284894</v>
      </c>
      <c r="F20911" s="4" t="str">
        <f>IF(B20911=B20910,"",B20911)</f>
        <v>Marseille 13</v>
      </c>
    </row>
    <row r="20912" spans="1:6" ht="15.75" customHeight="1">
      <c r="A20912" s="8" t="str">
        <f ca="1">IFERROR(__xludf.DUMMYFUNCTION("GOOGLETRANSLATE(B30298,""en"",""pt"")"),"Marselha 13")</f>
        <v>Marselha 13</v>
      </c>
      <c r="B20912" s="11" t="s">
        <v>7567</v>
      </c>
      <c r="C20912" s="11" t="s">
        <v>7052</v>
      </c>
      <c r="D20912" s="11" t="s">
        <v>32534</v>
      </c>
      <c r="E20912" s="10">
        <v>7284894</v>
      </c>
      <c r="F20912" s="4" t="str">
        <f>IF(B20912=B20911,"",B20912)</f>
        <v/>
      </c>
    </row>
    <row r="20913" spans="1:6" ht="15.75" customHeight="1">
      <c r="A20913" s="16" t="s">
        <v>7564</v>
      </c>
      <c r="B20913" s="15" t="s">
        <v>7565</v>
      </c>
      <c r="C20913" s="16" t="s">
        <v>7052</v>
      </c>
      <c r="D20913" s="16" t="s">
        <v>7087</v>
      </c>
      <c r="E20913" s="2">
        <v>7284893</v>
      </c>
      <c r="F20913" s="4" t="str">
        <f>IF(B20913=B20912,"",B20913)</f>
        <v>Marseille 12</v>
      </c>
    </row>
    <row r="20914" spans="1:6" ht="15.75" customHeight="1">
      <c r="A20914" s="8" t="str">
        <f ca="1">IFERROR(__xludf.DUMMYFUNCTION("GOOGLETRANSLATE(B30297,""en"",""pt"")"),"Marselha 12")</f>
        <v>Marselha 12</v>
      </c>
      <c r="B20914" s="11" t="s">
        <v>7565</v>
      </c>
      <c r="C20914" s="11" t="s">
        <v>7052</v>
      </c>
      <c r="D20914" s="11" t="s">
        <v>32534</v>
      </c>
      <c r="E20914" s="10">
        <v>7284893</v>
      </c>
      <c r="F20914" s="4" t="str">
        <f>IF(B20914=B20913,"",B20914)</f>
        <v/>
      </c>
    </row>
    <row r="20915" spans="1:6" ht="15.75" customHeight="1">
      <c r="A20915" s="16" t="s">
        <v>7562</v>
      </c>
      <c r="B20915" s="15" t="s">
        <v>7563</v>
      </c>
      <c r="C20915" s="16" t="s">
        <v>7052</v>
      </c>
      <c r="D20915" s="16" t="s">
        <v>7087</v>
      </c>
      <c r="E20915" s="2">
        <v>7284892</v>
      </c>
      <c r="F20915" s="4" t="str">
        <f>IF(B20915=B20914,"",B20915)</f>
        <v>Marseille 11</v>
      </c>
    </row>
    <row r="20916" spans="1:6" ht="15.75" customHeight="1">
      <c r="A20916" s="8" t="str">
        <f ca="1">IFERROR(__xludf.DUMMYFUNCTION("GOOGLETRANSLATE(B30296,""en"",""pt"")"),"Marselha 11")</f>
        <v>Marselha 11</v>
      </c>
      <c r="B20916" s="11" t="s">
        <v>7563</v>
      </c>
      <c r="C20916" s="11" t="s">
        <v>7052</v>
      </c>
      <c r="D20916" s="11" t="s">
        <v>32534</v>
      </c>
      <c r="E20916" s="10">
        <v>7284892</v>
      </c>
      <c r="F20916" s="4" t="str">
        <f>IF(B20916=B20915,"",B20916)</f>
        <v/>
      </c>
    </row>
    <row r="20917" spans="1:6" ht="15.75" customHeight="1">
      <c r="A20917" s="16" t="s">
        <v>7560</v>
      </c>
      <c r="B20917" s="15" t="s">
        <v>7561</v>
      </c>
      <c r="C20917" s="16" t="s">
        <v>7052</v>
      </c>
      <c r="D20917" s="16" t="s">
        <v>7087</v>
      </c>
      <c r="E20917" s="2">
        <v>7284890</v>
      </c>
      <c r="F20917" s="4" t="str">
        <f>IF(B20917=B20916,"",B20917)</f>
        <v>Marseille 10</v>
      </c>
    </row>
    <row r="20918" spans="1:6" ht="15.75" customHeight="1">
      <c r="A20918" s="8" t="str">
        <f ca="1">IFERROR(__xludf.DUMMYFUNCTION("GOOGLETRANSLATE(B30294,""en"",""pt"")"),"Marselha 10")</f>
        <v>Marselha 10</v>
      </c>
      <c r="B20918" s="11" t="s">
        <v>7561</v>
      </c>
      <c r="C20918" s="11" t="s">
        <v>7052</v>
      </c>
      <c r="D20918" s="11" t="s">
        <v>32534</v>
      </c>
      <c r="E20918" s="10">
        <v>7284890</v>
      </c>
      <c r="F20918" s="4" t="str">
        <f>IF(B20918=B20917,"",B20918)</f>
        <v/>
      </c>
    </row>
    <row r="20919" spans="1:6" ht="15.75" customHeight="1">
      <c r="A20919" s="16" t="s">
        <v>7558</v>
      </c>
      <c r="B20919" s="15" t="s">
        <v>7559</v>
      </c>
      <c r="C20919" s="16" t="s">
        <v>7052</v>
      </c>
      <c r="D20919" s="16" t="s">
        <v>7087</v>
      </c>
      <c r="E20919" s="2">
        <v>7284891</v>
      </c>
      <c r="F20919" s="4" t="str">
        <f>IF(B20919=B20918,"",B20919)</f>
        <v>Marseille 09</v>
      </c>
    </row>
    <row r="20920" spans="1:6" ht="15.75" customHeight="1">
      <c r="A20920" s="8" t="str">
        <f ca="1">IFERROR(__xludf.DUMMYFUNCTION("GOOGLETRANSLATE(B30295,""en"",""pt"")"),"Marselha 09")</f>
        <v>Marselha 09</v>
      </c>
      <c r="B20920" s="11" t="s">
        <v>7559</v>
      </c>
      <c r="C20920" s="11" t="s">
        <v>7052</v>
      </c>
      <c r="D20920" s="11" t="s">
        <v>32534</v>
      </c>
      <c r="E20920" s="10">
        <v>7284891</v>
      </c>
      <c r="F20920" s="4" t="str">
        <f>IF(B20920=B20919,"",B20920)</f>
        <v/>
      </c>
    </row>
    <row r="20921" spans="1:6" ht="15.75" customHeight="1">
      <c r="A20921" s="16" t="s">
        <v>7556</v>
      </c>
      <c r="B20921" s="15" t="s">
        <v>7557</v>
      </c>
      <c r="C20921" s="16" t="s">
        <v>7052</v>
      </c>
      <c r="D20921" s="16" t="s">
        <v>7087</v>
      </c>
      <c r="E20921" s="2">
        <v>7284889</v>
      </c>
      <c r="F20921" s="4" t="str">
        <f>IF(B20921=B20920,"",B20921)</f>
        <v>Marseille 08</v>
      </c>
    </row>
    <row r="20922" spans="1:6" ht="15.75" customHeight="1">
      <c r="A20922" s="8" t="str">
        <f ca="1">IFERROR(__xludf.DUMMYFUNCTION("GOOGLETRANSLATE(B30293,""en"",""pt"")"),"Marselha 08")</f>
        <v>Marselha 08</v>
      </c>
      <c r="B20922" s="11" t="s">
        <v>7557</v>
      </c>
      <c r="C20922" s="11" t="s">
        <v>7052</v>
      </c>
      <c r="D20922" s="11" t="s">
        <v>32534</v>
      </c>
      <c r="E20922" s="10">
        <v>7284889</v>
      </c>
      <c r="F20922" s="4" t="str">
        <f>IF(B20922=B20921,"",B20922)</f>
        <v/>
      </c>
    </row>
    <row r="20923" spans="1:6" ht="15.75" customHeight="1">
      <c r="A20923" s="16" t="s">
        <v>7554</v>
      </c>
      <c r="B20923" s="15" t="s">
        <v>7555</v>
      </c>
      <c r="C20923" s="16" t="s">
        <v>7052</v>
      </c>
      <c r="D20923" s="16" t="s">
        <v>7087</v>
      </c>
      <c r="E20923" s="2">
        <v>7284888</v>
      </c>
      <c r="F20923" s="4" t="str">
        <f>IF(B20923=B20922,"",B20923)</f>
        <v>Marseille 07</v>
      </c>
    </row>
    <row r="20924" spans="1:6" ht="15.75" customHeight="1">
      <c r="A20924" s="8" t="str">
        <f ca="1">IFERROR(__xludf.DUMMYFUNCTION("GOOGLETRANSLATE(B30292,""en"",""pt"")"),"Marselha 07")</f>
        <v>Marselha 07</v>
      </c>
      <c r="B20924" s="11" t="s">
        <v>7555</v>
      </c>
      <c r="C20924" s="11" t="s">
        <v>7052</v>
      </c>
      <c r="D20924" s="11" t="s">
        <v>32534</v>
      </c>
      <c r="E20924" s="10">
        <v>7284888</v>
      </c>
      <c r="F20924" s="4" t="str">
        <f>IF(B20924=B20923,"",B20924)</f>
        <v/>
      </c>
    </row>
    <row r="20925" spans="1:6" ht="15.75" customHeight="1">
      <c r="A20925" s="16" t="s">
        <v>7552</v>
      </c>
      <c r="B20925" s="15" t="s">
        <v>7553</v>
      </c>
      <c r="C20925" s="16" t="s">
        <v>7052</v>
      </c>
      <c r="D20925" s="16" t="s">
        <v>7087</v>
      </c>
      <c r="E20925" s="2">
        <v>7284887</v>
      </c>
      <c r="F20925" s="4" t="str">
        <f>IF(B20925=B20924,"",B20925)</f>
        <v>Marseille 06</v>
      </c>
    </row>
    <row r="20926" spans="1:6" ht="15.75" customHeight="1">
      <c r="A20926" s="8" t="str">
        <f ca="1">IFERROR(__xludf.DUMMYFUNCTION("GOOGLETRANSLATE(B30291,""en"",""pt"")"),"Marselha 06")</f>
        <v>Marselha 06</v>
      </c>
      <c r="B20926" s="11" t="s">
        <v>7553</v>
      </c>
      <c r="C20926" s="11" t="s">
        <v>7052</v>
      </c>
      <c r="D20926" s="11" t="s">
        <v>32534</v>
      </c>
      <c r="E20926" s="10">
        <v>7284887</v>
      </c>
      <c r="F20926" s="4" t="str">
        <f>IF(B20926=B20925,"",B20926)</f>
        <v/>
      </c>
    </row>
    <row r="20927" spans="1:6" ht="15.75" customHeight="1">
      <c r="A20927" s="16" t="s">
        <v>7550</v>
      </c>
      <c r="B20927" s="15" t="s">
        <v>7551</v>
      </c>
      <c r="C20927" s="16" t="s">
        <v>7052</v>
      </c>
      <c r="D20927" s="16" t="s">
        <v>7087</v>
      </c>
      <c r="E20927" s="2">
        <v>7284886</v>
      </c>
      <c r="F20927" s="4" t="str">
        <f>IF(B20927=B20926,"",B20927)</f>
        <v>Marseille 05</v>
      </c>
    </row>
    <row r="20928" spans="1:6" ht="15.75" customHeight="1">
      <c r="A20928" s="8" t="str">
        <f ca="1">IFERROR(__xludf.DUMMYFUNCTION("GOOGLETRANSLATE(B30290,""en"",""pt"")"),"Marselha 05")</f>
        <v>Marselha 05</v>
      </c>
      <c r="B20928" s="11" t="s">
        <v>7551</v>
      </c>
      <c r="C20928" s="11" t="s">
        <v>7052</v>
      </c>
      <c r="D20928" s="11" t="s">
        <v>32534</v>
      </c>
      <c r="E20928" s="10">
        <v>7284886</v>
      </c>
      <c r="F20928" s="4" t="str">
        <f>IF(B20928=B20927,"",B20928)</f>
        <v/>
      </c>
    </row>
    <row r="20929" spans="1:6" ht="15.75" customHeight="1">
      <c r="A20929" s="16" t="s">
        <v>7548</v>
      </c>
      <c r="B20929" s="15" t="s">
        <v>7549</v>
      </c>
      <c r="C20929" s="16" t="s">
        <v>7052</v>
      </c>
      <c r="D20929" s="16" t="s">
        <v>7087</v>
      </c>
      <c r="E20929" s="2">
        <v>7284885</v>
      </c>
      <c r="F20929" s="4" t="str">
        <f>IF(B20929=B20928,"",B20929)</f>
        <v>Marseille 04</v>
      </c>
    </row>
    <row r="20930" spans="1:6" ht="15.75" customHeight="1">
      <c r="A20930" s="8" t="str">
        <f ca="1">IFERROR(__xludf.DUMMYFUNCTION("GOOGLETRANSLATE(B30289,""en"",""pt"")"),"Marselha 04")</f>
        <v>Marselha 04</v>
      </c>
      <c r="B20930" s="11" t="s">
        <v>7549</v>
      </c>
      <c r="C20930" s="11" t="s">
        <v>7052</v>
      </c>
      <c r="D20930" s="11" t="s">
        <v>32534</v>
      </c>
      <c r="E20930" s="10">
        <v>7284885</v>
      </c>
      <c r="F20930" s="4" t="str">
        <f>IF(B20930=B20929,"",B20930)</f>
        <v/>
      </c>
    </row>
    <row r="20931" spans="1:6" ht="15.75" customHeight="1">
      <c r="A20931" s="16" t="s">
        <v>7546</v>
      </c>
      <c r="B20931" s="15" t="s">
        <v>7547</v>
      </c>
      <c r="C20931" s="16" t="s">
        <v>7052</v>
      </c>
      <c r="D20931" s="16" t="s">
        <v>7087</v>
      </c>
      <c r="E20931" s="2">
        <v>7284884</v>
      </c>
      <c r="F20931" s="4" t="str">
        <f>IF(B20931=B20930,"",B20931)</f>
        <v>Marseille 03</v>
      </c>
    </row>
    <row r="20932" spans="1:6" ht="15.75" customHeight="1">
      <c r="A20932" s="8" t="str">
        <f ca="1">IFERROR(__xludf.DUMMYFUNCTION("GOOGLETRANSLATE(B30288,""en"",""pt"")"),"Marselha 03")</f>
        <v>Marselha 03</v>
      </c>
      <c r="B20932" s="11" t="s">
        <v>7547</v>
      </c>
      <c r="C20932" s="11" t="s">
        <v>7052</v>
      </c>
      <c r="D20932" s="11" t="s">
        <v>32534</v>
      </c>
      <c r="E20932" s="10">
        <v>7284884</v>
      </c>
      <c r="F20932" s="4" t="str">
        <f>IF(B20932=B20931,"",B20932)</f>
        <v/>
      </c>
    </row>
    <row r="20933" spans="1:6" ht="15.75" customHeight="1">
      <c r="A20933" s="16" t="s">
        <v>7544</v>
      </c>
      <c r="B20933" s="15" t="s">
        <v>7545</v>
      </c>
      <c r="C20933" s="16" t="s">
        <v>7052</v>
      </c>
      <c r="D20933" s="16" t="s">
        <v>7087</v>
      </c>
      <c r="E20933" s="2">
        <v>7284883</v>
      </c>
      <c r="F20933" s="4" t="str">
        <f>IF(B20933=B20932,"",B20933)</f>
        <v>Marseille 02</v>
      </c>
    </row>
    <row r="20934" spans="1:6" ht="15.75" customHeight="1">
      <c r="A20934" s="8" t="str">
        <f ca="1">IFERROR(__xludf.DUMMYFUNCTION("GOOGLETRANSLATE(B30287,""en"",""pt"")"),"Marselha 02")</f>
        <v>Marselha 02</v>
      </c>
      <c r="B20934" s="11" t="s">
        <v>7545</v>
      </c>
      <c r="C20934" s="11" t="s">
        <v>7052</v>
      </c>
      <c r="D20934" s="11" t="s">
        <v>32534</v>
      </c>
      <c r="E20934" s="10">
        <v>7284883</v>
      </c>
      <c r="F20934" s="4" t="str">
        <f>IF(B20934=B20933,"",B20934)</f>
        <v/>
      </c>
    </row>
    <row r="20935" spans="1:6" ht="15.75" customHeight="1">
      <c r="A20935" s="16" t="s">
        <v>7542</v>
      </c>
      <c r="B20935" s="15" t="s">
        <v>7543</v>
      </c>
      <c r="C20935" s="16" t="s">
        <v>7052</v>
      </c>
      <c r="D20935" s="16" t="s">
        <v>7087</v>
      </c>
      <c r="E20935" s="2">
        <v>7284882</v>
      </c>
      <c r="F20935" s="4" t="str">
        <f>IF(B20935=B20934,"",B20935)</f>
        <v>Marseille 01</v>
      </c>
    </row>
    <row r="20936" spans="1:6" ht="15.75" customHeight="1">
      <c r="A20936" s="8" t="str">
        <f ca="1">IFERROR(__xludf.DUMMYFUNCTION("GOOGLETRANSLATE(B30286,""en"",""pt"")"),"Marselha 01")</f>
        <v>Marselha 01</v>
      </c>
      <c r="B20936" s="11" t="s">
        <v>7543</v>
      </c>
      <c r="C20936" s="11" t="s">
        <v>7052</v>
      </c>
      <c r="D20936" s="11" t="s">
        <v>32534</v>
      </c>
      <c r="E20936" s="10">
        <v>7284882</v>
      </c>
      <c r="F20936" s="4" t="str">
        <f>IF(B20936=B20935,"",B20936)</f>
        <v/>
      </c>
    </row>
    <row r="20937" spans="1:6" ht="15.75" customHeight="1">
      <c r="A20937" s="15" t="s">
        <v>7540</v>
      </c>
      <c r="B20937" s="15" t="s">
        <v>7541</v>
      </c>
      <c r="C20937" s="15" t="s">
        <v>7052</v>
      </c>
      <c r="D20937" s="15" t="s">
        <v>7087</v>
      </c>
      <c r="E20937" s="2">
        <v>2995469</v>
      </c>
      <c r="F20937" s="4" t="str">
        <f>IF(B20937=B20936,"",B20937)</f>
        <v>Marseille</v>
      </c>
    </row>
    <row r="20938" spans="1:6" ht="15.75" customHeight="1">
      <c r="A20938" s="8" t="str">
        <f ca="1">IFERROR(__xludf.DUMMYFUNCTION("GOOGLETRANSLATE(B29936,""en"",""pt"")"),"Marselha")</f>
        <v>Marselha</v>
      </c>
      <c r="B20938" s="11" t="s">
        <v>7541</v>
      </c>
      <c r="C20938" s="11" t="s">
        <v>7052</v>
      </c>
      <c r="D20938" s="11" t="s">
        <v>32534</v>
      </c>
      <c r="E20938" s="10">
        <v>2995469</v>
      </c>
      <c r="F20938" s="4" t="str">
        <f>IF(B20938=B20937,"",B20938)</f>
        <v/>
      </c>
    </row>
    <row r="20939" spans="1:6" ht="15.75" customHeight="1">
      <c r="A20939" s="15" t="s">
        <v>8832</v>
      </c>
      <c r="B20939" s="15" t="s">
        <v>8832</v>
      </c>
      <c r="C20939" s="15" t="s">
        <v>8028</v>
      </c>
      <c r="D20939" s="15" t="s">
        <v>8029</v>
      </c>
      <c r="E20939" s="2">
        <v>2873211</v>
      </c>
      <c r="F20939" s="4" t="str">
        <f>IF(B20939=B20938,"",B20939)</f>
        <v>Marsberg</v>
      </c>
    </row>
    <row r="20940" spans="1:6" ht="15.75" customHeight="1">
      <c r="A20940" s="8" t="str">
        <f ca="1">IFERROR(__xludf.DUMMYFUNCTION("GOOGLETRANSLATE(B27778,""en"",""pt"")"),"Marsberg")</f>
        <v>Marsberg</v>
      </c>
      <c r="B20940" s="11" t="s">
        <v>8832</v>
      </c>
      <c r="C20940" s="11" t="s">
        <v>8028</v>
      </c>
      <c r="D20940" s="11" t="s">
        <v>8029</v>
      </c>
      <c r="E20940" s="10">
        <v>2873211</v>
      </c>
      <c r="F20940" s="4" t="str">
        <f>IF(B20940=B20939,"",B20940)</f>
        <v/>
      </c>
    </row>
    <row r="20941" spans="1:6" ht="15.75" customHeight="1">
      <c r="A20941" s="15" t="s">
        <v>15249</v>
      </c>
      <c r="B20941" s="15" t="s">
        <v>15249</v>
      </c>
      <c r="C20941" s="15" t="s">
        <v>14891</v>
      </c>
      <c r="D20941" s="15" t="s">
        <v>14899</v>
      </c>
      <c r="E20941" s="2">
        <v>2524245</v>
      </c>
      <c r="F20941" s="4" t="str">
        <f>IF(B20941=B20940,"",B20941)</f>
        <v>Marsala</v>
      </c>
    </row>
    <row r="20942" spans="1:6" ht="15.75" customHeight="1">
      <c r="A20942" s="8" t="str">
        <f ca="1">IFERROR(__xludf.DUMMYFUNCTION("GOOGLETRANSLATE(B34585,""en"",""pt"")"),"Marsala")</f>
        <v>Marsala</v>
      </c>
      <c r="B20942" s="11" t="s">
        <v>15249</v>
      </c>
      <c r="C20942" s="11" t="s">
        <v>14891</v>
      </c>
      <c r="D20942" s="11" t="s">
        <v>14899</v>
      </c>
      <c r="E20942" s="10">
        <v>2524245</v>
      </c>
      <c r="F20942" s="4" t="str">
        <f>IF(B20942=B20941,"",B20942)</f>
        <v/>
      </c>
    </row>
    <row r="20943" spans="1:6" ht="15.75" customHeight="1">
      <c r="A20943" s="15" t="s">
        <v>16818</v>
      </c>
      <c r="B20943" s="15" t="s">
        <v>16818</v>
      </c>
      <c r="C20943" s="15" t="s">
        <v>16781</v>
      </c>
      <c r="D20943" s="15" t="s">
        <v>16818</v>
      </c>
      <c r="E20943" s="2">
        <v>187585</v>
      </c>
      <c r="F20943" s="4" t="str">
        <f>IF(B20943=B20942,"",B20943)</f>
        <v>Marsabit</v>
      </c>
    </row>
    <row r="20944" spans="1:6" ht="15.75" customHeight="1">
      <c r="A20944" s="8" t="str">
        <f ca="1">IFERROR(__xludf.DUMMYFUNCTION("GOOGLETRANSLATE(B35905,""en"",""pt"")"),"Marsabit")</f>
        <v>Marsabit</v>
      </c>
      <c r="B20944" s="11" t="s">
        <v>16818</v>
      </c>
      <c r="C20944" s="11" t="s">
        <v>16781</v>
      </c>
      <c r="D20944" s="11" t="s">
        <v>16818</v>
      </c>
      <c r="E20944" s="10">
        <v>187585</v>
      </c>
      <c r="F20944" s="4" t="str">
        <f>IF(B20944=B20943,"",B20944)</f>
        <v/>
      </c>
    </row>
    <row r="20945" spans="1:6" ht="15.75" customHeight="1">
      <c r="A20945" s="16" t="s">
        <v>1023</v>
      </c>
      <c r="B20945" s="15" t="s">
        <v>1023</v>
      </c>
      <c r="C20945" s="16" t="s">
        <v>885</v>
      </c>
      <c r="D20945" s="16" t="s">
        <v>891</v>
      </c>
      <c r="E20945" s="2">
        <v>2158626</v>
      </c>
      <c r="F20945" s="4" t="str">
        <f>IF(B20945=B20944,"",B20945)</f>
        <v>Marrickville</v>
      </c>
    </row>
    <row r="20946" spans="1:6" ht="15.75" customHeight="1">
      <c r="A20946" s="8" t="str">
        <f ca="1">IFERROR(__xludf.DUMMYFUNCTION("GOOGLETRANSLATE(B23487,""en"",""pt"")"),"Marrickville")</f>
        <v>Marrickville</v>
      </c>
      <c r="B20946" s="11" t="s">
        <v>1023</v>
      </c>
      <c r="C20946" s="11" t="s">
        <v>885</v>
      </c>
      <c r="D20946" s="11" t="s">
        <v>891</v>
      </c>
      <c r="E20946" s="10">
        <v>2158626</v>
      </c>
      <c r="F20946" s="4" t="str">
        <f>IF(B20946=B20945,"",B20946)</f>
        <v/>
      </c>
    </row>
    <row r="20947" spans="1:6" ht="15.75" customHeight="1">
      <c r="A20947" s="15" t="s">
        <v>29214</v>
      </c>
      <c r="B20947" s="15" t="s">
        <v>29214</v>
      </c>
      <c r="C20947" s="15" t="s">
        <v>27788</v>
      </c>
      <c r="D20947" s="15" t="s">
        <v>27827</v>
      </c>
      <c r="E20947" s="2">
        <v>4332628</v>
      </c>
      <c r="F20947" s="4" t="str">
        <f>IF(B20947=B20946,"",B20947)</f>
        <v>Marrero</v>
      </c>
    </row>
    <row r="20948" spans="1:6" ht="15.75" customHeight="1">
      <c r="A20948" s="8" t="str">
        <f ca="1">IFERROR(__xludf.DUMMYFUNCTION("GOOGLETRANSLATE(B43238,""en"",""pt"")"),"Marrero")</f>
        <v>Marrero</v>
      </c>
      <c r="B20948" s="11" t="s">
        <v>29214</v>
      </c>
      <c r="C20948" s="11" t="s">
        <v>27788</v>
      </c>
      <c r="D20948" s="11" t="s">
        <v>27827</v>
      </c>
      <c r="E20948" s="10">
        <v>4332628</v>
      </c>
      <c r="F20948" s="4" t="str">
        <f>IF(B20948=B20947,"",B20948)</f>
        <v/>
      </c>
    </row>
    <row r="20949" spans="1:6" ht="15.75" customHeight="1">
      <c r="A20949" s="8" t="str">
        <f ca="1">IFERROR(__xludf.DUMMYFUNCTION("GOOGLETRANSLATE(B29061,""en"",""pt"")"),"Marratxí")</f>
        <v>Marratxí</v>
      </c>
      <c r="B20949" s="11" t="s">
        <v>32371</v>
      </c>
      <c r="C20949" s="11" t="s">
        <v>24200</v>
      </c>
      <c r="D20949" s="11" t="s">
        <v>24236</v>
      </c>
      <c r="E20949" s="10">
        <v>2514097</v>
      </c>
      <c r="F20949" s="4" t="str">
        <f>IF(B20949=B20948,"",B20949)</f>
        <v>Marratxí</v>
      </c>
    </row>
    <row r="20950" spans="1:6" ht="15.75" customHeight="1">
      <c r="A20950" s="15" t="s">
        <v>24601</v>
      </c>
      <c r="B20950" s="15" t="s">
        <v>24602</v>
      </c>
      <c r="C20950" s="15" t="s">
        <v>24200</v>
      </c>
      <c r="D20950" s="15" t="s">
        <v>24236</v>
      </c>
      <c r="E20950" s="2">
        <v>2514097</v>
      </c>
      <c r="F20950" s="4" t="str">
        <f>IF(B20950=B20949,"",B20950)</f>
        <v>MarratxÃ­</v>
      </c>
    </row>
    <row r="20951" spans="1:6" ht="15.75" customHeight="1">
      <c r="A20951" s="16" t="s">
        <v>18604</v>
      </c>
      <c r="B20951" s="15" t="s">
        <v>18604</v>
      </c>
      <c r="C20951" s="16" t="s">
        <v>18551</v>
      </c>
      <c r="D20951" s="16" t="s">
        <v>18582</v>
      </c>
      <c r="E20951" s="2">
        <v>2542997</v>
      </c>
      <c r="F20951" s="4" t="str">
        <f>IF(B20951=B20950,"",B20951)</f>
        <v>Marrakesh</v>
      </c>
    </row>
    <row r="20952" spans="1:6" ht="15.75" customHeight="1">
      <c r="A20952" s="8" t="str">
        <f ca="1">IFERROR(__xludf.DUMMYFUNCTION("GOOGLETRANSLATE(B36490,""en"",""pt"")"),"Marrakesh")</f>
        <v>Marrakesh</v>
      </c>
      <c r="B20952" s="11" t="s">
        <v>18604</v>
      </c>
      <c r="C20952" s="11" t="s">
        <v>18551</v>
      </c>
      <c r="D20952" s="11" t="s">
        <v>18582</v>
      </c>
      <c r="E20952" s="10">
        <v>2542997</v>
      </c>
      <c r="F20952" s="4" t="str">
        <f>IF(B20952=B20951,"",B20952)</f>
        <v/>
      </c>
    </row>
    <row r="20953" spans="1:6" ht="15.75" customHeight="1">
      <c r="A20953" s="16" t="s">
        <v>29213</v>
      </c>
      <c r="B20953" s="15" t="s">
        <v>29213</v>
      </c>
      <c r="C20953" s="16" t="s">
        <v>27788</v>
      </c>
      <c r="D20953" s="16" t="s">
        <v>27804</v>
      </c>
      <c r="E20953" s="2">
        <v>5000947</v>
      </c>
      <c r="F20953" s="4" t="str">
        <f>IF(B20953=B20952,"",B20953)</f>
        <v>Marquette</v>
      </c>
    </row>
    <row r="20954" spans="1:6" ht="15.75" customHeight="1">
      <c r="A20954" s="8" t="str">
        <f ca="1">IFERROR(__xludf.DUMMYFUNCTION("GOOGLETRANSLATE(B44101,""en"",""pt"")"),"Marquette")</f>
        <v>Marquette</v>
      </c>
      <c r="B20954" s="11" t="s">
        <v>29213</v>
      </c>
      <c r="C20954" s="11" t="s">
        <v>27788</v>
      </c>
      <c r="D20954" s="11" t="s">
        <v>27804</v>
      </c>
      <c r="E20954" s="10">
        <v>5000947</v>
      </c>
      <c r="F20954" s="4" t="str">
        <f>IF(B20954=B20953,"",B20954)</f>
        <v/>
      </c>
    </row>
    <row r="20955" spans="1:6" ht="15.75" customHeight="1">
      <c r="A20955" s="15" t="s">
        <v>27529</v>
      </c>
      <c r="B20955" s="15" t="s">
        <v>27529</v>
      </c>
      <c r="C20955" s="15" t="s">
        <v>27234</v>
      </c>
      <c r="D20955" s="15" t="s">
        <v>27241</v>
      </c>
      <c r="E20955" s="2">
        <v>2642999</v>
      </c>
      <c r="F20955" s="4" t="str">
        <f>IF(B20955=B20954,"",B20955)</f>
        <v>Marple</v>
      </c>
    </row>
    <row r="20956" spans="1:6" ht="15.75" customHeight="1">
      <c r="A20956" s="8" t="str">
        <f ca="1">IFERROR(__xludf.DUMMYFUNCTION("GOOGLETRANSLATE(B30544,""en"",""pt"")"),"Marple")</f>
        <v>Marple</v>
      </c>
      <c r="B20956" s="11" t="s">
        <v>27529</v>
      </c>
      <c r="C20956" s="11" t="s">
        <v>27234</v>
      </c>
      <c r="D20956" s="11" t="s">
        <v>27241</v>
      </c>
      <c r="E20956" s="10">
        <v>2642999</v>
      </c>
      <c r="F20956" s="4" t="str">
        <f>IF(B20956=B20955,"",B20956)</f>
        <v/>
      </c>
    </row>
    <row r="20957" spans="1:6" ht="15.75" customHeight="1">
      <c r="A20957" s="16" t="s">
        <v>17383</v>
      </c>
      <c r="B20957" s="15" t="s">
        <v>17383</v>
      </c>
      <c r="C20957" s="16" t="s">
        <v>17292</v>
      </c>
      <c r="D20957" s="16" t="s">
        <v>17300</v>
      </c>
      <c r="E20957" s="2">
        <v>1059507</v>
      </c>
      <c r="F20957" s="4" t="str">
        <f>IF(B20957=B20956,"",B20957)</f>
        <v>Marovoay</v>
      </c>
    </row>
    <row r="20958" spans="1:6" ht="15.75" customHeight="1">
      <c r="A20958" s="8" t="str">
        <f ca="1">IFERROR(__xludf.DUMMYFUNCTION("GOOGLETRANSLATE(B36579,""en"",""pt"")"),"Marovoay")</f>
        <v>Marovoay</v>
      </c>
      <c r="B20958" s="11" t="s">
        <v>17383</v>
      </c>
      <c r="C20958" s="11" t="s">
        <v>17292</v>
      </c>
      <c r="D20958" s="11" t="s">
        <v>17300</v>
      </c>
      <c r="E20958" s="10">
        <v>1059507</v>
      </c>
      <c r="F20958" s="4" t="str">
        <f>IF(B20958=B20957,"",B20958)</f>
        <v/>
      </c>
    </row>
    <row r="20959" spans="1:6" ht="15.75" customHeight="1">
      <c r="A20959" s="8" t="str">
        <f ca="1">IFERROR(__xludf.DUMMYFUNCTION("GOOGLETRANSLATE(B31021,""en"",""pt"")"),"Maroúsi")</f>
        <v>Maroúsi</v>
      </c>
      <c r="B20959" s="11" t="s">
        <v>32727</v>
      </c>
      <c r="C20959" s="11" t="s">
        <v>9441</v>
      </c>
      <c r="D20959" s="11" t="s">
        <v>9445</v>
      </c>
      <c r="E20959" s="10">
        <v>265243</v>
      </c>
      <c r="F20959" s="4" t="str">
        <f>IF(B20959=B20958,"",B20959)</f>
        <v>Maroúsi</v>
      </c>
    </row>
    <row r="20960" spans="1:6" ht="15.75" customHeight="1">
      <c r="A20960" s="16" t="s">
        <v>1022</v>
      </c>
      <c r="B20960" s="15" t="s">
        <v>1022</v>
      </c>
      <c r="C20960" s="16" t="s">
        <v>885</v>
      </c>
      <c r="D20960" s="16" t="s">
        <v>891</v>
      </c>
      <c r="E20960" s="2">
        <v>2158651</v>
      </c>
      <c r="F20960" s="4" t="str">
        <f>IF(B20960=B20959,"",B20960)</f>
        <v>Maroubra</v>
      </c>
    </row>
    <row r="20961" spans="1:6" ht="15.75" customHeight="1">
      <c r="A20961" s="8" t="str">
        <f ca="1">IFERROR(__xludf.DUMMYFUNCTION("GOOGLETRANSLATE(B23488,""en"",""pt"")"),"Maroubra")</f>
        <v>Maroubra</v>
      </c>
      <c r="B20961" s="11" t="s">
        <v>1022</v>
      </c>
      <c r="C20961" s="11" t="s">
        <v>885</v>
      </c>
      <c r="D20961" s="11" t="s">
        <v>891</v>
      </c>
      <c r="E20961" s="10">
        <v>2158651</v>
      </c>
      <c r="F20961" s="4" t="str">
        <f>IF(B20961=B20960,"",B20961)</f>
        <v/>
      </c>
    </row>
    <row r="20962" spans="1:6" ht="15.75" customHeight="1">
      <c r="A20962" s="15" t="s">
        <v>3943</v>
      </c>
      <c r="B20962" s="15" t="s">
        <v>3943</v>
      </c>
      <c r="C20962" s="15" t="s">
        <v>3884</v>
      </c>
      <c r="D20962" s="15" t="s">
        <v>3906</v>
      </c>
      <c r="E20962" s="2">
        <v>2228373</v>
      </c>
      <c r="F20962" s="4" t="str">
        <f>IF(B20962=B20961,"",B20962)</f>
        <v>Maroua</v>
      </c>
    </row>
    <row r="20963" spans="1:6" ht="15.75" customHeight="1">
      <c r="A20963" s="8" t="str">
        <f ca="1">IFERROR(__xludf.DUMMYFUNCTION("GOOGLETRANSLATE(B26004,""en"",""pt"")"),"Maroua")</f>
        <v>Maroua</v>
      </c>
      <c r="B20963" s="11" t="s">
        <v>3943</v>
      </c>
      <c r="C20963" s="11" t="s">
        <v>3884</v>
      </c>
      <c r="D20963" s="11" t="s">
        <v>3906</v>
      </c>
      <c r="E20963" s="10">
        <v>2228373</v>
      </c>
      <c r="F20963" s="4" t="str">
        <f>IF(B20963=B20962,"",B20963)</f>
        <v/>
      </c>
    </row>
    <row r="20964" spans="1:6" ht="15.75" customHeight="1">
      <c r="A20964" s="16" t="s">
        <v>31095</v>
      </c>
      <c r="B20964" s="15" t="s">
        <v>31095</v>
      </c>
      <c r="C20964" s="16" t="s">
        <v>31072</v>
      </c>
      <c r="D20964" s="16" t="s">
        <v>31096</v>
      </c>
      <c r="E20964" s="2">
        <v>886990</v>
      </c>
      <c r="F20964" s="4" t="str">
        <f>IF(B20964=B20963,"",B20964)</f>
        <v>Marondera</v>
      </c>
    </row>
    <row r="20965" spans="1:6" ht="15.75" customHeight="1">
      <c r="A20965" s="8" t="str">
        <f ca="1">IFERROR(__xludf.DUMMYFUNCTION("GOOGLETRANSLATE(B46039,""en"",""pt"")"),"Marondera")</f>
        <v>Marondera</v>
      </c>
      <c r="B20965" s="11" t="s">
        <v>31095</v>
      </c>
      <c r="C20965" s="11" t="s">
        <v>31072</v>
      </c>
      <c r="D20965" s="11" t="s">
        <v>31096</v>
      </c>
      <c r="E20965" s="10">
        <v>886990</v>
      </c>
      <c r="F20965" s="4" t="str">
        <f>IF(B20965=B20964,"",B20965)</f>
        <v/>
      </c>
    </row>
    <row r="20966" spans="1:6" ht="15.75" customHeight="1">
      <c r="A20966" s="16" t="s">
        <v>17382</v>
      </c>
      <c r="B20966" s="15" t="s">
        <v>17382</v>
      </c>
      <c r="C20966" s="16" t="s">
        <v>17292</v>
      </c>
      <c r="D20966" s="16" t="s">
        <v>17323</v>
      </c>
      <c r="E20966" s="2">
        <v>1060007</v>
      </c>
      <c r="F20966" s="4" t="str">
        <f>IF(B20966=B20965,"",B20966)</f>
        <v>Marolambo</v>
      </c>
    </row>
    <row r="20967" spans="1:6" ht="15.75" customHeight="1">
      <c r="A20967" s="8" t="str">
        <f ca="1">IFERROR(__xludf.DUMMYFUNCTION("GOOGLETRANSLATE(B36580,""en"",""pt"")"),"Marolambo")</f>
        <v>Marolambo</v>
      </c>
      <c r="B20967" s="11" t="s">
        <v>17382</v>
      </c>
      <c r="C20967" s="11" t="s">
        <v>17292</v>
      </c>
      <c r="D20967" s="11" t="s">
        <v>17323</v>
      </c>
      <c r="E20967" s="10">
        <v>1060007</v>
      </c>
      <c r="F20967" s="4" t="str">
        <f>IF(B20967=B20966,"",B20967)</f>
        <v/>
      </c>
    </row>
    <row r="20968" spans="1:6" ht="15.75" customHeight="1">
      <c r="A20968" s="15" t="s">
        <v>9573</v>
      </c>
      <c r="B20968" s="15" t="s">
        <v>9574</v>
      </c>
      <c r="C20968" s="15" t="s">
        <v>9441</v>
      </c>
      <c r="D20968" s="15" t="s">
        <v>9445</v>
      </c>
      <c r="E20968" s="2">
        <v>265243</v>
      </c>
      <c r="F20968" s="4" t="str">
        <f>IF(B20968=B20967,"",B20968)</f>
        <v>MaroÃºsi</v>
      </c>
    </row>
    <row r="20969" spans="1:6" ht="15.75" customHeight="1">
      <c r="A20969" s="16" t="s">
        <v>17380</v>
      </c>
      <c r="B20969" s="15" t="s">
        <v>17381</v>
      </c>
      <c r="C20969" s="16" t="s">
        <v>17292</v>
      </c>
      <c r="D20969" s="16" t="s">
        <v>17356</v>
      </c>
      <c r="E20969" s="2">
        <v>1060283</v>
      </c>
      <c r="F20969" s="4" t="str">
        <f>IF(B20969=B20968,"",B20969)</f>
        <v>Maroantsetra</v>
      </c>
    </row>
    <row r="20970" spans="1:6" ht="15.75" customHeight="1">
      <c r="A20970" s="8" t="str">
        <f ca="1">IFERROR(__xludf.DUMMYFUNCTION("GOOGLETRANSLATE(B36581,""en"",""pt"")"),"MaroantSetra")</f>
        <v>MaroantSetra</v>
      </c>
      <c r="B20970" s="11" t="s">
        <v>17381</v>
      </c>
      <c r="C20970" s="11" t="s">
        <v>17292</v>
      </c>
      <c r="D20970" s="11" t="s">
        <v>17356</v>
      </c>
      <c r="E20970" s="10">
        <v>1060283</v>
      </c>
      <c r="F20970" s="4" t="str">
        <f>IF(B20970=B20969,"",B20970)</f>
        <v/>
      </c>
    </row>
    <row r="20971" spans="1:6" ht="15.75" customHeight="1">
      <c r="A20971" s="15" t="s">
        <v>7998</v>
      </c>
      <c r="B20971" s="15" t="s">
        <v>7998</v>
      </c>
      <c r="C20971" s="15" t="s">
        <v>7988</v>
      </c>
      <c r="D20971" s="15" t="s">
        <v>7999</v>
      </c>
      <c r="E20971" s="2">
        <v>613074</v>
      </c>
      <c r="F20971" s="4" t="str">
        <f>IF(B20971=B20970,"",B20971)</f>
        <v>Marneuli</v>
      </c>
    </row>
    <row r="20972" spans="1:6" ht="15.75" customHeight="1">
      <c r="A20972" s="8" t="str">
        <f ca="1">IFERROR(__xludf.DUMMYFUNCTION("GOOGLETRANSLATE(B30841,""en"",""pt"")"),"Marneuli")</f>
        <v>Marneuli</v>
      </c>
      <c r="B20972" s="11" t="s">
        <v>7998</v>
      </c>
      <c r="C20972" s="11" t="s">
        <v>7988</v>
      </c>
      <c r="D20972" s="11" t="s">
        <v>7999</v>
      </c>
      <c r="E20972" s="10">
        <v>613074</v>
      </c>
      <c r="F20972" s="4" t="str">
        <f>IF(B20972=B20971,"",B20972)</f>
        <v/>
      </c>
    </row>
    <row r="20973" spans="1:6" ht="15.75" customHeight="1">
      <c r="A20973" s="15" t="s">
        <v>26626</v>
      </c>
      <c r="B20973" s="15" t="s">
        <v>26626</v>
      </c>
      <c r="C20973" s="15" t="s">
        <v>26201</v>
      </c>
      <c r="D20973" s="15" t="s">
        <v>26409</v>
      </c>
      <c r="E20973" s="2">
        <v>304782</v>
      </c>
      <c r="F20973" s="4" t="str">
        <f>IF(B20973=B20972,"",B20973)</f>
        <v>Marmaris</v>
      </c>
    </row>
    <row r="20974" spans="1:6" ht="15.75" customHeight="1">
      <c r="A20974" s="8" t="str">
        <f ca="1">IFERROR(__xludf.DUMMYFUNCTION("GOOGLETRANSLATE(B41938,""en"",""pt"")"),"Marmaris")</f>
        <v>Marmaris</v>
      </c>
      <c r="B20974" s="11" t="s">
        <v>26626</v>
      </c>
      <c r="C20974" s="11" t="s">
        <v>26201</v>
      </c>
      <c r="D20974" s="11" t="s">
        <v>35818</v>
      </c>
      <c r="E20974" s="10">
        <v>304782</v>
      </c>
      <c r="F20974" s="4" t="str">
        <f>IF(B20974=B20973,"",B20974)</f>
        <v/>
      </c>
    </row>
    <row r="20975" spans="1:6" ht="15.75" customHeight="1">
      <c r="A20975" s="16" t="s">
        <v>7539</v>
      </c>
      <c r="B20975" s="15" t="s">
        <v>7539</v>
      </c>
      <c r="C20975" s="16" t="s">
        <v>7052</v>
      </c>
      <c r="D20975" s="16" t="s">
        <v>7084</v>
      </c>
      <c r="E20975" s="2">
        <v>2995642</v>
      </c>
      <c r="F20975" s="4" t="str">
        <f>IF(B20975=B20974,"",B20975)</f>
        <v>Marmande</v>
      </c>
    </row>
    <row r="20976" spans="1:6" ht="15.75" customHeight="1">
      <c r="A20976" s="8" t="str">
        <f ca="1">IFERROR(__xludf.DUMMYFUNCTION("GOOGLETRANSLATE(B29937,""en"",""pt"")"),"Marmande")</f>
        <v>Marmande</v>
      </c>
      <c r="B20976" s="11" t="s">
        <v>7539</v>
      </c>
      <c r="C20976" s="11" t="s">
        <v>7052</v>
      </c>
      <c r="D20976" s="11" t="s">
        <v>7084</v>
      </c>
      <c r="E20976" s="10">
        <v>2995642</v>
      </c>
      <c r="F20976" s="4" t="str">
        <f>IF(B20976=B20975,"",B20976)</f>
        <v/>
      </c>
    </row>
    <row r="20977" spans="1:6" ht="15.75" customHeight="1">
      <c r="A20977" s="16" t="s">
        <v>12371</v>
      </c>
      <c r="B20977" s="15" t="s">
        <v>12371</v>
      </c>
      <c r="C20977" s="16" t="s">
        <v>10178</v>
      </c>
      <c r="D20977" s="16" t="s">
        <v>10856</v>
      </c>
      <c r="E20977" s="2">
        <v>1263494</v>
      </c>
      <c r="F20977" s="4" t="str">
        <f>IF(B20977=B20976,"",B20977)</f>
        <v>Marmagao</v>
      </c>
    </row>
    <row r="20978" spans="1:6" ht="15.75" customHeight="1">
      <c r="A20978" s="8" t="str">
        <f ca="1">IFERROR(__xludf.DUMMYFUNCTION("GOOGLETRANSLATE(B32798,""en"",""pt"")"),"Marmagao")</f>
        <v>Marmagao</v>
      </c>
      <c r="B20978" s="11" t="s">
        <v>12371</v>
      </c>
      <c r="C20978" s="11" t="s">
        <v>10178</v>
      </c>
      <c r="D20978" s="11" t="s">
        <v>10856</v>
      </c>
      <c r="E20978" s="10">
        <v>1263494</v>
      </c>
      <c r="F20978" s="4" t="str">
        <f>IF(B20978=B20977,"",B20978)</f>
        <v/>
      </c>
    </row>
    <row r="20979" spans="1:6" ht="15.75" customHeight="1">
      <c r="A20979" s="16" t="s">
        <v>7538</v>
      </c>
      <c r="B20979" s="15" t="s">
        <v>7538</v>
      </c>
      <c r="C20979" s="16" t="s">
        <v>7052</v>
      </c>
      <c r="D20979" s="16" t="s">
        <v>7058</v>
      </c>
      <c r="E20979" s="2">
        <v>2995652</v>
      </c>
      <c r="F20979" s="4" t="str">
        <f>IF(B20979=B20978,"",B20979)</f>
        <v>Marly-le-Roi</v>
      </c>
    </row>
    <row r="20980" spans="1:6" ht="15.75" customHeight="1">
      <c r="A20980" s="8" t="str">
        <f ca="1">IFERROR(__xludf.DUMMYFUNCTION("GOOGLETRANSLATE(B29938,""en"",""pt"")"),"Marly-le-Roi")</f>
        <v>Marly-le-Roi</v>
      </c>
      <c r="B20980" s="9" t="s">
        <v>7538</v>
      </c>
      <c r="C20980" s="9" t="s">
        <v>7052</v>
      </c>
      <c r="D20980" s="9" t="s">
        <v>32531</v>
      </c>
      <c r="E20980" s="10">
        <v>2995652</v>
      </c>
      <c r="F20980" s="4" t="str">
        <f>IF(B20980=B20979,"",B20980)</f>
        <v/>
      </c>
    </row>
    <row r="20981" spans="1:6" ht="15.75" customHeight="1">
      <c r="A20981" s="15" t="s">
        <v>27528</v>
      </c>
      <c r="B20981" s="15" t="s">
        <v>27528</v>
      </c>
      <c r="C20981" s="15" t="s">
        <v>27234</v>
      </c>
      <c r="D20981" s="15" t="s">
        <v>27241</v>
      </c>
      <c r="E20981" s="2">
        <v>2643003</v>
      </c>
      <c r="F20981" s="4" t="str">
        <f>IF(B20981=B20980,"",B20981)</f>
        <v>Marlow</v>
      </c>
    </row>
    <row r="20982" spans="1:6" ht="15.75" customHeight="1">
      <c r="A20982" s="8" t="str">
        <f ca="1">IFERROR(__xludf.DUMMYFUNCTION("GOOGLETRANSLATE(B30545,""en"",""pt"")"),"Marlow")</f>
        <v>Marlow</v>
      </c>
      <c r="B20982" s="9" t="s">
        <v>27528</v>
      </c>
      <c r="C20982" s="9" t="s">
        <v>27234</v>
      </c>
      <c r="D20982" s="9" t="s">
        <v>27241</v>
      </c>
      <c r="E20982" s="10">
        <v>2643003</v>
      </c>
      <c r="F20982" s="4" t="str">
        <f>IF(B20982=B20981,"",B20982)</f>
        <v/>
      </c>
    </row>
    <row r="20983" spans="1:6" ht="15.75" customHeight="1">
      <c r="A20983" s="16" t="s">
        <v>19173</v>
      </c>
      <c r="B20983" s="15" t="s">
        <v>19173</v>
      </c>
      <c r="C20983" s="16" t="s">
        <v>27788</v>
      </c>
      <c r="D20983" s="16" t="s">
        <v>27794</v>
      </c>
      <c r="E20983" s="2">
        <v>4943170</v>
      </c>
      <c r="F20983" s="4" t="str">
        <f>IF(B20983=B20982,"",B20983)</f>
        <v>Marlborough</v>
      </c>
    </row>
    <row r="20984" spans="1:6" ht="15.75" customHeight="1">
      <c r="A20984" s="8" t="str">
        <f ca="1">IFERROR(__xludf.DUMMYFUNCTION("GOOGLETRANSLATE(B43998,""en"",""pt"")"),"Marlborough")</f>
        <v>Marlborough</v>
      </c>
      <c r="B20984" s="11" t="s">
        <v>19173</v>
      </c>
      <c r="C20984" s="11" t="s">
        <v>27788</v>
      </c>
      <c r="D20984" s="11" t="s">
        <v>27794</v>
      </c>
      <c r="E20984" s="10">
        <v>4943170</v>
      </c>
      <c r="F20984" s="4" t="str">
        <f>IF(B20984=B20983,"",B20984)</f>
        <v/>
      </c>
    </row>
    <row r="20985" spans="1:6" ht="15.75" customHeight="1">
      <c r="A20985" s="15" t="s">
        <v>29212</v>
      </c>
      <c r="B20985" s="15" t="s">
        <v>29212</v>
      </c>
      <c r="C20985" s="15" t="s">
        <v>27788</v>
      </c>
      <c r="D20985" s="15" t="s">
        <v>27905</v>
      </c>
      <c r="E20985" s="2">
        <v>5100886</v>
      </c>
      <c r="F20985" s="4" t="str">
        <f>IF(B20985=B20984,"",B20985)</f>
        <v>Marlboro</v>
      </c>
    </row>
    <row r="20986" spans="1:6" ht="15.75" customHeight="1">
      <c r="A20986" s="8" t="str">
        <f ca="1">IFERROR(__xludf.DUMMYFUNCTION("GOOGLETRANSLATE(B44282,""en"",""pt"")"),"Marlboro")</f>
        <v>Marlboro</v>
      </c>
      <c r="B20986" s="11" t="s">
        <v>29212</v>
      </c>
      <c r="C20986" s="11" t="s">
        <v>27788</v>
      </c>
      <c r="D20986" s="11" t="s">
        <v>27905</v>
      </c>
      <c r="E20986" s="10">
        <v>5100886</v>
      </c>
      <c r="F20986" s="4" t="str">
        <f>IF(B20986=B20985,"",B20986)</f>
        <v/>
      </c>
    </row>
    <row r="20987" spans="1:6" ht="15.75" customHeight="1">
      <c r="A20987" s="15" t="s">
        <v>8830</v>
      </c>
      <c r="B20987" s="15" t="s">
        <v>8831</v>
      </c>
      <c r="C20987" s="15" t="s">
        <v>8028</v>
      </c>
      <c r="D20987" s="15" t="s">
        <v>8029</v>
      </c>
      <c r="E20987" s="2">
        <v>2873263</v>
      </c>
      <c r="F20987" s="4" t="str">
        <f>IF(B20987=B20986,"",B20987)</f>
        <v>Marl</v>
      </c>
    </row>
    <row r="20988" spans="1:6" ht="15.75" customHeight="1">
      <c r="A20988" s="8" t="str">
        <f ca="1">IFERROR(__xludf.DUMMYFUNCTION("GOOGLETRANSLATE(B27779,""en"",""pt"")"),"Marga")</f>
        <v>Marga</v>
      </c>
      <c r="B20988" s="11" t="s">
        <v>8831</v>
      </c>
      <c r="C20988" s="11" t="s">
        <v>8028</v>
      </c>
      <c r="D20988" s="11" t="s">
        <v>8029</v>
      </c>
      <c r="E20988" s="10">
        <v>2873263</v>
      </c>
      <c r="F20988" s="4" t="str">
        <f>IF(B20988=B20987,"",B20988)</f>
        <v/>
      </c>
    </row>
    <row r="20989" spans="1:6" ht="15.75" customHeight="1">
      <c r="A20989" s="16" t="s">
        <v>8828</v>
      </c>
      <c r="B20989" s="15" t="s">
        <v>8829</v>
      </c>
      <c r="C20989" s="16" t="s">
        <v>8028</v>
      </c>
      <c r="D20989" s="16" t="s">
        <v>8044</v>
      </c>
      <c r="E20989" s="2">
        <v>2873289</v>
      </c>
      <c r="F20989" s="4" t="str">
        <f>IF(B20989=B20988,"",B20989)</f>
        <v>Marktredwitz</v>
      </c>
    </row>
    <row r="20990" spans="1:6" ht="15.75" customHeight="1">
      <c r="A20990" s="8" t="str">
        <f ca="1">IFERROR(__xludf.DUMMYFUNCTION("GOOGLETRANSLATE(B27780,""en"",""pt"")"),"MarkTredWitz")</f>
        <v>MarkTredWitz</v>
      </c>
      <c r="B20990" s="11" t="s">
        <v>8829</v>
      </c>
      <c r="C20990" s="11" t="s">
        <v>8028</v>
      </c>
      <c r="D20990" s="11" t="s">
        <v>8044</v>
      </c>
      <c r="E20990" s="10">
        <v>2873289</v>
      </c>
      <c r="F20990" s="4" t="str">
        <f>IF(B20990=B20989,"",B20990)</f>
        <v/>
      </c>
    </row>
    <row r="20991" spans="1:6" ht="15.75" customHeight="1">
      <c r="A20991" s="16" t="s">
        <v>8827</v>
      </c>
      <c r="B20991" s="15" t="s">
        <v>8827</v>
      </c>
      <c r="C20991" s="16" t="s">
        <v>8028</v>
      </c>
      <c r="D20991" s="16" t="s">
        <v>8044</v>
      </c>
      <c r="E20991" s="2">
        <v>2873291</v>
      </c>
      <c r="F20991" s="4" t="str">
        <f>IF(B20991=B20990,"",B20991)</f>
        <v>Marktoberdorf</v>
      </c>
    </row>
    <row r="20992" spans="1:6" ht="15.75" customHeight="1">
      <c r="A20992" s="8" t="str">
        <f ca="1">IFERROR(__xludf.DUMMYFUNCTION("GOOGLETRANSLATE(B27781,""en"",""pt"")"),"Marktoberdorf")</f>
        <v>Marktoberdorf</v>
      </c>
      <c r="B20992" s="11" t="s">
        <v>8827</v>
      </c>
      <c r="C20992" s="11" t="s">
        <v>8028</v>
      </c>
      <c r="D20992" s="11" t="s">
        <v>8044</v>
      </c>
      <c r="E20992" s="10">
        <v>2873291</v>
      </c>
      <c r="F20992" s="4" t="str">
        <f>IF(B20992=B20991,"",B20992)</f>
        <v/>
      </c>
    </row>
    <row r="20993" spans="1:6" ht="15.75" customHeight="1">
      <c r="A20993" s="15" t="s">
        <v>22720</v>
      </c>
      <c r="B20993" s="15" t="s">
        <v>22721</v>
      </c>
      <c r="C20993" s="15" t="s">
        <v>22070</v>
      </c>
      <c r="D20993" s="15" t="s">
        <v>22171</v>
      </c>
      <c r="E20993" s="2">
        <v>529073</v>
      </c>
      <c r="F20993" s="4" t="str">
        <f>IF(B20993=B20992,"",B20993)</f>
        <v>Marks</v>
      </c>
    </row>
    <row r="20994" spans="1:6" ht="15.75" customHeight="1">
      <c r="A20994" s="8" t="str">
        <f ca="1">IFERROR(__xludf.DUMMYFUNCTION("GOOGLETRANSLATE(B40332,""en"",""pt"")"),"Marcas")</f>
        <v>Marcas</v>
      </c>
      <c r="B20994" s="11" t="s">
        <v>22721</v>
      </c>
      <c r="C20994" s="11" t="s">
        <v>22070</v>
      </c>
      <c r="D20994" s="11" t="s">
        <v>22171</v>
      </c>
      <c r="E20994" s="10">
        <v>529073</v>
      </c>
      <c r="F20994" s="4" t="str">
        <f>IF(B20994=B20993,"",B20994)</f>
        <v/>
      </c>
    </row>
    <row r="20995" spans="1:6" ht="15.75" customHeight="1">
      <c r="A20995" s="15" t="s">
        <v>22719</v>
      </c>
      <c r="B20995" s="15" t="s">
        <v>22719</v>
      </c>
      <c r="C20995" s="15" t="s">
        <v>22070</v>
      </c>
      <c r="D20995" s="15" t="s">
        <v>22135</v>
      </c>
      <c r="E20995" s="2">
        <v>2056881</v>
      </c>
      <c r="F20995" s="4" t="str">
        <f>IF(B20995=B20994,"",B20995)</f>
        <v>Markova</v>
      </c>
    </row>
    <row r="20996" spans="1:6" ht="15.75" customHeight="1">
      <c r="A20996" s="8" t="str">
        <f ca="1">IFERROR(__xludf.DUMMYFUNCTION("GOOGLETRANSLATE(B40952,""en"",""pt"")"),"Markova")</f>
        <v>Markova</v>
      </c>
      <c r="B20996" s="9" t="s">
        <v>22719</v>
      </c>
      <c r="C20996" s="9" t="s">
        <v>22070</v>
      </c>
      <c r="D20996" s="9" t="s">
        <v>22135</v>
      </c>
      <c r="E20996" s="10">
        <v>2056881</v>
      </c>
      <c r="F20996" s="4" t="str">
        <f>IF(B20996=B20995,"",B20996)</f>
        <v/>
      </c>
    </row>
    <row r="20997" spans="1:6" ht="15.75" customHeight="1">
      <c r="A20997" s="16" t="s">
        <v>8826</v>
      </c>
      <c r="B20997" s="15" t="s">
        <v>8826</v>
      </c>
      <c r="C20997" s="16" t="s">
        <v>8028</v>
      </c>
      <c r="D20997" s="16" t="s">
        <v>8072</v>
      </c>
      <c r="E20997" s="2">
        <v>2873352</v>
      </c>
      <c r="F20997" s="4" t="str">
        <f>IF(B20997=B20996,"",B20997)</f>
        <v>Markkleeberg</v>
      </c>
    </row>
    <row r="20998" spans="1:6" ht="15.75" customHeight="1">
      <c r="A20998" s="8" t="str">
        <f ca="1">IFERROR(__xludf.DUMMYFUNCTION("GOOGLETRANSLATE(B27782,""en"",""pt"")"),"Markkleeberg")</f>
        <v>Markkleeberg</v>
      </c>
      <c r="B20998" s="9" t="s">
        <v>8826</v>
      </c>
      <c r="C20998" s="9" t="s">
        <v>8028</v>
      </c>
      <c r="D20998" s="9" t="s">
        <v>8072</v>
      </c>
      <c r="E20998" s="10">
        <v>2873352</v>
      </c>
      <c r="F20998" s="4" t="str">
        <f>IF(B20998=B20997,"",B20998)</f>
        <v/>
      </c>
    </row>
    <row r="20999" spans="1:6" ht="15.75" customHeight="1">
      <c r="A20999" s="8" t="str">
        <f ca="1">IFERROR(__xludf.DUMMYFUNCTION("GOOGLETRANSLATE(B27783,""en"",""pt"")"),"Märkisches Viertel")</f>
        <v>Märkisches Viertel</v>
      </c>
      <c r="B20999" s="11" t="s">
        <v>32061</v>
      </c>
      <c r="C20999" s="11" t="s">
        <v>8028</v>
      </c>
      <c r="D20999" s="11" t="s">
        <v>8036</v>
      </c>
      <c r="E20999" s="10">
        <v>2873356</v>
      </c>
      <c r="F20999" s="4" t="str">
        <f>IF(B20999=B20998,"",B20999)</f>
        <v>Märkisches Viertel</v>
      </c>
    </row>
    <row r="21000" spans="1:6" ht="15.75" customHeight="1">
      <c r="A21000" s="15" t="s">
        <v>21343</v>
      </c>
      <c r="B21000" s="15" t="s">
        <v>21343</v>
      </c>
      <c r="C21000" s="15" t="s">
        <v>21064</v>
      </c>
      <c r="D21000" s="15" t="s">
        <v>21070</v>
      </c>
      <c r="E21000" s="2">
        <v>765191</v>
      </c>
      <c r="F21000" s="4" t="str">
        <f>IF(B21000=B20999,"",B21000)</f>
        <v>Marki</v>
      </c>
    </row>
    <row r="21001" spans="1:6" ht="15.75" customHeight="1">
      <c r="A21001" s="8" t="str">
        <f ca="1">IFERROR(__xludf.DUMMYFUNCTION("GOOGLETRANSLATE(B39248,""en"",""pt"")"),"Marki")</f>
        <v>Marki</v>
      </c>
      <c r="B21001" s="11" t="s">
        <v>21343</v>
      </c>
      <c r="C21001" s="11" t="s">
        <v>21064</v>
      </c>
      <c r="D21001" s="11" t="s">
        <v>21070</v>
      </c>
      <c r="E21001" s="10">
        <v>765191</v>
      </c>
      <c r="F21001" s="4" t="str">
        <f>IF(B21001=B21000,"",B21001)</f>
        <v/>
      </c>
    </row>
    <row r="21002" spans="1:6" ht="15.75" customHeight="1">
      <c r="A21002" s="15" t="s">
        <v>4095</v>
      </c>
      <c r="B21002" s="15" t="s">
        <v>4095</v>
      </c>
      <c r="C21002" s="15" t="s">
        <v>3975</v>
      </c>
      <c r="D21002" s="15" t="s">
        <v>3980</v>
      </c>
      <c r="E21002" s="2">
        <v>6066513</v>
      </c>
      <c r="F21002" s="4" t="str">
        <f>IF(B21002=B21001,"",B21002)</f>
        <v>Markham</v>
      </c>
    </row>
    <row r="21003" spans="1:6" ht="15.75" customHeight="1">
      <c r="A21003" s="8" t="str">
        <f ca="1">IFERROR(__xludf.DUMMYFUNCTION("GOOGLETRANSLATE(B25508,""en"",""pt"")"),"Markham")</f>
        <v>Markham</v>
      </c>
      <c r="B21003" s="11" t="s">
        <v>4095</v>
      </c>
      <c r="C21003" s="11" t="s">
        <v>3975</v>
      </c>
      <c r="D21003" s="11" t="s">
        <v>3980</v>
      </c>
      <c r="E21003" s="10">
        <v>6066513</v>
      </c>
      <c r="F21003" s="4" t="str">
        <f>IF(B21003=B21002,"",B21003)</f>
        <v/>
      </c>
    </row>
    <row r="21004" spans="1:6" ht="15.75" customHeight="1">
      <c r="A21004" s="16" t="s">
        <v>27527</v>
      </c>
      <c r="B21004" s="15" t="s">
        <v>27527</v>
      </c>
      <c r="C21004" s="16" t="s">
        <v>27234</v>
      </c>
      <c r="D21004" s="16" t="s">
        <v>27241</v>
      </c>
      <c r="E21004" s="2">
        <v>2643027</v>
      </c>
      <c r="F21004" s="4" t="str">
        <f>IF(B21004=B21003,"",B21004)</f>
        <v>Market Harborough</v>
      </c>
    </row>
    <row r="21005" spans="1:6" ht="15.75" customHeight="1">
      <c r="A21005" s="8" t="str">
        <f ca="1">IFERROR(__xludf.DUMMYFUNCTION("GOOGLETRANSLATE(B30546,""en"",""pt"")"),"Market Harborough")</f>
        <v>Market Harborough</v>
      </c>
      <c r="B21005" s="11" t="s">
        <v>27527</v>
      </c>
      <c r="C21005" s="11" t="s">
        <v>27234</v>
      </c>
      <c r="D21005" s="11" t="s">
        <v>27241</v>
      </c>
      <c r="E21005" s="10">
        <v>2643027</v>
      </c>
      <c r="F21005" s="4" t="str">
        <f>IF(B21005=B21004,"",B21005)</f>
        <v/>
      </c>
    </row>
    <row r="21006" spans="1:6" ht="15.75" customHeight="1">
      <c r="A21006" s="8" t="str">
        <f ca="1">IFERROR(__xludf.DUMMYFUNCTION("GOOGLETRANSLATE(B23101,""en"",""pt"")"),"Markaz-e Woluswalī-ye āchīn")</f>
        <v>Markaz-e Woluswalī-ye āchīn</v>
      </c>
      <c r="B21006" s="9" t="s">
        <v>31142</v>
      </c>
      <c r="C21006" s="9" t="s">
        <v>8</v>
      </c>
      <c r="D21006" s="9" t="s">
        <v>31130</v>
      </c>
      <c r="E21006" s="10">
        <v>1469706</v>
      </c>
      <c r="F21006" s="4" t="str">
        <f>IF(B21006=B21005,"",B21006)</f>
        <v>Markaz-e Woluswalī-ye Āchīn</v>
      </c>
    </row>
    <row r="21007" spans="1:6" ht="15.75" customHeight="1">
      <c r="A21007" s="16" t="s">
        <v>76</v>
      </c>
      <c r="B21007" s="15" t="s">
        <v>77</v>
      </c>
      <c r="C21007" s="16" t="s">
        <v>8</v>
      </c>
      <c r="D21007" s="16" t="s">
        <v>56</v>
      </c>
      <c r="E21007" s="2">
        <v>1469706</v>
      </c>
      <c r="F21007" s="4" t="str">
        <f>IF(B21007=B21006,"",B21007)</f>
        <v>Markaz-e WoluswalÄ«-ye Ä€chÄ«n</v>
      </c>
    </row>
    <row r="21008" spans="1:6" ht="15.75" customHeight="1">
      <c r="A21008" s="8" t="str">
        <f ca="1">IFERROR(__xludf.DUMMYFUNCTION("GOOGLETRANSLATE(B32799,""en"",""pt"")"),"Mārkāpur")</f>
        <v>Mārkāpur</v>
      </c>
      <c r="B21008" s="11" t="s">
        <v>33393</v>
      </c>
      <c r="C21008" s="11" t="s">
        <v>10178</v>
      </c>
      <c r="D21008" s="11" t="s">
        <v>10190</v>
      </c>
      <c r="E21008" s="10">
        <v>1263504</v>
      </c>
      <c r="F21008" s="4" t="str">
        <f>IF(B21008=B21007,"",B21008)</f>
        <v>Mārkāpur</v>
      </c>
    </row>
    <row r="21009" spans="1:6" ht="15.75" customHeight="1">
      <c r="A21009" s="15" t="s">
        <v>17611</v>
      </c>
      <c r="B21009" s="15" t="s">
        <v>17611</v>
      </c>
      <c r="C21009" s="15" t="s">
        <v>17596</v>
      </c>
      <c r="D21009" s="15" t="s">
        <v>17612</v>
      </c>
      <c r="E21009" s="2">
        <v>2453662</v>
      </c>
      <c r="F21009" s="4" t="str">
        <f>IF(B21009=B21008,"",B21009)</f>
        <v>Markala</v>
      </c>
    </row>
    <row r="21010" spans="1:6" ht="15.75" customHeight="1">
      <c r="A21010" s="8" t="str">
        <f ca="1">IFERROR(__xludf.DUMMYFUNCTION("GOOGLETRANSLATE(B36685,""en"",""pt"")"),"Markala")</f>
        <v>Markala</v>
      </c>
      <c r="B21010" s="11" t="s">
        <v>17611</v>
      </c>
      <c r="C21010" s="11" t="s">
        <v>17596</v>
      </c>
      <c r="D21010" s="11" t="s">
        <v>34634</v>
      </c>
      <c r="E21010" s="10">
        <v>2453662</v>
      </c>
      <c r="F21010" s="4" t="str">
        <f>IF(B21010=B21009,"",B21010)</f>
        <v/>
      </c>
    </row>
    <row r="21011" spans="1:6" ht="15.75" customHeight="1">
      <c r="A21011" s="15" t="s">
        <v>23835</v>
      </c>
      <c r="B21011" s="15" t="s">
        <v>23835</v>
      </c>
      <c r="C21011" s="15" t="s">
        <v>23800</v>
      </c>
      <c r="D21011" s="15" t="s">
        <v>23801</v>
      </c>
      <c r="E21011" s="2">
        <v>54225</v>
      </c>
      <c r="F21011" s="4" t="str">
        <f>IF(B21011=B21010,"",B21011)</f>
        <v>Marka</v>
      </c>
    </row>
    <row r="21012" spans="1:6" ht="15.75" customHeight="1">
      <c r="A21012" s="8" t="str">
        <f ca="1">IFERROR(__xludf.DUMMYFUNCTION("GOOGLETRANSLATE(B41317,""en"",""pt"")"),"Marka")</f>
        <v>Marka</v>
      </c>
      <c r="B21012" s="11" t="s">
        <v>23835</v>
      </c>
      <c r="C21012" s="11" t="s">
        <v>23800</v>
      </c>
      <c r="D21012" s="11" t="s">
        <v>23801</v>
      </c>
      <c r="E21012" s="10">
        <v>54225</v>
      </c>
      <c r="F21012" s="4" t="str">
        <f>IF(B21012=B21011,"",B21012)</f>
        <v/>
      </c>
    </row>
    <row r="21013" spans="1:6" ht="15.75" customHeight="1">
      <c r="A21013" s="15" t="s">
        <v>20894</v>
      </c>
      <c r="B21013" s="15" t="s">
        <v>20894</v>
      </c>
      <c r="C21013" s="15" t="s">
        <v>20598</v>
      </c>
      <c r="D21013" s="15" t="s">
        <v>20599</v>
      </c>
      <c r="E21013" s="2">
        <v>1700868</v>
      </c>
      <c r="F21013" s="4" t="str">
        <f>IF(B21013=B21012,"",B21013)</f>
        <v>Mariveles</v>
      </c>
    </row>
    <row r="21014" spans="1:6" ht="15.75" customHeight="1">
      <c r="A21014" s="8" t="str">
        <f ca="1">IFERROR(__xludf.DUMMYFUNCTION("GOOGLETRANSLATE(B38613,""en"",""pt"")"),"Mariveles")</f>
        <v>Mariveles</v>
      </c>
      <c r="B21014" s="11" t="s">
        <v>20894</v>
      </c>
      <c r="C21014" s="11" t="s">
        <v>20598</v>
      </c>
      <c r="D21014" s="11" t="s">
        <v>20599</v>
      </c>
      <c r="E21014" s="10">
        <v>1700868</v>
      </c>
      <c r="F21014" s="4" t="str">
        <f>IF(B21014=B21013,"",B21014)</f>
        <v/>
      </c>
    </row>
    <row r="21015" spans="1:6" ht="15.75" customHeight="1">
      <c r="A21015" s="15" t="s">
        <v>27064</v>
      </c>
      <c r="B21015" s="15" t="s">
        <v>27064</v>
      </c>
      <c r="C21015" s="15" t="s">
        <v>26870</v>
      </c>
      <c r="D21015" s="15" t="s">
        <v>22345</v>
      </c>
      <c r="E21015" s="2">
        <v>701822</v>
      </c>
      <c r="F21015" s="4" t="str">
        <f>IF(B21015=B21014,"",B21015)</f>
        <v>Mariupol</v>
      </c>
    </row>
    <row r="21016" spans="1:6" ht="15.75" customHeight="1">
      <c r="A21016" s="8" t="str">
        <f ca="1">IFERROR(__xludf.DUMMYFUNCTION("GOOGLETRANSLATE(B42582,""en"",""pt"")"),"Mariupol")</f>
        <v>Mariupol</v>
      </c>
      <c r="B21016" s="11" t="s">
        <v>27064</v>
      </c>
      <c r="C21016" s="11" t="s">
        <v>26870</v>
      </c>
      <c r="D21016" s="11" t="s">
        <v>22345</v>
      </c>
      <c r="E21016" s="10">
        <v>701822</v>
      </c>
      <c r="F21016" s="4" t="str">
        <f>IF(B21016=B21015,"",B21016)</f>
        <v/>
      </c>
    </row>
    <row r="21017" spans="1:6" ht="15.75" customHeight="1">
      <c r="A21017" s="16" t="s">
        <v>5523</v>
      </c>
      <c r="B21017" s="15" t="s">
        <v>5523</v>
      </c>
      <c r="C21017" s="16" t="s">
        <v>5348</v>
      </c>
      <c r="D21017" s="16" t="s">
        <v>5422</v>
      </c>
      <c r="E21017" s="2">
        <v>3675252</v>
      </c>
      <c r="F21017" s="4" t="str">
        <f>IF(B21017=B21016,"",B21017)</f>
        <v>Mariquita</v>
      </c>
    </row>
    <row r="21018" spans="1:6" ht="15.75" customHeight="1">
      <c r="A21018" s="8" t="str">
        <f ca="1">IFERROR(__xludf.DUMMYFUNCTION("GOOGLETRANSLATE(B26941,""en"",""pt"")"),"Mariquita")</f>
        <v>Mariquita</v>
      </c>
      <c r="B21018" s="11" t="s">
        <v>5523</v>
      </c>
      <c r="C21018" s="11" t="s">
        <v>5348</v>
      </c>
      <c r="D21018" s="11" t="s">
        <v>5422</v>
      </c>
      <c r="E21018" s="10">
        <v>3675252</v>
      </c>
      <c r="F21018" s="4" t="str">
        <f>IF(B21018=B21017,"",B21018)</f>
        <v/>
      </c>
    </row>
    <row r="21019" spans="1:6" ht="15.75" customHeight="1">
      <c r="A21019" s="15" t="s">
        <v>29211</v>
      </c>
      <c r="B21019" s="15" t="s">
        <v>29211</v>
      </c>
      <c r="C21019" s="15" t="s">
        <v>27788</v>
      </c>
      <c r="D21019" s="15" t="s">
        <v>27799</v>
      </c>
      <c r="E21019" s="2">
        <v>4243899</v>
      </c>
      <c r="F21019" s="4" t="str">
        <f>IF(B21019=B21018,"",B21019)</f>
        <v>Marion</v>
      </c>
    </row>
    <row r="21020" spans="1:6" ht="15.75" customHeight="1">
      <c r="A21020" s="15" t="s">
        <v>29211</v>
      </c>
      <c r="B21020" s="15" t="s">
        <v>29211</v>
      </c>
      <c r="C21020" s="15" t="s">
        <v>27788</v>
      </c>
      <c r="D21020" s="15" t="s">
        <v>27859</v>
      </c>
      <c r="E21020" s="2">
        <v>4866263</v>
      </c>
      <c r="F21020" s="4" t="str">
        <f>IF(B21020=B21019,"",B21020)</f>
        <v/>
      </c>
    </row>
    <row r="21021" spans="1:6" ht="15.75" customHeight="1">
      <c r="A21021" s="15" t="s">
        <v>29211</v>
      </c>
      <c r="B21021" s="15" t="s">
        <v>29211</v>
      </c>
      <c r="C21021" s="15" t="s">
        <v>27788</v>
      </c>
      <c r="D21021" s="15" t="s">
        <v>27869</v>
      </c>
      <c r="E21021" s="2">
        <v>4923210</v>
      </c>
      <c r="F21021" s="4" t="str">
        <f>IF(B21021=B21020,"",B21021)</f>
        <v/>
      </c>
    </row>
    <row r="21022" spans="1:6" ht="15.75" customHeight="1">
      <c r="A21022" s="15" t="s">
        <v>29211</v>
      </c>
      <c r="B21022" s="15" t="s">
        <v>29211</v>
      </c>
      <c r="C21022" s="15" t="s">
        <v>27788</v>
      </c>
      <c r="D21022" s="15" t="s">
        <v>27813</v>
      </c>
      <c r="E21022" s="2">
        <v>5161902</v>
      </c>
      <c r="F21022" s="4" t="str">
        <f>IF(B21022=B21021,"",B21022)</f>
        <v/>
      </c>
    </row>
    <row r="21023" spans="1:6" ht="15.75" customHeight="1">
      <c r="A21023" s="8" t="str">
        <f ca="1">IFERROR(__xludf.DUMMYFUNCTION("GOOGLETRANSLATE(B43136,""en"",""pt"")"),"Marion")</f>
        <v>Marion</v>
      </c>
      <c r="B21023" s="9" t="s">
        <v>29211</v>
      </c>
      <c r="C21023" s="9" t="s">
        <v>27788</v>
      </c>
      <c r="D21023" s="9" t="s">
        <v>27799</v>
      </c>
      <c r="E21023" s="10">
        <v>4243899</v>
      </c>
      <c r="F21023" s="4" t="str">
        <f>IF(B21023=B21022,"",B21023)</f>
        <v/>
      </c>
    </row>
    <row r="21024" spans="1:6" ht="15.75" customHeight="1">
      <c r="A21024" s="8" t="str">
        <f ca="1">IFERROR(__xludf.DUMMYFUNCTION("GOOGLETRANSLATE(B43750,""en"",""pt"")"),"Marion")</f>
        <v>Marion</v>
      </c>
      <c r="B21024" s="11" t="s">
        <v>29211</v>
      </c>
      <c r="C21024" s="11" t="s">
        <v>27788</v>
      </c>
      <c r="D21024" s="11" t="s">
        <v>27859</v>
      </c>
      <c r="E21024" s="10">
        <v>4866263</v>
      </c>
      <c r="F21024" s="4" t="str">
        <f>IF(B21024=B21023,"",B21024)</f>
        <v/>
      </c>
    </row>
    <row r="21025" spans="1:6" ht="15.75" customHeight="1">
      <c r="A21025" s="8" t="str">
        <f ca="1">IFERROR(__xludf.DUMMYFUNCTION("GOOGLETRANSLATE(B43928,""en"",""pt"")"),"Marion")</f>
        <v>Marion</v>
      </c>
      <c r="B21025" s="9" t="s">
        <v>29211</v>
      </c>
      <c r="C21025" s="9" t="s">
        <v>27788</v>
      </c>
      <c r="D21025" s="9" t="s">
        <v>27869</v>
      </c>
      <c r="E21025" s="10">
        <v>4923210</v>
      </c>
      <c r="F21025" s="4" t="str">
        <f>IF(B21025=B21024,"",B21025)</f>
        <v/>
      </c>
    </row>
    <row r="21026" spans="1:6" ht="15.75" customHeight="1">
      <c r="A21026" s="8" t="str">
        <f ca="1">IFERROR(__xludf.DUMMYFUNCTION("GOOGLETRANSLATE(B44515,""en"",""pt"")"),"Marion")</f>
        <v>Marion</v>
      </c>
      <c r="B21026" s="11" t="s">
        <v>29211</v>
      </c>
      <c r="C21026" s="11" t="s">
        <v>27788</v>
      </c>
      <c r="D21026" s="11" t="s">
        <v>27813</v>
      </c>
      <c r="E21026" s="10">
        <v>5161902</v>
      </c>
      <c r="F21026" s="4" t="str">
        <f>IF(B21026=B21025,"",B21026)</f>
        <v/>
      </c>
    </row>
    <row r="21027" spans="1:6" ht="15.75" customHeight="1">
      <c r="A21027" s="15" t="s">
        <v>15248</v>
      </c>
      <c r="B21027" s="15" t="s">
        <v>15248</v>
      </c>
      <c r="C21027" s="15" t="s">
        <v>14891</v>
      </c>
      <c r="D21027" s="15" t="s">
        <v>14904</v>
      </c>
      <c r="E21027" s="2">
        <v>3173914</v>
      </c>
      <c r="F21027" s="4" t="str">
        <f>IF(B21027=B21026,"",B21027)</f>
        <v>Marino</v>
      </c>
    </row>
    <row r="21028" spans="1:6" ht="15.75" customHeight="1">
      <c r="A21028" s="8" t="str">
        <f ca="1">IFERROR(__xludf.DUMMYFUNCTION("GOOGLETRANSLATE(B34848,""en"",""pt"")"),"Marino")</f>
        <v>Marino</v>
      </c>
      <c r="B21028" s="11" t="s">
        <v>15248</v>
      </c>
      <c r="C21028" s="11" t="s">
        <v>14891</v>
      </c>
      <c r="D21028" s="11" t="s">
        <v>14904</v>
      </c>
      <c r="E21028" s="10">
        <v>3173914</v>
      </c>
      <c r="F21028" s="4" t="str">
        <f>IF(B21028=B21027,"",B21028)</f>
        <v/>
      </c>
    </row>
    <row r="21029" spans="1:6" ht="15.75" customHeight="1">
      <c r="A21029" s="15" t="s">
        <v>5522</v>
      </c>
      <c r="B21029" s="15" t="s">
        <v>5522</v>
      </c>
      <c r="C21029" s="15" t="s">
        <v>5348</v>
      </c>
      <c r="D21029" s="15" t="s">
        <v>5362</v>
      </c>
      <c r="E21029" s="2">
        <v>3675263</v>
      </c>
      <c r="F21029" s="4" t="str">
        <f>IF(B21029=B21028,"",B21029)</f>
        <v>Marinilla</v>
      </c>
    </row>
    <row r="21030" spans="1:6" ht="15.75" customHeight="1">
      <c r="A21030" s="8" t="str">
        <f ca="1">IFERROR(__xludf.DUMMYFUNCTION("GOOGLETRANSLATE(B26942,""en"",""pt"")"),"Marinilla")</f>
        <v>Marinilla</v>
      </c>
      <c r="B21030" s="11" t="s">
        <v>5522</v>
      </c>
      <c r="C21030" s="11" t="s">
        <v>5348</v>
      </c>
      <c r="D21030" s="11" t="s">
        <v>5362</v>
      </c>
      <c r="E21030" s="10">
        <v>3675263</v>
      </c>
      <c r="F21030" s="4" t="str">
        <f>IF(B21030=B21029,"",B21030)</f>
        <v/>
      </c>
    </row>
    <row r="21031" spans="1:6" ht="15.75" customHeight="1">
      <c r="A21031" s="16" t="s">
        <v>21682</v>
      </c>
      <c r="B21031" s="15" t="s">
        <v>21682</v>
      </c>
      <c r="C21031" s="16" t="s">
        <v>21606</v>
      </c>
      <c r="D21031" s="16" t="s">
        <v>21639</v>
      </c>
      <c r="E21031" s="2">
        <v>2266703</v>
      </c>
      <c r="F21031" s="4" t="str">
        <f>IF(B21031=B21030,"",B21031)</f>
        <v>Marinha Grande</v>
      </c>
    </row>
    <row r="21032" spans="1:6" ht="15.75" customHeight="1">
      <c r="A21032" s="8" t="str">
        <f ca="1">IFERROR(__xludf.DUMMYFUNCTION("GOOGLETRANSLATE(B39597,""en"",""pt"")"),"Marinha Grande")</f>
        <v>Marinha Grande</v>
      </c>
      <c r="B21032" s="11" t="s">
        <v>21682</v>
      </c>
      <c r="C21032" s="11" t="s">
        <v>21606</v>
      </c>
      <c r="D21032" s="11" t="s">
        <v>21639</v>
      </c>
      <c r="E21032" s="10">
        <v>2266703</v>
      </c>
      <c r="F21032" s="4" t="str">
        <f>IF(B21032=B21031,"",B21032)</f>
        <v/>
      </c>
    </row>
    <row r="21033" spans="1:6" ht="15.75" customHeight="1">
      <c r="A21033" s="15" t="s">
        <v>2873</v>
      </c>
      <c r="B21033" s="15" t="s">
        <v>2874</v>
      </c>
      <c r="C21033" s="15" t="s">
        <v>1905</v>
      </c>
      <c r="D21033" s="15" t="s">
        <v>728</v>
      </c>
      <c r="E21033" s="2">
        <v>3457671</v>
      </c>
      <c r="F21033" s="4" t="str">
        <f>IF(B21033=B21032,"",B21033)</f>
        <v>MaringÃ¡</v>
      </c>
    </row>
    <row r="21034" spans="1:6" ht="15.75" customHeight="1">
      <c r="A21034" s="8" t="str">
        <f ca="1">IFERROR(__xludf.DUMMYFUNCTION("GOOGLETRANSLATE(B24828,""en"",""pt"")"),"Maringá")</f>
        <v>Maringá</v>
      </c>
      <c r="B21034" s="11" t="s">
        <v>31596</v>
      </c>
      <c r="C21034" s="11" t="s">
        <v>1905</v>
      </c>
      <c r="D21034" s="11" t="s">
        <v>727</v>
      </c>
      <c r="E21034" s="10">
        <v>3457671</v>
      </c>
      <c r="F21034" s="4" t="str">
        <f>IF(B21034=B21033,"",B21034)</f>
        <v>Maringá</v>
      </c>
    </row>
    <row r="21035" spans="1:6" ht="15.75" customHeight="1">
      <c r="A21035" s="16" t="s">
        <v>15247</v>
      </c>
      <c r="B21035" s="15" t="s">
        <v>15247</v>
      </c>
      <c r="C21035" s="16" t="s">
        <v>14891</v>
      </c>
      <c r="D21035" s="16" t="s">
        <v>14943</v>
      </c>
      <c r="E21035" s="2">
        <v>3173935</v>
      </c>
      <c r="F21035" s="4" t="str">
        <f>IF(B21035=B21034,"",B21035)</f>
        <v>Marina di Carrara</v>
      </c>
    </row>
    <row r="21036" spans="1:6" ht="15.75" customHeight="1">
      <c r="A21036" s="8" t="str">
        <f ca="1">IFERROR(__xludf.DUMMYFUNCTION("GOOGLETRANSLATE(B34849,""en"",""pt"")"),"Marina di Carrara")</f>
        <v>Marina di Carrara</v>
      </c>
      <c r="B21036" s="11" t="s">
        <v>15247</v>
      </c>
      <c r="C21036" s="11" t="s">
        <v>14891</v>
      </c>
      <c r="D21036" s="11" t="s">
        <v>14943</v>
      </c>
      <c r="E21036" s="10">
        <v>3173935</v>
      </c>
      <c r="F21036" s="4" t="str">
        <f>IF(B21036=B21035,"",B21036)</f>
        <v/>
      </c>
    </row>
    <row r="21037" spans="1:6" ht="15.75" customHeight="1">
      <c r="A21037" s="16" t="s">
        <v>15246</v>
      </c>
      <c r="B21037" s="15" t="s">
        <v>15246</v>
      </c>
      <c r="C21037" s="16" t="s">
        <v>14891</v>
      </c>
      <c r="D21037" s="16" t="s">
        <v>14904</v>
      </c>
      <c r="E21037" s="2">
        <v>8394392</v>
      </c>
      <c r="F21037" s="4" t="str">
        <f>IF(B21037=B21036,"",B21037)</f>
        <v>Marina di Ardea-Tor San Lorenzo</v>
      </c>
    </row>
    <row r="21038" spans="1:6" ht="15.75" customHeight="1">
      <c r="A21038" s="8" t="str">
        <f ca="1">IFERROR(__xludf.DUMMYFUNCTION("GOOGLETRANSLATE(B35102,""en"",""pt"")"),"Marina di Ardea-Tor San Lorenzo")</f>
        <v>Marina di Ardea-Tor San Lorenzo</v>
      </c>
      <c r="B21038" s="11" t="s">
        <v>15246</v>
      </c>
      <c r="C21038" s="11" t="s">
        <v>14891</v>
      </c>
      <c r="D21038" s="11" t="s">
        <v>14904</v>
      </c>
      <c r="E21038" s="10">
        <v>8394392</v>
      </c>
      <c r="F21038" s="4" t="str">
        <f>IF(B21038=B21037,"",B21038)</f>
        <v/>
      </c>
    </row>
    <row r="21039" spans="1:6" ht="15.75" customHeight="1">
      <c r="A21039" s="15" t="s">
        <v>29210</v>
      </c>
      <c r="B21039" s="15" t="s">
        <v>29210</v>
      </c>
      <c r="C21039" s="15" t="s">
        <v>27788</v>
      </c>
      <c r="D21039" s="15" t="s">
        <v>27801</v>
      </c>
      <c r="E21039" s="2">
        <v>5370493</v>
      </c>
      <c r="F21039" s="4" t="str">
        <f>IF(B21039=B21038,"",B21039)</f>
        <v>Marina</v>
      </c>
    </row>
    <row r="21040" spans="1:6" ht="15.75" customHeight="1">
      <c r="A21040" s="8" t="str">
        <f ca="1">IFERROR(__xludf.DUMMYFUNCTION("GOOGLETRANSLATE(B44899,""en"",""pt"")"),"Marina")</f>
        <v>Marina</v>
      </c>
      <c r="B21040" s="11" t="s">
        <v>29210</v>
      </c>
      <c r="C21040" s="11" t="s">
        <v>27788</v>
      </c>
      <c r="D21040" s="11" t="s">
        <v>27801</v>
      </c>
      <c r="E21040" s="10">
        <v>5370493</v>
      </c>
      <c r="F21040" s="4" t="str">
        <f>IF(B21040=B21039,"",B21040)</f>
        <v/>
      </c>
    </row>
    <row r="21041" spans="1:6" ht="15.75" customHeight="1">
      <c r="A21041" s="8" t="str">
        <f ca="1">IFERROR(__xludf.DUMMYFUNCTION("GOOGLETRANSLATE(B29363,""en"",""pt"")"),"Marín")</f>
        <v>Marín</v>
      </c>
      <c r="B21041" s="9" t="s">
        <v>32454</v>
      </c>
      <c r="C21041" s="9" t="s">
        <v>24200</v>
      </c>
      <c r="D21041" s="9" t="s">
        <v>24201</v>
      </c>
      <c r="E21041" s="10">
        <v>3117409</v>
      </c>
      <c r="F21041" s="4" t="str">
        <f>IF(B21041=B21040,"",B21041)</f>
        <v>Marín</v>
      </c>
    </row>
    <row r="21042" spans="1:6" ht="15.75" customHeight="1">
      <c r="A21042" s="8" t="str">
        <f ca="1">IFERROR(__xludf.DUMMYFUNCTION("GOOGLETRANSLATE(B24829,""en"",""pt"")"),"Marília")</f>
        <v>Marília</v>
      </c>
      <c r="B21042" s="11" t="s">
        <v>31597</v>
      </c>
      <c r="C21042" s="11" t="s">
        <v>1905</v>
      </c>
      <c r="D21042" s="11" t="s">
        <v>3354</v>
      </c>
      <c r="E21042" s="10">
        <v>3457692</v>
      </c>
      <c r="F21042" s="4" t="str">
        <f>IF(B21042=B21041,"",B21042)</f>
        <v>Marília</v>
      </c>
    </row>
    <row r="21043" spans="1:6" ht="15.75" customHeight="1">
      <c r="A21043" s="15" t="s">
        <v>20893</v>
      </c>
      <c r="B21043" s="15" t="s">
        <v>20893</v>
      </c>
      <c r="C21043" s="15" t="s">
        <v>20598</v>
      </c>
      <c r="D21043" s="15" t="s">
        <v>20599</v>
      </c>
      <c r="E21043" s="2">
        <v>1700917</v>
      </c>
      <c r="F21043" s="4" t="str">
        <f>IF(B21043=B21042,"",B21043)</f>
        <v>Marilao</v>
      </c>
    </row>
    <row r="21044" spans="1:6" ht="15.75" customHeight="1">
      <c r="A21044" s="8" t="str">
        <f ca="1">IFERROR(__xludf.DUMMYFUNCTION("GOOGLETRANSLATE(B38614,""en"",""pt"")"),"Marilao")</f>
        <v>Marilao</v>
      </c>
      <c r="B21044" s="11" t="s">
        <v>20893</v>
      </c>
      <c r="C21044" s="11" t="s">
        <v>20598</v>
      </c>
      <c r="D21044" s="11" t="s">
        <v>20599</v>
      </c>
      <c r="E21044" s="10">
        <v>1700917</v>
      </c>
      <c r="F21044" s="4" t="str">
        <f>IF(B21044=B21043,"",B21044)</f>
        <v/>
      </c>
    </row>
    <row r="21045" spans="1:6" ht="15.75" customHeight="1">
      <c r="A21045" s="8" t="str">
        <f ca="1">IFERROR(__xludf.DUMMYFUNCTION("GOOGLETRANSLATE(B36375,""en"",""pt"")"),"MariJampolė")</f>
        <v>MariJampolė</v>
      </c>
      <c r="B21045" s="9" t="s">
        <v>34533</v>
      </c>
      <c r="C21045" s="9" t="s">
        <v>17154</v>
      </c>
      <c r="D21045" s="9" t="s">
        <v>34534</v>
      </c>
      <c r="E21045" s="10">
        <v>597231</v>
      </c>
      <c r="F21045" s="4" t="str">
        <f>IF(B21045=B21044,"",B21045)</f>
        <v>Marijampolė</v>
      </c>
    </row>
    <row r="21046" spans="1:6" ht="15.75" customHeight="1">
      <c r="A21046" s="16" t="s">
        <v>17183</v>
      </c>
      <c r="B21046" s="15" t="s">
        <v>17184</v>
      </c>
      <c r="C21046" s="16" t="s">
        <v>17154</v>
      </c>
      <c r="D21046" s="16" t="s">
        <v>17185</v>
      </c>
      <c r="E21046" s="2">
        <v>597231</v>
      </c>
      <c r="F21046" s="4" t="str">
        <f>IF(B21046=B21045,"",B21046)</f>
        <v>MarijampolÄ—</v>
      </c>
    </row>
    <row r="21047" spans="1:6" ht="15.75" customHeight="1">
      <c r="A21047" s="15" t="s">
        <v>22718</v>
      </c>
      <c r="B21047" s="15" t="s">
        <v>22718</v>
      </c>
      <c r="C21047" s="15" t="s">
        <v>22070</v>
      </c>
      <c r="D21047" s="15" t="s">
        <v>22140</v>
      </c>
      <c r="E21047" s="2">
        <v>1499350</v>
      </c>
      <c r="F21047" s="4" t="str">
        <f>IF(B21047=B21046,"",B21047)</f>
        <v>Mariinsk</v>
      </c>
    </row>
    <row r="21048" spans="1:6" ht="15.75" customHeight="1">
      <c r="A21048" s="8" t="str">
        <f ca="1">IFERROR(__xludf.DUMMYFUNCTION("GOOGLETRANSLATE(B40800,""en"",""pt"")"),"Mariinsk")</f>
        <v>Mariinsk</v>
      </c>
      <c r="B21048" s="11" t="s">
        <v>22718</v>
      </c>
      <c r="C21048" s="11" t="s">
        <v>22070</v>
      </c>
      <c r="D21048" s="11" t="s">
        <v>22140</v>
      </c>
      <c r="E21048" s="10">
        <v>1499350</v>
      </c>
      <c r="F21048" s="4" t="str">
        <f>IF(B21048=B21047,"",B21048)</f>
        <v/>
      </c>
    </row>
    <row r="21049" spans="1:6" ht="15.75" customHeight="1">
      <c r="A21049" s="15" t="s">
        <v>23436</v>
      </c>
      <c r="B21049" s="15" t="s">
        <v>23437</v>
      </c>
      <c r="C21049" s="15" t="s">
        <v>23438</v>
      </c>
      <c r="D21049" s="15" t="s">
        <v>551</v>
      </c>
      <c r="E21049" s="2">
        <v>3578851</v>
      </c>
      <c r="F21049" s="4" t="str">
        <f>IF(B21049=B21048,"",B21049)</f>
        <v>Marigot</v>
      </c>
    </row>
    <row r="21050" spans="1:6" ht="15.75" customHeight="1">
      <c r="A21050" s="8" t="str">
        <f ca="1">IFERROR(__xludf.DUMMYFUNCTION("GOOGLETRANSLATE(B36554,""en"",""pt"")"),"Carrigot")</f>
        <v>Carrigot</v>
      </c>
      <c r="B21050" s="11" t="s">
        <v>23437</v>
      </c>
      <c r="C21050" s="11" t="s">
        <v>23438</v>
      </c>
      <c r="D21050" s="11" t="s">
        <v>551</v>
      </c>
      <c r="E21050" s="10">
        <v>3578851</v>
      </c>
      <c r="F21050" s="4" t="str">
        <f>IF(B21050=B21049,"",B21050)</f>
        <v/>
      </c>
    </row>
    <row r="21051" spans="1:6" ht="15.75" customHeight="1">
      <c r="A21051" s="16" t="s">
        <v>7537</v>
      </c>
      <c r="B21051" s="15" t="s">
        <v>7537</v>
      </c>
      <c r="C21051" s="16" t="s">
        <v>7052</v>
      </c>
      <c r="D21051" s="16" t="s">
        <v>7087</v>
      </c>
      <c r="E21051" s="2">
        <v>2995750</v>
      </c>
      <c r="F21051" s="4" t="str">
        <f>IF(B21051=B21050,"",B21051)</f>
        <v>Marignane</v>
      </c>
    </row>
    <row r="21052" spans="1:6" ht="15.75" customHeight="1">
      <c r="A21052" s="8" t="str">
        <f ca="1">IFERROR(__xludf.DUMMYFUNCTION("GOOGLETRANSLATE(B29939,""en"",""pt"")"),"Marignane")</f>
        <v>Marignane</v>
      </c>
      <c r="B21052" s="11" t="s">
        <v>7537</v>
      </c>
      <c r="C21052" s="11" t="s">
        <v>7052</v>
      </c>
      <c r="D21052" s="11" t="s">
        <v>32534</v>
      </c>
      <c r="E21052" s="10">
        <v>2995750</v>
      </c>
      <c r="F21052" s="4" t="str">
        <f>IF(B21052=B21051,"",B21052)</f>
        <v/>
      </c>
    </row>
    <row r="21053" spans="1:6" ht="15.75" customHeight="1">
      <c r="A21053" s="16" t="s">
        <v>15245</v>
      </c>
      <c r="B21053" s="15" t="s">
        <v>15245</v>
      </c>
      <c r="C21053" s="16" t="s">
        <v>14891</v>
      </c>
      <c r="D21053" s="16" t="s">
        <v>14896</v>
      </c>
      <c r="E21053" s="2">
        <v>3173945</v>
      </c>
      <c r="F21053" s="4" t="str">
        <f>IF(B21053=B21052,"",B21053)</f>
        <v>Marigliano</v>
      </c>
    </row>
    <row r="21054" spans="1:6" ht="15.75" customHeight="1">
      <c r="A21054" s="8" t="str">
        <f ca="1">IFERROR(__xludf.DUMMYFUNCTION("GOOGLETRANSLATE(B34850,""en"",""pt"")"),"Marigliano")</f>
        <v>Marigliano</v>
      </c>
      <c r="B21054" s="11" t="s">
        <v>15245</v>
      </c>
      <c r="C21054" s="11" t="s">
        <v>14891</v>
      </c>
      <c r="D21054" s="11" t="s">
        <v>14896</v>
      </c>
      <c r="E21054" s="10">
        <v>3173945</v>
      </c>
      <c r="F21054" s="4" t="str">
        <f>IF(B21054=B21053,"",B21054)</f>
        <v/>
      </c>
    </row>
    <row r="21055" spans="1:6" ht="15.75" customHeight="1">
      <c r="A21055" s="16" t="s">
        <v>12369</v>
      </c>
      <c r="B21055" s="15" t="s">
        <v>12370</v>
      </c>
      <c r="C21055" s="16" t="s">
        <v>10178</v>
      </c>
      <c r="D21055" s="16" t="s">
        <v>10239</v>
      </c>
      <c r="E21055" s="2">
        <v>7302854</v>
      </c>
      <c r="F21055" s="4" t="str">
        <f>IF(B21055=B21054,"",B21055)</f>
        <v>Marigaon</v>
      </c>
    </row>
    <row r="21056" spans="1:6" ht="15.75" customHeight="1">
      <c r="A21056" s="8" t="str">
        <f ca="1">IFERROR(__xludf.DUMMYFUNCTION("GOOGLETRANSLATE(B34247,""en"",""pt"")"),"Crazeirinha")</f>
        <v>Crazeirinha</v>
      </c>
      <c r="B21056" s="11" t="s">
        <v>12370</v>
      </c>
      <c r="C21056" s="11" t="s">
        <v>10178</v>
      </c>
      <c r="D21056" s="11" t="s">
        <v>10239</v>
      </c>
      <c r="E21056" s="10">
        <v>7302854</v>
      </c>
      <c r="F21056" s="4" t="str">
        <f>IF(B21056=B21055,"",B21056)</f>
        <v/>
      </c>
    </row>
    <row r="21057" spans="1:6" ht="15.75" customHeight="1">
      <c r="A21057" s="15" t="s">
        <v>29209</v>
      </c>
      <c r="B21057" s="15" t="s">
        <v>29209</v>
      </c>
      <c r="C21057" s="15" t="s">
        <v>27788</v>
      </c>
      <c r="D21057" s="15" t="s">
        <v>7988</v>
      </c>
      <c r="E21057" s="2">
        <v>4207783</v>
      </c>
      <c r="F21057" s="4" t="str">
        <f>IF(B21057=B21056,"",B21057)</f>
        <v>Marietta</v>
      </c>
    </row>
    <row r="21058" spans="1:6" ht="15.75" customHeight="1">
      <c r="A21058" s="8" t="str">
        <f ca="1">IFERROR(__xludf.DUMMYFUNCTION("GOOGLETRANSLATE(B43093,""en"",""pt"")"),"Marietta")</f>
        <v>Marietta</v>
      </c>
      <c r="B21058" s="11" t="s">
        <v>29209</v>
      </c>
      <c r="C21058" s="11" t="s">
        <v>27788</v>
      </c>
      <c r="D21058" s="11" t="s">
        <v>7988</v>
      </c>
      <c r="E21058" s="10">
        <v>4207783</v>
      </c>
      <c r="F21058" s="4" t="str">
        <f>IF(B21058=B21057,"",B21058)</f>
        <v/>
      </c>
    </row>
    <row r="21059" spans="1:6" ht="15.75" customHeight="1">
      <c r="A21059" s="16" t="s">
        <v>8824</v>
      </c>
      <c r="B21059" s="15" t="s">
        <v>8825</v>
      </c>
      <c r="C21059" s="16" t="s">
        <v>8028</v>
      </c>
      <c r="D21059" s="16" t="s">
        <v>8059</v>
      </c>
      <c r="E21059" s="2">
        <v>2911287</v>
      </c>
      <c r="F21059" s="4" t="str">
        <f>IF(B21059=B21058,"",B21059)</f>
        <v>Marienthal</v>
      </c>
    </row>
    <row r="21060" spans="1:6" ht="15.75" customHeight="1">
      <c r="A21060" s="8" t="str">
        <f ca="1">IFERROR(__xludf.DUMMYFUNCTION("GOOGLETRANSLATE(B27998,""en"",""pt"")"),"Marientehal")</f>
        <v>Marientehal</v>
      </c>
      <c r="B21060" s="11" t="s">
        <v>8825</v>
      </c>
      <c r="C21060" s="11" t="s">
        <v>8028</v>
      </c>
      <c r="D21060" s="11" t="s">
        <v>8059</v>
      </c>
      <c r="E21060" s="10">
        <v>2911287</v>
      </c>
      <c r="F21060" s="4" t="str">
        <f>IF(B21060=B21059,"",B21060)</f>
        <v/>
      </c>
    </row>
    <row r="21061" spans="1:6" ht="15.75" customHeight="1">
      <c r="A21061" s="16" t="s">
        <v>8823</v>
      </c>
      <c r="B21061" s="15" t="s">
        <v>8823</v>
      </c>
      <c r="C21061" s="16" t="s">
        <v>8028</v>
      </c>
      <c r="D21061" s="16" t="s">
        <v>8036</v>
      </c>
      <c r="E21061" s="2">
        <v>2873589</v>
      </c>
      <c r="F21061" s="4" t="str">
        <f>IF(B21061=B21060,"",B21061)</f>
        <v>Marienfelde</v>
      </c>
    </row>
    <row r="21062" spans="1:6" ht="15.75" customHeight="1">
      <c r="A21062" s="8" t="str">
        <f ca="1">IFERROR(__xludf.DUMMYFUNCTION("GOOGLETRANSLATE(B27784,""en"",""pt"")"),"Marienfelde")</f>
        <v>Marienfelde</v>
      </c>
      <c r="B21062" s="9" t="s">
        <v>8823</v>
      </c>
      <c r="C21062" s="9" t="s">
        <v>8028</v>
      </c>
      <c r="D21062" s="9" t="s">
        <v>8036</v>
      </c>
      <c r="E21062" s="10">
        <v>2873589</v>
      </c>
      <c r="F21062" s="4" t="str">
        <f>IF(B21062=B21061,"",B21062)</f>
        <v/>
      </c>
    </row>
    <row r="21063" spans="1:6" ht="15.75" customHeight="1">
      <c r="A21063" s="16" t="s">
        <v>8822</v>
      </c>
      <c r="B21063" s="15" t="s">
        <v>8822</v>
      </c>
      <c r="C21063" s="16" t="s">
        <v>8028</v>
      </c>
      <c r="D21063" s="16" t="s">
        <v>8036</v>
      </c>
      <c r="E21063" s="2">
        <v>2873606</v>
      </c>
      <c r="F21063" s="4" t="str">
        <f>IF(B21063=B21062,"",B21063)</f>
        <v>Mariendorf</v>
      </c>
    </row>
    <row r="21064" spans="1:6" ht="15.75" customHeight="1">
      <c r="A21064" s="8" t="str">
        <f ca="1">IFERROR(__xludf.DUMMYFUNCTION("GOOGLETRANSLATE(B27785,""en"",""pt"")"),"Mariendorf")</f>
        <v>Mariendorf</v>
      </c>
      <c r="B21064" s="11" t="s">
        <v>8822</v>
      </c>
      <c r="C21064" s="11" t="s">
        <v>8028</v>
      </c>
      <c r="D21064" s="11" t="s">
        <v>8036</v>
      </c>
      <c r="E21064" s="10">
        <v>2873606</v>
      </c>
      <c r="F21064" s="4" t="str">
        <f>IF(B21064=B21063,"",B21064)</f>
        <v/>
      </c>
    </row>
    <row r="21065" spans="1:6" ht="15.75" customHeight="1">
      <c r="A21065" s="15" t="s">
        <v>5873</v>
      </c>
      <c r="B21065" s="15" t="s">
        <v>5873</v>
      </c>
      <c r="C21065" s="15" t="s">
        <v>5764</v>
      </c>
      <c r="D21065" s="15" t="s">
        <v>5771</v>
      </c>
      <c r="E21065" s="2">
        <v>3547600</v>
      </c>
      <c r="F21065" s="4" t="str">
        <f>IF(B21065=B21064,"",B21065)</f>
        <v>Mariel</v>
      </c>
    </row>
    <row r="21066" spans="1:6" ht="15.75" customHeight="1">
      <c r="A21066" s="8" t="str">
        <f ca="1">IFERROR(__xludf.DUMMYFUNCTION("GOOGLETRANSLATE(B27149,""en"",""pt"")"),"Mariel")</f>
        <v>Mariel</v>
      </c>
      <c r="B21066" s="11" t="s">
        <v>5873</v>
      </c>
      <c r="C21066" s="11" t="s">
        <v>5764</v>
      </c>
      <c r="D21066" s="11" t="s">
        <v>5771</v>
      </c>
      <c r="E21066" s="10">
        <v>3547600</v>
      </c>
      <c r="F21066" s="4" t="str">
        <f>IF(B21066=B21065,"",B21066)</f>
        <v/>
      </c>
    </row>
    <row r="21067" spans="1:6" ht="15.75" customHeight="1">
      <c r="A21067" s="16" t="s">
        <v>109</v>
      </c>
      <c r="B21067" s="15" t="s">
        <v>109</v>
      </c>
      <c r="C21067" s="16" t="s">
        <v>110</v>
      </c>
      <c r="D21067" s="16" t="s">
        <v>111</v>
      </c>
      <c r="E21067" s="2">
        <v>3041732</v>
      </c>
      <c r="F21067" s="4" t="str">
        <f>IF(B21067=B21066,"",B21067)</f>
        <v>Mariehamn</v>
      </c>
    </row>
    <row r="21068" spans="1:6" ht="15.75" customHeight="1">
      <c r="A21068" s="8" t="str">
        <f ca="1">IFERROR(__xludf.DUMMYFUNCTION("GOOGLETRANSLATE(B23614,""en"",""pt"")"),"Mariehamn")</f>
        <v>Mariehamn</v>
      </c>
      <c r="B21068" s="11" t="s">
        <v>109</v>
      </c>
      <c r="C21068" s="11" t="s">
        <v>110</v>
      </c>
      <c r="D21068" s="11" t="s">
        <v>111</v>
      </c>
      <c r="E21068" s="10">
        <v>3041732</v>
      </c>
      <c r="F21068" s="4" t="str">
        <f>IF(B21068=B21067,"",B21068)</f>
        <v/>
      </c>
    </row>
    <row r="21069" spans="1:6" ht="15.75" customHeight="1">
      <c r="A21069" s="15" t="s">
        <v>29208</v>
      </c>
      <c r="B21069" s="15" t="s">
        <v>29208</v>
      </c>
      <c r="C21069" s="15" t="s">
        <v>27788</v>
      </c>
      <c r="D21069" s="15" t="s">
        <v>27880</v>
      </c>
      <c r="E21069" s="2">
        <v>5303752</v>
      </c>
      <c r="F21069" s="4" t="str">
        <f>IF(B21069=B21068,"",B21069)</f>
        <v>Maricopa</v>
      </c>
    </row>
    <row r="21070" spans="1:6" ht="15.75" customHeight="1">
      <c r="A21070" s="8" t="str">
        <f ca="1">IFERROR(__xludf.DUMMYFUNCTION("GOOGLETRANSLATE(B44714,""en"",""pt"")"),"Maricopa")</f>
        <v>Maricopa</v>
      </c>
      <c r="B21070" s="11" t="s">
        <v>29208</v>
      </c>
      <c r="C21070" s="11" t="s">
        <v>27788</v>
      </c>
      <c r="D21070" s="11" t="s">
        <v>27880</v>
      </c>
      <c r="E21070" s="10">
        <v>5303752</v>
      </c>
      <c r="F21070" s="4" t="str">
        <f>IF(B21070=B21069,"",B21070)</f>
        <v/>
      </c>
    </row>
    <row r="21071" spans="1:6" ht="15.75" customHeight="1">
      <c r="A21071" s="15" t="s">
        <v>2871</v>
      </c>
      <c r="B21071" s="15" t="s">
        <v>2872</v>
      </c>
      <c r="C21071" s="15" t="s">
        <v>1905</v>
      </c>
      <c r="D21071" s="15" t="s">
        <v>1978</v>
      </c>
      <c r="E21071" s="2">
        <v>3457708</v>
      </c>
      <c r="F21071" s="4" t="str">
        <f>IF(B21071=B21070,"",B21071)</f>
        <v>MaricÃ¡</v>
      </c>
    </row>
    <row r="21072" spans="1:6" ht="15.75" customHeight="1">
      <c r="A21072" s="8" t="str">
        <f ca="1">IFERROR(__xludf.DUMMYFUNCTION("GOOGLETRANSLATE(B24830,""en"",""pt"")"),"Maricá")</f>
        <v>Maricá</v>
      </c>
      <c r="B21072" s="11" t="s">
        <v>31598</v>
      </c>
      <c r="C21072" s="11" t="s">
        <v>1905</v>
      </c>
      <c r="D21072" s="11" t="s">
        <v>1978</v>
      </c>
      <c r="E21072" s="10">
        <v>3457708</v>
      </c>
      <c r="F21072" s="4" t="str">
        <f>IF(B21072=B21071,"",B21072)</f>
        <v>Maricá</v>
      </c>
    </row>
    <row r="21073" spans="1:6" ht="15.75" customHeight="1">
      <c r="A21073" s="15" t="s">
        <v>23791</v>
      </c>
      <c r="B21073" s="15" t="s">
        <v>23791</v>
      </c>
      <c r="C21073" s="15" t="s">
        <v>23786</v>
      </c>
      <c r="D21073" s="15" t="s">
        <v>23791</v>
      </c>
      <c r="E21073" s="2">
        <v>3195506</v>
      </c>
      <c r="F21073" s="4" t="str">
        <f>IF(B21073=B21072,"",B21073)</f>
        <v>Maribor</v>
      </c>
    </row>
    <row r="21074" spans="1:6" ht="15.75" customHeight="1">
      <c r="A21074" s="8" t="str">
        <f ca="1">IFERROR(__xludf.DUMMYFUNCTION("GOOGLETRANSLATE(B41215,""en"",""pt"")"),"Maribor")</f>
        <v>Maribor</v>
      </c>
      <c r="B21074" s="11" t="s">
        <v>23791</v>
      </c>
      <c r="C21074" s="11" t="s">
        <v>23786</v>
      </c>
      <c r="D21074" s="11" t="s">
        <v>23791</v>
      </c>
      <c r="E21074" s="10">
        <v>3195506</v>
      </c>
      <c r="F21074" s="4" t="str">
        <f>IF(B21074=B21073,"",B21074)</f>
        <v/>
      </c>
    </row>
    <row r="21075" spans="1:6" ht="15.75" customHeight="1">
      <c r="A21075" s="15" t="s">
        <v>31019</v>
      </c>
      <c r="B21075" s="15" t="s">
        <v>31019</v>
      </c>
      <c r="C21075" s="15" t="s">
        <v>30993</v>
      </c>
      <c r="D21075" s="15" t="s">
        <v>31020</v>
      </c>
      <c r="E21075" s="2">
        <v>72968</v>
      </c>
      <c r="F21075" s="4" t="str">
        <f>IF(B21075=B21074,"",B21075)</f>
        <v>Ma'rib</v>
      </c>
    </row>
    <row r="21076" spans="1:6" ht="15.75" customHeight="1">
      <c r="A21076" s="8" t="str">
        <f ca="1">IFERROR(__xludf.DUMMYFUNCTION("GOOGLETRANSLATE(B45824,""en"",""pt"")"),"Ma'rib")</f>
        <v>Ma'rib</v>
      </c>
      <c r="B21076" s="11" t="s">
        <v>31019</v>
      </c>
      <c r="C21076" s="11" t="s">
        <v>30993</v>
      </c>
      <c r="D21076" s="11" t="s">
        <v>36219</v>
      </c>
      <c r="E21076" s="10">
        <v>72968</v>
      </c>
      <c r="F21076" s="4" t="str">
        <f>IF(B21076=B21075,"",B21076)</f>
        <v/>
      </c>
    </row>
    <row r="21077" spans="1:6" ht="15.75" customHeight="1">
      <c r="A21077" s="15" t="s">
        <v>30728</v>
      </c>
      <c r="B21077" s="15" t="s">
        <v>30728</v>
      </c>
      <c r="C21077" s="15" t="s">
        <v>5923</v>
      </c>
      <c r="D21077" s="15" t="s">
        <v>30693</v>
      </c>
      <c r="E21077" s="2">
        <v>3632929</v>
      </c>
      <c r="F21077" s="4" t="str">
        <f>IF(B21077=B21076,"",B21077)</f>
        <v>Mariara</v>
      </c>
    </row>
    <row r="21078" spans="1:6" ht="15.75" customHeight="1">
      <c r="A21078" s="8" t="str">
        <f ca="1">IFERROR(__xludf.DUMMYFUNCTION("GOOGLETRANSLATE(B45645,""en"",""pt"")"),"Mariara")</f>
        <v>Mariara</v>
      </c>
      <c r="B21078" s="11" t="s">
        <v>30728</v>
      </c>
      <c r="C21078" s="11" t="s">
        <v>5923</v>
      </c>
      <c r="D21078" s="11" t="s">
        <v>30693</v>
      </c>
      <c r="E21078" s="10">
        <v>3632929</v>
      </c>
      <c r="F21078" s="4" t="str">
        <f>IF(B21078=B21077,"",B21078)</f>
        <v/>
      </c>
    </row>
    <row r="21079" spans="1:6" ht="15.75" customHeight="1">
      <c r="A21079" s="16" t="s">
        <v>15243</v>
      </c>
      <c r="B21079" s="15" t="s">
        <v>15244</v>
      </c>
      <c r="C21079" s="16" t="s">
        <v>14891</v>
      </c>
      <c r="D21079" s="16" t="s">
        <v>14894</v>
      </c>
      <c r="E21079" s="2">
        <v>3173949</v>
      </c>
      <c r="F21079" s="4" t="str">
        <f>IF(B21079=B21078,"",B21079)</f>
        <v>Mariano Comense</v>
      </c>
    </row>
    <row r="21080" spans="1:6" ht="15.75" customHeight="1">
      <c r="A21080" s="8" t="str">
        <f ca="1">IFERROR(__xludf.DUMMYFUNCTION("GOOGLETRANSLATE(B34851,""en"",""pt"")"),"Mariano comense")</f>
        <v>Mariano comense</v>
      </c>
      <c r="B21080" s="11" t="s">
        <v>15244</v>
      </c>
      <c r="C21080" s="11" t="s">
        <v>14891</v>
      </c>
      <c r="D21080" s="11" t="s">
        <v>14894</v>
      </c>
      <c r="E21080" s="10">
        <v>3173949</v>
      </c>
      <c r="F21080" s="4" t="str">
        <f>IF(B21080=B21079,"",B21080)</f>
        <v/>
      </c>
    </row>
    <row r="21081" spans="1:6" ht="15.75" customHeight="1">
      <c r="A21081" s="15" t="s">
        <v>20892</v>
      </c>
      <c r="B21081" s="15" t="s">
        <v>20892</v>
      </c>
      <c r="C21081" s="15" t="s">
        <v>20598</v>
      </c>
      <c r="D21081" s="15" t="s">
        <v>20687</v>
      </c>
      <c r="E21081" s="2">
        <v>1700980</v>
      </c>
      <c r="F21081" s="4" t="str">
        <f>IF(B21081=B21080,"",B21081)</f>
        <v>Mariano</v>
      </c>
    </row>
    <row r="21082" spans="1:6" ht="15.75" customHeight="1">
      <c r="A21082" s="8" t="str">
        <f ca="1">IFERROR(__xludf.DUMMYFUNCTION("GOOGLETRANSLATE(B38615,""en"",""pt"")"),"Mariano")</f>
        <v>Mariano</v>
      </c>
      <c r="B21082" s="11" t="s">
        <v>20892</v>
      </c>
      <c r="C21082" s="11" t="s">
        <v>20598</v>
      </c>
      <c r="D21082" s="11" t="s">
        <v>20687</v>
      </c>
      <c r="E21082" s="10">
        <v>1700980</v>
      </c>
      <c r="F21082" s="4" t="str">
        <f>IF(B21082=B21081,"",B21082)</f>
        <v/>
      </c>
    </row>
    <row r="21083" spans="1:6" ht="15.75" customHeight="1">
      <c r="A21083" s="8" t="str">
        <f ca="1">IFERROR(__xludf.DUMMYFUNCTION("GOOGLETRANSLATE(B32800,""en"",""pt"")"),"Mariāni")</f>
        <v>Mariāni</v>
      </c>
      <c r="B21083" s="9" t="s">
        <v>33394</v>
      </c>
      <c r="C21083" s="9" t="s">
        <v>10178</v>
      </c>
      <c r="D21083" s="9" t="s">
        <v>10239</v>
      </c>
      <c r="E21083" s="10">
        <v>1263522</v>
      </c>
      <c r="F21083" s="4" t="str">
        <f>IF(B21083=B21082,"",B21083)</f>
        <v>Mariāni</v>
      </c>
    </row>
    <row r="21084" spans="1:6" ht="15.75" customHeight="1">
      <c r="A21084" s="15" t="s">
        <v>2870</v>
      </c>
      <c r="B21084" s="15" t="s">
        <v>2870</v>
      </c>
      <c r="C21084" s="15" t="s">
        <v>1905</v>
      </c>
      <c r="D21084" s="15" t="s">
        <v>1917</v>
      </c>
      <c r="E21084" s="2">
        <v>3457736</v>
      </c>
      <c r="F21084" s="4" t="str">
        <f>IF(B21084=B21083,"",B21084)</f>
        <v>Mariana</v>
      </c>
    </row>
    <row r="21085" spans="1:6" ht="15.75" customHeight="1">
      <c r="A21085" s="8" t="str">
        <f ca="1">IFERROR(__xludf.DUMMYFUNCTION("GOOGLETRANSLATE(B24831,""en"",""pt"")"),"Mariana")</f>
        <v>Mariana</v>
      </c>
      <c r="B21085" s="9" t="s">
        <v>2870</v>
      </c>
      <c r="C21085" s="9" t="s">
        <v>1905</v>
      </c>
      <c r="D21085" s="9" t="s">
        <v>1917</v>
      </c>
      <c r="E21085" s="10">
        <v>3457736</v>
      </c>
      <c r="F21085" s="4" t="str">
        <f>IF(B21085=B21084,"",B21085)</f>
        <v/>
      </c>
    </row>
    <row r="21086" spans="1:6" ht="15.75" customHeight="1">
      <c r="A21086" s="15" t="s">
        <v>2869</v>
      </c>
      <c r="B21086" s="15" t="s">
        <v>2869</v>
      </c>
      <c r="C21086" s="15" t="s">
        <v>1905</v>
      </c>
      <c r="D21086" s="15" t="s">
        <v>728</v>
      </c>
      <c r="E21086" s="2">
        <v>3457741</v>
      </c>
      <c r="F21086" s="4" t="str">
        <f>IF(B21086=B21085,"",B21086)</f>
        <v>Marialva</v>
      </c>
    </row>
    <row r="21087" spans="1:6" ht="15.75" customHeight="1">
      <c r="A21087" s="8" t="str">
        <f ca="1">IFERROR(__xludf.DUMMYFUNCTION("GOOGLETRANSLATE(B24832,""en"",""pt"")"),"Marialva")</f>
        <v>Marialva</v>
      </c>
      <c r="B21087" s="9" t="s">
        <v>2869</v>
      </c>
      <c r="C21087" s="9" t="s">
        <v>1905</v>
      </c>
      <c r="D21087" s="9" t="s">
        <v>727</v>
      </c>
      <c r="E21087" s="10">
        <v>3457741</v>
      </c>
      <c r="F21087" s="4" t="str">
        <f>IF(B21087=B21086,"",B21087)</f>
        <v/>
      </c>
    </row>
    <row r="21088" spans="1:6" ht="15.75" customHeight="1">
      <c r="A21088" s="8" t="str">
        <f ca="1">IFERROR(__xludf.DUMMYFUNCTION("GOOGLETRANSLATE(B32801,""en"",""pt"")"),"Mariāhu")</f>
        <v>Mariāhu</v>
      </c>
      <c r="B21088" s="9" t="s">
        <v>33395</v>
      </c>
      <c r="C21088" s="9" t="s">
        <v>10178</v>
      </c>
      <c r="D21088" s="9" t="s">
        <v>10193</v>
      </c>
      <c r="E21088" s="10">
        <v>1263523</v>
      </c>
      <c r="F21088" s="4" t="str">
        <f>IF(B21088=B21087,"",B21088)</f>
        <v>Mariāhu</v>
      </c>
    </row>
    <row r="21089" spans="1:6" ht="15.75" customHeight="1">
      <c r="A21089" s="15" t="s">
        <v>12367</v>
      </c>
      <c r="B21089" s="15" t="s">
        <v>12368</v>
      </c>
      <c r="C21089" s="15" t="s">
        <v>10178</v>
      </c>
      <c r="D21089" s="15" t="s">
        <v>10239</v>
      </c>
      <c r="E21089" s="2">
        <v>1263522</v>
      </c>
      <c r="F21089" s="4" t="str">
        <f>IF(B21089=B21088,"",B21089)</f>
        <v>MariÄni</v>
      </c>
    </row>
    <row r="21090" spans="1:6" ht="15.75" customHeight="1">
      <c r="A21090" s="15" t="s">
        <v>12365</v>
      </c>
      <c r="B21090" s="15" t="s">
        <v>12366</v>
      </c>
      <c r="C21090" s="15" t="s">
        <v>10178</v>
      </c>
      <c r="D21090" s="15" t="s">
        <v>10193</v>
      </c>
      <c r="E21090" s="2">
        <v>1263523</v>
      </c>
      <c r="F21090" s="4" t="str">
        <f>IF(B21090=B21089,"",B21090)</f>
        <v>MariÄhu</v>
      </c>
    </row>
    <row r="21091" spans="1:6" ht="15.75" customHeight="1">
      <c r="A21091" s="8" t="str">
        <f ca="1">IFERROR(__xludf.DUMMYFUNCTION("GOOGLETRANSLATE(B26943,""en"",""pt"")"),"María La Baja")</f>
        <v>María La Baja</v>
      </c>
      <c r="B21091" s="11" t="s">
        <v>31865</v>
      </c>
      <c r="C21091" s="11" t="s">
        <v>5348</v>
      </c>
      <c r="D21091" s="11" t="s">
        <v>31836</v>
      </c>
      <c r="E21091" s="10">
        <v>3675287</v>
      </c>
      <c r="F21091" s="4" t="str">
        <f>IF(B21091=B21090,"",B21091)</f>
        <v>María la Baja</v>
      </c>
    </row>
    <row r="21092" spans="1:6" ht="15.75" customHeight="1">
      <c r="A21092" s="15" t="s">
        <v>2868</v>
      </c>
      <c r="B21092" s="15" t="s">
        <v>2868</v>
      </c>
      <c r="C21092" s="15" t="s">
        <v>1905</v>
      </c>
      <c r="D21092" s="15" t="s">
        <v>1944</v>
      </c>
      <c r="E21092" s="2">
        <v>3395380</v>
      </c>
      <c r="F21092" s="4" t="str">
        <f>IF(B21092=B21091,"",B21092)</f>
        <v>Mari</v>
      </c>
    </row>
    <row r="21093" spans="1:6" ht="15.75" customHeight="1">
      <c r="A21093" s="8" t="str">
        <f ca="1">IFERROR(__xludf.DUMMYFUNCTION("GOOGLETRANSLATE(B24270,""en"",""pt"")"),"Mari")</f>
        <v>Mari</v>
      </c>
      <c r="B21093" s="11" t="s">
        <v>2868</v>
      </c>
      <c r="C21093" s="11" t="s">
        <v>1905</v>
      </c>
      <c r="D21093" s="11" t="s">
        <v>31343</v>
      </c>
      <c r="E21093" s="10">
        <v>3395380</v>
      </c>
      <c r="F21093" s="4" t="str">
        <f>IF(B21093=B21092,"",B21093)</f>
        <v/>
      </c>
    </row>
    <row r="21094" spans="1:6" ht="15.75" customHeight="1">
      <c r="A21094" s="16" t="s">
        <v>12364</v>
      </c>
      <c r="B21094" s="15" t="s">
        <v>12364</v>
      </c>
      <c r="C21094" s="16" t="s">
        <v>10178</v>
      </c>
      <c r="D21094" s="16" t="s">
        <v>10317</v>
      </c>
      <c r="E21094" s="2">
        <v>1263528</v>
      </c>
      <c r="F21094" s="4" t="str">
        <f>IF(B21094=B21093,"",B21094)</f>
        <v>Marhaura</v>
      </c>
    </row>
    <row r="21095" spans="1:6" ht="15.75" customHeight="1">
      <c r="A21095" s="8" t="str">
        <f ca="1">IFERROR(__xludf.DUMMYFUNCTION("GOOGLETRANSLATE(B32802,""en"",""pt"")"),"Marhaura")</f>
        <v>Marhaura</v>
      </c>
      <c r="B21095" s="11" t="s">
        <v>12364</v>
      </c>
      <c r="C21095" s="11" t="s">
        <v>10178</v>
      </c>
      <c r="D21095" s="11" t="s">
        <v>10317</v>
      </c>
      <c r="E21095" s="10">
        <v>1263528</v>
      </c>
      <c r="F21095" s="4" t="str">
        <f>IF(B21095=B21094,"",B21095)</f>
        <v/>
      </c>
    </row>
    <row r="21096" spans="1:6" ht="15.75" customHeight="1">
      <c r="A21096" s="16" t="s">
        <v>27062</v>
      </c>
      <c r="B21096" s="15" t="s">
        <v>27063</v>
      </c>
      <c r="C21096" s="16" t="s">
        <v>26870</v>
      </c>
      <c r="D21096" s="16" t="s">
        <v>26878</v>
      </c>
      <c r="E21096" s="2">
        <v>701855</v>
      </c>
      <c r="F21096" s="4" t="str">
        <f>IF(B21096=B21095,"",B21096)</f>
        <v>Marhanetsâ€™</v>
      </c>
    </row>
    <row r="21097" spans="1:6" ht="15.75" customHeight="1">
      <c r="A21097" s="8" t="str">
        <f ca="1">IFERROR(__xludf.DUMMYFUNCTION("GOOGLETRANSLATE(B42583,""en"",""pt"")"),"De Marhanets")</f>
        <v>De Marhanets</v>
      </c>
      <c r="B21097" s="11" t="s">
        <v>36013</v>
      </c>
      <c r="C21097" s="11" t="s">
        <v>26870</v>
      </c>
      <c r="D21097" s="11" t="s">
        <v>26878</v>
      </c>
      <c r="E21097" s="10">
        <v>701855</v>
      </c>
      <c r="F21097" s="4" t="str">
        <f>IF(B21097=B21096,"",B21097)</f>
        <v>Marhanets’</v>
      </c>
    </row>
    <row r="21098" spans="1:6" ht="15.75" customHeight="1">
      <c r="A21098" s="16" t="s">
        <v>12363</v>
      </c>
      <c r="B21098" s="15" t="s">
        <v>12363</v>
      </c>
      <c r="C21098" s="16" t="s">
        <v>10178</v>
      </c>
      <c r="D21098" s="16" t="s">
        <v>10304</v>
      </c>
      <c r="E21098" s="2">
        <v>1263532</v>
      </c>
      <c r="F21098" s="4" t="str">
        <f>IF(B21098=B21097,"",B21098)</f>
        <v>Margherita</v>
      </c>
    </row>
    <row r="21099" spans="1:6" ht="15.75" customHeight="1">
      <c r="A21099" s="8" t="str">
        <f ca="1">IFERROR(__xludf.DUMMYFUNCTION("GOOGLETRANSLATE(B32803,""en"",""pt"")"),"Margherita")</f>
        <v>Margherita</v>
      </c>
      <c r="B21099" s="9" t="s">
        <v>12363</v>
      </c>
      <c r="C21099" s="9" t="s">
        <v>10178</v>
      </c>
      <c r="D21099" s="9" t="s">
        <v>10304</v>
      </c>
      <c r="E21099" s="10">
        <v>1263532</v>
      </c>
      <c r="F21099" s="4" t="str">
        <f>IF(B21099=B21098,"",B21099)</f>
        <v/>
      </c>
    </row>
    <row r="21100" spans="1:6" ht="15.75" customHeight="1">
      <c r="A21100" s="15" t="s">
        <v>23934</v>
      </c>
      <c r="B21100" s="15" t="s">
        <v>23934</v>
      </c>
      <c r="C21100" s="15" t="s">
        <v>23842</v>
      </c>
      <c r="D21100" s="15" t="s">
        <v>23851</v>
      </c>
      <c r="E21100" s="2">
        <v>978895</v>
      </c>
      <c r="F21100" s="4" t="str">
        <f>IF(B21100=B21099,"",B21100)</f>
        <v>Margate</v>
      </c>
    </row>
    <row r="21101" spans="1:6" ht="15.75" customHeight="1">
      <c r="A21101" s="15" t="s">
        <v>23934</v>
      </c>
      <c r="B21101" s="15" t="s">
        <v>23934</v>
      </c>
      <c r="C21101" s="15" t="s">
        <v>27234</v>
      </c>
      <c r="D21101" s="15" t="s">
        <v>27241</v>
      </c>
      <c r="E21101" s="2">
        <v>2643044</v>
      </c>
      <c r="F21101" s="4" t="str">
        <f>IF(B21101=B21100,"",B21101)</f>
        <v/>
      </c>
    </row>
    <row r="21102" spans="1:6" ht="15.75" customHeight="1">
      <c r="A21102" s="15" t="s">
        <v>23934</v>
      </c>
      <c r="B21102" s="15" t="s">
        <v>23934</v>
      </c>
      <c r="C21102" s="15" t="s">
        <v>27788</v>
      </c>
      <c r="D21102" s="15" t="s">
        <v>5468</v>
      </c>
      <c r="E21102" s="2">
        <v>4163407</v>
      </c>
      <c r="F21102" s="4" t="str">
        <f>IF(B21102=B21101,"",B21102)</f>
        <v/>
      </c>
    </row>
    <row r="21103" spans="1:6" ht="15.75" customHeight="1">
      <c r="A21103" s="8" t="str">
        <f ca="1">IFERROR(__xludf.DUMMYFUNCTION("GOOGLETRANSLATE(B30547,""en"",""pt"")"),"Margate")</f>
        <v>Margate</v>
      </c>
      <c r="B21103" s="11" t="s">
        <v>23934</v>
      </c>
      <c r="C21103" s="11" t="s">
        <v>27234</v>
      </c>
      <c r="D21103" s="11" t="s">
        <v>27241</v>
      </c>
      <c r="E21103" s="10">
        <v>2643044</v>
      </c>
      <c r="F21103" s="4" t="str">
        <f>IF(B21103=B21102,"",B21103)</f>
        <v/>
      </c>
    </row>
    <row r="21104" spans="1:6" ht="15.75" customHeight="1">
      <c r="A21104" s="8" t="str">
        <f ca="1">IFERROR(__xludf.DUMMYFUNCTION("GOOGLETRANSLATE(B42946,""en"",""pt"")"),"Margate")</f>
        <v>Margate</v>
      </c>
      <c r="B21104" s="9" t="s">
        <v>23934</v>
      </c>
      <c r="C21104" s="9" t="s">
        <v>27788</v>
      </c>
      <c r="D21104" s="9" t="s">
        <v>5468</v>
      </c>
      <c r="E21104" s="10">
        <v>4163407</v>
      </c>
      <c r="F21104" s="4" t="str">
        <f>IF(B21104=B21103,"",B21104)</f>
        <v/>
      </c>
    </row>
    <row r="21105" spans="1:6" ht="15.75" customHeight="1">
      <c r="A21105" s="8" t="str">
        <f ca="1">IFERROR(__xludf.DUMMYFUNCTION("GOOGLETRANSLATE(B45918,""en"",""pt"")"),"Margate")</f>
        <v>Margate</v>
      </c>
      <c r="B21105" s="11" t="s">
        <v>23934</v>
      </c>
      <c r="C21105" s="11" t="s">
        <v>23842</v>
      </c>
      <c r="D21105" s="11" t="s">
        <v>23851</v>
      </c>
      <c r="E21105" s="10">
        <v>978895</v>
      </c>
      <c r="F21105" s="4" t="str">
        <f>IF(B21105=B21104,"",B21105)</f>
        <v/>
      </c>
    </row>
    <row r="21106" spans="1:6" ht="15.75" customHeight="1">
      <c r="A21106" s="16" t="s">
        <v>14033</v>
      </c>
      <c r="B21106" s="15" t="s">
        <v>14033</v>
      </c>
      <c r="C21106" s="16" t="s">
        <v>13800</v>
      </c>
      <c r="D21106" s="16" t="s">
        <v>13803</v>
      </c>
      <c r="E21106" s="2">
        <v>1636121</v>
      </c>
      <c r="F21106" s="4" t="str">
        <f>IF(B21106=B21105,"",B21106)</f>
        <v>Margasari</v>
      </c>
    </row>
    <row r="21107" spans="1:6" ht="15.75" customHeight="1">
      <c r="A21107" s="8" t="str">
        <f ca="1">IFERROR(__xludf.DUMMYFUNCTION("GOOGLETRANSLATE(B31545,""en"",""pt"")"),"Margasari")</f>
        <v>Margasari</v>
      </c>
      <c r="B21107" s="9" t="s">
        <v>14033</v>
      </c>
      <c r="C21107" s="9" t="s">
        <v>13800</v>
      </c>
      <c r="D21107" s="9" t="s">
        <v>13803</v>
      </c>
      <c r="E21107" s="10">
        <v>1636121</v>
      </c>
      <c r="F21107" s="4" t="str">
        <f>IF(B21107=B21106,"",B21107)</f>
        <v/>
      </c>
    </row>
    <row r="21108" spans="1:6" ht="15.75" customHeight="1">
      <c r="A21108" s="16" t="s">
        <v>14031</v>
      </c>
      <c r="B21108" s="15" t="s">
        <v>14032</v>
      </c>
      <c r="C21108" s="16" t="s">
        <v>13800</v>
      </c>
      <c r="D21108" s="16" t="s">
        <v>13811</v>
      </c>
      <c r="E21108" s="2">
        <v>1636125</v>
      </c>
      <c r="F21108" s="4" t="str">
        <f>IF(B21108=B21107,"",B21108)</f>
        <v>Margahayukencana</v>
      </c>
    </row>
    <row r="21109" spans="1:6" ht="15.75" customHeight="1">
      <c r="A21109" s="8" t="str">
        <f ca="1">IFERROR(__xludf.DUMMYFUNCTION("GOOGLETRANSLATE(B31546,""en"",""pt"")"),"MARGAHAYUKENCANA")</f>
        <v>MARGAHAYUKENCANA</v>
      </c>
      <c r="B21109" s="9" t="s">
        <v>14032</v>
      </c>
      <c r="C21109" s="9" t="s">
        <v>13800</v>
      </c>
      <c r="D21109" s="9" t="s">
        <v>13811</v>
      </c>
      <c r="E21109" s="10">
        <v>1636125</v>
      </c>
      <c r="F21109" s="4" t="str">
        <f>IF(B21109=B21108,"",B21109)</f>
        <v/>
      </c>
    </row>
    <row r="21110" spans="1:6" ht="15.75" customHeight="1">
      <c r="A21110" s="15" t="s">
        <v>30565</v>
      </c>
      <c r="B21110" s="15" t="s">
        <v>30566</v>
      </c>
      <c r="C21110" s="15" t="s">
        <v>30502</v>
      </c>
      <c r="D21110" s="15" t="s">
        <v>30513</v>
      </c>
      <c r="E21110" s="2">
        <v>1513243</v>
      </c>
      <c r="F21110" s="4" t="str">
        <f>IF(B21110=B21109,"",B21110)</f>
        <v>Margâ€˜ilon</v>
      </c>
    </row>
    <row r="21111" spans="1:6" ht="15.75" customHeight="1">
      <c r="A21111" s="8" t="str">
        <f ca="1">IFERROR(__xludf.DUMMYFUNCTION("GOOGLETRANSLATE(B45561,""en"",""pt"")"),"Marg‘ilon")</f>
        <v>Marg‘ilon</v>
      </c>
      <c r="B21111" s="9" t="s">
        <v>36074</v>
      </c>
      <c r="C21111" s="9" t="s">
        <v>30502</v>
      </c>
      <c r="D21111" s="9" t="s">
        <v>30513</v>
      </c>
      <c r="E21111" s="10">
        <v>1513243</v>
      </c>
      <c r="F21111" s="4" t="str">
        <f>IF(B21111=B21110,"",B21111)</f>
        <v>Marg‘ilon</v>
      </c>
    </row>
    <row r="21112" spans="1:6" ht="15.75" customHeight="1">
      <c r="A21112" s="15" t="s">
        <v>18069</v>
      </c>
      <c r="B21112" s="15" t="s">
        <v>18069</v>
      </c>
      <c r="C21112" s="15" t="s">
        <v>17707</v>
      </c>
      <c r="D21112" s="15" t="s">
        <v>17713</v>
      </c>
      <c r="E21112" s="2">
        <v>3996595</v>
      </c>
      <c r="F21112" s="4" t="str">
        <f>IF(B21112=B21111,"",B21112)</f>
        <v>Marfil</v>
      </c>
    </row>
    <row r="21113" spans="1:6" ht="15.75" customHeight="1">
      <c r="A21113" s="8" t="str">
        <f ca="1">IFERROR(__xludf.DUMMYFUNCTION("GOOGLETRANSLATE(B37250,""en"",""pt"")"),"Marfil")</f>
        <v>Marfil</v>
      </c>
      <c r="B21113" s="9" t="s">
        <v>18069</v>
      </c>
      <c r="C21113" s="9" t="s">
        <v>17707</v>
      </c>
      <c r="D21113" s="9" t="s">
        <v>17713</v>
      </c>
      <c r="E21113" s="10">
        <v>3996595</v>
      </c>
      <c r="F21113" s="4" t="str">
        <f>IF(B21113=B21112,"",B21113)</f>
        <v/>
      </c>
    </row>
    <row r="21114" spans="1:6" ht="15.75" customHeight="1">
      <c r="A21114" s="16" t="s">
        <v>2867</v>
      </c>
      <c r="B21114" s="15" t="s">
        <v>2867</v>
      </c>
      <c r="C21114" s="16" t="s">
        <v>1905</v>
      </c>
      <c r="D21114" s="16" t="s">
        <v>2015</v>
      </c>
      <c r="E21114" s="2">
        <v>3395395</v>
      </c>
      <c r="F21114" s="4" t="str">
        <f>IF(B21114=B21113,"",B21114)</f>
        <v>Marechal Deodoro</v>
      </c>
    </row>
    <row r="21115" spans="1:6" ht="15.75" customHeight="1">
      <c r="A21115" s="8" t="str">
        <f ca="1">IFERROR(__xludf.DUMMYFUNCTION("GOOGLETRANSLATE(B24271,""en"",""pt"")"),"Marechal Deodoro")</f>
        <v>Marechal Deodoro</v>
      </c>
      <c r="B21115" s="11" t="s">
        <v>2867</v>
      </c>
      <c r="C21115" s="11" t="s">
        <v>1905</v>
      </c>
      <c r="D21115" s="11" t="s">
        <v>2015</v>
      </c>
      <c r="E21115" s="10">
        <v>3395395</v>
      </c>
      <c r="F21115" s="4" t="str">
        <f>IF(B21115=B21114,"",B21115)</f>
        <v/>
      </c>
    </row>
    <row r="21116" spans="1:6" ht="15.75" customHeight="1">
      <c r="A21116" s="8" t="str">
        <f ca="1">IFERROR(__xludf.DUMMYFUNCTION("GOOGLETRANSLATE(B24833,""en"",""pt"")"),"Marechal Cândido Rondon")</f>
        <v>Marechal Cândido Rondon</v>
      </c>
      <c r="B21116" s="9" t="s">
        <v>31599</v>
      </c>
      <c r="C21116" s="9" t="s">
        <v>1905</v>
      </c>
      <c r="D21116" s="9" t="s">
        <v>727</v>
      </c>
      <c r="E21116" s="10">
        <v>3457772</v>
      </c>
      <c r="F21116" s="4" t="str">
        <f>IF(B21116=B21115,"",B21116)</f>
        <v>Marechal Cândido Rondon</v>
      </c>
    </row>
    <row r="21117" spans="1:6" ht="15.75" customHeight="1">
      <c r="A21117" s="16" t="s">
        <v>2865</v>
      </c>
      <c r="B21117" s="15" t="s">
        <v>2866</v>
      </c>
      <c r="C21117" s="16" t="s">
        <v>1905</v>
      </c>
      <c r="D21117" s="16" t="s">
        <v>728</v>
      </c>
      <c r="E21117" s="2">
        <v>3457772</v>
      </c>
      <c r="F21117" s="4" t="str">
        <f>IF(B21117=B21116,"",B21117)</f>
        <v>Marechal CÃ¢ndido Rondon</v>
      </c>
    </row>
    <row r="21118" spans="1:6" ht="15.75" customHeight="1">
      <c r="A21118" s="15" t="s">
        <v>26440</v>
      </c>
      <c r="B21118" s="15" t="s">
        <v>26440</v>
      </c>
      <c r="C21118" s="15" t="s">
        <v>26201</v>
      </c>
      <c r="D21118" s="15" t="s">
        <v>26440</v>
      </c>
      <c r="E21118" s="2">
        <v>304797</v>
      </c>
      <c r="F21118" s="4" t="str">
        <f>IF(B21118=B21117,"",B21118)</f>
        <v>Mardin</v>
      </c>
    </row>
    <row r="21119" spans="1:6" ht="15.75" customHeight="1">
      <c r="A21119" s="8" t="str">
        <f ca="1">IFERROR(__xludf.DUMMYFUNCTION("GOOGLETRANSLATE(B41939,""en"",""pt"")"),"Mardin")</f>
        <v>Mardin</v>
      </c>
      <c r="B21119" s="11" t="s">
        <v>26440</v>
      </c>
      <c r="C21119" s="11" t="s">
        <v>26201</v>
      </c>
      <c r="D21119" s="11" t="s">
        <v>26440</v>
      </c>
      <c r="E21119" s="10">
        <v>304797</v>
      </c>
      <c r="F21119" s="4" t="str">
        <f>IF(B21119=B21118,"",B21119)</f>
        <v/>
      </c>
    </row>
    <row r="21120" spans="1:6" ht="15.75" customHeight="1">
      <c r="A21120" s="15" t="s">
        <v>20095</v>
      </c>
      <c r="B21120" s="15" t="s">
        <v>20095</v>
      </c>
      <c r="C21120" s="15" t="s">
        <v>19808</v>
      </c>
      <c r="D21120" s="15" t="s">
        <v>19811</v>
      </c>
      <c r="E21120" s="2">
        <v>1170880</v>
      </c>
      <c r="F21120" s="4" t="str">
        <f>IF(B21120=B21119,"",B21120)</f>
        <v>Mardan</v>
      </c>
    </row>
    <row r="21121" spans="1:6" ht="15.75" customHeight="1">
      <c r="A21121" s="8" t="str">
        <f ca="1">IFERROR(__xludf.DUMMYFUNCTION("GOOGLETRANSLATE(B38992,""en"",""pt"")"),"Mardan")</f>
        <v>Mardan</v>
      </c>
      <c r="B21121" s="11" t="s">
        <v>20095</v>
      </c>
      <c r="C21121" s="11" t="s">
        <v>19808</v>
      </c>
      <c r="D21121" s="11" t="s">
        <v>19811</v>
      </c>
      <c r="E21121" s="10">
        <v>1170880</v>
      </c>
      <c r="F21121" s="4" t="str">
        <f>IF(B21121=B21120,"",B21121)</f>
        <v/>
      </c>
    </row>
    <row r="21122" spans="1:6" ht="15.75" customHeight="1">
      <c r="A21122" s="16" t="s">
        <v>1225</v>
      </c>
      <c r="B21122" s="15" t="s">
        <v>1225</v>
      </c>
      <c r="C21122" s="16" t="s">
        <v>1170</v>
      </c>
      <c r="D21122" s="16" t="s">
        <v>1181</v>
      </c>
      <c r="E21122" s="2">
        <v>585568</v>
      </c>
      <c r="F21122" s="4" t="str">
        <f>IF(B21122=B21121,"",B21122)</f>
        <v>Mardakan</v>
      </c>
    </row>
    <row r="21123" spans="1:6" ht="15.75" customHeight="1">
      <c r="A21123" s="8" t="str">
        <f ca="1">IFERROR(__xludf.DUMMYFUNCTION("GOOGLETRANSLATE(B23652,""en"",""pt"")"),"Mardakan")</f>
        <v>Mardakan</v>
      </c>
      <c r="B21123" s="11" t="s">
        <v>1225</v>
      </c>
      <c r="C21123" s="11" t="s">
        <v>1170</v>
      </c>
      <c r="D21123" s="11" t="s">
        <v>1181</v>
      </c>
      <c r="E21123" s="10">
        <v>585568</v>
      </c>
      <c r="F21123" s="4" t="str">
        <f>IF(B21123=B21122,"",B21123)</f>
        <v/>
      </c>
    </row>
    <row r="21124" spans="1:6" ht="15.75" customHeight="1">
      <c r="A21124" s="8" t="str">
        <f ca="1">IFERROR(__xludf.DUMMYFUNCTION("GOOGLETRANSLATE(B29940,""en"",""pt"")"),"Marcq-en-barœul")</f>
        <v>Marcq-en-barœul</v>
      </c>
      <c r="B21124" s="9" t="s">
        <v>32580</v>
      </c>
      <c r="C21124" s="9" t="s">
        <v>7052</v>
      </c>
      <c r="D21124" s="9" t="s">
        <v>7078</v>
      </c>
      <c r="E21124" s="10">
        <v>2995908</v>
      </c>
      <c r="F21124" s="4" t="str">
        <f>IF(B21124=B21123,"",B21124)</f>
        <v>Marcq-en-Barœul</v>
      </c>
    </row>
    <row r="21125" spans="1:6" ht="15.75" customHeight="1">
      <c r="A21125" s="16" t="s">
        <v>7535</v>
      </c>
      <c r="B21125" s="15" t="s">
        <v>7536</v>
      </c>
      <c r="C21125" s="16" t="s">
        <v>7052</v>
      </c>
      <c r="D21125" s="16" t="s">
        <v>7078</v>
      </c>
      <c r="E21125" s="2">
        <v>2995908</v>
      </c>
      <c r="F21125" s="4" t="str">
        <f>IF(B21125=B21124,"",B21125)</f>
        <v>Marcq-en-BarÅ“ul</v>
      </c>
    </row>
    <row r="21126" spans="1:6" ht="15.75" customHeight="1">
      <c r="A21126" s="8" t="str">
        <f ca="1">IFERROR(__xludf.DUMMYFUNCTION("GOOGLETRANSLATE(B23304,""en"",""pt"")"),"Marcos Juárez")</f>
        <v>Marcos Juárez</v>
      </c>
      <c r="B21126" s="9" t="s">
        <v>31200</v>
      </c>
      <c r="C21126" s="9" t="s">
        <v>558</v>
      </c>
      <c r="D21126" s="9" t="s">
        <v>573</v>
      </c>
      <c r="E21126" s="10">
        <v>3844899</v>
      </c>
      <c r="F21126" s="4" t="str">
        <f>IF(B21126=B21125,"",B21126)</f>
        <v>Marcos Juárez</v>
      </c>
    </row>
    <row r="21127" spans="1:6" ht="15.75" customHeight="1">
      <c r="A21127" s="16" t="s">
        <v>705</v>
      </c>
      <c r="B21127" s="15" t="s">
        <v>706</v>
      </c>
      <c r="C21127" s="16" t="s">
        <v>558</v>
      </c>
      <c r="D21127" s="16" t="s">
        <v>573</v>
      </c>
      <c r="E21127" s="2">
        <v>3844899</v>
      </c>
      <c r="F21127" s="4" t="str">
        <f>IF(B21127=B21126,"",B21127)</f>
        <v>Marcos JuÃ¡rez</v>
      </c>
    </row>
    <row r="21128" spans="1:6" ht="15.75" customHeight="1">
      <c r="A21128" s="16" t="s">
        <v>15242</v>
      </c>
      <c r="B21128" s="15" t="s">
        <v>15242</v>
      </c>
      <c r="C21128" s="16" t="s">
        <v>14891</v>
      </c>
      <c r="D21128" s="16" t="s">
        <v>14896</v>
      </c>
      <c r="E21128" s="2">
        <v>3173995</v>
      </c>
      <c r="F21128" s="4" t="str">
        <f>IF(B21128=B21127,"",B21128)</f>
        <v>Marcianise</v>
      </c>
    </row>
    <row r="21129" spans="1:6" ht="15.75" customHeight="1">
      <c r="A21129" s="8" t="str">
        <f ca="1">IFERROR(__xludf.DUMMYFUNCTION("GOOGLETRANSLATE(B34852,""en"",""pt"")"),"Marcianise")</f>
        <v>Marcianise</v>
      </c>
      <c r="B21129" s="11" t="s">
        <v>15242</v>
      </c>
      <c r="C21129" s="11" t="s">
        <v>14891</v>
      </c>
      <c r="D21129" s="11" t="s">
        <v>14896</v>
      </c>
      <c r="E21129" s="10">
        <v>3173995</v>
      </c>
      <c r="F21129" s="4" t="str">
        <f>IF(B21129=B21128,"",B21129)</f>
        <v/>
      </c>
    </row>
    <row r="21130" spans="1:6" ht="15.75" customHeight="1">
      <c r="A21130" s="16" t="s">
        <v>24600</v>
      </c>
      <c r="B21130" s="15" t="s">
        <v>24600</v>
      </c>
      <c r="C21130" s="16" t="s">
        <v>24200</v>
      </c>
      <c r="D21130" s="16" t="s">
        <v>24205</v>
      </c>
      <c r="E21130" s="2">
        <v>2514158</v>
      </c>
      <c r="F21130" s="4" t="str">
        <f>IF(B21130=B21129,"",B21130)</f>
        <v>Marchena</v>
      </c>
    </row>
    <row r="21131" spans="1:6" ht="15.75" customHeight="1">
      <c r="A21131" s="8" t="str">
        <f ca="1">IFERROR(__xludf.DUMMYFUNCTION("GOOGLETRANSLATE(B29062,""en"",""pt"")"),"Marchena")</f>
        <v>Marchena</v>
      </c>
      <c r="B21131" s="11" t="s">
        <v>24600</v>
      </c>
      <c r="C21131" s="11" t="s">
        <v>24200</v>
      </c>
      <c r="D21131" s="11" t="s">
        <v>24205</v>
      </c>
      <c r="E21131" s="10">
        <v>2514158</v>
      </c>
      <c r="F21131" s="4" t="str">
        <f>IF(B21131=B21130,"",B21131)</f>
        <v/>
      </c>
    </row>
    <row r="21132" spans="1:6" ht="15.75" customHeight="1">
      <c r="A21132" s="16" t="s">
        <v>1635</v>
      </c>
      <c r="B21132" s="15" t="s">
        <v>1636</v>
      </c>
      <c r="C21132" s="16" t="s">
        <v>1512</v>
      </c>
      <c r="D21132" s="16" t="s">
        <v>1518</v>
      </c>
      <c r="E21132" s="2">
        <v>2791744</v>
      </c>
      <c r="F21132" s="4" t="str">
        <f>IF(B21132=B21131,"",B21132)</f>
        <v>Marche-en-Famenne</v>
      </c>
    </row>
    <row r="21133" spans="1:6" ht="15.75" customHeight="1">
      <c r="A21133" s="8" t="str">
        <f ca="1">IFERROR(__xludf.DUMMYFUNCTION("GOOGLETRANSLATE(B23872,""en"",""pt"")"),"Marche-en-famenne")</f>
        <v>Marche-en-famenne</v>
      </c>
      <c r="B21133" s="11" t="s">
        <v>1636</v>
      </c>
      <c r="C21133" s="11" t="s">
        <v>1512</v>
      </c>
      <c r="D21133" s="11" t="s">
        <v>1518</v>
      </c>
      <c r="E21133" s="10">
        <v>2791744</v>
      </c>
      <c r="F21133" s="4" t="str">
        <f>IF(B21133=B21132,"",B21133)</f>
        <v/>
      </c>
    </row>
    <row r="21134" spans="1:6" ht="15.75" customHeight="1">
      <c r="A21134" s="15" t="s">
        <v>27525</v>
      </c>
      <c r="B21134" s="15" t="s">
        <v>27526</v>
      </c>
      <c r="C21134" s="15" t="s">
        <v>27234</v>
      </c>
      <c r="D21134" s="15" t="s">
        <v>27241</v>
      </c>
      <c r="E21134" s="2">
        <v>2643071</v>
      </c>
      <c r="F21134" s="4" t="str">
        <f>IF(B21134=B21133,"",B21134)</f>
        <v>March</v>
      </c>
    </row>
    <row r="21135" spans="1:6" ht="15.75" customHeight="1">
      <c r="A21135" s="8" t="str">
        <f ca="1">IFERROR(__xludf.DUMMYFUNCTION("GOOGLETRANSLATE(B30548,""en"",""pt"")"),"Marchar")</f>
        <v>Marchar</v>
      </c>
      <c r="B21135" s="11" t="s">
        <v>27526</v>
      </c>
      <c r="C21135" s="11" t="s">
        <v>27234</v>
      </c>
      <c r="D21135" s="11" t="s">
        <v>27241</v>
      </c>
      <c r="E21135" s="10">
        <v>2643071</v>
      </c>
      <c r="F21135" s="4" t="str">
        <f>IF(B21135=B21134,"",B21135)</f>
        <v/>
      </c>
    </row>
    <row r="21136" spans="1:6" ht="15.75" customHeight="1">
      <c r="A21136" s="16" t="s">
        <v>20542</v>
      </c>
      <c r="B21136" s="15" t="s">
        <v>20542</v>
      </c>
      <c r="C21136" s="16" t="s">
        <v>20470</v>
      </c>
      <c r="D21136" s="16" t="s">
        <v>20486</v>
      </c>
      <c r="E21136" s="2">
        <v>3694939</v>
      </c>
      <c r="F21136" s="4" t="str">
        <f>IF(B21136=B21135,"",B21136)</f>
        <v>Marcavelica</v>
      </c>
    </row>
    <row r="21137" spans="1:6" ht="15.75" customHeight="1">
      <c r="A21137" s="8" t="str">
        <f ca="1">IFERROR(__xludf.DUMMYFUNCTION("GOOGLETRANSLATE(B38327,""en"",""pt"")"),"Marcavelica")</f>
        <v>Marcavelica</v>
      </c>
      <c r="B21137" s="11" t="s">
        <v>20542</v>
      </c>
      <c r="C21137" s="11" t="s">
        <v>20470</v>
      </c>
      <c r="D21137" s="11" t="s">
        <v>20486</v>
      </c>
      <c r="E21137" s="10">
        <v>3694939</v>
      </c>
      <c r="F21137" s="4" t="str">
        <f>IF(B21137=B21136,"",B21137)</f>
        <v/>
      </c>
    </row>
    <row r="21138" spans="1:6" ht="15.75" customHeight="1">
      <c r="A21138" s="16" t="s">
        <v>8820</v>
      </c>
      <c r="B21138" s="15" t="s">
        <v>8821</v>
      </c>
      <c r="C21138" s="16" t="s">
        <v>8028</v>
      </c>
      <c r="D21138" s="16" t="s">
        <v>8050</v>
      </c>
      <c r="E21138" s="2">
        <v>2873759</v>
      </c>
      <c r="F21138" s="4" t="str">
        <f>IF(B21138=B21137,"",B21138)</f>
        <v>Marburg an der Lahn</v>
      </c>
    </row>
    <row r="21139" spans="1:6" ht="15.75" customHeight="1">
      <c r="A21139" s="8" t="str">
        <f ca="1">IFERROR(__xludf.DUMMYFUNCTION("GOOGLETRANSLATE(B27786,""en"",""pt"")"),"MARBURGO AN DER LAHN")</f>
        <v>MARBURGO AN DER LAHN</v>
      </c>
      <c r="B21139" s="9" t="s">
        <v>8821</v>
      </c>
      <c r="C21139" s="9" t="s">
        <v>8028</v>
      </c>
      <c r="D21139" s="9" t="s">
        <v>8050</v>
      </c>
      <c r="E21139" s="10">
        <v>2873759</v>
      </c>
      <c r="F21139" s="4" t="str">
        <f>IF(B21139=B21138,"",B21139)</f>
        <v/>
      </c>
    </row>
    <row r="21140" spans="1:6" ht="15.75" customHeight="1">
      <c r="A21140" s="16" t="s">
        <v>29207</v>
      </c>
      <c r="B21140" s="15" t="s">
        <v>29207</v>
      </c>
      <c r="C21140" s="16" t="s">
        <v>27788</v>
      </c>
      <c r="D21140" s="16" t="s">
        <v>27794</v>
      </c>
      <c r="E21140" s="2">
        <v>4943097</v>
      </c>
      <c r="F21140" s="4" t="str">
        <f>IF(B21140=B21139,"",B21140)</f>
        <v>Marblehead</v>
      </c>
    </row>
    <row r="21141" spans="1:6" ht="15.75" customHeight="1">
      <c r="A21141" s="8" t="str">
        <f ca="1">IFERROR(__xludf.DUMMYFUNCTION("GOOGLETRANSLATE(B43997,""en"",""pt"")"),"Marblehead")</f>
        <v>Marblehead</v>
      </c>
      <c r="B21141" s="9" t="s">
        <v>29207</v>
      </c>
      <c r="C21141" s="9" t="s">
        <v>27788</v>
      </c>
      <c r="D21141" s="9" t="s">
        <v>27794</v>
      </c>
      <c r="E21141" s="10">
        <v>4943097</v>
      </c>
      <c r="F21141" s="4" t="str">
        <f>IF(B21141=B21140,"",B21141)</f>
        <v/>
      </c>
    </row>
    <row r="21142" spans="1:6" ht="15.75" customHeight="1">
      <c r="A21142" s="15" t="s">
        <v>24599</v>
      </c>
      <c r="B21142" s="15" t="s">
        <v>24599</v>
      </c>
      <c r="C21142" s="15" t="s">
        <v>24200</v>
      </c>
      <c r="D21142" s="15" t="s">
        <v>24205</v>
      </c>
      <c r="E21142" s="2">
        <v>2514169</v>
      </c>
      <c r="F21142" s="4" t="str">
        <f>IF(B21142=B21141,"",B21142)</f>
        <v>Marbella</v>
      </c>
    </row>
    <row r="21143" spans="1:6" ht="15.75" customHeight="1">
      <c r="A21143" s="8" t="str">
        <f ca="1">IFERROR(__xludf.DUMMYFUNCTION("GOOGLETRANSLATE(B29063,""en"",""pt"")"),"Marbella")</f>
        <v>Marbella</v>
      </c>
      <c r="B21143" s="11" t="s">
        <v>24599</v>
      </c>
      <c r="C21143" s="11" t="s">
        <v>24200</v>
      </c>
      <c r="D21143" s="11" t="s">
        <v>24205</v>
      </c>
      <c r="E21143" s="10">
        <v>2514169</v>
      </c>
      <c r="F21143" s="4" t="str">
        <f>IF(B21143=B21142,"",B21143)</f>
        <v/>
      </c>
    </row>
    <row r="21144" spans="1:6" ht="15.75" customHeight="1">
      <c r="A21144" s="16" t="s">
        <v>8819</v>
      </c>
      <c r="B21144" s="15" t="s">
        <v>8819</v>
      </c>
      <c r="C21144" s="16" t="s">
        <v>8028</v>
      </c>
      <c r="D21144" s="16" t="s">
        <v>8031</v>
      </c>
      <c r="E21144" s="2">
        <v>2873776</v>
      </c>
      <c r="F21144" s="4" t="str">
        <f>IF(B21144=B21143,"",B21144)</f>
        <v>Marbach am Neckar</v>
      </c>
    </row>
    <row r="21145" spans="1:6" ht="15.75" customHeight="1">
      <c r="A21145" s="8" t="str">
        <f ca="1">IFERROR(__xludf.DUMMYFUNCTION("GOOGLETRANSLATE(B27787,""en"",""pt"")"),"Marbach am Neckar")</f>
        <v>Marbach am Neckar</v>
      </c>
      <c r="B21145" s="11" t="s">
        <v>8819</v>
      </c>
      <c r="C21145" s="11" t="s">
        <v>8028</v>
      </c>
      <c r="D21145" s="11" t="s">
        <v>32013</v>
      </c>
      <c r="E21145" s="10">
        <v>2873776</v>
      </c>
      <c r="F21145" s="4" t="str">
        <f>IF(B21145=B21144,"",B21145)</f>
        <v/>
      </c>
    </row>
    <row r="21146" spans="1:6" ht="15.75" customHeight="1">
      <c r="A21146" s="16" t="s">
        <v>20890</v>
      </c>
      <c r="B21146" s="15" t="s">
        <v>20891</v>
      </c>
      <c r="C21146" s="16" t="s">
        <v>20598</v>
      </c>
      <c r="D21146" s="16" t="s">
        <v>20683</v>
      </c>
      <c r="E21146" s="2">
        <v>1701053</v>
      </c>
      <c r="F21146" s="4" t="str">
        <f>IF(B21146=B21145,"",B21146)</f>
        <v>Marawi City</v>
      </c>
    </row>
    <row r="21147" spans="1:6" ht="15.75" customHeight="1">
      <c r="A21147" s="8" t="str">
        <f ca="1">IFERROR(__xludf.DUMMYFUNCTION("GOOGLETRANSLATE(B38616,""en"",""pt"")"),"Cidade de Marawi")</f>
        <v>Cidade de Marawi</v>
      </c>
      <c r="B21147" s="11" t="s">
        <v>20891</v>
      </c>
      <c r="C21147" s="11" t="s">
        <v>20598</v>
      </c>
      <c r="D21147" s="11" t="s">
        <v>20683</v>
      </c>
      <c r="E21147" s="10">
        <v>1701053</v>
      </c>
      <c r="F21147" s="4" t="str">
        <f>IF(B21147=B21146,"",B21147)</f>
        <v/>
      </c>
    </row>
    <row r="21148" spans="1:6" ht="15.75" customHeight="1">
      <c r="A21148" s="8" t="str">
        <f ca="1">IFERROR(__xludf.DUMMYFUNCTION("GOOGLETRANSLATE(B37251,""en"",""pt"")"),"Maravatío")</f>
        <v>Maravatío</v>
      </c>
      <c r="B21148" s="9" t="s">
        <v>34758</v>
      </c>
      <c r="C21148" s="9" t="s">
        <v>17707</v>
      </c>
      <c r="D21148" s="9" t="s">
        <v>34727</v>
      </c>
      <c r="E21148" s="10">
        <v>3996626</v>
      </c>
      <c r="F21148" s="4" t="str">
        <f>IF(B21148=B21147,"",B21148)</f>
        <v>Maravatío</v>
      </c>
    </row>
    <row r="21149" spans="1:6" ht="15.75" customHeight="1">
      <c r="A21149" s="16" t="s">
        <v>18067</v>
      </c>
      <c r="B21149" s="15" t="s">
        <v>18068</v>
      </c>
      <c r="C21149" s="16" t="s">
        <v>17707</v>
      </c>
      <c r="D21149" s="16" t="s">
        <v>17761</v>
      </c>
      <c r="E21149" s="2">
        <v>3996626</v>
      </c>
      <c r="F21149" s="4" t="str">
        <f>IF(B21149=B21148,"",B21149)</f>
        <v>MaravatÃ­o</v>
      </c>
    </row>
    <row r="21150" spans="1:6" ht="15.75" customHeight="1">
      <c r="A21150" s="15" t="s">
        <v>2864</v>
      </c>
      <c r="B21150" s="15" t="s">
        <v>2864</v>
      </c>
      <c r="C21150" s="15" t="s">
        <v>1905</v>
      </c>
      <c r="D21150" s="15" t="s">
        <v>1951</v>
      </c>
      <c r="E21150" s="2">
        <v>3457817</v>
      </c>
      <c r="F21150" s="4" t="str">
        <f>IF(B21150=B21149,"",B21150)</f>
        <v>Marau</v>
      </c>
    </row>
    <row r="21151" spans="1:6" ht="15.75" customHeight="1">
      <c r="A21151" s="8" t="str">
        <f ca="1">IFERROR(__xludf.DUMMYFUNCTION("GOOGLETRANSLATE(B24834,""en"",""pt"")"),"Marau")</f>
        <v>Marau</v>
      </c>
      <c r="B21151" s="11" t="s">
        <v>2864</v>
      </c>
      <c r="C21151" s="11" t="s">
        <v>1905</v>
      </c>
      <c r="D21151" s="11" t="s">
        <v>1951</v>
      </c>
      <c r="E21151" s="10">
        <v>3457817</v>
      </c>
      <c r="F21151" s="4" t="str">
        <f>IF(B21151=B21150,"",B21151)</f>
        <v/>
      </c>
    </row>
    <row r="21152" spans="1:6" ht="15.75" customHeight="1">
      <c r="A21152" s="16" t="s">
        <v>2862</v>
      </c>
      <c r="B21152" s="15" t="s">
        <v>2863</v>
      </c>
      <c r="C21152" s="16" t="s">
        <v>1905</v>
      </c>
      <c r="D21152" s="16" t="s">
        <v>1949</v>
      </c>
      <c r="E21152" s="2">
        <v>3457819</v>
      </c>
      <c r="F21152" s="4" t="str">
        <f>IF(B21152=B21151,"",B21152)</f>
        <v>Marataizes</v>
      </c>
    </row>
    <row r="21153" spans="1:6" ht="15.75" customHeight="1">
      <c r="A21153" s="8" t="str">
        <f ca="1">IFERROR(__xludf.DUMMYFUNCTION("GOOGLETRANSLATE(B24835,""en"",""pt"")"),"Marataiza")</f>
        <v>Marataiza</v>
      </c>
      <c r="B21153" s="11" t="s">
        <v>2863</v>
      </c>
      <c r="C21153" s="11" t="s">
        <v>1905</v>
      </c>
      <c r="D21153" s="11" t="s">
        <v>31426</v>
      </c>
      <c r="E21153" s="10">
        <v>3457819</v>
      </c>
      <c r="F21153" s="4" t="str">
        <f>IF(B21153=B21152,"",B21153)</f>
        <v/>
      </c>
    </row>
    <row r="21154" spans="1:6" ht="15.75" customHeight="1">
      <c r="A21154" s="16" t="s">
        <v>15241</v>
      </c>
      <c r="B21154" s="15" t="s">
        <v>15241</v>
      </c>
      <c r="C21154" s="16" t="s">
        <v>14891</v>
      </c>
      <c r="D21154" s="16" t="s">
        <v>14896</v>
      </c>
      <c r="E21154" s="2">
        <v>3174021</v>
      </c>
      <c r="F21154" s="4" t="str">
        <f>IF(B21154=B21153,"",B21154)</f>
        <v>Marano di Napoli</v>
      </c>
    </row>
    <row r="21155" spans="1:6" ht="15.75" customHeight="1">
      <c r="A21155" s="8" t="str">
        <f ca="1">IFERROR(__xludf.DUMMYFUNCTION("GOOGLETRANSLATE(B34853,""en"",""pt"")"),"Marano di Napoli")</f>
        <v>Marano di Napoli</v>
      </c>
      <c r="B21155" s="9" t="s">
        <v>15241</v>
      </c>
      <c r="C21155" s="9" t="s">
        <v>14891</v>
      </c>
      <c r="D21155" s="9" t="s">
        <v>14896</v>
      </c>
      <c r="E21155" s="10">
        <v>3174021</v>
      </c>
      <c r="F21155" s="4" t="str">
        <f>IF(B21155=B21154,"",B21155)</f>
        <v/>
      </c>
    </row>
    <row r="21156" spans="1:6" ht="15.75" customHeight="1">
      <c r="A21156" s="15" t="s">
        <v>17528</v>
      </c>
      <c r="B21156" s="15" t="s">
        <v>17528</v>
      </c>
      <c r="C21156" s="15" t="s">
        <v>17432</v>
      </c>
      <c r="D21156" s="15" t="s">
        <v>17465</v>
      </c>
      <c r="E21156" s="2">
        <v>1734715</v>
      </c>
      <c r="F21156" s="4" t="str">
        <f>IF(B21156=B21155,"",B21156)</f>
        <v>Marang</v>
      </c>
    </row>
    <row r="21157" spans="1:6" ht="15.75" customHeight="1">
      <c r="A21157" s="8" t="str">
        <f ca="1">IFERROR(__xludf.DUMMYFUNCTION("GOOGLETRANSLATE(B37455,""en"",""pt"")"),"Marang")</f>
        <v>Marang</v>
      </c>
      <c r="B21157" s="11" t="s">
        <v>17528</v>
      </c>
      <c r="C21157" s="11" t="s">
        <v>17432</v>
      </c>
      <c r="D21157" s="11" t="s">
        <v>17465</v>
      </c>
      <c r="E21157" s="10">
        <v>1734715</v>
      </c>
      <c r="F21157" s="4" t="str">
        <f>IF(B21157=B21156,"",B21157)</f>
        <v/>
      </c>
    </row>
    <row r="21158" spans="1:6" ht="15.75" customHeight="1">
      <c r="A21158" s="15" t="s">
        <v>14459</v>
      </c>
      <c r="B21158" s="15" t="s">
        <v>14459</v>
      </c>
      <c r="C21158" s="15" t="s">
        <v>14240</v>
      </c>
      <c r="D21158" s="15" t="s">
        <v>14241</v>
      </c>
      <c r="E21158" s="2">
        <v>124862</v>
      </c>
      <c r="F21158" s="4" t="str">
        <f>IF(B21158=B21157,"",B21158)</f>
        <v>Marand</v>
      </c>
    </row>
    <row r="21159" spans="1:6" ht="15.75" customHeight="1">
      <c r="A21159" s="8" t="str">
        <f ca="1">IFERROR(__xludf.DUMMYFUNCTION("GOOGLETRANSLATE(B34418,""en"",""pt"")"),"Marand")</f>
        <v>Marand</v>
      </c>
      <c r="B21159" s="11" t="s">
        <v>14459</v>
      </c>
      <c r="C21159" s="11" t="s">
        <v>14240</v>
      </c>
      <c r="D21159" s="11" t="s">
        <v>14241</v>
      </c>
      <c r="E21159" s="10">
        <v>124862</v>
      </c>
      <c r="F21159" s="4" t="str">
        <f>IF(B21159=B21158,"",B21159)</f>
        <v/>
      </c>
    </row>
    <row r="21160" spans="1:6" ht="15.75" customHeight="1">
      <c r="A21160" s="15" t="s">
        <v>29206</v>
      </c>
      <c r="B21160" s="15" t="s">
        <v>29206</v>
      </c>
      <c r="C21160" s="15" t="s">
        <v>27788</v>
      </c>
      <c r="D21160" s="15" t="s">
        <v>27880</v>
      </c>
      <c r="E21160" s="2">
        <v>5303705</v>
      </c>
      <c r="F21160" s="4" t="str">
        <f>IF(B21160=B21159,"",B21160)</f>
        <v>Marana</v>
      </c>
    </row>
    <row r="21161" spans="1:6" ht="15.75" customHeight="1">
      <c r="A21161" s="8" t="str">
        <f ca="1">IFERROR(__xludf.DUMMYFUNCTION("GOOGLETRANSLATE(B44713,""en"",""pt"")"),"Marana")</f>
        <v>Marana</v>
      </c>
      <c r="B21161" s="11" t="s">
        <v>29206</v>
      </c>
      <c r="C21161" s="11" t="s">
        <v>27788</v>
      </c>
      <c r="D21161" s="11" t="s">
        <v>27880</v>
      </c>
      <c r="E21161" s="10">
        <v>5303705</v>
      </c>
      <c r="F21161" s="4" t="str">
        <f>IF(B21161=B21160,"",B21161)</f>
        <v/>
      </c>
    </row>
    <row r="21162" spans="1:6" ht="15.75" customHeight="1">
      <c r="A21162" s="15" t="s">
        <v>24597</v>
      </c>
      <c r="B21162" s="15" t="s">
        <v>24598</v>
      </c>
      <c r="C21162" s="15" t="s">
        <v>24200</v>
      </c>
      <c r="D21162" s="15" t="s">
        <v>24201</v>
      </c>
      <c r="E21162" s="2">
        <v>3117409</v>
      </c>
      <c r="F21162" s="4" t="str">
        <f>IF(B21162=B21161,"",B21162)</f>
        <v>MarÃ­n</v>
      </c>
    </row>
    <row r="21163" spans="1:6" ht="15.75" customHeight="1">
      <c r="A21163" s="15" t="s">
        <v>25674</v>
      </c>
      <c r="B21163" s="15" t="s">
        <v>25674</v>
      </c>
      <c r="C21163" s="15" t="s">
        <v>25560</v>
      </c>
      <c r="D21163" s="15" t="s">
        <v>25586</v>
      </c>
      <c r="E21163" s="2">
        <v>154780</v>
      </c>
      <c r="F21163" s="4" t="str">
        <f>IF(B21163=B21162,"",B21163)</f>
        <v>Maramba</v>
      </c>
    </row>
    <row r="21164" spans="1:6" ht="15.75" customHeight="1">
      <c r="A21164" s="8" t="str">
        <f ca="1">IFERROR(__xludf.DUMMYFUNCTION("GOOGLETRANSLATE(B42361,""en"",""pt"")"),"Maramba")</f>
        <v>Maramba</v>
      </c>
      <c r="B21164" s="11" t="s">
        <v>25674</v>
      </c>
      <c r="C21164" s="11" t="s">
        <v>25560</v>
      </c>
      <c r="D21164" s="11" t="s">
        <v>25586</v>
      </c>
      <c r="E21164" s="10">
        <v>154780</v>
      </c>
      <c r="F21164" s="4" t="str">
        <f>IF(B21164=B21163,"",B21164)</f>
        <v/>
      </c>
    </row>
    <row r="21165" spans="1:6" ht="15.75" customHeight="1">
      <c r="A21165" s="15" t="s">
        <v>20889</v>
      </c>
      <c r="B21165" s="15" t="s">
        <v>20889</v>
      </c>
      <c r="C21165" s="15" t="s">
        <v>20598</v>
      </c>
      <c r="D21165" s="15" t="s">
        <v>20687</v>
      </c>
      <c r="E21165" s="2">
        <v>1701124</v>
      </c>
      <c r="F21165" s="4" t="str">
        <f>IF(B21165=B21164,"",B21165)</f>
        <v>Maramag</v>
      </c>
    </row>
    <row r="21166" spans="1:6" ht="15.75" customHeight="1">
      <c r="A21166" s="8" t="str">
        <f ca="1">IFERROR(__xludf.DUMMYFUNCTION("GOOGLETRANSLATE(B38617,""en"",""pt"")"),"Maramag")</f>
        <v>Maramag</v>
      </c>
      <c r="B21166" s="9" t="s">
        <v>20889</v>
      </c>
      <c r="C21166" s="9" t="s">
        <v>20598</v>
      </c>
      <c r="D21166" s="9" t="s">
        <v>20687</v>
      </c>
      <c r="E21166" s="10">
        <v>1701124</v>
      </c>
      <c r="F21166" s="4" t="str">
        <f>IF(B21166=B21165,"",B21166)</f>
        <v/>
      </c>
    </row>
    <row r="21167" spans="1:6" ht="15.75" customHeight="1">
      <c r="A21167" s="15" t="s">
        <v>2860</v>
      </c>
      <c r="B21167" s="15" t="s">
        <v>2861</v>
      </c>
      <c r="C21167" s="15" t="s">
        <v>1905</v>
      </c>
      <c r="D21167" s="15" t="s">
        <v>1914</v>
      </c>
      <c r="E21167" s="2">
        <v>3457692</v>
      </c>
      <c r="F21167" s="4" t="str">
        <f>IF(B21167=B21166,"",B21167)</f>
        <v>MarÃ­lia</v>
      </c>
    </row>
    <row r="21168" spans="1:6" ht="15.75" customHeight="1">
      <c r="A21168" s="15" t="s">
        <v>16816</v>
      </c>
      <c r="B21168" s="15" t="s">
        <v>16816</v>
      </c>
      <c r="C21168" s="15" t="s">
        <v>16781</v>
      </c>
      <c r="D21168" s="15" t="s">
        <v>16817</v>
      </c>
      <c r="E21168" s="2">
        <v>187725</v>
      </c>
      <c r="F21168" s="4" t="str">
        <f>IF(B21168=B21167,"",B21168)</f>
        <v>Maralal</v>
      </c>
    </row>
    <row r="21169" spans="1:6" ht="15.75" customHeight="1">
      <c r="A21169" s="8" t="str">
        <f ca="1">IFERROR(__xludf.DUMMYFUNCTION("GOOGLETRANSLATE(B35906,""en"",""pt"")"),"Maralal")</f>
        <v>Maralal</v>
      </c>
      <c r="B21169" s="11" t="s">
        <v>16816</v>
      </c>
      <c r="C21169" s="11" t="s">
        <v>16781</v>
      </c>
      <c r="D21169" s="11" t="s">
        <v>16817</v>
      </c>
      <c r="E21169" s="10">
        <v>187725</v>
      </c>
      <c r="F21169" s="4" t="str">
        <f>IF(B21169=B21168,"",B21169)</f>
        <v/>
      </c>
    </row>
    <row r="21170" spans="1:6" ht="15.75" customHeight="1">
      <c r="A21170" s="16" t="s">
        <v>12362</v>
      </c>
      <c r="B21170" s="15" t="s">
        <v>12362</v>
      </c>
      <c r="C21170" s="16" t="s">
        <v>10178</v>
      </c>
      <c r="D21170" s="16" t="s">
        <v>10196</v>
      </c>
      <c r="E21170" s="2">
        <v>1263564</v>
      </c>
      <c r="F21170" s="4" t="str">
        <f>IF(B21170=B21169,"",B21170)</f>
        <v>Marakkanam</v>
      </c>
    </row>
    <row r="21171" spans="1:6" ht="15.75" customHeight="1">
      <c r="A21171" s="8" t="str">
        <f ca="1">IFERROR(__xludf.DUMMYFUNCTION("GOOGLETRANSLATE(B32804,""en"",""pt"")"),"Marakkanam")</f>
        <v>Marakkanam</v>
      </c>
      <c r="B21171" s="9" t="s">
        <v>12362</v>
      </c>
      <c r="C21171" s="9" t="s">
        <v>10178</v>
      </c>
      <c r="D21171" s="9" t="s">
        <v>10196</v>
      </c>
      <c r="E21171" s="10">
        <v>1263564</v>
      </c>
      <c r="F21171" s="4" t="str">
        <f>IF(B21171=B21170,"",B21171)</f>
        <v/>
      </c>
    </row>
    <row r="21172" spans="1:6" ht="15.75" customHeight="1">
      <c r="A21172" s="8" t="str">
        <f ca="1">IFERROR(__xludf.DUMMYFUNCTION("GOOGLETRANSLATE(B32805,""en"",""pt"")"),"Mārahra")</f>
        <v>Mārahra</v>
      </c>
      <c r="B21172" s="11" t="s">
        <v>33396</v>
      </c>
      <c r="C21172" s="11" t="s">
        <v>10178</v>
      </c>
      <c r="D21172" s="11" t="s">
        <v>10193</v>
      </c>
      <c r="E21172" s="10">
        <v>1263567</v>
      </c>
      <c r="F21172" s="4" t="str">
        <f>IF(B21172=B21171,"",B21172)</f>
        <v>Mārahra</v>
      </c>
    </row>
    <row r="21173" spans="1:6" ht="15.75" customHeight="1">
      <c r="A21173" s="16" t="s">
        <v>20888</v>
      </c>
      <c r="B21173" s="15" t="s">
        <v>20888</v>
      </c>
      <c r="C21173" s="16" t="s">
        <v>20598</v>
      </c>
      <c r="D21173" s="16" t="s">
        <v>20608</v>
      </c>
      <c r="E21173" s="2">
        <v>1701149</v>
      </c>
      <c r="F21173" s="4" t="str">
        <f>IF(B21173=B21172,"",B21173)</f>
        <v>Maragondon</v>
      </c>
    </row>
    <row r="21174" spans="1:6" ht="15.75" customHeight="1">
      <c r="A21174" s="8" t="str">
        <f ca="1">IFERROR(__xludf.DUMMYFUNCTION("GOOGLETRANSLATE(B38618,""en"",""pt"")"),"Maragondon")</f>
        <v>Maragondon</v>
      </c>
      <c r="B21174" s="9" t="s">
        <v>20888</v>
      </c>
      <c r="C21174" s="9" t="s">
        <v>20598</v>
      </c>
      <c r="D21174" s="9" t="s">
        <v>20608</v>
      </c>
      <c r="E21174" s="10">
        <v>1701149</v>
      </c>
      <c r="F21174" s="4" t="str">
        <f>IF(B21174=B21173,"",B21174)</f>
        <v/>
      </c>
    </row>
    <row r="21175" spans="1:6" ht="15.75" customHeight="1">
      <c r="A21175" s="16" t="s">
        <v>2859</v>
      </c>
      <c r="B21175" s="15" t="s">
        <v>2859</v>
      </c>
      <c r="C21175" s="16" t="s">
        <v>1905</v>
      </c>
      <c r="D21175" s="16" t="s">
        <v>1947</v>
      </c>
      <c r="E21175" s="2">
        <v>3457850</v>
      </c>
      <c r="F21175" s="4" t="str">
        <f>IF(B21175=B21174,"",B21175)</f>
        <v>Maragogipe</v>
      </c>
    </row>
    <row r="21176" spans="1:6" ht="15.75" customHeight="1">
      <c r="A21176" s="8" t="str">
        <f ca="1">IFERROR(__xludf.DUMMYFUNCTION("GOOGLETRANSLATE(B24836,""en"",""pt"")"),"Maragogipe")</f>
        <v>Maragogipe</v>
      </c>
      <c r="B21176" s="9" t="s">
        <v>2859</v>
      </c>
      <c r="C21176" s="9" t="s">
        <v>1905</v>
      </c>
      <c r="D21176" s="9" t="s">
        <v>1947</v>
      </c>
      <c r="E21176" s="10">
        <v>3457850</v>
      </c>
      <c r="F21176" s="4" t="str">
        <f>IF(B21176=B21175,"",B21176)</f>
        <v/>
      </c>
    </row>
    <row r="21177" spans="1:6" ht="15.75" customHeight="1">
      <c r="A21177" s="15" t="s">
        <v>2858</v>
      </c>
      <c r="B21177" s="15" t="s">
        <v>2858</v>
      </c>
      <c r="C21177" s="15" t="s">
        <v>1905</v>
      </c>
      <c r="D21177" s="15" t="s">
        <v>2015</v>
      </c>
      <c r="E21177" s="2">
        <v>3395458</v>
      </c>
      <c r="F21177" s="4" t="str">
        <f>IF(B21177=B21176,"",B21177)</f>
        <v>Maragogi</v>
      </c>
    </row>
    <row r="21178" spans="1:6" ht="15.75" customHeight="1">
      <c r="A21178" s="8" t="str">
        <f ca="1">IFERROR(__xludf.DUMMYFUNCTION("GOOGLETRANSLATE(B24272,""en"",""pt"")"),"Maragogi")</f>
        <v>Maragogi</v>
      </c>
      <c r="B21178" s="9" t="s">
        <v>2858</v>
      </c>
      <c r="C21178" s="9" t="s">
        <v>1905</v>
      </c>
      <c r="D21178" s="9" t="s">
        <v>2015</v>
      </c>
      <c r="E21178" s="10">
        <v>3395458</v>
      </c>
      <c r="F21178" s="4" t="str">
        <f>IF(B21178=B21177,"",B21178)</f>
        <v/>
      </c>
    </row>
    <row r="21179" spans="1:6" ht="15.75" customHeight="1">
      <c r="A21179" s="15" t="s">
        <v>19267</v>
      </c>
      <c r="B21179" s="15" t="s">
        <v>19267</v>
      </c>
      <c r="C21179" s="15" t="s">
        <v>19259</v>
      </c>
      <c r="D21179" s="15" t="s">
        <v>19267</v>
      </c>
      <c r="E21179" s="2">
        <v>2441291</v>
      </c>
      <c r="F21179" s="4" t="str">
        <f>IF(B21179=B21178,"",B21179)</f>
        <v>Maradi</v>
      </c>
    </row>
    <row r="21180" spans="1:6" ht="15.75" customHeight="1">
      <c r="A21180" s="8" t="str">
        <f ca="1">IFERROR(__xludf.DUMMYFUNCTION("GOOGLETRANSLATE(B37594,""en"",""pt"")"),"Maradi")</f>
        <v>Maradi</v>
      </c>
      <c r="B21180" s="11" t="s">
        <v>19267</v>
      </c>
      <c r="C21180" s="11" t="s">
        <v>19259</v>
      </c>
      <c r="D21180" s="11" t="s">
        <v>19267</v>
      </c>
      <c r="E21180" s="10">
        <v>2441291</v>
      </c>
      <c r="F21180" s="4" t="str">
        <f>IF(B21180=B21179,"",B21180)</f>
        <v/>
      </c>
    </row>
    <row r="21181" spans="1:6" ht="15.75" customHeight="1">
      <c r="A21181" s="16" t="s">
        <v>24596</v>
      </c>
      <c r="B21181" s="15" t="s">
        <v>24596</v>
      </c>
      <c r="C21181" s="16" t="s">
        <v>24200</v>
      </c>
      <c r="D21181" s="16" t="s">
        <v>24205</v>
      </c>
      <c r="E21181" s="2">
        <v>2514176</v>
      </c>
      <c r="F21181" s="4" t="str">
        <f>IF(B21181=B21180,"",B21181)</f>
        <v>Maracena</v>
      </c>
    </row>
    <row r="21182" spans="1:6" ht="15.75" customHeight="1">
      <c r="A21182" s="8" t="str">
        <f ca="1">IFERROR(__xludf.DUMMYFUNCTION("GOOGLETRANSLATE(B29064,""en"",""pt"")"),"Maracena")</f>
        <v>Maracena</v>
      </c>
      <c r="B21182" s="11" t="s">
        <v>24596</v>
      </c>
      <c r="C21182" s="11" t="s">
        <v>24200</v>
      </c>
      <c r="D21182" s="11" t="s">
        <v>24205</v>
      </c>
      <c r="E21182" s="10">
        <v>2514176</v>
      </c>
      <c r="F21182" s="4" t="str">
        <f>IF(B21182=B21181,"",B21182)</f>
        <v/>
      </c>
    </row>
    <row r="21183" spans="1:6" ht="15.75" customHeight="1">
      <c r="A21183" s="15" t="s">
        <v>30727</v>
      </c>
      <c r="B21183" s="15" t="s">
        <v>30727</v>
      </c>
      <c r="C21183" s="15" t="s">
        <v>5923</v>
      </c>
      <c r="D21183" s="15" t="s">
        <v>30652</v>
      </c>
      <c r="E21183" s="2">
        <v>3632998</v>
      </c>
      <c r="F21183" s="4" t="str">
        <f>IF(B21183=B21182,"",B21183)</f>
        <v>Maracay</v>
      </c>
    </row>
    <row r="21184" spans="1:6" ht="15.75" customHeight="1">
      <c r="A21184" s="8" t="str">
        <f ca="1">IFERROR(__xludf.DUMMYFUNCTION("GOOGLETRANSLATE(B45646,""en"",""pt"")"),"Maracay")</f>
        <v>Maracay</v>
      </c>
      <c r="B21184" s="11" t="s">
        <v>30727</v>
      </c>
      <c r="C21184" s="11" t="s">
        <v>5923</v>
      </c>
      <c r="D21184" s="11" t="s">
        <v>30652</v>
      </c>
      <c r="E21184" s="10">
        <v>3632998</v>
      </c>
      <c r="F21184" s="4" t="str">
        <f>IF(B21184=B21183,"",B21184)</f>
        <v/>
      </c>
    </row>
    <row r="21185" spans="1:6" ht="15.75" customHeight="1">
      <c r="A21185" s="8" t="str">
        <f ca="1">IFERROR(__xludf.DUMMYFUNCTION("GOOGLETRANSLATE(B24837,""en"",""pt"")"),"Maracás")</f>
        <v>Maracás</v>
      </c>
      <c r="B21185" s="9" t="s">
        <v>2853</v>
      </c>
      <c r="C21185" s="9" t="s">
        <v>1905</v>
      </c>
      <c r="D21185" s="9" t="s">
        <v>1947</v>
      </c>
      <c r="E21185" s="10">
        <v>3457854</v>
      </c>
      <c r="F21185" s="4" t="str">
        <f>IF(B21185=B21184,"",B21185)</f>
        <v>Maracás</v>
      </c>
    </row>
    <row r="21186" spans="1:6" ht="15.75" customHeight="1">
      <c r="A21186" s="8" t="str">
        <f ca="1">IFERROR(__xludf.DUMMYFUNCTION("GOOGLETRANSLATE(B24273,""en"",""pt"")"),"Maracanaú")</f>
        <v>Maracanaú</v>
      </c>
      <c r="B21186" s="11" t="s">
        <v>31388</v>
      </c>
      <c r="C21186" s="11" t="s">
        <v>1905</v>
      </c>
      <c r="D21186" s="11" t="s">
        <v>31345</v>
      </c>
      <c r="E21186" s="10">
        <v>3395473</v>
      </c>
      <c r="F21186" s="4" t="str">
        <f>IF(B21186=B21185,"",B21186)</f>
        <v>Maracanaú</v>
      </c>
    </row>
    <row r="21187" spans="1:6" ht="15.75" customHeight="1">
      <c r="A21187" s="16" t="s">
        <v>2856</v>
      </c>
      <c r="B21187" s="15" t="s">
        <v>2857</v>
      </c>
      <c r="C21187" s="16" t="s">
        <v>1905</v>
      </c>
      <c r="D21187" s="16" t="s">
        <v>1930</v>
      </c>
      <c r="E21187" s="2">
        <v>3395473</v>
      </c>
      <c r="F21187" s="4" t="str">
        <f>IF(B21187=B21186,"",B21187)</f>
        <v>MaracanaÃº</v>
      </c>
    </row>
    <row r="21188" spans="1:6" ht="15.75" customHeight="1">
      <c r="A21188" s="15" t="s">
        <v>2855</v>
      </c>
      <c r="B21188" s="15" t="s">
        <v>2855</v>
      </c>
      <c r="C21188" s="15" t="s">
        <v>1905</v>
      </c>
      <c r="D21188" s="15" t="s">
        <v>1973</v>
      </c>
      <c r="E21188" s="2">
        <v>3457859</v>
      </c>
      <c r="F21188" s="4" t="str">
        <f>IF(B21188=B21187,"",B21188)</f>
        <v>Maracaju</v>
      </c>
    </row>
    <row r="21189" spans="1:6" ht="15.75" customHeight="1">
      <c r="A21189" s="8" t="str">
        <f ca="1">IFERROR(__xludf.DUMMYFUNCTION("GOOGLETRANSLATE(B24838,""en"",""pt"")"),"Maracaju")</f>
        <v>Maracaju</v>
      </c>
      <c r="B21189" s="11" t="s">
        <v>2855</v>
      </c>
      <c r="C21189" s="11" t="s">
        <v>1905</v>
      </c>
      <c r="D21189" s="11" t="s">
        <v>1973</v>
      </c>
      <c r="E21189" s="10">
        <v>3457859</v>
      </c>
      <c r="F21189" s="4" t="str">
        <f>IF(B21189=B21188,"",B21189)</f>
        <v/>
      </c>
    </row>
    <row r="21190" spans="1:6" ht="15.75" customHeight="1">
      <c r="A21190" s="16" t="s">
        <v>30726</v>
      </c>
      <c r="B21190" s="15" t="s">
        <v>30726</v>
      </c>
      <c r="C21190" s="16" t="s">
        <v>5923</v>
      </c>
      <c r="D21190" s="16" t="s">
        <v>30649</v>
      </c>
      <c r="E21190" s="2">
        <v>3633009</v>
      </c>
      <c r="F21190" s="4" t="str">
        <f>IF(B21190=B21189,"",B21190)</f>
        <v>Maracaibo</v>
      </c>
    </row>
    <row r="21191" spans="1:6" ht="15.75" customHeight="1">
      <c r="A21191" s="8" t="str">
        <f ca="1">IFERROR(__xludf.DUMMYFUNCTION("GOOGLETRANSLATE(B45647,""en"",""pt"")"),"Maracaibo")</f>
        <v>Maracaibo</v>
      </c>
      <c r="B21191" s="11" t="s">
        <v>30726</v>
      </c>
      <c r="C21191" s="11" t="s">
        <v>5923</v>
      </c>
      <c r="D21191" s="11" t="s">
        <v>30649</v>
      </c>
      <c r="E21191" s="10">
        <v>3633009</v>
      </c>
      <c r="F21191" s="4" t="str">
        <f>IF(B21191=B21190,"",B21191)</f>
        <v/>
      </c>
    </row>
    <row r="21192" spans="1:6" ht="15.75" customHeight="1">
      <c r="A21192" s="15" t="s">
        <v>2853</v>
      </c>
      <c r="B21192" s="15" t="s">
        <v>2854</v>
      </c>
      <c r="C21192" s="15" t="s">
        <v>1905</v>
      </c>
      <c r="D21192" s="15" t="s">
        <v>1947</v>
      </c>
      <c r="E21192" s="2">
        <v>3457854</v>
      </c>
      <c r="F21192" s="4" t="str">
        <f>IF(B21192=B21191,"",B21192)</f>
        <v>MaracÃ¡s</v>
      </c>
    </row>
    <row r="21193" spans="1:6" ht="15.75" customHeight="1">
      <c r="A21193" s="16" t="s">
        <v>26075</v>
      </c>
      <c r="B21193" s="15" t="s">
        <v>26075</v>
      </c>
      <c r="C21193" s="16" t="s">
        <v>26070</v>
      </c>
      <c r="D21193" s="16" t="s">
        <v>26076</v>
      </c>
      <c r="E21193" s="2">
        <v>3574194</v>
      </c>
      <c r="F21193" s="4" t="str">
        <f>IF(B21193=B21192,"",B21193)</f>
        <v>Marabella</v>
      </c>
    </row>
    <row r="21194" spans="1:6" ht="15.75" customHeight="1">
      <c r="A21194" s="8" t="str">
        <f ca="1">IFERROR(__xludf.DUMMYFUNCTION("GOOGLETRANSLATE(B42255,""en"",""pt"")"),"Marabella")</f>
        <v>Marabella</v>
      </c>
      <c r="B21194" s="9" t="s">
        <v>26075</v>
      </c>
      <c r="C21194" s="9" t="s">
        <v>26070</v>
      </c>
      <c r="D21194" s="9" t="s">
        <v>26076</v>
      </c>
      <c r="E21194" s="10">
        <v>3574194</v>
      </c>
      <c r="F21194" s="4" t="str">
        <f>IF(B21194=B21193,"",B21194)</f>
        <v/>
      </c>
    </row>
    <row r="21195" spans="1:6" ht="15.75" customHeight="1">
      <c r="A21195" s="15" t="s">
        <v>2851</v>
      </c>
      <c r="B21195" s="15" t="s">
        <v>2852</v>
      </c>
      <c r="C21195" s="15" t="s">
        <v>1905</v>
      </c>
      <c r="D21195" s="15" t="s">
        <v>1906</v>
      </c>
      <c r="E21195" s="2">
        <v>3395503</v>
      </c>
      <c r="F21195" s="4" t="str">
        <f>IF(B21195=B21194,"",B21195)</f>
        <v>MarabÃ¡</v>
      </c>
    </row>
    <row r="21196" spans="1:6" ht="15.75" customHeight="1">
      <c r="A21196" s="8" t="str">
        <f ca="1">IFERROR(__xludf.DUMMYFUNCTION("GOOGLETRANSLATE(B24274,""en"",""pt"")"),"Marabá")</f>
        <v>Marabá</v>
      </c>
      <c r="B21196" s="9" t="s">
        <v>2851</v>
      </c>
      <c r="C21196" s="9" t="s">
        <v>1905</v>
      </c>
      <c r="D21196" s="9" t="s">
        <v>31342</v>
      </c>
      <c r="E21196" s="10">
        <v>3395503</v>
      </c>
      <c r="F21196" s="4" t="str">
        <f>IF(B21196=B21195,"",B21196)</f>
        <v>Marabá</v>
      </c>
    </row>
    <row r="21197" spans="1:6" ht="15.75" customHeight="1">
      <c r="A21197" s="16" t="s">
        <v>5520</v>
      </c>
      <c r="B21197" s="15" t="s">
        <v>5521</v>
      </c>
      <c r="C21197" s="16" t="s">
        <v>5348</v>
      </c>
      <c r="D21197" s="16" t="s">
        <v>5373</v>
      </c>
      <c r="E21197" s="2">
        <v>3675287</v>
      </c>
      <c r="F21197" s="4" t="str">
        <f>IF(B21197=B21196,"",B21197)</f>
        <v>MarÃ­a la Baja</v>
      </c>
    </row>
    <row r="21198" spans="1:6" ht="15.75" customHeight="1">
      <c r="A21198" s="15" t="s">
        <v>22716</v>
      </c>
      <c r="B21198" s="15" t="s">
        <v>22717</v>
      </c>
      <c r="C21198" s="15" t="s">
        <v>22070</v>
      </c>
      <c r="D21198" s="15" t="s">
        <v>22127</v>
      </c>
      <c r="E21198" s="2">
        <v>529237</v>
      </c>
      <c r="F21198" s="4" t="str">
        <f>IF(B21198=B21197,"",B21198)</f>
        <v>Marâ€™ino</v>
      </c>
    </row>
    <row r="21199" spans="1:6" ht="15.75" customHeight="1">
      <c r="A21199" s="16" t="s">
        <v>22714</v>
      </c>
      <c r="B21199" s="15" t="s">
        <v>22715</v>
      </c>
      <c r="C21199" s="16" t="s">
        <v>22070</v>
      </c>
      <c r="D21199" s="16" t="s">
        <v>22127</v>
      </c>
      <c r="E21199" s="2">
        <v>529334</v>
      </c>
      <c r="F21199" s="4" t="str">
        <f>IF(B21199=B21198,"",B21199)</f>
        <v>Marâ€™ina Roshcha</v>
      </c>
    </row>
    <row r="21200" spans="1:6" ht="15.75" customHeight="1">
      <c r="A21200" s="16" t="s">
        <v>1484</v>
      </c>
      <c r="B21200" s="15" t="s">
        <v>1485</v>
      </c>
      <c r="C21200" s="16" t="s">
        <v>1453</v>
      </c>
      <c r="D21200" s="16" t="s">
        <v>1463</v>
      </c>
      <c r="E21200" s="2">
        <v>625409</v>
      </c>
      <c r="F21200" s="4" t="str">
        <f>IF(B21200=B21199,"",B21200)</f>
        <v>Marâ€™â€™ina Horka</v>
      </c>
    </row>
    <row r="21201" spans="1:6" ht="15.75" customHeight="1">
      <c r="A21201" s="8" t="str">
        <f ca="1">IFERROR(__xludf.DUMMYFUNCTION("GOOGLETRANSLATE(B40333,""en"",""pt"")"),"Mar'ino")</f>
        <v>Mar'ino</v>
      </c>
      <c r="B21201" s="11" t="s">
        <v>35491</v>
      </c>
      <c r="C21201" s="11" t="s">
        <v>22070</v>
      </c>
      <c r="D21201" s="11" t="s">
        <v>22127</v>
      </c>
      <c r="E21201" s="10">
        <v>529237</v>
      </c>
      <c r="F21201" s="4" t="str">
        <f>IF(B21201=B21200,"",B21201)</f>
        <v>Mar’ino</v>
      </c>
    </row>
    <row r="21202" spans="1:6" ht="15.75" customHeight="1">
      <c r="A21202" s="8" t="str">
        <f ca="1">IFERROR(__xludf.DUMMYFUNCTION("GOOGLETRANSLATE(B40334,""en"",""pt"")"),"Mar'ina Roshcha")</f>
        <v>Mar'ina Roshcha</v>
      </c>
      <c r="B21202" s="9" t="s">
        <v>35492</v>
      </c>
      <c r="C21202" s="9" t="s">
        <v>22070</v>
      </c>
      <c r="D21202" s="9" t="s">
        <v>22127</v>
      </c>
      <c r="E21202" s="10">
        <v>529334</v>
      </c>
      <c r="F21202" s="4" t="str">
        <f>IF(B21202=B21201,"",B21202)</f>
        <v>Mar’ina Roshcha</v>
      </c>
    </row>
    <row r="21203" spans="1:6" ht="15.75" customHeight="1">
      <c r="A21203" s="8" t="str">
        <f ca="1">IFERROR(__xludf.DUMMYFUNCTION("GOOGLETRANSLATE(B25394,""en"",""pt"")"),"Mar''ina Horka")</f>
        <v>Mar''ina Horka</v>
      </c>
      <c r="B21203" s="11" t="s">
        <v>31750</v>
      </c>
      <c r="C21203" s="11" t="s">
        <v>1453</v>
      </c>
      <c r="D21203" s="11" t="s">
        <v>1463</v>
      </c>
      <c r="E21203" s="10">
        <v>625409</v>
      </c>
      <c r="F21203" s="4" t="str">
        <f>IF(B21203=B21202,"",B21203)</f>
        <v>Mar’’ina Horka</v>
      </c>
    </row>
    <row r="21204" spans="1:6" ht="15.75" customHeight="1">
      <c r="A21204" s="16" t="s">
        <v>704</v>
      </c>
      <c r="B21204" s="15" t="s">
        <v>704</v>
      </c>
      <c r="C21204" s="16" t="s">
        <v>558</v>
      </c>
      <c r="D21204" s="16" t="s">
        <v>562</v>
      </c>
      <c r="E21204" s="2">
        <v>3430863</v>
      </c>
      <c r="F21204" s="4" t="str">
        <f>IF(B21204=B21203,"",B21204)</f>
        <v>Mar del Plata</v>
      </c>
    </row>
    <row r="21205" spans="1:6" ht="15.75" customHeight="1">
      <c r="A21205" s="8" t="str">
        <f ca="1">IFERROR(__xludf.DUMMYFUNCTION("GOOGLETRANSLATE(B23203,""en"",""pt"")"),"Mar del Plata")</f>
        <v>Mar del Plata</v>
      </c>
      <c r="B21205" s="11" t="s">
        <v>704</v>
      </c>
      <c r="C21205" s="11" t="s">
        <v>558</v>
      </c>
      <c r="D21205" s="11" t="s">
        <v>562</v>
      </c>
      <c r="E21205" s="10">
        <v>3430863</v>
      </c>
      <c r="F21205" s="4" t="str">
        <f>IF(B21205=B21204,"",B21205)</f>
        <v/>
      </c>
    </row>
    <row r="21206" spans="1:6" ht="15.75" customHeight="1">
      <c r="A21206" s="16" t="s">
        <v>17042</v>
      </c>
      <c r="B21206" s="15" t="s">
        <v>17042</v>
      </c>
      <c r="C21206" s="16" t="s">
        <v>17039</v>
      </c>
      <c r="D21206" s="16" t="s">
        <v>17040</v>
      </c>
      <c r="E21206" s="2">
        <v>932521</v>
      </c>
      <c r="F21206" s="4" t="str">
        <f>IF(B21206=B21205,"",B21206)</f>
        <v>Maputsoe</v>
      </c>
    </row>
    <row r="21207" spans="1:6" ht="15.75" customHeight="1">
      <c r="A21207" s="8" t="str">
        <f ca="1">IFERROR(__xludf.DUMMYFUNCTION("GOOGLETRANSLATE(B36356,""en"",""pt"")"),"Maputsoe")</f>
        <v>Maputsoe</v>
      </c>
      <c r="B21207" s="11" t="s">
        <v>17042</v>
      </c>
      <c r="C21207" s="11" t="s">
        <v>17039</v>
      </c>
      <c r="D21207" s="11" t="s">
        <v>17040</v>
      </c>
      <c r="E21207" s="10">
        <v>932521</v>
      </c>
      <c r="F21207" s="4" t="str">
        <f>IF(B21207=B21206,"",B21207)</f>
        <v/>
      </c>
    </row>
    <row r="21208" spans="1:6" ht="15.75" customHeight="1">
      <c r="A21208" s="15" t="s">
        <v>18677</v>
      </c>
      <c r="B21208" s="15" t="s">
        <v>18677</v>
      </c>
      <c r="C21208" s="15" t="s">
        <v>18655</v>
      </c>
      <c r="D21208" s="15" t="s">
        <v>18678</v>
      </c>
      <c r="E21208" s="2">
        <v>1040652</v>
      </c>
      <c r="F21208" s="4" t="str">
        <f>IF(B21208=B21207,"",B21208)</f>
        <v>Maputo</v>
      </c>
    </row>
    <row r="21209" spans="1:6" ht="15.75" customHeight="1">
      <c r="A21209" s="8" t="str">
        <f ca="1">IFERROR(__xludf.DUMMYFUNCTION("GOOGLETRANSLATE(B37554,""en"",""pt"")"),"Maputo")</f>
        <v>Maputo</v>
      </c>
      <c r="B21209" s="11" t="s">
        <v>18677</v>
      </c>
      <c r="C21209" s="11" t="s">
        <v>18655</v>
      </c>
      <c r="D21209" s="11" t="s">
        <v>18678</v>
      </c>
      <c r="E21209" s="10">
        <v>1040652</v>
      </c>
      <c r="F21209" s="4" t="str">
        <f>IF(B21209=B21208,"",B21209)</f>
        <v/>
      </c>
    </row>
    <row r="21210" spans="1:6" ht="15.75" customHeight="1">
      <c r="A21210" s="8" t="str">
        <f ca="1">IFERROR(__xludf.DUMMYFUNCTION("GOOGLETRANSLATE(B32806,""en"",""pt"")"),"Māpuca")</f>
        <v>Māpuca</v>
      </c>
      <c r="B21210" s="11" t="s">
        <v>33397</v>
      </c>
      <c r="C21210" s="11" t="s">
        <v>10178</v>
      </c>
      <c r="D21210" s="11" t="s">
        <v>10856</v>
      </c>
      <c r="E21210" s="10">
        <v>1263580</v>
      </c>
      <c r="F21210" s="4" t="str">
        <f>IF(B21210=B21209,"",B21210)</f>
        <v>Māpuca</v>
      </c>
    </row>
    <row r="21211" spans="1:6" ht="15.75" customHeight="1">
      <c r="A21211" s="16" t="s">
        <v>25672</v>
      </c>
      <c r="B21211" s="15" t="s">
        <v>25673</v>
      </c>
      <c r="C21211" s="16" t="s">
        <v>25560</v>
      </c>
      <c r="D21211" s="16" t="s">
        <v>25636</v>
      </c>
      <c r="E21211" s="2">
        <v>878073</v>
      </c>
      <c r="F21211" s="4" t="str">
        <f>IF(B21211=B21210,"",B21211)</f>
        <v>Maposeni</v>
      </c>
    </row>
    <row r="21212" spans="1:6" ht="15.75" customHeight="1">
      <c r="A21212" s="8" t="str">
        <f ca="1">IFERROR(__xludf.DUMMYFUNCTION("GOOGLETRANSLATE(B42459,""en"",""pt"")"),"MAPOSENI")</f>
        <v>MAPOSENI</v>
      </c>
      <c r="B21212" s="9" t="s">
        <v>25673</v>
      </c>
      <c r="C21212" s="9" t="s">
        <v>25560</v>
      </c>
      <c r="D21212" s="9" t="s">
        <v>25636</v>
      </c>
      <c r="E21212" s="10">
        <v>878073</v>
      </c>
      <c r="F21212" s="4" t="str">
        <f>IF(B21212=B21211,"",B21212)</f>
        <v/>
      </c>
    </row>
    <row r="21213" spans="1:6" ht="15.75" customHeight="1">
      <c r="A21213" s="16" t="s">
        <v>29205</v>
      </c>
      <c r="B21213" s="15" t="s">
        <v>29205</v>
      </c>
      <c r="C21213" s="16" t="s">
        <v>27788</v>
      </c>
      <c r="D21213" s="16" t="s">
        <v>27824</v>
      </c>
      <c r="E21213" s="2">
        <v>5036588</v>
      </c>
      <c r="F21213" s="4" t="str">
        <f>IF(B21213=B21212,"",B21213)</f>
        <v>Maplewood</v>
      </c>
    </row>
    <row r="21214" spans="1:6" ht="15.75" customHeight="1">
      <c r="A21214" s="16" t="s">
        <v>29205</v>
      </c>
      <c r="B21214" s="15" t="s">
        <v>29205</v>
      </c>
      <c r="C21214" s="16" t="s">
        <v>27788</v>
      </c>
      <c r="D21214" s="16" t="s">
        <v>27905</v>
      </c>
      <c r="E21214" s="2">
        <v>5100854</v>
      </c>
      <c r="F21214" s="4" t="str">
        <f>IF(B21214=B21213,"",B21214)</f>
        <v/>
      </c>
    </row>
    <row r="21215" spans="1:6" ht="15.75" customHeight="1">
      <c r="A21215" s="8" t="str">
        <f ca="1">IFERROR(__xludf.DUMMYFUNCTION("GOOGLETRANSLATE(B44175,""en"",""pt"")"),"Maplewood")</f>
        <v>Maplewood</v>
      </c>
      <c r="B21215" s="11" t="s">
        <v>29205</v>
      </c>
      <c r="C21215" s="11" t="s">
        <v>27788</v>
      </c>
      <c r="D21215" s="11" t="s">
        <v>27824</v>
      </c>
      <c r="E21215" s="10">
        <v>5036588</v>
      </c>
      <c r="F21215" s="4" t="str">
        <f>IF(B21215=B21214,"",B21215)</f>
        <v/>
      </c>
    </row>
    <row r="21216" spans="1:6" ht="15.75" customHeight="1">
      <c r="A21216" s="8" t="str">
        <f ca="1">IFERROR(__xludf.DUMMYFUNCTION("GOOGLETRANSLATE(B44281,""en"",""pt"")"),"Maplewood")</f>
        <v>Maplewood</v>
      </c>
      <c r="B21216" s="9" t="s">
        <v>29205</v>
      </c>
      <c r="C21216" s="9" t="s">
        <v>27788</v>
      </c>
      <c r="D21216" s="9" t="s">
        <v>27905</v>
      </c>
      <c r="E21216" s="10">
        <v>5100854</v>
      </c>
      <c r="F21216" s="4" t="str">
        <f>IF(B21216=B21215,"",B21216)</f>
        <v/>
      </c>
    </row>
    <row r="21217" spans="1:6" ht="15.75" customHeight="1">
      <c r="A21217" s="16" t="s">
        <v>29204</v>
      </c>
      <c r="B21217" s="15" t="s">
        <v>29204</v>
      </c>
      <c r="C21217" s="16" t="s">
        <v>27788</v>
      </c>
      <c r="D21217" s="16" t="s">
        <v>27733</v>
      </c>
      <c r="E21217" s="2">
        <v>5802340</v>
      </c>
      <c r="F21217" s="4" t="str">
        <f>IF(B21217=B21216,"",B21217)</f>
        <v>Maple Valley</v>
      </c>
    </row>
    <row r="21218" spans="1:6" ht="15.75" customHeight="1">
      <c r="A21218" s="8" t="str">
        <f ca="1">IFERROR(__xludf.DUMMYFUNCTION("GOOGLETRANSLATE(B45348,""en"",""pt"")"),"Maple Valley")</f>
        <v>Maple Valley</v>
      </c>
      <c r="B21218" s="9" t="s">
        <v>29204</v>
      </c>
      <c r="C21218" s="9" t="s">
        <v>27788</v>
      </c>
      <c r="D21218" s="9" t="s">
        <v>27733</v>
      </c>
      <c r="E21218" s="10">
        <v>5802340</v>
      </c>
      <c r="F21218" s="4" t="str">
        <f>IF(B21218=B21217,"",B21218)</f>
        <v/>
      </c>
    </row>
    <row r="21219" spans="1:6" ht="15.75" customHeight="1">
      <c r="A21219" s="16" t="s">
        <v>29203</v>
      </c>
      <c r="B21219" s="15" t="s">
        <v>29203</v>
      </c>
      <c r="C21219" s="16" t="s">
        <v>27788</v>
      </c>
      <c r="D21219" s="16" t="s">
        <v>27905</v>
      </c>
      <c r="E21219" s="2">
        <v>4502901</v>
      </c>
      <c r="F21219" s="4" t="str">
        <f>IF(B21219=B21218,"",B21219)</f>
        <v>Maple Shade</v>
      </c>
    </row>
    <row r="21220" spans="1:6" ht="15.75" customHeight="1">
      <c r="A21220" s="8" t="str">
        <f ca="1">IFERROR(__xludf.DUMMYFUNCTION("GOOGLETRANSLATE(B43493,""en"",""pt"")"),"Maple Shade")</f>
        <v>Maple Shade</v>
      </c>
      <c r="B21220" s="9" t="s">
        <v>29203</v>
      </c>
      <c r="C21220" s="9" t="s">
        <v>27788</v>
      </c>
      <c r="D21220" s="9" t="s">
        <v>27905</v>
      </c>
      <c r="E21220" s="10">
        <v>4502901</v>
      </c>
      <c r="F21220" s="4" t="str">
        <f>IF(B21220=B21219,"",B21220)</f>
        <v/>
      </c>
    </row>
    <row r="21221" spans="1:6" ht="15.75" customHeight="1">
      <c r="A21221" s="16" t="s">
        <v>4094</v>
      </c>
      <c r="B21221" s="15" t="s">
        <v>4094</v>
      </c>
      <c r="C21221" s="16" t="s">
        <v>3975</v>
      </c>
      <c r="D21221" s="16" t="s">
        <v>3976</v>
      </c>
      <c r="E21221" s="2">
        <v>6065686</v>
      </c>
      <c r="F21221" s="4" t="str">
        <f>IF(B21221=B21220,"",B21221)</f>
        <v>Maple Ridge</v>
      </c>
    </row>
    <row r="21222" spans="1:6" ht="15.75" customHeight="1">
      <c r="A21222" s="8" t="str">
        <f ca="1">IFERROR(__xludf.DUMMYFUNCTION("GOOGLETRANSLATE(B25507,""en"",""pt"")"),"Maple Ridge")</f>
        <v>Maple Ridge</v>
      </c>
      <c r="B21222" s="9" t="s">
        <v>4094</v>
      </c>
      <c r="C21222" s="9" t="s">
        <v>3975</v>
      </c>
      <c r="D21222" s="9" t="s">
        <v>3976</v>
      </c>
      <c r="E21222" s="10">
        <v>6065686</v>
      </c>
      <c r="F21222" s="4" t="str">
        <f>IF(B21222=B21221,"",B21222)</f>
        <v/>
      </c>
    </row>
    <row r="21223" spans="1:6" ht="15.75" customHeight="1">
      <c r="A21223" s="16" t="s">
        <v>29201</v>
      </c>
      <c r="B21223" s="15" t="s">
        <v>29202</v>
      </c>
      <c r="C21223" s="16" t="s">
        <v>27788</v>
      </c>
      <c r="D21223" s="16" t="s">
        <v>27813</v>
      </c>
      <c r="E21223" s="2">
        <v>5161803</v>
      </c>
      <c r="F21223" s="4" t="str">
        <f>IF(B21223=B21222,"",B21223)</f>
        <v>Maple Heights</v>
      </c>
    </row>
    <row r="21224" spans="1:6" ht="15.75" customHeight="1">
      <c r="A21224" s="8" t="str">
        <f ca="1">IFERROR(__xludf.DUMMYFUNCTION("GOOGLETRANSLATE(B44514,""en"",""pt"")"),"Alturas de bordo")</f>
        <v>Alturas de bordo</v>
      </c>
      <c r="B21224" s="9" t="s">
        <v>29202</v>
      </c>
      <c r="C21224" s="9" t="s">
        <v>27788</v>
      </c>
      <c r="D21224" s="9" t="s">
        <v>27813</v>
      </c>
      <c r="E21224" s="10">
        <v>5161803</v>
      </c>
      <c r="F21224" s="4" t="str">
        <f>IF(B21224=B21223,"",B21224)</f>
        <v/>
      </c>
    </row>
    <row r="21225" spans="1:6" ht="15.75" customHeight="1">
      <c r="A21225" s="16" t="s">
        <v>29200</v>
      </c>
      <c r="B21225" s="15" t="s">
        <v>29200</v>
      </c>
      <c r="C21225" s="16" t="s">
        <v>27788</v>
      </c>
      <c r="D21225" s="16" t="s">
        <v>27824</v>
      </c>
      <c r="E21225" s="2">
        <v>5036493</v>
      </c>
      <c r="F21225" s="4" t="str">
        <f>IF(B21225=B21224,"",B21225)</f>
        <v>Maple Grove</v>
      </c>
    </row>
    <row r="21226" spans="1:6" ht="15.75" customHeight="1">
      <c r="A21226" s="8" t="str">
        <f ca="1">IFERROR(__xludf.DUMMYFUNCTION("GOOGLETRANSLATE(B44174,""en"",""pt"")"),"Maple Grove")</f>
        <v>Maple Grove</v>
      </c>
      <c r="B21226" s="9" t="s">
        <v>29200</v>
      </c>
      <c r="C21226" s="9" t="s">
        <v>27788</v>
      </c>
      <c r="D21226" s="9" t="s">
        <v>27824</v>
      </c>
      <c r="E21226" s="10">
        <v>5036493</v>
      </c>
      <c r="F21226" s="4" t="str">
        <f>IF(B21226=B21225,"",B21226)</f>
        <v/>
      </c>
    </row>
    <row r="21227" spans="1:6" ht="15.75" customHeight="1">
      <c r="A21227" s="16" t="s">
        <v>18065</v>
      </c>
      <c r="B21227" s="15" t="s">
        <v>18066</v>
      </c>
      <c r="C21227" s="16" t="s">
        <v>17707</v>
      </c>
      <c r="D21227" s="16" t="s">
        <v>17770</v>
      </c>
      <c r="E21227" s="2">
        <v>3523590</v>
      </c>
      <c r="F21227" s="4" t="str">
        <f>IF(B21227=B21226,"",B21227)</f>
        <v>Mapastepec</v>
      </c>
    </row>
    <row r="21228" spans="1:6" ht="15.75" customHeight="1">
      <c r="A21228" s="8" t="str">
        <f ca="1">IFERROR(__xludf.DUMMYFUNCTION("GOOGLETRANSLATE(B36987,""en"",""pt"")"),"MAPASTEPEC")</f>
        <v>MAPASTEPEC</v>
      </c>
      <c r="B21228" s="9" t="s">
        <v>18066</v>
      </c>
      <c r="C21228" s="9" t="s">
        <v>17707</v>
      </c>
      <c r="D21228" s="9" t="s">
        <v>17770</v>
      </c>
      <c r="E21228" s="10">
        <v>3523590</v>
      </c>
      <c r="F21228" s="4" t="str">
        <f>IF(B21228=B21227,"",B21228)</f>
        <v/>
      </c>
    </row>
    <row r="21229" spans="1:6" ht="15.75" customHeight="1">
      <c r="A21229" s="8" t="str">
        <f ca="1">IFERROR(__xludf.DUMMYFUNCTION("GOOGLETRANSLATE(B29071,""en"",""pt"")"),"Maó")</f>
        <v>Maó</v>
      </c>
      <c r="B21229" s="11" t="s">
        <v>32372</v>
      </c>
      <c r="C21229" s="11" t="s">
        <v>24200</v>
      </c>
      <c r="D21229" s="11" t="s">
        <v>24236</v>
      </c>
      <c r="E21229" s="10">
        <v>2514301</v>
      </c>
      <c r="F21229" s="4" t="str">
        <f>IF(B21229=B21228,"",B21229)</f>
        <v>Maó</v>
      </c>
    </row>
    <row r="21230" spans="1:6" ht="15.75" customHeight="1">
      <c r="A21230" s="15" t="s">
        <v>4336</v>
      </c>
      <c r="B21230" s="15" t="s">
        <v>4336</v>
      </c>
      <c r="C21230" s="15" t="s">
        <v>4305</v>
      </c>
      <c r="D21230" s="15" t="s">
        <v>4337</v>
      </c>
      <c r="E21230" s="2">
        <v>2428394</v>
      </c>
      <c r="F21230" s="4" t="str">
        <f>IF(B21230=B21229,"",B21230)</f>
        <v>Mao</v>
      </c>
    </row>
    <row r="21231" spans="1:6" ht="15.75" customHeight="1">
      <c r="A21231" s="15" t="s">
        <v>4336</v>
      </c>
      <c r="B21231" s="15" t="s">
        <v>4336</v>
      </c>
      <c r="C21231" s="15" t="s">
        <v>6303</v>
      </c>
      <c r="D21231" s="15" t="s">
        <v>6325</v>
      </c>
      <c r="E21231" s="2">
        <v>3496831</v>
      </c>
      <c r="F21231" s="4" t="str">
        <f>IF(B21231=B21230,"",B21231)</f>
        <v/>
      </c>
    </row>
    <row r="21232" spans="1:6" ht="15.75" customHeight="1">
      <c r="A21232" s="8" t="str">
        <f ca="1">IFERROR(__xludf.DUMMYFUNCTION("GOOGLETRANSLATE(B28479,""en"",""pt"")"),"Mao")</f>
        <v>Mao</v>
      </c>
      <c r="B21232" s="11" t="s">
        <v>4336</v>
      </c>
      <c r="C21232" s="11" t="s">
        <v>6303</v>
      </c>
      <c r="D21232" s="11" t="s">
        <v>6325</v>
      </c>
      <c r="E21232" s="10">
        <v>3496831</v>
      </c>
      <c r="F21232" s="4" t="str">
        <f>IF(B21232=B21231,"",B21232)</f>
        <v/>
      </c>
    </row>
    <row r="21233" spans="1:6" ht="15.75" customHeight="1">
      <c r="A21233" s="8" t="str">
        <f ca="1">IFERROR(__xludf.DUMMYFUNCTION("GOOGLETRANSLATE(B41482,""en"",""pt"")"),"Mao")</f>
        <v>Mao</v>
      </c>
      <c r="B21233" s="9" t="s">
        <v>4336</v>
      </c>
      <c r="C21233" s="9" t="s">
        <v>4305</v>
      </c>
      <c r="D21233" s="9" t="s">
        <v>4337</v>
      </c>
      <c r="E21233" s="10">
        <v>2428394</v>
      </c>
      <c r="F21233" s="4" t="str">
        <f>IF(B21233=B21232,"",B21233)</f>
        <v/>
      </c>
    </row>
    <row r="21234" spans="1:6" ht="15.75" customHeight="1">
      <c r="A21234" s="15" t="s">
        <v>25073</v>
      </c>
      <c r="B21234" s="15" t="s">
        <v>25073</v>
      </c>
      <c r="C21234" s="15" t="s">
        <v>25071</v>
      </c>
      <c r="D21234" s="15" t="s">
        <v>25073</v>
      </c>
      <c r="E21234" s="2">
        <v>934995</v>
      </c>
      <c r="F21234" s="4" t="str">
        <f>IF(B21234=B21233,"",B21234)</f>
        <v>Manzini</v>
      </c>
    </row>
    <row r="21235" spans="1:6" ht="15.75" customHeight="1">
      <c r="A21235" s="8" t="str">
        <f ca="1">IFERROR(__xludf.DUMMYFUNCTION("GOOGLETRANSLATE(B41466,""en"",""pt"")"),"Manzini")</f>
        <v>Manzini</v>
      </c>
      <c r="B21235" s="11" t="s">
        <v>25073</v>
      </c>
      <c r="C21235" s="11" t="s">
        <v>25071</v>
      </c>
      <c r="D21235" s="11" t="s">
        <v>25073</v>
      </c>
      <c r="E21235" s="10">
        <v>934995</v>
      </c>
      <c r="F21235" s="4" t="str">
        <f>IF(B21235=B21234,"",B21235)</f>
        <v/>
      </c>
    </row>
    <row r="21236" spans="1:6" ht="15.75" customHeight="1">
      <c r="A21236" s="16" t="s">
        <v>4938</v>
      </c>
      <c r="B21236" s="15" t="s">
        <v>4938</v>
      </c>
      <c r="C21236" s="16" t="s">
        <v>4487</v>
      </c>
      <c r="D21236" s="16" t="s">
        <v>4533</v>
      </c>
      <c r="E21236" s="2">
        <v>2035836</v>
      </c>
      <c r="F21236" s="4" t="str">
        <f>IF(B21236=B21235,"",B21236)</f>
        <v>Manzhouli</v>
      </c>
    </row>
    <row r="21237" spans="1:6" ht="15.75" customHeight="1">
      <c r="A21237" s="8" t="str">
        <f ca="1">IFERROR(__xludf.DUMMYFUNCTION("GOOGLETRANSLATE(B26721,""en"",""pt"")"),"Manzhouli")</f>
        <v>Manzhouli</v>
      </c>
      <c r="B21237" s="11" t="s">
        <v>4938</v>
      </c>
      <c r="C21237" s="11" t="s">
        <v>4487</v>
      </c>
      <c r="D21237" s="11" t="s">
        <v>4533</v>
      </c>
      <c r="E21237" s="10">
        <v>2035836</v>
      </c>
      <c r="F21237" s="4" t="str">
        <f>IF(B21237=B21236,"",B21237)</f>
        <v/>
      </c>
    </row>
    <row r="21238" spans="1:6" ht="15.75" customHeight="1">
      <c r="A21238" s="16" t="s">
        <v>5872</v>
      </c>
      <c r="B21238" s="15" t="s">
        <v>5872</v>
      </c>
      <c r="C21238" s="16" t="s">
        <v>5764</v>
      </c>
      <c r="D21238" s="16" t="s">
        <v>5788</v>
      </c>
      <c r="E21238" s="2">
        <v>3547867</v>
      </c>
      <c r="F21238" s="4" t="str">
        <f>IF(B21238=B21237,"",B21238)</f>
        <v>Manzanillo</v>
      </c>
    </row>
    <row r="21239" spans="1:6" ht="15.75" customHeight="1">
      <c r="A21239" s="16" t="s">
        <v>5872</v>
      </c>
      <c r="B21239" s="15" t="s">
        <v>5872</v>
      </c>
      <c r="C21239" s="16" t="s">
        <v>17707</v>
      </c>
      <c r="D21239" s="16" t="s">
        <v>5676</v>
      </c>
      <c r="E21239" s="2">
        <v>3996663</v>
      </c>
      <c r="F21239" s="4" t="str">
        <f>IF(B21239=B21238,"",B21239)</f>
        <v/>
      </c>
    </row>
    <row r="21240" spans="1:6" ht="15.75" customHeight="1">
      <c r="A21240" s="16" t="s">
        <v>5872</v>
      </c>
      <c r="B21240" s="15" t="s">
        <v>5872</v>
      </c>
      <c r="C21240" s="16" t="s">
        <v>17707</v>
      </c>
      <c r="D21240" s="16" t="s">
        <v>5676</v>
      </c>
      <c r="E21240" s="2">
        <v>8858079</v>
      </c>
      <c r="F21240" s="4" t="str">
        <f>IF(B21240=B21239,"",B21240)</f>
        <v/>
      </c>
    </row>
    <row r="21241" spans="1:6" ht="15.75" customHeight="1">
      <c r="A21241" s="8" t="str">
        <f ca="1">IFERROR(__xludf.DUMMYFUNCTION("GOOGLETRANSLATE(B27150,""en"",""pt"")"),"Manzanillo")</f>
        <v>Manzanillo</v>
      </c>
      <c r="B21241" s="11" t="s">
        <v>5872</v>
      </c>
      <c r="C21241" s="11" t="s">
        <v>5764</v>
      </c>
      <c r="D21241" s="11" t="s">
        <v>5788</v>
      </c>
      <c r="E21241" s="10">
        <v>3547867</v>
      </c>
      <c r="F21241" s="4" t="str">
        <f>IF(B21241=B21240,"",B21241)</f>
        <v/>
      </c>
    </row>
    <row r="21242" spans="1:6" ht="15.75" customHeight="1">
      <c r="A21242" s="8" t="str">
        <f ca="1">IFERROR(__xludf.DUMMYFUNCTION("GOOGLETRANSLATE(B37252,""en"",""pt"")"),"Manzanillo")</f>
        <v>Manzanillo</v>
      </c>
      <c r="B21242" s="9" t="s">
        <v>5872</v>
      </c>
      <c r="C21242" s="9" t="s">
        <v>17707</v>
      </c>
      <c r="D21242" s="9" t="s">
        <v>5676</v>
      </c>
      <c r="E21242" s="10">
        <v>3996663</v>
      </c>
      <c r="F21242" s="4" t="str">
        <f>IF(B21242=B21241,"",B21242)</f>
        <v/>
      </c>
    </row>
    <row r="21243" spans="1:6" ht="15.75" customHeight="1">
      <c r="A21243" s="8" t="str">
        <f ca="1">IFERROR(__xludf.DUMMYFUNCTION("GOOGLETRANSLATE(B37360,""en"",""pt"")"),"Manzanillo")</f>
        <v>Manzanillo</v>
      </c>
      <c r="B21243" s="11" t="s">
        <v>5872</v>
      </c>
      <c r="C21243" s="11" t="s">
        <v>17707</v>
      </c>
      <c r="D21243" s="11" t="s">
        <v>5676</v>
      </c>
      <c r="E21243" s="10">
        <v>8858079</v>
      </c>
      <c r="F21243" s="4" t="str">
        <f>IF(B21243=B21242,"",B21243)</f>
        <v/>
      </c>
    </row>
    <row r="21244" spans="1:6" ht="15.75" customHeight="1">
      <c r="A21244" s="16" t="s">
        <v>5519</v>
      </c>
      <c r="B21244" s="15" t="s">
        <v>5519</v>
      </c>
      <c r="C21244" s="16" t="s">
        <v>5348</v>
      </c>
      <c r="D21244" s="16" t="s">
        <v>5353</v>
      </c>
      <c r="E21244" s="2">
        <v>3675409</v>
      </c>
      <c r="F21244" s="4" t="str">
        <f>IF(B21244=B21243,"",B21244)</f>
        <v>Manzanares</v>
      </c>
    </row>
    <row r="21245" spans="1:6" ht="15.75" customHeight="1">
      <c r="A21245" s="16" t="s">
        <v>5519</v>
      </c>
      <c r="B21245" s="15" t="s">
        <v>5519</v>
      </c>
      <c r="C21245" s="16" t="s">
        <v>24200</v>
      </c>
      <c r="D21245" s="16" t="s">
        <v>24218</v>
      </c>
      <c r="E21245" s="2">
        <v>2514190</v>
      </c>
      <c r="F21245" s="4" t="str">
        <f>IF(B21245=B21244,"",B21245)</f>
        <v/>
      </c>
    </row>
    <row r="21246" spans="1:6" ht="15.75" customHeight="1">
      <c r="A21246" s="8" t="str">
        <f ca="1">IFERROR(__xludf.DUMMYFUNCTION("GOOGLETRANSLATE(B26944,""en"",""pt"")"),"Manzanares")</f>
        <v>Manzanares</v>
      </c>
      <c r="B21246" s="9" t="s">
        <v>5519</v>
      </c>
      <c r="C21246" s="9" t="s">
        <v>5348</v>
      </c>
      <c r="D21246" s="9" t="s">
        <v>5353</v>
      </c>
      <c r="E21246" s="10">
        <v>3675409</v>
      </c>
      <c r="F21246" s="4" t="str">
        <f>IF(B21246=B21245,"",B21246)</f>
        <v/>
      </c>
    </row>
    <row r="21247" spans="1:6" ht="15.75" customHeight="1">
      <c r="A21247" s="8" t="str">
        <f ca="1">IFERROR(__xludf.DUMMYFUNCTION("GOOGLETRANSLATE(B29065,""en"",""pt"")"),"Manzanares")</f>
        <v>Manzanares</v>
      </c>
      <c r="B21247" s="11" t="s">
        <v>5519</v>
      </c>
      <c r="C21247" s="11" t="s">
        <v>24200</v>
      </c>
      <c r="D21247" s="11" t="s">
        <v>24218</v>
      </c>
      <c r="E21247" s="10">
        <v>2514190</v>
      </c>
      <c r="F21247" s="4" t="str">
        <f>IF(B21247=B21246,"",B21247)</f>
        <v/>
      </c>
    </row>
    <row r="21248" spans="1:6" ht="15.75" customHeight="1">
      <c r="A21248" s="8" t="str">
        <f ca="1">IFERROR(__xludf.DUMMYFUNCTION("GOOGLETRANSLATE(B32807,""en"",""pt"")"),"Mānwat")</f>
        <v>Mānwat</v>
      </c>
      <c r="B21248" s="9" t="s">
        <v>33398</v>
      </c>
      <c r="C21248" s="9" t="s">
        <v>10178</v>
      </c>
      <c r="D21248" s="9" t="s">
        <v>10214</v>
      </c>
      <c r="E21248" s="10">
        <v>1263591</v>
      </c>
      <c r="F21248" s="4" t="str">
        <f>IF(B21248=B21247,"",B21248)</f>
        <v>Mānwat</v>
      </c>
    </row>
    <row r="21249" spans="1:6" ht="15.75" customHeight="1">
      <c r="A21249" s="8" t="str">
        <f ca="1">IFERROR(__xludf.DUMMYFUNCTION("GOOGLETRANSLATE(B32808,""en"",""pt"")"),"Mānvi")</f>
        <v>Mānvi</v>
      </c>
      <c r="B21249" s="11" t="s">
        <v>33399</v>
      </c>
      <c r="C21249" s="11" t="s">
        <v>10178</v>
      </c>
      <c r="D21249" s="11" t="s">
        <v>10252</v>
      </c>
      <c r="E21249" s="10">
        <v>1263594</v>
      </c>
      <c r="F21249" s="4" t="str">
        <f>IF(B21249=B21248,"",B21249)</f>
        <v>Mānvi</v>
      </c>
    </row>
    <row r="21250" spans="1:6" ht="15.75" customHeight="1">
      <c r="A21250" s="16" t="s">
        <v>19189</v>
      </c>
      <c r="B21250" s="15" t="s">
        <v>19190</v>
      </c>
      <c r="C21250" s="16" t="s">
        <v>19169</v>
      </c>
      <c r="D21250" s="16" t="s">
        <v>19171</v>
      </c>
      <c r="E21250" s="2">
        <v>2187404</v>
      </c>
      <c r="F21250" s="4" t="str">
        <f>IF(B21250=B21249,"",B21250)</f>
        <v>Manukau City</v>
      </c>
    </row>
    <row r="21251" spans="1:6" ht="15.75" customHeight="1">
      <c r="A21251" s="8" t="str">
        <f ca="1">IFERROR(__xludf.DUMMYFUNCTION("GOOGLETRANSLATE(B38229,""en"",""pt"")"),"Cidade de Manukau")</f>
        <v>Cidade de Manukau</v>
      </c>
      <c r="B21251" s="11" t="s">
        <v>19190</v>
      </c>
      <c r="C21251" s="11" t="s">
        <v>19169</v>
      </c>
      <c r="D21251" s="11" t="s">
        <v>19171</v>
      </c>
      <c r="E21251" s="10">
        <v>2187404</v>
      </c>
      <c r="F21251" s="4" t="str">
        <f>IF(B21251=B21250,"",B21251)</f>
        <v/>
      </c>
    </row>
    <row r="21252" spans="1:6" ht="15.75" customHeight="1">
      <c r="A21252" s="16" t="s">
        <v>12361</v>
      </c>
      <c r="B21252" s="15" t="s">
        <v>12361</v>
      </c>
      <c r="C21252" s="16" t="s">
        <v>10178</v>
      </c>
      <c r="D21252" s="16" t="s">
        <v>10187</v>
      </c>
      <c r="E21252" s="2">
        <v>7302836</v>
      </c>
      <c r="F21252" s="4" t="str">
        <f>IF(B21252=B21251,"",B21252)</f>
        <v>Manuguru</v>
      </c>
    </row>
    <row r="21253" spans="1:6" ht="15.75" customHeight="1">
      <c r="A21253" s="8" t="str">
        <f ca="1">IFERROR(__xludf.DUMMYFUNCTION("GOOGLETRANSLATE(B34238,""en"",""pt"")"),"Manuguru")</f>
        <v>Manuguru</v>
      </c>
      <c r="B21253" s="11" t="s">
        <v>12361</v>
      </c>
      <c r="C21253" s="11" t="s">
        <v>10178</v>
      </c>
      <c r="D21253" s="11" t="s">
        <v>10187</v>
      </c>
      <c r="E21253" s="10">
        <v>7302836</v>
      </c>
      <c r="F21253" s="4" t="str">
        <f>IF(B21253=B21252,"",B21253)</f>
        <v/>
      </c>
    </row>
    <row r="21254" spans="1:6" ht="15.75" customHeight="1">
      <c r="A21254" s="16" t="s">
        <v>18064</v>
      </c>
      <c r="B21254" s="15" t="s">
        <v>18064</v>
      </c>
      <c r="C21254" s="16" t="s">
        <v>17707</v>
      </c>
      <c r="D21254" s="16" t="s">
        <v>17826</v>
      </c>
      <c r="E21254" s="2">
        <v>8858105</v>
      </c>
      <c r="F21254" s="4" t="str">
        <f>IF(B21254=B21253,"",B21254)</f>
        <v>Manuel Ojinaga</v>
      </c>
    </row>
    <row r="21255" spans="1:6" ht="15.75" customHeight="1">
      <c r="A21255" s="8" t="str">
        <f ca="1">IFERROR(__xludf.DUMMYFUNCTION("GOOGLETRANSLATE(B37382,""en"",""pt"")"),"Manuel Ojinaga")</f>
        <v>Manuel Ojinaga</v>
      </c>
      <c r="B21255" s="9" t="s">
        <v>18064</v>
      </c>
      <c r="C21255" s="9" t="s">
        <v>17707</v>
      </c>
      <c r="D21255" s="9" t="s">
        <v>17826</v>
      </c>
      <c r="E21255" s="10">
        <v>8858105</v>
      </c>
      <c r="F21255" s="4" t="str">
        <f>IF(B21255=B21254,"",B21255)</f>
        <v/>
      </c>
    </row>
    <row r="21256" spans="1:6" ht="15.75" customHeight="1">
      <c r="A21256" s="16" t="s">
        <v>22713</v>
      </c>
      <c r="B21256" s="15" t="s">
        <v>22713</v>
      </c>
      <c r="C21256" s="16" t="s">
        <v>22070</v>
      </c>
      <c r="D21256" s="16" t="s">
        <v>22284</v>
      </c>
      <c r="E21256" s="2">
        <v>529505</v>
      </c>
      <c r="F21256" s="4" t="str">
        <f>IF(B21256=B21255,"",B21256)</f>
        <v>Manturovo</v>
      </c>
    </row>
    <row r="21257" spans="1:6" ht="15.75" customHeight="1">
      <c r="A21257" s="8" t="str">
        <f ca="1">IFERROR(__xludf.DUMMYFUNCTION("GOOGLETRANSLATE(B40335,""en"",""pt"")"),"Manturovo")</f>
        <v>Manturovo</v>
      </c>
      <c r="B21257" s="11" t="s">
        <v>22713</v>
      </c>
      <c r="C21257" s="11" t="s">
        <v>22070</v>
      </c>
      <c r="D21257" s="11" t="s">
        <v>22284</v>
      </c>
      <c r="E21257" s="10">
        <v>529505</v>
      </c>
      <c r="F21257" s="4" t="str">
        <f>IF(B21257=B21256,"",B21257)</f>
        <v/>
      </c>
    </row>
    <row r="21258" spans="1:6" ht="15.75" customHeight="1">
      <c r="A21258" s="8" t="str">
        <f ca="1">IFERROR(__xludf.DUMMYFUNCTION("GOOGLETRANSLATE(B29624,""en"",""pt"")"),"Mäntsälä")</f>
        <v>Mäntsälä</v>
      </c>
      <c r="B21258" s="9" t="s">
        <v>32523</v>
      </c>
      <c r="C21258" s="9" t="s">
        <v>6948</v>
      </c>
      <c r="D21258" s="9" t="s">
        <v>6951</v>
      </c>
      <c r="E21258" s="10">
        <v>646723</v>
      </c>
      <c r="F21258" s="4" t="str">
        <f>IF(B21258=B21257,"",B21258)</f>
        <v>Mäntsälä</v>
      </c>
    </row>
    <row r="21259" spans="1:6" ht="15.75" customHeight="1">
      <c r="A21259" s="15" t="s">
        <v>15240</v>
      </c>
      <c r="B21259" s="15" t="s">
        <v>15240</v>
      </c>
      <c r="C21259" s="15" t="s">
        <v>14891</v>
      </c>
      <c r="D21259" s="15" t="s">
        <v>14894</v>
      </c>
      <c r="E21259" s="2">
        <v>3174051</v>
      </c>
      <c r="F21259" s="4" t="str">
        <f>IF(B21259=B21258,"",B21259)</f>
        <v>Mantova</v>
      </c>
    </row>
    <row r="21260" spans="1:6" ht="15.75" customHeight="1">
      <c r="A21260" s="8" t="str">
        <f ca="1">IFERROR(__xludf.DUMMYFUNCTION("GOOGLETRANSLATE(B34854,""en"",""pt"")"),"Mantova")</f>
        <v>Mantova</v>
      </c>
      <c r="B21260" s="9" t="s">
        <v>15240</v>
      </c>
      <c r="C21260" s="9" t="s">
        <v>14891</v>
      </c>
      <c r="D21260" s="9" t="s">
        <v>14894</v>
      </c>
      <c r="E21260" s="10">
        <v>3174051</v>
      </c>
      <c r="F21260" s="4" t="str">
        <f>IF(B21260=B21259,"",B21260)</f>
        <v/>
      </c>
    </row>
    <row r="21261" spans="1:6" ht="15.75" customHeight="1">
      <c r="A21261" s="15" t="s">
        <v>12360</v>
      </c>
      <c r="B21261" s="15" t="s">
        <v>12360</v>
      </c>
      <c r="C21261" s="15" t="s">
        <v>10178</v>
      </c>
      <c r="D21261" s="15" t="s">
        <v>10187</v>
      </c>
      <c r="E21261" s="2">
        <v>1263610</v>
      </c>
      <c r="F21261" s="4" t="str">
        <f>IF(B21261=B21260,"",B21261)</f>
        <v>Manthani</v>
      </c>
    </row>
    <row r="21262" spans="1:6" ht="15.75" customHeight="1">
      <c r="A21262" s="8" t="str">
        <f ca="1">IFERROR(__xludf.DUMMYFUNCTION("GOOGLETRANSLATE(B32809,""en"",""pt"")"),"Manthani")</f>
        <v>Manthani</v>
      </c>
      <c r="B21262" s="9" t="s">
        <v>12360</v>
      </c>
      <c r="C21262" s="9" t="s">
        <v>10178</v>
      </c>
      <c r="D21262" s="9" t="s">
        <v>10187</v>
      </c>
      <c r="E21262" s="10">
        <v>1263610</v>
      </c>
      <c r="F21262" s="4" t="str">
        <f>IF(B21262=B21261,"",B21262)</f>
        <v/>
      </c>
    </row>
    <row r="21263" spans="1:6" ht="15.75" customHeight="1">
      <c r="A21263" s="16" t="s">
        <v>7533</v>
      </c>
      <c r="B21263" s="15" t="s">
        <v>7534</v>
      </c>
      <c r="C21263" s="16" t="s">
        <v>7052</v>
      </c>
      <c r="D21263" s="16" t="s">
        <v>7058</v>
      </c>
      <c r="E21263" s="2">
        <v>2996146</v>
      </c>
      <c r="F21263" s="4" t="str">
        <f>IF(B21263=B21262,"",B21263)</f>
        <v>Mantes-la-Ville</v>
      </c>
    </row>
    <row r="21264" spans="1:6" ht="15.75" customHeight="1">
      <c r="A21264" s="8" t="str">
        <f ca="1">IFERROR(__xludf.DUMMYFUNCTION("GOOGLETRANSLATE(B29941,""en"",""pt"")"),"Mantes-La-Ville")</f>
        <v>Mantes-La-Ville</v>
      </c>
      <c r="B21264" s="9" t="s">
        <v>7534</v>
      </c>
      <c r="C21264" s="9" t="s">
        <v>7052</v>
      </c>
      <c r="D21264" s="9" t="s">
        <v>32531</v>
      </c>
      <c r="E21264" s="10">
        <v>2996146</v>
      </c>
      <c r="F21264" s="4" t="str">
        <f>IF(B21264=B21263,"",B21264)</f>
        <v/>
      </c>
    </row>
    <row r="21265" spans="1:6" ht="15.75" customHeight="1">
      <c r="A21265" s="16" t="s">
        <v>7531</v>
      </c>
      <c r="B21265" s="15" t="s">
        <v>7532</v>
      </c>
      <c r="C21265" s="16" t="s">
        <v>7052</v>
      </c>
      <c r="D21265" s="16" t="s">
        <v>7058</v>
      </c>
      <c r="E21265" s="2">
        <v>2996148</v>
      </c>
      <c r="F21265" s="4" t="str">
        <f>IF(B21265=B21264,"",B21265)</f>
        <v>Mantes-la-Jolie</v>
      </c>
    </row>
    <row r="21266" spans="1:6" ht="15.75" customHeight="1">
      <c r="A21266" s="8" t="str">
        <f ca="1">IFERROR(__xludf.DUMMYFUNCTION("GOOGLETRANSLATE(B29942,""en"",""pt"")"),"Mantes-La-Jolie")</f>
        <v>Mantes-La-Jolie</v>
      </c>
      <c r="B21266" s="9" t="s">
        <v>7532</v>
      </c>
      <c r="C21266" s="9" t="s">
        <v>7052</v>
      </c>
      <c r="D21266" s="9" t="s">
        <v>32531</v>
      </c>
      <c r="E21266" s="10">
        <v>2996148</v>
      </c>
      <c r="F21266" s="4" t="str">
        <f>IF(B21266=B21265,"",B21266)</f>
        <v/>
      </c>
    </row>
    <row r="21267" spans="1:6" ht="15.75" customHeight="1">
      <c r="A21267" s="15" t="s">
        <v>29199</v>
      </c>
      <c r="B21267" s="15" t="s">
        <v>29199</v>
      </c>
      <c r="C21267" s="15" t="s">
        <v>27788</v>
      </c>
      <c r="D21267" s="15" t="s">
        <v>27801</v>
      </c>
      <c r="E21267" s="2">
        <v>5370164</v>
      </c>
      <c r="F21267" s="4" t="str">
        <f>IF(B21267=B21266,"",B21267)</f>
        <v>Manteca</v>
      </c>
    </row>
    <row r="21268" spans="1:6" ht="15.75" customHeight="1">
      <c r="A21268" s="8" t="str">
        <f ca="1">IFERROR(__xludf.DUMMYFUNCTION("GOOGLETRANSLATE(B44898,""en"",""pt"")"),"Manteca")</f>
        <v>Manteca</v>
      </c>
      <c r="B21268" s="11" t="s">
        <v>29199</v>
      </c>
      <c r="C21268" s="11" t="s">
        <v>27788</v>
      </c>
      <c r="D21268" s="11" t="s">
        <v>27801</v>
      </c>
      <c r="E21268" s="10">
        <v>5370164</v>
      </c>
      <c r="F21268" s="4" t="str">
        <f>IF(B21268=B21267,"",B21268)</f>
        <v/>
      </c>
    </row>
    <row r="21269" spans="1:6" ht="15.75" customHeight="1">
      <c r="A21269" s="16" t="s">
        <v>20887</v>
      </c>
      <c r="B21269" s="15" t="s">
        <v>20887</v>
      </c>
      <c r="C21269" s="16" t="s">
        <v>20598</v>
      </c>
      <c r="D21269" s="16" t="s">
        <v>20687</v>
      </c>
      <c r="E21269" s="2">
        <v>1701472</v>
      </c>
      <c r="F21269" s="4" t="str">
        <f>IF(B21269=B21268,"",B21269)</f>
        <v>Mantampay</v>
      </c>
    </row>
    <row r="21270" spans="1:6" ht="15.75" customHeight="1">
      <c r="A21270" s="8" t="str">
        <f ca="1">IFERROR(__xludf.DUMMYFUNCTION("GOOGLETRANSLATE(B38619,""en"",""pt"")"),"Mantampay")</f>
        <v>Mantampay</v>
      </c>
      <c r="B21270" s="11" t="s">
        <v>20887</v>
      </c>
      <c r="C21270" s="11" t="s">
        <v>20598</v>
      </c>
      <c r="D21270" s="11" t="s">
        <v>20687</v>
      </c>
      <c r="E21270" s="10">
        <v>1701472</v>
      </c>
      <c r="F21270" s="4" t="str">
        <f>IF(B21270=B21269,"",B21270)</f>
        <v/>
      </c>
    </row>
    <row r="21271" spans="1:6" ht="15.75" customHeight="1">
      <c r="A21271" s="15" t="s">
        <v>6446</v>
      </c>
      <c r="B21271" s="15" t="s">
        <v>6446</v>
      </c>
      <c r="C21271" s="15" t="s">
        <v>6398</v>
      </c>
      <c r="D21271" s="15" t="s">
        <v>6408</v>
      </c>
      <c r="E21271" s="2">
        <v>3654410</v>
      </c>
      <c r="F21271" s="4" t="str">
        <f>IF(B21271=B21270,"",B21271)</f>
        <v>Manta</v>
      </c>
    </row>
    <row r="21272" spans="1:6" ht="15.75" customHeight="1">
      <c r="A21272" s="8" t="str">
        <f ca="1">IFERROR(__xludf.DUMMYFUNCTION("GOOGLETRANSLATE(B28779,""en"",""pt"")"),"Manta")</f>
        <v>Manta</v>
      </c>
      <c r="B21272" s="11" t="s">
        <v>6446</v>
      </c>
      <c r="C21272" s="11" t="s">
        <v>6398</v>
      </c>
      <c r="D21272" s="11" t="s">
        <v>32234</v>
      </c>
      <c r="E21272" s="10">
        <v>3654410</v>
      </c>
      <c r="F21272" s="4" t="str">
        <f>IF(B21272=B21271,"",B21272)</f>
        <v/>
      </c>
    </row>
    <row r="21273" spans="1:6" ht="15.75" customHeight="1">
      <c r="A21273" s="16" t="s">
        <v>395</v>
      </c>
      <c r="B21273" s="15" t="s">
        <v>395</v>
      </c>
      <c r="C21273" s="16" t="s">
        <v>153</v>
      </c>
      <c r="D21273" s="16" t="s">
        <v>274</v>
      </c>
      <c r="E21273" s="2">
        <v>2490180</v>
      </c>
      <c r="F21273" s="4" t="str">
        <f>IF(B21273=B21272,"",B21273)</f>
        <v>Mansourah</v>
      </c>
    </row>
    <row r="21274" spans="1:6" ht="15.75" customHeight="1">
      <c r="A21274" s="8" t="str">
        <f ca="1">IFERROR(__xludf.DUMMYFUNCTION("GOOGLETRANSLATE(B28591,""en"",""pt"")"),"Mansourah")</f>
        <v>Mansourah</v>
      </c>
      <c r="B21274" s="9" t="s">
        <v>395</v>
      </c>
      <c r="C21274" s="9" t="s">
        <v>153</v>
      </c>
      <c r="D21274" s="9" t="s">
        <v>32194</v>
      </c>
      <c r="E21274" s="10">
        <v>2490180</v>
      </c>
      <c r="F21274" s="4" t="str">
        <f>IF(B21274=B21273,"",B21274)</f>
        <v/>
      </c>
    </row>
    <row r="21275" spans="1:6" ht="15.75" customHeight="1">
      <c r="A21275" s="8" t="str">
        <f ca="1">IFERROR(__xludf.DUMMYFUNCTION("GOOGLETRANSLATE(B28592,""en"",""pt"")"),"Mansoûra")</f>
        <v>Mansoûra</v>
      </c>
      <c r="B21275" s="11" t="s">
        <v>32200</v>
      </c>
      <c r="C21275" s="11" t="s">
        <v>153</v>
      </c>
      <c r="D21275" s="11" t="s">
        <v>253</v>
      </c>
      <c r="E21275" s="10">
        <v>2490183</v>
      </c>
      <c r="F21275" s="4" t="str">
        <f>IF(B21275=B21274,"",B21275)</f>
        <v>Mansoûra</v>
      </c>
    </row>
    <row r="21276" spans="1:6" ht="15.75" customHeight="1">
      <c r="A21276" s="16" t="s">
        <v>393</v>
      </c>
      <c r="B21276" s="15" t="s">
        <v>394</v>
      </c>
      <c r="C21276" s="16" t="s">
        <v>153</v>
      </c>
      <c r="D21276" s="16" t="s">
        <v>253</v>
      </c>
      <c r="E21276" s="2">
        <v>2490183</v>
      </c>
      <c r="F21276" s="4" t="str">
        <f>IF(B21276=B21275,"",B21276)</f>
        <v>MansoÃ»ra</v>
      </c>
    </row>
    <row r="21277" spans="1:6" ht="15.75" customHeight="1">
      <c r="A21277" s="16" t="s">
        <v>20886</v>
      </c>
      <c r="B21277" s="15" t="s">
        <v>20886</v>
      </c>
      <c r="C21277" s="16" t="s">
        <v>20598</v>
      </c>
      <c r="D21277" s="16" t="s">
        <v>20627</v>
      </c>
      <c r="E21277" s="2">
        <v>1701500</v>
      </c>
      <c r="F21277" s="4" t="str">
        <f>IF(B21277=B21276,"",B21277)</f>
        <v>Mansilingan</v>
      </c>
    </row>
    <row r="21278" spans="1:6" ht="15.75" customHeight="1">
      <c r="A21278" s="8" t="str">
        <f ca="1">IFERROR(__xludf.DUMMYFUNCTION("GOOGLETRANSLATE(B38620,""en"",""pt"")"),"Mansilingan")</f>
        <v>Mansilingan</v>
      </c>
      <c r="B21278" s="11" t="s">
        <v>20886</v>
      </c>
      <c r="C21278" s="11" t="s">
        <v>20598</v>
      </c>
      <c r="D21278" s="11" t="s">
        <v>20627</v>
      </c>
      <c r="E21278" s="10">
        <v>1701500</v>
      </c>
      <c r="F21278" s="4" t="str">
        <f>IF(B21278=B21277,"",B21278)</f>
        <v/>
      </c>
    </row>
    <row r="21279" spans="1:6" ht="15.75" customHeight="1">
      <c r="A21279" s="16" t="s">
        <v>27524</v>
      </c>
      <c r="B21279" s="15" t="s">
        <v>27524</v>
      </c>
      <c r="C21279" s="16" t="s">
        <v>27234</v>
      </c>
      <c r="D21279" s="16" t="s">
        <v>27241</v>
      </c>
      <c r="E21279" s="2">
        <v>2643096</v>
      </c>
      <c r="F21279" s="4" t="str">
        <f>IF(B21279=B21278,"",B21279)</f>
        <v>Mansfield Woodhouse</v>
      </c>
    </row>
    <row r="21280" spans="1:6" ht="15.75" customHeight="1">
      <c r="A21280" s="8" t="str">
        <f ca="1">IFERROR(__xludf.DUMMYFUNCTION("GOOGLETRANSLATE(B30549,""en"",""pt"")"),"Mansfield Woodhouse")</f>
        <v>Mansfield Woodhouse</v>
      </c>
      <c r="B21280" s="11" t="s">
        <v>27524</v>
      </c>
      <c r="C21280" s="11" t="s">
        <v>27234</v>
      </c>
      <c r="D21280" s="11" t="s">
        <v>27241</v>
      </c>
      <c r="E21280" s="10">
        <v>2643096</v>
      </c>
      <c r="F21280" s="4" t="str">
        <f>IF(B21280=B21279,"",B21280)</f>
        <v/>
      </c>
    </row>
    <row r="21281" spans="1:6" ht="15.75" customHeight="1">
      <c r="A21281" s="16" t="s">
        <v>27523</v>
      </c>
      <c r="B21281" s="15" t="s">
        <v>27523</v>
      </c>
      <c r="C21281" s="16" t="s">
        <v>27234</v>
      </c>
      <c r="D21281" s="16" t="s">
        <v>27241</v>
      </c>
      <c r="E21281" s="2">
        <v>2643097</v>
      </c>
      <c r="F21281" s="4" t="str">
        <f>IF(B21281=B21280,"",B21281)</f>
        <v>Mansfield</v>
      </c>
    </row>
    <row r="21282" spans="1:6" ht="15.75" customHeight="1">
      <c r="A21282" s="16" t="s">
        <v>27523</v>
      </c>
      <c r="B21282" s="15" t="s">
        <v>27523</v>
      </c>
      <c r="C21282" s="16" t="s">
        <v>27788</v>
      </c>
      <c r="D21282" s="16" t="s">
        <v>27794</v>
      </c>
      <c r="E21282" s="2">
        <v>4943021</v>
      </c>
      <c r="F21282" s="4" t="str">
        <f>IF(B21282=B21281,"",B21282)</f>
        <v/>
      </c>
    </row>
    <row r="21283" spans="1:6" ht="15.75" customHeight="1">
      <c r="A21283" s="16" t="s">
        <v>27523</v>
      </c>
      <c r="B21283" s="15" t="s">
        <v>27523</v>
      </c>
      <c r="C21283" s="16" t="s">
        <v>27788</v>
      </c>
      <c r="D21283" s="16" t="s">
        <v>27813</v>
      </c>
      <c r="E21283" s="2">
        <v>5161723</v>
      </c>
      <c r="F21283" s="4" t="str">
        <f>IF(B21283=B21282,"",B21283)</f>
        <v/>
      </c>
    </row>
    <row r="21284" spans="1:6" ht="15.75" customHeight="1">
      <c r="A21284" s="8" t="str">
        <f ca="1">IFERROR(__xludf.DUMMYFUNCTION("GOOGLETRANSLATE(B30550,""en"",""pt"")"),"Mansfield")</f>
        <v>Mansfield</v>
      </c>
      <c r="B21284" s="11" t="s">
        <v>27523</v>
      </c>
      <c r="C21284" s="11" t="s">
        <v>27234</v>
      </c>
      <c r="D21284" s="11" t="s">
        <v>27241</v>
      </c>
      <c r="E21284" s="10">
        <v>2643097</v>
      </c>
      <c r="F21284" s="4" t="str">
        <f>IF(B21284=B21283,"",B21284)</f>
        <v/>
      </c>
    </row>
    <row r="21285" spans="1:6" ht="15.75" customHeight="1">
      <c r="A21285" s="8" t="str">
        <f ca="1">IFERROR(__xludf.DUMMYFUNCTION("GOOGLETRANSLATE(B43996,""en"",""pt"")"),"Mansfield")</f>
        <v>Mansfield</v>
      </c>
      <c r="B21285" s="9" t="s">
        <v>27523</v>
      </c>
      <c r="C21285" s="9" t="s">
        <v>27788</v>
      </c>
      <c r="D21285" s="9" t="s">
        <v>27794</v>
      </c>
      <c r="E21285" s="10">
        <v>4943021</v>
      </c>
      <c r="F21285" s="4" t="str">
        <f>IF(B21285=B21284,"",B21285)</f>
        <v/>
      </c>
    </row>
    <row r="21286" spans="1:6" ht="15.75" customHeight="1">
      <c r="A21286" s="8" t="str">
        <f ca="1">IFERROR(__xludf.DUMMYFUNCTION("GOOGLETRANSLATE(B44513,""en"",""pt"")"),"Mansfield")</f>
        <v>Mansfield</v>
      </c>
      <c r="B21286" s="11" t="s">
        <v>27523</v>
      </c>
      <c r="C21286" s="11" t="s">
        <v>27788</v>
      </c>
      <c r="D21286" s="11" t="s">
        <v>27813</v>
      </c>
      <c r="E21286" s="10">
        <v>5161723</v>
      </c>
      <c r="F21286" s="4" t="str">
        <f>IF(B21286=B21285,"",B21286)</f>
        <v/>
      </c>
    </row>
    <row r="21287" spans="1:6" ht="15.75" customHeight="1">
      <c r="A21287" s="8" t="str">
        <f ca="1">IFERROR(__xludf.DUMMYFUNCTION("GOOGLETRANSLATE(B38993,""en"",""pt"")"),"Mānsehra")</f>
        <v>Mānsehra</v>
      </c>
      <c r="B21287" s="9" t="s">
        <v>34959</v>
      </c>
      <c r="C21287" s="9" t="s">
        <v>19808</v>
      </c>
      <c r="D21287" s="9" t="s">
        <v>19811</v>
      </c>
      <c r="E21287" s="10">
        <v>1170951</v>
      </c>
      <c r="F21287" s="4" t="str">
        <f>IF(B21287=B21286,"",B21287)</f>
        <v>Mānsehra</v>
      </c>
    </row>
    <row r="21288" spans="1:6" ht="15.75" customHeight="1">
      <c r="A21288" s="15" t="s">
        <v>20885</v>
      </c>
      <c r="B21288" s="15" t="s">
        <v>20885</v>
      </c>
      <c r="C21288" s="15" t="s">
        <v>20598</v>
      </c>
      <c r="D21288" s="15" t="s">
        <v>20715</v>
      </c>
      <c r="E21288" s="2">
        <v>1701516</v>
      </c>
      <c r="F21288" s="4" t="str">
        <f>IF(B21288=B21287,"",B21288)</f>
        <v>Mansalay</v>
      </c>
    </row>
    <row r="21289" spans="1:6" ht="15.75" customHeight="1">
      <c r="A21289" s="8" t="str">
        <f ca="1">IFERROR(__xludf.DUMMYFUNCTION("GOOGLETRANSLATE(B38621,""en"",""pt"")"),"Mansalay")</f>
        <v>Mansalay</v>
      </c>
      <c r="B21289" s="9" t="s">
        <v>20885</v>
      </c>
      <c r="C21289" s="9" t="s">
        <v>20598</v>
      </c>
      <c r="D21289" s="9" t="s">
        <v>20715</v>
      </c>
      <c r="E21289" s="10">
        <v>1701516</v>
      </c>
      <c r="F21289" s="4" t="str">
        <f>IF(B21289=B21288,"",B21289)</f>
        <v/>
      </c>
    </row>
    <row r="21290" spans="1:6" ht="15.75" customHeight="1">
      <c r="A21290" s="8" t="str">
        <f ca="1">IFERROR(__xludf.DUMMYFUNCTION("GOOGLETRANSLATE(B32810,""en"",""pt"")"),"Mānsa")</f>
        <v>Mānsa</v>
      </c>
      <c r="B21290" s="11" t="s">
        <v>33400</v>
      </c>
      <c r="C21290" s="11" t="s">
        <v>10178</v>
      </c>
      <c r="D21290" s="11" t="s">
        <v>10184</v>
      </c>
      <c r="E21290" s="10">
        <v>1263622</v>
      </c>
      <c r="F21290" s="4" t="str">
        <f>IF(B21290=B21289,"",B21290)</f>
        <v>Mānsa</v>
      </c>
    </row>
    <row r="21291" spans="1:6" ht="15.75" customHeight="1">
      <c r="A21291" s="8" t="str">
        <f ca="1">IFERROR(__xludf.DUMMYFUNCTION("GOOGLETRANSLATE(B32811,""en"",""pt"")"),"Mānsa")</f>
        <v>Mānsa</v>
      </c>
      <c r="B21291" s="9" t="s">
        <v>33400</v>
      </c>
      <c r="C21291" s="9" t="s">
        <v>10178</v>
      </c>
      <c r="D21291" s="9" t="s">
        <v>10209</v>
      </c>
      <c r="E21291" s="10">
        <v>1263623</v>
      </c>
      <c r="F21291" s="4" t="str">
        <f>IF(B21291=B21290,"",B21291)</f>
        <v/>
      </c>
    </row>
    <row r="21292" spans="1:6" ht="15.75" customHeight="1">
      <c r="A21292" s="15" t="s">
        <v>31056</v>
      </c>
      <c r="B21292" s="15" t="s">
        <v>31056</v>
      </c>
      <c r="C21292" s="15" t="s">
        <v>31038</v>
      </c>
      <c r="D21292" s="15" t="s">
        <v>31052</v>
      </c>
      <c r="E21292" s="2">
        <v>907770</v>
      </c>
      <c r="F21292" s="4" t="str">
        <f>IF(B21292=B21291,"",B21292)</f>
        <v>Mansa</v>
      </c>
    </row>
    <row r="21293" spans="1:6" ht="15.75" customHeight="1">
      <c r="A21293" s="8" t="str">
        <f ca="1">IFERROR(__xludf.DUMMYFUNCTION("GOOGLETRANSLATE(B46016,""en"",""pt"")"),"Mansa")</f>
        <v>Mansa</v>
      </c>
      <c r="B21293" s="9" t="s">
        <v>31056</v>
      </c>
      <c r="C21293" s="9" t="s">
        <v>31038</v>
      </c>
      <c r="D21293" s="9" t="s">
        <v>31052</v>
      </c>
      <c r="E21293" s="10">
        <v>907770</v>
      </c>
      <c r="F21293" s="4" t="str">
        <f>IF(B21293=B21292,"",B21293)</f>
        <v/>
      </c>
    </row>
    <row r="21294" spans="1:6" ht="15.75" customHeight="1">
      <c r="A21294" s="15" t="s">
        <v>24595</v>
      </c>
      <c r="B21294" s="15" t="s">
        <v>24595</v>
      </c>
      <c r="C21294" s="15" t="s">
        <v>24200</v>
      </c>
      <c r="D21294" s="15" t="s">
        <v>24277</v>
      </c>
      <c r="E21294" s="2">
        <v>3117533</v>
      </c>
      <c r="F21294" s="4" t="str">
        <f>IF(B21294=B21293,"",B21294)</f>
        <v>Manresa</v>
      </c>
    </row>
    <row r="21295" spans="1:6" ht="15.75" customHeight="1">
      <c r="A21295" s="8" t="str">
        <f ca="1">IFERROR(__xludf.DUMMYFUNCTION("GOOGLETRANSLATE(B29364,""en"",""pt"")"),"Manresa")</f>
        <v>Manresa</v>
      </c>
      <c r="B21295" s="9" t="s">
        <v>24595</v>
      </c>
      <c r="C21295" s="9" t="s">
        <v>24200</v>
      </c>
      <c r="D21295" s="9" t="s">
        <v>24277</v>
      </c>
      <c r="E21295" s="10">
        <v>3117533</v>
      </c>
      <c r="F21295" s="4" t="str">
        <f>IF(B21295=B21294,"",B21295)</f>
        <v/>
      </c>
    </row>
    <row r="21296" spans="1:6" ht="15.75" customHeight="1">
      <c r="A21296" s="15" t="s">
        <v>26159</v>
      </c>
      <c r="B21296" s="15" t="s">
        <v>26159</v>
      </c>
      <c r="C21296" s="15" t="s">
        <v>26090</v>
      </c>
      <c r="D21296" s="15" t="s">
        <v>26159</v>
      </c>
      <c r="E21296" s="2">
        <v>2469274</v>
      </c>
      <c r="F21296" s="4" t="str">
        <f>IF(B21296=B21295,"",B21296)</f>
        <v>Manouba</v>
      </c>
    </row>
    <row r="21297" spans="1:6" ht="15.75" customHeight="1">
      <c r="A21297" s="8" t="str">
        <f ca="1">IFERROR(__xludf.DUMMYFUNCTION("GOOGLETRANSLATE(B41824,""en"",""pt"")"),"Manouba")</f>
        <v>Manouba</v>
      </c>
      <c r="B21297" s="11" t="s">
        <v>26159</v>
      </c>
      <c r="C21297" s="11" t="s">
        <v>26090</v>
      </c>
      <c r="D21297" s="11" t="s">
        <v>26159</v>
      </c>
      <c r="E21297" s="10">
        <v>2469274</v>
      </c>
      <c r="F21297" s="4" t="str">
        <f>IF(B21297=B21296,"",B21297)</f>
        <v/>
      </c>
    </row>
    <row r="21298" spans="1:6" ht="15.75" customHeight="1">
      <c r="A21298" s="15" t="s">
        <v>7529</v>
      </c>
      <c r="B21298" s="15" t="s">
        <v>7530</v>
      </c>
      <c r="C21298" s="15" t="s">
        <v>7052</v>
      </c>
      <c r="D21298" s="15" t="s">
        <v>7087</v>
      </c>
      <c r="E21298" s="2">
        <v>2996180</v>
      </c>
      <c r="F21298" s="4" t="str">
        <f>IF(B21298=B21297,"",B21298)</f>
        <v>Manosque</v>
      </c>
    </row>
    <row r="21299" spans="1:6" ht="15.75" customHeight="1">
      <c r="A21299" s="8" t="str">
        <f ca="1">IFERROR(__xludf.DUMMYFUNCTION("GOOGLETRANSLATE(B29943,""en"",""pt"")"),"Manosco")</f>
        <v>Manosco</v>
      </c>
      <c r="B21299" s="9" t="s">
        <v>7530</v>
      </c>
      <c r="C21299" s="9" t="s">
        <v>7052</v>
      </c>
      <c r="D21299" s="9" t="s">
        <v>32534</v>
      </c>
      <c r="E21299" s="10">
        <v>2996180</v>
      </c>
      <c r="F21299" s="4" t="str">
        <f>IF(B21299=B21298,"",B21299)</f>
        <v/>
      </c>
    </row>
    <row r="21300" spans="1:6" ht="15.75" customHeight="1">
      <c r="A21300" s="16" t="s">
        <v>20884</v>
      </c>
      <c r="B21300" s="15" t="s">
        <v>20884</v>
      </c>
      <c r="C21300" s="16" t="s">
        <v>20598</v>
      </c>
      <c r="D21300" s="16" t="s">
        <v>20687</v>
      </c>
      <c r="E21300" s="2">
        <v>1701537</v>
      </c>
      <c r="F21300" s="4" t="str">
        <f>IF(B21300=B21299,"",B21300)</f>
        <v>Manolo Fortich</v>
      </c>
    </row>
    <row r="21301" spans="1:6" ht="15.75" customHeight="1">
      <c r="A21301" s="8" t="str">
        <f ca="1">IFERROR(__xludf.DUMMYFUNCTION("GOOGLETRANSLATE(B38622,""en"",""pt"")"),"Manolo Fortich")</f>
        <v>Manolo Fortich</v>
      </c>
      <c r="B21301" s="9" t="s">
        <v>20884</v>
      </c>
      <c r="C21301" s="9" t="s">
        <v>20598</v>
      </c>
      <c r="D21301" s="9" t="s">
        <v>20687</v>
      </c>
      <c r="E21301" s="10">
        <v>1701537</v>
      </c>
      <c r="F21301" s="4" t="str">
        <f>IF(B21301=B21300,"",B21301)</f>
        <v/>
      </c>
    </row>
    <row r="21302" spans="1:6" ht="15.75" customHeight="1">
      <c r="A21302" s="16" t="s">
        <v>14029</v>
      </c>
      <c r="B21302" s="15" t="s">
        <v>14029</v>
      </c>
      <c r="C21302" s="16" t="s">
        <v>13800</v>
      </c>
      <c r="D21302" s="16" t="s">
        <v>14030</v>
      </c>
      <c r="E21302" s="2">
        <v>1636308</v>
      </c>
      <c r="F21302" s="4" t="str">
        <f>IF(B21302=B21301,"",B21302)</f>
        <v>Manokwari</v>
      </c>
    </row>
    <row r="21303" spans="1:6" ht="15.75" customHeight="1">
      <c r="A21303" s="8" t="str">
        <f ca="1">IFERROR(__xludf.DUMMYFUNCTION("GOOGLETRANSLATE(B31547,""en"",""pt"")"),"Manokwari")</f>
        <v>Manokwari</v>
      </c>
      <c r="B21303" s="11" t="s">
        <v>14029</v>
      </c>
      <c r="C21303" s="11" t="s">
        <v>13800</v>
      </c>
      <c r="D21303" s="11" t="s">
        <v>14030</v>
      </c>
      <c r="E21303" s="10">
        <v>1636308</v>
      </c>
      <c r="F21303" s="4" t="str">
        <f>IF(B21303=B21302,"",B21303)</f>
        <v/>
      </c>
    </row>
    <row r="21304" spans="1:6" ht="15.75" customHeight="1">
      <c r="A21304" s="16" t="s">
        <v>12359</v>
      </c>
      <c r="B21304" s="15" t="s">
        <v>12359</v>
      </c>
      <c r="C21304" s="16" t="s">
        <v>10178</v>
      </c>
      <c r="D21304" s="16" t="s">
        <v>10179</v>
      </c>
      <c r="E21304" s="2">
        <v>1263649</v>
      </c>
      <c r="F21304" s="4" t="str">
        <f>IF(B21304=B21303,"",B21304)</f>
        <v>Manoharpur</v>
      </c>
    </row>
    <row r="21305" spans="1:6" ht="15.75" customHeight="1">
      <c r="A21305" s="8" t="str">
        <f ca="1">IFERROR(__xludf.DUMMYFUNCTION("GOOGLETRANSLATE(B32812,""en"",""pt"")"),"Manoharpur")</f>
        <v>Manoharpur</v>
      </c>
      <c r="B21305" s="11" t="s">
        <v>12359</v>
      </c>
      <c r="C21305" s="11" t="s">
        <v>10178</v>
      </c>
      <c r="D21305" s="11" t="s">
        <v>10179</v>
      </c>
      <c r="E21305" s="10">
        <v>1263649</v>
      </c>
      <c r="F21305" s="4" t="str">
        <f>IF(B21305=B21304,"",B21305)</f>
        <v/>
      </c>
    </row>
    <row r="21306" spans="1:6" ht="15.75" customHeight="1">
      <c r="A21306" s="16" t="s">
        <v>8818</v>
      </c>
      <c r="B21306" s="15" t="s">
        <v>8818</v>
      </c>
      <c r="C21306" s="16" t="s">
        <v>8028</v>
      </c>
      <c r="D21306" s="16" t="s">
        <v>8031</v>
      </c>
      <c r="E21306" s="2">
        <v>2873891</v>
      </c>
      <c r="F21306" s="4" t="str">
        <f>IF(B21306=B21305,"",B21306)</f>
        <v>Mannheim</v>
      </c>
    </row>
    <row r="21307" spans="1:6" ht="15.75" customHeight="1">
      <c r="A21307" s="8" t="str">
        <f ca="1">IFERROR(__xludf.DUMMYFUNCTION("GOOGLETRANSLATE(B27788,""en"",""pt"")"),"Mannheim")</f>
        <v>Mannheim</v>
      </c>
      <c r="B21307" s="11" t="s">
        <v>8818</v>
      </c>
      <c r="C21307" s="11" t="s">
        <v>8028</v>
      </c>
      <c r="D21307" s="11" t="s">
        <v>32013</v>
      </c>
      <c r="E21307" s="10">
        <v>2873891</v>
      </c>
      <c r="F21307" s="4" t="str">
        <f>IF(B21307=B21306,"",B21307)</f>
        <v/>
      </c>
    </row>
    <row r="21308" spans="1:6" ht="15.75" customHeight="1">
      <c r="A21308" s="16" t="s">
        <v>12358</v>
      </c>
      <c r="B21308" s="15" t="s">
        <v>12358</v>
      </c>
      <c r="C21308" s="16" t="s">
        <v>10178</v>
      </c>
      <c r="D21308" s="16" t="s">
        <v>10196</v>
      </c>
      <c r="E21308" s="2">
        <v>1263659</v>
      </c>
      <c r="F21308" s="4" t="str">
        <f>IF(B21308=B21307,"",B21308)</f>
        <v>Mannargudi</v>
      </c>
    </row>
    <row r="21309" spans="1:6" ht="15.75" customHeight="1">
      <c r="A21309" s="8" t="str">
        <f ca="1">IFERROR(__xludf.DUMMYFUNCTION("GOOGLETRANSLATE(B32813,""en"",""pt"")"),"Mannargudi")</f>
        <v>Mannargudi</v>
      </c>
      <c r="B21309" s="9" t="s">
        <v>12358</v>
      </c>
      <c r="C21309" s="9" t="s">
        <v>10178</v>
      </c>
      <c r="D21309" s="9" t="s">
        <v>10196</v>
      </c>
      <c r="E21309" s="10">
        <v>1263659</v>
      </c>
      <c r="F21309" s="4" t="str">
        <f>IF(B21309=B21308,"",B21309)</f>
        <v/>
      </c>
    </row>
    <row r="21310" spans="1:6" ht="15.75" customHeight="1">
      <c r="A21310" s="8" t="str">
        <f ca="1">IFERROR(__xludf.DUMMYFUNCTION("GOOGLETRANSLATE(B32814,""en"",""pt"")"),"Mannārakkāt")</f>
        <v>Mannārakkāt</v>
      </c>
      <c r="B21310" s="11" t="s">
        <v>33401</v>
      </c>
      <c r="C21310" s="11" t="s">
        <v>10178</v>
      </c>
      <c r="D21310" s="11" t="s">
        <v>10246</v>
      </c>
      <c r="E21310" s="10">
        <v>1263661</v>
      </c>
      <c r="F21310" s="4" t="str">
        <f>IF(B21310=B21309,"",B21310)</f>
        <v>Mannārakkāt</v>
      </c>
    </row>
    <row r="21311" spans="1:6" ht="15.75" customHeight="1">
      <c r="A21311" s="16" t="s">
        <v>12356</v>
      </c>
      <c r="B21311" s="15" t="s">
        <v>12357</v>
      </c>
      <c r="C21311" s="16" t="s">
        <v>10178</v>
      </c>
      <c r="D21311" s="16" t="s">
        <v>10246</v>
      </c>
      <c r="E21311" s="2">
        <v>1263661</v>
      </c>
      <c r="F21311" s="4" t="str">
        <f>IF(B21311=B21310,"",B21311)</f>
        <v>MannÄrakkÄt</v>
      </c>
    </row>
    <row r="21312" spans="1:6" ht="15.75" customHeight="1">
      <c r="A21312" s="8" t="str">
        <f ca="1">IFERROR(__xludf.DUMMYFUNCTION("GOOGLETRANSLATE(B32815,""en"",""pt"")"),"Manmād")</f>
        <v>Manmād</v>
      </c>
      <c r="B21312" s="11" t="s">
        <v>33402</v>
      </c>
      <c r="C21312" s="11" t="s">
        <v>10178</v>
      </c>
      <c r="D21312" s="11" t="s">
        <v>10214</v>
      </c>
      <c r="E21312" s="10">
        <v>1263664</v>
      </c>
      <c r="F21312" s="4" t="str">
        <f>IF(B21312=B21311,"",B21312)</f>
        <v>Manmād</v>
      </c>
    </row>
    <row r="21313" spans="1:6" ht="15.75" customHeight="1">
      <c r="A21313" s="15" t="s">
        <v>12354</v>
      </c>
      <c r="B21313" s="15" t="s">
        <v>12355</v>
      </c>
      <c r="C21313" s="15" t="s">
        <v>10178</v>
      </c>
      <c r="D21313" s="15" t="s">
        <v>10214</v>
      </c>
      <c r="E21313" s="2">
        <v>1263664</v>
      </c>
      <c r="F21313" s="4" t="str">
        <f>IF(B21313=B21312,"",B21313)</f>
        <v>ManmÄd</v>
      </c>
    </row>
    <row r="21314" spans="1:6" ht="15.75" customHeight="1">
      <c r="A21314" s="15" t="s">
        <v>24594</v>
      </c>
      <c r="B21314" s="15" t="s">
        <v>24594</v>
      </c>
      <c r="C21314" s="15" t="s">
        <v>24200</v>
      </c>
      <c r="D21314" s="15" t="s">
        <v>24277</v>
      </c>
      <c r="E21314" s="2">
        <v>3117539</v>
      </c>
      <c r="F21314" s="4" t="str">
        <f>IF(B21314=B21313,"",B21314)</f>
        <v>Manlleu</v>
      </c>
    </row>
    <row r="21315" spans="1:6" ht="15.75" customHeight="1">
      <c r="A21315" s="8" t="str">
        <f ca="1">IFERROR(__xludf.DUMMYFUNCTION("GOOGLETRANSLATE(B29365,""en"",""pt"")"),"Manlleu")</f>
        <v>Manlleu</v>
      </c>
      <c r="B21315" s="9" t="s">
        <v>24594</v>
      </c>
      <c r="C21315" s="9" t="s">
        <v>24200</v>
      </c>
      <c r="D21315" s="9" t="s">
        <v>24277</v>
      </c>
      <c r="E21315" s="10">
        <v>3117539</v>
      </c>
      <c r="F21315" s="4" t="str">
        <f>IF(B21315=B21314,"",B21315)</f>
        <v/>
      </c>
    </row>
    <row r="21316" spans="1:6" ht="15.75" customHeight="1">
      <c r="A21316" s="15" t="s">
        <v>15652</v>
      </c>
      <c r="B21316" s="15" t="s">
        <v>15652</v>
      </c>
      <c r="C21316" s="15" t="s">
        <v>15586</v>
      </c>
      <c r="D21316" s="15" t="s">
        <v>15653</v>
      </c>
      <c r="E21316" s="2">
        <v>2284589</v>
      </c>
      <c r="F21316" s="4" t="str">
        <f>IF(B21316=B21315,"",B21316)</f>
        <v>Mankono</v>
      </c>
    </row>
    <row r="21317" spans="1:6" ht="15.75" customHeight="1">
      <c r="A21317" s="8" t="str">
        <f ca="1">IFERROR(__xludf.DUMMYFUNCTION("GOOGLETRANSLATE(B25840,""en"",""pt"")"),"Mankono")</f>
        <v>Mankono</v>
      </c>
      <c r="B21317" s="11" t="s">
        <v>15652</v>
      </c>
      <c r="C21317" s="11" t="s">
        <v>15586</v>
      </c>
      <c r="D21317" s="11" t="s">
        <v>15653</v>
      </c>
      <c r="E21317" s="10">
        <v>2284589</v>
      </c>
      <c r="F21317" s="4" t="str">
        <f>IF(B21317=B21316,"",B21317)</f>
        <v/>
      </c>
    </row>
    <row r="21318" spans="1:6" ht="15.75" customHeight="1">
      <c r="A21318" s="16" t="s">
        <v>20883</v>
      </c>
      <c r="B21318" s="15" t="s">
        <v>20883</v>
      </c>
      <c r="C21318" s="16" t="s">
        <v>20598</v>
      </c>
      <c r="D21318" s="16" t="s">
        <v>20436</v>
      </c>
      <c r="E21318" s="2">
        <v>1702002</v>
      </c>
      <c r="F21318" s="4" t="str">
        <f>IF(B21318=B21317,"",B21318)</f>
        <v>Mankayan</v>
      </c>
    </row>
    <row r="21319" spans="1:6" ht="15.75" customHeight="1">
      <c r="A21319" s="8" t="str">
        <f ca="1">IFERROR(__xludf.DUMMYFUNCTION("GOOGLETRANSLATE(B38628,""en"",""pt"")"),"Mankayan")</f>
        <v>Mankayan</v>
      </c>
      <c r="B21319" s="11" t="s">
        <v>20883</v>
      </c>
      <c r="C21319" s="11" t="s">
        <v>20598</v>
      </c>
      <c r="D21319" s="11" t="s">
        <v>20436</v>
      </c>
      <c r="E21319" s="10">
        <v>1702002</v>
      </c>
      <c r="F21319" s="4" t="str">
        <f>IF(B21319=B21318,"",B21319)</f>
        <v/>
      </c>
    </row>
    <row r="21320" spans="1:6" ht="15.75" customHeight="1">
      <c r="A21320" s="15" t="s">
        <v>29198</v>
      </c>
      <c r="B21320" s="15" t="s">
        <v>29198</v>
      </c>
      <c r="C21320" s="15" t="s">
        <v>27788</v>
      </c>
      <c r="D21320" s="15" t="s">
        <v>27824</v>
      </c>
      <c r="E21320" s="2">
        <v>5036420</v>
      </c>
      <c r="F21320" s="4" t="str">
        <f>IF(B21320=B21319,"",B21320)</f>
        <v>Mankato</v>
      </c>
    </row>
    <row r="21321" spans="1:6" ht="15.75" customHeight="1">
      <c r="A21321" s="8" t="str">
        <f ca="1">IFERROR(__xludf.DUMMYFUNCTION("GOOGLETRANSLATE(B44173,""en"",""pt"")"),"Mankato")</f>
        <v>Mankato</v>
      </c>
      <c r="B21321" s="9" t="s">
        <v>29198</v>
      </c>
      <c r="C21321" s="9" t="s">
        <v>27788</v>
      </c>
      <c r="D21321" s="9" t="s">
        <v>27824</v>
      </c>
      <c r="E21321" s="10">
        <v>5036420</v>
      </c>
      <c r="F21321" s="4" t="str">
        <f>IF(B21321=B21320,"",B21321)</f>
        <v/>
      </c>
    </row>
    <row r="21322" spans="1:6" ht="15.75" customHeight="1">
      <c r="A21322" s="8" t="str">
        <f ca="1">IFERROR(__xludf.DUMMYFUNCTION("GOOGLETRANSLATE(B32816,""en"",""pt"")"),"Mankāchar")</f>
        <v>Mankāchar</v>
      </c>
      <c r="B21322" s="11" t="s">
        <v>33403</v>
      </c>
      <c r="C21322" s="11" t="s">
        <v>10178</v>
      </c>
      <c r="D21322" s="11" t="s">
        <v>12353</v>
      </c>
      <c r="E21322" s="10">
        <v>1263678</v>
      </c>
      <c r="F21322" s="4" t="str">
        <f>IF(B21322=B21321,"",B21322)</f>
        <v>Mankāchar</v>
      </c>
    </row>
    <row r="21323" spans="1:6" ht="15.75" customHeight="1">
      <c r="A21323" s="16" t="s">
        <v>12351</v>
      </c>
      <c r="B21323" s="15" t="s">
        <v>12352</v>
      </c>
      <c r="C21323" s="16" t="s">
        <v>10178</v>
      </c>
      <c r="D21323" s="16" t="s">
        <v>12353</v>
      </c>
      <c r="E21323" s="2">
        <v>1263678</v>
      </c>
      <c r="F21323" s="4" t="str">
        <f>IF(B21323=B21322,"",B21323)</f>
        <v>MankÄchar</v>
      </c>
    </row>
    <row r="21324" spans="1:6" ht="15.75" customHeight="1">
      <c r="A21324" s="15" t="s">
        <v>3942</v>
      </c>
      <c r="B21324" s="15" t="s">
        <v>3942</v>
      </c>
      <c r="C21324" s="15" t="s">
        <v>3884</v>
      </c>
      <c r="D21324" s="15" t="s">
        <v>1761</v>
      </c>
      <c r="E21324" s="2">
        <v>2228499</v>
      </c>
      <c r="F21324" s="4" t="str">
        <f>IF(B21324=B21323,"",B21324)</f>
        <v>Manjo</v>
      </c>
    </row>
    <row r="21325" spans="1:6" ht="15.75" customHeight="1">
      <c r="A21325" s="8" t="str">
        <f ca="1">IFERROR(__xludf.DUMMYFUNCTION("GOOGLETRANSLATE(B26005,""en"",""pt"")"),"Manjo")</f>
        <v>Manjo</v>
      </c>
      <c r="B21325" s="11" t="s">
        <v>3942</v>
      </c>
      <c r="C21325" s="11" t="s">
        <v>3884</v>
      </c>
      <c r="D21325" s="11" t="s">
        <v>1761</v>
      </c>
      <c r="E21325" s="10">
        <v>2228499</v>
      </c>
      <c r="F21325" s="4" t="str">
        <f>IF(B21325=B21324,"",B21325)</f>
        <v/>
      </c>
    </row>
    <row r="21326" spans="1:6" ht="15.75" customHeight="1">
      <c r="A21326" s="16" t="s">
        <v>12350</v>
      </c>
      <c r="B21326" s="15" t="s">
        <v>12350</v>
      </c>
      <c r="C21326" s="16" t="s">
        <v>10178</v>
      </c>
      <c r="D21326" s="16" t="s">
        <v>10193</v>
      </c>
      <c r="E21326" s="2">
        <v>1263691</v>
      </c>
      <c r="F21326" s="4" t="str">
        <f>IF(B21326=B21325,"",B21326)</f>
        <v>Manjhanpur</v>
      </c>
    </row>
    <row r="21327" spans="1:6" ht="15.75" customHeight="1">
      <c r="A21327" s="8" t="str">
        <f ca="1">IFERROR(__xludf.DUMMYFUNCTION("GOOGLETRANSLATE(B32818,""en"",""pt"")"),"Manjhanpur")</f>
        <v>Manjhanpur</v>
      </c>
      <c r="B21327" s="11" t="s">
        <v>12350</v>
      </c>
      <c r="C21327" s="11" t="s">
        <v>10178</v>
      </c>
      <c r="D21327" s="11" t="s">
        <v>10193</v>
      </c>
      <c r="E21327" s="10">
        <v>1263691</v>
      </c>
      <c r="F21327" s="4" t="str">
        <f>IF(B21327=B21326,"",B21327)</f>
        <v/>
      </c>
    </row>
    <row r="21328" spans="1:6" ht="15.75" customHeight="1">
      <c r="A21328" s="15" t="s">
        <v>12349</v>
      </c>
      <c r="B21328" s="15" t="s">
        <v>12349</v>
      </c>
      <c r="C21328" s="15" t="s">
        <v>10178</v>
      </c>
      <c r="D21328" s="15" t="s">
        <v>10246</v>
      </c>
      <c r="E21328" s="2">
        <v>1263694</v>
      </c>
      <c r="F21328" s="4" t="str">
        <f>IF(B21328=B21327,"",B21328)</f>
        <v>Manjeri</v>
      </c>
    </row>
    <row r="21329" spans="1:6" ht="15.75" customHeight="1">
      <c r="A21329" s="8" t="str">
        <f ca="1">IFERROR(__xludf.DUMMYFUNCTION("GOOGLETRANSLATE(B32819,""en"",""pt"")"),"Manjeri")</f>
        <v>Manjeri</v>
      </c>
      <c r="B21329" s="9" t="s">
        <v>12349</v>
      </c>
      <c r="C21329" s="9" t="s">
        <v>10178</v>
      </c>
      <c r="D21329" s="9" t="s">
        <v>10246</v>
      </c>
      <c r="E21329" s="10">
        <v>1263694</v>
      </c>
      <c r="F21329" s="4" t="str">
        <f>IF(B21329=B21328,"",B21329)</f>
        <v/>
      </c>
    </row>
    <row r="21330" spans="1:6" ht="15.75" customHeight="1">
      <c r="A21330" s="16" t="s">
        <v>17379</v>
      </c>
      <c r="B21330" s="15" t="s">
        <v>17379</v>
      </c>
      <c r="C21330" s="16" t="s">
        <v>17292</v>
      </c>
      <c r="D21330" s="16" t="s">
        <v>17293</v>
      </c>
      <c r="E21330" s="2">
        <v>1060673</v>
      </c>
      <c r="F21330" s="4" t="str">
        <f>IF(B21330=B21329,"",B21330)</f>
        <v>Manjakandriana</v>
      </c>
    </row>
    <row r="21331" spans="1:6" ht="15.75" customHeight="1">
      <c r="A21331" s="8" t="str">
        <f ca="1">IFERROR(__xludf.DUMMYFUNCTION("GOOGLETRANSLATE(B36582,""en"",""pt"")"),"Manjakandriana")</f>
        <v>Manjakandriana</v>
      </c>
      <c r="B21331" s="9" t="s">
        <v>17379</v>
      </c>
      <c r="C21331" s="9" t="s">
        <v>17292</v>
      </c>
      <c r="D21331" s="9" t="s">
        <v>17293</v>
      </c>
      <c r="E21331" s="10">
        <v>1060673</v>
      </c>
      <c r="F21331" s="4" t="str">
        <f>IF(B21331=B21330,"",B21331)</f>
        <v/>
      </c>
    </row>
    <row r="21332" spans="1:6" ht="15.75" customHeight="1">
      <c r="A21332" s="16" t="s">
        <v>18676</v>
      </c>
      <c r="B21332" s="15" t="s">
        <v>18676</v>
      </c>
      <c r="C21332" s="16" t="s">
        <v>18655</v>
      </c>
      <c r="D21332" s="16" t="s">
        <v>18661</v>
      </c>
      <c r="E21332" s="2">
        <v>1040938</v>
      </c>
      <c r="F21332" s="4" t="str">
        <f>IF(B21332=B21331,"",B21332)</f>
        <v>Manjacaze</v>
      </c>
    </row>
    <row r="21333" spans="1:6" ht="15.75" customHeight="1">
      <c r="A21333" s="8" t="str">
        <f ca="1">IFERROR(__xludf.DUMMYFUNCTION("GOOGLETRANSLATE(B37555,""en"",""pt"")"),"Manjacaze")</f>
        <v>Manjacaze</v>
      </c>
      <c r="B21333" s="9" t="s">
        <v>18676</v>
      </c>
      <c r="C21333" s="9" t="s">
        <v>18655</v>
      </c>
      <c r="D21333" s="9" t="s">
        <v>18661</v>
      </c>
      <c r="E21333" s="10">
        <v>1040938</v>
      </c>
      <c r="F21333" s="4" t="str">
        <f>IF(B21333=B21332,"",B21333)</f>
        <v/>
      </c>
    </row>
    <row r="21334" spans="1:6" ht="15.75" customHeight="1">
      <c r="A21334" s="16" t="s">
        <v>5518</v>
      </c>
      <c r="B21334" s="15" t="s">
        <v>5518</v>
      </c>
      <c r="C21334" s="16" t="s">
        <v>5348</v>
      </c>
      <c r="D21334" s="16" t="s">
        <v>5353</v>
      </c>
      <c r="E21334" s="2">
        <v>3675443</v>
      </c>
      <c r="F21334" s="4" t="str">
        <f>IF(B21334=B21333,"",B21334)</f>
        <v>Manizales</v>
      </c>
    </row>
    <row r="21335" spans="1:6" ht="15.75" customHeight="1">
      <c r="A21335" s="8" t="str">
        <f ca="1">IFERROR(__xludf.DUMMYFUNCTION("GOOGLETRANSLATE(B26945,""en"",""pt"")"),"Manizales")</f>
        <v>Manizales</v>
      </c>
      <c r="B21335" s="9" t="s">
        <v>5518</v>
      </c>
      <c r="C21335" s="9" t="s">
        <v>5348</v>
      </c>
      <c r="D21335" s="9" t="s">
        <v>5353</v>
      </c>
      <c r="E21335" s="10">
        <v>3675443</v>
      </c>
      <c r="F21335" s="4" t="str">
        <f>IF(B21335=B21334,"",B21335)</f>
        <v/>
      </c>
    </row>
    <row r="21336" spans="1:6" ht="15.75" customHeight="1">
      <c r="A21336" s="16" t="s">
        <v>29197</v>
      </c>
      <c r="B21336" s="15" t="s">
        <v>29197</v>
      </c>
      <c r="C21336" s="16" t="s">
        <v>27788</v>
      </c>
      <c r="D21336" s="16" t="s">
        <v>27890</v>
      </c>
      <c r="E21336" s="2">
        <v>5261585</v>
      </c>
      <c r="F21336" s="4" t="str">
        <f>IF(B21336=B21335,"",B21336)</f>
        <v>Manitowoc</v>
      </c>
    </row>
    <row r="21337" spans="1:6" ht="15.75" customHeight="1">
      <c r="A21337" s="8" t="str">
        <f ca="1">IFERROR(__xludf.DUMMYFUNCTION("GOOGLETRANSLATE(B44653,""en"",""pt"")"),"Manitowoc")</f>
        <v>Manitowoc</v>
      </c>
      <c r="B21337" s="9" t="s">
        <v>29197</v>
      </c>
      <c r="C21337" s="9" t="s">
        <v>27788</v>
      </c>
      <c r="D21337" s="9" t="s">
        <v>27890</v>
      </c>
      <c r="E21337" s="10">
        <v>5261585</v>
      </c>
      <c r="F21337" s="4" t="str">
        <f>IF(B21337=B21336,"",B21337)</f>
        <v/>
      </c>
    </row>
    <row r="21338" spans="1:6" ht="15.75" customHeight="1">
      <c r="A21338" s="16" t="s">
        <v>14027</v>
      </c>
      <c r="B21338" s="15" t="s">
        <v>14027</v>
      </c>
      <c r="C21338" s="16" t="s">
        <v>13800</v>
      </c>
      <c r="D21338" s="16" t="s">
        <v>14028</v>
      </c>
      <c r="E21338" s="2">
        <v>1636322</v>
      </c>
      <c r="F21338" s="4" t="str">
        <f>IF(B21338=B21337,"",B21338)</f>
        <v>Manismata</v>
      </c>
    </row>
    <row r="21339" spans="1:6" ht="15.75" customHeight="1">
      <c r="A21339" s="8" t="str">
        <f ca="1">IFERROR(__xludf.DUMMYFUNCTION("GOOGLETRANSLATE(B31548,""en"",""pt"")"),"Manismata")</f>
        <v>Manismata</v>
      </c>
      <c r="B21339" s="9" t="s">
        <v>14027</v>
      </c>
      <c r="C21339" s="9" t="s">
        <v>13800</v>
      </c>
      <c r="D21339" s="9" t="s">
        <v>14028</v>
      </c>
      <c r="E21339" s="10">
        <v>1636322</v>
      </c>
      <c r="F21339" s="4" t="str">
        <f>IF(B21339=B21338,"",B21339)</f>
        <v/>
      </c>
    </row>
    <row r="21340" spans="1:6" ht="15.75" customHeight="1">
      <c r="A21340" s="15" t="s">
        <v>24593</v>
      </c>
      <c r="B21340" s="15" t="s">
        <v>24593</v>
      </c>
      <c r="C21340" s="15" t="s">
        <v>24200</v>
      </c>
      <c r="D21340" s="15" t="s">
        <v>21053</v>
      </c>
      <c r="E21340" s="2">
        <v>2514197</v>
      </c>
      <c r="F21340" s="4" t="str">
        <f>IF(B21340=B21339,"",B21340)</f>
        <v>Manises</v>
      </c>
    </row>
    <row r="21341" spans="1:6" ht="15.75" customHeight="1">
      <c r="A21341" s="8" t="str">
        <f ca="1">IFERROR(__xludf.DUMMYFUNCTION("GOOGLETRANSLATE(B29066,""en"",""pt"")"),"Manises")</f>
        <v>Manises</v>
      </c>
      <c r="B21341" s="9" t="s">
        <v>24593</v>
      </c>
      <c r="C21341" s="9" t="s">
        <v>24200</v>
      </c>
      <c r="D21341" s="9" t="s">
        <v>21053</v>
      </c>
      <c r="E21341" s="10">
        <v>2514197</v>
      </c>
      <c r="F21341" s="4" t="str">
        <f>IF(B21341=B21340,"",B21341)</f>
        <v/>
      </c>
    </row>
    <row r="21342" spans="1:6" ht="15.75" customHeight="1">
      <c r="A21342" s="15" t="s">
        <v>26299</v>
      </c>
      <c r="B21342" s="15" t="s">
        <v>26299</v>
      </c>
      <c r="C21342" s="15" t="s">
        <v>26201</v>
      </c>
      <c r="D21342" s="15" t="s">
        <v>26299</v>
      </c>
      <c r="E21342" s="2">
        <v>304827</v>
      </c>
      <c r="F21342" s="4" t="str">
        <f>IF(B21342=B21341,"",B21342)</f>
        <v>Manisa</v>
      </c>
    </row>
    <row r="21343" spans="1:6" ht="15.75" customHeight="1">
      <c r="A21343" s="8" t="str">
        <f ca="1">IFERROR(__xludf.DUMMYFUNCTION("GOOGLETRANSLATE(B41940,""en"",""pt"")"),"Manisa")</f>
        <v>Manisa</v>
      </c>
      <c r="B21343" s="11" t="s">
        <v>26299</v>
      </c>
      <c r="C21343" s="11" t="s">
        <v>26201</v>
      </c>
      <c r="D21343" s="11" t="s">
        <v>26299</v>
      </c>
      <c r="E21343" s="10">
        <v>304827</v>
      </c>
      <c r="F21343" s="4" t="str">
        <f>IF(B21343=B21342,"",B21343)</f>
        <v/>
      </c>
    </row>
    <row r="21344" spans="1:6" ht="15.75" customHeight="1">
      <c r="A21344" s="15" t="s">
        <v>20882</v>
      </c>
      <c r="B21344" s="15" t="s">
        <v>20882</v>
      </c>
      <c r="C21344" s="15" t="s">
        <v>20598</v>
      </c>
      <c r="D21344" s="15" t="s">
        <v>20723</v>
      </c>
      <c r="E21344" s="2">
        <v>1701668</v>
      </c>
      <c r="F21344" s="4" t="str">
        <f>IF(B21344=B21343,"",B21344)</f>
        <v>Manila</v>
      </c>
    </row>
    <row r="21345" spans="1:6" ht="15.75" customHeight="1">
      <c r="A21345" s="8" t="str">
        <f ca="1">IFERROR(__xludf.DUMMYFUNCTION("GOOGLETRANSLATE(B38623,""en"",""pt"")"),"Manila")</f>
        <v>Manila</v>
      </c>
      <c r="B21345" s="11" t="s">
        <v>20882</v>
      </c>
      <c r="C21345" s="11" t="s">
        <v>20598</v>
      </c>
      <c r="D21345" s="11" t="s">
        <v>20723</v>
      </c>
      <c r="E21345" s="10">
        <v>1701668</v>
      </c>
      <c r="F21345" s="4" t="str">
        <f>IF(B21345=B21344,"",B21345)</f>
        <v/>
      </c>
    </row>
    <row r="21346" spans="1:6" ht="15.75" customHeight="1">
      <c r="A21346" s="16" t="s">
        <v>1374</v>
      </c>
      <c r="B21346" s="15" t="s">
        <v>1374</v>
      </c>
      <c r="C21346" s="16" t="s">
        <v>1296</v>
      </c>
      <c r="D21346" s="16" t="s">
        <v>1302</v>
      </c>
      <c r="E21346" s="2">
        <v>1462681</v>
      </c>
      <c r="F21346" s="4" t="str">
        <f>IF(B21346=B21345,"",B21346)</f>
        <v>Manikchari</v>
      </c>
    </row>
    <row r="21347" spans="1:6" ht="15.75" customHeight="1">
      <c r="A21347" s="8" t="str">
        <f ca="1">IFERROR(__xludf.DUMMYFUNCTION("GOOGLETRANSLATE(B23785,""en"",""pt"")"),"Manikchari")</f>
        <v>Manikchari</v>
      </c>
      <c r="B21347" s="11" t="s">
        <v>1374</v>
      </c>
      <c r="C21347" s="11" t="s">
        <v>1296</v>
      </c>
      <c r="D21347" s="11" t="s">
        <v>1302</v>
      </c>
      <c r="E21347" s="10">
        <v>1462681</v>
      </c>
      <c r="F21347" s="4" t="str">
        <f>IF(B21347=B21346,"",B21347)</f>
        <v/>
      </c>
    </row>
    <row r="21348" spans="1:6" ht="15.75" customHeight="1">
      <c r="A21348" s="8" t="str">
        <f ca="1">IFERROR(__xludf.DUMMYFUNCTION("GOOGLETRANSLATE(B32820,""en"",""pt"")"),"Manihāri")</f>
        <v>Manihāri</v>
      </c>
      <c r="B21348" s="9" t="s">
        <v>33405</v>
      </c>
      <c r="C21348" s="9" t="s">
        <v>10178</v>
      </c>
      <c r="D21348" s="9" t="s">
        <v>10317</v>
      </c>
      <c r="E21348" s="10">
        <v>1263723</v>
      </c>
      <c r="F21348" s="4" t="str">
        <f>IF(B21348=B21347,"",B21348)</f>
        <v>Manihāri</v>
      </c>
    </row>
    <row r="21349" spans="1:6" ht="15.75" customHeight="1">
      <c r="A21349" s="15" t="s">
        <v>12347</v>
      </c>
      <c r="B21349" s="15" t="s">
        <v>12348</v>
      </c>
      <c r="C21349" s="15" t="s">
        <v>10178</v>
      </c>
      <c r="D21349" s="15" t="s">
        <v>10317</v>
      </c>
      <c r="E21349" s="2">
        <v>1263723</v>
      </c>
      <c r="F21349" s="4" t="str">
        <f>IF(B21349=B21348,"",B21349)</f>
        <v>ManihÄri</v>
      </c>
    </row>
    <row r="21350" spans="1:6" ht="15.75" customHeight="1">
      <c r="A21350" s="16" t="s">
        <v>5871</v>
      </c>
      <c r="B21350" s="15" t="s">
        <v>5871</v>
      </c>
      <c r="C21350" s="16" t="s">
        <v>5764</v>
      </c>
      <c r="D21350" s="16" t="s">
        <v>5803</v>
      </c>
      <c r="E21350" s="2">
        <v>3547976</v>
      </c>
      <c r="F21350" s="4" t="str">
        <f>IF(B21350=B21349,"",B21350)</f>
        <v>Manicaragua</v>
      </c>
    </row>
    <row r="21351" spans="1:6" ht="15.75" customHeight="1">
      <c r="A21351" s="8" t="str">
        <f ca="1">IFERROR(__xludf.DUMMYFUNCTION("GOOGLETRANSLATE(B27151,""en"",""pt"")"),"Manicaragua")</f>
        <v>Manicaragua</v>
      </c>
      <c r="B21351" s="11" t="s">
        <v>5871</v>
      </c>
      <c r="C21351" s="11" t="s">
        <v>5764</v>
      </c>
      <c r="D21351" s="11" t="s">
        <v>5803</v>
      </c>
      <c r="E21351" s="10">
        <v>3547976</v>
      </c>
      <c r="F21351" s="4" t="str">
        <f>IF(B21351=B21350,"",B21351)</f>
        <v/>
      </c>
    </row>
    <row r="21352" spans="1:6" ht="15.75" customHeight="1">
      <c r="A21352" s="16" t="s">
        <v>20881</v>
      </c>
      <c r="B21352" s="15" t="s">
        <v>20881</v>
      </c>
      <c r="C21352" s="16" t="s">
        <v>20598</v>
      </c>
      <c r="D21352" s="16" t="s">
        <v>20599</v>
      </c>
      <c r="E21352" s="2">
        <v>1701692</v>
      </c>
      <c r="F21352" s="4" t="str">
        <f>IF(B21352=B21351,"",B21352)</f>
        <v>Manibaug Pasig</v>
      </c>
    </row>
    <row r="21353" spans="1:6" ht="15.75" customHeight="1">
      <c r="A21353" s="8" t="str">
        <f ca="1">IFERROR(__xludf.DUMMYFUNCTION("GOOGLETRANSLATE(B38624,""en"",""pt"")"),"Manibaug Pasig")</f>
        <v>Manibaug Pasig</v>
      </c>
      <c r="B21353" s="11" t="s">
        <v>20881</v>
      </c>
      <c r="C21353" s="11" t="s">
        <v>20598</v>
      </c>
      <c r="D21353" s="11" t="s">
        <v>20599</v>
      </c>
      <c r="E21353" s="10">
        <v>1701692</v>
      </c>
      <c r="F21353" s="4" t="str">
        <f>IF(B21353=B21352,"",B21353)</f>
        <v/>
      </c>
    </row>
    <row r="21354" spans="1:6" ht="15.75" customHeight="1">
      <c r="A21354" s="15" t="s">
        <v>12346</v>
      </c>
      <c r="B21354" s="15" t="s">
        <v>12346</v>
      </c>
      <c r="C21354" s="15" t="s">
        <v>10178</v>
      </c>
      <c r="D21354" s="15" t="s">
        <v>10193</v>
      </c>
      <c r="E21354" s="2">
        <v>1263730</v>
      </c>
      <c r="F21354" s="4" t="str">
        <f>IF(B21354=B21353,"",B21354)</f>
        <v>Maniar</v>
      </c>
    </row>
    <row r="21355" spans="1:6" ht="15.75" customHeight="1">
      <c r="A21355" s="8" t="str">
        <f ca="1">IFERROR(__xludf.DUMMYFUNCTION("GOOGLETRANSLATE(B32821,""en"",""pt"")"),"Maniar")</f>
        <v>Maniar</v>
      </c>
      <c r="B21355" s="11" t="s">
        <v>12346</v>
      </c>
      <c r="C21355" s="11" t="s">
        <v>10178</v>
      </c>
      <c r="D21355" s="11" t="s">
        <v>10193</v>
      </c>
      <c r="E21355" s="10">
        <v>1263730</v>
      </c>
      <c r="F21355" s="4" t="str">
        <f>IF(B21355=B21354,"",B21355)</f>
        <v/>
      </c>
    </row>
    <row r="21356" spans="1:6" ht="15.75" customHeight="1">
      <c r="A21356" s="16" t="s">
        <v>2850</v>
      </c>
      <c r="B21356" s="15" t="s">
        <v>2850</v>
      </c>
      <c r="C21356" s="16" t="s">
        <v>1905</v>
      </c>
      <c r="D21356" s="16" t="s">
        <v>1917</v>
      </c>
      <c r="E21356" s="2">
        <v>3457950</v>
      </c>
      <c r="F21356" s="4" t="str">
        <f>IF(B21356=B21355,"",B21356)</f>
        <v>Manhumirim</v>
      </c>
    </row>
    <row r="21357" spans="1:6" ht="15.75" customHeight="1">
      <c r="A21357" s="8" t="str">
        <f ca="1">IFERROR(__xludf.DUMMYFUNCTION("GOOGLETRANSLATE(B24839,""en"",""pt"")"),"Manhumirim")</f>
        <v>Manhumirim</v>
      </c>
      <c r="B21357" s="11" t="s">
        <v>2850</v>
      </c>
      <c r="C21357" s="11" t="s">
        <v>1905</v>
      </c>
      <c r="D21357" s="11" t="s">
        <v>1917</v>
      </c>
      <c r="E21357" s="10">
        <v>3457950</v>
      </c>
      <c r="F21357" s="4" t="str">
        <f>IF(B21357=B21356,"",B21357)</f>
        <v/>
      </c>
    </row>
    <row r="21358" spans="1:6" ht="15.75" customHeight="1">
      <c r="A21358" s="8" t="str">
        <f ca="1">IFERROR(__xludf.DUMMYFUNCTION("GOOGLETRANSLATE(B24840,""en"",""pt"")"),"Manhuaçu")</f>
        <v>Manhuaçu</v>
      </c>
      <c r="B21358" s="9" t="s">
        <v>31600</v>
      </c>
      <c r="C21358" s="9" t="s">
        <v>1905</v>
      </c>
      <c r="D21358" s="9" t="s">
        <v>1917</v>
      </c>
      <c r="E21358" s="10">
        <v>3457952</v>
      </c>
      <c r="F21358" s="4" t="str">
        <f>IF(B21358=B21357,"",B21358)</f>
        <v>Manhuaçu</v>
      </c>
    </row>
    <row r="21359" spans="1:6" ht="15.75" customHeight="1">
      <c r="A21359" s="16" t="s">
        <v>2848</v>
      </c>
      <c r="B21359" s="15" t="s">
        <v>2849</v>
      </c>
      <c r="C21359" s="16" t="s">
        <v>1905</v>
      </c>
      <c r="D21359" s="16" t="s">
        <v>1917</v>
      </c>
      <c r="E21359" s="2">
        <v>3457952</v>
      </c>
      <c r="F21359" s="4" t="str">
        <f>IF(B21359=B21358,"",B21359)</f>
        <v>ManhuaÃ§u</v>
      </c>
    </row>
    <row r="21360" spans="1:6" ht="15.75" customHeight="1">
      <c r="A21360" s="16" t="s">
        <v>29196</v>
      </c>
      <c r="B21360" s="15" t="s">
        <v>29196</v>
      </c>
      <c r="C21360" s="16" t="s">
        <v>27788</v>
      </c>
      <c r="D21360" s="16" t="s">
        <v>27801</v>
      </c>
      <c r="E21360" s="2">
        <v>5370082</v>
      </c>
      <c r="F21360" s="4" t="str">
        <f>IF(B21360=B21359,"",B21360)</f>
        <v>Manhattan Beach</v>
      </c>
    </row>
    <row r="21361" spans="1:6" ht="15.75" customHeight="1">
      <c r="A21361" s="8" t="str">
        <f ca="1">IFERROR(__xludf.DUMMYFUNCTION("GOOGLETRANSLATE(B44897,""en"",""pt"")"),"Manhattan Beach")</f>
        <v>Manhattan Beach</v>
      </c>
      <c r="B21361" s="9" t="s">
        <v>29196</v>
      </c>
      <c r="C21361" s="9" t="s">
        <v>27788</v>
      </c>
      <c r="D21361" s="9" t="s">
        <v>27801</v>
      </c>
      <c r="E21361" s="10">
        <v>5370082</v>
      </c>
      <c r="F21361" s="4" t="str">
        <f>IF(B21361=B21360,"",B21361)</f>
        <v/>
      </c>
    </row>
    <row r="21362" spans="1:6" ht="15.75" customHeight="1">
      <c r="A21362" s="16" t="s">
        <v>29195</v>
      </c>
      <c r="B21362" s="15" t="s">
        <v>29195</v>
      </c>
      <c r="C21362" s="16" t="s">
        <v>27788</v>
      </c>
      <c r="D21362" s="16" t="s">
        <v>28419</v>
      </c>
      <c r="E21362" s="2">
        <v>4274994</v>
      </c>
      <c r="F21362" s="4" t="str">
        <f>IF(B21362=B21361,"",B21362)</f>
        <v>Manhattan</v>
      </c>
    </row>
    <row r="21363" spans="1:6" ht="15.75" customHeight="1">
      <c r="A21363" s="16" t="s">
        <v>29195</v>
      </c>
      <c r="B21363" s="15" t="s">
        <v>29195</v>
      </c>
      <c r="C21363" s="16" t="s">
        <v>27788</v>
      </c>
      <c r="D21363" s="16" t="s">
        <v>27819</v>
      </c>
      <c r="E21363" s="2">
        <v>5125771</v>
      </c>
      <c r="F21363" s="4" t="str">
        <f>IF(B21363=B21362,"",B21363)</f>
        <v/>
      </c>
    </row>
    <row r="21364" spans="1:6" ht="15.75" customHeight="1">
      <c r="A21364" s="8" t="str">
        <f ca="1">IFERROR(__xludf.DUMMYFUNCTION("GOOGLETRANSLATE(B43177,""en"",""pt"")"),"Manhattan")</f>
        <v>Manhattan</v>
      </c>
      <c r="B21364" s="9" t="s">
        <v>29195</v>
      </c>
      <c r="C21364" s="9" t="s">
        <v>27788</v>
      </c>
      <c r="D21364" s="9" t="s">
        <v>28419</v>
      </c>
      <c r="E21364" s="10">
        <v>4274994</v>
      </c>
      <c r="F21364" s="4" t="str">
        <f>IF(B21364=B21363,"",B21364)</f>
        <v/>
      </c>
    </row>
    <row r="21365" spans="1:6" ht="15.75" customHeight="1">
      <c r="A21365" s="8" t="str">
        <f ca="1">IFERROR(__xludf.DUMMYFUNCTION("GOOGLETRANSLATE(B44404,""en"",""pt"")"),"Manhattan")</f>
        <v>Manhattan</v>
      </c>
      <c r="B21365" s="11" t="s">
        <v>29195</v>
      </c>
      <c r="C21365" s="11" t="s">
        <v>27788</v>
      </c>
      <c r="D21365" s="11" t="s">
        <v>27819</v>
      </c>
      <c r="E21365" s="10">
        <v>5125771</v>
      </c>
      <c r="F21365" s="4" t="str">
        <f>IF(B21365=B21364,"",B21365)</f>
        <v/>
      </c>
    </row>
    <row r="21366" spans="1:6" ht="15.75" customHeight="1">
      <c r="A21366" s="8" t="str">
        <f ca="1">IFERROR(__xludf.DUMMYFUNCTION("GOOGLETRANSLATE(B32822,""en"",""pt"")"),"Mangrūl pīr")</f>
        <v>Mangrūl pīr</v>
      </c>
      <c r="B21366" s="9" t="s">
        <v>33406</v>
      </c>
      <c r="C21366" s="9" t="s">
        <v>10178</v>
      </c>
      <c r="D21366" s="9" t="s">
        <v>10214</v>
      </c>
      <c r="E21366" s="10">
        <v>1263744</v>
      </c>
      <c r="F21366" s="4" t="str">
        <f>IF(B21366=B21365,"",B21366)</f>
        <v>Mangrūl Pīr</v>
      </c>
    </row>
    <row r="21367" spans="1:6" ht="15.75" customHeight="1">
      <c r="A21367" s="8" t="str">
        <f ca="1">IFERROR(__xludf.DUMMYFUNCTION("GOOGLETRANSLATE(B32823,""en"",""pt"")"),"Māngrol")</f>
        <v>Māngrol</v>
      </c>
      <c r="B21367" s="11" t="s">
        <v>33407</v>
      </c>
      <c r="C21367" s="11" t="s">
        <v>10178</v>
      </c>
      <c r="D21367" s="11" t="s">
        <v>10179</v>
      </c>
      <c r="E21367" s="10">
        <v>1263751</v>
      </c>
      <c r="F21367" s="4" t="str">
        <f>IF(B21367=B21366,"",B21367)</f>
        <v>Māngrol</v>
      </c>
    </row>
    <row r="21368" spans="1:6" ht="15.75" customHeight="1">
      <c r="A21368" s="8" t="str">
        <f ca="1">IFERROR(__xludf.DUMMYFUNCTION("GOOGLETRANSLATE(B32824,""en"",""pt"")"),"Māngrol")</f>
        <v>Māngrol</v>
      </c>
      <c r="B21368" s="9" t="s">
        <v>33407</v>
      </c>
      <c r="C21368" s="9" t="s">
        <v>10178</v>
      </c>
      <c r="D21368" s="9" t="s">
        <v>10209</v>
      </c>
      <c r="E21368" s="10">
        <v>1263752</v>
      </c>
      <c r="F21368" s="4" t="str">
        <f>IF(B21368=B21367,"",B21368)</f>
        <v/>
      </c>
    </row>
    <row r="21369" spans="1:6" ht="15.75" customHeight="1">
      <c r="A21369" s="16" t="s">
        <v>12344</v>
      </c>
      <c r="B21369" s="15" t="s">
        <v>12345</v>
      </c>
      <c r="C21369" s="16" t="s">
        <v>10178</v>
      </c>
      <c r="D21369" s="16" t="s">
        <v>10214</v>
      </c>
      <c r="E21369" s="2">
        <v>1263744</v>
      </c>
      <c r="F21369" s="4" t="str">
        <f>IF(B21369=B21368,"",B21369)</f>
        <v>MangrÅ«l PÄ«r</v>
      </c>
    </row>
    <row r="21370" spans="1:6" ht="15.75" customHeight="1">
      <c r="A21370" s="16" t="s">
        <v>27522</v>
      </c>
      <c r="B21370" s="15" t="s">
        <v>27522</v>
      </c>
      <c r="C21370" s="16" t="s">
        <v>27234</v>
      </c>
      <c r="D21370" s="16" t="s">
        <v>27241</v>
      </c>
      <c r="E21370" s="2">
        <v>2643116</v>
      </c>
      <c r="F21370" s="4" t="str">
        <f>IF(B21370=B21369,"",B21370)</f>
        <v>Mangotsfield</v>
      </c>
    </row>
    <row r="21371" spans="1:6" ht="15.75" customHeight="1">
      <c r="A21371" s="8" t="str">
        <f ca="1">IFERROR(__xludf.DUMMYFUNCTION("GOOGLETRANSLATE(B30551,""en"",""pt"")"),"Mangotsfield")</f>
        <v>Mangotsfield</v>
      </c>
      <c r="B21371" s="11" t="s">
        <v>27522</v>
      </c>
      <c r="C21371" s="11" t="s">
        <v>27234</v>
      </c>
      <c r="D21371" s="11" t="s">
        <v>27241</v>
      </c>
      <c r="E21371" s="10">
        <v>2643116</v>
      </c>
      <c r="F21371" s="4" t="str">
        <f>IF(B21371=B21370,"",B21371)</f>
        <v/>
      </c>
    </row>
    <row r="21372" spans="1:6" ht="15.75" customHeight="1">
      <c r="A21372" s="16" t="s">
        <v>17420</v>
      </c>
      <c r="B21372" s="15" t="s">
        <v>17420</v>
      </c>
      <c r="C21372" s="16" t="s">
        <v>17410</v>
      </c>
      <c r="D21372" s="16" t="s">
        <v>17411</v>
      </c>
      <c r="E21372" s="2">
        <v>927246</v>
      </c>
      <c r="F21372" s="4" t="str">
        <f>IF(B21372=B21371,"",B21372)</f>
        <v>Mangochi</v>
      </c>
    </row>
    <row r="21373" spans="1:6" ht="15.75" customHeight="1">
      <c r="A21373" s="8" t="str">
        <f ca="1">IFERROR(__xludf.DUMMYFUNCTION("GOOGLETRANSLATE(B36834,""en"",""pt"")"),"Mangochi")</f>
        <v>Mangochi</v>
      </c>
      <c r="B21373" s="11" t="s">
        <v>17420</v>
      </c>
      <c r="C21373" s="11" t="s">
        <v>17410</v>
      </c>
      <c r="D21373" s="11" t="s">
        <v>17411</v>
      </c>
      <c r="E21373" s="10">
        <v>927246</v>
      </c>
      <c r="F21373" s="4" t="str">
        <f>IF(B21373=B21372,"",B21373)</f>
        <v/>
      </c>
    </row>
    <row r="21374" spans="1:6" ht="15.75" customHeight="1">
      <c r="A21374" s="16" t="s">
        <v>12342</v>
      </c>
      <c r="B21374" s="15" t="s">
        <v>12343</v>
      </c>
      <c r="C21374" s="16" t="s">
        <v>10178</v>
      </c>
      <c r="D21374" s="16" t="s">
        <v>10299</v>
      </c>
      <c r="E21374" s="2">
        <v>1263761</v>
      </c>
      <c r="F21374" s="4" t="str">
        <f>IF(B21374=B21373,"",B21374)</f>
        <v>Manglaur</v>
      </c>
    </row>
    <row r="21375" spans="1:6" ht="15.75" customHeight="1">
      <c r="A21375" s="8" t="str">
        <f ca="1">IFERROR(__xludf.DUMMYFUNCTION("GOOGLETRANSLATE(B32825,""en"",""pt"")"),"MANGLAUR")</f>
        <v>MANGLAUR</v>
      </c>
      <c r="B21375" s="11" t="s">
        <v>12343</v>
      </c>
      <c r="C21375" s="11" t="s">
        <v>10178</v>
      </c>
      <c r="D21375" s="11" t="s">
        <v>10299</v>
      </c>
      <c r="E21375" s="10">
        <v>1263761</v>
      </c>
      <c r="F21375" s="4" t="str">
        <f>IF(B21375=B21374,"",B21375)</f>
        <v/>
      </c>
    </row>
    <row r="21376" spans="1:6" ht="15.75" customHeight="1">
      <c r="A21376" s="15" t="s">
        <v>20093</v>
      </c>
      <c r="B21376" s="15" t="s">
        <v>20094</v>
      </c>
      <c r="C21376" s="15" t="s">
        <v>19808</v>
      </c>
      <c r="D21376" s="15" t="s">
        <v>10184</v>
      </c>
      <c r="E21376" s="2">
        <v>1171050</v>
      </c>
      <c r="F21376" s="4" t="str">
        <f>IF(B21376=B21375,"",B21376)</f>
        <v>Mangla</v>
      </c>
    </row>
    <row r="21377" spans="1:6" ht="15.75" customHeight="1">
      <c r="A21377" s="8" t="str">
        <f ca="1">IFERROR(__xludf.DUMMYFUNCTION("GOOGLETRANSLATE(B38994,""en"",""pt"")"),"MANGLA")</f>
        <v>MANGLA</v>
      </c>
      <c r="B21377" s="9" t="s">
        <v>20094</v>
      </c>
      <c r="C21377" s="9" t="s">
        <v>19808</v>
      </c>
      <c r="D21377" s="9" t="s">
        <v>10184</v>
      </c>
      <c r="E21377" s="10">
        <v>1171050</v>
      </c>
      <c r="F21377" s="4" t="str">
        <f>IF(B21377=B21376,"",B21377)</f>
        <v/>
      </c>
    </row>
    <row r="21378" spans="1:6" ht="15.75" customHeight="1">
      <c r="A21378" s="16" t="s">
        <v>9690</v>
      </c>
      <c r="B21378" s="15" t="s">
        <v>9691</v>
      </c>
      <c r="C21378" s="16" t="s">
        <v>9683</v>
      </c>
      <c r="D21378" s="16" t="s">
        <v>9692</v>
      </c>
      <c r="E21378" s="2">
        <v>7268049</v>
      </c>
      <c r="F21378" s="4" t="str">
        <f>IF(B21378=B21377,"",B21378)</f>
        <v>Mangilao Village</v>
      </c>
    </row>
    <row r="21379" spans="1:6" ht="15.75" customHeight="1">
      <c r="A21379" s="8" t="str">
        <f ca="1">IFERROR(__xludf.DUMMYFUNCTION("GOOGLETRANSLATE(B31150,""en"",""pt"")"),"Vila de Mangilao")</f>
        <v>Vila de Mangilao</v>
      </c>
      <c r="B21379" s="11" t="s">
        <v>9691</v>
      </c>
      <c r="C21379" s="11" t="s">
        <v>9683</v>
      </c>
      <c r="D21379" s="11" t="s">
        <v>9692</v>
      </c>
      <c r="E21379" s="10">
        <v>7268049</v>
      </c>
      <c r="F21379" s="4" t="str">
        <f>IF(B21379=B21378,"",B21379)</f>
        <v/>
      </c>
    </row>
    <row r="21380" spans="1:6" ht="15.75" customHeight="1">
      <c r="A21380" s="15" t="s">
        <v>30564</v>
      </c>
      <c r="B21380" s="15" t="s">
        <v>30564</v>
      </c>
      <c r="C21380" s="15" t="s">
        <v>30502</v>
      </c>
      <c r="D21380" s="15" t="s">
        <v>30511</v>
      </c>
      <c r="E21380" s="2">
        <v>1513245</v>
      </c>
      <c r="F21380" s="4" t="str">
        <f>IF(B21380=B21379,"",B21380)</f>
        <v>Manghit</v>
      </c>
    </row>
    <row r="21381" spans="1:6" ht="15.75" customHeight="1">
      <c r="A21381" s="8" t="str">
        <f ca="1">IFERROR(__xludf.DUMMYFUNCTION("GOOGLETRANSLATE(B45562,""en"",""pt"")"),"Manghit")</f>
        <v>Manghit</v>
      </c>
      <c r="B21381" s="11" t="s">
        <v>30564</v>
      </c>
      <c r="C21381" s="11" t="s">
        <v>30502</v>
      </c>
      <c r="D21381" s="11" t="s">
        <v>30511</v>
      </c>
      <c r="E21381" s="10">
        <v>1513245</v>
      </c>
      <c r="F21381" s="4" t="str">
        <f>IF(B21381=B21380,"",B21381)</f>
        <v/>
      </c>
    </row>
    <row r="21382" spans="1:6" ht="15.75" customHeight="1">
      <c r="A21382" s="16" t="s">
        <v>14024</v>
      </c>
      <c r="B21382" s="15" t="s">
        <v>14025</v>
      </c>
      <c r="C21382" s="16" t="s">
        <v>13800</v>
      </c>
      <c r="D21382" s="16" t="s">
        <v>14026</v>
      </c>
      <c r="E21382" s="2">
        <v>1636426</v>
      </c>
      <c r="F21382" s="4" t="str">
        <f>IF(B21382=B21381,"",B21382)</f>
        <v>Manggar</v>
      </c>
    </row>
    <row r="21383" spans="1:6" ht="15.75" customHeight="1">
      <c r="A21383" s="8" t="str">
        <f ca="1">IFERROR(__xludf.DUMMYFUNCTION("GOOGLETRANSLATE(B31549,""en"",""pt"")"),"Mangggar")</f>
        <v>Mangggar</v>
      </c>
      <c r="B21383" s="11" t="s">
        <v>14025</v>
      </c>
      <c r="C21383" s="11" t="s">
        <v>13800</v>
      </c>
      <c r="D21383" s="11" t="s">
        <v>32911</v>
      </c>
      <c r="E21383" s="10">
        <v>1636426</v>
      </c>
      <c r="F21383" s="4" t="str">
        <f>IF(B21383=B21382,"",B21383)</f>
        <v/>
      </c>
    </row>
    <row r="21384" spans="1:6" ht="15.75" customHeight="1">
      <c r="A21384" s="15" t="s">
        <v>19188</v>
      </c>
      <c r="B21384" s="15" t="s">
        <v>19188</v>
      </c>
      <c r="C21384" s="15" t="s">
        <v>19169</v>
      </c>
      <c r="D21384" s="15" t="s">
        <v>19171</v>
      </c>
      <c r="E21384" s="2">
        <v>2187454</v>
      </c>
      <c r="F21384" s="4" t="str">
        <f>IF(B21384=B21383,"",B21384)</f>
        <v>Mangere</v>
      </c>
    </row>
    <row r="21385" spans="1:6" ht="15.75" customHeight="1">
      <c r="A21385" s="8" t="str">
        <f ca="1">IFERROR(__xludf.DUMMYFUNCTION("GOOGLETRANSLATE(B38230,""en"",""pt"")"),"Mangere")</f>
        <v>Mangere</v>
      </c>
      <c r="B21385" s="11" t="s">
        <v>19188</v>
      </c>
      <c r="C21385" s="11" t="s">
        <v>19169</v>
      </c>
      <c r="D21385" s="11" t="s">
        <v>19171</v>
      </c>
      <c r="E21385" s="10">
        <v>2187454</v>
      </c>
      <c r="F21385" s="4" t="str">
        <f>IF(B21385=B21384,"",B21385)</f>
        <v/>
      </c>
    </row>
    <row r="21386" spans="1:6" ht="15.75" customHeight="1">
      <c r="A21386" s="16" t="s">
        <v>2847</v>
      </c>
      <c r="B21386" s="15" t="s">
        <v>2847</v>
      </c>
      <c r="C21386" s="16" t="s">
        <v>1905</v>
      </c>
      <c r="D21386" s="16" t="s">
        <v>1978</v>
      </c>
      <c r="E21386" s="2">
        <v>3457991</v>
      </c>
      <c r="F21386" s="4" t="str">
        <f>IF(B21386=B21385,"",B21386)</f>
        <v>Mangaratiba</v>
      </c>
    </row>
    <row r="21387" spans="1:6" ht="15.75" customHeight="1">
      <c r="A21387" s="8" t="str">
        <f ca="1">IFERROR(__xludf.DUMMYFUNCTION("GOOGLETRANSLATE(B24841,""en"",""pt"")"),"Mangaratiba")</f>
        <v>Mangaratiba</v>
      </c>
      <c r="B21387" s="11" t="s">
        <v>2847</v>
      </c>
      <c r="C21387" s="11" t="s">
        <v>1905</v>
      </c>
      <c r="D21387" s="11" t="s">
        <v>1978</v>
      </c>
      <c r="E21387" s="10">
        <v>3457991</v>
      </c>
      <c r="F21387" s="4" t="str">
        <f>IF(B21387=B21386,"",B21387)</f>
        <v/>
      </c>
    </row>
    <row r="21388" spans="1:6" ht="15.75" customHeight="1">
      <c r="A21388" s="16" t="s">
        <v>12341</v>
      </c>
      <c r="B21388" s="15" t="s">
        <v>12341</v>
      </c>
      <c r="C21388" s="16" t="s">
        <v>10178</v>
      </c>
      <c r="D21388" s="16" t="s">
        <v>10252</v>
      </c>
      <c r="E21388" s="2">
        <v>1263780</v>
      </c>
      <c r="F21388" s="4" t="str">
        <f>IF(B21388=B21387,"",B21388)</f>
        <v>Mangalore</v>
      </c>
    </row>
    <row r="21389" spans="1:6" ht="15.75" customHeight="1">
      <c r="A21389" s="8" t="str">
        <f ca="1">IFERROR(__xludf.DUMMYFUNCTION("GOOGLETRANSLATE(B32826,""en"",""pt"")"),"Mangalore")</f>
        <v>Mangalore</v>
      </c>
      <c r="B21389" s="11" t="s">
        <v>12341</v>
      </c>
      <c r="C21389" s="11" t="s">
        <v>10178</v>
      </c>
      <c r="D21389" s="11" t="s">
        <v>10252</v>
      </c>
      <c r="E21389" s="10">
        <v>1263780</v>
      </c>
      <c r="F21389" s="4" t="str">
        <f>IF(B21389=B21388,"",B21389)</f>
        <v/>
      </c>
    </row>
    <row r="21390" spans="1:6" ht="15.75" customHeight="1">
      <c r="A21390" s="15" t="s">
        <v>21953</v>
      </c>
      <c r="B21390" s="15" t="s">
        <v>21953</v>
      </c>
      <c r="C21390" s="15" t="s">
        <v>21824</v>
      </c>
      <c r="D21390" s="15" t="s">
        <v>21893</v>
      </c>
      <c r="E21390" s="2">
        <v>673921</v>
      </c>
      <c r="F21390" s="4" t="str">
        <f>IF(B21390=B21389,"",B21390)</f>
        <v>Mangalia</v>
      </c>
    </row>
    <row r="21391" spans="1:6" ht="15.75" customHeight="1">
      <c r="A21391" s="8" t="str">
        <f ca="1">IFERROR(__xludf.DUMMYFUNCTION("GOOGLETRANSLATE(B39780,""en"",""pt"")"),"Mangalia")</f>
        <v>Mangalia</v>
      </c>
      <c r="B21391" s="11" t="s">
        <v>21953</v>
      </c>
      <c r="C21391" s="11" t="s">
        <v>21824</v>
      </c>
      <c r="D21391" s="11" t="s">
        <v>35374</v>
      </c>
      <c r="E21391" s="10">
        <v>673921</v>
      </c>
      <c r="F21391" s="4" t="str">
        <f>IF(B21391=B21390,"",B21391)</f>
        <v/>
      </c>
    </row>
    <row r="21392" spans="1:6" ht="15.75" customHeight="1">
      <c r="A21392" s="16" t="s">
        <v>20880</v>
      </c>
      <c r="B21392" s="15" t="s">
        <v>20880</v>
      </c>
      <c r="C21392" s="16" t="s">
        <v>20598</v>
      </c>
      <c r="D21392" s="16" t="s">
        <v>20603</v>
      </c>
      <c r="E21392" s="2">
        <v>1701872</v>
      </c>
      <c r="F21392" s="4" t="str">
        <f>IF(B21392=B21391,"",B21392)</f>
        <v>Mangaldan</v>
      </c>
    </row>
    <row r="21393" spans="1:6" ht="15.75" customHeight="1">
      <c r="A21393" s="8" t="str">
        <f ca="1">IFERROR(__xludf.DUMMYFUNCTION("GOOGLETRANSLATE(B38625,""en"",""pt"")"),"Mangaldan")</f>
        <v>Mangaldan</v>
      </c>
      <c r="B21393" s="11" t="s">
        <v>20880</v>
      </c>
      <c r="C21393" s="11" t="s">
        <v>20598</v>
      </c>
      <c r="D21393" s="11" t="s">
        <v>20603</v>
      </c>
      <c r="E21393" s="10">
        <v>1701872</v>
      </c>
      <c r="F21393" s="4" t="str">
        <f>IF(B21393=B21392,"",B21393)</f>
        <v/>
      </c>
    </row>
    <row r="21394" spans="1:6" ht="15.75" customHeight="1">
      <c r="A21394" s="16" t="s">
        <v>12340</v>
      </c>
      <c r="B21394" s="15" t="s">
        <v>12340</v>
      </c>
      <c r="C21394" s="16" t="s">
        <v>10178</v>
      </c>
      <c r="D21394" s="16" t="s">
        <v>10239</v>
      </c>
      <c r="E21394" s="2">
        <v>1263787</v>
      </c>
      <c r="F21394" s="4" t="str">
        <f>IF(B21394=B21393,"",B21394)</f>
        <v>Mangaldai</v>
      </c>
    </row>
    <row r="21395" spans="1:6" ht="15.75" customHeight="1">
      <c r="A21395" s="8" t="str">
        <f ca="1">IFERROR(__xludf.DUMMYFUNCTION("GOOGLETRANSLATE(B32827,""en"",""pt"")"),"Mangaldai")</f>
        <v>Mangaldai</v>
      </c>
      <c r="B21395" s="9" t="s">
        <v>12340</v>
      </c>
      <c r="C21395" s="9" t="s">
        <v>10178</v>
      </c>
      <c r="D21395" s="9" t="s">
        <v>10239</v>
      </c>
      <c r="E21395" s="10">
        <v>1263787</v>
      </c>
      <c r="F21395" s="4" t="str">
        <f>IF(B21395=B21394,"",B21395)</f>
        <v/>
      </c>
    </row>
    <row r="21396" spans="1:6" ht="15.75" customHeight="1">
      <c r="A21396" s="16" t="s">
        <v>12339</v>
      </c>
      <c r="B21396" s="15" t="s">
        <v>12339</v>
      </c>
      <c r="C21396" s="16" t="s">
        <v>10178</v>
      </c>
      <c r="D21396" s="16" t="s">
        <v>10190</v>
      </c>
      <c r="E21396" s="2">
        <v>1263797</v>
      </c>
      <c r="F21396" s="4" t="str">
        <f>IF(B21396=B21395,"",B21396)</f>
        <v>Mangalagiri</v>
      </c>
    </row>
    <row r="21397" spans="1:6" ht="15.75" customHeight="1">
      <c r="A21397" s="8" t="str">
        <f ca="1">IFERROR(__xludf.DUMMYFUNCTION("GOOGLETRANSLATE(B32828,""en"",""pt"")"),"Mangalagiri")</f>
        <v>Mangalagiri</v>
      </c>
      <c r="B21397" s="9" t="s">
        <v>12339</v>
      </c>
      <c r="C21397" s="9" t="s">
        <v>10178</v>
      </c>
      <c r="D21397" s="9" t="s">
        <v>10190</v>
      </c>
      <c r="E21397" s="10">
        <v>1263797</v>
      </c>
      <c r="F21397" s="4" t="str">
        <f>IF(B21397=B21396,"",B21397)</f>
        <v/>
      </c>
    </row>
    <row r="21398" spans="1:6" ht="15.75" customHeight="1">
      <c r="A21398" s="15" t="s">
        <v>6186</v>
      </c>
      <c r="B21398" s="15" t="s">
        <v>6186</v>
      </c>
      <c r="C21398" s="15" t="s">
        <v>6127</v>
      </c>
      <c r="D21398" s="15" t="s">
        <v>6129</v>
      </c>
      <c r="E21398" s="2">
        <v>2313084</v>
      </c>
      <c r="F21398" s="4" t="str">
        <f>IF(B21398=B21397,"",B21398)</f>
        <v>Mangai</v>
      </c>
    </row>
    <row r="21399" spans="1:6" ht="15.75" customHeight="1">
      <c r="A21399" s="8" t="str">
        <f ca="1">IFERROR(__xludf.DUMMYFUNCTION("GOOGLETRANSLATE(B25698,""en"",""pt"")"),"Mangai")</f>
        <v>Mangai</v>
      </c>
      <c r="B21399" s="9" t="s">
        <v>6186</v>
      </c>
      <c r="C21399" s="9" t="s">
        <v>6127</v>
      </c>
      <c r="D21399" s="9" t="s">
        <v>6129</v>
      </c>
      <c r="E21399" s="10">
        <v>2313084</v>
      </c>
      <c r="F21399" s="4" t="str">
        <f>IF(B21399=B21398,"",B21399)</f>
        <v/>
      </c>
    </row>
    <row r="21400" spans="1:6" ht="15.75" customHeight="1">
      <c r="A21400" s="15" t="s">
        <v>3807</v>
      </c>
      <c r="B21400" s="15" t="s">
        <v>3808</v>
      </c>
      <c r="C21400" s="15" t="s">
        <v>3768</v>
      </c>
      <c r="D21400" s="15" t="s">
        <v>3800</v>
      </c>
      <c r="E21400" s="2">
        <v>2358100</v>
      </c>
      <c r="F21400" s="4" t="str">
        <f>IF(B21400=B21399,"",B21400)</f>
        <v>Manga</v>
      </c>
    </row>
    <row r="21401" spans="1:6" ht="15.75" customHeight="1">
      <c r="A21401" s="8" t="str">
        <f ca="1">IFERROR(__xludf.DUMMYFUNCTION("GOOGLETRANSLATE(B23985,""en"",""pt"")"),"Mangá")</f>
        <v>Mangá</v>
      </c>
      <c r="B21401" s="11" t="s">
        <v>3808</v>
      </c>
      <c r="C21401" s="11" t="s">
        <v>3768</v>
      </c>
      <c r="D21401" s="11" t="s">
        <v>3800</v>
      </c>
      <c r="E21401" s="10">
        <v>2358100</v>
      </c>
      <c r="F21401" s="4" t="str">
        <f>IF(B21401=B21400,"",B21401)</f>
        <v/>
      </c>
    </row>
    <row r="21402" spans="1:6" ht="15.75" customHeight="1">
      <c r="A21402" s="16" t="s">
        <v>15239</v>
      </c>
      <c r="B21402" s="15" t="s">
        <v>15239</v>
      </c>
      <c r="C21402" s="16" t="s">
        <v>14891</v>
      </c>
      <c r="D21402" s="16" t="s">
        <v>14908</v>
      </c>
      <c r="E21402" s="2">
        <v>3174092</v>
      </c>
      <c r="F21402" s="4" t="str">
        <f>IF(B21402=B21401,"",B21402)</f>
        <v>Manfredonia</v>
      </c>
    </row>
    <row r="21403" spans="1:6" ht="15.75" customHeight="1">
      <c r="A21403" s="8" t="str">
        <f ca="1">IFERROR(__xludf.DUMMYFUNCTION("GOOGLETRANSLATE(B34855,""en"",""pt"")"),"Manfredonia")</f>
        <v>Manfredonia</v>
      </c>
      <c r="B21403" s="11" t="s">
        <v>15239</v>
      </c>
      <c r="C21403" s="11" t="s">
        <v>14891</v>
      </c>
      <c r="D21403" s="11" t="s">
        <v>14908</v>
      </c>
      <c r="E21403" s="10">
        <v>3174092</v>
      </c>
      <c r="F21403" s="4" t="str">
        <f>IF(B21403=B21402,"",B21403)</f>
        <v/>
      </c>
    </row>
    <row r="21404" spans="1:6" ht="15.75" customHeight="1">
      <c r="A21404" s="8" t="str">
        <f ca="1">IFERROR(__xludf.DUMMYFUNCTION("GOOGLETRANSLATE(B28849,""en"",""pt"")"),"Manfalūţ")</f>
        <v>Manfalūţ</v>
      </c>
      <c r="B21404" s="9" t="s">
        <v>32275</v>
      </c>
      <c r="C21404" s="9" t="s">
        <v>6495</v>
      </c>
      <c r="D21404" s="9" t="s">
        <v>32276</v>
      </c>
      <c r="E21404" s="10">
        <v>352913</v>
      </c>
      <c r="F21404" s="4" t="str">
        <f>IF(B21404=B21403,"",B21404)</f>
        <v>Manfalūţ</v>
      </c>
    </row>
    <row r="21405" spans="1:6" ht="15.75" customHeight="1">
      <c r="A21405" s="16" t="s">
        <v>6679</v>
      </c>
      <c r="B21405" s="15" t="s">
        <v>6680</v>
      </c>
      <c r="C21405" s="16" t="s">
        <v>6495</v>
      </c>
      <c r="D21405" s="16" t="s">
        <v>6523</v>
      </c>
      <c r="E21405" s="2">
        <v>352913</v>
      </c>
      <c r="F21405" s="4" t="str">
        <f>IF(B21405=B21404,"",B21405)</f>
        <v>ManfalÅ«Å£</v>
      </c>
    </row>
    <row r="21406" spans="1:6" ht="15.75" customHeight="1">
      <c r="A21406" s="15" t="s">
        <v>12338</v>
      </c>
      <c r="B21406" s="15" t="s">
        <v>12338</v>
      </c>
      <c r="C21406" s="15" t="s">
        <v>10178</v>
      </c>
      <c r="D21406" s="15" t="s">
        <v>10317</v>
      </c>
      <c r="E21406" s="2">
        <v>1263807</v>
      </c>
      <c r="F21406" s="4" t="str">
        <f>IF(B21406=B21405,"",B21406)</f>
        <v>Maner</v>
      </c>
    </row>
    <row r="21407" spans="1:6" ht="15.75" customHeight="1">
      <c r="A21407" s="8" t="str">
        <f ca="1">IFERROR(__xludf.DUMMYFUNCTION("GOOGLETRANSLATE(B32829,""en"",""pt"")"),"Maner")</f>
        <v>Maner</v>
      </c>
      <c r="B21407" s="9" t="s">
        <v>12338</v>
      </c>
      <c r="C21407" s="9" t="s">
        <v>10178</v>
      </c>
      <c r="D21407" s="9" t="s">
        <v>10317</v>
      </c>
      <c r="E21407" s="10">
        <v>1263807</v>
      </c>
      <c r="F21407" s="4" t="str">
        <f>IF(B21407=B21406,"",B21407)</f>
        <v/>
      </c>
    </row>
    <row r="21408" spans="1:6" ht="15.75" customHeight="1">
      <c r="A21408" s="15" t="s">
        <v>12337</v>
      </c>
      <c r="B21408" s="15" t="s">
        <v>12337</v>
      </c>
      <c r="C21408" s="15" t="s">
        <v>10178</v>
      </c>
      <c r="D21408" s="15" t="s">
        <v>10252</v>
      </c>
      <c r="E21408" s="2">
        <v>1263814</v>
      </c>
      <c r="F21408" s="4" t="str">
        <f>IF(B21408=B21407,"",B21408)</f>
        <v>Mandya</v>
      </c>
    </row>
    <row r="21409" spans="1:6" ht="15.75" customHeight="1">
      <c r="A21409" s="8" t="str">
        <f ca="1">IFERROR(__xludf.DUMMYFUNCTION("GOOGLETRANSLATE(B32830,""en"",""pt"")"),"Mandya")</f>
        <v>Mandya</v>
      </c>
      <c r="B21409" s="9" t="s">
        <v>12337</v>
      </c>
      <c r="C21409" s="9" t="s">
        <v>10178</v>
      </c>
      <c r="D21409" s="9" t="s">
        <v>10252</v>
      </c>
      <c r="E21409" s="10">
        <v>1263814</v>
      </c>
      <c r="F21409" s="4" t="str">
        <f>IF(B21409=B21408,"",B21409)</f>
        <v/>
      </c>
    </row>
    <row r="21410" spans="1:6" ht="15.75" customHeight="1">
      <c r="A21410" s="8" t="str">
        <f ca="1">IFERROR(__xludf.DUMMYFUNCTION("GOOGLETRANSLATE(B32831,""en"",""pt"")"),"Māndvi")</f>
        <v>Māndvi</v>
      </c>
      <c r="B21410" s="11" t="s">
        <v>33408</v>
      </c>
      <c r="C21410" s="11" t="s">
        <v>10178</v>
      </c>
      <c r="D21410" s="11" t="s">
        <v>10209</v>
      </c>
      <c r="E21410" s="10">
        <v>1263824</v>
      </c>
      <c r="F21410" s="4" t="str">
        <f>IF(B21410=B21409,"",B21410)</f>
        <v>Māndvi</v>
      </c>
    </row>
    <row r="21411" spans="1:6" ht="15.75" customHeight="1">
      <c r="A21411" s="8" t="str">
        <f ca="1">IFERROR(__xludf.DUMMYFUNCTION("GOOGLETRANSLATE(B32832,""en"",""pt"")"),"Māndvi")</f>
        <v>Māndvi</v>
      </c>
      <c r="B21411" s="9" t="s">
        <v>33408</v>
      </c>
      <c r="C21411" s="9" t="s">
        <v>10178</v>
      </c>
      <c r="D21411" s="9" t="s">
        <v>10209</v>
      </c>
      <c r="E21411" s="10">
        <v>1263826</v>
      </c>
      <c r="F21411" s="4" t="str">
        <f>IF(B21411=B21410,"",B21411)</f>
        <v/>
      </c>
    </row>
    <row r="21412" spans="1:6" ht="15.75" customHeight="1">
      <c r="A21412" s="15" t="s">
        <v>15238</v>
      </c>
      <c r="B21412" s="15" t="s">
        <v>15238</v>
      </c>
      <c r="C21412" s="15" t="s">
        <v>14891</v>
      </c>
      <c r="D21412" s="15" t="s">
        <v>14908</v>
      </c>
      <c r="E21412" s="2">
        <v>3174096</v>
      </c>
      <c r="F21412" s="4" t="str">
        <f>IF(B21412=B21411,"",B21412)</f>
        <v>Manduria</v>
      </c>
    </row>
    <row r="21413" spans="1:6" ht="15.75" customHeight="1">
      <c r="A21413" s="8" t="str">
        <f ca="1">IFERROR(__xludf.DUMMYFUNCTION("GOOGLETRANSLATE(B34856,""en"",""pt"")"),"Manduria")</f>
        <v>Manduria</v>
      </c>
      <c r="B21413" s="9" t="s">
        <v>15238</v>
      </c>
      <c r="C21413" s="9" t="s">
        <v>14891</v>
      </c>
      <c r="D21413" s="9" t="s">
        <v>14908</v>
      </c>
      <c r="E21413" s="10">
        <v>3174096</v>
      </c>
      <c r="F21413" s="4" t="str">
        <f>IF(B21413=B21412,"",B21413)</f>
        <v/>
      </c>
    </row>
    <row r="21414" spans="1:6" ht="15.75" customHeight="1">
      <c r="A21414" s="16" t="s">
        <v>1021</v>
      </c>
      <c r="B21414" s="15" t="s">
        <v>1021</v>
      </c>
      <c r="C21414" s="16" t="s">
        <v>885</v>
      </c>
      <c r="D21414" s="16" t="s">
        <v>889</v>
      </c>
      <c r="E21414" s="2">
        <v>2067119</v>
      </c>
      <c r="F21414" s="4" t="str">
        <f>IF(B21414=B21413,"",B21414)</f>
        <v>Mandurah</v>
      </c>
    </row>
    <row r="21415" spans="1:6" ht="15.75" customHeight="1">
      <c r="A21415" s="8" t="str">
        <f ca="1">IFERROR(__xludf.DUMMYFUNCTION("GOOGLETRANSLATE(B23415,""en"",""pt"")"),"Mandurah")</f>
        <v>Mandurah</v>
      </c>
      <c r="B21415" s="9" t="s">
        <v>1021</v>
      </c>
      <c r="C21415" s="9" t="s">
        <v>885</v>
      </c>
      <c r="D21415" s="9" t="s">
        <v>889</v>
      </c>
      <c r="E21415" s="10">
        <v>2067119</v>
      </c>
      <c r="F21415" s="4" t="str">
        <f>IF(B21415=B21414,"",B21415)</f>
        <v/>
      </c>
    </row>
    <row r="21416" spans="1:6" ht="15.75" customHeight="1">
      <c r="A21416" s="8" t="str">
        <f ca="1">IFERROR(__xludf.DUMMYFUNCTION("GOOGLETRANSLATE(B32833,""en"",""pt"")"),"Māndu")</f>
        <v>Māndu</v>
      </c>
      <c r="B21416" s="11" t="s">
        <v>33409</v>
      </c>
      <c r="C21416" s="11" t="s">
        <v>10178</v>
      </c>
      <c r="D21416" s="11" t="s">
        <v>10219</v>
      </c>
      <c r="E21416" s="10">
        <v>1263833</v>
      </c>
      <c r="F21416" s="4" t="str">
        <f>IF(B21416=B21415,"",B21416)</f>
        <v>Māndu</v>
      </c>
    </row>
    <row r="21417" spans="1:6" ht="15.75" customHeight="1">
      <c r="A21417" s="16" t="s">
        <v>12336</v>
      </c>
      <c r="B21417" s="15" t="s">
        <v>12336</v>
      </c>
      <c r="C21417" s="16" t="s">
        <v>10178</v>
      </c>
      <c r="D21417" s="16" t="s">
        <v>10219</v>
      </c>
      <c r="E21417" s="2">
        <v>1263834</v>
      </c>
      <c r="F21417" s="4" t="str">
        <f>IF(B21417=B21416,"",B21417)</f>
        <v>Mandsaur</v>
      </c>
    </row>
    <row r="21418" spans="1:6" ht="15.75" customHeight="1">
      <c r="A21418" s="8" t="str">
        <f ca="1">IFERROR(__xludf.DUMMYFUNCTION("GOOGLETRANSLATE(B32834,""en"",""pt"")"),"Mandsaur")</f>
        <v>Mandsaur</v>
      </c>
      <c r="B21418" s="11" t="s">
        <v>12336</v>
      </c>
      <c r="C21418" s="11" t="s">
        <v>10178</v>
      </c>
      <c r="D21418" s="11" t="s">
        <v>10219</v>
      </c>
      <c r="E21418" s="10">
        <v>1263834</v>
      </c>
      <c r="F21418" s="4" t="str">
        <f>IF(B21418=B21417,"",B21418)</f>
        <v/>
      </c>
    </row>
    <row r="21419" spans="1:6" ht="15.75" customHeight="1">
      <c r="A21419" s="15" t="s">
        <v>12334</v>
      </c>
      <c r="B21419" s="15" t="s">
        <v>12335</v>
      </c>
      <c r="C21419" s="15" t="s">
        <v>10178</v>
      </c>
      <c r="D21419" s="15" t="s">
        <v>10219</v>
      </c>
      <c r="E21419" s="2">
        <v>1263852</v>
      </c>
      <c r="F21419" s="4" t="str">
        <f>IF(B21419=B21418,"",B21419)</f>
        <v>MandlÄ</v>
      </c>
    </row>
    <row r="21420" spans="1:6" ht="15.75" customHeight="1">
      <c r="A21420" s="8" t="str">
        <f ca="1">IFERROR(__xludf.DUMMYFUNCTION("GOOGLETRANSLATE(B32835,""en"",""pt"")"),"Mandlā")</f>
        <v>Mandlā</v>
      </c>
      <c r="B21420" s="11" t="s">
        <v>33410</v>
      </c>
      <c r="C21420" s="11" t="s">
        <v>10178</v>
      </c>
      <c r="D21420" s="11" t="s">
        <v>10219</v>
      </c>
      <c r="E21420" s="10">
        <v>1263852</v>
      </c>
      <c r="F21420" s="4" t="str">
        <f>IF(B21420=B21419,"",B21420)</f>
        <v>Mandlā</v>
      </c>
    </row>
    <row r="21421" spans="1:6" ht="15.75" customHeight="1">
      <c r="A21421" s="16" t="s">
        <v>12333</v>
      </c>
      <c r="B21421" s="15" t="s">
        <v>12333</v>
      </c>
      <c r="C21421" s="16" t="s">
        <v>10178</v>
      </c>
      <c r="D21421" s="16" t="s">
        <v>10219</v>
      </c>
      <c r="E21421" s="2">
        <v>7279752</v>
      </c>
      <c r="F21421" s="4" t="str">
        <f>IF(B21421=B21420,"",B21421)</f>
        <v>Mandideep</v>
      </c>
    </row>
    <row r="21422" spans="1:6" ht="15.75" customHeight="1">
      <c r="A21422" s="8" t="str">
        <f ca="1">IFERROR(__xludf.DUMMYFUNCTION("GOOGLETRANSLATE(B34222,""en"",""pt"")"),"Mandideep")</f>
        <v>Mandideep</v>
      </c>
      <c r="B21422" s="11" t="s">
        <v>12333</v>
      </c>
      <c r="C21422" s="11" t="s">
        <v>10178</v>
      </c>
      <c r="D21422" s="11" t="s">
        <v>10219</v>
      </c>
      <c r="E21422" s="10">
        <v>7279752</v>
      </c>
      <c r="F21422" s="4" t="str">
        <f>IF(B21422=B21421,"",B21422)</f>
        <v/>
      </c>
    </row>
    <row r="21423" spans="1:6" ht="15.75" customHeight="1">
      <c r="A21423" s="8" t="str">
        <f ca="1">IFERROR(__xludf.DUMMYFUNCTION("GOOGLETRANSLATE(B38995,""en"",""pt"")"),"Mandi bahāuddīn")</f>
        <v>Mandi bahāuddīn</v>
      </c>
      <c r="B21423" s="9" t="s">
        <v>34960</v>
      </c>
      <c r="C21423" s="9" t="s">
        <v>19808</v>
      </c>
      <c r="D21423" s="9" t="s">
        <v>10184</v>
      </c>
      <c r="E21423" s="10">
        <v>1171123</v>
      </c>
      <c r="F21423" s="4" t="str">
        <f>IF(B21423=B21422,"",B21423)</f>
        <v>Mandi Bahāuddīn</v>
      </c>
    </row>
    <row r="21424" spans="1:6" ht="15.75" customHeight="1">
      <c r="A21424" s="16" t="s">
        <v>20091</v>
      </c>
      <c r="B21424" s="15" t="s">
        <v>20092</v>
      </c>
      <c r="C21424" s="16" t="s">
        <v>19808</v>
      </c>
      <c r="D21424" s="16" t="s">
        <v>10184</v>
      </c>
      <c r="E21424" s="2">
        <v>1171123</v>
      </c>
      <c r="F21424" s="4" t="str">
        <f>IF(B21424=B21423,"",B21424)</f>
        <v>Mandi BahÄuddÄ«n</v>
      </c>
    </row>
    <row r="21425" spans="1:6" ht="15.75" customHeight="1">
      <c r="A21425" s="15" t="s">
        <v>12332</v>
      </c>
      <c r="B21425" s="15" t="s">
        <v>12332</v>
      </c>
      <c r="C21425" s="15" t="s">
        <v>10178</v>
      </c>
      <c r="D21425" s="15" t="s">
        <v>10538</v>
      </c>
      <c r="E21425" s="2">
        <v>1263862</v>
      </c>
      <c r="F21425" s="4" t="str">
        <f>IF(B21425=B21424,"",B21425)</f>
        <v>Mandi</v>
      </c>
    </row>
    <row r="21426" spans="1:6" ht="15.75" customHeight="1">
      <c r="A21426" s="8" t="str">
        <f ca="1">IFERROR(__xludf.DUMMYFUNCTION("GOOGLETRANSLATE(B32836,""en"",""pt"")"),"Mandi")</f>
        <v>Mandi</v>
      </c>
      <c r="B21426" s="11" t="s">
        <v>12332</v>
      </c>
      <c r="C21426" s="11" t="s">
        <v>10178</v>
      </c>
      <c r="D21426" s="11" t="s">
        <v>10538</v>
      </c>
      <c r="E21426" s="10">
        <v>1263862</v>
      </c>
      <c r="F21426" s="4" t="str">
        <f>IF(B21426=B21425,"",B21426)</f>
        <v/>
      </c>
    </row>
    <row r="21427" spans="1:6" ht="15.75" customHeight="1">
      <c r="A21427" s="16" t="s">
        <v>15687</v>
      </c>
      <c r="B21427" s="15" t="s">
        <v>15687</v>
      </c>
      <c r="C21427" s="16" t="s">
        <v>15682</v>
      </c>
      <c r="D21427" s="16" t="s">
        <v>15688</v>
      </c>
      <c r="E21427" s="2">
        <v>3489577</v>
      </c>
      <c r="F21427" s="4" t="str">
        <f>IF(B21427=B21426,"",B21427)</f>
        <v>Mandeville</v>
      </c>
    </row>
    <row r="21428" spans="1:6" ht="15.75" customHeight="1">
      <c r="A21428" s="8" t="str">
        <f ca="1">IFERROR(__xludf.DUMMYFUNCTION("GOOGLETRANSLATE(B35118,""en"",""pt"")"),"Mandeville")</f>
        <v>Mandeville</v>
      </c>
      <c r="B21428" s="11" t="s">
        <v>15687</v>
      </c>
      <c r="C21428" s="11" t="s">
        <v>15682</v>
      </c>
      <c r="D21428" s="11" t="s">
        <v>15688</v>
      </c>
      <c r="E21428" s="10">
        <v>3489577</v>
      </c>
      <c r="F21428" s="4" t="str">
        <f>IF(B21428=B21427,"",B21428)</f>
        <v/>
      </c>
    </row>
    <row r="21429" spans="1:6" ht="15.75" customHeight="1">
      <c r="A21429" s="15" t="s">
        <v>16815</v>
      </c>
      <c r="B21429" s="15" t="s">
        <v>16815</v>
      </c>
      <c r="C21429" s="15" t="s">
        <v>16781</v>
      </c>
      <c r="D21429" s="15" t="s">
        <v>16815</v>
      </c>
      <c r="E21429" s="2">
        <v>187896</v>
      </c>
      <c r="F21429" s="4" t="str">
        <f>IF(B21429=B21428,"",B21429)</f>
        <v>Mandera</v>
      </c>
    </row>
    <row r="21430" spans="1:6" ht="15.75" customHeight="1">
      <c r="A21430" s="8" t="str">
        <f ca="1">IFERROR(__xludf.DUMMYFUNCTION("GOOGLETRANSLATE(B35907,""en"",""pt"")"),"Mandera")</f>
        <v>Mandera</v>
      </c>
      <c r="B21430" s="11" t="s">
        <v>16815</v>
      </c>
      <c r="C21430" s="11" t="s">
        <v>16781</v>
      </c>
      <c r="D21430" s="11" t="s">
        <v>16815</v>
      </c>
      <c r="E21430" s="10">
        <v>187896</v>
      </c>
      <c r="F21430" s="4" t="str">
        <f>IF(B21430=B21429,"",B21430)</f>
        <v/>
      </c>
    </row>
    <row r="21431" spans="1:6" ht="15.75" customHeight="1">
      <c r="A21431" s="16" t="s">
        <v>7527</v>
      </c>
      <c r="B21431" s="15" t="s">
        <v>7528</v>
      </c>
      <c r="C21431" s="16" t="s">
        <v>7052</v>
      </c>
      <c r="D21431" s="16" t="s">
        <v>7087</v>
      </c>
      <c r="E21431" s="2">
        <v>2996255</v>
      </c>
      <c r="F21431" s="4" t="str">
        <f>IF(B21431=B21430,"",B21431)</f>
        <v>Mandelieu-la-Napoule</v>
      </c>
    </row>
    <row r="21432" spans="1:6" ht="15.75" customHeight="1">
      <c r="A21432" s="8" t="str">
        <f ca="1">IFERROR(__xludf.DUMMYFUNCTION("GOOGLETRANSLATE(B29944,""en"",""pt"")"),"Mandelieu-La-Napoule")</f>
        <v>Mandelieu-La-Napoule</v>
      </c>
      <c r="B21432" s="9" t="s">
        <v>7528</v>
      </c>
      <c r="C21432" s="9" t="s">
        <v>7052</v>
      </c>
      <c r="D21432" s="9" t="s">
        <v>32534</v>
      </c>
      <c r="E21432" s="10">
        <v>2996255</v>
      </c>
      <c r="F21432" s="4" t="str">
        <f>IF(B21432=B21431,"",B21432)</f>
        <v/>
      </c>
    </row>
    <row r="21433" spans="1:6" ht="15.75" customHeight="1">
      <c r="A21433" s="8" t="str">
        <f ca="1">IFERROR(__xludf.DUMMYFUNCTION("GOOGLETRANSLATE(B32837,""en"",""pt"")"),"Mandāwar")</f>
        <v>Mandāwar</v>
      </c>
      <c r="B21433" s="9" t="s">
        <v>33411</v>
      </c>
      <c r="C21433" s="9" t="s">
        <v>10178</v>
      </c>
      <c r="D21433" s="9" t="s">
        <v>10193</v>
      </c>
      <c r="E21433" s="10">
        <v>1263879</v>
      </c>
      <c r="F21433" s="4" t="str">
        <f>IF(B21433=B21432,"",B21433)</f>
        <v>Mandāwar</v>
      </c>
    </row>
    <row r="21434" spans="1:6" ht="15.75" customHeight="1">
      <c r="A21434" s="16" t="s">
        <v>20878</v>
      </c>
      <c r="B21434" s="15" t="s">
        <v>20879</v>
      </c>
      <c r="C21434" s="16" t="s">
        <v>20598</v>
      </c>
      <c r="D21434" s="16" t="s">
        <v>20622</v>
      </c>
      <c r="E21434" s="2">
        <v>1701947</v>
      </c>
      <c r="F21434" s="4" t="str">
        <f>IF(B21434=B21433,"",B21434)</f>
        <v>Mandaue City</v>
      </c>
    </row>
    <row r="21435" spans="1:6" ht="15.75" customHeight="1">
      <c r="A21435" s="8" t="str">
        <f ca="1">IFERROR(__xludf.DUMMYFUNCTION("GOOGLETRANSLATE(B38626,""en"",""pt"")"),"Cidade de Mandaue")</f>
        <v>Cidade de Mandaue</v>
      </c>
      <c r="B21435" s="11" t="s">
        <v>20879</v>
      </c>
      <c r="C21435" s="11" t="s">
        <v>20598</v>
      </c>
      <c r="D21435" s="11" t="s">
        <v>20622</v>
      </c>
      <c r="E21435" s="10">
        <v>1701947</v>
      </c>
      <c r="F21435" s="4" t="str">
        <f>IF(B21435=B21434,"",B21435)</f>
        <v/>
      </c>
    </row>
    <row r="21436" spans="1:6" ht="15.75" customHeight="1">
      <c r="A21436" s="16" t="s">
        <v>12331</v>
      </c>
      <c r="B21436" s="15" t="s">
        <v>12331</v>
      </c>
      <c r="C21436" s="16" t="s">
        <v>10178</v>
      </c>
      <c r="D21436" s="16" t="s">
        <v>10190</v>
      </c>
      <c r="E21436" s="2">
        <v>1263898</v>
      </c>
      <c r="F21436" s="4" t="str">
        <f>IF(B21436=B21435,"",B21436)</f>
        <v>Mandapeta</v>
      </c>
    </row>
    <row r="21437" spans="1:6" ht="15.75" customHeight="1">
      <c r="A21437" s="8" t="str">
        <f ca="1">IFERROR(__xludf.DUMMYFUNCTION("GOOGLETRANSLATE(B32838,""en"",""pt"")"),"Mandapeta")</f>
        <v>Mandapeta</v>
      </c>
      <c r="B21437" s="11" t="s">
        <v>12331</v>
      </c>
      <c r="C21437" s="11" t="s">
        <v>10178</v>
      </c>
      <c r="D21437" s="11" t="s">
        <v>10190</v>
      </c>
      <c r="E21437" s="10">
        <v>1263898</v>
      </c>
      <c r="F21437" s="4" t="str">
        <f>IF(B21437=B21436,"",B21437)</f>
        <v/>
      </c>
    </row>
    <row r="21438" spans="1:6" ht="15.75" customHeight="1">
      <c r="A21438" s="16" t="s">
        <v>12330</v>
      </c>
      <c r="B21438" s="15" t="s">
        <v>12330</v>
      </c>
      <c r="C21438" s="16" t="s">
        <v>10178</v>
      </c>
      <c r="D21438" s="16" t="s">
        <v>10196</v>
      </c>
      <c r="E21438" s="2">
        <v>1263900</v>
      </c>
      <c r="F21438" s="4" t="str">
        <f>IF(B21438=B21437,"",B21438)</f>
        <v>Mandapam</v>
      </c>
    </row>
    <row r="21439" spans="1:6" ht="15.75" customHeight="1">
      <c r="A21439" s="8" t="str">
        <f ca="1">IFERROR(__xludf.DUMMYFUNCTION("GOOGLETRANSLATE(B32839,""en"",""pt"")"),"Mandapam")</f>
        <v>Mandapam</v>
      </c>
      <c r="B21439" s="11" t="s">
        <v>12330</v>
      </c>
      <c r="C21439" s="11" t="s">
        <v>10178</v>
      </c>
      <c r="D21439" s="11" t="s">
        <v>10196</v>
      </c>
      <c r="E21439" s="10">
        <v>1263900</v>
      </c>
      <c r="F21439" s="4" t="str">
        <f>IF(B21439=B21438,"",B21439)</f>
        <v/>
      </c>
    </row>
    <row r="21440" spans="1:6" ht="15.75" customHeight="1">
      <c r="A21440" s="15" t="s">
        <v>29194</v>
      </c>
      <c r="B21440" s="15" t="s">
        <v>29194</v>
      </c>
      <c r="C21440" s="15" t="s">
        <v>27788</v>
      </c>
      <c r="D21440" s="15" t="s">
        <v>28043</v>
      </c>
      <c r="E21440" s="2">
        <v>5690366</v>
      </c>
      <c r="F21440" s="4" t="str">
        <f>IF(B21440=B21439,"",B21440)</f>
        <v>Mandan</v>
      </c>
    </row>
    <row r="21441" spans="1:6" ht="15.75" customHeight="1">
      <c r="A21441" s="8" t="str">
        <f ca="1">IFERROR(__xludf.DUMMYFUNCTION("GOOGLETRANSLATE(B45218,""en"",""pt"")"),"Mandan")</f>
        <v>Mandan</v>
      </c>
      <c r="B21441" s="11" t="s">
        <v>29194</v>
      </c>
      <c r="C21441" s="11" t="s">
        <v>27788</v>
      </c>
      <c r="D21441" s="11" t="s">
        <v>28043</v>
      </c>
      <c r="E21441" s="10">
        <v>5690366</v>
      </c>
      <c r="F21441" s="4" t="str">
        <f>IF(B21441=B21440,"",B21441)</f>
        <v/>
      </c>
    </row>
    <row r="21442" spans="1:6" ht="15.75" customHeight="1">
      <c r="A21442" s="16" t="s">
        <v>12329</v>
      </c>
      <c r="B21442" s="15" t="s">
        <v>12329</v>
      </c>
      <c r="C21442" s="16" t="s">
        <v>10178</v>
      </c>
      <c r="D21442" s="16" t="s">
        <v>10187</v>
      </c>
      <c r="E21442" s="2">
        <v>7302829</v>
      </c>
      <c r="F21442" s="4" t="str">
        <f>IF(B21442=B21441,"",B21442)</f>
        <v>Mandamarri</v>
      </c>
    </row>
    <row r="21443" spans="1:6" ht="15.75" customHeight="1">
      <c r="A21443" s="8" t="str">
        <f ca="1">IFERROR(__xludf.DUMMYFUNCTION("GOOGLETRANSLATE(B34234,""en"",""pt"")"),"Mandamarri")</f>
        <v>Mandamarri</v>
      </c>
      <c r="B21443" s="9" t="s">
        <v>12329</v>
      </c>
      <c r="C21443" s="9" t="s">
        <v>10178</v>
      </c>
      <c r="D21443" s="9" t="s">
        <v>10187</v>
      </c>
      <c r="E21443" s="10">
        <v>7302829</v>
      </c>
      <c r="F21443" s="4" t="str">
        <f>IF(B21443=B21442,"",B21443)</f>
        <v/>
      </c>
    </row>
    <row r="21444" spans="1:6" ht="15.75" customHeight="1">
      <c r="A21444" s="16" t="s">
        <v>20876</v>
      </c>
      <c r="B21444" s="15" t="s">
        <v>20877</v>
      </c>
      <c r="C21444" s="16" t="s">
        <v>20598</v>
      </c>
      <c r="D21444" s="16" t="s">
        <v>20723</v>
      </c>
      <c r="E21444" s="2">
        <v>1701966</v>
      </c>
      <c r="F21444" s="4" t="str">
        <f>IF(B21444=B21443,"",B21444)</f>
        <v>Mandaluyong City</v>
      </c>
    </row>
    <row r="21445" spans="1:6" ht="15.75" customHeight="1">
      <c r="A21445" s="8" t="str">
        <f ca="1">IFERROR(__xludf.DUMMYFUNCTION("GOOGLETRANSLATE(B38627,""en"",""pt"")"),"Cidade de Mandaluyong")</f>
        <v>Cidade de Mandaluyong</v>
      </c>
      <c r="B21445" s="9" t="s">
        <v>20877</v>
      </c>
      <c r="C21445" s="9" t="s">
        <v>20598</v>
      </c>
      <c r="D21445" s="9" t="s">
        <v>20723</v>
      </c>
      <c r="E21445" s="10">
        <v>1701966</v>
      </c>
      <c r="F21445" s="4" t="str">
        <f>IF(B21445=B21444,"",B21445)</f>
        <v/>
      </c>
    </row>
    <row r="21446" spans="1:6" ht="15.75" customHeight="1">
      <c r="A21446" s="8" t="str">
        <f ca="1">IFERROR(__xludf.DUMMYFUNCTION("GOOGLETRANSLATE(B34283,""en"",""pt"")"),"Mandalī")</f>
        <v>Mandalī</v>
      </c>
      <c r="B21446" s="11" t="s">
        <v>34077</v>
      </c>
      <c r="C21446" s="11" t="s">
        <v>14594</v>
      </c>
      <c r="D21446" s="11" t="s">
        <v>34078</v>
      </c>
      <c r="E21446" s="10">
        <v>93709</v>
      </c>
      <c r="F21446" s="4" t="str">
        <f>IF(B21446=B21445,"",B21446)</f>
        <v>Mandalī</v>
      </c>
    </row>
    <row r="21447" spans="1:6" ht="15.75" customHeight="1">
      <c r="A21447" s="16" t="s">
        <v>18520</v>
      </c>
      <c r="B21447" s="15" t="s">
        <v>18520</v>
      </c>
      <c r="C21447" s="16" t="s">
        <v>18496</v>
      </c>
      <c r="D21447" s="16" t="s">
        <v>18521</v>
      </c>
      <c r="E21447" s="2">
        <v>2030065</v>
      </c>
      <c r="F21447" s="4" t="str">
        <f>IF(B21447=B21446,"",B21447)</f>
        <v>Mandalgovi</v>
      </c>
    </row>
    <row r="21448" spans="1:6" ht="15.75" customHeight="1">
      <c r="A21448" s="8" t="str">
        <f ca="1">IFERROR(__xludf.DUMMYFUNCTION("GOOGLETRANSLATE(B36770,""en"",""pt"")"),"Mandalgovi")</f>
        <v>Mandalgovi</v>
      </c>
      <c r="B21448" s="11" t="s">
        <v>18520</v>
      </c>
      <c r="C21448" s="11" t="s">
        <v>18496</v>
      </c>
      <c r="D21448" s="11" t="s">
        <v>34639</v>
      </c>
      <c r="E21448" s="10">
        <v>2030065</v>
      </c>
      <c r="F21448" s="4" t="str">
        <f>IF(B21448=B21447,"",B21448)</f>
        <v/>
      </c>
    </row>
    <row r="21449" spans="1:6" ht="15.75" customHeight="1">
      <c r="A21449" s="8" t="str">
        <f ca="1">IFERROR(__xludf.DUMMYFUNCTION("GOOGLETRANSLATE(B32840,""en"",""pt"")"),"Māndalgarh")</f>
        <v>Māndalgarh</v>
      </c>
      <c r="B21449" s="9" t="s">
        <v>33412</v>
      </c>
      <c r="C21449" s="9" t="s">
        <v>10178</v>
      </c>
      <c r="D21449" s="9" t="s">
        <v>10179</v>
      </c>
      <c r="E21449" s="10">
        <v>1263911</v>
      </c>
      <c r="F21449" s="4" t="str">
        <f>IF(B21449=B21448,"",B21449)</f>
        <v>Māndalgarh</v>
      </c>
    </row>
    <row r="21450" spans="1:6" ht="15.75" customHeight="1">
      <c r="A21450" s="16" t="s">
        <v>18718</v>
      </c>
      <c r="B21450" s="15" t="s">
        <v>18718</v>
      </c>
      <c r="C21450" s="16" t="s">
        <v>18696</v>
      </c>
      <c r="D21450" s="16" t="s">
        <v>18718</v>
      </c>
      <c r="E21450" s="2">
        <v>1311874</v>
      </c>
      <c r="F21450" s="4" t="str">
        <f>IF(B21450=B21449,"",B21450)</f>
        <v>Mandalay</v>
      </c>
    </row>
    <row r="21451" spans="1:6" ht="15.75" customHeight="1">
      <c r="A21451" s="8" t="str">
        <f ca="1">IFERROR(__xludf.DUMMYFUNCTION("GOOGLETRANSLATE(B36743,""en"",""pt"")"),"Mandalay")</f>
        <v>Mandalay</v>
      </c>
      <c r="B21451" s="9" t="s">
        <v>18718</v>
      </c>
      <c r="C21451" s="9" t="s">
        <v>18696</v>
      </c>
      <c r="D21451" s="9" t="s">
        <v>18718</v>
      </c>
      <c r="E21451" s="10">
        <v>1311874</v>
      </c>
      <c r="F21451" s="4" t="str">
        <f>IF(B21451=B21450,"",B21451)</f>
        <v/>
      </c>
    </row>
    <row r="21452" spans="1:6" ht="15.75" customHeight="1">
      <c r="A21452" s="16" t="s">
        <v>14697</v>
      </c>
      <c r="B21452" s="15" t="s">
        <v>14698</v>
      </c>
      <c r="C21452" s="16" t="s">
        <v>14594</v>
      </c>
      <c r="D21452" s="16" t="s">
        <v>14648</v>
      </c>
      <c r="E21452" s="2">
        <v>93709</v>
      </c>
      <c r="F21452" s="4" t="str">
        <f>IF(B21452=B21451,"",B21452)</f>
        <v>MandalÄ«</v>
      </c>
    </row>
    <row r="21453" spans="1:6" ht="15.75" customHeight="1">
      <c r="A21453" s="8" t="str">
        <f ca="1">IFERROR(__xludf.DUMMYFUNCTION("GOOGLETRANSLATE(B32841,""en"",""pt"")"),"Māndal")</f>
        <v>Māndal</v>
      </c>
      <c r="B21453" s="11" t="s">
        <v>33413</v>
      </c>
      <c r="C21453" s="11" t="s">
        <v>10178</v>
      </c>
      <c r="D21453" s="11" t="s">
        <v>10179</v>
      </c>
      <c r="E21453" s="10">
        <v>1263917</v>
      </c>
      <c r="F21453" s="4" t="str">
        <f>IF(B21453=B21452,"",B21453)</f>
        <v>Māndal</v>
      </c>
    </row>
    <row r="21454" spans="1:6" ht="15.75" customHeight="1">
      <c r="A21454" s="16" t="s">
        <v>2846</v>
      </c>
      <c r="B21454" s="15" t="s">
        <v>2846</v>
      </c>
      <c r="C21454" s="16" t="s">
        <v>1905</v>
      </c>
      <c r="D21454" s="16" t="s">
        <v>728</v>
      </c>
      <c r="E21454" s="2">
        <v>3458049</v>
      </c>
      <c r="F21454" s="4" t="str">
        <f>IF(B21454=B21453,"",B21454)</f>
        <v>Mandaguari</v>
      </c>
    </row>
    <row r="21455" spans="1:6" ht="15.75" customHeight="1">
      <c r="A21455" s="8" t="str">
        <f ca="1">IFERROR(__xludf.DUMMYFUNCTION("GOOGLETRANSLATE(B24842,""en"",""pt"")"),"Mandoguari")</f>
        <v>Mandoguari</v>
      </c>
      <c r="B21455" s="11" t="s">
        <v>2846</v>
      </c>
      <c r="C21455" s="11" t="s">
        <v>1905</v>
      </c>
      <c r="D21455" s="11" t="s">
        <v>727</v>
      </c>
      <c r="E21455" s="10">
        <v>3458049</v>
      </c>
      <c r="F21455" s="4" t="str">
        <f>IF(B21455=B21454,"",B21455)</f>
        <v/>
      </c>
    </row>
    <row r="21456" spans="1:6" ht="15.75" customHeight="1">
      <c r="A21456" s="16" t="s">
        <v>12327</v>
      </c>
      <c r="B21456" s="15" t="s">
        <v>12328</v>
      </c>
      <c r="C21456" s="16" t="s">
        <v>10178</v>
      </c>
      <c r="D21456" s="16" t="s">
        <v>10193</v>
      </c>
      <c r="E21456" s="2">
        <v>1263879</v>
      </c>
      <c r="F21456" s="4" t="str">
        <f>IF(B21456=B21455,"",B21456)</f>
        <v>MandÄwar</v>
      </c>
    </row>
    <row r="21457" spans="1:6" ht="15.75" customHeight="1">
      <c r="A21457" s="16" t="s">
        <v>15688</v>
      </c>
      <c r="B21457" s="15" t="s">
        <v>15688</v>
      </c>
      <c r="C21457" s="16" t="s">
        <v>27234</v>
      </c>
      <c r="D21457" s="16" t="s">
        <v>27241</v>
      </c>
      <c r="E21457" s="2">
        <v>2643123</v>
      </c>
      <c r="F21457" s="4" t="str">
        <f>IF(B21457=B21456,"",B21457)</f>
        <v>Manchester</v>
      </c>
    </row>
    <row r="21458" spans="1:6" ht="15.75" customHeight="1">
      <c r="A21458" s="16" t="s">
        <v>15688</v>
      </c>
      <c r="B21458" s="15" t="s">
        <v>15688</v>
      </c>
      <c r="C21458" s="16" t="s">
        <v>27788</v>
      </c>
      <c r="D21458" s="16" t="s">
        <v>27806</v>
      </c>
      <c r="E21458" s="2">
        <v>4396915</v>
      </c>
      <c r="F21458" s="4" t="str">
        <f>IF(B21458=B21457,"",B21458)</f>
        <v/>
      </c>
    </row>
    <row r="21459" spans="1:6" ht="15.75" customHeight="1">
      <c r="A21459" s="16" t="s">
        <v>15688</v>
      </c>
      <c r="B21459" s="15" t="s">
        <v>15688</v>
      </c>
      <c r="C21459" s="16" t="s">
        <v>27788</v>
      </c>
      <c r="D21459" s="16" t="s">
        <v>27985</v>
      </c>
      <c r="E21459" s="2">
        <v>5089178</v>
      </c>
      <c r="F21459" s="4" t="str">
        <f>IF(B21459=B21458,"",B21459)</f>
        <v/>
      </c>
    </row>
    <row r="21460" spans="1:6" ht="15.75" customHeight="1">
      <c r="A21460" s="8" t="str">
        <f ca="1">IFERROR(__xludf.DUMMYFUNCTION("GOOGLETRANSLATE(B30552,""en"",""pt"")"),"Manchester")</f>
        <v>Manchester</v>
      </c>
      <c r="B21460" s="11" t="s">
        <v>15688</v>
      </c>
      <c r="C21460" s="11" t="s">
        <v>27234</v>
      </c>
      <c r="D21460" s="11" t="s">
        <v>27241</v>
      </c>
      <c r="E21460" s="10">
        <v>2643123</v>
      </c>
      <c r="F21460" s="4" t="str">
        <f>IF(B21460=B21459,"",B21460)</f>
        <v/>
      </c>
    </row>
    <row r="21461" spans="1:6" ht="15.75" customHeight="1">
      <c r="A21461" s="8" t="str">
        <f ca="1">IFERROR(__xludf.DUMMYFUNCTION("GOOGLETRANSLATE(B43374,""en"",""pt"")"),"Manchester")</f>
        <v>Manchester</v>
      </c>
      <c r="B21461" s="9" t="s">
        <v>15688</v>
      </c>
      <c r="C21461" s="9" t="s">
        <v>27788</v>
      </c>
      <c r="D21461" s="9" t="s">
        <v>27806</v>
      </c>
      <c r="E21461" s="10">
        <v>4396915</v>
      </c>
      <c r="F21461" s="4" t="str">
        <f>IF(B21461=B21460,"",B21461)</f>
        <v/>
      </c>
    </row>
    <row r="21462" spans="1:6" ht="15.75" customHeight="1">
      <c r="A21462" s="8" t="str">
        <f ca="1">IFERROR(__xludf.DUMMYFUNCTION("GOOGLETRANSLATE(B44233,""en"",""pt"")"),"Manchester")</f>
        <v>Manchester</v>
      </c>
      <c r="B21462" s="11" t="s">
        <v>15688</v>
      </c>
      <c r="C21462" s="11" t="s">
        <v>27788</v>
      </c>
      <c r="D21462" s="11" t="s">
        <v>27985</v>
      </c>
      <c r="E21462" s="10">
        <v>5089178</v>
      </c>
      <c r="F21462" s="4" t="str">
        <f>IF(B21462=B21461,"",B21462)</f>
        <v/>
      </c>
    </row>
    <row r="21463" spans="1:6" ht="15.75" customHeight="1">
      <c r="A21463" s="8" t="str">
        <f ca="1">IFERROR(__xludf.DUMMYFUNCTION("GOOGLETRANSLATE(B32842,""en"",""pt"")"),"Mancherāl")</f>
        <v>Mancherāl</v>
      </c>
      <c r="B21463" s="9" t="s">
        <v>33414</v>
      </c>
      <c r="C21463" s="9" t="s">
        <v>10178</v>
      </c>
      <c r="D21463" s="9" t="s">
        <v>10187</v>
      </c>
      <c r="E21463" s="10">
        <v>1263936</v>
      </c>
      <c r="F21463" s="4" t="str">
        <f>IF(B21463=B21462,"",B21463)</f>
        <v>Mancherāl</v>
      </c>
    </row>
    <row r="21464" spans="1:6" ht="15.75" customHeight="1">
      <c r="A21464" s="16" t="s">
        <v>12325</v>
      </c>
      <c r="B21464" s="15" t="s">
        <v>12326</v>
      </c>
      <c r="C21464" s="16" t="s">
        <v>10178</v>
      </c>
      <c r="D21464" s="16" t="s">
        <v>10187</v>
      </c>
      <c r="E21464" s="2">
        <v>1263936</v>
      </c>
      <c r="F21464" s="4" t="str">
        <f>IF(B21464=B21463,"",B21464)</f>
        <v>MancherÄl</v>
      </c>
    </row>
    <row r="21465" spans="1:6" ht="15.75" customHeight="1">
      <c r="A21465" s="15" t="s">
        <v>25475</v>
      </c>
      <c r="B21465" s="15" t="s">
        <v>25475</v>
      </c>
      <c r="C21465" s="15" t="s">
        <v>25366</v>
      </c>
      <c r="D21465" s="15" t="s">
        <v>25380</v>
      </c>
      <c r="E21465" s="2">
        <v>167357</v>
      </c>
      <c r="F21465" s="4" t="str">
        <f>IF(B21465=B21464,"",B21465)</f>
        <v>Manbij</v>
      </c>
    </row>
    <row r="21466" spans="1:6" ht="15.75" customHeight="1">
      <c r="A21466" s="8" t="str">
        <f ca="1">IFERROR(__xludf.DUMMYFUNCTION("GOOGLETRANSLATE(B41412,""en"",""pt"")"),"Manbij")</f>
        <v>Manbij</v>
      </c>
      <c r="B21466" s="9" t="s">
        <v>25475</v>
      </c>
      <c r="C21466" s="9" t="s">
        <v>25366</v>
      </c>
      <c r="D21466" s="9" t="s">
        <v>25380</v>
      </c>
      <c r="E21466" s="10">
        <v>167357</v>
      </c>
      <c r="F21466" s="4" t="str">
        <f>IF(B21466=B21465,"",B21466)</f>
        <v/>
      </c>
    </row>
    <row r="21467" spans="1:6" ht="15.75" customHeight="1">
      <c r="A21467" s="15" t="s">
        <v>20875</v>
      </c>
      <c r="B21467" s="15" t="s">
        <v>20875</v>
      </c>
      <c r="C21467" s="15" t="s">
        <v>20598</v>
      </c>
      <c r="D21467" s="15" t="s">
        <v>20658</v>
      </c>
      <c r="E21467" s="2">
        <v>1702032</v>
      </c>
      <c r="F21467" s="4" t="str">
        <f>IF(B21467=B21466,"",B21467)</f>
        <v>Manay</v>
      </c>
    </row>
    <row r="21468" spans="1:6" ht="15.75" customHeight="1">
      <c r="A21468" s="8" t="str">
        <f ca="1">IFERROR(__xludf.DUMMYFUNCTION("GOOGLETRANSLATE(B38629,""en"",""pt"")"),"Manay")</f>
        <v>Manay</v>
      </c>
      <c r="B21468" s="9" t="s">
        <v>20875</v>
      </c>
      <c r="C21468" s="9" t="s">
        <v>20598</v>
      </c>
      <c r="D21468" s="9" t="s">
        <v>20658</v>
      </c>
      <c r="E21468" s="10">
        <v>1702032</v>
      </c>
      <c r="F21468" s="4" t="str">
        <f>IF(B21468=B21467,"",B21468)</f>
        <v/>
      </c>
    </row>
    <row r="21469" spans="1:6" ht="15.75" customHeight="1">
      <c r="A21469" s="8" t="str">
        <f ca="1">IFERROR(__xludf.DUMMYFUNCTION("GOOGLETRANSLATE(B32843,""en"",""pt"")"),"Manāwar")</f>
        <v>Manāwar</v>
      </c>
      <c r="B21469" s="11" t="s">
        <v>33415</v>
      </c>
      <c r="C21469" s="11" t="s">
        <v>10178</v>
      </c>
      <c r="D21469" s="11" t="s">
        <v>10219</v>
      </c>
      <c r="E21469" s="10">
        <v>1263940</v>
      </c>
      <c r="F21469" s="4" t="str">
        <f>IF(B21469=B21468,"",B21469)</f>
        <v>Manāwar</v>
      </c>
    </row>
    <row r="21470" spans="1:6" ht="15.75" customHeight="1">
      <c r="A21470" s="16" t="s">
        <v>26625</v>
      </c>
      <c r="B21470" s="15" t="s">
        <v>26625</v>
      </c>
      <c r="C21470" s="16" t="s">
        <v>26201</v>
      </c>
      <c r="D21470" s="16" t="s">
        <v>26308</v>
      </c>
      <c r="E21470" s="2">
        <v>304854</v>
      </c>
      <c r="F21470" s="4" t="str">
        <f>IF(B21470=B21469,"",B21470)</f>
        <v>Manavgat</v>
      </c>
    </row>
    <row r="21471" spans="1:6" ht="15.75" customHeight="1">
      <c r="A21471" s="8" t="str">
        <f ca="1">IFERROR(__xludf.DUMMYFUNCTION("GOOGLETRANSLATE(B41941,""en"",""pt"")"),"Manavgat")</f>
        <v>Manavgat</v>
      </c>
      <c r="B21471" s="11" t="s">
        <v>26625</v>
      </c>
      <c r="C21471" s="11" t="s">
        <v>26201</v>
      </c>
      <c r="D21471" s="11" t="s">
        <v>26308</v>
      </c>
      <c r="E21471" s="10">
        <v>304854</v>
      </c>
      <c r="F21471" s="4" t="str">
        <f>IF(B21471=B21470,"",B21471)</f>
        <v/>
      </c>
    </row>
    <row r="21472" spans="1:6" ht="15.75" customHeight="1">
      <c r="A21472" s="8" t="str">
        <f ca="1">IFERROR(__xludf.DUMMYFUNCTION("GOOGLETRANSLATE(B32844,""en"",""pt"")"),"Mānāvadar")</f>
        <v>Mānāvadar</v>
      </c>
      <c r="B21472" s="11" t="s">
        <v>33416</v>
      </c>
      <c r="C21472" s="11" t="s">
        <v>10178</v>
      </c>
      <c r="D21472" s="11" t="s">
        <v>10209</v>
      </c>
      <c r="E21472" s="10">
        <v>1263943</v>
      </c>
      <c r="F21472" s="4" t="str">
        <f>IF(B21472=B21471,"",B21472)</f>
        <v>Mānāvadar</v>
      </c>
    </row>
    <row r="21473" spans="1:6" ht="15.75" customHeight="1">
      <c r="A21473" s="15" t="s">
        <v>2845</v>
      </c>
      <c r="B21473" s="15" t="s">
        <v>2845</v>
      </c>
      <c r="C21473" s="15" t="s">
        <v>1905</v>
      </c>
      <c r="D21473" s="15" t="s">
        <v>2287</v>
      </c>
      <c r="E21473" s="2">
        <v>3663517</v>
      </c>
      <c r="F21473" s="4" t="str">
        <f>IF(B21473=B21472,"",B21473)</f>
        <v>Manaus</v>
      </c>
    </row>
    <row r="21474" spans="1:6" ht="15.75" customHeight="1">
      <c r="A21474" s="8" t="str">
        <f ca="1">IFERROR(__xludf.DUMMYFUNCTION("GOOGLETRANSLATE(B25313,""en"",""pt"")"),"Manaus")</f>
        <v>Manaus</v>
      </c>
      <c r="B21474" s="9" t="s">
        <v>2845</v>
      </c>
      <c r="C21474" s="9" t="s">
        <v>1905</v>
      </c>
      <c r="D21474" s="9" t="s">
        <v>2287</v>
      </c>
      <c r="E21474" s="10">
        <v>3663517</v>
      </c>
      <c r="F21474" s="4" t="str">
        <f>IF(B21474=B21473,"",B21474)</f>
        <v/>
      </c>
    </row>
    <row r="21475" spans="1:6" ht="15.75" customHeight="1">
      <c r="A21475" s="8" t="str">
        <f ca="1">IFERROR(__xludf.DUMMYFUNCTION("GOOGLETRANSLATE(B39518,""en"",""pt"")"),"Manatí")</f>
        <v>Manatí</v>
      </c>
      <c r="B21475" s="9" t="s">
        <v>35256</v>
      </c>
      <c r="C21475" s="9" t="s">
        <v>747</v>
      </c>
      <c r="D21475" s="9" t="s">
        <v>21768</v>
      </c>
      <c r="E21475" s="10">
        <v>4566137</v>
      </c>
      <c r="F21475" s="4" t="str">
        <f>IF(B21475=B21474,"",B21475)</f>
        <v>Manatí</v>
      </c>
    </row>
    <row r="21476" spans="1:6" ht="15.75" customHeight="1">
      <c r="A21476" s="15" t="s">
        <v>21766</v>
      </c>
      <c r="B21476" s="15" t="s">
        <v>21767</v>
      </c>
      <c r="C21476" s="15" t="s">
        <v>747</v>
      </c>
      <c r="D21476" s="15" t="s">
        <v>21768</v>
      </c>
      <c r="E21476" s="2">
        <v>4566137</v>
      </c>
      <c r="F21476" s="4" t="str">
        <f>IF(B21476=B21475,"",B21476)</f>
        <v>ManatÃ­</v>
      </c>
    </row>
    <row r="21477" spans="1:6" ht="15.75" customHeight="1">
      <c r="A21477" s="8" t="str">
        <f ca="1">IFERROR(__xludf.DUMMYFUNCTION("GOOGLETRANSLATE(B32845,""en"",""pt"")"),"Manāsa")</f>
        <v>Manāsa</v>
      </c>
      <c r="B21477" s="9" t="s">
        <v>33417</v>
      </c>
      <c r="C21477" s="9" t="s">
        <v>10178</v>
      </c>
      <c r="D21477" s="9" t="s">
        <v>10219</v>
      </c>
      <c r="E21477" s="10">
        <v>1263949</v>
      </c>
      <c r="F21477" s="4" t="str">
        <f>IF(B21477=B21476,"",B21477)</f>
        <v>Manāsa</v>
      </c>
    </row>
    <row r="21478" spans="1:6" ht="15.75" customHeight="1">
      <c r="A21478" s="16" t="s">
        <v>12324</v>
      </c>
      <c r="B21478" s="15" t="s">
        <v>12324</v>
      </c>
      <c r="C21478" s="16" t="s">
        <v>10178</v>
      </c>
      <c r="D21478" s="16" t="s">
        <v>10196</v>
      </c>
      <c r="E21478" s="2">
        <v>1263952</v>
      </c>
      <c r="F21478" s="4" t="str">
        <f>IF(B21478=B21477,"",B21478)</f>
        <v>Manapparai</v>
      </c>
    </row>
    <row r="21479" spans="1:6" ht="15.75" customHeight="1">
      <c r="A21479" s="8" t="str">
        <f ca="1">IFERROR(__xludf.DUMMYFUNCTION("GOOGLETRANSLATE(B32846,""en"",""pt"")"),"Manapparai")</f>
        <v>Manapparai</v>
      </c>
      <c r="B21479" s="9" t="s">
        <v>12324</v>
      </c>
      <c r="C21479" s="9" t="s">
        <v>10178</v>
      </c>
      <c r="D21479" s="9" t="s">
        <v>10196</v>
      </c>
      <c r="E21479" s="10">
        <v>1263952</v>
      </c>
      <c r="F21479" s="4" t="str">
        <f>IF(B21479=B21478,"",B21479)</f>
        <v/>
      </c>
    </row>
    <row r="21480" spans="1:6" ht="15.75" customHeight="1">
      <c r="A21480" s="15" t="s">
        <v>20874</v>
      </c>
      <c r="B21480" s="15" t="s">
        <v>20874</v>
      </c>
      <c r="C21480" s="15" t="s">
        <v>20598</v>
      </c>
      <c r="D21480" s="15" t="s">
        <v>20627</v>
      </c>
      <c r="E21480" s="2">
        <v>1702077</v>
      </c>
      <c r="F21480" s="4" t="str">
        <f>IF(B21480=B21479,"",B21480)</f>
        <v>Manapla</v>
      </c>
    </row>
    <row r="21481" spans="1:6" ht="15.75" customHeight="1">
      <c r="A21481" s="8" t="str">
        <f ca="1">IFERROR(__xludf.DUMMYFUNCTION("GOOGLETRANSLATE(B38630,""en"",""pt"")"),"Manapla")</f>
        <v>Manapla</v>
      </c>
      <c r="B21481" s="9" t="s">
        <v>20874</v>
      </c>
      <c r="C21481" s="9" t="s">
        <v>20598</v>
      </c>
      <c r="D21481" s="9" t="s">
        <v>20627</v>
      </c>
      <c r="E21481" s="10">
        <v>1702077</v>
      </c>
      <c r="F21481" s="4" t="str">
        <f>IF(B21481=B21480,"",B21481)</f>
        <v/>
      </c>
    </row>
    <row r="21482" spans="1:6" ht="15.75" customHeight="1">
      <c r="A21482" s="15" t="s">
        <v>20873</v>
      </c>
      <c r="B21482" s="15" t="s">
        <v>20873</v>
      </c>
      <c r="C21482" s="15" t="s">
        <v>20598</v>
      </c>
      <c r="D21482" s="15" t="s">
        <v>20603</v>
      </c>
      <c r="E21482" s="2">
        <v>1702096</v>
      </c>
      <c r="F21482" s="4" t="str">
        <f>IF(B21482=B21481,"",B21482)</f>
        <v>Manaoag</v>
      </c>
    </row>
    <row r="21483" spans="1:6" ht="15.75" customHeight="1">
      <c r="A21483" s="8" t="str">
        <f ca="1">IFERROR(__xludf.DUMMYFUNCTION("GOOGLETRANSLATE(B38631,""en"",""pt"")"),"Manaoag")</f>
        <v>Manaoag</v>
      </c>
      <c r="B21483" s="9" t="s">
        <v>20873</v>
      </c>
      <c r="C21483" s="9" t="s">
        <v>20598</v>
      </c>
      <c r="D21483" s="9" t="s">
        <v>20603</v>
      </c>
      <c r="E21483" s="10">
        <v>1702096</v>
      </c>
      <c r="F21483" s="4" t="str">
        <f>IF(B21483=B21482,"",B21483)</f>
        <v/>
      </c>
    </row>
    <row r="21484" spans="1:6" ht="15.75" customHeight="1">
      <c r="A21484" s="8" t="str">
        <f ca="1">IFERROR(__xludf.DUMMYFUNCTION("GOOGLETRANSLATE(B38996,""en"",""pt"")"),"Mānānwāla")</f>
        <v>Mānānwāla</v>
      </c>
      <c r="B21484" s="11" t="s">
        <v>34961</v>
      </c>
      <c r="C21484" s="11" t="s">
        <v>19808</v>
      </c>
      <c r="D21484" s="11" t="s">
        <v>10184</v>
      </c>
      <c r="E21484" s="10">
        <v>1171165</v>
      </c>
      <c r="F21484" s="4" t="str">
        <f>IF(B21484=B21483,"",B21484)</f>
        <v>Mānānwāla</v>
      </c>
    </row>
    <row r="21485" spans="1:6" ht="15.75" customHeight="1">
      <c r="A21485" s="16" t="s">
        <v>17378</v>
      </c>
      <c r="B21485" s="15" t="s">
        <v>17378</v>
      </c>
      <c r="C21485" s="16" t="s">
        <v>17292</v>
      </c>
      <c r="D21485" s="16" t="s">
        <v>17310</v>
      </c>
      <c r="E21485" s="2">
        <v>1061335</v>
      </c>
      <c r="F21485" s="4" t="str">
        <f>IF(B21485=B21484,"",B21485)</f>
        <v>Mananjary</v>
      </c>
    </row>
    <row r="21486" spans="1:6" ht="15.75" customHeight="1">
      <c r="A21486" s="8" t="str">
        <f ca="1">IFERROR(__xludf.DUMMYFUNCTION("GOOGLETRANSLATE(B36583,""en"",""pt"")"),"Mananjary")</f>
        <v>Mananjary</v>
      </c>
      <c r="B21486" s="11" t="s">
        <v>17378</v>
      </c>
      <c r="C21486" s="11" t="s">
        <v>17292</v>
      </c>
      <c r="D21486" s="11" t="s">
        <v>17310</v>
      </c>
      <c r="E21486" s="10">
        <v>1061335</v>
      </c>
      <c r="F21486" s="4" t="str">
        <f>IF(B21486=B21485,"",B21486)</f>
        <v/>
      </c>
    </row>
    <row r="21487" spans="1:6" ht="15.75" customHeight="1">
      <c r="A21487" s="16" t="s">
        <v>17377</v>
      </c>
      <c r="B21487" s="15" t="s">
        <v>17377</v>
      </c>
      <c r="C21487" s="16" t="s">
        <v>17292</v>
      </c>
      <c r="D21487" s="16" t="s">
        <v>17356</v>
      </c>
      <c r="E21487" s="2">
        <v>1061412</v>
      </c>
      <c r="F21487" s="4" t="str">
        <f>IF(B21487=B21486,"",B21487)</f>
        <v>Mananara</v>
      </c>
    </row>
    <row r="21488" spans="1:6" ht="15.75" customHeight="1">
      <c r="A21488" s="8" t="str">
        <f ca="1">IFERROR(__xludf.DUMMYFUNCTION("GOOGLETRANSLATE(B36584,""en"",""pt"")"),"Mananara")</f>
        <v>Mananara</v>
      </c>
      <c r="B21488" s="11" t="s">
        <v>17377</v>
      </c>
      <c r="C21488" s="11" t="s">
        <v>17292</v>
      </c>
      <c r="D21488" s="11" t="s">
        <v>17356</v>
      </c>
      <c r="E21488" s="10">
        <v>1061412</v>
      </c>
      <c r="F21488" s="4" t="str">
        <f>IF(B21488=B21487,"",B21488)</f>
        <v/>
      </c>
    </row>
    <row r="21489" spans="1:6" ht="15.75" customHeight="1">
      <c r="A21489" s="16" t="s">
        <v>12323</v>
      </c>
      <c r="B21489" s="15" t="s">
        <v>12323</v>
      </c>
      <c r="C21489" s="16" t="s">
        <v>10178</v>
      </c>
      <c r="D21489" s="16" t="s">
        <v>10196</v>
      </c>
      <c r="E21489" s="2">
        <v>1263965</v>
      </c>
      <c r="F21489" s="4" t="str">
        <f>IF(B21489=B21488,"",B21489)</f>
        <v>Manamadurai</v>
      </c>
    </row>
    <row r="21490" spans="1:6" ht="15.75" customHeight="1">
      <c r="A21490" s="8" t="str">
        <f ca="1">IFERROR(__xludf.DUMMYFUNCTION("GOOGLETRANSLATE(B32847,""en"",""pt"")"),"Manamadurai")</f>
        <v>Manamadurai</v>
      </c>
      <c r="B21490" s="9" t="s">
        <v>12323</v>
      </c>
      <c r="C21490" s="9" t="s">
        <v>10178</v>
      </c>
      <c r="D21490" s="9" t="s">
        <v>10196</v>
      </c>
      <c r="E21490" s="10">
        <v>1263965</v>
      </c>
      <c r="F21490" s="4" t="str">
        <f>IF(B21490=B21489,"",B21490)</f>
        <v/>
      </c>
    </row>
    <row r="21491" spans="1:6" ht="15.75" customHeight="1">
      <c r="A21491" s="15" t="s">
        <v>1288</v>
      </c>
      <c r="B21491" s="15" t="s">
        <v>1288</v>
      </c>
      <c r="C21491" s="15" t="s">
        <v>1279</v>
      </c>
      <c r="D21491" s="15" t="s">
        <v>1288</v>
      </c>
      <c r="E21491" s="2">
        <v>290340</v>
      </c>
      <c r="F21491" s="4" t="str">
        <f>IF(B21491=B21490,"",B21491)</f>
        <v>Manama</v>
      </c>
    </row>
    <row r="21492" spans="1:6" ht="15.75" customHeight="1">
      <c r="A21492" s="8" t="str">
        <f ca="1">IFERROR(__xludf.DUMMYFUNCTION("GOOGLETRANSLATE(B24068,""en"",""pt"")"),"Manama")</f>
        <v>Manama</v>
      </c>
      <c r="B21492" s="11" t="s">
        <v>1288</v>
      </c>
      <c r="C21492" s="11" t="s">
        <v>1279</v>
      </c>
      <c r="D21492" s="11" t="s">
        <v>1288</v>
      </c>
      <c r="E21492" s="10">
        <v>290340</v>
      </c>
      <c r="F21492" s="4" t="str">
        <f>IF(B21492=B21491,"",B21492)</f>
        <v/>
      </c>
    </row>
    <row r="21493" spans="1:6" ht="15.75" customHeight="1">
      <c r="A21493" s="15" t="s">
        <v>12322</v>
      </c>
      <c r="B21493" s="15" t="s">
        <v>12322</v>
      </c>
      <c r="C21493" s="15" t="s">
        <v>10178</v>
      </c>
      <c r="D21493" s="15" t="s">
        <v>10196</v>
      </c>
      <c r="E21493" s="2">
        <v>1263968</v>
      </c>
      <c r="F21493" s="4" t="str">
        <f>IF(B21493=B21492,"",B21493)</f>
        <v>Manali</v>
      </c>
    </row>
    <row r="21494" spans="1:6" ht="15.75" customHeight="1">
      <c r="A21494" s="8" t="str">
        <f ca="1">IFERROR(__xludf.DUMMYFUNCTION("GOOGLETRANSLATE(B32848,""en"",""pt"")"),"Manali")</f>
        <v>Manali</v>
      </c>
      <c r="B21494" s="11" t="s">
        <v>12322</v>
      </c>
      <c r="C21494" s="11" t="s">
        <v>10178</v>
      </c>
      <c r="D21494" s="11" t="s">
        <v>10196</v>
      </c>
      <c r="E21494" s="10">
        <v>1263968</v>
      </c>
      <c r="F21494" s="4" t="str">
        <f>IF(B21494=B21493,"",B21494)</f>
        <v/>
      </c>
    </row>
    <row r="21495" spans="1:6" ht="15.75" customHeight="1">
      <c r="A21495" s="16" t="s">
        <v>17376</v>
      </c>
      <c r="B21495" s="15" t="s">
        <v>17376</v>
      </c>
      <c r="C21495" s="16" t="s">
        <v>17292</v>
      </c>
      <c r="D21495" s="16" t="s">
        <v>17310</v>
      </c>
      <c r="E21495" s="2">
        <v>1061605</v>
      </c>
      <c r="F21495" s="4" t="str">
        <f>IF(B21495=B21494,"",B21495)</f>
        <v>Manakara</v>
      </c>
    </row>
    <row r="21496" spans="1:6" ht="15.75" customHeight="1">
      <c r="A21496" s="8" t="str">
        <f ca="1">IFERROR(__xludf.DUMMYFUNCTION("GOOGLETRANSLATE(B36585,""en"",""pt"")"),"Manakara")</f>
        <v>Manakara</v>
      </c>
      <c r="B21496" s="11" t="s">
        <v>17376</v>
      </c>
      <c r="C21496" s="11" t="s">
        <v>17292</v>
      </c>
      <c r="D21496" s="11" t="s">
        <v>17310</v>
      </c>
      <c r="E21496" s="10">
        <v>1061605</v>
      </c>
      <c r="F21496" s="4" t="str">
        <f>IF(B21496=B21495,"",B21496)</f>
        <v/>
      </c>
    </row>
    <row r="21497" spans="1:6" ht="15.75" customHeight="1">
      <c r="A21497" s="15" t="s">
        <v>19237</v>
      </c>
      <c r="B21497" s="15" t="s">
        <v>19224</v>
      </c>
      <c r="C21497" s="15" t="s">
        <v>19217</v>
      </c>
      <c r="D21497" s="15" t="s">
        <v>19224</v>
      </c>
      <c r="E21497" s="2">
        <v>3617763</v>
      </c>
      <c r="F21497" s="4" t="str">
        <f>IF(B21497=B21496,"",B21497)</f>
        <v>Managua</v>
      </c>
    </row>
    <row r="21498" spans="1:6" ht="15.75" customHeight="1">
      <c r="A21498" s="8" t="str">
        <f ca="1">IFERROR(__xludf.DUMMYFUNCTION("GOOGLETRANSLATE(B37866,""en"",""pt"")"),"Manágua")</f>
        <v>Manágua</v>
      </c>
      <c r="B21498" s="11" t="s">
        <v>19224</v>
      </c>
      <c r="C21498" s="11" t="s">
        <v>19217</v>
      </c>
      <c r="D21498" s="11" t="s">
        <v>19224</v>
      </c>
      <c r="E21498" s="10">
        <v>3617763</v>
      </c>
      <c r="F21498" s="4" t="str">
        <f>IF(B21498=B21497,"",B21498)</f>
        <v/>
      </c>
    </row>
    <row r="21499" spans="1:6" ht="15.75" customHeight="1">
      <c r="A21499" s="15" t="s">
        <v>1633</v>
      </c>
      <c r="B21499" s="15" t="s">
        <v>1634</v>
      </c>
      <c r="C21499" s="15" t="s">
        <v>1512</v>
      </c>
      <c r="D21499" s="15" t="s">
        <v>1518</v>
      </c>
      <c r="E21499" s="2">
        <v>2791814</v>
      </c>
      <c r="F21499" s="4" t="str">
        <f>IF(B21499=B21498,"",B21499)</f>
        <v>Manage</v>
      </c>
    </row>
    <row r="21500" spans="1:6" ht="15.75" customHeight="1">
      <c r="A21500" s="8" t="str">
        <f ca="1">IFERROR(__xludf.DUMMYFUNCTION("GOOGLETRANSLATE(B23873,""en"",""pt"")"),"Gerenciar")</f>
        <v>Gerenciar</v>
      </c>
      <c r="B21500" s="11" t="s">
        <v>1634</v>
      </c>
      <c r="C21500" s="11" t="s">
        <v>1512</v>
      </c>
      <c r="D21500" s="11" t="s">
        <v>1518</v>
      </c>
      <c r="E21500" s="10">
        <v>2791814</v>
      </c>
      <c r="F21500" s="4" t="str">
        <f>IF(B21500=B21499,"",B21500)</f>
        <v/>
      </c>
    </row>
    <row r="21501" spans="1:6" ht="15.75" customHeight="1">
      <c r="A21501" s="15" t="s">
        <v>14023</v>
      </c>
      <c r="B21501" s="15" t="s">
        <v>14023</v>
      </c>
      <c r="C21501" s="15" t="s">
        <v>13800</v>
      </c>
      <c r="D21501" s="15" t="s">
        <v>13859</v>
      </c>
      <c r="E21501" s="2">
        <v>1636544</v>
      </c>
      <c r="F21501" s="4" t="str">
        <f>IF(B21501=B21500,"",B21501)</f>
        <v>Manado</v>
      </c>
    </row>
    <row r="21502" spans="1:6" ht="15.75" customHeight="1">
      <c r="A21502" s="8" t="str">
        <f ca="1">IFERROR(__xludf.DUMMYFUNCTION("GOOGLETRANSLATE(B31551,""en"",""pt"")"),"Manado")</f>
        <v>Manado</v>
      </c>
      <c r="B21502" s="11" t="s">
        <v>14023</v>
      </c>
      <c r="C21502" s="11" t="s">
        <v>13800</v>
      </c>
      <c r="D21502" s="11" t="s">
        <v>13859</v>
      </c>
      <c r="E21502" s="10">
        <v>1636544</v>
      </c>
      <c r="F21502" s="4" t="str">
        <f>IF(B21502=B21501,"",B21502)</f>
        <v/>
      </c>
    </row>
    <row r="21503" spans="1:6" ht="15.75" customHeight="1">
      <c r="A21503" s="15" t="s">
        <v>24592</v>
      </c>
      <c r="B21503" s="15" t="s">
        <v>24592</v>
      </c>
      <c r="C21503" s="15" t="s">
        <v>24200</v>
      </c>
      <c r="D21503" s="15" t="s">
        <v>24236</v>
      </c>
      <c r="E21503" s="2">
        <v>2514216</v>
      </c>
      <c r="F21503" s="4" t="str">
        <f>IF(B21503=B21502,"",B21503)</f>
        <v>Manacor</v>
      </c>
    </row>
    <row r="21504" spans="1:6" ht="15.75" customHeight="1">
      <c r="A21504" s="8" t="str">
        <f ca="1">IFERROR(__xludf.DUMMYFUNCTION("GOOGLETRANSLATE(B29067,""en"",""pt"")"),"Manacor")</f>
        <v>Manacor</v>
      </c>
      <c r="B21504" s="9" t="s">
        <v>24592</v>
      </c>
      <c r="C21504" s="9" t="s">
        <v>24200</v>
      </c>
      <c r="D21504" s="9" t="s">
        <v>24236</v>
      </c>
      <c r="E21504" s="10">
        <v>2514216</v>
      </c>
      <c r="F21504" s="4" t="str">
        <f>IF(B21504=B21503,"",B21504)</f>
        <v/>
      </c>
    </row>
    <row r="21505" spans="1:6" ht="15.75" customHeight="1">
      <c r="A21505" s="16" t="s">
        <v>2843</v>
      </c>
      <c r="B21505" s="15" t="s">
        <v>2844</v>
      </c>
      <c r="C21505" s="16" t="s">
        <v>1905</v>
      </c>
      <c r="D21505" s="16" t="s">
        <v>2287</v>
      </c>
      <c r="E21505" s="2">
        <v>3663529</v>
      </c>
      <c r="F21505" s="4" t="str">
        <f>IF(B21505=B21504,"",B21505)</f>
        <v>Manacapuru</v>
      </c>
    </row>
    <row r="21506" spans="1:6" ht="15.75" customHeight="1">
      <c r="A21506" s="8" t="str">
        <f ca="1">IFERROR(__xludf.DUMMYFUNCTION("GOOGLETRANSLATE(B25314,""en"",""pt"")"),"MANACAPURU")</f>
        <v>MANACAPURU</v>
      </c>
      <c r="B21506" s="9" t="s">
        <v>2844</v>
      </c>
      <c r="C21506" s="9" t="s">
        <v>1905</v>
      </c>
      <c r="D21506" s="9" t="s">
        <v>2287</v>
      </c>
      <c r="E21506" s="10">
        <v>3663529</v>
      </c>
      <c r="F21506" s="4" t="str">
        <f>IF(B21506=B21505,"",B21506)</f>
        <v/>
      </c>
    </row>
    <row r="21507" spans="1:6" ht="15.75" customHeight="1">
      <c r="A21507" s="16" t="s">
        <v>12320</v>
      </c>
      <c r="B21507" s="15" t="s">
        <v>12321</v>
      </c>
      <c r="C21507" s="16" t="s">
        <v>10178</v>
      </c>
      <c r="D21507" s="16" t="s">
        <v>10219</v>
      </c>
      <c r="E21507" s="2">
        <v>1263940</v>
      </c>
      <c r="F21507" s="4" t="str">
        <f>IF(B21507=B21506,"",B21507)</f>
        <v>ManÄwar</v>
      </c>
    </row>
    <row r="21508" spans="1:6" ht="15.75" customHeight="1">
      <c r="A21508" s="15" t="s">
        <v>12318</v>
      </c>
      <c r="B21508" s="15" t="s">
        <v>12319</v>
      </c>
      <c r="C21508" s="15" t="s">
        <v>10178</v>
      </c>
      <c r="D21508" s="15" t="s">
        <v>10219</v>
      </c>
      <c r="E21508" s="2">
        <v>1263949</v>
      </c>
      <c r="F21508" s="4" t="str">
        <f>IF(B21508=B21507,"",B21508)</f>
        <v>ManÄsa</v>
      </c>
    </row>
    <row r="21509" spans="1:6" ht="15.75" customHeight="1">
      <c r="A21509" s="15" t="s">
        <v>15650</v>
      </c>
      <c r="B21509" s="15" t="s">
        <v>15651</v>
      </c>
      <c r="C21509" s="15" t="s">
        <v>15586</v>
      </c>
      <c r="D21509" s="15" t="s">
        <v>15613</v>
      </c>
      <c r="E21509" s="2">
        <v>2284647</v>
      </c>
      <c r="F21509" s="4" t="str">
        <f>IF(B21509=B21508,"",B21509)</f>
        <v>Man</v>
      </c>
    </row>
    <row r="21510" spans="1:6" ht="15.75" customHeight="1">
      <c r="A21510" s="8" t="str">
        <f ca="1">IFERROR(__xludf.DUMMYFUNCTION("GOOGLETRANSLATE(B25841,""en"",""pt"")"),"Homem")</f>
        <v>Homem</v>
      </c>
      <c r="B21510" s="9" t="s">
        <v>15651</v>
      </c>
      <c r="C21510" s="9" t="s">
        <v>15586</v>
      </c>
      <c r="D21510" s="9" t="s">
        <v>15613</v>
      </c>
      <c r="E21510" s="10">
        <v>2284647</v>
      </c>
      <c r="F21510" s="4" t="str">
        <f>IF(B21510=B21509,"",B21510)</f>
        <v/>
      </c>
    </row>
    <row r="21511" spans="1:6" ht="15.75" customHeight="1">
      <c r="A21511" s="8" t="str">
        <f ca="1">IFERROR(__xludf.DUMMYFUNCTION("GOOGLETRANSLATE(B38997,""en"",""pt"")"),"Māmu Kānjan")</f>
        <v>Māmu Kānjan</v>
      </c>
      <c r="B21511" s="11" t="s">
        <v>34962</v>
      </c>
      <c r="C21511" s="11" t="s">
        <v>19808</v>
      </c>
      <c r="D21511" s="11" t="s">
        <v>10184</v>
      </c>
      <c r="E21511" s="10">
        <v>1171198</v>
      </c>
      <c r="F21511" s="4" t="str">
        <f>IF(B21511=B21510,"",B21511)</f>
        <v>Māmu Kānjan</v>
      </c>
    </row>
    <row r="21512" spans="1:6" ht="15.75" customHeight="1">
      <c r="A21512" s="16" t="s">
        <v>9405</v>
      </c>
      <c r="B21512" s="15" t="s">
        <v>9405</v>
      </c>
      <c r="C21512" s="16" t="s">
        <v>9365</v>
      </c>
      <c r="D21512" s="16" t="s">
        <v>9371</v>
      </c>
      <c r="E21512" s="2">
        <v>2298264</v>
      </c>
      <c r="F21512" s="4" t="str">
        <f>IF(B21512=B21511,"",B21512)</f>
        <v>Mampong</v>
      </c>
    </row>
    <row r="21513" spans="1:6" ht="15.75" customHeight="1">
      <c r="A21513" s="8" t="str">
        <f ca="1">IFERROR(__xludf.DUMMYFUNCTION("GOOGLETRANSLATE(B30883,""en"",""pt"")"),"Mampong")</f>
        <v>Mampong</v>
      </c>
      <c r="B21513" s="11" t="s">
        <v>9405</v>
      </c>
      <c r="C21513" s="11" t="s">
        <v>9365</v>
      </c>
      <c r="D21513" s="11" t="s">
        <v>9371</v>
      </c>
      <c r="E21513" s="10">
        <v>2298264</v>
      </c>
      <c r="F21513" s="4" t="str">
        <f>IF(B21513=B21512,"",B21513)</f>
        <v/>
      </c>
    </row>
    <row r="21514" spans="1:6" ht="15.75" customHeight="1">
      <c r="A21514" s="16" t="s">
        <v>17704</v>
      </c>
      <c r="B21514" s="15" t="s">
        <v>17704</v>
      </c>
      <c r="C21514" s="16" t="s">
        <v>17702</v>
      </c>
      <c r="D21514" s="16" t="s">
        <v>17704</v>
      </c>
      <c r="E21514" s="2">
        <v>921815</v>
      </c>
      <c r="F21514" s="4" t="str">
        <f>IF(B21514=B21513,"",B21514)</f>
        <v>Mamoudzou</v>
      </c>
    </row>
    <row r="21515" spans="1:6" ht="15.75" customHeight="1">
      <c r="A21515" s="8" t="str">
        <f ca="1">IFERROR(__xludf.DUMMYFUNCTION("GOOGLETRANSLATE(B45839,""en"",""pt"")"),"Mamoudzou")</f>
        <v>Mamoudzou</v>
      </c>
      <c r="B21515" s="9" t="s">
        <v>17704</v>
      </c>
      <c r="C21515" s="9" t="s">
        <v>17702</v>
      </c>
      <c r="D21515" s="9" t="s">
        <v>17704</v>
      </c>
      <c r="E21515" s="10">
        <v>921815</v>
      </c>
      <c r="F21515" s="4" t="str">
        <f>IF(B21515=B21514,"",B21515)</f>
        <v/>
      </c>
    </row>
    <row r="21516" spans="1:6" ht="15.75" customHeight="1">
      <c r="A21516" s="15" t="s">
        <v>9843</v>
      </c>
      <c r="B21516" s="15" t="s">
        <v>9843</v>
      </c>
      <c r="C21516" s="15" t="s">
        <v>9826</v>
      </c>
      <c r="D21516" s="15" t="s">
        <v>9843</v>
      </c>
      <c r="E21516" s="2">
        <v>2417833</v>
      </c>
      <c r="F21516" s="4" t="str">
        <f>IF(B21516=B21515,"",B21516)</f>
        <v>Mamou</v>
      </c>
    </row>
    <row r="21517" spans="1:6" ht="15.75" customHeight="1">
      <c r="A21517" s="8" t="str">
        <f ca="1">IFERROR(__xludf.DUMMYFUNCTION("GOOGLETRANSLATE(B30927,""en"",""pt"")"),"Mamou")</f>
        <v>Mamou</v>
      </c>
      <c r="B21517" s="9" t="s">
        <v>9843</v>
      </c>
      <c r="C21517" s="9" t="s">
        <v>9826</v>
      </c>
      <c r="D21517" s="9" t="s">
        <v>9843</v>
      </c>
      <c r="E21517" s="10">
        <v>2417833</v>
      </c>
      <c r="F21517" s="4" t="str">
        <f>IF(B21517=B21516,"",B21517)</f>
        <v/>
      </c>
    </row>
    <row r="21518" spans="1:6" ht="15.75" customHeight="1">
      <c r="A21518" s="15" t="s">
        <v>3941</v>
      </c>
      <c r="B21518" s="15" t="s">
        <v>3941</v>
      </c>
      <c r="C21518" s="15" t="s">
        <v>3884</v>
      </c>
      <c r="D21518" s="15" t="s">
        <v>3898</v>
      </c>
      <c r="E21518" s="2">
        <v>2228675</v>
      </c>
      <c r="F21518" s="4" t="str">
        <f>IF(B21518=B21517,"",B21518)</f>
        <v>Mamfe</v>
      </c>
    </row>
    <row r="21519" spans="1:6" ht="15.75" customHeight="1">
      <c r="A21519" s="8" t="str">
        <f ca="1">IFERROR(__xludf.DUMMYFUNCTION("GOOGLETRANSLATE(B26006,""en"",""pt"")"),"Mamfe")</f>
        <v>Mamfe</v>
      </c>
      <c r="B21519" s="9" t="s">
        <v>3941</v>
      </c>
      <c r="C21519" s="9" t="s">
        <v>3884</v>
      </c>
      <c r="D21519" s="9" t="s">
        <v>3898</v>
      </c>
      <c r="E21519" s="10">
        <v>2228675</v>
      </c>
      <c r="F21519" s="4" t="str">
        <f>IF(B21519=B21518,"",B21519)</f>
        <v/>
      </c>
    </row>
    <row r="21520" spans="1:6" ht="15.75" customHeight="1">
      <c r="A21520" s="16" t="s">
        <v>20872</v>
      </c>
      <c r="B21520" s="15" t="s">
        <v>20872</v>
      </c>
      <c r="C21520" s="16" t="s">
        <v>20598</v>
      </c>
      <c r="D21520" s="16" t="s">
        <v>20715</v>
      </c>
      <c r="E21520" s="2">
        <v>1702263</v>
      </c>
      <c r="F21520" s="4" t="str">
        <f>IF(B21520=B21519,"",B21520)</f>
        <v>Mamburao</v>
      </c>
    </row>
    <row r="21521" spans="1:6" ht="15.75" customHeight="1">
      <c r="A21521" s="8" t="str">
        <f ca="1">IFERROR(__xludf.DUMMYFUNCTION("GOOGLETRANSLATE(B38632,""en"",""pt"")"),"Mamburao")</f>
        <v>Mamburao</v>
      </c>
      <c r="B21521" s="9" t="s">
        <v>20872</v>
      </c>
      <c r="C21521" s="9" t="s">
        <v>20598</v>
      </c>
      <c r="D21521" s="9" t="s">
        <v>20715</v>
      </c>
      <c r="E21521" s="10">
        <v>1702263</v>
      </c>
      <c r="F21521" s="4" t="str">
        <f>IF(B21521=B21520,"",B21521)</f>
        <v/>
      </c>
    </row>
    <row r="21522" spans="1:6" ht="15.75" customHeight="1">
      <c r="A21522" s="16" t="s">
        <v>20870</v>
      </c>
      <c r="B21522" s="15" t="s">
        <v>20871</v>
      </c>
      <c r="C21522" s="16" t="s">
        <v>20598</v>
      </c>
      <c r="D21522" s="16" t="s">
        <v>20608</v>
      </c>
      <c r="E21522" s="2">
        <v>1702372</v>
      </c>
      <c r="F21522" s="4" t="str">
        <f>IF(B21522=B21521,"",B21522)</f>
        <v>Mamatid</v>
      </c>
    </row>
    <row r="21523" spans="1:6" ht="15.75" customHeight="1">
      <c r="A21523" s="8" t="str">
        <f ca="1">IFERROR(__xludf.DUMMYFUNCTION("GOOGLETRANSLATE(B38633,""en"",""pt"")"),"Mamátido")</f>
        <v>Mamátido</v>
      </c>
      <c r="B21523" s="9" t="s">
        <v>20871</v>
      </c>
      <c r="C21523" s="9" t="s">
        <v>20598</v>
      </c>
      <c r="D21523" s="9" t="s">
        <v>20608</v>
      </c>
      <c r="E21523" s="10">
        <v>1702372</v>
      </c>
      <c r="F21523" s="4" t="str">
        <f>IF(B21523=B21522,"",B21523)</f>
        <v/>
      </c>
    </row>
    <row r="21524" spans="1:6" ht="15.75" customHeight="1">
      <c r="A21524" s="16" t="s">
        <v>29193</v>
      </c>
      <c r="B21524" s="15" t="s">
        <v>29193</v>
      </c>
      <c r="C21524" s="16" t="s">
        <v>27788</v>
      </c>
      <c r="D21524" s="16" t="s">
        <v>27819</v>
      </c>
      <c r="E21524" s="2">
        <v>5125738</v>
      </c>
      <c r="F21524" s="4" t="str">
        <f>IF(B21524=B21523,"",B21524)</f>
        <v>Mamaroneck</v>
      </c>
    </row>
    <row r="21525" spans="1:6" ht="15.75" customHeight="1">
      <c r="A21525" s="8" t="str">
        <f ca="1">IFERROR(__xludf.DUMMYFUNCTION("GOOGLETRANSLATE(B44403,""en"",""pt"")"),"Mamaroneck")</f>
        <v>Mamaroneck</v>
      </c>
      <c r="B21525" s="9" t="s">
        <v>29193</v>
      </c>
      <c r="C21525" s="9" t="s">
        <v>27788</v>
      </c>
      <c r="D21525" s="9" t="s">
        <v>27819</v>
      </c>
      <c r="E21525" s="10">
        <v>5125738</v>
      </c>
      <c r="F21525" s="4" t="str">
        <f>IF(B21525=B21524,"",B21525)</f>
        <v/>
      </c>
    </row>
    <row r="21526" spans="1:6" ht="15.75" customHeight="1">
      <c r="A21526" s="16" t="s">
        <v>2842</v>
      </c>
      <c r="B21526" s="15" t="s">
        <v>2842</v>
      </c>
      <c r="C21526" s="16" t="s">
        <v>1905</v>
      </c>
      <c r="D21526" s="16" t="s">
        <v>1944</v>
      </c>
      <c r="E21526" s="2">
        <v>3395717</v>
      </c>
      <c r="F21526" s="4" t="str">
        <f>IF(B21526=B21525,"",B21526)</f>
        <v>Mamanguape</v>
      </c>
    </row>
    <row r="21527" spans="1:6" ht="15.75" customHeight="1">
      <c r="A21527" s="8" t="str">
        <f ca="1">IFERROR(__xludf.DUMMYFUNCTION("GOOGLETRANSLATE(B24275,""en"",""pt"")"),"Mamanguape")</f>
        <v>Mamanguape</v>
      </c>
      <c r="B21527" s="9" t="s">
        <v>2842</v>
      </c>
      <c r="C21527" s="9" t="s">
        <v>1905</v>
      </c>
      <c r="D21527" s="9" t="s">
        <v>31343</v>
      </c>
      <c r="E21527" s="10">
        <v>3395717</v>
      </c>
      <c r="F21527" s="4" t="str">
        <f>IF(B21527=B21526,"",B21527)</f>
        <v/>
      </c>
    </row>
    <row r="21528" spans="1:6" ht="15.75" customHeight="1">
      <c r="A21528" s="15" t="s">
        <v>27061</v>
      </c>
      <c r="B21528" s="15" t="s">
        <v>27061</v>
      </c>
      <c r="C21528" s="15" t="s">
        <v>26870</v>
      </c>
      <c r="D21528" s="15" t="s">
        <v>26900</v>
      </c>
      <c r="E21528" s="2">
        <v>702116</v>
      </c>
      <c r="F21528" s="4" t="str">
        <f>IF(B21528=B21527,"",B21528)</f>
        <v>Malyn</v>
      </c>
    </row>
    <row r="21529" spans="1:6" ht="15.75" customHeight="1">
      <c r="A21529" s="8" t="str">
        <f ca="1">IFERROR(__xludf.DUMMYFUNCTION("GOOGLETRANSLATE(B42584,""en"",""pt"")"),"Malyn")</f>
        <v>Malyn</v>
      </c>
      <c r="B21529" s="9" t="s">
        <v>27061</v>
      </c>
      <c r="C21529" s="9" t="s">
        <v>26870</v>
      </c>
      <c r="D21529" s="9" t="s">
        <v>26900</v>
      </c>
      <c r="E21529" s="10">
        <v>702116</v>
      </c>
      <c r="F21529" s="4" t="str">
        <f>IF(B21529=B21528,"",B21529)</f>
        <v/>
      </c>
    </row>
    <row r="21530" spans="1:6" ht="15.75" customHeight="1">
      <c r="A21530" s="16" t="s">
        <v>1020</v>
      </c>
      <c r="B21530" s="15" t="s">
        <v>1020</v>
      </c>
      <c r="C21530" s="16" t="s">
        <v>885</v>
      </c>
      <c r="D21530" s="16" t="s">
        <v>827</v>
      </c>
      <c r="E21530" s="2">
        <v>7932638</v>
      </c>
      <c r="F21530" s="4" t="str">
        <f>IF(B21530=B21529,"",B21530)</f>
        <v>Malvern East</v>
      </c>
    </row>
    <row r="21531" spans="1:6" ht="15.75" customHeight="1">
      <c r="A21531" s="8" t="str">
        <f ca="1">IFERROR(__xludf.DUMMYFUNCTION("GOOGLETRANSLATE(B23589,""en"",""pt"")"),"Malvern East")</f>
        <v>Malvern East</v>
      </c>
      <c r="B21531" s="11" t="s">
        <v>1020</v>
      </c>
      <c r="C21531" s="11" t="s">
        <v>885</v>
      </c>
      <c r="D21531" s="11" t="s">
        <v>827</v>
      </c>
      <c r="E21531" s="10">
        <v>7932638</v>
      </c>
      <c r="F21531" s="4" t="str">
        <f>IF(B21531=B21530,"",B21531)</f>
        <v/>
      </c>
    </row>
    <row r="21532" spans="1:6" ht="15.75" customHeight="1">
      <c r="A21532" s="15" t="s">
        <v>20869</v>
      </c>
      <c r="B21532" s="15" t="s">
        <v>20869</v>
      </c>
      <c r="C21532" s="15" t="s">
        <v>20598</v>
      </c>
      <c r="D21532" s="15" t="s">
        <v>20608</v>
      </c>
      <c r="E21532" s="2">
        <v>1702413</v>
      </c>
      <c r="F21532" s="4" t="str">
        <f>IF(B21532=B21531,"",B21532)</f>
        <v>Malvar</v>
      </c>
    </row>
    <row r="21533" spans="1:6" ht="15.75" customHeight="1">
      <c r="A21533" s="8" t="str">
        <f ca="1">IFERROR(__xludf.DUMMYFUNCTION("GOOGLETRANSLATE(B38634,""en"",""pt"")"),"Malvar")</f>
        <v>Malvar</v>
      </c>
      <c r="B21533" s="11" t="s">
        <v>20869</v>
      </c>
      <c r="C21533" s="11" t="s">
        <v>20598</v>
      </c>
      <c r="D21533" s="11" t="s">
        <v>20608</v>
      </c>
      <c r="E21533" s="10">
        <v>1702413</v>
      </c>
      <c r="F21533" s="4" t="str">
        <f>IF(B21533=B21532,"",B21533)</f>
        <v/>
      </c>
    </row>
    <row r="21534" spans="1:6" ht="15.75" customHeight="1">
      <c r="A21534" s="8" t="str">
        <f ca="1">IFERROR(__xludf.DUMMYFUNCTION("GOOGLETRANSLATE(B32849,""en"",""pt"")"),"Mālvan")</f>
        <v>Mālvan</v>
      </c>
      <c r="B21534" s="9" t="s">
        <v>33418</v>
      </c>
      <c r="C21534" s="9" t="s">
        <v>10178</v>
      </c>
      <c r="D21534" s="9" t="s">
        <v>10214</v>
      </c>
      <c r="E21534" s="10">
        <v>1264007</v>
      </c>
      <c r="F21534" s="4" t="str">
        <f>IF(B21534=B21533,"",B21534)</f>
        <v>Mālvan</v>
      </c>
    </row>
    <row r="21535" spans="1:6" ht="15.75" customHeight="1">
      <c r="A21535" s="15" t="s">
        <v>20868</v>
      </c>
      <c r="B21535" s="15" t="s">
        <v>20868</v>
      </c>
      <c r="C21535" s="15" t="s">
        <v>20598</v>
      </c>
      <c r="D21535" s="15" t="s">
        <v>20683</v>
      </c>
      <c r="E21535" s="2">
        <v>1702425</v>
      </c>
      <c r="F21535" s="4" t="str">
        <f>IF(B21535=B21534,"",B21535)</f>
        <v>Maluso</v>
      </c>
    </row>
    <row r="21536" spans="1:6" ht="15.75" customHeight="1">
      <c r="A21536" s="8" t="str">
        <f ca="1">IFERROR(__xludf.DUMMYFUNCTION("GOOGLETRANSLATE(B38635,""en"",""pt"")"),"Maluso")</f>
        <v>Maluso</v>
      </c>
      <c r="B21536" s="9" t="s">
        <v>20868</v>
      </c>
      <c r="C21536" s="9" t="s">
        <v>20598</v>
      </c>
      <c r="D21536" s="9" t="s">
        <v>20683</v>
      </c>
      <c r="E21536" s="10">
        <v>1702425</v>
      </c>
      <c r="F21536" s="4" t="str">
        <f>IF(B21536=B21535,"",B21536)</f>
        <v/>
      </c>
    </row>
    <row r="21537" spans="1:6" ht="15.75" customHeight="1">
      <c r="A21537" s="8" t="str">
        <f ca="1">IFERROR(__xludf.DUMMYFUNCTION("GOOGLETRANSLATE(B32850,""en"",""pt"")"),"Mālūr")</f>
        <v>Mālūr</v>
      </c>
      <c r="B21537" s="11" t="s">
        <v>33419</v>
      </c>
      <c r="C21537" s="11" t="s">
        <v>10178</v>
      </c>
      <c r="D21537" s="11" t="s">
        <v>10252</v>
      </c>
      <c r="E21537" s="10">
        <v>1264010</v>
      </c>
      <c r="F21537" s="4" t="str">
        <f>IF(B21537=B21536,"",B21537)</f>
        <v>Mālūr</v>
      </c>
    </row>
    <row r="21538" spans="1:6" ht="15.75" customHeight="1">
      <c r="A21538" s="8" t="str">
        <f ca="1">IFERROR(__xludf.DUMMYFUNCTION("GOOGLETRANSLATE(B38636,""en"",""pt"")"),"Maluñgun")</f>
        <v>Maluñgun</v>
      </c>
      <c r="B21538" s="9" t="s">
        <v>34883</v>
      </c>
      <c r="C21538" s="9" t="s">
        <v>20598</v>
      </c>
      <c r="D21538" s="9" t="s">
        <v>20606</v>
      </c>
      <c r="E21538" s="10">
        <v>1702442</v>
      </c>
      <c r="F21538" s="4" t="str">
        <f>IF(B21538=B21537,"",B21538)</f>
        <v>Maluñgun</v>
      </c>
    </row>
    <row r="21539" spans="1:6" ht="15.75" customHeight="1">
      <c r="A21539" s="16" t="s">
        <v>19500</v>
      </c>
      <c r="B21539" s="15" t="s">
        <v>19500</v>
      </c>
      <c r="C21539" s="16" t="s">
        <v>19294</v>
      </c>
      <c r="D21539" s="16" t="s">
        <v>19369</v>
      </c>
      <c r="E21539" s="2">
        <v>2331005</v>
      </c>
      <c r="F21539" s="4" t="str">
        <f>IF(B21539=B21538,"",B21539)</f>
        <v>Malumfashi</v>
      </c>
    </row>
    <row r="21540" spans="1:6" ht="15.75" customHeight="1">
      <c r="A21540" s="8" t="str">
        <f ca="1">IFERROR(__xludf.DUMMYFUNCTION("GOOGLETRANSLATE(B37682,""en"",""pt"")"),"Malumfashi")</f>
        <v>Malumfashi</v>
      </c>
      <c r="B21540" s="9" t="s">
        <v>19500</v>
      </c>
      <c r="C21540" s="9" t="s">
        <v>19294</v>
      </c>
      <c r="D21540" s="9" t="s">
        <v>19369</v>
      </c>
      <c r="E21540" s="10">
        <v>2331005</v>
      </c>
      <c r="F21540" s="4" t="str">
        <f>IF(B21540=B21539,"",B21540)</f>
        <v/>
      </c>
    </row>
    <row r="21541" spans="1:6" ht="15.75" customHeight="1">
      <c r="A21541" s="16" t="s">
        <v>20866</v>
      </c>
      <c r="B21541" s="15" t="s">
        <v>20867</v>
      </c>
      <c r="C21541" s="16" t="s">
        <v>20598</v>
      </c>
      <c r="D21541" s="16" t="s">
        <v>20606</v>
      </c>
      <c r="E21541" s="2">
        <v>1702442</v>
      </c>
      <c r="F21541" s="4" t="str">
        <f>IF(B21541=B21540,"",B21541)</f>
        <v>MaluÃ±gun</v>
      </c>
    </row>
    <row r="21542" spans="1:6" ht="15.75" customHeight="1">
      <c r="A21542" s="15" t="s">
        <v>26624</v>
      </c>
      <c r="B21542" s="15" t="s">
        <v>26624</v>
      </c>
      <c r="C21542" s="15" t="s">
        <v>26201</v>
      </c>
      <c r="D21542" s="15" t="s">
        <v>26211</v>
      </c>
      <c r="E21542" s="2">
        <v>741763</v>
      </c>
      <c r="F21542" s="4" t="str">
        <f>IF(B21542=B21541,"",B21542)</f>
        <v>Maltepe</v>
      </c>
    </row>
    <row r="21543" spans="1:6" ht="15.75" customHeight="1">
      <c r="A21543" s="8" t="str">
        <f ca="1">IFERROR(__xludf.DUMMYFUNCTION("GOOGLETRANSLATE(B42137,""en"",""pt"")"),"Maltepe")</f>
        <v>Maltepe</v>
      </c>
      <c r="B21543" s="11" t="s">
        <v>26624</v>
      </c>
      <c r="C21543" s="11" t="s">
        <v>26201</v>
      </c>
      <c r="D21543" s="11" t="s">
        <v>26211</v>
      </c>
      <c r="E21543" s="10">
        <v>741763</v>
      </c>
      <c r="F21543" s="4" t="str">
        <f>IF(B21543=B21542,"",B21543)</f>
        <v/>
      </c>
    </row>
    <row r="21544" spans="1:6" ht="15.75" customHeight="1">
      <c r="A21544" s="15" t="s">
        <v>27521</v>
      </c>
      <c r="B21544" s="15" t="s">
        <v>27521</v>
      </c>
      <c r="C21544" s="15" t="s">
        <v>27234</v>
      </c>
      <c r="D21544" s="15" t="s">
        <v>27241</v>
      </c>
      <c r="E21544" s="2">
        <v>2643144</v>
      </c>
      <c r="F21544" s="4" t="str">
        <f>IF(B21544=B21543,"",B21544)</f>
        <v>Maltby</v>
      </c>
    </row>
    <row r="21545" spans="1:6" ht="15.75" customHeight="1">
      <c r="A21545" s="8" t="str">
        <f ca="1">IFERROR(__xludf.DUMMYFUNCTION("GOOGLETRANSLATE(B30553,""en"",""pt"")"),"Maltby")</f>
        <v>Maltby</v>
      </c>
      <c r="B21545" s="11" t="s">
        <v>27521</v>
      </c>
      <c r="C21545" s="11" t="s">
        <v>27234</v>
      </c>
      <c r="D21545" s="11" t="s">
        <v>27241</v>
      </c>
      <c r="E21545" s="10">
        <v>2643144</v>
      </c>
      <c r="F21545" s="4" t="str">
        <f>IF(B21545=B21544,"",B21545)</f>
        <v/>
      </c>
    </row>
    <row r="21546" spans="1:6" ht="15.75" customHeight="1">
      <c r="A21546" s="8" t="str">
        <f ca="1">IFERROR(__xludf.DUMMYFUNCTION("GOOGLETRANSLATE(B32851,""en"",""pt"")"),"Mālpura")</f>
        <v>Mālpura</v>
      </c>
      <c r="B21546" s="9" t="s">
        <v>33420</v>
      </c>
      <c r="C21546" s="9" t="s">
        <v>10178</v>
      </c>
      <c r="D21546" s="9" t="s">
        <v>10179</v>
      </c>
      <c r="E21546" s="10">
        <v>1264032</v>
      </c>
      <c r="F21546" s="4" t="str">
        <f>IF(B21546=B21545,"",B21546)</f>
        <v>Mālpura</v>
      </c>
    </row>
    <row r="21547" spans="1:6" ht="15.75" customHeight="1">
      <c r="A21547" s="15" t="s">
        <v>12317</v>
      </c>
      <c r="B21547" s="15" t="s">
        <v>12317</v>
      </c>
      <c r="C21547" s="15" t="s">
        <v>10178</v>
      </c>
      <c r="D21547" s="15" t="s">
        <v>10252</v>
      </c>
      <c r="E21547" s="2">
        <v>1264037</v>
      </c>
      <c r="F21547" s="4" t="str">
        <f>IF(B21547=B21546,"",B21547)</f>
        <v>Malpe</v>
      </c>
    </row>
    <row r="21548" spans="1:6" ht="15.75" customHeight="1">
      <c r="A21548" s="8" t="str">
        <f ca="1">IFERROR(__xludf.DUMMYFUNCTION("GOOGLETRANSLATE(B32852,""en"",""pt"")"),"Malpe")</f>
        <v>Malpe</v>
      </c>
      <c r="B21548" s="9" t="s">
        <v>12317</v>
      </c>
      <c r="C21548" s="9" t="s">
        <v>10178</v>
      </c>
      <c r="D21548" s="9" t="s">
        <v>10252</v>
      </c>
      <c r="E21548" s="10">
        <v>1264037</v>
      </c>
      <c r="F21548" s="4" t="str">
        <f>IF(B21548=B21547,"",B21548)</f>
        <v/>
      </c>
    </row>
    <row r="21549" spans="1:6" ht="15.75" customHeight="1">
      <c r="A21549" s="16" t="s">
        <v>22712</v>
      </c>
      <c r="B21549" s="15" t="s">
        <v>22712</v>
      </c>
      <c r="C21549" s="16" t="s">
        <v>22070</v>
      </c>
      <c r="D21549" s="16" t="s">
        <v>22184</v>
      </c>
      <c r="E21549" s="2">
        <v>530849</v>
      </c>
      <c r="F21549" s="4" t="str">
        <f>IF(B21549=B21548,"",B21549)</f>
        <v>Maloyaroslavets</v>
      </c>
    </row>
    <row r="21550" spans="1:6" ht="15.75" customHeight="1">
      <c r="A21550" s="8" t="str">
        <f ca="1">IFERROR(__xludf.DUMMYFUNCTION("GOOGLETRANSLATE(B40337,""en"",""pt"")"),"Maloyaroslavets")</f>
        <v>Maloyaroslavets</v>
      </c>
      <c r="B21550" s="11" t="s">
        <v>22712</v>
      </c>
      <c r="C21550" s="11" t="s">
        <v>22070</v>
      </c>
      <c r="D21550" s="11" t="s">
        <v>22184</v>
      </c>
      <c r="E21550" s="10">
        <v>530849</v>
      </c>
      <c r="F21550" s="4" t="str">
        <f>IF(B21550=B21549,"",B21550)</f>
        <v/>
      </c>
    </row>
    <row r="21551" spans="1:6" ht="15.75" customHeight="1">
      <c r="A21551" s="15" t="s">
        <v>20865</v>
      </c>
      <c r="B21551" s="15" t="s">
        <v>20865</v>
      </c>
      <c r="C21551" s="15" t="s">
        <v>20598</v>
      </c>
      <c r="D21551" s="15" t="s">
        <v>20599</v>
      </c>
      <c r="E21551" s="2">
        <v>1702540</v>
      </c>
      <c r="F21551" s="4" t="str">
        <f>IF(B21551=B21550,"",B21551)</f>
        <v>Malolos</v>
      </c>
    </row>
    <row r="21552" spans="1:6" ht="15.75" customHeight="1">
      <c r="A21552" s="8" t="str">
        <f ca="1">IFERROR(__xludf.DUMMYFUNCTION("GOOGLETRANSLATE(B38637,""en"",""pt"")"),"Malolos")</f>
        <v>Malolos</v>
      </c>
      <c r="B21552" s="9" t="s">
        <v>20865</v>
      </c>
      <c r="C21552" s="9" t="s">
        <v>20598</v>
      </c>
      <c r="D21552" s="9" t="s">
        <v>20599</v>
      </c>
      <c r="E21552" s="10">
        <v>1702540</v>
      </c>
      <c r="F21552" s="4" t="str">
        <f>IF(B21552=B21551,"",B21552)</f>
        <v/>
      </c>
    </row>
    <row r="21553" spans="1:6" ht="15.75" customHeight="1">
      <c r="A21553" s="15" t="s">
        <v>15236</v>
      </c>
      <c r="B21553" s="15" t="s">
        <v>15237</v>
      </c>
      <c r="C21553" s="15" t="s">
        <v>14891</v>
      </c>
      <c r="D21553" s="15" t="s">
        <v>14894</v>
      </c>
      <c r="E21553" s="2">
        <v>3174141</v>
      </c>
      <c r="F21553" s="4" t="str">
        <f>IF(B21553=B21552,"",B21553)</f>
        <v>Malnate</v>
      </c>
    </row>
    <row r="21554" spans="1:6" ht="15.75" customHeight="1">
      <c r="A21554" s="8" t="str">
        <f ca="1">IFERROR(__xludf.DUMMYFUNCTION("GOOGLETRANSLATE(B34857,""en"",""pt"")"),"Malnato")</f>
        <v>Malnato</v>
      </c>
      <c r="B21554" s="9" t="s">
        <v>15237</v>
      </c>
      <c r="C21554" s="9" t="s">
        <v>14891</v>
      </c>
      <c r="D21554" s="9" t="s">
        <v>14894</v>
      </c>
      <c r="E21554" s="10">
        <v>3174141</v>
      </c>
      <c r="F21554" s="4" t="str">
        <f>IF(B21554=B21553,"",B21554)</f>
        <v/>
      </c>
    </row>
    <row r="21555" spans="1:6" ht="15.75" customHeight="1">
      <c r="A21555" s="8" t="str">
        <f ca="1">IFERROR(__xludf.DUMMYFUNCTION("GOOGLETRANSLATE(B41164,""en"",""pt"")"),"Malmö")</f>
        <v>Malmö</v>
      </c>
      <c r="B21555" s="11" t="s">
        <v>35647</v>
      </c>
      <c r="C21555" s="11" t="s">
        <v>25077</v>
      </c>
      <c r="D21555" s="11" t="s">
        <v>35623</v>
      </c>
      <c r="E21555" s="10">
        <v>2692969</v>
      </c>
      <c r="F21555" s="4" t="str">
        <f>IF(B21555=B21554,"",B21555)</f>
        <v>Malmö</v>
      </c>
    </row>
    <row r="21556" spans="1:6" ht="15.75" customHeight="1">
      <c r="A21556" s="16" t="s">
        <v>23933</v>
      </c>
      <c r="B21556" s="15" t="s">
        <v>23933</v>
      </c>
      <c r="C21556" s="16" t="s">
        <v>23842</v>
      </c>
      <c r="D21556" s="16" t="s">
        <v>23847</v>
      </c>
      <c r="E21556" s="2">
        <v>3364346</v>
      </c>
      <c r="F21556" s="4" t="str">
        <f>IF(B21556=B21555,"",B21556)</f>
        <v>Malmesbury</v>
      </c>
    </row>
    <row r="21557" spans="1:6" ht="15.75" customHeight="1">
      <c r="A21557" s="8" t="str">
        <f ca="1">IFERROR(__xludf.DUMMYFUNCTION("GOOGLETRANSLATE(B45991,""en"",""pt"")"),"Malmesbury")</f>
        <v>Malmesbury</v>
      </c>
      <c r="B21557" s="11" t="s">
        <v>23933</v>
      </c>
      <c r="C21557" s="11" t="s">
        <v>23842</v>
      </c>
      <c r="D21557" s="11" t="s">
        <v>23847</v>
      </c>
      <c r="E21557" s="10">
        <v>3364346</v>
      </c>
      <c r="F21557" s="4" t="str">
        <f>IF(B21557=B21556,"",B21557)</f>
        <v/>
      </c>
    </row>
    <row r="21558" spans="1:6" ht="15.75" customHeight="1">
      <c r="A21558" s="15" t="s">
        <v>25175</v>
      </c>
      <c r="B21558" s="15" t="s">
        <v>25176</v>
      </c>
      <c r="C21558" s="15" t="s">
        <v>25077</v>
      </c>
      <c r="D21558" s="15" t="s">
        <v>25078</v>
      </c>
      <c r="E21558" s="2">
        <v>2692969</v>
      </c>
      <c r="F21558" s="4" t="str">
        <f>IF(B21558=B21557,"",B21558)</f>
        <v>MalmÃ¶</v>
      </c>
    </row>
    <row r="21559" spans="1:6" ht="15.75" customHeight="1">
      <c r="A21559" s="8" t="str">
        <f ca="1">IFERROR(__xludf.DUMMYFUNCTION("GOOGLETRANSLATE(B28850,""en"",""pt"")"),"Mallawī")</f>
        <v>Mallawī</v>
      </c>
      <c r="B21559" s="11" t="s">
        <v>32277</v>
      </c>
      <c r="C21559" s="11" t="s">
        <v>6495</v>
      </c>
      <c r="D21559" s="11" t="s">
        <v>32263</v>
      </c>
      <c r="E21559" s="10">
        <v>352951</v>
      </c>
      <c r="F21559" s="4" t="str">
        <f>IF(B21559=B21558,"",B21559)</f>
        <v>Mallawī</v>
      </c>
    </row>
    <row r="21560" spans="1:6" ht="15.75" customHeight="1">
      <c r="A21560" s="16" t="s">
        <v>6677</v>
      </c>
      <c r="B21560" s="15" t="s">
        <v>6678</v>
      </c>
      <c r="C21560" s="16" t="s">
        <v>6495</v>
      </c>
      <c r="D21560" s="16" t="s">
        <v>6520</v>
      </c>
      <c r="E21560" s="2">
        <v>352951</v>
      </c>
      <c r="F21560" s="4" t="str">
        <f>IF(B21560=B21559,"",B21560)</f>
        <v>MallawÄ«</v>
      </c>
    </row>
    <row r="21561" spans="1:6" ht="15.75" customHeight="1">
      <c r="A21561" s="16" t="s">
        <v>12316</v>
      </c>
      <c r="B21561" s="15" t="s">
        <v>12316</v>
      </c>
      <c r="C21561" s="16" t="s">
        <v>10178</v>
      </c>
      <c r="D21561" s="16" t="s">
        <v>10196</v>
      </c>
      <c r="E21561" s="2">
        <v>1264047</v>
      </c>
      <c r="F21561" s="4" t="str">
        <f>IF(B21561=B21560,"",B21561)</f>
        <v>Mallasamudram</v>
      </c>
    </row>
    <row r="21562" spans="1:6" ht="15.75" customHeight="1">
      <c r="A21562" s="8" t="str">
        <f ca="1">IFERROR(__xludf.DUMMYFUNCTION("GOOGLETRANSLATE(B32853,""en"",""pt"")"),"Mallasamudram")</f>
        <v>Mallasamudram</v>
      </c>
      <c r="B21562" s="9" t="s">
        <v>12316</v>
      </c>
      <c r="C21562" s="9" t="s">
        <v>10178</v>
      </c>
      <c r="D21562" s="9" t="s">
        <v>10196</v>
      </c>
      <c r="E21562" s="10">
        <v>1264047</v>
      </c>
      <c r="F21562" s="4" t="str">
        <f>IF(B21562=B21561,"",B21562)</f>
        <v/>
      </c>
    </row>
    <row r="21563" spans="1:6" ht="15.75" customHeight="1">
      <c r="A21563" s="15" t="s">
        <v>26623</v>
      </c>
      <c r="B21563" s="15" t="s">
        <v>26623</v>
      </c>
      <c r="C21563" s="15" t="s">
        <v>26201</v>
      </c>
      <c r="D21563" s="15" t="s">
        <v>26251</v>
      </c>
      <c r="E21563" s="2">
        <v>741771</v>
      </c>
      <c r="F21563" s="4" t="str">
        <f>IF(B21563=B21562,"",B21563)</f>
        <v>Malkara</v>
      </c>
    </row>
    <row r="21564" spans="1:6" ht="15.75" customHeight="1">
      <c r="A21564" s="8" t="str">
        <f ca="1">IFERROR(__xludf.DUMMYFUNCTION("GOOGLETRANSLATE(B42138,""en"",""pt"")"),"Malkara")</f>
        <v>Malkara</v>
      </c>
      <c r="B21564" s="11" t="s">
        <v>26623</v>
      </c>
      <c r="C21564" s="11" t="s">
        <v>26201</v>
      </c>
      <c r="D21564" s="11" t="s">
        <v>35918</v>
      </c>
      <c r="E21564" s="10">
        <v>741771</v>
      </c>
      <c r="F21564" s="4" t="str">
        <f>IF(B21564=B21563,"",B21564)</f>
        <v/>
      </c>
    </row>
    <row r="21565" spans="1:6" ht="15.75" customHeight="1">
      <c r="A21565" s="8" t="str">
        <f ca="1">IFERROR(__xludf.DUMMYFUNCTION("GOOGLETRANSLATE(B32854,""en"",""pt"")"),"Malkāpur")</f>
        <v>Malkāpur</v>
      </c>
      <c r="B21565" s="9" t="s">
        <v>33421</v>
      </c>
      <c r="C21565" s="9" t="s">
        <v>10178</v>
      </c>
      <c r="D21565" s="9" t="s">
        <v>10214</v>
      </c>
      <c r="E21565" s="10">
        <v>1264071</v>
      </c>
      <c r="F21565" s="4" t="str">
        <f>IF(B21565=B21564,"",B21565)</f>
        <v>Malkāpur</v>
      </c>
    </row>
    <row r="21566" spans="1:6" ht="15.75" customHeight="1">
      <c r="A21566" s="16" t="s">
        <v>12315</v>
      </c>
      <c r="B21566" s="15" t="s">
        <v>12315</v>
      </c>
      <c r="C21566" s="16" t="s">
        <v>10178</v>
      </c>
      <c r="D21566" s="16" t="s">
        <v>10187</v>
      </c>
      <c r="E21566" s="2">
        <v>7302828</v>
      </c>
      <c r="F21566" s="4" t="str">
        <f>IF(B21566=B21565,"",B21566)</f>
        <v>Malkajgiri</v>
      </c>
    </row>
    <row r="21567" spans="1:6" ht="15.75" customHeight="1">
      <c r="A21567" s="8" t="str">
        <f ca="1">IFERROR(__xludf.DUMMYFUNCTION("GOOGLETRANSLATE(B34233,""en"",""pt"")"),"Malkajgiri")</f>
        <v>Malkajgiri</v>
      </c>
      <c r="B21567" s="11" t="s">
        <v>12315</v>
      </c>
      <c r="C21567" s="11" t="s">
        <v>10178</v>
      </c>
      <c r="D21567" s="11" t="s">
        <v>10187</v>
      </c>
      <c r="E21567" s="10">
        <v>7302828</v>
      </c>
      <c r="F21567" s="4" t="str">
        <f>IF(B21567=B21566,"",B21567)</f>
        <v/>
      </c>
    </row>
    <row r="21568" spans="1:6" ht="15.75" customHeight="1">
      <c r="A21568" s="16" t="s">
        <v>12313</v>
      </c>
      <c r="B21568" s="15" t="s">
        <v>12314</v>
      </c>
      <c r="C21568" s="16" t="s">
        <v>10178</v>
      </c>
      <c r="D21568" s="16" t="s">
        <v>10214</v>
      </c>
      <c r="E21568" s="2">
        <v>1264071</v>
      </c>
      <c r="F21568" s="4" t="str">
        <f>IF(B21568=B21567,"",B21568)</f>
        <v>MalkÄpur</v>
      </c>
    </row>
    <row r="21569" spans="1:6" ht="15.75" customHeight="1">
      <c r="A21569" s="15" t="s">
        <v>20864</v>
      </c>
      <c r="B21569" s="15" t="s">
        <v>20864</v>
      </c>
      <c r="C21569" s="15" t="s">
        <v>20598</v>
      </c>
      <c r="D21569" s="15" t="s">
        <v>20658</v>
      </c>
      <c r="E21569" s="2">
        <v>1702649</v>
      </c>
      <c r="F21569" s="4" t="str">
        <f>IF(B21569=B21568,"",B21569)</f>
        <v>Malita</v>
      </c>
    </row>
    <row r="21570" spans="1:6" ht="15.75" customHeight="1">
      <c r="A21570" s="8" t="str">
        <f ca="1">IFERROR(__xludf.DUMMYFUNCTION("GOOGLETRANSLATE(B38638,""en"",""pt"")"),"Malita")</f>
        <v>Malita</v>
      </c>
      <c r="B21570" s="9" t="s">
        <v>20864</v>
      </c>
      <c r="C21570" s="9" t="s">
        <v>20598</v>
      </c>
      <c r="D21570" s="9" t="s">
        <v>20658</v>
      </c>
      <c r="E21570" s="10">
        <v>1702649</v>
      </c>
      <c r="F21570" s="4" t="str">
        <f>IF(B21570=B21569,"",B21570)</f>
        <v/>
      </c>
    </row>
    <row r="21571" spans="1:6" ht="15.75" customHeight="1">
      <c r="A21571" s="16" t="s">
        <v>20090</v>
      </c>
      <c r="B21571" s="15" t="s">
        <v>20090</v>
      </c>
      <c r="C21571" s="16" t="s">
        <v>19808</v>
      </c>
      <c r="D21571" s="16" t="s">
        <v>19823</v>
      </c>
      <c r="E21571" s="2">
        <v>1171305</v>
      </c>
      <c r="F21571" s="4" t="str">
        <f>IF(B21571=B21570,"",B21571)</f>
        <v>Malir Cantonment</v>
      </c>
    </row>
    <row r="21572" spans="1:6" ht="15.75" customHeight="1">
      <c r="A21572" s="8" t="str">
        <f ca="1">IFERROR(__xludf.DUMMYFUNCTION("GOOGLETRANSLATE(B38998,""en"",""pt"")"),"Malir Cantonment")</f>
        <v>Malir Cantonment</v>
      </c>
      <c r="B21572" s="9" t="s">
        <v>20090</v>
      </c>
      <c r="C21572" s="9" t="s">
        <v>19808</v>
      </c>
      <c r="D21572" s="9" t="s">
        <v>19823</v>
      </c>
      <c r="E21572" s="10">
        <v>1171305</v>
      </c>
      <c r="F21572" s="4" t="str">
        <f>IF(B21572=B21571,"",B21572)</f>
        <v/>
      </c>
    </row>
    <row r="21573" spans="1:6" ht="15.75" customHeight="1">
      <c r="A21573" s="15" t="s">
        <v>25671</v>
      </c>
      <c r="B21573" s="15" t="s">
        <v>25671</v>
      </c>
      <c r="C21573" s="15" t="s">
        <v>25560</v>
      </c>
      <c r="D21573" s="15" t="s">
        <v>25596</v>
      </c>
      <c r="E21573" s="2">
        <v>155016</v>
      </c>
      <c r="F21573" s="4" t="str">
        <f>IF(B21573=B21572,"",B21573)</f>
        <v>Malinyi</v>
      </c>
    </row>
    <row r="21574" spans="1:6" ht="15.75" customHeight="1">
      <c r="A21574" s="8" t="str">
        <f ca="1">IFERROR(__xludf.DUMMYFUNCTION("GOOGLETRANSLATE(B42362,""en"",""pt"")"),"Malinyi")</f>
        <v>Malinyi</v>
      </c>
      <c r="B21574" s="9" t="s">
        <v>25671</v>
      </c>
      <c r="C21574" s="9" t="s">
        <v>25560</v>
      </c>
      <c r="D21574" s="9" t="s">
        <v>25596</v>
      </c>
      <c r="E21574" s="10">
        <v>155016</v>
      </c>
      <c r="F21574" s="4" t="str">
        <f>IF(B21574=B21573,"",B21574)</f>
        <v/>
      </c>
    </row>
    <row r="21575" spans="1:6" ht="15.75" customHeight="1">
      <c r="A21575" s="16" t="s">
        <v>1482</v>
      </c>
      <c r="B21575" s="15" t="s">
        <v>1482</v>
      </c>
      <c r="C21575" s="16" t="s">
        <v>1453</v>
      </c>
      <c r="D21575" s="16" t="s">
        <v>1483</v>
      </c>
      <c r="E21575" s="2">
        <v>8020218</v>
      </c>
      <c r="F21575" s="4" t="str">
        <f>IF(B21575=B21574,"",B21575)</f>
        <v>Malinovka</v>
      </c>
    </row>
    <row r="21576" spans="1:6" ht="15.75" customHeight="1">
      <c r="A21576" s="8" t="str">
        <f ca="1">IFERROR(__xludf.DUMMYFUNCTION("GOOGLETRANSLATE(B25417,""en"",""pt"")"),"Malinovka")</f>
        <v>Malinovka</v>
      </c>
      <c r="B21576" s="11" t="s">
        <v>1482</v>
      </c>
      <c r="C21576" s="11" t="s">
        <v>1453</v>
      </c>
      <c r="D21576" s="11" t="s">
        <v>1483</v>
      </c>
      <c r="E21576" s="10">
        <v>8020218</v>
      </c>
      <c r="F21576" s="4" t="str">
        <f>IF(B21576=B21575,"",B21576)</f>
        <v/>
      </c>
    </row>
    <row r="21577" spans="1:6" ht="15.75" customHeight="1">
      <c r="A21577" s="15" t="s">
        <v>20863</v>
      </c>
      <c r="B21577" s="15" t="s">
        <v>20863</v>
      </c>
      <c r="C21577" s="15" t="s">
        <v>20598</v>
      </c>
      <c r="D21577" s="15" t="s">
        <v>20606</v>
      </c>
      <c r="E21577" s="2">
        <v>1978681</v>
      </c>
      <c r="F21577" s="4" t="str">
        <f>IF(B21577=B21576,"",B21577)</f>
        <v>Malingao</v>
      </c>
    </row>
    <row r="21578" spans="1:6" ht="15.75" customHeight="1">
      <c r="A21578" s="8" t="str">
        <f ca="1">IFERROR(__xludf.DUMMYFUNCTION("GOOGLETRANSLATE(B38859,""en"",""pt"")"),"Malingao")</f>
        <v>Malingao</v>
      </c>
      <c r="B21578" s="11" t="s">
        <v>20863</v>
      </c>
      <c r="C21578" s="11" t="s">
        <v>20598</v>
      </c>
      <c r="D21578" s="11" t="s">
        <v>20606</v>
      </c>
      <c r="E21578" s="10">
        <v>1978681</v>
      </c>
      <c r="F21578" s="4" t="str">
        <f>IF(B21578=B21577,"",B21578)</f>
        <v/>
      </c>
    </row>
    <row r="21579" spans="1:6" ht="15.75" customHeight="1">
      <c r="A21579" s="15" t="s">
        <v>16814</v>
      </c>
      <c r="B21579" s="15" t="s">
        <v>16814</v>
      </c>
      <c r="C21579" s="15" t="s">
        <v>16781</v>
      </c>
      <c r="D21579" s="15" t="s">
        <v>16803</v>
      </c>
      <c r="E21579" s="2">
        <v>187968</v>
      </c>
      <c r="F21579" s="4" t="str">
        <f>IF(B21579=B21578,"",B21579)</f>
        <v>Malindi</v>
      </c>
    </row>
    <row r="21580" spans="1:6" ht="15.75" customHeight="1">
      <c r="A21580" s="8" t="str">
        <f ca="1">IFERROR(__xludf.DUMMYFUNCTION("GOOGLETRANSLATE(B35908,""en"",""pt"")"),"Malindi")</f>
        <v>Malindi</v>
      </c>
      <c r="B21580" s="11" t="s">
        <v>16814</v>
      </c>
      <c r="C21580" s="11" t="s">
        <v>16781</v>
      </c>
      <c r="D21580" s="11" t="s">
        <v>16803</v>
      </c>
      <c r="E21580" s="10">
        <v>187968</v>
      </c>
      <c r="F21580" s="4" t="str">
        <f>IF(B21580=B21579,"",B21580)</f>
        <v/>
      </c>
    </row>
    <row r="21581" spans="1:6" ht="15.75" customHeight="1">
      <c r="A21581" s="16" t="s">
        <v>18063</v>
      </c>
      <c r="B21581" s="15" t="s">
        <v>18063</v>
      </c>
      <c r="C21581" s="16" t="s">
        <v>17707</v>
      </c>
      <c r="D21581" s="16" t="s">
        <v>17723</v>
      </c>
      <c r="E21581" s="2">
        <v>3523683</v>
      </c>
      <c r="F21581" s="4" t="str">
        <f>IF(B21581=B21580,"",B21581)</f>
        <v>Malinaltepec</v>
      </c>
    </row>
    <row r="21582" spans="1:6" ht="15.75" customHeight="1">
      <c r="A21582" s="8" t="str">
        <f ca="1">IFERROR(__xludf.DUMMYFUNCTION("GOOGLETRANSLATE(B36988,""en"",""pt"")"),"Malinaltepec")</f>
        <v>Malinaltepec</v>
      </c>
      <c r="B21582" s="11" t="s">
        <v>18063</v>
      </c>
      <c r="C21582" s="11" t="s">
        <v>17707</v>
      </c>
      <c r="D21582" s="11" t="s">
        <v>17723</v>
      </c>
      <c r="E21582" s="10">
        <v>3523683</v>
      </c>
      <c r="F21582" s="4" t="str">
        <f>IF(B21582=B21581,"",B21582)</f>
        <v/>
      </c>
    </row>
    <row r="21583" spans="1:6" ht="15.75" customHeight="1">
      <c r="A21583" s="15" t="s">
        <v>20862</v>
      </c>
      <c r="B21583" s="15" t="s">
        <v>20862</v>
      </c>
      <c r="C21583" s="15" t="s">
        <v>20598</v>
      </c>
      <c r="D21583" s="15" t="s">
        <v>20634</v>
      </c>
      <c r="E21583" s="2">
        <v>1702763</v>
      </c>
      <c r="F21583" s="4" t="str">
        <f>IF(B21583=B21582,"",B21583)</f>
        <v>Malilipot</v>
      </c>
    </row>
    <row r="21584" spans="1:6" ht="15.75" customHeight="1">
      <c r="A21584" s="8" t="str">
        <f ca="1">IFERROR(__xludf.DUMMYFUNCTION("GOOGLETRANSLATE(B38639,""en"",""pt"")"),"Malilipot")</f>
        <v>Malilipot</v>
      </c>
      <c r="B21584" s="11" t="s">
        <v>20862</v>
      </c>
      <c r="C21584" s="11" t="s">
        <v>20598</v>
      </c>
      <c r="D21584" s="11" t="s">
        <v>20634</v>
      </c>
      <c r="E21584" s="10">
        <v>1702763</v>
      </c>
      <c r="F21584" s="4" t="str">
        <f>IF(B21584=B21583,"",B21584)</f>
        <v/>
      </c>
    </row>
    <row r="21585" spans="1:6" ht="15.75" customHeight="1">
      <c r="A21585" s="8" t="str">
        <f ca="1">IFERROR(__xludf.DUMMYFUNCTION("GOOGLETRANSLATE(B32856,""en"",""pt"")"),"Malīhābād")</f>
        <v>Malīhābād</v>
      </c>
      <c r="B21585" s="9" t="s">
        <v>33422</v>
      </c>
      <c r="C21585" s="9" t="s">
        <v>10178</v>
      </c>
      <c r="D21585" s="9" t="s">
        <v>10193</v>
      </c>
      <c r="E21585" s="10">
        <v>1264085</v>
      </c>
      <c r="F21585" s="4" t="str">
        <f>IF(B21585=B21584,"",B21585)</f>
        <v>Malīhābād</v>
      </c>
    </row>
    <row r="21586" spans="1:6" ht="15.75" customHeight="1">
      <c r="A21586" s="15" t="s">
        <v>6388</v>
      </c>
      <c r="B21586" s="15" t="s">
        <v>6388</v>
      </c>
      <c r="C21586" s="15" t="s">
        <v>6380</v>
      </c>
      <c r="D21586" s="15" t="s">
        <v>6389</v>
      </c>
      <c r="E21586" s="2">
        <v>1636670</v>
      </c>
      <c r="F21586" s="4" t="str">
        <f>IF(B21586=B21585,"",B21586)</f>
        <v>Maliana</v>
      </c>
    </row>
    <row r="21587" spans="1:6" ht="15.75" customHeight="1">
      <c r="A21587" s="8" t="str">
        <f ca="1">IFERROR(__xludf.DUMMYFUNCTION("GOOGLETRANSLATE(B41758,""en"",""pt"")"),"Maliana")</f>
        <v>Maliana</v>
      </c>
      <c r="B21587" s="9" t="s">
        <v>6388</v>
      </c>
      <c r="C21587" s="9" t="s">
        <v>6380</v>
      </c>
      <c r="D21587" s="9" t="s">
        <v>6389</v>
      </c>
      <c r="E21587" s="10">
        <v>1636670</v>
      </c>
      <c r="F21587" s="4" t="str">
        <f>IF(B21587=B21586,"",B21587)</f>
        <v/>
      </c>
    </row>
    <row r="21588" spans="1:6" ht="15.75" customHeight="1">
      <c r="A21588" s="16" t="s">
        <v>24590</v>
      </c>
      <c r="B21588" s="15" t="s">
        <v>24591</v>
      </c>
      <c r="C21588" s="16" t="s">
        <v>24200</v>
      </c>
      <c r="D21588" s="16" t="s">
        <v>24277</v>
      </c>
      <c r="E21588" s="2">
        <v>3117636</v>
      </c>
      <c r="F21588" s="4" t="str">
        <f>IF(B21588=B21587,"",B21588)</f>
        <v>Malgrat de Mar</v>
      </c>
    </row>
    <row r="21589" spans="1:6" ht="15.75" customHeight="1">
      <c r="A21589" s="8" t="str">
        <f ca="1">IFERROR(__xludf.DUMMYFUNCTION("GOOGLETRANSLATE(B29366,""en"",""pt"")"),"Malgrat de Mar.")</f>
        <v>Malgrat de Mar.</v>
      </c>
      <c r="B21589" s="11" t="s">
        <v>24591</v>
      </c>
      <c r="C21589" s="11" t="s">
        <v>24200</v>
      </c>
      <c r="D21589" s="11" t="s">
        <v>24277</v>
      </c>
      <c r="E21589" s="10">
        <v>3117636</v>
      </c>
      <c r="F21589" s="4" t="str">
        <f>IF(B21589=B21588,"",B21589)</f>
        <v/>
      </c>
    </row>
    <row r="21590" spans="1:6" ht="15.75" customHeight="1">
      <c r="A21590" s="16" t="s">
        <v>22711</v>
      </c>
      <c r="B21590" s="15" t="s">
        <v>22711</v>
      </c>
      <c r="C21590" s="16" t="s">
        <v>22070</v>
      </c>
      <c r="D21590" s="16" t="s">
        <v>22360</v>
      </c>
      <c r="E21590" s="2">
        <v>531129</v>
      </c>
      <c r="F21590" s="4" t="str">
        <f>IF(B21590=B21589,"",B21590)</f>
        <v>Malgobek</v>
      </c>
    </row>
    <row r="21591" spans="1:6" ht="15.75" customHeight="1">
      <c r="A21591" s="8" t="str">
        <f ca="1">IFERROR(__xludf.DUMMYFUNCTION("GOOGLETRANSLATE(B40338,""en"",""pt"")"),"Malgobek")</f>
        <v>Malgobek</v>
      </c>
      <c r="B21591" s="11" t="s">
        <v>22711</v>
      </c>
      <c r="C21591" s="11" t="s">
        <v>22070</v>
      </c>
      <c r="D21591" s="11" t="s">
        <v>22360</v>
      </c>
      <c r="E21591" s="10">
        <v>531129</v>
      </c>
      <c r="F21591" s="4" t="str">
        <f>IF(B21591=B21590,"",B21591)</f>
        <v/>
      </c>
    </row>
    <row r="21592" spans="1:6" ht="15.75" customHeight="1">
      <c r="A21592" s="8" t="str">
        <f ca="1">IFERROR(__xludf.DUMMYFUNCTION("GOOGLETRANSLATE(B32857,""en"",""pt"")"),"Māler Kotla")</f>
        <v>Māler Kotla</v>
      </c>
      <c r="B21592" s="11" t="s">
        <v>33423</v>
      </c>
      <c r="C21592" s="11" t="s">
        <v>10178</v>
      </c>
      <c r="D21592" s="11" t="s">
        <v>10184</v>
      </c>
      <c r="E21592" s="10">
        <v>1264111</v>
      </c>
      <c r="F21592" s="4" t="str">
        <f>IF(B21592=B21591,"",B21592)</f>
        <v>Māler Kotla</v>
      </c>
    </row>
    <row r="21593" spans="1:6" ht="15.75" customHeight="1">
      <c r="A21593" s="8" t="str">
        <f ca="1">IFERROR(__xludf.DUMMYFUNCTION("GOOGLETRANSLATE(B32858,""en"",""pt"")"),"Mālegaon")</f>
        <v>Mālegaon</v>
      </c>
      <c r="B21593" s="9" t="s">
        <v>33424</v>
      </c>
      <c r="C21593" s="9" t="s">
        <v>10178</v>
      </c>
      <c r="D21593" s="9" t="s">
        <v>10214</v>
      </c>
      <c r="E21593" s="10">
        <v>1264115</v>
      </c>
      <c r="F21593" s="4" t="str">
        <f>IF(B21593=B21592,"",B21593)</f>
        <v>Mālegaon</v>
      </c>
    </row>
    <row r="21594" spans="1:6" ht="15.75" customHeight="1">
      <c r="A21594" s="15" t="s">
        <v>17590</v>
      </c>
      <c r="B21594" s="15" t="s">
        <v>17591</v>
      </c>
      <c r="C21594" s="15" t="s">
        <v>17592</v>
      </c>
      <c r="D21594" s="15" t="s">
        <v>17593</v>
      </c>
      <c r="E21594" s="2">
        <v>1282027</v>
      </c>
      <c r="F21594" s="4" t="str">
        <f>IF(B21594=B21593,"",B21594)</f>
        <v>Male</v>
      </c>
    </row>
    <row r="21595" spans="1:6" ht="15.75" customHeight="1">
      <c r="A21595" s="8" t="str">
        <f ca="1">IFERROR(__xludf.DUMMYFUNCTION("GOOGLETRANSLATE(B36823,""en"",""pt"")"),"Macho")</f>
        <v>Macho</v>
      </c>
      <c r="B21595" s="9" t="s">
        <v>17591</v>
      </c>
      <c r="C21595" s="9" t="s">
        <v>17592</v>
      </c>
      <c r="D21595" s="9" t="s">
        <v>17593</v>
      </c>
      <c r="E21595" s="10">
        <v>1282027</v>
      </c>
      <c r="F21595" s="4" t="str">
        <f>IF(B21595=B21594,"",B21595)</f>
        <v/>
      </c>
    </row>
    <row r="21596" spans="1:6" ht="15.75" customHeight="1">
      <c r="A21596" s="16" t="s">
        <v>30482</v>
      </c>
      <c r="B21596" s="15" t="s">
        <v>30482</v>
      </c>
      <c r="C21596" s="16" t="s">
        <v>30472</v>
      </c>
      <c r="D21596" s="16" t="s">
        <v>30482</v>
      </c>
      <c r="E21596" s="2">
        <v>3441894</v>
      </c>
      <c r="F21596" s="4" t="str">
        <f>IF(B21596=B21595,"",B21596)</f>
        <v>Maldonado</v>
      </c>
    </row>
    <row r="21597" spans="1:6" ht="15.75" customHeight="1">
      <c r="A21597" s="8" t="str">
        <f ca="1">IFERROR(__xludf.DUMMYFUNCTION("GOOGLETRANSLATE(B45488,""en"",""pt"")"),"Maldonado")</f>
        <v>Maldonado</v>
      </c>
      <c r="B21597" s="11" t="s">
        <v>30482</v>
      </c>
      <c r="C21597" s="11" t="s">
        <v>30472</v>
      </c>
      <c r="D21597" s="11" t="s">
        <v>30482</v>
      </c>
      <c r="E21597" s="10">
        <v>3441894</v>
      </c>
      <c r="F21597" s="4" t="str">
        <f>IF(B21597=B21596,"",B21597)</f>
        <v/>
      </c>
    </row>
    <row r="21598" spans="1:6" ht="15.75" customHeight="1">
      <c r="A21598" s="15" t="s">
        <v>27520</v>
      </c>
      <c r="B21598" s="15" t="s">
        <v>27520</v>
      </c>
      <c r="C21598" s="15" t="s">
        <v>27234</v>
      </c>
      <c r="D21598" s="15" t="s">
        <v>27241</v>
      </c>
      <c r="E21598" s="2">
        <v>2643160</v>
      </c>
      <c r="F21598" s="4" t="str">
        <f>IF(B21598=B21597,"",B21598)</f>
        <v>Maldon</v>
      </c>
    </row>
    <row r="21599" spans="1:6" ht="15.75" customHeight="1">
      <c r="A21599" s="8" t="str">
        <f ca="1">IFERROR(__xludf.DUMMYFUNCTION("GOOGLETRANSLATE(B30554,""en"",""pt"")"),"Maldon")</f>
        <v>Maldon</v>
      </c>
      <c r="B21599" s="9" t="s">
        <v>27520</v>
      </c>
      <c r="C21599" s="9" t="s">
        <v>27234</v>
      </c>
      <c r="D21599" s="9" t="s">
        <v>27241</v>
      </c>
      <c r="E21599" s="10">
        <v>2643160</v>
      </c>
      <c r="F21599" s="4" t="str">
        <f>IF(B21599=B21598,"",B21599)</f>
        <v/>
      </c>
    </row>
    <row r="21600" spans="1:6" ht="15.75" customHeight="1">
      <c r="A21600" s="15" t="s">
        <v>29192</v>
      </c>
      <c r="B21600" s="15" t="s">
        <v>29192</v>
      </c>
      <c r="C21600" s="15" t="s">
        <v>27788</v>
      </c>
      <c r="D21600" s="15" t="s">
        <v>27794</v>
      </c>
      <c r="E21600" s="2">
        <v>4942939</v>
      </c>
      <c r="F21600" s="4" t="str">
        <f>IF(B21600=B21599,"",B21600)</f>
        <v>Malden</v>
      </c>
    </row>
    <row r="21601" spans="1:6" ht="15.75" customHeight="1">
      <c r="A21601" s="8" t="str">
        <f ca="1">IFERROR(__xludf.DUMMYFUNCTION("GOOGLETRANSLATE(B43995,""en"",""pt"")"),"Malden")</f>
        <v>Malden</v>
      </c>
      <c r="B21601" s="11" t="s">
        <v>29192</v>
      </c>
      <c r="C21601" s="11" t="s">
        <v>27788</v>
      </c>
      <c r="D21601" s="11" t="s">
        <v>27794</v>
      </c>
      <c r="E21601" s="10">
        <v>4942939</v>
      </c>
      <c r="F21601" s="4" t="str">
        <f>IF(B21601=B21600,"",B21601)</f>
        <v/>
      </c>
    </row>
    <row r="21602" spans="1:6" ht="15.75" customHeight="1">
      <c r="A21602" s="16" t="s">
        <v>1632</v>
      </c>
      <c r="B21602" s="15" t="s">
        <v>1632</v>
      </c>
      <c r="C21602" s="16" t="s">
        <v>1512</v>
      </c>
      <c r="D21602" s="16" t="s">
        <v>1513</v>
      </c>
      <c r="E21602" s="2">
        <v>2791857</v>
      </c>
      <c r="F21602" s="4" t="str">
        <f>IF(B21602=B21601,"",B21602)</f>
        <v>Maldegem</v>
      </c>
    </row>
    <row r="21603" spans="1:6" ht="15.75" customHeight="1">
      <c r="A21603" s="8" t="str">
        <f ca="1">IFERROR(__xludf.DUMMYFUNCTION("GOOGLETRANSLATE(B23874,""en"",""pt"")"),"Maldegem")</f>
        <v>Maldegem</v>
      </c>
      <c r="B21603" s="9" t="s">
        <v>1632</v>
      </c>
      <c r="C21603" s="9" t="s">
        <v>1512</v>
      </c>
      <c r="D21603" s="9" t="s">
        <v>1513</v>
      </c>
      <c r="E21603" s="10">
        <v>2791857</v>
      </c>
      <c r="F21603" s="4" t="str">
        <f>IF(B21603=B21602,"",B21603)</f>
        <v/>
      </c>
    </row>
    <row r="21604" spans="1:6" ht="15.75" customHeight="1">
      <c r="A21604" s="15" t="s">
        <v>21342</v>
      </c>
      <c r="B21604" s="15" t="s">
        <v>21342</v>
      </c>
      <c r="C21604" s="15" t="s">
        <v>21064</v>
      </c>
      <c r="D21604" s="15" t="s">
        <v>21173</v>
      </c>
      <c r="E21604" s="2">
        <v>3092472</v>
      </c>
      <c r="F21604" s="4" t="str">
        <f>IF(B21604=B21603,"",B21604)</f>
        <v>Malbork</v>
      </c>
    </row>
    <row r="21605" spans="1:6" ht="15.75" customHeight="1">
      <c r="A21605" s="8" t="str">
        <f ca="1">IFERROR(__xludf.DUMMYFUNCTION("GOOGLETRANSLATE(B39405,""en"",""pt"")"),"Malbork")</f>
        <v>Malbork</v>
      </c>
      <c r="B21605" s="9" t="s">
        <v>21342</v>
      </c>
      <c r="C21605" s="9" t="s">
        <v>21064</v>
      </c>
      <c r="D21605" s="9" t="s">
        <v>21173</v>
      </c>
      <c r="E21605" s="10">
        <v>3092472</v>
      </c>
      <c r="F21605" s="4" t="str">
        <f>IF(B21605=B21604,"",B21605)</f>
        <v/>
      </c>
    </row>
    <row r="21606" spans="1:6" ht="15.75" customHeight="1">
      <c r="A21606" s="15" t="s">
        <v>26622</v>
      </c>
      <c r="B21606" s="15" t="s">
        <v>26622</v>
      </c>
      <c r="C21606" s="15" t="s">
        <v>26201</v>
      </c>
      <c r="D21606" s="15" t="s">
        <v>26423</v>
      </c>
      <c r="E21606" s="2">
        <v>304916</v>
      </c>
      <c r="F21606" s="4" t="str">
        <f>IF(B21606=B21605,"",B21606)</f>
        <v>Malazgirt</v>
      </c>
    </row>
    <row r="21607" spans="1:6" ht="15.75" customHeight="1">
      <c r="A21607" s="8" t="str">
        <f ca="1">IFERROR(__xludf.DUMMYFUNCTION("GOOGLETRANSLATE(B41942,""en"",""pt"")"),"Malazgirt")</f>
        <v>Malazgirt</v>
      </c>
      <c r="B21607" s="9" t="s">
        <v>26622</v>
      </c>
      <c r="C21607" s="9" t="s">
        <v>26201</v>
      </c>
      <c r="D21607" s="9" t="s">
        <v>35823</v>
      </c>
      <c r="E21607" s="10">
        <v>304916</v>
      </c>
      <c r="F21607" s="4" t="str">
        <f>IF(B21607=B21606,"",B21607)</f>
        <v/>
      </c>
    </row>
    <row r="21608" spans="1:6" ht="15.75" customHeight="1">
      <c r="A21608" s="8" t="str">
        <f ca="1">IFERROR(__xludf.DUMMYFUNCTION("GOOGLETRANSLATE(B34419,""en"",""pt"")"),"Malāyer")</f>
        <v>Malāyer</v>
      </c>
      <c r="B21608" s="11" t="s">
        <v>34178</v>
      </c>
      <c r="C21608" s="11" t="s">
        <v>14240</v>
      </c>
      <c r="D21608" s="11" t="s">
        <v>34118</v>
      </c>
      <c r="E21608" s="10">
        <v>125185</v>
      </c>
      <c r="F21608" s="4" t="str">
        <f>IF(B21608=B21607,"",B21608)</f>
        <v>Malāyer</v>
      </c>
    </row>
    <row r="21609" spans="1:6" ht="15.75" customHeight="1">
      <c r="A21609" s="16" t="s">
        <v>20860</v>
      </c>
      <c r="B21609" s="15" t="s">
        <v>20861</v>
      </c>
      <c r="C21609" s="16" t="s">
        <v>20598</v>
      </c>
      <c r="D21609" s="16" t="s">
        <v>20687</v>
      </c>
      <c r="E21609" s="2">
        <v>1702934</v>
      </c>
      <c r="F21609" s="4" t="str">
        <f>IF(B21609=B21608,"",B21609)</f>
        <v>Malaybalay</v>
      </c>
    </row>
    <row r="21610" spans="1:6" ht="15.75" customHeight="1">
      <c r="A21610" s="8" t="str">
        <f ca="1">IFERROR(__xludf.DUMMYFUNCTION("GOOGLETRANSLATE(B38640,""en"",""pt"")"),"Malaiobalay")</f>
        <v>Malaiobalay</v>
      </c>
      <c r="B21610" s="11" t="s">
        <v>20861</v>
      </c>
      <c r="C21610" s="11" t="s">
        <v>20598</v>
      </c>
      <c r="D21610" s="11" t="s">
        <v>20687</v>
      </c>
      <c r="E21610" s="10">
        <v>1702934</v>
      </c>
      <c r="F21610" s="4" t="str">
        <f>IF(B21610=B21609,"",B21610)</f>
        <v/>
      </c>
    </row>
    <row r="21611" spans="1:6" ht="15.75" customHeight="1">
      <c r="A21611" s="15" t="s">
        <v>12312</v>
      </c>
      <c r="B21611" s="15" t="s">
        <v>12312</v>
      </c>
      <c r="C21611" s="15" t="s">
        <v>10178</v>
      </c>
      <c r="D21611" s="15" t="s">
        <v>10252</v>
      </c>
      <c r="E21611" s="2">
        <v>1264136</v>
      </c>
      <c r="F21611" s="4" t="str">
        <f>IF(B21611=B21610,"",B21611)</f>
        <v>Malavalli</v>
      </c>
    </row>
    <row r="21612" spans="1:6" ht="15.75" customHeight="1">
      <c r="A21612" s="8" t="str">
        <f ca="1">IFERROR(__xludf.DUMMYFUNCTION("GOOGLETRANSLATE(B32859,""en"",""pt"")"),"Malavalli")</f>
        <v>Malavalli</v>
      </c>
      <c r="B21612" s="9" t="s">
        <v>12312</v>
      </c>
      <c r="C21612" s="9" t="s">
        <v>10178</v>
      </c>
      <c r="D21612" s="9" t="s">
        <v>10252</v>
      </c>
      <c r="E21612" s="10">
        <v>1264136</v>
      </c>
      <c r="F21612" s="4" t="str">
        <f>IF(B21612=B21611,"",B21612)</f>
        <v/>
      </c>
    </row>
    <row r="21613" spans="1:6" ht="15.75" customHeight="1">
      <c r="A21613" s="15" t="s">
        <v>12311</v>
      </c>
      <c r="B21613" s="15" t="s">
        <v>12311</v>
      </c>
      <c r="C21613" s="15" t="s">
        <v>10178</v>
      </c>
      <c r="D21613" s="15" t="s">
        <v>10184</v>
      </c>
      <c r="E21613" s="2">
        <v>1264138</v>
      </c>
      <c r="F21613" s="4" t="str">
        <f>IF(B21613=B21612,"",B21613)</f>
        <v>Malaut</v>
      </c>
    </row>
    <row r="21614" spans="1:6" ht="15.75" customHeight="1">
      <c r="A21614" s="8" t="str">
        <f ca="1">IFERROR(__xludf.DUMMYFUNCTION("GOOGLETRANSLATE(B32860,""en"",""pt"")"),"Malaut")</f>
        <v>Malaut</v>
      </c>
      <c r="B21614" s="9" t="s">
        <v>12311</v>
      </c>
      <c r="C21614" s="9" t="s">
        <v>10178</v>
      </c>
      <c r="D21614" s="9" t="s">
        <v>10184</v>
      </c>
      <c r="E21614" s="10">
        <v>1264138</v>
      </c>
      <c r="F21614" s="4" t="str">
        <f>IF(B21614=B21613,"",B21614)</f>
        <v/>
      </c>
    </row>
    <row r="21615" spans="1:6" ht="15.75" customHeight="1">
      <c r="A21615" s="15" t="s">
        <v>26437</v>
      </c>
      <c r="B21615" s="15" t="s">
        <v>26437</v>
      </c>
      <c r="C21615" s="15" t="s">
        <v>26201</v>
      </c>
      <c r="D21615" s="15" t="s">
        <v>26437</v>
      </c>
      <c r="E21615" s="2">
        <v>304922</v>
      </c>
      <c r="F21615" s="4" t="str">
        <f>IF(B21615=B21614,"",B21615)</f>
        <v>Malatya</v>
      </c>
    </row>
    <row r="21616" spans="1:6" ht="15.75" customHeight="1">
      <c r="A21616" s="8" t="str">
        <f ca="1">IFERROR(__xludf.DUMMYFUNCTION("GOOGLETRANSLATE(B41943,""en"",""pt"")"),"Malatya")</f>
        <v>Malatya</v>
      </c>
      <c r="B21616" s="9" t="s">
        <v>26437</v>
      </c>
      <c r="C21616" s="9" t="s">
        <v>26201</v>
      </c>
      <c r="D21616" s="9" t="s">
        <v>26437</v>
      </c>
      <c r="E21616" s="10">
        <v>304922</v>
      </c>
      <c r="F21616" s="4" t="str">
        <f>IF(B21616=B21615,"",B21616)</f>
        <v/>
      </c>
    </row>
    <row r="21617" spans="1:6" ht="15.75" customHeight="1">
      <c r="A21617" s="8" t="str">
        <f ca="1">IFERROR(__xludf.DUMMYFUNCTION("GOOGLETRANSLATE(B34420,""en"",""pt"")"),"Malārd")</f>
        <v>Malārd</v>
      </c>
      <c r="B21617" s="9" t="s">
        <v>34179</v>
      </c>
      <c r="C21617" s="9" t="s">
        <v>14240</v>
      </c>
      <c r="D21617" s="9" t="s">
        <v>34125</v>
      </c>
      <c r="E21617" s="10">
        <v>125188</v>
      </c>
      <c r="F21617" s="4" t="str">
        <f>IF(B21617=B21616,"",B21617)</f>
        <v>Malārd</v>
      </c>
    </row>
    <row r="21618" spans="1:6" ht="15.75" customHeight="1">
      <c r="A21618" s="16" t="s">
        <v>12310</v>
      </c>
      <c r="B21618" s="15" t="s">
        <v>12310</v>
      </c>
      <c r="C21618" s="16" t="s">
        <v>10178</v>
      </c>
      <c r="D21618" s="16" t="s">
        <v>10246</v>
      </c>
      <c r="E21618" s="2">
        <v>1264154</v>
      </c>
      <c r="F21618" s="4" t="str">
        <f>IF(B21618=B21617,"",B21618)</f>
        <v>Malappuram</v>
      </c>
    </row>
    <row r="21619" spans="1:6" ht="15.75" customHeight="1">
      <c r="A21619" s="8" t="str">
        <f ca="1">IFERROR(__xludf.DUMMYFUNCTION("GOOGLETRANSLATE(B32861,""en"",""pt"")"),"Malappuram")</f>
        <v>Malappuram</v>
      </c>
      <c r="B21619" s="9" t="s">
        <v>12310</v>
      </c>
      <c r="C21619" s="9" t="s">
        <v>10178</v>
      </c>
      <c r="D21619" s="9" t="s">
        <v>10246</v>
      </c>
      <c r="E21619" s="10">
        <v>1264154</v>
      </c>
      <c r="F21619" s="4" t="str">
        <f>IF(B21619=B21618,"",B21619)</f>
        <v/>
      </c>
    </row>
    <row r="21620" spans="1:6" ht="15.75" customHeight="1">
      <c r="A21620" s="16" t="s">
        <v>20859</v>
      </c>
      <c r="B21620" s="15" t="s">
        <v>20859</v>
      </c>
      <c r="C21620" s="16" t="s">
        <v>20598</v>
      </c>
      <c r="D21620" s="16" t="s">
        <v>20606</v>
      </c>
      <c r="E21620" s="2">
        <v>1703051</v>
      </c>
      <c r="F21620" s="4" t="str">
        <f>IF(B21620=B21619,"",B21620)</f>
        <v>Malapatan</v>
      </c>
    </row>
    <row r="21621" spans="1:6" ht="15.75" customHeight="1">
      <c r="A21621" s="8" t="str">
        <f ca="1">IFERROR(__xludf.DUMMYFUNCTION("GOOGLETRANSLATE(B38641,""en"",""pt"")"),"Malapatan")</f>
        <v>Malapatan</v>
      </c>
      <c r="B21621" s="9" t="s">
        <v>20859</v>
      </c>
      <c r="C21621" s="9" t="s">
        <v>20598</v>
      </c>
      <c r="D21621" s="9" t="s">
        <v>20606</v>
      </c>
      <c r="E21621" s="10">
        <v>1703051</v>
      </c>
      <c r="F21621" s="4" t="str">
        <f>IF(B21621=B21620,"",B21621)</f>
        <v/>
      </c>
    </row>
    <row r="21622" spans="1:6" ht="15.75" customHeight="1">
      <c r="A21622" s="16" t="s">
        <v>1774</v>
      </c>
      <c r="B21622" s="15" t="s">
        <v>1774</v>
      </c>
      <c r="C21622" s="16" t="s">
        <v>1741</v>
      </c>
      <c r="D21622" s="16" t="s">
        <v>1775</v>
      </c>
      <c r="E21622" s="2">
        <v>2392837</v>
      </c>
      <c r="F21622" s="4" t="str">
        <f>IF(B21622=B21621,"",B21622)</f>
        <v>Malanville</v>
      </c>
    </row>
    <row r="21623" spans="1:6" ht="15.75" customHeight="1">
      <c r="A21623" s="8" t="str">
        <f ca="1">IFERROR(__xludf.DUMMYFUNCTION("GOOGLETRANSLATE(B24091,""en"",""pt"")"),"Malanville")</f>
        <v>Malanville</v>
      </c>
      <c r="B21623" s="11" t="s">
        <v>1774</v>
      </c>
      <c r="C21623" s="11" t="s">
        <v>1741</v>
      </c>
      <c r="D21623" s="11" t="s">
        <v>1775</v>
      </c>
      <c r="E21623" s="10">
        <v>2392837</v>
      </c>
      <c r="F21623" s="4" t="str">
        <f>IF(B21623=B21622,"",B21623)</f>
        <v/>
      </c>
    </row>
    <row r="21624" spans="1:6" ht="15.75" customHeight="1">
      <c r="A21624" s="15" t="s">
        <v>530</v>
      </c>
      <c r="B21624" s="15" t="s">
        <v>530</v>
      </c>
      <c r="C21624" s="15" t="s">
        <v>507</v>
      </c>
      <c r="D21624" s="15" t="s">
        <v>530</v>
      </c>
      <c r="E21624" s="2">
        <v>2239862</v>
      </c>
      <c r="F21624" s="4" t="str">
        <f>IF(B21624=B21623,"",B21624)</f>
        <v>Malanje</v>
      </c>
    </row>
    <row r="21625" spans="1:6" ht="15.75" customHeight="1">
      <c r="A21625" s="8" t="str">
        <f ca="1">IFERROR(__xludf.DUMMYFUNCTION("GOOGLETRANSLATE(B23149,""en"",""pt"")"),"Malanje")</f>
        <v>Malanje</v>
      </c>
      <c r="B21625" s="11" t="s">
        <v>530</v>
      </c>
      <c r="C21625" s="11" t="s">
        <v>507</v>
      </c>
      <c r="D21625" s="11" t="s">
        <v>530</v>
      </c>
      <c r="E21625" s="10">
        <v>2239862</v>
      </c>
      <c r="F21625" s="4" t="str">
        <f>IF(B21625=B21624,"",B21625)</f>
        <v/>
      </c>
    </row>
    <row r="21626" spans="1:6" ht="15.75" customHeight="1">
      <c r="A21626" s="16" t="s">
        <v>18846</v>
      </c>
      <c r="B21626" s="15" t="s">
        <v>18846</v>
      </c>
      <c r="C21626" s="16" t="s">
        <v>18800</v>
      </c>
      <c r="D21626" s="16" t="s">
        <v>17414</v>
      </c>
      <c r="E21626" s="2">
        <v>1283082</v>
      </c>
      <c r="F21626" s="4" t="str">
        <f>IF(B21626=B21625,"",B21626)</f>
        <v>Malangwa</v>
      </c>
    </row>
    <row r="21627" spans="1:6" ht="15.75" customHeight="1">
      <c r="A21627" s="8" t="str">
        <f ca="1">IFERROR(__xludf.DUMMYFUNCTION("GOOGLETRANSLATE(B38185,""en"",""pt"")"),"Malangwa")</f>
        <v>Malangwa</v>
      </c>
      <c r="B21627" s="11" t="s">
        <v>18846</v>
      </c>
      <c r="C21627" s="11" t="s">
        <v>18800</v>
      </c>
      <c r="D21627" s="11" t="s">
        <v>17414</v>
      </c>
      <c r="E21627" s="10">
        <v>1283082</v>
      </c>
      <c r="F21627" s="4" t="str">
        <f>IF(B21627=B21626,"",B21627)</f>
        <v/>
      </c>
    </row>
    <row r="21628" spans="1:6" ht="15.75" customHeight="1">
      <c r="A21628" s="15" t="s">
        <v>14022</v>
      </c>
      <c r="B21628" s="15" t="s">
        <v>14022</v>
      </c>
      <c r="C21628" s="15" t="s">
        <v>13800</v>
      </c>
      <c r="D21628" s="15" t="s">
        <v>13816</v>
      </c>
      <c r="E21628" s="2">
        <v>1636722</v>
      </c>
      <c r="F21628" s="4" t="str">
        <f>IF(B21628=B21627,"",B21628)</f>
        <v>Malang</v>
      </c>
    </row>
    <row r="21629" spans="1:6" ht="15.75" customHeight="1">
      <c r="A21629" s="8" t="str">
        <f ca="1">IFERROR(__xludf.DUMMYFUNCTION("GOOGLETRANSLATE(B31552,""en"",""pt"")"),"Malang")</f>
        <v>Malang</v>
      </c>
      <c r="B21629" s="9" t="s">
        <v>14022</v>
      </c>
      <c r="C21629" s="9" t="s">
        <v>13800</v>
      </c>
      <c r="D21629" s="9" t="s">
        <v>13816</v>
      </c>
      <c r="E21629" s="10">
        <v>1636722</v>
      </c>
      <c r="F21629" s="4" t="str">
        <f>IF(B21629=B21628,"",B21629)</f>
        <v/>
      </c>
    </row>
    <row r="21630" spans="1:6" ht="15.75" customHeight="1">
      <c r="A21630" s="16" t="s">
        <v>20858</v>
      </c>
      <c r="B21630" s="15" t="s">
        <v>20858</v>
      </c>
      <c r="C21630" s="16" t="s">
        <v>20598</v>
      </c>
      <c r="D21630" s="16" t="s">
        <v>20608</v>
      </c>
      <c r="E21630" s="2">
        <v>1703116</v>
      </c>
      <c r="F21630" s="4" t="str">
        <f>IF(B21630=B21629,"",B21630)</f>
        <v>Malanday</v>
      </c>
    </row>
    <row r="21631" spans="1:6" ht="15.75" customHeight="1">
      <c r="A21631" s="8" t="str">
        <f ca="1">IFERROR(__xludf.DUMMYFUNCTION("GOOGLETRANSLATE(B38642,""en"",""pt"")"),"Malanday")</f>
        <v>Malanday</v>
      </c>
      <c r="B21631" s="9" t="s">
        <v>20858</v>
      </c>
      <c r="C21631" s="9" t="s">
        <v>20598</v>
      </c>
      <c r="D21631" s="9" t="s">
        <v>20608</v>
      </c>
      <c r="E21631" s="10">
        <v>1703116</v>
      </c>
      <c r="F21631" s="4" t="str">
        <f>IF(B21631=B21630,"",B21631)</f>
        <v/>
      </c>
    </row>
    <row r="21632" spans="1:6" ht="15.75" customHeight="1">
      <c r="A21632" s="16" t="s">
        <v>25670</v>
      </c>
      <c r="B21632" s="15" t="s">
        <v>25670</v>
      </c>
      <c r="C21632" s="16" t="s">
        <v>25560</v>
      </c>
      <c r="D21632" s="16" t="s">
        <v>25566</v>
      </c>
      <c r="E21632" s="2">
        <v>155056</v>
      </c>
      <c r="F21632" s="4" t="str">
        <f>IF(B21632=B21631,"",B21632)</f>
        <v>Malampaka</v>
      </c>
    </row>
    <row r="21633" spans="1:6" ht="15.75" customHeight="1">
      <c r="A21633" s="8" t="str">
        <f ca="1">IFERROR(__xludf.DUMMYFUNCTION("GOOGLETRANSLATE(B42363,""en"",""pt"")"),"Malampaka")</f>
        <v>Malampaka</v>
      </c>
      <c r="B21633" s="9" t="s">
        <v>25670</v>
      </c>
      <c r="C21633" s="9" t="s">
        <v>25560</v>
      </c>
      <c r="D21633" s="9" t="s">
        <v>25566</v>
      </c>
      <c r="E21633" s="10">
        <v>155056</v>
      </c>
      <c r="F21633" s="4" t="str">
        <f>IF(B21633=B21632,"",B21633)</f>
        <v/>
      </c>
    </row>
    <row r="21634" spans="1:6" ht="15.75" customHeight="1">
      <c r="A21634" s="15" t="s">
        <v>5517</v>
      </c>
      <c r="B21634" s="15" t="s">
        <v>5517</v>
      </c>
      <c r="C21634" s="15" t="s">
        <v>5348</v>
      </c>
      <c r="D21634" s="15" t="s">
        <v>5378</v>
      </c>
      <c r="E21634" s="2">
        <v>3675595</v>
      </c>
      <c r="F21634" s="4" t="str">
        <f>IF(B21634=B21633,"",B21634)</f>
        <v>Malambo</v>
      </c>
    </row>
    <row r="21635" spans="1:6" ht="15.75" customHeight="1">
      <c r="A21635" s="8" t="str">
        <f ca="1">IFERROR(__xludf.DUMMYFUNCTION("GOOGLETRANSLATE(B26946,""en"",""pt"")"),"Malambo")</f>
        <v>Malambo</v>
      </c>
      <c r="B21635" s="9" t="s">
        <v>5517</v>
      </c>
      <c r="C21635" s="9" t="s">
        <v>5348</v>
      </c>
      <c r="D21635" s="9" t="s">
        <v>31843</v>
      </c>
      <c r="E21635" s="10">
        <v>3675595</v>
      </c>
      <c r="F21635" s="4" t="str">
        <f>IF(B21635=B21634,"",B21635)</f>
        <v/>
      </c>
    </row>
    <row r="21636" spans="1:6" ht="15.75" customHeight="1">
      <c r="A21636" s="16" t="s">
        <v>20088</v>
      </c>
      <c r="B21636" s="15" t="s">
        <v>20089</v>
      </c>
      <c r="C21636" s="16" t="s">
        <v>19808</v>
      </c>
      <c r="D21636" s="16" t="s">
        <v>10184</v>
      </c>
      <c r="E21636" s="2">
        <v>6457378</v>
      </c>
      <c r="F21636" s="4" t="str">
        <f>IF(B21636=B21635,"",B21636)</f>
        <v>Malakwal City</v>
      </c>
    </row>
    <row r="21637" spans="1:6" ht="15.75" customHeight="1">
      <c r="A21637" s="8" t="str">
        <f ca="1">IFERROR(__xludf.DUMMYFUNCTION("GOOGLETRANSLATE(B39174,""en"",""pt"")"),"Cidade de Malakwal")</f>
        <v>Cidade de Malakwal</v>
      </c>
      <c r="B21637" s="9" t="s">
        <v>20089</v>
      </c>
      <c r="C21637" s="9" t="s">
        <v>19808</v>
      </c>
      <c r="D21637" s="9" t="s">
        <v>10184</v>
      </c>
      <c r="E21637" s="10">
        <v>6457378</v>
      </c>
      <c r="F21637" s="4" t="str">
        <f>IF(B21637=B21636,"",B21637)</f>
        <v/>
      </c>
    </row>
    <row r="21638" spans="1:6" ht="15.75" customHeight="1">
      <c r="A21638" s="8" t="str">
        <f ca="1">IFERROR(__xludf.DUMMYFUNCTION("GOOGLETRANSLATE(B38999,""en"",""pt"")"),"Malakwāl")</f>
        <v>Malakwāl</v>
      </c>
      <c r="B21638" s="11" t="s">
        <v>34963</v>
      </c>
      <c r="C21638" s="11" t="s">
        <v>19808</v>
      </c>
      <c r="D21638" s="11" t="s">
        <v>10184</v>
      </c>
      <c r="E21638" s="10">
        <v>1171376</v>
      </c>
      <c r="F21638" s="4" t="str">
        <f>IF(B21638=B21637,"",B21638)</f>
        <v>Malakwāl</v>
      </c>
    </row>
    <row r="21639" spans="1:6" ht="15.75" customHeight="1">
      <c r="A21639" s="16" t="s">
        <v>20086</v>
      </c>
      <c r="B21639" s="15" t="s">
        <v>20087</v>
      </c>
      <c r="C21639" s="16" t="s">
        <v>19808</v>
      </c>
      <c r="D21639" s="16" t="s">
        <v>10184</v>
      </c>
      <c r="E21639" s="2">
        <v>1171376</v>
      </c>
      <c r="F21639" s="4" t="str">
        <f>IF(B21639=B21638,"",B21639)</f>
        <v>MalakwÄl</v>
      </c>
    </row>
    <row r="21640" spans="1:6" ht="15.75" customHeight="1">
      <c r="A21640" s="15" t="s">
        <v>7526</v>
      </c>
      <c r="B21640" s="15" t="s">
        <v>7526</v>
      </c>
      <c r="C21640" s="15" t="s">
        <v>7052</v>
      </c>
      <c r="D21640" s="15" t="s">
        <v>7058</v>
      </c>
      <c r="E21640" s="2">
        <v>2996514</v>
      </c>
      <c r="F21640" s="4" t="str">
        <f>IF(B21640=B21639,"",B21640)</f>
        <v>Malakoff</v>
      </c>
    </row>
    <row r="21641" spans="1:6" ht="15.75" customHeight="1">
      <c r="A21641" s="8" t="str">
        <f ca="1">IFERROR(__xludf.DUMMYFUNCTION("GOOGLETRANSLATE(B29945,""en"",""pt"")"),"Malakoff")</f>
        <v>Malakoff</v>
      </c>
      <c r="B21641" s="9" t="s">
        <v>7526</v>
      </c>
      <c r="C21641" s="9" t="s">
        <v>7052</v>
      </c>
      <c r="D21641" s="9" t="s">
        <v>32531</v>
      </c>
      <c r="E21641" s="10">
        <v>2996514</v>
      </c>
      <c r="F21641" s="4" t="str">
        <f>IF(B21641=B21640,"",B21641)</f>
        <v/>
      </c>
    </row>
    <row r="21642" spans="1:6" ht="15.75" customHeight="1">
      <c r="A21642" s="16" t="s">
        <v>22710</v>
      </c>
      <c r="B21642" s="15" t="s">
        <v>22710</v>
      </c>
      <c r="C21642" s="16" t="s">
        <v>22070</v>
      </c>
      <c r="D21642" s="16" t="s">
        <v>22119</v>
      </c>
      <c r="E21642" s="2">
        <v>531820</v>
      </c>
      <c r="F21642" s="4" t="str">
        <f>IF(B21642=B21641,"",B21642)</f>
        <v>Malakhovka</v>
      </c>
    </row>
    <row r="21643" spans="1:6" ht="15.75" customHeight="1">
      <c r="A21643" s="8" t="str">
        <f ca="1">IFERROR(__xludf.DUMMYFUNCTION("GOOGLETRANSLATE(B40339,""en"",""pt"")"),"Malakhovka")</f>
        <v>Malakhovka</v>
      </c>
      <c r="B21643" s="9" t="s">
        <v>22710</v>
      </c>
      <c r="C21643" s="9" t="s">
        <v>22070</v>
      </c>
      <c r="D21643" s="9" t="s">
        <v>22119</v>
      </c>
      <c r="E21643" s="10">
        <v>531820</v>
      </c>
      <c r="F21643" s="4" t="str">
        <f>IF(B21643=B21642,"",B21643)</f>
        <v/>
      </c>
    </row>
    <row r="21644" spans="1:6" ht="15.75" customHeight="1">
      <c r="A21644" s="16" t="s">
        <v>12309</v>
      </c>
      <c r="B21644" s="15" t="s">
        <v>12309</v>
      </c>
      <c r="C21644" s="16" t="s">
        <v>10178</v>
      </c>
      <c r="D21644" s="16" t="s">
        <v>10229</v>
      </c>
      <c r="E21644" s="2">
        <v>1264075</v>
      </c>
      <c r="F21644" s="4" t="str">
        <f>IF(B21644=B21643,"",B21644)</f>
        <v>Malakanagiri</v>
      </c>
    </row>
    <row r="21645" spans="1:6" ht="15.75" customHeight="1">
      <c r="A21645" s="8" t="str">
        <f ca="1">IFERROR(__xludf.DUMMYFUNCTION("GOOGLETRANSLATE(B32855,""en"",""pt"")"),"Malakanagiri")</f>
        <v>Malakanagiri</v>
      </c>
      <c r="B21645" s="9" t="s">
        <v>12309</v>
      </c>
      <c r="C21645" s="9" t="s">
        <v>10178</v>
      </c>
      <c r="D21645" s="9" t="s">
        <v>10229</v>
      </c>
      <c r="E21645" s="10">
        <v>1264075</v>
      </c>
      <c r="F21645" s="4" t="str">
        <f>IF(B21645=B21644,"",B21645)</f>
        <v/>
      </c>
    </row>
    <row r="21646" spans="1:6" ht="15.75" customHeight="1">
      <c r="A21646" s="15" t="s">
        <v>24182</v>
      </c>
      <c r="B21646" s="15" t="s">
        <v>24182</v>
      </c>
      <c r="C21646" s="15" t="s">
        <v>24176</v>
      </c>
      <c r="D21646" s="15" t="s">
        <v>24183</v>
      </c>
      <c r="E21646" s="2">
        <v>370737</v>
      </c>
      <c r="F21646" s="4" t="str">
        <f>IF(B21646=B21645,"",B21646)</f>
        <v>Malakal</v>
      </c>
    </row>
    <row r="21647" spans="1:6" ht="15.75" customHeight="1">
      <c r="A21647" s="8" t="str">
        <f ca="1">IFERROR(__xludf.DUMMYFUNCTION("GOOGLETRANSLATE(B41349,""en"",""pt"")"),"Malakal")</f>
        <v>Malakal</v>
      </c>
      <c r="B21647" s="9" t="s">
        <v>24182</v>
      </c>
      <c r="C21647" s="9" t="s">
        <v>24176</v>
      </c>
      <c r="D21647" s="9" t="s">
        <v>24183</v>
      </c>
      <c r="E21647" s="10">
        <v>370737</v>
      </c>
      <c r="F21647" s="4" t="str">
        <f>IF(B21647=B21646,"",B21647)</f>
        <v/>
      </c>
    </row>
    <row r="21648" spans="1:6" ht="15.75" customHeight="1">
      <c r="A21648" s="15" t="s">
        <v>14757</v>
      </c>
      <c r="B21648" s="15" t="s">
        <v>14757</v>
      </c>
      <c r="C21648" s="15" t="s">
        <v>14728</v>
      </c>
      <c r="D21648" s="15" t="s">
        <v>14729</v>
      </c>
      <c r="E21648" s="2">
        <v>2962725</v>
      </c>
      <c r="F21648" s="4" t="str">
        <f>IF(B21648=B21647,"",B21648)</f>
        <v>Malahide</v>
      </c>
    </row>
    <row r="21649" spans="1:6" ht="15.75" customHeight="1">
      <c r="A21649" s="8" t="str">
        <f ca="1">IFERROR(__xludf.DUMMYFUNCTION("GOOGLETRANSLATE(B31734,""en"",""pt"")"),"Malahide")</f>
        <v>Malahide</v>
      </c>
      <c r="B21649" s="11" t="s">
        <v>14757</v>
      </c>
      <c r="C21649" s="11" t="s">
        <v>14728</v>
      </c>
      <c r="D21649" s="11" t="s">
        <v>14729</v>
      </c>
      <c r="E21649" s="10">
        <v>2962725</v>
      </c>
      <c r="F21649" s="4" t="str">
        <f>IF(B21649=B21648,"",B21649)</f>
        <v/>
      </c>
    </row>
    <row r="21650" spans="1:6" ht="15.75" customHeight="1">
      <c r="A21650" s="8" t="str">
        <f ca="1">IFERROR(__xludf.DUMMYFUNCTION("GOOGLETRANSLATE(B26947,""en"",""pt"")"),"Málaga")</f>
        <v>Málaga</v>
      </c>
      <c r="B21650" s="9" t="s">
        <v>5510</v>
      </c>
      <c r="C21650" s="9" t="s">
        <v>5348</v>
      </c>
      <c r="D21650" s="9" t="s">
        <v>5380</v>
      </c>
      <c r="E21650" s="10">
        <v>3675605</v>
      </c>
      <c r="F21650" s="4" t="str">
        <f>IF(B21650=B21649,"",B21650)</f>
        <v>Málaga</v>
      </c>
    </row>
    <row r="21651" spans="1:6" ht="15.75" customHeight="1">
      <c r="A21651" s="8" t="str">
        <f ca="1">IFERROR(__xludf.DUMMYFUNCTION("GOOGLETRANSLATE(B29068,""en"",""pt"")"),"Málaga")</f>
        <v>Málaga</v>
      </c>
      <c r="B21651" s="9" t="s">
        <v>5510</v>
      </c>
      <c r="C21651" s="9" t="s">
        <v>24200</v>
      </c>
      <c r="D21651" s="9" t="s">
        <v>24205</v>
      </c>
      <c r="E21651" s="10">
        <v>2514256</v>
      </c>
      <c r="F21651" s="4" t="str">
        <f>IF(B21651=B21650,"",B21651)</f>
        <v/>
      </c>
    </row>
    <row r="21652" spans="1:6" ht="15.75" customHeight="1">
      <c r="A21652" s="16" t="s">
        <v>1481</v>
      </c>
      <c r="B21652" s="15" t="s">
        <v>1481</v>
      </c>
      <c r="C21652" s="16" t="s">
        <v>1453</v>
      </c>
      <c r="D21652" s="16" t="s">
        <v>1463</v>
      </c>
      <c r="E21652" s="2">
        <v>625625</v>
      </c>
      <c r="F21652" s="4" t="str">
        <f>IF(B21652=B21651,"",B21652)</f>
        <v>Maladzyechna</v>
      </c>
    </row>
    <row r="21653" spans="1:6" ht="15.75" customHeight="1">
      <c r="A21653" s="8" t="str">
        <f ca="1">IFERROR(__xludf.DUMMYFUNCTION("GOOGLETRANSLATE(B25395,""en"",""pt"")"),"Maladzyechna")</f>
        <v>Maladzyechna</v>
      </c>
      <c r="B21653" s="9" t="s">
        <v>1481</v>
      </c>
      <c r="C21653" s="9" t="s">
        <v>1453</v>
      </c>
      <c r="D21653" s="9" t="s">
        <v>1463</v>
      </c>
      <c r="E21653" s="10">
        <v>625625</v>
      </c>
      <c r="F21653" s="4" t="str">
        <f>IF(B21653=B21652,"",B21653)</f>
        <v/>
      </c>
    </row>
    <row r="21654" spans="1:6" ht="15.75" customHeight="1">
      <c r="A21654" s="15" t="s">
        <v>23738</v>
      </c>
      <c r="B21654" s="15" t="s">
        <v>23738</v>
      </c>
      <c r="C21654" s="15" t="s">
        <v>23694</v>
      </c>
      <c r="D21654" s="15" t="s">
        <v>23708</v>
      </c>
      <c r="E21654" s="2">
        <v>3058897</v>
      </c>
      <c r="F21654" s="4" t="str">
        <f>IF(B21654=B21653,"",B21654)</f>
        <v>Malacky</v>
      </c>
    </row>
    <row r="21655" spans="1:6" ht="15.75" customHeight="1">
      <c r="A21655" s="8" t="str">
        <f ca="1">IFERROR(__xludf.DUMMYFUNCTION("GOOGLETRANSLATE(B41255,""en"",""pt"")"),"Malacky")</f>
        <v>Malacky</v>
      </c>
      <c r="B21655" s="9" t="s">
        <v>23738</v>
      </c>
      <c r="C21655" s="9" t="s">
        <v>23694</v>
      </c>
      <c r="D21655" s="9" t="s">
        <v>35687</v>
      </c>
      <c r="E21655" s="10">
        <v>3058897</v>
      </c>
      <c r="F21655" s="4" t="str">
        <f>IF(B21655=B21654,"",B21655)</f>
        <v/>
      </c>
    </row>
    <row r="21656" spans="1:6" ht="15.75" customHeight="1">
      <c r="A21656" s="15" t="s">
        <v>17526</v>
      </c>
      <c r="B21656" s="15" t="s">
        <v>17527</v>
      </c>
      <c r="C21656" s="15" t="s">
        <v>17432</v>
      </c>
      <c r="D21656" s="15" t="s">
        <v>17433</v>
      </c>
      <c r="E21656" s="2">
        <v>1734759</v>
      </c>
      <c r="F21656" s="4" t="str">
        <f>IF(B21656=B21655,"",B21656)</f>
        <v>Malacca</v>
      </c>
    </row>
    <row r="21657" spans="1:6" ht="15.75" customHeight="1">
      <c r="A21657" s="8" t="str">
        <f ca="1">IFERROR(__xludf.DUMMYFUNCTION("GOOGLETRANSLATE(B37460,""en"",""pt"")"),"Malaca")</f>
        <v>Malaca</v>
      </c>
      <c r="B21657" s="9" t="s">
        <v>17527</v>
      </c>
      <c r="C21657" s="9" t="s">
        <v>17432</v>
      </c>
      <c r="D21657" s="9" t="s">
        <v>17433</v>
      </c>
      <c r="E21657" s="10">
        <v>1734759</v>
      </c>
      <c r="F21657" s="4" t="str">
        <f>IF(B21657=B21656,"",B21657)</f>
        <v/>
      </c>
    </row>
    <row r="21658" spans="1:6" ht="15.75" customHeight="1">
      <c r="A21658" s="15" t="s">
        <v>6772</v>
      </c>
      <c r="B21658" s="15" t="s">
        <v>6772</v>
      </c>
      <c r="C21658" s="15" t="s">
        <v>6767</v>
      </c>
      <c r="D21658" s="15" t="s">
        <v>6773</v>
      </c>
      <c r="E21658" s="2">
        <v>2309527</v>
      </c>
      <c r="F21658" s="4" t="str">
        <f>IF(B21658=B21657,"",B21658)</f>
        <v>Malabo</v>
      </c>
    </row>
    <row r="21659" spans="1:6" ht="15.75" customHeight="1">
      <c r="A21659" s="8" t="str">
        <f ca="1">IFERROR(__xludf.DUMMYFUNCTION("GOOGLETRANSLATE(B30951,""en"",""pt"")"),"Malabo")</f>
        <v>Malabo</v>
      </c>
      <c r="B21659" s="9" t="s">
        <v>6772</v>
      </c>
      <c r="C21659" s="9" t="s">
        <v>6767</v>
      </c>
      <c r="D21659" s="9" t="s">
        <v>6773</v>
      </c>
      <c r="E21659" s="10">
        <v>2309527</v>
      </c>
      <c r="F21659" s="4" t="str">
        <f>IF(B21659=B21658,"",B21659)</f>
        <v/>
      </c>
    </row>
    <row r="21660" spans="1:6" ht="15.75" customHeight="1">
      <c r="A21660" s="16" t="s">
        <v>20857</v>
      </c>
      <c r="B21660" s="15" t="s">
        <v>20857</v>
      </c>
      <c r="C21660" s="16" t="s">
        <v>20598</v>
      </c>
      <c r="D21660" s="16" t="s">
        <v>20608</v>
      </c>
      <c r="E21660" s="2">
        <v>1703355</v>
      </c>
      <c r="F21660" s="4" t="str">
        <f>IF(B21660=B21659,"",B21660)</f>
        <v>Malabanban Norte</v>
      </c>
    </row>
    <row r="21661" spans="1:6" ht="15.75" customHeight="1">
      <c r="A21661" s="8" t="str">
        <f ca="1">IFERROR(__xludf.DUMMYFUNCTION("GOOGLETRANSLATE(B38643,""en"",""pt"")"),"Malabanban Norte")</f>
        <v>Malabanban Norte</v>
      </c>
      <c r="B21661" s="9" t="s">
        <v>20857</v>
      </c>
      <c r="C21661" s="9" t="s">
        <v>20598</v>
      </c>
      <c r="D21661" s="9" t="s">
        <v>20608</v>
      </c>
      <c r="E21661" s="10">
        <v>1703355</v>
      </c>
      <c r="F21661" s="4" t="str">
        <f>IF(B21661=B21660,"",B21661)</f>
        <v/>
      </c>
    </row>
    <row r="21662" spans="1:6" ht="15.75" customHeight="1">
      <c r="A21662" s="15" t="s">
        <v>14457</v>
      </c>
      <c r="B21662" s="15" t="s">
        <v>14458</v>
      </c>
      <c r="C21662" s="15" t="s">
        <v>14240</v>
      </c>
      <c r="D21662" s="15" t="s">
        <v>14261</v>
      </c>
      <c r="E21662" s="2">
        <v>125185</v>
      </c>
      <c r="F21662" s="4" t="str">
        <f>IF(B21662=B21661,"",B21662)</f>
        <v>MalÄyer</v>
      </c>
    </row>
    <row r="21663" spans="1:6" ht="15.75" customHeight="1">
      <c r="A21663" s="15" t="s">
        <v>14455</v>
      </c>
      <c r="B21663" s="15" t="s">
        <v>14456</v>
      </c>
      <c r="C21663" s="15" t="s">
        <v>14240</v>
      </c>
      <c r="D21663" s="15" t="s">
        <v>14358</v>
      </c>
      <c r="E21663" s="2">
        <v>125188</v>
      </c>
      <c r="F21663" s="4" t="str">
        <f>IF(B21663=B21662,"",B21663)</f>
        <v>MalÄrd</v>
      </c>
    </row>
    <row r="21664" spans="1:6" ht="15.75" customHeight="1">
      <c r="A21664" s="16" t="s">
        <v>12307</v>
      </c>
      <c r="B21664" s="15" t="s">
        <v>12308</v>
      </c>
      <c r="C21664" s="16" t="s">
        <v>10178</v>
      </c>
      <c r="D21664" s="16" t="s">
        <v>10193</v>
      </c>
      <c r="E21664" s="2">
        <v>1264085</v>
      </c>
      <c r="F21664" s="4" t="str">
        <f>IF(B21664=B21663,"",B21664)</f>
        <v>MalÄ«hÄbÄd</v>
      </c>
    </row>
    <row r="21665" spans="1:6" ht="15.75" customHeight="1">
      <c r="A21665" s="15" t="s">
        <v>20541</v>
      </c>
      <c r="B21665" s="15" t="s">
        <v>20541</v>
      </c>
      <c r="C21665" s="15" t="s">
        <v>20470</v>
      </c>
      <c r="D21665" s="15" t="s">
        <v>20479</v>
      </c>
      <c r="E21665" s="2">
        <v>3935572</v>
      </c>
      <c r="F21665" s="4" t="str">
        <f>IF(B21665=B21664,"",B21665)</f>
        <v>Mala</v>
      </c>
    </row>
    <row r="21666" spans="1:6" ht="15.75" customHeight="1">
      <c r="A21666" s="8" t="str">
        <f ca="1">IFERROR(__xludf.DUMMYFUNCTION("GOOGLETRANSLATE(B38375,""en"",""pt"")"),"Mala")</f>
        <v>Mala</v>
      </c>
      <c r="B21666" s="11" t="s">
        <v>20541</v>
      </c>
      <c r="C21666" s="11" t="s">
        <v>20470</v>
      </c>
      <c r="D21666" s="11" t="s">
        <v>20479</v>
      </c>
      <c r="E21666" s="10">
        <v>3935572</v>
      </c>
      <c r="F21666" s="4" t="str">
        <f>IF(B21666=B21665,"",B21666)</f>
        <v/>
      </c>
    </row>
    <row r="21667" spans="1:6" ht="15.75" customHeight="1">
      <c r="A21667" s="16" t="s">
        <v>25669</v>
      </c>
      <c r="B21667" s="15" t="s">
        <v>25669</v>
      </c>
      <c r="C21667" s="16" t="s">
        <v>25560</v>
      </c>
      <c r="D21667" s="16" t="s">
        <v>25586</v>
      </c>
      <c r="E21667" s="2">
        <v>155076</v>
      </c>
      <c r="F21667" s="4" t="str">
        <f>IF(B21667=B21666,"",B21667)</f>
        <v>Makuyuni</v>
      </c>
    </row>
    <row r="21668" spans="1:6" ht="15.75" customHeight="1">
      <c r="A21668" s="8" t="str">
        <f ca="1">IFERROR(__xludf.DUMMYFUNCTION("GOOGLETRANSLATE(B42364,""en"",""pt"")"),"Makuyuni")</f>
        <v>Makuyuni</v>
      </c>
      <c r="B21668" s="11" t="s">
        <v>25669</v>
      </c>
      <c r="C21668" s="11" t="s">
        <v>25560</v>
      </c>
      <c r="D21668" s="11" t="s">
        <v>25586</v>
      </c>
      <c r="E21668" s="10">
        <v>155076</v>
      </c>
      <c r="F21668" s="4" t="str">
        <f>IF(B21668=B21667,"",B21668)</f>
        <v/>
      </c>
    </row>
    <row r="21669" spans="1:6" ht="15.75" customHeight="1">
      <c r="A21669" s="15" t="s">
        <v>19499</v>
      </c>
      <c r="B21669" s="15" t="s">
        <v>19499</v>
      </c>
      <c r="C21669" s="15" t="s">
        <v>19294</v>
      </c>
      <c r="D21669" s="15" t="s">
        <v>19434</v>
      </c>
      <c r="E21669" s="2">
        <v>2331140</v>
      </c>
      <c r="F21669" s="4" t="str">
        <f>IF(B21669=B21668,"",B21669)</f>
        <v>Makurdi</v>
      </c>
    </row>
    <row r="21670" spans="1:6" ht="15.75" customHeight="1">
      <c r="A21670" s="8" t="str">
        <f ca="1">IFERROR(__xludf.DUMMYFUNCTION("GOOGLETRANSLATE(B37683,""en"",""pt"")"),"Makurdi")</f>
        <v>Makurdi</v>
      </c>
      <c r="B21670" s="9" t="s">
        <v>19499</v>
      </c>
      <c r="C21670" s="9" t="s">
        <v>19294</v>
      </c>
      <c r="D21670" s="9" t="s">
        <v>19434</v>
      </c>
      <c r="E21670" s="10">
        <v>2331140</v>
      </c>
      <c r="F21670" s="4" t="str">
        <f>IF(B21670=B21669,"",B21670)</f>
        <v/>
      </c>
    </row>
    <row r="21671" spans="1:6" ht="15.75" customHeight="1">
      <c r="A21671" s="16" t="s">
        <v>16195</v>
      </c>
      <c r="B21671" s="15" t="s">
        <v>16195</v>
      </c>
      <c r="C21671" s="16" t="s">
        <v>15704</v>
      </c>
      <c r="D21671" s="16" t="s">
        <v>15719</v>
      </c>
      <c r="E21671" s="2">
        <v>1857712</v>
      </c>
      <c r="F21671" s="4" t="str">
        <f>IF(B21671=B21670,"",B21671)</f>
        <v>Makurazaki</v>
      </c>
    </row>
    <row r="21672" spans="1:6" ht="15.75" customHeight="1">
      <c r="A21672" s="8" t="str">
        <f ca="1">IFERROR(__xludf.DUMMYFUNCTION("GOOGLETRANSLATE(B35451,""en"",""pt"")"),"Makurazaki")</f>
        <v>Makurazaki</v>
      </c>
      <c r="B21672" s="9" t="s">
        <v>16195</v>
      </c>
      <c r="C21672" s="9" t="s">
        <v>15704</v>
      </c>
      <c r="D21672" s="9" t="s">
        <v>15719</v>
      </c>
      <c r="E21672" s="10">
        <v>1857712</v>
      </c>
      <c r="F21672" s="4" t="str">
        <f>IF(B21672=B21671,"",B21672)</f>
        <v/>
      </c>
    </row>
    <row r="21673" spans="1:6" ht="15.75" customHeight="1">
      <c r="A21673" s="16" t="s">
        <v>25668</v>
      </c>
      <c r="B21673" s="15" t="s">
        <v>25668</v>
      </c>
      <c r="C21673" s="16" t="s">
        <v>25560</v>
      </c>
      <c r="D21673" s="16" t="s">
        <v>25608</v>
      </c>
      <c r="E21673" s="2">
        <v>155101</v>
      </c>
      <c r="F21673" s="4" t="str">
        <f>IF(B21673=B21672,"",B21673)</f>
        <v>Makumbako</v>
      </c>
    </row>
    <row r="21674" spans="1:6" ht="15.75" customHeight="1">
      <c r="A21674" s="8" t="str">
        <f ca="1">IFERROR(__xludf.DUMMYFUNCTION("GOOGLETRANSLATE(B42365,""en"",""pt"")"),"Makumbako")</f>
        <v>Makumbako</v>
      </c>
      <c r="B21674" s="9" t="s">
        <v>25668</v>
      </c>
      <c r="C21674" s="9" t="s">
        <v>25560</v>
      </c>
      <c r="D21674" s="9" t="s">
        <v>25608</v>
      </c>
      <c r="E21674" s="10">
        <v>155101</v>
      </c>
      <c r="F21674" s="4" t="str">
        <f>IF(B21674=B21673,"",B21674)</f>
        <v/>
      </c>
    </row>
    <row r="21675" spans="1:6" ht="15.75" customHeight="1">
      <c r="A21675" s="8" t="str">
        <f ca="1">IFERROR(__xludf.DUMMYFUNCTION("GOOGLETRANSLATE(B32862,""en"",""pt"")"),"Mākum")</f>
        <v>Mākum</v>
      </c>
      <c r="B21675" s="9" t="s">
        <v>33425</v>
      </c>
      <c r="C21675" s="9" t="s">
        <v>10178</v>
      </c>
      <c r="D21675" s="9" t="s">
        <v>10239</v>
      </c>
      <c r="E21675" s="10">
        <v>1264196</v>
      </c>
      <c r="F21675" s="4" t="str">
        <f>IF(B21675=B21674,"",B21675)</f>
        <v>Mākum</v>
      </c>
    </row>
    <row r="21676" spans="1:6" ht="15.75" customHeight="1">
      <c r="A21676" s="15" t="s">
        <v>16813</v>
      </c>
      <c r="B21676" s="15" t="s">
        <v>16813</v>
      </c>
      <c r="C21676" s="15" t="s">
        <v>16781</v>
      </c>
      <c r="D21676" s="15" t="s">
        <v>16813</v>
      </c>
      <c r="E21676" s="2">
        <v>188080</v>
      </c>
      <c r="F21676" s="4" t="str">
        <f>IF(B21676=B21675,"",B21676)</f>
        <v>Makueni</v>
      </c>
    </row>
    <row r="21677" spans="1:6" ht="15.75" customHeight="1">
      <c r="A21677" s="8" t="str">
        <f ca="1">IFERROR(__xludf.DUMMYFUNCTION("GOOGLETRANSLATE(B35909,""en"",""pt"")"),"Makueni")</f>
        <v>Makueni</v>
      </c>
      <c r="B21677" s="11" t="s">
        <v>16813</v>
      </c>
      <c r="C21677" s="11" t="s">
        <v>16781</v>
      </c>
      <c r="D21677" s="11" t="s">
        <v>16813</v>
      </c>
      <c r="E21677" s="10">
        <v>188080</v>
      </c>
      <c r="F21677" s="4" t="str">
        <f>IF(B21677=B21676,"",B21677)</f>
        <v/>
      </c>
    </row>
    <row r="21678" spans="1:6" ht="15.75" customHeight="1">
      <c r="A21678" s="16" t="s">
        <v>16194</v>
      </c>
      <c r="B21678" s="15" t="s">
        <v>16194</v>
      </c>
      <c r="C21678" s="16" t="s">
        <v>15704</v>
      </c>
      <c r="D21678" s="16" t="s">
        <v>15705</v>
      </c>
      <c r="E21678" s="2">
        <v>2129324</v>
      </c>
      <c r="F21678" s="4" t="str">
        <f>IF(B21678=B21677,"",B21678)</f>
        <v>Makubetsu</v>
      </c>
    </row>
    <row r="21679" spans="1:6" ht="15.75" customHeight="1">
      <c r="A21679" s="8" t="str">
        <f ca="1">IFERROR(__xludf.DUMMYFUNCTION("GOOGLETRANSLATE(B35842,""en"",""pt"")"),"Makubetsu")</f>
        <v>Makubetsu</v>
      </c>
      <c r="B21679" s="11" t="s">
        <v>16194</v>
      </c>
      <c r="C21679" s="11" t="s">
        <v>15704</v>
      </c>
      <c r="D21679" s="11" t="s">
        <v>15705</v>
      </c>
      <c r="E21679" s="10">
        <v>2129324</v>
      </c>
      <c r="F21679" s="4" t="str">
        <f>IF(B21679=B21678,"",B21679)</f>
        <v/>
      </c>
    </row>
    <row r="21680" spans="1:6" ht="15.75" customHeight="1">
      <c r="A21680" s="15" t="s">
        <v>12306</v>
      </c>
      <c r="B21680" s="15" t="s">
        <v>12306</v>
      </c>
      <c r="C21680" s="15" t="s">
        <v>10178</v>
      </c>
      <c r="D21680" s="15" t="s">
        <v>10219</v>
      </c>
      <c r="E21680" s="2">
        <v>1264198</v>
      </c>
      <c r="F21680" s="4" t="str">
        <f>IF(B21680=B21679,"",B21680)</f>
        <v>Maksi</v>
      </c>
    </row>
    <row r="21681" spans="1:6" ht="15.75" customHeight="1">
      <c r="A21681" s="8" t="str">
        <f ca="1">IFERROR(__xludf.DUMMYFUNCTION("GOOGLETRANSLATE(B32863,""en"",""pt"")"),"Maksi")</f>
        <v>Maksi</v>
      </c>
      <c r="B21681" s="11" t="s">
        <v>12306</v>
      </c>
      <c r="C21681" s="11" t="s">
        <v>10178</v>
      </c>
      <c r="D21681" s="11" t="s">
        <v>10219</v>
      </c>
      <c r="E21681" s="10">
        <v>1264198</v>
      </c>
      <c r="F21681" s="4" t="str">
        <f>IF(B21681=B21680,"",B21681)</f>
        <v/>
      </c>
    </row>
    <row r="21682" spans="1:6" ht="15.75" customHeight="1">
      <c r="A21682" s="8" t="str">
        <f ca="1">IFERROR(__xludf.DUMMYFUNCTION("GOOGLETRANSLATE(B32864,""en"",""pt"")"),"Makrāna")</f>
        <v>Makrāna</v>
      </c>
      <c r="B21682" s="9" t="s">
        <v>33426</v>
      </c>
      <c r="C21682" s="9" t="s">
        <v>10178</v>
      </c>
      <c r="D21682" s="9" t="s">
        <v>10179</v>
      </c>
      <c r="E21682" s="10">
        <v>1264206</v>
      </c>
      <c r="F21682" s="4" t="str">
        <f>IF(B21682=B21681,"",B21682)</f>
        <v>Makrāna</v>
      </c>
    </row>
    <row r="21683" spans="1:6" ht="15.75" customHeight="1">
      <c r="A21683" s="15" t="s">
        <v>12304</v>
      </c>
      <c r="B21683" s="15" t="s">
        <v>12305</v>
      </c>
      <c r="C21683" s="15" t="s">
        <v>10178</v>
      </c>
      <c r="D21683" s="15" t="s">
        <v>10179</v>
      </c>
      <c r="E21683" s="2">
        <v>1264206</v>
      </c>
      <c r="F21683" s="4" t="str">
        <f>IF(B21683=B21682,"",B21683)</f>
        <v>MakrÄna</v>
      </c>
    </row>
    <row r="21684" spans="1:6" ht="15.75" customHeight="1">
      <c r="A21684" s="15" t="s">
        <v>392</v>
      </c>
      <c r="B21684" s="15" t="s">
        <v>392</v>
      </c>
      <c r="C21684" s="15" t="s">
        <v>153</v>
      </c>
      <c r="D21684" s="15" t="s">
        <v>229</v>
      </c>
      <c r="E21684" s="2">
        <v>2490297</v>
      </c>
      <c r="F21684" s="4" t="str">
        <f>IF(B21684=B21683,"",B21684)</f>
        <v>Makouda</v>
      </c>
    </row>
    <row r="21685" spans="1:6" ht="15.75" customHeight="1">
      <c r="A21685" s="8" t="str">
        <f ca="1">IFERROR(__xludf.DUMMYFUNCTION("GOOGLETRANSLATE(B28593,""en"",""pt"")"),"Makouda")</f>
        <v>Makouda</v>
      </c>
      <c r="B21685" s="11" t="s">
        <v>392</v>
      </c>
      <c r="C21685" s="11" t="s">
        <v>153</v>
      </c>
      <c r="D21685" s="11" t="s">
        <v>229</v>
      </c>
      <c r="E21685" s="10">
        <v>2490297</v>
      </c>
      <c r="F21685" s="4" t="str">
        <f>IF(B21685=B21684,"",B21685)</f>
        <v/>
      </c>
    </row>
    <row r="21686" spans="1:6" ht="15.75" customHeight="1">
      <c r="A21686" s="15" t="s">
        <v>19498</v>
      </c>
      <c r="B21686" s="15" t="s">
        <v>19498</v>
      </c>
      <c r="C21686" s="15" t="s">
        <v>19294</v>
      </c>
      <c r="D21686" s="15" t="s">
        <v>19336</v>
      </c>
      <c r="E21686" s="2">
        <v>2331158</v>
      </c>
      <c r="F21686" s="4" t="str">
        <f>IF(B21686=B21685,"",B21686)</f>
        <v>Makoko</v>
      </c>
    </row>
    <row r="21687" spans="1:6" ht="15.75" customHeight="1">
      <c r="A21687" s="8" t="str">
        <f ca="1">IFERROR(__xludf.DUMMYFUNCTION("GOOGLETRANSLATE(B37684,""en"",""pt"")"),"Makoko")</f>
        <v>Makoko</v>
      </c>
      <c r="B21687" s="9" t="s">
        <v>19498</v>
      </c>
      <c r="C21687" s="9" t="s">
        <v>19294</v>
      </c>
      <c r="D21687" s="9" t="s">
        <v>19336</v>
      </c>
      <c r="E21687" s="10">
        <v>2331158</v>
      </c>
      <c r="F21687" s="4" t="str">
        <f>IF(B21687=B21686,"",B21687)</f>
        <v/>
      </c>
    </row>
    <row r="21688" spans="1:6" ht="15.75" customHeight="1">
      <c r="A21688" s="8" t="str">
        <f ca="1">IFERROR(__xludf.DUMMYFUNCTION("GOOGLETRANSLATE(B31254,""en"",""pt"")"),"Makó")</f>
        <v>Makó</v>
      </c>
      <c r="B21688" s="11" t="s">
        <v>32836</v>
      </c>
      <c r="C21688" s="11" t="s">
        <v>9955</v>
      </c>
      <c r="D21688" s="11" t="s">
        <v>32825</v>
      </c>
      <c r="E21688" s="10">
        <v>717902</v>
      </c>
      <c r="F21688" s="4" t="str">
        <f>IF(B21688=B21687,"",B21688)</f>
        <v>Makó</v>
      </c>
    </row>
    <row r="21689" spans="1:6" ht="15.75" customHeight="1">
      <c r="A21689" s="16" t="s">
        <v>27060</v>
      </c>
      <c r="B21689" s="15" t="s">
        <v>27060</v>
      </c>
      <c r="C21689" s="16" t="s">
        <v>26870</v>
      </c>
      <c r="D21689" s="16" t="s">
        <v>22345</v>
      </c>
      <c r="E21689" s="2">
        <v>702320</v>
      </c>
      <c r="F21689" s="4" t="str">
        <f>IF(B21689=B21688,"",B21689)</f>
        <v>Makiyivka</v>
      </c>
    </row>
    <row r="21690" spans="1:6" ht="15.75" customHeight="1">
      <c r="A21690" s="8" t="str">
        <f ca="1">IFERROR(__xludf.DUMMYFUNCTION("GOOGLETRANSLATE(B42585,""en"",""pt"")"),"Makiyivka")</f>
        <v>Makiyivka</v>
      </c>
      <c r="B21690" s="9" t="s">
        <v>27060</v>
      </c>
      <c r="C21690" s="9" t="s">
        <v>26870</v>
      </c>
      <c r="D21690" s="9" t="s">
        <v>22345</v>
      </c>
      <c r="E21690" s="10">
        <v>702320</v>
      </c>
      <c r="F21690" s="4" t="str">
        <f>IF(B21690=B21689,"",B21690)</f>
        <v/>
      </c>
    </row>
    <row r="21691" spans="1:6" ht="15.75" customHeight="1">
      <c r="A21691" s="8" t="str">
        <f ca="1">IFERROR(__xludf.DUMMYFUNCTION("GOOGLETRANSLATE(B36235,""en"",""pt"")"),"Makīnsk")</f>
        <v>Makīnsk</v>
      </c>
      <c r="B21691" s="9" t="s">
        <v>34504</v>
      </c>
      <c r="C21691" s="9" t="s">
        <v>16671</v>
      </c>
      <c r="D21691" s="9" t="s">
        <v>16675</v>
      </c>
      <c r="E21691" s="10">
        <v>1521230</v>
      </c>
      <c r="F21691" s="4" t="str">
        <f>IF(B21691=B21690,"",B21691)</f>
        <v>Makīnsk</v>
      </c>
    </row>
    <row r="21692" spans="1:6" ht="15.75" customHeight="1">
      <c r="A21692" s="15" t="s">
        <v>16193</v>
      </c>
      <c r="B21692" s="15" t="s">
        <v>16193</v>
      </c>
      <c r="C21692" s="15" t="s">
        <v>15704</v>
      </c>
      <c r="D21692" s="15" t="s">
        <v>15818</v>
      </c>
      <c r="E21692" s="2">
        <v>1857751</v>
      </c>
      <c r="F21692" s="4" t="str">
        <f>IF(B21692=B21691,"",B21692)</f>
        <v>Maki</v>
      </c>
    </row>
    <row r="21693" spans="1:6" ht="15.75" customHeight="1">
      <c r="A21693" s="8" t="str">
        <f ca="1">IFERROR(__xludf.DUMMYFUNCTION("GOOGLETRANSLATE(B35452,""en"",""pt"")"),"Maki")</f>
        <v>Maki</v>
      </c>
      <c r="B21693" s="11" t="s">
        <v>16193</v>
      </c>
      <c r="C21693" s="11" t="s">
        <v>15704</v>
      </c>
      <c r="D21693" s="11" t="s">
        <v>15818</v>
      </c>
      <c r="E21693" s="10">
        <v>1857751</v>
      </c>
      <c r="F21693" s="4" t="str">
        <f>IF(B21693=B21692,"",B21693)</f>
        <v/>
      </c>
    </row>
    <row r="21694" spans="1:6" ht="15.75" customHeight="1">
      <c r="A21694" s="16" t="s">
        <v>22709</v>
      </c>
      <c r="B21694" s="15" t="s">
        <v>22709</v>
      </c>
      <c r="C21694" s="16" t="s">
        <v>22070</v>
      </c>
      <c r="D21694" s="16" t="s">
        <v>22208</v>
      </c>
      <c r="E21694" s="2">
        <v>532096</v>
      </c>
      <c r="F21694" s="4" t="str">
        <f>IF(B21694=B21693,"",B21694)</f>
        <v>Makhachkala</v>
      </c>
    </row>
    <row r="21695" spans="1:6" ht="15.75" customHeight="1">
      <c r="A21695" s="8" t="str">
        <f ca="1">IFERROR(__xludf.DUMMYFUNCTION("GOOGLETRANSLATE(B40340,""en"",""pt"")"),"Makhachkala")</f>
        <v>Makhachkala</v>
      </c>
      <c r="B21695" s="11" t="s">
        <v>22709</v>
      </c>
      <c r="C21695" s="11" t="s">
        <v>22070</v>
      </c>
      <c r="D21695" s="11" t="s">
        <v>22208</v>
      </c>
      <c r="E21695" s="10">
        <v>532096</v>
      </c>
      <c r="F21695" s="4" t="str">
        <f>IF(B21695=B21694,"",B21695)</f>
        <v/>
      </c>
    </row>
    <row r="21696" spans="1:6" ht="15.75" customHeight="1">
      <c r="A21696" s="15" t="s">
        <v>23684</v>
      </c>
      <c r="B21696" s="15" t="s">
        <v>23684</v>
      </c>
      <c r="C21696" s="15" t="s">
        <v>23676</v>
      </c>
      <c r="D21696" s="15" t="s">
        <v>20426</v>
      </c>
      <c r="E21696" s="2">
        <v>2406407</v>
      </c>
      <c r="F21696" s="4" t="str">
        <f>IF(B21696=B21695,"",B21696)</f>
        <v>Makeni</v>
      </c>
    </row>
    <row r="21697" spans="1:6" ht="15.75" customHeight="1">
      <c r="A21697" s="8" t="str">
        <f ca="1">IFERROR(__xludf.DUMMYFUNCTION("GOOGLETRANSLATE(B41276,""en"",""pt"")"),"Makeni")</f>
        <v>Makeni</v>
      </c>
      <c r="B21697" s="9" t="s">
        <v>23684</v>
      </c>
      <c r="C21697" s="9" t="s">
        <v>23676</v>
      </c>
      <c r="D21697" s="9" t="s">
        <v>20426</v>
      </c>
      <c r="E21697" s="10">
        <v>2406407</v>
      </c>
      <c r="F21697" s="4" t="str">
        <f>IF(B21697=B21696,"",B21697)</f>
        <v/>
      </c>
    </row>
    <row r="21698" spans="1:6" ht="15.75" customHeight="1">
      <c r="A21698" s="16" t="s">
        <v>20855</v>
      </c>
      <c r="B21698" s="15" t="s">
        <v>20856</v>
      </c>
      <c r="C21698" s="16" t="s">
        <v>20598</v>
      </c>
      <c r="D21698" s="16" t="s">
        <v>20723</v>
      </c>
      <c r="E21698" s="2">
        <v>1703417</v>
      </c>
      <c r="F21698" s="4" t="str">
        <f>IF(B21698=B21697,"",B21698)</f>
        <v>Makati City</v>
      </c>
    </row>
    <row r="21699" spans="1:6" ht="15.75" customHeight="1">
      <c r="A21699" s="8" t="str">
        <f ca="1">IFERROR(__xludf.DUMMYFUNCTION("GOOGLETRANSLATE(B38644,""en"",""pt"")"),"Cidade de Makati")</f>
        <v>Cidade de Makati</v>
      </c>
      <c r="B21699" s="9" t="s">
        <v>20856</v>
      </c>
      <c r="C21699" s="9" t="s">
        <v>20598</v>
      </c>
      <c r="D21699" s="9" t="s">
        <v>20723</v>
      </c>
      <c r="E21699" s="10">
        <v>1703417</v>
      </c>
      <c r="F21699" s="4" t="str">
        <f>IF(B21699=B21698,"",B21699)</f>
        <v/>
      </c>
    </row>
    <row r="21700" spans="1:6" ht="15.75" customHeight="1">
      <c r="A21700" s="15" t="s">
        <v>14021</v>
      </c>
      <c r="B21700" s="15" t="s">
        <v>14021</v>
      </c>
      <c r="C21700" s="15" t="s">
        <v>13800</v>
      </c>
      <c r="D21700" s="15" t="s">
        <v>13918</v>
      </c>
      <c r="E21700" s="2">
        <v>1622786</v>
      </c>
      <c r="F21700" s="4" t="str">
        <f>IF(B21700=B21699,"",B21700)</f>
        <v>Makassar</v>
      </c>
    </row>
    <row r="21701" spans="1:6" ht="15.75" customHeight="1">
      <c r="A21701" s="8" t="str">
        <f ca="1">IFERROR(__xludf.DUMMYFUNCTION("GOOGLETRANSLATE(B31398,""en"",""pt"")"),"Makassar")</f>
        <v>Makassar</v>
      </c>
      <c r="B21701" s="9" t="s">
        <v>14021</v>
      </c>
      <c r="C21701" s="9" t="s">
        <v>13800</v>
      </c>
      <c r="D21701" s="9" t="s">
        <v>13918</v>
      </c>
      <c r="E21701" s="10">
        <v>1622786</v>
      </c>
      <c r="F21701" s="4" t="str">
        <f>IF(B21701=B21700,"",B21701)</f>
        <v/>
      </c>
    </row>
    <row r="21702" spans="1:6" ht="15.75" customHeight="1">
      <c r="A21702" s="16" t="s">
        <v>3830</v>
      </c>
      <c r="B21702" s="15" t="s">
        <v>3830</v>
      </c>
      <c r="C21702" s="16" t="s">
        <v>3825</v>
      </c>
      <c r="D21702" s="16" t="s">
        <v>3830</v>
      </c>
      <c r="E21702" s="2">
        <v>422232</v>
      </c>
      <c r="F21702" s="4" t="str">
        <f>IF(B21702=B21701,"",B21702)</f>
        <v>Makamba</v>
      </c>
    </row>
    <row r="21703" spans="1:6" ht="15.75" customHeight="1">
      <c r="A21703" s="8" t="str">
        <f ca="1">IFERROR(__xludf.DUMMYFUNCTION("GOOGLETRANSLATE(B24070,""en"",""pt"")"),"Makamba")</f>
        <v>Makamba</v>
      </c>
      <c r="B21703" s="11" t="s">
        <v>3830</v>
      </c>
      <c r="C21703" s="11" t="s">
        <v>3825</v>
      </c>
      <c r="D21703" s="11" t="s">
        <v>3830</v>
      </c>
      <c r="E21703" s="10">
        <v>422232</v>
      </c>
      <c r="F21703" s="4" t="str">
        <f>IF(B21703=B21702,"",B21703)</f>
        <v/>
      </c>
    </row>
    <row r="21704" spans="1:6" ht="15.75" customHeight="1">
      <c r="A21704" s="16" t="s">
        <v>29190</v>
      </c>
      <c r="B21704" s="15" t="s">
        <v>29191</v>
      </c>
      <c r="C21704" s="16" t="s">
        <v>27788</v>
      </c>
      <c r="D21704" s="16" t="s">
        <v>27789</v>
      </c>
      <c r="E21704" s="2">
        <v>5850554</v>
      </c>
      <c r="F21704" s="4" t="str">
        <f>IF(B21704=B21703,"",B21704)</f>
        <v>Makakilo City</v>
      </c>
    </row>
    <row r="21705" spans="1:6" ht="15.75" customHeight="1">
      <c r="A21705" s="8" t="str">
        <f ca="1">IFERROR(__xludf.DUMMYFUNCTION("GOOGLETRANSLATE(B45404,""en"",""pt"")"),"Cidade de Makakilo")</f>
        <v>Cidade de Makakilo</v>
      </c>
      <c r="B21705" s="11" t="s">
        <v>29191</v>
      </c>
      <c r="C21705" s="11" t="s">
        <v>27788</v>
      </c>
      <c r="D21705" s="11" t="s">
        <v>27789</v>
      </c>
      <c r="E21705" s="10">
        <v>5850554</v>
      </c>
      <c r="F21705" s="4" t="str">
        <f>IF(B21705=B21704,"",B21705)</f>
        <v/>
      </c>
    </row>
    <row r="21706" spans="1:6" ht="15.75" customHeight="1">
      <c r="A21706" s="15" t="s">
        <v>29189</v>
      </c>
      <c r="B21706" s="15" t="s">
        <v>29189</v>
      </c>
      <c r="C21706" s="15" t="s">
        <v>27788</v>
      </c>
      <c r="D21706" s="15" t="s">
        <v>27789</v>
      </c>
      <c r="E21706" s="2">
        <v>7262761</v>
      </c>
      <c r="F21706" s="4" t="str">
        <f>IF(B21706=B21705,"",B21706)</f>
        <v>Makakilo</v>
      </c>
    </row>
    <row r="21707" spans="1:6" ht="15.75" customHeight="1">
      <c r="A21707" s="8" t="str">
        <f ca="1">IFERROR(__xludf.DUMMYFUNCTION("GOOGLETRANSLATE(B45454,""en"",""pt"")"),"Makakilo")</f>
        <v>Makakilo</v>
      </c>
      <c r="B21707" s="11" t="s">
        <v>29189</v>
      </c>
      <c r="C21707" s="11" t="s">
        <v>27788</v>
      </c>
      <c r="D21707" s="11" t="s">
        <v>27789</v>
      </c>
      <c r="E21707" s="10">
        <v>7262761</v>
      </c>
      <c r="F21707" s="4" t="str">
        <f>IF(B21707=B21706,"",B21707)</f>
        <v/>
      </c>
    </row>
    <row r="21708" spans="1:6" ht="15.75" customHeight="1">
      <c r="A21708" s="15" t="s">
        <v>16192</v>
      </c>
      <c r="B21708" s="15" t="s">
        <v>16192</v>
      </c>
      <c r="C21708" s="15" t="s">
        <v>15704</v>
      </c>
      <c r="D21708" s="15" t="s">
        <v>15724</v>
      </c>
      <c r="E21708" s="2">
        <v>2112019</v>
      </c>
      <c r="F21708" s="4" t="str">
        <f>IF(B21708=B21707,"",B21708)</f>
        <v>Makabe</v>
      </c>
    </row>
    <row r="21709" spans="1:6" ht="15.75" customHeight="1">
      <c r="A21709" s="8" t="str">
        <f ca="1">IFERROR(__xludf.DUMMYFUNCTION("GOOGLETRANSLATE(B35772,""en"",""pt"")"),"Makabe")</f>
        <v>Makabe</v>
      </c>
      <c r="B21709" s="11" t="s">
        <v>16192</v>
      </c>
      <c r="C21709" s="11" t="s">
        <v>15704</v>
      </c>
      <c r="D21709" s="11" t="s">
        <v>15724</v>
      </c>
      <c r="E21709" s="10">
        <v>2112019</v>
      </c>
      <c r="F21709" s="4" t="str">
        <f>IF(B21709=B21708,"",B21709)</f>
        <v/>
      </c>
    </row>
    <row r="21710" spans="1:6" ht="15.75" customHeight="1">
      <c r="A21710" s="15" t="s">
        <v>10097</v>
      </c>
      <c r="B21710" s="15" t="s">
        <v>10098</v>
      </c>
      <c r="C21710" s="15" t="s">
        <v>9955</v>
      </c>
      <c r="D21710" s="15" t="s">
        <v>10029</v>
      </c>
      <c r="E21710" s="2">
        <v>717902</v>
      </c>
      <c r="F21710" s="4" t="str">
        <f>IF(B21710=B21709,"",B21710)</f>
        <v>MakÃ³</v>
      </c>
    </row>
    <row r="21711" spans="1:6" ht="15.75" customHeight="1">
      <c r="A21711" s="16" t="s">
        <v>16727</v>
      </c>
      <c r="B21711" s="15" t="s">
        <v>16728</v>
      </c>
      <c r="C21711" s="16" t="s">
        <v>16671</v>
      </c>
      <c r="D21711" s="16" t="s">
        <v>16675</v>
      </c>
      <c r="E21711" s="2">
        <v>1521230</v>
      </c>
      <c r="F21711" s="4" t="str">
        <f>IF(B21711=B21710,"",B21711)</f>
        <v>MakÄ«nsk</v>
      </c>
    </row>
    <row r="21712" spans="1:6" ht="15.75" customHeight="1">
      <c r="A21712" s="15" t="s">
        <v>17630</v>
      </c>
      <c r="B21712" s="15" t="s">
        <v>17630</v>
      </c>
      <c r="C21712" s="15" t="s">
        <v>17631</v>
      </c>
      <c r="D21712" s="15" t="s">
        <v>17632</v>
      </c>
      <c r="E21712" s="2">
        <v>2113779</v>
      </c>
      <c r="F21712" s="4" t="str">
        <f>IF(B21712=B21711,"",B21712)</f>
        <v>Majuro</v>
      </c>
    </row>
    <row r="21713" spans="1:6" ht="15.75" customHeight="1">
      <c r="A21713" s="8" t="str">
        <f ca="1">IFERROR(__xludf.DUMMYFUNCTION("GOOGLETRANSLATE(B36639,""en"",""pt"")"),"Majuro")</f>
        <v>Majuro</v>
      </c>
      <c r="B21713" s="11" t="s">
        <v>17630</v>
      </c>
      <c r="C21713" s="11" t="s">
        <v>17631</v>
      </c>
      <c r="D21713" s="11" t="s">
        <v>17632</v>
      </c>
      <c r="E21713" s="10">
        <v>2113779</v>
      </c>
      <c r="F21713" s="4" t="str">
        <f>IF(B21713=B21712,"",B21713)</f>
        <v/>
      </c>
    </row>
    <row r="21714" spans="1:6" ht="15.75" customHeight="1">
      <c r="A21714" s="15" t="s">
        <v>25174</v>
      </c>
      <c r="B21714" s="15" t="s">
        <v>25174</v>
      </c>
      <c r="C21714" s="15" t="s">
        <v>25077</v>
      </c>
      <c r="D21714" s="15" t="s">
        <v>25086</v>
      </c>
      <c r="E21714" s="2">
        <v>6619708</v>
      </c>
      <c r="F21714" s="4" t="str">
        <f>IF(B21714=B21713,"",B21714)</f>
        <v>Majorna</v>
      </c>
    </row>
    <row r="21715" spans="1:6" ht="15.75" customHeight="1">
      <c r="A21715" s="8" t="str">
        <f ca="1">IFERROR(__xludf.DUMMYFUNCTION("GOOGLETRANSLATE(B41208,""en"",""pt"")"),"Majorna")</f>
        <v>Majorna</v>
      </c>
      <c r="B21715" s="11" t="s">
        <v>25174</v>
      </c>
      <c r="C21715" s="11" t="s">
        <v>25077</v>
      </c>
      <c r="D21715" s="11" t="s">
        <v>35628</v>
      </c>
      <c r="E21715" s="10">
        <v>6619708</v>
      </c>
      <c r="F21715" s="4" t="str">
        <f>IF(B21715=B21714,"",B21715)</f>
        <v/>
      </c>
    </row>
    <row r="21716" spans="1:6" ht="15.75" customHeight="1">
      <c r="A21716" s="15" t="s">
        <v>4937</v>
      </c>
      <c r="B21716" s="15" t="s">
        <v>4937</v>
      </c>
      <c r="C21716" s="15" t="s">
        <v>4487</v>
      </c>
      <c r="D21716" s="15" t="s">
        <v>4607</v>
      </c>
      <c r="E21716" s="2">
        <v>1801401</v>
      </c>
      <c r="F21716" s="4" t="str">
        <f>IF(B21716=B21715,"",B21716)</f>
        <v>Majie</v>
      </c>
    </row>
    <row r="21717" spans="1:6" ht="15.75" customHeight="1">
      <c r="A21717" s="8" t="str">
        <f ca="1">IFERROR(__xludf.DUMMYFUNCTION("GOOGLETRANSLATE(B26360,""en"",""pt"")"),"Majie")</f>
        <v>Majie</v>
      </c>
      <c r="B21717" s="11" t="s">
        <v>4937</v>
      </c>
      <c r="C21717" s="11" t="s">
        <v>4487</v>
      </c>
      <c r="D21717" s="11" t="s">
        <v>4607</v>
      </c>
      <c r="E21717" s="10">
        <v>1801401</v>
      </c>
      <c r="F21717" s="4" t="str">
        <f>IF(B21717=B21716,"",B21717)</f>
        <v/>
      </c>
    </row>
    <row r="21718" spans="1:6" ht="15.75" customHeight="1">
      <c r="A21718" s="15" t="s">
        <v>14019</v>
      </c>
      <c r="B21718" s="15" t="s">
        <v>14019</v>
      </c>
      <c r="C21718" s="15" t="s">
        <v>13800</v>
      </c>
      <c r="D21718" s="15" t="s">
        <v>14020</v>
      </c>
      <c r="E21718" s="2">
        <v>1636806</v>
      </c>
      <c r="F21718" s="4" t="str">
        <f>IF(B21718=B21717,"",B21718)</f>
        <v>Majene</v>
      </c>
    </row>
    <row r="21719" spans="1:6" ht="15.75" customHeight="1">
      <c r="A21719" s="8" t="str">
        <f ca="1">IFERROR(__xludf.DUMMYFUNCTION("GOOGLETRANSLATE(B31553,""en"",""pt"")"),"Majene")</f>
        <v>Majene</v>
      </c>
      <c r="B21719" s="11" t="s">
        <v>14019</v>
      </c>
      <c r="C21719" s="11" t="s">
        <v>13800</v>
      </c>
      <c r="D21719" s="11" t="s">
        <v>14020</v>
      </c>
      <c r="E21719" s="10">
        <v>1636806</v>
      </c>
      <c r="F21719" s="4" t="str">
        <f>IF(B21719=B21718,"",B21719)</f>
        <v/>
      </c>
    </row>
    <row r="21720" spans="1:6" ht="15.75" customHeight="1">
      <c r="A21720" s="16" t="s">
        <v>14018</v>
      </c>
      <c r="B21720" s="15" t="s">
        <v>14018</v>
      </c>
      <c r="C21720" s="16" t="s">
        <v>13800</v>
      </c>
      <c r="D21720" s="16" t="s">
        <v>13803</v>
      </c>
      <c r="E21720" s="2">
        <v>1636808</v>
      </c>
      <c r="F21720" s="4" t="str">
        <f>IF(B21720=B21719,"",B21720)</f>
        <v>Majenang</v>
      </c>
    </row>
    <row r="21721" spans="1:6" ht="15.75" customHeight="1">
      <c r="A21721" s="8" t="str">
        <f ca="1">IFERROR(__xludf.DUMMYFUNCTION("GOOGLETRANSLATE(B31554,""en"",""pt"")"),"Majenang")</f>
        <v>Majenang</v>
      </c>
      <c r="B21721" s="11" t="s">
        <v>14018</v>
      </c>
      <c r="C21721" s="11" t="s">
        <v>13800</v>
      </c>
      <c r="D21721" s="11" t="s">
        <v>13803</v>
      </c>
      <c r="E21721" s="10">
        <v>1636808</v>
      </c>
      <c r="F21721" s="4" t="str">
        <f>IF(B21721=B21720,"",B21721)</f>
        <v/>
      </c>
    </row>
    <row r="21722" spans="1:6" ht="15.75" customHeight="1">
      <c r="A21722" s="8" t="str">
        <f ca="1">IFERROR(__xludf.DUMMYFUNCTION("GOOGLETRANSLATE(B32817,""en"",""pt"")"),"Mājalgaon")</f>
        <v>Mājalgaon</v>
      </c>
      <c r="B21722" s="9" t="s">
        <v>33404</v>
      </c>
      <c r="C21722" s="9" t="s">
        <v>10178</v>
      </c>
      <c r="D21722" s="9" t="s">
        <v>10214</v>
      </c>
      <c r="E21722" s="10">
        <v>1263684</v>
      </c>
      <c r="F21722" s="4" t="str">
        <f>IF(B21722=B21721,"",B21722)</f>
        <v>Mājalgaon</v>
      </c>
    </row>
    <row r="21723" spans="1:6" ht="15.75" customHeight="1">
      <c r="A21723" s="16" t="s">
        <v>14017</v>
      </c>
      <c r="B21723" s="15" t="s">
        <v>14017</v>
      </c>
      <c r="C21723" s="16" t="s">
        <v>13800</v>
      </c>
      <c r="D21723" s="16" t="s">
        <v>13811</v>
      </c>
      <c r="E21723" s="2">
        <v>1636816</v>
      </c>
      <c r="F21723" s="4" t="str">
        <f>IF(B21723=B21722,"",B21723)</f>
        <v>Majalengka</v>
      </c>
    </row>
    <row r="21724" spans="1:6" ht="15.75" customHeight="1">
      <c r="A21724" s="8" t="str">
        <f ca="1">IFERROR(__xludf.DUMMYFUNCTION("GOOGLETRANSLATE(B31555,""en"",""pt"")"),"Majalengka")</f>
        <v>Majalengka</v>
      </c>
      <c r="B21724" s="11" t="s">
        <v>14017</v>
      </c>
      <c r="C21724" s="11" t="s">
        <v>13800</v>
      </c>
      <c r="D21724" s="11" t="s">
        <v>13811</v>
      </c>
      <c r="E21724" s="10">
        <v>1636816</v>
      </c>
      <c r="F21724" s="4" t="str">
        <f>IF(B21724=B21723,"",B21724)</f>
        <v/>
      </c>
    </row>
    <row r="21725" spans="1:6" ht="15.75" customHeight="1">
      <c r="A21725" s="16" t="s">
        <v>24589</v>
      </c>
      <c r="B21725" s="15" t="s">
        <v>24589</v>
      </c>
      <c r="C21725" s="16" t="s">
        <v>24200</v>
      </c>
      <c r="D21725" s="16" t="s">
        <v>5513</v>
      </c>
      <c r="E21725" s="2">
        <v>3117667</v>
      </c>
      <c r="F21725" s="4" t="str">
        <f>IF(B21725=B21724,"",B21725)</f>
        <v>Majadahonda</v>
      </c>
    </row>
    <row r="21726" spans="1:6" ht="15.75" customHeight="1">
      <c r="A21726" s="8" t="str">
        <f ca="1">IFERROR(__xludf.DUMMYFUNCTION("GOOGLETRANSLATE(B29367,""en"",""pt"")"),"Majadahonda")</f>
        <v>Majadahonda</v>
      </c>
      <c r="B21726" s="11" t="s">
        <v>24589</v>
      </c>
      <c r="C21726" s="11" t="s">
        <v>24200</v>
      </c>
      <c r="D21726" s="11" t="s">
        <v>5513</v>
      </c>
      <c r="E21726" s="10">
        <v>3117667</v>
      </c>
      <c r="F21726" s="4" t="str">
        <f>IF(B21726=B21725,"",B21726)</f>
        <v/>
      </c>
    </row>
    <row r="21727" spans="1:6" ht="15.75" customHeight="1">
      <c r="A21727" s="15" t="s">
        <v>16190</v>
      </c>
      <c r="B21727" s="15" t="s">
        <v>16191</v>
      </c>
      <c r="C21727" s="15" t="s">
        <v>15704</v>
      </c>
      <c r="D21727" s="15" t="s">
        <v>15831</v>
      </c>
      <c r="E21727" s="2">
        <v>1857766</v>
      </c>
      <c r="F21727" s="4" t="str">
        <f>IF(B21727=B21726,"",B21727)</f>
        <v>Maizuru</v>
      </c>
    </row>
    <row r="21728" spans="1:6" ht="15.75" customHeight="1">
      <c r="A21728" s="8" t="str">
        <f ca="1">IFERROR(__xludf.DUMMYFUNCTION("GOOGLETRANSLATE(B35453,""en"",""pt"")"),"MAIZURU")</f>
        <v>MAIZURU</v>
      </c>
      <c r="B21728" s="11" t="s">
        <v>16191</v>
      </c>
      <c r="C21728" s="11" t="s">
        <v>15704</v>
      </c>
      <c r="D21728" s="11" t="s">
        <v>15831</v>
      </c>
      <c r="E21728" s="10">
        <v>1857766</v>
      </c>
      <c r="F21728" s="4" t="str">
        <f>IF(B21728=B21727,"",B21728)</f>
        <v/>
      </c>
    </row>
    <row r="21729" spans="1:6" ht="15.75" customHeight="1">
      <c r="A21729" s="15" t="s">
        <v>25046</v>
      </c>
      <c r="B21729" s="15" t="s">
        <v>25046</v>
      </c>
      <c r="C21729" s="15" t="s">
        <v>24987</v>
      </c>
      <c r="D21729" s="15" t="s">
        <v>24992</v>
      </c>
      <c r="E21729" s="2">
        <v>370838</v>
      </c>
      <c r="F21729" s="4" t="str">
        <f>IF(B21729=B21728,"",B21729)</f>
        <v>Maiurno</v>
      </c>
    </row>
    <row r="21730" spans="1:6" ht="15.75" customHeight="1">
      <c r="A21730" s="8" t="str">
        <f ca="1">IFERROR(__xludf.DUMMYFUNCTION("GOOGLETRANSLATE(B41082,""en"",""pt"")"),"Maiurno")</f>
        <v>Maiurno</v>
      </c>
      <c r="B21730" s="11" t="s">
        <v>25046</v>
      </c>
      <c r="C21730" s="11" t="s">
        <v>24987</v>
      </c>
      <c r="D21730" s="11" t="s">
        <v>35607</v>
      </c>
      <c r="E21730" s="10">
        <v>370838</v>
      </c>
      <c r="F21730" s="4" t="str">
        <f>IF(B21730=B21729,"",B21730)</f>
        <v/>
      </c>
    </row>
    <row r="21731" spans="1:6" ht="15.75" customHeight="1">
      <c r="A21731" s="15" t="s">
        <v>1019</v>
      </c>
      <c r="B21731" s="15" t="s">
        <v>1019</v>
      </c>
      <c r="C21731" s="15" t="s">
        <v>885</v>
      </c>
      <c r="D21731" s="15" t="s">
        <v>891</v>
      </c>
      <c r="E21731" s="2">
        <v>2159045</v>
      </c>
      <c r="F21731" s="4" t="str">
        <f>IF(B21731=B21730,"",B21731)</f>
        <v>Maitland</v>
      </c>
    </row>
    <row r="21732" spans="1:6" ht="15.75" customHeight="1">
      <c r="A21732" s="15" t="s">
        <v>1019</v>
      </c>
      <c r="B21732" s="15" t="s">
        <v>1019</v>
      </c>
      <c r="C21732" s="15" t="s">
        <v>27788</v>
      </c>
      <c r="D21732" s="15" t="s">
        <v>5468</v>
      </c>
      <c r="E21732" s="2">
        <v>4163220</v>
      </c>
      <c r="F21732" s="4" t="str">
        <f>IF(B21732=B21731,"",B21732)</f>
        <v/>
      </c>
    </row>
    <row r="21733" spans="1:6" ht="15.75" customHeight="1">
      <c r="A21733" s="8" t="str">
        <f ca="1">IFERROR(__xludf.DUMMYFUNCTION("GOOGLETRANSLATE(B23489,""en"",""pt"")"),"Maitland")</f>
        <v>Maitland</v>
      </c>
      <c r="B21733" s="9" t="s">
        <v>1019</v>
      </c>
      <c r="C21733" s="9" t="s">
        <v>885</v>
      </c>
      <c r="D21733" s="9" t="s">
        <v>891</v>
      </c>
      <c r="E21733" s="10">
        <v>2159045</v>
      </c>
      <c r="F21733" s="4" t="str">
        <f>IF(B21733=B21732,"",B21733)</f>
        <v/>
      </c>
    </row>
    <row r="21734" spans="1:6" ht="15.75" customHeight="1">
      <c r="A21734" s="8" t="str">
        <f ca="1">IFERROR(__xludf.DUMMYFUNCTION("GOOGLETRANSLATE(B42945,""en"",""pt"")"),"Maitland")</f>
        <v>Maitland</v>
      </c>
      <c r="B21734" s="11" t="s">
        <v>1019</v>
      </c>
      <c r="C21734" s="11" t="s">
        <v>27788</v>
      </c>
      <c r="D21734" s="11" t="s">
        <v>5468</v>
      </c>
      <c r="E21734" s="10">
        <v>4163220</v>
      </c>
      <c r="F21734" s="4" t="str">
        <f>IF(B21734=B21733,"",B21734)</f>
        <v/>
      </c>
    </row>
    <row r="21735" spans="1:6" ht="15.75" customHeight="1">
      <c r="A21735" s="16" t="s">
        <v>7524</v>
      </c>
      <c r="B21735" s="15" t="s">
        <v>7525</v>
      </c>
      <c r="C21735" s="16" t="s">
        <v>7052</v>
      </c>
      <c r="D21735" s="16" t="s">
        <v>7058</v>
      </c>
      <c r="E21735" s="2">
        <v>2996564</v>
      </c>
      <c r="F21735" s="4" t="str">
        <f>IF(B21735=B21734,"",B21735)</f>
        <v>Maisons-Laffitte</v>
      </c>
    </row>
    <row r="21736" spans="1:6" ht="15.75" customHeight="1">
      <c r="A21736" s="8" t="str">
        <f ca="1">IFERROR(__xludf.DUMMYFUNCTION("GOOGLETRANSLATE(B29946,""en"",""pt"")"),"Maisões-Laffitte")</f>
        <v>Maisões-Laffitte</v>
      </c>
      <c r="B21736" s="9" t="s">
        <v>7525</v>
      </c>
      <c r="C21736" s="9" t="s">
        <v>7052</v>
      </c>
      <c r="D21736" s="9" t="s">
        <v>32531</v>
      </c>
      <c r="E21736" s="10">
        <v>2996564</v>
      </c>
      <c r="F21736" s="4" t="str">
        <f>IF(B21736=B21735,"",B21736)</f>
        <v/>
      </c>
    </row>
    <row r="21737" spans="1:6" ht="15.75" customHeight="1">
      <c r="A21737" s="16" t="s">
        <v>7522</v>
      </c>
      <c r="B21737" s="15" t="s">
        <v>7523</v>
      </c>
      <c r="C21737" s="16" t="s">
        <v>7052</v>
      </c>
      <c r="D21737" s="16" t="s">
        <v>7058</v>
      </c>
      <c r="E21737" s="2">
        <v>2996568</v>
      </c>
      <c r="F21737" s="4" t="str">
        <f>IF(B21737=B21736,"",B21737)</f>
        <v>Maisons-Alfort</v>
      </c>
    </row>
    <row r="21738" spans="1:6" ht="15.75" customHeight="1">
      <c r="A21738" s="8" t="str">
        <f ca="1">IFERROR(__xludf.DUMMYFUNCTION("GOOGLETRANSLATE(B29947,""en"",""pt"")"),"Notasons-Alfort")</f>
        <v>Notasons-Alfort</v>
      </c>
      <c r="B21738" s="9" t="s">
        <v>7523</v>
      </c>
      <c r="C21738" s="9" t="s">
        <v>7052</v>
      </c>
      <c r="D21738" s="9" t="s">
        <v>32531</v>
      </c>
      <c r="E21738" s="10">
        <v>2996568</v>
      </c>
      <c r="F21738" s="4" t="str">
        <f>IF(B21738=B21737,"",B21738)</f>
        <v/>
      </c>
    </row>
    <row r="21739" spans="1:6" ht="15.75" customHeight="1">
      <c r="A21739" s="8" t="str">
        <f ca="1">IFERROR(__xludf.DUMMYFUNCTION("GOOGLETRANSLATE(B27152,""en"",""pt"")"),"Maisi")</f>
        <v>Maisi</v>
      </c>
      <c r="B21739" s="11" t="s">
        <v>31916</v>
      </c>
      <c r="C21739" s="11" t="s">
        <v>5764</v>
      </c>
      <c r="D21739" s="11" t="s">
        <v>5846</v>
      </c>
      <c r="E21739" s="10">
        <v>3548441</v>
      </c>
      <c r="F21739" s="4" t="str">
        <f>IF(B21739=B21738,"",B21739)</f>
        <v>Maisí</v>
      </c>
    </row>
    <row r="21740" spans="1:6" ht="15.75" customHeight="1">
      <c r="A21740" s="15" t="s">
        <v>5869</v>
      </c>
      <c r="B21740" s="15" t="s">
        <v>5870</v>
      </c>
      <c r="C21740" s="15" t="s">
        <v>5764</v>
      </c>
      <c r="D21740" s="15" t="s">
        <v>5782</v>
      </c>
      <c r="E21740" s="2">
        <v>3548441</v>
      </c>
      <c r="F21740" s="4" t="str">
        <f>IF(B21740=B21739,"",B21740)</f>
        <v>MaisÃ­</v>
      </c>
    </row>
    <row r="21741" spans="1:6" ht="15.75" customHeight="1">
      <c r="A21741" s="15" t="s">
        <v>12303</v>
      </c>
      <c r="B21741" s="15" t="s">
        <v>12303</v>
      </c>
      <c r="C21741" s="15" t="s">
        <v>10178</v>
      </c>
      <c r="D21741" s="15" t="s">
        <v>10317</v>
      </c>
      <c r="E21741" s="2">
        <v>1264282</v>
      </c>
      <c r="F21741" s="4" t="str">
        <f>IF(B21741=B21740,"",B21741)</f>
        <v>Mairwa</v>
      </c>
    </row>
    <row r="21742" spans="1:6" ht="15.75" customHeight="1">
      <c r="A21742" s="8" t="str">
        <f ca="1">IFERROR(__xludf.DUMMYFUNCTION("GOOGLETRANSLATE(B32865,""en"",""pt"")"),"Mairwa")</f>
        <v>Mairwa</v>
      </c>
      <c r="B21742" s="9" t="s">
        <v>12303</v>
      </c>
      <c r="C21742" s="9" t="s">
        <v>10178</v>
      </c>
      <c r="D21742" s="9" t="s">
        <v>10317</v>
      </c>
      <c r="E21742" s="10">
        <v>1264282</v>
      </c>
      <c r="F21742" s="4" t="str">
        <f>IF(B21742=B21741,"",B21742)</f>
        <v/>
      </c>
    </row>
    <row r="21743" spans="1:6" ht="15.75" customHeight="1">
      <c r="A21743" s="16" t="s">
        <v>2840</v>
      </c>
      <c r="B21743" s="15" t="s">
        <v>2841</v>
      </c>
      <c r="C21743" s="16" t="s">
        <v>1905</v>
      </c>
      <c r="D21743" s="16" t="s">
        <v>1914</v>
      </c>
      <c r="E21743" s="2">
        <v>3458131</v>
      </c>
      <c r="F21743" s="4" t="str">
        <f>IF(B21743=B21742,"",B21743)</f>
        <v>MairiporÃ£</v>
      </c>
    </row>
    <row r="21744" spans="1:6" ht="15.75" customHeight="1">
      <c r="A21744" s="8" t="str">
        <f ca="1">IFERROR(__xludf.DUMMYFUNCTION("GOOGLETRANSLATE(B24843,""en"",""pt"")"),"Mairiporã")</f>
        <v>Mairiporã</v>
      </c>
      <c r="B21744" s="9" t="s">
        <v>31601</v>
      </c>
      <c r="C21744" s="9" t="s">
        <v>1905</v>
      </c>
      <c r="D21744" s="9" t="s">
        <v>3354</v>
      </c>
      <c r="E21744" s="10">
        <v>3458131</v>
      </c>
      <c r="F21744" s="4" t="str">
        <f>IF(B21744=B21743,"",B21744)</f>
        <v>Mairiporã</v>
      </c>
    </row>
    <row r="21745" spans="1:6" ht="15.75" customHeight="1">
      <c r="A21745" s="16" t="s">
        <v>2839</v>
      </c>
      <c r="B21745" s="15" t="s">
        <v>2839</v>
      </c>
      <c r="C21745" s="16" t="s">
        <v>1905</v>
      </c>
      <c r="D21745" s="16" t="s">
        <v>1914</v>
      </c>
      <c r="E21745" s="2">
        <v>3458132</v>
      </c>
      <c r="F21745" s="4" t="str">
        <f>IF(B21745=B21744,"",B21745)</f>
        <v>Mairinque</v>
      </c>
    </row>
    <row r="21746" spans="1:6" ht="15.75" customHeight="1">
      <c r="A21746" s="8" t="str">
        <f ca="1">IFERROR(__xludf.DUMMYFUNCTION("GOOGLETRANSLATE(B24844,""en"",""pt"")"),"Mairinque")</f>
        <v>Mairinque</v>
      </c>
      <c r="B21746" s="11" t="s">
        <v>2839</v>
      </c>
      <c r="C21746" s="11" t="s">
        <v>1905</v>
      </c>
      <c r="D21746" s="11" t="s">
        <v>3354</v>
      </c>
      <c r="E21746" s="10">
        <v>3458132</v>
      </c>
      <c r="F21746" s="4" t="str">
        <f>IF(B21746=B21745,"",B21746)</f>
        <v/>
      </c>
    </row>
    <row r="21747" spans="1:6" ht="15.75" customHeight="1">
      <c r="A21747" s="16" t="s">
        <v>24588</v>
      </c>
      <c r="B21747" s="15" t="s">
        <v>24588</v>
      </c>
      <c r="C21747" s="16" t="s">
        <v>24200</v>
      </c>
      <c r="D21747" s="16" t="s">
        <v>24205</v>
      </c>
      <c r="E21747" s="2">
        <v>2514287</v>
      </c>
      <c r="F21747" s="4" t="str">
        <f>IF(B21747=B21746,"",B21747)</f>
        <v>Mairena del Aljarafe</v>
      </c>
    </row>
    <row r="21748" spans="1:6" ht="15.75" customHeight="1">
      <c r="A21748" s="8" t="str">
        <f ca="1">IFERROR(__xludf.DUMMYFUNCTION("GOOGLETRANSLATE(B29069,""en"",""pt"")"),"Mairena del Aljarafe")</f>
        <v>Mairena del Aljarafe</v>
      </c>
      <c r="B21748" s="11" t="s">
        <v>24588</v>
      </c>
      <c r="C21748" s="11" t="s">
        <v>24200</v>
      </c>
      <c r="D21748" s="11" t="s">
        <v>24205</v>
      </c>
      <c r="E21748" s="10">
        <v>2514287</v>
      </c>
      <c r="F21748" s="4" t="str">
        <f>IF(B21748=B21747,"",B21748)</f>
        <v/>
      </c>
    </row>
    <row r="21749" spans="1:6" ht="15.75" customHeight="1">
      <c r="A21749" s="16" t="s">
        <v>24587</v>
      </c>
      <c r="B21749" s="15" t="s">
        <v>24587</v>
      </c>
      <c r="C21749" s="16" t="s">
        <v>24200</v>
      </c>
      <c r="D21749" s="16" t="s">
        <v>24205</v>
      </c>
      <c r="E21749" s="2">
        <v>2514288</v>
      </c>
      <c r="F21749" s="4" t="str">
        <f>IF(B21749=B21748,"",B21749)</f>
        <v>Mairena del Alcor</v>
      </c>
    </row>
    <row r="21750" spans="1:6" ht="15.75" customHeight="1">
      <c r="A21750" s="8" t="str">
        <f ca="1">IFERROR(__xludf.DUMMYFUNCTION("GOOGLETRANSLATE(B29070,""en"",""pt"")"),"Mairena del Alcor")</f>
        <v>Mairena del Alcor</v>
      </c>
      <c r="B21750" s="11" t="s">
        <v>24587</v>
      </c>
      <c r="C21750" s="11" t="s">
        <v>24200</v>
      </c>
      <c r="D21750" s="11" t="s">
        <v>24205</v>
      </c>
      <c r="E21750" s="10">
        <v>2514288</v>
      </c>
      <c r="F21750" s="4" t="str">
        <f>IF(B21750=B21749,"",B21750)</f>
        <v/>
      </c>
    </row>
    <row r="21751" spans="1:6" ht="15.75" customHeight="1">
      <c r="A21751" s="8" t="str">
        <f ca="1">IFERROR(__xludf.DUMMYFUNCTION("GOOGLETRANSLATE(B45648,""en"",""pt"")"),"Maiquetía")</f>
        <v>Maiquetía</v>
      </c>
      <c r="B21751" s="9" t="s">
        <v>36092</v>
      </c>
      <c r="C21751" s="9" t="s">
        <v>5923</v>
      </c>
      <c r="D21751" s="9" t="s">
        <v>30660</v>
      </c>
      <c r="E21751" s="10">
        <v>3633341</v>
      </c>
      <c r="F21751" s="4" t="str">
        <f>IF(B21751=B21750,"",B21751)</f>
        <v>Maiquetía</v>
      </c>
    </row>
    <row r="21752" spans="1:6" ht="15.75" customHeight="1">
      <c r="A21752" s="16" t="s">
        <v>30724</v>
      </c>
      <c r="B21752" s="15" t="s">
        <v>30725</v>
      </c>
      <c r="C21752" s="16" t="s">
        <v>5923</v>
      </c>
      <c r="D21752" s="16" t="s">
        <v>30660</v>
      </c>
      <c r="E21752" s="2">
        <v>3633341</v>
      </c>
      <c r="F21752" s="4" t="str">
        <f>IF(B21752=B21751,"",B21752)</f>
        <v>MaiquetÃ­a</v>
      </c>
    </row>
    <row r="21753" spans="1:6" ht="15.75" customHeight="1">
      <c r="A21753" s="15" t="s">
        <v>8817</v>
      </c>
      <c r="B21753" s="15" t="s">
        <v>8817</v>
      </c>
      <c r="C21753" s="15" t="s">
        <v>8028</v>
      </c>
      <c r="D21753" s="15" t="s">
        <v>8065</v>
      </c>
      <c r="E21753" s="2">
        <v>2874225</v>
      </c>
      <c r="F21753" s="4" t="str">
        <f>IF(B21753=B21752,"",B21753)</f>
        <v>Mainz</v>
      </c>
    </row>
    <row r="21754" spans="1:6" ht="15.75" customHeight="1">
      <c r="A21754" s="8" t="str">
        <f ca="1">IFERROR(__xludf.DUMMYFUNCTION("GOOGLETRANSLATE(B27789,""en"",""pt"")"),"Mainz")</f>
        <v>Mainz</v>
      </c>
      <c r="B21754" s="11" t="s">
        <v>8817</v>
      </c>
      <c r="C21754" s="11" t="s">
        <v>8028</v>
      </c>
      <c r="D21754" s="11" t="s">
        <v>8065</v>
      </c>
      <c r="E21754" s="10">
        <v>2874225</v>
      </c>
      <c r="F21754" s="4" t="str">
        <f>IF(B21754=B21753,"",B21754)</f>
        <v/>
      </c>
    </row>
    <row r="21755" spans="1:6" ht="15.75" customHeight="1">
      <c r="A21755" s="15" t="s">
        <v>17373</v>
      </c>
      <c r="B21755" s="15" t="s">
        <v>17374</v>
      </c>
      <c r="C21755" s="15" t="s">
        <v>17292</v>
      </c>
      <c r="D21755" s="15" t="s">
        <v>17375</v>
      </c>
      <c r="E21755" s="2">
        <v>1061912</v>
      </c>
      <c r="F21755" s="4" t="str">
        <f>IF(B21755=B21754,"",B21755)</f>
        <v>Maintirano</v>
      </c>
    </row>
    <row r="21756" spans="1:6" ht="15.75" customHeight="1">
      <c r="A21756" s="8" t="str">
        <f ca="1">IFERROR(__xludf.DUMMYFUNCTION("GOOGLETRANSLATE(B36586,""en"",""pt"")"),"Manirano")</f>
        <v>Manirano</v>
      </c>
      <c r="B21756" s="11" t="s">
        <v>17374</v>
      </c>
      <c r="C21756" s="11" t="s">
        <v>17292</v>
      </c>
      <c r="D21756" s="11" t="s">
        <v>17375</v>
      </c>
      <c r="E21756" s="10">
        <v>1061912</v>
      </c>
      <c r="F21756" s="4" t="str">
        <f>IF(B21756=B21755,"",B21756)</f>
        <v/>
      </c>
    </row>
    <row r="21757" spans="1:6" ht="15.75" customHeight="1">
      <c r="A21757" s="15" t="s">
        <v>8815</v>
      </c>
      <c r="B21757" s="15" t="s">
        <v>8816</v>
      </c>
      <c r="C21757" s="15" t="s">
        <v>8028</v>
      </c>
      <c r="D21757" s="15" t="s">
        <v>8050</v>
      </c>
      <c r="E21757" s="2">
        <v>2874230</v>
      </c>
      <c r="F21757" s="4" t="str">
        <f>IF(B21757=B21756,"",B21757)</f>
        <v>Maintal</v>
      </c>
    </row>
    <row r="21758" spans="1:6" ht="15.75" customHeight="1">
      <c r="A21758" s="8" t="str">
        <f ca="1">IFERROR(__xludf.DUMMYFUNCTION("GOOGLETRANSLATE(B27790,""en"",""pt"")"),"MANAL")</f>
        <v>MANAL</v>
      </c>
      <c r="B21758" s="11" t="s">
        <v>8816</v>
      </c>
      <c r="C21758" s="11" t="s">
        <v>8028</v>
      </c>
      <c r="D21758" s="11" t="s">
        <v>8050</v>
      </c>
      <c r="E21758" s="10">
        <v>2874230</v>
      </c>
      <c r="F21758" s="4" t="str">
        <f>IF(B21758=B21757,"",B21758)</f>
        <v/>
      </c>
    </row>
    <row r="21759" spans="1:6" ht="15.75" customHeight="1">
      <c r="A21759" s="15" t="s">
        <v>12302</v>
      </c>
      <c r="B21759" s="15" t="s">
        <v>12302</v>
      </c>
      <c r="C21759" s="15" t="s">
        <v>10178</v>
      </c>
      <c r="D21759" s="15" t="s">
        <v>10193</v>
      </c>
      <c r="E21759" s="2">
        <v>1264292</v>
      </c>
      <c r="F21759" s="4" t="str">
        <f>IF(B21759=B21758,"",B21759)</f>
        <v>Mainpuri</v>
      </c>
    </row>
    <row r="21760" spans="1:6" ht="15.75" customHeight="1">
      <c r="A21760" s="8" t="str">
        <f ca="1">IFERROR(__xludf.DUMMYFUNCTION("GOOGLETRANSLATE(B32866,""en"",""pt"")"),"Mainpuri")</f>
        <v>Mainpuri</v>
      </c>
      <c r="B21760" s="9" t="s">
        <v>12302</v>
      </c>
      <c r="C21760" s="9" t="s">
        <v>10178</v>
      </c>
      <c r="D21760" s="9" t="s">
        <v>10193</v>
      </c>
      <c r="E21760" s="10">
        <v>1264292</v>
      </c>
      <c r="F21760" s="4" t="str">
        <f>IF(B21760=B21759,"",B21760)</f>
        <v/>
      </c>
    </row>
    <row r="21761" spans="1:6" ht="15.75" customHeight="1">
      <c r="A21761" s="8" t="str">
        <f ca="1">IFERROR(__xludf.DUMMYFUNCTION("GOOGLETRANSLATE(B32867,""en"",""pt"")"),"Maināguri")</f>
        <v>Maināguri</v>
      </c>
      <c r="B21761" s="11" t="s">
        <v>33427</v>
      </c>
      <c r="C21761" s="11" t="s">
        <v>10178</v>
      </c>
      <c r="D21761" s="11" t="s">
        <v>10201</v>
      </c>
      <c r="E21761" s="10">
        <v>1264301</v>
      </c>
      <c r="F21761" s="4" t="str">
        <f>IF(B21761=B21760,"",B21761)</f>
        <v>Maināguri</v>
      </c>
    </row>
    <row r="21762" spans="1:6" ht="15.75" customHeight="1">
      <c r="A21762" s="16" t="s">
        <v>12300</v>
      </c>
      <c r="B21762" s="15" t="s">
        <v>12301</v>
      </c>
      <c r="C21762" s="16" t="s">
        <v>10178</v>
      </c>
      <c r="D21762" s="16" t="s">
        <v>10201</v>
      </c>
      <c r="E21762" s="2">
        <v>1264301</v>
      </c>
      <c r="F21762" s="4" t="str">
        <f>IF(B21762=B21761,"",B21762)</f>
        <v>MainÄguri</v>
      </c>
    </row>
    <row r="21763" spans="1:6" ht="15.75" customHeight="1">
      <c r="A21763" s="15" t="s">
        <v>20085</v>
      </c>
      <c r="B21763" s="15" t="s">
        <v>20085</v>
      </c>
      <c r="C21763" s="15" t="s">
        <v>19808</v>
      </c>
      <c r="D21763" s="15" t="s">
        <v>10184</v>
      </c>
      <c r="E21763" s="2">
        <v>1171502</v>
      </c>
      <c r="F21763" s="4" t="str">
        <f>IF(B21763=B21762,"",B21763)</f>
        <v>Mailsi</v>
      </c>
    </row>
    <row r="21764" spans="1:6" ht="15.75" customHeight="1">
      <c r="A21764" s="8" t="str">
        <f ca="1">IFERROR(__xludf.DUMMYFUNCTION("GOOGLETRANSLATE(B39000,""en"",""pt"")"),"Mailsi")</f>
        <v>Mailsi</v>
      </c>
      <c r="B21764" s="9" t="s">
        <v>20085</v>
      </c>
      <c r="C21764" s="9" t="s">
        <v>19808</v>
      </c>
      <c r="D21764" s="9" t="s">
        <v>10184</v>
      </c>
      <c r="E21764" s="10">
        <v>1171502</v>
      </c>
      <c r="F21764" s="4" t="str">
        <f>IF(B21764=B21763,"",B21764)</f>
        <v/>
      </c>
    </row>
    <row r="21765" spans="1:6" ht="15.75" customHeight="1">
      <c r="A21765" s="15" t="s">
        <v>12299</v>
      </c>
      <c r="B21765" s="15" t="s">
        <v>12299</v>
      </c>
      <c r="C21765" s="15" t="s">
        <v>10178</v>
      </c>
      <c r="D21765" s="15" t="s">
        <v>10219</v>
      </c>
      <c r="E21765" s="2">
        <v>1264317</v>
      </c>
      <c r="F21765" s="4" t="str">
        <f>IF(B21765=B21764,"",B21765)</f>
        <v>Maihar</v>
      </c>
    </row>
    <row r="21766" spans="1:6" ht="15.75" customHeight="1">
      <c r="A21766" s="8" t="str">
        <f ca="1">IFERROR(__xludf.DUMMYFUNCTION("GOOGLETRANSLATE(B32868,""en"",""pt"")"),"Maihar")</f>
        <v>Maihar</v>
      </c>
      <c r="B21766" s="9" t="s">
        <v>12299</v>
      </c>
      <c r="C21766" s="9" t="s">
        <v>10178</v>
      </c>
      <c r="D21766" s="9" t="s">
        <v>10219</v>
      </c>
      <c r="E21766" s="10">
        <v>1264317</v>
      </c>
      <c r="F21766" s="4" t="str">
        <f>IF(B21766=B21765,"",B21766)</f>
        <v/>
      </c>
    </row>
    <row r="21767" spans="1:6" ht="15.75" customHeight="1">
      <c r="A21767" s="16" t="s">
        <v>19497</v>
      </c>
      <c r="B21767" s="15" t="s">
        <v>19497</v>
      </c>
      <c r="C21767" s="16" t="s">
        <v>19294</v>
      </c>
      <c r="D21767" s="16" t="s">
        <v>19338</v>
      </c>
      <c r="E21767" s="2">
        <v>2331447</v>
      </c>
      <c r="F21767" s="4" t="str">
        <f>IF(B21767=B21766,"",B21767)</f>
        <v>Maiduguri</v>
      </c>
    </row>
    <row r="21768" spans="1:6" ht="15.75" customHeight="1">
      <c r="A21768" s="8" t="str">
        <f ca="1">IFERROR(__xludf.DUMMYFUNCTION("GOOGLETRANSLATE(B37685,""en"",""pt"")"),"Maiduguri")</f>
        <v>Maiduguri</v>
      </c>
      <c r="B21768" s="9" t="s">
        <v>19497</v>
      </c>
      <c r="C21768" s="9" t="s">
        <v>19294</v>
      </c>
      <c r="D21768" s="9" t="s">
        <v>19338</v>
      </c>
      <c r="E21768" s="10">
        <v>2331447</v>
      </c>
      <c r="F21768" s="4" t="str">
        <f>IF(B21768=B21767,"",B21768)</f>
        <v/>
      </c>
    </row>
    <row r="21769" spans="1:6" ht="15.75" customHeight="1">
      <c r="A21769" s="16" t="s">
        <v>27519</v>
      </c>
      <c r="B21769" s="15" t="s">
        <v>27519</v>
      </c>
      <c r="C21769" s="16" t="s">
        <v>27234</v>
      </c>
      <c r="D21769" s="16" t="s">
        <v>27241</v>
      </c>
      <c r="E21769" s="2">
        <v>2643179</v>
      </c>
      <c r="F21769" s="4" t="str">
        <f>IF(B21769=B21768,"",B21769)</f>
        <v>Maidstone</v>
      </c>
    </row>
    <row r="21770" spans="1:6" ht="15.75" customHeight="1">
      <c r="A21770" s="8" t="str">
        <f ca="1">IFERROR(__xludf.DUMMYFUNCTION("GOOGLETRANSLATE(B30555,""en"",""pt"")"),"Maidstone")</f>
        <v>Maidstone</v>
      </c>
      <c r="B21770" s="11" t="s">
        <v>27519</v>
      </c>
      <c r="C21770" s="11" t="s">
        <v>27234</v>
      </c>
      <c r="D21770" s="11" t="s">
        <v>27241</v>
      </c>
      <c r="E21770" s="10">
        <v>2643179</v>
      </c>
      <c r="F21770" s="4" t="str">
        <f>IF(B21770=B21769,"",B21770)</f>
        <v/>
      </c>
    </row>
    <row r="21771" spans="1:6" ht="15.75" customHeight="1">
      <c r="A21771" s="16" t="s">
        <v>27517</v>
      </c>
      <c r="B21771" s="15" t="s">
        <v>27518</v>
      </c>
      <c r="C21771" s="16" t="s">
        <v>27234</v>
      </c>
      <c r="D21771" s="16" t="s">
        <v>27241</v>
      </c>
      <c r="E21771" s="2">
        <v>2643186</v>
      </c>
      <c r="F21771" s="4" t="str">
        <f>IF(B21771=B21770,"",B21771)</f>
        <v>Maidenhead</v>
      </c>
    </row>
    <row r="21772" spans="1:6" ht="15.75" customHeight="1">
      <c r="A21772" s="8" t="str">
        <f ca="1">IFERROR(__xludf.DUMMYFUNCTION("GOOGLETRANSLATE(B30556,""en"",""pt"")"),"Virgindade")</f>
        <v>Virgindade</v>
      </c>
      <c r="B21772" s="9" t="s">
        <v>27518</v>
      </c>
      <c r="C21772" s="9" t="s">
        <v>27234</v>
      </c>
      <c r="D21772" s="9" t="s">
        <v>27241</v>
      </c>
      <c r="E21772" s="10">
        <v>2643186</v>
      </c>
      <c r="F21772" s="4" t="str">
        <f>IF(B21772=B21771,"",B21772)</f>
        <v/>
      </c>
    </row>
    <row r="21773" spans="1:6" ht="15.75" customHeight="1">
      <c r="A21773" s="15" t="s">
        <v>5516</v>
      </c>
      <c r="B21773" s="15" t="s">
        <v>5516</v>
      </c>
      <c r="C21773" s="15" t="s">
        <v>5348</v>
      </c>
      <c r="D21773" s="15" t="s">
        <v>5383</v>
      </c>
      <c r="E21773" s="2">
        <v>3675657</v>
      </c>
      <c r="F21773" s="4" t="str">
        <f>IF(B21773=B21772,"",B21773)</f>
        <v>Maicao</v>
      </c>
    </row>
    <row r="21774" spans="1:6" ht="15.75" customHeight="1">
      <c r="A21774" s="8" t="str">
        <f ca="1">IFERROR(__xludf.DUMMYFUNCTION("GOOGLETRANSLATE(B26948,""en"",""pt"")"),"Maicao")</f>
        <v>Maicao</v>
      </c>
      <c r="B21774" s="9" t="s">
        <v>5516</v>
      </c>
      <c r="C21774" s="9" t="s">
        <v>5348</v>
      </c>
      <c r="D21774" s="9" t="s">
        <v>5383</v>
      </c>
      <c r="E21774" s="10">
        <v>3675657</v>
      </c>
      <c r="F21774" s="4" t="str">
        <f>IF(B21774=B21773,"",B21774)</f>
        <v/>
      </c>
    </row>
    <row r="21775" spans="1:6" ht="15.75" customHeight="1">
      <c r="A21775" s="15" t="s">
        <v>21681</v>
      </c>
      <c r="B21775" s="15" t="s">
        <v>21681</v>
      </c>
      <c r="C21775" s="15" t="s">
        <v>21606</v>
      </c>
      <c r="D21775" s="15" t="s">
        <v>21609</v>
      </c>
      <c r="E21775" s="2">
        <v>2738014</v>
      </c>
      <c r="F21775" s="4" t="str">
        <f>IF(B21775=B21774,"",B21775)</f>
        <v>Maia</v>
      </c>
    </row>
    <row r="21776" spans="1:6" ht="15.75" customHeight="1">
      <c r="A21776" s="8" t="str">
        <f ca="1">IFERROR(__xludf.DUMMYFUNCTION("GOOGLETRANSLATE(B39652,""en"",""pt"")"),"Maia")</f>
        <v>Maia</v>
      </c>
      <c r="B21776" s="9" t="s">
        <v>21681</v>
      </c>
      <c r="C21776" s="9" t="s">
        <v>21606</v>
      </c>
      <c r="D21776" s="9" t="s">
        <v>21609</v>
      </c>
      <c r="E21776" s="10">
        <v>2738014</v>
      </c>
      <c r="F21776" s="4" t="str">
        <f>IF(B21776=B21775,"",B21776)</f>
        <v/>
      </c>
    </row>
    <row r="21777" spans="1:6" ht="15.75" customHeight="1">
      <c r="A21777" s="15" t="s">
        <v>12298</v>
      </c>
      <c r="B21777" s="15" t="s">
        <v>12298</v>
      </c>
      <c r="C21777" s="15" t="s">
        <v>10178</v>
      </c>
      <c r="D21777" s="15" t="s">
        <v>10179</v>
      </c>
      <c r="E21777" s="2">
        <v>1264323</v>
      </c>
      <c r="F21777" s="4" t="str">
        <f>IF(B21777=B21776,"",B21777)</f>
        <v>Mahwah</v>
      </c>
    </row>
    <row r="21778" spans="1:6" ht="15.75" customHeight="1">
      <c r="A21778" s="15" t="s">
        <v>12298</v>
      </c>
      <c r="B21778" s="15" t="s">
        <v>12298</v>
      </c>
      <c r="C21778" s="15" t="s">
        <v>27788</v>
      </c>
      <c r="D21778" s="15" t="s">
        <v>27905</v>
      </c>
      <c r="E21778" s="2">
        <v>5100776</v>
      </c>
      <c r="F21778" s="4" t="str">
        <f>IF(B21778=B21777,"",B21778)</f>
        <v/>
      </c>
    </row>
    <row r="21779" spans="1:6" ht="15.75" customHeight="1">
      <c r="A21779" s="8" t="str">
        <f ca="1">IFERROR(__xludf.DUMMYFUNCTION("GOOGLETRANSLATE(B32869,""en"",""pt"")"),"Mahwah")</f>
        <v>Mahwah</v>
      </c>
      <c r="B21779" s="9" t="s">
        <v>12298</v>
      </c>
      <c r="C21779" s="9" t="s">
        <v>10178</v>
      </c>
      <c r="D21779" s="9" t="s">
        <v>10179</v>
      </c>
      <c r="E21779" s="10">
        <v>1264323</v>
      </c>
      <c r="F21779" s="4" t="str">
        <f>IF(B21779=B21778,"",B21779)</f>
        <v/>
      </c>
    </row>
    <row r="21780" spans="1:6" ht="15.75" customHeight="1">
      <c r="A21780" s="8" t="str">
        <f ca="1">IFERROR(__xludf.DUMMYFUNCTION("GOOGLETRANSLATE(B44280,""en"",""pt"")"),"Mahwah")</f>
        <v>Mahwah</v>
      </c>
      <c r="B21780" s="11" t="s">
        <v>12298</v>
      </c>
      <c r="C21780" s="11" t="s">
        <v>27788</v>
      </c>
      <c r="D21780" s="11" t="s">
        <v>27905</v>
      </c>
      <c r="E21780" s="10">
        <v>5100776</v>
      </c>
      <c r="F21780" s="4" t="str">
        <f>IF(B21780=B21779,"",B21780)</f>
        <v/>
      </c>
    </row>
    <row r="21781" spans="1:6" ht="15.75" customHeight="1">
      <c r="A21781" s="15" t="s">
        <v>12297</v>
      </c>
      <c r="B21781" s="15" t="s">
        <v>12297</v>
      </c>
      <c r="C21781" s="15" t="s">
        <v>10178</v>
      </c>
      <c r="D21781" s="15" t="s">
        <v>10209</v>
      </c>
      <c r="E21781" s="2">
        <v>1264344</v>
      </c>
      <c r="F21781" s="4" t="str">
        <f>IF(B21781=B21780,"",B21781)</f>
        <v>Mahudha</v>
      </c>
    </row>
    <row r="21782" spans="1:6" ht="15.75" customHeight="1">
      <c r="A21782" s="8" t="str">
        <f ca="1">IFERROR(__xludf.DUMMYFUNCTION("GOOGLETRANSLATE(B32870,""en"",""pt"")"),"Mahudha")</f>
        <v>Mahudha</v>
      </c>
      <c r="B21782" s="11" t="s">
        <v>12297</v>
      </c>
      <c r="C21782" s="11" t="s">
        <v>10178</v>
      </c>
      <c r="D21782" s="11" t="s">
        <v>10209</v>
      </c>
      <c r="E21782" s="10">
        <v>1264344</v>
      </c>
      <c r="F21782" s="4" t="str">
        <f>IF(B21782=B21781,"",B21782)</f>
        <v/>
      </c>
    </row>
    <row r="21783" spans="1:6" ht="15.75" customHeight="1">
      <c r="A21783" s="8" t="str">
        <f ca="1">IFERROR(__xludf.DUMMYFUNCTION("GOOGLETRANSLATE(B34414,""en"",""pt"")"),"Mahrīz")</f>
        <v>Mahrīz</v>
      </c>
      <c r="B21783" s="9" t="s">
        <v>34175</v>
      </c>
      <c r="C21783" s="9" t="s">
        <v>14240</v>
      </c>
      <c r="D21783" s="9" t="s">
        <v>14291</v>
      </c>
      <c r="E21783" s="10">
        <v>124274</v>
      </c>
      <c r="F21783" s="4" t="str">
        <f>IF(B21783=B21782,"",B21783)</f>
        <v>Mahrīz</v>
      </c>
    </row>
    <row r="21784" spans="1:6" ht="15.75" customHeight="1">
      <c r="A21784" s="15" t="s">
        <v>14453</v>
      </c>
      <c r="B21784" s="15" t="s">
        <v>14454</v>
      </c>
      <c r="C21784" s="15" t="s">
        <v>14240</v>
      </c>
      <c r="D21784" s="15" t="s">
        <v>14291</v>
      </c>
      <c r="E21784" s="2">
        <v>124274</v>
      </c>
      <c r="F21784" s="4" t="str">
        <f>IF(B21784=B21783,"",B21784)</f>
        <v>MahrÄ«z</v>
      </c>
    </row>
    <row r="21785" spans="1:6" ht="15.75" customHeight="1">
      <c r="A21785" s="15" t="s">
        <v>12296</v>
      </c>
      <c r="B21785" s="15" t="s">
        <v>12296</v>
      </c>
      <c r="C21785" s="15" t="s">
        <v>10178</v>
      </c>
      <c r="D21785" s="15" t="s">
        <v>10193</v>
      </c>
      <c r="E21785" s="2">
        <v>1264356</v>
      </c>
      <c r="F21785" s="4" t="str">
        <f>IF(B21785=B21784,"",B21785)</f>
        <v>Maholi</v>
      </c>
    </row>
    <row r="21786" spans="1:6" ht="15.75" customHeight="1">
      <c r="A21786" s="8" t="str">
        <f ca="1">IFERROR(__xludf.DUMMYFUNCTION("GOOGLETRANSLATE(B32871,""en"",""pt"")"),"Maholi")</f>
        <v>Maholi</v>
      </c>
      <c r="B21786" s="11" t="s">
        <v>12296</v>
      </c>
      <c r="C21786" s="11" t="s">
        <v>10178</v>
      </c>
      <c r="D21786" s="11" t="s">
        <v>10193</v>
      </c>
      <c r="E21786" s="10">
        <v>1264356</v>
      </c>
      <c r="F21786" s="4" t="str">
        <f>IF(B21786=B21785,"",B21786)</f>
        <v/>
      </c>
    </row>
    <row r="21787" spans="1:6" ht="15.75" customHeight="1">
      <c r="A21787" s="15" t="s">
        <v>12294</v>
      </c>
      <c r="B21787" s="15" t="s">
        <v>12295</v>
      </c>
      <c r="C21787" s="15" t="s">
        <v>10178</v>
      </c>
      <c r="D21787" s="15" t="s">
        <v>10193</v>
      </c>
      <c r="E21787" s="2">
        <v>1264359</v>
      </c>
      <c r="F21787" s="4" t="str">
        <f>IF(B21787=B21786,"",B21787)</f>
        <v>MahobÄ</v>
      </c>
    </row>
    <row r="21788" spans="1:6" ht="15.75" customHeight="1">
      <c r="A21788" s="8" t="str">
        <f ca="1">IFERROR(__xludf.DUMMYFUNCTION("GOOGLETRANSLATE(B32872,""en"",""pt"")"),"Mahobā")</f>
        <v>Mahobā</v>
      </c>
      <c r="B21788" s="11" t="s">
        <v>33428</v>
      </c>
      <c r="C21788" s="11" t="s">
        <v>10178</v>
      </c>
      <c r="D21788" s="11" t="s">
        <v>10193</v>
      </c>
      <c r="E21788" s="10">
        <v>1264359</v>
      </c>
      <c r="F21788" s="4" t="str">
        <f>IF(B21788=B21787,"",B21788)</f>
        <v>Mahobā</v>
      </c>
    </row>
    <row r="21789" spans="1:6" ht="15.75" customHeight="1">
      <c r="A21789" s="16" t="s">
        <v>26621</v>
      </c>
      <c r="B21789" s="15" t="s">
        <v>26621</v>
      </c>
      <c r="C21789" s="16" t="s">
        <v>26201</v>
      </c>
      <c r="D21789" s="16" t="s">
        <v>26308</v>
      </c>
      <c r="E21789" s="2">
        <v>304964</v>
      </c>
      <c r="F21789" s="4" t="str">
        <f>IF(B21789=B21788,"",B21789)</f>
        <v>Mahmutlar</v>
      </c>
    </row>
    <row r="21790" spans="1:6" ht="15.75" customHeight="1">
      <c r="A21790" s="8" t="str">
        <f ca="1">IFERROR(__xludf.DUMMYFUNCTION("GOOGLETRANSLATE(B41944,""en"",""pt"")"),"Mahmutlar")</f>
        <v>Mahmutlar</v>
      </c>
      <c r="B21790" s="11" t="s">
        <v>26621</v>
      </c>
      <c r="C21790" s="11" t="s">
        <v>26201</v>
      </c>
      <c r="D21790" s="11" t="s">
        <v>26308</v>
      </c>
      <c r="E21790" s="10">
        <v>304964</v>
      </c>
      <c r="F21790" s="4" t="str">
        <f>IF(B21790=B21789,"",B21790)</f>
        <v/>
      </c>
    </row>
    <row r="21791" spans="1:6" ht="15.75" customHeight="1">
      <c r="A21791" s="8" t="str">
        <f ca="1">IFERROR(__xludf.DUMMYFUNCTION("GOOGLETRANSLATE(B32873,""en"",""pt"")"),"Mahmudābād")</f>
        <v>Mahmudābād</v>
      </c>
      <c r="B21791" s="9" t="s">
        <v>33429</v>
      </c>
      <c r="C21791" s="9" t="s">
        <v>10178</v>
      </c>
      <c r="D21791" s="9" t="s">
        <v>10193</v>
      </c>
      <c r="E21791" s="10">
        <v>1264363</v>
      </c>
      <c r="F21791" s="4" t="str">
        <f>IF(B21791=B21790,"",B21791)</f>
        <v>Mahmudābād</v>
      </c>
    </row>
    <row r="21792" spans="1:6" ht="15.75" customHeight="1">
      <c r="A21792" s="16" t="s">
        <v>12292</v>
      </c>
      <c r="B21792" s="15" t="s">
        <v>12293</v>
      </c>
      <c r="C21792" s="16" t="s">
        <v>10178</v>
      </c>
      <c r="D21792" s="16" t="s">
        <v>10193</v>
      </c>
      <c r="E21792" s="2">
        <v>1264363</v>
      </c>
      <c r="F21792" s="4" t="str">
        <f>IF(B21792=B21791,"",B21792)</f>
        <v>MahmudÄbÄd</v>
      </c>
    </row>
    <row r="21793" spans="1:6" ht="15.75" customHeight="1">
      <c r="A21793" s="16" t="s">
        <v>8814</v>
      </c>
      <c r="B21793" s="15" t="s">
        <v>8814</v>
      </c>
      <c r="C21793" s="16" t="s">
        <v>8028</v>
      </c>
      <c r="D21793" s="16" t="s">
        <v>8036</v>
      </c>
      <c r="E21793" s="2">
        <v>2874455</v>
      </c>
      <c r="F21793" s="4" t="str">
        <f>IF(B21793=B21792,"",B21793)</f>
        <v>Mahlsdorf</v>
      </c>
    </row>
    <row r="21794" spans="1:6" ht="15.75" customHeight="1">
      <c r="A21794" s="8" t="str">
        <f ca="1">IFERROR(__xludf.DUMMYFUNCTION("GOOGLETRANSLATE(B27791,""en"",""pt"")"),"Mahlsdorf")</f>
        <v>Mahlsdorf</v>
      </c>
      <c r="B21794" s="9" t="s">
        <v>8814</v>
      </c>
      <c r="C21794" s="9" t="s">
        <v>8028</v>
      </c>
      <c r="D21794" s="9" t="s">
        <v>8036</v>
      </c>
      <c r="E21794" s="10">
        <v>2874455</v>
      </c>
      <c r="F21794" s="4" t="str">
        <f>IF(B21794=B21793,"",B21794)</f>
        <v/>
      </c>
    </row>
    <row r="21795" spans="1:6" ht="15.75" customHeight="1">
      <c r="A21795" s="8" t="str">
        <f ca="1">IFERROR(__xludf.DUMMYFUNCTION("GOOGLETRANSLATE(B32874,""en"",""pt"")"),"Mahīshādal")</f>
        <v>Mahīshādal</v>
      </c>
      <c r="B21795" s="9" t="s">
        <v>33430</v>
      </c>
      <c r="C21795" s="9" t="s">
        <v>10178</v>
      </c>
      <c r="D21795" s="9" t="s">
        <v>10201</v>
      </c>
      <c r="E21795" s="10">
        <v>1264368</v>
      </c>
      <c r="F21795" s="4" t="str">
        <f>IF(B21795=B21794,"",B21795)</f>
        <v>Mahīshādal</v>
      </c>
    </row>
    <row r="21796" spans="1:6" ht="15.75" customHeight="1">
      <c r="A21796" s="16" t="s">
        <v>1480</v>
      </c>
      <c r="B21796" s="15" t="s">
        <v>1480</v>
      </c>
      <c r="C21796" s="16" t="s">
        <v>1453</v>
      </c>
      <c r="D21796" s="16" t="s">
        <v>1454</v>
      </c>
      <c r="E21796" s="2">
        <v>625665</v>
      </c>
      <c r="F21796" s="4" t="str">
        <f>IF(B21796=B21795,"",B21796)</f>
        <v>Mahilyow</v>
      </c>
    </row>
    <row r="21797" spans="1:6" ht="15.75" customHeight="1">
      <c r="A21797" s="8" t="str">
        <f ca="1">IFERROR(__xludf.DUMMYFUNCTION("GOOGLETRANSLATE(B25396,""en"",""pt"")"),"Mahilyow")</f>
        <v>Mahilyow</v>
      </c>
      <c r="B21797" s="9" t="s">
        <v>1480</v>
      </c>
      <c r="C21797" s="9" t="s">
        <v>1453</v>
      </c>
      <c r="D21797" s="9" t="s">
        <v>1454</v>
      </c>
      <c r="E21797" s="10">
        <v>625665</v>
      </c>
      <c r="F21797" s="4" t="str">
        <f>IF(B21797=B21796,"",B21797)</f>
        <v/>
      </c>
    </row>
    <row r="21798" spans="1:6" ht="15.75" customHeight="1">
      <c r="A21798" s="15" t="s">
        <v>12291</v>
      </c>
      <c r="B21798" s="15" t="s">
        <v>12291</v>
      </c>
      <c r="C21798" s="15" t="s">
        <v>10178</v>
      </c>
      <c r="D21798" s="15" t="s">
        <v>10201</v>
      </c>
      <c r="E21798" s="2">
        <v>1348775</v>
      </c>
      <c r="F21798" s="4" t="str">
        <f>IF(B21798=B21797,"",B21798)</f>
        <v>Mahiari</v>
      </c>
    </row>
    <row r="21799" spans="1:6" ht="15.75" customHeight="1">
      <c r="A21799" s="8" t="str">
        <f ca="1">IFERROR(__xludf.DUMMYFUNCTION("GOOGLETRANSLATE(B34189,""en"",""pt"")"),"Mahiari")</f>
        <v>Mahiari</v>
      </c>
      <c r="B21799" s="9" t="s">
        <v>12291</v>
      </c>
      <c r="C21799" s="9" t="s">
        <v>10178</v>
      </c>
      <c r="D21799" s="9" t="s">
        <v>10201</v>
      </c>
      <c r="E21799" s="10">
        <v>1348775</v>
      </c>
      <c r="F21799" s="4" t="str">
        <f>IF(B21799=B21798,"",B21799)</f>
        <v/>
      </c>
    </row>
    <row r="21800" spans="1:6" ht="15.75" customHeight="1">
      <c r="A21800" s="8" t="str">
        <f ca="1">IFERROR(__xludf.DUMMYFUNCTION("GOOGLETRANSLATE(B32875,""en"",""pt"")"),"Mahgawān")</f>
        <v>Mahgawān</v>
      </c>
      <c r="B21800" s="11" t="s">
        <v>33431</v>
      </c>
      <c r="C21800" s="11" t="s">
        <v>10178</v>
      </c>
      <c r="D21800" s="11" t="s">
        <v>10219</v>
      </c>
      <c r="E21800" s="10">
        <v>1264383</v>
      </c>
      <c r="F21800" s="4" t="str">
        <f>IF(B21800=B21799,"",B21800)</f>
        <v>Mahgawān</v>
      </c>
    </row>
    <row r="21801" spans="1:6" ht="15.75" customHeight="1">
      <c r="A21801" s="16" t="s">
        <v>12289</v>
      </c>
      <c r="B21801" s="15" t="s">
        <v>12290</v>
      </c>
      <c r="C21801" s="16" t="s">
        <v>10178</v>
      </c>
      <c r="D21801" s="16" t="s">
        <v>10219</v>
      </c>
      <c r="E21801" s="2">
        <v>1264383</v>
      </c>
      <c r="F21801" s="4" t="str">
        <f>IF(B21801=B21800,"",B21801)</f>
        <v>MahgawÄn</v>
      </c>
    </row>
    <row r="21802" spans="1:6" ht="15.75" customHeight="1">
      <c r="A21802" s="16" t="s">
        <v>12288</v>
      </c>
      <c r="B21802" s="15" t="s">
        <v>12288</v>
      </c>
      <c r="C21802" s="16" t="s">
        <v>10178</v>
      </c>
      <c r="D21802" s="16" t="s">
        <v>10219</v>
      </c>
      <c r="E21802" s="2">
        <v>1264385</v>
      </c>
      <c r="F21802" s="4" t="str">
        <f>IF(B21802=B21801,"",B21802)</f>
        <v>Maheshwar</v>
      </c>
    </row>
    <row r="21803" spans="1:6" ht="15.75" customHeight="1">
      <c r="A21803" s="8" t="str">
        <f ca="1">IFERROR(__xludf.DUMMYFUNCTION("GOOGLETRANSLATE(B32876,""en"",""pt"")"),"Maheshwar")</f>
        <v>Maheshwar</v>
      </c>
      <c r="B21803" s="11" t="s">
        <v>12288</v>
      </c>
      <c r="C21803" s="11" t="s">
        <v>10178</v>
      </c>
      <c r="D21803" s="11" t="s">
        <v>10219</v>
      </c>
      <c r="E21803" s="10">
        <v>1264385</v>
      </c>
      <c r="F21803" s="4" t="str">
        <f>IF(B21803=B21802,"",B21803)</f>
        <v/>
      </c>
    </row>
    <row r="21804" spans="1:6" ht="15.75" customHeight="1">
      <c r="A21804" s="16" t="s">
        <v>18845</v>
      </c>
      <c r="B21804" s="15" t="s">
        <v>18845</v>
      </c>
      <c r="C21804" s="16" t="s">
        <v>18800</v>
      </c>
      <c r="D21804" s="16" t="s">
        <v>18820</v>
      </c>
      <c r="E21804" s="2">
        <v>1283095</v>
      </c>
      <c r="F21804" s="4" t="str">
        <f>IF(B21804=B21803,"",B21804)</f>
        <v>Mahendranagar</v>
      </c>
    </row>
    <row r="21805" spans="1:6" ht="15.75" customHeight="1">
      <c r="A21805" s="8" t="str">
        <f ca="1">IFERROR(__xludf.DUMMYFUNCTION("GOOGLETRANSLATE(B38186,""en"",""pt"")"),"Mahendranagar")</f>
        <v>Mahendranagar</v>
      </c>
      <c r="B21805" s="9" t="s">
        <v>18845</v>
      </c>
      <c r="C21805" s="9" t="s">
        <v>18800</v>
      </c>
      <c r="D21805" s="9" t="s">
        <v>18820</v>
      </c>
      <c r="E21805" s="10">
        <v>1283095</v>
      </c>
      <c r="F21805" s="4" t="str">
        <f>IF(B21805=B21804,"",B21805)</f>
        <v/>
      </c>
    </row>
    <row r="21806" spans="1:6" ht="15.75" customHeight="1">
      <c r="A21806" s="16" t="s">
        <v>12287</v>
      </c>
      <c r="B21806" s="15" t="s">
        <v>12287</v>
      </c>
      <c r="C21806" s="16" t="s">
        <v>10178</v>
      </c>
      <c r="D21806" s="16" t="s">
        <v>10224</v>
      </c>
      <c r="E21806" s="2">
        <v>1264395</v>
      </c>
      <c r="F21806" s="4" t="str">
        <f>IF(B21806=B21805,"",B21806)</f>
        <v>Mahendragarh</v>
      </c>
    </row>
    <row r="21807" spans="1:6" ht="15.75" customHeight="1">
      <c r="A21807" s="8" t="str">
        <f ca="1">IFERROR(__xludf.DUMMYFUNCTION("GOOGLETRANSLATE(B32877,""en"",""pt"")"),"Mahendragarh")</f>
        <v>Mahendragarh</v>
      </c>
      <c r="B21807" s="9" t="s">
        <v>12287</v>
      </c>
      <c r="C21807" s="9" t="s">
        <v>10178</v>
      </c>
      <c r="D21807" s="9" t="s">
        <v>10224</v>
      </c>
      <c r="E21807" s="10">
        <v>1264395</v>
      </c>
      <c r="F21807" s="4" t="str">
        <f>IF(B21807=B21806,"",B21807)</f>
        <v/>
      </c>
    </row>
    <row r="21808" spans="1:6" ht="15.75" customHeight="1">
      <c r="A21808" s="8" t="str">
        <f ca="1">IFERROR(__xludf.DUMMYFUNCTION("GOOGLETRANSLATE(B32878,""en"",""pt"")"),"Mahemdāvād")</f>
        <v>Mahemdāvād</v>
      </c>
      <c r="B21808" s="11" t="s">
        <v>33432</v>
      </c>
      <c r="C21808" s="11" t="s">
        <v>10178</v>
      </c>
      <c r="D21808" s="11" t="s">
        <v>10209</v>
      </c>
      <c r="E21808" s="10">
        <v>1264398</v>
      </c>
      <c r="F21808" s="4" t="str">
        <f>IF(B21808=B21807,"",B21808)</f>
        <v>Mahemdāvād</v>
      </c>
    </row>
    <row r="21809" spans="1:6" ht="15.75" customHeight="1">
      <c r="A21809" s="16" t="s">
        <v>12285</v>
      </c>
      <c r="B21809" s="15" t="s">
        <v>12286</v>
      </c>
      <c r="C21809" s="16" t="s">
        <v>10178</v>
      </c>
      <c r="D21809" s="16" t="s">
        <v>10209</v>
      </c>
      <c r="E21809" s="2">
        <v>1264398</v>
      </c>
      <c r="F21809" s="4" t="str">
        <f>IF(B21809=B21808,"",B21809)</f>
        <v>MahemdÄvÄd</v>
      </c>
    </row>
    <row r="21810" spans="1:6" ht="15.75" customHeight="1">
      <c r="A21810" s="8" t="str">
        <f ca="1">IFERROR(__xludf.DUMMYFUNCTION("GOOGLETRANSLATE(B36817,""en"",""pt"")"),"Mahébourg")</f>
        <v>Mahébourg</v>
      </c>
      <c r="B21810" s="11" t="s">
        <v>34652</v>
      </c>
      <c r="C21810" s="11" t="s">
        <v>17678</v>
      </c>
      <c r="D21810" s="11" t="s">
        <v>17691</v>
      </c>
      <c r="E21810" s="10">
        <v>934322</v>
      </c>
      <c r="F21810" s="4" t="str">
        <f>IF(B21810=B21809,"",B21810)</f>
        <v>Mahébourg</v>
      </c>
    </row>
    <row r="21811" spans="1:6" ht="15.75" customHeight="1">
      <c r="A21811" s="8" t="str">
        <f ca="1">IFERROR(__xludf.DUMMYFUNCTION("GOOGLETRANSLATE(B32879,""en"",""pt"")"),"Mahē")</f>
        <v>Mahē</v>
      </c>
      <c r="B21811" s="9" t="s">
        <v>33433</v>
      </c>
      <c r="C21811" s="9" t="s">
        <v>10178</v>
      </c>
      <c r="D21811" s="9" t="s">
        <v>10246</v>
      </c>
      <c r="E21811" s="10">
        <v>1264403</v>
      </c>
      <c r="F21811" s="4" t="str">
        <f>IF(B21811=B21810,"",B21811)</f>
        <v>Mahē</v>
      </c>
    </row>
    <row r="21812" spans="1:6" ht="15.75" customHeight="1">
      <c r="A21812" s="16" t="s">
        <v>14452</v>
      </c>
      <c r="B21812" s="15" t="s">
        <v>14452</v>
      </c>
      <c r="C21812" s="16" t="s">
        <v>14240</v>
      </c>
      <c r="D21812" s="16" t="s">
        <v>14269</v>
      </c>
      <c r="E21812" s="2">
        <v>7100777</v>
      </c>
      <c r="F21812" s="4" t="str">
        <f>IF(B21812=B21811,"",B21812)</f>
        <v>Mahdishahr</v>
      </c>
    </row>
    <row r="21813" spans="1:6" ht="15.75" customHeight="1">
      <c r="A21813" s="8" t="str">
        <f ca="1">IFERROR(__xludf.DUMMYFUNCTION("GOOGLETRANSLATE(B34533,""en"",""pt"")"),"Mahdishahr")</f>
        <v>Mahdishahr</v>
      </c>
      <c r="B21813" s="9" t="s">
        <v>14452</v>
      </c>
      <c r="C21813" s="9" t="s">
        <v>14240</v>
      </c>
      <c r="D21813" s="9" t="s">
        <v>34124</v>
      </c>
      <c r="E21813" s="10">
        <v>7100777</v>
      </c>
      <c r="F21813" s="4" t="str">
        <f>IF(B21813=B21812,"",B21813)</f>
        <v/>
      </c>
    </row>
    <row r="21814" spans="1:6" ht="15.75" customHeight="1">
      <c r="A21814" s="15" t="s">
        <v>26158</v>
      </c>
      <c r="B21814" s="15" t="s">
        <v>26158</v>
      </c>
      <c r="C21814" s="15" t="s">
        <v>26090</v>
      </c>
      <c r="D21814" s="15" t="s">
        <v>26113</v>
      </c>
      <c r="E21814" s="2">
        <v>2473572</v>
      </c>
      <c r="F21814" s="4" t="str">
        <f>IF(B21814=B21813,"",B21814)</f>
        <v>Mahdia</v>
      </c>
    </row>
    <row r="21815" spans="1:6" ht="15.75" customHeight="1">
      <c r="A21815" s="8" t="str">
        <f ca="1">IFERROR(__xludf.DUMMYFUNCTION("GOOGLETRANSLATE(B41853,""en"",""pt"")"),"Mahdia")</f>
        <v>Mahdia</v>
      </c>
      <c r="B21815" s="9" t="s">
        <v>26158</v>
      </c>
      <c r="C21815" s="9" t="s">
        <v>26090</v>
      </c>
      <c r="D21815" s="9" t="s">
        <v>35803</v>
      </c>
      <c r="E21815" s="10">
        <v>2473572</v>
      </c>
      <c r="F21815" s="4" t="str">
        <f>IF(B21815=B21814,"",B21815)</f>
        <v/>
      </c>
    </row>
    <row r="21816" spans="1:6" ht="15.75" customHeight="1">
      <c r="A21816" s="8" t="str">
        <f ca="1">IFERROR(__xludf.DUMMYFUNCTION("GOOGLETRANSLATE(B32880,""en"",""pt"")"),"Mahbūbnagar")</f>
        <v>Mahbūbnagar</v>
      </c>
      <c r="B21816" s="11" t="s">
        <v>33434</v>
      </c>
      <c r="C21816" s="11" t="s">
        <v>10178</v>
      </c>
      <c r="D21816" s="11" t="s">
        <v>10187</v>
      </c>
      <c r="E21816" s="10">
        <v>1264407</v>
      </c>
      <c r="F21816" s="4" t="str">
        <f>IF(B21816=B21815,"",B21816)</f>
        <v>Mahbūbnagar</v>
      </c>
    </row>
    <row r="21817" spans="1:6" ht="15.75" customHeight="1">
      <c r="A21817" s="8" t="str">
        <f ca="1">IFERROR(__xludf.DUMMYFUNCTION("GOOGLETRANSLATE(B32881,""en"",""pt"")"),"Mahbūbābād")</f>
        <v>Mahbūbābād</v>
      </c>
      <c r="B21817" s="9" t="s">
        <v>33435</v>
      </c>
      <c r="C21817" s="9" t="s">
        <v>10178</v>
      </c>
      <c r="D21817" s="9" t="s">
        <v>10187</v>
      </c>
      <c r="E21817" s="10">
        <v>1264409</v>
      </c>
      <c r="F21817" s="4" t="str">
        <f>IF(B21817=B21816,"",B21817)</f>
        <v>Mahbūbābād</v>
      </c>
    </row>
    <row r="21818" spans="1:6" ht="15.75" customHeight="1">
      <c r="A21818" s="16" t="s">
        <v>12283</v>
      </c>
      <c r="B21818" s="15" t="s">
        <v>12284</v>
      </c>
      <c r="C21818" s="16" t="s">
        <v>10178</v>
      </c>
      <c r="D21818" s="16" t="s">
        <v>10187</v>
      </c>
      <c r="E21818" s="2">
        <v>1264407</v>
      </c>
      <c r="F21818" s="4" t="str">
        <f>IF(B21818=B21817,"",B21818)</f>
        <v>MahbÅ«bnagar</v>
      </c>
    </row>
    <row r="21819" spans="1:6" ht="15.75" customHeight="1">
      <c r="A21819" s="16" t="s">
        <v>12281</v>
      </c>
      <c r="B21819" s="15" t="s">
        <v>12282</v>
      </c>
      <c r="C21819" s="16" t="s">
        <v>10178</v>
      </c>
      <c r="D21819" s="16" t="s">
        <v>10187</v>
      </c>
      <c r="E21819" s="2">
        <v>1264409</v>
      </c>
      <c r="F21819" s="4" t="str">
        <f>IF(B21819=B21818,"",B21819)</f>
        <v>MahbÅ«bÄbÄd</v>
      </c>
    </row>
    <row r="21820" spans="1:6" ht="15.75" customHeight="1">
      <c r="A21820" s="15" t="s">
        <v>20854</v>
      </c>
      <c r="B21820" s="15" t="s">
        <v>20854</v>
      </c>
      <c r="C21820" s="15" t="s">
        <v>20598</v>
      </c>
      <c r="D21820" s="15" t="s">
        <v>20752</v>
      </c>
      <c r="E21820" s="2">
        <v>1703598</v>
      </c>
      <c r="F21820" s="4" t="str">
        <f>IF(B21820=B21819,"",B21820)</f>
        <v>Mahayag</v>
      </c>
    </row>
    <row r="21821" spans="1:6" ht="15.75" customHeight="1">
      <c r="A21821" s="8" t="str">
        <f ca="1">IFERROR(__xludf.DUMMYFUNCTION("GOOGLETRANSLATE(B38645,""en"",""pt"")"),"Mahayag")</f>
        <v>Mahayag</v>
      </c>
      <c r="B21821" s="11" t="s">
        <v>20854</v>
      </c>
      <c r="C21821" s="11" t="s">
        <v>20598</v>
      </c>
      <c r="D21821" s="11" t="s">
        <v>20752</v>
      </c>
      <c r="E21821" s="10">
        <v>1703598</v>
      </c>
      <c r="F21821" s="4" t="str">
        <f>IF(B21821=B21820,"",B21821)</f>
        <v/>
      </c>
    </row>
    <row r="21822" spans="1:6" ht="15.75" customHeight="1">
      <c r="A21822" s="8" t="str">
        <f ca="1">IFERROR(__xludf.DUMMYFUNCTION("GOOGLETRANSLATE(B32882,""en"",""pt"")"),"Mahāsamund")</f>
        <v>Mahāsamund</v>
      </c>
      <c r="B21822" s="11" t="s">
        <v>33436</v>
      </c>
      <c r="C21822" s="11" t="s">
        <v>10178</v>
      </c>
      <c r="D21822" s="11" t="s">
        <v>10272</v>
      </c>
      <c r="E21822" s="10">
        <v>1264414</v>
      </c>
      <c r="F21822" s="4" t="str">
        <f>IF(B21822=B21821,"",B21822)</f>
        <v>Mahāsamund</v>
      </c>
    </row>
    <row r="21823" spans="1:6" ht="15.75" customHeight="1">
      <c r="A21823" s="8" t="str">
        <f ca="1">IFERROR(__xludf.DUMMYFUNCTION("GOOGLETRANSLATE(B32884,""en"",""pt"")"),"Mahārājgani")</f>
        <v>Mahārājgani</v>
      </c>
      <c r="B21823" s="9" t="s">
        <v>33438</v>
      </c>
      <c r="C21823" s="9" t="s">
        <v>10178</v>
      </c>
      <c r="D21823" s="9" t="s">
        <v>10317</v>
      </c>
      <c r="E21823" s="10">
        <v>1264436</v>
      </c>
      <c r="F21823" s="4" t="str">
        <f>IF(B21823=B21822,"",B21823)</f>
        <v>Mahārājgani</v>
      </c>
    </row>
    <row r="21824" spans="1:6" ht="15.75" customHeight="1">
      <c r="A21824" s="8" t="str">
        <f ca="1">IFERROR(__xludf.DUMMYFUNCTION("GOOGLETRANSLATE(B32883,""en"",""pt"")"),"Mahārāganj")</f>
        <v>Mahārāganj</v>
      </c>
      <c r="B21824" s="9" t="s">
        <v>33437</v>
      </c>
      <c r="C21824" s="9" t="s">
        <v>10178</v>
      </c>
      <c r="D21824" s="9" t="s">
        <v>10193</v>
      </c>
      <c r="E21824" s="10">
        <v>1264433</v>
      </c>
      <c r="F21824" s="4" t="str">
        <f>IF(B21824=B21823,"",B21824)</f>
        <v>Mahārāganj</v>
      </c>
    </row>
    <row r="21825" spans="1:6" ht="15.75" customHeight="1">
      <c r="A21825" s="16" t="s">
        <v>24961</v>
      </c>
      <c r="B21825" s="15" t="s">
        <v>24961</v>
      </c>
      <c r="C21825" s="16" t="s">
        <v>24924</v>
      </c>
      <c r="D21825" s="16" t="s">
        <v>6944</v>
      </c>
      <c r="E21825" s="2">
        <v>1236854</v>
      </c>
      <c r="F21825" s="4" t="str">
        <f>IF(B21825=B21824,"",B21825)</f>
        <v>Maharagama</v>
      </c>
    </row>
    <row r="21826" spans="1:6" ht="15.75" customHeight="1">
      <c r="A21826" s="8" t="str">
        <f ca="1">IFERROR(__xludf.DUMMYFUNCTION("GOOGLETRANSLATE(B36308,""en"",""pt"")"),"Maharagama")</f>
        <v>Maharagama</v>
      </c>
      <c r="B21826" s="9" t="s">
        <v>24961</v>
      </c>
      <c r="C21826" s="9" t="s">
        <v>24924</v>
      </c>
      <c r="D21826" s="9" t="s">
        <v>6944</v>
      </c>
      <c r="E21826" s="10">
        <v>1236854</v>
      </c>
      <c r="F21826" s="4" t="str">
        <f>IF(B21826=B21825,"",B21826)</f>
        <v/>
      </c>
    </row>
    <row r="21827" spans="1:6" ht="15.75" customHeight="1">
      <c r="A21827" s="16" t="s">
        <v>17372</v>
      </c>
      <c r="B21827" s="15" t="s">
        <v>17372</v>
      </c>
      <c r="C21827" s="16" t="s">
        <v>17292</v>
      </c>
      <c r="D21827" s="16" t="s">
        <v>17323</v>
      </c>
      <c r="E21827" s="2">
        <v>1062553</v>
      </c>
      <c r="F21827" s="4" t="str">
        <f>IF(B21827=B21826,"",B21827)</f>
        <v>Mahanoro</v>
      </c>
    </row>
    <row r="21828" spans="1:6" ht="15.75" customHeight="1">
      <c r="A21828" s="8" t="str">
        <f ca="1">IFERROR(__xludf.DUMMYFUNCTION("GOOGLETRANSLATE(B36587,""en"",""pt"")"),"Mahanoro")</f>
        <v>Mahanoro</v>
      </c>
      <c r="B21828" s="9" t="s">
        <v>17372</v>
      </c>
      <c r="C21828" s="9" t="s">
        <v>17292</v>
      </c>
      <c r="D21828" s="9" t="s">
        <v>17323</v>
      </c>
      <c r="E21828" s="10">
        <v>1062553</v>
      </c>
      <c r="F21828" s="4" t="str">
        <f>IF(B21828=B21827,"",B21828)</f>
        <v/>
      </c>
    </row>
    <row r="21829" spans="1:6" ht="15.75" customHeight="1">
      <c r="A21829" s="15" t="s">
        <v>25667</v>
      </c>
      <c r="B21829" s="15" t="s">
        <v>25667</v>
      </c>
      <c r="C21829" s="15" t="s">
        <v>25560</v>
      </c>
      <c r="D21829" s="15" t="s">
        <v>25636</v>
      </c>
      <c r="E21829" s="2">
        <v>155285</v>
      </c>
      <c r="F21829" s="4" t="str">
        <f>IF(B21829=B21828,"",B21829)</f>
        <v>Mahanje</v>
      </c>
    </row>
    <row r="21830" spans="1:6" ht="15.75" customHeight="1">
      <c r="A21830" s="8" t="str">
        <f ca="1">IFERROR(__xludf.DUMMYFUNCTION("GOOGLETRANSLATE(B42366,""en"",""pt"")"),"Mahanje")</f>
        <v>Mahanje</v>
      </c>
      <c r="B21830" s="9" t="s">
        <v>25667</v>
      </c>
      <c r="C21830" s="9" t="s">
        <v>25560</v>
      </c>
      <c r="D21830" s="9" t="s">
        <v>25636</v>
      </c>
      <c r="E21830" s="10">
        <v>155285</v>
      </c>
      <c r="F21830" s="4" t="str">
        <f>IF(B21830=B21829,"",B21830)</f>
        <v/>
      </c>
    </row>
    <row r="21831" spans="1:6" ht="15.75" customHeight="1">
      <c r="A21831" s="15" t="s">
        <v>12280</v>
      </c>
      <c r="B21831" s="15" t="s">
        <v>12280</v>
      </c>
      <c r="C21831" s="15" t="s">
        <v>10178</v>
      </c>
      <c r="D21831" s="15" t="s">
        <v>10224</v>
      </c>
      <c r="E21831" s="2">
        <v>1264455</v>
      </c>
      <c r="F21831" s="4" t="str">
        <f>IF(B21831=B21830,"",B21831)</f>
        <v>Maham</v>
      </c>
    </row>
    <row r="21832" spans="1:6" ht="15.75" customHeight="1">
      <c r="A21832" s="8" t="str">
        <f ca="1">IFERROR(__xludf.DUMMYFUNCTION("GOOGLETRANSLATE(B32885,""en"",""pt"")"),"Maham")</f>
        <v>Maham</v>
      </c>
      <c r="B21832" s="9" t="s">
        <v>12280</v>
      </c>
      <c r="C21832" s="9" t="s">
        <v>10178</v>
      </c>
      <c r="D21832" s="9" t="s">
        <v>10224</v>
      </c>
      <c r="E21832" s="10">
        <v>1264455</v>
      </c>
      <c r="F21832" s="4" t="str">
        <f>IF(B21832=B21831,"",B21832)</f>
        <v/>
      </c>
    </row>
    <row r="21833" spans="1:6" ht="15.75" customHeight="1">
      <c r="A21833" s="8" t="str">
        <f ca="1">IFERROR(__xludf.DUMMYFUNCTION("GOOGLETRANSLATE(B32886,""en"",""pt"")"),"Mahālingpur")</f>
        <v>Mahālingpur</v>
      </c>
      <c r="B21833" s="11" t="s">
        <v>33439</v>
      </c>
      <c r="C21833" s="11" t="s">
        <v>10178</v>
      </c>
      <c r="D21833" s="11" t="s">
        <v>10252</v>
      </c>
      <c r="E21833" s="10">
        <v>1264457</v>
      </c>
      <c r="F21833" s="4" t="str">
        <f>IF(B21833=B21832,"",B21833)</f>
        <v>Mahālingpur</v>
      </c>
    </row>
    <row r="21834" spans="1:6" ht="15.75" customHeight="1">
      <c r="A21834" s="16" t="s">
        <v>1888</v>
      </c>
      <c r="B21834" s="15" t="s">
        <v>1888</v>
      </c>
      <c r="C21834" s="16" t="s">
        <v>1878</v>
      </c>
      <c r="D21834" s="16" t="s">
        <v>1886</v>
      </c>
      <c r="E21834" s="2">
        <v>933471</v>
      </c>
      <c r="F21834" s="4" t="str">
        <f>IF(B21834=B21833,"",B21834)</f>
        <v>Mahalapye</v>
      </c>
    </row>
    <row r="21835" spans="1:6" ht="15.75" customHeight="1">
      <c r="A21835" s="8" t="str">
        <f ca="1">IFERROR(__xludf.DUMMYFUNCTION("GOOGLETRANSLATE(B25361,""en"",""pt"")"),"Mahalapye")</f>
        <v>Mahalapye</v>
      </c>
      <c r="B21835" s="11" t="s">
        <v>1888</v>
      </c>
      <c r="C21835" s="11" t="s">
        <v>1878</v>
      </c>
      <c r="D21835" s="11" t="s">
        <v>1886</v>
      </c>
      <c r="E21835" s="10">
        <v>933471</v>
      </c>
      <c r="F21835" s="4" t="str">
        <f>IF(B21835=B21834,"",B21835)</f>
        <v/>
      </c>
    </row>
    <row r="21836" spans="1:6" ht="15.75" customHeight="1">
      <c r="A21836" s="16" t="s">
        <v>17371</v>
      </c>
      <c r="B21836" s="15" t="s">
        <v>17371</v>
      </c>
      <c r="C21836" s="16" t="s">
        <v>17292</v>
      </c>
      <c r="D21836" s="16" t="s">
        <v>17300</v>
      </c>
      <c r="E21836" s="2">
        <v>1062663</v>
      </c>
      <c r="F21836" s="4" t="str">
        <f>IF(B21836=B21835,"",B21836)</f>
        <v>Mahajanga</v>
      </c>
    </row>
    <row r="21837" spans="1:6" ht="15.75" customHeight="1">
      <c r="A21837" s="8" t="str">
        <f ca="1">IFERROR(__xludf.DUMMYFUNCTION("GOOGLETRANSLATE(B36588,""en"",""pt"")"),"Mahajanga")</f>
        <v>Mahajanga</v>
      </c>
      <c r="B21837" s="11" t="s">
        <v>17371</v>
      </c>
      <c r="C21837" s="11" t="s">
        <v>17292</v>
      </c>
      <c r="D21837" s="11" t="s">
        <v>17300</v>
      </c>
      <c r="E21837" s="10">
        <v>1062663</v>
      </c>
      <c r="F21837" s="4" t="str">
        <f>IF(B21837=B21836,"",B21837)</f>
        <v/>
      </c>
    </row>
    <row r="21838" spans="1:6" ht="15.75" customHeight="1">
      <c r="A21838" s="8" t="str">
        <f ca="1">IFERROR(__xludf.DUMMYFUNCTION("GOOGLETRANSLATE(B32887,""en"",""pt"")"),"Mahād")</f>
        <v>Mahād</v>
      </c>
      <c r="B21838" s="9" t="s">
        <v>33440</v>
      </c>
      <c r="C21838" s="9" t="s">
        <v>10178</v>
      </c>
      <c r="D21838" s="9" t="s">
        <v>10214</v>
      </c>
      <c r="E21838" s="10">
        <v>1264489</v>
      </c>
      <c r="F21838" s="4" t="str">
        <f>IF(B21838=B21837,"",B21838)</f>
        <v>Mahād</v>
      </c>
    </row>
    <row r="21839" spans="1:6" ht="15.75" customHeight="1">
      <c r="A21839" s="8" t="str">
        <f ca="1">IFERROR(__xludf.DUMMYFUNCTION("GOOGLETRANSLATE(B34421,""en"",""pt"")"),"Mahābād")</f>
        <v>Mahābād</v>
      </c>
      <c r="B21839" s="11" t="s">
        <v>34180</v>
      </c>
      <c r="C21839" s="11" t="s">
        <v>14240</v>
      </c>
      <c r="D21839" s="11" t="s">
        <v>34137</v>
      </c>
      <c r="E21839" s="10">
        <v>125446</v>
      </c>
      <c r="F21839" s="4" t="str">
        <f>IF(B21839=B21838,"",B21839)</f>
        <v>Mahābād</v>
      </c>
    </row>
    <row r="21840" spans="1:6" ht="15.75" customHeight="1">
      <c r="A21840" s="16" t="s">
        <v>12278</v>
      </c>
      <c r="B21840" s="15" t="s">
        <v>12279</v>
      </c>
      <c r="C21840" s="16" t="s">
        <v>10178</v>
      </c>
      <c r="D21840" s="16" t="s">
        <v>10272</v>
      </c>
      <c r="E21840" s="2">
        <v>1264414</v>
      </c>
      <c r="F21840" s="4" t="str">
        <f>IF(B21840=B21839,"",B21840)</f>
        <v>MahÄsamund</v>
      </c>
    </row>
    <row r="21841" spans="1:6" ht="15.75" customHeight="1">
      <c r="A21841" s="16" t="s">
        <v>12276</v>
      </c>
      <c r="B21841" s="15" t="s">
        <v>12277</v>
      </c>
      <c r="C21841" s="16" t="s">
        <v>10178</v>
      </c>
      <c r="D21841" s="16" t="s">
        <v>10317</v>
      </c>
      <c r="E21841" s="2">
        <v>1264436</v>
      </c>
      <c r="F21841" s="4" t="str">
        <f>IF(B21841=B21840,"",B21841)</f>
        <v>MahÄrÄjgani</v>
      </c>
    </row>
    <row r="21842" spans="1:6" ht="15.75" customHeight="1">
      <c r="A21842" s="16" t="s">
        <v>12274</v>
      </c>
      <c r="B21842" s="15" t="s">
        <v>12275</v>
      </c>
      <c r="C21842" s="16" t="s">
        <v>10178</v>
      </c>
      <c r="D21842" s="16" t="s">
        <v>10193</v>
      </c>
      <c r="E21842" s="2">
        <v>1264433</v>
      </c>
      <c r="F21842" s="4" t="str">
        <f>IF(B21842=B21841,"",B21842)</f>
        <v>MahÄrÄganj</v>
      </c>
    </row>
    <row r="21843" spans="1:6" ht="15.75" customHeight="1">
      <c r="A21843" s="16" t="s">
        <v>12272</v>
      </c>
      <c r="B21843" s="15" t="s">
        <v>12273</v>
      </c>
      <c r="C21843" s="16" t="s">
        <v>10178</v>
      </c>
      <c r="D21843" s="16" t="s">
        <v>10252</v>
      </c>
      <c r="E21843" s="2">
        <v>1264457</v>
      </c>
      <c r="F21843" s="4" t="str">
        <f>IF(B21843=B21842,"",B21843)</f>
        <v>MahÄlingpur</v>
      </c>
    </row>
    <row r="21844" spans="1:6" ht="15.75" customHeight="1">
      <c r="A21844" s="15" t="s">
        <v>12270</v>
      </c>
      <c r="B21844" s="15" t="s">
        <v>12271</v>
      </c>
      <c r="C21844" s="15" t="s">
        <v>10178</v>
      </c>
      <c r="D21844" s="15" t="s">
        <v>10214</v>
      </c>
      <c r="E21844" s="2">
        <v>1264489</v>
      </c>
      <c r="F21844" s="4" t="str">
        <f>IF(B21844=B21843,"",B21844)</f>
        <v>MahÄd</v>
      </c>
    </row>
    <row r="21845" spans="1:6" ht="15.75" customHeight="1">
      <c r="A21845" s="16" t="s">
        <v>14450</v>
      </c>
      <c r="B21845" s="15" t="s">
        <v>14451</v>
      </c>
      <c r="C21845" s="16" t="s">
        <v>14240</v>
      </c>
      <c r="D21845" s="16" t="s">
        <v>14302</v>
      </c>
      <c r="E21845" s="2">
        <v>125446</v>
      </c>
      <c r="F21845" s="4" t="str">
        <f>IF(B21845=B21844,"",B21845)</f>
        <v>MahÄbÄd</v>
      </c>
    </row>
    <row r="21846" spans="1:6" ht="15.75" customHeight="1">
      <c r="A21846" s="16" t="s">
        <v>17689</v>
      </c>
      <c r="B21846" s="15" t="s">
        <v>17690</v>
      </c>
      <c r="C21846" s="16" t="s">
        <v>17678</v>
      </c>
      <c r="D21846" s="16" t="s">
        <v>17691</v>
      </c>
      <c r="E21846" s="2">
        <v>934322</v>
      </c>
      <c r="F21846" s="4" t="str">
        <f>IF(B21846=B21845,"",B21846)</f>
        <v>MahÃ©bourg</v>
      </c>
    </row>
    <row r="21847" spans="1:6" ht="15.75" customHeight="1">
      <c r="A21847" s="16" t="s">
        <v>12268</v>
      </c>
      <c r="B21847" s="15" t="s">
        <v>12269</v>
      </c>
      <c r="C21847" s="16" t="s">
        <v>10178</v>
      </c>
      <c r="D21847" s="16" t="s">
        <v>10201</v>
      </c>
      <c r="E21847" s="2">
        <v>1264368</v>
      </c>
      <c r="F21847" s="4" t="str">
        <f>IF(B21847=B21846,"",B21847)</f>
        <v>MahÄ«shÄdal</v>
      </c>
    </row>
    <row r="21848" spans="1:6" ht="15.75" customHeight="1">
      <c r="A21848" s="15" t="s">
        <v>12266</v>
      </c>
      <c r="B21848" s="15" t="s">
        <v>12267</v>
      </c>
      <c r="C21848" s="15" t="s">
        <v>10178</v>
      </c>
      <c r="D21848" s="15" t="s">
        <v>10246</v>
      </c>
      <c r="E21848" s="2">
        <v>1264403</v>
      </c>
      <c r="F21848" s="4" t="str">
        <f>IF(B21848=B21847,"",B21848)</f>
        <v>MahÄ“</v>
      </c>
    </row>
    <row r="21849" spans="1:6" ht="15.75" customHeight="1">
      <c r="A21849" s="16" t="s">
        <v>25929</v>
      </c>
      <c r="B21849" s="15" t="s">
        <v>25929</v>
      </c>
      <c r="C21849" s="16" t="s">
        <v>25771</v>
      </c>
      <c r="D21849" s="16" t="s">
        <v>25929</v>
      </c>
      <c r="E21849" s="2">
        <v>1608900</v>
      </c>
      <c r="F21849" s="4" t="str">
        <f>IF(B21849=B21848,"",B21849)</f>
        <v>Maha Sarakham</v>
      </c>
    </row>
    <row r="21850" spans="1:6" ht="15.75" customHeight="1">
      <c r="A21850" s="8" t="str">
        <f ca="1">IFERROR(__xludf.DUMMYFUNCTION("GOOGLETRANSLATE(B41662,""en"",""pt"")"),"Maha Sarakham")</f>
        <v>Maha Sarakham</v>
      </c>
      <c r="B21850" s="9" t="s">
        <v>25929</v>
      </c>
      <c r="C21850" s="9" t="s">
        <v>25771</v>
      </c>
      <c r="D21850" s="9" t="s">
        <v>25929</v>
      </c>
      <c r="E21850" s="10">
        <v>1608900</v>
      </c>
      <c r="F21850" s="4" t="str">
        <f>IF(B21850=B21849,"",B21850)</f>
        <v/>
      </c>
    </row>
    <row r="21851" spans="1:6" ht="15.75" customHeight="1">
      <c r="A21851" s="15" t="s">
        <v>18702</v>
      </c>
      <c r="B21851" s="15" t="s">
        <v>18702</v>
      </c>
      <c r="C21851" s="15" t="s">
        <v>18696</v>
      </c>
      <c r="D21851" s="15" t="s">
        <v>18702</v>
      </c>
      <c r="E21851" s="2">
        <v>1312609</v>
      </c>
      <c r="F21851" s="4" t="str">
        <f>IF(B21851=B21850,"",B21851)</f>
        <v>Magway</v>
      </c>
    </row>
    <row r="21852" spans="1:6" ht="15.75" customHeight="1">
      <c r="A21852" s="8" t="str">
        <f ca="1">IFERROR(__xludf.DUMMYFUNCTION("GOOGLETRANSLATE(B36744,""en"",""pt"")"),"Magway")</f>
        <v>Magway</v>
      </c>
      <c r="B21852" s="9" t="s">
        <v>18702</v>
      </c>
      <c r="C21852" s="9" t="s">
        <v>18696</v>
      </c>
      <c r="D21852" s="9" t="s">
        <v>18702</v>
      </c>
      <c r="E21852" s="10">
        <v>1312609</v>
      </c>
      <c r="F21852" s="4" t="str">
        <f>IF(B21852=B21851,"",B21852)</f>
        <v/>
      </c>
    </row>
    <row r="21853" spans="1:6" ht="15.75" customHeight="1">
      <c r="A21853" s="16" t="s">
        <v>19496</v>
      </c>
      <c r="B21853" s="15" t="s">
        <v>19496</v>
      </c>
      <c r="C21853" s="16" t="s">
        <v>19294</v>
      </c>
      <c r="D21853" s="16" t="s">
        <v>19338</v>
      </c>
      <c r="E21853" s="2">
        <v>2331528</v>
      </c>
      <c r="F21853" s="4" t="str">
        <f>IF(B21853=B21852,"",B21853)</f>
        <v>Magumeri</v>
      </c>
    </row>
    <row r="21854" spans="1:6" ht="15.75" customHeight="1">
      <c r="A21854" s="8" t="str">
        <f ca="1">IFERROR(__xludf.DUMMYFUNCTION("GOOGLETRANSLATE(B37686,""en"",""pt"")"),"Magumeri")</f>
        <v>Magumeri</v>
      </c>
      <c r="B21854" s="11" t="s">
        <v>19496</v>
      </c>
      <c r="C21854" s="11" t="s">
        <v>19294</v>
      </c>
      <c r="D21854" s="11" t="s">
        <v>19338</v>
      </c>
      <c r="E21854" s="10">
        <v>2331528</v>
      </c>
      <c r="F21854" s="4" t="str">
        <f>IF(B21854=B21853,"",B21854)</f>
        <v/>
      </c>
    </row>
    <row r="21855" spans="1:6" ht="15.75" customHeight="1">
      <c r="A21855" s="15" t="s">
        <v>25666</v>
      </c>
      <c r="B21855" s="15" t="s">
        <v>25666</v>
      </c>
      <c r="C21855" s="15" t="s">
        <v>25560</v>
      </c>
      <c r="D21855" s="15" t="s">
        <v>25562</v>
      </c>
      <c r="E21855" s="2">
        <v>155310</v>
      </c>
      <c r="F21855" s="4" t="str">
        <f>IF(B21855=B21854,"",B21855)</f>
        <v>Magugu</v>
      </c>
    </row>
    <row r="21856" spans="1:6" ht="15.75" customHeight="1">
      <c r="A21856" s="8" t="str">
        <f ca="1">IFERROR(__xludf.DUMMYFUNCTION("GOOGLETRANSLATE(B42368,""en"",""pt"")"),"Magugu")</f>
        <v>Magugu</v>
      </c>
      <c r="B21856" s="11" t="s">
        <v>25666</v>
      </c>
      <c r="C21856" s="11" t="s">
        <v>25560</v>
      </c>
      <c r="D21856" s="11" t="s">
        <v>25562</v>
      </c>
      <c r="E21856" s="10">
        <v>155310</v>
      </c>
      <c r="F21856" s="4" t="str">
        <f>IF(B21856=B21855,"",B21856)</f>
        <v/>
      </c>
    </row>
    <row r="21857" spans="1:6" ht="15.75" customHeight="1">
      <c r="A21857" s="16" t="s">
        <v>20853</v>
      </c>
      <c r="B21857" s="15" t="s">
        <v>20853</v>
      </c>
      <c r="C21857" s="16" t="s">
        <v>20598</v>
      </c>
      <c r="D21857" s="16" t="s">
        <v>20658</v>
      </c>
      <c r="E21857" s="2">
        <v>1703773</v>
      </c>
      <c r="F21857" s="4" t="str">
        <f>IF(B21857=B21856,"",B21857)</f>
        <v>Magsaysay</v>
      </c>
    </row>
    <row r="21858" spans="1:6" ht="15.75" customHeight="1">
      <c r="A21858" s="8" t="str">
        <f ca="1">IFERROR(__xludf.DUMMYFUNCTION("GOOGLETRANSLATE(B38646,""en"",""pt"")"),"Magsaysay")</f>
        <v>Magsaysay</v>
      </c>
      <c r="B21858" s="11" t="s">
        <v>20853</v>
      </c>
      <c r="C21858" s="11" t="s">
        <v>20598</v>
      </c>
      <c r="D21858" s="11" t="s">
        <v>20658</v>
      </c>
      <c r="E21858" s="10">
        <v>1703773</v>
      </c>
      <c r="F21858" s="4" t="str">
        <f>IF(B21858=B21857,"",B21858)</f>
        <v/>
      </c>
    </row>
    <row r="21859" spans="1:6" ht="15.75" customHeight="1">
      <c r="A21859" s="15" t="s">
        <v>25513</v>
      </c>
      <c r="B21859" s="15" t="s">
        <v>25513</v>
      </c>
      <c r="C21859" s="15" t="s">
        <v>25502</v>
      </c>
      <c r="D21859" s="15" t="s">
        <v>25502</v>
      </c>
      <c r="E21859" s="2">
        <v>1672228</v>
      </c>
      <c r="F21859" s="4" t="str">
        <f>IF(B21859=B21858,"",B21859)</f>
        <v>Magong</v>
      </c>
    </row>
    <row r="21860" spans="1:6" ht="15.75" customHeight="1">
      <c r="A21860" s="8" t="str">
        <f ca="1">IFERROR(__xludf.DUMMYFUNCTION("GOOGLETRANSLATE(B42269,""en"",""pt"")"),"Magong")</f>
        <v>Magong</v>
      </c>
      <c r="B21860" s="11" t="s">
        <v>25513</v>
      </c>
      <c r="C21860" s="11" t="s">
        <v>25502</v>
      </c>
      <c r="D21860" s="11" t="s">
        <v>25502</v>
      </c>
      <c r="E21860" s="10">
        <v>1672228</v>
      </c>
      <c r="F21860" s="4" t="str">
        <f>IF(B21860=B21859,"",B21860)</f>
        <v/>
      </c>
    </row>
    <row r="21861" spans="1:6" ht="15.75" customHeight="1">
      <c r="A21861" s="16" t="s">
        <v>25665</v>
      </c>
      <c r="B21861" s="15" t="s">
        <v>25665</v>
      </c>
      <c r="C21861" s="16" t="s">
        <v>25560</v>
      </c>
      <c r="D21861" s="16" t="s">
        <v>25590</v>
      </c>
      <c r="E21861" s="2">
        <v>155321</v>
      </c>
      <c r="F21861" s="4" t="str">
        <f>IF(B21861=B21860,"",B21861)</f>
        <v>Magomeni</v>
      </c>
    </row>
    <row r="21862" spans="1:6" ht="15.75" customHeight="1">
      <c r="A21862" s="8" t="str">
        <f ca="1">IFERROR(__xludf.DUMMYFUNCTION("GOOGLETRANSLATE(B42369,""en"",""pt"")"),"Magomeni")</f>
        <v>Magomeni</v>
      </c>
      <c r="B21862" s="11" t="s">
        <v>25665</v>
      </c>
      <c r="C21862" s="11" t="s">
        <v>25560</v>
      </c>
      <c r="D21862" s="11" t="s">
        <v>25590</v>
      </c>
      <c r="E21862" s="10">
        <v>155321</v>
      </c>
      <c r="F21862" s="4" t="str">
        <f>IF(B21862=B21861,"",B21862)</f>
        <v/>
      </c>
    </row>
    <row r="21863" spans="1:6" ht="15.75" customHeight="1">
      <c r="A21863" s="15" t="s">
        <v>25664</v>
      </c>
      <c r="B21863" s="15" t="s">
        <v>25664</v>
      </c>
      <c r="C21863" s="15" t="s">
        <v>25560</v>
      </c>
      <c r="D21863" s="15" t="s">
        <v>25596</v>
      </c>
      <c r="E21863" s="2">
        <v>155334</v>
      </c>
      <c r="F21863" s="4" t="str">
        <f>IF(B21863=B21862,"",B21863)</f>
        <v>Magole</v>
      </c>
    </row>
    <row r="21864" spans="1:6" ht="15.75" customHeight="1">
      <c r="A21864" s="8" t="str">
        <f ca="1">IFERROR(__xludf.DUMMYFUNCTION("GOOGLETRANSLATE(B42370,""en"",""pt"")"),"Magole")</f>
        <v>Magole</v>
      </c>
      <c r="B21864" s="11" t="s">
        <v>25664</v>
      </c>
      <c r="C21864" s="11" t="s">
        <v>25560</v>
      </c>
      <c r="D21864" s="11" t="s">
        <v>25596</v>
      </c>
      <c r="E21864" s="10">
        <v>155334</v>
      </c>
      <c r="F21864" s="4" t="str">
        <f>IF(B21864=B21863,"",B21864)</f>
        <v/>
      </c>
    </row>
    <row r="21865" spans="1:6" ht="15.75" customHeight="1">
      <c r="A21865" s="15" t="s">
        <v>4093</v>
      </c>
      <c r="B21865" s="15" t="s">
        <v>4093</v>
      </c>
      <c r="C21865" s="15" t="s">
        <v>3975</v>
      </c>
      <c r="D21865" s="15" t="s">
        <v>3982</v>
      </c>
      <c r="E21865" s="2">
        <v>6064180</v>
      </c>
      <c r="F21865" s="4" t="str">
        <f>IF(B21865=B21864,"",B21865)</f>
        <v>Magog</v>
      </c>
    </row>
    <row r="21866" spans="1:6" ht="15.75" customHeight="1">
      <c r="A21866" s="8" t="str">
        <f ca="1">IFERROR(__xludf.DUMMYFUNCTION("GOOGLETRANSLATE(B25506,""en"",""pt"")"),"Magog")</f>
        <v>Magog</v>
      </c>
      <c r="B21866" s="11" t="s">
        <v>4093</v>
      </c>
      <c r="C21866" s="11" t="s">
        <v>3975</v>
      </c>
      <c r="D21866" s="11" t="s">
        <v>3982</v>
      </c>
      <c r="E21866" s="10">
        <v>6064180</v>
      </c>
      <c r="F21866" s="4" t="str">
        <f>IF(B21866=B21865,"",B21866)</f>
        <v/>
      </c>
    </row>
    <row r="21867" spans="1:6" ht="15.75" customHeight="1">
      <c r="A21867" s="16" t="s">
        <v>22708</v>
      </c>
      <c r="B21867" s="15" t="s">
        <v>22708</v>
      </c>
      <c r="C21867" s="16" t="s">
        <v>22070</v>
      </c>
      <c r="D21867" s="16" t="s">
        <v>22166</v>
      </c>
      <c r="E21867" s="2">
        <v>532288</v>
      </c>
      <c r="F21867" s="4" t="str">
        <f>IF(B21867=B21866,"",B21867)</f>
        <v>Magnitogorsk</v>
      </c>
    </row>
    <row r="21868" spans="1:6" ht="15.75" customHeight="1">
      <c r="A21868" s="8" t="str">
        <f ca="1">IFERROR(__xludf.DUMMYFUNCTION("GOOGLETRANSLATE(B40341,""en"",""pt"")"),"Magnitogorsk")</f>
        <v>Magnitogorsk</v>
      </c>
      <c r="B21868" s="11" t="s">
        <v>22708</v>
      </c>
      <c r="C21868" s="11" t="s">
        <v>22070</v>
      </c>
      <c r="D21868" s="11" t="s">
        <v>22166</v>
      </c>
      <c r="E21868" s="10">
        <v>532288</v>
      </c>
      <c r="F21868" s="4" t="str">
        <f>IF(B21868=B21867,"",B21868)</f>
        <v/>
      </c>
    </row>
    <row r="21869" spans="1:6" ht="15.75" customHeight="1">
      <c r="A21869" s="15" t="s">
        <v>29188</v>
      </c>
      <c r="B21869" s="15" t="s">
        <v>29188</v>
      </c>
      <c r="C21869" s="15" t="s">
        <v>27788</v>
      </c>
      <c r="D21869" s="15" t="s">
        <v>27856</v>
      </c>
      <c r="E21869" s="2">
        <v>5777793</v>
      </c>
      <c r="F21869" s="4" t="str">
        <f>IF(B21869=B21868,"",B21869)</f>
        <v>Magna</v>
      </c>
    </row>
    <row r="21870" spans="1:6" ht="15.75" customHeight="1">
      <c r="A21870" s="8" t="str">
        <f ca="1">IFERROR(__xludf.DUMMYFUNCTION("GOOGLETRANSLATE(B45285,""en"",""pt"")"),"Magna")</f>
        <v>Magna</v>
      </c>
      <c r="B21870" s="11" t="s">
        <v>29188</v>
      </c>
      <c r="C21870" s="11" t="s">
        <v>27788</v>
      </c>
      <c r="D21870" s="11" t="s">
        <v>27856</v>
      </c>
      <c r="E21870" s="10">
        <v>5777793</v>
      </c>
      <c r="F21870" s="4" t="str">
        <f>IF(B21870=B21869,"",B21870)</f>
        <v/>
      </c>
    </row>
    <row r="21871" spans="1:6" ht="15.75" customHeight="1">
      <c r="A21871" s="15" t="s">
        <v>27516</v>
      </c>
      <c r="B21871" s="15" t="s">
        <v>27516</v>
      </c>
      <c r="C21871" s="15" t="s">
        <v>27234</v>
      </c>
      <c r="D21871" s="15" t="s">
        <v>27241</v>
      </c>
      <c r="E21871" s="2">
        <v>2643198</v>
      </c>
      <c r="F21871" s="4" t="str">
        <f>IF(B21871=B21870,"",B21871)</f>
        <v>Maghull</v>
      </c>
    </row>
    <row r="21872" spans="1:6" ht="15.75" customHeight="1">
      <c r="A21872" s="8" t="str">
        <f ca="1">IFERROR(__xludf.DUMMYFUNCTION("GOOGLETRANSLATE(B30557,""en"",""pt"")"),"Maghull")</f>
        <v>Maghull</v>
      </c>
      <c r="B21872" s="11" t="s">
        <v>27516</v>
      </c>
      <c r="C21872" s="11" t="s">
        <v>27234</v>
      </c>
      <c r="D21872" s="11" t="s">
        <v>27241</v>
      </c>
      <c r="E21872" s="10">
        <v>2643198</v>
      </c>
      <c r="F21872" s="4" t="str">
        <f>IF(B21872=B21871,"",B21872)</f>
        <v/>
      </c>
    </row>
    <row r="21873" spans="1:6" ht="15.75" customHeight="1">
      <c r="A21873" s="8" t="str">
        <f ca="1">IFERROR(__xludf.DUMMYFUNCTION("GOOGLETRANSLATE(B31793,""en"",""pt"")"),"Maghār")</f>
        <v>Maghār</v>
      </c>
      <c r="B21873" s="9" t="s">
        <v>32921</v>
      </c>
      <c r="C21873" s="9" t="s">
        <v>14773</v>
      </c>
      <c r="D21873" s="9" t="s">
        <v>14774</v>
      </c>
      <c r="E21873" s="10">
        <v>294387</v>
      </c>
      <c r="F21873" s="4" t="str">
        <f>IF(B21873=B21872,"",B21873)</f>
        <v>Maghār</v>
      </c>
    </row>
    <row r="21874" spans="1:6" ht="15.75" customHeight="1">
      <c r="A21874" s="15" t="s">
        <v>12265</v>
      </c>
      <c r="B21874" s="15" t="s">
        <v>12265</v>
      </c>
      <c r="C21874" s="15" t="s">
        <v>10178</v>
      </c>
      <c r="D21874" s="15" t="s">
        <v>10193</v>
      </c>
      <c r="E21874" s="2">
        <v>1264504</v>
      </c>
      <c r="F21874" s="4" t="str">
        <f>IF(B21874=B21873,"",B21874)</f>
        <v>Maghar</v>
      </c>
    </row>
    <row r="21875" spans="1:6" ht="15.75" customHeight="1">
      <c r="A21875" s="8" t="str">
        <f ca="1">IFERROR(__xludf.DUMMYFUNCTION("GOOGLETRANSLATE(B32888,""en"",""pt"")"),"Maghar")</f>
        <v>Maghar</v>
      </c>
      <c r="B21875" s="9" t="s">
        <v>12265</v>
      </c>
      <c r="C21875" s="9" t="s">
        <v>10178</v>
      </c>
      <c r="D21875" s="9" t="s">
        <v>10193</v>
      </c>
      <c r="E21875" s="10">
        <v>1264504</v>
      </c>
      <c r="F21875" s="4" t="str">
        <f>IF(B21875=B21874,"",B21875)</f>
        <v/>
      </c>
    </row>
    <row r="21876" spans="1:6" ht="15.75" customHeight="1">
      <c r="A21876" s="15" t="s">
        <v>14830</v>
      </c>
      <c r="B21876" s="15" t="s">
        <v>14831</v>
      </c>
      <c r="C21876" s="15" t="s">
        <v>14773</v>
      </c>
      <c r="D21876" s="15" t="s">
        <v>14774</v>
      </c>
      <c r="E21876" s="2">
        <v>294387</v>
      </c>
      <c r="F21876" s="4" t="str">
        <f>IF(B21876=B21875,"",B21876)</f>
        <v>MaghÄr</v>
      </c>
    </row>
    <row r="21877" spans="1:6" ht="15.75" customHeight="1">
      <c r="A21877" s="15" t="s">
        <v>15235</v>
      </c>
      <c r="B21877" s="15" t="s">
        <v>15235</v>
      </c>
      <c r="C21877" s="15" t="s">
        <v>14891</v>
      </c>
      <c r="D21877" s="15" t="s">
        <v>14894</v>
      </c>
      <c r="E21877" s="2">
        <v>3174295</v>
      </c>
      <c r="F21877" s="4" t="str">
        <f>IF(B21877=B21876,"",B21877)</f>
        <v>Magenta</v>
      </c>
    </row>
    <row r="21878" spans="1:6" ht="15.75" customHeight="1">
      <c r="A21878" s="8" t="str">
        <f ca="1">IFERROR(__xludf.DUMMYFUNCTION("GOOGLETRANSLATE(B34858,""en"",""pt"")"),"Magenta")</f>
        <v>Magenta</v>
      </c>
      <c r="B21878" s="11" t="s">
        <v>15235</v>
      </c>
      <c r="C21878" s="11" t="s">
        <v>14891</v>
      </c>
      <c r="D21878" s="11" t="s">
        <v>14894</v>
      </c>
      <c r="E21878" s="10">
        <v>3174295</v>
      </c>
      <c r="F21878" s="4" t="str">
        <f>IF(B21878=B21877,"",B21878)</f>
        <v/>
      </c>
    </row>
    <row r="21879" spans="1:6" ht="15.75" customHeight="1">
      <c r="A21879" s="16" t="s">
        <v>14016</v>
      </c>
      <c r="B21879" s="15" t="s">
        <v>14016</v>
      </c>
      <c r="C21879" s="16" t="s">
        <v>13800</v>
      </c>
      <c r="D21879" s="16" t="s">
        <v>13803</v>
      </c>
      <c r="E21879" s="2">
        <v>1636884</v>
      </c>
      <c r="F21879" s="4" t="str">
        <f>IF(B21879=B21878,"",B21879)</f>
        <v>Magelang</v>
      </c>
    </row>
    <row r="21880" spans="1:6" ht="15.75" customHeight="1">
      <c r="A21880" s="8" t="str">
        <f ca="1">IFERROR(__xludf.DUMMYFUNCTION("GOOGLETRANSLATE(B31556,""en"",""pt"")"),"Magelang")</f>
        <v>Magelang</v>
      </c>
      <c r="B21880" s="11" t="s">
        <v>14016</v>
      </c>
      <c r="C21880" s="11" t="s">
        <v>13800</v>
      </c>
      <c r="D21880" s="11" t="s">
        <v>13803</v>
      </c>
      <c r="E21880" s="10">
        <v>1636884</v>
      </c>
      <c r="F21880" s="4" t="str">
        <f>IF(B21880=B21879,"",B21880)</f>
        <v/>
      </c>
    </row>
    <row r="21881" spans="1:6" ht="15.75" customHeight="1">
      <c r="A21881" s="16" t="s">
        <v>8813</v>
      </c>
      <c r="B21881" s="15" t="s">
        <v>8813</v>
      </c>
      <c r="C21881" s="16" t="s">
        <v>8028</v>
      </c>
      <c r="D21881" s="16" t="s">
        <v>8085</v>
      </c>
      <c r="E21881" s="2">
        <v>2874545</v>
      </c>
      <c r="F21881" s="4" t="str">
        <f>IF(B21881=B21880,"",B21881)</f>
        <v>Magdeburg</v>
      </c>
    </row>
    <row r="21882" spans="1:6" ht="15.75" customHeight="1">
      <c r="A21882" s="8" t="str">
        <f ca="1">IFERROR(__xludf.DUMMYFUNCTION("GOOGLETRANSLATE(B27792,""en"",""pt"")"),"Magdeburg")</f>
        <v>Magdeburg</v>
      </c>
      <c r="B21882" s="11" t="s">
        <v>8813</v>
      </c>
      <c r="C21882" s="11" t="s">
        <v>8028</v>
      </c>
      <c r="D21882" s="11" t="s">
        <v>8085</v>
      </c>
      <c r="E21882" s="10">
        <v>2874545</v>
      </c>
      <c r="F21882" s="4" t="str">
        <f>IF(B21882=B21881,"",B21882)</f>
        <v/>
      </c>
    </row>
    <row r="21883" spans="1:6" ht="15.75" customHeight="1">
      <c r="A21883" s="16" t="s">
        <v>18062</v>
      </c>
      <c r="B21883" s="15" t="s">
        <v>18062</v>
      </c>
      <c r="C21883" s="16" t="s">
        <v>17707</v>
      </c>
      <c r="D21883" s="16" t="s">
        <v>17732</v>
      </c>
      <c r="E21883" s="2">
        <v>3996893</v>
      </c>
      <c r="F21883" s="4" t="str">
        <f>IF(B21883=B21882,"",B21883)</f>
        <v>Magdalena de Kino</v>
      </c>
    </row>
    <row r="21884" spans="1:6" ht="15.75" customHeight="1">
      <c r="A21884" s="8" t="str">
        <f ca="1">IFERROR(__xludf.DUMMYFUNCTION("GOOGLETRANSLATE(B37254,""en"",""pt"")"),"Magdalena de Kino")</f>
        <v>Magdalena de Kino</v>
      </c>
      <c r="B21884" s="11" t="s">
        <v>18062</v>
      </c>
      <c r="C21884" s="11" t="s">
        <v>17707</v>
      </c>
      <c r="D21884" s="11" t="s">
        <v>17732</v>
      </c>
      <c r="E21884" s="10">
        <v>3996893</v>
      </c>
      <c r="F21884" s="4" t="str">
        <f>IF(B21884=B21883,"",B21884)</f>
        <v/>
      </c>
    </row>
    <row r="21885" spans="1:6" ht="15.75" customHeight="1">
      <c r="A21885" s="16" t="s">
        <v>18061</v>
      </c>
      <c r="B21885" s="15" t="s">
        <v>18061</v>
      </c>
      <c r="C21885" s="16" t="s">
        <v>17707</v>
      </c>
      <c r="D21885" s="16" t="s">
        <v>17711</v>
      </c>
      <c r="E21885" s="2">
        <v>3523760</v>
      </c>
      <c r="F21885" s="4" t="str">
        <f>IF(B21885=B21884,"",B21885)</f>
        <v>Magdalena Contreras</v>
      </c>
    </row>
    <row r="21886" spans="1:6" ht="15.75" customHeight="1">
      <c r="A21886" s="8" t="str">
        <f ca="1">IFERROR(__xludf.DUMMYFUNCTION("GOOGLETRANSLATE(B36989,""en"",""pt"")"),"Magdalena Contreras")</f>
        <v>Magdalena Contreras</v>
      </c>
      <c r="B21886" s="11" t="s">
        <v>18061</v>
      </c>
      <c r="C21886" s="11" t="s">
        <v>17707</v>
      </c>
      <c r="D21886" s="11" t="s">
        <v>17711</v>
      </c>
      <c r="E21886" s="10">
        <v>3523760</v>
      </c>
      <c r="F21886" s="4" t="str">
        <f>IF(B21886=B21885,"",B21886)</f>
        <v/>
      </c>
    </row>
    <row r="21887" spans="1:6" ht="15.75" customHeight="1">
      <c r="A21887" s="16" t="s">
        <v>19276</v>
      </c>
      <c r="B21887" s="15" t="s">
        <v>19277</v>
      </c>
      <c r="C21887" s="16" t="s">
        <v>19259</v>
      </c>
      <c r="D21887" s="16" t="s">
        <v>19278</v>
      </c>
      <c r="E21887" s="2">
        <v>2441482</v>
      </c>
      <c r="F21887" s="4" t="str">
        <f>IF(B21887=B21886,"",B21887)</f>
        <v>Magaria</v>
      </c>
    </row>
    <row r="21888" spans="1:6" ht="15.75" customHeight="1">
      <c r="A21888" s="8" t="str">
        <f ca="1">IFERROR(__xludf.DUMMYFUNCTION("GOOGLETRANSLATE(B37595,""en"",""pt"")"),"MAGARIA")</f>
        <v>MAGARIA</v>
      </c>
      <c r="B21888" s="11" t="s">
        <v>19277</v>
      </c>
      <c r="C21888" s="11" t="s">
        <v>19259</v>
      </c>
      <c r="D21888" s="11" t="s">
        <v>19278</v>
      </c>
      <c r="E21888" s="10">
        <v>2441482</v>
      </c>
      <c r="F21888" s="4" t="str">
        <f>IF(B21888=B21887,"",B21888)</f>
        <v/>
      </c>
    </row>
    <row r="21889" spans="1:6" ht="15.75" customHeight="1">
      <c r="A21889" s="15" t="s">
        <v>20852</v>
      </c>
      <c r="B21889" s="15" t="s">
        <v>20852</v>
      </c>
      <c r="C21889" s="15" t="s">
        <v>20598</v>
      </c>
      <c r="D21889" s="15" t="s">
        <v>20634</v>
      </c>
      <c r="E21889" s="2">
        <v>1704002</v>
      </c>
      <c r="F21889" s="4" t="str">
        <f>IF(B21889=B21888,"",B21889)</f>
        <v>Magarao</v>
      </c>
    </row>
    <row r="21890" spans="1:6" ht="15.75" customHeight="1">
      <c r="A21890" s="8" t="str">
        <f ca="1">IFERROR(__xludf.DUMMYFUNCTION("GOOGLETRANSLATE(B38647,""en"",""pt"")"),"Magarao")</f>
        <v>Magarao</v>
      </c>
      <c r="B21890" s="11" t="s">
        <v>20852</v>
      </c>
      <c r="C21890" s="11" t="s">
        <v>20598</v>
      </c>
      <c r="D21890" s="11" t="s">
        <v>20634</v>
      </c>
      <c r="E21890" s="10">
        <v>1704002</v>
      </c>
      <c r="F21890" s="4" t="str">
        <f>IF(B21890=B21889,"",B21890)</f>
        <v/>
      </c>
    </row>
    <row r="21891" spans="1:6" ht="15.75" customHeight="1">
      <c r="A21891" s="15" t="s">
        <v>20851</v>
      </c>
      <c r="B21891" s="15" t="s">
        <v>20851</v>
      </c>
      <c r="C21891" s="15" t="s">
        <v>20598</v>
      </c>
      <c r="D21891" s="15" t="s">
        <v>20683</v>
      </c>
      <c r="E21891" s="2">
        <v>1704021</v>
      </c>
      <c r="F21891" s="4" t="str">
        <f>IF(B21891=B21890,"",B21891)</f>
        <v>Maganoy</v>
      </c>
    </row>
    <row r="21892" spans="1:6" ht="15.75" customHeight="1">
      <c r="A21892" s="8" t="str">
        <f ca="1">IFERROR(__xludf.DUMMYFUNCTION("GOOGLETRANSLATE(B38648,""en"",""pt"")"),"Maganoy")</f>
        <v>Maganoy</v>
      </c>
      <c r="B21892" s="11" t="s">
        <v>20851</v>
      </c>
      <c r="C21892" s="11" t="s">
        <v>20598</v>
      </c>
      <c r="D21892" s="11" t="s">
        <v>20683</v>
      </c>
      <c r="E21892" s="10">
        <v>1704021</v>
      </c>
      <c r="F21892" s="4" t="str">
        <f>IF(B21892=B21891,"",B21892)</f>
        <v/>
      </c>
    </row>
    <row r="21893" spans="1:6" ht="15.75" customHeight="1">
      <c r="A21893" s="8" t="str">
        <f ca="1">IFERROR(__xludf.DUMMYFUNCTION("GOOGLETRANSLATE(B26949,""en"",""pt"")"),"Magangué")</f>
        <v>Magangué</v>
      </c>
      <c r="B21893" s="9" t="s">
        <v>31866</v>
      </c>
      <c r="C21893" s="9" t="s">
        <v>5348</v>
      </c>
      <c r="D21893" s="9" t="s">
        <v>31836</v>
      </c>
      <c r="E21893" s="10">
        <v>3675692</v>
      </c>
      <c r="F21893" s="4" t="str">
        <f>IF(B21893=B21892,"",B21893)</f>
        <v>Magangué</v>
      </c>
    </row>
    <row r="21894" spans="1:6" ht="15.75" customHeight="1">
      <c r="A21894" s="16" t="s">
        <v>5514</v>
      </c>
      <c r="B21894" s="15" t="s">
        <v>5515</v>
      </c>
      <c r="C21894" s="16" t="s">
        <v>5348</v>
      </c>
      <c r="D21894" s="16" t="s">
        <v>5373</v>
      </c>
      <c r="E21894" s="2">
        <v>3675692</v>
      </c>
      <c r="F21894" s="4" t="str">
        <f>IF(B21894=B21893,"",B21894)</f>
        <v>MaganguÃ©</v>
      </c>
    </row>
    <row r="21895" spans="1:6" ht="15.75" customHeight="1">
      <c r="A21895" s="15" t="s">
        <v>20850</v>
      </c>
      <c r="B21895" s="15" t="s">
        <v>20850</v>
      </c>
      <c r="C21895" s="15" t="s">
        <v>20598</v>
      </c>
      <c r="D21895" s="15" t="s">
        <v>20599</v>
      </c>
      <c r="E21895" s="2">
        <v>1704067</v>
      </c>
      <c r="F21895" s="4" t="str">
        <f>IF(B21895=B21894,"",B21895)</f>
        <v>Magalang</v>
      </c>
    </row>
    <row r="21896" spans="1:6" ht="15.75" customHeight="1">
      <c r="A21896" s="8" t="str">
        <f ca="1">IFERROR(__xludf.DUMMYFUNCTION("GOOGLETRANSLATE(B38649,""en"",""pt"")"),"Magalang")</f>
        <v>Magalang</v>
      </c>
      <c r="B21896" s="11" t="s">
        <v>20850</v>
      </c>
      <c r="C21896" s="11" t="s">
        <v>20598</v>
      </c>
      <c r="D21896" s="11" t="s">
        <v>20599</v>
      </c>
      <c r="E21896" s="10">
        <v>1704067</v>
      </c>
      <c r="F21896" s="4" t="str">
        <f>IF(B21896=B21895,"",B21896)</f>
        <v/>
      </c>
    </row>
    <row r="21897" spans="1:6" ht="15.75" customHeight="1">
      <c r="A21897" s="8" t="str">
        <f ca="1">IFERROR(__xludf.DUMMYFUNCTION("GOOGLETRANSLATE(B32889,""en"",""pt"")"),"Māgadi")</f>
        <v>Māgadi</v>
      </c>
      <c r="B21897" s="9" t="s">
        <v>33441</v>
      </c>
      <c r="C21897" s="9" t="s">
        <v>10178</v>
      </c>
      <c r="D21897" s="9" t="s">
        <v>10252</v>
      </c>
      <c r="E21897" s="10">
        <v>1264514</v>
      </c>
      <c r="F21897" s="4" t="str">
        <f>IF(B21897=B21896,"",B21897)</f>
        <v>Māgadi</v>
      </c>
    </row>
    <row r="21898" spans="1:6" ht="15.75" customHeight="1">
      <c r="A21898" s="15" t="s">
        <v>22707</v>
      </c>
      <c r="B21898" s="15" t="s">
        <v>22707</v>
      </c>
      <c r="C21898" s="15" t="s">
        <v>22070</v>
      </c>
      <c r="D21898" s="15" t="s">
        <v>22707</v>
      </c>
      <c r="E21898" s="2">
        <v>2123628</v>
      </c>
      <c r="F21898" s="4" t="str">
        <f>IF(B21898=B21897,"",B21898)</f>
        <v>Magadan</v>
      </c>
    </row>
    <row r="21899" spans="1:6" ht="15.75" customHeight="1">
      <c r="A21899" s="8" t="str">
        <f ca="1">IFERROR(__xludf.DUMMYFUNCTION("GOOGLETRANSLATE(B40963,""en"",""pt"")"),"Magadan")</f>
        <v>Magadan</v>
      </c>
      <c r="B21899" s="9" t="s">
        <v>22707</v>
      </c>
      <c r="C21899" s="9" t="s">
        <v>22070</v>
      </c>
      <c r="D21899" s="9" t="s">
        <v>22707</v>
      </c>
      <c r="E21899" s="10">
        <v>2123628</v>
      </c>
      <c r="F21899" s="4" t="str">
        <f>IF(B21899=B21898,"",B21899)</f>
        <v/>
      </c>
    </row>
    <row r="21900" spans="1:6" ht="15.75" customHeight="1">
      <c r="A21900" s="15" t="s">
        <v>16658</v>
      </c>
      <c r="B21900" s="15" t="s">
        <v>16658</v>
      </c>
      <c r="C21900" s="15" t="s">
        <v>16624</v>
      </c>
      <c r="D21900" s="15" t="s">
        <v>16658</v>
      </c>
      <c r="E21900" s="2">
        <v>250582</v>
      </c>
      <c r="F21900" s="4" t="str">
        <f>IF(B21900=B21899,"",B21900)</f>
        <v>Mafraq</v>
      </c>
    </row>
    <row r="21901" spans="1:6" ht="15.75" customHeight="1">
      <c r="A21901" s="8" t="str">
        <f ca="1">IFERROR(__xludf.DUMMYFUNCTION("GOOGLETRANSLATE(B35141,""en"",""pt"")"),"Mafraq")</f>
        <v>Mafraq</v>
      </c>
      <c r="B21901" s="9" t="s">
        <v>16658</v>
      </c>
      <c r="C21901" s="9" t="s">
        <v>16624</v>
      </c>
      <c r="D21901" s="9" t="s">
        <v>16658</v>
      </c>
      <c r="E21901" s="10">
        <v>250582</v>
      </c>
      <c r="F21901" s="4" t="str">
        <f>IF(B21901=B21900,"",B21901)</f>
        <v/>
      </c>
    </row>
    <row r="21902" spans="1:6" ht="15.75" customHeight="1">
      <c r="A21902" s="15" t="s">
        <v>2838</v>
      </c>
      <c r="B21902" s="15" t="s">
        <v>2838</v>
      </c>
      <c r="C21902" s="15" t="s">
        <v>1905</v>
      </c>
      <c r="D21902" s="15" t="s">
        <v>2020</v>
      </c>
      <c r="E21902" s="2">
        <v>3458147</v>
      </c>
      <c r="F21902" s="4" t="str">
        <f>IF(B21902=B21901,"",B21902)</f>
        <v>Mafra</v>
      </c>
    </row>
    <row r="21903" spans="1:6" ht="15.75" customHeight="1">
      <c r="A21903" s="8" t="str">
        <f ca="1">IFERROR(__xludf.DUMMYFUNCTION("GOOGLETRANSLATE(B24845,""en"",""pt"")"),"Mafra")</f>
        <v>Mafra</v>
      </c>
      <c r="B21903" s="9" t="s">
        <v>2838</v>
      </c>
      <c r="C21903" s="9" t="s">
        <v>1905</v>
      </c>
      <c r="D21903" s="9" t="s">
        <v>2020</v>
      </c>
      <c r="E21903" s="10">
        <v>3458147</v>
      </c>
      <c r="F21903" s="4" t="str">
        <f>IF(B21903=B21902,"",B21903)</f>
        <v/>
      </c>
    </row>
    <row r="21904" spans="1:6" ht="15.75" customHeight="1">
      <c r="A21904" s="15" t="s">
        <v>25663</v>
      </c>
      <c r="B21904" s="15" t="s">
        <v>25663</v>
      </c>
      <c r="C21904" s="15" t="s">
        <v>25560</v>
      </c>
      <c r="D21904" s="15" t="s">
        <v>25611</v>
      </c>
      <c r="E21904" s="2">
        <v>155405</v>
      </c>
      <c r="F21904" s="4" t="str">
        <f>IF(B21904=B21903,"",B21904)</f>
        <v>Mafinga</v>
      </c>
    </row>
    <row r="21905" spans="1:6" ht="15.75" customHeight="1">
      <c r="A21905" s="8" t="str">
        <f ca="1">IFERROR(__xludf.DUMMYFUNCTION("GOOGLETRANSLATE(B42371,""en"",""pt"")"),"Mafinga")</f>
        <v>Mafinga</v>
      </c>
      <c r="B21905" s="9" t="s">
        <v>25663</v>
      </c>
      <c r="C21905" s="9" t="s">
        <v>25560</v>
      </c>
      <c r="D21905" s="9" t="s">
        <v>25611</v>
      </c>
      <c r="E21905" s="10">
        <v>155405</v>
      </c>
      <c r="F21905" s="4" t="str">
        <f>IF(B21905=B21904,"",B21905)</f>
        <v/>
      </c>
    </row>
    <row r="21906" spans="1:6" ht="15.75" customHeight="1">
      <c r="A21906" s="15" t="s">
        <v>17041</v>
      </c>
      <c r="B21906" s="15" t="s">
        <v>17041</v>
      </c>
      <c r="C21906" s="15" t="s">
        <v>17039</v>
      </c>
      <c r="D21906" s="15" t="s">
        <v>17041</v>
      </c>
      <c r="E21906" s="2">
        <v>932614</v>
      </c>
      <c r="F21906" s="4" t="str">
        <f>IF(B21906=B21905,"",B21906)</f>
        <v>Mafeteng</v>
      </c>
    </row>
    <row r="21907" spans="1:6" ht="15.75" customHeight="1">
      <c r="A21907" s="8" t="str">
        <f ca="1">IFERROR(__xludf.DUMMYFUNCTION("GOOGLETRANSLATE(B36357,""en"",""pt"")"),"Mafeteng")</f>
        <v>Mafeteng</v>
      </c>
      <c r="B21907" s="9" t="s">
        <v>17041</v>
      </c>
      <c r="C21907" s="9" t="s">
        <v>17039</v>
      </c>
      <c r="D21907" s="9" t="s">
        <v>17041</v>
      </c>
      <c r="E21907" s="10">
        <v>932614</v>
      </c>
      <c r="F21907" s="4" t="str">
        <f>IF(B21907=B21906,"",B21907)</f>
        <v/>
      </c>
    </row>
    <row r="21908" spans="1:6" ht="15.75" customHeight="1">
      <c r="A21908" s="16" t="s">
        <v>17369</v>
      </c>
      <c r="B21908" s="15" t="s">
        <v>17369</v>
      </c>
      <c r="C21908" s="16" t="s">
        <v>17292</v>
      </c>
      <c r="D21908" s="16" t="s">
        <v>17370</v>
      </c>
      <c r="E21908" s="2">
        <v>1062842</v>
      </c>
      <c r="F21908" s="4" t="str">
        <f>IF(B21908=B21907,"",B21908)</f>
        <v>Maevatanana</v>
      </c>
    </row>
    <row r="21909" spans="1:6" ht="15.75" customHeight="1">
      <c r="A21909" s="8" t="str">
        <f ca="1">IFERROR(__xludf.DUMMYFUNCTION("GOOGLETRANSLATE(B36589,""en"",""pt"")"),"Maevatanana")</f>
        <v>Maevatanana</v>
      </c>
      <c r="B21909" s="9" t="s">
        <v>17369</v>
      </c>
      <c r="C21909" s="9" t="s">
        <v>17292</v>
      </c>
      <c r="D21909" s="9" t="s">
        <v>17370</v>
      </c>
      <c r="E21909" s="10">
        <v>1062842</v>
      </c>
      <c r="F21909" s="4" t="str">
        <f>IF(B21909=B21908,"",B21909)</f>
        <v/>
      </c>
    </row>
    <row r="21910" spans="1:6" ht="15.75" customHeight="1">
      <c r="A21910" s="15" t="s">
        <v>27515</v>
      </c>
      <c r="B21910" s="15" t="s">
        <v>27515</v>
      </c>
      <c r="C21910" s="15" t="s">
        <v>27234</v>
      </c>
      <c r="D21910" s="15" t="s">
        <v>27235</v>
      </c>
      <c r="E21910" s="2">
        <v>2643218</v>
      </c>
      <c r="F21910" s="4" t="str">
        <f>IF(B21910=B21909,"",B21910)</f>
        <v>Maesteg</v>
      </c>
    </row>
    <row r="21911" spans="1:6" ht="15.75" customHeight="1">
      <c r="A21911" s="8" t="str">
        <f ca="1">IFERROR(__xludf.DUMMYFUNCTION("GOOGLETRANSLATE(B30558,""en"",""pt"")"),"Maesteg")</f>
        <v>Maesteg</v>
      </c>
      <c r="B21911" s="9" t="s">
        <v>27515</v>
      </c>
      <c r="C21911" s="9" t="s">
        <v>27234</v>
      </c>
      <c r="D21911" s="9" t="s">
        <v>27235</v>
      </c>
      <c r="E21911" s="10">
        <v>2643218</v>
      </c>
      <c r="F21911" s="4" t="str">
        <f>IF(B21911=B21910,"",B21911)</f>
        <v/>
      </c>
    </row>
    <row r="21912" spans="1:6" ht="15.75" customHeight="1">
      <c r="A21912" s="15" t="s">
        <v>16189</v>
      </c>
      <c r="B21912" s="15" t="s">
        <v>16189</v>
      </c>
      <c r="C21912" s="15" t="s">
        <v>15704</v>
      </c>
      <c r="D21912" s="15" t="s">
        <v>15731</v>
      </c>
      <c r="E21912" s="2">
        <v>1857843</v>
      </c>
      <c r="F21912" s="4" t="str">
        <f>IF(B21912=B21911,"",B21912)</f>
        <v>Maebashi</v>
      </c>
    </row>
    <row r="21913" spans="1:6" ht="15.75" customHeight="1">
      <c r="A21913" s="8" t="str">
        <f ca="1">IFERROR(__xludf.DUMMYFUNCTION("GOOGLETRANSLATE(B35454,""en"",""pt"")"),"Maebashi")</f>
        <v>Maebashi</v>
      </c>
      <c r="B21913" s="9" t="s">
        <v>16189</v>
      </c>
      <c r="C21913" s="9" t="s">
        <v>15704</v>
      </c>
      <c r="D21913" s="9" t="s">
        <v>15731</v>
      </c>
      <c r="E21913" s="10">
        <v>1857843</v>
      </c>
      <c r="F21913" s="4" t="str">
        <f>IF(B21913=B21912,"",B21913)</f>
        <v/>
      </c>
    </row>
    <row r="21914" spans="1:6" ht="15.75" customHeight="1">
      <c r="A21914" s="8" t="str">
        <f ca="1">IFERROR(__xludf.DUMMYFUNCTION("GOOGLETRANSLATE(B35455,""en"",""pt"")"),"Maebaru-chūō")</f>
        <v>Maebaru-chūō</v>
      </c>
      <c r="B21914" s="11" t="s">
        <v>34350</v>
      </c>
      <c r="C21914" s="11" t="s">
        <v>15704</v>
      </c>
      <c r="D21914" s="11" t="s">
        <v>15722</v>
      </c>
      <c r="E21914" s="10">
        <v>1857844</v>
      </c>
      <c r="F21914" s="4" t="str">
        <f>IF(B21914=B21913,"",B21914)</f>
        <v>Maebaru-chūō</v>
      </c>
    </row>
    <row r="21915" spans="1:6" ht="15.75" customHeight="1">
      <c r="A21915" s="16" t="s">
        <v>16187</v>
      </c>
      <c r="B21915" s="15" t="s">
        <v>16188</v>
      </c>
      <c r="C21915" s="16" t="s">
        <v>15704</v>
      </c>
      <c r="D21915" s="16" t="s">
        <v>15722</v>
      </c>
      <c r="E21915" s="2">
        <v>1857844</v>
      </c>
      <c r="F21915" s="4" t="str">
        <f>IF(B21915=B21914,"",B21915)</f>
        <v>Maebaru-chÅ«Å</v>
      </c>
    </row>
    <row r="21916" spans="1:6" ht="15.75" customHeight="1">
      <c r="A21916" s="15" t="s">
        <v>25927</v>
      </c>
      <c r="B21916" s="15" t="s">
        <v>25928</v>
      </c>
      <c r="C21916" s="15" t="s">
        <v>25771</v>
      </c>
      <c r="D21916" s="15" t="s">
        <v>25817</v>
      </c>
      <c r="E21916" s="2">
        <v>1152188</v>
      </c>
      <c r="F21916" s="4" t="str">
        <f>IF(B21916=B21915,"",B21916)</f>
        <v>Mae Sot</v>
      </c>
    </row>
    <row r="21917" spans="1:6" ht="15.75" customHeight="1">
      <c r="A21917" s="8" t="str">
        <f ca="1">IFERROR(__xludf.DUMMYFUNCTION("GOOGLETRANSLATE(B41539,""en"",""pt"")"),"Mae sot")</f>
        <v>Mae sot</v>
      </c>
      <c r="B21917" s="9" t="s">
        <v>25928</v>
      </c>
      <c r="C21917" s="9" t="s">
        <v>25771</v>
      </c>
      <c r="D21917" s="9" t="s">
        <v>25817</v>
      </c>
      <c r="E21917" s="10">
        <v>1152188</v>
      </c>
      <c r="F21917" s="4" t="str">
        <f>IF(B21917=B21916,"",B21917)</f>
        <v/>
      </c>
    </row>
    <row r="21918" spans="1:6" ht="15.75" customHeight="1">
      <c r="A21918" s="15" t="s">
        <v>25926</v>
      </c>
      <c r="B21918" s="15" t="s">
        <v>25926</v>
      </c>
      <c r="C21918" s="15" t="s">
        <v>25771</v>
      </c>
      <c r="D21918" s="15" t="s">
        <v>25862</v>
      </c>
      <c r="E21918" s="2">
        <v>1152194</v>
      </c>
      <c r="F21918" s="4" t="str">
        <f>IF(B21918=B21917,"",B21918)</f>
        <v>Mae Sai</v>
      </c>
    </row>
    <row r="21919" spans="1:6" ht="15.75" customHeight="1">
      <c r="A21919" s="8" t="str">
        <f ca="1">IFERROR(__xludf.DUMMYFUNCTION("GOOGLETRANSLATE(B41540,""en"",""pt"")"),"Mae Sai")</f>
        <v>Mae Sai</v>
      </c>
      <c r="B21919" s="9" t="s">
        <v>25926</v>
      </c>
      <c r="C21919" s="9" t="s">
        <v>25771</v>
      </c>
      <c r="D21919" s="9" t="s">
        <v>25862</v>
      </c>
      <c r="E21919" s="10">
        <v>1152194</v>
      </c>
      <c r="F21919" s="4" t="str">
        <f>IF(B21919=B21918,"",B21919)</f>
        <v/>
      </c>
    </row>
    <row r="21920" spans="1:6" ht="15.75" customHeight="1">
      <c r="A21920" s="16" t="s">
        <v>25925</v>
      </c>
      <c r="B21920" s="15" t="s">
        <v>25925</v>
      </c>
      <c r="C21920" s="16" t="s">
        <v>25771</v>
      </c>
      <c r="D21920" s="16" t="s">
        <v>25817</v>
      </c>
      <c r="E21920" s="2">
        <v>1152202</v>
      </c>
      <c r="F21920" s="4" t="str">
        <f>IF(B21920=B21919,"",B21920)</f>
        <v>Mae Ramat</v>
      </c>
    </row>
    <row r="21921" spans="1:6" ht="15.75" customHeight="1">
      <c r="A21921" s="8" t="str">
        <f ca="1">IFERROR(__xludf.DUMMYFUNCTION("GOOGLETRANSLATE(B41541,""en"",""pt"")"),"Mae Ramat")</f>
        <v>Mae Ramat</v>
      </c>
      <c r="B21921" s="9" t="s">
        <v>25925</v>
      </c>
      <c r="C21921" s="9" t="s">
        <v>25771</v>
      </c>
      <c r="D21921" s="9" t="s">
        <v>25817</v>
      </c>
      <c r="E21921" s="10">
        <v>1152202</v>
      </c>
      <c r="F21921" s="4" t="str">
        <f>IF(B21921=B21920,"",B21921)</f>
        <v/>
      </c>
    </row>
    <row r="21922" spans="1:6" ht="15.75" customHeight="1">
      <c r="A21922" s="16" t="s">
        <v>25924</v>
      </c>
      <c r="B21922" s="15" t="s">
        <v>25924</v>
      </c>
      <c r="C21922" s="16" t="s">
        <v>25771</v>
      </c>
      <c r="D21922" s="16" t="s">
        <v>25862</v>
      </c>
      <c r="E21922" s="2">
        <v>1152227</v>
      </c>
      <c r="F21922" s="4" t="str">
        <f>IF(B21922=B21921,"",B21922)</f>
        <v>Mae Chan</v>
      </c>
    </row>
    <row r="21923" spans="1:6" ht="15.75" customHeight="1">
      <c r="A21923" s="8" t="str">
        <f ca="1">IFERROR(__xludf.DUMMYFUNCTION("GOOGLETRANSLATE(B41542,""en"",""pt"")"),"Mae Chan")</f>
        <v>Mae Chan</v>
      </c>
      <c r="B21923" s="11" t="s">
        <v>25924</v>
      </c>
      <c r="C21923" s="11" t="s">
        <v>25771</v>
      </c>
      <c r="D21923" s="11" t="s">
        <v>25862</v>
      </c>
      <c r="E21923" s="10">
        <v>1152227</v>
      </c>
      <c r="F21923" s="4" t="str">
        <f>IF(B21923=B21922,"",B21923)</f>
        <v/>
      </c>
    </row>
    <row r="21924" spans="1:6" ht="15.75" customHeight="1">
      <c r="A21924" s="8" t="str">
        <f ca="1">IFERROR(__xludf.DUMMYFUNCTION("GOOGLETRANSLATE(B32890,""en"",""pt"")"),"Madurāntakam")</f>
        <v>Madurāntakam</v>
      </c>
      <c r="B21924" s="9" t="s">
        <v>33442</v>
      </c>
      <c r="C21924" s="9" t="s">
        <v>10178</v>
      </c>
      <c r="D21924" s="9" t="s">
        <v>10196</v>
      </c>
      <c r="E21924" s="10">
        <v>1264520</v>
      </c>
      <c r="F21924" s="4" t="str">
        <f>IF(B21924=B21923,"",B21924)</f>
        <v>Madurāntakam</v>
      </c>
    </row>
    <row r="21925" spans="1:6" ht="15.75" customHeight="1">
      <c r="A21925" s="15" t="s">
        <v>12264</v>
      </c>
      <c r="B21925" s="15" t="s">
        <v>12264</v>
      </c>
      <c r="C21925" s="15" t="s">
        <v>10178</v>
      </c>
      <c r="D21925" s="15" t="s">
        <v>10196</v>
      </c>
      <c r="E21925" s="2">
        <v>1264521</v>
      </c>
      <c r="F21925" s="4" t="str">
        <f>IF(B21925=B21924,"",B21925)</f>
        <v>Madurai</v>
      </c>
    </row>
    <row r="21926" spans="1:6" ht="15.75" customHeight="1">
      <c r="A21926" s="8" t="str">
        <f ca="1">IFERROR(__xludf.DUMMYFUNCTION("GOOGLETRANSLATE(B32891,""en"",""pt"")"),"Madurai")</f>
        <v>Madurai</v>
      </c>
      <c r="B21926" s="11" t="s">
        <v>12264</v>
      </c>
      <c r="C21926" s="11" t="s">
        <v>10178</v>
      </c>
      <c r="D21926" s="11" t="s">
        <v>10196</v>
      </c>
      <c r="E21926" s="10">
        <v>1264521</v>
      </c>
      <c r="F21926" s="4" t="str">
        <f>IF(B21926=B21925,"",B21926)</f>
        <v/>
      </c>
    </row>
    <row r="21927" spans="1:6" ht="15.75" customHeight="1">
      <c r="A21927" s="16" t="s">
        <v>12262</v>
      </c>
      <c r="B21927" s="15" t="s">
        <v>12263</v>
      </c>
      <c r="C21927" s="16" t="s">
        <v>10178</v>
      </c>
      <c r="D21927" s="16" t="s">
        <v>10196</v>
      </c>
      <c r="E21927" s="2">
        <v>1264520</v>
      </c>
      <c r="F21927" s="4" t="str">
        <f>IF(B21927=B21926,"",B21927)</f>
        <v>MadurÄntakam</v>
      </c>
    </row>
    <row r="21928" spans="1:6" ht="15.75" customHeight="1">
      <c r="A21928" s="8" t="str">
        <f ca="1">IFERROR(__xludf.DUMMYFUNCTION("GOOGLETRANSLATE(B32892,""en"",""pt"")"),"Madukkūr")</f>
        <v>Madukkūr</v>
      </c>
      <c r="B21928" s="9" t="s">
        <v>33443</v>
      </c>
      <c r="C21928" s="9" t="s">
        <v>10178</v>
      </c>
      <c r="D21928" s="9" t="s">
        <v>10196</v>
      </c>
      <c r="E21928" s="10">
        <v>1264523</v>
      </c>
      <c r="F21928" s="4" t="str">
        <f>IF(B21928=B21927,"",B21928)</f>
        <v>Madukkūr</v>
      </c>
    </row>
    <row r="21929" spans="1:6" ht="15.75" customHeight="1">
      <c r="A21929" s="16" t="s">
        <v>12261</v>
      </c>
      <c r="B21929" s="15" t="s">
        <v>12261</v>
      </c>
      <c r="C21929" s="16" t="s">
        <v>10178</v>
      </c>
      <c r="D21929" s="16" t="s">
        <v>10196</v>
      </c>
      <c r="E21929" s="2">
        <v>1264524</v>
      </c>
      <c r="F21929" s="4" t="str">
        <f>IF(B21929=B21928,"",B21929)</f>
        <v>Madukkarai</v>
      </c>
    </row>
    <row r="21930" spans="1:6" ht="15.75" customHeight="1">
      <c r="A21930" s="8" t="str">
        <f ca="1">IFERROR(__xludf.DUMMYFUNCTION("GOOGLETRANSLATE(B32893,""en"",""pt"")"),"Madukkarai")</f>
        <v>Madukkarai</v>
      </c>
      <c r="B21930" s="9" t="s">
        <v>12261</v>
      </c>
      <c r="C21930" s="9" t="s">
        <v>10178</v>
      </c>
      <c r="D21930" s="9" t="s">
        <v>10196</v>
      </c>
      <c r="E21930" s="10">
        <v>1264524</v>
      </c>
      <c r="F21930" s="4" t="str">
        <f>IF(B21930=B21929,"",B21930)</f>
        <v/>
      </c>
    </row>
    <row r="21931" spans="1:6" ht="15.75" customHeight="1">
      <c r="A21931" s="16" t="s">
        <v>12259</v>
      </c>
      <c r="B21931" s="15" t="s">
        <v>12260</v>
      </c>
      <c r="C21931" s="16" t="s">
        <v>10178</v>
      </c>
      <c r="D21931" s="16" t="s">
        <v>10196</v>
      </c>
      <c r="E21931" s="2">
        <v>1264523</v>
      </c>
      <c r="F21931" s="4" t="str">
        <f>IF(B21931=B21930,"",B21931)</f>
        <v>MadukkÅ«r</v>
      </c>
    </row>
    <row r="21932" spans="1:6" ht="15.75" customHeight="1">
      <c r="A21932" s="15" t="s">
        <v>5868</v>
      </c>
      <c r="B21932" s="15" t="s">
        <v>5868</v>
      </c>
      <c r="C21932" s="15" t="s">
        <v>5764</v>
      </c>
      <c r="D21932" s="15" t="s">
        <v>5792</v>
      </c>
      <c r="E21932" s="2">
        <v>3548529</v>
      </c>
      <c r="F21932" s="4" t="str">
        <f>IF(B21932=B21931,"",B21932)</f>
        <v>Madruga</v>
      </c>
    </row>
    <row r="21933" spans="1:6" ht="15.75" customHeight="1">
      <c r="A21933" s="8" t="str">
        <f ca="1">IFERROR(__xludf.DUMMYFUNCTION("GOOGLETRANSLATE(B27153,""en"",""pt"")"),"Madruga")</f>
        <v>Madruga</v>
      </c>
      <c r="B21933" s="11" t="s">
        <v>5868</v>
      </c>
      <c r="C21933" s="11" t="s">
        <v>5764</v>
      </c>
      <c r="D21933" s="11" t="s">
        <v>5792</v>
      </c>
      <c r="E21933" s="10">
        <v>3548529</v>
      </c>
      <c r="F21933" s="4" t="str">
        <f>IF(B21933=B21932,"",B21933)</f>
        <v/>
      </c>
    </row>
    <row r="21934" spans="1:6" ht="15.75" customHeight="1">
      <c r="A21934" s="15" t="s">
        <v>5512</v>
      </c>
      <c r="B21934" s="15" t="s">
        <v>5513</v>
      </c>
      <c r="C21934" s="15" t="s">
        <v>5348</v>
      </c>
      <c r="D21934" s="15" t="s">
        <v>5400</v>
      </c>
      <c r="E21934" s="2">
        <v>3675707</v>
      </c>
      <c r="F21934" s="4" t="str">
        <f>IF(B21934=B21933,"",B21934)</f>
        <v>Madrid</v>
      </c>
    </row>
    <row r="21935" spans="1:6" ht="15.75" customHeight="1">
      <c r="A21935" s="15" t="s">
        <v>5512</v>
      </c>
      <c r="B21935" s="15" t="s">
        <v>5513</v>
      </c>
      <c r="C21935" s="15" t="s">
        <v>24200</v>
      </c>
      <c r="D21935" s="15" t="s">
        <v>5513</v>
      </c>
      <c r="E21935" s="2">
        <v>3117735</v>
      </c>
      <c r="F21935" s="4" t="str">
        <f>IF(B21935=B21934,"",B21935)</f>
        <v/>
      </c>
    </row>
    <row r="21936" spans="1:6" ht="15.75" customHeight="1">
      <c r="A21936" s="8" t="str">
        <f ca="1">IFERROR(__xludf.DUMMYFUNCTION("GOOGLETRANSLATE(B26950,""en"",""pt"")"),"Madri")</f>
        <v>Madri</v>
      </c>
      <c r="B21936" s="9" t="s">
        <v>5513</v>
      </c>
      <c r="C21936" s="9" t="s">
        <v>5348</v>
      </c>
      <c r="D21936" s="9" t="s">
        <v>5400</v>
      </c>
      <c r="E21936" s="10">
        <v>3675707</v>
      </c>
      <c r="F21936" s="4" t="str">
        <f>IF(B21936=B21935,"",B21936)</f>
        <v/>
      </c>
    </row>
    <row r="21937" spans="1:6" ht="15.75" customHeight="1">
      <c r="A21937" s="8" t="str">
        <f ca="1">IFERROR(__xludf.DUMMYFUNCTION("GOOGLETRANSLATE(B29368,""en"",""pt"")"),"Madri")</f>
        <v>Madri</v>
      </c>
      <c r="B21937" s="11" t="s">
        <v>5513</v>
      </c>
      <c r="C21937" s="11" t="s">
        <v>24200</v>
      </c>
      <c r="D21937" s="11" t="s">
        <v>5513</v>
      </c>
      <c r="E21937" s="10">
        <v>3117735</v>
      </c>
      <c r="F21937" s="4" t="str">
        <f>IF(B21937=B21936,"",B21937)</f>
        <v/>
      </c>
    </row>
    <row r="21938" spans="1:6" ht="15.75" customHeight="1">
      <c r="A21938" s="15" t="s">
        <v>14015</v>
      </c>
      <c r="B21938" s="15" t="s">
        <v>14015</v>
      </c>
      <c r="C21938" s="15" t="s">
        <v>13800</v>
      </c>
      <c r="D21938" s="15" t="s">
        <v>13816</v>
      </c>
      <c r="E21938" s="2">
        <v>1636930</v>
      </c>
      <c r="F21938" s="4" t="str">
        <f>IF(B21938=B21937,"",B21938)</f>
        <v>Madiun</v>
      </c>
    </row>
    <row r="21939" spans="1:6" ht="15.75" customHeight="1">
      <c r="A21939" s="8" t="str">
        <f ca="1">IFERROR(__xludf.DUMMYFUNCTION("GOOGLETRANSLATE(B31557,""en"",""pt"")"),"Madiun")</f>
        <v>Madiun</v>
      </c>
      <c r="B21939" s="11" t="s">
        <v>14015</v>
      </c>
      <c r="C21939" s="11" t="s">
        <v>13800</v>
      </c>
      <c r="D21939" s="11" t="s">
        <v>13816</v>
      </c>
      <c r="E21939" s="10">
        <v>1636930</v>
      </c>
      <c r="F21939" s="4" t="str">
        <f>IF(B21939=B21938,"",B21939)</f>
        <v/>
      </c>
    </row>
    <row r="21940" spans="1:6" ht="15.75" customHeight="1">
      <c r="A21940" s="16" t="s">
        <v>29187</v>
      </c>
      <c r="B21940" s="15" t="s">
        <v>29187</v>
      </c>
      <c r="C21940" s="16" t="s">
        <v>27788</v>
      </c>
      <c r="D21940" s="16" t="s">
        <v>27909</v>
      </c>
      <c r="E21940" s="2">
        <v>4299670</v>
      </c>
      <c r="F21940" s="4" t="str">
        <f>IF(B21940=B21939,"",B21940)</f>
        <v>Madisonville</v>
      </c>
    </row>
    <row r="21941" spans="1:6" ht="15.75" customHeight="1">
      <c r="A21941" s="8" t="str">
        <f ca="1">IFERROR(__xludf.DUMMYFUNCTION("GOOGLETRANSLATE(B43208,""en"",""pt"")"),"Madisonville")</f>
        <v>Madisonville</v>
      </c>
      <c r="B21941" s="11" t="s">
        <v>29187</v>
      </c>
      <c r="C21941" s="11" t="s">
        <v>27788</v>
      </c>
      <c r="D21941" s="11" t="s">
        <v>27909</v>
      </c>
      <c r="E21941" s="10">
        <v>4299670</v>
      </c>
      <c r="F21941" s="4" t="str">
        <f>IF(B21941=B21940,"",B21941)</f>
        <v/>
      </c>
    </row>
    <row r="21942" spans="1:6" ht="15.75" customHeight="1">
      <c r="A21942" s="16" t="s">
        <v>29186</v>
      </c>
      <c r="B21942" s="15" t="s">
        <v>29186</v>
      </c>
      <c r="C21942" s="16" t="s">
        <v>27788</v>
      </c>
      <c r="D21942" s="16" t="s">
        <v>27804</v>
      </c>
      <c r="E21942" s="2">
        <v>5000500</v>
      </c>
      <c r="F21942" s="4" t="str">
        <f>IF(B21942=B21941,"",B21942)</f>
        <v>Madison Heights</v>
      </c>
    </row>
    <row r="21943" spans="1:6" ht="15.75" customHeight="1">
      <c r="A21943" s="8" t="str">
        <f ca="1">IFERROR(__xludf.DUMMYFUNCTION("GOOGLETRANSLATE(B44100,""en"",""pt"")"),"Madison Heights")</f>
        <v>Madison Heights</v>
      </c>
      <c r="B21943" s="11" t="s">
        <v>29186</v>
      </c>
      <c r="C21943" s="11" t="s">
        <v>27788</v>
      </c>
      <c r="D21943" s="11" t="s">
        <v>27804</v>
      </c>
      <c r="E21943" s="10">
        <v>5000500</v>
      </c>
      <c r="F21943" s="4" t="str">
        <f>IF(B21943=B21942,"",B21943)</f>
        <v/>
      </c>
    </row>
    <row r="21944" spans="1:6" ht="15.75" customHeight="1">
      <c r="A21944" s="15" t="s">
        <v>29185</v>
      </c>
      <c r="B21944" s="15" t="s">
        <v>29185</v>
      </c>
      <c r="C21944" s="15" t="s">
        <v>27788</v>
      </c>
      <c r="D21944" s="15" t="s">
        <v>28023</v>
      </c>
      <c r="E21944" s="2">
        <v>4074267</v>
      </c>
      <c r="F21944" s="4" t="str">
        <f>IF(B21944=B21943,"",B21944)</f>
        <v>Madison</v>
      </c>
    </row>
    <row r="21945" spans="1:6" ht="15.75" customHeight="1">
      <c r="A21945" s="15" t="s">
        <v>29185</v>
      </c>
      <c r="B21945" s="15" t="s">
        <v>29185</v>
      </c>
      <c r="C21945" s="15" t="s">
        <v>27788</v>
      </c>
      <c r="D21945" s="15" t="s">
        <v>28040</v>
      </c>
      <c r="E21945" s="2">
        <v>4434663</v>
      </c>
      <c r="F21945" s="4" t="str">
        <f>IF(B21945=B21944,"",B21945)</f>
        <v/>
      </c>
    </row>
    <row r="21946" spans="1:6" ht="15.75" customHeight="1">
      <c r="A21946" s="15" t="s">
        <v>29185</v>
      </c>
      <c r="B21946" s="15" t="s">
        <v>29185</v>
      </c>
      <c r="C21946" s="15" t="s">
        <v>27788</v>
      </c>
      <c r="D21946" s="15" t="s">
        <v>27905</v>
      </c>
      <c r="E21946" s="2">
        <v>5100748</v>
      </c>
      <c r="F21946" s="4" t="str">
        <f>IF(B21946=B21945,"",B21946)</f>
        <v/>
      </c>
    </row>
    <row r="21947" spans="1:6" ht="15.75" customHeight="1">
      <c r="A21947" s="15" t="s">
        <v>29185</v>
      </c>
      <c r="B21947" s="15" t="s">
        <v>29185</v>
      </c>
      <c r="C21947" s="15" t="s">
        <v>27788</v>
      </c>
      <c r="D21947" s="15" t="s">
        <v>27890</v>
      </c>
      <c r="E21947" s="2">
        <v>5261457</v>
      </c>
      <c r="F21947" s="4" t="str">
        <f>IF(B21947=B21946,"",B21947)</f>
        <v/>
      </c>
    </row>
    <row r="21948" spans="1:6" ht="15.75" customHeight="1">
      <c r="A21948" s="8" t="str">
        <f ca="1">IFERROR(__xludf.DUMMYFUNCTION("GOOGLETRANSLATE(B42788,""en"",""pt"")"),"Madison")</f>
        <v>Madison</v>
      </c>
      <c r="B21948" s="11" t="s">
        <v>29185</v>
      </c>
      <c r="C21948" s="11" t="s">
        <v>27788</v>
      </c>
      <c r="D21948" s="11" t="s">
        <v>28023</v>
      </c>
      <c r="E21948" s="10">
        <v>4074267</v>
      </c>
      <c r="F21948" s="4" t="str">
        <f>IF(B21948=B21947,"",B21948)</f>
        <v/>
      </c>
    </row>
    <row r="21949" spans="1:6" ht="15.75" customHeight="1">
      <c r="A21949" s="8" t="str">
        <f ca="1">IFERROR(__xludf.DUMMYFUNCTION("GOOGLETRANSLATE(B43412,""en"",""pt"")"),"Madison")</f>
        <v>Madison</v>
      </c>
      <c r="B21949" s="9" t="s">
        <v>29185</v>
      </c>
      <c r="C21949" s="9" t="s">
        <v>27788</v>
      </c>
      <c r="D21949" s="9" t="s">
        <v>28040</v>
      </c>
      <c r="E21949" s="10">
        <v>4434663</v>
      </c>
      <c r="F21949" s="4" t="str">
        <f>IF(B21949=B21948,"",B21949)</f>
        <v/>
      </c>
    </row>
    <row r="21950" spans="1:6" ht="15.75" customHeight="1">
      <c r="A21950" s="8" t="str">
        <f ca="1">IFERROR(__xludf.DUMMYFUNCTION("GOOGLETRANSLATE(B44279,""en"",""pt"")"),"Madison")</f>
        <v>Madison</v>
      </c>
      <c r="B21950" s="9" t="s">
        <v>29185</v>
      </c>
      <c r="C21950" s="9" t="s">
        <v>27788</v>
      </c>
      <c r="D21950" s="9" t="s">
        <v>27905</v>
      </c>
      <c r="E21950" s="10">
        <v>5100748</v>
      </c>
      <c r="F21950" s="4" t="str">
        <f>IF(B21950=B21949,"",B21950)</f>
        <v/>
      </c>
    </row>
    <row r="21951" spans="1:6" ht="15.75" customHeight="1">
      <c r="A21951" s="8" t="str">
        <f ca="1">IFERROR(__xludf.DUMMYFUNCTION("GOOGLETRANSLATE(B44652,""en"",""pt"")"),"Madison")</f>
        <v>Madison</v>
      </c>
      <c r="B21951" s="11" t="s">
        <v>29185</v>
      </c>
      <c r="C21951" s="11" t="s">
        <v>27788</v>
      </c>
      <c r="D21951" s="11" t="s">
        <v>27890</v>
      </c>
      <c r="E21951" s="10">
        <v>5261457</v>
      </c>
      <c r="F21951" s="4" t="str">
        <f>IF(B21951=B21950,"",B21951)</f>
        <v/>
      </c>
    </row>
    <row r="21952" spans="1:6" ht="15.75" customHeight="1">
      <c r="A21952" s="16" t="s">
        <v>12258</v>
      </c>
      <c r="B21952" s="15" t="s">
        <v>12258</v>
      </c>
      <c r="C21952" s="16" t="s">
        <v>10178</v>
      </c>
      <c r="D21952" s="16" t="s">
        <v>10196</v>
      </c>
      <c r="E21952" s="2">
        <v>1465825</v>
      </c>
      <c r="F21952" s="4" t="str">
        <f>IF(B21952=B21951,"",B21952)</f>
        <v>Madipakkam</v>
      </c>
    </row>
    <row r="21953" spans="1:6" ht="15.75" customHeight="1">
      <c r="A21953" s="8" t="str">
        <f ca="1">IFERROR(__xludf.DUMMYFUNCTION("GOOGLETRANSLATE(B34202,""en"",""pt"")"),"Madipakkam")</f>
        <v>Madipakkam</v>
      </c>
      <c r="B21953" s="9" t="s">
        <v>12258</v>
      </c>
      <c r="C21953" s="9" t="s">
        <v>10178</v>
      </c>
      <c r="D21953" s="9" t="s">
        <v>10196</v>
      </c>
      <c r="E21953" s="10">
        <v>1465825</v>
      </c>
      <c r="F21953" s="4" t="str">
        <f>IF(B21953=B21952,"",B21953)</f>
        <v/>
      </c>
    </row>
    <row r="21954" spans="1:6" ht="15.75" customHeight="1">
      <c r="A21954" s="16" t="s">
        <v>21798</v>
      </c>
      <c r="B21954" s="15" t="s">
        <v>21798</v>
      </c>
      <c r="C21954" s="16" t="s">
        <v>21788</v>
      </c>
      <c r="D21954" s="16" t="s">
        <v>21795</v>
      </c>
      <c r="E21954" s="2">
        <v>2257990</v>
      </c>
      <c r="F21954" s="4" t="str">
        <f>IF(B21954=B21953,"",B21954)</f>
        <v>Madingou</v>
      </c>
    </row>
    <row r="21955" spans="1:6" ht="15.75" customHeight="1">
      <c r="A21955" s="8" t="str">
        <f ca="1">IFERROR(__xludf.DUMMYFUNCTION("GOOGLETRANSLATE(B25735,""en"",""pt"")"),"Madingou")</f>
        <v>Madingou</v>
      </c>
      <c r="B21955" s="9" t="s">
        <v>21798</v>
      </c>
      <c r="C21955" s="9" t="s">
        <v>21788</v>
      </c>
      <c r="D21955" s="9" t="s">
        <v>21795</v>
      </c>
      <c r="E21955" s="10">
        <v>2257990</v>
      </c>
      <c r="F21955" s="4" t="str">
        <f>IF(B21955=B21954,"",B21955)</f>
        <v/>
      </c>
    </row>
    <row r="21956" spans="1:6" ht="15.75" customHeight="1">
      <c r="A21956" s="8" t="str">
        <f ca="1">IFERROR(__xludf.DUMMYFUNCTION("GOOGLETRANSLATE(B28851,""en"",""pt"")"),"Madīnat Sittah Uktūbar")</f>
        <v>Madīnat Sittah Uktūbar</v>
      </c>
      <c r="B21956" s="11" t="s">
        <v>32278</v>
      </c>
      <c r="C21956" s="11" t="s">
        <v>6495</v>
      </c>
      <c r="D21956" s="11" t="s">
        <v>32279</v>
      </c>
      <c r="E21956" s="10">
        <v>353219</v>
      </c>
      <c r="F21956" s="4" t="str">
        <f>IF(B21956=B21955,"",B21956)</f>
        <v>Madīnat Sittah Uktūbar</v>
      </c>
    </row>
    <row r="21957" spans="1:6" ht="15.75" customHeight="1">
      <c r="A21957" s="8" t="str">
        <f ca="1">IFERROR(__xludf.DUMMYFUNCTION("GOOGLETRANSLATE(B24065,""en"",""pt"")"),"Madīnat ḩamad")</f>
        <v>Madīnat ḩamad</v>
      </c>
      <c r="B21957" s="9" t="s">
        <v>31326</v>
      </c>
      <c r="C21957" s="9" t="s">
        <v>1279</v>
      </c>
      <c r="D21957" s="9" t="s">
        <v>1291</v>
      </c>
      <c r="E21957" s="10">
        <v>290247</v>
      </c>
      <c r="F21957" s="4" t="str">
        <f>IF(B21957=B21956,"",B21957)</f>
        <v>Madīnat Ḩamad</v>
      </c>
    </row>
    <row r="21958" spans="1:6" ht="15.75" customHeight="1">
      <c r="A21958" s="8" t="str">
        <f ca="1">IFERROR(__xludf.DUMMYFUNCTION("GOOGLETRANSLATE(B24063,""en"",""pt"")"),"Madīnat ‘īsá")</f>
        <v>Madīnat ‘īsá</v>
      </c>
      <c r="B21958" s="11" t="s">
        <v>31324</v>
      </c>
      <c r="C21958" s="11" t="s">
        <v>1279</v>
      </c>
      <c r="D21958" s="11" t="s">
        <v>1283</v>
      </c>
      <c r="E21958" s="10">
        <v>290187</v>
      </c>
      <c r="F21958" s="4" t="str">
        <f>IF(B21958=B21957,"",B21958)</f>
        <v>Madīnat ‘Īsá</v>
      </c>
    </row>
    <row r="21959" spans="1:6" ht="15.75" customHeight="1">
      <c r="A21959" s="15" t="s">
        <v>12257</v>
      </c>
      <c r="B21959" s="15" t="s">
        <v>12257</v>
      </c>
      <c r="C21959" s="15" t="s">
        <v>10178</v>
      </c>
      <c r="D21959" s="15" t="s">
        <v>10252</v>
      </c>
      <c r="E21959" s="2">
        <v>1264540</v>
      </c>
      <c r="F21959" s="4" t="str">
        <f>IF(B21959=B21958,"",B21959)</f>
        <v>Madikeri</v>
      </c>
    </row>
    <row r="21960" spans="1:6" ht="15.75" customHeight="1">
      <c r="A21960" s="8" t="str">
        <f ca="1">IFERROR(__xludf.DUMMYFUNCTION("GOOGLETRANSLATE(B32895,""en"",""pt"")"),"Madikeri")</f>
        <v>Madikeri</v>
      </c>
      <c r="B21960" s="11" t="s">
        <v>12257</v>
      </c>
      <c r="C21960" s="11" t="s">
        <v>10178</v>
      </c>
      <c r="D21960" s="11" t="s">
        <v>10252</v>
      </c>
      <c r="E21960" s="10">
        <v>1264540</v>
      </c>
      <c r="F21960" s="4" t="str">
        <f>IF(B21960=B21959,"",B21960)</f>
        <v/>
      </c>
    </row>
    <row r="21961" spans="1:6" ht="15.75" customHeight="1">
      <c r="A21961" s="16" t="s">
        <v>12256</v>
      </c>
      <c r="B21961" s="15" t="s">
        <v>12256</v>
      </c>
      <c r="C21961" s="16" t="s">
        <v>10178</v>
      </c>
      <c r="D21961" s="16" t="s">
        <v>10201</v>
      </c>
      <c r="E21961" s="2">
        <v>1264543</v>
      </c>
      <c r="F21961" s="4" t="str">
        <f>IF(B21961=B21960,"",B21961)</f>
        <v>Madhyamgram</v>
      </c>
    </row>
    <row r="21962" spans="1:6" ht="15.75" customHeight="1">
      <c r="A21962" s="8" t="str">
        <f ca="1">IFERROR(__xludf.DUMMYFUNCTION("GOOGLETRANSLATE(B32896,""en"",""pt"")"),"Madhyamgram")</f>
        <v>Madhyamgram</v>
      </c>
      <c r="B21962" s="11" t="s">
        <v>12256</v>
      </c>
      <c r="C21962" s="11" t="s">
        <v>10178</v>
      </c>
      <c r="D21962" s="11" t="s">
        <v>10201</v>
      </c>
      <c r="E21962" s="10">
        <v>1264543</v>
      </c>
      <c r="F21962" s="4" t="str">
        <f>IF(B21962=B21961,"",B21962)</f>
        <v/>
      </c>
    </row>
    <row r="21963" spans="1:6" ht="15.75" customHeight="1">
      <c r="A21963" s="16" t="s">
        <v>12255</v>
      </c>
      <c r="B21963" s="15" t="s">
        <v>12255</v>
      </c>
      <c r="C21963" s="16" t="s">
        <v>10178</v>
      </c>
      <c r="D21963" s="16" t="s">
        <v>10430</v>
      </c>
      <c r="E21963" s="2">
        <v>1264551</v>
      </c>
      <c r="F21963" s="4" t="str">
        <f>IF(B21963=B21962,"",B21963)</f>
        <v>Madhupur</v>
      </c>
    </row>
    <row r="21964" spans="1:6" ht="15.75" customHeight="1">
      <c r="A21964" s="8" t="str">
        <f ca="1">IFERROR(__xludf.DUMMYFUNCTION("GOOGLETRANSLATE(B32897,""en"",""pt"")"),"Madhupur")</f>
        <v>Madhupur</v>
      </c>
      <c r="B21964" s="11" t="s">
        <v>12255</v>
      </c>
      <c r="C21964" s="11" t="s">
        <v>10178</v>
      </c>
      <c r="D21964" s="11" t="s">
        <v>10430</v>
      </c>
      <c r="E21964" s="10">
        <v>1264551</v>
      </c>
      <c r="F21964" s="4" t="str">
        <f>IF(B21964=B21963,"",B21964)</f>
        <v/>
      </c>
    </row>
    <row r="21965" spans="1:6" ht="15.75" customHeight="1">
      <c r="A21965" s="16" t="s">
        <v>12254</v>
      </c>
      <c r="B21965" s="15" t="s">
        <v>12254</v>
      </c>
      <c r="C21965" s="16" t="s">
        <v>10178</v>
      </c>
      <c r="D21965" s="16" t="s">
        <v>10317</v>
      </c>
      <c r="E21965" s="2">
        <v>1264555</v>
      </c>
      <c r="F21965" s="4" t="str">
        <f>IF(B21965=B21964,"",B21965)</f>
        <v>Madhubani</v>
      </c>
    </row>
    <row r="21966" spans="1:6" ht="15.75" customHeight="1">
      <c r="A21966" s="8" t="str">
        <f ca="1">IFERROR(__xludf.DUMMYFUNCTION("GOOGLETRANSLATE(B32899,""en"",""pt"")"),"Madhubani")</f>
        <v>Madhubani</v>
      </c>
      <c r="B21966" s="11" t="s">
        <v>12254</v>
      </c>
      <c r="C21966" s="11" t="s">
        <v>10178</v>
      </c>
      <c r="D21966" s="11" t="s">
        <v>10317</v>
      </c>
      <c r="E21966" s="10">
        <v>1264555</v>
      </c>
      <c r="F21966" s="4" t="str">
        <f>IF(B21966=B21965,"",B21966)</f>
        <v/>
      </c>
    </row>
    <row r="21967" spans="1:6" ht="15.75" customHeight="1">
      <c r="A21967" s="16" t="s">
        <v>12253</v>
      </c>
      <c r="B21967" s="15" t="s">
        <v>12253</v>
      </c>
      <c r="C21967" s="16" t="s">
        <v>10178</v>
      </c>
      <c r="D21967" s="16" t="s">
        <v>10317</v>
      </c>
      <c r="E21967" s="2">
        <v>1264570</v>
      </c>
      <c r="F21967" s="4" t="str">
        <f>IF(B21967=B21966,"",B21967)</f>
        <v>Madhipura</v>
      </c>
    </row>
    <row r="21968" spans="1:6" ht="15.75" customHeight="1">
      <c r="A21968" s="8" t="str">
        <f ca="1">IFERROR(__xludf.DUMMYFUNCTION("GOOGLETRANSLATE(B32900,""en"",""pt"")"),"Madhipura")</f>
        <v>Madhipura</v>
      </c>
      <c r="B21968" s="11" t="s">
        <v>12253</v>
      </c>
      <c r="C21968" s="11" t="s">
        <v>10178</v>
      </c>
      <c r="D21968" s="11" t="s">
        <v>10317</v>
      </c>
      <c r="E21968" s="10">
        <v>1264570</v>
      </c>
      <c r="F21968" s="4" t="str">
        <f>IF(B21968=B21967,"",B21968)</f>
        <v/>
      </c>
    </row>
    <row r="21969" spans="1:6" ht="15.75" customHeight="1">
      <c r="A21969" s="15" t="s">
        <v>12252</v>
      </c>
      <c r="B21969" s="15" t="s">
        <v>12252</v>
      </c>
      <c r="C21969" s="15" t="s">
        <v>10178</v>
      </c>
      <c r="D21969" s="15" t="s">
        <v>10856</v>
      </c>
      <c r="E21969" s="2">
        <v>1264588</v>
      </c>
      <c r="F21969" s="4" t="str">
        <f>IF(B21969=B21968,"",B21969)</f>
        <v>Madgaon</v>
      </c>
    </row>
    <row r="21970" spans="1:6" ht="15.75" customHeight="1">
      <c r="A21970" s="8" t="str">
        <f ca="1">IFERROR(__xludf.DUMMYFUNCTION("GOOGLETRANSLATE(B32901,""en"",""pt"")"),"Madgaon")</f>
        <v>Madgaon</v>
      </c>
      <c r="B21970" s="11" t="s">
        <v>12252</v>
      </c>
      <c r="C21970" s="11" t="s">
        <v>10178</v>
      </c>
      <c r="D21970" s="11" t="s">
        <v>10856</v>
      </c>
      <c r="E21970" s="10">
        <v>1264588</v>
      </c>
      <c r="F21970" s="4" t="str">
        <f>IF(B21970=B21969,"",B21970)</f>
        <v/>
      </c>
    </row>
    <row r="21971" spans="1:6" ht="15.75" customHeight="1">
      <c r="A21971" s="15" t="s">
        <v>29184</v>
      </c>
      <c r="B21971" s="15" t="s">
        <v>29184</v>
      </c>
      <c r="C21971" s="15" t="s">
        <v>27788</v>
      </c>
      <c r="D21971" s="15" t="s">
        <v>27801</v>
      </c>
      <c r="E21971" s="2">
        <v>5369568</v>
      </c>
      <c r="F21971" s="4" t="str">
        <f>IF(B21971=B21970,"",B21971)</f>
        <v>Madera</v>
      </c>
    </row>
    <row r="21972" spans="1:6" ht="15.75" customHeight="1">
      <c r="A21972" s="8" t="str">
        <f ca="1">IFERROR(__xludf.DUMMYFUNCTION("GOOGLETRANSLATE(B44896,""en"",""pt"")"),"Madera")</f>
        <v>Madera</v>
      </c>
      <c r="B21972" s="9" t="s">
        <v>29184</v>
      </c>
      <c r="C21972" s="9" t="s">
        <v>27788</v>
      </c>
      <c r="D21972" s="9" t="s">
        <v>27801</v>
      </c>
      <c r="E21972" s="10">
        <v>5369568</v>
      </c>
      <c r="F21972" s="4" t="str">
        <f>IF(B21972=B21971,"",B21972)</f>
        <v/>
      </c>
    </row>
    <row r="21973" spans="1:6" ht="15.75" customHeight="1">
      <c r="A21973" s="8" t="str">
        <f ca="1">IFERROR(__xludf.DUMMYFUNCTION("GOOGLETRANSLATE(B32902,""en"",""pt"")"),"Maddūr")</f>
        <v>Maddūr</v>
      </c>
      <c r="B21973" s="11" t="s">
        <v>33444</v>
      </c>
      <c r="C21973" s="11" t="s">
        <v>10178</v>
      </c>
      <c r="D21973" s="11" t="s">
        <v>10252</v>
      </c>
      <c r="E21973" s="10">
        <v>1264592</v>
      </c>
      <c r="F21973" s="4" t="str">
        <f>IF(B21973=B21972,"",B21973)</f>
        <v>Maddūr</v>
      </c>
    </row>
    <row r="21974" spans="1:6" ht="15.75" customHeight="1">
      <c r="A21974" s="16" t="s">
        <v>15234</v>
      </c>
      <c r="B21974" s="15" t="s">
        <v>15234</v>
      </c>
      <c r="C21974" s="16" t="s">
        <v>14891</v>
      </c>
      <c r="D21974" s="16" t="s">
        <v>14896</v>
      </c>
      <c r="E21974" s="2">
        <v>3174358</v>
      </c>
      <c r="F21974" s="4" t="str">
        <f>IF(B21974=B21973,"",B21974)</f>
        <v>Maddaloni</v>
      </c>
    </row>
    <row r="21975" spans="1:6" ht="15.75" customHeight="1">
      <c r="A21975" s="8" t="str">
        <f ca="1">IFERROR(__xludf.DUMMYFUNCTION("GOOGLETRANSLATE(B34859,""en"",""pt"")"),"Maddaloni")</f>
        <v>Maddaloni</v>
      </c>
      <c r="B21975" s="11" t="s">
        <v>15234</v>
      </c>
      <c r="C21975" s="11" t="s">
        <v>14891</v>
      </c>
      <c r="D21975" s="11" t="s">
        <v>14896</v>
      </c>
      <c r="E21975" s="10">
        <v>3174358</v>
      </c>
      <c r="F21975" s="4" t="str">
        <f>IF(B21975=B21974,"",B21975)</f>
        <v/>
      </c>
    </row>
    <row r="21976" spans="1:6" ht="15.75" customHeight="1">
      <c r="A21976" s="16" t="s">
        <v>12251</v>
      </c>
      <c r="B21976" s="15" t="s">
        <v>12251</v>
      </c>
      <c r="C21976" s="16" t="s">
        <v>10178</v>
      </c>
      <c r="D21976" s="16" t="s">
        <v>10252</v>
      </c>
      <c r="E21976" s="2">
        <v>1264553</v>
      </c>
      <c r="F21976" s="4" t="str">
        <f>IF(B21976=B21975,"",B21976)</f>
        <v>Maddagiri</v>
      </c>
    </row>
    <row r="21977" spans="1:6" ht="15.75" customHeight="1">
      <c r="A21977" s="8" t="str">
        <f ca="1">IFERROR(__xludf.DUMMYFUNCTION("GOOGLETRANSLATE(B32898,""en"",""pt"")"),"Maddagiri")</f>
        <v>Maddagiri</v>
      </c>
      <c r="B21977" s="11" t="s">
        <v>12251</v>
      </c>
      <c r="C21977" s="11" t="s">
        <v>10178</v>
      </c>
      <c r="D21977" s="11" t="s">
        <v>10252</v>
      </c>
      <c r="E21977" s="10">
        <v>1264553</v>
      </c>
      <c r="F21977" s="4" t="str">
        <f>IF(B21977=B21976,"",B21977)</f>
        <v/>
      </c>
    </row>
    <row r="21978" spans="1:6" ht="15.75" customHeight="1">
      <c r="A21978" s="15" t="s">
        <v>12249</v>
      </c>
      <c r="B21978" s="15" t="s">
        <v>12250</v>
      </c>
      <c r="C21978" s="15" t="s">
        <v>10178</v>
      </c>
      <c r="D21978" s="15" t="s">
        <v>10252</v>
      </c>
      <c r="E21978" s="2">
        <v>1264592</v>
      </c>
      <c r="F21978" s="4" t="str">
        <f>IF(B21978=B21977,"",B21978)</f>
        <v>MaddÅ«r</v>
      </c>
    </row>
    <row r="21979" spans="1:6" ht="15.75" customHeight="1">
      <c r="A21979" s="8" t="str">
        <f ca="1">IFERROR(__xludf.DUMMYFUNCTION("GOOGLETRANSLATE(B23782,""en"",""pt"")"),"Mādārīpur")</f>
        <v>Mādārīpur</v>
      </c>
      <c r="B21979" s="11" t="s">
        <v>31305</v>
      </c>
      <c r="C21979" s="11" t="s">
        <v>1296</v>
      </c>
      <c r="D21979" s="11" t="s">
        <v>1297</v>
      </c>
      <c r="E21979" s="10">
        <v>1337245</v>
      </c>
      <c r="F21979" s="4" t="str">
        <f>IF(B21979=B21978,"",B21979)</f>
        <v>Mādārīpur</v>
      </c>
    </row>
    <row r="21980" spans="1:6" ht="15.75" customHeight="1">
      <c r="A21980" s="15" t="s">
        <v>19275</v>
      </c>
      <c r="B21980" s="15" t="s">
        <v>19275</v>
      </c>
      <c r="C21980" s="15" t="s">
        <v>19259</v>
      </c>
      <c r="D21980" s="15" t="s">
        <v>19265</v>
      </c>
      <c r="E21980" s="2">
        <v>2441530</v>
      </c>
      <c r="F21980" s="4" t="str">
        <f>IF(B21980=B21979,"",B21980)</f>
        <v>Madaoua</v>
      </c>
    </row>
    <row r="21981" spans="1:6" ht="15.75" customHeight="1">
      <c r="A21981" s="8" t="str">
        <f ca="1">IFERROR(__xludf.DUMMYFUNCTION("GOOGLETRANSLATE(B37596,""en"",""pt"")"),"Madaoua")</f>
        <v>Madaoua</v>
      </c>
      <c r="B21981" s="11" t="s">
        <v>19275</v>
      </c>
      <c r="C21981" s="11" t="s">
        <v>19259</v>
      </c>
      <c r="D21981" s="11" t="s">
        <v>19265</v>
      </c>
      <c r="E21981" s="10">
        <v>2441530</v>
      </c>
      <c r="F21981" s="4" t="str">
        <f>IF(B21981=B21980,"",B21981)</f>
        <v/>
      </c>
    </row>
    <row r="21982" spans="1:6" ht="15.75" customHeight="1">
      <c r="A21982" s="15" t="s">
        <v>20419</v>
      </c>
      <c r="B21982" s="15" t="s">
        <v>20419</v>
      </c>
      <c r="C21982" s="15" t="s">
        <v>20406</v>
      </c>
      <c r="D21982" s="15" t="s">
        <v>20419</v>
      </c>
      <c r="E21982" s="2">
        <v>2091996</v>
      </c>
      <c r="F21982" s="4" t="str">
        <f>IF(B21982=B21981,"",B21982)</f>
        <v>Madang</v>
      </c>
    </row>
    <row r="21983" spans="1:6" ht="15.75" customHeight="1">
      <c r="A21983" s="8" t="str">
        <f ca="1">IFERROR(__xludf.DUMMYFUNCTION("GOOGLETRANSLATE(B38416,""en"",""pt"")"),"Madang")</f>
        <v>Madang</v>
      </c>
      <c r="B21983" s="9" t="s">
        <v>20419</v>
      </c>
      <c r="C21983" s="9" t="s">
        <v>20406</v>
      </c>
      <c r="D21983" s="9" t="s">
        <v>20419</v>
      </c>
      <c r="E21983" s="10">
        <v>2091996</v>
      </c>
      <c r="F21983" s="4" t="str">
        <f>IF(B21983=B21982,"",B21983)</f>
        <v/>
      </c>
    </row>
    <row r="21984" spans="1:6" ht="15.75" customHeight="1">
      <c r="A21984" s="16" t="s">
        <v>12248</v>
      </c>
      <c r="B21984" s="15" t="s">
        <v>12248</v>
      </c>
      <c r="C21984" s="16" t="s">
        <v>10178</v>
      </c>
      <c r="D21984" s="16" t="s">
        <v>10190</v>
      </c>
      <c r="E21984" s="2">
        <v>1264621</v>
      </c>
      <c r="F21984" s="4" t="str">
        <f>IF(B21984=B21983,"",B21984)</f>
        <v>Madanapalle</v>
      </c>
    </row>
    <row r="21985" spans="1:6" ht="15.75" customHeight="1">
      <c r="A21985" s="8" t="str">
        <f ca="1">IFERROR(__xludf.DUMMYFUNCTION("GOOGLETRANSLATE(B32903,""en"",""pt"")"),"Madanapalle")</f>
        <v>Madanapalle</v>
      </c>
      <c r="B21985" s="9" t="s">
        <v>12248</v>
      </c>
      <c r="C21985" s="9" t="s">
        <v>10178</v>
      </c>
      <c r="D21985" s="9" t="s">
        <v>10190</v>
      </c>
      <c r="E21985" s="10">
        <v>1264621</v>
      </c>
      <c r="F21985" s="4" t="str">
        <f>IF(B21985=B21984,"",B21985)</f>
        <v/>
      </c>
    </row>
    <row r="21986" spans="1:6" ht="15.75" customHeight="1">
      <c r="A21986" s="16" t="s">
        <v>12247</v>
      </c>
      <c r="B21986" s="15" t="s">
        <v>12247</v>
      </c>
      <c r="C21986" s="16" t="s">
        <v>10178</v>
      </c>
      <c r="D21986" s="16" t="s">
        <v>10196</v>
      </c>
      <c r="E21986" s="2">
        <v>1465910</v>
      </c>
      <c r="F21986" s="4" t="str">
        <f>IF(B21986=B21985,"",B21986)</f>
        <v>Madambakkam</v>
      </c>
    </row>
    <row r="21987" spans="1:6" ht="15.75" customHeight="1">
      <c r="A21987" s="8" t="str">
        <f ca="1">IFERROR(__xludf.DUMMYFUNCTION("GOOGLETRANSLATE(B34204,""en"",""pt"")"),"Madambakkam")</f>
        <v>Madambakkam</v>
      </c>
      <c r="B21987" s="9" t="s">
        <v>12247</v>
      </c>
      <c r="C21987" s="9" t="s">
        <v>10178</v>
      </c>
      <c r="D21987" s="9" t="s">
        <v>10196</v>
      </c>
      <c r="E21987" s="10">
        <v>1465910</v>
      </c>
      <c r="F21987" s="4" t="str">
        <f>IF(B21987=B21986,"",B21987)</f>
        <v/>
      </c>
    </row>
    <row r="21988" spans="1:6" ht="15.75" customHeight="1">
      <c r="A21988" s="8" t="str">
        <f ca="1">IFERROR(__xludf.DUMMYFUNCTION("GOOGLETRANSLATE(B35125,""en"",""pt"")"),"Mādabā")</f>
        <v>Mādabā</v>
      </c>
      <c r="B21988" s="11" t="s">
        <v>34280</v>
      </c>
      <c r="C21988" s="11" t="s">
        <v>16624</v>
      </c>
      <c r="D21988" s="11" t="s">
        <v>16655</v>
      </c>
      <c r="E21988" s="10">
        <v>248370</v>
      </c>
      <c r="F21988" s="4" t="str">
        <f>IF(B21988=B21987,"",B21988)</f>
        <v>Mādabā</v>
      </c>
    </row>
    <row r="21989" spans="1:6" ht="15.75" customHeight="1">
      <c r="A21989" s="16" t="s">
        <v>6675</v>
      </c>
      <c r="B21989" s="15" t="s">
        <v>6676</v>
      </c>
      <c r="C21989" s="16" t="s">
        <v>6495</v>
      </c>
      <c r="D21989" s="16" t="s">
        <v>6513</v>
      </c>
      <c r="E21989" s="2">
        <v>353219</v>
      </c>
      <c r="F21989" s="4" t="str">
        <f>IF(B21989=B21988,"",B21989)</f>
        <v>MadÄ«nat Sittah UktÅ«bar</v>
      </c>
    </row>
    <row r="21990" spans="1:6" ht="15.75" customHeight="1">
      <c r="A21990" s="16" t="s">
        <v>1292</v>
      </c>
      <c r="B21990" s="15" t="s">
        <v>1293</v>
      </c>
      <c r="C21990" s="16" t="s">
        <v>1279</v>
      </c>
      <c r="D21990" s="16" t="s">
        <v>1283</v>
      </c>
      <c r="E21990" s="2">
        <v>290187</v>
      </c>
      <c r="F21990" s="4" t="str">
        <f>IF(B21990=B21989,"",B21990)</f>
        <v>MadÄ«nat â€˜ÄªsÃ¡</v>
      </c>
    </row>
    <row r="21991" spans="1:6" ht="15.75" customHeight="1">
      <c r="A21991" s="16" t="s">
        <v>1289</v>
      </c>
      <c r="B21991" s="15" t="s">
        <v>1290</v>
      </c>
      <c r="C21991" s="16" t="s">
        <v>1279</v>
      </c>
      <c r="D21991" s="16" t="s">
        <v>1291</v>
      </c>
      <c r="E21991" s="2">
        <v>290247</v>
      </c>
      <c r="F21991" s="4" t="str">
        <f>IF(B21991=B21990,"",B21991)</f>
        <v>MadÄ«nat á¸¨amad</v>
      </c>
    </row>
    <row r="21992" spans="1:6" ht="15.75" customHeight="1">
      <c r="A21992" s="16" t="s">
        <v>18060</v>
      </c>
      <c r="B21992" s="15" t="s">
        <v>18060</v>
      </c>
      <c r="C21992" s="16" t="s">
        <v>17707</v>
      </c>
      <c r="D21992" s="16" t="s">
        <v>17788</v>
      </c>
      <c r="E21992" s="2">
        <v>3523791</v>
      </c>
      <c r="F21992" s="4" t="str">
        <f>IF(B21992=B21991,"",B21992)</f>
        <v>Macuspana</v>
      </c>
    </row>
    <row r="21993" spans="1:6" ht="15.75" customHeight="1">
      <c r="A21993" s="8" t="str">
        <f ca="1">IFERROR(__xludf.DUMMYFUNCTION("GOOGLETRANSLATE(B36990,""en"",""pt"")"),"Macuspana")</f>
        <v>Macuspana</v>
      </c>
      <c r="B21993" s="9" t="s">
        <v>18060</v>
      </c>
      <c r="C21993" s="9" t="s">
        <v>17707</v>
      </c>
      <c r="D21993" s="9" t="s">
        <v>17788</v>
      </c>
      <c r="E21993" s="10">
        <v>3523791</v>
      </c>
      <c r="F21993" s="4" t="str">
        <f>IF(B21993=B21992,"",B21993)</f>
        <v/>
      </c>
    </row>
    <row r="21994" spans="1:6" ht="15.75" customHeight="1">
      <c r="A21994" s="8" t="str">
        <f ca="1">IFERROR(__xludf.DUMMYFUNCTION("GOOGLETRANSLATE(B29948,""en"",""pt"")"),"Mâcon")</f>
        <v>Mâcon</v>
      </c>
      <c r="B21994" s="11" t="s">
        <v>32581</v>
      </c>
      <c r="C21994" s="11" t="s">
        <v>7052</v>
      </c>
      <c r="D21994" s="11" t="s">
        <v>32540</v>
      </c>
      <c r="E21994" s="10">
        <v>2996882</v>
      </c>
      <c r="F21994" s="4" t="str">
        <f>IF(B21994=B21993,"",B21994)</f>
        <v>Mâcon</v>
      </c>
    </row>
    <row r="21995" spans="1:6" ht="15.75" customHeight="1">
      <c r="A21995" s="15" t="s">
        <v>29183</v>
      </c>
      <c r="B21995" s="15" t="s">
        <v>29183</v>
      </c>
      <c r="C21995" s="15" t="s">
        <v>27788</v>
      </c>
      <c r="D21995" s="15" t="s">
        <v>7988</v>
      </c>
      <c r="E21995" s="2">
        <v>4207400</v>
      </c>
      <c r="F21995" s="4" t="str">
        <f>IF(B21995=B21994,"",B21995)</f>
        <v>Macon</v>
      </c>
    </row>
    <row r="21996" spans="1:6" ht="15.75" customHeight="1">
      <c r="A21996" s="8" t="str">
        <f ca="1">IFERROR(__xludf.DUMMYFUNCTION("GOOGLETRANSLATE(B43092,""en"",""pt"")"),"Macon")</f>
        <v>Macon</v>
      </c>
      <c r="B21996" s="11" t="s">
        <v>29183</v>
      </c>
      <c r="C21996" s="11" t="s">
        <v>27788</v>
      </c>
      <c r="D21996" s="11" t="s">
        <v>7988</v>
      </c>
      <c r="E21996" s="10">
        <v>4207400</v>
      </c>
      <c r="F21996" s="4" t="str">
        <f>IF(B21996=B21995,"",B21996)</f>
        <v/>
      </c>
    </row>
    <row r="21997" spans="1:6" ht="15.75" customHeight="1">
      <c r="A21997" s="15" t="s">
        <v>29182</v>
      </c>
      <c r="B21997" s="15" t="s">
        <v>29182</v>
      </c>
      <c r="C21997" s="15" t="s">
        <v>27788</v>
      </c>
      <c r="D21997" s="15" t="s">
        <v>27799</v>
      </c>
      <c r="E21997" s="2">
        <v>4900817</v>
      </c>
      <c r="F21997" s="4" t="str">
        <f>IF(B21997=B21996,"",B21997)</f>
        <v>Macomb</v>
      </c>
    </row>
    <row r="21998" spans="1:6" ht="15.75" customHeight="1">
      <c r="A21998" s="8" t="str">
        <f ca="1">IFERROR(__xludf.DUMMYFUNCTION("GOOGLETRANSLATE(B43840,""en"",""pt"")"),"Macomb")</f>
        <v>Macomb</v>
      </c>
      <c r="B21998" s="11" t="s">
        <v>29182</v>
      </c>
      <c r="C21998" s="11" t="s">
        <v>27788</v>
      </c>
      <c r="D21998" s="11" t="s">
        <v>27799</v>
      </c>
      <c r="E21998" s="10">
        <v>4900817</v>
      </c>
      <c r="F21998" s="4" t="str">
        <f>IF(B21998=B21997,"",B21998)</f>
        <v/>
      </c>
    </row>
    <row r="21999" spans="1:6" ht="15.75" customHeight="1">
      <c r="A21999" s="15" t="s">
        <v>1018</v>
      </c>
      <c r="B21999" s="15" t="s">
        <v>1018</v>
      </c>
      <c r="C21999" s="15" t="s">
        <v>885</v>
      </c>
      <c r="D21999" s="15" t="s">
        <v>910</v>
      </c>
      <c r="E21999" s="2">
        <v>2159220</v>
      </c>
      <c r="F21999" s="4" t="str">
        <f>IF(B21999=B21998,"",B21999)</f>
        <v>Mackay</v>
      </c>
    </row>
    <row r="22000" spans="1:6" ht="15.75" customHeight="1">
      <c r="A22000" s="8" t="str">
        <f ca="1">IFERROR(__xludf.DUMMYFUNCTION("GOOGLETRANSLATE(B23490,""en"",""pt"")"),"Mackay")</f>
        <v>Mackay</v>
      </c>
      <c r="B22000" s="11" t="s">
        <v>1018</v>
      </c>
      <c r="C22000" s="11" t="s">
        <v>885</v>
      </c>
      <c r="D22000" s="11" t="s">
        <v>910</v>
      </c>
      <c r="E22000" s="10">
        <v>2159220</v>
      </c>
      <c r="F22000" s="4" t="str">
        <f>IF(B22000=B21999,"",B22000)</f>
        <v/>
      </c>
    </row>
    <row r="22001" spans="1:6" ht="15.75" customHeight="1">
      <c r="A22001" s="15" t="s">
        <v>18675</v>
      </c>
      <c r="B22001" s="15" t="s">
        <v>18675</v>
      </c>
      <c r="C22001" s="15" t="s">
        <v>18655</v>
      </c>
      <c r="D22001" s="15" t="s">
        <v>18661</v>
      </c>
      <c r="E22001" s="2">
        <v>1024701</v>
      </c>
      <c r="F22001" s="4" t="str">
        <f>IF(B22001=B22000,"",B22001)</f>
        <v>Macia</v>
      </c>
    </row>
    <row r="22002" spans="1:6" ht="15.75" customHeight="1">
      <c r="A22002" s="8" t="str">
        <f ca="1">IFERROR(__xludf.DUMMYFUNCTION("GOOGLETRANSLATE(B37542,""en"",""pt"")"),"Macia")</f>
        <v>Macia</v>
      </c>
      <c r="B22002" s="11" t="s">
        <v>18675</v>
      </c>
      <c r="C22002" s="11" t="s">
        <v>18655</v>
      </c>
      <c r="D22002" s="11" t="s">
        <v>18661</v>
      </c>
      <c r="E22002" s="10">
        <v>1024701</v>
      </c>
      <c r="F22002" s="4" t="str">
        <f>IF(B22002=B22001,"",B22002)</f>
        <v/>
      </c>
    </row>
    <row r="22003" spans="1:6" ht="15.75" customHeight="1">
      <c r="A22003" s="16" t="s">
        <v>30722</v>
      </c>
      <c r="B22003" s="15" t="s">
        <v>30723</v>
      </c>
      <c r="C22003" s="16" t="s">
        <v>5923</v>
      </c>
      <c r="D22003" s="16" t="s">
        <v>30649</v>
      </c>
      <c r="E22003" s="2">
        <v>3633444</v>
      </c>
      <c r="F22003" s="4" t="str">
        <f>IF(B22003=B22002,"",B22003)</f>
        <v>Machiques</v>
      </c>
    </row>
    <row r="22004" spans="1:6" ht="15.75" customHeight="1">
      <c r="A22004" s="8" t="str">
        <f ca="1">IFERROR(__xludf.DUMMYFUNCTION("GOOGLETRANSLATE(B45649,""en"",""pt"")"),"Máquinas")</f>
        <v>Máquinas</v>
      </c>
      <c r="B22004" s="11" t="s">
        <v>30723</v>
      </c>
      <c r="C22004" s="11" t="s">
        <v>5923</v>
      </c>
      <c r="D22004" s="11" t="s">
        <v>30649</v>
      </c>
      <c r="E22004" s="10">
        <v>3633444</v>
      </c>
      <c r="F22004" s="4" t="str">
        <f>IF(B22004=B22003,"",B22004)</f>
        <v/>
      </c>
    </row>
    <row r="22005" spans="1:6" ht="15.75" customHeight="1">
      <c r="A22005" s="8" t="str">
        <f ca="1">IFERROR(__xludf.DUMMYFUNCTION("GOOGLETRANSLATE(B32904,""en"",""pt"")"),"Machilīpatnam")</f>
        <v>Machilīpatnam</v>
      </c>
      <c r="B22005" s="9" t="s">
        <v>33445</v>
      </c>
      <c r="C22005" s="9" t="s">
        <v>10178</v>
      </c>
      <c r="D22005" s="9" t="s">
        <v>10190</v>
      </c>
      <c r="E22005" s="10">
        <v>1264637</v>
      </c>
      <c r="F22005" s="4" t="str">
        <f>IF(B22005=B22004,"",B22005)</f>
        <v>Machilīpatnam</v>
      </c>
    </row>
    <row r="22006" spans="1:6" ht="15.75" customHeight="1">
      <c r="A22006" s="16" t="s">
        <v>12245</v>
      </c>
      <c r="B22006" s="15" t="s">
        <v>12246</v>
      </c>
      <c r="C22006" s="16" t="s">
        <v>10178</v>
      </c>
      <c r="D22006" s="16" t="s">
        <v>10190</v>
      </c>
      <c r="E22006" s="2">
        <v>1264637</v>
      </c>
      <c r="F22006" s="4" t="str">
        <f>IF(B22006=B22005,"",B22006)</f>
        <v>MachilÄ«patnam</v>
      </c>
    </row>
    <row r="22007" spans="1:6" ht="15.75" customHeight="1">
      <c r="A22007" s="15" t="s">
        <v>16186</v>
      </c>
      <c r="B22007" s="15" t="s">
        <v>16186</v>
      </c>
      <c r="C22007" s="15" t="s">
        <v>15704</v>
      </c>
      <c r="D22007" s="15" t="s">
        <v>15776</v>
      </c>
      <c r="E22007" s="2">
        <v>1857871</v>
      </c>
      <c r="F22007" s="4" t="str">
        <f>IF(B22007=B22006,"",B22007)</f>
        <v>Machida</v>
      </c>
    </row>
    <row r="22008" spans="1:6" ht="15.75" customHeight="1">
      <c r="A22008" s="8" t="str">
        <f ca="1">IFERROR(__xludf.DUMMYFUNCTION("GOOGLETRANSLATE(B35456,""en"",""pt"")"),"Machida")</f>
        <v>Machida</v>
      </c>
      <c r="B22008" s="11" t="s">
        <v>16186</v>
      </c>
      <c r="C22008" s="11" t="s">
        <v>15704</v>
      </c>
      <c r="D22008" s="11" t="s">
        <v>15776</v>
      </c>
      <c r="E22008" s="10">
        <v>1857871</v>
      </c>
      <c r="F22008" s="4" t="str">
        <f>IF(B22008=B22007,"",B22008)</f>
        <v/>
      </c>
    </row>
    <row r="22009" spans="1:6" ht="15.75" customHeight="1">
      <c r="A22009" s="8" t="str">
        <f ca="1">IFERROR(__xludf.DUMMYFUNCTION("GOOGLETRANSLATE(B32905,""en"",""pt"")"),"Machhlīshahr")</f>
        <v>Machhlīshahr</v>
      </c>
      <c r="B22009" s="9" t="s">
        <v>33446</v>
      </c>
      <c r="C22009" s="9" t="s">
        <v>10178</v>
      </c>
      <c r="D22009" s="9" t="s">
        <v>10193</v>
      </c>
      <c r="E22009" s="10">
        <v>1264643</v>
      </c>
      <c r="F22009" s="4" t="str">
        <f>IF(B22009=B22008,"",B22009)</f>
        <v>Machhlīshahr</v>
      </c>
    </row>
    <row r="22010" spans="1:6" ht="15.75" customHeight="1">
      <c r="A22010" s="16" t="s">
        <v>12243</v>
      </c>
      <c r="B22010" s="15" t="s">
        <v>12244</v>
      </c>
      <c r="C22010" s="16" t="s">
        <v>10178</v>
      </c>
      <c r="D22010" s="16" t="s">
        <v>10193</v>
      </c>
      <c r="E22010" s="2">
        <v>1264643</v>
      </c>
      <c r="F22010" s="4" t="str">
        <f>IF(B22010=B22009,"",B22010)</f>
        <v>MachhlÄ«shahr</v>
      </c>
    </row>
    <row r="22011" spans="1:6" ht="15.75" customHeight="1">
      <c r="A22011" s="8" t="str">
        <f ca="1">IFERROR(__xludf.DUMMYFUNCTION("GOOGLETRANSLATE(B32906,""en"",""pt"")"),"Māchhīwāra")</f>
        <v>Māchhīwāra</v>
      </c>
      <c r="B22011" s="9" t="s">
        <v>33447</v>
      </c>
      <c r="C22011" s="9" t="s">
        <v>10178</v>
      </c>
      <c r="D22011" s="9" t="s">
        <v>10184</v>
      </c>
      <c r="E22011" s="10">
        <v>1264644</v>
      </c>
      <c r="F22011" s="4" t="str">
        <f>IF(B22011=B22010,"",B22011)</f>
        <v>Māchhīwāra</v>
      </c>
    </row>
    <row r="22012" spans="1:6" ht="15.75" customHeight="1">
      <c r="A22012" s="16" t="s">
        <v>29181</v>
      </c>
      <c r="B22012" s="15" t="s">
        <v>29181</v>
      </c>
      <c r="C22012" s="16" t="s">
        <v>27788</v>
      </c>
      <c r="D22012" s="16" t="s">
        <v>27799</v>
      </c>
      <c r="E22012" s="2">
        <v>4900801</v>
      </c>
      <c r="F22012" s="4" t="str">
        <f>IF(B22012=B22011,"",B22012)</f>
        <v>Machesney Park</v>
      </c>
    </row>
    <row r="22013" spans="1:6" ht="15.75" customHeight="1">
      <c r="A22013" s="8" t="str">
        <f ca="1">IFERROR(__xludf.DUMMYFUNCTION("GOOGLETRANSLATE(B43839,""en"",""pt"")"),"Machesney Park")</f>
        <v>Machesney Park</v>
      </c>
      <c r="B22013" s="11" t="s">
        <v>29181</v>
      </c>
      <c r="C22013" s="11" t="s">
        <v>27788</v>
      </c>
      <c r="D22013" s="11" t="s">
        <v>27799</v>
      </c>
      <c r="E22013" s="10">
        <v>4900801</v>
      </c>
      <c r="F22013" s="4" t="str">
        <f>IF(B22013=B22012,"",B22013)</f>
        <v/>
      </c>
    </row>
    <row r="22014" spans="1:6" ht="15.75" customHeight="1">
      <c r="A22014" s="8" t="str">
        <f ca="1">IFERROR(__xludf.DUMMYFUNCTION("GOOGLETRANSLATE(B32907,""en"",""pt"")"),"Mācherla")</f>
        <v>Mācherla</v>
      </c>
      <c r="B22014" s="9" t="s">
        <v>33448</v>
      </c>
      <c r="C22014" s="9" t="s">
        <v>10178</v>
      </c>
      <c r="D22014" s="9" t="s">
        <v>10190</v>
      </c>
      <c r="E22014" s="10">
        <v>1264647</v>
      </c>
      <c r="F22014" s="4" t="str">
        <f>IF(B22014=B22013,"",B22014)</f>
        <v>Mācherla</v>
      </c>
    </row>
    <row r="22015" spans="1:6" ht="15.75" customHeight="1">
      <c r="A22015" s="15" t="s">
        <v>4936</v>
      </c>
      <c r="B22015" s="15" t="s">
        <v>4936</v>
      </c>
      <c r="C22015" s="15" t="s">
        <v>4487</v>
      </c>
      <c r="D22015" s="15" t="s">
        <v>4499</v>
      </c>
      <c r="E22015" s="2">
        <v>1801582</v>
      </c>
      <c r="F22015" s="4" t="str">
        <f>IF(B22015=B22014,"",B22015)</f>
        <v>Macheng</v>
      </c>
    </row>
    <row r="22016" spans="1:6" ht="15.75" customHeight="1">
      <c r="A22016" s="8" t="str">
        <f ca="1">IFERROR(__xludf.DUMMYFUNCTION("GOOGLETRANSLATE(B26362,""en"",""pt"")"),"Macheng")</f>
        <v>Macheng</v>
      </c>
      <c r="B22016" s="11" t="s">
        <v>4936</v>
      </c>
      <c r="C22016" s="11" t="s">
        <v>4487</v>
      </c>
      <c r="D22016" s="11" t="s">
        <v>4499</v>
      </c>
      <c r="E22016" s="10">
        <v>1801582</v>
      </c>
      <c r="F22016" s="4" t="str">
        <f>IF(B22016=B22015,"",B22016)</f>
        <v/>
      </c>
    </row>
    <row r="22017" spans="1:6" ht="15.75" customHeight="1">
      <c r="A22017" s="8" t="str">
        <f ca="1">IFERROR(__xludf.DUMMYFUNCTION("GOOGLETRANSLATE(B25930,""en"",""pt"")"),"Machalí")</f>
        <v>Machalí</v>
      </c>
      <c r="B22017" s="9" t="s">
        <v>31804</v>
      </c>
      <c r="C22017" s="9" t="s">
        <v>4355</v>
      </c>
      <c r="D22017" s="9" t="s">
        <v>4379</v>
      </c>
      <c r="E22017" s="10">
        <v>3881102</v>
      </c>
      <c r="F22017" s="4" t="str">
        <f>IF(B22017=B22016,"",B22017)</f>
        <v>Machalí</v>
      </c>
    </row>
    <row r="22018" spans="1:6" ht="15.75" customHeight="1">
      <c r="A22018" s="15" t="s">
        <v>4429</v>
      </c>
      <c r="B22018" s="15" t="s">
        <v>4430</v>
      </c>
      <c r="C22018" s="15" t="s">
        <v>4355</v>
      </c>
      <c r="D22018" s="15" t="s">
        <v>4379</v>
      </c>
      <c r="E22018" s="2">
        <v>3881102</v>
      </c>
      <c r="F22018" s="4" t="str">
        <f>IF(B22018=B22017,"",B22018)</f>
        <v>MachalÃ­</v>
      </c>
    </row>
    <row r="22019" spans="1:6" ht="15.75" customHeight="1">
      <c r="A22019" s="16" t="s">
        <v>6444</v>
      </c>
      <c r="B22019" s="15" t="s">
        <v>6445</v>
      </c>
      <c r="C22019" s="16" t="s">
        <v>6398</v>
      </c>
      <c r="D22019" s="16" t="s">
        <v>6432</v>
      </c>
      <c r="E22019" s="2">
        <v>3654533</v>
      </c>
      <c r="F22019" s="4" t="str">
        <f>IF(B22019=B22018,"",B22019)</f>
        <v>Machala</v>
      </c>
    </row>
    <row r="22020" spans="1:6" ht="15.75" customHeight="1">
      <c r="A22020" s="8" t="str">
        <f ca="1">IFERROR(__xludf.DUMMYFUNCTION("GOOGLETRANSLATE(B28780,""en"",""pt"")"),"MACHALA")</f>
        <v>MACHALA</v>
      </c>
      <c r="B22020" s="11" t="s">
        <v>6445</v>
      </c>
      <c r="C22020" s="11" t="s">
        <v>6398</v>
      </c>
      <c r="D22020" s="11" t="s">
        <v>6432</v>
      </c>
      <c r="E22020" s="10">
        <v>3654533</v>
      </c>
      <c r="F22020" s="4" t="str">
        <f>IF(B22020=B22019,"",B22020)</f>
        <v/>
      </c>
    </row>
    <row r="22021" spans="1:6" ht="15.75" customHeight="1">
      <c r="A22021" s="16" t="s">
        <v>16782</v>
      </c>
      <c r="B22021" s="15" t="s">
        <v>16782</v>
      </c>
      <c r="C22021" s="16" t="s">
        <v>16781</v>
      </c>
      <c r="D22021" s="16" t="s">
        <v>16782</v>
      </c>
      <c r="E22021" s="2">
        <v>188492</v>
      </c>
      <c r="F22021" s="4" t="str">
        <f>IF(B22021=B22020,"",B22021)</f>
        <v>Machakos</v>
      </c>
    </row>
    <row r="22022" spans="1:6" ht="15.75" customHeight="1">
      <c r="A22022" s="8" t="str">
        <f ca="1">IFERROR(__xludf.DUMMYFUNCTION("GOOGLETRANSLATE(B35910,""en"",""pt"")"),"Machakos")</f>
        <v>Machakos</v>
      </c>
      <c r="B22022" s="9" t="s">
        <v>16782</v>
      </c>
      <c r="C22022" s="9" t="s">
        <v>16781</v>
      </c>
      <c r="D22022" s="9" t="s">
        <v>16782</v>
      </c>
      <c r="E22022" s="10">
        <v>188492</v>
      </c>
      <c r="F22022" s="4" t="str">
        <f>IF(B22022=B22021,"",B22022)</f>
        <v/>
      </c>
    </row>
    <row r="22023" spans="1:6" ht="15.75" customHeight="1">
      <c r="A22023" s="15" t="s">
        <v>703</v>
      </c>
      <c r="B22023" s="15" t="s">
        <v>703</v>
      </c>
      <c r="C22023" s="15" t="s">
        <v>558</v>
      </c>
      <c r="D22023" s="15" t="s">
        <v>586</v>
      </c>
      <c r="E22023" s="2">
        <v>3845330</v>
      </c>
      <c r="F22023" s="4" t="str">
        <f>IF(B22023=B22022,"",B22023)</f>
        <v>Machagai</v>
      </c>
    </row>
    <row r="22024" spans="1:6" ht="15.75" customHeight="1">
      <c r="A22024" s="8" t="str">
        <f ca="1">IFERROR(__xludf.DUMMYFUNCTION("GOOGLETRANSLATE(B23305,""en"",""pt"")"),"Machagai")</f>
        <v>Machagai</v>
      </c>
      <c r="B22024" s="11" t="s">
        <v>703</v>
      </c>
      <c r="C22024" s="11" t="s">
        <v>558</v>
      </c>
      <c r="D22024" s="11" t="s">
        <v>586</v>
      </c>
      <c r="E22024" s="10">
        <v>3845330</v>
      </c>
      <c r="F22024" s="4" t="str">
        <f>IF(B22024=B22023,"",B22024)</f>
        <v/>
      </c>
    </row>
    <row r="22025" spans="1:6" ht="15.75" customHeight="1">
      <c r="A22025" s="15" t="s">
        <v>2837</v>
      </c>
      <c r="B22025" s="15" t="s">
        <v>2837</v>
      </c>
      <c r="C22025" s="15" t="s">
        <v>1905</v>
      </c>
      <c r="D22025" s="15" t="s">
        <v>1917</v>
      </c>
      <c r="E22025" s="2">
        <v>3458211</v>
      </c>
      <c r="F22025" s="4" t="str">
        <f>IF(B22025=B22024,"",B22025)</f>
        <v>Machado</v>
      </c>
    </row>
    <row r="22026" spans="1:6" ht="15.75" customHeight="1">
      <c r="A22026" s="8" t="str">
        <f ca="1">IFERROR(__xludf.DUMMYFUNCTION("GOOGLETRANSLATE(B24846,""en"",""pt"")"),"Machado")</f>
        <v>Machado</v>
      </c>
      <c r="B22026" s="11" t="s">
        <v>2837</v>
      </c>
      <c r="C22026" s="11" t="s">
        <v>1905</v>
      </c>
      <c r="D22026" s="11" t="s">
        <v>1917</v>
      </c>
      <c r="E22026" s="10">
        <v>3458211</v>
      </c>
      <c r="F22026" s="4" t="str">
        <f>IF(B22026=B22025,"",B22026)</f>
        <v/>
      </c>
    </row>
    <row r="22027" spans="1:6" ht="15.75" customHeight="1">
      <c r="A22027" s="15" t="s">
        <v>6443</v>
      </c>
      <c r="B22027" s="15" t="s">
        <v>6443</v>
      </c>
      <c r="C22027" s="15" t="s">
        <v>6398</v>
      </c>
      <c r="D22027" s="15" t="s">
        <v>6420</v>
      </c>
      <c r="E22027" s="2">
        <v>3654536</v>
      </c>
      <c r="F22027" s="4" t="str">
        <f>IF(B22027=B22026,"",B22027)</f>
        <v>Machachi</v>
      </c>
    </row>
    <row r="22028" spans="1:6" ht="15.75" customHeight="1">
      <c r="A22028" s="8" t="str">
        <f ca="1">IFERROR(__xludf.DUMMYFUNCTION("GOOGLETRANSLATE(B28781,""en"",""pt"")"),"Machachi")</f>
        <v>Machachi</v>
      </c>
      <c r="B22028" s="11" t="s">
        <v>6443</v>
      </c>
      <c r="C22028" s="11" t="s">
        <v>6398</v>
      </c>
      <c r="D22028" s="11" t="s">
        <v>6420</v>
      </c>
      <c r="E22028" s="10">
        <v>3654536</v>
      </c>
      <c r="F22028" s="4" t="str">
        <f>IF(B22028=B22027,"",B22028)</f>
        <v/>
      </c>
    </row>
    <row r="22029" spans="1:6" ht="15.75" customHeight="1">
      <c r="A22029" s="15" t="s">
        <v>20084</v>
      </c>
      <c r="B22029" s="15" t="s">
        <v>20084</v>
      </c>
      <c r="C22029" s="15" t="s">
        <v>19808</v>
      </c>
      <c r="D22029" s="15" t="s">
        <v>19833</v>
      </c>
      <c r="E22029" s="2">
        <v>1171757</v>
      </c>
      <c r="F22029" s="4" t="str">
        <f>IF(B22029=B22028,"",B22029)</f>
        <v>Mach</v>
      </c>
    </row>
    <row r="22030" spans="1:6" ht="15.75" customHeight="1">
      <c r="A22030" s="8" t="str">
        <f ca="1">IFERROR(__xludf.DUMMYFUNCTION("GOOGLETRANSLATE(B39001,""en"",""pt"")"),"Mach")</f>
        <v>Mach</v>
      </c>
      <c r="B22030" s="11" t="s">
        <v>20084</v>
      </c>
      <c r="C22030" s="11" t="s">
        <v>19808</v>
      </c>
      <c r="D22030" s="11" t="s">
        <v>34892</v>
      </c>
      <c r="E22030" s="10">
        <v>1171757</v>
      </c>
      <c r="F22030" s="4" t="str">
        <f>IF(B22030=B22029,"",B22030)</f>
        <v/>
      </c>
    </row>
    <row r="22031" spans="1:6" ht="15.75" customHeight="1">
      <c r="A22031" s="15" t="s">
        <v>15233</v>
      </c>
      <c r="B22031" s="15" t="s">
        <v>15233</v>
      </c>
      <c r="C22031" s="15" t="s">
        <v>14891</v>
      </c>
      <c r="D22031" s="15" t="s">
        <v>14931</v>
      </c>
      <c r="E22031" s="2">
        <v>3174380</v>
      </c>
      <c r="F22031" s="4" t="str">
        <f>IF(B22031=B22030,"",B22031)</f>
        <v>Macerata</v>
      </c>
    </row>
    <row r="22032" spans="1:6" ht="15.75" customHeight="1">
      <c r="A22032" s="8" t="str">
        <f ca="1">IFERROR(__xludf.DUMMYFUNCTION("GOOGLETRANSLATE(B34860,""en"",""pt"")"),"Macerata")</f>
        <v>Macerata</v>
      </c>
      <c r="B22032" s="9" t="s">
        <v>15233</v>
      </c>
      <c r="C22032" s="9" t="s">
        <v>14891</v>
      </c>
      <c r="D22032" s="9" t="s">
        <v>14931</v>
      </c>
      <c r="E22032" s="10">
        <v>3174380</v>
      </c>
      <c r="F22032" s="4" t="str">
        <f>IF(B22032=B22031,"",B22032)</f>
        <v/>
      </c>
    </row>
    <row r="22033" spans="1:6" ht="15.75" customHeight="1">
      <c r="A22033" s="15" t="s">
        <v>9842</v>
      </c>
      <c r="B22033" s="15" t="s">
        <v>9842</v>
      </c>
      <c r="C22033" s="15" t="s">
        <v>9826</v>
      </c>
      <c r="D22033" s="15" t="s">
        <v>9834</v>
      </c>
      <c r="E22033" s="2">
        <v>2417988</v>
      </c>
      <c r="F22033" s="4" t="str">
        <f>IF(B22033=B22032,"",B22033)</f>
        <v>Macenta</v>
      </c>
    </row>
    <row r="22034" spans="1:6" ht="15.75" customHeight="1">
      <c r="A22034" s="8" t="str">
        <f ca="1">IFERROR(__xludf.DUMMYFUNCTION("GOOGLETRANSLATE(B30928,""en"",""pt"")"),"Macenta")</f>
        <v>Macenta</v>
      </c>
      <c r="B22034" s="9" t="s">
        <v>9842</v>
      </c>
      <c r="C22034" s="9" t="s">
        <v>9826</v>
      </c>
      <c r="D22034" s="9" t="s">
        <v>9834</v>
      </c>
      <c r="E22034" s="10">
        <v>2417988</v>
      </c>
      <c r="F22034" s="4" t="str">
        <f>IF(B22034=B22033,"",B22034)</f>
        <v/>
      </c>
    </row>
    <row r="22035" spans="1:6" ht="15.75" customHeight="1">
      <c r="A22035" s="8" t="str">
        <f ca="1">IFERROR(__xludf.DUMMYFUNCTION("GOOGLETRANSLATE(B24276,""en"",""pt"")"),"Maceió")</f>
        <v>Maceió</v>
      </c>
      <c r="B22035" s="11" t="s">
        <v>31389</v>
      </c>
      <c r="C22035" s="11" t="s">
        <v>1905</v>
      </c>
      <c r="D22035" s="11" t="s">
        <v>2015</v>
      </c>
      <c r="E22035" s="10">
        <v>3395981</v>
      </c>
      <c r="F22035" s="4" t="str">
        <f>IF(B22035=B22034,"",B22035)</f>
        <v>Maceió</v>
      </c>
    </row>
    <row r="22036" spans="1:6" ht="15.75" customHeight="1">
      <c r="A22036" s="15" t="s">
        <v>2835</v>
      </c>
      <c r="B22036" s="15" t="s">
        <v>2836</v>
      </c>
      <c r="C22036" s="15" t="s">
        <v>1905</v>
      </c>
      <c r="D22036" s="15" t="s">
        <v>2015</v>
      </c>
      <c r="E22036" s="2">
        <v>3395981</v>
      </c>
      <c r="F22036" s="4" t="str">
        <f>IF(B22036=B22035,"",B22036)</f>
        <v>MaceiÃ³</v>
      </c>
    </row>
    <row r="22037" spans="1:6" ht="15.75" customHeight="1">
      <c r="A22037" s="16" t="s">
        <v>27514</v>
      </c>
      <c r="B22037" s="15" t="s">
        <v>27514</v>
      </c>
      <c r="C22037" s="16" t="s">
        <v>27234</v>
      </c>
      <c r="D22037" s="16" t="s">
        <v>27241</v>
      </c>
      <c r="E22037" s="2">
        <v>2643266</v>
      </c>
      <c r="F22037" s="4" t="str">
        <f>IF(B22037=B22036,"",B22037)</f>
        <v>Macclesfield</v>
      </c>
    </row>
    <row r="22038" spans="1:6" ht="15.75" customHeight="1">
      <c r="A22038" s="8" t="str">
        <f ca="1">IFERROR(__xludf.DUMMYFUNCTION("GOOGLETRANSLATE(B30559,""en"",""pt"")"),"Macclesfield")</f>
        <v>Macclesfield</v>
      </c>
      <c r="B22038" s="11" t="s">
        <v>27514</v>
      </c>
      <c r="C22038" s="11" t="s">
        <v>27234</v>
      </c>
      <c r="D22038" s="11" t="s">
        <v>27241</v>
      </c>
      <c r="E22038" s="10">
        <v>2643266</v>
      </c>
      <c r="F22038" s="4" t="str">
        <f>IF(B22038=B22037,"",B22038)</f>
        <v/>
      </c>
    </row>
    <row r="22039" spans="1:6" ht="15.75" customHeight="1">
      <c r="A22039" s="15" t="s">
        <v>2834</v>
      </c>
      <c r="B22039" s="15" t="s">
        <v>2834</v>
      </c>
      <c r="C22039" s="15" t="s">
        <v>1905</v>
      </c>
      <c r="D22039" s="15" t="s">
        <v>1922</v>
      </c>
      <c r="E22039" s="2">
        <v>3395998</v>
      </c>
      <c r="F22039" s="4" t="str">
        <f>IF(B22039=B22038,"",B22039)</f>
        <v>Macau</v>
      </c>
    </row>
    <row r="22040" spans="1:6" ht="15.75" customHeight="1">
      <c r="A22040" s="15" t="s">
        <v>2834</v>
      </c>
      <c r="B22040" s="15" t="s">
        <v>2834</v>
      </c>
      <c r="C22040" s="15" t="s">
        <v>17218</v>
      </c>
      <c r="D22040" s="15" t="s">
        <v>2834</v>
      </c>
      <c r="E22040" s="2">
        <v>1821274</v>
      </c>
      <c r="F22040" s="4" t="str">
        <f>IF(B22040=B22039,"",B22040)</f>
        <v/>
      </c>
    </row>
    <row r="22041" spans="1:6" ht="15.75" customHeight="1">
      <c r="A22041" s="8" t="str">
        <f ca="1">IFERROR(__xludf.DUMMYFUNCTION("GOOGLETRANSLATE(B24277,""en"",""pt"")"),"Macau")</f>
        <v>Macau</v>
      </c>
      <c r="B22041" s="11" t="s">
        <v>2834</v>
      </c>
      <c r="C22041" s="11" t="s">
        <v>1905</v>
      </c>
      <c r="D22041" s="11" t="s">
        <v>1922</v>
      </c>
      <c r="E22041" s="10">
        <v>3395998</v>
      </c>
      <c r="F22041" s="4" t="str">
        <f>IF(B22041=B22040,"",B22041)</f>
        <v/>
      </c>
    </row>
    <row r="22042" spans="1:6" ht="15.75" customHeight="1">
      <c r="A22042" s="8" t="str">
        <f ca="1">IFERROR(__xludf.DUMMYFUNCTION("GOOGLETRANSLATE(B36783,""en"",""pt"")"),"Macau")</f>
        <v>Macau</v>
      </c>
      <c r="B22042" s="9" t="s">
        <v>2834</v>
      </c>
      <c r="C22042" s="9" t="s">
        <v>17218</v>
      </c>
      <c r="D22042" s="9" t="s">
        <v>2834</v>
      </c>
      <c r="E22042" s="10">
        <v>1821274</v>
      </c>
      <c r="F22042" s="4" t="str">
        <f>IF(B22042=B22041,"",B22042)</f>
        <v/>
      </c>
    </row>
    <row r="22043" spans="1:6" ht="15.75" customHeight="1">
      <c r="A22043" s="16" t="s">
        <v>2833</v>
      </c>
      <c r="B22043" s="15" t="s">
        <v>2833</v>
      </c>
      <c r="C22043" s="16" t="s">
        <v>1905</v>
      </c>
      <c r="D22043" s="16" t="s">
        <v>1914</v>
      </c>
      <c r="E22043" s="2">
        <v>3458245</v>
      </c>
      <c r="F22043" s="4" t="str">
        <f>IF(B22043=B22042,"",B22043)</f>
        <v>Macatuba</v>
      </c>
    </row>
    <row r="22044" spans="1:6" ht="15.75" customHeight="1">
      <c r="A22044" s="8" t="str">
        <f ca="1">IFERROR(__xludf.DUMMYFUNCTION("GOOGLETRANSLATE(B24847,""en"",""pt"")"),"Macatuba")</f>
        <v>Macatuba</v>
      </c>
      <c r="B22044" s="9" t="s">
        <v>2833</v>
      </c>
      <c r="C22044" s="9" t="s">
        <v>1905</v>
      </c>
      <c r="D22044" s="9" t="s">
        <v>3354</v>
      </c>
      <c r="E22044" s="10">
        <v>3458245</v>
      </c>
      <c r="F22044" s="4" t="str">
        <f>IF(B22044=B22043,"",B22044)</f>
        <v/>
      </c>
    </row>
    <row r="22045" spans="1:6" ht="15.75" customHeight="1">
      <c r="A22045" s="15" t="s">
        <v>6441</v>
      </c>
      <c r="B22045" s="15" t="s">
        <v>6441</v>
      </c>
      <c r="C22045" s="15" t="s">
        <v>6398</v>
      </c>
      <c r="D22045" s="15" t="s">
        <v>6442</v>
      </c>
      <c r="E22045" s="2">
        <v>3654541</v>
      </c>
      <c r="F22045" s="4" t="str">
        <f>IF(B22045=B22044,"",B22045)</f>
        <v>Macas</v>
      </c>
    </row>
    <row r="22046" spans="1:6" ht="15.75" customHeight="1">
      <c r="A22046" s="8" t="str">
        <f ca="1">IFERROR(__xludf.DUMMYFUNCTION("GOOGLETRANSLATE(B28782,""en"",""pt"")"),"Macas")</f>
        <v>Macas</v>
      </c>
      <c r="B22046" s="9" t="s">
        <v>6441</v>
      </c>
      <c r="C22046" s="9" t="s">
        <v>6398</v>
      </c>
      <c r="D22046" s="9" t="s">
        <v>6442</v>
      </c>
      <c r="E22046" s="10">
        <v>3654541</v>
      </c>
      <c r="F22046" s="4" t="str">
        <f>IF(B22046=B22045,"",B22046)</f>
        <v/>
      </c>
    </row>
    <row r="22047" spans="1:6" ht="15.75" customHeight="1">
      <c r="A22047" s="15" t="s">
        <v>2830</v>
      </c>
      <c r="B22047" s="15" t="s">
        <v>2831</v>
      </c>
      <c r="C22047" s="15" t="s">
        <v>1905</v>
      </c>
      <c r="D22047" s="15" t="s">
        <v>2832</v>
      </c>
      <c r="E22047" s="2">
        <v>3396016</v>
      </c>
      <c r="F22047" s="4" t="str">
        <f>IF(B22047=B22046,"",B22047)</f>
        <v>MacapÃ¡</v>
      </c>
    </row>
    <row r="22048" spans="1:6" ht="15.75" customHeight="1">
      <c r="A22048" s="8" t="str">
        <f ca="1">IFERROR(__xludf.DUMMYFUNCTION("GOOGLETRANSLATE(B24278,""en"",""pt"")"),"Macapá")</f>
        <v>Macapá</v>
      </c>
      <c r="B22048" s="9" t="s">
        <v>2830</v>
      </c>
      <c r="C22048" s="9" t="s">
        <v>1905</v>
      </c>
      <c r="D22048" s="9" t="s">
        <v>31379</v>
      </c>
      <c r="E22048" s="10">
        <v>3396016</v>
      </c>
      <c r="F22048" s="4" t="str">
        <f>IF(B22048=B22047,"",B22048)</f>
        <v>Macapá</v>
      </c>
    </row>
    <row r="22049" spans="1:6" ht="15.75" customHeight="1">
      <c r="A22049" s="8" t="str">
        <f ca="1">IFERROR(__xludf.DUMMYFUNCTION("GOOGLETRANSLATE(B24279,""en"",""pt"")"),"Macaíba")</f>
        <v>Macaíba</v>
      </c>
      <c r="B22049" s="11" t="s">
        <v>31390</v>
      </c>
      <c r="C22049" s="11" t="s">
        <v>1905</v>
      </c>
      <c r="D22049" s="11" t="s">
        <v>1922</v>
      </c>
      <c r="E22049" s="10">
        <v>3396048</v>
      </c>
      <c r="F22049" s="4" t="str">
        <f>IF(B22049=B22048,"",B22049)</f>
        <v>Macaíba</v>
      </c>
    </row>
    <row r="22050" spans="1:6" ht="15.75" customHeight="1">
      <c r="A22050" s="8" t="str">
        <f ca="1">IFERROR(__xludf.DUMMYFUNCTION("GOOGLETRANSLATE(B24848,""en"",""pt"")"),"Macaé")</f>
        <v>Macaé</v>
      </c>
      <c r="B22050" s="9" t="s">
        <v>31602</v>
      </c>
      <c r="C22050" s="9" t="s">
        <v>1905</v>
      </c>
      <c r="D22050" s="9" t="s">
        <v>1978</v>
      </c>
      <c r="E22050" s="10">
        <v>3458266</v>
      </c>
      <c r="F22050" s="4" t="str">
        <f>IF(B22050=B22049,"",B22050)</f>
        <v>Macaé</v>
      </c>
    </row>
    <row r="22051" spans="1:6" ht="15.75" customHeight="1">
      <c r="A22051" s="15" t="s">
        <v>2828</v>
      </c>
      <c r="B22051" s="15" t="s">
        <v>2829</v>
      </c>
      <c r="C22051" s="15" t="s">
        <v>1905</v>
      </c>
      <c r="D22051" s="15" t="s">
        <v>1922</v>
      </c>
      <c r="E22051" s="2">
        <v>3396048</v>
      </c>
      <c r="F22051" s="4" t="str">
        <f>IF(B22051=B22050,"",B22051)</f>
        <v>MacaÃ­ba</v>
      </c>
    </row>
    <row r="22052" spans="1:6" ht="15.75" customHeight="1">
      <c r="A22052" s="15" t="s">
        <v>2826</v>
      </c>
      <c r="B22052" s="15" t="s">
        <v>2827</v>
      </c>
      <c r="C22052" s="15" t="s">
        <v>1905</v>
      </c>
      <c r="D22052" s="15" t="s">
        <v>1978</v>
      </c>
      <c r="E22052" s="2">
        <v>3458266</v>
      </c>
      <c r="F22052" s="4" t="str">
        <f>IF(B22052=B22051,"",B22052)</f>
        <v>MacaÃ©</v>
      </c>
    </row>
    <row r="22053" spans="1:6" ht="15.75" customHeight="1">
      <c r="A22053" s="16" t="s">
        <v>23932</v>
      </c>
      <c r="B22053" s="15" t="s">
        <v>23932</v>
      </c>
      <c r="C22053" s="16" t="s">
        <v>23842</v>
      </c>
      <c r="D22053" s="16" t="s">
        <v>23855</v>
      </c>
      <c r="E22053" s="2">
        <v>980921</v>
      </c>
      <c r="F22053" s="4" t="str">
        <f>IF(B22053=B22052,"",B22053)</f>
        <v>Mabopane</v>
      </c>
    </row>
    <row r="22054" spans="1:6" ht="15.75" customHeight="1">
      <c r="A22054" s="8" t="str">
        <f ca="1">IFERROR(__xludf.DUMMYFUNCTION("GOOGLETRANSLATE(B45919,""en"",""pt"")"),"Mabopane")</f>
        <v>Mabopane</v>
      </c>
      <c r="B22054" s="9" t="s">
        <v>23932</v>
      </c>
      <c r="C22054" s="9" t="s">
        <v>23842</v>
      </c>
      <c r="D22054" s="9" t="s">
        <v>23855</v>
      </c>
      <c r="E22054" s="10">
        <v>980921</v>
      </c>
      <c r="F22054" s="4" t="str">
        <f>IF(B22054=B22053,"",B22054)</f>
        <v/>
      </c>
    </row>
    <row r="22055" spans="1:6" ht="15.75" customHeight="1">
      <c r="A22055" s="15" t="s">
        <v>29180</v>
      </c>
      <c r="B22055" s="15" t="s">
        <v>29180</v>
      </c>
      <c r="C22055" s="15" t="s">
        <v>27788</v>
      </c>
      <c r="D22055" s="15" t="s">
        <v>7988</v>
      </c>
      <c r="E22055" s="2">
        <v>4207226</v>
      </c>
      <c r="F22055" s="4" t="str">
        <f>IF(B22055=B22054,"",B22055)</f>
        <v>Mableton</v>
      </c>
    </row>
    <row r="22056" spans="1:6" ht="15.75" customHeight="1">
      <c r="A22056" s="8" t="str">
        <f ca="1">IFERROR(__xludf.DUMMYFUNCTION("GOOGLETRANSLATE(B43091,""en"",""pt"")"),"Mableton")</f>
        <v>Mableton</v>
      </c>
      <c r="B22056" s="9" t="s">
        <v>29180</v>
      </c>
      <c r="C22056" s="9" t="s">
        <v>27788</v>
      </c>
      <c r="D22056" s="9" t="s">
        <v>7988</v>
      </c>
      <c r="E22056" s="10">
        <v>4207226</v>
      </c>
      <c r="F22056" s="4" t="str">
        <f>IF(B22056=B22055,"",B22056)</f>
        <v/>
      </c>
    </row>
    <row r="22057" spans="1:6" ht="15.75" customHeight="1">
      <c r="A22057" s="15" t="s">
        <v>25662</v>
      </c>
      <c r="B22057" s="15" t="s">
        <v>25662</v>
      </c>
      <c r="C22057" s="15" t="s">
        <v>25560</v>
      </c>
      <c r="D22057" s="15" t="s">
        <v>25604</v>
      </c>
      <c r="E22057" s="2">
        <v>155515</v>
      </c>
      <c r="F22057" s="4" t="str">
        <f>IF(B22057=B22056,"",B22057)</f>
        <v>Mabama</v>
      </c>
    </row>
    <row r="22058" spans="1:6" ht="15.75" customHeight="1">
      <c r="A22058" s="8" t="str">
        <f ca="1">IFERROR(__xludf.DUMMYFUNCTION("GOOGLETRANSLATE(B42372,""en"",""pt"")"),"Mabama")</f>
        <v>Mabama</v>
      </c>
      <c r="B22058" s="9" t="s">
        <v>25662</v>
      </c>
      <c r="C22058" s="9" t="s">
        <v>25560</v>
      </c>
      <c r="D22058" s="9" t="s">
        <v>25604</v>
      </c>
      <c r="E22058" s="10">
        <v>155515</v>
      </c>
      <c r="F22058" s="4" t="str">
        <f>IF(B22058=B22057,"",B22058)</f>
        <v/>
      </c>
    </row>
    <row r="22059" spans="1:6" ht="15.75" customHeight="1">
      <c r="A22059" s="16" t="s">
        <v>20848</v>
      </c>
      <c r="B22059" s="15" t="s">
        <v>20849</v>
      </c>
      <c r="C22059" s="16" t="s">
        <v>20598</v>
      </c>
      <c r="D22059" s="16" t="s">
        <v>20599</v>
      </c>
      <c r="E22059" s="2">
        <v>1704703</v>
      </c>
      <c r="F22059" s="4" t="str">
        <f>IF(B22059=B22058,"",B22059)</f>
        <v>Mabalacat City</v>
      </c>
    </row>
    <row r="22060" spans="1:6" ht="15.75" customHeight="1">
      <c r="A22060" s="8" t="str">
        <f ca="1">IFERROR(__xludf.DUMMYFUNCTION("GOOGLETRANSLATE(B38650,""en"",""pt"")"),"Cidade de Mabalacat")</f>
        <v>Cidade de Mabalacat</v>
      </c>
      <c r="B22060" s="9" t="s">
        <v>20849</v>
      </c>
      <c r="C22060" s="9" t="s">
        <v>20598</v>
      </c>
      <c r="D22060" s="9" t="s">
        <v>20599</v>
      </c>
      <c r="E22060" s="10">
        <v>1704703</v>
      </c>
      <c r="F22060" s="4" t="str">
        <f>IF(B22060=B22059,"",B22060)</f>
        <v/>
      </c>
    </row>
    <row r="22061" spans="1:6" ht="15.75" customHeight="1">
      <c r="A22061" s="15" t="s">
        <v>4935</v>
      </c>
      <c r="B22061" s="15" t="s">
        <v>4935</v>
      </c>
      <c r="C22061" s="15" t="s">
        <v>4487</v>
      </c>
      <c r="D22061" s="15" t="s">
        <v>4607</v>
      </c>
      <c r="E22061" s="2">
        <v>1818004</v>
      </c>
      <c r="F22061" s="4" t="str">
        <f>IF(B22061=B22060,"",B22061)</f>
        <v>Mabai</v>
      </c>
    </row>
    <row r="22062" spans="1:6" ht="15.75" customHeight="1">
      <c r="A22062" s="8" t="str">
        <f ca="1">IFERROR(__xludf.DUMMYFUNCTION("GOOGLETRANSLATE(B26630,""en"",""pt"")"),"Mabai")</f>
        <v>Mabai</v>
      </c>
      <c r="B22062" s="9" t="s">
        <v>4935</v>
      </c>
      <c r="C22062" s="9" t="s">
        <v>4487</v>
      </c>
      <c r="D22062" s="9" t="s">
        <v>4607</v>
      </c>
      <c r="E22062" s="10">
        <v>1818004</v>
      </c>
      <c r="F22062" s="4" t="str">
        <f>IF(B22062=B22061,"",B22062)</f>
        <v/>
      </c>
    </row>
    <row r="22063" spans="1:6" ht="15.75" customHeight="1">
      <c r="A22063" s="15" t="s">
        <v>4934</v>
      </c>
      <c r="B22063" s="15" t="s">
        <v>4934</v>
      </c>
      <c r="C22063" s="15" t="s">
        <v>4487</v>
      </c>
      <c r="D22063" s="15" t="s">
        <v>4492</v>
      </c>
      <c r="E22063" s="2">
        <v>1801615</v>
      </c>
      <c r="F22063" s="4" t="str">
        <f>IF(B22063=B22062,"",B22063)</f>
        <v>Maba</v>
      </c>
    </row>
    <row r="22064" spans="1:6" ht="15.75" customHeight="1">
      <c r="A22064" s="8" t="str">
        <f ca="1">IFERROR(__xludf.DUMMYFUNCTION("GOOGLETRANSLATE(B26363,""en"",""pt"")"),"Maba")</f>
        <v>Maba</v>
      </c>
      <c r="B22064" s="9" t="s">
        <v>4934</v>
      </c>
      <c r="C22064" s="9" t="s">
        <v>4487</v>
      </c>
      <c r="D22064" s="9" t="s">
        <v>4492</v>
      </c>
      <c r="E22064" s="10">
        <v>1801615</v>
      </c>
      <c r="F22064" s="4" t="str">
        <f>IF(B22064=B22063,"",B22064)</f>
        <v/>
      </c>
    </row>
    <row r="22065" spans="1:6" ht="15.75" customHeight="1">
      <c r="A22065" s="15" t="s">
        <v>25473</v>
      </c>
      <c r="B22065" s="15" t="s">
        <v>25474</v>
      </c>
      <c r="C22065" s="15" t="s">
        <v>25366</v>
      </c>
      <c r="D22065" s="15" t="s">
        <v>25367</v>
      </c>
      <c r="E22065" s="2">
        <v>167046</v>
      </c>
      <c r="F22065" s="4" t="str">
        <f>IF(B22065=B22064,"",B22065)</f>
        <v>MaÅŸyÄf</v>
      </c>
    </row>
    <row r="22066" spans="1:6" ht="15.75" customHeight="1">
      <c r="A22066" s="16" t="s">
        <v>1223</v>
      </c>
      <c r="B22066" s="15" t="s">
        <v>1224</v>
      </c>
      <c r="C22066" s="16" t="s">
        <v>1170</v>
      </c>
      <c r="D22066" s="16" t="s">
        <v>1181</v>
      </c>
      <c r="E22066" s="2">
        <v>585557</v>
      </c>
      <c r="F22066" s="4" t="str">
        <f>IF(B22066=B22065,"",B22066)</f>
        <v>MaÅŸtaÄŸa</v>
      </c>
    </row>
    <row r="22067" spans="1:6" ht="15.75" customHeight="1">
      <c r="A22067" s="16" t="s">
        <v>19036</v>
      </c>
      <c r="B22067" s="15" t="s">
        <v>19036</v>
      </c>
      <c r="C22067" s="16" t="s">
        <v>18862</v>
      </c>
      <c r="D22067" s="16" t="s">
        <v>18893</v>
      </c>
      <c r="E22067" s="2">
        <v>2751283</v>
      </c>
      <c r="F22067" s="4" t="str">
        <f>IF(B22067=B22066,"",B22067)</f>
        <v>Maastricht</v>
      </c>
    </row>
    <row r="22068" spans="1:6" ht="15.75" customHeight="1">
      <c r="A22068" s="8" t="str">
        <f ca="1">IFERROR(__xludf.DUMMYFUNCTION("GOOGLETRANSLATE(B38000,""en"",""pt"")"),"Maastricht")</f>
        <v>Maastricht</v>
      </c>
      <c r="B22068" s="9" t="s">
        <v>19036</v>
      </c>
      <c r="C22068" s="9" t="s">
        <v>18862</v>
      </c>
      <c r="D22068" s="9" t="s">
        <v>18893</v>
      </c>
      <c r="E22068" s="10">
        <v>2751283</v>
      </c>
      <c r="F22068" s="4" t="str">
        <f>IF(B22068=B22067,"",B22068)</f>
        <v/>
      </c>
    </row>
    <row r="22069" spans="1:6" ht="15.75" customHeight="1">
      <c r="A22069" s="15" t="s">
        <v>19035</v>
      </c>
      <c r="B22069" s="15" t="s">
        <v>19035</v>
      </c>
      <c r="C22069" s="15" t="s">
        <v>18862</v>
      </c>
      <c r="D22069" s="15" t="s">
        <v>18868</v>
      </c>
      <c r="E22069" s="2">
        <v>2751285</v>
      </c>
      <c r="F22069" s="4" t="str">
        <f>IF(B22069=B22068,"",B22069)</f>
        <v>Maassluis</v>
      </c>
    </row>
    <row r="22070" spans="1:6" ht="15.75" customHeight="1">
      <c r="A22070" s="8" t="str">
        <f ca="1">IFERROR(__xludf.DUMMYFUNCTION("GOOGLETRANSLATE(B38001,""en"",""pt"")"),"Maassluis")</f>
        <v>Maassluis</v>
      </c>
      <c r="B22070" s="9" t="s">
        <v>19035</v>
      </c>
      <c r="C22070" s="9" t="s">
        <v>18862</v>
      </c>
      <c r="D22070" s="9" t="s">
        <v>18868</v>
      </c>
      <c r="E22070" s="10">
        <v>2751285</v>
      </c>
      <c r="F22070" s="4" t="str">
        <f>IF(B22070=B22069,"",B22070)</f>
        <v/>
      </c>
    </row>
    <row r="22071" spans="1:6" ht="15.75" customHeight="1">
      <c r="A22071" s="16" t="s">
        <v>1631</v>
      </c>
      <c r="B22071" s="15" t="s">
        <v>1631</v>
      </c>
      <c r="C22071" s="16" t="s">
        <v>1512</v>
      </c>
      <c r="D22071" s="16" t="s">
        <v>1513</v>
      </c>
      <c r="E22071" s="2">
        <v>2791961</v>
      </c>
      <c r="F22071" s="4" t="str">
        <f>IF(B22071=B22070,"",B22071)</f>
        <v>Maasmechelen</v>
      </c>
    </row>
    <row r="22072" spans="1:6" ht="15.75" customHeight="1">
      <c r="A22072" s="8" t="str">
        <f ca="1">IFERROR(__xludf.DUMMYFUNCTION("GOOGLETRANSLATE(B23875,""en"",""pt"")"),"Maasmechelen")</f>
        <v>Maasmechelen</v>
      </c>
      <c r="B22072" s="11" t="s">
        <v>1631</v>
      </c>
      <c r="C22072" s="11" t="s">
        <v>1512</v>
      </c>
      <c r="D22072" s="11" t="s">
        <v>1513</v>
      </c>
      <c r="E22072" s="10">
        <v>2791961</v>
      </c>
      <c r="F22072" s="4" t="str">
        <f>IF(B22072=B22071,"",B22072)</f>
        <v/>
      </c>
    </row>
    <row r="22073" spans="1:6" ht="15.75" customHeight="1">
      <c r="A22073" s="15" t="s">
        <v>20847</v>
      </c>
      <c r="B22073" s="15" t="s">
        <v>20847</v>
      </c>
      <c r="C22073" s="15" t="s">
        <v>20598</v>
      </c>
      <c r="D22073" s="15" t="s">
        <v>20601</v>
      </c>
      <c r="E22073" s="2">
        <v>1704758</v>
      </c>
      <c r="F22073" s="4" t="str">
        <f>IF(B22073=B22072,"",B22073)</f>
        <v>Maasin</v>
      </c>
    </row>
    <row r="22074" spans="1:6" ht="15.75" customHeight="1">
      <c r="A22074" s="8" t="str">
        <f ca="1">IFERROR(__xludf.DUMMYFUNCTION("GOOGLETRANSLATE(B38651,""en"",""pt"")"),"Maasin")</f>
        <v>Maasin</v>
      </c>
      <c r="B22074" s="9" t="s">
        <v>20847</v>
      </c>
      <c r="C22074" s="9" t="s">
        <v>20598</v>
      </c>
      <c r="D22074" s="9" t="s">
        <v>20601</v>
      </c>
      <c r="E22074" s="10">
        <v>1704758</v>
      </c>
      <c r="F22074" s="4" t="str">
        <f>IF(B22074=B22073,"",B22074)</f>
        <v/>
      </c>
    </row>
    <row r="22075" spans="1:6" ht="15.75" customHeight="1">
      <c r="A22075" s="15" t="s">
        <v>1630</v>
      </c>
      <c r="B22075" s="15" t="s">
        <v>1630</v>
      </c>
      <c r="C22075" s="15" t="s">
        <v>1512</v>
      </c>
      <c r="D22075" s="15" t="s">
        <v>1513</v>
      </c>
      <c r="E22075" s="2">
        <v>2791964</v>
      </c>
      <c r="F22075" s="4" t="str">
        <f>IF(B22075=B22074,"",B22075)</f>
        <v>Maaseik</v>
      </c>
    </row>
    <row r="22076" spans="1:6" ht="15.75" customHeight="1">
      <c r="A22076" s="8" t="str">
        <f ca="1">IFERROR(__xludf.DUMMYFUNCTION("GOOGLETRANSLATE(B23876,""en"",""pt"")"),"Maaseik")</f>
        <v>Maaseik</v>
      </c>
      <c r="B22076" s="9" t="s">
        <v>1630</v>
      </c>
      <c r="C22076" s="9" t="s">
        <v>1512</v>
      </c>
      <c r="D22076" s="9" t="s">
        <v>1513</v>
      </c>
      <c r="E22076" s="10">
        <v>2791964</v>
      </c>
      <c r="F22076" s="4" t="str">
        <f>IF(B22076=B22075,"",B22076)</f>
        <v/>
      </c>
    </row>
    <row r="22077" spans="1:6" ht="15.75" customHeight="1">
      <c r="A22077" s="15" t="s">
        <v>19034</v>
      </c>
      <c r="B22077" s="15" t="s">
        <v>19034</v>
      </c>
      <c r="C22077" s="15" t="s">
        <v>18862</v>
      </c>
      <c r="D22077" s="15" t="s">
        <v>18877</v>
      </c>
      <c r="E22077" s="2">
        <v>2751316</v>
      </c>
      <c r="F22077" s="4" t="str">
        <f>IF(B22077=B22076,"",B22077)</f>
        <v>Maarssen</v>
      </c>
    </row>
    <row r="22078" spans="1:6" ht="15.75" customHeight="1">
      <c r="A22078" s="8" t="str">
        <f ca="1">IFERROR(__xludf.DUMMYFUNCTION("GOOGLETRANSLATE(B38002,""en"",""pt"")"),"Maarssen")</f>
        <v>Maarssen</v>
      </c>
      <c r="B22078" s="9" t="s">
        <v>19034</v>
      </c>
      <c r="C22078" s="9" t="s">
        <v>18862</v>
      </c>
      <c r="D22078" s="9" t="s">
        <v>18877</v>
      </c>
      <c r="E22078" s="10">
        <v>2751316</v>
      </c>
      <c r="F22078" s="4" t="str">
        <f>IF(B22078=B22077,"",B22078)</f>
        <v/>
      </c>
    </row>
    <row r="22079" spans="1:6" ht="15.75" customHeight="1">
      <c r="A22079" s="15" t="s">
        <v>6791</v>
      </c>
      <c r="B22079" s="15" t="s">
        <v>6791</v>
      </c>
      <c r="C22079" s="15" t="s">
        <v>6789</v>
      </c>
      <c r="D22079" s="15" t="s">
        <v>6792</v>
      </c>
      <c r="E22079" s="2">
        <v>590447</v>
      </c>
      <c r="F22079" s="4" t="str">
        <f>IF(B22079=B22078,"",B22079)</f>
        <v>Maardu</v>
      </c>
    </row>
    <row r="22080" spans="1:6" ht="15.75" customHeight="1">
      <c r="A22080" s="8" t="str">
        <f ca="1">IFERROR(__xludf.DUMMYFUNCTION("GOOGLETRANSLATE(B28819,""en"",""pt"")"),"Maardu")</f>
        <v>Maardu</v>
      </c>
      <c r="B22080" s="9" t="s">
        <v>6791</v>
      </c>
      <c r="C22080" s="9" t="s">
        <v>6789</v>
      </c>
      <c r="D22080" s="9" t="s">
        <v>6792</v>
      </c>
      <c r="E22080" s="10">
        <v>590447</v>
      </c>
      <c r="F22080" s="4" t="str">
        <f>IF(B22080=B22079,"",B22080)</f>
        <v/>
      </c>
    </row>
    <row r="22081" spans="1:6" ht="15.75" customHeight="1">
      <c r="A22081" s="15" t="s">
        <v>20846</v>
      </c>
      <c r="B22081" s="15" t="s">
        <v>20846</v>
      </c>
      <c r="C22081" s="15" t="s">
        <v>20598</v>
      </c>
      <c r="D22081" s="15" t="s">
        <v>20627</v>
      </c>
      <c r="E22081" s="2">
        <v>1704781</v>
      </c>
      <c r="F22081" s="4" t="str">
        <f>IF(B22081=B22080,"",B22081)</f>
        <v>Maao</v>
      </c>
    </row>
    <row r="22082" spans="1:6" ht="15.75" customHeight="1">
      <c r="A22082" s="8" t="str">
        <f ca="1">IFERROR(__xludf.DUMMYFUNCTION("GOOGLETRANSLATE(B38652,""en"",""pt"")"),"Maao")</f>
        <v>Maao</v>
      </c>
      <c r="B22082" s="9" t="s">
        <v>20846</v>
      </c>
      <c r="C22082" s="9" t="s">
        <v>20598</v>
      </c>
      <c r="D22082" s="9" t="s">
        <v>20627</v>
      </c>
      <c r="E22082" s="10">
        <v>1704781</v>
      </c>
      <c r="F22082" s="4" t="str">
        <f>IF(B22082=B22081,"",B22082)</f>
        <v/>
      </c>
    </row>
    <row r="22083" spans="1:6" ht="15.75" customHeight="1">
      <c r="A22083" s="15" t="s">
        <v>16656</v>
      </c>
      <c r="B22083" s="15" t="s">
        <v>16656</v>
      </c>
      <c r="C22083" s="15" t="s">
        <v>16624</v>
      </c>
      <c r="D22083" s="15" t="s">
        <v>16657</v>
      </c>
      <c r="E22083" s="2">
        <v>248382</v>
      </c>
      <c r="F22083" s="4" t="str">
        <f>IF(B22083=B22082,"",B22083)</f>
        <v>Ma'an</v>
      </c>
    </row>
    <row r="22084" spans="1:6" ht="15.75" customHeight="1">
      <c r="A22084" s="8" t="str">
        <f ca="1">IFERROR(__xludf.DUMMYFUNCTION("GOOGLETRANSLATE(B35126,""en"",""pt"")"),"Ma'an")</f>
        <v>Ma'an</v>
      </c>
      <c r="B22084" s="11" t="s">
        <v>16656</v>
      </c>
      <c r="C22084" s="11" t="s">
        <v>16624</v>
      </c>
      <c r="D22084" s="11" t="s">
        <v>34281</v>
      </c>
      <c r="E22084" s="10">
        <v>248382</v>
      </c>
      <c r="F22084" s="4" t="str">
        <f>IF(B22084=B22083,"",B22084)</f>
        <v/>
      </c>
    </row>
    <row r="22085" spans="1:6" ht="15.75" customHeight="1">
      <c r="A22085" s="8" t="str">
        <f ca="1">IFERROR(__xludf.DUMMYFUNCTION("GOOGLETRANSLATE(B31765,""en"",""pt"")"),"Maalot Tarshīhā")</f>
        <v>Maalot Tarshīhā</v>
      </c>
      <c r="B22085" s="9" t="s">
        <v>32914</v>
      </c>
      <c r="C22085" s="9" t="s">
        <v>14773</v>
      </c>
      <c r="D22085" s="9" t="s">
        <v>14774</v>
      </c>
      <c r="E22085" s="10">
        <v>293420</v>
      </c>
      <c r="F22085" s="4" t="str">
        <f>IF(B22085=B22084,"",B22085)</f>
        <v>maalot Tarshīhā</v>
      </c>
    </row>
    <row r="22086" spans="1:6" ht="15.75" customHeight="1">
      <c r="A22086" s="16" t="s">
        <v>14828</v>
      </c>
      <c r="B22086" s="15" t="s">
        <v>14829</v>
      </c>
      <c r="C22086" s="16" t="s">
        <v>14773</v>
      </c>
      <c r="D22086" s="16" t="s">
        <v>14774</v>
      </c>
      <c r="E22086" s="2">
        <v>293420</v>
      </c>
      <c r="F22086" s="4" t="str">
        <f>IF(B22086=B22085,"",B22086)</f>
        <v>maalot TarshÄ«hÄ</v>
      </c>
    </row>
    <row r="22087" spans="1:6" ht="15.75" customHeight="1">
      <c r="A22087" s="15" t="s">
        <v>24585</v>
      </c>
      <c r="B22087" s="15" t="s">
        <v>24586</v>
      </c>
      <c r="C22087" s="15" t="s">
        <v>24200</v>
      </c>
      <c r="D22087" s="15" t="s">
        <v>24236</v>
      </c>
      <c r="E22087" s="2">
        <v>2514301</v>
      </c>
      <c r="F22087" s="4" t="str">
        <f>IF(B22087=B22086,"",B22087)</f>
        <v>MaÃ³</v>
      </c>
    </row>
    <row r="22088" spans="1:6" ht="15.75" customHeight="1">
      <c r="A22088" s="16" t="s">
        <v>25471</v>
      </c>
      <c r="B22088" s="15" t="s">
        <v>25472</v>
      </c>
      <c r="C22088" s="16" t="s">
        <v>25366</v>
      </c>
      <c r="D22088" s="16" t="s">
        <v>25392</v>
      </c>
      <c r="E22088" s="2">
        <v>167605</v>
      </c>
      <c r="F22088" s="4" t="str">
        <f>IF(B22088=B22087,"",B22088)</f>
        <v>Maâ€˜arratmiÅŸrÄ«n</v>
      </c>
    </row>
    <row r="22089" spans="1:6" ht="15.75" customHeight="1">
      <c r="A22089" s="15" t="s">
        <v>6673</v>
      </c>
      <c r="B22089" s="15" t="s">
        <v>6674</v>
      </c>
      <c r="C22089" s="15" t="s">
        <v>6495</v>
      </c>
      <c r="D22089" s="15" t="s">
        <v>6520</v>
      </c>
      <c r="E22089" s="2">
        <v>352628</v>
      </c>
      <c r="F22089" s="4" t="str">
        <f>IF(B22089=B22088,"",B22089)</f>
        <v>MaÅ£Äy</v>
      </c>
    </row>
    <row r="22090" spans="1:6" ht="15.75" customHeight="1">
      <c r="A22090" s="15" t="s">
        <v>24583</v>
      </c>
      <c r="B22090" s="15" t="s">
        <v>24584</v>
      </c>
      <c r="C22090" s="15" t="s">
        <v>24200</v>
      </c>
      <c r="D22090" s="15" t="s">
        <v>5513</v>
      </c>
      <c r="E22090" s="2">
        <v>3116025</v>
      </c>
      <c r="F22090" s="4" t="str">
        <f>IF(B22090=B22089,"",B22090)</f>
        <v>MÃ³stoles</v>
      </c>
    </row>
    <row r="22091" spans="1:6" ht="15.75" customHeight="1">
      <c r="A22091" s="15" t="s">
        <v>30875</v>
      </c>
      <c r="B22091" s="15" t="s">
        <v>30876</v>
      </c>
      <c r="C22091" s="15" t="s">
        <v>30784</v>
      </c>
      <c r="D22091" s="15" t="s">
        <v>30833</v>
      </c>
      <c r="E22091" s="2">
        <v>1574507</v>
      </c>
      <c r="F22091" s="4" t="str">
        <f>IF(B22091=B22090,"",B22091)</f>
        <v>MÃ³ng CÃ¡i</v>
      </c>
    </row>
    <row r="22092" spans="1:6" ht="15.75" customHeight="1">
      <c r="A22092" s="15" t="s">
        <v>8811</v>
      </c>
      <c r="B22092" s="15" t="s">
        <v>8812</v>
      </c>
      <c r="C22092" s="15" t="s">
        <v>8028</v>
      </c>
      <c r="D22092" s="15" t="s">
        <v>8029</v>
      </c>
      <c r="E22092" s="2">
        <v>2867543</v>
      </c>
      <c r="F22092" s="4" t="str">
        <f>IF(B22092=B22091,"",B22092)</f>
        <v>MÃ¼nster</v>
      </c>
    </row>
    <row r="22093" spans="1:6" ht="15.75" customHeight="1">
      <c r="A22093" s="15" t="s">
        <v>8809</v>
      </c>
      <c r="B22093" s="15" t="s">
        <v>8810</v>
      </c>
      <c r="C22093" s="15" t="s">
        <v>8028</v>
      </c>
      <c r="D22093" s="15" t="s">
        <v>8031</v>
      </c>
      <c r="E22093" s="2">
        <v>2867770</v>
      </c>
      <c r="F22093" s="4" t="str">
        <f>IF(B22093=B22092,"",B22093)</f>
        <v>MÃ¼llheim</v>
      </c>
    </row>
    <row r="22094" spans="1:6" ht="15.75" customHeight="1">
      <c r="A22094" s="16" t="s">
        <v>8807</v>
      </c>
      <c r="B22094" s="15" t="s">
        <v>8808</v>
      </c>
      <c r="C22094" s="16" t="s">
        <v>8028</v>
      </c>
      <c r="D22094" s="16" t="s">
        <v>8029</v>
      </c>
      <c r="E22094" s="2">
        <v>2867838</v>
      </c>
      <c r="F22094" s="4" t="str">
        <f>IF(B22094=B22093,"",B22094)</f>
        <v>MÃ¼lheim (Ruhr)</v>
      </c>
    </row>
    <row r="22095" spans="1:6" ht="15.75" customHeight="1">
      <c r="A22095" s="15" t="s">
        <v>8805</v>
      </c>
      <c r="B22095" s="15" t="s">
        <v>8806</v>
      </c>
      <c r="C22095" s="15" t="s">
        <v>8028</v>
      </c>
      <c r="D22095" s="15" t="s">
        <v>8029</v>
      </c>
      <c r="E22095" s="2">
        <v>8593865</v>
      </c>
      <c r="F22095" s="4" t="str">
        <f>IF(B22095=B22094,"",B22095)</f>
        <v>MÃ¼lheim</v>
      </c>
    </row>
    <row r="22096" spans="1:6" ht="15.75" customHeight="1">
      <c r="A22096" s="16" t="s">
        <v>8803</v>
      </c>
      <c r="B22096" s="15" t="s">
        <v>8804</v>
      </c>
      <c r="C22096" s="16" t="s">
        <v>8028</v>
      </c>
      <c r="D22096" s="16" t="s">
        <v>8050</v>
      </c>
      <c r="E22096" s="2">
        <v>2867985</v>
      </c>
      <c r="F22096" s="4" t="str">
        <f>IF(B22096=B22095,"",B22096)</f>
        <v>MÃ¼hlheim am Main</v>
      </c>
    </row>
    <row r="22097" spans="1:6" ht="15.75" customHeight="1">
      <c r="A22097" s="16" t="s">
        <v>8801</v>
      </c>
      <c r="B22097" s="15" t="s">
        <v>8802</v>
      </c>
      <c r="C22097" s="16" t="s">
        <v>8028</v>
      </c>
      <c r="D22097" s="16" t="s">
        <v>8054</v>
      </c>
      <c r="E22097" s="2">
        <v>2867996</v>
      </c>
      <c r="F22097" s="4" t="str">
        <f>IF(B22097=B22096,"",B22097)</f>
        <v>MÃ¼hlhausen</v>
      </c>
    </row>
    <row r="22098" spans="1:6" ht="15.75" customHeight="1">
      <c r="A22098" s="15" t="s">
        <v>8799</v>
      </c>
      <c r="B22098" s="15" t="s">
        <v>8800</v>
      </c>
      <c r="C22098" s="15" t="s">
        <v>8028</v>
      </c>
      <c r="D22098" s="15" t="s">
        <v>8044</v>
      </c>
      <c r="E22098" s="2">
        <v>2868506</v>
      </c>
      <c r="F22098" s="4" t="str">
        <f>IF(B22098=B22097,"",B22098)</f>
        <v>MÃ¼hldorf</v>
      </c>
    </row>
    <row r="22099" spans="1:6" ht="15.75" customHeight="1">
      <c r="A22099" s="16" t="s">
        <v>8797</v>
      </c>
      <c r="B22099" s="15" t="s">
        <v>8798</v>
      </c>
      <c r="C22099" s="16" t="s">
        <v>8028</v>
      </c>
      <c r="D22099" s="16" t="s">
        <v>8031</v>
      </c>
      <c r="E22099" s="2">
        <v>2868788</v>
      </c>
      <c r="F22099" s="4" t="str">
        <f>IF(B22099=B22098,"",B22099)</f>
        <v>MÃ¼hlacker</v>
      </c>
    </row>
    <row r="22100" spans="1:6" ht="15.75" customHeight="1">
      <c r="A22100" s="16" t="s">
        <v>12241</v>
      </c>
      <c r="B22100" s="15" t="s">
        <v>12242</v>
      </c>
      <c r="C22100" s="16" t="s">
        <v>10178</v>
      </c>
      <c r="D22100" s="16" t="s">
        <v>10246</v>
      </c>
      <c r="E22100" s="2">
        <v>1263285</v>
      </c>
      <c r="F22100" s="4" t="str">
        <f>IF(B22100=B22099,"",B22100)</f>
        <v>MÄvelikara</v>
      </c>
    </row>
    <row r="22101" spans="1:6" ht="15.75" customHeight="1">
      <c r="A22101" s="15" t="s">
        <v>20082</v>
      </c>
      <c r="B22101" s="15" t="s">
        <v>20083</v>
      </c>
      <c r="C22101" s="15" t="s">
        <v>19808</v>
      </c>
      <c r="D22101" s="15" t="s">
        <v>19823</v>
      </c>
      <c r="E22101" s="2">
        <v>1170667</v>
      </c>
      <c r="F22101" s="4" t="str">
        <f>IF(B22101=B22100,"",B22101)</f>
        <v>MÄtli</v>
      </c>
    </row>
    <row r="22102" spans="1:6" ht="15.75" customHeight="1">
      <c r="A22102" s="16" t="s">
        <v>12239</v>
      </c>
      <c r="B22102" s="15" t="s">
        <v>12240</v>
      </c>
      <c r="C22102" s="16" t="s">
        <v>10178</v>
      </c>
      <c r="D22102" s="16" t="s">
        <v>10201</v>
      </c>
      <c r="E22102" s="2">
        <v>1263395</v>
      </c>
      <c r="F22102" s="4" t="str">
        <f>IF(B22102=B22101,"",B22102)</f>
        <v>MÄtÄbhÄnga</v>
      </c>
    </row>
    <row r="22103" spans="1:6" ht="15.75" customHeight="1">
      <c r="A22103" s="16" t="s">
        <v>12237</v>
      </c>
      <c r="B22103" s="15" t="s">
        <v>12238</v>
      </c>
      <c r="C22103" s="16" t="s">
        <v>10178</v>
      </c>
      <c r="D22103" s="16" t="s">
        <v>10190</v>
      </c>
      <c r="E22103" s="2">
        <v>1263504</v>
      </c>
      <c r="F22103" s="4" t="str">
        <f>IF(B22103=B22102,"",B22103)</f>
        <v>MÄrkÄpur</v>
      </c>
    </row>
    <row r="22104" spans="1:6" ht="15.75" customHeight="1">
      <c r="A22104" s="15" t="s">
        <v>12235</v>
      </c>
      <c r="B22104" s="15" t="s">
        <v>12236</v>
      </c>
      <c r="C22104" s="15" t="s">
        <v>10178</v>
      </c>
      <c r="D22104" s="15" t="s">
        <v>10193</v>
      </c>
      <c r="E22104" s="2">
        <v>1263567</v>
      </c>
      <c r="F22104" s="4" t="str">
        <f>IF(B22104=B22103,"",B22104)</f>
        <v>MÄrahra</v>
      </c>
    </row>
    <row r="22105" spans="1:6" ht="15.75" customHeight="1">
      <c r="A22105" s="15" t="s">
        <v>12233</v>
      </c>
      <c r="B22105" s="15" t="s">
        <v>12234</v>
      </c>
      <c r="C22105" s="15" t="s">
        <v>10178</v>
      </c>
      <c r="D22105" s="15" t="s">
        <v>10856</v>
      </c>
      <c r="E22105" s="2">
        <v>1263580</v>
      </c>
      <c r="F22105" s="4" t="str">
        <f>IF(B22105=B22104,"",B22105)</f>
        <v>MÄpuca</v>
      </c>
    </row>
    <row r="22106" spans="1:6" ht="15.75" customHeight="1">
      <c r="A22106" s="15" t="s">
        <v>12231</v>
      </c>
      <c r="B22106" s="15" t="s">
        <v>12232</v>
      </c>
      <c r="C22106" s="15" t="s">
        <v>10178</v>
      </c>
      <c r="D22106" s="15" t="s">
        <v>10214</v>
      </c>
      <c r="E22106" s="2">
        <v>1263591</v>
      </c>
      <c r="F22106" s="4" t="str">
        <f>IF(B22106=B22105,"",B22106)</f>
        <v>MÄnwat</v>
      </c>
    </row>
    <row r="22107" spans="1:6" ht="15.75" customHeight="1">
      <c r="A22107" s="15" t="s">
        <v>12229</v>
      </c>
      <c r="B22107" s="15" t="s">
        <v>12230</v>
      </c>
      <c r="C22107" s="15" t="s">
        <v>10178</v>
      </c>
      <c r="D22107" s="15" t="s">
        <v>10252</v>
      </c>
      <c r="E22107" s="2">
        <v>1263594</v>
      </c>
      <c r="F22107" s="4" t="str">
        <f>IF(B22107=B22106,"",B22107)</f>
        <v>MÄnvi</v>
      </c>
    </row>
    <row r="22108" spans="1:6" ht="15.75" customHeight="1">
      <c r="A22108" s="16" t="s">
        <v>20080</v>
      </c>
      <c r="B22108" s="15" t="s">
        <v>20081</v>
      </c>
      <c r="C22108" s="16" t="s">
        <v>19808</v>
      </c>
      <c r="D22108" s="16" t="s">
        <v>19811</v>
      </c>
      <c r="E22108" s="2">
        <v>1170951</v>
      </c>
      <c r="F22108" s="4" t="str">
        <f>IF(B22108=B22107,"",B22108)</f>
        <v>MÄnsehra</v>
      </c>
    </row>
    <row r="22109" spans="1:6" ht="15.75" customHeight="1">
      <c r="A22109" s="15" t="s">
        <v>12227</v>
      </c>
      <c r="B22109" s="15" t="s">
        <v>12228</v>
      </c>
      <c r="C22109" s="15" t="s">
        <v>10178</v>
      </c>
      <c r="D22109" s="15" t="s">
        <v>10184</v>
      </c>
      <c r="E22109" s="2">
        <v>1263622</v>
      </c>
      <c r="F22109" s="4" t="str">
        <f>IF(B22109=B22108,"",B22109)</f>
        <v>MÄnsa</v>
      </c>
    </row>
    <row r="22110" spans="1:6" ht="15.75" customHeight="1">
      <c r="A22110" s="15" t="s">
        <v>12227</v>
      </c>
      <c r="B22110" s="15" t="s">
        <v>12228</v>
      </c>
      <c r="C22110" s="15" t="s">
        <v>10178</v>
      </c>
      <c r="D22110" s="15" t="s">
        <v>10209</v>
      </c>
      <c r="E22110" s="2">
        <v>1263623</v>
      </c>
      <c r="F22110" s="4" t="str">
        <f>IF(B22110=B22109,"",B22110)</f>
        <v/>
      </c>
    </row>
    <row r="22111" spans="1:6" ht="15.75" customHeight="1">
      <c r="A22111" s="15" t="s">
        <v>12225</v>
      </c>
      <c r="B22111" s="15" t="s">
        <v>12226</v>
      </c>
      <c r="C22111" s="15" t="s">
        <v>10178</v>
      </c>
      <c r="D22111" s="15" t="s">
        <v>10179</v>
      </c>
      <c r="E22111" s="2">
        <v>1263751</v>
      </c>
      <c r="F22111" s="4" t="str">
        <f>IF(B22111=B22110,"",B22111)</f>
        <v>MÄngrol</v>
      </c>
    </row>
    <row r="22112" spans="1:6" ht="15.75" customHeight="1">
      <c r="A22112" s="15" t="s">
        <v>12225</v>
      </c>
      <c r="B22112" s="15" t="s">
        <v>12226</v>
      </c>
      <c r="C22112" s="15" t="s">
        <v>10178</v>
      </c>
      <c r="D22112" s="15" t="s">
        <v>10209</v>
      </c>
      <c r="E22112" s="2">
        <v>1263752</v>
      </c>
      <c r="F22112" s="4" t="str">
        <f>IF(B22112=B22111,"",B22112)</f>
        <v/>
      </c>
    </row>
    <row r="22113" spans="1:6" ht="15.75" customHeight="1">
      <c r="A22113" s="15" t="s">
        <v>12223</v>
      </c>
      <c r="B22113" s="15" t="s">
        <v>12224</v>
      </c>
      <c r="C22113" s="15" t="s">
        <v>10178</v>
      </c>
      <c r="D22113" s="15" t="s">
        <v>10209</v>
      </c>
      <c r="E22113" s="2">
        <v>1263824</v>
      </c>
      <c r="F22113" s="4" t="str">
        <f>IF(B22113=B22112,"",B22113)</f>
        <v>MÄndvi</v>
      </c>
    </row>
    <row r="22114" spans="1:6" ht="15.75" customHeight="1">
      <c r="A22114" s="15" t="s">
        <v>12223</v>
      </c>
      <c r="B22114" s="15" t="s">
        <v>12224</v>
      </c>
      <c r="C22114" s="15" t="s">
        <v>10178</v>
      </c>
      <c r="D22114" s="15" t="s">
        <v>10209</v>
      </c>
      <c r="E22114" s="2">
        <v>1263826</v>
      </c>
      <c r="F22114" s="4" t="str">
        <f>IF(B22114=B22113,"",B22114)</f>
        <v/>
      </c>
    </row>
    <row r="22115" spans="1:6" ht="15.75" customHeight="1">
      <c r="A22115" s="15" t="s">
        <v>12221</v>
      </c>
      <c r="B22115" s="15" t="s">
        <v>12222</v>
      </c>
      <c r="C22115" s="15" t="s">
        <v>10178</v>
      </c>
      <c r="D22115" s="15" t="s">
        <v>10219</v>
      </c>
      <c r="E22115" s="2">
        <v>1263833</v>
      </c>
      <c r="F22115" s="4" t="str">
        <f>IF(B22115=B22114,"",B22115)</f>
        <v>MÄndu</v>
      </c>
    </row>
    <row r="22116" spans="1:6" ht="15.75" customHeight="1">
      <c r="A22116" s="16" t="s">
        <v>12219</v>
      </c>
      <c r="B22116" s="15" t="s">
        <v>12220</v>
      </c>
      <c r="C22116" s="16" t="s">
        <v>10178</v>
      </c>
      <c r="D22116" s="16" t="s">
        <v>10179</v>
      </c>
      <c r="E22116" s="2">
        <v>1263911</v>
      </c>
      <c r="F22116" s="4" t="str">
        <f>IF(B22116=B22115,"",B22116)</f>
        <v>MÄndalgarh</v>
      </c>
    </row>
    <row r="22117" spans="1:6" ht="15.75" customHeight="1">
      <c r="A22117" s="15" t="s">
        <v>12217</v>
      </c>
      <c r="B22117" s="15" t="s">
        <v>12218</v>
      </c>
      <c r="C22117" s="15" t="s">
        <v>10178</v>
      </c>
      <c r="D22117" s="15" t="s">
        <v>10179</v>
      </c>
      <c r="E22117" s="2">
        <v>1263917</v>
      </c>
      <c r="F22117" s="4" t="str">
        <f>IF(B22117=B22116,"",B22117)</f>
        <v>MÄndal</v>
      </c>
    </row>
    <row r="22118" spans="1:6" ht="15.75" customHeight="1">
      <c r="A22118" s="16" t="s">
        <v>12215</v>
      </c>
      <c r="B22118" s="15" t="s">
        <v>12216</v>
      </c>
      <c r="C22118" s="16" t="s">
        <v>10178</v>
      </c>
      <c r="D22118" s="16" t="s">
        <v>10209</v>
      </c>
      <c r="E22118" s="2">
        <v>1263943</v>
      </c>
      <c r="F22118" s="4" t="str">
        <f>IF(B22118=B22117,"",B22118)</f>
        <v>MÄnÄvadar</v>
      </c>
    </row>
    <row r="22119" spans="1:6" ht="15.75" customHeight="1">
      <c r="A22119" s="16" t="s">
        <v>20078</v>
      </c>
      <c r="B22119" s="15" t="s">
        <v>20079</v>
      </c>
      <c r="C22119" s="16" t="s">
        <v>19808</v>
      </c>
      <c r="D22119" s="16" t="s">
        <v>10184</v>
      </c>
      <c r="E22119" s="2">
        <v>1171165</v>
      </c>
      <c r="F22119" s="4" t="str">
        <f>IF(B22119=B22118,"",B22119)</f>
        <v>MÄnÄnwÄla</v>
      </c>
    </row>
    <row r="22120" spans="1:6" ht="15.75" customHeight="1">
      <c r="A22120" s="16" t="s">
        <v>20076</v>
      </c>
      <c r="B22120" s="15" t="s">
        <v>20077</v>
      </c>
      <c r="C22120" s="16" t="s">
        <v>19808</v>
      </c>
      <c r="D22120" s="16" t="s">
        <v>10184</v>
      </c>
      <c r="E22120" s="2">
        <v>1171198</v>
      </c>
      <c r="F22120" s="4" t="str">
        <f>IF(B22120=B22119,"",B22120)</f>
        <v>MÄmu KÄnjan</v>
      </c>
    </row>
    <row r="22121" spans="1:6" ht="15.75" customHeight="1">
      <c r="A22121" s="15" t="s">
        <v>12213</v>
      </c>
      <c r="B22121" s="15" t="s">
        <v>12214</v>
      </c>
      <c r="C22121" s="15" t="s">
        <v>10178</v>
      </c>
      <c r="D22121" s="15" t="s">
        <v>10214</v>
      </c>
      <c r="E22121" s="2">
        <v>1264007</v>
      </c>
      <c r="F22121" s="4" t="str">
        <f>IF(B22121=B22120,"",B22121)</f>
        <v>MÄlvan</v>
      </c>
    </row>
    <row r="22122" spans="1:6" ht="15.75" customHeight="1">
      <c r="A22122" s="15" t="s">
        <v>12211</v>
      </c>
      <c r="B22122" s="15" t="s">
        <v>12212</v>
      </c>
      <c r="C22122" s="15" t="s">
        <v>10178</v>
      </c>
      <c r="D22122" s="15" t="s">
        <v>10179</v>
      </c>
      <c r="E22122" s="2">
        <v>1264032</v>
      </c>
      <c r="F22122" s="4" t="str">
        <f>IF(B22122=B22121,"",B22122)</f>
        <v>MÄlpura</v>
      </c>
    </row>
    <row r="22123" spans="1:6" ht="15.75" customHeight="1">
      <c r="A22123" s="16" t="s">
        <v>12209</v>
      </c>
      <c r="B22123" s="15" t="s">
        <v>12210</v>
      </c>
      <c r="C22123" s="16" t="s">
        <v>10178</v>
      </c>
      <c r="D22123" s="16" t="s">
        <v>10184</v>
      </c>
      <c r="E22123" s="2">
        <v>1264111</v>
      </c>
      <c r="F22123" s="4" t="str">
        <f>IF(B22123=B22122,"",B22123)</f>
        <v>MÄler Kotla</v>
      </c>
    </row>
    <row r="22124" spans="1:6" ht="15.75" customHeight="1">
      <c r="A22124" s="16" t="s">
        <v>12207</v>
      </c>
      <c r="B22124" s="15" t="s">
        <v>12208</v>
      </c>
      <c r="C22124" s="16" t="s">
        <v>10178</v>
      </c>
      <c r="D22124" s="16" t="s">
        <v>10214</v>
      </c>
      <c r="E22124" s="2">
        <v>1264115</v>
      </c>
      <c r="F22124" s="4" t="str">
        <f>IF(B22124=B22123,"",B22124)</f>
        <v>MÄlegaon</v>
      </c>
    </row>
    <row r="22125" spans="1:6" ht="15.75" customHeight="1">
      <c r="A22125" s="15" t="s">
        <v>12205</v>
      </c>
      <c r="B22125" s="15" t="s">
        <v>12206</v>
      </c>
      <c r="C22125" s="15" t="s">
        <v>10178</v>
      </c>
      <c r="D22125" s="15" t="s">
        <v>10252</v>
      </c>
      <c r="E22125" s="2">
        <v>1264010</v>
      </c>
      <c r="F22125" s="4" t="str">
        <f>IF(B22125=B22124,"",B22125)</f>
        <v>MÄlÅ«r</v>
      </c>
    </row>
    <row r="22126" spans="1:6" ht="15.75" customHeight="1">
      <c r="A22126" s="15" t="s">
        <v>12203</v>
      </c>
      <c r="B22126" s="15" t="s">
        <v>12204</v>
      </c>
      <c r="C22126" s="15" t="s">
        <v>10178</v>
      </c>
      <c r="D22126" s="15" t="s">
        <v>10239</v>
      </c>
      <c r="E22126" s="2">
        <v>1264196</v>
      </c>
      <c r="F22126" s="4" t="str">
        <f>IF(B22126=B22125,"",B22126)</f>
        <v>MÄkum</v>
      </c>
    </row>
    <row r="22127" spans="1:6" ht="15.75" customHeight="1">
      <c r="A22127" s="16" t="s">
        <v>12201</v>
      </c>
      <c r="B22127" s="15" t="s">
        <v>12202</v>
      </c>
      <c r="C22127" s="16" t="s">
        <v>10178</v>
      </c>
      <c r="D22127" s="16" t="s">
        <v>10214</v>
      </c>
      <c r="E22127" s="2">
        <v>1263684</v>
      </c>
      <c r="F22127" s="4" t="str">
        <f>IF(B22127=B22126,"",B22127)</f>
        <v>MÄjalgaon</v>
      </c>
    </row>
    <row r="22128" spans="1:6" ht="15.75" customHeight="1">
      <c r="A22128" s="15" t="s">
        <v>12199</v>
      </c>
      <c r="B22128" s="15" t="s">
        <v>12200</v>
      </c>
      <c r="C22128" s="15" t="s">
        <v>10178</v>
      </c>
      <c r="D22128" s="15" t="s">
        <v>10252</v>
      </c>
      <c r="E22128" s="2">
        <v>1264514</v>
      </c>
      <c r="F22128" s="4" t="str">
        <f>IF(B22128=B22127,"",B22128)</f>
        <v>MÄgadi</v>
      </c>
    </row>
    <row r="22129" spans="1:6" ht="15.75" customHeight="1">
      <c r="A22129" s="15" t="s">
        <v>16653</v>
      </c>
      <c r="B22129" s="15" t="s">
        <v>16654</v>
      </c>
      <c r="C22129" s="15" t="s">
        <v>16624</v>
      </c>
      <c r="D22129" s="15" t="s">
        <v>16655</v>
      </c>
      <c r="E22129" s="2">
        <v>248370</v>
      </c>
      <c r="F22129" s="4" t="str">
        <f>IF(B22129=B22128,"",B22129)</f>
        <v>MÄdabÄ</v>
      </c>
    </row>
    <row r="22130" spans="1:6" ht="15.75" customHeight="1">
      <c r="A22130" s="16" t="s">
        <v>1372</v>
      </c>
      <c r="B22130" s="15" t="s">
        <v>1373</v>
      </c>
      <c r="C22130" s="16" t="s">
        <v>1296</v>
      </c>
      <c r="D22130" s="16" t="s">
        <v>1297</v>
      </c>
      <c r="E22130" s="2">
        <v>1337245</v>
      </c>
      <c r="F22130" s="4" t="str">
        <f>IF(B22130=B22129,"",B22130)</f>
        <v>MÄdÄrÄ«pur</v>
      </c>
    </row>
    <row r="22131" spans="1:6" ht="15.75" customHeight="1">
      <c r="A22131" s="16" t="s">
        <v>12197</v>
      </c>
      <c r="B22131" s="15" t="s">
        <v>12198</v>
      </c>
      <c r="C22131" s="16" t="s">
        <v>10178</v>
      </c>
      <c r="D22131" s="16" t="s">
        <v>10184</v>
      </c>
      <c r="E22131" s="2">
        <v>1264644</v>
      </c>
      <c r="F22131" s="4" t="str">
        <f>IF(B22131=B22130,"",B22131)</f>
        <v>MÄchhÄ«wÄra</v>
      </c>
    </row>
    <row r="22132" spans="1:6" ht="15.75" customHeight="1">
      <c r="A22132" s="16" t="s">
        <v>12195</v>
      </c>
      <c r="B22132" s="15" t="s">
        <v>12196</v>
      </c>
      <c r="C22132" s="16" t="s">
        <v>10178</v>
      </c>
      <c r="D22132" s="16" t="s">
        <v>10190</v>
      </c>
      <c r="E22132" s="2">
        <v>1264647</v>
      </c>
      <c r="F22132" s="4" t="str">
        <f>IF(B22132=B22131,"",B22132)</f>
        <v>MÄcherla</v>
      </c>
    </row>
    <row r="22133" spans="1:6" ht="15.75" customHeight="1">
      <c r="A22133" s="16" t="s">
        <v>8795</v>
      </c>
      <c r="B22133" s="15" t="s">
        <v>8796</v>
      </c>
      <c r="C22133" s="16" t="s">
        <v>8028</v>
      </c>
      <c r="D22133" s="16" t="s">
        <v>8031</v>
      </c>
      <c r="E22133" s="2">
        <v>2869019</v>
      </c>
      <c r="F22133" s="4" t="str">
        <f>IF(B22133=B22132,"",B22133)</f>
        <v>MÃ¶ssingen</v>
      </c>
    </row>
    <row r="22134" spans="1:6" ht="15.75" customHeight="1">
      <c r="A22134" s="16" t="s">
        <v>8793</v>
      </c>
      <c r="B22134" s="15" t="s">
        <v>8794</v>
      </c>
      <c r="C22134" s="16" t="s">
        <v>8028</v>
      </c>
      <c r="D22134" s="16" t="s">
        <v>8050</v>
      </c>
      <c r="E22134" s="2">
        <v>3272460</v>
      </c>
      <c r="F22134" s="4" t="str">
        <f>IF(B22134=B22133,"",B22134)</f>
        <v>MÃ¶rfelden-Walldorf</v>
      </c>
    </row>
    <row r="22135" spans="1:6" ht="15.75" customHeight="1">
      <c r="A22135" s="16" t="s">
        <v>8791</v>
      </c>
      <c r="B22135" s="15" t="s">
        <v>8792</v>
      </c>
      <c r="C22135" s="16" t="s">
        <v>8028</v>
      </c>
      <c r="D22135" s="16" t="s">
        <v>8029</v>
      </c>
      <c r="E22135" s="2">
        <v>2869894</v>
      </c>
      <c r="F22135" s="4" t="str">
        <f>IF(B22135=B22134,"",B22135)</f>
        <v>MÃ¶nchengladbach</v>
      </c>
    </row>
    <row r="22136" spans="1:6" ht="15.75" customHeight="1">
      <c r="A22136" s="15" t="s">
        <v>25172</v>
      </c>
      <c r="B22136" s="15" t="s">
        <v>25173</v>
      </c>
      <c r="C22136" s="15" t="s">
        <v>25077</v>
      </c>
      <c r="D22136" s="15" t="s">
        <v>25086</v>
      </c>
      <c r="E22136" s="2">
        <v>2691459</v>
      </c>
      <c r="F22136" s="4" t="str">
        <f>IF(B22136=B22135,"",B22136)</f>
        <v>MÃ¶lndal</v>
      </c>
    </row>
    <row r="22137" spans="1:6" ht="15.75" customHeight="1">
      <c r="A22137" s="15" t="s">
        <v>8789</v>
      </c>
      <c r="B22137" s="15" t="s">
        <v>8790</v>
      </c>
      <c r="C22137" s="15" t="s">
        <v>8028</v>
      </c>
      <c r="D22137" s="15" t="s">
        <v>8040</v>
      </c>
      <c r="E22137" s="2">
        <v>2869994</v>
      </c>
      <c r="F22137" s="4" t="str">
        <f>IF(B22137=B22136,"",B22137)</f>
        <v>MÃ¶lln</v>
      </c>
    </row>
    <row r="22138" spans="1:6" ht="15.75" customHeight="1">
      <c r="A22138" s="15" t="s">
        <v>1147</v>
      </c>
      <c r="B22138" s="15" t="s">
        <v>1148</v>
      </c>
      <c r="C22138" s="15" t="s">
        <v>1117</v>
      </c>
      <c r="D22138" s="15" t="s">
        <v>1118</v>
      </c>
      <c r="E22138" s="2">
        <v>2771335</v>
      </c>
      <c r="F22138" s="4" t="str">
        <f>IF(B22138=B22137,"",B22138)</f>
        <v>MÃ¶dling</v>
      </c>
    </row>
    <row r="22139" spans="1:6" ht="15.75" customHeight="1">
      <c r="A22139" s="16" t="s">
        <v>7520</v>
      </c>
      <c r="B22139" s="15" t="s">
        <v>7521</v>
      </c>
      <c r="C22139" s="16" t="s">
        <v>7052</v>
      </c>
      <c r="D22139" s="16" t="s">
        <v>7084</v>
      </c>
      <c r="E22139" s="2">
        <v>2994393</v>
      </c>
      <c r="F22139" s="4" t="str">
        <f>IF(B22139=B22138,"",B22139)</f>
        <v>MÃ©rignac</v>
      </c>
    </row>
    <row r="22140" spans="1:6" ht="15.75" customHeight="1">
      <c r="A22140" s="16" t="s">
        <v>18058</v>
      </c>
      <c r="B22140" s="15" t="s">
        <v>18059</v>
      </c>
      <c r="C22140" s="16" t="s">
        <v>17707</v>
      </c>
      <c r="D22140" s="16" t="s">
        <v>17823</v>
      </c>
      <c r="E22140" s="2">
        <v>3523349</v>
      </c>
      <c r="F22140" s="4" t="str">
        <f>IF(B22140=B22139,"",B22140)</f>
        <v>MÃ©rida</v>
      </c>
    </row>
    <row r="22141" spans="1:6" ht="15.75" customHeight="1">
      <c r="A22141" s="16" t="s">
        <v>18058</v>
      </c>
      <c r="B22141" s="15" t="s">
        <v>18059</v>
      </c>
      <c r="C22141" s="16" t="s">
        <v>24200</v>
      </c>
      <c r="D22141" s="16" t="s">
        <v>24262</v>
      </c>
      <c r="E22141" s="2">
        <v>2513917</v>
      </c>
      <c r="F22141" s="4" t="str">
        <f>IF(B22141=B22140,"",B22141)</f>
        <v/>
      </c>
    </row>
    <row r="22142" spans="1:6" ht="15.75" customHeight="1">
      <c r="A22142" s="16" t="s">
        <v>18058</v>
      </c>
      <c r="B22142" s="15" t="s">
        <v>18059</v>
      </c>
      <c r="C22142" s="16" t="s">
        <v>5923</v>
      </c>
      <c r="D22142" s="16" t="s">
        <v>18059</v>
      </c>
      <c r="E22142" s="2">
        <v>3632308</v>
      </c>
      <c r="F22142" s="4" t="str">
        <f>IF(B22142=B22141,"",B22142)</f>
        <v/>
      </c>
    </row>
    <row r="22143" spans="1:6" ht="15.75" customHeight="1">
      <c r="A22143" s="16" t="s">
        <v>23575</v>
      </c>
      <c r="B22143" s="15" t="s">
        <v>23576</v>
      </c>
      <c r="C22143" s="16" t="s">
        <v>23559</v>
      </c>
      <c r="D22143" s="16" t="s">
        <v>23568</v>
      </c>
      <c r="E22143" s="2">
        <v>2248409</v>
      </c>
      <c r="F22143" s="4" t="str">
        <f>IF(B22143=B22142,"",B22143)</f>
        <v>MÃ©khÃ©</v>
      </c>
    </row>
    <row r="22144" spans="1:6" ht="15.75" customHeight="1">
      <c r="A22144" s="16" t="s">
        <v>9571</v>
      </c>
      <c r="B22144" s="15" t="s">
        <v>9572</v>
      </c>
      <c r="C22144" s="16" t="s">
        <v>9441</v>
      </c>
      <c r="D22144" s="16" t="s">
        <v>9445</v>
      </c>
      <c r="E22144" s="2">
        <v>257365</v>
      </c>
      <c r="F22144" s="4" t="str">
        <f>IF(B22144=B22143,"",B22144)</f>
        <v>MÃ©gara</v>
      </c>
    </row>
    <row r="22145" spans="1:6" ht="15.75" customHeight="1">
      <c r="A22145" s="15" t="s">
        <v>391</v>
      </c>
      <c r="B22145" s="15" t="s">
        <v>260</v>
      </c>
      <c r="C22145" s="15" t="s">
        <v>153</v>
      </c>
      <c r="D22145" s="15" t="s">
        <v>260</v>
      </c>
      <c r="E22145" s="2">
        <v>2488835</v>
      </c>
      <c r="F22145" s="4" t="str">
        <f>IF(B22145=B22144,"",B22145)</f>
        <v>MÃ©dÃ©a</v>
      </c>
    </row>
    <row r="22146" spans="1:6" ht="15.75" customHeight="1">
      <c r="A22146" s="16" t="s">
        <v>30872</v>
      </c>
      <c r="B22146" s="15" t="s">
        <v>30873</v>
      </c>
      <c r="C22146" s="16" t="s">
        <v>30784</v>
      </c>
      <c r="D22146" s="16" t="s">
        <v>30874</v>
      </c>
      <c r="E22146" s="2">
        <v>1574023</v>
      </c>
      <c r="F22146" s="4" t="str">
        <f>IF(B22146=B22145,"",B22146)</f>
        <v>Má»¹ Tho</v>
      </c>
    </row>
    <row r="22147" spans="1:6" ht="15.75" customHeight="1">
      <c r="A22147" s="16" t="s">
        <v>12193</v>
      </c>
      <c r="B22147" s="15" t="s">
        <v>12194</v>
      </c>
      <c r="C22147" s="16" t="s">
        <v>10178</v>
      </c>
      <c r="D22147" s="16" t="s">
        <v>10246</v>
      </c>
      <c r="E22147" s="2">
        <v>1262338</v>
      </c>
      <c r="F22147" s="4" t="str">
        <f>IF(B22147=B22146,"",B22147)</f>
        <v>MÅ«vattupula</v>
      </c>
    </row>
    <row r="22148" spans="1:6" ht="15.75" customHeight="1">
      <c r="A22148" s="16" t="s">
        <v>20074</v>
      </c>
      <c r="B22148" s="15" t="s">
        <v>20075</v>
      </c>
      <c r="C22148" s="16" t="s">
        <v>19808</v>
      </c>
      <c r="D22148" s="16" t="s">
        <v>19823</v>
      </c>
      <c r="E22148" s="2">
        <v>1170294</v>
      </c>
      <c r="F22148" s="4" t="str">
        <f>IF(B22148=B22147,"",B22148)</f>
        <v>MÄ«rpur MÄthelo</v>
      </c>
    </row>
    <row r="22149" spans="1:6" ht="15.75" customHeight="1">
      <c r="A22149" s="16" t="s">
        <v>12191</v>
      </c>
      <c r="B22149" s="15" t="s">
        <v>12192</v>
      </c>
      <c r="C22149" s="16" t="s">
        <v>10178</v>
      </c>
      <c r="D22149" s="16" t="s">
        <v>10193</v>
      </c>
      <c r="E22149" s="2">
        <v>1263015</v>
      </c>
      <c r="F22149" s="4" t="str">
        <f>IF(B22149=B22148,"",B22149)</f>
        <v>MÄ«rganj</v>
      </c>
    </row>
    <row r="22150" spans="1:6" ht="15.75" customHeight="1">
      <c r="A22150" s="16" t="s">
        <v>12189</v>
      </c>
      <c r="B22150" s="15" t="s">
        <v>12190</v>
      </c>
      <c r="C22150" s="16" t="s">
        <v>10178</v>
      </c>
      <c r="D22150" s="16" t="s">
        <v>10193</v>
      </c>
      <c r="E22150" s="2">
        <v>1263021</v>
      </c>
      <c r="F22150" s="4" t="str">
        <f>IF(B22150=B22149,"",B22150)</f>
        <v>MÄ«rÄnpur Katra</v>
      </c>
    </row>
    <row r="22151" spans="1:6" ht="15.75" customHeight="1">
      <c r="A22151" s="16" t="s">
        <v>12187</v>
      </c>
      <c r="B22151" s="15" t="s">
        <v>12188</v>
      </c>
      <c r="C22151" s="16" t="s">
        <v>10178</v>
      </c>
      <c r="D22151" s="16" t="s">
        <v>10193</v>
      </c>
      <c r="E22151" s="2">
        <v>1263022</v>
      </c>
      <c r="F22151" s="4" t="str">
        <f>IF(B22151=B22150,"",B22151)</f>
        <v>MÄ«rÄnpur</v>
      </c>
    </row>
    <row r="22152" spans="1:6" ht="15.75" customHeight="1">
      <c r="A22152" s="16" t="s">
        <v>12185</v>
      </c>
      <c r="B22152" s="15" t="s">
        <v>12186</v>
      </c>
      <c r="C22152" s="16" t="s">
        <v>10178</v>
      </c>
      <c r="D22152" s="16" t="s">
        <v>10196</v>
      </c>
      <c r="E22152" s="2">
        <v>1263034</v>
      </c>
      <c r="F22152" s="4" t="str">
        <f>IF(B22152=B22151,"",B22152)</f>
        <v>MÄ«njÅ«r</v>
      </c>
    </row>
    <row r="22153" spans="1:6" ht="15.75" customHeight="1">
      <c r="A22153" s="16" t="s">
        <v>12183</v>
      </c>
      <c r="B22153" s="15" t="s">
        <v>12184</v>
      </c>
      <c r="C22153" s="16" t="s">
        <v>10178</v>
      </c>
      <c r="D22153" s="16" t="s">
        <v>10179</v>
      </c>
      <c r="E22153" s="2">
        <v>1262491</v>
      </c>
      <c r="F22153" s="4" t="str">
        <f>IF(B22153=B22152,"",B22153)</f>
        <v>MÅ«ndwa</v>
      </c>
    </row>
    <row r="22154" spans="1:6" ht="15.75" customHeight="1">
      <c r="A22154" s="15" t="s">
        <v>14448</v>
      </c>
      <c r="B22154" s="15" t="s">
        <v>14449</v>
      </c>
      <c r="C22154" s="15" t="s">
        <v>14240</v>
      </c>
      <c r="D22154" s="15" t="s">
        <v>14320</v>
      </c>
      <c r="E22154" s="2">
        <v>123941</v>
      </c>
      <c r="F22154" s="4" t="str">
        <f>IF(B22154=B22153,"",B22154)</f>
        <v>MÄ«nÄb</v>
      </c>
    </row>
    <row r="22155" spans="1:6" ht="15.75" customHeight="1">
      <c r="A22155" s="15" t="s">
        <v>12181</v>
      </c>
      <c r="B22155" s="15" t="s">
        <v>12182</v>
      </c>
      <c r="C22155" s="15" t="s">
        <v>10178</v>
      </c>
      <c r="D22155" s="15" t="s">
        <v>10252</v>
      </c>
      <c r="E22155" s="2">
        <v>1262546</v>
      </c>
      <c r="F22155" s="4" t="str">
        <f>IF(B22155=B22154,"",B22155)</f>
        <v>MÅ«lki</v>
      </c>
    </row>
    <row r="22156" spans="1:6" ht="15.75" customHeight="1">
      <c r="A22156" s="15" t="s">
        <v>12179</v>
      </c>
      <c r="B22156" s="15" t="s">
        <v>12180</v>
      </c>
      <c r="C22156" s="15" t="s">
        <v>10178</v>
      </c>
      <c r="D22156" s="15" t="s">
        <v>10214</v>
      </c>
      <c r="E22156" s="2">
        <v>1262574</v>
      </c>
      <c r="F22156" s="4" t="str">
        <f>IF(B22156=B22155,"",B22156)</f>
        <v>MÅ«l</v>
      </c>
    </row>
    <row r="22157" spans="1:6" ht="15.75" customHeight="1">
      <c r="A22157" s="16" t="s">
        <v>12177</v>
      </c>
      <c r="B22157" s="15" t="s">
        <v>12178</v>
      </c>
      <c r="C22157" s="16" t="s">
        <v>10178</v>
      </c>
      <c r="D22157" s="16" t="s">
        <v>10252</v>
      </c>
      <c r="E22157" s="2">
        <v>1262672</v>
      </c>
      <c r="F22157" s="4" t="str">
        <f>IF(B22157=B22156,"",B22157)</f>
        <v>MÅ«dbidri</v>
      </c>
    </row>
    <row r="22158" spans="1:6" ht="15.75" customHeight="1">
      <c r="A22158" s="16" t="s">
        <v>14446</v>
      </c>
      <c r="B22158" s="15" t="s">
        <v>14447</v>
      </c>
      <c r="C22158" s="16" t="s">
        <v>14240</v>
      </c>
      <c r="D22158" s="16" t="s">
        <v>14302</v>
      </c>
      <c r="E22158" s="2">
        <v>124085</v>
      </c>
      <c r="F22158" s="4" t="str">
        <f>IF(B22158=B22157,"",B22158)</f>
        <v>MÄ«ÄndoÄb</v>
      </c>
    </row>
    <row r="22159" spans="1:6" ht="15.75" customHeight="1">
      <c r="A22159" s="16" t="s">
        <v>389</v>
      </c>
      <c r="B22159" s="15" t="s">
        <v>390</v>
      </c>
      <c r="C22159" s="16" t="s">
        <v>153</v>
      </c>
      <c r="D22159" s="16" t="s">
        <v>154</v>
      </c>
      <c r="E22159" s="2">
        <v>2486690</v>
      </c>
      <c r="F22159" s="4" t="str">
        <f>IF(B22159=B22158,"",B22159)</f>
        <v>Mâ€™Sila</v>
      </c>
    </row>
    <row r="22160" spans="1:6" ht="15.75" customHeight="1">
      <c r="A22160" s="15" t="s">
        <v>25170</v>
      </c>
      <c r="B22160" s="15" t="s">
        <v>25171</v>
      </c>
      <c r="C22160" s="15" t="s">
        <v>25077</v>
      </c>
      <c r="D22160" s="15" t="s">
        <v>25081</v>
      </c>
      <c r="E22160" s="2">
        <v>2692475</v>
      </c>
      <c r="F22160" s="4" t="str">
        <f>IF(B22160=B22159,"",B22160)</f>
        <v>MÃ¤rsta</v>
      </c>
    </row>
    <row r="22161" spans="1:6" ht="15.75" customHeight="1">
      <c r="A22161" s="16" t="s">
        <v>8787</v>
      </c>
      <c r="B22161" s="15" t="s">
        <v>8788</v>
      </c>
      <c r="C22161" s="16" t="s">
        <v>8028</v>
      </c>
      <c r="D22161" s="16" t="s">
        <v>8036</v>
      </c>
      <c r="E22161" s="2">
        <v>2873356</v>
      </c>
      <c r="F22161" s="4" t="str">
        <f>IF(B22161=B22160,"",B22161)</f>
        <v>MÃ¤rkisches Viertel</v>
      </c>
    </row>
    <row r="22162" spans="1:6" ht="15.75" customHeight="1">
      <c r="A22162" s="15" t="s">
        <v>7012</v>
      </c>
      <c r="B22162" s="15" t="s">
        <v>7013</v>
      </c>
      <c r="C22162" s="15" t="s">
        <v>6948</v>
      </c>
      <c r="D22162" s="15" t="s">
        <v>6951</v>
      </c>
      <c r="E22162" s="2">
        <v>646723</v>
      </c>
      <c r="F22162" s="4" t="str">
        <f>IF(B22162=B22161,"",B22162)</f>
        <v>MÃ¤ntsÃ¤lÃ¤</v>
      </c>
    </row>
    <row r="22163" spans="1:6" ht="15.75" customHeight="1">
      <c r="A22163" s="15" t="s">
        <v>7518</v>
      </c>
      <c r="B22163" s="15" t="s">
        <v>7519</v>
      </c>
      <c r="C22163" s="15" t="s">
        <v>7052</v>
      </c>
      <c r="D22163" s="15" t="s">
        <v>7128</v>
      </c>
      <c r="E22163" s="2">
        <v>2996882</v>
      </c>
      <c r="F22163" s="4" t="str">
        <f>IF(B22163=B22162,"",B22163)</f>
        <v>MÃ¢con</v>
      </c>
    </row>
    <row r="22164" spans="1:6" ht="15.75" customHeight="1">
      <c r="A22164" s="15" t="s">
        <v>6058</v>
      </c>
      <c r="B22164" s="15" t="s">
        <v>6059</v>
      </c>
      <c r="C22164" s="15" t="s">
        <v>5947</v>
      </c>
      <c r="D22164" s="15" t="s">
        <v>5985</v>
      </c>
      <c r="E22164" s="2">
        <v>3070862</v>
      </c>
      <c r="F22164" s="4" t="str">
        <f>IF(B22164=B22163,"",B22164)</f>
        <v>MÄ›lnÃ­k</v>
      </c>
    </row>
    <row r="22165" spans="1:6" ht="15.75" customHeight="1">
      <c r="A22165" s="15" t="s">
        <v>21340</v>
      </c>
      <c r="B22165" s="15" t="s">
        <v>21341</v>
      </c>
      <c r="C22165" s="15" t="s">
        <v>21064</v>
      </c>
      <c r="D22165" s="15" t="s">
        <v>21070</v>
      </c>
      <c r="E22165" s="2">
        <v>764634</v>
      </c>
      <c r="F22165" s="4" t="str">
        <f>IF(B22165=B22164,"",B22165)</f>
        <v>MÅ‚awa</v>
      </c>
    </row>
    <row r="22166" spans="1:6" ht="15.75" customHeight="1">
      <c r="A22166" s="8" t="str">
        <f ca="1">IFERROR(__xludf.DUMMYFUNCTION("GOOGLETRANSLATE(B41413,""en"",""pt"")"),"Ma‘arratmişrīn")</f>
        <v>Ma‘arratmişrīn</v>
      </c>
      <c r="B22166" s="9" t="s">
        <v>35737</v>
      </c>
      <c r="C22166" s="9" t="s">
        <v>25366</v>
      </c>
      <c r="D22166" s="9" t="s">
        <v>25392</v>
      </c>
      <c r="E22166" s="10">
        <v>167605</v>
      </c>
      <c r="F22166" s="4" t="str">
        <f>IF(B22166=B22165,"",B22166)</f>
        <v>Ma‘arratmişrīn</v>
      </c>
    </row>
    <row r="22167" spans="1:6" ht="15.75" customHeight="1">
      <c r="A22167" s="15" t="s">
        <v>10095</v>
      </c>
      <c r="B22167" s="15" t="s">
        <v>10096</v>
      </c>
      <c r="C22167" s="15" t="s">
        <v>9955</v>
      </c>
      <c r="D22167" s="15" t="s">
        <v>10089</v>
      </c>
      <c r="E22167" s="2">
        <v>717771</v>
      </c>
      <c r="F22167" s="4" t="str">
        <f>IF(B22167=B22166,"",B22167)</f>
        <v>MÃ¡tÃ©szalka</v>
      </c>
    </row>
    <row r="22168" spans="1:6" ht="15.75" customHeight="1">
      <c r="A22168" s="15" t="s">
        <v>5510</v>
      </c>
      <c r="B22168" s="15" t="s">
        <v>5511</v>
      </c>
      <c r="C22168" s="15" t="s">
        <v>5348</v>
      </c>
      <c r="D22168" s="15" t="s">
        <v>5380</v>
      </c>
      <c r="E22168" s="2">
        <v>3675605</v>
      </c>
      <c r="F22168" s="4" t="str">
        <f>IF(B22168=B22167,"",B22168)</f>
        <v>MÃ¡laga</v>
      </c>
    </row>
    <row r="22169" spans="1:6" ht="15.75" customHeight="1">
      <c r="A22169" s="15" t="s">
        <v>5510</v>
      </c>
      <c r="B22169" s="15" t="s">
        <v>5511</v>
      </c>
      <c r="C22169" s="15" t="s">
        <v>24200</v>
      </c>
      <c r="D22169" s="15" t="s">
        <v>24205</v>
      </c>
      <c r="E22169" s="2">
        <v>2514256</v>
      </c>
      <c r="F22169" s="4" t="str">
        <f>IF(B22169=B22168,"",B22169)</f>
        <v/>
      </c>
    </row>
    <row r="22170" spans="1:6" ht="15.75" customHeight="1">
      <c r="A22170" s="8" t="str">
        <f ca="1">IFERROR(__xludf.DUMMYFUNCTION("GOOGLETRANSLATE(B28574,""en"",""pt"")"),"M'Sila")</f>
        <v>M'Sila</v>
      </c>
      <c r="B22170" s="9" t="s">
        <v>32196</v>
      </c>
      <c r="C22170" s="9" t="s">
        <v>153</v>
      </c>
      <c r="D22170" s="9" t="s">
        <v>32189</v>
      </c>
      <c r="E22170" s="10">
        <v>2486690</v>
      </c>
      <c r="F22170" s="4" t="str">
        <f>IF(B22170=B22169,"",B22170)</f>
        <v>M’Sila</v>
      </c>
    </row>
    <row r="22171" spans="1:6" ht="15.75" customHeight="1">
      <c r="A22171" s="16" t="s">
        <v>22706</v>
      </c>
      <c r="B22171" s="15" t="s">
        <v>22706</v>
      </c>
      <c r="C22171" s="16" t="s">
        <v>22070</v>
      </c>
      <c r="D22171" s="16" t="s">
        <v>22184</v>
      </c>
      <c r="E22171" s="2">
        <v>532459</v>
      </c>
      <c r="F22171" s="4" t="str">
        <f>IF(B22171=B22170,"",B22171)</f>
        <v>Lyudinovo</v>
      </c>
    </row>
    <row r="22172" spans="1:6" ht="15.75" customHeight="1">
      <c r="A22172" s="8" t="str">
        <f ca="1">IFERROR(__xludf.DUMMYFUNCTION("GOOGLETRANSLATE(B40342,""en"",""pt"")"),"Lyudinovo")</f>
        <v>Lyudinovo</v>
      </c>
      <c r="B22172" s="9" t="s">
        <v>22706</v>
      </c>
      <c r="C22172" s="9" t="s">
        <v>22070</v>
      </c>
      <c r="D22172" s="9" t="s">
        <v>22184</v>
      </c>
      <c r="E22172" s="10">
        <v>532459</v>
      </c>
      <c r="F22172" s="4" t="str">
        <f>IF(B22172=B22171,"",B22172)</f>
        <v/>
      </c>
    </row>
    <row r="22173" spans="1:6" ht="15.75" customHeight="1">
      <c r="A22173" s="15" t="s">
        <v>27059</v>
      </c>
      <c r="B22173" s="15" t="s">
        <v>27059</v>
      </c>
      <c r="C22173" s="15" t="s">
        <v>26870</v>
      </c>
      <c r="D22173" s="15" t="s">
        <v>26893</v>
      </c>
      <c r="E22173" s="2">
        <v>702417</v>
      </c>
      <c r="F22173" s="4" t="str">
        <f>IF(B22173=B22172,"",B22173)</f>
        <v>Lyubotyn</v>
      </c>
    </row>
    <row r="22174" spans="1:6" ht="15.75" customHeight="1">
      <c r="A22174" s="8" t="str">
        <f ca="1">IFERROR(__xludf.DUMMYFUNCTION("GOOGLETRANSLATE(B42586,""en"",""pt"")"),"Lyubotyn")</f>
        <v>Lyubotyn</v>
      </c>
      <c r="B22174" s="9" t="s">
        <v>27059</v>
      </c>
      <c r="C22174" s="9" t="s">
        <v>26870</v>
      </c>
      <c r="D22174" s="9" t="s">
        <v>26893</v>
      </c>
      <c r="E22174" s="10">
        <v>702417</v>
      </c>
      <c r="F22174" s="4" t="str">
        <f>IF(B22174=B22173,"",B22174)</f>
        <v/>
      </c>
    </row>
    <row r="22175" spans="1:6" ht="15.75" customHeight="1">
      <c r="A22175" s="15" t="s">
        <v>22705</v>
      </c>
      <c r="B22175" s="15" t="s">
        <v>22705</v>
      </c>
      <c r="C22175" s="15" t="s">
        <v>22070</v>
      </c>
      <c r="D22175" s="15" t="s">
        <v>22127</v>
      </c>
      <c r="E22175" s="2">
        <v>532535</v>
      </c>
      <c r="F22175" s="4" t="str">
        <f>IF(B22175=B22174,"",B22175)</f>
        <v>Lyublino</v>
      </c>
    </row>
    <row r="22176" spans="1:6" ht="15.75" customHeight="1">
      <c r="A22176" s="8" t="str">
        <f ca="1">IFERROR(__xludf.DUMMYFUNCTION("GOOGLETRANSLATE(B40343,""en"",""pt"")"),"Lyublino")</f>
        <v>Lyublino</v>
      </c>
      <c r="B22176" s="9" t="s">
        <v>22705</v>
      </c>
      <c r="C22176" s="9" t="s">
        <v>22070</v>
      </c>
      <c r="D22176" s="9" t="s">
        <v>22127</v>
      </c>
      <c r="E22176" s="10">
        <v>532535</v>
      </c>
      <c r="F22176" s="4" t="str">
        <f>IF(B22176=B22175,"",B22176)</f>
        <v/>
      </c>
    </row>
    <row r="22177" spans="1:6" ht="15.75" customHeight="1">
      <c r="A22177" s="15" t="s">
        <v>22704</v>
      </c>
      <c r="B22177" s="15" t="s">
        <v>22704</v>
      </c>
      <c r="C22177" s="15" t="s">
        <v>22070</v>
      </c>
      <c r="D22177" s="15" t="s">
        <v>22119</v>
      </c>
      <c r="E22177" s="2">
        <v>532615</v>
      </c>
      <c r="F22177" s="4" t="str">
        <f>IF(B22177=B22176,"",B22177)</f>
        <v>Lyubertsy</v>
      </c>
    </row>
    <row r="22178" spans="1:6" ht="15.75" customHeight="1">
      <c r="A22178" s="8" t="str">
        <f ca="1">IFERROR(__xludf.DUMMYFUNCTION("GOOGLETRANSLATE(B40344,""en"",""pt"")"),"Lyubertsy")</f>
        <v>Lyubertsy</v>
      </c>
      <c r="B22178" s="9" t="s">
        <v>22704</v>
      </c>
      <c r="C22178" s="9" t="s">
        <v>22070</v>
      </c>
      <c r="D22178" s="9" t="s">
        <v>22119</v>
      </c>
      <c r="E22178" s="10">
        <v>532615</v>
      </c>
      <c r="F22178" s="4" t="str">
        <f>IF(B22178=B22177,"",B22178)</f>
        <v/>
      </c>
    </row>
    <row r="22179" spans="1:6" ht="15.75" customHeight="1">
      <c r="A22179" s="15" t="s">
        <v>22703</v>
      </c>
      <c r="B22179" s="15" t="s">
        <v>22703</v>
      </c>
      <c r="C22179" s="15" t="s">
        <v>22070</v>
      </c>
      <c r="D22179" s="15" t="s">
        <v>22119</v>
      </c>
      <c r="E22179" s="2">
        <v>532657</v>
      </c>
      <c r="F22179" s="4" t="str">
        <f>IF(B22179=B22178,"",B22179)</f>
        <v>Lytkarino</v>
      </c>
    </row>
    <row r="22180" spans="1:6" ht="15.75" customHeight="1">
      <c r="A22180" s="8" t="str">
        <f ca="1">IFERROR(__xludf.DUMMYFUNCTION("GOOGLETRANSLATE(B40345,""en"",""pt"")"),"Lytkarino")</f>
        <v>Lytkarino</v>
      </c>
      <c r="B22180" s="9" t="s">
        <v>22703</v>
      </c>
      <c r="C22180" s="9" t="s">
        <v>22070</v>
      </c>
      <c r="D22180" s="9" t="s">
        <v>22119</v>
      </c>
      <c r="E22180" s="10">
        <v>532657</v>
      </c>
      <c r="F22180" s="4" t="str">
        <f>IF(B22180=B22179,"",B22180)</f>
        <v/>
      </c>
    </row>
    <row r="22181" spans="1:6" ht="15.75" customHeight="1">
      <c r="A22181" s="16" t="s">
        <v>27513</v>
      </c>
      <c r="B22181" s="15" t="s">
        <v>27513</v>
      </c>
      <c r="C22181" s="16" t="s">
        <v>27234</v>
      </c>
      <c r="D22181" s="16" t="s">
        <v>27241</v>
      </c>
      <c r="E22181" s="2">
        <v>6693470</v>
      </c>
      <c r="F22181" s="4" t="str">
        <f>IF(B22181=B22180,"",B22181)</f>
        <v>Lytham St Annes</v>
      </c>
    </row>
    <row r="22182" spans="1:6" ht="15.75" customHeight="1">
      <c r="A22182" s="8" t="str">
        <f ca="1">IFERROR(__xludf.DUMMYFUNCTION("GOOGLETRANSLATE(B30805,""en"",""pt"")"),"Lytham St Annes")</f>
        <v>Lytham St Annes</v>
      </c>
      <c r="B22182" s="9" t="s">
        <v>27513</v>
      </c>
      <c r="C22182" s="9" t="s">
        <v>27234</v>
      </c>
      <c r="D22182" s="9" t="s">
        <v>27241</v>
      </c>
      <c r="E22182" s="10">
        <v>6693470</v>
      </c>
      <c r="F22182" s="4" t="str">
        <f>IF(B22182=B22181,"",B22182)</f>
        <v/>
      </c>
    </row>
    <row r="22183" spans="1:6" ht="15.75" customHeight="1">
      <c r="A22183" s="16" t="s">
        <v>27057</v>
      </c>
      <c r="B22183" s="15" t="s">
        <v>27058</v>
      </c>
      <c r="C22183" s="16" t="s">
        <v>26870</v>
      </c>
      <c r="D22183" s="16" t="s">
        <v>26871</v>
      </c>
      <c r="E22183" s="2">
        <v>702972</v>
      </c>
      <c r="F22183" s="4" t="str">
        <f>IF(B22183=B22182,"",B22183)</f>
        <v>Lysychansâ€™k</v>
      </c>
    </row>
    <row r="22184" spans="1:6" ht="15.75" customHeight="1">
      <c r="A22184" s="8" t="str">
        <f ca="1">IFERROR(__xludf.DUMMYFUNCTION("GOOGLETRANSLATE(B42593,""en"",""pt"")"),"Lisychans'k")</f>
        <v>Lisychans'k</v>
      </c>
      <c r="B22184" s="9" t="s">
        <v>36015</v>
      </c>
      <c r="C22184" s="9" t="s">
        <v>26870</v>
      </c>
      <c r="D22184" s="9" t="s">
        <v>26871</v>
      </c>
      <c r="E22184" s="10">
        <v>702972</v>
      </c>
      <c r="F22184" s="4" t="str">
        <f>IF(B22184=B22183,"",B22184)</f>
        <v>Lysychans’k</v>
      </c>
    </row>
    <row r="22185" spans="1:6" ht="15.75" customHeight="1">
      <c r="A22185" s="15" t="s">
        <v>22702</v>
      </c>
      <c r="B22185" s="15" t="s">
        <v>22702</v>
      </c>
      <c r="C22185" s="15" t="s">
        <v>22070</v>
      </c>
      <c r="D22185" s="15" t="s">
        <v>22161</v>
      </c>
      <c r="E22185" s="2">
        <v>532715</v>
      </c>
      <c r="F22185" s="4" t="str">
        <f>IF(B22185=B22184,"",B22185)</f>
        <v>Lyskovo</v>
      </c>
    </row>
    <row r="22186" spans="1:6" ht="15.75" customHeight="1">
      <c r="A22186" s="8" t="str">
        <f ca="1">IFERROR(__xludf.DUMMYFUNCTION("GOOGLETRANSLATE(B40347,""en"",""pt"")"),"Lyskovo")</f>
        <v>Lyskovo</v>
      </c>
      <c r="B22186" s="9" t="s">
        <v>22702</v>
      </c>
      <c r="C22186" s="9" t="s">
        <v>22070</v>
      </c>
      <c r="D22186" s="9" t="s">
        <v>22161</v>
      </c>
      <c r="E22186" s="10">
        <v>532715</v>
      </c>
      <c r="F22186" s="4" t="str">
        <f>IF(B22186=B22185,"",B22186)</f>
        <v/>
      </c>
    </row>
    <row r="22187" spans="1:6" ht="15.75" customHeight="1">
      <c r="A22187" s="15" t="s">
        <v>22700</v>
      </c>
      <c r="B22187" s="15" t="s">
        <v>22701</v>
      </c>
      <c r="C22187" s="15" t="s">
        <v>22070</v>
      </c>
      <c r="D22187" s="15" t="s">
        <v>22115</v>
      </c>
      <c r="E22187" s="2">
        <v>532675</v>
      </c>
      <c r="F22187" s="4" t="str">
        <f>IF(B22187=B22186,"",B22187)</f>
        <v>Lysâ€™va</v>
      </c>
    </row>
    <row r="22188" spans="1:6" ht="15.75" customHeight="1">
      <c r="A22188" s="8" t="str">
        <f ca="1">IFERROR(__xludf.DUMMYFUNCTION("GOOGLETRANSLATE(B40346,""en"",""pt"")"),"Lys'va")</f>
        <v>Lys'va</v>
      </c>
      <c r="B22188" s="9" t="s">
        <v>35493</v>
      </c>
      <c r="C22188" s="9" t="s">
        <v>22070</v>
      </c>
      <c r="D22188" s="9" t="s">
        <v>22115</v>
      </c>
      <c r="E22188" s="10">
        <v>532675</v>
      </c>
      <c r="F22188" s="4" t="str">
        <f>IF(B22188=B22187,"",B22188)</f>
        <v>Lys’va</v>
      </c>
    </row>
    <row r="22189" spans="1:6" ht="15.75" customHeight="1">
      <c r="A22189" s="15" t="s">
        <v>7517</v>
      </c>
      <c r="B22189" s="15" t="s">
        <v>7517</v>
      </c>
      <c r="C22189" s="15" t="s">
        <v>7052</v>
      </c>
      <c r="D22189" s="15" t="s">
        <v>7053</v>
      </c>
      <c r="E22189" s="2">
        <v>2996944</v>
      </c>
      <c r="F22189" s="4" t="str">
        <f>IF(B22189=B22188,"",B22189)</f>
        <v>Lyon</v>
      </c>
    </row>
    <row r="22190" spans="1:6" ht="15.75" customHeight="1">
      <c r="A22190" s="8" t="str">
        <f ca="1">IFERROR(__xludf.DUMMYFUNCTION("GOOGLETRANSLATE(B29949,""en"",""pt"")"),"Lyon")</f>
        <v>Lyon</v>
      </c>
      <c r="B22190" s="9" t="s">
        <v>7517</v>
      </c>
      <c r="C22190" s="9" t="s">
        <v>7052</v>
      </c>
      <c r="D22190" s="9" t="s">
        <v>32532</v>
      </c>
      <c r="E22190" s="10">
        <v>2996944</v>
      </c>
      <c r="F22190" s="4" t="str">
        <f>IF(B22190=B22189,"",B22190)</f>
        <v/>
      </c>
    </row>
    <row r="22191" spans="1:6" ht="15.75" customHeight="1">
      <c r="A22191" s="15" t="s">
        <v>29179</v>
      </c>
      <c r="B22191" s="15" t="s">
        <v>29179</v>
      </c>
      <c r="C22191" s="15" t="s">
        <v>27788</v>
      </c>
      <c r="D22191" s="15" t="s">
        <v>27801</v>
      </c>
      <c r="E22191" s="2">
        <v>5369367</v>
      </c>
      <c r="F22191" s="4" t="str">
        <f>IF(B22191=B22190,"",B22191)</f>
        <v>Lynwood</v>
      </c>
    </row>
    <row r="22192" spans="1:6" ht="15.75" customHeight="1">
      <c r="A22192" s="8" t="str">
        <f ca="1">IFERROR(__xludf.DUMMYFUNCTION("GOOGLETRANSLATE(B44895,""en"",""pt"")"),"Lynwood")</f>
        <v>Lynwood</v>
      </c>
      <c r="B22192" s="9" t="s">
        <v>29179</v>
      </c>
      <c r="C22192" s="9" t="s">
        <v>27788</v>
      </c>
      <c r="D22192" s="9" t="s">
        <v>27801</v>
      </c>
      <c r="E22192" s="10">
        <v>5369367</v>
      </c>
      <c r="F22192" s="4" t="str">
        <f>IF(B22192=B22191,"",B22192)</f>
        <v/>
      </c>
    </row>
    <row r="22193" spans="1:6" ht="15.75" customHeight="1">
      <c r="A22193" s="16" t="s">
        <v>29178</v>
      </c>
      <c r="B22193" s="15" t="s">
        <v>29178</v>
      </c>
      <c r="C22193" s="16" t="s">
        <v>27788</v>
      </c>
      <c r="D22193" s="16" t="s">
        <v>27733</v>
      </c>
      <c r="E22193" s="2">
        <v>5802049</v>
      </c>
      <c r="F22193" s="4" t="str">
        <f>IF(B22193=B22192,"",B22193)</f>
        <v>Lynnwood</v>
      </c>
    </row>
    <row r="22194" spans="1:6" ht="15.75" customHeight="1">
      <c r="A22194" s="8" t="str">
        <f ca="1">IFERROR(__xludf.DUMMYFUNCTION("GOOGLETRANSLATE(B45347,""en"",""pt"")"),"Lynnwood")</f>
        <v>Lynnwood</v>
      </c>
      <c r="B22194" s="9" t="s">
        <v>29178</v>
      </c>
      <c r="C22194" s="9" t="s">
        <v>27788</v>
      </c>
      <c r="D22194" s="9" t="s">
        <v>27733</v>
      </c>
      <c r="E22194" s="10">
        <v>5802049</v>
      </c>
      <c r="F22194" s="4" t="str">
        <f>IF(B22194=B22193,"",B22194)</f>
        <v/>
      </c>
    </row>
    <row r="22195" spans="1:6" ht="15.75" customHeight="1">
      <c r="A22195" s="16" t="s">
        <v>29177</v>
      </c>
      <c r="B22195" s="15" t="s">
        <v>29177</v>
      </c>
      <c r="C22195" s="16" t="s">
        <v>27788</v>
      </c>
      <c r="D22195" s="16" t="s">
        <v>5468</v>
      </c>
      <c r="E22195" s="2">
        <v>4163049</v>
      </c>
      <c r="F22195" s="4" t="str">
        <f>IF(B22195=B22194,"",B22195)</f>
        <v>Lynn Haven</v>
      </c>
    </row>
    <row r="22196" spans="1:6" ht="15.75" customHeight="1">
      <c r="A22196" s="8" t="str">
        <f ca="1">IFERROR(__xludf.DUMMYFUNCTION("GOOGLETRANSLATE(B42944,""en"",""pt"")"),"Lynn Haven")</f>
        <v>Lynn Haven</v>
      </c>
      <c r="B22196" s="9" t="s">
        <v>29177</v>
      </c>
      <c r="C22196" s="9" t="s">
        <v>27788</v>
      </c>
      <c r="D22196" s="9" t="s">
        <v>5468</v>
      </c>
      <c r="E22196" s="10">
        <v>4163049</v>
      </c>
      <c r="F22196" s="4" t="str">
        <f>IF(B22196=B22195,"",B22196)</f>
        <v/>
      </c>
    </row>
    <row r="22197" spans="1:6" ht="15.75" customHeight="1">
      <c r="A22197" s="15" t="s">
        <v>29176</v>
      </c>
      <c r="B22197" s="15" t="s">
        <v>29176</v>
      </c>
      <c r="C22197" s="15" t="s">
        <v>27788</v>
      </c>
      <c r="D22197" s="15" t="s">
        <v>27794</v>
      </c>
      <c r="E22197" s="2">
        <v>4942807</v>
      </c>
      <c r="F22197" s="4" t="str">
        <f>IF(B22197=B22196,"",B22197)</f>
        <v>Lynn</v>
      </c>
    </row>
    <row r="22198" spans="1:6" ht="15.75" customHeight="1">
      <c r="A22198" s="8" t="str">
        <f ca="1">IFERROR(__xludf.DUMMYFUNCTION("GOOGLETRANSLATE(B43994,""en"",""pt"")"),"Lynn")</f>
        <v>Lynn</v>
      </c>
      <c r="B22198" s="9" t="s">
        <v>29176</v>
      </c>
      <c r="C22198" s="9" t="s">
        <v>27788</v>
      </c>
      <c r="D22198" s="9" t="s">
        <v>27794</v>
      </c>
      <c r="E22198" s="10">
        <v>4942807</v>
      </c>
      <c r="F22198" s="4" t="str">
        <f>IF(B22198=B22197,"",B22198)</f>
        <v/>
      </c>
    </row>
    <row r="22199" spans="1:6" ht="15.75" customHeight="1">
      <c r="A22199" s="15" t="s">
        <v>29175</v>
      </c>
      <c r="B22199" s="15" t="s">
        <v>29175</v>
      </c>
      <c r="C22199" s="15" t="s">
        <v>27788</v>
      </c>
      <c r="D22199" s="15" t="s">
        <v>27905</v>
      </c>
      <c r="E22199" s="2">
        <v>5100706</v>
      </c>
      <c r="F22199" s="4" t="str">
        <f>IF(B22199=B22198,"",B22199)</f>
        <v>Lyndhurst</v>
      </c>
    </row>
    <row r="22200" spans="1:6" ht="15.75" customHeight="1">
      <c r="A22200" s="8" t="str">
        <f ca="1">IFERROR(__xludf.DUMMYFUNCTION("GOOGLETRANSLATE(B44278,""en"",""pt"")"),"Lyndhurst")</f>
        <v>Lyndhurst</v>
      </c>
      <c r="B22200" s="9" t="s">
        <v>29175</v>
      </c>
      <c r="C22200" s="9" t="s">
        <v>27788</v>
      </c>
      <c r="D22200" s="9" t="s">
        <v>27905</v>
      </c>
      <c r="E22200" s="10">
        <v>5100706</v>
      </c>
      <c r="F22200" s="4" t="str">
        <f>IF(B22200=B22199,"",B22200)</f>
        <v/>
      </c>
    </row>
    <row r="22201" spans="1:6" ht="15.75" customHeight="1">
      <c r="A22201" s="15" t="s">
        <v>29174</v>
      </c>
      <c r="B22201" s="15" t="s">
        <v>29174</v>
      </c>
      <c r="C22201" s="15" t="s">
        <v>27788</v>
      </c>
      <c r="D22201" s="15" t="s">
        <v>27819</v>
      </c>
      <c r="E22201" s="2">
        <v>5125523</v>
      </c>
      <c r="F22201" s="4" t="str">
        <f>IF(B22201=B22200,"",B22201)</f>
        <v>Lynbrook</v>
      </c>
    </row>
    <row r="22202" spans="1:6" ht="15.75" customHeight="1">
      <c r="A22202" s="8" t="str">
        <f ca="1">IFERROR(__xludf.DUMMYFUNCTION("GOOGLETRANSLATE(B44402,""en"",""pt"")"),"Lynbrook")</f>
        <v>Lynbrook</v>
      </c>
      <c r="B22202" s="9" t="s">
        <v>29174</v>
      </c>
      <c r="C22202" s="9" t="s">
        <v>27788</v>
      </c>
      <c r="D22202" s="9" t="s">
        <v>27819</v>
      </c>
      <c r="E22202" s="10">
        <v>5125523</v>
      </c>
      <c r="F22202" s="4" t="str">
        <f>IF(B22202=B22201,"",B22202)</f>
        <v/>
      </c>
    </row>
    <row r="22203" spans="1:6" ht="15.75" customHeight="1">
      <c r="A22203" s="15" t="s">
        <v>1478</v>
      </c>
      <c r="B22203" s="15" t="s">
        <v>1479</v>
      </c>
      <c r="C22203" s="15" t="s">
        <v>1453</v>
      </c>
      <c r="D22203" s="15" t="s">
        <v>1465</v>
      </c>
      <c r="E22203" s="2">
        <v>625743</v>
      </c>
      <c r="F22203" s="4" t="str">
        <f>IF(B22203=B22202,"",B22203)</f>
        <v>Lyepyelâ€™</v>
      </c>
    </row>
    <row r="22204" spans="1:6" ht="15.75" customHeight="1">
      <c r="A22204" s="8" t="str">
        <f ca="1">IFERROR(__xludf.DUMMYFUNCTION("GOOGLETRANSLATE(B25397,""en"",""pt"")"),"Lyepyel '")</f>
        <v>Lyepyel '</v>
      </c>
      <c r="B22204" s="9" t="s">
        <v>31751</v>
      </c>
      <c r="C22204" s="9" t="s">
        <v>1453</v>
      </c>
      <c r="D22204" s="9" t="s">
        <v>1465</v>
      </c>
      <c r="E22204" s="10">
        <v>625743</v>
      </c>
      <c r="F22204" s="4" t="str">
        <f>IF(B22204=B22203,"",B22204)</f>
        <v>Lyepyel’</v>
      </c>
    </row>
    <row r="22205" spans="1:6" ht="15.75" customHeight="1">
      <c r="A22205" s="16" t="s">
        <v>23931</v>
      </c>
      <c r="B22205" s="15" t="s">
        <v>23931</v>
      </c>
      <c r="C22205" s="16" t="s">
        <v>23842</v>
      </c>
      <c r="D22205" s="16" t="s">
        <v>23849</v>
      </c>
      <c r="E22205" s="2">
        <v>981158</v>
      </c>
      <c r="F22205" s="4" t="str">
        <f>IF(B22205=B22204,"",B22205)</f>
        <v>Lydenburg</v>
      </c>
    </row>
    <row r="22206" spans="1:6" ht="15.75" customHeight="1">
      <c r="A22206" s="8" t="str">
        <f ca="1">IFERROR(__xludf.DUMMYFUNCTION("GOOGLETRANSLATE(B45920,""en"",""pt"")"),"Lydenburg")</f>
        <v>Lydenburg</v>
      </c>
      <c r="B22206" s="9" t="s">
        <v>23931</v>
      </c>
      <c r="C22206" s="9" t="s">
        <v>23842</v>
      </c>
      <c r="D22206" s="9" t="s">
        <v>23849</v>
      </c>
      <c r="E22206" s="10">
        <v>981158</v>
      </c>
      <c r="F22206" s="4" t="str">
        <f>IF(B22206=B22205,"",B22206)</f>
        <v/>
      </c>
    </row>
    <row r="22207" spans="1:6" ht="15.75" customHeight="1">
      <c r="A22207" s="15" t="s">
        <v>22699</v>
      </c>
      <c r="B22207" s="15" t="s">
        <v>22699</v>
      </c>
      <c r="C22207" s="15" t="s">
        <v>22070</v>
      </c>
      <c r="D22207" s="15" t="s">
        <v>22217</v>
      </c>
      <c r="E22207" s="2">
        <v>1541359</v>
      </c>
      <c r="F22207" s="4" t="str">
        <f>IF(B22207=B22206,"",B22207)</f>
        <v>Lyantor</v>
      </c>
    </row>
    <row r="22208" spans="1:6" ht="15.75" customHeight="1">
      <c r="A22208" s="8" t="str">
        <f ca="1">IFERROR(__xludf.DUMMYFUNCTION("GOOGLETRANSLATE(B40889,""en"",""pt"")"),"Lyantor")</f>
        <v>Lyantor</v>
      </c>
      <c r="B22208" s="9" t="s">
        <v>22699</v>
      </c>
      <c r="C22208" s="9" t="s">
        <v>22070</v>
      </c>
      <c r="D22208" s="9" t="s">
        <v>22217</v>
      </c>
      <c r="E22208" s="10">
        <v>1541359</v>
      </c>
      <c r="F22208" s="4" t="str">
        <f>IF(B22208=B22207,"",B22208)</f>
        <v/>
      </c>
    </row>
    <row r="22209" spans="1:6" ht="15.75" customHeight="1">
      <c r="A22209" s="15" t="s">
        <v>26916</v>
      </c>
      <c r="B22209" s="15" t="s">
        <v>26916</v>
      </c>
      <c r="C22209" s="15" t="s">
        <v>26870</v>
      </c>
      <c r="D22209" s="15" t="s">
        <v>26916</v>
      </c>
      <c r="E22209" s="2">
        <v>702550</v>
      </c>
      <c r="F22209" s="4" t="str">
        <f>IF(B22209=B22208,"",B22209)</f>
        <v>Lviv</v>
      </c>
    </row>
    <row r="22210" spans="1:6" ht="15.75" customHeight="1">
      <c r="A22210" s="8" t="str">
        <f ca="1">IFERROR(__xludf.DUMMYFUNCTION("GOOGLETRANSLATE(B42587,""en"",""pt"")"),"Lviv")</f>
        <v>Lviv</v>
      </c>
      <c r="B22210" s="11" t="s">
        <v>26916</v>
      </c>
      <c r="C22210" s="11" t="s">
        <v>26870</v>
      </c>
      <c r="D22210" s="11" t="s">
        <v>26916</v>
      </c>
      <c r="E22210" s="10">
        <v>702550</v>
      </c>
      <c r="F22210" s="4" t="str">
        <f>IF(B22210=B22209,"",B22210)</f>
        <v/>
      </c>
    </row>
    <row r="22211" spans="1:6" ht="15.75" customHeight="1">
      <c r="A22211" s="8" t="str">
        <f ca="1">IFERROR(__xludf.DUMMYFUNCTION("GOOGLETRANSLATE(B24849,""en"",""pt"")"),"Luziânia")</f>
        <v>Luziânia</v>
      </c>
      <c r="B22211" s="9" t="s">
        <v>31603</v>
      </c>
      <c r="C22211" s="9" t="s">
        <v>1905</v>
      </c>
      <c r="D22211" s="9" t="s">
        <v>31436</v>
      </c>
      <c r="E22211" s="10">
        <v>3458329</v>
      </c>
      <c r="F22211" s="4" t="str">
        <f>IF(B22211=B22210,"",B22211)</f>
        <v>Luziânia</v>
      </c>
    </row>
    <row r="22212" spans="1:6" ht="15.75" customHeight="1">
      <c r="A22212" s="15" t="s">
        <v>2824</v>
      </c>
      <c r="B22212" s="15" t="s">
        <v>2825</v>
      </c>
      <c r="C22212" s="15" t="s">
        <v>1905</v>
      </c>
      <c r="D22212" s="15" t="s">
        <v>1969</v>
      </c>
      <c r="E22212" s="2">
        <v>3458329</v>
      </c>
      <c r="F22212" s="4" t="str">
        <f>IF(B22212=B22211,"",B22212)</f>
        <v>LuziÃ¢nia</v>
      </c>
    </row>
    <row r="22213" spans="1:6" ht="15.75" customHeight="1">
      <c r="A22213" s="15" t="s">
        <v>22698</v>
      </c>
      <c r="B22213" s="15" t="s">
        <v>22698</v>
      </c>
      <c r="C22213" s="15" t="s">
        <v>22070</v>
      </c>
      <c r="D22213" s="15" t="s">
        <v>22127</v>
      </c>
      <c r="E22213" s="2">
        <v>533067</v>
      </c>
      <c r="F22213" s="4" t="str">
        <f>IF(B22213=B22212,"",B22213)</f>
        <v>Luzhniki</v>
      </c>
    </row>
    <row r="22214" spans="1:6" ht="15.75" customHeight="1">
      <c r="A22214" s="8" t="str">
        <f ca="1">IFERROR(__xludf.DUMMYFUNCTION("GOOGLETRANSLATE(B40348,""en"",""pt"")"),"Luzhniki")</f>
        <v>Luzhniki</v>
      </c>
      <c r="B22214" s="11" t="s">
        <v>22698</v>
      </c>
      <c r="C22214" s="11" t="s">
        <v>22070</v>
      </c>
      <c r="D22214" s="11" t="s">
        <v>22127</v>
      </c>
      <c r="E22214" s="10">
        <v>533067</v>
      </c>
      <c r="F22214" s="4" t="str">
        <f>IF(B22214=B22213,"",B22214)</f>
        <v/>
      </c>
    </row>
    <row r="22215" spans="1:6" ht="15.75" customHeight="1">
      <c r="A22215" s="15" t="s">
        <v>25290</v>
      </c>
      <c r="B22215" s="15" t="s">
        <v>25290</v>
      </c>
      <c r="C22215" s="15" t="s">
        <v>25237</v>
      </c>
      <c r="D22215" s="15" t="s">
        <v>25259</v>
      </c>
      <c r="E22215" s="2">
        <v>2659811</v>
      </c>
      <c r="F22215" s="4" t="str">
        <f>IF(B22215=B22214,"",B22215)</f>
        <v>Luzern</v>
      </c>
    </row>
    <row r="22216" spans="1:6" ht="15.75" customHeight="1">
      <c r="A22216" s="8" t="str">
        <f ca="1">IFERROR(__xludf.DUMMYFUNCTION("GOOGLETRANSLATE(B25770,""en"",""pt"")"),"Luzern")</f>
        <v>Luzern</v>
      </c>
      <c r="B22216" s="11" t="s">
        <v>25290</v>
      </c>
      <c r="C22216" s="11" t="s">
        <v>25237</v>
      </c>
      <c r="D22216" s="11" t="s">
        <v>25259</v>
      </c>
      <c r="E22216" s="10">
        <v>2659811</v>
      </c>
      <c r="F22216" s="4" t="str">
        <f>IF(B22216=B22215,"",B22216)</f>
        <v/>
      </c>
    </row>
    <row r="22217" spans="1:6" ht="15.75" customHeight="1">
      <c r="A22217" s="15" t="s">
        <v>4933</v>
      </c>
      <c r="B22217" s="15" t="s">
        <v>4933</v>
      </c>
      <c r="C22217" s="15" t="s">
        <v>4487</v>
      </c>
      <c r="D22217" s="15" t="s">
        <v>4516</v>
      </c>
      <c r="E22217" s="2">
        <v>1816338</v>
      </c>
      <c r="F22217" s="4" t="str">
        <f>IF(B22217=B22216,"",B22217)</f>
        <v>Luxu</v>
      </c>
    </row>
    <row r="22218" spans="1:6" ht="15.75" customHeight="1">
      <c r="A22218" s="8" t="str">
        <f ca="1">IFERROR(__xludf.DUMMYFUNCTION("GOOGLETRANSLATE(B26610,""en"",""pt"")"),"Luxu")</f>
        <v>Luxu</v>
      </c>
      <c r="B22218" s="11" t="s">
        <v>4933</v>
      </c>
      <c r="C22218" s="11" t="s">
        <v>4487</v>
      </c>
      <c r="D22218" s="11" t="s">
        <v>4516</v>
      </c>
      <c r="E22218" s="10">
        <v>1816338</v>
      </c>
      <c r="F22218" s="4" t="str">
        <f>IF(B22218=B22217,"",B22218)</f>
        <v/>
      </c>
    </row>
    <row r="22219" spans="1:6" ht="15.75" customHeight="1">
      <c r="A22219" s="15" t="s">
        <v>6672</v>
      </c>
      <c r="B22219" s="15" t="s">
        <v>6672</v>
      </c>
      <c r="C22219" s="15" t="s">
        <v>6495</v>
      </c>
      <c r="D22219" s="15" t="s">
        <v>6672</v>
      </c>
      <c r="E22219" s="2">
        <v>360502</v>
      </c>
      <c r="F22219" s="4" t="str">
        <f>IF(B22219=B22218,"",B22219)</f>
        <v>Luxor</v>
      </c>
    </row>
    <row r="22220" spans="1:6" ht="15.75" customHeight="1">
      <c r="A22220" s="8" t="str">
        <f ca="1">IFERROR(__xludf.DUMMYFUNCTION("GOOGLETRANSLATE(B28900,""en"",""pt"")"),"Luxor")</f>
        <v>Luxor</v>
      </c>
      <c r="B22220" s="11" t="s">
        <v>6672</v>
      </c>
      <c r="C22220" s="11" t="s">
        <v>6495</v>
      </c>
      <c r="D22220" s="11" t="s">
        <v>6672</v>
      </c>
      <c r="E22220" s="10">
        <v>360502</v>
      </c>
      <c r="F22220" s="4" t="str">
        <f>IF(B22220=B22219,"",B22220)</f>
        <v/>
      </c>
    </row>
    <row r="22221" spans="1:6" ht="15.75" customHeight="1">
      <c r="A22221" s="16" t="s">
        <v>17217</v>
      </c>
      <c r="B22221" s="15" t="s">
        <v>17215</v>
      </c>
      <c r="C22221" s="16" t="s">
        <v>17215</v>
      </c>
      <c r="D22221" s="16" t="s">
        <v>17215</v>
      </c>
      <c r="E22221" s="2">
        <v>2960316</v>
      </c>
      <c r="F22221" s="4" t="str">
        <f>IF(B22221=B22220,"",B22221)</f>
        <v>Luxembourg</v>
      </c>
    </row>
    <row r="22222" spans="1:6" ht="15.75" customHeight="1">
      <c r="A22222" s="8" t="str">
        <f ca="1">IFERROR(__xludf.DUMMYFUNCTION("GOOGLETRANSLATE(B36395,""en"",""pt"")"),"Luxemburgo")</f>
        <v>Luxemburgo</v>
      </c>
      <c r="B22222" s="11" t="s">
        <v>17215</v>
      </c>
      <c r="C22222" s="11" t="s">
        <v>17215</v>
      </c>
      <c r="D22222" s="11" t="s">
        <v>17215</v>
      </c>
      <c r="E22222" s="10">
        <v>2960316</v>
      </c>
      <c r="F22222" s="4" t="str">
        <f>IF(B22222=B22221,"",B22222)</f>
        <v/>
      </c>
    </row>
    <row r="22223" spans="1:6" ht="15.75" customHeight="1">
      <c r="A22223" s="15" t="s">
        <v>14013</v>
      </c>
      <c r="B22223" s="15" t="s">
        <v>14013</v>
      </c>
      <c r="C22223" s="15" t="s">
        <v>13800</v>
      </c>
      <c r="D22223" s="15" t="s">
        <v>14014</v>
      </c>
      <c r="E22223" s="2">
        <v>1637001</v>
      </c>
      <c r="F22223" s="4" t="str">
        <f>IF(B22223=B22222,"",B22223)</f>
        <v>Luwuk</v>
      </c>
    </row>
    <row r="22224" spans="1:6" ht="15.75" customHeight="1">
      <c r="A22224" s="8" t="str">
        <f ca="1">IFERROR(__xludf.DUMMYFUNCTION("GOOGLETRANSLATE(B31558,""en"",""pt"")"),"Luwuk")</f>
        <v>Luwuk</v>
      </c>
      <c r="B22224" s="11" t="s">
        <v>14013</v>
      </c>
      <c r="C22224" s="11" t="s">
        <v>13800</v>
      </c>
      <c r="D22224" s="11" t="s">
        <v>14014</v>
      </c>
      <c r="E22224" s="10">
        <v>1637001</v>
      </c>
      <c r="F22224" s="4" t="str">
        <f>IF(B22224=B22223,"",B22224)</f>
        <v/>
      </c>
    </row>
    <row r="22225" spans="1:6" ht="15.75" customHeight="1">
      <c r="A22225" s="15" t="s">
        <v>26847</v>
      </c>
      <c r="B22225" s="15" t="s">
        <v>26847</v>
      </c>
      <c r="C22225" s="15" t="s">
        <v>26820</v>
      </c>
      <c r="D22225" s="15" t="s">
        <v>17414</v>
      </c>
      <c r="E22225" s="2">
        <v>229746</v>
      </c>
      <c r="F22225" s="4" t="str">
        <f>IF(B22225=B22224,"",B22225)</f>
        <v>Luwero</v>
      </c>
    </row>
    <row r="22226" spans="1:6" ht="15.75" customHeight="1">
      <c r="A22226" s="8" t="str">
        <f ca="1">IFERROR(__xludf.DUMMYFUNCTION("GOOGLETRANSLATE(B42744,""en"",""pt"")"),"Luwero")</f>
        <v>Luwero</v>
      </c>
      <c r="B22226" s="11" t="s">
        <v>26847</v>
      </c>
      <c r="C22226" s="11" t="s">
        <v>26820</v>
      </c>
      <c r="D22226" s="11" t="s">
        <v>17414</v>
      </c>
      <c r="E22226" s="10">
        <v>229746</v>
      </c>
      <c r="F22226" s="4" t="str">
        <f>IF(B22226=B22225,"",B22226)</f>
        <v/>
      </c>
    </row>
    <row r="22227" spans="1:6" ht="15.75" customHeight="1">
      <c r="A22227" s="15" t="s">
        <v>23834</v>
      </c>
      <c r="B22227" s="15" t="s">
        <v>23834</v>
      </c>
      <c r="C22227" s="15" t="s">
        <v>23800</v>
      </c>
      <c r="D22227" s="15" t="s">
        <v>23803</v>
      </c>
      <c r="E22227" s="2">
        <v>54715</v>
      </c>
      <c r="F22227" s="4" t="str">
        <f>IF(B22227=B22226,"",B22227)</f>
        <v>Luuq</v>
      </c>
    </row>
    <row r="22228" spans="1:6" ht="15.75" customHeight="1">
      <c r="A22228" s="8" t="str">
        <f ca="1">IFERROR(__xludf.DUMMYFUNCTION("GOOGLETRANSLATE(B41318,""en"",""pt"")"),"Luuq")</f>
        <v>Luuq</v>
      </c>
      <c r="B22228" s="11" t="s">
        <v>23834</v>
      </c>
      <c r="C22228" s="11" t="s">
        <v>23800</v>
      </c>
      <c r="D22228" s="11" t="s">
        <v>23803</v>
      </c>
      <c r="E22228" s="10">
        <v>54715</v>
      </c>
      <c r="F22228" s="4" t="str">
        <f>IF(B22228=B22227,"",B22228)</f>
        <v/>
      </c>
    </row>
    <row r="22229" spans="1:6" ht="15.75" customHeight="1">
      <c r="A22229" s="15" t="s">
        <v>29173</v>
      </c>
      <c r="B22229" s="15" t="s">
        <v>29173</v>
      </c>
      <c r="C22229" s="15" t="s">
        <v>27788</v>
      </c>
      <c r="D22229" s="15" t="s">
        <v>5468</v>
      </c>
      <c r="E22229" s="2">
        <v>4163033</v>
      </c>
      <c r="F22229" s="4" t="str">
        <f>IF(B22229=B22228,"",B22229)</f>
        <v>Lutz</v>
      </c>
    </row>
    <row r="22230" spans="1:6" ht="15.75" customHeight="1">
      <c r="A22230" s="8" t="str">
        <f ca="1">IFERROR(__xludf.DUMMYFUNCTION("GOOGLETRANSLATE(B42943,""en"",""pt"")"),"Lutz")</f>
        <v>Lutz</v>
      </c>
      <c r="B22230" s="11" t="s">
        <v>29173</v>
      </c>
      <c r="C22230" s="11" t="s">
        <v>27788</v>
      </c>
      <c r="D22230" s="11" t="s">
        <v>5468</v>
      </c>
      <c r="E22230" s="10">
        <v>4163033</v>
      </c>
      <c r="F22230" s="4" t="str">
        <f>IF(B22230=B22229,"",B22230)</f>
        <v/>
      </c>
    </row>
    <row r="22231" spans="1:6" ht="15.75" customHeight="1">
      <c r="A22231" s="15" t="s">
        <v>27056</v>
      </c>
      <c r="B22231" s="15" t="s">
        <v>27056</v>
      </c>
      <c r="C22231" s="15" t="s">
        <v>26870</v>
      </c>
      <c r="D22231" s="15" t="s">
        <v>26871</v>
      </c>
      <c r="E22231" s="2">
        <v>702563</v>
      </c>
      <c r="F22231" s="4" t="str">
        <f>IF(B22231=B22230,"",B22231)</f>
        <v>Lutuhyne</v>
      </c>
    </row>
    <row r="22232" spans="1:6" ht="15.75" customHeight="1">
      <c r="A22232" s="8" t="str">
        <f ca="1">IFERROR(__xludf.DUMMYFUNCTION("GOOGLETRANSLATE(B42588,""en"",""pt"")"),"Lutuhyne")</f>
        <v>Lutuhyne</v>
      </c>
      <c r="B22232" s="11" t="s">
        <v>27056</v>
      </c>
      <c r="C22232" s="11" t="s">
        <v>26870</v>
      </c>
      <c r="D22232" s="11" t="s">
        <v>26871</v>
      </c>
      <c r="E22232" s="10">
        <v>702563</v>
      </c>
      <c r="F22232" s="4" t="str">
        <f>IF(B22232=B22231,"",B22232)</f>
        <v/>
      </c>
    </row>
    <row r="22233" spans="1:6" ht="15.75" customHeight="1">
      <c r="A22233" s="15" t="s">
        <v>27054</v>
      </c>
      <c r="B22233" s="15" t="s">
        <v>27055</v>
      </c>
      <c r="C22233" s="15" t="s">
        <v>26870</v>
      </c>
      <c r="D22233" s="15" t="s">
        <v>27007</v>
      </c>
      <c r="E22233" s="2">
        <v>702569</v>
      </c>
      <c r="F22233" s="4" t="str">
        <f>IF(B22233=B22232,"",B22233)</f>
        <v>Lutsâ€™k</v>
      </c>
    </row>
    <row r="22234" spans="1:6" ht="15.75" customHeight="1">
      <c r="A22234" s="8" t="str">
        <f ca="1">IFERROR(__xludf.DUMMYFUNCTION("GOOGLETRANSLATE(B42589,""en"",""pt"")"),"Luts'k")</f>
        <v>Luts'k</v>
      </c>
      <c r="B22234" s="11" t="s">
        <v>36014</v>
      </c>
      <c r="C22234" s="11" t="s">
        <v>26870</v>
      </c>
      <c r="D22234" s="11" t="s">
        <v>27007</v>
      </c>
      <c r="E22234" s="10">
        <v>702569</v>
      </c>
      <c r="F22234" s="4" t="str">
        <f>IF(B22234=B22233,"",B22234)</f>
        <v>Luts’k</v>
      </c>
    </row>
    <row r="22235" spans="1:6" ht="15.75" customHeight="1">
      <c r="A22235" s="15" t="s">
        <v>27512</v>
      </c>
      <c r="B22235" s="15" t="s">
        <v>27512</v>
      </c>
      <c r="C22235" s="15" t="s">
        <v>27234</v>
      </c>
      <c r="D22235" s="15" t="s">
        <v>27241</v>
      </c>
      <c r="E22235" s="2">
        <v>2643339</v>
      </c>
      <c r="F22235" s="4" t="str">
        <f>IF(B22235=B22234,"",B22235)</f>
        <v>Luton</v>
      </c>
    </row>
    <row r="22236" spans="1:6" ht="15.75" customHeight="1">
      <c r="A22236" s="8" t="str">
        <f ca="1">IFERROR(__xludf.DUMMYFUNCTION("GOOGLETRANSLATE(B30560,""en"",""pt"")"),"Luton")</f>
        <v>Luton</v>
      </c>
      <c r="B22236" s="9" t="s">
        <v>27512</v>
      </c>
      <c r="C22236" s="9" t="s">
        <v>27234</v>
      </c>
      <c r="D22236" s="9" t="s">
        <v>27241</v>
      </c>
      <c r="E22236" s="10">
        <v>2643339</v>
      </c>
      <c r="F22236" s="4" t="str">
        <f>IF(B22236=B22235,"",B22236)</f>
        <v/>
      </c>
    </row>
    <row r="22237" spans="1:6" ht="15.75" customHeight="1">
      <c r="A22237" s="15" t="s">
        <v>1146</v>
      </c>
      <c r="B22237" s="15" t="s">
        <v>1146</v>
      </c>
      <c r="C22237" s="15" t="s">
        <v>1117</v>
      </c>
      <c r="D22237" s="15" t="s">
        <v>1126</v>
      </c>
      <c r="E22237" s="2">
        <v>2772173</v>
      </c>
      <c r="F22237" s="4" t="str">
        <f>IF(B22237=B22236,"",B22237)</f>
        <v>Lustenau</v>
      </c>
    </row>
    <row r="22238" spans="1:6" ht="15.75" customHeight="1">
      <c r="A22238" s="8" t="str">
        <f ca="1">IFERROR(__xludf.DUMMYFUNCTION("GOOGLETRANSLATE(B23388,""en"",""pt"")"),"Lustenau")</f>
        <v>Lustenau</v>
      </c>
      <c r="B22238" s="9" t="s">
        <v>1146</v>
      </c>
      <c r="C22238" s="9" t="s">
        <v>1117</v>
      </c>
      <c r="D22238" s="9" t="s">
        <v>1126</v>
      </c>
      <c r="E22238" s="10">
        <v>2772173</v>
      </c>
      <c r="F22238" s="4" t="str">
        <f>IF(B22238=B22237,"",B22238)</f>
        <v/>
      </c>
    </row>
    <row r="22239" spans="1:6" ht="15.75" customHeight="1">
      <c r="A22239" s="8" t="str">
        <f ca="1">IFERROR(__xludf.DUMMYFUNCTION("GOOGLETRANSLATE(B26364,""en"",""pt"")"),"Lüshun")</f>
        <v>Lüshun</v>
      </c>
      <c r="B22239" s="11" t="s">
        <v>31831</v>
      </c>
      <c r="C22239" s="11" t="s">
        <v>4487</v>
      </c>
      <c r="D22239" s="11" t="s">
        <v>4505</v>
      </c>
      <c r="E22239" s="10">
        <v>1801722</v>
      </c>
      <c r="F22239" s="4" t="str">
        <f>IF(B22239=B22238,"",B22239)</f>
        <v>Lüshun</v>
      </c>
    </row>
    <row r="22240" spans="1:6" ht="15.75" customHeight="1">
      <c r="A22240" s="15" t="s">
        <v>25661</v>
      </c>
      <c r="B22240" s="15" t="s">
        <v>25661</v>
      </c>
      <c r="C22240" s="15" t="s">
        <v>25560</v>
      </c>
      <c r="D22240" s="15" t="s">
        <v>25586</v>
      </c>
      <c r="E22240" s="2">
        <v>155569</v>
      </c>
      <c r="F22240" s="4" t="str">
        <f>IF(B22240=B22239,"",B22240)</f>
        <v>Lushoto</v>
      </c>
    </row>
    <row r="22241" spans="1:6" ht="15.75" customHeight="1">
      <c r="A22241" s="8" t="str">
        <f ca="1">IFERROR(__xludf.DUMMYFUNCTION("GOOGLETRANSLATE(B42373,""en"",""pt"")"),"Lushoto")</f>
        <v>Lushoto</v>
      </c>
      <c r="B22241" s="11" t="s">
        <v>25661</v>
      </c>
      <c r="C22241" s="11" t="s">
        <v>25560</v>
      </c>
      <c r="D22241" s="11" t="s">
        <v>25586</v>
      </c>
      <c r="E22241" s="10">
        <v>155569</v>
      </c>
      <c r="F22241" s="4" t="str">
        <f>IF(B22241=B22240,"",B22241)</f>
        <v/>
      </c>
    </row>
    <row r="22242" spans="1:6" ht="15.75" customHeight="1">
      <c r="A22242" s="8" t="str">
        <f ca="1">IFERROR(__xludf.DUMMYFUNCTION("GOOGLETRANSLATE(B23114,""en"",""pt"")"),"Lushnjë")</f>
        <v>Lushnjë</v>
      </c>
      <c r="B22242" s="9" t="s">
        <v>31151</v>
      </c>
      <c r="C22242" s="9" t="s">
        <v>113</v>
      </c>
      <c r="D22242" s="9" t="s">
        <v>120</v>
      </c>
      <c r="E22242" s="10">
        <v>3184862</v>
      </c>
      <c r="F22242" s="4" t="str">
        <f>IF(B22242=B22241,"",B22242)</f>
        <v>Lushnjë</v>
      </c>
    </row>
    <row r="22243" spans="1:6" ht="15.75" customHeight="1">
      <c r="A22243" s="15" t="s">
        <v>140</v>
      </c>
      <c r="B22243" s="15" t="s">
        <v>141</v>
      </c>
      <c r="C22243" s="15" t="s">
        <v>113</v>
      </c>
      <c r="D22243" s="15" t="s">
        <v>120</v>
      </c>
      <c r="E22243" s="2">
        <v>3184862</v>
      </c>
      <c r="F22243" s="4" t="str">
        <f>IF(B22243=B22242,"",B22243)</f>
        <v>LushnjÃ«</v>
      </c>
    </row>
    <row r="22244" spans="1:6" ht="15.75" customHeight="1">
      <c r="A22244" s="15" t="s">
        <v>6185</v>
      </c>
      <c r="B22244" s="15" t="s">
        <v>6185</v>
      </c>
      <c r="C22244" s="15" t="s">
        <v>6127</v>
      </c>
      <c r="D22244" s="15" t="s">
        <v>6150</v>
      </c>
      <c r="E22244" s="2">
        <v>210379</v>
      </c>
      <c r="F22244" s="4" t="str">
        <f>IF(B22244=B22243,"",B22244)</f>
        <v>Lusambo</v>
      </c>
    </row>
    <row r="22245" spans="1:6" ht="15.75" customHeight="1">
      <c r="A22245" s="8" t="str">
        <f ca="1">IFERROR(__xludf.DUMMYFUNCTION("GOOGLETRANSLATE(B25653,""en"",""pt"")"),"Lusambo")</f>
        <v>Lusambo</v>
      </c>
      <c r="B22245" s="11" t="s">
        <v>6185</v>
      </c>
      <c r="C22245" s="11" t="s">
        <v>6127</v>
      </c>
      <c r="D22245" s="11" t="s">
        <v>31765</v>
      </c>
      <c r="E22245" s="10">
        <v>210379</v>
      </c>
      <c r="F22245" s="4" t="str">
        <f>IF(B22245=B22244,"",B22245)</f>
        <v/>
      </c>
    </row>
    <row r="22246" spans="1:6" ht="15.75" customHeight="1">
      <c r="A22246" s="15" t="s">
        <v>31045</v>
      </c>
      <c r="B22246" s="15" t="s">
        <v>31045</v>
      </c>
      <c r="C22246" s="15" t="s">
        <v>31038</v>
      </c>
      <c r="D22246" s="15" t="s">
        <v>31045</v>
      </c>
      <c r="E22246" s="2">
        <v>909137</v>
      </c>
      <c r="F22246" s="4" t="str">
        <f>IF(B22246=B22245,"",B22246)</f>
        <v>Lusaka</v>
      </c>
    </row>
    <row r="22247" spans="1:6" ht="15.75" customHeight="1">
      <c r="A22247" s="8" t="str">
        <f ca="1">IFERROR(__xludf.DUMMYFUNCTION("GOOGLETRANSLATE(B46017,""en"",""pt"")"),"Lusaka")</f>
        <v>Lusaka</v>
      </c>
      <c r="B22247" s="11" t="s">
        <v>31045</v>
      </c>
      <c r="C22247" s="11" t="s">
        <v>31038</v>
      </c>
      <c r="D22247" s="11" t="s">
        <v>31045</v>
      </c>
      <c r="E22247" s="10">
        <v>909137</v>
      </c>
      <c r="F22247" s="4" t="str">
        <f>IF(B22247=B22246,"",B22247)</f>
        <v/>
      </c>
    </row>
    <row r="22248" spans="1:6" ht="15.75" customHeight="1">
      <c r="A22248" s="15" t="s">
        <v>4932</v>
      </c>
      <c r="B22248" s="15" t="s">
        <v>4932</v>
      </c>
      <c r="C22248" s="15" t="s">
        <v>4487</v>
      </c>
      <c r="D22248" s="15" t="s">
        <v>4631</v>
      </c>
      <c r="E22248" s="2">
        <v>1801757</v>
      </c>
      <c r="F22248" s="4" t="str">
        <f>IF(B22248=B22247,"",B22248)</f>
        <v>Luqiao</v>
      </c>
    </row>
    <row r="22249" spans="1:6" ht="15.75" customHeight="1">
      <c r="A22249" s="8" t="str">
        <f ca="1">IFERROR(__xludf.DUMMYFUNCTION("GOOGLETRANSLATE(B26365,""en"",""pt"")"),"Luqiao")</f>
        <v>Luqiao</v>
      </c>
      <c r="B22249" s="11" t="s">
        <v>4932</v>
      </c>
      <c r="C22249" s="11" t="s">
        <v>4487</v>
      </c>
      <c r="D22249" s="11" t="s">
        <v>4631</v>
      </c>
      <c r="E22249" s="10">
        <v>1801757</v>
      </c>
      <c r="F22249" s="4" t="str">
        <f>IF(B22249=B22248,"",B22249)</f>
        <v/>
      </c>
    </row>
    <row r="22250" spans="1:6" ht="15.75" customHeight="1">
      <c r="A22250" s="15" t="s">
        <v>20845</v>
      </c>
      <c r="B22250" s="15" t="s">
        <v>20845</v>
      </c>
      <c r="C22250" s="15" t="s">
        <v>20598</v>
      </c>
      <c r="D22250" s="15" t="s">
        <v>20658</v>
      </c>
      <c r="E22250" s="2">
        <v>1704968</v>
      </c>
      <c r="F22250" s="4" t="str">
        <f>IF(B22250=B22249,"",B22250)</f>
        <v>Lupon</v>
      </c>
    </row>
    <row r="22251" spans="1:6" ht="15.75" customHeight="1">
      <c r="A22251" s="8" t="str">
        <f ca="1">IFERROR(__xludf.DUMMYFUNCTION("GOOGLETRANSLATE(B38653,""en"",""pt"")"),"Lupon")</f>
        <v>Lupon</v>
      </c>
      <c r="B22251" s="11" t="s">
        <v>20845</v>
      </c>
      <c r="C22251" s="11" t="s">
        <v>20598</v>
      </c>
      <c r="D22251" s="11" t="s">
        <v>20658</v>
      </c>
      <c r="E22251" s="10">
        <v>1704968</v>
      </c>
      <c r="F22251" s="4" t="str">
        <f>IF(B22251=B22250,"",B22251)</f>
        <v/>
      </c>
    </row>
    <row r="22252" spans="1:6" ht="15.75" customHeight="1">
      <c r="A22252" s="15" t="s">
        <v>21952</v>
      </c>
      <c r="B22252" s="15" t="s">
        <v>21952</v>
      </c>
      <c r="C22252" s="15" t="s">
        <v>21824</v>
      </c>
      <c r="D22252" s="15" t="s">
        <v>21865</v>
      </c>
      <c r="E22252" s="2">
        <v>674295</v>
      </c>
      <c r="F22252" s="4" t="str">
        <f>IF(B22252=B22251,"",B22252)</f>
        <v>Lupeni</v>
      </c>
    </row>
    <row r="22253" spans="1:6" ht="15.75" customHeight="1">
      <c r="A22253" s="8" t="str">
        <f ca="1">IFERROR(__xludf.DUMMYFUNCTION("GOOGLETRANSLATE(B39781,""en"",""pt"")"),"Lupeni")</f>
        <v>Lupeni</v>
      </c>
      <c r="B22253" s="11" t="s">
        <v>21952</v>
      </c>
      <c r="C22253" s="11" t="s">
        <v>21824</v>
      </c>
      <c r="D22253" s="11" t="s">
        <v>21865</v>
      </c>
      <c r="E22253" s="10">
        <v>674295</v>
      </c>
      <c r="F22253" s="4" t="str">
        <f>IF(B22253=B22252,"",B22253)</f>
        <v/>
      </c>
    </row>
    <row r="22254" spans="1:6" ht="15.75" customHeight="1">
      <c r="A22254" s="15" t="s">
        <v>4931</v>
      </c>
      <c r="B22254" s="15" t="s">
        <v>4931</v>
      </c>
      <c r="C22254" s="15" t="s">
        <v>4487</v>
      </c>
      <c r="D22254" s="15" t="s">
        <v>4511</v>
      </c>
      <c r="E22254" s="2">
        <v>1801792</v>
      </c>
      <c r="F22254" s="4" t="str">
        <f>IF(B22254=B22253,"",B22254)</f>
        <v>Luoyang</v>
      </c>
    </row>
    <row r="22255" spans="1:6" ht="15.75" customHeight="1">
      <c r="A22255" s="15" t="s">
        <v>4931</v>
      </c>
      <c r="B22255" s="15" t="s">
        <v>4931</v>
      </c>
      <c r="C22255" s="15" t="s">
        <v>4487</v>
      </c>
      <c r="D22255" s="15" t="s">
        <v>4591</v>
      </c>
      <c r="E22255" s="2">
        <v>1801797</v>
      </c>
      <c r="F22255" s="4" t="str">
        <f>IF(B22255=B22254,"",B22255)</f>
        <v/>
      </c>
    </row>
    <row r="22256" spans="1:6" ht="15.75" customHeight="1">
      <c r="A22256" s="15" t="s">
        <v>4931</v>
      </c>
      <c r="B22256" s="15" t="s">
        <v>4931</v>
      </c>
      <c r="C22256" s="15" t="s">
        <v>4487</v>
      </c>
      <c r="D22256" s="15" t="s">
        <v>4492</v>
      </c>
      <c r="E22256" s="2">
        <v>1801799</v>
      </c>
      <c r="F22256" s="4" t="str">
        <f>IF(B22256=B22255,"",B22256)</f>
        <v/>
      </c>
    </row>
    <row r="22257" spans="1:6" ht="15.75" customHeight="1">
      <c r="A22257" s="8" t="str">
        <f ca="1">IFERROR(__xludf.DUMMYFUNCTION("GOOGLETRANSLATE(B26366,""en"",""pt"")"),"Luoyang")</f>
        <v>Luoyang</v>
      </c>
      <c r="B22257" s="11" t="s">
        <v>4931</v>
      </c>
      <c r="C22257" s="11" t="s">
        <v>4487</v>
      </c>
      <c r="D22257" s="11" t="s">
        <v>4511</v>
      </c>
      <c r="E22257" s="10">
        <v>1801792</v>
      </c>
      <c r="F22257" s="4" t="str">
        <f>IF(B22257=B22256,"",B22257)</f>
        <v/>
      </c>
    </row>
    <row r="22258" spans="1:6" ht="15.75" customHeight="1">
      <c r="A22258" s="8" t="str">
        <f ca="1">IFERROR(__xludf.DUMMYFUNCTION("GOOGLETRANSLATE(B26367,""en"",""pt"")"),"Luoyang")</f>
        <v>Luoyang</v>
      </c>
      <c r="B22258" s="9" t="s">
        <v>4931</v>
      </c>
      <c r="C22258" s="9" t="s">
        <v>4487</v>
      </c>
      <c r="D22258" s="9" t="s">
        <v>4591</v>
      </c>
      <c r="E22258" s="10">
        <v>1801797</v>
      </c>
      <c r="F22258" s="4" t="str">
        <f>IF(B22258=B22257,"",B22258)</f>
        <v/>
      </c>
    </row>
    <row r="22259" spans="1:6" ht="15.75" customHeight="1">
      <c r="A22259" s="8" t="str">
        <f ca="1">IFERROR(__xludf.DUMMYFUNCTION("GOOGLETRANSLATE(B26368,""en"",""pt"")"),"Luoyang")</f>
        <v>Luoyang</v>
      </c>
      <c r="B22259" s="11" t="s">
        <v>4931</v>
      </c>
      <c r="C22259" s="11" t="s">
        <v>4487</v>
      </c>
      <c r="D22259" s="11" t="s">
        <v>4492</v>
      </c>
      <c r="E22259" s="10">
        <v>1801799</v>
      </c>
      <c r="F22259" s="4" t="str">
        <f>IF(B22259=B22258,"",B22259)</f>
        <v/>
      </c>
    </row>
    <row r="22260" spans="1:6" ht="15.75" customHeight="1">
      <c r="A22260" s="15" t="s">
        <v>4930</v>
      </c>
      <c r="B22260" s="15" t="s">
        <v>4930</v>
      </c>
      <c r="C22260" s="15" t="s">
        <v>4487</v>
      </c>
      <c r="D22260" s="15" t="s">
        <v>4516</v>
      </c>
      <c r="E22260" s="2">
        <v>1801850</v>
      </c>
      <c r="F22260" s="4" t="str">
        <f>IF(B22260=B22259,"",B22260)</f>
        <v>Luorong</v>
      </c>
    </row>
    <row r="22261" spans="1:6" ht="15.75" customHeight="1">
      <c r="A22261" s="8" t="str">
        <f ca="1">IFERROR(__xludf.DUMMYFUNCTION("GOOGLETRANSLATE(B26369,""en"",""pt"")"),"Luorong")</f>
        <v>Luorong</v>
      </c>
      <c r="B22261" s="11" t="s">
        <v>4930</v>
      </c>
      <c r="C22261" s="11" t="s">
        <v>4487</v>
      </c>
      <c r="D22261" s="11" t="s">
        <v>4516</v>
      </c>
      <c r="E22261" s="10">
        <v>1801850</v>
      </c>
      <c r="F22261" s="4" t="str">
        <f>IF(B22261=B22260,"",B22261)</f>
        <v/>
      </c>
    </row>
    <row r="22262" spans="1:6" ht="15.75" customHeight="1">
      <c r="A22262" s="15" t="s">
        <v>4929</v>
      </c>
      <c r="B22262" s="15" t="s">
        <v>4929</v>
      </c>
      <c r="C22262" s="15" t="s">
        <v>4487</v>
      </c>
      <c r="D22262" s="15" t="s">
        <v>4511</v>
      </c>
      <c r="E22262" s="2">
        <v>1801934</v>
      </c>
      <c r="F22262" s="4" t="str">
        <f>IF(B22262=B22261,"",B22262)</f>
        <v>Luohe</v>
      </c>
    </row>
    <row r="22263" spans="1:6" ht="15.75" customHeight="1">
      <c r="A22263" s="8" t="str">
        <f ca="1">IFERROR(__xludf.DUMMYFUNCTION("GOOGLETRANSLATE(B26370,""en"",""pt"")"),"Luohe")</f>
        <v>Luohe</v>
      </c>
      <c r="B22263" s="9" t="s">
        <v>4929</v>
      </c>
      <c r="C22263" s="9" t="s">
        <v>4487</v>
      </c>
      <c r="D22263" s="9" t="s">
        <v>4511</v>
      </c>
      <c r="E22263" s="10">
        <v>1801934</v>
      </c>
      <c r="F22263" s="4" t="str">
        <f>IF(B22263=B22262,"",B22263)</f>
        <v/>
      </c>
    </row>
    <row r="22264" spans="1:6" ht="15.75" customHeight="1">
      <c r="A22264" s="15" t="s">
        <v>4928</v>
      </c>
      <c r="B22264" s="15" t="s">
        <v>4928</v>
      </c>
      <c r="C22264" s="15" t="s">
        <v>4487</v>
      </c>
      <c r="D22264" s="15" t="s">
        <v>4503</v>
      </c>
      <c r="E22264" s="2">
        <v>1784953</v>
      </c>
      <c r="F22264" s="4" t="str">
        <f>IF(B22264=B22263,"",B22264)</f>
        <v>Luofeng</v>
      </c>
    </row>
    <row r="22265" spans="1:6" ht="15.75" customHeight="1">
      <c r="A22265" s="8" t="str">
        <f ca="1">IFERROR(__xludf.DUMMYFUNCTION("GOOGLETRANSLATE(B26094,""en"",""pt"")"),"Luofeng")</f>
        <v>Luofeng</v>
      </c>
      <c r="B22265" s="9" t="s">
        <v>4928</v>
      </c>
      <c r="C22265" s="9" t="s">
        <v>4487</v>
      </c>
      <c r="D22265" s="9" t="s">
        <v>4503</v>
      </c>
      <c r="E22265" s="10">
        <v>1784953</v>
      </c>
      <c r="F22265" s="4" t="str">
        <f>IF(B22265=B22264,"",B22265)</f>
        <v/>
      </c>
    </row>
    <row r="22266" spans="1:6" ht="15.75" customHeight="1">
      <c r="A22266" s="15" t="s">
        <v>4927</v>
      </c>
      <c r="B22266" s="15" t="s">
        <v>4927</v>
      </c>
      <c r="C22266" s="15" t="s">
        <v>4487</v>
      </c>
      <c r="D22266" s="15" t="s">
        <v>4588</v>
      </c>
      <c r="E22266" s="2">
        <v>1801983</v>
      </c>
      <c r="F22266" s="4" t="str">
        <f>IF(B22266=B22265,"",B22266)</f>
        <v>Luocheng</v>
      </c>
    </row>
    <row r="22267" spans="1:6" ht="15.75" customHeight="1">
      <c r="A22267" s="8" t="str">
        <f ca="1">IFERROR(__xludf.DUMMYFUNCTION("GOOGLETRANSLATE(B26371,""en"",""pt"")"),"Luocheng")</f>
        <v>Luocheng</v>
      </c>
      <c r="B22267" s="9" t="s">
        <v>4927</v>
      </c>
      <c r="C22267" s="9" t="s">
        <v>4487</v>
      </c>
      <c r="D22267" s="9" t="s">
        <v>4588</v>
      </c>
      <c r="E22267" s="10">
        <v>1801983</v>
      </c>
      <c r="F22267" s="4" t="str">
        <f>IF(B22267=B22266,"",B22267)</f>
        <v/>
      </c>
    </row>
    <row r="22268" spans="1:6" ht="15.75" customHeight="1">
      <c r="A22268" s="15" t="s">
        <v>23682</v>
      </c>
      <c r="B22268" s="15" t="s">
        <v>23683</v>
      </c>
      <c r="C22268" s="15" t="s">
        <v>23676</v>
      </c>
      <c r="D22268" s="15" t="s">
        <v>20426</v>
      </c>
      <c r="E22268" s="2">
        <v>2406916</v>
      </c>
      <c r="F22268" s="4" t="str">
        <f>IF(B22268=B22267,"",B22268)</f>
        <v>Lunsar</v>
      </c>
    </row>
    <row r="22269" spans="1:6" ht="15.75" customHeight="1">
      <c r="A22269" s="8" t="str">
        <f ca="1">IFERROR(__xludf.DUMMYFUNCTION("GOOGLETRANSLATE(B41277,""en"",""pt"")"),"Lunar")</f>
        <v>Lunar</v>
      </c>
      <c r="B22269" s="9" t="s">
        <v>23683</v>
      </c>
      <c r="C22269" s="9" t="s">
        <v>23676</v>
      </c>
      <c r="D22269" s="9" t="s">
        <v>20426</v>
      </c>
      <c r="E22269" s="10">
        <v>2406916</v>
      </c>
      <c r="F22269" s="4" t="str">
        <f>IF(B22269=B22268,"",B22269)</f>
        <v/>
      </c>
    </row>
    <row r="22270" spans="1:6" ht="15.75" customHeight="1">
      <c r="A22270" s="15" t="s">
        <v>1477</v>
      </c>
      <c r="B22270" s="15" t="s">
        <v>1477</v>
      </c>
      <c r="C22270" s="15" t="s">
        <v>1453</v>
      </c>
      <c r="D22270" s="15" t="s">
        <v>1457</v>
      </c>
      <c r="E22270" s="2">
        <v>625818</v>
      </c>
      <c r="F22270" s="4" t="str">
        <f>IF(B22270=B22269,"",B22270)</f>
        <v>Luninyets</v>
      </c>
    </row>
    <row r="22271" spans="1:6" ht="15.75" customHeight="1">
      <c r="A22271" s="8" t="str">
        <f ca="1">IFERROR(__xludf.DUMMYFUNCTION("GOOGLETRANSLATE(B25398,""en"",""pt"")"),"Luninyets")</f>
        <v>Luninyets</v>
      </c>
      <c r="B22271" s="9" t="s">
        <v>1477</v>
      </c>
      <c r="C22271" s="9" t="s">
        <v>1453</v>
      </c>
      <c r="D22271" s="9" t="s">
        <v>1457</v>
      </c>
      <c r="E22271" s="10">
        <v>625818</v>
      </c>
      <c r="F22271" s="4" t="str">
        <f>IF(B22271=B22270,"",B22271)</f>
        <v/>
      </c>
    </row>
    <row r="22272" spans="1:6" ht="15.75" customHeight="1">
      <c r="A22272" s="15" t="s">
        <v>12176</v>
      </c>
      <c r="B22272" s="15" t="s">
        <v>12176</v>
      </c>
      <c r="C22272" s="15" t="s">
        <v>10178</v>
      </c>
      <c r="D22272" s="15" t="s">
        <v>10263</v>
      </c>
      <c r="E22272" s="2">
        <v>1264688</v>
      </c>
      <c r="F22272" s="4" t="str">
        <f>IF(B22272=B22271,"",B22272)</f>
        <v>Lunglei</v>
      </c>
    </row>
    <row r="22273" spans="1:6" ht="15.75" customHeight="1">
      <c r="A22273" s="8" t="str">
        <f ca="1">IFERROR(__xludf.DUMMYFUNCTION("GOOGLETRANSLATE(B32908,""en"",""pt"")"),"Lunglei")</f>
        <v>Lunglei</v>
      </c>
      <c r="B22273" s="11" t="s">
        <v>12176</v>
      </c>
      <c r="C22273" s="11" t="s">
        <v>10178</v>
      </c>
      <c r="D22273" s="11" t="s">
        <v>10263</v>
      </c>
      <c r="E22273" s="10">
        <v>1264688</v>
      </c>
      <c r="F22273" s="4" t="str">
        <f>IF(B22273=B22272,"",B22273)</f>
        <v/>
      </c>
    </row>
    <row r="22274" spans="1:6" ht="15.75" customHeight="1">
      <c r="A22274" s="8" t="str">
        <f ca="1">IFERROR(__xludf.DUMMYFUNCTION("GOOGLETRANSLATE(B29950,""en"",""pt"")"),"Lunéville")</f>
        <v>Lunéville</v>
      </c>
      <c r="B22274" s="9" t="s">
        <v>32582</v>
      </c>
      <c r="C22274" s="9" t="s">
        <v>7052</v>
      </c>
      <c r="D22274" s="9" t="s">
        <v>7061</v>
      </c>
      <c r="E22274" s="10">
        <v>2997110</v>
      </c>
      <c r="F22274" s="4" t="str">
        <f>IF(B22274=B22273,"",B22274)</f>
        <v>Lunéville</v>
      </c>
    </row>
    <row r="22275" spans="1:6" ht="15.75" customHeight="1">
      <c r="A22275" s="8" t="str">
        <f ca="1">IFERROR(__xludf.DUMMYFUNCTION("GOOGLETRANSLATE(B27793,""en"",""pt"")"),"Lünen")</f>
        <v>Lünen</v>
      </c>
      <c r="B22275" s="11" t="s">
        <v>32062</v>
      </c>
      <c r="C22275" s="11" t="s">
        <v>8028</v>
      </c>
      <c r="D22275" s="11" t="s">
        <v>8029</v>
      </c>
      <c r="E22275" s="10">
        <v>2875107</v>
      </c>
      <c r="F22275" s="4" t="str">
        <f>IF(B22275=B22274,"",B22275)</f>
        <v>Lünen</v>
      </c>
    </row>
    <row r="22276" spans="1:6" ht="15.75" customHeight="1">
      <c r="A22276" s="15" t="s">
        <v>7516</v>
      </c>
      <c r="B22276" s="15" t="s">
        <v>7516</v>
      </c>
      <c r="C22276" s="15" t="s">
        <v>7052</v>
      </c>
      <c r="D22276" s="15" t="s">
        <v>7082</v>
      </c>
      <c r="E22276" s="2">
        <v>2997116</v>
      </c>
      <c r="F22276" s="4" t="str">
        <f>IF(B22276=B22275,"",B22276)</f>
        <v>Lunel</v>
      </c>
    </row>
    <row r="22277" spans="1:6" ht="15.75" customHeight="1">
      <c r="A22277" s="8" t="str">
        <f ca="1">IFERROR(__xludf.DUMMYFUNCTION("GOOGLETRANSLATE(B29951,""en"",""pt"")"),"Lunel")</f>
        <v>Lunel</v>
      </c>
      <c r="B22277" s="11" t="s">
        <v>7516</v>
      </c>
      <c r="C22277" s="11" t="s">
        <v>7052</v>
      </c>
      <c r="D22277" s="11" t="s">
        <v>32547</v>
      </c>
      <c r="E22277" s="10">
        <v>2997116</v>
      </c>
      <c r="F22277" s="4" t="str">
        <f>IF(B22277=B22276,"",B22277)</f>
        <v/>
      </c>
    </row>
    <row r="22278" spans="1:6" ht="15.75" customHeight="1">
      <c r="A22278" s="8" t="str">
        <f ca="1">IFERROR(__xludf.DUMMYFUNCTION("GOOGLETRANSLATE(B27794,""en"",""pt"")"),"Lüneburg")</f>
        <v>Lüneburg</v>
      </c>
      <c r="B22278" s="9" t="s">
        <v>32063</v>
      </c>
      <c r="C22278" s="9" t="s">
        <v>8028</v>
      </c>
      <c r="D22278" s="9" t="s">
        <v>8034</v>
      </c>
      <c r="E22278" s="10">
        <v>2875115</v>
      </c>
      <c r="F22278" s="4" t="str">
        <f>IF(B22278=B22277,"",B22278)</f>
        <v>Lüneburg</v>
      </c>
    </row>
    <row r="22279" spans="1:6" ht="15.75" customHeight="1">
      <c r="A22279" s="15" t="s">
        <v>25169</v>
      </c>
      <c r="B22279" s="15" t="s">
        <v>25169</v>
      </c>
      <c r="C22279" s="15" t="s">
        <v>25077</v>
      </c>
      <c r="D22279" s="15" t="s">
        <v>25078</v>
      </c>
      <c r="E22279" s="2">
        <v>2693678</v>
      </c>
      <c r="F22279" s="4" t="str">
        <f>IF(B22279=B22278,"",B22279)</f>
        <v>Lund</v>
      </c>
    </row>
    <row r="22280" spans="1:6" ht="15.75" customHeight="1">
      <c r="A22280" s="8" t="str">
        <f ca="1">IFERROR(__xludf.DUMMYFUNCTION("GOOGLETRANSLATE(B41165,""en"",""pt"")"),"Lund")</f>
        <v>Lund</v>
      </c>
      <c r="B22280" s="9" t="s">
        <v>25169</v>
      </c>
      <c r="C22280" s="9" t="s">
        <v>25077</v>
      </c>
      <c r="D22280" s="9" t="s">
        <v>35623</v>
      </c>
      <c r="E22280" s="10">
        <v>2693678</v>
      </c>
      <c r="F22280" s="4" t="str">
        <f>IF(B22280=B22279,"",B22280)</f>
        <v/>
      </c>
    </row>
    <row r="22281" spans="1:6" ht="15.75" customHeight="1">
      <c r="A22281" s="8" t="str">
        <f ca="1">IFERROR(__xludf.DUMMYFUNCTION("GOOGLETRANSLATE(B32909,""en"",""pt"")"),"Lūnāvāda")</f>
        <v>Lūnāvāda</v>
      </c>
      <c r="B22281" s="11" t="s">
        <v>33449</v>
      </c>
      <c r="C22281" s="11" t="s">
        <v>10178</v>
      </c>
      <c r="D22281" s="11" t="s">
        <v>10209</v>
      </c>
      <c r="E22281" s="10">
        <v>1264700</v>
      </c>
      <c r="F22281" s="4" t="str">
        <f>IF(B22281=B22280,"",B22281)</f>
        <v>Lūnāvāda</v>
      </c>
    </row>
    <row r="22282" spans="1:6" ht="15.75" customHeight="1">
      <c r="A22282" s="15" t="s">
        <v>7514</v>
      </c>
      <c r="B22282" s="15" t="s">
        <v>7515</v>
      </c>
      <c r="C22282" s="15" t="s">
        <v>7052</v>
      </c>
      <c r="D22282" s="15" t="s">
        <v>7061</v>
      </c>
      <c r="E22282" s="2">
        <v>2997110</v>
      </c>
      <c r="F22282" s="4" t="str">
        <f>IF(B22282=B22281,"",B22282)</f>
        <v>LunÃ©ville</v>
      </c>
    </row>
    <row r="22283" spans="1:6" ht="15.75" customHeight="1">
      <c r="A22283" s="15" t="s">
        <v>17525</v>
      </c>
      <c r="B22283" s="15" t="s">
        <v>17525</v>
      </c>
      <c r="C22283" s="15" t="s">
        <v>17432</v>
      </c>
      <c r="D22283" s="15" t="s">
        <v>17438</v>
      </c>
      <c r="E22283" s="2">
        <v>1735450</v>
      </c>
      <c r="F22283" s="4" t="str">
        <f>IF(B22283=B22282,"",B22283)</f>
        <v>Lumut</v>
      </c>
    </row>
    <row r="22284" spans="1:6" ht="15.75" customHeight="1">
      <c r="A22284" s="8" t="str">
        <f ca="1">IFERROR(__xludf.DUMMYFUNCTION("GOOGLETRANSLATE(B37490,""en"",""pt"")"),"Lumut")</f>
        <v>Lumut</v>
      </c>
      <c r="B22284" s="9" t="s">
        <v>17525</v>
      </c>
      <c r="C22284" s="9" t="s">
        <v>17432</v>
      </c>
      <c r="D22284" s="9" t="s">
        <v>17438</v>
      </c>
      <c r="E22284" s="10">
        <v>1735450</v>
      </c>
      <c r="F22284" s="4" t="str">
        <f>IF(B22284=B22283,"",B22284)</f>
        <v/>
      </c>
    </row>
    <row r="22285" spans="1:6" ht="15.75" customHeight="1">
      <c r="A22285" s="8" t="str">
        <f ca="1">IFERROR(__xludf.DUMMYFUNCTION("GOOGLETRANSLATE(B35973,""en"",""pt"")"),"Lumphăt")</f>
        <v>Lumphăt</v>
      </c>
      <c r="B22285" s="11" t="s">
        <v>34430</v>
      </c>
      <c r="C22285" s="11" t="s">
        <v>3838</v>
      </c>
      <c r="D22285" s="11" t="s">
        <v>3839</v>
      </c>
      <c r="E22285" s="10">
        <v>1830377</v>
      </c>
      <c r="F22285" s="4" t="str">
        <f>IF(B22285=B22284,"",B22285)</f>
        <v>Lumphăt</v>
      </c>
    </row>
    <row r="22286" spans="1:6" ht="15.75" customHeight="1">
      <c r="A22286" s="15" t="s">
        <v>3850</v>
      </c>
      <c r="B22286" s="15" t="s">
        <v>3851</v>
      </c>
      <c r="C22286" s="15" t="s">
        <v>3838</v>
      </c>
      <c r="D22286" s="15" t="s">
        <v>3839</v>
      </c>
      <c r="E22286" s="2">
        <v>1830377</v>
      </c>
      <c r="F22286" s="4" t="str">
        <f>IF(B22286=B22285,"",B22286)</f>
        <v>LumphÄƒt</v>
      </c>
    </row>
    <row r="22287" spans="1:6" ht="15.75" customHeight="1">
      <c r="A22287" s="16" t="s">
        <v>15232</v>
      </c>
      <c r="B22287" s="15" t="s">
        <v>15232</v>
      </c>
      <c r="C22287" s="16" t="s">
        <v>14891</v>
      </c>
      <c r="D22287" s="16" t="s">
        <v>14894</v>
      </c>
      <c r="E22287" s="2">
        <v>6534216</v>
      </c>
      <c r="F22287" s="4" t="str">
        <f>IF(B22287=B22286,"",B22287)</f>
        <v>Lumezzane</v>
      </c>
    </row>
    <row r="22288" spans="1:6" ht="15.75" customHeight="1">
      <c r="A22288" s="8" t="str">
        <f ca="1">IFERROR(__xludf.DUMMYFUNCTION("GOOGLETRANSLATE(B35085,""en"",""pt"")"),"Lumezzane")</f>
        <v>Lumezzane</v>
      </c>
      <c r="B22288" s="9" t="s">
        <v>15232</v>
      </c>
      <c r="C22288" s="9" t="s">
        <v>14891</v>
      </c>
      <c r="D22288" s="9" t="s">
        <v>14894</v>
      </c>
      <c r="E22288" s="10">
        <v>6534216</v>
      </c>
      <c r="F22288" s="4" t="str">
        <f>IF(B22288=B22287,"",B22288)</f>
        <v/>
      </c>
    </row>
    <row r="22289" spans="1:6" ht="15.75" customHeight="1">
      <c r="A22289" s="16" t="s">
        <v>12174</v>
      </c>
      <c r="B22289" s="15" t="s">
        <v>12175</v>
      </c>
      <c r="C22289" s="16" t="s">
        <v>10178</v>
      </c>
      <c r="D22289" s="16" t="s">
        <v>10239</v>
      </c>
      <c r="E22289" s="2">
        <v>7302859</v>
      </c>
      <c r="F22289" s="4" t="str">
        <f>IF(B22289=B22288,"",B22289)</f>
        <v>Lumding Railway Colony</v>
      </c>
    </row>
    <row r="22290" spans="1:6" ht="15.75" customHeight="1">
      <c r="A22290" s="8" t="str">
        <f ca="1">IFERROR(__xludf.DUMMYFUNCTION("GOOGLETRANSLATE(B34251,""en"",""pt"")"),"Colônia ferroviária de Lumding")</f>
        <v>Colônia ferroviária de Lumding</v>
      </c>
      <c r="B22290" s="9" t="s">
        <v>12175</v>
      </c>
      <c r="C22290" s="9" t="s">
        <v>10178</v>
      </c>
      <c r="D22290" s="9" t="s">
        <v>10239</v>
      </c>
      <c r="E22290" s="10">
        <v>7302859</v>
      </c>
      <c r="F22290" s="4" t="str">
        <f>IF(B22290=B22289,"",B22290)</f>
        <v/>
      </c>
    </row>
    <row r="22291" spans="1:6" ht="15.75" customHeight="1">
      <c r="A22291" s="16" t="s">
        <v>29172</v>
      </c>
      <c r="B22291" s="15" t="s">
        <v>29172</v>
      </c>
      <c r="C22291" s="16" t="s">
        <v>27788</v>
      </c>
      <c r="D22291" s="16" t="s">
        <v>27822</v>
      </c>
      <c r="E22291" s="2">
        <v>4477525</v>
      </c>
      <c r="F22291" s="4" t="str">
        <f>IF(B22291=B22290,"",B22291)</f>
        <v>Lumberton</v>
      </c>
    </row>
    <row r="22292" spans="1:6" ht="15.75" customHeight="1">
      <c r="A22292" s="8" t="str">
        <f ca="1">IFERROR(__xludf.DUMMYFUNCTION("GOOGLETRANSLATE(B43465,""en"",""pt"")"),"Lumberton")</f>
        <v>Lumberton</v>
      </c>
      <c r="B22292" s="9" t="s">
        <v>29172</v>
      </c>
      <c r="C22292" s="9" t="s">
        <v>27788</v>
      </c>
      <c r="D22292" s="9" t="s">
        <v>27822</v>
      </c>
      <c r="E22292" s="10">
        <v>4477525</v>
      </c>
      <c r="F22292" s="4" t="str">
        <f>IF(B22292=B22291,"",B22292)</f>
        <v/>
      </c>
    </row>
    <row r="22293" spans="1:6" ht="15.75" customHeight="1">
      <c r="A22293" s="15" t="s">
        <v>20844</v>
      </c>
      <c r="B22293" s="15" t="s">
        <v>20844</v>
      </c>
      <c r="C22293" s="15" t="s">
        <v>20598</v>
      </c>
      <c r="D22293" s="15" t="s">
        <v>20608</v>
      </c>
      <c r="E22293" s="2">
        <v>1705190</v>
      </c>
      <c r="F22293" s="4" t="str">
        <f>IF(B22293=B22292,"",B22293)</f>
        <v>Lumbang</v>
      </c>
    </row>
    <row r="22294" spans="1:6" ht="15.75" customHeight="1">
      <c r="A22294" s="8" t="str">
        <f ca="1">IFERROR(__xludf.DUMMYFUNCTION("GOOGLETRANSLATE(B38654,""en"",""pt"")"),"Lumbang")</f>
        <v>Lumbang</v>
      </c>
      <c r="B22294" s="11" t="s">
        <v>20844</v>
      </c>
      <c r="C22294" s="11" t="s">
        <v>20598</v>
      </c>
      <c r="D22294" s="11" t="s">
        <v>20608</v>
      </c>
      <c r="E22294" s="10">
        <v>1705190</v>
      </c>
      <c r="F22294" s="4" t="str">
        <f>IF(B22294=B22293,"",B22294)</f>
        <v/>
      </c>
    </row>
    <row r="22295" spans="1:6" ht="15.75" customHeight="1">
      <c r="A22295" s="15" t="s">
        <v>14012</v>
      </c>
      <c r="B22295" s="15" t="s">
        <v>14012</v>
      </c>
      <c r="C22295" s="15" t="s">
        <v>13800</v>
      </c>
      <c r="D22295" s="15" t="s">
        <v>13816</v>
      </c>
      <c r="E22295" s="2">
        <v>1637090</v>
      </c>
      <c r="F22295" s="4" t="str">
        <f>IF(B22295=B22294,"",B22295)</f>
        <v>Lumajang</v>
      </c>
    </row>
    <row r="22296" spans="1:6" ht="15.75" customHeight="1">
      <c r="A22296" s="8" t="str">
        <f ca="1">IFERROR(__xludf.DUMMYFUNCTION("GOOGLETRANSLATE(B31559,""en"",""pt"")"),"Lumajang")</f>
        <v>Lumajang</v>
      </c>
      <c r="B22296" s="9" t="s">
        <v>14012</v>
      </c>
      <c r="C22296" s="9" t="s">
        <v>13800</v>
      </c>
      <c r="D22296" s="9" t="s">
        <v>13816</v>
      </c>
      <c r="E22296" s="10">
        <v>1637090</v>
      </c>
      <c r="F22296" s="4" t="str">
        <f>IF(B22296=B22295,"",B22296)</f>
        <v/>
      </c>
    </row>
    <row r="22297" spans="1:6" ht="15.75" customHeight="1">
      <c r="A22297" s="8" t="str">
        <f ca="1">IFERROR(__xludf.DUMMYFUNCTION("GOOGLETRANSLATE(B42139,""en"",""pt"")"),"Lüleburgaz")</f>
        <v>Lüleburgaz</v>
      </c>
      <c r="B22297" s="9" t="s">
        <v>35930</v>
      </c>
      <c r="C22297" s="9" t="s">
        <v>26201</v>
      </c>
      <c r="D22297" s="9" t="s">
        <v>35931</v>
      </c>
      <c r="E22297" s="10">
        <v>741855</v>
      </c>
      <c r="F22297" s="4" t="str">
        <f>IF(B22297=B22296,"",B22297)</f>
        <v>Lüleburgaz</v>
      </c>
    </row>
    <row r="22298" spans="1:6" ht="15.75" customHeight="1">
      <c r="A22298" s="15" t="s">
        <v>25166</v>
      </c>
      <c r="B22298" s="15" t="s">
        <v>25167</v>
      </c>
      <c r="C22298" s="15" t="s">
        <v>25077</v>
      </c>
      <c r="D22298" s="15" t="s">
        <v>25098</v>
      </c>
      <c r="E22298" s="2">
        <v>604490</v>
      </c>
      <c r="F22298" s="4" t="str">
        <f>IF(B22298=B22297,"",B22298)</f>
        <v>LuleÃ¥</v>
      </c>
    </row>
    <row r="22299" spans="1:6" ht="15.75" customHeight="1">
      <c r="A22299" s="15" t="s">
        <v>25168</v>
      </c>
      <c r="B22299" s="15" t="s">
        <v>25168</v>
      </c>
      <c r="C22299" s="15" t="s">
        <v>25077</v>
      </c>
      <c r="D22299" s="15" t="s">
        <v>25098</v>
      </c>
      <c r="E22299" s="2">
        <v>604490</v>
      </c>
      <c r="F22299" s="4" t="str">
        <f>IF(B22299=B22298,"",B22299)</f>
        <v>Luleå</v>
      </c>
    </row>
    <row r="22300" spans="1:6" ht="15.75" customHeight="1">
      <c r="A22300" s="8" t="str">
        <f ca="1">IFERROR(__xludf.DUMMYFUNCTION("GOOGLETRANSLATE(B41120,""en"",""pt"")"),"Luleå")</f>
        <v>Luleå</v>
      </c>
      <c r="B22300" s="11" t="s">
        <v>25168</v>
      </c>
      <c r="C22300" s="11" t="s">
        <v>25077</v>
      </c>
      <c r="D22300" s="11" t="s">
        <v>25098</v>
      </c>
      <c r="E22300" s="10">
        <v>604490</v>
      </c>
      <c r="F22300" s="4" t="str">
        <f>IF(B22300=B22299,"",B22300)</f>
        <v/>
      </c>
    </row>
    <row r="22301" spans="1:6" ht="15.75" customHeight="1">
      <c r="A22301" s="15" t="s">
        <v>25660</v>
      </c>
      <c r="B22301" s="15" t="s">
        <v>25660</v>
      </c>
      <c r="C22301" s="15" t="s">
        <v>25560</v>
      </c>
      <c r="D22301" s="15" t="s">
        <v>25648</v>
      </c>
      <c r="E22301" s="2">
        <v>878195</v>
      </c>
      <c r="F22301" s="4" t="str">
        <f>IF(B22301=B22300,"",B22301)</f>
        <v>Lukuledi</v>
      </c>
    </row>
    <row r="22302" spans="1:6" ht="15.75" customHeight="1">
      <c r="A22302" s="8" t="str">
        <f ca="1">IFERROR(__xludf.DUMMYFUNCTION("GOOGLETRANSLATE(B42460,""en"",""pt"")"),"Lukuledi")</f>
        <v>Lukuledi</v>
      </c>
      <c r="B22302" s="9" t="s">
        <v>25660</v>
      </c>
      <c r="C22302" s="9" t="s">
        <v>25560</v>
      </c>
      <c r="D22302" s="9" t="s">
        <v>25648</v>
      </c>
      <c r="E22302" s="10">
        <v>878195</v>
      </c>
      <c r="F22302" s="4" t="str">
        <f>IF(B22302=B22301,"",B22302)</f>
        <v/>
      </c>
    </row>
    <row r="22303" spans="1:6" ht="15.75" customHeight="1">
      <c r="A22303" s="8" t="str">
        <f ca="1">IFERROR(__xludf.DUMMYFUNCTION("GOOGLETRANSLATE(B39249,""en"",""pt"")"),"Łuków")</f>
        <v>Łuków</v>
      </c>
      <c r="B22303" s="9" t="s">
        <v>35104</v>
      </c>
      <c r="C22303" s="9" t="s">
        <v>21064</v>
      </c>
      <c r="D22303" s="9" t="s">
        <v>21091</v>
      </c>
      <c r="E22303" s="10">
        <v>765749</v>
      </c>
      <c r="F22303" s="4" t="str">
        <f>IF(B22303=B22302,"",B22303)</f>
        <v>Łuków</v>
      </c>
    </row>
    <row r="22304" spans="1:6" ht="15.75" customHeight="1">
      <c r="A22304" s="16" t="s">
        <v>22697</v>
      </c>
      <c r="B22304" s="15" t="s">
        <v>22697</v>
      </c>
      <c r="C22304" s="16" t="s">
        <v>22070</v>
      </c>
      <c r="D22304" s="16" t="s">
        <v>22119</v>
      </c>
      <c r="E22304" s="2">
        <v>533543</v>
      </c>
      <c r="F22304" s="4" t="str">
        <f>IF(B22304=B22303,"",B22304)</f>
        <v>Lukhovitsy</v>
      </c>
    </row>
    <row r="22305" spans="1:6" ht="15.75" customHeight="1">
      <c r="A22305" s="8" t="str">
        <f ca="1">IFERROR(__xludf.DUMMYFUNCTION("GOOGLETRANSLATE(B40349,""en"",""pt"")"),"Lukhovitsy")</f>
        <v>Lukhovitsy</v>
      </c>
      <c r="B22305" s="9" t="s">
        <v>22697</v>
      </c>
      <c r="C22305" s="9" t="s">
        <v>22070</v>
      </c>
      <c r="D22305" s="9" t="s">
        <v>22119</v>
      </c>
      <c r="E22305" s="10">
        <v>533543</v>
      </c>
      <c r="F22305" s="4" t="str">
        <f>IF(B22305=B22304,"",B22305)</f>
        <v/>
      </c>
    </row>
    <row r="22306" spans="1:6" ht="15.75" customHeight="1">
      <c r="A22306" s="8" t="str">
        <f ca="1">IFERROR(__xludf.DUMMYFUNCTION("GOOGLETRANSLATE(B23204,""en"",""pt"")"),"Luján")</f>
        <v>Luján</v>
      </c>
      <c r="B22306" s="11" t="s">
        <v>31168</v>
      </c>
      <c r="C22306" s="11" t="s">
        <v>558</v>
      </c>
      <c r="D22306" s="11" t="s">
        <v>562</v>
      </c>
      <c r="E22306" s="10">
        <v>3430988</v>
      </c>
      <c r="F22306" s="4" t="str">
        <f>IF(B22306=B22305,"",B22306)</f>
        <v>Luján</v>
      </c>
    </row>
    <row r="22307" spans="1:6" ht="15.75" customHeight="1">
      <c r="A22307" s="15" t="s">
        <v>701</v>
      </c>
      <c r="B22307" s="15" t="s">
        <v>702</v>
      </c>
      <c r="C22307" s="15" t="s">
        <v>558</v>
      </c>
      <c r="D22307" s="15" t="s">
        <v>562</v>
      </c>
      <c r="E22307" s="2">
        <v>3430988</v>
      </c>
      <c r="F22307" s="4" t="str">
        <f>IF(B22307=B22306,"",B22307)</f>
        <v>LujÃ¡n</v>
      </c>
    </row>
    <row r="22308" spans="1:6" ht="15.75" customHeight="1">
      <c r="A22308" s="16" t="s">
        <v>14756</v>
      </c>
      <c r="B22308" s="15" t="s">
        <v>14756</v>
      </c>
      <c r="C22308" s="16" t="s">
        <v>14728</v>
      </c>
      <c r="D22308" s="16" t="s">
        <v>8868</v>
      </c>
      <c r="E22308" s="2">
        <v>2962943</v>
      </c>
      <c r="F22308" s="4" t="str">
        <f>IF(B22308=B22307,"",B22308)</f>
        <v>Luimneach</v>
      </c>
    </row>
    <row r="22309" spans="1:6" ht="15.75" customHeight="1">
      <c r="A22309" s="8" t="str">
        <f ca="1">IFERROR(__xludf.DUMMYFUNCTION("GOOGLETRANSLATE(B31736,""en"",""pt"")"),"Luimneach")</f>
        <v>Luimneach</v>
      </c>
      <c r="B22309" s="9" t="s">
        <v>14756</v>
      </c>
      <c r="C22309" s="9" t="s">
        <v>14728</v>
      </c>
      <c r="D22309" s="9" t="s">
        <v>8868</v>
      </c>
      <c r="E22309" s="10">
        <v>2962943</v>
      </c>
      <c r="F22309" s="4" t="str">
        <f>IF(B22309=B22308,"",B22309)</f>
        <v/>
      </c>
    </row>
    <row r="22310" spans="1:6" ht="15.75" customHeight="1">
      <c r="A22310" s="15" t="s">
        <v>26871</v>
      </c>
      <c r="B22310" s="15" t="s">
        <v>26871</v>
      </c>
      <c r="C22310" s="15" t="s">
        <v>26870</v>
      </c>
      <c r="D22310" s="15" t="s">
        <v>26871</v>
      </c>
      <c r="E22310" s="2">
        <v>702658</v>
      </c>
      <c r="F22310" s="4" t="str">
        <f>IF(B22310=B22309,"",B22310)</f>
        <v>Luhansk</v>
      </c>
    </row>
    <row r="22311" spans="1:6" ht="15.75" customHeight="1">
      <c r="A22311" s="8" t="str">
        <f ca="1">IFERROR(__xludf.DUMMYFUNCTION("GOOGLETRANSLATE(B42590,""en"",""pt"")"),"Luhansk")</f>
        <v>Luhansk</v>
      </c>
      <c r="B22311" s="11" t="s">
        <v>26871</v>
      </c>
      <c r="C22311" s="11" t="s">
        <v>26870</v>
      </c>
      <c r="D22311" s="11" t="s">
        <v>26871</v>
      </c>
      <c r="E22311" s="10">
        <v>702658</v>
      </c>
      <c r="F22311" s="4" t="str">
        <f>IF(B22311=B22310,"",B22311)</f>
        <v/>
      </c>
    </row>
    <row r="22312" spans="1:6" ht="15.75" customHeight="1">
      <c r="A22312" s="15" t="s">
        <v>16812</v>
      </c>
      <c r="B22312" s="15" t="s">
        <v>16812</v>
      </c>
      <c r="C22312" s="15" t="s">
        <v>16781</v>
      </c>
      <c r="D22312" s="15" t="s">
        <v>16784</v>
      </c>
      <c r="E22312" s="2">
        <v>188657</v>
      </c>
      <c r="F22312" s="4" t="str">
        <f>IF(B22312=B22311,"",B22312)</f>
        <v>Lugulu</v>
      </c>
    </row>
    <row r="22313" spans="1:6" ht="15.75" customHeight="1">
      <c r="A22313" s="8" t="str">
        <f ca="1">IFERROR(__xludf.DUMMYFUNCTION("GOOGLETRANSLATE(B35911,""en"",""pt"")"),"Lugulu")</f>
        <v>Lugulu</v>
      </c>
      <c r="B22313" s="11" t="s">
        <v>16812</v>
      </c>
      <c r="C22313" s="11" t="s">
        <v>16781</v>
      </c>
      <c r="D22313" s="11" t="s">
        <v>16784</v>
      </c>
      <c r="E22313" s="10">
        <v>188657</v>
      </c>
      <c r="F22313" s="4" t="str">
        <f>IF(B22313=B22312,"",B22313)</f>
        <v/>
      </c>
    </row>
    <row r="22314" spans="1:6" ht="15.75" customHeight="1">
      <c r="A22314" s="15" t="s">
        <v>25512</v>
      </c>
      <c r="B22314" s="15" t="s">
        <v>25512</v>
      </c>
      <c r="C22314" s="15" t="s">
        <v>25502</v>
      </c>
      <c r="D22314" s="15" t="s">
        <v>25502</v>
      </c>
      <c r="E22314" s="2">
        <v>1672551</v>
      </c>
      <c r="F22314" s="4" t="str">
        <f>IF(B22314=B22313,"",B22314)</f>
        <v>Lugu</v>
      </c>
    </row>
    <row r="22315" spans="1:6" ht="15.75" customHeight="1">
      <c r="A22315" s="8" t="str">
        <f ca="1">IFERROR(__xludf.DUMMYFUNCTION("GOOGLETRANSLATE(B42270,""en"",""pt"")"),"Lugu")</f>
        <v>Lugu</v>
      </c>
      <c r="B22315" s="11" t="s">
        <v>25512</v>
      </c>
      <c r="C22315" s="11" t="s">
        <v>25502</v>
      </c>
      <c r="D22315" s="11" t="s">
        <v>25502</v>
      </c>
      <c r="E22315" s="10">
        <v>1672551</v>
      </c>
      <c r="F22315" s="4" t="str">
        <f>IF(B22315=B22314,"",B22315)</f>
        <v/>
      </c>
    </row>
    <row r="22316" spans="1:6" ht="15.75" customHeight="1">
      <c r="A22316" s="15" t="s">
        <v>21950</v>
      </c>
      <c r="B22316" s="15" t="s">
        <v>21950</v>
      </c>
      <c r="C22316" s="15" t="s">
        <v>21824</v>
      </c>
      <c r="D22316" s="15" t="s">
        <v>21951</v>
      </c>
      <c r="E22316" s="2">
        <v>674531</v>
      </c>
      <c r="F22316" s="4" t="str">
        <f>IF(B22316=B22315,"",B22316)</f>
        <v>Lugoj</v>
      </c>
    </row>
    <row r="22317" spans="1:6" ht="15.75" customHeight="1">
      <c r="A22317" s="8" t="str">
        <f ca="1">IFERROR(__xludf.DUMMYFUNCTION("GOOGLETRANSLATE(B39782,""en"",""pt"")"),"Lugoj")</f>
        <v>Lugoj</v>
      </c>
      <c r="B22317" s="11" t="s">
        <v>21950</v>
      </c>
      <c r="C22317" s="11" t="s">
        <v>21824</v>
      </c>
      <c r="D22317" s="11" t="s">
        <v>35347</v>
      </c>
      <c r="E22317" s="10">
        <v>674531</v>
      </c>
      <c r="F22317" s="4" t="str">
        <f>IF(B22317=B22316,"",B22317)</f>
        <v/>
      </c>
    </row>
    <row r="22318" spans="1:6" ht="15.75" customHeight="1">
      <c r="A22318" s="15" t="s">
        <v>25659</v>
      </c>
      <c r="B22318" s="15" t="s">
        <v>25659</v>
      </c>
      <c r="C22318" s="15" t="s">
        <v>25560</v>
      </c>
      <c r="D22318" s="15" t="s">
        <v>25564</v>
      </c>
      <c r="E22318" s="2">
        <v>155743</v>
      </c>
      <c r="F22318" s="4" t="str">
        <f>IF(B22318=B22317,"",B22318)</f>
        <v>Lugoba</v>
      </c>
    </row>
    <row r="22319" spans="1:6" ht="15.75" customHeight="1">
      <c r="A22319" s="8" t="str">
        <f ca="1">IFERROR(__xludf.DUMMYFUNCTION("GOOGLETRANSLATE(B42374,""en"",""pt"")"),"Lugoba")</f>
        <v>Lugoba</v>
      </c>
      <c r="B22319" s="11" t="s">
        <v>25659</v>
      </c>
      <c r="C22319" s="11" t="s">
        <v>25560</v>
      </c>
      <c r="D22319" s="11" t="s">
        <v>25564</v>
      </c>
      <c r="E22319" s="10">
        <v>155743</v>
      </c>
      <c r="F22319" s="4" t="str">
        <f>IF(B22319=B22318,"",B22319)</f>
        <v/>
      </c>
    </row>
    <row r="22320" spans="1:6" ht="15.75" customHeight="1">
      <c r="A22320" s="15" t="s">
        <v>15231</v>
      </c>
      <c r="B22320" s="15" t="s">
        <v>15231</v>
      </c>
      <c r="C22320" s="15" t="s">
        <v>14891</v>
      </c>
      <c r="D22320" s="15" t="s">
        <v>14973</v>
      </c>
      <c r="E22320" s="2">
        <v>3174494</v>
      </c>
      <c r="F22320" s="4" t="str">
        <f>IF(B22320=B22319,"",B22320)</f>
        <v>Lugo</v>
      </c>
    </row>
    <row r="22321" spans="1:6" ht="15.75" customHeight="1">
      <c r="A22321" s="15" t="s">
        <v>15231</v>
      </c>
      <c r="B22321" s="15" t="s">
        <v>15231</v>
      </c>
      <c r="C22321" s="15" t="s">
        <v>24200</v>
      </c>
      <c r="D22321" s="15" t="s">
        <v>24201</v>
      </c>
      <c r="E22321" s="2">
        <v>3117814</v>
      </c>
      <c r="F22321" s="4" t="str">
        <f>IF(B22321=B22320,"",B22321)</f>
        <v/>
      </c>
    </row>
    <row r="22322" spans="1:6" ht="15.75" customHeight="1">
      <c r="A22322" s="8" t="str">
        <f ca="1">IFERROR(__xludf.DUMMYFUNCTION("GOOGLETRANSLATE(B29369,""en"",""pt"")"),"Lugo")</f>
        <v>Lugo</v>
      </c>
      <c r="B22322" s="9" t="s">
        <v>15231</v>
      </c>
      <c r="C22322" s="9" t="s">
        <v>24200</v>
      </c>
      <c r="D22322" s="9" t="s">
        <v>24201</v>
      </c>
      <c r="E22322" s="10">
        <v>3117814</v>
      </c>
      <c r="F22322" s="4" t="str">
        <f>IF(B22322=B22321,"",B22322)</f>
        <v/>
      </c>
    </row>
    <row r="22323" spans="1:6" ht="15.75" customHeight="1">
      <c r="A22323" s="8" t="str">
        <f ca="1">IFERROR(__xludf.DUMMYFUNCTION("GOOGLETRANSLATE(B34861,""en"",""pt"")"),"Lugo")</f>
        <v>Lugo</v>
      </c>
      <c r="B22323" s="11" t="s">
        <v>15231</v>
      </c>
      <c r="C22323" s="11" t="s">
        <v>14891</v>
      </c>
      <c r="D22323" s="11" t="s">
        <v>14973</v>
      </c>
      <c r="E22323" s="10">
        <v>3174494</v>
      </c>
      <c r="F22323" s="4" t="str">
        <f>IF(B22323=B22322,"",B22323)</f>
        <v/>
      </c>
    </row>
    <row r="22324" spans="1:6" ht="15.75" customHeight="1">
      <c r="A22324" s="15" t="s">
        <v>26846</v>
      </c>
      <c r="B22324" s="15" t="s">
        <v>26846</v>
      </c>
      <c r="C22324" s="15" t="s">
        <v>26820</v>
      </c>
      <c r="D22324" s="15" t="s">
        <v>17414</v>
      </c>
      <c r="E22324" s="2">
        <v>229911</v>
      </c>
      <c r="F22324" s="4" t="str">
        <f>IF(B22324=B22323,"",B22324)</f>
        <v>Lugazi</v>
      </c>
    </row>
    <row r="22325" spans="1:6" ht="15.75" customHeight="1">
      <c r="A22325" s="8" t="str">
        <f ca="1">IFERROR(__xludf.DUMMYFUNCTION("GOOGLETRANSLATE(B42745,""en"",""pt"")"),"Lugazi")</f>
        <v>Lugazi</v>
      </c>
      <c r="B22325" s="11" t="s">
        <v>26846</v>
      </c>
      <c r="C22325" s="11" t="s">
        <v>26820</v>
      </c>
      <c r="D22325" s="11" t="s">
        <v>17414</v>
      </c>
      <c r="E22325" s="10">
        <v>229911</v>
      </c>
      <c r="F22325" s="4" t="str">
        <f>IF(B22325=B22324,"",B22325)</f>
        <v/>
      </c>
    </row>
    <row r="22326" spans="1:6" ht="15.75" customHeight="1">
      <c r="A22326" s="15" t="s">
        <v>25288</v>
      </c>
      <c r="B22326" s="15" t="s">
        <v>25289</v>
      </c>
      <c r="C22326" s="15" t="s">
        <v>25237</v>
      </c>
      <c r="D22326" s="15" t="s">
        <v>25249</v>
      </c>
      <c r="E22326" s="2">
        <v>2659836</v>
      </c>
      <c r="F22326" s="4" t="str">
        <f>IF(B22326=B22325,"",B22326)</f>
        <v>Lugano</v>
      </c>
    </row>
    <row r="22327" spans="1:6" ht="15.75" customHeight="1">
      <c r="A22327" s="8" t="str">
        <f ca="1">IFERROR(__xludf.DUMMYFUNCTION("GOOGLETRANSLATE(B25771,""en"",""pt"")"),"LUGANO")</f>
        <v>LUGANO</v>
      </c>
      <c r="B22327" s="11" t="s">
        <v>25289</v>
      </c>
      <c r="C22327" s="11" t="s">
        <v>25237</v>
      </c>
      <c r="D22327" s="11" t="s">
        <v>25249</v>
      </c>
      <c r="E22327" s="10">
        <v>2659836</v>
      </c>
      <c r="F22327" s="4" t="str">
        <f>IF(B22327=B22326,"",B22327)</f>
        <v/>
      </c>
    </row>
    <row r="22328" spans="1:6" ht="15.75" customHeight="1">
      <c r="A22328" s="15" t="s">
        <v>22695</v>
      </c>
      <c r="B22328" s="15" t="s">
        <v>22696</v>
      </c>
      <c r="C22328" s="15" t="s">
        <v>22070</v>
      </c>
      <c r="D22328" s="15" t="s">
        <v>22094</v>
      </c>
      <c r="E22328" s="2">
        <v>533690</v>
      </c>
      <c r="F22328" s="4" t="str">
        <f>IF(B22328=B22327,"",B22328)</f>
        <v>Luga</v>
      </c>
    </row>
    <row r="22329" spans="1:6" ht="15.75" customHeight="1">
      <c r="A22329" s="8" t="str">
        <f ca="1">IFERROR(__xludf.DUMMYFUNCTION("GOOGLETRANSLATE(B40350,""en"",""pt"")"),"LUGA")</f>
        <v>LUGA</v>
      </c>
      <c r="B22329" s="11" t="s">
        <v>22696</v>
      </c>
      <c r="C22329" s="11" t="s">
        <v>22070</v>
      </c>
      <c r="D22329" s="11" t="s">
        <v>22094</v>
      </c>
      <c r="E22329" s="10">
        <v>533690</v>
      </c>
      <c r="F22329" s="4" t="str">
        <f>IF(B22329=B22328,"",B22329)</f>
        <v/>
      </c>
    </row>
    <row r="22330" spans="1:6" ht="15.75" customHeight="1">
      <c r="A22330" s="15" t="s">
        <v>529</v>
      </c>
      <c r="B22330" s="15" t="s">
        <v>529</v>
      </c>
      <c r="C22330" s="15" t="s">
        <v>507</v>
      </c>
      <c r="D22330" s="15" t="s">
        <v>525</v>
      </c>
      <c r="E22330" s="2">
        <v>3347719</v>
      </c>
      <c r="F22330" s="4" t="str">
        <f>IF(B22330=B22329,"",B22330)</f>
        <v>Luena</v>
      </c>
    </row>
    <row r="22331" spans="1:6" ht="15.75" customHeight="1">
      <c r="A22331" s="8" t="str">
        <f ca="1">IFERROR(__xludf.DUMMYFUNCTION("GOOGLETRANSLATE(B23156,""en"",""pt"")"),"Luena")</f>
        <v>Luena</v>
      </c>
      <c r="B22331" s="11" t="s">
        <v>529</v>
      </c>
      <c r="C22331" s="11" t="s">
        <v>507</v>
      </c>
      <c r="D22331" s="11" t="s">
        <v>525</v>
      </c>
      <c r="E22331" s="10">
        <v>3347719</v>
      </c>
      <c r="F22331" s="4" t="str">
        <f>IF(B22331=B22330,"",B22331)</f>
        <v/>
      </c>
    </row>
    <row r="22332" spans="1:6" ht="15.75" customHeight="1">
      <c r="A22332" s="15" t="s">
        <v>6184</v>
      </c>
      <c r="B22332" s="15" t="s">
        <v>6184</v>
      </c>
      <c r="C22332" s="15" t="s">
        <v>6127</v>
      </c>
      <c r="D22332" s="15" t="s">
        <v>6148</v>
      </c>
      <c r="E22332" s="2">
        <v>210939</v>
      </c>
      <c r="F22332" s="4" t="str">
        <f>IF(B22332=B22331,"",B22332)</f>
        <v>Luebo</v>
      </c>
    </row>
    <row r="22333" spans="1:6" ht="15.75" customHeight="1">
      <c r="A22333" s="8" t="str">
        <f ca="1">IFERROR(__xludf.DUMMYFUNCTION("GOOGLETRANSLATE(B25654,""en"",""pt"")"),"Luebo")</f>
        <v>Luebo</v>
      </c>
      <c r="B22333" s="9" t="s">
        <v>6184</v>
      </c>
      <c r="C22333" s="9" t="s">
        <v>6127</v>
      </c>
      <c r="D22333" s="9" t="s">
        <v>31764</v>
      </c>
      <c r="E22333" s="10">
        <v>210939</v>
      </c>
      <c r="F22333" s="4" t="str">
        <f>IF(B22333=B22332,"",B22333)</f>
        <v/>
      </c>
    </row>
    <row r="22334" spans="1:6" ht="15.75" customHeight="1">
      <c r="A22334" s="16" t="s">
        <v>8786</v>
      </c>
      <c r="B22334" s="15" t="s">
        <v>8786</v>
      </c>
      <c r="C22334" s="16" t="s">
        <v>8028</v>
      </c>
      <c r="D22334" s="16" t="s">
        <v>8065</v>
      </c>
      <c r="E22334" s="2">
        <v>2875376</v>
      </c>
      <c r="F22334" s="4" t="str">
        <f>IF(B22334=B22333,"",B22334)</f>
        <v>Ludwigshafen am Rhein</v>
      </c>
    </row>
    <row r="22335" spans="1:6" ht="15.75" customHeight="1">
      <c r="A22335" s="8" t="str">
        <f ca="1">IFERROR(__xludf.DUMMYFUNCTION("GOOGLETRANSLATE(B27795,""en"",""pt"")"),"Ludwigshafen am Rhein")</f>
        <v>Ludwigshafen am Rhein</v>
      </c>
      <c r="B22335" s="9" t="s">
        <v>8786</v>
      </c>
      <c r="C22335" s="9" t="s">
        <v>8028</v>
      </c>
      <c r="D22335" s="9" t="s">
        <v>8065</v>
      </c>
      <c r="E22335" s="10">
        <v>2875376</v>
      </c>
      <c r="F22335" s="4" t="str">
        <f>IF(B22335=B22334,"",B22335)</f>
        <v/>
      </c>
    </row>
    <row r="22336" spans="1:6" ht="15.75" customHeight="1">
      <c r="A22336" s="16" t="s">
        <v>8785</v>
      </c>
      <c r="B22336" s="15" t="s">
        <v>8785</v>
      </c>
      <c r="C22336" s="16" t="s">
        <v>8028</v>
      </c>
      <c r="D22336" s="16" t="s">
        <v>8070</v>
      </c>
      <c r="E22336" s="2">
        <v>2875379</v>
      </c>
      <c r="F22336" s="4" t="str">
        <f>IF(B22336=B22335,"",B22336)</f>
        <v>Ludwigsfelde</v>
      </c>
    </row>
    <row r="22337" spans="1:6" ht="15.75" customHeight="1">
      <c r="A22337" s="8" t="str">
        <f ca="1">IFERROR(__xludf.DUMMYFUNCTION("GOOGLETRANSLATE(B27796,""en"",""pt"")"),"Ludwigsfelde")</f>
        <v>Ludwigsfelde</v>
      </c>
      <c r="B22337" s="9" t="s">
        <v>8785</v>
      </c>
      <c r="C22337" s="9" t="s">
        <v>8028</v>
      </c>
      <c r="D22337" s="9" t="s">
        <v>8070</v>
      </c>
      <c r="E22337" s="10">
        <v>2875379</v>
      </c>
      <c r="F22337" s="4" t="str">
        <f>IF(B22337=B22336,"",B22337)</f>
        <v/>
      </c>
    </row>
    <row r="22338" spans="1:6" ht="15.75" customHeight="1">
      <c r="A22338" s="16" t="s">
        <v>8784</v>
      </c>
      <c r="B22338" s="15" t="s">
        <v>8784</v>
      </c>
      <c r="C22338" s="16" t="s">
        <v>8028</v>
      </c>
      <c r="D22338" s="16" t="s">
        <v>8031</v>
      </c>
      <c r="E22338" s="2">
        <v>2875392</v>
      </c>
      <c r="F22338" s="4" t="str">
        <f>IF(B22338=B22337,"",B22338)</f>
        <v>Ludwigsburg</v>
      </c>
    </row>
    <row r="22339" spans="1:6" ht="15.75" customHeight="1">
      <c r="A22339" s="8" t="str">
        <f ca="1">IFERROR(__xludf.DUMMYFUNCTION("GOOGLETRANSLATE(B27797,""en"",""pt"")"),"Ludwigsburg")</f>
        <v>Ludwigsburg</v>
      </c>
      <c r="B22339" s="9" t="s">
        <v>8784</v>
      </c>
      <c r="C22339" s="9" t="s">
        <v>8028</v>
      </c>
      <c r="D22339" s="9" t="s">
        <v>32013</v>
      </c>
      <c r="E22339" s="10">
        <v>2875392</v>
      </c>
      <c r="F22339" s="4" t="str">
        <f>IF(B22339=B22338,"",B22339)</f>
        <v/>
      </c>
    </row>
    <row r="22340" spans="1:6" ht="15.75" customHeight="1">
      <c r="A22340" s="8" t="str">
        <f ca="1">IFERROR(__xludf.DUMMYFUNCTION("GOOGLETRANSLATE(B39783,""en"",""pt"")"),"Luduş")</f>
        <v>Luduş</v>
      </c>
      <c r="B22340" s="11" t="s">
        <v>35378</v>
      </c>
      <c r="C22340" s="11" t="s">
        <v>21824</v>
      </c>
      <c r="D22340" s="11" t="s">
        <v>35338</v>
      </c>
      <c r="E22340" s="10">
        <v>674541</v>
      </c>
      <c r="F22340" s="4" t="str">
        <f>IF(B22340=B22339,"",B22340)</f>
        <v>Luduş</v>
      </c>
    </row>
    <row r="22341" spans="1:6" ht="15.75" customHeight="1">
      <c r="A22341" s="15" t="s">
        <v>21947</v>
      </c>
      <c r="B22341" s="15" t="s">
        <v>21948</v>
      </c>
      <c r="C22341" s="15" t="s">
        <v>21824</v>
      </c>
      <c r="D22341" s="15" t="s">
        <v>21949</v>
      </c>
      <c r="E22341" s="2">
        <v>674541</v>
      </c>
      <c r="F22341" s="4" t="str">
        <f>IF(B22341=B22340,"",B22341)</f>
        <v>LuduÅŸ</v>
      </c>
    </row>
    <row r="22342" spans="1:6" ht="15.75" customHeight="1">
      <c r="A22342" s="15" t="s">
        <v>29171</v>
      </c>
      <c r="B22342" s="15" t="s">
        <v>29171</v>
      </c>
      <c r="C22342" s="15" t="s">
        <v>27788</v>
      </c>
      <c r="D22342" s="15" t="s">
        <v>27794</v>
      </c>
      <c r="E22342" s="2">
        <v>4942744</v>
      </c>
      <c r="F22342" s="4" t="str">
        <f>IF(B22342=B22341,"",B22342)</f>
        <v>Ludlow</v>
      </c>
    </row>
    <row r="22343" spans="1:6" ht="15.75" customHeight="1">
      <c r="A22343" s="8" t="str">
        <f ca="1">IFERROR(__xludf.DUMMYFUNCTION("GOOGLETRANSLATE(B43993,""en"",""pt"")"),"Ludlow")</f>
        <v>Ludlow</v>
      </c>
      <c r="B22343" s="9" t="s">
        <v>29171</v>
      </c>
      <c r="C22343" s="9" t="s">
        <v>27788</v>
      </c>
      <c r="D22343" s="9" t="s">
        <v>27794</v>
      </c>
      <c r="E22343" s="10">
        <v>4942744</v>
      </c>
      <c r="F22343" s="4" t="str">
        <f>IF(B22343=B22342,"",B22343)</f>
        <v/>
      </c>
    </row>
    <row r="22344" spans="1:6" ht="15.75" customHeight="1">
      <c r="A22344" s="8" t="str">
        <f ca="1">IFERROR(__xludf.DUMMYFUNCTION("GOOGLETRANSLATE(B27798,""en"",""pt"")"),"Lüdinghausen")</f>
        <v>Lüdinghausen</v>
      </c>
      <c r="B22344" s="11" t="s">
        <v>32064</v>
      </c>
      <c r="C22344" s="11" t="s">
        <v>8028</v>
      </c>
      <c r="D22344" s="11" t="s">
        <v>8029</v>
      </c>
      <c r="E22344" s="10">
        <v>2875417</v>
      </c>
      <c r="F22344" s="4" t="str">
        <f>IF(B22344=B22343,"",B22344)</f>
        <v>Lüdinghausen</v>
      </c>
    </row>
    <row r="22345" spans="1:6" ht="15.75" customHeight="1">
      <c r="A22345" s="8" t="str">
        <f ca="1">IFERROR(__xludf.DUMMYFUNCTION("GOOGLETRANSLATE(B32910,""en"",""pt"")"),"Ludhiāna")</f>
        <v>Ludhiāna</v>
      </c>
      <c r="B22345" s="9" t="s">
        <v>33450</v>
      </c>
      <c r="C22345" s="9" t="s">
        <v>10178</v>
      </c>
      <c r="D22345" s="9" t="s">
        <v>10184</v>
      </c>
      <c r="E22345" s="10">
        <v>1264728</v>
      </c>
      <c r="F22345" s="4" t="str">
        <f>IF(B22345=B22344,"",B22345)</f>
        <v>Ludhiāna</v>
      </c>
    </row>
    <row r="22346" spans="1:6" ht="15.75" customHeight="1">
      <c r="A22346" s="16" t="s">
        <v>12172</v>
      </c>
      <c r="B22346" s="15" t="s">
        <v>12173</v>
      </c>
      <c r="C22346" s="16" t="s">
        <v>10178</v>
      </c>
      <c r="D22346" s="16" t="s">
        <v>10184</v>
      </c>
      <c r="E22346" s="2">
        <v>1264728</v>
      </c>
      <c r="F22346" s="4" t="str">
        <f>IF(B22346=B22345,"",B22346)</f>
        <v>LudhiÄna</v>
      </c>
    </row>
    <row r="22347" spans="1:6" ht="15.75" customHeight="1">
      <c r="A22347" s="8" t="str">
        <f ca="1">IFERROR(__xludf.DUMMYFUNCTION("GOOGLETRANSLATE(B37573,""en"",""pt"")"),"Lüderitz")</f>
        <v>Lüderitz</v>
      </c>
      <c r="B22347" s="9" t="s">
        <v>34801</v>
      </c>
      <c r="C22347" s="9" t="s">
        <v>18773</v>
      </c>
      <c r="D22347" s="9" t="s">
        <v>18780</v>
      </c>
      <c r="E22347" s="10">
        <v>3355672</v>
      </c>
      <c r="F22347" s="4" t="str">
        <f>IF(B22347=B22346,"",B22347)</f>
        <v>Lüderitz</v>
      </c>
    </row>
    <row r="22348" spans="1:6" ht="15.75" customHeight="1">
      <c r="A22348" s="8" t="str">
        <f ca="1">IFERROR(__xludf.DUMMYFUNCTION("GOOGLETRANSLATE(B27799,""en"",""pt"")"),"Lüdenscheid")</f>
        <v>Lüdenscheid</v>
      </c>
      <c r="B22348" s="11" t="s">
        <v>32065</v>
      </c>
      <c r="C22348" s="11" t="s">
        <v>8028</v>
      </c>
      <c r="D22348" s="11" t="s">
        <v>8029</v>
      </c>
      <c r="E22348" s="10">
        <v>2875457</v>
      </c>
      <c r="F22348" s="4" t="str">
        <f>IF(B22348=B22347,"",B22348)</f>
        <v>Lüdenscheid</v>
      </c>
    </row>
    <row r="22349" spans="1:6" ht="15.75" customHeight="1">
      <c r="A22349" s="15" t="s">
        <v>12171</v>
      </c>
      <c r="B22349" s="15" t="s">
        <v>12171</v>
      </c>
      <c r="C22349" s="15" t="s">
        <v>10178</v>
      </c>
      <c r="D22349" s="15" t="s">
        <v>10193</v>
      </c>
      <c r="E22349" s="2">
        <v>1264733</v>
      </c>
      <c r="F22349" s="4" t="str">
        <f>IF(B22349=B22348,"",B22349)</f>
        <v>Lucknow</v>
      </c>
    </row>
    <row r="22350" spans="1:6" ht="15.75" customHeight="1">
      <c r="A22350" s="8" t="str">
        <f ca="1">IFERROR(__xludf.DUMMYFUNCTION("GOOGLETRANSLATE(B32911,""en"",""pt"")"),"Lucknow")</f>
        <v>Lucknow</v>
      </c>
      <c r="B22350" s="11" t="s">
        <v>12171</v>
      </c>
      <c r="C22350" s="11" t="s">
        <v>10178</v>
      </c>
      <c r="D22350" s="11" t="s">
        <v>10193</v>
      </c>
      <c r="E22350" s="10">
        <v>1264733</v>
      </c>
      <c r="F22350" s="4" t="str">
        <f>IF(B22350=B22349,"",B22350)</f>
        <v/>
      </c>
    </row>
    <row r="22351" spans="1:6" ht="15.75" customHeight="1">
      <c r="A22351" s="16" t="s">
        <v>8783</v>
      </c>
      <c r="B22351" s="15" t="s">
        <v>8783</v>
      </c>
      <c r="C22351" s="16" t="s">
        <v>8028</v>
      </c>
      <c r="D22351" s="16" t="s">
        <v>8070</v>
      </c>
      <c r="E22351" s="2">
        <v>2875484</v>
      </c>
      <c r="F22351" s="4" t="str">
        <f>IF(B22351=B22350,"",B22351)</f>
        <v>Luckenwalde</v>
      </c>
    </row>
    <row r="22352" spans="1:6" ht="15.75" customHeight="1">
      <c r="A22352" s="8" t="str">
        <f ca="1">IFERROR(__xludf.DUMMYFUNCTION("GOOGLETRANSLATE(B27800,""en"",""pt"")"),"Luckenwalde")</f>
        <v>Luckenwalde</v>
      </c>
      <c r="B22352" s="11" t="s">
        <v>8783</v>
      </c>
      <c r="C22352" s="11" t="s">
        <v>8028</v>
      </c>
      <c r="D22352" s="11" t="s">
        <v>8070</v>
      </c>
      <c r="E22352" s="10">
        <v>2875484</v>
      </c>
      <c r="F22352" s="4" t="str">
        <f>IF(B22352=B22351,"",B22352)</f>
        <v/>
      </c>
    </row>
    <row r="22353" spans="1:6" ht="15.75" customHeight="1">
      <c r="A22353" s="16" t="s">
        <v>12170</v>
      </c>
      <c r="B22353" s="15" t="s">
        <v>12170</v>
      </c>
      <c r="C22353" s="16" t="s">
        <v>10178</v>
      </c>
      <c r="D22353" s="16" t="s">
        <v>10317</v>
      </c>
      <c r="E22353" s="2">
        <v>1264735</v>
      </c>
      <c r="F22353" s="4" t="str">
        <f>IF(B22353=B22352,"",B22353)</f>
        <v>Luckeesarai</v>
      </c>
    </row>
    <row r="22354" spans="1:6" ht="15.75" customHeight="1">
      <c r="A22354" s="8" t="str">
        <f ca="1">IFERROR(__xludf.DUMMYFUNCTION("GOOGLETRANSLATE(B32912,""en"",""pt"")"),"Luckeesarai")</f>
        <v>Luckeesarai</v>
      </c>
      <c r="B22354" s="11" t="s">
        <v>12170</v>
      </c>
      <c r="C22354" s="11" t="s">
        <v>10178</v>
      </c>
      <c r="D22354" s="11" t="s">
        <v>10317</v>
      </c>
      <c r="E22354" s="10">
        <v>1264735</v>
      </c>
      <c r="F22354" s="4" t="str">
        <f>IF(B22354=B22353,"",B22354)</f>
        <v/>
      </c>
    </row>
    <row r="22355" spans="1:6" ht="15.75" customHeight="1">
      <c r="A22355" s="15" t="s">
        <v>25657</v>
      </c>
      <c r="B22355" s="15" t="s">
        <v>25658</v>
      </c>
      <c r="C22355" s="15" t="s">
        <v>25560</v>
      </c>
      <c r="D22355" s="15" t="s">
        <v>25648</v>
      </c>
      <c r="E22355" s="2">
        <v>878223</v>
      </c>
      <c r="F22355" s="4" t="str">
        <f>IF(B22355=B22354,"",B22355)</f>
        <v>Luchingu</v>
      </c>
    </row>
    <row r="22356" spans="1:6" ht="15.75" customHeight="1">
      <c r="A22356" s="8" t="str">
        <f ca="1">IFERROR(__xludf.DUMMYFUNCTION("GOOGLETRANSLATE(B42461,""en"",""pt"")"),"LUCHING")</f>
        <v>LUCHING</v>
      </c>
      <c r="B22356" s="11" t="s">
        <v>25658</v>
      </c>
      <c r="C22356" s="11" t="s">
        <v>25560</v>
      </c>
      <c r="D22356" s="11" t="s">
        <v>25648</v>
      </c>
      <c r="E22356" s="10">
        <v>878223</v>
      </c>
      <c r="F22356" s="4" t="str">
        <f>IF(B22356=B22355,"",B22356)</f>
        <v/>
      </c>
    </row>
    <row r="22357" spans="1:6" ht="15.75" customHeight="1">
      <c r="A22357" s="15" t="s">
        <v>4926</v>
      </c>
      <c r="B22357" s="15" t="s">
        <v>4926</v>
      </c>
      <c r="C22357" s="15" t="s">
        <v>4487</v>
      </c>
      <c r="D22357" s="15" t="s">
        <v>4501</v>
      </c>
      <c r="E22357" s="2">
        <v>1802068</v>
      </c>
      <c r="F22357" s="4" t="str">
        <f>IF(B22357=B22356,"",B22357)</f>
        <v>Lucheng</v>
      </c>
    </row>
    <row r="22358" spans="1:6" ht="15.75" customHeight="1">
      <c r="A22358" s="8" t="str">
        <f ca="1">IFERROR(__xludf.DUMMYFUNCTION("GOOGLETRANSLATE(B26372,""en"",""pt"")"),"Lucheng")</f>
        <v>Lucheng</v>
      </c>
      <c r="B22358" s="11" t="s">
        <v>4926</v>
      </c>
      <c r="C22358" s="11" t="s">
        <v>4487</v>
      </c>
      <c r="D22358" s="11" t="s">
        <v>4501</v>
      </c>
      <c r="E22358" s="10">
        <v>1802068</v>
      </c>
      <c r="F22358" s="4" t="str">
        <f>IF(B22358=B22357,"",B22358)</f>
        <v/>
      </c>
    </row>
    <row r="22359" spans="1:6" ht="15.75" customHeight="1">
      <c r="A22359" s="16" t="s">
        <v>22694</v>
      </c>
      <c r="B22359" s="15" t="s">
        <v>22694</v>
      </c>
      <c r="C22359" s="16" t="s">
        <v>22070</v>
      </c>
      <c r="D22359" s="16" t="s">
        <v>22154</v>
      </c>
      <c r="E22359" s="2">
        <v>2020689</v>
      </c>
      <c r="F22359" s="4" t="str">
        <f>IF(B22359=B22358,"",B22359)</f>
        <v>Luchegorsk</v>
      </c>
    </row>
    <row r="22360" spans="1:6" ht="15.75" customHeight="1">
      <c r="A22360" s="8" t="str">
        <f ca="1">IFERROR(__xludf.DUMMYFUNCTION("GOOGLETRANSLATE(B40921,""en"",""pt"")"),"Luchegorsk")</f>
        <v>Luchegorsk</v>
      </c>
      <c r="B22360" s="11" t="s">
        <v>22694</v>
      </c>
      <c r="C22360" s="11" t="s">
        <v>22070</v>
      </c>
      <c r="D22360" s="11" t="s">
        <v>22154</v>
      </c>
      <c r="E22360" s="10">
        <v>2020689</v>
      </c>
      <c r="F22360" s="4" t="str">
        <f>IF(B22360=B22359,"",B22360)</f>
        <v/>
      </c>
    </row>
    <row r="22361" spans="1:6" ht="15.75" customHeight="1">
      <c r="A22361" s="15" t="s">
        <v>15230</v>
      </c>
      <c r="B22361" s="15" t="s">
        <v>15230</v>
      </c>
      <c r="C22361" s="15" t="s">
        <v>14891</v>
      </c>
      <c r="D22361" s="15" t="s">
        <v>14908</v>
      </c>
      <c r="E22361" s="2">
        <v>3174526</v>
      </c>
      <c r="F22361" s="4" t="str">
        <f>IF(B22361=B22360,"",B22361)</f>
        <v>Lucera</v>
      </c>
    </row>
    <row r="22362" spans="1:6" ht="15.75" customHeight="1">
      <c r="A22362" s="8" t="str">
        <f ca="1">IFERROR(__xludf.DUMMYFUNCTION("GOOGLETRANSLATE(B34862,""en"",""pt"")"),"Lucera")</f>
        <v>Lucera</v>
      </c>
      <c r="B22362" s="11" t="s">
        <v>15230</v>
      </c>
      <c r="C22362" s="11" t="s">
        <v>14891</v>
      </c>
      <c r="D22362" s="11" t="s">
        <v>14908</v>
      </c>
      <c r="E22362" s="10">
        <v>3174526</v>
      </c>
      <c r="F22362" s="4" t="str">
        <f>IF(B22362=B22361,"",B22362)</f>
        <v/>
      </c>
    </row>
    <row r="22363" spans="1:6" ht="15.75" customHeight="1">
      <c r="A22363" s="8" t="str">
        <f ca="1">IFERROR(__xludf.DUMMYFUNCTION("GOOGLETRANSLATE(B41256,""en"",""pt"")"),"Lučenec")</f>
        <v>Lučenec</v>
      </c>
      <c r="B22363" s="9" t="s">
        <v>35691</v>
      </c>
      <c r="C22363" s="9" t="s">
        <v>23694</v>
      </c>
      <c r="D22363" s="9" t="s">
        <v>35673</v>
      </c>
      <c r="E22363" s="10">
        <v>3058986</v>
      </c>
      <c r="F22363" s="4" t="str">
        <f>IF(B22363=B22362,"",B22363)</f>
        <v>Lučenec</v>
      </c>
    </row>
    <row r="22364" spans="1:6" ht="15.75" customHeight="1">
      <c r="A22364" s="15" t="s">
        <v>20843</v>
      </c>
      <c r="B22364" s="15" t="s">
        <v>20843</v>
      </c>
      <c r="C22364" s="15" t="s">
        <v>20598</v>
      </c>
      <c r="D22364" s="15" t="s">
        <v>20608</v>
      </c>
      <c r="E22364" s="2">
        <v>1705357</v>
      </c>
      <c r="F22364" s="4" t="str">
        <f>IF(B22364=B22363,"",B22364)</f>
        <v>Lucena</v>
      </c>
    </row>
    <row r="22365" spans="1:6" ht="15.75" customHeight="1">
      <c r="A22365" s="15" t="s">
        <v>20843</v>
      </c>
      <c r="B22365" s="15" t="s">
        <v>20843</v>
      </c>
      <c r="C22365" s="15" t="s">
        <v>24200</v>
      </c>
      <c r="D22365" s="15" t="s">
        <v>24205</v>
      </c>
      <c r="E22365" s="2">
        <v>2514392</v>
      </c>
      <c r="F22365" s="4" t="str">
        <f>IF(B22365=B22364,"",B22365)</f>
        <v/>
      </c>
    </row>
    <row r="22366" spans="1:6" ht="15.75" customHeight="1">
      <c r="A22366" s="8" t="str">
        <f ca="1">IFERROR(__xludf.DUMMYFUNCTION("GOOGLETRANSLATE(B29072,""en"",""pt"")"),"Lucena")</f>
        <v>Lucena</v>
      </c>
      <c r="B22366" s="11" t="s">
        <v>20843</v>
      </c>
      <c r="C22366" s="11" t="s">
        <v>24200</v>
      </c>
      <c r="D22366" s="11" t="s">
        <v>24205</v>
      </c>
      <c r="E22366" s="10">
        <v>2514392</v>
      </c>
      <c r="F22366" s="4" t="str">
        <f>IF(B22366=B22365,"",B22366)</f>
        <v/>
      </c>
    </row>
    <row r="22367" spans="1:6" ht="15.75" customHeight="1">
      <c r="A22367" s="8" t="str">
        <f ca="1">IFERROR(__xludf.DUMMYFUNCTION("GOOGLETRANSLATE(B38655,""en"",""pt"")"),"Lucena")</f>
        <v>Lucena</v>
      </c>
      <c r="B22367" s="9" t="s">
        <v>20843</v>
      </c>
      <c r="C22367" s="9" t="s">
        <v>20598</v>
      </c>
      <c r="D22367" s="9" t="s">
        <v>20608</v>
      </c>
      <c r="E22367" s="10">
        <v>1705357</v>
      </c>
      <c r="F22367" s="4" t="str">
        <f>IF(B22367=B22366,"",B22367)</f>
        <v/>
      </c>
    </row>
    <row r="22368" spans="1:6" ht="15.75" customHeight="1">
      <c r="A22368" s="8" t="str">
        <f ca="1">IFERROR(__xludf.DUMMYFUNCTION("GOOGLETRANSLATE(B29952,""en"",""pt"")"),"Lucé")</f>
        <v>Lucé</v>
      </c>
      <c r="B22368" s="11" t="s">
        <v>32583</v>
      </c>
      <c r="C22368" s="11" t="s">
        <v>7052</v>
      </c>
      <c r="D22368" s="11" t="s">
        <v>3813</v>
      </c>
      <c r="E22368" s="10">
        <v>2997246</v>
      </c>
      <c r="F22368" s="4" t="str">
        <f>IF(B22368=B22367,"",B22368)</f>
        <v>Lucé</v>
      </c>
    </row>
    <row r="22369" spans="1:6" ht="15.75" customHeight="1">
      <c r="A22369" s="15" t="s">
        <v>15229</v>
      </c>
      <c r="B22369" s="15" t="s">
        <v>15229</v>
      </c>
      <c r="C22369" s="15" t="s">
        <v>14891</v>
      </c>
      <c r="D22369" s="15" t="s">
        <v>14943</v>
      </c>
      <c r="E22369" s="2">
        <v>3174530</v>
      </c>
      <c r="F22369" s="4" t="str">
        <f>IF(B22369=B22368,"",B22369)</f>
        <v>Lucca</v>
      </c>
    </row>
    <row r="22370" spans="1:6" ht="15.75" customHeight="1">
      <c r="A22370" s="8" t="str">
        <f ca="1">IFERROR(__xludf.DUMMYFUNCTION("GOOGLETRANSLATE(B34863,""en"",""pt"")"),"Lucca")</f>
        <v>Lucca</v>
      </c>
      <c r="B22370" s="11" t="s">
        <v>15229</v>
      </c>
      <c r="C22370" s="11" t="s">
        <v>14891</v>
      </c>
      <c r="D22370" s="11" t="s">
        <v>14943</v>
      </c>
      <c r="E22370" s="10">
        <v>3174530</v>
      </c>
      <c r="F22370" s="4" t="str">
        <f>IF(B22370=B22369,"",B22370)</f>
        <v/>
      </c>
    </row>
    <row r="22371" spans="1:6" ht="15.75" customHeight="1">
      <c r="A22371" s="15" t="s">
        <v>20842</v>
      </c>
      <c r="B22371" s="15" t="s">
        <v>20842</v>
      </c>
      <c r="C22371" s="15" t="s">
        <v>20598</v>
      </c>
      <c r="D22371" s="15" t="s">
        <v>20608</v>
      </c>
      <c r="E22371" s="2">
        <v>1705367</v>
      </c>
      <c r="F22371" s="4" t="str">
        <f>IF(B22371=B22370,"",B22371)</f>
        <v>Lucban</v>
      </c>
    </row>
    <row r="22372" spans="1:6" ht="15.75" customHeight="1">
      <c r="A22372" s="8" t="str">
        <f ca="1">IFERROR(__xludf.DUMMYFUNCTION("GOOGLETRANSLATE(B38656,""en"",""pt"")"),"Lucban")</f>
        <v>Lucban</v>
      </c>
      <c r="B22372" s="11" t="s">
        <v>20842</v>
      </c>
      <c r="C22372" s="11" t="s">
        <v>20598</v>
      </c>
      <c r="D22372" s="11" t="s">
        <v>20608</v>
      </c>
      <c r="E22372" s="10">
        <v>1705367</v>
      </c>
      <c r="F22372" s="4" t="str">
        <f>IF(B22372=B22371,"",B22372)</f>
        <v/>
      </c>
    </row>
    <row r="22373" spans="1:6" ht="15.75" customHeight="1">
      <c r="A22373" s="15" t="s">
        <v>1275</v>
      </c>
      <c r="B22373" s="15" t="s">
        <v>1275</v>
      </c>
      <c r="C22373" s="15" t="s">
        <v>1274</v>
      </c>
      <c r="D22373" s="15" t="s">
        <v>1273</v>
      </c>
      <c r="E22373" s="2">
        <v>3571971</v>
      </c>
      <c r="F22373" s="4" t="str">
        <f>IF(B22373=B22372,"",B22373)</f>
        <v>Lucaya</v>
      </c>
    </row>
    <row r="22374" spans="1:6" ht="15.75" customHeight="1">
      <c r="A22374" s="8" t="str">
        <f ca="1">IFERROR(__xludf.DUMMYFUNCTION("GOOGLETRANSLATE(B25344,""en"",""pt"")"),"Lucaya")</f>
        <v>Lucaya</v>
      </c>
      <c r="B22374" s="11" t="s">
        <v>1275</v>
      </c>
      <c r="C22374" s="11" t="s">
        <v>1274</v>
      </c>
      <c r="D22374" s="11" t="s">
        <v>1273</v>
      </c>
      <c r="E22374" s="10">
        <v>3571971</v>
      </c>
      <c r="F22374" s="4" t="str">
        <f>IF(B22374=B22373,"",B22374)</f>
        <v/>
      </c>
    </row>
    <row r="22375" spans="1:6" ht="15.75" customHeight="1">
      <c r="A22375" s="15" t="s">
        <v>2823</v>
      </c>
      <c r="B22375" s="15" t="s">
        <v>2823</v>
      </c>
      <c r="C22375" s="15" t="s">
        <v>1905</v>
      </c>
      <c r="D22375" s="15" t="s">
        <v>2036</v>
      </c>
      <c r="E22375" s="2">
        <v>3458397</v>
      </c>
      <c r="F22375" s="4" t="str">
        <f>IF(B22375=B22374,"",B22375)</f>
        <v>Lucas</v>
      </c>
    </row>
    <row r="22376" spans="1:6" ht="15.75" customHeight="1">
      <c r="A22376" s="8" t="str">
        <f ca="1">IFERROR(__xludf.DUMMYFUNCTION("GOOGLETRANSLATE(B24850,""en"",""pt"")"),"Lucas")</f>
        <v>Lucas</v>
      </c>
      <c r="B22376" s="11" t="s">
        <v>2823</v>
      </c>
      <c r="C22376" s="11" t="s">
        <v>1905</v>
      </c>
      <c r="D22376" s="11" t="s">
        <v>2036</v>
      </c>
      <c r="E22376" s="10">
        <v>3458397</v>
      </c>
      <c r="F22376" s="4" t="str">
        <f>IF(B22376=B22375,"",B22376)</f>
        <v/>
      </c>
    </row>
    <row r="22377" spans="1:6" ht="15.75" customHeight="1">
      <c r="A22377" s="15" t="s">
        <v>527</v>
      </c>
      <c r="B22377" s="15" t="s">
        <v>527</v>
      </c>
      <c r="C22377" s="15" t="s">
        <v>507</v>
      </c>
      <c r="D22377" s="15" t="s">
        <v>528</v>
      </c>
      <c r="E22377" s="2">
        <v>145724</v>
      </c>
      <c r="F22377" s="4" t="str">
        <f>IF(B22377=B22376,"",B22377)</f>
        <v>Lucapa</v>
      </c>
    </row>
    <row r="22378" spans="1:6" ht="15.75" customHeight="1">
      <c r="A22378" s="8" t="str">
        <f ca="1">IFERROR(__xludf.DUMMYFUNCTION("GOOGLETRANSLATE(B23142,""en"",""pt"")"),"Lucapa")</f>
        <v>Lucapa</v>
      </c>
      <c r="B22378" s="11" t="s">
        <v>527</v>
      </c>
      <c r="C22378" s="11" t="s">
        <v>507</v>
      </c>
      <c r="D22378" s="11" t="s">
        <v>528</v>
      </c>
      <c r="E22378" s="10">
        <v>145724</v>
      </c>
      <c r="F22378" s="4" t="str">
        <f>IF(B22378=B22377,"",B22378)</f>
        <v/>
      </c>
    </row>
    <row r="22379" spans="1:6" ht="15.75" customHeight="1">
      <c r="A22379" s="15" t="s">
        <v>14755</v>
      </c>
      <c r="B22379" s="15" t="s">
        <v>14755</v>
      </c>
      <c r="C22379" s="15" t="s">
        <v>14728</v>
      </c>
      <c r="D22379" s="15" t="s">
        <v>14729</v>
      </c>
      <c r="E22379" s="2">
        <v>2962785</v>
      </c>
      <c r="F22379" s="4" t="str">
        <f>IF(B22379=B22378,"",B22379)</f>
        <v>Lucan</v>
      </c>
    </row>
    <row r="22380" spans="1:6" ht="15.75" customHeight="1">
      <c r="A22380" s="8" t="str">
        <f ca="1">IFERROR(__xludf.DUMMYFUNCTION("GOOGLETRANSLATE(B31735,""en"",""pt"")"),"Lucan")</f>
        <v>Lucan</v>
      </c>
      <c r="B22380" s="11" t="s">
        <v>14755</v>
      </c>
      <c r="C22380" s="11" t="s">
        <v>14728</v>
      </c>
      <c r="D22380" s="11" t="s">
        <v>14729</v>
      </c>
      <c r="E22380" s="10">
        <v>2962785</v>
      </c>
      <c r="F22380" s="4" t="str">
        <f>IF(B22380=B22379,"",B22380)</f>
        <v/>
      </c>
    </row>
    <row r="22381" spans="1:6" ht="15.75" customHeight="1">
      <c r="A22381" s="15" t="s">
        <v>7512</v>
      </c>
      <c r="B22381" s="15" t="s">
        <v>7513</v>
      </c>
      <c r="C22381" s="15" t="s">
        <v>7052</v>
      </c>
      <c r="D22381" s="15" t="s">
        <v>3813</v>
      </c>
      <c r="E22381" s="2">
        <v>2997246</v>
      </c>
      <c r="F22381" s="4" t="str">
        <f>IF(B22381=B22380,"",B22381)</f>
        <v>LucÃ©</v>
      </c>
    </row>
    <row r="22382" spans="1:6" ht="15.75" customHeight="1">
      <c r="A22382" s="16" t="s">
        <v>6183</v>
      </c>
      <c r="B22382" s="15" t="s">
        <v>6183</v>
      </c>
      <c r="C22382" s="16" t="s">
        <v>6127</v>
      </c>
      <c r="D22382" s="16" t="s">
        <v>6138</v>
      </c>
      <c r="E22382" s="2">
        <v>922704</v>
      </c>
      <c r="F22382" s="4" t="str">
        <f>IF(B22382=B22381,"",B22382)</f>
        <v>Lubumbashi</v>
      </c>
    </row>
    <row r="22383" spans="1:6" ht="15.75" customHeight="1">
      <c r="A22383" s="8" t="str">
        <f ca="1">IFERROR(__xludf.DUMMYFUNCTION("GOOGLETRANSLATE(B25687,""en"",""pt"")"),"Lubumbashi")</f>
        <v>Lubumbashi</v>
      </c>
      <c r="B22383" s="11" t="s">
        <v>6183</v>
      </c>
      <c r="C22383" s="11" t="s">
        <v>6127</v>
      </c>
      <c r="D22383" s="11" t="s">
        <v>6138</v>
      </c>
      <c r="E22383" s="10">
        <v>922704</v>
      </c>
      <c r="F22383" s="4" t="str">
        <f>IF(B22383=B22382,"",B22383)</f>
        <v/>
      </c>
    </row>
    <row r="22384" spans="1:6" ht="15.75" customHeight="1">
      <c r="A22384" s="16" t="s">
        <v>14010</v>
      </c>
      <c r="B22384" s="15" t="s">
        <v>14011</v>
      </c>
      <c r="C22384" s="16" t="s">
        <v>13800</v>
      </c>
      <c r="D22384" s="16" t="s">
        <v>13847</v>
      </c>
      <c r="E22384" s="2">
        <v>1637158</v>
      </c>
      <c r="F22384" s="4" t="str">
        <f>IF(B22384=B22383,"",B22384)</f>
        <v>Lubuklinggau</v>
      </c>
    </row>
    <row r="22385" spans="1:6" ht="15.75" customHeight="1">
      <c r="A22385" s="8" t="str">
        <f ca="1">IFERROR(__xludf.DUMMYFUNCTION("GOOGLETRANSLATE(B31560,""en"",""pt"")"),"LUBUKLINGGAU")</f>
        <v>LUBUKLINGGAU</v>
      </c>
      <c r="B22385" s="11" t="s">
        <v>14011</v>
      </c>
      <c r="C22385" s="11" t="s">
        <v>13800</v>
      </c>
      <c r="D22385" s="11" t="s">
        <v>13847</v>
      </c>
      <c r="E22385" s="10">
        <v>1637158</v>
      </c>
      <c r="F22385" s="4" t="str">
        <f>IF(B22385=B22384,"",B22385)</f>
        <v/>
      </c>
    </row>
    <row r="22386" spans="1:6" ht="15.75" customHeight="1">
      <c r="A22386" s="15" t="s">
        <v>4924</v>
      </c>
      <c r="B22386" s="15" t="s">
        <v>4925</v>
      </c>
      <c r="C22386" s="15" t="s">
        <v>4487</v>
      </c>
      <c r="D22386" s="15" t="s">
        <v>4492</v>
      </c>
      <c r="E22386" s="2">
        <v>1802177</v>
      </c>
      <c r="F22386" s="4" t="str">
        <f>IF(B22386=B22385,"",B22386)</f>
        <v>Lubu</v>
      </c>
    </row>
    <row r="22387" spans="1:6" ht="15.75" customHeight="1">
      <c r="A22387" s="8" t="str">
        <f ca="1">IFERROR(__xludf.DUMMYFUNCTION("GOOGLETRANSLATE(B26374,""en"",""pt"")"),"Lu Bu")</f>
        <v>Lu Bu</v>
      </c>
      <c r="B22387" s="9" t="s">
        <v>4925</v>
      </c>
      <c r="C22387" s="9" t="s">
        <v>4487</v>
      </c>
      <c r="D22387" s="9" t="s">
        <v>4492</v>
      </c>
      <c r="E22387" s="10">
        <v>1802177</v>
      </c>
      <c r="F22387" s="4" t="str">
        <f>IF(B22387=B22386,"",B22387)</f>
        <v/>
      </c>
    </row>
    <row r="22388" spans="1:6" ht="15.75" customHeight="1">
      <c r="A22388" s="8" t="str">
        <f ca="1">IFERROR(__xludf.DUMMYFUNCTION("GOOGLETRANSLATE(B39406,""en"",""pt"")"),"LUBOń")</f>
        <v>LUBOń</v>
      </c>
      <c r="B22388" s="11" t="s">
        <v>35198</v>
      </c>
      <c r="C22388" s="11" t="s">
        <v>21064</v>
      </c>
      <c r="D22388" s="11" t="s">
        <v>21112</v>
      </c>
      <c r="E22388" s="10">
        <v>3092856</v>
      </c>
      <c r="F22388" s="4" t="str">
        <f>IF(B22388=B22387,"",B22388)</f>
        <v>Luboń</v>
      </c>
    </row>
    <row r="22389" spans="1:6" ht="15.75" customHeight="1">
      <c r="A22389" s="15" t="s">
        <v>21338</v>
      </c>
      <c r="B22389" s="15" t="s">
        <v>21339</v>
      </c>
      <c r="C22389" s="15" t="s">
        <v>21064</v>
      </c>
      <c r="D22389" s="15" t="s">
        <v>21112</v>
      </c>
      <c r="E22389" s="2">
        <v>3092856</v>
      </c>
      <c r="F22389" s="4" t="str">
        <f>IF(B22389=B22388,"",B22389)</f>
        <v>LuboÅ„</v>
      </c>
    </row>
    <row r="22390" spans="1:6" ht="15.75" customHeight="1">
      <c r="A22390" s="16" t="s">
        <v>27052</v>
      </c>
      <c r="B22390" s="15" t="s">
        <v>27053</v>
      </c>
      <c r="C22390" s="16" t="s">
        <v>26870</v>
      </c>
      <c r="D22390" s="16" t="s">
        <v>26964</v>
      </c>
      <c r="E22390" s="2">
        <v>702723</v>
      </c>
      <c r="F22390" s="4" t="str">
        <f>IF(B22390=B22389,"",B22390)</f>
        <v>Lubny</v>
      </c>
    </row>
    <row r="22391" spans="1:6" ht="15.75" customHeight="1">
      <c r="A22391" s="8" t="str">
        <f ca="1">IFERROR(__xludf.DUMMYFUNCTION("GOOGLETRANSLATE(B42591,""en"",""pt"")"),"Lubrificante")</f>
        <v>Lubrificante</v>
      </c>
      <c r="B22391" s="9" t="s">
        <v>27053</v>
      </c>
      <c r="C22391" s="9" t="s">
        <v>26870</v>
      </c>
      <c r="D22391" s="9" t="s">
        <v>26964</v>
      </c>
      <c r="E22391" s="10">
        <v>702723</v>
      </c>
      <c r="F22391" s="4" t="str">
        <f>IF(B22391=B22390,"",B22391)</f>
        <v/>
      </c>
    </row>
    <row r="22392" spans="1:6" ht="15.75" customHeight="1">
      <c r="A22392" s="15" t="s">
        <v>21337</v>
      </c>
      <c r="B22392" s="15" t="s">
        <v>21337</v>
      </c>
      <c r="C22392" s="15" t="s">
        <v>21064</v>
      </c>
      <c r="D22392" s="15" t="s">
        <v>21073</v>
      </c>
      <c r="E22392" s="2">
        <v>3092906</v>
      </c>
      <c r="F22392" s="4" t="str">
        <f>IF(B22392=B22391,"",B22392)</f>
        <v>Lubliniec</v>
      </c>
    </row>
    <row r="22393" spans="1:6" ht="15.75" customHeight="1">
      <c r="A22393" s="8" t="str">
        <f ca="1">IFERROR(__xludf.DUMMYFUNCTION("GOOGLETRANSLATE(B39407,""en"",""pt"")"),"Lubliniec")</f>
        <v>Lubliniec</v>
      </c>
      <c r="B22393" s="9" t="s">
        <v>21337</v>
      </c>
      <c r="C22393" s="9" t="s">
        <v>21064</v>
      </c>
      <c r="D22393" s="9" t="s">
        <v>21073</v>
      </c>
      <c r="E22393" s="10">
        <v>3092906</v>
      </c>
      <c r="F22393" s="4" t="str">
        <f>IF(B22393=B22392,"",B22393)</f>
        <v/>
      </c>
    </row>
    <row r="22394" spans="1:6" ht="15.75" customHeight="1">
      <c r="A22394" s="15" t="s">
        <v>21336</v>
      </c>
      <c r="B22394" s="15" t="s">
        <v>21336</v>
      </c>
      <c r="C22394" s="15" t="s">
        <v>21064</v>
      </c>
      <c r="D22394" s="15" t="s">
        <v>21091</v>
      </c>
      <c r="E22394" s="2">
        <v>765876</v>
      </c>
      <c r="F22394" s="4" t="str">
        <f>IF(B22394=B22393,"",B22394)</f>
        <v>Lublin</v>
      </c>
    </row>
    <row r="22395" spans="1:6" ht="15.75" customHeight="1">
      <c r="A22395" s="8" t="str">
        <f ca="1">IFERROR(__xludf.DUMMYFUNCTION("GOOGLETRANSLATE(B39250,""en"",""pt"")"),"Lublin")</f>
        <v>Lublin</v>
      </c>
      <c r="B22395" s="9" t="s">
        <v>21336</v>
      </c>
      <c r="C22395" s="9" t="s">
        <v>21064</v>
      </c>
      <c r="D22395" s="9" t="s">
        <v>21091</v>
      </c>
      <c r="E22395" s="10">
        <v>765876</v>
      </c>
      <c r="F22395" s="4" t="str">
        <f>IF(B22395=B22394,"",B22395)</f>
        <v/>
      </c>
    </row>
    <row r="22396" spans="1:6" ht="15.75" customHeight="1">
      <c r="A22396" s="15" t="s">
        <v>21334</v>
      </c>
      <c r="B22396" s="15" t="s">
        <v>21335</v>
      </c>
      <c r="C22396" s="15" t="s">
        <v>21064</v>
      </c>
      <c r="D22396" s="15" t="s">
        <v>21118</v>
      </c>
      <c r="E22396" s="2">
        <v>3092931</v>
      </c>
      <c r="F22396" s="4" t="str">
        <f>IF(B22396=B22395,"",B22396)</f>
        <v>Lubin</v>
      </c>
    </row>
    <row r="22397" spans="1:6" ht="15.75" customHeight="1">
      <c r="A22397" s="8" t="str">
        <f ca="1">IFERROR(__xludf.DUMMYFUNCTION("GOOGLETRANSLATE(B39408,""en"",""pt"")"),"LUBIN")</f>
        <v>LUBIN</v>
      </c>
      <c r="B22397" s="9" t="s">
        <v>21335</v>
      </c>
      <c r="C22397" s="9" t="s">
        <v>21064</v>
      </c>
      <c r="D22397" s="9" t="s">
        <v>21118</v>
      </c>
      <c r="E22397" s="10">
        <v>3092931</v>
      </c>
      <c r="F22397" s="4" t="str">
        <f>IF(B22397=B22396,"",B22397)</f>
        <v/>
      </c>
    </row>
    <row r="22398" spans="1:6" ht="15.75" customHeight="1">
      <c r="A22398" s="8" t="str">
        <f ca="1">IFERROR(__xludf.DUMMYFUNCTION("GOOGLETRANSLATE(B27801,""en"",""pt"")"),"Lübeck")</f>
        <v>Lübeck</v>
      </c>
      <c r="B22398" s="11" t="s">
        <v>32066</v>
      </c>
      <c r="C22398" s="11" t="s">
        <v>8028</v>
      </c>
      <c r="D22398" s="11" t="s">
        <v>8040</v>
      </c>
      <c r="E22398" s="10">
        <v>2875601</v>
      </c>
      <c r="F22398" s="4" t="str">
        <f>IF(B22398=B22397,"",B22398)</f>
        <v>Lübeck</v>
      </c>
    </row>
    <row r="22399" spans="1:6" ht="15.75" customHeight="1">
      <c r="A22399" s="15" t="s">
        <v>29170</v>
      </c>
      <c r="B22399" s="15" t="s">
        <v>29170</v>
      </c>
      <c r="C22399" s="15" t="s">
        <v>27788</v>
      </c>
      <c r="D22399" s="15" t="s">
        <v>27792</v>
      </c>
      <c r="E22399" s="2">
        <v>5525577</v>
      </c>
      <c r="F22399" s="4" t="str">
        <f>IF(B22399=B22398,"",B22399)</f>
        <v>Lubbock</v>
      </c>
    </row>
    <row r="22400" spans="1:6" ht="15.75" customHeight="1">
      <c r="A22400" s="8" t="str">
        <f ca="1">IFERROR(__xludf.DUMMYFUNCTION("GOOGLETRANSLATE(B45163,""en"",""pt"")"),"Lubbock")</f>
        <v>Lubbock</v>
      </c>
      <c r="B22400" s="11" t="s">
        <v>29170</v>
      </c>
      <c r="C22400" s="11" t="s">
        <v>27788</v>
      </c>
      <c r="D22400" s="11" t="s">
        <v>27792</v>
      </c>
      <c r="E22400" s="10">
        <v>5525577</v>
      </c>
      <c r="F22400" s="4" t="str">
        <f>IF(B22400=B22399,"",B22400)</f>
        <v/>
      </c>
    </row>
    <row r="22401" spans="1:6" ht="15.75" customHeight="1">
      <c r="A22401" s="8" t="str">
        <f ca="1">IFERROR(__xludf.DUMMYFUNCTION("GOOGLETRANSLATE(B27802,""en"",""pt"")"),"Lübbenau")</f>
        <v>Lübbenau</v>
      </c>
      <c r="B22401" s="9" t="s">
        <v>32067</v>
      </c>
      <c r="C22401" s="9" t="s">
        <v>8028</v>
      </c>
      <c r="D22401" s="9" t="s">
        <v>8070</v>
      </c>
      <c r="E22401" s="10">
        <v>2875623</v>
      </c>
      <c r="F22401" s="4" t="str">
        <f>IF(B22401=B22400,"",B22401)</f>
        <v>Lübbenau</v>
      </c>
    </row>
    <row r="22402" spans="1:6" ht="15.75" customHeight="1">
      <c r="A22402" s="8" t="str">
        <f ca="1">IFERROR(__xludf.DUMMYFUNCTION("GOOGLETRANSLATE(B27803,""en"",""pt"")"),"Lübbecke")</f>
        <v>Lübbecke</v>
      </c>
      <c r="B22402" s="11" t="s">
        <v>32068</v>
      </c>
      <c r="C22402" s="11" t="s">
        <v>8028</v>
      </c>
      <c r="D22402" s="11" t="s">
        <v>8029</v>
      </c>
      <c r="E22402" s="10">
        <v>2875626</v>
      </c>
      <c r="F22402" s="4" t="str">
        <f>IF(B22402=B22401,"",B22402)</f>
        <v>Lübbecke</v>
      </c>
    </row>
    <row r="22403" spans="1:6" ht="15.75" customHeight="1">
      <c r="A22403" s="8" t="str">
        <f ca="1">IFERROR(__xludf.DUMMYFUNCTION("GOOGLETRANSLATE(B39251,""en"",""pt"")"),"LUBARTOW")</f>
        <v>LUBARTOW</v>
      </c>
      <c r="B22403" s="9" t="s">
        <v>35105</v>
      </c>
      <c r="C22403" s="9" t="s">
        <v>21064</v>
      </c>
      <c r="D22403" s="9" t="s">
        <v>21091</v>
      </c>
      <c r="E22403" s="10">
        <v>765927</v>
      </c>
      <c r="F22403" s="4" t="str">
        <f>IF(B22403=B22402,"",B22403)</f>
        <v>Lubartów</v>
      </c>
    </row>
    <row r="22404" spans="1:6" ht="15.75" customHeight="1">
      <c r="A22404" s="15" t="s">
        <v>21332</v>
      </c>
      <c r="B22404" s="15" t="s">
        <v>21333</v>
      </c>
      <c r="C22404" s="15" t="s">
        <v>21064</v>
      </c>
      <c r="D22404" s="15" t="s">
        <v>21091</v>
      </c>
      <c r="E22404" s="2">
        <v>765927</v>
      </c>
      <c r="F22404" s="4" t="str">
        <f>IF(B22404=B22403,"",B22404)</f>
        <v>LubartÃ³w</v>
      </c>
    </row>
    <row r="22405" spans="1:6" ht="15.75" customHeight="1">
      <c r="A22405" s="15" t="s">
        <v>6181</v>
      </c>
      <c r="B22405" s="15" t="s">
        <v>6182</v>
      </c>
      <c r="C22405" s="15" t="s">
        <v>6127</v>
      </c>
      <c r="D22405" s="15" t="s">
        <v>6150</v>
      </c>
      <c r="E22405" s="2">
        <v>211098</v>
      </c>
      <c r="F22405" s="4" t="str">
        <f>IF(B22405=B22404,"",B22405)</f>
        <v>Lubao</v>
      </c>
    </row>
    <row r="22406" spans="1:6" ht="15.75" customHeight="1">
      <c r="A22406" s="15" t="s">
        <v>6181</v>
      </c>
      <c r="B22406" s="15" t="s">
        <v>6182</v>
      </c>
      <c r="C22406" s="15" t="s">
        <v>20598</v>
      </c>
      <c r="D22406" s="15" t="s">
        <v>20599</v>
      </c>
      <c r="E22406" s="2">
        <v>1705440</v>
      </c>
      <c r="F22406" s="4" t="str">
        <f>IF(B22406=B22405,"",B22406)</f>
        <v/>
      </c>
    </row>
    <row r="22407" spans="1:6" ht="15.75" customHeight="1">
      <c r="A22407" s="8" t="str">
        <f ca="1">IFERROR(__xludf.DUMMYFUNCTION("GOOGLETRANSLATE(B25655,""en"",""pt"")"),"LUBAO")</f>
        <v>LUBAO</v>
      </c>
      <c r="B22407" s="9" t="s">
        <v>6182</v>
      </c>
      <c r="C22407" s="9" t="s">
        <v>6127</v>
      </c>
      <c r="D22407" s="9" t="s">
        <v>31765</v>
      </c>
      <c r="E22407" s="10">
        <v>211098</v>
      </c>
      <c r="F22407" s="4" t="str">
        <f>IF(B22407=B22406,"",B22407)</f>
        <v/>
      </c>
    </row>
    <row r="22408" spans="1:6" ht="15.75" customHeight="1">
      <c r="A22408" s="8" t="str">
        <f ca="1">IFERROR(__xludf.DUMMYFUNCTION("GOOGLETRANSLATE(B38657,""en"",""pt"")"),"LUBAO")</f>
        <v>LUBAO</v>
      </c>
      <c r="B22408" s="11" t="s">
        <v>6182</v>
      </c>
      <c r="C22408" s="11" t="s">
        <v>20598</v>
      </c>
      <c r="D22408" s="11" t="s">
        <v>20599</v>
      </c>
      <c r="E22408" s="10">
        <v>1705440</v>
      </c>
      <c r="F22408" s="4" t="str">
        <f>IF(B22408=B22407,"",B22408)</f>
        <v/>
      </c>
    </row>
    <row r="22409" spans="1:6" ht="15.75" customHeight="1">
      <c r="A22409" s="15" t="s">
        <v>526</v>
      </c>
      <c r="B22409" s="15" t="s">
        <v>526</v>
      </c>
      <c r="C22409" s="15" t="s">
        <v>507</v>
      </c>
      <c r="D22409" s="15" t="s">
        <v>513</v>
      </c>
      <c r="E22409" s="2">
        <v>3347762</v>
      </c>
      <c r="F22409" s="4" t="str">
        <f>IF(B22409=B22408,"",B22409)</f>
        <v>Lubango</v>
      </c>
    </row>
    <row r="22410" spans="1:6" ht="15.75" customHeight="1">
      <c r="A22410" s="8" t="str">
        <f ca="1">IFERROR(__xludf.DUMMYFUNCTION("GOOGLETRANSLATE(B23157,""en"",""pt"")"),"Lubango")</f>
        <v>Lubango</v>
      </c>
      <c r="B22410" s="11" t="s">
        <v>526</v>
      </c>
      <c r="C22410" s="11" t="s">
        <v>507</v>
      </c>
      <c r="D22410" s="11" t="s">
        <v>31162</v>
      </c>
      <c r="E22410" s="10">
        <v>3347762</v>
      </c>
      <c r="F22410" s="4" t="str">
        <f>IF(B22410=B22409,"",B22410)</f>
        <v/>
      </c>
    </row>
    <row r="22411" spans="1:6" ht="15.75" customHeight="1">
      <c r="A22411" s="8" t="str">
        <f ca="1">IFERROR(__xludf.DUMMYFUNCTION("GOOGLETRANSLATE(B39409,""en"",""pt"")"),"Lubań")</f>
        <v>Lubań</v>
      </c>
      <c r="B22411" s="9" t="s">
        <v>35199</v>
      </c>
      <c r="C22411" s="9" t="s">
        <v>21064</v>
      </c>
      <c r="D22411" s="9" t="s">
        <v>21118</v>
      </c>
      <c r="E22411" s="10">
        <v>3093040</v>
      </c>
      <c r="F22411" s="4" t="str">
        <f>IF(B22411=B22410,"",B22411)</f>
        <v>Lubań</v>
      </c>
    </row>
    <row r="22412" spans="1:6" ht="15.75" customHeight="1">
      <c r="A22412" s="15" t="s">
        <v>21330</v>
      </c>
      <c r="B22412" s="15" t="s">
        <v>21331</v>
      </c>
      <c r="C22412" s="15" t="s">
        <v>21064</v>
      </c>
      <c r="D22412" s="15" t="s">
        <v>21118</v>
      </c>
      <c r="E22412" s="2">
        <v>3093040</v>
      </c>
      <c r="F22412" s="4" t="str">
        <f>IF(B22412=B22411,"",B22412)</f>
        <v>LubaÅ„</v>
      </c>
    </row>
    <row r="22413" spans="1:6" ht="15.75" customHeight="1">
      <c r="A22413" s="15" t="s">
        <v>524</v>
      </c>
      <c r="B22413" s="15" t="s">
        <v>524</v>
      </c>
      <c r="C22413" s="15" t="s">
        <v>507</v>
      </c>
      <c r="D22413" s="15" t="s">
        <v>525</v>
      </c>
      <c r="E22413" s="2">
        <v>876177</v>
      </c>
      <c r="F22413" s="4" t="str">
        <f>IF(B22413=B22412,"",B22413)</f>
        <v>Luau</v>
      </c>
    </row>
    <row r="22414" spans="1:6" ht="15.75" customHeight="1">
      <c r="A22414" s="8" t="str">
        <f ca="1">IFERROR(__xludf.DUMMYFUNCTION("GOOGLETRANSLATE(B23143,""en"",""pt"")"),"Luau")</f>
        <v>Luau</v>
      </c>
      <c r="B22414" s="11" t="s">
        <v>524</v>
      </c>
      <c r="C22414" s="11" t="s">
        <v>507</v>
      </c>
      <c r="D22414" s="11" t="s">
        <v>525</v>
      </c>
      <c r="E22414" s="10">
        <v>876177</v>
      </c>
      <c r="F22414" s="4" t="str">
        <f>IF(B22414=B22413,"",B22414)</f>
        <v/>
      </c>
    </row>
    <row r="22415" spans="1:6" ht="15.75" customHeight="1">
      <c r="A22415" s="15" t="s">
        <v>31055</v>
      </c>
      <c r="B22415" s="15" t="s">
        <v>31055</v>
      </c>
      <c r="C22415" s="15" t="s">
        <v>31038</v>
      </c>
      <c r="D22415" s="15" t="s">
        <v>31039</v>
      </c>
      <c r="E22415" s="2">
        <v>909863</v>
      </c>
      <c r="F22415" s="4" t="str">
        <f>IF(B22415=B22414,"",B22415)</f>
        <v>Luanshya</v>
      </c>
    </row>
    <row r="22416" spans="1:6" ht="15.75" customHeight="1">
      <c r="A22416" s="8" t="str">
        <f ca="1">IFERROR(__xludf.DUMMYFUNCTION("GOOGLETRANSLATE(B46018,""en"",""pt"")"),"Luanshya")</f>
        <v>Luanshya</v>
      </c>
      <c r="B22416" s="9" t="s">
        <v>31055</v>
      </c>
      <c r="C22416" s="9" t="s">
        <v>31038</v>
      </c>
      <c r="D22416" s="9" t="s">
        <v>31039</v>
      </c>
      <c r="E22416" s="10">
        <v>909863</v>
      </c>
      <c r="F22416" s="4" t="str">
        <f>IF(B22416=B22415,"",B22416)</f>
        <v/>
      </c>
    </row>
    <row r="22417" spans="1:6" ht="15.75" customHeight="1">
      <c r="A22417" s="16" t="s">
        <v>16956</v>
      </c>
      <c r="B22417" s="15" t="s">
        <v>16956</v>
      </c>
      <c r="C22417" s="16" t="s">
        <v>16954</v>
      </c>
      <c r="D22417" s="16" t="s">
        <v>16957</v>
      </c>
      <c r="E22417" s="2">
        <v>1655559</v>
      </c>
      <c r="F22417" s="4" t="str">
        <f>IF(B22417=B22416,"",B22417)</f>
        <v>Luang Prabang</v>
      </c>
    </row>
    <row r="22418" spans="1:6" ht="15.75" customHeight="1">
      <c r="A22418" s="8" t="str">
        <f ca="1">IFERROR(__xludf.DUMMYFUNCTION("GOOGLETRANSLATE(B36272,""en"",""pt"")"),"Luang Prabang")</f>
        <v>Luang Prabang</v>
      </c>
      <c r="B22418" s="9" t="s">
        <v>16956</v>
      </c>
      <c r="C22418" s="9" t="s">
        <v>16954</v>
      </c>
      <c r="D22418" s="9" t="s">
        <v>16957</v>
      </c>
      <c r="E22418" s="10">
        <v>1655559</v>
      </c>
      <c r="F22418" s="4" t="str">
        <f>IF(B22418=B22417,"",B22418)</f>
        <v/>
      </c>
    </row>
    <row r="22419" spans="1:6" ht="15.75" customHeight="1">
      <c r="A22419" s="15" t="s">
        <v>523</v>
      </c>
      <c r="B22419" s="15" t="s">
        <v>523</v>
      </c>
      <c r="C22419" s="15" t="s">
        <v>507</v>
      </c>
      <c r="D22419" s="15" t="s">
        <v>523</v>
      </c>
      <c r="E22419" s="2">
        <v>2240449</v>
      </c>
      <c r="F22419" s="4" t="str">
        <f>IF(B22419=B22418,"",B22419)</f>
        <v>Luanda</v>
      </c>
    </row>
    <row r="22420" spans="1:6" ht="15.75" customHeight="1">
      <c r="A22420" s="8" t="str">
        <f ca="1">IFERROR(__xludf.DUMMYFUNCTION("GOOGLETRANSLATE(B23150,""en"",""pt"")"),"Luanda")</f>
        <v>Luanda</v>
      </c>
      <c r="B22420" s="9" t="s">
        <v>523</v>
      </c>
      <c r="C22420" s="9" t="s">
        <v>507</v>
      </c>
      <c r="D22420" s="9" t="s">
        <v>523</v>
      </c>
      <c r="E22420" s="10">
        <v>2240449</v>
      </c>
      <c r="F22420" s="4" t="str">
        <f>IF(B22420=B22419,"",B22420)</f>
        <v/>
      </c>
    </row>
    <row r="22421" spans="1:6" ht="15.75" customHeight="1">
      <c r="A22421" s="16" t="s">
        <v>4923</v>
      </c>
      <c r="B22421" s="15" t="s">
        <v>4923</v>
      </c>
      <c r="C22421" s="16" t="s">
        <v>4487</v>
      </c>
      <c r="D22421" s="16" t="s">
        <v>4529</v>
      </c>
      <c r="E22421" s="2">
        <v>1802204</v>
      </c>
      <c r="F22421" s="4" t="str">
        <f>IF(B22421=B22420,"",B22421)</f>
        <v>Luancheng</v>
      </c>
    </row>
    <row r="22422" spans="1:6" ht="15.75" customHeight="1">
      <c r="A22422" s="8" t="str">
        <f ca="1">IFERROR(__xludf.DUMMYFUNCTION("GOOGLETRANSLATE(B26375,""en"",""pt"")"),"Luancheng")</f>
        <v>Luancheng</v>
      </c>
      <c r="B22422" s="11" t="s">
        <v>4923</v>
      </c>
      <c r="C22422" s="11" t="s">
        <v>4487</v>
      </c>
      <c r="D22422" s="11" t="s">
        <v>4529</v>
      </c>
      <c r="E22422" s="10">
        <v>1802204</v>
      </c>
      <c r="F22422" s="4" t="str">
        <f>IF(B22422=B22421,"",B22422)</f>
        <v/>
      </c>
    </row>
    <row r="22423" spans="1:6" ht="15.75" customHeight="1">
      <c r="A22423" s="15" t="s">
        <v>23736</v>
      </c>
      <c r="B22423" s="15" t="s">
        <v>23737</v>
      </c>
      <c r="C22423" s="15" t="s">
        <v>23694</v>
      </c>
      <c r="D22423" s="15" t="s">
        <v>23695</v>
      </c>
      <c r="E22423" s="2">
        <v>3058986</v>
      </c>
      <c r="F22423" s="4" t="str">
        <f>IF(B22423=B22422,"",B22423)</f>
        <v>LuÄenec</v>
      </c>
    </row>
    <row r="22424" spans="1:6" ht="15.75" customHeight="1">
      <c r="A22424" s="15" t="s">
        <v>27051</v>
      </c>
      <c r="B22424" s="15" t="s">
        <v>27051</v>
      </c>
      <c r="C22424" s="15" t="s">
        <v>26870</v>
      </c>
      <c r="D22424" s="15" t="s">
        <v>26893</v>
      </c>
      <c r="E22424" s="2">
        <v>702760</v>
      </c>
      <c r="F22424" s="4" t="str">
        <f>IF(B22424=B22423,"",B22424)</f>
        <v>Lozova</v>
      </c>
    </row>
    <row r="22425" spans="1:6" ht="15.75" customHeight="1">
      <c r="A22425" s="8" t="str">
        <f ca="1">IFERROR(__xludf.DUMMYFUNCTION("GOOGLETRANSLATE(B42592,""en"",""pt"")"),"Lozova")</f>
        <v>Lozova</v>
      </c>
      <c r="B22425" s="9" t="s">
        <v>27051</v>
      </c>
      <c r="C22425" s="9" t="s">
        <v>26870</v>
      </c>
      <c r="D22425" s="9" t="s">
        <v>26893</v>
      </c>
      <c r="E22425" s="10">
        <v>702760</v>
      </c>
      <c r="F22425" s="4" t="str">
        <f>IF(B22425=B22424,"",B22425)</f>
        <v/>
      </c>
    </row>
    <row r="22426" spans="1:6" ht="15.75" customHeight="1">
      <c r="A22426" s="15" t="s">
        <v>8782</v>
      </c>
      <c r="B22426" s="15" t="s">
        <v>8782</v>
      </c>
      <c r="C22426" s="15" t="s">
        <v>8028</v>
      </c>
      <c r="D22426" s="15" t="s">
        <v>8034</v>
      </c>
      <c r="E22426" s="2">
        <v>2875645</v>
      </c>
      <c r="F22426" s="4" t="str">
        <f>IF(B22426=B22425,"",B22426)</f>
        <v>Loxstedt</v>
      </c>
    </row>
    <row r="22427" spans="1:6" ht="15.75" customHeight="1">
      <c r="A22427" s="8" t="str">
        <f ca="1">IFERROR(__xludf.DUMMYFUNCTION("GOOGLETRANSLATE(B27804,""en"",""pt"")"),"Loxstedt")</f>
        <v>Loxstedt</v>
      </c>
      <c r="B22427" s="11" t="s">
        <v>8782</v>
      </c>
      <c r="C22427" s="11" t="s">
        <v>8028</v>
      </c>
      <c r="D22427" s="11" t="s">
        <v>8034</v>
      </c>
      <c r="E22427" s="10">
        <v>2875645</v>
      </c>
      <c r="F22427" s="4" t="str">
        <f>IF(B22427=B22426,"",B22427)</f>
        <v/>
      </c>
    </row>
    <row r="22428" spans="1:6" ht="15.75" customHeight="1">
      <c r="A22428" s="8" t="str">
        <f ca="1">IFERROR(__xludf.DUMMYFUNCTION("GOOGLETRANSLATE(B39410,""en"",""pt"")"),"Łowicz")</f>
        <v>Łowicz</v>
      </c>
      <c r="B22428" s="11" t="s">
        <v>35200</v>
      </c>
      <c r="C22428" s="11" t="s">
        <v>21064</v>
      </c>
      <c r="D22428" s="11" t="s">
        <v>35071</v>
      </c>
      <c r="E22428" s="10">
        <v>3093066</v>
      </c>
      <c r="F22428" s="4" t="str">
        <f>IF(B22428=B22427,"",B22428)</f>
        <v>Łowicz</v>
      </c>
    </row>
    <row r="22429" spans="1:6" ht="15.75" customHeight="1">
      <c r="A22429" s="16" t="s">
        <v>27511</v>
      </c>
      <c r="B22429" s="15" t="s">
        <v>27511</v>
      </c>
      <c r="C22429" s="16" t="s">
        <v>27234</v>
      </c>
      <c r="D22429" s="16" t="s">
        <v>27241</v>
      </c>
      <c r="E22429" s="2">
        <v>2643490</v>
      </c>
      <c r="F22429" s="4" t="str">
        <f>IF(B22429=B22428,"",B22429)</f>
        <v>Lowestoft</v>
      </c>
    </row>
    <row r="22430" spans="1:6" ht="15.75" customHeight="1">
      <c r="A22430" s="8" t="str">
        <f ca="1">IFERROR(__xludf.DUMMYFUNCTION("GOOGLETRANSLATE(B30561,""en"",""pt"")"),"Lowestoft")</f>
        <v>Lowestoft</v>
      </c>
      <c r="B22430" s="11" t="s">
        <v>27511</v>
      </c>
      <c r="C22430" s="11" t="s">
        <v>27234</v>
      </c>
      <c r="D22430" s="11" t="s">
        <v>27241</v>
      </c>
      <c r="E22430" s="10">
        <v>2643490</v>
      </c>
      <c r="F22430" s="4" t="str">
        <f>IF(B22430=B22429,"",B22430)</f>
        <v/>
      </c>
    </row>
    <row r="22431" spans="1:6" ht="15.75" customHeight="1">
      <c r="A22431" s="16" t="s">
        <v>4091</v>
      </c>
      <c r="B22431" s="15" t="s">
        <v>4092</v>
      </c>
      <c r="C22431" s="16" t="s">
        <v>3975</v>
      </c>
      <c r="D22431" s="16" t="s">
        <v>4027</v>
      </c>
      <c r="E22431" s="2">
        <v>10287505</v>
      </c>
      <c r="F22431" s="4" t="str">
        <f>IF(B22431=B22430,"",B22431)</f>
        <v>Lower Sacvkille</v>
      </c>
    </row>
    <row r="22432" spans="1:6" ht="15.75" customHeight="1">
      <c r="A22432" s="8" t="str">
        <f ca="1">IFERROR(__xludf.DUMMYFUNCTION("GOOGLETRANSLATE(B25642,""en"",""pt"")"),"Baixo Sacvkille")</f>
        <v>Baixo Sacvkille</v>
      </c>
      <c r="B22432" s="11" t="s">
        <v>4092</v>
      </c>
      <c r="C22432" s="11" t="s">
        <v>3975</v>
      </c>
      <c r="D22432" s="11" t="s">
        <v>4027</v>
      </c>
      <c r="E22432" s="10">
        <v>10287505</v>
      </c>
      <c r="F22432" s="4" t="str">
        <f>IF(B22432=B22431,"",B22432)</f>
        <v/>
      </c>
    </row>
    <row r="22433" spans="1:6" ht="15.75" customHeight="1">
      <c r="A22433" s="16" t="s">
        <v>19186</v>
      </c>
      <c r="B22433" s="15" t="s">
        <v>19187</v>
      </c>
      <c r="C22433" s="16" t="s">
        <v>19169</v>
      </c>
      <c r="D22433" s="16" t="s">
        <v>13773</v>
      </c>
      <c r="E22433" s="2">
        <v>2188164</v>
      </c>
      <c r="F22433" s="4" t="str">
        <f>IF(B22433=B22432,"",B22433)</f>
        <v>Lower Hutt</v>
      </c>
    </row>
    <row r="22434" spans="1:6" ht="15.75" customHeight="1">
      <c r="A22434" s="8" t="str">
        <f ca="1">IFERROR(__xludf.DUMMYFUNCTION("GOOGLETRANSLATE(B38231,""en"",""pt"")"),"Hutt inferior")</f>
        <v>Hutt inferior</v>
      </c>
      <c r="B22434" s="11" t="s">
        <v>19187</v>
      </c>
      <c r="C22434" s="11" t="s">
        <v>19169</v>
      </c>
      <c r="D22434" s="11" t="s">
        <v>13773</v>
      </c>
      <c r="E22434" s="10">
        <v>2188164</v>
      </c>
      <c r="F22434" s="4" t="str">
        <f>IF(B22434=B22433,"",B22434)</f>
        <v/>
      </c>
    </row>
    <row r="22435" spans="1:6" ht="15.75" customHeight="1">
      <c r="A22435" s="16" t="s">
        <v>27509</v>
      </c>
      <c r="B22435" s="15" t="s">
        <v>27510</v>
      </c>
      <c r="C22435" s="16" t="s">
        <v>27234</v>
      </c>
      <c r="D22435" s="16" t="s">
        <v>27241</v>
      </c>
      <c r="E22435" s="2">
        <v>7290015</v>
      </c>
      <c r="F22435" s="4" t="str">
        <f>IF(B22435=B22434,"",B22435)</f>
        <v>Lower Earley</v>
      </c>
    </row>
    <row r="22436" spans="1:6" ht="15.75" customHeight="1">
      <c r="A22436" s="8" t="str">
        <f ca="1">IFERROR(__xludf.DUMMYFUNCTION("GOOGLETRANSLATE(B30811,""en"",""pt"")"),"Earley inferior")</f>
        <v>Earley inferior</v>
      </c>
      <c r="B22436" s="11" t="s">
        <v>27510</v>
      </c>
      <c r="C22436" s="11" t="s">
        <v>27234</v>
      </c>
      <c r="D22436" s="11" t="s">
        <v>27241</v>
      </c>
      <c r="E22436" s="10">
        <v>7290015</v>
      </c>
      <c r="F22436" s="4" t="str">
        <f>IF(B22436=B22435,"",B22436)</f>
        <v/>
      </c>
    </row>
    <row r="22437" spans="1:6" ht="15.75" customHeight="1">
      <c r="A22437" s="15" t="s">
        <v>29169</v>
      </c>
      <c r="B22437" s="15" t="s">
        <v>29169</v>
      </c>
      <c r="C22437" s="15" t="s">
        <v>27788</v>
      </c>
      <c r="D22437" s="15" t="s">
        <v>27794</v>
      </c>
      <c r="E22437" s="2">
        <v>4942618</v>
      </c>
      <c r="F22437" s="4" t="str">
        <f>IF(B22437=B22436,"",B22437)</f>
        <v>Lowell</v>
      </c>
    </row>
    <row r="22438" spans="1:6" ht="15.75" customHeight="1">
      <c r="A22438" s="8" t="str">
        <f ca="1">IFERROR(__xludf.DUMMYFUNCTION("GOOGLETRANSLATE(B43992,""en"",""pt"")"),"Lowell")</f>
        <v>Lowell</v>
      </c>
      <c r="B22438" s="9" t="s">
        <v>29169</v>
      </c>
      <c r="C22438" s="9" t="s">
        <v>27788</v>
      </c>
      <c r="D22438" s="9" t="s">
        <v>27794</v>
      </c>
      <c r="E22438" s="10">
        <v>4942618</v>
      </c>
      <c r="F22438" s="4" t="str">
        <f>IF(B22438=B22437,"",B22438)</f>
        <v/>
      </c>
    </row>
    <row r="22439" spans="1:6" ht="15.75" customHeight="1">
      <c r="A22439" s="15" t="s">
        <v>7011</v>
      </c>
      <c r="B22439" s="15" t="s">
        <v>7011</v>
      </c>
      <c r="C22439" s="15" t="s">
        <v>6948</v>
      </c>
      <c r="D22439" s="15" t="s">
        <v>6951</v>
      </c>
      <c r="E22439" s="2">
        <v>647571</v>
      </c>
      <c r="F22439" s="4" t="str">
        <f>IF(B22439=B22438,"",B22439)</f>
        <v>Lovisa</v>
      </c>
    </row>
    <row r="22440" spans="1:6" ht="15.75" customHeight="1">
      <c r="A22440" s="8" t="str">
        <f ca="1">IFERROR(__xludf.DUMMYFUNCTION("GOOGLETRANSLATE(B29625,""en"",""pt"")"),"Lovisa")</f>
        <v>Lovisa</v>
      </c>
      <c r="B22440" s="11" t="s">
        <v>7011</v>
      </c>
      <c r="C22440" s="11" t="s">
        <v>6948</v>
      </c>
      <c r="D22440" s="11" t="s">
        <v>6951</v>
      </c>
      <c r="E22440" s="10">
        <v>647571</v>
      </c>
      <c r="F22440" s="4" t="str">
        <f>IF(B22440=B22439,"",B22440)</f>
        <v/>
      </c>
    </row>
    <row r="22441" spans="1:6" ht="15.75" customHeight="1">
      <c r="A22441" s="16" t="s">
        <v>29167</v>
      </c>
      <c r="B22441" s="15" t="s">
        <v>29168</v>
      </c>
      <c r="C22441" s="16" t="s">
        <v>27788</v>
      </c>
      <c r="D22441" s="16" t="s">
        <v>27799</v>
      </c>
      <c r="E22441" s="2">
        <v>4900579</v>
      </c>
      <c r="F22441" s="4" t="str">
        <f>IF(B22441=B22440,"",B22441)</f>
        <v>Loves Park</v>
      </c>
    </row>
    <row r="22442" spans="1:6" ht="15.75" customHeight="1">
      <c r="A22442" s="8" t="str">
        <f ca="1">IFERROR(__xludf.DUMMYFUNCTION("GOOGLETRANSLATE(B43838,""en"",""pt"")"),"Loves park")</f>
        <v>Loves park</v>
      </c>
      <c r="B22442" s="11" t="s">
        <v>29168</v>
      </c>
      <c r="C22442" s="11" t="s">
        <v>27788</v>
      </c>
      <c r="D22442" s="11" t="s">
        <v>27799</v>
      </c>
      <c r="E22442" s="10">
        <v>4900579</v>
      </c>
      <c r="F22442" s="4" t="str">
        <f>IF(B22442=B22441,"",B22442)</f>
        <v/>
      </c>
    </row>
    <row r="22443" spans="1:6" ht="15.75" customHeight="1">
      <c r="A22443" s="16" t="s">
        <v>29165</v>
      </c>
      <c r="B22443" s="15" t="s">
        <v>29166</v>
      </c>
      <c r="C22443" s="16" t="s">
        <v>27788</v>
      </c>
      <c r="D22443" s="16" t="s">
        <v>2341</v>
      </c>
      <c r="E22443" s="2">
        <v>5579368</v>
      </c>
      <c r="F22443" s="4" t="str">
        <f>IF(B22443=B22442,"",B22443)</f>
        <v>Loveland</v>
      </c>
    </row>
    <row r="22444" spans="1:6" ht="15.75" customHeight="1">
      <c r="A22444" s="8" t="str">
        <f ca="1">IFERROR(__xludf.DUMMYFUNCTION("GOOGLETRANSLATE(B45192,""en"",""pt"")"),"Terra do amor")</f>
        <v>Terra do amor</v>
      </c>
      <c r="B22444" s="11" t="s">
        <v>29166</v>
      </c>
      <c r="C22444" s="11" t="s">
        <v>27788</v>
      </c>
      <c r="D22444" s="11" t="s">
        <v>2341</v>
      </c>
      <c r="E22444" s="10">
        <v>5579368</v>
      </c>
      <c r="F22444" s="4" t="str">
        <f>IF(B22444=B22443,"",B22444)</f>
        <v/>
      </c>
    </row>
    <row r="22445" spans="1:6" ht="15.75" customHeight="1">
      <c r="A22445" s="15" t="s">
        <v>3733</v>
      </c>
      <c r="B22445" s="15" t="s">
        <v>3733</v>
      </c>
      <c r="C22445" s="15" t="s">
        <v>3701</v>
      </c>
      <c r="D22445" s="15" t="s">
        <v>3733</v>
      </c>
      <c r="E22445" s="2">
        <v>729559</v>
      </c>
      <c r="F22445" s="4" t="str">
        <f>IF(B22445=B22444,"",B22445)</f>
        <v>Lovech</v>
      </c>
    </row>
    <row r="22446" spans="1:6" ht="15.75" customHeight="1">
      <c r="A22446" s="8" t="str">
        <f ca="1">IFERROR(__xludf.DUMMYFUNCTION("GOOGLETRANSLATE(B24041,""en"",""pt"")"),"Lovech")</f>
        <v>Lovech</v>
      </c>
      <c r="B22446" s="11" t="s">
        <v>3733</v>
      </c>
      <c r="C22446" s="11" t="s">
        <v>3701</v>
      </c>
      <c r="D22446" s="11" t="s">
        <v>3733</v>
      </c>
      <c r="E22446" s="10">
        <v>729559</v>
      </c>
      <c r="F22446" s="4" t="str">
        <f>IF(B22446=B22445,"",B22446)</f>
        <v/>
      </c>
    </row>
    <row r="22447" spans="1:6" ht="15.75" customHeight="1">
      <c r="A22447" s="15" t="s">
        <v>7511</v>
      </c>
      <c r="B22447" s="15" t="s">
        <v>7511</v>
      </c>
      <c r="C22447" s="15" t="s">
        <v>7052</v>
      </c>
      <c r="D22447" s="15" t="s">
        <v>7068</v>
      </c>
      <c r="E22447" s="2">
        <v>2997336</v>
      </c>
      <c r="F22447" s="4" t="str">
        <f>IF(B22447=B22446,"",B22447)</f>
        <v>Louviers</v>
      </c>
    </row>
    <row r="22448" spans="1:6" ht="15.75" customHeight="1">
      <c r="A22448" s="8" t="str">
        <f ca="1">IFERROR(__xludf.DUMMYFUNCTION("GOOGLETRANSLATE(B29953,""en"",""pt"")"),"Louviers")</f>
        <v>Louviers</v>
      </c>
      <c r="B22448" s="11" t="s">
        <v>7511</v>
      </c>
      <c r="C22448" s="11" t="s">
        <v>7052</v>
      </c>
      <c r="D22448" s="11" t="s">
        <v>7068</v>
      </c>
      <c r="E22448" s="10">
        <v>2997336</v>
      </c>
      <c r="F22448" s="4" t="str">
        <f>IF(B22448=B22447,"",B22448)</f>
        <v/>
      </c>
    </row>
    <row r="22449" spans="1:6" ht="15.75" customHeight="1">
      <c r="A22449" s="15" t="s">
        <v>2822</v>
      </c>
      <c r="B22449" s="15" t="s">
        <v>2822</v>
      </c>
      <c r="C22449" s="15" t="s">
        <v>1905</v>
      </c>
      <c r="D22449" s="15" t="s">
        <v>1914</v>
      </c>
      <c r="E22449" s="2">
        <v>3458406</v>
      </c>
      <c r="F22449" s="4" t="str">
        <f>IF(B22449=B22448,"",B22449)</f>
        <v>Louveira</v>
      </c>
    </row>
    <row r="22450" spans="1:6" ht="15.75" customHeight="1">
      <c r="A22450" s="8" t="str">
        <f ca="1">IFERROR(__xludf.DUMMYFUNCTION("GOOGLETRANSLATE(B24851,""en"",""pt"")"),"Louveira")</f>
        <v>Louveira</v>
      </c>
      <c r="B22450" s="11" t="s">
        <v>2822</v>
      </c>
      <c r="C22450" s="11" t="s">
        <v>1905</v>
      </c>
      <c r="D22450" s="11" t="s">
        <v>3354</v>
      </c>
      <c r="E22450" s="10">
        <v>3458406</v>
      </c>
      <c r="F22450" s="4" t="str">
        <f>IF(B22450=B22449,"",B22450)</f>
        <v/>
      </c>
    </row>
    <row r="22451" spans="1:6" ht="15.75" customHeight="1">
      <c r="A22451" s="16" t="s">
        <v>1628</v>
      </c>
      <c r="B22451" s="15" t="s">
        <v>1629</v>
      </c>
      <c r="C22451" s="16" t="s">
        <v>1512</v>
      </c>
      <c r="D22451" s="16" t="s">
        <v>1518</v>
      </c>
      <c r="E22451" s="2">
        <v>2792073</v>
      </c>
      <c r="F22451" s="4" t="str">
        <f>IF(B22451=B22450,"",B22451)</f>
        <v>Louvain-la-Neuve</v>
      </c>
    </row>
    <row r="22452" spans="1:6" ht="15.75" customHeight="1">
      <c r="A22452" s="8" t="str">
        <f ca="1">IFERROR(__xludf.DUMMYFUNCTION("GOOGLETRANSLATE(B23877,""en"",""pt"")"),"Louvain-La-Neuve")</f>
        <v>Louvain-La-Neuve</v>
      </c>
      <c r="B22452" s="11" t="s">
        <v>1629</v>
      </c>
      <c r="C22452" s="11" t="s">
        <v>1512</v>
      </c>
      <c r="D22452" s="11" t="s">
        <v>1518</v>
      </c>
      <c r="E22452" s="10">
        <v>2792073</v>
      </c>
      <c r="F22452" s="4" t="str">
        <f>IF(B22452=B22451,"",B22452)</f>
        <v/>
      </c>
    </row>
    <row r="22453" spans="1:6" ht="15.75" customHeight="1">
      <c r="A22453" s="15" t="s">
        <v>27508</v>
      </c>
      <c r="B22453" s="15" t="s">
        <v>27508</v>
      </c>
      <c r="C22453" s="15" t="s">
        <v>27234</v>
      </c>
      <c r="D22453" s="15" t="s">
        <v>27241</v>
      </c>
      <c r="E22453" s="2">
        <v>2643553</v>
      </c>
      <c r="F22453" s="4" t="str">
        <f>IF(B22453=B22452,"",B22453)</f>
        <v>Louth</v>
      </c>
    </row>
    <row r="22454" spans="1:6" ht="15.75" customHeight="1">
      <c r="A22454" s="8" t="str">
        <f ca="1">IFERROR(__xludf.DUMMYFUNCTION("GOOGLETRANSLATE(B30562,""en"",""pt"")"),"Louth")</f>
        <v>Louth</v>
      </c>
      <c r="B22454" s="11" t="s">
        <v>27508</v>
      </c>
      <c r="C22454" s="11" t="s">
        <v>27234</v>
      </c>
      <c r="D22454" s="11" t="s">
        <v>27241</v>
      </c>
      <c r="E22454" s="10">
        <v>2643553</v>
      </c>
      <c r="F22454" s="4" t="str">
        <f>IF(B22454=B22453,"",B22454)</f>
        <v/>
      </c>
    </row>
    <row r="22455" spans="1:6" ht="15.75" customHeight="1">
      <c r="A22455" s="16" t="s">
        <v>4922</v>
      </c>
      <c r="B22455" s="15" t="s">
        <v>4922</v>
      </c>
      <c r="C22455" s="16" t="s">
        <v>4487</v>
      </c>
      <c r="D22455" s="16" t="s">
        <v>4507</v>
      </c>
      <c r="E22455" s="2">
        <v>1792516</v>
      </c>
      <c r="F22455" s="4" t="str">
        <f>IF(B22455=B22454,"",B22455)</f>
        <v>Loushanguan</v>
      </c>
    </row>
    <row r="22456" spans="1:6" ht="15.75" customHeight="1">
      <c r="A22456" s="8" t="str">
        <f ca="1">IFERROR(__xludf.DUMMYFUNCTION("GOOGLETRANSLATE(B26227,""en"",""pt"")"),"Loushanguan")</f>
        <v>Loushanguan</v>
      </c>
      <c r="B22456" s="11" t="s">
        <v>4922</v>
      </c>
      <c r="C22456" s="11" t="s">
        <v>4487</v>
      </c>
      <c r="D22456" s="11" t="s">
        <v>4507</v>
      </c>
      <c r="E22456" s="10">
        <v>1792516</v>
      </c>
      <c r="F22456" s="4" t="str">
        <f>IF(B22456=B22455,"",B22456)</f>
        <v/>
      </c>
    </row>
    <row r="22457" spans="1:6" ht="15.75" customHeight="1">
      <c r="A22457" s="15" t="s">
        <v>21680</v>
      </c>
      <c r="B22457" s="15" t="s">
        <v>21680</v>
      </c>
      <c r="C22457" s="15" t="s">
        <v>21606</v>
      </c>
      <c r="D22457" s="15" t="s">
        <v>21616</v>
      </c>
      <c r="E22457" s="2">
        <v>2266977</v>
      </c>
      <c r="F22457" s="4" t="str">
        <f>IF(B22457=B22456,"",B22457)</f>
        <v>Loures</v>
      </c>
    </row>
    <row r="22458" spans="1:6" ht="15.75" customHeight="1">
      <c r="A22458" s="8" t="str">
        <f ca="1">IFERROR(__xludf.DUMMYFUNCTION("GOOGLETRANSLATE(B39598,""en"",""pt"")"),"Loures")</f>
        <v>Loures</v>
      </c>
      <c r="B22458" s="11" t="s">
        <v>21680</v>
      </c>
      <c r="C22458" s="11" t="s">
        <v>21606</v>
      </c>
      <c r="D22458" s="11" t="s">
        <v>21616</v>
      </c>
      <c r="E22458" s="10">
        <v>2266977</v>
      </c>
      <c r="F22458" s="4" t="str">
        <f>IF(B22458=B22457,"",B22458)</f>
        <v/>
      </c>
    </row>
    <row r="22459" spans="1:6" ht="15.75" customHeight="1">
      <c r="A22459" s="15" t="s">
        <v>7510</v>
      </c>
      <c r="B22459" s="15" t="s">
        <v>7510</v>
      </c>
      <c r="C22459" s="15" t="s">
        <v>7052</v>
      </c>
      <c r="D22459" s="15" t="s">
        <v>7082</v>
      </c>
      <c r="E22459" s="2">
        <v>2997395</v>
      </c>
      <c r="F22459" s="4" t="str">
        <f>IF(B22459=B22458,"",B22459)</f>
        <v>Lourdes</v>
      </c>
    </row>
    <row r="22460" spans="1:6" ht="15.75" customHeight="1">
      <c r="A22460" s="8" t="str">
        <f ca="1">IFERROR(__xludf.DUMMYFUNCTION("GOOGLETRANSLATE(B29954,""en"",""pt"")"),"Lourdes")</f>
        <v>Lourdes</v>
      </c>
      <c r="B22460" s="9" t="s">
        <v>7510</v>
      </c>
      <c r="C22460" s="9" t="s">
        <v>7052</v>
      </c>
      <c r="D22460" s="9" t="s">
        <v>32547</v>
      </c>
      <c r="E22460" s="10">
        <v>2997395</v>
      </c>
      <c r="F22460" s="4" t="str">
        <f>IF(B22460=B22459,"",B22460)</f>
        <v/>
      </c>
    </row>
    <row r="22461" spans="1:6" ht="15.75" customHeight="1">
      <c r="A22461" s="15" t="s">
        <v>6057</v>
      </c>
      <c r="B22461" s="15" t="s">
        <v>6057</v>
      </c>
      <c r="C22461" s="15" t="s">
        <v>5947</v>
      </c>
      <c r="D22461" s="15" t="s">
        <v>5956</v>
      </c>
      <c r="E22461" s="2">
        <v>3071507</v>
      </c>
      <c r="F22461" s="4" t="str">
        <f>IF(B22461=B22460,"",B22461)</f>
        <v>Louny</v>
      </c>
    </row>
    <row r="22462" spans="1:6" ht="15.75" customHeight="1">
      <c r="A22462" s="8" t="str">
        <f ca="1">IFERROR(__xludf.DUMMYFUNCTION("GOOGLETRANSLATE(B27292,""en"",""pt"")"),"Louny")</f>
        <v>Louny</v>
      </c>
      <c r="B22462" s="9" t="s">
        <v>6057</v>
      </c>
      <c r="C22462" s="9" t="s">
        <v>5947</v>
      </c>
      <c r="D22462" s="9" t="s">
        <v>31942</v>
      </c>
      <c r="E22462" s="10">
        <v>3071507</v>
      </c>
      <c r="F22462" s="4" t="str">
        <f>IF(B22462=B22461,"",B22462)</f>
        <v/>
      </c>
    </row>
    <row r="22463" spans="1:6" ht="15.75" customHeight="1">
      <c r="A22463" s="15" t="s">
        <v>3940</v>
      </c>
      <c r="B22463" s="15" t="s">
        <v>3940</v>
      </c>
      <c r="C22463" s="15" t="s">
        <v>3884</v>
      </c>
      <c r="D22463" s="15" t="s">
        <v>1761</v>
      </c>
      <c r="E22463" s="2">
        <v>2229152</v>
      </c>
      <c r="F22463" s="4" t="str">
        <f>IF(B22463=B22462,"",B22463)</f>
        <v>Loum</v>
      </c>
    </row>
    <row r="22464" spans="1:6" ht="15.75" customHeight="1">
      <c r="A22464" s="8" t="str">
        <f ca="1">IFERROR(__xludf.DUMMYFUNCTION("GOOGLETRANSLATE(B26007,""en"",""pt"")"),"Loum")</f>
        <v>Loum</v>
      </c>
      <c r="B22464" s="9" t="s">
        <v>3940</v>
      </c>
      <c r="C22464" s="9" t="s">
        <v>3884</v>
      </c>
      <c r="D22464" s="9" t="s">
        <v>1761</v>
      </c>
      <c r="E22464" s="10">
        <v>2229152</v>
      </c>
      <c r="F22464" s="4" t="str">
        <f>IF(B22464=B22463,"",B22464)</f>
        <v/>
      </c>
    </row>
    <row r="22465" spans="1:6" ht="15.75" customHeight="1">
      <c r="A22465" s="8" t="str">
        <f ca="1">IFERROR(__xludf.DUMMYFUNCTION("GOOGLETRANSLATE(B39599,""en"",""pt"")"),"Loulé")</f>
        <v>Loulé</v>
      </c>
      <c r="B22465" s="11" t="s">
        <v>35296</v>
      </c>
      <c r="C22465" s="11" t="s">
        <v>21606</v>
      </c>
      <c r="D22465" s="11" t="s">
        <v>21614</v>
      </c>
      <c r="E22465" s="10">
        <v>2266988</v>
      </c>
      <c r="F22465" s="4" t="str">
        <f>IF(B22465=B22464,"",B22465)</f>
        <v>Loulé</v>
      </c>
    </row>
    <row r="22466" spans="1:6" ht="15.75" customHeight="1">
      <c r="A22466" s="15" t="s">
        <v>21678</v>
      </c>
      <c r="B22466" s="15" t="s">
        <v>21679</v>
      </c>
      <c r="C22466" s="15" t="s">
        <v>21606</v>
      </c>
      <c r="D22466" s="15" t="s">
        <v>21614</v>
      </c>
      <c r="E22466" s="2">
        <v>2266988</v>
      </c>
      <c r="F22466" s="4" t="str">
        <f>IF(B22466=B22465,"",B22466)</f>
        <v>LoulÃ©</v>
      </c>
    </row>
    <row r="22467" spans="1:6" ht="15.75" customHeight="1">
      <c r="A22467" s="15" t="s">
        <v>29164</v>
      </c>
      <c r="B22467" s="15" t="s">
        <v>29164</v>
      </c>
      <c r="C22467" s="15" t="s">
        <v>27788</v>
      </c>
      <c r="D22467" s="15" t="s">
        <v>27909</v>
      </c>
      <c r="E22467" s="2">
        <v>4299276</v>
      </c>
      <c r="F22467" s="4" t="str">
        <f>IF(B22467=B22466,"",B22467)</f>
        <v>Louisville</v>
      </c>
    </row>
    <row r="22468" spans="1:6" ht="15.75" customHeight="1">
      <c r="A22468" s="15" t="s">
        <v>29164</v>
      </c>
      <c r="B22468" s="15" t="s">
        <v>29164</v>
      </c>
      <c r="C22468" s="15" t="s">
        <v>27788</v>
      </c>
      <c r="D22468" s="15" t="s">
        <v>2341</v>
      </c>
      <c r="E22468" s="2">
        <v>5429522</v>
      </c>
      <c r="F22468" s="4" t="str">
        <f>IF(B22468=B22467,"",B22468)</f>
        <v/>
      </c>
    </row>
    <row r="22469" spans="1:6" ht="15.75" customHeight="1">
      <c r="A22469" s="8" t="str">
        <f ca="1">IFERROR(__xludf.DUMMYFUNCTION("GOOGLETRANSLATE(B43207,""en"",""pt"")"),"Louisville")</f>
        <v>Louisville</v>
      </c>
      <c r="B22469" s="11" t="s">
        <v>29164</v>
      </c>
      <c r="C22469" s="11" t="s">
        <v>27788</v>
      </c>
      <c r="D22469" s="11" t="s">
        <v>27909</v>
      </c>
      <c r="E22469" s="10">
        <v>4299276</v>
      </c>
      <c r="F22469" s="4" t="str">
        <f>IF(B22469=B22468,"",B22469)</f>
        <v/>
      </c>
    </row>
    <row r="22470" spans="1:6" ht="15.75" customHeight="1">
      <c r="A22470" s="8" t="str">
        <f ca="1">IFERROR(__xludf.DUMMYFUNCTION("GOOGLETRANSLATE(B45112,""en"",""pt"")"),"Louisville")</f>
        <v>Louisville</v>
      </c>
      <c r="B22470" s="9" t="s">
        <v>29164</v>
      </c>
      <c r="C22470" s="9" t="s">
        <v>27788</v>
      </c>
      <c r="D22470" s="9" t="s">
        <v>2341</v>
      </c>
      <c r="E22470" s="10">
        <v>5429522</v>
      </c>
      <c r="F22470" s="4" t="str">
        <f>IF(B22470=B22469,"",B22470)</f>
        <v/>
      </c>
    </row>
    <row r="22471" spans="1:6" ht="15.75" customHeight="1">
      <c r="A22471" s="16" t="s">
        <v>23930</v>
      </c>
      <c r="B22471" s="15" t="s">
        <v>23930</v>
      </c>
      <c r="C22471" s="16" t="s">
        <v>23842</v>
      </c>
      <c r="D22471" s="16" t="s">
        <v>23885</v>
      </c>
      <c r="E22471" s="2">
        <v>981827</v>
      </c>
      <c r="F22471" s="4" t="str">
        <f>IF(B22471=B22470,"",B22471)</f>
        <v>Louis Trichardt</v>
      </c>
    </row>
    <row r="22472" spans="1:6" ht="15.75" customHeight="1">
      <c r="A22472" s="8" t="str">
        <f ca="1">IFERROR(__xludf.DUMMYFUNCTION("GOOGLETRANSLATE(B45921,""en"",""pt"")"),"Louis Trichardt")</f>
        <v>Louis Trichardt</v>
      </c>
      <c r="B22472" s="9" t="s">
        <v>23930</v>
      </c>
      <c r="C22472" s="9" t="s">
        <v>23842</v>
      </c>
      <c r="D22472" s="9" t="s">
        <v>23885</v>
      </c>
      <c r="E22472" s="10">
        <v>981827</v>
      </c>
      <c r="F22472" s="4" t="str">
        <f>IF(B22472=B22471,"",B22472)</f>
        <v/>
      </c>
    </row>
    <row r="22473" spans="1:6" ht="15.75" customHeight="1">
      <c r="A22473" s="16" t="s">
        <v>27507</v>
      </c>
      <c r="B22473" s="15" t="s">
        <v>27507</v>
      </c>
      <c r="C22473" s="16" t="s">
        <v>27234</v>
      </c>
      <c r="D22473" s="16" t="s">
        <v>27241</v>
      </c>
      <c r="E22473" s="2">
        <v>2643567</v>
      </c>
      <c r="F22473" s="4" t="str">
        <f>IF(B22473=B22472,"",B22473)</f>
        <v>Loughborough</v>
      </c>
    </row>
    <row r="22474" spans="1:6" ht="15.75" customHeight="1">
      <c r="A22474" s="8" t="str">
        <f ca="1">IFERROR(__xludf.DUMMYFUNCTION("GOOGLETRANSLATE(B30563,""en"",""pt"")"),"Loughborough")</f>
        <v>Loughborough</v>
      </c>
      <c r="B22474" s="9" t="s">
        <v>27507</v>
      </c>
      <c r="C22474" s="9" t="s">
        <v>27234</v>
      </c>
      <c r="D22474" s="9" t="s">
        <v>27241</v>
      </c>
      <c r="E22474" s="10">
        <v>2643567</v>
      </c>
      <c r="F22474" s="4" t="str">
        <f>IF(B22474=B22473,"",B22474)</f>
        <v/>
      </c>
    </row>
    <row r="22475" spans="1:6" ht="15.75" customHeight="1">
      <c r="A22475" s="15" t="s">
        <v>23563</v>
      </c>
      <c r="B22475" s="15" t="s">
        <v>23563</v>
      </c>
      <c r="C22475" s="15" t="s">
        <v>23559</v>
      </c>
      <c r="D22475" s="15" t="s">
        <v>23563</v>
      </c>
      <c r="E22475" s="2">
        <v>2249222</v>
      </c>
      <c r="F22475" s="4" t="str">
        <f>IF(B22475=B22474,"",B22475)</f>
        <v>Louga</v>
      </c>
    </row>
    <row r="22476" spans="1:6" ht="15.75" customHeight="1">
      <c r="A22476" s="8" t="str">
        <f ca="1">IFERROR(__xludf.DUMMYFUNCTION("GOOGLETRANSLATE(B41302,""en"",""pt"")"),"Louga")</f>
        <v>Louga</v>
      </c>
      <c r="B22476" s="9" t="s">
        <v>23563</v>
      </c>
      <c r="C22476" s="9" t="s">
        <v>23559</v>
      </c>
      <c r="D22476" s="9" t="s">
        <v>23563</v>
      </c>
      <c r="E22476" s="10">
        <v>2249222</v>
      </c>
      <c r="F22476" s="4" t="str">
        <f>IF(B22476=B22475,"",B22476)</f>
        <v/>
      </c>
    </row>
    <row r="22477" spans="1:6" ht="15.75" customHeight="1">
      <c r="A22477" s="15" t="s">
        <v>4921</v>
      </c>
      <c r="B22477" s="15" t="s">
        <v>4921</v>
      </c>
      <c r="C22477" s="15" t="s">
        <v>4487</v>
      </c>
      <c r="D22477" s="15" t="s">
        <v>4495</v>
      </c>
      <c r="E22477" s="2">
        <v>1802238</v>
      </c>
      <c r="F22477" s="4" t="str">
        <f>IF(B22477=B22476,"",B22477)</f>
        <v>Loudi</v>
      </c>
    </row>
    <row r="22478" spans="1:6" ht="15.75" customHeight="1">
      <c r="A22478" s="8" t="str">
        <f ca="1">IFERROR(__xludf.DUMMYFUNCTION("GOOGLETRANSLATE(B26376,""en"",""pt"")"),"Loudi")</f>
        <v>Loudi</v>
      </c>
      <c r="B22478" s="9" t="s">
        <v>4921</v>
      </c>
      <c r="C22478" s="9" t="s">
        <v>4487</v>
      </c>
      <c r="D22478" s="9" t="s">
        <v>4495</v>
      </c>
      <c r="E22478" s="10">
        <v>1802238</v>
      </c>
      <c r="F22478" s="4" t="str">
        <f>IF(B22478=B22477,"",B22478)</f>
        <v/>
      </c>
    </row>
    <row r="22479" spans="1:6" ht="15.75" customHeight="1">
      <c r="A22479" s="15" t="s">
        <v>4427</v>
      </c>
      <c r="B22479" s="15" t="s">
        <v>4428</v>
      </c>
      <c r="C22479" s="15" t="s">
        <v>4355</v>
      </c>
      <c r="D22479" s="15" t="s">
        <v>4361</v>
      </c>
      <c r="E22479" s="2">
        <v>3881276</v>
      </c>
      <c r="F22479" s="4" t="str">
        <f>IF(B22479=B22478,"",B22479)</f>
        <v>Lota</v>
      </c>
    </row>
    <row r="22480" spans="1:6" ht="15.75" customHeight="1">
      <c r="A22480" s="8" t="str">
        <f ca="1">IFERROR(__xludf.DUMMYFUNCTION("GOOGLETRANSLATE(B25931,""en"",""pt"")"),"LOTA")</f>
        <v>LOTA</v>
      </c>
      <c r="B22480" s="9" t="s">
        <v>4428</v>
      </c>
      <c r="C22480" s="9" t="s">
        <v>4355</v>
      </c>
      <c r="D22480" s="9" t="s">
        <v>31796</v>
      </c>
      <c r="E22480" s="10">
        <v>3881276</v>
      </c>
      <c r="F22480" s="4" t="str">
        <f>IF(B22480=B22479,"",B22480)</f>
        <v/>
      </c>
    </row>
    <row r="22481" spans="1:6" ht="15.75" customHeight="1">
      <c r="A22481" s="15" t="s">
        <v>19032</v>
      </c>
      <c r="B22481" s="15" t="s">
        <v>19033</v>
      </c>
      <c r="C22481" s="15" t="s">
        <v>18862</v>
      </c>
      <c r="D22481" s="15" t="s">
        <v>18871</v>
      </c>
      <c r="E22481" s="2">
        <v>2751424</v>
      </c>
      <c r="F22481" s="4" t="str">
        <f>IF(B22481=B22480,"",B22481)</f>
        <v>Losser</v>
      </c>
    </row>
    <row r="22482" spans="1:6" ht="15.75" customHeight="1">
      <c r="A22482" s="8" t="str">
        <f ca="1">IFERROR(__xludf.DUMMYFUNCTION("GOOGLETRANSLATE(B38003,""en"",""pt"")"),"Perdador")</f>
        <v>Perdador</v>
      </c>
      <c r="B22482" s="9" t="s">
        <v>19033</v>
      </c>
      <c r="C22482" s="9" t="s">
        <v>18862</v>
      </c>
      <c r="D22482" s="9" t="s">
        <v>18871</v>
      </c>
      <c r="E22482" s="10">
        <v>2751424</v>
      </c>
      <c r="F22482" s="4" t="str">
        <f>IF(B22482=B22481,"",B22482)</f>
        <v/>
      </c>
    </row>
    <row r="22483" spans="1:6" ht="15.75" customHeight="1">
      <c r="A22483" s="15" t="s">
        <v>6386</v>
      </c>
      <c r="B22483" s="15" t="s">
        <v>6386</v>
      </c>
      <c r="C22483" s="15" t="s">
        <v>6380</v>
      </c>
      <c r="D22483" s="15" t="s">
        <v>6387</v>
      </c>
      <c r="E22483" s="2">
        <v>1937274</v>
      </c>
      <c r="F22483" s="4" t="str">
        <f>IF(B22483=B22482,"",B22483)</f>
        <v>Lospalos</v>
      </c>
    </row>
    <row r="22484" spans="1:6" ht="15.75" customHeight="1">
      <c r="A22484" s="8" t="str">
        <f ca="1">IFERROR(__xludf.DUMMYFUNCTION("GOOGLETRANSLATE(B41764,""en"",""pt"")"),"Lospalos")</f>
        <v>Lospalos</v>
      </c>
      <c r="B22484" s="9" t="s">
        <v>6386</v>
      </c>
      <c r="C22484" s="9" t="s">
        <v>6380</v>
      </c>
      <c r="D22484" s="9" t="s">
        <v>35786</v>
      </c>
      <c r="E22484" s="10">
        <v>1937274</v>
      </c>
      <c r="F22484" s="4" t="str">
        <f>IF(B22484=B22483,"",B22484)</f>
        <v/>
      </c>
    </row>
    <row r="22485" spans="1:6" ht="15.75" customHeight="1">
      <c r="A22485" s="16" t="s">
        <v>22693</v>
      </c>
      <c r="B22485" s="15" t="s">
        <v>22693</v>
      </c>
      <c r="C22485" s="16" t="s">
        <v>22070</v>
      </c>
      <c r="D22485" s="16" t="s">
        <v>22119</v>
      </c>
      <c r="E22485" s="2">
        <v>534015</v>
      </c>
      <c r="F22485" s="4" t="str">
        <f>IF(B22485=B22484,"",B22485)</f>
        <v>Losino-Petrovskiy</v>
      </c>
    </row>
    <row r="22486" spans="1:6" ht="15.75" customHeight="1">
      <c r="A22486" s="8" t="str">
        <f ca="1">IFERROR(__xludf.DUMMYFUNCTION("GOOGLETRANSLATE(B40351,""en"",""pt"")"),"Losino-Petrovskiy")</f>
        <v>Losino-Petrovskiy</v>
      </c>
      <c r="B22486" s="11" t="s">
        <v>22693</v>
      </c>
      <c r="C22486" s="11" t="s">
        <v>22070</v>
      </c>
      <c r="D22486" s="11" t="s">
        <v>22119</v>
      </c>
      <c r="E22486" s="10">
        <v>534015</v>
      </c>
      <c r="F22486" s="4" t="str">
        <f>IF(B22486=B22485,"",B22486)</f>
        <v/>
      </c>
    </row>
    <row r="22487" spans="1:6" ht="15.75" customHeight="1">
      <c r="A22487" s="15" t="s">
        <v>8781</v>
      </c>
      <c r="B22487" s="15" t="s">
        <v>8781</v>
      </c>
      <c r="C22487" s="15" t="s">
        <v>8028</v>
      </c>
      <c r="D22487" s="15" t="s">
        <v>8177</v>
      </c>
      <c r="E22487" s="2">
        <v>2875831</v>
      </c>
      <c r="F22487" s="4" t="str">
        <f>IF(B22487=B22486,"",B22487)</f>
        <v>Losheim</v>
      </c>
    </row>
    <row r="22488" spans="1:6" ht="15.75" customHeight="1">
      <c r="A22488" s="8" t="str">
        <f ca="1">IFERROR(__xludf.DUMMYFUNCTION("GOOGLETRANSLATE(B27805,""en"",""pt"")"),"Losheim")</f>
        <v>Losheim</v>
      </c>
      <c r="B22488" s="9" t="s">
        <v>8781</v>
      </c>
      <c r="C22488" s="9" t="s">
        <v>8028</v>
      </c>
      <c r="D22488" s="9" t="s">
        <v>8177</v>
      </c>
      <c r="E22488" s="10">
        <v>2875831</v>
      </c>
      <c r="F22488" s="4" t="str">
        <f>IF(B22488=B22487,"",B22488)</f>
        <v/>
      </c>
    </row>
    <row r="22489" spans="1:6" ht="15.75" customHeight="1">
      <c r="A22489" s="15" t="s">
        <v>12168</v>
      </c>
      <c r="B22489" s="15" t="s">
        <v>12169</v>
      </c>
      <c r="C22489" s="15" t="s">
        <v>10178</v>
      </c>
      <c r="D22489" s="15" t="s">
        <v>10179</v>
      </c>
      <c r="E22489" s="2">
        <v>1264756</v>
      </c>
      <c r="F22489" s="4" t="str">
        <f>IF(B22489=B22488,"",B22489)</f>
        <v>Losal</v>
      </c>
    </row>
    <row r="22490" spans="1:6" ht="15.75" customHeight="1">
      <c r="A22490" s="8" t="str">
        <f ca="1">IFERROR(__xludf.DUMMYFUNCTION("GOOGLETRANSLATE(B32913,""en"",""pt"")"),"LOSAL")</f>
        <v>LOSAL</v>
      </c>
      <c r="B22490" s="9" t="s">
        <v>12169</v>
      </c>
      <c r="C22490" s="9" t="s">
        <v>10178</v>
      </c>
      <c r="D22490" s="9" t="s">
        <v>10179</v>
      </c>
      <c r="E22490" s="10">
        <v>1264756</v>
      </c>
      <c r="F22490" s="4" t="str">
        <f>IF(B22490=B22489,"",B22490)</f>
        <v/>
      </c>
    </row>
    <row r="22491" spans="1:6" ht="15.75" customHeight="1">
      <c r="A22491" s="16" t="s">
        <v>30720</v>
      </c>
      <c r="B22491" s="15" t="s">
        <v>30721</v>
      </c>
      <c r="C22491" s="16" t="s">
        <v>5923</v>
      </c>
      <c r="D22491" s="16" t="s">
        <v>30647</v>
      </c>
      <c r="E22491" s="2">
        <v>3633622</v>
      </c>
      <c r="F22491" s="4" t="str">
        <f>IF(B22491=B22490,"",B22491)</f>
        <v>Los Teques</v>
      </c>
    </row>
    <row r="22492" spans="1:6" ht="15.75" customHeight="1">
      <c r="A22492" s="8" t="str">
        <f ca="1">IFERROR(__xludf.DUMMYFUNCTION("GOOGLETRANSLATE(B45650,""en"",""pt"")"),"Teques de Los")</f>
        <v>Teques de Los</v>
      </c>
      <c r="B22492" s="9" t="s">
        <v>30721</v>
      </c>
      <c r="C22492" s="9" t="s">
        <v>5923</v>
      </c>
      <c r="D22492" s="9" t="s">
        <v>30647</v>
      </c>
      <c r="E22492" s="10">
        <v>3633622</v>
      </c>
      <c r="F22492" s="4" t="str">
        <f>IF(B22492=B22491,"",B22492)</f>
        <v/>
      </c>
    </row>
    <row r="22493" spans="1:6" ht="15.75" customHeight="1">
      <c r="A22493" s="16" t="s">
        <v>18057</v>
      </c>
      <c r="B22493" s="15" t="s">
        <v>18057</v>
      </c>
      <c r="C22493" s="16" t="s">
        <v>17707</v>
      </c>
      <c r="D22493" s="16" t="s">
        <v>17736</v>
      </c>
      <c r="E22493" s="2">
        <v>3523908</v>
      </c>
      <c r="F22493" s="4" t="str">
        <f>IF(B22493=B22492,"",B22493)</f>
        <v>Los Reyes La Paz</v>
      </c>
    </row>
    <row r="22494" spans="1:6" ht="15.75" customHeight="1">
      <c r="A22494" s="8" t="str">
        <f ca="1">IFERROR(__xludf.DUMMYFUNCTION("GOOGLETRANSLATE(B36992,""en"",""pt"")"),"Los Reyes La Paz")</f>
        <v>Los Reyes La Paz</v>
      </c>
      <c r="B22494" s="9" t="s">
        <v>18057</v>
      </c>
      <c r="C22494" s="9" t="s">
        <v>17707</v>
      </c>
      <c r="D22494" s="9" t="s">
        <v>20902</v>
      </c>
      <c r="E22494" s="10">
        <v>3523908</v>
      </c>
      <c r="F22494" s="4" t="str">
        <f>IF(B22494=B22493,"",B22494)</f>
        <v/>
      </c>
    </row>
    <row r="22495" spans="1:6" ht="15.75" customHeight="1">
      <c r="A22495" s="16" t="s">
        <v>24582</v>
      </c>
      <c r="B22495" s="15" t="s">
        <v>24582</v>
      </c>
      <c r="C22495" s="16" t="s">
        <v>24200</v>
      </c>
      <c r="D22495" s="16" t="s">
        <v>24212</v>
      </c>
      <c r="E22495" s="2">
        <v>6692471</v>
      </c>
      <c r="F22495" s="4" t="str">
        <f>IF(B22495=B22494,"",B22495)</f>
        <v>Los Realejos</v>
      </c>
    </row>
    <row r="22496" spans="1:6" ht="15.75" customHeight="1">
      <c r="A22496" s="8" t="str">
        <f ca="1">IFERROR(__xludf.DUMMYFUNCTION("GOOGLETRANSLATE(B29506,""en"",""pt"")"),"Los Realejos")</f>
        <v>Los Realejos</v>
      </c>
      <c r="B22496" s="9" t="s">
        <v>24582</v>
      </c>
      <c r="C22496" s="9" t="s">
        <v>24200</v>
      </c>
      <c r="D22496" s="9" t="s">
        <v>24212</v>
      </c>
      <c r="E22496" s="10">
        <v>6692471</v>
      </c>
      <c r="F22496" s="4" t="str">
        <f>IF(B22496=B22495,"",B22496)</f>
        <v/>
      </c>
    </row>
    <row r="22497" spans="1:6" ht="15.75" customHeight="1">
      <c r="A22497" s="16" t="s">
        <v>30719</v>
      </c>
      <c r="B22497" s="15" t="s">
        <v>30719</v>
      </c>
      <c r="C22497" s="16" t="s">
        <v>5923</v>
      </c>
      <c r="D22497" s="16" t="s">
        <v>1011</v>
      </c>
      <c r="E22497" s="2">
        <v>3633677</v>
      </c>
      <c r="F22497" s="4" t="str">
        <f>IF(B22497=B22496,"",B22497)</f>
        <v>Los Rastrojos</v>
      </c>
    </row>
    <row r="22498" spans="1:6" ht="15.75" customHeight="1">
      <c r="A22498" s="8" t="str">
        <f ca="1">IFERROR(__xludf.DUMMYFUNCTION("GOOGLETRANSLATE(B45651,""en"",""pt"")"),"Los Rastrojos")</f>
        <v>Los Rastrojos</v>
      </c>
      <c r="B22498" s="9" t="s">
        <v>30719</v>
      </c>
      <c r="C22498" s="9" t="s">
        <v>5923</v>
      </c>
      <c r="D22498" s="9" t="s">
        <v>1011</v>
      </c>
      <c r="E22498" s="10">
        <v>3633677</v>
      </c>
      <c r="F22498" s="4" t="str">
        <f>IF(B22498=B22497,"",B22498)</f>
        <v/>
      </c>
    </row>
    <row r="22499" spans="1:6" ht="15.75" customHeight="1">
      <c r="A22499" s="16" t="s">
        <v>5508</v>
      </c>
      <c r="B22499" s="15" t="s">
        <v>5509</v>
      </c>
      <c r="C22499" s="16" t="s">
        <v>5348</v>
      </c>
      <c r="D22499" s="16" t="s">
        <v>5410</v>
      </c>
      <c r="E22499" s="2">
        <v>3675975</v>
      </c>
      <c r="F22499" s="4" t="str">
        <f>IF(B22499=B22498,"",B22499)</f>
        <v>Los Patios</v>
      </c>
    </row>
    <row r="22500" spans="1:6" ht="15.75" customHeight="1">
      <c r="A22500" s="8" t="str">
        <f ca="1">IFERROR(__xludf.DUMMYFUNCTION("GOOGLETRANSLATE(B26951,""en"",""pt"")"),"Los pátios")</f>
        <v>Los pátios</v>
      </c>
      <c r="B22500" s="9" t="s">
        <v>5509</v>
      </c>
      <c r="C22500" s="9" t="s">
        <v>5348</v>
      </c>
      <c r="D22500" s="9" t="s">
        <v>5410</v>
      </c>
      <c r="E22500" s="10">
        <v>3675975</v>
      </c>
      <c r="F22500" s="4" t="str">
        <f>IF(B22500=B22499,"",B22500)</f>
        <v/>
      </c>
    </row>
    <row r="22501" spans="1:6" ht="15.75" customHeight="1">
      <c r="A22501" s="16" t="s">
        <v>24581</v>
      </c>
      <c r="B22501" s="15" t="s">
        <v>24581</v>
      </c>
      <c r="C22501" s="16" t="s">
        <v>24200</v>
      </c>
      <c r="D22501" s="16" t="s">
        <v>24205</v>
      </c>
      <c r="E22501" s="2">
        <v>2514553</v>
      </c>
      <c r="F22501" s="4" t="str">
        <f>IF(B22501=B22500,"",B22501)</f>
        <v>Los Palacios y Villafranca</v>
      </c>
    </row>
    <row r="22502" spans="1:6" ht="15.75" customHeight="1">
      <c r="A22502" s="8" t="str">
        <f ca="1">IFERROR(__xludf.DUMMYFUNCTION("GOOGLETRANSLATE(B29073,""en"",""pt"")"),"Los Palacios y Villafranca")</f>
        <v>Los Palacios y Villafranca</v>
      </c>
      <c r="B22502" s="9" t="s">
        <v>24581</v>
      </c>
      <c r="C22502" s="9" t="s">
        <v>24200</v>
      </c>
      <c r="D22502" s="9" t="s">
        <v>24205</v>
      </c>
      <c r="E22502" s="10">
        <v>2514553</v>
      </c>
      <c r="F22502" s="4" t="str">
        <f>IF(B22502=B22501,"",B22502)</f>
        <v/>
      </c>
    </row>
    <row r="22503" spans="1:6" ht="15.75" customHeight="1">
      <c r="A22503" s="16" t="s">
        <v>5867</v>
      </c>
      <c r="B22503" s="15" t="s">
        <v>5867</v>
      </c>
      <c r="C22503" s="16" t="s">
        <v>5764</v>
      </c>
      <c r="D22503" s="16" t="s">
        <v>5824</v>
      </c>
      <c r="E22503" s="2">
        <v>3548993</v>
      </c>
      <c r="F22503" s="4" t="str">
        <f>IF(B22503=B22502,"",B22503)</f>
        <v>Los Palacios</v>
      </c>
    </row>
    <row r="22504" spans="1:6" ht="15.75" customHeight="1">
      <c r="A22504" s="8" t="str">
        <f ca="1">IFERROR(__xludf.DUMMYFUNCTION("GOOGLETRANSLATE(B27154,""en"",""pt"")"),"Los Palacios")</f>
        <v>Los Palacios</v>
      </c>
      <c r="B22504" s="9" t="s">
        <v>5867</v>
      </c>
      <c r="C22504" s="9" t="s">
        <v>5764</v>
      </c>
      <c r="D22504" s="9" t="s">
        <v>31903</v>
      </c>
      <c r="E22504" s="10">
        <v>3548993</v>
      </c>
      <c r="F22504" s="4" t="str">
        <f>IF(B22504=B22503,"",B22504)</f>
        <v/>
      </c>
    </row>
    <row r="22505" spans="1:6" ht="15.75" customHeight="1">
      <c r="A22505" s="16" t="s">
        <v>18056</v>
      </c>
      <c r="B22505" s="15" t="s">
        <v>18056</v>
      </c>
      <c r="C22505" s="16" t="s">
        <v>17707</v>
      </c>
      <c r="D22505" s="16" t="s">
        <v>17916</v>
      </c>
      <c r="E22505" s="2">
        <v>3997479</v>
      </c>
      <c r="F22505" s="4" t="str">
        <f>IF(B22505=B22504,"",B22505)</f>
        <v>Los Mochis</v>
      </c>
    </row>
    <row r="22506" spans="1:6" ht="15.75" customHeight="1">
      <c r="A22506" s="8" t="str">
        <f ca="1">IFERROR(__xludf.DUMMYFUNCTION("GOOGLETRANSLATE(B37256,""en"",""pt"")"),"Los Mochis")</f>
        <v>Los Mochis</v>
      </c>
      <c r="B22506" s="9" t="s">
        <v>18056</v>
      </c>
      <c r="C22506" s="9" t="s">
        <v>17707</v>
      </c>
      <c r="D22506" s="9" t="s">
        <v>17916</v>
      </c>
      <c r="E22506" s="10">
        <v>3997479</v>
      </c>
      <c r="F22506" s="4" t="str">
        <f>IF(B22506=B22505,"",B22506)</f>
        <v/>
      </c>
    </row>
    <row r="22507" spans="1:6" ht="15.75" customHeight="1">
      <c r="A22507" s="16" t="s">
        <v>24580</v>
      </c>
      <c r="B22507" s="15" t="s">
        <v>24580</v>
      </c>
      <c r="C22507" s="16" t="s">
        <v>24200</v>
      </c>
      <c r="D22507" s="16" t="s">
        <v>24212</v>
      </c>
      <c r="E22507" s="2">
        <v>2514651</v>
      </c>
      <c r="F22507" s="4" t="str">
        <f>IF(B22507=B22506,"",B22507)</f>
        <v>Los Llanos de Aridane</v>
      </c>
    </row>
    <row r="22508" spans="1:6" ht="15.75" customHeight="1">
      <c r="A22508" s="8" t="str">
        <f ca="1">IFERROR(__xludf.DUMMYFUNCTION("GOOGLETRANSLATE(B29074,""en"",""pt"")"),"Los Llanos de Aridane")</f>
        <v>Los Llanos de Aridane</v>
      </c>
      <c r="B22508" s="11" t="s">
        <v>24580</v>
      </c>
      <c r="C22508" s="11" t="s">
        <v>24200</v>
      </c>
      <c r="D22508" s="11" t="s">
        <v>24212</v>
      </c>
      <c r="E22508" s="10">
        <v>2514651</v>
      </c>
      <c r="F22508" s="4" t="str">
        <f>IF(B22508=B22507,"",B22508)</f>
        <v/>
      </c>
    </row>
    <row r="22509" spans="1:6" ht="15.75" customHeight="1">
      <c r="A22509" s="15" t="s">
        <v>29163</v>
      </c>
      <c r="B22509" s="15" t="s">
        <v>29163</v>
      </c>
      <c r="C22509" s="15" t="s">
        <v>27788</v>
      </c>
      <c r="D22509" s="15" t="s">
        <v>27801</v>
      </c>
      <c r="E22509" s="2">
        <v>5368518</v>
      </c>
      <c r="F22509" s="4" t="str">
        <f>IF(B22509=B22508,"",B22509)</f>
        <v>Los Gatos</v>
      </c>
    </row>
    <row r="22510" spans="1:6" ht="15.75" customHeight="1">
      <c r="A22510" s="8" t="str">
        <f ca="1">IFERROR(__xludf.DUMMYFUNCTION("GOOGLETRANSLATE(B44894,""en"",""pt"")"),"Los Gatos")</f>
        <v>Los Gatos</v>
      </c>
      <c r="B22510" s="9" t="s">
        <v>29163</v>
      </c>
      <c r="C22510" s="9" t="s">
        <v>27788</v>
      </c>
      <c r="D22510" s="9" t="s">
        <v>27801</v>
      </c>
      <c r="E22510" s="10">
        <v>5368518</v>
      </c>
      <c r="F22510" s="4" t="str">
        <f>IF(B22510=B22509,"",B22510)</f>
        <v/>
      </c>
    </row>
    <row r="22511" spans="1:6" ht="15.75" customHeight="1">
      <c r="A22511" s="16" t="s">
        <v>30718</v>
      </c>
      <c r="B22511" s="15" t="s">
        <v>30718</v>
      </c>
      <c r="C22511" s="16" t="s">
        <v>5923</v>
      </c>
      <c r="D22511" s="16" t="s">
        <v>30647</v>
      </c>
      <c r="E22511" s="2">
        <v>3634184</v>
      </c>
      <c r="F22511" s="4" t="str">
        <f>IF(B22511=B22510,"",B22511)</f>
        <v>Los Dos Caminos</v>
      </c>
    </row>
    <row r="22512" spans="1:6" ht="15.75" customHeight="1">
      <c r="A22512" s="8" t="str">
        <f ca="1">IFERROR(__xludf.DUMMYFUNCTION("GOOGLETRANSLATE(B45652,""en"",""pt"")"),"Los Dos Caminos")</f>
        <v>Los Dos Caminos</v>
      </c>
      <c r="B22512" s="11" t="s">
        <v>30718</v>
      </c>
      <c r="C22512" s="11" t="s">
        <v>5923</v>
      </c>
      <c r="D22512" s="11" t="s">
        <v>30647</v>
      </c>
      <c r="E22512" s="10">
        <v>3634184</v>
      </c>
      <c r="F22512" s="4" t="str">
        <f>IF(B22512=B22511,"",B22512)</f>
        <v/>
      </c>
    </row>
    <row r="22513" spans="1:6" ht="15.75" customHeight="1">
      <c r="A22513" s="16" t="s">
        <v>24579</v>
      </c>
      <c r="B22513" s="15" t="s">
        <v>24579</v>
      </c>
      <c r="C22513" s="16" t="s">
        <v>24200</v>
      </c>
      <c r="D22513" s="16" t="s">
        <v>24205</v>
      </c>
      <c r="E22513" s="2">
        <v>2514824</v>
      </c>
      <c r="F22513" s="4" t="str">
        <f>IF(B22513=B22512,"",B22513)</f>
        <v>Los Barrios</v>
      </c>
    </row>
    <row r="22514" spans="1:6" ht="15.75" customHeight="1">
      <c r="A22514" s="8" t="str">
        <f ca="1">IFERROR(__xludf.DUMMYFUNCTION("GOOGLETRANSLATE(B29075,""en"",""pt"")"),"Los Barrios")</f>
        <v>Los Barrios</v>
      </c>
      <c r="B22514" s="9" t="s">
        <v>24579</v>
      </c>
      <c r="C22514" s="9" t="s">
        <v>24200</v>
      </c>
      <c r="D22514" s="9" t="s">
        <v>24205</v>
      </c>
      <c r="E22514" s="10">
        <v>2514824</v>
      </c>
      <c r="F22514" s="4" t="str">
        <f>IF(B22514=B22513,"",B22514)</f>
        <v/>
      </c>
    </row>
    <row r="22515" spans="1:6" ht="15.75" customHeight="1">
      <c r="A22515" s="8" t="str">
        <f ca="1">IFERROR(__xludf.DUMMYFUNCTION("GOOGLETRANSLATE(B38658,""en"",""pt"")"),"Los Baños")</f>
        <v>Los Baños</v>
      </c>
      <c r="B22515" s="11" t="s">
        <v>34884</v>
      </c>
      <c r="C22515" s="11" t="s">
        <v>20598</v>
      </c>
      <c r="D22515" s="11" t="s">
        <v>20608</v>
      </c>
      <c r="E22515" s="10">
        <v>1705536</v>
      </c>
      <c r="F22515" s="4" t="str">
        <f>IF(B22515=B22514,"",B22515)</f>
        <v>Los Baños</v>
      </c>
    </row>
    <row r="22516" spans="1:6" ht="15.75" customHeight="1">
      <c r="A22516" s="16" t="s">
        <v>29162</v>
      </c>
      <c r="B22516" s="15" t="s">
        <v>29162</v>
      </c>
      <c r="C22516" s="16" t="s">
        <v>27788</v>
      </c>
      <c r="D22516" s="16" t="s">
        <v>27801</v>
      </c>
      <c r="E22516" s="2">
        <v>5368453</v>
      </c>
      <c r="F22516" s="4" t="str">
        <f>IF(B22516=B22515,"",B22516)</f>
        <v>Los Banos</v>
      </c>
    </row>
    <row r="22517" spans="1:6" ht="15.75" customHeight="1">
      <c r="A22517" s="8" t="str">
        <f ca="1">IFERROR(__xludf.DUMMYFUNCTION("GOOGLETRANSLATE(B44893,""en"",""pt"")"),"Los Banos")</f>
        <v>Los Banos</v>
      </c>
      <c r="B22517" s="11" t="s">
        <v>29162</v>
      </c>
      <c r="C22517" s="11" t="s">
        <v>27788</v>
      </c>
      <c r="D22517" s="11" t="s">
        <v>27801</v>
      </c>
      <c r="E22517" s="10">
        <v>5368453</v>
      </c>
      <c r="F22517" s="4" t="str">
        <f>IF(B22517=B22516,"",B22517)</f>
        <v/>
      </c>
    </row>
    <row r="22518" spans="1:6" ht="15.75" customHeight="1">
      <c r="A22518" s="16" t="s">
        <v>20840</v>
      </c>
      <c r="B22518" s="15" t="s">
        <v>20841</v>
      </c>
      <c r="C22518" s="16" t="s">
        <v>20598</v>
      </c>
      <c r="D22518" s="16" t="s">
        <v>20608</v>
      </c>
      <c r="E22518" s="2">
        <v>1705536</v>
      </c>
      <c r="F22518" s="4" t="str">
        <f>IF(B22518=B22517,"",B22518)</f>
        <v>Los BaÃ±os</v>
      </c>
    </row>
    <row r="22519" spans="1:6" ht="15.75" customHeight="1">
      <c r="A22519" s="8" t="str">
        <f ca="1">IFERROR(__xludf.DUMMYFUNCTION("GOOGLETRANSLATE(B25932,""en"",""pt"")"),"Los Angeles")</f>
        <v>Los Angeles</v>
      </c>
      <c r="B22519" s="11" t="s">
        <v>31805</v>
      </c>
      <c r="C22519" s="11" t="s">
        <v>4355</v>
      </c>
      <c r="D22519" s="11" t="s">
        <v>31796</v>
      </c>
      <c r="E22519" s="10">
        <v>3882428</v>
      </c>
      <c r="F22519" s="4" t="str">
        <f>IF(B22519=B22518,"",B22519)</f>
        <v>Los Ángeles</v>
      </c>
    </row>
    <row r="22520" spans="1:6" ht="15.75" customHeight="1">
      <c r="A22520" s="16" t="s">
        <v>29161</v>
      </c>
      <c r="B22520" s="15" t="s">
        <v>29161</v>
      </c>
      <c r="C22520" s="16" t="s">
        <v>27788</v>
      </c>
      <c r="D22520" s="16" t="s">
        <v>27801</v>
      </c>
      <c r="E22520" s="2">
        <v>5368361</v>
      </c>
      <c r="F22520" s="4" t="str">
        <f>IF(B22520=B22519,"",B22520)</f>
        <v>Los Angeles</v>
      </c>
    </row>
    <row r="22521" spans="1:6" ht="15.75" customHeight="1">
      <c r="A22521" s="8" t="str">
        <f ca="1">IFERROR(__xludf.DUMMYFUNCTION("GOOGLETRANSLATE(B44892,""en"",""pt"")"),"Los Angeles")</f>
        <v>Los Angeles</v>
      </c>
      <c r="B22521" s="11" t="s">
        <v>29161</v>
      </c>
      <c r="C22521" s="11" t="s">
        <v>27788</v>
      </c>
      <c r="D22521" s="11" t="s">
        <v>27801</v>
      </c>
      <c r="E22521" s="10">
        <v>5368361</v>
      </c>
      <c r="F22521" s="4" t="str">
        <f>IF(B22521=B22520,"",B22521)</f>
        <v/>
      </c>
    </row>
    <row r="22522" spans="1:6" ht="15.75" customHeight="1">
      <c r="A22522" s="16" t="s">
        <v>4426</v>
      </c>
      <c r="B22522" s="15" t="s">
        <v>4426</v>
      </c>
      <c r="C22522" s="16" t="s">
        <v>4355</v>
      </c>
      <c r="D22522" s="16" t="s">
        <v>3642</v>
      </c>
      <c r="E22522" s="2">
        <v>3882434</v>
      </c>
      <c r="F22522" s="4" t="str">
        <f>IF(B22522=B22521,"",B22522)</f>
        <v>Los Andes</v>
      </c>
    </row>
    <row r="22523" spans="1:6" ht="15.75" customHeight="1">
      <c r="A22523" s="8" t="str">
        <f ca="1">IFERROR(__xludf.DUMMYFUNCTION("GOOGLETRANSLATE(B25933,""en"",""pt"")"),"Los Andes")</f>
        <v>Los Andes</v>
      </c>
      <c r="B22523" s="11" t="s">
        <v>4426</v>
      </c>
      <c r="C22523" s="11" t="s">
        <v>4355</v>
      </c>
      <c r="D22523" s="11" t="s">
        <v>30263</v>
      </c>
      <c r="E22523" s="10">
        <v>3882434</v>
      </c>
      <c r="F22523" s="4" t="str">
        <f>IF(B22523=B22522,"",B22523)</f>
        <v/>
      </c>
    </row>
    <row r="22524" spans="1:6" ht="15.75" customHeight="1">
      <c r="A22524" s="15" t="s">
        <v>29160</v>
      </c>
      <c r="B22524" s="15" t="s">
        <v>29160</v>
      </c>
      <c r="C22524" s="15" t="s">
        <v>27788</v>
      </c>
      <c r="D22524" s="15" t="s">
        <v>27801</v>
      </c>
      <c r="E22524" s="2">
        <v>5368335</v>
      </c>
      <c r="F22524" s="4" t="str">
        <f>IF(B22524=B22523,"",B22524)</f>
        <v>Los Altos</v>
      </c>
    </row>
    <row r="22525" spans="1:6" ht="15.75" customHeight="1">
      <c r="A22525" s="8" t="str">
        <f ca="1">IFERROR(__xludf.DUMMYFUNCTION("GOOGLETRANSLATE(B44891,""en"",""pt"")"),"Los Altos")</f>
        <v>Los Altos</v>
      </c>
      <c r="B22525" s="9" t="s">
        <v>29160</v>
      </c>
      <c r="C22525" s="9" t="s">
        <v>27788</v>
      </c>
      <c r="D22525" s="9" t="s">
        <v>27801</v>
      </c>
      <c r="E22525" s="10">
        <v>5368335</v>
      </c>
      <c r="F22525" s="4" t="str">
        <f>IF(B22525=B22524,"",B22525)</f>
        <v/>
      </c>
    </row>
    <row r="22526" spans="1:6" ht="15.75" customHeight="1">
      <c r="A22526" s="8" t="str">
        <f ca="1">IFERROR(__xludf.DUMMYFUNCTION("GOOGLETRANSLATE(B29076,""en"",""pt"")"),"Los Alcázares")</f>
        <v>Los Alcázares</v>
      </c>
      <c r="B22526" s="9" t="s">
        <v>32373</v>
      </c>
      <c r="C22526" s="9" t="s">
        <v>24200</v>
      </c>
      <c r="D22526" s="9" t="s">
        <v>20912</v>
      </c>
      <c r="E22526" s="10">
        <v>2514868</v>
      </c>
      <c r="F22526" s="4" t="str">
        <f>IF(B22526=B22525,"",B22526)</f>
        <v>Los Alcázares</v>
      </c>
    </row>
    <row r="22527" spans="1:6" ht="15.75" customHeight="1">
      <c r="A22527" s="16" t="s">
        <v>24577</v>
      </c>
      <c r="B22527" s="15" t="s">
        <v>24578</v>
      </c>
      <c r="C22527" s="16" t="s">
        <v>24200</v>
      </c>
      <c r="D22527" s="16" t="s">
        <v>20912</v>
      </c>
      <c r="E22527" s="2">
        <v>2514868</v>
      </c>
      <c r="F22527" s="4" t="str">
        <f>IF(B22527=B22526,"",B22527)</f>
        <v>Los AlcÃ¡zares</v>
      </c>
    </row>
    <row r="22528" spans="1:6" ht="15.75" customHeight="1">
      <c r="A22528" s="16" t="s">
        <v>4424</v>
      </c>
      <c r="B22528" s="15" t="s">
        <v>4425</v>
      </c>
      <c r="C22528" s="16" t="s">
        <v>4355</v>
      </c>
      <c r="D22528" s="16" t="s">
        <v>4361</v>
      </c>
      <c r="E22528" s="2">
        <v>3882428</v>
      </c>
      <c r="F22528" s="4" t="str">
        <f>IF(B22528=B22527,"",B22528)</f>
        <v>Los Ãngeles</v>
      </c>
    </row>
    <row r="22529" spans="1:6" ht="15.75" customHeight="1">
      <c r="A22529" s="8" t="str">
        <f ca="1">IFERROR(__xludf.DUMMYFUNCTION("GOOGLETRANSLATE(B27806,""en"",""pt"")"),"Lörrach")</f>
        <v>Lörrach</v>
      </c>
      <c r="B22529" s="11" t="s">
        <v>32069</v>
      </c>
      <c r="C22529" s="11" t="s">
        <v>8028</v>
      </c>
      <c r="D22529" s="11" t="s">
        <v>32013</v>
      </c>
      <c r="E22529" s="10">
        <v>2875881</v>
      </c>
      <c r="F22529" s="4" t="str">
        <f>IF(B22529=B22528,"",B22529)</f>
        <v>Lörrach</v>
      </c>
    </row>
    <row r="22530" spans="1:6" ht="15.75" customHeight="1">
      <c r="A22530" s="15" t="s">
        <v>7509</v>
      </c>
      <c r="B22530" s="15" t="s">
        <v>7509</v>
      </c>
      <c r="C22530" s="15" t="s">
        <v>7052</v>
      </c>
      <c r="D22530" s="15" t="s">
        <v>7084</v>
      </c>
      <c r="E22530" s="2">
        <v>2997556</v>
      </c>
      <c r="F22530" s="4" t="str">
        <f>IF(B22530=B22529,"",B22530)</f>
        <v>Lormont</v>
      </c>
    </row>
    <row r="22531" spans="1:6" ht="15.75" customHeight="1">
      <c r="A22531" s="8" t="str">
        <f ca="1">IFERROR(__xludf.DUMMYFUNCTION("GOOGLETRANSLATE(B29955,""en"",""pt"")"),"Lormont")</f>
        <v>Lormont</v>
      </c>
      <c r="B22531" s="11" t="s">
        <v>7509</v>
      </c>
      <c r="C22531" s="11" t="s">
        <v>7052</v>
      </c>
      <c r="D22531" s="11" t="s">
        <v>7084</v>
      </c>
      <c r="E22531" s="10">
        <v>2997556</v>
      </c>
      <c r="F22531" s="4" t="str">
        <f>IF(B22531=B22530,"",B22531)</f>
        <v/>
      </c>
    </row>
    <row r="22532" spans="1:6" ht="15.75" customHeight="1">
      <c r="A22532" s="15" t="s">
        <v>7507</v>
      </c>
      <c r="B22532" s="15" t="s">
        <v>7508</v>
      </c>
      <c r="C22532" s="15" t="s">
        <v>7052</v>
      </c>
      <c r="D22532" s="15" t="s">
        <v>7190</v>
      </c>
      <c r="E22532" s="2">
        <v>2997577</v>
      </c>
      <c r="F22532" s="4" t="str">
        <f>IF(B22532=B22531,"",B22532)</f>
        <v>Lorient</v>
      </c>
    </row>
    <row r="22533" spans="1:6" ht="15.75" customHeight="1">
      <c r="A22533" s="8" t="str">
        <f ca="1">IFERROR(__xludf.DUMMYFUNCTION("GOOGLETRANSLATE(B29956,""en"",""pt"")"),"Loriente")</f>
        <v>Loriente</v>
      </c>
      <c r="B22533" s="9" t="s">
        <v>7508</v>
      </c>
      <c r="C22533" s="9" t="s">
        <v>7052</v>
      </c>
      <c r="D22533" s="9" t="s">
        <v>7190</v>
      </c>
      <c r="E22533" s="10">
        <v>2997577</v>
      </c>
      <c r="F22533" s="4" t="str">
        <f>IF(B22533=B22532,"",B22533)</f>
        <v/>
      </c>
    </row>
    <row r="22534" spans="1:6" ht="15.75" customHeight="1">
      <c r="A22534" s="15" t="s">
        <v>5507</v>
      </c>
      <c r="B22534" s="15" t="s">
        <v>5507</v>
      </c>
      <c r="C22534" s="15" t="s">
        <v>5348</v>
      </c>
      <c r="D22534" s="15" t="s">
        <v>591</v>
      </c>
      <c r="E22534" s="2">
        <v>3676397</v>
      </c>
      <c r="F22534" s="4" t="str">
        <f>IF(B22534=B22533,"",B22534)</f>
        <v>Lorica</v>
      </c>
    </row>
    <row r="22535" spans="1:6" ht="15.75" customHeight="1">
      <c r="A22535" s="8" t="str">
        <f ca="1">IFERROR(__xludf.DUMMYFUNCTION("GOOGLETRANSLATE(B26952,""en"",""pt"")"),"Lorica")</f>
        <v>Lorica</v>
      </c>
      <c r="B22535" s="9" t="s">
        <v>5507</v>
      </c>
      <c r="C22535" s="9" t="s">
        <v>5348</v>
      </c>
      <c r="D22535" s="9" t="s">
        <v>31214</v>
      </c>
      <c r="E22535" s="10">
        <v>3676397</v>
      </c>
      <c r="F22535" s="4" t="str">
        <f>IF(B22535=B22534,"",B22535)</f>
        <v/>
      </c>
    </row>
    <row r="22536" spans="1:6" ht="15.75" customHeight="1">
      <c r="A22536" s="15" t="s">
        <v>18055</v>
      </c>
      <c r="B22536" s="15" t="s">
        <v>18055</v>
      </c>
      <c r="C22536" s="15" t="s">
        <v>17707</v>
      </c>
      <c r="D22536" s="15" t="s">
        <v>17943</v>
      </c>
      <c r="E22536" s="2">
        <v>3998291</v>
      </c>
      <c r="F22536" s="4" t="str">
        <f>IF(B22536=B22535,"",B22536)</f>
        <v>Loreto</v>
      </c>
    </row>
    <row r="22537" spans="1:6" ht="15.75" customHeight="1">
      <c r="A22537" s="8" t="str">
        <f ca="1">IFERROR(__xludf.DUMMYFUNCTION("GOOGLETRANSLATE(B37257,""en"",""pt"")"),"Loreto")</f>
        <v>Loreto</v>
      </c>
      <c r="B22537" s="9" t="s">
        <v>18055</v>
      </c>
      <c r="C22537" s="9" t="s">
        <v>17707</v>
      </c>
      <c r="D22537" s="9" t="s">
        <v>17943</v>
      </c>
      <c r="E22537" s="10">
        <v>3998291</v>
      </c>
      <c r="F22537" s="4" t="str">
        <f>IF(B22537=B22536,"",B22537)</f>
        <v/>
      </c>
    </row>
    <row r="22538" spans="1:6" ht="15.75" customHeight="1">
      <c r="A22538" s="15" t="s">
        <v>2821</v>
      </c>
      <c r="B22538" s="15" t="s">
        <v>2821</v>
      </c>
      <c r="C22538" s="15" t="s">
        <v>1905</v>
      </c>
      <c r="D22538" s="15" t="s">
        <v>1914</v>
      </c>
      <c r="E22538" s="2">
        <v>3458425</v>
      </c>
      <c r="F22538" s="4" t="str">
        <f>IF(B22538=B22537,"",B22538)</f>
        <v>Lorena</v>
      </c>
    </row>
    <row r="22539" spans="1:6" ht="15.75" customHeight="1">
      <c r="A22539" s="8" t="str">
        <f ca="1">IFERROR(__xludf.DUMMYFUNCTION("GOOGLETRANSLATE(B24852,""en"",""pt"")"),"Lorena")</f>
        <v>Lorena</v>
      </c>
      <c r="B22539" s="9" t="s">
        <v>2821</v>
      </c>
      <c r="C22539" s="9" t="s">
        <v>1905</v>
      </c>
      <c r="D22539" s="9" t="s">
        <v>3354</v>
      </c>
      <c r="E22539" s="10">
        <v>3458425</v>
      </c>
      <c r="F22539" s="4" t="str">
        <f>IF(B22539=B22538,"",B22539)</f>
        <v/>
      </c>
    </row>
    <row r="22540" spans="1:6" ht="15.75" customHeight="1">
      <c r="A22540" s="15" t="s">
        <v>24576</v>
      </c>
      <c r="B22540" s="15" t="s">
        <v>24576</v>
      </c>
      <c r="C22540" s="15" t="s">
        <v>24200</v>
      </c>
      <c r="D22540" s="15" t="s">
        <v>20912</v>
      </c>
      <c r="E22540" s="2">
        <v>2514891</v>
      </c>
      <c r="F22540" s="4" t="str">
        <f>IF(B22540=B22539,"",B22540)</f>
        <v>Lorca</v>
      </c>
    </row>
    <row r="22541" spans="1:6" ht="15.75" customHeight="1">
      <c r="A22541" s="8" t="str">
        <f ca="1">IFERROR(__xludf.DUMMYFUNCTION("GOOGLETRANSLATE(B29077,""en"",""pt"")"),"Lorca")</f>
        <v>Lorca</v>
      </c>
      <c r="B22541" s="9" t="s">
        <v>24576</v>
      </c>
      <c r="C22541" s="9" t="s">
        <v>24200</v>
      </c>
      <c r="D22541" s="9" t="s">
        <v>20912</v>
      </c>
      <c r="E22541" s="10">
        <v>2514891</v>
      </c>
      <c r="F22541" s="4" t="str">
        <f>IF(B22541=B22540,"",B22541)</f>
        <v/>
      </c>
    </row>
    <row r="22542" spans="1:6" ht="15.75" customHeight="1">
      <c r="A22542" s="15" t="s">
        <v>20073</v>
      </c>
      <c r="B22542" s="15" t="s">
        <v>20073</v>
      </c>
      <c r="C22542" s="15" t="s">
        <v>19808</v>
      </c>
      <c r="D22542" s="15" t="s">
        <v>19833</v>
      </c>
      <c r="E22542" s="2">
        <v>1171868</v>
      </c>
      <c r="F22542" s="4" t="str">
        <f>IF(B22542=B22541,"",B22542)</f>
        <v>Loralai</v>
      </c>
    </row>
    <row r="22543" spans="1:6" ht="15.75" customHeight="1">
      <c r="A22543" s="8" t="str">
        <f ca="1">IFERROR(__xludf.DUMMYFUNCTION("GOOGLETRANSLATE(B39002,""en"",""pt"")"),"Loralai")</f>
        <v>Loralai</v>
      </c>
      <c r="B22543" s="9" t="s">
        <v>20073</v>
      </c>
      <c r="C22543" s="9" t="s">
        <v>19808</v>
      </c>
      <c r="D22543" s="9" t="s">
        <v>34892</v>
      </c>
      <c r="E22543" s="10">
        <v>1171868</v>
      </c>
      <c r="F22543" s="4" t="str">
        <f>IF(B22543=B22542,"",B22543)</f>
        <v/>
      </c>
    </row>
    <row r="22544" spans="1:6" ht="15.75" customHeight="1">
      <c r="A22544" s="15" t="s">
        <v>29159</v>
      </c>
      <c r="B22544" s="15" t="s">
        <v>29159</v>
      </c>
      <c r="C22544" s="15" t="s">
        <v>27788</v>
      </c>
      <c r="D22544" s="15" t="s">
        <v>27813</v>
      </c>
      <c r="E22544" s="2">
        <v>5161262</v>
      </c>
      <c r="F22544" s="4" t="str">
        <f>IF(B22544=B22543,"",B22544)</f>
        <v>Lorain</v>
      </c>
    </row>
    <row r="22545" spans="1:6" ht="15.75" customHeight="1">
      <c r="A22545" s="8" t="str">
        <f ca="1">IFERROR(__xludf.DUMMYFUNCTION("GOOGLETRANSLATE(B44512,""en"",""pt"")"),"Lorain")</f>
        <v>Lorain</v>
      </c>
      <c r="B22545" s="11" t="s">
        <v>29159</v>
      </c>
      <c r="C22545" s="11" t="s">
        <v>27788</v>
      </c>
      <c r="D22545" s="11" t="s">
        <v>27813</v>
      </c>
      <c r="E22545" s="10">
        <v>5161262</v>
      </c>
      <c r="F22545" s="4" t="str">
        <f>IF(B22545=B22544,"",B22545)</f>
        <v/>
      </c>
    </row>
    <row r="22546" spans="1:6" ht="15.75" customHeight="1">
      <c r="A22546" s="8" t="str">
        <f ca="1">IFERROR(__xludf.DUMMYFUNCTION("GOOGLETRANSLATE(B29078,""en"",""pt"")"),"Lora del Río")</f>
        <v>Lora del Río</v>
      </c>
      <c r="B22546" s="11" t="s">
        <v>32374</v>
      </c>
      <c r="C22546" s="11" t="s">
        <v>24200</v>
      </c>
      <c r="D22546" s="11" t="s">
        <v>24205</v>
      </c>
      <c r="E22546" s="10">
        <v>2514893</v>
      </c>
      <c r="F22546" s="4" t="str">
        <f>IF(B22546=B22545,"",B22546)</f>
        <v>Lora del Río</v>
      </c>
    </row>
    <row r="22547" spans="1:6" ht="15.75" customHeight="1">
      <c r="A22547" s="16" t="s">
        <v>24574</v>
      </c>
      <c r="B22547" s="15" t="s">
        <v>24575</v>
      </c>
      <c r="C22547" s="16" t="s">
        <v>24200</v>
      </c>
      <c r="D22547" s="16" t="s">
        <v>24205</v>
      </c>
      <c r="E22547" s="2">
        <v>2514893</v>
      </c>
      <c r="F22547" s="4" t="str">
        <f>IF(B22547=B22546,"",B22547)</f>
        <v>Lora del RÃ­o</v>
      </c>
    </row>
    <row r="22548" spans="1:6" ht="15.75" customHeight="1">
      <c r="A22548" s="15" t="s">
        <v>20839</v>
      </c>
      <c r="B22548" s="15" t="s">
        <v>20839</v>
      </c>
      <c r="C22548" s="15" t="s">
        <v>20598</v>
      </c>
      <c r="D22548" s="15" t="s">
        <v>20608</v>
      </c>
      <c r="E22548" s="2">
        <v>1705572</v>
      </c>
      <c r="F22548" s="4" t="str">
        <f>IF(B22548=B22547,"",B22548)</f>
        <v>Lopez</v>
      </c>
    </row>
    <row r="22549" spans="1:6" ht="15.75" customHeight="1">
      <c r="A22549" s="8" t="str">
        <f ca="1">IFERROR(__xludf.DUMMYFUNCTION("GOOGLETRANSLATE(B38659,""en"",""pt"")"),"Lopez")</f>
        <v>Lopez</v>
      </c>
      <c r="B22549" s="9" t="s">
        <v>20839</v>
      </c>
      <c r="C22549" s="9" t="s">
        <v>20598</v>
      </c>
      <c r="D22549" s="9" t="s">
        <v>20608</v>
      </c>
      <c r="E22549" s="10">
        <v>1705572</v>
      </c>
      <c r="F22549" s="4" t="str">
        <f>IF(B22549=B22548,"",B22549)</f>
        <v/>
      </c>
    </row>
    <row r="22550" spans="1:6" ht="15.75" customHeight="1">
      <c r="A22550" s="15" t="s">
        <v>25857</v>
      </c>
      <c r="B22550" s="15" t="s">
        <v>25857</v>
      </c>
      <c r="C22550" s="15" t="s">
        <v>25771</v>
      </c>
      <c r="D22550" s="15" t="s">
        <v>25857</v>
      </c>
      <c r="E22550" s="2">
        <v>1609032</v>
      </c>
      <c r="F22550" s="4" t="str">
        <f>IF(B22550=B22549,"",B22550)</f>
        <v>Lop Buri</v>
      </c>
    </row>
    <row r="22551" spans="1:6" ht="15.75" customHeight="1">
      <c r="A22551" s="8" t="str">
        <f ca="1">IFERROR(__xludf.DUMMYFUNCTION("GOOGLETRANSLATE(B41663,""en"",""pt"")"),"Lop Buri")</f>
        <v>Lop Buri</v>
      </c>
      <c r="B22551" s="11" t="s">
        <v>25857</v>
      </c>
      <c r="C22551" s="11" t="s">
        <v>25771</v>
      </c>
      <c r="D22551" s="11" t="s">
        <v>25857</v>
      </c>
      <c r="E22551" s="10">
        <v>1609032</v>
      </c>
      <c r="F22551" s="4" t="str">
        <f>IF(B22551=B22550,"",B22551)</f>
        <v/>
      </c>
    </row>
    <row r="22552" spans="1:6" ht="15.75" customHeight="1">
      <c r="A22552" s="15" t="s">
        <v>7506</v>
      </c>
      <c r="B22552" s="15" t="s">
        <v>7506</v>
      </c>
      <c r="C22552" s="15" t="s">
        <v>7052</v>
      </c>
      <c r="D22552" s="15" t="s">
        <v>7078</v>
      </c>
      <c r="E22552" s="2">
        <v>2997620</v>
      </c>
      <c r="F22552" s="4" t="str">
        <f>IF(B22552=B22551,"",B22552)</f>
        <v>Loos</v>
      </c>
    </row>
    <row r="22553" spans="1:6" ht="15.75" customHeight="1">
      <c r="A22553" s="8" t="str">
        <f ca="1">IFERROR(__xludf.DUMMYFUNCTION("GOOGLETRANSLATE(B29957,""en"",""pt"")"),"Loos")</f>
        <v>Loos</v>
      </c>
      <c r="B22553" s="9" t="s">
        <v>7506</v>
      </c>
      <c r="C22553" s="9" t="s">
        <v>7052</v>
      </c>
      <c r="D22553" s="9" t="s">
        <v>7078</v>
      </c>
      <c r="E22553" s="10">
        <v>2997620</v>
      </c>
      <c r="F22553" s="4" t="str">
        <f>IF(B22553=B22552,"",B22553)</f>
        <v/>
      </c>
    </row>
    <row r="22554" spans="1:6" ht="15.75" customHeight="1">
      <c r="A22554" s="16" t="s">
        <v>19030</v>
      </c>
      <c r="B22554" s="15" t="s">
        <v>19031</v>
      </c>
      <c r="C22554" s="16" t="s">
        <v>18862</v>
      </c>
      <c r="D22554" s="16" t="s">
        <v>18888</v>
      </c>
      <c r="E22554" s="2">
        <v>2751456</v>
      </c>
      <c r="F22554" s="4" t="str">
        <f>IF(B22554=B22553,"",B22554)</f>
        <v>Loon op Zand</v>
      </c>
    </row>
    <row r="22555" spans="1:6" ht="15.75" customHeight="1">
      <c r="A22555" s="8" t="str">
        <f ca="1">IFERROR(__xludf.DUMMYFUNCTION("GOOGLETRANSLATE(B38004,""en"",""pt"")"),"Loon Op Zand")</f>
        <v>Loon Op Zand</v>
      </c>
      <c r="B22555" s="9" t="s">
        <v>19031</v>
      </c>
      <c r="C22555" s="9" t="s">
        <v>18862</v>
      </c>
      <c r="D22555" s="9" t="s">
        <v>18888</v>
      </c>
      <c r="E22555" s="10">
        <v>2751456</v>
      </c>
      <c r="F22555" s="4" t="str">
        <f>IF(B22555=B22554,"",B22555)</f>
        <v/>
      </c>
    </row>
    <row r="22556" spans="1:6" ht="15.75" customHeight="1">
      <c r="A22556" s="16" t="s">
        <v>7505</v>
      </c>
      <c r="B22556" s="15" t="s">
        <v>7505</v>
      </c>
      <c r="C22556" s="16" t="s">
        <v>7052</v>
      </c>
      <c r="D22556" s="16" t="s">
        <v>7128</v>
      </c>
      <c r="E22556" s="2">
        <v>2997626</v>
      </c>
      <c r="F22556" s="4" t="str">
        <f>IF(B22556=B22555,"",B22556)</f>
        <v>Lons-le-Saunier</v>
      </c>
    </row>
    <row r="22557" spans="1:6" ht="15.75" customHeight="1">
      <c r="A22557" s="8" t="str">
        <f ca="1">IFERROR(__xludf.DUMMYFUNCTION("GOOGLETRANSLATE(B29958,""en"",""pt"")"),"Lons-le-Saunier")</f>
        <v>Lons-le-Saunier</v>
      </c>
      <c r="B22557" s="9" t="s">
        <v>7505</v>
      </c>
      <c r="C22557" s="9" t="s">
        <v>7052</v>
      </c>
      <c r="D22557" s="9" t="s">
        <v>32540</v>
      </c>
      <c r="E22557" s="10">
        <v>2997626</v>
      </c>
      <c r="F22557" s="4" t="str">
        <f>IF(B22557=B22556,"",B22557)</f>
        <v/>
      </c>
    </row>
    <row r="22558" spans="1:6" ht="15.75" customHeight="1">
      <c r="A22558" s="15" t="s">
        <v>12167</v>
      </c>
      <c r="B22558" s="15" t="s">
        <v>12167</v>
      </c>
      <c r="C22558" s="15" t="s">
        <v>10178</v>
      </c>
      <c r="D22558" s="15" t="s">
        <v>10193</v>
      </c>
      <c r="E22558" s="2">
        <v>1264773</v>
      </c>
      <c r="F22558" s="4" t="str">
        <f>IF(B22558=B22557,"",B22558)</f>
        <v>Loni</v>
      </c>
    </row>
    <row r="22559" spans="1:6" ht="15.75" customHeight="1">
      <c r="A22559" s="8" t="str">
        <f ca="1">IFERROR(__xludf.DUMMYFUNCTION("GOOGLETRANSLATE(B32914,""en"",""pt"")"),"Loni")</f>
        <v>Loni</v>
      </c>
      <c r="B22559" s="9" t="s">
        <v>12167</v>
      </c>
      <c r="C22559" s="9" t="s">
        <v>10178</v>
      </c>
      <c r="D22559" s="9" t="s">
        <v>10193</v>
      </c>
      <c r="E22559" s="10">
        <v>1264773</v>
      </c>
      <c r="F22559" s="4" t="str">
        <f>IF(B22559=B22558,"",B22559)</f>
        <v/>
      </c>
    </row>
    <row r="22560" spans="1:6" ht="15.75" customHeight="1">
      <c r="A22560" s="16" t="s">
        <v>25067</v>
      </c>
      <c r="B22560" s="15" t="s">
        <v>25067</v>
      </c>
      <c r="C22560" s="16" t="s">
        <v>25068</v>
      </c>
      <c r="D22560" s="16" t="s">
        <v>25069</v>
      </c>
      <c r="E22560" s="2">
        <v>2729907</v>
      </c>
      <c r="F22560" s="4" t="str">
        <f>IF(B22560=B22559,"",B22560)</f>
        <v>Longyearbyen</v>
      </c>
    </row>
    <row r="22561" spans="1:6" ht="15.75" customHeight="1">
      <c r="A22561" s="8" t="str">
        <f ca="1">IFERROR(__xludf.DUMMYFUNCTION("GOOGLETRANSLATE(B41220,""en"",""pt"")"),"Longyearbyen")</f>
        <v>Longyearbyen</v>
      </c>
      <c r="B22561" s="9" t="s">
        <v>25067</v>
      </c>
      <c r="C22561" s="9" t="s">
        <v>25068</v>
      </c>
      <c r="D22561" s="9" t="s">
        <v>25069</v>
      </c>
      <c r="E22561" s="10">
        <v>2729907</v>
      </c>
      <c r="F22561" s="4" t="str">
        <f>IF(B22561=B22560,"",B22561)</f>
        <v/>
      </c>
    </row>
    <row r="22562" spans="1:6" ht="15.75" customHeight="1">
      <c r="A22562" s="16" t="s">
        <v>29157</v>
      </c>
      <c r="B22562" s="15" t="s">
        <v>29158</v>
      </c>
      <c r="C22562" s="16" t="s">
        <v>27788</v>
      </c>
      <c r="D22562" s="16" t="s">
        <v>27733</v>
      </c>
      <c r="E22562" s="2">
        <v>5801617</v>
      </c>
      <c r="F22562" s="4" t="str">
        <f>IF(B22562=B22561,"",B22562)</f>
        <v>Longview</v>
      </c>
    </row>
    <row r="22563" spans="1:6" ht="15.75" customHeight="1">
      <c r="A22563" s="8" t="str">
        <f ca="1">IFERROR(__xludf.DUMMYFUNCTION("GOOGLETRANSLATE(B45346,""en"",""pt"")"),"Visão de longo prazo")</f>
        <v>Visão de longo prazo</v>
      </c>
      <c r="B22563" s="9" t="s">
        <v>29158</v>
      </c>
      <c r="C22563" s="9" t="s">
        <v>27788</v>
      </c>
      <c r="D22563" s="9" t="s">
        <v>27733</v>
      </c>
      <c r="E22563" s="10">
        <v>5801617</v>
      </c>
      <c r="F22563" s="4" t="str">
        <f>IF(B22563=B22562,"",B22563)</f>
        <v/>
      </c>
    </row>
    <row r="22564" spans="1:6" ht="15.75" customHeight="1">
      <c r="A22564" s="15" t="s">
        <v>4090</v>
      </c>
      <c r="B22564" s="15" t="s">
        <v>4090</v>
      </c>
      <c r="C22564" s="15" t="s">
        <v>3975</v>
      </c>
      <c r="D22564" s="15" t="s">
        <v>3982</v>
      </c>
      <c r="E22564" s="2">
        <v>6059891</v>
      </c>
      <c r="F22564" s="4" t="str">
        <f>IF(B22564=B22563,"",B22564)</f>
        <v>Longueuil</v>
      </c>
    </row>
    <row r="22565" spans="1:6" ht="15.75" customHeight="1">
      <c r="A22565" s="8" t="str">
        <f ca="1">IFERROR(__xludf.DUMMYFUNCTION("GOOGLETRANSLATE(B25505,""en"",""pt"")"),"Longueuil")</f>
        <v>Longueuil</v>
      </c>
      <c r="B22565" s="9" t="s">
        <v>4090</v>
      </c>
      <c r="C22565" s="9" t="s">
        <v>3975</v>
      </c>
      <c r="D22565" s="9" t="s">
        <v>3982</v>
      </c>
      <c r="E22565" s="10">
        <v>6059891</v>
      </c>
      <c r="F22565" s="4" t="str">
        <f>IF(B22565=B22564,"",B22565)</f>
        <v/>
      </c>
    </row>
    <row r="22566" spans="1:6" ht="15.75" customHeight="1">
      <c r="A22566" s="15" t="s">
        <v>27506</v>
      </c>
      <c r="B22566" s="15" t="s">
        <v>27506</v>
      </c>
      <c r="C22566" s="15" t="s">
        <v>27234</v>
      </c>
      <c r="D22566" s="15" t="s">
        <v>27241</v>
      </c>
      <c r="E22566" s="2">
        <v>6691766</v>
      </c>
      <c r="F22566" s="4" t="str">
        <f>IF(B22566=B22565,"",B22566)</f>
        <v>Longsight</v>
      </c>
    </row>
    <row r="22567" spans="1:6" ht="15.75" customHeight="1">
      <c r="A22567" s="8" t="str">
        <f ca="1">IFERROR(__xludf.DUMMYFUNCTION("GOOGLETRANSLATE(B30801,""en"",""pt"")"),"Longsight")</f>
        <v>Longsight</v>
      </c>
      <c r="B22567" s="9" t="s">
        <v>27506</v>
      </c>
      <c r="C22567" s="9" t="s">
        <v>27234</v>
      </c>
      <c r="D22567" s="9" t="s">
        <v>27241</v>
      </c>
      <c r="E22567" s="10">
        <v>6691766</v>
      </c>
      <c r="F22567" s="4" t="str">
        <f>IF(B22567=B22566,"",B22567)</f>
        <v/>
      </c>
    </row>
    <row r="22568" spans="1:6" ht="15.75" customHeight="1">
      <c r="A22568" s="15" t="s">
        <v>4920</v>
      </c>
      <c r="B22568" s="15" t="s">
        <v>4920</v>
      </c>
      <c r="C22568" s="15" t="s">
        <v>4487</v>
      </c>
      <c r="D22568" s="15" t="s">
        <v>4607</v>
      </c>
      <c r="E22568" s="2">
        <v>1802476</v>
      </c>
      <c r="F22568" s="4" t="str">
        <f>IF(B22568=B22567,"",B22568)</f>
        <v>Longquan</v>
      </c>
    </row>
    <row r="22569" spans="1:6" ht="15.75" customHeight="1">
      <c r="A22569" s="8" t="str">
        <f ca="1">IFERROR(__xludf.DUMMYFUNCTION("GOOGLETRANSLATE(B26377,""en"",""pt"")"),"Longquan")</f>
        <v>Longquan</v>
      </c>
      <c r="B22569" s="9" t="s">
        <v>4920</v>
      </c>
      <c r="C22569" s="9" t="s">
        <v>4487</v>
      </c>
      <c r="D22569" s="9" t="s">
        <v>4607</v>
      </c>
      <c r="E22569" s="10">
        <v>1802476</v>
      </c>
      <c r="F22569" s="4" t="str">
        <f>IF(B22569=B22568,"",B22569)</f>
        <v/>
      </c>
    </row>
    <row r="22570" spans="1:6" ht="15.75" customHeight="1">
      <c r="A22570" s="15" t="s">
        <v>522</v>
      </c>
      <c r="B22570" s="15" t="s">
        <v>522</v>
      </c>
      <c r="C22570" s="15" t="s">
        <v>507</v>
      </c>
      <c r="D22570" s="15" t="s">
        <v>510</v>
      </c>
      <c r="E22570" s="2">
        <v>3347853</v>
      </c>
      <c r="F22570" s="4" t="str">
        <f>IF(B22570=B22569,"",B22570)</f>
        <v>Longonjo</v>
      </c>
    </row>
    <row r="22571" spans="1:6" ht="15.75" customHeight="1">
      <c r="A22571" s="8" t="str">
        <f ca="1">IFERROR(__xludf.DUMMYFUNCTION("GOOGLETRANSLATE(B23158,""en"",""pt"")"),"Longonjo")</f>
        <v>Longonjo</v>
      </c>
      <c r="B22571" s="9" t="s">
        <v>522</v>
      </c>
      <c r="C22571" s="9" t="s">
        <v>507</v>
      </c>
      <c r="D22571" s="9" t="s">
        <v>510</v>
      </c>
      <c r="E22571" s="10">
        <v>3347853</v>
      </c>
      <c r="F22571" s="4" t="str">
        <f>IF(B22571=B22570,"",B22571)</f>
        <v/>
      </c>
    </row>
    <row r="22572" spans="1:6" ht="15.75" customHeight="1">
      <c r="A22572" s="16" t="s">
        <v>29156</v>
      </c>
      <c r="B22572" s="15" t="s">
        <v>29156</v>
      </c>
      <c r="C22572" s="16" t="s">
        <v>27788</v>
      </c>
      <c r="D22572" s="16" t="s">
        <v>2341</v>
      </c>
      <c r="E22572" s="2">
        <v>5579276</v>
      </c>
      <c r="F22572" s="4" t="str">
        <f>IF(B22572=B22571,"",B22572)</f>
        <v>Longmont</v>
      </c>
    </row>
    <row r="22573" spans="1:6" ht="15.75" customHeight="1">
      <c r="A22573" s="8" t="str">
        <f ca="1">IFERROR(__xludf.DUMMYFUNCTION("GOOGLETRANSLATE(B45191,""en"",""pt"")"),"Longmont")</f>
        <v>Longmont</v>
      </c>
      <c r="B22573" s="9" t="s">
        <v>29156</v>
      </c>
      <c r="C22573" s="9" t="s">
        <v>27788</v>
      </c>
      <c r="D22573" s="9" t="s">
        <v>2341</v>
      </c>
      <c r="E22573" s="10">
        <v>5579276</v>
      </c>
      <c r="F22573" s="4" t="str">
        <f>IF(B22573=B22572,"",B22573)</f>
        <v/>
      </c>
    </row>
    <row r="22574" spans="1:6" ht="15.75" customHeight="1">
      <c r="A22574" s="16" t="s">
        <v>29155</v>
      </c>
      <c r="B22574" s="15" t="s">
        <v>29155</v>
      </c>
      <c r="C22574" s="16" t="s">
        <v>27788</v>
      </c>
      <c r="D22574" s="16" t="s">
        <v>27794</v>
      </c>
      <c r="E22574" s="2">
        <v>4942508</v>
      </c>
      <c r="F22574" s="4" t="str">
        <f>IF(B22574=B22573,"",B22574)</f>
        <v>Longmeadow</v>
      </c>
    </row>
    <row r="22575" spans="1:6" ht="15.75" customHeight="1">
      <c r="A22575" s="8" t="str">
        <f ca="1">IFERROR(__xludf.DUMMYFUNCTION("GOOGLETRANSLATE(B43991,""en"",""pt"")"),"Longmeadow")</f>
        <v>Longmeadow</v>
      </c>
      <c r="B22575" s="9" t="s">
        <v>29155</v>
      </c>
      <c r="C22575" s="9" t="s">
        <v>27788</v>
      </c>
      <c r="D22575" s="9" t="s">
        <v>27794</v>
      </c>
      <c r="E22575" s="10">
        <v>4942508</v>
      </c>
      <c r="F22575" s="4" t="str">
        <f>IF(B22575=B22574,"",B22575)</f>
        <v/>
      </c>
    </row>
    <row r="22576" spans="1:6" ht="15.75" customHeight="1">
      <c r="A22576" s="16" t="s">
        <v>7504</v>
      </c>
      <c r="B22576" s="15" t="s">
        <v>7504</v>
      </c>
      <c r="C22576" s="16" t="s">
        <v>7052</v>
      </c>
      <c r="D22576" s="16" t="s">
        <v>7058</v>
      </c>
      <c r="E22576" s="2">
        <v>2997712</v>
      </c>
      <c r="F22576" s="4" t="str">
        <f>IF(B22576=B22575,"",B22576)</f>
        <v>Longjumeau</v>
      </c>
    </row>
    <row r="22577" spans="1:6" ht="15.75" customHeight="1">
      <c r="A22577" s="8" t="str">
        <f ca="1">IFERROR(__xludf.DUMMYFUNCTION("GOOGLETRANSLATE(B29959,""en"",""pt"")"),"Longjumeau")</f>
        <v>Longjumeau</v>
      </c>
      <c r="B22577" s="9" t="s">
        <v>7504</v>
      </c>
      <c r="C22577" s="9" t="s">
        <v>7052</v>
      </c>
      <c r="D22577" s="9" t="s">
        <v>32531</v>
      </c>
      <c r="E22577" s="10">
        <v>2997712</v>
      </c>
      <c r="F22577" s="4" t="str">
        <f>IF(B22577=B22576,"",B22577)</f>
        <v/>
      </c>
    </row>
    <row r="22578" spans="1:6" ht="15.75" customHeight="1">
      <c r="A22578" s="15" t="s">
        <v>4919</v>
      </c>
      <c r="B22578" s="15" t="s">
        <v>4919</v>
      </c>
      <c r="C22578" s="15" t="s">
        <v>4487</v>
      </c>
      <c r="D22578" s="15" t="s">
        <v>4518</v>
      </c>
      <c r="E22578" s="2">
        <v>2035966</v>
      </c>
      <c r="F22578" s="4" t="str">
        <f>IF(B22578=B22577,"",B22578)</f>
        <v>Longjing</v>
      </c>
    </row>
    <row r="22579" spans="1:6" ht="15.75" customHeight="1">
      <c r="A22579" s="8" t="str">
        <f ca="1">IFERROR(__xludf.DUMMYFUNCTION("GOOGLETRANSLATE(B26722,""en"",""pt"")"),"Longjing")</f>
        <v>Longjing</v>
      </c>
      <c r="B22579" s="9" t="s">
        <v>4919</v>
      </c>
      <c r="C22579" s="9" t="s">
        <v>4487</v>
      </c>
      <c r="D22579" s="9" t="s">
        <v>4518</v>
      </c>
      <c r="E22579" s="10">
        <v>2035966</v>
      </c>
      <c r="F22579" s="4" t="str">
        <f>IF(B22579=B22578,"",B22579)</f>
        <v/>
      </c>
    </row>
    <row r="22580" spans="1:6" ht="15.75" customHeight="1">
      <c r="A22580" s="15" t="s">
        <v>4918</v>
      </c>
      <c r="B22580" s="15" t="s">
        <v>4918</v>
      </c>
      <c r="C22580" s="15" t="s">
        <v>4487</v>
      </c>
      <c r="D22580" s="15" t="s">
        <v>4488</v>
      </c>
      <c r="E22580" s="2">
        <v>2035970</v>
      </c>
      <c r="F22580" s="4" t="str">
        <f>IF(B22580=B22579,"",B22580)</f>
        <v>Longjiang</v>
      </c>
    </row>
    <row r="22581" spans="1:6" ht="15.75" customHeight="1">
      <c r="A22581" s="8" t="str">
        <f ca="1">IFERROR(__xludf.DUMMYFUNCTION("GOOGLETRANSLATE(B26723,""en"",""pt"")"),"Longjiang")</f>
        <v>Longjiang</v>
      </c>
      <c r="B22581" s="9" t="s">
        <v>4918</v>
      </c>
      <c r="C22581" s="9" t="s">
        <v>4487</v>
      </c>
      <c r="D22581" s="9" t="s">
        <v>4488</v>
      </c>
      <c r="E22581" s="10">
        <v>2035970</v>
      </c>
      <c r="F22581" s="4" t="str">
        <f>IF(B22581=B22580,"",B22581)</f>
        <v/>
      </c>
    </row>
    <row r="22582" spans="1:6" ht="15.75" customHeight="1">
      <c r="A22582" s="15" t="s">
        <v>4917</v>
      </c>
      <c r="B22582" s="15" t="s">
        <v>4917</v>
      </c>
      <c r="C22582" s="15" t="s">
        <v>4487</v>
      </c>
      <c r="D22582" s="15" t="s">
        <v>4503</v>
      </c>
      <c r="E22582" s="2">
        <v>1802550</v>
      </c>
      <c r="F22582" s="4" t="str">
        <f>IF(B22582=B22581,"",B22582)</f>
        <v>Longgang</v>
      </c>
    </row>
    <row r="22583" spans="1:6" ht="15.75" customHeight="1">
      <c r="A22583" s="8" t="str">
        <f ca="1">IFERROR(__xludf.DUMMYFUNCTION("GOOGLETRANSLATE(B26378,""en"",""pt"")"),"Longgang")</f>
        <v>Longgang</v>
      </c>
      <c r="B22583" s="9" t="s">
        <v>4917</v>
      </c>
      <c r="C22583" s="9" t="s">
        <v>4487</v>
      </c>
      <c r="D22583" s="9" t="s">
        <v>4503</v>
      </c>
      <c r="E22583" s="10">
        <v>1802550</v>
      </c>
      <c r="F22583" s="4" t="str">
        <f>IF(B22583=B22582,"",B22583)</f>
        <v/>
      </c>
    </row>
    <row r="22584" spans="1:6" ht="15.75" customHeight="1">
      <c r="A22584" s="15" t="s">
        <v>27505</v>
      </c>
      <c r="B22584" s="15" t="s">
        <v>27505</v>
      </c>
      <c r="C22584" s="15" t="s">
        <v>27234</v>
      </c>
      <c r="D22584" s="15" t="s">
        <v>27241</v>
      </c>
      <c r="E22584" s="2">
        <v>2643696</v>
      </c>
      <c r="F22584" s="4" t="str">
        <f>IF(B22584=B22583,"",B22584)</f>
        <v>Longfield</v>
      </c>
    </row>
    <row r="22585" spans="1:6" ht="15.75" customHeight="1">
      <c r="A22585" s="8" t="str">
        <f ca="1">IFERROR(__xludf.DUMMYFUNCTION("GOOGLETRANSLATE(B30564,""en"",""pt"")"),"Longfield")</f>
        <v>Longfield</v>
      </c>
      <c r="B22585" s="9" t="s">
        <v>27505</v>
      </c>
      <c r="C22585" s="9" t="s">
        <v>27234</v>
      </c>
      <c r="D22585" s="9" t="s">
        <v>27241</v>
      </c>
      <c r="E22585" s="10">
        <v>2643696</v>
      </c>
      <c r="F22585" s="4" t="str">
        <f>IF(B22585=B22584,"",B22585)</f>
        <v/>
      </c>
    </row>
    <row r="22586" spans="1:6" ht="15.75" customHeight="1">
      <c r="A22586" s="15" t="s">
        <v>4916</v>
      </c>
      <c r="B22586" s="15" t="s">
        <v>4916</v>
      </c>
      <c r="C22586" s="15" t="s">
        <v>4487</v>
      </c>
      <c r="D22586" s="15" t="s">
        <v>4488</v>
      </c>
      <c r="E22586" s="2">
        <v>2035980</v>
      </c>
      <c r="F22586" s="4" t="str">
        <f>IF(B22586=B22585,"",B22586)</f>
        <v>Longfeng</v>
      </c>
    </row>
    <row r="22587" spans="1:6" ht="15.75" customHeight="1">
      <c r="A22587" s="8" t="str">
        <f ca="1">IFERROR(__xludf.DUMMYFUNCTION("GOOGLETRANSLATE(B26724,""en"",""pt"")"),"Longfeng")</f>
        <v>Longfeng</v>
      </c>
      <c r="B22587" s="9" t="s">
        <v>4916</v>
      </c>
      <c r="C22587" s="9" t="s">
        <v>4487</v>
      </c>
      <c r="D22587" s="9" t="s">
        <v>4488</v>
      </c>
      <c r="E22587" s="10">
        <v>2035980</v>
      </c>
      <c r="F22587" s="4" t="str">
        <f>IF(B22587=B22586,"",B22587)</f>
        <v/>
      </c>
    </row>
    <row r="22588" spans="1:6" ht="15.75" customHeight="1">
      <c r="A22588" s="8" t="str">
        <f ca="1">IFERROR(__xludf.DUMMYFUNCTION("GOOGLETRANSLATE(B45748,""en"",""pt"")"),"Xuyên longo")</f>
        <v>Xuyên longo</v>
      </c>
      <c r="B22588" s="11" t="s">
        <v>36159</v>
      </c>
      <c r="C22588" s="11" t="s">
        <v>30784</v>
      </c>
      <c r="D22588" s="11" t="s">
        <v>30835</v>
      </c>
      <c r="E22588" s="10">
        <v>1575627</v>
      </c>
      <c r="F22588" s="4" t="str">
        <f>IF(B22588=B22587,"",B22588)</f>
        <v>Long Xuyên</v>
      </c>
    </row>
    <row r="22589" spans="1:6" ht="15.75" customHeight="1">
      <c r="A22589" s="16" t="s">
        <v>30870</v>
      </c>
      <c r="B22589" s="15" t="s">
        <v>30871</v>
      </c>
      <c r="C22589" s="16" t="s">
        <v>30784</v>
      </c>
      <c r="D22589" s="16" t="s">
        <v>30835</v>
      </c>
      <c r="E22589" s="2">
        <v>1575627</v>
      </c>
      <c r="F22589" s="4" t="str">
        <f>IF(B22589=B22588,"",B22589)</f>
        <v>Long XuyÃªn</v>
      </c>
    </row>
    <row r="22590" spans="1:6" ht="15.75" customHeight="1">
      <c r="A22590" s="16" t="s">
        <v>29154</v>
      </c>
      <c r="B22590" s="15" t="s">
        <v>29154</v>
      </c>
      <c r="C22590" s="16" t="s">
        <v>27788</v>
      </c>
      <c r="D22590" s="16" t="s">
        <v>27819</v>
      </c>
      <c r="E22590" s="2">
        <v>5125125</v>
      </c>
      <c r="F22590" s="4" t="str">
        <f>IF(B22590=B22589,"",B22590)</f>
        <v>Long Island City</v>
      </c>
    </row>
    <row r="22591" spans="1:6" ht="15.75" customHeight="1">
      <c r="A22591" s="8" t="str">
        <f ca="1">IFERROR(__xludf.DUMMYFUNCTION("GOOGLETRANSLATE(B44401,""en"",""pt"")"),"Long Island City")</f>
        <v>Long Island City</v>
      </c>
      <c r="B22591" s="9" t="s">
        <v>29154</v>
      </c>
      <c r="C22591" s="9" t="s">
        <v>27788</v>
      </c>
      <c r="D22591" s="9" t="s">
        <v>27819</v>
      </c>
      <c r="E22591" s="10">
        <v>5125125</v>
      </c>
      <c r="F22591" s="4" t="str">
        <f>IF(B22591=B22590,"",B22591)</f>
        <v/>
      </c>
    </row>
    <row r="22592" spans="1:6" ht="15.75" customHeight="1">
      <c r="A22592" s="16" t="s">
        <v>27504</v>
      </c>
      <c r="B22592" s="15" t="s">
        <v>27504</v>
      </c>
      <c r="C22592" s="16" t="s">
        <v>27234</v>
      </c>
      <c r="D22592" s="16" t="s">
        <v>27241</v>
      </c>
      <c r="E22592" s="2">
        <v>2643697</v>
      </c>
      <c r="F22592" s="4" t="str">
        <f>IF(B22592=B22591,"",B22592)</f>
        <v>Long Eaton</v>
      </c>
    </row>
    <row r="22593" spans="1:6" ht="15.75" customHeight="1">
      <c r="A22593" s="8" t="str">
        <f ca="1">IFERROR(__xludf.DUMMYFUNCTION("GOOGLETRANSLATE(B30565,""en"",""pt"")"),"Long Eaton")</f>
        <v>Long Eaton</v>
      </c>
      <c r="B22593" s="9" t="s">
        <v>27504</v>
      </c>
      <c r="C22593" s="9" t="s">
        <v>27234</v>
      </c>
      <c r="D22593" s="9" t="s">
        <v>27241</v>
      </c>
      <c r="E22593" s="10">
        <v>2643697</v>
      </c>
      <c r="F22593" s="4" t="str">
        <f>IF(B22593=B22592,"",B22593)</f>
        <v/>
      </c>
    </row>
    <row r="22594" spans="1:6" ht="15.75" customHeight="1">
      <c r="A22594" s="16" t="s">
        <v>29152</v>
      </c>
      <c r="B22594" s="15" t="s">
        <v>29153</v>
      </c>
      <c r="C22594" s="16" t="s">
        <v>27788</v>
      </c>
      <c r="D22594" s="16" t="s">
        <v>27905</v>
      </c>
      <c r="E22594" s="2">
        <v>5100619</v>
      </c>
      <c r="F22594" s="4" t="str">
        <f>IF(B22594=B22593,"",B22594)</f>
        <v>Long Branch</v>
      </c>
    </row>
    <row r="22595" spans="1:6" ht="15.75" customHeight="1">
      <c r="A22595" s="8" t="str">
        <f ca="1">IFERROR(__xludf.DUMMYFUNCTION("GOOGLETRANSLATE(B44277,""en"",""pt"")"),"Ramo longo")</f>
        <v>Ramo longo</v>
      </c>
      <c r="B22595" s="9" t="s">
        <v>29153</v>
      </c>
      <c r="C22595" s="9" t="s">
        <v>27788</v>
      </c>
      <c r="D22595" s="9" t="s">
        <v>27905</v>
      </c>
      <c r="E22595" s="10">
        <v>5100619</v>
      </c>
      <c r="F22595" s="4" t="str">
        <f>IF(B22595=B22594,"",B22595)</f>
        <v/>
      </c>
    </row>
    <row r="22596" spans="1:6" ht="15.75" customHeight="1">
      <c r="A22596" s="16" t="s">
        <v>29151</v>
      </c>
      <c r="B22596" s="15" t="s">
        <v>29151</v>
      </c>
      <c r="C22596" s="16" t="s">
        <v>27788</v>
      </c>
      <c r="D22596" s="16" t="s">
        <v>27819</v>
      </c>
      <c r="E22596" s="2">
        <v>5125086</v>
      </c>
      <c r="F22596" s="4" t="str">
        <f>IF(B22596=B22595,"",B22596)</f>
        <v>Long Beach</v>
      </c>
    </row>
    <row r="22597" spans="1:6" ht="15.75" customHeight="1">
      <c r="A22597" s="16" t="s">
        <v>29151</v>
      </c>
      <c r="B22597" s="15" t="s">
        <v>29151</v>
      </c>
      <c r="C22597" s="16" t="s">
        <v>27788</v>
      </c>
      <c r="D22597" s="16" t="s">
        <v>27801</v>
      </c>
      <c r="E22597" s="2">
        <v>5367929</v>
      </c>
      <c r="F22597" s="4" t="str">
        <f>IF(B22597=B22596,"",B22597)</f>
        <v/>
      </c>
    </row>
    <row r="22598" spans="1:6" ht="15.75" customHeight="1">
      <c r="A22598" s="8" t="str">
        <f ca="1">IFERROR(__xludf.DUMMYFUNCTION("GOOGLETRANSLATE(B44400,""en"",""pt"")"),"Long Beach")</f>
        <v>Long Beach</v>
      </c>
      <c r="B22598" s="11" t="s">
        <v>29151</v>
      </c>
      <c r="C22598" s="11" t="s">
        <v>27788</v>
      </c>
      <c r="D22598" s="11" t="s">
        <v>27819</v>
      </c>
      <c r="E22598" s="10">
        <v>5125086</v>
      </c>
      <c r="F22598" s="4" t="str">
        <f>IF(B22598=B22597,"",B22598)</f>
        <v/>
      </c>
    </row>
    <row r="22599" spans="1:6" ht="15.75" customHeight="1">
      <c r="A22599" s="8" t="str">
        <f ca="1">IFERROR(__xludf.DUMMYFUNCTION("GOOGLETRANSLATE(B44890,""en"",""pt"")"),"Long Beach")</f>
        <v>Long Beach</v>
      </c>
      <c r="B22599" s="9" t="s">
        <v>29151</v>
      </c>
      <c r="C22599" s="9" t="s">
        <v>27788</v>
      </c>
      <c r="D22599" s="9" t="s">
        <v>27801</v>
      </c>
      <c r="E22599" s="10">
        <v>5367929</v>
      </c>
      <c r="F22599" s="4" t="str">
        <f>IF(B22599=B22598,"",B22599)</f>
        <v/>
      </c>
    </row>
    <row r="22600" spans="1:6" ht="15.75" customHeight="1">
      <c r="A22600" s="15" t="s">
        <v>2820</v>
      </c>
      <c r="B22600" s="15" t="s">
        <v>2820</v>
      </c>
      <c r="C22600" s="15" t="s">
        <v>1905</v>
      </c>
      <c r="D22600" s="15" t="s">
        <v>728</v>
      </c>
      <c r="E22600" s="2">
        <v>3458449</v>
      </c>
      <c r="F22600" s="4" t="str">
        <f>IF(B22600=B22599,"",B22600)</f>
        <v>Londrina</v>
      </c>
    </row>
    <row r="22601" spans="1:6" ht="15.75" customHeight="1">
      <c r="A22601" s="8" t="str">
        <f ca="1">IFERROR(__xludf.DUMMYFUNCTION("GOOGLETRANSLATE(B24853,""en"",""pt"")"),"Londrina")</f>
        <v>Londrina</v>
      </c>
      <c r="B22601" s="9" t="s">
        <v>2820</v>
      </c>
      <c r="C22601" s="9" t="s">
        <v>1905</v>
      </c>
      <c r="D22601" s="9" t="s">
        <v>727</v>
      </c>
      <c r="E22601" s="10">
        <v>3458449</v>
      </c>
      <c r="F22601" s="4" t="str">
        <f>IF(B22601=B22600,"",B22601)</f>
        <v/>
      </c>
    </row>
    <row r="22602" spans="1:6" ht="15.75" customHeight="1">
      <c r="A22602" s="16" t="s">
        <v>27503</v>
      </c>
      <c r="B22602" s="15" t="s">
        <v>27503</v>
      </c>
      <c r="C22602" s="16" t="s">
        <v>27234</v>
      </c>
      <c r="D22602" s="16" t="s">
        <v>27259</v>
      </c>
      <c r="E22602" s="2">
        <v>2643734</v>
      </c>
      <c r="F22602" s="4" t="str">
        <f>IF(B22602=B22601,"",B22602)</f>
        <v>Londonderry County Borough</v>
      </c>
    </row>
    <row r="22603" spans="1:6" ht="15.75" customHeight="1">
      <c r="A22603" s="8" t="str">
        <f ca="1">IFERROR(__xludf.DUMMYFUNCTION("GOOGLETRANSLATE(B30566,""en"",""pt"")"),"Londonderry County Borough")</f>
        <v>Londonderry County Borough</v>
      </c>
      <c r="B22603" s="9" t="s">
        <v>27503</v>
      </c>
      <c r="C22603" s="9" t="s">
        <v>27234</v>
      </c>
      <c r="D22603" s="9" t="s">
        <v>27259</v>
      </c>
      <c r="E22603" s="10">
        <v>2643734</v>
      </c>
      <c r="F22603" s="4" t="str">
        <f>IF(B22603=B22602,"",B22603)</f>
        <v/>
      </c>
    </row>
    <row r="22604" spans="1:6" ht="15.75" customHeight="1">
      <c r="A22604" s="15" t="s">
        <v>4088</v>
      </c>
      <c r="B22604" s="15" t="s">
        <v>4089</v>
      </c>
      <c r="C22604" s="15" t="s">
        <v>3975</v>
      </c>
      <c r="D22604" s="15" t="s">
        <v>3980</v>
      </c>
      <c r="E22604" s="2">
        <v>6058560</v>
      </c>
      <c r="F22604" s="4" t="str">
        <f>IF(B22604=B22603,"",B22604)</f>
        <v>London</v>
      </c>
    </row>
    <row r="22605" spans="1:6" ht="15.75" customHeight="1">
      <c r="A22605" s="15" t="s">
        <v>4088</v>
      </c>
      <c r="B22605" s="15" t="s">
        <v>4089</v>
      </c>
      <c r="C22605" s="15" t="s">
        <v>27234</v>
      </c>
      <c r="D22605" s="15" t="s">
        <v>27241</v>
      </c>
      <c r="E22605" s="2">
        <v>2643743</v>
      </c>
      <c r="F22605" s="4" t="str">
        <f>IF(B22605=B22604,"",B22605)</f>
        <v/>
      </c>
    </row>
    <row r="22606" spans="1:6" ht="15.75" customHeight="1">
      <c r="A22606" s="8" t="str">
        <f ca="1">IFERROR(__xludf.DUMMYFUNCTION("GOOGLETRANSLATE(B25504,""en"",""pt"")"),"Londres")</f>
        <v>Londres</v>
      </c>
      <c r="B22606" s="11" t="s">
        <v>4089</v>
      </c>
      <c r="C22606" s="11" t="s">
        <v>3975</v>
      </c>
      <c r="D22606" s="11" t="s">
        <v>3980</v>
      </c>
      <c r="E22606" s="10">
        <v>6058560</v>
      </c>
      <c r="F22606" s="4" t="str">
        <f>IF(B22606=B22605,"",B22606)</f>
        <v/>
      </c>
    </row>
    <row r="22607" spans="1:6" ht="15.75" customHeight="1">
      <c r="A22607" s="8" t="str">
        <f ca="1">IFERROR(__xludf.DUMMYFUNCTION("GOOGLETRANSLATE(B30569,""en"",""pt"")"),"Londres")</f>
        <v>Londres</v>
      </c>
      <c r="B22607" s="9" t="s">
        <v>4089</v>
      </c>
      <c r="C22607" s="9" t="s">
        <v>27234</v>
      </c>
      <c r="D22607" s="9" t="s">
        <v>27241</v>
      </c>
      <c r="E22607" s="10">
        <v>2643743</v>
      </c>
      <c r="F22607" s="4" t="str">
        <f>IF(B22607=B22606,"",B22607)</f>
        <v/>
      </c>
    </row>
    <row r="22608" spans="1:6" ht="15.75" customHeight="1">
      <c r="A22608" s="16" t="s">
        <v>1627</v>
      </c>
      <c r="B22608" s="15" t="s">
        <v>1627</v>
      </c>
      <c r="C22608" s="16" t="s">
        <v>1512</v>
      </c>
      <c r="D22608" s="16" t="s">
        <v>1513</v>
      </c>
      <c r="E22608" s="2">
        <v>2792165</v>
      </c>
      <c r="F22608" s="4" t="str">
        <f>IF(B22608=B22607,"",B22608)</f>
        <v>Londerzeel</v>
      </c>
    </row>
    <row r="22609" spans="1:6" ht="15.75" customHeight="1">
      <c r="A22609" s="8" t="str">
        <f ca="1">IFERROR(__xludf.DUMMYFUNCTION("GOOGLETRANSLATE(B23878,""en"",""pt"")"),"Londerzeel")</f>
        <v>Londerzeel</v>
      </c>
      <c r="B22609" s="9" t="s">
        <v>1627</v>
      </c>
      <c r="C22609" s="9" t="s">
        <v>1512</v>
      </c>
      <c r="D22609" s="9" t="s">
        <v>1513</v>
      </c>
      <c r="E22609" s="10">
        <v>2792165</v>
      </c>
      <c r="F22609" s="4" t="str">
        <f>IF(B22609=B22608,"",B22609)</f>
        <v/>
      </c>
    </row>
    <row r="22610" spans="1:6" ht="15.75" customHeight="1">
      <c r="A22610" s="15" t="s">
        <v>4422</v>
      </c>
      <c r="B22610" s="15" t="s">
        <v>4423</v>
      </c>
      <c r="C22610" s="15" t="s">
        <v>4355</v>
      </c>
      <c r="D22610" s="15" t="s">
        <v>4358</v>
      </c>
      <c r="E22610" s="2">
        <v>3882582</v>
      </c>
      <c r="F22610" s="4" t="str">
        <f>IF(B22610=B22609,"",B22610)</f>
        <v>Loncoche</v>
      </c>
    </row>
    <row r="22611" spans="1:6" ht="15.75" customHeight="1">
      <c r="A22611" s="8" t="str">
        <f ca="1">IFERROR(__xludf.DUMMYFUNCTION("GOOGLETRANSLATE(B25934,""en"",""pt"")"),"Lonnche")</f>
        <v>Lonnche</v>
      </c>
      <c r="B22611" s="11" t="s">
        <v>4423</v>
      </c>
      <c r="C22611" s="11" t="s">
        <v>4355</v>
      </c>
      <c r="D22611" s="11" t="s">
        <v>31794</v>
      </c>
      <c r="E22611" s="10">
        <v>3882582</v>
      </c>
      <c r="F22611" s="4" t="str">
        <f>IF(B22611=B22610,"",B22611)</f>
        <v/>
      </c>
    </row>
    <row r="22612" spans="1:6" ht="15.75" customHeight="1">
      <c r="A22612" s="15" t="s">
        <v>12166</v>
      </c>
      <c r="B22612" s="15" t="s">
        <v>12166</v>
      </c>
      <c r="C22612" s="15" t="s">
        <v>10178</v>
      </c>
      <c r="D22612" s="15" t="s">
        <v>10214</v>
      </c>
      <c r="E22612" s="2">
        <v>1264793</v>
      </c>
      <c r="F22612" s="4" t="str">
        <f>IF(B22612=B22611,"",B22612)</f>
        <v>Lonavla</v>
      </c>
    </row>
    <row r="22613" spans="1:6" ht="15.75" customHeight="1">
      <c r="A22613" s="8" t="str">
        <f ca="1">IFERROR(__xludf.DUMMYFUNCTION("GOOGLETRANSLATE(B32915,""en"",""pt"")"),"Lonavla")</f>
        <v>Lonavla</v>
      </c>
      <c r="B22613" s="11" t="s">
        <v>12166</v>
      </c>
      <c r="C22613" s="11" t="s">
        <v>10178</v>
      </c>
      <c r="D22613" s="11" t="s">
        <v>10214</v>
      </c>
      <c r="E22613" s="10">
        <v>1264793</v>
      </c>
      <c r="F22613" s="4" t="str">
        <f>IF(B22613=B22612,"",B22613)</f>
        <v/>
      </c>
    </row>
    <row r="22614" spans="1:6" ht="15.75" customHeight="1">
      <c r="A22614" s="8" t="str">
        <f ca="1">IFERROR(__xludf.DUMMYFUNCTION("GOOGLETRANSLATE(B32916,""en"",""pt"")"),"Lonār")</f>
        <v>Lonār</v>
      </c>
      <c r="B22614" s="9" t="s">
        <v>33451</v>
      </c>
      <c r="C22614" s="9" t="s">
        <v>10178</v>
      </c>
      <c r="D22614" s="9" t="s">
        <v>10214</v>
      </c>
      <c r="E22614" s="10">
        <v>1264794</v>
      </c>
      <c r="F22614" s="4" t="str">
        <f>IF(B22614=B22613,"",B22614)</f>
        <v>Lonār</v>
      </c>
    </row>
    <row r="22615" spans="1:6" ht="15.75" customHeight="1">
      <c r="A22615" s="15" t="s">
        <v>12164</v>
      </c>
      <c r="B22615" s="15" t="s">
        <v>12165</v>
      </c>
      <c r="C22615" s="15" t="s">
        <v>10178</v>
      </c>
      <c r="D22615" s="15" t="s">
        <v>10214</v>
      </c>
      <c r="E22615" s="2">
        <v>1264794</v>
      </c>
      <c r="F22615" s="4" t="str">
        <f>IF(B22615=B22614,"",B22615)</f>
        <v>LonÄr</v>
      </c>
    </row>
    <row r="22616" spans="1:6" ht="15.75" customHeight="1">
      <c r="A22616" s="8" t="str">
        <f ca="1">IFERROR(__xludf.DUMMYFUNCTION("GOOGLETRANSLATE(B39252,""en"",""pt"")"),"Łomża")</f>
        <v>Łomża</v>
      </c>
      <c r="B22616" s="11" t="s">
        <v>35106</v>
      </c>
      <c r="C22616" s="11" t="s">
        <v>21064</v>
      </c>
      <c r="D22616" s="11" t="s">
        <v>21086</v>
      </c>
      <c r="E22616" s="10">
        <v>766027</v>
      </c>
      <c r="F22616" s="4" t="str">
        <f>IF(B22616=B22615,"",B22616)</f>
        <v>Łomża</v>
      </c>
    </row>
    <row r="22617" spans="1:6" ht="15.75" customHeight="1">
      <c r="A22617" s="15" t="s">
        <v>29150</v>
      </c>
      <c r="B22617" s="15" t="s">
        <v>29150</v>
      </c>
      <c r="C22617" s="15" t="s">
        <v>27788</v>
      </c>
      <c r="D22617" s="15" t="s">
        <v>27801</v>
      </c>
      <c r="E22617" s="2">
        <v>5367788</v>
      </c>
      <c r="F22617" s="4" t="str">
        <f>IF(B22617=B22616,"",B22617)</f>
        <v>Lompoc</v>
      </c>
    </row>
    <row r="22618" spans="1:6" ht="15.75" customHeight="1">
      <c r="A22618" s="8" t="str">
        <f ca="1">IFERROR(__xludf.DUMMYFUNCTION("GOOGLETRANSLATE(B44889,""en"",""pt"")"),"Lompoc")</f>
        <v>Lompoc</v>
      </c>
      <c r="B22618" s="11" t="s">
        <v>29150</v>
      </c>
      <c r="C22618" s="11" t="s">
        <v>27788</v>
      </c>
      <c r="D22618" s="11" t="s">
        <v>27801</v>
      </c>
      <c r="E22618" s="10">
        <v>5367788</v>
      </c>
      <c r="F22618" s="4" t="str">
        <f>IF(B22618=B22617,"",B22618)</f>
        <v/>
      </c>
    </row>
    <row r="22619" spans="1:6" ht="15.75" customHeight="1">
      <c r="A22619" s="16" t="s">
        <v>22692</v>
      </c>
      <c r="B22619" s="15" t="s">
        <v>22692</v>
      </c>
      <c r="C22619" s="16" t="s">
        <v>22070</v>
      </c>
      <c r="D22619" s="16" t="s">
        <v>22084</v>
      </c>
      <c r="E22619" s="2">
        <v>534341</v>
      </c>
      <c r="F22619" s="4" t="str">
        <f>IF(B22619=B22618,"",B22619)</f>
        <v>Lomonosov</v>
      </c>
    </row>
    <row r="22620" spans="1:6" ht="15.75" customHeight="1">
      <c r="A22620" s="8" t="str">
        <f ca="1">IFERROR(__xludf.DUMMYFUNCTION("GOOGLETRANSLATE(B40352,""en"",""pt"")"),"Lomonosov")</f>
        <v>Lomonosov</v>
      </c>
      <c r="B22620" s="11" t="s">
        <v>22692</v>
      </c>
      <c r="C22620" s="11" t="s">
        <v>22070</v>
      </c>
      <c r="D22620" s="11" t="s">
        <v>22084</v>
      </c>
      <c r="E22620" s="10">
        <v>534341</v>
      </c>
      <c r="F22620" s="4" t="str">
        <f>IF(B22620=B22619,"",B22620)</f>
        <v/>
      </c>
    </row>
    <row r="22621" spans="1:6" ht="15.75" customHeight="1">
      <c r="A22621" s="15" t="s">
        <v>1626</v>
      </c>
      <c r="B22621" s="15" t="s">
        <v>1626</v>
      </c>
      <c r="C22621" s="15" t="s">
        <v>1512</v>
      </c>
      <c r="D22621" s="15" t="s">
        <v>1513</v>
      </c>
      <c r="E22621" s="2">
        <v>2792179</v>
      </c>
      <c r="F22621" s="4" t="str">
        <f>IF(B22621=B22620,"",B22621)</f>
        <v>Lommel</v>
      </c>
    </row>
    <row r="22622" spans="1:6" ht="15.75" customHeight="1">
      <c r="A22622" s="8" t="str">
        <f ca="1">IFERROR(__xludf.DUMMYFUNCTION("GOOGLETRANSLATE(B23879,""en"",""pt"")"),"Lommel")</f>
        <v>Lommel</v>
      </c>
      <c r="B22622" s="11" t="s">
        <v>1626</v>
      </c>
      <c r="C22622" s="11" t="s">
        <v>1512</v>
      </c>
      <c r="D22622" s="11" t="s">
        <v>1513</v>
      </c>
      <c r="E22622" s="10">
        <v>2792179</v>
      </c>
      <c r="F22622" s="4" t="str">
        <f>IF(B22622=B22621,"",B22622)</f>
        <v/>
      </c>
    </row>
    <row r="22623" spans="1:6" ht="15.75" customHeight="1">
      <c r="A22623" s="15" t="s">
        <v>7503</v>
      </c>
      <c r="B22623" s="15" t="s">
        <v>7503</v>
      </c>
      <c r="C22623" s="15" t="s">
        <v>7052</v>
      </c>
      <c r="D22623" s="15" t="s">
        <v>7078</v>
      </c>
      <c r="E22623" s="2">
        <v>2997803</v>
      </c>
      <c r="F22623" s="4" t="str">
        <f>IF(B22623=B22622,"",B22623)</f>
        <v>Lomme</v>
      </c>
    </row>
    <row r="22624" spans="1:6" ht="15.75" customHeight="1">
      <c r="A22624" s="8" t="str">
        <f ca="1">IFERROR(__xludf.DUMMYFUNCTION("GOOGLETRANSLATE(B29960,""en"",""pt"")"),"Lomme")</f>
        <v>Lomme</v>
      </c>
      <c r="B22624" s="11" t="s">
        <v>7503</v>
      </c>
      <c r="C22624" s="11" t="s">
        <v>7052</v>
      </c>
      <c r="D22624" s="11" t="s">
        <v>7078</v>
      </c>
      <c r="E22624" s="10">
        <v>2997803</v>
      </c>
      <c r="F22624" s="4" t="str">
        <f>IF(B22624=B22623,"",B22624)</f>
        <v/>
      </c>
    </row>
    <row r="22625" spans="1:6" ht="15.75" customHeight="1">
      <c r="A22625" s="15" t="s">
        <v>29149</v>
      </c>
      <c r="B22625" s="15" t="s">
        <v>29149</v>
      </c>
      <c r="C22625" s="15" t="s">
        <v>27788</v>
      </c>
      <c r="D22625" s="15" t="s">
        <v>27801</v>
      </c>
      <c r="E22625" s="2">
        <v>5367767</v>
      </c>
      <c r="F22625" s="4" t="str">
        <f>IF(B22625=B22624,"",B22625)</f>
        <v>Lomita</v>
      </c>
    </row>
    <row r="22626" spans="1:6" ht="15.75" customHeight="1">
      <c r="A22626" s="8" t="str">
        <f ca="1">IFERROR(__xludf.DUMMYFUNCTION("GOOGLETRANSLATE(B44888,""en"",""pt"")"),"Lomita")</f>
        <v>Lomita</v>
      </c>
      <c r="B22626" s="11" t="s">
        <v>29149</v>
      </c>
      <c r="C22626" s="11" t="s">
        <v>27788</v>
      </c>
      <c r="D22626" s="11" t="s">
        <v>27801</v>
      </c>
      <c r="E22626" s="10">
        <v>5367767</v>
      </c>
      <c r="F22626" s="4" t="str">
        <f>IF(B22626=B22625,"",B22626)</f>
        <v/>
      </c>
    </row>
    <row r="22627" spans="1:6" ht="15.75" customHeight="1">
      <c r="A22627" s="8" t="str">
        <f ca="1">IFERROR(__xludf.DUMMYFUNCTION("GOOGLETRANSLATE(B39253,""en"",""pt"")"),"Łomianki")</f>
        <v>Łomianki</v>
      </c>
      <c r="B22627" s="11" t="s">
        <v>35107</v>
      </c>
      <c r="C22627" s="11" t="s">
        <v>21064</v>
      </c>
      <c r="D22627" s="11" t="s">
        <v>21070</v>
      </c>
      <c r="E22627" s="10">
        <v>766042</v>
      </c>
      <c r="F22627" s="4" t="str">
        <f>IF(B22627=B22626,"",B22627)</f>
        <v>Łomianki</v>
      </c>
    </row>
    <row r="22628" spans="1:6" ht="15.75" customHeight="1">
      <c r="A22628" s="8" t="str">
        <f ca="1">IFERROR(__xludf.DUMMYFUNCTION("GOOGLETRANSLATE(B41502,""en"",""pt"")"),"Lomé")</f>
        <v>Lomé</v>
      </c>
      <c r="B22628" s="11" t="s">
        <v>26050</v>
      </c>
      <c r="C22628" s="11" t="s">
        <v>26038</v>
      </c>
      <c r="D22628" s="11" t="s">
        <v>26039</v>
      </c>
      <c r="E22628" s="10">
        <v>2365267</v>
      </c>
      <c r="F22628" s="4" t="str">
        <f>IF(B22628=B22627,"",B22628)</f>
        <v>Lomé</v>
      </c>
    </row>
    <row r="22629" spans="1:6" ht="15.75" customHeight="1">
      <c r="A22629" s="15" t="s">
        <v>29148</v>
      </c>
      <c r="B22629" s="15" t="s">
        <v>29148</v>
      </c>
      <c r="C22629" s="15" t="s">
        <v>27788</v>
      </c>
      <c r="D22629" s="15" t="s">
        <v>27799</v>
      </c>
      <c r="E22629" s="2">
        <v>4900373</v>
      </c>
      <c r="F22629" s="4" t="str">
        <f>IF(B22629=B22628,"",B22629)</f>
        <v>Lombard</v>
      </c>
    </row>
    <row r="22630" spans="1:6" ht="15.75" customHeight="1">
      <c r="A22630" s="8" t="str">
        <f ca="1">IFERROR(__xludf.DUMMYFUNCTION("GOOGLETRANSLATE(B43837,""en"",""pt"")"),"Lombard")</f>
        <v>Lombard</v>
      </c>
      <c r="B22630" s="9" t="s">
        <v>29148</v>
      </c>
      <c r="C22630" s="9" t="s">
        <v>27788</v>
      </c>
      <c r="D22630" s="9" t="s">
        <v>27799</v>
      </c>
      <c r="E22630" s="10">
        <v>4900373</v>
      </c>
      <c r="F22630" s="4" t="str">
        <f>IF(B22630=B22629,"",B22630)</f>
        <v/>
      </c>
    </row>
    <row r="22631" spans="1:6" ht="15.75" customHeight="1">
      <c r="A22631" s="16" t="s">
        <v>18054</v>
      </c>
      <c r="B22631" s="15" t="s">
        <v>18054</v>
      </c>
      <c r="C22631" s="16" t="s">
        <v>17707</v>
      </c>
      <c r="D22631" s="16" t="s">
        <v>17746</v>
      </c>
      <c r="E22631" s="2">
        <v>8858108</v>
      </c>
      <c r="F22631" s="4" t="str">
        <f>IF(B22631=B22630,"",B22631)</f>
        <v>Lomas del Sur</v>
      </c>
    </row>
    <row r="22632" spans="1:6" ht="15.75" customHeight="1">
      <c r="A22632" s="8" t="str">
        <f ca="1">IFERROR(__xludf.DUMMYFUNCTION("GOOGLETRANSLATE(B37385,""en"",""pt"")"),"Lomas del Sur")</f>
        <v>Lomas del Sur</v>
      </c>
      <c r="B22632" s="11" t="s">
        <v>18054</v>
      </c>
      <c r="C22632" s="11" t="s">
        <v>17707</v>
      </c>
      <c r="D22632" s="11" t="s">
        <v>17746</v>
      </c>
      <c r="E22632" s="10">
        <v>8858108</v>
      </c>
      <c r="F22632" s="4" t="str">
        <f>IF(B22632=B22631,"",B22632)</f>
        <v/>
      </c>
    </row>
    <row r="22633" spans="1:6" ht="15.75" customHeight="1">
      <c r="A22633" s="15" t="s">
        <v>26050</v>
      </c>
      <c r="B22633" s="15" t="s">
        <v>26051</v>
      </c>
      <c r="C22633" s="15" t="s">
        <v>26038</v>
      </c>
      <c r="D22633" s="15" t="s">
        <v>26039</v>
      </c>
      <c r="E22633" s="2">
        <v>2365267</v>
      </c>
      <c r="F22633" s="4" t="str">
        <f>IF(B22633=B22632,"",B22633)</f>
        <v>LomÃ©</v>
      </c>
    </row>
    <row r="22634" spans="1:6" ht="15.75" customHeight="1">
      <c r="A22634" s="16" t="s">
        <v>29147</v>
      </c>
      <c r="B22634" s="15" t="s">
        <v>29147</v>
      </c>
      <c r="C22634" s="16" t="s">
        <v>27788</v>
      </c>
      <c r="D22634" s="16" t="s">
        <v>27801</v>
      </c>
      <c r="E22634" s="2">
        <v>5367696</v>
      </c>
      <c r="F22634" s="4" t="str">
        <f>IF(B22634=B22633,"",B22634)</f>
        <v>Loma Linda</v>
      </c>
    </row>
    <row r="22635" spans="1:6" ht="15.75" customHeight="1">
      <c r="A22635" s="8" t="str">
        <f ca="1">IFERROR(__xludf.DUMMYFUNCTION("GOOGLETRANSLATE(B44887,""en"",""pt"")"),"Loma Linda")</f>
        <v>Loma Linda</v>
      </c>
      <c r="B22635" s="9" t="s">
        <v>29147</v>
      </c>
      <c r="C22635" s="9" t="s">
        <v>27788</v>
      </c>
      <c r="D22635" s="9" t="s">
        <v>27801</v>
      </c>
      <c r="E22635" s="10">
        <v>5367696</v>
      </c>
      <c r="F22635" s="4" t="str">
        <f>IF(B22635=B22634,"",B22635)</f>
        <v/>
      </c>
    </row>
    <row r="22636" spans="1:6" ht="15.75" customHeight="1">
      <c r="A22636" s="16" t="s">
        <v>20838</v>
      </c>
      <c r="B22636" s="15" t="s">
        <v>20838</v>
      </c>
      <c r="C22636" s="16" t="s">
        <v>20598</v>
      </c>
      <c r="D22636" s="16" t="s">
        <v>20599</v>
      </c>
      <c r="E22636" s="2">
        <v>1705771</v>
      </c>
      <c r="F22636" s="4" t="str">
        <f>IF(B22636=B22635,"",B22636)</f>
        <v>Loma de Gato</v>
      </c>
    </row>
    <row r="22637" spans="1:6" ht="15.75" customHeight="1">
      <c r="A22637" s="8" t="str">
        <f ca="1">IFERROR(__xludf.DUMMYFUNCTION("GOOGLETRANSLATE(B38660,""en"",""pt"")"),"Loma de Gato")</f>
        <v>Loma de Gato</v>
      </c>
      <c r="B22637" s="11" t="s">
        <v>20838</v>
      </c>
      <c r="C22637" s="11" t="s">
        <v>20598</v>
      </c>
      <c r="D22637" s="11" t="s">
        <v>20599</v>
      </c>
      <c r="E22637" s="10">
        <v>1705771</v>
      </c>
      <c r="F22637" s="4" t="str">
        <f>IF(B22637=B22636,"",B22637)</f>
        <v/>
      </c>
    </row>
    <row r="22638" spans="1:6" ht="15.75" customHeight="1">
      <c r="A22638" s="15" t="s">
        <v>25923</v>
      </c>
      <c r="B22638" s="15" t="s">
        <v>25923</v>
      </c>
      <c r="C22638" s="15" t="s">
        <v>25771</v>
      </c>
      <c r="D22638" s="15" t="s">
        <v>25866</v>
      </c>
      <c r="E22638" s="2">
        <v>1609043</v>
      </c>
      <c r="F22638" s="4" t="str">
        <f>IF(B22638=B22637,"",B22638)</f>
        <v>Lom Sak</v>
      </c>
    </row>
    <row r="22639" spans="1:6" ht="15.75" customHeight="1">
      <c r="A22639" s="8" t="str">
        <f ca="1">IFERROR(__xludf.DUMMYFUNCTION("GOOGLETRANSLATE(B41664,""en"",""pt"")"),"Lom Sak")</f>
        <v>Lom Sak</v>
      </c>
      <c r="B22639" s="11" t="s">
        <v>25923</v>
      </c>
      <c r="C22639" s="11" t="s">
        <v>25771</v>
      </c>
      <c r="D22639" s="11" t="s">
        <v>25866</v>
      </c>
      <c r="E22639" s="10">
        <v>1609043</v>
      </c>
      <c r="F22639" s="4" t="str">
        <f>IF(B22639=B22638,"",B22639)</f>
        <v/>
      </c>
    </row>
    <row r="22640" spans="1:6" ht="15.75" customHeight="1">
      <c r="A22640" s="15" t="s">
        <v>3731</v>
      </c>
      <c r="B22640" s="15" t="s">
        <v>3732</v>
      </c>
      <c r="C22640" s="15" t="s">
        <v>3701</v>
      </c>
      <c r="D22640" s="15" t="s">
        <v>3706</v>
      </c>
      <c r="E22640" s="2">
        <v>729581</v>
      </c>
      <c r="F22640" s="4" t="str">
        <f>IF(B22640=B22639,"",B22640)</f>
        <v>Lom</v>
      </c>
    </row>
    <row r="22641" spans="1:6" ht="15.75" customHeight="1">
      <c r="A22641" s="8" t="str">
        <f ca="1">IFERROR(__xludf.DUMMYFUNCTION("GOOGLETRANSLATE(B24042,""en"",""pt"")"),"LOM")</f>
        <v>LOM</v>
      </c>
      <c r="B22641" s="11" t="s">
        <v>3732</v>
      </c>
      <c r="C22641" s="11" t="s">
        <v>3701</v>
      </c>
      <c r="D22641" s="11" t="s">
        <v>3706</v>
      </c>
      <c r="E22641" s="10">
        <v>729581</v>
      </c>
      <c r="F22641" s="4" t="str">
        <f>IF(B22641=B22640,"",B22641)</f>
        <v/>
      </c>
    </row>
    <row r="22642" spans="1:6" ht="15.75" customHeight="1">
      <c r="A22642" s="16" t="s">
        <v>3938</v>
      </c>
      <c r="B22642" s="15" t="s">
        <v>3939</v>
      </c>
      <c r="C22642" s="16" t="s">
        <v>3884</v>
      </c>
      <c r="D22642" s="16" t="s">
        <v>3885</v>
      </c>
      <c r="E22642" s="2">
        <v>2229267</v>
      </c>
      <c r="F22642" s="4" t="str">
        <f>IF(B22642=B22641,"",B22642)</f>
        <v>Lolodorf</v>
      </c>
    </row>
    <row r="22643" spans="1:6" ht="15.75" customHeight="1">
      <c r="A22643" s="8" t="str">
        <f ca="1">IFERROR(__xludf.DUMMYFUNCTION("GOOGLETRANSLATE(B26008,""en"",""pt"")"),"LOLODORF")</f>
        <v>LOLODORF</v>
      </c>
      <c r="B22643" s="11" t="s">
        <v>3939</v>
      </c>
      <c r="C22643" s="11" t="s">
        <v>3884</v>
      </c>
      <c r="D22643" s="11" t="s">
        <v>3885</v>
      </c>
      <c r="E22643" s="10">
        <v>2229267</v>
      </c>
      <c r="F22643" s="4" t="str">
        <f>IF(B22643=B22642,"",B22643)</f>
        <v/>
      </c>
    </row>
    <row r="22644" spans="1:6" ht="15.75" customHeight="1">
      <c r="A22644" s="15" t="s">
        <v>1773</v>
      </c>
      <c r="B22644" s="15" t="s">
        <v>1773</v>
      </c>
      <c r="C22644" s="15" t="s">
        <v>1741</v>
      </c>
      <c r="D22644" s="15" t="s">
        <v>1759</v>
      </c>
      <c r="E22644" s="2">
        <v>2392897</v>
      </c>
      <c r="F22644" s="4" t="str">
        <f>IF(B22644=B22643,"",B22644)</f>
        <v>Lokossa</v>
      </c>
    </row>
    <row r="22645" spans="1:6" ht="15.75" customHeight="1">
      <c r="A22645" s="8" t="str">
        <f ca="1">IFERROR(__xludf.DUMMYFUNCTION("GOOGLETRANSLATE(B24092,""en"",""pt"")"),"Lokossa")</f>
        <v>Lokossa</v>
      </c>
      <c r="B22645" s="11" t="s">
        <v>1773</v>
      </c>
      <c r="C22645" s="11" t="s">
        <v>1741</v>
      </c>
      <c r="D22645" s="11" t="s">
        <v>1759</v>
      </c>
      <c r="E22645" s="10">
        <v>2392897</v>
      </c>
      <c r="F22645" s="4" t="str">
        <f>IF(B22645=B22644,"",B22645)</f>
        <v/>
      </c>
    </row>
    <row r="22646" spans="1:6" ht="15.75" customHeight="1">
      <c r="A22646" s="15" t="s">
        <v>19495</v>
      </c>
      <c r="B22646" s="15" t="s">
        <v>19495</v>
      </c>
      <c r="C22646" s="15" t="s">
        <v>19294</v>
      </c>
      <c r="D22646" s="15" t="s">
        <v>19310</v>
      </c>
      <c r="E22646" s="2">
        <v>2331939</v>
      </c>
      <c r="F22646" s="4" t="str">
        <f>IF(B22646=B22645,"",B22646)</f>
        <v>Lokoja</v>
      </c>
    </row>
    <row r="22647" spans="1:6" ht="15.75" customHeight="1">
      <c r="A22647" s="8" t="str">
        <f ca="1">IFERROR(__xludf.DUMMYFUNCTION("GOOGLETRANSLATE(B37687,""en"",""pt"")"),"Lokoja")</f>
        <v>Lokoja</v>
      </c>
      <c r="B22647" s="11" t="s">
        <v>19495</v>
      </c>
      <c r="C22647" s="11" t="s">
        <v>19294</v>
      </c>
      <c r="D22647" s="11" t="s">
        <v>19310</v>
      </c>
      <c r="E22647" s="10">
        <v>2331939</v>
      </c>
      <c r="F22647" s="4" t="str">
        <f>IF(B22647=B22646,"",B22647)</f>
        <v/>
      </c>
    </row>
    <row r="22648" spans="1:6" ht="15.75" customHeight="1">
      <c r="A22648" s="15" t="s">
        <v>1625</v>
      </c>
      <c r="B22648" s="15" t="s">
        <v>1625</v>
      </c>
      <c r="C22648" s="15" t="s">
        <v>1512</v>
      </c>
      <c r="D22648" s="15" t="s">
        <v>1513</v>
      </c>
      <c r="E22648" s="2">
        <v>2792196</v>
      </c>
      <c r="F22648" s="4" t="str">
        <f>IF(B22648=B22647,"",B22648)</f>
        <v>Lokeren</v>
      </c>
    </row>
    <row r="22649" spans="1:6" ht="15.75" customHeight="1">
      <c r="A22649" s="8" t="str">
        <f ca="1">IFERROR(__xludf.DUMMYFUNCTION("GOOGLETRANSLATE(B23880,""en"",""pt"")"),"Lokeren")</f>
        <v>Lokeren</v>
      </c>
      <c r="B22649" s="9" t="s">
        <v>1625</v>
      </c>
      <c r="C22649" s="9" t="s">
        <v>1512</v>
      </c>
      <c r="D22649" s="9" t="s">
        <v>1513</v>
      </c>
      <c r="E22649" s="10">
        <v>2792196</v>
      </c>
      <c r="F22649" s="4" t="str">
        <f>IF(B22649=B22648,"",B22649)</f>
        <v/>
      </c>
    </row>
    <row r="22650" spans="1:6" ht="15.75" customHeight="1">
      <c r="A22650" s="8" t="str">
        <f ca="1">IFERROR(__xludf.DUMMYFUNCTION("GOOGLETRANSLATE(B23653,""en"",""pt"")"),"Lökbatan")</f>
        <v>Lökbatan</v>
      </c>
      <c r="B22650" s="11" t="s">
        <v>31244</v>
      </c>
      <c r="C22650" s="11" t="s">
        <v>1170</v>
      </c>
      <c r="D22650" s="11" t="s">
        <v>1181</v>
      </c>
      <c r="E22650" s="10">
        <v>585630</v>
      </c>
      <c r="F22650" s="4" t="str">
        <f>IF(B22650=B22649,"",B22650)</f>
        <v>Lökbatan</v>
      </c>
    </row>
    <row r="22651" spans="1:6" ht="15.75" customHeight="1">
      <c r="A22651" s="15" t="s">
        <v>6417</v>
      </c>
      <c r="B22651" s="15" t="s">
        <v>6417</v>
      </c>
      <c r="C22651" s="15" t="s">
        <v>6398</v>
      </c>
      <c r="D22651" s="15" t="s">
        <v>6417</v>
      </c>
      <c r="E22651" s="2">
        <v>3654667</v>
      </c>
      <c r="F22651" s="4" t="str">
        <f>IF(B22651=B22650,"",B22651)</f>
        <v>Loja</v>
      </c>
    </row>
    <row r="22652" spans="1:6" ht="15.75" customHeight="1">
      <c r="A22652" s="15" t="s">
        <v>6417</v>
      </c>
      <c r="B22652" s="15" t="s">
        <v>6417</v>
      </c>
      <c r="C22652" s="15" t="s">
        <v>24200</v>
      </c>
      <c r="D22652" s="15" t="s">
        <v>24205</v>
      </c>
      <c r="E22652" s="2">
        <v>2514946</v>
      </c>
      <c r="F22652" s="4" t="str">
        <f>IF(B22652=B22651,"",B22652)</f>
        <v/>
      </c>
    </row>
    <row r="22653" spans="1:6" ht="15.75" customHeight="1">
      <c r="A22653" s="8" t="str">
        <f ca="1">IFERROR(__xludf.DUMMYFUNCTION("GOOGLETRANSLATE(B28783,""en"",""pt"")"),"Loja")</f>
        <v>Loja</v>
      </c>
      <c r="B22653" s="11" t="s">
        <v>6417</v>
      </c>
      <c r="C22653" s="11" t="s">
        <v>6398</v>
      </c>
      <c r="D22653" s="11" t="s">
        <v>6417</v>
      </c>
      <c r="E22653" s="10">
        <v>3654667</v>
      </c>
      <c r="F22653" s="4" t="str">
        <f>IF(B22653=B22652,"",B22653)</f>
        <v/>
      </c>
    </row>
    <row r="22654" spans="1:6" ht="15.75" customHeight="1">
      <c r="A22654" s="8" t="str">
        <f ca="1">IFERROR(__xludf.DUMMYFUNCTION("GOOGLETRANSLATE(B29079,""en"",""pt"")"),"Loja")</f>
        <v>Loja</v>
      </c>
      <c r="B22654" s="9" t="s">
        <v>6417</v>
      </c>
      <c r="C22654" s="9" t="s">
        <v>24200</v>
      </c>
      <c r="D22654" s="9" t="s">
        <v>24205</v>
      </c>
      <c r="E22654" s="10">
        <v>2514946</v>
      </c>
      <c r="F22654" s="4" t="str">
        <f>IF(B22654=B22653,"",B22654)</f>
        <v/>
      </c>
    </row>
    <row r="22655" spans="1:6" ht="15.75" customHeight="1">
      <c r="A22655" s="15" t="s">
        <v>18722</v>
      </c>
      <c r="B22655" s="15" t="s">
        <v>18722</v>
      </c>
      <c r="C22655" s="15" t="s">
        <v>18696</v>
      </c>
      <c r="D22655" s="15" t="s">
        <v>18723</v>
      </c>
      <c r="E22655" s="2">
        <v>1313479</v>
      </c>
      <c r="F22655" s="4" t="str">
        <f>IF(B22655=B22654,"",B22655)</f>
        <v>Loikaw</v>
      </c>
    </row>
    <row r="22656" spans="1:6" ht="15.75" customHeight="1">
      <c r="A22656" s="8" t="str">
        <f ca="1">IFERROR(__xludf.DUMMYFUNCTION("GOOGLETRANSLATE(B36745,""en"",""pt"")"),"Loikaw")</f>
        <v>Loikaw</v>
      </c>
      <c r="B22656" s="11" t="s">
        <v>18722</v>
      </c>
      <c r="C22656" s="11" t="s">
        <v>18696</v>
      </c>
      <c r="D22656" s="11" t="s">
        <v>18723</v>
      </c>
      <c r="E22656" s="10">
        <v>1313479</v>
      </c>
      <c r="F22656" s="4" t="str">
        <f>IF(B22656=B22655,"",B22656)</f>
        <v/>
      </c>
    </row>
    <row r="22657" spans="1:6" ht="15.75" customHeight="1">
      <c r="A22657" s="16" t="s">
        <v>8779</v>
      </c>
      <c r="B22657" s="15" t="s">
        <v>8780</v>
      </c>
      <c r="C22657" s="16" t="s">
        <v>8028</v>
      </c>
      <c r="D22657" s="16" t="s">
        <v>8044</v>
      </c>
      <c r="E22657" s="2">
        <v>2876147</v>
      </c>
      <c r="F22657" s="4" t="str">
        <f>IF(B22657=B22656,"",B22657)</f>
        <v>Lohr am Main</v>
      </c>
    </row>
    <row r="22658" spans="1:6" ht="15.75" customHeight="1">
      <c r="A22658" s="8" t="str">
        <f ca="1">IFERROR(__xludf.DUMMYFUNCTION("GOOGLETRANSLATE(B27807,""en"",""pt"")"),"Lohr am main")</f>
        <v>Lohr am main</v>
      </c>
      <c r="B22658" s="11" t="s">
        <v>8780</v>
      </c>
      <c r="C22658" s="11" t="s">
        <v>8028</v>
      </c>
      <c r="D22658" s="11" t="s">
        <v>8044</v>
      </c>
      <c r="E22658" s="10">
        <v>2876147</v>
      </c>
      <c r="F22658" s="4" t="str">
        <f>IF(B22658=B22657,"",B22658)</f>
        <v/>
      </c>
    </row>
    <row r="22659" spans="1:6" ht="15.75" customHeight="1">
      <c r="A22659" s="8" t="str">
        <f ca="1">IFERROR(__xludf.DUMMYFUNCTION("GOOGLETRANSLATE(B27809,""en"",""pt"")"),"Löhne")</f>
        <v>Löhne</v>
      </c>
      <c r="B22659" s="11" t="s">
        <v>32070</v>
      </c>
      <c r="C22659" s="11" t="s">
        <v>8028</v>
      </c>
      <c r="D22659" s="11" t="s">
        <v>8029</v>
      </c>
      <c r="E22659" s="10">
        <v>2876187</v>
      </c>
      <c r="F22659" s="4" t="str">
        <f>IF(B22659=B22658,"",B22659)</f>
        <v>Löhne</v>
      </c>
    </row>
    <row r="22660" spans="1:6" ht="15.75" customHeight="1">
      <c r="A22660" s="15" t="s">
        <v>8778</v>
      </c>
      <c r="B22660" s="15" t="s">
        <v>8778</v>
      </c>
      <c r="C22660" s="15" t="s">
        <v>8028</v>
      </c>
      <c r="D22660" s="15" t="s">
        <v>8034</v>
      </c>
      <c r="E22660" s="2">
        <v>2876185</v>
      </c>
      <c r="F22660" s="4" t="str">
        <f>IF(B22660=B22659,"",B22660)</f>
        <v>Lohne</v>
      </c>
    </row>
    <row r="22661" spans="1:6" ht="15.75" customHeight="1">
      <c r="A22661" s="8" t="str">
        <f ca="1">IFERROR(__xludf.DUMMYFUNCTION("GOOGLETRANSLATE(B27808,""en"",""pt"")"),"Lohne")</f>
        <v>Lohne</v>
      </c>
      <c r="B22661" s="11" t="s">
        <v>8778</v>
      </c>
      <c r="C22661" s="11" t="s">
        <v>8028</v>
      </c>
      <c r="D22661" s="11" t="s">
        <v>8034</v>
      </c>
      <c r="E22661" s="10">
        <v>2876185</v>
      </c>
      <c r="F22661" s="4" t="str">
        <f>IF(B22661=B22660,"",B22661)</f>
        <v/>
      </c>
    </row>
    <row r="22662" spans="1:6" ht="15.75" customHeight="1">
      <c r="A22662" s="15" t="s">
        <v>8777</v>
      </c>
      <c r="B22662" s="15" t="s">
        <v>8777</v>
      </c>
      <c r="C22662" s="15" t="s">
        <v>8028</v>
      </c>
      <c r="D22662" s="15" t="s">
        <v>8029</v>
      </c>
      <c r="E22662" s="2">
        <v>2876218</v>
      </c>
      <c r="F22662" s="4" t="str">
        <f>IF(B22662=B22661,"",B22662)</f>
        <v>Lohmar</v>
      </c>
    </row>
    <row r="22663" spans="1:6" ht="15.75" customHeight="1">
      <c r="A22663" s="8" t="str">
        <f ca="1">IFERROR(__xludf.DUMMYFUNCTION("GOOGLETRANSLATE(B27810,""en"",""pt"")"),"Lohmar")</f>
        <v>Lohmar</v>
      </c>
      <c r="B22663" s="11" t="s">
        <v>8777</v>
      </c>
      <c r="C22663" s="11" t="s">
        <v>8028</v>
      </c>
      <c r="D22663" s="11" t="s">
        <v>8029</v>
      </c>
      <c r="E22663" s="10">
        <v>2876218</v>
      </c>
      <c r="F22663" s="4" t="str">
        <f>IF(B22663=B22662,"",B22663)</f>
        <v/>
      </c>
    </row>
    <row r="22664" spans="1:6" ht="15.75" customHeight="1">
      <c r="A22664" s="15" t="s">
        <v>7010</v>
      </c>
      <c r="B22664" s="15" t="s">
        <v>7010</v>
      </c>
      <c r="C22664" s="15" t="s">
        <v>6948</v>
      </c>
      <c r="D22664" s="15" t="s">
        <v>6951</v>
      </c>
      <c r="E22664" s="2">
        <v>647751</v>
      </c>
      <c r="F22664" s="4" t="str">
        <f>IF(B22664=B22663,"",B22664)</f>
        <v>Lohja</v>
      </c>
    </row>
    <row r="22665" spans="1:6" ht="15.75" customHeight="1">
      <c r="A22665" s="8" t="str">
        <f ca="1">IFERROR(__xludf.DUMMYFUNCTION("GOOGLETRANSLATE(B29626,""en"",""pt"")"),"Lohja")</f>
        <v>Lohja</v>
      </c>
      <c r="B22665" s="11" t="s">
        <v>7010</v>
      </c>
      <c r="C22665" s="11" t="s">
        <v>6948</v>
      </c>
      <c r="D22665" s="11" t="s">
        <v>6951</v>
      </c>
      <c r="E22665" s="10">
        <v>647751</v>
      </c>
      <c r="F22665" s="4" t="str">
        <f>IF(B22665=B22664,"",B22665)</f>
        <v/>
      </c>
    </row>
    <row r="22666" spans="1:6" ht="15.75" customHeight="1">
      <c r="A22666" s="8" t="str">
        <f ca="1">IFERROR(__xludf.DUMMYFUNCTION("GOOGLETRANSLATE(B32917,""en"",""pt"")"),"Lohārdaga")</f>
        <v>Lohārdaga</v>
      </c>
      <c r="B22666" s="9" t="s">
        <v>33452</v>
      </c>
      <c r="C22666" s="9" t="s">
        <v>10178</v>
      </c>
      <c r="D22666" s="9" t="s">
        <v>10430</v>
      </c>
      <c r="E22666" s="10">
        <v>1264839</v>
      </c>
      <c r="F22666" s="4" t="str">
        <f>IF(B22666=B22665,"",B22666)</f>
        <v>Lohārdaga</v>
      </c>
    </row>
    <row r="22667" spans="1:6" ht="15.75" customHeight="1">
      <c r="A22667" s="16" t="s">
        <v>12162</v>
      </c>
      <c r="B22667" s="15" t="s">
        <v>12163</v>
      </c>
      <c r="C22667" s="16" t="s">
        <v>10178</v>
      </c>
      <c r="D22667" s="16" t="s">
        <v>10430</v>
      </c>
      <c r="E22667" s="2">
        <v>1264839</v>
      </c>
      <c r="F22667" s="4" t="str">
        <f>IF(B22667=B22666,"",B22667)</f>
        <v>LohÄrdaga</v>
      </c>
    </row>
    <row r="22668" spans="1:6" ht="15.75" customHeight="1">
      <c r="A22668" s="8" t="str">
        <f ca="1">IFERROR(__xludf.DUMMYFUNCTION("GOOGLETRANSLATE(B29370,""en"",""pt"")"),"Logroño")</f>
        <v>Logroño</v>
      </c>
      <c r="B22668" s="9" t="s">
        <v>32455</v>
      </c>
      <c r="C22668" s="9" t="s">
        <v>24200</v>
      </c>
      <c r="D22668" s="9" t="s">
        <v>614</v>
      </c>
      <c r="E22668" s="10">
        <v>3118150</v>
      </c>
      <c r="F22668" s="4" t="str">
        <f>IF(B22668=B22667,"",B22668)</f>
        <v>Logroño</v>
      </c>
    </row>
    <row r="22669" spans="1:6" ht="15.75" customHeight="1">
      <c r="A22669" s="16" t="s">
        <v>24572</v>
      </c>
      <c r="B22669" s="15" t="s">
        <v>24573</v>
      </c>
      <c r="C22669" s="16" t="s">
        <v>24200</v>
      </c>
      <c r="D22669" s="16" t="s">
        <v>614</v>
      </c>
      <c r="E22669" s="2">
        <v>3118150</v>
      </c>
      <c r="F22669" s="4" t="str">
        <f>IF(B22669=B22668,"",B22669)</f>
        <v>LogroÃ±o</v>
      </c>
    </row>
    <row r="22670" spans="1:6" ht="15.75" customHeight="1">
      <c r="A22670" s="15" t="s">
        <v>7502</v>
      </c>
      <c r="B22670" s="15" t="s">
        <v>7502</v>
      </c>
      <c r="C22670" s="15" t="s">
        <v>7052</v>
      </c>
      <c r="D22670" s="15" t="s">
        <v>7058</v>
      </c>
      <c r="E22670" s="2">
        <v>2997904</v>
      </c>
      <c r="F22670" s="4" t="str">
        <f>IF(B22670=B22669,"",B22670)</f>
        <v>Lognes</v>
      </c>
    </row>
    <row r="22671" spans="1:6" ht="15.75" customHeight="1">
      <c r="A22671" s="8" t="str">
        <f ca="1">IFERROR(__xludf.DUMMYFUNCTION("GOOGLETRANSLATE(B29961,""en"",""pt"")"),"Lognes")</f>
        <v>Lognes</v>
      </c>
      <c r="B22671" s="11" t="s">
        <v>7502</v>
      </c>
      <c r="C22671" s="11" t="s">
        <v>7052</v>
      </c>
      <c r="D22671" s="11" t="s">
        <v>32531</v>
      </c>
      <c r="E22671" s="10">
        <v>2997904</v>
      </c>
      <c r="F22671" s="4" t="str">
        <f>IF(B22671=B22670,"",B22671)</f>
        <v/>
      </c>
    </row>
    <row r="22672" spans="1:6" ht="15.75" customHeight="1">
      <c r="A22672" s="16" t="s">
        <v>29146</v>
      </c>
      <c r="B22672" s="15" t="s">
        <v>29146</v>
      </c>
      <c r="C22672" s="16" t="s">
        <v>27788</v>
      </c>
      <c r="D22672" s="16" t="s">
        <v>27869</v>
      </c>
      <c r="E22672" s="2">
        <v>4922968</v>
      </c>
      <c r="F22672" s="4" t="str">
        <f>IF(B22672=B22671,"",B22672)</f>
        <v>Logansport</v>
      </c>
    </row>
    <row r="22673" spans="1:6" ht="15.75" customHeight="1">
      <c r="A22673" s="8" t="str">
        <f ca="1">IFERROR(__xludf.DUMMYFUNCTION("GOOGLETRANSLATE(B43927,""en"",""pt"")"),"Logansport")</f>
        <v>Logansport</v>
      </c>
      <c r="B22673" s="11" t="s">
        <v>29146</v>
      </c>
      <c r="C22673" s="11" t="s">
        <v>27788</v>
      </c>
      <c r="D22673" s="11" t="s">
        <v>27869</v>
      </c>
      <c r="E22673" s="10">
        <v>4922968</v>
      </c>
      <c r="F22673" s="4" t="str">
        <f>IF(B22673=B22672,"",B22673)</f>
        <v/>
      </c>
    </row>
    <row r="22674" spans="1:6" ht="15.75" customHeight="1">
      <c r="A22674" s="16" t="s">
        <v>1016</v>
      </c>
      <c r="B22674" s="15" t="s">
        <v>1017</v>
      </c>
      <c r="C22674" s="16" t="s">
        <v>885</v>
      </c>
      <c r="D22674" s="16" t="s">
        <v>910</v>
      </c>
      <c r="E22674" s="2">
        <v>7281838</v>
      </c>
      <c r="F22674" s="4" t="str">
        <f>IF(B22674=B22673,"",B22674)</f>
        <v>Logan City</v>
      </c>
    </row>
    <row r="22675" spans="1:6" ht="15.75" customHeight="1">
      <c r="A22675" s="8" t="str">
        <f ca="1">IFERROR(__xludf.DUMMYFUNCTION("GOOGLETRANSLATE(B23578,""en"",""pt"")"),"Cidade de Logan")</f>
        <v>Cidade de Logan</v>
      </c>
      <c r="B22675" s="11" t="s">
        <v>1017</v>
      </c>
      <c r="C22675" s="11" t="s">
        <v>885</v>
      </c>
      <c r="D22675" s="11" t="s">
        <v>910</v>
      </c>
      <c r="E22675" s="10">
        <v>7281838</v>
      </c>
      <c r="F22675" s="4" t="str">
        <f>IF(B22675=B22674,"",B22675)</f>
        <v/>
      </c>
    </row>
    <row r="22676" spans="1:6" ht="15.75" customHeight="1">
      <c r="A22676" s="15" t="s">
        <v>29145</v>
      </c>
      <c r="B22676" s="15" t="s">
        <v>29145</v>
      </c>
      <c r="C22676" s="15" t="s">
        <v>27788</v>
      </c>
      <c r="D22676" s="15" t="s">
        <v>27856</v>
      </c>
      <c r="E22676" s="2">
        <v>5777544</v>
      </c>
      <c r="F22676" s="4" t="str">
        <f>IF(B22676=B22675,"",B22676)</f>
        <v>Logan</v>
      </c>
    </row>
    <row r="22677" spans="1:6" ht="15.75" customHeight="1">
      <c r="A22677" s="8" t="str">
        <f ca="1">IFERROR(__xludf.DUMMYFUNCTION("GOOGLETRANSLATE(B45284,""en"",""pt"")"),"Logan")</f>
        <v>Logan</v>
      </c>
      <c r="B22677" s="11" t="s">
        <v>29145</v>
      </c>
      <c r="C22677" s="11" t="s">
        <v>27788</v>
      </c>
      <c r="D22677" s="11" t="s">
        <v>27856</v>
      </c>
      <c r="E22677" s="10">
        <v>5777544</v>
      </c>
      <c r="F22677" s="4" t="str">
        <f>IF(B22677=B22676,"",B22677)</f>
        <v/>
      </c>
    </row>
    <row r="22678" spans="1:6" ht="15.75" customHeight="1">
      <c r="A22678" s="16" t="s">
        <v>27502</v>
      </c>
      <c r="B22678" s="15" t="s">
        <v>27502</v>
      </c>
      <c r="C22678" s="16" t="s">
        <v>27234</v>
      </c>
      <c r="D22678" s="16" t="s">
        <v>27241</v>
      </c>
      <c r="E22678" s="2">
        <v>2643776</v>
      </c>
      <c r="F22678" s="4" t="str">
        <f>IF(B22678=B22677,"",B22678)</f>
        <v>Lofthouse</v>
      </c>
    </row>
    <row r="22679" spans="1:6" ht="15.75" customHeight="1">
      <c r="A22679" s="8" t="str">
        <f ca="1">IFERROR(__xludf.DUMMYFUNCTION("GOOGLETRANSLATE(B30570,""en"",""pt"")"),"Lofthouse")</f>
        <v>Lofthouse</v>
      </c>
      <c r="B22679" s="11" t="s">
        <v>27502</v>
      </c>
      <c r="C22679" s="11" t="s">
        <v>27234</v>
      </c>
      <c r="D22679" s="11" t="s">
        <v>27241</v>
      </c>
      <c r="E22679" s="10">
        <v>2643776</v>
      </c>
      <c r="F22679" s="4" t="str">
        <f>IF(B22679=B22678,"",B22679)</f>
        <v/>
      </c>
    </row>
    <row r="22680" spans="1:6" ht="15.75" customHeight="1">
      <c r="A22680" s="15" t="s">
        <v>25922</v>
      </c>
      <c r="B22680" s="15" t="s">
        <v>25922</v>
      </c>
      <c r="C22680" s="15" t="s">
        <v>25771</v>
      </c>
      <c r="D22680" s="15" t="s">
        <v>25922</v>
      </c>
      <c r="E22680" s="2">
        <v>1609071</v>
      </c>
      <c r="F22680" s="4" t="str">
        <f>IF(B22680=B22679,"",B22680)</f>
        <v>Loei</v>
      </c>
    </row>
    <row r="22681" spans="1:6" ht="15.75" customHeight="1">
      <c r="A22681" s="8" t="str">
        <f ca="1">IFERROR(__xludf.DUMMYFUNCTION("GOOGLETRANSLATE(B41665,""en"",""pt"")"),"Loei")</f>
        <v>Loei</v>
      </c>
      <c r="B22681" s="11" t="s">
        <v>25922</v>
      </c>
      <c r="C22681" s="11" t="s">
        <v>25771</v>
      </c>
      <c r="D22681" s="11" t="s">
        <v>25922</v>
      </c>
      <c r="E22681" s="10">
        <v>1609071</v>
      </c>
      <c r="F22681" s="4" t="str">
        <f>IF(B22681=B22680,"",B22681)</f>
        <v/>
      </c>
    </row>
    <row r="22682" spans="1:6" ht="15.75" customHeight="1">
      <c r="A22682" s="8" t="str">
        <f ca="1">IFERROR(__xludf.DUMMYFUNCTION("GOOGLETRANSLATE(B39411,""en"",""pt"")"),"Łódź")</f>
        <v>Łódź</v>
      </c>
      <c r="B22682" s="9" t="s">
        <v>35201</v>
      </c>
      <c r="C22682" s="9" t="s">
        <v>21064</v>
      </c>
      <c r="D22682" s="9" t="s">
        <v>35071</v>
      </c>
      <c r="E22682" s="10">
        <v>3093133</v>
      </c>
      <c r="F22682" s="4" t="str">
        <f>IF(B22682=B22681,"",B22682)</f>
        <v>Łódź</v>
      </c>
    </row>
    <row r="22683" spans="1:6" ht="15.75" customHeight="1">
      <c r="A22683" s="15" t="s">
        <v>16810</v>
      </c>
      <c r="B22683" s="15" t="s">
        <v>16810</v>
      </c>
      <c r="C22683" s="15" t="s">
        <v>16781</v>
      </c>
      <c r="D22683" s="15" t="s">
        <v>16811</v>
      </c>
      <c r="E22683" s="2">
        <v>189280</v>
      </c>
      <c r="F22683" s="4" t="str">
        <f>IF(B22683=B22682,"",B22683)</f>
        <v>Lodwar</v>
      </c>
    </row>
    <row r="22684" spans="1:6" ht="15.75" customHeight="1">
      <c r="A22684" s="8" t="str">
        <f ca="1">IFERROR(__xludf.DUMMYFUNCTION("GOOGLETRANSLATE(B35912,""en"",""pt"")"),"Lodwar")</f>
        <v>Lodwar</v>
      </c>
      <c r="B22684" s="9" t="s">
        <v>16810</v>
      </c>
      <c r="C22684" s="9" t="s">
        <v>16781</v>
      </c>
      <c r="D22684" s="9" t="s">
        <v>16811</v>
      </c>
      <c r="E22684" s="10">
        <v>189280</v>
      </c>
      <c r="F22684" s="4" t="str">
        <f>IF(B22684=B22683,"",B22684)</f>
        <v/>
      </c>
    </row>
    <row r="22685" spans="1:6" ht="15.75" customHeight="1">
      <c r="A22685" s="15" t="s">
        <v>6180</v>
      </c>
      <c r="B22685" s="15" t="s">
        <v>6180</v>
      </c>
      <c r="C22685" s="15" t="s">
        <v>6127</v>
      </c>
      <c r="D22685" s="15" t="s">
        <v>6150</v>
      </c>
      <c r="E22685" s="2">
        <v>211647</v>
      </c>
      <c r="F22685" s="4" t="str">
        <f>IF(B22685=B22684,"",B22685)</f>
        <v>Lodja</v>
      </c>
    </row>
    <row r="22686" spans="1:6" ht="15.75" customHeight="1">
      <c r="A22686" s="8" t="str">
        <f ca="1">IFERROR(__xludf.DUMMYFUNCTION("GOOGLETRANSLATE(B25656,""en"",""pt"")"),"Lodja")</f>
        <v>Lodja</v>
      </c>
      <c r="B22686" s="9" t="s">
        <v>6180</v>
      </c>
      <c r="C22686" s="9" t="s">
        <v>6127</v>
      </c>
      <c r="D22686" s="9" t="s">
        <v>31765</v>
      </c>
      <c r="E22686" s="10">
        <v>211647</v>
      </c>
      <c r="F22686" s="4" t="str">
        <f>IF(B22686=B22685,"",B22686)</f>
        <v/>
      </c>
    </row>
    <row r="22687" spans="1:6" ht="15.75" customHeight="1">
      <c r="A22687" s="15" t="s">
        <v>15228</v>
      </c>
      <c r="B22687" s="15" t="s">
        <v>15228</v>
      </c>
      <c r="C22687" s="15" t="s">
        <v>14891</v>
      </c>
      <c r="D22687" s="15" t="s">
        <v>14894</v>
      </c>
      <c r="E22687" s="2">
        <v>3174638</v>
      </c>
      <c r="F22687" s="4" t="str">
        <f>IF(B22687=B22686,"",B22687)</f>
        <v>Lodi</v>
      </c>
    </row>
    <row r="22688" spans="1:6" ht="15.75" customHeight="1">
      <c r="A22688" s="15" t="s">
        <v>15228</v>
      </c>
      <c r="B22688" s="15" t="s">
        <v>15228</v>
      </c>
      <c r="C22688" s="15" t="s">
        <v>27788</v>
      </c>
      <c r="D22688" s="15" t="s">
        <v>27905</v>
      </c>
      <c r="E22688" s="2">
        <v>5100604</v>
      </c>
      <c r="F22688" s="4" t="str">
        <f>IF(B22688=B22687,"",B22688)</f>
        <v/>
      </c>
    </row>
    <row r="22689" spans="1:6" ht="15.75" customHeight="1">
      <c r="A22689" s="15" t="s">
        <v>15228</v>
      </c>
      <c r="B22689" s="15" t="s">
        <v>15228</v>
      </c>
      <c r="C22689" s="15" t="s">
        <v>27788</v>
      </c>
      <c r="D22689" s="15" t="s">
        <v>27801</v>
      </c>
      <c r="E22689" s="2">
        <v>5367565</v>
      </c>
      <c r="F22689" s="4" t="str">
        <f>IF(B22689=B22688,"",B22689)</f>
        <v/>
      </c>
    </row>
    <row r="22690" spans="1:6" ht="15.75" customHeight="1">
      <c r="A22690" s="8" t="str">
        <f ca="1">IFERROR(__xludf.DUMMYFUNCTION("GOOGLETRANSLATE(B34864,""en"",""pt"")"),"Lodi")</f>
        <v>Lodi</v>
      </c>
      <c r="B22690" s="9" t="s">
        <v>15228</v>
      </c>
      <c r="C22690" s="9" t="s">
        <v>14891</v>
      </c>
      <c r="D22690" s="9" t="s">
        <v>14894</v>
      </c>
      <c r="E22690" s="10">
        <v>3174638</v>
      </c>
      <c r="F22690" s="4" t="str">
        <f>IF(B22690=B22689,"",B22690)</f>
        <v/>
      </c>
    </row>
    <row r="22691" spans="1:6" ht="15.75" customHeight="1">
      <c r="A22691" s="8" t="str">
        <f ca="1">IFERROR(__xludf.DUMMYFUNCTION("GOOGLETRANSLATE(B44276,""en"",""pt"")"),"Lodi")</f>
        <v>Lodi</v>
      </c>
      <c r="B22691" s="11" t="s">
        <v>15228</v>
      </c>
      <c r="C22691" s="11" t="s">
        <v>27788</v>
      </c>
      <c r="D22691" s="11" t="s">
        <v>27905</v>
      </c>
      <c r="E22691" s="10">
        <v>5100604</v>
      </c>
      <c r="F22691" s="4" t="str">
        <f>IF(B22691=B22690,"",B22691)</f>
        <v/>
      </c>
    </row>
    <row r="22692" spans="1:6" ht="15.75" customHeight="1">
      <c r="A22692" s="8" t="str">
        <f ca="1">IFERROR(__xludf.DUMMYFUNCTION("GOOGLETRANSLATE(B44886,""en"",""pt"")"),"Lodi")</f>
        <v>Lodi</v>
      </c>
      <c r="B22692" s="9" t="s">
        <v>15228</v>
      </c>
      <c r="C22692" s="9" t="s">
        <v>27788</v>
      </c>
      <c r="D22692" s="9" t="s">
        <v>27801</v>
      </c>
      <c r="E22692" s="10">
        <v>5367565</v>
      </c>
      <c r="F22692" s="4" t="str">
        <f>IF(B22692=B22691,"",B22692)</f>
        <v/>
      </c>
    </row>
    <row r="22693" spans="1:6" ht="15.75" customHeight="1">
      <c r="A22693" s="8" t="str">
        <f ca="1">IFERROR(__xludf.DUMMYFUNCTION("GOOGLETRANSLATE(B39003,""en"",""pt"")"),"Lodhrān")</f>
        <v>Lodhrān</v>
      </c>
      <c r="B22693" s="11" t="s">
        <v>34964</v>
      </c>
      <c r="C22693" s="11" t="s">
        <v>19808</v>
      </c>
      <c r="D22693" s="11" t="s">
        <v>10184</v>
      </c>
      <c r="E22693" s="10">
        <v>1171965</v>
      </c>
      <c r="F22693" s="4" t="str">
        <f>IF(B22693=B22692,"",B22693)</f>
        <v>Lodhrān</v>
      </c>
    </row>
    <row r="22694" spans="1:6" ht="15.75" customHeight="1">
      <c r="A22694" s="15" t="s">
        <v>20071</v>
      </c>
      <c r="B22694" s="15" t="s">
        <v>20072</v>
      </c>
      <c r="C22694" s="15" t="s">
        <v>19808</v>
      </c>
      <c r="D22694" s="15" t="s">
        <v>10184</v>
      </c>
      <c r="E22694" s="2">
        <v>1171965</v>
      </c>
      <c r="F22694" s="4" t="str">
        <f>IF(B22694=B22693,"",B22694)</f>
        <v>LodhrÄn</v>
      </c>
    </row>
    <row r="22695" spans="1:6" ht="15.75" customHeight="1">
      <c r="A22695" s="16" t="s">
        <v>22690</v>
      </c>
      <c r="B22695" s="15" t="s">
        <v>22691</v>
      </c>
      <c r="C22695" s="16" t="s">
        <v>22070</v>
      </c>
      <c r="D22695" s="16" t="s">
        <v>22094</v>
      </c>
      <c r="E22695" s="2">
        <v>534560</v>
      </c>
      <c r="F22695" s="4" t="str">
        <f>IF(B22695=B22694,"",B22695)</f>
        <v>Lodeynoye Pole</v>
      </c>
    </row>
    <row r="22696" spans="1:6" ht="15.75" customHeight="1">
      <c r="A22696" s="8" t="str">
        <f ca="1">IFERROR(__xludf.DUMMYFUNCTION("GOOGLETRANSLATE(B40353,""en"",""pt"")"),"Polo LoDEYNOYE")</f>
        <v>Polo LoDEYNOYE</v>
      </c>
      <c r="B22696" s="9" t="s">
        <v>22691</v>
      </c>
      <c r="C22696" s="9" t="s">
        <v>22070</v>
      </c>
      <c r="D22696" s="9" t="s">
        <v>22094</v>
      </c>
      <c r="E22696" s="10">
        <v>534560</v>
      </c>
      <c r="F22696" s="4" t="str">
        <f>IF(B22696=B22695,"",B22696)</f>
        <v/>
      </c>
    </row>
    <row r="22697" spans="1:6" ht="15.75" customHeight="1">
      <c r="A22697" s="15" t="s">
        <v>14826</v>
      </c>
      <c r="B22697" s="15" t="s">
        <v>14827</v>
      </c>
      <c r="C22697" s="15" t="s">
        <v>14773</v>
      </c>
      <c r="D22697" s="15" t="s">
        <v>14800</v>
      </c>
      <c r="E22697" s="2">
        <v>294421</v>
      </c>
      <c r="F22697" s="4" t="str">
        <f>IF(B22697=B22696,"",B22697)</f>
        <v>Lod</v>
      </c>
    </row>
    <row r="22698" spans="1:6" ht="15.75" customHeight="1">
      <c r="A22698" s="8" t="str">
        <f ca="1">IFERROR(__xludf.DUMMYFUNCTION("GOOGLETRANSLATE(B31794,""en"",""pt"")"),"LOD")</f>
        <v>LOD</v>
      </c>
      <c r="B22698" s="9" t="s">
        <v>14827</v>
      </c>
      <c r="C22698" s="9" t="s">
        <v>14773</v>
      </c>
      <c r="D22698" s="9" t="s">
        <v>14800</v>
      </c>
      <c r="E22698" s="10">
        <v>294421</v>
      </c>
      <c r="F22698" s="4" t="str">
        <f>IF(B22698=B22697,"",B22698)</f>
        <v/>
      </c>
    </row>
    <row r="22699" spans="1:6" ht="15.75" customHeight="1">
      <c r="A22699" s="15" t="s">
        <v>29144</v>
      </c>
      <c r="B22699" s="15" t="s">
        <v>29144</v>
      </c>
      <c r="C22699" s="15" t="s">
        <v>27788</v>
      </c>
      <c r="D22699" s="15" t="s">
        <v>27799</v>
      </c>
      <c r="E22699" s="2">
        <v>4900292</v>
      </c>
      <c r="F22699" s="4" t="str">
        <f>IF(B22699=B22698,"",B22699)</f>
        <v>Lockport</v>
      </c>
    </row>
    <row r="22700" spans="1:6" ht="15.75" customHeight="1">
      <c r="A22700" s="15" t="s">
        <v>29144</v>
      </c>
      <c r="B22700" s="15" t="s">
        <v>29144</v>
      </c>
      <c r="C22700" s="15" t="s">
        <v>27788</v>
      </c>
      <c r="D22700" s="15" t="s">
        <v>27819</v>
      </c>
      <c r="E22700" s="2">
        <v>5125011</v>
      </c>
      <c r="F22700" s="4" t="str">
        <f>IF(B22700=B22699,"",B22700)</f>
        <v/>
      </c>
    </row>
    <row r="22701" spans="1:6" ht="15.75" customHeight="1">
      <c r="A22701" s="8" t="str">
        <f ca="1">IFERROR(__xludf.DUMMYFUNCTION("GOOGLETRANSLATE(B43836,""en"",""pt"")"),"Lockport")</f>
        <v>Lockport</v>
      </c>
      <c r="B22701" s="11" t="s">
        <v>29144</v>
      </c>
      <c r="C22701" s="11" t="s">
        <v>27788</v>
      </c>
      <c r="D22701" s="11" t="s">
        <v>27799</v>
      </c>
      <c r="E22701" s="10">
        <v>4900292</v>
      </c>
      <c r="F22701" s="4" t="str">
        <f>IF(B22701=B22700,"",B22701)</f>
        <v/>
      </c>
    </row>
    <row r="22702" spans="1:6" ht="15.75" customHeight="1">
      <c r="A22702" s="8" t="str">
        <f ca="1">IFERROR(__xludf.DUMMYFUNCTION("GOOGLETRANSLATE(B44399,""en"",""pt"")"),"Lockport")</f>
        <v>Lockport</v>
      </c>
      <c r="B22702" s="11" t="s">
        <v>29144</v>
      </c>
      <c r="C22702" s="11" t="s">
        <v>27788</v>
      </c>
      <c r="D22702" s="11" t="s">
        <v>27819</v>
      </c>
      <c r="E22702" s="10">
        <v>5125011</v>
      </c>
      <c r="F22702" s="4" t="str">
        <f>IF(B22702=B22701,"",B22702)</f>
        <v/>
      </c>
    </row>
    <row r="22703" spans="1:6" ht="15.75" customHeight="1">
      <c r="A22703" s="15" t="s">
        <v>1624</v>
      </c>
      <c r="B22703" s="15" t="s">
        <v>1624</v>
      </c>
      <c r="C22703" s="15" t="s">
        <v>1512</v>
      </c>
      <c r="D22703" s="15" t="s">
        <v>1513</v>
      </c>
      <c r="E22703" s="2">
        <v>2792235</v>
      </c>
      <c r="F22703" s="4" t="str">
        <f>IF(B22703=B22702,"",B22703)</f>
        <v>Lochristi</v>
      </c>
    </row>
    <row r="22704" spans="1:6" ht="15.75" customHeight="1">
      <c r="A22704" s="8" t="str">
        <f ca="1">IFERROR(__xludf.DUMMYFUNCTION("GOOGLETRANSLATE(B23881,""en"",""pt"")"),"Lochristi")</f>
        <v>Lochristi</v>
      </c>
      <c r="B22704" s="9" t="s">
        <v>1624</v>
      </c>
      <c r="C22704" s="9" t="s">
        <v>1512</v>
      </c>
      <c r="D22704" s="9" t="s">
        <v>1513</v>
      </c>
      <c r="E22704" s="10">
        <v>2792235</v>
      </c>
      <c r="F22704" s="4" t="str">
        <f>IF(B22704=B22703,"",B22704)</f>
        <v/>
      </c>
    </row>
    <row r="22705" spans="1:6" ht="15.75" customHeight="1">
      <c r="A22705" s="15" t="s">
        <v>29143</v>
      </c>
      <c r="B22705" s="15" t="s">
        <v>29143</v>
      </c>
      <c r="C22705" s="15" t="s">
        <v>27788</v>
      </c>
      <c r="D22705" s="15" t="s">
        <v>17061</v>
      </c>
      <c r="E22705" s="2">
        <v>4360954</v>
      </c>
      <c r="F22705" s="4" t="str">
        <f>IF(B22705=B22704,"",B22705)</f>
        <v>Lochearn</v>
      </c>
    </row>
    <row r="22706" spans="1:6" ht="15.75" customHeight="1">
      <c r="A22706" s="8" t="str">
        <f ca="1">IFERROR(__xludf.DUMMYFUNCTION("GOOGLETRANSLATE(B43305,""en"",""pt"")"),"Lochearn")</f>
        <v>Lochearn</v>
      </c>
      <c r="B22706" s="9" t="s">
        <v>29143</v>
      </c>
      <c r="C22706" s="9" t="s">
        <v>27788</v>
      </c>
      <c r="D22706" s="9" t="s">
        <v>17061</v>
      </c>
      <c r="E22706" s="10">
        <v>4360954</v>
      </c>
      <c r="F22706" s="4" t="str">
        <f>IF(B22706=B22705,"",B22706)</f>
        <v/>
      </c>
    </row>
    <row r="22707" spans="1:6" ht="15.75" customHeight="1">
      <c r="A22707" s="16" t="s">
        <v>14754</v>
      </c>
      <c r="B22707" s="15" t="s">
        <v>14754</v>
      </c>
      <c r="C22707" s="16" t="s">
        <v>14728</v>
      </c>
      <c r="D22707" s="16" t="s">
        <v>14729</v>
      </c>
      <c r="E22707" s="2">
        <v>2960964</v>
      </c>
      <c r="F22707" s="4" t="str">
        <f>IF(B22707=B22706,"",B22707)</f>
        <v>Loch Garman</v>
      </c>
    </row>
    <row r="22708" spans="1:6" ht="15.75" customHeight="1">
      <c r="A22708" s="8" t="str">
        <f ca="1">IFERROR(__xludf.DUMMYFUNCTION("GOOGLETRANSLATE(B31724,""en"",""pt"")"),"Loch Garman")</f>
        <v>Loch Garman</v>
      </c>
      <c r="B22708" s="9" t="s">
        <v>14754</v>
      </c>
      <c r="C22708" s="9" t="s">
        <v>14728</v>
      </c>
      <c r="D22708" s="9" t="s">
        <v>14729</v>
      </c>
      <c r="E22708" s="10">
        <v>2960964</v>
      </c>
      <c r="F22708" s="4" t="str">
        <f>IF(B22708=B22707,"",B22708)</f>
        <v/>
      </c>
    </row>
    <row r="22709" spans="1:6" ht="15.75" customHeight="1">
      <c r="A22709" s="15" t="s">
        <v>20837</v>
      </c>
      <c r="B22709" s="15" t="s">
        <v>20837</v>
      </c>
      <c r="C22709" s="15" t="s">
        <v>20598</v>
      </c>
      <c r="D22709" s="15" t="s">
        <v>20622</v>
      </c>
      <c r="E22709" s="2">
        <v>1705871</v>
      </c>
      <c r="F22709" s="4" t="str">
        <f>IF(B22709=B22708,"",B22709)</f>
        <v>Loboc</v>
      </c>
    </row>
    <row r="22710" spans="1:6" ht="15.75" customHeight="1">
      <c r="A22710" s="8" t="str">
        <f ca="1">IFERROR(__xludf.DUMMYFUNCTION("GOOGLETRANSLATE(B38661,""en"",""pt"")"),"Loboc")</f>
        <v>Loboc</v>
      </c>
      <c r="B22710" s="9" t="s">
        <v>20837</v>
      </c>
      <c r="C22710" s="9" t="s">
        <v>20598</v>
      </c>
      <c r="D22710" s="9" t="s">
        <v>20622</v>
      </c>
      <c r="E22710" s="10">
        <v>1705871</v>
      </c>
      <c r="F22710" s="4" t="str">
        <f>IF(B22710=B22709,"",B22710)</f>
        <v/>
      </c>
    </row>
    <row r="22711" spans="1:6" ht="15.75" customHeight="1">
      <c r="A22711" s="15" t="s">
        <v>22689</v>
      </c>
      <c r="B22711" s="15" t="s">
        <v>22689</v>
      </c>
      <c r="C22711" s="15" t="s">
        <v>22070</v>
      </c>
      <c r="D22711" s="15" t="s">
        <v>22119</v>
      </c>
      <c r="E22711" s="2">
        <v>534595</v>
      </c>
      <c r="F22711" s="4" t="str">
        <f>IF(B22711=B22710,"",B22711)</f>
        <v>Lobnya</v>
      </c>
    </row>
    <row r="22712" spans="1:6" ht="15.75" customHeight="1">
      <c r="A22712" s="8" t="str">
        <f ca="1">IFERROR(__xludf.DUMMYFUNCTION("GOOGLETRANSLATE(B40354,""en"",""pt"")"),"Lobnya")</f>
        <v>Lobnya</v>
      </c>
      <c r="B22712" s="9" t="s">
        <v>22689</v>
      </c>
      <c r="C22712" s="9" t="s">
        <v>22070</v>
      </c>
      <c r="D22712" s="9" t="s">
        <v>22119</v>
      </c>
      <c r="E22712" s="10">
        <v>534595</v>
      </c>
      <c r="F22712" s="4" t="str">
        <f>IF(B22712=B22711,"",B22712)</f>
        <v/>
      </c>
    </row>
    <row r="22713" spans="1:6" ht="15.75" customHeight="1">
      <c r="A22713" s="15" t="s">
        <v>521</v>
      </c>
      <c r="B22713" s="15" t="s">
        <v>521</v>
      </c>
      <c r="C22713" s="15" t="s">
        <v>507</v>
      </c>
      <c r="D22713" s="15" t="s">
        <v>506</v>
      </c>
      <c r="E22713" s="2">
        <v>3347939</v>
      </c>
      <c r="F22713" s="4" t="str">
        <f>IF(B22713=B22712,"",B22713)</f>
        <v>Lobito</v>
      </c>
    </row>
    <row r="22714" spans="1:6" ht="15.75" customHeight="1">
      <c r="A22714" s="8" t="str">
        <f ca="1">IFERROR(__xludf.DUMMYFUNCTION("GOOGLETRANSLATE(B23159,""en"",""pt"")"),"Lobito")</f>
        <v>Lobito</v>
      </c>
      <c r="B22714" s="9" t="s">
        <v>521</v>
      </c>
      <c r="C22714" s="9" t="s">
        <v>507</v>
      </c>
      <c r="D22714" s="9" t="s">
        <v>506</v>
      </c>
      <c r="E22714" s="10">
        <v>3347939</v>
      </c>
      <c r="F22714" s="4" t="str">
        <f>IF(B22714=B22713,"",B22714)</f>
        <v/>
      </c>
    </row>
    <row r="22715" spans="1:6" ht="15.75" customHeight="1">
      <c r="A22715" s="8" t="str">
        <f ca="1">IFERROR(__xludf.DUMMYFUNCTION("GOOGLETRANSLATE(B27811,""en"",""pt"")"),"Löbau")</f>
        <v>Löbau</v>
      </c>
      <c r="B22715" s="11" t="s">
        <v>32071</v>
      </c>
      <c r="C22715" s="11" t="s">
        <v>8028</v>
      </c>
      <c r="D22715" s="11" t="s">
        <v>8072</v>
      </c>
      <c r="E22715" s="10">
        <v>2876755</v>
      </c>
      <c r="F22715" s="4" t="str">
        <f>IF(B22715=B22714,"",B22715)</f>
        <v>Löbau</v>
      </c>
    </row>
    <row r="22716" spans="1:6" ht="15.75" customHeight="1">
      <c r="A22716" s="15" t="s">
        <v>1887</v>
      </c>
      <c r="B22716" s="15" t="s">
        <v>1887</v>
      </c>
      <c r="C22716" s="15" t="s">
        <v>1878</v>
      </c>
      <c r="D22716" s="15" t="s">
        <v>1881</v>
      </c>
      <c r="E22716" s="2">
        <v>933521</v>
      </c>
      <c r="F22716" s="4" t="str">
        <f>IF(B22716=B22715,"",B22716)</f>
        <v>Lobatse</v>
      </c>
    </row>
    <row r="22717" spans="1:6" ht="15.75" customHeight="1">
      <c r="A22717" s="8" t="str">
        <f ca="1">IFERROR(__xludf.DUMMYFUNCTION("GOOGLETRANSLATE(B25362,""en"",""pt"")"),"Lobatse")</f>
        <v>Lobatse</v>
      </c>
      <c r="B22717" s="11" t="s">
        <v>1887</v>
      </c>
      <c r="C22717" s="11" t="s">
        <v>1878</v>
      </c>
      <c r="D22717" s="11" t="s">
        <v>1881</v>
      </c>
      <c r="E22717" s="10">
        <v>933521</v>
      </c>
      <c r="F22717" s="4" t="str">
        <f>IF(B22717=B22716,"",B22717)</f>
        <v/>
      </c>
    </row>
    <row r="22718" spans="1:6" ht="15.75" customHeight="1">
      <c r="A22718" s="15" t="s">
        <v>25070</v>
      </c>
      <c r="B22718" s="15" t="s">
        <v>25070</v>
      </c>
      <c r="C22718" s="15" t="s">
        <v>25071</v>
      </c>
      <c r="D22718" s="15" t="s">
        <v>25072</v>
      </c>
      <c r="E22718" s="2">
        <v>935048</v>
      </c>
      <c r="F22718" s="4" t="str">
        <f>IF(B22718=B22717,"",B22718)</f>
        <v>Lobamba</v>
      </c>
    </row>
    <row r="22719" spans="1:6" ht="15.75" customHeight="1">
      <c r="A22719" s="8" t="str">
        <f ca="1">IFERROR(__xludf.DUMMYFUNCTION("GOOGLETRANSLATE(B41467,""en"",""pt"")"),"Lobamba")</f>
        <v>Lobamba</v>
      </c>
      <c r="B22719" s="11" t="s">
        <v>25070</v>
      </c>
      <c r="C22719" s="11" t="s">
        <v>25071</v>
      </c>
      <c r="D22719" s="11" t="s">
        <v>25072</v>
      </c>
      <c r="E22719" s="10">
        <v>935048</v>
      </c>
      <c r="F22719" s="4" t="str">
        <f>IF(B22719=B22718,"",B22719)</f>
        <v/>
      </c>
    </row>
    <row r="22720" spans="1:6" ht="15.75" customHeight="1">
      <c r="A22720" s="15" t="s">
        <v>21796</v>
      </c>
      <c r="B22720" s="15" t="s">
        <v>21796</v>
      </c>
      <c r="C22720" s="15" t="s">
        <v>21788</v>
      </c>
      <c r="D22720" s="15" t="s">
        <v>21797</v>
      </c>
      <c r="E22720" s="2">
        <v>2258378</v>
      </c>
      <c r="F22720" s="4" t="str">
        <f>IF(B22720=B22719,"",B22720)</f>
        <v>Loandjili</v>
      </c>
    </row>
    <row r="22721" spans="1:6" ht="15.75" customHeight="1">
      <c r="A22721" s="8" t="str">
        <f ca="1">IFERROR(__xludf.DUMMYFUNCTION("GOOGLETRANSLATE(B25737,""en"",""pt"")"),"Loandjili")</f>
        <v>Loandjili</v>
      </c>
      <c r="B22721" s="9" t="s">
        <v>21796</v>
      </c>
      <c r="C22721" s="9" t="s">
        <v>21788</v>
      </c>
      <c r="D22721" s="9" t="s">
        <v>21797</v>
      </c>
      <c r="E22721" s="10">
        <v>2258378</v>
      </c>
      <c r="F22721" s="4" t="str">
        <f>IF(B22721=B22720,"",B22721)</f>
        <v/>
      </c>
    </row>
    <row r="22722" spans="1:6" ht="15.75" customHeight="1">
      <c r="A22722" s="15" t="s">
        <v>2819</v>
      </c>
      <c r="B22722" s="15" t="s">
        <v>2819</v>
      </c>
      <c r="C22722" s="15" t="s">
        <v>1905</v>
      </c>
      <c r="D22722" s="15" t="s">
        <v>728</v>
      </c>
      <c r="E22722" s="2">
        <v>3458479</v>
      </c>
      <c r="F22722" s="4" t="str">
        <f>IF(B22722=B22721,"",B22722)</f>
        <v>Loanda</v>
      </c>
    </row>
    <row r="22723" spans="1:6" ht="15.75" customHeight="1">
      <c r="A22723" s="8" t="str">
        <f ca="1">IFERROR(__xludf.DUMMYFUNCTION("GOOGLETRANSLATE(B24854,""en"",""pt"")"),"Loanda")</f>
        <v>Loanda</v>
      </c>
      <c r="B22723" s="9" t="s">
        <v>2819</v>
      </c>
      <c r="C22723" s="9" t="s">
        <v>1905</v>
      </c>
      <c r="D22723" s="9" t="s">
        <v>727</v>
      </c>
      <c r="E22723" s="10">
        <v>3458479</v>
      </c>
      <c r="F22723" s="4" t="str">
        <f>IF(B22723=B22722,"",B22723)</f>
        <v/>
      </c>
    </row>
    <row r="22724" spans="1:6" ht="15.75" customHeight="1">
      <c r="A22724" s="15" t="s">
        <v>14009</v>
      </c>
      <c r="B22724" s="15" t="s">
        <v>14009</v>
      </c>
      <c r="C22724" s="15" t="s">
        <v>13800</v>
      </c>
      <c r="D22724" s="15" t="s">
        <v>13823</v>
      </c>
      <c r="E22724" s="2">
        <v>1637510</v>
      </c>
      <c r="F22724" s="4" t="str">
        <f>IF(B22724=B22723,"",B22724)</f>
        <v>Loa Janan</v>
      </c>
    </row>
    <row r="22725" spans="1:6" ht="15.75" customHeight="1">
      <c r="A22725" s="8" t="str">
        <f ca="1">IFERROR(__xludf.DUMMYFUNCTION("GOOGLETRANSLATE(B31561,""en"",""pt"")"),"Loa Janan")</f>
        <v>Loa Janan</v>
      </c>
      <c r="B22725" s="9" t="s">
        <v>14009</v>
      </c>
      <c r="C22725" s="9" t="s">
        <v>13800</v>
      </c>
      <c r="D22725" s="9" t="s">
        <v>13823</v>
      </c>
      <c r="E22725" s="10">
        <v>1637510</v>
      </c>
      <c r="F22725" s="4" t="str">
        <f>IF(B22725=B22724,"",B22725)</f>
        <v/>
      </c>
    </row>
    <row r="22726" spans="1:6" ht="15.75" customHeight="1">
      <c r="A22726" s="15" t="s">
        <v>4421</v>
      </c>
      <c r="B22726" s="15" t="s">
        <v>4421</v>
      </c>
      <c r="C22726" s="15" t="s">
        <v>4355</v>
      </c>
      <c r="D22726" s="15" t="s">
        <v>4366</v>
      </c>
      <c r="E22726" s="2">
        <v>7281020</v>
      </c>
      <c r="F22726" s="4" t="str">
        <f>IF(B22726=B22725,"",B22726)</f>
        <v>Lo Prado</v>
      </c>
    </row>
    <row r="22727" spans="1:6" ht="15.75" customHeight="1">
      <c r="A22727" s="8" t="str">
        <f ca="1">IFERROR(__xludf.DUMMYFUNCTION("GOOGLETRANSLATE(B25979,""en"",""pt"")"),"Lo Prado")</f>
        <v>Lo Prado</v>
      </c>
      <c r="B22727" s="9" t="s">
        <v>4421</v>
      </c>
      <c r="C22727" s="9" t="s">
        <v>4355</v>
      </c>
      <c r="D22727" s="9" t="s">
        <v>4366</v>
      </c>
      <c r="E22727" s="10">
        <v>7281020</v>
      </c>
      <c r="F22727" s="4" t="str">
        <f>IF(B22727=B22726,"",B22727)</f>
        <v/>
      </c>
    </row>
    <row r="22728" spans="1:6" ht="15.75" customHeight="1">
      <c r="A22728" s="16" t="s">
        <v>24571</v>
      </c>
      <c r="B22728" s="15" t="s">
        <v>24571</v>
      </c>
      <c r="C22728" s="16" t="s">
        <v>24200</v>
      </c>
      <c r="D22728" s="16" t="s">
        <v>24236</v>
      </c>
      <c r="E22728" s="2">
        <v>2514984</v>
      </c>
      <c r="F22728" s="4" t="str">
        <f>IF(B22728=B22727,"",B22728)</f>
        <v>Llucmajor</v>
      </c>
    </row>
    <row r="22729" spans="1:6" ht="15.75" customHeight="1">
      <c r="A22729" s="8" t="str">
        <f ca="1">IFERROR(__xludf.DUMMYFUNCTION("GOOGLETRANSLATE(B29080,""en"",""pt"")"),"Llucmajor")</f>
        <v>Llucmajor</v>
      </c>
      <c r="B22729" s="9" t="s">
        <v>24571</v>
      </c>
      <c r="C22729" s="9" t="s">
        <v>24200</v>
      </c>
      <c r="D22729" s="9" t="s">
        <v>24236</v>
      </c>
      <c r="E22729" s="10">
        <v>2514984</v>
      </c>
      <c r="F22729" s="4" t="str">
        <f>IF(B22729=B22728,"",B22729)</f>
        <v/>
      </c>
    </row>
    <row r="22730" spans="1:6" ht="15.75" customHeight="1">
      <c r="A22730" s="16" t="s">
        <v>4086</v>
      </c>
      <c r="B22730" s="15" t="s">
        <v>4086</v>
      </c>
      <c r="C22730" s="16" t="s">
        <v>3975</v>
      </c>
      <c r="D22730" s="16" t="s">
        <v>4087</v>
      </c>
      <c r="E22730" s="2">
        <v>6058024</v>
      </c>
      <c r="F22730" s="4" t="str">
        <f>IF(B22730=B22729,"",B22730)</f>
        <v>Lloydminster</v>
      </c>
    </row>
    <row r="22731" spans="1:6" ht="15.75" customHeight="1">
      <c r="A22731" s="8" t="str">
        <f ca="1">IFERROR(__xludf.DUMMYFUNCTION("GOOGLETRANSLATE(B25503,""en"",""pt"")"),"Lloydminster")</f>
        <v>Lloydminster</v>
      </c>
      <c r="B22731" s="9" t="s">
        <v>4086</v>
      </c>
      <c r="C22731" s="9" t="s">
        <v>3975</v>
      </c>
      <c r="D22731" s="9" t="s">
        <v>4087</v>
      </c>
      <c r="E22731" s="10">
        <v>6058024</v>
      </c>
      <c r="F22731" s="4" t="str">
        <f>IF(B22731=B22730,"",B22731)</f>
        <v/>
      </c>
    </row>
    <row r="22732" spans="1:6" ht="15.75" customHeight="1">
      <c r="A22732" s="16" t="s">
        <v>24569</v>
      </c>
      <c r="B22732" s="15" t="s">
        <v>24570</v>
      </c>
      <c r="C22732" s="16" t="s">
        <v>24200</v>
      </c>
      <c r="D22732" s="16" t="s">
        <v>24277</v>
      </c>
      <c r="E22732" s="2">
        <v>3118212</v>
      </c>
      <c r="F22732" s="4" t="str">
        <f>IF(B22732=B22731,"",B22732)</f>
        <v>Lloret de Mar</v>
      </c>
    </row>
    <row r="22733" spans="1:6" ht="15.75" customHeight="1">
      <c r="A22733" s="8" t="str">
        <f ca="1">IFERROR(__xludf.DUMMYFUNCTION("GOOGLETRANSLATE(B29371,""en"",""pt"")"),"LLORET DE MAR")</f>
        <v>LLORET DE MAR</v>
      </c>
      <c r="B22733" s="9" t="s">
        <v>24570</v>
      </c>
      <c r="C22733" s="9" t="s">
        <v>24200</v>
      </c>
      <c r="D22733" s="9" t="s">
        <v>24277</v>
      </c>
      <c r="E22733" s="10">
        <v>3118212</v>
      </c>
      <c r="F22733" s="4" t="str">
        <f>IF(B22733=B22732,"",B22733)</f>
        <v/>
      </c>
    </row>
    <row r="22734" spans="1:6" ht="15.75" customHeight="1">
      <c r="A22734" s="8" t="str">
        <f ca="1">IFERROR(__xludf.DUMMYFUNCTION("GOOGLETRANSLATE(B29081,""en"",""pt"")"),"Llíria")</f>
        <v>Llíria</v>
      </c>
      <c r="B22734" s="11" t="s">
        <v>32375</v>
      </c>
      <c r="C22734" s="11" t="s">
        <v>24200</v>
      </c>
      <c r="D22734" s="11" t="s">
        <v>21053</v>
      </c>
      <c r="E22734" s="10">
        <v>2515036</v>
      </c>
      <c r="F22734" s="4" t="str">
        <f>IF(B22734=B22733,"",B22734)</f>
        <v>Llíria</v>
      </c>
    </row>
    <row r="22735" spans="1:6" ht="15.75" customHeight="1">
      <c r="A22735" s="15" t="s">
        <v>24568</v>
      </c>
      <c r="B22735" s="15" t="s">
        <v>24568</v>
      </c>
      <c r="C22735" s="15" t="s">
        <v>24200</v>
      </c>
      <c r="D22735" s="15" t="s">
        <v>24277</v>
      </c>
      <c r="E22735" s="2">
        <v>3118514</v>
      </c>
      <c r="F22735" s="4" t="str">
        <f>IF(B22735=B22734,"",B22735)</f>
        <v>Lleida</v>
      </c>
    </row>
    <row r="22736" spans="1:6" ht="15.75" customHeight="1">
      <c r="A22736" s="8" t="str">
        <f ca="1">IFERROR(__xludf.DUMMYFUNCTION("GOOGLETRANSLATE(B29373,""en"",""pt"")"),"Lleida")</f>
        <v>Lleida</v>
      </c>
      <c r="B22736" s="11" t="s">
        <v>24568</v>
      </c>
      <c r="C22736" s="11" t="s">
        <v>24200</v>
      </c>
      <c r="D22736" s="11" t="s">
        <v>24277</v>
      </c>
      <c r="E22736" s="10">
        <v>3118514</v>
      </c>
      <c r="F22736" s="4" t="str">
        <f>IF(B22736=B22735,"",B22736)</f>
        <v/>
      </c>
    </row>
    <row r="22737" spans="1:6" ht="15.75" customHeight="1">
      <c r="A22737" s="15" t="s">
        <v>24566</v>
      </c>
      <c r="B22737" s="15" t="s">
        <v>24567</v>
      </c>
      <c r="C22737" s="15" t="s">
        <v>24200</v>
      </c>
      <c r="D22737" s="15" t="s">
        <v>24277</v>
      </c>
      <c r="E22737" s="2">
        <v>6943537</v>
      </c>
      <c r="F22737" s="4" t="str">
        <f>IF(B22737=B22736,"",B22737)</f>
        <v>LlefiÃ </v>
      </c>
    </row>
    <row r="22738" spans="1:6" ht="15.75" customHeight="1">
      <c r="A22738" s="8" t="str">
        <f ca="1">IFERROR(__xludf.DUMMYFUNCTION("GOOGLETRANSLATE(B29509,""en"",""pt"")"),"Llefià")</f>
        <v>Llefià</v>
      </c>
      <c r="B22738" s="11" t="s">
        <v>32482</v>
      </c>
      <c r="C22738" s="11" t="s">
        <v>24200</v>
      </c>
      <c r="D22738" s="11" t="s">
        <v>24277</v>
      </c>
      <c r="E22738" s="10">
        <v>6943537</v>
      </c>
      <c r="F22738" s="4" t="str">
        <f>IF(B22738=B22737,"",B22738)</f>
        <v>Llefià</v>
      </c>
    </row>
    <row r="22739" spans="1:6" ht="15.75" customHeight="1">
      <c r="A22739" s="8" t="str">
        <f ca="1">IFERROR(__xludf.DUMMYFUNCTION("GOOGLETRANSLATE(B45806,""en"",""pt"")"),"Llazicë")</f>
        <v>Llazicë</v>
      </c>
      <c r="B22739" s="9" t="s">
        <v>36207</v>
      </c>
      <c r="C22739" s="9" t="s">
        <v>16852</v>
      </c>
      <c r="D22739" s="9" t="s">
        <v>16855</v>
      </c>
      <c r="E22739" s="10">
        <v>788470</v>
      </c>
      <c r="F22739" s="4" t="str">
        <f>IF(B22739=B22738,"",B22739)</f>
        <v>Llazicë</v>
      </c>
    </row>
    <row r="22740" spans="1:6" ht="15.75" customHeight="1">
      <c r="A22740" s="15" t="s">
        <v>16867</v>
      </c>
      <c r="B22740" s="15" t="s">
        <v>16868</v>
      </c>
      <c r="C22740" s="15" t="s">
        <v>16852</v>
      </c>
      <c r="D22740" s="15" t="s">
        <v>16855</v>
      </c>
      <c r="E22740" s="2">
        <v>788470</v>
      </c>
      <c r="F22740" s="4" t="str">
        <f>IF(B22740=B22739,"",B22740)</f>
        <v>LlazicÃ«</v>
      </c>
    </row>
    <row r="22741" spans="1:6" ht="15.75" customHeight="1">
      <c r="A22741" s="15" t="s">
        <v>24564</v>
      </c>
      <c r="B22741" s="15" t="s">
        <v>24565</v>
      </c>
      <c r="C22741" s="15" t="s">
        <v>24200</v>
      </c>
      <c r="D22741" s="15" t="s">
        <v>21053</v>
      </c>
      <c r="E22741" s="2">
        <v>2515036</v>
      </c>
      <c r="F22741" s="4" t="str">
        <f>IF(B22741=B22740,"",B22741)</f>
        <v>LlÃ­ria</v>
      </c>
    </row>
    <row r="22742" spans="1:6" ht="15.75" customHeight="1">
      <c r="A22742" s="15" t="s">
        <v>27501</v>
      </c>
      <c r="B22742" s="15" t="s">
        <v>27501</v>
      </c>
      <c r="C22742" s="15" t="s">
        <v>27234</v>
      </c>
      <c r="D22742" s="15" t="s">
        <v>27235</v>
      </c>
      <c r="E22742" s="2">
        <v>2644100</v>
      </c>
      <c r="F22742" s="4" t="str">
        <f>IF(B22742=B22741,"",B22742)</f>
        <v>Llanelli</v>
      </c>
    </row>
    <row r="22743" spans="1:6" ht="15.75" customHeight="1">
      <c r="A22743" s="8" t="str">
        <f ca="1">IFERROR(__xludf.DUMMYFUNCTION("GOOGLETRANSLATE(B30571,""en"",""pt"")"),"Llanelli")</f>
        <v>Llanelli</v>
      </c>
      <c r="B22743" s="11" t="s">
        <v>27501</v>
      </c>
      <c r="C22743" s="11" t="s">
        <v>27234</v>
      </c>
      <c r="D22743" s="11" t="s">
        <v>27235</v>
      </c>
      <c r="E22743" s="10">
        <v>2644100</v>
      </c>
      <c r="F22743" s="4" t="str">
        <f>IF(B22743=B22742,"",B22743)</f>
        <v/>
      </c>
    </row>
    <row r="22744" spans="1:6" ht="15.75" customHeight="1">
      <c r="A22744" s="16" t="s">
        <v>27500</v>
      </c>
      <c r="B22744" s="15" t="s">
        <v>27500</v>
      </c>
      <c r="C22744" s="16" t="s">
        <v>27234</v>
      </c>
      <c r="D22744" s="16" t="s">
        <v>27235</v>
      </c>
      <c r="E22744" s="2">
        <v>2644120</v>
      </c>
      <c r="F22744" s="4" t="str">
        <f>IF(B22744=B22743,"",B22744)</f>
        <v>Llandudno</v>
      </c>
    </row>
    <row r="22745" spans="1:6" ht="15.75" customHeight="1">
      <c r="A22745" s="8" t="str">
        <f ca="1">IFERROR(__xludf.DUMMYFUNCTION("GOOGLETRANSLATE(B30572,""en"",""pt"")"),"Llandudno")</f>
        <v>Llandudno</v>
      </c>
      <c r="B22745" s="11" t="s">
        <v>27500</v>
      </c>
      <c r="C22745" s="11" t="s">
        <v>27234</v>
      </c>
      <c r="D22745" s="11" t="s">
        <v>27235</v>
      </c>
      <c r="E22745" s="10">
        <v>2644120</v>
      </c>
      <c r="F22745" s="4" t="str">
        <f>IF(B22745=B22744,"",B22745)</f>
        <v/>
      </c>
    </row>
    <row r="22746" spans="1:6" ht="15.75" customHeight="1">
      <c r="A22746" s="16" t="s">
        <v>1816</v>
      </c>
      <c r="B22746" s="15" t="s">
        <v>1817</v>
      </c>
      <c r="C22746" s="16" t="s">
        <v>1806</v>
      </c>
      <c r="D22746" s="16" t="s">
        <v>1818</v>
      </c>
      <c r="E22746" s="2">
        <v>3911409</v>
      </c>
      <c r="F22746" s="4" t="str">
        <f>IF(B22746=B22745,"",B22746)</f>
        <v>Llallagua</v>
      </c>
    </row>
    <row r="22747" spans="1:6" ht="15.75" customHeight="1">
      <c r="A22747" s="8" t="str">
        <f ca="1">IFERROR(__xludf.DUMMYFUNCTION("GOOGLETRANSLATE(B24134,""en"",""pt"")"),"Llallalalalala")</f>
        <v>Llallalalalala</v>
      </c>
      <c r="B22747" s="11" t="s">
        <v>1817</v>
      </c>
      <c r="C22747" s="11" t="s">
        <v>1806</v>
      </c>
      <c r="D22747" s="11" t="s">
        <v>31336</v>
      </c>
      <c r="E22747" s="10">
        <v>3911409</v>
      </c>
      <c r="F22747" s="4" t="str">
        <f>IF(B22747=B22746,"",B22747)</f>
        <v/>
      </c>
    </row>
    <row r="22748" spans="1:6" ht="15.75" customHeight="1">
      <c r="A22748" s="15" t="s">
        <v>4420</v>
      </c>
      <c r="B22748" s="15" t="s">
        <v>4420</v>
      </c>
      <c r="C22748" s="15" t="s">
        <v>4355</v>
      </c>
      <c r="D22748" s="15" t="s">
        <v>3642</v>
      </c>
      <c r="E22748" s="2">
        <v>3883035</v>
      </c>
      <c r="F22748" s="4" t="str">
        <f>IF(B22748=B22747,"",B22748)</f>
        <v>Llaillay</v>
      </c>
    </row>
    <row r="22749" spans="1:6" ht="15.75" customHeight="1">
      <c r="A22749" s="8" t="str">
        <f ca="1">IFERROR(__xludf.DUMMYFUNCTION("GOOGLETRANSLATE(B25935,""en"",""pt"")"),"Llaillay")</f>
        <v>Llaillay</v>
      </c>
      <c r="B22749" s="9" t="s">
        <v>4420</v>
      </c>
      <c r="C22749" s="9" t="s">
        <v>4355</v>
      </c>
      <c r="D22749" s="9" t="s">
        <v>30263</v>
      </c>
      <c r="E22749" s="10">
        <v>3883035</v>
      </c>
      <c r="F22749" s="4" t="str">
        <f>IF(B22749=B22748,"",B22749)</f>
        <v/>
      </c>
    </row>
    <row r="22750" spans="1:6" ht="15.75" customHeight="1">
      <c r="A22750" s="15" t="s">
        <v>23790</v>
      </c>
      <c r="B22750" s="15" t="s">
        <v>23790</v>
      </c>
      <c r="C22750" s="15" t="s">
        <v>23786</v>
      </c>
      <c r="D22750" s="15" t="s">
        <v>23790</v>
      </c>
      <c r="E22750" s="2">
        <v>3196359</v>
      </c>
      <c r="F22750" s="4" t="str">
        <f>IF(B22750=B22749,"",B22750)</f>
        <v>Ljubljana</v>
      </c>
    </row>
    <row r="22751" spans="1:6" ht="15.75" customHeight="1">
      <c r="A22751" s="8" t="str">
        <f ca="1">IFERROR(__xludf.DUMMYFUNCTION("GOOGLETRANSLATE(B41216,""en"",""pt"")"),"Ljubljana")</f>
        <v>Ljubljana</v>
      </c>
      <c r="B22751" s="11" t="s">
        <v>23790</v>
      </c>
      <c r="C22751" s="11" t="s">
        <v>23786</v>
      </c>
      <c r="D22751" s="11" t="s">
        <v>23790</v>
      </c>
      <c r="E22751" s="10">
        <v>3196359</v>
      </c>
      <c r="F22751" s="4" t="str">
        <f>IF(B22751=B22750,"",B22751)</f>
        <v/>
      </c>
    </row>
    <row r="22752" spans="1:6" ht="15.75" customHeight="1">
      <c r="A22752" s="15" t="s">
        <v>17419</v>
      </c>
      <c r="B22752" s="15" t="s">
        <v>17419</v>
      </c>
      <c r="C22752" s="15" t="s">
        <v>17410</v>
      </c>
      <c r="D22752" s="15" t="s">
        <v>17411</v>
      </c>
      <c r="E22752" s="2">
        <v>927834</v>
      </c>
      <c r="F22752" s="4" t="str">
        <f>IF(B22752=B22751,"",B22752)</f>
        <v>Liwonde</v>
      </c>
    </row>
    <row r="22753" spans="1:6" ht="15.75" customHeight="1">
      <c r="A22753" s="8" t="str">
        <f ca="1">IFERROR(__xludf.DUMMYFUNCTION("GOOGLETRANSLATE(B36835,""en"",""pt"")"),"Liwonde")</f>
        <v>Liwonde</v>
      </c>
      <c r="B22753" s="11" t="s">
        <v>17419</v>
      </c>
      <c r="C22753" s="11" t="s">
        <v>17410</v>
      </c>
      <c r="D22753" s="11" t="s">
        <v>17411</v>
      </c>
      <c r="E22753" s="10">
        <v>927834</v>
      </c>
      <c r="F22753" s="4" t="str">
        <f>IF(B22753=B22752,"",B22753)</f>
        <v/>
      </c>
    </row>
    <row r="22754" spans="1:6" ht="15.75" customHeight="1">
      <c r="A22754" s="15" t="s">
        <v>25656</v>
      </c>
      <c r="B22754" s="15" t="s">
        <v>25656</v>
      </c>
      <c r="C22754" s="15" t="s">
        <v>25560</v>
      </c>
      <c r="D22754" s="15" t="s">
        <v>25655</v>
      </c>
      <c r="E22754" s="2">
        <v>155921</v>
      </c>
      <c r="F22754" s="4" t="str">
        <f>IF(B22754=B22753,"",B22754)</f>
        <v>Liwale</v>
      </c>
    </row>
    <row r="22755" spans="1:6" ht="15.75" customHeight="1">
      <c r="A22755" s="8" t="str">
        <f ca="1">IFERROR(__xludf.DUMMYFUNCTION("GOOGLETRANSLATE(B42375,""en"",""pt"")"),"Liwale")</f>
        <v>Liwale</v>
      </c>
      <c r="B22755" s="11" t="s">
        <v>25656</v>
      </c>
      <c r="C22755" s="11" t="s">
        <v>25560</v>
      </c>
      <c r="D22755" s="11" t="s">
        <v>25655</v>
      </c>
      <c r="E22755" s="10">
        <v>155921</v>
      </c>
      <c r="F22755" s="4" t="str">
        <f>IF(B22755=B22754,"",B22755)</f>
        <v/>
      </c>
    </row>
    <row r="22756" spans="1:6" ht="15.75" customHeight="1">
      <c r="A22756" s="16" t="s">
        <v>7501</v>
      </c>
      <c r="B22756" s="15" t="s">
        <v>7501</v>
      </c>
      <c r="C22756" s="16" t="s">
        <v>7052</v>
      </c>
      <c r="D22756" s="16" t="s">
        <v>7058</v>
      </c>
      <c r="E22756" s="2">
        <v>2998056</v>
      </c>
      <c r="F22756" s="4" t="str">
        <f>IF(B22756=B22755,"",B22756)</f>
        <v>Livry-Gargan</v>
      </c>
    </row>
    <row r="22757" spans="1:6" ht="15.75" customHeight="1">
      <c r="A22757" s="8" t="str">
        <f ca="1">IFERROR(__xludf.DUMMYFUNCTION("GOOGLETRANSLATE(B29962,""en"",""pt"")"),"Livry-Gargan")</f>
        <v>Livry-Gargan</v>
      </c>
      <c r="B22757" s="11" t="s">
        <v>7501</v>
      </c>
      <c r="C22757" s="11" t="s">
        <v>7052</v>
      </c>
      <c r="D22757" s="11" t="s">
        <v>32531</v>
      </c>
      <c r="E22757" s="10">
        <v>2998056</v>
      </c>
      <c r="F22757" s="4" t="str">
        <f>IF(B22757=B22756,"",B22757)</f>
        <v/>
      </c>
    </row>
    <row r="22758" spans="1:6" ht="15.75" customHeight="1">
      <c r="A22758" s="16" t="s">
        <v>2818</v>
      </c>
      <c r="B22758" s="15" t="s">
        <v>2818</v>
      </c>
      <c r="C22758" s="16" t="s">
        <v>1905</v>
      </c>
      <c r="D22758" s="16" t="s">
        <v>1947</v>
      </c>
      <c r="E22758" s="2">
        <v>3458481</v>
      </c>
      <c r="F22758" s="4" t="str">
        <f>IF(B22758=B22757,"",B22758)</f>
        <v>Livramento do Brumado</v>
      </c>
    </row>
    <row r="22759" spans="1:6" ht="15.75" customHeight="1">
      <c r="A22759" s="8" t="str">
        <f ca="1">IFERROR(__xludf.DUMMYFUNCTION("GOOGLETRANSLATE(B24855,""en"",""pt"")"),"Livramento do Brumado")</f>
        <v>Livramento do Brumado</v>
      </c>
      <c r="B22759" s="11" t="s">
        <v>2818</v>
      </c>
      <c r="C22759" s="11" t="s">
        <v>1905</v>
      </c>
      <c r="D22759" s="11" t="s">
        <v>1947</v>
      </c>
      <c r="E22759" s="10">
        <v>3458481</v>
      </c>
      <c r="F22759" s="4" t="str">
        <f>IF(B22759=B22758,"",B22759)</f>
        <v/>
      </c>
    </row>
    <row r="22760" spans="1:6" ht="15.75" customHeight="1">
      <c r="A22760" s="15" t="s">
        <v>15227</v>
      </c>
      <c r="B22760" s="15" t="s">
        <v>15227</v>
      </c>
      <c r="C22760" s="15" t="s">
        <v>14891</v>
      </c>
      <c r="D22760" s="15" t="s">
        <v>14943</v>
      </c>
      <c r="E22760" s="2">
        <v>3174659</v>
      </c>
      <c r="F22760" s="4" t="str">
        <f>IF(B22760=B22759,"",B22760)</f>
        <v>Livorno</v>
      </c>
    </row>
    <row r="22761" spans="1:6" ht="15.75" customHeight="1">
      <c r="A22761" s="8" t="str">
        <f ca="1">IFERROR(__xludf.DUMMYFUNCTION("GOOGLETRANSLATE(B34865,""en"",""pt"")"),"Livorno")</f>
        <v>Livorno</v>
      </c>
      <c r="B22761" s="11" t="s">
        <v>15227</v>
      </c>
      <c r="C22761" s="11" t="s">
        <v>14891</v>
      </c>
      <c r="D22761" s="11" t="s">
        <v>14943</v>
      </c>
      <c r="E22761" s="10">
        <v>3174659</v>
      </c>
      <c r="F22761" s="4" t="str">
        <f>IF(B22761=B22760,"",B22761)</f>
        <v/>
      </c>
    </row>
    <row r="22762" spans="1:6" ht="15.75" customHeight="1">
      <c r="A22762" s="15" t="s">
        <v>29142</v>
      </c>
      <c r="B22762" s="15" t="s">
        <v>29142</v>
      </c>
      <c r="C22762" s="15" t="s">
        <v>27788</v>
      </c>
      <c r="D22762" s="15" t="s">
        <v>27804</v>
      </c>
      <c r="E22762" s="2">
        <v>4999837</v>
      </c>
      <c r="F22762" s="4" t="str">
        <f>IF(B22762=B22761,"",B22762)</f>
        <v>Livonia</v>
      </c>
    </row>
    <row r="22763" spans="1:6" ht="15.75" customHeight="1">
      <c r="A22763" s="8" t="str">
        <f ca="1">IFERROR(__xludf.DUMMYFUNCTION("GOOGLETRANSLATE(B44099,""en"",""pt"")"),"Livonia")</f>
        <v>Livonia</v>
      </c>
      <c r="B22763" s="11" t="s">
        <v>29142</v>
      </c>
      <c r="C22763" s="11" t="s">
        <v>27788</v>
      </c>
      <c r="D22763" s="11" t="s">
        <v>27804</v>
      </c>
      <c r="E22763" s="10">
        <v>4999837</v>
      </c>
      <c r="F22763" s="4" t="str">
        <f>IF(B22763=B22762,"",B22763)</f>
        <v/>
      </c>
    </row>
    <row r="22764" spans="1:6" ht="15.75" customHeight="1">
      <c r="A22764" s="15" t="s">
        <v>22687</v>
      </c>
      <c r="B22764" s="15" t="s">
        <v>22687</v>
      </c>
      <c r="C22764" s="15" t="s">
        <v>22070</v>
      </c>
      <c r="D22764" s="15" t="s">
        <v>22688</v>
      </c>
      <c r="E22764" s="2">
        <v>534701</v>
      </c>
      <c r="F22764" s="4" t="str">
        <f>IF(B22764=B22763,"",B22764)</f>
        <v>Livny</v>
      </c>
    </row>
    <row r="22765" spans="1:6" ht="15.75" customHeight="1">
      <c r="A22765" s="8" t="str">
        <f ca="1">IFERROR(__xludf.DUMMYFUNCTION("GOOGLETRANSLATE(B40355,""en"",""pt"")"),"Livny")</f>
        <v>Livny</v>
      </c>
      <c r="B22765" s="11" t="s">
        <v>22687</v>
      </c>
      <c r="C22765" s="11" t="s">
        <v>22070</v>
      </c>
      <c r="D22765" s="11" t="s">
        <v>22688</v>
      </c>
      <c r="E22765" s="10">
        <v>534701</v>
      </c>
      <c r="F22765" s="4" t="str">
        <f>IF(B22765=B22764,"",B22765)</f>
        <v/>
      </c>
    </row>
    <row r="22766" spans="1:6" ht="15.75" customHeight="1">
      <c r="A22766" s="16" t="s">
        <v>31054</v>
      </c>
      <c r="B22766" s="15" t="s">
        <v>31054</v>
      </c>
      <c r="C22766" s="16" t="s">
        <v>31038</v>
      </c>
      <c r="D22766" s="16" t="s">
        <v>1884</v>
      </c>
      <c r="E22766" s="2">
        <v>910111</v>
      </c>
      <c r="F22766" s="4" t="str">
        <f>IF(B22766=B22765,"",B22766)</f>
        <v>Livingstone</v>
      </c>
    </row>
    <row r="22767" spans="1:6" ht="15.75" customHeight="1">
      <c r="A22767" s="8" t="str">
        <f ca="1">IFERROR(__xludf.DUMMYFUNCTION("GOOGLETRANSLATE(B46019,""en"",""pt"")"),"Livingstone")</f>
        <v>Livingstone</v>
      </c>
      <c r="B22767" s="9" t="s">
        <v>31054</v>
      </c>
      <c r="C22767" s="9" t="s">
        <v>31038</v>
      </c>
      <c r="D22767" s="9" t="s">
        <v>1884</v>
      </c>
      <c r="E22767" s="10">
        <v>910111</v>
      </c>
      <c r="F22767" s="4" t="str">
        <f>IF(B22767=B22766,"",B22767)</f>
        <v/>
      </c>
    </row>
    <row r="22768" spans="1:6" ht="15.75" customHeight="1">
      <c r="A22768" s="16" t="s">
        <v>27499</v>
      </c>
      <c r="B22768" s="15" t="s">
        <v>27499</v>
      </c>
      <c r="C22768" s="16" t="s">
        <v>27234</v>
      </c>
      <c r="D22768" s="16" t="s">
        <v>27237</v>
      </c>
      <c r="E22768" s="2">
        <v>2644204</v>
      </c>
      <c r="F22768" s="4" t="str">
        <f>IF(B22768=B22767,"",B22768)</f>
        <v>Livingston</v>
      </c>
    </row>
    <row r="22769" spans="1:6" ht="15.75" customHeight="1">
      <c r="A22769" s="16" t="s">
        <v>27499</v>
      </c>
      <c r="B22769" s="15" t="s">
        <v>27499</v>
      </c>
      <c r="C22769" s="16" t="s">
        <v>27788</v>
      </c>
      <c r="D22769" s="16" t="s">
        <v>27905</v>
      </c>
      <c r="E22769" s="2">
        <v>5100572</v>
      </c>
      <c r="F22769" s="4" t="str">
        <f>IF(B22769=B22768,"",B22769)</f>
        <v/>
      </c>
    </row>
    <row r="22770" spans="1:6" ht="15.75" customHeight="1">
      <c r="A22770" s="8" t="str">
        <f ca="1">IFERROR(__xludf.DUMMYFUNCTION("GOOGLETRANSLATE(B30573,""en"",""pt"")"),"Livingston")</f>
        <v>Livingston</v>
      </c>
      <c r="B22770" s="9" t="s">
        <v>27499</v>
      </c>
      <c r="C22770" s="9" t="s">
        <v>27234</v>
      </c>
      <c r="D22770" s="9" t="s">
        <v>27237</v>
      </c>
      <c r="E22770" s="10">
        <v>2644204</v>
      </c>
      <c r="F22770" s="4" t="str">
        <f>IF(B22770=B22769,"",B22770)</f>
        <v/>
      </c>
    </row>
    <row r="22771" spans="1:6" ht="15.75" customHeight="1">
      <c r="A22771" s="8" t="str">
        <f ca="1">IFERROR(__xludf.DUMMYFUNCTION("GOOGLETRANSLATE(B44275,""en"",""pt"")"),"Livingston")</f>
        <v>Livingston</v>
      </c>
      <c r="B22771" s="11" t="s">
        <v>27499</v>
      </c>
      <c r="C22771" s="11" t="s">
        <v>27788</v>
      </c>
      <c r="D22771" s="11" t="s">
        <v>27905</v>
      </c>
      <c r="E22771" s="10">
        <v>5100572</v>
      </c>
      <c r="F22771" s="4" t="str">
        <f>IF(B22771=B22770,"",B22771)</f>
        <v/>
      </c>
    </row>
    <row r="22772" spans="1:6" ht="15.75" customHeight="1">
      <c r="A22772" s="15" t="s">
        <v>1015</v>
      </c>
      <c r="B22772" s="15" t="s">
        <v>1015</v>
      </c>
      <c r="C22772" s="15" t="s">
        <v>885</v>
      </c>
      <c r="D22772" s="15" t="s">
        <v>891</v>
      </c>
      <c r="E22772" s="2">
        <v>2159851</v>
      </c>
      <c r="F22772" s="4" t="str">
        <f>IF(B22772=B22771,"",B22772)</f>
        <v>Liverpool</v>
      </c>
    </row>
    <row r="22773" spans="1:6" ht="15.75" customHeight="1">
      <c r="A22773" s="15" t="s">
        <v>1015</v>
      </c>
      <c r="B22773" s="15" t="s">
        <v>1015</v>
      </c>
      <c r="C22773" s="15" t="s">
        <v>27234</v>
      </c>
      <c r="D22773" s="15" t="s">
        <v>27241</v>
      </c>
      <c r="E22773" s="2">
        <v>2644210</v>
      </c>
      <c r="F22773" s="4" t="str">
        <f>IF(B22773=B22772,"",B22773)</f>
        <v/>
      </c>
    </row>
    <row r="22774" spans="1:6" ht="15.75" customHeight="1">
      <c r="A22774" s="8" t="str">
        <f ca="1">IFERROR(__xludf.DUMMYFUNCTION("GOOGLETRANSLATE(B23491,""en"",""pt"")"),"Liverpool")</f>
        <v>Liverpool</v>
      </c>
      <c r="B22774" s="9" t="s">
        <v>1015</v>
      </c>
      <c r="C22774" s="9" t="s">
        <v>885</v>
      </c>
      <c r="D22774" s="9" t="s">
        <v>891</v>
      </c>
      <c r="E22774" s="10">
        <v>2159851</v>
      </c>
      <c r="F22774" s="4" t="str">
        <f>IF(B22774=B22773,"",B22774)</f>
        <v/>
      </c>
    </row>
    <row r="22775" spans="1:6" ht="15.75" customHeight="1">
      <c r="A22775" s="8" t="str">
        <f ca="1">IFERROR(__xludf.DUMMYFUNCTION("GOOGLETRANSLATE(B30574,""en"",""pt"")"),"Liverpool")</f>
        <v>Liverpool</v>
      </c>
      <c r="B22775" s="11" t="s">
        <v>1015</v>
      </c>
      <c r="C22775" s="11" t="s">
        <v>27234</v>
      </c>
      <c r="D22775" s="11" t="s">
        <v>27241</v>
      </c>
      <c r="E22775" s="10">
        <v>2644210</v>
      </c>
      <c r="F22775" s="4" t="str">
        <f>IF(B22775=B22774,"",B22775)</f>
        <v/>
      </c>
    </row>
    <row r="22776" spans="1:6" ht="15.75" customHeight="1">
      <c r="A22776" s="15" t="s">
        <v>9569</v>
      </c>
      <c r="B22776" s="15" t="s">
        <v>9570</v>
      </c>
      <c r="C22776" s="15" t="s">
        <v>9441</v>
      </c>
      <c r="D22776" s="15" t="s">
        <v>9490</v>
      </c>
      <c r="E22776" s="2">
        <v>258463</v>
      </c>
      <c r="F22776" s="4" t="str">
        <f>IF(B22776=B22775,"",B22776)</f>
        <v>LivadeiÃ¡</v>
      </c>
    </row>
    <row r="22777" spans="1:6" ht="15.75" customHeight="1">
      <c r="A22777" s="8" t="str">
        <f ca="1">IFERROR(__xludf.DUMMYFUNCTION("GOOGLETRANSLATE(B30983,""en"",""pt"")"),"Livadeiá")</f>
        <v>Livadeiá</v>
      </c>
      <c r="B22777" s="11" t="s">
        <v>32694</v>
      </c>
      <c r="C22777" s="11" t="s">
        <v>9441</v>
      </c>
      <c r="D22777" s="11" t="s">
        <v>9490</v>
      </c>
      <c r="E22777" s="10">
        <v>258463</v>
      </c>
      <c r="F22777" s="4" t="str">
        <f>IF(B22777=B22776,"",B22777)</f>
        <v>Livadeiá</v>
      </c>
    </row>
    <row r="22778" spans="1:6" ht="15.75" customHeight="1">
      <c r="A22778" s="16" t="s">
        <v>4915</v>
      </c>
      <c r="B22778" s="15" t="s">
        <v>4915</v>
      </c>
      <c r="C22778" s="16" t="s">
        <v>4487</v>
      </c>
      <c r="D22778" s="16" t="s">
        <v>4507</v>
      </c>
      <c r="E22778" s="2">
        <v>8533133</v>
      </c>
      <c r="F22778" s="4" t="str">
        <f>IF(B22778=B22777,"",B22778)</f>
        <v>Liupanshui</v>
      </c>
    </row>
    <row r="22779" spans="1:6" ht="15.75" customHeight="1">
      <c r="A22779" s="8" t="str">
        <f ca="1">IFERROR(__xludf.DUMMYFUNCTION("GOOGLETRANSLATE(B26842,""en"",""pt"")"),"Liupanshui")</f>
        <v>Liupanshui</v>
      </c>
      <c r="B22779" s="9" t="s">
        <v>4915</v>
      </c>
      <c r="C22779" s="9" t="s">
        <v>4487</v>
      </c>
      <c r="D22779" s="9" t="s">
        <v>4507</v>
      </c>
      <c r="E22779" s="10">
        <v>8533133</v>
      </c>
      <c r="F22779" s="4" t="str">
        <f>IF(B22779=B22778,"",B22779)</f>
        <v/>
      </c>
    </row>
    <row r="22780" spans="1:6" ht="15.75" customHeight="1">
      <c r="A22780" s="15" t="s">
        <v>4914</v>
      </c>
      <c r="B22780" s="15" t="s">
        <v>4914</v>
      </c>
      <c r="C22780" s="15" t="s">
        <v>4487</v>
      </c>
      <c r="D22780" s="15" t="s">
        <v>4518</v>
      </c>
      <c r="E22780" s="2">
        <v>2036033</v>
      </c>
      <c r="F22780" s="4" t="str">
        <f>IF(B22780=B22779,"",B22780)</f>
        <v>Liuhe</v>
      </c>
    </row>
    <row r="22781" spans="1:6" ht="15.75" customHeight="1">
      <c r="A22781" s="8" t="str">
        <f ca="1">IFERROR(__xludf.DUMMYFUNCTION("GOOGLETRANSLATE(B26725,""en"",""pt"")"),"Liuhe")</f>
        <v>Liuhe</v>
      </c>
      <c r="B22781" s="9" t="s">
        <v>4914</v>
      </c>
      <c r="C22781" s="9" t="s">
        <v>4487</v>
      </c>
      <c r="D22781" s="9" t="s">
        <v>4518</v>
      </c>
      <c r="E22781" s="10">
        <v>2036033</v>
      </c>
      <c r="F22781" s="4" t="str">
        <f>IF(B22781=B22780,"",B22781)</f>
        <v/>
      </c>
    </row>
    <row r="22782" spans="1:6" ht="15.75" customHeight="1">
      <c r="A22782" s="8" t="str">
        <f ca="1">IFERROR(__xludf.DUMMYFUNCTION("GOOGLETRANSLATE(B27293,""en"",""pt"")"),"Litvínov")</f>
        <v>Litvínov</v>
      </c>
      <c r="B22782" s="11" t="s">
        <v>31974</v>
      </c>
      <c r="C22782" s="11" t="s">
        <v>5947</v>
      </c>
      <c r="D22782" s="11" t="s">
        <v>31942</v>
      </c>
      <c r="E22782" s="10">
        <v>3071665</v>
      </c>
      <c r="F22782" s="4" t="str">
        <f>IF(B22782=B22781,"",B22782)</f>
        <v>Litvínov</v>
      </c>
    </row>
    <row r="22783" spans="1:6" ht="15.75" customHeight="1">
      <c r="A22783" s="15" t="s">
        <v>6055</v>
      </c>
      <c r="B22783" s="15" t="s">
        <v>6056</v>
      </c>
      <c r="C22783" s="15" t="s">
        <v>5947</v>
      </c>
      <c r="D22783" s="15" t="s">
        <v>5956</v>
      </c>
      <c r="E22783" s="2">
        <v>3071665</v>
      </c>
      <c r="F22783" s="4" t="str">
        <f>IF(B22783=B22782,"",B22783)</f>
        <v>LitvÃ­nov</v>
      </c>
    </row>
    <row r="22784" spans="1:6" ht="15.75" customHeight="1">
      <c r="A22784" s="15" t="s">
        <v>29141</v>
      </c>
      <c r="B22784" s="15" t="s">
        <v>29141</v>
      </c>
      <c r="C22784" s="15" t="s">
        <v>27788</v>
      </c>
      <c r="D22784" s="15" t="s">
        <v>2341</v>
      </c>
      <c r="E22784" s="2">
        <v>5429032</v>
      </c>
      <c r="F22784" s="4" t="str">
        <f>IF(B22784=B22783,"",B22784)</f>
        <v>Littleton</v>
      </c>
    </row>
    <row r="22785" spans="1:6" ht="15.75" customHeight="1">
      <c r="A22785" s="8" t="str">
        <f ca="1">IFERROR(__xludf.DUMMYFUNCTION("GOOGLETRANSLATE(B45111,""en"",""pt"")"),"Littleton")</f>
        <v>Littleton</v>
      </c>
      <c r="B22785" s="11" t="s">
        <v>29141</v>
      </c>
      <c r="C22785" s="11" t="s">
        <v>27788</v>
      </c>
      <c r="D22785" s="11" t="s">
        <v>2341</v>
      </c>
      <c r="E22785" s="10">
        <v>5429032</v>
      </c>
      <c r="F22785" s="4" t="str">
        <f>IF(B22785=B22784,"",B22785)</f>
        <v/>
      </c>
    </row>
    <row r="22786" spans="1:6" ht="15.75" customHeight="1">
      <c r="A22786" s="16" t="s">
        <v>27498</v>
      </c>
      <c r="B22786" s="15" t="s">
        <v>27498</v>
      </c>
      <c r="C22786" s="16" t="s">
        <v>27234</v>
      </c>
      <c r="D22786" s="16" t="s">
        <v>27241</v>
      </c>
      <c r="E22786" s="2">
        <v>2644319</v>
      </c>
      <c r="F22786" s="4" t="str">
        <f>IF(B22786=B22785,"",B22786)</f>
        <v>Littlehampton</v>
      </c>
    </row>
    <row r="22787" spans="1:6" ht="15.75" customHeight="1">
      <c r="A22787" s="8" t="str">
        <f ca="1">IFERROR(__xludf.DUMMYFUNCTION("GOOGLETRANSLATE(B30575,""en"",""pt"")"),"Littlehampton")</f>
        <v>Littlehampton</v>
      </c>
      <c r="B22787" s="11" t="s">
        <v>27498</v>
      </c>
      <c r="C22787" s="11" t="s">
        <v>27234</v>
      </c>
      <c r="D22787" s="11" t="s">
        <v>27241</v>
      </c>
      <c r="E22787" s="10">
        <v>2644319</v>
      </c>
      <c r="F22787" s="4" t="str">
        <f>IF(B22787=B22786,"",B22787)</f>
        <v/>
      </c>
    </row>
    <row r="22788" spans="1:6" ht="15.75" customHeight="1">
      <c r="A22788" s="16" t="s">
        <v>29139</v>
      </c>
      <c r="B22788" s="15" t="s">
        <v>29140</v>
      </c>
      <c r="C22788" s="16" t="s">
        <v>27788</v>
      </c>
      <c r="D22788" s="16" t="s">
        <v>27991</v>
      </c>
      <c r="E22788" s="2">
        <v>4119403</v>
      </c>
      <c r="F22788" s="4" t="str">
        <f>IF(B22788=B22787,"",B22788)</f>
        <v>Little Rock</v>
      </c>
    </row>
    <row r="22789" spans="1:6" ht="15.75" customHeight="1">
      <c r="A22789" s="8" t="str">
        <f ca="1">IFERROR(__xludf.DUMMYFUNCTION("GOOGLETRANSLATE(B42820,""en"",""pt"")"),"Pedra pequena")</f>
        <v>Pedra pequena</v>
      </c>
      <c r="B22789" s="11" t="s">
        <v>29140</v>
      </c>
      <c r="C22789" s="11" t="s">
        <v>27788</v>
      </c>
      <c r="D22789" s="11" t="s">
        <v>27991</v>
      </c>
      <c r="E22789" s="10">
        <v>4119403</v>
      </c>
      <c r="F22789" s="4" t="str">
        <f>IF(B22789=B22788,"",B22789)</f>
        <v/>
      </c>
    </row>
    <row r="22790" spans="1:6" ht="15.75" customHeight="1">
      <c r="A22790" s="15" t="s">
        <v>25287</v>
      </c>
      <c r="B22790" s="15" t="s">
        <v>25287</v>
      </c>
      <c r="C22790" s="15" t="s">
        <v>25237</v>
      </c>
      <c r="D22790" s="15" t="s">
        <v>25259</v>
      </c>
      <c r="E22790" s="2">
        <v>2659873</v>
      </c>
      <c r="F22790" s="4" t="str">
        <f>IF(B22790=B22789,"",B22790)</f>
        <v>Littau</v>
      </c>
    </row>
    <row r="22791" spans="1:6" ht="15.75" customHeight="1">
      <c r="A22791" s="8" t="str">
        <f ca="1">IFERROR(__xludf.DUMMYFUNCTION("GOOGLETRANSLATE(B25772,""en"",""pt"")"),"Littau")</f>
        <v>Littau</v>
      </c>
      <c r="B22791" s="9" t="s">
        <v>25287</v>
      </c>
      <c r="C22791" s="9" t="s">
        <v>25237</v>
      </c>
      <c r="D22791" s="9" t="s">
        <v>25259</v>
      </c>
      <c r="E22791" s="10">
        <v>2659873</v>
      </c>
      <c r="F22791" s="4" t="str">
        <f>IF(B22791=B22790,"",B22791)</f>
        <v/>
      </c>
    </row>
    <row r="22792" spans="1:6" ht="15.75" customHeight="1">
      <c r="A22792" s="8" t="str">
        <f ca="1">IFERROR(__xludf.DUMMYFUNCTION("GOOGLETRANSLATE(B27294,""en"",""pt"")"),"Litoměulta")</f>
        <v>Litoměulta</v>
      </c>
      <c r="B22792" s="11" t="s">
        <v>31975</v>
      </c>
      <c r="C22792" s="11" t="s">
        <v>5947</v>
      </c>
      <c r="D22792" s="11" t="s">
        <v>31942</v>
      </c>
      <c r="E22792" s="10">
        <v>3071677</v>
      </c>
      <c r="F22792" s="4" t="str">
        <f>IF(B22792=B22791,"",B22792)</f>
        <v>Litoměřice</v>
      </c>
    </row>
    <row r="22793" spans="1:6" ht="15.75" customHeight="1">
      <c r="A22793" s="16" t="s">
        <v>6053</v>
      </c>
      <c r="B22793" s="15" t="s">
        <v>6054</v>
      </c>
      <c r="C22793" s="16" t="s">
        <v>5947</v>
      </c>
      <c r="D22793" s="16" t="s">
        <v>5956</v>
      </c>
      <c r="E22793" s="2">
        <v>3071677</v>
      </c>
      <c r="F22793" s="4" t="str">
        <f>IF(B22793=B22792,"",B22793)</f>
        <v>LitomÄ›Å™ice</v>
      </c>
    </row>
    <row r="22794" spans="1:6" ht="15.75" customHeight="1">
      <c r="A22794" s="16" t="s">
        <v>29138</v>
      </c>
      <c r="B22794" s="15" t="s">
        <v>29138</v>
      </c>
      <c r="C22794" s="16" t="s">
        <v>27788</v>
      </c>
      <c r="D22794" s="16" t="s">
        <v>7988</v>
      </c>
      <c r="E22794" s="2">
        <v>4205885</v>
      </c>
      <c r="F22794" s="4" t="str">
        <f>IF(B22794=B22793,"",B22794)</f>
        <v>Lithia Springs</v>
      </c>
    </row>
    <row r="22795" spans="1:6" ht="15.75" customHeight="1">
      <c r="A22795" s="8" t="str">
        <f ca="1">IFERROR(__xludf.DUMMYFUNCTION("GOOGLETRANSLATE(B43090,""en"",""pt"")"),"Lithia Springs")</f>
        <v>Lithia Springs</v>
      </c>
      <c r="B22795" s="9" t="s">
        <v>29138</v>
      </c>
      <c r="C22795" s="9" t="s">
        <v>27788</v>
      </c>
      <c r="D22795" s="9" t="s">
        <v>7988</v>
      </c>
      <c r="E22795" s="10">
        <v>4205885</v>
      </c>
      <c r="F22795" s="4" t="str">
        <f>IF(B22795=B22794,"",B22795)</f>
        <v/>
      </c>
    </row>
    <row r="22796" spans="1:6" ht="15.75" customHeight="1">
      <c r="A22796" s="16" t="s">
        <v>27497</v>
      </c>
      <c r="B22796" s="15" t="s">
        <v>27497</v>
      </c>
      <c r="C22796" s="16" t="s">
        <v>27234</v>
      </c>
      <c r="D22796" s="16" t="s">
        <v>27241</v>
      </c>
      <c r="E22796" s="2">
        <v>2644386</v>
      </c>
      <c r="F22796" s="4" t="str">
        <f>IF(B22796=B22795,"",B22796)</f>
        <v>Litherland</v>
      </c>
    </row>
    <row r="22797" spans="1:6" ht="15.75" customHeight="1">
      <c r="A22797" s="8" t="str">
        <f ca="1">IFERROR(__xludf.DUMMYFUNCTION("GOOGLETRANSLATE(B30576,""en"",""pt"")"),"Litherland")</f>
        <v>Litherland</v>
      </c>
      <c r="B22797" s="9" t="s">
        <v>27497</v>
      </c>
      <c r="C22797" s="9" t="s">
        <v>27234</v>
      </c>
      <c r="D22797" s="9" t="s">
        <v>27241</v>
      </c>
      <c r="E22797" s="10">
        <v>2644386</v>
      </c>
      <c r="F22797" s="4" t="str">
        <f>IF(B22797=B22796,"",B22797)</f>
        <v/>
      </c>
    </row>
    <row r="22798" spans="1:6" ht="15.75" customHeight="1">
      <c r="A22798" s="15" t="s">
        <v>15226</v>
      </c>
      <c r="B22798" s="15" t="s">
        <v>15226</v>
      </c>
      <c r="C22798" s="15" t="s">
        <v>14891</v>
      </c>
      <c r="D22798" s="15" t="s">
        <v>14894</v>
      </c>
      <c r="E22798" s="2">
        <v>3174679</v>
      </c>
      <c r="F22798" s="4" t="str">
        <f>IF(B22798=B22797,"",B22798)</f>
        <v>Lissone</v>
      </c>
    </row>
    <row r="22799" spans="1:6" ht="15.75" customHeight="1">
      <c r="A22799" s="8" t="str">
        <f ca="1">IFERROR(__xludf.DUMMYFUNCTION("GOOGLETRANSLATE(B34866,""en"",""pt"")"),"Lissone")</f>
        <v>Lissone</v>
      </c>
      <c r="B22799" s="11" t="s">
        <v>15226</v>
      </c>
      <c r="C22799" s="11" t="s">
        <v>14891</v>
      </c>
      <c r="D22799" s="11" t="s">
        <v>14894</v>
      </c>
      <c r="E22799" s="10">
        <v>3174679</v>
      </c>
      <c r="F22799" s="4" t="str">
        <f>IF(B22799=B22798,"",B22799)</f>
        <v/>
      </c>
    </row>
    <row r="22800" spans="1:6" ht="15.75" customHeight="1">
      <c r="A22800" s="15" t="s">
        <v>19029</v>
      </c>
      <c r="B22800" s="15" t="s">
        <v>19029</v>
      </c>
      <c r="C22800" s="15" t="s">
        <v>18862</v>
      </c>
      <c r="D22800" s="15" t="s">
        <v>18868</v>
      </c>
      <c r="E22800" s="2">
        <v>2751547</v>
      </c>
      <c r="F22800" s="4" t="str">
        <f>IF(B22800=B22799,"",B22800)</f>
        <v>Lisse</v>
      </c>
    </row>
    <row r="22801" spans="1:6" ht="15.75" customHeight="1">
      <c r="A22801" s="8" t="str">
        <f ca="1">IFERROR(__xludf.DUMMYFUNCTION("GOOGLETRANSLATE(B38005,""en"",""pt"")"),"Lisse")</f>
        <v>Lisse</v>
      </c>
      <c r="B22801" s="11" t="s">
        <v>19029</v>
      </c>
      <c r="C22801" s="11" t="s">
        <v>18862</v>
      </c>
      <c r="D22801" s="11" t="s">
        <v>18868</v>
      </c>
      <c r="E22801" s="10">
        <v>2751547</v>
      </c>
      <c r="F22801" s="4" t="str">
        <f>IF(B22801=B22800,"",B22801)</f>
        <v/>
      </c>
    </row>
    <row r="22802" spans="1:6" ht="15.75" customHeight="1">
      <c r="A22802" s="15" t="s">
        <v>1014</v>
      </c>
      <c r="B22802" s="15" t="s">
        <v>1014</v>
      </c>
      <c r="C22802" s="15" t="s">
        <v>885</v>
      </c>
      <c r="D22802" s="15" t="s">
        <v>891</v>
      </c>
      <c r="E22802" s="2">
        <v>2160063</v>
      </c>
      <c r="F22802" s="4" t="str">
        <f>IF(B22802=B22801,"",B22802)</f>
        <v>Lismore</v>
      </c>
    </row>
    <row r="22803" spans="1:6" ht="15.75" customHeight="1">
      <c r="A22803" s="8" t="str">
        <f ca="1">IFERROR(__xludf.DUMMYFUNCTION("GOOGLETRANSLATE(B23492,""en"",""pt"")"),"Lismore")</f>
        <v>Lismore</v>
      </c>
      <c r="B22803" s="11" t="s">
        <v>1014</v>
      </c>
      <c r="C22803" s="11" t="s">
        <v>885</v>
      </c>
      <c r="D22803" s="11" t="s">
        <v>891</v>
      </c>
      <c r="E22803" s="10">
        <v>2160063</v>
      </c>
      <c r="F22803" s="4" t="str">
        <f>IF(B22803=B22802,"",B22803)</f>
        <v/>
      </c>
    </row>
    <row r="22804" spans="1:6" ht="15.75" customHeight="1">
      <c r="A22804" s="15" t="s">
        <v>29137</v>
      </c>
      <c r="B22804" s="15" t="s">
        <v>29137</v>
      </c>
      <c r="C22804" s="15" t="s">
        <v>27788</v>
      </c>
      <c r="D22804" s="15" t="s">
        <v>27799</v>
      </c>
      <c r="E22804" s="2">
        <v>4900080</v>
      </c>
      <c r="F22804" s="4" t="str">
        <f>IF(B22804=B22803,"",B22804)</f>
        <v>Lisle</v>
      </c>
    </row>
    <row r="22805" spans="1:6" ht="15.75" customHeight="1">
      <c r="A22805" s="8" t="str">
        <f ca="1">IFERROR(__xludf.DUMMYFUNCTION("GOOGLETRANSLATE(B43835,""en"",""pt"")"),"Lisle")</f>
        <v>Lisle</v>
      </c>
      <c r="B22805" s="11" t="s">
        <v>29137</v>
      </c>
      <c r="C22805" s="11" t="s">
        <v>27788</v>
      </c>
      <c r="D22805" s="11" t="s">
        <v>27799</v>
      </c>
      <c r="E22805" s="10">
        <v>4900080</v>
      </c>
      <c r="F22805" s="4" t="str">
        <f>IF(B22805=B22804,"",B22805)</f>
        <v/>
      </c>
    </row>
    <row r="22806" spans="1:6" ht="15.75" customHeight="1">
      <c r="A22806" s="15" t="s">
        <v>22686</v>
      </c>
      <c r="B22806" s="15" t="s">
        <v>22686</v>
      </c>
      <c r="C22806" s="15" t="s">
        <v>22070</v>
      </c>
      <c r="D22806" s="15" t="s">
        <v>22137</v>
      </c>
      <c r="E22806" s="2">
        <v>534838</v>
      </c>
      <c r="F22806" s="4" t="str">
        <f>IF(B22806=B22805,"",B22806)</f>
        <v>Liski</v>
      </c>
    </row>
    <row r="22807" spans="1:6" ht="15.75" customHeight="1">
      <c r="A22807" s="8" t="str">
        <f ca="1">IFERROR(__xludf.DUMMYFUNCTION("GOOGLETRANSLATE(B40356,""en"",""pt"")"),"Liski")</f>
        <v>Liski</v>
      </c>
      <c r="B22807" s="11" t="s">
        <v>22686</v>
      </c>
      <c r="C22807" s="11" t="s">
        <v>22070</v>
      </c>
      <c r="D22807" s="11" t="s">
        <v>22137</v>
      </c>
      <c r="E22807" s="10">
        <v>534838</v>
      </c>
      <c r="F22807" s="4" t="str">
        <f>IF(B22807=B22806,"",B22807)</f>
        <v/>
      </c>
    </row>
    <row r="22808" spans="1:6" ht="15.75" customHeight="1">
      <c r="A22808" s="15" t="s">
        <v>7500</v>
      </c>
      <c r="B22808" s="15" t="s">
        <v>7500</v>
      </c>
      <c r="C22808" s="15" t="s">
        <v>7052</v>
      </c>
      <c r="D22808" s="15" t="s">
        <v>7068</v>
      </c>
      <c r="E22808" s="2">
        <v>2998150</v>
      </c>
      <c r="F22808" s="4" t="str">
        <f>IF(B22808=B22807,"",B22808)</f>
        <v>Lisieux</v>
      </c>
    </row>
    <row r="22809" spans="1:6" ht="15.75" customHeight="1">
      <c r="A22809" s="8" t="str">
        <f ca="1">IFERROR(__xludf.DUMMYFUNCTION("GOOGLETRANSLATE(B29964,""en"",""pt"")"),"Lisieux")</f>
        <v>Lisieux</v>
      </c>
      <c r="B22809" s="11" t="s">
        <v>7500</v>
      </c>
      <c r="C22809" s="11" t="s">
        <v>7052</v>
      </c>
      <c r="D22809" s="11" t="s">
        <v>7068</v>
      </c>
      <c r="E22809" s="10">
        <v>2998150</v>
      </c>
      <c r="F22809" s="4" t="str">
        <f>IF(B22809=B22808,"",B22809)</f>
        <v/>
      </c>
    </row>
    <row r="22810" spans="1:6" ht="15.75" customHeight="1">
      <c r="A22810" s="15" t="s">
        <v>4913</v>
      </c>
      <c r="B22810" s="15" t="s">
        <v>4913</v>
      </c>
      <c r="C22810" s="15" t="s">
        <v>4487</v>
      </c>
      <c r="D22810" s="15" t="s">
        <v>4631</v>
      </c>
      <c r="E22810" s="2">
        <v>1803245</v>
      </c>
      <c r="F22810" s="4" t="str">
        <f>IF(B22810=B22809,"",B22810)</f>
        <v>Lishui</v>
      </c>
    </row>
    <row r="22811" spans="1:6" ht="15.75" customHeight="1">
      <c r="A22811" s="8" t="str">
        <f ca="1">IFERROR(__xludf.DUMMYFUNCTION("GOOGLETRANSLATE(B26382,""en"",""pt"")"),"Lishui")</f>
        <v>Lishui</v>
      </c>
      <c r="B22811" s="11" t="s">
        <v>4913</v>
      </c>
      <c r="C22811" s="11" t="s">
        <v>4487</v>
      </c>
      <c r="D22811" s="11" t="s">
        <v>4631</v>
      </c>
      <c r="E22811" s="10">
        <v>1803245</v>
      </c>
      <c r="F22811" s="4" t="str">
        <f>IF(B22811=B22810,"",B22811)</f>
        <v/>
      </c>
    </row>
    <row r="22812" spans="1:6" ht="15.75" customHeight="1">
      <c r="A22812" s="15" t="s">
        <v>4912</v>
      </c>
      <c r="B22812" s="15" t="s">
        <v>4912</v>
      </c>
      <c r="C22812" s="15" t="s">
        <v>4487</v>
      </c>
      <c r="D22812" s="15" t="s">
        <v>4518</v>
      </c>
      <c r="E22812" s="2">
        <v>2036055</v>
      </c>
      <c r="F22812" s="4" t="str">
        <f>IF(B22812=B22811,"",B22812)</f>
        <v>Lishu</v>
      </c>
    </row>
    <row r="22813" spans="1:6" ht="15.75" customHeight="1">
      <c r="A22813" s="8" t="str">
        <f ca="1">IFERROR(__xludf.DUMMYFUNCTION("GOOGLETRANSLATE(B26726,""en"",""pt"")"),"Lishu")</f>
        <v>Lishu</v>
      </c>
      <c r="B22813" s="11" t="s">
        <v>4912</v>
      </c>
      <c r="C22813" s="11" t="s">
        <v>4487</v>
      </c>
      <c r="D22813" s="11" t="s">
        <v>4518</v>
      </c>
      <c r="E22813" s="10">
        <v>2036055</v>
      </c>
      <c r="F22813" s="4" t="str">
        <f>IF(B22813=B22812,"",B22813)</f>
        <v/>
      </c>
    </row>
    <row r="22814" spans="1:6" ht="15.75" customHeight="1">
      <c r="A22814" s="15" t="s">
        <v>27496</v>
      </c>
      <c r="B22814" s="15" t="s">
        <v>27496</v>
      </c>
      <c r="C22814" s="15" t="s">
        <v>27234</v>
      </c>
      <c r="D22814" s="15" t="s">
        <v>27259</v>
      </c>
      <c r="E22814" s="2">
        <v>2644411</v>
      </c>
      <c r="F22814" s="4" t="str">
        <f>IF(B22814=B22813,"",B22814)</f>
        <v>Lisburn</v>
      </c>
    </row>
    <row r="22815" spans="1:6" ht="15.75" customHeight="1">
      <c r="A22815" s="8" t="str">
        <f ca="1">IFERROR(__xludf.DUMMYFUNCTION("GOOGLETRANSLATE(B30577,""en"",""pt"")"),"Lisburn")</f>
        <v>Lisburn</v>
      </c>
      <c r="B22815" s="11" t="s">
        <v>27496</v>
      </c>
      <c r="C22815" s="11" t="s">
        <v>27234</v>
      </c>
      <c r="D22815" s="11" t="s">
        <v>27259</v>
      </c>
      <c r="E22815" s="10">
        <v>2644411</v>
      </c>
      <c r="F22815" s="4" t="str">
        <f>IF(B22815=B22814,"",B22815)</f>
        <v/>
      </c>
    </row>
    <row r="22816" spans="1:6" ht="15.75" customHeight="1">
      <c r="A22816" s="15" t="s">
        <v>21677</v>
      </c>
      <c r="B22816" s="15" t="s">
        <v>21616</v>
      </c>
      <c r="C22816" s="15" t="s">
        <v>21606</v>
      </c>
      <c r="D22816" s="15" t="s">
        <v>21616</v>
      </c>
      <c r="E22816" s="2">
        <v>2267057</v>
      </c>
      <c r="F22816" s="4" t="str">
        <f>IF(B22816=B22815,"",B22816)</f>
        <v>Lisbon</v>
      </c>
    </row>
    <row r="22817" spans="1:6" ht="15.75" customHeight="1">
      <c r="A22817" s="8" t="str">
        <f ca="1">IFERROR(__xludf.DUMMYFUNCTION("GOOGLETRANSLATE(B39600,""en"",""pt"")"),"Lisboa")</f>
        <v>Lisboa</v>
      </c>
      <c r="B22817" s="11" t="s">
        <v>21616</v>
      </c>
      <c r="C22817" s="11" t="s">
        <v>21606</v>
      </c>
      <c r="D22817" s="11" t="s">
        <v>21616</v>
      </c>
      <c r="E22817" s="10">
        <v>2267057</v>
      </c>
      <c r="F22817" s="4" t="str">
        <f>IF(B22817=B22816,"",B22817)</f>
        <v/>
      </c>
    </row>
    <row r="22818" spans="1:6" ht="15.75" customHeight="1">
      <c r="A22818" s="15" t="s">
        <v>21677</v>
      </c>
      <c r="B22818" s="15" t="s">
        <v>21677</v>
      </c>
      <c r="C22818" s="15" t="s">
        <v>21606</v>
      </c>
      <c r="D22818" s="15" t="s">
        <v>21616</v>
      </c>
      <c r="E22818" s="2">
        <v>2267057</v>
      </c>
      <c r="F22818" s="4" t="str">
        <f>IF(B22818=B22817,"",B22818)</f>
        <v>Lisboa</v>
      </c>
    </row>
    <row r="22819" spans="1:6" ht="15.75" customHeight="1">
      <c r="A22819" s="15" t="s">
        <v>6179</v>
      </c>
      <c r="B22819" s="15" t="s">
        <v>6179</v>
      </c>
      <c r="C22819" s="15" t="s">
        <v>6127</v>
      </c>
      <c r="D22819" s="15" t="s">
        <v>6134</v>
      </c>
      <c r="E22819" s="2">
        <v>211734</v>
      </c>
      <c r="F22819" s="4" t="str">
        <f>IF(B22819=B22818,"",B22819)</f>
        <v>Lisala</v>
      </c>
    </row>
    <row r="22820" spans="1:6" ht="15.75" customHeight="1">
      <c r="A22820" s="8" t="str">
        <f ca="1">IFERROR(__xludf.DUMMYFUNCTION("GOOGLETRANSLATE(B25657,""en"",""pt"")"),"Lisala")</f>
        <v>Lisala</v>
      </c>
      <c r="B22820" s="9" t="s">
        <v>6179</v>
      </c>
      <c r="C22820" s="9" t="s">
        <v>6127</v>
      </c>
      <c r="D22820" s="9" t="s">
        <v>31766</v>
      </c>
      <c r="E22820" s="10">
        <v>211734</v>
      </c>
      <c r="F22820" s="4" t="str">
        <f>IF(B22820=B22819,"",B22820)</f>
        <v/>
      </c>
    </row>
    <row r="22821" spans="1:6" ht="15.75" customHeight="1">
      <c r="A22821" s="15" t="s">
        <v>16726</v>
      </c>
      <c r="B22821" s="15" t="s">
        <v>16726</v>
      </c>
      <c r="C22821" s="15" t="s">
        <v>16671</v>
      </c>
      <c r="D22821" s="15" t="s">
        <v>16689</v>
      </c>
      <c r="E22821" s="2">
        <v>1521315</v>
      </c>
      <c r="F22821" s="4" t="str">
        <f>IF(B22821=B22820,"",B22821)</f>
        <v>Lisakovsk</v>
      </c>
    </row>
    <row r="22822" spans="1:6" ht="15.75" customHeight="1">
      <c r="A22822" s="8" t="str">
        <f ca="1">IFERROR(__xludf.DUMMYFUNCTION("GOOGLETRANSLATE(B36236,""en"",""pt"")"),"Lisakovsk")</f>
        <v>Lisakovsk</v>
      </c>
      <c r="B22822" s="9" t="s">
        <v>16726</v>
      </c>
      <c r="C22822" s="9" t="s">
        <v>16671</v>
      </c>
      <c r="D22822" s="9" t="s">
        <v>16689</v>
      </c>
      <c r="E22822" s="10">
        <v>1521315</v>
      </c>
      <c r="F22822" s="4" t="str">
        <f>IF(B22822=B22821,"",B22822)</f>
        <v/>
      </c>
    </row>
    <row r="22823" spans="1:6" ht="15.75" customHeight="1">
      <c r="A22823" s="15" t="s">
        <v>26845</v>
      </c>
      <c r="B22823" s="15" t="s">
        <v>26845</v>
      </c>
      <c r="C22823" s="15" t="s">
        <v>26820</v>
      </c>
      <c r="D22823" s="15" t="s">
        <v>17416</v>
      </c>
      <c r="E22823" s="2">
        <v>230166</v>
      </c>
      <c r="F22823" s="4" t="str">
        <f>IF(B22823=B22822,"",B22823)</f>
        <v>Lira</v>
      </c>
    </row>
    <row r="22824" spans="1:6" ht="15.75" customHeight="1">
      <c r="A22824" s="8" t="str">
        <f ca="1">IFERROR(__xludf.DUMMYFUNCTION("GOOGLETRANSLATE(B42746,""en"",""pt"")"),"Lira")</f>
        <v>Lira</v>
      </c>
      <c r="B22824" s="9" t="s">
        <v>26845</v>
      </c>
      <c r="C22824" s="9" t="s">
        <v>26820</v>
      </c>
      <c r="D22824" s="9" t="s">
        <v>17416</v>
      </c>
      <c r="E22824" s="10">
        <v>230166</v>
      </c>
      <c r="F22824" s="4" t="str">
        <f>IF(B22824=B22823,"",B22824)</f>
        <v/>
      </c>
    </row>
    <row r="22825" spans="1:6" ht="15.75" customHeight="1">
      <c r="A22825" s="15" t="s">
        <v>6384</v>
      </c>
      <c r="B22825" s="15" t="s">
        <v>6384</v>
      </c>
      <c r="C22825" s="15" t="s">
        <v>6380</v>
      </c>
      <c r="D22825" s="15" t="s">
        <v>6385</v>
      </c>
      <c r="E22825" s="2">
        <v>1637730</v>
      </c>
      <c r="F22825" s="4" t="str">
        <f>IF(B22825=B22824,"",B22825)</f>
        <v>Liquica</v>
      </c>
    </row>
    <row r="22826" spans="1:6" ht="15.75" customHeight="1">
      <c r="A22826" s="8" t="str">
        <f ca="1">IFERROR(__xludf.DUMMYFUNCTION("GOOGLETRANSLATE(B41759,""en"",""pt"")"),"Liquica")</f>
        <v>Liquica</v>
      </c>
      <c r="B22826" s="9" t="s">
        <v>6384</v>
      </c>
      <c r="C22826" s="9" t="s">
        <v>6380</v>
      </c>
      <c r="D22826" s="9" t="s">
        <v>35785</v>
      </c>
      <c r="E22826" s="10">
        <v>1637730</v>
      </c>
      <c r="F22826" s="4" t="str">
        <f>IF(B22826=B22825,"",B22826)</f>
        <v/>
      </c>
    </row>
    <row r="22827" spans="1:6" ht="15.75" customHeight="1">
      <c r="A22827" s="8" t="str">
        <f ca="1">IFERROR(__xludf.DUMMYFUNCTION("GOOGLETRANSLATE(B41257,""en"",""pt"")"),"Liptovský mikuláš")</f>
        <v>Liptovský mikuláš</v>
      </c>
      <c r="B22827" s="11" t="s">
        <v>35692</v>
      </c>
      <c r="C22827" s="11" t="s">
        <v>23694</v>
      </c>
      <c r="D22827" s="11" t="s">
        <v>35678</v>
      </c>
      <c r="E22827" s="10">
        <v>3059050</v>
      </c>
      <c r="F22827" s="4" t="str">
        <f>IF(B22827=B22826,"",B22827)</f>
        <v>Liptovský Mikuláš</v>
      </c>
    </row>
    <row r="22828" spans="1:6" ht="15.75" customHeight="1">
      <c r="A22828" s="16" t="s">
        <v>23734</v>
      </c>
      <c r="B22828" s="15" t="s">
        <v>23735</v>
      </c>
      <c r="C22828" s="16" t="s">
        <v>23694</v>
      </c>
      <c r="D22828" s="16" t="s">
        <v>23697</v>
      </c>
      <c r="E22828" s="2">
        <v>3059050</v>
      </c>
      <c r="F22828" s="4" t="str">
        <f>IF(B22828=B22827,"",B22828)</f>
        <v>LiptovskÃ½ MikulÃ¡Å¡</v>
      </c>
    </row>
    <row r="22829" spans="1:6" ht="15.75" customHeight="1">
      <c r="A22829" s="15" t="s">
        <v>8776</v>
      </c>
      <c r="B22829" s="15" t="s">
        <v>8776</v>
      </c>
      <c r="C22829" s="15" t="s">
        <v>8028</v>
      </c>
      <c r="D22829" s="15" t="s">
        <v>8029</v>
      </c>
      <c r="E22829" s="2">
        <v>2876865</v>
      </c>
      <c r="F22829" s="4" t="str">
        <f>IF(B22829=B22828,"",B22829)</f>
        <v>Lippstadt</v>
      </c>
    </row>
    <row r="22830" spans="1:6" ht="15.75" customHeight="1">
      <c r="A22830" s="8" t="str">
        <f ca="1">IFERROR(__xludf.DUMMYFUNCTION("GOOGLETRANSLATE(B27812,""en"",""pt"")"),"Lippstadt")</f>
        <v>Lippstadt</v>
      </c>
      <c r="B22830" s="9" t="s">
        <v>8776</v>
      </c>
      <c r="C22830" s="9" t="s">
        <v>8028</v>
      </c>
      <c r="D22830" s="9" t="s">
        <v>8029</v>
      </c>
      <c r="E22830" s="10">
        <v>2876865</v>
      </c>
      <c r="F22830" s="4" t="str">
        <f>IF(B22830=B22829,"",B22830)</f>
        <v/>
      </c>
    </row>
    <row r="22831" spans="1:6" ht="15.75" customHeight="1">
      <c r="A22831" s="15" t="s">
        <v>22685</v>
      </c>
      <c r="B22831" s="15" t="s">
        <v>22328</v>
      </c>
      <c r="C22831" s="15" t="s">
        <v>22070</v>
      </c>
      <c r="D22831" s="15" t="s">
        <v>22328</v>
      </c>
      <c r="E22831" s="2">
        <v>535121</v>
      </c>
      <c r="F22831" s="4" t="str">
        <f>IF(B22831=B22830,"",B22831)</f>
        <v>Lipetsk</v>
      </c>
    </row>
    <row r="22832" spans="1:6" ht="15.75" customHeight="1">
      <c r="A22832" s="8" t="str">
        <f ca="1">IFERROR(__xludf.DUMMYFUNCTION("GOOGLETRANSLATE(B40357,""en"",""pt"")"),"LIPETSK")</f>
        <v>LIPETSK</v>
      </c>
      <c r="B22832" s="9" t="s">
        <v>22328</v>
      </c>
      <c r="C22832" s="9" t="s">
        <v>22070</v>
      </c>
      <c r="D22832" s="9" t="s">
        <v>22328</v>
      </c>
      <c r="E22832" s="10">
        <v>535121</v>
      </c>
      <c r="F22832" s="4" t="str">
        <f>IF(B22832=B22831,"",B22832)</f>
        <v/>
      </c>
    </row>
    <row r="22833" spans="1:6" ht="15.75" customHeight="1">
      <c r="A22833" s="15" t="s">
        <v>20836</v>
      </c>
      <c r="B22833" s="15" t="s">
        <v>20836</v>
      </c>
      <c r="C22833" s="15" t="s">
        <v>20598</v>
      </c>
      <c r="D22833" s="15" t="s">
        <v>20608</v>
      </c>
      <c r="E22833" s="2">
        <v>1706090</v>
      </c>
      <c r="F22833" s="4" t="str">
        <f>IF(B22833=B22832,"",B22833)</f>
        <v>Lipa City</v>
      </c>
    </row>
    <row r="22834" spans="1:6" ht="15.75" customHeight="1">
      <c r="A22834" s="8" t="str">
        <f ca="1">IFERROR(__xludf.DUMMYFUNCTION("GOOGLETRANSLATE(B38662,""en"",""pt"")"),"Lipa City")</f>
        <v>Lipa City</v>
      </c>
      <c r="B22834" s="9" t="s">
        <v>20836</v>
      </c>
      <c r="C22834" s="9" t="s">
        <v>20598</v>
      </c>
      <c r="D22834" s="9" t="s">
        <v>20608</v>
      </c>
      <c r="E22834" s="10">
        <v>1706090</v>
      </c>
      <c r="F22834" s="4" t="str">
        <f>IF(B22834=B22833,"",B22834)</f>
        <v/>
      </c>
    </row>
    <row r="22835" spans="1:6" ht="15.75" customHeight="1">
      <c r="A22835" s="15" t="s">
        <v>1145</v>
      </c>
      <c r="B22835" s="15" t="s">
        <v>1145</v>
      </c>
      <c r="C22835" s="15" t="s">
        <v>1117</v>
      </c>
      <c r="D22835" s="15" t="s">
        <v>1124</v>
      </c>
      <c r="E22835" s="2">
        <v>2772400</v>
      </c>
      <c r="F22835" s="4" t="str">
        <f>IF(B22835=B22834,"",B22835)</f>
        <v>Linz</v>
      </c>
    </row>
    <row r="22836" spans="1:6" ht="15.75" customHeight="1">
      <c r="A22836" s="8" t="str">
        <f ca="1">IFERROR(__xludf.DUMMYFUNCTION("GOOGLETRANSLATE(B23389,""en"",""pt"")"),"Linz")</f>
        <v>Linz</v>
      </c>
      <c r="B22836" s="9" t="s">
        <v>1145</v>
      </c>
      <c r="C22836" s="9" t="s">
        <v>1117</v>
      </c>
      <c r="D22836" s="9" t="s">
        <v>1124</v>
      </c>
      <c r="E22836" s="10">
        <v>2772400</v>
      </c>
      <c r="F22836" s="4" t="str">
        <f>IF(B22836=B22835,"",B22836)</f>
        <v/>
      </c>
    </row>
    <row r="22837" spans="1:6" ht="15.75" customHeight="1">
      <c r="A22837" s="15" t="s">
        <v>4911</v>
      </c>
      <c r="B22837" s="15" t="s">
        <v>4911</v>
      </c>
      <c r="C22837" s="15" t="s">
        <v>4487</v>
      </c>
      <c r="D22837" s="15" t="s">
        <v>4503</v>
      </c>
      <c r="E22837" s="2">
        <v>1803318</v>
      </c>
      <c r="F22837" s="4" t="str">
        <f>IF(B22837=B22836,"",B22837)</f>
        <v>Linyi</v>
      </c>
    </row>
    <row r="22838" spans="1:6" ht="15.75" customHeight="1">
      <c r="A22838" s="8" t="str">
        <f ca="1">IFERROR(__xludf.DUMMYFUNCTION("GOOGLETRANSLATE(B26384,""en"",""pt"")"),"Linyi")</f>
        <v>Linyi</v>
      </c>
      <c r="B22838" s="9" t="s">
        <v>4911</v>
      </c>
      <c r="C22838" s="9" t="s">
        <v>4487</v>
      </c>
      <c r="D22838" s="9" t="s">
        <v>4503</v>
      </c>
      <c r="E22838" s="10">
        <v>1803318</v>
      </c>
      <c r="F22838" s="4" t="str">
        <f>IF(B22838=B22837,"",B22838)</f>
        <v/>
      </c>
    </row>
    <row r="22839" spans="1:6" ht="15.75" customHeight="1">
      <c r="A22839" s="16" t="s">
        <v>4910</v>
      </c>
      <c r="B22839" s="15" t="s">
        <v>4910</v>
      </c>
      <c r="C22839" s="16" t="s">
        <v>4487</v>
      </c>
      <c r="D22839" s="16" t="s">
        <v>4526</v>
      </c>
      <c r="E22839" s="2">
        <v>1803331</v>
      </c>
      <c r="F22839" s="4" t="str">
        <f>IF(B22839=B22838,"",B22839)</f>
        <v>Linxia Chengguanzhen</v>
      </c>
    </row>
    <row r="22840" spans="1:6" ht="15.75" customHeight="1">
      <c r="A22840" s="8" t="str">
        <f ca="1">IFERROR(__xludf.DUMMYFUNCTION("GOOGLETRANSLATE(B26385,""en"",""pt"")"),"Linxia Chengguanzhen")</f>
        <v>Linxia Chengguanzhen</v>
      </c>
      <c r="B22840" s="9" t="s">
        <v>4910</v>
      </c>
      <c r="C22840" s="9" t="s">
        <v>4487</v>
      </c>
      <c r="D22840" s="9" t="s">
        <v>4526</v>
      </c>
      <c r="E22840" s="10">
        <v>1803331</v>
      </c>
      <c r="F22840" s="4" t="str">
        <f>IF(B22840=B22839,"",B22840)</f>
        <v/>
      </c>
    </row>
    <row r="22841" spans="1:6" ht="15.75" customHeight="1">
      <c r="A22841" s="15" t="s">
        <v>4909</v>
      </c>
      <c r="B22841" s="15" t="s">
        <v>4909</v>
      </c>
      <c r="C22841" s="15" t="s">
        <v>4487</v>
      </c>
      <c r="D22841" s="15" t="s">
        <v>4529</v>
      </c>
      <c r="E22841" s="2">
        <v>1803334</v>
      </c>
      <c r="F22841" s="4" t="str">
        <f>IF(B22841=B22840,"",B22841)</f>
        <v>Linxi</v>
      </c>
    </row>
    <row r="22842" spans="1:6" ht="15.75" customHeight="1">
      <c r="A22842" s="8" t="str">
        <f ca="1">IFERROR(__xludf.DUMMYFUNCTION("GOOGLETRANSLATE(B26386,""en"",""pt"")"),"Linxi")</f>
        <v>Linxi</v>
      </c>
      <c r="B22842" s="9" t="s">
        <v>4909</v>
      </c>
      <c r="C22842" s="9" t="s">
        <v>4487</v>
      </c>
      <c r="D22842" s="9" t="s">
        <v>4529</v>
      </c>
      <c r="E22842" s="10">
        <v>1803334</v>
      </c>
      <c r="F22842" s="4" t="str">
        <f>IF(B22842=B22841,"",B22842)</f>
        <v/>
      </c>
    </row>
    <row r="22843" spans="1:6" ht="15.75" customHeight="1">
      <c r="A22843" s="15" t="s">
        <v>4908</v>
      </c>
      <c r="B22843" s="15" t="s">
        <v>4908</v>
      </c>
      <c r="C22843" s="15" t="s">
        <v>4487</v>
      </c>
      <c r="D22843" s="15" t="s">
        <v>4497</v>
      </c>
      <c r="E22843" s="2">
        <v>1803266</v>
      </c>
      <c r="F22843" s="4" t="str">
        <f>IF(B22843=B22842,"",B22843)</f>
        <v>Lintong</v>
      </c>
    </row>
    <row r="22844" spans="1:6" ht="15.75" customHeight="1">
      <c r="A22844" s="8" t="str">
        <f ca="1">IFERROR(__xludf.DUMMYFUNCTION("GOOGLETRANSLATE(B26383,""en"",""pt"")"),"Lintong")</f>
        <v>Lintong</v>
      </c>
      <c r="B22844" s="9" t="s">
        <v>4908</v>
      </c>
      <c r="C22844" s="9" t="s">
        <v>4487</v>
      </c>
      <c r="D22844" s="9" t="s">
        <v>4497</v>
      </c>
      <c r="E22844" s="10">
        <v>1803266</v>
      </c>
      <c r="F22844" s="4" t="str">
        <f>IF(B22844=B22843,"",B22844)</f>
        <v/>
      </c>
    </row>
    <row r="22845" spans="1:6" ht="15.75" customHeight="1">
      <c r="A22845" s="15" t="s">
        <v>15684</v>
      </c>
      <c r="B22845" s="15" t="s">
        <v>15685</v>
      </c>
      <c r="C22845" s="15" t="s">
        <v>15682</v>
      </c>
      <c r="D22845" s="15" t="s">
        <v>15686</v>
      </c>
      <c r="E22845" s="2">
        <v>3489760</v>
      </c>
      <c r="F22845" s="4" t="str">
        <f>IF(B22845=B22844,"",B22845)</f>
        <v>Linstead</v>
      </c>
    </row>
    <row r="22846" spans="1:6" ht="15.75" customHeight="1">
      <c r="A22846" s="8" t="str">
        <f ca="1">IFERROR(__xludf.DUMMYFUNCTION("GOOGLETRANSLATE(B35119,""en"",""pt"")"),"LINSTEAD")</f>
        <v>LINSTEAD</v>
      </c>
      <c r="B22846" s="9" t="s">
        <v>15685</v>
      </c>
      <c r="C22846" s="9" t="s">
        <v>15682</v>
      </c>
      <c r="D22846" s="9" t="s">
        <v>15686</v>
      </c>
      <c r="E22846" s="10">
        <v>3489760</v>
      </c>
      <c r="F22846" s="4" t="str">
        <f>IF(B22846=B22845,"",B22846)</f>
        <v/>
      </c>
    </row>
    <row r="22847" spans="1:6" ht="15.75" customHeight="1">
      <c r="A22847" s="15" t="s">
        <v>4907</v>
      </c>
      <c r="B22847" s="15" t="s">
        <v>4907</v>
      </c>
      <c r="C22847" s="15" t="s">
        <v>4487</v>
      </c>
      <c r="D22847" s="15" t="s">
        <v>4529</v>
      </c>
      <c r="E22847" s="2">
        <v>1803352</v>
      </c>
      <c r="F22847" s="4" t="str">
        <f>IF(B22847=B22846,"",B22847)</f>
        <v>Linshui</v>
      </c>
    </row>
    <row r="22848" spans="1:6" ht="15.75" customHeight="1">
      <c r="A22848" s="8" t="str">
        <f ca="1">IFERROR(__xludf.DUMMYFUNCTION("GOOGLETRANSLATE(B26387,""en"",""pt"")"),"Linshui")</f>
        <v>Linshui</v>
      </c>
      <c r="B22848" s="9" t="s">
        <v>4907</v>
      </c>
      <c r="C22848" s="9" t="s">
        <v>4487</v>
      </c>
      <c r="D22848" s="9" t="s">
        <v>4529</v>
      </c>
      <c r="E22848" s="10">
        <v>1803352</v>
      </c>
      <c r="F22848" s="4" t="str">
        <f>IF(B22848=B22847,"",B22848)</f>
        <v/>
      </c>
    </row>
    <row r="22849" spans="1:6" ht="15.75" customHeight="1">
      <c r="A22849" s="15" t="s">
        <v>2817</v>
      </c>
      <c r="B22849" s="15" t="s">
        <v>2817</v>
      </c>
      <c r="C22849" s="15" t="s">
        <v>1905</v>
      </c>
      <c r="D22849" s="15" t="s">
        <v>1914</v>
      </c>
      <c r="E22849" s="2">
        <v>3458494</v>
      </c>
      <c r="F22849" s="4" t="str">
        <f>IF(B22849=B22848,"",B22849)</f>
        <v>Lins</v>
      </c>
    </row>
    <row r="22850" spans="1:6" ht="15.75" customHeight="1">
      <c r="A22850" s="8" t="str">
        <f ca="1">IFERROR(__xludf.DUMMYFUNCTION("GOOGLETRANSLATE(B24856,""en"",""pt"")"),"Lins")</f>
        <v>Lins</v>
      </c>
      <c r="B22850" s="11" t="s">
        <v>2817</v>
      </c>
      <c r="C22850" s="11" t="s">
        <v>1905</v>
      </c>
      <c r="D22850" s="11" t="s">
        <v>3354</v>
      </c>
      <c r="E22850" s="10">
        <v>3458494</v>
      </c>
      <c r="F22850" s="4" t="str">
        <f>IF(B22850=B22849,"",B22850)</f>
        <v/>
      </c>
    </row>
    <row r="22851" spans="1:6" ht="15.75" customHeight="1">
      <c r="A22851" s="15" t="s">
        <v>4906</v>
      </c>
      <c r="B22851" s="15" t="s">
        <v>4906</v>
      </c>
      <c r="C22851" s="15" t="s">
        <v>4487</v>
      </c>
      <c r="D22851" s="15" t="s">
        <v>4503</v>
      </c>
      <c r="E22851" s="2">
        <v>1803364</v>
      </c>
      <c r="F22851" s="4" t="str">
        <f>IF(B22851=B22850,"",B22851)</f>
        <v>Linqu</v>
      </c>
    </row>
    <row r="22852" spans="1:6" ht="15.75" customHeight="1">
      <c r="A22852" s="8" t="str">
        <f ca="1">IFERROR(__xludf.DUMMYFUNCTION("GOOGLETRANSLATE(B26388,""en"",""pt"")"),"Linqu")</f>
        <v>Linqu</v>
      </c>
      <c r="B22852" s="9" t="s">
        <v>4906</v>
      </c>
      <c r="C22852" s="9" t="s">
        <v>4487</v>
      </c>
      <c r="D22852" s="9" t="s">
        <v>4503</v>
      </c>
      <c r="E22852" s="10">
        <v>1803364</v>
      </c>
      <c r="F22852" s="4" t="str">
        <f>IF(B22852=B22851,"",B22852)</f>
        <v/>
      </c>
    </row>
    <row r="22853" spans="1:6" ht="15.75" customHeight="1">
      <c r="A22853" s="15" t="s">
        <v>4905</v>
      </c>
      <c r="B22853" s="15" t="s">
        <v>4905</v>
      </c>
      <c r="C22853" s="15" t="s">
        <v>4487</v>
      </c>
      <c r="D22853" s="15" t="s">
        <v>4588</v>
      </c>
      <c r="E22853" s="2">
        <v>1803365</v>
      </c>
      <c r="F22853" s="4" t="str">
        <f>IF(B22853=B22852,"",B22853)</f>
        <v>Linqiong</v>
      </c>
    </row>
    <row r="22854" spans="1:6" ht="15.75" customHeight="1">
      <c r="A22854" s="8" t="str">
        <f ca="1">IFERROR(__xludf.DUMMYFUNCTION("GOOGLETRANSLATE(B26389,""en"",""pt"")"),"Linqiong")</f>
        <v>Linqiong</v>
      </c>
      <c r="B22854" s="9" t="s">
        <v>4905</v>
      </c>
      <c r="C22854" s="9" t="s">
        <v>4487</v>
      </c>
      <c r="D22854" s="9" t="s">
        <v>4588</v>
      </c>
      <c r="E22854" s="10">
        <v>1803365</v>
      </c>
      <c r="F22854" s="4" t="str">
        <f>IF(B22854=B22853,"",B22854)</f>
        <v/>
      </c>
    </row>
    <row r="22855" spans="1:6" ht="15.75" customHeight="1">
      <c r="A22855" s="15" t="s">
        <v>4904</v>
      </c>
      <c r="B22855" s="15" t="s">
        <v>4904</v>
      </c>
      <c r="C22855" s="15" t="s">
        <v>4487</v>
      </c>
      <c r="D22855" s="15" t="s">
        <v>4631</v>
      </c>
      <c r="E22855" s="2">
        <v>1803374</v>
      </c>
      <c r="F22855" s="4" t="str">
        <f>IF(B22855=B22854,"",B22855)</f>
        <v>Linping</v>
      </c>
    </row>
    <row r="22856" spans="1:6" ht="15.75" customHeight="1">
      <c r="A22856" s="8" t="str">
        <f ca="1">IFERROR(__xludf.DUMMYFUNCTION("GOOGLETRANSLATE(B26391,""en"",""pt"")"),"Linping")</f>
        <v>Linping</v>
      </c>
      <c r="B22856" s="9" t="s">
        <v>4904</v>
      </c>
      <c r="C22856" s="9" t="s">
        <v>4487</v>
      </c>
      <c r="D22856" s="9" t="s">
        <v>4631</v>
      </c>
      <c r="E22856" s="10">
        <v>1803374</v>
      </c>
      <c r="F22856" s="4" t="str">
        <f>IF(B22856=B22855,"",B22856)</f>
        <v/>
      </c>
    </row>
    <row r="22857" spans="1:6" ht="15.75" customHeight="1">
      <c r="A22857" s="16" t="s">
        <v>29135</v>
      </c>
      <c r="B22857" s="15" t="s">
        <v>29136</v>
      </c>
      <c r="C22857" s="16" t="s">
        <v>27788</v>
      </c>
      <c r="D22857" s="16" t="s">
        <v>27824</v>
      </c>
      <c r="E22857" s="2">
        <v>5034767</v>
      </c>
      <c r="F22857" s="4" t="str">
        <f>IF(B22857=B22856,"",B22857)</f>
        <v>Lino Lakes</v>
      </c>
    </row>
    <row r="22858" spans="1:6" ht="15.75" customHeight="1">
      <c r="A22858" s="8" t="str">
        <f ca="1">IFERROR(__xludf.DUMMYFUNCTION("GOOGLETRANSLATE(B44172,""en"",""pt"")"),"LAKES LINO")</f>
        <v>LAKES LINO</v>
      </c>
      <c r="B22858" s="9" t="s">
        <v>29136</v>
      </c>
      <c r="C22858" s="9" t="s">
        <v>27788</v>
      </c>
      <c r="D22858" s="9" t="s">
        <v>27824</v>
      </c>
      <c r="E22858" s="10">
        <v>5034767</v>
      </c>
      <c r="F22858" s="4" t="str">
        <f>IF(B22858=B22857,"",B22858)</f>
        <v/>
      </c>
    </row>
    <row r="22859" spans="1:6" ht="15.75" customHeight="1">
      <c r="A22859" s="15" t="s">
        <v>4903</v>
      </c>
      <c r="B22859" s="15" t="s">
        <v>4903</v>
      </c>
      <c r="C22859" s="15" t="s">
        <v>4487</v>
      </c>
      <c r="D22859" s="15" t="s">
        <v>4488</v>
      </c>
      <c r="E22859" s="2">
        <v>2036066</v>
      </c>
      <c r="F22859" s="4" t="str">
        <f>IF(B22859=B22858,"",B22859)</f>
        <v>Linkou</v>
      </c>
    </row>
    <row r="22860" spans="1:6" ht="15.75" customHeight="1">
      <c r="A22860" s="8" t="str">
        <f ca="1">IFERROR(__xludf.DUMMYFUNCTION("GOOGLETRANSLATE(B26727,""en"",""pt"")"),"Linkou")</f>
        <v>Linkou</v>
      </c>
      <c r="B22860" s="9" t="s">
        <v>4903</v>
      </c>
      <c r="C22860" s="9" t="s">
        <v>4487</v>
      </c>
      <c r="D22860" s="9" t="s">
        <v>4488</v>
      </c>
      <c r="E22860" s="10">
        <v>2036066</v>
      </c>
      <c r="F22860" s="4" t="str">
        <f>IF(B22860=B22859,"",B22860)</f>
        <v/>
      </c>
    </row>
    <row r="22861" spans="1:6" ht="15.75" customHeight="1">
      <c r="A22861" s="8" t="str">
        <f ca="1">IFERROR(__xludf.DUMMYFUNCTION("GOOGLETRANSLATE(B41166,""en"",""pt"")"),"Linköping")</f>
        <v>Linköping</v>
      </c>
      <c r="B22861" s="11" t="s">
        <v>35648</v>
      </c>
      <c r="C22861" s="11" t="s">
        <v>25077</v>
      </c>
      <c r="D22861" s="11" t="s">
        <v>35644</v>
      </c>
      <c r="E22861" s="10">
        <v>2694762</v>
      </c>
      <c r="F22861" s="4" t="str">
        <f>IF(B22861=B22860,"",B22861)</f>
        <v>Linköping</v>
      </c>
    </row>
    <row r="22862" spans="1:6" ht="15.75" customHeight="1">
      <c r="A22862" s="15" t="s">
        <v>25163</v>
      </c>
      <c r="B22862" s="15" t="s">
        <v>25164</v>
      </c>
      <c r="C22862" s="15" t="s">
        <v>25077</v>
      </c>
      <c r="D22862" s="15" t="s">
        <v>25165</v>
      </c>
      <c r="E22862" s="2">
        <v>2694762</v>
      </c>
      <c r="F22862" s="4" t="str">
        <f>IF(B22862=B22861,"",B22862)</f>
        <v>LinkÃ¶ping</v>
      </c>
    </row>
    <row r="22863" spans="1:6" ht="15.75" customHeight="1">
      <c r="A22863" s="15" t="s">
        <v>4902</v>
      </c>
      <c r="B22863" s="15" t="s">
        <v>4902</v>
      </c>
      <c r="C22863" s="15" t="s">
        <v>4487</v>
      </c>
      <c r="D22863" s="15" t="s">
        <v>4518</v>
      </c>
      <c r="E22863" s="2">
        <v>2036069</v>
      </c>
      <c r="F22863" s="4" t="str">
        <f>IF(B22863=B22862,"",B22863)</f>
        <v>Linjiang</v>
      </c>
    </row>
    <row r="22864" spans="1:6" ht="15.75" customHeight="1">
      <c r="A22864" s="8" t="str">
        <f ca="1">IFERROR(__xludf.DUMMYFUNCTION("GOOGLETRANSLATE(B26728,""en"",""pt"")"),"Linjiang")</f>
        <v>Linjiang</v>
      </c>
      <c r="B22864" s="9" t="s">
        <v>4902</v>
      </c>
      <c r="C22864" s="9" t="s">
        <v>4487</v>
      </c>
      <c r="D22864" s="9" t="s">
        <v>4518</v>
      </c>
      <c r="E22864" s="10">
        <v>2036069</v>
      </c>
      <c r="F22864" s="4" t="str">
        <f>IF(B22864=B22863,"",B22864)</f>
        <v/>
      </c>
    </row>
    <row r="22865" spans="1:6" ht="15.75" customHeight="1">
      <c r="A22865" s="16" t="s">
        <v>2815</v>
      </c>
      <c r="B22865" s="15" t="s">
        <v>2816</v>
      </c>
      <c r="C22865" s="16" t="s">
        <v>1905</v>
      </c>
      <c r="D22865" s="16" t="s">
        <v>1949</v>
      </c>
      <c r="E22865" s="2">
        <v>3458498</v>
      </c>
      <c r="F22865" s="4" t="str">
        <f>IF(B22865=B22864,"",B22865)</f>
        <v>Linhares</v>
      </c>
    </row>
    <row r="22866" spans="1:6" ht="15.75" customHeight="1">
      <c r="A22866" s="8" t="str">
        <f ca="1">IFERROR(__xludf.DUMMYFUNCTION("GOOGLETRANSLATE(B24857,""en"",""pt"")"),"LINHARES")</f>
        <v>LINHARES</v>
      </c>
      <c r="B22866" s="9" t="s">
        <v>2816</v>
      </c>
      <c r="C22866" s="9" t="s">
        <v>1905</v>
      </c>
      <c r="D22866" s="9" t="s">
        <v>31426</v>
      </c>
      <c r="E22866" s="10">
        <v>3458498</v>
      </c>
      <c r="F22866" s="4" t="str">
        <f>IF(B22866=B22865,"",B22866)</f>
        <v/>
      </c>
    </row>
    <row r="22867" spans="1:6" ht="15.75" customHeight="1">
      <c r="A22867" s="15" t="s">
        <v>4901</v>
      </c>
      <c r="B22867" s="15" t="s">
        <v>4901</v>
      </c>
      <c r="C22867" s="15" t="s">
        <v>4487</v>
      </c>
      <c r="D22867" s="15" t="s">
        <v>4631</v>
      </c>
      <c r="E22867" s="2">
        <v>1803422</v>
      </c>
      <c r="F22867" s="4" t="str">
        <f>IF(B22867=B22866,"",B22867)</f>
        <v>Linhai</v>
      </c>
    </row>
    <row r="22868" spans="1:6" ht="15.75" customHeight="1">
      <c r="A22868" s="8" t="str">
        <f ca="1">IFERROR(__xludf.DUMMYFUNCTION("GOOGLETRANSLATE(B26392,""en"",""pt"")"),"Linhai")</f>
        <v>Linhai</v>
      </c>
      <c r="B22868" s="9" t="s">
        <v>4901</v>
      </c>
      <c r="C22868" s="9" t="s">
        <v>4487</v>
      </c>
      <c r="D22868" s="9" t="s">
        <v>4631</v>
      </c>
      <c r="E22868" s="10">
        <v>1803422</v>
      </c>
      <c r="F22868" s="4" t="str">
        <f>IF(B22868=B22867,"",B22868)</f>
        <v/>
      </c>
    </row>
    <row r="22869" spans="1:6" ht="15.75" customHeight="1">
      <c r="A22869" s="15" t="s">
        <v>4900</v>
      </c>
      <c r="B22869" s="15" t="s">
        <v>4900</v>
      </c>
      <c r="C22869" s="15" t="s">
        <v>4487</v>
      </c>
      <c r="D22869" s="15" t="s">
        <v>4505</v>
      </c>
      <c r="E22869" s="2">
        <v>2036075</v>
      </c>
      <c r="F22869" s="4" t="str">
        <f>IF(B22869=B22868,"",B22869)</f>
        <v>Lingyuan</v>
      </c>
    </row>
    <row r="22870" spans="1:6" ht="15.75" customHeight="1">
      <c r="A22870" s="8" t="str">
        <f ca="1">IFERROR(__xludf.DUMMYFUNCTION("GOOGLETRANSLATE(B26729,""en"",""pt"")"),"Lingyuan")</f>
        <v>Lingyuan</v>
      </c>
      <c r="B22870" s="9" t="s">
        <v>4900</v>
      </c>
      <c r="C22870" s="9" t="s">
        <v>4487</v>
      </c>
      <c r="D22870" s="9" t="s">
        <v>4505</v>
      </c>
      <c r="E22870" s="10">
        <v>2036075</v>
      </c>
      <c r="F22870" s="4" t="str">
        <f>IF(B22870=B22869,"",B22870)</f>
        <v/>
      </c>
    </row>
    <row r="22871" spans="1:6" ht="15.75" customHeight="1">
      <c r="A22871" s="8" t="str">
        <f ca="1">IFERROR(__xludf.DUMMYFUNCTION("GOOGLETRANSLATE(B32918,""en"",""pt"")"),"Lingsugūr")</f>
        <v>Lingsugūr</v>
      </c>
      <c r="B22871" s="11" t="s">
        <v>33453</v>
      </c>
      <c r="C22871" s="11" t="s">
        <v>10178</v>
      </c>
      <c r="D22871" s="11" t="s">
        <v>10252</v>
      </c>
      <c r="E22871" s="10">
        <v>1264890</v>
      </c>
      <c r="F22871" s="4" t="str">
        <f>IF(B22871=B22870,"",B22871)</f>
        <v>Lingsugūr</v>
      </c>
    </row>
    <row r="22872" spans="1:6" ht="15.75" customHeight="1">
      <c r="A22872" s="16" t="s">
        <v>12160</v>
      </c>
      <c r="B22872" s="15" t="s">
        <v>12161</v>
      </c>
      <c r="C22872" s="16" t="s">
        <v>10178</v>
      </c>
      <c r="D22872" s="16" t="s">
        <v>10252</v>
      </c>
      <c r="E22872" s="2">
        <v>1264890</v>
      </c>
      <c r="F22872" s="4" t="str">
        <f>IF(B22872=B22871,"",B22872)</f>
        <v>LingsugÅ«r</v>
      </c>
    </row>
    <row r="22873" spans="1:6" ht="15.75" customHeight="1">
      <c r="A22873" s="16" t="s">
        <v>7499</v>
      </c>
      <c r="B22873" s="15" t="s">
        <v>7499</v>
      </c>
      <c r="C22873" s="16" t="s">
        <v>7052</v>
      </c>
      <c r="D22873" s="16" t="s">
        <v>7061</v>
      </c>
      <c r="E22873" s="2">
        <v>2998224</v>
      </c>
      <c r="F22873" s="4" t="str">
        <f>IF(B22873=B22872,"",B22873)</f>
        <v>Lingolsheim</v>
      </c>
    </row>
    <row r="22874" spans="1:6" ht="15.75" customHeight="1">
      <c r="A22874" s="8" t="str">
        <f ca="1">IFERROR(__xludf.DUMMYFUNCTION("GOOGLETRANSLATE(B29965,""en"",""pt"")"),"Lingolsheim")</f>
        <v>Lingolsheim</v>
      </c>
      <c r="B22874" s="9" t="s">
        <v>7499</v>
      </c>
      <c r="C22874" s="9" t="s">
        <v>7052</v>
      </c>
      <c r="D22874" s="9" t="s">
        <v>7061</v>
      </c>
      <c r="E22874" s="10">
        <v>2998224</v>
      </c>
      <c r="F22874" s="4" t="str">
        <f>IF(B22874=B22873,"",B22874)</f>
        <v/>
      </c>
    </row>
    <row r="22875" spans="1:6" ht="15.75" customHeight="1">
      <c r="A22875" s="15" t="s">
        <v>4899</v>
      </c>
      <c r="B22875" s="15" t="s">
        <v>4899</v>
      </c>
      <c r="C22875" s="15" t="s">
        <v>4487</v>
      </c>
      <c r="D22875" s="15" t="s">
        <v>4505</v>
      </c>
      <c r="E22875" s="2">
        <v>2037913</v>
      </c>
      <c r="F22875" s="4" t="str">
        <f>IF(B22875=B22874,"",B22875)</f>
        <v>Linghai</v>
      </c>
    </row>
    <row r="22876" spans="1:6" ht="15.75" customHeight="1">
      <c r="A22876" s="8" t="str">
        <f ca="1">IFERROR(__xludf.DUMMYFUNCTION("GOOGLETRANSLATE(B26802,""en"",""pt"")"),"Linghai")</f>
        <v>Linghai</v>
      </c>
      <c r="B22876" s="9" t="s">
        <v>4899</v>
      </c>
      <c r="C22876" s="9" t="s">
        <v>4487</v>
      </c>
      <c r="D22876" s="9" t="s">
        <v>4505</v>
      </c>
      <c r="E22876" s="10">
        <v>2037913</v>
      </c>
      <c r="F22876" s="4" t="str">
        <f>IF(B22876=B22875,"",B22876)</f>
        <v/>
      </c>
    </row>
    <row r="22877" spans="1:6" ht="15.75" customHeight="1">
      <c r="A22877" s="15" t="s">
        <v>8775</v>
      </c>
      <c r="B22877" s="15" t="s">
        <v>8775</v>
      </c>
      <c r="C22877" s="15" t="s">
        <v>8028</v>
      </c>
      <c r="D22877" s="15" t="s">
        <v>8034</v>
      </c>
      <c r="E22877" s="2">
        <v>2877088</v>
      </c>
      <c r="F22877" s="4" t="str">
        <f>IF(B22877=B22876,"",B22877)</f>
        <v>Lingen</v>
      </c>
    </row>
    <row r="22878" spans="1:6" ht="15.75" customHeight="1">
      <c r="A22878" s="8" t="str">
        <f ca="1">IFERROR(__xludf.DUMMYFUNCTION("GOOGLETRANSLATE(B27813,""en"",""pt"")"),"Lingen")</f>
        <v>Lingen</v>
      </c>
      <c r="B22878" s="9" t="s">
        <v>8775</v>
      </c>
      <c r="C22878" s="9" t="s">
        <v>8028</v>
      </c>
      <c r="D22878" s="9" t="s">
        <v>8034</v>
      </c>
      <c r="E22878" s="10">
        <v>2877088</v>
      </c>
      <c r="F22878" s="4" t="str">
        <f>IF(B22878=B22877,"",B22878)</f>
        <v/>
      </c>
    </row>
    <row r="22879" spans="1:6" ht="15.75" customHeight="1">
      <c r="A22879" s="15" t="s">
        <v>4898</v>
      </c>
      <c r="B22879" s="15" t="s">
        <v>4898</v>
      </c>
      <c r="C22879" s="15" t="s">
        <v>4487</v>
      </c>
      <c r="D22879" s="15" t="s">
        <v>4488</v>
      </c>
      <c r="E22879" s="2">
        <v>2036081</v>
      </c>
      <c r="F22879" s="4" t="str">
        <f>IF(B22879=B22878,"",B22879)</f>
        <v>Lingdong</v>
      </c>
    </row>
    <row r="22880" spans="1:6" ht="15.75" customHeight="1">
      <c r="A22880" s="8" t="str">
        <f ca="1">IFERROR(__xludf.DUMMYFUNCTION("GOOGLETRANSLATE(B26730,""en"",""pt"")"),"Lingdong")</f>
        <v>Lingdong</v>
      </c>
      <c r="B22880" s="9" t="s">
        <v>4898</v>
      </c>
      <c r="C22880" s="9" t="s">
        <v>4487</v>
      </c>
      <c r="D22880" s="9" t="s">
        <v>4488</v>
      </c>
      <c r="E22880" s="10">
        <v>2036081</v>
      </c>
      <c r="F22880" s="4" t="str">
        <f>IF(B22880=B22879,"",B22880)</f>
        <v/>
      </c>
    </row>
    <row r="22881" spans="1:6" ht="15.75" customHeight="1">
      <c r="A22881" s="16" t="s">
        <v>4897</v>
      </c>
      <c r="B22881" s="15" t="s">
        <v>4897</v>
      </c>
      <c r="C22881" s="16" t="s">
        <v>4487</v>
      </c>
      <c r="D22881" s="16" t="s">
        <v>4516</v>
      </c>
      <c r="E22881" s="2">
        <v>1803551</v>
      </c>
      <c r="F22881" s="4" t="str">
        <f>IF(B22881=B22880,"",B22881)</f>
        <v>Lingcheng</v>
      </c>
    </row>
    <row r="22882" spans="1:6" ht="15.75" customHeight="1">
      <c r="A22882" s="8" t="str">
        <f ca="1">IFERROR(__xludf.DUMMYFUNCTION("GOOGLETRANSLATE(B26393,""en"",""pt"")"),"Lingcheng")</f>
        <v>Lingcheng</v>
      </c>
      <c r="B22882" s="9" t="s">
        <v>4897</v>
      </c>
      <c r="C22882" s="9" t="s">
        <v>4487</v>
      </c>
      <c r="D22882" s="9" t="s">
        <v>4516</v>
      </c>
      <c r="E22882" s="10">
        <v>1803551</v>
      </c>
      <c r="F22882" s="4" t="str">
        <f>IF(B22882=B22881,"",B22882)</f>
        <v/>
      </c>
    </row>
    <row r="22883" spans="1:6" ht="15.75" customHeight="1">
      <c r="A22883" s="15" t="s">
        <v>20835</v>
      </c>
      <c r="B22883" s="15" t="s">
        <v>20835</v>
      </c>
      <c r="C22883" s="15" t="s">
        <v>20598</v>
      </c>
      <c r="D22883" s="15" t="s">
        <v>20603</v>
      </c>
      <c r="E22883" s="2">
        <v>1706188</v>
      </c>
      <c r="F22883" s="4" t="str">
        <f>IF(B22883=B22882,"",B22883)</f>
        <v>Lingayen</v>
      </c>
    </row>
    <row r="22884" spans="1:6" ht="15.75" customHeight="1">
      <c r="A22884" s="8" t="str">
        <f ca="1">IFERROR(__xludf.DUMMYFUNCTION("GOOGLETRANSLATE(B38663,""en"",""pt"")"),"Lingayen")</f>
        <v>Lingayen</v>
      </c>
      <c r="B22884" s="9" t="s">
        <v>20835</v>
      </c>
      <c r="C22884" s="9" t="s">
        <v>20598</v>
      </c>
      <c r="D22884" s="9" t="s">
        <v>20603</v>
      </c>
      <c r="E22884" s="10">
        <v>1706188</v>
      </c>
      <c r="F22884" s="4" t="str">
        <f>IF(B22884=B22883,"",B22884)</f>
        <v/>
      </c>
    </row>
    <row r="22885" spans="1:6" ht="15.75" customHeight="1">
      <c r="A22885" s="15" t="s">
        <v>4896</v>
      </c>
      <c r="B22885" s="15" t="s">
        <v>4896</v>
      </c>
      <c r="C22885" s="15" t="s">
        <v>4487</v>
      </c>
      <c r="D22885" s="15" t="s">
        <v>4581</v>
      </c>
      <c r="E22885" s="2">
        <v>1803567</v>
      </c>
      <c r="F22885" s="4" t="str">
        <f>IF(B22885=B22884,"",B22885)</f>
        <v>Linfen</v>
      </c>
    </row>
    <row r="22886" spans="1:6" ht="15.75" customHeight="1">
      <c r="A22886" s="8" t="str">
        <f ca="1">IFERROR(__xludf.DUMMYFUNCTION("GOOGLETRANSLATE(B26395,""en"",""pt"")"),"Linfen")</f>
        <v>Linfen</v>
      </c>
      <c r="B22886" s="9" t="s">
        <v>4896</v>
      </c>
      <c r="C22886" s="9" t="s">
        <v>4487</v>
      </c>
      <c r="D22886" s="9" t="s">
        <v>4581</v>
      </c>
      <c r="E22886" s="10">
        <v>1803567</v>
      </c>
      <c r="F22886" s="4" t="str">
        <f>IF(B22886=B22885,"",B22886)</f>
        <v/>
      </c>
    </row>
    <row r="22887" spans="1:6" ht="15.75" customHeight="1">
      <c r="A22887" s="8" t="str">
        <f ca="1">IFERROR(__xludf.DUMMYFUNCTION("GOOGLETRANSLATE(B40801,""en"",""pt"")"),"Linëvo")</f>
        <v>Linëvo</v>
      </c>
      <c r="B22887" s="11" t="s">
        <v>35539</v>
      </c>
      <c r="C22887" s="11" t="s">
        <v>22070</v>
      </c>
      <c r="D22887" s="11" t="s">
        <v>22092</v>
      </c>
      <c r="E22887" s="10">
        <v>1500532</v>
      </c>
      <c r="F22887" s="4" t="str">
        <f>IF(B22887=B22886,"",B22887)</f>
        <v>Linëvo</v>
      </c>
    </row>
    <row r="22888" spans="1:6" ht="15.75" customHeight="1">
      <c r="A22888" s="15" t="s">
        <v>8774</v>
      </c>
      <c r="B22888" s="15" t="s">
        <v>8774</v>
      </c>
      <c r="C22888" s="15" t="s">
        <v>8028</v>
      </c>
      <c r="D22888" s="15" t="s">
        <v>8029</v>
      </c>
      <c r="E22888" s="2">
        <v>2877142</v>
      </c>
      <c r="F22888" s="4" t="str">
        <f>IF(B22888=B22887,"",B22888)</f>
        <v>Lindlar</v>
      </c>
    </row>
    <row r="22889" spans="1:6" ht="15.75" customHeight="1">
      <c r="A22889" s="8" t="str">
        <f ca="1">IFERROR(__xludf.DUMMYFUNCTION("GOOGLETRANSLATE(B27814,""en"",""pt"")"),"Lindlar")</f>
        <v>Lindlar</v>
      </c>
      <c r="B22889" s="11" t="s">
        <v>8774</v>
      </c>
      <c r="C22889" s="11" t="s">
        <v>8028</v>
      </c>
      <c r="D22889" s="11" t="s">
        <v>8029</v>
      </c>
      <c r="E22889" s="10">
        <v>2877142</v>
      </c>
      <c r="F22889" s="4" t="str">
        <f>IF(B22889=B22888,"",B22889)</f>
        <v/>
      </c>
    </row>
    <row r="22890" spans="1:6" ht="15.75" customHeight="1">
      <c r="A22890" s="15" t="s">
        <v>25655</v>
      </c>
      <c r="B22890" s="15" t="s">
        <v>25655</v>
      </c>
      <c r="C22890" s="15" t="s">
        <v>25560</v>
      </c>
      <c r="D22890" s="15" t="s">
        <v>25655</v>
      </c>
      <c r="E22890" s="2">
        <v>878281</v>
      </c>
      <c r="F22890" s="4" t="str">
        <f>IF(B22890=B22889,"",B22890)</f>
        <v>Lindi</v>
      </c>
    </row>
    <row r="22891" spans="1:6" ht="15.75" customHeight="1">
      <c r="A22891" s="8" t="str">
        <f ca="1">IFERROR(__xludf.DUMMYFUNCTION("GOOGLETRANSLATE(B42462,""en"",""pt"")"),"Lindi")</f>
        <v>Lindi</v>
      </c>
      <c r="B22891" s="11" t="s">
        <v>25655</v>
      </c>
      <c r="C22891" s="11" t="s">
        <v>25560</v>
      </c>
      <c r="D22891" s="11" t="s">
        <v>25655</v>
      </c>
      <c r="E22891" s="10">
        <v>878281</v>
      </c>
      <c r="F22891" s="4" t="str">
        <f>IF(B22891=B22890,"",B22891)</f>
        <v/>
      </c>
    </row>
    <row r="22892" spans="1:6" ht="15.75" customHeight="1">
      <c r="A22892" s="16" t="s">
        <v>29134</v>
      </c>
      <c r="B22892" s="15" t="s">
        <v>29134</v>
      </c>
      <c r="C22892" s="16" t="s">
        <v>27788</v>
      </c>
      <c r="D22892" s="16" t="s">
        <v>27905</v>
      </c>
      <c r="E22892" s="2">
        <v>4502687</v>
      </c>
      <c r="F22892" s="4" t="str">
        <f>IF(B22892=B22891,"",B22892)</f>
        <v>Lindenwold</v>
      </c>
    </row>
    <row r="22893" spans="1:6" ht="15.75" customHeight="1">
      <c r="A22893" s="8" t="str">
        <f ca="1">IFERROR(__xludf.DUMMYFUNCTION("GOOGLETRANSLATE(B43492,""en"",""pt"")"),"Lindenwold")</f>
        <v>Lindenwold</v>
      </c>
      <c r="B22893" s="11" t="s">
        <v>29134</v>
      </c>
      <c r="C22893" s="11" t="s">
        <v>27788</v>
      </c>
      <c r="D22893" s="11" t="s">
        <v>27905</v>
      </c>
      <c r="E22893" s="10">
        <v>4502687</v>
      </c>
      <c r="F22893" s="4" t="str">
        <f>IF(B22893=B22892,"",B22893)</f>
        <v/>
      </c>
    </row>
    <row r="22894" spans="1:6" ht="15.75" customHeight="1">
      <c r="A22894" s="16" t="s">
        <v>29133</v>
      </c>
      <c r="B22894" s="15" t="s">
        <v>29133</v>
      </c>
      <c r="C22894" s="16" t="s">
        <v>27788</v>
      </c>
      <c r="D22894" s="16" t="s">
        <v>27819</v>
      </c>
      <c r="E22894" s="2">
        <v>5124497</v>
      </c>
      <c r="F22894" s="4" t="str">
        <f>IF(B22894=B22893,"",B22894)</f>
        <v>Lindenhurst</v>
      </c>
    </row>
    <row r="22895" spans="1:6" ht="15.75" customHeight="1">
      <c r="A22895" s="8" t="str">
        <f ca="1">IFERROR(__xludf.DUMMYFUNCTION("GOOGLETRANSLATE(B44398,""en"",""pt"")"),"Lindenhurst")</f>
        <v>Lindenhurst</v>
      </c>
      <c r="B22895" s="11" t="s">
        <v>29133</v>
      </c>
      <c r="C22895" s="11" t="s">
        <v>27788</v>
      </c>
      <c r="D22895" s="11" t="s">
        <v>27819</v>
      </c>
      <c r="E22895" s="10">
        <v>5124497</v>
      </c>
      <c r="F22895" s="4" t="str">
        <f>IF(B22895=B22894,"",B22895)</f>
        <v/>
      </c>
    </row>
    <row r="22896" spans="1:6" ht="15.75" customHeight="1">
      <c r="A22896" s="16" t="s">
        <v>19028</v>
      </c>
      <c r="B22896" s="15" t="s">
        <v>19028</v>
      </c>
      <c r="C22896" s="16" t="s">
        <v>18862</v>
      </c>
      <c r="D22896" s="16" t="s">
        <v>18865</v>
      </c>
      <c r="E22896" s="2">
        <v>2751582</v>
      </c>
      <c r="F22896" s="4" t="str">
        <f>IF(B22896=B22895,"",B22896)</f>
        <v>Lindenholt</v>
      </c>
    </row>
    <row r="22897" spans="1:6" ht="15.75" customHeight="1">
      <c r="A22897" s="8" t="str">
        <f ca="1">IFERROR(__xludf.DUMMYFUNCTION("GOOGLETRANSLATE(B38006,""en"",""pt"")"),"Lindenholt")</f>
        <v>Lindenholt</v>
      </c>
      <c r="B22897" s="11" t="s">
        <v>19028</v>
      </c>
      <c r="C22897" s="11" t="s">
        <v>18862</v>
      </c>
      <c r="D22897" s="11" t="s">
        <v>18865</v>
      </c>
      <c r="E22897" s="10">
        <v>2751582</v>
      </c>
      <c r="F22897" s="4" t="str">
        <f>IF(B22897=B22896,"",B22897)</f>
        <v/>
      </c>
    </row>
    <row r="22898" spans="1:6" ht="15.75" customHeight="1">
      <c r="A22898" s="15" t="s">
        <v>9860</v>
      </c>
      <c r="B22898" s="15" t="s">
        <v>9860</v>
      </c>
      <c r="C22898" s="15" t="s">
        <v>9858</v>
      </c>
      <c r="D22898" s="15" t="s">
        <v>9861</v>
      </c>
      <c r="E22898" s="2">
        <v>3377408</v>
      </c>
      <c r="F22898" s="4" t="str">
        <f>IF(B22898=B22897,"",B22898)</f>
        <v>Linden</v>
      </c>
    </row>
    <row r="22899" spans="1:6" ht="15.75" customHeight="1">
      <c r="A22899" s="15" t="s">
        <v>9860</v>
      </c>
      <c r="B22899" s="15" t="s">
        <v>9860</v>
      </c>
      <c r="C22899" s="15" t="s">
        <v>27788</v>
      </c>
      <c r="D22899" s="15" t="s">
        <v>27905</v>
      </c>
      <c r="E22899" s="2">
        <v>5100506</v>
      </c>
      <c r="F22899" s="4" t="str">
        <f>IF(B22899=B22898,"",B22899)</f>
        <v/>
      </c>
    </row>
    <row r="22900" spans="1:6" ht="15.75" customHeight="1">
      <c r="A22900" s="8" t="str">
        <f ca="1">IFERROR(__xludf.DUMMYFUNCTION("GOOGLETRANSLATE(B31154,""en"",""pt"")"),"Linden")</f>
        <v>Linden</v>
      </c>
      <c r="B22900" s="9" t="s">
        <v>9860</v>
      </c>
      <c r="C22900" s="9" t="s">
        <v>9858</v>
      </c>
      <c r="D22900" s="9" t="s">
        <v>9861</v>
      </c>
      <c r="E22900" s="10">
        <v>3377408</v>
      </c>
      <c r="F22900" s="4" t="str">
        <f>IF(B22900=B22899,"",B22900)</f>
        <v/>
      </c>
    </row>
    <row r="22901" spans="1:6" ht="15.75" customHeight="1">
      <c r="A22901" s="8" t="str">
        <f ca="1">IFERROR(__xludf.DUMMYFUNCTION("GOOGLETRANSLATE(B44274,""en"",""pt"")"),"Linden")</f>
        <v>Linden</v>
      </c>
      <c r="B22901" s="11" t="s">
        <v>9860</v>
      </c>
      <c r="C22901" s="11" t="s">
        <v>27788</v>
      </c>
      <c r="D22901" s="11" t="s">
        <v>27905</v>
      </c>
      <c r="E22901" s="10">
        <v>5100506</v>
      </c>
      <c r="F22901" s="4" t="str">
        <f>IF(B22901=B22900,"",B22901)</f>
        <v/>
      </c>
    </row>
    <row r="22902" spans="1:6" ht="15.75" customHeight="1">
      <c r="A22902" s="15" t="s">
        <v>8773</v>
      </c>
      <c r="B22902" s="15" t="s">
        <v>8773</v>
      </c>
      <c r="C22902" s="15" t="s">
        <v>8028</v>
      </c>
      <c r="D22902" s="15" t="s">
        <v>8044</v>
      </c>
      <c r="E22902" s="2">
        <v>2877550</v>
      </c>
      <c r="F22902" s="4" t="str">
        <f>IF(B22902=B22901,"",B22902)</f>
        <v>Lindau</v>
      </c>
    </row>
    <row r="22903" spans="1:6" ht="15.75" customHeight="1">
      <c r="A22903" s="8" t="str">
        <f ca="1">IFERROR(__xludf.DUMMYFUNCTION("GOOGLETRANSLATE(B27815,""en"",""pt"")"),"Lindau")</f>
        <v>Lindau</v>
      </c>
      <c r="B22903" s="11" t="s">
        <v>8773</v>
      </c>
      <c r="C22903" s="11" t="s">
        <v>8028</v>
      </c>
      <c r="D22903" s="11" t="s">
        <v>8044</v>
      </c>
      <c r="E22903" s="10">
        <v>2877550</v>
      </c>
      <c r="F22903" s="4" t="str">
        <f>IF(B22903=B22902,"",B22903)</f>
        <v/>
      </c>
    </row>
    <row r="22904" spans="1:6" ht="15.75" customHeight="1">
      <c r="A22904" s="16" t="s">
        <v>21675</v>
      </c>
      <c r="B22904" s="15" t="s">
        <v>21676</v>
      </c>
      <c r="C22904" s="16" t="s">
        <v>21606</v>
      </c>
      <c r="D22904" s="16" t="s">
        <v>21616</v>
      </c>
      <c r="E22904" s="2">
        <v>2267067</v>
      </c>
      <c r="F22904" s="4" t="str">
        <f>IF(B22904=B22903,"",B22904)</f>
        <v>Linda-a-Velha</v>
      </c>
    </row>
    <row r="22905" spans="1:6" ht="15.75" customHeight="1">
      <c r="A22905" s="8" t="str">
        <f ca="1">IFERROR(__xludf.DUMMYFUNCTION("GOOGLETRANSLATE(B39601,""en"",""pt"")"),"Linda-A-Avelha")</f>
        <v>Linda-A-Avelha</v>
      </c>
      <c r="B22905" s="11" t="s">
        <v>21676</v>
      </c>
      <c r="C22905" s="11" t="s">
        <v>21606</v>
      </c>
      <c r="D22905" s="11" t="s">
        <v>21616</v>
      </c>
      <c r="E22905" s="10">
        <v>2267067</v>
      </c>
      <c r="F22905" s="4" t="str">
        <f>IF(B22905=B22904,"",B22905)</f>
        <v/>
      </c>
    </row>
    <row r="22906" spans="1:6" ht="15.75" customHeight="1">
      <c r="A22906" s="16" t="s">
        <v>29132</v>
      </c>
      <c r="B22906" s="15" t="s">
        <v>29132</v>
      </c>
      <c r="C22906" s="16" t="s">
        <v>27788</v>
      </c>
      <c r="D22906" s="16" t="s">
        <v>27804</v>
      </c>
      <c r="E22906" s="2">
        <v>4999311</v>
      </c>
      <c r="F22906" s="4" t="str">
        <f>IF(B22906=B22905,"",B22906)</f>
        <v>Lincoln Park</v>
      </c>
    </row>
    <row r="22907" spans="1:6" ht="15.75" customHeight="1">
      <c r="A22907" s="8" t="str">
        <f ca="1">IFERROR(__xludf.DUMMYFUNCTION("GOOGLETRANSLATE(B44098,""en"",""pt"")"),"Lincoln Park")</f>
        <v>Lincoln Park</v>
      </c>
      <c r="B22907" s="11" t="s">
        <v>29132</v>
      </c>
      <c r="C22907" s="11" t="s">
        <v>27788</v>
      </c>
      <c r="D22907" s="11" t="s">
        <v>27804</v>
      </c>
      <c r="E22907" s="10">
        <v>4999311</v>
      </c>
      <c r="F22907" s="4" t="str">
        <f>IF(B22907=B22906,"",B22907)</f>
        <v/>
      </c>
    </row>
    <row r="22908" spans="1:6" ht="15.75" customHeight="1">
      <c r="A22908" s="15" t="s">
        <v>700</v>
      </c>
      <c r="B22908" s="15" t="s">
        <v>700</v>
      </c>
      <c r="C22908" s="15" t="s">
        <v>558</v>
      </c>
      <c r="D22908" s="15" t="s">
        <v>562</v>
      </c>
      <c r="E22908" s="2">
        <v>3846864</v>
      </c>
      <c r="F22908" s="4" t="str">
        <f>IF(B22908=B22907,"",B22908)</f>
        <v>Lincoln</v>
      </c>
    </row>
    <row r="22909" spans="1:6" ht="15.75" customHeight="1">
      <c r="A22909" s="15" t="s">
        <v>700</v>
      </c>
      <c r="B22909" s="15" t="s">
        <v>700</v>
      </c>
      <c r="C22909" s="15" t="s">
        <v>27234</v>
      </c>
      <c r="D22909" s="15" t="s">
        <v>27241</v>
      </c>
      <c r="E22909" s="2">
        <v>2644487</v>
      </c>
      <c r="F22909" s="4" t="str">
        <f>IF(B22909=B22908,"",B22909)</f>
        <v/>
      </c>
    </row>
    <row r="22910" spans="1:6" ht="15.75" customHeight="1">
      <c r="A22910" s="15" t="s">
        <v>700</v>
      </c>
      <c r="B22910" s="15" t="s">
        <v>700</v>
      </c>
      <c r="C22910" s="15" t="s">
        <v>27788</v>
      </c>
      <c r="D22910" s="15" t="s">
        <v>27995</v>
      </c>
      <c r="E22910" s="2">
        <v>5072006</v>
      </c>
      <c r="F22910" s="4" t="str">
        <f>IF(B22910=B22909,"",B22910)</f>
        <v/>
      </c>
    </row>
    <row r="22911" spans="1:6" ht="15.75" customHeight="1">
      <c r="A22911" s="8" t="str">
        <f ca="1">IFERROR(__xludf.DUMMYFUNCTION("GOOGLETRANSLATE(B23306,""en"",""pt"")"),"Lincoln")</f>
        <v>Lincoln</v>
      </c>
      <c r="B22911" s="11" t="s">
        <v>700</v>
      </c>
      <c r="C22911" s="11" t="s">
        <v>558</v>
      </c>
      <c r="D22911" s="11" t="s">
        <v>562</v>
      </c>
      <c r="E22911" s="10">
        <v>3846864</v>
      </c>
      <c r="F22911" s="4" t="str">
        <f>IF(B22911=B22910,"",B22911)</f>
        <v/>
      </c>
    </row>
    <row r="22912" spans="1:6" ht="15.75" customHeight="1">
      <c r="A22912" s="8" t="str">
        <f ca="1">IFERROR(__xludf.DUMMYFUNCTION("GOOGLETRANSLATE(B30578,""en"",""pt"")"),"Lincoln")</f>
        <v>Lincoln</v>
      </c>
      <c r="B22912" s="9" t="s">
        <v>700</v>
      </c>
      <c r="C22912" s="9" t="s">
        <v>27234</v>
      </c>
      <c r="D22912" s="9" t="s">
        <v>27241</v>
      </c>
      <c r="E22912" s="10">
        <v>2644487</v>
      </c>
      <c r="F22912" s="4" t="str">
        <f>IF(B22912=B22911,"",B22912)</f>
        <v/>
      </c>
    </row>
    <row r="22913" spans="1:6" ht="15.75" customHeight="1">
      <c r="A22913" s="8" t="str">
        <f ca="1">IFERROR(__xludf.DUMMYFUNCTION("GOOGLETRANSLATE(B44221,""en"",""pt"")"),"Lincoln")</f>
        <v>Lincoln</v>
      </c>
      <c r="B22913" s="11" t="s">
        <v>700</v>
      </c>
      <c r="C22913" s="11" t="s">
        <v>27788</v>
      </c>
      <c r="D22913" s="11" t="s">
        <v>27995</v>
      </c>
      <c r="E22913" s="10">
        <v>5072006</v>
      </c>
      <c r="F22913" s="4" t="str">
        <f>IF(B22913=B22912,"",B22913)</f>
        <v/>
      </c>
    </row>
    <row r="22914" spans="1:6" ht="15.75" customHeight="1">
      <c r="A22914" s="15" t="s">
        <v>4895</v>
      </c>
      <c r="B22914" s="15" t="s">
        <v>4895</v>
      </c>
      <c r="C22914" s="15" t="s">
        <v>4487</v>
      </c>
      <c r="D22914" s="15" t="s">
        <v>4715</v>
      </c>
      <c r="E22914" s="2">
        <v>1803560</v>
      </c>
      <c r="F22914" s="4" t="str">
        <f>IF(B22914=B22913,"",B22914)</f>
        <v>Lincheng</v>
      </c>
    </row>
    <row r="22915" spans="1:6" ht="15.75" customHeight="1">
      <c r="A22915" s="8" t="str">
        <f ca="1">IFERROR(__xludf.DUMMYFUNCTION("GOOGLETRANSLATE(B26394,""en"",""pt"")"),"Lincheng")</f>
        <v>Lincheng</v>
      </c>
      <c r="B22915" s="11" t="s">
        <v>4895</v>
      </c>
      <c r="C22915" s="11" t="s">
        <v>4487</v>
      </c>
      <c r="D22915" s="11" t="s">
        <v>4715</v>
      </c>
      <c r="E22915" s="10">
        <v>1803560</v>
      </c>
      <c r="F22915" s="4" t="str">
        <f>IF(B22915=B22914,"",B22915)</f>
        <v/>
      </c>
    </row>
    <row r="22916" spans="1:6" ht="15.75" customHeight="1">
      <c r="A22916" s="15" t="s">
        <v>4419</v>
      </c>
      <c r="B22916" s="15" t="s">
        <v>4419</v>
      </c>
      <c r="C22916" s="15" t="s">
        <v>4355</v>
      </c>
      <c r="D22916" s="15" t="s">
        <v>4373</v>
      </c>
      <c r="E22916" s="2">
        <v>3883167</v>
      </c>
      <c r="F22916" s="4" t="str">
        <f>IF(B22916=B22915,"",B22916)</f>
        <v>Linares</v>
      </c>
    </row>
    <row r="22917" spans="1:6" ht="15.75" customHeight="1">
      <c r="A22917" s="15" t="s">
        <v>4419</v>
      </c>
      <c r="B22917" s="15" t="s">
        <v>4419</v>
      </c>
      <c r="C22917" s="15" t="s">
        <v>17707</v>
      </c>
      <c r="D22917" s="15" t="s">
        <v>17739</v>
      </c>
      <c r="E22917" s="2">
        <v>3524348</v>
      </c>
      <c r="F22917" s="4" t="str">
        <f>IF(B22917=B22916,"",B22917)</f>
        <v/>
      </c>
    </row>
    <row r="22918" spans="1:6" ht="15.75" customHeight="1">
      <c r="A22918" s="15" t="s">
        <v>4419</v>
      </c>
      <c r="B22918" s="15" t="s">
        <v>4419</v>
      </c>
      <c r="C22918" s="15" t="s">
        <v>24200</v>
      </c>
      <c r="D22918" s="15" t="s">
        <v>24205</v>
      </c>
      <c r="E22918" s="2">
        <v>2515045</v>
      </c>
      <c r="F22918" s="4" t="str">
        <f>IF(B22918=B22917,"",B22918)</f>
        <v/>
      </c>
    </row>
    <row r="22919" spans="1:6" ht="15.75" customHeight="1">
      <c r="A22919" s="8" t="str">
        <f ca="1">IFERROR(__xludf.DUMMYFUNCTION("GOOGLETRANSLATE(B25936,""en"",""pt"")"),"Linares")</f>
        <v>Linares</v>
      </c>
      <c r="B22919" s="11" t="s">
        <v>4419</v>
      </c>
      <c r="C22919" s="11" t="s">
        <v>4355</v>
      </c>
      <c r="D22919" s="11" t="s">
        <v>4373</v>
      </c>
      <c r="E22919" s="10">
        <v>3883167</v>
      </c>
      <c r="F22919" s="4" t="str">
        <f>IF(B22919=B22918,"",B22919)</f>
        <v/>
      </c>
    </row>
    <row r="22920" spans="1:6" ht="15.75" customHeight="1">
      <c r="A22920" s="8" t="str">
        <f ca="1">IFERROR(__xludf.DUMMYFUNCTION("GOOGLETRANSLATE(B29082,""en"",""pt"")"),"Linares")</f>
        <v>Linares</v>
      </c>
      <c r="B22920" s="9" t="s">
        <v>4419</v>
      </c>
      <c r="C22920" s="9" t="s">
        <v>24200</v>
      </c>
      <c r="D22920" s="9" t="s">
        <v>24205</v>
      </c>
      <c r="E22920" s="10">
        <v>2515045</v>
      </c>
      <c r="F22920" s="4" t="str">
        <f>IF(B22920=B22919,"",B22920)</f>
        <v/>
      </c>
    </row>
    <row r="22921" spans="1:6" ht="15.75" customHeight="1">
      <c r="A22921" s="8" t="str">
        <f ca="1">IFERROR(__xludf.DUMMYFUNCTION("GOOGLETRANSLATE(B36993,""en"",""pt"")"),"Linares")</f>
        <v>Linares</v>
      </c>
      <c r="B22921" s="11" t="s">
        <v>4419</v>
      </c>
      <c r="C22921" s="11" t="s">
        <v>17707</v>
      </c>
      <c r="D22921" s="11" t="s">
        <v>34689</v>
      </c>
      <c r="E22921" s="10">
        <v>3524348</v>
      </c>
      <c r="F22921" s="4" t="str">
        <f>IF(B22921=B22920,"",B22921)</f>
        <v/>
      </c>
    </row>
    <row r="22922" spans="1:6" ht="15.75" customHeight="1">
      <c r="A22922" s="15" t="s">
        <v>22683</v>
      </c>
      <c r="B22922" s="15" t="s">
        <v>22684</v>
      </c>
      <c r="C22922" s="15" t="s">
        <v>22070</v>
      </c>
      <c r="D22922" s="15" t="s">
        <v>22092</v>
      </c>
      <c r="E22922" s="2">
        <v>1500532</v>
      </c>
      <c r="F22922" s="4" t="str">
        <f>IF(B22922=B22921,"",B22922)</f>
        <v>LinÃ«vo</v>
      </c>
    </row>
    <row r="22923" spans="1:6" ht="15.75" customHeight="1">
      <c r="A22923" s="15" t="s">
        <v>20457</v>
      </c>
      <c r="B22923" s="15" t="s">
        <v>20457</v>
      </c>
      <c r="C22923" s="15" t="s">
        <v>20433</v>
      </c>
      <c r="D22923" s="15" t="s">
        <v>1886</v>
      </c>
      <c r="E22923" s="2">
        <v>3437842</v>
      </c>
      <c r="F22923" s="4" t="str">
        <f>IF(B22923=B22922,"",B22923)</f>
        <v>Limpio</v>
      </c>
    </row>
    <row r="22924" spans="1:6" ht="15.75" customHeight="1">
      <c r="A22924" s="8" t="str">
        <f ca="1">IFERROR(__xludf.DUMMYFUNCTION("GOOGLETRANSLATE(B39688,""en"",""pt"")"),"Limpio")</f>
        <v>Limpio</v>
      </c>
      <c r="B22924" s="9" t="s">
        <v>20457</v>
      </c>
      <c r="C22924" s="9" t="s">
        <v>20433</v>
      </c>
      <c r="D22924" s="9" t="s">
        <v>1886</v>
      </c>
      <c r="E22924" s="10">
        <v>3437842</v>
      </c>
      <c r="F22924" s="4" t="str">
        <f>IF(B22924=B22923,"",B22924)</f>
        <v/>
      </c>
    </row>
    <row r="22925" spans="1:6" ht="15.75" customHeight="1">
      <c r="A22925" s="8" t="str">
        <f ca="1">IFERROR(__xludf.DUMMYFUNCTION("GOOGLETRANSLATE(B27082,""en"",""pt"")"),"Limão")</f>
        <v>Limão</v>
      </c>
      <c r="B22925" s="11" t="s">
        <v>31895</v>
      </c>
      <c r="C22925" s="11" t="s">
        <v>5665</v>
      </c>
      <c r="D22925" s="11" t="s">
        <v>31895</v>
      </c>
      <c r="E22925" s="10">
        <v>3622247</v>
      </c>
      <c r="F22925" s="4" t="str">
        <f>IF(B22925=B22924,"",B22925)</f>
        <v>Limón</v>
      </c>
    </row>
    <row r="22926" spans="1:6" ht="15.75" customHeight="1">
      <c r="A22926" s="15" t="s">
        <v>7498</v>
      </c>
      <c r="B22926" s="15" t="s">
        <v>7498</v>
      </c>
      <c r="C22926" s="15" t="s">
        <v>7052</v>
      </c>
      <c r="D22926" s="15" t="s">
        <v>7084</v>
      </c>
      <c r="E22926" s="2">
        <v>2998286</v>
      </c>
      <c r="F22926" s="4" t="str">
        <f>IF(B22926=B22925,"",B22926)</f>
        <v>Limoges</v>
      </c>
    </row>
    <row r="22927" spans="1:6" ht="15.75" customHeight="1">
      <c r="A22927" s="8" t="str">
        <f ca="1">IFERROR(__xludf.DUMMYFUNCTION("GOOGLETRANSLATE(B29966,""en"",""pt"")"),"Limoges")</f>
        <v>Limoges</v>
      </c>
      <c r="B22927" s="11" t="s">
        <v>7498</v>
      </c>
      <c r="C22927" s="11" t="s">
        <v>7052</v>
      </c>
      <c r="D22927" s="11" t="s">
        <v>7084</v>
      </c>
      <c r="E22927" s="10">
        <v>2998286</v>
      </c>
      <c r="F22927" s="4" t="str">
        <f>IF(B22927=B22926,"",B22927)</f>
        <v/>
      </c>
    </row>
    <row r="22928" spans="1:6" ht="15.75" customHeight="1">
      <c r="A22928" s="16" t="s">
        <v>2813</v>
      </c>
      <c r="B22928" s="15" t="s">
        <v>2814</v>
      </c>
      <c r="C22928" s="16" t="s">
        <v>1905</v>
      </c>
      <c r="D22928" s="16" t="s">
        <v>1930</v>
      </c>
      <c r="E22928" s="2">
        <v>3396266</v>
      </c>
      <c r="F22928" s="4" t="str">
        <f>IF(B22928=B22927,"",B22928)</f>
        <v>Limoeiro do Norte</v>
      </c>
    </row>
    <row r="22929" spans="1:6" ht="15.75" customHeight="1">
      <c r="A22929" s="8" t="str">
        <f ca="1">IFERROR(__xludf.DUMMYFUNCTION("GOOGLETRANSLATE(B24280,""en"",""pt"")"),"Limoiro do Norte")</f>
        <v>Limoiro do Norte</v>
      </c>
      <c r="B22929" s="11" t="s">
        <v>2814</v>
      </c>
      <c r="C22929" s="11" t="s">
        <v>1905</v>
      </c>
      <c r="D22929" s="11" t="s">
        <v>31345</v>
      </c>
      <c r="E22929" s="10">
        <v>3396266</v>
      </c>
      <c r="F22929" s="4" t="str">
        <f>IF(B22929=B22928,"",B22929)</f>
        <v/>
      </c>
    </row>
    <row r="22930" spans="1:6" ht="15.75" customHeight="1">
      <c r="A22930" s="15" t="s">
        <v>2811</v>
      </c>
      <c r="B22930" s="15" t="s">
        <v>2812</v>
      </c>
      <c r="C22930" s="15" t="s">
        <v>1905</v>
      </c>
      <c r="D22930" s="15" t="s">
        <v>1909</v>
      </c>
      <c r="E22930" s="2">
        <v>3396277</v>
      </c>
      <c r="F22930" s="4" t="str">
        <f>IF(B22930=B22929,"",B22930)</f>
        <v>Limoeiro</v>
      </c>
    </row>
    <row r="22931" spans="1:6" ht="15.75" customHeight="1">
      <c r="A22931" s="8" t="str">
        <f ca="1">IFERROR(__xludf.DUMMYFUNCTION("GOOGLETRANSLATE(B24281,""en"",""pt"")"),"Limooiro")</f>
        <v>Limooiro</v>
      </c>
      <c r="B22931" s="11" t="s">
        <v>2812</v>
      </c>
      <c r="C22931" s="11" t="s">
        <v>1905</v>
      </c>
      <c r="D22931" s="11" t="s">
        <v>1909</v>
      </c>
      <c r="E22931" s="10">
        <v>3396277</v>
      </c>
      <c r="F22931" s="4" t="str">
        <f>IF(B22931=B22930,"",B22931)</f>
        <v/>
      </c>
    </row>
    <row r="22932" spans="1:6" ht="15.75" customHeight="1">
      <c r="A22932" s="15" t="s">
        <v>29131</v>
      </c>
      <c r="B22932" s="15" t="s">
        <v>29131</v>
      </c>
      <c r="C22932" s="15" t="s">
        <v>27788</v>
      </c>
      <c r="D22932" s="15" t="s">
        <v>27836</v>
      </c>
      <c r="E22932" s="2">
        <v>5198034</v>
      </c>
      <c r="F22932" s="4" t="str">
        <f>IF(B22932=B22931,"",B22932)</f>
        <v>Limerick</v>
      </c>
    </row>
    <row r="22933" spans="1:6" ht="15.75" customHeight="1">
      <c r="A22933" s="8" t="str">
        <f ca="1">IFERROR(__xludf.DUMMYFUNCTION("GOOGLETRANSLATE(B44579,""en"",""pt"")"),"Limerick")</f>
        <v>Limerick</v>
      </c>
      <c r="B22933" s="11" t="s">
        <v>29131</v>
      </c>
      <c r="C22933" s="11" t="s">
        <v>27788</v>
      </c>
      <c r="D22933" s="11" t="s">
        <v>27836</v>
      </c>
      <c r="E22933" s="10">
        <v>5198034</v>
      </c>
      <c r="F22933" s="4" t="str">
        <f>IF(B22933=B22932,"",B22933)</f>
        <v/>
      </c>
    </row>
    <row r="22934" spans="1:6" ht="15.75" customHeight="1">
      <c r="A22934" s="15" t="s">
        <v>2810</v>
      </c>
      <c r="B22934" s="15" t="s">
        <v>2810</v>
      </c>
      <c r="C22934" s="15" t="s">
        <v>1905</v>
      </c>
      <c r="D22934" s="15" t="s">
        <v>1914</v>
      </c>
      <c r="E22934" s="2">
        <v>3458575</v>
      </c>
      <c r="F22934" s="4" t="str">
        <f>IF(B22934=B22933,"",B22934)</f>
        <v>Limeira</v>
      </c>
    </row>
    <row r="22935" spans="1:6" ht="15.75" customHeight="1">
      <c r="A22935" s="8" t="str">
        <f ca="1">IFERROR(__xludf.DUMMYFUNCTION("GOOGLETRANSLATE(B24858,""en"",""pt"")"),"Limeira")</f>
        <v>Limeira</v>
      </c>
      <c r="B22935" s="11" t="s">
        <v>2810</v>
      </c>
      <c r="C22935" s="11" t="s">
        <v>1905</v>
      </c>
      <c r="D22935" s="11" t="s">
        <v>3354</v>
      </c>
      <c r="E22935" s="10">
        <v>3458575</v>
      </c>
      <c r="F22935" s="4" t="str">
        <f>IF(B22935=B22934,"",B22935)</f>
        <v/>
      </c>
    </row>
    <row r="22936" spans="1:6" ht="15.75" customHeight="1">
      <c r="A22936" s="8" t="str">
        <f ca="1">IFERROR(__xludf.DUMMYFUNCTION("GOOGLETRANSLATE(B29967,""en"",""pt"")"),"Limeil-Brévannes")</f>
        <v>Limeil-Brévannes</v>
      </c>
      <c r="B22936" s="9" t="s">
        <v>32585</v>
      </c>
      <c r="C22936" s="9" t="s">
        <v>7052</v>
      </c>
      <c r="D22936" s="9" t="s">
        <v>32531</v>
      </c>
      <c r="E22936" s="10">
        <v>2998305</v>
      </c>
      <c r="F22936" s="4" t="str">
        <f>IF(B22936=B22935,"",B22936)</f>
        <v>Limeil-Brévannes</v>
      </c>
    </row>
    <row r="22937" spans="1:6" ht="15.75" customHeight="1">
      <c r="A22937" s="16" t="s">
        <v>7496</v>
      </c>
      <c r="B22937" s="15" t="s">
        <v>7497</v>
      </c>
      <c r="C22937" s="16" t="s">
        <v>7052</v>
      </c>
      <c r="D22937" s="16" t="s">
        <v>7058</v>
      </c>
      <c r="E22937" s="2">
        <v>2998305</v>
      </c>
      <c r="F22937" s="4" t="str">
        <f>IF(B22937=B22936,"",B22937)</f>
        <v>Limeil-BrÃ©vannes</v>
      </c>
    </row>
    <row r="22938" spans="1:6" ht="15.75" customHeight="1">
      <c r="A22938" s="16" t="s">
        <v>8771</v>
      </c>
      <c r="B22938" s="15" t="s">
        <v>8772</v>
      </c>
      <c r="C22938" s="16" t="s">
        <v>8028</v>
      </c>
      <c r="D22938" s="16" t="s">
        <v>8050</v>
      </c>
      <c r="E22938" s="2">
        <v>2877648</v>
      </c>
      <c r="F22938" s="4" t="str">
        <f>IF(B22938=B22937,"",B22938)</f>
        <v>Limburg an der Lahn</v>
      </c>
    </row>
    <row r="22939" spans="1:6" ht="15.75" customHeight="1">
      <c r="A22939" s="8" t="str">
        <f ca="1">IFERROR(__xludf.DUMMYFUNCTION("GOOGLETRANSLATE(B27816,""en"",""pt"")"),"Limburg e Der Lahn")</f>
        <v>Limburg e Der Lahn</v>
      </c>
      <c r="B22939" s="11" t="s">
        <v>8772</v>
      </c>
      <c r="C22939" s="11" t="s">
        <v>8028</v>
      </c>
      <c r="D22939" s="11" t="s">
        <v>8050</v>
      </c>
      <c r="E22939" s="10">
        <v>2877648</v>
      </c>
      <c r="F22939" s="4" t="str">
        <f>IF(B22939=B22938,"",B22939)</f>
        <v/>
      </c>
    </row>
    <row r="22940" spans="1:6" ht="15.75" customHeight="1">
      <c r="A22940" s="15" t="s">
        <v>15224</v>
      </c>
      <c r="B22940" s="15" t="s">
        <v>15225</v>
      </c>
      <c r="C22940" s="15" t="s">
        <v>14891</v>
      </c>
      <c r="D22940" s="15" t="s">
        <v>14894</v>
      </c>
      <c r="E22940" s="2">
        <v>3174719</v>
      </c>
      <c r="F22940" s="4" t="str">
        <f>IF(B22940=B22939,"",B22940)</f>
        <v>Limbiate</v>
      </c>
    </row>
    <row r="22941" spans="1:6" ht="15.75" customHeight="1">
      <c r="A22941" s="8" t="str">
        <f ca="1">IFERROR(__xludf.DUMMYFUNCTION("GOOGLETRANSLATE(B34867,""en"",""pt"")"),"Limbo")</f>
        <v>Limbo</v>
      </c>
      <c r="B22941" s="11" t="s">
        <v>15225</v>
      </c>
      <c r="C22941" s="11" t="s">
        <v>14891</v>
      </c>
      <c r="D22941" s="11" t="s">
        <v>14894</v>
      </c>
      <c r="E22941" s="10">
        <v>3174719</v>
      </c>
      <c r="F22941" s="4" t="str">
        <f>IF(B22941=B22940,"",B22941)</f>
        <v/>
      </c>
    </row>
    <row r="22942" spans="1:6" ht="15.75" customHeight="1">
      <c r="A22942" s="15" t="s">
        <v>3936</v>
      </c>
      <c r="B22942" s="15" t="s">
        <v>3937</v>
      </c>
      <c r="C22942" s="15" t="s">
        <v>3884</v>
      </c>
      <c r="D22942" s="15" t="s">
        <v>3898</v>
      </c>
      <c r="E22942" s="2">
        <v>2229411</v>
      </c>
      <c r="F22942" s="4" t="str">
        <f>IF(B22942=B22941,"",B22942)</f>
        <v>Limbe</v>
      </c>
    </row>
    <row r="22943" spans="1:6" ht="15.75" customHeight="1">
      <c r="A22943" s="8" t="str">
        <f ca="1">IFERROR(__xludf.DUMMYFUNCTION("GOOGLETRANSLATE(B26009,""en"",""pt"")"),"Limpe")</f>
        <v>Limpe</v>
      </c>
      <c r="B22943" s="11" t="s">
        <v>3937</v>
      </c>
      <c r="C22943" s="11" t="s">
        <v>3884</v>
      </c>
      <c r="D22943" s="11" t="s">
        <v>3898</v>
      </c>
      <c r="E22943" s="10">
        <v>2229411</v>
      </c>
      <c r="F22943" s="4" t="str">
        <f>IF(B22943=B22942,"",B22943)</f>
        <v/>
      </c>
    </row>
    <row r="22944" spans="1:6" ht="15.75" customHeight="1">
      <c r="A22944" s="15" t="s">
        <v>12159</v>
      </c>
      <c r="B22944" s="15" t="s">
        <v>12159</v>
      </c>
      <c r="C22944" s="15" t="s">
        <v>10178</v>
      </c>
      <c r="D22944" s="15" t="s">
        <v>10209</v>
      </c>
      <c r="E22944" s="2">
        <v>1264912</v>
      </c>
      <c r="F22944" s="4" t="str">
        <f>IF(B22944=B22943,"",B22944)</f>
        <v>Limbdi</v>
      </c>
    </row>
    <row r="22945" spans="1:6" ht="15.75" customHeight="1">
      <c r="A22945" s="8" t="str">
        <f ca="1">IFERROR(__xludf.DUMMYFUNCTION("GOOGLETRANSLATE(B32919,""en"",""pt"")"),"Limbdi")</f>
        <v>Limbdi</v>
      </c>
      <c r="B22945" s="11" t="s">
        <v>12159</v>
      </c>
      <c r="C22945" s="11" t="s">
        <v>10178</v>
      </c>
      <c r="D22945" s="11" t="s">
        <v>10209</v>
      </c>
      <c r="E22945" s="10">
        <v>1264912</v>
      </c>
      <c r="F22945" s="4" t="str">
        <f>IF(B22945=B22944,"",B22945)</f>
        <v/>
      </c>
    </row>
    <row r="22946" spans="1:6" ht="15.75" customHeight="1">
      <c r="A22946" s="15" t="s">
        <v>17524</v>
      </c>
      <c r="B22946" s="15" t="s">
        <v>17524</v>
      </c>
      <c r="C22946" s="15" t="s">
        <v>17432</v>
      </c>
      <c r="D22946" s="15" t="s">
        <v>17459</v>
      </c>
      <c r="E22946" s="2">
        <v>1737714</v>
      </c>
      <c r="F22946" s="4" t="str">
        <f>IF(B22946=B22945,"",B22946)</f>
        <v>Limbang</v>
      </c>
    </row>
    <row r="22947" spans="1:6" ht="15.75" customHeight="1">
      <c r="A22947" s="8" t="str">
        <f ca="1">IFERROR(__xludf.DUMMYFUNCTION("GOOGLETRANSLATE(B37509,""en"",""pt"")"),"Limbang")</f>
        <v>Limbang</v>
      </c>
      <c r="B22947" s="9" t="s">
        <v>17524</v>
      </c>
      <c r="C22947" s="9" t="s">
        <v>17432</v>
      </c>
      <c r="D22947" s="9" t="s">
        <v>17459</v>
      </c>
      <c r="E22947" s="10">
        <v>1737714</v>
      </c>
      <c r="F22947" s="4" t="str">
        <f>IF(B22947=B22946,"",B22947)</f>
        <v/>
      </c>
    </row>
    <row r="22948" spans="1:6" ht="15.75" customHeight="1">
      <c r="A22948" s="16" t="s">
        <v>8770</v>
      </c>
      <c r="B22948" s="15" t="s">
        <v>8770</v>
      </c>
      <c r="C22948" s="16" t="s">
        <v>8028</v>
      </c>
      <c r="D22948" s="16" t="s">
        <v>8072</v>
      </c>
      <c r="E22948" s="2">
        <v>2877673</v>
      </c>
      <c r="F22948" s="4" t="str">
        <f>IF(B22948=B22947,"",B22948)</f>
        <v>Limbach-Oberfrohna</v>
      </c>
    </row>
    <row r="22949" spans="1:6" ht="15.75" customHeight="1">
      <c r="A22949" s="8" t="str">
        <f ca="1">IFERROR(__xludf.DUMMYFUNCTION("GOOGLETRANSLATE(B27817,""en"",""pt"")"),"Limbach-Oberfrohna")</f>
        <v>Limbach-Oberfrohna</v>
      </c>
      <c r="B22949" s="11" t="s">
        <v>8770</v>
      </c>
      <c r="C22949" s="11" t="s">
        <v>8028</v>
      </c>
      <c r="D22949" s="11" t="s">
        <v>8072</v>
      </c>
      <c r="E22949" s="10">
        <v>2877673</v>
      </c>
      <c r="F22949" s="4" t="str">
        <f>IF(B22949=B22948,"",B22949)</f>
        <v/>
      </c>
    </row>
    <row r="22950" spans="1:6" ht="15.75" customHeight="1">
      <c r="A22950" s="15" t="s">
        <v>7495</v>
      </c>
      <c r="B22950" s="15" t="s">
        <v>7495</v>
      </c>
      <c r="C22950" s="15" t="s">
        <v>7052</v>
      </c>
      <c r="D22950" s="15" t="s">
        <v>7058</v>
      </c>
      <c r="E22950" s="2">
        <v>2998311</v>
      </c>
      <c r="F22950" s="4" t="str">
        <f>IF(B22950=B22949,"",B22950)</f>
        <v>Limay</v>
      </c>
    </row>
    <row r="22951" spans="1:6" ht="15.75" customHeight="1">
      <c r="A22951" s="15" t="s">
        <v>7495</v>
      </c>
      <c r="B22951" s="15" t="s">
        <v>7495</v>
      </c>
      <c r="C22951" s="15" t="s">
        <v>20598</v>
      </c>
      <c r="D22951" s="15" t="s">
        <v>20599</v>
      </c>
      <c r="E22951" s="2">
        <v>1706361</v>
      </c>
      <c r="F22951" s="4" t="str">
        <f>IF(B22951=B22950,"",B22951)</f>
        <v/>
      </c>
    </row>
    <row r="22952" spans="1:6" ht="15.75" customHeight="1">
      <c r="A22952" s="8" t="str">
        <f ca="1">IFERROR(__xludf.DUMMYFUNCTION("GOOGLETRANSLATE(B29968,""en"",""pt"")"),"Limay")</f>
        <v>Limay</v>
      </c>
      <c r="B22952" s="11" t="s">
        <v>7495</v>
      </c>
      <c r="C22952" s="11" t="s">
        <v>7052</v>
      </c>
      <c r="D22952" s="11" t="s">
        <v>32531</v>
      </c>
      <c r="E22952" s="10">
        <v>2998311</v>
      </c>
      <c r="F22952" s="4" t="str">
        <f>IF(B22952=B22951,"",B22952)</f>
        <v/>
      </c>
    </row>
    <row r="22953" spans="1:6" ht="15.75" customHeight="1">
      <c r="A22953" s="8" t="str">
        <f ca="1">IFERROR(__xludf.DUMMYFUNCTION("GOOGLETRANSLATE(B38664,""en"",""pt"")"),"Limay")</f>
        <v>Limay</v>
      </c>
      <c r="B22953" s="9" t="s">
        <v>7495</v>
      </c>
      <c r="C22953" s="9" t="s">
        <v>20598</v>
      </c>
      <c r="D22953" s="9" t="s">
        <v>20599</v>
      </c>
      <c r="E22953" s="10">
        <v>1706361</v>
      </c>
      <c r="F22953" s="4" t="str">
        <f>IF(B22953=B22952,"",B22953)</f>
        <v/>
      </c>
    </row>
    <row r="22954" spans="1:6" ht="15.75" customHeight="1">
      <c r="A22954" s="15" t="s">
        <v>5938</v>
      </c>
      <c r="B22954" s="15" t="s">
        <v>5938</v>
      </c>
      <c r="C22954" s="15" t="s">
        <v>5932</v>
      </c>
      <c r="D22954" s="15" t="s">
        <v>5938</v>
      </c>
      <c r="E22954" s="2">
        <v>146384</v>
      </c>
      <c r="F22954" s="4" t="str">
        <f>IF(B22954=B22953,"",B22954)</f>
        <v>Limassol</v>
      </c>
    </row>
    <row r="22955" spans="1:6" ht="15.75" customHeight="1">
      <c r="A22955" s="8" t="str">
        <f ca="1">IFERROR(__xludf.DUMMYFUNCTION("GOOGLETRANSLATE(B27238,""en"",""pt"")"),"Limassol")</f>
        <v>Limassol</v>
      </c>
      <c r="B22955" s="11" t="s">
        <v>5938</v>
      </c>
      <c r="C22955" s="11" t="s">
        <v>5932</v>
      </c>
      <c r="D22955" s="11" t="s">
        <v>5938</v>
      </c>
      <c r="E22955" s="10">
        <v>146384</v>
      </c>
      <c r="F22955" s="4" t="str">
        <f>IF(B22955=B22954,"",B22955)</f>
        <v/>
      </c>
    </row>
    <row r="22956" spans="1:6" ht="15.75" customHeight="1">
      <c r="A22956" s="15" t="s">
        <v>4418</v>
      </c>
      <c r="B22956" s="15" t="s">
        <v>4418</v>
      </c>
      <c r="C22956" s="15" t="s">
        <v>4355</v>
      </c>
      <c r="D22956" s="15" t="s">
        <v>3642</v>
      </c>
      <c r="E22956" s="2">
        <v>3883214</v>
      </c>
      <c r="F22956" s="4" t="str">
        <f>IF(B22956=B22955,"",B22956)</f>
        <v>Limache</v>
      </c>
    </row>
    <row r="22957" spans="1:6" ht="15.75" customHeight="1">
      <c r="A22957" s="8" t="str">
        <f ca="1">IFERROR(__xludf.DUMMYFUNCTION("GOOGLETRANSLATE(B25937,""en"",""pt"")"),"Limache")</f>
        <v>Limache</v>
      </c>
      <c r="B22957" s="11" t="s">
        <v>4418</v>
      </c>
      <c r="C22957" s="11" t="s">
        <v>4355</v>
      </c>
      <c r="D22957" s="11" t="s">
        <v>30263</v>
      </c>
      <c r="E22957" s="10">
        <v>3883214</v>
      </c>
      <c r="F22957" s="4" t="str">
        <f>IF(B22957=B22956,"",B22957)</f>
        <v/>
      </c>
    </row>
    <row r="22958" spans="1:6" ht="15.75" customHeight="1">
      <c r="A22958" s="15" t="s">
        <v>5688</v>
      </c>
      <c r="B22958" s="15" t="s">
        <v>5681</v>
      </c>
      <c r="C22958" s="15" t="s">
        <v>5665</v>
      </c>
      <c r="D22958" s="15" t="s">
        <v>5681</v>
      </c>
      <c r="E22958" s="2">
        <v>3622247</v>
      </c>
      <c r="F22958" s="4" t="str">
        <f>IF(B22958=B22957,"",B22958)</f>
        <v>LimÃ³n</v>
      </c>
    </row>
    <row r="22959" spans="1:6" ht="15.75" customHeight="1">
      <c r="A22959" s="15" t="s">
        <v>20539</v>
      </c>
      <c r="B22959" s="15" t="s">
        <v>20539</v>
      </c>
      <c r="C22959" s="15" t="s">
        <v>20470</v>
      </c>
      <c r="D22959" s="15" t="s">
        <v>20540</v>
      </c>
      <c r="E22959" s="2">
        <v>3936456</v>
      </c>
      <c r="F22959" s="4" t="str">
        <f>IF(B22959=B22958,"",B22959)</f>
        <v>Lima</v>
      </c>
    </row>
    <row r="22960" spans="1:6" ht="15.75" customHeight="1">
      <c r="A22960" s="15" t="s">
        <v>20539</v>
      </c>
      <c r="B22960" s="15" t="s">
        <v>20539</v>
      </c>
      <c r="C22960" s="15" t="s">
        <v>27788</v>
      </c>
      <c r="D22960" s="15" t="s">
        <v>27813</v>
      </c>
      <c r="E22960" s="2">
        <v>5160783</v>
      </c>
      <c r="F22960" s="4" t="str">
        <f>IF(B22960=B22959,"",B22960)</f>
        <v/>
      </c>
    </row>
    <row r="22961" spans="1:6" ht="15.75" customHeight="1">
      <c r="A22961" s="8" t="str">
        <f ca="1">IFERROR(__xludf.DUMMYFUNCTION("GOOGLETRANSLATE(B38376,""en"",""pt"")"),"Lima")</f>
        <v>Lima</v>
      </c>
      <c r="B22961" s="11" t="s">
        <v>20539</v>
      </c>
      <c r="C22961" s="11" t="s">
        <v>20470</v>
      </c>
      <c r="D22961" s="11" t="s">
        <v>20540</v>
      </c>
      <c r="E22961" s="10">
        <v>3936456</v>
      </c>
      <c r="F22961" s="4" t="str">
        <f>IF(B22961=B22960,"",B22961)</f>
        <v/>
      </c>
    </row>
    <row r="22962" spans="1:6" ht="15.75" customHeight="1">
      <c r="A22962" s="8" t="str">
        <f ca="1">IFERROR(__xludf.DUMMYFUNCTION("GOOGLETRANSLATE(B44511,""en"",""pt"")"),"Lima")</f>
        <v>Lima</v>
      </c>
      <c r="B22962" s="9" t="s">
        <v>20539</v>
      </c>
      <c r="C22962" s="9" t="s">
        <v>27788</v>
      </c>
      <c r="D22962" s="9" t="s">
        <v>27813</v>
      </c>
      <c r="E22962" s="10">
        <v>5160783</v>
      </c>
      <c r="F22962" s="4" t="str">
        <f>IF(B22962=B22961,"",B22962)</f>
        <v/>
      </c>
    </row>
    <row r="22963" spans="1:6" ht="15.75" customHeight="1">
      <c r="A22963" s="15" t="s">
        <v>1013</v>
      </c>
      <c r="B22963" s="15" t="s">
        <v>1013</v>
      </c>
      <c r="C22963" s="15" t="s">
        <v>885</v>
      </c>
      <c r="D22963" s="15" t="s">
        <v>827</v>
      </c>
      <c r="E22963" s="2">
        <v>2160188</v>
      </c>
      <c r="F22963" s="4" t="str">
        <f>IF(B22963=B22962,"",B22963)</f>
        <v>Lilydale</v>
      </c>
    </row>
    <row r="22964" spans="1:6" ht="15.75" customHeight="1">
      <c r="A22964" s="8" t="str">
        <f ca="1">IFERROR(__xludf.DUMMYFUNCTION("GOOGLETRANSLATE(B23493,""en"",""pt"")"),"Lilydale")</f>
        <v>Lilydale</v>
      </c>
      <c r="B22964" s="9" t="s">
        <v>1013</v>
      </c>
      <c r="C22964" s="9" t="s">
        <v>885</v>
      </c>
      <c r="D22964" s="9" t="s">
        <v>827</v>
      </c>
      <c r="E22964" s="10">
        <v>2160188</v>
      </c>
      <c r="F22964" s="4" t="str">
        <f>IF(B22964=B22963,"",B22964)</f>
        <v/>
      </c>
    </row>
    <row r="22965" spans="1:6" ht="15.75" customHeight="1">
      <c r="A22965" s="15" t="s">
        <v>17418</v>
      </c>
      <c r="B22965" s="15" t="s">
        <v>17418</v>
      </c>
      <c r="C22965" s="15" t="s">
        <v>17410</v>
      </c>
      <c r="D22965" s="15" t="s">
        <v>17414</v>
      </c>
      <c r="E22965" s="2">
        <v>927967</v>
      </c>
      <c r="F22965" s="4" t="str">
        <f>IF(B22965=B22964,"",B22965)</f>
        <v>Lilongwe</v>
      </c>
    </row>
    <row r="22966" spans="1:6" ht="15.75" customHeight="1">
      <c r="A22966" s="8" t="str">
        <f ca="1">IFERROR(__xludf.DUMMYFUNCTION("GOOGLETRANSLATE(B36836,""en"",""pt"")"),"Lilongwe")</f>
        <v>Lilongwe</v>
      </c>
      <c r="B22966" s="9" t="s">
        <v>17418</v>
      </c>
      <c r="C22966" s="9" t="s">
        <v>17410</v>
      </c>
      <c r="D22966" s="9" t="s">
        <v>17414</v>
      </c>
      <c r="E22966" s="10">
        <v>927967</v>
      </c>
      <c r="F22966" s="4" t="str">
        <f>IF(B22966=B22965,"",B22966)</f>
        <v/>
      </c>
    </row>
    <row r="22967" spans="1:6" ht="15.75" customHeight="1">
      <c r="A22967" s="15" t="s">
        <v>20834</v>
      </c>
      <c r="B22967" s="15" t="s">
        <v>20834</v>
      </c>
      <c r="C22967" s="15" t="s">
        <v>20598</v>
      </c>
      <c r="D22967" s="15" t="s">
        <v>20622</v>
      </c>
      <c r="E22967" s="2">
        <v>1706393</v>
      </c>
      <c r="F22967" s="4" t="str">
        <f>IF(B22967=B22966,"",B22967)</f>
        <v>Liloan</v>
      </c>
    </row>
    <row r="22968" spans="1:6" ht="15.75" customHeight="1">
      <c r="A22968" s="8" t="str">
        <f ca="1">IFERROR(__xludf.DUMMYFUNCTION("GOOGLETRANSLATE(B38665,""en"",""pt"")"),"Liloan")</f>
        <v>Liloan</v>
      </c>
      <c r="B22968" s="9" t="s">
        <v>20834</v>
      </c>
      <c r="C22968" s="9" t="s">
        <v>20598</v>
      </c>
      <c r="D22968" s="9" t="s">
        <v>20622</v>
      </c>
      <c r="E22968" s="10">
        <v>1706393</v>
      </c>
      <c r="F22968" s="4" t="str">
        <f>IF(B22968=B22967,"",B22968)</f>
        <v/>
      </c>
    </row>
    <row r="22969" spans="1:6" ht="15.75" customHeight="1">
      <c r="A22969" s="8" t="str">
        <f ca="1">IFERROR(__xludf.DUMMYFUNCTION("GOOGLETRANSLATE(B28421,""en"",""pt"")"),"Lillerød")</f>
        <v>Lillerød</v>
      </c>
      <c r="B22969" s="11" t="s">
        <v>32156</v>
      </c>
      <c r="C22969" s="11" t="s">
        <v>6209</v>
      </c>
      <c r="D22969" s="11" t="s">
        <v>6216</v>
      </c>
      <c r="E22969" s="10">
        <v>2617658</v>
      </c>
      <c r="F22969" s="4" t="str">
        <f>IF(B22969=B22968,"",B22969)</f>
        <v>Lillerød</v>
      </c>
    </row>
    <row r="22970" spans="1:6" ht="15.75" customHeight="1">
      <c r="A22970" s="15" t="s">
        <v>6259</v>
      </c>
      <c r="B22970" s="15" t="s">
        <v>6260</v>
      </c>
      <c r="C22970" s="15" t="s">
        <v>6209</v>
      </c>
      <c r="D22970" s="15" t="s">
        <v>6216</v>
      </c>
      <c r="E22970" s="2">
        <v>2617658</v>
      </c>
      <c r="F22970" s="4" t="str">
        <f>IF(B22970=B22969,"",B22970)</f>
        <v>LillerÃ¸d</v>
      </c>
    </row>
    <row r="22971" spans="1:6" ht="15.75" customHeight="1">
      <c r="A22971" s="16" t="s">
        <v>19728</v>
      </c>
      <c r="B22971" s="15" t="s">
        <v>19728</v>
      </c>
      <c r="C22971" s="16" t="s">
        <v>19695</v>
      </c>
      <c r="D22971" s="16" t="s">
        <v>19712</v>
      </c>
      <c r="E22971" s="2">
        <v>3147474</v>
      </c>
      <c r="F22971" s="4" t="str">
        <f>IF(B22971=B22970,"",B22971)</f>
        <v>Lillehammer</v>
      </c>
    </row>
    <row r="22972" spans="1:6" ht="15.75" customHeight="1">
      <c r="A22972" s="8" t="str">
        <f ca="1">IFERROR(__xludf.DUMMYFUNCTION("GOOGLETRANSLATE(B38157,""en"",""pt"")"),"Lillehammer")</f>
        <v>Lillehammer</v>
      </c>
      <c r="B22972" s="9" t="s">
        <v>19728</v>
      </c>
      <c r="C22972" s="9" t="s">
        <v>19695</v>
      </c>
      <c r="D22972" s="9" t="s">
        <v>19712</v>
      </c>
      <c r="E22972" s="10">
        <v>3147474</v>
      </c>
      <c r="F22972" s="4" t="str">
        <f>IF(B22972=B22971,"",B22972)</f>
        <v/>
      </c>
    </row>
    <row r="22973" spans="1:6" ht="15.75" customHeight="1">
      <c r="A22973" s="15" t="s">
        <v>1623</v>
      </c>
      <c r="B22973" s="15" t="s">
        <v>1623</v>
      </c>
      <c r="C22973" s="15" t="s">
        <v>1512</v>
      </c>
      <c r="D22973" s="15" t="s">
        <v>1513</v>
      </c>
      <c r="E22973" s="2">
        <v>2792360</v>
      </c>
      <c r="F22973" s="4" t="str">
        <f>IF(B22973=B22972,"",B22973)</f>
        <v>Lille</v>
      </c>
    </row>
    <row r="22974" spans="1:6" ht="15.75" customHeight="1">
      <c r="A22974" s="15" t="s">
        <v>1623</v>
      </c>
      <c r="B22974" s="15" t="s">
        <v>1623</v>
      </c>
      <c r="C22974" s="15" t="s">
        <v>7052</v>
      </c>
      <c r="D22974" s="15" t="s">
        <v>7078</v>
      </c>
      <c r="E22974" s="2">
        <v>2998324</v>
      </c>
      <c r="F22974" s="4" t="str">
        <f>IF(B22974=B22973,"",B22974)</f>
        <v/>
      </c>
    </row>
    <row r="22975" spans="1:6" ht="15.75" customHeight="1">
      <c r="A22975" s="8" t="str">
        <f ca="1">IFERROR(__xludf.DUMMYFUNCTION("GOOGLETRANSLATE(B23882,""en"",""pt"")"),"Lille")</f>
        <v>Lille</v>
      </c>
      <c r="B22975" s="9" t="s">
        <v>1623</v>
      </c>
      <c r="C22975" s="9" t="s">
        <v>1512</v>
      </c>
      <c r="D22975" s="9" t="s">
        <v>1513</v>
      </c>
      <c r="E22975" s="10">
        <v>2792360</v>
      </c>
      <c r="F22975" s="4" t="str">
        <f>IF(B22975=B22974,"",B22975)</f>
        <v/>
      </c>
    </row>
    <row r="22976" spans="1:6" ht="15.75" customHeight="1">
      <c r="A22976" s="8" t="str">
        <f ca="1">IFERROR(__xludf.DUMMYFUNCTION("GOOGLETRANSLATE(B29969,""en"",""pt"")"),"Lille")</f>
        <v>Lille</v>
      </c>
      <c r="B22976" s="11" t="s">
        <v>1623</v>
      </c>
      <c r="C22976" s="11" t="s">
        <v>7052</v>
      </c>
      <c r="D22976" s="11" t="s">
        <v>7078</v>
      </c>
      <c r="E22976" s="10">
        <v>2998324</v>
      </c>
      <c r="F22976" s="4" t="str">
        <f>IF(B22976=B22975,"",B22976)</f>
        <v/>
      </c>
    </row>
    <row r="22977" spans="1:6" ht="15.75" customHeight="1">
      <c r="A22977" s="15" t="s">
        <v>20833</v>
      </c>
      <c r="B22977" s="15" t="s">
        <v>20833</v>
      </c>
      <c r="C22977" s="15" t="s">
        <v>20598</v>
      </c>
      <c r="D22977" s="15" t="s">
        <v>20608</v>
      </c>
      <c r="E22977" s="2">
        <v>1706402</v>
      </c>
      <c r="F22977" s="4" t="str">
        <f>IF(B22977=B22976,"",B22977)</f>
        <v>Lilio</v>
      </c>
    </row>
    <row r="22978" spans="1:6" ht="15.75" customHeight="1">
      <c r="A22978" s="8" t="str">
        <f ca="1">IFERROR(__xludf.DUMMYFUNCTION("GOOGLETRANSLATE(B38666,""en"",""pt"")"),"Lilio")</f>
        <v>Lilio</v>
      </c>
      <c r="B22978" s="11" t="s">
        <v>20833</v>
      </c>
      <c r="C22978" s="11" t="s">
        <v>20598</v>
      </c>
      <c r="D22978" s="11" t="s">
        <v>20608</v>
      </c>
      <c r="E22978" s="10">
        <v>1706402</v>
      </c>
      <c r="F22978" s="4" t="str">
        <f>IF(B22978=B22977,"",B22978)</f>
        <v/>
      </c>
    </row>
    <row r="22979" spans="1:6" ht="15.75" customHeight="1">
      <c r="A22979" s="15" t="s">
        <v>8769</v>
      </c>
      <c r="B22979" s="15" t="s">
        <v>8769</v>
      </c>
      <c r="C22979" s="15" t="s">
        <v>8028</v>
      </c>
      <c r="D22979" s="15" t="s">
        <v>8034</v>
      </c>
      <c r="E22979" s="2">
        <v>2877709</v>
      </c>
      <c r="F22979" s="4" t="str">
        <f>IF(B22979=B22978,"",B22979)</f>
        <v>Lilienthal</v>
      </c>
    </row>
    <row r="22980" spans="1:6" ht="15.75" customHeight="1">
      <c r="A22980" s="8" t="str">
        <f ca="1">IFERROR(__xludf.DUMMYFUNCTION("GOOGLETRANSLATE(B27818,""en"",""pt"")"),"Lilienthal")</f>
        <v>Lilienthal</v>
      </c>
      <c r="B22980" s="9" t="s">
        <v>8769</v>
      </c>
      <c r="C22980" s="9" t="s">
        <v>8028</v>
      </c>
      <c r="D22980" s="9" t="s">
        <v>8034</v>
      </c>
      <c r="E22980" s="10">
        <v>2877709</v>
      </c>
      <c r="F22980" s="4" t="str">
        <f>IF(B22980=B22979,"",B22980)</f>
        <v/>
      </c>
    </row>
    <row r="22981" spans="1:6" ht="15.75" customHeight="1">
      <c r="A22981" s="16" t="s">
        <v>22682</v>
      </c>
      <c r="B22981" s="15" t="s">
        <v>22682</v>
      </c>
      <c r="C22981" s="16" t="s">
        <v>22070</v>
      </c>
      <c r="D22981" s="16" t="s">
        <v>22119</v>
      </c>
      <c r="E22981" s="2">
        <v>535243</v>
      </c>
      <c r="F22981" s="4" t="str">
        <f>IF(B22981=B22980,"",B22981)</f>
        <v>Likino-Dulevo</v>
      </c>
    </row>
    <row r="22982" spans="1:6" ht="15.75" customHeight="1">
      <c r="A22982" s="8" t="str">
        <f ca="1">IFERROR(__xludf.DUMMYFUNCTION("GOOGLETRANSLATE(B40358,""en"",""pt"")"),"Likino-Dulevo")</f>
        <v>Likino-Dulevo</v>
      </c>
      <c r="B22982" s="11" t="s">
        <v>22682</v>
      </c>
      <c r="C22982" s="11" t="s">
        <v>22070</v>
      </c>
      <c r="D22982" s="11" t="s">
        <v>22119</v>
      </c>
      <c r="E22982" s="10">
        <v>535243</v>
      </c>
      <c r="F22982" s="4" t="str">
        <f>IF(B22982=B22981,"",B22982)</f>
        <v/>
      </c>
    </row>
    <row r="22983" spans="1:6" ht="15.75" customHeight="1">
      <c r="A22983" s="16" t="s">
        <v>22681</v>
      </c>
      <c r="B22983" s="15" t="s">
        <v>22681</v>
      </c>
      <c r="C22983" s="16" t="s">
        <v>22070</v>
      </c>
      <c r="D22983" s="16" t="s">
        <v>22127</v>
      </c>
      <c r="E22983" s="2">
        <v>535270</v>
      </c>
      <c r="F22983" s="4" t="str">
        <f>IF(B22983=B22982,"",B22983)</f>
        <v>Likhobory</v>
      </c>
    </row>
    <row r="22984" spans="1:6" ht="15.75" customHeight="1">
      <c r="A22984" s="8" t="str">
        <f ca="1">IFERROR(__xludf.DUMMYFUNCTION("GOOGLETRANSLATE(B40359,""en"",""pt"")"),"Likhobory")</f>
        <v>Likhobory</v>
      </c>
      <c r="B22984" s="11" t="s">
        <v>22681</v>
      </c>
      <c r="C22984" s="11" t="s">
        <v>22070</v>
      </c>
      <c r="D22984" s="11" t="s">
        <v>22127</v>
      </c>
      <c r="E22984" s="10">
        <v>535270</v>
      </c>
      <c r="F22984" s="4" t="str">
        <f>IF(B22984=B22983,"",B22984)</f>
        <v/>
      </c>
    </row>
    <row r="22985" spans="1:6" ht="15.75" customHeight="1">
      <c r="A22985" s="15" t="s">
        <v>6178</v>
      </c>
      <c r="B22985" s="15" t="s">
        <v>6178</v>
      </c>
      <c r="C22985" s="15" t="s">
        <v>6127</v>
      </c>
      <c r="D22985" s="15" t="s">
        <v>6138</v>
      </c>
      <c r="E22985" s="2">
        <v>922741</v>
      </c>
      <c r="F22985" s="4" t="str">
        <f>IF(B22985=B22984,"",B22985)</f>
        <v>Likasi</v>
      </c>
    </row>
    <row r="22986" spans="1:6" ht="15.75" customHeight="1">
      <c r="A22986" s="8" t="str">
        <f ca="1">IFERROR(__xludf.DUMMYFUNCTION("GOOGLETRANSLATE(B25688,""en"",""pt"")"),"Likasi")</f>
        <v>Likasi</v>
      </c>
      <c r="B22986" s="11" t="s">
        <v>6178</v>
      </c>
      <c r="C22986" s="11" t="s">
        <v>6127</v>
      </c>
      <c r="D22986" s="11" t="s">
        <v>6138</v>
      </c>
      <c r="E22986" s="10">
        <v>922741</v>
      </c>
      <c r="F22986" s="4" t="str">
        <f>IF(B22986=B22985,"",B22986)</f>
        <v/>
      </c>
    </row>
    <row r="22987" spans="1:6" ht="15.75" customHeight="1">
      <c r="A22987" s="15" t="s">
        <v>4894</v>
      </c>
      <c r="B22987" s="15" t="s">
        <v>4894</v>
      </c>
      <c r="C22987" s="15" t="s">
        <v>4487</v>
      </c>
      <c r="D22987" s="15" t="s">
        <v>4607</v>
      </c>
      <c r="E22987" s="2">
        <v>1813253</v>
      </c>
      <c r="F22987" s="4" t="str">
        <f>IF(B22987=B22986,"",B22987)</f>
        <v>Lijiang</v>
      </c>
    </row>
    <row r="22988" spans="1:6" ht="15.75" customHeight="1">
      <c r="A22988" s="8" t="str">
        <f ca="1">IFERROR(__xludf.DUMMYFUNCTION("GOOGLETRANSLATE(B26568,""en"",""pt"")"),"Lijiang")</f>
        <v>Lijiang</v>
      </c>
      <c r="B22988" s="11" t="s">
        <v>4894</v>
      </c>
      <c r="C22988" s="11" t="s">
        <v>4487</v>
      </c>
      <c r="D22988" s="11" t="s">
        <v>4607</v>
      </c>
      <c r="E22988" s="10">
        <v>1813253</v>
      </c>
      <c r="F22988" s="4" t="str">
        <f>IF(B22988=B22987,"",B22988)</f>
        <v/>
      </c>
    </row>
    <row r="22989" spans="1:6" ht="15.75" customHeight="1">
      <c r="A22989" s="8" t="str">
        <f ca="1">IFERROR(__xludf.DUMMYFUNCTION("GOOGLETRANSLATE(B29970,""en"",""pt"")"),"Liévin")</f>
        <v>Liévin</v>
      </c>
      <c r="B22989" s="9" t="s">
        <v>32586</v>
      </c>
      <c r="C22989" s="9" t="s">
        <v>7052</v>
      </c>
      <c r="D22989" s="9" t="s">
        <v>7078</v>
      </c>
      <c r="E22989" s="10">
        <v>2998431</v>
      </c>
      <c r="F22989" s="4" t="str">
        <f>IF(B22989=B22988,"",B22989)</f>
        <v>Liévin</v>
      </c>
    </row>
    <row r="22990" spans="1:6" ht="15.75" customHeight="1">
      <c r="A22990" s="15" t="s">
        <v>7008</v>
      </c>
      <c r="B22990" s="15" t="s">
        <v>7009</v>
      </c>
      <c r="C22990" s="15" t="s">
        <v>6948</v>
      </c>
      <c r="D22990" s="15" t="s">
        <v>6983</v>
      </c>
      <c r="E22990" s="2">
        <v>648056</v>
      </c>
      <c r="F22990" s="4" t="str">
        <f>IF(B22990=B22989,"",B22990)</f>
        <v>Lieto</v>
      </c>
    </row>
    <row r="22991" spans="1:6" ht="15.75" customHeight="1">
      <c r="A22991" s="8" t="str">
        <f ca="1">IFERROR(__xludf.DUMMYFUNCTION("GOOGLETRANSLATE(B29627,""en"",""pt"")"),"Mentira")</f>
        <v>Mentira</v>
      </c>
      <c r="B22991" s="9" t="s">
        <v>7009</v>
      </c>
      <c r="C22991" s="9" t="s">
        <v>6948</v>
      </c>
      <c r="D22991" s="9" t="s">
        <v>6983</v>
      </c>
      <c r="E22991" s="10">
        <v>648056</v>
      </c>
      <c r="F22991" s="4" t="str">
        <f>IF(B22991=B22990,"",B22991)</f>
        <v/>
      </c>
    </row>
    <row r="22992" spans="1:6" ht="15.75" customHeight="1">
      <c r="A22992" s="15" t="s">
        <v>1622</v>
      </c>
      <c r="B22992" s="15" t="s">
        <v>1622</v>
      </c>
      <c r="C22992" s="15" t="s">
        <v>1512</v>
      </c>
      <c r="D22992" s="15" t="s">
        <v>1513</v>
      </c>
      <c r="E22992" s="2">
        <v>2792397</v>
      </c>
      <c r="F22992" s="4" t="str">
        <f>IF(B22992=B22991,"",B22992)</f>
        <v>Lier</v>
      </c>
    </row>
    <row r="22993" spans="1:6" ht="15.75" customHeight="1">
      <c r="A22993" s="8" t="str">
        <f ca="1">IFERROR(__xludf.DUMMYFUNCTION("GOOGLETRANSLATE(B23883,""en"",""pt"")"),"Lier")</f>
        <v>Lier</v>
      </c>
      <c r="B22993" s="9" t="s">
        <v>1622</v>
      </c>
      <c r="C22993" s="9" t="s">
        <v>1512</v>
      </c>
      <c r="D22993" s="9" t="s">
        <v>1513</v>
      </c>
      <c r="E22993" s="10">
        <v>2792397</v>
      </c>
      <c r="F22993" s="4" t="str">
        <f>IF(B22993=B22992,"",B22993)</f>
        <v/>
      </c>
    </row>
    <row r="22994" spans="1:6" ht="15.75" customHeight="1">
      <c r="A22994" s="8" t="str">
        <f ca="1">IFERROR(__xludf.DUMMYFUNCTION("GOOGLETRANSLATE(B36406,""en"",""pt"")"),"Liepāja")</f>
        <v>Liepāja</v>
      </c>
      <c r="B22994" s="11" t="s">
        <v>34545</v>
      </c>
      <c r="C22994" s="11" t="s">
        <v>16982</v>
      </c>
      <c r="D22994" s="11" t="s">
        <v>34545</v>
      </c>
      <c r="E22994" s="10">
        <v>457954</v>
      </c>
      <c r="F22994" s="4" t="str">
        <f>IF(B22994=B22993,"",B22994)</f>
        <v>Liepāja</v>
      </c>
    </row>
    <row r="22995" spans="1:6" ht="15.75" customHeight="1">
      <c r="A22995" s="15" t="s">
        <v>16992</v>
      </c>
      <c r="B22995" s="15" t="s">
        <v>16993</v>
      </c>
      <c r="C22995" s="15" t="s">
        <v>16982</v>
      </c>
      <c r="D22995" s="15" t="s">
        <v>16993</v>
      </c>
      <c r="E22995" s="2">
        <v>457954</v>
      </c>
      <c r="F22995" s="4" t="str">
        <f>IF(B22995=B22994,"",B22995)</f>
        <v>LiepÄja</v>
      </c>
    </row>
    <row r="22996" spans="1:6" ht="15.75" customHeight="1">
      <c r="A22996" s="8" t="str">
        <f ca="1">IFERROR(__xludf.DUMMYFUNCTION("GOOGLETRANSLATE(B23884,""en"",""pt"")"),"Liège")</f>
        <v>Liège</v>
      </c>
      <c r="B22996" s="11" t="s">
        <v>31310</v>
      </c>
      <c r="C22996" s="11" t="s">
        <v>1512</v>
      </c>
      <c r="D22996" s="11" t="s">
        <v>1518</v>
      </c>
      <c r="E22996" s="10">
        <v>2792413</v>
      </c>
      <c r="F22996" s="4" t="str">
        <f>IF(B22996=B22995,"",B22996)</f>
        <v>Liège</v>
      </c>
    </row>
    <row r="22997" spans="1:6" ht="15.75" customHeight="1">
      <c r="A22997" s="8" t="str">
        <f ca="1">IFERROR(__xludf.DUMMYFUNCTION("GOOGLETRANSLATE(B39254,""en"",""pt"")"),"Lidzbark Warmiński")</f>
        <v>Lidzbark Warmiński</v>
      </c>
      <c r="B22997" s="9" t="s">
        <v>35108</v>
      </c>
      <c r="C22997" s="9" t="s">
        <v>21064</v>
      </c>
      <c r="D22997" s="9" t="s">
        <v>21131</v>
      </c>
      <c r="E22997" s="10">
        <v>766307</v>
      </c>
      <c r="F22997" s="4" t="str">
        <f>IF(B22997=B22996,"",B22997)</f>
        <v>Lidzbark Warmiński</v>
      </c>
    </row>
    <row r="22998" spans="1:6" ht="15.75" customHeight="1">
      <c r="A22998" s="16" t="s">
        <v>21328</v>
      </c>
      <c r="B22998" s="15" t="s">
        <v>21329</v>
      </c>
      <c r="C22998" s="16" t="s">
        <v>21064</v>
      </c>
      <c r="D22998" s="16" t="s">
        <v>21131</v>
      </c>
      <c r="E22998" s="2">
        <v>766307</v>
      </c>
      <c r="F22998" s="4" t="str">
        <f>IF(B22998=B22997,"",B22998)</f>
        <v>Lidzbark WarmiÅ„ski</v>
      </c>
    </row>
    <row r="22999" spans="1:6" ht="15.75" customHeight="1">
      <c r="A22999" s="16" t="s">
        <v>15223</v>
      </c>
      <c r="B22999" s="15" t="s">
        <v>15223</v>
      </c>
      <c r="C22999" s="16" t="s">
        <v>14891</v>
      </c>
      <c r="D22999" s="16" t="s">
        <v>14904</v>
      </c>
      <c r="E22999" s="2">
        <v>3174741</v>
      </c>
      <c r="F22999" s="4" t="str">
        <f>IF(B22999=B22998,"",B22999)</f>
        <v>Lido di Ostia</v>
      </c>
    </row>
    <row r="23000" spans="1:6" ht="15.75" customHeight="1">
      <c r="A23000" s="8" t="str">
        <f ca="1">IFERROR(__xludf.DUMMYFUNCTION("GOOGLETRANSLATE(B34868,""en"",""pt"")"),"Lido di Ostia")</f>
        <v>Lido di Ostia</v>
      </c>
      <c r="B23000" s="11" t="s">
        <v>15223</v>
      </c>
      <c r="C23000" s="11" t="s">
        <v>14891</v>
      </c>
      <c r="D23000" s="11" t="s">
        <v>14904</v>
      </c>
      <c r="E23000" s="10">
        <v>3174741</v>
      </c>
      <c r="F23000" s="4" t="str">
        <f>IF(B23000=B22999,"",B23000)</f>
        <v/>
      </c>
    </row>
    <row r="23001" spans="1:6" ht="15.75" customHeight="1">
      <c r="A23001" s="15" t="s">
        <v>15222</v>
      </c>
      <c r="B23001" s="15" t="s">
        <v>15222</v>
      </c>
      <c r="C23001" s="15" t="s">
        <v>14891</v>
      </c>
      <c r="D23001" s="15" t="s">
        <v>14892</v>
      </c>
      <c r="E23001" s="2">
        <v>3174748</v>
      </c>
      <c r="F23001" s="4" t="str">
        <f>IF(B23001=B23000,"",B23001)</f>
        <v>Lido</v>
      </c>
    </row>
    <row r="23002" spans="1:6" ht="15.75" customHeight="1">
      <c r="A23002" s="8" t="str">
        <f ca="1">IFERROR(__xludf.DUMMYFUNCTION("GOOGLETRANSLATE(B34869,""en"",""pt"")"),"Lido")</f>
        <v>Lido</v>
      </c>
      <c r="B23002" s="11" t="s">
        <v>15222</v>
      </c>
      <c r="C23002" s="11" t="s">
        <v>14891</v>
      </c>
      <c r="D23002" s="11" t="s">
        <v>14892</v>
      </c>
      <c r="E23002" s="10">
        <v>3174748</v>
      </c>
      <c r="F23002" s="4" t="str">
        <f>IF(B23002=B23001,"",B23002)</f>
        <v/>
      </c>
    </row>
    <row r="23003" spans="1:6" ht="15.75" customHeight="1">
      <c r="A23003" s="8" t="str">
        <f ca="1">IFERROR(__xludf.DUMMYFUNCTION("GOOGLETRANSLATE(B41167,""en"",""pt"")"),"Lidköping")</f>
        <v>Lidköping</v>
      </c>
      <c r="B23003" s="9" t="s">
        <v>35649</v>
      </c>
      <c r="C23003" s="9" t="s">
        <v>25077</v>
      </c>
      <c r="D23003" s="9" t="s">
        <v>35628</v>
      </c>
      <c r="E23003" s="10">
        <v>2696329</v>
      </c>
      <c r="F23003" s="4" t="str">
        <f>IF(B23003=B23002,"",B23003)</f>
        <v>Lidköping</v>
      </c>
    </row>
    <row r="23004" spans="1:6" ht="15.75" customHeight="1">
      <c r="A23004" s="15" t="s">
        <v>25161</v>
      </c>
      <c r="B23004" s="15" t="s">
        <v>25162</v>
      </c>
      <c r="C23004" s="15" t="s">
        <v>25077</v>
      </c>
      <c r="D23004" s="15" t="s">
        <v>25086</v>
      </c>
      <c r="E23004" s="2">
        <v>2696329</v>
      </c>
      <c r="F23004" s="4" t="str">
        <f>IF(B23004=B23003,"",B23004)</f>
        <v>LidkÃ¶ping</v>
      </c>
    </row>
    <row r="23005" spans="1:6" ht="15.75" customHeight="1">
      <c r="A23005" s="8" t="str">
        <f ca="1">IFERROR(__xludf.DUMMYFUNCTION("GOOGLETRANSLATE(B41168,""en"",""pt"")"),"Lidingö")</f>
        <v>Lidingö</v>
      </c>
      <c r="B23005" s="9" t="s">
        <v>35650</v>
      </c>
      <c r="C23005" s="9" t="s">
        <v>25077</v>
      </c>
      <c r="D23005" s="9" t="s">
        <v>25081</v>
      </c>
      <c r="E23005" s="10">
        <v>2696334</v>
      </c>
      <c r="F23005" s="4" t="str">
        <f>IF(B23005=B23004,"",B23005)</f>
        <v>Lidingö</v>
      </c>
    </row>
    <row r="23006" spans="1:6" ht="15.75" customHeight="1">
      <c r="A23006" s="15" t="s">
        <v>25159</v>
      </c>
      <c r="B23006" s="15" t="s">
        <v>25160</v>
      </c>
      <c r="C23006" s="15" t="s">
        <v>25077</v>
      </c>
      <c r="D23006" s="15" t="s">
        <v>25081</v>
      </c>
      <c r="E23006" s="2">
        <v>2696334</v>
      </c>
      <c r="F23006" s="4" t="str">
        <f>IF(B23006=B23005,"",B23006)</f>
        <v>LidingÃ¶</v>
      </c>
    </row>
    <row r="23007" spans="1:6" ht="15.75" customHeight="1">
      <c r="A23007" s="15" t="s">
        <v>1476</v>
      </c>
      <c r="B23007" s="15" t="s">
        <v>1476</v>
      </c>
      <c r="C23007" s="15" t="s">
        <v>1453</v>
      </c>
      <c r="D23007" s="15" t="s">
        <v>1470</v>
      </c>
      <c r="E23007" s="2">
        <v>626081</v>
      </c>
      <c r="F23007" s="4" t="str">
        <f>IF(B23007=B23006,"",B23007)</f>
        <v>Lida</v>
      </c>
    </row>
    <row r="23008" spans="1:6" ht="15.75" customHeight="1">
      <c r="A23008" s="8" t="str">
        <f ca="1">IFERROR(__xludf.DUMMYFUNCTION("GOOGLETRANSLATE(B25399,""en"",""pt"")"),"Lida")</f>
        <v>Lida</v>
      </c>
      <c r="B23008" s="11" t="s">
        <v>1476</v>
      </c>
      <c r="C23008" s="11" t="s">
        <v>1453</v>
      </c>
      <c r="D23008" s="11" t="s">
        <v>1470</v>
      </c>
      <c r="E23008" s="10">
        <v>626081</v>
      </c>
      <c r="F23008" s="4" t="str">
        <f>IF(B23008=B23007,"",B23008)</f>
        <v/>
      </c>
    </row>
    <row r="23009" spans="1:6" ht="15.75" customHeight="1">
      <c r="A23009" s="15" t="s">
        <v>4893</v>
      </c>
      <c r="B23009" s="15" t="s">
        <v>4893</v>
      </c>
      <c r="C23009" s="15" t="s">
        <v>4487</v>
      </c>
      <c r="D23009" s="15" t="s">
        <v>4499</v>
      </c>
      <c r="E23009" s="2">
        <v>1803782</v>
      </c>
      <c r="F23009" s="4" t="str">
        <f>IF(B23009=B23008,"",B23009)</f>
        <v>Lichuan</v>
      </c>
    </row>
    <row r="23010" spans="1:6" ht="15.75" customHeight="1">
      <c r="A23010" s="8" t="str">
        <f ca="1">IFERROR(__xludf.DUMMYFUNCTION("GOOGLETRANSLATE(B26397,""en"",""pt"")"),"Lichuan")</f>
        <v>Lichuan</v>
      </c>
      <c r="B23010" s="11" t="s">
        <v>4893</v>
      </c>
      <c r="C23010" s="11" t="s">
        <v>4487</v>
      </c>
      <c r="D23010" s="11" t="s">
        <v>4499</v>
      </c>
      <c r="E23010" s="10">
        <v>1803782</v>
      </c>
      <c r="F23010" s="4" t="str">
        <f>IF(B23010=B23009,"",B23010)</f>
        <v/>
      </c>
    </row>
    <row r="23011" spans="1:6" ht="15.75" customHeight="1">
      <c r="A23011" s="16" t="s">
        <v>8768</v>
      </c>
      <c r="B23011" s="15" t="s">
        <v>8768</v>
      </c>
      <c r="C23011" s="16" t="s">
        <v>8028</v>
      </c>
      <c r="D23011" s="16" t="s">
        <v>8036</v>
      </c>
      <c r="E23011" s="2">
        <v>2878018</v>
      </c>
      <c r="F23011" s="4" t="str">
        <f>IF(B23011=B23010,"",B23011)</f>
        <v>Lichterfelde</v>
      </c>
    </row>
    <row r="23012" spans="1:6" ht="15.75" customHeight="1">
      <c r="A23012" s="8" t="str">
        <f ca="1">IFERROR(__xludf.DUMMYFUNCTION("GOOGLETRANSLATE(B27819,""en"",""pt"")"),"Lichterfelde")</f>
        <v>Lichterfelde</v>
      </c>
      <c r="B23012" s="11" t="s">
        <v>8768</v>
      </c>
      <c r="C23012" s="11" t="s">
        <v>8028</v>
      </c>
      <c r="D23012" s="11" t="s">
        <v>8036</v>
      </c>
      <c r="E23012" s="10">
        <v>2878018</v>
      </c>
      <c r="F23012" s="4" t="str">
        <f>IF(B23012=B23011,"",B23012)</f>
        <v/>
      </c>
    </row>
    <row r="23013" spans="1:6" ht="15.75" customHeight="1">
      <c r="A23013" s="16" t="s">
        <v>19027</v>
      </c>
      <c r="B23013" s="15" t="s">
        <v>19027</v>
      </c>
      <c r="C23013" s="16" t="s">
        <v>18862</v>
      </c>
      <c r="D23013" s="16" t="s">
        <v>18865</v>
      </c>
      <c r="E23013" s="2">
        <v>2751651</v>
      </c>
      <c r="F23013" s="4" t="str">
        <f>IF(B23013=B23012,"",B23013)</f>
        <v>Lichtenvoorde</v>
      </c>
    </row>
    <row r="23014" spans="1:6" ht="15.75" customHeight="1">
      <c r="A23014" s="8" t="str">
        <f ca="1">IFERROR(__xludf.DUMMYFUNCTION("GOOGLETRANSLATE(B38007,""en"",""pt"")"),"Lichtenvoorde")</f>
        <v>Lichtenvoorde</v>
      </c>
      <c r="B23014" s="11" t="s">
        <v>19027</v>
      </c>
      <c r="C23014" s="11" t="s">
        <v>18862</v>
      </c>
      <c r="D23014" s="11" t="s">
        <v>18865</v>
      </c>
      <c r="E23014" s="10">
        <v>2751651</v>
      </c>
      <c r="F23014" s="4" t="str">
        <f>IF(B23014=B23013,"",B23014)</f>
        <v/>
      </c>
    </row>
    <row r="23015" spans="1:6" ht="15.75" customHeight="1">
      <c r="A23015" s="16" t="s">
        <v>8767</v>
      </c>
      <c r="B23015" s="15" t="s">
        <v>8767</v>
      </c>
      <c r="C23015" s="16" t="s">
        <v>8028</v>
      </c>
      <c r="D23015" s="16" t="s">
        <v>8036</v>
      </c>
      <c r="E23015" s="2">
        <v>2878044</v>
      </c>
      <c r="F23015" s="4" t="str">
        <f>IF(B23015=B23014,"",B23015)</f>
        <v>Lichtenrade</v>
      </c>
    </row>
    <row r="23016" spans="1:6" ht="15.75" customHeight="1">
      <c r="A23016" s="8" t="str">
        <f ca="1">IFERROR(__xludf.DUMMYFUNCTION("GOOGLETRANSLATE(B27820,""en"",""pt"")"),"Lichtenrade")</f>
        <v>Lichtenrade</v>
      </c>
      <c r="B23016" s="11" t="s">
        <v>8767</v>
      </c>
      <c r="C23016" s="11" t="s">
        <v>8028</v>
      </c>
      <c r="D23016" s="11" t="s">
        <v>8036</v>
      </c>
      <c r="E23016" s="10">
        <v>2878044</v>
      </c>
      <c r="F23016" s="4" t="str">
        <f>IF(B23016=B23015,"",B23016)</f>
        <v/>
      </c>
    </row>
    <row r="23017" spans="1:6" ht="15.75" customHeight="1">
      <c r="A23017" s="16" t="s">
        <v>8766</v>
      </c>
      <c r="B23017" s="15" t="s">
        <v>8766</v>
      </c>
      <c r="C23017" s="16" t="s">
        <v>8028</v>
      </c>
      <c r="D23017" s="16" t="s">
        <v>8044</v>
      </c>
      <c r="E23017" s="2">
        <v>2878074</v>
      </c>
      <c r="F23017" s="4" t="str">
        <f>IF(B23017=B23016,"",B23017)</f>
        <v>Lichtenfels</v>
      </c>
    </row>
    <row r="23018" spans="1:6" ht="15.75" customHeight="1">
      <c r="A23018" s="8" t="str">
        <f ca="1">IFERROR(__xludf.DUMMYFUNCTION("GOOGLETRANSLATE(B27821,""en"",""pt"")"),"Lichtenfels")</f>
        <v>Lichtenfels</v>
      </c>
      <c r="B23018" s="11" t="s">
        <v>8766</v>
      </c>
      <c r="C23018" s="11" t="s">
        <v>8028</v>
      </c>
      <c r="D23018" s="11" t="s">
        <v>8044</v>
      </c>
      <c r="E23018" s="10">
        <v>2878074</v>
      </c>
      <c r="F23018" s="4" t="str">
        <f>IF(B23018=B23017,"",B23018)</f>
        <v/>
      </c>
    </row>
    <row r="23019" spans="1:6" ht="15.75" customHeight="1">
      <c r="A23019" s="16" t="s">
        <v>23929</v>
      </c>
      <c r="B23019" s="15" t="s">
        <v>23929</v>
      </c>
      <c r="C23019" s="16" t="s">
        <v>23842</v>
      </c>
      <c r="D23019" s="16" t="s">
        <v>23860</v>
      </c>
      <c r="E23019" s="2">
        <v>982899</v>
      </c>
      <c r="F23019" s="4" t="str">
        <f>IF(B23019=B23018,"",B23019)</f>
        <v>Lichtenburg</v>
      </c>
    </row>
    <row r="23020" spans="1:6" ht="15.75" customHeight="1">
      <c r="A23020" s="8" t="str">
        <f ca="1">IFERROR(__xludf.DUMMYFUNCTION("GOOGLETRANSLATE(B45922,""en"",""pt"")"),"Lichtenburg")</f>
        <v>Lichtenburg</v>
      </c>
      <c r="B23020" s="9" t="s">
        <v>23929</v>
      </c>
      <c r="C23020" s="9" t="s">
        <v>23842</v>
      </c>
      <c r="D23020" s="9" t="s">
        <v>23860</v>
      </c>
      <c r="E23020" s="10">
        <v>982899</v>
      </c>
      <c r="F23020" s="4" t="str">
        <f>IF(B23020=B23019,"",B23020)</f>
        <v/>
      </c>
    </row>
    <row r="23021" spans="1:6" ht="15.75" customHeight="1">
      <c r="A23021" s="16" t="s">
        <v>8765</v>
      </c>
      <c r="B23021" s="15" t="s">
        <v>8765</v>
      </c>
      <c r="C23021" s="16" t="s">
        <v>8028</v>
      </c>
      <c r="D23021" s="16" t="s">
        <v>8036</v>
      </c>
      <c r="E23021" s="2">
        <v>2878102</v>
      </c>
      <c r="F23021" s="4" t="str">
        <f>IF(B23021=B23020,"",B23021)</f>
        <v>Lichtenberg</v>
      </c>
    </row>
    <row r="23022" spans="1:6" ht="15.75" customHeight="1">
      <c r="A23022" s="16" t="str">
        <f ca="1">IFERROR(__xludf.DUMMYFUNCTION("GOOGLETRANSLATE(B27822,""en"",""pt"")"),"Lichtenberg")</f>
        <v>Lichtenberg</v>
      </c>
      <c r="B23022" s="20" t="s">
        <v>8765</v>
      </c>
      <c r="C23022" s="20" t="s">
        <v>8028</v>
      </c>
      <c r="D23022" s="20" t="s">
        <v>8036</v>
      </c>
      <c r="E23022" s="10">
        <v>2878102</v>
      </c>
      <c r="F23022" s="4" t="str">
        <f>IF(B23022=B23021,"",B23022)</f>
        <v/>
      </c>
    </row>
    <row r="23023" spans="1:6" ht="15.75" customHeight="1">
      <c r="A23023" s="15" t="s">
        <v>18674</v>
      </c>
      <c r="B23023" s="15" t="s">
        <v>18674</v>
      </c>
      <c r="C23023" s="15" t="s">
        <v>18655</v>
      </c>
      <c r="D23023" s="15" t="s">
        <v>18667</v>
      </c>
      <c r="E23023" s="2">
        <v>1043893</v>
      </c>
      <c r="F23023" s="4" t="str">
        <f>IF(B23023=B23022,"",B23023)</f>
        <v>Lichinga</v>
      </c>
    </row>
    <row r="23024" spans="1:6" ht="15.75" customHeight="1">
      <c r="A23024" s="16" t="str">
        <f ca="1">IFERROR(__xludf.DUMMYFUNCTION("GOOGLETRANSLATE(B37556,""en"",""pt"")"),"Lichinga")</f>
        <v>Lichinga</v>
      </c>
      <c r="B23024" s="20" t="s">
        <v>18674</v>
      </c>
      <c r="C23024" s="20" t="s">
        <v>18655</v>
      </c>
      <c r="D23024" s="20" t="s">
        <v>18667</v>
      </c>
      <c r="E23024" s="10">
        <v>1043893</v>
      </c>
      <c r="F23024" s="4" t="str">
        <f>IF(B23024=B23023,"",B23024)</f>
        <v/>
      </c>
    </row>
    <row r="23025" spans="1:6" ht="15.75" customHeight="1">
      <c r="A23025" s="15" t="s">
        <v>27495</v>
      </c>
      <c r="B23025" s="15" t="s">
        <v>27495</v>
      </c>
      <c r="C23025" s="15" t="s">
        <v>27234</v>
      </c>
      <c r="D23025" s="15" t="s">
        <v>27241</v>
      </c>
      <c r="E23025" s="2">
        <v>2644531</v>
      </c>
      <c r="F23025" s="4" t="str">
        <f>IF(B23025=B23024,"",B23025)</f>
        <v>Lichfield</v>
      </c>
    </row>
    <row r="23026" spans="1:6" ht="15.75" customHeight="1">
      <c r="A23026" s="16" t="str">
        <f ca="1">IFERROR(__xludf.DUMMYFUNCTION("GOOGLETRANSLATE(B30579,""en"",""pt"")"),"Lichfield")</f>
        <v>Lichfield</v>
      </c>
      <c r="B23026" s="20" t="s">
        <v>27495</v>
      </c>
      <c r="C23026" s="20" t="s">
        <v>27234</v>
      </c>
      <c r="D23026" s="20" t="s">
        <v>27241</v>
      </c>
      <c r="E23026" s="10">
        <v>2644531</v>
      </c>
      <c r="F23026" s="4" t="str">
        <f>IF(B23026=B23025,"",B23026)</f>
        <v/>
      </c>
    </row>
    <row r="23027" spans="1:6" ht="15.75" customHeight="1">
      <c r="A23027" s="15" t="s">
        <v>4892</v>
      </c>
      <c r="B23027" s="15" t="s">
        <v>4892</v>
      </c>
      <c r="C23027" s="15" t="s">
        <v>4487</v>
      </c>
      <c r="D23027" s="15" t="s">
        <v>4535</v>
      </c>
      <c r="E23027" s="2">
        <v>1802788</v>
      </c>
      <c r="F23027" s="4" t="str">
        <f>IF(B23027=B23026,"",B23027)</f>
        <v>Licheng</v>
      </c>
    </row>
    <row r="23028" spans="1:6" ht="15.75" customHeight="1">
      <c r="A23028" s="16" t="str">
        <f ca="1">IFERROR(__xludf.DUMMYFUNCTION("GOOGLETRANSLATE(B26379,""en"",""pt"")"),"Licheng")</f>
        <v>Licheng</v>
      </c>
      <c r="B23028" s="20" t="s">
        <v>4892</v>
      </c>
      <c r="C23028" s="20" t="s">
        <v>4487</v>
      </c>
      <c r="D23028" s="20" t="s">
        <v>4535</v>
      </c>
      <c r="E23028" s="10">
        <v>1802788</v>
      </c>
      <c r="F23028" s="4" t="e">
        <f>IF(B23028=#REF!,"",B23028)</f>
        <v>#REF!</v>
      </c>
    </row>
    <row r="23029" spans="1:6" ht="15.75" customHeight="1">
      <c r="A23029" s="16" t="str">
        <f ca="1">IFERROR(__xludf.DUMMYFUNCTION("GOOGLETRANSLATE(B26398,""en"",""pt"")"),"Licheng")</f>
        <v>Licheng</v>
      </c>
      <c r="B23029" s="20" t="s">
        <v>4892</v>
      </c>
      <c r="C23029" s="20" t="s">
        <v>4487</v>
      </c>
      <c r="D23029" s="20" t="s">
        <v>4492</v>
      </c>
      <c r="E23029" s="10">
        <v>1803791</v>
      </c>
      <c r="F23029" s="4" t="str">
        <f>IF(B23029=B23028,"",B23029)</f>
        <v/>
      </c>
    </row>
    <row r="23030" spans="1:6" ht="15.75" customHeight="1">
      <c r="A23030" s="16" t="str">
        <f ca="1">IFERROR(__xludf.DUMMYFUNCTION("GOOGLETRANSLATE(B37378,""en"",""pt"")"),"Licenciado Benito Juárez (Campo Gobierno)")</f>
        <v>Licenciado Benito Juárez (Campo Gobierno)</v>
      </c>
      <c r="B23030" s="20" t="s">
        <v>34791</v>
      </c>
      <c r="C23030" s="20" t="s">
        <v>17707</v>
      </c>
      <c r="D23030" s="20" t="s">
        <v>17916</v>
      </c>
      <c r="E23030" s="10">
        <v>8858101</v>
      </c>
      <c r="F23030" s="4" t="str">
        <f>IF(B23030=B23029,"",B23030)</f>
        <v>Licenciado Benito Juárez (Campo Gobierno)</v>
      </c>
    </row>
    <row r="23031" spans="1:6" ht="15.75" customHeight="1">
      <c r="A23031" s="16" t="s">
        <v>18052</v>
      </c>
      <c r="B23031" s="15" t="s">
        <v>18053</v>
      </c>
      <c r="C23031" s="16" t="s">
        <v>17707</v>
      </c>
      <c r="D23031" s="16" t="s">
        <v>17916</v>
      </c>
      <c r="E23031" s="2">
        <v>8858101</v>
      </c>
      <c r="F23031" s="4" t="e">
        <f>IF(B23031=#REF!,"",B23031)</f>
        <v>#REF!</v>
      </c>
    </row>
    <row r="23032" spans="1:6" ht="15.75" customHeight="1">
      <c r="A23032" s="15" t="s">
        <v>26619</v>
      </c>
      <c r="B23032" s="15" t="s">
        <v>26620</v>
      </c>
      <c r="C23032" s="15" t="s">
        <v>26201</v>
      </c>
      <c r="D23032" s="15" t="s">
        <v>26254</v>
      </c>
      <c r="E23032" s="2">
        <v>305089</v>
      </c>
      <c r="F23032" s="4" t="e">
        <f>IF(B23032=#REF!,"",B23032)</f>
        <v>#REF!</v>
      </c>
    </row>
    <row r="23033" spans="1:6" ht="15.75" customHeight="1">
      <c r="A23033" s="15" t="s">
        <v>15221</v>
      </c>
      <c r="B23033" s="15" t="s">
        <v>15221</v>
      </c>
      <c r="C23033" s="15" t="s">
        <v>14891</v>
      </c>
      <c r="D23033" s="15" t="s">
        <v>14899</v>
      </c>
      <c r="E23033" s="2">
        <v>2524393</v>
      </c>
      <c r="F23033" s="4" t="e">
        <f>IF(B23033=#REF!,"",B23033)</f>
        <v>#REF!</v>
      </c>
    </row>
    <row r="23034" spans="1:6" ht="15.75" customHeight="1">
      <c r="A23034" s="15" t="s">
        <v>7968</v>
      </c>
      <c r="B23034" s="15" t="s">
        <v>7968</v>
      </c>
      <c r="C23034" s="15" t="s">
        <v>7960</v>
      </c>
      <c r="D23034" s="15" t="s">
        <v>7969</v>
      </c>
      <c r="E23034" s="2">
        <v>2399697</v>
      </c>
      <c r="F23034" s="4" t="e">
        <f>IF(B23034=#REF!,"",B23034)</f>
        <v>#REF!</v>
      </c>
    </row>
    <row r="23035" spans="1:6" ht="15.75" customHeight="1">
      <c r="A23035" s="15" t="s">
        <v>7494</v>
      </c>
      <c r="B23035" s="15" t="s">
        <v>7494</v>
      </c>
      <c r="C23035" s="15" t="s">
        <v>7052</v>
      </c>
      <c r="D23035" s="15" t="s">
        <v>7084</v>
      </c>
      <c r="E23035" s="2">
        <v>2998517</v>
      </c>
      <c r="F23035" s="4" t="e">
        <f>IF(B23035=#REF!,"",B23035)</f>
        <v>#REF!</v>
      </c>
    </row>
    <row r="23036" spans="1:6" ht="15.75" customHeight="1">
      <c r="A23036" s="15" t="s">
        <v>20832</v>
      </c>
      <c r="B23036" s="15" t="s">
        <v>20832</v>
      </c>
      <c r="C23036" s="15" t="s">
        <v>20598</v>
      </c>
      <c r="D23036" s="15" t="s">
        <v>20634</v>
      </c>
      <c r="E23036" s="2">
        <v>1706609</v>
      </c>
      <c r="F23036" s="4" t="str">
        <f>IF(B23036=B23035,"",B23036)</f>
        <v>Libon</v>
      </c>
    </row>
    <row r="23037" spans="1:6" ht="15.75" customHeight="1">
      <c r="A23037" s="16" t="str">
        <f ca="1">IFERROR(__xludf.DUMMYFUNCTION("GOOGLETRANSLATE(B39412,""en"",""pt"")"),"Libiąą")</f>
        <v>Libiąą</v>
      </c>
      <c r="B23037" s="20" t="s">
        <v>35202</v>
      </c>
      <c r="C23037" s="20" t="s">
        <v>21064</v>
      </c>
      <c r="D23037" s="20" t="s">
        <v>21108</v>
      </c>
      <c r="E23037" s="10">
        <v>3093457</v>
      </c>
      <c r="F23037" s="4" t="str">
        <f>IF(B23037=B23036,"",B23037)</f>
        <v>Libiąż</v>
      </c>
    </row>
    <row r="23038" spans="1:6" ht="15.75" customHeight="1">
      <c r="A23038" s="16" t="s">
        <v>21326</v>
      </c>
      <c r="B23038" s="15" t="s">
        <v>21327</v>
      </c>
      <c r="C23038" s="16" t="s">
        <v>21064</v>
      </c>
      <c r="D23038" s="16" t="s">
        <v>21108</v>
      </c>
      <c r="E23038" s="2">
        <v>3093457</v>
      </c>
      <c r="F23038" s="4" t="e">
        <f>IF(B23038=#REF!,"",B23038)</f>
        <v>#REF!</v>
      </c>
    </row>
    <row r="23039" spans="1:6" ht="15.75" customHeight="1">
      <c r="A23039" s="16" t="s">
        <v>29130</v>
      </c>
      <c r="B23039" s="15" t="s">
        <v>29130</v>
      </c>
      <c r="C23039" s="16" t="s">
        <v>27788</v>
      </c>
      <c r="D23039" s="16" t="s">
        <v>27799</v>
      </c>
      <c r="E23039" s="2">
        <v>4899739</v>
      </c>
      <c r="F23039" s="4" t="e">
        <f>IF(B23039=#REF!,"",B23039)</f>
        <v>#REF!</v>
      </c>
    </row>
    <row r="23040" spans="1:6" ht="15.75" customHeight="1">
      <c r="A23040" s="16" t="s">
        <v>29128</v>
      </c>
      <c r="B23040" s="15" t="s">
        <v>29129</v>
      </c>
      <c r="C23040" s="16" t="s">
        <v>27788</v>
      </c>
      <c r="D23040" s="16" t="s">
        <v>27806</v>
      </c>
      <c r="E23040" s="2">
        <v>4395052</v>
      </c>
      <c r="F23040" s="4" t="str">
        <f>IF(B23040=B23039,"",B23040)</f>
        <v>Liberty</v>
      </c>
    </row>
    <row r="23041" spans="1:6" ht="15.75" customHeight="1">
      <c r="A23041" s="16" t="str">
        <f ca="1">IFERROR(__xludf.DUMMYFUNCTION("GOOGLETRANSLATE(B23307,""en"",""pt"")"),"Libertador General San Martín")</f>
        <v>Libertador General San Martín</v>
      </c>
      <c r="B23041" s="20" t="s">
        <v>31201</v>
      </c>
      <c r="C23041" s="20" t="s">
        <v>558</v>
      </c>
      <c r="D23041" s="20" t="s">
        <v>699</v>
      </c>
      <c r="E23041" s="10">
        <v>3846915</v>
      </c>
      <c r="F23041" s="4" t="str">
        <f>IF(B23041=B23040,"",B23041)</f>
        <v>Libertador General San Martín</v>
      </c>
    </row>
    <row r="23042" spans="1:6" ht="15.75" customHeight="1">
      <c r="A23042" s="16" t="s">
        <v>697</v>
      </c>
      <c r="B23042" s="15" t="s">
        <v>698</v>
      </c>
      <c r="C23042" s="16" t="s">
        <v>558</v>
      </c>
      <c r="D23042" s="16" t="s">
        <v>699</v>
      </c>
      <c r="E23042" s="2">
        <v>3846915</v>
      </c>
      <c r="F23042" s="4" t="e">
        <f>IF(B23042=#REF!,"",B23042)</f>
        <v>#REF!</v>
      </c>
    </row>
    <row r="23043" spans="1:6" ht="15.75" customHeight="1">
      <c r="A23043" s="15" t="s">
        <v>20831</v>
      </c>
      <c r="B23043" s="15" t="s">
        <v>20831</v>
      </c>
      <c r="C23043" s="15" t="s">
        <v>20598</v>
      </c>
      <c r="D23043" s="15" t="s">
        <v>20647</v>
      </c>
      <c r="E23043" s="2">
        <v>1706684</v>
      </c>
      <c r="F23043" s="4" t="e">
        <f>IF(B23043=#REF!,"",B23043)</f>
        <v>#REF!</v>
      </c>
    </row>
    <row r="23044" spans="1:6" ht="15.75" customHeight="1">
      <c r="A23044" s="15" t="s">
        <v>5686</v>
      </c>
      <c r="B23044" s="15" t="s">
        <v>5687</v>
      </c>
      <c r="C23044" s="15" t="s">
        <v>5665</v>
      </c>
      <c r="D23044" s="15" t="s">
        <v>5671</v>
      </c>
      <c r="E23044" s="2">
        <v>3623076</v>
      </c>
      <c r="F23044" s="4" t="e">
        <f>IF(B23044=#REF!,"",B23044)</f>
        <v>#REF!</v>
      </c>
    </row>
    <row r="23045" spans="1:6" ht="15.75" customHeight="1">
      <c r="A23045" s="15" t="s">
        <v>6052</v>
      </c>
      <c r="B23045" s="15" t="s">
        <v>6052</v>
      </c>
      <c r="C23045" s="15" t="s">
        <v>5947</v>
      </c>
      <c r="D23045" s="15" t="s">
        <v>5962</v>
      </c>
      <c r="E23045" s="2">
        <v>3071961</v>
      </c>
      <c r="F23045" s="4" t="e">
        <f>IF(B23045=#REF!,"",B23045)</f>
        <v>#REF!</v>
      </c>
    </row>
    <row r="23046" spans="1:6" ht="15.75" customHeight="1">
      <c r="A23046" s="15" t="s">
        <v>29127</v>
      </c>
      <c r="B23046" s="15" t="s">
        <v>29127</v>
      </c>
      <c r="C23046" s="15" t="s">
        <v>27788</v>
      </c>
      <c r="D23046" s="15" t="s">
        <v>28419</v>
      </c>
      <c r="E23046" s="2">
        <v>5445820</v>
      </c>
      <c r="F23046" s="4" t="e">
        <f>IF(B23046=#REF!,"",B23046)</f>
        <v>#REF!</v>
      </c>
    </row>
    <row r="23047" spans="1:6" ht="15.75" customHeight="1">
      <c r="A23047" s="15" t="s">
        <v>6177</v>
      </c>
      <c r="B23047" s="15" t="s">
        <v>6177</v>
      </c>
      <c r="C23047" s="15" t="s">
        <v>6127</v>
      </c>
      <c r="D23047" s="15" t="s">
        <v>6134</v>
      </c>
      <c r="E23047" s="2">
        <v>2313762</v>
      </c>
      <c r="F23047" s="4" t="str">
        <f>IF(B23047=B23046,"",B23047)</f>
        <v>Libenge</v>
      </c>
    </row>
    <row r="23048" spans="1:6" ht="15.75" customHeight="1">
      <c r="A23048" s="16" t="str">
        <f ca="1">IFERROR(__xludf.DUMMYFUNCTION("GOOGLETRANSLATE(B27296,""en"",""pt"")"),"Libeň")</f>
        <v>Libeň</v>
      </c>
      <c r="B23048" s="20" t="s">
        <v>31977</v>
      </c>
      <c r="C23048" s="20" t="s">
        <v>5947</v>
      </c>
      <c r="D23048" s="20" t="s">
        <v>5959</v>
      </c>
      <c r="E23048" s="10">
        <v>3071966</v>
      </c>
      <c r="F23048" s="4" t="str">
        <f>IF(B23048=B23047,"",B23048)</f>
        <v>Libeň</v>
      </c>
    </row>
    <row r="23049" spans="1:6" ht="15.75" customHeight="1">
      <c r="A23049" s="15" t="s">
        <v>6050</v>
      </c>
      <c r="B23049" s="15" t="s">
        <v>6051</v>
      </c>
      <c r="C23049" s="15" t="s">
        <v>5947</v>
      </c>
      <c r="D23049" s="15" t="s">
        <v>5959</v>
      </c>
      <c r="E23049" s="2">
        <v>3071966</v>
      </c>
      <c r="F23049" s="4" t="str">
        <f>IF(B23049=B23048,"",B23049)</f>
        <v>LibeÅˆ</v>
      </c>
    </row>
    <row r="23050" spans="1:6" ht="15.75" customHeight="1">
      <c r="A23050" s="16" t="str">
        <f ca="1">IFERROR(__xludf.DUMMYFUNCTION("GOOGLETRANSLATE(B26953,""en"",""pt"")"),"Líbano")</f>
        <v>Líbano</v>
      </c>
      <c r="B23050" s="20" t="s">
        <v>29107</v>
      </c>
      <c r="C23050" s="20" t="s">
        <v>5348</v>
      </c>
      <c r="D23050" s="20" t="s">
        <v>5422</v>
      </c>
      <c r="E23050" s="10">
        <v>3676604</v>
      </c>
      <c r="F23050" s="4" t="e">
        <f>IF(B23050=#REF!,"",B23050)</f>
        <v>#REF!</v>
      </c>
    </row>
    <row r="23051" spans="1:6" ht="15.75" customHeight="1">
      <c r="A23051" s="16" t="s">
        <v>4891</v>
      </c>
      <c r="B23051" s="15" t="s">
        <v>4891</v>
      </c>
      <c r="C23051" s="16" t="s">
        <v>4487</v>
      </c>
      <c r="D23051" s="16" t="s">
        <v>4505</v>
      </c>
      <c r="E23051" s="2">
        <v>2036106</v>
      </c>
      <c r="F23051" s="4" t="e">
        <f>IF(B23051=#REF!,"",B23051)</f>
        <v>#REF!</v>
      </c>
    </row>
    <row r="23052" spans="1:6" ht="15.75" customHeight="1">
      <c r="A23052" s="15" t="s">
        <v>4890</v>
      </c>
      <c r="B23052" s="15" t="s">
        <v>4890</v>
      </c>
      <c r="C23052" s="15" t="s">
        <v>4487</v>
      </c>
      <c r="D23052" s="15" t="s">
        <v>4518</v>
      </c>
      <c r="E23052" s="2">
        <v>2036109</v>
      </c>
      <c r="F23052" s="4" t="e">
        <f>IF(B23052=#REF!,"",B23052)</f>
        <v>#REF!</v>
      </c>
    </row>
    <row r="23053" spans="1:6" ht="15.75" customHeight="1">
      <c r="A23053" s="15" t="s">
        <v>4889</v>
      </c>
      <c r="B23053" s="15" t="s">
        <v>4889</v>
      </c>
      <c r="C23053" s="15" t="s">
        <v>4487</v>
      </c>
      <c r="D23053" s="15" t="s">
        <v>4505</v>
      </c>
      <c r="E23053" s="2">
        <v>2036113</v>
      </c>
      <c r="F23053" s="4" t="e">
        <f>IF(B23053=#REF!,"",B23053)</f>
        <v>#REF!</v>
      </c>
    </row>
    <row r="23054" spans="1:6" ht="15.75" customHeight="1">
      <c r="A23054" s="16" t="s">
        <v>4888</v>
      </c>
      <c r="B23054" s="15" t="s">
        <v>4888</v>
      </c>
      <c r="C23054" s="16" t="s">
        <v>4487</v>
      </c>
      <c r="D23054" s="16" t="s">
        <v>4503</v>
      </c>
      <c r="E23054" s="2">
        <v>1803834</v>
      </c>
      <c r="F23054" s="4" t="e">
        <f>IF(B23054=#REF!,"",B23054)</f>
        <v>#REF!</v>
      </c>
    </row>
    <row r="23055" spans="1:6" ht="15.75" customHeight="1">
      <c r="A23055" s="15" t="s">
        <v>4887</v>
      </c>
      <c r="B23055" s="15" t="s">
        <v>4887</v>
      </c>
      <c r="C23055" s="15" t="s">
        <v>4487</v>
      </c>
      <c r="D23055" s="15" t="s">
        <v>4492</v>
      </c>
      <c r="E23055" s="2">
        <v>1803841</v>
      </c>
      <c r="F23055" s="4" t="e">
        <f>IF(B23055=#REF!,"",B23055)</f>
        <v>#REF!</v>
      </c>
    </row>
    <row r="23056" spans="1:6" ht="15.75" customHeight="1">
      <c r="A23056" s="15" t="s">
        <v>4886</v>
      </c>
      <c r="B23056" s="15" t="s">
        <v>4886</v>
      </c>
      <c r="C23056" s="15" t="s">
        <v>4487</v>
      </c>
      <c r="D23056" s="15" t="s">
        <v>4495</v>
      </c>
      <c r="E23056" s="2">
        <v>1804451</v>
      </c>
      <c r="F23056" s="4" t="e">
        <f>IF(B23056=#REF!,"",B23056)</f>
        <v>#REF!</v>
      </c>
    </row>
    <row r="23057" spans="1:6" ht="15.75" customHeight="1">
      <c r="A23057" s="15" t="s">
        <v>4885</v>
      </c>
      <c r="B23057" s="15" t="s">
        <v>4885</v>
      </c>
      <c r="C23057" s="15" t="s">
        <v>4487</v>
      </c>
      <c r="D23057" s="15" t="s">
        <v>4505</v>
      </c>
      <c r="E23057" s="2">
        <v>2036434</v>
      </c>
      <c r="F23057" s="4" t="e">
        <f>IF(B23057=#REF!,"",B23057)</f>
        <v>#REF!</v>
      </c>
    </row>
    <row r="23058" spans="1:6" ht="15.75" customHeight="1">
      <c r="A23058" s="15" t="s">
        <v>4884</v>
      </c>
      <c r="B23058" s="15" t="s">
        <v>4884</v>
      </c>
      <c r="C23058" s="15" t="s">
        <v>4487</v>
      </c>
      <c r="D23058" s="15" t="s">
        <v>4607</v>
      </c>
      <c r="E23058" s="2">
        <v>1803886</v>
      </c>
      <c r="F23058" s="4" t="e">
        <f>IF(B23058=#REF!,"",B23058)</f>
        <v>#REF!</v>
      </c>
    </row>
    <row r="23059" spans="1:6" ht="15.75" customHeight="1">
      <c r="A23059" s="16" t="s">
        <v>22679</v>
      </c>
      <c r="B23059" s="15" t="s">
        <v>22680</v>
      </c>
      <c r="C23059" s="16" t="s">
        <v>22070</v>
      </c>
      <c r="D23059" s="16" t="s">
        <v>22127</v>
      </c>
      <c r="E23059" s="2">
        <v>535330</v>
      </c>
      <c r="F23059" s="4" t="e">
        <f>IF(B23059=#REF!,"",B23059)</f>
        <v>#REF!</v>
      </c>
    </row>
    <row r="23060" spans="1:6" ht="15.75" customHeight="1">
      <c r="A23060" s="15" t="s">
        <v>4883</v>
      </c>
      <c r="B23060" s="15" t="s">
        <v>4883</v>
      </c>
      <c r="C23060" s="15" t="s">
        <v>4487</v>
      </c>
      <c r="D23060" s="15" t="s">
        <v>4492</v>
      </c>
      <c r="E23060" s="2">
        <v>1804120</v>
      </c>
      <c r="F23060" s="4" t="e">
        <f>IF(B23060=#REF!,"",B23060)</f>
        <v>#REF!</v>
      </c>
    </row>
    <row r="23061" spans="1:6" ht="15.75" customHeight="1">
      <c r="A23061" s="15" t="s">
        <v>4882</v>
      </c>
      <c r="B23061" s="15" t="s">
        <v>4882</v>
      </c>
      <c r="C23061" s="15" t="s">
        <v>4487</v>
      </c>
      <c r="D23061" s="15" t="s">
        <v>4488</v>
      </c>
      <c r="E23061" s="2">
        <v>2035669</v>
      </c>
      <c r="F23061" s="4" t="e">
        <f>IF(B23061=#REF!,"",B23061)</f>
        <v>#REF!</v>
      </c>
    </row>
    <row r="23062" spans="1:6" ht="15.75" customHeight="1">
      <c r="A23062" s="16" t="s">
        <v>4881</v>
      </c>
      <c r="B23062" s="15" t="s">
        <v>4881</v>
      </c>
      <c r="C23062" s="16" t="s">
        <v>4487</v>
      </c>
      <c r="D23062" s="16" t="s">
        <v>4546</v>
      </c>
      <c r="E23062" s="2">
        <v>1803948</v>
      </c>
      <c r="F23062" s="4" t="e">
        <f>IF(B23062=#REF!,"",B23062)</f>
        <v>#REF!</v>
      </c>
    </row>
    <row r="23063" spans="1:6" ht="15.75" customHeight="1">
      <c r="A23063" s="15" t="s">
        <v>4879</v>
      </c>
      <c r="B23063" s="15" t="s">
        <v>4880</v>
      </c>
      <c r="C23063" s="15" t="s">
        <v>4487</v>
      </c>
      <c r="D23063" s="15" t="s">
        <v>4631</v>
      </c>
      <c r="E23063" s="2">
        <v>1919014</v>
      </c>
      <c r="F23063" s="4" t="str">
        <f>IF(B23063=B23062,"",B23063)</f>
        <v>Lianghu</v>
      </c>
    </row>
    <row r="23064" spans="1:6" ht="15.75" customHeight="1">
      <c r="A23064" s="15" t="s">
        <v>7492</v>
      </c>
      <c r="B23064" s="15" t="s">
        <v>7493</v>
      </c>
      <c r="C23064" s="15" t="s">
        <v>7052</v>
      </c>
      <c r="D23064" s="15" t="s">
        <v>7078</v>
      </c>
      <c r="E23064" s="2">
        <v>2998431</v>
      </c>
      <c r="F23064" s="4" t="str">
        <f>IF(B23064=B23063,"",B23064)</f>
        <v>LiÃ©vin</v>
      </c>
    </row>
    <row r="23065" spans="1:6" ht="15.75" customHeight="1">
      <c r="A23065" s="15" t="s">
        <v>1620</v>
      </c>
      <c r="B23065" s="15" t="s">
        <v>1621</v>
      </c>
      <c r="C23065" s="15" t="s">
        <v>1512</v>
      </c>
      <c r="D23065" s="15" t="s">
        <v>1518</v>
      </c>
      <c r="E23065" s="2">
        <v>2792413</v>
      </c>
      <c r="F23065" s="4" t="e">
        <f>IF(B23065=#REF!,"",B23065)</f>
        <v>#REF!</v>
      </c>
    </row>
    <row r="23066" spans="1:6" ht="15.75" customHeight="1">
      <c r="A23066" s="16" t="s">
        <v>24562</v>
      </c>
      <c r="B23066" s="15" t="s">
        <v>24563</v>
      </c>
      <c r="C23066" s="16" t="s">
        <v>24200</v>
      </c>
      <c r="D23066" s="16" t="s">
        <v>24277</v>
      </c>
      <c r="E23066" s="2">
        <v>3120619</v>
      </c>
      <c r="F23066" s="4" t="e">
        <f>IF(B23066=#REF!,"",B23066)</f>
        <v>#REF!</v>
      </c>
    </row>
    <row r="23067" spans="1:6" ht="15.75" customHeight="1">
      <c r="A23067" s="16" t="s">
        <v>14008</v>
      </c>
      <c r="B23067" s="15" t="s">
        <v>14008</v>
      </c>
      <c r="C23067" s="16" t="s">
        <v>13800</v>
      </c>
      <c r="D23067" s="16" t="s">
        <v>13828</v>
      </c>
      <c r="E23067" s="2">
        <v>1214658</v>
      </c>
      <c r="F23067" s="4" t="str">
        <f>IF(B23067=B23066,"",B23067)</f>
        <v>Lhokseumawe</v>
      </c>
    </row>
    <row r="23068" spans="1:6" ht="15.75" customHeight="1">
      <c r="A23068" s="16" t="str">
        <f ca="1">IFERROR(__xludf.DUMMYFUNCTION("GOOGLETRANSLATE(B29972,""en"",""pt"")"),"L'Haÿ-les-Roses")</f>
        <v>L'Haÿ-les-Roses</v>
      </c>
      <c r="B23068" s="20" t="s">
        <v>32587</v>
      </c>
      <c r="C23068" s="20" t="s">
        <v>7052</v>
      </c>
      <c r="D23068" s="20" t="s">
        <v>32531</v>
      </c>
      <c r="E23068" s="10">
        <v>2998632</v>
      </c>
      <c r="F23068" s="4" t="e">
        <f>IF(B23068=#REF!,"",B23068)</f>
        <v>#REF!</v>
      </c>
    </row>
    <row r="23069" spans="1:6" ht="15.75" customHeight="1">
      <c r="A23069" s="15" t="s">
        <v>4878</v>
      </c>
      <c r="B23069" s="15" t="s">
        <v>4878</v>
      </c>
      <c r="C23069" s="15" t="s">
        <v>4487</v>
      </c>
      <c r="D23069" s="15" t="s">
        <v>4603</v>
      </c>
      <c r="E23069" s="2">
        <v>1280737</v>
      </c>
      <c r="F23069" s="4" t="str">
        <f>IF(B23069=B23068,"",B23069)</f>
        <v>Lhasa</v>
      </c>
    </row>
    <row r="23070" spans="1:6" ht="15.75" customHeight="1">
      <c r="A23070" s="16" t="s">
        <v>7490</v>
      </c>
      <c r="B23070" s="15" t="s">
        <v>7491</v>
      </c>
      <c r="C23070" s="16" t="s">
        <v>7052</v>
      </c>
      <c r="D23070" s="16" t="s">
        <v>7058</v>
      </c>
      <c r="E23070" s="2">
        <v>2998632</v>
      </c>
      <c r="F23070" s="4" t="str">
        <f>IF(B23070=B23069,"",B23070)</f>
        <v>L'HaÃ¿-les-Roses</v>
      </c>
    </row>
    <row r="23071" spans="1:6" ht="15.75" customHeight="1">
      <c r="A23071" s="16" t="str">
        <f ca="1">IFERROR(__xludf.DUMMYFUNCTION("GOOGLETRANSLATE(B23115,""en"",""pt"")"),"Lezhë")</f>
        <v>Lezhë</v>
      </c>
      <c r="B23071" s="20" t="s">
        <v>31152</v>
      </c>
      <c r="C23071" s="20" t="s">
        <v>113</v>
      </c>
      <c r="D23071" s="20" t="s">
        <v>31152</v>
      </c>
      <c r="E23071" s="10">
        <v>3184935</v>
      </c>
      <c r="F23071" s="4" t="str">
        <f>IF(B23071=B23070,"",B23071)</f>
        <v>Lezhë</v>
      </c>
    </row>
    <row r="23072" spans="1:6" ht="15.75" customHeight="1">
      <c r="A23072" s="15" t="s">
        <v>139</v>
      </c>
      <c r="B23072" s="15" t="s">
        <v>138</v>
      </c>
      <c r="C23072" s="15" t="s">
        <v>113</v>
      </c>
      <c r="D23072" s="15" t="s">
        <v>138</v>
      </c>
      <c r="E23072" s="2">
        <v>3184935</v>
      </c>
      <c r="F23072" s="4" t="e">
        <f>IF(B23072=#REF!,"",B23072)</f>
        <v>#REF!</v>
      </c>
    </row>
    <row r="23073" spans="1:6" ht="15.75" customHeight="1">
      <c r="A23073" s="16" t="s">
        <v>18051</v>
      </c>
      <c r="B23073" s="15" t="s">
        <v>18051</v>
      </c>
      <c r="C23073" s="16" t="s">
        <v>17707</v>
      </c>
      <c r="D23073" s="16" t="s">
        <v>17916</v>
      </c>
      <c r="E23073" s="2">
        <v>3976775</v>
      </c>
      <c r="F23073" s="4" t="e">
        <f>IF(B23073=#REF!,"",B23073)</f>
        <v>#REF!</v>
      </c>
    </row>
    <row r="23074" spans="1:6" ht="15.75" customHeight="1">
      <c r="A23074" s="15" t="s">
        <v>27494</v>
      </c>
      <c r="B23074" s="15" t="s">
        <v>27494</v>
      </c>
      <c r="C23074" s="15" t="s">
        <v>27234</v>
      </c>
      <c r="D23074" s="15" t="s">
        <v>27241</v>
      </c>
      <c r="E23074" s="2">
        <v>2644547</v>
      </c>
      <c r="F23074" s="4" t="e">
        <f>IF(B23074=#REF!,"",B23074)</f>
        <v>#REF!</v>
      </c>
    </row>
    <row r="23075" spans="1:6" ht="15.75" customHeight="1">
      <c r="A23075" s="16" t="s">
        <v>29126</v>
      </c>
      <c r="B23075" s="15" t="s">
        <v>29126</v>
      </c>
      <c r="C23075" s="16" t="s">
        <v>27788</v>
      </c>
      <c r="D23075" s="16" t="s">
        <v>27909</v>
      </c>
      <c r="E23075" s="2">
        <v>4297999</v>
      </c>
      <c r="F23075" s="4" t="e">
        <f>IF(B23075=#REF!,"",B23075)</f>
        <v>#REF!</v>
      </c>
    </row>
    <row r="23076" spans="1:6" ht="15.75" customHeight="1">
      <c r="A23076" s="15" t="s">
        <v>29125</v>
      </c>
      <c r="B23076" s="15" t="s">
        <v>29125</v>
      </c>
      <c r="C23076" s="15" t="s">
        <v>27788</v>
      </c>
      <c r="D23076" s="15" t="s">
        <v>27909</v>
      </c>
      <c r="E23076" s="2">
        <v>4297983</v>
      </c>
      <c r="F23076" s="4" t="e">
        <f>IF(B23076=#REF!,"",B23076)</f>
        <v>#REF!</v>
      </c>
    </row>
    <row r="23077" spans="1:6" ht="15.75" customHeight="1">
      <c r="A23077" s="16" t="s">
        <v>29123</v>
      </c>
      <c r="B23077" s="15" t="s">
        <v>29124</v>
      </c>
      <c r="C23077" s="16" t="s">
        <v>27788</v>
      </c>
      <c r="D23077" s="16" t="s">
        <v>28059</v>
      </c>
      <c r="E23077" s="2">
        <v>5598542</v>
      </c>
      <c r="F23077" s="4" t="e">
        <f>IF(B23077=#REF!,"",B23077)</f>
        <v>#REF!</v>
      </c>
    </row>
    <row r="23078" spans="1:6" ht="15.75" customHeight="1">
      <c r="A23078" s="15" t="s">
        <v>29122</v>
      </c>
      <c r="B23078" s="15" t="s">
        <v>29122</v>
      </c>
      <c r="C23078" s="15" t="s">
        <v>27788</v>
      </c>
      <c r="D23078" s="15" t="s">
        <v>27920</v>
      </c>
      <c r="E23078" s="2">
        <v>4969398</v>
      </c>
      <c r="F23078" s="4" t="e">
        <f>IF(B23078=#REF!,"",B23078)</f>
        <v>#REF!</v>
      </c>
    </row>
    <row r="23079" spans="1:6" ht="15.75" customHeight="1">
      <c r="A23079" s="15" t="s">
        <v>27493</v>
      </c>
      <c r="B23079" s="15" t="s">
        <v>27493</v>
      </c>
      <c r="C23079" s="15" t="s">
        <v>27234</v>
      </c>
      <c r="D23079" s="15" t="s">
        <v>27241</v>
      </c>
      <c r="E23079" s="2">
        <v>2644559</v>
      </c>
      <c r="F23079" s="4" t="e">
        <f>IF(B23079=#REF!,"",B23079)</f>
        <v>#REF!</v>
      </c>
    </row>
    <row r="23080" spans="1:6" ht="15.75" customHeight="1">
      <c r="A23080" s="16" t="s">
        <v>22678</v>
      </c>
      <c r="B23080" s="15" t="s">
        <v>22678</v>
      </c>
      <c r="C23080" s="16" t="s">
        <v>22070</v>
      </c>
      <c r="D23080" s="16" t="s">
        <v>22119</v>
      </c>
      <c r="E23080" s="2">
        <v>583589</v>
      </c>
      <c r="F23080" s="4" t="e">
        <f>IF(B23080=#REF!,"",B23080)</f>
        <v>#REF!</v>
      </c>
    </row>
    <row r="23081" spans="1:6" ht="15.75" customHeight="1">
      <c r="A23081" s="16" t="s">
        <v>22677</v>
      </c>
      <c r="B23081" s="15" t="s">
        <v>22677</v>
      </c>
      <c r="C23081" s="16" t="s">
        <v>22070</v>
      </c>
      <c r="D23081" s="16" t="s">
        <v>22119</v>
      </c>
      <c r="E23081" s="2">
        <v>535451</v>
      </c>
      <c r="F23081" s="4" t="e">
        <f>IF(B23081=#REF!,"",B23081)</f>
        <v>#REF!</v>
      </c>
    </row>
    <row r="23082" spans="1:6" ht="15.75" customHeight="1">
      <c r="A23082" s="15" t="s">
        <v>21765</v>
      </c>
      <c r="B23082" s="15" t="s">
        <v>21765</v>
      </c>
      <c r="C23082" s="15" t="s">
        <v>747</v>
      </c>
      <c r="D23082" s="15" t="s">
        <v>21756</v>
      </c>
      <c r="E23082" s="2">
        <v>4566002</v>
      </c>
      <c r="F23082" s="4" t="str">
        <f>IF(B23082=B23081,"",B23082)</f>
        <v>Levittown</v>
      </c>
    </row>
    <row r="23083" spans="1:6" ht="15.75" customHeight="1">
      <c r="A23083" s="16" t="str">
        <f ca="1">IFERROR(__xludf.DUMMYFUNCTION("GOOGLETRANSLATE(B25623,""en"",""pt"")"),"Lévis")</f>
        <v>Lévis</v>
      </c>
      <c r="B23083" s="20" t="s">
        <v>31761</v>
      </c>
      <c r="C23083" s="20" t="s">
        <v>3975</v>
      </c>
      <c r="D23083" s="20" t="s">
        <v>3982</v>
      </c>
      <c r="E23083" s="10">
        <v>6325521</v>
      </c>
      <c r="F23083" s="4" t="e">
        <f>IF(B23083=#REF!,"",B23083)</f>
        <v>#REF!</v>
      </c>
    </row>
    <row r="23084" spans="1:6" ht="15.75" customHeight="1">
      <c r="A23084" s="15" t="s">
        <v>19183</v>
      </c>
      <c r="B23084" s="15" t="s">
        <v>19184</v>
      </c>
      <c r="C23084" s="15" t="s">
        <v>19169</v>
      </c>
      <c r="D23084" s="15" t="s">
        <v>19185</v>
      </c>
      <c r="E23084" s="2">
        <v>2206371</v>
      </c>
      <c r="F23084" s="4" t="e">
        <f>IF(B23084=#REF!,"",B23084)</f>
        <v>#REF!</v>
      </c>
    </row>
    <row r="23085" spans="1:6" ht="15.75" customHeight="1">
      <c r="A23085" s="15" t="s">
        <v>23733</v>
      </c>
      <c r="B23085" s="15" t="s">
        <v>23733</v>
      </c>
      <c r="C23085" s="15" t="s">
        <v>23694</v>
      </c>
      <c r="D23085" s="15" t="s">
        <v>23715</v>
      </c>
      <c r="E23085" s="2">
        <v>3059101</v>
      </c>
      <c r="F23085" s="4" t="e">
        <f>IF(B23085=#REF!,"",B23085)</f>
        <v>#REF!</v>
      </c>
    </row>
    <row r="23086" spans="1:6" ht="15.75" customHeight="1">
      <c r="A23086" s="16" t="s">
        <v>8764</v>
      </c>
      <c r="B23086" s="15" t="s">
        <v>8764</v>
      </c>
      <c r="C23086" s="16" t="s">
        <v>8028</v>
      </c>
      <c r="D23086" s="16" t="s">
        <v>8029</v>
      </c>
      <c r="E23086" s="2">
        <v>2878234</v>
      </c>
      <c r="F23086" s="4" t="e">
        <f>IF(B23086=#REF!,"",B23086)</f>
        <v>#REF!</v>
      </c>
    </row>
    <row r="23087" spans="1:6" ht="15.75" customHeight="1">
      <c r="A23087" s="16" t="s">
        <v>7489</v>
      </c>
      <c r="B23087" s="15" t="s">
        <v>7489</v>
      </c>
      <c r="C23087" s="16" t="s">
        <v>7052</v>
      </c>
      <c r="D23087" s="16" t="s">
        <v>7058</v>
      </c>
      <c r="E23087" s="2">
        <v>2998975</v>
      </c>
      <c r="F23087" s="4" t="e">
        <f>IF(B23087=#REF!,"",B23087)</f>
        <v>#REF!</v>
      </c>
    </row>
    <row r="23088" spans="1:6" ht="15.75" customHeight="1">
      <c r="A23088" s="15" t="s">
        <v>1619</v>
      </c>
      <c r="B23088" s="15" t="s">
        <v>1619</v>
      </c>
      <c r="C23088" s="15" t="s">
        <v>1512</v>
      </c>
      <c r="D23088" s="15" t="s">
        <v>1513</v>
      </c>
      <c r="E23088" s="2">
        <v>2792482</v>
      </c>
      <c r="F23088" s="4" t="str">
        <f>IF(B23088=B23087,"",B23088)</f>
        <v>Leuven</v>
      </c>
    </row>
    <row r="23089" spans="1:6" ht="15.75" customHeight="1">
      <c r="A23089" s="16" t="str">
        <f ca="1">IFERROR(__xludf.DUMMYFUNCTION("GOOGLETRANSLATE(B27824,""en"",""pt"")"),"Leutkirch im Allgäu")</f>
        <v>Leutkirch im Allgäu</v>
      </c>
      <c r="B23089" s="20" t="s">
        <v>8762</v>
      </c>
      <c r="C23089" s="20" t="s">
        <v>8028</v>
      </c>
      <c r="D23089" s="20" t="s">
        <v>32013</v>
      </c>
      <c r="E23089" s="10">
        <v>2878270</v>
      </c>
      <c r="F23089" s="4" t="str">
        <f>IF(B23089=B23088,"",B23089)</f>
        <v>Leutkirch im Allgäu</v>
      </c>
    </row>
    <row r="23090" spans="1:6" ht="15.75" customHeight="1">
      <c r="A23090" s="16" t="s">
        <v>8762</v>
      </c>
      <c r="B23090" s="15" t="s">
        <v>8763</v>
      </c>
      <c r="C23090" s="16" t="s">
        <v>8028</v>
      </c>
      <c r="D23090" s="16" t="s">
        <v>8031</v>
      </c>
      <c r="E23090" s="2">
        <v>2878270</v>
      </c>
      <c r="F23090" s="4" t="e">
        <f>IF(B23090=#REF!,"",B23090)</f>
        <v>#REF!</v>
      </c>
    </row>
    <row r="23091" spans="1:6" ht="15.75" customHeight="1">
      <c r="A23091" s="15" t="s">
        <v>19026</v>
      </c>
      <c r="B23091" s="15" t="s">
        <v>19026</v>
      </c>
      <c r="C23091" s="15" t="s">
        <v>18862</v>
      </c>
      <c r="D23091" s="15" t="s">
        <v>18877</v>
      </c>
      <c r="E23091" s="2">
        <v>2751687</v>
      </c>
      <c r="F23091" s="4" t="e">
        <f>IF(B23091=#REF!,"",B23091)</f>
        <v>#REF!</v>
      </c>
    </row>
    <row r="23092" spans="1:6" ht="15.75" customHeight="1">
      <c r="A23092" s="16" t="s">
        <v>14752</v>
      </c>
      <c r="B23092" s="15" t="s">
        <v>14752</v>
      </c>
      <c r="C23092" s="16" t="s">
        <v>14728</v>
      </c>
      <c r="D23092" s="16" t="s">
        <v>14753</v>
      </c>
      <c r="E23092" s="2">
        <v>2962961</v>
      </c>
      <c r="F23092" s="4" t="e">
        <f>IF(B23092=#REF!,"",B23092)</f>
        <v>#REF!</v>
      </c>
    </row>
    <row r="23093" spans="1:6" ht="15.75" customHeight="1">
      <c r="A23093" s="16" t="s">
        <v>18721</v>
      </c>
      <c r="B23093" s="15" t="s">
        <v>18721</v>
      </c>
      <c r="C23093" s="16" t="s">
        <v>18696</v>
      </c>
      <c r="D23093" s="16" t="s">
        <v>18695</v>
      </c>
      <c r="E23093" s="2">
        <v>1314042</v>
      </c>
      <c r="F23093" s="4" t="str">
        <f>IF(B23093=B23092,"",B23093)</f>
        <v>Letpandan</v>
      </c>
    </row>
    <row r="23094" spans="1:6" ht="15.75" customHeight="1">
      <c r="A23094" s="16" t="str">
        <f ca="1">IFERROR(__xludf.DUMMYFUNCTION("GOOGLETRANSLATE(B27297,""en"",""pt"")"),"Letňany")</f>
        <v>Letňany</v>
      </c>
      <c r="B23094" s="20" t="s">
        <v>31978</v>
      </c>
      <c r="C23094" s="20" t="s">
        <v>5947</v>
      </c>
      <c r="D23094" s="20" t="s">
        <v>5959</v>
      </c>
      <c r="E23094" s="10">
        <v>3072137</v>
      </c>
      <c r="F23094" s="4" t="e">
        <f>IF(B23094=#REF!,"",B23094)</f>
        <v>#REF!</v>
      </c>
    </row>
    <row r="23095" spans="1:6" ht="15.75" customHeight="1">
      <c r="A23095" s="16" t="s">
        <v>1885</v>
      </c>
      <c r="B23095" s="15" t="s">
        <v>1885</v>
      </c>
      <c r="C23095" s="16" t="s">
        <v>1878</v>
      </c>
      <c r="D23095" s="16" t="s">
        <v>1886</v>
      </c>
      <c r="E23095" s="2">
        <v>933535</v>
      </c>
      <c r="F23095" s="4" t="e">
        <f>IF(B23095=#REF!,"",B23095)</f>
        <v>#REF!</v>
      </c>
    </row>
    <row r="23096" spans="1:6" ht="15.75" customHeight="1">
      <c r="A23096" s="15" t="s">
        <v>5506</v>
      </c>
      <c r="B23096" s="15" t="s">
        <v>5506</v>
      </c>
      <c r="C23096" s="15" t="s">
        <v>5348</v>
      </c>
      <c r="D23096" s="15" t="s">
        <v>2287</v>
      </c>
      <c r="E23096" s="2">
        <v>3676623</v>
      </c>
      <c r="F23096" s="4" t="e">
        <f>IF(B23096=#REF!,"",B23096)</f>
        <v>#REF!</v>
      </c>
    </row>
    <row r="23097" spans="1:6" ht="15.75" customHeight="1">
      <c r="A23097" s="16" t="s">
        <v>4085</v>
      </c>
      <c r="B23097" s="15" t="s">
        <v>4085</v>
      </c>
      <c r="C23097" s="16" t="s">
        <v>3975</v>
      </c>
      <c r="D23097" s="16" t="s">
        <v>3978</v>
      </c>
      <c r="E23097" s="2">
        <v>6053154</v>
      </c>
      <c r="F23097" s="4" t="e">
        <f>IF(B23097=#REF!,"",B23097)</f>
        <v>#REF!</v>
      </c>
    </row>
    <row r="23098" spans="1:6" ht="15.75" customHeight="1">
      <c r="A23098" s="15" t="s">
        <v>12157</v>
      </c>
      <c r="B23098" s="15" t="s">
        <v>12158</v>
      </c>
      <c r="C23098" s="15" t="s">
        <v>10178</v>
      </c>
      <c r="D23098" s="15" t="s">
        <v>10219</v>
      </c>
      <c r="E23098" s="2">
        <v>1264949</v>
      </c>
      <c r="F23098" s="4" t="e">
        <f>IF(B23098=#REF!,"",B23098)</f>
        <v>#REF!</v>
      </c>
    </row>
    <row r="23099" spans="1:6" ht="15.75" customHeight="1">
      <c r="A23099" s="16" t="s">
        <v>27492</v>
      </c>
      <c r="B23099" s="15" t="s">
        <v>27492</v>
      </c>
      <c r="C23099" s="16" t="s">
        <v>27234</v>
      </c>
      <c r="D23099" s="16" t="s">
        <v>27241</v>
      </c>
      <c r="E23099" s="2">
        <v>8224216</v>
      </c>
      <c r="F23099" s="4" t="e">
        <f>IF(B23099=#REF!,"",B23099)</f>
        <v>#REF!</v>
      </c>
    </row>
    <row r="23100" spans="1:6" ht="15.75" customHeight="1">
      <c r="A23100" s="16" t="s">
        <v>27491</v>
      </c>
      <c r="B23100" s="15" t="s">
        <v>27491</v>
      </c>
      <c r="C23100" s="16" t="s">
        <v>27234</v>
      </c>
      <c r="D23100" s="16" t="s">
        <v>27241</v>
      </c>
      <c r="E23100" s="2">
        <v>2644597</v>
      </c>
      <c r="F23100" s="4" t="str">
        <f>IF(B23100=B23099,"",B23100)</f>
        <v>Letchworth</v>
      </c>
    </row>
    <row r="23101" spans="1:6" ht="15.75" customHeight="1">
      <c r="A23101" s="15" t="s">
        <v>6048</v>
      </c>
      <c r="B23101" s="15" t="s">
        <v>6049</v>
      </c>
      <c r="C23101" s="15" t="s">
        <v>5947</v>
      </c>
      <c r="D23101" s="15" t="s">
        <v>5959</v>
      </c>
      <c r="E23101" s="2">
        <v>3072137</v>
      </c>
      <c r="F23101" s="4" t="e">
        <f>IF(B23101=#REF!,"",B23101)</f>
        <v>#REF!</v>
      </c>
    </row>
    <row r="23102" spans="1:6" ht="15.75" customHeight="1">
      <c r="A23102" s="15" t="s">
        <v>21325</v>
      </c>
      <c r="B23102" s="15" t="s">
        <v>21325</v>
      </c>
      <c r="C23102" s="15" t="s">
        <v>21064</v>
      </c>
      <c r="D23102" s="15" t="s">
        <v>21112</v>
      </c>
      <c r="E23102" s="2">
        <v>3093524</v>
      </c>
      <c r="F23102" s="4" t="e">
        <f>IF(B23102=#REF!,"",B23102)</f>
        <v>#REF!</v>
      </c>
    </row>
    <row r="23103" spans="1:6" ht="15.75" customHeight="1">
      <c r="A23103" s="15" t="s">
        <v>1618</v>
      </c>
      <c r="B23103" s="15" t="s">
        <v>1618</v>
      </c>
      <c r="C23103" s="15" t="s">
        <v>1512</v>
      </c>
      <c r="D23103" s="15" t="s">
        <v>1518</v>
      </c>
      <c r="E23103" s="2">
        <v>2792567</v>
      </c>
      <c r="F23103" s="4" t="e">
        <f>IF(B23103=#REF!,"",B23103)</f>
        <v>#REF!</v>
      </c>
    </row>
    <row r="23104" spans="1:6" ht="15.75" customHeight="1">
      <c r="A23104" s="16" t="s">
        <v>22676</v>
      </c>
      <c r="B23104" s="15" t="s">
        <v>22676</v>
      </c>
      <c r="C23104" s="16" t="s">
        <v>22070</v>
      </c>
      <c r="D23104" s="16" t="s">
        <v>22154</v>
      </c>
      <c r="E23104" s="2">
        <v>2020812</v>
      </c>
      <c r="F23104" s="4" t="e">
        <f>IF(B23104=#REF!,"",B23104)</f>
        <v>#REF!</v>
      </c>
    </row>
    <row r="23105" spans="1:6" ht="15.75" customHeight="1">
      <c r="A23105" s="16" t="s">
        <v>22675</v>
      </c>
      <c r="B23105" s="15" t="s">
        <v>22675</v>
      </c>
      <c r="C23105" s="16" t="s">
        <v>22070</v>
      </c>
      <c r="D23105" s="16" t="s">
        <v>22079</v>
      </c>
      <c r="E23105" s="2">
        <v>1500607</v>
      </c>
      <c r="F23105" s="4" t="e">
        <f>IF(B23105=#REF!,"",B23105)</f>
        <v>#REF!</v>
      </c>
    </row>
    <row r="23106" spans="1:6" ht="15.75" customHeight="1">
      <c r="A23106" s="15" t="s">
        <v>22674</v>
      </c>
      <c r="B23106" s="15" t="s">
        <v>22674</v>
      </c>
      <c r="C23106" s="15" t="s">
        <v>22070</v>
      </c>
      <c r="D23106" s="15" t="s">
        <v>22106</v>
      </c>
      <c r="E23106" s="2">
        <v>829005</v>
      </c>
      <c r="F23106" s="4" t="e">
        <f>IF(B23106=#REF!,"",B23106)</f>
        <v>#REF!</v>
      </c>
    </row>
    <row r="23107" spans="1:6" ht="15.75" customHeight="1">
      <c r="A23107" s="15" t="s">
        <v>23633</v>
      </c>
      <c r="B23107" s="15" t="s">
        <v>23633</v>
      </c>
      <c r="C23107" s="15" t="s">
        <v>23602</v>
      </c>
      <c r="D23107" s="15" t="s">
        <v>23603</v>
      </c>
      <c r="E23107" s="2">
        <v>788709</v>
      </c>
      <c r="F23107" s="4" t="e">
        <f>IF(B23107=#REF!,"",B23107)</f>
        <v>#REF!</v>
      </c>
    </row>
    <row r="23108" spans="1:6" ht="15.75" customHeight="1">
      <c r="A23108" s="15" t="s">
        <v>4877</v>
      </c>
      <c r="B23108" s="15" t="s">
        <v>4877</v>
      </c>
      <c r="C23108" s="15" t="s">
        <v>4487</v>
      </c>
      <c r="D23108" s="15" t="s">
        <v>4588</v>
      </c>
      <c r="E23108" s="2">
        <v>1804153</v>
      </c>
      <c r="F23108" s="4" t="e">
        <f>IF(B23108=#REF!,"",B23108)</f>
        <v>#REF!</v>
      </c>
    </row>
    <row r="23109" spans="1:6" ht="15.75" customHeight="1">
      <c r="A23109" s="15" t="s">
        <v>7488</v>
      </c>
      <c r="B23109" s="15" t="s">
        <v>7488</v>
      </c>
      <c r="C23109" s="15" t="s">
        <v>7052</v>
      </c>
      <c r="D23109" s="15" t="s">
        <v>7058</v>
      </c>
      <c r="E23109" s="2">
        <v>6615536</v>
      </c>
      <c r="F23109" s="4" t="e">
        <f>IF(B23109=#REF!,"",B23109)</f>
        <v>#REF!</v>
      </c>
    </row>
    <row r="23110" spans="1:6" ht="15.75" customHeight="1">
      <c r="A23110" s="16" t="s">
        <v>7486</v>
      </c>
      <c r="B23110" s="15" t="s">
        <v>7487</v>
      </c>
      <c r="C23110" s="16" t="s">
        <v>7052</v>
      </c>
      <c r="D23110" s="16" t="s">
        <v>7102</v>
      </c>
      <c r="E23110" s="2">
        <v>2999683</v>
      </c>
      <c r="F23110" s="4" t="e">
        <f>IF(B23110=#REF!,"",B23110)</f>
        <v>#REF!</v>
      </c>
    </row>
    <row r="23111" spans="1:6" ht="15.75" customHeight="1">
      <c r="A23111" s="16" t="s">
        <v>7485</v>
      </c>
      <c r="B23111" s="15" t="s">
        <v>7485</v>
      </c>
      <c r="C23111" s="16" t="s">
        <v>7052</v>
      </c>
      <c r="D23111" s="16" t="s">
        <v>7087</v>
      </c>
      <c r="E23111" s="2">
        <v>3000047</v>
      </c>
      <c r="F23111" s="4" t="e">
        <f>IF(B23111=#REF!,"",B23111)</f>
        <v>#REF!</v>
      </c>
    </row>
    <row r="23112" spans="1:6" ht="15.75" customHeight="1">
      <c r="A23112" s="16" t="s">
        <v>7483</v>
      </c>
      <c r="B23112" s="15" t="s">
        <v>7484</v>
      </c>
      <c r="C23112" s="16" t="s">
        <v>7052</v>
      </c>
      <c r="D23112" s="16" t="s">
        <v>7058</v>
      </c>
      <c r="E23112" s="2">
        <v>3000060</v>
      </c>
      <c r="F23112" s="4" t="e">
        <f>IF(B23112=#REF!,"",B23112)</f>
        <v>#REF!</v>
      </c>
    </row>
    <row r="23113" spans="1:6" ht="15.75" customHeight="1">
      <c r="A23113" s="16" t="s">
        <v>7482</v>
      </c>
      <c r="B23113" s="15" t="s">
        <v>7482</v>
      </c>
      <c r="C23113" s="16" t="s">
        <v>7052</v>
      </c>
      <c r="D23113" s="16" t="s">
        <v>7058</v>
      </c>
      <c r="E23113" s="2">
        <v>3000192</v>
      </c>
      <c r="F23113" s="4" t="e">
        <f>IF(B23113=#REF!,"",B23113)</f>
        <v>#REF!</v>
      </c>
    </row>
    <row r="23114" spans="1:6" ht="15.75" customHeight="1">
      <c r="A23114" s="15" t="s">
        <v>7481</v>
      </c>
      <c r="B23114" s="15" t="s">
        <v>7481</v>
      </c>
      <c r="C23114" s="15" t="s">
        <v>7052</v>
      </c>
      <c r="D23114" s="15" t="s">
        <v>7058</v>
      </c>
      <c r="E23114" s="2">
        <v>3000491</v>
      </c>
      <c r="F23114" s="4" t="e">
        <f>IF(B23114=#REF!,"",B23114)</f>
        <v>#REF!</v>
      </c>
    </row>
    <row r="23115" spans="1:6" ht="15.75" customHeight="1">
      <c r="A23115" s="16" t="s">
        <v>7480</v>
      </c>
      <c r="B23115" s="15" t="s">
        <v>7480</v>
      </c>
      <c r="C23115" s="16" t="s">
        <v>7052</v>
      </c>
      <c r="D23115" s="16" t="s">
        <v>7102</v>
      </c>
      <c r="E23115" s="2">
        <v>3000648</v>
      </c>
      <c r="F23115" s="4" t="e">
        <f>IF(B23115=#REF!,"",B23115)</f>
        <v>#REF!</v>
      </c>
    </row>
    <row r="23116" spans="1:6" ht="15.75" customHeight="1">
      <c r="A23116" s="16" t="s">
        <v>503</v>
      </c>
      <c r="B23116" s="15" t="s">
        <v>504</v>
      </c>
      <c r="C23116" s="16" t="s">
        <v>502</v>
      </c>
      <c r="D23116" s="16" t="s">
        <v>505</v>
      </c>
      <c r="E23116" s="2">
        <v>3040051</v>
      </c>
      <c r="F23116" s="4" t="e">
        <f>IF(B23116=#REF!,"",B23116)</f>
        <v>#REF!</v>
      </c>
    </row>
    <row r="23117" spans="1:6" ht="15.75" customHeight="1">
      <c r="A23117" s="15" t="s">
        <v>24560</v>
      </c>
      <c r="B23117" s="15" t="s">
        <v>24561</v>
      </c>
      <c r="C23117" s="15" t="s">
        <v>24200</v>
      </c>
      <c r="D23117" s="15" t="s">
        <v>24277</v>
      </c>
      <c r="E23117" s="2">
        <v>6544101</v>
      </c>
      <c r="F23117" s="4" t="e">
        <f>IF(B23117=#REF!,"",B23117)</f>
        <v>#REF!</v>
      </c>
    </row>
    <row r="23118" spans="1:6" ht="15.75" customHeight="1">
      <c r="A23118" s="16" t="s">
        <v>7478</v>
      </c>
      <c r="B23118" s="15" t="s">
        <v>7479</v>
      </c>
      <c r="C23118" s="16" t="s">
        <v>7052</v>
      </c>
      <c r="D23118" s="16" t="s">
        <v>7058</v>
      </c>
      <c r="E23118" s="2">
        <v>3001402</v>
      </c>
      <c r="F23118" s="4" t="e">
        <f>IF(B23118=#REF!,"",B23118)</f>
        <v>#REF!</v>
      </c>
    </row>
    <row r="23119" spans="1:6" ht="15.75" customHeight="1">
      <c r="A23119" s="15" t="s">
        <v>9889</v>
      </c>
      <c r="B23119" s="15" t="s">
        <v>9889</v>
      </c>
      <c r="C23119" s="15" t="s">
        <v>9866</v>
      </c>
      <c r="D23119" s="15" t="s">
        <v>9890</v>
      </c>
      <c r="E23119" s="2">
        <v>3728097</v>
      </c>
      <c r="F23119" s="4" t="e">
        <f>IF(B23119=#REF!,"",B23119)</f>
        <v>#REF!</v>
      </c>
    </row>
    <row r="23120" spans="1:6" ht="15.75" customHeight="1">
      <c r="A23120" s="16" t="s">
        <v>9676</v>
      </c>
      <c r="B23120" s="15" t="s">
        <v>9676</v>
      </c>
      <c r="C23120" s="16" t="s">
        <v>9670</v>
      </c>
      <c r="D23120" s="16" t="s">
        <v>9670</v>
      </c>
      <c r="E23120" s="2">
        <v>3578959</v>
      </c>
      <c r="F23120" s="4" t="e">
        <f>IF(B23120=#REF!,"",B23120)</f>
        <v>#REF!</v>
      </c>
    </row>
    <row r="23121" spans="1:6" ht="15.75" customHeight="1">
      <c r="A23121" s="15" t="s">
        <v>25158</v>
      </c>
      <c r="B23121" s="15" t="s">
        <v>25158</v>
      </c>
      <c r="C23121" s="15" t="s">
        <v>25077</v>
      </c>
      <c r="D23121" s="15" t="s">
        <v>25086</v>
      </c>
      <c r="E23121" s="2">
        <v>2696503</v>
      </c>
      <c r="F23121" s="4" t="e">
        <f>IF(B23121=#REF!,"",B23121)</f>
        <v>#REF!</v>
      </c>
    </row>
    <row r="23122" spans="1:6" ht="15.75" customHeight="1">
      <c r="A23122" s="16" t="s">
        <v>22672</v>
      </c>
      <c r="B23122" s="15" t="s">
        <v>22673</v>
      </c>
      <c r="C23122" s="16" t="s">
        <v>22070</v>
      </c>
      <c r="D23122" s="16" t="s">
        <v>22117</v>
      </c>
      <c r="E23122" s="2">
        <v>535886</v>
      </c>
      <c r="F23122" s="4" t="e">
        <f>IF(B23122=#REF!,"",B23122)</f>
        <v>#REF!</v>
      </c>
    </row>
    <row r="23123" spans="1:6" ht="15.75" customHeight="1">
      <c r="A23123" s="16" t="s">
        <v>18050</v>
      </c>
      <c r="B23123" s="15" t="s">
        <v>18050</v>
      </c>
      <c r="C23123" s="16" t="s">
        <v>17707</v>
      </c>
      <c r="D23123" s="16" t="s">
        <v>17780</v>
      </c>
      <c r="E23123" s="2">
        <v>3524389</v>
      </c>
      <c r="F23123" s="4" t="str">
        <f>IF(B23123=B23122,"",B23123)</f>
        <v>Lerma de Villada</v>
      </c>
    </row>
    <row r="23124" spans="1:6" ht="15.75" customHeight="1">
      <c r="A23124" s="16" t="str">
        <f ca="1">IFERROR(__xludf.DUMMYFUNCTION("GOOGLETRANSLATE(B26955,""en"",""pt"")"),"LÉRIDA")</f>
        <v>LÉRIDA</v>
      </c>
      <c r="B23124" s="20" t="s">
        <v>31867</v>
      </c>
      <c r="C23124" s="20" t="s">
        <v>5348</v>
      </c>
      <c r="D23124" s="20" t="s">
        <v>5422</v>
      </c>
      <c r="E23124" s="10">
        <v>3676626</v>
      </c>
      <c r="F23124" s="4" t="e">
        <f>IF(B23124=#REF!,"",B23124)</f>
        <v>#REF!</v>
      </c>
    </row>
    <row r="23125" spans="1:6" ht="15.75" customHeight="1">
      <c r="A23125" s="15" t="s">
        <v>17040</v>
      </c>
      <c r="B23125" s="15" t="s">
        <v>17040</v>
      </c>
      <c r="C23125" s="15" t="s">
        <v>17039</v>
      </c>
      <c r="D23125" s="15" t="s">
        <v>17040</v>
      </c>
      <c r="E23125" s="2">
        <v>932698</v>
      </c>
      <c r="F23125" s="4" t="e">
        <f>IF(B23125=#REF!,"",B23125)</f>
        <v>#REF!</v>
      </c>
    </row>
    <row r="23126" spans="1:6" ht="15.75" customHeight="1">
      <c r="A23126" s="15" t="s">
        <v>19494</v>
      </c>
      <c r="B23126" s="15" t="s">
        <v>19494</v>
      </c>
      <c r="C23126" s="15" t="s">
        <v>19294</v>
      </c>
      <c r="D23126" s="15" t="s">
        <v>19320</v>
      </c>
      <c r="E23126" s="2">
        <v>2332079</v>
      </c>
      <c r="F23126" s="4" t="e">
        <f>IF(B23126=#REF!,"",B23126)</f>
        <v>#REF!</v>
      </c>
    </row>
    <row r="23127" spans="1:6" ht="15.75" customHeight="1">
      <c r="A23127" s="16" t="s">
        <v>18049</v>
      </c>
      <c r="B23127" s="15" t="s">
        <v>18049</v>
      </c>
      <c r="C23127" s="16" t="s">
        <v>17707</v>
      </c>
      <c r="D23127" s="16" t="s">
        <v>17708</v>
      </c>
      <c r="E23127" s="2">
        <v>3524391</v>
      </c>
      <c r="F23127" s="4" t="e">
        <f>IF(B23127=#REF!,"",B23127)</f>
        <v>#REF!</v>
      </c>
    </row>
    <row r="23128" spans="1:6" ht="15.75" customHeight="1">
      <c r="A23128" s="16" t="s">
        <v>16865</v>
      </c>
      <c r="B23128" s="15" t="s">
        <v>16865</v>
      </c>
      <c r="C23128" s="16" t="s">
        <v>16852</v>
      </c>
      <c r="D23128" s="16" t="s">
        <v>16866</v>
      </c>
      <c r="E23128" s="2">
        <v>788731</v>
      </c>
      <c r="F23128" s="4" t="e">
        <f>IF(B23128=#REF!,"",B23128)</f>
        <v>#REF!</v>
      </c>
    </row>
    <row r="23129" spans="1:6" ht="15.75" customHeight="1">
      <c r="A23129" s="15" t="s">
        <v>24559</v>
      </c>
      <c r="B23129" s="15" t="s">
        <v>24559</v>
      </c>
      <c r="C23129" s="15" t="s">
        <v>24200</v>
      </c>
      <c r="D23129" s="15" t="s">
        <v>24205</v>
      </c>
      <c r="E23129" s="2">
        <v>2515072</v>
      </c>
      <c r="F23129" s="4" t="str">
        <f>IF(B23129=B23128,"",B23129)</f>
        <v>Lepe</v>
      </c>
    </row>
    <row r="23130" spans="1:6" ht="15.75" customHeight="1">
      <c r="A23130" s="16" t="str">
        <f ca="1">IFERROR(__xludf.DUMMYFUNCTION("GOOGLETRANSLATE(B27825,""en"",""pt"")"),"Leopoldshöhe")</f>
        <v>Leopoldshöhe</v>
      </c>
      <c r="B23130" s="20" t="s">
        <v>32072</v>
      </c>
      <c r="C23130" s="20" t="s">
        <v>8028</v>
      </c>
      <c r="D23130" s="20" t="s">
        <v>8029</v>
      </c>
      <c r="E23130" s="10">
        <v>2878673</v>
      </c>
      <c r="F23130" s="4" t="str">
        <f>IF(B23130=B23129,"",B23130)</f>
        <v>Leopoldshöhe</v>
      </c>
    </row>
    <row r="23131" spans="1:6" ht="15.75" customHeight="1">
      <c r="A23131" s="16" t="s">
        <v>8760</v>
      </c>
      <c r="B23131" s="15" t="s">
        <v>8761</v>
      </c>
      <c r="C23131" s="16" t="s">
        <v>8028</v>
      </c>
      <c r="D23131" s="16" t="s">
        <v>8029</v>
      </c>
      <c r="E23131" s="2">
        <v>2878673</v>
      </c>
      <c r="F23131" s="4" t="e">
        <f>IF(B23131=#REF!,"",B23131)</f>
        <v>#REF!</v>
      </c>
    </row>
    <row r="23132" spans="1:6" ht="15.75" customHeight="1">
      <c r="A23132" s="16" t="s">
        <v>2809</v>
      </c>
      <c r="B23132" s="15" t="s">
        <v>2809</v>
      </c>
      <c r="C23132" s="16" t="s">
        <v>1905</v>
      </c>
      <c r="D23132" s="16" t="s">
        <v>1917</v>
      </c>
      <c r="E23132" s="2">
        <v>3458632</v>
      </c>
      <c r="F23132" s="4" t="e">
        <f>IF(B23132=#REF!,"",B23132)</f>
        <v>#REF!</v>
      </c>
    </row>
    <row r="23133" spans="1:6" ht="15.75" customHeight="1">
      <c r="A23133" s="15" t="s">
        <v>22671</v>
      </c>
      <c r="B23133" s="15" t="s">
        <v>22671</v>
      </c>
      <c r="C23133" s="15" t="s">
        <v>22070</v>
      </c>
      <c r="D23133" s="15" t="s">
        <v>22127</v>
      </c>
      <c r="E23133" s="2">
        <v>535966</v>
      </c>
      <c r="F23133" s="4" t="e">
        <f>IF(B23133=#REF!,"",B23133)</f>
        <v>#REF!</v>
      </c>
    </row>
    <row r="23134" spans="1:6" ht="15.75" customHeight="1">
      <c r="A23134" s="15" t="s">
        <v>1143</v>
      </c>
      <c r="B23134" s="15" t="s">
        <v>1144</v>
      </c>
      <c r="C23134" s="15" t="s">
        <v>1117</v>
      </c>
      <c r="D23134" s="15" t="s">
        <v>1124</v>
      </c>
      <c r="E23134" s="2">
        <v>2772635</v>
      </c>
      <c r="F23134" s="4" t="e">
        <f>IF(B23134=#REF!,"",B23134)</f>
        <v>#REF!</v>
      </c>
    </row>
    <row r="23135" spans="1:6" ht="15.75" customHeight="1">
      <c r="A23135" s="15" t="s">
        <v>8759</v>
      </c>
      <c r="B23135" s="15" t="s">
        <v>8759</v>
      </c>
      <c r="C23135" s="15" t="s">
        <v>8028</v>
      </c>
      <c r="D23135" s="15" t="s">
        <v>8031</v>
      </c>
      <c r="E23135" s="2">
        <v>2878695</v>
      </c>
      <c r="F23135" s="4" t="e">
        <f>IF(B23135=#REF!,"",B23135)</f>
        <v>#REF!</v>
      </c>
    </row>
    <row r="23136" spans="1:6" ht="15.75" customHeight="1">
      <c r="A23136" s="16" t="str">
        <f ca="1">IFERROR(__xludf.DUMMYFUNCTION("GOOGLETRANSLATE(B29374,""en"",""pt"")"),"León")</f>
        <v>León</v>
      </c>
      <c r="B23136" s="20" t="s">
        <v>32456</v>
      </c>
      <c r="C23136" s="20" t="s">
        <v>24200</v>
      </c>
      <c r="D23136" s="20" t="s">
        <v>32412</v>
      </c>
      <c r="E23136" s="10">
        <v>3118532</v>
      </c>
      <c r="F23136" s="4" t="e">
        <f>IF(B23136=#REF!,"",B23136)</f>
        <v>#REF!</v>
      </c>
    </row>
    <row r="23137" spans="1:6" ht="15.75" customHeight="1">
      <c r="A23137" s="16" t="s">
        <v>29121</v>
      </c>
      <c r="B23137" s="15" t="s">
        <v>29121</v>
      </c>
      <c r="C23137" s="16" t="s">
        <v>27788</v>
      </c>
      <c r="D23137" s="16" t="s">
        <v>27794</v>
      </c>
      <c r="E23137" s="2">
        <v>4941873</v>
      </c>
      <c r="F23137" s="4" t="str">
        <f>IF(B23137=B23136,"",B23137)</f>
        <v>Leominster</v>
      </c>
    </row>
    <row r="23138" spans="1:6" ht="15.75" customHeight="1">
      <c r="A23138" s="16" t="str">
        <f ca="1">IFERROR(__xludf.DUMMYFUNCTION("GOOGLETRANSLATE(B31223,""en"",""pt"")"),"Léogâne")</f>
        <v>Léogâne</v>
      </c>
      <c r="B23138" s="20" t="s">
        <v>32817</v>
      </c>
      <c r="C23138" s="20" t="s">
        <v>9866</v>
      </c>
      <c r="D23138" s="20" t="s">
        <v>9867</v>
      </c>
      <c r="E23138" s="10">
        <v>3722286</v>
      </c>
      <c r="F23138" s="4" t="e">
        <f>IF(B23138=#REF!,"",B23138)</f>
        <v>#REF!</v>
      </c>
    </row>
    <row r="23139" spans="1:6" ht="15.75" customHeight="1">
      <c r="A23139" s="15" t="s">
        <v>1142</v>
      </c>
      <c r="B23139" s="15" t="s">
        <v>1142</v>
      </c>
      <c r="C23139" s="15" t="s">
        <v>1117</v>
      </c>
      <c r="D23139" s="15" t="s">
        <v>1130</v>
      </c>
      <c r="E23139" s="2">
        <v>2772649</v>
      </c>
      <c r="F23139" s="4" t="str">
        <f>IF(B23139=B23138,"",B23139)</f>
        <v>Leoben</v>
      </c>
    </row>
    <row r="23140" spans="1:6" ht="15.75" customHeight="1">
      <c r="A23140" s="16" t="str">
        <f ca="1">IFERROR(__xludf.DUMMYFUNCTION("GOOGLETRANSLATE(B23986,""en"",""pt"")"),"Léo")</f>
        <v>Léo</v>
      </c>
      <c r="B23140" s="20" t="s">
        <v>31317</v>
      </c>
      <c r="C23140" s="20" t="s">
        <v>3768</v>
      </c>
      <c r="D23140" s="20" t="s">
        <v>3798</v>
      </c>
      <c r="E23140" s="10">
        <v>2358382</v>
      </c>
      <c r="F23140" s="4" t="e">
        <f>IF(B23140=#REF!,"",B23140)</f>
        <v>#REF!</v>
      </c>
    </row>
    <row r="23141" spans="1:6" ht="15.75" customHeight="1">
      <c r="A23141" s="15" t="s">
        <v>29119</v>
      </c>
      <c r="B23141" s="15" t="s">
        <v>29120</v>
      </c>
      <c r="C23141" s="15" t="s">
        <v>27788</v>
      </c>
      <c r="D23141" s="15" t="s">
        <v>27820</v>
      </c>
      <c r="E23141" s="2">
        <v>5736378</v>
      </c>
      <c r="F23141" s="4" t="e">
        <f>IF(B23141=#REF!,"",B23141)</f>
        <v>#REF!</v>
      </c>
    </row>
    <row r="23142" spans="1:6" ht="15.75" customHeight="1">
      <c r="A23142" s="15" t="s">
        <v>15220</v>
      </c>
      <c r="B23142" s="15" t="s">
        <v>15220</v>
      </c>
      <c r="C23142" s="15" t="s">
        <v>14891</v>
      </c>
      <c r="D23142" s="15" t="s">
        <v>14899</v>
      </c>
      <c r="E23142" s="2">
        <v>2524410</v>
      </c>
      <c r="F23142" s="4" t="e">
        <f>IF(B23142=#REF!,"",B23142)</f>
        <v>#REF!</v>
      </c>
    </row>
    <row r="23143" spans="1:6" ht="15.75" customHeight="1">
      <c r="A23143" s="15" t="s">
        <v>22670</v>
      </c>
      <c r="B23143" s="15" t="s">
        <v>22670</v>
      </c>
      <c r="C23143" s="15" t="s">
        <v>22070</v>
      </c>
      <c r="D23143" s="15" t="s">
        <v>22111</v>
      </c>
      <c r="E23143" s="2">
        <v>2020838</v>
      </c>
      <c r="F23143" s="4" t="e">
        <f>IF(B23143=#REF!,"",B23143)</f>
        <v>#REF!</v>
      </c>
    </row>
    <row r="23144" spans="1:6" ht="15.75" customHeight="1">
      <c r="A23144" s="15" t="s">
        <v>7476</v>
      </c>
      <c r="B23144" s="15" t="s">
        <v>7477</v>
      </c>
      <c r="C23144" s="15" t="s">
        <v>7052</v>
      </c>
      <c r="D23144" s="15" t="s">
        <v>7078</v>
      </c>
      <c r="E23144" s="2">
        <v>3003093</v>
      </c>
      <c r="F23144" s="4" t="e">
        <f>IF(B23144=#REF!,"",B23144)</f>
        <v>#REF!</v>
      </c>
    </row>
    <row r="23145" spans="1:6" ht="15.75" customHeight="1">
      <c r="A23145" s="15" t="s">
        <v>29118</v>
      </c>
      <c r="B23145" s="15" t="s">
        <v>29118</v>
      </c>
      <c r="C23145" s="15" t="s">
        <v>27788</v>
      </c>
      <c r="D23145" s="15" t="s">
        <v>27822</v>
      </c>
      <c r="E23145" s="2">
        <v>4475640</v>
      </c>
      <c r="F23145" s="4" t="e">
        <f>IF(B23145=#REF!,"",B23145)</f>
        <v>#REF!</v>
      </c>
    </row>
    <row r="23146" spans="1:6" ht="15.75" customHeight="1">
      <c r="A23146" s="16" t="s">
        <v>8758</v>
      </c>
      <c r="B23146" s="15" t="s">
        <v>8758</v>
      </c>
      <c r="C23146" s="16" t="s">
        <v>8028</v>
      </c>
      <c r="D23146" s="16" t="s">
        <v>8029</v>
      </c>
      <c r="E23146" s="2">
        <v>2878784</v>
      </c>
      <c r="F23146" s="4" t="e">
        <f>IF(B23146=#REF!,"",B23146)</f>
        <v>#REF!</v>
      </c>
    </row>
    <row r="23147" spans="1:6" ht="15.75" customHeight="1">
      <c r="A23147" s="16" t="s">
        <v>22668</v>
      </c>
      <c r="B23147" s="15" t="s">
        <v>22669</v>
      </c>
      <c r="C23147" s="16" t="s">
        <v>22070</v>
      </c>
      <c r="D23147" s="16" t="s">
        <v>22140</v>
      </c>
      <c r="E23147" s="2">
        <v>1500665</v>
      </c>
      <c r="F23147" s="4" t="e">
        <f>IF(B23147=#REF!,"",B23147)</f>
        <v>#REF!</v>
      </c>
    </row>
    <row r="23148" spans="1:6" ht="15.75" customHeight="1">
      <c r="A23148" s="16" t="s">
        <v>22667</v>
      </c>
      <c r="B23148" s="15" t="s">
        <v>22667</v>
      </c>
      <c r="C23148" s="16" t="s">
        <v>22070</v>
      </c>
      <c r="D23148" s="16" t="s">
        <v>22119</v>
      </c>
      <c r="E23148" s="2">
        <v>536098</v>
      </c>
      <c r="F23148" s="4" t="e">
        <f>IF(B23148=#REF!,"",B23148)</f>
        <v>#REF!</v>
      </c>
    </row>
    <row r="23149" spans="1:6" ht="15.75" customHeight="1">
      <c r="A23149" s="15" t="s">
        <v>22666</v>
      </c>
      <c r="B23149" s="15" t="s">
        <v>22666</v>
      </c>
      <c r="C23149" s="15" t="s">
        <v>22070</v>
      </c>
      <c r="D23149" s="15" t="s">
        <v>22351</v>
      </c>
      <c r="E23149" s="2">
        <v>536156</v>
      </c>
      <c r="F23149" s="4" t="e">
        <f>IF(B23149=#REF!,"",B23149)</f>
        <v>#REF!</v>
      </c>
    </row>
    <row r="23150" spans="1:6" ht="15.75" customHeight="1">
      <c r="A23150" s="16" t="s">
        <v>22665</v>
      </c>
      <c r="B23150" s="15" t="s">
        <v>22665</v>
      </c>
      <c r="C23150" s="16" t="s">
        <v>22070</v>
      </c>
      <c r="D23150" s="16" t="s">
        <v>22090</v>
      </c>
      <c r="E23150" s="2">
        <v>536162</v>
      </c>
      <c r="F23150" s="4" t="e">
        <f>IF(B23150=#REF!,"",B23150)</f>
        <v>#REF!</v>
      </c>
    </row>
    <row r="23151" spans="1:6" ht="15.75" customHeight="1">
      <c r="A23151" s="16" t="s">
        <v>22664</v>
      </c>
      <c r="B23151" s="15" t="s">
        <v>22664</v>
      </c>
      <c r="C23151" s="16" t="s">
        <v>22070</v>
      </c>
      <c r="D23151" s="16" t="s">
        <v>22077</v>
      </c>
      <c r="E23151" s="2">
        <v>536200</v>
      </c>
      <c r="F23151" s="4" t="e">
        <f>IF(B23151=#REF!,"",B23151)</f>
        <v>#REF!</v>
      </c>
    </row>
    <row r="23152" spans="1:6" ht="15.75" customHeight="1">
      <c r="A23152" s="16" t="s">
        <v>4876</v>
      </c>
      <c r="B23152" s="15" t="s">
        <v>4876</v>
      </c>
      <c r="C23152" s="16" t="s">
        <v>4487</v>
      </c>
      <c r="D23152" s="16" t="s">
        <v>4495</v>
      </c>
      <c r="E23152" s="2">
        <v>1804162</v>
      </c>
      <c r="F23152" s="4" t="e">
        <f>IF(B23152=#REF!,"",B23152)</f>
        <v>#REF!</v>
      </c>
    </row>
    <row r="23153" spans="1:6" ht="15.75" customHeight="1">
      <c r="A23153" s="16" t="s">
        <v>4875</v>
      </c>
      <c r="B23153" s="15" t="s">
        <v>4875</v>
      </c>
      <c r="C23153" s="16" t="s">
        <v>4487</v>
      </c>
      <c r="D23153" s="16" t="s">
        <v>4495</v>
      </c>
      <c r="E23153" s="2">
        <v>1804169</v>
      </c>
      <c r="F23153" s="4" t="e">
        <f>IF(B23153=#REF!,"",B23153)</f>
        <v>#REF!</v>
      </c>
    </row>
    <row r="23154" spans="1:6" ht="15.75" customHeight="1">
      <c r="A23154" s="15" t="s">
        <v>8757</v>
      </c>
      <c r="B23154" s="15" t="s">
        <v>8757</v>
      </c>
      <c r="C23154" s="15" t="s">
        <v>8028</v>
      </c>
      <c r="D23154" s="15" t="s">
        <v>8029</v>
      </c>
      <c r="E23154" s="2">
        <v>2878840</v>
      </c>
      <c r="F23154" s="4" t="e">
        <f>IF(B23154=#REF!,"",B23154)</f>
        <v>#REF!</v>
      </c>
    </row>
    <row r="23155" spans="1:6" ht="15.75" customHeight="1">
      <c r="A23155" s="15" t="s">
        <v>16725</v>
      </c>
      <c r="B23155" s="15" t="s">
        <v>16725</v>
      </c>
      <c r="C23155" s="15" t="s">
        <v>16671</v>
      </c>
      <c r="D23155" s="15" t="s">
        <v>16678</v>
      </c>
      <c r="E23155" s="2">
        <v>1521379</v>
      </c>
      <c r="F23155" s="4" t="e">
        <f>IF(B23155=#REF!,"",B23155)</f>
        <v>#REF!</v>
      </c>
    </row>
    <row r="23156" spans="1:6" ht="15.75" customHeight="1">
      <c r="A23156" s="15" t="s">
        <v>29117</v>
      </c>
      <c r="B23156" s="15" t="s">
        <v>29117</v>
      </c>
      <c r="C23156" s="15" t="s">
        <v>27788</v>
      </c>
      <c r="D23156" s="15" t="s">
        <v>28419</v>
      </c>
      <c r="E23156" s="2">
        <v>4274356</v>
      </c>
      <c r="F23156" s="4" t="str">
        <f>IF(B23156=B23155,"",B23156)</f>
        <v>Lenexa</v>
      </c>
    </row>
    <row r="23157" spans="1:6" ht="15.75" customHeight="1">
      <c r="A23157" s="16" t="str">
        <f ca="1">IFERROR(__xludf.DUMMYFUNCTION("GOOGLETRANSLATE(B24860,""en"",""pt"")"),"Lençóis Paulista")</f>
        <v>Lençóis Paulista</v>
      </c>
      <c r="B23157" s="20" t="s">
        <v>31604</v>
      </c>
      <c r="C23157" s="20" t="s">
        <v>1905</v>
      </c>
      <c r="D23157" s="20" t="s">
        <v>3354</v>
      </c>
      <c r="E23157" s="10">
        <v>3458645</v>
      </c>
      <c r="F23157" s="4" t="e">
        <f>IF(B23157=#REF!,"",B23157)</f>
        <v>#REF!</v>
      </c>
    </row>
    <row r="23158" spans="1:6" ht="15.75" customHeight="1">
      <c r="A23158" s="15" t="s">
        <v>9888</v>
      </c>
      <c r="B23158" s="15" t="s">
        <v>9888</v>
      </c>
      <c r="C23158" s="15" t="s">
        <v>9866</v>
      </c>
      <c r="D23158" s="15" t="s">
        <v>3793</v>
      </c>
      <c r="E23158" s="2">
        <v>3722124</v>
      </c>
      <c r="F23158" s="4" t="str">
        <f>IF(B23158=B23157,"",B23158)</f>
        <v>Lenbe</v>
      </c>
    </row>
    <row r="23159" spans="1:6" ht="15.75" customHeight="1">
      <c r="A23159" s="16" t="s">
        <v>2807</v>
      </c>
      <c r="B23159" s="15" t="s">
        <v>2808</v>
      </c>
      <c r="C23159" s="16" t="s">
        <v>1905</v>
      </c>
      <c r="D23159" s="16" t="s">
        <v>1914</v>
      </c>
      <c r="E23159" s="2">
        <v>3458645</v>
      </c>
      <c r="F23159" s="4" t="str">
        <f>IF(B23159=B23158,"",B23159)</f>
        <v>LenÃ§Ã³is Paulista</v>
      </c>
    </row>
    <row r="23160" spans="1:6" ht="15.75" customHeight="1">
      <c r="A23160" s="16" t="str">
        <f ca="1">IFERROR(__xludf.DUMMYFUNCTION("GOOGLETRANSLATE(B29628,""en"",""pt"")"),"Lempäälä")</f>
        <v>Lempäälä</v>
      </c>
      <c r="B23160" s="20" t="s">
        <v>32524</v>
      </c>
      <c r="C23160" s="20" t="s">
        <v>6948</v>
      </c>
      <c r="D23160" s="20" t="s">
        <v>6987</v>
      </c>
      <c r="E23160" s="10">
        <v>648366</v>
      </c>
      <c r="F23160" s="4" t="str">
        <f>IF(B23160=B23159,"",B23160)</f>
        <v>Lempäälä</v>
      </c>
    </row>
    <row r="23161" spans="1:6" ht="15.75" customHeight="1">
      <c r="A23161" s="16" t="s">
        <v>7006</v>
      </c>
      <c r="B23161" s="15" t="s">
        <v>7007</v>
      </c>
      <c r="C23161" s="16" t="s">
        <v>6948</v>
      </c>
      <c r="D23161" s="16" t="s">
        <v>6987</v>
      </c>
      <c r="E23161" s="2">
        <v>648366</v>
      </c>
      <c r="F23161" s="4" t="e">
        <f>IF(B23161=#REF!,"",B23161)</f>
        <v>#REF!</v>
      </c>
    </row>
    <row r="23162" spans="1:6" ht="15.75" customHeight="1">
      <c r="A23162" s="15" t="s">
        <v>29116</v>
      </c>
      <c r="B23162" s="15" t="s">
        <v>29116</v>
      </c>
      <c r="C23162" s="15" t="s">
        <v>27788</v>
      </c>
      <c r="D23162" s="15" t="s">
        <v>27799</v>
      </c>
      <c r="E23162" s="2">
        <v>4899581</v>
      </c>
      <c r="F23162" s="4" t="e">
        <f>IF(B23162=#REF!,"",B23162)</f>
        <v>#REF!</v>
      </c>
    </row>
    <row r="23163" spans="1:6" ht="15.75" customHeight="1">
      <c r="A23163" s="15" t="s">
        <v>8756</v>
      </c>
      <c r="B23163" s="15" t="s">
        <v>8756</v>
      </c>
      <c r="C23163" s="15" t="s">
        <v>8028</v>
      </c>
      <c r="D23163" s="15" t="s">
        <v>8029</v>
      </c>
      <c r="E23163" s="2">
        <v>2878943</v>
      </c>
      <c r="F23163" s="4" t="e">
        <f>IF(B23163=#REF!,"",B23163)</f>
        <v>#REF!</v>
      </c>
    </row>
    <row r="23164" spans="1:6" ht="15.75" customHeight="1">
      <c r="A23164" s="15" t="s">
        <v>2806</v>
      </c>
      <c r="B23164" s="15" t="s">
        <v>2806</v>
      </c>
      <c r="C23164" s="15" t="s">
        <v>1905</v>
      </c>
      <c r="D23164" s="15" t="s">
        <v>1914</v>
      </c>
      <c r="E23164" s="2">
        <v>3458662</v>
      </c>
      <c r="F23164" s="4" t="e">
        <f>IF(B23164=#REF!,"",B23164)</f>
        <v>#REF!</v>
      </c>
    </row>
    <row r="23165" spans="1:6" ht="15.75" customHeight="1">
      <c r="A23165" s="15" t="s">
        <v>25654</v>
      </c>
      <c r="B23165" s="15" t="s">
        <v>25654</v>
      </c>
      <c r="C23165" s="15" t="s">
        <v>25560</v>
      </c>
      <c r="D23165" s="15" t="s">
        <v>25598</v>
      </c>
      <c r="E23165" s="2">
        <v>156025</v>
      </c>
      <c r="F23165" s="4" t="e">
        <f>IF(B23165=#REF!,"",B23165)</f>
        <v>#REF!</v>
      </c>
    </row>
    <row r="23166" spans="1:6" ht="15.75" customHeight="1">
      <c r="A23166" s="15" t="s">
        <v>14007</v>
      </c>
      <c r="B23166" s="15" t="s">
        <v>14007</v>
      </c>
      <c r="C23166" s="15" t="s">
        <v>13800</v>
      </c>
      <c r="D23166" s="15" t="s">
        <v>13811</v>
      </c>
      <c r="E23166" s="2">
        <v>1638063</v>
      </c>
      <c r="F23166" s="4" t="e">
        <f>IF(B23166=#REF!,"",B23166)</f>
        <v>#REF!</v>
      </c>
    </row>
    <row r="23167" spans="1:6" ht="15.75" customHeight="1">
      <c r="A23167" s="15" t="s">
        <v>29115</v>
      </c>
      <c r="B23167" s="15" t="s">
        <v>29115</v>
      </c>
      <c r="C23167" s="15" t="s">
        <v>27788</v>
      </c>
      <c r="D23167" s="15" t="s">
        <v>27806</v>
      </c>
      <c r="E23167" s="2">
        <v>4394905</v>
      </c>
      <c r="F23167" s="4" t="e">
        <f>IF(B23167=#REF!,"",B23167)</f>
        <v>#REF!</v>
      </c>
    </row>
    <row r="23168" spans="1:6" ht="15.75" customHeight="1">
      <c r="A23168" s="15" t="s">
        <v>19025</v>
      </c>
      <c r="B23168" s="15" t="s">
        <v>19025</v>
      </c>
      <c r="C23168" s="15" t="s">
        <v>18862</v>
      </c>
      <c r="D23168" s="15" t="s">
        <v>18873</v>
      </c>
      <c r="E23168" s="2">
        <v>2751738</v>
      </c>
      <c r="F23168" s="4" t="e">
        <f>IF(B23168=#REF!,"",B23168)</f>
        <v>#REF!</v>
      </c>
    </row>
    <row r="23169" spans="1:6" ht="15.75" customHeight="1">
      <c r="A23169" s="15" t="s">
        <v>25062</v>
      </c>
      <c r="B23169" s="15" t="s">
        <v>25063</v>
      </c>
      <c r="C23169" s="15" t="s">
        <v>25064</v>
      </c>
      <c r="D23169" s="15" t="s">
        <v>25065</v>
      </c>
      <c r="E23169" s="2">
        <v>3383714</v>
      </c>
      <c r="F23169" s="4" t="e">
        <f>IF(B23169=#REF!,"",B23169)</f>
        <v>#REF!</v>
      </c>
    </row>
    <row r="23170" spans="1:6" ht="15.75" customHeight="1">
      <c r="A23170" s="15" t="s">
        <v>24557</v>
      </c>
      <c r="B23170" s="15" t="s">
        <v>24558</v>
      </c>
      <c r="C23170" s="15" t="s">
        <v>24200</v>
      </c>
      <c r="D23170" s="15" t="s">
        <v>21053</v>
      </c>
      <c r="E23170" s="2">
        <v>2516004</v>
      </c>
      <c r="F23170" s="4" t="e">
        <f>IF(B23170=#REF!,"",B23170)</f>
        <v>#REF!</v>
      </c>
    </row>
    <row r="23171" spans="1:6" ht="15.75" customHeight="1">
      <c r="A23171" s="15" t="s">
        <v>4874</v>
      </c>
      <c r="B23171" s="15" t="s">
        <v>4874</v>
      </c>
      <c r="C23171" s="15" t="s">
        <v>4487</v>
      </c>
      <c r="D23171" s="15" t="s">
        <v>4495</v>
      </c>
      <c r="E23171" s="2">
        <v>1804208</v>
      </c>
      <c r="F23171" s="4" t="e">
        <f>IF(B23171=#REF!,"",B23171)</f>
        <v>#REF!</v>
      </c>
    </row>
    <row r="23172" spans="1:6" ht="15.75" customHeight="1">
      <c r="A23172" s="15" t="s">
        <v>14751</v>
      </c>
      <c r="B23172" s="15" t="s">
        <v>14751</v>
      </c>
      <c r="C23172" s="15" t="s">
        <v>14728</v>
      </c>
      <c r="D23172" s="15" t="s">
        <v>14729</v>
      </c>
      <c r="E23172" s="2">
        <v>2962974</v>
      </c>
      <c r="F23172" s="4" t="e">
        <f>IF(B23172=#REF!,"",B23172)</f>
        <v>#REF!</v>
      </c>
    </row>
    <row r="23173" spans="1:6" ht="15.75" customHeight="1">
      <c r="A23173" s="16" t="s">
        <v>29113</v>
      </c>
      <c r="B23173" s="15" t="s">
        <v>29114</v>
      </c>
      <c r="C23173" s="16" t="s">
        <v>27788</v>
      </c>
      <c r="D23173" s="16" t="s">
        <v>5468</v>
      </c>
      <c r="E23173" s="2">
        <v>4161797</v>
      </c>
      <c r="F23173" s="4" t="e">
        <f>IF(B23173=#REF!,"",B23173)</f>
        <v>#REF!</v>
      </c>
    </row>
    <row r="23174" spans="1:6" ht="15.75" customHeight="1">
      <c r="A23174" s="15" t="s">
        <v>21639</v>
      </c>
      <c r="B23174" s="15" t="s">
        <v>21639</v>
      </c>
      <c r="C23174" s="15" t="s">
        <v>21606</v>
      </c>
      <c r="D23174" s="15" t="s">
        <v>21639</v>
      </c>
      <c r="E23174" s="2">
        <v>2267095</v>
      </c>
      <c r="F23174" s="4" t="e">
        <f>IF(B23174=#REF!,"",B23174)</f>
        <v>#REF!</v>
      </c>
    </row>
    <row r="23175" spans="1:6" ht="15.75" customHeight="1">
      <c r="A23175" s="15" t="s">
        <v>8755</v>
      </c>
      <c r="B23175" s="15" t="s">
        <v>8755</v>
      </c>
      <c r="C23175" s="15" t="s">
        <v>8028</v>
      </c>
      <c r="D23175" s="15" t="s">
        <v>8072</v>
      </c>
      <c r="E23175" s="2">
        <v>2879139</v>
      </c>
      <c r="F23175" s="4" t="e">
        <f>IF(B23175=#REF!,"",B23175)</f>
        <v>#REF!</v>
      </c>
    </row>
    <row r="23176" spans="1:6" ht="15.75" customHeight="1">
      <c r="A23176" s="15" t="s">
        <v>24556</v>
      </c>
      <c r="B23176" s="15" t="s">
        <v>24556</v>
      </c>
      <c r="C23176" s="15" t="s">
        <v>24200</v>
      </c>
      <c r="D23176" s="15" t="s">
        <v>24249</v>
      </c>
      <c r="E23176" s="2">
        <v>3118554</v>
      </c>
      <c r="F23176" s="4" t="e">
        <f>IF(B23176=#REF!,"",B23176)</f>
        <v>#REF!</v>
      </c>
    </row>
    <row r="23177" spans="1:6" ht="15.75" customHeight="1">
      <c r="A23177" s="16" t="s">
        <v>8754</v>
      </c>
      <c r="B23177" s="15" t="s">
        <v>8754</v>
      </c>
      <c r="C23177" s="16" t="s">
        <v>8028</v>
      </c>
      <c r="D23177" s="16" t="s">
        <v>8031</v>
      </c>
      <c r="E23177" s="2">
        <v>2879185</v>
      </c>
      <c r="F23177" s="4" t="e">
        <f>IF(B23177=#REF!,"",B23177)</f>
        <v>#REF!</v>
      </c>
    </row>
    <row r="23178" spans="1:6" ht="15.75" customHeight="1">
      <c r="A23178" s="15" t="s">
        <v>8753</v>
      </c>
      <c r="B23178" s="15" t="s">
        <v>8753</v>
      </c>
      <c r="C23178" s="15" t="s">
        <v>8028</v>
      </c>
      <c r="D23178" s="15" t="s">
        <v>8031</v>
      </c>
      <c r="E23178" s="2">
        <v>2879241</v>
      </c>
      <c r="F23178" s="4" t="e">
        <f>IF(B23178=#REF!,"",B23178)</f>
        <v>#REF!</v>
      </c>
    </row>
    <row r="23179" spans="1:6" ht="15.75" customHeight="1">
      <c r="A23179" s="16" t="s">
        <v>27490</v>
      </c>
      <c r="B23179" s="15" t="s">
        <v>27490</v>
      </c>
      <c r="C23179" s="16" t="s">
        <v>27234</v>
      </c>
      <c r="D23179" s="16" t="s">
        <v>27241</v>
      </c>
      <c r="E23179" s="2">
        <v>2644652</v>
      </c>
      <c r="F23179" s="4" t="e">
        <f>IF(B23179=#REF!,"",B23179)</f>
        <v>#REF!</v>
      </c>
    </row>
    <row r="23180" spans="1:6" ht="15.75" customHeight="1">
      <c r="A23180" s="15" t="s">
        <v>27489</v>
      </c>
      <c r="B23180" s="15" t="s">
        <v>27489</v>
      </c>
      <c r="C23180" s="15" t="s">
        <v>27234</v>
      </c>
      <c r="D23180" s="15" t="s">
        <v>27241</v>
      </c>
      <c r="E23180" s="2">
        <v>2644660</v>
      </c>
      <c r="F23180" s="4" t="e">
        <f>IF(B23180=#REF!,"",B23180)</f>
        <v>#REF!</v>
      </c>
    </row>
    <row r="23181" spans="1:6" ht="15.75" customHeight="1">
      <c r="A23181" s="16" t="s">
        <v>19023</v>
      </c>
      <c r="B23181" s="15" t="s">
        <v>19024</v>
      </c>
      <c r="C23181" s="16" t="s">
        <v>18862</v>
      </c>
      <c r="D23181" s="16" t="s">
        <v>18868</v>
      </c>
      <c r="E23181" s="2">
        <v>2751771</v>
      </c>
      <c r="F23181" s="4" t="e">
        <f>IF(B23181=#REF!,"",B23181)</f>
        <v>#REF!</v>
      </c>
    </row>
    <row r="23182" spans="1:6" ht="15.75" customHeight="1">
      <c r="A23182" s="15" t="s">
        <v>19022</v>
      </c>
      <c r="B23182" s="15" t="s">
        <v>19022</v>
      </c>
      <c r="C23182" s="15" t="s">
        <v>18862</v>
      </c>
      <c r="D23182" s="15" t="s">
        <v>18868</v>
      </c>
      <c r="E23182" s="2">
        <v>2751773</v>
      </c>
      <c r="F23182" s="4" t="e">
        <f>IF(B23182=#REF!,"",B23182)</f>
        <v>#REF!</v>
      </c>
    </row>
    <row r="23183" spans="1:6" ht="15.75" customHeight="1">
      <c r="A23183" s="16" t="s">
        <v>8752</v>
      </c>
      <c r="B23183" s="15" t="s">
        <v>8752</v>
      </c>
      <c r="C23183" s="16" t="s">
        <v>8028</v>
      </c>
      <c r="D23183" s="16" t="s">
        <v>8029</v>
      </c>
      <c r="E23183" s="2">
        <v>2879315</v>
      </c>
      <c r="F23183" s="4" t="e">
        <f>IF(B23183=#REF!,"",B23183)</f>
        <v>#REF!</v>
      </c>
    </row>
    <row r="23184" spans="1:6" ht="15.75" customHeight="1">
      <c r="A23184" s="15" t="s">
        <v>27488</v>
      </c>
      <c r="B23184" s="15" t="s">
        <v>27488</v>
      </c>
      <c r="C23184" s="15" t="s">
        <v>27234</v>
      </c>
      <c r="D23184" s="15" t="s">
        <v>27241</v>
      </c>
      <c r="E23184" s="2">
        <v>2644668</v>
      </c>
      <c r="F23184" s="4" t="e">
        <f>IF(B23184=#REF!,"",B23184)</f>
        <v>#REF!</v>
      </c>
    </row>
    <row r="23185" spans="1:6" ht="15.75" customHeight="1">
      <c r="A23185" s="15" t="s">
        <v>8751</v>
      </c>
      <c r="B23185" s="15" t="s">
        <v>8751</v>
      </c>
      <c r="C23185" s="15" t="s">
        <v>8028</v>
      </c>
      <c r="D23185" s="15" t="s">
        <v>8034</v>
      </c>
      <c r="E23185" s="2">
        <v>2879367</v>
      </c>
      <c r="F23185" s="4" t="e">
        <f>IF(B23185=#REF!,"",B23185)</f>
        <v>#REF!</v>
      </c>
    </row>
    <row r="23186" spans="1:6" ht="15.75" customHeight="1">
      <c r="A23186" s="16" t="s">
        <v>29112</v>
      </c>
      <c r="B23186" s="15" t="s">
        <v>29112</v>
      </c>
      <c r="C23186" s="16" t="s">
        <v>27788</v>
      </c>
      <c r="D23186" s="16" t="s">
        <v>5468</v>
      </c>
      <c r="E23186" s="2">
        <v>4161785</v>
      </c>
      <c r="F23186" s="4" t="e">
        <f>IF(B23186=#REF!,"",B23186)</f>
        <v>#REF!</v>
      </c>
    </row>
    <row r="23187" spans="1:6" ht="15.75" customHeight="1">
      <c r="A23187" s="15" t="s">
        <v>29111</v>
      </c>
      <c r="B23187" s="15" t="s">
        <v>29111</v>
      </c>
      <c r="C23187" s="15" t="s">
        <v>27788</v>
      </c>
      <c r="D23187" s="15" t="s">
        <v>27856</v>
      </c>
      <c r="E23187" s="2">
        <v>5777224</v>
      </c>
      <c r="F23187" s="4" t="e">
        <f>IF(B23187=#REF!,"",B23187)</f>
        <v>#REF!</v>
      </c>
    </row>
    <row r="23188" spans="1:6" ht="15.75" customHeight="1">
      <c r="A23188" s="15" t="s">
        <v>12156</v>
      </c>
      <c r="B23188" s="15" t="s">
        <v>12156</v>
      </c>
      <c r="C23188" s="15" t="s">
        <v>10178</v>
      </c>
      <c r="D23188" s="15" t="s">
        <v>10355</v>
      </c>
      <c r="E23188" s="2">
        <v>1264976</v>
      </c>
      <c r="F23188" s="4" t="e">
        <f>IF(B23188=#REF!,"",B23188)</f>
        <v>#REF!</v>
      </c>
    </row>
    <row r="23189" spans="1:6" ht="15.75" customHeight="1">
      <c r="A23189" s="15" t="s">
        <v>21324</v>
      </c>
      <c r="B23189" s="15" t="s">
        <v>21324</v>
      </c>
      <c r="C23189" s="15" t="s">
        <v>21064</v>
      </c>
      <c r="D23189" s="15" t="s">
        <v>21118</v>
      </c>
      <c r="E23189" s="2">
        <v>3093692</v>
      </c>
      <c r="F23189" s="4" t="e">
        <f>IF(B23189=#REF!,"",B23189)</f>
        <v>#REF!</v>
      </c>
    </row>
    <row r="23190" spans="1:6" ht="15.75" customHeight="1">
      <c r="A23190" s="16" t="s">
        <v>15218</v>
      </c>
      <c r="B23190" s="15" t="s">
        <v>15219</v>
      </c>
      <c r="C23190" s="16" t="s">
        <v>14891</v>
      </c>
      <c r="D23190" s="16" t="s">
        <v>14894</v>
      </c>
      <c r="E23190" s="2">
        <v>3174921</v>
      </c>
      <c r="F23190" s="4" t="e">
        <f>IF(B23190=#REF!,"",B23190)</f>
        <v>#REF!</v>
      </c>
    </row>
    <row r="23191" spans="1:6" ht="15.75" customHeight="1">
      <c r="A23191" s="15" t="s">
        <v>15217</v>
      </c>
      <c r="B23191" s="15" t="s">
        <v>15217</v>
      </c>
      <c r="C23191" s="15" t="s">
        <v>14891</v>
      </c>
      <c r="D23191" s="15" t="s">
        <v>14892</v>
      </c>
      <c r="E23191" s="2">
        <v>3174922</v>
      </c>
      <c r="F23191" s="4" t="e">
        <f>IF(B23191=#REF!,"",B23191)</f>
        <v>#REF!</v>
      </c>
    </row>
    <row r="23192" spans="1:6" ht="15.75" customHeight="1">
      <c r="A23192" s="16" t="s">
        <v>21323</v>
      </c>
      <c r="B23192" s="15" t="s">
        <v>21323</v>
      </c>
      <c r="C23192" s="16" t="s">
        <v>21064</v>
      </c>
      <c r="D23192" s="16" t="s">
        <v>21070</v>
      </c>
      <c r="E23192" s="2">
        <v>766555</v>
      </c>
      <c r="F23192" s="4" t="e">
        <f>IF(B23192=#REF!,"",B23192)</f>
        <v>#REF!</v>
      </c>
    </row>
    <row r="23193" spans="1:6" ht="15.75" customHeight="1">
      <c r="A23193" s="15" t="s">
        <v>20830</v>
      </c>
      <c r="B23193" s="15" t="s">
        <v>20830</v>
      </c>
      <c r="C23193" s="15" t="s">
        <v>20598</v>
      </c>
      <c r="D23193" s="15" t="s">
        <v>20634</v>
      </c>
      <c r="E23193" s="2">
        <v>1706889</v>
      </c>
      <c r="F23193" s="4" t="str">
        <f>IF(B23193=B23192,"",B23193)</f>
        <v>Legaspi</v>
      </c>
    </row>
    <row r="23194" spans="1:6" ht="15.75" customHeight="1">
      <c r="A23194" s="16" t="str">
        <f ca="1">IFERROR(__xludf.DUMMYFUNCTION("GOOGLETRANSLATE(B29376,""en"",""pt"")"),"Leganés")</f>
        <v>Leganés</v>
      </c>
      <c r="B23194" s="20" t="s">
        <v>32457</v>
      </c>
      <c r="C23194" s="20" t="s">
        <v>24200</v>
      </c>
      <c r="D23194" s="20" t="s">
        <v>5513</v>
      </c>
      <c r="E23194" s="10">
        <v>3118594</v>
      </c>
      <c r="F23194" s="4" t="str">
        <f>IF(B23194=B23193,"",B23194)</f>
        <v>Leganés</v>
      </c>
    </row>
    <row r="23195" spans="1:6" ht="15.75" customHeight="1">
      <c r="A23195" s="16" t="s">
        <v>24554</v>
      </c>
      <c r="B23195" s="15" t="s">
        <v>24555</v>
      </c>
      <c r="C23195" s="16" t="s">
        <v>24200</v>
      </c>
      <c r="D23195" s="16" t="s">
        <v>5513</v>
      </c>
      <c r="E23195" s="2">
        <v>3118594</v>
      </c>
      <c r="F23195" s="4" t="e">
        <f>IF(B23195=#REF!,"",B23195)</f>
        <v>#REF!</v>
      </c>
    </row>
    <row r="23196" spans="1:6" ht="15.75" customHeight="1">
      <c r="A23196" s="15" t="s">
        <v>22663</v>
      </c>
      <c r="B23196" s="15" t="s">
        <v>22663</v>
      </c>
      <c r="C23196" s="15" t="s">
        <v>22070</v>
      </c>
      <c r="D23196" s="15" t="s">
        <v>22127</v>
      </c>
      <c r="E23196" s="2">
        <v>536398</v>
      </c>
      <c r="F23196" s="4" t="e">
        <f>IF(B23196=#REF!,"",B23196)</f>
        <v>#REF!</v>
      </c>
    </row>
    <row r="23197" spans="1:6" ht="15.75" customHeight="1">
      <c r="A23197" s="16" t="s">
        <v>19021</v>
      </c>
      <c r="B23197" s="15" t="s">
        <v>19021</v>
      </c>
      <c r="C23197" s="16" t="s">
        <v>18862</v>
      </c>
      <c r="D23197" s="16" t="s">
        <v>18943</v>
      </c>
      <c r="E23197" s="2">
        <v>2751792</v>
      </c>
      <c r="F23197" s="4" t="e">
        <f>IF(B23197=#REF!,"",B23197)</f>
        <v>#REF!</v>
      </c>
    </row>
    <row r="23198" spans="1:6" ht="15.75" customHeight="1">
      <c r="A23198" s="15" t="s">
        <v>29110</v>
      </c>
      <c r="B23198" s="15" t="s">
        <v>29110</v>
      </c>
      <c r="C23198" s="15" t="s">
        <v>27788</v>
      </c>
      <c r="D23198" s="15" t="s">
        <v>5468</v>
      </c>
      <c r="E23198" s="2">
        <v>4161771</v>
      </c>
      <c r="F23198" s="4" t="e">
        <f>IF(B23198=#REF!,"",B23198)</f>
        <v>#REF!</v>
      </c>
    </row>
    <row r="23199" spans="1:6" ht="15.75" customHeight="1">
      <c r="A23199" s="16" t="s">
        <v>29108</v>
      </c>
      <c r="B23199" s="15" t="s">
        <v>29109</v>
      </c>
      <c r="C23199" s="16" t="s">
        <v>27788</v>
      </c>
      <c r="D23199" s="16" t="s">
        <v>27806</v>
      </c>
      <c r="E23199" s="2">
        <v>4394870</v>
      </c>
      <c r="F23199" s="4" t="e">
        <f>IF(B23199=#REF!,"",B23199)</f>
        <v>#REF!</v>
      </c>
    </row>
    <row r="23200" spans="1:6" ht="15.75" customHeight="1">
      <c r="A23200" s="15" t="s">
        <v>19020</v>
      </c>
      <c r="B23200" s="15" t="s">
        <v>19020</v>
      </c>
      <c r="C23200" s="15" t="s">
        <v>18862</v>
      </c>
      <c r="D23200" s="15" t="s">
        <v>18868</v>
      </c>
      <c r="E23200" s="2">
        <v>2751808</v>
      </c>
      <c r="F23200" s="4" t="e">
        <f>IF(B23200=#REF!,"",B23200)</f>
        <v>#REF!</v>
      </c>
    </row>
    <row r="23201" spans="1:6" ht="15.75" customHeight="1">
      <c r="A23201" s="15" t="s">
        <v>8750</v>
      </c>
      <c r="B23201" s="15" t="s">
        <v>8750</v>
      </c>
      <c r="C23201" s="15" t="s">
        <v>8028</v>
      </c>
      <c r="D23201" s="15" t="s">
        <v>8034</v>
      </c>
      <c r="E23201" s="2">
        <v>2879697</v>
      </c>
      <c r="F23201" s="4" t="e">
        <f>IF(B23201=#REF!,"",B23201)</f>
        <v>#REF!</v>
      </c>
    </row>
    <row r="23202" spans="1:6" ht="15.75" customHeight="1">
      <c r="A23202" s="15" t="s">
        <v>19018</v>
      </c>
      <c r="B23202" s="15" t="s">
        <v>19019</v>
      </c>
      <c r="C23202" s="15" t="s">
        <v>18862</v>
      </c>
      <c r="D23202" s="15" t="s">
        <v>18935</v>
      </c>
      <c r="E23202" s="2">
        <v>2751834</v>
      </c>
      <c r="F23202" s="4" t="e">
        <f>IF(B23202=#REF!,"",B23202)</f>
        <v>#REF!</v>
      </c>
    </row>
    <row r="23203" spans="1:6" ht="15.75" customHeight="1">
      <c r="A23203" s="15" t="s">
        <v>27487</v>
      </c>
      <c r="B23203" s="15" t="s">
        <v>27487</v>
      </c>
      <c r="C23203" s="15" t="s">
        <v>27234</v>
      </c>
      <c r="D23203" s="15" t="s">
        <v>27241</v>
      </c>
      <c r="E23203" s="2">
        <v>2644688</v>
      </c>
      <c r="F23203" s="4" t="str">
        <f>IF(B23203=B23202,"",B23203)</f>
        <v>Leeds</v>
      </c>
    </row>
    <row r="23204" spans="1:6" ht="15.75" customHeight="1">
      <c r="A23204" s="16" t="str">
        <f ca="1">IFERROR(__xludf.DUMMYFUNCTION("GOOGLETRANSLATE(B39415,""en"",""pt"")"),"Lędziny")</f>
        <v>Lędziny</v>
      </c>
      <c r="B23204" s="20" t="s">
        <v>35203</v>
      </c>
      <c r="C23204" s="20" t="s">
        <v>21064</v>
      </c>
      <c r="D23204" s="20" t="s">
        <v>21073</v>
      </c>
      <c r="E23204" s="10">
        <v>3093708</v>
      </c>
      <c r="F23204" s="4" t="e">
        <f>IF(B23204=#REF!,"",B23204)</f>
        <v>#REF!</v>
      </c>
    </row>
    <row r="23205" spans="1:6" ht="15.75" customHeight="1">
      <c r="A23205" s="15" t="s">
        <v>4084</v>
      </c>
      <c r="B23205" s="15" t="s">
        <v>4084</v>
      </c>
      <c r="C23205" s="15" t="s">
        <v>3975</v>
      </c>
      <c r="D23205" s="15" t="s">
        <v>3978</v>
      </c>
      <c r="E23205" s="2">
        <v>6051562</v>
      </c>
      <c r="F23205" s="4" t="e">
        <f>IF(B23205=#REF!,"",B23205)</f>
        <v>#REF!</v>
      </c>
    </row>
    <row r="23206" spans="1:6" ht="15.75" customHeight="1">
      <c r="A23206" s="15" t="s">
        <v>1617</v>
      </c>
      <c r="B23206" s="15" t="s">
        <v>1617</v>
      </c>
      <c r="C23206" s="15" t="s">
        <v>1512</v>
      </c>
      <c r="D23206" s="15" t="s">
        <v>1513</v>
      </c>
      <c r="E23206" s="2">
        <v>2793077</v>
      </c>
      <c r="F23206" s="4" t="str">
        <f>IF(B23206=B23205,"",B23206)</f>
        <v>Lede</v>
      </c>
    </row>
    <row r="23207" spans="1:6" ht="15.75" customHeight="1">
      <c r="A23207" s="16" t="str">
        <f ca="1">IFERROR(__xludf.DUMMYFUNCTION("GOOGLETRANSLATE(B39416,""en"",""pt"")"),"Ę ęczyca")</f>
        <v>Ę ęczyca</v>
      </c>
      <c r="B23207" s="20" t="s">
        <v>35204</v>
      </c>
      <c r="C23207" s="20" t="s">
        <v>21064</v>
      </c>
      <c r="D23207" s="20" t="s">
        <v>35071</v>
      </c>
      <c r="E23207" s="10">
        <v>3093726</v>
      </c>
      <c r="F23207" s="4" t="str">
        <f>IF(B23207=B23206,"",B23207)</f>
        <v>Łęczyca</v>
      </c>
    </row>
    <row r="23208" spans="1:6" ht="15.75" customHeight="1">
      <c r="A23208" s="16" t="str">
        <f ca="1">IFERROR(__xludf.DUMMYFUNCTION("GOOGLETRANSLATE(B39256,""en"",""pt"")"),"Ęęczna")</f>
        <v>Ęęczna</v>
      </c>
      <c r="B23208" s="20" t="s">
        <v>35109</v>
      </c>
      <c r="C23208" s="20" t="s">
        <v>21064</v>
      </c>
      <c r="D23208" s="20" t="s">
        <v>21091</v>
      </c>
      <c r="E23208" s="10">
        <v>766583</v>
      </c>
      <c r="F23208" s="4" t="e">
        <f>IF(B23208=#REF!,"",B23208)</f>
        <v>#REF!</v>
      </c>
    </row>
    <row r="23209" spans="1:6" ht="15.75" customHeight="1">
      <c r="A23209" s="15" t="s">
        <v>4873</v>
      </c>
      <c r="B23209" s="15" t="s">
        <v>4873</v>
      </c>
      <c r="C23209" s="15" t="s">
        <v>4487</v>
      </c>
      <c r="D23209" s="15" t="s">
        <v>4492</v>
      </c>
      <c r="E23209" s="2">
        <v>1804252</v>
      </c>
      <c r="F23209" s="4" t="e">
        <f>IF(B23209=#REF!,"",B23209)</f>
        <v>#REF!</v>
      </c>
    </row>
    <row r="23210" spans="1:6" ht="15.75" customHeight="1">
      <c r="A23210" s="15" t="s">
        <v>15215</v>
      </c>
      <c r="B23210" s="15" t="s">
        <v>15216</v>
      </c>
      <c r="C23210" s="15" t="s">
        <v>14891</v>
      </c>
      <c r="D23210" s="15" t="s">
        <v>14894</v>
      </c>
      <c r="E23210" s="2">
        <v>3174945</v>
      </c>
      <c r="F23210" s="4" t="e">
        <f>IF(B23210=#REF!,"",B23210)</f>
        <v>#REF!</v>
      </c>
    </row>
    <row r="23211" spans="1:6" ht="15.75" customHeight="1">
      <c r="A23211" s="15" t="s">
        <v>15214</v>
      </c>
      <c r="B23211" s="15" t="s">
        <v>15214</v>
      </c>
      <c r="C23211" s="15" t="s">
        <v>14891</v>
      </c>
      <c r="D23211" s="15" t="s">
        <v>14908</v>
      </c>
      <c r="E23211" s="2">
        <v>3174953</v>
      </c>
      <c r="F23211" s="4" t="str">
        <f>IF(B23211=B23210,"",B23211)</f>
        <v>Lecce</v>
      </c>
    </row>
    <row r="23212" spans="1:6" ht="15.75" customHeight="1">
      <c r="A23212" s="16" t="str">
        <f ca="1">IFERROR(__xludf.DUMMYFUNCTION("GOOGLETRANSLATE(B39653,""en"",""pt"")"),"Leça do Bailio")</f>
        <v>Leça do Bailio</v>
      </c>
      <c r="B23212" s="20" t="s">
        <v>35306</v>
      </c>
      <c r="C23212" s="20" t="s">
        <v>21606</v>
      </c>
      <c r="D23212" s="20" t="s">
        <v>21609</v>
      </c>
      <c r="E23212" s="10">
        <v>2738347</v>
      </c>
      <c r="F23212" s="4" t="str">
        <f>IF(B23212=B23211,"",B23212)</f>
        <v>Leça do Bailio</v>
      </c>
    </row>
    <row r="23213" spans="1:6" ht="15.75" customHeight="1">
      <c r="A23213" s="16" t="str">
        <f ca="1">IFERROR(__xludf.DUMMYFUNCTION("GOOGLETRANSLATE(B39654,""en"",""pt"")"),"Leça da Palmeira")</f>
        <v>Leça da Palmeira</v>
      </c>
      <c r="B23213" s="20" t="s">
        <v>35307</v>
      </c>
      <c r="C23213" s="20" t="s">
        <v>21606</v>
      </c>
      <c r="D23213" s="20" t="s">
        <v>21609</v>
      </c>
      <c r="E23213" s="10">
        <v>2738348</v>
      </c>
      <c r="F23213" s="4" t="e">
        <f>IF(B23213=#REF!,"",B23213)</f>
        <v>#REF!</v>
      </c>
    </row>
    <row r="23214" spans="1:6" ht="15.75" customHeight="1">
      <c r="A23214" s="15" t="s">
        <v>4417</v>
      </c>
      <c r="B23214" s="15" t="s">
        <v>4417</v>
      </c>
      <c r="C23214" s="15" t="s">
        <v>4355</v>
      </c>
      <c r="D23214" s="15" t="s">
        <v>4361</v>
      </c>
      <c r="E23214" s="2">
        <v>3883457</v>
      </c>
      <c r="F23214" s="4" t="e">
        <f>IF(B23214=#REF!,"",B23214)</f>
        <v>#REF!</v>
      </c>
    </row>
    <row r="23215" spans="1:6" ht="15.75" customHeight="1">
      <c r="A23215" s="15" t="s">
        <v>24553</v>
      </c>
      <c r="B23215" s="15" t="s">
        <v>24553</v>
      </c>
      <c r="C23215" s="15" t="s">
        <v>24200</v>
      </c>
      <c r="D23215" s="15" t="s">
        <v>24205</v>
      </c>
      <c r="E23215" s="2">
        <v>2515096</v>
      </c>
      <c r="F23215" s="4" t="e">
        <f>IF(B23215=#REF!,"",B23215)</f>
        <v>#REF!</v>
      </c>
    </row>
    <row r="23216" spans="1:6" ht="15.75" customHeight="1">
      <c r="A23216" s="16" t="s">
        <v>23928</v>
      </c>
      <c r="B23216" s="15" t="s">
        <v>23928</v>
      </c>
      <c r="C23216" s="16" t="s">
        <v>23842</v>
      </c>
      <c r="D23216" s="16" t="s">
        <v>23885</v>
      </c>
      <c r="E23216" s="2">
        <v>984087</v>
      </c>
      <c r="F23216" s="4" t="str">
        <f>IF(B23216=B23215,"",B23216)</f>
        <v>Lebowakgomo</v>
      </c>
    </row>
    <row r="23217" spans="1:6" ht="15.75" customHeight="1">
      <c r="A23217" s="16" t="str">
        <f ca="1">IFERROR(__xludf.DUMMYFUNCTION("GOOGLETRANSLATE(B39417,""en"",""pt"")"),"Lębork")</f>
        <v>Lębork</v>
      </c>
      <c r="B23217" s="20" t="s">
        <v>35205</v>
      </c>
      <c r="C23217" s="20" t="s">
        <v>21064</v>
      </c>
      <c r="D23217" s="20" t="s">
        <v>21173</v>
      </c>
      <c r="E23217" s="10">
        <v>3093739</v>
      </c>
      <c r="F23217" s="4" t="e">
        <f>IF(B23217=#REF!,"",B23217)</f>
        <v>#REF!</v>
      </c>
    </row>
    <row r="23218" spans="1:6" ht="15.75" customHeight="1">
      <c r="A23218" s="15" t="s">
        <v>27050</v>
      </c>
      <c r="B23218" s="15" t="s">
        <v>27050</v>
      </c>
      <c r="C23218" s="15" t="s">
        <v>26870</v>
      </c>
      <c r="D23218" s="15" t="s">
        <v>26911</v>
      </c>
      <c r="E23218" s="2">
        <v>613273</v>
      </c>
      <c r="F23218" s="4" t="str">
        <f>IF(B23218=B23217,"",B23218)</f>
        <v>Lebedyn</v>
      </c>
    </row>
    <row r="23219" spans="1:6" ht="15.75" customHeight="1">
      <c r="A23219" s="16" t="s">
        <v>22661</v>
      </c>
      <c r="B23219" s="15" t="s">
        <v>22662</v>
      </c>
      <c r="C23219" s="16" t="s">
        <v>22070</v>
      </c>
      <c r="D23219" s="16" t="s">
        <v>22328</v>
      </c>
      <c r="E23219" s="2">
        <v>536518</v>
      </c>
      <c r="F23219" s="4" t="str">
        <f>IF(B23219=B23218,"",B23219)</f>
        <v>Lebedyanâ€™</v>
      </c>
    </row>
    <row r="23220" spans="1:6" ht="15.75" customHeight="1">
      <c r="A23220" s="16" t="str">
        <f ca="1">IFERROR(__xludf.DUMMYFUNCTION("GOOGLETRANSLATE(B40373,""en"",""pt"")"),"Lebedyan '")</f>
        <v>Lebedyan '</v>
      </c>
      <c r="B23220" s="20" t="s">
        <v>35495</v>
      </c>
      <c r="C23220" s="20" t="s">
        <v>22070</v>
      </c>
      <c r="D23220" s="20" t="s">
        <v>22328</v>
      </c>
      <c r="E23220" s="10">
        <v>536518</v>
      </c>
      <c r="F23220" s="4" t="e">
        <f>IF(B23220=#REF!,"",B23220)</f>
        <v>#REF!</v>
      </c>
    </row>
    <row r="23221" spans="1:6" ht="15.75" customHeight="1">
      <c r="A23221" s="15" t="s">
        <v>1616</v>
      </c>
      <c r="B23221" s="15" t="s">
        <v>1616</v>
      </c>
      <c r="C23221" s="15" t="s">
        <v>1512</v>
      </c>
      <c r="D23221" s="15" t="s">
        <v>1513</v>
      </c>
      <c r="E23221" s="2">
        <v>2793144</v>
      </c>
      <c r="F23221" s="4" t="e">
        <f>IF(B23221=#REF!,"",B23221)</f>
        <v>#REF!</v>
      </c>
    </row>
    <row r="23222" spans="1:6" ht="15.75" customHeight="1">
      <c r="A23222" s="15" t="s">
        <v>29107</v>
      </c>
      <c r="B23222" s="15" t="s">
        <v>17008</v>
      </c>
      <c r="C23222" s="15" t="s">
        <v>27788</v>
      </c>
      <c r="D23222" s="15" t="s">
        <v>27813</v>
      </c>
      <c r="E23222" s="2">
        <v>4516412</v>
      </c>
      <c r="F23222" s="4" t="e">
        <f>IF(B23222=#REF!,"",B23222)</f>
        <v>#REF!</v>
      </c>
    </row>
    <row r="23223" spans="1:6" ht="15.75" customHeight="1">
      <c r="A23223" s="15" t="s">
        <v>14006</v>
      </c>
      <c r="B23223" s="15" t="s">
        <v>14006</v>
      </c>
      <c r="C23223" s="15" t="s">
        <v>13800</v>
      </c>
      <c r="D23223" s="15" t="s">
        <v>13803</v>
      </c>
      <c r="E23223" s="2">
        <v>1638217</v>
      </c>
      <c r="F23223" s="4" t="e">
        <f>IF(B23223=#REF!,"",B23223)</f>
        <v>#REF!</v>
      </c>
    </row>
    <row r="23224" spans="1:6" ht="15.75" customHeight="1">
      <c r="A23224" s="15" t="s">
        <v>8748</v>
      </c>
      <c r="B23224" s="15" t="s">
        <v>8749</v>
      </c>
      <c r="C23224" s="15" t="s">
        <v>8028</v>
      </c>
      <c r="D23224" s="15" t="s">
        <v>8177</v>
      </c>
      <c r="E23224" s="2">
        <v>2879832</v>
      </c>
      <c r="F23224" s="4" t="e">
        <f>IF(B23224=#REF!,"",B23224)</f>
        <v>#REF!</v>
      </c>
    </row>
    <row r="23225" spans="1:6" ht="15.75" customHeight="1">
      <c r="A23225" s="15" t="s">
        <v>29106</v>
      </c>
      <c r="B23225" s="15" t="s">
        <v>29106</v>
      </c>
      <c r="C23225" s="15" t="s">
        <v>27788</v>
      </c>
      <c r="D23225" s="15" t="s">
        <v>28419</v>
      </c>
      <c r="E23225" s="2">
        <v>4274317</v>
      </c>
      <c r="F23225" s="4" t="e">
        <f>IF(B23225=#REF!,"",B23225)</f>
        <v>#REF!</v>
      </c>
    </row>
    <row r="23226" spans="1:6" ht="15.75" customHeight="1">
      <c r="A23226" s="16" t="s">
        <v>29105</v>
      </c>
      <c r="B23226" s="15" t="s">
        <v>29105</v>
      </c>
      <c r="C23226" s="16" t="s">
        <v>27788</v>
      </c>
      <c r="D23226" s="16" t="s">
        <v>28419</v>
      </c>
      <c r="E23226" s="2">
        <v>4274305</v>
      </c>
      <c r="F23226" s="4" t="e">
        <f>IF(B23226=#REF!,"",B23226)</f>
        <v>#REF!</v>
      </c>
    </row>
    <row r="23227" spans="1:6" ht="15.75" customHeight="1">
      <c r="A23227" s="16" t="s">
        <v>27486</v>
      </c>
      <c r="B23227" s="15" t="s">
        <v>27486</v>
      </c>
      <c r="C23227" s="16" t="s">
        <v>27234</v>
      </c>
      <c r="D23227" s="16" t="s">
        <v>27241</v>
      </c>
      <c r="E23227" s="2">
        <v>2644726</v>
      </c>
      <c r="F23227" s="4" t="e">
        <f>IF(B23227=#REF!,"",B23227)</f>
        <v>#REF!</v>
      </c>
    </row>
    <row r="23228" spans="1:6" ht="15.75" customHeight="1">
      <c r="A23228" s="15" t="s">
        <v>29104</v>
      </c>
      <c r="B23228" s="15" t="s">
        <v>29104</v>
      </c>
      <c r="C23228" s="15" t="s">
        <v>27788</v>
      </c>
      <c r="D23228" s="15" t="s">
        <v>5468</v>
      </c>
      <c r="E23228" s="2">
        <v>4161705</v>
      </c>
      <c r="F23228" s="4" t="e">
        <f>IF(B23228=#REF!,"",B23228)</f>
        <v>#REF!</v>
      </c>
    </row>
    <row r="23229" spans="1:6" ht="15.75" customHeight="1">
      <c r="A23229" s="15" t="s">
        <v>18047</v>
      </c>
      <c r="B23229" s="15" t="s">
        <v>18048</v>
      </c>
      <c r="C23229" s="15" t="s">
        <v>17707</v>
      </c>
      <c r="D23229" s="15" t="s">
        <v>17713</v>
      </c>
      <c r="E23229" s="2">
        <v>3998655</v>
      </c>
      <c r="F23229" s="4" t="str">
        <f>IF(B23229=B23228,"",B23229)</f>
        <v>LeÃ³n</v>
      </c>
    </row>
    <row r="23230" spans="1:6" ht="15.75" customHeight="1">
      <c r="A23230" s="16" t="s">
        <v>21673</v>
      </c>
      <c r="B23230" s="15" t="s">
        <v>21674</v>
      </c>
      <c r="C23230" s="16" t="s">
        <v>21606</v>
      </c>
      <c r="D23230" s="16" t="s">
        <v>21609</v>
      </c>
      <c r="E23230" s="2">
        <v>2738347</v>
      </c>
      <c r="F23230" s="4" t="str">
        <f>IF(B23230=B23229,"",B23230)</f>
        <v>LeÃ§a do Bailio</v>
      </c>
    </row>
    <row r="23231" spans="1:6" ht="15.75" customHeight="1">
      <c r="A23231" s="16" t="s">
        <v>21671</v>
      </c>
      <c r="B23231" s="15" t="s">
        <v>21672</v>
      </c>
      <c r="C23231" s="16" t="s">
        <v>21606</v>
      </c>
      <c r="D23231" s="16" t="s">
        <v>21609</v>
      </c>
      <c r="E23231" s="2">
        <v>2738348</v>
      </c>
      <c r="F23231" s="4" t="str">
        <f>IF(B23231=B23230,"",B23231)</f>
        <v>LeÃ§a da Palmeira</v>
      </c>
    </row>
    <row r="23232" spans="1:6" ht="15.75" customHeight="1">
      <c r="A23232" s="16" t="str">
        <f ca="1">IFERROR(__xludf.DUMMYFUNCTION("GOOGLETRANSLATE(B29973,""en"",""pt"")"),"Le Vésinet")</f>
        <v>Le Vésinet</v>
      </c>
      <c r="B23232" s="20" t="s">
        <v>32588</v>
      </c>
      <c r="C23232" s="20" t="s">
        <v>7052</v>
      </c>
      <c r="D23232" s="20" t="s">
        <v>32531</v>
      </c>
      <c r="E23232" s="10">
        <v>2998854</v>
      </c>
      <c r="F23232" s="4" t="str">
        <f>IF(B23232=B23231,"",B23232)</f>
        <v>Le Vésinet</v>
      </c>
    </row>
    <row r="23233" spans="1:6" ht="15.75" customHeight="1">
      <c r="A23233" s="16" t="s">
        <v>7474</v>
      </c>
      <c r="B23233" s="15" t="s">
        <v>7475</v>
      </c>
      <c r="C23233" s="16" t="s">
        <v>7052</v>
      </c>
      <c r="D23233" s="16" t="s">
        <v>7058</v>
      </c>
      <c r="E23233" s="2">
        <v>2998854</v>
      </c>
      <c r="F23233" s="4" t="e">
        <f>IF(B23233=#REF!,"",B23233)</f>
        <v>#REF!</v>
      </c>
    </row>
    <row r="23234" spans="1:6" ht="15.75" customHeight="1">
      <c r="A23234" s="16" t="s">
        <v>21813</v>
      </c>
      <c r="B23234" s="15" t="s">
        <v>21813</v>
      </c>
      <c r="C23234" s="16" t="s">
        <v>21810</v>
      </c>
      <c r="D23234" s="16" t="s">
        <v>21811</v>
      </c>
      <c r="E23234" s="2">
        <v>935582</v>
      </c>
      <c r="F23234" s="4" t="e">
        <f>IF(B23234=#REF!,"",B23234)</f>
        <v>#REF!</v>
      </c>
    </row>
    <row r="23235" spans="1:6" ht="15.75" customHeight="1">
      <c r="A23235" s="15" t="s">
        <v>17642</v>
      </c>
      <c r="B23235" s="15" t="s">
        <v>17642</v>
      </c>
      <c r="C23235" s="15" t="s">
        <v>17635</v>
      </c>
      <c r="D23235" s="15" t="s">
        <v>17635</v>
      </c>
      <c r="E23235" s="2">
        <v>3570412</v>
      </c>
      <c r="F23235" s="4" t="e">
        <f>IF(B23235=#REF!,"",B23235)</f>
        <v>#REF!</v>
      </c>
    </row>
    <row r="23236" spans="1:6" ht="15.75" customHeight="1">
      <c r="A23236" s="16" t="s">
        <v>7472</v>
      </c>
      <c r="B23236" s="15" t="s">
        <v>7473</v>
      </c>
      <c r="C23236" s="16" t="s">
        <v>7052</v>
      </c>
      <c r="D23236" s="16" t="s">
        <v>7053</v>
      </c>
      <c r="E23236" s="2">
        <v>3002465</v>
      </c>
      <c r="F23236" s="4" t="str">
        <f>IF(B23236=B23235,"",B23236)</f>
        <v>Le Puy-en-Velay</v>
      </c>
    </row>
    <row r="23237" spans="1:6" ht="15.75" customHeight="1">
      <c r="A23237" s="16" t="str">
        <f ca="1">IFERROR(__xludf.DUMMYFUNCTION("GOOGLETRANSLATE(B29983,""en"",""pt"")"),"Le Pré-Saint-Gervais")</f>
        <v>Le Pré-Saint-Gervais</v>
      </c>
      <c r="B23237" s="20" t="s">
        <v>32589</v>
      </c>
      <c r="C23237" s="20" t="s">
        <v>7052</v>
      </c>
      <c r="D23237" s="20" t="s">
        <v>32531</v>
      </c>
      <c r="E23237" s="10">
        <v>3002499</v>
      </c>
      <c r="F23237" s="4" t="str">
        <f>IF(B23237=B23236,"",B23237)</f>
        <v>Le Pré-Saint-Gervais</v>
      </c>
    </row>
    <row r="23238" spans="1:6" ht="15.75" customHeight="1">
      <c r="A23238" s="16" t="s">
        <v>7470</v>
      </c>
      <c r="B23238" s="15" t="s">
        <v>7471</v>
      </c>
      <c r="C23238" s="16" t="s">
        <v>7052</v>
      </c>
      <c r="D23238" s="16" t="s">
        <v>7058</v>
      </c>
      <c r="E23238" s="2">
        <v>3002499</v>
      </c>
      <c r="F23238" s="4" t="e">
        <f>IF(B23238=#REF!,"",B23238)</f>
        <v>#REF!</v>
      </c>
    </row>
    <row r="23239" spans="1:6" ht="15.75" customHeight="1">
      <c r="A23239" s="15" t="s">
        <v>21812</v>
      </c>
      <c r="B23239" s="15" t="s">
        <v>21812</v>
      </c>
      <c r="C23239" s="15" t="s">
        <v>21810</v>
      </c>
      <c r="D23239" s="15" t="s">
        <v>21811</v>
      </c>
      <c r="E23239" s="2">
        <v>935616</v>
      </c>
      <c r="F23239" s="4" t="e">
        <f>IF(B23239=#REF!,"",B23239)</f>
        <v>#REF!</v>
      </c>
    </row>
    <row r="23240" spans="1:6" ht="15.75" customHeight="1">
      <c r="A23240" s="15" t="s">
        <v>7469</v>
      </c>
      <c r="B23240" s="15" t="s">
        <v>7469</v>
      </c>
      <c r="C23240" s="15" t="s">
        <v>7052</v>
      </c>
      <c r="D23240" s="15" t="s">
        <v>7087</v>
      </c>
      <c r="E23240" s="2">
        <v>3002570</v>
      </c>
      <c r="F23240" s="4" t="str">
        <f>IF(B23240=B23239,"",B23240)</f>
        <v>Le Pontet</v>
      </c>
    </row>
    <row r="23241" spans="1:6" ht="15.75" customHeight="1">
      <c r="A23241" s="16" t="str">
        <f ca="1">IFERROR(__xludf.DUMMYFUNCTION("GOOGLETRANSLATE(B29985,""en"",""pt"")"),"Le Plessis-Trévise")</f>
        <v>Le Plessis-Trévise</v>
      </c>
      <c r="B23241" s="20" t="s">
        <v>32590</v>
      </c>
      <c r="C23241" s="20" t="s">
        <v>7052</v>
      </c>
      <c r="D23241" s="20" t="s">
        <v>32531</v>
      </c>
      <c r="E23241" s="10">
        <v>3002647</v>
      </c>
      <c r="F23241" s="4" t="str">
        <f>IF(B23241=B23240,"",B23241)</f>
        <v>Le Plessis-Trévise</v>
      </c>
    </row>
    <row r="23242" spans="1:6" ht="15.75" customHeight="1">
      <c r="A23242" s="16" t="s">
        <v>7467</v>
      </c>
      <c r="B23242" s="15" t="s">
        <v>7468</v>
      </c>
      <c r="C23242" s="16" t="s">
        <v>7052</v>
      </c>
      <c r="D23242" s="16" t="s">
        <v>7058</v>
      </c>
      <c r="E23242" s="2">
        <v>3002647</v>
      </c>
      <c r="F23242" s="4" t="e">
        <f>IF(B23242=#REF!,"",B23242)</f>
        <v>#REF!</v>
      </c>
    </row>
    <row r="23243" spans="1:6" ht="15.75" customHeight="1">
      <c r="A23243" s="16" t="s">
        <v>7466</v>
      </c>
      <c r="B23243" s="15" t="s">
        <v>7466</v>
      </c>
      <c r="C23243" s="16" t="s">
        <v>7052</v>
      </c>
      <c r="D23243" s="16" t="s">
        <v>7058</v>
      </c>
      <c r="E23243" s="2">
        <v>3002650</v>
      </c>
      <c r="F23243" s="4" t="e">
        <f>IF(B23243=#REF!,"",B23243)</f>
        <v>#REF!</v>
      </c>
    </row>
    <row r="23244" spans="1:6" ht="15.75" customHeight="1">
      <c r="A23244" s="16" t="s">
        <v>7465</v>
      </c>
      <c r="B23244" s="15" t="s">
        <v>7465</v>
      </c>
      <c r="C23244" s="16" t="s">
        <v>7052</v>
      </c>
      <c r="D23244" s="16" t="s">
        <v>7068</v>
      </c>
      <c r="E23244" s="2">
        <v>3002880</v>
      </c>
      <c r="F23244" s="4" t="e">
        <f>IF(B23244=#REF!,"",B23244)</f>
        <v>#REF!</v>
      </c>
    </row>
    <row r="23245" spans="1:6" ht="15.75" customHeight="1">
      <c r="A23245" s="16" t="s">
        <v>7464</v>
      </c>
      <c r="B23245" s="15" t="s">
        <v>7464</v>
      </c>
      <c r="C23245" s="16" t="s">
        <v>7052</v>
      </c>
      <c r="D23245" s="16" t="s">
        <v>7058</v>
      </c>
      <c r="E23245" s="2">
        <v>3002965</v>
      </c>
      <c r="F23245" s="4" t="e">
        <f>IF(B23245=#REF!,"",B23245)</f>
        <v>#REF!</v>
      </c>
    </row>
    <row r="23246" spans="1:6" ht="15.75" customHeight="1">
      <c r="A23246" s="15" t="s">
        <v>7462</v>
      </c>
      <c r="B23246" s="15" t="s">
        <v>7463</v>
      </c>
      <c r="C23246" s="15" t="s">
        <v>7052</v>
      </c>
      <c r="D23246" s="15" t="s">
        <v>7058</v>
      </c>
      <c r="E23246" s="2">
        <v>3002984</v>
      </c>
      <c r="F23246" s="4" t="e">
        <f>IF(B23246=#REF!,"",B23246)</f>
        <v>#REF!</v>
      </c>
    </row>
    <row r="23247" spans="1:6" ht="15.75" customHeight="1">
      <c r="A23247" s="15" t="s">
        <v>9675</v>
      </c>
      <c r="B23247" s="15" t="s">
        <v>9675</v>
      </c>
      <c r="C23247" s="15" t="s">
        <v>9670</v>
      </c>
      <c r="D23247" s="15" t="s">
        <v>9670</v>
      </c>
      <c r="E23247" s="2">
        <v>3578967</v>
      </c>
      <c r="F23247" s="4" t="str">
        <f>IF(B23247=B23246,"",B23247)</f>
        <v>Le Moule</v>
      </c>
    </row>
    <row r="23248" spans="1:6" ht="15.75" customHeight="1">
      <c r="A23248" s="16" t="str">
        <f ca="1">IFERROR(__xludf.DUMMYFUNCTION("GOOGLETRANSLATE(B29991,""en"",""pt"")"),"Le mée-sur-seine")</f>
        <v>Le mée-sur-seine</v>
      </c>
      <c r="B23248" s="20" t="s">
        <v>32591</v>
      </c>
      <c r="C23248" s="20" t="s">
        <v>7052</v>
      </c>
      <c r="D23248" s="20" t="s">
        <v>32531</v>
      </c>
      <c r="E23248" s="10">
        <v>3003481</v>
      </c>
      <c r="F23248" s="4" t="e">
        <f>IF(B23248=#REF!,"",B23248)</f>
        <v>#REF!</v>
      </c>
    </row>
    <row r="23249" spans="1:6" ht="15.75" customHeight="1">
      <c r="A23249" s="15" t="s">
        <v>7461</v>
      </c>
      <c r="B23249" s="15" t="s">
        <v>7461</v>
      </c>
      <c r="C23249" s="15" t="s">
        <v>7052</v>
      </c>
      <c r="D23249" s="15" t="s">
        <v>7102</v>
      </c>
      <c r="E23249" s="2">
        <v>3003603</v>
      </c>
      <c r="F23249" s="4" t="str">
        <f>IF(B23249=B23248,"",B23249)</f>
        <v>Le Mans</v>
      </c>
    </row>
    <row r="23250" spans="1:6" ht="15.75" customHeight="1">
      <c r="A23250" s="16" t="s">
        <v>7459</v>
      </c>
      <c r="B23250" s="15" t="s">
        <v>7460</v>
      </c>
      <c r="C23250" s="16" t="s">
        <v>7052</v>
      </c>
      <c r="D23250" s="16" t="s">
        <v>7058</v>
      </c>
      <c r="E23250" s="2">
        <v>3003481</v>
      </c>
      <c r="F23250" s="4" t="e">
        <f>IF(B23250=#REF!,"",B23250)</f>
        <v>#REF!</v>
      </c>
    </row>
    <row r="23251" spans="1:6" ht="15.75" customHeight="1">
      <c r="A23251" s="16" t="s">
        <v>17641</v>
      </c>
      <c r="B23251" s="15" t="s">
        <v>17641</v>
      </c>
      <c r="C23251" s="16" t="s">
        <v>17635</v>
      </c>
      <c r="D23251" s="16" t="s">
        <v>17635</v>
      </c>
      <c r="E23251" s="2">
        <v>3570428</v>
      </c>
      <c r="F23251" s="4" t="str">
        <f>IF(B23251=B23250,"",B23251)</f>
        <v>Le Lamentin</v>
      </c>
    </row>
    <row r="23252" spans="1:6" ht="15.75" customHeight="1">
      <c r="A23252" s="16" t="str">
        <f ca="1">IFERROR(__xludf.DUMMYFUNCTION("GOOGLETRANSLATE(B29993,""en"",""pt"")"),"Le Kremlin-Bicêtre")</f>
        <v>Le Kremlin-Bicêtre</v>
      </c>
      <c r="B23252" s="20" t="s">
        <v>32592</v>
      </c>
      <c r="C23252" s="20" t="s">
        <v>7052</v>
      </c>
      <c r="D23252" s="20" t="s">
        <v>32531</v>
      </c>
      <c r="E23252" s="10">
        <v>3003737</v>
      </c>
      <c r="F23252" s="4" t="str">
        <f>IF(B23252=B23251,"",B23252)</f>
        <v>Le Kremlin-Bicêtre</v>
      </c>
    </row>
    <row r="23253" spans="1:6" ht="15.75" customHeight="1">
      <c r="A23253" s="16" t="s">
        <v>7457</v>
      </c>
      <c r="B23253" s="15" t="s">
        <v>7458</v>
      </c>
      <c r="C23253" s="16" t="s">
        <v>7052</v>
      </c>
      <c r="D23253" s="16" t="s">
        <v>7058</v>
      </c>
      <c r="E23253" s="2">
        <v>3003737</v>
      </c>
      <c r="F23253" s="4" t="e">
        <f>IF(B23253=#REF!,"",B23253)</f>
        <v>#REF!</v>
      </c>
    </row>
    <row r="23254" spans="1:6" ht="15.75" customHeight="1">
      <c r="A23254" s="16" t="s">
        <v>17687</v>
      </c>
      <c r="B23254" s="15" t="s">
        <v>17687</v>
      </c>
      <c r="C23254" s="16" t="s">
        <v>17678</v>
      </c>
      <c r="D23254" s="16" t="s">
        <v>17688</v>
      </c>
      <c r="E23254" s="2">
        <v>1106809</v>
      </c>
      <c r="F23254" s="4" t="e">
        <f>IF(B23254=#REF!,"",B23254)</f>
        <v>#REF!</v>
      </c>
    </row>
    <row r="23255" spans="1:6" ht="15.75" customHeight="1">
      <c r="A23255" s="15" t="s">
        <v>7456</v>
      </c>
      <c r="B23255" s="15" t="s">
        <v>7456</v>
      </c>
      <c r="C23255" s="15" t="s">
        <v>7052</v>
      </c>
      <c r="D23255" s="15" t="s">
        <v>7068</v>
      </c>
      <c r="E23255" s="2">
        <v>3003796</v>
      </c>
      <c r="F23255" s="4" t="e">
        <f>IF(B23255=#REF!,"",B23255)</f>
        <v>#REF!</v>
      </c>
    </row>
    <row r="23256" spans="1:6" ht="15.75" customHeight="1">
      <c r="A23256" s="16" t="s">
        <v>7455</v>
      </c>
      <c r="B23256" s="15" t="s">
        <v>7455</v>
      </c>
      <c r="C23256" s="16" t="s">
        <v>7052</v>
      </c>
      <c r="D23256" s="16" t="s">
        <v>7068</v>
      </c>
      <c r="E23256" s="2">
        <v>3003952</v>
      </c>
      <c r="F23256" s="4" t="e">
        <f>IF(B23256=#REF!,"",B23256)</f>
        <v>#REF!</v>
      </c>
    </row>
    <row r="23257" spans="1:6" ht="15.75" customHeight="1">
      <c r="A23257" s="15" t="s">
        <v>9674</v>
      </c>
      <c r="B23257" s="15" t="s">
        <v>9674</v>
      </c>
      <c r="C23257" s="15" t="s">
        <v>9670</v>
      </c>
      <c r="D23257" s="15" t="s">
        <v>9670</v>
      </c>
      <c r="E23257" s="2">
        <v>3578978</v>
      </c>
      <c r="F23257" s="4" t="str">
        <f>IF(B23257=B23256,"",B23257)</f>
        <v>Le Gosier</v>
      </c>
    </row>
    <row r="23258" spans="1:6" ht="15.75" customHeight="1">
      <c r="A23258" s="16" t="str">
        <f ca="1">IFERROR(__xludf.DUMMYFUNCTION("GOOGLETRANSLATE(B36790,""en"",""pt"")"),"Le François")</f>
        <v>Le François</v>
      </c>
      <c r="B23258" s="20" t="s">
        <v>34643</v>
      </c>
      <c r="C23258" s="20" t="s">
        <v>17635</v>
      </c>
      <c r="D23258" s="20" t="s">
        <v>17635</v>
      </c>
      <c r="E23258" s="10">
        <v>3570429</v>
      </c>
      <c r="F23258" s="4" t="str">
        <f>IF(B23258=B23257,"",B23258)</f>
        <v>Le François</v>
      </c>
    </row>
    <row r="23259" spans="1:6" ht="15.75" customHeight="1">
      <c r="A23259" s="16" t="s">
        <v>17639</v>
      </c>
      <c r="B23259" s="15" t="s">
        <v>17640</v>
      </c>
      <c r="C23259" s="16" t="s">
        <v>17635</v>
      </c>
      <c r="D23259" s="16" t="s">
        <v>17635</v>
      </c>
      <c r="E23259" s="2">
        <v>3570429</v>
      </c>
      <c r="F23259" s="4" t="e">
        <f>IF(B23259=#REF!,"",B23259)</f>
        <v>#REF!</v>
      </c>
    </row>
    <row r="23260" spans="1:6" ht="15.75" customHeight="1">
      <c r="A23260" s="16" t="s">
        <v>7454</v>
      </c>
      <c r="B23260" s="15" t="s">
        <v>7454</v>
      </c>
      <c r="C23260" s="16" t="s">
        <v>7052</v>
      </c>
      <c r="D23260" s="16" t="s">
        <v>7128</v>
      </c>
      <c r="E23260" s="2">
        <v>3004427</v>
      </c>
      <c r="F23260" s="4" t="e">
        <f>IF(B23260=#REF!,"",B23260)</f>
        <v>#REF!</v>
      </c>
    </row>
    <row r="23261" spans="1:6" ht="15.75" customHeight="1">
      <c r="A23261" s="16" t="s">
        <v>7453</v>
      </c>
      <c r="B23261" s="15" t="s">
        <v>7453</v>
      </c>
      <c r="C23261" s="16" t="s">
        <v>7052</v>
      </c>
      <c r="D23261" s="16" t="s">
        <v>7058</v>
      </c>
      <c r="E23261" s="2">
        <v>3004630</v>
      </c>
      <c r="F23261" s="4" t="str">
        <f>IF(B23261=B23260,"",B23261)</f>
        <v>Le Chesnay</v>
      </c>
    </row>
    <row r="23262" spans="1:6" ht="15.75" customHeight="1">
      <c r="A23262" s="16" t="str">
        <f ca="1">IFERROR(__xludf.DUMMYFUNCTION("GOOGLETRANSLATE(B25773,""en"",""pt"")"),"Le Châtelard")</f>
        <v>Le Châtelard</v>
      </c>
      <c r="B23262" s="20" t="s">
        <v>31777</v>
      </c>
      <c r="C23262" s="20" t="s">
        <v>25237</v>
      </c>
      <c r="D23262" s="20" t="s">
        <v>25284</v>
      </c>
      <c r="E23262" s="10">
        <v>2659977</v>
      </c>
      <c r="F23262" s="4" t="str">
        <f>IF(B23262=B23261,"",B23262)</f>
        <v>Le Châtelard</v>
      </c>
    </row>
    <row r="23263" spans="1:6" ht="15.75" customHeight="1">
      <c r="A23263" s="16" t="s">
        <v>25285</v>
      </c>
      <c r="B23263" s="15" t="s">
        <v>25286</v>
      </c>
      <c r="C23263" s="16" t="s">
        <v>25237</v>
      </c>
      <c r="D23263" s="16" t="s">
        <v>25284</v>
      </c>
      <c r="E23263" s="2">
        <v>2659977</v>
      </c>
      <c r="F23263" s="4" t="e">
        <f>IF(B23263=#REF!,"",B23263)</f>
        <v>#REF!</v>
      </c>
    </row>
    <row r="23264" spans="1:6" ht="15.75" customHeight="1">
      <c r="A23264" s="16" t="s">
        <v>7452</v>
      </c>
      <c r="B23264" s="15" t="s">
        <v>7452</v>
      </c>
      <c r="C23264" s="16" t="s">
        <v>7052</v>
      </c>
      <c r="D23264" s="16" t="s">
        <v>7087</v>
      </c>
      <c r="E23264" s="2">
        <v>3004871</v>
      </c>
      <c r="F23264" s="4" t="e">
        <f>IF(B23264=#REF!,"",B23264)</f>
        <v>#REF!</v>
      </c>
    </row>
    <row r="23265" spans="1:6" ht="15.75" customHeight="1">
      <c r="A23265" s="16" t="s">
        <v>7451</v>
      </c>
      <c r="B23265" s="15" t="s">
        <v>7451</v>
      </c>
      <c r="C23265" s="16" t="s">
        <v>7052</v>
      </c>
      <c r="D23265" s="16" t="s">
        <v>7084</v>
      </c>
      <c r="E23265" s="2">
        <v>3005066</v>
      </c>
      <c r="F23265" s="4" t="e">
        <f>IF(B23265=#REF!,"",B23265)</f>
        <v>#REF!</v>
      </c>
    </row>
    <row r="23266" spans="1:6" ht="15.75" customHeight="1">
      <c r="A23266" s="16" t="s">
        <v>7450</v>
      </c>
      <c r="B23266" s="15" t="s">
        <v>7450</v>
      </c>
      <c r="C23266" s="16" t="s">
        <v>7052</v>
      </c>
      <c r="D23266" s="16" t="s">
        <v>7058</v>
      </c>
      <c r="E23266" s="2">
        <v>3005269</v>
      </c>
      <c r="F23266" s="4" t="str">
        <f>IF(B23266=B23265,"",B23266)</f>
        <v>Le Blanc-Mesnil</v>
      </c>
    </row>
    <row r="23267" spans="1:6" ht="15.75" customHeight="1">
      <c r="A23267" s="16" t="str">
        <f ca="1">IFERROR(__xludf.DUMMYFUNCTION("GOOGLETRANSLATE(B39418,""en"",""pt"")"),"Łaziska górne")</f>
        <v>Łaziska górne</v>
      </c>
      <c r="B23267" s="20" t="s">
        <v>35206</v>
      </c>
      <c r="C23267" s="20" t="s">
        <v>21064</v>
      </c>
      <c r="D23267" s="20" t="s">
        <v>21073</v>
      </c>
      <c r="E23267" s="10">
        <v>3093785</v>
      </c>
      <c r="F23267" s="4" t="e">
        <f>IF(B23267=#REF!,"",B23267)</f>
        <v>#REF!</v>
      </c>
    </row>
    <row r="23268" spans="1:6" ht="15.75" customHeight="1">
      <c r="A23268" s="15" t="s">
        <v>17182</v>
      </c>
      <c r="B23268" s="15" t="s">
        <v>17182</v>
      </c>
      <c r="C23268" s="15" t="s">
        <v>17154</v>
      </c>
      <c r="D23268" s="15" t="s">
        <v>17155</v>
      </c>
      <c r="E23268" s="2">
        <v>10062605</v>
      </c>
      <c r="F23268" s="4" t="e">
        <f>IF(B23268=#REF!,"",B23268)</f>
        <v>#REF!</v>
      </c>
    </row>
    <row r="23269" spans="1:6" ht="15.75" customHeight="1">
      <c r="A23269" s="16" t="s">
        <v>22660</v>
      </c>
      <c r="B23269" s="15" t="s">
        <v>22660</v>
      </c>
      <c r="C23269" s="16" t="s">
        <v>22070</v>
      </c>
      <c r="D23269" s="16" t="s">
        <v>22077</v>
      </c>
      <c r="E23269" s="2">
        <v>536625</v>
      </c>
      <c r="F23269" s="4" t="e">
        <f>IF(B23269=#REF!,"",B23269)</f>
        <v>#REF!</v>
      </c>
    </row>
    <row r="23270" spans="1:6" ht="15.75" customHeight="1">
      <c r="A23270" s="15" t="s">
        <v>23632</v>
      </c>
      <c r="B23270" s="15" t="s">
        <v>23632</v>
      </c>
      <c r="C23270" s="15" t="s">
        <v>23602</v>
      </c>
      <c r="D23270" s="15" t="s">
        <v>23603</v>
      </c>
      <c r="E23270" s="2">
        <v>788771</v>
      </c>
      <c r="F23270" s="4" t="e">
        <f>IF(B23270=#REF!,"",B23270)</f>
        <v>#REF!</v>
      </c>
    </row>
    <row r="23271" spans="1:6" ht="15.75" customHeight="1">
      <c r="A23271" s="15" t="s">
        <v>20070</v>
      </c>
      <c r="B23271" s="15" t="s">
        <v>20070</v>
      </c>
      <c r="C23271" s="15" t="s">
        <v>19808</v>
      </c>
      <c r="D23271" s="15" t="s">
        <v>10184</v>
      </c>
      <c r="E23271" s="2">
        <v>1172035</v>
      </c>
      <c r="F23271" s="4" t="e">
        <f>IF(B23271=#REF!,"",B23271)</f>
        <v>#REF!</v>
      </c>
    </row>
    <row r="23272" spans="1:6" ht="15.75" customHeight="1">
      <c r="A23272" s="15" t="s">
        <v>29103</v>
      </c>
      <c r="B23272" s="15" t="s">
        <v>29103</v>
      </c>
      <c r="C23272" s="15" t="s">
        <v>27788</v>
      </c>
      <c r="D23272" s="15" t="s">
        <v>27856</v>
      </c>
      <c r="E23272" s="2">
        <v>5777107</v>
      </c>
      <c r="F23272" s="4" t="e">
        <f>IF(B23272=#REF!,"",B23272)</f>
        <v>#REF!</v>
      </c>
    </row>
    <row r="23273" spans="1:6" ht="15.75" customHeight="1">
      <c r="A23273" s="15" t="s">
        <v>7449</v>
      </c>
      <c r="B23273" s="15" t="s">
        <v>7449</v>
      </c>
      <c r="C23273" s="15" t="s">
        <v>7052</v>
      </c>
      <c r="D23273" s="15" t="s">
        <v>7061</v>
      </c>
      <c r="E23273" s="2">
        <v>3005417</v>
      </c>
      <c r="F23273" s="4" t="e">
        <f>IF(B23273=#REF!,"",B23273)</f>
        <v>#REF!</v>
      </c>
    </row>
    <row r="23274" spans="1:6" ht="15.75" customHeight="1">
      <c r="A23274" s="15" t="s">
        <v>29102</v>
      </c>
      <c r="B23274" s="15" t="s">
        <v>29102</v>
      </c>
      <c r="C23274" s="15" t="s">
        <v>27788</v>
      </c>
      <c r="D23274" s="15" t="s">
        <v>27797</v>
      </c>
      <c r="E23274" s="2">
        <v>4540737</v>
      </c>
      <c r="F23274" s="4" t="e">
        <f>IF(B23274=#REF!,"",B23274)</f>
        <v>#REF!</v>
      </c>
    </row>
    <row r="23275" spans="1:6" ht="15.75" customHeight="1">
      <c r="A23275" s="16" t="s">
        <v>29101</v>
      </c>
      <c r="B23275" s="15" t="s">
        <v>29101</v>
      </c>
      <c r="C23275" s="16" t="s">
        <v>27788</v>
      </c>
      <c r="D23275" s="16" t="s">
        <v>7988</v>
      </c>
      <c r="E23275" s="2">
        <v>4205196</v>
      </c>
      <c r="F23275" s="4" t="e">
        <f>IF(B23275=#REF!,"",B23275)</f>
        <v>#REF!</v>
      </c>
    </row>
    <row r="23276" spans="1:6" ht="15.75" customHeight="1">
      <c r="A23276" s="15" t="s">
        <v>29100</v>
      </c>
      <c r="B23276" s="15" t="s">
        <v>29100</v>
      </c>
      <c r="C23276" s="15" t="s">
        <v>27788</v>
      </c>
      <c r="D23276" s="15" t="s">
        <v>27869</v>
      </c>
      <c r="E23276" s="2">
        <v>4260210</v>
      </c>
      <c r="F23276" s="4" t="str">
        <f>IF(B23276=B23275,"",B23276)</f>
        <v>Lawrence</v>
      </c>
    </row>
    <row r="23277" spans="1:6" ht="15.75" customHeight="1">
      <c r="A23277" s="16" t="str">
        <f ca="1">IFERROR(__xludf.DUMMYFUNCTION("GOOGLETRANSLATE(B32922,""en"",""pt"")"),"Lāwar Khās")</f>
        <v>Lāwar Khās</v>
      </c>
      <c r="B23277" s="20" t="s">
        <v>33454</v>
      </c>
      <c r="C23277" s="20" t="s">
        <v>10178</v>
      </c>
      <c r="D23277" s="20" t="s">
        <v>10193</v>
      </c>
      <c r="E23277" s="10">
        <v>1264989</v>
      </c>
      <c r="F23277" s="4" t="e">
        <f>IF(B23277=#REF!,"",B23277)</f>
        <v>#REF!</v>
      </c>
    </row>
    <row r="23278" spans="1:6" ht="15.75" customHeight="1">
      <c r="A23278" s="15" t="s">
        <v>14005</v>
      </c>
      <c r="B23278" s="15" t="s">
        <v>14005</v>
      </c>
      <c r="C23278" s="15" t="s">
        <v>13800</v>
      </c>
      <c r="D23278" s="15" t="s">
        <v>13816</v>
      </c>
      <c r="E23278" s="2">
        <v>1638284</v>
      </c>
      <c r="F23278" s="4" t="e">
        <f>IF(B23278=#REF!,"",B23278)</f>
        <v>#REF!</v>
      </c>
    </row>
    <row r="23279" spans="1:6" ht="15.75" customHeight="1">
      <c r="A23279" s="16" t="s">
        <v>2805</v>
      </c>
      <c r="B23279" s="15" t="s">
        <v>2805</v>
      </c>
      <c r="C23279" s="16" t="s">
        <v>1905</v>
      </c>
      <c r="D23279" s="16" t="s">
        <v>1930</v>
      </c>
      <c r="E23279" s="2">
        <v>3396364</v>
      </c>
      <c r="F23279" s="4" t="e">
        <f>IF(B23279=#REF!,"",B23279)</f>
        <v>#REF!</v>
      </c>
    </row>
    <row r="23280" spans="1:6" ht="15.75" customHeight="1">
      <c r="A23280" s="15" t="s">
        <v>2804</v>
      </c>
      <c r="B23280" s="15" t="s">
        <v>2804</v>
      </c>
      <c r="C23280" s="15" t="s">
        <v>1905</v>
      </c>
      <c r="D23280" s="15" t="s">
        <v>1917</v>
      </c>
      <c r="E23280" s="2">
        <v>3458696</v>
      </c>
      <c r="F23280" s="4" t="e">
        <f>IF(B23280=#REF!,"",B23280)</f>
        <v>#REF!</v>
      </c>
    </row>
    <row r="23281" spans="1:6" ht="15.75" customHeight="1">
      <c r="A23281" s="15" t="s">
        <v>26073</v>
      </c>
      <c r="B23281" s="15" t="s">
        <v>26073</v>
      </c>
      <c r="C23281" s="15" t="s">
        <v>26070</v>
      </c>
      <c r="D23281" s="15" t="s">
        <v>26074</v>
      </c>
      <c r="E23281" s="2">
        <v>3574309</v>
      </c>
      <c r="F23281" s="4" t="e">
        <f>IF(B23281=#REF!,"",B23281)</f>
        <v>#REF!</v>
      </c>
    </row>
    <row r="23282" spans="1:6" ht="15.75" customHeight="1">
      <c r="A23282" s="15" t="s">
        <v>4083</v>
      </c>
      <c r="B23282" s="15" t="s">
        <v>4083</v>
      </c>
      <c r="C23282" s="15" t="s">
        <v>3975</v>
      </c>
      <c r="D23282" s="15" t="s">
        <v>3982</v>
      </c>
      <c r="E23282" s="2">
        <v>6050610</v>
      </c>
      <c r="F23282" s="4" t="e">
        <f>IF(B23282=#REF!,"",B23282)</f>
        <v>#REF!</v>
      </c>
    </row>
    <row r="23283" spans="1:6" ht="15.75" customHeight="1">
      <c r="A23283" s="15" t="s">
        <v>6943</v>
      </c>
      <c r="B23283" s="15" t="s">
        <v>6943</v>
      </c>
      <c r="C23283" s="15" t="s">
        <v>6941</v>
      </c>
      <c r="D23283" s="15" t="s">
        <v>6944</v>
      </c>
      <c r="E23283" s="2">
        <v>2204506</v>
      </c>
      <c r="F23283" s="4" t="e">
        <f>IF(B23283=#REF!,"",B23283)</f>
        <v>#REF!</v>
      </c>
    </row>
    <row r="23284" spans="1:6" ht="15.75" customHeight="1">
      <c r="A23284" s="15" t="s">
        <v>4415</v>
      </c>
      <c r="B23284" s="15" t="s">
        <v>4416</v>
      </c>
      <c r="C23284" s="15" t="s">
        <v>4355</v>
      </c>
      <c r="D23284" s="15" t="s">
        <v>4358</v>
      </c>
      <c r="E23284" s="2">
        <v>3883615</v>
      </c>
      <c r="F23284" s="4" t="e">
        <f>IF(B23284=#REF!,"",B23284)</f>
        <v>#REF!</v>
      </c>
    </row>
    <row r="23285" spans="1:6" ht="15.75" customHeight="1">
      <c r="A23285" s="15" t="s">
        <v>25283</v>
      </c>
      <c r="B23285" s="15" t="s">
        <v>25283</v>
      </c>
      <c r="C23285" s="15" t="s">
        <v>25237</v>
      </c>
      <c r="D23285" s="15" t="s">
        <v>25284</v>
      </c>
      <c r="E23285" s="2">
        <v>2659994</v>
      </c>
      <c r="F23285" s="4" t="e">
        <f>IF(B23285=#REF!,"",B23285)</f>
        <v>#REF!</v>
      </c>
    </row>
    <row r="23286" spans="1:6" ht="15.75" customHeight="1">
      <c r="A23286" s="16" t="s">
        <v>2803</v>
      </c>
      <c r="B23286" s="15" t="s">
        <v>2803</v>
      </c>
      <c r="C23286" s="16" t="s">
        <v>1905</v>
      </c>
      <c r="D23286" s="16" t="s">
        <v>1947</v>
      </c>
      <c r="E23286" s="2">
        <v>6317464</v>
      </c>
      <c r="F23286" s="4" t="e">
        <f>IF(B23286=#REF!,"",B23286)</f>
        <v>#REF!</v>
      </c>
    </row>
    <row r="23287" spans="1:6" ht="15.75" customHeight="1">
      <c r="A23287" s="16" t="s">
        <v>29099</v>
      </c>
      <c r="B23287" s="15" t="s">
        <v>29099</v>
      </c>
      <c r="C23287" s="16" t="s">
        <v>27788</v>
      </c>
      <c r="D23287" s="16" t="s">
        <v>27822</v>
      </c>
      <c r="E23287" s="2">
        <v>4475347</v>
      </c>
      <c r="F23287" s="4" t="e">
        <f>IF(B23287=#REF!,"",B23287)</f>
        <v>#REF!</v>
      </c>
    </row>
    <row r="23288" spans="1:6" ht="15.75" customHeight="1">
      <c r="A23288" s="15" t="s">
        <v>29097</v>
      </c>
      <c r="B23288" s="15" t="s">
        <v>29098</v>
      </c>
      <c r="C23288" s="15" t="s">
        <v>27788</v>
      </c>
      <c r="D23288" s="15" t="s">
        <v>17061</v>
      </c>
      <c r="E23288" s="2">
        <v>4360369</v>
      </c>
      <c r="F23288" s="4" t="e">
        <f>IF(B23288=#REF!,"",B23288)</f>
        <v>#REF!</v>
      </c>
    </row>
    <row r="23289" spans="1:6" ht="15.75" customHeight="1">
      <c r="A23289" s="15" t="s">
        <v>20829</v>
      </c>
      <c r="B23289" s="15" t="s">
        <v>20829</v>
      </c>
      <c r="C23289" s="15" t="s">
        <v>20598</v>
      </c>
      <c r="D23289" s="15" t="s">
        <v>20599</v>
      </c>
      <c r="E23289" s="2">
        <v>1707049</v>
      </c>
      <c r="F23289" s="4" t="e">
        <f>IF(B23289=#REF!,"",B23289)</f>
        <v>#REF!</v>
      </c>
    </row>
    <row r="23290" spans="1:6" ht="15.75" customHeight="1">
      <c r="A23290" s="16" t="s">
        <v>8747</v>
      </c>
      <c r="B23290" s="15" t="s">
        <v>8747</v>
      </c>
      <c r="C23290" s="16" t="s">
        <v>8028</v>
      </c>
      <c r="D23290" s="16" t="s">
        <v>8031</v>
      </c>
      <c r="E23290" s="2">
        <v>2880077</v>
      </c>
      <c r="F23290" s="4" t="str">
        <f>IF(B23290=B23289,"",B23290)</f>
        <v>Laupheim</v>
      </c>
    </row>
    <row r="23291" spans="1:6" ht="15.75" customHeight="1">
      <c r="A23291" s="16" t="str">
        <f ca="1">IFERROR(__xludf.DUMMYFUNCTION("GOOGLETRANSLATE(B32923,""en"",""pt"")"),"Laungowāl")</f>
        <v>Laungowāl</v>
      </c>
      <c r="B23291" s="20" t="s">
        <v>33455</v>
      </c>
      <c r="C23291" s="20" t="s">
        <v>10178</v>
      </c>
      <c r="D23291" s="20" t="s">
        <v>10184</v>
      </c>
      <c r="E23291" s="10">
        <v>1265007</v>
      </c>
      <c r="F23291" s="4" t="str">
        <f>IF(B23291=B23290,"",B23291)</f>
        <v>Laungowāl</v>
      </c>
    </row>
    <row r="23292" spans="1:6" ht="15.75" customHeight="1">
      <c r="A23292" s="16" t="s">
        <v>12154</v>
      </c>
      <c r="B23292" s="15" t="s">
        <v>12155</v>
      </c>
      <c r="C23292" s="16" t="s">
        <v>10178</v>
      </c>
      <c r="D23292" s="16" t="s">
        <v>10184</v>
      </c>
      <c r="E23292" s="2">
        <v>1265007</v>
      </c>
      <c r="F23292" s="4" t="e">
        <f>IF(B23292=#REF!,"",B23292)</f>
        <v>#REF!</v>
      </c>
    </row>
    <row r="23293" spans="1:6" ht="15.75" customHeight="1">
      <c r="A23293" s="16" t="s">
        <v>1012</v>
      </c>
      <c r="B23293" s="15" t="s">
        <v>1012</v>
      </c>
      <c r="C23293" s="16" t="s">
        <v>885</v>
      </c>
      <c r="D23293" s="16" t="s">
        <v>924</v>
      </c>
      <c r="E23293" s="2">
        <v>2160517</v>
      </c>
      <c r="F23293" s="4" t="e">
        <f>IF(B23293=#REF!,"",B23293)</f>
        <v>#REF!</v>
      </c>
    </row>
    <row r="23294" spans="1:6" ht="15.75" customHeight="1">
      <c r="A23294" s="15" t="s">
        <v>7005</v>
      </c>
      <c r="B23294" s="15" t="s">
        <v>7005</v>
      </c>
      <c r="C23294" s="15" t="s">
        <v>6948</v>
      </c>
      <c r="D23294" s="15" t="s">
        <v>6972</v>
      </c>
      <c r="E23294" s="2">
        <v>648738</v>
      </c>
      <c r="F23294" s="4" t="e">
        <f>IF(B23294=#REF!,"",B23294)</f>
        <v>#REF!</v>
      </c>
    </row>
    <row r="23295" spans="1:6" ht="15.75" customHeight="1">
      <c r="A23295" s="16" t="s">
        <v>8745</v>
      </c>
      <c r="B23295" s="15" t="s">
        <v>8746</v>
      </c>
      <c r="C23295" s="16" t="s">
        <v>8028</v>
      </c>
      <c r="D23295" s="16" t="s">
        <v>8044</v>
      </c>
      <c r="E23295" s="2">
        <v>2880144</v>
      </c>
      <c r="F23295" s="4" t="e">
        <f>IF(B23295=#REF!,"",B23295)</f>
        <v>#REF!</v>
      </c>
    </row>
    <row r="23296" spans="1:6" ht="15.75" customHeight="1">
      <c r="A23296" s="16" t="s">
        <v>24551</v>
      </c>
      <c r="B23296" s="15" t="s">
        <v>24552</v>
      </c>
      <c r="C23296" s="16" t="s">
        <v>24200</v>
      </c>
      <c r="D23296" s="16" t="s">
        <v>24249</v>
      </c>
      <c r="E23296" s="2">
        <v>3118228</v>
      </c>
      <c r="F23296" s="4" t="e">
        <f>IF(B23296=#REF!,"",B23296)</f>
        <v>#REF!</v>
      </c>
    </row>
    <row r="23297" spans="1:6" ht="15.75" customHeight="1">
      <c r="A23297" s="16" t="s">
        <v>29096</v>
      </c>
      <c r="B23297" s="15" t="s">
        <v>29096</v>
      </c>
      <c r="C23297" s="16" t="s">
        <v>27788</v>
      </c>
      <c r="D23297" s="16" t="s">
        <v>5468</v>
      </c>
      <c r="E23297" s="2">
        <v>4161625</v>
      </c>
      <c r="F23297" s="4" t="e">
        <f>IF(B23297=#REF!,"",B23297)</f>
        <v>#REF!</v>
      </c>
    </row>
    <row r="23298" spans="1:6" ht="15.75" customHeight="1">
      <c r="A23298" s="16" t="s">
        <v>29095</v>
      </c>
      <c r="B23298" s="15" t="s">
        <v>29095</v>
      </c>
      <c r="C23298" s="16" t="s">
        <v>27788</v>
      </c>
      <c r="D23298" s="16" t="s">
        <v>5468</v>
      </c>
      <c r="E23298" s="2">
        <v>4161616</v>
      </c>
      <c r="F23298" s="4" t="str">
        <f>IF(B23298=B23297,"",B23298)</f>
        <v>Lauderdale Lakes</v>
      </c>
    </row>
    <row r="23299" spans="1:6" ht="15.75" customHeight="1">
      <c r="A23299" s="16" t="str">
        <f ca="1">IFERROR(__xludf.DUMMYFUNCTION("GOOGLETRANSLATE(B28359,""en"",""pt"")"),"Lauda-königshofen")</f>
        <v>Lauda-königshofen</v>
      </c>
      <c r="B23299" s="20" t="s">
        <v>32142</v>
      </c>
      <c r="C23299" s="20" t="s">
        <v>8028</v>
      </c>
      <c r="D23299" s="20" t="s">
        <v>32013</v>
      </c>
      <c r="E23299" s="10">
        <v>3274966</v>
      </c>
      <c r="F23299" s="4" t="str">
        <f>IF(B23299=B23298,"",B23299)</f>
        <v>Lauda-Königshofen</v>
      </c>
    </row>
    <row r="23300" spans="1:6" ht="15.75" customHeight="1">
      <c r="A23300" s="16" t="s">
        <v>8743</v>
      </c>
      <c r="B23300" s="15" t="s">
        <v>8744</v>
      </c>
      <c r="C23300" s="16" t="s">
        <v>8028</v>
      </c>
      <c r="D23300" s="16" t="s">
        <v>8031</v>
      </c>
      <c r="E23300" s="2">
        <v>3274966</v>
      </c>
      <c r="F23300" s="4" t="e">
        <f>IF(B23300=#REF!,"",B23300)</f>
        <v>#REF!</v>
      </c>
    </row>
    <row r="23301" spans="1:6" ht="15.75" customHeight="1">
      <c r="A23301" s="16" t="s">
        <v>8742</v>
      </c>
      <c r="B23301" s="15" t="s">
        <v>8742</v>
      </c>
      <c r="C23301" s="16" t="s">
        <v>8028</v>
      </c>
      <c r="D23301" s="16" t="s">
        <v>8070</v>
      </c>
      <c r="E23301" s="2">
        <v>2880221</v>
      </c>
      <c r="F23301" s="4" t="str">
        <f>IF(B23301=B23300,"",B23301)</f>
        <v>Lauchhammer</v>
      </c>
    </row>
    <row r="23302" spans="1:6" ht="15.75" customHeight="1">
      <c r="A23302" s="16" t="s">
        <v>21321</v>
      </c>
      <c r="B23302" s="15" t="s">
        <v>21322</v>
      </c>
      <c r="C23302" s="16" t="s">
        <v>21064</v>
      </c>
      <c r="D23302" s="16" t="s">
        <v>21073</v>
      </c>
      <c r="E23302" s="2">
        <v>3093708</v>
      </c>
      <c r="F23302" s="4" t="str">
        <f>IF(B23302=B23301,"",B23302)</f>
        <v>LÄ™dziny</v>
      </c>
    </row>
    <row r="23303" spans="1:6" ht="15.75" customHeight="1">
      <c r="A23303" s="15" t="s">
        <v>21319</v>
      </c>
      <c r="B23303" s="15" t="s">
        <v>21320</v>
      </c>
      <c r="C23303" s="15" t="s">
        <v>21064</v>
      </c>
      <c r="D23303" s="15" t="s">
        <v>21173</v>
      </c>
      <c r="E23303" s="2">
        <v>3093739</v>
      </c>
      <c r="F23303" s="4" t="e">
        <f>IF(B23303=#REF!,"",B23303)</f>
        <v>#REF!</v>
      </c>
    </row>
    <row r="23304" spans="1:6" ht="15.75" customHeight="1">
      <c r="A23304" s="15" t="s">
        <v>12153</v>
      </c>
      <c r="B23304" s="15" t="s">
        <v>12153</v>
      </c>
      <c r="C23304" s="15" t="s">
        <v>10178</v>
      </c>
      <c r="D23304" s="15" t="s">
        <v>10214</v>
      </c>
      <c r="E23304" s="2">
        <v>1265014</v>
      </c>
      <c r="F23304" s="4" t="e">
        <f>IF(B23304=#REF!,"",B23304)</f>
        <v>#REF!</v>
      </c>
    </row>
    <row r="23305" spans="1:6" ht="15.75" customHeight="1">
      <c r="A23305" s="15" t="s">
        <v>7447</v>
      </c>
      <c r="B23305" s="15" t="s">
        <v>7448</v>
      </c>
      <c r="C23305" s="15" t="s">
        <v>7052</v>
      </c>
      <c r="D23305" s="15" t="s">
        <v>7082</v>
      </c>
      <c r="E23305" s="2">
        <v>3006121</v>
      </c>
      <c r="F23305" s="4" t="e">
        <f>IF(B23305=#REF!,"",B23305)</f>
        <v>#REF!</v>
      </c>
    </row>
    <row r="23306" spans="1:6" ht="15.75" customHeight="1">
      <c r="A23306" s="15" t="s">
        <v>15213</v>
      </c>
      <c r="B23306" s="15" t="s">
        <v>15213</v>
      </c>
      <c r="C23306" s="15" t="s">
        <v>14891</v>
      </c>
      <c r="D23306" s="15" t="s">
        <v>14904</v>
      </c>
      <c r="E23306" s="2">
        <v>3175058</v>
      </c>
      <c r="F23306" s="4" t="str">
        <f>IF(B23306=B23305,"",B23306)</f>
        <v>Latina</v>
      </c>
    </row>
    <row r="23307" spans="1:6" ht="15.75" customHeight="1">
      <c r="A23307" s="16" t="str">
        <f ca="1">IFERROR(__xludf.DUMMYFUNCTION("GOOGLETRANSLATE(B32925,""en"",""pt"")"),"Lāthi")</f>
        <v>Lāthi</v>
      </c>
      <c r="B23307" s="20" t="s">
        <v>33456</v>
      </c>
      <c r="C23307" s="20" t="s">
        <v>10178</v>
      </c>
      <c r="D23307" s="20" t="s">
        <v>10209</v>
      </c>
      <c r="E23307" s="10">
        <v>1265022</v>
      </c>
      <c r="F23307" s="4" t="str">
        <f>IF(B23307=B23306,"",B23307)</f>
        <v>Lāthi</v>
      </c>
    </row>
    <row r="23308" spans="1:6" ht="15.75" customHeight="1">
      <c r="A23308" s="16" t="str">
        <f ca="1">IFERROR(__xludf.DUMMYFUNCTION("GOOGLETRANSLATE(B32926,""en"",""pt"")"),"Lātehār")</f>
        <v>Lātehār</v>
      </c>
      <c r="B23308" s="20" t="s">
        <v>33457</v>
      </c>
      <c r="C23308" s="20" t="s">
        <v>10178</v>
      </c>
      <c r="D23308" s="20" t="s">
        <v>10430</v>
      </c>
      <c r="E23308" s="10">
        <v>1265025</v>
      </c>
      <c r="F23308" s="4" t="e">
        <f>IF(B23308=#REF!,"",B23308)</f>
        <v>#REF!</v>
      </c>
    </row>
    <row r="23309" spans="1:6" ht="15.75" customHeight="1">
      <c r="A23309" s="15" t="s">
        <v>25455</v>
      </c>
      <c r="B23309" s="15" t="s">
        <v>25455</v>
      </c>
      <c r="C23309" s="15" t="s">
        <v>25366</v>
      </c>
      <c r="D23309" s="15" t="s">
        <v>25455</v>
      </c>
      <c r="E23309" s="2">
        <v>173576</v>
      </c>
      <c r="F23309" s="4" t="e">
        <f>IF(B23309=#REF!,"",B23309)</f>
        <v>#REF!</v>
      </c>
    </row>
    <row r="23310" spans="1:6" ht="15.75" customHeight="1">
      <c r="A23310" s="16" t="s">
        <v>6440</v>
      </c>
      <c r="B23310" s="15" t="s">
        <v>6440</v>
      </c>
      <c r="C23310" s="16" t="s">
        <v>6398</v>
      </c>
      <c r="D23310" s="16" t="s">
        <v>6438</v>
      </c>
      <c r="E23310" s="2">
        <v>3654870</v>
      </c>
      <c r="F23310" s="4" t="e">
        <f>IF(B23310=#REF!,"",B23310)</f>
        <v>#REF!</v>
      </c>
    </row>
    <row r="23311" spans="1:6" ht="15.75" customHeight="1">
      <c r="A23311" s="15" t="s">
        <v>25920</v>
      </c>
      <c r="B23311" s="15" t="s">
        <v>25920</v>
      </c>
      <c r="C23311" s="15" t="s">
        <v>25771</v>
      </c>
      <c r="D23311" s="15" t="s">
        <v>25921</v>
      </c>
      <c r="E23311" s="2">
        <v>1152377</v>
      </c>
      <c r="F23311" s="4" t="e">
        <f>IF(B23311=#REF!,"",B23311)</f>
        <v>#REF!</v>
      </c>
    </row>
    <row r="23312" spans="1:6" ht="15.75" customHeight="1">
      <c r="A23312" s="16" t="s">
        <v>4082</v>
      </c>
      <c r="B23312" s="15" t="s">
        <v>4082</v>
      </c>
      <c r="C23312" s="16" t="s">
        <v>3975</v>
      </c>
      <c r="D23312" s="16" t="s">
        <v>3982</v>
      </c>
      <c r="E23312" s="2">
        <v>6050263</v>
      </c>
      <c r="F23312" s="4" t="str">
        <f>IF(B23312=B23311,"",B23312)</f>
        <v>L'Assomption</v>
      </c>
    </row>
    <row r="23313" spans="1:6" ht="15.75" customHeight="1">
      <c r="A23313" s="16" t="str">
        <f ca="1">IFERROR(__xludf.DUMMYFUNCTION("GOOGLETRANSLATE(B39419,""en"",""pt"")"),"Łask")</f>
        <v>Łask</v>
      </c>
      <c r="B23313" s="20" t="s">
        <v>35207</v>
      </c>
      <c r="C23313" s="20" t="s">
        <v>21064</v>
      </c>
      <c r="D23313" s="20" t="s">
        <v>35071</v>
      </c>
      <c r="E23313" s="10">
        <v>3093902</v>
      </c>
      <c r="F23313" s="4" t="str">
        <f>IF(B23313=B23312,"",B23313)</f>
        <v>Łask</v>
      </c>
    </row>
    <row r="23314" spans="1:6" ht="15.75" customHeight="1">
      <c r="A23314" s="16" t="str">
        <f ca="1">IFERROR(__xludf.DUMMYFUNCTION("GOOGLETRANSLATE(B23071,""en"",""pt"")"),"Lashkar Gāh")</f>
        <v>Lashkar Gāh</v>
      </c>
      <c r="B23314" s="20" t="s">
        <v>31125</v>
      </c>
      <c r="C23314" s="20" t="s">
        <v>8</v>
      </c>
      <c r="D23314" s="20" t="s">
        <v>44</v>
      </c>
      <c r="E23314" s="10">
        <v>1134720</v>
      </c>
      <c r="F23314" s="4" t="str">
        <f>IF(B23314=B23313,"",B23314)</f>
        <v>Lashkar Gāh</v>
      </c>
    </row>
    <row r="23315" spans="1:6" ht="15.75" customHeight="1">
      <c r="A23315" s="16" t="s">
        <v>74</v>
      </c>
      <c r="B23315" s="15" t="s">
        <v>75</v>
      </c>
      <c r="C23315" s="16" t="s">
        <v>8</v>
      </c>
      <c r="D23315" s="16" t="s">
        <v>44</v>
      </c>
      <c r="E23315" s="2">
        <v>1134720</v>
      </c>
      <c r="F23315" s="4" t="e">
        <f>IF(B23315=#REF!,"",B23315)</f>
        <v>#REF!</v>
      </c>
    </row>
    <row r="23316" spans="1:6" ht="15.75" customHeight="1">
      <c r="A23316" s="15" t="s">
        <v>18719</v>
      </c>
      <c r="B23316" s="15" t="s">
        <v>18719</v>
      </c>
      <c r="C23316" s="15" t="s">
        <v>18696</v>
      </c>
      <c r="D23316" s="15" t="s">
        <v>18720</v>
      </c>
      <c r="E23316" s="2">
        <v>1314759</v>
      </c>
      <c r="F23316" s="4" t="e">
        <f>IF(B23316=#REF!,"",B23316)</f>
        <v>#REF!</v>
      </c>
    </row>
    <row r="23317" spans="1:6" ht="15.75" customHeight="1">
      <c r="A23317" s="15" t="s">
        <v>14004</v>
      </c>
      <c r="B23317" s="15" t="s">
        <v>14004</v>
      </c>
      <c r="C23317" s="15" t="s">
        <v>13800</v>
      </c>
      <c r="D23317" s="15" t="s">
        <v>13803</v>
      </c>
      <c r="E23317" s="2">
        <v>1638352</v>
      </c>
      <c r="F23317" s="4" t="e">
        <f>IF(B23317=#REF!,"",B23317)</f>
        <v>#REF!</v>
      </c>
    </row>
    <row r="23318" spans="1:6" ht="15.75" customHeight="1">
      <c r="A23318" s="15" t="s">
        <v>24550</v>
      </c>
      <c r="B23318" s="15" t="s">
        <v>24550</v>
      </c>
      <c r="C23318" s="15" t="s">
        <v>24200</v>
      </c>
      <c r="D23318" s="15" t="s">
        <v>24249</v>
      </c>
      <c r="E23318" s="2">
        <v>3119027</v>
      </c>
      <c r="F23318" s="4" t="e">
        <f>IF(B23318=#REF!,"",B23318)</f>
        <v>#REF!</v>
      </c>
    </row>
    <row r="23319" spans="1:6" ht="15.75" customHeight="1">
      <c r="A23319" s="15" t="s">
        <v>29094</v>
      </c>
      <c r="B23319" s="15" t="s">
        <v>29094</v>
      </c>
      <c r="C23319" s="15" t="s">
        <v>27788</v>
      </c>
      <c r="D23319" s="15" t="s">
        <v>28073</v>
      </c>
      <c r="E23319" s="2">
        <v>5506956</v>
      </c>
      <c r="F23319" s="4" t="e">
        <f>IF(B23319=#REF!,"",B23319)</f>
        <v>#REF!</v>
      </c>
    </row>
    <row r="23320" spans="1:6" ht="15.75" customHeight="1">
      <c r="A23320" s="15" t="s">
        <v>5773</v>
      </c>
      <c r="B23320" s="15" t="s">
        <v>5773</v>
      </c>
      <c r="C23320" s="15" t="s">
        <v>5764</v>
      </c>
      <c r="D23320" s="15" t="s">
        <v>5773</v>
      </c>
      <c r="E23320" s="2">
        <v>3550598</v>
      </c>
      <c r="F23320" s="4" t="e">
        <f>IF(B23320=#REF!,"",B23320)</f>
        <v>#REF!</v>
      </c>
    </row>
    <row r="23321" spans="1:6" ht="15.75" customHeight="1">
      <c r="A23321" s="16" t="s">
        <v>24549</v>
      </c>
      <c r="B23321" s="15" t="s">
        <v>24549</v>
      </c>
      <c r="C23321" s="16" t="s">
        <v>24200</v>
      </c>
      <c r="D23321" s="16" t="s">
        <v>20912</v>
      </c>
      <c r="E23321" s="2">
        <v>2515219</v>
      </c>
      <c r="F23321" s="4" t="str">
        <f>IF(B23321=B23320,"",B23321)</f>
        <v>Las Torres de Cotillas</v>
      </c>
    </row>
    <row r="23322" spans="1:6" ht="15.75" customHeight="1">
      <c r="A23322" s="16" t="str">
        <f ca="1">IFERROR(__xludf.DUMMYFUNCTION("GOOGLETRANSLATE(B45654,""en"",""pt"")"),"Las Tejerías")</f>
        <v>Las Tejerías</v>
      </c>
      <c r="B23322" s="20" t="s">
        <v>36093</v>
      </c>
      <c r="C23322" s="20" t="s">
        <v>5923</v>
      </c>
      <c r="D23322" s="20" t="s">
        <v>30652</v>
      </c>
      <c r="E23322" s="10">
        <v>3635325</v>
      </c>
      <c r="F23322" s="4" t="str">
        <f>IF(B23322=B23321,"",B23322)</f>
        <v>Las Tejerías</v>
      </c>
    </row>
    <row r="23323" spans="1:6" ht="15.75" customHeight="1">
      <c r="A23323" s="16" t="s">
        <v>30716</v>
      </c>
      <c r="B23323" s="15" t="s">
        <v>30717</v>
      </c>
      <c r="C23323" s="16" t="s">
        <v>5923</v>
      </c>
      <c r="D23323" s="16" t="s">
        <v>30652</v>
      </c>
      <c r="E23323" s="2">
        <v>3635325</v>
      </c>
      <c r="F23323" s="4" t="e">
        <f>IF(B23323=#REF!,"",B23323)</f>
        <v>#REF!</v>
      </c>
    </row>
    <row r="23324" spans="1:6" ht="15.75" customHeight="1">
      <c r="A23324" s="16" t="s">
        <v>24548</v>
      </c>
      <c r="B23324" s="15" t="s">
        <v>24548</v>
      </c>
      <c r="C23324" s="16" t="s">
        <v>24200</v>
      </c>
      <c r="D23324" s="16" t="s">
        <v>5513</v>
      </c>
      <c r="E23324" s="2">
        <v>3118848</v>
      </c>
      <c r="F23324" s="4" t="e">
        <f>IF(B23324=#REF!,"",B23324)</f>
        <v>#REF!</v>
      </c>
    </row>
    <row r="23325" spans="1:6" ht="15.75" customHeight="1">
      <c r="A23325" s="16" t="s">
        <v>18046</v>
      </c>
      <c r="B23325" s="15" t="s">
        <v>18046</v>
      </c>
      <c r="C23325" s="16" t="s">
        <v>17707</v>
      </c>
      <c r="D23325" s="16" t="s">
        <v>17746</v>
      </c>
      <c r="E23325" s="2">
        <v>8858098</v>
      </c>
      <c r="F23325" s="4" t="e">
        <f>IF(B23325=#REF!,"",B23325)</f>
        <v>#REF!</v>
      </c>
    </row>
    <row r="23326" spans="1:6" ht="15.75" customHeight="1">
      <c r="A23326" s="16" t="s">
        <v>18045</v>
      </c>
      <c r="B23326" s="15" t="s">
        <v>18045</v>
      </c>
      <c r="C23326" s="16" t="s">
        <v>17707</v>
      </c>
      <c r="D23326" s="16" t="s">
        <v>17746</v>
      </c>
      <c r="E23326" s="2">
        <v>3999325</v>
      </c>
      <c r="F23326" s="4" t="e">
        <f>IF(B23326=#REF!,"",B23326)</f>
        <v>#REF!</v>
      </c>
    </row>
    <row r="23327" spans="1:6" ht="15.75" customHeight="1">
      <c r="A23327" s="16" t="s">
        <v>30481</v>
      </c>
      <c r="B23327" s="15" t="s">
        <v>30481</v>
      </c>
      <c r="C23327" s="16" t="s">
        <v>30472</v>
      </c>
      <c r="D23327" s="16" t="s">
        <v>30473</v>
      </c>
      <c r="E23327" s="2">
        <v>3442057</v>
      </c>
      <c r="F23327" s="4" t="e">
        <f>IF(B23327=#REF!,"",B23327)</f>
        <v>#REF!</v>
      </c>
    </row>
    <row r="23328" spans="1:6" ht="15.75" customHeight="1">
      <c r="A23328" s="16" t="s">
        <v>24547</v>
      </c>
      <c r="B23328" s="15" t="s">
        <v>24547</v>
      </c>
      <c r="C23328" s="16" t="s">
        <v>24200</v>
      </c>
      <c r="D23328" s="16" t="s">
        <v>24212</v>
      </c>
      <c r="E23328" s="2">
        <v>2515270</v>
      </c>
      <c r="F23328" s="4" t="str">
        <f>IF(B23328=B23327,"",B23328)</f>
        <v>Las Palmas de Gran Canaria</v>
      </c>
    </row>
    <row r="23329" spans="1:6" ht="15.75" customHeight="1">
      <c r="A23329" s="16" t="str">
        <f ca="1">IFERROR(__xludf.DUMMYFUNCTION("GOOGLETRANSLATE(B28480,""en"",""pt"")"),"Las Matas de Farfán")</f>
        <v>Las Matas de Farfán</v>
      </c>
      <c r="B23329" s="20" t="s">
        <v>32176</v>
      </c>
      <c r="C23329" s="20" t="s">
        <v>6303</v>
      </c>
      <c r="D23329" s="20" t="s">
        <v>568</v>
      </c>
      <c r="E23329" s="10">
        <v>3500370</v>
      </c>
      <c r="F23329" s="4" t="str">
        <f>IF(B23329=B23328,"",B23329)</f>
        <v>Las Matas de Farfán</v>
      </c>
    </row>
    <row r="23330" spans="1:6" ht="15.75" customHeight="1">
      <c r="A23330" s="16" t="s">
        <v>6331</v>
      </c>
      <c r="B23330" s="15" t="s">
        <v>6332</v>
      </c>
      <c r="C23330" s="16" t="s">
        <v>6303</v>
      </c>
      <c r="D23330" s="16" t="s">
        <v>568</v>
      </c>
      <c r="E23330" s="2">
        <v>3500370</v>
      </c>
      <c r="F23330" s="4" t="e">
        <f>IF(B23330=#REF!,"",B23330)</f>
        <v>#REF!</v>
      </c>
    </row>
    <row r="23331" spans="1:6" ht="15.75" customHeight="1">
      <c r="A23331" s="16" t="s">
        <v>18044</v>
      </c>
      <c r="B23331" s="15" t="s">
        <v>18044</v>
      </c>
      <c r="C23331" s="16" t="s">
        <v>17707</v>
      </c>
      <c r="D23331" s="16" t="s">
        <v>17770</v>
      </c>
      <c r="E23331" s="2">
        <v>3524744</v>
      </c>
      <c r="F23331" s="4" t="e">
        <f>IF(B23331=#REF!,"",B23331)</f>
        <v>#REF!</v>
      </c>
    </row>
    <row r="23332" spans="1:6" ht="15.75" customHeight="1">
      <c r="A23332" s="16" t="s">
        <v>24546</v>
      </c>
      <c r="B23332" s="15" t="s">
        <v>24546</v>
      </c>
      <c r="C23332" s="16" t="s">
        <v>24200</v>
      </c>
      <c r="D23332" s="16" t="s">
        <v>24205</v>
      </c>
      <c r="E23332" s="2">
        <v>6559641</v>
      </c>
      <c r="F23332" s="4" t="e">
        <f>IF(B23332=#REF!,"",B23332)</f>
        <v>#REF!</v>
      </c>
    </row>
    <row r="23333" spans="1:6" ht="15.75" customHeight="1">
      <c r="A23333" s="16" t="s">
        <v>18043</v>
      </c>
      <c r="B23333" s="15" t="s">
        <v>18043</v>
      </c>
      <c r="C23333" s="16" t="s">
        <v>17707</v>
      </c>
      <c r="D23333" s="16" t="s">
        <v>17932</v>
      </c>
      <c r="E23333" s="2">
        <v>8599061</v>
      </c>
      <c r="F23333" s="4" t="e">
        <f>IF(B23333=#REF!,"",B23333)</f>
        <v>#REF!</v>
      </c>
    </row>
    <row r="23334" spans="1:6" ht="15.75" customHeight="1">
      <c r="A23334" s="16" t="s">
        <v>20393</v>
      </c>
      <c r="B23334" s="15" t="s">
        <v>20393</v>
      </c>
      <c r="C23334" s="16" t="s">
        <v>20370</v>
      </c>
      <c r="D23334" s="16" t="s">
        <v>20374</v>
      </c>
      <c r="E23334" s="2">
        <v>3706567</v>
      </c>
      <c r="F23334" s="4" t="e">
        <f>IF(B23334=#REF!,"",B23334)</f>
        <v>#REF!</v>
      </c>
    </row>
    <row r="23335" spans="1:6" ht="15.75" customHeight="1">
      <c r="A23335" s="16" t="s">
        <v>29093</v>
      </c>
      <c r="B23335" s="15" t="s">
        <v>29093</v>
      </c>
      <c r="C23335" s="16" t="s">
        <v>27788</v>
      </c>
      <c r="D23335" s="16" t="s">
        <v>27818</v>
      </c>
      <c r="E23335" s="2">
        <v>5475352</v>
      </c>
      <c r="F23335" s="4" t="e">
        <f>IF(B23335=#REF!,"",B23335)</f>
        <v>#REF!</v>
      </c>
    </row>
    <row r="23336" spans="1:6" ht="15.75" customHeight="1">
      <c r="A23336" s="16" t="s">
        <v>18042</v>
      </c>
      <c r="B23336" s="15" t="s">
        <v>18042</v>
      </c>
      <c r="C23336" s="16" t="s">
        <v>17707</v>
      </c>
      <c r="D23336" s="16" t="s">
        <v>17708</v>
      </c>
      <c r="E23336" s="2">
        <v>3524903</v>
      </c>
      <c r="F23336" s="4" t="e">
        <f>IF(B23336=#REF!,"",B23336)</f>
        <v>#REF!</v>
      </c>
    </row>
    <row r="23337" spans="1:6" ht="15.75" customHeight="1">
      <c r="A23337" s="16" t="s">
        <v>24545</v>
      </c>
      <c r="B23337" s="15" t="s">
        <v>24545</v>
      </c>
      <c r="C23337" s="16" t="s">
        <v>24200</v>
      </c>
      <c r="D23337" s="16" t="s">
        <v>24205</v>
      </c>
      <c r="E23337" s="2">
        <v>2515493</v>
      </c>
      <c r="F23337" s="4" t="str">
        <f>IF(B23337=B23336,"",B23337)</f>
        <v>Las Cabezas de San Juan</v>
      </c>
    </row>
    <row r="23338" spans="1:6" ht="15.75" customHeight="1">
      <c r="A23338" s="16" t="str">
        <f ca="1">IFERROR(__xludf.DUMMYFUNCTION("GOOGLETRANSLATE(B23308,""en"",""pt"")"),"Las Breñas")</f>
        <v>Las Breñas</v>
      </c>
      <c r="B23338" s="20" t="s">
        <v>31202</v>
      </c>
      <c r="C23338" s="20" t="s">
        <v>558</v>
      </c>
      <c r="D23338" s="20" t="s">
        <v>586</v>
      </c>
      <c r="E23338" s="10">
        <v>3848687</v>
      </c>
      <c r="F23338" s="4" t="str">
        <f>IF(B23338=B23337,"",B23338)</f>
        <v>Las Breñas</v>
      </c>
    </row>
    <row r="23339" spans="1:6" ht="15.75" customHeight="1">
      <c r="A23339" s="16" t="s">
        <v>695</v>
      </c>
      <c r="B23339" s="15" t="s">
        <v>696</v>
      </c>
      <c r="C23339" s="16" t="s">
        <v>558</v>
      </c>
      <c r="D23339" s="16" t="s">
        <v>586</v>
      </c>
      <c r="E23339" s="2">
        <v>3848687</v>
      </c>
      <c r="F23339" s="4" t="e">
        <f>IF(B23339=#REF!,"",B23339)</f>
        <v>#REF!</v>
      </c>
    </row>
    <row r="23340" spans="1:6" ht="15.75" customHeight="1">
      <c r="A23340" s="16" t="s">
        <v>4414</v>
      </c>
      <c r="B23340" s="15" t="s">
        <v>4414</v>
      </c>
      <c r="C23340" s="16" t="s">
        <v>4355</v>
      </c>
      <c r="D23340" s="16" t="s">
        <v>4356</v>
      </c>
      <c r="E23340" s="2">
        <v>6458708</v>
      </c>
      <c r="F23340" s="4" t="e">
        <f>IF(B23340=#REF!,"",B23340)</f>
        <v>#REF!</v>
      </c>
    </row>
    <row r="23341" spans="1:6" ht="15.75" customHeight="1">
      <c r="A23341" s="15" t="s">
        <v>19727</v>
      </c>
      <c r="B23341" s="15" t="s">
        <v>19727</v>
      </c>
      <c r="C23341" s="15" t="s">
        <v>19695</v>
      </c>
      <c r="D23341" s="15" t="s">
        <v>19722</v>
      </c>
      <c r="E23341" s="2">
        <v>3148129</v>
      </c>
      <c r="F23341" s="4" t="e">
        <f>IF(B23341=#REF!,"",B23341)</f>
        <v>#REF!</v>
      </c>
    </row>
    <row r="23342" spans="1:6" ht="15.75" customHeight="1">
      <c r="A23342" s="15" t="s">
        <v>27485</v>
      </c>
      <c r="B23342" s="15" t="s">
        <v>27485</v>
      </c>
      <c r="C23342" s="15" t="s">
        <v>27234</v>
      </c>
      <c r="D23342" s="15" t="s">
        <v>27259</v>
      </c>
      <c r="E23342" s="2">
        <v>2644849</v>
      </c>
      <c r="F23342" s="4" t="e">
        <f>IF(B23342=#REF!,"",B23342)</f>
        <v>#REF!</v>
      </c>
    </row>
    <row r="23343" spans="1:6" ht="15.75" customHeight="1">
      <c r="A23343" s="15" t="s">
        <v>5936</v>
      </c>
      <c r="B23343" s="15" t="s">
        <v>5936</v>
      </c>
      <c r="C23343" s="15" t="s">
        <v>5932</v>
      </c>
      <c r="D23343" s="15" t="s">
        <v>5937</v>
      </c>
      <c r="E23343" s="2">
        <v>146400</v>
      </c>
      <c r="F23343" s="4" t="e">
        <f>IF(B23343=#REF!,"",B23343)</f>
        <v>#REF!</v>
      </c>
    </row>
    <row r="23344" spans="1:6" ht="15.75" customHeight="1">
      <c r="A23344" s="15" t="s">
        <v>27484</v>
      </c>
      <c r="B23344" s="15" t="s">
        <v>27484</v>
      </c>
      <c r="C23344" s="15" t="s">
        <v>27234</v>
      </c>
      <c r="D23344" s="15" t="s">
        <v>27237</v>
      </c>
      <c r="E23344" s="2">
        <v>2644853</v>
      </c>
      <c r="F23344" s="4" t="str">
        <f>IF(B23344=B23343,"",B23344)</f>
        <v>Larkhall</v>
      </c>
    </row>
    <row r="23345" spans="1:6" ht="15.75" customHeight="1">
      <c r="A23345" s="16" t="str">
        <f ca="1">IFERROR(__xludf.DUMMYFUNCTION("GOOGLETRANSLATE(B39005,""en"",""pt"")"),"Lārkāna")</f>
        <v>Lārkāna</v>
      </c>
      <c r="B23345" s="20" t="s">
        <v>34965</v>
      </c>
      <c r="C23345" s="20" t="s">
        <v>19808</v>
      </c>
      <c r="D23345" s="20" t="s">
        <v>19823</v>
      </c>
      <c r="E23345" s="10">
        <v>1172128</v>
      </c>
      <c r="F23345" s="4" t="str">
        <f>IF(B23345=B23344,"",B23345)</f>
        <v>Lārkāna</v>
      </c>
    </row>
    <row r="23346" spans="1:6" ht="15.75" customHeight="1">
      <c r="A23346" s="16" t="str">
        <f ca="1">IFERROR(__xludf.DUMMYFUNCTION("GOOGLETRANSLATE(B30984,""en"",""pt"")"),"Lárisa")</f>
        <v>Lárisa</v>
      </c>
      <c r="B23346" s="20" t="s">
        <v>32695</v>
      </c>
      <c r="C23346" s="20" t="s">
        <v>9441</v>
      </c>
      <c r="D23346" s="20" t="s">
        <v>9542</v>
      </c>
      <c r="E23346" s="10">
        <v>258576</v>
      </c>
      <c r="F23346" s="4" t="e">
        <f>IF(B23346=#REF!,"",B23346)</f>
        <v>#REF!</v>
      </c>
    </row>
    <row r="23347" spans="1:6" ht="15.75" customHeight="1">
      <c r="A23347" s="15" t="s">
        <v>29092</v>
      </c>
      <c r="B23347" s="15" t="s">
        <v>29092</v>
      </c>
      <c r="C23347" s="15" t="s">
        <v>27788</v>
      </c>
      <c r="D23347" s="15" t="s">
        <v>5468</v>
      </c>
      <c r="E23347" s="2">
        <v>4161580</v>
      </c>
      <c r="F23347" s="4" t="e">
        <f>IF(B23347=#REF!,"",B23347)</f>
        <v>#REF!</v>
      </c>
    </row>
    <row r="23348" spans="1:6" ht="15.75" customHeight="1">
      <c r="A23348" s="15" t="s">
        <v>20538</v>
      </c>
      <c r="B23348" s="15" t="s">
        <v>20538</v>
      </c>
      <c r="C23348" s="15" t="s">
        <v>20470</v>
      </c>
      <c r="D23348" s="15" t="s">
        <v>6435</v>
      </c>
      <c r="E23348" s="2">
        <v>3695617</v>
      </c>
      <c r="F23348" s="4" t="e">
        <f>IF(B23348=#REF!,"",B23348)</f>
        <v>#REF!</v>
      </c>
    </row>
    <row r="23349" spans="1:6" ht="15.75" customHeight="1">
      <c r="A23349" s="15" t="s">
        <v>387</v>
      </c>
      <c r="B23349" s="15" t="s">
        <v>387</v>
      </c>
      <c r="C23349" s="15" t="s">
        <v>153</v>
      </c>
      <c r="D23349" s="15" t="s">
        <v>388</v>
      </c>
      <c r="E23349" s="2">
        <v>2479203</v>
      </c>
      <c r="F23349" s="4" t="str">
        <f>IF(B23349=B23348,"",B23349)</f>
        <v>Lardjem</v>
      </c>
    </row>
    <row r="23350" spans="1:6" ht="15.75" customHeight="1">
      <c r="A23350" s="15" t="s">
        <v>385</v>
      </c>
      <c r="B23350" s="15" t="s">
        <v>386</v>
      </c>
      <c r="C23350" s="15" t="s">
        <v>153</v>
      </c>
      <c r="D23350" s="15" t="s">
        <v>212</v>
      </c>
      <c r="E23350" s="2">
        <v>2491050</v>
      </c>
      <c r="F23350" s="4" t="str">
        <f>IF(B23350=B23349,"",B23350)</f>
        <v>LarbaÃ¢</v>
      </c>
    </row>
    <row r="23351" spans="1:6" ht="15.75" customHeight="1">
      <c r="A23351" s="16" t="str">
        <f ca="1">IFERROR(__xludf.DUMMYFUNCTION("GOOGLETRANSLATE(B28595,""en"",""pt"")"),"Larbaâ")</f>
        <v>Larbaâ</v>
      </c>
      <c r="B23351" s="20" t="s">
        <v>32202</v>
      </c>
      <c r="C23351" s="20" t="s">
        <v>153</v>
      </c>
      <c r="D23351" s="20" t="s">
        <v>212</v>
      </c>
      <c r="E23351" s="10">
        <v>2491050</v>
      </c>
      <c r="F23351" s="4" t="e">
        <f>IF(B23351=#REF!,"",B23351)</f>
        <v>#REF!</v>
      </c>
    </row>
    <row r="23352" spans="1:6" ht="15.75" customHeight="1">
      <c r="A23352" s="16" t="s">
        <v>21669</v>
      </c>
      <c r="B23352" s="15" t="s">
        <v>21670</v>
      </c>
      <c r="C23352" s="16" t="s">
        <v>21606</v>
      </c>
      <c r="D23352" s="16" t="s">
        <v>21614</v>
      </c>
      <c r="E23352" s="2">
        <v>2267131</v>
      </c>
      <c r="F23352" s="4" t="e">
        <f>IF(B23352=#REF!,"",B23352)</f>
        <v>#REF!</v>
      </c>
    </row>
    <row r="23353" spans="1:6" ht="15.75" customHeight="1">
      <c r="A23353" s="16" t="s">
        <v>2801</v>
      </c>
      <c r="B23353" s="15" t="s">
        <v>2802</v>
      </c>
      <c r="C23353" s="16" t="s">
        <v>1905</v>
      </c>
      <c r="D23353" s="16" t="s">
        <v>728</v>
      </c>
      <c r="E23353" s="2">
        <v>3458746</v>
      </c>
      <c r="F23353" s="4" t="e">
        <f>IF(B23353=#REF!,"",B23353)</f>
        <v>#REF!</v>
      </c>
    </row>
    <row r="23354" spans="1:6" ht="15.75" customHeight="1">
      <c r="A23354" s="16" t="s">
        <v>2799</v>
      </c>
      <c r="B23354" s="15" t="s">
        <v>2800</v>
      </c>
      <c r="C23354" s="16" t="s">
        <v>1905</v>
      </c>
      <c r="D23354" s="16" t="s">
        <v>2002</v>
      </c>
      <c r="E23354" s="2">
        <v>3458778</v>
      </c>
      <c r="F23354" s="4" t="e">
        <f>IF(B23354=#REF!,"",B23354)</f>
        <v>#REF!</v>
      </c>
    </row>
    <row r="23355" spans="1:6" ht="15.75" customHeight="1">
      <c r="A23355" s="16" t="s">
        <v>2797</v>
      </c>
      <c r="B23355" s="15" t="s">
        <v>2798</v>
      </c>
      <c r="C23355" s="16" t="s">
        <v>1905</v>
      </c>
      <c r="D23355" s="16" t="s">
        <v>1914</v>
      </c>
      <c r="E23355" s="2">
        <v>3458786</v>
      </c>
      <c r="F23355" s="4" t="e">
        <f>IF(B23355=#REF!,"",B23355)</f>
        <v>#REF!</v>
      </c>
    </row>
    <row r="23356" spans="1:6" ht="15.75" customHeight="1">
      <c r="A23356" s="15" t="s">
        <v>29091</v>
      </c>
      <c r="B23356" s="15" t="s">
        <v>29091</v>
      </c>
      <c r="C23356" s="15" t="s">
        <v>27788</v>
      </c>
      <c r="D23356" s="15" t="s">
        <v>28189</v>
      </c>
      <c r="E23356" s="2">
        <v>5830062</v>
      </c>
      <c r="F23356" s="4" t="e">
        <f>IF(B23356=#REF!,"",B23356)</f>
        <v>#REF!</v>
      </c>
    </row>
    <row r="23357" spans="1:6" ht="15.75" customHeight="1">
      <c r="A23357" s="15" t="s">
        <v>18603</v>
      </c>
      <c r="B23357" s="15" t="s">
        <v>18603</v>
      </c>
      <c r="C23357" s="15" t="s">
        <v>18551</v>
      </c>
      <c r="D23357" s="15" t="s">
        <v>18559</v>
      </c>
      <c r="E23357" s="2">
        <v>2543549</v>
      </c>
      <c r="F23357" s="4" t="e">
        <f>IF(B23357=#REF!,"",B23357)</f>
        <v>#REF!</v>
      </c>
    </row>
    <row r="23358" spans="1:6" ht="15.75" customHeight="1">
      <c r="A23358" s="15" t="s">
        <v>1011</v>
      </c>
      <c r="B23358" s="15" t="s">
        <v>1011</v>
      </c>
      <c r="C23358" s="15" t="s">
        <v>885</v>
      </c>
      <c r="D23358" s="15" t="s">
        <v>827</v>
      </c>
      <c r="E23358" s="2">
        <v>2160560</v>
      </c>
      <c r="F23358" s="4" t="e">
        <f>IF(B23358=#REF!,"",B23358)</f>
        <v>#REF!</v>
      </c>
    </row>
    <row r="23359" spans="1:6" ht="15.75" customHeight="1">
      <c r="A23359" s="15" t="s">
        <v>12152</v>
      </c>
      <c r="B23359" s="15" t="s">
        <v>12152</v>
      </c>
      <c r="C23359" s="15" t="s">
        <v>10178</v>
      </c>
      <c r="D23359" s="15" t="s">
        <v>10193</v>
      </c>
      <c r="E23359" s="2">
        <v>1265053</v>
      </c>
      <c r="F23359" s="4" t="e">
        <f>IF(B23359=#REF!,"",B23359)</f>
        <v>#REF!</v>
      </c>
    </row>
    <row r="23360" spans="1:6" ht="15.75" customHeight="1">
      <c r="A23360" s="15" t="s">
        <v>15212</v>
      </c>
      <c r="B23360" s="15" t="s">
        <v>15212</v>
      </c>
      <c r="C23360" s="15" t="s">
        <v>14891</v>
      </c>
      <c r="D23360" s="15" t="s">
        <v>14957</v>
      </c>
      <c r="E23360" s="2">
        <v>3175121</v>
      </c>
      <c r="F23360" s="4" t="str">
        <f>IF(B23360=B23359,"",B23360)</f>
        <v>L'Aquila</v>
      </c>
    </row>
    <row r="23361" spans="1:6" ht="15.75" customHeight="1">
      <c r="A23361" s="16" t="str">
        <f ca="1">IFERROR(__xludf.DUMMYFUNCTION("GOOGLETRANSLATE(B39257,""en"",""pt"")"),"Łapy")</f>
        <v>Łapy</v>
      </c>
      <c r="B23361" s="20" t="s">
        <v>35110</v>
      </c>
      <c r="C23361" s="20" t="s">
        <v>21064</v>
      </c>
      <c r="D23361" s="20" t="s">
        <v>21086</v>
      </c>
      <c r="E23361" s="10">
        <v>766783</v>
      </c>
      <c r="F23361" s="4" t="e">
        <f>IF(B23361=#REF!,"",B23361)</f>
        <v>#REF!</v>
      </c>
    </row>
    <row r="23362" spans="1:6" ht="15.75" customHeight="1">
      <c r="A23362" s="16" t="s">
        <v>20827</v>
      </c>
      <c r="B23362" s="15" t="s">
        <v>20828</v>
      </c>
      <c r="C23362" s="16" t="s">
        <v>20598</v>
      </c>
      <c r="D23362" s="16" t="s">
        <v>20622</v>
      </c>
      <c r="E23362" s="2">
        <v>1707267</v>
      </c>
      <c r="F23362" s="4" t="e">
        <f>IF(B23362=#REF!,"",B23362)</f>
        <v>#REF!</v>
      </c>
    </row>
    <row r="23363" spans="1:6" ht="15.75" customHeight="1">
      <c r="A23363" s="16" t="s">
        <v>7004</v>
      </c>
      <c r="B23363" s="15" t="s">
        <v>7004</v>
      </c>
      <c r="C23363" s="16" t="s">
        <v>6948</v>
      </c>
      <c r="D23363" s="16" t="s">
        <v>6969</v>
      </c>
      <c r="E23363" s="2">
        <v>648900</v>
      </c>
      <c r="F23363" s="4" t="e">
        <f>IF(B23363=#REF!,"",B23363)</f>
        <v>#REF!</v>
      </c>
    </row>
    <row r="23364" spans="1:6" ht="15.75" customHeight="1">
      <c r="A23364" s="15" t="s">
        <v>29090</v>
      </c>
      <c r="B23364" s="15" t="s">
        <v>29090</v>
      </c>
      <c r="C23364" s="15" t="s">
        <v>27788</v>
      </c>
      <c r="D23364" s="15" t="s">
        <v>27869</v>
      </c>
      <c r="E23364" s="2">
        <v>4922459</v>
      </c>
      <c r="F23364" s="4" t="e">
        <f>IF(B23364=#REF!,"",B23364)</f>
        <v>#REF!</v>
      </c>
    </row>
    <row r="23365" spans="1:6" ht="15.75" customHeight="1">
      <c r="A23365" s="15" t="s">
        <v>29089</v>
      </c>
      <c r="B23365" s="15" t="s">
        <v>29089</v>
      </c>
      <c r="C23365" s="15" t="s">
        <v>27788</v>
      </c>
      <c r="D23365" s="15" t="s">
        <v>27827</v>
      </c>
      <c r="E23365" s="2">
        <v>4330525</v>
      </c>
      <c r="F23365" s="4" t="e">
        <f>IF(B23365=#REF!,"",B23365)</f>
        <v>#REF!</v>
      </c>
    </row>
    <row r="23366" spans="1:6" ht="15.75" customHeight="1">
      <c r="A23366" s="15" t="s">
        <v>19493</v>
      </c>
      <c r="B23366" s="15" t="s">
        <v>19493</v>
      </c>
      <c r="C23366" s="15" t="s">
        <v>19294</v>
      </c>
      <c r="D23366" s="15" t="s">
        <v>19259</v>
      </c>
      <c r="E23366" s="2">
        <v>2332249</v>
      </c>
      <c r="F23366" s="4" t="e">
        <f>IF(B23366=#REF!,"",B23366)</f>
        <v>#REF!</v>
      </c>
    </row>
    <row r="23367" spans="1:6" ht="15.75" customHeight="1">
      <c r="A23367" s="15" t="s">
        <v>2796</v>
      </c>
      <c r="B23367" s="15" t="s">
        <v>2796</v>
      </c>
      <c r="C23367" s="15" t="s">
        <v>1905</v>
      </c>
      <c r="D23367" s="15" t="s">
        <v>728</v>
      </c>
      <c r="E23367" s="2">
        <v>3458826</v>
      </c>
      <c r="F23367" s="4" t="e">
        <f>IF(B23367=#REF!,"",B23367)</f>
        <v>#REF!</v>
      </c>
    </row>
    <row r="23368" spans="1:6" ht="15.75" customHeight="1">
      <c r="A23368" s="15" t="s">
        <v>7446</v>
      </c>
      <c r="B23368" s="15" t="s">
        <v>7446</v>
      </c>
      <c r="C23368" s="15" t="s">
        <v>7052</v>
      </c>
      <c r="D23368" s="15" t="s">
        <v>7078</v>
      </c>
      <c r="E23368" s="2">
        <v>3007477</v>
      </c>
      <c r="F23368" s="4" t="e">
        <f>IF(B23368=#REF!,"",B23368)</f>
        <v>#REF!</v>
      </c>
    </row>
    <row r="23369" spans="1:6" ht="15.75" customHeight="1">
      <c r="A23369" s="16" t="s">
        <v>4872</v>
      </c>
      <c r="B23369" s="15" t="s">
        <v>4872</v>
      </c>
      <c r="C23369" s="16" t="s">
        <v>4487</v>
      </c>
      <c r="D23369" s="16" t="s">
        <v>4526</v>
      </c>
      <c r="E23369" s="2">
        <v>1280757</v>
      </c>
      <c r="F23369" s="4" t="e">
        <f>IF(B23369=#REF!,"",B23369)</f>
        <v>#REF!</v>
      </c>
    </row>
    <row r="23370" spans="1:6" ht="15.75" customHeight="1">
      <c r="A23370" s="15" t="s">
        <v>4871</v>
      </c>
      <c r="B23370" s="15" t="s">
        <v>4871</v>
      </c>
      <c r="C23370" s="15" t="s">
        <v>4487</v>
      </c>
      <c r="D23370" s="15" t="s">
        <v>4499</v>
      </c>
      <c r="E23370" s="2">
        <v>1804386</v>
      </c>
      <c r="F23370" s="4" t="e">
        <f>IF(B23370=#REF!,"",B23370)</f>
        <v>#REF!</v>
      </c>
    </row>
    <row r="23371" spans="1:6" ht="15.75" customHeight="1">
      <c r="A23371" s="16" t="s">
        <v>4870</v>
      </c>
      <c r="B23371" s="15" t="s">
        <v>4870</v>
      </c>
      <c r="C23371" s="16" t="s">
        <v>4487</v>
      </c>
      <c r="D23371" s="16" t="s">
        <v>4490</v>
      </c>
      <c r="E23371" s="2">
        <v>1529114</v>
      </c>
      <c r="F23371" s="4" t="e">
        <f>IF(B23371=#REF!,"",B23371)</f>
        <v>#REF!</v>
      </c>
    </row>
    <row r="23372" spans="1:6" ht="15.75" customHeight="1">
      <c r="A23372" s="15" t="s">
        <v>20826</v>
      </c>
      <c r="B23372" s="15" t="s">
        <v>20826</v>
      </c>
      <c r="C23372" s="15" t="s">
        <v>20598</v>
      </c>
      <c r="D23372" s="15" t="s">
        <v>20601</v>
      </c>
      <c r="E23372" s="2">
        <v>1707398</v>
      </c>
      <c r="F23372" s="4" t="e">
        <f>IF(B23372=#REF!,"",B23372)</f>
        <v>#REF!</v>
      </c>
    </row>
    <row r="23373" spans="1:6" ht="15.75" customHeight="1">
      <c r="A23373" s="15" t="s">
        <v>20825</v>
      </c>
      <c r="B23373" s="15" t="s">
        <v>20825</v>
      </c>
      <c r="C23373" s="15" t="s">
        <v>20598</v>
      </c>
      <c r="D23373" s="15" t="s">
        <v>20603</v>
      </c>
      <c r="E23373" s="2">
        <v>1707404</v>
      </c>
      <c r="F23373" s="4" t="str">
        <f>IF(B23373=B23372,"",B23373)</f>
        <v>Laoag</v>
      </c>
    </row>
    <row r="23374" spans="1:6" ht="15.75" customHeight="1">
      <c r="A23374" s="16" t="str">
        <f ca="1">IFERROR(__xludf.DUMMYFUNCTION("GOOGLETRANSLATE(B45749,""en"",""pt"")"),"Lào Cai")</f>
        <v>Lào Cai</v>
      </c>
      <c r="B23374" s="20" t="s">
        <v>36138</v>
      </c>
      <c r="C23374" s="20" t="s">
        <v>30784</v>
      </c>
      <c r="D23374" s="20" t="s">
        <v>36138</v>
      </c>
      <c r="E23374" s="10">
        <v>1576303</v>
      </c>
      <c r="F23374" s="4" t="e">
        <f>IF(B23374=#REF!,"",B23374)</f>
        <v>#REF!</v>
      </c>
    </row>
    <row r="23375" spans="1:6" ht="15.75" customHeight="1">
      <c r="A23375" s="15" t="s">
        <v>4869</v>
      </c>
      <c r="B23375" s="15" t="s">
        <v>4869</v>
      </c>
      <c r="C23375" s="15" t="s">
        <v>4487</v>
      </c>
      <c r="D23375" s="15" t="s">
        <v>4526</v>
      </c>
      <c r="E23375" s="2">
        <v>1804430</v>
      </c>
      <c r="F23375" s="4" t="e">
        <f>IF(B23375=#REF!,"",B23375)</f>
        <v>#REF!</v>
      </c>
    </row>
    <row r="23376" spans="1:6" ht="15.75" customHeight="1">
      <c r="A23376" s="15" t="s">
        <v>4868</v>
      </c>
      <c r="B23376" s="15" t="s">
        <v>4868</v>
      </c>
      <c r="C23376" s="15" t="s">
        <v>4487</v>
      </c>
      <c r="D23376" s="15" t="s">
        <v>4631</v>
      </c>
      <c r="E23376" s="2">
        <v>1804442</v>
      </c>
      <c r="F23376" s="4" t="str">
        <f>IF(B23376=B23375,"",B23376)</f>
        <v>Lanxi</v>
      </c>
    </row>
    <row r="23377" spans="1:6" ht="15.75" customHeight="1">
      <c r="A23377" s="16" t="str">
        <f ca="1">IFERROR(__xludf.DUMMYFUNCTION("GOOGLETRANSLATE(B29664,""en"",""pt"")"),"Länsi-Turunmaa")</f>
        <v>Länsi-Turunmaa</v>
      </c>
      <c r="B23377" s="20" t="s">
        <v>32529</v>
      </c>
      <c r="C23377" s="20" t="s">
        <v>6948</v>
      </c>
      <c r="D23377" s="20" t="s">
        <v>6983</v>
      </c>
      <c r="E23377" s="10">
        <v>7911309</v>
      </c>
      <c r="F23377" s="4" t="e">
        <f>IF(B23377=#REF!,"",B23377)</f>
        <v>#REF!</v>
      </c>
    </row>
    <row r="23378" spans="1:6" ht="15.75" customHeight="1">
      <c r="A23378" s="15" t="s">
        <v>29088</v>
      </c>
      <c r="B23378" s="15" t="s">
        <v>29088</v>
      </c>
      <c r="C23378" s="15" t="s">
        <v>27788</v>
      </c>
      <c r="D23378" s="15" t="s">
        <v>27799</v>
      </c>
      <c r="E23378" s="2">
        <v>4899340</v>
      </c>
      <c r="F23378" s="4" t="e">
        <f>IF(B23378=#REF!,"",B23378)</f>
        <v>#REF!</v>
      </c>
    </row>
    <row r="23379" spans="1:6" ht="15.75" customHeight="1">
      <c r="A23379" s="16" t="s">
        <v>23927</v>
      </c>
      <c r="B23379" s="15" t="s">
        <v>23927</v>
      </c>
      <c r="C23379" s="16" t="s">
        <v>23842</v>
      </c>
      <c r="D23379" s="16" t="s">
        <v>23847</v>
      </c>
      <c r="E23379" s="2">
        <v>3364682</v>
      </c>
      <c r="F23379" s="4" t="e">
        <f>IF(B23379=#REF!,"",B23379)</f>
        <v>#REF!</v>
      </c>
    </row>
    <row r="23380" spans="1:6" ht="15.75" customHeight="1">
      <c r="A23380" s="15" t="s">
        <v>29087</v>
      </c>
      <c r="B23380" s="15" t="s">
        <v>29087</v>
      </c>
      <c r="C23380" s="15" t="s">
        <v>27788</v>
      </c>
      <c r="D23380" s="15" t="s">
        <v>27836</v>
      </c>
      <c r="E23380" s="2">
        <v>5197159</v>
      </c>
      <c r="F23380" s="4" t="e">
        <f>IF(B23380=#REF!,"",B23380)</f>
        <v>#REF!</v>
      </c>
    </row>
    <row r="23381" spans="1:6" ht="15.75" customHeight="1">
      <c r="A23381" s="15" t="s">
        <v>7445</v>
      </c>
      <c r="B23381" s="15" t="s">
        <v>7445</v>
      </c>
      <c r="C23381" s="15" t="s">
        <v>7052</v>
      </c>
      <c r="D23381" s="15" t="s">
        <v>7190</v>
      </c>
      <c r="E23381" s="2">
        <v>3007609</v>
      </c>
      <c r="F23381" s="4" t="e">
        <f>IF(B23381=#REF!,"",B23381)</f>
        <v>#REF!</v>
      </c>
    </row>
    <row r="23382" spans="1:6" ht="15.75" customHeight="1">
      <c r="A23382" s="15" t="s">
        <v>8741</v>
      </c>
      <c r="B23382" s="15" t="s">
        <v>8741</v>
      </c>
      <c r="C23382" s="15" t="s">
        <v>8028</v>
      </c>
      <c r="D23382" s="15" t="s">
        <v>8036</v>
      </c>
      <c r="E23382" s="2">
        <v>2880498</v>
      </c>
      <c r="F23382" s="4" t="e">
        <f>IF(B23382=#REF!,"",B23382)</f>
        <v>#REF!</v>
      </c>
    </row>
    <row r="23383" spans="1:6" ht="15.75" customHeight="1">
      <c r="A23383" s="15" t="s">
        <v>1221</v>
      </c>
      <c r="B23383" s="15" t="s">
        <v>1221</v>
      </c>
      <c r="C23383" s="15" t="s">
        <v>1170</v>
      </c>
      <c r="D23383" s="15" t="s">
        <v>1222</v>
      </c>
      <c r="E23383" s="2">
        <v>147622</v>
      </c>
      <c r="F23383" s="4" t="e">
        <f>IF(B23383=#REF!,"",B23383)</f>
        <v>#REF!</v>
      </c>
    </row>
    <row r="23384" spans="1:6" ht="15.75" customHeight="1">
      <c r="A23384" s="16" t="s">
        <v>4867</v>
      </c>
      <c r="B23384" s="15" t="s">
        <v>4867</v>
      </c>
      <c r="C23384" s="16" t="s">
        <v>4487</v>
      </c>
      <c r="D23384" s="16" t="s">
        <v>4588</v>
      </c>
      <c r="E23384" s="2">
        <v>1816924</v>
      </c>
      <c r="F23384" s="4" t="e">
        <f>IF(B23384=#REF!,"",B23384)</f>
        <v>#REF!</v>
      </c>
    </row>
    <row r="23385" spans="1:6" ht="15.75" customHeight="1">
      <c r="A23385" s="16" t="s">
        <v>4866</v>
      </c>
      <c r="B23385" s="15" t="s">
        <v>4866</v>
      </c>
      <c r="C23385" s="16" t="s">
        <v>4487</v>
      </c>
      <c r="D23385" s="16" t="s">
        <v>4488</v>
      </c>
      <c r="E23385" s="2">
        <v>2036237</v>
      </c>
      <c r="F23385" s="4" t="e">
        <f>IF(B23385=#REF!,"",B23385)</f>
        <v>#REF!</v>
      </c>
    </row>
    <row r="23386" spans="1:6" ht="15.75" customHeight="1">
      <c r="A23386" s="16" t="s">
        <v>1010</v>
      </c>
      <c r="B23386" s="15" t="s">
        <v>1010</v>
      </c>
      <c r="C23386" s="16" t="s">
        <v>885</v>
      </c>
      <c r="D23386" s="16" t="s">
        <v>827</v>
      </c>
      <c r="E23386" s="2">
        <v>2160582</v>
      </c>
      <c r="F23386" s="4" t="e">
        <f>IF(B23386=#REF!,"",B23386)</f>
        <v>#REF!</v>
      </c>
    </row>
    <row r="23387" spans="1:6" ht="15.75" customHeight="1">
      <c r="A23387" s="15" t="s">
        <v>4865</v>
      </c>
      <c r="B23387" s="15" t="s">
        <v>4865</v>
      </c>
      <c r="C23387" s="15" t="s">
        <v>4487</v>
      </c>
      <c r="D23387" s="15" t="s">
        <v>4505</v>
      </c>
      <c r="E23387" s="2">
        <v>2036241</v>
      </c>
      <c r="F23387" s="4" t="e">
        <f>IF(B23387=#REF!,"",B23387)</f>
        <v>#REF!</v>
      </c>
    </row>
    <row r="23388" spans="1:6" ht="15.75" customHeight="1">
      <c r="A23388" s="15" t="s">
        <v>14003</v>
      </c>
      <c r="B23388" s="15" t="s">
        <v>14003</v>
      </c>
      <c r="C23388" s="15" t="s">
        <v>13800</v>
      </c>
      <c r="D23388" s="15" t="s">
        <v>13828</v>
      </c>
      <c r="E23388" s="2">
        <v>1214724</v>
      </c>
      <c r="F23388" s="4" t="e">
        <f>IF(B23388=#REF!,"",B23388)</f>
        <v>#REF!</v>
      </c>
    </row>
    <row r="23389" spans="1:6" ht="15.75" customHeight="1">
      <c r="A23389" s="16" t="s">
        <v>29086</v>
      </c>
      <c r="B23389" s="15" t="s">
        <v>29086</v>
      </c>
      <c r="C23389" s="16" t="s">
        <v>27788</v>
      </c>
      <c r="D23389" s="16" t="s">
        <v>17061</v>
      </c>
      <c r="E23389" s="2">
        <v>4360314</v>
      </c>
      <c r="F23389" s="4" t="e">
        <f>IF(B23389=#REF!,"",B23389)</f>
        <v>#REF!</v>
      </c>
    </row>
    <row r="23390" spans="1:6" ht="15.75" customHeight="1">
      <c r="A23390" s="15" t="s">
        <v>4081</v>
      </c>
      <c r="B23390" s="15" t="s">
        <v>4081</v>
      </c>
      <c r="C23390" s="15" t="s">
        <v>3975</v>
      </c>
      <c r="D23390" s="15" t="s">
        <v>3976</v>
      </c>
      <c r="E23390" s="2">
        <v>6049429</v>
      </c>
      <c r="F23390" s="4" t="e">
        <f>IF(B23390=#REF!,"",B23390)</f>
        <v>#REF!</v>
      </c>
    </row>
    <row r="23391" spans="1:6" ht="15.75" customHeight="1">
      <c r="A23391" s="15" t="s">
        <v>4080</v>
      </c>
      <c r="B23391" s="15" t="s">
        <v>4080</v>
      </c>
      <c r="C23391" s="15" t="s">
        <v>3975</v>
      </c>
      <c r="D23391" s="15" t="s">
        <v>3976</v>
      </c>
      <c r="E23391" s="2">
        <v>6049388</v>
      </c>
      <c r="F23391" s="4" t="e">
        <f>IF(B23391=#REF!,"",B23391)</f>
        <v>#REF!</v>
      </c>
    </row>
    <row r="23392" spans="1:6" ht="15.75" customHeight="1">
      <c r="A23392" s="15" t="s">
        <v>4864</v>
      </c>
      <c r="B23392" s="15" t="s">
        <v>4864</v>
      </c>
      <c r="C23392" s="15" t="s">
        <v>4487</v>
      </c>
      <c r="D23392" s="15" t="s">
        <v>4529</v>
      </c>
      <c r="E23392" s="2">
        <v>1804540</v>
      </c>
      <c r="F23392" s="4" t="e">
        <f>IF(B23392=#REF!,"",B23392)</f>
        <v>#REF!</v>
      </c>
    </row>
    <row r="23393" spans="1:6" ht="15.75" customHeight="1">
      <c r="A23393" s="15" t="s">
        <v>22659</v>
      </c>
      <c r="B23393" s="15" t="s">
        <v>22659</v>
      </c>
      <c r="C23393" s="15" t="s">
        <v>22070</v>
      </c>
      <c r="D23393" s="15" t="s">
        <v>22217</v>
      </c>
      <c r="E23393" s="2">
        <v>6696767</v>
      </c>
      <c r="F23393" s="4" t="e">
        <f>IF(B23393=#REF!,"",B23393)</f>
        <v>#REF!</v>
      </c>
    </row>
    <row r="23394" spans="1:6" ht="15.75" customHeight="1">
      <c r="A23394" s="16" t="s">
        <v>8740</v>
      </c>
      <c r="B23394" s="15" t="s">
        <v>8740</v>
      </c>
      <c r="C23394" s="16" t="s">
        <v>8028</v>
      </c>
      <c r="D23394" s="16" t="s">
        <v>8059</v>
      </c>
      <c r="E23394" s="2">
        <v>2881018</v>
      </c>
      <c r="F23394" s="4" t="e">
        <f>IF(B23394=#REF!,"",B23394)</f>
        <v>#REF!</v>
      </c>
    </row>
    <row r="23395" spans="1:6" ht="15.75" customHeight="1">
      <c r="A23395" s="16" t="s">
        <v>8739</v>
      </c>
      <c r="B23395" s="15" t="s">
        <v>8739</v>
      </c>
      <c r="C23395" s="16" t="s">
        <v>8028</v>
      </c>
      <c r="D23395" s="16" t="s">
        <v>8034</v>
      </c>
      <c r="E23395" s="2">
        <v>2881062</v>
      </c>
      <c r="F23395" s="4" t="e">
        <f>IF(B23395=#REF!,"",B23395)</f>
        <v>#REF!</v>
      </c>
    </row>
    <row r="23396" spans="1:6" ht="15.75" customHeight="1">
      <c r="A23396" s="16" t="s">
        <v>8738</v>
      </c>
      <c r="B23396" s="15" t="s">
        <v>8738</v>
      </c>
      <c r="C23396" s="16" t="s">
        <v>8028</v>
      </c>
      <c r="D23396" s="16" t="s">
        <v>8029</v>
      </c>
      <c r="E23396" s="2">
        <v>2881085</v>
      </c>
      <c r="F23396" s="4" t="e">
        <f>IF(B23396=#REF!,"",B23396)</f>
        <v>#REF!</v>
      </c>
    </row>
    <row r="23397" spans="1:6" ht="15.75" customHeight="1">
      <c r="A23397" s="15" t="s">
        <v>8737</v>
      </c>
      <c r="B23397" s="15" t="s">
        <v>8737</v>
      </c>
      <c r="C23397" s="15" t="s">
        <v>8028</v>
      </c>
      <c r="D23397" s="15" t="s">
        <v>8034</v>
      </c>
      <c r="E23397" s="2">
        <v>2881276</v>
      </c>
      <c r="F23397" s="4" t="str">
        <f>IF(B23397=B23396,"",B23397)</f>
        <v>Langen</v>
      </c>
    </row>
    <row r="23398" spans="1:6" ht="15.75" customHeight="1">
      <c r="A23398" s="16" t="str">
        <f ca="1">IFERROR(__xludf.DUMMYFUNCTION("GOOGLETRANSLATE(B34422,""en"",""pt"")"),"Langarūd")</f>
        <v>Langarūd</v>
      </c>
      <c r="B23398" s="20" t="s">
        <v>34181</v>
      </c>
      <c r="C23398" s="20" t="s">
        <v>14240</v>
      </c>
      <c r="D23398" s="20" t="s">
        <v>34133</v>
      </c>
      <c r="E23398" s="10">
        <v>125897</v>
      </c>
      <c r="F23398" s="4" t="str">
        <f>IF(B23398=B23397,"",B23398)</f>
        <v>Langarūd</v>
      </c>
    </row>
    <row r="23399" spans="1:6" ht="15.75" customHeight="1">
      <c r="A23399" s="16" t="s">
        <v>14444</v>
      </c>
      <c r="B23399" s="15" t="s">
        <v>14445</v>
      </c>
      <c r="C23399" s="16" t="s">
        <v>14240</v>
      </c>
      <c r="D23399" s="16" t="s">
        <v>14256</v>
      </c>
      <c r="E23399" s="2">
        <v>125897</v>
      </c>
      <c r="F23399" s="4" t="e">
        <f>IF(B23399=#REF!,"",B23399)</f>
        <v>#REF!</v>
      </c>
    </row>
    <row r="23400" spans="1:6" ht="15.75" customHeight="1">
      <c r="A23400" s="16" t="s">
        <v>25919</v>
      </c>
      <c r="B23400" s="15" t="s">
        <v>25919</v>
      </c>
      <c r="C23400" s="16" t="s">
        <v>25771</v>
      </c>
      <c r="D23400" s="16" t="s">
        <v>25869</v>
      </c>
      <c r="E23400" s="2">
        <v>1152432</v>
      </c>
      <c r="F23400" s="4" t="e">
        <f>IF(B23400=#REF!,"",B23400)</f>
        <v>#REF!</v>
      </c>
    </row>
    <row r="23401" spans="1:6" ht="15.75" customHeight="1">
      <c r="A23401" s="15" t="s">
        <v>7444</v>
      </c>
      <c r="B23401" s="15" t="s">
        <v>7444</v>
      </c>
      <c r="C23401" s="15" t="s">
        <v>7052</v>
      </c>
      <c r="D23401" s="15" t="s">
        <v>7190</v>
      </c>
      <c r="E23401" s="2">
        <v>3007794</v>
      </c>
      <c r="F23401" s="4" t="e">
        <f>IF(B23401=#REF!,"",B23401)</f>
        <v>#REF!</v>
      </c>
    </row>
    <row r="23402" spans="1:6" ht="15.75" customHeight="1">
      <c r="A23402" s="16" t="s">
        <v>25157</v>
      </c>
      <c r="B23402" s="15" t="s">
        <v>25157</v>
      </c>
      <c r="C23402" s="16" t="s">
        <v>25077</v>
      </c>
      <c r="D23402" s="16" t="s">
        <v>25078</v>
      </c>
      <c r="E23402" s="2">
        <v>2697720</v>
      </c>
      <c r="F23402" s="4" t="e">
        <f>IF(B23402=#REF!,"",B23402)</f>
        <v>#REF!</v>
      </c>
    </row>
    <row r="23403" spans="1:6" ht="15.75" customHeight="1">
      <c r="A23403" s="15" t="s">
        <v>8736</v>
      </c>
      <c r="B23403" s="15" t="s">
        <v>8736</v>
      </c>
      <c r="C23403" s="15" t="s">
        <v>8028</v>
      </c>
      <c r="D23403" s="15" t="s">
        <v>8044</v>
      </c>
      <c r="E23403" s="2">
        <v>2881485</v>
      </c>
      <c r="F23403" s="4" t="e">
        <f>IF(B23403=#REF!,"",B23403)</f>
        <v>#REF!</v>
      </c>
    </row>
    <row r="23404" spans="1:6" ht="15.75" customHeight="1">
      <c r="A23404" s="16" t="s">
        <v>8734</v>
      </c>
      <c r="B23404" s="15" t="s">
        <v>8735</v>
      </c>
      <c r="C23404" s="16" t="s">
        <v>8028</v>
      </c>
      <c r="D23404" s="16" t="s">
        <v>8044</v>
      </c>
      <c r="E23404" s="2">
        <v>2881509</v>
      </c>
      <c r="F23404" s="4" t="e">
        <f>IF(B23404=#REF!,"",B23404)</f>
        <v>#REF!</v>
      </c>
    </row>
    <row r="23405" spans="1:6" ht="15.75" customHeight="1">
      <c r="A23405" s="15" t="s">
        <v>29085</v>
      </c>
      <c r="B23405" s="15" t="s">
        <v>29085</v>
      </c>
      <c r="C23405" s="15" t="s">
        <v>27788</v>
      </c>
      <c r="D23405" s="15" t="s">
        <v>17061</v>
      </c>
      <c r="E23405" s="2">
        <v>4360287</v>
      </c>
      <c r="F23405" s="4" t="e">
        <f>IF(B23405=#REF!,"",B23405)</f>
        <v>#REF!</v>
      </c>
    </row>
    <row r="23406" spans="1:6" ht="15.75" customHeight="1">
      <c r="A23406" s="16" t="s">
        <v>7443</v>
      </c>
      <c r="B23406" s="15" t="s">
        <v>7443</v>
      </c>
      <c r="C23406" s="16" t="s">
        <v>7052</v>
      </c>
      <c r="D23406" s="16" t="s">
        <v>7190</v>
      </c>
      <c r="E23406" s="2">
        <v>3007874</v>
      </c>
      <c r="F23406" s="4" t="e">
        <f>IF(B23406=#REF!,"",B23406)</f>
        <v>#REF!</v>
      </c>
    </row>
    <row r="23407" spans="1:6" ht="15.75" customHeight="1">
      <c r="A23407" s="16" t="s">
        <v>8732</v>
      </c>
      <c r="B23407" s="15" t="s">
        <v>8733</v>
      </c>
      <c r="C23407" s="16" t="s">
        <v>8028</v>
      </c>
      <c r="D23407" s="16" t="s">
        <v>8065</v>
      </c>
      <c r="E23407" s="2">
        <v>2881646</v>
      </c>
      <c r="F23407" s="4" t="e">
        <f>IF(B23407=#REF!,"",B23407)</f>
        <v>#REF!</v>
      </c>
    </row>
    <row r="23408" spans="1:6" ht="15.75" customHeight="1">
      <c r="A23408" s="16" t="s">
        <v>29083</v>
      </c>
      <c r="B23408" s="15" t="s">
        <v>29084</v>
      </c>
      <c r="C23408" s="16" t="s">
        <v>27788</v>
      </c>
      <c r="D23408" s="16" t="s">
        <v>5468</v>
      </c>
      <c r="E23408" s="2">
        <v>4161534</v>
      </c>
      <c r="F23408" s="4" t="e">
        <f>IF(B23408=#REF!,"",B23408)</f>
        <v>#REF!</v>
      </c>
    </row>
    <row r="23409" spans="1:6" ht="15.75" customHeight="1">
      <c r="A23409" s="15" t="s">
        <v>25282</v>
      </c>
      <c r="B23409" s="15" t="s">
        <v>25282</v>
      </c>
      <c r="C23409" s="15" t="s">
        <v>25237</v>
      </c>
      <c r="D23409" s="15" t="s">
        <v>25253</v>
      </c>
      <c r="E23409" s="2">
        <v>6691640</v>
      </c>
      <c r="F23409" s="4" t="str">
        <f>IF(B23409=B23408,"",B23409)</f>
        <v>Lancy</v>
      </c>
    </row>
    <row r="23410" spans="1:6" ht="15.75" customHeight="1">
      <c r="A23410" s="16" t="str">
        <f ca="1">IFERROR(__xludf.DUMMYFUNCTION("GOOGLETRANSLATE(B39258,""en"",""pt"")"),"Łańcut")</f>
        <v>Łańcut</v>
      </c>
      <c r="B23410" s="20" t="s">
        <v>35111</v>
      </c>
      <c r="C23410" s="20" t="s">
        <v>21064</v>
      </c>
      <c r="D23410" s="20" t="s">
        <v>21083</v>
      </c>
      <c r="E23410" s="10">
        <v>766810</v>
      </c>
      <c r="F23410" s="4" t="e">
        <f>IF(B23410=#REF!,"",B23410)</f>
        <v>#REF!</v>
      </c>
    </row>
    <row r="23411" spans="1:6" ht="15.75" customHeight="1">
      <c r="A23411" s="15" t="s">
        <v>27483</v>
      </c>
      <c r="B23411" s="15" t="s">
        <v>27483</v>
      </c>
      <c r="C23411" s="15" t="s">
        <v>27234</v>
      </c>
      <c r="D23411" s="15" t="s">
        <v>27241</v>
      </c>
      <c r="E23411" s="2">
        <v>2641319</v>
      </c>
      <c r="F23411" s="4" t="e">
        <f>IF(B23411=#REF!,"",B23411)</f>
        <v>#REF!</v>
      </c>
    </row>
    <row r="23412" spans="1:6" ht="15.75" customHeight="1">
      <c r="A23412" s="16" t="s">
        <v>4079</v>
      </c>
      <c r="B23412" s="15" t="s">
        <v>4079</v>
      </c>
      <c r="C23412" s="16" t="s">
        <v>3975</v>
      </c>
      <c r="D23412" s="16" t="s">
        <v>3982</v>
      </c>
      <c r="E23412" s="2">
        <v>6534203</v>
      </c>
      <c r="F23412" s="4" t="e">
        <f>IF(B23412=#REF!,"",B23412)</f>
        <v>#REF!</v>
      </c>
    </row>
    <row r="23413" spans="1:6" ht="15.75" customHeight="1">
      <c r="A23413" s="15" t="s">
        <v>15211</v>
      </c>
      <c r="B23413" s="15" t="s">
        <v>15211</v>
      </c>
      <c r="C23413" s="15" t="s">
        <v>14891</v>
      </c>
      <c r="D23413" s="15" t="s">
        <v>14957</v>
      </c>
      <c r="E23413" s="2">
        <v>3175173</v>
      </c>
      <c r="F23413" s="4" t="e">
        <f>IF(B23413=#REF!,"",B23413)</f>
        <v>#REF!</v>
      </c>
    </row>
    <row r="23414" spans="1:6" ht="15.75" customHeight="1">
      <c r="A23414" s="16" t="s">
        <v>15210</v>
      </c>
      <c r="B23414" s="15" t="s">
        <v>15210</v>
      </c>
      <c r="C23414" s="16" t="s">
        <v>14891</v>
      </c>
      <c r="D23414" s="16" t="s">
        <v>14892</v>
      </c>
      <c r="E23414" s="2">
        <v>3164090</v>
      </c>
      <c r="F23414" s="4" t="e">
        <f>IF(B23414=#REF!,"",B23414)</f>
        <v>#REF!</v>
      </c>
    </row>
    <row r="23415" spans="1:6" ht="15.75" customHeight="1">
      <c r="A23415" s="15" t="s">
        <v>27482</v>
      </c>
      <c r="B23415" s="15" t="s">
        <v>27482</v>
      </c>
      <c r="C23415" s="15" t="s">
        <v>27234</v>
      </c>
      <c r="D23415" s="15" t="s">
        <v>27241</v>
      </c>
      <c r="E23415" s="2">
        <v>2644972</v>
      </c>
      <c r="F23415" s="4" t="e">
        <f>IF(B23415=#REF!,"",B23415)</f>
        <v>#REF!</v>
      </c>
    </row>
    <row r="23416" spans="1:6" ht="15.75" customHeight="1">
      <c r="A23416" s="15" t="s">
        <v>1614</v>
      </c>
      <c r="B23416" s="15" t="s">
        <v>1615</v>
      </c>
      <c r="C23416" s="15" t="s">
        <v>1512</v>
      </c>
      <c r="D23416" s="15" t="s">
        <v>1513</v>
      </c>
      <c r="E23416" s="2">
        <v>2793446</v>
      </c>
      <c r="F23416" s="4" t="e">
        <f>IF(B23416=#REF!,"",B23416)</f>
        <v>#REF!</v>
      </c>
    </row>
    <row r="23417" spans="1:6" ht="15.75" customHeight="1">
      <c r="A23417" s="15" t="s">
        <v>16809</v>
      </c>
      <c r="B23417" s="15" t="s">
        <v>16809</v>
      </c>
      <c r="C23417" s="15" t="s">
        <v>16781</v>
      </c>
      <c r="D23417" s="15" t="s">
        <v>16809</v>
      </c>
      <c r="E23417" s="2">
        <v>189741</v>
      </c>
      <c r="F23417" s="4" t="e">
        <f>IF(B23417=#REF!,"",B23417)</f>
        <v>#REF!</v>
      </c>
    </row>
    <row r="23418" spans="1:6" ht="15.75" customHeight="1">
      <c r="A23418" s="16" t="s">
        <v>25917</v>
      </c>
      <c r="B23418" s="15" t="s">
        <v>25918</v>
      </c>
      <c r="C23418" s="16" t="s">
        <v>25771</v>
      </c>
      <c r="D23418" s="16" t="s">
        <v>25918</v>
      </c>
      <c r="E23418" s="2">
        <v>1152468</v>
      </c>
      <c r="F23418" s="4" t="e">
        <f>IF(B23418=#REF!,"",B23418)</f>
        <v>#REF!</v>
      </c>
    </row>
    <row r="23419" spans="1:6" ht="15.75" customHeight="1">
      <c r="A23419" s="16" t="s">
        <v>8731</v>
      </c>
      <c r="B23419" s="15" t="s">
        <v>8731</v>
      </c>
      <c r="C23419" s="16" t="s">
        <v>8028</v>
      </c>
      <c r="D23419" s="16" t="s">
        <v>8050</v>
      </c>
      <c r="E23419" s="2">
        <v>2881695</v>
      </c>
      <c r="F23419" s="4" t="e">
        <f>IF(B23419=#REF!,"",B23419)</f>
        <v>#REF!</v>
      </c>
    </row>
    <row r="23420" spans="1:6" ht="15.75" customHeight="1">
      <c r="A23420" s="15" t="s">
        <v>25916</v>
      </c>
      <c r="B23420" s="15" t="s">
        <v>25916</v>
      </c>
      <c r="C23420" s="15" t="s">
        <v>25771</v>
      </c>
      <c r="D23420" s="15" t="s">
        <v>25916</v>
      </c>
      <c r="E23420" s="2">
        <v>1152473</v>
      </c>
      <c r="F23420" s="4" t="e">
        <f>IF(B23420=#REF!,"",B23420)</f>
        <v>#REF!</v>
      </c>
    </row>
    <row r="23421" spans="1:6" ht="15.75" customHeight="1">
      <c r="A23421" s="15" t="s">
        <v>4412</v>
      </c>
      <c r="B23421" s="15" t="s">
        <v>4413</v>
      </c>
      <c r="C23421" s="15" t="s">
        <v>4355</v>
      </c>
      <c r="D23421" s="15" t="s">
        <v>4366</v>
      </c>
      <c r="E23421" s="2">
        <v>3885273</v>
      </c>
      <c r="F23421" s="4" t="e">
        <f>IF(B23421=#REF!,"",B23421)</f>
        <v>#REF!</v>
      </c>
    </row>
    <row r="23422" spans="1:6" ht="15.75" customHeight="1">
      <c r="A23422" s="16" t="s">
        <v>14002</v>
      </c>
      <c r="B23422" s="15" t="s">
        <v>14002</v>
      </c>
      <c r="C23422" s="16" t="s">
        <v>13800</v>
      </c>
      <c r="D23422" s="16" t="s">
        <v>13816</v>
      </c>
      <c r="E23422" s="2">
        <v>1638562</v>
      </c>
      <c r="F23422" s="4" t="e">
        <f>IF(B23422=#REF!,"",B23422)</f>
        <v>#REF!</v>
      </c>
    </row>
    <row r="23423" spans="1:6" ht="15.75" customHeight="1">
      <c r="A23423" s="15" t="s">
        <v>7985</v>
      </c>
      <c r="B23423" s="15" t="s">
        <v>7985</v>
      </c>
      <c r="C23423" s="15" t="s">
        <v>7980</v>
      </c>
      <c r="D23423" s="15" t="s">
        <v>7984</v>
      </c>
      <c r="E23423" s="2">
        <v>2412749</v>
      </c>
      <c r="F23423" s="4" t="str">
        <f>IF(B23423=B23422,"",B23423)</f>
        <v>Lamin</v>
      </c>
    </row>
    <row r="23424" spans="1:6" ht="15.75" customHeight="1">
      <c r="A23424" s="16" t="str">
        <f ca="1">IFERROR(__xludf.DUMMYFUNCTION("GOOGLETRANSLATE(B30985,""en"",""pt"")"),"Lamía")</f>
        <v>Lamía</v>
      </c>
      <c r="B23424" s="20" t="s">
        <v>32696</v>
      </c>
      <c r="C23424" s="20" t="s">
        <v>9441</v>
      </c>
      <c r="D23424" s="20" t="s">
        <v>9490</v>
      </c>
      <c r="E23424" s="10">
        <v>258620</v>
      </c>
      <c r="F23424" s="4" t="e">
        <f>IF(B23424=#REF!,"",B23424)</f>
        <v>#REF!</v>
      </c>
    </row>
    <row r="23425" spans="1:6" ht="15.75" customHeight="1">
      <c r="A23425" s="16" t="s">
        <v>15209</v>
      </c>
      <c r="B23425" s="15" t="s">
        <v>15209</v>
      </c>
      <c r="C23425" s="16" t="s">
        <v>14891</v>
      </c>
      <c r="D23425" s="16" t="s">
        <v>14929</v>
      </c>
      <c r="E23425" s="2">
        <v>6534232</v>
      </c>
      <c r="F23425" s="4" t="e">
        <f>IF(B23425=#REF!,"",B23425)</f>
        <v>#REF!</v>
      </c>
    </row>
    <row r="23426" spans="1:6" ht="15.75" customHeight="1">
      <c r="A23426" s="16" t="s">
        <v>7441</v>
      </c>
      <c r="B23426" s="15" t="s">
        <v>7442</v>
      </c>
      <c r="C23426" s="16" t="s">
        <v>7052</v>
      </c>
      <c r="D23426" s="16" t="s">
        <v>7078</v>
      </c>
      <c r="E23426" s="2">
        <v>3008218</v>
      </c>
      <c r="F23426" s="4" t="e">
        <f>IF(B23426=#REF!,"",B23426)</f>
        <v>#REF!</v>
      </c>
    </row>
    <row r="23427" spans="1:6" ht="15.75" customHeight="1">
      <c r="A23427" s="16" t="s">
        <v>20495</v>
      </c>
      <c r="B23427" s="15" t="s">
        <v>20495</v>
      </c>
      <c r="C23427" s="16" t="s">
        <v>20470</v>
      </c>
      <c r="D23427" s="16" t="s">
        <v>20495</v>
      </c>
      <c r="E23427" s="2">
        <v>3695754</v>
      </c>
      <c r="F23427" s="4" t="str">
        <f>IF(B23427=B23426,"",B23427)</f>
        <v>Lambayeque</v>
      </c>
    </row>
    <row r="23428" spans="1:6" ht="15.75" customHeight="1">
      <c r="A23428" s="16" t="str">
        <f ca="1">IFERROR(__xludf.DUMMYFUNCTION("GOOGLETRANSLATE(B30311,""en"",""pt"")"),"Lambaréné")</f>
        <v>Lambaréné</v>
      </c>
      <c r="B23428" s="20" t="s">
        <v>32654</v>
      </c>
      <c r="C23428" s="20" t="s">
        <v>7960</v>
      </c>
      <c r="D23428" s="20" t="s">
        <v>32655</v>
      </c>
      <c r="E23428" s="10">
        <v>2399888</v>
      </c>
      <c r="F23428" s="4" t="str">
        <f>IF(B23428=B23427,"",B23428)</f>
        <v>Lambaréné</v>
      </c>
    </row>
    <row r="23429" spans="1:6" ht="15.75" customHeight="1">
      <c r="A23429" s="16" t="str">
        <f ca="1">IFERROR(__xludf.DUMMYFUNCTION("GOOGLETRANSLATE(B39689,""en"",""pt"")"),"Lambaré")</f>
        <v>Lambaré</v>
      </c>
      <c r="B23429" s="20" t="s">
        <v>20455</v>
      </c>
      <c r="C23429" s="20" t="s">
        <v>20433</v>
      </c>
      <c r="D23429" s="20" t="s">
        <v>1886</v>
      </c>
      <c r="E23429" s="10">
        <v>3437863</v>
      </c>
      <c r="F23429" s="4" t="str">
        <f>IF(B23429=B23428,"",B23429)</f>
        <v>Lambaré</v>
      </c>
    </row>
    <row r="23430" spans="1:6" ht="15.75" customHeight="1">
      <c r="A23430" s="16" t="s">
        <v>7965</v>
      </c>
      <c r="B23430" s="15" t="s">
        <v>7966</v>
      </c>
      <c r="C23430" s="16" t="s">
        <v>7960</v>
      </c>
      <c r="D23430" s="16" t="s">
        <v>7967</v>
      </c>
      <c r="E23430" s="2">
        <v>2399888</v>
      </c>
      <c r="F23430" s="4" t="str">
        <f>IF(B23430=B23429,"",B23430)</f>
        <v>LambarÃ©nÃ©</v>
      </c>
    </row>
    <row r="23431" spans="1:6" ht="15.75" customHeight="1">
      <c r="A23431" s="15" t="s">
        <v>20455</v>
      </c>
      <c r="B23431" s="15" t="s">
        <v>20456</v>
      </c>
      <c r="C23431" s="15" t="s">
        <v>20433</v>
      </c>
      <c r="D23431" s="15" t="s">
        <v>1886</v>
      </c>
      <c r="E23431" s="2">
        <v>3437863</v>
      </c>
      <c r="F23431" s="4" t="str">
        <f>IF(B23431=B23430,"",B23431)</f>
        <v>LambarÃ©</v>
      </c>
    </row>
    <row r="23432" spans="1:6" ht="15.75" customHeight="1">
      <c r="A23432" s="15" t="s">
        <v>9567</v>
      </c>
      <c r="B23432" s="15" t="s">
        <v>9568</v>
      </c>
      <c r="C23432" s="15" t="s">
        <v>9441</v>
      </c>
      <c r="D23432" s="15" t="s">
        <v>9490</v>
      </c>
      <c r="E23432" s="2">
        <v>258620</v>
      </c>
      <c r="F23432" s="4" t="e">
        <f>IF(B23432=#REF!,"",B23432)</f>
        <v>#REF!</v>
      </c>
    </row>
    <row r="23433" spans="1:6" ht="15.75" customHeight="1">
      <c r="A23433" s="15" t="s">
        <v>19492</v>
      </c>
      <c r="B23433" s="15" t="s">
        <v>19492</v>
      </c>
      <c r="C23433" s="15" t="s">
        <v>19294</v>
      </c>
      <c r="D23433" s="15" t="s">
        <v>19398</v>
      </c>
      <c r="E23433" s="2">
        <v>2332357</v>
      </c>
      <c r="F23433" s="4" t="str">
        <f>IF(B23433=B23432,"",B23433)</f>
        <v>Lalupon</v>
      </c>
    </row>
    <row r="23434" spans="1:6" ht="15.75" customHeight="1">
      <c r="A23434" s="16" t="str">
        <f ca="1">IFERROR(__xludf.DUMMYFUNCTION("GOOGLETRANSLATE(B32928,""en"",""pt"")"),"Lālsot")</f>
        <v>Lālsot</v>
      </c>
      <c r="B23434" s="20" t="s">
        <v>33458</v>
      </c>
      <c r="C23434" s="20" t="s">
        <v>10178</v>
      </c>
      <c r="D23434" s="20" t="s">
        <v>10179</v>
      </c>
      <c r="E23434" s="10">
        <v>1265143</v>
      </c>
      <c r="F23434" s="4" t="str">
        <f>IF(B23434=B23433,"",B23434)</f>
        <v>Lālsot</v>
      </c>
    </row>
    <row r="23435" spans="1:6" ht="15.75" customHeight="1">
      <c r="A23435" s="16" t="str">
        <f ca="1">IFERROR(__xludf.DUMMYFUNCTION("GOOGLETRANSLATE(B32929,""en"",""pt"")"),"Lālpur")</f>
        <v>Lālpur</v>
      </c>
      <c r="B23435" s="20" t="s">
        <v>33459</v>
      </c>
      <c r="C23435" s="20" t="s">
        <v>10178</v>
      </c>
      <c r="D23435" s="20" t="s">
        <v>10209</v>
      </c>
      <c r="E23435" s="10">
        <v>1265150</v>
      </c>
      <c r="F23435" s="4" t="e">
        <f>IF(B23435=#REF!,"",B23435)</f>
        <v>#REF!</v>
      </c>
    </row>
    <row r="23436" spans="1:6" ht="15.75" customHeight="1">
      <c r="A23436" s="15" t="s">
        <v>1009</v>
      </c>
      <c r="B23436" s="15" t="s">
        <v>1009</v>
      </c>
      <c r="C23436" s="15" t="s">
        <v>885</v>
      </c>
      <c r="D23436" s="15" t="s">
        <v>827</v>
      </c>
      <c r="E23436" s="2">
        <v>2160706</v>
      </c>
      <c r="F23436" s="4" t="str">
        <f>IF(B23436=B23435,"",B23436)</f>
        <v>Lalor</v>
      </c>
    </row>
    <row r="23437" spans="1:6" ht="15.75" customHeight="1">
      <c r="A23437" s="16" t="str">
        <f ca="1">IFERROR(__xludf.DUMMYFUNCTION("GOOGLETRANSLATE(B23741,""en"",""pt"")"),"Lālmohan")</f>
        <v>Lālmohan</v>
      </c>
      <c r="B23437" s="20" t="s">
        <v>31279</v>
      </c>
      <c r="C23437" s="20" t="s">
        <v>1296</v>
      </c>
      <c r="D23437" s="20" t="s">
        <v>31265</v>
      </c>
      <c r="E23437" s="10">
        <v>1185251</v>
      </c>
      <c r="F23437" s="4" t="e">
        <f>IF(B23437=#REF!,"",B23437)</f>
        <v>#REF!</v>
      </c>
    </row>
    <row r="23438" spans="1:6" ht="15.75" customHeight="1">
      <c r="A23438" s="16" t="s">
        <v>1371</v>
      </c>
      <c r="B23438" s="15" t="s">
        <v>1371</v>
      </c>
      <c r="C23438" s="16" t="s">
        <v>1296</v>
      </c>
      <c r="D23438" s="16" t="s">
        <v>1304</v>
      </c>
      <c r="E23438" s="2">
        <v>1185181</v>
      </c>
      <c r="F23438" s="4" t="e">
        <f>IF(B23438=#REF!,"",B23438)</f>
        <v>#REF!</v>
      </c>
    </row>
    <row r="23439" spans="1:6" ht="15.75" customHeight="1">
      <c r="A23439" s="15" t="s">
        <v>12151</v>
      </c>
      <c r="B23439" s="15" t="s">
        <v>12151</v>
      </c>
      <c r="C23439" s="15" t="s">
        <v>10178</v>
      </c>
      <c r="D23439" s="15" t="s">
        <v>10193</v>
      </c>
      <c r="E23439" s="2">
        <v>1265157</v>
      </c>
      <c r="F23439" s="4" t="str">
        <f>IF(B23439=B23438,"",B23439)</f>
        <v>Lalitpur</v>
      </c>
    </row>
    <row r="23440" spans="1:6" ht="15.75" customHeight="1">
      <c r="A23440" s="16" t="str">
        <f ca="1">IFERROR(__xludf.DUMMYFUNCTION("GOOGLETRANSLATE(B29380,""en"",""pt"")"),"Lalín")</f>
        <v>Lalín</v>
      </c>
      <c r="B23440" s="20" t="s">
        <v>32458</v>
      </c>
      <c r="C23440" s="20" t="s">
        <v>24200</v>
      </c>
      <c r="D23440" s="20" t="s">
        <v>24201</v>
      </c>
      <c r="E23440" s="10">
        <v>3119536</v>
      </c>
      <c r="F23440" s="4" t="str">
        <f>IF(B23440=B23439,"",B23440)</f>
        <v>Lalín</v>
      </c>
    </row>
    <row r="23441" spans="1:6" ht="15.75" customHeight="1">
      <c r="A23441" s="16" t="str">
        <f ca="1">IFERROR(__xludf.DUMMYFUNCTION("GOOGLETRANSLATE(B39006,""en"",""pt"")"),"Lāliān")</f>
        <v>Lāliān</v>
      </c>
      <c r="B23441" s="20" t="s">
        <v>34966</v>
      </c>
      <c r="C23441" s="20" t="s">
        <v>19808</v>
      </c>
      <c r="D23441" s="20" t="s">
        <v>10184</v>
      </c>
      <c r="E23441" s="10">
        <v>1172295</v>
      </c>
      <c r="F23441" s="4" t="e">
        <f>IF(B23441=#REF!,"",B23441)</f>
        <v>#REF!</v>
      </c>
    </row>
    <row r="23442" spans="1:6" ht="15.75" customHeight="1">
      <c r="A23442" s="15" t="s">
        <v>12150</v>
      </c>
      <c r="B23442" s="15" t="s">
        <v>12150</v>
      </c>
      <c r="C23442" s="15" t="s">
        <v>10178</v>
      </c>
      <c r="D23442" s="15" t="s">
        <v>10196</v>
      </c>
      <c r="E23442" s="2">
        <v>1265163</v>
      </c>
      <c r="F23442" s="4" t="str">
        <f>IF(B23442=B23441,"",B23442)</f>
        <v>Lalgudi</v>
      </c>
    </row>
    <row r="23443" spans="1:6" ht="15.75" customHeight="1">
      <c r="A23443" s="16" t="str">
        <f ca="1">IFERROR(__xludf.DUMMYFUNCTION("GOOGLETRANSLATE(B32932,""en"",""pt"")"),"Lālgola")</f>
        <v>Lālgola</v>
      </c>
      <c r="B23443" s="20" t="s">
        <v>33460</v>
      </c>
      <c r="C23443" s="20" t="s">
        <v>10178</v>
      </c>
      <c r="D23443" s="20" t="s">
        <v>10201</v>
      </c>
      <c r="E23443" s="10">
        <v>1265166</v>
      </c>
      <c r="F23443" s="4" t="e">
        <f>IF(B23443=#REF!,"",B23443)</f>
        <v>#REF!</v>
      </c>
    </row>
    <row r="23444" spans="1:6" ht="15.75" customHeight="1">
      <c r="A23444" s="16" t="str">
        <f ca="1">IFERROR(__xludf.DUMMYFUNCTION("GOOGLETRANSLATE(B32933,""en"",""pt"")"),"Lālganj")</f>
        <v>Lālganj</v>
      </c>
      <c r="B23444" s="20" t="s">
        <v>33461</v>
      </c>
      <c r="C23444" s="20" t="s">
        <v>10178</v>
      </c>
      <c r="D23444" s="20" t="s">
        <v>10193</v>
      </c>
      <c r="E23444" s="10">
        <v>1265169</v>
      </c>
      <c r="F23444" s="4" t="str">
        <f>IF(B23444=B23443,"",B23444)</f>
        <v>Lālganj</v>
      </c>
    </row>
    <row r="23445" spans="1:6" ht="15.75" customHeight="1">
      <c r="A23445" s="16" t="str">
        <f ca="1">IFERROR(__xludf.DUMMYFUNCTION("GOOGLETRANSLATE(B29499,""en"",""pt"")"),"L'Alfàs del Pi")</f>
        <v>L'Alfàs del Pi</v>
      </c>
      <c r="B23445" s="20" t="s">
        <v>32481</v>
      </c>
      <c r="C23445" s="20" t="s">
        <v>24200</v>
      </c>
      <c r="D23445" s="20" t="s">
        <v>21053</v>
      </c>
      <c r="E23445" s="10">
        <v>6559503</v>
      </c>
      <c r="F23445" s="4" t="str">
        <f>IF(B23445=B23444,"",B23445)</f>
        <v>l'Alfàs del Pi</v>
      </c>
    </row>
    <row r="23446" spans="1:6" ht="15.75" customHeight="1">
      <c r="A23446" s="16" t="s">
        <v>24543</v>
      </c>
      <c r="B23446" s="15" t="s">
        <v>24544</v>
      </c>
      <c r="C23446" s="16" t="s">
        <v>24200</v>
      </c>
      <c r="D23446" s="16" t="s">
        <v>21053</v>
      </c>
      <c r="E23446" s="2">
        <v>6559503</v>
      </c>
      <c r="F23446" s="4" t="str">
        <f>IF(B23446=B23445,"",B23446)</f>
        <v>l'AlfÃ s del Pi</v>
      </c>
    </row>
    <row r="23447" spans="1:6" ht="15.75" customHeight="1">
      <c r="A23447" s="15" t="s">
        <v>24541</v>
      </c>
      <c r="B23447" s="15" t="s">
        <v>24542</v>
      </c>
      <c r="C23447" s="15" t="s">
        <v>24200</v>
      </c>
      <c r="D23447" s="15" t="s">
        <v>24201</v>
      </c>
      <c r="E23447" s="2">
        <v>3119536</v>
      </c>
      <c r="F23447" s="4" t="e">
        <f>IF(B23447=#REF!,"",B23447)</f>
        <v>#REF!</v>
      </c>
    </row>
    <row r="23448" spans="1:6" ht="15.75" customHeight="1">
      <c r="A23448" s="15" t="s">
        <v>25653</v>
      </c>
      <c r="B23448" s="15" t="s">
        <v>25653</v>
      </c>
      <c r="C23448" s="15" t="s">
        <v>25560</v>
      </c>
      <c r="D23448" s="15" t="s">
        <v>25566</v>
      </c>
      <c r="E23448" s="2">
        <v>156080</v>
      </c>
      <c r="F23448" s="4" t="str">
        <f>IF(B23448=B23447,"",B23448)</f>
        <v>Lalago</v>
      </c>
    </row>
    <row r="23449" spans="1:6" ht="15.75" customHeight="1">
      <c r="A23449" s="16" t="str">
        <f ca="1">IFERROR(__xludf.DUMMYFUNCTION("GOOGLETRANSLATE(B39007,""en"",""pt"")"),"Lāla mūsa")</f>
        <v>Lāla mūsa</v>
      </c>
      <c r="B23449" s="20" t="s">
        <v>34967</v>
      </c>
      <c r="C23449" s="20" t="s">
        <v>19808</v>
      </c>
      <c r="D23449" s="20" t="s">
        <v>10184</v>
      </c>
      <c r="E23449" s="10">
        <v>1172318</v>
      </c>
      <c r="F23449" s="4" t="e">
        <f>IF(B23449=#REF!,"",B23449)</f>
        <v>#REF!</v>
      </c>
    </row>
    <row r="23450" spans="1:6" ht="15.75" customHeight="1">
      <c r="A23450" s="15" t="s">
        <v>20824</v>
      </c>
      <c r="B23450" s="15" t="s">
        <v>20824</v>
      </c>
      <c r="C23450" s="15" t="s">
        <v>20598</v>
      </c>
      <c r="D23450" s="15" t="s">
        <v>20687</v>
      </c>
      <c r="E23450" s="2">
        <v>1707944</v>
      </c>
      <c r="F23450" s="4" t="e">
        <f>IF(B23450=#REF!,"",B23450)</f>
        <v>#REF!</v>
      </c>
    </row>
    <row r="23451" spans="1:6" ht="15.75" customHeight="1">
      <c r="A23451" s="16" t="s">
        <v>12149</v>
      </c>
      <c r="B23451" s="15" t="s">
        <v>12149</v>
      </c>
      <c r="C23451" s="16" t="s">
        <v>10178</v>
      </c>
      <c r="D23451" s="16" t="s">
        <v>10187</v>
      </c>
      <c r="E23451" s="2">
        <v>7302826</v>
      </c>
      <c r="F23451" s="4" t="str">
        <f>IF(B23451=B23450,"",B23451)</f>
        <v>Lal Bahadur Nagar</v>
      </c>
    </row>
    <row r="23452" spans="1:6" ht="15.75" customHeight="1">
      <c r="A23452" s="16" t="str">
        <f ca="1">IFERROR(__xludf.DUMMYFUNCTION("GOOGLETRANSLATE(B23761,""en"",""pt"")"),"Lakshmīpur")</f>
        <v>Lakshmīpur</v>
      </c>
      <c r="B23452" s="20" t="s">
        <v>31293</v>
      </c>
      <c r="C23452" s="20" t="s">
        <v>1296</v>
      </c>
      <c r="D23452" s="20" t="s">
        <v>1302</v>
      </c>
      <c r="E23452" s="10">
        <v>1196292</v>
      </c>
      <c r="F23452" s="4" t="e">
        <f>IF(B23452=#REF!,"",B23452)</f>
        <v>#REF!</v>
      </c>
    </row>
    <row r="23453" spans="1:6" ht="15.75" customHeight="1">
      <c r="A23453" s="16" t="s">
        <v>12148</v>
      </c>
      <c r="B23453" s="15" t="s">
        <v>12148</v>
      </c>
      <c r="C23453" s="16" t="s">
        <v>10178</v>
      </c>
      <c r="D23453" s="16" t="s">
        <v>10252</v>
      </c>
      <c r="E23453" s="2">
        <v>1265201</v>
      </c>
      <c r="F23453" s="4" t="str">
        <f>IF(B23453=B23452,"",B23453)</f>
        <v>Lakshmeshwar</v>
      </c>
    </row>
    <row r="23454" spans="1:6" ht="15.75" customHeight="1">
      <c r="A23454" s="16" t="s">
        <v>1369</v>
      </c>
      <c r="B23454" s="15" t="s">
        <v>1370</v>
      </c>
      <c r="C23454" s="16" t="s">
        <v>1296</v>
      </c>
      <c r="D23454" s="16" t="s">
        <v>1302</v>
      </c>
      <c r="E23454" s="2">
        <v>1196292</v>
      </c>
      <c r="F23454" s="4" t="str">
        <f>IF(B23454=B23453,"",B23454)</f>
        <v>LakshmÄ«pur</v>
      </c>
    </row>
    <row r="23455" spans="1:6" ht="15.75" customHeight="1">
      <c r="A23455" s="16" t="str">
        <f ca="1">IFERROR(__xludf.DUMMYFUNCTION("GOOGLETRANSLATE(B23724,""en"",""pt"")"),"Lākshām")</f>
        <v>Lākshām</v>
      </c>
      <c r="B23455" s="20" t="s">
        <v>31272</v>
      </c>
      <c r="C23455" s="20" t="s">
        <v>1296</v>
      </c>
      <c r="D23455" s="20" t="s">
        <v>1302</v>
      </c>
      <c r="E23455" s="10">
        <v>1185183</v>
      </c>
      <c r="F23455" s="4" t="e">
        <f>IF(B23455=#REF!,"",B23455)</f>
        <v>#REF!</v>
      </c>
    </row>
    <row r="23456" spans="1:6" ht="15.75" customHeight="1">
      <c r="A23456" s="15" t="s">
        <v>12147</v>
      </c>
      <c r="B23456" s="15" t="s">
        <v>12147</v>
      </c>
      <c r="C23456" s="15" t="s">
        <v>10178</v>
      </c>
      <c r="D23456" s="15" t="s">
        <v>10299</v>
      </c>
      <c r="E23456" s="2">
        <v>1265208</v>
      </c>
      <c r="F23456" s="4" t="e">
        <f>IF(B23456=#REF!,"",B23456)</f>
        <v>#REF!</v>
      </c>
    </row>
    <row r="23457" spans="1:6" ht="15.75" customHeight="1">
      <c r="A23457" s="15" t="s">
        <v>15649</v>
      </c>
      <c r="B23457" s="15" t="s">
        <v>15649</v>
      </c>
      <c r="C23457" s="15" t="s">
        <v>15586</v>
      </c>
      <c r="D23457" s="15" t="s">
        <v>15637</v>
      </c>
      <c r="E23457" s="2">
        <v>2285449</v>
      </c>
      <c r="F23457" s="4" t="e">
        <f>IF(B23457=#REF!,"",B23457)</f>
        <v>#REF!</v>
      </c>
    </row>
    <row r="23458" spans="1:6" ht="15.75" customHeight="1">
      <c r="A23458" s="16" t="s">
        <v>20069</v>
      </c>
      <c r="B23458" s="15" t="s">
        <v>20069</v>
      </c>
      <c r="C23458" s="16" t="s">
        <v>19808</v>
      </c>
      <c r="D23458" s="16" t="s">
        <v>19811</v>
      </c>
      <c r="E23458" s="2">
        <v>1172339</v>
      </c>
      <c r="F23458" s="4" t="e">
        <f>IF(B23458=#REF!,"",B23458)</f>
        <v>#REF!</v>
      </c>
    </row>
    <row r="23459" spans="1:6" ht="15.75" customHeight="1">
      <c r="A23459" s="15" t="s">
        <v>22658</v>
      </c>
      <c r="B23459" s="15" t="s">
        <v>22658</v>
      </c>
      <c r="C23459" s="15" t="s">
        <v>22070</v>
      </c>
      <c r="D23459" s="15" t="s">
        <v>22113</v>
      </c>
      <c r="E23459" s="2">
        <v>537107</v>
      </c>
      <c r="F23459" s="4" t="e">
        <f>IF(B23459=#REF!,"",B23459)</f>
        <v>#REF!</v>
      </c>
    </row>
    <row r="23460" spans="1:6" ht="15.75" customHeight="1">
      <c r="A23460" s="16" t="s">
        <v>12146</v>
      </c>
      <c r="B23460" s="15" t="s">
        <v>12146</v>
      </c>
      <c r="C23460" s="16" t="s">
        <v>10178</v>
      </c>
      <c r="D23460" s="16" t="s">
        <v>10201</v>
      </c>
      <c r="E23460" s="2">
        <v>1265220</v>
      </c>
      <c r="F23460" s="4" t="str">
        <f>IF(B23460=B23459,"",B23460)</f>
        <v>Lakhyabad</v>
      </c>
    </row>
    <row r="23461" spans="1:6" ht="15.75" customHeight="1">
      <c r="A23461" s="16" t="str">
        <f ca="1">IFERROR(__xludf.DUMMYFUNCTION("GOOGLETRANSLATE(B32938,""en"",""pt"")"),"Lakhnādon")</f>
        <v>Lakhnādon</v>
      </c>
      <c r="B23461" s="20" t="s">
        <v>33462</v>
      </c>
      <c r="C23461" s="20" t="s">
        <v>10178</v>
      </c>
      <c r="D23461" s="20" t="s">
        <v>10219</v>
      </c>
      <c r="E23461" s="10">
        <v>1265233</v>
      </c>
      <c r="F23461" s="4" t="str">
        <f>IF(B23461=B23460,"",B23461)</f>
        <v>Lakhnādon</v>
      </c>
    </row>
    <row r="23462" spans="1:6" ht="15.75" customHeight="1">
      <c r="A23462" s="16" t="s">
        <v>12144</v>
      </c>
      <c r="B23462" s="15" t="s">
        <v>12145</v>
      </c>
      <c r="C23462" s="16" t="s">
        <v>10178</v>
      </c>
      <c r="D23462" s="16" t="s">
        <v>10219</v>
      </c>
      <c r="E23462" s="2">
        <v>1265233</v>
      </c>
      <c r="F23462" s="4" t="str">
        <f>IF(B23462=B23461,"",B23462)</f>
        <v>LakhnÄdon</v>
      </c>
    </row>
    <row r="23463" spans="1:6" ht="15.75" customHeight="1">
      <c r="A23463" s="16" t="str">
        <f ca="1">IFERROR(__xludf.DUMMYFUNCTION("GOOGLETRANSLATE(B32939,""en"",""pt"")"),"Lakhīmpur")</f>
        <v>Lakhīmpur</v>
      </c>
      <c r="B23463" s="20" t="s">
        <v>33463</v>
      </c>
      <c r="C23463" s="20" t="s">
        <v>10178</v>
      </c>
      <c r="D23463" s="20" t="s">
        <v>10193</v>
      </c>
      <c r="E23463" s="10">
        <v>1265242</v>
      </c>
      <c r="F23463" s="4" t="str">
        <f>IF(B23463=B23462,"",B23463)</f>
        <v>Lakhīmpur</v>
      </c>
    </row>
    <row r="23464" spans="1:6" ht="15.75" customHeight="1">
      <c r="A23464" s="16" t="str">
        <f ca="1">IFERROR(__xludf.DUMMYFUNCTION("GOOGLETRANSLATE(B32940,""en"",""pt"")"),"Lākheri")</f>
        <v>Lākheri</v>
      </c>
      <c r="B23464" s="20" t="s">
        <v>33464</v>
      </c>
      <c r="C23464" s="20" t="s">
        <v>10178</v>
      </c>
      <c r="D23464" s="20" t="s">
        <v>10179</v>
      </c>
      <c r="E23464" s="10">
        <v>1265246</v>
      </c>
      <c r="F23464" s="4" t="e">
        <f>IF(B23464=#REF!,"",B23464)</f>
        <v>#REF!</v>
      </c>
    </row>
    <row r="23465" spans="1:6" ht="15.75" customHeight="1">
      <c r="A23465" s="15" t="s">
        <v>384</v>
      </c>
      <c r="B23465" s="15" t="s">
        <v>384</v>
      </c>
      <c r="C23465" s="15" t="s">
        <v>153</v>
      </c>
      <c r="D23465" s="15" t="s">
        <v>189</v>
      </c>
      <c r="E23465" s="2">
        <v>2491134</v>
      </c>
      <c r="F23465" s="4" t="str">
        <f>IF(B23465=B23464,"",B23465)</f>
        <v>Lakhdaria</v>
      </c>
    </row>
    <row r="23466" spans="1:6" ht="15.75" customHeight="1">
      <c r="A23466" s="16" t="s">
        <v>12142</v>
      </c>
      <c r="B23466" s="15" t="s">
        <v>12143</v>
      </c>
      <c r="C23466" s="16" t="s">
        <v>10178</v>
      </c>
      <c r="D23466" s="16" t="s">
        <v>10193</v>
      </c>
      <c r="E23466" s="2">
        <v>1265242</v>
      </c>
      <c r="F23466" s="4" t="e">
        <f>IF(B23466=#REF!,"",B23466)</f>
        <v>#REF!</v>
      </c>
    </row>
    <row r="23467" spans="1:6" ht="15.75" customHeight="1">
      <c r="A23467" s="16" t="s">
        <v>29082</v>
      </c>
      <c r="B23467" s="15" t="s">
        <v>29082</v>
      </c>
      <c r="C23467" s="16" t="s">
        <v>27788</v>
      </c>
      <c r="D23467" s="16" t="s">
        <v>27905</v>
      </c>
      <c r="E23467" s="2">
        <v>5100280</v>
      </c>
      <c r="F23467" s="4" t="e">
        <f>IF(B23467=#REF!,"",B23467)</f>
        <v>#REF!</v>
      </c>
    </row>
    <row r="23468" spans="1:6" ht="15.75" customHeight="1">
      <c r="A23468" s="15" t="s">
        <v>29081</v>
      </c>
      <c r="B23468" s="15" t="s">
        <v>29081</v>
      </c>
      <c r="C23468" s="15" t="s">
        <v>27788</v>
      </c>
      <c r="D23468" s="15" t="s">
        <v>27824</v>
      </c>
      <c r="E23468" s="2">
        <v>5034059</v>
      </c>
      <c r="F23468" s="4" t="e">
        <f>IF(B23468=#REF!,"",B23468)</f>
        <v>#REF!</v>
      </c>
    </row>
    <row r="23469" spans="1:6" ht="15.75" customHeight="1">
      <c r="A23469" s="15" t="s">
        <v>29080</v>
      </c>
      <c r="B23469" s="15" t="s">
        <v>29080</v>
      </c>
      <c r="C23469" s="15" t="s">
        <v>27788</v>
      </c>
      <c r="D23469" s="15" t="s">
        <v>5468</v>
      </c>
      <c r="E23469" s="2">
        <v>4161461</v>
      </c>
      <c r="F23469" s="4" t="e">
        <f>IF(B23469=#REF!,"",B23469)</f>
        <v>#REF!</v>
      </c>
    </row>
    <row r="23470" spans="1:6" ht="15.75" customHeight="1">
      <c r="A23470" s="15" t="s">
        <v>29079</v>
      </c>
      <c r="B23470" s="15" t="s">
        <v>29079</v>
      </c>
      <c r="C23470" s="15" t="s">
        <v>27788</v>
      </c>
      <c r="D23470" s="15" t="s">
        <v>5468</v>
      </c>
      <c r="E23470" s="2">
        <v>4161438</v>
      </c>
      <c r="F23470" s="4" t="e">
        <f>IF(B23470=#REF!,"",B23470)</f>
        <v>#REF!</v>
      </c>
    </row>
    <row r="23471" spans="1:6" ht="15.75" customHeight="1">
      <c r="A23471" s="16" t="s">
        <v>29077</v>
      </c>
      <c r="B23471" s="15" t="s">
        <v>29078</v>
      </c>
      <c r="C23471" s="16" t="s">
        <v>27788</v>
      </c>
      <c r="D23471" s="16" t="s">
        <v>27799</v>
      </c>
      <c r="E23471" s="2">
        <v>4899170</v>
      </c>
      <c r="F23471" s="4" t="e">
        <f>IF(B23471=#REF!,"",B23471)</f>
        <v>#REF!</v>
      </c>
    </row>
    <row r="23472" spans="1:6" ht="15.75" customHeight="1">
      <c r="A23472" s="16" t="s">
        <v>29075</v>
      </c>
      <c r="B23472" s="15" t="s">
        <v>29076</v>
      </c>
      <c r="C23472" s="16" t="s">
        <v>27788</v>
      </c>
      <c r="D23472" s="16" t="s">
        <v>5468</v>
      </c>
      <c r="E23472" s="2">
        <v>4161424</v>
      </c>
      <c r="F23472" s="4" t="e">
        <f>IF(B23472=#REF!,"",B23472)</f>
        <v>#REF!</v>
      </c>
    </row>
    <row r="23473" spans="1:6" ht="15.75" customHeight="1">
      <c r="A23473" s="16" t="s">
        <v>29074</v>
      </c>
      <c r="B23473" s="15" t="s">
        <v>29074</v>
      </c>
      <c r="C23473" s="16" t="s">
        <v>27788</v>
      </c>
      <c r="D23473" s="16" t="s">
        <v>5468</v>
      </c>
      <c r="E23473" s="2">
        <v>4161422</v>
      </c>
      <c r="F23473" s="4" t="e">
        <f>IF(B23473=#REF!,"",B23473)</f>
        <v>#REF!</v>
      </c>
    </row>
    <row r="23474" spans="1:6" ht="15.75" customHeight="1">
      <c r="A23474" s="16" t="s">
        <v>29072</v>
      </c>
      <c r="B23474" s="15" t="s">
        <v>29073</v>
      </c>
      <c r="C23474" s="16" t="s">
        <v>27788</v>
      </c>
      <c r="D23474" s="16" t="s">
        <v>27733</v>
      </c>
      <c r="E23474" s="2">
        <v>5800317</v>
      </c>
      <c r="F23474" s="4" t="e">
        <f>IF(B23474=#REF!,"",B23474)</f>
        <v>#REF!</v>
      </c>
    </row>
    <row r="23475" spans="1:6" ht="15.75" customHeight="1">
      <c r="A23475" s="16" t="s">
        <v>29070</v>
      </c>
      <c r="B23475" s="15" t="s">
        <v>29071</v>
      </c>
      <c r="C23475" s="16" t="s">
        <v>27788</v>
      </c>
      <c r="D23475" s="16" t="s">
        <v>17061</v>
      </c>
      <c r="E23475" s="2">
        <v>4360201</v>
      </c>
      <c r="F23475" s="4" t="e">
        <f>IF(B23475=#REF!,"",B23475)</f>
        <v>#REF!</v>
      </c>
    </row>
    <row r="23476" spans="1:6" ht="15.75" customHeight="1">
      <c r="A23476" s="16" t="s">
        <v>29068</v>
      </c>
      <c r="B23476" s="15" t="s">
        <v>29069</v>
      </c>
      <c r="C23476" s="16" t="s">
        <v>27788</v>
      </c>
      <c r="D23476" s="16" t="s">
        <v>27819</v>
      </c>
      <c r="E23476" s="2">
        <v>5123840</v>
      </c>
      <c r="F23476" s="4" t="e">
        <f>IF(B23476=#REF!,"",B23476)</f>
        <v>#REF!</v>
      </c>
    </row>
    <row r="23477" spans="1:6" ht="15.75" customHeight="1">
      <c r="A23477" s="16" t="s">
        <v>29066</v>
      </c>
      <c r="B23477" s="15" t="s">
        <v>29067</v>
      </c>
      <c r="C23477" s="16" t="s">
        <v>27788</v>
      </c>
      <c r="D23477" s="16" t="s">
        <v>27820</v>
      </c>
      <c r="E23477" s="2">
        <v>5735724</v>
      </c>
      <c r="F23477" s="4" t="e">
        <f>IF(B23477=#REF!,"",B23477)</f>
        <v>#REF!</v>
      </c>
    </row>
    <row r="23478" spans="1:6" ht="15.75" customHeight="1">
      <c r="A23478" s="16" t="s">
        <v>29064</v>
      </c>
      <c r="B23478" s="15" t="s">
        <v>29065</v>
      </c>
      <c r="C23478" s="16" t="s">
        <v>27788</v>
      </c>
      <c r="D23478" s="16" t="s">
        <v>5468</v>
      </c>
      <c r="E23478" s="2">
        <v>4161313</v>
      </c>
      <c r="F23478" s="4" t="e">
        <f>IF(B23478=#REF!,"",B23478)</f>
        <v>#REF!</v>
      </c>
    </row>
    <row r="23479" spans="1:6" ht="15.75" customHeight="1">
      <c r="A23479" s="16" t="s">
        <v>29062</v>
      </c>
      <c r="B23479" s="15" t="s">
        <v>29063</v>
      </c>
      <c r="C23479" s="16" t="s">
        <v>27788</v>
      </c>
      <c r="D23479" s="16" t="s">
        <v>27799</v>
      </c>
      <c r="E23479" s="2">
        <v>4899184</v>
      </c>
      <c r="F23479" s="4" t="e">
        <f>IF(B23479=#REF!,"",B23479)</f>
        <v>#REF!</v>
      </c>
    </row>
    <row r="23480" spans="1:6" ht="15.75" customHeight="1">
      <c r="A23480" s="16" t="s">
        <v>29060</v>
      </c>
      <c r="B23480" s="15" t="s">
        <v>29061</v>
      </c>
      <c r="C23480" s="16" t="s">
        <v>27788</v>
      </c>
      <c r="D23480" s="16" t="s">
        <v>27880</v>
      </c>
      <c r="E23480" s="2">
        <v>5301388</v>
      </c>
      <c r="F23480" s="4" t="e">
        <f>IF(B23480=#REF!,"",B23480)</f>
        <v>#REF!</v>
      </c>
    </row>
    <row r="23481" spans="1:6" ht="15.75" customHeight="1">
      <c r="A23481" s="16" t="s">
        <v>29058</v>
      </c>
      <c r="B23481" s="15" t="s">
        <v>29059</v>
      </c>
      <c r="C23481" s="16" t="s">
        <v>27788</v>
      </c>
      <c r="D23481" s="16" t="s">
        <v>27799</v>
      </c>
      <c r="E23481" s="2">
        <v>4899012</v>
      </c>
      <c r="F23481" s="4" t="e">
        <f>IF(B23481=#REF!,"",B23481)</f>
        <v>#REF!</v>
      </c>
    </row>
    <row r="23482" spans="1:6" ht="15.75" customHeight="1">
      <c r="A23482" s="16" t="s">
        <v>29056</v>
      </c>
      <c r="B23482" s="15" t="s">
        <v>29057</v>
      </c>
      <c r="C23482" s="16" t="s">
        <v>27788</v>
      </c>
      <c r="D23482" s="16" t="s">
        <v>27827</v>
      </c>
      <c r="E23482" s="2">
        <v>4330236</v>
      </c>
      <c r="F23482" s="4" t="e">
        <f>IF(B23482=#REF!,"",B23482)</f>
        <v>#REF!</v>
      </c>
    </row>
    <row r="23483" spans="1:6" ht="15.75" customHeight="1">
      <c r="A23483" s="16" t="s">
        <v>29054</v>
      </c>
      <c r="B23483" s="15" t="s">
        <v>29055</v>
      </c>
      <c r="C23483" s="16" t="s">
        <v>27788</v>
      </c>
      <c r="D23483" s="16" t="s">
        <v>5468</v>
      </c>
      <c r="E23483" s="2">
        <v>4161178</v>
      </c>
      <c r="F23483" s="4" t="e">
        <f>IF(B23483=#REF!,"",B23483)</f>
        <v>#REF!</v>
      </c>
    </row>
    <row r="23484" spans="1:6" ht="15.75" customHeight="1">
      <c r="A23484" s="15" t="s">
        <v>2795</v>
      </c>
      <c r="B23484" s="15" t="s">
        <v>2795</v>
      </c>
      <c r="C23484" s="15" t="s">
        <v>1905</v>
      </c>
      <c r="D23484" s="15" t="s">
        <v>1917</v>
      </c>
      <c r="E23484" s="2">
        <v>3458902</v>
      </c>
      <c r="F23484" s="4" t="e">
        <f>IF(B23484=#REF!,"",B23484)</f>
        <v>#REF!</v>
      </c>
    </row>
    <row r="23485" spans="1:6" ht="15.75" customHeight="1">
      <c r="A23485" s="15" t="s">
        <v>2794</v>
      </c>
      <c r="B23485" s="15" t="s">
        <v>2794</v>
      </c>
      <c r="C23485" s="15" t="s">
        <v>1905</v>
      </c>
      <c r="D23485" s="15" t="s">
        <v>1909</v>
      </c>
      <c r="E23485" s="2">
        <v>3396496</v>
      </c>
      <c r="F23485" s="4" t="e">
        <f>IF(B23485=#REF!,"",B23485)</f>
        <v>#REF!</v>
      </c>
    </row>
    <row r="23486" spans="1:6" ht="15.75" customHeight="1">
      <c r="A23486" s="15" t="s">
        <v>2793</v>
      </c>
      <c r="B23486" s="15" t="s">
        <v>2793</v>
      </c>
      <c r="C23486" s="15" t="s">
        <v>1905</v>
      </c>
      <c r="D23486" s="15" t="s">
        <v>1951</v>
      </c>
      <c r="E23486" s="2">
        <v>3459035</v>
      </c>
      <c r="F23486" s="4" t="e">
        <f>IF(B23486=#REF!,"",B23486)</f>
        <v>#REF!</v>
      </c>
    </row>
    <row r="23487" spans="1:6" ht="15.75" customHeight="1">
      <c r="A23487" s="15" t="s">
        <v>4863</v>
      </c>
      <c r="B23487" s="15" t="s">
        <v>4863</v>
      </c>
      <c r="C23487" s="15" t="s">
        <v>4487</v>
      </c>
      <c r="D23487" s="15" t="s">
        <v>4503</v>
      </c>
      <c r="E23487" s="2">
        <v>1804586</v>
      </c>
      <c r="F23487" s="4" t="e">
        <f>IF(B23487=#REF!,"",B23487)</f>
        <v>#REF!</v>
      </c>
    </row>
    <row r="23488" spans="1:6" ht="15.75" customHeight="1">
      <c r="A23488" s="15" t="s">
        <v>4861</v>
      </c>
      <c r="B23488" s="15" t="s">
        <v>4862</v>
      </c>
      <c r="C23488" s="15" t="s">
        <v>4487</v>
      </c>
      <c r="D23488" s="15" t="s">
        <v>4503</v>
      </c>
      <c r="E23488" s="2">
        <v>1794479</v>
      </c>
      <c r="F23488" s="4" t="e">
        <f>IF(B23488=#REF!,"",B23488)</f>
        <v>#REF!</v>
      </c>
    </row>
    <row r="23489" spans="1:6" ht="15.75" customHeight="1">
      <c r="A23489" s="15" t="s">
        <v>4860</v>
      </c>
      <c r="B23489" s="15" t="s">
        <v>4860</v>
      </c>
      <c r="C23489" s="15" t="s">
        <v>4487</v>
      </c>
      <c r="D23489" s="15" t="s">
        <v>4503</v>
      </c>
      <c r="E23489" s="2">
        <v>1804591</v>
      </c>
      <c r="F23489" s="4" t="e">
        <f>IF(B23489=#REF!,"",B23489)</f>
        <v>#REF!</v>
      </c>
    </row>
    <row r="23490" spans="1:6" ht="15.75" customHeight="1">
      <c r="A23490" s="15" t="s">
        <v>15207</v>
      </c>
      <c r="B23490" s="15" t="s">
        <v>15208</v>
      </c>
      <c r="C23490" s="15" t="s">
        <v>14891</v>
      </c>
      <c r="D23490" s="15" t="s">
        <v>14894</v>
      </c>
      <c r="E23490" s="2">
        <v>3175238</v>
      </c>
      <c r="F23490" s="4" t="e">
        <f>IF(B23490=#REF!,"",B23490)</f>
        <v>#REF!</v>
      </c>
    </row>
    <row r="23491" spans="1:6" ht="15.75" customHeight="1">
      <c r="A23491" s="15" t="s">
        <v>4858</v>
      </c>
      <c r="B23491" s="15" t="s">
        <v>4859</v>
      </c>
      <c r="C23491" s="15" t="s">
        <v>4487</v>
      </c>
      <c r="D23491" s="15" t="s">
        <v>4516</v>
      </c>
      <c r="E23491" s="2">
        <v>1804609</v>
      </c>
      <c r="F23491" s="4" t="str">
        <f>IF(B23491=B23490,"",B23491)</f>
        <v>Laibin</v>
      </c>
    </row>
    <row r="23492" spans="1:6" ht="15.75" customHeight="1">
      <c r="A23492" s="16" t="str">
        <f ca="1">IFERROR(__xludf.DUMMYFUNCTION("GOOGLETRANSLATE(B41483,""en"",""pt"")"),"Laï")</f>
        <v>Laï</v>
      </c>
      <c r="B23492" s="20" t="s">
        <v>35774</v>
      </c>
      <c r="C23492" s="20" t="s">
        <v>4305</v>
      </c>
      <c r="D23492" s="20" t="s">
        <v>35775</v>
      </c>
      <c r="E23492" s="10">
        <v>2429296</v>
      </c>
      <c r="F23492" s="4" t="e">
        <f>IF(B23492=#REF!,"",B23492)</f>
        <v>#REF!</v>
      </c>
    </row>
    <row r="23493" spans="1:6" ht="15.75" customHeight="1">
      <c r="A23493" s="15" t="s">
        <v>7003</v>
      </c>
      <c r="B23493" s="15" t="s">
        <v>7003</v>
      </c>
      <c r="C23493" s="15" t="s">
        <v>6948</v>
      </c>
      <c r="D23493" s="15" t="s">
        <v>6961</v>
      </c>
      <c r="E23493" s="2">
        <v>649360</v>
      </c>
      <c r="F23493" s="4" t="e">
        <f>IF(B23493=#REF!,"",B23493)</f>
        <v>#REF!</v>
      </c>
    </row>
    <row r="23494" spans="1:6" ht="15.75" customHeight="1">
      <c r="A23494" s="15" t="s">
        <v>8730</v>
      </c>
      <c r="B23494" s="15" t="s">
        <v>8730</v>
      </c>
      <c r="C23494" s="15" t="s">
        <v>8028</v>
      </c>
      <c r="D23494" s="15" t="s">
        <v>8031</v>
      </c>
      <c r="E23494" s="2">
        <v>2881885</v>
      </c>
      <c r="F23494" s="4" t="e">
        <f>IF(B23494=#REF!,"",B23494)</f>
        <v>#REF!</v>
      </c>
    </row>
    <row r="23495" spans="1:6" ht="15.75" customHeight="1">
      <c r="A23495" s="15" t="s">
        <v>20068</v>
      </c>
      <c r="B23495" s="15" t="s">
        <v>20068</v>
      </c>
      <c r="C23495" s="15" t="s">
        <v>19808</v>
      </c>
      <c r="D23495" s="15" t="s">
        <v>10184</v>
      </c>
      <c r="E23495" s="2">
        <v>1172451</v>
      </c>
      <c r="F23495" s="4" t="e">
        <f>IF(B23495=#REF!,"",B23495)</f>
        <v>#REF!</v>
      </c>
    </row>
    <row r="23496" spans="1:6" ht="15.75" customHeight="1">
      <c r="A23496" s="15" t="s">
        <v>8729</v>
      </c>
      <c r="B23496" s="15" t="s">
        <v>8729</v>
      </c>
      <c r="C23496" s="15" t="s">
        <v>8028</v>
      </c>
      <c r="D23496" s="15" t="s">
        <v>8065</v>
      </c>
      <c r="E23496" s="2">
        <v>2881889</v>
      </c>
      <c r="F23496" s="4" t="str">
        <f>IF(B23496=B23495,"",B23496)</f>
        <v>Lahnstein</v>
      </c>
    </row>
    <row r="23497" spans="1:6" ht="15.75" customHeight="1">
      <c r="A23497" s="16" t="str">
        <f ca="1">IFERROR(__xludf.DUMMYFUNCTION("GOOGLETRANSLATE(B45825,""en"",""pt"")"),"Laḩij")</f>
        <v>Laḩij</v>
      </c>
      <c r="B23497" s="20" t="s">
        <v>36220</v>
      </c>
      <c r="C23497" s="20" t="s">
        <v>30993</v>
      </c>
      <c r="D23497" s="20" t="s">
        <v>36220</v>
      </c>
      <c r="E23497" s="10">
        <v>73560</v>
      </c>
      <c r="F23497" s="4" t="e">
        <f>IF(B23497=#REF!,"",B23497)</f>
        <v>#REF!</v>
      </c>
    </row>
    <row r="23498" spans="1:6" ht="15.75" customHeight="1">
      <c r="A23498" s="15" t="s">
        <v>14001</v>
      </c>
      <c r="B23498" s="15" t="s">
        <v>14001</v>
      </c>
      <c r="C23498" s="15" t="s">
        <v>13800</v>
      </c>
      <c r="D23498" s="15" t="s">
        <v>13847</v>
      </c>
      <c r="E23498" s="2">
        <v>1638775</v>
      </c>
      <c r="F23498" s="4" t="str">
        <f>IF(B23498=B23497,"",B23498)</f>
        <v>Lahat</v>
      </c>
    </row>
    <row r="23499" spans="1:6" ht="15.75" customHeight="1">
      <c r="A23499" s="16" t="str">
        <f ca="1">IFERROR(__xludf.DUMMYFUNCTION("GOOGLETRANSLATE(B32941,""en"",""pt"")"),"Lāharpur")</f>
        <v>Lāharpur</v>
      </c>
      <c r="B23499" s="20" t="s">
        <v>33465</v>
      </c>
      <c r="C23499" s="20" t="s">
        <v>10178</v>
      </c>
      <c r="D23499" s="20" t="s">
        <v>10193</v>
      </c>
      <c r="E23499" s="10">
        <v>1265310</v>
      </c>
      <c r="F23499" s="4" t="str">
        <f>IF(B23499=B23498,"",B23499)</f>
        <v>Lāharpur</v>
      </c>
    </row>
    <row r="23500" spans="1:6" ht="15.75" customHeight="1">
      <c r="A23500" s="16" t="str">
        <f ca="1">IFERROR(__xludf.DUMMYFUNCTION("GOOGLETRANSLATE(B32942,""en"",""pt"")"),"Lahār")</f>
        <v>Lahār</v>
      </c>
      <c r="B23500" s="20" t="s">
        <v>33466</v>
      </c>
      <c r="C23500" s="20" t="s">
        <v>10178</v>
      </c>
      <c r="D23500" s="20" t="s">
        <v>10219</v>
      </c>
      <c r="E23500" s="10">
        <v>1265311</v>
      </c>
      <c r="F23500" s="4" t="str">
        <f>IF(B23500=B23499,"",B23500)</f>
        <v>Lahār</v>
      </c>
    </row>
    <row r="23501" spans="1:6" ht="15.75" customHeight="1">
      <c r="A23501" s="16" t="str">
        <f ca="1">IFERROR(__xludf.DUMMYFUNCTION("GOOGLETRANSLATE(B38187,""en"",""pt"")"),"Lahān")</f>
        <v>Lahān</v>
      </c>
      <c r="B23501" s="20" t="s">
        <v>34828</v>
      </c>
      <c r="C23501" s="20" t="s">
        <v>18800</v>
      </c>
      <c r="D23501" s="20" t="s">
        <v>18807</v>
      </c>
      <c r="E23501" s="10">
        <v>1283161</v>
      </c>
      <c r="F23501" s="4" t="e">
        <f>IF(B23501=#REF!,"",B23501)</f>
        <v>#REF!</v>
      </c>
    </row>
    <row r="23502" spans="1:6" ht="15.75" customHeight="1">
      <c r="A23502" s="16" t="s">
        <v>17523</v>
      </c>
      <c r="B23502" s="15" t="s">
        <v>17523</v>
      </c>
      <c r="C23502" s="16" t="s">
        <v>17432</v>
      </c>
      <c r="D23502" s="16" t="s">
        <v>17444</v>
      </c>
      <c r="E23502" s="2">
        <v>1733953</v>
      </c>
      <c r="F23502" s="4" t="str">
        <f>IF(B23502=B23501,"",B23502)</f>
        <v>Lahad Datu</v>
      </c>
    </row>
    <row r="23503" spans="1:6" ht="15.75" customHeight="1">
      <c r="A23503" s="15" t="s">
        <v>12140</v>
      </c>
      <c r="B23503" s="15" t="s">
        <v>12141</v>
      </c>
      <c r="C23503" s="15" t="s">
        <v>10178</v>
      </c>
      <c r="D23503" s="15" t="s">
        <v>10219</v>
      </c>
      <c r="E23503" s="2">
        <v>1265311</v>
      </c>
      <c r="F23503" s="4" t="str">
        <f>IF(B23503=B23502,"",B23503)</f>
        <v>LahÄr</v>
      </c>
    </row>
    <row r="23504" spans="1:6" ht="15.75" customHeight="1">
      <c r="A23504" s="15" t="s">
        <v>18843</v>
      </c>
      <c r="B23504" s="15" t="s">
        <v>18844</v>
      </c>
      <c r="C23504" s="15" t="s">
        <v>18800</v>
      </c>
      <c r="D23504" s="15" t="s">
        <v>18807</v>
      </c>
      <c r="E23504" s="2">
        <v>1283161</v>
      </c>
      <c r="F23504" s="4" t="e">
        <f>IF(B23504=#REF!,"",B23504)</f>
        <v>#REF!</v>
      </c>
    </row>
    <row r="23505" spans="1:6" ht="15.75" customHeight="1">
      <c r="A23505" s="15" t="s">
        <v>30715</v>
      </c>
      <c r="B23505" s="15" t="s">
        <v>30715</v>
      </c>
      <c r="C23505" s="15" t="s">
        <v>5923</v>
      </c>
      <c r="D23505" s="15" t="s">
        <v>30649</v>
      </c>
      <c r="E23505" s="2">
        <v>3637623</v>
      </c>
      <c r="F23505" s="4" t="e">
        <f>IF(B23505=#REF!,"",B23505)</f>
        <v>#REF!</v>
      </c>
    </row>
    <row r="23506" spans="1:6" ht="15.75" customHeight="1">
      <c r="A23506" s="16" t="s">
        <v>24540</v>
      </c>
      <c r="B23506" s="15" t="s">
        <v>24540</v>
      </c>
      <c r="C23506" s="16" t="s">
        <v>24200</v>
      </c>
      <c r="D23506" s="16" t="s">
        <v>24210</v>
      </c>
      <c r="E23506" s="2">
        <v>3119631</v>
      </c>
      <c r="F23506" s="4" t="e">
        <f>IF(B23506=#REF!,"",B23506)</f>
        <v>#REF!</v>
      </c>
    </row>
    <row r="23507" spans="1:6" ht="15.75" customHeight="1">
      <c r="A23507" s="15" t="s">
        <v>2792</v>
      </c>
      <c r="B23507" s="15" t="s">
        <v>2792</v>
      </c>
      <c r="C23507" s="15" t="s">
        <v>1905</v>
      </c>
      <c r="D23507" s="15" t="s">
        <v>2020</v>
      </c>
      <c r="E23507" s="2">
        <v>3459094</v>
      </c>
      <c r="F23507" s="4" t="e">
        <f>IF(B23507=#REF!,"",B23507)</f>
        <v>#REF!</v>
      </c>
    </row>
    <row r="23508" spans="1:6" ht="15.75" customHeight="1">
      <c r="A23508" s="16" t="s">
        <v>20822</v>
      </c>
      <c r="B23508" s="15" t="s">
        <v>20823</v>
      </c>
      <c r="C23508" s="16" t="s">
        <v>20598</v>
      </c>
      <c r="D23508" s="16" t="s">
        <v>20606</v>
      </c>
      <c r="E23508" s="2">
        <v>1708056</v>
      </c>
      <c r="F23508" s="4" t="e">
        <f>IF(B23508=#REF!,"",B23508)</f>
        <v>#REF!</v>
      </c>
    </row>
    <row r="23509" spans="1:6" ht="15.75" customHeight="1">
      <c r="A23509" s="16" t="s">
        <v>18041</v>
      </c>
      <c r="B23509" s="15" t="s">
        <v>18041</v>
      </c>
      <c r="C23509" s="16" t="s">
        <v>17707</v>
      </c>
      <c r="D23509" s="16" t="s">
        <v>17746</v>
      </c>
      <c r="E23509" s="2">
        <v>4002224</v>
      </c>
      <c r="F23509" s="4" t="e">
        <f>IF(B23509=#REF!,"",B23509)</f>
        <v>#REF!</v>
      </c>
    </row>
    <row r="23510" spans="1:6" ht="15.75" customHeight="1">
      <c r="A23510" s="15" t="s">
        <v>19336</v>
      </c>
      <c r="B23510" s="15" t="s">
        <v>19336</v>
      </c>
      <c r="C23510" s="15" t="s">
        <v>19294</v>
      </c>
      <c r="D23510" s="15" t="s">
        <v>19336</v>
      </c>
      <c r="E23510" s="2">
        <v>2332459</v>
      </c>
      <c r="F23510" s="4" t="e">
        <f>IF(B23510=#REF!,"",B23510)</f>
        <v>#REF!</v>
      </c>
    </row>
    <row r="23511" spans="1:6" ht="15.75" customHeight="1">
      <c r="A23511" s="16" t="s">
        <v>2791</v>
      </c>
      <c r="B23511" s="15" t="s">
        <v>2791</v>
      </c>
      <c r="C23511" s="16" t="s">
        <v>1905</v>
      </c>
      <c r="D23511" s="16" t="s">
        <v>1951</v>
      </c>
      <c r="E23511" s="2">
        <v>3459126</v>
      </c>
      <c r="F23511" s="4" t="e">
        <f>IF(B23511=#REF!,"",B23511)</f>
        <v>#REF!</v>
      </c>
    </row>
    <row r="23512" spans="1:6" ht="15.75" customHeight="1">
      <c r="A23512" s="16" t="s">
        <v>2790</v>
      </c>
      <c r="B23512" s="15" t="s">
        <v>2790</v>
      </c>
      <c r="C23512" s="16" t="s">
        <v>1905</v>
      </c>
      <c r="D23512" s="16" t="s">
        <v>1917</v>
      </c>
      <c r="E23512" s="2">
        <v>3459138</v>
      </c>
      <c r="F23512" s="4" t="e">
        <f>IF(B23512=#REF!,"",B23512)</f>
        <v>#REF!</v>
      </c>
    </row>
    <row r="23513" spans="1:6" ht="15.75" customHeight="1">
      <c r="A23513" s="16" t="s">
        <v>2788</v>
      </c>
      <c r="B23513" s="15" t="s">
        <v>2789</v>
      </c>
      <c r="C23513" s="16" t="s">
        <v>1905</v>
      </c>
      <c r="D23513" s="16" t="s">
        <v>1909</v>
      </c>
      <c r="E23513" s="2">
        <v>3396769</v>
      </c>
      <c r="F23513" s="4" t="e">
        <f>IF(B23513=#REF!,"",B23513)</f>
        <v>#REF!</v>
      </c>
    </row>
    <row r="23514" spans="1:6" ht="15.75" customHeight="1">
      <c r="A23514" s="16" t="s">
        <v>2787</v>
      </c>
      <c r="B23514" s="15" t="s">
        <v>2787</v>
      </c>
      <c r="C23514" s="16" t="s">
        <v>1905</v>
      </c>
      <c r="D23514" s="16" t="s">
        <v>1917</v>
      </c>
      <c r="E23514" s="2">
        <v>3459251</v>
      </c>
      <c r="F23514" s="4" t="e">
        <f>IF(B23514=#REF!,"",B23514)</f>
        <v>#REF!</v>
      </c>
    </row>
    <row r="23515" spans="1:6" ht="15.75" customHeight="1">
      <c r="A23515" s="16" t="s">
        <v>2786</v>
      </c>
      <c r="B23515" s="15" t="s">
        <v>2786</v>
      </c>
      <c r="C23515" s="16" t="s">
        <v>1905</v>
      </c>
      <c r="D23515" s="16" t="s">
        <v>2024</v>
      </c>
      <c r="E23515" s="2">
        <v>3396601</v>
      </c>
      <c r="F23515" s="4" t="e">
        <f>IF(B23515=#REF!,"",B23515)</f>
        <v>#REF!</v>
      </c>
    </row>
    <row r="23516" spans="1:6" ht="15.75" customHeight="1">
      <c r="A23516" s="16" t="s">
        <v>7440</v>
      </c>
      <c r="B23516" s="15" t="s">
        <v>7440</v>
      </c>
      <c r="C23516" s="16" t="s">
        <v>7052</v>
      </c>
      <c r="D23516" s="16" t="s">
        <v>7058</v>
      </c>
      <c r="E23516" s="2">
        <v>3009071</v>
      </c>
      <c r="F23516" s="4" t="e">
        <f>IF(B23516=#REF!,"",B23516)</f>
        <v>#REF!</v>
      </c>
    </row>
    <row r="23517" spans="1:6" ht="15.75" customHeight="1">
      <c r="A23517" s="15" t="s">
        <v>219</v>
      </c>
      <c r="B23517" s="15" t="s">
        <v>219</v>
      </c>
      <c r="C23517" s="15" t="s">
        <v>153</v>
      </c>
      <c r="D23517" s="15" t="s">
        <v>219</v>
      </c>
      <c r="E23517" s="2">
        <v>2491191</v>
      </c>
      <c r="F23517" s="4" t="e">
        <f>IF(B23517=#REF!,"",B23517)</f>
        <v>#REF!</v>
      </c>
    </row>
    <row r="23518" spans="1:6" ht="15.75" customHeight="1">
      <c r="A23518" s="15" t="s">
        <v>2785</v>
      </c>
      <c r="B23518" s="15" t="s">
        <v>2785</v>
      </c>
      <c r="C23518" s="15" t="s">
        <v>1905</v>
      </c>
      <c r="D23518" s="15" t="s">
        <v>2020</v>
      </c>
      <c r="E23518" s="2">
        <v>3458930</v>
      </c>
      <c r="F23518" s="4" t="e">
        <f>IF(B23518=#REF!,"",B23518)</f>
        <v>#REF!</v>
      </c>
    </row>
    <row r="23519" spans="1:6" ht="15.75" customHeight="1">
      <c r="A23519" s="15" t="s">
        <v>8727</v>
      </c>
      <c r="B23519" s="15" t="s">
        <v>8728</v>
      </c>
      <c r="C23519" s="15" t="s">
        <v>8028</v>
      </c>
      <c r="D23519" s="15" t="s">
        <v>8029</v>
      </c>
      <c r="E23519" s="2">
        <v>2881956</v>
      </c>
      <c r="F23519" s="4" t="e">
        <f>IF(B23519=#REF!,"",B23519)</f>
        <v>#REF!</v>
      </c>
    </row>
    <row r="23520" spans="1:6" ht="15.75" customHeight="1">
      <c r="A23520" s="15" t="s">
        <v>3935</v>
      </c>
      <c r="B23520" s="15" t="s">
        <v>3935</v>
      </c>
      <c r="C23520" s="15" t="s">
        <v>3884</v>
      </c>
      <c r="D23520" s="15" t="s">
        <v>3923</v>
      </c>
      <c r="E23520" s="2">
        <v>2229681</v>
      </c>
      <c r="F23520" s="4" t="e">
        <f>IF(B23520=#REF!,"",B23520)</f>
        <v>#REF!</v>
      </c>
    </row>
    <row r="23521" spans="1:6" ht="15.75" customHeight="1">
      <c r="A23521" s="15" t="s">
        <v>2784</v>
      </c>
      <c r="B23521" s="15" t="s">
        <v>2784</v>
      </c>
      <c r="C23521" s="15" t="s">
        <v>1905</v>
      </c>
      <c r="D23521" s="15" t="s">
        <v>2002</v>
      </c>
      <c r="E23521" s="2">
        <v>3459342</v>
      </c>
      <c r="F23521" s="4" t="e">
        <f>IF(B23521=#REF!,"",B23521)</f>
        <v>#REF!</v>
      </c>
    </row>
    <row r="23522" spans="1:6" ht="15.75" customHeight="1">
      <c r="A23522" s="15" t="s">
        <v>19491</v>
      </c>
      <c r="B23522" s="15" t="s">
        <v>19491</v>
      </c>
      <c r="C23522" s="15" t="s">
        <v>19294</v>
      </c>
      <c r="D23522" s="15" t="s">
        <v>19355</v>
      </c>
      <c r="E23522" s="2">
        <v>2332504</v>
      </c>
      <c r="F23522" s="4" t="e">
        <f>IF(B23522=#REF!,"",B23522)</f>
        <v>#REF!</v>
      </c>
    </row>
    <row r="23523" spans="1:6" ht="15.75" customHeight="1">
      <c r="A23523" s="15" t="s">
        <v>19490</v>
      </c>
      <c r="B23523" s="15" t="s">
        <v>19490</v>
      </c>
      <c r="C23523" s="15" t="s">
        <v>19294</v>
      </c>
      <c r="D23523" s="15" t="s">
        <v>19316</v>
      </c>
      <c r="E23523" s="2">
        <v>2332515</v>
      </c>
      <c r="F23523" s="4" t="e">
        <f>IF(B23523=#REF!,"",B23523)</f>
        <v>#REF!</v>
      </c>
    </row>
    <row r="23524" spans="1:6" ht="15.75" customHeight="1">
      <c r="A23524" s="15" t="s">
        <v>29053</v>
      </c>
      <c r="B23524" s="15" t="s">
        <v>29053</v>
      </c>
      <c r="C23524" s="15" t="s">
        <v>27788</v>
      </c>
      <c r="D23524" s="15" t="s">
        <v>27827</v>
      </c>
      <c r="E23524" s="2">
        <v>4330145</v>
      </c>
      <c r="F23524" s="4" t="e">
        <f>IF(B23524=#REF!,"",B23524)</f>
        <v>#REF!</v>
      </c>
    </row>
    <row r="23525" spans="1:6" ht="15.75" customHeight="1">
      <c r="A23525" s="16" t="s">
        <v>25915</v>
      </c>
      <c r="B23525" s="15" t="s">
        <v>25915</v>
      </c>
      <c r="C23525" s="16" t="s">
        <v>25771</v>
      </c>
      <c r="D23525" s="16" t="s">
        <v>25860</v>
      </c>
      <c r="E23525" s="2">
        <v>1609278</v>
      </c>
      <c r="F23525" s="4" t="e">
        <f>IF(B23525=#REF!,"",B23525)</f>
        <v>#REF!</v>
      </c>
    </row>
    <row r="23526" spans="1:6" ht="15.75" customHeight="1">
      <c r="A23526" s="15" t="s">
        <v>25652</v>
      </c>
      <c r="B23526" s="15" t="s">
        <v>25652</v>
      </c>
      <c r="C23526" s="15" t="s">
        <v>25560</v>
      </c>
      <c r="D23526" s="15" t="s">
        <v>25583</v>
      </c>
      <c r="E23526" s="2">
        <v>156098</v>
      </c>
      <c r="F23526" s="4" t="e">
        <f>IF(B23526=#REF!,"",B23526)</f>
        <v>#REF!</v>
      </c>
    </row>
    <row r="23527" spans="1:6" ht="15.75" customHeight="1">
      <c r="A23527" s="15" t="s">
        <v>20418</v>
      </c>
      <c r="B23527" s="15" t="s">
        <v>20418</v>
      </c>
      <c r="C23527" s="15" t="s">
        <v>20406</v>
      </c>
      <c r="D23527" s="15" t="s">
        <v>20409</v>
      </c>
      <c r="E23527" s="2">
        <v>2092740</v>
      </c>
      <c r="F23527" s="4" t="e">
        <f>IF(B23527=#REF!,"",B23527)</f>
        <v>#REF!</v>
      </c>
    </row>
    <row r="23528" spans="1:6" ht="15.75" customHeight="1">
      <c r="A23528" s="15" t="s">
        <v>27049</v>
      </c>
      <c r="B23528" s="15" t="s">
        <v>27049</v>
      </c>
      <c r="C23528" s="15" t="s">
        <v>26870</v>
      </c>
      <c r="D23528" s="15" t="s">
        <v>26895</v>
      </c>
      <c r="E23528" s="2">
        <v>703428</v>
      </c>
      <c r="F23528" s="4" t="e">
        <f>IF(B23528=#REF!,"",B23528)</f>
        <v>#REF!</v>
      </c>
    </row>
    <row r="23529" spans="1:6" ht="15.75" customHeight="1">
      <c r="A23529" s="16" t="s">
        <v>23926</v>
      </c>
      <c r="B23529" s="15" t="s">
        <v>23926</v>
      </c>
      <c r="C23529" s="16" t="s">
        <v>23842</v>
      </c>
      <c r="D23529" s="16" t="s">
        <v>23845</v>
      </c>
      <c r="E23529" s="2">
        <v>985015</v>
      </c>
      <c r="F23529" s="4" t="e">
        <f>IF(B23529=#REF!,"",B23529)</f>
        <v>#REF!</v>
      </c>
    </row>
    <row r="23530" spans="1:6" ht="15.75" customHeight="1">
      <c r="A23530" s="16" t="s">
        <v>23925</v>
      </c>
      <c r="B23530" s="15" t="s">
        <v>23925</v>
      </c>
      <c r="C23530" s="16" t="s">
        <v>23842</v>
      </c>
      <c r="D23530" s="16" t="s">
        <v>23843</v>
      </c>
      <c r="E23530" s="2">
        <v>985011</v>
      </c>
      <c r="F23530" s="4" t="str">
        <f>IF(B23530=B23529,"",B23530)</f>
        <v>Lady Frere</v>
      </c>
    </row>
    <row r="23531" spans="1:6" ht="15.75" customHeight="1">
      <c r="A23531" s="16" t="str">
        <f ca="1">IFERROR(__xludf.DUMMYFUNCTION("GOOGLETRANSLATE(B32943,""en"",""pt"")"),"Lādwa")</f>
        <v>Lādwa</v>
      </c>
      <c r="B23531" s="20" t="s">
        <v>33467</v>
      </c>
      <c r="C23531" s="20" t="s">
        <v>10178</v>
      </c>
      <c r="D23531" s="20" t="s">
        <v>10224</v>
      </c>
      <c r="E23531" s="10">
        <v>1265323</v>
      </c>
      <c r="F23531" s="4" t="str">
        <f>IF(B23531=B23530,"",B23531)</f>
        <v>Lādwa</v>
      </c>
    </row>
    <row r="23532" spans="1:6" ht="15.75" customHeight="1">
      <c r="A23532" s="16" t="str">
        <f ca="1">IFERROR(__xludf.DUMMYFUNCTION("GOOGLETRANSLATE(B32944,""en"",""pt"")"),"Lādnūn")</f>
        <v>Lādnūn</v>
      </c>
      <c r="B23532" s="20" t="s">
        <v>33468</v>
      </c>
      <c r="C23532" s="20" t="s">
        <v>10178</v>
      </c>
      <c r="D23532" s="20" t="s">
        <v>10179</v>
      </c>
      <c r="E23532" s="10">
        <v>1265331</v>
      </c>
      <c r="F23532" s="4" t="e">
        <f>IF(B23532=#REF!,"",B23532)</f>
        <v>#REF!</v>
      </c>
    </row>
    <row r="23533" spans="1:6" ht="15.75" customHeight="1">
      <c r="A23533" s="15" t="s">
        <v>4078</v>
      </c>
      <c r="B23533" s="15" t="s">
        <v>4078</v>
      </c>
      <c r="C23533" s="15" t="s">
        <v>3975</v>
      </c>
      <c r="D23533" s="15" t="s">
        <v>3976</v>
      </c>
      <c r="E23533" s="2">
        <v>7602078</v>
      </c>
      <c r="F23533" s="4" t="e">
        <f>IF(B23533=#REF!,"",B23533)</f>
        <v>#REF!</v>
      </c>
    </row>
    <row r="23534" spans="1:6" ht="15.75" customHeight="1">
      <c r="A23534" s="15" t="s">
        <v>15206</v>
      </c>
      <c r="B23534" s="15" t="s">
        <v>15206</v>
      </c>
      <c r="C23534" s="15" t="s">
        <v>14891</v>
      </c>
      <c r="D23534" s="15" t="s">
        <v>14904</v>
      </c>
      <c r="E23534" s="2">
        <v>3175298</v>
      </c>
      <c r="F23534" s="4" t="str">
        <f>IF(B23534=B23533,"",B23534)</f>
        <v>Ladispoli</v>
      </c>
    </row>
    <row r="23535" spans="1:6" ht="15.75" customHeight="1">
      <c r="A23535" s="16" t="str">
        <f ca="1">IFERROR(__xludf.DUMMYFUNCTION("GOOGLETRANSLATE(B39010,""en"",""pt"")"),"Ladhewāla Warāich")</f>
        <v>Ladhewāla Warāich</v>
      </c>
      <c r="B23535" s="20" t="s">
        <v>34968</v>
      </c>
      <c r="C23535" s="20" t="s">
        <v>19808</v>
      </c>
      <c r="D23535" s="20" t="s">
        <v>10184</v>
      </c>
      <c r="E23535" s="10">
        <v>1172488</v>
      </c>
      <c r="F23535" s="4" t="str">
        <f>IF(B23535=B23534,"",B23535)</f>
        <v>Ladhewāla Warāich</v>
      </c>
    </row>
    <row r="23536" spans="1:6" ht="15.75" customHeight="1">
      <c r="A23536" s="16" t="s">
        <v>20066</v>
      </c>
      <c r="B23536" s="15" t="s">
        <v>20067</v>
      </c>
      <c r="C23536" s="16" t="s">
        <v>19808</v>
      </c>
      <c r="D23536" s="16" t="s">
        <v>10184</v>
      </c>
      <c r="E23536" s="2">
        <v>1172488</v>
      </c>
      <c r="F23536" s="4" t="str">
        <f>IF(B23536=B23535,"",B23536)</f>
        <v>LadhewÄla WarÄich</v>
      </c>
    </row>
    <row r="23537" spans="1:6" ht="15.75" customHeight="1">
      <c r="A23537" s="16" t="str">
        <f ca="1">IFERROR(__xludf.DUMMYFUNCTION("GOOGLETRANSLATE(B24875,""en"",""pt"")"),"Ladário")</f>
        <v>Ladário</v>
      </c>
      <c r="B23537" s="20" t="s">
        <v>31605</v>
      </c>
      <c r="C23537" s="20" t="s">
        <v>1905</v>
      </c>
      <c r="D23537" s="20" t="s">
        <v>1973</v>
      </c>
      <c r="E23537" s="10">
        <v>3459352</v>
      </c>
      <c r="F23537" s="4" t="e">
        <f>IF(B23537=#REF!,"",B23537)</f>
        <v>#REF!</v>
      </c>
    </row>
    <row r="23538" spans="1:6" ht="15.75" customHeight="1">
      <c r="A23538" s="16" t="s">
        <v>17522</v>
      </c>
      <c r="B23538" s="15" t="s">
        <v>17522</v>
      </c>
      <c r="C23538" s="16" t="s">
        <v>17432</v>
      </c>
      <c r="D23538" s="16" t="s">
        <v>17446</v>
      </c>
      <c r="E23538" s="2">
        <v>1750974</v>
      </c>
      <c r="F23538" s="4" t="str">
        <f>IF(B23538=B23537,"",B23538)</f>
        <v>Ladang Seri Kundang</v>
      </c>
    </row>
    <row r="23539" spans="1:6" ht="15.75" customHeight="1">
      <c r="A23539" s="15" t="s">
        <v>2782</v>
      </c>
      <c r="B23539" s="15" t="s">
        <v>2783</v>
      </c>
      <c r="C23539" s="15" t="s">
        <v>1905</v>
      </c>
      <c r="D23539" s="15" t="s">
        <v>1973</v>
      </c>
      <c r="E23539" s="2">
        <v>3459352</v>
      </c>
      <c r="F23539" s="4" t="e">
        <f>IF(B23539=#REF!,"",B23539)</f>
        <v>#REF!</v>
      </c>
    </row>
    <row r="23540" spans="1:6" ht="15.75" customHeight="1">
      <c r="A23540" s="15" t="s">
        <v>29052</v>
      </c>
      <c r="B23540" s="15" t="s">
        <v>29052</v>
      </c>
      <c r="C23540" s="15" t="s">
        <v>27788</v>
      </c>
      <c r="D23540" s="15" t="s">
        <v>27985</v>
      </c>
      <c r="E23540" s="2">
        <v>5088438</v>
      </c>
      <c r="F23540" s="4" t="e">
        <f>IF(B23540=#REF!,"",B23540)</f>
        <v>#REF!</v>
      </c>
    </row>
    <row r="23541" spans="1:6" ht="15.75" customHeight="1">
      <c r="A23541" s="16" t="s">
        <v>29051</v>
      </c>
      <c r="B23541" s="15" t="s">
        <v>29051</v>
      </c>
      <c r="C23541" s="16" t="s">
        <v>27788</v>
      </c>
      <c r="D23541" s="16" t="s">
        <v>27819</v>
      </c>
      <c r="E23541" s="2">
        <v>5123718</v>
      </c>
      <c r="F23541" s="4" t="str">
        <f>IF(B23541=B23540,"",B23541)</f>
        <v>Lackawanna</v>
      </c>
    </row>
    <row r="23542" spans="1:6" ht="15.75" customHeight="1">
      <c r="A23542" s="16" t="str">
        <f ca="1">IFERROR(__xludf.DUMMYFUNCTION("GOOGLETRANSLATE(B39011,""en"",""pt"")"),"Lāchi")</f>
        <v>Lāchi</v>
      </c>
      <c r="B23542" s="20" t="s">
        <v>34969</v>
      </c>
      <c r="C23542" s="20" t="s">
        <v>19808</v>
      </c>
      <c r="D23542" s="20" t="s">
        <v>19811</v>
      </c>
      <c r="E23542" s="10">
        <v>1172513</v>
      </c>
      <c r="F23542" s="4" t="str">
        <f>IF(B23542=B23541,"",B23542)</f>
        <v>Lāchi</v>
      </c>
    </row>
    <row r="23543" spans="1:6" ht="15.75" customHeight="1">
      <c r="A23543" s="16" t="str">
        <f ca="1">IFERROR(__xludf.DUMMYFUNCTION("GOOGLETRANSLATE(B32945,""en"",""pt"")"),"LACHHMANgarh Sīkar")</f>
        <v>LACHHMANgarh Sīkar</v>
      </c>
      <c r="B23543" s="20" t="s">
        <v>33469</v>
      </c>
      <c r="C23543" s="20" t="s">
        <v>10178</v>
      </c>
      <c r="D23543" s="20" t="s">
        <v>10179</v>
      </c>
      <c r="E23543" s="10">
        <v>1265354</v>
      </c>
      <c r="F23543" s="4" t="str">
        <f>IF(B23543=B23542,"",B23543)</f>
        <v>Lachhmangarh Sīkar</v>
      </c>
    </row>
    <row r="23544" spans="1:6" ht="15.75" customHeight="1">
      <c r="A23544" s="16" t="s">
        <v>12138</v>
      </c>
      <c r="B23544" s="15" t="s">
        <v>12139</v>
      </c>
      <c r="C23544" s="16" t="s">
        <v>10178</v>
      </c>
      <c r="D23544" s="16" t="s">
        <v>10179</v>
      </c>
      <c r="E23544" s="2">
        <v>1265354</v>
      </c>
      <c r="F23544" s="4" t="e">
        <f>IF(B23544=#REF!,"",B23544)</f>
        <v>#REF!</v>
      </c>
    </row>
    <row r="23545" spans="1:6" ht="15.75" customHeight="1">
      <c r="A23545" s="15" t="s">
        <v>29050</v>
      </c>
      <c r="B23545" s="15" t="s">
        <v>29050</v>
      </c>
      <c r="C23545" s="15" t="s">
        <v>27788</v>
      </c>
      <c r="D23545" s="15" t="s">
        <v>27733</v>
      </c>
      <c r="E23545" s="2">
        <v>5800112</v>
      </c>
      <c r="F23545" s="4" t="str">
        <f>IF(B23545=B23544,"",B23545)</f>
        <v>Lacey</v>
      </c>
    </row>
    <row r="23546" spans="1:6" ht="15.75" customHeight="1">
      <c r="A23546" s="16" t="str">
        <f ca="1">IFERROR(__xludf.DUMMYFUNCTION("GOOGLETRANSLATE(B23116,""en"",""pt"")"),"Laca")</f>
        <v>Laca</v>
      </c>
      <c r="B23546" s="20" t="s">
        <v>31153</v>
      </c>
      <c r="C23546" s="20" t="s">
        <v>113</v>
      </c>
      <c r="D23546" s="20" t="s">
        <v>31152</v>
      </c>
      <c r="E23546" s="10">
        <v>3185012</v>
      </c>
      <c r="F23546" s="4" t="e">
        <f>IF(B23546=#REF!,"",B23546)</f>
        <v>#REF!</v>
      </c>
    </row>
    <row r="23547" spans="1:6" ht="15.75" customHeight="1">
      <c r="A23547" s="16" t="s">
        <v>22657</v>
      </c>
      <c r="B23547" s="15" t="s">
        <v>22657</v>
      </c>
      <c r="C23547" s="16" t="s">
        <v>22070</v>
      </c>
      <c r="D23547" s="16" t="s">
        <v>22414</v>
      </c>
      <c r="E23547" s="2">
        <v>1500933</v>
      </c>
      <c r="F23547" s="4" t="e">
        <f>IF(B23547=#REF!,"",B23547)</f>
        <v>#REF!</v>
      </c>
    </row>
    <row r="23548" spans="1:6" ht="15.75" customHeight="1">
      <c r="A23548" s="16" t="s">
        <v>14000</v>
      </c>
      <c r="B23548" s="15" t="s">
        <v>14000</v>
      </c>
      <c r="C23548" s="16" t="s">
        <v>13800</v>
      </c>
      <c r="D23548" s="16" t="s">
        <v>13830</v>
      </c>
      <c r="E23548" s="2">
        <v>1214800</v>
      </c>
      <c r="F23548" s="4" t="e">
        <f>IF(B23548=#REF!,"",B23548)</f>
        <v>#REF!</v>
      </c>
    </row>
    <row r="23549" spans="1:6" ht="15.75" customHeight="1">
      <c r="A23549" s="16" t="s">
        <v>13999</v>
      </c>
      <c r="B23549" s="15" t="s">
        <v>13999</v>
      </c>
      <c r="C23549" s="16" t="s">
        <v>13800</v>
      </c>
      <c r="D23549" s="16" t="s">
        <v>13814</v>
      </c>
      <c r="E23549" s="2">
        <v>1638868</v>
      </c>
      <c r="F23549" s="4" t="e">
        <f>IF(B23549=#REF!,"",B23549)</f>
        <v>#REF!</v>
      </c>
    </row>
    <row r="23550" spans="1:6" ht="15.75" customHeight="1">
      <c r="A23550" s="15" t="s">
        <v>13998</v>
      </c>
      <c r="B23550" s="15" t="s">
        <v>13998</v>
      </c>
      <c r="C23550" s="15" t="s">
        <v>13800</v>
      </c>
      <c r="D23550" s="15" t="s">
        <v>13901</v>
      </c>
      <c r="E23550" s="2">
        <v>1638870</v>
      </c>
      <c r="F23550" s="4" t="e">
        <f>IF(B23550=#REF!,"",B23550)</f>
        <v>#REF!</v>
      </c>
    </row>
    <row r="23551" spans="1:6" ht="15.75" customHeight="1">
      <c r="A23551" s="16" t="s">
        <v>694</v>
      </c>
      <c r="B23551" s="15" t="s">
        <v>694</v>
      </c>
      <c r="C23551" s="16" t="s">
        <v>558</v>
      </c>
      <c r="D23551" s="16" t="s">
        <v>573</v>
      </c>
      <c r="E23551" s="2">
        <v>3852468</v>
      </c>
      <c r="F23551" s="4" t="e">
        <f>IF(B23551=#REF!,"",B23551)</f>
        <v>#REF!</v>
      </c>
    </row>
    <row r="23552" spans="1:6" ht="15.75" customHeight="1">
      <c r="A23552" s="15" t="s">
        <v>20820</v>
      </c>
      <c r="B23552" s="15" t="s">
        <v>20821</v>
      </c>
      <c r="C23552" s="15" t="s">
        <v>20598</v>
      </c>
      <c r="D23552" s="15" t="s">
        <v>20634</v>
      </c>
      <c r="E23552" s="2">
        <v>1708291</v>
      </c>
      <c r="F23552" s="4" t="e">
        <f>IF(B23552=#REF!,"",B23552)</f>
        <v>#REF!</v>
      </c>
    </row>
    <row r="23553" spans="1:6" ht="15.75" customHeight="1">
      <c r="A23553" s="15" t="s">
        <v>17521</v>
      </c>
      <c r="B23553" s="15" t="s">
        <v>17521</v>
      </c>
      <c r="C23553" s="15" t="s">
        <v>17432</v>
      </c>
      <c r="D23553" s="15" t="s">
        <v>17442</v>
      </c>
      <c r="E23553" s="2">
        <v>1732877</v>
      </c>
      <c r="F23553" s="4" t="e">
        <f>IF(B23553=#REF!,"",B23553)</f>
        <v>#REF!</v>
      </c>
    </row>
    <row r="23554" spans="1:6" ht="15.75" customHeight="1">
      <c r="A23554" s="15" t="s">
        <v>22656</v>
      </c>
      <c r="B23554" s="15" t="s">
        <v>22656</v>
      </c>
      <c r="C23554" s="15" t="s">
        <v>22070</v>
      </c>
      <c r="D23554" s="15" t="s">
        <v>22077</v>
      </c>
      <c r="E23554" s="2">
        <v>537281</v>
      </c>
      <c r="F23554" s="4" t="str">
        <f>IF(B23554=B23553,"",B23554)</f>
        <v>Labinsk</v>
      </c>
    </row>
    <row r="23555" spans="1:6" ht="15.75" customHeight="1">
      <c r="A23555" s="16" t="str">
        <f ca="1">IFERROR(__xludf.DUMMYFUNCTION("GOOGLETRANSLATE(B30929,""en"",""pt"")"),"Labé")</f>
        <v>Labé</v>
      </c>
      <c r="B23555" s="20" t="s">
        <v>32665</v>
      </c>
      <c r="C23555" s="20" t="s">
        <v>9826</v>
      </c>
      <c r="D23555" s="20" t="s">
        <v>9841</v>
      </c>
      <c r="E23555" s="10">
        <v>2418362</v>
      </c>
      <c r="F23555" s="4" t="e">
        <f>IF(B23555=#REF!,"",B23555)</f>
        <v>#REF!</v>
      </c>
    </row>
    <row r="23556" spans="1:6" ht="15.75" customHeight="1">
      <c r="A23556" s="15" t="s">
        <v>6940</v>
      </c>
      <c r="B23556" s="15" t="s">
        <v>6940</v>
      </c>
      <c r="C23556" s="15" t="s">
        <v>6941</v>
      </c>
      <c r="D23556" s="15" t="s">
        <v>6942</v>
      </c>
      <c r="E23556" s="2">
        <v>2204582</v>
      </c>
      <c r="F23556" s="4" t="str">
        <f>IF(B23556=B23555,"",B23556)</f>
        <v>Labasa</v>
      </c>
    </row>
    <row r="23557" spans="1:6" ht="15.75" customHeight="1">
      <c r="A23557" s="15" t="s">
        <v>5504</v>
      </c>
      <c r="B23557" s="15" t="s">
        <v>5505</v>
      </c>
      <c r="C23557" s="15" t="s">
        <v>5348</v>
      </c>
      <c r="D23557" s="15" t="s">
        <v>5422</v>
      </c>
      <c r="E23557" s="2">
        <v>3676604</v>
      </c>
      <c r="F23557" s="4" t="str">
        <f>IF(B23557=B23556,"",B23557)</f>
        <v>LÃ­bano</v>
      </c>
    </row>
    <row r="23558" spans="1:6" ht="15.75" customHeight="1">
      <c r="A23558" s="15" t="s">
        <v>9839</v>
      </c>
      <c r="B23558" s="15" t="s">
        <v>9840</v>
      </c>
      <c r="C23558" s="15" t="s">
        <v>9826</v>
      </c>
      <c r="D23558" s="15" t="s">
        <v>9841</v>
      </c>
      <c r="E23558" s="2">
        <v>2418362</v>
      </c>
      <c r="F23558" s="4" t="str">
        <f>IF(B23558=B23557,"",B23558)</f>
        <v>LabÃ©</v>
      </c>
    </row>
    <row r="23559" spans="1:6" ht="15.75" customHeight="1">
      <c r="A23559" s="16" t="str">
        <f ca="1">IFERROR(__xludf.DUMMYFUNCTION("GOOGLETRANSLATE(B28942,""en"",""pt"")"),"Laâyoune / el aaiún")</f>
        <v>Laâyoune / el aaiún</v>
      </c>
      <c r="B23559" s="20" t="s">
        <v>32350</v>
      </c>
      <c r="C23559" s="20" t="s">
        <v>30985</v>
      </c>
      <c r="D23559" s="20" t="s">
        <v>30986</v>
      </c>
      <c r="E23559" s="10">
        <v>2462881</v>
      </c>
      <c r="F23559" s="4" t="e">
        <f>IF(B23559=#REF!,"",B23559)</f>
        <v>#REF!</v>
      </c>
    </row>
    <row r="23560" spans="1:6" ht="15.75" customHeight="1">
      <c r="A23560" s="15" t="s">
        <v>8726</v>
      </c>
      <c r="B23560" s="15" t="s">
        <v>8726</v>
      </c>
      <c r="C23560" s="15" t="s">
        <v>8028</v>
      </c>
      <c r="D23560" s="15" t="s">
        <v>8034</v>
      </c>
      <c r="E23560" s="2">
        <v>2882087</v>
      </c>
      <c r="F23560" s="4" t="e">
        <f>IF(B23560=#REF!,"",B23560)</f>
        <v>#REF!</v>
      </c>
    </row>
    <row r="23561" spans="1:6" ht="15.75" customHeight="1">
      <c r="A23561" s="16" t="s">
        <v>23832</v>
      </c>
      <c r="B23561" s="15" t="s">
        <v>23832</v>
      </c>
      <c r="C23561" s="16" t="s">
        <v>23800</v>
      </c>
      <c r="D23561" s="16" t="s">
        <v>23833</v>
      </c>
      <c r="E23561" s="2">
        <v>400769</v>
      </c>
      <c r="F23561" s="4" t="str">
        <f>IF(B23561=B23560,"",B23561)</f>
        <v>Laascaanood</v>
      </c>
    </row>
    <row r="23562" spans="1:6" ht="15.75" customHeight="1">
      <c r="A23562" s="15" t="s">
        <v>136</v>
      </c>
      <c r="B23562" s="15" t="s">
        <v>137</v>
      </c>
      <c r="C23562" s="15" t="s">
        <v>113</v>
      </c>
      <c r="D23562" s="15" t="s">
        <v>138</v>
      </c>
      <c r="E23562" s="2">
        <v>3185012</v>
      </c>
      <c r="F23562" s="4" t="str">
        <f>IF(B23562=B23561,"",B23562)</f>
        <v>LaÃ§</v>
      </c>
    </row>
    <row r="23563" spans="1:6" ht="15.75" customHeight="1">
      <c r="A23563" s="16" t="s">
        <v>30987</v>
      </c>
      <c r="B23563" s="15" t="s">
        <v>30988</v>
      </c>
      <c r="C23563" s="16" t="s">
        <v>30985</v>
      </c>
      <c r="D23563" s="16" t="s">
        <v>30986</v>
      </c>
      <c r="E23563" s="2">
        <v>2462881</v>
      </c>
      <c r="F23563" s="4" t="str">
        <f>IF(B23563=B23562,"",B23563)</f>
        <v>LaÃ¢youne / El AaiÃºn</v>
      </c>
    </row>
    <row r="23564" spans="1:6" ht="15.75" customHeight="1">
      <c r="A23564" s="15" t="s">
        <v>31017</v>
      </c>
      <c r="B23564" s="15" t="s">
        <v>31018</v>
      </c>
      <c r="C23564" s="15" t="s">
        <v>30993</v>
      </c>
      <c r="D23564" s="15" t="s">
        <v>31018</v>
      </c>
      <c r="E23564" s="2">
        <v>73560</v>
      </c>
      <c r="F23564" s="4" t="str">
        <f>IF(B23564=B23563,"",B23564)</f>
        <v>Laá¸©ij</v>
      </c>
    </row>
    <row r="23565" spans="1:6" ht="15.75" customHeight="1">
      <c r="A23565" s="15" t="s">
        <v>4334</v>
      </c>
      <c r="B23565" s="15" t="s">
        <v>4335</v>
      </c>
      <c r="C23565" s="15" t="s">
        <v>4305</v>
      </c>
      <c r="D23565" s="15" t="s">
        <v>4328</v>
      </c>
      <c r="E23565" s="2">
        <v>2429296</v>
      </c>
      <c r="F23565" s="4" t="str">
        <f>IF(B23565=B23564,"",B23565)</f>
        <v>LaÃ¯</v>
      </c>
    </row>
    <row r="23566" spans="1:6" ht="15.75" customHeight="1">
      <c r="A23566" s="15" t="s">
        <v>4856</v>
      </c>
      <c r="B23566" s="15" t="s">
        <v>4857</v>
      </c>
      <c r="C23566" s="15" t="s">
        <v>4487</v>
      </c>
      <c r="D23566" s="15" t="s">
        <v>4505</v>
      </c>
      <c r="E23566" s="2">
        <v>1801722</v>
      </c>
      <c r="F23566" s="4" t="str">
        <f>IF(B23566=B23565,"",B23566)</f>
        <v>LÃ¼shun</v>
      </c>
    </row>
    <row r="23567" spans="1:6" ht="15.75" customHeight="1">
      <c r="A23567" s="15" t="s">
        <v>8724</v>
      </c>
      <c r="B23567" s="15" t="s">
        <v>8725</v>
      </c>
      <c r="C23567" s="15" t="s">
        <v>8028</v>
      </c>
      <c r="D23567" s="15" t="s">
        <v>8029</v>
      </c>
      <c r="E23567" s="2">
        <v>2875107</v>
      </c>
      <c r="F23567" s="4" t="str">
        <f>IF(B23567=B23566,"",B23567)</f>
        <v>LÃ¼nen</v>
      </c>
    </row>
    <row r="23568" spans="1:6" ht="15.75" customHeight="1">
      <c r="A23568" s="15" t="s">
        <v>8722</v>
      </c>
      <c r="B23568" s="15" t="s">
        <v>8723</v>
      </c>
      <c r="C23568" s="15" t="s">
        <v>8028</v>
      </c>
      <c r="D23568" s="15" t="s">
        <v>8034</v>
      </c>
      <c r="E23568" s="2">
        <v>2875115</v>
      </c>
      <c r="F23568" s="4" t="str">
        <f>IF(B23568=B23567,"",B23568)</f>
        <v>LÃ¼neburg</v>
      </c>
    </row>
    <row r="23569" spans="1:6" ht="15.75" customHeight="1">
      <c r="A23569" s="16" t="s">
        <v>26617</v>
      </c>
      <c r="B23569" s="15" t="s">
        <v>26618</v>
      </c>
      <c r="C23569" s="16" t="s">
        <v>26201</v>
      </c>
      <c r="D23569" s="16" t="s">
        <v>26364</v>
      </c>
      <c r="E23569" s="2">
        <v>741855</v>
      </c>
      <c r="F23569" s="4" t="str">
        <f>IF(B23569=B23568,"",B23569)</f>
        <v>LÃ¼leburgaz</v>
      </c>
    </row>
    <row r="23570" spans="1:6" ht="15.75" customHeight="1">
      <c r="A23570" s="16" t="s">
        <v>8720</v>
      </c>
      <c r="B23570" s="15" t="s">
        <v>8721</v>
      </c>
      <c r="C23570" s="16" t="s">
        <v>8028</v>
      </c>
      <c r="D23570" s="16" t="s">
        <v>8029</v>
      </c>
      <c r="E23570" s="2">
        <v>2875417</v>
      </c>
      <c r="F23570" s="4" t="str">
        <f>IF(B23570=B23569,"",B23570)</f>
        <v>LÃ¼dinghausen</v>
      </c>
    </row>
    <row r="23571" spans="1:6" ht="15.75" customHeight="1">
      <c r="A23571" s="15" t="s">
        <v>18781</v>
      </c>
      <c r="B23571" s="15" t="s">
        <v>18782</v>
      </c>
      <c r="C23571" s="15" t="s">
        <v>18773</v>
      </c>
      <c r="D23571" s="15" t="s">
        <v>18780</v>
      </c>
      <c r="E23571" s="2">
        <v>3355672</v>
      </c>
      <c r="F23571" s="4" t="str">
        <f>IF(B23571=B23570,"",B23571)</f>
        <v>LÃ¼deritz</v>
      </c>
    </row>
    <row r="23572" spans="1:6" ht="15.75" customHeight="1">
      <c r="A23572" s="16" t="s">
        <v>8718</v>
      </c>
      <c r="B23572" s="15" t="s">
        <v>8719</v>
      </c>
      <c r="C23572" s="16" t="s">
        <v>8028</v>
      </c>
      <c r="D23572" s="16" t="s">
        <v>8029</v>
      </c>
      <c r="E23572" s="2">
        <v>2875457</v>
      </c>
      <c r="F23572" s="4" t="str">
        <f>IF(B23572=B23571,"",B23572)</f>
        <v>LÃ¼denscheid</v>
      </c>
    </row>
    <row r="23573" spans="1:6" ht="15.75" customHeight="1">
      <c r="A23573" s="15" t="s">
        <v>8716</v>
      </c>
      <c r="B23573" s="15" t="s">
        <v>8717</v>
      </c>
      <c r="C23573" s="15" t="s">
        <v>8028</v>
      </c>
      <c r="D23573" s="15" t="s">
        <v>8040</v>
      </c>
      <c r="E23573" s="2">
        <v>2875601</v>
      </c>
      <c r="F23573" s="4" t="str">
        <f>IF(B23573=B23572,"",B23573)</f>
        <v>LÃ¼beck</v>
      </c>
    </row>
    <row r="23574" spans="1:6" ht="15.75" customHeight="1">
      <c r="A23574" s="15" t="s">
        <v>8714</v>
      </c>
      <c r="B23574" s="15" t="s">
        <v>8715</v>
      </c>
      <c r="C23574" s="15" t="s">
        <v>8028</v>
      </c>
      <c r="D23574" s="15" t="s">
        <v>8070</v>
      </c>
      <c r="E23574" s="2">
        <v>2875623</v>
      </c>
      <c r="F23574" s="4" t="str">
        <f>IF(B23574=B23573,"",B23574)</f>
        <v>LÃ¼bbenau</v>
      </c>
    </row>
    <row r="23575" spans="1:6" ht="15.75" customHeight="1">
      <c r="A23575" s="16" t="s">
        <v>8712</v>
      </c>
      <c r="B23575" s="15" t="s">
        <v>8713</v>
      </c>
      <c r="C23575" s="16" t="s">
        <v>8028</v>
      </c>
      <c r="D23575" s="16" t="s">
        <v>8029</v>
      </c>
      <c r="E23575" s="2">
        <v>2875626</v>
      </c>
      <c r="F23575" s="4" t="str">
        <f>IF(B23575=B23574,"",B23575)</f>
        <v>LÃ¼bbecke</v>
      </c>
    </row>
    <row r="23576" spans="1:6" ht="15.75" customHeight="1">
      <c r="A23576" s="16" t="s">
        <v>12136</v>
      </c>
      <c r="B23576" s="15" t="s">
        <v>12137</v>
      </c>
      <c r="C23576" s="16" t="s">
        <v>10178</v>
      </c>
      <c r="D23576" s="16" t="s">
        <v>10193</v>
      </c>
      <c r="E23576" s="2">
        <v>1264989</v>
      </c>
      <c r="F23576" s="4" t="str">
        <f>IF(B23576=B23575,"",B23576)</f>
        <v>LÄwar KhÄs</v>
      </c>
    </row>
    <row r="23577" spans="1:6" ht="15.75" customHeight="1">
      <c r="A23577" s="15" t="s">
        <v>12134</v>
      </c>
      <c r="B23577" s="15" t="s">
        <v>12135</v>
      </c>
      <c r="C23577" s="15" t="s">
        <v>10178</v>
      </c>
      <c r="D23577" s="15" t="s">
        <v>10209</v>
      </c>
      <c r="E23577" s="2">
        <v>1265022</v>
      </c>
      <c r="F23577" s="4" t="str">
        <f>IF(B23577=B23576,"",B23577)</f>
        <v>LÄthi</v>
      </c>
    </row>
    <row r="23578" spans="1:6" ht="15.75" customHeight="1">
      <c r="A23578" s="15" t="s">
        <v>12132</v>
      </c>
      <c r="B23578" s="15" t="s">
        <v>12133</v>
      </c>
      <c r="C23578" s="15" t="s">
        <v>10178</v>
      </c>
      <c r="D23578" s="15" t="s">
        <v>10430</v>
      </c>
      <c r="E23578" s="2">
        <v>1265025</v>
      </c>
      <c r="F23578" s="4" t="str">
        <f>IF(B23578=B23577,"",B23578)</f>
        <v>LÄtehÄr</v>
      </c>
    </row>
    <row r="23579" spans="1:6" ht="15.75" customHeight="1">
      <c r="A23579" s="15" t="s">
        <v>20064</v>
      </c>
      <c r="B23579" s="15" t="s">
        <v>20065</v>
      </c>
      <c r="C23579" s="15" t="s">
        <v>19808</v>
      </c>
      <c r="D23579" s="15" t="s">
        <v>19823</v>
      </c>
      <c r="E23579" s="2">
        <v>1172128</v>
      </c>
      <c r="F23579" s="4" t="str">
        <f>IF(B23579=B23578,"",B23579)</f>
        <v>LÄrkÄna</v>
      </c>
    </row>
    <row r="23580" spans="1:6" ht="15.75" customHeight="1">
      <c r="A23580" s="15" t="s">
        <v>12130</v>
      </c>
      <c r="B23580" s="15" t="s">
        <v>12131</v>
      </c>
      <c r="C23580" s="15" t="s">
        <v>10178</v>
      </c>
      <c r="D23580" s="15" t="s">
        <v>10179</v>
      </c>
      <c r="E23580" s="2">
        <v>1265143</v>
      </c>
      <c r="F23580" s="4" t="str">
        <f>IF(B23580=B23579,"",B23580)</f>
        <v>LÄlsot</v>
      </c>
    </row>
    <row r="23581" spans="1:6" ht="15.75" customHeight="1">
      <c r="A23581" s="15" t="s">
        <v>12128</v>
      </c>
      <c r="B23581" s="15" t="s">
        <v>12129</v>
      </c>
      <c r="C23581" s="15" t="s">
        <v>10178</v>
      </c>
      <c r="D23581" s="15" t="s">
        <v>10209</v>
      </c>
      <c r="E23581" s="2">
        <v>1265150</v>
      </c>
      <c r="F23581" s="4" t="str">
        <f>IF(B23581=B23580,"",B23581)</f>
        <v>LÄlpur</v>
      </c>
    </row>
    <row r="23582" spans="1:6" ht="15.75" customHeight="1">
      <c r="A23582" s="16" t="s">
        <v>1367</v>
      </c>
      <c r="B23582" s="15" t="s">
        <v>1368</v>
      </c>
      <c r="C23582" s="16" t="s">
        <v>1296</v>
      </c>
      <c r="D23582" s="16" t="s">
        <v>1308</v>
      </c>
      <c r="E23582" s="2">
        <v>1185251</v>
      </c>
      <c r="F23582" s="4" t="str">
        <f>IF(B23582=B23581,"",B23582)</f>
        <v>LÄlmohan</v>
      </c>
    </row>
    <row r="23583" spans="1:6" ht="15.75" customHeight="1">
      <c r="A23583" s="15" t="s">
        <v>20062</v>
      </c>
      <c r="B23583" s="15" t="s">
        <v>20063</v>
      </c>
      <c r="C23583" s="15" t="s">
        <v>19808</v>
      </c>
      <c r="D23583" s="15" t="s">
        <v>10184</v>
      </c>
      <c r="E23583" s="2">
        <v>1172295</v>
      </c>
      <c r="F23583" s="4" t="str">
        <f>IF(B23583=B23582,"",B23583)</f>
        <v>LÄliÄn</v>
      </c>
    </row>
    <row r="23584" spans="1:6" ht="15.75" customHeight="1">
      <c r="A23584" s="15" t="s">
        <v>12126</v>
      </c>
      <c r="B23584" s="15" t="s">
        <v>12127</v>
      </c>
      <c r="C23584" s="15" t="s">
        <v>10178</v>
      </c>
      <c r="D23584" s="15" t="s">
        <v>10201</v>
      </c>
      <c r="E23584" s="2">
        <v>1265166</v>
      </c>
      <c r="F23584" s="4" t="e">
        <f>IF(B23584=#REF!,"",B23584)</f>
        <v>#REF!</v>
      </c>
    </row>
    <row r="23585" spans="1:6" ht="15.75" customHeight="1">
      <c r="A23585" s="15" t="s">
        <v>12124</v>
      </c>
      <c r="B23585" s="15" t="s">
        <v>12125</v>
      </c>
      <c r="C23585" s="15" t="s">
        <v>10178</v>
      </c>
      <c r="D23585" s="15" t="s">
        <v>10193</v>
      </c>
      <c r="E23585" s="2">
        <v>1265169</v>
      </c>
      <c r="F23585" s="4" t="str">
        <f>IF(B23585=B23584,"",B23585)</f>
        <v>LÄlganj</v>
      </c>
    </row>
    <row r="23586" spans="1:6" ht="15.75" customHeight="1">
      <c r="A23586" s="16" t="s">
        <v>20060</v>
      </c>
      <c r="B23586" s="15" t="s">
        <v>20061</v>
      </c>
      <c r="C23586" s="16" t="s">
        <v>19808</v>
      </c>
      <c r="D23586" s="16" t="s">
        <v>10184</v>
      </c>
      <c r="E23586" s="2">
        <v>1172318</v>
      </c>
      <c r="F23586" s="4" t="str">
        <f>IF(B23586=B23585,"",B23586)</f>
        <v>LÄla MÅ«sa</v>
      </c>
    </row>
    <row r="23587" spans="1:6" ht="15.75" customHeight="1">
      <c r="A23587" s="16" t="s">
        <v>1365</v>
      </c>
      <c r="B23587" s="15" t="s">
        <v>1366</v>
      </c>
      <c r="C23587" s="16" t="s">
        <v>1296</v>
      </c>
      <c r="D23587" s="16" t="s">
        <v>1302</v>
      </c>
      <c r="E23587" s="2">
        <v>1185183</v>
      </c>
      <c r="F23587" s="4" t="str">
        <f>IF(B23587=B23586,"",B23587)</f>
        <v>LÄkshÄm</v>
      </c>
    </row>
    <row r="23588" spans="1:6" ht="15.75" customHeight="1">
      <c r="A23588" s="15" t="s">
        <v>12122</v>
      </c>
      <c r="B23588" s="15" t="s">
        <v>12123</v>
      </c>
      <c r="C23588" s="15" t="s">
        <v>10178</v>
      </c>
      <c r="D23588" s="15" t="s">
        <v>10179</v>
      </c>
      <c r="E23588" s="2">
        <v>1265246</v>
      </c>
      <c r="F23588" s="4" t="str">
        <f>IF(B23588=B23587,"",B23588)</f>
        <v>LÄkheri</v>
      </c>
    </row>
    <row r="23589" spans="1:6" ht="15.75" customHeight="1">
      <c r="A23589" s="15" t="s">
        <v>12120</v>
      </c>
      <c r="B23589" s="15" t="s">
        <v>12121</v>
      </c>
      <c r="C23589" s="15" t="s">
        <v>10178</v>
      </c>
      <c r="D23589" s="15" t="s">
        <v>10193</v>
      </c>
      <c r="E23589" s="2">
        <v>1265310</v>
      </c>
      <c r="F23589" s="4" t="str">
        <f>IF(B23589=B23588,"",B23589)</f>
        <v>LÄharpur</v>
      </c>
    </row>
    <row r="23590" spans="1:6" ht="15.75" customHeight="1">
      <c r="A23590" s="15" t="s">
        <v>12118</v>
      </c>
      <c r="B23590" s="15" t="s">
        <v>12119</v>
      </c>
      <c r="C23590" s="15" t="s">
        <v>10178</v>
      </c>
      <c r="D23590" s="15" t="s">
        <v>10224</v>
      </c>
      <c r="E23590" s="2">
        <v>1265323</v>
      </c>
      <c r="F23590" s="4" t="str">
        <f>IF(B23590=B23589,"",B23590)</f>
        <v>LÄdwa</v>
      </c>
    </row>
    <row r="23591" spans="1:6" ht="15.75" customHeight="1">
      <c r="A23591" s="15" t="s">
        <v>12116</v>
      </c>
      <c r="B23591" s="15" t="s">
        <v>12117</v>
      </c>
      <c r="C23591" s="15" t="s">
        <v>10178</v>
      </c>
      <c r="D23591" s="15" t="s">
        <v>10179</v>
      </c>
      <c r="E23591" s="2">
        <v>1265331</v>
      </c>
      <c r="F23591" s="4" t="str">
        <f>IF(B23591=B23590,"",B23591)</f>
        <v>LÄdnÅ«n</v>
      </c>
    </row>
    <row r="23592" spans="1:6" ht="15.75" customHeight="1">
      <c r="A23592" s="15" t="s">
        <v>20058</v>
      </c>
      <c r="B23592" s="15" t="s">
        <v>20059</v>
      </c>
      <c r="C23592" s="15" t="s">
        <v>19808</v>
      </c>
      <c r="D23592" s="15" t="s">
        <v>19811</v>
      </c>
      <c r="E23592" s="2">
        <v>1172513</v>
      </c>
      <c r="F23592" s="4" t="str">
        <f>IF(B23592=B23591,"",B23592)</f>
        <v>LÄchi</v>
      </c>
    </row>
    <row r="23593" spans="1:6" ht="15.75" customHeight="1">
      <c r="A23593" s="15" t="s">
        <v>8710</v>
      </c>
      <c r="B23593" s="15" t="s">
        <v>8711</v>
      </c>
      <c r="C23593" s="15" t="s">
        <v>8028</v>
      </c>
      <c r="D23593" s="15" t="s">
        <v>8031</v>
      </c>
      <c r="E23593" s="2">
        <v>2875881</v>
      </c>
      <c r="F23593" s="4" t="str">
        <f>IF(B23593=B23592,"",B23593)</f>
        <v>LÃ¶rrach</v>
      </c>
    </row>
    <row r="23594" spans="1:6" ht="15.75" customHeight="1">
      <c r="A23594" s="16" t="s">
        <v>1219</v>
      </c>
      <c r="B23594" s="15" t="s">
        <v>1220</v>
      </c>
      <c r="C23594" s="16" t="s">
        <v>1170</v>
      </c>
      <c r="D23594" s="16" t="s">
        <v>1181</v>
      </c>
      <c r="E23594" s="2">
        <v>585630</v>
      </c>
      <c r="F23594" s="4" t="str">
        <f>IF(B23594=B23593,"",B23594)</f>
        <v>LÃ¶kbatan</v>
      </c>
    </row>
    <row r="23595" spans="1:6" ht="15.75" customHeight="1">
      <c r="A23595" s="15" t="s">
        <v>8708</v>
      </c>
      <c r="B23595" s="15" t="s">
        <v>8709</v>
      </c>
      <c r="C23595" s="15" t="s">
        <v>8028</v>
      </c>
      <c r="D23595" s="15" t="s">
        <v>8029</v>
      </c>
      <c r="E23595" s="2">
        <v>2876187</v>
      </c>
      <c r="F23595" s="4" t="str">
        <f>IF(B23595=B23594,"",B23595)</f>
        <v>LÃ¶hne</v>
      </c>
    </row>
    <row r="23596" spans="1:6" ht="15.75" customHeight="1">
      <c r="A23596" s="15" t="s">
        <v>8706</v>
      </c>
      <c r="B23596" s="15" t="s">
        <v>8707</v>
      </c>
      <c r="C23596" s="15" t="s">
        <v>8028</v>
      </c>
      <c r="D23596" s="15" t="s">
        <v>8072</v>
      </c>
      <c r="E23596" s="2">
        <v>2876755</v>
      </c>
      <c r="F23596" s="4" t="str">
        <f>IF(B23596=B23595,"",B23596)</f>
        <v>LÃ¶bau</v>
      </c>
    </row>
    <row r="23597" spans="1:6" ht="15.75" customHeight="1">
      <c r="A23597" s="15" t="s">
        <v>4076</v>
      </c>
      <c r="B23597" s="15" t="s">
        <v>4077</v>
      </c>
      <c r="C23597" s="15" t="s">
        <v>3975</v>
      </c>
      <c r="D23597" s="15" t="s">
        <v>3982</v>
      </c>
      <c r="E23597" s="2">
        <v>6325521</v>
      </c>
      <c r="F23597" s="4" t="str">
        <f>IF(B23597=B23596,"",B23597)</f>
        <v>LÃ©vis</v>
      </c>
    </row>
    <row r="23598" spans="1:6" ht="15.75" customHeight="1">
      <c r="A23598" s="15" t="s">
        <v>5502</v>
      </c>
      <c r="B23598" s="15" t="s">
        <v>5503</v>
      </c>
      <c r="C23598" s="15" t="s">
        <v>5348</v>
      </c>
      <c r="D23598" s="15" t="s">
        <v>5422</v>
      </c>
      <c r="E23598" s="2">
        <v>3676626</v>
      </c>
      <c r="F23598" s="4" t="str">
        <f>IF(B23598=B23597,"",B23598)</f>
        <v>LÃ©rida</v>
      </c>
    </row>
    <row r="23599" spans="1:6" ht="15.75" customHeight="1">
      <c r="A23599" s="16" t="s">
        <v>9886</v>
      </c>
      <c r="B23599" s="15" t="s">
        <v>9887</v>
      </c>
      <c r="C23599" s="16" t="s">
        <v>9866</v>
      </c>
      <c r="D23599" s="16" t="s">
        <v>9867</v>
      </c>
      <c r="E23599" s="2">
        <v>3722286</v>
      </c>
      <c r="F23599" s="4" t="str">
        <f>IF(B23599=B23598,"",B23599)</f>
        <v>LÃ©ogÃ¢ne</v>
      </c>
    </row>
    <row r="23600" spans="1:6" ht="15.75" customHeight="1">
      <c r="A23600" s="15" t="s">
        <v>3805</v>
      </c>
      <c r="B23600" s="15" t="s">
        <v>3806</v>
      </c>
      <c r="C23600" s="15" t="s">
        <v>3768</v>
      </c>
      <c r="D23600" s="15" t="s">
        <v>3798</v>
      </c>
      <c r="E23600" s="2">
        <v>2358382</v>
      </c>
      <c r="F23600" s="4" t="str">
        <f>IF(B23600=B23599,"",B23600)</f>
        <v>LÃ©o</v>
      </c>
    </row>
    <row r="23601" spans="1:6" ht="15.75" customHeight="1">
      <c r="A23601" s="16" t="s">
        <v>12114</v>
      </c>
      <c r="B23601" s="15" t="s">
        <v>12115</v>
      </c>
      <c r="C23601" s="16" t="s">
        <v>10178</v>
      </c>
      <c r="D23601" s="16" t="s">
        <v>10209</v>
      </c>
      <c r="E23601" s="2">
        <v>1264700</v>
      </c>
      <c r="F23601" s="4" t="str">
        <f>IF(B23601=B23600,"",B23601)</f>
        <v>LÅ«nÄvÄda</v>
      </c>
    </row>
    <row r="23602" spans="1:6" ht="15.75" customHeight="1">
      <c r="A23602" s="16" t="s">
        <v>7438</v>
      </c>
      <c r="B23602" s="15" t="s">
        <v>7439</v>
      </c>
      <c r="C23602" s="16" t="s">
        <v>7052</v>
      </c>
      <c r="D23602" s="16" t="s">
        <v>7087</v>
      </c>
      <c r="E23602" s="2">
        <v>2998127</v>
      </c>
      <c r="F23602" s="4" t="str">
        <f>IF(B23602=B23601,"",B23602)</f>
        <v>Lâ€™Isle-sur-la-Sorgue</v>
      </c>
    </row>
    <row r="23603" spans="1:6" ht="15.75" customHeight="1">
      <c r="A23603" s="16" t="s">
        <v>22654</v>
      </c>
      <c r="B23603" s="15" t="s">
        <v>22655</v>
      </c>
      <c r="C23603" s="16" t="s">
        <v>22070</v>
      </c>
      <c r="D23603" s="16" t="s">
        <v>22634</v>
      </c>
      <c r="E23603" s="2">
        <v>535334</v>
      </c>
      <c r="F23603" s="4" t="str">
        <f>IF(B23603=B23602,"",B23603)</f>
        <v>Lâ€™govskiy</v>
      </c>
    </row>
    <row r="23604" spans="1:6" ht="15.75" customHeight="1">
      <c r="A23604" s="16" t="s">
        <v>382</v>
      </c>
      <c r="B23604" s="15" t="s">
        <v>383</v>
      </c>
      <c r="C23604" s="16" t="s">
        <v>153</v>
      </c>
      <c r="D23604" s="16" t="s">
        <v>172</v>
      </c>
      <c r="E23604" s="2">
        <v>2491042</v>
      </c>
      <c r="F23604" s="4" t="str">
        <f>IF(B23604=B23603,"",B23604)</f>
        <v>Lâ€™Arbaa NaÃ¯t Irathen</v>
      </c>
    </row>
    <row r="23605" spans="1:6" ht="15.75" customHeight="1">
      <c r="A23605" s="16" t="s">
        <v>7001</v>
      </c>
      <c r="B23605" s="15" t="s">
        <v>7002</v>
      </c>
      <c r="C23605" s="16" t="s">
        <v>6948</v>
      </c>
      <c r="D23605" s="16" t="s">
        <v>6983</v>
      </c>
      <c r="E23605" s="2">
        <v>7911309</v>
      </c>
      <c r="F23605" s="4" t="str">
        <f>IF(B23605=B23604,"",B23605)</f>
        <v>LÃ¤nsi-Turunmaa</v>
      </c>
    </row>
    <row r="23606" spans="1:6" ht="15.75" customHeight="1">
      <c r="A23606" s="15" t="s">
        <v>9565</v>
      </c>
      <c r="B23606" s="15" t="s">
        <v>9566</v>
      </c>
      <c r="C23606" s="15" t="s">
        <v>9441</v>
      </c>
      <c r="D23606" s="15" t="s">
        <v>9542</v>
      </c>
      <c r="E23606" s="2">
        <v>258576</v>
      </c>
      <c r="F23606" s="4" t="str">
        <f>IF(B23606=B23605,"",B23606)</f>
        <v>LÃ¡risa</v>
      </c>
    </row>
    <row r="23607" spans="1:6" ht="15.75" customHeight="1">
      <c r="A23607" s="15" t="s">
        <v>30868</v>
      </c>
      <c r="B23607" s="15" t="s">
        <v>30869</v>
      </c>
      <c r="C23607" s="15" t="s">
        <v>30784</v>
      </c>
      <c r="D23607" s="15" t="s">
        <v>30869</v>
      </c>
      <c r="E23607" s="2">
        <v>1576303</v>
      </c>
      <c r="F23607" s="4" t="e">
        <f>IF(B23607=#REF!,"",B23607)</f>
        <v>#REF!</v>
      </c>
    </row>
    <row r="23608" spans="1:6" ht="15.75" customHeight="1">
      <c r="A23608" s="15" t="s">
        <v>29049</v>
      </c>
      <c r="B23608" s="15" t="s">
        <v>29049</v>
      </c>
      <c r="C23608" s="15" t="s">
        <v>27788</v>
      </c>
      <c r="D23608" s="15" t="s">
        <v>27995</v>
      </c>
      <c r="E23608" s="2">
        <v>5071665</v>
      </c>
      <c r="F23608" s="4" t="e">
        <f>IF(B23608=#REF!,"",B23608)</f>
        <v>#REF!</v>
      </c>
    </row>
    <row r="23609" spans="1:6" ht="15.75" customHeight="1">
      <c r="A23609" s="16" t="s">
        <v>5501</v>
      </c>
      <c r="B23609" s="15" t="s">
        <v>5501</v>
      </c>
      <c r="C23609" s="16" t="s">
        <v>5348</v>
      </c>
      <c r="D23609" s="16" t="s">
        <v>5364</v>
      </c>
      <c r="E23609" s="2">
        <v>3676720</v>
      </c>
      <c r="F23609" s="4" t="e">
        <f>IF(B23609=#REF!,"",B23609)</f>
        <v>#REF!</v>
      </c>
    </row>
    <row r="23610" spans="1:6" ht="15.75" customHeight="1">
      <c r="A23610" s="16" t="s">
        <v>30714</v>
      </c>
      <c r="B23610" s="15" t="s">
        <v>30714</v>
      </c>
      <c r="C23610" s="16" t="s">
        <v>5923</v>
      </c>
      <c r="D23610" s="16" t="s">
        <v>30649</v>
      </c>
      <c r="E23610" s="2">
        <v>3628966</v>
      </c>
      <c r="F23610" s="4" t="e">
        <f>IF(B23610=#REF!,"",B23610)</f>
        <v>#REF!</v>
      </c>
    </row>
    <row r="23611" spans="1:6" ht="15.75" customHeight="1">
      <c r="A23611" s="16" t="s">
        <v>30713</v>
      </c>
      <c r="B23611" s="15" t="s">
        <v>30713</v>
      </c>
      <c r="C23611" s="16" t="s">
        <v>5923</v>
      </c>
      <c r="D23611" s="16" t="s">
        <v>30652</v>
      </c>
      <c r="E23611" s="2">
        <v>3634922</v>
      </c>
      <c r="F23611" s="4" t="e">
        <f>IF(B23611=#REF!,"",B23611)</f>
        <v>#REF!</v>
      </c>
    </row>
    <row r="23612" spans="1:6" ht="15.75" customHeight="1">
      <c r="A23612" s="15" t="s">
        <v>29047</v>
      </c>
      <c r="B23612" s="15" t="s">
        <v>29048</v>
      </c>
      <c r="C23612" s="15" t="s">
        <v>27788</v>
      </c>
      <c r="D23612" s="15" t="s">
        <v>27957</v>
      </c>
      <c r="E23612" s="2">
        <v>4635031</v>
      </c>
      <c r="F23612" s="4" t="e">
        <f>IF(B23612=#REF!,"",B23612)</f>
        <v>#REF!</v>
      </c>
    </row>
    <row r="23613" spans="1:6" ht="15.75" customHeight="1">
      <c r="A23613" s="16" t="s">
        <v>7436</v>
      </c>
      <c r="B23613" s="15" t="s">
        <v>7437</v>
      </c>
      <c r="C23613" s="16" t="s">
        <v>7052</v>
      </c>
      <c r="D23613" s="16" t="s">
        <v>7087</v>
      </c>
      <c r="E23613" s="2">
        <v>3005825</v>
      </c>
      <c r="F23613" s="4" t="e">
        <f>IF(B23613=#REF!,"",B23613)</f>
        <v>#REF!</v>
      </c>
    </row>
    <row r="23614" spans="1:6" ht="15.75" customHeight="1">
      <c r="A23614" s="16" t="str">
        <f ca="1">IFERROR(__xludf.DUMMYFUNCTION("GOOGLETRANSLATE(B25940,""en"",""pt"")"),"La Unión")</f>
        <v>La Unión</v>
      </c>
      <c r="B23614" s="20" t="s">
        <v>31806</v>
      </c>
      <c r="C23614" s="20" t="s">
        <v>4355</v>
      </c>
      <c r="D23614" s="20" t="s">
        <v>31795</v>
      </c>
      <c r="E23614" s="10">
        <v>3883629</v>
      </c>
      <c r="F23614" s="4" t="e">
        <f>IF(B23614=#REF!,"",B23614)</f>
        <v>#REF!</v>
      </c>
    </row>
    <row r="23615" spans="1:6" ht="15.75" customHeight="1">
      <c r="A23615" s="15" t="s">
        <v>4409</v>
      </c>
      <c r="B23615" s="15" t="s">
        <v>4410</v>
      </c>
      <c r="C23615" s="15" t="s">
        <v>4355</v>
      </c>
      <c r="D23615" s="15" t="s">
        <v>4411</v>
      </c>
      <c r="E23615" s="2">
        <v>3883629</v>
      </c>
      <c r="F23615" s="4" t="e">
        <f>IF(B23615=#REF!,"",B23615)</f>
        <v>#REF!</v>
      </c>
    </row>
    <row r="23616" spans="1:6" ht="15.75" customHeight="1">
      <c r="A23616" s="16" t="s">
        <v>6439</v>
      </c>
      <c r="B23616" s="15" t="s">
        <v>6439</v>
      </c>
      <c r="C23616" s="16" t="s">
        <v>6398</v>
      </c>
      <c r="D23616" s="16" t="s">
        <v>6404</v>
      </c>
      <c r="E23616" s="2">
        <v>3654853</v>
      </c>
      <c r="F23616" s="4" t="str">
        <f>IF(B23616=B23615,"",B23616)</f>
        <v>La Troncal</v>
      </c>
    </row>
    <row r="23617" spans="1:6" ht="15.75" customHeight="1">
      <c r="A23617" s="16" t="str">
        <f ca="1">IFERROR(__xludf.DUMMYFUNCTION("GOOGLETRANSLATE(B36791,""en"",""pt"")"),"La trinité")</f>
        <v>La trinité</v>
      </c>
      <c r="B23617" s="20" t="s">
        <v>34644</v>
      </c>
      <c r="C23617" s="20" t="s">
        <v>17635</v>
      </c>
      <c r="D23617" s="20" t="s">
        <v>17635</v>
      </c>
      <c r="E23617" s="10">
        <v>3570446</v>
      </c>
      <c r="F23617" s="4" t="str">
        <f>IF(B23617=B23616,"",B23617)</f>
        <v>La Trinité</v>
      </c>
    </row>
    <row r="23618" spans="1:6" ht="15.75" customHeight="1">
      <c r="A23618" s="15" t="s">
        <v>17637</v>
      </c>
      <c r="B23618" s="15" t="s">
        <v>17638</v>
      </c>
      <c r="C23618" s="15" t="s">
        <v>17635</v>
      </c>
      <c r="D23618" s="15" t="s">
        <v>17635</v>
      </c>
      <c r="E23618" s="2">
        <v>3570446</v>
      </c>
      <c r="F23618" s="4" t="e">
        <f>IF(B23618=#REF!,"",B23618)</f>
        <v>#REF!</v>
      </c>
    </row>
    <row r="23619" spans="1:6" ht="15.75" customHeight="1">
      <c r="A23619" s="16" t="s">
        <v>20819</v>
      </c>
      <c r="B23619" s="15" t="s">
        <v>20819</v>
      </c>
      <c r="C23619" s="16" t="s">
        <v>20598</v>
      </c>
      <c r="D23619" s="16" t="s">
        <v>20436</v>
      </c>
      <c r="E23619" s="2">
        <v>1707123</v>
      </c>
      <c r="F23619" s="4" t="e">
        <f>IF(B23619=#REF!,"",B23619)</f>
        <v>#REF!</v>
      </c>
    </row>
    <row r="23620" spans="1:6" ht="15.75" customHeight="1">
      <c r="A23620" s="16" t="s">
        <v>7434</v>
      </c>
      <c r="B23620" s="15" t="s">
        <v>7435</v>
      </c>
      <c r="C23620" s="16" t="s">
        <v>7052</v>
      </c>
      <c r="D23620" s="16" t="s">
        <v>7084</v>
      </c>
      <c r="E23620" s="2">
        <v>3006283</v>
      </c>
      <c r="F23620" s="4" t="e">
        <f>IF(B23620=#REF!,"",B23620)</f>
        <v>#REF!</v>
      </c>
    </row>
    <row r="23621" spans="1:6" ht="15.75" customHeight="1">
      <c r="A23621" s="16" t="s">
        <v>5500</v>
      </c>
      <c r="B23621" s="15" t="s">
        <v>5500</v>
      </c>
      <c r="C23621" s="16" t="s">
        <v>5348</v>
      </c>
      <c r="D23621" s="16" t="s">
        <v>5375</v>
      </c>
      <c r="E23621" s="2">
        <v>3677010</v>
      </c>
      <c r="F23621" s="4" t="e">
        <f>IF(B23621=#REF!,"",B23621)</f>
        <v>#REF!</v>
      </c>
    </row>
    <row r="23622" spans="1:6" ht="15.75" customHeight="1">
      <c r="A23622" s="15" t="s">
        <v>15205</v>
      </c>
      <c r="B23622" s="15" t="s">
        <v>15205</v>
      </c>
      <c r="C23622" s="15" t="s">
        <v>14891</v>
      </c>
      <c r="D23622" s="15" t="s">
        <v>14920</v>
      </c>
      <c r="E23622" s="2">
        <v>3175081</v>
      </c>
      <c r="F23622" s="4" t="e">
        <f>IF(B23622=#REF!,"",B23622)</f>
        <v>#REF!</v>
      </c>
    </row>
    <row r="23623" spans="1:6" ht="15.75" customHeight="1">
      <c r="A23623" s="15" t="s">
        <v>24538</v>
      </c>
      <c r="B23623" s="15" t="s">
        <v>24539</v>
      </c>
      <c r="C23623" s="15" t="s">
        <v>24200</v>
      </c>
      <c r="D23623" s="15" t="s">
        <v>24218</v>
      </c>
      <c r="E23623" s="2">
        <v>2515284</v>
      </c>
      <c r="F23623" s="4" t="e">
        <f>IF(B23623=#REF!,"",B23623)</f>
        <v>#REF!</v>
      </c>
    </row>
    <row r="23624" spans="1:6" ht="15.75" customHeight="1">
      <c r="A23624" s="15" t="s">
        <v>5866</v>
      </c>
      <c r="B23624" s="15" t="s">
        <v>5866</v>
      </c>
      <c r="C23624" s="15" t="s">
        <v>5764</v>
      </c>
      <c r="D23624" s="15" t="s">
        <v>5799</v>
      </c>
      <c r="E23624" s="2">
        <v>3551184</v>
      </c>
      <c r="F23624" s="4" t="e">
        <f>IF(B23624=#REF!,"",B23624)</f>
        <v>#REF!</v>
      </c>
    </row>
    <row r="23625" spans="1:6" ht="15.75" customHeight="1">
      <c r="A23625" s="16" t="s">
        <v>7433</v>
      </c>
      <c r="B23625" s="15" t="s">
        <v>7433</v>
      </c>
      <c r="C23625" s="16" t="s">
        <v>7052</v>
      </c>
      <c r="D23625" s="16" t="s">
        <v>7087</v>
      </c>
      <c r="E23625" s="2">
        <v>3006414</v>
      </c>
      <c r="F23625" s="4" t="e">
        <f>IF(B23625=#REF!,"",B23625)</f>
        <v>#REF!</v>
      </c>
    </row>
    <row r="23626" spans="1:6" ht="15.75" customHeight="1">
      <c r="A23626" s="15" t="s">
        <v>4408</v>
      </c>
      <c r="B23626" s="15" t="s">
        <v>4408</v>
      </c>
      <c r="C23626" s="15" t="s">
        <v>4355</v>
      </c>
      <c r="D23626" s="15" t="s">
        <v>4390</v>
      </c>
      <c r="E23626" s="2">
        <v>3884373</v>
      </c>
      <c r="F23626" s="4" t="e">
        <f>IF(B23626=#REF!,"",B23626)</f>
        <v>#REF!</v>
      </c>
    </row>
    <row r="23627" spans="1:6" ht="15.75" customHeight="1">
      <c r="A23627" s="16" t="s">
        <v>26157</v>
      </c>
      <c r="B23627" s="15" t="s">
        <v>26157</v>
      </c>
      <c r="C23627" s="16" t="s">
        <v>26090</v>
      </c>
      <c r="D23627" s="16" t="s">
        <v>26094</v>
      </c>
      <c r="E23627" s="2">
        <v>2467521</v>
      </c>
      <c r="F23627" s="4" t="e">
        <f>IF(B23627=#REF!,"",B23627)</f>
        <v>#REF!</v>
      </c>
    </row>
    <row r="23628" spans="1:6" ht="15.75" customHeight="1">
      <c r="A23628" s="15" t="s">
        <v>5864</v>
      </c>
      <c r="B23628" s="15" t="s">
        <v>5865</v>
      </c>
      <c r="C23628" s="15" t="s">
        <v>5764</v>
      </c>
      <c r="D23628" s="15" t="s">
        <v>5792</v>
      </c>
      <c r="E23628" s="2">
        <v>3551608</v>
      </c>
      <c r="F23628" s="4" t="e">
        <f>IF(B23628=#REF!,"",B23628)</f>
        <v>#REF!</v>
      </c>
    </row>
    <row r="23629" spans="1:6" ht="15.75" customHeight="1">
      <c r="A23629" s="16" t="s">
        <v>6330</v>
      </c>
      <c r="B23629" s="15" t="s">
        <v>6330</v>
      </c>
      <c r="C23629" s="16" t="s">
        <v>6303</v>
      </c>
      <c r="D23629" s="16" t="s">
        <v>6330</v>
      </c>
      <c r="E23629" s="2">
        <v>3500957</v>
      </c>
      <c r="F23629" s="4" t="e">
        <f>IF(B23629=#REF!,"",B23629)</f>
        <v>#REF!</v>
      </c>
    </row>
    <row r="23630" spans="1:6" ht="15.75" customHeight="1">
      <c r="A23630" s="15" t="s">
        <v>24537</v>
      </c>
      <c r="B23630" s="15" t="s">
        <v>24537</v>
      </c>
      <c r="C23630" s="15" t="s">
        <v>24200</v>
      </c>
      <c r="D23630" s="15" t="s">
        <v>24218</v>
      </c>
      <c r="E23630" s="2">
        <v>2515555</v>
      </c>
      <c r="F23630" s="4" t="e">
        <f>IF(B23630=#REF!,"",B23630)</f>
        <v>#REF!</v>
      </c>
    </row>
    <row r="23631" spans="1:6" ht="15.75" customHeight="1">
      <c r="A23631" s="16" t="s">
        <v>7431</v>
      </c>
      <c r="B23631" s="15" t="s">
        <v>7432</v>
      </c>
      <c r="C23631" s="16" t="s">
        <v>7052</v>
      </c>
      <c r="D23631" s="16" t="s">
        <v>7102</v>
      </c>
      <c r="E23631" s="2">
        <v>3006767</v>
      </c>
      <c r="F23631" s="4" t="e">
        <f>IF(B23631=#REF!,"",B23631)</f>
        <v>#REF!</v>
      </c>
    </row>
    <row r="23632" spans="1:6" ht="15.75" customHeight="1">
      <c r="A23632" s="16" t="s">
        <v>7430</v>
      </c>
      <c r="B23632" s="15" t="s">
        <v>7430</v>
      </c>
      <c r="C23632" s="16" t="s">
        <v>7052</v>
      </c>
      <c r="D23632" s="16" t="s">
        <v>7084</v>
      </c>
      <c r="E23632" s="2">
        <v>3006787</v>
      </c>
      <c r="F23632" s="4" t="e">
        <f>IF(B23632=#REF!,"",B23632)</f>
        <v>#REF!</v>
      </c>
    </row>
    <row r="23633" spans="1:6" ht="15.75" customHeight="1">
      <c r="A23633" s="15" t="s">
        <v>614</v>
      </c>
      <c r="B23633" s="15" t="s">
        <v>614</v>
      </c>
      <c r="C23633" s="15" t="s">
        <v>558</v>
      </c>
      <c r="D23633" s="15" t="s">
        <v>614</v>
      </c>
      <c r="E23633" s="2">
        <v>3848950</v>
      </c>
      <c r="F23633" s="4" t="e">
        <f>IF(B23633=#REF!,"",B23633)</f>
        <v>#REF!</v>
      </c>
    </row>
    <row r="23634" spans="1:6" ht="15.75" customHeight="1">
      <c r="A23634" s="16" t="s">
        <v>20537</v>
      </c>
      <c r="B23634" s="15" t="s">
        <v>20537</v>
      </c>
      <c r="C23634" s="16" t="s">
        <v>20470</v>
      </c>
      <c r="D23634" s="16" t="s">
        <v>20476</v>
      </c>
      <c r="E23634" s="2">
        <v>7626291</v>
      </c>
      <c r="F23634" s="4" t="e">
        <f>IF(B23634=#REF!,"",B23634)</f>
        <v>#REF!</v>
      </c>
    </row>
    <row r="23635" spans="1:6" ht="15.75" customHeight="1">
      <c r="A23635" s="16" t="s">
        <v>18039</v>
      </c>
      <c r="B23635" s="15" t="s">
        <v>18040</v>
      </c>
      <c r="C23635" s="16" t="s">
        <v>17707</v>
      </c>
      <c r="D23635" s="16" t="s">
        <v>17729</v>
      </c>
      <c r="E23635" s="2">
        <v>8858117</v>
      </c>
      <c r="F23635" s="4" t="e">
        <f>IF(B23635=#REF!,"",B23635)</f>
        <v>#REF!</v>
      </c>
    </row>
    <row r="23636" spans="1:6" ht="15.75" customHeight="1">
      <c r="A23636" s="15" t="s">
        <v>4075</v>
      </c>
      <c r="B23636" s="15" t="s">
        <v>4075</v>
      </c>
      <c r="C23636" s="15" t="s">
        <v>3975</v>
      </c>
      <c r="D23636" s="15" t="s">
        <v>3982</v>
      </c>
      <c r="E23636" s="2">
        <v>6049863</v>
      </c>
      <c r="F23636" s="4" t="e">
        <f>IF(B23636=#REF!,"",B23636)</f>
        <v>#REF!</v>
      </c>
    </row>
    <row r="23637" spans="1:6" ht="15.75" customHeight="1">
      <c r="A23637" s="15" t="s">
        <v>21808</v>
      </c>
      <c r="B23637" s="15" t="s">
        <v>21809</v>
      </c>
      <c r="C23637" s="15" t="s">
        <v>21810</v>
      </c>
      <c r="D23637" s="15" t="s">
        <v>21811</v>
      </c>
      <c r="E23637" s="2">
        <v>935691</v>
      </c>
      <c r="F23637" s="4" t="e">
        <f>IF(B23637=#REF!,"",B23637)</f>
        <v>#REF!</v>
      </c>
    </row>
    <row r="23638" spans="1:6" ht="15.75" customHeight="1">
      <c r="A23638" s="16" t="s">
        <v>24535</v>
      </c>
      <c r="B23638" s="15" t="s">
        <v>24536</v>
      </c>
      <c r="C23638" s="16" t="s">
        <v>24200</v>
      </c>
      <c r="D23638" s="16" t="s">
        <v>21053</v>
      </c>
      <c r="E23638" s="2">
        <v>2512251</v>
      </c>
      <c r="F23638" s="4" t="e">
        <f>IF(B23638=#REF!,"",B23638)</f>
        <v>#REF!</v>
      </c>
    </row>
    <row r="23639" spans="1:6" ht="15.75" customHeight="1">
      <c r="A23639" s="15" t="s">
        <v>693</v>
      </c>
      <c r="B23639" s="15" t="s">
        <v>693</v>
      </c>
      <c r="C23639" s="15" t="s">
        <v>558</v>
      </c>
      <c r="D23639" s="15" t="s">
        <v>562</v>
      </c>
      <c r="E23639" s="2">
        <v>3432043</v>
      </c>
      <c r="F23639" s="4" t="e">
        <f>IF(B23639=#REF!,"",B23639)</f>
        <v>#REF!</v>
      </c>
    </row>
    <row r="23640" spans="1:6" ht="15.75" customHeight="1">
      <c r="A23640" s="16" t="s">
        <v>4407</v>
      </c>
      <c r="B23640" s="15" t="s">
        <v>4407</v>
      </c>
      <c r="C23640" s="16" t="s">
        <v>4355</v>
      </c>
      <c r="D23640" s="16" t="s">
        <v>4366</v>
      </c>
      <c r="E23640" s="2">
        <v>7281017</v>
      </c>
      <c r="F23640" s="4" t="e">
        <f>IF(B23640=#REF!,"",B23640)</f>
        <v>#REF!</v>
      </c>
    </row>
    <row r="23641" spans="1:6" ht="15.75" customHeight="1">
      <c r="A23641" s="15" t="s">
        <v>24534</v>
      </c>
      <c r="B23641" s="15" t="s">
        <v>24534</v>
      </c>
      <c r="C23641" s="15" t="s">
        <v>24200</v>
      </c>
      <c r="D23641" s="15" t="s">
        <v>24277</v>
      </c>
      <c r="E23641" s="2">
        <v>3119231</v>
      </c>
      <c r="F23641" s="4" t="e">
        <f>IF(B23641=#REF!,"",B23641)</f>
        <v>#REF!</v>
      </c>
    </row>
    <row r="23642" spans="1:6" ht="15.75" customHeight="1">
      <c r="A23642" s="16" t="s">
        <v>18038</v>
      </c>
      <c r="B23642" s="15" t="s">
        <v>18038</v>
      </c>
      <c r="C23642" s="16" t="s">
        <v>17707</v>
      </c>
      <c r="D23642" s="16" t="s">
        <v>17761</v>
      </c>
      <c r="E23642" s="2">
        <v>4000821</v>
      </c>
      <c r="F23642" s="4" t="e">
        <f>IF(B23642=#REF!,"",B23642)</f>
        <v>#REF!</v>
      </c>
    </row>
    <row r="23643" spans="1:6" ht="15.75" customHeight="1">
      <c r="A23643" s="15" t="s">
        <v>20536</v>
      </c>
      <c r="B23643" s="15" t="s">
        <v>20536</v>
      </c>
      <c r="C23643" s="15" t="s">
        <v>20470</v>
      </c>
      <c r="D23643" s="15" t="s">
        <v>2287</v>
      </c>
      <c r="E23643" s="2">
        <v>3695675</v>
      </c>
      <c r="F23643" s="4" t="e">
        <f>IF(B23643=#REF!,"",B23643)</f>
        <v>#REF!</v>
      </c>
    </row>
    <row r="23644" spans="1:6" ht="15.75" customHeight="1">
      <c r="A23644" s="16" t="s">
        <v>19236</v>
      </c>
      <c r="B23644" s="15" t="s">
        <v>19236</v>
      </c>
      <c r="C23644" s="16" t="s">
        <v>19217</v>
      </c>
      <c r="D23644" s="16" t="s">
        <v>18048</v>
      </c>
      <c r="E23644" s="2">
        <v>3618411</v>
      </c>
      <c r="F23644" s="4" t="e">
        <f>IF(B23644=#REF!,"",B23644)</f>
        <v>#REF!</v>
      </c>
    </row>
    <row r="23645" spans="1:6" ht="15.75" customHeight="1">
      <c r="A23645" s="15" t="s">
        <v>692</v>
      </c>
      <c r="B23645" s="15" t="s">
        <v>692</v>
      </c>
      <c r="C23645" s="15" t="s">
        <v>558</v>
      </c>
      <c r="D23645" s="15" t="s">
        <v>611</v>
      </c>
      <c r="E23645" s="2">
        <v>3432079</v>
      </c>
      <c r="F23645" s="4" t="e">
        <f>IF(B23645=#REF!,"",B23645)</f>
        <v>#REF!</v>
      </c>
    </row>
    <row r="23646" spans="1:6" ht="15.75" customHeight="1">
      <c r="A23646" s="15" t="s">
        <v>20535</v>
      </c>
      <c r="B23646" s="15" t="s">
        <v>20535</v>
      </c>
      <c r="C23646" s="15" t="s">
        <v>20470</v>
      </c>
      <c r="D23646" s="15" t="s">
        <v>688</v>
      </c>
      <c r="E23646" s="2">
        <v>3936952</v>
      </c>
      <c r="F23646" s="4" t="e">
        <f>IF(B23646=#REF!,"",B23646)</f>
        <v>#REF!</v>
      </c>
    </row>
    <row r="23647" spans="1:6" ht="15.75" customHeight="1">
      <c r="A23647" s="16" t="s">
        <v>24533</v>
      </c>
      <c r="B23647" s="15" t="s">
        <v>24533</v>
      </c>
      <c r="C23647" s="16" t="s">
        <v>24200</v>
      </c>
      <c r="D23647" s="16" t="s">
        <v>24212</v>
      </c>
      <c r="E23647" s="2">
        <v>2515692</v>
      </c>
      <c r="F23647" s="4" t="e">
        <f>IF(B23647=#REF!,"",B23647)</f>
        <v>#REF!</v>
      </c>
    </row>
    <row r="23648" spans="1:6" ht="15.75" customHeight="1">
      <c r="A23648" s="15" t="s">
        <v>18036</v>
      </c>
      <c r="B23648" s="15" t="s">
        <v>18037</v>
      </c>
      <c r="C23648" s="15" t="s">
        <v>17707</v>
      </c>
      <c r="D23648" s="15" t="s">
        <v>17761</v>
      </c>
      <c r="E23648" s="2">
        <v>4001056</v>
      </c>
      <c r="F23648" s="4" t="e">
        <f>IF(B23648=#REF!,"",B23648)</f>
        <v>#REF!</v>
      </c>
    </row>
    <row r="23649" spans="1:6" ht="15.75" customHeight="1">
      <c r="A23649" s="15" t="s">
        <v>24532</v>
      </c>
      <c r="B23649" s="15" t="s">
        <v>24532</v>
      </c>
      <c r="C23649" s="15" t="s">
        <v>24200</v>
      </c>
      <c r="D23649" s="15" t="s">
        <v>24212</v>
      </c>
      <c r="E23649" s="2">
        <v>2515698</v>
      </c>
      <c r="F23649" s="4" t="e">
        <f>IF(B23649=#REF!,"",B23649)</f>
        <v>#REF!</v>
      </c>
    </row>
    <row r="23650" spans="1:6" ht="15.75" customHeight="1">
      <c r="A23650" s="15" t="s">
        <v>24530</v>
      </c>
      <c r="B23650" s="15" t="s">
        <v>24531</v>
      </c>
      <c r="C23650" s="15" t="s">
        <v>24200</v>
      </c>
      <c r="D23650" s="15" t="s">
        <v>21053</v>
      </c>
      <c r="E23650" s="2">
        <v>2515701</v>
      </c>
      <c r="F23650" s="4" t="e">
        <f>IF(B23650=#REF!,"",B23650)</f>
        <v>#REF!</v>
      </c>
    </row>
    <row r="23651" spans="1:6" ht="15.75" customHeight="1">
      <c r="A23651" s="16" t="s">
        <v>26156</v>
      </c>
      <c r="B23651" s="15" t="s">
        <v>26156</v>
      </c>
      <c r="C23651" s="16" t="s">
        <v>26090</v>
      </c>
      <c r="D23651" s="16" t="s">
        <v>26094</v>
      </c>
      <c r="E23651" s="2">
        <v>2473499</v>
      </c>
      <c r="F23651" s="4" t="e">
        <f>IF(B23651=#REF!,"",B23651)</f>
        <v>#REF!</v>
      </c>
    </row>
    <row r="23652" spans="1:6" ht="15.75" customHeight="1">
      <c r="A23652" s="15" t="s">
        <v>5499</v>
      </c>
      <c r="B23652" s="15" t="s">
        <v>5499</v>
      </c>
      <c r="C23652" s="15" t="s">
        <v>5348</v>
      </c>
      <c r="D23652" s="15" t="s">
        <v>5400</v>
      </c>
      <c r="E23652" s="2">
        <v>3678405</v>
      </c>
      <c r="F23652" s="4" t="str">
        <f>IF(B23652=B23651,"",B23652)</f>
        <v>La Mesa</v>
      </c>
    </row>
    <row r="23653" spans="1:6" ht="15.75" customHeight="1">
      <c r="A23653" s="15" t="s">
        <v>6436</v>
      </c>
      <c r="B23653" s="15" t="s">
        <v>6437</v>
      </c>
      <c r="C23653" s="15" t="s">
        <v>6398</v>
      </c>
      <c r="D23653" s="15" t="s">
        <v>6438</v>
      </c>
      <c r="E23653" s="2">
        <v>3655117</v>
      </c>
      <c r="F23653" s="4" t="str">
        <f>IF(B23653=B23652,"",B23653)</f>
        <v>La ManÃ¡</v>
      </c>
    </row>
    <row r="23654" spans="1:6" ht="15.75" customHeight="1">
      <c r="A23654" s="16" t="str">
        <f ca="1">IFERROR(__xludf.DUMMYFUNCTION("GOOGLETRANSLATE(B28786,""en"",""pt"")"),"La maná")</f>
        <v>La maná</v>
      </c>
      <c r="B23654" s="20" t="s">
        <v>32239</v>
      </c>
      <c r="C23654" s="20" t="s">
        <v>6398</v>
      </c>
      <c r="D23654" s="20" t="s">
        <v>6438</v>
      </c>
      <c r="E23654" s="10">
        <v>3655117</v>
      </c>
      <c r="F23654" s="4" t="e">
        <f>IF(B23654=#REF!,"",B23654)</f>
        <v>#REF!</v>
      </c>
    </row>
    <row r="23655" spans="1:6" ht="15.75" customHeight="1">
      <c r="A23655" s="16" t="s">
        <v>7428</v>
      </c>
      <c r="B23655" s="15" t="s">
        <v>7429</v>
      </c>
      <c r="C23655" s="16" t="s">
        <v>7052</v>
      </c>
      <c r="D23655" s="16" t="s">
        <v>7078</v>
      </c>
      <c r="E23655" s="2">
        <v>3008379</v>
      </c>
      <c r="F23655" s="4" t="str">
        <f>IF(B23655=B23654,"",B23655)</f>
        <v>La Madeleine</v>
      </c>
    </row>
    <row r="23656" spans="1:6" ht="15.75" customHeight="1">
      <c r="A23656" s="16" t="str">
        <f ca="1">IFERROR(__xludf.DUMMYFUNCTION("GOOGLETRANSLATE(B23890,""en"",""pt"")"),"La Louvière")</f>
        <v>La Louvière</v>
      </c>
      <c r="B23656" s="20" t="s">
        <v>31311</v>
      </c>
      <c r="C23656" s="20" t="s">
        <v>1512</v>
      </c>
      <c r="D23656" s="20" t="s">
        <v>1518</v>
      </c>
      <c r="E23656" s="10">
        <v>2793508</v>
      </c>
      <c r="F23656" s="4" t="str">
        <f>IF(B23656=B23655,"",B23656)</f>
        <v>La Louvière</v>
      </c>
    </row>
    <row r="23657" spans="1:6" ht="15.75" customHeight="1">
      <c r="A23657" s="16" t="s">
        <v>1612</v>
      </c>
      <c r="B23657" s="15" t="s">
        <v>1613</v>
      </c>
      <c r="C23657" s="16" t="s">
        <v>1512</v>
      </c>
      <c r="D23657" s="16" t="s">
        <v>1518</v>
      </c>
      <c r="E23657" s="2">
        <v>2793508</v>
      </c>
      <c r="F23657" s="4" t="str">
        <f>IF(B23657=B23656,"",B23657)</f>
        <v>La LouviÃ¨re</v>
      </c>
    </row>
    <row r="23658" spans="1:6" ht="15.75" customHeight="1">
      <c r="A23658" s="16" t="str">
        <f ca="1">IFERROR(__xludf.DUMMYFUNCTION("GOOGLETRANSLATE(B29095,""en"",""pt"")"),"La línea de la concepción")</f>
        <v>La línea de la concepción</v>
      </c>
      <c r="B23658" s="20" t="s">
        <v>32376</v>
      </c>
      <c r="C23658" s="20" t="s">
        <v>24200</v>
      </c>
      <c r="D23658" s="20" t="s">
        <v>24205</v>
      </c>
      <c r="E23658" s="10">
        <v>2515812</v>
      </c>
      <c r="F23658" s="4" t="e">
        <f>IF(B23658=#REF!,"",B23658)</f>
        <v>#REF!</v>
      </c>
    </row>
    <row r="23659" spans="1:6" ht="15.75" customHeight="1">
      <c r="A23659" s="15" t="s">
        <v>9923</v>
      </c>
      <c r="B23659" s="15" t="s">
        <v>9923</v>
      </c>
      <c r="C23659" s="15" t="s">
        <v>9907</v>
      </c>
      <c r="D23659" s="15" t="s">
        <v>9908</v>
      </c>
      <c r="E23659" s="2">
        <v>3607511</v>
      </c>
      <c r="F23659" s="4" t="e">
        <f>IF(B23659=#REF!,"",B23659)</f>
        <v>#REF!</v>
      </c>
    </row>
    <row r="23660" spans="1:6" ht="15.75" customHeight="1">
      <c r="A23660" s="15" t="s">
        <v>4406</v>
      </c>
      <c r="B23660" s="15" t="s">
        <v>4406</v>
      </c>
      <c r="C23660" s="15" t="s">
        <v>4355</v>
      </c>
      <c r="D23660" s="15" t="s">
        <v>3642</v>
      </c>
      <c r="E23660" s="2">
        <v>3885456</v>
      </c>
      <c r="F23660" s="4" t="e">
        <f>IF(B23660=#REF!,"",B23660)</f>
        <v>#REF!</v>
      </c>
    </row>
    <row r="23661" spans="1:6" ht="15.75" customHeight="1">
      <c r="A23661" s="16" t="s">
        <v>6435</v>
      </c>
      <c r="B23661" s="15" t="s">
        <v>6435</v>
      </c>
      <c r="C23661" s="16" t="s">
        <v>6398</v>
      </c>
      <c r="D23661" s="16" t="s">
        <v>6410</v>
      </c>
      <c r="E23661" s="2">
        <v>3655131</v>
      </c>
      <c r="F23661" s="4" t="str">
        <f>IF(B23661=B23660,"",B23661)</f>
        <v>La Libertad</v>
      </c>
    </row>
    <row r="23662" spans="1:6" ht="15.75" customHeight="1">
      <c r="A23662" s="16" t="s">
        <v>24528</v>
      </c>
      <c r="B23662" s="15" t="s">
        <v>24529</v>
      </c>
      <c r="C23662" s="16" t="s">
        <v>24200</v>
      </c>
      <c r="D23662" s="16" t="s">
        <v>24205</v>
      </c>
      <c r="E23662" s="2">
        <v>2515812</v>
      </c>
      <c r="F23662" s="4" t="e">
        <f>IF(B23662=#REF!,"",B23662)</f>
        <v>#REF!</v>
      </c>
    </row>
    <row r="23663" spans="1:6" ht="15.75" customHeight="1">
      <c r="A23663" s="15" t="s">
        <v>4404</v>
      </c>
      <c r="B23663" s="15" t="s">
        <v>4405</v>
      </c>
      <c r="C23663" s="15" t="s">
        <v>4355</v>
      </c>
      <c r="D23663" s="15" t="s">
        <v>4361</v>
      </c>
      <c r="E23663" s="2">
        <v>3885509</v>
      </c>
      <c r="F23663" s="4" t="e">
        <f>IF(B23663=#REF!,"",B23663)</f>
        <v>#REF!</v>
      </c>
    </row>
    <row r="23664" spans="1:6" ht="15.75" customHeight="1">
      <c r="A23664" s="16" t="s">
        <v>24527</v>
      </c>
      <c r="B23664" s="15" t="s">
        <v>24527</v>
      </c>
      <c r="C23664" s="16" t="s">
        <v>24200</v>
      </c>
      <c r="D23664" s="16" t="s">
        <v>24212</v>
      </c>
      <c r="E23664" s="2">
        <v>2511401</v>
      </c>
      <c r="F23664" s="4" t="e">
        <f>IF(B23664=#REF!,"",B23664)</f>
        <v>#REF!</v>
      </c>
    </row>
    <row r="23665" spans="1:6" ht="15.75" customHeight="1">
      <c r="A23665" s="16" t="s">
        <v>5498</v>
      </c>
      <c r="B23665" s="15" t="s">
        <v>5498</v>
      </c>
      <c r="C23665" s="16" t="s">
        <v>5348</v>
      </c>
      <c r="D23665" s="16" t="s">
        <v>5351</v>
      </c>
      <c r="E23665" s="2">
        <v>3678674</v>
      </c>
      <c r="F23665" s="4" t="e">
        <f>IF(B23665=#REF!,"",B23665)</f>
        <v>#REF!</v>
      </c>
    </row>
    <row r="23666" spans="1:6" ht="15.75" customHeight="1">
      <c r="A23666" s="15" t="s">
        <v>18035</v>
      </c>
      <c r="B23666" s="15" t="s">
        <v>18035</v>
      </c>
      <c r="C23666" s="15" t="s">
        <v>17707</v>
      </c>
      <c r="D23666" s="15" t="s">
        <v>17708</v>
      </c>
      <c r="E23666" s="2">
        <v>3525596</v>
      </c>
      <c r="F23666" s="4" t="e">
        <f>IF(B23666=#REF!,"",B23666)</f>
        <v>#REF!</v>
      </c>
    </row>
    <row r="23667" spans="1:6" ht="15.75" customHeight="1">
      <c r="A23667" s="16" t="s">
        <v>5863</v>
      </c>
      <c r="B23667" s="15" t="s">
        <v>5863</v>
      </c>
      <c r="C23667" s="16" t="s">
        <v>5764</v>
      </c>
      <c r="D23667" s="16" t="s">
        <v>5768</v>
      </c>
      <c r="E23667" s="2">
        <v>3746184</v>
      </c>
      <c r="F23667" s="4" t="e">
        <f>IF(B23667=#REF!,"",B23667)</f>
        <v>#REF!</v>
      </c>
    </row>
    <row r="23668" spans="1:6" ht="15.75" customHeight="1">
      <c r="A23668" s="15" t="s">
        <v>30712</v>
      </c>
      <c r="B23668" s="15" t="s">
        <v>30712</v>
      </c>
      <c r="C23668" s="15" t="s">
        <v>5923</v>
      </c>
      <c r="D23668" s="15" t="s">
        <v>30660</v>
      </c>
      <c r="E23668" s="2">
        <v>3637721</v>
      </c>
      <c r="F23668" s="4" t="e">
        <f>IF(B23668=#REF!,"",B23668)</f>
        <v>#REF!</v>
      </c>
    </row>
    <row r="23669" spans="1:6" ht="15.75" customHeight="1">
      <c r="A23669" s="16" t="s">
        <v>29046</v>
      </c>
      <c r="B23669" s="15" t="s">
        <v>29046</v>
      </c>
      <c r="C23669" s="16" t="s">
        <v>27788</v>
      </c>
      <c r="D23669" s="16" t="s">
        <v>7988</v>
      </c>
      <c r="E23669" s="2">
        <v>4204230</v>
      </c>
      <c r="F23669" s="4" t="e">
        <f>IF(B23669=#REF!,"",B23669)</f>
        <v>#REF!</v>
      </c>
    </row>
    <row r="23670" spans="1:6" ht="15.75" customHeight="1">
      <c r="A23670" s="16" t="s">
        <v>26154</v>
      </c>
      <c r="B23670" s="15" t="s">
        <v>26155</v>
      </c>
      <c r="C23670" s="16" t="s">
        <v>26090</v>
      </c>
      <c r="D23670" s="16" t="s">
        <v>26094</v>
      </c>
      <c r="E23670" s="2">
        <v>2470656</v>
      </c>
      <c r="F23670" s="4" t="e">
        <f>IF(B23670=#REF!,"",B23670)</f>
        <v>#REF!</v>
      </c>
    </row>
    <row r="23671" spans="1:6" ht="15.75" customHeight="1">
      <c r="A23671" s="16" t="s">
        <v>9751</v>
      </c>
      <c r="B23671" s="15" t="s">
        <v>9751</v>
      </c>
      <c r="C23671" s="16" t="s">
        <v>9700</v>
      </c>
      <c r="D23671" s="16" t="s">
        <v>9735</v>
      </c>
      <c r="E23671" s="2">
        <v>3594575</v>
      </c>
      <c r="F23671" s="4" t="e">
        <f>IF(B23671=#REF!,"",B23671)</f>
        <v>#REF!</v>
      </c>
    </row>
    <row r="23672" spans="1:6" ht="15.75" customHeight="1">
      <c r="A23672" s="15" t="s">
        <v>30865</v>
      </c>
      <c r="B23672" s="15" t="s">
        <v>30866</v>
      </c>
      <c r="C23672" s="15" t="s">
        <v>30784</v>
      </c>
      <c r="D23672" s="15" t="s">
        <v>30867</v>
      </c>
      <c r="E23672" s="2">
        <v>1577995</v>
      </c>
      <c r="F23672" s="4" t="e">
        <f>IF(B23672=#REF!,"",B23672)</f>
        <v>#REF!</v>
      </c>
    </row>
    <row r="23673" spans="1:6" ht="15.75" customHeight="1">
      <c r="A23673" s="16" t="s">
        <v>7427</v>
      </c>
      <c r="B23673" s="15" t="s">
        <v>7427</v>
      </c>
      <c r="C23673" s="16" t="s">
        <v>7052</v>
      </c>
      <c r="D23673" s="16" t="s">
        <v>7058</v>
      </c>
      <c r="E23673" s="2">
        <v>3009169</v>
      </c>
      <c r="F23673" s="4" t="e">
        <f>IF(B23673=#REF!,"",B23673)</f>
        <v>#REF!</v>
      </c>
    </row>
    <row r="23674" spans="1:6" ht="15.75" customHeight="1">
      <c r="A23674" s="15" t="s">
        <v>7426</v>
      </c>
      <c r="B23674" s="15" t="s">
        <v>7426</v>
      </c>
      <c r="C23674" s="15" t="s">
        <v>7052</v>
      </c>
      <c r="D23674" s="15" t="s">
        <v>7087</v>
      </c>
      <c r="E23674" s="2">
        <v>3009223</v>
      </c>
      <c r="F23674" s="4" t="str">
        <f>IF(B23674=B23673,"",B23674)</f>
        <v>La Garde</v>
      </c>
    </row>
    <row r="23675" spans="1:6" ht="15.75" customHeight="1">
      <c r="A23675" s="16" t="str">
        <f ca="1">IFERROR(__xludf.DUMMYFUNCTION("GOOGLETRANSLATE(B45699,""en"",""pt"")"),"La fría")</f>
        <v>La fría</v>
      </c>
      <c r="B23675" s="20" t="s">
        <v>36102</v>
      </c>
      <c r="C23675" s="20" t="s">
        <v>5923</v>
      </c>
      <c r="D23675" s="20" t="s">
        <v>36084</v>
      </c>
      <c r="E23675" s="10">
        <v>3795152</v>
      </c>
      <c r="F23675" s="4" t="str">
        <f>IF(B23675=B23674,"",B23675)</f>
        <v>La Fría</v>
      </c>
    </row>
    <row r="23676" spans="1:6" ht="15.75" customHeight="1">
      <c r="A23676" s="15" t="s">
        <v>30709</v>
      </c>
      <c r="B23676" s="15" t="s">
        <v>30710</v>
      </c>
      <c r="C23676" s="15" t="s">
        <v>5923</v>
      </c>
      <c r="D23676" s="15" t="s">
        <v>30711</v>
      </c>
      <c r="E23676" s="2">
        <v>3795152</v>
      </c>
      <c r="F23676" s="4" t="str">
        <f>IF(B23676=B23675,"",B23676)</f>
        <v>La FrÃ­a</v>
      </c>
    </row>
    <row r="23677" spans="1:6" ht="15.75" customHeight="1">
      <c r="A23677" s="16" t="str">
        <f ca="1">IFERROR(__xludf.DUMMYFUNCTION("GOOGLETRANSLATE(B30018,""en"",""pt"")"),"La flèche")</f>
        <v>La flèche</v>
      </c>
      <c r="B23677" s="20" t="s">
        <v>32593</v>
      </c>
      <c r="C23677" s="20" t="s">
        <v>7052</v>
      </c>
      <c r="D23677" s="20" t="s">
        <v>7102</v>
      </c>
      <c r="E23677" s="10">
        <v>3009443</v>
      </c>
      <c r="F23677" s="4" t="str">
        <f>IF(B23677=B23676,"",B23677)</f>
        <v>La Flèche</v>
      </c>
    </row>
    <row r="23678" spans="1:6" ht="15.75" customHeight="1">
      <c r="A23678" s="15" t="s">
        <v>7424</v>
      </c>
      <c r="B23678" s="15" t="s">
        <v>7425</v>
      </c>
      <c r="C23678" s="15" t="s">
        <v>7052</v>
      </c>
      <c r="D23678" s="15" t="s">
        <v>7102</v>
      </c>
      <c r="E23678" s="2">
        <v>3009443</v>
      </c>
      <c r="F23678" s="4" t="e">
        <f>IF(B23678=#REF!,"",B23678)</f>
        <v>#REF!</v>
      </c>
    </row>
    <row r="23679" spans="1:6" ht="15.75" customHeight="1">
      <c r="A23679" s="15" t="s">
        <v>691</v>
      </c>
      <c r="B23679" s="15" t="s">
        <v>691</v>
      </c>
      <c r="C23679" s="15" t="s">
        <v>558</v>
      </c>
      <c r="D23679" s="15" t="s">
        <v>573</v>
      </c>
      <c r="E23679" s="2">
        <v>3851331</v>
      </c>
      <c r="F23679" s="4" t="e">
        <f>IF(B23679=#REF!,"",B23679)</f>
        <v>#REF!</v>
      </c>
    </row>
    <row r="23680" spans="1:6" ht="15.75" customHeight="1">
      <c r="A23680" s="16" t="s">
        <v>5497</v>
      </c>
      <c r="B23680" s="15" t="s">
        <v>5497</v>
      </c>
      <c r="C23680" s="16" t="s">
        <v>5348</v>
      </c>
      <c r="D23680" s="16" t="s">
        <v>5362</v>
      </c>
      <c r="E23680" s="2">
        <v>3679065</v>
      </c>
      <c r="F23680" s="4" t="e">
        <f>IF(B23680=#REF!,"",B23680)</f>
        <v>#REF!</v>
      </c>
    </row>
    <row r="23681" spans="1:6" ht="15.75" customHeight="1">
      <c r="A23681" s="16" t="s">
        <v>9750</v>
      </c>
      <c r="B23681" s="15" t="s">
        <v>9750</v>
      </c>
      <c r="C23681" s="16" t="s">
        <v>9700</v>
      </c>
      <c r="D23681" s="16" t="s">
        <v>9712</v>
      </c>
      <c r="E23681" s="2">
        <v>3594703</v>
      </c>
      <c r="F23681" s="4" t="e">
        <f>IF(B23681=#REF!,"",B23681)</f>
        <v>#REF!</v>
      </c>
    </row>
    <row r="23682" spans="1:6" ht="15.75" customHeight="1">
      <c r="A23682" s="15" t="s">
        <v>18034</v>
      </c>
      <c r="B23682" s="15" t="s">
        <v>18034</v>
      </c>
      <c r="C23682" s="15" t="s">
        <v>17707</v>
      </c>
      <c r="D23682" s="15" t="s">
        <v>17713</v>
      </c>
      <c r="E23682" s="2">
        <v>8858107</v>
      </c>
      <c r="F23682" s="4" t="e">
        <f>IF(B23682=#REF!,"",B23682)</f>
        <v>#REF!</v>
      </c>
    </row>
    <row r="23683" spans="1:6" ht="15.75" customHeight="1">
      <c r="A23683" s="16" t="s">
        <v>5496</v>
      </c>
      <c r="B23683" s="15" t="s">
        <v>5496</v>
      </c>
      <c r="C23683" s="16" t="s">
        <v>5348</v>
      </c>
      <c r="D23683" s="16" t="s">
        <v>5353</v>
      </c>
      <c r="E23683" s="2">
        <v>3679277</v>
      </c>
      <c r="F23683" s="4" t="e">
        <f>IF(B23683=#REF!,"",B23683)</f>
        <v>#REF!</v>
      </c>
    </row>
    <row r="23684" spans="1:6" ht="15.75" customHeight="1">
      <c r="A23684" s="16" t="s">
        <v>30708</v>
      </c>
      <c r="B23684" s="15" t="s">
        <v>30708</v>
      </c>
      <c r="C23684" s="16" t="s">
        <v>5923</v>
      </c>
      <c r="D23684" s="16" t="s">
        <v>30647</v>
      </c>
      <c r="E23684" s="2">
        <v>3803651</v>
      </c>
      <c r="F23684" s="4" t="e">
        <f>IF(B23684=#REF!,"",B23684)</f>
        <v>#REF!</v>
      </c>
    </row>
    <row r="23685" spans="1:6" ht="15.75" customHeight="1">
      <c r="A23685" s="15" t="s">
        <v>7422</v>
      </c>
      <c r="B23685" s="15" t="s">
        <v>7423</v>
      </c>
      <c r="C23685" s="15" t="s">
        <v>7052</v>
      </c>
      <c r="D23685" s="15" t="s">
        <v>7058</v>
      </c>
      <c r="E23685" s="2">
        <v>8504417</v>
      </c>
      <c r="F23685" s="4" t="e">
        <f>IF(B23685=#REF!,"",B23685)</f>
        <v>#REF!</v>
      </c>
    </row>
    <row r="23686" spans="1:6" ht="15.75" customHeight="1">
      <c r="A23686" s="15" t="s">
        <v>18033</v>
      </c>
      <c r="B23686" s="15" t="s">
        <v>18033</v>
      </c>
      <c r="C23686" s="15" t="s">
        <v>17707</v>
      </c>
      <c r="D23686" s="15" t="s">
        <v>17916</v>
      </c>
      <c r="E23686" s="2">
        <v>4002745</v>
      </c>
      <c r="F23686" s="4" t="e">
        <f>IF(B23686=#REF!,"",B23686)</f>
        <v>#REF!</v>
      </c>
    </row>
    <row r="23687" spans="1:6" ht="15.75" customHeight="1">
      <c r="A23687" s="15" t="s">
        <v>29045</v>
      </c>
      <c r="B23687" s="15" t="s">
        <v>29045</v>
      </c>
      <c r="C23687" s="15" t="s">
        <v>27788</v>
      </c>
      <c r="D23687" s="15" t="s">
        <v>27890</v>
      </c>
      <c r="E23687" s="2">
        <v>5258957</v>
      </c>
      <c r="F23687" s="4" t="e">
        <f>IF(B23687=#REF!,"",B23687)</f>
        <v>#REF!</v>
      </c>
    </row>
    <row r="23688" spans="1:6" ht="15.75" customHeight="1">
      <c r="A23688" s="16" t="s">
        <v>29044</v>
      </c>
      <c r="B23688" s="15" t="s">
        <v>29044</v>
      </c>
      <c r="C23688" s="16" t="s">
        <v>27788</v>
      </c>
      <c r="D23688" s="16" t="s">
        <v>27801</v>
      </c>
      <c r="E23688" s="2">
        <v>7261553</v>
      </c>
      <c r="F23688" s="4" t="e">
        <f>IF(B23688=#REF!,"",B23688)</f>
        <v>#REF!</v>
      </c>
    </row>
    <row r="23689" spans="1:6" ht="15.75" customHeight="1">
      <c r="A23689" s="15" t="s">
        <v>7421</v>
      </c>
      <c r="B23689" s="15" t="s">
        <v>7421</v>
      </c>
      <c r="C23689" s="15" t="s">
        <v>7052</v>
      </c>
      <c r="D23689" s="15" t="s">
        <v>7087</v>
      </c>
      <c r="E23689" s="2">
        <v>3009791</v>
      </c>
      <c r="F23689" s="4" t="e">
        <f>IF(B23689=#REF!,"",B23689)</f>
        <v>#REF!</v>
      </c>
    </row>
    <row r="23690" spans="1:6" ht="15.75" customHeight="1">
      <c r="A23690" s="16" t="s">
        <v>7420</v>
      </c>
      <c r="B23690" s="15" t="s">
        <v>7420</v>
      </c>
      <c r="C23690" s="16" t="s">
        <v>7052</v>
      </c>
      <c r="D23690" s="16" t="s">
        <v>7058</v>
      </c>
      <c r="E23690" s="2">
        <v>3009824</v>
      </c>
      <c r="F23690" s="4" t="str">
        <f>IF(B23690=B23689,"",B23690)</f>
        <v>La Courneuve</v>
      </c>
    </row>
    <row r="23691" spans="1:6" ht="15.75" customHeight="1">
      <c r="A23691" s="16" t="str">
        <f ca="1">IFERROR(__xludf.DUMMYFUNCTION("GOOGLETRANSLATE(B38288,""en"",""pt"")"),"La Concepción")</f>
        <v>La Concepción</v>
      </c>
      <c r="B23691" s="20" t="s">
        <v>34863</v>
      </c>
      <c r="C23691" s="20" t="s">
        <v>20370</v>
      </c>
      <c r="D23691" s="20" t="s">
        <v>34861</v>
      </c>
      <c r="E23691" s="10">
        <v>3707899</v>
      </c>
      <c r="F23691" s="4" t="str">
        <f>IF(B23691=B23690,"",B23691)</f>
        <v>La Concepción</v>
      </c>
    </row>
    <row r="23692" spans="1:6" ht="15.75" customHeight="1">
      <c r="A23692" s="16" t="s">
        <v>20391</v>
      </c>
      <c r="B23692" s="15" t="s">
        <v>20392</v>
      </c>
      <c r="C23692" s="16" t="s">
        <v>20370</v>
      </c>
      <c r="D23692" s="16" t="s">
        <v>20387</v>
      </c>
      <c r="E23692" s="2">
        <v>3707899</v>
      </c>
      <c r="F23692" s="4" t="e">
        <f>IF(B23692=#REF!,"",B23692)</f>
        <v>#REF!</v>
      </c>
    </row>
    <row r="23693" spans="1:6" ht="15.75" customHeight="1">
      <c r="A23693" s="15" t="s">
        <v>7419</v>
      </c>
      <c r="B23693" s="15" t="s">
        <v>7419</v>
      </c>
      <c r="C23693" s="15" t="s">
        <v>7052</v>
      </c>
      <c r="D23693" s="15" t="s">
        <v>7087</v>
      </c>
      <c r="E23693" s="2">
        <v>3010025</v>
      </c>
      <c r="F23693" s="4" t="e">
        <f>IF(B23693=#REF!,"",B23693)</f>
        <v>#REF!</v>
      </c>
    </row>
    <row r="23694" spans="1:6" ht="15.75" customHeight="1">
      <c r="A23694" s="16" t="s">
        <v>20389</v>
      </c>
      <c r="B23694" s="15" t="s">
        <v>20390</v>
      </c>
      <c r="C23694" s="16" t="s">
        <v>20370</v>
      </c>
      <c r="D23694" s="16" t="s">
        <v>20374</v>
      </c>
      <c r="E23694" s="2">
        <v>3707961</v>
      </c>
      <c r="F23694" s="4" t="e">
        <f>IF(B23694=#REF!,"",B23694)</f>
        <v>#REF!</v>
      </c>
    </row>
    <row r="23695" spans="1:6" ht="15.75" customHeight="1">
      <c r="A23695" s="16" t="s">
        <v>25280</v>
      </c>
      <c r="B23695" s="15" t="s">
        <v>25280</v>
      </c>
      <c r="C23695" s="16" t="s">
        <v>25237</v>
      </c>
      <c r="D23695" s="16" t="s">
        <v>25281</v>
      </c>
      <c r="E23695" s="2">
        <v>2660076</v>
      </c>
      <c r="F23695" s="4" t="e">
        <f>IF(B23695=#REF!,"",B23695)</f>
        <v>#REF!</v>
      </c>
    </row>
    <row r="23696" spans="1:6" ht="15.75" customHeight="1">
      <c r="A23696" s="16" t="s">
        <v>7417</v>
      </c>
      <c r="B23696" s="15" t="s">
        <v>7418</v>
      </c>
      <c r="C23696" s="16" t="s">
        <v>7052</v>
      </c>
      <c r="D23696" s="16" t="s">
        <v>7102</v>
      </c>
      <c r="E23696" s="2">
        <v>3010237</v>
      </c>
      <c r="F23696" s="4" t="e">
        <f>IF(B23696=#REF!,"",B23696)</f>
        <v>#REF!</v>
      </c>
    </row>
    <row r="23697" spans="1:6" ht="15.75" customHeight="1">
      <c r="A23697" s="16" t="s">
        <v>7416</v>
      </c>
      <c r="B23697" s="15" t="s">
        <v>7416</v>
      </c>
      <c r="C23697" s="16" t="s">
        <v>7052</v>
      </c>
      <c r="D23697" s="16" t="s">
        <v>7058</v>
      </c>
      <c r="E23697" s="2">
        <v>3010529</v>
      </c>
      <c r="F23697" s="4" t="e">
        <f>IF(B23697=#REF!,"",B23697)</f>
        <v>#REF!</v>
      </c>
    </row>
    <row r="23698" spans="1:6" ht="15.75" customHeight="1">
      <c r="A23698" s="15" t="s">
        <v>5495</v>
      </c>
      <c r="B23698" s="15" t="s">
        <v>5495</v>
      </c>
      <c r="C23698" s="15" t="s">
        <v>5348</v>
      </c>
      <c r="D23698" s="15" t="s">
        <v>5362</v>
      </c>
      <c r="E23698" s="2">
        <v>3679554</v>
      </c>
      <c r="F23698" s="4" t="e">
        <f>IF(B23698=#REF!,"",B23698)</f>
        <v>#REF!</v>
      </c>
    </row>
    <row r="23699" spans="1:6" ht="15.75" customHeight="1">
      <c r="A23699" s="15" t="s">
        <v>9921</v>
      </c>
      <c r="B23699" s="15" t="s">
        <v>9921</v>
      </c>
      <c r="C23699" s="15" t="s">
        <v>9907</v>
      </c>
      <c r="D23699" s="15" t="s">
        <v>9922</v>
      </c>
      <c r="E23699" s="2">
        <v>3608248</v>
      </c>
      <c r="F23699" s="4" t="e">
        <f>IF(B23699=#REF!,"",B23699)</f>
        <v>#REF!</v>
      </c>
    </row>
    <row r="23700" spans="1:6" ht="15.75" customHeight="1">
      <c r="A23700" s="16" t="s">
        <v>20818</v>
      </c>
      <c r="B23700" s="15" t="s">
        <v>20818</v>
      </c>
      <c r="C23700" s="16" t="s">
        <v>20598</v>
      </c>
      <c r="D23700" s="16" t="s">
        <v>20627</v>
      </c>
      <c r="E23700" s="2">
        <v>1708217</v>
      </c>
      <c r="F23700" s="4" t="e">
        <f>IF(B23700=#REF!,"",B23700)</f>
        <v>#REF!</v>
      </c>
    </row>
    <row r="23701" spans="1:6" ht="15.75" customHeight="1">
      <c r="A23701" s="16" t="s">
        <v>24526</v>
      </c>
      <c r="B23701" s="15" t="s">
        <v>24526</v>
      </c>
      <c r="C23701" s="16" t="s">
        <v>24200</v>
      </c>
      <c r="D23701" s="16" t="s">
        <v>24205</v>
      </c>
      <c r="E23701" s="2">
        <v>2516088</v>
      </c>
      <c r="F23701" s="4" t="e">
        <f>IF(B23701=#REF!,"",B23701)</f>
        <v>#REF!</v>
      </c>
    </row>
    <row r="23702" spans="1:6" ht="15.75" customHeight="1">
      <c r="A23702" s="16" t="s">
        <v>20817</v>
      </c>
      <c r="B23702" s="15" t="s">
        <v>20817</v>
      </c>
      <c r="C23702" s="16" t="s">
        <v>20598</v>
      </c>
      <c r="D23702" s="16" t="s">
        <v>20627</v>
      </c>
      <c r="E23702" s="2">
        <v>1708226</v>
      </c>
      <c r="F23702" s="4" t="e">
        <f>IF(B23702=#REF!,"",B23702)</f>
        <v>#REF!</v>
      </c>
    </row>
    <row r="23703" spans="1:6" ht="15.75" customHeight="1">
      <c r="A23703" s="15" t="s">
        <v>689</v>
      </c>
      <c r="B23703" s="15" t="s">
        <v>690</v>
      </c>
      <c r="C23703" s="15" t="s">
        <v>558</v>
      </c>
      <c r="D23703" s="15" t="s">
        <v>573</v>
      </c>
      <c r="E23703" s="2">
        <v>3852374</v>
      </c>
      <c r="F23703" s="4" t="e">
        <f>IF(B23703=#REF!,"",B23703)</f>
        <v>#REF!</v>
      </c>
    </row>
    <row r="23704" spans="1:6" ht="15.75" customHeight="1">
      <c r="A23704" s="16" t="s">
        <v>20388</v>
      </c>
      <c r="B23704" s="15" t="s">
        <v>20388</v>
      </c>
      <c r="C23704" s="16" t="s">
        <v>20370</v>
      </c>
      <c r="D23704" s="16" t="s">
        <v>20374</v>
      </c>
      <c r="E23704" s="2">
        <v>3708066</v>
      </c>
      <c r="F23704" s="4" t="e">
        <f>IF(B23704=#REF!,"",B23704)</f>
        <v>#REF!</v>
      </c>
    </row>
    <row r="23705" spans="1:6" ht="15.75" customHeight="1">
      <c r="A23705" s="15" t="s">
        <v>20534</v>
      </c>
      <c r="B23705" s="15" t="s">
        <v>20534</v>
      </c>
      <c r="C23705" s="15" t="s">
        <v>20470</v>
      </c>
      <c r="D23705" s="15" t="s">
        <v>20486</v>
      </c>
      <c r="E23705" s="2">
        <v>3814568</v>
      </c>
      <c r="F23705" s="4" t="e">
        <f>IF(B23705=#REF!,"",B23705)</f>
        <v>#REF!</v>
      </c>
    </row>
    <row r="23706" spans="1:6" ht="15.75" customHeight="1">
      <c r="A23706" s="16" t="s">
        <v>7415</v>
      </c>
      <c r="B23706" s="15" t="s">
        <v>7415</v>
      </c>
      <c r="C23706" s="16" t="s">
        <v>7052</v>
      </c>
      <c r="D23706" s="16" t="s">
        <v>7102</v>
      </c>
      <c r="E23706" s="2">
        <v>3019766</v>
      </c>
      <c r="F23706" s="4" t="e">
        <f>IF(B23706=#REF!,"",B23706)</f>
        <v>#REF!</v>
      </c>
    </row>
    <row r="23707" spans="1:6" ht="15.75" customHeight="1">
      <c r="A23707" s="15" t="s">
        <v>18032</v>
      </c>
      <c r="B23707" s="15" t="s">
        <v>18032</v>
      </c>
      <c r="C23707" s="15" t="s">
        <v>17707</v>
      </c>
      <c r="D23707" s="15" t="s">
        <v>17746</v>
      </c>
      <c r="E23707" s="2">
        <v>4003526</v>
      </c>
      <c r="F23707" s="4" t="str">
        <f>IF(B23707=B23706,"",B23707)</f>
        <v>La Barca</v>
      </c>
    </row>
    <row r="23708" spans="1:6" ht="15.75" customHeight="1">
      <c r="A23708" s="16" t="str">
        <f ca="1">IFERROR(__xludf.DUMMYFUNCTION("GOOGLETRANSLATE(B45599,""en"",""pt"")"),"La ASUNCION")</f>
        <v>La ASUNCION</v>
      </c>
      <c r="B23708" s="20" t="s">
        <v>36080</v>
      </c>
      <c r="C23708" s="20" t="s">
        <v>5923</v>
      </c>
      <c r="D23708" s="20" t="s">
        <v>30704</v>
      </c>
      <c r="E23708" s="10">
        <v>3480908</v>
      </c>
      <c r="F23708" s="4" t="str">
        <f>IF(B23708=B23707,"",B23708)</f>
        <v>La Asunción</v>
      </c>
    </row>
    <row r="23709" spans="1:6" ht="15.75" customHeight="1">
      <c r="A23709" s="16" t="s">
        <v>30706</v>
      </c>
      <c r="B23709" s="15" t="s">
        <v>30707</v>
      </c>
      <c r="C23709" s="16" t="s">
        <v>5923</v>
      </c>
      <c r="D23709" s="16" t="s">
        <v>30704</v>
      </c>
      <c r="E23709" s="2">
        <v>3480908</v>
      </c>
      <c r="F23709" s="4" t="str">
        <f>IF(B23709=B23708,"",B23709)</f>
        <v>La AsunciÃ³n</v>
      </c>
    </row>
    <row r="23710" spans="1:6" ht="15.75" customHeight="1">
      <c r="A23710" s="16" t="str">
        <f ca="1">IFERROR(__xludf.DUMMYFUNCTION("GOOGLETRANSLATE(B29963,""en"",""pt"")"),"L'Sle-sur-La-Sorgue")</f>
        <v>L'Sle-sur-La-Sorgue</v>
      </c>
      <c r="B23710" s="20" t="s">
        <v>32584</v>
      </c>
      <c r="C23710" s="20" t="s">
        <v>7052</v>
      </c>
      <c r="D23710" s="20" t="s">
        <v>32534</v>
      </c>
      <c r="E23710" s="10">
        <v>2998127</v>
      </c>
      <c r="F23710" s="4" t="str">
        <f>IF(B23710=B23709,"",B23710)</f>
        <v>L’Isle-sur-la-Sorgue</v>
      </c>
    </row>
    <row r="23711" spans="1:6" ht="15.75" customHeight="1">
      <c r="A23711" s="16" t="str">
        <f ca="1">IFERROR(__xludf.DUMMYFUNCTION("GOOGLETRANSLATE(B40361,""en"",""pt"")"),"L'Arvskiy")</f>
        <v>L'Arvskiy</v>
      </c>
      <c r="B23711" s="20" t="s">
        <v>35494</v>
      </c>
      <c r="C23711" s="20" t="s">
        <v>22070</v>
      </c>
      <c r="D23711" s="20" t="s">
        <v>22634</v>
      </c>
      <c r="E23711" s="10">
        <v>535334</v>
      </c>
      <c r="F23711" s="4" t="str">
        <f>IF(B23711=B23710,"",B23711)</f>
        <v>L’govskiy</v>
      </c>
    </row>
    <row r="23712" spans="1:6" ht="15.75" customHeight="1">
      <c r="A23712" s="16" t="str">
        <f ca="1">IFERROR(__xludf.DUMMYFUNCTION("GOOGLETRANSLATE(B28594,""en"",""pt"")"),"L'Arbaa ingen Irathen")</f>
        <v>L'Arbaa ingen Irathen</v>
      </c>
      <c r="B23712" s="20" t="s">
        <v>32201</v>
      </c>
      <c r="C23712" s="20" t="s">
        <v>153</v>
      </c>
      <c r="D23712" s="20" t="s">
        <v>172</v>
      </c>
      <c r="E23712" s="10">
        <v>2491042</v>
      </c>
      <c r="F23712" s="4" t="e">
        <f>IF(B23712=#REF!,"",B23712)</f>
        <v>#REF!</v>
      </c>
    </row>
    <row r="23713" spans="1:6" ht="15.75" customHeight="1">
      <c r="A23713" s="15" t="s">
        <v>16944</v>
      </c>
      <c r="B23713" s="15" t="s">
        <v>16945</v>
      </c>
      <c r="C23713" s="15" t="s">
        <v>16924</v>
      </c>
      <c r="D23713" s="15" t="s">
        <v>16927</v>
      </c>
      <c r="E23713" s="2">
        <v>1527497</v>
      </c>
      <c r="F23713" s="4" t="e">
        <f>IF(B23713=#REF!,"",B23713)</f>
        <v>#REF!</v>
      </c>
    </row>
    <row r="23714" spans="1:6" ht="15.75" customHeight="1">
      <c r="A23714" s="16" t="s">
        <v>16723</v>
      </c>
      <c r="B23714" s="15" t="s">
        <v>16724</v>
      </c>
      <c r="C23714" s="16" t="s">
        <v>16671</v>
      </c>
      <c r="D23714" s="16" t="s">
        <v>16687</v>
      </c>
      <c r="E23714" s="2">
        <v>9862222</v>
      </c>
      <c r="F23714" s="4" t="e">
        <f>IF(B23714=#REF!,"",B23714)</f>
        <v>#REF!</v>
      </c>
    </row>
    <row r="23715" spans="1:6" ht="15.75" customHeight="1">
      <c r="A23715" s="15" t="s">
        <v>16722</v>
      </c>
      <c r="B23715" s="15" t="s">
        <v>16722</v>
      </c>
      <c r="C23715" s="15" t="s">
        <v>16671</v>
      </c>
      <c r="D23715" s="15" t="s">
        <v>16687</v>
      </c>
      <c r="E23715" s="2">
        <v>1519922</v>
      </c>
      <c r="F23715" s="4" t="e">
        <f>IF(B23715=#REF!,"",B23715)</f>
        <v>#REF!</v>
      </c>
    </row>
    <row r="23716" spans="1:6" ht="15.75" customHeight="1">
      <c r="A23716" s="16" t="s">
        <v>16943</v>
      </c>
      <c r="B23716" s="15" t="s">
        <v>16943</v>
      </c>
      <c r="C23716" s="16" t="s">
        <v>16924</v>
      </c>
      <c r="D23716" s="16" t="s">
        <v>16935</v>
      </c>
      <c r="E23716" s="2">
        <v>1527719</v>
      </c>
      <c r="F23716" s="4" t="e">
        <f>IF(B23716=#REF!,"",B23716)</f>
        <v>#REF!</v>
      </c>
    </row>
    <row r="23717" spans="1:6" ht="15.75" customHeight="1">
      <c r="A23717" s="15" t="s">
        <v>22652</v>
      </c>
      <c r="B23717" s="15" t="s">
        <v>22652</v>
      </c>
      <c r="C23717" s="15" t="s">
        <v>22070</v>
      </c>
      <c r="D23717" s="15" t="s">
        <v>22653</v>
      </c>
      <c r="E23717" s="2">
        <v>1500973</v>
      </c>
      <c r="F23717" s="4" t="e">
        <f>IF(B23717=#REF!,"",B23717)</f>
        <v>#REF!</v>
      </c>
    </row>
    <row r="23718" spans="1:6" ht="15.75" customHeight="1">
      <c r="A23718" s="16" t="s">
        <v>3718</v>
      </c>
      <c r="B23718" s="15" t="s">
        <v>3718</v>
      </c>
      <c r="C23718" s="16" t="s">
        <v>3701</v>
      </c>
      <c r="D23718" s="16" t="s">
        <v>3718</v>
      </c>
      <c r="E23718" s="2">
        <v>729730</v>
      </c>
      <c r="F23718" s="4" t="e">
        <f>IF(B23718=#REF!,"",B23718)</f>
        <v>#REF!</v>
      </c>
    </row>
    <row r="23719" spans="1:6" ht="15.75" customHeight="1">
      <c r="A23719" s="16" t="s">
        <v>1217</v>
      </c>
      <c r="B23719" s="15" t="s">
        <v>1217</v>
      </c>
      <c r="C23719" s="16" t="s">
        <v>1170</v>
      </c>
      <c r="D23719" s="16" t="s">
        <v>1218</v>
      </c>
      <c r="E23719" s="2">
        <v>585763</v>
      </c>
      <c r="F23719" s="4" t="str">
        <f>IF(B23719=B23718,"",B23719)</f>
        <v>Kyurdarmir</v>
      </c>
    </row>
    <row r="23720" spans="1:6" ht="15.75" customHeight="1">
      <c r="A23720" s="16" t="str">
        <f ca="1">IFERROR(__xludf.DUMMYFUNCTION("GOOGLETRANSLATE(B41259,""en"",""pt"")"),"Kysucké Nové Mesto")</f>
        <v>Kysucké Nové Mesto</v>
      </c>
      <c r="B23720" s="20" t="s">
        <v>35693</v>
      </c>
      <c r="C23720" s="20" t="s">
        <v>23694</v>
      </c>
      <c r="D23720" s="20" t="s">
        <v>35678</v>
      </c>
      <c r="E23720" s="10">
        <v>3059179</v>
      </c>
      <c r="F23720" s="4" t="str">
        <f>IF(B23720=B23719,"",B23720)</f>
        <v>Kysucké Nové Mesto</v>
      </c>
    </row>
    <row r="23721" spans="1:6" ht="15.75" customHeight="1">
      <c r="A23721" s="16" t="s">
        <v>23731</v>
      </c>
      <c r="B23721" s="15" t="s">
        <v>23732</v>
      </c>
      <c r="C23721" s="16" t="s">
        <v>23694</v>
      </c>
      <c r="D23721" s="16" t="s">
        <v>23697</v>
      </c>
      <c r="E23721" s="2">
        <v>3059179</v>
      </c>
      <c r="F23721" s="4" t="e">
        <f>IF(B23721=#REF!,"",B23721)</f>
        <v>#REF!</v>
      </c>
    </row>
    <row r="23722" spans="1:6" ht="15.75" customHeight="1">
      <c r="A23722" s="15" t="s">
        <v>22651</v>
      </c>
      <c r="B23722" s="15" t="s">
        <v>22651</v>
      </c>
      <c r="C23722" s="15" t="s">
        <v>22070</v>
      </c>
      <c r="D23722" s="15" t="s">
        <v>22166</v>
      </c>
      <c r="E23722" s="2">
        <v>1500997</v>
      </c>
      <c r="F23722" s="4" t="e">
        <f>IF(B23722=#REF!,"",B23722)</f>
        <v>#REF!</v>
      </c>
    </row>
    <row r="23723" spans="1:6" ht="15.75" customHeight="1">
      <c r="A23723" s="15" t="s">
        <v>5934</v>
      </c>
      <c r="B23723" s="15" t="s">
        <v>5934</v>
      </c>
      <c r="C23723" s="15" t="s">
        <v>5932</v>
      </c>
      <c r="D23723" s="15" t="s">
        <v>5935</v>
      </c>
      <c r="E23723" s="2">
        <v>146412</v>
      </c>
      <c r="F23723" s="4" t="e">
        <f>IF(B23723=#REF!,"",B23723)</f>
        <v>#REF!</v>
      </c>
    </row>
    <row r="23724" spans="1:6" ht="15.75" customHeight="1">
      <c r="A23724" s="15" t="s">
        <v>16185</v>
      </c>
      <c r="B23724" s="15" t="s">
        <v>15831</v>
      </c>
      <c r="C23724" s="15" t="s">
        <v>15704</v>
      </c>
      <c r="D23724" s="15" t="s">
        <v>15831</v>
      </c>
      <c r="E23724" s="2">
        <v>1857910</v>
      </c>
      <c r="F23724" s="4" t="e">
        <f>IF(B23724=#REF!,"",B23724)</f>
        <v>#REF!</v>
      </c>
    </row>
    <row r="23725" spans="1:6" ht="15.75" customHeight="1">
      <c r="A23725" s="15" t="s">
        <v>24114</v>
      </c>
      <c r="B23725" s="15" t="s">
        <v>24114</v>
      </c>
      <c r="C23725" s="15" t="s">
        <v>24024</v>
      </c>
      <c r="D23725" s="15" t="s">
        <v>24040</v>
      </c>
      <c r="E23725" s="2">
        <v>1842754</v>
      </c>
      <c r="F23725" s="4" t="e">
        <f>IF(B23725=#REF!,"",B23725)</f>
        <v>#REF!</v>
      </c>
    </row>
    <row r="23726" spans="1:6" ht="15.75" customHeight="1">
      <c r="A23726" s="15" t="s">
        <v>24113</v>
      </c>
      <c r="B23726" s="15" t="s">
        <v>24113</v>
      </c>
      <c r="C23726" s="15" t="s">
        <v>24024</v>
      </c>
      <c r="D23726" s="15" t="s">
        <v>24025</v>
      </c>
      <c r="E23726" s="2">
        <v>1841603</v>
      </c>
      <c r="F23726" s="4" t="str">
        <f>IF(B23726=B23725,"",B23726)</f>
        <v>Kyonju</v>
      </c>
    </row>
    <row r="23727" spans="1:6" ht="15.75" customHeight="1">
      <c r="A23727" s="16" t="str">
        <f ca="1">IFERROR(__xludf.DUMMYFUNCTION("GOOGLETRANSLATE(B36035,""en"",""pt"")"),"Kyŏngsŏng")</f>
        <v>Kyŏngsŏng</v>
      </c>
      <c r="B23727" s="20" t="s">
        <v>34464</v>
      </c>
      <c r="C23727" s="20" t="s">
        <v>19589</v>
      </c>
      <c r="D23727" s="20" t="s">
        <v>34462</v>
      </c>
      <c r="E23727" s="10">
        <v>2042987</v>
      </c>
      <c r="F23727" s="4" t="e">
        <f>IF(B23727=#REF!,"",B23727)</f>
        <v>#REF!</v>
      </c>
    </row>
    <row r="23728" spans="1:6" ht="15.75" customHeight="1">
      <c r="A23728" s="15" t="s">
        <v>26844</v>
      </c>
      <c r="B23728" s="15" t="s">
        <v>26844</v>
      </c>
      <c r="C23728" s="15" t="s">
        <v>26820</v>
      </c>
      <c r="D23728" s="15" t="s">
        <v>18803</v>
      </c>
      <c r="E23728" s="2">
        <v>230299</v>
      </c>
      <c r="F23728" s="4" t="e">
        <f>IF(B23728=#REF!,"",B23728)</f>
        <v>#REF!</v>
      </c>
    </row>
    <row r="23729" spans="1:6" ht="15.75" customHeight="1">
      <c r="A23729" s="15" t="s">
        <v>25651</v>
      </c>
      <c r="B23729" s="15" t="s">
        <v>25651</v>
      </c>
      <c r="C23729" s="15" t="s">
        <v>25560</v>
      </c>
      <c r="D23729" s="15" t="s">
        <v>25589</v>
      </c>
      <c r="E23729" s="2">
        <v>156111</v>
      </c>
      <c r="F23729" s="4" t="e">
        <f>IF(B23729=#REF!,"",B23729)</f>
        <v>#REF!</v>
      </c>
    </row>
    <row r="23730" spans="1:6" ht="15.75" customHeight="1">
      <c r="A23730" s="15" t="s">
        <v>18717</v>
      </c>
      <c r="B23730" s="15" t="s">
        <v>18717</v>
      </c>
      <c r="C23730" s="15" t="s">
        <v>18696</v>
      </c>
      <c r="D23730" s="15" t="s">
        <v>18718</v>
      </c>
      <c r="E23730" s="2">
        <v>1316703</v>
      </c>
      <c r="F23730" s="4" t="e">
        <f>IF(B23730=#REF!,"",B23730)</f>
        <v>#REF!</v>
      </c>
    </row>
    <row r="23731" spans="1:6" ht="15.75" customHeight="1">
      <c r="A23731" s="16" t="s">
        <v>12113</v>
      </c>
      <c r="B23731" s="15" t="s">
        <v>12113</v>
      </c>
      <c r="C23731" s="16" t="s">
        <v>10178</v>
      </c>
      <c r="D23731" s="16" t="s">
        <v>10187</v>
      </c>
      <c r="E23731" s="2">
        <v>7302832</v>
      </c>
      <c r="F23731" s="4" t="e">
        <f>IF(B23731=#REF!,"",B23731)</f>
        <v>#REF!</v>
      </c>
    </row>
    <row r="23732" spans="1:6" ht="15.75" customHeight="1">
      <c r="A23732" s="15" t="s">
        <v>22650</v>
      </c>
      <c r="B23732" s="15" t="s">
        <v>22650</v>
      </c>
      <c r="C23732" s="15" t="s">
        <v>22070</v>
      </c>
      <c r="D23732" s="15" t="s">
        <v>22425</v>
      </c>
      <c r="E23732" s="2">
        <v>2021066</v>
      </c>
      <c r="F23732" s="4" t="e">
        <f>IF(B23732=#REF!,"",B23732)</f>
        <v>#REF!</v>
      </c>
    </row>
    <row r="23733" spans="1:6" ht="15.75" customHeight="1">
      <c r="A23733" s="15" t="s">
        <v>18716</v>
      </c>
      <c r="B23733" s="15" t="s">
        <v>18716</v>
      </c>
      <c r="C23733" s="15" t="s">
        <v>18696</v>
      </c>
      <c r="D23733" s="15" t="s">
        <v>12419</v>
      </c>
      <c r="E23733" s="2">
        <v>1317375</v>
      </c>
      <c r="F23733" s="4" t="e">
        <f>IF(B23733=#REF!,"",B23733)</f>
        <v>#REF!</v>
      </c>
    </row>
    <row r="23734" spans="1:6" ht="15.75" customHeight="1">
      <c r="A23734" s="15" t="s">
        <v>18715</v>
      </c>
      <c r="B23734" s="15" t="s">
        <v>18715</v>
      </c>
      <c r="C23734" s="15" t="s">
        <v>18696</v>
      </c>
      <c r="D23734" s="15" t="s">
        <v>18700</v>
      </c>
      <c r="E23734" s="2">
        <v>1317397</v>
      </c>
      <c r="F23734" s="4" t="e">
        <f>IF(B23734=#REF!,"",B23734)</f>
        <v>#REF!</v>
      </c>
    </row>
    <row r="23735" spans="1:6" ht="15.75" customHeight="1">
      <c r="A23735" s="16" t="s">
        <v>18714</v>
      </c>
      <c r="B23735" s="15" t="s">
        <v>18714</v>
      </c>
      <c r="C23735" s="16" t="s">
        <v>18696</v>
      </c>
      <c r="D23735" s="16" t="s">
        <v>12419</v>
      </c>
      <c r="E23735" s="2">
        <v>1317402</v>
      </c>
      <c r="F23735" s="4" t="str">
        <f>IF(B23735=B23734,"",B23735)</f>
        <v>Kyaikkami</v>
      </c>
    </row>
    <row r="23736" spans="1:6" ht="15.75" customHeight="1">
      <c r="A23736" s="16" t="str">
        <f ca="1">IFERROR(__xludf.DUMMYFUNCTION("GOOGLETRANSLATE(B41484,""en"",""pt"")"),"Kyabé")</f>
        <v>Kyabé</v>
      </c>
      <c r="B23736" s="20" t="s">
        <v>4331</v>
      </c>
      <c r="C23736" s="20" t="s">
        <v>4305</v>
      </c>
      <c r="D23736" s="20" t="s">
        <v>4333</v>
      </c>
      <c r="E23736" s="10">
        <v>2429344</v>
      </c>
      <c r="F23736" s="4" t="str">
        <f>IF(B23736=B23735,"",B23736)</f>
        <v>Kyabé</v>
      </c>
    </row>
    <row r="23737" spans="1:6" ht="15.75" customHeight="1">
      <c r="A23737" s="15" t="s">
        <v>4331</v>
      </c>
      <c r="B23737" s="15" t="s">
        <v>4332</v>
      </c>
      <c r="C23737" s="15" t="s">
        <v>4305</v>
      </c>
      <c r="D23737" s="15" t="s">
        <v>4333</v>
      </c>
      <c r="E23737" s="2">
        <v>2429344</v>
      </c>
      <c r="F23737" s="4" t="str">
        <f>IF(B23737=B23736,"",B23737)</f>
        <v>KyabÃ©</v>
      </c>
    </row>
    <row r="23738" spans="1:6" ht="15.75" customHeight="1">
      <c r="A23738" s="16" t="s">
        <v>19649</v>
      </c>
      <c r="B23738" s="15" t="s">
        <v>19650</v>
      </c>
      <c r="C23738" s="16" t="s">
        <v>19589</v>
      </c>
      <c r="D23738" s="16" t="s">
        <v>19599</v>
      </c>
      <c r="E23738" s="2">
        <v>2042987</v>
      </c>
      <c r="F23738" s="4" t="e">
        <f>IF(B23738=#REF!,"",B23738)</f>
        <v>#REF!</v>
      </c>
    </row>
    <row r="23739" spans="1:6" ht="15.75" customHeight="1">
      <c r="A23739" s="15" t="s">
        <v>1008</v>
      </c>
      <c r="B23739" s="15" t="s">
        <v>1008</v>
      </c>
      <c r="C23739" s="15" t="s">
        <v>885</v>
      </c>
      <c r="D23739" s="15" t="s">
        <v>889</v>
      </c>
      <c r="E23739" s="2">
        <v>2068079</v>
      </c>
      <c r="F23739" s="4" t="e">
        <f>IF(B23739=#REF!,"",B23739)</f>
        <v>#REF!</v>
      </c>
    </row>
    <row r="23740" spans="1:6" ht="15.75" customHeight="1">
      <c r="A23740" s="15" t="s">
        <v>21318</v>
      </c>
      <c r="B23740" s="15" t="s">
        <v>21318</v>
      </c>
      <c r="C23740" s="15" t="s">
        <v>21064</v>
      </c>
      <c r="D23740" s="15" t="s">
        <v>21173</v>
      </c>
      <c r="E23740" s="2">
        <v>3094086</v>
      </c>
      <c r="F23740" s="4" t="e">
        <f>IF(B23740=#REF!,"",B23740)</f>
        <v>#REF!</v>
      </c>
    </row>
    <row r="23741" spans="1:6" ht="15.75" customHeight="1">
      <c r="A23741" s="15" t="s">
        <v>31094</v>
      </c>
      <c r="B23741" s="15" t="s">
        <v>31094</v>
      </c>
      <c r="C23741" s="15" t="s">
        <v>31072</v>
      </c>
      <c r="D23741" s="15" t="s">
        <v>31088</v>
      </c>
      <c r="E23741" s="2">
        <v>888710</v>
      </c>
      <c r="F23741" s="4" t="e">
        <f>IF(B23741=#REF!,"",B23741)</f>
        <v>#REF!</v>
      </c>
    </row>
    <row r="23742" spans="1:6" ht="15.75" customHeight="1">
      <c r="A23742" s="16" t="s">
        <v>24112</v>
      </c>
      <c r="B23742" s="15" t="s">
        <v>24112</v>
      </c>
      <c r="C23742" s="16" t="s">
        <v>24024</v>
      </c>
      <c r="D23742" s="16" t="s">
        <v>24035</v>
      </c>
      <c r="E23742" s="2">
        <v>1841775</v>
      </c>
      <c r="F23742" s="4" t="str">
        <f>IF(B23742=B23741,"",B23742)</f>
        <v>Kwangyang</v>
      </c>
    </row>
    <row r="23743" spans="1:6" ht="15.75" customHeight="1">
      <c r="A23743" s="16" t="str">
        <f ca="1">IFERROR(__xludf.DUMMYFUNCTION("GOOGLETRANSLATE(B36161,""en"",""pt"")"),"Kwangmyŏng")</f>
        <v>Kwangmyŏng</v>
      </c>
      <c r="B23743" s="20" t="s">
        <v>34478</v>
      </c>
      <c r="C23743" s="20" t="s">
        <v>24024</v>
      </c>
      <c r="D23743" s="20" t="s">
        <v>24028</v>
      </c>
      <c r="E23743" s="10">
        <v>1948005</v>
      </c>
      <c r="F23743" s="4" t="str">
        <f>IF(B23743=B23742,"",B23743)</f>
        <v>Kwangmyŏng</v>
      </c>
    </row>
    <row r="23744" spans="1:6" ht="15.75" customHeight="1">
      <c r="A23744" s="16" t="s">
        <v>24110</v>
      </c>
      <c r="B23744" s="15" t="s">
        <v>24111</v>
      </c>
      <c r="C23744" s="16" t="s">
        <v>24024</v>
      </c>
      <c r="D23744" s="16" t="s">
        <v>24028</v>
      </c>
      <c r="E23744" s="2">
        <v>1948005</v>
      </c>
      <c r="F23744" s="4" t="e">
        <f>IF(B23744=#REF!,"",B23744)</f>
        <v>#REF!</v>
      </c>
    </row>
    <row r="23745" spans="1:6" ht="15.75" customHeight="1">
      <c r="A23745" s="16" t="s">
        <v>30863</v>
      </c>
      <c r="B23745" s="15" t="s">
        <v>30863</v>
      </c>
      <c r="C23745" s="16" t="s">
        <v>30784</v>
      </c>
      <c r="D23745" s="16" t="s">
        <v>30864</v>
      </c>
      <c r="E23745" s="2">
        <v>1582886</v>
      </c>
      <c r="F23745" s="4" t="e">
        <f>IF(B23745=#REF!,"",B23745)</f>
        <v>#REF!</v>
      </c>
    </row>
    <row r="23746" spans="1:6" ht="15.75" customHeight="1">
      <c r="A23746" s="15" t="s">
        <v>19489</v>
      </c>
      <c r="B23746" s="15" t="s">
        <v>19489</v>
      </c>
      <c r="C23746" s="15" t="s">
        <v>19294</v>
      </c>
      <c r="D23746" s="15" t="s">
        <v>4039</v>
      </c>
      <c r="E23746" s="2">
        <v>2332871</v>
      </c>
      <c r="F23746" s="4" t="str">
        <f>IF(B23746=B23745,"",B23746)</f>
        <v>Kwale</v>
      </c>
    </row>
    <row r="23747" spans="1:6" ht="15.75" customHeight="1">
      <c r="A23747" s="16" t="s">
        <v>27047</v>
      </c>
      <c r="B23747" s="15" t="s">
        <v>27048</v>
      </c>
      <c r="C23747" s="16" t="s">
        <v>26870</v>
      </c>
      <c r="D23747" s="16" t="s">
        <v>26953</v>
      </c>
      <c r="E23747" s="2">
        <v>703464</v>
      </c>
      <c r="F23747" s="4" t="str">
        <f>IF(B23747=B23746,"",B23747)</f>
        <v>Kuznetsovsâ€™k</v>
      </c>
    </row>
    <row r="23748" spans="1:6" ht="15.75" customHeight="1">
      <c r="A23748" s="16" t="str">
        <f ca="1">IFERROR(__xludf.DUMMYFUNCTION("GOOGLETRANSLATE(B42596,""en"",""pt"")"),"Kuznetsovs'k")</f>
        <v>Kuznetsovs'k</v>
      </c>
      <c r="B23748" s="20" t="s">
        <v>36016</v>
      </c>
      <c r="C23748" s="20" t="s">
        <v>26870</v>
      </c>
      <c r="D23748" s="20" t="s">
        <v>26953</v>
      </c>
      <c r="E23748" s="10">
        <v>703464</v>
      </c>
      <c r="F23748" s="4" t="e">
        <f>IF(B23748=#REF!,"",B23748)</f>
        <v>#REF!</v>
      </c>
    </row>
    <row r="23749" spans="1:6" ht="15.75" customHeight="1">
      <c r="A23749" s="15" t="s">
        <v>22648</v>
      </c>
      <c r="B23749" s="15" t="s">
        <v>22648</v>
      </c>
      <c r="C23749" s="15" t="s">
        <v>22070</v>
      </c>
      <c r="D23749" s="15" t="s">
        <v>22649</v>
      </c>
      <c r="E23749" s="2">
        <v>537737</v>
      </c>
      <c r="F23749" s="4" t="e">
        <f>IF(B23749=#REF!,"",B23749)</f>
        <v>#REF!</v>
      </c>
    </row>
    <row r="23750" spans="1:6" ht="15.75" customHeight="1">
      <c r="A23750" s="16" t="s">
        <v>12112</v>
      </c>
      <c r="B23750" s="15" t="s">
        <v>12112</v>
      </c>
      <c r="C23750" s="16" t="s">
        <v>10178</v>
      </c>
      <c r="D23750" s="16" t="s">
        <v>10196</v>
      </c>
      <c r="E23750" s="2">
        <v>1265387</v>
      </c>
      <c r="F23750" s="4" t="str">
        <f>IF(B23750=B23749,"",B23750)</f>
        <v>Kuzhithurai</v>
      </c>
    </row>
    <row r="23751" spans="1:6" ht="15.75" customHeight="1">
      <c r="A23751" s="16" t="s">
        <v>22646</v>
      </c>
      <c r="B23751" s="15" t="s">
        <v>22647</v>
      </c>
      <c r="C23751" s="16" t="s">
        <v>22070</v>
      </c>
      <c r="D23751" s="16" t="s">
        <v>22127</v>
      </c>
      <c r="E23751" s="2">
        <v>537832</v>
      </c>
      <c r="F23751" s="4" t="str">
        <f>IF(B23751=B23750,"",B23751)</f>
        <v>Kuzâ€™minki</v>
      </c>
    </row>
    <row r="23752" spans="1:6" ht="15.75" customHeight="1">
      <c r="A23752" s="16" t="str">
        <f ca="1">IFERROR(__xludf.DUMMYFUNCTION("GOOGLETRANSLATE(B40379,""en"",""pt"")"),"Kuz'Minki")</f>
        <v>Kuz'Minki</v>
      </c>
      <c r="B23752" s="20" t="s">
        <v>35496</v>
      </c>
      <c r="C23752" s="20" t="s">
        <v>22070</v>
      </c>
      <c r="D23752" s="20" t="s">
        <v>22127</v>
      </c>
      <c r="E23752" s="10">
        <v>537832</v>
      </c>
      <c r="F23752" s="4" t="e">
        <f>IF(B23752=#REF!,"",B23752)</f>
        <v>#REF!</v>
      </c>
    </row>
    <row r="23753" spans="1:6" ht="15.75" customHeight="1">
      <c r="A23753" s="16" t="s">
        <v>22645</v>
      </c>
      <c r="B23753" s="15" t="s">
        <v>22645</v>
      </c>
      <c r="C23753" s="16" t="s">
        <v>22070</v>
      </c>
      <c r="D23753" s="16" t="s">
        <v>22092</v>
      </c>
      <c r="E23753" s="2">
        <v>1501141</v>
      </c>
      <c r="F23753" s="4" t="e">
        <f>IF(B23753=#REF!,"",B23753)</f>
        <v>#REF!</v>
      </c>
    </row>
    <row r="23754" spans="1:6" ht="15.75" customHeight="1">
      <c r="A23754" s="16" t="s">
        <v>16918</v>
      </c>
      <c r="B23754" s="15" t="s">
        <v>16919</v>
      </c>
      <c r="C23754" s="16" t="s">
        <v>16884</v>
      </c>
      <c r="D23754" s="16" t="s">
        <v>16887</v>
      </c>
      <c r="E23754" s="2">
        <v>285787</v>
      </c>
      <c r="F23754" s="4" t="e">
        <f>IF(B23754=#REF!,"",B23754)</f>
        <v>#REF!</v>
      </c>
    </row>
    <row r="23755" spans="1:6" ht="15.75" customHeight="1">
      <c r="A23755" s="15" t="s">
        <v>22644</v>
      </c>
      <c r="B23755" s="15" t="s">
        <v>22644</v>
      </c>
      <c r="C23755" s="15" t="s">
        <v>22070</v>
      </c>
      <c r="D23755" s="15" t="s">
        <v>22075</v>
      </c>
      <c r="E23755" s="2">
        <v>538138</v>
      </c>
      <c r="F23755" s="4" t="e">
        <f>IF(B23755=#REF!,"",B23755)</f>
        <v>#REF!</v>
      </c>
    </row>
    <row r="23756" spans="1:6" ht="15.75" customHeight="1">
      <c r="A23756" s="15" t="s">
        <v>7000</v>
      </c>
      <c r="B23756" s="15" t="s">
        <v>7000</v>
      </c>
      <c r="C23756" s="15" t="s">
        <v>6948</v>
      </c>
      <c r="D23756" s="15" t="s">
        <v>6959</v>
      </c>
      <c r="E23756" s="2">
        <v>649924</v>
      </c>
      <c r="F23756" s="4" t="e">
        <f>IF(B23756=#REF!,"",B23756)</f>
        <v>#REF!</v>
      </c>
    </row>
    <row r="23757" spans="1:6" ht="15.75" customHeight="1">
      <c r="A23757" s="16" t="s">
        <v>12111</v>
      </c>
      <c r="B23757" s="15" t="s">
        <v>12111</v>
      </c>
      <c r="C23757" s="16" t="s">
        <v>10178</v>
      </c>
      <c r="D23757" s="16" t="s">
        <v>10246</v>
      </c>
      <c r="E23757" s="2">
        <v>1265401</v>
      </c>
      <c r="F23757" s="4" t="e">
        <f>IF(B23757=#REF!,"",B23757)</f>
        <v>#REF!</v>
      </c>
    </row>
    <row r="23758" spans="1:6" ht="15.75" customHeight="1">
      <c r="A23758" s="15" t="s">
        <v>13997</v>
      </c>
      <c r="B23758" s="15" t="s">
        <v>13997</v>
      </c>
      <c r="C23758" s="15" t="s">
        <v>13800</v>
      </c>
      <c r="D23758" s="15" t="s">
        <v>13803</v>
      </c>
      <c r="E23758" s="2">
        <v>1638981</v>
      </c>
      <c r="F23758" s="4" t="e">
        <f>IF(B23758=#REF!,"",B23758)</f>
        <v>#REF!</v>
      </c>
    </row>
    <row r="23759" spans="1:6" ht="15.75" customHeight="1">
      <c r="A23759" s="15" t="s">
        <v>21317</v>
      </c>
      <c r="B23759" s="15" t="s">
        <v>21317</v>
      </c>
      <c r="C23759" s="15" t="s">
        <v>21064</v>
      </c>
      <c r="D23759" s="15" t="s">
        <v>21080</v>
      </c>
      <c r="E23759" s="2">
        <v>3094170</v>
      </c>
      <c r="F23759" s="4" t="str">
        <f>IF(B23759=B23758,"",B23759)</f>
        <v>Kutno</v>
      </c>
    </row>
    <row r="23760" spans="1:6" ht="15.75" customHeight="1">
      <c r="A23760" s="16" t="s">
        <v>6046</v>
      </c>
      <c r="B23760" s="15" t="s">
        <v>6047</v>
      </c>
      <c r="C23760" s="16" t="s">
        <v>5947</v>
      </c>
      <c r="D23760" s="16" t="s">
        <v>5985</v>
      </c>
      <c r="E23760" s="2">
        <v>3072463</v>
      </c>
      <c r="F23760" s="4" t="str">
        <f>IF(B23760=B23759,"",B23760)</f>
        <v>KutnÃ¡ Hora</v>
      </c>
    </row>
    <row r="23761" spans="1:6" ht="15.75" customHeight="1">
      <c r="A23761" s="16" t="str">
        <f ca="1">IFERROR(__xludf.DUMMYFUNCTION("GOOGLETRANSLATE(B27298,""en"",""pt"")"),"Kutná Hora")</f>
        <v>Kutná Hora</v>
      </c>
      <c r="B23761" s="20" t="s">
        <v>31979</v>
      </c>
      <c r="C23761" s="20" t="s">
        <v>5947</v>
      </c>
      <c r="D23761" s="20" t="s">
        <v>5985</v>
      </c>
      <c r="E23761" s="10">
        <v>3072463</v>
      </c>
      <c r="F23761" s="4" t="e">
        <f>IF(B23761=#REF!,"",B23761)</f>
        <v>#REF!</v>
      </c>
    </row>
    <row r="23762" spans="1:6" ht="15.75" customHeight="1">
      <c r="A23762" s="16" t="s">
        <v>23924</v>
      </c>
      <c r="B23762" s="15" t="s">
        <v>23924</v>
      </c>
      <c r="C23762" s="16" t="s">
        <v>23842</v>
      </c>
      <c r="D23762" s="16" t="s">
        <v>23845</v>
      </c>
      <c r="E23762" s="2">
        <v>986083</v>
      </c>
      <c r="F23762" s="4" t="str">
        <f>IF(B23762=B23761,"",B23762)</f>
        <v>Kutloanong</v>
      </c>
    </row>
    <row r="23763" spans="1:6" ht="15.75" customHeight="1">
      <c r="A23763" s="16" t="str">
        <f ca="1">IFERROR(__xludf.DUMMYFUNCTION("GOOGLETRANSLATE(B32949,""en"",""pt"")"),"Kutiyāna")</f>
        <v>Kutiyāna</v>
      </c>
      <c r="B23763" s="20" t="s">
        <v>33470</v>
      </c>
      <c r="C23763" s="20" t="s">
        <v>10178</v>
      </c>
      <c r="D23763" s="20" t="s">
        <v>10209</v>
      </c>
      <c r="E23763" s="10">
        <v>1265415</v>
      </c>
      <c r="F23763" s="4" t="str">
        <f>IF(B23763=B23762,"",B23763)</f>
        <v>Kutiyāna</v>
      </c>
    </row>
    <row r="23764" spans="1:6" ht="15.75" customHeight="1">
      <c r="A23764" s="15" t="s">
        <v>12109</v>
      </c>
      <c r="B23764" s="15" t="s">
        <v>12110</v>
      </c>
      <c r="C23764" s="15" t="s">
        <v>10178</v>
      </c>
      <c r="D23764" s="15" t="s">
        <v>10209</v>
      </c>
      <c r="E23764" s="2">
        <v>1265415</v>
      </c>
      <c r="F23764" s="4" t="e">
        <f>IF(B23764=#REF!,"",B23764)</f>
        <v>#REF!</v>
      </c>
    </row>
    <row r="23765" spans="1:6" ht="15.75" customHeight="1">
      <c r="A23765" s="15" t="s">
        <v>12108</v>
      </c>
      <c r="B23765" s="15" t="s">
        <v>12108</v>
      </c>
      <c r="C23765" s="15" t="s">
        <v>10178</v>
      </c>
      <c r="D23765" s="15" t="s">
        <v>10246</v>
      </c>
      <c r="E23765" s="2">
        <v>1265418</v>
      </c>
      <c r="F23765" s="4" t="e">
        <f>IF(B23765=#REF!,"",B23765)</f>
        <v>#REF!</v>
      </c>
    </row>
    <row r="23766" spans="1:6" ht="15.75" customHeight="1">
      <c r="A23766" s="15" t="s">
        <v>7996</v>
      </c>
      <c r="B23766" s="15" t="s">
        <v>7996</v>
      </c>
      <c r="C23766" s="15" t="s">
        <v>7988</v>
      </c>
      <c r="D23766" s="15" t="s">
        <v>7997</v>
      </c>
      <c r="E23766" s="2">
        <v>613607</v>
      </c>
      <c r="F23766" s="4" t="str">
        <f>IF(B23766=B23765,"",B23766)</f>
        <v>Kutaisi</v>
      </c>
    </row>
    <row r="23767" spans="1:6" ht="15.75" customHeight="1">
      <c r="A23767" s="16" t="str">
        <f ca="1">IFERROR(__xludf.DUMMYFUNCTION("GOOGLETRANSLATE(B41946,""en"",""pt"")"),"Kütahya")</f>
        <v>Kütahya</v>
      </c>
      <c r="B23767" s="20" t="s">
        <v>26567</v>
      </c>
      <c r="C23767" s="20" t="s">
        <v>26201</v>
      </c>
      <c r="D23767" s="20" t="s">
        <v>26567</v>
      </c>
      <c r="E23767" s="10">
        <v>305268</v>
      </c>
      <c r="F23767" s="4" t="e">
        <f>IF(B23767=#REF!,"",B23767)</f>
        <v>#REF!</v>
      </c>
    </row>
    <row r="23768" spans="1:6" ht="15.75" customHeight="1">
      <c r="A23768" s="15" t="s">
        <v>13996</v>
      </c>
      <c r="B23768" s="15" t="s">
        <v>13996</v>
      </c>
      <c r="C23768" s="15" t="s">
        <v>13800</v>
      </c>
      <c r="D23768" s="15" t="s">
        <v>3894</v>
      </c>
      <c r="E23768" s="2">
        <v>1639002</v>
      </c>
      <c r="F23768" s="4" t="e">
        <f>IF(B23768=#REF!,"",B23768)</f>
        <v>#REF!</v>
      </c>
    </row>
    <row r="23769" spans="1:6" ht="15.75" customHeight="1">
      <c r="A23769" s="16" t="s">
        <v>25913</v>
      </c>
      <c r="B23769" s="15" t="s">
        <v>25914</v>
      </c>
      <c r="C23769" s="16" t="s">
        <v>25771</v>
      </c>
      <c r="D23769" s="16" t="s">
        <v>25786</v>
      </c>
      <c r="E23769" s="2">
        <v>1609324</v>
      </c>
      <c r="F23769" s="4" t="str">
        <f>IF(B23769=B23768,"",B23769)</f>
        <v>Kut Chap</v>
      </c>
    </row>
    <row r="23770" spans="1:6" ht="15.75" customHeight="1">
      <c r="A23770" s="16" t="str">
        <f ca="1">IFERROR(__xludf.DUMMYFUNCTION("GOOGLETRANSLATE(B36004,""en"",""pt"")"),"Kusŏng")</f>
        <v>Kusŏng</v>
      </c>
      <c r="B23770" s="20" t="s">
        <v>34442</v>
      </c>
      <c r="C23770" s="20" t="s">
        <v>19589</v>
      </c>
      <c r="D23770" s="20" t="s">
        <v>34443</v>
      </c>
      <c r="E23770" s="10">
        <v>1875107</v>
      </c>
      <c r="F23770" s="4" t="e">
        <f>IF(B23770=#REF!,"",B23770)</f>
        <v>#REF!</v>
      </c>
    </row>
    <row r="23771" spans="1:6" ht="15.75" customHeight="1">
      <c r="A23771" s="15" t="s">
        <v>22643</v>
      </c>
      <c r="B23771" s="15" t="s">
        <v>22643</v>
      </c>
      <c r="C23771" s="15" t="s">
        <v>22070</v>
      </c>
      <c r="D23771" s="15" t="s">
        <v>22119</v>
      </c>
      <c r="E23771" s="2">
        <v>538321</v>
      </c>
      <c r="F23771" s="4" t="e">
        <f>IF(B23771=#REF!,"",B23771)</f>
        <v>#REF!</v>
      </c>
    </row>
    <row r="23772" spans="1:6" ht="15.75" customHeight="1">
      <c r="A23772" s="15" t="s">
        <v>22642</v>
      </c>
      <c r="B23772" s="15" t="s">
        <v>22642</v>
      </c>
      <c r="C23772" s="15" t="s">
        <v>22070</v>
      </c>
      <c r="D23772" s="15" t="s">
        <v>22106</v>
      </c>
      <c r="E23772" s="2">
        <v>538340</v>
      </c>
      <c r="F23772" s="4" t="e">
        <f>IF(B23772=#REF!,"",B23772)</f>
        <v>#REF!</v>
      </c>
    </row>
    <row r="23773" spans="1:6" ht="15.75" customHeight="1">
      <c r="A23773" s="15" t="s">
        <v>1364</v>
      </c>
      <c r="B23773" s="15" t="s">
        <v>1364</v>
      </c>
      <c r="C23773" s="15" t="s">
        <v>1296</v>
      </c>
      <c r="D23773" s="15" t="s">
        <v>1315</v>
      </c>
      <c r="E23773" s="2">
        <v>1185191</v>
      </c>
      <c r="F23773" s="4" t="e">
        <f>IF(B23773=#REF!,"",B23773)</f>
        <v>#REF!</v>
      </c>
    </row>
    <row r="23774" spans="1:6" ht="15.75" customHeight="1">
      <c r="A23774" s="15" t="s">
        <v>12107</v>
      </c>
      <c r="B23774" s="15" t="s">
        <v>12107</v>
      </c>
      <c r="C23774" s="15" t="s">
        <v>10178</v>
      </c>
      <c r="D23774" s="15" t="s">
        <v>10252</v>
      </c>
      <c r="E23774" s="2">
        <v>1265446</v>
      </c>
      <c r="F23774" s="4" t="e">
        <f>IF(B23774=#REF!,"",B23774)</f>
        <v>#REF!</v>
      </c>
    </row>
    <row r="23775" spans="1:6" ht="15.75" customHeight="1">
      <c r="A23775" s="15" t="s">
        <v>73</v>
      </c>
      <c r="B23775" s="15" t="s">
        <v>73</v>
      </c>
      <c r="C23775" s="15" t="s">
        <v>8</v>
      </c>
      <c r="D23775" s="15" t="s">
        <v>51</v>
      </c>
      <c r="E23775" s="2">
        <v>1135158</v>
      </c>
      <c r="F23775" s="4" t="e">
        <f>IF(B23775=#REF!,"",B23775)</f>
        <v>#REF!</v>
      </c>
    </row>
    <row r="23776" spans="1:6" ht="15.75" customHeight="1">
      <c r="A23776" s="15" t="s">
        <v>16184</v>
      </c>
      <c r="B23776" s="15" t="s">
        <v>16184</v>
      </c>
      <c r="C23776" s="15" t="s">
        <v>15704</v>
      </c>
      <c r="D23776" s="15" t="s">
        <v>15705</v>
      </c>
      <c r="E23776" s="2">
        <v>2129376</v>
      </c>
      <c r="F23776" s="4" t="e">
        <f>IF(B23776=#REF!,"",B23776)</f>
        <v>#REF!</v>
      </c>
    </row>
    <row r="23777" spans="1:6" ht="15.75" customHeight="1">
      <c r="A23777" s="15" t="s">
        <v>16183</v>
      </c>
      <c r="B23777" s="15" t="s">
        <v>16183</v>
      </c>
      <c r="C23777" s="15" t="s">
        <v>15704</v>
      </c>
      <c r="D23777" s="15" t="s">
        <v>16148</v>
      </c>
      <c r="E23777" s="2">
        <v>1895695</v>
      </c>
      <c r="F23777" s="4" t="e">
        <f>IF(B23777=#REF!,"",B23777)</f>
        <v>#REF!</v>
      </c>
    </row>
    <row r="23778" spans="1:6" ht="15.75" customHeight="1">
      <c r="A23778" s="15" t="s">
        <v>16182</v>
      </c>
      <c r="B23778" s="15" t="s">
        <v>16182</v>
      </c>
      <c r="C23778" s="15" t="s">
        <v>15704</v>
      </c>
      <c r="D23778" s="15" t="s">
        <v>15719</v>
      </c>
      <c r="E23778" s="2">
        <v>1858041</v>
      </c>
      <c r="F23778" s="4" t="str">
        <f>IF(B23778=B23777,"",B23778)</f>
        <v>Kushikino</v>
      </c>
    </row>
    <row r="23779" spans="1:6" ht="15.75" customHeight="1">
      <c r="A23779" s="16" t="str">
        <f ca="1">IFERROR(__xludf.DUMMYFUNCTION("GOOGLETRANSLATE(B40383,""en"",""pt"")"),"Kushchëvskaya")</f>
        <v>Kushchëvskaya</v>
      </c>
      <c r="B23779" s="20" t="s">
        <v>35497</v>
      </c>
      <c r="C23779" s="20" t="s">
        <v>22070</v>
      </c>
      <c r="D23779" s="20" t="s">
        <v>22077</v>
      </c>
      <c r="E23779" s="10">
        <v>538416</v>
      </c>
      <c r="F23779" s="4" t="str">
        <f>IF(B23779=B23778,"",B23779)</f>
        <v>Kushchëvskaya</v>
      </c>
    </row>
    <row r="23780" spans="1:6" ht="15.75" customHeight="1">
      <c r="A23780" s="16" t="s">
        <v>22640</v>
      </c>
      <c r="B23780" s="15" t="s">
        <v>22641</v>
      </c>
      <c r="C23780" s="16" t="s">
        <v>22070</v>
      </c>
      <c r="D23780" s="16" t="s">
        <v>22077</v>
      </c>
      <c r="E23780" s="2">
        <v>538416</v>
      </c>
      <c r="F23780" s="4" t="e">
        <f>IF(B23780=#REF!,"",B23780)</f>
        <v>#REF!</v>
      </c>
    </row>
    <row r="23781" spans="1:6" ht="15.75" customHeight="1">
      <c r="A23781" s="15" t="s">
        <v>16181</v>
      </c>
      <c r="B23781" s="15" t="s">
        <v>16181</v>
      </c>
      <c r="C23781" s="15" t="s">
        <v>15704</v>
      </c>
      <c r="D23781" s="15" t="s">
        <v>15779</v>
      </c>
      <c r="E23781" s="2">
        <v>1858067</v>
      </c>
      <c r="F23781" s="4" t="str">
        <f>IF(B23781=B23780,"",B23781)</f>
        <v>Kusatsu</v>
      </c>
    </row>
    <row r="23782" spans="1:6" ht="15.75" customHeight="1">
      <c r="A23782" s="16" t="str">
        <f ca="1">IFERROR(__xludf.DUMMYFUNCTION("GOOGLETRANSLATE(B41947,""en"",""pt"")"),"Kuşadası")</f>
        <v>Kuşadası</v>
      </c>
      <c r="B23782" s="20" t="s">
        <v>35853</v>
      </c>
      <c r="C23782" s="20" t="s">
        <v>26201</v>
      </c>
      <c r="D23782" s="20" t="s">
        <v>35816</v>
      </c>
      <c r="E23782" s="10">
        <v>305359</v>
      </c>
      <c r="F23782" s="4" t="str">
        <f>IF(B23782=B23781,"",B23782)</f>
        <v>Kuşadası</v>
      </c>
    </row>
    <row r="23783" spans="1:6" ht="15.75" customHeight="1">
      <c r="A23783" s="15" t="s">
        <v>19647</v>
      </c>
      <c r="B23783" s="15" t="s">
        <v>19648</v>
      </c>
      <c r="C23783" s="15" t="s">
        <v>19589</v>
      </c>
      <c r="D23783" s="15" t="s">
        <v>19590</v>
      </c>
      <c r="E23783" s="2">
        <v>1875107</v>
      </c>
      <c r="F23783" s="4" t="e">
        <f>IF(B23783=#REF!,"",B23783)</f>
        <v>#REF!</v>
      </c>
    </row>
    <row r="23784" spans="1:6" ht="15.75" customHeight="1">
      <c r="A23784" s="15" t="s">
        <v>22639</v>
      </c>
      <c r="B23784" s="15" t="s">
        <v>22639</v>
      </c>
      <c r="C23784" s="15" t="s">
        <v>22070</v>
      </c>
      <c r="D23784" s="15" t="s">
        <v>22166</v>
      </c>
      <c r="E23784" s="2">
        <v>538442</v>
      </c>
      <c r="F23784" s="4" t="e">
        <f>IF(B23784=#REF!,"",B23784)</f>
        <v>#REF!</v>
      </c>
    </row>
    <row r="23785" spans="1:6" ht="15.75" customHeight="1">
      <c r="A23785" s="15" t="s">
        <v>24109</v>
      </c>
      <c r="B23785" s="15" t="s">
        <v>24109</v>
      </c>
      <c r="C23785" s="15" t="s">
        <v>24024</v>
      </c>
      <c r="D23785" s="15" t="s">
        <v>24035</v>
      </c>
      <c r="E23785" s="2">
        <v>1841976</v>
      </c>
      <c r="F23785" s="4" t="e">
        <f>IF(B23785=#REF!,"",B23785)</f>
        <v>#REF!</v>
      </c>
    </row>
    <row r="23786" spans="1:6" ht="15.75" customHeight="1">
      <c r="A23786" s="16" t="s">
        <v>24960</v>
      </c>
      <c r="B23786" s="15" t="s">
        <v>24960</v>
      </c>
      <c r="C23786" s="16" t="s">
        <v>24924</v>
      </c>
      <c r="D23786" s="16" t="s">
        <v>24935</v>
      </c>
      <c r="E23786" s="2">
        <v>1237980</v>
      </c>
      <c r="F23786" s="4" t="e">
        <f>IF(B23786=#REF!,"",B23786)</f>
        <v>#REF!</v>
      </c>
    </row>
    <row r="23787" spans="1:6" ht="15.75" customHeight="1">
      <c r="A23787" s="15" t="s">
        <v>16180</v>
      </c>
      <c r="B23787" s="15" t="s">
        <v>16180</v>
      </c>
      <c r="C23787" s="15" t="s">
        <v>15704</v>
      </c>
      <c r="D23787" s="15" t="s">
        <v>15722</v>
      </c>
      <c r="E23787" s="2">
        <v>1858088</v>
      </c>
      <c r="F23787" s="4" t="str">
        <f>IF(B23787=B23786,"",B23787)</f>
        <v>Kurume</v>
      </c>
    </row>
    <row r="23788" spans="1:6" ht="15.75" customHeight="1">
      <c r="A23788" s="16" t="str">
        <f ca="1">IFERROR(__xludf.DUMMYFUNCTION("GOOGLETRANSLATE(B27855,""en"",""pt"")"),"Kürten")</f>
        <v>Kürten</v>
      </c>
      <c r="B23788" s="20" t="s">
        <v>32073</v>
      </c>
      <c r="C23788" s="20" t="s">
        <v>8028</v>
      </c>
      <c r="D23788" s="20" t="s">
        <v>8029</v>
      </c>
      <c r="E23788" s="10">
        <v>2882318</v>
      </c>
      <c r="F23788" s="4" t="e">
        <f>IF(B23788=#REF!,"",B23788)</f>
        <v>#REF!</v>
      </c>
    </row>
    <row r="23789" spans="1:6" ht="15.75" customHeight="1">
      <c r="A23789" s="16" t="s">
        <v>22638</v>
      </c>
      <c r="B23789" s="15" t="s">
        <v>22638</v>
      </c>
      <c r="C23789" s="16" t="s">
        <v>22070</v>
      </c>
      <c r="D23789" s="16" t="s">
        <v>22493</v>
      </c>
      <c r="E23789" s="2">
        <v>1501255</v>
      </c>
      <c r="F23789" s="4" t="e">
        <f>IF(B23789=#REF!,"",B23789)</f>
        <v>#REF!</v>
      </c>
    </row>
    <row r="23790" spans="1:6" ht="15.75" customHeight="1">
      <c r="A23790" s="15" t="s">
        <v>26615</v>
      </c>
      <c r="B23790" s="15" t="s">
        <v>26615</v>
      </c>
      <c r="C23790" s="15" t="s">
        <v>26201</v>
      </c>
      <c r="D23790" s="15" t="s">
        <v>26616</v>
      </c>
      <c r="E23790" s="2">
        <v>305532</v>
      </c>
      <c r="F23790" s="4" t="e">
        <f>IF(B23790=#REF!,"",B23790)</f>
        <v>#REF!</v>
      </c>
    </row>
    <row r="23791" spans="1:6" ht="15.75" customHeight="1">
      <c r="A23791" s="15" t="s">
        <v>22634</v>
      </c>
      <c r="B23791" s="15" t="s">
        <v>22634</v>
      </c>
      <c r="C23791" s="15" t="s">
        <v>22070</v>
      </c>
      <c r="D23791" s="15" t="s">
        <v>22634</v>
      </c>
      <c r="E23791" s="2">
        <v>538560</v>
      </c>
      <c r="F23791" s="4" t="e">
        <f>IF(B23791=#REF!,"",B23791)</f>
        <v>#REF!</v>
      </c>
    </row>
    <row r="23792" spans="1:6" ht="15.75" customHeight="1">
      <c r="A23792" s="16" t="s">
        <v>22637</v>
      </c>
      <c r="B23792" s="15" t="s">
        <v>22637</v>
      </c>
      <c r="C23792" s="16" t="s">
        <v>22070</v>
      </c>
      <c r="D23792" s="16" t="s">
        <v>22119</v>
      </c>
      <c r="E23792" s="2">
        <v>538601</v>
      </c>
      <c r="F23792" s="4" t="e">
        <f>IF(B23792=#REF!,"",B23792)</f>
        <v>#REF!</v>
      </c>
    </row>
    <row r="23793" spans="1:6" ht="15.75" customHeight="1">
      <c r="A23793" s="15" t="s">
        <v>22636</v>
      </c>
      <c r="B23793" s="15" t="s">
        <v>22636</v>
      </c>
      <c r="C23793" s="15" t="s">
        <v>22070</v>
      </c>
      <c r="D23793" s="15" t="s">
        <v>22094</v>
      </c>
      <c r="E23793" s="2">
        <v>8436165</v>
      </c>
      <c r="F23793" s="4" t="e">
        <f>IF(B23793=#REF!,"",B23793)</f>
        <v>#REF!</v>
      </c>
    </row>
    <row r="23794" spans="1:6" ht="15.75" customHeight="1">
      <c r="A23794" s="15" t="s">
        <v>16179</v>
      </c>
      <c r="B23794" s="15" t="s">
        <v>16179</v>
      </c>
      <c r="C23794" s="15" t="s">
        <v>15704</v>
      </c>
      <c r="D23794" s="15" t="s">
        <v>15799</v>
      </c>
      <c r="E23794" s="2">
        <v>2112077</v>
      </c>
      <c r="F23794" s="4" t="e">
        <f>IF(B23794=#REF!,"",B23794)</f>
        <v>#REF!</v>
      </c>
    </row>
    <row r="23795" spans="1:6" ht="15.75" customHeight="1">
      <c r="A23795" s="15" t="s">
        <v>16178</v>
      </c>
      <c r="B23795" s="15" t="s">
        <v>16178</v>
      </c>
      <c r="C23795" s="15" t="s">
        <v>15704</v>
      </c>
      <c r="D23795" s="15" t="s">
        <v>15815</v>
      </c>
      <c r="E23795" s="2">
        <v>2129395</v>
      </c>
      <c r="F23795" s="4" t="e">
        <f>IF(B23795=#REF!,"",B23795)</f>
        <v>#REF!</v>
      </c>
    </row>
    <row r="23796" spans="1:6" ht="15.75" customHeight="1">
      <c r="A23796" s="15" t="s">
        <v>16177</v>
      </c>
      <c r="B23796" s="15" t="s">
        <v>16177</v>
      </c>
      <c r="C23796" s="15" t="s">
        <v>15704</v>
      </c>
      <c r="D23796" s="15" t="s">
        <v>15729</v>
      </c>
      <c r="E23796" s="2">
        <v>1858249</v>
      </c>
      <c r="F23796" s="4" t="str">
        <f>IF(B23796=B23795,"",B23796)</f>
        <v>Kuroda</v>
      </c>
    </row>
    <row r="23797" spans="1:6" ht="15.75" customHeight="1">
      <c r="A23797" s="16" t="str">
        <f ca="1">IFERROR(__xludf.DUMMYFUNCTION("GOOGLETRANSLATE(B32952,""en"",""pt"")"),"Kurinjippādi")</f>
        <v>Kurinjippādi</v>
      </c>
      <c r="B23797" s="20" t="s">
        <v>33471</v>
      </c>
      <c r="C23797" s="20" t="s">
        <v>10178</v>
      </c>
      <c r="D23797" s="20" t="s">
        <v>10196</v>
      </c>
      <c r="E23797" s="10">
        <v>1265504</v>
      </c>
      <c r="F23797" s="4" t="str">
        <f>IF(B23797=B23796,"",B23797)</f>
        <v>Kurinjippādi</v>
      </c>
    </row>
    <row r="23798" spans="1:6" ht="15.75" customHeight="1">
      <c r="A23798" s="16" t="s">
        <v>12105</v>
      </c>
      <c r="B23798" s="15" t="s">
        <v>12106</v>
      </c>
      <c r="C23798" s="16" t="s">
        <v>10178</v>
      </c>
      <c r="D23798" s="16" t="s">
        <v>10196</v>
      </c>
      <c r="E23798" s="2">
        <v>1265504</v>
      </c>
      <c r="F23798" s="4" t="e">
        <f>IF(B23798=#REF!,"",B23798)</f>
        <v>#REF!</v>
      </c>
    </row>
    <row r="23799" spans="1:6" ht="15.75" customHeight="1">
      <c r="A23799" s="15" t="s">
        <v>16176</v>
      </c>
      <c r="B23799" s="15" t="s">
        <v>16176</v>
      </c>
      <c r="C23799" s="15" t="s">
        <v>15704</v>
      </c>
      <c r="D23799" s="15" t="s">
        <v>15710</v>
      </c>
      <c r="E23799" s="2">
        <v>1858283</v>
      </c>
      <c r="F23799" s="4" t="e">
        <f>IF(B23799=#REF!,"",B23799)</f>
        <v>#REF!</v>
      </c>
    </row>
    <row r="23800" spans="1:6" ht="15.75" customHeight="1">
      <c r="A23800" s="16" t="s">
        <v>22635</v>
      </c>
      <c r="B23800" s="15" t="s">
        <v>22635</v>
      </c>
      <c r="C23800" s="16" t="s">
        <v>22070</v>
      </c>
      <c r="D23800" s="16" t="s">
        <v>22077</v>
      </c>
      <c r="E23800" s="2">
        <v>538836</v>
      </c>
      <c r="F23800" s="4" t="e">
        <f>IF(B23800=#REF!,"",B23800)</f>
        <v>#REF!</v>
      </c>
    </row>
    <row r="23801" spans="1:6" ht="15.75" customHeight="1">
      <c r="A23801" s="15" t="s">
        <v>22493</v>
      </c>
      <c r="B23801" s="15" t="s">
        <v>22493</v>
      </c>
      <c r="C23801" s="15" t="s">
        <v>22070</v>
      </c>
      <c r="D23801" s="15" t="s">
        <v>22493</v>
      </c>
      <c r="E23801" s="2">
        <v>1501321</v>
      </c>
      <c r="F23801" s="4" t="e">
        <f>IF(B23801=#REF!,"",B23801)</f>
        <v>#REF!</v>
      </c>
    </row>
    <row r="23802" spans="1:6" ht="15.75" customHeight="1">
      <c r="A23802" s="15" t="s">
        <v>16175</v>
      </c>
      <c r="B23802" s="15" t="s">
        <v>16175</v>
      </c>
      <c r="C23802" s="15" t="s">
        <v>15704</v>
      </c>
      <c r="D23802" s="15" t="s">
        <v>15789</v>
      </c>
      <c r="E23802" s="2">
        <v>1858296</v>
      </c>
      <c r="F23802" s="4" t="str">
        <f>IF(B23802=B23801,"",B23802)</f>
        <v>Kure</v>
      </c>
    </row>
    <row r="23803" spans="1:6" ht="15.75" customHeight="1">
      <c r="A23803" s="16" t="str">
        <f ca="1">IFERROR(__xludf.DUMMYFUNCTION("GOOGLETRANSLATE(B32953,""en"",""pt"")"),"Kurduvādi")</f>
        <v>Kurduvādi</v>
      </c>
      <c r="B23803" s="20" t="s">
        <v>33472</v>
      </c>
      <c r="C23803" s="20" t="s">
        <v>10178</v>
      </c>
      <c r="D23803" s="20" t="s">
        <v>10214</v>
      </c>
      <c r="E23803" s="10">
        <v>1265521</v>
      </c>
      <c r="F23803" s="4" t="str">
        <f>IF(B23803=B23802,"",B23803)</f>
        <v>Kurduvādi</v>
      </c>
    </row>
    <row r="23804" spans="1:6" ht="15.75" customHeight="1">
      <c r="A23804" s="16" t="s">
        <v>12103</v>
      </c>
      <c r="B23804" s="15" t="s">
        <v>12104</v>
      </c>
      <c r="C23804" s="16" t="s">
        <v>10178</v>
      </c>
      <c r="D23804" s="16" t="s">
        <v>10214</v>
      </c>
      <c r="E23804" s="2">
        <v>1265521</v>
      </c>
      <c r="F23804" s="4" t="e">
        <f>IF(B23804=#REF!,"",B23804)</f>
        <v>#REF!</v>
      </c>
    </row>
    <row r="23805" spans="1:6" ht="15.75" customHeight="1">
      <c r="A23805" s="16" t="s">
        <v>22633</v>
      </c>
      <c r="B23805" s="15" t="s">
        <v>22633</v>
      </c>
      <c r="C23805" s="16" t="s">
        <v>22070</v>
      </c>
      <c r="D23805" s="16" t="s">
        <v>22634</v>
      </c>
      <c r="E23805" s="2">
        <v>538908</v>
      </c>
      <c r="F23805" s="4" t="e">
        <f>IF(B23805=#REF!,"",B23805)</f>
        <v>#REF!</v>
      </c>
    </row>
    <row r="23806" spans="1:6" ht="15.75" customHeight="1">
      <c r="A23806" s="16" t="s">
        <v>22632</v>
      </c>
      <c r="B23806" s="15" t="s">
        <v>22632</v>
      </c>
      <c r="C23806" s="16" t="s">
        <v>22070</v>
      </c>
      <c r="D23806" s="16" t="s">
        <v>22081</v>
      </c>
      <c r="E23806" s="2">
        <v>538913</v>
      </c>
      <c r="F23806" s="4" t="e">
        <f>IF(B23806=#REF!,"",B23806)</f>
        <v>#REF!</v>
      </c>
    </row>
    <row r="23807" spans="1:6" ht="15.75" customHeight="1">
      <c r="A23807" s="16" t="s">
        <v>16652</v>
      </c>
      <c r="B23807" s="15" t="s">
        <v>16652</v>
      </c>
      <c r="C23807" s="16" t="s">
        <v>16624</v>
      </c>
      <c r="D23807" s="16" t="s">
        <v>16641</v>
      </c>
      <c r="E23807" s="2">
        <v>248414</v>
      </c>
      <c r="F23807" s="4" t="e">
        <f>IF(B23807=#REF!,"",B23807)</f>
        <v>#REF!</v>
      </c>
    </row>
    <row r="23808" spans="1:6" ht="15.75" customHeight="1">
      <c r="A23808" s="15" t="s">
        <v>16173</v>
      </c>
      <c r="B23808" s="15" t="s">
        <v>16173</v>
      </c>
      <c r="C23808" s="15" t="s">
        <v>15704</v>
      </c>
      <c r="D23808" s="15" t="s">
        <v>16174</v>
      </c>
      <c r="E23808" s="2">
        <v>1858301</v>
      </c>
      <c r="F23808" s="4" t="e">
        <f>IF(B23808=#REF!,"",B23808)</f>
        <v>#REF!</v>
      </c>
    </row>
    <row r="23809" spans="1:6" ht="15.75" customHeight="1">
      <c r="A23809" s="16" t="s">
        <v>25044</v>
      </c>
      <c r="B23809" s="15" t="s">
        <v>25044</v>
      </c>
      <c r="C23809" s="16" t="s">
        <v>24987</v>
      </c>
      <c r="D23809" s="16" t="s">
        <v>25045</v>
      </c>
      <c r="E23809" s="2">
        <v>371870</v>
      </c>
      <c r="F23809" s="4" t="e">
        <f>IF(B23809=#REF!,"",B23809)</f>
        <v>#REF!</v>
      </c>
    </row>
    <row r="23810" spans="1:6" ht="15.75" customHeight="1">
      <c r="A23810" s="15" t="s">
        <v>16172</v>
      </c>
      <c r="B23810" s="15" t="s">
        <v>16172</v>
      </c>
      <c r="C23810" s="15" t="s">
        <v>15704</v>
      </c>
      <c r="D23810" s="15" t="s">
        <v>15981</v>
      </c>
      <c r="E23810" s="2">
        <v>1858311</v>
      </c>
      <c r="F23810" s="4" t="str">
        <f>IF(B23810=B23809,"",B23810)</f>
        <v>Kurashiki</v>
      </c>
    </row>
    <row r="23811" spans="1:6" ht="15.75" customHeight="1">
      <c r="A23811" s="16" t="str">
        <f ca="1">IFERROR(__xludf.DUMMYFUNCTION("GOOGLETRANSLATE(B32954,""en"",""pt"")"),"Kurandvād")</f>
        <v>Kurandvād</v>
      </c>
      <c r="B23811" s="20" t="s">
        <v>33473</v>
      </c>
      <c r="C23811" s="20" t="s">
        <v>10178</v>
      </c>
      <c r="D23811" s="20" t="s">
        <v>10214</v>
      </c>
      <c r="E23811" s="10">
        <v>1265539</v>
      </c>
      <c r="F23811" s="4" t="str">
        <f>IF(B23811=B23810,"",B23811)</f>
        <v>Kurandvād</v>
      </c>
    </row>
    <row r="23812" spans="1:6" ht="15.75" customHeight="1">
      <c r="A23812" s="16" t="s">
        <v>12101</v>
      </c>
      <c r="B23812" s="15" t="s">
        <v>12102</v>
      </c>
      <c r="C23812" s="16" t="s">
        <v>10178</v>
      </c>
      <c r="D23812" s="16" t="s">
        <v>10214</v>
      </c>
      <c r="E23812" s="2">
        <v>1265539</v>
      </c>
      <c r="F23812" s="4" t="e">
        <f>IF(B23812=#REF!,"",B23812)</f>
        <v>#REF!</v>
      </c>
    </row>
    <row r="23813" spans="1:6" ht="15.75" customHeight="1">
      <c r="A23813" s="16" t="s">
        <v>27046</v>
      </c>
      <c r="B23813" s="15" t="s">
        <v>27046</v>
      </c>
      <c r="C23813" s="16" t="s">
        <v>26870</v>
      </c>
      <c r="D23813" s="16" t="s">
        <v>22345</v>
      </c>
      <c r="E23813" s="2">
        <v>703646</v>
      </c>
      <c r="F23813" s="4" t="str">
        <f>IF(B23813=B23812,"",B23813)</f>
        <v>Kurakhovo</v>
      </c>
    </row>
    <row r="23814" spans="1:6" ht="15.75" customHeight="1">
      <c r="A23814" s="16" t="s">
        <v>22630</v>
      </c>
      <c r="B23814" s="15" t="s">
        <v>22631</v>
      </c>
      <c r="C23814" s="16" t="s">
        <v>22070</v>
      </c>
      <c r="D23814" s="16" t="s">
        <v>22119</v>
      </c>
      <c r="E23814" s="2">
        <v>538472</v>
      </c>
      <c r="F23814" s="4" t="str">
        <f>IF(B23814=B23813,"",B23814)</f>
        <v>Kurâ€™yanovo</v>
      </c>
    </row>
    <row r="23815" spans="1:6" ht="15.75" customHeight="1">
      <c r="A23815" s="16" t="str">
        <f ca="1">IFERROR(__xludf.DUMMYFUNCTION("GOOGLETRANSLATE(B40385,""en"",""pt"")"),"Kur'yanovo")</f>
        <v>Kur'yanovo</v>
      </c>
      <c r="B23815" s="20" t="s">
        <v>35498</v>
      </c>
      <c r="C23815" s="20" t="s">
        <v>22070</v>
      </c>
      <c r="D23815" s="20" t="s">
        <v>22119</v>
      </c>
      <c r="E23815" s="10">
        <v>538472</v>
      </c>
      <c r="F23815" s="4" t="e">
        <f>IF(B23815=#REF!,"",B23815)</f>
        <v>#REF!</v>
      </c>
    </row>
    <row r="23816" spans="1:6" ht="15.75" customHeight="1">
      <c r="A23816" s="15" t="s">
        <v>12100</v>
      </c>
      <c r="B23816" s="15" t="s">
        <v>12100</v>
      </c>
      <c r="C23816" s="15" t="s">
        <v>10178</v>
      </c>
      <c r="D23816" s="15" t="s">
        <v>10190</v>
      </c>
      <c r="E23816" s="2">
        <v>1265555</v>
      </c>
      <c r="F23816" s="4" t="e">
        <f>IF(B23816=#REF!,"",B23816)</f>
        <v>#REF!</v>
      </c>
    </row>
    <row r="23817" spans="1:6" ht="15.75" customHeight="1">
      <c r="A23817" s="15" t="s">
        <v>27045</v>
      </c>
      <c r="B23817" s="15" t="s">
        <v>27045</v>
      </c>
      <c r="C23817" s="15" t="s">
        <v>26870</v>
      </c>
      <c r="D23817" s="15" t="s">
        <v>26893</v>
      </c>
      <c r="E23817" s="2">
        <v>703656</v>
      </c>
      <c r="F23817" s="4" t="e">
        <f>IF(B23817=#REF!,"",B23817)</f>
        <v>#REF!</v>
      </c>
    </row>
    <row r="23818" spans="1:6" ht="15.75" customHeight="1">
      <c r="A23818" s="15" t="s">
        <v>22629</v>
      </c>
      <c r="B23818" s="15" t="s">
        <v>22629</v>
      </c>
      <c r="C23818" s="15" t="s">
        <v>22070</v>
      </c>
      <c r="D23818" s="15" t="s">
        <v>22092</v>
      </c>
      <c r="E23818" s="2">
        <v>1501365</v>
      </c>
      <c r="F23818" s="4" t="e">
        <f>IF(B23818=#REF!,"",B23818)</f>
        <v>#REF!</v>
      </c>
    </row>
    <row r="23819" spans="1:6" ht="15.75" customHeight="1">
      <c r="A23819" s="15" t="s">
        <v>22628</v>
      </c>
      <c r="B23819" s="15" t="s">
        <v>22628</v>
      </c>
      <c r="C23819" s="15" t="s">
        <v>22070</v>
      </c>
      <c r="D23819" s="15" t="s">
        <v>22084</v>
      </c>
      <c r="E23819" s="2">
        <v>539061</v>
      </c>
      <c r="F23819" s="4" t="e">
        <f>IF(B23819=#REF!,"",B23819)</f>
        <v>#REF!</v>
      </c>
    </row>
    <row r="23820" spans="1:6" ht="15.75" customHeight="1">
      <c r="A23820" s="15" t="s">
        <v>13995</v>
      </c>
      <c r="B23820" s="15" t="s">
        <v>13995</v>
      </c>
      <c r="C23820" s="15" t="s">
        <v>13800</v>
      </c>
      <c r="D23820" s="15" t="s">
        <v>13814</v>
      </c>
      <c r="E23820" s="2">
        <v>2057087</v>
      </c>
      <c r="F23820" s="4" t="e">
        <f>IF(B23820=#REF!,"",B23820)</f>
        <v>#REF!</v>
      </c>
    </row>
    <row r="23821" spans="1:6" ht="15.75" customHeight="1">
      <c r="A23821" s="15" t="s">
        <v>6998</v>
      </c>
      <c r="B23821" s="15" t="s">
        <v>6999</v>
      </c>
      <c r="C23821" s="15" t="s">
        <v>6948</v>
      </c>
      <c r="D23821" s="15" t="s">
        <v>6967</v>
      </c>
      <c r="E23821" s="2">
        <v>650224</v>
      </c>
      <c r="F23821" s="4" t="str">
        <f>IF(B23821=B23820,"",B23821)</f>
        <v>Kuopio</v>
      </c>
    </row>
    <row r="23822" spans="1:6" ht="15.75" customHeight="1">
      <c r="A23822" s="16" t="str">
        <f ca="1">IFERROR(__xludf.DUMMYFUNCTION("GOOGLETRANSLATE(B27856,""en"",""pt"")"),"Künzelsau")</f>
        <v>Künzelsau</v>
      </c>
      <c r="B23822" s="20" t="s">
        <v>8650</v>
      </c>
      <c r="C23822" s="20" t="s">
        <v>8028</v>
      </c>
      <c r="D23822" s="20" t="s">
        <v>32013</v>
      </c>
      <c r="E23822" s="10">
        <v>2882439</v>
      </c>
      <c r="F23822" s="4" t="str">
        <f>IF(B23822=B23821,"",B23822)</f>
        <v>Künzelsau</v>
      </c>
    </row>
    <row r="23823" spans="1:6" ht="15.75" customHeight="1">
      <c r="A23823" s="16" t="str">
        <f ca="1">IFERROR(__xludf.DUMMYFUNCTION("GOOGLETRANSLATE(B27857,""en"",""pt"")"),"Künzell")</f>
        <v>Künzell</v>
      </c>
      <c r="B23823" s="20" t="s">
        <v>8648</v>
      </c>
      <c r="C23823" s="20" t="s">
        <v>8028</v>
      </c>
      <c r="D23823" s="20" t="s">
        <v>8050</v>
      </c>
      <c r="E23823" s="10">
        <v>2882440</v>
      </c>
      <c r="F23823" s="4" t="e">
        <f>IF(B23823=#REF!,"",B23823)</f>
        <v>#REF!</v>
      </c>
    </row>
    <row r="23824" spans="1:6" ht="15.75" customHeight="1">
      <c r="A23824" s="15" t="s">
        <v>4855</v>
      </c>
      <c r="B23824" s="15" t="s">
        <v>4855</v>
      </c>
      <c r="C23824" s="15" t="s">
        <v>4487</v>
      </c>
      <c r="D23824" s="15" t="s">
        <v>4631</v>
      </c>
      <c r="E23824" s="2">
        <v>1804645</v>
      </c>
      <c r="F23824" s="4" t="e">
        <f>IF(B23824=#REF!,"",B23824)</f>
        <v>#REF!</v>
      </c>
    </row>
    <row r="23825" spans="1:6" ht="15.75" customHeight="1">
      <c r="A23825" s="15" t="s">
        <v>24108</v>
      </c>
      <c r="B23825" s="15" t="s">
        <v>24108</v>
      </c>
      <c r="C23825" s="15" t="s">
        <v>24024</v>
      </c>
      <c r="D23825" s="15" t="s">
        <v>24025</v>
      </c>
      <c r="E23825" s="2">
        <v>1842016</v>
      </c>
      <c r="F23825" s="4" t="e">
        <f>IF(B23825=#REF!,"",B23825)</f>
        <v>#REF!</v>
      </c>
    </row>
    <row r="23826" spans="1:6" ht="15.75" customHeight="1">
      <c r="A23826" s="15" t="s">
        <v>4854</v>
      </c>
      <c r="B23826" s="15" t="s">
        <v>4854</v>
      </c>
      <c r="C23826" s="15" t="s">
        <v>4487</v>
      </c>
      <c r="D23826" s="15" t="s">
        <v>4535</v>
      </c>
      <c r="E23826" s="2">
        <v>1785623</v>
      </c>
      <c r="F23826" s="4" t="e">
        <f>IF(B23826=#REF!,"",B23826)</f>
        <v>#REF!</v>
      </c>
    </row>
    <row r="23827" spans="1:6" ht="15.75" customHeight="1">
      <c r="A23827" s="15" t="s">
        <v>24107</v>
      </c>
      <c r="B23827" s="15" t="s">
        <v>24107</v>
      </c>
      <c r="C23827" s="15" t="s">
        <v>24024</v>
      </c>
      <c r="D23827" s="15" t="s">
        <v>24042</v>
      </c>
      <c r="E23827" s="2">
        <v>1842025</v>
      </c>
      <c r="F23827" s="4" t="e">
        <f>IF(B23827=#REF!,"",B23827)</f>
        <v>#REF!</v>
      </c>
    </row>
    <row r="23828" spans="1:6" ht="15.75" customHeight="1">
      <c r="A23828" s="15" t="s">
        <v>20057</v>
      </c>
      <c r="B23828" s="15" t="s">
        <v>20057</v>
      </c>
      <c r="C23828" s="15" t="s">
        <v>19808</v>
      </c>
      <c r="D23828" s="15" t="s">
        <v>19823</v>
      </c>
      <c r="E23828" s="2">
        <v>1172657</v>
      </c>
      <c r="F23828" s="4" t="e">
        <f>IF(B23828=#REF!,"",B23828)</f>
        <v>#REF!</v>
      </c>
    </row>
    <row r="23829" spans="1:6" ht="15.75" customHeight="1">
      <c r="A23829" s="16" t="s">
        <v>12099</v>
      </c>
      <c r="B23829" s="15" t="s">
        <v>12099</v>
      </c>
      <c r="C23829" s="16" t="s">
        <v>10178</v>
      </c>
      <c r="D23829" s="16" t="s">
        <v>10246</v>
      </c>
      <c r="E23829" s="2">
        <v>1265579</v>
      </c>
      <c r="F23829" s="4" t="e">
        <f>IF(B23829=#REF!,"",B23829)</f>
        <v>#REF!</v>
      </c>
    </row>
    <row r="23830" spans="1:6" ht="15.75" customHeight="1">
      <c r="A23830" s="16" t="s">
        <v>12098</v>
      </c>
      <c r="B23830" s="15" t="s">
        <v>12098</v>
      </c>
      <c r="C23830" s="16" t="s">
        <v>10178</v>
      </c>
      <c r="D23830" s="16" t="s">
        <v>10246</v>
      </c>
      <c r="E23830" s="2">
        <v>1265580</v>
      </c>
      <c r="F23830" s="4" t="e">
        <f>IF(B23830=#REF!,"",B23830)</f>
        <v>#REF!</v>
      </c>
    </row>
    <row r="23831" spans="1:6" ht="15.75" customHeight="1">
      <c r="A23831" s="15" t="s">
        <v>4853</v>
      </c>
      <c r="B23831" s="15" t="s">
        <v>4853</v>
      </c>
      <c r="C23831" s="15" t="s">
        <v>4487</v>
      </c>
      <c r="D23831" s="15" t="s">
        <v>4607</v>
      </c>
      <c r="E23831" s="2">
        <v>1804651</v>
      </c>
      <c r="F23831" s="4" t="str">
        <f>IF(B23831=B23830,"",B23831)</f>
        <v>Kunming</v>
      </c>
    </row>
    <row r="23832" spans="1:6" ht="15.75" customHeight="1">
      <c r="A23832" s="16" t="str">
        <f ca="1">IFERROR(__xludf.DUMMYFUNCTION("GOOGLETRANSLATE(B39013,""en"",""pt"")"),"Kunjāh")</f>
        <v>Kunjāh</v>
      </c>
      <c r="B23832" s="20" t="s">
        <v>34970</v>
      </c>
      <c r="C23832" s="20" t="s">
        <v>19808</v>
      </c>
      <c r="D23832" s="20" t="s">
        <v>10184</v>
      </c>
      <c r="E23832" s="10">
        <v>1172663</v>
      </c>
      <c r="F23832" s="4" t="str">
        <f>IF(B23832=B23831,"",B23832)</f>
        <v>Kunjāh</v>
      </c>
    </row>
    <row r="23833" spans="1:6" ht="15.75" customHeight="1">
      <c r="A23833" s="15" t="s">
        <v>20055</v>
      </c>
      <c r="B23833" s="15" t="s">
        <v>20056</v>
      </c>
      <c r="C23833" s="15" t="s">
        <v>19808</v>
      </c>
      <c r="D23833" s="15" t="s">
        <v>10184</v>
      </c>
      <c r="E23833" s="2">
        <v>1172663</v>
      </c>
      <c r="F23833" s="4" t="e">
        <f>IF(B23833=#REF!,"",B23833)</f>
        <v>#REF!</v>
      </c>
    </row>
    <row r="23834" spans="1:6" ht="15.75" customHeight="1">
      <c r="A23834" s="15" t="s">
        <v>13994</v>
      </c>
      <c r="B23834" s="15" t="s">
        <v>13994</v>
      </c>
      <c r="C23834" s="15" t="s">
        <v>13800</v>
      </c>
      <c r="D23834" s="15" t="s">
        <v>13811</v>
      </c>
      <c r="E23834" s="2">
        <v>1639094</v>
      </c>
      <c r="F23834" s="4" t="e">
        <f>IF(B23834=#REF!,"",B23834)</f>
        <v>#REF!</v>
      </c>
    </row>
    <row r="23835" spans="1:6" ht="15.75" customHeight="1">
      <c r="A23835" s="15" t="s">
        <v>12097</v>
      </c>
      <c r="B23835" s="15" t="s">
        <v>12097</v>
      </c>
      <c r="C23835" s="15" t="s">
        <v>10178</v>
      </c>
      <c r="D23835" s="15" t="s">
        <v>10252</v>
      </c>
      <c r="E23835" s="2">
        <v>1265591</v>
      </c>
      <c r="F23835" s="4" t="e">
        <f>IF(B23835=#REF!,"",B23835)</f>
        <v>#REF!</v>
      </c>
    </row>
    <row r="23836" spans="1:6" ht="15.75" customHeight="1">
      <c r="A23836" s="15" t="s">
        <v>22627</v>
      </c>
      <c r="B23836" s="15" t="s">
        <v>22627</v>
      </c>
      <c r="C23836" s="15" t="s">
        <v>22070</v>
      </c>
      <c r="D23836" s="15" t="s">
        <v>22115</v>
      </c>
      <c r="E23836" s="2">
        <v>539147</v>
      </c>
      <c r="F23836" s="4" t="e">
        <f>IF(B23836=#REF!,"",B23836)</f>
        <v>#REF!</v>
      </c>
    </row>
    <row r="23837" spans="1:6" ht="15.75" customHeight="1">
      <c r="A23837" s="16" t="s">
        <v>25156</v>
      </c>
      <c r="B23837" s="15" t="s">
        <v>25156</v>
      </c>
      <c r="C23837" s="16" t="s">
        <v>25077</v>
      </c>
      <c r="D23837" s="16" t="s">
        <v>25119</v>
      </c>
      <c r="E23837" s="2">
        <v>2698729</v>
      </c>
      <c r="F23837" s="4" t="str">
        <f>IF(B23837=B23836,"",B23837)</f>
        <v>Kungsbacka</v>
      </c>
    </row>
    <row r="23838" spans="1:6" ht="15.75" customHeight="1">
      <c r="A23838" s="16" t="str">
        <f ca="1">IFERROR(__xludf.DUMMYFUNCTION("GOOGLETRANSLATE(B41172,""en"",""pt"")"),"Kungälv")</f>
        <v>Kungälv</v>
      </c>
      <c r="B23838" s="20" t="s">
        <v>35651</v>
      </c>
      <c r="C23838" s="20" t="s">
        <v>25077</v>
      </c>
      <c r="D23838" s="20" t="s">
        <v>35628</v>
      </c>
      <c r="E23838" s="10">
        <v>2698739</v>
      </c>
      <c r="F23838" s="4" t="str">
        <f>IF(B23838=B23837,"",B23838)</f>
        <v>Kungälv</v>
      </c>
    </row>
    <row r="23839" spans="1:6" ht="15.75" customHeight="1">
      <c r="A23839" s="15" t="s">
        <v>25154</v>
      </c>
      <c r="B23839" s="15" t="s">
        <v>25155</v>
      </c>
      <c r="C23839" s="15" t="s">
        <v>25077</v>
      </c>
      <c r="D23839" s="15" t="s">
        <v>25086</v>
      </c>
      <c r="E23839" s="2">
        <v>2698739</v>
      </c>
      <c r="F23839" s="4" t="e">
        <f>IF(B23839=#REF!,"",B23839)</f>
        <v>#REF!</v>
      </c>
    </row>
    <row r="23840" spans="1:6" ht="15.75" customHeight="1">
      <c r="A23840" s="15" t="s">
        <v>71</v>
      </c>
      <c r="B23840" s="15" t="s">
        <v>71</v>
      </c>
      <c r="C23840" s="15" t="s">
        <v>8</v>
      </c>
      <c r="D23840" s="15" t="s">
        <v>71</v>
      </c>
      <c r="E23840" s="2">
        <v>1135689</v>
      </c>
      <c r="F23840" s="4" t="e">
        <f>IF(B23840=#REF!,"",B23840)</f>
        <v>#REF!</v>
      </c>
    </row>
    <row r="23841" spans="1:6" ht="15.75" customHeight="1">
      <c r="A23841" s="15" t="s">
        <v>12096</v>
      </c>
      <c r="B23841" s="15" t="s">
        <v>12096</v>
      </c>
      <c r="C23841" s="15" t="s">
        <v>10178</v>
      </c>
      <c r="D23841" s="15" t="s">
        <v>10209</v>
      </c>
      <c r="E23841" s="2">
        <v>1265605</v>
      </c>
      <c r="F23841" s="4" t="str">
        <f>IF(B23841=B23840,"",B23841)</f>
        <v>Kundla</v>
      </c>
    </row>
    <row r="23842" spans="1:6" ht="15.75" customHeight="1">
      <c r="A23842" s="16" t="str">
        <f ca="1">IFERROR(__xludf.DUMMYFUNCTION("GOOGLETRANSLATE(B39014,""en"",""pt"")"),"Kundiān")</f>
        <v>Kundiān</v>
      </c>
      <c r="B23842" s="20" t="s">
        <v>34971</v>
      </c>
      <c r="C23842" s="20" t="s">
        <v>19808</v>
      </c>
      <c r="D23842" s="20" t="s">
        <v>10184</v>
      </c>
      <c r="E23842" s="10">
        <v>1172682</v>
      </c>
      <c r="F23842" s="4" t="str">
        <f>IF(B23842=B23841,"",B23842)</f>
        <v>Kundiān</v>
      </c>
    </row>
    <row r="23843" spans="1:6" ht="15.75" customHeight="1">
      <c r="A23843" s="15" t="s">
        <v>20053</v>
      </c>
      <c r="B23843" s="15" t="s">
        <v>20054</v>
      </c>
      <c r="C23843" s="15" t="s">
        <v>19808</v>
      </c>
      <c r="D23843" s="15" t="s">
        <v>10184</v>
      </c>
      <c r="E23843" s="2">
        <v>1172682</v>
      </c>
      <c r="F23843" s="4" t="e">
        <f>IF(B23843=#REF!,"",B23843)</f>
        <v>#REF!</v>
      </c>
    </row>
    <row r="23844" spans="1:6" ht="15.75" customHeight="1">
      <c r="A23844" s="15" t="s">
        <v>12095</v>
      </c>
      <c r="B23844" s="15" t="s">
        <v>12095</v>
      </c>
      <c r="C23844" s="15" t="s">
        <v>10178</v>
      </c>
      <c r="D23844" s="15" t="s">
        <v>10252</v>
      </c>
      <c r="E23844" s="2">
        <v>1265607</v>
      </c>
      <c r="F23844" s="4" t="e">
        <f>IF(B23844=#REF!,"",B23844)</f>
        <v>#REF!</v>
      </c>
    </row>
    <row r="23845" spans="1:6" ht="15.75" customHeight="1">
      <c r="A23845" s="16" t="s">
        <v>12094</v>
      </c>
      <c r="B23845" s="15" t="s">
        <v>12094</v>
      </c>
      <c r="C23845" s="16" t="s">
        <v>10178</v>
      </c>
      <c r="D23845" s="16" t="s">
        <v>10193</v>
      </c>
      <c r="E23845" s="2">
        <v>1265613</v>
      </c>
      <c r="F23845" s="4" t="e">
        <f>IF(B23845=#REF!,"",B23845)</f>
        <v>#REF!</v>
      </c>
    </row>
    <row r="23846" spans="1:6" ht="15.75" customHeight="1">
      <c r="A23846" s="15" t="s">
        <v>12093</v>
      </c>
      <c r="B23846" s="15" t="s">
        <v>12093</v>
      </c>
      <c r="C23846" s="15" t="s">
        <v>10178</v>
      </c>
      <c r="D23846" s="15" t="s">
        <v>10193</v>
      </c>
      <c r="E23846" s="2">
        <v>1265632</v>
      </c>
      <c r="F23846" s="4" t="e">
        <f>IF(B23846=#REF!,"",B23846)</f>
        <v>#REF!</v>
      </c>
    </row>
    <row r="23847" spans="1:6" ht="15.75" customHeight="1">
      <c r="A23847" s="15" t="s">
        <v>29043</v>
      </c>
      <c r="B23847" s="15" t="s">
        <v>29043</v>
      </c>
      <c r="C23847" s="15" t="s">
        <v>27788</v>
      </c>
      <c r="D23847" s="15" t="s">
        <v>28059</v>
      </c>
      <c r="E23847" s="2">
        <v>5597955</v>
      </c>
      <c r="F23847" s="4" t="e">
        <f>IF(B23847=#REF!,"",B23847)</f>
        <v>#REF!</v>
      </c>
    </row>
    <row r="23848" spans="1:6" ht="15.75" customHeight="1">
      <c r="A23848" s="15" t="s">
        <v>12092</v>
      </c>
      <c r="B23848" s="15" t="s">
        <v>12092</v>
      </c>
      <c r="C23848" s="15" t="s">
        <v>10178</v>
      </c>
      <c r="D23848" s="15" t="s">
        <v>10252</v>
      </c>
      <c r="E23848" s="2">
        <v>1265645</v>
      </c>
      <c r="F23848" s="4" t="e">
        <f>IF(B23848=#REF!,"",B23848)</f>
        <v>#REF!</v>
      </c>
    </row>
    <row r="23849" spans="1:6" ht="15.75" customHeight="1">
      <c r="A23849" s="15" t="s">
        <v>26614</v>
      </c>
      <c r="B23849" s="15" t="s">
        <v>26614</v>
      </c>
      <c r="C23849" s="15" t="s">
        <v>26201</v>
      </c>
      <c r="D23849" s="15" t="s">
        <v>26321</v>
      </c>
      <c r="E23849" s="2">
        <v>742238</v>
      </c>
      <c r="F23849" s="4" t="e">
        <f>IF(B23849=#REF!,"",B23849)</f>
        <v>#REF!</v>
      </c>
    </row>
    <row r="23850" spans="1:6" ht="15.75" customHeight="1">
      <c r="A23850" s="15" t="s">
        <v>19488</v>
      </c>
      <c r="B23850" s="15" t="s">
        <v>19488</v>
      </c>
      <c r="C23850" s="15" t="s">
        <v>19294</v>
      </c>
      <c r="D23850" s="15" t="s">
        <v>19348</v>
      </c>
      <c r="E23850" s="2">
        <v>2333451</v>
      </c>
      <c r="F23850" s="4" t="str">
        <f>IF(B23850=B23849,"",B23850)</f>
        <v>Kumo</v>
      </c>
    </row>
    <row r="23851" spans="1:6" ht="15.75" customHeight="1">
      <c r="A23851" s="16" t="str">
        <f ca="1">IFERROR(__xludf.DUMMYFUNCTION("GOOGLETRANSLATE(B32964,""en"",""pt"")"),"Kūmher")</f>
        <v>Kūmher</v>
      </c>
      <c r="B23851" s="20" t="s">
        <v>33474</v>
      </c>
      <c r="C23851" s="20" t="s">
        <v>10178</v>
      </c>
      <c r="D23851" s="20" t="s">
        <v>10179</v>
      </c>
      <c r="E23851" s="10">
        <v>1265655</v>
      </c>
      <c r="F23851" s="4" t="str">
        <f>IF(B23851=B23850,"",B23851)</f>
        <v>Kūmher</v>
      </c>
    </row>
    <row r="23852" spans="1:6" ht="15.75" customHeight="1">
      <c r="A23852" s="16" t="str">
        <f ca="1">IFERROR(__xludf.DUMMYFUNCTION("GOOGLETRANSLATE(B32965,""en"",""pt"")"),"Kumhāri")</f>
        <v>Kumhāri</v>
      </c>
      <c r="B23852" s="20" t="s">
        <v>33475</v>
      </c>
      <c r="C23852" s="20" t="s">
        <v>10178</v>
      </c>
      <c r="D23852" s="20" t="s">
        <v>10272</v>
      </c>
      <c r="E23852" s="10">
        <v>1265660</v>
      </c>
      <c r="F23852" s="4" t="str">
        <f>IF(B23852=B23851,"",B23852)</f>
        <v>Kumhāri</v>
      </c>
    </row>
    <row r="23853" spans="1:6" ht="15.75" customHeight="1">
      <c r="A23853" s="15" t="s">
        <v>12090</v>
      </c>
      <c r="B23853" s="15" t="s">
        <v>12091</v>
      </c>
      <c r="C23853" s="15" t="s">
        <v>10178</v>
      </c>
      <c r="D23853" s="15" t="s">
        <v>10272</v>
      </c>
      <c r="E23853" s="2">
        <v>1265660</v>
      </c>
      <c r="F23853" s="4" t="e">
        <f>IF(B23853=#REF!,"",B23853)</f>
        <v>#REF!</v>
      </c>
    </row>
    <row r="23854" spans="1:6" ht="15.75" customHeight="1">
      <c r="A23854" s="16" t="s">
        <v>22625</v>
      </c>
      <c r="B23854" s="15" t="s">
        <v>22626</v>
      </c>
      <c r="C23854" s="16" t="s">
        <v>22070</v>
      </c>
      <c r="D23854" s="16" t="s">
        <v>22088</v>
      </c>
      <c r="E23854" s="2">
        <v>539283</v>
      </c>
      <c r="F23854" s="4" t="e">
        <f>IF(B23854=#REF!,"",B23854)</f>
        <v>#REF!</v>
      </c>
    </row>
    <row r="23855" spans="1:6" ht="15.75" customHeight="1">
      <c r="A23855" s="15" t="s">
        <v>3934</v>
      </c>
      <c r="B23855" s="15" t="s">
        <v>3934</v>
      </c>
      <c r="C23855" s="15" t="s">
        <v>3884</v>
      </c>
      <c r="D23855" s="15" t="s">
        <v>3895</v>
      </c>
      <c r="E23855" s="2">
        <v>2229748</v>
      </c>
      <c r="F23855" s="4" t="str">
        <f>IF(B23855=B23854,"",B23855)</f>
        <v>Kumbo</v>
      </c>
    </row>
    <row r="23856" spans="1:6" ht="15.75" customHeight="1">
      <c r="A23856" s="16" t="str">
        <f ca="1">IFERROR(__xludf.DUMMYFUNCTION("GOOGLETRANSLATE(B32966,""en"",""pt"")"),"Kumbhrāj")</f>
        <v>Kumbhrāj</v>
      </c>
      <c r="B23856" s="20" t="s">
        <v>33476</v>
      </c>
      <c r="C23856" s="20" t="s">
        <v>10178</v>
      </c>
      <c r="D23856" s="20" t="s">
        <v>10219</v>
      </c>
      <c r="E23856" s="10">
        <v>1265670</v>
      </c>
      <c r="F23856" s="4" t="str">
        <f>IF(B23856=B23855,"",B23856)</f>
        <v>Kumbhrāj</v>
      </c>
    </row>
    <row r="23857" spans="1:6" ht="15.75" customHeight="1">
      <c r="A23857" s="16" t="s">
        <v>12088</v>
      </c>
      <c r="B23857" s="15" t="s">
        <v>12089</v>
      </c>
      <c r="C23857" s="16" t="s">
        <v>10178</v>
      </c>
      <c r="D23857" s="16" t="s">
        <v>10219</v>
      </c>
      <c r="E23857" s="2">
        <v>1265670</v>
      </c>
      <c r="F23857" s="4" t="e">
        <f>IF(B23857=#REF!,"",B23857)</f>
        <v>#REF!</v>
      </c>
    </row>
    <row r="23858" spans="1:6" ht="15.75" customHeight="1">
      <c r="A23858" s="16" t="s">
        <v>12087</v>
      </c>
      <c r="B23858" s="15" t="s">
        <v>12087</v>
      </c>
      <c r="C23858" s="16" t="s">
        <v>10178</v>
      </c>
      <c r="D23858" s="16" t="s">
        <v>10246</v>
      </c>
      <c r="E23858" s="2">
        <v>10627510</v>
      </c>
      <c r="F23858" s="4" t="e">
        <f>IF(B23858=#REF!,"",B23858)</f>
        <v>#REF!</v>
      </c>
    </row>
    <row r="23859" spans="1:6" ht="15.75" customHeight="1">
      <c r="A23859" s="16" t="s">
        <v>12086</v>
      </c>
      <c r="B23859" s="15" t="s">
        <v>12086</v>
      </c>
      <c r="C23859" s="16" t="s">
        <v>10178</v>
      </c>
      <c r="D23859" s="16" t="s">
        <v>10196</v>
      </c>
      <c r="E23859" s="2">
        <v>1265683</v>
      </c>
      <c r="F23859" s="4" t="e">
        <f>IF(B23859=#REF!,"",B23859)</f>
        <v>#REF!</v>
      </c>
    </row>
    <row r="23860" spans="1:6" ht="15.75" customHeight="1">
      <c r="A23860" s="15" t="s">
        <v>3933</v>
      </c>
      <c r="B23860" s="15" t="s">
        <v>3933</v>
      </c>
      <c r="C23860" s="15" t="s">
        <v>3884</v>
      </c>
      <c r="D23860" s="15" t="s">
        <v>3898</v>
      </c>
      <c r="E23860" s="2">
        <v>2229752</v>
      </c>
      <c r="F23860" s="4" t="e">
        <f>IF(B23860=#REF!,"",B23860)</f>
        <v>#REF!</v>
      </c>
    </row>
    <row r="23861" spans="1:6" ht="15.75" customHeight="1">
      <c r="A23861" s="15" t="s">
        <v>9404</v>
      </c>
      <c r="B23861" s="15" t="s">
        <v>9404</v>
      </c>
      <c r="C23861" s="15" t="s">
        <v>9365</v>
      </c>
      <c r="D23861" s="15" t="s">
        <v>9371</v>
      </c>
      <c r="E23861" s="2">
        <v>2298890</v>
      </c>
      <c r="F23861" s="4" t="e">
        <f>IF(B23861=#REF!,"",B23861)</f>
        <v>#REF!</v>
      </c>
    </row>
    <row r="23862" spans="1:6" ht="15.75" customHeight="1">
      <c r="A23862" s="16" t="s">
        <v>17275</v>
      </c>
      <c r="B23862" s="15" t="s">
        <v>17275</v>
      </c>
      <c r="C23862" s="16" t="s">
        <v>17221</v>
      </c>
      <c r="D23862" s="16" t="s">
        <v>17275</v>
      </c>
      <c r="E23862" s="2">
        <v>788886</v>
      </c>
      <c r="F23862" s="4" t="e">
        <f>IF(B23862=#REF!,"",B23862)</f>
        <v>#REF!</v>
      </c>
    </row>
    <row r="23863" spans="1:6" ht="15.75" customHeight="1">
      <c r="A23863" s="16" t="s">
        <v>15812</v>
      </c>
      <c r="B23863" s="15" t="s">
        <v>15812</v>
      </c>
      <c r="C23863" s="16" t="s">
        <v>15704</v>
      </c>
      <c r="D23863" s="16" t="s">
        <v>15812</v>
      </c>
      <c r="E23863" s="2">
        <v>1858421</v>
      </c>
      <c r="F23863" s="4" t="e">
        <f>IF(B23863=#REF!,"",B23863)</f>
        <v>#REF!</v>
      </c>
    </row>
    <row r="23864" spans="1:6" ht="15.75" customHeight="1">
      <c r="A23864" s="16" t="s">
        <v>19487</v>
      </c>
      <c r="B23864" s="15" t="s">
        <v>19487</v>
      </c>
      <c r="C23864" s="16" t="s">
        <v>19294</v>
      </c>
      <c r="D23864" s="16" t="s">
        <v>19364</v>
      </c>
      <c r="E23864" s="2">
        <v>2333490</v>
      </c>
      <c r="F23864" s="4" t="e">
        <f>IF(B23864=#REF!,"",B23864)</f>
        <v>#REF!</v>
      </c>
    </row>
    <row r="23865" spans="1:6" ht="15.75" customHeight="1">
      <c r="A23865" s="16" t="s">
        <v>16171</v>
      </c>
      <c r="B23865" s="15" t="s">
        <v>16171</v>
      </c>
      <c r="C23865" s="16" t="s">
        <v>15704</v>
      </c>
      <c r="D23865" s="16" t="s">
        <v>15710</v>
      </c>
      <c r="E23865" s="2">
        <v>1858428</v>
      </c>
      <c r="F23865" s="4" t="e">
        <f>IF(B23865=#REF!,"",B23865)</f>
        <v>#REF!</v>
      </c>
    </row>
    <row r="23866" spans="1:6" ht="15.75" customHeight="1">
      <c r="A23866" s="15" t="s">
        <v>22624</v>
      </c>
      <c r="B23866" s="15" t="s">
        <v>22624</v>
      </c>
      <c r="C23866" s="15" t="s">
        <v>22070</v>
      </c>
      <c r="D23866" s="15" t="s">
        <v>22124</v>
      </c>
      <c r="E23866" s="2">
        <v>1501460</v>
      </c>
      <c r="F23866" s="4" t="e">
        <f>IF(B23866=#REF!,"",B23866)</f>
        <v>#REF!</v>
      </c>
    </row>
    <row r="23867" spans="1:6" ht="15.75" customHeight="1">
      <c r="A23867" s="15" t="s">
        <v>12085</v>
      </c>
      <c r="B23867" s="15" t="s">
        <v>12085</v>
      </c>
      <c r="C23867" s="15" t="s">
        <v>10178</v>
      </c>
      <c r="D23867" s="15" t="s">
        <v>10538</v>
      </c>
      <c r="E23867" s="2">
        <v>1265709</v>
      </c>
      <c r="F23867" s="4" t="e">
        <f>IF(B23867=#REF!,"",B23867)</f>
        <v>#REF!</v>
      </c>
    </row>
    <row r="23868" spans="1:6" ht="15.75" customHeight="1">
      <c r="A23868" s="15" t="s">
        <v>12084</v>
      </c>
      <c r="B23868" s="15" t="s">
        <v>12084</v>
      </c>
      <c r="C23868" s="15" t="s">
        <v>10178</v>
      </c>
      <c r="D23868" s="15" t="s">
        <v>10201</v>
      </c>
      <c r="E23868" s="2">
        <v>1265711</v>
      </c>
      <c r="F23868" s="4" t="e">
        <f>IF(B23868=#REF!,"",B23868)</f>
        <v>#REF!</v>
      </c>
    </row>
    <row r="23869" spans="1:6" ht="15.75" customHeight="1">
      <c r="A23869" s="15" t="s">
        <v>12083</v>
      </c>
      <c r="B23869" s="15" t="s">
        <v>12083</v>
      </c>
      <c r="C23869" s="15" t="s">
        <v>10178</v>
      </c>
      <c r="D23869" s="15" t="s">
        <v>10201</v>
      </c>
      <c r="E23869" s="2">
        <v>9781227</v>
      </c>
      <c r="F23869" s="4" t="str">
        <f>IF(B23869=B23868,"",B23869)</f>
        <v>Kultali</v>
      </c>
    </row>
    <row r="23870" spans="1:6" ht="15.75" customHeight="1">
      <c r="A23870" s="16" t="str">
        <f ca="1">IFERROR(__xludf.DUMMYFUNCTION("GOOGLETRANSLATE(B32970,""en"",""pt"")"),"Kulpahār")</f>
        <v>Kulpahār</v>
      </c>
      <c r="B23870" s="20" t="s">
        <v>33477</v>
      </c>
      <c r="C23870" s="20" t="s">
        <v>10178</v>
      </c>
      <c r="D23870" s="20" t="s">
        <v>10193</v>
      </c>
      <c r="E23870" s="10">
        <v>1265716</v>
      </c>
      <c r="F23870" s="4" t="str">
        <f>IF(B23870=B23869,"",B23870)</f>
        <v>Kulpahār</v>
      </c>
    </row>
    <row r="23871" spans="1:6" ht="15.75" customHeight="1">
      <c r="A23871" s="15" t="s">
        <v>12081</v>
      </c>
      <c r="B23871" s="15" t="s">
        <v>12082</v>
      </c>
      <c r="C23871" s="15" t="s">
        <v>10178</v>
      </c>
      <c r="D23871" s="15" t="s">
        <v>10193</v>
      </c>
      <c r="E23871" s="2">
        <v>1265716</v>
      </c>
      <c r="F23871" s="4" t="e">
        <f>IF(B23871=#REF!,"",B23871)</f>
        <v>#REF!</v>
      </c>
    </row>
    <row r="23872" spans="1:6" ht="15.75" customHeight="1">
      <c r="A23872" s="15" t="s">
        <v>26613</v>
      </c>
      <c r="B23872" s="15" t="s">
        <v>26613</v>
      </c>
      <c r="C23872" s="15" t="s">
        <v>26201</v>
      </c>
      <c r="D23872" s="15" t="s">
        <v>26254</v>
      </c>
      <c r="E23872" s="2">
        <v>305750</v>
      </c>
      <c r="F23872" s="4" t="str">
        <f>IF(B23872=B23871,"",B23872)</f>
        <v>Kulp</v>
      </c>
    </row>
    <row r="23873" spans="1:6" ht="15.75" customHeight="1">
      <c r="A23873" s="16" t="str">
        <f ca="1">IFERROR(__xludf.DUMMYFUNCTION("GOOGLETRANSLATE(B41741,""en"",""pt"")"),"Kŭlob")</f>
        <v>Kŭlob</v>
      </c>
      <c r="B23873" s="20" t="s">
        <v>35783</v>
      </c>
      <c r="C23873" s="20" t="s">
        <v>25527</v>
      </c>
      <c r="D23873" s="20" t="s">
        <v>25532</v>
      </c>
      <c r="E23873" s="10">
        <v>1221194</v>
      </c>
      <c r="F23873" s="4" t="e">
        <f>IF(B23873=#REF!,"",B23873)</f>
        <v>#REF!</v>
      </c>
    </row>
    <row r="23874" spans="1:6" ht="15.75" customHeight="1">
      <c r="A23874" s="16" t="s">
        <v>8705</v>
      </c>
      <c r="B23874" s="15" t="s">
        <v>8705</v>
      </c>
      <c r="C23874" s="16" t="s">
        <v>8028</v>
      </c>
      <c r="D23874" s="16" t="s">
        <v>8044</v>
      </c>
      <c r="E23874" s="2">
        <v>2882588</v>
      </c>
      <c r="F23874" s="4" t="e">
        <f>IF(B23874=#REF!,"",B23874)</f>
        <v>#REF!</v>
      </c>
    </row>
    <row r="23875" spans="1:6" ht="15.75" customHeight="1">
      <c r="A23875" s="15" t="s">
        <v>12080</v>
      </c>
      <c r="B23875" s="15" t="s">
        <v>12080</v>
      </c>
      <c r="C23875" s="15" t="s">
        <v>10178</v>
      </c>
      <c r="D23875" s="15" t="s">
        <v>10196</v>
      </c>
      <c r="E23875" s="2">
        <v>1265723</v>
      </c>
      <c r="F23875" s="4" t="e">
        <f>IF(B23875=#REF!,"",B23875)</f>
        <v>#REF!</v>
      </c>
    </row>
    <row r="23876" spans="1:6" ht="15.75" customHeight="1">
      <c r="A23876" s="15" t="s">
        <v>17520</v>
      </c>
      <c r="B23876" s="15" t="s">
        <v>17520</v>
      </c>
      <c r="C23876" s="15" t="s">
        <v>17432</v>
      </c>
      <c r="D23876" s="15" t="s">
        <v>17436</v>
      </c>
      <c r="E23876" s="2">
        <v>1734393</v>
      </c>
      <c r="F23876" s="4" t="e">
        <f>IF(B23876=#REF!,"",B23876)</f>
        <v>#REF!</v>
      </c>
    </row>
    <row r="23877" spans="1:6" ht="15.75" customHeight="1">
      <c r="A23877" s="15" t="s">
        <v>12079</v>
      </c>
      <c r="B23877" s="15" t="s">
        <v>12079</v>
      </c>
      <c r="C23877" s="15" t="s">
        <v>10178</v>
      </c>
      <c r="D23877" s="15" t="s">
        <v>10355</v>
      </c>
      <c r="E23877" s="2">
        <v>1265734</v>
      </c>
      <c r="F23877" s="4" t="e">
        <f>IF(B23877=#REF!,"",B23877)</f>
        <v>#REF!</v>
      </c>
    </row>
    <row r="23878" spans="1:6" ht="15.75" customHeight="1">
      <c r="A23878" s="15" t="s">
        <v>22623</v>
      </c>
      <c r="B23878" s="15" t="s">
        <v>22623</v>
      </c>
      <c r="C23878" s="15" t="s">
        <v>22070</v>
      </c>
      <c r="D23878" s="15" t="s">
        <v>22161</v>
      </c>
      <c r="E23878" s="2">
        <v>539555</v>
      </c>
      <c r="F23878" s="4" t="e">
        <f>IF(B23878=#REF!,"",B23878)</f>
        <v>#REF!</v>
      </c>
    </row>
    <row r="23879" spans="1:6" ht="15.75" customHeight="1">
      <c r="A23879" s="15" t="s">
        <v>17519</v>
      </c>
      <c r="B23879" s="15" t="s">
        <v>17519</v>
      </c>
      <c r="C23879" s="15" t="s">
        <v>17432</v>
      </c>
      <c r="D23879" s="15" t="s">
        <v>17442</v>
      </c>
      <c r="E23879" s="2">
        <v>1732742</v>
      </c>
      <c r="F23879" s="4" t="str">
        <f>IF(B23879=B23878,"",B23879)</f>
        <v>Kulai</v>
      </c>
    </row>
    <row r="23880" spans="1:6" ht="15.75" customHeight="1">
      <c r="A23880" s="16" t="str">
        <f ca="1">IFERROR(__xludf.DUMMYFUNCTION("GOOGLETRANSLATE(B39015,""en"",""pt"")"),"Kulāchi")</f>
        <v>Kulāchi</v>
      </c>
      <c r="B23880" s="20" t="s">
        <v>34972</v>
      </c>
      <c r="C23880" s="20" t="s">
        <v>19808</v>
      </c>
      <c r="D23880" s="20" t="s">
        <v>19811</v>
      </c>
      <c r="E23880" s="10">
        <v>1172779</v>
      </c>
      <c r="F23880" s="4" t="str">
        <f>IF(B23880=B23879,"",B23880)</f>
        <v>Kulāchi</v>
      </c>
    </row>
    <row r="23881" spans="1:6" ht="15.75" customHeight="1">
      <c r="A23881" s="15" t="s">
        <v>20051</v>
      </c>
      <c r="B23881" s="15" t="s">
        <v>20052</v>
      </c>
      <c r="C23881" s="15" t="s">
        <v>19808</v>
      </c>
      <c r="D23881" s="15" t="s">
        <v>19811</v>
      </c>
      <c r="E23881" s="2">
        <v>1172779</v>
      </c>
      <c r="F23881" s="4" t="e">
        <f>IF(B23881=#REF!,"",B23881)</f>
        <v>#REF!</v>
      </c>
    </row>
    <row r="23882" spans="1:6" ht="15.75" customHeight="1">
      <c r="A23882" s="15" t="s">
        <v>26612</v>
      </c>
      <c r="B23882" s="15" t="s">
        <v>26612</v>
      </c>
      <c r="C23882" s="15" t="s">
        <v>26201</v>
      </c>
      <c r="D23882" s="15" t="s">
        <v>26299</v>
      </c>
      <c r="E23882" s="2">
        <v>305810</v>
      </c>
      <c r="F23882" s="4" t="e">
        <f>IF(B23882=#REF!,"",B23882)</f>
        <v>#REF!</v>
      </c>
    </row>
    <row r="23883" spans="1:6" ht="15.75" customHeight="1">
      <c r="A23883" s="15" t="s">
        <v>12078</v>
      </c>
      <c r="B23883" s="15" t="s">
        <v>12078</v>
      </c>
      <c r="C23883" s="15" t="s">
        <v>10178</v>
      </c>
      <c r="D23883" s="15" t="s">
        <v>10219</v>
      </c>
      <c r="E23883" s="2">
        <v>1265752</v>
      </c>
      <c r="F23883" s="4" t="e">
        <f>IF(B23883=#REF!,"",B23883)</f>
        <v>#REF!</v>
      </c>
    </row>
    <row r="23884" spans="1:6" ht="15.75" customHeight="1">
      <c r="A23884" s="15" t="s">
        <v>22622</v>
      </c>
      <c r="B23884" s="15" t="s">
        <v>22622</v>
      </c>
      <c r="C23884" s="15" t="s">
        <v>22070</v>
      </c>
      <c r="D23884" s="15" t="s">
        <v>22090</v>
      </c>
      <c r="E23884" s="2">
        <v>539689</v>
      </c>
      <c r="F23884" s="4" t="str">
        <f>IF(B23884=B23883,"",B23884)</f>
        <v>Kukmor</v>
      </c>
    </row>
    <row r="23885" spans="1:6" ht="15.75" customHeight="1">
      <c r="A23885" s="16" t="str">
        <f ca="1">IFERROR(__xludf.DUMMYFUNCTION("GOOGLETRANSLATE(B35468,""en"",""pt"")"),"Kukichūō")</f>
        <v>Kukichūō</v>
      </c>
      <c r="B23885" s="20" t="s">
        <v>34351</v>
      </c>
      <c r="C23885" s="20" t="s">
        <v>15704</v>
      </c>
      <c r="D23885" s="20" t="s">
        <v>15710</v>
      </c>
      <c r="E23885" s="10">
        <v>1858445</v>
      </c>
      <c r="F23885" s="4" t="str">
        <f>IF(B23885=B23884,"",B23885)</f>
        <v>Kukichūō</v>
      </c>
    </row>
    <row r="23886" spans="1:6" ht="15.75" customHeight="1">
      <c r="A23886" s="16" t="s">
        <v>16169</v>
      </c>
      <c r="B23886" s="15" t="s">
        <v>16170</v>
      </c>
      <c r="C23886" s="16" t="s">
        <v>15704</v>
      </c>
      <c r="D23886" s="16" t="s">
        <v>15710</v>
      </c>
      <c r="E23886" s="2">
        <v>1858445</v>
      </c>
      <c r="F23886" s="4" t="str">
        <f>IF(B23886=B23885,"",B23886)</f>
        <v>KukichÅ«Å</v>
      </c>
    </row>
    <row r="23887" spans="1:6" ht="15.75" customHeight="1">
      <c r="A23887" s="16" t="str">
        <f ca="1">IFERROR(__xludf.DUMMYFUNCTION("GOOGLETRANSLATE(B23105,""en"",""pt"")"),"Kukës")</f>
        <v>Kukës</v>
      </c>
      <c r="B23887" s="20" t="s">
        <v>31146</v>
      </c>
      <c r="C23887" s="20" t="s">
        <v>113</v>
      </c>
      <c r="D23887" s="20" t="s">
        <v>31146</v>
      </c>
      <c r="E23887" s="10">
        <v>782661</v>
      </c>
      <c r="F23887" s="4" t="e">
        <f>IF(B23887=#REF!,"",B23887)</f>
        <v>#REF!</v>
      </c>
    </row>
    <row r="23888" spans="1:6" ht="15.75" customHeight="1">
      <c r="A23888" s="15" t="s">
        <v>19486</v>
      </c>
      <c r="B23888" s="15" t="s">
        <v>19486</v>
      </c>
      <c r="C23888" s="15" t="s">
        <v>19294</v>
      </c>
      <c r="D23888" s="15" t="s">
        <v>19338</v>
      </c>
      <c r="E23888" s="2">
        <v>2333563</v>
      </c>
      <c r="F23888" s="4" t="str">
        <f>IF(B23888=B23887,"",B23888)</f>
        <v>Kukawa</v>
      </c>
    </row>
    <row r="23889" spans="1:6" ht="15.75" customHeight="1">
      <c r="A23889" s="16" t="str">
        <f ca="1">IFERROR(__xludf.DUMMYFUNCTION("GOOGLETRANSLATE(B32974,""en"",""pt"")"),"Kūkatpalli")</f>
        <v>Kūkatpalli</v>
      </c>
      <c r="B23889" s="20" t="s">
        <v>33478</v>
      </c>
      <c r="C23889" s="20" t="s">
        <v>10178</v>
      </c>
      <c r="D23889" s="20" t="s">
        <v>10187</v>
      </c>
      <c r="E23889" s="10">
        <v>1265767</v>
      </c>
      <c r="F23889" s="4" t="str">
        <f>IF(B23889=B23888,"",B23889)</f>
        <v>Kūkatpalli</v>
      </c>
    </row>
    <row r="23890" spans="1:6" ht="15.75" customHeight="1">
      <c r="A23890" s="15" t="s">
        <v>134</v>
      </c>
      <c r="B23890" s="15" t="s">
        <v>135</v>
      </c>
      <c r="C23890" s="15" t="s">
        <v>113</v>
      </c>
      <c r="D23890" s="15" t="s">
        <v>135</v>
      </c>
      <c r="E23890" s="2">
        <v>782661</v>
      </c>
      <c r="F23890" s="4" t="e">
        <f>IF(B23890=#REF!,"",B23890)</f>
        <v>#REF!</v>
      </c>
    </row>
    <row r="23891" spans="1:6" ht="15.75" customHeight="1">
      <c r="A23891" s="15" t="s">
        <v>12077</v>
      </c>
      <c r="B23891" s="15" t="s">
        <v>12077</v>
      </c>
      <c r="C23891" s="15" t="s">
        <v>10178</v>
      </c>
      <c r="D23891" s="15" t="s">
        <v>10430</v>
      </c>
      <c r="E23891" s="2">
        <v>1265773</v>
      </c>
      <c r="F23891" s="4" t="e">
        <f>IF(B23891=#REF!,"",B23891)</f>
        <v>#REF!</v>
      </c>
    </row>
    <row r="23892" spans="1:6" ht="15.75" customHeight="1">
      <c r="A23892" s="15" t="s">
        <v>19485</v>
      </c>
      <c r="B23892" s="15" t="s">
        <v>19485</v>
      </c>
      <c r="C23892" s="15" t="s">
        <v>19294</v>
      </c>
      <c r="D23892" s="15" t="s">
        <v>19301</v>
      </c>
      <c r="E23892" s="2">
        <v>2333604</v>
      </c>
      <c r="F23892" s="4" t="str">
        <f>IF(B23892=B23891,"",B23892)</f>
        <v>Kuje</v>
      </c>
    </row>
    <row r="23893" spans="1:6" ht="15.75" customHeight="1">
      <c r="A23893" s="16" t="str">
        <f ca="1">IFERROR(__xludf.DUMMYFUNCTION("GOOGLETRANSLATE(B36005,""en"",""pt"")"),"Kujang-ŭp")</f>
        <v>Kujang-ŭp</v>
      </c>
      <c r="B23893" s="20" t="s">
        <v>34444</v>
      </c>
      <c r="C23893" s="20" t="s">
        <v>19589</v>
      </c>
      <c r="D23893" s="20" t="s">
        <v>34443</v>
      </c>
      <c r="E23893" s="10">
        <v>1875506</v>
      </c>
      <c r="F23893" s="4" t="str">
        <f>IF(B23893=B23892,"",B23893)</f>
        <v>Kujang-ŭp</v>
      </c>
    </row>
    <row r="23894" spans="1:6" ht="15.75" customHeight="1">
      <c r="A23894" s="16" t="s">
        <v>19645</v>
      </c>
      <c r="B23894" s="15" t="s">
        <v>19646</v>
      </c>
      <c r="C23894" s="16" t="s">
        <v>19589</v>
      </c>
      <c r="D23894" s="16" t="s">
        <v>19590</v>
      </c>
      <c r="E23894" s="2">
        <v>1875506</v>
      </c>
      <c r="F23894" s="4" t="e">
        <f>IF(B23894=#REF!,"",B23894)</f>
        <v>#REF!</v>
      </c>
    </row>
    <row r="23895" spans="1:6" ht="15.75" customHeight="1">
      <c r="A23895" s="15" t="s">
        <v>25912</v>
      </c>
      <c r="B23895" s="15" t="s">
        <v>25912</v>
      </c>
      <c r="C23895" s="15" t="s">
        <v>25771</v>
      </c>
      <c r="D23895" s="15" t="s">
        <v>25846</v>
      </c>
      <c r="E23895" s="2">
        <v>1152562</v>
      </c>
      <c r="F23895" s="4" t="str">
        <f>IF(B23895=B23894,"",B23895)</f>
        <v>Kui Buri</v>
      </c>
    </row>
    <row r="23896" spans="1:6" ht="15.75" customHeight="1">
      <c r="A23896" s="16" t="str">
        <f ca="1">IFERROR(__xludf.DUMMYFUNCTION("GOOGLETRANSLATE(B34423,""en"",""pt"")"),"Kūhdasht")</f>
        <v>Kūhdasht</v>
      </c>
      <c r="B23896" s="20" t="s">
        <v>34182</v>
      </c>
      <c r="C23896" s="20" t="s">
        <v>14240</v>
      </c>
      <c r="D23896" s="20" t="s">
        <v>34122</v>
      </c>
      <c r="E23896" s="10">
        <v>126409</v>
      </c>
      <c r="F23896" s="4" t="e">
        <f>IF(B23896=#REF!,"",B23896)</f>
        <v>#REF!</v>
      </c>
    </row>
    <row r="23897" spans="1:6" ht="15.75" customHeight="1">
      <c r="A23897" s="15" t="s">
        <v>1141</v>
      </c>
      <c r="B23897" s="15" t="s">
        <v>1141</v>
      </c>
      <c r="C23897" s="15" t="s">
        <v>1117</v>
      </c>
      <c r="D23897" s="15" t="s">
        <v>1133</v>
      </c>
      <c r="E23897" s="2">
        <v>2773300</v>
      </c>
      <c r="F23897" s="4" t="e">
        <f>IF(B23897=#REF!,"",B23897)</f>
        <v>#REF!</v>
      </c>
    </row>
    <row r="23898" spans="1:6" ht="15.75" customHeight="1">
      <c r="A23898" s="15" t="s">
        <v>14696</v>
      </c>
      <c r="B23898" s="15" t="s">
        <v>14696</v>
      </c>
      <c r="C23898" s="15" t="s">
        <v>14594</v>
      </c>
      <c r="D23898" s="15" t="s">
        <v>14651</v>
      </c>
      <c r="E23898" s="2">
        <v>99135</v>
      </c>
      <c r="F23898" s="4" t="e">
        <f>IF(B23898=#REF!,"",B23898)</f>
        <v>#REF!</v>
      </c>
    </row>
    <row r="23899" spans="1:6" ht="15.75" customHeight="1">
      <c r="A23899" s="16" t="s">
        <v>22621</v>
      </c>
      <c r="B23899" s="15" t="s">
        <v>22621</v>
      </c>
      <c r="C23899" s="16" t="s">
        <v>22070</v>
      </c>
      <c r="D23899" s="16" t="s">
        <v>22115</v>
      </c>
      <c r="E23899" s="2">
        <v>539817</v>
      </c>
      <c r="F23899" s="4" t="e">
        <f>IF(B23899=#REF!,"",B23899)</f>
        <v>#REF!</v>
      </c>
    </row>
    <row r="23900" spans="1:6" ht="15.75" customHeight="1">
      <c r="A23900" s="15" t="s">
        <v>13992</v>
      </c>
      <c r="B23900" s="15" t="s">
        <v>13993</v>
      </c>
      <c r="C23900" s="15" t="s">
        <v>13800</v>
      </c>
      <c r="D23900" s="15" t="s">
        <v>13803</v>
      </c>
      <c r="E23900" s="2">
        <v>1639215</v>
      </c>
      <c r="F23900" s="4" t="str">
        <f>IF(B23900=B23899,"",B23900)</f>
        <v>Kudus</v>
      </c>
    </row>
    <row r="23901" spans="1:6" ht="15.75" customHeight="1">
      <c r="A23901" s="16" t="str">
        <f ca="1">IFERROR(__xludf.DUMMYFUNCTION("GOOGLETRANSLATE(B32976,""en"",""pt"")"),"Kūdligi")</f>
        <v>Kūdligi</v>
      </c>
      <c r="B23901" s="20" t="s">
        <v>33479</v>
      </c>
      <c r="C23901" s="20" t="s">
        <v>10178</v>
      </c>
      <c r="D23901" s="20" t="s">
        <v>10252</v>
      </c>
      <c r="E23901" s="10">
        <v>1265795</v>
      </c>
      <c r="F23901" s="4" t="e">
        <f>IF(B23901=#REF!,"",B23901)</f>
        <v>#REF!</v>
      </c>
    </row>
    <row r="23902" spans="1:6" ht="15.75" customHeight="1">
      <c r="A23902" s="15" t="s">
        <v>22620</v>
      </c>
      <c r="B23902" s="15" t="s">
        <v>22620</v>
      </c>
      <c r="C23902" s="15" t="s">
        <v>22070</v>
      </c>
      <c r="D23902" s="15" t="s">
        <v>22077</v>
      </c>
      <c r="E23902" s="2">
        <v>539907</v>
      </c>
      <c r="F23902" s="4" t="e">
        <f>IF(B23902=#REF!,"",B23902)</f>
        <v>#REF!</v>
      </c>
    </row>
    <row r="23903" spans="1:6" ht="15.75" customHeight="1">
      <c r="A23903" s="15" t="s">
        <v>17518</v>
      </c>
      <c r="B23903" s="15" t="s">
        <v>17518</v>
      </c>
      <c r="C23903" s="15" t="s">
        <v>17432</v>
      </c>
      <c r="D23903" s="15" t="s">
        <v>17444</v>
      </c>
      <c r="E23903" s="2">
        <v>1736458</v>
      </c>
      <c r="F23903" s="4" t="e">
        <f>IF(B23903=#REF!,"",B23903)</f>
        <v>#REF!</v>
      </c>
    </row>
    <row r="23904" spans="1:6" ht="15.75" customHeight="1">
      <c r="A23904" s="16" t="s">
        <v>16168</v>
      </c>
      <c r="B23904" s="15" t="s">
        <v>16168</v>
      </c>
      <c r="C23904" s="16" t="s">
        <v>15704</v>
      </c>
      <c r="D23904" s="16" t="s">
        <v>15796</v>
      </c>
      <c r="E23904" s="2">
        <v>1858498</v>
      </c>
      <c r="F23904" s="4" t="e">
        <f>IF(B23904=#REF!,"",B23904)</f>
        <v>#REF!</v>
      </c>
    </row>
    <row r="23905" spans="1:6" ht="15.75" customHeight="1">
      <c r="A23905" s="15" t="s">
        <v>12076</v>
      </c>
      <c r="B23905" s="15" t="s">
        <v>12076</v>
      </c>
      <c r="C23905" s="15" t="s">
        <v>10178</v>
      </c>
      <c r="D23905" s="15" t="s">
        <v>10252</v>
      </c>
      <c r="E23905" s="2">
        <v>1265811</v>
      </c>
      <c r="F23905" s="4" t="str">
        <f>IF(B23905=B23904,"",B23905)</f>
        <v>Kudachi</v>
      </c>
    </row>
    <row r="23906" spans="1:6" ht="15.75" customHeight="1">
      <c r="A23906" s="16" t="str">
        <f ca="1">IFERROR(__xludf.DUMMYFUNCTION("GOOGLETRANSLATE(B23117,""en"",""pt"")"),"Kuçovë")</f>
        <v>Kuçovë</v>
      </c>
      <c r="B23906" s="20" t="s">
        <v>31154</v>
      </c>
      <c r="C23906" s="20" t="s">
        <v>113</v>
      </c>
      <c r="D23906" s="20" t="s">
        <v>112</v>
      </c>
      <c r="E23906" s="10">
        <v>3185060</v>
      </c>
      <c r="F23906" s="4" t="e">
        <f>IF(B23906=#REF!,"",B23906)</f>
        <v>#REF!</v>
      </c>
    </row>
    <row r="23907" spans="1:6" ht="15.75" customHeight="1">
      <c r="A23907" s="15" t="s">
        <v>17517</v>
      </c>
      <c r="B23907" s="15" t="s">
        <v>17517</v>
      </c>
      <c r="C23907" s="15" t="s">
        <v>17432</v>
      </c>
      <c r="D23907" s="15" t="s">
        <v>17459</v>
      </c>
      <c r="E23907" s="2">
        <v>1735634</v>
      </c>
      <c r="F23907" s="4" t="e">
        <f>IF(B23907=#REF!,"",B23907)</f>
        <v>#REF!</v>
      </c>
    </row>
    <row r="23908" spans="1:6" ht="15.75" customHeight="1">
      <c r="A23908" s="16" t="s">
        <v>25911</v>
      </c>
      <c r="B23908" s="15" t="s">
        <v>25911</v>
      </c>
      <c r="C23908" s="16" t="s">
        <v>25771</v>
      </c>
      <c r="D23908" s="16" t="s">
        <v>25893</v>
      </c>
      <c r="E23908" s="2">
        <v>1609345</v>
      </c>
      <c r="F23908" s="4" t="e">
        <f>IF(B23908=#REF!,"",B23908)</f>
        <v>#REF!</v>
      </c>
    </row>
    <row r="23909" spans="1:6" ht="15.75" customHeight="1">
      <c r="A23909" s="15" t="s">
        <v>12075</v>
      </c>
      <c r="B23909" s="15" t="s">
        <v>12075</v>
      </c>
      <c r="C23909" s="15" t="s">
        <v>10178</v>
      </c>
      <c r="D23909" s="15" t="s">
        <v>10179</v>
      </c>
      <c r="E23909" s="2">
        <v>1265821</v>
      </c>
      <c r="F23909" s="4" t="e">
        <f>IF(B23909=#REF!,"",B23909)</f>
        <v>#REF!</v>
      </c>
    </row>
    <row r="23910" spans="1:6" ht="15.75" customHeight="1">
      <c r="A23910" s="15" t="s">
        <v>4852</v>
      </c>
      <c r="B23910" s="15" t="s">
        <v>4852</v>
      </c>
      <c r="C23910" s="15" t="s">
        <v>4487</v>
      </c>
      <c r="D23910" s="15" t="s">
        <v>4490</v>
      </c>
      <c r="E23910" s="2">
        <v>1529363</v>
      </c>
      <c r="F23910" s="4" t="str">
        <f>IF(B23910=B23909,"",B23910)</f>
        <v>Kuche</v>
      </c>
    </row>
    <row r="23911" spans="1:6" ht="15.75" customHeight="1">
      <c r="A23911" s="16" t="str">
        <f ca="1">IFERROR(__xludf.DUMMYFUNCTION("GOOGLETRANSLATE(B32979,""en"",""pt"")"),"Kuchāman")</f>
        <v>Kuchāman</v>
      </c>
      <c r="B23911" s="20" t="s">
        <v>33480</v>
      </c>
      <c r="C23911" s="20" t="s">
        <v>10178</v>
      </c>
      <c r="D23911" s="20" t="s">
        <v>10179</v>
      </c>
      <c r="E23911" s="10">
        <v>1265828</v>
      </c>
      <c r="F23911" s="4" t="e">
        <f>IF(B23911=#REF!,"",B23911)</f>
        <v>#REF!</v>
      </c>
    </row>
    <row r="23912" spans="1:6" ht="15.75" customHeight="1">
      <c r="A23912" s="16" t="s">
        <v>12073</v>
      </c>
      <c r="B23912" s="15" t="s">
        <v>12074</v>
      </c>
      <c r="C23912" s="16" t="s">
        <v>10178</v>
      </c>
      <c r="D23912" s="16" t="s">
        <v>10229</v>
      </c>
      <c r="E23912" s="2">
        <v>1265830</v>
      </c>
      <c r="F23912" s="4" t="str">
        <f>IF(B23912=B23911,"",B23912)</f>
        <v>Kuchaiburi</v>
      </c>
    </row>
    <row r="23913" spans="1:6" ht="15.75" customHeight="1">
      <c r="A23913" s="16" t="s">
        <v>12071</v>
      </c>
      <c r="B23913" s="15" t="s">
        <v>12072</v>
      </c>
      <c r="C23913" s="16" t="s">
        <v>10178</v>
      </c>
      <c r="D23913" s="16" t="s">
        <v>10179</v>
      </c>
      <c r="E23913" s="2">
        <v>1265828</v>
      </c>
      <c r="F23913" s="4" t="e">
        <f>IF(B23913=#REF!,"",B23913)</f>
        <v>#REF!</v>
      </c>
    </row>
    <row r="23914" spans="1:6" ht="15.75" customHeight="1">
      <c r="A23914" s="15" t="s">
        <v>22619</v>
      </c>
      <c r="B23914" s="15" t="s">
        <v>22619</v>
      </c>
      <c r="C23914" s="15" t="s">
        <v>22070</v>
      </c>
      <c r="D23914" s="15" t="s">
        <v>22119</v>
      </c>
      <c r="E23914" s="2">
        <v>540030</v>
      </c>
      <c r="F23914" s="4" t="str">
        <f>IF(B23914=B23913,"",B23914)</f>
        <v>Kubinka</v>
      </c>
    </row>
    <row r="23915" spans="1:6" ht="15.75" customHeight="1">
      <c r="A23915" s="16" t="s">
        <v>26610</v>
      </c>
      <c r="B23915" s="15" t="s">
        <v>26611</v>
      </c>
      <c r="C23915" s="16" t="s">
        <v>26201</v>
      </c>
      <c r="D23915" s="16" t="s">
        <v>26257</v>
      </c>
      <c r="E23915" s="2">
        <v>305359</v>
      </c>
      <c r="F23915" s="4" t="e">
        <f>IF(B23915=#REF!,"",B23915)</f>
        <v>#REF!</v>
      </c>
    </row>
    <row r="23916" spans="1:6" ht="15.75" customHeight="1">
      <c r="A23916" s="15" t="s">
        <v>17516</v>
      </c>
      <c r="B23916" s="15" t="s">
        <v>17516</v>
      </c>
      <c r="C23916" s="15" t="s">
        <v>17432</v>
      </c>
      <c r="D23916" s="15" t="s">
        <v>17456</v>
      </c>
      <c r="E23916" s="2">
        <v>1735227</v>
      </c>
      <c r="F23916" s="4" t="e">
        <f>IF(B23916=#REF!,"",B23916)</f>
        <v>#REF!</v>
      </c>
    </row>
    <row r="23917" spans="1:6" ht="15.75" customHeight="1">
      <c r="A23917" s="15" t="s">
        <v>17515</v>
      </c>
      <c r="B23917" s="15" t="s">
        <v>17515</v>
      </c>
      <c r="C23917" s="15" t="s">
        <v>17432</v>
      </c>
      <c r="D23917" s="15" t="s">
        <v>17446</v>
      </c>
      <c r="E23917" s="2">
        <v>1759486</v>
      </c>
      <c r="F23917" s="4" t="e">
        <f>IF(B23917=#REF!,"",B23917)</f>
        <v>#REF!</v>
      </c>
    </row>
    <row r="23918" spans="1:6" ht="15.75" customHeight="1">
      <c r="A23918" s="15" t="s">
        <v>4851</v>
      </c>
      <c r="B23918" s="15" t="s">
        <v>4851</v>
      </c>
      <c r="C23918" s="15" t="s">
        <v>4487</v>
      </c>
      <c r="D23918" s="15" t="s">
        <v>4505</v>
      </c>
      <c r="E23918" s="2">
        <v>2036283</v>
      </c>
      <c r="F23918" s="4" t="e">
        <f>IF(B23918=#REF!,"",B23918)</f>
        <v>#REF!</v>
      </c>
    </row>
    <row r="23919" spans="1:6" ht="15.75" customHeight="1">
      <c r="A23919" s="16" t="s">
        <v>13990</v>
      </c>
      <c r="B23919" s="15" t="s">
        <v>13990</v>
      </c>
      <c r="C23919" s="16" t="s">
        <v>13800</v>
      </c>
      <c r="D23919" s="16" t="s">
        <v>13991</v>
      </c>
      <c r="E23919" s="2">
        <v>1639304</v>
      </c>
      <c r="F23919" s="4" t="e">
        <f>IF(B23919=#REF!,"",B23919)</f>
        <v>#REF!</v>
      </c>
    </row>
    <row r="23920" spans="1:6" ht="15.75" customHeight="1">
      <c r="A23920" s="16" t="s">
        <v>13989</v>
      </c>
      <c r="B23920" s="15" t="s">
        <v>13989</v>
      </c>
      <c r="C23920" s="16" t="s">
        <v>13800</v>
      </c>
      <c r="D23920" s="16" t="s">
        <v>13940</v>
      </c>
      <c r="E23920" s="2">
        <v>1639286</v>
      </c>
      <c r="F23920" s="4" t="e">
        <f>IF(B23920=#REF!,"",B23920)</f>
        <v>#REF!</v>
      </c>
    </row>
    <row r="23921" spans="1:6" ht="15.75" customHeight="1">
      <c r="A23921" s="16" t="s">
        <v>17514</v>
      </c>
      <c r="B23921" s="15" t="s">
        <v>17514</v>
      </c>
      <c r="C23921" s="16" t="s">
        <v>17432</v>
      </c>
      <c r="D23921" s="16" t="s">
        <v>17465</v>
      </c>
      <c r="E23921" s="2">
        <v>1734705</v>
      </c>
      <c r="F23921" s="4" t="e">
        <f>IF(B23921=#REF!,"",B23921)</f>
        <v>#REF!</v>
      </c>
    </row>
    <row r="23922" spans="1:6" ht="15.75" customHeight="1">
      <c r="A23922" s="16" t="s">
        <v>17513</v>
      </c>
      <c r="B23922" s="15" t="s">
        <v>17513</v>
      </c>
      <c r="C23922" s="16" t="s">
        <v>17432</v>
      </c>
      <c r="D23922" s="16" t="s">
        <v>17446</v>
      </c>
      <c r="E23922" s="2">
        <v>1732891</v>
      </c>
      <c r="F23922" s="4" t="e">
        <f>IF(B23922=#REF!,"",B23922)</f>
        <v>#REF!</v>
      </c>
    </row>
    <row r="23923" spans="1:6" ht="15.75" customHeight="1">
      <c r="A23923" s="16" t="s">
        <v>17511</v>
      </c>
      <c r="B23923" s="15" t="s">
        <v>17512</v>
      </c>
      <c r="C23923" s="16" t="s">
        <v>17432</v>
      </c>
      <c r="D23923" s="16" t="s">
        <v>17440</v>
      </c>
      <c r="E23923" s="2">
        <v>1734841</v>
      </c>
      <c r="F23923" s="4" t="e">
        <f>IF(B23923=#REF!,"",B23923)</f>
        <v>#REF!</v>
      </c>
    </row>
    <row r="23924" spans="1:6" ht="15.75" customHeight="1">
      <c r="A23924" s="16" t="s">
        <v>17510</v>
      </c>
      <c r="B23924" s="15" t="s">
        <v>17510</v>
      </c>
      <c r="C23924" s="16" t="s">
        <v>17432</v>
      </c>
      <c r="D23924" s="16" t="s">
        <v>17510</v>
      </c>
      <c r="E23924" s="2">
        <v>1735161</v>
      </c>
      <c r="F23924" s="4" t="e">
        <f>IF(B23924=#REF!,"",B23924)</f>
        <v>#REF!</v>
      </c>
    </row>
    <row r="23925" spans="1:6" ht="15.75" customHeight="1">
      <c r="A23925" s="16" t="s">
        <v>17509</v>
      </c>
      <c r="B23925" s="15" t="s">
        <v>17509</v>
      </c>
      <c r="C23925" s="16" t="s">
        <v>17432</v>
      </c>
      <c r="D23925" s="16" t="s">
        <v>17456</v>
      </c>
      <c r="E23925" s="2">
        <v>1733023</v>
      </c>
      <c r="F23925" s="4" t="e">
        <f>IF(B23925=#REF!,"",B23925)</f>
        <v>#REF!</v>
      </c>
    </row>
    <row r="23926" spans="1:6" ht="15.75" customHeight="1">
      <c r="A23926" s="16" t="s">
        <v>17508</v>
      </c>
      <c r="B23926" s="15" t="s">
        <v>17508</v>
      </c>
      <c r="C23926" s="16" t="s">
        <v>17432</v>
      </c>
      <c r="D23926" s="16" t="s">
        <v>17436</v>
      </c>
      <c r="E23926" s="2">
        <v>1736305</v>
      </c>
      <c r="F23926" s="4" t="e">
        <f>IF(B23926=#REF!,"",B23926)</f>
        <v>#REF!</v>
      </c>
    </row>
    <row r="23927" spans="1:6" ht="15.75" customHeight="1">
      <c r="A23927" s="16" t="s">
        <v>17507</v>
      </c>
      <c r="B23927" s="15" t="s">
        <v>17507</v>
      </c>
      <c r="C23927" s="16" t="s">
        <v>17432</v>
      </c>
      <c r="D23927" s="16" t="s">
        <v>17438</v>
      </c>
      <c r="E23927" s="2">
        <v>1734599</v>
      </c>
      <c r="F23927" s="4" t="e">
        <f>IF(B23927=#REF!,"",B23927)</f>
        <v>#REF!</v>
      </c>
    </row>
    <row r="23928" spans="1:6" ht="15.75" customHeight="1">
      <c r="A23928" s="16" t="s">
        <v>3695</v>
      </c>
      <c r="B23928" s="15" t="s">
        <v>3696</v>
      </c>
      <c r="C23928" s="16" t="s">
        <v>3693</v>
      </c>
      <c r="D23928" s="16" t="s">
        <v>3697</v>
      </c>
      <c r="E23928" s="2">
        <v>1820491</v>
      </c>
      <c r="F23928" s="4" t="e">
        <f>IF(B23928=#REF!,"",B23928)</f>
        <v>#REF!</v>
      </c>
    </row>
    <row r="23929" spans="1:6" ht="15.75" customHeight="1">
      <c r="A23929" s="15" t="s">
        <v>17506</v>
      </c>
      <c r="B23929" s="15" t="s">
        <v>17506</v>
      </c>
      <c r="C23929" s="15" t="s">
        <v>17432</v>
      </c>
      <c r="D23929" s="15" t="s">
        <v>17436</v>
      </c>
      <c r="E23929" s="2">
        <v>1222396</v>
      </c>
      <c r="F23929" s="4" t="str">
        <f>IF(B23929=B23928,"",B23929)</f>
        <v>Kuah</v>
      </c>
    </row>
    <row r="23930" spans="1:6" ht="15.75" customHeight="1">
      <c r="A23930" s="15" t="s">
        <v>132</v>
      </c>
      <c r="B23930" s="15" t="s">
        <v>133</v>
      </c>
      <c r="C23930" s="15" t="s">
        <v>113</v>
      </c>
      <c r="D23930" s="15" t="s">
        <v>112</v>
      </c>
      <c r="E23930" s="2">
        <v>3185060</v>
      </c>
      <c r="F23930" s="4" t="e">
        <f>IF(B23930=#REF!,"",B23930)</f>
        <v>#REF!</v>
      </c>
    </row>
    <row r="23931" spans="1:6" ht="15.75" customHeight="1">
      <c r="A23931" s="15" t="s">
        <v>22618</v>
      </c>
      <c r="B23931" s="15" t="s">
        <v>22618</v>
      </c>
      <c r="C23931" s="15" t="s">
        <v>22070</v>
      </c>
      <c r="D23931" s="15" t="s">
        <v>22161</v>
      </c>
      <c r="E23931" s="2">
        <v>540103</v>
      </c>
      <c r="F23931" s="4" t="e">
        <f>IF(B23931=#REF!,"",B23931)</f>
        <v>#REF!</v>
      </c>
    </row>
    <row r="23932" spans="1:6" ht="15.75" customHeight="1">
      <c r="A23932" s="16" t="s">
        <v>26152</v>
      </c>
      <c r="B23932" s="15" t="s">
        <v>26153</v>
      </c>
      <c r="C23932" s="16" t="s">
        <v>26090</v>
      </c>
      <c r="D23932" s="16" t="s">
        <v>26113</v>
      </c>
      <c r="E23932" s="2">
        <v>2467856</v>
      </c>
      <c r="F23932" s="4" t="e">
        <f>IF(B23932=#REF!,"",B23932)</f>
        <v>#REF!</v>
      </c>
    </row>
    <row r="23933" spans="1:6" ht="15.75" customHeight="1">
      <c r="A23933" s="16" t="s">
        <v>26150</v>
      </c>
      <c r="B23933" s="15" t="s">
        <v>26151</v>
      </c>
      <c r="C23933" s="16" t="s">
        <v>26090</v>
      </c>
      <c r="D23933" s="16" t="s">
        <v>26103</v>
      </c>
      <c r="E23933" s="2">
        <v>2468106</v>
      </c>
      <c r="F23933" s="4" t="e">
        <f>IF(B23933=#REF!,"",B23933)</f>
        <v>#REF!</v>
      </c>
    </row>
    <row r="23934" spans="1:6" ht="15.75" customHeight="1">
      <c r="A23934" s="16" t="s">
        <v>18601</v>
      </c>
      <c r="B23934" s="15" t="s">
        <v>18602</v>
      </c>
      <c r="C23934" s="16" t="s">
        <v>18551</v>
      </c>
      <c r="D23934" s="16" t="s">
        <v>18559</v>
      </c>
      <c r="E23934" s="2">
        <v>2544001</v>
      </c>
      <c r="F23934" s="4" t="e">
        <f>IF(B23934=#REF!,"",B23934)</f>
        <v>#REF!</v>
      </c>
    </row>
    <row r="23935" spans="1:6" ht="15.75" customHeight="1">
      <c r="A23935" s="16" t="s">
        <v>380</v>
      </c>
      <c r="B23935" s="15" t="s">
        <v>381</v>
      </c>
      <c r="C23935" s="16" t="s">
        <v>153</v>
      </c>
      <c r="D23935" s="16" t="s">
        <v>260</v>
      </c>
      <c r="E23935" s="2">
        <v>2491323</v>
      </c>
      <c r="F23935" s="4" t="e">
        <f>IF(B23935=#REF!,"",B23935)</f>
        <v>#REF!</v>
      </c>
    </row>
    <row r="23936" spans="1:6" ht="15.75" customHeight="1">
      <c r="A23936" s="16" t="s">
        <v>379</v>
      </c>
      <c r="B23936" s="15" t="s">
        <v>379</v>
      </c>
      <c r="C23936" s="16" t="s">
        <v>153</v>
      </c>
      <c r="D23936" s="16" t="s">
        <v>163</v>
      </c>
      <c r="E23936" s="2">
        <v>2491335</v>
      </c>
      <c r="F23936" s="4" t="e">
        <f>IF(B23936=#REF!,"",B23936)</f>
        <v>#REF!</v>
      </c>
    </row>
    <row r="23937" spans="1:6" ht="15.75" customHeight="1">
      <c r="A23937" s="15" t="s">
        <v>27044</v>
      </c>
      <c r="B23937" s="15" t="s">
        <v>27044</v>
      </c>
      <c r="C23937" s="15" t="s">
        <v>26870</v>
      </c>
      <c r="D23937" s="15" t="s">
        <v>26878</v>
      </c>
      <c r="E23937" s="2">
        <v>703845</v>
      </c>
      <c r="F23937" s="4" t="e">
        <f>IF(B23937=#REF!,"",B23937)</f>
        <v>#REF!</v>
      </c>
    </row>
    <row r="23938" spans="1:6" ht="15.75" customHeight="1">
      <c r="A23938" s="15" t="s">
        <v>22617</v>
      </c>
      <c r="B23938" s="15" t="s">
        <v>22617</v>
      </c>
      <c r="C23938" s="15" t="s">
        <v>22070</v>
      </c>
      <c r="D23938" s="15" t="s">
        <v>22077</v>
      </c>
      <c r="E23938" s="2">
        <v>540251</v>
      </c>
      <c r="F23938" s="4" t="e">
        <f>IF(B23938=#REF!,"",B23938)</f>
        <v>#REF!</v>
      </c>
    </row>
    <row r="23939" spans="1:6" ht="15.75" customHeight="1">
      <c r="A23939" s="15" t="s">
        <v>1475</v>
      </c>
      <c r="B23939" s="15" t="s">
        <v>1475</v>
      </c>
      <c r="C23939" s="15" t="s">
        <v>1453</v>
      </c>
      <c r="D23939" s="15" t="s">
        <v>1454</v>
      </c>
      <c r="E23939" s="2">
        <v>626450</v>
      </c>
      <c r="F23939" s="4" t="str">
        <f>IF(B23939=B23938,"",B23939)</f>
        <v>Krychaw</v>
      </c>
    </row>
    <row r="23940" spans="1:6" ht="15.75" customHeight="1">
      <c r="A23940" s="16" t="str">
        <f ca="1">IFERROR(__xludf.DUMMYFUNCTION("GOOGLETRANSLATE(B39879,""en"",""pt"")"),"Kruševac")</f>
        <v>Kruševac</v>
      </c>
      <c r="B23940" s="20" t="s">
        <v>35418</v>
      </c>
      <c r="C23940" s="20" t="s">
        <v>23602</v>
      </c>
      <c r="D23940" s="20" t="s">
        <v>23603</v>
      </c>
      <c r="E23940" s="10">
        <v>788975</v>
      </c>
      <c r="F23940" s="4" t="str">
        <f>IF(B23940=B23939,"",B23940)</f>
        <v>Kruševac</v>
      </c>
    </row>
    <row r="23941" spans="1:6" ht="15.75" customHeight="1">
      <c r="A23941" s="16" t="str">
        <f ca="1">IFERROR(__xludf.DUMMYFUNCTION("GOOGLETRANSLATE(B23118,""en"",""pt"")"),"Krujë")</f>
        <v>Krujë</v>
      </c>
      <c r="B23941" s="20" t="s">
        <v>31155</v>
      </c>
      <c r="C23941" s="20" t="s">
        <v>113</v>
      </c>
      <c r="D23941" s="20" t="s">
        <v>31156</v>
      </c>
      <c r="E23941" s="10">
        <v>3185082</v>
      </c>
      <c r="F23941" s="4" t="str">
        <f>IF(B23941=B23940,"",B23941)</f>
        <v>Krujë</v>
      </c>
    </row>
    <row r="23942" spans="1:6" ht="15.75" customHeight="1">
      <c r="A23942" s="15" t="s">
        <v>130</v>
      </c>
      <c r="B23942" s="15" t="s">
        <v>131</v>
      </c>
      <c r="C23942" s="15" t="s">
        <v>113</v>
      </c>
      <c r="D23942" s="15" t="s">
        <v>117</v>
      </c>
      <c r="E23942" s="2">
        <v>3185082</v>
      </c>
      <c r="F23942" s="4" t="e">
        <f>IF(B23942=#REF!,"",B23942)</f>
        <v>#REF!</v>
      </c>
    </row>
    <row r="23943" spans="1:6" ht="15.75" customHeight="1">
      <c r="A23943" s="16" t="s">
        <v>23922</v>
      </c>
      <c r="B23943" s="15" t="s">
        <v>23923</v>
      </c>
      <c r="C23943" s="16" t="s">
        <v>23842</v>
      </c>
      <c r="D23943" s="16" t="s">
        <v>23843</v>
      </c>
      <c r="E23943" s="2">
        <v>986717</v>
      </c>
      <c r="F23943" s="4" t="e">
        <f>IF(B23943=#REF!,"",B23943)</f>
        <v>#REF!</v>
      </c>
    </row>
    <row r="23944" spans="1:6" ht="15.75" customHeight="1">
      <c r="A23944" s="16" t="s">
        <v>23921</v>
      </c>
      <c r="B23944" s="15" t="s">
        <v>23921</v>
      </c>
      <c r="C23944" s="16" t="s">
        <v>23842</v>
      </c>
      <c r="D23944" s="16" t="s">
        <v>23855</v>
      </c>
      <c r="E23944" s="2">
        <v>986822</v>
      </c>
      <c r="F23944" s="4" t="str">
        <f>IF(B23944=B23943,"",B23944)</f>
        <v>Krugersdorp</v>
      </c>
    </row>
    <row r="23945" spans="1:6" ht="15.75" customHeight="1">
      <c r="A23945" s="16" t="s">
        <v>23630</v>
      </c>
      <c r="B23945" s="15" t="s">
        <v>23631</v>
      </c>
      <c r="C23945" s="16" t="s">
        <v>23602</v>
      </c>
      <c r="D23945" s="16" t="s">
        <v>23603</v>
      </c>
      <c r="E23945" s="2">
        <v>788975</v>
      </c>
      <c r="F23945" s="4" t="e">
        <f>IF(B23945=#REF!,"",B23945)</f>
        <v>#REF!</v>
      </c>
    </row>
    <row r="23946" spans="1:6" ht="15.75" customHeight="1">
      <c r="A23946" s="15" t="s">
        <v>13988</v>
      </c>
      <c r="B23946" s="15" t="s">
        <v>13988</v>
      </c>
      <c r="C23946" s="15" t="s">
        <v>13800</v>
      </c>
      <c r="D23946" s="15" t="s">
        <v>13803</v>
      </c>
      <c r="E23946" s="2">
        <v>1639337</v>
      </c>
      <c r="F23946" s="4" t="e">
        <f>IF(B23946=#REF!,"",B23946)</f>
        <v>#REF!</v>
      </c>
    </row>
    <row r="23947" spans="1:6" ht="15.75" customHeight="1">
      <c r="A23947" s="15" t="s">
        <v>21316</v>
      </c>
      <c r="B23947" s="15" t="s">
        <v>21316</v>
      </c>
      <c r="C23947" s="15" t="s">
        <v>21064</v>
      </c>
      <c r="D23947" s="15" t="s">
        <v>21112</v>
      </c>
      <c r="E23947" s="2">
        <v>3094625</v>
      </c>
      <c r="F23947" s="4" t="e">
        <f>IF(B23947=#REF!,"",B23947)</f>
        <v>#REF!</v>
      </c>
    </row>
    <row r="23948" spans="1:6" ht="15.75" customHeight="1">
      <c r="A23948" s="15" t="s">
        <v>21315</v>
      </c>
      <c r="B23948" s="15" t="s">
        <v>21315</v>
      </c>
      <c r="C23948" s="15" t="s">
        <v>21064</v>
      </c>
      <c r="D23948" s="15" t="s">
        <v>21083</v>
      </c>
      <c r="E23948" s="2">
        <v>767470</v>
      </c>
      <c r="F23948" s="4" t="e">
        <f>IF(B23948=#REF!,"",B23948)</f>
        <v>#REF!</v>
      </c>
    </row>
    <row r="23949" spans="1:6" ht="15.75" customHeight="1">
      <c r="A23949" s="15" t="s">
        <v>22616</v>
      </c>
      <c r="B23949" s="15" t="s">
        <v>22616</v>
      </c>
      <c r="C23949" s="15" t="s">
        <v>22070</v>
      </c>
      <c r="D23949" s="15" t="s">
        <v>22077</v>
      </c>
      <c r="E23949" s="2">
        <v>540761</v>
      </c>
      <c r="F23949" s="4" t="e">
        <f>IF(B23949=#REF!,"",B23949)</f>
        <v>#REF!</v>
      </c>
    </row>
    <row r="23950" spans="1:6" ht="15.75" customHeight="1">
      <c r="A23950" s="16" t="s">
        <v>23920</v>
      </c>
      <c r="B23950" s="15" t="s">
        <v>23920</v>
      </c>
      <c r="C23950" s="16" t="s">
        <v>23842</v>
      </c>
      <c r="D23950" s="16" t="s">
        <v>23845</v>
      </c>
      <c r="E23950" s="2">
        <v>986846</v>
      </c>
      <c r="F23950" s="4" t="e">
        <f>IF(B23950=#REF!,"",B23950)</f>
        <v>#REF!</v>
      </c>
    </row>
    <row r="23951" spans="1:6" ht="15.75" customHeight="1">
      <c r="A23951" s="16" t="s">
        <v>22615</v>
      </c>
      <c r="B23951" s="15" t="s">
        <v>22615</v>
      </c>
      <c r="C23951" s="16" t="s">
        <v>22070</v>
      </c>
      <c r="D23951" s="16" t="s">
        <v>22084</v>
      </c>
      <c r="E23951" s="2">
        <v>540771</v>
      </c>
      <c r="F23951" s="4" t="e">
        <f>IF(B23951=#REF!,"",B23951)</f>
        <v>#REF!</v>
      </c>
    </row>
    <row r="23952" spans="1:6" ht="15.75" customHeight="1">
      <c r="A23952" s="15" t="s">
        <v>8704</v>
      </c>
      <c r="B23952" s="15" t="s">
        <v>8704</v>
      </c>
      <c r="C23952" s="15" t="s">
        <v>8028</v>
      </c>
      <c r="D23952" s="15" t="s">
        <v>8050</v>
      </c>
      <c r="E23952" s="2">
        <v>2883754</v>
      </c>
      <c r="F23952" s="4" t="e">
        <f>IF(B23952=#REF!,"",B23952)</f>
        <v>#REF!</v>
      </c>
    </row>
    <row r="23953" spans="1:6" ht="15.75" customHeight="1">
      <c r="A23953" s="16" t="s">
        <v>8702</v>
      </c>
      <c r="B23953" s="15" t="s">
        <v>8703</v>
      </c>
      <c r="C23953" s="16" t="s">
        <v>8028</v>
      </c>
      <c r="D23953" s="16" t="s">
        <v>8044</v>
      </c>
      <c r="E23953" s="2">
        <v>2883784</v>
      </c>
      <c r="F23953" s="4" t="str">
        <f>IF(B23953=B23952,"",B23953)</f>
        <v>Kronach</v>
      </c>
    </row>
    <row r="23954" spans="1:6" ht="15.75" customHeight="1">
      <c r="A23954" s="16" t="str">
        <f ca="1">IFERROR(__xludf.DUMMYFUNCTION("GOOGLETRANSLATE(B27299,""en"",""pt"")"),"Kroměříž")</f>
        <v>Kroměříž</v>
      </c>
      <c r="B23954" s="20" t="s">
        <v>31980</v>
      </c>
      <c r="C23954" s="20" t="s">
        <v>5947</v>
      </c>
      <c r="D23954" s="20" t="s">
        <v>31937</v>
      </c>
      <c r="E23954" s="10">
        <v>3072649</v>
      </c>
      <c r="F23954" s="4" t="str">
        <f>IF(B23954=B23953,"",B23954)</f>
        <v>Kroměříž</v>
      </c>
    </row>
    <row r="23955" spans="1:6" ht="15.75" customHeight="1">
      <c r="A23955" s="16" t="s">
        <v>6043</v>
      </c>
      <c r="B23955" s="15" t="s">
        <v>6044</v>
      </c>
      <c r="C23955" s="16" t="s">
        <v>5947</v>
      </c>
      <c r="D23955" s="16" t="s">
        <v>6045</v>
      </c>
      <c r="E23955" s="2">
        <v>3072649</v>
      </c>
      <c r="F23955" s="4" t="str">
        <f>IF(B23955=B23954,"",B23955)</f>
        <v>KromÄ›Å™Ã­Å¾</v>
      </c>
    </row>
    <row r="23956" spans="1:6" ht="15.75" customHeight="1">
      <c r="A23956" s="16" t="s">
        <v>27042</v>
      </c>
      <c r="B23956" s="15" t="s">
        <v>27043</v>
      </c>
      <c r="C23956" s="16" t="s">
        <v>26870</v>
      </c>
      <c r="D23956" s="16" t="s">
        <v>26911</v>
      </c>
      <c r="E23956" s="2">
        <v>704000</v>
      </c>
      <c r="F23956" s="4" t="str">
        <f>IF(B23956=B23955,"",B23956)</f>
        <v>Krolevetsâ€™</v>
      </c>
    </row>
    <row r="23957" spans="1:6" ht="15.75" customHeight="1">
      <c r="A23957" s="16" t="str">
        <f ca="1">IFERROR(__xludf.DUMMYFUNCTION("GOOGLETRANSLATE(B42600,""en"",""pt"")"),"Krolevets '")</f>
        <v>Krolevets '</v>
      </c>
      <c r="B23957" s="20" t="s">
        <v>36017</v>
      </c>
      <c r="C23957" s="20" t="s">
        <v>26870</v>
      </c>
      <c r="D23957" s="20" t="s">
        <v>26911</v>
      </c>
      <c r="E23957" s="10">
        <v>704000</v>
      </c>
      <c r="F23957" s="4" t="e">
        <f>IF(B23957=#REF!,"",B23957)</f>
        <v>#REF!</v>
      </c>
    </row>
    <row r="23958" spans="1:6" ht="15.75" customHeight="1">
      <c r="A23958" s="15" t="s">
        <v>6042</v>
      </c>
      <c r="B23958" s="15" t="s">
        <v>6042</v>
      </c>
      <c r="C23958" s="15" t="s">
        <v>5947</v>
      </c>
      <c r="D23958" s="15" t="s">
        <v>5971</v>
      </c>
      <c r="E23958" s="2">
        <v>3072656</v>
      </c>
      <c r="F23958" s="4" t="e">
        <f>IF(B23958=#REF!,"",B23958)</f>
        <v>#REF!</v>
      </c>
    </row>
    <row r="23959" spans="1:6" ht="15.75" customHeight="1">
      <c r="A23959" s="16" t="s">
        <v>25153</v>
      </c>
      <c r="B23959" s="15" t="s">
        <v>25153</v>
      </c>
      <c r="C23959" s="16" t="s">
        <v>25077</v>
      </c>
      <c r="D23959" s="16" t="s">
        <v>25149</v>
      </c>
      <c r="E23959" s="2">
        <v>2699282</v>
      </c>
      <c r="F23959" s="4" t="e">
        <f>IF(B23959=#REF!,"",B23959)</f>
        <v>#REF!</v>
      </c>
    </row>
    <row r="23960" spans="1:6" ht="15.75" customHeight="1">
      <c r="A23960" s="16" t="s">
        <v>19726</v>
      </c>
      <c r="B23960" s="15" t="s">
        <v>19726</v>
      </c>
      <c r="C23960" s="16" t="s">
        <v>19695</v>
      </c>
      <c r="D23960" s="16" t="s">
        <v>19696</v>
      </c>
      <c r="E23960" s="2">
        <v>3149312</v>
      </c>
      <c r="F23960" s="4" t="e">
        <f>IF(B23960=#REF!,"",B23960)</f>
        <v>#REF!</v>
      </c>
    </row>
    <row r="23961" spans="1:6" ht="15.75" customHeight="1">
      <c r="A23961" s="16" t="s">
        <v>25152</v>
      </c>
      <c r="B23961" s="15" t="s">
        <v>25152</v>
      </c>
      <c r="C23961" s="16" t="s">
        <v>25077</v>
      </c>
      <c r="D23961" s="16" t="s">
        <v>25078</v>
      </c>
      <c r="E23961" s="2">
        <v>2699310</v>
      </c>
      <c r="F23961" s="4" t="e">
        <f>IF(B23961=#REF!,"",B23961)</f>
        <v>#REF!</v>
      </c>
    </row>
    <row r="23962" spans="1:6" ht="15.75" customHeight="1">
      <c r="A23962" s="16" t="s">
        <v>19724</v>
      </c>
      <c r="B23962" s="15" t="s">
        <v>19724</v>
      </c>
      <c r="C23962" s="16" t="s">
        <v>19695</v>
      </c>
      <c r="D23962" s="16" t="s">
        <v>19725</v>
      </c>
      <c r="E23962" s="2">
        <v>3149318</v>
      </c>
      <c r="F23962" s="4" t="str">
        <f>IF(B23962=B23961,"",B23962)</f>
        <v>Kristiansand</v>
      </c>
    </row>
    <row r="23963" spans="1:6" ht="15.75" customHeight="1">
      <c r="A23963" s="16" t="str">
        <f ca="1">IFERROR(__xludf.DUMMYFUNCTION("GOOGLETRANSLATE(B32981,""en"",""pt"")"),"Krishnarājpet")</f>
        <v>Krishnarājpet</v>
      </c>
      <c r="B23963" s="20" t="s">
        <v>33481</v>
      </c>
      <c r="C23963" s="20" t="s">
        <v>10178</v>
      </c>
      <c r="D23963" s="20" t="s">
        <v>10252</v>
      </c>
      <c r="E23963" s="10">
        <v>1265852</v>
      </c>
      <c r="F23963" s="4" t="str">
        <f>IF(B23963=B23962,"",B23963)</f>
        <v>Krishnarājpet</v>
      </c>
    </row>
    <row r="23964" spans="1:6" ht="15.75" customHeight="1">
      <c r="A23964" s="16" t="s">
        <v>12069</v>
      </c>
      <c r="B23964" s="15" t="s">
        <v>12070</v>
      </c>
      <c r="C23964" s="16" t="s">
        <v>10178</v>
      </c>
      <c r="D23964" s="16" t="s">
        <v>10252</v>
      </c>
      <c r="E23964" s="2">
        <v>1265852</v>
      </c>
      <c r="F23964" s="4" t="e">
        <f>IF(B23964=#REF!,"",B23964)</f>
        <v>#REF!</v>
      </c>
    </row>
    <row r="23965" spans="1:6" ht="15.75" customHeight="1">
      <c r="A23965" s="16" t="s">
        <v>12068</v>
      </c>
      <c r="B23965" s="15" t="s">
        <v>12068</v>
      </c>
      <c r="C23965" s="16" t="s">
        <v>10178</v>
      </c>
      <c r="D23965" s="16" t="s">
        <v>10201</v>
      </c>
      <c r="E23965" s="2">
        <v>1265859</v>
      </c>
      <c r="F23965" s="4" t="e">
        <f>IF(B23965=#REF!,"",B23965)</f>
        <v>#REF!</v>
      </c>
    </row>
    <row r="23966" spans="1:6" ht="15.75" customHeight="1">
      <c r="A23966" s="16" t="s">
        <v>12067</v>
      </c>
      <c r="B23966" s="15" t="s">
        <v>12067</v>
      </c>
      <c r="C23966" s="16" t="s">
        <v>10178</v>
      </c>
      <c r="D23966" s="16" t="s">
        <v>10196</v>
      </c>
      <c r="E23966" s="2">
        <v>1265863</v>
      </c>
      <c r="F23966" s="4" t="e">
        <f>IF(B23966=#REF!,"",B23966)</f>
        <v>#REF!</v>
      </c>
    </row>
    <row r="23967" spans="1:6" ht="15.75" customHeight="1">
      <c r="A23967" s="16" t="s">
        <v>19016</v>
      </c>
      <c r="B23967" s="15" t="s">
        <v>19017</v>
      </c>
      <c r="C23967" s="16" t="s">
        <v>18862</v>
      </c>
      <c r="D23967" s="16" t="s">
        <v>18868</v>
      </c>
      <c r="E23967" s="2">
        <v>2752264</v>
      </c>
      <c r="F23967" s="4" t="e">
        <f>IF(B23967=#REF!,"",B23967)</f>
        <v>#REF!</v>
      </c>
    </row>
    <row r="23968" spans="1:6" ht="15.75" customHeight="1">
      <c r="A23968" s="15" t="s">
        <v>25279</v>
      </c>
      <c r="B23968" s="15" t="s">
        <v>25279</v>
      </c>
      <c r="C23968" s="15" t="s">
        <v>25237</v>
      </c>
      <c r="D23968" s="15" t="s">
        <v>25259</v>
      </c>
      <c r="E23968" s="2">
        <v>2660104</v>
      </c>
      <c r="F23968" s="4" t="e">
        <f>IF(B23968=#REF!,"",B23968)</f>
        <v>#REF!</v>
      </c>
    </row>
    <row r="23969" spans="1:6" ht="15.75" customHeight="1">
      <c r="A23969" s="15" t="s">
        <v>23919</v>
      </c>
      <c r="B23969" s="15" t="s">
        <v>23919</v>
      </c>
      <c r="C23969" s="15" t="s">
        <v>23842</v>
      </c>
      <c r="D23969" s="15" t="s">
        <v>23849</v>
      </c>
      <c r="E23969" s="2">
        <v>987202</v>
      </c>
      <c r="F23969" s="4" t="e">
        <f>IF(B23969=#REF!,"",B23969)</f>
        <v>#REF!</v>
      </c>
    </row>
    <row r="23970" spans="1:6" ht="15.75" customHeight="1">
      <c r="A23970" s="15" t="s">
        <v>3932</v>
      </c>
      <c r="B23970" s="15" t="s">
        <v>3932</v>
      </c>
      <c r="C23970" s="15" t="s">
        <v>3884</v>
      </c>
      <c r="D23970" s="15" t="s">
        <v>3885</v>
      </c>
      <c r="E23970" s="2">
        <v>2229761</v>
      </c>
      <c r="F23970" s="4" t="e">
        <f>IF(B23970=#REF!,"",B23970)</f>
        <v>#REF!</v>
      </c>
    </row>
    <row r="23971" spans="1:6" ht="15.75" customHeight="1">
      <c r="A23971" s="15" t="s">
        <v>13987</v>
      </c>
      <c r="B23971" s="15" t="s">
        <v>13987</v>
      </c>
      <c r="C23971" s="15" t="s">
        <v>13800</v>
      </c>
      <c r="D23971" s="15" t="s">
        <v>13816</v>
      </c>
      <c r="E23971" s="2">
        <v>1639356</v>
      </c>
      <c r="F23971" s="4" t="e">
        <f>IF(B23971=#REF!,"",B23971)</f>
        <v>#REF!</v>
      </c>
    </row>
    <row r="23972" spans="1:6" ht="15.75" customHeight="1">
      <c r="A23972" s="15" t="s">
        <v>8701</v>
      </c>
      <c r="B23972" s="15" t="s">
        <v>8701</v>
      </c>
      <c r="C23972" s="15" t="s">
        <v>8028</v>
      </c>
      <c r="D23972" s="15" t="s">
        <v>8029</v>
      </c>
      <c r="E23972" s="2">
        <v>2884050</v>
      </c>
      <c r="F23972" s="4" t="e">
        <f>IF(B23972=#REF!,"",B23972)</f>
        <v>#REF!</v>
      </c>
    </row>
    <row r="23973" spans="1:6" ht="15.75" customHeight="1">
      <c r="A23973" s="16" t="s">
        <v>25278</v>
      </c>
      <c r="B23973" s="15" t="s">
        <v>25278</v>
      </c>
      <c r="C23973" s="16" t="s">
        <v>25237</v>
      </c>
      <c r="D23973" s="16" t="s">
        <v>25261</v>
      </c>
      <c r="E23973" s="2">
        <v>2660108</v>
      </c>
      <c r="F23973" s="4" t="e">
        <f>IF(B23973=#REF!,"",B23973)</f>
        <v>#REF!</v>
      </c>
    </row>
    <row r="23974" spans="1:6" ht="15.75" customHeight="1">
      <c r="A23974" s="16" t="s">
        <v>8700</v>
      </c>
      <c r="B23974" s="15" t="s">
        <v>8700</v>
      </c>
      <c r="C23974" s="16" t="s">
        <v>8028</v>
      </c>
      <c r="D23974" s="16" t="s">
        <v>8036</v>
      </c>
      <c r="E23974" s="2">
        <v>2884161</v>
      </c>
      <c r="F23974" s="4" t="e">
        <f>IF(B23974=#REF!,"",B23974)</f>
        <v>#REF!</v>
      </c>
    </row>
    <row r="23975" spans="1:6" ht="15.75" customHeight="1">
      <c r="A23975" s="15" t="s">
        <v>8699</v>
      </c>
      <c r="B23975" s="15" t="s">
        <v>8699</v>
      </c>
      <c r="C23975" s="15" t="s">
        <v>8028</v>
      </c>
      <c r="D23975" s="15" t="s">
        <v>8029</v>
      </c>
      <c r="E23975" s="2">
        <v>2884245</v>
      </c>
      <c r="F23975" s="4" t="e">
        <f>IF(B23975=#REF!,"",B23975)</f>
        <v>#REF!</v>
      </c>
    </row>
    <row r="23976" spans="1:6" ht="15.75" customHeight="1">
      <c r="A23976" s="15" t="s">
        <v>17181</v>
      </c>
      <c r="B23976" s="15" t="s">
        <v>17181</v>
      </c>
      <c r="C23976" s="15" t="s">
        <v>17154</v>
      </c>
      <c r="D23976" s="15" t="s">
        <v>17172</v>
      </c>
      <c r="E23976" s="2">
        <v>597989</v>
      </c>
      <c r="F23976" s="4" t="e">
        <f>IF(B23976=#REF!,"",B23976)</f>
        <v>#REF!</v>
      </c>
    </row>
    <row r="23977" spans="1:6" ht="15.75" customHeight="1">
      <c r="A23977" s="16" t="s">
        <v>22613</v>
      </c>
      <c r="B23977" s="15" t="s">
        <v>22614</v>
      </c>
      <c r="C23977" s="16" t="s">
        <v>22070</v>
      </c>
      <c r="D23977" s="16" t="s">
        <v>22094</v>
      </c>
      <c r="E23977" s="2">
        <v>8504955</v>
      </c>
      <c r="F23977" s="4" t="e">
        <f>IF(B23977=#REF!,"",B23977)</f>
        <v>#REF!</v>
      </c>
    </row>
    <row r="23978" spans="1:6" ht="15.75" customHeight="1">
      <c r="A23978" s="15" t="s">
        <v>13986</v>
      </c>
      <c r="B23978" s="15" t="s">
        <v>13986</v>
      </c>
      <c r="C23978" s="15" t="s">
        <v>13800</v>
      </c>
      <c r="D23978" s="15" t="s">
        <v>13811</v>
      </c>
      <c r="E23978" s="2">
        <v>1639362</v>
      </c>
      <c r="F23978" s="4" t="e">
        <f>IF(B23978=#REF!,"",B23978)</f>
        <v>#REF!</v>
      </c>
    </row>
    <row r="23979" spans="1:6" ht="15.75" customHeight="1">
      <c r="A23979" s="16" t="s">
        <v>1139</v>
      </c>
      <c r="B23979" s="15" t="s">
        <v>1140</v>
      </c>
      <c r="C23979" s="16" t="s">
        <v>1117</v>
      </c>
      <c r="D23979" s="16" t="s">
        <v>1118</v>
      </c>
      <c r="E23979" s="2">
        <v>2773549</v>
      </c>
      <c r="F23979" s="4" t="e">
        <f>IF(B23979=#REF!,"",B23979)</f>
        <v>#REF!</v>
      </c>
    </row>
    <row r="23980" spans="1:6" ht="15.75" customHeight="1">
      <c r="A23980" s="15" t="s">
        <v>27041</v>
      </c>
      <c r="B23980" s="15" t="s">
        <v>27041</v>
      </c>
      <c r="C23980" s="15" t="s">
        <v>26870</v>
      </c>
      <c r="D23980" s="15" t="s">
        <v>26871</v>
      </c>
      <c r="E23980" s="2">
        <v>704138</v>
      </c>
      <c r="F23980" s="4" t="str">
        <f>IF(B23980=B23979,"",B23980)</f>
        <v>Kreminna</v>
      </c>
    </row>
    <row r="23981" spans="1:6" ht="15.75" customHeight="1">
      <c r="A23981" s="16" t="s">
        <v>27039</v>
      </c>
      <c r="B23981" s="15" t="s">
        <v>27040</v>
      </c>
      <c r="C23981" s="16" t="s">
        <v>26870</v>
      </c>
      <c r="D23981" s="16" t="s">
        <v>26931</v>
      </c>
      <c r="E23981" s="2">
        <v>704143</v>
      </c>
      <c r="F23981" s="4" t="str">
        <f>IF(B23981=B23980,"",B23981)</f>
        <v>Kremenetsâ€™</v>
      </c>
    </row>
    <row r="23982" spans="1:6" ht="15.75" customHeight="1">
      <c r="A23982" s="16" t="str">
        <f ca="1">IFERROR(__xludf.DUMMYFUNCTION("GOOGLETRANSLATE(B42602,""en"",""pt"")"),"Kremenets '")</f>
        <v>Kremenets '</v>
      </c>
      <c r="B23982" s="20" t="s">
        <v>36018</v>
      </c>
      <c r="C23982" s="20" t="s">
        <v>26870</v>
      </c>
      <c r="D23982" s="20" t="s">
        <v>26931</v>
      </c>
      <c r="E23982" s="10">
        <v>704143</v>
      </c>
      <c r="F23982" s="4" t="e">
        <f>IF(B23982=#REF!,"",B23982)</f>
        <v>#REF!</v>
      </c>
    </row>
    <row r="23983" spans="1:6" ht="15.75" customHeight="1">
      <c r="A23983" s="16" t="s">
        <v>27038</v>
      </c>
      <c r="B23983" s="15" t="s">
        <v>27038</v>
      </c>
      <c r="C23983" s="16" t="s">
        <v>26870</v>
      </c>
      <c r="D23983" s="16" t="s">
        <v>26964</v>
      </c>
      <c r="E23983" s="2">
        <v>704147</v>
      </c>
      <c r="F23983" s="4" t="e">
        <f>IF(B23983=#REF!,"",B23983)</f>
        <v>#REF!</v>
      </c>
    </row>
    <row r="23984" spans="1:6" ht="15.75" customHeight="1">
      <c r="A23984" s="15" t="s">
        <v>8698</v>
      </c>
      <c r="B23984" s="15" t="s">
        <v>8698</v>
      </c>
      <c r="C23984" s="15" t="s">
        <v>8028</v>
      </c>
      <c r="D23984" s="15" t="s">
        <v>8029</v>
      </c>
      <c r="E23984" s="2">
        <v>2884509</v>
      </c>
      <c r="F23984" s="4" t="str">
        <f>IF(B23984=B23983,"",B23984)</f>
        <v>Krefeld</v>
      </c>
    </row>
    <row r="23985" spans="1:6" ht="15.75" customHeight="1">
      <c r="A23985" s="16" t="str">
        <f ca="1">IFERROR(__xludf.DUMMYFUNCTION("GOOGLETRANSLATE(B35975,""en"",""pt"")"),"Kratié")</f>
        <v>Kratié</v>
      </c>
      <c r="B23985" s="20" t="s">
        <v>3847</v>
      </c>
      <c r="C23985" s="20" t="s">
        <v>3838</v>
      </c>
      <c r="D23985" s="20" t="s">
        <v>3849</v>
      </c>
      <c r="E23985" s="10">
        <v>1830564</v>
      </c>
      <c r="F23985" s="4" t="str">
        <f>IF(B23985=B23984,"",B23985)</f>
        <v>Kratié</v>
      </c>
    </row>
    <row r="23986" spans="1:6" ht="15.75" customHeight="1">
      <c r="A23986" s="15" t="s">
        <v>3847</v>
      </c>
      <c r="B23986" s="15" t="s">
        <v>3848</v>
      </c>
      <c r="C23986" s="15" t="s">
        <v>3838</v>
      </c>
      <c r="D23986" s="15" t="s">
        <v>3849</v>
      </c>
      <c r="E23986" s="2">
        <v>1830564</v>
      </c>
      <c r="F23986" s="4" t="e">
        <f>IF(B23986=#REF!,"",B23986)</f>
        <v>#REF!</v>
      </c>
    </row>
    <row r="23987" spans="1:6" ht="15.75" customHeight="1">
      <c r="A23987" s="16" t="s">
        <v>25910</v>
      </c>
      <c r="B23987" s="15" t="s">
        <v>25910</v>
      </c>
      <c r="C23987" s="16" t="s">
        <v>25771</v>
      </c>
      <c r="D23987" s="16" t="s">
        <v>25806</v>
      </c>
      <c r="E23987" s="2">
        <v>1609395</v>
      </c>
      <c r="F23987" s="4" t="e">
        <f>IF(B23987=#REF!,"",B23987)</f>
        <v>#REF!</v>
      </c>
    </row>
    <row r="23988" spans="1:6" ht="15.75" customHeight="1">
      <c r="A23988" s="15" t="s">
        <v>27037</v>
      </c>
      <c r="B23988" s="15" t="s">
        <v>27037</v>
      </c>
      <c r="C23988" s="15" t="s">
        <v>26870</v>
      </c>
      <c r="D23988" s="15" t="s">
        <v>26955</v>
      </c>
      <c r="E23988" s="2">
        <v>704492</v>
      </c>
      <c r="F23988" s="4" t="e">
        <f>IF(B23988=#REF!,"",B23988)</f>
        <v>#REF!</v>
      </c>
    </row>
    <row r="23989" spans="1:6" ht="15.75" customHeight="1">
      <c r="A23989" s="16" t="s">
        <v>22612</v>
      </c>
      <c r="B23989" s="15" t="s">
        <v>22612</v>
      </c>
      <c r="C23989" s="16" t="s">
        <v>22070</v>
      </c>
      <c r="D23989" s="16" t="s">
        <v>22099</v>
      </c>
      <c r="E23989" s="2">
        <v>541404</v>
      </c>
      <c r="F23989" s="4" t="e">
        <f>IF(B23989=#REF!,"",B23989)</f>
        <v>#REF!</v>
      </c>
    </row>
    <row r="23990" spans="1:6" ht="15.75" customHeight="1">
      <c r="A23990" s="16" t="s">
        <v>27036</v>
      </c>
      <c r="B23990" s="15" t="s">
        <v>27036</v>
      </c>
      <c r="C23990" s="16" t="s">
        <v>26870</v>
      </c>
      <c r="D23990" s="16" t="s">
        <v>22345</v>
      </c>
      <c r="E23990" s="2">
        <v>704204</v>
      </c>
      <c r="F23990" s="4" t="e">
        <f>IF(B23990=#REF!,"",B23990)</f>
        <v>#REF!</v>
      </c>
    </row>
    <row r="23991" spans="1:6" ht="15.75" customHeight="1">
      <c r="A23991" s="16" t="s">
        <v>27035</v>
      </c>
      <c r="B23991" s="15" t="s">
        <v>27035</v>
      </c>
      <c r="C23991" s="16" t="s">
        <v>26870</v>
      </c>
      <c r="D23991" s="16" t="s">
        <v>26871</v>
      </c>
      <c r="E23991" s="2">
        <v>704202</v>
      </c>
      <c r="F23991" s="4" t="e">
        <f>IF(B23991=#REF!,"",B23991)</f>
        <v>#REF!</v>
      </c>
    </row>
    <row r="23992" spans="1:6" ht="15.75" customHeight="1">
      <c r="A23992" s="16" t="s">
        <v>21314</v>
      </c>
      <c r="B23992" s="15" t="s">
        <v>21314</v>
      </c>
      <c r="C23992" s="16" t="s">
        <v>21064</v>
      </c>
      <c r="D23992" s="16" t="s">
        <v>21091</v>
      </c>
      <c r="E23992" s="2">
        <v>767605</v>
      </c>
      <c r="F23992" s="4" t="e">
        <f>IF(B23992=#REF!,"",B23992)</f>
        <v>#REF!</v>
      </c>
    </row>
    <row r="23993" spans="1:6" ht="15.75" customHeight="1">
      <c r="A23993" s="16" t="s">
        <v>22611</v>
      </c>
      <c r="B23993" s="15" t="s">
        <v>22611</v>
      </c>
      <c r="C23993" s="16" t="s">
        <v>22070</v>
      </c>
      <c r="D23993" s="16" t="s">
        <v>22119</v>
      </c>
      <c r="E23993" s="2">
        <v>6417459</v>
      </c>
      <c r="F23993" s="4" t="e">
        <f>IF(B23993=#REF!,"",B23993)</f>
        <v>#REF!</v>
      </c>
    </row>
    <row r="23994" spans="1:6" ht="15.75" customHeight="1">
      <c r="A23994" s="16" t="s">
        <v>22610</v>
      </c>
      <c r="B23994" s="15" t="s">
        <v>22610</v>
      </c>
      <c r="C23994" s="16" t="s">
        <v>22070</v>
      </c>
      <c r="D23994" s="16" t="s">
        <v>22084</v>
      </c>
      <c r="E23994" s="2">
        <v>542000</v>
      </c>
      <c r="F23994" s="4" t="e">
        <f>IF(B23994=#REF!,"",B23994)</f>
        <v>#REF!</v>
      </c>
    </row>
    <row r="23995" spans="1:6" ht="15.75" customHeight="1">
      <c r="A23995" s="16" t="s">
        <v>22609</v>
      </c>
      <c r="B23995" s="15" t="s">
        <v>22609</v>
      </c>
      <c r="C23995" s="16" t="s">
        <v>22070</v>
      </c>
      <c r="D23995" s="16" t="s">
        <v>22079</v>
      </c>
      <c r="E23995" s="2">
        <v>1502026</v>
      </c>
      <c r="F23995" s="4" t="e">
        <f>IF(B23995=#REF!,"",B23995)</f>
        <v>#REF!</v>
      </c>
    </row>
    <row r="23996" spans="1:6" ht="15.75" customHeight="1">
      <c r="A23996" s="16" t="s">
        <v>22608</v>
      </c>
      <c r="B23996" s="15" t="s">
        <v>22608</v>
      </c>
      <c r="C23996" s="16" t="s">
        <v>22070</v>
      </c>
      <c r="D23996" s="16" t="s">
        <v>22115</v>
      </c>
      <c r="E23996" s="2">
        <v>542184</v>
      </c>
      <c r="F23996" s="4" t="str">
        <f>IF(B23996=B23995,"",B23996)</f>
        <v>Krasnovishersk</v>
      </c>
    </row>
    <row r="23997" spans="1:6" ht="15.75" customHeight="1">
      <c r="A23997" s="16" t="s">
        <v>22606</v>
      </c>
      <c r="B23997" s="15" t="s">
        <v>22607</v>
      </c>
      <c r="C23997" s="16" t="s">
        <v>22070</v>
      </c>
      <c r="D23997" s="16" t="s">
        <v>22106</v>
      </c>
      <c r="E23997" s="2">
        <v>1502060</v>
      </c>
      <c r="F23997" s="4" t="str">
        <f>IF(B23997=B23996,"",B23997)</f>
        <v>Krasnouralâ€™sk</v>
      </c>
    </row>
    <row r="23998" spans="1:6" ht="15.75" customHeight="1">
      <c r="A23998" s="16" t="str">
        <f ca="1">IFERROR(__xludf.DUMMYFUNCTION("GOOGLETRANSLATE(B40813,""en"",""pt"")"),"Krasnoural'sk")</f>
        <v>Krasnoural'sk</v>
      </c>
      <c r="B23998" s="20" t="s">
        <v>35540</v>
      </c>
      <c r="C23998" s="20" t="s">
        <v>22070</v>
      </c>
      <c r="D23998" s="20" t="s">
        <v>22106</v>
      </c>
      <c r="E23998" s="10">
        <v>1502060</v>
      </c>
      <c r="F23998" s="4" t="e">
        <f>IF(B23998=#REF!,"",B23998)</f>
        <v>#REF!</v>
      </c>
    </row>
    <row r="23999" spans="1:6" ht="15.75" customHeight="1">
      <c r="A23999" s="16" t="s">
        <v>22605</v>
      </c>
      <c r="B23999" s="15" t="s">
        <v>22605</v>
      </c>
      <c r="C23999" s="16" t="s">
        <v>22070</v>
      </c>
      <c r="D23999" s="16" t="s">
        <v>22106</v>
      </c>
      <c r="E23999" s="2">
        <v>542199</v>
      </c>
      <c r="F23999" s="4" t="str">
        <f>IF(B23999=B23998,"",B23999)</f>
        <v>Krasnoufimsk</v>
      </c>
    </row>
    <row r="24000" spans="1:6" ht="15.75" customHeight="1">
      <c r="A24000" s="16" t="s">
        <v>22603</v>
      </c>
      <c r="B24000" s="15" t="s">
        <v>22604</v>
      </c>
      <c r="C24000" s="16" t="s">
        <v>22070</v>
      </c>
      <c r="D24000" s="16" t="s">
        <v>22106</v>
      </c>
      <c r="E24000" s="2">
        <v>1502061</v>
      </c>
      <c r="F24000" s="4" t="str">
        <f>IF(B24000=B23999,"",B24000)</f>
        <v>Krasnoturâ€™insk</v>
      </c>
    </row>
    <row r="24001" spans="1:6" ht="15.75" customHeight="1">
      <c r="A24001" s="16" t="str">
        <f ca="1">IFERROR(__xludf.DUMMYFUNCTION("GOOGLETRANSLATE(B40814,""en"",""pt"")"),"Krasnotur'insk")</f>
        <v>Krasnotur'insk</v>
      </c>
      <c r="B24001" s="20" t="s">
        <v>35541</v>
      </c>
      <c r="C24001" s="20" t="s">
        <v>22070</v>
      </c>
      <c r="D24001" s="20" t="s">
        <v>22106</v>
      </c>
      <c r="E24001" s="10">
        <v>1502061</v>
      </c>
      <c r="F24001" s="4" t="str">
        <f>IF(B24001=B24000,"",B24001)</f>
        <v>Krasnotur’insk</v>
      </c>
    </row>
    <row r="24002" spans="1:6" ht="15.75" customHeight="1">
      <c r="A24002" s="16" t="s">
        <v>27033</v>
      </c>
      <c r="B24002" s="15" t="s">
        <v>27034</v>
      </c>
      <c r="C24002" s="16" t="s">
        <v>26870</v>
      </c>
      <c r="D24002" s="16" t="s">
        <v>26873</v>
      </c>
      <c r="E24002" s="2">
        <v>704362</v>
      </c>
      <c r="F24002" s="4" t="str">
        <f>IF(B24002=B24001,"",B24002)</f>
        <v>Krasnoperekopsâ€™k</v>
      </c>
    </row>
    <row r="24003" spans="1:6" ht="15.75" customHeight="1">
      <c r="A24003" s="16" t="str">
        <f ca="1">IFERROR(__xludf.DUMMYFUNCTION("GOOGLETRANSLATE(B42606,""en"",""pt"")"),"Krasnoperekops'k")</f>
        <v>Krasnoperekops'k</v>
      </c>
      <c r="B24003" s="20" t="s">
        <v>36019</v>
      </c>
      <c r="C24003" s="20" t="s">
        <v>26870</v>
      </c>
      <c r="D24003" s="20" t="s">
        <v>26873</v>
      </c>
      <c r="E24003" s="10">
        <v>704362</v>
      </c>
      <c r="F24003" s="4" t="e">
        <f>IF(B24003=#REF!,"",B24003)</f>
        <v>#REF!</v>
      </c>
    </row>
    <row r="24004" spans="1:6" ht="15.75" customHeight="1">
      <c r="A24004" s="16" t="s">
        <v>22602</v>
      </c>
      <c r="B24004" s="15" t="s">
        <v>22602</v>
      </c>
      <c r="C24004" s="16" t="s">
        <v>22070</v>
      </c>
      <c r="D24004" s="16" t="s">
        <v>22092</v>
      </c>
      <c r="E24004" s="2">
        <v>1502091</v>
      </c>
      <c r="F24004" s="4" t="e">
        <f>IF(B24004=#REF!,"",B24004)</f>
        <v>#REF!</v>
      </c>
    </row>
    <row r="24005" spans="1:6" ht="15.75" customHeight="1">
      <c r="A24005" s="16" t="s">
        <v>22601</v>
      </c>
      <c r="B24005" s="15" t="s">
        <v>22601</v>
      </c>
      <c r="C24005" s="16" t="s">
        <v>22070</v>
      </c>
      <c r="D24005" s="16" t="s">
        <v>22115</v>
      </c>
      <c r="E24005" s="2">
        <v>542327</v>
      </c>
      <c r="F24005" s="4" t="e">
        <f>IF(B24005=#REF!,"",B24005)</f>
        <v>#REF!</v>
      </c>
    </row>
    <row r="24006" spans="1:6" ht="15.75" customHeight="1">
      <c r="A24006" s="16" t="s">
        <v>22600</v>
      </c>
      <c r="B24006" s="15" t="s">
        <v>22600</v>
      </c>
      <c r="C24006" s="16" t="s">
        <v>22070</v>
      </c>
      <c r="D24006" s="16" t="s">
        <v>22267</v>
      </c>
      <c r="E24006" s="2">
        <v>2021618</v>
      </c>
      <c r="F24006" s="4" t="e">
        <f>IF(B24006=#REF!,"",B24006)</f>
        <v>#REF!</v>
      </c>
    </row>
    <row r="24007" spans="1:6" ht="15.75" customHeight="1">
      <c r="A24007" s="16" t="s">
        <v>27032</v>
      </c>
      <c r="B24007" s="15" t="s">
        <v>27032</v>
      </c>
      <c r="C24007" s="16" t="s">
        <v>26870</v>
      </c>
      <c r="D24007" s="16" t="s">
        <v>26893</v>
      </c>
      <c r="E24007" s="2">
        <v>704388</v>
      </c>
      <c r="F24007" s="4" t="e">
        <f>IF(B24007=#REF!,"",B24007)</f>
        <v>#REF!</v>
      </c>
    </row>
    <row r="24008" spans="1:6" ht="15.75" customHeight="1">
      <c r="A24008" s="16" t="s">
        <v>22599</v>
      </c>
      <c r="B24008" s="15" t="s">
        <v>22599</v>
      </c>
      <c r="C24008" s="16" t="s">
        <v>22070</v>
      </c>
      <c r="D24008" s="16" t="s">
        <v>22084</v>
      </c>
      <c r="E24008" s="2">
        <v>8504952</v>
      </c>
      <c r="F24008" s="4" t="e">
        <f>IF(B24008=#REF!,"",B24008)</f>
        <v>#REF!</v>
      </c>
    </row>
    <row r="24009" spans="1:6" ht="15.75" customHeight="1">
      <c r="A24009" s="16" t="s">
        <v>22598</v>
      </c>
      <c r="B24009" s="15" t="s">
        <v>22598</v>
      </c>
      <c r="C24009" s="16" t="s">
        <v>22070</v>
      </c>
      <c r="D24009" s="16" t="s">
        <v>22117</v>
      </c>
      <c r="E24009" s="2">
        <v>542334</v>
      </c>
      <c r="F24009" s="4" t="e">
        <f>IF(B24009=#REF!,"",B24009)</f>
        <v>#REF!</v>
      </c>
    </row>
    <row r="24010" spans="1:6" ht="15.75" customHeight="1">
      <c r="A24010" s="16" t="s">
        <v>22597</v>
      </c>
      <c r="B24010" s="15" t="s">
        <v>22597</v>
      </c>
      <c r="C24010" s="16" t="s">
        <v>22070</v>
      </c>
      <c r="D24010" s="16" t="s">
        <v>22119</v>
      </c>
      <c r="E24010" s="2">
        <v>542374</v>
      </c>
      <c r="F24010" s="4" t="e">
        <f>IF(B24010=#REF!,"",B24010)</f>
        <v>#REF!</v>
      </c>
    </row>
    <row r="24011" spans="1:6" ht="15.75" customHeight="1">
      <c r="A24011" s="16" t="s">
        <v>27031</v>
      </c>
      <c r="B24011" s="15" t="s">
        <v>27031</v>
      </c>
      <c r="C24011" s="16" t="s">
        <v>26870</v>
      </c>
      <c r="D24011" s="16" t="s">
        <v>26871</v>
      </c>
      <c r="E24011" s="2">
        <v>704403</v>
      </c>
      <c r="F24011" s="4" t="e">
        <f>IF(B24011=#REF!,"",B24011)</f>
        <v>#REF!</v>
      </c>
    </row>
    <row r="24012" spans="1:6" ht="15.75" customHeight="1">
      <c r="A24012" s="16" t="s">
        <v>22596</v>
      </c>
      <c r="B24012" s="15" t="s">
        <v>22596</v>
      </c>
      <c r="C24012" s="16" t="s">
        <v>22070</v>
      </c>
      <c r="D24012" s="16" t="s">
        <v>22077</v>
      </c>
      <c r="E24012" s="2">
        <v>542420</v>
      </c>
      <c r="F24012" s="4" t="str">
        <f>IF(B24012=B24011,"",B24012)</f>
        <v>Krasnodar</v>
      </c>
    </row>
    <row r="24013" spans="1:6" ht="15.75" customHeight="1">
      <c r="A24013" s="16" t="s">
        <v>27029</v>
      </c>
      <c r="B24013" s="15" t="s">
        <v>27030</v>
      </c>
      <c r="C24013" s="16" t="s">
        <v>26870</v>
      </c>
      <c r="D24013" s="16" t="s">
        <v>22345</v>
      </c>
      <c r="E24013" s="2">
        <v>704422</v>
      </c>
      <c r="F24013" s="4" t="str">
        <f>IF(B24013=B24012,"",B24013)</f>
        <v>Krasnoarmiysâ€™k</v>
      </c>
    </row>
    <row r="24014" spans="1:6" ht="15.75" customHeight="1">
      <c r="A24014" s="16" t="str">
        <f ca="1">IFERROR(__xludf.DUMMYFUNCTION("GOOGLETRANSLATE(B42609,""en"",""pt"")"),"Krasnoarmiys'k")</f>
        <v>Krasnoarmiys'k</v>
      </c>
      <c r="B24014" s="20" t="s">
        <v>36020</v>
      </c>
      <c r="C24014" s="20" t="s">
        <v>26870</v>
      </c>
      <c r="D24014" s="20" t="s">
        <v>22345</v>
      </c>
      <c r="E24014" s="10">
        <v>704422</v>
      </c>
      <c r="F24014" s="4" t="e">
        <f>IF(B24014=#REF!,"",B24014)</f>
        <v>#REF!</v>
      </c>
    </row>
    <row r="24015" spans="1:6" ht="15.75" customHeight="1">
      <c r="A24015" s="16" t="s">
        <v>22594</v>
      </c>
      <c r="B24015" s="15" t="s">
        <v>22595</v>
      </c>
      <c r="C24015" s="16" t="s">
        <v>22070</v>
      </c>
      <c r="D24015" s="16" t="s">
        <v>22077</v>
      </c>
      <c r="E24015" s="2">
        <v>542461</v>
      </c>
      <c r="F24015" s="4" t="e">
        <f>IF(B24015=#REF!,"",B24015)</f>
        <v>#REF!</v>
      </c>
    </row>
    <row r="24016" spans="1:6" ht="15.75" customHeight="1">
      <c r="A24016" s="16" t="s">
        <v>22593</v>
      </c>
      <c r="B24016" s="15" t="s">
        <v>22593</v>
      </c>
      <c r="C24016" s="16" t="s">
        <v>22070</v>
      </c>
      <c r="D24016" s="16" t="s">
        <v>22119</v>
      </c>
      <c r="E24016" s="2">
        <v>542463</v>
      </c>
      <c r="F24016" s="4" t="str">
        <f>IF(B24016=B24015,"",B24016)</f>
        <v>Krasnoarmeysk</v>
      </c>
    </row>
    <row r="24017" spans="1:6" ht="15.75" customHeight="1">
      <c r="A24017" s="16" t="str">
        <f ca="1">IFERROR(__xludf.DUMMYFUNCTION("GOOGLETRANSLATE(B39261,""en"",""pt"")"),"Kraśnik")</f>
        <v>Kraśnik</v>
      </c>
      <c r="B24017" s="20" t="s">
        <v>35112</v>
      </c>
      <c r="C24017" s="20" t="s">
        <v>21064</v>
      </c>
      <c r="D24017" s="20" t="s">
        <v>21091</v>
      </c>
      <c r="E24017" s="10">
        <v>767623</v>
      </c>
      <c r="F24017" s="4" t="e">
        <f>IF(B24017=#REF!,"",B24017)</f>
        <v>#REF!</v>
      </c>
    </row>
    <row r="24018" spans="1:6" ht="15.75" customHeight="1">
      <c r="A24018" s="16" t="s">
        <v>21313</v>
      </c>
      <c r="B24018" s="15" t="s">
        <v>21313</v>
      </c>
      <c r="C24018" s="16" t="s">
        <v>21064</v>
      </c>
      <c r="D24018" s="16" t="s">
        <v>21165</v>
      </c>
      <c r="E24018" s="2">
        <v>3094788</v>
      </c>
      <c r="F24018" s="4" t="e">
        <f>IF(B24018=#REF!,"",B24018)</f>
        <v>#REF!</v>
      </c>
    </row>
    <row r="24019" spans="1:6" ht="15.75" customHeight="1">
      <c r="A24019" s="15" t="s">
        <v>23789</v>
      </c>
      <c r="B24019" s="15" t="s">
        <v>23789</v>
      </c>
      <c r="C24019" s="15" t="s">
        <v>23786</v>
      </c>
      <c r="D24019" s="15" t="s">
        <v>23789</v>
      </c>
      <c r="E24019" s="2">
        <v>3197378</v>
      </c>
      <c r="F24019" s="4" t="str">
        <f>IF(B24019=B24018,"",B24019)</f>
        <v>Kranj</v>
      </c>
    </row>
    <row r="24020" spans="1:6" ht="15.75" customHeight="1">
      <c r="A24020" s="16" t="s">
        <v>27027</v>
      </c>
      <c r="B24020" s="15" t="s">
        <v>27028</v>
      </c>
      <c r="C24020" s="16" t="s">
        <v>26870</v>
      </c>
      <c r="D24020" s="16" t="s">
        <v>22345</v>
      </c>
      <c r="E24020" s="2">
        <v>704508</v>
      </c>
      <c r="F24020" s="4" t="str">
        <f>IF(B24020=B24019,"",B24020)</f>
        <v>Kramatorsâ€™k</v>
      </c>
    </row>
    <row r="24021" spans="1:6" ht="15.75" customHeight="1">
      <c r="A24021" s="16" t="str">
        <f ca="1">IFERROR(__xludf.DUMMYFUNCTION("GOOGLETRANSLATE(B42611,""en"",""pt"")"),"Kramators'k")</f>
        <v>Kramators'k</v>
      </c>
      <c r="B24021" s="20" t="s">
        <v>36021</v>
      </c>
      <c r="C24021" s="20" t="s">
        <v>26870</v>
      </c>
      <c r="D24021" s="20" t="s">
        <v>22345</v>
      </c>
      <c r="E24021" s="10">
        <v>704508</v>
      </c>
      <c r="F24021" s="4" t="e">
        <f>IF(B24021=#REF!,"",B24021)</f>
        <v>#REF!</v>
      </c>
    </row>
    <row r="24022" spans="1:6" ht="15.75" customHeight="1">
      <c r="A24022" s="16" t="s">
        <v>6040</v>
      </c>
      <c r="B24022" s="15" t="s">
        <v>6041</v>
      </c>
      <c r="C24022" s="16" t="s">
        <v>5947</v>
      </c>
      <c r="D24022" s="16" t="s">
        <v>5985</v>
      </c>
      <c r="E24022" s="2">
        <v>3072929</v>
      </c>
      <c r="F24022" s="4" t="e">
        <f>IF(B24022=#REF!,"",B24022)</f>
        <v>#REF!</v>
      </c>
    </row>
    <row r="24023" spans="1:6" ht="15.75" customHeight="1">
      <c r="A24023" s="15" t="s">
        <v>23629</v>
      </c>
      <c r="B24023" s="15" t="s">
        <v>23629</v>
      </c>
      <c r="C24023" s="15" t="s">
        <v>23602</v>
      </c>
      <c r="D24023" s="15" t="s">
        <v>23603</v>
      </c>
      <c r="E24023" s="2">
        <v>789107</v>
      </c>
      <c r="F24023" s="4" t="e">
        <f>IF(B24023=#REF!,"",B24023)</f>
        <v>#REF!</v>
      </c>
    </row>
    <row r="24024" spans="1:6" ht="15.75" customHeight="1">
      <c r="A24024" s="16" t="s">
        <v>1841</v>
      </c>
      <c r="B24024" s="15" t="s">
        <v>1841</v>
      </c>
      <c r="C24024" s="16" t="s">
        <v>1842</v>
      </c>
      <c r="D24024" s="16" t="s">
        <v>1843</v>
      </c>
      <c r="E24024" s="2">
        <v>3513563</v>
      </c>
      <c r="F24024" s="4" t="e">
        <f>IF(B24024=#REF!,"",B24024)</f>
        <v>#REF!</v>
      </c>
    </row>
    <row r="24025" spans="1:6" ht="15.75" customHeight="1">
      <c r="A24025" s="15" t="s">
        <v>13984</v>
      </c>
      <c r="B24025" s="15" t="s">
        <v>13985</v>
      </c>
      <c r="C24025" s="15" t="s">
        <v>13800</v>
      </c>
      <c r="D24025" s="15" t="s">
        <v>13816</v>
      </c>
      <c r="E24025" s="2">
        <v>1639431</v>
      </c>
      <c r="F24025" s="4" t="str">
        <f>IF(B24025=B24024,"",B24025)</f>
        <v>Kraksaan</v>
      </c>
    </row>
    <row r="24026" spans="1:6" ht="15.75" customHeight="1">
      <c r="A24026" s="16" t="str">
        <f ca="1">IFERROR(__xludf.DUMMYFUNCTION("GOOGLETRANSLATE(B39424,""en"",""pt"")"),"Cracóvia")</f>
        <v>Cracóvia</v>
      </c>
      <c r="B24026" s="20" t="s">
        <v>35208</v>
      </c>
      <c r="C24026" s="20" t="s">
        <v>21064</v>
      </c>
      <c r="D24026" s="20" t="s">
        <v>21108</v>
      </c>
      <c r="E24026" s="10">
        <v>3094802</v>
      </c>
      <c r="F24026" s="4" t="str">
        <f>IF(B24026=B24025,"",B24026)</f>
        <v>Kraków</v>
      </c>
    </row>
    <row r="24027" spans="1:6" ht="15.75" customHeight="1">
      <c r="A24027" s="15" t="s">
        <v>21311</v>
      </c>
      <c r="B24027" s="15" t="s">
        <v>21312</v>
      </c>
      <c r="C24027" s="15" t="s">
        <v>21064</v>
      </c>
      <c r="D24027" s="15" t="s">
        <v>21108</v>
      </c>
      <c r="E24027" s="2">
        <v>3094802</v>
      </c>
      <c r="F24027" s="4" t="e">
        <f>IF(B24027=#REF!,"",B24027)</f>
        <v>#REF!</v>
      </c>
    </row>
    <row r="24028" spans="1:6" ht="15.75" customHeight="1">
      <c r="A24028" s="16" t="s">
        <v>23628</v>
      </c>
      <c r="B24028" s="15" t="s">
        <v>23628</v>
      </c>
      <c r="C24028" s="16" t="s">
        <v>23602</v>
      </c>
      <c r="D24028" s="16" t="s">
        <v>23603</v>
      </c>
      <c r="E24028" s="2">
        <v>789128</v>
      </c>
      <c r="F24028" s="4" t="e">
        <f>IF(B24028=#REF!,"",B24028)</f>
        <v>#REF!</v>
      </c>
    </row>
    <row r="24029" spans="1:6" ht="15.75" customHeight="1">
      <c r="A24029" s="15" t="s">
        <v>25909</v>
      </c>
      <c r="B24029" s="15" t="s">
        <v>25909</v>
      </c>
      <c r="C24029" s="15" t="s">
        <v>25771</v>
      </c>
      <c r="D24029" s="15" t="s">
        <v>25909</v>
      </c>
      <c r="E24029" s="2">
        <v>1152633</v>
      </c>
      <c r="F24029" s="4" t="e">
        <f>IF(B24029=#REF!,"",B24029)</f>
        <v>#REF!</v>
      </c>
    </row>
    <row r="24030" spans="1:6" ht="15.75" customHeight="1">
      <c r="A24030" s="16" t="s">
        <v>23918</v>
      </c>
      <c r="B24030" s="15" t="s">
        <v>23918</v>
      </c>
      <c r="C24030" s="16" t="s">
        <v>23842</v>
      </c>
      <c r="D24030" s="16" t="s">
        <v>23847</v>
      </c>
      <c r="E24030" s="2">
        <v>3365083</v>
      </c>
      <c r="F24030" s="4" t="str">
        <f>IF(B24030=B24029,"",B24030)</f>
        <v>Kraaifontein</v>
      </c>
    </row>
    <row r="24031" spans="1:6" ht="15.75" customHeight="1">
      <c r="A24031" s="15" t="s">
        <v>21309</v>
      </c>
      <c r="B24031" s="15" t="s">
        <v>21310</v>
      </c>
      <c r="C24031" s="15" t="s">
        <v>21064</v>
      </c>
      <c r="D24031" s="15" t="s">
        <v>21091</v>
      </c>
      <c r="E24031" s="2">
        <v>767623</v>
      </c>
      <c r="F24031" s="4" t="e">
        <f>IF(B24031=#REF!,"",B24031)</f>
        <v>#REF!</v>
      </c>
    </row>
    <row r="24032" spans="1:6" ht="15.75" customHeight="1">
      <c r="A24032" s="15" t="s">
        <v>9403</v>
      </c>
      <c r="B24032" s="15" t="s">
        <v>9403</v>
      </c>
      <c r="C24032" s="15" t="s">
        <v>9365</v>
      </c>
      <c r="D24032" s="15" t="s">
        <v>9375</v>
      </c>
      <c r="E24032" s="2">
        <v>2299233</v>
      </c>
      <c r="F24032" s="4" t="str">
        <f>IF(B24032=B24031,"",B24032)</f>
        <v>Kpandu</v>
      </c>
    </row>
    <row r="24033" spans="1:6" ht="15.75" customHeight="1">
      <c r="A24033" s="16" t="str">
        <f ca="1">IFERROR(__xludf.DUMMYFUNCTION("GOOGLETRANSLATE(B41503,""en"",""pt"")"),"Kpalimé")</f>
        <v>Kpalimé</v>
      </c>
      <c r="B24033" s="20" t="s">
        <v>26048</v>
      </c>
      <c r="C24033" s="20" t="s">
        <v>26038</v>
      </c>
      <c r="D24033" s="20" t="s">
        <v>21792</v>
      </c>
      <c r="E24033" s="10">
        <v>2365560</v>
      </c>
      <c r="F24033" s="4" t="str">
        <f>IF(B24033=B24032,"",B24033)</f>
        <v>Kpalimé</v>
      </c>
    </row>
    <row r="24034" spans="1:6" ht="15.75" customHeight="1">
      <c r="A24034" s="15" t="s">
        <v>26048</v>
      </c>
      <c r="B24034" s="15" t="s">
        <v>26049</v>
      </c>
      <c r="C24034" s="15" t="s">
        <v>26038</v>
      </c>
      <c r="D24034" s="15" t="s">
        <v>21792</v>
      </c>
      <c r="E24034" s="2">
        <v>2365560</v>
      </c>
      <c r="F24034" s="4" t="e">
        <f>IF(B24034=#REF!,"",B24034)</f>
        <v>#REF!</v>
      </c>
    </row>
    <row r="24035" spans="1:6" ht="15.75" customHeight="1">
      <c r="A24035" s="15" t="s">
        <v>27026</v>
      </c>
      <c r="B24035" s="15" t="s">
        <v>27026</v>
      </c>
      <c r="C24035" s="15" t="s">
        <v>26870</v>
      </c>
      <c r="D24035" s="15" t="s">
        <v>26895</v>
      </c>
      <c r="E24035" s="2">
        <v>706571</v>
      </c>
      <c r="F24035" s="4" t="e">
        <f>IF(B24035=#REF!,"",B24035)</f>
        <v>#REF!</v>
      </c>
    </row>
    <row r="24036" spans="1:6" ht="15.75" customHeight="1">
      <c r="A24036" s="15" t="s">
        <v>26609</v>
      </c>
      <c r="B24036" s="15" t="s">
        <v>26609</v>
      </c>
      <c r="C24036" s="15" t="s">
        <v>26201</v>
      </c>
      <c r="D24036" s="15" t="s">
        <v>26381</v>
      </c>
      <c r="E24036" s="2">
        <v>306041</v>
      </c>
      <c r="F24036" s="4" t="e">
        <f>IF(B24036=#REF!,"",B24036)</f>
        <v>#REF!</v>
      </c>
    </row>
    <row r="24037" spans="1:6" ht="15.75" customHeight="1">
      <c r="A24037" s="15" t="s">
        <v>21308</v>
      </c>
      <c r="B24037" s="15" t="s">
        <v>21308</v>
      </c>
      <c r="C24037" s="15" t="s">
        <v>21064</v>
      </c>
      <c r="D24037" s="15" t="s">
        <v>21070</v>
      </c>
      <c r="E24037" s="2">
        <v>767814</v>
      </c>
      <c r="F24037" s="4" t="e">
        <f>IF(B24037=#REF!,"",B24037)</f>
        <v>#REF!</v>
      </c>
    </row>
    <row r="24038" spans="1:6" ht="15.75" customHeight="1">
      <c r="A24038" s="16" t="s">
        <v>22592</v>
      </c>
      <c r="B24038" s="15" t="s">
        <v>22592</v>
      </c>
      <c r="C24038" s="16" t="s">
        <v>22070</v>
      </c>
      <c r="D24038" s="16" t="s">
        <v>22119</v>
      </c>
      <c r="E24038" s="2">
        <v>543254</v>
      </c>
      <c r="F24038" s="4" t="e">
        <f>IF(B24038=#REF!,"",B24038)</f>
        <v>#REF!</v>
      </c>
    </row>
    <row r="24039" spans="1:6" ht="15.75" customHeight="1">
      <c r="A24039" s="16" t="s">
        <v>12066</v>
      </c>
      <c r="B24039" s="15" t="s">
        <v>12066</v>
      </c>
      <c r="C24039" s="16" t="s">
        <v>10178</v>
      </c>
      <c r="D24039" s="16" t="s">
        <v>10246</v>
      </c>
      <c r="E24039" s="2">
        <v>1265873</v>
      </c>
      <c r="F24039" s="4" t="e">
        <f>IF(B24039=#REF!,"",B24039)</f>
        <v>#REF!</v>
      </c>
    </row>
    <row r="24040" spans="1:6" ht="15.75" customHeight="1">
      <c r="A24040" s="15" t="s">
        <v>22591</v>
      </c>
      <c r="B24040" s="15" t="s">
        <v>22591</v>
      </c>
      <c r="C24040" s="15" t="s">
        <v>22070</v>
      </c>
      <c r="D24040" s="15" t="s">
        <v>22127</v>
      </c>
      <c r="E24040" s="2">
        <v>543344</v>
      </c>
      <c r="F24040" s="4" t="str">
        <f>IF(B24040=B24039,"",B24040)</f>
        <v>Kozeyevo</v>
      </c>
    </row>
    <row r="24041" spans="1:6" ht="15.75" customHeight="1">
      <c r="A24041" s="16" t="s">
        <v>22589</v>
      </c>
      <c r="B24041" s="15" t="s">
        <v>22590</v>
      </c>
      <c r="C24041" s="16" t="s">
        <v>22070</v>
      </c>
      <c r="D24041" s="16" t="s">
        <v>22184</v>
      </c>
      <c r="E24041" s="2">
        <v>543348</v>
      </c>
      <c r="F24041" s="4" t="str">
        <f>IF(B24041=B24040,"",B24041)</f>
        <v>Kozelâ€™sk</v>
      </c>
    </row>
    <row r="24042" spans="1:6" ht="15.75" customHeight="1">
      <c r="A24042" s="16" t="str">
        <f ca="1">IFERROR(__xludf.DUMMYFUNCTION("GOOGLETRANSLATE(B40419,""en"",""pt"")"),"Kozel'sk")</f>
        <v>Kozel'sk</v>
      </c>
      <c r="B24042" s="20" t="s">
        <v>35501</v>
      </c>
      <c r="C24042" s="20" t="s">
        <v>22070</v>
      </c>
      <c r="D24042" s="20" t="s">
        <v>22184</v>
      </c>
      <c r="E24042" s="10">
        <v>543348</v>
      </c>
      <c r="F24042" s="4" t="str">
        <f>IF(B24042=B24041,"",B24042)</f>
        <v>Kozel’sk</v>
      </c>
    </row>
    <row r="24043" spans="1:6" ht="15.75" customHeight="1">
      <c r="A24043" s="16" t="str">
        <f ca="1">IFERROR(__xludf.DUMMYFUNCTION("GOOGLETRANSLATE(B31043,""en"",""pt"")"),"Kozáni")</f>
        <v>Kozáni</v>
      </c>
      <c r="B24043" s="20" t="s">
        <v>32749</v>
      </c>
      <c r="C24043" s="20" t="s">
        <v>9441</v>
      </c>
      <c r="D24043" s="20" t="s">
        <v>9511</v>
      </c>
      <c r="E24043" s="10">
        <v>735563</v>
      </c>
      <c r="F24043" s="4" t="e">
        <f>IF(B24043=#REF!,"",B24043)</f>
        <v>#REF!</v>
      </c>
    </row>
    <row r="24044" spans="1:6" ht="15.75" customHeight="1">
      <c r="A24044" s="15" t="s">
        <v>26608</v>
      </c>
      <c r="B24044" s="15" t="s">
        <v>26608</v>
      </c>
      <c r="C24044" s="15" t="s">
        <v>26201</v>
      </c>
      <c r="D24044" s="15" t="s">
        <v>26273</v>
      </c>
      <c r="E24044" s="2">
        <v>306112</v>
      </c>
      <c r="F24044" s="4" t="str">
        <f>IF(B24044=B24043,"",B24044)</f>
        <v>Kozan</v>
      </c>
    </row>
    <row r="24045" spans="1:6" ht="15.75" customHeight="1">
      <c r="A24045" s="16" t="str">
        <f ca="1">IFERROR(__xludf.DUMMYFUNCTION("GOOGLETRANSLATE(B35470,""en"",""pt"")"),"Kozakai-chō")</f>
        <v>Kozakai-chō</v>
      </c>
      <c r="B24045" s="20" t="s">
        <v>34352</v>
      </c>
      <c r="C24045" s="20" t="s">
        <v>15704</v>
      </c>
      <c r="D24045" s="20" t="s">
        <v>15729</v>
      </c>
      <c r="E24045" s="10">
        <v>1858591</v>
      </c>
      <c r="F24045" s="4" t="str">
        <f>IF(B24045=B24044,"",B24045)</f>
        <v>Kozakai-chō</v>
      </c>
    </row>
    <row r="24046" spans="1:6" ht="15.75" customHeight="1">
      <c r="A24046" s="16" t="s">
        <v>16166</v>
      </c>
      <c r="B24046" s="15" t="s">
        <v>16167</v>
      </c>
      <c r="C24046" s="16" t="s">
        <v>15704</v>
      </c>
      <c r="D24046" s="16" t="s">
        <v>15729</v>
      </c>
      <c r="E24046" s="2">
        <v>1858591</v>
      </c>
      <c r="F24046" s="4" t="str">
        <f>IF(B24046=B24045,"",B24046)</f>
        <v>Kozakai-chÅ</v>
      </c>
    </row>
    <row r="24047" spans="1:6" ht="15.75" customHeight="1">
      <c r="A24047" s="16" t="s">
        <v>22586</v>
      </c>
      <c r="B24047" s="15" t="s">
        <v>22587</v>
      </c>
      <c r="C24047" s="16" t="s">
        <v>22070</v>
      </c>
      <c r="D24047" s="16" t="s">
        <v>22588</v>
      </c>
      <c r="E24047" s="2">
        <v>543018</v>
      </c>
      <c r="F24047" s="4" t="str">
        <f>IF(B24047=B24046,"",B24047)</f>
        <v>Kozâ€™modemâ€™yansk</v>
      </c>
    </row>
    <row r="24048" spans="1:6" ht="15.75" customHeight="1">
      <c r="A24048" s="15" t="s">
        <v>9563</v>
      </c>
      <c r="B24048" s="15" t="s">
        <v>9564</v>
      </c>
      <c r="C24048" s="15" t="s">
        <v>9441</v>
      </c>
      <c r="D24048" s="15" t="s">
        <v>9511</v>
      </c>
      <c r="E24048" s="2">
        <v>735563</v>
      </c>
      <c r="F24048" s="4" t="str">
        <f>IF(B24048=B24047,"",B24048)</f>
        <v>KozÃ¡ni</v>
      </c>
    </row>
    <row r="24049" spans="1:6" ht="15.75" customHeight="1">
      <c r="A24049" s="16" t="str">
        <f ca="1">IFERROR(__xludf.DUMMYFUNCTION("GOOGLETRANSLATE(B40416,""en"",""pt"")"),"Koz'modem'yansk")</f>
        <v>Koz'modem'yansk</v>
      </c>
      <c r="B24049" s="20" t="s">
        <v>35500</v>
      </c>
      <c r="C24049" s="20" t="s">
        <v>22070</v>
      </c>
      <c r="D24049" s="20" t="s">
        <v>22588</v>
      </c>
      <c r="E24049" s="10">
        <v>543018</v>
      </c>
      <c r="F24049" s="4" t="e">
        <f>IF(B24049=#REF!,"",B24049)</f>
        <v>#REF!</v>
      </c>
    </row>
    <row r="24050" spans="1:6" ht="15.75" customHeight="1">
      <c r="A24050" s="16" t="s">
        <v>14695</v>
      </c>
      <c r="B24050" s="15" t="s">
        <v>14695</v>
      </c>
      <c r="C24050" s="16" t="s">
        <v>14594</v>
      </c>
      <c r="D24050" s="16" t="s">
        <v>14682</v>
      </c>
      <c r="E24050" s="2">
        <v>94220</v>
      </c>
      <c r="F24050" s="4" t="e">
        <f>IF(B24050=#REF!,"",B24050)</f>
        <v>#REF!</v>
      </c>
    </row>
    <row r="24051" spans="1:6" ht="15.75" customHeight="1">
      <c r="A24051" s="16" t="s">
        <v>12065</v>
      </c>
      <c r="B24051" s="15" t="s">
        <v>12065</v>
      </c>
      <c r="C24051" s="16" t="s">
        <v>10178</v>
      </c>
      <c r="D24051" s="16" t="s">
        <v>10214</v>
      </c>
      <c r="E24051" s="2">
        <v>1265881</v>
      </c>
      <c r="F24051" s="4" t="str">
        <f>IF(B24051=B24050,"",B24051)</f>
        <v>Koynanagar</v>
      </c>
    </row>
    <row r="24052" spans="1:6" ht="15.75" customHeight="1">
      <c r="A24052" s="16" t="str">
        <f ca="1">IFERROR(__xludf.DUMMYFUNCTION("GOOGLETRANSLATE(B36006,""en"",""pt"")"),"Kowŏn-ŭp")</f>
        <v>Kowŏn-ŭp</v>
      </c>
      <c r="B24052" s="20" t="s">
        <v>34445</v>
      </c>
      <c r="C24052" s="20" t="s">
        <v>19589</v>
      </c>
      <c r="D24052" s="20" t="s">
        <v>34439</v>
      </c>
      <c r="E24052" s="10">
        <v>1875588</v>
      </c>
      <c r="F24052" s="4" t="e">
        <f>IF(B24052=#REF!,"",B24052)</f>
        <v>#REF!</v>
      </c>
    </row>
    <row r="24053" spans="1:6" ht="15.75" customHeight="1">
      <c r="A24053" s="15" t="s">
        <v>9943</v>
      </c>
      <c r="B24053" s="15" t="s">
        <v>9943</v>
      </c>
      <c r="C24053" s="15" t="s">
        <v>9941</v>
      </c>
      <c r="D24053" s="15" t="s">
        <v>9944</v>
      </c>
      <c r="E24053" s="2">
        <v>1819609</v>
      </c>
      <c r="F24053" s="4" t="str">
        <f>IF(B24053=B24052,"",B24053)</f>
        <v>Kowloon</v>
      </c>
    </row>
    <row r="24054" spans="1:6" ht="15.75" customHeight="1">
      <c r="A24054" s="16" t="s">
        <v>19643</v>
      </c>
      <c r="B24054" s="15" t="s">
        <v>19644</v>
      </c>
      <c r="C24054" s="16" t="s">
        <v>19589</v>
      </c>
      <c r="D24054" s="16" t="s">
        <v>19616</v>
      </c>
      <c r="E24054" s="2">
        <v>1875588</v>
      </c>
      <c r="F24054" s="4" t="e">
        <f>IF(B24054=#REF!,"",B24054)</f>
        <v>#REF!</v>
      </c>
    </row>
    <row r="24055" spans="1:6" ht="15.75" customHeight="1">
      <c r="A24055" s="15" t="s">
        <v>22583</v>
      </c>
      <c r="B24055" s="15" t="s">
        <v>22584</v>
      </c>
      <c r="C24055" s="15" t="s">
        <v>22070</v>
      </c>
      <c r="D24055" s="15" t="s">
        <v>22585</v>
      </c>
      <c r="E24055" s="2">
        <v>543436</v>
      </c>
      <c r="F24055" s="4" t="str">
        <f>IF(B24055=B24054,"",B24055)</f>
        <v>Kovylkino</v>
      </c>
    </row>
    <row r="24056" spans="1:6" ht="15.75" customHeight="1">
      <c r="A24056" s="16" t="str">
        <f ca="1">IFERROR(__xludf.DUMMYFUNCTION("GOOGLETRANSLATE(B32986,""en"",""pt"")"),"Kovvūr")</f>
        <v>Kovvūr</v>
      </c>
      <c r="B24056" s="20" t="s">
        <v>33482</v>
      </c>
      <c r="C24056" s="20" t="s">
        <v>10178</v>
      </c>
      <c r="D24056" s="20" t="s">
        <v>10190</v>
      </c>
      <c r="E24056" s="10">
        <v>1265886</v>
      </c>
      <c r="F24056" s="4" t="str">
        <f>IF(B24056=B24055,"",B24056)</f>
        <v>Kovvūr</v>
      </c>
    </row>
    <row r="24057" spans="1:6" ht="15.75" customHeight="1">
      <c r="A24057" s="15" t="s">
        <v>12063</v>
      </c>
      <c r="B24057" s="15" t="s">
        <v>12064</v>
      </c>
      <c r="C24057" s="15" t="s">
        <v>10178</v>
      </c>
      <c r="D24057" s="15" t="s">
        <v>10190</v>
      </c>
      <c r="E24057" s="2">
        <v>1265886</v>
      </c>
      <c r="F24057" s="4" t="str">
        <f>IF(B24057=B24056,"",B24057)</f>
        <v>KovvÅ«r</v>
      </c>
    </row>
    <row r="24058" spans="1:6" ht="15.75" customHeight="1">
      <c r="A24058" s="16" t="str">
        <f ca="1">IFERROR(__xludf.DUMMYFUNCTION("GOOGLETRANSLATE(B32987,""en"",""pt"")"),"Kovūr")</f>
        <v>Kovūr</v>
      </c>
      <c r="B24058" s="20" t="s">
        <v>33483</v>
      </c>
      <c r="C24058" s="20" t="s">
        <v>10178</v>
      </c>
      <c r="D24058" s="20" t="s">
        <v>10190</v>
      </c>
      <c r="E24058" s="10">
        <v>1265888</v>
      </c>
      <c r="F24058" s="4" t="e">
        <f>IF(B24058=#REF!,"",B24058)</f>
        <v>#REF!</v>
      </c>
    </row>
    <row r="24059" spans="1:6" ht="15.75" customHeight="1">
      <c r="A24059" s="15" t="s">
        <v>22582</v>
      </c>
      <c r="B24059" s="15" t="s">
        <v>22582</v>
      </c>
      <c r="C24059" s="15" t="s">
        <v>22070</v>
      </c>
      <c r="D24059" s="15" t="s">
        <v>22113</v>
      </c>
      <c r="E24059" s="2">
        <v>543460</v>
      </c>
      <c r="F24059" s="4" t="e">
        <f>IF(B24059=#REF!,"",B24059)</f>
        <v>#REF!</v>
      </c>
    </row>
    <row r="24060" spans="1:6" ht="15.75" customHeight="1">
      <c r="A24060" s="15" t="s">
        <v>12062</v>
      </c>
      <c r="B24060" s="15" t="s">
        <v>12062</v>
      </c>
      <c r="C24060" s="15" t="s">
        <v>10178</v>
      </c>
      <c r="D24060" s="15" t="s">
        <v>10196</v>
      </c>
      <c r="E24060" s="2">
        <v>1265891</v>
      </c>
      <c r="F24060" s="4" t="str">
        <f>IF(B24060=B24059,"",B24060)</f>
        <v>Kovilpatti</v>
      </c>
    </row>
    <row r="24061" spans="1:6" ht="15.75" customHeight="1">
      <c r="A24061" s="15" t="s">
        <v>27024</v>
      </c>
      <c r="B24061" s="15" t="s">
        <v>27025</v>
      </c>
      <c r="C24061" s="15" t="s">
        <v>26870</v>
      </c>
      <c r="D24061" s="15" t="s">
        <v>27007</v>
      </c>
      <c r="E24061" s="2">
        <v>704617</v>
      </c>
      <c r="F24061" s="4" t="str">
        <f>IF(B24061=B24060,"",B24061)</f>
        <v>Kovelâ€™</v>
      </c>
    </row>
    <row r="24062" spans="1:6" ht="15.75" customHeight="1">
      <c r="A24062" s="16" t="str">
        <f ca="1">IFERROR(__xludf.DUMMYFUNCTION("GOOGLETRANSLATE(B42613,""en"",""pt"")"),"Kovel '")</f>
        <v>Kovel '</v>
      </c>
      <c r="B24062" s="20" t="s">
        <v>36022</v>
      </c>
      <c r="C24062" s="20" t="s">
        <v>26870</v>
      </c>
      <c r="D24062" s="20" t="s">
        <v>27007</v>
      </c>
      <c r="E24062" s="10">
        <v>704617</v>
      </c>
      <c r="F24062" s="4" t="e">
        <f>IF(B24062=#REF!,"",B24062)</f>
        <v>#REF!</v>
      </c>
    </row>
    <row r="24063" spans="1:6" ht="15.75" customHeight="1">
      <c r="A24063" s="15" t="s">
        <v>22581</v>
      </c>
      <c r="B24063" s="15" t="s">
        <v>22581</v>
      </c>
      <c r="C24063" s="15" t="s">
        <v>22070</v>
      </c>
      <c r="D24063" s="15" t="s">
        <v>22143</v>
      </c>
      <c r="E24063" s="2">
        <v>543508</v>
      </c>
      <c r="F24063" s="4" t="str">
        <f>IF(B24063=B24062,"",B24063)</f>
        <v>Kovdor</v>
      </c>
    </row>
    <row r="24064" spans="1:6" ht="15.75" customHeight="1">
      <c r="A24064" s="16" t="str">
        <f ca="1">IFERROR(__xludf.DUMMYFUNCTION("GOOGLETRANSLATE(B41955,""en"",""pt"")"),"Kovancılar")</f>
        <v>Kovancılar</v>
      </c>
      <c r="B24064" s="20" t="s">
        <v>35854</v>
      </c>
      <c r="C24064" s="20" t="s">
        <v>26201</v>
      </c>
      <c r="D24064" s="20" t="s">
        <v>35855</v>
      </c>
      <c r="E24064" s="10">
        <v>306207</v>
      </c>
      <c r="F24064" s="4" t="str">
        <f>IF(B24064=B24063,"",B24064)</f>
        <v>Kovancılar</v>
      </c>
    </row>
    <row r="24065" spans="1:6" ht="15.75" customHeight="1">
      <c r="A24065" s="16" t="s">
        <v>26606</v>
      </c>
      <c r="B24065" s="15" t="s">
        <v>26607</v>
      </c>
      <c r="C24065" s="16" t="s">
        <v>26201</v>
      </c>
      <c r="D24065" s="16" t="s">
        <v>26378</v>
      </c>
      <c r="E24065" s="2">
        <v>306207</v>
      </c>
      <c r="F24065" s="4" t="str">
        <f>IF(B24065=B24064,"",B24065)</f>
        <v>KovancÄ±lar</v>
      </c>
    </row>
    <row r="24066" spans="1:6" ht="15.75" customHeight="1">
      <c r="A24066" s="15" t="s">
        <v>12060</v>
      </c>
      <c r="B24066" s="15" t="s">
        <v>12061</v>
      </c>
      <c r="C24066" s="15" t="s">
        <v>10178</v>
      </c>
      <c r="D24066" s="15" t="s">
        <v>10190</v>
      </c>
      <c r="E24066" s="2">
        <v>1265888</v>
      </c>
      <c r="F24066" s="4" t="e">
        <f>IF(B24066=#REF!,"",B24066)</f>
        <v>#REF!</v>
      </c>
    </row>
    <row r="24067" spans="1:6" ht="15.75" customHeight="1">
      <c r="A24067" s="15" t="s">
        <v>6997</v>
      </c>
      <c r="B24067" s="15" t="s">
        <v>6997</v>
      </c>
      <c r="C24067" s="15" t="s">
        <v>6948</v>
      </c>
      <c r="D24067" s="15" t="s">
        <v>6949</v>
      </c>
      <c r="E24067" s="2">
        <v>650859</v>
      </c>
      <c r="F24067" s="4" t="e">
        <f>IF(B24067=#REF!,"",B24067)</f>
        <v>#REF!</v>
      </c>
    </row>
    <row r="24068" spans="1:6" ht="15.75" customHeight="1">
      <c r="A24068" s="15" t="s">
        <v>17610</v>
      </c>
      <c r="B24068" s="15" t="s">
        <v>17610</v>
      </c>
      <c r="C24068" s="15" t="s">
        <v>17596</v>
      </c>
      <c r="D24068" s="15" t="s">
        <v>17602</v>
      </c>
      <c r="E24068" s="2">
        <v>2454268</v>
      </c>
      <c r="F24068" s="4" t="str">
        <f>IF(B24068=B24067,"",B24068)</f>
        <v>Koutiala</v>
      </c>
    </row>
    <row r="24069" spans="1:6" ht="15.75" customHeight="1">
      <c r="A24069" s="16" t="str">
        <f ca="1">IFERROR(__xludf.DUMMYFUNCTION("GOOGLETRANSLATE(B26014,""en"",""pt"")"),"Kousséri")</f>
        <v>Kousséri</v>
      </c>
      <c r="B24069" s="20" t="s">
        <v>31817</v>
      </c>
      <c r="C24069" s="20" t="s">
        <v>3884</v>
      </c>
      <c r="D24069" s="20" t="s">
        <v>3906</v>
      </c>
      <c r="E24069" s="10">
        <v>2229798</v>
      </c>
      <c r="F24069" s="4" t="str">
        <f>IF(B24069=B24068,"",B24069)</f>
        <v>Kousséri</v>
      </c>
    </row>
    <row r="24070" spans="1:6" ht="15.75" customHeight="1">
      <c r="A24070" s="15" t="s">
        <v>3930</v>
      </c>
      <c r="B24070" s="15" t="s">
        <v>3931</v>
      </c>
      <c r="C24070" s="15" t="s">
        <v>3884</v>
      </c>
      <c r="D24070" s="15" t="s">
        <v>3906</v>
      </c>
      <c r="E24070" s="2">
        <v>2229798</v>
      </c>
      <c r="F24070" s="4" t="e">
        <f>IF(B24070=#REF!,"",B24070)</f>
        <v>#REF!</v>
      </c>
    </row>
    <row r="24071" spans="1:6" ht="15.75" customHeight="1">
      <c r="A24071" s="15" t="s">
        <v>6671</v>
      </c>
      <c r="B24071" s="15" t="s">
        <v>6671</v>
      </c>
      <c r="C24071" s="15" t="s">
        <v>6495</v>
      </c>
      <c r="D24071" s="15" t="s">
        <v>6634</v>
      </c>
      <c r="E24071" s="2">
        <v>350422</v>
      </c>
      <c r="F24071" s="4" t="e">
        <f>IF(B24071=#REF!,"",B24071)</f>
        <v>#REF!</v>
      </c>
    </row>
    <row r="24072" spans="1:6" ht="15.75" customHeight="1">
      <c r="A24072" s="15" t="s">
        <v>7944</v>
      </c>
      <c r="B24072" s="15" t="s">
        <v>7944</v>
      </c>
      <c r="C24072" s="15" t="s">
        <v>7942</v>
      </c>
      <c r="D24072" s="15" t="s">
        <v>7943</v>
      </c>
      <c r="E24072" s="2">
        <v>3381303</v>
      </c>
      <c r="F24072" s="4" t="str">
        <f>IF(B24072=B24071,"",B24072)</f>
        <v>Kourou</v>
      </c>
    </row>
    <row r="24073" spans="1:6" ht="15.75" customHeight="1">
      <c r="A24073" s="16" t="str">
        <f ca="1">IFERROR(__xludf.DUMMYFUNCTION("GOOGLETRANSLATE(B23987,""en"",""pt"")"),"Koupéla")</f>
        <v>Koupéla</v>
      </c>
      <c r="B24073" s="20" t="s">
        <v>31318</v>
      </c>
      <c r="C24073" s="20" t="s">
        <v>3768</v>
      </c>
      <c r="D24073" s="20" t="s">
        <v>3791</v>
      </c>
      <c r="E24073" s="10">
        <v>2358738</v>
      </c>
      <c r="F24073" s="4" t="str">
        <f>IF(B24073=B24072,"",B24073)</f>
        <v>Koupéla</v>
      </c>
    </row>
    <row r="24074" spans="1:6" ht="15.75" customHeight="1">
      <c r="A24074" s="16" t="s">
        <v>3803</v>
      </c>
      <c r="B24074" s="15" t="s">
        <v>3804</v>
      </c>
      <c r="C24074" s="16" t="s">
        <v>3768</v>
      </c>
      <c r="D24074" s="16" t="s">
        <v>3791</v>
      </c>
      <c r="E24074" s="2">
        <v>2358738</v>
      </c>
      <c r="F24074" s="4" t="e">
        <f>IF(B24074=#REF!,"",B24074)</f>
        <v>#REF!</v>
      </c>
    </row>
    <row r="24075" spans="1:6" ht="15.75" customHeight="1">
      <c r="A24075" s="15" t="s">
        <v>17703</v>
      </c>
      <c r="B24075" s="15" t="s">
        <v>17703</v>
      </c>
      <c r="C24075" s="15" t="s">
        <v>17702</v>
      </c>
      <c r="D24075" s="15" t="s">
        <v>17703</v>
      </c>
      <c r="E24075" s="2">
        <v>1090225</v>
      </c>
      <c r="F24075" s="4" t="e">
        <f>IF(B24075=#REF!,"",B24075)</f>
        <v>#REF!</v>
      </c>
    </row>
    <row r="24076" spans="1:6" ht="15.75" customHeight="1">
      <c r="A24076" s="15" t="s">
        <v>4329</v>
      </c>
      <c r="B24076" s="15" t="s">
        <v>4329</v>
      </c>
      <c r="C24076" s="15" t="s">
        <v>4305</v>
      </c>
      <c r="D24076" s="15" t="s">
        <v>4330</v>
      </c>
      <c r="E24076" s="2">
        <v>2429605</v>
      </c>
      <c r="F24076" s="4" t="e">
        <f>IF(B24076=#REF!,"",B24076)</f>
        <v>#REF!</v>
      </c>
    </row>
    <row r="24077" spans="1:6" ht="15.75" customHeight="1">
      <c r="A24077" s="15" t="s">
        <v>17600</v>
      </c>
      <c r="B24077" s="15" t="s">
        <v>17600</v>
      </c>
      <c r="C24077" s="15" t="s">
        <v>17596</v>
      </c>
      <c r="D24077" s="15" t="s">
        <v>17600</v>
      </c>
      <c r="E24077" s="2">
        <v>2454530</v>
      </c>
      <c r="F24077" s="4" t="e">
        <f>IF(B24077=#REF!,"",B24077)</f>
        <v>#REF!</v>
      </c>
    </row>
    <row r="24078" spans="1:6" ht="15.75" customHeight="1">
      <c r="A24078" s="16" t="s">
        <v>7962</v>
      </c>
      <c r="B24078" s="15" t="s">
        <v>7963</v>
      </c>
      <c r="C24078" s="16" t="s">
        <v>7960</v>
      </c>
      <c r="D24078" s="16" t="s">
        <v>7964</v>
      </c>
      <c r="E24078" s="2">
        <v>2399959</v>
      </c>
      <c r="F24078" s="4" t="e">
        <f>IF(B24078=#REF!,"",B24078)</f>
        <v>#REF!</v>
      </c>
    </row>
    <row r="24079" spans="1:6" ht="15.75" customHeight="1">
      <c r="A24079" s="16" t="s">
        <v>3802</v>
      </c>
      <c r="B24079" s="15" t="s">
        <v>3802</v>
      </c>
      <c r="C24079" s="16" t="s">
        <v>3768</v>
      </c>
      <c r="D24079" s="16" t="s">
        <v>3798</v>
      </c>
      <c r="E24079" s="2">
        <v>2358946</v>
      </c>
      <c r="F24079" s="4" t="str">
        <f>IF(B24079=B24078,"",B24079)</f>
        <v>Koudougou</v>
      </c>
    </row>
    <row r="24080" spans="1:6" ht="15.75" customHeight="1">
      <c r="A24080" s="16" t="str">
        <f ca="1">IFERROR(__xludf.DUMMYFUNCTION("GOOGLETRANSLATE(B32989,""en"",""pt"")"),"Kottūru")</f>
        <v>Kottūru</v>
      </c>
      <c r="B24080" s="20" t="s">
        <v>33484</v>
      </c>
      <c r="C24080" s="20" t="s">
        <v>10178</v>
      </c>
      <c r="D24080" s="20" t="s">
        <v>10252</v>
      </c>
      <c r="E24080" s="10">
        <v>1265905</v>
      </c>
      <c r="F24080" s="4" t="e">
        <f>IF(B24080=#REF!,"",B24080)</f>
        <v>#REF!</v>
      </c>
    </row>
    <row r="24081" spans="1:6" ht="15.75" customHeight="1">
      <c r="A24081" s="15" t="s">
        <v>12059</v>
      </c>
      <c r="B24081" s="15" t="s">
        <v>12059</v>
      </c>
      <c r="C24081" s="15" t="s">
        <v>10178</v>
      </c>
      <c r="D24081" s="15" t="s">
        <v>10246</v>
      </c>
      <c r="E24081" s="2">
        <v>1265911</v>
      </c>
      <c r="F24081" s="4" t="str">
        <f>IF(B24081=B24080,"",B24081)</f>
        <v>Kottayam</v>
      </c>
    </row>
    <row r="24082" spans="1:6" ht="15.75" customHeight="1">
      <c r="A24082" s="16" t="str">
        <f ca="1">IFERROR(__xludf.DUMMYFUNCTION("GOOGLETRANSLATE(B32991,""en"",""pt"")"),"Kottagūdem")</f>
        <v>Kottagūdem</v>
      </c>
      <c r="B24082" s="20" t="s">
        <v>33485</v>
      </c>
      <c r="C24082" s="20" t="s">
        <v>10178</v>
      </c>
      <c r="D24082" s="20" t="s">
        <v>10187</v>
      </c>
      <c r="E24082" s="10">
        <v>1265938</v>
      </c>
      <c r="F24082" s="4" t="str">
        <f>IF(B24082=B24081,"",B24082)</f>
        <v>Kottagūdem</v>
      </c>
    </row>
    <row r="24083" spans="1:6" ht="15.75" customHeight="1">
      <c r="A24083" s="16" t="s">
        <v>12057</v>
      </c>
      <c r="B24083" s="15" t="s">
        <v>12058</v>
      </c>
      <c r="C24083" s="16" t="s">
        <v>10178</v>
      </c>
      <c r="D24083" s="16" t="s">
        <v>10187</v>
      </c>
      <c r="E24083" s="2">
        <v>1265938</v>
      </c>
      <c r="F24083" s="4" t="str">
        <f>IF(B24083=B24082,"",B24083)</f>
        <v>KottagÅ«dem</v>
      </c>
    </row>
    <row r="24084" spans="1:6" ht="15.75" customHeight="1">
      <c r="A24084" s="15" t="s">
        <v>12055</v>
      </c>
      <c r="B24084" s="15" t="s">
        <v>12056</v>
      </c>
      <c r="C24084" s="15" t="s">
        <v>10178</v>
      </c>
      <c r="D24084" s="15" t="s">
        <v>10252</v>
      </c>
      <c r="E24084" s="2">
        <v>1265905</v>
      </c>
      <c r="F24084" s="4" t="e">
        <f>IF(B24084=#REF!,"",B24084)</f>
        <v>#REF!</v>
      </c>
    </row>
    <row r="24085" spans="1:6" ht="15.75" customHeight="1">
      <c r="A24085" s="15" t="s">
        <v>20050</v>
      </c>
      <c r="B24085" s="15" t="s">
        <v>20050</v>
      </c>
      <c r="C24085" s="15" t="s">
        <v>19808</v>
      </c>
      <c r="D24085" s="15" t="s">
        <v>19823</v>
      </c>
      <c r="E24085" s="2">
        <v>1172904</v>
      </c>
      <c r="F24085" s="4" t="e">
        <f>IF(B24085=#REF!,"",B24085)</f>
        <v>#REF!</v>
      </c>
    </row>
    <row r="24086" spans="1:6" ht="15.75" customHeight="1">
      <c r="A24086" s="15" t="s">
        <v>12054</v>
      </c>
      <c r="B24086" s="15" t="s">
        <v>12054</v>
      </c>
      <c r="C24086" s="15" t="s">
        <v>10178</v>
      </c>
      <c r="D24086" s="15" t="s">
        <v>10179</v>
      </c>
      <c r="E24086" s="2">
        <v>1265961</v>
      </c>
      <c r="F24086" s="4" t="e">
        <f>IF(B24086=#REF!,"",B24086)</f>
        <v>#REF!</v>
      </c>
    </row>
    <row r="24087" spans="1:6" ht="15.75" customHeight="1">
      <c r="A24087" s="15" t="s">
        <v>22580</v>
      </c>
      <c r="B24087" s="15" t="s">
        <v>22580</v>
      </c>
      <c r="C24087" s="15" t="s">
        <v>22070</v>
      </c>
      <c r="D24087" s="15" t="s">
        <v>22529</v>
      </c>
      <c r="E24087" s="2">
        <v>543605</v>
      </c>
      <c r="F24087" s="4" t="str">
        <f>IF(B24087=B24086,"",B24087)</f>
        <v>Kotovsk</v>
      </c>
    </row>
    <row r="24088" spans="1:6" ht="15.75" customHeight="1">
      <c r="A24088" s="15" t="s">
        <v>27022</v>
      </c>
      <c r="B24088" s="15" t="s">
        <v>27023</v>
      </c>
      <c r="C24088" s="15" t="s">
        <v>26870</v>
      </c>
      <c r="D24088" s="15" t="s">
        <v>26884</v>
      </c>
      <c r="E24088" s="2">
        <v>704679</v>
      </c>
      <c r="F24088" s="4" t="str">
        <f>IF(B24088=B24087,"",B24088)</f>
        <v>Kotovsâ€™k</v>
      </c>
    </row>
    <row r="24089" spans="1:6" ht="15.75" customHeight="1">
      <c r="A24089" s="16" t="str">
        <f ca="1">IFERROR(__xludf.DUMMYFUNCTION("GOOGLETRANSLATE(B42614,""en"",""pt"")"),"Kotovs'k")</f>
        <v>Kotovs'k</v>
      </c>
      <c r="B24089" s="20" t="s">
        <v>36023</v>
      </c>
      <c r="C24089" s="20" t="s">
        <v>26870</v>
      </c>
      <c r="D24089" s="20" t="s">
        <v>26884</v>
      </c>
      <c r="E24089" s="10">
        <v>704679</v>
      </c>
      <c r="F24089" s="4" t="e">
        <f>IF(B24089=#REF!,"",B24089)</f>
        <v>#REF!</v>
      </c>
    </row>
    <row r="24090" spans="1:6" ht="15.75" customHeight="1">
      <c r="A24090" s="15" t="s">
        <v>22579</v>
      </c>
      <c r="B24090" s="15" t="s">
        <v>22579</v>
      </c>
      <c r="C24090" s="15" t="s">
        <v>22070</v>
      </c>
      <c r="D24090" s="15" t="s">
        <v>22351</v>
      </c>
      <c r="E24090" s="2">
        <v>543633</v>
      </c>
      <c r="F24090" s="4" t="e">
        <f>IF(B24090=#REF!,"",B24090)</f>
        <v>#REF!</v>
      </c>
    </row>
    <row r="24091" spans="1:6" ht="15.75" customHeight="1">
      <c r="A24091" s="15" t="s">
        <v>12053</v>
      </c>
      <c r="B24091" s="15" t="s">
        <v>12053</v>
      </c>
      <c r="C24091" s="15" t="s">
        <v>10178</v>
      </c>
      <c r="D24091" s="15" t="s">
        <v>10219</v>
      </c>
      <c r="E24091" s="2">
        <v>1265964</v>
      </c>
      <c r="F24091" s="4" t="e">
        <f>IF(B24091=#REF!,"",B24091)</f>
        <v>#REF!</v>
      </c>
    </row>
    <row r="24092" spans="1:6" ht="15.75" customHeight="1">
      <c r="A24092" s="15" t="s">
        <v>22578</v>
      </c>
      <c r="B24092" s="15" t="s">
        <v>22578</v>
      </c>
      <c r="C24092" s="15" t="s">
        <v>22070</v>
      </c>
      <c r="D24092" s="15" t="s">
        <v>22127</v>
      </c>
      <c r="E24092" s="2">
        <v>506043</v>
      </c>
      <c r="F24092" s="4" t="str">
        <f>IF(B24092=B24091,"",B24092)</f>
        <v>Kotlovka</v>
      </c>
    </row>
    <row r="24093" spans="1:6" ht="15.75" customHeight="1">
      <c r="A24093" s="16" t="str">
        <f ca="1">IFERROR(__xludf.DUMMYFUNCTION("GOOGLETRANSLATE(B39021,""en"",""pt"")"),"Kotli Lohārān")</f>
        <v>Kotli Lohārān</v>
      </c>
      <c r="B24093" s="20" t="s">
        <v>34976</v>
      </c>
      <c r="C24093" s="20" t="s">
        <v>19808</v>
      </c>
      <c r="D24093" s="20" t="s">
        <v>10184</v>
      </c>
      <c r="E24093" s="10">
        <v>1173025</v>
      </c>
      <c r="F24093" s="4" t="str">
        <f>IF(B24093=B24092,"",B24093)</f>
        <v>Kotli Lohārān</v>
      </c>
    </row>
    <row r="24094" spans="1:6" ht="15.75" customHeight="1">
      <c r="A24094" s="16" t="s">
        <v>20048</v>
      </c>
      <c r="B24094" s="15" t="s">
        <v>20049</v>
      </c>
      <c r="C24094" s="16" t="s">
        <v>19808</v>
      </c>
      <c r="D24094" s="16" t="s">
        <v>10184</v>
      </c>
      <c r="E24094" s="2">
        <v>1173025</v>
      </c>
      <c r="F24094" s="4" t="e">
        <f>IF(B24094=#REF!,"",B24094)</f>
        <v>#REF!</v>
      </c>
    </row>
    <row r="24095" spans="1:6" ht="15.75" customHeight="1">
      <c r="A24095" s="15" t="s">
        <v>20047</v>
      </c>
      <c r="B24095" s="15" t="s">
        <v>20047</v>
      </c>
      <c r="C24095" s="15" t="s">
        <v>19808</v>
      </c>
      <c r="D24095" s="15" t="s">
        <v>19845</v>
      </c>
      <c r="E24095" s="2">
        <v>1173055</v>
      </c>
      <c r="F24095" s="4" t="e">
        <f>IF(B24095=#REF!,"",B24095)</f>
        <v>#REF!</v>
      </c>
    </row>
    <row r="24096" spans="1:6" ht="15.75" customHeight="1">
      <c r="A24096" s="15" t="s">
        <v>22577</v>
      </c>
      <c r="B24096" s="15" t="s">
        <v>22577</v>
      </c>
      <c r="C24096" s="15" t="s">
        <v>22070</v>
      </c>
      <c r="D24096" s="15" t="s">
        <v>22151</v>
      </c>
      <c r="E24096" s="2">
        <v>543704</v>
      </c>
      <c r="F24096" s="4" t="e">
        <f>IF(B24096=#REF!,"",B24096)</f>
        <v>#REF!</v>
      </c>
    </row>
    <row r="24097" spans="1:6" ht="15.75" customHeight="1">
      <c r="A24097" s="16" t="s">
        <v>12052</v>
      </c>
      <c r="B24097" s="15" t="s">
        <v>12052</v>
      </c>
      <c r="C24097" s="16" t="s">
        <v>10178</v>
      </c>
      <c r="D24097" s="16" t="s">
        <v>10184</v>
      </c>
      <c r="E24097" s="2">
        <v>7279734</v>
      </c>
      <c r="F24097" s="4" t="e">
        <f>IF(B24097=#REF!,"",B24097)</f>
        <v>#REF!</v>
      </c>
    </row>
    <row r="24098" spans="1:6" ht="15.75" customHeight="1">
      <c r="A24098" s="15" t="s">
        <v>6996</v>
      </c>
      <c r="B24098" s="15" t="s">
        <v>6996</v>
      </c>
      <c r="C24098" s="15" t="s">
        <v>6948</v>
      </c>
      <c r="D24098" s="15" t="s">
        <v>6949</v>
      </c>
      <c r="E24098" s="2">
        <v>650946</v>
      </c>
      <c r="F24098" s="4" t="e">
        <f>IF(B24098=#REF!,"",B24098)</f>
        <v>#REF!</v>
      </c>
    </row>
    <row r="24099" spans="1:6" ht="15.75" customHeight="1">
      <c r="A24099" s="16" t="s">
        <v>24959</v>
      </c>
      <c r="B24099" s="15" t="s">
        <v>24959</v>
      </c>
      <c r="C24099" s="16" t="s">
        <v>24924</v>
      </c>
      <c r="D24099" s="16" t="s">
        <v>6944</v>
      </c>
      <c r="E24099" s="2">
        <v>1239047</v>
      </c>
      <c r="F24099" s="4" t="e">
        <f>IF(B24099=#REF!,"",B24099)</f>
        <v>#REF!</v>
      </c>
    </row>
    <row r="24100" spans="1:6" ht="15.75" customHeight="1">
      <c r="A24100" s="15" t="s">
        <v>26843</v>
      </c>
      <c r="B24100" s="15" t="s">
        <v>26843</v>
      </c>
      <c r="C24100" s="15" t="s">
        <v>26820</v>
      </c>
      <c r="D24100" s="15" t="s">
        <v>17416</v>
      </c>
      <c r="E24100" s="2">
        <v>230617</v>
      </c>
      <c r="F24100" s="4" t="str">
        <f>IF(B24100=B24099,"",B24100)</f>
        <v>Kotido</v>
      </c>
    </row>
    <row r="24101" spans="1:6" ht="15.75" customHeight="1">
      <c r="A24101" s="16" t="str">
        <f ca="1">IFERROR(__xludf.DUMMYFUNCTION("GOOGLETRANSLATE(B27865,""en"",""pt"")"),"Köthen")</f>
        <v>Köthen</v>
      </c>
      <c r="B24101" s="20" t="s">
        <v>32074</v>
      </c>
      <c r="C24101" s="20" t="s">
        <v>8028</v>
      </c>
      <c r="D24101" s="20" t="s">
        <v>8085</v>
      </c>
      <c r="E24101" s="10">
        <v>2885237</v>
      </c>
      <c r="F24101" s="4" t="str">
        <f>IF(B24101=B24100,"",B24101)</f>
        <v>Köthen</v>
      </c>
    </row>
    <row r="24102" spans="1:6" ht="15.75" customHeight="1">
      <c r="A24102" s="16" t="s">
        <v>22575</v>
      </c>
      <c r="B24102" s="15" t="s">
        <v>22576</v>
      </c>
      <c r="C24102" s="16" t="s">
        <v>22070</v>
      </c>
      <c r="D24102" s="16" t="s">
        <v>22351</v>
      </c>
      <c r="E24102" s="2">
        <v>543728</v>
      </c>
      <c r="F24102" s="4" t="str">
        <f>IF(B24102=B24101,"",B24102)</f>
        <v>Kotelâ€™nikovo</v>
      </c>
    </row>
    <row r="24103" spans="1:6" ht="15.75" customHeight="1">
      <c r="A24103" s="16" t="s">
        <v>22573</v>
      </c>
      <c r="B24103" s="15" t="s">
        <v>22574</v>
      </c>
      <c r="C24103" s="16" t="s">
        <v>22070</v>
      </c>
      <c r="D24103" s="16" t="s">
        <v>22119</v>
      </c>
      <c r="E24103" s="2">
        <v>543731</v>
      </c>
      <c r="F24103" s="4" t="str">
        <f>IF(B24103=B24102,"",B24103)</f>
        <v>Kotelâ€™niki</v>
      </c>
    </row>
    <row r="24104" spans="1:6" ht="15.75" customHeight="1">
      <c r="A24104" s="16" t="s">
        <v>22571</v>
      </c>
      <c r="B24104" s="15" t="s">
        <v>22572</v>
      </c>
      <c r="C24104" s="16" t="s">
        <v>22070</v>
      </c>
      <c r="D24104" s="16" t="s">
        <v>22524</v>
      </c>
      <c r="E24104" s="2">
        <v>543737</v>
      </c>
      <c r="F24104" s="4" t="str">
        <f>IF(B24104=B24103,"",B24104)</f>
        <v>Kotelâ€™nich</v>
      </c>
    </row>
    <row r="24105" spans="1:6" ht="15.75" customHeight="1">
      <c r="A24105" s="16" t="str">
        <f ca="1">IFERROR(__xludf.DUMMYFUNCTION("GOOGLETRANSLATE(B40426,""en"",""pt"")"),"Kotel'nikovo")</f>
        <v>Kotel'nikovo</v>
      </c>
      <c r="B24105" s="20" t="s">
        <v>35502</v>
      </c>
      <c r="C24105" s="20" t="s">
        <v>22070</v>
      </c>
      <c r="D24105" s="20" t="s">
        <v>22351</v>
      </c>
      <c r="E24105" s="10">
        <v>543728</v>
      </c>
      <c r="F24105" s="4" t="str">
        <f>IF(B24105=B24104,"",B24105)</f>
        <v>Kotel’nikovo</v>
      </c>
    </row>
    <row r="24106" spans="1:6" ht="15.75" customHeight="1">
      <c r="A24106" s="16" t="str">
        <f ca="1">IFERROR(__xludf.DUMMYFUNCTION("GOOGLETRANSLATE(B40427,""en"",""pt"")"),"Kotel'niki")</f>
        <v>Kotel'niki</v>
      </c>
      <c r="B24106" s="20" t="s">
        <v>35503</v>
      </c>
      <c r="C24106" s="20" t="s">
        <v>22070</v>
      </c>
      <c r="D24106" s="20" t="s">
        <v>22119</v>
      </c>
      <c r="E24106" s="10">
        <v>543731</v>
      </c>
      <c r="F24106" s="4" t="str">
        <f>IF(B24106=B24105,"",B24106)</f>
        <v>Kotel’niki</v>
      </c>
    </row>
    <row r="24107" spans="1:6" ht="15.75" customHeight="1">
      <c r="A24107" s="16" t="str">
        <f ca="1">IFERROR(__xludf.DUMMYFUNCTION("GOOGLETRANSLATE(B40428,""en"",""pt"")"),"Kotel'nich")</f>
        <v>Kotel'nich</v>
      </c>
      <c r="B24107" s="20" t="s">
        <v>35504</v>
      </c>
      <c r="C24107" s="20" t="s">
        <v>22070</v>
      </c>
      <c r="D24107" s="20" t="s">
        <v>22524</v>
      </c>
      <c r="E24107" s="10">
        <v>543737</v>
      </c>
      <c r="F24107" s="4" t="str">
        <f>IF(B24107=B24106,"",B24107)</f>
        <v>Kotel’nich</v>
      </c>
    </row>
    <row r="24108" spans="1:6" ht="15.75" customHeight="1">
      <c r="A24108" s="16" t="str">
        <f ca="1">IFERROR(__xludf.DUMMYFUNCTION("GOOGLETRANSLATE(B32994,""en"",""pt"")"),"Kotdwāra")</f>
        <v>Kotdwāra</v>
      </c>
      <c r="B24108" s="20" t="s">
        <v>33486</v>
      </c>
      <c r="C24108" s="20" t="s">
        <v>10178</v>
      </c>
      <c r="D24108" s="20" t="s">
        <v>10299</v>
      </c>
      <c r="E24108" s="10">
        <v>1266014</v>
      </c>
      <c r="F24108" s="4" t="str">
        <f>IF(B24108=B24107,"",B24108)</f>
        <v>Kotdwāra</v>
      </c>
    </row>
    <row r="24109" spans="1:6" ht="15.75" customHeight="1">
      <c r="A24109" s="16" t="s">
        <v>12050</v>
      </c>
      <c r="B24109" s="15" t="s">
        <v>12051</v>
      </c>
      <c r="C24109" s="16" t="s">
        <v>10178</v>
      </c>
      <c r="D24109" s="16" t="s">
        <v>10299</v>
      </c>
      <c r="E24109" s="2">
        <v>1266014</v>
      </c>
      <c r="F24109" s="4" t="str">
        <f>IF(B24109=B24108,"",B24109)</f>
        <v>KotdwÄra</v>
      </c>
    </row>
    <row r="24110" spans="1:6" ht="15.75" customHeight="1">
      <c r="A24110" s="16" t="str">
        <f ca="1">IFERROR(__xludf.DUMMYFUNCTION("GOOGLETRANSLATE(B32995,""en"",""pt"")"),"Kotapārh")</f>
        <v>Kotapārh</v>
      </c>
      <c r="B24110" s="20" t="s">
        <v>33487</v>
      </c>
      <c r="C24110" s="20" t="s">
        <v>10178</v>
      </c>
      <c r="D24110" s="20" t="s">
        <v>10272</v>
      </c>
      <c r="E24110" s="10">
        <v>1266029</v>
      </c>
      <c r="F24110" s="4" t="str">
        <f>IF(B24110=B24109,"",B24110)</f>
        <v>Kotapārh</v>
      </c>
    </row>
    <row r="24111" spans="1:6" ht="15.75" customHeight="1">
      <c r="A24111" s="16" t="s">
        <v>12048</v>
      </c>
      <c r="B24111" s="15" t="s">
        <v>12049</v>
      </c>
      <c r="C24111" s="16" t="s">
        <v>10178</v>
      </c>
      <c r="D24111" s="16" t="s">
        <v>10272</v>
      </c>
      <c r="E24111" s="2">
        <v>1266029</v>
      </c>
      <c r="F24111" s="4" t="e">
        <f>IF(B24111=#REF!,"",B24111)</f>
        <v>#REF!</v>
      </c>
    </row>
    <row r="24112" spans="1:6" ht="15.75" customHeight="1">
      <c r="A24112" s="16" t="s">
        <v>12047</v>
      </c>
      <c r="B24112" s="15" t="s">
        <v>12047</v>
      </c>
      <c r="C24112" s="16" t="s">
        <v>10178</v>
      </c>
      <c r="D24112" s="16" t="s">
        <v>10246</v>
      </c>
      <c r="E24112" s="2">
        <v>1266031</v>
      </c>
      <c r="F24112" s="4" t="e">
        <f>IF(B24112=#REF!,"",B24112)</f>
        <v>#REF!</v>
      </c>
    </row>
    <row r="24113" spans="1:6" ht="15.75" customHeight="1">
      <c r="A24113" s="15" t="s">
        <v>12045</v>
      </c>
      <c r="B24113" s="15" t="s">
        <v>12046</v>
      </c>
      <c r="C24113" s="15" t="s">
        <v>10178</v>
      </c>
      <c r="D24113" s="15" t="s">
        <v>10196</v>
      </c>
      <c r="E24113" s="2">
        <v>1266038</v>
      </c>
      <c r="F24113" s="4" t="e">
        <f>IF(B24113=#REF!,"",B24113)</f>
        <v>#REF!</v>
      </c>
    </row>
    <row r="24114" spans="1:6" ht="15.75" customHeight="1">
      <c r="A24114" s="15" t="s">
        <v>13983</v>
      </c>
      <c r="B24114" s="15" t="s">
        <v>13983</v>
      </c>
      <c r="C24114" s="15" t="s">
        <v>13800</v>
      </c>
      <c r="D24114" s="15" t="s">
        <v>13832</v>
      </c>
      <c r="E24114" s="2">
        <v>1639524</v>
      </c>
      <c r="F24114" s="4" t="str">
        <f>IF(B24114=B24113,"",B24114)</f>
        <v>Kotabumi</v>
      </c>
    </row>
    <row r="24115" spans="1:6" ht="15.75" customHeight="1">
      <c r="A24115" s="15" t="s">
        <v>12043</v>
      </c>
      <c r="B24115" s="15" t="s">
        <v>12044</v>
      </c>
      <c r="C24115" s="15" t="s">
        <v>10178</v>
      </c>
      <c r="D24115" s="15" t="s">
        <v>10272</v>
      </c>
      <c r="E24115" s="2">
        <v>1266051</v>
      </c>
      <c r="F24115" s="4" t="e">
        <f>IF(B24115=#REF!,"",B24115)</f>
        <v>#REF!</v>
      </c>
    </row>
    <row r="24116" spans="1:6" ht="15.75" customHeight="1">
      <c r="A24116" s="16" t="s">
        <v>17505</v>
      </c>
      <c r="B24116" s="15" t="s">
        <v>17505</v>
      </c>
      <c r="C24116" s="16" t="s">
        <v>17432</v>
      </c>
      <c r="D24116" s="16" t="s">
        <v>17442</v>
      </c>
      <c r="E24116" s="2">
        <v>1732738</v>
      </c>
      <c r="F24116" s="4" t="e">
        <f>IF(B24116=#REF!,"",B24116)</f>
        <v>#REF!</v>
      </c>
    </row>
    <row r="24117" spans="1:6" ht="15.75" customHeight="1">
      <c r="A24117" s="16" t="s">
        <v>17504</v>
      </c>
      <c r="B24117" s="15" t="s">
        <v>17504</v>
      </c>
      <c r="C24117" s="16" t="s">
        <v>17432</v>
      </c>
      <c r="D24117" s="16" t="s">
        <v>17444</v>
      </c>
      <c r="E24117" s="2">
        <v>1733432</v>
      </c>
      <c r="F24117" s="4" t="e">
        <f>IF(B24117=#REF!,"",B24117)</f>
        <v>#REF!</v>
      </c>
    </row>
    <row r="24118" spans="1:6" ht="15.75" customHeight="1">
      <c r="A24118" s="16" t="s">
        <v>17503</v>
      </c>
      <c r="B24118" s="15" t="s">
        <v>17503</v>
      </c>
      <c r="C24118" s="16" t="s">
        <v>17432</v>
      </c>
      <c r="D24118" s="16" t="s">
        <v>17469</v>
      </c>
      <c r="E24118" s="2">
        <v>1736376</v>
      </c>
      <c r="F24118" s="4" t="str">
        <f>IF(B24118=B24117,"",B24118)</f>
        <v>Kota Bharu</v>
      </c>
    </row>
    <row r="24119" spans="1:6" ht="15.75" customHeight="1">
      <c r="A24119" s="16" t="str">
        <f ca="1">IFERROR(__xludf.DUMMYFUNCTION("GOOGLETRANSLATE(B32999,""en"",""pt"")"),"Kotā")</f>
        <v>Kotā</v>
      </c>
      <c r="B24119" s="20" t="s">
        <v>33488</v>
      </c>
      <c r="C24119" s="20" t="s">
        <v>10178</v>
      </c>
      <c r="D24119" s="20" t="s">
        <v>10272</v>
      </c>
      <c r="E24119" s="10">
        <v>1266051</v>
      </c>
      <c r="F24119" s="4" t="e">
        <f>IF(B24119=#REF!,"",B24119)</f>
        <v>#REF!</v>
      </c>
    </row>
    <row r="24120" spans="1:6" ht="15.75" customHeight="1">
      <c r="A24120" s="15" t="s">
        <v>12042</v>
      </c>
      <c r="B24120" s="15" t="s">
        <v>12042</v>
      </c>
      <c r="C24120" s="15" t="s">
        <v>10178</v>
      </c>
      <c r="D24120" s="15" t="s">
        <v>10179</v>
      </c>
      <c r="E24120" s="2">
        <v>1266049</v>
      </c>
      <c r="F24120" s="4" t="str">
        <f>IF(B24120=B24119,"",B24120)</f>
        <v>Kota</v>
      </c>
    </row>
    <row r="24121" spans="1:6" ht="15.75" customHeight="1">
      <c r="A24121" s="16" t="str">
        <f ca="1">IFERROR(__xludf.DUMMYFUNCTION("GOOGLETRANSLATE(B39016,""en"",""pt"")"),"Kot Samāba")</f>
        <v>Kot Samāba</v>
      </c>
      <c r="B24121" s="20" t="s">
        <v>34973</v>
      </c>
      <c r="C24121" s="20" t="s">
        <v>19808</v>
      </c>
      <c r="D24121" s="20" t="s">
        <v>10184</v>
      </c>
      <c r="E24121" s="10">
        <v>1172888</v>
      </c>
      <c r="F24121" s="4" t="str">
        <f>IF(B24121=B24120,"",B24121)</f>
        <v>Kot Samāba</v>
      </c>
    </row>
    <row r="24122" spans="1:6" ht="15.75" customHeight="1">
      <c r="A24122" s="16" t="s">
        <v>20045</v>
      </c>
      <c r="B24122" s="15" t="s">
        <v>20046</v>
      </c>
      <c r="C24122" s="16" t="s">
        <v>19808</v>
      </c>
      <c r="D24122" s="16" t="s">
        <v>10184</v>
      </c>
      <c r="E24122" s="2">
        <v>1172888</v>
      </c>
      <c r="F24122" s="4" t="str">
        <f>IF(B24122=B24121,"",B24122)</f>
        <v>Kot SamÄba</v>
      </c>
    </row>
    <row r="24123" spans="1:6" ht="15.75" customHeight="1">
      <c r="A24123" s="16" t="str">
        <f ca="1">IFERROR(__xludf.DUMMYFUNCTION("GOOGLETRANSLATE(B39018,""en"",""pt"")"),"Kot Rādha Kishan")</f>
        <v>Kot Rādha Kishan</v>
      </c>
      <c r="B24123" s="20" t="s">
        <v>34974</v>
      </c>
      <c r="C24123" s="20" t="s">
        <v>19808</v>
      </c>
      <c r="D24123" s="20" t="s">
        <v>10184</v>
      </c>
      <c r="E24123" s="10">
        <v>1172915</v>
      </c>
      <c r="F24123" s="4" t="str">
        <f>IF(B24123=B24122,"",B24123)</f>
        <v>Kot Rādha Kishan</v>
      </c>
    </row>
    <row r="24124" spans="1:6" ht="15.75" customHeight="1">
      <c r="A24124" s="16" t="s">
        <v>20043</v>
      </c>
      <c r="B24124" s="15" t="s">
        <v>20044</v>
      </c>
      <c r="C24124" s="16" t="s">
        <v>19808</v>
      </c>
      <c r="D24124" s="16" t="s">
        <v>10184</v>
      </c>
      <c r="E24124" s="2">
        <v>1172915</v>
      </c>
      <c r="F24124" s="4" t="str">
        <f>IF(B24124=B24123,"",B24124)</f>
        <v>Kot RÄdha Kishan</v>
      </c>
    </row>
    <row r="24125" spans="1:6" ht="15.75" customHeight="1">
      <c r="A24125" s="16" t="str">
        <f ca="1">IFERROR(__xludf.DUMMYFUNCTION("GOOGLETRANSLATE(B39019,""en"",""pt"")"),"Kot Mūmin")</f>
        <v>Kot Mūmin</v>
      </c>
      <c r="B24125" s="20" t="s">
        <v>34975</v>
      </c>
      <c r="C24125" s="20" t="s">
        <v>19808</v>
      </c>
      <c r="D24125" s="20" t="s">
        <v>10184</v>
      </c>
      <c r="E24125" s="10">
        <v>1172964</v>
      </c>
      <c r="F24125" s="4" t="e">
        <f>IF(B24125=#REF!,"",B24125)</f>
        <v>#REF!</v>
      </c>
    </row>
    <row r="24126" spans="1:6" ht="15.75" customHeight="1">
      <c r="A24126" s="15" t="s">
        <v>20042</v>
      </c>
      <c r="B24126" s="15" t="s">
        <v>20042</v>
      </c>
      <c r="C24126" s="15" t="s">
        <v>19808</v>
      </c>
      <c r="D24126" s="15" t="s">
        <v>19833</v>
      </c>
      <c r="E24126" s="2">
        <v>1172993</v>
      </c>
      <c r="F24126" s="4" t="str">
        <f>IF(B24126=B24125,"",B24126)</f>
        <v>Kot Malik</v>
      </c>
    </row>
    <row r="24127" spans="1:6" ht="15.75" customHeight="1">
      <c r="A24127" s="16" t="s">
        <v>20040</v>
      </c>
      <c r="B24127" s="15" t="s">
        <v>20041</v>
      </c>
      <c r="C24127" s="16" t="s">
        <v>19808</v>
      </c>
      <c r="D24127" s="16" t="s">
        <v>10184</v>
      </c>
      <c r="E24127" s="2">
        <v>1172964</v>
      </c>
      <c r="F24127" s="4" t="str">
        <f>IF(B24127=B24126,"",B24127)</f>
        <v>Kot MÅ«min</v>
      </c>
    </row>
    <row r="24128" spans="1:6" ht="15.75" customHeight="1">
      <c r="A24128" s="16" t="str">
        <f ca="1">IFERROR(__xludf.DUMMYFUNCTION("GOOGLETRANSLATE(B39023,""en"",""pt"")"),"Kot Ghulām Muhammad")</f>
        <v>Kot Ghulām Muhammad</v>
      </c>
      <c r="B24128" s="20" t="s">
        <v>34977</v>
      </c>
      <c r="C24128" s="20" t="s">
        <v>19808</v>
      </c>
      <c r="D24128" s="20" t="s">
        <v>10184</v>
      </c>
      <c r="E24128" s="10">
        <v>1173272</v>
      </c>
      <c r="F24128" s="4" t="str">
        <f>IF(B24128=B24127,"",B24128)</f>
        <v>Kot Ghulām Muhammad</v>
      </c>
    </row>
    <row r="24129" spans="1:6" ht="15.75" customHeight="1">
      <c r="A24129" s="16" t="s">
        <v>20038</v>
      </c>
      <c r="B24129" s="15" t="s">
        <v>20039</v>
      </c>
      <c r="C24129" s="16" t="s">
        <v>19808</v>
      </c>
      <c r="D24129" s="16" t="s">
        <v>10184</v>
      </c>
      <c r="E24129" s="2">
        <v>1173272</v>
      </c>
      <c r="F24129" s="4" t="e">
        <f>IF(B24129=#REF!,"",B24129)</f>
        <v>#REF!</v>
      </c>
    </row>
    <row r="24130" spans="1:6" ht="15.75" customHeight="1">
      <c r="A24130" s="15" t="s">
        <v>20037</v>
      </c>
      <c r="B24130" s="15" t="s">
        <v>20037</v>
      </c>
      <c r="C24130" s="15" t="s">
        <v>19808</v>
      </c>
      <c r="D24130" s="15" t="s">
        <v>19823</v>
      </c>
      <c r="E24130" s="2">
        <v>1173302</v>
      </c>
      <c r="F24130" s="4" t="e">
        <f>IF(B24130=#REF!,"",B24130)</f>
        <v>#REF!</v>
      </c>
    </row>
    <row r="24131" spans="1:6" ht="15.75" customHeight="1">
      <c r="A24131" s="15" t="s">
        <v>20035</v>
      </c>
      <c r="B24131" s="15" t="s">
        <v>20036</v>
      </c>
      <c r="C24131" s="15" t="s">
        <v>19808</v>
      </c>
      <c r="D24131" s="15" t="s">
        <v>10184</v>
      </c>
      <c r="E24131" s="2">
        <v>1173378</v>
      </c>
      <c r="F24131" s="4" t="e">
        <f>IF(B24131=#REF!,"",B24131)</f>
        <v>#REF!</v>
      </c>
    </row>
    <row r="24132" spans="1:6" ht="15.75" customHeight="1">
      <c r="A24132" s="15" t="s">
        <v>21307</v>
      </c>
      <c r="B24132" s="15" t="s">
        <v>21307</v>
      </c>
      <c r="C24132" s="15" t="s">
        <v>21064</v>
      </c>
      <c r="D24132" s="15" t="s">
        <v>21121</v>
      </c>
      <c r="E24132" s="2">
        <v>3095049</v>
      </c>
      <c r="F24132" s="4" t="e">
        <f>IF(B24132=#REF!,"",B24132)</f>
        <v>#REF!</v>
      </c>
    </row>
    <row r="24133" spans="1:6" ht="15.75" customHeight="1">
      <c r="A24133" s="16" t="s">
        <v>27021</v>
      </c>
      <c r="B24133" s="15" t="s">
        <v>27021</v>
      </c>
      <c r="C24133" s="16" t="s">
        <v>26870</v>
      </c>
      <c r="D24133" s="16" t="s">
        <v>22345</v>
      </c>
      <c r="E24133" s="2">
        <v>705104</v>
      </c>
      <c r="F24133" s="4" t="str">
        <f>IF(B24133=B24132,"",B24133)</f>
        <v>Kostyantynivka</v>
      </c>
    </row>
    <row r="24134" spans="1:6" ht="15.75" customHeight="1">
      <c r="A24134" s="16" t="s">
        <v>21305</v>
      </c>
      <c r="B24134" s="15" t="s">
        <v>21306</v>
      </c>
      <c r="C24134" s="16" t="s">
        <v>21064</v>
      </c>
      <c r="D24134" s="16" t="s">
        <v>21065</v>
      </c>
      <c r="E24134" s="2">
        <v>3095057</v>
      </c>
      <c r="F24134" s="4" t="str">
        <f>IF(B24134=B24133,"",B24134)</f>
        <v>Kostrzyn nad OdrÄ…</v>
      </c>
    </row>
    <row r="24135" spans="1:6" ht="15.75" customHeight="1">
      <c r="A24135" s="16" t="str">
        <f ca="1">IFERROR(__xludf.DUMMYFUNCTION("GOOGLETRANSLATE(B39426,""en"",""pt"")"),"Kostrzyn Nad Odrą")</f>
        <v>Kostrzyn Nad Odrą</v>
      </c>
      <c r="B24135" s="20" t="s">
        <v>35209</v>
      </c>
      <c r="C24135" s="20" t="s">
        <v>21064</v>
      </c>
      <c r="D24135" s="20" t="s">
        <v>21065</v>
      </c>
      <c r="E24135" s="10">
        <v>3095057</v>
      </c>
      <c r="F24135" s="4" t="e">
        <f>IF(B24135=#REF!,"",B24135)</f>
        <v>#REF!</v>
      </c>
    </row>
    <row r="24136" spans="1:6" ht="15.75" customHeight="1">
      <c r="A24136" s="15" t="s">
        <v>22284</v>
      </c>
      <c r="B24136" s="15" t="s">
        <v>22284</v>
      </c>
      <c r="C24136" s="15" t="s">
        <v>22070</v>
      </c>
      <c r="D24136" s="15" t="s">
        <v>22284</v>
      </c>
      <c r="E24136" s="2">
        <v>543878</v>
      </c>
      <c r="F24136" s="4" t="str">
        <f>IF(B24136=B24135,"",B24136)</f>
        <v>Kostroma</v>
      </c>
    </row>
    <row r="24137" spans="1:6" ht="15.75" customHeight="1">
      <c r="A24137" s="15" t="s">
        <v>27019</v>
      </c>
      <c r="B24137" s="15" t="s">
        <v>27020</v>
      </c>
      <c r="C24137" s="15" t="s">
        <v>26870</v>
      </c>
      <c r="D24137" s="15" t="s">
        <v>26953</v>
      </c>
      <c r="E24137" s="2">
        <v>704737</v>
      </c>
      <c r="F24137" s="4" t="str">
        <f>IF(B24137=B24136,"",B24137)</f>
        <v>Kostopilâ€™</v>
      </c>
    </row>
    <row r="24138" spans="1:6" ht="15.75" customHeight="1">
      <c r="A24138" s="16" t="str">
        <f ca="1">IFERROR(__xludf.DUMMYFUNCTION("GOOGLETRANSLATE(B42615,""en"",""pt"")"),"Kostopil '")</f>
        <v>Kostopil '</v>
      </c>
      <c r="B24138" s="20" t="s">
        <v>36024</v>
      </c>
      <c r="C24138" s="20" t="s">
        <v>26870</v>
      </c>
      <c r="D24138" s="20" t="s">
        <v>26953</v>
      </c>
      <c r="E24138" s="10">
        <v>704737</v>
      </c>
      <c r="F24138" s="4" t="e">
        <f>IF(B24138=#REF!,"",B24138)</f>
        <v>#REF!</v>
      </c>
    </row>
    <row r="24139" spans="1:6" ht="15.75" customHeight="1">
      <c r="A24139" s="16" t="s">
        <v>22570</v>
      </c>
      <c r="B24139" s="15" t="s">
        <v>22570</v>
      </c>
      <c r="C24139" s="16" t="s">
        <v>22070</v>
      </c>
      <c r="D24139" s="16" t="s">
        <v>22559</v>
      </c>
      <c r="E24139" s="2">
        <v>543899</v>
      </c>
      <c r="F24139" s="4" t="e">
        <f>IF(B24139=#REF!,"",B24139)</f>
        <v>#REF!</v>
      </c>
    </row>
    <row r="24140" spans="1:6" ht="15.75" customHeight="1">
      <c r="A24140" s="15" t="s">
        <v>25043</v>
      </c>
      <c r="B24140" s="15" t="s">
        <v>25043</v>
      </c>
      <c r="C24140" s="15" t="s">
        <v>24987</v>
      </c>
      <c r="D24140" s="15" t="s">
        <v>24994</v>
      </c>
      <c r="E24140" s="2">
        <v>371760</v>
      </c>
      <c r="F24140" s="4" t="e">
        <f>IF(B24140=#REF!,"",B24140)</f>
        <v>#REF!</v>
      </c>
    </row>
    <row r="24141" spans="1:6" ht="15.75" customHeight="1">
      <c r="A24141" s="15" t="s">
        <v>16721</v>
      </c>
      <c r="B24141" s="15" t="s">
        <v>16721</v>
      </c>
      <c r="C24141" s="15" t="s">
        <v>16671</v>
      </c>
      <c r="D24141" s="15" t="s">
        <v>16689</v>
      </c>
      <c r="E24141" s="2">
        <v>1519928</v>
      </c>
      <c r="F24141" s="4" t="e">
        <f>IF(B24141=#REF!,"",B24141)</f>
        <v>#REF!</v>
      </c>
    </row>
    <row r="24142" spans="1:6" ht="15.75" customHeight="1">
      <c r="A24142" s="16" t="s">
        <v>16864</v>
      </c>
      <c r="B24142" s="15" t="s">
        <v>16864</v>
      </c>
      <c r="C24142" s="16" t="s">
        <v>16852</v>
      </c>
      <c r="D24142" s="16" t="s">
        <v>16861</v>
      </c>
      <c r="E24142" s="2">
        <v>789228</v>
      </c>
      <c r="F24142" s="4" t="e">
        <f>IF(B24142=#REF!,"",B24142)</f>
        <v>#REF!</v>
      </c>
    </row>
    <row r="24143" spans="1:6" ht="15.75" customHeight="1">
      <c r="A24143" s="15" t="s">
        <v>30563</v>
      </c>
      <c r="B24143" s="15" t="s">
        <v>30563</v>
      </c>
      <c r="C24143" s="15" t="s">
        <v>30502</v>
      </c>
      <c r="D24143" s="15" t="s">
        <v>30528</v>
      </c>
      <c r="E24143" s="2">
        <v>1513714</v>
      </c>
      <c r="F24143" s="4" t="e">
        <f>IF(B24143=#REF!,"",B24143)</f>
        <v>#REF!</v>
      </c>
    </row>
    <row r="24144" spans="1:6" ht="15.75" customHeight="1">
      <c r="A24144" s="15" t="s">
        <v>24106</v>
      </c>
      <c r="B24144" s="15" t="s">
        <v>24106</v>
      </c>
      <c r="C24144" s="15" t="s">
        <v>24024</v>
      </c>
      <c r="D24144" s="15" t="s">
        <v>24054</v>
      </c>
      <c r="E24144" s="2">
        <v>1840179</v>
      </c>
      <c r="F24144" s="4" t="e">
        <f>IF(B24144=#REF!,"",B24144)</f>
        <v>#REF!</v>
      </c>
    </row>
    <row r="24145" spans="1:6" ht="15.75" customHeight="1">
      <c r="A24145" s="15" t="s">
        <v>30562</v>
      </c>
      <c r="B24145" s="15" t="s">
        <v>30562</v>
      </c>
      <c r="C24145" s="15" t="s">
        <v>30502</v>
      </c>
      <c r="D24145" s="15" t="s">
        <v>30515</v>
      </c>
      <c r="E24145" s="2">
        <v>1217007</v>
      </c>
      <c r="F24145" s="4" t="e">
        <f>IF(B24145=#REF!,"",B24145)</f>
        <v>#REF!</v>
      </c>
    </row>
    <row r="24146" spans="1:6" ht="15.75" customHeight="1">
      <c r="A24146" s="15" t="s">
        <v>12041</v>
      </c>
      <c r="B24146" s="15" t="s">
        <v>12041</v>
      </c>
      <c r="C24146" s="15" t="s">
        <v>10178</v>
      </c>
      <c r="D24146" s="15" t="s">
        <v>10190</v>
      </c>
      <c r="E24146" s="2">
        <v>1266070</v>
      </c>
      <c r="F24146" s="4" t="str">
        <f>IF(B24146=B24145,"",B24146)</f>
        <v>Kosigi</v>
      </c>
    </row>
    <row r="24147" spans="1:6" ht="15.75" customHeight="1">
      <c r="A24147" s="16" t="str">
        <f ca="1">IFERROR(__xludf.DUMMYFUNCTION("GOOGLETRANSLATE(B41231,""en"",""pt"")"),"Košice")</f>
        <v>Košice</v>
      </c>
      <c r="B24147" s="20" t="s">
        <v>35675</v>
      </c>
      <c r="C24147" s="20" t="s">
        <v>23694</v>
      </c>
      <c r="D24147" s="20" t="s">
        <v>35668</v>
      </c>
      <c r="E24147" s="10">
        <v>724443</v>
      </c>
      <c r="F24147" s="4" t="e">
        <f>IF(B24147=#REF!,"",B24147)</f>
        <v>#REF!</v>
      </c>
    </row>
    <row r="24148" spans="1:6" ht="15.75" customHeight="1">
      <c r="A24148" s="15" t="s">
        <v>12040</v>
      </c>
      <c r="B24148" s="15" t="s">
        <v>12040</v>
      </c>
      <c r="C24148" s="15" t="s">
        <v>10178</v>
      </c>
      <c r="D24148" s="15" t="s">
        <v>10193</v>
      </c>
      <c r="E24148" s="2">
        <v>1266073</v>
      </c>
      <c r="F24148" s="4" t="e">
        <f>IF(B24148=#REF!,"",B24148)</f>
        <v>#REF!</v>
      </c>
    </row>
    <row r="24149" spans="1:6" ht="15.75" customHeight="1">
      <c r="A24149" s="16" t="s">
        <v>16165</v>
      </c>
      <c r="B24149" s="15" t="s">
        <v>16165</v>
      </c>
      <c r="C24149" s="16" t="s">
        <v>15704</v>
      </c>
      <c r="D24149" s="16" t="s">
        <v>15710</v>
      </c>
      <c r="E24149" s="2">
        <v>1858729</v>
      </c>
      <c r="F24149" s="4" t="str">
        <f>IF(B24149=B24148,"",B24149)</f>
        <v>Koshigaya</v>
      </c>
    </row>
    <row r="24150" spans="1:6" ht="15.75" customHeight="1">
      <c r="A24150" s="16" t="str">
        <f ca="1">IFERROR(__xludf.DUMMYFUNCTION("GOOGLETRANSLATE(B39427,""en"",""pt"")"),"Kościerzyna")</f>
        <v>Kościerzyna</v>
      </c>
      <c r="B24150" s="20" t="s">
        <v>35210</v>
      </c>
      <c r="C24150" s="20" t="s">
        <v>21064</v>
      </c>
      <c r="D24150" s="20" t="s">
        <v>21173</v>
      </c>
      <c r="E24150" s="10">
        <v>3095126</v>
      </c>
      <c r="F24150" s="4" t="str">
        <f>IF(B24150=B24149,"",B24150)</f>
        <v>Kościerzyna</v>
      </c>
    </row>
    <row r="24151" spans="1:6" ht="15.75" customHeight="1">
      <c r="A24151" s="16" t="str">
        <f ca="1">IFERROR(__xludf.DUMMYFUNCTION("GOOGLETRANSLATE(B39428,""en"",""pt"")"),"Kościan")</f>
        <v>Kościan</v>
      </c>
      <c r="B24151" s="20" t="s">
        <v>35211</v>
      </c>
      <c r="C24151" s="20" t="s">
        <v>21064</v>
      </c>
      <c r="D24151" s="20" t="s">
        <v>21112</v>
      </c>
      <c r="E24151" s="10">
        <v>3095151</v>
      </c>
      <c r="F24151" s="4" t="e">
        <f>IF(B24151=#REF!,"",B24151)</f>
        <v>#REF!</v>
      </c>
    </row>
    <row r="24152" spans="1:6" ht="15.75" customHeight="1">
      <c r="A24152" s="16" t="s">
        <v>22568</v>
      </c>
      <c r="B24152" s="15" t="s">
        <v>22569</v>
      </c>
      <c r="C24152" s="16" t="s">
        <v>22070</v>
      </c>
      <c r="D24152" s="16" t="s">
        <v>22122</v>
      </c>
      <c r="E24152" s="2">
        <v>544293</v>
      </c>
      <c r="F24152" s="4" t="e">
        <f>IF(B24152=#REF!,"",B24152)</f>
        <v>#REF!</v>
      </c>
    </row>
    <row r="24153" spans="1:6" ht="15.75" customHeight="1">
      <c r="A24153" s="15" t="s">
        <v>19642</v>
      </c>
      <c r="B24153" s="15" t="s">
        <v>19642</v>
      </c>
      <c r="C24153" s="15" t="s">
        <v>19589</v>
      </c>
      <c r="D24153" s="15" t="s">
        <v>19595</v>
      </c>
      <c r="E24153" s="2">
        <v>1875632</v>
      </c>
      <c r="F24153" s="4" t="e">
        <f>IF(B24153=#REF!,"",B24153)</f>
        <v>#REF!</v>
      </c>
    </row>
    <row r="24154" spans="1:6" ht="15.75" customHeight="1">
      <c r="A24154" s="15" t="s">
        <v>12039</v>
      </c>
      <c r="B24154" s="15" t="s">
        <v>12039</v>
      </c>
      <c r="C24154" s="15" t="s">
        <v>10178</v>
      </c>
      <c r="D24154" s="15" t="s">
        <v>10209</v>
      </c>
      <c r="E24154" s="2">
        <v>1266087</v>
      </c>
      <c r="F24154" s="4" t="e">
        <f>IF(B24154=#REF!,"",B24154)</f>
        <v>#REF!</v>
      </c>
    </row>
    <row r="24155" spans="1:6" ht="15.75" customHeight="1">
      <c r="A24155" s="15" t="s">
        <v>16164</v>
      </c>
      <c r="B24155" s="15" t="s">
        <v>16164</v>
      </c>
      <c r="C24155" s="15" t="s">
        <v>15704</v>
      </c>
      <c r="D24155" s="15" t="s">
        <v>15809</v>
      </c>
      <c r="E24155" s="2">
        <v>1858756</v>
      </c>
      <c r="F24155" s="4" t="e">
        <f>IF(B24155=#REF!,"",B24155)</f>
        <v>#REF!</v>
      </c>
    </row>
    <row r="24156" spans="1:6" ht="15.75" customHeight="1">
      <c r="A24156" s="15" t="s">
        <v>9561</v>
      </c>
      <c r="B24156" s="15" t="s">
        <v>9561</v>
      </c>
      <c r="C24156" s="15" t="s">
        <v>9441</v>
      </c>
      <c r="D24156" s="15" t="s">
        <v>9562</v>
      </c>
      <c r="E24156" s="2">
        <v>259245</v>
      </c>
      <c r="F24156" s="4" t="str">
        <f>IF(B24156=B24155,"",B24156)</f>
        <v>Kos</v>
      </c>
    </row>
    <row r="24157" spans="1:6" ht="15.75" customHeight="1">
      <c r="A24157" s="16" t="str">
        <f ca="1">IFERROR(__xludf.DUMMYFUNCTION("GOOGLETRANSLATE(B31057,""en"",""pt"")"),"Korydallós")</f>
        <v>Korydallós</v>
      </c>
      <c r="B24157" s="20" t="s">
        <v>32761</v>
      </c>
      <c r="C24157" s="20" t="s">
        <v>9441</v>
      </c>
      <c r="D24157" s="20" t="s">
        <v>9445</v>
      </c>
      <c r="E24157" s="10">
        <v>8310183</v>
      </c>
      <c r="F24157" s="4" t="str">
        <f>IF(B24157=B24156,"",B24157)</f>
        <v>Korydallós</v>
      </c>
    </row>
    <row r="24158" spans="1:6" ht="15.75" customHeight="1">
      <c r="A24158" s="16" t="s">
        <v>9559</v>
      </c>
      <c r="B24158" s="15" t="s">
        <v>9560</v>
      </c>
      <c r="C24158" s="16" t="s">
        <v>9441</v>
      </c>
      <c r="D24158" s="16" t="s">
        <v>9445</v>
      </c>
      <c r="E24158" s="2">
        <v>8310183</v>
      </c>
      <c r="F24158" s="4" t="e">
        <f>IF(B24158=#REF!,"",B24158)</f>
        <v>#REF!</v>
      </c>
    </row>
    <row r="24159" spans="1:6" ht="15.75" customHeight="1">
      <c r="A24159" s="16" t="s">
        <v>22567</v>
      </c>
      <c r="B24159" s="15" t="s">
        <v>22567</v>
      </c>
      <c r="C24159" s="16" t="s">
        <v>22070</v>
      </c>
      <c r="D24159" s="16" t="s">
        <v>22151</v>
      </c>
      <c r="E24159" s="2">
        <v>544370</v>
      </c>
      <c r="F24159" s="4" t="e">
        <f>IF(B24159=#REF!,"",B24159)</f>
        <v>#REF!</v>
      </c>
    </row>
    <row r="24160" spans="1:6" ht="15.75" customHeight="1">
      <c r="A24160" s="15" t="s">
        <v>12038</v>
      </c>
      <c r="B24160" s="15" t="s">
        <v>12038</v>
      </c>
      <c r="C24160" s="15" t="s">
        <v>10178</v>
      </c>
      <c r="D24160" s="15" t="s">
        <v>10219</v>
      </c>
      <c r="E24160" s="2">
        <v>1266092</v>
      </c>
      <c r="F24160" s="4" t="e">
        <f>IF(B24160=#REF!,"",B24160)</f>
        <v>#REF!</v>
      </c>
    </row>
    <row r="24161" spans="1:6" ht="15.75" customHeight="1">
      <c r="A24161" s="15" t="s">
        <v>1611</v>
      </c>
      <c r="B24161" s="15" t="s">
        <v>1611</v>
      </c>
      <c r="C24161" s="15" t="s">
        <v>1512</v>
      </c>
      <c r="D24161" s="15" t="s">
        <v>1513</v>
      </c>
      <c r="E24161" s="2">
        <v>2794055</v>
      </c>
      <c r="F24161" s="4" t="e">
        <f>IF(B24161=#REF!,"",B24161)</f>
        <v>#REF!</v>
      </c>
    </row>
    <row r="24162" spans="1:6" ht="15.75" customHeight="1">
      <c r="A24162" s="16" t="s">
        <v>1610</v>
      </c>
      <c r="B24162" s="15" t="s">
        <v>1610</v>
      </c>
      <c r="C24162" s="16" t="s">
        <v>1512</v>
      </c>
      <c r="D24162" s="16" t="s">
        <v>1513</v>
      </c>
      <c r="E24162" s="2">
        <v>2794070</v>
      </c>
      <c r="F24162" s="4" t="str">
        <f>IF(B24162=B24161,"",B24162)</f>
        <v>Kortenberg</v>
      </c>
    </row>
    <row r="24163" spans="1:6" ht="15.75" customHeight="1">
      <c r="A24163" s="16" t="s">
        <v>27017</v>
      </c>
      <c r="B24163" s="15" t="s">
        <v>27018</v>
      </c>
      <c r="C24163" s="16" t="s">
        <v>26870</v>
      </c>
      <c r="D24163" s="16" t="s">
        <v>26925</v>
      </c>
      <c r="E24163" s="2">
        <v>704858</v>
      </c>
      <c r="F24163" s="4" t="str">
        <f>IF(B24163=B24162,"",B24163)</f>
        <v>Korsunâ€™-Shevchenkivsâ€™kyy</v>
      </c>
    </row>
    <row r="24164" spans="1:6" ht="15.75" customHeight="1">
      <c r="A24164" s="16" t="str">
        <f ca="1">IFERROR(__xludf.DUMMYFUNCTION("GOOGLETRANSLATE(B42616,""en"",""pt"")"),"Korsun'-Shevchenkivs'kyy")</f>
        <v>Korsun'-Shevchenkivs'kyy</v>
      </c>
      <c r="B24164" s="20" t="s">
        <v>36025</v>
      </c>
      <c r="C24164" s="20" t="s">
        <v>26870</v>
      </c>
      <c r="D24164" s="20" t="s">
        <v>26925</v>
      </c>
      <c r="E24164" s="10">
        <v>704858</v>
      </c>
      <c r="F24164" s="4" t="str">
        <f>IF(B24164=B24163,"",B24164)</f>
        <v>Korsun’-Shevchenkivs’kyy</v>
      </c>
    </row>
    <row r="24165" spans="1:6" ht="15.75" customHeight="1">
      <c r="A24165" s="16" t="str">
        <f ca="1">IFERROR(__xludf.DUMMYFUNCTION("GOOGLETRANSLATE(B28422,""en"",""pt"")"),"Korsør")</f>
        <v>Korsør</v>
      </c>
      <c r="B24165" s="20" t="s">
        <v>32157</v>
      </c>
      <c r="C24165" s="20" t="s">
        <v>6209</v>
      </c>
      <c r="D24165" s="20" t="s">
        <v>6232</v>
      </c>
      <c r="E24165" s="10">
        <v>2618361</v>
      </c>
      <c r="F24165" s="4" t="e">
        <f>IF(B24165=#REF!,"",B24165)</f>
        <v>#REF!</v>
      </c>
    </row>
    <row r="24166" spans="1:6" ht="15.75" customHeight="1">
      <c r="A24166" s="15" t="s">
        <v>6995</v>
      </c>
      <c r="B24166" s="15" t="s">
        <v>6995</v>
      </c>
      <c r="C24166" s="15" t="s">
        <v>6948</v>
      </c>
      <c r="D24166" s="15" t="s">
        <v>6976</v>
      </c>
      <c r="E24166" s="2">
        <v>651299</v>
      </c>
      <c r="F24166" s="4" t="e">
        <f>IF(B24166=#REF!,"",B24166)</f>
        <v>#REF!</v>
      </c>
    </row>
    <row r="24167" spans="1:6" ht="15.75" customHeight="1">
      <c r="A24167" s="16" t="s">
        <v>8697</v>
      </c>
      <c r="B24167" s="15" t="s">
        <v>8697</v>
      </c>
      <c r="C24167" s="16" t="s">
        <v>8028</v>
      </c>
      <c r="D24167" s="16" t="s">
        <v>8029</v>
      </c>
      <c r="E24167" s="2">
        <v>2885397</v>
      </c>
      <c r="F24167" s="4" t="e">
        <f>IF(B24167=#REF!,"",B24167)</f>
        <v>#REF!</v>
      </c>
    </row>
    <row r="24168" spans="1:6" ht="15.75" customHeight="1">
      <c r="A24168" s="15" t="s">
        <v>22566</v>
      </c>
      <c r="B24168" s="15" t="s">
        <v>22566</v>
      </c>
      <c r="C24168" s="15" t="s">
        <v>22070</v>
      </c>
      <c r="D24168" s="15" t="s">
        <v>22508</v>
      </c>
      <c r="E24168" s="2">
        <v>2124286</v>
      </c>
      <c r="F24168" s="4" t="str">
        <f>IF(B24168=B24167,"",B24168)</f>
        <v>Korsakov</v>
      </c>
    </row>
    <row r="24169" spans="1:6" ht="15.75" customHeight="1">
      <c r="A24169" s="15" t="s">
        <v>6257</v>
      </c>
      <c r="B24169" s="15" t="s">
        <v>6258</v>
      </c>
      <c r="C24169" s="15" t="s">
        <v>6209</v>
      </c>
      <c r="D24169" s="15" t="s">
        <v>6232</v>
      </c>
      <c r="E24169" s="2">
        <v>2618361</v>
      </c>
      <c r="F24169" s="4" t="e">
        <f>IF(B24169=#REF!,"",B24169)</f>
        <v>#REF!</v>
      </c>
    </row>
    <row r="24170" spans="1:6" ht="15.75" customHeight="1">
      <c r="A24170" s="16" t="s">
        <v>19015</v>
      </c>
      <c r="B24170" s="15" t="s">
        <v>19015</v>
      </c>
      <c r="C24170" s="16" t="s">
        <v>18862</v>
      </c>
      <c r="D24170" s="16" t="s">
        <v>18935</v>
      </c>
      <c r="E24170" s="2">
        <v>2752420</v>
      </c>
      <c r="F24170" s="4" t="e">
        <f>IF(B24170=#REF!,"",B24170)</f>
        <v>#REF!</v>
      </c>
    </row>
    <row r="24171" spans="1:6" ht="15.75" customHeight="1">
      <c r="A24171" s="16" t="s">
        <v>27016</v>
      </c>
      <c r="B24171" s="15" t="s">
        <v>27016</v>
      </c>
      <c r="C24171" s="16" t="s">
        <v>26870</v>
      </c>
      <c r="D24171" s="16" t="s">
        <v>26900</v>
      </c>
      <c r="E24171" s="2">
        <v>704885</v>
      </c>
      <c r="F24171" s="4" t="str">
        <f>IF(B24171=B24170,"",B24171)</f>
        <v>Korostyshiv</v>
      </c>
    </row>
    <row r="24172" spans="1:6" ht="15.75" customHeight="1">
      <c r="A24172" s="16" t="s">
        <v>27014</v>
      </c>
      <c r="B24172" s="15" t="s">
        <v>27015</v>
      </c>
      <c r="C24172" s="16" t="s">
        <v>26870</v>
      </c>
      <c r="D24172" s="16" t="s">
        <v>26900</v>
      </c>
      <c r="E24172" s="2">
        <v>704901</v>
      </c>
      <c r="F24172" s="4" t="str">
        <f>IF(B24172=B24171,"",B24172)</f>
        <v>Korostenâ€™</v>
      </c>
    </row>
    <row r="24173" spans="1:6" ht="15.75" customHeight="1">
      <c r="A24173" s="16" t="str">
        <f ca="1">IFERROR(__xludf.DUMMYFUNCTION("GOOGLETRANSLATE(B42618,""en"",""pt"")"),"Korosten '")</f>
        <v>Korosten '</v>
      </c>
      <c r="B24173" s="20" t="s">
        <v>36026</v>
      </c>
      <c r="C24173" s="20" t="s">
        <v>26870</v>
      </c>
      <c r="D24173" s="20" t="s">
        <v>26900</v>
      </c>
      <c r="E24173" s="10">
        <v>704901</v>
      </c>
      <c r="F24173" s="4" t="str">
        <f>IF(B24173=B24172,"",B24173)</f>
        <v>Korosten’</v>
      </c>
    </row>
    <row r="24174" spans="1:6" ht="15.75" customHeight="1">
      <c r="A24174" s="16" t="str">
        <f ca="1">IFERROR(__xludf.DUMMYFUNCTION("GOOGLETRANSLATE(B30988,""en"",""pt"")"),"Koropí")</f>
        <v>Koropí</v>
      </c>
      <c r="B24174" s="20" t="s">
        <v>32698</v>
      </c>
      <c r="C24174" s="20" t="s">
        <v>9441</v>
      </c>
      <c r="D24174" s="20" t="s">
        <v>9445</v>
      </c>
      <c r="E24174" s="10">
        <v>259251</v>
      </c>
      <c r="F24174" s="4" t="str">
        <f>IF(B24174=B24173,"",B24174)</f>
        <v>Koropí</v>
      </c>
    </row>
    <row r="24175" spans="1:6" ht="15.75" customHeight="1">
      <c r="A24175" s="15" t="s">
        <v>9557</v>
      </c>
      <c r="B24175" s="15" t="s">
        <v>9558</v>
      </c>
      <c r="C24175" s="15" t="s">
        <v>9441</v>
      </c>
      <c r="D24175" s="15" t="s">
        <v>9445</v>
      </c>
      <c r="E24175" s="2">
        <v>259251</v>
      </c>
      <c r="F24175" s="4" t="e">
        <f>IF(B24175=#REF!,"",B24175)</f>
        <v>#REF!</v>
      </c>
    </row>
    <row r="24176" spans="1:6" ht="15.75" customHeight="1">
      <c r="A24176" s="16" t="s">
        <v>20816</v>
      </c>
      <c r="B24176" s="15" t="s">
        <v>20816</v>
      </c>
      <c r="C24176" s="16" t="s">
        <v>20598</v>
      </c>
      <c r="D24176" s="16" t="s">
        <v>20606</v>
      </c>
      <c r="E24176" s="2">
        <v>1708522</v>
      </c>
      <c r="F24176" s="4" t="e">
        <f>IF(B24176=#REF!,"",B24176)</f>
        <v>#REF!</v>
      </c>
    </row>
    <row r="24177" spans="1:6" ht="15.75" customHeight="1">
      <c r="A24177" s="15" t="s">
        <v>22565</v>
      </c>
      <c r="B24177" s="15" t="s">
        <v>22565</v>
      </c>
      <c r="C24177" s="15" t="s">
        <v>22070</v>
      </c>
      <c r="D24177" s="15" t="s">
        <v>22119</v>
      </c>
      <c r="E24177" s="2">
        <v>554233</v>
      </c>
      <c r="F24177" s="4" t="e">
        <f>IF(B24177=#REF!,"",B24177)</f>
        <v>#REF!</v>
      </c>
    </row>
    <row r="24178" spans="1:6" ht="15.75" customHeight="1">
      <c r="A24178" s="16" t="s">
        <v>8696</v>
      </c>
      <c r="B24178" s="15" t="s">
        <v>8696</v>
      </c>
      <c r="C24178" s="16" t="s">
        <v>8028</v>
      </c>
      <c r="D24178" s="16" t="s">
        <v>8031</v>
      </c>
      <c r="E24178" s="2">
        <v>2885408</v>
      </c>
      <c r="F24178" s="4" t="e">
        <f>IF(B24178=#REF!,"",B24178)</f>
        <v>#REF!</v>
      </c>
    </row>
    <row r="24179" spans="1:6" ht="15.75" customHeight="1">
      <c r="A24179" s="15" t="s">
        <v>8695</v>
      </c>
      <c r="B24179" s="15" t="s">
        <v>8695</v>
      </c>
      <c r="C24179" s="15" t="s">
        <v>8028</v>
      </c>
      <c r="D24179" s="15" t="s">
        <v>8031</v>
      </c>
      <c r="E24179" s="2">
        <v>2885412</v>
      </c>
      <c r="F24179" s="4" t="e">
        <f>IF(B24179=#REF!,"",B24179)</f>
        <v>#REF!</v>
      </c>
    </row>
    <row r="24180" spans="1:6" ht="15.75" customHeight="1">
      <c r="A24180" s="15" t="s">
        <v>26605</v>
      </c>
      <c r="B24180" s="15" t="s">
        <v>26605</v>
      </c>
      <c r="C24180" s="15" t="s">
        <v>26201</v>
      </c>
      <c r="D24180" s="15" t="s">
        <v>26308</v>
      </c>
      <c r="E24180" s="2">
        <v>306474</v>
      </c>
      <c r="F24180" s="4" t="e">
        <f>IF(B24180=#REF!,"",B24180)</f>
        <v>#REF!</v>
      </c>
    </row>
    <row r="24181" spans="1:6" ht="15.75" customHeight="1">
      <c r="A24181" s="15" t="s">
        <v>22564</v>
      </c>
      <c r="B24181" s="15" t="s">
        <v>22564</v>
      </c>
      <c r="C24181" s="15" t="s">
        <v>22070</v>
      </c>
      <c r="D24181" s="15" t="s">
        <v>22166</v>
      </c>
      <c r="E24181" s="2">
        <v>1502536</v>
      </c>
      <c r="F24181" s="4" t="str">
        <f>IF(B24181=B24180,"",B24181)</f>
        <v>Korkino</v>
      </c>
    </row>
    <row r="24182" spans="1:6" ht="15.75" customHeight="1">
      <c r="A24182" s="16" t="str">
        <f ca="1">IFERROR(__xludf.DUMMYFUNCTION("GOOGLETRANSLATE(B35774,""en"",""pt"")"),"Kōriyama")</f>
        <v>Kōriyama</v>
      </c>
      <c r="B24182" s="20" t="s">
        <v>34415</v>
      </c>
      <c r="C24182" s="20" t="s">
        <v>15704</v>
      </c>
      <c r="D24182" s="20" t="s">
        <v>15884</v>
      </c>
      <c r="E24182" s="10">
        <v>2112141</v>
      </c>
      <c r="F24182" s="4" t="str">
        <f>IF(B24182=B24181,"",B24182)</f>
        <v>Kōriyama</v>
      </c>
    </row>
    <row r="24183" spans="1:6" ht="15.75" customHeight="1">
      <c r="A24183" s="16" t="str">
        <f ca="1">IFERROR(__xludf.DUMMYFUNCTION("GOOGLETRANSLATE(B30989,""en"",""pt"")"),"Kórinthos")</f>
        <v>Kórinthos</v>
      </c>
      <c r="B24183" s="20" t="s">
        <v>32699</v>
      </c>
      <c r="C24183" s="20" t="s">
        <v>9441</v>
      </c>
      <c r="D24183" s="20" t="s">
        <v>9453</v>
      </c>
      <c r="E24183" s="10">
        <v>259289</v>
      </c>
      <c r="F24183" s="4" t="e">
        <f>IF(B24183=#REF!,"",B24183)</f>
        <v>#REF!</v>
      </c>
    </row>
    <row r="24184" spans="1:6" ht="15.75" customHeight="1">
      <c r="A24184" s="15" t="s">
        <v>15648</v>
      </c>
      <c r="B24184" s="15" t="s">
        <v>15648</v>
      </c>
      <c r="C24184" s="15" t="s">
        <v>15586</v>
      </c>
      <c r="D24184" s="15" t="s">
        <v>15627</v>
      </c>
      <c r="E24184" s="2">
        <v>2286304</v>
      </c>
      <c r="F24184" s="4" t="e">
        <f>IF(B24184=#REF!,"",B24184)</f>
        <v>#REF!</v>
      </c>
    </row>
    <row r="24185" spans="1:6" ht="15.75" customHeight="1">
      <c r="A24185" s="15" t="s">
        <v>26604</v>
      </c>
      <c r="B24185" s="15" t="s">
        <v>26604</v>
      </c>
      <c r="C24185" s="15" t="s">
        <v>26201</v>
      </c>
      <c r="D24185" s="15" t="s">
        <v>26321</v>
      </c>
      <c r="E24185" s="2">
        <v>742658</v>
      </c>
      <c r="F24185" s="4" t="str">
        <f>IF(B24185=B24184,"",B24185)</f>
        <v>Korgan</v>
      </c>
    </row>
    <row r="24186" spans="1:6" ht="15.75" customHeight="1">
      <c r="A24186" s="16" t="str">
        <f ca="1">IFERROR(__xludf.DUMMYFUNCTION("GOOGLETRANSLATE(B42092,""en"",""pt"")"),"Körfez")</f>
        <v>Körfez</v>
      </c>
      <c r="B24186" s="20" t="s">
        <v>35911</v>
      </c>
      <c r="C24186" s="20" t="s">
        <v>26201</v>
      </c>
      <c r="D24186" s="20" t="s">
        <v>26216</v>
      </c>
      <c r="E24186" s="10">
        <v>737961</v>
      </c>
      <c r="F24186" s="4" t="e">
        <f>IF(B24186=#REF!,"",B24186)</f>
        <v>#REF!</v>
      </c>
    </row>
    <row r="24187" spans="1:6" ht="15.75" customHeight="1">
      <c r="A24187" s="16" t="s">
        <v>22563</v>
      </c>
      <c r="B24187" s="15" t="s">
        <v>22563</v>
      </c>
      <c r="C24187" s="16" t="s">
        <v>22070</v>
      </c>
      <c r="D24187" s="16" t="s">
        <v>22077</v>
      </c>
      <c r="E24187" s="2">
        <v>544896</v>
      </c>
      <c r="F24187" s="4" t="e">
        <f>IF(B24187=#REF!,"",B24187)</f>
        <v>#REF!</v>
      </c>
    </row>
    <row r="24188" spans="1:6" ht="15.75" customHeight="1">
      <c r="A24188" s="15" t="s">
        <v>6902</v>
      </c>
      <c r="B24188" s="15" t="s">
        <v>6902</v>
      </c>
      <c r="C24188" s="15" t="s">
        <v>6807</v>
      </c>
      <c r="D24188" s="15" t="s">
        <v>6808</v>
      </c>
      <c r="E24188" s="2">
        <v>332746</v>
      </c>
      <c r="F24188" s="4" t="e">
        <f>IF(B24188=#REF!,"",B24188)</f>
        <v>#REF!</v>
      </c>
    </row>
    <row r="24189" spans="1:6" ht="15.75" customHeight="1">
      <c r="A24189" s="15" t="s">
        <v>12037</v>
      </c>
      <c r="B24189" s="15" t="s">
        <v>12037</v>
      </c>
      <c r="C24189" s="15" t="s">
        <v>10178</v>
      </c>
      <c r="D24189" s="15" t="s">
        <v>10214</v>
      </c>
      <c r="E24189" s="2">
        <v>1266116</v>
      </c>
      <c r="F24189" s="4" t="str">
        <f>IF(B24189=B24188,"",B24189)</f>
        <v>Koregaon</v>
      </c>
    </row>
    <row r="24190" spans="1:6" ht="15.75" customHeight="1">
      <c r="A24190" s="16" t="str">
        <f ca="1">IFERROR(__xludf.DUMMYFUNCTION("GOOGLETRANSLATE(B23106,""en"",""pt"")"),"Korçë")</f>
        <v>Korçë</v>
      </c>
      <c r="B24190" s="20" t="s">
        <v>31147</v>
      </c>
      <c r="C24190" s="20" t="s">
        <v>113</v>
      </c>
      <c r="D24190" s="20" t="s">
        <v>31147</v>
      </c>
      <c r="E24190" s="10">
        <v>782756</v>
      </c>
      <c r="F24190" s="4" t="e">
        <f>IF(B24190=#REF!,"",B24190)</f>
        <v>#REF!</v>
      </c>
    </row>
    <row r="24191" spans="1:6" ht="15.75" customHeight="1">
      <c r="A24191" s="15" t="s">
        <v>8694</v>
      </c>
      <c r="B24191" s="15" t="s">
        <v>8694</v>
      </c>
      <c r="C24191" s="15" t="s">
        <v>8028</v>
      </c>
      <c r="D24191" s="15" t="s">
        <v>8050</v>
      </c>
      <c r="E24191" s="2">
        <v>2885536</v>
      </c>
      <c r="F24191" s="4" t="e">
        <f>IF(B24191=#REF!,"",B24191)</f>
        <v>#REF!</v>
      </c>
    </row>
    <row r="24192" spans="1:6" ht="15.75" customHeight="1">
      <c r="A24192" s="15" t="s">
        <v>12036</v>
      </c>
      <c r="B24192" s="15" t="s">
        <v>12036</v>
      </c>
      <c r="C24192" s="15" t="s">
        <v>10178</v>
      </c>
      <c r="D24192" s="15" t="s">
        <v>10272</v>
      </c>
      <c r="E24192" s="2">
        <v>1266122</v>
      </c>
      <c r="F24192" s="4" t="e">
        <f>IF(B24192=#REF!,"",B24192)</f>
        <v>#REF!</v>
      </c>
    </row>
    <row r="24193" spans="1:6" ht="15.75" customHeight="1">
      <c r="A24193" s="15" t="s">
        <v>12035</v>
      </c>
      <c r="B24193" s="15" t="s">
        <v>12035</v>
      </c>
      <c r="C24193" s="15" t="s">
        <v>10178</v>
      </c>
      <c r="D24193" s="15" t="s">
        <v>10187</v>
      </c>
      <c r="E24193" s="2">
        <v>1266124</v>
      </c>
      <c r="F24193" s="4" t="str">
        <f>IF(B24193=B24192,"",B24193)</f>
        <v>Koratla</v>
      </c>
    </row>
    <row r="24194" spans="1:6" ht="15.75" customHeight="1">
      <c r="A24194" s="16" t="str">
        <f ca="1">IFERROR(__xludf.DUMMYFUNCTION("GOOGLETRANSLATE(B33007,""en"",""pt"")"),"Korāput")</f>
        <v>Korāput</v>
      </c>
      <c r="B24194" s="20" t="s">
        <v>33489</v>
      </c>
      <c r="C24194" s="20" t="s">
        <v>10178</v>
      </c>
      <c r="D24194" s="20" t="s">
        <v>10229</v>
      </c>
      <c r="E24194" s="10">
        <v>1266128</v>
      </c>
      <c r="F24194" s="4" t="str">
        <f>IF(B24194=B24193,"",B24194)</f>
        <v>Korāput</v>
      </c>
    </row>
    <row r="24195" spans="1:6" ht="15.75" customHeight="1">
      <c r="A24195" s="15" t="s">
        <v>12033</v>
      </c>
      <c r="B24195" s="15" t="s">
        <v>12034</v>
      </c>
      <c r="C24195" s="15" t="s">
        <v>10178</v>
      </c>
      <c r="D24195" s="15" t="s">
        <v>10229</v>
      </c>
      <c r="E24195" s="2">
        <v>1266128</v>
      </c>
      <c r="F24195" s="4" t="str">
        <f>IF(B24195=B24194,"",B24195)</f>
        <v>KorÄput</v>
      </c>
    </row>
    <row r="24196" spans="1:6" ht="15.75" customHeight="1">
      <c r="A24196" s="15" t="s">
        <v>128</v>
      </c>
      <c r="B24196" s="15" t="s">
        <v>129</v>
      </c>
      <c r="C24196" s="15" t="s">
        <v>113</v>
      </c>
      <c r="D24196" s="15" t="s">
        <v>129</v>
      </c>
      <c r="E24196" s="2">
        <v>782756</v>
      </c>
      <c r="F24196" s="4" t="str">
        <f>IF(B24196=B24195,"",B24196)</f>
        <v>KorÃ§Ã«</v>
      </c>
    </row>
    <row r="24197" spans="1:6" ht="15.75" customHeight="1">
      <c r="A24197" s="16" t="str">
        <f ca="1">IFERROR(__xludf.DUMMYFUNCTION("GOOGLETRANSLATE(B27302,""en"",""pt"")"),"Kopřivnice")</f>
        <v>Kopřivnice</v>
      </c>
      <c r="B24197" s="20" t="s">
        <v>31981</v>
      </c>
      <c r="C24197" s="20" t="s">
        <v>5947</v>
      </c>
      <c r="D24197" s="20" t="s">
        <v>31952</v>
      </c>
      <c r="E24197" s="10">
        <v>3073254</v>
      </c>
      <c r="F24197" s="4" t="e">
        <f>IF(B24197=#REF!,"",B24197)</f>
        <v>#REF!</v>
      </c>
    </row>
    <row r="24198" spans="1:6" ht="15.75" customHeight="1">
      <c r="A24198" s="16" t="s">
        <v>5722</v>
      </c>
      <c r="B24198" s="15" t="s">
        <v>5722</v>
      </c>
      <c r="C24198" s="16" t="s">
        <v>5711</v>
      </c>
      <c r="D24198" s="16" t="s">
        <v>5723</v>
      </c>
      <c r="E24198" s="2">
        <v>3197728</v>
      </c>
      <c r="F24198" s="4" t="e">
        <f>IF(B24198=#REF!,"",B24198)</f>
        <v>#REF!</v>
      </c>
    </row>
    <row r="24199" spans="1:6" ht="15.75" customHeight="1">
      <c r="A24199" s="15" t="s">
        <v>12032</v>
      </c>
      <c r="B24199" s="15" t="s">
        <v>12032</v>
      </c>
      <c r="C24199" s="15" t="s">
        <v>10178</v>
      </c>
      <c r="D24199" s="15" t="s">
        <v>10252</v>
      </c>
      <c r="E24199" s="2">
        <v>1266154</v>
      </c>
      <c r="F24199" s="4" t="str">
        <f>IF(B24199=B24198,"",B24199)</f>
        <v>Koppal</v>
      </c>
    </row>
    <row r="24200" spans="1:6" ht="15.75" customHeight="1">
      <c r="A24200" s="16" t="str">
        <f ca="1">IFERROR(__xludf.DUMMYFUNCTION("GOOGLETRANSLATE(B41175,""en"",""pt"")"),"Köping")</f>
        <v>Köping</v>
      </c>
      <c r="B24200" s="20" t="s">
        <v>35652</v>
      </c>
      <c r="C24200" s="20" t="s">
        <v>25077</v>
      </c>
      <c r="D24200" s="20" t="s">
        <v>35626</v>
      </c>
      <c r="E24200" s="10">
        <v>2699791</v>
      </c>
      <c r="F24200" s="4" t="e">
        <f>IF(B24200=#REF!,"",B24200)</f>
        <v>#REF!</v>
      </c>
    </row>
    <row r="24201" spans="1:6" ht="15.75" customHeight="1">
      <c r="A24201" s="15" t="s">
        <v>22562</v>
      </c>
      <c r="B24201" s="15" t="s">
        <v>22562</v>
      </c>
      <c r="C24201" s="15" t="s">
        <v>22070</v>
      </c>
      <c r="D24201" s="15" t="s">
        <v>22166</v>
      </c>
      <c r="E24201" s="2">
        <v>1502603</v>
      </c>
      <c r="F24201" s="4" t="e">
        <f>IF(B24201=#REF!,"",B24201)</f>
        <v>#REF!</v>
      </c>
    </row>
    <row r="24202" spans="1:6" ht="15.75" customHeight="1">
      <c r="A24202" s="15" t="s">
        <v>23787</v>
      </c>
      <c r="B24202" s="15" t="s">
        <v>23787</v>
      </c>
      <c r="C24202" s="15" t="s">
        <v>23786</v>
      </c>
      <c r="D24202" s="15" t="s">
        <v>23788</v>
      </c>
      <c r="E24202" s="2">
        <v>3197753</v>
      </c>
      <c r="F24202" s="4" t="str">
        <f>IF(B24202=B24201,"",B24202)</f>
        <v>Koper</v>
      </c>
    </row>
    <row r="24203" spans="1:6" ht="15.75" customHeight="1">
      <c r="A24203" s="16" t="str">
        <f ca="1">IFERROR(__xludf.DUMMYFUNCTION("GOOGLETRANSLATE(B27870,""en"",""pt"")"),"Köpenick")</f>
        <v>Köpenick</v>
      </c>
      <c r="B24203" s="20" t="s">
        <v>32075</v>
      </c>
      <c r="C24203" s="20" t="s">
        <v>8028</v>
      </c>
      <c r="D24203" s="20" t="s">
        <v>8036</v>
      </c>
      <c r="E24203" s="10">
        <v>2885656</v>
      </c>
      <c r="F24203" s="4" t="str">
        <f>IF(B24203=B24202,"",B24203)</f>
        <v>Köpenick</v>
      </c>
    </row>
    <row r="24204" spans="1:6" ht="15.75" customHeight="1">
      <c r="A24204" s="16" t="str">
        <f ca="1">IFERROR(__xludf.DUMMYFUNCTION("GOOGLETRANSLATE(B34537,""en"",""pt"")"),"Kópavogur")</f>
        <v>Kópavogur</v>
      </c>
      <c r="B24204" s="20" t="s">
        <v>34264</v>
      </c>
      <c r="C24204" s="20" t="s">
        <v>10168</v>
      </c>
      <c r="D24204" s="20" t="s">
        <v>6216</v>
      </c>
      <c r="E24204" s="10">
        <v>3415212</v>
      </c>
      <c r="F24204" s="4" t="str">
        <f>IF(B24204=B24203,"",B24204)</f>
        <v>Kópavogur</v>
      </c>
    </row>
    <row r="24205" spans="1:6" ht="15.75" customHeight="1">
      <c r="A24205" s="16" t="s">
        <v>6038</v>
      </c>
      <c r="B24205" s="15" t="s">
        <v>6039</v>
      </c>
      <c r="C24205" s="16" t="s">
        <v>5947</v>
      </c>
      <c r="D24205" s="16" t="s">
        <v>5971</v>
      </c>
      <c r="E24205" s="2">
        <v>3073254</v>
      </c>
      <c r="F24205" s="4" t="e">
        <f>IF(B24205=#REF!,"",B24205)</f>
        <v>#REF!</v>
      </c>
    </row>
    <row r="24206" spans="1:6" ht="15.75" customHeight="1">
      <c r="A24206" s="16" t="s">
        <v>12031</v>
      </c>
      <c r="B24206" s="15" t="s">
        <v>12031</v>
      </c>
      <c r="C24206" s="16" t="s">
        <v>10178</v>
      </c>
      <c r="D24206" s="16" t="s">
        <v>10214</v>
      </c>
      <c r="E24206" s="2">
        <v>1266162</v>
      </c>
      <c r="F24206" s="4" t="str">
        <f>IF(B24206=B24205,"",B24206)</f>
        <v>Kopargaon</v>
      </c>
    </row>
    <row r="24207" spans="1:6" ht="15.75" customHeight="1">
      <c r="A24207" s="16" t="str">
        <f ca="1">IFERROR(__xludf.DUMMYFUNCTION("GOOGLETRANSLATE(B33010,""en"",""pt"")"),"Kopāganj")</f>
        <v>Kopāganj</v>
      </c>
      <c r="B24207" s="20" t="s">
        <v>33490</v>
      </c>
      <c r="C24207" s="20" t="s">
        <v>10178</v>
      </c>
      <c r="D24207" s="20" t="s">
        <v>10193</v>
      </c>
      <c r="E24207" s="10">
        <v>1266164</v>
      </c>
      <c r="F24207" s="4" t="str">
        <f>IF(B24207=B24206,"",B24207)</f>
        <v>Kopāganj</v>
      </c>
    </row>
    <row r="24208" spans="1:6" ht="15.75" customHeight="1">
      <c r="A24208" s="16" t="s">
        <v>12029</v>
      </c>
      <c r="B24208" s="15" t="s">
        <v>12030</v>
      </c>
      <c r="C24208" s="16" t="s">
        <v>10178</v>
      </c>
      <c r="D24208" s="16" t="s">
        <v>10193</v>
      </c>
      <c r="E24208" s="2">
        <v>1266164</v>
      </c>
      <c r="F24208" s="4" t="e">
        <f>IF(B24208=#REF!,"",B24208)</f>
        <v>#REF!</v>
      </c>
    </row>
    <row r="24209" spans="1:6" ht="15.75" customHeight="1">
      <c r="A24209" s="16" t="s">
        <v>12028</v>
      </c>
      <c r="B24209" s="15" t="s">
        <v>12028</v>
      </c>
      <c r="C24209" s="16" t="s">
        <v>10178</v>
      </c>
      <c r="D24209" s="16" t="s">
        <v>10196</v>
      </c>
      <c r="E24209" s="2">
        <v>1265400</v>
      </c>
      <c r="F24209" s="4" t="e">
        <f>IF(B24209=#REF!,"",B24209)</f>
        <v>#REF!</v>
      </c>
    </row>
    <row r="24210" spans="1:6" ht="15.75" customHeight="1">
      <c r="A24210" s="15" t="s">
        <v>8693</v>
      </c>
      <c r="B24210" s="15" t="s">
        <v>8693</v>
      </c>
      <c r="C24210" s="15" t="s">
        <v>8028</v>
      </c>
      <c r="D24210" s="15" t="s">
        <v>8065</v>
      </c>
      <c r="E24210" s="2">
        <v>2885672</v>
      </c>
      <c r="F24210" s="4" t="e">
        <f>IF(B24210=#REF!,"",B24210)</f>
        <v>#REF!</v>
      </c>
    </row>
    <row r="24211" spans="1:6" ht="15.75" customHeight="1">
      <c r="A24211" s="15" t="s">
        <v>26265</v>
      </c>
      <c r="B24211" s="15" t="s">
        <v>26265</v>
      </c>
      <c r="C24211" s="15" t="s">
        <v>26201</v>
      </c>
      <c r="D24211" s="15" t="s">
        <v>26265</v>
      </c>
      <c r="E24211" s="2">
        <v>306571</v>
      </c>
      <c r="F24211" s="4" t="e">
        <f>IF(B24211=#REF!,"",B24211)</f>
        <v>#REF!</v>
      </c>
    </row>
    <row r="24212" spans="1:6" ht="15.75" customHeight="1">
      <c r="A24212" s="15" t="s">
        <v>1609</v>
      </c>
      <c r="B24212" s="15" t="s">
        <v>1609</v>
      </c>
      <c r="C24212" s="15" t="s">
        <v>1512</v>
      </c>
      <c r="D24212" s="15" t="s">
        <v>1513</v>
      </c>
      <c r="E24212" s="2">
        <v>2794117</v>
      </c>
      <c r="F24212" s="4" t="e">
        <f>IF(B24212=#REF!,"",B24212)</f>
        <v>#REF!</v>
      </c>
    </row>
    <row r="24213" spans="1:6" ht="15.75" customHeight="1">
      <c r="A24213" s="16" t="s">
        <v>19484</v>
      </c>
      <c r="B24213" s="15" t="s">
        <v>19484</v>
      </c>
      <c r="C24213" s="16" t="s">
        <v>19294</v>
      </c>
      <c r="D24213" s="16" t="s">
        <v>19259</v>
      </c>
      <c r="E24213" s="2">
        <v>2334008</v>
      </c>
      <c r="F24213" s="4" t="e">
        <f>IF(B24213=#REF!,"",B24213)</f>
        <v>#REF!</v>
      </c>
    </row>
    <row r="24214" spans="1:6" ht="15.75" customHeight="1">
      <c r="A24214" s="15" t="s">
        <v>8692</v>
      </c>
      <c r="B24214" s="15" t="s">
        <v>8692</v>
      </c>
      <c r="C24214" s="15" t="s">
        <v>8028</v>
      </c>
      <c r="D24214" s="15" t="s">
        <v>8031</v>
      </c>
      <c r="E24214" s="2">
        <v>2885679</v>
      </c>
      <c r="F24214" s="4" t="str">
        <f>IF(B24214=B24213,"",B24214)</f>
        <v>Konstanz</v>
      </c>
    </row>
    <row r="24215" spans="1:6" ht="15.75" customHeight="1">
      <c r="A24215" s="16" t="str">
        <f ca="1">IFERROR(__xludf.DUMMYFUNCTION("GOOGLETRANSLATE(B39429,""en"",""pt"")"),"Konstantynów łódzki")</f>
        <v>Konstantynów łódzki</v>
      </c>
      <c r="B24215" s="20" t="s">
        <v>35212</v>
      </c>
      <c r="C24215" s="20" t="s">
        <v>21064</v>
      </c>
      <c r="D24215" s="20" t="s">
        <v>35071</v>
      </c>
      <c r="E24215" s="10">
        <v>3095277</v>
      </c>
      <c r="F24215" s="4" t="str">
        <f>IF(B24215=B24214,"",B24215)</f>
        <v>Konstantynów Łódzki</v>
      </c>
    </row>
    <row r="24216" spans="1:6" ht="15.75" customHeight="1">
      <c r="A24216" s="16" t="s">
        <v>21303</v>
      </c>
      <c r="B24216" s="15" t="s">
        <v>21304</v>
      </c>
      <c r="C24216" s="16" t="s">
        <v>21064</v>
      </c>
      <c r="D24216" s="16" t="s">
        <v>21080</v>
      </c>
      <c r="E24216" s="2">
        <v>3095277</v>
      </c>
      <c r="F24216" s="4" t="e">
        <f>IF(B24216=#REF!,"",B24216)</f>
        <v>#REF!</v>
      </c>
    </row>
    <row r="24217" spans="1:6" ht="15.75" customHeight="1">
      <c r="A24217" s="16" t="s">
        <v>22561</v>
      </c>
      <c r="B24217" s="15" t="s">
        <v>22561</v>
      </c>
      <c r="C24217" s="16" t="s">
        <v>22070</v>
      </c>
      <c r="D24217" s="16" t="s">
        <v>22099</v>
      </c>
      <c r="E24217" s="2">
        <v>545277</v>
      </c>
      <c r="F24217" s="4" t="e">
        <f>IF(B24217=#REF!,"",B24217)</f>
        <v>#REF!</v>
      </c>
    </row>
    <row r="24218" spans="1:6" ht="15.75" customHeight="1">
      <c r="A24218" s="16" t="s">
        <v>21302</v>
      </c>
      <c r="B24218" s="15" t="s">
        <v>21302</v>
      </c>
      <c r="C24218" s="16" t="s">
        <v>21064</v>
      </c>
      <c r="D24218" s="16" t="s">
        <v>21070</v>
      </c>
      <c r="E24218" s="2">
        <v>768216</v>
      </c>
      <c r="F24218" s="4" t="str">
        <f>IF(B24218=B24217,"",B24218)</f>
        <v>Konstancin-Jeziorna</v>
      </c>
    </row>
    <row r="24219" spans="1:6" ht="15.75" customHeight="1">
      <c r="A24219" s="16" t="str">
        <f ca="1">IFERROR(__xludf.DUMMYFUNCTION("GOOGLETRANSLATE(B39264,""en"",""pt"")"),"Końskie")</f>
        <v>Końskie</v>
      </c>
      <c r="B24219" s="20" t="s">
        <v>35113</v>
      </c>
      <c r="C24219" s="20" t="s">
        <v>21064</v>
      </c>
      <c r="D24219" s="20" t="s">
        <v>35079</v>
      </c>
      <c r="E24219" s="10">
        <v>768218</v>
      </c>
      <c r="F24219" s="4" t="e">
        <f>IF(B24219=#REF!,"",B24219)</f>
        <v>#REF!</v>
      </c>
    </row>
    <row r="24220" spans="1:6" ht="15.75" customHeight="1">
      <c r="A24220" s="15" t="s">
        <v>27013</v>
      </c>
      <c r="B24220" s="15" t="s">
        <v>27013</v>
      </c>
      <c r="C24220" s="15" t="s">
        <v>26870</v>
      </c>
      <c r="D24220" s="15" t="s">
        <v>26911</v>
      </c>
      <c r="E24220" s="2">
        <v>705135</v>
      </c>
      <c r="F24220" s="4" t="str">
        <f>IF(B24220=B24219,"",B24220)</f>
        <v>Konotop</v>
      </c>
    </row>
    <row r="24221" spans="1:6" ht="15.75" customHeight="1">
      <c r="A24221" s="16" t="str">
        <f ca="1">IFERROR(__xludf.DUMMYFUNCTION("GOOGLETRANSLATE(B35473,""en"",""pt"")"),"Kōnosu")</f>
        <v>Kōnosu</v>
      </c>
      <c r="B24221" s="20" t="s">
        <v>34353</v>
      </c>
      <c r="C24221" s="20" t="s">
        <v>15704</v>
      </c>
      <c r="D24221" s="20" t="s">
        <v>15710</v>
      </c>
      <c r="E24221" s="10">
        <v>1858794</v>
      </c>
      <c r="F24221" s="4" t="e">
        <f>IF(B24221=#REF!,"",B24221)</f>
        <v>#REF!</v>
      </c>
    </row>
    <row r="24222" spans="1:6" ht="15.75" customHeight="1">
      <c r="A24222" s="15" t="s">
        <v>9402</v>
      </c>
      <c r="B24222" s="15" t="s">
        <v>9402</v>
      </c>
      <c r="C24222" s="15" t="s">
        <v>9365</v>
      </c>
      <c r="D24222" s="15" t="s">
        <v>9371</v>
      </c>
      <c r="E24222" s="2">
        <v>2299349</v>
      </c>
      <c r="F24222" s="4" t="str">
        <f>IF(B24222=B24221,"",B24222)</f>
        <v>Konongo</v>
      </c>
    </row>
    <row r="24223" spans="1:6" ht="15.75" customHeight="1">
      <c r="A24223" s="16" t="str">
        <f ca="1">IFERROR(__xludf.DUMMYFUNCTION("GOOGLETRANSLATE(B33011,""en"",""pt"")"),"Konnūr")</f>
        <v>Konnūr</v>
      </c>
      <c r="B24223" s="20" t="s">
        <v>33491</v>
      </c>
      <c r="C24223" s="20" t="s">
        <v>10178</v>
      </c>
      <c r="D24223" s="20" t="s">
        <v>10252</v>
      </c>
      <c r="E24223" s="10">
        <v>1266178</v>
      </c>
      <c r="F24223" s="4" t="e">
        <f>IF(B24223=#REF!,"",B24223)</f>
        <v>#REF!</v>
      </c>
    </row>
    <row r="24224" spans="1:6" ht="15.75" customHeight="1">
      <c r="A24224" s="15" t="s">
        <v>12027</v>
      </c>
      <c r="B24224" s="15" t="s">
        <v>12027</v>
      </c>
      <c r="C24224" s="15" t="s">
        <v>10178</v>
      </c>
      <c r="D24224" s="15" t="s">
        <v>10201</v>
      </c>
      <c r="E24224" s="2">
        <v>1266179</v>
      </c>
      <c r="F24224" s="4" t="str">
        <f>IF(B24224=B24223,"",B24224)</f>
        <v>Konnagar</v>
      </c>
    </row>
    <row r="24225" spans="1:6" ht="15.75" customHeight="1">
      <c r="A24225" s="15" t="s">
        <v>12025</v>
      </c>
      <c r="B24225" s="15" t="s">
        <v>12026</v>
      </c>
      <c r="C24225" s="15" t="s">
        <v>10178</v>
      </c>
      <c r="D24225" s="15" t="s">
        <v>10252</v>
      </c>
      <c r="E24225" s="2">
        <v>1266178</v>
      </c>
      <c r="F24225" s="4" t="e">
        <f>IF(B24225=#REF!,"",B24225)</f>
        <v>#REF!</v>
      </c>
    </row>
    <row r="24226" spans="1:6" ht="15.75" customHeight="1">
      <c r="A24226" s="15" t="s">
        <v>1864</v>
      </c>
      <c r="B24226" s="15" t="s">
        <v>1864</v>
      </c>
      <c r="C24226" s="15" t="s">
        <v>1845</v>
      </c>
      <c r="D24226" s="15" t="s">
        <v>1849</v>
      </c>
      <c r="E24226" s="2">
        <v>3337476</v>
      </c>
      <c r="F24226" s="4" t="str">
        <f>IF(B24226=B24225,"",B24226)</f>
        <v>Konjic</v>
      </c>
    </row>
    <row r="24227" spans="1:6" ht="15.75" customHeight="1">
      <c r="A24227" s="16" t="str">
        <f ca="1">IFERROR(__xludf.DUMMYFUNCTION("GOOGLETRANSLATE(B25778,""en"",""pt"")"),"Köniz")</f>
        <v>Köniz</v>
      </c>
      <c r="B24227" s="20" t="s">
        <v>31778</v>
      </c>
      <c r="C24227" s="20" t="s">
        <v>25237</v>
      </c>
      <c r="D24227" s="20" t="s">
        <v>25250</v>
      </c>
      <c r="E24227" s="10">
        <v>2660119</v>
      </c>
      <c r="F24227" s="4" t="e">
        <f>IF(B24227=#REF!,"",B24227)</f>
        <v>#REF!</v>
      </c>
    </row>
    <row r="24228" spans="1:6" ht="15.75" customHeight="1">
      <c r="A24228" s="15" t="s">
        <v>21301</v>
      </c>
      <c r="B24228" s="15" t="s">
        <v>21301</v>
      </c>
      <c r="C24228" s="15" t="s">
        <v>21064</v>
      </c>
      <c r="D24228" s="15" t="s">
        <v>21112</v>
      </c>
      <c r="E24228" s="2">
        <v>3095321</v>
      </c>
      <c r="F24228" s="4" t="str">
        <f>IF(B24228=B24227,"",B24228)</f>
        <v>Konin</v>
      </c>
    </row>
    <row r="24229" spans="1:6" ht="15.75" customHeight="1">
      <c r="A24229" s="16" t="str">
        <f ca="1">IFERROR(__xludf.DUMMYFUNCTION("GOOGLETRANSLATE(B27875,""en"",""pt"")"),"Königswinter")</f>
        <v>Königswinter</v>
      </c>
      <c r="B24229" s="20" t="s">
        <v>32078</v>
      </c>
      <c r="C24229" s="20" t="s">
        <v>8028</v>
      </c>
      <c r="D24229" s="20" t="s">
        <v>8029</v>
      </c>
      <c r="E24229" s="10">
        <v>2885734</v>
      </c>
      <c r="F24229" s="4" t="str">
        <f>IF(B24229=B24228,"",B24229)</f>
        <v>Königswinter</v>
      </c>
    </row>
    <row r="24230" spans="1:6" ht="15.75" customHeight="1">
      <c r="A24230" s="16" t="str">
        <f ca="1">IFERROR(__xludf.DUMMYFUNCTION("GOOGLETRANSLATE(B27876,""en"",""pt"")"),"Königstein Im Tauunus")</f>
        <v>Königstein Im Tauunus</v>
      </c>
      <c r="B24230" s="20" t="s">
        <v>32079</v>
      </c>
      <c r="C24230" s="20" t="s">
        <v>8028</v>
      </c>
      <c r="D24230" s="20" t="s">
        <v>8050</v>
      </c>
      <c r="E24230" s="10">
        <v>2885760</v>
      </c>
      <c r="F24230" s="4" t="str">
        <f>IF(B24230=B24229,"",B24230)</f>
        <v>Königstein im Taunus</v>
      </c>
    </row>
    <row r="24231" spans="1:6" ht="15.75" customHeight="1">
      <c r="A24231" s="16" t="str">
        <f ca="1">IFERROR(__xludf.DUMMYFUNCTION("GOOGLETRANSLATE(B27877,""en"",""pt"")"),"Königslutter am Elm")</f>
        <v>Königslutter am Elm</v>
      </c>
      <c r="B24231" s="20" t="s">
        <v>32080</v>
      </c>
      <c r="C24231" s="20" t="s">
        <v>8028</v>
      </c>
      <c r="D24231" s="20" t="s">
        <v>8034</v>
      </c>
      <c r="E24231" s="10">
        <v>2885800</v>
      </c>
      <c r="F24231" s="4" t="str">
        <f>IF(B24231=B24230,"",B24231)</f>
        <v>Königslutter am Elm</v>
      </c>
    </row>
    <row r="24232" spans="1:6" ht="15.75" customHeight="1">
      <c r="A24232" s="16" t="str">
        <f ca="1">IFERROR(__xludf.DUMMYFUNCTION("GOOGLETRANSLATE(B27878,""en"",""pt"")"),"Königsbrunn")</f>
        <v>Königsbrunn</v>
      </c>
      <c r="B24232" s="20" t="s">
        <v>32081</v>
      </c>
      <c r="C24232" s="20" t="s">
        <v>8028</v>
      </c>
      <c r="D24232" s="20" t="s">
        <v>8044</v>
      </c>
      <c r="E24232" s="10">
        <v>2885908</v>
      </c>
      <c r="F24232" s="4" t="str">
        <f>IF(B24232=B24231,"",B24232)</f>
        <v>Königsbrunn</v>
      </c>
    </row>
    <row r="24233" spans="1:6" ht="15.75" customHeight="1">
      <c r="A24233" s="16" t="str">
        <f ca="1">IFERROR(__xludf.DUMMYFUNCTION("GOOGLETRANSLATE(B27874,""en"",""pt"")"),"Königs Wusterhausen")</f>
        <v>Königs Wusterhausen</v>
      </c>
      <c r="B24233" s="20" t="s">
        <v>32077</v>
      </c>
      <c r="C24233" s="20" t="s">
        <v>8028</v>
      </c>
      <c r="D24233" s="20" t="s">
        <v>8070</v>
      </c>
      <c r="E24233" s="10">
        <v>2885732</v>
      </c>
      <c r="F24233" s="4" t="e">
        <f>IF(B24233=#REF!,"",B24233)</f>
        <v>#REF!</v>
      </c>
    </row>
    <row r="24234" spans="1:6" ht="15.75" customHeight="1">
      <c r="A24234" s="16" t="s">
        <v>25547</v>
      </c>
      <c r="B24234" s="15" t="s">
        <v>25547</v>
      </c>
      <c r="C24234" s="16" t="s">
        <v>25527</v>
      </c>
      <c r="D24234" s="16" t="s">
        <v>25530</v>
      </c>
      <c r="E24234" s="2">
        <v>1514891</v>
      </c>
      <c r="F24234" s="4" t="e">
        <f>IF(B24234=#REF!,"",B24234)</f>
        <v>#REF!</v>
      </c>
    </row>
    <row r="24235" spans="1:6" ht="15.75" customHeight="1">
      <c r="A24235" s="16" t="s">
        <v>19723</v>
      </c>
      <c r="B24235" s="15" t="s">
        <v>19723</v>
      </c>
      <c r="C24235" s="16" t="s">
        <v>19695</v>
      </c>
      <c r="D24235" s="16" t="s">
        <v>19707</v>
      </c>
      <c r="E24235" s="2">
        <v>3149563</v>
      </c>
      <c r="F24235" s="4" t="e">
        <f>IF(B24235=#REF!,"",B24235)</f>
        <v>#REF!</v>
      </c>
    </row>
    <row r="24236" spans="1:6" ht="15.75" customHeight="1">
      <c r="A24236" s="16" t="s">
        <v>3801</v>
      </c>
      <c r="B24236" s="15" t="s">
        <v>3801</v>
      </c>
      <c r="C24236" s="16" t="s">
        <v>3768</v>
      </c>
      <c r="D24236" s="16" t="s">
        <v>3774</v>
      </c>
      <c r="E24236" s="2">
        <v>2359142</v>
      </c>
      <c r="F24236" s="4" t="e">
        <f>IF(B24236=#REF!,"",B24236)</f>
        <v>#REF!</v>
      </c>
    </row>
    <row r="24237" spans="1:6" ht="15.75" customHeight="1">
      <c r="A24237" s="15" t="s">
        <v>6176</v>
      </c>
      <c r="B24237" s="15" t="s">
        <v>6176</v>
      </c>
      <c r="C24237" s="15" t="s">
        <v>6127</v>
      </c>
      <c r="D24237" s="15" t="s">
        <v>6138</v>
      </c>
      <c r="E24237" s="2">
        <v>212360</v>
      </c>
      <c r="F24237" s="4" t="str">
        <f>IF(B24237=B24236,"",B24237)</f>
        <v>Kongolo</v>
      </c>
    </row>
    <row r="24238" spans="1:6" ht="15.75" customHeight="1">
      <c r="A24238" s="16" t="str">
        <f ca="1">IFERROR(__xludf.DUMMYFUNCTION("GOOGLETRANSLATE(B41777,""en"",""pt"")"),"Köneürgench")</f>
        <v>Köneürgench</v>
      </c>
      <c r="B24238" s="20" t="s">
        <v>35789</v>
      </c>
      <c r="C24238" s="20" t="s">
        <v>26774</v>
      </c>
      <c r="D24238" s="20" t="s">
        <v>35787</v>
      </c>
      <c r="E24238" s="10">
        <v>601608</v>
      </c>
      <c r="F24238" s="4" t="e">
        <f>IF(B24238=#REF!,"",B24238)</f>
        <v>#REF!</v>
      </c>
    </row>
    <row r="24239" spans="1:6" ht="15.75" customHeight="1">
      <c r="A24239" s="15" t="s">
        <v>22560</v>
      </c>
      <c r="B24239" s="15" t="s">
        <v>22560</v>
      </c>
      <c r="C24239" s="15" t="s">
        <v>22070</v>
      </c>
      <c r="D24239" s="15" t="s">
        <v>22184</v>
      </c>
      <c r="E24239" s="2">
        <v>545575</v>
      </c>
      <c r="F24239" s="4" t="e">
        <f>IF(B24239=#REF!,"",B24239)</f>
        <v>#REF!</v>
      </c>
    </row>
    <row r="24240" spans="1:6" ht="15.75" customHeight="1">
      <c r="A24240" s="16" t="s">
        <v>22558</v>
      </c>
      <c r="B24240" s="15" t="s">
        <v>22558</v>
      </c>
      <c r="C24240" s="16" t="s">
        <v>22070</v>
      </c>
      <c r="D24240" s="16" t="s">
        <v>22559</v>
      </c>
      <c r="E24240" s="2">
        <v>545626</v>
      </c>
      <c r="F24240" s="4" t="e">
        <f>IF(B24240=#REF!,"",B24240)</f>
        <v>#REF!</v>
      </c>
    </row>
    <row r="24241" spans="1:6" ht="15.75" customHeight="1">
      <c r="A24241" s="15" t="s">
        <v>25650</v>
      </c>
      <c r="B24241" s="15" t="s">
        <v>25650</v>
      </c>
      <c r="C24241" s="15" t="s">
        <v>25560</v>
      </c>
      <c r="D24241" s="15" t="s">
        <v>25592</v>
      </c>
      <c r="E24241" s="2">
        <v>156510</v>
      </c>
      <c r="F24241" s="4" t="e">
        <f>IF(B24241=#REF!,"",B24241)</f>
        <v>#REF!</v>
      </c>
    </row>
    <row r="24242" spans="1:6" ht="15.75" customHeight="1">
      <c r="A24242" s="16" t="s">
        <v>12024</v>
      </c>
      <c r="B24242" s="15" t="s">
        <v>12024</v>
      </c>
      <c r="C24242" s="16" t="s">
        <v>10178</v>
      </c>
      <c r="D24242" s="16" t="s">
        <v>10190</v>
      </c>
      <c r="E24242" s="2">
        <v>1266209</v>
      </c>
      <c r="F24242" s="4" t="e">
        <f>IF(B24242=#REF!,"",B24242)</f>
        <v>#REF!</v>
      </c>
    </row>
    <row r="24243" spans="1:6" ht="15.75" customHeight="1">
      <c r="A24243" s="16" t="s">
        <v>12023</v>
      </c>
      <c r="B24243" s="15" t="s">
        <v>12023</v>
      </c>
      <c r="C24243" s="16" t="s">
        <v>10178</v>
      </c>
      <c r="D24243" s="16" t="s">
        <v>10272</v>
      </c>
      <c r="E24243" s="2">
        <v>1266216</v>
      </c>
      <c r="F24243" s="4" t="e">
        <f>IF(B24243=#REF!,"",B24243)</f>
        <v>#REF!</v>
      </c>
    </row>
    <row r="24244" spans="1:6" ht="15.75" customHeight="1">
      <c r="A24244" s="15" t="s">
        <v>12022</v>
      </c>
      <c r="B24244" s="15" t="s">
        <v>12022</v>
      </c>
      <c r="C24244" s="15" t="s">
        <v>10178</v>
      </c>
      <c r="D24244" s="15" t="s">
        <v>10193</v>
      </c>
      <c r="E24244" s="2">
        <v>1266217</v>
      </c>
      <c r="F24244" s="4" t="str">
        <f>IF(B24244=B24243,"",B24244)</f>
        <v>Konch</v>
      </c>
    </row>
    <row r="24245" spans="1:6" ht="15.75" customHeight="1">
      <c r="A24245" s="16" t="str">
        <f ca="1">IFERROR(__xludf.DUMMYFUNCTION("GOOGLETRANSLATE(B33016,""en"",""pt"")"),"Konārka")</f>
        <v>Konārka</v>
      </c>
      <c r="B24245" s="20" t="s">
        <v>33492</v>
      </c>
      <c r="C24245" s="20" t="s">
        <v>10178</v>
      </c>
      <c r="D24245" s="20" t="s">
        <v>10229</v>
      </c>
      <c r="E24245" s="10">
        <v>1266220</v>
      </c>
      <c r="F24245" s="4" t="str">
        <f>IF(B24245=B24244,"",B24245)</f>
        <v>Konārka</v>
      </c>
    </row>
    <row r="24246" spans="1:6" ht="15.75" customHeight="1">
      <c r="A24246" s="16" t="str">
        <f ca="1">IFERROR(__xludf.DUMMYFUNCTION("GOOGLETRANSLATE(B35474,""en"",""pt"")"),"Kōnan")</f>
        <v>Kōnan</v>
      </c>
      <c r="B24246" s="20" t="s">
        <v>34354</v>
      </c>
      <c r="C24246" s="20" t="s">
        <v>15704</v>
      </c>
      <c r="D24246" s="20" t="s">
        <v>15729</v>
      </c>
      <c r="E24246" s="10">
        <v>1858836</v>
      </c>
      <c r="F24246" s="4" t="e">
        <f>IF(B24246=#REF!,"",B24246)</f>
        <v>#REF!</v>
      </c>
    </row>
    <row r="24247" spans="1:6" ht="15.75" customHeight="1">
      <c r="A24247" s="15" t="s">
        <v>22557</v>
      </c>
      <c r="B24247" s="15" t="s">
        <v>22557</v>
      </c>
      <c r="C24247" s="15" t="s">
        <v>22070</v>
      </c>
      <c r="D24247" s="15" t="s">
        <v>22229</v>
      </c>
      <c r="E24247" s="2">
        <v>545673</v>
      </c>
      <c r="F24247" s="4" t="str">
        <f>IF(B24247=B24246,"",B24247)</f>
        <v>Konakovo</v>
      </c>
    </row>
    <row r="24248" spans="1:6" ht="15.75" customHeight="1">
      <c r="A24248" s="15" t="s">
        <v>12020</v>
      </c>
      <c r="B24248" s="15" t="s">
        <v>12021</v>
      </c>
      <c r="C24248" s="15" t="s">
        <v>10178</v>
      </c>
      <c r="D24248" s="15" t="s">
        <v>10229</v>
      </c>
      <c r="E24248" s="2">
        <v>1266220</v>
      </c>
      <c r="F24248" s="4" t="e">
        <f>IF(B24248=#REF!,"",B24248)</f>
        <v>#REF!</v>
      </c>
    </row>
    <row r="24249" spans="1:6" ht="15.75" customHeight="1">
      <c r="A24249" s="15" t="s">
        <v>30862</v>
      </c>
      <c r="B24249" s="15" t="s">
        <v>30862</v>
      </c>
      <c r="C24249" s="15" t="s">
        <v>30784</v>
      </c>
      <c r="D24249" s="15" t="s">
        <v>30862</v>
      </c>
      <c r="E24249" s="2">
        <v>1578500</v>
      </c>
      <c r="F24249" s="4" t="e">
        <f>IF(B24249=#REF!,"",B24249)</f>
        <v>#REF!</v>
      </c>
    </row>
    <row r="24250" spans="1:6" ht="15.75" customHeight="1">
      <c r="A24250" s="16" t="s">
        <v>22556</v>
      </c>
      <c r="B24250" s="15" t="s">
        <v>22556</v>
      </c>
      <c r="C24250" s="16" t="s">
        <v>22070</v>
      </c>
      <c r="D24250" s="16" t="s">
        <v>22131</v>
      </c>
      <c r="E24250" s="2">
        <v>2021851</v>
      </c>
      <c r="F24250" s="4" t="e">
        <f>IF(B24250=#REF!,"",B24250)</f>
        <v>#REF!</v>
      </c>
    </row>
    <row r="24251" spans="1:6" ht="15.75" customHeight="1">
      <c r="A24251" s="16" t="s">
        <v>27012</v>
      </c>
      <c r="B24251" s="15" t="s">
        <v>27012</v>
      </c>
      <c r="C24251" s="16" t="s">
        <v>26870</v>
      </c>
      <c r="D24251" s="16" t="s">
        <v>26964</v>
      </c>
      <c r="E24251" s="2">
        <v>6559559</v>
      </c>
      <c r="F24251" s="4" t="str">
        <f>IF(B24251=B24250,"",B24251)</f>
        <v>Komsomolsk</v>
      </c>
    </row>
    <row r="24252" spans="1:6" ht="15.75" customHeight="1">
      <c r="A24252" s="16" t="s">
        <v>27010</v>
      </c>
      <c r="B24252" s="15" t="s">
        <v>27011</v>
      </c>
      <c r="C24252" s="16" t="s">
        <v>26870</v>
      </c>
      <c r="D24252" s="16" t="s">
        <v>26893</v>
      </c>
      <c r="E24252" s="2">
        <v>705183</v>
      </c>
      <c r="F24252" s="4" t="str">
        <f>IF(B24252=B24251,"",B24252)</f>
        <v>Komsomolâ€™sâ€™ke</v>
      </c>
    </row>
    <row r="24253" spans="1:6" ht="15.75" customHeight="1">
      <c r="A24253" s="16" t="str">
        <f ca="1">IFERROR(__xludf.DUMMYFUNCTION("GOOGLETRANSLATE(B42621,""en"",""pt"")"),"Komsomol's'ke")</f>
        <v>Komsomol's'ke</v>
      </c>
      <c r="B24253" s="20" t="s">
        <v>36027</v>
      </c>
      <c r="C24253" s="20" t="s">
        <v>26870</v>
      </c>
      <c r="D24253" s="20" t="s">
        <v>26893</v>
      </c>
      <c r="E24253" s="10">
        <v>705183</v>
      </c>
      <c r="F24253" s="4" t="str">
        <f>IF(B24253=B24252,"",B24253)</f>
        <v>Komsomol’s’ke</v>
      </c>
    </row>
    <row r="24254" spans="1:6" ht="15.75" customHeight="1">
      <c r="A24254" s="16" t="str">
        <f ca="1">IFERROR(__xludf.DUMMYFUNCTION("GOOGLETRANSLATE(B31044,""en"",""pt"")"),"Komotiní")</f>
        <v>Komotiní</v>
      </c>
      <c r="B24254" s="20" t="s">
        <v>32750</v>
      </c>
      <c r="C24254" s="20" t="s">
        <v>9441</v>
      </c>
      <c r="D24254" s="20" t="s">
        <v>9475</v>
      </c>
      <c r="E24254" s="10">
        <v>735640</v>
      </c>
      <c r="F24254" s="4" t="str">
        <f>IF(B24254=B24253,"",B24254)</f>
        <v>Komotiní</v>
      </c>
    </row>
    <row r="24255" spans="1:6" ht="15.75" customHeight="1">
      <c r="A24255" s="15" t="s">
        <v>9555</v>
      </c>
      <c r="B24255" s="15" t="s">
        <v>9556</v>
      </c>
      <c r="C24255" s="15" t="s">
        <v>9441</v>
      </c>
      <c r="D24255" s="15" t="s">
        <v>9475</v>
      </c>
      <c r="E24255" s="2">
        <v>735640</v>
      </c>
      <c r="F24255" s="4" t="e">
        <f>IF(B24255=#REF!,"",B24255)</f>
        <v>#REF!</v>
      </c>
    </row>
    <row r="24256" spans="1:6" ht="15.75" customHeight="1">
      <c r="A24256" s="15" t="s">
        <v>16163</v>
      </c>
      <c r="B24256" s="15" t="s">
        <v>16163</v>
      </c>
      <c r="C24256" s="15" t="s">
        <v>15704</v>
      </c>
      <c r="D24256" s="15" t="s">
        <v>15769</v>
      </c>
      <c r="E24256" s="2">
        <v>1858858</v>
      </c>
      <c r="F24256" s="4" t="e">
        <f>IF(B24256=#REF!,"",B24256)</f>
        <v>#REF!</v>
      </c>
    </row>
    <row r="24257" spans="1:6" ht="15.75" customHeight="1">
      <c r="A24257" s="15" t="s">
        <v>16162</v>
      </c>
      <c r="B24257" s="15" t="s">
        <v>16162</v>
      </c>
      <c r="C24257" s="15" t="s">
        <v>15704</v>
      </c>
      <c r="D24257" s="15" t="s">
        <v>15967</v>
      </c>
      <c r="E24257" s="2">
        <v>1858866</v>
      </c>
      <c r="F24257" s="4" t="e">
        <f>IF(B24257=#REF!,"",B24257)</f>
        <v>#REF!</v>
      </c>
    </row>
    <row r="24258" spans="1:6" ht="15.75" customHeight="1">
      <c r="A24258" s="16" t="s">
        <v>22555</v>
      </c>
      <c r="B24258" s="15" t="s">
        <v>22555</v>
      </c>
      <c r="C24258" s="16" t="s">
        <v>22070</v>
      </c>
      <c r="D24258" s="16" t="s">
        <v>22094</v>
      </c>
      <c r="E24258" s="2">
        <v>545788</v>
      </c>
      <c r="F24258" s="4" t="str">
        <f>IF(B24258=B24257,"",B24258)</f>
        <v>Kommunar</v>
      </c>
    </row>
    <row r="24259" spans="1:6" ht="15.75" customHeight="1">
      <c r="A24259" s="16" t="str">
        <f ca="1">IFERROR(__xludf.DUMMYFUNCTION("GOOGLETRANSLATE(B31300,""en"",""pt"")"),"Komló")</f>
        <v>Komló</v>
      </c>
      <c r="B24259" s="20" t="s">
        <v>32870</v>
      </c>
      <c r="C24259" s="20" t="s">
        <v>9955</v>
      </c>
      <c r="D24259" s="20" t="s">
        <v>10094</v>
      </c>
      <c r="E24259" s="10">
        <v>3049512</v>
      </c>
      <c r="F24259" s="4" t="str">
        <f>IF(B24259=B24258,"",B24259)</f>
        <v>Komló</v>
      </c>
    </row>
    <row r="24260" spans="1:6" ht="15.75" customHeight="1">
      <c r="A24260" s="15" t="s">
        <v>10092</v>
      </c>
      <c r="B24260" s="15" t="s">
        <v>10093</v>
      </c>
      <c r="C24260" s="15" t="s">
        <v>9955</v>
      </c>
      <c r="D24260" s="15" t="s">
        <v>10094</v>
      </c>
      <c r="E24260" s="2">
        <v>3049512</v>
      </c>
      <c r="F24260" s="4" t="e">
        <f>IF(B24260=#REF!,"",B24260)</f>
        <v>#REF!</v>
      </c>
    </row>
    <row r="24261" spans="1:6" ht="15.75" customHeight="1">
      <c r="A24261" s="16" t="s">
        <v>22553</v>
      </c>
      <c r="B24261" s="15" t="s">
        <v>22554</v>
      </c>
      <c r="C24261" s="16" t="s">
        <v>22070</v>
      </c>
      <c r="D24261" s="16" t="s">
        <v>22084</v>
      </c>
      <c r="E24261" s="2">
        <v>535729</v>
      </c>
      <c r="F24261" s="4" t="e">
        <f>IF(B24261=#REF!,"",B24261)</f>
        <v>#REF!</v>
      </c>
    </row>
    <row r="24262" spans="1:6" ht="15.75" customHeight="1">
      <c r="A24262" s="16" t="s">
        <v>6901</v>
      </c>
      <c r="B24262" s="15" t="s">
        <v>6901</v>
      </c>
      <c r="C24262" s="16" t="s">
        <v>6807</v>
      </c>
      <c r="D24262" s="16" t="s">
        <v>6811</v>
      </c>
      <c r="E24262" s="2">
        <v>333373</v>
      </c>
      <c r="F24262" s="4" t="e">
        <f>IF(B24262=#REF!,"",B24262)</f>
        <v>#REF!</v>
      </c>
    </row>
    <row r="24263" spans="1:6" ht="15.75" customHeight="1">
      <c r="A24263" s="16" t="s">
        <v>3799</v>
      </c>
      <c r="B24263" s="15" t="s">
        <v>3799</v>
      </c>
      <c r="C24263" s="16" t="s">
        <v>3768</v>
      </c>
      <c r="D24263" s="16" t="s">
        <v>3800</v>
      </c>
      <c r="E24263" s="2">
        <v>2359227</v>
      </c>
      <c r="F24263" s="4" t="str">
        <f>IF(B24263=B24262,"",B24263)</f>
        <v>Kombissiri</v>
      </c>
    </row>
    <row r="24264" spans="1:6" ht="15.75" customHeight="1">
      <c r="A24264" s="16" t="str">
        <f ca="1">IFERROR(__xludf.DUMMYFUNCTION("GOOGLETRANSLATE(B35477,""en"",""pt"")"),"Komatsushimachō")</f>
        <v>Komatsushimachō</v>
      </c>
      <c r="B24264" s="20" t="s">
        <v>34355</v>
      </c>
      <c r="C24264" s="20" t="s">
        <v>15704</v>
      </c>
      <c r="D24264" s="20" t="s">
        <v>15726</v>
      </c>
      <c r="E24264" s="10">
        <v>1858902</v>
      </c>
      <c r="F24264" s="4" t="str">
        <f>IF(B24264=B24263,"",B24264)</f>
        <v>Komatsushimachō</v>
      </c>
    </row>
    <row r="24265" spans="1:6" ht="15.75" customHeight="1">
      <c r="A24265" s="16" t="s">
        <v>16160</v>
      </c>
      <c r="B24265" s="15" t="s">
        <v>16161</v>
      </c>
      <c r="C24265" s="16" t="s">
        <v>15704</v>
      </c>
      <c r="D24265" s="16" t="s">
        <v>15726</v>
      </c>
      <c r="E24265" s="2">
        <v>1858902</v>
      </c>
      <c r="F24265" s="4" t="e">
        <f>IF(B24265=#REF!,"",B24265)</f>
        <v>#REF!</v>
      </c>
    </row>
    <row r="24266" spans="1:6" ht="15.75" customHeight="1">
      <c r="A24266" s="15" t="s">
        <v>16159</v>
      </c>
      <c r="B24266" s="15" t="s">
        <v>16159</v>
      </c>
      <c r="C24266" s="15" t="s">
        <v>15704</v>
      </c>
      <c r="D24266" s="15" t="s">
        <v>15928</v>
      </c>
      <c r="E24266" s="2">
        <v>1858910</v>
      </c>
      <c r="F24266" s="4" t="e">
        <f>IF(B24266=#REF!,"",B24266)</f>
        <v>#REF!</v>
      </c>
    </row>
    <row r="24267" spans="1:6" ht="15.75" customHeight="1">
      <c r="A24267" s="16" t="s">
        <v>23917</v>
      </c>
      <c r="B24267" s="15" t="s">
        <v>23917</v>
      </c>
      <c r="C24267" s="16" t="s">
        <v>23842</v>
      </c>
      <c r="D24267" s="16" t="s">
        <v>23849</v>
      </c>
      <c r="E24267" s="2">
        <v>988290</v>
      </c>
      <c r="F24267" s="4" t="str">
        <f>IF(B24267=B24266,"",B24267)</f>
        <v>Komatipoort</v>
      </c>
    </row>
    <row r="24268" spans="1:6" ht="15.75" customHeight="1">
      <c r="A24268" s="16" t="str">
        <f ca="1">IFERROR(__xludf.DUMMYFUNCTION("GOOGLETRANSLATE(B31301,""en"",""pt"")"),"Komárom")</f>
        <v>Komárom</v>
      </c>
      <c r="B24268" s="20" t="s">
        <v>32871</v>
      </c>
      <c r="C24268" s="20" t="s">
        <v>9955</v>
      </c>
      <c r="D24268" s="20" t="s">
        <v>32852</v>
      </c>
      <c r="E24268" s="10">
        <v>3049519</v>
      </c>
      <c r="F24268" s="4" t="str">
        <f>IF(B24268=B24267,"",B24268)</f>
        <v>Komárom</v>
      </c>
    </row>
    <row r="24269" spans="1:6" ht="15.75" customHeight="1">
      <c r="A24269" s="16" t="str">
        <f ca="1">IFERROR(__xludf.DUMMYFUNCTION("GOOGLETRANSLATE(B41260,""en"",""pt"")"),"Komárno")</f>
        <v>Komárno</v>
      </c>
      <c r="B24269" s="20" t="s">
        <v>35694</v>
      </c>
      <c r="C24269" s="20" t="s">
        <v>23694</v>
      </c>
      <c r="D24269" s="20" t="s">
        <v>23715</v>
      </c>
      <c r="E24269" s="10">
        <v>3059436</v>
      </c>
      <c r="F24269" s="4" t="e">
        <f>IF(B24269=#REF!,"",B24269)</f>
        <v>#REF!</v>
      </c>
    </row>
    <row r="24270" spans="1:6" ht="15.75" customHeight="1">
      <c r="A24270" s="15" t="s">
        <v>16158</v>
      </c>
      <c r="B24270" s="15" t="s">
        <v>16158</v>
      </c>
      <c r="C24270" s="15" t="s">
        <v>15704</v>
      </c>
      <c r="D24270" s="15" t="s">
        <v>15729</v>
      </c>
      <c r="E24270" s="2">
        <v>1858926</v>
      </c>
      <c r="F24270" s="4" t="str">
        <f>IF(B24270=B24269,"",B24270)</f>
        <v>Komaki</v>
      </c>
    </row>
    <row r="24271" spans="1:6" ht="15.75" customHeight="1">
      <c r="A24271" s="15" t="s">
        <v>10090</v>
      </c>
      <c r="B24271" s="15" t="s">
        <v>10091</v>
      </c>
      <c r="C24271" s="15" t="s">
        <v>9955</v>
      </c>
      <c r="D24271" s="15" t="s">
        <v>10043</v>
      </c>
      <c r="E24271" s="2">
        <v>3049519</v>
      </c>
      <c r="F24271" s="4" t="str">
        <f>IF(B24271=B24270,"",B24271)</f>
        <v>KomÃ¡rom</v>
      </c>
    </row>
    <row r="24272" spans="1:6" ht="15.75" customHeight="1">
      <c r="A24272" s="15" t="s">
        <v>10090</v>
      </c>
      <c r="B24272" s="15" t="s">
        <v>23730</v>
      </c>
      <c r="C24272" s="15" t="s">
        <v>23694</v>
      </c>
      <c r="D24272" s="15" t="s">
        <v>23715</v>
      </c>
      <c r="E24272" s="2">
        <v>3059436</v>
      </c>
      <c r="F24272" s="4" t="e">
        <f>IF(B24272=#REF!,"",B24272)</f>
        <v>#REF!</v>
      </c>
    </row>
    <row r="24273" spans="1:6" ht="15.75" customHeight="1">
      <c r="A24273" s="15" t="s">
        <v>6175</v>
      </c>
      <c r="B24273" s="15" t="s">
        <v>6175</v>
      </c>
      <c r="C24273" s="15" t="s">
        <v>6127</v>
      </c>
      <c r="D24273" s="15" t="s">
        <v>6138</v>
      </c>
      <c r="E24273" s="2">
        <v>922773</v>
      </c>
      <c r="F24273" s="4" t="e">
        <f>IF(B24273=#REF!,"",B24273)</f>
        <v>#REF!</v>
      </c>
    </row>
    <row r="24274" spans="1:6" ht="15.75" customHeight="1">
      <c r="A24274" s="15" t="s">
        <v>22552</v>
      </c>
      <c r="B24274" s="15" t="s">
        <v>22552</v>
      </c>
      <c r="C24274" s="15" t="s">
        <v>22070</v>
      </c>
      <c r="D24274" s="15" t="s">
        <v>22084</v>
      </c>
      <c r="E24274" s="2">
        <v>546105</v>
      </c>
      <c r="F24274" s="4" t="e">
        <f>IF(B24274=#REF!,"",B24274)</f>
        <v>#REF!</v>
      </c>
    </row>
    <row r="24275" spans="1:6" ht="15.75" customHeight="1">
      <c r="A24275" s="16" t="s">
        <v>22551</v>
      </c>
      <c r="B24275" s="15" t="s">
        <v>22551</v>
      </c>
      <c r="C24275" s="16" t="s">
        <v>22070</v>
      </c>
      <c r="D24275" s="16" t="s">
        <v>22168</v>
      </c>
      <c r="E24275" s="2">
        <v>1502862</v>
      </c>
      <c r="F24275" s="4" t="e">
        <f>IF(B24275=#REF!,"",B24275)</f>
        <v>#REF!</v>
      </c>
    </row>
    <row r="24276" spans="1:6" ht="15.75" customHeight="1">
      <c r="A24276" s="16" t="s">
        <v>24958</v>
      </c>
      <c r="B24276" s="15" t="s">
        <v>24958</v>
      </c>
      <c r="C24276" s="16" t="s">
        <v>24924</v>
      </c>
      <c r="D24276" s="16" t="s">
        <v>6944</v>
      </c>
      <c r="E24276" s="2">
        <v>1239593</v>
      </c>
      <c r="F24276" s="4" t="e">
        <f>IF(B24276=#REF!,"",B24276)</f>
        <v>#REF!</v>
      </c>
    </row>
    <row r="24277" spans="1:6" ht="15.75" customHeight="1">
      <c r="A24277" s="15" t="s">
        <v>27009</v>
      </c>
      <c r="B24277" s="15" t="s">
        <v>27009</v>
      </c>
      <c r="C24277" s="15" t="s">
        <v>26870</v>
      </c>
      <c r="D24277" s="15" t="s">
        <v>26947</v>
      </c>
      <c r="E24277" s="2">
        <v>705392</v>
      </c>
      <c r="F24277" s="4" t="e">
        <f>IF(B24277=#REF!,"",B24277)</f>
        <v>#REF!</v>
      </c>
    </row>
    <row r="24278" spans="1:6" ht="15.75" customHeight="1">
      <c r="A24278" s="16" t="s">
        <v>22550</v>
      </c>
      <c r="B24278" s="15" t="s">
        <v>22550</v>
      </c>
      <c r="C24278" s="16" t="s">
        <v>22070</v>
      </c>
      <c r="D24278" s="16" t="s">
        <v>22084</v>
      </c>
      <c r="E24278" s="2">
        <v>546225</v>
      </c>
      <c r="F24278" s="4" t="e">
        <f>IF(B24278=#REF!,"",B24278)</f>
        <v>#REF!</v>
      </c>
    </row>
    <row r="24279" spans="1:6" ht="15.75" customHeight="1">
      <c r="A24279" s="15" t="s">
        <v>22549</v>
      </c>
      <c r="B24279" s="15" t="s">
        <v>22549</v>
      </c>
      <c r="C24279" s="15" t="s">
        <v>22070</v>
      </c>
      <c r="D24279" s="15" t="s">
        <v>22119</v>
      </c>
      <c r="E24279" s="2">
        <v>546230</v>
      </c>
      <c r="F24279" s="4" t="e">
        <f>IF(B24279=#REF!,"",B24279)</f>
        <v>#REF!</v>
      </c>
    </row>
    <row r="24280" spans="1:6" ht="15.75" customHeight="1">
      <c r="A24280" s="16" t="s">
        <v>22548</v>
      </c>
      <c r="B24280" s="15" t="s">
        <v>22548</v>
      </c>
      <c r="C24280" s="16" t="s">
        <v>22070</v>
      </c>
      <c r="D24280" s="16" t="s">
        <v>22127</v>
      </c>
      <c r="E24280" s="2">
        <v>546244</v>
      </c>
      <c r="F24280" s="4" t="e">
        <f>IF(B24280=#REF!,"",B24280)</f>
        <v>#REF!</v>
      </c>
    </row>
    <row r="24281" spans="1:6" ht="15.75" customHeight="1">
      <c r="A24281" s="15" t="s">
        <v>17609</v>
      </c>
      <c r="B24281" s="15" t="s">
        <v>17609</v>
      </c>
      <c r="C24281" s="15" t="s">
        <v>17596</v>
      </c>
      <c r="D24281" s="15" t="s">
        <v>17600</v>
      </c>
      <c r="E24281" s="2">
        <v>2454955</v>
      </c>
      <c r="F24281" s="4" t="str">
        <f>IF(B24281=B24280,"",B24281)</f>
        <v>Kolokani</v>
      </c>
    </row>
    <row r="24282" spans="1:6" ht="15.75" customHeight="1">
      <c r="A24282" s="16" t="str">
        <f ca="1">IFERROR(__xludf.DUMMYFUNCTION("GOOGLETRANSLATE(B39431,""en"",""pt"")"),"Kołobrzeg")</f>
        <v>Kołobrzeg</v>
      </c>
      <c r="B24282" s="20" t="s">
        <v>35213</v>
      </c>
      <c r="C24282" s="20" t="s">
        <v>21064</v>
      </c>
      <c r="D24282" s="20" t="s">
        <v>21121</v>
      </c>
      <c r="E24282" s="10">
        <v>3095795</v>
      </c>
      <c r="F24282" s="4" t="str">
        <f>IF(B24282=B24281,"",B24282)</f>
        <v>Kołobrzeg</v>
      </c>
    </row>
    <row r="24283" spans="1:6" ht="15.75" customHeight="1">
      <c r="A24283" s="16" t="str">
        <f ca="1">IFERROR(__xludf.DUMMYFUNCTION("GOOGLETRANSLATE(B39432,""en"",""pt"")"),"Koło")</f>
        <v>Koło</v>
      </c>
      <c r="B24283" s="20" t="s">
        <v>35214</v>
      </c>
      <c r="C24283" s="20" t="s">
        <v>21064</v>
      </c>
      <c r="D24283" s="20" t="s">
        <v>21112</v>
      </c>
      <c r="E24283" s="10">
        <v>3095797</v>
      </c>
      <c r="F24283" s="4" t="e">
        <f>IF(B24283=#REF!,"",B24283)</f>
        <v>#REF!</v>
      </c>
    </row>
    <row r="24284" spans="1:6" ht="15.75" customHeight="1">
      <c r="A24284" s="15" t="s">
        <v>8688</v>
      </c>
      <c r="B24284" s="15" t="s">
        <v>8688</v>
      </c>
      <c r="C24284" s="15" t="s">
        <v>8028</v>
      </c>
      <c r="D24284" s="15" t="s">
        <v>8689</v>
      </c>
      <c r="E24284" s="2">
        <v>9999999</v>
      </c>
      <c r="F24284" s="4" t="str">
        <f>IF(B24284=B24283,"",B24284)</f>
        <v>Köln</v>
      </c>
    </row>
    <row r="24285" spans="1:6" ht="15.75" customHeight="1">
      <c r="A24285" s="16" t="str">
        <f ca="1">IFERROR(__xludf.DUMMYFUNCTION("GOOGLETRANSLATE(B33018,""en"",""pt"")"),"Kollegāl")</f>
        <v>Kollegāl</v>
      </c>
      <c r="B24285" s="20" t="s">
        <v>33493</v>
      </c>
      <c r="C24285" s="20" t="s">
        <v>10178</v>
      </c>
      <c r="D24285" s="20" t="s">
        <v>10252</v>
      </c>
      <c r="E24285" s="10">
        <v>1266267</v>
      </c>
      <c r="F24285" s="4" t="str">
        <f>IF(B24285=B24284,"",B24285)</f>
        <v>Kollegāl</v>
      </c>
    </row>
    <row r="24286" spans="1:6" ht="15.75" customHeight="1">
      <c r="A24286" s="15" t="s">
        <v>12018</v>
      </c>
      <c r="B24286" s="15" t="s">
        <v>12019</v>
      </c>
      <c r="C24286" s="15" t="s">
        <v>10178</v>
      </c>
      <c r="D24286" s="15" t="s">
        <v>10252</v>
      </c>
      <c r="E24286" s="2">
        <v>1266267</v>
      </c>
      <c r="F24286" s="4" t="e">
        <f>IF(B24286=#REF!,"",B24286)</f>
        <v>#REF!</v>
      </c>
    </row>
    <row r="24287" spans="1:6" ht="15.75" customHeight="1">
      <c r="A24287" s="15" t="s">
        <v>12017</v>
      </c>
      <c r="B24287" s="15" t="s">
        <v>12017</v>
      </c>
      <c r="C24287" s="15" t="s">
        <v>10178</v>
      </c>
      <c r="D24287" s="15" t="s">
        <v>10246</v>
      </c>
      <c r="E24287" s="2">
        <v>1259091</v>
      </c>
      <c r="F24287" s="4" t="e">
        <f>IF(B24287=#REF!,"",B24287)</f>
        <v>#REF!</v>
      </c>
    </row>
    <row r="24288" spans="1:6" ht="15.75" customHeight="1">
      <c r="A24288" s="16" t="s">
        <v>25546</v>
      </c>
      <c r="B24288" s="15" t="s">
        <v>25546</v>
      </c>
      <c r="C24288" s="16" t="s">
        <v>25527</v>
      </c>
      <c r="D24288" s="16" t="s">
        <v>25532</v>
      </c>
      <c r="E24288" s="2">
        <v>1221259</v>
      </c>
      <c r="F24288" s="4" t="e">
        <f>IF(B24288=#REF!,"",B24288)</f>
        <v>#REF!</v>
      </c>
    </row>
    <row r="24289" spans="1:6" ht="15.75" customHeight="1">
      <c r="A24289" s="15" t="s">
        <v>12015</v>
      </c>
      <c r="B24289" s="15" t="s">
        <v>12016</v>
      </c>
      <c r="C24289" s="15" t="s">
        <v>10178</v>
      </c>
      <c r="D24289" s="15" t="s">
        <v>10201</v>
      </c>
      <c r="E24289" s="2">
        <v>1275004</v>
      </c>
      <c r="F24289" s="4" t="str">
        <f>IF(B24289=B24288,"",B24289)</f>
        <v>Kolkata</v>
      </c>
    </row>
    <row r="24290" spans="1:6" ht="15.75" customHeight="1">
      <c r="A24290" s="16" t="str">
        <f ca="1">IFERROR(__xludf.DUMMYFUNCTION("GOOGLETRANSLATE(B27303,""en"",""pt"")"),"Kolín")</f>
        <v>Kolín</v>
      </c>
      <c r="B24290" s="20" t="s">
        <v>31982</v>
      </c>
      <c r="C24290" s="20" t="s">
        <v>5947</v>
      </c>
      <c r="D24290" s="20" t="s">
        <v>5985</v>
      </c>
      <c r="E24290" s="10">
        <v>3073371</v>
      </c>
      <c r="F24290" s="4" t="str">
        <f>IF(B24290=B24289,"",B24290)</f>
        <v>Kolín</v>
      </c>
    </row>
    <row r="24291" spans="1:6" ht="15.75" customHeight="1">
      <c r="A24291" s="16" t="str">
        <f ca="1">IFERROR(__xludf.DUMMYFUNCTION("GOOGLETRANSLATE(B33019,""en"",""pt"")"),"Kolhāpur")</f>
        <v>Kolhāpur</v>
      </c>
      <c r="B24291" s="20" t="s">
        <v>33494</v>
      </c>
      <c r="C24291" s="20" t="s">
        <v>10178</v>
      </c>
      <c r="D24291" s="20" t="s">
        <v>10214</v>
      </c>
      <c r="E24291" s="10">
        <v>1266285</v>
      </c>
      <c r="F24291" s="4" t="str">
        <f>IF(B24291=B24290,"",B24291)</f>
        <v>Kolhāpur</v>
      </c>
    </row>
    <row r="24292" spans="1:6" ht="15.75" customHeight="1">
      <c r="A24292" s="15" t="s">
        <v>12013</v>
      </c>
      <c r="B24292" s="15" t="s">
        <v>12014</v>
      </c>
      <c r="C24292" s="15" t="s">
        <v>10178</v>
      </c>
      <c r="D24292" s="15" t="s">
        <v>10214</v>
      </c>
      <c r="E24292" s="2">
        <v>1266285</v>
      </c>
      <c r="F24292" s="4" t="e">
        <f>IF(B24292=#REF!,"",B24292)</f>
        <v>#REF!</v>
      </c>
    </row>
    <row r="24293" spans="1:6" ht="15.75" customHeight="1">
      <c r="A24293" s="15" t="s">
        <v>378</v>
      </c>
      <c r="B24293" s="15" t="s">
        <v>378</v>
      </c>
      <c r="C24293" s="15" t="s">
        <v>153</v>
      </c>
      <c r="D24293" s="15" t="s">
        <v>160</v>
      </c>
      <c r="E24293" s="2">
        <v>2491578</v>
      </c>
      <c r="F24293" s="4" t="e">
        <f>IF(B24293=#REF!,"",B24293)</f>
        <v>#REF!</v>
      </c>
    </row>
    <row r="24294" spans="1:6" ht="15.75" customHeight="1">
      <c r="A24294" s="15" t="s">
        <v>6254</v>
      </c>
      <c r="B24294" s="15" t="s">
        <v>6254</v>
      </c>
      <c r="C24294" s="15" t="s">
        <v>6209</v>
      </c>
      <c r="D24294" s="15" t="s">
        <v>6212</v>
      </c>
      <c r="E24294" s="2">
        <v>2618528</v>
      </c>
      <c r="F24294" s="4" t="e">
        <f>IF(B24294=#REF!,"",B24294)</f>
        <v>#REF!</v>
      </c>
    </row>
    <row r="24295" spans="1:6" ht="15.75" customHeight="1">
      <c r="A24295" s="15" t="s">
        <v>23574</v>
      </c>
      <c r="B24295" s="15" t="s">
        <v>23574</v>
      </c>
      <c r="C24295" s="15" t="s">
        <v>23559</v>
      </c>
      <c r="D24295" s="15" t="s">
        <v>23574</v>
      </c>
      <c r="E24295" s="2">
        <v>2249782</v>
      </c>
      <c r="F24295" s="4" t="e">
        <f>IF(B24295=#REF!,"",B24295)</f>
        <v>#REF!</v>
      </c>
    </row>
    <row r="24296" spans="1:6" ht="15.75" customHeight="1">
      <c r="A24296" s="16" t="s">
        <v>8691</v>
      </c>
      <c r="B24296" s="15" t="s">
        <v>8691</v>
      </c>
      <c r="C24296" s="16" t="s">
        <v>8028</v>
      </c>
      <c r="D24296" s="16" t="s">
        <v>8044</v>
      </c>
      <c r="E24296" s="2">
        <v>2886446</v>
      </c>
      <c r="F24296" s="4" t="e">
        <f>IF(B24296=#REF!,"",B24296)</f>
        <v>#REF!</v>
      </c>
    </row>
    <row r="24297" spans="1:6" ht="15.75" customHeight="1">
      <c r="A24297" s="15" t="s">
        <v>12012</v>
      </c>
      <c r="B24297" s="15" t="s">
        <v>12012</v>
      </c>
      <c r="C24297" s="15" t="s">
        <v>10178</v>
      </c>
      <c r="D24297" s="15" t="s">
        <v>10263</v>
      </c>
      <c r="E24297" s="2">
        <v>1266258</v>
      </c>
      <c r="F24297" s="4" t="str">
        <f>IF(B24297=B24296,"",B24297)</f>
        <v>Kolasib</v>
      </c>
    </row>
    <row r="24298" spans="1:6" ht="15.75" customHeight="1">
      <c r="A24298" s="16" t="str">
        <f ca="1">IFERROR(__xludf.DUMMYFUNCTION("GOOGLETRANSLATE(B33020,""en"",""pt"")"),"Kolāras")</f>
        <v>Kolāras</v>
      </c>
      <c r="B24298" s="20" t="s">
        <v>33495</v>
      </c>
      <c r="C24298" s="20" t="s">
        <v>10178</v>
      </c>
      <c r="D24298" s="20" t="s">
        <v>10219</v>
      </c>
      <c r="E24298" s="10">
        <v>1266302</v>
      </c>
      <c r="F24298" s="4" t="str">
        <f>IF(B24298=B24297,"",B24298)</f>
        <v>Kolāras</v>
      </c>
    </row>
    <row r="24299" spans="1:6" ht="15.75" customHeight="1">
      <c r="A24299" s="16" t="str">
        <f ca="1">IFERROR(__xludf.DUMMYFUNCTION("GOOGLETRANSLATE(B33021,""en"",""pt"")"),"Kolār")</f>
        <v>Kolār</v>
      </c>
      <c r="B24299" s="20" t="s">
        <v>33496</v>
      </c>
      <c r="C24299" s="20" t="s">
        <v>10178</v>
      </c>
      <c r="D24299" s="20" t="s">
        <v>10252</v>
      </c>
      <c r="E24299" s="10">
        <v>1266305</v>
      </c>
      <c r="F24299" s="4" t="str">
        <f>IF(B24299=B24298,"",B24299)</f>
        <v>Kolār</v>
      </c>
    </row>
    <row r="24300" spans="1:6" ht="15.75" customHeight="1">
      <c r="A24300" s="15" t="s">
        <v>6036</v>
      </c>
      <c r="B24300" s="15" t="s">
        <v>6037</v>
      </c>
      <c r="C24300" s="15" t="s">
        <v>5947</v>
      </c>
      <c r="D24300" s="15" t="s">
        <v>5985</v>
      </c>
      <c r="E24300" s="2">
        <v>3073371</v>
      </c>
      <c r="F24300" s="4" t="str">
        <f>IF(B24300=B24299,"",B24300)</f>
        <v>KolÃ­n</v>
      </c>
    </row>
    <row r="24301" spans="1:6" ht="15.75" customHeight="1">
      <c r="A24301" s="15" t="s">
        <v>12010</v>
      </c>
      <c r="B24301" s="15" t="s">
        <v>12011</v>
      </c>
      <c r="C24301" s="15" t="s">
        <v>10178</v>
      </c>
      <c r="D24301" s="15" t="s">
        <v>10219</v>
      </c>
      <c r="E24301" s="2">
        <v>1266302</v>
      </c>
      <c r="F24301" s="4" t="str">
        <f>IF(B24301=B24300,"",B24301)</f>
        <v>KolÄras</v>
      </c>
    </row>
    <row r="24302" spans="1:6" ht="15.75" customHeight="1">
      <c r="A24302" s="15" t="s">
        <v>12008</v>
      </c>
      <c r="B24302" s="15" t="s">
        <v>12009</v>
      </c>
      <c r="C24302" s="15" t="s">
        <v>10178</v>
      </c>
      <c r="D24302" s="15" t="s">
        <v>10252</v>
      </c>
      <c r="E24302" s="2">
        <v>1266305</v>
      </c>
      <c r="F24302" s="4" t="str">
        <f>IF(B24302=B24301,"",B24302)</f>
        <v>KolÄr</v>
      </c>
    </row>
    <row r="24303" spans="1:6" ht="15.75" customHeight="1">
      <c r="A24303" s="16" t="s">
        <v>22546</v>
      </c>
      <c r="B24303" s="15" t="s">
        <v>22547</v>
      </c>
      <c r="C24303" s="16" t="s">
        <v>22070</v>
      </c>
      <c r="D24303" s="16" t="s">
        <v>22113</v>
      </c>
      <c r="E24303" s="2">
        <v>546521</v>
      </c>
      <c r="F24303" s="4" t="str">
        <f>IF(B24303=B24302,"",B24303)</f>
        <v>Kolâ€™chugino</v>
      </c>
    </row>
    <row r="24304" spans="1:6" ht="15.75" customHeight="1">
      <c r="A24304" s="16" t="str">
        <f ca="1">IFERROR(__xludf.DUMMYFUNCTION("GOOGLETRANSLATE(B40443,""en"",""pt"")"),"Kol'chugino")</f>
        <v>Kol'chugino</v>
      </c>
      <c r="B24304" s="20" t="s">
        <v>35505</v>
      </c>
      <c r="C24304" s="20" t="s">
        <v>22070</v>
      </c>
      <c r="D24304" s="20" t="s">
        <v>22113</v>
      </c>
      <c r="E24304" s="10">
        <v>546521</v>
      </c>
      <c r="F24304" s="4" t="e">
        <f>IF(B24304=#REF!,"",B24304)</f>
        <v>#REF!</v>
      </c>
    </row>
    <row r="24305" spans="1:6" ht="15.75" customHeight="1">
      <c r="A24305" s="16" t="s">
        <v>16157</v>
      </c>
      <c r="B24305" s="15" t="s">
        <v>16157</v>
      </c>
      <c r="C24305" s="16" t="s">
        <v>15704</v>
      </c>
      <c r="D24305" s="16" t="s">
        <v>15776</v>
      </c>
      <c r="E24305" s="2">
        <v>1858964</v>
      </c>
      <c r="F24305" s="4" t="e">
        <f>IF(B24305=#REF!,"",B24305)</f>
        <v>#REF!</v>
      </c>
    </row>
    <row r="24306" spans="1:6" ht="15.75" customHeight="1">
      <c r="A24306" s="16" t="s">
        <v>16155</v>
      </c>
      <c r="B24306" s="15" t="s">
        <v>16156</v>
      </c>
      <c r="C24306" s="16" t="s">
        <v>15704</v>
      </c>
      <c r="D24306" s="16" t="s">
        <v>15719</v>
      </c>
      <c r="E24306" s="2">
        <v>1858972</v>
      </c>
      <c r="F24306" s="4" t="e">
        <f>IF(B24306=#REF!,"",B24306)</f>
        <v>#REF!</v>
      </c>
    </row>
    <row r="24307" spans="1:6" ht="15.75" customHeight="1">
      <c r="A24307" s="15" t="s">
        <v>23916</v>
      </c>
      <c r="B24307" s="15" t="s">
        <v>23916</v>
      </c>
      <c r="C24307" s="15" t="s">
        <v>23842</v>
      </c>
      <c r="D24307" s="15" t="s">
        <v>23851</v>
      </c>
      <c r="E24307" s="2">
        <v>988356</v>
      </c>
      <c r="F24307" s="4" t="e">
        <f>IF(B24307=#REF!,"",B24307)</f>
        <v>#REF!</v>
      </c>
    </row>
    <row r="24308" spans="1:6" ht="15.75" customHeight="1">
      <c r="A24308" s="15" t="s">
        <v>1608</v>
      </c>
      <c r="B24308" s="15" t="s">
        <v>1608</v>
      </c>
      <c r="C24308" s="15" t="s">
        <v>1512</v>
      </c>
      <c r="D24308" s="15" t="s">
        <v>1513</v>
      </c>
      <c r="E24308" s="2">
        <v>2794166</v>
      </c>
      <c r="F24308" s="4" t="e">
        <f>IF(B24308=#REF!,"",B24308)</f>
        <v>#REF!</v>
      </c>
    </row>
    <row r="24309" spans="1:6" ht="15.75" customHeight="1">
      <c r="A24309" s="16" t="s">
        <v>16720</v>
      </c>
      <c r="B24309" s="15" t="s">
        <v>16720</v>
      </c>
      <c r="C24309" s="16" t="s">
        <v>16671</v>
      </c>
      <c r="D24309" s="16" t="s">
        <v>16675</v>
      </c>
      <c r="E24309" s="2">
        <v>1522203</v>
      </c>
      <c r="F24309" s="4" t="e">
        <f>IF(B24309=#REF!,"",B24309)</f>
        <v>#REF!</v>
      </c>
    </row>
    <row r="24310" spans="1:6" ht="15.75" customHeight="1">
      <c r="A24310" s="15" t="s">
        <v>12007</v>
      </c>
      <c r="B24310" s="15" t="s">
        <v>12007</v>
      </c>
      <c r="C24310" s="15" t="s">
        <v>10178</v>
      </c>
      <c r="D24310" s="15" t="s">
        <v>10239</v>
      </c>
      <c r="E24310" s="2">
        <v>1266330</v>
      </c>
      <c r="F24310" s="4" t="e">
        <f>IF(B24310=#REF!,"",B24310)</f>
        <v>#REF!</v>
      </c>
    </row>
    <row r="24311" spans="1:6" ht="15.75" customHeight="1">
      <c r="A24311" s="15" t="s">
        <v>20416</v>
      </c>
      <c r="B24311" s="15" t="s">
        <v>20416</v>
      </c>
      <c r="C24311" s="15" t="s">
        <v>20406</v>
      </c>
      <c r="D24311" s="15" t="s">
        <v>20417</v>
      </c>
      <c r="E24311" s="2">
        <v>2093685</v>
      </c>
      <c r="F24311" s="4" t="e">
        <f>IF(B24311=#REF!,"",B24311)</f>
        <v>#REF!</v>
      </c>
    </row>
    <row r="24312" spans="1:6" ht="15.75" customHeight="1">
      <c r="A24312" s="15" t="s">
        <v>29042</v>
      </c>
      <c r="B24312" s="15" t="s">
        <v>29042</v>
      </c>
      <c r="C24312" s="15" t="s">
        <v>27788</v>
      </c>
      <c r="D24312" s="15" t="s">
        <v>27869</v>
      </c>
      <c r="E24312" s="2">
        <v>4922388</v>
      </c>
      <c r="F24312" s="4" t="e">
        <f>IF(B24312=#REF!,"",B24312)</f>
        <v>#REF!</v>
      </c>
    </row>
    <row r="24313" spans="1:6" ht="15.75" customHeight="1">
      <c r="A24313" s="15" t="s">
        <v>3797</v>
      </c>
      <c r="B24313" s="15" t="s">
        <v>3797</v>
      </c>
      <c r="C24313" s="15" t="s">
        <v>3768</v>
      </c>
      <c r="D24313" s="15" t="s">
        <v>3798</v>
      </c>
      <c r="E24313" s="2">
        <v>2359317</v>
      </c>
      <c r="F24313" s="4" t="e">
        <f>IF(B24313=#REF!,"",B24313)</f>
        <v>#REF!</v>
      </c>
    </row>
    <row r="24314" spans="1:6" ht="15.75" customHeight="1">
      <c r="A24314" s="15" t="s">
        <v>6993</v>
      </c>
      <c r="B24314" s="15" t="s">
        <v>6993</v>
      </c>
      <c r="C24314" s="15" t="s">
        <v>6948</v>
      </c>
      <c r="D24314" s="15" t="s">
        <v>6994</v>
      </c>
      <c r="E24314" s="2">
        <v>651943</v>
      </c>
      <c r="F24314" s="4" t="e">
        <f>IF(B24314=#REF!,"",B24314)</f>
        <v>#REF!</v>
      </c>
    </row>
    <row r="24315" spans="1:6" ht="15.75" customHeight="1">
      <c r="A24315" s="15" t="s">
        <v>22545</v>
      </c>
      <c r="B24315" s="15" t="s">
        <v>22545</v>
      </c>
      <c r="C24315" s="15" t="s">
        <v>22070</v>
      </c>
      <c r="D24315" s="15" t="s">
        <v>22382</v>
      </c>
      <c r="E24315" s="2">
        <v>546672</v>
      </c>
      <c r="F24315" s="4" t="e">
        <f>IF(B24315=#REF!,"",B24315)</f>
        <v>#REF!</v>
      </c>
    </row>
    <row r="24316" spans="1:6" ht="15.75" customHeight="1">
      <c r="A24316" s="15" t="s">
        <v>23681</v>
      </c>
      <c r="B24316" s="15" t="s">
        <v>23681</v>
      </c>
      <c r="C24316" s="15" t="s">
        <v>23676</v>
      </c>
      <c r="D24316" s="15" t="s">
        <v>6128</v>
      </c>
      <c r="E24316" s="2">
        <v>2407656</v>
      </c>
      <c r="F24316" s="4" t="str">
        <f>IF(B24316=B24315,"",B24316)</f>
        <v>Koidu</v>
      </c>
    </row>
    <row r="24317" spans="1:6" ht="15.75" customHeight="1">
      <c r="A24317" s="16" t="str">
        <f ca="1">IFERROR(__xludf.DUMMYFUNCTION("GOOGLETRANSLATE(B28820,""en"",""pt"")"),"Kohtla-Järve")</f>
        <v>Kohtla-Järve</v>
      </c>
      <c r="B24317" s="20" t="s">
        <v>6787</v>
      </c>
      <c r="C24317" s="20" t="s">
        <v>6789</v>
      </c>
      <c r="D24317" s="20" t="s">
        <v>6790</v>
      </c>
      <c r="E24317" s="10">
        <v>591260</v>
      </c>
      <c r="F24317" s="4" t="str">
        <f>IF(B24317=B24316,"",B24317)</f>
        <v>Kohtla-Järve</v>
      </c>
    </row>
    <row r="24318" spans="1:6" ht="15.75" customHeight="1">
      <c r="A24318" s="16" t="s">
        <v>6787</v>
      </c>
      <c r="B24318" s="15" t="s">
        <v>6788</v>
      </c>
      <c r="C24318" s="16" t="s">
        <v>6789</v>
      </c>
      <c r="D24318" s="16" t="s">
        <v>6790</v>
      </c>
      <c r="E24318" s="2">
        <v>591260</v>
      </c>
      <c r="F24318" s="4" t="e">
        <f>IF(B24318=#REF!,"",B24318)</f>
        <v>#REF!</v>
      </c>
    </row>
    <row r="24319" spans="1:6" ht="15.75" customHeight="1">
      <c r="A24319" s="16" t="s">
        <v>20034</v>
      </c>
      <c r="B24319" s="15" t="s">
        <v>20034</v>
      </c>
      <c r="C24319" s="16" t="s">
        <v>19808</v>
      </c>
      <c r="D24319" s="16" t="s">
        <v>10184</v>
      </c>
      <c r="E24319" s="2">
        <v>1175446</v>
      </c>
      <c r="F24319" s="4" t="e">
        <f>IF(B24319=#REF!,"",B24319)</f>
        <v>#REF!</v>
      </c>
    </row>
    <row r="24320" spans="1:6" ht="15.75" customHeight="1">
      <c r="A24320" s="15" t="s">
        <v>12006</v>
      </c>
      <c r="B24320" s="15" t="s">
        <v>12006</v>
      </c>
      <c r="C24320" s="15" t="s">
        <v>10178</v>
      </c>
      <c r="D24320" s="15" t="s">
        <v>11179</v>
      </c>
      <c r="E24320" s="2">
        <v>1266366</v>
      </c>
      <c r="F24320" s="4" t="str">
        <f>IF(B24320=B24319,"",B24320)</f>
        <v>Kohima</v>
      </c>
    </row>
    <row r="24321" spans="1:6" ht="15.75" customHeight="1">
      <c r="A24321" s="16" t="str">
        <f ca="1">IFERROR(__xludf.DUMMYFUNCTION("GOOGLETRANSLATE(B39026,""en"",""pt"")"),"Kohāt")</f>
        <v>Kohāt</v>
      </c>
      <c r="B24321" s="20" t="s">
        <v>34978</v>
      </c>
      <c r="C24321" s="20" t="s">
        <v>19808</v>
      </c>
      <c r="D24321" s="20" t="s">
        <v>19811</v>
      </c>
      <c r="E24321" s="10">
        <v>1173491</v>
      </c>
      <c r="F24321" s="4" t="str">
        <f>IF(B24321=B24320,"",B24321)</f>
        <v>Kohāt</v>
      </c>
    </row>
    <row r="24322" spans="1:6" ht="15.75" customHeight="1">
      <c r="A24322" s="15" t="s">
        <v>20032</v>
      </c>
      <c r="B24322" s="15" t="s">
        <v>20033</v>
      </c>
      <c r="C24322" s="15" t="s">
        <v>19808</v>
      </c>
      <c r="D24322" s="15" t="s">
        <v>19811</v>
      </c>
      <c r="E24322" s="2">
        <v>1173491</v>
      </c>
      <c r="F24322" s="4" t="e">
        <f>IF(B24322=#REF!,"",B24322)</f>
        <v>#REF!</v>
      </c>
    </row>
    <row r="24323" spans="1:6" ht="15.75" customHeight="1">
      <c r="A24323" s="15" t="s">
        <v>3846</v>
      </c>
      <c r="B24323" s="15" t="s">
        <v>3846</v>
      </c>
      <c r="C24323" s="15" t="s">
        <v>3838</v>
      </c>
      <c r="D24323" s="15" t="s">
        <v>3846</v>
      </c>
      <c r="E24323" s="2">
        <v>1830468</v>
      </c>
      <c r="F24323" s="4" t="e">
        <f>IF(B24323=#REF!,"",B24323)</f>
        <v>#REF!</v>
      </c>
    </row>
    <row r="24324" spans="1:6" ht="15.75" customHeight="1">
      <c r="A24324" s="15" t="s">
        <v>16153</v>
      </c>
      <c r="B24324" s="15" t="s">
        <v>16154</v>
      </c>
      <c r="C24324" s="15" t="s">
        <v>15704</v>
      </c>
      <c r="D24324" s="15" t="s">
        <v>15764</v>
      </c>
      <c r="E24324" s="2">
        <v>2112182</v>
      </c>
      <c r="F24324" s="4" t="e">
        <f>IF(B24324=#REF!,"",B24324)</f>
        <v>#REF!</v>
      </c>
    </row>
    <row r="24325" spans="1:6" ht="15.75" customHeight="1">
      <c r="A24325" s="15" t="s">
        <v>30561</v>
      </c>
      <c r="B24325" s="15" t="s">
        <v>30561</v>
      </c>
      <c r="C24325" s="15" t="s">
        <v>30502</v>
      </c>
      <c r="D24325" s="15" t="s">
        <v>30519</v>
      </c>
      <c r="E24325" s="2">
        <v>1217180</v>
      </c>
      <c r="F24325" s="4" t="str">
        <f>IF(B24325=B24324,"",B24325)</f>
        <v>Kogon</v>
      </c>
    </row>
    <row r="24326" spans="1:6" ht="15.75" customHeight="1">
      <c r="A24326" s="16" t="str">
        <f ca="1">IFERROR(__xludf.DUMMYFUNCTION("GOOGLETRANSLATE(B28423,""en"",""pt"")"),"Køge")</f>
        <v>Køge</v>
      </c>
      <c r="B24326" s="20" t="s">
        <v>32158</v>
      </c>
      <c r="C24326" s="20" t="s">
        <v>6209</v>
      </c>
      <c r="D24326" s="20" t="s">
        <v>6232</v>
      </c>
      <c r="E24326" s="10">
        <v>2618415</v>
      </c>
      <c r="F24326" s="4" t="e">
        <f>IF(B24326=#REF!,"",B24326)</f>
        <v>#REF!</v>
      </c>
    </row>
    <row r="24327" spans="1:6" ht="15.75" customHeight="1">
      <c r="A24327" s="15" t="s">
        <v>22544</v>
      </c>
      <c r="B24327" s="15" t="s">
        <v>22544</v>
      </c>
      <c r="C24327" s="15" t="s">
        <v>22070</v>
      </c>
      <c r="D24327" s="15" t="s">
        <v>22217</v>
      </c>
      <c r="E24327" s="2">
        <v>6695754</v>
      </c>
      <c r="F24327" s="4" t="e">
        <f>IF(B24327=#REF!,"",B24327)</f>
        <v>#REF!</v>
      </c>
    </row>
    <row r="24328" spans="1:6" ht="15.75" customHeight="1">
      <c r="A24328" s="15" t="s">
        <v>16152</v>
      </c>
      <c r="B24328" s="15" t="s">
        <v>16152</v>
      </c>
      <c r="C24328" s="15" t="s">
        <v>15704</v>
      </c>
      <c r="D24328" s="15" t="s">
        <v>15724</v>
      </c>
      <c r="E24328" s="2">
        <v>1859093</v>
      </c>
      <c r="F24328" s="4" t="str">
        <f>IF(B24328=B24327,"",B24328)</f>
        <v>Koga</v>
      </c>
    </row>
    <row r="24329" spans="1:6" ht="15.75" customHeight="1">
      <c r="A24329" s="16" t="str">
        <f ca="1">IFERROR(__xludf.DUMMYFUNCTION("GOOGLETRANSLATE(B35484,""en"",""pt"")"),"Kōfu")</f>
        <v>Kōfu</v>
      </c>
      <c r="B24329" s="20" t="s">
        <v>34356</v>
      </c>
      <c r="C24329" s="20" t="s">
        <v>15704</v>
      </c>
      <c r="D24329" s="20" t="s">
        <v>15806</v>
      </c>
      <c r="E24329" s="10">
        <v>1859100</v>
      </c>
      <c r="F24329" s="4" t="e">
        <f>IF(B24329=#REF!,"",B24329)</f>
        <v>#REF!</v>
      </c>
    </row>
    <row r="24330" spans="1:6" ht="15.75" customHeight="1">
      <c r="A24330" s="15" t="s">
        <v>9401</v>
      </c>
      <c r="B24330" s="15" t="s">
        <v>9401</v>
      </c>
      <c r="C24330" s="15" t="s">
        <v>9365</v>
      </c>
      <c r="D24330" s="15" t="s">
        <v>9366</v>
      </c>
      <c r="E24330" s="2">
        <v>2299522</v>
      </c>
      <c r="F24330" s="4" t="e">
        <f>IF(B24330=#REF!,"",B24330)</f>
        <v>#REF!</v>
      </c>
    </row>
    <row r="24331" spans="1:6" ht="15.75" customHeight="1">
      <c r="A24331" s="15" t="s">
        <v>24105</v>
      </c>
      <c r="B24331" s="15" t="s">
        <v>24105</v>
      </c>
      <c r="C24331" s="15" t="s">
        <v>24024</v>
      </c>
      <c r="D24331" s="15" t="s">
        <v>24047</v>
      </c>
      <c r="E24331" s="2">
        <v>1842800</v>
      </c>
      <c r="F24331" s="4" t="str">
        <f>IF(B24331=B24330,"",B24331)</f>
        <v>Koesan</v>
      </c>
    </row>
    <row r="24332" spans="1:6" ht="15.75" customHeight="1">
      <c r="A24332" s="16" t="str">
        <f ca="1">IFERROR(__xludf.DUMMYFUNCTION("GOOGLETRANSLATE(B33025,""en"",""pt"")"),"Koelwār")</f>
        <v>Koelwār</v>
      </c>
      <c r="B24332" s="20" t="s">
        <v>33497</v>
      </c>
      <c r="C24332" s="20" t="s">
        <v>10178</v>
      </c>
      <c r="D24332" s="20" t="s">
        <v>10317</v>
      </c>
      <c r="E24332" s="10">
        <v>1266372</v>
      </c>
      <c r="F24332" s="4" t="str">
        <f>IF(B24332=B24331,"",B24332)</f>
        <v>Koelwār</v>
      </c>
    </row>
    <row r="24333" spans="1:6" ht="15.75" customHeight="1">
      <c r="A24333" s="15" t="s">
        <v>12004</v>
      </c>
      <c r="B24333" s="15" t="s">
        <v>12005</v>
      </c>
      <c r="C24333" s="15" t="s">
        <v>10178</v>
      </c>
      <c r="D24333" s="15" t="s">
        <v>10317</v>
      </c>
      <c r="E24333" s="2">
        <v>1266372</v>
      </c>
      <c r="F24333" s="4" t="str">
        <f>IF(B24333=B24332,"",B24333)</f>
        <v>KoelwÄr</v>
      </c>
    </row>
    <row r="24334" spans="1:6" ht="15.75" customHeight="1">
      <c r="A24334" s="16" t="str">
        <f ca="1">IFERROR(__xludf.DUMMYFUNCTION("GOOGLETRANSLATE(B33026,""en"",""pt"")"),"Kodungallūr")</f>
        <v>Kodungallūr</v>
      </c>
      <c r="B24334" s="20" t="s">
        <v>33498</v>
      </c>
      <c r="C24334" s="20" t="s">
        <v>10178</v>
      </c>
      <c r="D24334" s="20" t="s">
        <v>10246</v>
      </c>
      <c r="E24334" s="10">
        <v>1266385</v>
      </c>
      <c r="F24334" s="4" t="str">
        <f>IF(B24334=B24333,"",B24334)</f>
        <v>Kodungallūr</v>
      </c>
    </row>
    <row r="24335" spans="1:6" ht="15.75" customHeight="1">
      <c r="A24335" s="16" t="s">
        <v>12002</v>
      </c>
      <c r="B24335" s="15" t="s">
        <v>12003</v>
      </c>
      <c r="C24335" s="16" t="s">
        <v>10178</v>
      </c>
      <c r="D24335" s="16" t="s">
        <v>10246</v>
      </c>
      <c r="E24335" s="2">
        <v>1266385</v>
      </c>
      <c r="F24335" s="4" t="e">
        <f>IF(B24335=#REF!,"",B24335)</f>
        <v>#REF!</v>
      </c>
    </row>
    <row r="24336" spans="1:6" ht="15.75" customHeight="1">
      <c r="A24336" s="15" t="s">
        <v>12001</v>
      </c>
      <c r="B24336" s="15" t="s">
        <v>12001</v>
      </c>
      <c r="C24336" s="15" t="s">
        <v>10178</v>
      </c>
      <c r="D24336" s="15" t="s">
        <v>10214</v>
      </c>
      <c r="E24336" s="2">
        <v>1266390</v>
      </c>
      <c r="F24336" s="4" t="e">
        <f>IF(B24336=#REF!,"",B24336)</f>
        <v>#REF!</v>
      </c>
    </row>
    <row r="24337" spans="1:6" ht="15.75" customHeight="1">
      <c r="A24337" s="15" t="s">
        <v>22543</v>
      </c>
      <c r="B24337" s="15" t="s">
        <v>22543</v>
      </c>
      <c r="C24337" s="15" t="s">
        <v>22070</v>
      </c>
      <c r="D24337" s="15" t="s">
        <v>22079</v>
      </c>
      <c r="E24337" s="2">
        <v>1503037</v>
      </c>
      <c r="F24337" s="4" t="str">
        <f>IF(B24337=B24336,"",B24337)</f>
        <v>Kodinsk</v>
      </c>
    </row>
    <row r="24338" spans="1:6" ht="15.75" customHeight="1">
      <c r="A24338" s="16" t="str">
        <f ca="1">IFERROR(__xludf.DUMMYFUNCTION("GOOGLETRANSLATE(B33028,""en"",""pt"")"),"Kodīnar")</f>
        <v>Kodīnar</v>
      </c>
      <c r="B24338" s="20" t="s">
        <v>33499</v>
      </c>
      <c r="C24338" s="20" t="s">
        <v>10178</v>
      </c>
      <c r="D24338" s="20" t="s">
        <v>10209</v>
      </c>
      <c r="E24338" s="10">
        <v>1266397</v>
      </c>
      <c r="F24338" s="4" t="str">
        <f>IF(B24338=B24337,"",B24338)</f>
        <v>Kodīnar</v>
      </c>
    </row>
    <row r="24339" spans="1:6" ht="15.75" customHeight="1">
      <c r="A24339" s="15" t="s">
        <v>11999</v>
      </c>
      <c r="B24339" s="15" t="s">
        <v>12000</v>
      </c>
      <c r="C24339" s="15" t="s">
        <v>10178</v>
      </c>
      <c r="D24339" s="15" t="s">
        <v>10430</v>
      </c>
      <c r="E24339" s="2">
        <v>1266414</v>
      </c>
      <c r="F24339" s="4" t="str">
        <f>IF(B24339=B24338,"",B24339)</f>
        <v>KodarmÄ</v>
      </c>
    </row>
    <row r="24340" spans="1:6" ht="15.75" customHeight="1">
      <c r="A24340" s="16" t="str">
        <f ca="1">IFERROR(__xludf.DUMMYFUNCTION("GOOGLETRANSLATE(B33029,""en"",""pt"")"),"Kodarmā")</f>
        <v>Kodarmā</v>
      </c>
      <c r="B24340" s="20" t="s">
        <v>33500</v>
      </c>
      <c r="C24340" s="20" t="s">
        <v>10178</v>
      </c>
      <c r="D24340" s="20" t="s">
        <v>10430</v>
      </c>
      <c r="E24340" s="10">
        <v>1266414</v>
      </c>
      <c r="F24340" s="4" t="str">
        <f>IF(B24340=B24339,"",B24340)</f>
        <v>Kodarmā</v>
      </c>
    </row>
    <row r="24341" spans="1:6" ht="15.75" customHeight="1">
      <c r="A24341" s="16" t="str">
        <f ca="1">IFERROR(__xludf.DUMMYFUNCTION("GOOGLETRANSLATE(B33030,""en"",""pt"")"),"Kodār")</f>
        <v>Kodār</v>
      </c>
      <c r="B24341" s="20" t="s">
        <v>33501</v>
      </c>
      <c r="C24341" s="20" t="s">
        <v>10178</v>
      </c>
      <c r="D24341" s="20" t="s">
        <v>10187</v>
      </c>
      <c r="E24341" s="10">
        <v>1266416</v>
      </c>
      <c r="F24341" s="4" t="str">
        <f>IF(B24341=B24340,"",B24341)</f>
        <v>Kodār</v>
      </c>
    </row>
    <row r="24342" spans="1:6" ht="15.75" customHeight="1">
      <c r="A24342" s="16" t="str">
        <f ca="1">IFERROR(__xludf.DUMMYFUNCTION("GOOGLETRANSLATE(B35485,""en"",""pt"")"),"Kodamachō-Kodamaminami")</f>
        <v>Kodamachō-Kodamaminami</v>
      </c>
      <c r="B24342" s="20" t="s">
        <v>34357</v>
      </c>
      <c r="C24342" s="20" t="s">
        <v>15704</v>
      </c>
      <c r="D24342" s="20" t="s">
        <v>15710</v>
      </c>
      <c r="E24342" s="10">
        <v>1859113</v>
      </c>
      <c r="F24342" s="4" t="str">
        <f>IF(B24342=B24341,"",B24342)</f>
        <v>Kodamachō-kodamaminami</v>
      </c>
    </row>
    <row r="24343" spans="1:6" ht="15.75" customHeight="1">
      <c r="A24343" s="16" t="s">
        <v>16150</v>
      </c>
      <c r="B24343" s="15" t="s">
        <v>16151</v>
      </c>
      <c r="C24343" s="16" t="s">
        <v>15704</v>
      </c>
      <c r="D24343" s="16" t="s">
        <v>15710</v>
      </c>
      <c r="E24343" s="2">
        <v>1859113</v>
      </c>
      <c r="F24343" s="4" t="str">
        <f>IF(B24343=B24342,"",B24343)</f>
        <v>KodamachÅ-kodamaminami</v>
      </c>
    </row>
    <row r="24344" spans="1:6" ht="15.75" customHeight="1">
      <c r="A24344" s="16" t="str">
        <f ca="1">IFERROR(__xludf.DUMMYFUNCTION("GOOGLETRANSLATE(B33031,""en"",""pt"")"),"Kodaikānāl")</f>
        <v>Kodaikānāl</v>
      </c>
      <c r="B24344" s="20" t="s">
        <v>33502</v>
      </c>
      <c r="C24344" s="20" t="s">
        <v>10178</v>
      </c>
      <c r="D24344" s="20" t="s">
        <v>10196</v>
      </c>
      <c r="E24344" s="10">
        <v>1266425</v>
      </c>
      <c r="F24344" s="4" t="str">
        <f>IF(B24344=B24343,"",B24344)</f>
        <v>Kodaikānāl</v>
      </c>
    </row>
    <row r="24345" spans="1:6" ht="15.75" customHeight="1">
      <c r="A24345" s="16" t="s">
        <v>11997</v>
      </c>
      <c r="B24345" s="15" t="s">
        <v>11998</v>
      </c>
      <c r="C24345" s="16" t="s">
        <v>10178</v>
      </c>
      <c r="D24345" s="16" t="s">
        <v>10196</v>
      </c>
      <c r="E24345" s="2">
        <v>1266425</v>
      </c>
      <c r="F24345" s="4" t="str">
        <f>IF(B24345=B24344,"",B24345)</f>
        <v>KodaikÄnÄl</v>
      </c>
    </row>
    <row r="24346" spans="1:6" ht="15.75" customHeight="1">
      <c r="A24346" s="15" t="s">
        <v>11995</v>
      </c>
      <c r="B24346" s="15" t="s">
        <v>11996</v>
      </c>
      <c r="C24346" s="15" t="s">
        <v>10178</v>
      </c>
      <c r="D24346" s="15" t="s">
        <v>10187</v>
      </c>
      <c r="E24346" s="2">
        <v>1266416</v>
      </c>
      <c r="F24346" s="4" t="str">
        <f>IF(B24346=B24345,"",B24346)</f>
        <v>KodÄr</v>
      </c>
    </row>
    <row r="24347" spans="1:6" ht="15.75" customHeight="1">
      <c r="A24347" s="16" t="s">
        <v>11993</v>
      </c>
      <c r="B24347" s="15" t="s">
        <v>11994</v>
      </c>
      <c r="C24347" s="16" t="s">
        <v>10178</v>
      </c>
      <c r="D24347" s="16" t="s">
        <v>10209</v>
      </c>
      <c r="E24347" s="2">
        <v>1266397</v>
      </c>
      <c r="F24347" s="4" t="e">
        <f>IF(B24347=#REF!,"",B24347)</f>
        <v>#REF!</v>
      </c>
    </row>
    <row r="24348" spans="1:6" ht="15.75" customHeight="1">
      <c r="A24348" s="16" t="s">
        <v>22542</v>
      </c>
      <c r="B24348" s="15" t="s">
        <v>22542</v>
      </c>
      <c r="C24348" s="16" t="s">
        <v>22070</v>
      </c>
      <c r="D24348" s="16" t="s">
        <v>22117</v>
      </c>
      <c r="E24348" s="2">
        <v>841006</v>
      </c>
      <c r="F24348" s="4" t="e">
        <f>IF(B24348=#REF!,"",B24348)</f>
        <v>#REF!</v>
      </c>
    </row>
    <row r="24349" spans="1:6" ht="15.75" customHeight="1">
      <c r="A24349" s="15" t="s">
        <v>15715</v>
      </c>
      <c r="B24349" s="15" t="s">
        <v>15715</v>
      </c>
      <c r="C24349" s="15" t="s">
        <v>15704</v>
      </c>
      <c r="D24349" s="15" t="s">
        <v>15715</v>
      </c>
      <c r="E24349" s="2">
        <v>1859146</v>
      </c>
      <c r="F24349" s="4" t="str">
        <f>IF(B24349=B24348,"",B24349)</f>
        <v>Kochi</v>
      </c>
    </row>
    <row r="24350" spans="1:6" ht="15.75" customHeight="1">
      <c r="A24350" s="16" t="str">
        <f ca="1">IFERROR(__xludf.DUMMYFUNCTION("GOOGLETRANSLATE(B40821,""en"",""pt"")"),"Kochenëvo")</f>
        <v>Kochenëvo</v>
      </c>
      <c r="B24350" s="20" t="s">
        <v>35542</v>
      </c>
      <c r="C24350" s="20" t="s">
        <v>22070</v>
      </c>
      <c r="D24350" s="20" t="s">
        <v>22092</v>
      </c>
      <c r="E24350" s="10">
        <v>1503082</v>
      </c>
      <c r="F24350" s="4" t="str">
        <f>IF(B24350=B24349,"",B24350)</f>
        <v>Kochenëvo</v>
      </c>
    </row>
    <row r="24351" spans="1:6" ht="15.75" customHeight="1">
      <c r="A24351" s="16" t="s">
        <v>22540</v>
      </c>
      <c r="B24351" s="15" t="s">
        <v>22541</v>
      </c>
      <c r="C24351" s="16" t="s">
        <v>22070</v>
      </c>
      <c r="D24351" s="16" t="s">
        <v>22092</v>
      </c>
      <c r="E24351" s="2">
        <v>1503082</v>
      </c>
      <c r="F24351" s="4" t="e">
        <f>IF(B24351=#REF!,"",B24351)</f>
        <v>#REF!</v>
      </c>
    </row>
    <row r="24352" spans="1:6" ht="15.75" customHeight="1">
      <c r="A24352" s="15" t="s">
        <v>17273</v>
      </c>
      <c r="B24352" s="15" t="s">
        <v>17273</v>
      </c>
      <c r="C24352" s="15" t="s">
        <v>17221</v>
      </c>
      <c r="D24352" s="15" t="s">
        <v>17274</v>
      </c>
      <c r="E24352" s="2">
        <v>789403</v>
      </c>
      <c r="F24352" s="4" t="e">
        <f>IF(B24352=#REF!,"",B24352)</f>
        <v>#REF!</v>
      </c>
    </row>
    <row r="24353" spans="1:6" ht="15.75" customHeight="1">
      <c r="A24353" s="15" t="s">
        <v>24104</v>
      </c>
      <c r="B24353" s="15" t="s">
        <v>24104</v>
      </c>
      <c r="C24353" s="15" t="s">
        <v>24024</v>
      </c>
      <c r="D24353" s="15" t="s">
        <v>24042</v>
      </c>
      <c r="E24353" s="2">
        <v>1842859</v>
      </c>
      <c r="F24353" s="4" t="str">
        <f>IF(B24353=B24352,"",B24353)</f>
        <v>Koch'ang</v>
      </c>
    </row>
    <row r="24354" spans="1:6" ht="15.75" customHeight="1">
      <c r="A24354" s="16" t="str">
        <f ca="1">IFERROR(__xludf.DUMMYFUNCTION("GOOGLETRANSLATE(B33032,""en"",""pt"")"),"Koch Bihār")</f>
        <v>Koch Bihār</v>
      </c>
      <c r="B24354" s="20" t="s">
        <v>33503</v>
      </c>
      <c r="C24354" s="20" t="s">
        <v>10178</v>
      </c>
      <c r="D24354" s="20" t="s">
        <v>10201</v>
      </c>
      <c r="E24354" s="10">
        <v>1266436</v>
      </c>
      <c r="F24354" s="4" t="str">
        <f>IF(B24354=B24353,"",B24354)</f>
        <v>Koch Bihār</v>
      </c>
    </row>
    <row r="24355" spans="1:6" ht="15.75" customHeight="1">
      <c r="A24355" s="16" t="s">
        <v>11991</v>
      </c>
      <c r="B24355" s="15" t="s">
        <v>11992</v>
      </c>
      <c r="C24355" s="16" t="s">
        <v>10178</v>
      </c>
      <c r="D24355" s="16" t="s">
        <v>10201</v>
      </c>
      <c r="E24355" s="2">
        <v>1266436</v>
      </c>
      <c r="F24355" s="4" t="e">
        <f>IF(B24355=#REF!,"",B24355)</f>
        <v>#REF!</v>
      </c>
    </row>
    <row r="24356" spans="1:6" ht="15.75" customHeight="1">
      <c r="A24356" s="15" t="s">
        <v>26603</v>
      </c>
      <c r="B24356" s="15" t="s">
        <v>26603</v>
      </c>
      <c r="C24356" s="15" t="s">
        <v>26201</v>
      </c>
      <c r="D24356" s="15" t="s">
        <v>26276</v>
      </c>
      <c r="E24356" s="2">
        <v>742902</v>
      </c>
      <c r="F24356" s="4" t="str">
        <f>IF(B24356=B24355,"",B24356)</f>
        <v>Kocaali</v>
      </c>
    </row>
    <row r="24357" spans="1:6" ht="15.75" customHeight="1">
      <c r="A24357" s="16" t="str">
        <f ca="1">IFERROR(__xludf.DUMMYFUNCTION("GOOGLETRANSLATE(B39265,""en"",""pt"")"),"Kobyłka")</f>
        <v>Kobyłka</v>
      </c>
      <c r="B24357" s="20" t="s">
        <v>35114</v>
      </c>
      <c r="C24357" s="20" t="s">
        <v>21064</v>
      </c>
      <c r="D24357" s="20" t="s">
        <v>21070</v>
      </c>
      <c r="E24357" s="10">
        <v>768905</v>
      </c>
      <c r="F24357" s="4" t="str">
        <f>IF(B24357=B24356,"",B24357)</f>
        <v>Kobyłka</v>
      </c>
    </row>
    <row r="24358" spans="1:6" ht="15.75" customHeight="1">
      <c r="A24358" s="15" t="s">
        <v>21299</v>
      </c>
      <c r="B24358" s="15" t="s">
        <v>21300</v>
      </c>
      <c r="C24358" s="15" t="s">
        <v>21064</v>
      </c>
      <c r="D24358" s="15" t="s">
        <v>21070</v>
      </c>
      <c r="E24358" s="2">
        <v>768905</v>
      </c>
      <c r="F24358" s="4" t="e">
        <f>IF(B24358=#REF!,"",B24358)</f>
        <v>#REF!</v>
      </c>
    </row>
    <row r="24359" spans="1:6" ht="15.75" customHeight="1">
      <c r="A24359" s="15" t="s">
        <v>7995</v>
      </c>
      <c r="B24359" s="15" t="s">
        <v>7995</v>
      </c>
      <c r="C24359" s="15" t="s">
        <v>7988</v>
      </c>
      <c r="D24359" s="15" t="s">
        <v>7991</v>
      </c>
      <c r="E24359" s="2">
        <v>613762</v>
      </c>
      <c r="F24359" s="4" t="e">
        <f>IF(B24359=#REF!,"",B24359)</f>
        <v>#REF!</v>
      </c>
    </row>
    <row r="24360" spans="1:6" ht="15.75" customHeight="1">
      <c r="A24360" s="15" t="s">
        <v>1474</v>
      </c>
      <c r="B24360" s="15" t="s">
        <v>1474</v>
      </c>
      <c r="C24360" s="15" t="s">
        <v>1453</v>
      </c>
      <c r="D24360" s="15" t="s">
        <v>1457</v>
      </c>
      <c r="E24360" s="2">
        <v>627145</v>
      </c>
      <c r="F24360" s="4" t="e">
        <f>IF(B24360=#REF!,"",B24360)</f>
        <v>#REF!</v>
      </c>
    </row>
    <row r="24361" spans="1:6" ht="15.75" customHeight="1">
      <c r="A24361" s="15" t="s">
        <v>8690</v>
      </c>
      <c r="B24361" s="15" t="s">
        <v>8690</v>
      </c>
      <c r="C24361" s="15" t="s">
        <v>8028</v>
      </c>
      <c r="D24361" s="15" t="s">
        <v>8065</v>
      </c>
      <c r="E24361" s="2">
        <v>2886946</v>
      </c>
      <c r="F24361" s="4" t="str">
        <f>IF(B24361=B24360,"",B24361)</f>
        <v>Koblenz</v>
      </c>
    </row>
    <row r="24362" spans="1:6" ht="15.75" customHeight="1">
      <c r="A24362" s="15" t="s">
        <v>6255</v>
      </c>
      <c r="B24362" s="15" t="s">
        <v>6256</v>
      </c>
      <c r="C24362" s="15" t="s">
        <v>6209</v>
      </c>
      <c r="D24362" s="15" t="s">
        <v>6212</v>
      </c>
      <c r="E24362" s="2">
        <v>2618528</v>
      </c>
      <c r="F24362" s="4" t="e">
        <f>IF(B24362=#REF!,"",B24362)</f>
        <v>#REF!</v>
      </c>
    </row>
    <row r="24363" spans="1:6" ht="15.75" customHeight="1">
      <c r="A24363" s="15" t="s">
        <v>16149</v>
      </c>
      <c r="B24363" s="15" t="s">
        <v>16149</v>
      </c>
      <c r="C24363" s="15" t="s">
        <v>15704</v>
      </c>
      <c r="D24363" s="15" t="s">
        <v>15712</v>
      </c>
      <c r="E24363" s="2">
        <v>1859171</v>
      </c>
      <c r="F24363" s="4" t="e">
        <f>IF(B24363=#REF!,"",B24363)</f>
        <v>#REF!</v>
      </c>
    </row>
    <row r="24364" spans="1:6" ht="15.75" customHeight="1">
      <c r="A24364" s="16" t="s">
        <v>16147</v>
      </c>
      <c r="B24364" s="15" t="s">
        <v>16147</v>
      </c>
      <c r="C24364" s="16" t="s">
        <v>15704</v>
      </c>
      <c r="D24364" s="16" t="s">
        <v>16148</v>
      </c>
      <c r="E24364" s="2">
        <v>1859175</v>
      </c>
      <c r="F24364" s="4" t="str">
        <f>IF(B24364=B24363,"",B24364)</f>
        <v>Kobayashi</v>
      </c>
    </row>
    <row r="24365" spans="1:6" ht="15.75" customHeight="1">
      <c r="A24365" s="16" t="str">
        <f ca="1">IFERROR(__xludf.DUMMYFUNCTION("GOOGLETRANSLATE(B33033,""en"",""pt"")"),"Koāth")</f>
        <v>Koāth</v>
      </c>
      <c r="B24365" s="20" t="s">
        <v>33504</v>
      </c>
      <c r="C24365" s="20" t="s">
        <v>10178</v>
      </c>
      <c r="D24365" s="20" t="s">
        <v>10317</v>
      </c>
      <c r="E24365" s="10">
        <v>1266448</v>
      </c>
      <c r="F24365" s="4" t="str">
        <f>IF(B24365=B24364,"",B24365)</f>
        <v>Koāth</v>
      </c>
    </row>
    <row r="24366" spans="1:6" ht="15.75" customHeight="1">
      <c r="A24366" s="15" t="s">
        <v>11989</v>
      </c>
      <c r="B24366" s="15" t="s">
        <v>11990</v>
      </c>
      <c r="C24366" s="15" t="s">
        <v>10178</v>
      </c>
      <c r="D24366" s="15" t="s">
        <v>10317</v>
      </c>
      <c r="E24366" s="2">
        <v>1266448</v>
      </c>
      <c r="F24366" s="4" t="str">
        <f>IF(B24366=B24365,"",B24366)</f>
        <v>KoÄth</v>
      </c>
    </row>
    <row r="24367" spans="1:6" ht="15.75" customHeight="1">
      <c r="A24367" s="16" t="s">
        <v>21297</v>
      </c>
      <c r="B24367" s="15" t="s">
        <v>21298</v>
      </c>
      <c r="C24367" s="16" t="s">
        <v>21064</v>
      </c>
      <c r="D24367" s="16" t="s">
        <v>21173</v>
      </c>
      <c r="E24367" s="2">
        <v>3095126</v>
      </c>
      <c r="F24367" s="4" t="str">
        <f>IF(B24367=B24366,"",B24367)</f>
        <v>KoÅ›cierzyna</v>
      </c>
    </row>
    <row r="24368" spans="1:6" ht="15.75" customHeight="1">
      <c r="A24368" s="15" t="s">
        <v>21295</v>
      </c>
      <c r="B24368" s="15" t="s">
        <v>21296</v>
      </c>
      <c r="C24368" s="15" t="s">
        <v>21064</v>
      </c>
      <c r="D24368" s="15" t="s">
        <v>21112</v>
      </c>
      <c r="E24368" s="2">
        <v>3095151</v>
      </c>
      <c r="F24368" s="4" t="str">
        <f>IF(B24368=B24367,"",B24368)</f>
        <v>KoÅ›cian</v>
      </c>
    </row>
    <row r="24369" spans="1:6" ht="15.75" customHeight="1">
      <c r="A24369" s="15" t="s">
        <v>21293</v>
      </c>
      <c r="B24369" s="15" t="s">
        <v>21294</v>
      </c>
      <c r="C24369" s="15" t="s">
        <v>21064</v>
      </c>
      <c r="D24369" s="15" t="s">
        <v>21169</v>
      </c>
      <c r="E24369" s="2">
        <v>768218</v>
      </c>
      <c r="F24369" s="4" t="str">
        <f>IF(B24369=B24368,"",B24369)</f>
        <v>KoÅ„skie</v>
      </c>
    </row>
    <row r="24370" spans="1:6" ht="15.75" customHeight="1">
      <c r="A24370" s="15" t="s">
        <v>21291</v>
      </c>
      <c r="B24370" s="15" t="s">
        <v>21292</v>
      </c>
      <c r="C24370" s="15" t="s">
        <v>21064</v>
      </c>
      <c r="D24370" s="15" t="s">
        <v>21121</v>
      </c>
      <c r="E24370" s="2">
        <v>3095795</v>
      </c>
      <c r="F24370" s="4" t="str">
        <f>IF(B24370=B24369,"",B24370)</f>
        <v>KoÅ‚obrzeg</v>
      </c>
    </row>
    <row r="24371" spans="1:6" ht="15.75" customHeight="1">
      <c r="A24371" s="15" t="s">
        <v>21289</v>
      </c>
      <c r="B24371" s="15" t="s">
        <v>21290</v>
      </c>
      <c r="C24371" s="15" t="s">
        <v>21064</v>
      </c>
      <c r="D24371" s="15" t="s">
        <v>21112</v>
      </c>
      <c r="E24371" s="2">
        <v>3095797</v>
      </c>
      <c r="F24371" s="4" t="str">
        <f>IF(B24371=B24370,"",B24371)</f>
        <v>KoÅ‚o</v>
      </c>
    </row>
    <row r="24372" spans="1:6" ht="15.75" customHeight="1">
      <c r="A24372" s="15" t="s">
        <v>23727</v>
      </c>
      <c r="B24372" s="15" t="s">
        <v>23728</v>
      </c>
      <c r="C24372" s="15" t="s">
        <v>23694</v>
      </c>
      <c r="D24372" s="15" t="s">
        <v>23729</v>
      </c>
      <c r="E24372" s="2">
        <v>724443</v>
      </c>
      <c r="F24372" s="4" t="e">
        <f>IF(B24372=#REF!,"",B24372)</f>
        <v>#REF!</v>
      </c>
    </row>
    <row r="24373" spans="1:6" ht="15.75" customHeight="1">
      <c r="A24373" s="15" t="s">
        <v>25908</v>
      </c>
      <c r="B24373" s="15" t="s">
        <v>25908</v>
      </c>
      <c r="C24373" s="15" t="s">
        <v>25771</v>
      </c>
      <c r="D24373" s="15" t="s">
        <v>25802</v>
      </c>
      <c r="E24373" s="2">
        <v>1154689</v>
      </c>
      <c r="F24373" s="4" t="e">
        <f>IF(B24373=#REF!,"",B24373)</f>
        <v>#REF!</v>
      </c>
    </row>
    <row r="24374" spans="1:6" ht="15.75" customHeight="1">
      <c r="A24374" s="15" t="s">
        <v>23915</v>
      </c>
      <c r="B24374" s="15" t="s">
        <v>23915</v>
      </c>
      <c r="C24374" s="15" t="s">
        <v>23842</v>
      </c>
      <c r="D24374" s="15" t="s">
        <v>23847</v>
      </c>
      <c r="E24374" s="2">
        <v>988698</v>
      </c>
      <c r="F24374" s="4" t="str">
        <f>IF(B24374=B24373,"",B24374)</f>
        <v>Knysna</v>
      </c>
    </row>
    <row r="24375" spans="1:6" ht="15.75" customHeight="1">
      <c r="A24375" s="16" t="str">
        <f ca="1">IFERROR(__xludf.DUMMYFUNCTION("GOOGLETRANSLATE(B39433,""en"",""pt"")"),"Knurów")</f>
        <v>Knurów</v>
      </c>
      <c r="B24375" s="20" t="s">
        <v>35215</v>
      </c>
      <c r="C24375" s="20" t="s">
        <v>21064</v>
      </c>
      <c r="D24375" s="20" t="s">
        <v>21073</v>
      </c>
      <c r="E24375" s="10">
        <v>3095971</v>
      </c>
      <c r="F24375" s="4" t="str">
        <f>IF(B24375=B24374,"",B24375)</f>
        <v>Knurów</v>
      </c>
    </row>
    <row r="24376" spans="1:6" ht="15.75" customHeight="1">
      <c r="A24376" s="15" t="s">
        <v>21287</v>
      </c>
      <c r="B24376" s="15" t="s">
        <v>21288</v>
      </c>
      <c r="C24376" s="15" t="s">
        <v>21064</v>
      </c>
      <c r="D24376" s="15" t="s">
        <v>21073</v>
      </c>
      <c r="E24376" s="2">
        <v>3095971</v>
      </c>
      <c r="F24376" s="4" t="e">
        <f>IF(B24376=#REF!,"",B24376)</f>
        <v>#REF!</v>
      </c>
    </row>
    <row r="24377" spans="1:6" ht="15.75" customHeight="1">
      <c r="A24377" s="15" t="s">
        <v>29041</v>
      </c>
      <c r="B24377" s="15" t="s">
        <v>29041</v>
      </c>
      <c r="C24377" s="15" t="s">
        <v>27788</v>
      </c>
      <c r="D24377" s="15" t="s">
        <v>27957</v>
      </c>
      <c r="E24377" s="2">
        <v>4634946</v>
      </c>
      <c r="F24377" s="4" t="e">
        <f>IF(B24377=#REF!,"",B24377)</f>
        <v>#REF!</v>
      </c>
    </row>
    <row r="24378" spans="1:6" ht="15.75" customHeight="1">
      <c r="A24378" s="16" t="s">
        <v>1607</v>
      </c>
      <c r="B24378" s="15" t="s">
        <v>1607</v>
      </c>
      <c r="C24378" s="16" t="s">
        <v>1512</v>
      </c>
      <c r="D24378" s="16" t="s">
        <v>1513</v>
      </c>
      <c r="E24378" s="2">
        <v>2794210</v>
      </c>
      <c r="F24378" s="4" t="e">
        <f>IF(B24378=#REF!,"",B24378)</f>
        <v>#REF!</v>
      </c>
    </row>
    <row r="24379" spans="1:6" ht="15.75" customHeight="1">
      <c r="A24379" s="16" t="s">
        <v>23626</v>
      </c>
      <c r="B24379" s="15" t="s">
        <v>23627</v>
      </c>
      <c r="C24379" s="16" t="s">
        <v>23602</v>
      </c>
      <c r="D24379" s="16" t="s">
        <v>23603</v>
      </c>
      <c r="E24379" s="2">
        <v>6619277</v>
      </c>
      <c r="F24379" s="4" t="e">
        <f>IF(B24379=#REF!,"",B24379)</f>
        <v>#REF!</v>
      </c>
    </row>
    <row r="24380" spans="1:6" ht="15.75" customHeight="1">
      <c r="A24380" s="16" t="s">
        <v>13982</v>
      </c>
      <c r="B24380" s="15" t="s">
        <v>13982</v>
      </c>
      <c r="C24380" s="16" t="s">
        <v>13800</v>
      </c>
      <c r="D24380" s="16" t="s">
        <v>3894</v>
      </c>
      <c r="E24380" s="2">
        <v>1639850</v>
      </c>
      <c r="F24380" s="4" t="e">
        <f>IF(B24380=#REF!,"",B24380)</f>
        <v>#REF!</v>
      </c>
    </row>
    <row r="24381" spans="1:6" ht="15.75" customHeight="1">
      <c r="A24381" s="15" t="s">
        <v>21286</v>
      </c>
      <c r="B24381" s="15" t="s">
        <v>21286</v>
      </c>
      <c r="C24381" s="15" t="s">
        <v>21064</v>
      </c>
      <c r="D24381" s="15" t="s">
        <v>21165</v>
      </c>
      <c r="E24381" s="2">
        <v>3096003</v>
      </c>
      <c r="F24381" s="4" t="e">
        <f>IF(B24381=#REF!,"",B24381)</f>
        <v>#REF!</v>
      </c>
    </row>
    <row r="24382" spans="1:6" ht="15.75" customHeight="1">
      <c r="A24382" s="15" t="s">
        <v>17502</v>
      </c>
      <c r="B24382" s="15" t="s">
        <v>17502</v>
      </c>
      <c r="C24382" s="15" t="s">
        <v>17432</v>
      </c>
      <c r="D24382" s="15" t="s">
        <v>17442</v>
      </c>
      <c r="E24382" s="2">
        <v>1732811</v>
      </c>
      <c r="F24382" s="4" t="e">
        <f>IF(B24382=#REF!,"",B24382)</f>
        <v>#REF!</v>
      </c>
    </row>
    <row r="24383" spans="1:6" ht="15.75" customHeight="1">
      <c r="A24383" s="15" t="s">
        <v>25277</v>
      </c>
      <c r="B24383" s="15" t="s">
        <v>25277</v>
      </c>
      <c r="C24383" s="15" t="s">
        <v>25237</v>
      </c>
      <c r="D24383" s="15" t="s">
        <v>25240</v>
      </c>
      <c r="E24383" s="2">
        <v>2660127</v>
      </c>
      <c r="F24383" s="4" t="e">
        <f>IF(B24383=#REF!,"",B24383)</f>
        <v>#REF!</v>
      </c>
    </row>
    <row r="24384" spans="1:6" ht="15.75" customHeight="1">
      <c r="A24384" s="16" t="s">
        <v>1138</v>
      </c>
      <c r="B24384" s="15" t="s">
        <v>1138</v>
      </c>
      <c r="C24384" s="16" t="s">
        <v>1117</v>
      </c>
      <c r="D24384" s="16" t="s">
        <v>1118</v>
      </c>
      <c r="E24384" s="2">
        <v>2773913</v>
      </c>
      <c r="F24384" s="4" t="str">
        <f>IF(B24384=B24383,"",B24384)</f>
        <v>Klosterneuburg</v>
      </c>
    </row>
    <row r="24385" spans="1:6" ht="15.75" customHeight="1">
      <c r="A24385" s="16" t="str">
        <f ca="1">IFERROR(__xludf.DUMMYFUNCTION("GOOGLETRANSLATE(B39435,""en"",""pt"")"),"Kłodzko")</f>
        <v>Kłodzko</v>
      </c>
      <c r="B24385" s="20" t="s">
        <v>35216</v>
      </c>
      <c r="C24385" s="20" t="s">
        <v>21064</v>
      </c>
      <c r="D24385" s="20" t="s">
        <v>21118</v>
      </c>
      <c r="E24385" s="10">
        <v>3096053</v>
      </c>
      <c r="F24385" s="4" t="e">
        <f>IF(B24385=#REF!,"",B24385)</f>
        <v>#REF!</v>
      </c>
    </row>
    <row r="24386" spans="1:6" ht="15.75" customHeight="1">
      <c r="A24386" s="15" t="s">
        <v>22539</v>
      </c>
      <c r="B24386" s="15" t="s">
        <v>22539</v>
      </c>
      <c r="C24386" s="15" t="s">
        <v>22070</v>
      </c>
      <c r="D24386" s="15" t="s">
        <v>22272</v>
      </c>
      <c r="E24386" s="2">
        <v>547475</v>
      </c>
      <c r="F24386" s="4" t="e">
        <f>IF(B24386=#REF!,"",B24386)</f>
        <v>#REF!</v>
      </c>
    </row>
    <row r="24387" spans="1:6" ht="15.75" customHeight="1">
      <c r="A24387" s="15" t="s">
        <v>22538</v>
      </c>
      <c r="B24387" s="15" t="s">
        <v>22538</v>
      </c>
      <c r="C24387" s="15" t="s">
        <v>22070</v>
      </c>
      <c r="D24387" s="15" t="s">
        <v>22119</v>
      </c>
      <c r="E24387" s="2">
        <v>547523</v>
      </c>
      <c r="F24387" s="4" t="e">
        <f>IF(B24387=#REF!,"",B24387)</f>
        <v>#REF!</v>
      </c>
    </row>
    <row r="24388" spans="1:6" ht="15.75" customHeight="1">
      <c r="A24388" s="15" t="s">
        <v>22537</v>
      </c>
      <c r="B24388" s="15" t="s">
        <v>22537</v>
      </c>
      <c r="C24388" s="15" t="s">
        <v>22070</v>
      </c>
      <c r="D24388" s="15" t="s">
        <v>22119</v>
      </c>
      <c r="E24388" s="2">
        <v>547560</v>
      </c>
      <c r="F24388" s="4" t="e">
        <f>IF(B24388=#REF!,"",B24388)</f>
        <v>#REF!</v>
      </c>
    </row>
    <row r="24389" spans="1:6" ht="15.75" customHeight="1">
      <c r="A24389" s="15" t="s">
        <v>8687</v>
      </c>
      <c r="B24389" s="15" t="s">
        <v>8687</v>
      </c>
      <c r="C24389" s="15" t="s">
        <v>8028</v>
      </c>
      <c r="D24389" s="15" t="s">
        <v>8029</v>
      </c>
      <c r="E24389" s="2">
        <v>2887835</v>
      </c>
      <c r="F24389" s="4" t="e">
        <f>IF(B24389=#REF!,"",B24389)</f>
        <v>#REF!</v>
      </c>
    </row>
    <row r="24390" spans="1:6" ht="15.75" customHeight="1">
      <c r="A24390" s="16" t="s">
        <v>23914</v>
      </c>
      <c r="B24390" s="15" t="s">
        <v>23914</v>
      </c>
      <c r="C24390" s="16" t="s">
        <v>23842</v>
      </c>
      <c r="D24390" s="16" t="s">
        <v>23860</v>
      </c>
      <c r="E24390" s="2">
        <v>989921</v>
      </c>
      <c r="F24390" s="4" t="e">
        <f>IF(B24390=#REF!,"",B24390)</f>
        <v>#REF!</v>
      </c>
    </row>
    <row r="24391" spans="1:6" ht="15.75" customHeight="1">
      <c r="A24391" s="16" t="s">
        <v>8686</v>
      </c>
      <c r="B24391" s="15" t="s">
        <v>8686</v>
      </c>
      <c r="C24391" s="16" t="s">
        <v>8028</v>
      </c>
      <c r="D24391" s="16" t="s">
        <v>8070</v>
      </c>
      <c r="E24391" s="2">
        <v>2888523</v>
      </c>
      <c r="F24391" s="4" t="e">
        <f>IF(B24391=#REF!,"",B24391)</f>
        <v>#REF!</v>
      </c>
    </row>
    <row r="24392" spans="1:6" ht="15.75" customHeight="1">
      <c r="A24392" s="16" t="s">
        <v>17501</v>
      </c>
      <c r="B24392" s="15" t="s">
        <v>17501</v>
      </c>
      <c r="C24392" s="16" t="s">
        <v>17432</v>
      </c>
      <c r="D24392" s="16" t="s">
        <v>17433</v>
      </c>
      <c r="E24392" s="2">
        <v>1761242</v>
      </c>
      <c r="F24392" s="4" t="e">
        <f>IF(B24392=#REF!,"",B24392)</f>
        <v>#REF!</v>
      </c>
    </row>
    <row r="24393" spans="1:6" ht="15.75" customHeight="1">
      <c r="A24393" s="15" t="s">
        <v>6034</v>
      </c>
      <c r="B24393" s="15" t="s">
        <v>6034</v>
      </c>
      <c r="C24393" s="15" t="s">
        <v>5947</v>
      </c>
      <c r="D24393" s="15" t="s">
        <v>6035</v>
      </c>
      <c r="E24393" s="2">
        <v>3073660</v>
      </c>
      <c r="F24393" s="4" t="e">
        <f>IF(B24393=#REF!,"",B24393)</f>
        <v>#REF!</v>
      </c>
    </row>
    <row r="24394" spans="1:6" ht="15.75" customHeight="1">
      <c r="A24394" s="15" t="s">
        <v>13981</v>
      </c>
      <c r="B24394" s="15" t="s">
        <v>13981</v>
      </c>
      <c r="C24394" s="15" t="s">
        <v>13800</v>
      </c>
      <c r="D24394" s="15" t="s">
        <v>13803</v>
      </c>
      <c r="E24394" s="2">
        <v>1639900</v>
      </c>
      <c r="F24394" s="4" t="str">
        <f>IF(B24394=B24393,"",B24394)</f>
        <v>Klaten</v>
      </c>
    </row>
    <row r="24395" spans="1:6" ht="15.75" customHeight="1">
      <c r="A24395" s="16" t="str">
        <f ca="1">IFERROR(__xludf.DUMMYFUNCTION("GOOGLETRANSLATE(B27305,""en"",""pt"")"),"Klášterec nad Ohří")</f>
        <v>Klášterec nad Ohří</v>
      </c>
      <c r="B24395" s="20" t="s">
        <v>31983</v>
      </c>
      <c r="C24395" s="20" t="s">
        <v>5947</v>
      </c>
      <c r="D24395" s="20" t="s">
        <v>31942</v>
      </c>
      <c r="E24395" s="10">
        <v>3073668</v>
      </c>
      <c r="F24395" s="4" t="e">
        <f>IF(B24395=#REF!,"",B24395)</f>
        <v>#REF!</v>
      </c>
    </row>
    <row r="24396" spans="1:6" ht="15.75" customHeight="1">
      <c r="A24396" s="16" t="s">
        <v>13980</v>
      </c>
      <c r="B24396" s="15" t="s">
        <v>13980</v>
      </c>
      <c r="C24396" s="16" t="s">
        <v>13800</v>
      </c>
      <c r="D24396" s="16" t="s">
        <v>13811</v>
      </c>
      <c r="E24396" s="2">
        <v>1639925</v>
      </c>
      <c r="F24396" s="4" t="e">
        <f>IF(B24396=#REF!,"",B24396)</f>
        <v>#REF!</v>
      </c>
    </row>
    <row r="24397" spans="1:6" ht="15.75" customHeight="1">
      <c r="A24397" s="15" t="s">
        <v>17500</v>
      </c>
      <c r="B24397" s="15" t="s">
        <v>17500</v>
      </c>
      <c r="C24397" s="15" t="s">
        <v>17432</v>
      </c>
      <c r="D24397" s="15" t="s">
        <v>17446</v>
      </c>
      <c r="E24397" s="2">
        <v>1732905</v>
      </c>
      <c r="F24397" s="4" t="e">
        <f>IF(B24397=#REF!,"",B24397)</f>
        <v>#REF!</v>
      </c>
    </row>
    <row r="24398" spans="1:6" ht="15.75" customHeight="1">
      <c r="A24398" s="16" t="s">
        <v>29039</v>
      </c>
      <c r="B24398" s="15" t="s">
        <v>29040</v>
      </c>
      <c r="C24398" s="16" t="s">
        <v>27788</v>
      </c>
      <c r="D24398" s="16" t="s">
        <v>27820</v>
      </c>
      <c r="E24398" s="2">
        <v>5735238</v>
      </c>
      <c r="F24398" s="4" t="str">
        <f>IF(B24398=B24397,"",B24398)</f>
        <v>Klamath Falls</v>
      </c>
    </row>
    <row r="24399" spans="1:6" ht="15.75" customHeight="1">
      <c r="A24399" s="16" t="str">
        <f ca="1">IFERROR(__xludf.DUMMYFUNCTION("GOOGLETRANSLATE(B36377,""en"",""pt"")"),"Klaipėda")</f>
        <v>Klaipėda</v>
      </c>
      <c r="B24399" s="20" t="s">
        <v>34535</v>
      </c>
      <c r="C24399" s="20" t="s">
        <v>17154</v>
      </c>
      <c r="D24399" s="20" t="s">
        <v>34527</v>
      </c>
      <c r="E24399" s="10">
        <v>598098</v>
      </c>
      <c r="F24399" s="4" t="str">
        <f>IF(B24399=B24398,"",B24399)</f>
        <v>Klaipėda</v>
      </c>
    </row>
    <row r="24400" spans="1:6" ht="15.75" customHeight="1">
      <c r="A24400" s="16" t="s">
        <v>17179</v>
      </c>
      <c r="B24400" s="15" t="s">
        <v>17180</v>
      </c>
      <c r="C24400" s="16" t="s">
        <v>17154</v>
      </c>
      <c r="D24400" s="16" t="s">
        <v>17172</v>
      </c>
      <c r="E24400" s="2">
        <v>598098</v>
      </c>
      <c r="F24400" s="4" t="str">
        <f>IF(B24400=B24399,"",B24400)</f>
        <v>KlaipÄ—da</v>
      </c>
    </row>
    <row r="24401" spans="1:6" ht="15.75" customHeight="1">
      <c r="A24401" s="16" t="str">
        <f ca="1">IFERROR(__xludf.DUMMYFUNCTION("GOOGLETRANSLATE(B23395,""en"",""pt"")"),"Klagenfurt Am Wörthersee")</f>
        <v>Klagenfurt Am Wörthersee</v>
      </c>
      <c r="B24401" s="20" t="s">
        <v>31224</v>
      </c>
      <c r="C24401" s="20" t="s">
        <v>1117</v>
      </c>
      <c r="D24401" s="20" t="s">
        <v>1137</v>
      </c>
      <c r="E24401" s="10">
        <v>2774326</v>
      </c>
      <c r="F24401" s="4" t="str">
        <f>IF(B24401=B24400,"",B24401)</f>
        <v>Klagenfurt am Wörthersee</v>
      </c>
    </row>
    <row r="24402" spans="1:6" ht="15.75" customHeight="1">
      <c r="A24402" s="16" t="s">
        <v>1135</v>
      </c>
      <c r="B24402" s="15" t="s">
        <v>1136</v>
      </c>
      <c r="C24402" s="16" t="s">
        <v>1117</v>
      </c>
      <c r="D24402" s="16" t="s">
        <v>1137</v>
      </c>
      <c r="E24402" s="2">
        <v>2774326</v>
      </c>
      <c r="F24402" s="4" t="e">
        <f>IF(B24402=#REF!,"",B24402)</f>
        <v>#REF!</v>
      </c>
    </row>
    <row r="24403" spans="1:6" ht="15.75" customHeight="1">
      <c r="A24403" s="15" t="s">
        <v>25907</v>
      </c>
      <c r="B24403" s="15" t="s">
        <v>25907</v>
      </c>
      <c r="C24403" s="15" t="s">
        <v>25771</v>
      </c>
      <c r="D24403" s="15" t="s">
        <v>25784</v>
      </c>
      <c r="E24403" s="2">
        <v>1609610</v>
      </c>
      <c r="F24403" s="4" t="e">
        <f>IF(B24403=#REF!,"",B24403)</f>
        <v>#REF!</v>
      </c>
    </row>
    <row r="24404" spans="1:6" ht="15.75" customHeight="1">
      <c r="A24404" s="15" t="s">
        <v>6033</v>
      </c>
      <c r="B24404" s="15" t="s">
        <v>6033</v>
      </c>
      <c r="C24404" s="15" t="s">
        <v>5947</v>
      </c>
      <c r="D24404" s="15" t="s">
        <v>5985</v>
      </c>
      <c r="E24404" s="2">
        <v>3073699</v>
      </c>
      <c r="F24404" s="4" t="str">
        <f>IF(B24404=B24403,"",B24404)</f>
        <v>Kladno</v>
      </c>
    </row>
    <row r="24405" spans="1:6" ht="15.75" customHeight="1">
      <c r="A24405" s="16" t="s">
        <v>6031</v>
      </c>
      <c r="B24405" s="15" t="s">
        <v>6032</v>
      </c>
      <c r="C24405" s="16" t="s">
        <v>5947</v>
      </c>
      <c r="D24405" s="16" t="s">
        <v>5956</v>
      </c>
      <c r="E24405" s="2">
        <v>3073668</v>
      </c>
      <c r="F24405" s="4" t="e">
        <f>IF(B24405=#REF!,"",B24405)</f>
        <v>#REF!</v>
      </c>
    </row>
    <row r="24406" spans="1:6" ht="15.75" customHeight="1">
      <c r="A24406" s="15" t="s">
        <v>22536</v>
      </c>
      <c r="B24406" s="15" t="s">
        <v>22536</v>
      </c>
      <c r="C24406" s="15" t="s">
        <v>22070</v>
      </c>
      <c r="D24406" s="15" t="s">
        <v>22208</v>
      </c>
      <c r="E24406" s="2">
        <v>547840</v>
      </c>
      <c r="F24406" s="4" t="e">
        <f>IF(B24406=#REF!,"",B24406)</f>
        <v>#REF!</v>
      </c>
    </row>
    <row r="24407" spans="1:6" ht="15.75" customHeight="1">
      <c r="A24407" s="15" t="s">
        <v>22535</v>
      </c>
      <c r="B24407" s="15" t="s">
        <v>22535</v>
      </c>
      <c r="C24407" s="15" t="s">
        <v>22070</v>
      </c>
      <c r="D24407" s="15" t="s">
        <v>22208</v>
      </c>
      <c r="E24407" s="2">
        <v>547849</v>
      </c>
      <c r="F24407" s="4" t="str">
        <f>IF(B24407=B24406,"",B24407)</f>
        <v>Kizilyurt</v>
      </c>
    </row>
    <row r="24408" spans="1:6" ht="15.75" customHeight="1">
      <c r="A24408" s="16" t="str">
        <f ca="1">IFERROR(__xludf.DUMMYFUNCTION("GOOGLETRANSLATE(B41958,""en"",""pt"")"),"Kızıltepe")</f>
        <v>Kızıltepe</v>
      </c>
      <c r="B24408" s="20" t="s">
        <v>35856</v>
      </c>
      <c r="C24408" s="20" t="s">
        <v>26201</v>
      </c>
      <c r="D24408" s="20" t="s">
        <v>26440</v>
      </c>
      <c r="E24408" s="10">
        <v>307084</v>
      </c>
      <c r="F24408" s="4" t="str">
        <f>IF(B24408=B24407,"",B24408)</f>
        <v>Kızıltepe</v>
      </c>
    </row>
    <row r="24409" spans="1:6" ht="15.75" customHeight="1">
      <c r="A24409" s="16" t="str">
        <f ca="1">IFERROR(__xludf.DUMMYFUNCTION("GOOGLETRANSLATE(B42143,""en"",""pt"")"),"Kızılcahamam")</f>
        <v>Kızılcahamam</v>
      </c>
      <c r="B24409" s="20" t="s">
        <v>35932</v>
      </c>
      <c r="C24409" s="20" t="s">
        <v>26201</v>
      </c>
      <c r="D24409" s="20" t="s">
        <v>26229</v>
      </c>
      <c r="E24409" s="10">
        <v>743051</v>
      </c>
      <c r="F24409" s="4" t="str">
        <f>IF(B24409=B24408,"",B24409)</f>
        <v>Kızılcahamam</v>
      </c>
    </row>
    <row r="24410" spans="1:6" ht="15.75" customHeight="1">
      <c r="A24410" s="16" t="str">
        <f ca="1">IFERROR(__xludf.DUMMYFUNCTION("GOOGLETRANSLATE(B33034,""en"",""pt"")"),"Kizhake Chālakudi")</f>
        <v>Kizhake Chālakudi</v>
      </c>
      <c r="B24410" s="20" t="s">
        <v>33505</v>
      </c>
      <c r="C24410" s="20" t="s">
        <v>10178</v>
      </c>
      <c r="D24410" s="20" t="s">
        <v>10246</v>
      </c>
      <c r="E24410" s="10">
        <v>1266452</v>
      </c>
      <c r="F24410" s="4" t="str">
        <f>IF(B24410=B24409,"",B24410)</f>
        <v>Kizhake Chālakudi</v>
      </c>
    </row>
    <row r="24411" spans="1:6" ht="15.75" customHeight="1">
      <c r="A24411" s="16" t="s">
        <v>11987</v>
      </c>
      <c r="B24411" s="15" t="s">
        <v>11988</v>
      </c>
      <c r="C24411" s="16" t="s">
        <v>10178</v>
      </c>
      <c r="D24411" s="16" t="s">
        <v>10246</v>
      </c>
      <c r="E24411" s="2">
        <v>1266452</v>
      </c>
      <c r="F24411" s="4" t="e">
        <f>IF(B24411=#REF!,"",B24411)</f>
        <v>#REF!</v>
      </c>
    </row>
    <row r="24412" spans="1:6" ht="15.75" customHeight="1">
      <c r="A24412" s="15" t="s">
        <v>22534</v>
      </c>
      <c r="B24412" s="15" t="s">
        <v>22534</v>
      </c>
      <c r="C24412" s="15" t="s">
        <v>22070</v>
      </c>
      <c r="D24412" s="15" t="s">
        <v>22115</v>
      </c>
      <c r="E24412" s="2">
        <v>547875</v>
      </c>
      <c r="F24412" s="4" t="e">
        <f>IF(B24412=#REF!,"",B24412)</f>
        <v>#REF!</v>
      </c>
    </row>
    <row r="24413" spans="1:6" ht="15.75" customHeight="1">
      <c r="A24413" s="15" t="s">
        <v>19483</v>
      </c>
      <c r="B24413" s="15" t="s">
        <v>19483</v>
      </c>
      <c r="C24413" s="15" t="s">
        <v>19294</v>
      </c>
      <c r="D24413" s="15" t="s">
        <v>19351</v>
      </c>
      <c r="E24413" s="2">
        <v>2334306</v>
      </c>
      <c r="F24413" s="4" t="e">
        <f>IF(B24413=#REF!,"",B24413)</f>
        <v>#REF!</v>
      </c>
    </row>
    <row r="24414" spans="1:6" ht="15.75" customHeight="1">
      <c r="A24414" s="15" t="s">
        <v>25649</v>
      </c>
      <c r="B24414" s="15" t="s">
        <v>25649</v>
      </c>
      <c r="C24414" s="15" t="s">
        <v>25560</v>
      </c>
      <c r="D24414" s="15" t="s">
        <v>25589</v>
      </c>
      <c r="E24414" s="2">
        <v>156627</v>
      </c>
      <c r="F24414" s="4" t="e">
        <f>IF(B24414=#REF!,"",B24414)</f>
        <v>#REF!</v>
      </c>
    </row>
    <row r="24415" spans="1:6" ht="15.75" customHeight="1">
      <c r="A24415" s="16" t="s">
        <v>27008</v>
      </c>
      <c r="B24415" s="15" t="s">
        <v>27008</v>
      </c>
      <c r="C24415" s="16" t="s">
        <v>26870</v>
      </c>
      <c r="D24415" s="16" t="s">
        <v>26893</v>
      </c>
      <c r="E24415" s="2">
        <v>704608</v>
      </c>
      <c r="F24415" s="4" t="e">
        <f>IF(B24415=#REF!,"",B24415)</f>
        <v>#REF!</v>
      </c>
    </row>
    <row r="24416" spans="1:6" ht="15.75" customHeight="1">
      <c r="A24416" s="15" t="s">
        <v>27006</v>
      </c>
      <c r="B24416" s="15" t="s">
        <v>27006</v>
      </c>
      <c r="C24416" s="15" t="s">
        <v>26870</v>
      </c>
      <c r="D24416" s="15" t="s">
        <v>27007</v>
      </c>
      <c r="E24416" s="2">
        <v>705730</v>
      </c>
      <c r="F24416" s="4" t="e">
        <f>IF(B24416=#REF!,"",B24416)</f>
        <v>#REF!</v>
      </c>
    </row>
    <row r="24417" spans="1:6" ht="15.75" customHeight="1">
      <c r="A24417" s="15" t="s">
        <v>8685</v>
      </c>
      <c r="B24417" s="15" t="s">
        <v>8685</v>
      </c>
      <c r="C24417" s="15" t="s">
        <v>8028</v>
      </c>
      <c r="D24417" s="15" t="s">
        <v>8044</v>
      </c>
      <c r="E24417" s="2">
        <v>2890158</v>
      </c>
      <c r="F24417" s="4" t="e">
        <f>IF(B24417=#REF!,"",B24417)</f>
        <v>#REF!</v>
      </c>
    </row>
    <row r="24418" spans="1:6" ht="15.75" customHeight="1">
      <c r="A24418" s="15" t="s">
        <v>31053</v>
      </c>
      <c r="B24418" s="15" t="s">
        <v>31053</v>
      </c>
      <c r="C24418" s="15" t="s">
        <v>31038</v>
      </c>
      <c r="D24418" s="15" t="s">
        <v>31039</v>
      </c>
      <c r="E24418" s="2">
        <v>911148</v>
      </c>
      <c r="F24418" s="4" t="e">
        <f>IF(B24418=#REF!,"",B24418)</f>
        <v>#REF!</v>
      </c>
    </row>
    <row r="24419" spans="1:6" ht="15.75" customHeight="1">
      <c r="A24419" s="15" t="s">
        <v>16808</v>
      </c>
      <c r="B24419" s="15" t="s">
        <v>16808</v>
      </c>
      <c r="C24419" s="15" t="s">
        <v>16781</v>
      </c>
      <c r="D24419" s="15" t="s">
        <v>16808</v>
      </c>
      <c r="E24419" s="2">
        <v>191038</v>
      </c>
      <c r="F24419" s="4" t="e">
        <f>IF(B24419=#REF!,"",B24419)</f>
        <v>#REF!</v>
      </c>
    </row>
    <row r="24420" spans="1:6" ht="15.75" customHeight="1">
      <c r="A24420" s="15" t="s">
        <v>16146</v>
      </c>
      <c r="B24420" s="15" t="s">
        <v>16146</v>
      </c>
      <c r="C24420" s="15" t="s">
        <v>15704</v>
      </c>
      <c r="D24420" s="15" t="s">
        <v>15758</v>
      </c>
      <c r="E24420" s="2">
        <v>1859234</v>
      </c>
      <c r="F24420" s="4" t="e">
        <f>IF(B24420=#REF!,"",B24420)</f>
        <v>#REF!</v>
      </c>
    </row>
    <row r="24421" spans="1:6" ht="15.75" customHeight="1">
      <c r="A24421" s="15" t="s">
        <v>30560</v>
      </c>
      <c r="B24421" s="15" t="s">
        <v>30560</v>
      </c>
      <c r="C24421" s="15" t="s">
        <v>30502</v>
      </c>
      <c r="D24421" s="15" t="s">
        <v>30515</v>
      </c>
      <c r="E24421" s="2">
        <v>1216787</v>
      </c>
      <c r="F24421" s="4" t="e">
        <f>IF(B24421=#REF!,"",B24421)</f>
        <v>#REF!</v>
      </c>
    </row>
    <row r="24422" spans="1:6" ht="15.75" customHeight="1">
      <c r="A24422" s="15" t="s">
        <v>11986</v>
      </c>
      <c r="B24422" s="15" t="s">
        <v>11986</v>
      </c>
      <c r="C24422" s="15" t="s">
        <v>10178</v>
      </c>
      <c r="D24422" s="15" t="s">
        <v>10193</v>
      </c>
      <c r="E24422" s="2">
        <v>1266461</v>
      </c>
      <c r="F24422" s="4" t="e">
        <f>IF(B24422=#REF!,"",B24422)</f>
        <v>#REF!</v>
      </c>
    </row>
    <row r="24423" spans="1:6" ht="15.75" customHeight="1">
      <c r="A24423" s="15" t="s">
        <v>26842</v>
      </c>
      <c r="B24423" s="15" t="s">
        <v>26842</v>
      </c>
      <c r="C24423" s="15" t="s">
        <v>26820</v>
      </c>
      <c r="D24423" s="15" t="s">
        <v>17416</v>
      </c>
      <c r="E24423" s="2">
        <v>230893</v>
      </c>
      <c r="F24423" s="4" t="e">
        <f>IF(B24423=#REF!,"",B24423)</f>
        <v>#REF!</v>
      </c>
    </row>
    <row r="24424" spans="1:6" ht="15.75" customHeight="1">
      <c r="A24424" s="15" t="s">
        <v>4074</v>
      </c>
      <c r="B24424" s="15" t="s">
        <v>4074</v>
      </c>
      <c r="C24424" s="15" t="s">
        <v>3975</v>
      </c>
      <c r="D24424" s="15" t="s">
        <v>3980</v>
      </c>
      <c r="E24424" s="2">
        <v>5992996</v>
      </c>
      <c r="F24424" s="4" t="e">
        <f>IF(B24424=#REF!,"",B24424)</f>
        <v>#REF!</v>
      </c>
    </row>
    <row r="24425" spans="1:6" ht="15.75" customHeight="1">
      <c r="A24425" s="15" t="s">
        <v>16145</v>
      </c>
      <c r="B24425" s="15" t="s">
        <v>16145</v>
      </c>
      <c r="C24425" s="15" t="s">
        <v>15704</v>
      </c>
      <c r="D24425" s="15" t="s">
        <v>15705</v>
      </c>
      <c r="E24425" s="2">
        <v>2129537</v>
      </c>
      <c r="F24425" s="4" t="e">
        <f>IF(B24425=#REF!,"",B24425)</f>
        <v>#REF!</v>
      </c>
    </row>
    <row r="24426" spans="1:6" ht="15.75" customHeight="1">
      <c r="A24426" s="15" t="s">
        <v>25647</v>
      </c>
      <c r="B24426" s="15" t="s">
        <v>25647</v>
      </c>
      <c r="C24426" s="15" t="s">
        <v>25560</v>
      </c>
      <c r="D24426" s="15" t="s">
        <v>25648</v>
      </c>
      <c r="E24426" s="2">
        <v>878367</v>
      </c>
      <c r="F24426" s="4" t="e">
        <f>IF(B24426=#REF!,"",B24426)</f>
        <v>#REF!</v>
      </c>
    </row>
    <row r="24427" spans="1:6" ht="15.75" customHeight="1">
      <c r="A24427" s="15" t="s">
        <v>16806</v>
      </c>
      <c r="B24427" s="15" t="s">
        <v>16806</v>
      </c>
      <c r="C24427" s="15" t="s">
        <v>16781</v>
      </c>
      <c r="D24427" s="15" t="s">
        <v>16807</v>
      </c>
      <c r="E24427" s="2">
        <v>191220</v>
      </c>
      <c r="F24427" s="4" t="e">
        <f>IF(B24427=#REF!,"",B24427)</f>
        <v>#REF!</v>
      </c>
    </row>
    <row r="24428" spans="1:6" ht="15.75" customHeight="1">
      <c r="A24428" s="16" t="s">
        <v>16144</v>
      </c>
      <c r="B24428" s="15" t="s">
        <v>16144</v>
      </c>
      <c r="C24428" s="16" t="s">
        <v>15704</v>
      </c>
      <c r="D24428" s="16" t="s">
        <v>15722</v>
      </c>
      <c r="E24428" s="2">
        <v>1859307</v>
      </c>
      <c r="F24428" s="4" t="e">
        <f>IF(B24428=#REF!,"",B24428)</f>
        <v>#REF!</v>
      </c>
    </row>
    <row r="24429" spans="1:6" ht="15.75" customHeight="1">
      <c r="A24429" s="15" t="s">
        <v>16143</v>
      </c>
      <c r="B24429" s="15" t="s">
        <v>16143</v>
      </c>
      <c r="C24429" s="15" t="s">
        <v>15704</v>
      </c>
      <c r="D24429" s="15" t="s">
        <v>15884</v>
      </c>
      <c r="E24429" s="2">
        <v>1859319</v>
      </c>
      <c r="F24429" s="4" t="e">
        <f>IF(B24429=#REF!,"",B24429)</f>
        <v>#REF!</v>
      </c>
    </row>
    <row r="24430" spans="1:6" ht="15.75" customHeight="1">
      <c r="A24430" s="15" t="s">
        <v>16142</v>
      </c>
      <c r="B24430" s="15" t="s">
        <v>16142</v>
      </c>
      <c r="C24430" s="15" t="s">
        <v>15704</v>
      </c>
      <c r="D24430" s="15" t="s">
        <v>15745</v>
      </c>
      <c r="E24430" s="2">
        <v>2112227</v>
      </c>
      <c r="F24430" s="4" t="e">
        <f>IF(B24430=#REF!,"",B24430)</f>
        <v>#REF!</v>
      </c>
    </row>
    <row r="24431" spans="1:6" ht="15.75" customHeight="1">
      <c r="A24431" s="16" t="s">
        <v>16141</v>
      </c>
      <c r="B24431" s="15" t="s">
        <v>16141</v>
      </c>
      <c r="C24431" s="16" t="s">
        <v>15704</v>
      </c>
      <c r="D24431" s="16" t="s">
        <v>15724</v>
      </c>
      <c r="E24431" s="2">
        <v>2112232</v>
      </c>
      <c r="F24431" s="4" t="e">
        <f>IF(B24431=#REF!,"",B24431)</f>
        <v>#REF!</v>
      </c>
    </row>
    <row r="24432" spans="1:6" ht="15.75" customHeight="1">
      <c r="A24432" s="16" t="s">
        <v>16140</v>
      </c>
      <c r="B24432" s="15" t="s">
        <v>16140</v>
      </c>
      <c r="C24432" s="16" t="s">
        <v>15704</v>
      </c>
      <c r="D24432" s="16" t="s">
        <v>15705</v>
      </c>
      <c r="E24432" s="2">
        <v>2130054</v>
      </c>
      <c r="F24432" s="4" t="e">
        <f>IF(B24432=#REF!,"",B24432)</f>
        <v>#REF!</v>
      </c>
    </row>
    <row r="24433" spans="1:6" ht="15.75" customHeight="1">
      <c r="A24433" s="15" t="s">
        <v>16139</v>
      </c>
      <c r="B24433" s="15" t="s">
        <v>16139</v>
      </c>
      <c r="C24433" s="15" t="s">
        <v>15704</v>
      </c>
      <c r="D24433" s="15" t="s">
        <v>15779</v>
      </c>
      <c r="E24433" s="2">
        <v>1859335</v>
      </c>
      <c r="F24433" s="4" t="str">
        <f>IF(B24433=B24432,"",B24433)</f>
        <v>Kitahama</v>
      </c>
    </row>
    <row r="24434" spans="1:6" ht="15.75" customHeight="1">
      <c r="A24434" s="16" t="str">
        <f ca="1">IFERROR(__xludf.DUMMYFUNCTION("GOOGLETRANSLATE(B31255,""en"",""pt"")"),"Kisvárda")</f>
        <v>Kisvárda</v>
      </c>
      <c r="B24434" s="20" t="s">
        <v>32837</v>
      </c>
      <c r="C24434" s="20" t="s">
        <v>9955</v>
      </c>
      <c r="D24434" s="20" t="s">
        <v>32832</v>
      </c>
      <c r="E24434" s="10">
        <v>718739</v>
      </c>
      <c r="F24434" s="4" t="str">
        <f>IF(B24434=B24433,"",B24434)</f>
        <v>Kisvárda</v>
      </c>
    </row>
    <row r="24435" spans="1:6" ht="15.75" customHeight="1">
      <c r="A24435" s="15" t="s">
        <v>10087</v>
      </c>
      <c r="B24435" s="15" t="s">
        <v>10088</v>
      </c>
      <c r="C24435" s="15" t="s">
        <v>9955</v>
      </c>
      <c r="D24435" s="15" t="s">
        <v>10089</v>
      </c>
      <c r="E24435" s="2">
        <v>718739</v>
      </c>
      <c r="F24435" s="4" t="e">
        <f>IF(B24435=#REF!,"",B24435)</f>
        <v>#REF!</v>
      </c>
    </row>
    <row r="24436" spans="1:6" ht="15.75" customHeight="1">
      <c r="A24436" s="15" t="s">
        <v>16805</v>
      </c>
      <c r="B24436" s="15" t="s">
        <v>16805</v>
      </c>
      <c r="C24436" s="15" t="s">
        <v>16781</v>
      </c>
      <c r="D24436" s="15" t="s">
        <v>16805</v>
      </c>
      <c r="E24436" s="2">
        <v>191245</v>
      </c>
      <c r="F24436" s="4" t="e">
        <f>IF(B24436=#REF!,"",B24436)</f>
        <v>#REF!</v>
      </c>
    </row>
    <row r="24437" spans="1:6" ht="15.75" customHeight="1">
      <c r="A24437" s="16" t="s">
        <v>29038</v>
      </c>
      <c r="B24437" s="15" t="s">
        <v>29038</v>
      </c>
      <c r="C24437" s="16" t="s">
        <v>27788</v>
      </c>
      <c r="D24437" s="16" t="s">
        <v>5468</v>
      </c>
      <c r="E24437" s="2">
        <v>4160983</v>
      </c>
      <c r="F24437" s="4" t="e">
        <f>IF(B24437=#REF!,"",B24437)</f>
        <v>#REF!</v>
      </c>
    </row>
    <row r="24438" spans="1:6" ht="15.75" customHeight="1">
      <c r="A24438" s="16" t="s">
        <v>9837</v>
      </c>
      <c r="B24438" s="15" t="s">
        <v>9837</v>
      </c>
      <c r="C24438" s="16" t="s">
        <v>9826</v>
      </c>
      <c r="D24438" s="16" t="s">
        <v>9838</v>
      </c>
      <c r="E24438" s="2">
        <v>2419472</v>
      </c>
      <c r="F24438" s="4" t="e">
        <f>IF(B24438=#REF!,"",B24438)</f>
        <v>#REF!</v>
      </c>
    </row>
    <row r="24439" spans="1:6" ht="15.75" customHeight="1">
      <c r="A24439" s="15" t="s">
        <v>23831</v>
      </c>
      <c r="B24439" s="15" t="s">
        <v>23831</v>
      </c>
      <c r="C24439" s="15" t="s">
        <v>23800</v>
      </c>
      <c r="D24439" s="15" t="s">
        <v>23826</v>
      </c>
      <c r="E24439" s="2">
        <v>55671</v>
      </c>
      <c r="F24439" s="4" t="e">
        <f>IF(B24439=#REF!,"",B24439)</f>
        <v>#REF!</v>
      </c>
    </row>
    <row r="24440" spans="1:6" ht="15.75" customHeight="1">
      <c r="A24440" s="16" t="s">
        <v>22533</v>
      </c>
      <c r="B24440" s="15" t="s">
        <v>22533</v>
      </c>
      <c r="C24440" s="16" t="s">
        <v>22070</v>
      </c>
      <c r="D24440" s="16" t="s">
        <v>22117</v>
      </c>
      <c r="E24440" s="2">
        <v>548114</v>
      </c>
      <c r="F24440" s="4" t="e">
        <f>IF(B24440=#REF!,"",B24440)</f>
        <v>#REF!</v>
      </c>
    </row>
    <row r="24441" spans="1:6" ht="15.75" customHeight="1">
      <c r="A24441" s="16" t="s">
        <v>10086</v>
      </c>
      <c r="B24441" s="15" t="s">
        <v>10086</v>
      </c>
      <c r="C24441" s="16" t="s">
        <v>9955</v>
      </c>
      <c r="D24441" s="16" t="s">
        <v>9970</v>
      </c>
      <c r="E24441" s="2">
        <v>3049880</v>
      </c>
      <c r="F24441" s="4" t="str">
        <f>IF(B24441=B24440,"",B24441)</f>
        <v>Kiskunhalas</v>
      </c>
    </row>
    <row r="24442" spans="1:6" ht="15.75" customHeight="1">
      <c r="A24442" s="16" t="str">
        <f ca="1">IFERROR(__xludf.DUMMYFUNCTION("GOOGLETRANSLATE(B31303,""en"",""pt"")"),"Kiskunfelegyháza")</f>
        <v>Kiskunfelegyháza</v>
      </c>
      <c r="B24442" s="20" t="s">
        <v>32873</v>
      </c>
      <c r="C24442" s="20" t="s">
        <v>9955</v>
      </c>
      <c r="D24442" s="20" t="s">
        <v>32872</v>
      </c>
      <c r="E24442" s="10">
        <v>3049885</v>
      </c>
      <c r="F24442" s="4" t="str">
        <f>IF(B24442=B24441,"",B24442)</f>
        <v>Kiskunfélegyháza</v>
      </c>
    </row>
    <row r="24443" spans="1:6" ht="15.75" customHeight="1">
      <c r="A24443" s="16" t="s">
        <v>10084</v>
      </c>
      <c r="B24443" s="15" t="s">
        <v>10085</v>
      </c>
      <c r="C24443" s="16" t="s">
        <v>9955</v>
      </c>
      <c r="D24443" s="16" t="s">
        <v>9970</v>
      </c>
      <c r="E24443" s="2">
        <v>3049885</v>
      </c>
      <c r="F24443" s="4" t="str">
        <f>IF(B24443=B24442,"",B24443)</f>
        <v>KiskunfÃ©legyhÃ¡za</v>
      </c>
    </row>
    <row r="24444" spans="1:6" ht="15.75" customHeight="1">
      <c r="A24444" s="16" t="str">
        <f ca="1">IFERROR(__xludf.DUMMYFUNCTION("GOOGLETRANSLATE(B31304,""en"",""pt"")"),"Kiskőrös")</f>
        <v>Kiskőrös</v>
      </c>
      <c r="B24444" s="20" t="s">
        <v>32874</v>
      </c>
      <c r="C24444" s="20" t="s">
        <v>9955</v>
      </c>
      <c r="D24444" s="20" t="s">
        <v>32872</v>
      </c>
      <c r="E24444" s="10">
        <v>3049896</v>
      </c>
      <c r="F24444" s="4" t="str">
        <f>IF(B24444=B24443,"",B24444)</f>
        <v>Kiskőrös</v>
      </c>
    </row>
    <row r="24445" spans="1:6" ht="15.75" customHeight="1">
      <c r="A24445" s="15" t="s">
        <v>10082</v>
      </c>
      <c r="B24445" s="15" t="s">
        <v>10083</v>
      </c>
      <c r="C24445" s="15" t="s">
        <v>9955</v>
      </c>
      <c r="D24445" s="15" t="s">
        <v>9970</v>
      </c>
      <c r="E24445" s="2">
        <v>3049896</v>
      </c>
      <c r="F24445" s="4" t="e">
        <f>IF(B24445=#REF!,"",B24445)</f>
        <v>#REF!</v>
      </c>
    </row>
    <row r="24446" spans="1:6" ht="15.75" customHeight="1">
      <c r="A24446" s="15" t="s">
        <v>16804</v>
      </c>
      <c r="B24446" s="15" t="s">
        <v>16804</v>
      </c>
      <c r="C24446" s="15" t="s">
        <v>16781</v>
      </c>
      <c r="D24446" s="15" t="s">
        <v>16804</v>
      </c>
      <c r="E24446" s="2">
        <v>191299</v>
      </c>
      <c r="F24446" s="4" t="e">
        <f>IF(B24446=#REF!,"",B24446)</f>
        <v>#REF!</v>
      </c>
    </row>
    <row r="24447" spans="1:6" ht="15.75" customHeight="1">
      <c r="A24447" s="15" t="s">
        <v>19482</v>
      </c>
      <c r="B24447" s="15" t="s">
        <v>19482</v>
      </c>
      <c r="C24447" s="15" t="s">
        <v>19294</v>
      </c>
      <c r="D24447" s="15" t="s">
        <v>19398</v>
      </c>
      <c r="E24447" s="2">
        <v>2334327</v>
      </c>
      <c r="F24447" s="4" t="str">
        <f>IF(B24447=B24446,"",B24447)</f>
        <v>Kisi</v>
      </c>
    </row>
    <row r="24448" spans="1:6" ht="15.75" customHeight="1">
      <c r="A24448" s="16" t="str">
        <f ca="1">IFERROR(__xludf.DUMMYFUNCTION("GOOGLETRANSLATE(B33036,""en"",""pt"")"),"Kishtwār")</f>
        <v>Kishtwār</v>
      </c>
      <c r="B24448" s="20" t="s">
        <v>33506</v>
      </c>
      <c r="C24448" s="20" t="s">
        <v>10178</v>
      </c>
      <c r="D24448" s="20" t="s">
        <v>10355</v>
      </c>
      <c r="E24448" s="10">
        <v>1266475</v>
      </c>
      <c r="F24448" s="4" t="str">
        <f>IF(B24448=B24447,"",B24448)</f>
        <v>Kishtwār</v>
      </c>
    </row>
    <row r="24449" spans="1:6" ht="15.75" customHeight="1">
      <c r="A24449" s="15" t="s">
        <v>11984</v>
      </c>
      <c r="B24449" s="15" t="s">
        <v>11985</v>
      </c>
      <c r="C24449" s="15" t="s">
        <v>10178</v>
      </c>
      <c r="D24449" s="15" t="s">
        <v>10355</v>
      </c>
      <c r="E24449" s="2">
        <v>1266475</v>
      </c>
      <c r="F24449" s="4" t="e">
        <f>IF(B24449=#REF!,"",B24449)</f>
        <v>#REF!</v>
      </c>
    </row>
    <row r="24450" spans="1:6" ht="15.75" customHeight="1">
      <c r="A24450" s="16" t="s">
        <v>1363</v>
      </c>
      <c r="B24450" s="15" t="s">
        <v>1363</v>
      </c>
      <c r="C24450" s="16" t="s">
        <v>1296</v>
      </c>
      <c r="D24450" s="16" t="s">
        <v>1297</v>
      </c>
      <c r="E24450" s="2">
        <v>1337249</v>
      </c>
      <c r="F24450" s="4" t="e">
        <f>IF(B24450=#REF!,"",B24450)</f>
        <v>#REF!</v>
      </c>
    </row>
    <row r="24451" spans="1:6" ht="15.75" customHeight="1">
      <c r="A24451" s="16" t="s">
        <v>16138</v>
      </c>
      <c r="B24451" s="15" t="s">
        <v>16138</v>
      </c>
      <c r="C24451" s="16" t="s">
        <v>15704</v>
      </c>
      <c r="D24451" s="16" t="s">
        <v>15853</v>
      </c>
      <c r="E24451" s="2">
        <v>1859383</v>
      </c>
      <c r="F24451" s="4" t="e">
        <f>IF(B24451=#REF!,"",B24451)</f>
        <v>#REF!</v>
      </c>
    </row>
    <row r="24452" spans="1:6" ht="15.75" customHeight="1">
      <c r="A24452" s="15" t="s">
        <v>25646</v>
      </c>
      <c r="B24452" s="15" t="s">
        <v>25646</v>
      </c>
      <c r="C24452" s="15" t="s">
        <v>25560</v>
      </c>
      <c r="D24452" s="15" t="s">
        <v>25615</v>
      </c>
      <c r="E24452" s="2">
        <v>156963</v>
      </c>
      <c r="F24452" s="4" t="e">
        <f>IF(B24452=#REF!,"",B24452)</f>
        <v>#REF!</v>
      </c>
    </row>
    <row r="24453" spans="1:6" ht="15.75" customHeight="1">
      <c r="A24453" s="16" t="s">
        <v>11983</v>
      </c>
      <c r="B24453" s="15" t="s">
        <v>11983</v>
      </c>
      <c r="C24453" s="16" t="s">
        <v>10178</v>
      </c>
      <c r="D24453" s="16" t="s">
        <v>10179</v>
      </c>
      <c r="E24453" s="2">
        <v>1266486</v>
      </c>
      <c r="F24453" s="4" t="e">
        <f>IF(B24453=#REF!,"",B24453)</f>
        <v>#REF!</v>
      </c>
    </row>
    <row r="24454" spans="1:6" ht="15.75" customHeight="1">
      <c r="A24454" s="16" t="s">
        <v>11982</v>
      </c>
      <c r="B24454" s="15" t="s">
        <v>11982</v>
      </c>
      <c r="C24454" s="16" t="s">
        <v>10178</v>
      </c>
      <c r="D24454" s="16" t="s">
        <v>10317</v>
      </c>
      <c r="E24454" s="2">
        <v>1266489</v>
      </c>
      <c r="F24454" s="4" t="str">
        <f>IF(B24454=B24453,"",B24454)</f>
        <v>Kishanganj</v>
      </c>
    </row>
    <row r="24455" spans="1:6" ht="15.75" customHeight="1">
      <c r="A24455" s="16" t="str">
        <f ca="1">IFERROR(__xludf.DUMMYFUNCTION("GOOGLETRANSLATE(B34424,""en"",""pt"")"),"Kīsh")</f>
        <v>Kīsh</v>
      </c>
      <c r="B24455" s="20" t="s">
        <v>34183</v>
      </c>
      <c r="C24455" s="20" t="s">
        <v>14240</v>
      </c>
      <c r="D24455" s="20" t="s">
        <v>14320</v>
      </c>
      <c r="E24455" s="10">
        <v>126914</v>
      </c>
      <c r="F24455" s="4" t="e">
        <f>IF(B24455=#REF!,"",B24455)</f>
        <v>#REF!</v>
      </c>
    </row>
    <row r="24456" spans="1:6" ht="15.75" customHeight="1">
      <c r="A24456" s="15" t="s">
        <v>25644</v>
      </c>
      <c r="B24456" s="15" t="s">
        <v>25645</v>
      </c>
      <c r="C24456" s="15" t="s">
        <v>25560</v>
      </c>
      <c r="D24456" s="15" t="s">
        <v>25566</v>
      </c>
      <c r="E24456" s="2">
        <v>156974</v>
      </c>
      <c r="F24456" s="4" t="str">
        <f>IF(B24456=B24455,"",B24456)</f>
        <v>Kisesa</v>
      </c>
    </row>
    <row r="24457" spans="1:6" ht="15.75" customHeight="1">
      <c r="A24457" s="16" t="str">
        <f ca="1">IFERROR(__xludf.DUMMYFUNCTION("GOOGLETRANSLATE(B40822,""en"",""pt"")"),"Kiselëvsk")</f>
        <v>Kiselëvsk</v>
      </c>
      <c r="B24457" s="20" t="s">
        <v>35543</v>
      </c>
      <c r="C24457" s="20" t="s">
        <v>22070</v>
      </c>
      <c r="D24457" s="20" t="s">
        <v>22140</v>
      </c>
      <c r="E24457" s="10">
        <v>1503277</v>
      </c>
      <c r="F24457" s="4" t="str">
        <f>IF(B24457=B24456,"",B24457)</f>
        <v>Kiselëvsk</v>
      </c>
    </row>
    <row r="24458" spans="1:6" ht="15.75" customHeight="1">
      <c r="A24458" s="15" t="s">
        <v>22531</v>
      </c>
      <c r="B24458" s="15" t="s">
        <v>22532</v>
      </c>
      <c r="C24458" s="15" t="s">
        <v>22070</v>
      </c>
      <c r="D24458" s="15" t="s">
        <v>22140</v>
      </c>
      <c r="E24458" s="2">
        <v>1503277</v>
      </c>
      <c r="F24458" s="4" t="e">
        <f>IF(B24458=#REF!,"",B24458)</f>
        <v>#REF!</v>
      </c>
    </row>
    <row r="24459" spans="1:6" ht="15.75" customHeight="1">
      <c r="A24459" s="16" t="s">
        <v>17272</v>
      </c>
      <c r="B24459" s="15" t="s">
        <v>17272</v>
      </c>
      <c r="C24459" s="16" t="s">
        <v>17221</v>
      </c>
      <c r="D24459" s="16" t="s">
        <v>17272</v>
      </c>
      <c r="E24459" s="2">
        <v>863675</v>
      </c>
      <c r="F24459" s="4" t="e">
        <f>IF(B24459=#REF!,"",B24459)</f>
        <v>#REF!</v>
      </c>
    </row>
    <row r="24460" spans="1:6" ht="15.75" customHeight="1">
      <c r="A24460" s="16" t="s">
        <v>16136</v>
      </c>
      <c r="B24460" s="15" t="s">
        <v>16137</v>
      </c>
      <c r="C24460" s="16" t="s">
        <v>15704</v>
      </c>
      <c r="D24460" s="16" t="s">
        <v>15707</v>
      </c>
      <c r="E24460" s="2">
        <v>1859393</v>
      </c>
      <c r="F24460" s="4" t="e">
        <f>IF(B24460=#REF!,"",B24460)</f>
        <v>#REF!</v>
      </c>
    </row>
    <row r="24461" spans="1:6" ht="15.75" customHeight="1">
      <c r="A24461" s="15" t="s">
        <v>13978</v>
      </c>
      <c r="B24461" s="15" t="s">
        <v>13979</v>
      </c>
      <c r="C24461" s="15" t="s">
        <v>13800</v>
      </c>
      <c r="D24461" s="15" t="s">
        <v>13830</v>
      </c>
      <c r="E24461" s="2">
        <v>1214882</v>
      </c>
      <c r="F24461" s="4" t="e">
        <f>IF(B24461=#REF!,"",B24461)</f>
        <v>#REF!</v>
      </c>
    </row>
    <row r="24462" spans="1:6" ht="15.75" customHeight="1">
      <c r="A24462" s="15" t="s">
        <v>6174</v>
      </c>
      <c r="B24462" s="15" t="s">
        <v>6174</v>
      </c>
      <c r="C24462" s="15" t="s">
        <v>6127</v>
      </c>
      <c r="D24462" s="15" t="s">
        <v>6128</v>
      </c>
      <c r="E24462" s="2">
        <v>212730</v>
      </c>
      <c r="F24462" s="4" t="e">
        <f>IF(B24462=#REF!,"",B24462)</f>
        <v>#REF!</v>
      </c>
    </row>
    <row r="24463" spans="1:6" ht="15.75" customHeight="1">
      <c r="A24463" s="15" t="s">
        <v>16135</v>
      </c>
      <c r="B24463" s="15" t="s">
        <v>16135</v>
      </c>
      <c r="C24463" s="15" t="s">
        <v>15704</v>
      </c>
      <c r="D24463" s="15" t="s">
        <v>15710</v>
      </c>
      <c r="E24463" s="2">
        <v>1859400</v>
      </c>
      <c r="F24463" s="4" t="e">
        <f>IF(B24463=#REF!,"",B24463)</f>
        <v>#REF!</v>
      </c>
    </row>
    <row r="24464" spans="1:6" ht="15.75" customHeight="1">
      <c r="A24464" s="15" t="s">
        <v>22530</v>
      </c>
      <c r="B24464" s="15" t="s">
        <v>22530</v>
      </c>
      <c r="C24464" s="15" t="s">
        <v>22070</v>
      </c>
      <c r="D24464" s="15" t="s">
        <v>22113</v>
      </c>
      <c r="E24464" s="2">
        <v>548278</v>
      </c>
      <c r="F24464" s="4" t="str">
        <f>IF(B24464=B24463,"",B24464)</f>
        <v>Kirzhach</v>
      </c>
    </row>
    <row r="24465" spans="1:6" ht="15.75" customHeight="1">
      <c r="A24465" s="16" t="str">
        <f ca="1">IFERROR(__xludf.DUMMYFUNCTION("GOOGLETRANSLATE(B35496,""en"",""pt"")"),"Kiryū")</f>
        <v>Kiryū</v>
      </c>
      <c r="B24465" s="20" t="s">
        <v>34358</v>
      </c>
      <c r="C24465" s="20" t="s">
        <v>15704</v>
      </c>
      <c r="D24465" s="20" t="s">
        <v>15731</v>
      </c>
      <c r="E24465" s="10">
        <v>1859405</v>
      </c>
      <c r="F24465" s="4" t="e">
        <f>IF(B24465=#REF!,"",B24465)</f>
        <v>#REF!</v>
      </c>
    </row>
    <row r="24466" spans="1:6" ht="15.75" customHeight="1">
      <c r="A24466" s="16" t="s">
        <v>29037</v>
      </c>
      <c r="B24466" s="15" t="s">
        <v>29037</v>
      </c>
      <c r="C24466" s="16" t="s">
        <v>27788</v>
      </c>
      <c r="D24466" s="16" t="s">
        <v>27819</v>
      </c>
      <c r="E24466" s="2">
        <v>5123533</v>
      </c>
      <c r="F24466" s="4" t="str">
        <f>IF(B24466=B24465,"",B24466)</f>
        <v>Kiryas Joel</v>
      </c>
    </row>
    <row r="24467" spans="1:6" ht="15.75" customHeight="1">
      <c r="A24467" s="15" t="s">
        <v>16133</v>
      </c>
      <c r="B24467" s="15" t="s">
        <v>16134</v>
      </c>
      <c r="C24467" s="15" t="s">
        <v>15704</v>
      </c>
      <c r="D24467" s="15" t="s">
        <v>15731</v>
      </c>
      <c r="E24467" s="2">
        <v>1859405</v>
      </c>
      <c r="F24467" s="4" t="e">
        <f>IF(B24467=#REF!,"",B24467)</f>
        <v>#REF!</v>
      </c>
    </row>
    <row r="24468" spans="1:6" ht="15.75" customHeight="1">
      <c r="A24468" s="15" t="s">
        <v>25151</v>
      </c>
      <c r="B24468" s="15" t="s">
        <v>25151</v>
      </c>
      <c r="C24468" s="15" t="s">
        <v>25077</v>
      </c>
      <c r="D24468" s="15" t="s">
        <v>25098</v>
      </c>
      <c r="E24468" s="2">
        <v>605155</v>
      </c>
      <c r="F24468" s="4" t="e">
        <f>IF(B24468=#REF!,"",B24468)</f>
        <v>#REF!</v>
      </c>
    </row>
    <row r="24469" spans="1:6" ht="15.75" customHeight="1">
      <c r="A24469" s="15" t="s">
        <v>18842</v>
      </c>
      <c r="B24469" s="15" t="s">
        <v>18842</v>
      </c>
      <c r="C24469" s="15" t="s">
        <v>18800</v>
      </c>
      <c r="D24469" s="15" t="s">
        <v>17414</v>
      </c>
      <c r="E24469" s="2">
        <v>1283190</v>
      </c>
      <c r="F24469" s="4" t="str">
        <f>IF(B24469=B24468,"",B24469)</f>
        <v>Kirtipur</v>
      </c>
    </row>
    <row r="24470" spans="1:6" ht="15.75" customHeight="1">
      <c r="A24470" s="16" t="str">
        <f ca="1">IFERROR(__xludf.DUMMYFUNCTION("GOOGLETRANSLATE(B41960,""en"",""pt"")"),"Kırşehir")</f>
        <v>Kırşehir</v>
      </c>
      <c r="B24470" s="20" t="s">
        <v>35852</v>
      </c>
      <c r="C24470" s="20" t="s">
        <v>26201</v>
      </c>
      <c r="D24470" s="20" t="s">
        <v>35852</v>
      </c>
      <c r="E24470" s="10">
        <v>307515</v>
      </c>
      <c r="F24470" s="4" t="e">
        <f>IF(B24470=#REF!,"",B24470)</f>
        <v>#REF!</v>
      </c>
    </row>
    <row r="24471" spans="1:6" ht="15.75" customHeight="1">
      <c r="A24471" s="15" t="s">
        <v>22528</v>
      </c>
      <c r="B24471" s="15" t="s">
        <v>22528</v>
      </c>
      <c r="C24471" s="15" t="s">
        <v>22070</v>
      </c>
      <c r="D24471" s="15" t="s">
        <v>22529</v>
      </c>
      <c r="E24471" s="2">
        <v>548330</v>
      </c>
      <c r="F24471" s="4" t="e">
        <f>IF(B24471=#REF!,"",B24471)</f>
        <v>#REF!</v>
      </c>
    </row>
    <row r="24472" spans="1:6" ht="15.75" customHeight="1">
      <c r="A24472" s="15" t="s">
        <v>22527</v>
      </c>
      <c r="B24472" s="15" t="s">
        <v>22527</v>
      </c>
      <c r="C24472" s="15" t="s">
        <v>22070</v>
      </c>
      <c r="D24472" s="15" t="s">
        <v>22143</v>
      </c>
      <c r="E24472" s="2">
        <v>548391</v>
      </c>
      <c r="F24472" s="4" t="str">
        <f>IF(B24472=B24471,"",B24472)</f>
        <v>Kirovsk</v>
      </c>
    </row>
    <row r="24473" spans="1:6" ht="15.75" customHeight="1">
      <c r="A24473" s="15" t="s">
        <v>27004</v>
      </c>
      <c r="B24473" s="15" t="s">
        <v>27005</v>
      </c>
      <c r="C24473" s="15" t="s">
        <v>26870</v>
      </c>
      <c r="D24473" s="15" t="s">
        <v>26871</v>
      </c>
      <c r="E24473" s="2">
        <v>705809</v>
      </c>
      <c r="F24473" s="4" t="str">
        <f>IF(B24473=B24472,"",B24473)</f>
        <v>Kirovsâ€™k</v>
      </c>
    </row>
    <row r="24474" spans="1:6" ht="15.75" customHeight="1">
      <c r="A24474" s="16" t="str">
        <f ca="1">IFERROR(__xludf.DUMMYFUNCTION("GOOGLETRANSLATE(B42624,""en"",""pt"")"),"Kirovs'k")</f>
        <v>Kirovs'k</v>
      </c>
      <c r="B24474" s="20" t="s">
        <v>36028</v>
      </c>
      <c r="C24474" s="20" t="s">
        <v>26870</v>
      </c>
      <c r="D24474" s="20" t="s">
        <v>26871</v>
      </c>
      <c r="E24474" s="10">
        <v>705809</v>
      </c>
      <c r="F24474" s="4" t="e">
        <f>IF(B24474=#REF!,"",B24474)</f>
        <v>#REF!</v>
      </c>
    </row>
    <row r="24475" spans="1:6" ht="15.75" customHeight="1">
      <c r="A24475" s="16" t="s">
        <v>26949</v>
      </c>
      <c r="B24475" s="15" t="s">
        <v>26949</v>
      </c>
      <c r="C24475" s="16" t="s">
        <v>26870</v>
      </c>
      <c r="D24475" s="16" t="s">
        <v>26949</v>
      </c>
      <c r="E24475" s="2">
        <v>705812</v>
      </c>
      <c r="F24475" s="4" t="e">
        <f>IF(B24475=#REF!,"",B24475)</f>
        <v>#REF!</v>
      </c>
    </row>
    <row r="24476" spans="1:6" ht="15.75" customHeight="1">
      <c r="A24476" s="16" t="s">
        <v>22526</v>
      </c>
      <c r="B24476" s="15" t="s">
        <v>22526</v>
      </c>
      <c r="C24476" s="16" t="s">
        <v>22070</v>
      </c>
      <c r="D24476" s="16" t="s">
        <v>22524</v>
      </c>
      <c r="E24476" s="2">
        <v>548395</v>
      </c>
      <c r="F24476" s="4" t="e">
        <f>IF(B24476=#REF!,"",B24476)</f>
        <v>#REF!</v>
      </c>
    </row>
    <row r="24477" spans="1:6" ht="15.75" customHeight="1">
      <c r="A24477" s="15" t="s">
        <v>22525</v>
      </c>
      <c r="B24477" s="15" t="s">
        <v>22525</v>
      </c>
      <c r="C24477" s="15" t="s">
        <v>22070</v>
      </c>
      <c r="D24477" s="15" t="s">
        <v>22106</v>
      </c>
      <c r="E24477" s="2">
        <v>1503335</v>
      </c>
      <c r="F24477" s="4" t="e">
        <f>IF(B24477=#REF!,"",B24477)</f>
        <v>#REF!</v>
      </c>
    </row>
    <row r="24478" spans="1:6" ht="15.75" customHeight="1">
      <c r="A24478" s="15" t="s">
        <v>22524</v>
      </c>
      <c r="B24478" s="15" t="s">
        <v>22524</v>
      </c>
      <c r="C24478" s="15" t="s">
        <v>22070</v>
      </c>
      <c r="D24478" s="15" t="s">
        <v>22524</v>
      </c>
      <c r="E24478" s="2">
        <v>548408</v>
      </c>
      <c r="F24478" s="4" t="e">
        <f>IF(B24478=#REF!,"",B24478)</f>
        <v>#REF!</v>
      </c>
    </row>
    <row r="24479" spans="1:6" ht="15.75" customHeight="1">
      <c r="A24479" s="15" t="s">
        <v>29036</v>
      </c>
      <c r="B24479" s="15" t="s">
        <v>29036</v>
      </c>
      <c r="C24479" s="15" t="s">
        <v>27788</v>
      </c>
      <c r="D24479" s="15" t="s">
        <v>27806</v>
      </c>
      <c r="E24479" s="2">
        <v>4393739</v>
      </c>
      <c r="F24479" s="4" t="e">
        <f>IF(B24479=#REF!,"",B24479)</f>
        <v>#REF!</v>
      </c>
    </row>
    <row r="24480" spans="1:6" ht="15.75" customHeight="1">
      <c r="A24480" s="15" t="s">
        <v>14693</v>
      </c>
      <c r="B24480" s="15" t="s">
        <v>14693</v>
      </c>
      <c r="C24480" s="15" t="s">
        <v>14594</v>
      </c>
      <c r="D24480" s="15" t="s">
        <v>14694</v>
      </c>
      <c r="E24480" s="2">
        <v>94787</v>
      </c>
      <c r="F24480" s="4" t="e">
        <f>IF(B24480=#REF!,"",B24480)</f>
        <v>#REF!</v>
      </c>
    </row>
    <row r="24481" spans="1:6" ht="15.75" customHeight="1">
      <c r="A24481" s="15" t="s">
        <v>29035</v>
      </c>
      <c r="B24481" s="15" t="s">
        <v>29035</v>
      </c>
      <c r="C24481" s="15" t="s">
        <v>27788</v>
      </c>
      <c r="D24481" s="15" t="s">
        <v>27806</v>
      </c>
      <c r="E24481" s="2">
        <v>5055787</v>
      </c>
      <c r="F24481" s="4" t="str">
        <f>IF(B24481=B24480,"",B24481)</f>
        <v>Kirksville</v>
      </c>
    </row>
    <row r="24482" spans="1:6" ht="15.75" customHeight="1">
      <c r="A24482" s="16" t="str">
        <f ca="1">IFERROR(__xludf.DUMMYFUNCTION("GOOGLETRANSLATE(B42144,""en"",""pt"")"),"Kırklareli")</f>
        <v>Kırklareli</v>
      </c>
      <c r="B24482" s="20" t="s">
        <v>35931</v>
      </c>
      <c r="C24482" s="20" t="s">
        <v>26201</v>
      </c>
      <c r="D24482" s="20" t="s">
        <v>35931</v>
      </c>
      <c r="E24482" s="10">
        <v>743166</v>
      </c>
      <c r="F24482" s="4" t="e">
        <f>IF(B24482=#REF!,"",B24482)</f>
        <v>#REF!</v>
      </c>
    </row>
    <row r="24483" spans="1:6" ht="15.75" customHeight="1">
      <c r="A24483" s="15" t="s">
        <v>4073</v>
      </c>
      <c r="B24483" s="15" t="s">
        <v>4073</v>
      </c>
      <c r="C24483" s="15" t="s">
        <v>3975</v>
      </c>
      <c r="D24483" s="15" t="s">
        <v>3982</v>
      </c>
      <c r="E24483" s="2">
        <v>5992830</v>
      </c>
      <c r="F24483" s="4" t="e">
        <f>IF(B24483=#REF!,"",B24483)</f>
        <v>#REF!</v>
      </c>
    </row>
    <row r="24484" spans="1:6" ht="15.75" customHeight="1">
      <c r="A24484" s="16" t="s">
        <v>6992</v>
      </c>
      <c r="B24484" s="15" t="s">
        <v>6992</v>
      </c>
      <c r="C24484" s="16" t="s">
        <v>6948</v>
      </c>
      <c r="D24484" s="16" t="s">
        <v>6951</v>
      </c>
      <c r="E24484" s="2">
        <v>649630</v>
      </c>
      <c r="F24484" s="4" t="e">
        <f>IF(B24484=#REF!,"",B24484)</f>
        <v>#REF!</v>
      </c>
    </row>
    <row r="24485" spans="1:6" ht="15.75" customHeight="1">
      <c r="A24485" s="16" t="s">
        <v>27481</v>
      </c>
      <c r="B24485" s="15" t="s">
        <v>27481</v>
      </c>
      <c r="C24485" s="16" t="s">
        <v>27234</v>
      </c>
      <c r="D24485" s="16" t="s">
        <v>27237</v>
      </c>
      <c r="E24485" s="2">
        <v>2645261</v>
      </c>
      <c r="F24485" s="4" t="e">
        <f>IF(B24485=#REF!,"",B24485)</f>
        <v>#REF!</v>
      </c>
    </row>
    <row r="24486" spans="1:6" ht="15.75" customHeight="1">
      <c r="A24486" s="15" t="s">
        <v>27480</v>
      </c>
      <c r="B24486" s="15" t="s">
        <v>27480</v>
      </c>
      <c r="C24486" s="15" t="s">
        <v>27234</v>
      </c>
      <c r="D24486" s="15" t="s">
        <v>27237</v>
      </c>
      <c r="E24486" s="2">
        <v>2645298</v>
      </c>
      <c r="F24486" s="4" t="e">
        <f>IF(B24486=#REF!,"",B24486)</f>
        <v>#REF!</v>
      </c>
    </row>
    <row r="24487" spans="1:6" ht="15.75" customHeight="1">
      <c r="A24487" s="16" t="s">
        <v>27478</v>
      </c>
      <c r="B24487" s="15" t="s">
        <v>27479</v>
      </c>
      <c r="C24487" s="16" t="s">
        <v>27234</v>
      </c>
      <c r="D24487" s="16" t="s">
        <v>27241</v>
      </c>
      <c r="E24487" s="2">
        <v>2645309</v>
      </c>
      <c r="F24487" s="4" t="e">
        <f>IF(B24487=#REF!,"",B24487)</f>
        <v>#REF!</v>
      </c>
    </row>
    <row r="24488" spans="1:6" ht="15.75" customHeight="1">
      <c r="A24488" s="15" t="s">
        <v>27477</v>
      </c>
      <c r="B24488" s="15" t="s">
        <v>27477</v>
      </c>
      <c r="C24488" s="15" t="s">
        <v>27234</v>
      </c>
      <c r="D24488" s="15" t="s">
        <v>27241</v>
      </c>
      <c r="E24488" s="2">
        <v>2645313</v>
      </c>
      <c r="F24488" s="4" t="str">
        <f>IF(B24488=B24487,"",B24488)</f>
        <v>Kirkby</v>
      </c>
    </row>
    <row r="24489" spans="1:6" ht="15.75" customHeight="1">
      <c r="A24489" s="16" t="str">
        <f ca="1">IFERROR(__xludf.DUMMYFUNCTION("GOOGLETRANSLATE(B41961,""en"",""pt"")"),"Kırkağaç")</f>
        <v>Kırkağaç</v>
      </c>
      <c r="B24489" s="20" t="s">
        <v>35857</v>
      </c>
      <c r="C24489" s="20" t="s">
        <v>26201</v>
      </c>
      <c r="D24489" s="20" t="s">
        <v>26299</v>
      </c>
      <c r="E24489" s="10">
        <v>307623</v>
      </c>
      <c r="F24489" s="4" t="e">
        <f>IF(B24489=#REF!,"",B24489)</f>
        <v>#REF!</v>
      </c>
    </row>
    <row r="24490" spans="1:6" ht="15.75" customHeight="1">
      <c r="A24490" s="15" t="s">
        <v>22523</v>
      </c>
      <c r="B24490" s="15" t="s">
        <v>22523</v>
      </c>
      <c r="C24490" s="15" t="s">
        <v>22070</v>
      </c>
      <c r="D24490" s="15" t="s">
        <v>22094</v>
      </c>
      <c r="E24490" s="2">
        <v>548442</v>
      </c>
      <c r="F24490" s="4" t="str">
        <f>IF(B24490=B24489,"",B24490)</f>
        <v>Kirishi</v>
      </c>
    </row>
    <row r="24491" spans="1:6" ht="15.75" customHeight="1">
      <c r="A24491" s="16" t="str">
        <f ca="1">IFERROR(__xludf.DUMMYFUNCTION("GOOGLETRANSLATE(B41962,""en"",""pt"")"),"Kırıkkale")</f>
        <v>Kırıkkale</v>
      </c>
      <c r="B24491" s="20" t="s">
        <v>35858</v>
      </c>
      <c r="C24491" s="20" t="s">
        <v>26201</v>
      </c>
      <c r="D24491" s="20" t="s">
        <v>35858</v>
      </c>
      <c r="E24491" s="10">
        <v>307654</v>
      </c>
      <c r="F24491" s="4" t="str">
        <f>IF(B24491=B24490,"",B24491)</f>
        <v>Kırıkkale</v>
      </c>
    </row>
    <row r="24492" spans="1:6" ht="15.75" customHeight="1">
      <c r="A24492" s="16" t="str">
        <f ca="1">IFERROR(__xludf.DUMMYFUNCTION("GOOGLETRANSLATE(B41963,""en"",""pt"")"),"Kırıkhan")</f>
        <v>Kırıkhan</v>
      </c>
      <c r="B24492" s="20" t="s">
        <v>35859</v>
      </c>
      <c r="C24492" s="20" t="s">
        <v>26201</v>
      </c>
      <c r="D24492" s="20" t="s">
        <v>26318</v>
      </c>
      <c r="E24492" s="10">
        <v>307657</v>
      </c>
      <c r="F24492" s="4" t="e">
        <f>IF(B24492=#REF!,"",B24492)</f>
        <v>#REF!</v>
      </c>
    </row>
    <row r="24493" spans="1:6" ht="15.75" customHeight="1">
      <c r="A24493" s="15" t="s">
        <v>30559</v>
      </c>
      <c r="B24493" s="15" t="s">
        <v>30559</v>
      </c>
      <c r="C24493" s="15" t="s">
        <v>30502</v>
      </c>
      <c r="D24493" s="15" t="s">
        <v>30513</v>
      </c>
      <c r="E24493" s="2">
        <v>1513555</v>
      </c>
      <c r="F24493" s="4" t="e">
        <f>IF(B24493=#REF!,"",B24493)</f>
        <v>#REF!</v>
      </c>
    </row>
    <row r="24494" spans="1:6" ht="15.75" customHeight="1">
      <c r="A24494" s="15" t="s">
        <v>22522</v>
      </c>
      <c r="B24494" s="15" t="s">
        <v>22522</v>
      </c>
      <c r="C24494" s="15" t="s">
        <v>22070</v>
      </c>
      <c r="D24494" s="15" t="s">
        <v>22122</v>
      </c>
      <c r="E24494" s="2">
        <v>548506</v>
      </c>
      <c r="F24494" s="4" t="e">
        <f>IF(B24494=#REF!,"",B24494)</f>
        <v>#REF!</v>
      </c>
    </row>
    <row r="24495" spans="1:6" ht="15.75" customHeight="1">
      <c r="A24495" s="15" t="s">
        <v>26841</v>
      </c>
      <c r="B24495" s="15" t="s">
        <v>26841</v>
      </c>
      <c r="C24495" s="15" t="s">
        <v>26820</v>
      </c>
      <c r="D24495" s="15" t="s">
        <v>17414</v>
      </c>
      <c r="E24495" s="2">
        <v>231139</v>
      </c>
      <c r="F24495" s="4" t="e">
        <f>IF(B24495=#REF!,"",B24495)</f>
        <v>#REF!</v>
      </c>
    </row>
    <row r="24496" spans="1:6" ht="15.75" customHeight="1">
      <c r="A24496" s="16" t="s">
        <v>8684</v>
      </c>
      <c r="B24496" s="15" t="s">
        <v>8684</v>
      </c>
      <c r="C24496" s="16" t="s">
        <v>8028</v>
      </c>
      <c r="D24496" s="16" t="s">
        <v>8029</v>
      </c>
      <c r="E24496" s="2">
        <v>2890425</v>
      </c>
      <c r="F24496" s="4" t="e">
        <f>IF(B24496=#REF!,"",B24496)</f>
        <v>#REF!</v>
      </c>
    </row>
    <row r="24497" spans="1:6" ht="15.75" customHeight="1">
      <c r="A24497" s="16" t="s">
        <v>8682</v>
      </c>
      <c r="B24497" s="15" t="s">
        <v>8683</v>
      </c>
      <c r="C24497" s="16" t="s">
        <v>8028</v>
      </c>
      <c r="D24497" s="16" t="s">
        <v>8031</v>
      </c>
      <c r="E24497" s="2">
        <v>2890473</v>
      </c>
      <c r="F24497" s="4" t="e">
        <f>IF(B24497=#REF!,"",B24497)</f>
        <v>#REF!</v>
      </c>
    </row>
    <row r="24498" spans="1:6" ht="15.75" customHeight="1">
      <c r="A24498" s="15" t="s">
        <v>8681</v>
      </c>
      <c r="B24498" s="15" t="s">
        <v>8681</v>
      </c>
      <c r="C24498" s="15" t="s">
        <v>8028</v>
      </c>
      <c r="D24498" s="15" t="s">
        <v>8050</v>
      </c>
      <c r="E24498" s="2">
        <v>2890504</v>
      </c>
      <c r="F24498" s="4" t="e">
        <f>IF(B24498=#REF!,"",B24498)</f>
        <v>#REF!</v>
      </c>
    </row>
    <row r="24499" spans="1:6" ht="15.75" customHeight="1">
      <c r="A24499" s="15" t="s">
        <v>25643</v>
      </c>
      <c r="B24499" s="15" t="s">
        <v>25643</v>
      </c>
      <c r="C24499" s="15" t="s">
        <v>25560</v>
      </c>
      <c r="D24499" s="15" t="s">
        <v>25559</v>
      </c>
      <c r="E24499" s="2">
        <v>158324</v>
      </c>
      <c r="F24499" s="4" t="str">
        <f>IF(B24499=B24498,"",B24499)</f>
        <v>Kiratu</v>
      </c>
    </row>
    <row r="24500" spans="1:6" ht="15.75" customHeight="1">
      <c r="A24500" s="16" t="str">
        <f ca="1">IFERROR(__xludf.DUMMYFUNCTION("GOOGLETRANSLATE(B33039,""en"",""pt"")"),"Kīratpur")</f>
        <v>Kīratpur</v>
      </c>
      <c r="B24500" s="20" t="s">
        <v>33507</v>
      </c>
      <c r="C24500" s="20" t="s">
        <v>10178</v>
      </c>
      <c r="D24500" s="20" t="s">
        <v>10193</v>
      </c>
      <c r="E24500" s="10">
        <v>1266509</v>
      </c>
      <c r="F24500" s="4" t="e">
        <f>IF(B24500=#REF!,"",B24500)</f>
        <v>#REF!</v>
      </c>
    </row>
    <row r="24501" spans="1:6" ht="15.75" customHeight="1">
      <c r="A24501" s="15" t="s">
        <v>11981</v>
      </c>
      <c r="B24501" s="15" t="s">
        <v>11981</v>
      </c>
      <c r="C24501" s="15" t="s">
        <v>10178</v>
      </c>
      <c r="D24501" s="15" t="s">
        <v>10193</v>
      </c>
      <c r="E24501" s="2">
        <v>1266510</v>
      </c>
      <c r="F24501" s="4" t="e">
        <f>IF(B24501=#REF!,"",B24501)</f>
        <v>#REF!</v>
      </c>
    </row>
    <row r="24502" spans="1:6" ht="15.75" customHeight="1">
      <c r="A24502" s="15" t="s">
        <v>11980</v>
      </c>
      <c r="B24502" s="15" t="s">
        <v>11980</v>
      </c>
      <c r="C24502" s="15" t="s">
        <v>10178</v>
      </c>
      <c r="D24502" s="15" t="s">
        <v>10272</v>
      </c>
      <c r="E24502" s="2">
        <v>8581647</v>
      </c>
      <c r="F24502" s="4" t="e">
        <f>IF(B24502=#REF!,"",B24502)</f>
        <v>#REF!</v>
      </c>
    </row>
    <row r="24503" spans="1:6" ht="15.75" customHeight="1">
      <c r="A24503" s="15" t="s">
        <v>25642</v>
      </c>
      <c r="B24503" s="15" t="s">
        <v>25642</v>
      </c>
      <c r="C24503" s="15" t="s">
        <v>25560</v>
      </c>
      <c r="D24503" s="15" t="s">
        <v>25583</v>
      </c>
      <c r="E24503" s="2">
        <v>157107</v>
      </c>
      <c r="F24503" s="4" t="e">
        <f>IF(B24503=#REF!,"",B24503)</f>
        <v>#REF!</v>
      </c>
    </row>
    <row r="24504" spans="1:6" ht="15.75" customHeight="1">
      <c r="A24504" s="15" t="s">
        <v>6173</v>
      </c>
      <c r="B24504" s="15" t="s">
        <v>6173</v>
      </c>
      <c r="C24504" s="15" t="s">
        <v>6127</v>
      </c>
      <c r="D24504" s="15" t="s">
        <v>6138</v>
      </c>
      <c r="E24504" s="2">
        <v>922806</v>
      </c>
      <c r="F24504" s="4" t="e">
        <f>IF(B24504=#REF!,"",B24504)</f>
        <v>#REF!</v>
      </c>
    </row>
    <row r="24505" spans="1:6" ht="15.75" customHeight="1">
      <c r="A24505" s="15" t="s">
        <v>25641</v>
      </c>
      <c r="B24505" s="15" t="s">
        <v>25641</v>
      </c>
      <c r="C24505" s="15" t="s">
        <v>25560</v>
      </c>
      <c r="D24505" s="15" t="s">
        <v>25602</v>
      </c>
      <c r="E24505" s="2">
        <v>157198</v>
      </c>
      <c r="F24505" s="4" t="e">
        <f>IF(B24505=#REF!,"",B24505)</f>
        <v>#REF!</v>
      </c>
    </row>
    <row r="24506" spans="1:6" ht="15.75" customHeight="1">
      <c r="A24506" s="15" t="s">
        <v>24103</v>
      </c>
      <c r="B24506" s="15" t="s">
        <v>24103</v>
      </c>
      <c r="C24506" s="15" t="s">
        <v>24024</v>
      </c>
      <c r="D24506" s="15" t="s">
        <v>24033</v>
      </c>
      <c r="E24506" s="2">
        <v>1842153</v>
      </c>
      <c r="F24506" s="4" t="e">
        <f>IF(B24506=#REF!,"",B24506)</f>
        <v>#REF!</v>
      </c>
    </row>
    <row r="24507" spans="1:6" ht="15.75" customHeight="1">
      <c r="A24507" s="15" t="s">
        <v>11979</v>
      </c>
      <c r="B24507" s="15" t="s">
        <v>11979</v>
      </c>
      <c r="C24507" s="15" t="s">
        <v>10178</v>
      </c>
      <c r="D24507" s="15" t="s">
        <v>10214</v>
      </c>
      <c r="E24507" s="2">
        <v>1266518</v>
      </c>
      <c r="F24507" s="4" t="e">
        <f>IF(B24507=#REF!,"",B24507)</f>
        <v>#REF!</v>
      </c>
    </row>
    <row r="24508" spans="1:6" ht="15.75" customHeight="1">
      <c r="A24508" s="15" t="s">
        <v>9400</v>
      </c>
      <c r="B24508" s="15" t="s">
        <v>9400</v>
      </c>
      <c r="C24508" s="15" t="s">
        <v>9365</v>
      </c>
      <c r="D24508" s="15" t="s">
        <v>9383</v>
      </c>
      <c r="E24508" s="2">
        <v>2299625</v>
      </c>
      <c r="F24508" s="4" t="e">
        <f>IF(B24508=#REF!,"",B24508)</f>
        <v>#REF!</v>
      </c>
    </row>
    <row r="24509" spans="1:6" ht="15.75" customHeight="1">
      <c r="A24509" s="15" t="s">
        <v>29034</v>
      </c>
      <c r="B24509" s="15" t="s">
        <v>29034</v>
      </c>
      <c r="C24509" s="15" t="s">
        <v>27788</v>
      </c>
      <c r="D24509" s="15" t="s">
        <v>27822</v>
      </c>
      <c r="E24509" s="2">
        <v>4474436</v>
      </c>
      <c r="F24509" s="4" t="e">
        <f>IF(B24509=#REF!,"",B24509)</f>
        <v>#REF!</v>
      </c>
    </row>
    <row r="24510" spans="1:6" ht="15.75" customHeight="1">
      <c r="A24510" s="15" t="s">
        <v>6172</v>
      </c>
      <c r="B24510" s="15" t="s">
        <v>6172</v>
      </c>
      <c r="C24510" s="15" t="s">
        <v>6127</v>
      </c>
      <c r="D24510" s="15" t="s">
        <v>6172</v>
      </c>
      <c r="E24510" s="2">
        <v>2314302</v>
      </c>
      <c r="F24510" s="4" t="e">
        <f>IF(B24510=#REF!,"",B24510)</f>
        <v>#REF!</v>
      </c>
    </row>
    <row r="24511" spans="1:6" ht="15.75" customHeight="1">
      <c r="A24511" s="16" t="s">
        <v>27476</v>
      </c>
      <c r="B24511" s="15" t="s">
        <v>27476</v>
      </c>
      <c r="C24511" s="16" t="s">
        <v>27234</v>
      </c>
      <c r="D24511" s="16" t="s">
        <v>27241</v>
      </c>
      <c r="E24511" s="2">
        <v>2645418</v>
      </c>
      <c r="F24511" s="4" t="e">
        <f>IF(B24511=#REF!,"",B24511)</f>
        <v>#REF!</v>
      </c>
    </row>
    <row r="24512" spans="1:6" ht="15.75" customHeight="1">
      <c r="A24512" s="16" t="s">
        <v>27475</v>
      </c>
      <c r="B24512" s="15" t="s">
        <v>27475</v>
      </c>
      <c r="C24512" s="16" t="s">
        <v>27234</v>
      </c>
      <c r="D24512" s="16" t="s">
        <v>27241</v>
      </c>
      <c r="E24512" s="2">
        <v>2645420</v>
      </c>
      <c r="F24512" s="4" t="e">
        <f>IF(B24512=#REF!,"",B24512)</f>
        <v>#REF!</v>
      </c>
    </row>
    <row r="24513" spans="1:6" ht="15.75" customHeight="1">
      <c r="A24513" s="16" t="s">
        <v>23442</v>
      </c>
      <c r="B24513" s="15" t="s">
        <v>23442</v>
      </c>
      <c r="C24513" s="16" t="s">
        <v>23441</v>
      </c>
      <c r="D24513" s="16" t="s">
        <v>6301</v>
      </c>
      <c r="E24513" s="2">
        <v>3748726</v>
      </c>
      <c r="F24513" s="4" t="e">
        <f>IF(B24513=#REF!,"",B24513)</f>
        <v>#REF!</v>
      </c>
    </row>
    <row r="24514" spans="1:6" ht="15.75" customHeight="1">
      <c r="A24514" s="16" t="s">
        <v>23440</v>
      </c>
      <c r="B24514" s="15" t="s">
        <v>23440</v>
      </c>
      <c r="C24514" s="16" t="s">
        <v>23441</v>
      </c>
      <c r="D24514" s="16" t="s">
        <v>6301</v>
      </c>
      <c r="E24514" s="2">
        <v>3577887</v>
      </c>
      <c r="F24514" s="4" t="e">
        <f>IF(B24514=#REF!,"",B24514)</f>
        <v>#REF!</v>
      </c>
    </row>
    <row r="24515" spans="1:6" ht="15.75" customHeight="1">
      <c r="A24515" s="15" t="s">
        <v>4072</v>
      </c>
      <c r="B24515" s="15" t="s">
        <v>4072</v>
      </c>
      <c r="C24515" s="15" t="s">
        <v>3975</v>
      </c>
      <c r="D24515" s="15" t="s">
        <v>3980</v>
      </c>
      <c r="E24515" s="2">
        <v>5992500</v>
      </c>
      <c r="F24515" s="4" t="e">
        <f>IF(B24515=#REF!,"",B24515)</f>
        <v>#REF!</v>
      </c>
    </row>
    <row r="24516" spans="1:6" ht="15.75" customHeight="1">
      <c r="A24516" s="15" t="s">
        <v>29033</v>
      </c>
      <c r="B24516" s="15" t="s">
        <v>29033</v>
      </c>
      <c r="C24516" s="15" t="s">
        <v>27788</v>
      </c>
      <c r="D24516" s="15" t="s">
        <v>27957</v>
      </c>
      <c r="E24516" s="2">
        <v>4634662</v>
      </c>
      <c r="F24516" s="4" t="e">
        <f>IF(B24516=#REF!,"",B24516)</f>
        <v>#REF!</v>
      </c>
    </row>
    <row r="24517" spans="1:6" ht="15.75" customHeight="1">
      <c r="A24517" s="15" t="s">
        <v>29032</v>
      </c>
      <c r="B24517" s="15" t="s">
        <v>29032</v>
      </c>
      <c r="C24517" s="15" t="s">
        <v>27788</v>
      </c>
      <c r="D24517" s="15" t="s">
        <v>7988</v>
      </c>
      <c r="E24517" s="2">
        <v>4204007</v>
      </c>
      <c r="F24517" s="4" t="e">
        <f>IF(B24517=#REF!,"",B24517)</f>
        <v>#REF!</v>
      </c>
    </row>
    <row r="24518" spans="1:6" ht="15.75" customHeight="1">
      <c r="A24518" s="16" t="s">
        <v>29031</v>
      </c>
      <c r="B24518" s="15" t="s">
        <v>29031</v>
      </c>
      <c r="C24518" s="16" t="s">
        <v>27788</v>
      </c>
      <c r="D24518" s="16" t="s">
        <v>27819</v>
      </c>
      <c r="E24518" s="2">
        <v>5123456</v>
      </c>
      <c r="F24518" s="4" t="e">
        <f>IF(B24518=#REF!,"",B24518)</f>
        <v>#REF!</v>
      </c>
    </row>
    <row r="24519" spans="1:6" ht="15.75" customHeight="1">
      <c r="A24519" s="16" t="s">
        <v>27474</v>
      </c>
      <c r="B24519" s="15" t="s">
        <v>27474</v>
      </c>
      <c r="C24519" s="16" t="s">
        <v>27234</v>
      </c>
      <c r="D24519" s="16" t="s">
        <v>27241</v>
      </c>
      <c r="E24519" s="2">
        <v>2645456</v>
      </c>
      <c r="F24519" s="4" t="e">
        <f>IF(B24519=#REF!,"",B24519)</f>
        <v>#REF!</v>
      </c>
    </row>
    <row r="24520" spans="1:6" ht="15.75" customHeight="1">
      <c r="A24520" s="15" t="s">
        <v>25640</v>
      </c>
      <c r="B24520" s="15" t="s">
        <v>25640</v>
      </c>
      <c r="C24520" s="15" t="s">
        <v>25560</v>
      </c>
      <c r="D24520" s="15" t="s">
        <v>25559</v>
      </c>
      <c r="E24520" s="2">
        <v>157268</v>
      </c>
      <c r="F24520" s="4" t="e">
        <f>IF(B24520=#REF!,"",B24520)</f>
        <v>#REF!</v>
      </c>
    </row>
    <row r="24521" spans="1:6" ht="15.75" customHeight="1">
      <c r="A24521" s="16" t="s">
        <v>29029</v>
      </c>
      <c r="B24521" s="15" t="s">
        <v>29030</v>
      </c>
      <c r="C24521" s="16" t="s">
        <v>27788</v>
      </c>
      <c r="D24521" s="16" t="s">
        <v>27880</v>
      </c>
      <c r="E24521" s="2">
        <v>5301067</v>
      </c>
      <c r="F24521" s="4" t="e">
        <f>IF(B24521=#REF!,"",B24521)</f>
        <v>#REF!</v>
      </c>
    </row>
    <row r="24522" spans="1:6" ht="15.75" customHeight="1">
      <c r="A24522" s="15" t="s">
        <v>22521</v>
      </c>
      <c r="B24522" s="15" t="s">
        <v>22521</v>
      </c>
      <c r="C24522" s="15" t="s">
        <v>22070</v>
      </c>
      <c r="D24522" s="15" t="s">
        <v>22094</v>
      </c>
      <c r="E24522" s="2">
        <v>548602</v>
      </c>
      <c r="F24522" s="4" t="e">
        <f>IF(B24522=#REF!,"",B24522)</f>
        <v>#REF!</v>
      </c>
    </row>
    <row r="24523" spans="1:6" ht="15.75" customHeight="1">
      <c r="A24523" s="16" t="s">
        <v>29027</v>
      </c>
      <c r="B24523" s="15" t="s">
        <v>29028</v>
      </c>
      <c r="C24523" s="16" t="s">
        <v>27788</v>
      </c>
      <c r="D24523" s="16" t="s">
        <v>27836</v>
      </c>
      <c r="E24523" s="2">
        <v>5196220</v>
      </c>
      <c r="F24523" s="4" t="e">
        <f>IF(B24523=#REF!,"",B24523)</f>
        <v>#REF!</v>
      </c>
    </row>
    <row r="24524" spans="1:6" ht="15.75" customHeight="1">
      <c r="A24524" s="15" t="s">
        <v>22520</v>
      </c>
      <c r="B24524" s="15" t="s">
        <v>22520</v>
      </c>
      <c r="C24524" s="15" t="s">
        <v>22070</v>
      </c>
      <c r="D24524" s="15" t="s">
        <v>22382</v>
      </c>
      <c r="E24524" s="2">
        <v>548605</v>
      </c>
      <c r="F24524" s="4" t="str">
        <f>IF(B24524=B24523,"",B24524)</f>
        <v>Kineshma</v>
      </c>
    </row>
    <row r="24525" spans="1:6" ht="15.75" customHeight="1">
      <c r="A24525" s="16" t="s">
        <v>22518</v>
      </c>
      <c r="B24525" s="15" t="s">
        <v>22519</v>
      </c>
      <c r="C24525" s="16" t="s">
        <v>22070</v>
      </c>
      <c r="D24525" s="16" t="s">
        <v>22227</v>
      </c>
      <c r="E24525" s="2">
        <v>548622</v>
      </c>
      <c r="F24525" s="4" t="str">
        <f>IF(B24525=B24524,"",B24525)</f>
        <v>Kinelâ€™-Cherkassy</v>
      </c>
    </row>
    <row r="24526" spans="1:6" ht="15.75" customHeight="1">
      <c r="A24526" s="15" t="s">
        <v>22516</v>
      </c>
      <c r="B24526" s="15" t="s">
        <v>22517</v>
      </c>
      <c r="C24526" s="15" t="s">
        <v>22070</v>
      </c>
      <c r="D24526" s="15" t="s">
        <v>22227</v>
      </c>
      <c r="E24526" s="2">
        <v>548625</v>
      </c>
      <c r="F24526" s="4" t="str">
        <f>IF(B24526=B24525,"",B24526)</f>
        <v>Kinelâ€™</v>
      </c>
    </row>
    <row r="24527" spans="1:6" ht="15.75" customHeight="1">
      <c r="A24527" s="16" t="str">
        <f ca="1">IFERROR(__xludf.DUMMYFUNCTION("GOOGLETRANSLATE(B40463,""en"",""pt"")"),"Kinel'-charkassy")</f>
        <v>Kinel'-charkassy</v>
      </c>
      <c r="B24527" s="20" t="s">
        <v>35506</v>
      </c>
      <c r="C24527" s="20" t="s">
        <v>22070</v>
      </c>
      <c r="D24527" s="20" t="s">
        <v>22227</v>
      </c>
      <c r="E24527" s="10">
        <v>548622</v>
      </c>
      <c r="F24527" s="4" t="str">
        <f>IF(B24527=B24526,"",B24527)</f>
        <v>Kinel’-Cherkassy</v>
      </c>
    </row>
    <row r="24528" spans="1:6" ht="15.75" customHeight="1">
      <c r="A24528" s="16" t="str">
        <f ca="1">IFERROR(__xludf.DUMMYFUNCTION("GOOGLETRANSLATE(B40464,""en"",""pt"")"),"Quilel '")</f>
        <v>Quilel '</v>
      </c>
      <c r="B24528" s="20" t="s">
        <v>35507</v>
      </c>
      <c r="C24528" s="20" t="s">
        <v>22070</v>
      </c>
      <c r="D24528" s="20" t="s">
        <v>22227</v>
      </c>
      <c r="E24528" s="10">
        <v>548625</v>
      </c>
      <c r="F24528" s="4" t="e">
        <f>IF(B24528=#REF!,"",B24528)</f>
        <v>#REF!</v>
      </c>
    </row>
    <row r="24529" spans="1:6" ht="15.75" customHeight="1">
      <c r="A24529" s="15" t="s">
        <v>6171</v>
      </c>
      <c r="B24529" s="15" t="s">
        <v>6171</v>
      </c>
      <c r="C24529" s="15" t="s">
        <v>6127</v>
      </c>
      <c r="D24529" s="15" t="s">
        <v>6164</v>
      </c>
      <c r="E24529" s="2">
        <v>212902</v>
      </c>
      <c r="F24529" s="4" t="e">
        <f>IF(B24529=#REF!,"",B24529)</f>
        <v>#REF!</v>
      </c>
    </row>
    <row r="24530" spans="1:6" ht="15.75" customHeight="1">
      <c r="A24530" s="15" t="s">
        <v>9831</v>
      </c>
      <c r="B24530" s="15" t="s">
        <v>9831</v>
      </c>
      <c r="C24530" s="15" t="s">
        <v>9826</v>
      </c>
      <c r="D24530" s="15" t="s">
        <v>9831</v>
      </c>
      <c r="E24530" s="2">
        <v>2419533</v>
      </c>
      <c r="F24530" s="4" t="e">
        <f>IF(B24530=#REF!,"",B24530)</f>
        <v>#REF!</v>
      </c>
    </row>
    <row r="24531" spans="1:6" ht="15.75" customHeight="1">
      <c r="A24531" s="15" t="s">
        <v>17499</v>
      </c>
      <c r="B24531" s="15" t="s">
        <v>17499</v>
      </c>
      <c r="C24531" s="15" t="s">
        <v>17432</v>
      </c>
      <c r="D24531" s="15" t="s">
        <v>17444</v>
      </c>
      <c r="E24531" s="2">
        <v>1733449</v>
      </c>
      <c r="F24531" s="4" t="str">
        <f>IF(B24531=B24530,"",B24531)</f>
        <v>Kinarut</v>
      </c>
    </row>
    <row r="24532" spans="1:6" ht="15.75" customHeight="1">
      <c r="A24532" s="16" t="str">
        <f ca="1">IFERROR(__xludf.DUMMYFUNCTION("GOOGLETRANSLATE(B41085,""en"",""pt"")"),"Kināna")</f>
        <v>Kināna</v>
      </c>
      <c r="B24532" s="20" t="s">
        <v>35609</v>
      </c>
      <c r="C24532" s="20" t="s">
        <v>24987</v>
      </c>
      <c r="D24532" s="20" t="s">
        <v>35607</v>
      </c>
      <c r="E24532" s="10">
        <v>372386</v>
      </c>
      <c r="F24532" s="4" t="str">
        <f>IF(B24532=B24531,"",B24532)</f>
        <v>Kināna</v>
      </c>
    </row>
    <row r="24533" spans="1:6" ht="15.75" customHeight="1">
      <c r="A24533" s="15" t="s">
        <v>25041</v>
      </c>
      <c r="B24533" s="15" t="s">
        <v>25042</v>
      </c>
      <c r="C24533" s="15" t="s">
        <v>24987</v>
      </c>
      <c r="D24533" s="15" t="s">
        <v>24992</v>
      </c>
      <c r="E24533" s="2">
        <v>372386</v>
      </c>
      <c r="F24533" s="4" t="e">
        <f>IF(B24533=#REF!,"",B24533)</f>
        <v>#REF!</v>
      </c>
    </row>
    <row r="24534" spans="1:6" ht="15.75" customHeight="1">
      <c r="A24534" s="15" t="s">
        <v>22515</v>
      </c>
      <c r="B24534" s="15" t="s">
        <v>22515</v>
      </c>
      <c r="C24534" s="15" t="s">
        <v>22070</v>
      </c>
      <c r="D24534" s="15" t="s">
        <v>22229</v>
      </c>
      <c r="E24534" s="2">
        <v>548652</v>
      </c>
      <c r="F24534" s="4" t="e">
        <f>IF(B24534=#REF!,"",B24534)</f>
        <v>#REF!</v>
      </c>
    </row>
    <row r="24535" spans="1:6" ht="15.75" customHeight="1">
      <c r="A24535" s="15" t="s">
        <v>22514</v>
      </c>
      <c r="B24535" s="15" t="s">
        <v>22514</v>
      </c>
      <c r="C24535" s="15" t="s">
        <v>22070</v>
      </c>
      <c r="D24535" s="15" t="s">
        <v>22122</v>
      </c>
      <c r="E24535" s="2">
        <v>548658</v>
      </c>
      <c r="F24535" s="4" t="e">
        <f>IF(B24535=#REF!,"",B24535)</f>
        <v>#REF!</v>
      </c>
    </row>
    <row r="24536" spans="1:6" ht="15.75" customHeight="1">
      <c r="A24536" s="15" t="s">
        <v>24102</v>
      </c>
      <c r="B24536" s="15" t="s">
        <v>24102</v>
      </c>
      <c r="C24536" s="15" t="s">
        <v>24024</v>
      </c>
      <c r="D24536" s="15" t="s">
        <v>24042</v>
      </c>
      <c r="E24536" s="2">
        <v>1842939</v>
      </c>
      <c r="F24536" s="4" t="e">
        <f>IF(B24536=#REF!,"",B24536)</f>
        <v>#REF!</v>
      </c>
    </row>
    <row r="24537" spans="1:6" ht="15.75" customHeight="1">
      <c r="A24537" s="15" t="s">
        <v>16132</v>
      </c>
      <c r="B24537" s="15" t="s">
        <v>16132</v>
      </c>
      <c r="C24537" s="15" t="s">
        <v>15704</v>
      </c>
      <c r="D24537" s="15" t="s">
        <v>15707</v>
      </c>
      <c r="E24537" s="2">
        <v>1907307</v>
      </c>
      <c r="F24537" s="4" t="e">
        <f>IF(B24537=#REF!,"",B24537)</f>
        <v>#REF!</v>
      </c>
    </row>
    <row r="24538" spans="1:6" ht="15.75" customHeight="1">
      <c r="A24538" s="15" t="s">
        <v>24101</v>
      </c>
      <c r="B24538" s="15" t="s">
        <v>24101</v>
      </c>
      <c r="C24538" s="15" t="s">
        <v>24024</v>
      </c>
      <c r="D24538" s="15" t="s">
        <v>24040</v>
      </c>
      <c r="E24538" s="2">
        <v>1842943</v>
      </c>
      <c r="F24538" s="4" t="e">
        <f>IF(B24538=#REF!,"",B24538)</f>
        <v>#REF!</v>
      </c>
    </row>
    <row r="24539" spans="1:6" ht="15.75" customHeight="1">
      <c r="A24539" s="16" t="s">
        <v>23913</v>
      </c>
      <c r="B24539" s="15" t="s">
        <v>23913</v>
      </c>
      <c r="C24539" s="16" t="s">
        <v>23842</v>
      </c>
      <c r="D24539" s="16" t="s">
        <v>23879</v>
      </c>
      <c r="E24539" s="2">
        <v>990930</v>
      </c>
      <c r="F24539" s="4" t="e">
        <f>IF(B24539=#REF!,"",B24539)</f>
        <v>#REF!</v>
      </c>
    </row>
    <row r="24540" spans="1:6" ht="15.75" customHeight="1">
      <c r="A24540" s="15" t="s">
        <v>20414</v>
      </c>
      <c r="B24540" s="15" t="s">
        <v>20414</v>
      </c>
      <c r="C24540" s="15" t="s">
        <v>20406</v>
      </c>
      <c r="D24540" s="15" t="s">
        <v>20415</v>
      </c>
      <c r="E24540" s="2">
        <v>2093967</v>
      </c>
      <c r="F24540" s="4" t="e">
        <f>IF(B24540=#REF!,"",B24540)</f>
        <v>#REF!</v>
      </c>
    </row>
    <row r="24541" spans="1:6" ht="15.75" customHeight="1">
      <c r="A24541" s="16" t="s">
        <v>27473</v>
      </c>
      <c r="B24541" s="15" t="s">
        <v>27473</v>
      </c>
      <c r="C24541" s="16" t="s">
        <v>27234</v>
      </c>
      <c r="D24541" s="16" t="s">
        <v>27237</v>
      </c>
      <c r="E24541" s="2">
        <v>2645541</v>
      </c>
      <c r="F24541" s="4" t="e">
        <f>IF(B24541=#REF!,"",B24541)</f>
        <v>#REF!</v>
      </c>
    </row>
    <row r="24542" spans="1:6" ht="15.75" customHeight="1">
      <c r="A24542" s="15" t="s">
        <v>25639</v>
      </c>
      <c r="B24542" s="15" t="s">
        <v>25639</v>
      </c>
      <c r="C24542" s="15" t="s">
        <v>25560</v>
      </c>
      <c r="D24542" s="15" t="s">
        <v>25596</v>
      </c>
      <c r="E24542" s="2">
        <v>157403</v>
      </c>
      <c r="F24542" s="4" t="e">
        <f>IF(B24542=#REF!,"",B24542)</f>
        <v>#REF!</v>
      </c>
    </row>
    <row r="24543" spans="1:6" ht="15.75" customHeight="1">
      <c r="A24543" s="16" t="s">
        <v>27472</v>
      </c>
      <c r="B24543" s="15" t="s">
        <v>27472</v>
      </c>
      <c r="C24543" s="16" t="s">
        <v>27234</v>
      </c>
      <c r="D24543" s="16" t="s">
        <v>27237</v>
      </c>
      <c r="E24543" s="2">
        <v>2645605</v>
      </c>
      <c r="F24543" s="4" t="str">
        <f>IF(B24543=B24542,"",B24543)</f>
        <v>Kilmarnock</v>
      </c>
    </row>
    <row r="24544" spans="1:6" ht="15.75" customHeight="1">
      <c r="A24544" s="16" t="str">
        <f ca="1">IFERROR(__xludf.DUMMYFUNCTION("GOOGLETRANSLATE(B31045,""en"",""pt"")"),"Kilkís")</f>
        <v>Kilkís</v>
      </c>
      <c r="B24544" s="20" t="s">
        <v>32751</v>
      </c>
      <c r="C24544" s="20" t="s">
        <v>9441</v>
      </c>
      <c r="D24544" s="20" t="s">
        <v>9442</v>
      </c>
      <c r="E24544" s="10">
        <v>735736</v>
      </c>
      <c r="F24544" s="4" t="e">
        <f>IF(B24544=#REF!,"",B24544)</f>
        <v>#REF!</v>
      </c>
    </row>
    <row r="24545" spans="1:6" ht="15.75" customHeight="1">
      <c r="A24545" s="15" t="s">
        <v>14750</v>
      </c>
      <c r="B24545" s="15" t="s">
        <v>14750</v>
      </c>
      <c r="C24545" s="15" t="s">
        <v>14728</v>
      </c>
      <c r="D24545" s="15" t="s">
        <v>14729</v>
      </c>
      <c r="E24545" s="2">
        <v>2963398</v>
      </c>
      <c r="F24545" s="4" t="str">
        <f>IF(B24545=B24544,"",B24545)</f>
        <v>Kilkenny</v>
      </c>
    </row>
    <row r="24546" spans="1:6" ht="15.75" customHeight="1">
      <c r="A24546" s="15" t="s">
        <v>9553</v>
      </c>
      <c r="B24546" s="15" t="s">
        <v>9554</v>
      </c>
      <c r="C24546" s="15" t="s">
        <v>9441</v>
      </c>
      <c r="D24546" s="15" t="s">
        <v>9442</v>
      </c>
      <c r="E24546" s="2">
        <v>735736</v>
      </c>
      <c r="F24546" s="4" t="e">
        <f>IF(B24546=#REF!,"",B24546)</f>
        <v>#REF!</v>
      </c>
    </row>
    <row r="24547" spans="1:6" ht="15.75" customHeight="1">
      <c r="A24547" s="15" t="s">
        <v>19641</v>
      </c>
      <c r="B24547" s="15" t="s">
        <v>19641</v>
      </c>
      <c r="C24547" s="15" t="s">
        <v>19589</v>
      </c>
      <c r="D24547" s="15" t="s">
        <v>19599</v>
      </c>
      <c r="E24547" s="2">
        <v>2043484</v>
      </c>
      <c r="F24547" s="4" t="e">
        <f>IF(B24547=#REF!,"",B24547)</f>
        <v>#REF!</v>
      </c>
    </row>
    <row r="24548" spans="1:6" ht="15.75" customHeight="1">
      <c r="A24548" s="15" t="s">
        <v>27003</v>
      </c>
      <c r="B24548" s="15" t="s">
        <v>27003</v>
      </c>
      <c r="C24548" s="15" t="s">
        <v>26870</v>
      </c>
      <c r="D24548" s="15" t="s">
        <v>26884</v>
      </c>
      <c r="E24548" s="2">
        <v>705883</v>
      </c>
      <c r="F24548" s="4" t="e">
        <f>IF(B24548=#REF!,"",B24548)</f>
        <v>#REF!</v>
      </c>
    </row>
    <row r="24549" spans="1:6" ht="15.75" customHeight="1">
      <c r="A24549" s="15" t="s">
        <v>26602</v>
      </c>
      <c r="B24549" s="15" t="s">
        <v>26602</v>
      </c>
      <c r="C24549" s="15" t="s">
        <v>26201</v>
      </c>
      <c r="D24549" s="15" t="s">
        <v>26602</v>
      </c>
      <c r="E24549" s="2">
        <v>307864</v>
      </c>
      <c r="F24549" s="4" t="e">
        <f>IF(B24549=#REF!,"",B24549)</f>
        <v>#REF!</v>
      </c>
    </row>
    <row r="24550" spans="1:6" ht="15.75" customHeight="1">
      <c r="A24550" s="15" t="s">
        <v>16803</v>
      </c>
      <c r="B24550" s="15" t="s">
        <v>16803</v>
      </c>
      <c r="C24550" s="15" t="s">
        <v>16781</v>
      </c>
      <c r="D24550" s="15" t="s">
        <v>16803</v>
      </c>
      <c r="E24550" s="2">
        <v>192067</v>
      </c>
      <c r="F24550" s="4" t="e">
        <f>IF(B24550=#REF!,"",B24550)</f>
        <v>#REF!</v>
      </c>
    </row>
    <row r="24551" spans="1:6" ht="15.75" customHeight="1">
      <c r="A24551" s="15" t="s">
        <v>6170</v>
      </c>
      <c r="B24551" s="15" t="s">
        <v>6170</v>
      </c>
      <c r="C24551" s="15" t="s">
        <v>6127</v>
      </c>
      <c r="D24551" s="15" t="s">
        <v>6129</v>
      </c>
      <c r="E24551" s="2">
        <v>2314705</v>
      </c>
      <c r="F24551" s="4" t="e">
        <f>IF(B24551=#REF!,"",B24551)</f>
        <v>#REF!</v>
      </c>
    </row>
    <row r="24552" spans="1:6" ht="15.75" customHeight="1">
      <c r="A24552" s="15" t="s">
        <v>16131</v>
      </c>
      <c r="B24552" s="15" t="s">
        <v>16131</v>
      </c>
      <c r="C24552" s="15" t="s">
        <v>15704</v>
      </c>
      <c r="D24552" s="15" t="s">
        <v>15812</v>
      </c>
      <c r="E24552" s="2">
        <v>1859492</v>
      </c>
      <c r="F24552" s="4" t="e">
        <f>IF(B24552=#REF!,"",B24552)</f>
        <v>#REF!</v>
      </c>
    </row>
    <row r="24553" spans="1:6" ht="15.75" customHeight="1">
      <c r="A24553" s="15" t="s">
        <v>23625</v>
      </c>
      <c r="B24553" s="15" t="s">
        <v>23625</v>
      </c>
      <c r="C24553" s="15" t="s">
        <v>23602</v>
      </c>
      <c r="D24553" s="15" t="s">
        <v>23610</v>
      </c>
      <c r="E24553" s="2">
        <v>789518</v>
      </c>
      <c r="F24553" s="4" t="e">
        <f>IF(B24553=#REF!,"",B24553)</f>
        <v>#REF!</v>
      </c>
    </row>
    <row r="24554" spans="1:6" ht="15.75" customHeight="1">
      <c r="A24554" s="15" t="s">
        <v>13976</v>
      </c>
      <c r="B24554" s="15" t="s">
        <v>13976</v>
      </c>
      <c r="C24554" s="15" t="s">
        <v>13800</v>
      </c>
      <c r="D24554" s="15" t="s">
        <v>13977</v>
      </c>
      <c r="E24554" s="2">
        <v>1640044</v>
      </c>
      <c r="F24554" s="4" t="str">
        <f>IF(B24554=B24553,"",B24554)</f>
        <v>Kijang</v>
      </c>
    </row>
    <row r="24555" spans="1:6" ht="15.75" customHeight="1">
      <c r="A24555" s="16" t="str">
        <f ca="1">IFERROR(__xludf.DUMMYFUNCTION("GOOGLETRANSLATE(B45403,""en"",""pt"")"),"Kīhei")</f>
        <v>Kīhei</v>
      </c>
      <c r="B24555" s="20" t="s">
        <v>36053</v>
      </c>
      <c r="C24555" s="20" t="s">
        <v>27788</v>
      </c>
      <c r="D24555" s="20" t="s">
        <v>27789</v>
      </c>
      <c r="E24555" s="10">
        <v>5849297</v>
      </c>
      <c r="F24555" s="4" t="e">
        <f>IF(B24555=#REF!,"",B24555)</f>
        <v>#REF!</v>
      </c>
    </row>
    <row r="24556" spans="1:6" ht="15.75" customHeight="1">
      <c r="A24556" s="16" t="s">
        <v>25637</v>
      </c>
      <c r="B24556" s="15" t="s">
        <v>25637</v>
      </c>
      <c r="C24556" s="16" t="s">
        <v>25560</v>
      </c>
      <c r="D24556" s="16" t="s">
        <v>25638</v>
      </c>
      <c r="E24556" s="2">
        <v>155307</v>
      </c>
      <c r="F24556" s="4" t="e">
        <f>IF(B24556=#REF!,"",B24556)</f>
        <v>#REF!</v>
      </c>
    </row>
    <row r="24557" spans="1:6" ht="15.75" customHeight="1">
      <c r="A24557" s="15" t="s">
        <v>25635</v>
      </c>
      <c r="B24557" s="15" t="s">
        <v>25635</v>
      </c>
      <c r="C24557" s="15" t="s">
        <v>25560</v>
      </c>
      <c r="D24557" s="15" t="s">
        <v>25636</v>
      </c>
      <c r="E24557" s="2">
        <v>878400</v>
      </c>
      <c r="F24557" s="4" t="e">
        <f>IF(B24557=#REF!,"",B24557)</f>
        <v>#REF!</v>
      </c>
    </row>
    <row r="24558" spans="1:6" ht="15.75" customHeight="1">
      <c r="A24558" s="15" t="s">
        <v>25621</v>
      </c>
      <c r="B24558" s="15" t="s">
        <v>25621</v>
      </c>
      <c r="C24558" s="15" t="s">
        <v>25560</v>
      </c>
      <c r="D24558" s="15" t="s">
        <v>25621</v>
      </c>
      <c r="E24558" s="2">
        <v>157738</v>
      </c>
      <c r="F24558" s="4" t="e">
        <f>IF(B24558=#REF!,"",B24558)</f>
        <v>#REF!</v>
      </c>
    </row>
    <row r="24559" spans="1:6" ht="15.75" customHeight="1">
      <c r="A24559" s="15" t="s">
        <v>23421</v>
      </c>
      <c r="B24559" s="15" t="s">
        <v>23421</v>
      </c>
      <c r="C24559" s="15" t="s">
        <v>23413</v>
      </c>
      <c r="D24559" s="15" t="s">
        <v>23421</v>
      </c>
      <c r="E24559" s="2">
        <v>202061</v>
      </c>
      <c r="F24559" s="4" t="str">
        <f>IF(B24559=B24558,"",B24559)</f>
        <v>Kigali</v>
      </c>
    </row>
    <row r="24560" spans="1:6" ht="15.75" customHeight="1">
      <c r="A24560" s="16" t="str">
        <f ca="1">IFERROR(__xludf.DUMMYFUNCTION("GOOGLETRANSLATE(B34285,""en"",""pt"")"),"Kifrī")</f>
        <v>Kifrī</v>
      </c>
      <c r="B24560" s="20" t="s">
        <v>34079</v>
      </c>
      <c r="C24560" s="20" t="s">
        <v>14594</v>
      </c>
      <c r="D24560" s="20" t="s">
        <v>34078</v>
      </c>
      <c r="E24560" s="10">
        <v>94298</v>
      </c>
      <c r="F24560" s="4" t="str">
        <f>IF(B24560=B24559,"",B24560)</f>
        <v>Kifrī</v>
      </c>
    </row>
    <row r="24561" spans="1:6" ht="15.75" customHeight="1">
      <c r="A24561" s="15" t="s">
        <v>14691</v>
      </c>
      <c r="B24561" s="15" t="s">
        <v>14692</v>
      </c>
      <c r="C24561" s="15" t="s">
        <v>14594</v>
      </c>
      <c r="D24561" s="15" t="s">
        <v>14648</v>
      </c>
      <c r="E24561" s="2">
        <v>94298</v>
      </c>
      <c r="F24561" s="4" t="str">
        <f>IF(B24561=B24560,"",B24561)</f>
        <v>KifrÄ«</v>
      </c>
    </row>
    <row r="24562" spans="1:6" ht="15.75" customHeight="1">
      <c r="A24562" s="15" t="s">
        <v>9551</v>
      </c>
      <c r="B24562" s="15" t="s">
        <v>9552</v>
      </c>
      <c r="C24562" s="15" t="s">
        <v>9441</v>
      </c>
      <c r="D24562" s="15" t="s">
        <v>9445</v>
      </c>
      <c r="E24562" s="2">
        <v>259824</v>
      </c>
      <c r="F24562" s="4" t="str">
        <f>IF(B24562=B24561,"",B24562)</f>
        <v>KifisiÃ¡</v>
      </c>
    </row>
    <row r="24563" spans="1:6" ht="15.75" customHeight="1">
      <c r="A24563" s="16" t="str">
        <f ca="1">IFERROR(__xludf.DUMMYFUNCTION("GOOGLETRANSLATE(B30990,""en"",""pt"")"),"Kifisiá")</f>
        <v>Kifisiá</v>
      </c>
      <c r="B24563" s="20" t="s">
        <v>32700</v>
      </c>
      <c r="C24563" s="20" t="s">
        <v>9441</v>
      </c>
      <c r="D24563" s="20" t="s">
        <v>9445</v>
      </c>
      <c r="E24563" s="10">
        <v>259824</v>
      </c>
      <c r="F24563" s="4" t="e">
        <f>IF(B24563=#REF!,"",B24563)</f>
        <v>#REF!</v>
      </c>
    </row>
    <row r="24564" spans="1:6" ht="15.75" customHeight="1">
      <c r="A24564" s="15" t="s">
        <v>17656</v>
      </c>
      <c r="B24564" s="15" t="s">
        <v>17656</v>
      </c>
      <c r="C24564" s="15" t="s">
        <v>17650</v>
      </c>
      <c r="D24564" s="15" t="s">
        <v>17657</v>
      </c>
      <c r="E24564" s="2">
        <v>2378538</v>
      </c>
      <c r="F24564" s="4" t="e">
        <f>IF(B24564=#REF!,"",B24564)</f>
        <v>#REF!</v>
      </c>
    </row>
    <row r="24565" spans="1:6" ht="15.75" customHeight="1">
      <c r="A24565" s="15" t="s">
        <v>26905</v>
      </c>
      <c r="B24565" s="15" t="s">
        <v>26905</v>
      </c>
      <c r="C24565" s="15" t="s">
        <v>26870</v>
      </c>
      <c r="D24565" s="15" t="s">
        <v>27002</v>
      </c>
      <c r="E24565" s="2">
        <v>703448</v>
      </c>
      <c r="F24565" s="4" t="e">
        <f>IF(B24565=#REF!,"",B24565)</f>
        <v>#REF!</v>
      </c>
    </row>
    <row r="24566" spans="1:6" ht="15.75" customHeight="1">
      <c r="A24566" s="15" t="s">
        <v>8680</v>
      </c>
      <c r="B24566" s="15" t="s">
        <v>8680</v>
      </c>
      <c r="C24566" s="15" t="s">
        <v>8028</v>
      </c>
      <c r="D24566" s="15" t="s">
        <v>8029</v>
      </c>
      <c r="E24566" s="2">
        <v>2891014</v>
      </c>
      <c r="F24566" s="4" t="e">
        <f>IF(B24566=#REF!,"",B24566)</f>
        <v>#REF!</v>
      </c>
    </row>
    <row r="24567" spans="1:6" ht="15.75" customHeight="1">
      <c r="A24567" s="15" t="s">
        <v>21285</v>
      </c>
      <c r="B24567" s="15" t="s">
        <v>21285</v>
      </c>
      <c r="C24567" s="15" t="s">
        <v>21064</v>
      </c>
      <c r="D24567" s="15" t="s">
        <v>21169</v>
      </c>
      <c r="E24567" s="2">
        <v>769250</v>
      </c>
      <c r="F24567" s="4" t="e">
        <f>IF(B24567=#REF!,"",B24567)</f>
        <v>#REF!</v>
      </c>
    </row>
    <row r="24568" spans="1:6" ht="15.75" customHeight="1">
      <c r="A24568" s="15" t="s">
        <v>8679</v>
      </c>
      <c r="B24568" s="15" t="s">
        <v>8679</v>
      </c>
      <c r="C24568" s="15" t="s">
        <v>8028</v>
      </c>
      <c r="D24568" s="15" t="s">
        <v>8040</v>
      </c>
      <c r="E24568" s="2">
        <v>2891122</v>
      </c>
      <c r="F24568" s="4" t="e">
        <f>IF(B24568=#REF!,"",B24568)</f>
        <v>#REF!</v>
      </c>
    </row>
    <row r="24569" spans="1:6" ht="15.75" customHeight="1">
      <c r="A24569" s="15" t="s">
        <v>27471</v>
      </c>
      <c r="B24569" s="15" t="s">
        <v>27471</v>
      </c>
      <c r="C24569" s="15" t="s">
        <v>27234</v>
      </c>
      <c r="D24569" s="15" t="s">
        <v>27241</v>
      </c>
      <c r="E24569" s="2">
        <v>2645721</v>
      </c>
      <c r="F24569" s="4" t="e">
        <f>IF(B24569=#REF!,"",B24569)</f>
        <v>#REF!</v>
      </c>
    </row>
    <row r="24570" spans="1:6" ht="15.75" customHeight="1">
      <c r="A24570" s="15" t="s">
        <v>25634</v>
      </c>
      <c r="B24570" s="15" t="s">
        <v>25634</v>
      </c>
      <c r="C24570" s="15" t="s">
        <v>25560</v>
      </c>
      <c r="D24570" s="15" t="s">
        <v>25596</v>
      </c>
      <c r="E24570" s="2">
        <v>157826</v>
      </c>
      <c r="F24570" s="4" t="e">
        <f>IF(B24570=#REF!,"",B24570)</f>
        <v>#REF!</v>
      </c>
    </row>
    <row r="24571" spans="1:6" ht="15.75" customHeight="1">
      <c r="A24571" s="16" t="s">
        <v>27470</v>
      </c>
      <c r="B24571" s="15" t="s">
        <v>27470</v>
      </c>
      <c r="C24571" s="16" t="s">
        <v>27234</v>
      </c>
      <c r="D24571" s="16" t="s">
        <v>27241</v>
      </c>
      <c r="E24571" s="2">
        <v>2645722</v>
      </c>
      <c r="F24571" s="4" t="e">
        <f>IF(B24571=#REF!,"",B24571)</f>
        <v>#REF!</v>
      </c>
    </row>
    <row r="24572" spans="1:6" ht="15.75" customHeight="1">
      <c r="A24572" s="16" t="s">
        <v>27469</v>
      </c>
      <c r="B24572" s="15" t="s">
        <v>27469</v>
      </c>
      <c r="C24572" s="16" t="s">
        <v>27234</v>
      </c>
      <c r="D24572" s="16" t="s">
        <v>27241</v>
      </c>
      <c r="E24572" s="2">
        <v>2645724</v>
      </c>
      <c r="F24572" s="4" t="e">
        <f>IF(B24572=#REF!,"",B24572)</f>
        <v>#REF!</v>
      </c>
    </row>
    <row r="24573" spans="1:6" ht="15.75" customHeight="1">
      <c r="A24573" s="15" t="s">
        <v>25633</v>
      </c>
      <c r="B24573" s="15" t="s">
        <v>25633</v>
      </c>
      <c r="C24573" s="15" t="s">
        <v>25560</v>
      </c>
      <c r="D24573" s="15" t="s">
        <v>25596</v>
      </c>
      <c r="E24573" s="2">
        <v>157863</v>
      </c>
      <c r="F24573" s="4" t="e">
        <f>IF(B24573=#REF!,"",B24573)</f>
        <v>#REF!</v>
      </c>
    </row>
    <row r="24574" spans="1:6" ht="15.75" customHeight="1">
      <c r="A24574" s="16" t="s">
        <v>20814</v>
      </c>
      <c r="B24574" s="15" t="s">
        <v>20815</v>
      </c>
      <c r="C24574" s="16" t="s">
        <v>20598</v>
      </c>
      <c r="D24574" s="16" t="s">
        <v>20606</v>
      </c>
      <c r="E24574" s="2">
        <v>1708824</v>
      </c>
      <c r="F24574" s="4" t="e">
        <f>IF(B24574=#REF!,"",B24574)</f>
        <v>#REF!</v>
      </c>
    </row>
    <row r="24575" spans="1:6" ht="15.75" customHeight="1">
      <c r="A24575" s="15" t="s">
        <v>11978</v>
      </c>
      <c r="B24575" s="15" t="s">
        <v>11978</v>
      </c>
      <c r="C24575" s="15" t="s">
        <v>10178</v>
      </c>
      <c r="D24575" s="15" t="s">
        <v>10299</v>
      </c>
      <c r="E24575" s="2">
        <v>1266575</v>
      </c>
      <c r="F24575" s="4" t="str">
        <f>IF(B24575=B24574,"",B24575)</f>
        <v>Kichha</v>
      </c>
    </row>
    <row r="24576" spans="1:6" ht="15.75" customHeight="1">
      <c r="A24576" s="16" t="str">
        <f ca="1">IFERROR(__xludf.DUMMYFUNCTION("GOOGLETRANSLATE(B36662,""en"",""pt"")"),"Kičevo")</f>
        <v>Kičevo</v>
      </c>
      <c r="B24576" s="20" t="s">
        <v>34629</v>
      </c>
      <c r="C24576" s="20" t="s">
        <v>17221</v>
      </c>
      <c r="D24576" s="20" t="s">
        <v>34629</v>
      </c>
      <c r="E24576" s="10">
        <v>789527</v>
      </c>
      <c r="F24576" s="4" t="e">
        <f>IF(B24576=#REF!,"",B24576)</f>
        <v>#REF!</v>
      </c>
    </row>
    <row r="24577" spans="1:6" ht="15.75" customHeight="1">
      <c r="A24577" s="15" t="s">
        <v>23420</v>
      </c>
      <c r="B24577" s="15" t="s">
        <v>23420</v>
      </c>
      <c r="C24577" s="15" t="s">
        <v>23413</v>
      </c>
      <c r="D24577" s="15" t="s">
        <v>20411</v>
      </c>
      <c r="E24577" s="2">
        <v>202065</v>
      </c>
      <c r="F24577" s="4" t="e">
        <f>IF(B24577=#REF!,"",B24577)</f>
        <v>#REF!</v>
      </c>
    </row>
    <row r="24578" spans="1:6" ht="15.75" customHeight="1">
      <c r="A24578" s="15" t="s">
        <v>23419</v>
      </c>
      <c r="B24578" s="15" t="s">
        <v>23419</v>
      </c>
      <c r="C24578" s="15" t="s">
        <v>23413</v>
      </c>
      <c r="D24578" s="15" t="s">
        <v>6128</v>
      </c>
      <c r="E24578" s="2">
        <v>202068</v>
      </c>
      <c r="F24578" s="4" t="e">
        <f>IF(B24578=#REF!,"",B24578)</f>
        <v>#REF!</v>
      </c>
    </row>
    <row r="24579" spans="1:6" ht="15.75" customHeight="1">
      <c r="A24579" s="16" t="s">
        <v>6900</v>
      </c>
      <c r="B24579" s="15" t="s">
        <v>6900</v>
      </c>
      <c r="C24579" s="16" t="s">
        <v>6807</v>
      </c>
      <c r="D24579" s="16" t="s">
        <v>6814</v>
      </c>
      <c r="E24579" s="2">
        <v>333103</v>
      </c>
      <c r="F24579" s="4" t="e">
        <f>IF(B24579=#REF!,"",B24579)</f>
        <v>#REF!</v>
      </c>
    </row>
    <row r="24580" spans="1:6" ht="15.75" customHeight="1">
      <c r="A24580" s="15" t="s">
        <v>25632</v>
      </c>
      <c r="B24580" s="15" t="s">
        <v>25632</v>
      </c>
      <c r="C24580" s="15" t="s">
        <v>25560</v>
      </c>
      <c r="D24580" s="15" t="s">
        <v>25621</v>
      </c>
      <c r="E24580" s="2">
        <v>157960</v>
      </c>
      <c r="F24580" s="4" t="e">
        <f>IF(B24580=#REF!,"",B24580)</f>
        <v>#REF!</v>
      </c>
    </row>
    <row r="24581" spans="1:6" ht="15.75" customHeight="1">
      <c r="A24581" s="15" t="s">
        <v>25631</v>
      </c>
      <c r="B24581" s="15" t="s">
        <v>25631</v>
      </c>
      <c r="C24581" s="15" t="s">
        <v>25560</v>
      </c>
      <c r="D24581" s="15" t="s">
        <v>25564</v>
      </c>
      <c r="E24581" s="2">
        <v>157977</v>
      </c>
      <c r="F24581" s="4" t="e">
        <f>IF(B24581=#REF!,"",B24581)</f>
        <v>#REF!</v>
      </c>
    </row>
    <row r="24582" spans="1:6" ht="15.75" customHeight="1">
      <c r="A24582" s="15" t="s">
        <v>25630</v>
      </c>
      <c r="B24582" s="15" t="s">
        <v>25630</v>
      </c>
      <c r="C24582" s="15" t="s">
        <v>25560</v>
      </c>
      <c r="D24582" s="15" t="s">
        <v>25574</v>
      </c>
      <c r="E24582" s="2">
        <v>158016</v>
      </c>
      <c r="F24582" s="4" t="e">
        <f>IF(B24582=#REF!,"",B24582)</f>
        <v>#REF!</v>
      </c>
    </row>
    <row r="24583" spans="1:6" ht="15.75" customHeight="1">
      <c r="A24583" s="15" t="s">
        <v>25629</v>
      </c>
      <c r="B24583" s="15" t="s">
        <v>25629</v>
      </c>
      <c r="C24583" s="15" t="s">
        <v>25560</v>
      </c>
      <c r="D24583" s="15" t="s">
        <v>25592</v>
      </c>
      <c r="E24583" s="2">
        <v>158024</v>
      </c>
      <c r="F24583" s="4" t="e">
        <f>IF(B24583=#REF!,"",B24583)</f>
        <v>#REF!</v>
      </c>
    </row>
    <row r="24584" spans="1:6" ht="15.75" customHeight="1">
      <c r="A24584" s="15" t="s">
        <v>25628</v>
      </c>
      <c r="B24584" s="15" t="s">
        <v>25628</v>
      </c>
      <c r="C24584" s="15" t="s">
        <v>25560</v>
      </c>
      <c r="D24584" s="15" t="s">
        <v>25564</v>
      </c>
      <c r="E24584" s="2">
        <v>158027</v>
      </c>
      <c r="F24584" s="4" t="e">
        <f>IF(B24584=#REF!,"",B24584)</f>
        <v>#REF!</v>
      </c>
    </row>
    <row r="24585" spans="1:6" ht="15.75" customHeight="1">
      <c r="A24585" s="15" t="s">
        <v>16802</v>
      </c>
      <c r="B24585" s="15" t="s">
        <v>16802</v>
      </c>
      <c r="C24585" s="15" t="s">
        <v>16781</v>
      </c>
      <c r="D24585" s="15" t="s">
        <v>16802</v>
      </c>
      <c r="E24585" s="2">
        <v>192710</v>
      </c>
      <c r="F24585" s="4" t="str">
        <f>IF(B24585=B24584,"",B24585)</f>
        <v>Kiambu</v>
      </c>
    </row>
    <row r="24586" spans="1:6" ht="15.75" customHeight="1">
      <c r="A24586" s="15" t="s">
        <v>17270</v>
      </c>
      <c r="B24586" s="15" t="s">
        <v>17271</v>
      </c>
      <c r="C24586" s="15" t="s">
        <v>17221</v>
      </c>
      <c r="D24586" s="15" t="s">
        <v>17271</v>
      </c>
      <c r="E24586" s="2">
        <v>789527</v>
      </c>
      <c r="F24586" s="4" t="e">
        <f>IF(B24586=#REF!,"",B24586)</f>
        <v>#REF!</v>
      </c>
    </row>
    <row r="24587" spans="1:6" ht="15.75" customHeight="1">
      <c r="A24587" s="15" t="s">
        <v>14443</v>
      </c>
      <c r="B24587" s="15" t="s">
        <v>14443</v>
      </c>
      <c r="C24587" s="15" t="s">
        <v>14240</v>
      </c>
      <c r="D24587" s="15" t="s">
        <v>14302</v>
      </c>
      <c r="E24587" s="2">
        <v>126972</v>
      </c>
      <c r="F24587" s="4" t="str">
        <f>IF(B24587=B24586,"",B24587)</f>
        <v>Khvoy</v>
      </c>
    </row>
    <row r="24588" spans="1:6" ht="15.75" customHeight="1">
      <c r="A24588" s="16" t="str">
        <f ca="1">IFERROR(__xludf.DUMMYFUNCTION("GOOGLETRANSLATE(B34426,""en"",""pt"")"),"Khvānsār")</f>
        <v>Khvānsār</v>
      </c>
      <c r="B24588" s="20" t="s">
        <v>34184</v>
      </c>
      <c r="C24588" s="20" t="s">
        <v>14240</v>
      </c>
      <c r="D24588" s="20" t="s">
        <v>14294</v>
      </c>
      <c r="E24588" s="10">
        <v>127033</v>
      </c>
      <c r="F24588" s="4" t="str">
        <f>IF(B24588=B24587,"",B24588)</f>
        <v>Khvānsār</v>
      </c>
    </row>
    <row r="24589" spans="1:6" ht="15.75" customHeight="1">
      <c r="A24589" s="16" t="s">
        <v>14441</v>
      </c>
      <c r="B24589" s="15" t="s">
        <v>14442</v>
      </c>
      <c r="C24589" s="16" t="s">
        <v>14240</v>
      </c>
      <c r="D24589" s="16" t="s">
        <v>14294</v>
      </c>
      <c r="E24589" s="2">
        <v>127033</v>
      </c>
      <c r="F24589" s="4" t="str">
        <f>IF(B24589=B24588,"",B24589)</f>
        <v>KhvÄnsÄr</v>
      </c>
    </row>
    <row r="24590" spans="1:6" ht="15.75" customHeight="1">
      <c r="A24590" s="16" t="str">
        <f ca="1">IFERROR(__xludf.DUMMYFUNCTION("GOOGLETRANSLATE(B33043,""en"",""pt"")"),"Khūtār")</f>
        <v>Khūtār</v>
      </c>
      <c r="B24590" s="20" t="s">
        <v>33508</v>
      </c>
      <c r="C24590" s="20" t="s">
        <v>10178</v>
      </c>
      <c r="D24590" s="20" t="s">
        <v>10193</v>
      </c>
      <c r="E24590" s="10">
        <v>1266596</v>
      </c>
      <c r="F24590" s="4" t="e">
        <f>IF(B24590=#REF!,"",B24590)</f>
        <v>#REF!</v>
      </c>
    </row>
    <row r="24591" spans="1:6" ht="15.75" customHeight="1">
      <c r="A24591" s="15" t="s">
        <v>27001</v>
      </c>
      <c r="B24591" s="15" t="s">
        <v>27001</v>
      </c>
      <c r="C24591" s="15" t="s">
        <v>26870</v>
      </c>
      <c r="D24591" s="15" t="s">
        <v>26902</v>
      </c>
      <c r="E24591" s="2">
        <v>706165</v>
      </c>
      <c r="F24591" s="4" t="str">
        <f>IF(B24591=B24590,"",B24591)</f>
        <v>Khust</v>
      </c>
    </row>
    <row r="24592" spans="1:6" ht="15.75" customHeight="1">
      <c r="A24592" s="16" t="str">
        <f ca="1">IFERROR(__xludf.DUMMYFUNCTION("GOOGLETRANSLATE(B39027,""en"",""pt"")"),"Khushāb")</f>
        <v>Khushāb</v>
      </c>
      <c r="B24592" s="20" t="s">
        <v>34979</v>
      </c>
      <c r="C24592" s="20" t="s">
        <v>19808</v>
      </c>
      <c r="D24592" s="20" t="s">
        <v>10184</v>
      </c>
      <c r="E24592" s="10">
        <v>1173687</v>
      </c>
      <c r="F24592" s="4" t="str">
        <f>IF(B24592=B24591,"",B24592)</f>
        <v>Khushāb</v>
      </c>
    </row>
    <row r="24593" spans="1:6" ht="15.75" customHeight="1">
      <c r="A24593" s="15" t="s">
        <v>20030</v>
      </c>
      <c r="B24593" s="15" t="s">
        <v>20031</v>
      </c>
      <c r="C24593" s="15" t="s">
        <v>19808</v>
      </c>
      <c r="D24593" s="15" t="s">
        <v>10184</v>
      </c>
      <c r="E24593" s="2">
        <v>1173687</v>
      </c>
      <c r="F24593" s="4" t="str">
        <f>IF(B24593=B24592,"",B24593)</f>
        <v>KhushÄb</v>
      </c>
    </row>
    <row r="24594" spans="1:6" ht="15.75" customHeight="1">
      <c r="A24594" s="16" t="str">
        <f ca="1">IFERROR(__xludf.DUMMYFUNCTION("GOOGLETRANSLATE(B39028,""en"",""pt"")"),"Khurriānwāla")</f>
        <v>Khurriānwāla</v>
      </c>
      <c r="B24594" s="20" t="s">
        <v>34980</v>
      </c>
      <c r="C24594" s="20" t="s">
        <v>19808</v>
      </c>
      <c r="D24594" s="20" t="s">
        <v>10184</v>
      </c>
      <c r="E24594" s="10">
        <v>1173692</v>
      </c>
      <c r="F24594" s="4" t="str">
        <f>IF(B24594=B24593,"",B24594)</f>
        <v>Khurriānwāla</v>
      </c>
    </row>
    <row r="24595" spans="1:6" ht="15.75" customHeight="1">
      <c r="A24595" s="16" t="s">
        <v>20028</v>
      </c>
      <c r="B24595" s="15" t="s">
        <v>20029</v>
      </c>
      <c r="C24595" s="16" t="s">
        <v>19808</v>
      </c>
      <c r="D24595" s="16" t="s">
        <v>10184</v>
      </c>
      <c r="E24595" s="2">
        <v>1173692</v>
      </c>
      <c r="F24595" s="4" t="e">
        <f>IF(B24595=#REF!,"",B24595)</f>
        <v>#REF!</v>
      </c>
    </row>
    <row r="24596" spans="1:6" ht="15.75" customHeight="1">
      <c r="A24596" s="15" t="s">
        <v>11977</v>
      </c>
      <c r="B24596" s="15" t="s">
        <v>11977</v>
      </c>
      <c r="C24596" s="15" t="s">
        <v>10178</v>
      </c>
      <c r="D24596" s="15" t="s">
        <v>10193</v>
      </c>
      <c r="E24596" s="2">
        <v>1266607</v>
      </c>
      <c r="F24596" s="4" t="e">
        <f>IF(B24596=#REF!,"",B24596)</f>
        <v>#REF!</v>
      </c>
    </row>
    <row r="24597" spans="1:6" ht="15.75" customHeight="1">
      <c r="A24597" s="15" t="s">
        <v>11976</v>
      </c>
      <c r="B24597" s="15" t="s">
        <v>11976</v>
      </c>
      <c r="C24597" s="15" t="s">
        <v>10178</v>
      </c>
      <c r="D24597" s="15" t="s">
        <v>10229</v>
      </c>
      <c r="E24597" s="2">
        <v>1266616</v>
      </c>
      <c r="F24597" s="4" t="e">
        <f>IF(B24597=#REF!,"",B24597)</f>
        <v>#REF!</v>
      </c>
    </row>
    <row r="24598" spans="1:6" ht="15.75" customHeight="1">
      <c r="A24598" s="15" t="s">
        <v>11975</v>
      </c>
      <c r="B24598" s="15" t="s">
        <v>11975</v>
      </c>
      <c r="C24598" s="15" t="s">
        <v>10178</v>
      </c>
      <c r="D24598" s="15" t="s">
        <v>10219</v>
      </c>
      <c r="E24598" s="2">
        <v>1266620</v>
      </c>
      <c r="F24598" s="4" t="e">
        <f>IF(B24598=#REF!,"",B24598)</f>
        <v>#REF!</v>
      </c>
    </row>
    <row r="24599" spans="1:6" ht="15.75" customHeight="1">
      <c r="A24599" s="15" t="s">
        <v>11974</v>
      </c>
      <c r="B24599" s="15" t="s">
        <v>11974</v>
      </c>
      <c r="C24599" s="15" t="s">
        <v>10178</v>
      </c>
      <c r="D24599" s="15" t="s">
        <v>10430</v>
      </c>
      <c r="E24599" s="2">
        <v>1266622</v>
      </c>
      <c r="F24599" s="4" t="e">
        <f>IF(B24599=#REF!,"",B24599)</f>
        <v>#REF!</v>
      </c>
    </row>
    <row r="24600" spans="1:6" ht="15.75" customHeight="1">
      <c r="A24600" s="15" t="s">
        <v>1315</v>
      </c>
      <c r="B24600" s="15" t="s">
        <v>1315</v>
      </c>
      <c r="C24600" s="15" t="s">
        <v>1296</v>
      </c>
      <c r="D24600" s="15" t="s">
        <v>1315</v>
      </c>
      <c r="E24600" s="2">
        <v>1336135</v>
      </c>
      <c r="F24600" s="4" t="e">
        <f>IF(B24600=#REF!,"",B24600)</f>
        <v>#REF!</v>
      </c>
    </row>
    <row r="24601" spans="1:6" ht="15.75" customHeight="1">
      <c r="A24601" s="15" t="s">
        <v>72</v>
      </c>
      <c r="B24601" s="15" t="s">
        <v>72</v>
      </c>
      <c r="C24601" s="15" t="s">
        <v>8</v>
      </c>
      <c r="D24601" s="15" t="s">
        <v>30</v>
      </c>
      <c r="E24601" s="2">
        <v>1136575</v>
      </c>
      <c r="F24601" s="4" t="str">
        <f>IF(B24601=B24600,"",B24601)</f>
        <v>Khulm</v>
      </c>
    </row>
    <row r="24602" spans="1:6" ht="15.75" customHeight="1">
      <c r="A24602" s="16" t="str">
        <f ca="1">IFERROR(__xludf.DUMMYFUNCTION("GOOGLETRANSLATE(B33048,""en"",""pt"")"),"Khuldābād")</f>
        <v>Khuldābād</v>
      </c>
      <c r="B24602" s="20" t="s">
        <v>33509</v>
      </c>
      <c r="C24602" s="20" t="s">
        <v>10178</v>
      </c>
      <c r="D24602" s="20" t="s">
        <v>10214</v>
      </c>
      <c r="E24602" s="10">
        <v>1266631</v>
      </c>
      <c r="F24602" s="4" t="str">
        <f>IF(B24602=B24601,"",B24602)</f>
        <v>Khuldābād</v>
      </c>
    </row>
    <row r="24603" spans="1:6" ht="15.75" customHeight="1">
      <c r="A24603" s="16" t="s">
        <v>11972</v>
      </c>
      <c r="B24603" s="15" t="s">
        <v>11973</v>
      </c>
      <c r="C24603" s="16" t="s">
        <v>10178</v>
      </c>
      <c r="D24603" s="16" t="s">
        <v>10214</v>
      </c>
      <c r="E24603" s="2">
        <v>1266631</v>
      </c>
      <c r="F24603" s="4" t="str">
        <f>IF(B24603=B24602,"",B24603)</f>
        <v>KhuldÄbÄd</v>
      </c>
    </row>
    <row r="24604" spans="1:6" ht="15.75" customHeight="1">
      <c r="A24604" s="16" t="str">
        <f ca="1">IFERROR(__xludf.DUMMYFUNCTION("GOOGLETRANSLATE(B45501,""en"",""pt"")"),"Khŭjayli")</f>
        <v>Khŭjayli</v>
      </c>
      <c r="B24604" s="20" t="s">
        <v>36059</v>
      </c>
      <c r="C24604" s="20" t="s">
        <v>30502</v>
      </c>
      <c r="D24604" s="20" t="s">
        <v>30511</v>
      </c>
      <c r="E24604" s="10">
        <v>601339</v>
      </c>
      <c r="F24604" s="4" t="str">
        <f>IF(B24604=B24603,"",B24604)</f>
        <v>Khŭjayli</v>
      </c>
    </row>
    <row r="24605" spans="1:6" ht="15.75" customHeight="1">
      <c r="A24605" s="16" t="str">
        <f ca="1">IFERROR(__xludf.DUMMYFUNCTION("GOOGLETRANSLATE(B45568,""en"",""pt"")"),"Khŭjaobod")</f>
        <v>Khŭjaobod</v>
      </c>
      <c r="B24605" s="20" t="s">
        <v>36076</v>
      </c>
      <c r="C24605" s="20" t="s">
        <v>30502</v>
      </c>
      <c r="D24605" s="20" t="s">
        <v>30501</v>
      </c>
      <c r="E24605" s="10">
        <v>1513600</v>
      </c>
      <c r="F24605" s="4" t="str">
        <f>IF(B24605=B24604,"",B24605)</f>
        <v>Khŭjaobod</v>
      </c>
    </row>
    <row r="24606" spans="1:6" ht="15.75" customHeight="1">
      <c r="A24606" s="16" t="str">
        <f ca="1">IFERROR(__xludf.DUMMYFUNCTION("GOOGLETRANSLATE(B41751,""en"",""pt"")"),"Khŭjand")</f>
        <v>Khŭjand</v>
      </c>
      <c r="B24606" s="20" t="s">
        <v>35784</v>
      </c>
      <c r="C24606" s="20" t="s">
        <v>25527</v>
      </c>
      <c r="D24606" s="20" t="s">
        <v>25530</v>
      </c>
      <c r="E24606" s="10">
        <v>1514879</v>
      </c>
      <c r="F24606" s="4" t="e">
        <f>IF(B24606=#REF!,"",B24606)</f>
        <v>#REF!</v>
      </c>
    </row>
    <row r="24607" spans="1:6" ht="15.75" customHeight="1">
      <c r="A24607" s="16" t="s">
        <v>16719</v>
      </c>
      <c r="B24607" s="15" t="s">
        <v>16719</v>
      </c>
      <c r="C24607" s="16" t="s">
        <v>16671</v>
      </c>
      <c r="D24607" s="16" t="s">
        <v>16686</v>
      </c>
      <c r="E24607" s="2">
        <v>609404</v>
      </c>
      <c r="F24607" s="4" t="e">
        <f>IF(B24607=#REF!,"",B24607)</f>
        <v>#REF!</v>
      </c>
    </row>
    <row r="24608" spans="1:6" ht="15.75" customHeight="1">
      <c r="A24608" s="15" t="s">
        <v>11971</v>
      </c>
      <c r="B24608" s="15" t="s">
        <v>11971</v>
      </c>
      <c r="C24608" s="15" t="s">
        <v>10178</v>
      </c>
      <c r="D24608" s="15" t="s">
        <v>10255</v>
      </c>
      <c r="E24608" s="2">
        <v>1266649</v>
      </c>
      <c r="F24608" s="4" t="e">
        <f>IF(B24608=#REF!,"",B24608)</f>
        <v>#REF!</v>
      </c>
    </row>
    <row r="24609" spans="1:6" ht="15.75" customHeight="1">
      <c r="A24609" s="15" t="s">
        <v>18519</v>
      </c>
      <c r="B24609" s="15" t="s">
        <v>18519</v>
      </c>
      <c r="C24609" s="15" t="s">
        <v>18496</v>
      </c>
      <c r="D24609" s="15" t="s">
        <v>18518</v>
      </c>
      <c r="E24609" s="2">
        <v>1516048</v>
      </c>
      <c r="F24609" s="4" t="e">
        <f>IF(B24609=#REF!,"",B24609)</f>
        <v>#REF!</v>
      </c>
    </row>
    <row r="24610" spans="1:6" ht="15.75" customHeight="1">
      <c r="A24610" s="16" t="s">
        <v>18600</v>
      </c>
      <c r="B24610" s="15" t="s">
        <v>18600</v>
      </c>
      <c r="C24610" s="16" t="s">
        <v>18551</v>
      </c>
      <c r="D24610" s="16" t="s">
        <v>18568</v>
      </c>
      <c r="E24610" s="2">
        <v>2544248</v>
      </c>
      <c r="F24610" s="4" t="e">
        <f>IF(B24610=#REF!,"",B24610)</f>
        <v>#REF!</v>
      </c>
    </row>
    <row r="24611" spans="1:6" ht="15.75" customHeight="1">
      <c r="A24611" s="16" t="s">
        <v>22513</v>
      </c>
      <c r="B24611" s="15" t="s">
        <v>22513</v>
      </c>
      <c r="C24611" s="16" t="s">
        <v>22070</v>
      </c>
      <c r="D24611" s="16" t="s">
        <v>22119</v>
      </c>
      <c r="E24611" s="2">
        <v>549373</v>
      </c>
      <c r="F24611" s="4" t="e">
        <f>IF(B24611=#REF!,"",B24611)</f>
        <v>#REF!</v>
      </c>
    </row>
    <row r="24612" spans="1:6" ht="15.75" customHeight="1">
      <c r="A24612" s="15" t="s">
        <v>22512</v>
      </c>
      <c r="B24612" s="15" t="s">
        <v>22512</v>
      </c>
      <c r="C24612" s="15" t="s">
        <v>22070</v>
      </c>
      <c r="D24612" s="15" t="s">
        <v>22077</v>
      </c>
      <c r="E24612" s="2">
        <v>549424</v>
      </c>
      <c r="F24612" s="4" t="str">
        <f>IF(B24612=B24611,"",B24612)</f>
        <v>Khosta</v>
      </c>
    </row>
    <row r="24613" spans="1:6" ht="15.75" customHeight="1">
      <c r="A24613" s="16" t="str">
        <f ca="1">IFERROR(__xludf.DUMMYFUNCTION("GOOGLETRANSLATE(B23074,""en"",""pt"")"),"Khōst")</f>
        <v>Khōst</v>
      </c>
      <c r="B24613" s="20" t="s">
        <v>31126</v>
      </c>
      <c r="C24613" s="20" t="s">
        <v>8</v>
      </c>
      <c r="D24613" s="20" t="s">
        <v>68</v>
      </c>
      <c r="E24613" s="10">
        <v>1136469</v>
      </c>
      <c r="F24613" s="4" t="e">
        <f>IF(B24613=#REF!,"",B24613)</f>
        <v>#REF!</v>
      </c>
    </row>
    <row r="24614" spans="1:6" ht="15.75" customHeight="1">
      <c r="A24614" s="15" t="s">
        <v>25545</v>
      </c>
      <c r="B24614" s="15" t="s">
        <v>25545</v>
      </c>
      <c r="C24614" s="15" t="s">
        <v>25527</v>
      </c>
      <c r="D24614" s="15" t="s">
        <v>25539</v>
      </c>
      <c r="E24614" s="2">
        <v>1221328</v>
      </c>
      <c r="F24614" s="4" t="e">
        <f>IF(B24614=#REF!,"",B24614)</f>
        <v>#REF!</v>
      </c>
    </row>
    <row r="24615" spans="1:6" ht="15.75" customHeight="1">
      <c r="A24615" s="16" t="s">
        <v>14440</v>
      </c>
      <c r="B24615" s="15" t="s">
        <v>14440</v>
      </c>
      <c r="C24615" s="16" t="s">
        <v>14240</v>
      </c>
      <c r="D24615" s="16" t="s">
        <v>14271</v>
      </c>
      <c r="E24615" s="2">
        <v>127319</v>
      </c>
      <c r="F24615" s="4" t="e">
        <f>IF(B24615=#REF!,"",B24615)</f>
        <v>#REF!</v>
      </c>
    </row>
    <row r="24616" spans="1:6" ht="15.75" customHeight="1">
      <c r="A24616" s="16" t="s">
        <v>14438</v>
      </c>
      <c r="B24616" s="15" t="s">
        <v>14439</v>
      </c>
      <c r="C24616" s="16" t="s">
        <v>14240</v>
      </c>
      <c r="D24616" s="16" t="s">
        <v>14273</v>
      </c>
      <c r="E24616" s="2">
        <v>41210</v>
      </c>
      <c r="F24616" s="4" t="e">
        <f>IF(B24616=#REF!,"",B24616)</f>
        <v>#REF!</v>
      </c>
    </row>
    <row r="24617" spans="1:6" ht="15.75" customHeight="1">
      <c r="A24617" s="16" t="s">
        <v>14437</v>
      </c>
      <c r="B24617" s="15" t="s">
        <v>14437</v>
      </c>
      <c r="C24617" s="16" t="s">
        <v>14240</v>
      </c>
      <c r="D24617" s="16" t="s">
        <v>14281</v>
      </c>
      <c r="E24617" s="2">
        <v>127349</v>
      </c>
      <c r="F24617" s="4" t="str">
        <f>IF(B24617=B24616,"",B24617)</f>
        <v>Khorramabad</v>
      </c>
    </row>
    <row r="24618" spans="1:6" ht="15.75" customHeight="1">
      <c r="A24618" s="16" t="str">
        <f ca="1">IFERROR(__xludf.DUMMYFUNCTION("GOOGLETRANSLATE(B40469,""en"",""pt"")"),"Khoroshëvo-mnevniki")</f>
        <v>Khoroshëvo-mnevniki</v>
      </c>
      <c r="B24618" s="20" t="s">
        <v>35508</v>
      </c>
      <c r="C24618" s="20" t="s">
        <v>22070</v>
      </c>
      <c r="D24618" s="20" t="s">
        <v>22119</v>
      </c>
      <c r="E24618" s="10">
        <v>549479</v>
      </c>
      <c r="F24618" s="4" t="str">
        <f>IF(B24618=B24617,"",B24618)</f>
        <v>Khoroshëvo-Mnevniki</v>
      </c>
    </row>
    <row r="24619" spans="1:6" ht="15.75" customHeight="1">
      <c r="A24619" s="16" t="s">
        <v>22510</v>
      </c>
      <c r="B24619" s="15" t="s">
        <v>22511</v>
      </c>
      <c r="C24619" s="16" t="s">
        <v>22070</v>
      </c>
      <c r="D24619" s="16" t="s">
        <v>22119</v>
      </c>
      <c r="E24619" s="2">
        <v>549479</v>
      </c>
      <c r="F24619" s="4" t="e">
        <f>IF(B24619=#REF!,"",B24619)</f>
        <v>#REF!</v>
      </c>
    </row>
    <row r="24620" spans="1:6" ht="15.75" customHeight="1">
      <c r="A24620" s="15" t="s">
        <v>11970</v>
      </c>
      <c r="B24620" s="15" t="s">
        <v>11970</v>
      </c>
      <c r="C24620" s="15" t="s">
        <v>10178</v>
      </c>
      <c r="D24620" s="15" t="s">
        <v>10214</v>
      </c>
      <c r="E24620" s="2">
        <v>1266666</v>
      </c>
      <c r="F24620" s="4" t="e">
        <f>IF(B24620=#REF!,"",B24620)</f>
        <v>#REF!</v>
      </c>
    </row>
    <row r="24621" spans="1:6" ht="15.75" customHeight="1">
      <c r="A24621" s="16" t="s">
        <v>25808</v>
      </c>
      <c r="B24621" s="15" t="s">
        <v>25808</v>
      </c>
      <c r="C24621" s="16" t="s">
        <v>25771</v>
      </c>
      <c r="D24621" s="16" t="s">
        <v>25808</v>
      </c>
      <c r="E24621" s="2">
        <v>1609776</v>
      </c>
      <c r="F24621" s="4" t="e">
        <f>IF(B24621=#REF!,"",B24621)</f>
        <v>#REF!</v>
      </c>
    </row>
    <row r="24622" spans="1:6" ht="15.75" customHeight="1">
      <c r="A24622" s="15" t="s">
        <v>25906</v>
      </c>
      <c r="B24622" s="15" t="s">
        <v>25906</v>
      </c>
      <c r="C24622" s="15" t="s">
        <v>25771</v>
      </c>
      <c r="D24622" s="15" t="s">
        <v>25774</v>
      </c>
      <c r="E24622" s="2">
        <v>1609795</v>
      </c>
      <c r="F24622" s="4" t="str">
        <f>IF(B24622=B24621,"",B24622)</f>
        <v>Khon Buri</v>
      </c>
    </row>
    <row r="24623" spans="1:6" ht="15.75" customHeight="1">
      <c r="A24623" s="16" t="str">
        <f ca="1">IFERROR(__xludf.DUMMYFUNCTION("GOOGLETRANSLATE(B34518,""en"",""pt"")"),"Khomeynī Shahr")</f>
        <v>Khomeynī Shahr</v>
      </c>
      <c r="B24623" s="20" t="s">
        <v>34253</v>
      </c>
      <c r="C24623" s="20" t="s">
        <v>14240</v>
      </c>
      <c r="D24623" s="20" t="s">
        <v>14294</v>
      </c>
      <c r="E24623" s="10">
        <v>418710</v>
      </c>
      <c r="F24623" s="4" t="str">
        <f>IF(B24623=B24622,"",B24623)</f>
        <v>Khomeynī Shahr</v>
      </c>
    </row>
    <row r="24624" spans="1:6" ht="15.75" customHeight="1">
      <c r="A24624" s="16" t="s">
        <v>14435</v>
      </c>
      <c r="B24624" s="15" t="s">
        <v>14436</v>
      </c>
      <c r="C24624" s="16" t="s">
        <v>14240</v>
      </c>
      <c r="D24624" s="16" t="s">
        <v>14294</v>
      </c>
      <c r="E24624" s="2">
        <v>418710</v>
      </c>
      <c r="F24624" s="4" t="e">
        <f>IF(B24624=#REF!,"",B24624)</f>
        <v>#REF!</v>
      </c>
    </row>
    <row r="24625" spans="1:6" ht="15.75" customHeight="1">
      <c r="A24625" s="15" t="s">
        <v>14434</v>
      </c>
      <c r="B24625" s="15" t="s">
        <v>14434</v>
      </c>
      <c r="C24625" s="15" t="s">
        <v>14240</v>
      </c>
      <c r="D24625" s="15" t="s">
        <v>14250</v>
      </c>
      <c r="E24625" s="2">
        <v>127403</v>
      </c>
      <c r="F24625" s="4" t="e">
        <f>IF(B24625=#REF!,"",B24625)</f>
        <v>#REF!</v>
      </c>
    </row>
    <row r="24626" spans="1:6" ht="15.75" customHeight="1">
      <c r="A24626" s="16" t="s">
        <v>22509</v>
      </c>
      <c r="B24626" s="15" t="s">
        <v>22509</v>
      </c>
      <c r="C24626" s="16" t="s">
        <v>22070</v>
      </c>
      <c r="D24626" s="16" t="s">
        <v>22077</v>
      </c>
      <c r="E24626" s="2">
        <v>549741</v>
      </c>
      <c r="F24626" s="4" t="e">
        <f>IF(B24626=#REF!,"",B24626)</f>
        <v>#REF!</v>
      </c>
    </row>
    <row r="24627" spans="1:6" ht="15.75" customHeight="1">
      <c r="A24627" s="15" t="s">
        <v>22507</v>
      </c>
      <c r="B24627" s="15" t="s">
        <v>22507</v>
      </c>
      <c r="C24627" s="15" t="s">
        <v>22070</v>
      </c>
      <c r="D24627" s="15" t="s">
        <v>22508</v>
      </c>
      <c r="E24627" s="2">
        <v>2124615</v>
      </c>
      <c r="F24627" s="4" t="e">
        <f>IF(B24627=#REF!,"",B24627)</f>
        <v>#REF!</v>
      </c>
    </row>
    <row r="24628" spans="1:6" ht="15.75" customHeight="1">
      <c r="A24628" s="15" t="s">
        <v>23531</v>
      </c>
      <c r="B24628" s="15" t="s">
        <v>23531</v>
      </c>
      <c r="C24628" s="15" t="s">
        <v>23454</v>
      </c>
      <c r="D24628" s="15" t="s">
        <v>6128</v>
      </c>
      <c r="E24628" s="2">
        <v>109323</v>
      </c>
      <c r="F24628" s="4" t="str">
        <f>IF(B24628=B24627,"",B24628)</f>
        <v>Khobar</v>
      </c>
    </row>
    <row r="24629" spans="1:6" ht="15.75" customHeight="1">
      <c r="A24629" s="16" t="s">
        <v>26999</v>
      </c>
      <c r="B24629" s="15" t="s">
        <v>27000</v>
      </c>
      <c r="C24629" s="16" t="s">
        <v>26870</v>
      </c>
      <c r="D24629" s="16" t="s">
        <v>26895</v>
      </c>
      <c r="E24629" s="2">
        <v>706380</v>
      </c>
      <c r="F24629" s="4" t="str">
        <f>IF(B24629=B24628,"",B24629)</f>
        <v>Khmilâ€™nyk</v>
      </c>
    </row>
    <row r="24630" spans="1:6" ht="15.75" customHeight="1">
      <c r="A24630" s="16" t="str">
        <f ca="1">IFERROR(__xludf.DUMMYFUNCTION("GOOGLETRANSLATE(B42629,""en"",""pt"")"),"Khmil'nyk")</f>
        <v>Khmil'nyk</v>
      </c>
      <c r="B24630" s="20" t="s">
        <v>36030</v>
      </c>
      <c r="C24630" s="20" t="s">
        <v>26870</v>
      </c>
      <c r="D24630" s="20" t="s">
        <v>26895</v>
      </c>
      <c r="E24630" s="10">
        <v>706380</v>
      </c>
      <c r="F24630" s="4" t="str">
        <f>IF(B24630=B24629,"",B24630)</f>
        <v>Khmil’nyk</v>
      </c>
    </row>
    <row r="24631" spans="1:6" ht="15.75" customHeight="1">
      <c r="A24631" s="16" t="s">
        <v>26997</v>
      </c>
      <c r="B24631" s="15" t="s">
        <v>26998</v>
      </c>
      <c r="C24631" s="16" t="s">
        <v>26870</v>
      </c>
      <c r="D24631" s="16" t="s">
        <v>26955</v>
      </c>
      <c r="E24631" s="2">
        <v>706369</v>
      </c>
      <c r="F24631" s="4" t="str">
        <f>IF(B24631=B24630,"",B24631)</f>
        <v>Khmelâ€™nytsâ€™kyy</v>
      </c>
    </row>
    <row r="24632" spans="1:6" ht="15.75" customHeight="1">
      <c r="A24632" s="16" t="str">
        <f ca="1">IFERROR(__xludf.DUMMYFUNCTION("GOOGLETRANSLATE(B42628,""en"",""pt"")"),"Khmel'nyts'kyy")</f>
        <v>Khmel'nyts'kyy</v>
      </c>
      <c r="B24632" s="20" t="s">
        <v>36029</v>
      </c>
      <c r="C24632" s="20" t="s">
        <v>26870</v>
      </c>
      <c r="D24632" s="20" t="s">
        <v>26955</v>
      </c>
      <c r="E24632" s="10">
        <v>706369</v>
      </c>
      <c r="F24632" s="4" t="e">
        <f>IF(B24632=#REF!,"",B24632)</f>
        <v>#REF!</v>
      </c>
    </row>
    <row r="24633" spans="1:6" ht="15.75" customHeight="1">
      <c r="A24633" s="16" t="s">
        <v>25905</v>
      </c>
      <c r="B24633" s="15" t="s">
        <v>25905</v>
      </c>
      <c r="C24633" s="16" t="s">
        <v>25771</v>
      </c>
      <c r="D24633" s="16" t="s">
        <v>25792</v>
      </c>
      <c r="E24633" s="2">
        <v>1609899</v>
      </c>
      <c r="F24633" s="4" t="e">
        <f>IF(B24633=#REF!,"",B24633)</f>
        <v>#REF!</v>
      </c>
    </row>
    <row r="24634" spans="1:6" ht="15.75" customHeight="1">
      <c r="A24634" s="15" t="s">
        <v>30558</v>
      </c>
      <c r="B24634" s="15" t="s">
        <v>30558</v>
      </c>
      <c r="C24634" s="15" t="s">
        <v>30502</v>
      </c>
      <c r="D24634" s="15" t="s">
        <v>30545</v>
      </c>
      <c r="E24634" s="2">
        <v>1513604</v>
      </c>
      <c r="F24634" s="4" t="str">
        <f>IF(B24634=B24633,"",B24634)</f>
        <v>Khiwa</v>
      </c>
    </row>
    <row r="24635" spans="1:6" ht="15.75" customHeight="1">
      <c r="A24635" s="16" t="str">
        <f ca="1">IFERROR(__xludf.DUMMYFUNCTION("GOOGLETRANSLATE(B33051,""en"",""pt"")"),"Khirkiyān")</f>
        <v>Khirkiyān</v>
      </c>
      <c r="B24635" s="20" t="s">
        <v>33510</v>
      </c>
      <c r="C24635" s="20" t="s">
        <v>10178</v>
      </c>
      <c r="D24635" s="20" t="s">
        <v>10219</v>
      </c>
      <c r="E24635" s="10">
        <v>1266710</v>
      </c>
      <c r="F24635" s="4" t="str">
        <f>IF(B24635=B24634,"",B24635)</f>
        <v>Khirkiyān</v>
      </c>
    </row>
    <row r="24636" spans="1:6" ht="15.75" customHeight="1">
      <c r="A24636" s="15" t="s">
        <v>11968</v>
      </c>
      <c r="B24636" s="15" t="s">
        <v>11969</v>
      </c>
      <c r="C24636" s="15" t="s">
        <v>10178</v>
      </c>
      <c r="D24636" s="15" t="s">
        <v>10219</v>
      </c>
      <c r="E24636" s="2">
        <v>1266710</v>
      </c>
      <c r="F24636" s="4" t="e">
        <f>IF(B24636=#REF!,"",B24636)</f>
        <v>#REF!</v>
      </c>
    </row>
    <row r="24637" spans="1:6" ht="15.75" customHeight="1">
      <c r="A24637" s="15" t="s">
        <v>1215</v>
      </c>
      <c r="B24637" s="15" t="s">
        <v>1215</v>
      </c>
      <c r="C24637" s="15" t="s">
        <v>1170</v>
      </c>
      <c r="D24637" s="15" t="s">
        <v>1216</v>
      </c>
      <c r="E24637" s="2">
        <v>585915</v>
      </c>
      <c r="F24637" s="4" t="e">
        <f>IF(B24637=#REF!,"",B24637)</f>
        <v>#REF!</v>
      </c>
    </row>
    <row r="24638" spans="1:6" ht="15.75" customHeight="1">
      <c r="A24638" s="15" t="s">
        <v>22506</v>
      </c>
      <c r="B24638" s="15" t="s">
        <v>22506</v>
      </c>
      <c r="C24638" s="15" t="s">
        <v>22070</v>
      </c>
      <c r="D24638" s="15" t="s">
        <v>22127</v>
      </c>
      <c r="E24638" s="2">
        <v>550280</v>
      </c>
      <c r="F24638" s="4" t="e">
        <f>IF(B24638=#REF!,"",B24638)</f>
        <v>#REF!</v>
      </c>
    </row>
    <row r="24639" spans="1:6" ht="15.75" customHeight="1">
      <c r="A24639" s="16" t="s">
        <v>11967</v>
      </c>
      <c r="B24639" s="15" t="s">
        <v>11967</v>
      </c>
      <c r="C24639" s="16" t="s">
        <v>10178</v>
      </c>
      <c r="D24639" s="16" t="s">
        <v>10219</v>
      </c>
      <c r="E24639" s="2">
        <v>1266731</v>
      </c>
      <c r="F24639" s="4" t="e">
        <f>IF(B24639=#REF!,"",B24639)</f>
        <v>#REF!</v>
      </c>
    </row>
    <row r="24640" spans="1:6" ht="15.75" customHeight="1">
      <c r="A24640" s="15" t="s">
        <v>20027</v>
      </c>
      <c r="B24640" s="15" t="s">
        <v>20027</v>
      </c>
      <c r="C24640" s="15" t="s">
        <v>19808</v>
      </c>
      <c r="D24640" s="15" t="s">
        <v>10184</v>
      </c>
      <c r="E24640" s="2">
        <v>1173920</v>
      </c>
      <c r="F24640" s="4" t="e">
        <f>IF(B24640=#REF!,"",B24640)</f>
        <v>#REF!</v>
      </c>
    </row>
    <row r="24641" spans="1:6" ht="15.75" customHeight="1">
      <c r="A24641" s="15" t="s">
        <v>11966</v>
      </c>
      <c r="B24641" s="15" t="s">
        <v>11966</v>
      </c>
      <c r="C24641" s="15" t="s">
        <v>10178</v>
      </c>
      <c r="D24641" s="15" t="s">
        <v>10179</v>
      </c>
      <c r="E24641" s="2">
        <v>1266744</v>
      </c>
      <c r="F24641" s="4" t="e">
        <f>IF(B24641=#REF!,"",B24641)</f>
        <v>#REF!</v>
      </c>
    </row>
    <row r="24642" spans="1:6" ht="15.75" customHeight="1">
      <c r="A24642" s="15" t="s">
        <v>11965</v>
      </c>
      <c r="B24642" s="15" t="s">
        <v>11965</v>
      </c>
      <c r="C24642" s="15" t="s">
        <v>10178</v>
      </c>
      <c r="D24642" s="15" t="s">
        <v>10214</v>
      </c>
      <c r="E24642" s="2">
        <v>1266746</v>
      </c>
      <c r="F24642" s="4" t="e">
        <f>IF(B24642=#REF!,"",B24642)</f>
        <v>#REF!</v>
      </c>
    </row>
    <row r="24643" spans="1:6" ht="15.75" customHeight="1">
      <c r="A24643" s="15" t="s">
        <v>26969</v>
      </c>
      <c r="B24643" s="15" t="s">
        <v>26969</v>
      </c>
      <c r="C24643" s="15" t="s">
        <v>26870</v>
      </c>
      <c r="D24643" s="15" t="s">
        <v>26969</v>
      </c>
      <c r="E24643" s="2">
        <v>706448</v>
      </c>
      <c r="F24643" s="4" t="e">
        <f>IF(B24643=#REF!,"",B24643)</f>
        <v>#REF!</v>
      </c>
    </row>
    <row r="24644" spans="1:6" ht="15.75" customHeight="1">
      <c r="A24644" s="15" t="s">
        <v>11964</v>
      </c>
      <c r="B24644" s="15" t="s">
        <v>11964</v>
      </c>
      <c r="C24644" s="15" t="s">
        <v>10178</v>
      </c>
      <c r="D24644" s="15" t="s">
        <v>10193</v>
      </c>
      <c r="E24644" s="2">
        <v>1266762</v>
      </c>
      <c r="F24644" s="4" t="str">
        <f>IF(B24644=B24643,"",B24644)</f>
        <v>Kheri</v>
      </c>
    </row>
    <row r="24645" spans="1:6" ht="15.75" customHeight="1">
      <c r="A24645" s="16" t="str">
        <f ca="1">IFERROR(__xludf.DUMMYFUNCTION("GOOGLETRANSLATE(B33056,""en"",""pt"")"),"Kherālu")</f>
        <v>Kherālu</v>
      </c>
      <c r="B24645" s="20" t="s">
        <v>33511</v>
      </c>
      <c r="C24645" s="20" t="s">
        <v>10178</v>
      </c>
      <c r="D24645" s="20" t="s">
        <v>10209</v>
      </c>
      <c r="E24645" s="10">
        <v>1266774</v>
      </c>
      <c r="F24645" s="4" t="str">
        <f>IF(B24645=B24644,"",B24645)</f>
        <v>Kherālu</v>
      </c>
    </row>
    <row r="24646" spans="1:6" ht="15.75" customHeight="1">
      <c r="A24646" s="15" t="s">
        <v>11962</v>
      </c>
      <c r="B24646" s="15" t="s">
        <v>11963</v>
      </c>
      <c r="C24646" s="15" t="s">
        <v>10178</v>
      </c>
      <c r="D24646" s="15" t="s">
        <v>10209</v>
      </c>
      <c r="E24646" s="2">
        <v>1266774</v>
      </c>
      <c r="F24646" s="4" t="e">
        <f>IF(B24646=#REF!,"",B24646)</f>
        <v>#REF!</v>
      </c>
    </row>
    <row r="24647" spans="1:6" ht="15.75" customHeight="1">
      <c r="A24647" s="15" t="s">
        <v>18599</v>
      </c>
      <c r="B24647" s="15" t="s">
        <v>18599</v>
      </c>
      <c r="C24647" s="15" t="s">
        <v>18551</v>
      </c>
      <c r="D24647" s="15" t="s">
        <v>18563</v>
      </c>
      <c r="E24647" s="2">
        <v>2544333</v>
      </c>
      <c r="F24647" s="4" t="e">
        <f>IF(B24647=#REF!,"",B24647)</f>
        <v>#REF!</v>
      </c>
    </row>
    <row r="24648" spans="1:6" ht="15.75" customHeight="1">
      <c r="A24648" s="16" t="s">
        <v>377</v>
      </c>
      <c r="B24648" s="15" t="s">
        <v>377</v>
      </c>
      <c r="C24648" s="16" t="s">
        <v>153</v>
      </c>
      <c r="D24648" s="16" t="s">
        <v>377</v>
      </c>
      <c r="E24648" s="2">
        <v>2491889</v>
      </c>
      <c r="F24648" s="4" t="e">
        <f>IF(B24648=#REF!,"",B24648)</f>
        <v>#REF!</v>
      </c>
    </row>
    <row r="24649" spans="1:6" ht="15.75" customHeight="1">
      <c r="A24649" s="16" t="s">
        <v>18597</v>
      </c>
      <c r="B24649" s="15" t="s">
        <v>18597</v>
      </c>
      <c r="C24649" s="16" t="s">
        <v>18551</v>
      </c>
      <c r="D24649" s="16" t="s">
        <v>18598</v>
      </c>
      <c r="E24649" s="2">
        <v>2558470</v>
      </c>
      <c r="F24649" s="4" t="e">
        <f>IF(B24649=#REF!,"",B24649)</f>
        <v>#REF!</v>
      </c>
    </row>
    <row r="24650" spans="1:6" ht="15.75" customHeight="1">
      <c r="A24650" s="16" t="s">
        <v>376</v>
      </c>
      <c r="B24650" s="15" t="s">
        <v>376</v>
      </c>
      <c r="C24650" s="16" t="s">
        <v>153</v>
      </c>
      <c r="D24650" s="16" t="s">
        <v>191</v>
      </c>
      <c r="E24650" s="2">
        <v>2491911</v>
      </c>
      <c r="F24650" s="4" t="e">
        <f>IF(B24650=#REF!,"",B24650)</f>
        <v>#REF!</v>
      </c>
    </row>
    <row r="24651" spans="1:6" ht="15.75" customHeight="1">
      <c r="A24651" s="16" t="s">
        <v>374</v>
      </c>
      <c r="B24651" s="15" t="s">
        <v>375</v>
      </c>
      <c r="C24651" s="16" t="s">
        <v>153</v>
      </c>
      <c r="D24651" s="16" t="s">
        <v>229</v>
      </c>
      <c r="E24651" s="2">
        <v>2491913</v>
      </c>
      <c r="F24651" s="4" t="e">
        <f>IF(B24651=#REF!,"",B24651)</f>
        <v>#REF!</v>
      </c>
    </row>
    <row r="24652" spans="1:6" ht="15.75" customHeight="1">
      <c r="A24652" s="15" t="s">
        <v>11961</v>
      </c>
      <c r="B24652" s="15" t="s">
        <v>11961</v>
      </c>
      <c r="C24652" s="15" t="s">
        <v>10178</v>
      </c>
      <c r="D24652" s="15" t="s">
        <v>10193</v>
      </c>
      <c r="E24652" s="2">
        <v>1266794</v>
      </c>
      <c r="F24652" s="4" t="e">
        <f>IF(B24652=#REF!,"",B24652)</f>
        <v>#REF!</v>
      </c>
    </row>
    <row r="24653" spans="1:6" ht="15.75" customHeight="1">
      <c r="A24653" s="15" t="s">
        <v>11960</v>
      </c>
      <c r="B24653" s="15" t="s">
        <v>11960</v>
      </c>
      <c r="C24653" s="15" t="s">
        <v>10178</v>
      </c>
      <c r="D24653" s="15" t="s">
        <v>10209</v>
      </c>
      <c r="E24653" s="2">
        <v>1266809</v>
      </c>
      <c r="F24653" s="4" t="e">
        <f>IF(B24653=#REF!,"",B24653)</f>
        <v>#REF!</v>
      </c>
    </row>
    <row r="24654" spans="1:6" ht="15.75" customHeight="1">
      <c r="A24654" s="16" t="s">
        <v>11959</v>
      </c>
      <c r="B24654" s="15" t="s">
        <v>11959</v>
      </c>
      <c r="C24654" s="16" t="s">
        <v>10178</v>
      </c>
      <c r="D24654" s="16" t="s">
        <v>10209</v>
      </c>
      <c r="E24654" s="2">
        <v>1266806</v>
      </c>
      <c r="F24654" s="4" t="str">
        <f>IF(B24654=B24653,"",B24654)</f>
        <v>Khed Brahma</v>
      </c>
    </row>
    <row r="24655" spans="1:6" ht="15.75" customHeight="1">
      <c r="A24655" s="16" t="str">
        <f ca="1">IFERROR(__xludf.DUMMYFUNCTION("GOOGLETRANSLATE(B23043,""en"",""pt"")"),"Khawr Fakkān")</f>
        <v>Khawr Fakkān</v>
      </c>
      <c r="B24655" s="20" t="s">
        <v>31105</v>
      </c>
      <c r="C24655" s="20" t="s">
        <v>27213</v>
      </c>
      <c r="D24655" s="20" t="s">
        <v>31106</v>
      </c>
      <c r="E24655" s="10">
        <v>291696</v>
      </c>
      <c r="F24655" s="4" t="str">
        <f>IF(B24655=B24654,"",B24655)</f>
        <v>Khawr Fakkān</v>
      </c>
    </row>
    <row r="24656" spans="1:6" ht="15.75" customHeight="1">
      <c r="A24656" s="16" t="s">
        <v>27227</v>
      </c>
      <c r="B24656" s="15" t="s">
        <v>27228</v>
      </c>
      <c r="C24656" s="16" t="s">
        <v>27213</v>
      </c>
      <c r="D24656" s="16" t="s">
        <v>27216</v>
      </c>
      <c r="E24656" s="2">
        <v>291696</v>
      </c>
      <c r="F24656" s="4" t="str">
        <f>IF(B24656=B24655,"",B24656)</f>
        <v>Khawr FakkÄn</v>
      </c>
    </row>
    <row r="24657" spans="1:6" ht="15.75" customHeight="1">
      <c r="A24657" s="16" t="str">
        <f ca="1">IFERROR(__xludf.DUMMYFUNCTION("GOOGLETRANSLATE(B33060,""en"",""pt"")"),"Khātra")</f>
        <v>Khātra</v>
      </c>
      <c r="B24657" s="20" t="s">
        <v>33512</v>
      </c>
      <c r="C24657" s="20" t="s">
        <v>10178</v>
      </c>
      <c r="D24657" s="20" t="s">
        <v>10201</v>
      </c>
      <c r="E24657" s="10">
        <v>1266838</v>
      </c>
      <c r="F24657" s="4" t="str">
        <f>IF(B24657=B24656,"",B24657)</f>
        <v>Khātra</v>
      </c>
    </row>
    <row r="24658" spans="1:6" ht="15.75" customHeight="1">
      <c r="A24658" s="16" t="str">
        <f ca="1">IFERROR(__xludf.DUMMYFUNCTION("GOOGLETRANSLATE(B33061,""en"",""pt"")"),"Khatīma")</f>
        <v>Khatīma</v>
      </c>
      <c r="B24658" s="20" t="s">
        <v>33513</v>
      </c>
      <c r="C24658" s="20" t="s">
        <v>10178</v>
      </c>
      <c r="D24658" s="20" t="s">
        <v>10299</v>
      </c>
      <c r="E24658" s="10">
        <v>1266843</v>
      </c>
      <c r="F24658" s="4" t="str">
        <f>IF(B24658=B24657,"",B24658)</f>
        <v>Khatīma</v>
      </c>
    </row>
    <row r="24659" spans="1:6" ht="15.75" customHeight="1">
      <c r="A24659" s="16" t="str">
        <f ca="1">IFERROR(__xludf.DUMMYFUNCTION("GOOGLETRANSLATE(B33062,""en"",""pt"")"),"Khātegaon")</f>
        <v>Khātegaon</v>
      </c>
      <c r="B24659" s="20" t="s">
        <v>33514</v>
      </c>
      <c r="C24659" s="20" t="s">
        <v>10178</v>
      </c>
      <c r="D24659" s="20" t="s">
        <v>10219</v>
      </c>
      <c r="E24659" s="10">
        <v>1266847</v>
      </c>
      <c r="F24659" s="4" t="e">
        <f>IF(B24659=#REF!,"",B24659)</f>
        <v>#REF!</v>
      </c>
    </row>
    <row r="24660" spans="1:6" ht="15.75" customHeight="1">
      <c r="A24660" s="15" t="s">
        <v>11958</v>
      </c>
      <c r="B24660" s="15" t="s">
        <v>11958</v>
      </c>
      <c r="C24660" s="15" t="s">
        <v>10178</v>
      </c>
      <c r="D24660" s="15" t="s">
        <v>10193</v>
      </c>
      <c r="E24660" s="2">
        <v>1266849</v>
      </c>
      <c r="F24660" s="4" t="str">
        <f>IF(B24660=B24659,"",B24660)</f>
        <v>Khatauli</v>
      </c>
    </row>
    <row r="24661" spans="1:6" ht="15.75" customHeight="1">
      <c r="A24661" s="16" t="s">
        <v>11956</v>
      </c>
      <c r="B24661" s="15" t="s">
        <v>11957</v>
      </c>
      <c r="C24661" s="16" t="s">
        <v>10178</v>
      </c>
      <c r="D24661" s="16" t="s">
        <v>10299</v>
      </c>
      <c r="E24661" s="2">
        <v>1266843</v>
      </c>
      <c r="F24661" s="4" t="e">
        <f>IF(B24661=#REF!,"",B24661)</f>
        <v>#REF!</v>
      </c>
    </row>
    <row r="24662" spans="1:6" ht="15.75" customHeight="1">
      <c r="A24662" s="15" t="s">
        <v>7994</v>
      </c>
      <c r="B24662" s="15" t="s">
        <v>7994</v>
      </c>
      <c r="C24662" s="15" t="s">
        <v>7988</v>
      </c>
      <c r="D24662" s="15" t="s">
        <v>7993</v>
      </c>
      <c r="E24662" s="2">
        <v>613988</v>
      </c>
      <c r="F24662" s="4" t="e">
        <f>IF(B24662=#REF!,"",B24662)</f>
        <v>#REF!</v>
      </c>
    </row>
    <row r="24663" spans="1:6" ht="15.75" customHeight="1">
      <c r="A24663" s="16" t="str">
        <f ca="1">IFERROR(__xludf.DUMMYFUNCTION("GOOGLETRANSLATE(B23076,""en"",""pt"")"),"Khāsh")</f>
        <v>Khāsh</v>
      </c>
      <c r="B24663" s="20" t="s">
        <v>31127</v>
      </c>
      <c r="C24663" s="20" t="s">
        <v>8</v>
      </c>
      <c r="D24663" s="20" t="s">
        <v>31107</v>
      </c>
      <c r="E24663" s="10">
        <v>1136863</v>
      </c>
      <c r="F24663" s="4" t="e">
        <f>IF(B24663=#REF!,"",B24663)</f>
        <v>#REF!</v>
      </c>
    </row>
    <row r="24664" spans="1:6" ht="15.75" customHeight="1">
      <c r="A24664" s="16" t="s">
        <v>22505</v>
      </c>
      <c r="B24664" s="15" t="s">
        <v>22505</v>
      </c>
      <c r="C24664" s="16" t="s">
        <v>22070</v>
      </c>
      <c r="D24664" s="16" t="s">
        <v>22208</v>
      </c>
      <c r="E24664" s="2">
        <v>550478</v>
      </c>
      <c r="F24664" s="4" t="e">
        <f>IF(B24664=#REF!,"",B24664)</f>
        <v>#REF!</v>
      </c>
    </row>
    <row r="24665" spans="1:6" ht="15.75" customHeight="1">
      <c r="A24665" s="15" t="s">
        <v>19791</v>
      </c>
      <c r="B24665" s="15" t="s">
        <v>19791</v>
      </c>
      <c r="C24665" s="15" t="s">
        <v>19755</v>
      </c>
      <c r="D24665" s="15" t="s">
        <v>19792</v>
      </c>
      <c r="E24665" s="2">
        <v>287614</v>
      </c>
      <c r="F24665" s="4" t="str">
        <f>IF(B24665=B24664,"",B24665)</f>
        <v>Khasab</v>
      </c>
    </row>
    <row r="24666" spans="1:6" ht="15.75" customHeight="1">
      <c r="A24666" s="16" t="str">
        <f ca="1">IFERROR(__xludf.DUMMYFUNCTION("GOOGLETRANSLATE(B33064,""en"",""pt"")"),"Khārupatia")</f>
        <v>Khārupatia</v>
      </c>
      <c r="B24666" s="20" t="s">
        <v>33515</v>
      </c>
      <c r="C24666" s="20" t="s">
        <v>10178</v>
      </c>
      <c r="D24666" s="20" t="s">
        <v>10239</v>
      </c>
      <c r="E24666" s="10">
        <v>1266862</v>
      </c>
      <c r="F24666" s="4" t="str">
        <f>IF(B24666=B24665,"",B24666)</f>
        <v>Khārupatia</v>
      </c>
    </row>
    <row r="24667" spans="1:6" ht="15.75" customHeight="1">
      <c r="A24667" s="16" t="s">
        <v>26995</v>
      </c>
      <c r="B24667" s="15" t="s">
        <v>26996</v>
      </c>
      <c r="C24667" s="16" t="s">
        <v>26870</v>
      </c>
      <c r="D24667" s="16" t="s">
        <v>22345</v>
      </c>
      <c r="E24667" s="2">
        <v>706466</v>
      </c>
      <c r="F24667" s="4" t="str">
        <f>IF(B24667=B24666,"",B24667)</f>
        <v>Khartsyzâ€™k</v>
      </c>
    </row>
    <row r="24668" spans="1:6" ht="15.75" customHeight="1">
      <c r="A24668" s="16" t="str">
        <f ca="1">IFERROR(__xludf.DUMMYFUNCTION("GOOGLETRANSLATE(B42631,""en"",""pt"")"),"KHARTSYZ'K")</f>
        <v>KHARTSYZ'K</v>
      </c>
      <c r="B24668" s="20" t="s">
        <v>36031</v>
      </c>
      <c r="C24668" s="20" t="s">
        <v>26870</v>
      </c>
      <c r="D24668" s="20" t="s">
        <v>22345</v>
      </c>
      <c r="E24668" s="10">
        <v>706466</v>
      </c>
      <c r="F24668" s="4" t="e">
        <f>IF(B24668=#REF!,"",B24668)</f>
        <v>#REF!</v>
      </c>
    </row>
    <row r="24669" spans="1:6" ht="15.75" customHeight="1">
      <c r="A24669" s="15" t="s">
        <v>25039</v>
      </c>
      <c r="B24669" s="15" t="s">
        <v>25040</v>
      </c>
      <c r="C24669" s="15" t="s">
        <v>24987</v>
      </c>
      <c r="D24669" s="15" t="s">
        <v>25040</v>
      </c>
      <c r="E24669" s="2">
        <v>379252</v>
      </c>
      <c r="F24669" s="4" t="e">
        <f>IF(B24669=#REF!,"",B24669)</f>
        <v>#REF!</v>
      </c>
    </row>
    <row r="24670" spans="1:6" ht="15.75" customHeight="1">
      <c r="A24670" s="15" t="s">
        <v>11955</v>
      </c>
      <c r="B24670" s="15" t="s">
        <v>11955</v>
      </c>
      <c r="C24670" s="15" t="s">
        <v>10178</v>
      </c>
      <c r="D24670" s="15" t="s">
        <v>10272</v>
      </c>
      <c r="E24670" s="2">
        <v>1266872</v>
      </c>
      <c r="F24670" s="4" t="e">
        <f>IF(B24670=#REF!,"",B24670)</f>
        <v>#REF!</v>
      </c>
    </row>
    <row r="24671" spans="1:6" ht="15.75" customHeight="1">
      <c r="A24671" s="16" t="s">
        <v>3730</v>
      </c>
      <c r="B24671" s="15" t="s">
        <v>3730</v>
      </c>
      <c r="C24671" s="16" t="s">
        <v>3701</v>
      </c>
      <c r="D24671" s="16" t="s">
        <v>3715</v>
      </c>
      <c r="E24671" s="2">
        <v>730442</v>
      </c>
      <c r="F24671" s="4" t="e">
        <f>IF(B24671=#REF!,"",B24671)</f>
        <v>#REF!</v>
      </c>
    </row>
    <row r="24672" spans="1:6" ht="15.75" customHeight="1">
      <c r="A24672" s="15" t="s">
        <v>26893</v>
      </c>
      <c r="B24672" s="15" t="s">
        <v>26893</v>
      </c>
      <c r="C24672" s="15" t="s">
        <v>26870</v>
      </c>
      <c r="D24672" s="15" t="s">
        <v>26893</v>
      </c>
      <c r="E24672" s="2">
        <v>706483</v>
      </c>
      <c r="F24672" s="4" t="e">
        <f>IF(B24672=#REF!,"",B24672)</f>
        <v>#REF!</v>
      </c>
    </row>
    <row r="24673" spans="1:6" ht="15.75" customHeight="1">
      <c r="A24673" s="16" t="s">
        <v>11954</v>
      </c>
      <c r="B24673" s="15" t="s">
        <v>11954</v>
      </c>
      <c r="C24673" s="16" t="s">
        <v>10178</v>
      </c>
      <c r="D24673" s="16" t="s">
        <v>10224</v>
      </c>
      <c r="E24673" s="2">
        <v>1266891</v>
      </c>
      <c r="F24673" s="4" t="str">
        <f>IF(B24673=B24672,"",B24673)</f>
        <v>Kharkhauda</v>
      </c>
    </row>
    <row r="24674" spans="1:6" ht="15.75" customHeight="1">
      <c r="A24674" s="16" t="str">
        <f ca="1">IFERROR(__xludf.DUMMYFUNCTION("GOOGLETRANSLATE(B39030,""en"",""pt"")"),"Khāriān")</f>
        <v>Khāriān</v>
      </c>
      <c r="B24674" s="20" t="s">
        <v>34981</v>
      </c>
      <c r="C24674" s="20" t="s">
        <v>19808</v>
      </c>
      <c r="D24674" s="20" t="s">
        <v>10184</v>
      </c>
      <c r="E24674" s="10">
        <v>1174042</v>
      </c>
      <c r="F24674" s="4" t="e">
        <f>IF(B24674=#REF!,"",B24674)</f>
        <v>#REF!</v>
      </c>
    </row>
    <row r="24675" spans="1:6" ht="15.75" customHeight="1">
      <c r="A24675" s="15" t="s">
        <v>11953</v>
      </c>
      <c r="B24675" s="15" t="s">
        <v>11953</v>
      </c>
      <c r="C24675" s="15" t="s">
        <v>10178</v>
      </c>
      <c r="D24675" s="15" t="s">
        <v>10219</v>
      </c>
      <c r="E24675" s="2">
        <v>1266928</v>
      </c>
      <c r="F24675" s="4" t="e">
        <f>IF(B24675=#REF!,"",B24675)</f>
        <v>#REF!</v>
      </c>
    </row>
    <row r="24676" spans="1:6" ht="15.75" customHeight="1">
      <c r="A24676" s="15" t="s">
        <v>11952</v>
      </c>
      <c r="B24676" s="15" t="s">
        <v>11952</v>
      </c>
      <c r="C24676" s="15" t="s">
        <v>10178</v>
      </c>
      <c r="D24676" s="15" t="s">
        <v>10201</v>
      </c>
      <c r="E24676" s="2">
        <v>1266945</v>
      </c>
      <c r="F24676" s="4" t="e">
        <f>IF(B24676=#REF!,"",B24676)</f>
        <v>#REF!</v>
      </c>
    </row>
    <row r="24677" spans="1:6" ht="15.75" customHeight="1">
      <c r="A24677" s="15" t="s">
        <v>11951</v>
      </c>
      <c r="B24677" s="15" t="s">
        <v>11951</v>
      </c>
      <c r="C24677" s="15" t="s">
        <v>10178</v>
      </c>
      <c r="D24677" s="15" t="s">
        <v>10184</v>
      </c>
      <c r="E24677" s="2">
        <v>1266960</v>
      </c>
      <c r="F24677" s="4" t="str">
        <f>IF(B24677=B24676,"",B24677)</f>
        <v>Kharar</v>
      </c>
    </row>
    <row r="24678" spans="1:6" ht="15.75" customHeight="1">
      <c r="A24678" s="16" t="str">
        <f ca="1">IFERROR(__xludf.DUMMYFUNCTION("GOOGLETRANSLATE(B39031,""en"",""pt"")"),"Khārān")</f>
        <v>Khārān</v>
      </c>
      <c r="B24678" s="20" t="s">
        <v>34982</v>
      </c>
      <c r="C24678" s="20" t="s">
        <v>19808</v>
      </c>
      <c r="D24678" s="20" t="s">
        <v>34892</v>
      </c>
      <c r="E24678" s="10">
        <v>1174062</v>
      </c>
      <c r="F24678" s="4" t="e">
        <f>IF(B24678=#REF!,"",B24678)</f>
        <v>#REF!</v>
      </c>
    </row>
    <row r="24679" spans="1:6" ht="15.75" customHeight="1">
      <c r="A24679" s="16" t="s">
        <v>11950</v>
      </c>
      <c r="B24679" s="15" t="s">
        <v>11950</v>
      </c>
      <c r="C24679" s="16" t="s">
        <v>10178</v>
      </c>
      <c r="D24679" s="16" t="s">
        <v>10214</v>
      </c>
      <c r="E24679" s="2">
        <v>1266966</v>
      </c>
      <c r="F24679" s="4" t="e">
        <f>IF(B24679=#REF!,"",B24679)</f>
        <v>#REF!</v>
      </c>
    </row>
    <row r="24680" spans="1:6" ht="15.75" customHeight="1">
      <c r="A24680" s="16" t="s">
        <v>11949</v>
      </c>
      <c r="B24680" s="15" t="s">
        <v>11949</v>
      </c>
      <c r="C24680" s="16" t="s">
        <v>10178</v>
      </c>
      <c r="D24680" s="16" t="s">
        <v>10317</v>
      </c>
      <c r="E24680" s="2">
        <v>1266975</v>
      </c>
      <c r="F24680" s="4" t="e">
        <f>IF(B24680=#REF!,"",B24680)</f>
        <v>#REF!</v>
      </c>
    </row>
    <row r="24681" spans="1:6" ht="15.75" customHeight="1">
      <c r="A24681" s="15" t="s">
        <v>22504</v>
      </c>
      <c r="B24681" s="15" t="s">
        <v>22504</v>
      </c>
      <c r="C24681" s="15" t="s">
        <v>22070</v>
      </c>
      <c r="D24681" s="15" t="s">
        <v>22096</v>
      </c>
      <c r="E24681" s="2">
        <v>550671</v>
      </c>
      <c r="F24681" s="4" t="str">
        <f>IF(B24681=B24680,"",B24681)</f>
        <v>Kharabali</v>
      </c>
    </row>
    <row r="24682" spans="1:6" ht="15.75" customHeight="1">
      <c r="A24682" s="16" t="str">
        <f ca="1">IFERROR(__xludf.DUMMYFUNCTION("GOOGLETRANSLATE(B33073,""en"",""pt"")"),"Khāpa")</f>
        <v>Khāpa</v>
      </c>
      <c r="B24682" s="20" t="s">
        <v>33516</v>
      </c>
      <c r="C24682" s="20" t="s">
        <v>10178</v>
      </c>
      <c r="D24682" s="20" t="s">
        <v>10214</v>
      </c>
      <c r="E24682" s="10">
        <v>1267006</v>
      </c>
      <c r="F24682" s="4" t="e">
        <f>IF(B24682=#REF!,"",B24682)</f>
        <v>#REF!</v>
      </c>
    </row>
    <row r="24683" spans="1:6" ht="15.75" customHeight="1">
      <c r="A24683" s="15" t="s">
        <v>25903</v>
      </c>
      <c r="B24683" s="15" t="s">
        <v>25904</v>
      </c>
      <c r="C24683" s="15" t="s">
        <v>25771</v>
      </c>
      <c r="D24683" s="15" t="s">
        <v>25855</v>
      </c>
      <c r="E24683" s="2">
        <v>1152919</v>
      </c>
      <c r="F24683" s="4" t="e">
        <f>IF(B24683=#REF!,"",B24683)</f>
        <v>#REF!</v>
      </c>
    </row>
    <row r="24684" spans="1:6" ht="15.75" customHeight="1">
      <c r="A24684" s="16" t="s">
        <v>25902</v>
      </c>
      <c r="B24684" s="15" t="s">
        <v>25902</v>
      </c>
      <c r="C24684" s="16" t="s">
        <v>25771</v>
      </c>
      <c r="D24684" s="16" t="s">
        <v>25893</v>
      </c>
      <c r="E24684" s="2">
        <v>1609990</v>
      </c>
      <c r="F24684" s="4" t="e">
        <f>IF(B24684=#REF!,"",B24684)</f>
        <v>#REF!</v>
      </c>
    </row>
    <row r="24685" spans="1:6" ht="15.75" customHeight="1">
      <c r="A24685" s="16" t="s">
        <v>25901</v>
      </c>
      <c r="B24685" s="15" t="s">
        <v>25901</v>
      </c>
      <c r="C24685" s="16" t="s">
        <v>25771</v>
      </c>
      <c r="D24685" s="16" t="s">
        <v>25895</v>
      </c>
      <c r="E24685" s="2">
        <v>1152953</v>
      </c>
      <c r="F24685" s="4" t="e">
        <f>IF(B24685=#REF!,"",B24685)</f>
        <v>#REF!</v>
      </c>
    </row>
    <row r="24686" spans="1:6" ht="15.75" customHeight="1">
      <c r="A24686" s="16" t="s">
        <v>22503</v>
      </c>
      <c r="B24686" s="15" t="s">
        <v>22503</v>
      </c>
      <c r="C24686" s="16" t="s">
        <v>22070</v>
      </c>
      <c r="D24686" s="16" t="s">
        <v>22217</v>
      </c>
      <c r="E24686" s="2">
        <v>1503772</v>
      </c>
      <c r="F24686" s="4" t="e">
        <f>IF(B24686=#REF!,"",B24686)</f>
        <v>#REF!</v>
      </c>
    </row>
    <row r="24687" spans="1:6" ht="15.75" customHeight="1">
      <c r="A24687" s="16" t="str">
        <f ca="1">IFERROR(__xludf.DUMMYFUNCTION("GOOGLETRANSLATE(B39032,""en"",""pt"")"),"Khānpur")</f>
        <v>Khānpur</v>
      </c>
      <c r="B24687" s="20" t="s">
        <v>34983</v>
      </c>
      <c r="C24687" s="20" t="s">
        <v>19808</v>
      </c>
      <c r="D24687" s="20" t="s">
        <v>10184</v>
      </c>
      <c r="E24687" s="10">
        <v>1174167</v>
      </c>
      <c r="F24687" s="4" t="e">
        <f>IF(B24687=#REF!,"",B24687)</f>
        <v>#REF!</v>
      </c>
    </row>
    <row r="24688" spans="1:6" ht="15.75" customHeight="1">
      <c r="A24688" s="15" t="s">
        <v>11948</v>
      </c>
      <c r="B24688" s="15" t="s">
        <v>11948</v>
      </c>
      <c r="C24688" s="15" t="s">
        <v>10178</v>
      </c>
      <c r="D24688" s="15" t="s">
        <v>10184</v>
      </c>
      <c r="E24688" s="2">
        <v>1267016</v>
      </c>
      <c r="F24688" s="4" t="e">
        <f>IF(B24688=#REF!,"",B24688)</f>
        <v>#REF!</v>
      </c>
    </row>
    <row r="24689" spans="1:6" ht="15.75" customHeight="1">
      <c r="A24689" s="16" t="s">
        <v>26601</v>
      </c>
      <c r="B24689" s="15" t="s">
        <v>26601</v>
      </c>
      <c r="C24689" s="16" t="s">
        <v>26201</v>
      </c>
      <c r="D24689" s="16" t="s">
        <v>26248</v>
      </c>
      <c r="E24689" s="2">
        <v>749748</v>
      </c>
      <c r="F24689" s="4" t="str">
        <f>IF(B24689=B24688,"",B24689)</f>
        <v>Khanjarah</v>
      </c>
    </row>
    <row r="24690" spans="1:6" ht="15.75" customHeight="1">
      <c r="A24690" s="16" t="str">
        <f ca="1">IFERROR(__xludf.DUMMYFUNCTION("GOOGLETRANSLATE(B39034,""en"",""pt"")"),"Khāngarh")</f>
        <v>Khāngarh</v>
      </c>
      <c r="B24690" s="20" t="s">
        <v>34984</v>
      </c>
      <c r="C24690" s="20" t="s">
        <v>19808</v>
      </c>
      <c r="D24690" s="20" t="s">
        <v>10184</v>
      </c>
      <c r="E24690" s="10">
        <v>1174211</v>
      </c>
      <c r="F24690" s="4" t="str">
        <f>IF(B24690=B24689,"",B24690)</f>
        <v>Khāngarh</v>
      </c>
    </row>
    <row r="24691" spans="1:6" ht="15.75" customHeight="1">
      <c r="A24691" s="16" t="str">
        <f ca="1">IFERROR(__xludf.DUMMYFUNCTION("GOOGLETRANSLATE(B39035,""en"",""pt"")"),"Khāngāh Dogān")</f>
        <v>Khāngāh Dogān</v>
      </c>
      <c r="B24691" s="20" t="s">
        <v>34985</v>
      </c>
      <c r="C24691" s="20" t="s">
        <v>19808</v>
      </c>
      <c r="D24691" s="20" t="s">
        <v>10184</v>
      </c>
      <c r="E24691" s="10">
        <v>1174217</v>
      </c>
      <c r="F24691" s="4" t="e">
        <f>IF(B24691=#REF!,"",B24691)</f>
        <v>#REF!</v>
      </c>
    </row>
    <row r="24692" spans="1:6" ht="15.75" customHeight="1">
      <c r="A24692" s="15" t="s">
        <v>11947</v>
      </c>
      <c r="B24692" s="15" t="s">
        <v>11947</v>
      </c>
      <c r="C24692" s="15" t="s">
        <v>10178</v>
      </c>
      <c r="D24692" s="15" t="s">
        <v>10219</v>
      </c>
      <c r="E24692" s="2">
        <v>1267031</v>
      </c>
      <c r="F24692" s="4" t="e">
        <f>IF(B24692=#REF!,"",B24692)</f>
        <v>#REF!</v>
      </c>
    </row>
    <row r="24693" spans="1:6" ht="15.75" customHeight="1">
      <c r="A24693" s="15" t="s">
        <v>11946</v>
      </c>
      <c r="B24693" s="15" t="s">
        <v>11946</v>
      </c>
      <c r="C24693" s="15" t="s">
        <v>10178</v>
      </c>
      <c r="D24693" s="15" t="s">
        <v>10179</v>
      </c>
      <c r="E24693" s="2">
        <v>1267044</v>
      </c>
      <c r="F24693" s="4" t="str">
        <f>IF(B24693=B24692,"",B24693)</f>
        <v>Khandela</v>
      </c>
    </row>
    <row r="24694" spans="1:6" ht="15.75" customHeight="1">
      <c r="A24694" s="16" t="str">
        <f ca="1">IFERROR(__xludf.DUMMYFUNCTION("GOOGLETRANSLATE(B38189,""en"",""pt"")"),"Khāndbāri")</f>
        <v>Khāndbāri</v>
      </c>
      <c r="B24694" s="20" t="s">
        <v>34829</v>
      </c>
      <c r="C24694" s="20" t="s">
        <v>18800</v>
      </c>
      <c r="D24694" s="20" t="s">
        <v>18807</v>
      </c>
      <c r="E24694" s="10">
        <v>1283217</v>
      </c>
      <c r="F24694" s="4" t="str">
        <f>IF(B24694=B24693,"",B24694)</f>
        <v>Khāndbāri</v>
      </c>
    </row>
    <row r="24695" spans="1:6" ht="15.75" customHeight="1">
      <c r="A24695" s="16" t="str">
        <f ca="1">IFERROR(__xludf.DUMMYFUNCTION("GOOGLETRANSLATE(B33077,""en"",""pt"")"),"Khānāpur")</f>
        <v>Khānāpur</v>
      </c>
      <c r="B24695" s="20" t="s">
        <v>33517</v>
      </c>
      <c r="C24695" s="20" t="s">
        <v>10178</v>
      </c>
      <c r="D24695" s="20" t="s">
        <v>10252</v>
      </c>
      <c r="E24695" s="10">
        <v>1267065</v>
      </c>
      <c r="F24695" s="4" t="e">
        <f>IF(B24695=#REF!,"",B24695)</f>
        <v>#REF!</v>
      </c>
    </row>
    <row r="24696" spans="1:6" ht="15.75" customHeight="1">
      <c r="A24696" s="16" t="s">
        <v>69</v>
      </c>
      <c r="B24696" s="15" t="s">
        <v>70</v>
      </c>
      <c r="C24696" s="16" t="s">
        <v>8</v>
      </c>
      <c r="D24696" s="16" t="s">
        <v>71</v>
      </c>
      <c r="E24696" s="2">
        <v>1137168</v>
      </c>
      <c r="F24696" s="4" t="str">
        <f>IF(B24696=B24695,"",B24696)</f>
        <v>Khanabad</v>
      </c>
    </row>
    <row r="24697" spans="1:6" ht="15.75" customHeight="1">
      <c r="A24697" s="16" t="str">
        <f ca="1">IFERROR(__xludf.DUMMYFUNCTION("GOOGLETRANSLATE(B39527,""en"",""pt"")"),"Khān Yūnis")</f>
        <v>Khān Yūnis</v>
      </c>
      <c r="B24697" s="20" t="s">
        <v>35260</v>
      </c>
      <c r="C24697" s="20" t="s">
        <v>20297</v>
      </c>
      <c r="D24697" s="20" t="s">
        <v>20305</v>
      </c>
      <c r="E24697" s="10">
        <v>281124</v>
      </c>
      <c r="F24697" s="4" t="str">
        <f>IF(B24697=B24696,"",B24697)</f>
        <v>Khān Yūnis</v>
      </c>
    </row>
    <row r="24698" spans="1:6" ht="15.75" customHeight="1">
      <c r="A24698" s="16" t="str">
        <f ca="1">IFERROR(__xludf.DUMMYFUNCTION("GOOGLETRANSLATE(B41414,""en"",""pt"")"),"Khān Shaykhūn")</f>
        <v>Khān Shaykhūn</v>
      </c>
      <c r="B24698" s="20" t="s">
        <v>35738</v>
      </c>
      <c r="C24698" s="20" t="s">
        <v>25366</v>
      </c>
      <c r="D24698" s="20" t="s">
        <v>25392</v>
      </c>
      <c r="E24698" s="10">
        <v>168325</v>
      </c>
      <c r="F24698" s="4" t="e">
        <f>IF(B24698=#REF!,"",B24698)</f>
        <v>#REF!</v>
      </c>
    </row>
    <row r="24699" spans="1:6" ht="15.75" customHeight="1">
      <c r="A24699" s="16" t="s">
        <v>11945</v>
      </c>
      <c r="B24699" s="15" t="s">
        <v>11945</v>
      </c>
      <c r="C24699" s="16" t="s">
        <v>10178</v>
      </c>
      <c r="D24699" s="16" t="s">
        <v>10187</v>
      </c>
      <c r="E24699" s="2">
        <v>1267076</v>
      </c>
      <c r="F24699" s="4" t="e">
        <f>IF(B24699=#REF!,"",B24699)</f>
        <v>#REF!</v>
      </c>
    </row>
    <row r="24700" spans="1:6" ht="15.75" customHeight="1">
      <c r="A24700" s="16" t="s">
        <v>23530</v>
      </c>
      <c r="B24700" s="15" t="s">
        <v>23530</v>
      </c>
      <c r="C24700" s="16" t="s">
        <v>23454</v>
      </c>
      <c r="D24700" s="16" t="s">
        <v>23469</v>
      </c>
      <c r="E24700" s="2">
        <v>105072</v>
      </c>
      <c r="F24700" s="4" t="str">
        <f>IF(B24700=B24699,"",B24700)</f>
        <v>Khamis Mushait</v>
      </c>
    </row>
    <row r="24701" spans="1:6" ht="15.75" customHeight="1">
      <c r="A24701" s="16" t="str">
        <f ca="1">IFERROR(__xludf.DUMMYFUNCTION("GOOGLETRANSLATE(B33079,""en"",""pt"")"),"Khāmgaon")</f>
        <v>Khāmgaon</v>
      </c>
      <c r="B24701" s="20" t="s">
        <v>33518</v>
      </c>
      <c r="C24701" s="20" t="s">
        <v>10178</v>
      </c>
      <c r="D24701" s="20" t="s">
        <v>10214</v>
      </c>
      <c r="E24701" s="10">
        <v>1267084</v>
      </c>
      <c r="F24701" s="4" t="str">
        <f>IF(B24701=B24700,"",B24701)</f>
        <v>Khāmgaon</v>
      </c>
    </row>
    <row r="24702" spans="1:6" ht="15.75" customHeight="1">
      <c r="A24702" s="16" t="str">
        <f ca="1">IFERROR(__xludf.DUMMYFUNCTION("GOOGLETRANSLATE(B33080,""en"",""pt"")"),"Khambhāt")</f>
        <v>Khambhāt</v>
      </c>
      <c r="B24702" s="20" t="s">
        <v>33519</v>
      </c>
      <c r="C24702" s="20" t="s">
        <v>10178</v>
      </c>
      <c r="D24702" s="20" t="s">
        <v>10209</v>
      </c>
      <c r="E24702" s="10">
        <v>1267090</v>
      </c>
      <c r="F24702" s="4" t="str">
        <f>IF(B24702=B24701,"",B24702)</f>
        <v>Khambhāt</v>
      </c>
    </row>
    <row r="24703" spans="1:6" ht="15.75" customHeight="1">
      <c r="A24703" s="16" t="str">
        <f ca="1">IFERROR(__xludf.DUMMYFUNCTION("GOOGLETRANSLATE(B33081,""en"",""pt"")"),"Khambhāliya")</f>
        <v>Khambhāliya</v>
      </c>
      <c r="B24703" s="20" t="s">
        <v>33520</v>
      </c>
      <c r="C24703" s="20" t="s">
        <v>10178</v>
      </c>
      <c r="D24703" s="20" t="s">
        <v>10209</v>
      </c>
      <c r="E24703" s="10">
        <v>1267091</v>
      </c>
      <c r="F24703" s="4" t="str">
        <f>IF(B24703=B24702,"",B24703)</f>
        <v>Khambhāliya</v>
      </c>
    </row>
    <row r="24704" spans="1:6" ht="15.75" customHeight="1">
      <c r="A24704" s="16" t="s">
        <v>11943</v>
      </c>
      <c r="B24704" s="15" t="s">
        <v>11944</v>
      </c>
      <c r="C24704" s="16" t="s">
        <v>10178</v>
      </c>
      <c r="D24704" s="16" t="s">
        <v>10209</v>
      </c>
      <c r="E24704" s="2">
        <v>1267090</v>
      </c>
      <c r="F24704" s="4" t="str">
        <f>IF(B24704=B24703,"",B24704)</f>
        <v>KhambhÄt</v>
      </c>
    </row>
    <row r="24705" spans="1:6" ht="15.75" customHeight="1">
      <c r="A24705" s="16" t="s">
        <v>11941</v>
      </c>
      <c r="B24705" s="15" t="s">
        <v>11942</v>
      </c>
      <c r="C24705" s="16" t="s">
        <v>10178</v>
      </c>
      <c r="D24705" s="16" t="s">
        <v>10209</v>
      </c>
      <c r="E24705" s="2">
        <v>1267091</v>
      </c>
      <c r="F24705" s="4" t="e">
        <f>IF(B24705=#REF!,"",B24705)</f>
        <v>#REF!</v>
      </c>
    </row>
    <row r="24706" spans="1:6" ht="15.75" customHeight="1">
      <c r="A24706" s="15" t="s">
        <v>11940</v>
      </c>
      <c r="B24706" s="15" t="s">
        <v>11940</v>
      </c>
      <c r="C24706" s="15" t="s">
        <v>10178</v>
      </c>
      <c r="D24706" s="15" t="s">
        <v>10219</v>
      </c>
      <c r="E24706" s="2">
        <v>1267097</v>
      </c>
      <c r="F24706" s="4" t="str">
        <f>IF(B24706=B24705,"",B24706)</f>
        <v>Khamaria</v>
      </c>
    </row>
    <row r="24707" spans="1:6" ht="15.75" customHeight="1">
      <c r="A24707" s="16" t="str">
        <f ca="1">IFERROR(__xludf.DUMMYFUNCTION("GOOGLETRANSLATE(B34430,""en"",""pt"")"),"Khalkhāl")</f>
        <v>Khalkhāl</v>
      </c>
      <c r="B24707" s="20" t="s">
        <v>34185</v>
      </c>
      <c r="C24707" s="20" t="s">
        <v>14240</v>
      </c>
      <c r="D24707" s="20" t="s">
        <v>34164</v>
      </c>
      <c r="E24707" s="10">
        <v>128008</v>
      </c>
      <c r="F24707" s="4" t="str">
        <f>IF(B24707=B24706,"",B24707)</f>
        <v>Khalkhāl</v>
      </c>
    </row>
    <row r="24708" spans="1:6" ht="15.75" customHeight="1">
      <c r="A24708" s="15" t="s">
        <v>14432</v>
      </c>
      <c r="B24708" s="15" t="s">
        <v>14433</v>
      </c>
      <c r="C24708" s="15" t="s">
        <v>14240</v>
      </c>
      <c r="D24708" s="15" t="s">
        <v>14288</v>
      </c>
      <c r="E24708" s="2">
        <v>128008</v>
      </c>
      <c r="F24708" s="4" t="str">
        <f>IF(B24708=B24707,"",B24708)</f>
        <v>KhalkhÄl</v>
      </c>
    </row>
    <row r="24709" spans="1:6" ht="15.75" customHeight="1">
      <c r="A24709" s="16" t="str">
        <f ca="1">IFERROR(__xludf.DUMMYFUNCTION("GOOGLETRANSLATE(B34321,""en"",""pt"")"),"Khāliş")</f>
        <v>Khāliş</v>
      </c>
      <c r="B24709" s="20" t="s">
        <v>34101</v>
      </c>
      <c r="C24709" s="20" t="s">
        <v>14594</v>
      </c>
      <c r="D24709" s="20" t="s">
        <v>34078</v>
      </c>
      <c r="E24709" s="10">
        <v>99169</v>
      </c>
      <c r="F24709" s="4" t="str">
        <f>IF(B24709=B24708,"",B24709)</f>
        <v>Khāliş</v>
      </c>
    </row>
    <row r="24710" spans="1:6" ht="15.75" customHeight="1">
      <c r="A24710" s="16" t="str">
        <f ca="1">IFERROR(__xludf.DUMMYFUNCTION("GOOGLETRANSLATE(B33083,""en"",""pt"")"),"Khalīlābād")</f>
        <v>Khalīlābād</v>
      </c>
      <c r="B24710" s="20" t="s">
        <v>33521</v>
      </c>
      <c r="C24710" s="20" t="s">
        <v>10178</v>
      </c>
      <c r="D24710" s="20" t="s">
        <v>10193</v>
      </c>
      <c r="E24710" s="10">
        <v>1267115</v>
      </c>
      <c r="F24710" s="4" t="str">
        <f>IF(B24710=B24709,"",B24710)</f>
        <v>Khalīlābād</v>
      </c>
    </row>
    <row r="24711" spans="1:6" ht="15.75" customHeight="1">
      <c r="A24711" s="16" t="str">
        <f ca="1">IFERROR(__xludf.DUMMYFUNCTION("GOOGLETRANSLATE(B30995,""en"",""pt"")"),"Khalándrion")</f>
        <v>Khalándrion</v>
      </c>
      <c r="B24711" s="20" t="s">
        <v>9549</v>
      </c>
      <c r="C24711" s="20" t="s">
        <v>9441</v>
      </c>
      <c r="D24711" s="20" t="s">
        <v>9445</v>
      </c>
      <c r="E24711" s="10">
        <v>260172</v>
      </c>
      <c r="F24711" s="4" t="str">
        <f>IF(B24711=B24710,"",B24711)</f>
        <v>Khalándrion</v>
      </c>
    </row>
    <row r="24712" spans="1:6" ht="15.75" customHeight="1">
      <c r="A24712" s="16" t="str">
        <f ca="1">IFERROR(__xludf.DUMMYFUNCTION("GOOGLETRANSLATE(B39036,""en"",""pt"")"),"Khalābat")</f>
        <v>Khalābat</v>
      </c>
      <c r="B24712" s="20" t="s">
        <v>34986</v>
      </c>
      <c r="C24712" s="20" t="s">
        <v>19808</v>
      </c>
      <c r="D24712" s="20" t="s">
        <v>19811</v>
      </c>
      <c r="E24712" s="10">
        <v>1174301</v>
      </c>
      <c r="F24712" s="4" t="str">
        <f>IF(B24712=B24711,"",B24712)</f>
        <v>Khalābat</v>
      </c>
    </row>
    <row r="24713" spans="1:6" ht="15.75" customHeight="1">
      <c r="A24713" s="15" t="s">
        <v>20025</v>
      </c>
      <c r="B24713" s="15" t="s">
        <v>20026</v>
      </c>
      <c r="C24713" s="15" t="s">
        <v>19808</v>
      </c>
      <c r="D24713" s="15" t="s">
        <v>19811</v>
      </c>
      <c r="E24713" s="2">
        <v>1174301</v>
      </c>
      <c r="F24713" s="4" t="str">
        <f>IF(B24713=B24712,"",B24713)</f>
        <v>KhalÄbat</v>
      </c>
    </row>
    <row r="24714" spans="1:6" ht="15.75" customHeight="1">
      <c r="A24714" s="16" t="s">
        <v>11938</v>
      </c>
      <c r="B24714" s="15" t="s">
        <v>11939</v>
      </c>
      <c r="C24714" s="16" t="s">
        <v>10178</v>
      </c>
      <c r="D24714" s="16" t="s">
        <v>10193</v>
      </c>
      <c r="E24714" s="2">
        <v>1267115</v>
      </c>
      <c r="F24714" s="4" t="str">
        <f>IF(B24714=B24713,"",B24714)</f>
        <v>KhalÄ«lÄbÄd</v>
      </c>
    </row>
    <row r="24715" spans="1:6" ht="15.75" customHeight="1">
      <c r="A24715" s="16" t="s">
        <v>9549</v>
      </c>
      <c r="B24715" s="15" t="s">
        <v>9550</v>
      </c>
      <c r="C24715" s="16" t="s">
        <v>9441</v>
      </c>
      <c r="D24715" s="16" t="s">
        <v>9445</v>
      </c>
      <c r="E24715" s="2">
        <v>260172</v>
      </c>
      <c r="F24715" s="4" t="str">
        <f>IF(B24715=B24714,"",B24715)</f>
        <v>KhalÃ¡ndrion</v>
      </c>
    </row>
    <row r="24716" spans="1:6" ht="15.75" customHeight="1">
      <c r="A24716" s="16" t="str">
        <f ca="1">IFERROR(__xludf.DUMMYFUNCTION("GOOGLETRANSLATE(B33084,""en"",""pt"")"),"Khajurāho")</f>
        <v>Khajurāho</v>
      </c>
      <c r="B24716" s="20" t="s">
        <v>33522</v>
      </c>
      <c r="C24716" s="20" t="s">
        <v>10178</v>
      </c>
      <c r="D24716" s="20" t="s">
        <v>10219</v>
      </c>
      <c r="E24716" s="10">
        <v>1267154</v>
      </c>
      <c r="F24716" s="4" t="str">
        <f>IF(B24716=B24715,"",B24716)</f>
        <v>Khajurāho</v>
      </c>
    </row>
    <row r="24717" spans="1:6" ht="15.75" customHeight="1">
      <c r="A24717" s="16" t="s">
        <v>11936</v>
      </c>
      <c r="B24717" s="15" t="s">
        <v>11937</v>
      </c>
      <c r="C24717" s="16" t="s">
        <v>10178</v>
      </c>
      <c r="D24717" s="16" t="s">
        <v>10219</v>
      </c>
      <c r="E24717" s="2">
        <v>1267154</v>
      </c>
      <c r="F24717" s="4" t="str">
        <f>IF(B24717=B24716,"",B24717)</f>
        <v>KhajurÄho</v>
      </c>
    </row>
    <row r="24718" spans="1:6" ht="15.75" customHeight="1">
      <c r="A24718" s="15" t="s">
        <v>30556</v>
      </c>
      <c r="B24718" s="15" t="s">
        <v>30557</v>
      </c>
      <c r="C24718" s="15" t="s">
        <v>30502</v>
      </c>
      <c r="D24718" s="15" t="s">
        <v>30511</v>
      </c>
      <c r="E24718" s="2">
        <v>601339</v>
      </c>
      <c r="F24718" s="4" t="str">
        <f>IF(B24718=B24717,"",B24718)</f>
        <v>KhÅ­jayli</v>
      </c>
    </row>
    <row r="24719" spans="1:6" ht="15.75" customHeight="1">
      <c r="A24719" s="16" t="s">
        <v>30554</v>
      </c>
      <c r="B24719" s="15" t="s">
        <v>30555</v>
      </c>
      <c r="C24719" s="16" t="s">
        <v>30502</v>
      </c>
      <c r="D24719" s="16" t="s">
        <v>30501</v>
      </c>
      <c r="E24719" s="2">
        <v>1513600</v>
      </c>
      <c r="F24719" s="4" t="str">
        <f>IF(B24719=B24718,"",B24719)</f>
        <v>KhÅ­jaobod</v>
      </c>
    </row>
    <row r="24720" spans="1:6" ht="15.75" customHeight="1">
      <c r="A24720" s="15" t="s">
        <v>25543</v>
      </c>
      <c r="B24720" s="15" t="s">
        <v>25544</v>
      </c>
      <c r="C24720" s="15" t="s">
        <v>25527</v>
      </c>
      <c r="D24720" s="15" t="s">
        <v>25530</v>
      </c>
      <c r="E24720" s="2">
        <v>1514879</v>
      </c>
      <c r="F24720" s="4" t="str">
        <f>IF(B24720=B24719,"",B24720)</f>
        <v>KhÅ­jand</v>
      </c>
    </row>
    <row r="24721" spans="1:6" ht="15.75" customHeight="1">
      <c r="A24721" s="16" t="str">
        <f ca="1">IFERROR(__xludf.DUMMYFUNCTION("GOOGLETRANSLATE(B39037,""en"",""pt"")"),"Khairpur Nathan Shāh")</f>
        <v>Khairpur Nathan Shāh</v>
      </c>
      <c r="B24721" s="20" t="s">
        <v>34987</v>
      </c>
      <c r="C24721" s="20" t="s">
        <v>19808</v>
      </c>
      <c r="D24721" s="20" t="s">
        <v>19823</v>
      </c>
      <c r="E24721" s="10">
        <v>1174344</v>
      </c>
      <c r="F24721" s="4" t="str">
        <f>IF(B24721=B24720,"",B24721)</f>
        <v>Khairpur Nathan Shāh</v>
      </c>
    </row>
    <row r="24722" spans="1:6" ht="15.75" customHeight="1">
      <c r="A24722" s="16" t="s">
        <v>20023</v>
      </c>
      <c r="B24722" s="15" t="s">
        <v>20024</v>
      </c>
      <c r="C24722" s="16" t="s">
        <v>19808</v>
      </c>
      <c r="D24722" s="16" t="s">
        <v>19823</v>
      </c>
      <c r="E24722" s="2">
        <v>1174344</v>
      </c>
      <c r="F24722" s="4" t="e">
        <f>IF(B24722=#REF!,"",B24722)</f>
        <v>#REF!</v>
      </c>
    </row>
    <row r="24723" spans="1:6" ht="15.75" customHeight="1">
      <c r="A24723" s="15" t="s">
        <v>20022</v>
      </c>
      <c r="B24723" s="15" t="s">
        <v>20022</v>
      </c>
      <c r="C24723" s="15" t="s">
        <v>19808</v>
      </c>
      <c r="D24723" s="15" t="s">
        <v>19823</v>
      </c>
      <c r="E24723" s="2">
        <v>1162004</v>
      </c>
      <c r="F24723" s="4" t="e">
        <f>IF(B24723=#REF!,"",B24723)</f>
        <v>#REF!</v>
      </c>
    </row>
    <row r="24724" spans="1:6" ht="15.75" customHeight="1">
      <c r="A24724" s="16" t="str">
        <f ca="1">IFERROR(__xludf.DUMMYFUNCTION("GOOGLETRANSLATE(B33085,""en"",""pt"")"),"Khairāgarh")</f>
        <v>Khairāgarh</v>
      </c>
      <c r="B24724" s="20" t="s">
        <v>33523</v>
      </c>
      <c r="C24724" s="20" t="s">
        <v>10178</v>
      </c>
      <c r="D24724" s="20" t="s">
        <v>10272</v>
      </c>
      <c r="E24724" s="10">
        <v>1267173</v>
      </c>
      <c r="F24724" s="4" t="str">
        <f>IF(B24724=B24723,"",B24724)</f>
        <v>Khairāgarh</v>
      </c>
    </row>
    <row r="24725" spans="1:6" ht="15.75" customHeight="1">
      <c r="A24725" s="16" t="str">
        <f ca="1">IFERROR(__xludf.DUMMYFUNCTION("GOOGLETRANSLATE(B33087,""en"",""pt"")"),"Khairābād")</f>
        <v>Khairābād</v>
      </c>
      <c r="B24725" s="20" t="s">
        <v>33524</v>
      </c>
      <c r="C24725" s="20" t="s">
        <v>10178</v>
      </c>
      <c r="D24725" s="20" t="s">
        <v>10193</v>
      </c>
      <c r="E24725" s="10">
        <v>1267175</v>
      </c>
      <c r="F24725" s="4" t="e">
        <f>IF(B24725=#REF!,"",B24725)</f>
        <v>#REF!</v>
      </c>
    </row>
    <row r="24726" spans="1:6" ht="15.75" customHeight="1">
      <c r="A24726" s="16" t="s">
        <v>11934</v>
      </c>
      <c r="B24726" s="15" t="s">
        <v>11935</v>
      </c>
      <c r="C24726" s="16" t="s">
        <v>10178</v>
      </c>
      <c r="D24726" s="16" t="s">
        <v>10272</v>
      </c>
      <c r="E24726" s="2">
        <v>1267173</v>
      </c>
      <c r="F24726" s="4" t="str">
        <f>IF(B24726=B24725,"",B24726)</f>
        <v>KhairÄgarh</v>
      </c>
    </row>
    <row r="24727" spans="1:6" ht="15.75" customHeight="1">
      <c r="A24727" s="16" t="s">
        <v>11932</v>
      </c>
      <c r="B24727" s="15" t="s">
        <v>11933</v>
      </c>
      <c r="C24727" s="16" t="s">
        <v>10178</v>
      </c>
      <c r="D24727" s="16" t="s">
        <v>10193</v>
      </c>
      <c r="E24727" s="2">
        <v>1267175</v>
      </c>
      <c r="F24727" s="4" t="e">
        <f>IF(B24727=#REF!,"",B24727)</f>
        <v>#REF!</v>
      </c>
    </row>
    <row r="24728" spans="1:6" ht="15.75" customHeight="1">
      <c r="A24728" s="15" t="s">
        <v>11931</v>
      </c>
      <c r="B24728" s="15" t="s">
        <v>11931</v>
      </c>
      <c r="C24728" s="15" t="s">
        <v>10178</v>
      </c>
      <c r="D24728" s="15" t="s">
        <v>10193</v>
      </c>
      <c r="E24728" s="2">
        <v>1267182</v>
      </c>
      <c r="F24728" s="4" t="e">
        <f>IF(B24728=#REF!,"",B24728)</f>
        <v>#REF!</v>
      </c>
    </row>
    <row r="24729" spans="1:6" ht="15.75" customHeight="1">
      <c r="A24729" s="16" t="s">
        <v>1362</v>
      </c>
      <c r="B24729" s="15" t="s">
        <v>1362</v>
      </c>
      <c r="C24729" s="16" t="s">
        <v>1296</v>
      </c>
      <c r="D24729" s="16" t="s">
        <v>1302</v>
      </c>
      <c r="E24729" s="2">
        <v>1185252</v>
      </c>
      <c r="F24729" s="4" t="e">
        <f>IF(B24729=#REF!,"",B24729)</f>
        <v>#REF!</v>
      </c>
    </row>
    <row r="24730" spans="1:6" ht="15.75" customHeight="1">
      <c r="A24730" s="15" t="s">
        <v>11930</v>
      </c>
      <c r="B24730" s="15" t="s">
        <v>11930</v>
      </c>
      <c r="C24730" s="15" t="s">
        <v>10178</v>
      </c>
      <c r="D24730" s="15" t="s">
        <v>10317</v>
      </c>
      <c r="E24730" s="2">
        <v>1267187</v>
      </c>
      <c r="F24730" s="4" t="e">
        <f>IF(B24730=#REF!,"",B24730)</f>
        <v>#REF!</v>
      </c>
    </row>
    <row r="24731" spans="1:6" ht="15.75" customHeight="1">
      <c r="A24731" s="15" t="s">
        <v>11929</v>
      </c>
      <c r="B24731" s="15" t="s">
        <v>11929</v>
      </c>
      <c r="C24731" s="15" t="s">
        <v>10178</v>
      </c>
      <c r="D24731" s="15" t="s">
        <v>10317</v>
      </c>
      <c r="E24731" s="2">
        <v>1267189</v>
      </c>
      <c r="F24731" s="4" t="e">
        <f>IF(B24731=#REF!,"",B24731)</f>
        <v>#REF!</v>
      </c>
    </row>
    <row r="24732" spans="1:6" ht="15.75" customHeight="1">
      <c r="A24732" s="16" t="s">
        <v>22502</v>
      </c>
      <c r="B24732" s="15" t="s">
        <v>22502</v>
      </c>
      <c r="C24732" s="16" t="s">
        <v>22070</v>
      </c>
      <c r="D24732" s="16" t="s">
        <v>22077</v>
      </c>
      <c r="E24732" s="2">
        <v>550846</v>
      </c>
      <c r="F24732" s="4" t="e">
        <f>IF(B24732=#REF!,"",B24732)</f>
        <v>#REF!</v>
      </c>
    </row>
    <row r="24733" spans="1:6" ht="15.75" customHeight="1">
      <c r="A24733" s="15" t="s">
        <v>11928</v>
      </c>
      <c r="B24733" s="15" t="s">
        <v>11928</v>
      </c>
      <c r="C24733" s="15" t="s">
        <v>10178</v>
      </c>
      <c r="D24733" s="15" t="s">
        <v>10214</v>
      </c>
      <c r="E24733" s="2">
        <v>1267195</v>
      </c>
      <c r="F24733" s="4" t="e">
        <f>IF(B24733=#REF!,"",B24733)</f>
        <v>#REF!</v>
      </c>
    </row>
    <row r="24734" spans="1:6" ht="15.75" customHeight="1">
      <c r="A24734" s="15" t="s">
        <v>11927</v>
      </c>
      <c r="B24734" s="15" t="s">
        <v>11927</v>
      </c>
      <c r="C24734" s="15" t="s">
        <v>10178</v>
      </c>
      <c r="D24734" s="15" t="s">
        <v>10193</v>
      </c>
      <c r="E24734" s="2">
        <v>1267202</v>
      </c>
      <c r="F24734" s="4" t="str">
        <f>IF(B24734=B24733,"",B24734)</f>
        <v>Khada</v>
      </c>
    </row>
    <row r="24735" spans="1:6" ht="15.75" customHeight="1">
      <c r="A24735" s="16" t="str">
        <f ca="1">IFERROR(__xludf.DUMMYFUNCTION("GOOGLETRANSLATE(B33093,""en"",""pt"")"),"Khāchrod")</f>
        <v>Khāchrod</v>
      </c>
      <c r="B24735" s="20" t="s">
        <v>33525</v>
      </c>
      <c r="C24735" s="20" t="s">
        <v>10178</v>
      </c>
      <c r="D24735" s="20" t="s">
        <v>10219</v>
      </c>
      <c r="E24735" s="10">
        <v>1267203</v>
      </c>
      <c r="F24735" s="4" t="e">
        <f>IF(B24735=#REF!,"",B24735)</f>
        <v>#REF!</v>
      </c>
    </row>
    <row r="24736" spans="1:6" ht="15.75" customHeight="1">
      <c r="A24736" s="16" t="s">
        <v>22500</v>
      </c>
      <c r="B24736" s="15" t="s">
        <v>22501</v>
      </c>
      <c r="C24736" s="16" t="s">
        <v>22070</v>
      </c>
      <c r="D24736" s="16" t="s">
        <v>22131</v>
      </c>
      <c r="E24736" s="2">
        <v>2056752</v>
      </c>
      <c r="F24736" s="4" t="e">
        <f>IF(B24736=#REF!,"",B24736)</f>
        <v>#REF!</v>
      </c>
    </row>
    <row r="24737" spans="1:6" ht="15.75" customHeight="1">
      <c r="A24737" s="16" t="s">
        <v>22499</v>
      </c>
      <c r="B24737" s="15" t="s">
        <v>22499</v>
      </c>
      <c r="C24737" s="16" t="s">
        <v>22070</v>
      </c>
      <c r="D24737" s="16" t="s">
        <v>22131</v>
      </c>
      <c r="E24737" s="2">
        <v>2022890</v>
      </c>
      <c r="F24737" s="4" t="str">
        <f>IF(B24737=B24736,"",B24737)</f>
        <v>Khabarovsk</v>
      </c>
    </row>
    <row r="24738" spans="1:6" ht="15.75" customHeight="1">
      <c r="A24738" s="15" t="s">
        <v>11925</v>
      </c>
      <c r="B24738" s="15" t="s">
        <v>11926</v>
      </c>
      <c r="C24738" s="15" t="s">
        <v>10178</v>
      </c>
      <c r="D24738" s="15" t="s">
        <v>10201</v>
      </c>
      <c r="E24738" s="2">
        <v>1266838</v>
      </c>
      <c r="F24738" s="4" t="str">
        <f>IF(B24738=B24737,"",B24738)</f>
        <v>KhÄtra</v>
      </c>
    </row>
    <row r="24739" spans="1:6" ht="15.75" customHeight="1">
      <c r="A24739" s="16" t="s">
        <v>11923</v>
      </c>
      <c r="B24739" s="15" t="s">
        <v>11924</v>
      </c>
      <c r="C24739" s="16" t="s">
        <v>10178</v>
      </c>
      <c r="D24739" s="16" t="s">
        <v>10219</v>
      </c>
      <c r="E24739" s="2">
        <v>1266847</v>
      </c>
      <c r="F24739" s="4" t="str">
        <f>IF(B24739=B24738,"",B24739)</f>
        <v>KhÄtegaon</v>
      </c>
    </row>
    <row r="24740" spans="1:6" ht="15.75" customHeight="1">
      <c r="A24740" s="15" t="s">
        <v>66</v>
      </c>
      <c r="B24740" s="15" t="s">
        <v>67</v>
      </c>
      <c r="C24740" s="15" t="s">
        <v>8</v>
      </c>
      <c r="D24740" s="15" t="s">
        <v>68</v>
      </c>
      <c r="E24740" s="2">
        <v>1136469</v>
      </c>
      <c r="F24740" s="4" t="e">
        <f>IF(B24740=#REF!,"",B24740)</f>
        <v>#REF!</v>
      </c>
    </row>
    <row r="24741" spans="1:6" ht="15.75" customHeight="1">
      <c r="A24741" s="15" t="s">
        <v>63</v>
      </c>
      <c r="B24741" s="15" t="s">
        <v>64</v>
      </c>
      <c r="C24741" s="15" t="s">
        <v>8</v>
      </c>
      <c r="D24741" s="15" t="s">
        <v>65</v>
      </c>
      <c r="E24741" s="2">
        <v>1136863</v>
      </c>
      <c r="F24741" s="4" t="str">
        <f>IF(B24741=B24740,"",B24741)</f>
        <v>KhÄsh</v>
      </c>
    </row>
    <row r="24742" spans="1:6" ht="15.75" customHeight="1">
      <c r="A24742" s="16" t="s">
        <v>11921</v>
      </c>
      <c r="B24742" s="15" t="s">
        <v>11922</v>
      </c>
      <c r="C24742" s="16" t="s">
        <v>10178</v>
      </c>
      <c r="D24742" s="16" t="s">
        <v>10239</v>
      </c>
      <c r="E24742" s="2">
        <v>1266862</v>
      </c>
      <c r="F24742" s="4" t="str">
        <f>IF(B24742=B24741,"",B24742)</f>
        <v>KhÄrupatia</v>
      </c>
    </row>
    <row r="24743" spans="1:6" ht="15.75" customHeight="1">
      <c r="A24743" s="15" t="s">
        <v>20020</v>
      </c>
      <c r="B24743" s="15" t="s">
        <v>20021</v>
      </c>
      <c r="C24743" s="15" t="s">
        <v>19808</v>
      </c>
      <c r="D24743" s="15" t="s">
        <v>10184</v>
      </c>
      <c r="E24743" s="2">
        <v>1174042</v>
      </c>
      <c r="F24743" s="4" t="str">
        <f>IF(B24743=B24742,"",B24743)</f>
        <v>KhÄriÄn</v>
      </c>
    </row>
    <row r="24744" spans="1:6" ht="15.75" customHeight="1">
      <c r="A24744" s="15" t="s">
        <v>20018</v>
      </c>
      <c r="B24744" s="15" t="s">
        <v>20019</v>
      </c>
      <c r="C24744" s="15" t="s">
        <v>19808</v>
      </c>
      <c r="D24744" s="15" t="s">
        <v>19833</v>
      </c>
      <c r="E24744" s="2">
        <v>1174062</v>
      </c>
      <c r="F24744" s="4" t="str">
        <f>IF(B24744=B24743,"",B24744)</f>
        <v>KhÄrÄn</v>
      </c>
    </row>
    <row r="24745" spans="1:6" ht="15.75" customHeight="1">
      <c r="A24745" s="15" t="s">
        <v>11919</v>
      </c>
      <c r="B24745" s="15" t="s">
        <v>11920</v>
      </c>
      <c r="C24745" s="15" t="s">
        <v>10178</v>
      </c>
      <c r="D24745" s="15" t="s">
        <v>10214</v>
      </c>
      <c r="E24745" s="2">
        <v>1267006</v>
      </c>
      <c r="F24745" s="4" t="e">
        <f>IF(B24745=#REF!,"",B24745)</f>
        <v>#REF!</v>
      </c>
    </row>
    <row r="24746" spans="1:6" ht="15.75" customHeight="1">
      <c r="A24746" s="15" t="s">
        <v>20016</v>
      </c>
      <c r="B24746" s="15" t="s">
        <v>20017</v>
      </c>
      <c r="C24746" s="15" t="s">
        <v>19808</v>
      </c>
      <c r="D24746" s="15" t="s">
        <v>10184</v>
      </c>
      <c r="E24746" s="2">
        <v>1174167</v>
      </c>
      <c r="F24746" s="4" t="str">
        <f>IF(B24746=B24745,"",B24746)</f>
        <v>KhÄnpur</v>
      </c>
    </row>
    <row r="24747" spans="1:6" ht="15.75" customHeight="1">
      <c r="A24747" s="16" t="s">
        <v>20014</v>
      </c>
      <c r="B24747" s="15" t="s">
        <v>20015</v>
      </c>
      <c r="C24747" s="16" t="s">
        <v>19808</v>
      </c>
      <c r="D24747" s="16" t="s">
        <v>10184</v>
      </c>
      <c r="E24747" s="2">
        <v>1174211</v>
      </c>
      <c r="F24747" s="4" t="str">
        <f>IF(B24747=B24746,"",B24747)</f>
        <v>KhÄngarh</v>
      </c>
    </row>
    <row r="24748" spans="1:6" ht="15.75" customHeight="1">
      <c r="A24748" s="16" t="s">
        <v>20012</v>
      </c>
      <c r="B24748" s="15" t="s">
        <v>20013</v>
      </c>
      <c r="C24748" s="16" t="s">
        <v>19808</v>
      </c>
      <c r="D24748" s="16" t="s">
        <v>10184</v>
      </c>
      <c r="E24748" s="2">
        <v>1174217</v>
      </c>
      <c r="F24748" s="4" t="str">
        <f>IF(B24748=B24747,"",B24748)</f>
        <v>KhÄngÄh DogrÄn</v>
      </c>
    </row>
    <row r="24749" spans="1:6" ht="15.75" customHeight="1">
      <c r="A24749" s="16" t="s">
        <v>18840</v>
      </c>
      <c r="B24749" s="15" t="s">
        <v>18841</v>
      </c>
      <c r="C24749" s="16" t="s">
        <v>18800</v>
      </c>
      <c r="D24749" s="16" t="s">
        <v>18807</v>
      </c>
      <c r="E24749" s="2">
        <v>1283217</v>
      </c>
      <c r="F24749" s="4" t="str">
        <f>IF(B24749=B24748,"",B24749)</f>
        <v>KhÄndbÄri</v>
      </c>
    </row>
    <row r="24750" spans="1:6" ht="15.75" customHeight="1">
      <c r="A24750" s="16" t="s">
        <v>11917</v>
      </c>
      <c r="B24750" s="15" t="s">
        <v>11918</v>
      </c>
      <c r="C24750" s="16" t="s">
        <v>10178</v>
      </c>
      <c r="D24750" s="16" t="s">
        <v>10252</v>
      </c>
      <c r="E24750" s="2">
        <v>1267065</v>
      </c>
      <c r="F24750" s="4" t="str">
        <f>IF(B24750=B24749,"",B24750)</f>
        <v>KhÄnÄpur</v>
      </c>
    </row>
    <row r="24751" spans="1:6" ht="15.75" customHeight="1">
      <c r="A24751" s="16" t="s">
        <v>20354</v>
      </c>
      <c r="B24751" s="15" t="s">
        <v>20355</v>
      </c>
      <c r="C24751" s="16" t="s">
        <v>20297</v>
      </c>
      <c r="D24751" s="16" t="s">
        <v>20305</v>
      </c>
      <c r="E24751" s="2">
        <v>281124</v>
      </c>
      <c r="F24751" s="4" t="str">
        <f>IF(B24751=B24750,"",B24751)</f>
        <v>KhÄn YÅ«nis</v>
      </c>
    </row>
    <row r="24752" spans="1:6" ht="15.75" customHeight="1">
      <c r="A24752" s="16" t="s">
        <v>25469</v>
      </c>
      <c r="B24752" s="15" t="s">
        <v>25470</v>
      </c>
      <c r="C24752" s="16" t="s">
        <v>25366</v>
      </c>
      <c r="D24752" s="16" t="s">
        <v>25392</v>
      </c>
      <c r="E24752" s="2">
        <v>168325</v>
      </c>
      <c r="F24752" s="4" t="str">
        <f>IF(B24752=B24751,"",B24752)</f>
        <v>KhÄn ShaykhÅ«n</v>
      </c>
    </row>
    <row r="24753" spans="1:6" ht="15.75" customHeight="1">
      <c r="A24753" s="16" t="s">
        <v>11915</v>
      </c>
      <c r="B24753" s="15" t="s">
        <v>11916</v>
      </c>
      <c r="C24753" s="16" t="s">
        <v>10178</v>
      </c>
      <c r="D24753" s="16" t="s">
        <v>10214</v>
      </c>
      <c r="E24753" s="2">
        <v>1267084</v>
      </c>
      <c r="F24753" s="4" t="str">
        <f>IF(B24753=B24752,"",B24753)</f>
        <v>KhÄmgaon</v>
      </c>
    </row>
    <row r="24754" spans="1:6" ht="15.75" customHeight="1">
      <c r="A24754" s="16" t="s">
        <v>14689</v>
      </c>
      <c r="B24754" s="15" t="s">
        <v>14690</v>
      </c>
      <c r="C24754" s="16" t="s">
        <v>14594</v>
      </c>
      <c r="D24754" s="16" t="s">
        <v>14648</v>
      </c>
      <c r="E24754" s="2">
        <v>99169</v>
      </c>
      <c r="F24754" s="4" t="str">
        <f>IF(B24754=B24753,"",B24754)</f>
        <v>KhÄliÅŸ</v>
      </c>
    </row>
    <row r="24755" spans="1:6" ht="15.75" customHeight="1">
      <c r="A24755" s="15" t="s">
        <v>11913</v>
      </c>
      <c r="B24755" s="15" t="s">
        <v>11914</v>
      </c>
      <c r="C24755" s="15" t="s">
        <v>10178</v>
      </c>
      <c r="D24755" s="15" t="s">
        <v>10219</v>
      </c>
      <c r="E24755" s="2">
        <v>1267203</v>
      </c>
      <c r="F24755" s="4" t="str">
        <f>IF(B24755=B24754,"",B24755)</f>
        <v>KhÄchrod</v>
      </c>
    </row>
    <row r="24756" spans="1:6" ht="15.75" customHeight="1">
      <c r="A24756" s="15" t="s">
        <v>11911</v>
      </c>
      <c r="B24756" s="15" t="s">
        <v>11912</v>
      </c>
      <c r="C24756" s="15" t="s">
        <v>10178</v>
      </c>
      <c r="D24756" s="15" t="s">
        <v>10193</v>
      </c>
      <c r="E24756" s="2">
        <v>1266596</v>
      </c>
      <c r="F24756" s="4" t="e">
        <f>IF(B24756=#REF!,"",B24756)</f>
        <v>#REF!</v>
      </c>
    </row>
    <row r="24757" spans="1:6" ht="15.75" customHeight="1">
      <c r="A24757" s="15" t="s">
        <v>14825</v>
      </c>
      <c r="B24757" s="15" t="s">
        <v>14825</v>
      </c>
      <c r="C24757" s="15" t="s">
        <v>14773</v>
      </c>
      <c r="D24757" s="15" t="s">
        <v>14800</v>
      </c>
      <c r="E24757" s="2">
        <v>294514</v>
      </c>
      <c r="F24757" s="4" t="str">
        <f>IF(B24757=B24756,"",B24757)</f>
        <v>Kfar Saba</v>
      </c>
    </row>
    <row r="24758" spans="1:6" ht="15.75" customHeight="1">
      <c r="A24758" s="16" t="str">
        <f ca="1">IFERROR(__xludf.DUMMYFUNCTION("GOOGLETRANSLATE(B41232,""en"",""pt"")"),"Kežmarok")</f>
        <v>Kežmarok</v>
      </c>
      <c r="B24758" s="20" t="s">
        <v>35676</v>
      </c>
      <c r="C24758" s="20" t="s">
        <v>23694</v>
      </c>
      <c r="D24758" s="20" t="s">
        <v>35666</v>
      </c>
      <c r="E24758" s="10">
        <v>724503</v>
      </c>
      <c r="F24758" s="4" t="e">
        <f>IF(B24758=#REF!,"",B24758)</f>
        <v>#REF!</v>
      </c>
    </row>
    <row r="24759" spans="1:6" ht="15.75" customHeight="1">
      <c r="A24759" s="15" t="s">
        <v>29026</v>
      </c>
      <c r="B24759" s="15" t="s">
        <v>29026</v>
      </c>
      <c r="C24759" s="15" t="s">
        <v>27788</v>
      </c>
      <c r="D24759" s="15" t="s">
        <v>5468</v>
      </c>
      <c r="E24759" s="2">
        <v>4160822</v>
      </c>
      <c r="F24759" s="4" t="e">
        <f>IF(B24759=#REF!,"",B24759)</f>
        <v>#REF!</v>
      </c>
    </row>
    <row r="24760" spans="1:6" ht="15.75" customHeight="1">
      <c r="A24760" s="16" t="s">
        <v>1007</v>
      </c>
      <c r="B24760" s="15" t="s">
        <v>1007</v>
      </c>
      <c r="C24760" s="16" t="s">
        <v>885</v>
      </c>
      <c r="D24760" s="16" t="s">
        <v>827</v>
      </c>
      <c r="E24760" s="2">
        <v>2161532</v>
      </c>
      <c r="F24760" s="4" t="e">
        <f>IF(B24760=#REF!,"",B24760)</f>
        <v>#REF!</v>
      </c>
    </row>
    <row r="24761" spans="1:6" ht="15.75" customHeight="1">
      <c r="A24761" s="16" t="s">
        <v>27468</v>
      </c>
      <c r="B24761" s="15" t="s">
        <v>27468</v>
      </c>
      <c r="C24761" s="16" t="s">
        <v>27234</v>
      </c>
      <c r="D24761" s="16" t="s">
        <v>27241</v>
      </c>
      <c r="E24761" s="2">
        <v>2645733</v>
      </c>
      <c r="F24761" s="4" t="e">
        <f>IF(B24761=#REF!,"",B24761)</f>
        <v>#REF!</v>
      </c>
    </row>
    <row r="24762" spans="1:6" ht="15.75" customHeight="1">
      <c r="A24762" s="15" t="s">
        <v>29025</v>
      </c>
      <c r="B24762" s="15" t="s">
        <v>29025</v>
      </c>
      <c r="C24762" s="15" t="s">
        <v>27788</v>
      </c>
      <c r="D24762" s="15" t="s">
        <v>5468</v>
      </c>
      <c r="E24762" s="2">
        <v>4160812</v>
      </c>
      <c r="F24762" s="4" t="e">
        <f>IF(B24762=#REF!,"",B24762)</f>
        <v>#REF!</v>
      </c>
    </row>
    <row r="24763" spans="1:6" ht="15.75" customHeight="1">
      <c r="A24763" s="15" t="s">
        <v>1006</v>
      </c>
      <c r="B24763" s="15" t="s">
        <v>1006</v>
      </c>
      <c r="C24763" s="15" t="s">
        <v>885</v>
      </c>
      <c r="D24763" s="15" t="s">
        <v>827</v>
      </c>
      <c r="E24763" s="2">
        <v>2161540</v>
      </c>
      <c r="F24763" s="4" t="e">
        <f>IF(B24763=#REF!,"",B24763)</f>
        <v>#REF!</v>
      </c>
    </row>
    <row r="24764" spans="1:6" ht="15.75" customHeight="1">
      <c r="A24764" s="15" t="s">
        <v>8678</v>
      </c>
      <c r="B24764" s="15" t="s">
        <v>8678</v>
      </c>
      <c r="C24764" s="15" t="s">
        <v>8028</v>
      </c>
      <c r="D24764" s="15" t="s">
        <v>8029</v>
      </c>
      <c r="E24764" s="2">
        <v>2891258</v>
      </c>
      <c r="F24764" s="4" t="str">
        <f>IF(B24764=B24763,"",B24764)</f>
        <v>Kevelaer</v>
      </c>
    </row>
    <row r="24765" spans="1:6" ht="15.75" customHeight="1">
      <c r="A24765" s="16" t="str">
        <f ca="1">IFERROR(__xludf.DUMMYFUNCTION("GOOGLETRANSLATE(B39436,""en"",""pt"")"),"Kęty")</f>
        <v>Kęty</v>
      </c>
      <c r="B24765" s="20" t="s">
        <v>35217</v>
      </c>
      <c r="C24765" s="20" t="s">
        <v>21064</v>
      </c>
      <c r="D24765" s="20" t="s">
        <v>21108</v>
      </c>
      <c r="E24765" s="10">
        <v>3096328</v>
      </c>
      <c r="F24765" s="4" t="e">
        <f>IF(B24765=#REF!,"",B24765)</f>
        <v>#REF!</v>
      </c>
    </row>
    <row r="24766" spans="1:6" ht="15.75" customHeight="1">
      <c r="A24766" s="15" t="s">
        <v>27467</v>
      </c>
      <c r="B24766" s="15" t="s">
        <v>27467</v>
      </c>
      <c r="C24766" s="15" t="s">
        <v>27234</v>
      </c>
      <c r="D24766" s="15" t="s">
        <v>27241</v>
      </c>
      <c r="E24766" s="2">
        <v>2645753</v>
      </c>
      <c r="F24766" s="4" t="str">
        <f>IF(B24766=B24765,"",B24766)</f>
        <v>Kettering</v>
      </c>
    </row>
    <row r="24767" spans="1:6" ht="15.75" customHeight="1">
      <c r="A24767" s="16" t="str">
        <f ca="1">IFERROR(__xludf.DUMMYFUNCTION("GOOGLETRANSLATE(B39267,""en"",""pt"")"),"Kętrzyn")</f>
        <v>Kętrzyn</v>
      </c>
      <c r="B24767" s="20" t="s">
        <v>35115</v>
      </c>
      <c r="C24767" s="20" t="s">
        <v>21064</v>
      </c>
      <c r="D24767" s="20" t="s">
        <v>21131</v>
      </c>
      <c r="E24767" s="10">
        <v>769274</v>
      </c>
      <c r="F24767" s="4" t="str">
        <f>IF(B24767=B24766,"",B24767)</f>
        <v>Kętrzyn</v>
      </c>
    </row>
    <row r="24768" spans="1:6" ht="15.75" customHeight="1">
      <c r="A24768" s="16" t="str">
        <f ca="1">IFERROR(__xludf.DUMMYFUNCTION("GOOGLETRANSLATE(B24093,""en"",""pt"")"),"Kétou")</f>
        <v>Kétou</v>
      </c>
      <c r="B24768" s="20" t="s">
        <v>31333</v>
      </c>
      <c r="C24768" s="20" t="s">
        <v>1741</v>
      </c>
      <c r="D24768" s="20" t="s">
        <v>1771</v>
      </c>
      <c r="E24768" s="10">
        <v>2393551</v>
      </c>
      <c r="F24768" s="4" t="e">
        <f>IF(B24768=#REF!,"",B24768)</f>
        <v>#REF!</v>
      </c>
    </row>
    <row r="24769" spans="1:6" ht="15.75" customHeight="1">
      <c r="A24769" s="16" t="s">
        <v>13975</v>
      </c>
      <c r="B24769" s="15" t="s">
        <v>13975</v>
      </c>
      <c r="C24769" s="16" t="s">
        <v>13800</v>
      </c>
      <c r="D24769" s="16" t="s">
        <v>13803</v>
      </c>
      <c r="E24769" s="2">
        <v>1640138</v>
      </c>
      <c r="F24769" s="4" t="e">
        <f>IF(B24769=#REF!,"",B24769)</f>
        <v>#REF!</v>
      </c>
    </row>
    <row r="24770" spans="1:6" ht="15.75" customHeight="1">
      <c r="A24770" s="15" t="s">
        <v>9399</v>
      </c>
      <c r="B24770" s="15" t="s">
        <v>9399</v>
      </c>
      <c r="C24770" s="15" t="s">
        <v>9365</v>
      </c>
      <c r="D24770" s="15" t="s">
        <v>9375</v>
      </c>
      <c r="E24770" s="2">
        <v>2299645</v>
      </c>
      <c r="F24770" s="4" t="e">
        <f>IF(B24770=#REF!,"",B24770)</f>
        <v>#REF!</v>
      </c>
    </row>
    <row r="24771" spans="1:6" ht="15.75" customHeight="1">
      <c r="A24771" s="15" t="s">
        <v>10080</v>
      </c>
      <c r="B24771" s="15" t="s">
        <v>10080</v>
      </c>
      <c r="C24771" s="15" t="s">
        <v>9955</v>
      </c>
      <c r="D24771" s="15" t="s">
        <v>10081</v>
      </c>
      <c r="E24771" s="2">
        <v>3050212</v>
      </c>
      <c r="F24771" s="4" t="e">
        <f>IF(B24771=#REF!,"",B24771)</f>
        <v>#REF!</v>
      </c>
    </row>
    <row r="24772" spans="1:6" ht="15.75" customHeight="1">
      <c r="A24772" s="15" t="s">
        <v>4071</v>
      </c>
      <c r="B24772" s="15" t="s">
        <v>4071</v>
      </c>
      <c r="C24772" s="15" t="s">
        <v>3975</v>
      </c>
      <c r="D24772" s="15" t="s">
        <v>3980</v>
      </c>
      <c r="E24772" s="2">
        <v>5991370</v>
      </c>
      <c r="F24772" s="4" t="e">
        <f>IF(B24772=#REF!,"",B24772)</f>
        <v>#REF!</v>
      </c>
    </row>
    <row r="24773" spans="1:6" ht="15.75" customHeight="1">
      <c r="A24773" s="15" t="s">
        <v>26600</v>
      </c>
      <c r="B24773" s="15" t="s">
        <v>26600</v>
      </c>
      <c r="C24773" s="15" t="s">
        <v>26201</v>
      </c>
      <c r="D24773" s="15" t="s">
        <v>26205</v>
      </c>
      <c r="E24773" s="2">
        <v>743404</v>
      </c>
      <c r="F24773" s="4" t="e">
        <f>IF(B24773=#REF!,"",B24773)</f>
        <v>#REF!</v>
      </c>
    </row>
    <row r="24774" spans="1:6" ht="15.75" customHeight="1">
      <c r="A24774" s="15" t="s">
        <v>26599</v>
      </c>
      <c r="B24774" s="15" t="s">
        <v>26599</v>
      </c>
      <c r="C24774" s="15" t="s">
        <v>26201</v>
      </c>
      <c r="D24774" s="15" t="s">
        <v>26555</v>
      </c>
      <c r="E24774" s="2">
        <v>308024</v>
      </c>
      <c r="F24774" s="4" t="e">
        <f>IF(B24774=#REF!,"",B24774)</f>
        <v>#REF!</v>
      </c>
    </row>
    <row r="24775" spans="1:6" ht="15.75" customHeight="1">
      <c r="A24775" s="15" t="s">
        <v>11910</v>
      </c>
      <c r="B24775" s="15" t="s">
        <v>11910</v>
      </c>
      <c r="C24775" s="15" t="s">
        <v>10178</v>
      </c>
      <c r="D24775" s="15" t="s">
        <v>10229</v>
      </c>
      <c r="E24775" s="2">
        <v>1267222</v>
      </c>
      <c r="F24775" s="4" t="str">
        <f>IF(B24775=B24774,"",B24775)</f>
        <v>Kesinga</v>
      </c>
    </row>
    <row r="24776" spans="1:6" ht="15.75" customHeight="1">
      <c r="A24776" s="16" t="str">
        <f ca="1">IFERROR(__xludf.DUMMYFUNCTION("GOOGLETRANSLATE(B33095,""en"",""pt"")"),"Keshorai Pātan")</f>
        <v>Keshorai Pātan</v>
      </c>
      <c r="B24776" s="20" t="s">
        <v>33526</v>
      </c>
      <c r="C24776" s="20" t="s">
        <v>10178</v>
      </c>
      <c r="D24776" s="20" t="s">
        <v>10179</v>
      </c>
      <c r="E24776" s="10">
        <v>1267226</v>
      </c>
      <c r="F24776" s="4" t="str">
        <f>IF(B24776=B24775,"",B24776)</f>
        <v>Keshorai Pātan</v>
      </c>
    </row>
    <row r="24777" spans="1:6" ht="15.75" customHeight="1">
      <c r="A24777" s="16" t="s">
        <v>11908</v>
      </c>
      <c r="B24777" s="15" t="s">
        <v>11909</v>
      </c>
      <c r="C24777" s="16" t="s">
        <v>10178</v>
      </c>
      <c r="D24777" s="16" t="s">
        <v>10179</v>
      </c>
      <c r="E24777" s="2">
        <v>1267226</v>
      </c>
      <c r="F24777" s="4" t="e">
        <f>IF(B24777=#REF!,"",B24777)</f>
        <v>#REF!</v>
      </c>
    </row>
    <row r="24778" spans="1:6" ht="15.75" customHeight="1">
      <c r="A24778" s="15" t="s">
        <v>11907</v>
      </c>
      <c r="B24778" s="15" t="s">
        <v>11907</v>
      </c>
      <c r="C24778" s="15" t="s">
        <v>10178</v>
      </c>
      <c r="D24778" s="15" t="s">
        <v>10209</v>
      </c>
      <c r="E24778" s="2">
        <v>1267227</v>
      </c>
      <c r="F24778" s="4" t="str">
        <f>IF(B24778=B24777,"",B24778)</f>
        <v>Keshod</v>
      </c>
    </row>
    <row r="24779" spans="1:6" ht="15.75" customHeight="1">
      <c r="A24779" s="16" t="str">
        <f ca="1">IFERROR(__xludf.DUMMYFUNCTION("GOOGLETRANSLATE(B42146,""en"",""pt"")"),"Keşan")</f>
        <v>Keşan</v>
      </c>
      <c r="B24779" s="20" t="s">
        <v>35933</v>
      </c>
      <c r="C24779" s="20" t="s">
        <v>26201</v>
      </c>
      <c r="D24779" s="20" t="s">
        <v>26456</v>
      </c>
      <c r="E24779" s="10">
        <v>743439</v>
      </c>
      <c r="F24779" s="4" t="e">
        <f>IF(B24779=#REF!,"",B24779)</f>
        <v>#REF!</v>
      </c>
    </row>
    <row r="24780" spans="1:6" ht="15.75" customHeight="1">
      <c r="A24780" s="15" t="s">
        <v>1361</v>
      </c>
      <c r="B24780" s="15" t="s">
        <v>1361</v>
      </c>
      <c r="C24780" s="15" t="s">
        <v>1296</v>
      </c>
      <c r="D24780" s="15" t="s">
        <v>1315</v>
      </c>
      <c r="E24780" s="2">
        <v>1197895</v>
      </c>
      <c r="F24780" s="4" t="str">
        <f>IF(B24780=B24779,"",B24780)</f>
        <v>Kesabpur</v>
      </c>
    </row>
    <row r="24781" spans="1:6" ht="15.75" customHeight="1">
      <c r="A24781" s="16" t="str">
        <f ca="1">IFERROR(__xludf.DUMMYFUNCTION("GOOGLETRANSLATE(B33097,""en"",""pt"")"),"Kerūr")</f>
        <v>Kerūr</v>
      </c>
      <c r="B24781" s="20" t="s">
        <v>33527</v>
      </c>
      <c r="C24781" s="20" t="s">
        <v>10178</v>
      </c>
      <c r="D24781" s="20" t="s">
        <v>10252</v>
      </c>
      <c r="E24781" s="10">
        <v>1267239</v>
      </c>
      <c r="F24781" s="4" t="e">
        <f>IF(B24781=#REF!,"",B24781)</f>
        <v>#REF!</v>
      </c>
    </row>
    <row r="24782" spans="1:6" ht="15.75" customHeight="1">
      <c r="A24782" s="15" t="s">
        <v>16800</v>
      </c>
      <c r="B24782" s="15" t="s">
        <v>16800</v>
      </c>
      <c r="C24782" s="15" t="s">
        <v>16781</v>
      </c>
      <c r="D24782" s="15" t="s">
        <v>16801</v>
      </c>
      <c r="E24782" s="2">
        <v>192859</v>
      </c>
      <c r="F24782" s="4" t="e">
        <f>IF(B24782=#REF!,"",B24782)</f>
        <v>#REF!</v>
      </c>
    </row>
    <row r="24783" spans="1:6" ht="15.75" customHeight="1">
      <c r="A24783" s="16" t="s">
        <v>13974</v>
      </c>
      <c r="B24783" s="15" t="s">
        <v>13974</v>
      </c>
      <c r="C24783" s="16" t="s">
        <v>13800</v>
      </c>
      <c r="D24783" s="16" t="s">
        <v>13816</v>
      </c>
      <c r="E24783" s="2">
        <v>1640185</v>
      </c>
      <c r="F24783" s="4" t="e">
        <f>IF(B24783=#REF!,"",B24783)</f>
        <v>#REF!</v>
      </c>
    </row>
    <row r="24784" spans="1:6" ht="15.75" customHeight="1">
      <c r="A24784" s="15" t="s">
        <v>17498</v>
      </c>
      <c r="B24784" s="15" t="s">
        <v>17498</v>
      </c>
      <c r="C24784" s="15" t="s">
        <v>17432</v>
      </c>
      <c r="D24784" s="15" t="s">
        <v>17465</v>
      </c>
      <c r="E24784" s="2">
        <v>1734316</v>
      </c>
      <c r="F24784" s="4" t="e">
        <f>IF(B24784=#REF!,"",B24784)</f>
        <v>#REF!</v>
      </c>
    </row>
    <row r="24785" spans="1:6" ht="15.75" customHeight="1">
      <c r="A24785" s="15" t="s">
        <v>8677</v>
      </c>
      <c r="B24785" s="15" t="s">
        <v>8677</v>
      </c>
      <c r="C24785" s="15" t="s">
        <v>8028</v>
      </c>
      <c r="D24785" s="15" t="s">
        <v>8029</v>
      </c>
      <c r="E24785" s="2">
        <v>2891524</v>
      </c>
      <c r="F24785" s="4" t="e">
        <f>IF(B24785=#REF!,"",B24785)</f>
        <v>#REF!</v>
      </c>
    </row>
    <row r="24786" spans="1:6" ht="15.75" customHeight="1">
      <c r="A24786" s="16" t="s">
        <v>29024</v>
      </c>
      <c r="B24786" s="15" t="s">
        <v>29024</v>
      </c>
      <c r="C24786" s="16" t="s">
        <v>27788</v>
      </c>
      <c r="D24786" s="16" t="s">
        <v>27822</v>
      </c>
      <c r="E24786" s="2">
        <v>4474221</v>
      </c>
      <c r="F24786" s="4" t="str">
        <f>IF(B24786=B24785,"",B24786)</f>
        <v>Kernersville</v>
      </c>
    </row>
    <row r="24787" spans="1:6" ht="15.75" customHeight="1">
      <c r="A24787" s="16" t="str">
        <f ca="1">IFERROR(__xludf.DUMMYFUNCTION("GOOGLETRANSLATE(B34431,""en"",""pt"")"),"Kermānshāh")</f>
        <v>Kermānshāh</v>
      </c>
      <c r="B24787" s="20" t="s">
        <v>34120</v>
      </c>
      <c r="C24787" s="20" t="s">
        <v>14240</v>
      </c>
      <c r="D24787" s="20" t="s">
        <v>34120</v>
      </c>
      <c r="E24787" s="10">
        <v>128226</v>
      </c>
      <c r="F24787" s="4" t="e">
        <f>IF(B24787=#REF!,"",B24787)</f>
        <v>#REF!</v>
      </c>
    </row>
    <row r="24788" spans="1:6" ht="15.75" customHeight="1">
      <c r="A24788" s="15" t="s">
        <v>14317</v>
      </c>
      <c r="B24788" s="15" t="s">
        <v>14317</v>
      </c>
      <c r="C24788" s="15" t="s">
        <v>14240</v>
      </c>
      <c r="D24788" s="15" t="s">
        <v>14317</v>
      </c>
      <c r="E24788" s="2">
        <v>128234</v>
      </c>
      <c r="F24788" s="4" t="str">
        <f>IF(B24788=B24787,"",B24788)</f>
        <v>Kerman</v>
      </c>
    </row>
    <row r="24789" spans="1:6" ht="15.75" customHeight="1">
      <c r="A24789" s="16" t="s">
        <v>14431</v>
      </c>
      <c r="B24789" s="15" t="s">
        <v>14401</v>
      </c>
      <c r="C24789" s="16" t="s">
        <v>14240</v>
      </c>
      <c r="D24789" s="16" t="s">
        <v>14401</v>
      </c>
      <c r="E24789" s="2">
        <v>128226</v>
      </c>
      <c r="F24789" s="4" t="e">
        <f>IF(B24789=#REF!,"",B24789)</f>
        <v>#REF!</v>
      </c>
    </row>
    <row r="24790" spans="1:6" ht="15.75" customHeight="1">
      <c r="A24790" s="15" t="s">
        <v>19014</v>
      </c>
      <c r="B24790" s="15" t="s">
        <v>19014</v>
      </c>
      <c r="C24790" s="15" t="s">
        <v>18862</v>
      </c>
      <c r="D24790" s="15" t="s">
        <v>18893</v>
      </c>
      <c r="E24790" s="2">
        <v>2752923</v>
      </c>
      <c r="F24790" s="4" t="e">
        <f>IF(B24790=#REF!,"",B24790)</f>
        <v>#REF!</v>
      </c>
    </row>
    <row r="24791" spans="1:6" ht="15.75" customHeight="1">
      <c r="A24791" s="15" t="s">
        <v>373</v>
      </c>
      <c r="B24791" s="15" t="s">
        <v>373</v>
      </c>
      <c r="C24791" s="15" t="s">
        <v>153</v>
      </c>
      <c r="D24791" s="15" t="s">
        <v>235</v>
      </c>
      <c r="E24791" s="2">
        <v>2492345</v>
      </c>
      <c r="F24791" s="4" t="e">
        <f>IF(B24791=#REF!,"",B24791)</f>
        <v>#REF!</v>
      </c>
    </row>
    <row r="24792" spans="1:6" ht="15.75" customHeight="1">
      <c r="A24792" s="15" t="s">
        <v>16798</v>
      </c>
      <c r="B24792" s="15" t="s">
        <v>16799</v>
      </c>
      <c r="C24792" s="15" t="s">
        <v>16781</v>
      </c>
      <c r="D24792" s="15" t="s">
        <v>16799</v>
      </c>
      <c r="E24792" s="2">
        <v>192900</v>
      </c>
      <c r="F24792" s="4" t="e">
        <f>IF(B24792=#REF!,"",B24792)</f>
        <v>#REF!</v>
      </c>
    </row>
    <row r="24793" spans="1:6" ht="15.75" customHeight="1">
      <c r="A24793" s="15" t="s">
        <v>6781</v>
      </c>
      <c r="B24793" s="15" t="s">
        <v>6781</v>
      </c>
      <c r="C24793" s="15" t="s">
        <v>6775</v>
      </c>
      <c r="D24793" s="15" t="s">
        <v>6782</v>
      </c>
      <c r="E24793" s="2">
        <v>333287</v>
      </c>
      <c r="F24793" s="4" t="e">
        <f>IF(B24793=#REF!,"",B24793)</f>
        <v>#REF!</v>
      </c>
    </row>
    <row r="24794" spans="1:6" ht="15.75" customHeight="1">
      <c r="A24794" s="15" t="s">
        <v>26994</v>
      </c>
      <c r="B24794" s="15" t="s">
        <v>26994</v>
      </c>
      <c r="C24794" s="15" t="s">
        <v>26870</v>
      </c>
      <c r="D24794" s="15" t="s">
        <v>26873</v>
      </c>
      <c r="E24794" s="2">
        <v>706524</v>
      </c>
      <c r="F24794" s="4" t="e">
        <f>IF(B24794=#REF!,"",B24794)</f>
        <v>#REF!</v>
      </c>
    </row>
    <row r="24795" spans="1:6" ht="15.75" customHeight="1">
      <c r="A24795" s="15" t="s">
        <v>6991</v>
      </c>
      <c r="B24795" s="15" t="s">
        <v>6991</v>
      </c>
      <c r="C24795" s="15" t="s">
        <v>6948</v>
      </c>
      <c r="D24795" s="15" t="s">
        <v>6951</v>
      </c>
      <c r="E24795" s="2">
        <v>653185</v>
      </c>
      <c r="F24795" s="4" t="str">
        <f>IF(B24795=B24794,"",B24795)</f>
        <v>Kerava</v>
      </c>
    </row>
    <row r="24796" spans="1:6" ht="15.75" customHeight="1">
      <c r="A24796" s="16" t="str">
        <f ca="1">IFERROR(__xludf.DUMMYFUNCTION("GOOGLETRANSLATE(B30997,""en"",""pt"")"),"Keratsíni")</f>
        <v>Keratsíni</v>
      </c>
      <c r="B24796" s="20" t="s">
        <v>32705</v>
      </c>
      <c r="C24796" s="20" t="s">
        <v>9441</v>
      </c>
      <c r="D24796" s="20" t="s">
        <v>9445</v>
      </c>
      <c r="E24796" s="10">
        <v>260204</v>
      </c>
      <c r="F24796" s="4" t="str">
        <f>IF(B24796=B24795,"",B24796)</f>
        <v>Keratsíni</v>
      </c>
    </row>
    <row r="24797" spans="1:6" ht="15.75" customHeight="1">
      <c r="A24797" s="15" t="s">
        <v>9547</v>
      </c>
      <c r="B24797" s="15" t="s">
        <v>9548</v>
      </c>
      <c r="C24797" s="15" t="s">
        <v>9441</v>
      </c>
      <c r="D24797" s="15" t="s">
        <v>9445</v>
      </c>
      <c r="E24797" s="2">
        <v>260204</v>
      </c>
      <c r="F24797" s="4" t="str">
        <f>IF(B24797=B24796,"",B24797)</f>
        <v>KeratsÃ­ni</v>
      </c>
    </row>
    <row r="24798" spans="1:6" ht="15.75" customHeight="1">
      <c r="A24798" s="15" t="s">
        <v>11905</v>
      </c>
      <c r="B24798" s="15" t="s">
        <v>11906</v>
      </c>
      <c r="C24798" s="15" t="s">
        <v>10178</v>
      </c>
      <c r="D24798" s="15" t="s">
        <v>10252</v>
      </c>
      <c r="E24798" s="2">
        <v>1267239</v>
      </c>
      <c r="F24798" s="4" t="e">
        <f>IF(B24798=#REF!,"",B24798)</f>
        <v>#REF!</v>
      </c>
    </row>
    <row r="24799" spans="1:6" ht="15.75" customHeight="1">
      <c r="A24799" s="15" t="s">
        <v>13973</v>
      </c>
      <c r="B24799" s="15" t="s">
        <v>13973</v>
      </c>
      <c r="C24799" s="15" t="s">
        <v>13800</v>
      </c>
      <c r="D24799" s="15" t="s">
        <v>13816</v>
      </c>
      <c r="E24799" s="2">
        <v>1640296</v>
      </c>
      <c r="F24799" s="4" t="e">
        <f>IF(B24799=#REF!,"",B24799)</f>
        <v>#REF!</v>
      </c>
    </row>
    <row r="24800" spans="1:6" ht="15.75" customHeight="1">
      <c r="A24800" s="16" t="s">
        <v>17496</v>
      </c>
      <c r="B24800" s="15" t="s">
        <v>17497</v>
      </c>
      <c r="C24800" s="16" t="s">
        <v>17432</v>
      </c>
      <c r="D24800" s="16" t="s">
        <v>17461</v>
      </c>
      <c r="E24800" s="2">
        <v>1735506</v>
      </c>
      <c r="F24800" s="4" t="e">
        <f>IF(B24800=#REF!,"",B24800)</f>
        <v>#REF!</v>
      </c>
    </row>
    <row r="24801" spans="1:6" ht="15.75" customHeight="1">
      <c r="A24801" s="16" t="s">
        <v>29023</v>
      </c>
      <c r="B24801" s="15" t="s">
        <v>29023</v>
      </c>
      <c r="C24801" s="16" t="s">
        <v>27788</v>
      </c>
      <c r="D24801" s="16" t="s">
        <v>27804</v>
      </c>
      <c r="E24801" s="2">
        <v>4998018</v>
      </c>
      <c r="F24801" s="4" t="e">
        <f>IF(B24801=#REF!,"",B24801)</f>
        <v>#REF!</v>
      </c>
    </row>
    <row r="24802" spans="1:6" ht="15.75" customHeight="1">
      <c r="A24802" s="15" t="s">
        <v>16718</v>
      </c>
      <c r="B24802" s="15" t="s">
        <v>16718</v>
      </c>
      <c r="C24802" s="15" t="s">
        <v>16671</v>
      </c>
      <c r="D24802" s="15" t="s">
        <v>16678</v>
      </c>
      <c r="E24802" s="2">
        <v>1522751</v>
      </c>
      <c r="F24802" s="4" t="e">
        <f>IF(B24802=#REF!,"",B24802)</f>
        <v>#REF!</v>
      </c>
    </row>
    <row r="24803" spans="1:6" ht="15.75" customHeight="1">
      <c r="A24803" s="15" t="s">
        <v>29022</v>
      </c>
      <c r="B24803" s="15" t="s">
        <v>29022</v>
      </c>
      <c r="C24803" s="15" t="s">
        <v>27788</v>
      </c>
      <c r="D24803" s="15" t="s">
        <v>27813</v>
      </c>
      <c r="E24803" s="2">
        <v>5159537</v>
      </c>
      <c r="F24803" s="4" t="e">
        <f>IF(B24803=#REF!,"",B24803)</f>
        <v>#REF!</v>
      </c>
    </row>
    <row r="24804" spans="1:6" ht="15.75" customHeight="1">
      <c r="A24804" s="15" t="s">
        <v>9885</v>
      </c>
      <c r="B24804" s="15" t="s">
        <v>9885</v>
      </c>
      <c r="C24804" s="15" t="s">
        <v>9866</v>
      </c>
      <c r="D24804" s="15" t="s">
        <v>9867</v>
      </c>
      <c r="E24804" s="2">
        <v>3723440</v>
      </c>
      <c r="F24804" s="4" t="e">
        <f>IF(B24804=#REF!,"",B24804)</f>
        <v>#REF!</v>
      </c>
    </row>
    <row r="24805" spans="1:6" ht="15.75" customHeight="1">
      <c r="A24805" s="15" t="s">
        <v>29021</v>
      </c>
      <c r="B24805" s="15" t="s">
        <v>29021</v>
      </c>
      <c r="C24805" s="15" t="s">
        <v>27788</v>
      </c>
      <c r="D24805" s="15" t="s">
        <v>27890</v>
      </c>
      <c r="E24805" s="2">
        <v>5258393</v>
      </c>
      <c r="F24805" s="4" t="e">
        <f>IF(B24805=#REF!,"",B24805)</f>
        <v>#REF!</v>
      </c>
    </row>
    <row r="24806" spans="1:6" ht="15.75" customHeight="1">
      <c r="A24806" s="16" t="s">
        <v>29020</v>
      </c>
      <c r="B24806" s="15" t="s">
        <v>29020</v>
      </c>
      <c r="C24806" s="16" t="s">
        <v>27788</v>
      </c>
      <c r="D24806" s="16" t="s">
        <v>27733</v>
      </c>
      <c r="E24806" s="2">
        <v>5799610</v>
      </c>
      <c r="F24806" s="4" t="e">
        <f>IF(B24806=#REF!,"",B24806)</f>
        <v>#REF!</v>
      </c>
    </row>
    <row r="24807" spans="1:6" ht="15.75" customHeight="1">
      <c r="A24807" s="16" t="s">
        <v>29019</v>
      </c>
      <c r="B24807" s="15" t="s">
        <v>29019</v>
      </c>
      <c r="C24807" s="16" t="s">
        <v>27788</v>
      </c>
      <c r="D24807" s="16" t="s">
        <v>7988</v>
      </c>
      <c r="E24807" s="2">
        <v>4203696</v>
      </c>
      <c r="F24807" s="4" t="e">
        <f>IF(B24807=#REF!,"",B24807)</f>
        <v>#REF!</v>
      </c>
    </row>
    <row r="24808" spans="1:6" ht="15.75" customHeight="1">
      <c r="A24808" s="15" t="s">
        <v>29018</v>
      </c>
      <c r="B24808" s="15" t="s">
        <v>29018</v>
      </c>
      <c r="C24808" s="15" t="s">
        <v>27788</v>
      </c>
      <c r="D24808" s="15" t="s">
        <v>27827</v>
      </c>
      <c r="E24808" s="2">
        <v>4329753</v>
      </c>
      <c r="F24808" s="4" t="e">
        <f>IF(B24808=#REF!,"",B24808)</f>
        <v>#REF!</v>
      </c>
    </row>
    <row r="24809" spans="1:6" ht="15.75" customHeight="1">
      <c r="A24809" s="15" t="s">
        <v>29017</v>
      </c>
      <c r="B24809" s="15" t="s">
        <v>29017</v>
      </c>
      <c r="C24809" s="15" t="s">
        <v>27788</v>
      </c>
      <c r="D24809" s="15" t="s">
        <v>27819</v>
      </c>
      <c r="E24809" s="2">
        <v>5123247</v>
      </c>
      <c r="F24809" s="4" t="e">
        <f>IF(B24809=#REF!,"",B24809)</f>
        <v>#REF!</v>
      </c>
    </row>
    <row r="24810" spans="1:6" ht="15.75" customHeight="1">
      <c r="A24810" s="15" t="s">
        <v>18595</v>
      </c>
      <c r="B24810" s="15" t="s">
        <v>18595</v>
      </c>
      <c r="C24810" s="15" t="s">
        <v>18551</v>
      </c>
      <c r="D24810" s="15" t="s">
        <v>18596</v>
      </c>
      <c r="E24810" s="2">
        <v>2544571</v>
      </c>
      <c r="F24810" s="4" t="e">
        <f>IF(B24810=#REF!,"",B24810)</f>
        <v>#REF!</v>
      </c>
    </row>
    <row r="24811" spans="1:6" ht="15.75" customHeight="1">
      <c r="A24811" s="15" t="s">
        <v>17495</v>
      </c>
      <c r="B24811" s="15" t="s">
        <v>17495</v>
      </c>
      <c r="C24811" s="15" t="s">
        <v>17432</v>
      </c>
      <c r="D24811" s="15" t="s">
        <v>17444</v>
      </c>
      <c r="E24811" s="2">
        <v>1734098</v>
      </c>
      <c r="F24811" s="4" t="e">
        <f>IF(B24811=#REF!,"",B24811)</f>
        <v>#REF!</v>
      </c>
    </row>
    <row r="24812" spans="1:6" ht="15.75" customHeight="1">
      <c r="A24812" s="16" t="s">
        <v>27466</v>
      </c>
      <c r="B24812" s="15" t="s">
        <v>27466</v>
      </c>
      <c r="C24812" s="16" t="s">
        <v>27234</v>
      </c>
      <c r="D24812" s="16" t="s">
        <v>27241</v>
      </c>
      <c r="E24812" s="2">
        <v>2645822</v>
      </c>
      <c r="F24812" s="4" t="e">
        <f>IF(B24812=#REF!,"",B24812)</f>
        <v>#REF!</v>
      </c>
    </row>
    <row r="24813" spans="1:6" ht="15.75" customHeight="1">
      <c r="A24813" s="15" t="s">
        <v>23680</v>
      </c>
      <c r="B24813" s="15" t="s">
        <v>23680</v>
      </c>
      <c r="C24813" s="15" t="s">
        <v>23676</v>
      </c>
      <c r="D24813" s="15" t="s">
        <v>6128</v>
      </c>
      <c r="E24813" s="2">
        <v>2407790</v>
      </c>
      <c r="F24813" s="4" t="str">
        <f>IF(B24813=B24812,"",B24813)</f>
        <v>Kenema</v>
      </c>
    </row>
    <row r="24814" spans="1:6" ht="15.75" customHeight="1">
      <c r="A24814" s="16" t="str">
        <f ca="1">IFERROR(__xludf.DUMMYFUNCTION("GOOGLETRANSLATE(B33098,""en"",""pt"")"),"Kendrāparha")</f>
        <v>Kendrāparha</v>
      </c>
      <c r="B24814" s="20" t="s">
        <v>33528</v>
      </c>
      <c r="C24814" s="20" t="s">
        <v>10178</v>
      </c>
      <c r="D24814" s="20" t="s">
        <v>10229</v>
      </c>
      <c r="E24814" s="10">
        <v>1267283</v>
      </c>
      <c r="F24814" s="4" t="str">
        <f>IF(B24814=B24813,"",B24814)</f>
        <v>Kendrāparha</v>
      </c>
    </row>
    <row r="24815" spans="1:6" ht="15.75" customHeight="1">
      <c r="A24815" s="16" t="s">
        <v>11903</v>
      </c>
      <c r="B24815" s="15" t="s">
        <v>11904</v>
      </c>
      <c r="C24815" s="16" t="s">
        <v>10178</v>
      </c>
      <c r="D24815" s="16" t="s">
        <v>10229</v>
      </c>
      <c r="E24815" s="2">
        <v>1267283</v>
      </c>
      <c r="F24815" s="4" t="e">
        <f>IF(B24815=#REF!,"",B24815)</f>
        <v>#REF!</v>
      </c>
    </row>
    <row r="24816" spans="1:6" ht="15.75" customHeight="1">
      <c r="A24816" s="15" t="s">
        <v>13972</v>
      </c>
      <c r="B24816" s="15" t="s">
        <v>13972</v>
      </c>
      <c r="C24816" s="15" t="s">
        <v>13800</v>
      </c>
      <c r="D24816" s="15" t="s">
        <v>13962</v>
      </c>
      <c r="E24816" s="2">
        <v>1640344</v>
      </c>
      <c r="F24816" s="4" t="e">
        <f>IF(B24816=#REF!,"",B24816)</f>
        <v>#REF!</v>
      </c>
    </row>
    <row r="24817" spans="1:6" ht="15.75" customHeight="1">
      <c r="A24817" s="16" t="s">
        <v>29016</v>
      </c>
      <c r="B24817" s="15" t="s">
        <v>29016</v>
      </c>
      <c r="C24817" s="16" t="s">
        <v>27788</v>
      </c>
      <c r="D24817" s="16" t="s">
        <v>5468</v>
      </c>
      <c r="E24817" s="2">
        <v>7260327</v>
      </c>
      <c r="F24817" s="4" t="e">
        <f>IF(B24817=#REF!,"",B24817)</f>
        <v>#REF!</v>
      </c>
    </row>
    <row r="24818" spans="1:6" ht="15.75" customHeight="1">
      <c r="A24818" s="15" t="s">
        <v>29015</v>
      </c>
      <c r="B24818" s="15" t="s">
        <v>29015</v>
      </c>
      <c r="C24818" s="15" t="s">
        <v>27788</v>
      </c>
      <c r="D24818" s="15" t="s">
        <v>5468</v>
      </c>
      <c r="E24818" s="2">
        <v>4160711</v>
      </c>
      <c r="F24818" s="4" t="e">
        <f>IF(B24818=#REF!,"",B24818)</f>
        <v>#REF!</v>
      </c>
    </row>
    <row r="24819" spans="1:6" ht="15.75" customHeight="1">
      <c r="A24819" s="16" t="s">
        <v>29014</v>
      </c>
      <c r="B24819" s="15" t="s">
        <v>29014</v>
      </c>
      <c r="C24819" s="16" t="s">
        <v>27788</v>
      </c>
      <c r="D24819" s="16" t="s">
        <v>5468</v>
      </c>
      <c r="E24819" s="2">
        <v>4160705</v>
      </c>
      <c r="F24819" s="4" t="e">
        <f>IF(B24819=#REF!,"",B24819)</f>
        <v>#REF!</v>
      </c>
    </row>
    <row r="24820" spans="1:6" ht="15.75" customHeight="1">
      <c r="A24820" s="15" t="s">
        <v>27465</v>
      </c>
      <c r="B24820" s="15" t="s">
        <v>27465</v>
      </c>
      <c r="C24820" s="15" t="s">
        <v>27234</v>
      </c>
      <c r="D24820" s="15" t="s">
        <v>27241</v>
      </c>
      <c r="E24820" s="2">
        <v>2645826</v>
      </c>
      <c r="F24820" s="4" t="e">
        <f>IF(B24820=#REF!,"",B24820)</f>
        <v>#REF!</v>
      </c>
    </row>
    <row r="24821" spans="1:6" ht="15.75" customHeight="1">
      <c r="A24821" s="15" t="s">
        <v>11902</v>
      </c>
      <c r="B24821" s="15" t="s">
        <v>11902</v>
      </c>
      <c r="C24821" s="15" t="s">
        <v>10178</v>
      </c>
      <c r="D24821" s="15" t="s">
        <v>10201</v>
      </c>
      <c r="E24821" s="2">
        <v>1267290</v>
      </c>
      <c r="F24821" s="4" t="e">
        <f>IF(B24821=#REF!,"",B24821)</f>
        <v>#REF!</v>
      </c>
    </row>
    <row r="24822" spans="1:6" ht="15.75" customHeight="1">
      <c r="A24822" s="16" t="s">
        <v>13970</v>
      </c>
      <c r="B24822" s="15" t="s">
        <v>13971</v>
      </c>
      <c r="C24822" s="16" t="s">
        <v>13800</v>
      </c>
      <c r="D24822" s="16" t="s">
        <v>13816</v>
      </c>
      <c r="E24822" s="2">
        <v>1640354</v>
      </c>
      <c r="F24822" s="4" t="e">
        <f>IF(B24822=#REF!,"",B24822)</f>
        <v>#REF!</v>
      </c>
    </row>
    <row r="24823" spans="1:6" ht="15.75" customHeight="1">
      <c r="A24823" s="15" t="s">
        <v>29013</v>
      </c>
      <c r="B24823" s="15" t="s">
        <v>29013</v>
      </c>
      <c r="C24823" s="15" t="s">
        <v>27788</v>
      </c>
      <c r="D24823" s="15" t="s">
        <v>2341</v>
      </c>
      <c r="E24823" s="2">
        <v>5427207</v>
      </c>
      <c r="F24823" s="4" t="str">
        <f>IF(B24823=B24822,"",B24823)</f>
        <v>Ken Caryl</v>
      </c>
    </row>
    <row r="24824" spans="1:6" ht="15.75" customHeight="1">
      <c r="A24824" s="16" t="str">
        <f ca="1">IFERROR(__xludf.DUMMYFUNCTION("GOOGLETRANSLATE(B33100,""en"",""pt"")"),"Kemrī")</f>
        <v>Kemrī</v>
      </c>
      <c r="B24824" s="20" t="s">
        <v>33529</v>
      </c>
      <c r="C24824" s="20" t="s">
        <v>10178</v>
      </c>
      <c r="D24824" s="20" t="s">
        <v>10193</v>
      </c>
      <c r="E24824" s="10">
        <v>1267297</v>
      </c>
      <c r="F24824" s="4" t="str">
        <f>IF(B24824=B24823,"",B24824)</f>
        <v>Kemrī</v>
      </c>
    </row>
    <row r="24825" spans="1:6" ht="15.75" customHeight="1">
      <c r="A24825" s="15" t="s">
        <v>11900</v>
      </c>
      <c r="B24825" s="15" t="s">
        <v>11901</v>
      </c>
      <c r="C24825" s="15" t="s">
        <v>10178</v>
      </c>
      <c r="D24825" s="15" t="s">
        <v>10193</v>
      </c>
      <c r="E24825" s="2">
        <v>1267297</v>
      </c>
      <c r="F24825" s="4" t="str">
        <f>IF(B24825=B24824,"",B24825)</f>
        <v>KemrÄ«</v>
      </c>
    </row>
    <row r="24826" spans="1:6" ht="15.75" customHeight="1">
      <c r="A24826" s="16" t="str">
        <f ca="1">IFERROR(__xludf.DUMMYFUNCTION("GOOGLETRANSLATE(B27892,""en"",""pt"")"),"Kempten (Allgäu)")</f>
        <v>Kempten (Allgäu)</v>
      </c>
      <c r="B24826" s="20" t="s">
        <v>32082</v>
      </c>
      <c r="C24826" s="20" t="s">
        <v>8028</v>
      </c>
      <c r="D24826" s="20" t="s">
        <v>8044</v>
      </c>
      <c r="E24826" s="10">
        <v>2891621</v>
      </c>
      <c r="F24826" s="4" t="str">
        <f>IF(B24826=B24825,"",B24826)</f>
        <v>Kempten (Allgäu)</v>
      </c>
    </row>
    <row r="24827" spans="1:6" ht="15.75" customHeight="1">
      <c r="A24827" s="16" t="s">
        <v>8675</v>
      </c>
      <c r="B24827" s="15" t="s">
        <v>8676</v>
      </c>
      <c r="C24827" s="16" t="s">
        <v>8028</v>
      </c>
      <c r="D24827" s="16" t="s">
        <v>8044</v>
      </c>
      <c r="E24827" s="2">
        <v>2891621</v>
      </c>
      <c r="F24827" s="4" t="e">
        <f>IF(B24827=#REF!,"",B24827)</f>
        <v>#REF!</v>
      </c>
    </row>
    <row r="24828" spans="1:6" ht="15.75" customHeight="1">
      <c r="A24828" s="16" t="s">
        <v>27464</v>
      </c>
      <c r="B24828" s="15" t="s">
        <v>27464</v>
      </c>
      <c r="C24828" s="16" t="s">
        <v>27234</v>
      </c>
      <c r="D24828" s="16" t="s">
        <v>27241</v>
      </c>
      <c r="E24828" s="2">
        <v>6947168</v>
      </c>
      <c r="F24828" s="4" t="e">
        <f>IF(B24828=#REF!,"",B24828)</f>
        <v>#REF!</v>
      </c>
    </row>
    <row r="24829" spans="1:6" ht="15.75" customHeight="1">
      <c r="A24829" s="16" t="s">
        <v>27463</v>
      </c>
      <c r="B24829" s="15" t="s">
        <v>27463</v>
      </c>
      <c r="C24829" s="16" t="s">
        <v>27234</v>
      </c>
      <c r="D24829" s="16" t="s">
        <v>27241</v>
      </c>
      <c r="E24829" s="2">
        <v>2645831</v>
      </c>
      <c r="F24829" s="4" t="e">
        <f>IF(B24829=#REF!,"",B24829)</f>
        <v>#REF!</v>
      </c>
    </row>
    <row r="24830" spans="1:6" ht="15.75" customHeight="1">
      <c r="A24830" s="15" t="s">
        <v>8674</v>
      </c>
      <c r="B24830" s="15" t="s">
        <v>8674</v>
      </c>
      <c r="C24830" s="15" t="s">
        <v>8028</v>
      </c>
      <c r="D24830" s="15" t="s">
        <v>8029</v>
      </c>
      <c r="E24830" s="2">
        <v>2891643</v>
      </c>
      <c r="F24830" s="4" t="str">
        <f>IF(B24830=B24829,"",B24830)</f>
        <v>Kempen</v>
      </c>
    </row>
    <row r="24831" spans="1:6" ht="15.75" customHeight="1">
      <c r="A24831" s="16" t="str">
        <f ca="1">IFERROR(__xludf.DUMMYFUNCTION("GOOGLETRANSLATE(B29541,""en"",""pt"")"),"Kemisē")</f>
        <v>Kemisē</v>
      </c>
      <c r="B24831" s="20" t="s">
        <v>32495</v>
      </c>
      <c r="C24831" s="20" t="s">
        <v>6807</v>
      </c>
      <c r="D24831" s="20" t="s">
        <v>6811</v>
      </c>
      <c r="E24831" s="10">
        <v>333356</v>
      </c>
      <c r="F24831" s="4" t="str">
        <f>IF(B24831=B24830,"",B24831)</f>
        <v>Kemisē</v>
      </c>
    </row>
    <row r="24832" spans="1:6" ht="15.75" customHeight="1">
      <c r="A24832" s="15" t="s">
        <v>6898</v>
      </c>
      <c r="B24832" s="15" t="s">
        <v>6899</v>
      </c>
      <c r="C24832" s="15" t="s">
        <v>6807</v>
      </c>
      <c r="D24832" s="15" t="s">
        <v>6811</v>
      </c>
      <c r="E24832" s="2">
        <v>333356</v>
      </c>
      <c r="F24832" s="4" t="e">
        <f>IF(B24832=#REF!,"",B24832)</f>
        <v>#REF!</v>
      </c>
    </row>
    <row r="24833" spans="1:6" ht="15.75" customHeight="1">
      <c r="A24833" s="15" t="s">
        <v>6989</v>
      </c>
      <c r="B24833" s="15" t="s">
        <v>6989</v>
      </c>
      <c r="C24833" s="15" t="s">
        <v>6948</v>
      </c>
      <c r="D24833" s="15" t="s">
        <v>6990</v>
      </c>
      <c r="E24833" s="2">
        <v>653281</v>
      </c>
      <c r="F24833" s="4" t="e">
        <f>IF(B24833=#REF!,"",B24833)</f>
        <v>#REF!</v>
      </c>
    </row>
    <row r="24834" spans="1:6" ht="15.75" customHeight="1">
      <c r="A24834" s="16" t="s">
        <v>22140</v>
      </c>
      <c r="B24834" s="15" t="s">
        <v>22140</v>
      </c>
      <c r="C24834" s="16" t="s">
        <v>22070</v>
      </c>
      <c r="D24834" s="16" t="s">
        <v>22140</v>
      </c>
      <c r="E24834" s="2">
        <v>1503901</v>
      </c>
      <c r="F24834" s="4" t="e">
        <f>IF(B24834=#REF!,"",B24834)</f>
        <v>#REF!</v>
      </c>
    </row>
    <row r="24835" spans="1:6" ht="15.75" customHeight="1">
      <c r="A24835" s="15" t="s">
        <v>26598</v>
      </c>
      <c r="B24835" s="15" t="s">
        <v>26598</v>
      </c>
      <c r="C24835" s="15" t="s">
        <v>26201</v>
      </c>
      <c r="D24835" s="15" t="s">
        <v>26308</v>
      </c>
      <c r="E24835" s="2">
        <v>308220</v>
      </c>
      <c r="F24835" s="4" t="str">
        <f>IF(B24835=B24834,"",B24835)</f>
        <v>Kemer</v>
      </c>
    </row>
    <row r="24836" spans="1:6" ht="15.75" customHeight="1">
      <c r="A24836" s="16" t="str">
        <f ca="1">IFERROR(__xludf.DUMMYFUNCTION("GOOGLETRANSLATE(B41967,""en"",""pt"")"),"Kemalpaşa")</f>
        <v>Kemalpaşa</v>
      </c>
      <c r="B24836" s="20" t="s">
        <v>35860</v>
      </c>
      <c r="C24836" s="20" t="s">
        <v>26201</v>
      </c>
      <c r="D24836" s="20" t="s">
        <v>35825</v>
      </c>
      <c r="E24836" s="10">
        <v>308224</v>
      </c>
      <c r="F24836" s="4" t="str">
        <f>IF(B24836=B24835,"",B24836)</f>
        <v>Kemalpaşa</v>
      </c>
    </row>
    <row r="24837" spans="1:6" ht="15.75" customHeight="1">
      <c r="A24837" s="16" t="s">
        <v>26596</v>
      </c>
      <c r="B24837" s="15" t="s">
        <v>26597</v>
      </c>
      <c r="C24837" s="16" t="s">
        <v>26201</v>
      </c>
      <c r="D24837" s="16" t="s">
        <v>26213</v>
      </c>
      <c r="E24837" s="2">
        <v>308224</v>
      </c>
      <c r="F24837" s="4" t="e">
        <f>IF(B24837=#REF!,"",B24837)</f>
        <v>#REF!</v>
      </c>
    </row>
    <row r="24838" spans="1:6" ht="15.75" customHeight="1">
      <c r="A24838" s="15" t="s">
        <v>4070</v>
      </c>
      <c r="B24838" s="15" t="s">
        <v>4070</v>
      </c>
      <c r="C24838" s="15" t="s">
        <v>3975</v>
      </c>
      <c r="D24838" s="15" t="s">
        <v>3976</v>
      </c>
      <c r="E24838" s="2">
        <v>5990579</v>
      </c>
      <c r="F24838" s="4" t="e">
        <f>IF(B24838=#REF!,"",B24838)</f>
        <v>#REF!</v>
      </c>
    </row>
    <row r="24839" spans="1:6" ht="15.75" customHeight="1">
      <c r="A24839" s="15" t="s">
        <v>4327</v>
      </c>
      <c r="B24839" s="15" t="s">
        <v>4327</v>
      </c>
      <c r="C24839" s="15" t="s">
        <v>4305</v>
      </c>
      <c r="D24839" s="15" t="s">
        <v>4328</v>
      </c>
      <c r="E24839" s="2">
        <v>2430506</v>
      </c>
      <c r="F24839" s="4" t="e">
        <f>IF(B24839=#REF!,"",B24839)</f>
        <v>#REF!</v>
      </c>
    </row>
    <row r="24840" spans="1:6" ht="15.75" customHeight="1">
      <c r="A24840" s="15" t="s">
        <v>26595</v>
      </c>
      <c r="B24840" s="15" t="s">
        <v>26595</v>
      </c>
      <c r="C24840" s="15" t="s">
        <v>26201</v>
      </c>
      <c r="D24840" s="15" t="s">
        <v>26533</v>
      </c>
      <c r="E24840" s="2">
        <v>743537</v>
      </c>
      <c r="F24840" s="4" t="e">
        <f>IF(B24840=#REF!,"",B24840)</f>
        <v>#REF!</v>
      </c>
    </row>
    <row r="24841" spans="1:6" ht="15.75" customHeight="1">
      <c r="A24841" s="16" t="s">
        <v>8672</v>
      </c>
      <c r="B24841" s="15" t="s">
        <v>8673</v>
      </c>
      <c r="C24841" s="16" t="s">
        <v>8028</v>
      </c>
      <c r="D24841" s="16" t="s">
        <v>8050</v>
      </c>
      <c r="E24841" s="2">
        <v>2891832</v>
      </c>
      <c r="F24841" s="4" t="str">
        <f>IF(B24841=B24840,"",B24841)</f>
        <v>Kelkheim (Taunus)</v>
      </c>
    </row>
    <row r="24842" spans="1:6" ht="15.75" customHeight="1">
      <c r="A24842" s="16" t="str">
        <f ca="1">IFERROR(__xludf.DUMMYFUNCTION("GOOGLETRANSLATE(B34519,""en"",""pt"")"),"Kelīshād va sūdarjān")</f>
        <v>Kelīshād va sūdarjān</v>
      </c>
      <c r="B24842" s="20" t="s">
        <v>34254</v>
      </c>
      <c r="C24842" s="20" t="s">
        <v>14240</v>
      </c>
      <c r="D24842" s="20" t="s">
        <v>14294</v>
      </c>
      <c r="E24842" s="10">
        <v>418723</v>
      </c>
      <c r="F24842" s="4" t="str">
        <f>IF(B24842=B24841,"",B24842)</f>
        <v>Kelīshād va Sūdarjān</v>
      </c>
    </row>
    <row r="24843" spans="1:6" ht="15.75" customHeight="1">
      <c r="A24843" s="16" t="str">
        <f ca="1">IFERROR(__xludf.DUMMYFUNCTION("GOOGLETRANSLATE(B41807,""en"",""pt"")"),"Kélibia")</f>
        <v>Kélibia</v>
      </c>
      <c r="B24843" s="20" t="s">
        <v>35804</v>
      </c>
      <c r="C24843" s="20" t="s">
        <v>26090</v>
      </c>
      <c r="D24843" s="20" t="s">
        <v>35796</v>
      </c>
      <c r="E24843" s="10">
        <v>2467959</v>
      </c>
      <c r="F24843" s="4" t="e">
        <f>IF(B24843=#REF!,"",B24843)</f>
        <v>#REF!</v>
      </c>
    </row>
    <row r="24844" spans="1:6" ht="15.75" customHeight="1">
      <c r="A24844" s="15" t="s">
        <v>8671</v>
      </c>
      <c r="B24844" s="15" t="s">
        <v>8671</v>
      </c>
      <c r="C24844" s="15" t="s">
        <v>8028</v>
      </c>
      <c r="D24844" s="15" t="s">
        <v>8044</v>
      </c>
      <c r="E24844" s="2">
        <v>2891834</v>
      </c>
      <c r="F24844" s="4" t="e">
        <f>IF(B24844=#REF!,"",B24844)</f>
        <v>#REF!</v>
      </c>
    </row>
    <row r="24845" spans="1:6" ht="15.75" customHeight="1">
      <c r="A24845" s="15" t="s">
        <v>24957</v>
      </c>
      <c r="B24845" s="15" t="s">
        <v>24957</v>
      </c>
      <c r="C24845" s="15" t="s">
        <v>24924</v>
      </c>
      <c r="D24845" s="15" t="s">
        <v>6944</v>
      </c>
      <c r="E24845" s="2">
        <v>1240622</v>
      </c>
      <c r="F24845" s="4" t="str">
        <f>IF(B24845=B24844,"",B24845)</f>
        <v>Kelaniya</v>
      </c>
    </row>
    <row r="24846" spans="1:6" ht="15.75" customHeight="1">
      <c r="A24846" s="16" t="s">
        <v>14429</v>
      </c>
      <c r="B24846" s="15" t="s">
        <v>14430</v>
      </c>
      <c r="C24846" s="16" t="s">
        <v>14240</v>
      </c>
      <c r="D24846" s="16" t="s">
        <v>14294</v>
      </c>
      <c r="E24846" s="2">
        <v>418723</v>
      </c>
      <c r="F24846" s="4" t="e">
        <f>IF(B24846=#REF!,"",B24846)</f>
        <v>#REF!</v>
      </c>
    </row>
    <row r="24847" spans="1:6" ht="15.75" customHeight="1">
      <c r="A24847" s="15" t="s">
        <v>11899</v>
      </c>
      <c r="B24847" s="15" t="s">
        <v>11899</v>
      </c>
      <c r="C24847" s="15" t="s">
        <v>10178</v>
      </c>
      <c r="D24847" s="15" t="s">
        <v>10179</v>
      </c>
      <c r="E24847" s="2">
        <v>1267336</v>
      </c>
      <c r="F24847" s="4" t="e">
        <f>IF(B24847=#REF!,"",B24847)</f>
        <v>#REF!</v>
      </c>
    </row>
    <row r="24848" spans="1:6" ht="15.75" customHeight="1">
      <c r="A24848" s="15" t="s">
        <v>29012</v>
      </c>
      <c r="B24848" s="15" t="s">
        <v>29012</v>
      </c>
      <c r="C24848" s="15" t="s">
        <v>27788</v>
      </c>
      <c r="D24848" s="15" t="s">
        <v>27820</v>
      </c>
      <c r="E24848" s="2">
        <v>5734711</v>
      </c>
      <c r="F24848" s="4" t="e">
        <f>IF(B24848=#REF!,"",B24848)</f>
        <v>#REF!</v>
      </c>
    </row>
    <row r="24849" spans="1:6" ht="15.75" customHeight="1">
      <c r="A24849" s="15" t="s">
        <v>27462</v>
      </c>
      <c r="B24849" s="15" t="s">
        <v>27462</v>
      </c>
      <c r="C24849" s="15" t="s">
        <v>27234</v>
      </c>
      <c r="D24849" s="15" t="s">
        <v>27241</v>
      </c>
      <c r="E24849" s="2">
        <v>2645889</v>
      </c>
      <c r="F24849" s="4" t="e">
        <f>IF(B24849=#REF!,"",B24849)</f>
        <v>#REF!</v>
      </c>
    </row>
    <row r="24850" spans="1:6" ht="15.75" customHeight="1">
      <c r="A24850" s="15" t="s">
        <v>8670</v>
      </c>
      <c r="B24850" s="15" t="s">
        <v>8670</v>
      </c>
      <c r="C24850" s="15" t="s">
        <v>8028</v>
      </c>
      <c r="D24850" s="15" t="s">
        <v>8031</v>
      </c>
      <c r="E24850" s="2">
        <v>2891951</v>
      </c>
      <c r="F24850" s="4" t="e">
        <f>IF(B24850=#REF!,"",B24850)</f>
        <v>#REF!</v>
      </c>
    </row>
    <row r="24851" spans="1:6" ht="15.75" customHeight="1">
      <c r="A24851" s="15" t="s">
        <v>19481</v>
      </c>
      <c r="B24851" s="15" t="s">
        <v>19481</v>
      </c>
      <c r="C24851" s="15" t="s">
        <v>19294</v>
      </c>
      <c r="D24851" s="15" t="s">
        <v>19316</v>
      </c>
      <c r="E24851" s="2">
        <v>2334652</v>
      </c>
      <c r="F24851" s="4" t="e">
        <f>IF(B24851=#REF!,"",B24851)</f>
        <v>#REF!</v>
      </c>
    </row>
    <row r="24852" spans="1:6" ht="15.75" customHeight="1">
      <c r="A24852" s="16" t="s">
        <v>13969</v>
      </c>
      <c r="B24852" s="15" t="s">
        <v>13969</v>
      </c>
      <c r="C24852" s="16" t="s">
        <v>13800</v>
      </c>
      <c r="D24852" s="16" t="s">
        <v>13814</v>
      </c>
      <c r="E24852" s="2">
        <v>1640576</v>
      </c>
      <c r="F24852" s="4" t="e">
        <f>IF(B24852=#REF!,"",B24852)</f>
        <v>#REF!</v>
      </c>
    </row>
    <row r="24853" spans="1:6" ht="15.75" customHeight="1">
      <c r="A24853" s="16" t="s">
        <v>18779</v>
      </c>
      <c r="B24853" s="15" t="s">
        <v>18779</v>
      </c>
      <c r="C24853" s="16" t="s">
        <v>18773</v>
      </c>
      <c r="D24853" s="16" t="s">
        <v>18780</v>
      </c>
      <c r="E24853" s="2">
        <v>3356264</v>
      </c>
      <c r="F24853" s="4" t="e">
        <f>IF(B24853=#REF!,"",B24853)</f>
        <v>#REF!</v>
      </c>
    </row>
    <row r="24854" spans="1:6" ht="15.75" customHeight="1">
      <c r="A24854" s="15" t="s">
        <v>29011</v>
      </c>
      <c r="B24854" s="15" t="s">
        <v>29011</v>
      </c>
      <c r="C24854" s="15" t="s">
        <v>27788</v>
      </c>
      <c r="D24854" s="15" t="s">
        <v>27985</v>
      </c>
      <c r="E24854" s="2">
        <v>5088262</v>
      </c>
      <c r="F24854" s="4" t="e">
        <f>IF(B24854=#REF!,"",B24854)</f>
        <v>#REF!</v>
      </c>
    </row>
    <row r="24855" spans="1:6" ht="15.75" customHeight="1">
      <c r="A24855" s="15" t="s">
        <v>25511</v>
      </c>
      <c r="B24855" s="15" t="s">
        <v>25511</v>
      </c>
      <c r="C24855" s="15" t="s">
        <v>25502</v>
      </c>
      <c r="D24855" s="15" t="s">
        <v>25502</v>
      </c>
      <c r="E24855" s="2">
        <v>1678228</v>
      </c>
      <c r="F24855" s="4" t="e">
        <f>IF(B24855=#REF!,"",B24855)</f>
        <v>#REF!</v>
      </c>
    </row>
    <row r="24856" spans="1:6" ht="15.75" customHeight="1">
      <c r="A24856" s="16" t="s">
        <v>11898</v>
      </c>
      <c r="B24856" s="15" t="s">
        <v>11898</v>
      </c>
      <c r="C24856" s="16" t="s">
        <v>10178</v>
      </c>
      <c r="D24856" s="16" t="s">
        <v>10196</v>
      </c>
      <c r="E24856" s="2">
        <v>1252646</v>
      </c>
      <c r="F24856" s="4" t="str">
        <f>IF(B24856=B24855,"",B24856)</f>
        <v>Keelakarai</v>
      </c>
    </row>
    <row r="24857" spans="1:6" ht="15.75" customHeight="1">
      <c r="A24857" s="16" t="str">
        <f ca="1">IFERROR(__xludf.DUMMYFUNCTION("GOOGLETRANSLATE(B39437,""en"",""pt"")"),"Kędzierzyn-koźle")</f>
        <v>Kędzierzyn-koźle</v>
      </c>
      <c r="B24857" s="20" t="s">
        <v>35218</v>
      </c>
      <c r="C24857" s="20" t="s">
        <v>21064</v>
      </c>
      <c r="D24857" s="20" t="s">
        <v>21165</v>
      </c>
      <c r="E24857" s="10">
        <v>3096372</v>
      </c>
      <c r="F24857" s="4" t="e">
        <f>IF(B24857=#REF!,"",B24857)</f>
        <v>#REF!</v>
      </c>
    </row>
    <row r="24858" spans="1:6" ht="15.75" customHeight="1">
      <c r="A24858" s="16" t="s">
        <v>13968</v>
      </c>
      <c r="B24858" s="15" t="s">
        <v>13968</v>
      </c>
      <c r="C24858" s="16" t="s">
        <v>13800</v>
      </c>
      <c r="D24858" s="16" t="s">
        <v>13803</v>
      </c>
      <c r="E24858" s="2">
        <v>1640581</v>
      </c>
      <c r="F24858" s="4" t="e">
        <f>IF(B24858=#REF!,"",B24858)</f>
        <v>#REF!</v>
      </c>
    </row>
    <row r="24859" spans="1:6" ht="15.75" customHeight="1">
      <c r="A24859" s="16" t="s">
        <v>13967</v>
      </c>
      <c r="B24859" s="15" t="s">
        <v>13967</v>
      </c>
      <c r="C24859" s="16" t="s">
        <v>13800</v>
      </c>
      <c r="D24859" s="16" t="s">
        <v>13816</v>
      </c>
      <c r="E24859" s="2">
        <v>1640585</v>
      </c>
      <c r="F24859" s="4" t="e">
        <f>IF(B24859=#REF!,"",B24859)</f>
        <v>#REF!</v>
      </c>
    </row>
    <row r="24860" spans="1:6" ht="15.75" customHeight="1">
      <c r="A24860" s="15" t="s">
        <v>22498</v>
      </c>
      <c r="B24860" s="15" t="s">
        <v>22498</v>
      </c>
      <c r="C24860" s="15" t="s">
        <v>22070</v>
      </c>
      <c r="D24860" s="15" t="s">
        <v>22140</v>
      </c>
      <c r="E24860" s="2">
        <v>1503940</v>
      </c>
      <c r="F24860" s="4" t="str">
        <f>IF(B24860=B24859,"",B24860)</f>
        <v>Kedrovka</v>
      </c>
    </row>
    <row r="24861" spans="1:6" ht="15.75" customHeight="1">
      <c r="A24861" s="16" t="str">
        <f ca="1">IFERROR(__xludf.DUMMYFUNCTION("GOOGLETRANSLATE(B41304,""en"",""pt"")"),"Kédougou")</f>
        <v>Kédougou</v>
      </c>
      <c r="B24861" s="20" t="s">
        <v>35710</v>
      </c>
      <c r="C24861" s="20" t="s">
        <v>23559</v>
      </c>
      <c r="D24861" s="20" t="s">
        <v>35710</v>
      </c>
      <c r="E24861" s="10">
        <v>2250645</v>
      </c>
      <c r="F24861" s="4" t="e">
        <f>IF(B24861=#REF!,"",B24861)</f>
        <v>#REF!</v>
      </c>
    </row>
    <row r="24862" spans="1:6" ht="15.75" customHeight="1">
      <c r="A24862" s="15" t="s">
        <v>13966</v>
      </c>
      <c r="B24862" s="15" t="s">
        <v>13966</v>
      </c>
      <c r="C24862" s="15" t="s">
        <v>13800</v>
      </c>
      <c r="D24862" s="15" t="s">
        <v>13816</v>
      </c>
      <c r="E24862" s="2">
        <v>1640660</v>
      </c>
      <c r="F24862" s="4" t="str">
        <f>IF(B24862=B24861,"",B24862)</f>
        <v>Kediri</v>
      </c>
    </row>
    <row r="24863" spans="1:6" ht="15.75" customHeight="1">
      <c r="A24863" s="16" t="str">
        <f ca="1">IFERROR(__xludf.DUMMYFUNCTION("GOOGLETRANSLATE(B36378,""en"",""pt"")"),"Kėdainiai")</f>
        <v>Kėdainiai</v>
      </c>
      <c r="B24863" s="20" t="s">
        <v>34536</v>
      </c>
      <c r="C24863" s="20" t="s">
        <v>17154</v>
      </c>
      <c r="D24863" s="20" t="s">
        <v>17161</v>
      </c>
      <c r="E24863" s="10">
        <v>598272</v>
      </c>
      <c r="F24863" s="4" t="str">
        <f>IF(B24863=B24862,"",B24863)</f>
        <v>Kėdainiai</v>
      </c>
    </row>
    <row r="24864" spans="1:6" ht="15.75" customHeight="1">
      <c r="A24864" s="16" t="str">
        <f ca="1">IFERROR(__xludf.DUMMYFUNCTION("GOOGLETRANSLATE(B31306,""en"",""pt"")"),"KECSKEMÉT")</f>
        <v>KECSKEMÉT</v>
      </c>
      <c r="B24864" s="20" t="s">
        <v>32875</v>
      </c>
      <c r="C24864" s="20" t="s">
        <v>9955</v>
      </c>
      <c r="D24864" s="20" t="s">
        <v>32872</v>
      </c>
      <c r="E24864" s="10">
        <v>3050434</v>
      </c>
      <c r="F24864" s="4" t="str">
        <f>IF(B24864=B24863,"",B24864)</f>
        <v>Kecskemét</v>
      </c>
    </row>
    <row r="24865" spans="1:6" ht="15.75" customHeight="1">
      <c r="A24865" s="16" t="s">
        <v>10078</v>
      </c>
      <c r="B24865" s="15" t="s">
        <v>10079</v>
      </c>
      <c r="C24865" s="16" t="s">
        <v>9955</v>
      </c>
      <c r="D24865" s="16" t="s">
        <v>9970</v>
      </c>
      <c r="E24865" s="2">
        <v>3050434</v>
      </c>
      <c r="F24865" s="4" t="e">
        <f>IF(B24865=#REF!,"",B24865)</f>
        <v>#REF!</v>
      </c>
    </row>
    <row r="24866" spans="1:6" ht="15.75" customHeight="1">
      <c r="A24866" s="16" t="s">
        <v>13965</v>
      </c>
      <c r="B24866" s="15" t="s">
        <v>13965</v>
      </c>
      <c r="C24866" s="16" t="s">
        <v>13800</v>
      </c>
      <c r="D24866" s="16" t="s">
        <v>13803</v>
      </c>
      <c r="E24866" s="2">
        <v>1640755</v>
      </c>
      <c r="F24866" s="4" t="e">
        <f>IF(B24866=#REF!,"",B24866)</f>
        <v>#REF!</v>
      </c>
    </row>
    <row r="24867" spans="1:6" ht="15.75" customHeight="1">
      <c r="A24867" s="15" t="s">
        <v>13964</v>
      </c>
      <c r="B24867" s="15" t="s">
        <v>13964</v>
      </c>
      <c r="C24867" s="15" t="s">
        <v>13800</v>
      </c>
      <c r="D24867" s="15" t="s">
        <v>13816</v>
      </c>
      <c r="E24867" s="2">
        <v>1640765</v>
      </c>
      <c r="F24867" s="4" t="e">
        <f>IF(B24867=#REF!,"",B24867)</f>
        <v>#REF!</v>
      </c>
    </row>
    <row r="24868" spans="1:6" ht="15.75" customHeight="1">
      <c r="A24868" s="15" t="s">
        <v>26149</v>
      </c>
      <c r="B24868" s="15" t="s">
        <v>26149</v>
      </c>
      <c r="C24868" s="15" t="s">
        <v>26090</v>
      </c>
      <c r="D24868" s="15" t="s">
        <v>26120</v>
      </c>
      <c r="E24868" s="2">
        <v>2468018</v>
      </c>
      <c r="F24868" s="4" t="str">
        <f>IF(B24868=B24867,"",B24868)</f>
        <v>Kebili</v>
      </c>
    </row>
    <row r="24869" spans="1:6" ht="15.75" customHeight="1">
      <c r="A24869" s="15" t="s">
        <v>26593</v>
      </c>
      <c r="B24869" s="15" t="s">
        <v>26594</v>
      </c>
      <c r="C24869" s="15" t="s">
        <v>26201</v>
      </c>
      <c r="D24869" s="15" t="s">
        <v>26456</v>
      </c>
      <c r="E24869" s="2">
        <v>743439</v>
      </c>
      <c r="F24869" s="4" t="e">
        <f>IF(B24869=#REF!,"",B24869)</f>
        <v>#REF!</v>
      </c>
    </row>
    <row r="24870" spans="1:6" ht="15.75" customHeight="1">
      <c r="A24870" s="15" t="s">
        <v>29010</v>
      </c>
      <c r="B24870" s="15" t="s">
        <v>29010</v>
      </c>
      <c r="C24870" s="15" t="s">
        <v>27788</v>
      </c>
      <c r="D24870" s="15" t="s">
        <v>27905</v>
      </c>
      <c r="E24870" s="2">
        <v>5099967</v>
      </c>
      <c r="F24870" s="4" t="e">
        <f>IF(B24870=#REF!,"",B24870)</f>
        <v>#REF!</v>
      </c>
    </row>
    <row r="24871" spans="1:6" ht="15.75" customHeight="1">
      <c r="A24871" s="15" t="s">
        <v>29009</v>
      </c>
      <c r="B24871" s="15" t="s">
        <v>29009</v>
      </c>
      <c r="C24871" s="15" t="s">
        <v>27788</v>
      </c>
      <c r="D24871" s="15" t="s">
        <v>27856</v>
      </c>
      <c r="E24871" s="2">
        <v>5776727</v>
      </c>
      <c r="F24871" s="4" t="e">
        <f>IF(B24871=#REF!,"",B24871)</f>
        <v>#REF!</v>
      </c>
    </row>
    <row r="24872" spans="1:6" ht="15.75" customHeight="1">
      <c r="A24872" s="15" t="s">
        <v>29008</v>
      </c>
      <c r="B24872" s="15" t="s">
        <v>29008</v>
      </c>
      <c r="C24872" s="15" t="s">
        <v>27788</v>
      </c>
      <c r="D24872" s="15" t="s">
        <v>27995</v>
      </c>
      <c r="E24872" s="2">
        <v>5071348</v>
      </c>
      <c r="F24872" s="4" t="str">
        <f>IF(B24872=B24871,"",B24872)</f>
        <v>Kearney</v>
      </c>
    </row>
    <row r="24873" spans="1:6" ht="15.75" customHeight="1">
      <c r="A24873" s="16" t="s">
        <v>23725</v>
      </c>
      <c r="B24873" s="15" t="s">
        <v>23726</v>
      </c>
      <c r="C24873" s="16" t="s">
        <v>23694</v>
      </c>
      <c r="D24873" s="16" t="s">
        <v>23706</v>
      </c>
      <c r="E24873" s="2">
        <v>724503</v>
      </c>
      <c r="F24873" s="4" t="e">
        <f>IF(B24873=#REF!,"",B24873)</f>
        <v>#REF!</v>
      </c>
    </row>
    <row r="24874" spans="1:6" ht="15.75" customHeight="1">
      <c r="A24874" s="15" t="s">
        <v>16130</v>
      </c>
      <c r="B24874" s="15" t="s">
        <v>16130</v>
      </c>
      <c r="C24874" s="15" t="s">
        <v>15704</v>
      </c>
      <c r="D24874" s="15" t="s">
        <v>15710</v>
      </c>
      <c r="E24874" s="2">
        <v>1859586</v>
      </c>
      <c r="F24874" s="4" t="e">
        <f>IF(B24874=#REF!,"",B24874)</f>
        <v>#REF!</v>
      </c>
    </row>
    <row r="24875" spans="1:6" ht="15.75" customHeight="1">
      <c r="A24875" s="16" t="s">
        <v>10077</v>
      </c>
      <c r="B24875" s="15" t="s">
        <v>10077</v>
      </c>
      <c r="C24875" s="16" t="s">
        <v>9955</v>
      </c>
      <c r="D24875" s="16" t="s">
        <v>9956</v>
      </c>
      <c r="E24875" s="2">
        <v>719311</v>
      </c>
      <c r="F24875" s="4" t="str">
        <f>IF(B24875=B24874,"",B24875)</f>
        <v>Kazincbarcika</v>
      </c>
    </row>
    <row r="24876" spans="1:6" ht="15.75" customHeight="1">
      <c r="A24876" s="16" t="str">
        <f ca="1">IFERROR(__xludf.DUMMYFUNCTION("GOOGLETRANSLATE(B34433,""en"",""pt"")"),"Kāzerūn")</f>
        <v>Kāzerūn</v>
      </c>
      <c r="B24876" s="20" t="s">
        <v>34186</v>
      </c>
      <c r="C24876" s="20" t="s">
        <v>14240</v>
      </c>
      <c r="D24876" s="20" t="s">
        <v>14244</v>
      </c>
      <c r="E24876" s="10">
        <v>128321</v>
      </c>
      <c r="F24876" s="4" t="str">
        <f>IF(B24876=B24875,"",B24876)</f>
        <v>Kāzerūn</v>
      </c>
    </row>
    <row r="24877" spans="1:6" ht="15.75" customHeight="1">
      <c r="A24877" s="16" t="str">
        <f ca="1">IFERROR(__xludf.DUMMYFUNCTION("GOOGLETRANSLATE(B24047,""en"",""pt"")"),"Kazanlŭk")</f>
        <v>Kazanlŭk</v>
      </c>
      <c r="B24877" s="20" t="s">
        <v>31323</v>
      </c>
      <c r="C24877" s="20" t="s">
        <v>3701</v>
      </c>
      <c r="D24877" s="20" t="s">
        <v>3713</v>
      </c>
      <c r="E24877" s="10">
        <v>730496</v>
      </c>
      <c r="F24877" s="4" t="str">
        <f>IF(B24877=B24876,"",B24877)</f>
        <v>Kazanlŭk</v>
      </c>
    </row>
    <row r="24878" spans="1:6" ht="15.75" customHeight="1">
      <c r="A24878" s="15" t="s">
        <v>3728</v>
      </c>
      <c r="B24878" s="15" t="s">
        <v>3729</v>
      </c>
      <c r="C24878" s="15" t="s">
        <v>3701</v>
      </c>
      <c r="D24878" s="15" t="s">
        <v>3713</v>
      </c>
      <c r="E24878" s="2">
        <v>730496</v>
      </c>
      <c r="F24878" s="4" t="e">
        <f>IF(B24878=#REF!,"",B24878)</f>
        <v>#REF!</v>
      </c>
    </row>
    <row r="24879" spans="1:6" ht="15.75" customHeight="1">
      <c r="A24879" s="15" t="s">
        <v>22497</v>
      </c>
      <c r="B24879" s="15" t="s">
        <v>22497</v>
      </c>
      <c r="C24879" s="15" t="s">
        <v>22070</v>
      </c>
      <c r="D24879" s="15" t="s">
        <v>22090</v>
      </c>
      <c r="E24879" s="2">
        <v>551487</v>
      </c>
      <c r="F24879" s="4" t="e">
        <f>IF(B24879=#REF!,"",B24879)</f>
        <v>#REF!</v>
      </c>
    </row>
    <row r="24880" spans="1:6" ht="15.75" customHeight="1">
      <c r="A24880" s="16" t="s">
        <v>22496</v>
      </c>
      <c r="B24880" s="15" t="s">
        <v>22496</v>
      </c>
      <c r="C24880" s="16" t="s">
        <v>22070</v>
      </c>
      <c r="D24880" s="16" t="s">
        <v>22079</v>
      </c>
      <c r="E24880" s="2">
        <v>1504139</v>
      </c>
      <c r="F24880" s="4" t="e">
        <f>IF(B24880=#REF!,"",B24880)</f>
        <v>#REF!</v>
      </c>
    </row>
    <row r="24881" spans="1:6" ht="15.75" customHeight="1">
      <c r="A24881" s="15" t="s">
        <v>26840</v>
      </c>
      <c r="B24881" s="15" t="s">
        <v>26840</v>
      </c>
      <c r="C24881" s="15" t="s">
        <v>26820</v>
      </c>
      <c r="D24881" s="15" t="s">
        <v>17414</v>
      </c>
      <c r="E24881" s="2">
        <v>231696</v>
      </c>
      <c r="F24881" s="4" t="e">
        <f>IF(B24881=#REF!,"",B24881)</f>
        <v>#REF!</v>
      </c>
    </row>
    <row r="24882" spans="1:6" ht="15.75" customHeight="1">
      <c r="A24882" s="15" t="s">
        <v>29007</v>
      </c>
      <c r="B24882" s="15" t="s">
        <v>29007</v>
      </c>
      <c r="C24882" s="15" t="s">
        <v>27788</v>
      </c>
      <c r="D24882" s="15" t="s">
        <v>27856</v>
      </c>
      <c r="E24882" s="2">
        <v>5776715</v>
      </c>
      <c r="F24882" s="4" t="e">
        <f>IF(B24882=#REF!,"",B24882)</f>
        <v>#REF!</v>
      </c>
    </row>
    <row r="24883" spans="1:6" ht="15.75" customHeight="1">
      <c r="A24883" s="15" t="s">
        <v>26445</v>
      </c>
      <c r="B24883" s="15" t="s">
        <v>26445</v>
      </c>
      <c r="C24883" s="15" t="s">
        <v>26201</v>
      </c>
      <c r="D24883" s="15" t="s">
        <v>26445</v>
      </c>
      <c r="E24883" s="2">
        <v>308464</v>
      </c>
      <c r="F24883" s="4" t="e">
        <f>IF(B24883=#REF!,"",B24883)</f>
        <v>#REF!</v>
      </c>
    </row>
    <row r="24884" spans="1:6" ht="15.75" customHeight="1">
      <c r="A24884" s="15" t="s">
        <v>17597</v>
      </c>
      <c r="B24884" s="15" t="s">
        <v>17597</v>
      </c>
      <c r="C24884" s="15" t="s">
        <v>17596</v>
      </c>
      <c r="D24884" s="15" t="s">
        <v>17597</v>
      </c>
      <c r="E24884" s="2">
        <v>2455518</v>
      </c>
      <c r="F24884" s="4" t="e">
        <f>IF(B24884=#REF!,"",B24884)</f>
        <v>#REF!</v>
      </c>
    </row>
    <row r="24885" spans="1:6" ht="15.75" customHeight="1">
      <c r="A24885" s="15" t="s">
        <v>23573</v>
      </c>
      <c r="B24885" s="15" t="s">
        <v>23573</v>
      </c>
      <c r="C24885" s="15" t="s">
        <v>23559</v>
      </c>
      <c r="D24885" s="15" t="s">
        <v>23568</v>
      </c>
      <c r="E24885" s="2">
        <v>2250677</v>
      </c>
      <c r="F24885" s="4" t="e">
        <f>IF(B24885=#REF!,"",B24885)</f>
        <v>#REF!</v>
      </c>
    </row>
    <row r="24886" spans="1:6" ht="15.75" customHeight="1">
      <c r="A24886" s="15" t="s">
        <v>3829</v>
      </c>
      <c r="B24886" s="15" t="s">
        <v>3829</v>
      </c>
      <c r="C24886" s="15" t="s">
        <v>3825</v>
      </c>
      <c r="D24886" s="15" t="s">
        <v>3829</v>
      </c>
      <c r="E24886" s="2">
        <v>430952</v>
      </c>
      <c r="F24886" s="4" t="str">
        <f>IF(B24886=B24885,"",B24886)</f>
        <v>Kayanza</v>
      </c>
    </row>
    <row r="24887" spans="1:6" ht="15.75" customHeight="1">
      <c r="A24887" s="16" t="str">
        <f ca="1">IFERROR(__xludf.DUMMYFUNCTION("GOOGLETRANSLATE(B33102,""en"",""pt"")"),"Kāyankulam")</f>
        <v>Kāyankulam</v>
      </c>
      <c r="B24887" s="20" t="s">
        <v>33530</v>
      </c>
      <c r="C24887" s="20" t="s">
        <v>10178</v>
      </c>
      <c r="D24887" s="20" t="s">
        <v>10246</v>
      </c>
      <c r="E24887" s="10">
        <v>1267360</v>
      </c>
      <c r="F24887" s="4" t="e">
        <f>IF(B24887=#REF!,"",B24887)</f>
        <v>#REF!</v>
      </c>
    </row>
    <row r="24888" spans="1:6" ht="15.75" customHeight="1">
      <c r="A24888" s="15" t="s">
        <v>18713</v>
      </c>
      <c r="B24888" s="15" t="s">
        <v>18713</v>
      </c>
      <c r="C24888" s="15" t="s">
        <v>18696</v>
      </c>
      <c r="D24888" s="15" t="s">
        <v>18712</v>
      </c>
      <c r="E24888" s="2">
        <v>1319533</v>
      </c>
      <c r="F24888" s="4" t="e">
        <f>IF(B24888=#REF!,"",B24888)</f>
        <v>#REF!</v>
      </c>
    </row>
    <row r="24889" spans="1:6" ht="15.75" customHeight="1">
      <c r="A24889" s="16" t="s">
        <v>11897</v>
      </c>
      <c r="B24889" s="15" t="s">
        <v>11897</v>
      </c>
      <c r="C24889" s="16" t="s">
        <v>10178</v>
      </c>
      <c r="D24889" s="16" t="s">
        <v>10196</v>
      </c>
      <c r="E24889" s="2">
        <v>1267361</v>
      </c>
      <c r="F24889" s="4" t="e">
        <f>IF(B24889=#REF!,"",B24889)</f>
        <v>#REF!</v>
      </c>
    </row>
    <row r="24890" spans="1:6" ht="15.75" customHeight="1">
      <c r="A24890" s="15" t="s">
        <v>3796</v>
      </c>
      <c r="B24890" s="15" t="s">
        <v>3796</v>
      </c>
      <c r="C24890" s="15" t="s">
        <v>3768</v>
      </c>
      <c r="D24890" s="15" t="s">
        <v>3774</v>
      </c>
      <c r="E24890" s="2">
        <v>2359608</v>
      </c>
      <c r="F24890" s="4" t="str">
        <f>IF(B24890=B24889,"",B24890)</f>
        <v>Kaya</v>
      </c>
    </row>
    <row r="24891" spans="1:6" ht="15.75" customHeight="1">
      <c r="A24891" s="16" t="str">
        <f ca="1">IFERROR(__xludf.DUMMYFUNCTION("GOOGLETRANSLATE(B28852,""en"",""pt"")"),"Kawm Umbū")</f>
        <v>Kawm Umbū</v>
      </c>
      <c r="B24891" s="20" t="s">
        <v>32280</v>
      </c>
      <c r="C24891" s="20" t="s">
        <v>6495</v>
      </c>
      <c r="D24891" s="20" t="s">
        <v>32281</v>
      </c>
      <c r="E24891" s="10">
        <v>353802</v>
      </c>
      <c r="F24891" s="4" t="str">
        <f>IF(B24891=B24890,"",B24891)</f>
        <v>Kawm Umbū</v>
      </c>
    </row>
    <row r="24892" spans="1:6" ht="15.75" customHeight="1">
      <c r="A24892" s="16" t="s">
        <v>6669</v>
      </c>
      <c r="B24892" s="15" t="s">
        <v>6670</v>
      </c>
      <c r="C24892" s="16" t="s">
        <v>6495</v>
      </c>
      <c r="D24892" s="16" t="s">
        <v>6596</v>
      </c>
      <c r="E24892" s="2">
        <v>353802</v>
      </c>
      <c r="F24892" s="4" t="str">
        <f>IF(B24892=B24891,"",B24892)</f>
        <v>Kawm UmbÅ«</v>
      </c>
    </row>
    <row r="24893" spans="1:6" ht="15.75" customHeight="1">
      <c r="A24893" s="16" t="str">
        <f ca="1">IFERROR(__xludf.DUMMYFUNCTION("GOOGLETRANSLATE(B28853,""en"",""pt"")"),"Kawm ḩamādah")</f>
        <v>Kawm ḩamādah</v>
      </c>
      <c r="B24893" s="20" t="s">
        <v>32282</v>
      </c>
      <c r="C24893" s="20" t="s">
        <v>6495</v>
      </c>
      <c r="D24893" s="20" t="s">
        <v>32264</v>
      </c>
      <c r="E24893" s="10">
        <v>353828</v>
      </c>
      <c r="F24893" s="4" t="str">
        <f>IF(B24893=B24892,"",B24893)</f>
        <v>Kawm Ḩamādah</v>
      </c>
    </row>
    <row r="24894" spans="1:6" ht="15.75" customHeight="1">
      <c r="A24894" s="16" t="s">
        <v>6667</v>
      </c>
      <c r="B24894" s="15" t="s">
        <v>6668</v>
      </c>
      <c r="C24894" s="16" t="s">
        <v>6495</v>
      </c>
      <c r="D24894" s="16" t="s">
        <v>6499</v>
      </c>
      <c r="E24894" s="2">
        <v>353828</v>
      </c>
      <c r="F24894" s="4" t="e">
        <f>IF(B24894=#REF!,"",B24894)</f>
        <v>#REF!</v>
      </c>
    </row>
    <row r="24895" spans="1:6" ht="15.75" customHeight="1">
      <c r="A24895" s="15" t="s">
        <v>20813</v>
      </c>
      <c r="B24895" s="15" t="s">
        <v>20813</v>
      </c>
      <c r="C24895" s="15" t="s">
        <v>20598</v>
      </c>
      <c r="D24895" s="15" t="s">
        <v>20608</v>
      </c>
      <c r="E24895" s="2">
        <v>1709003</v>
      </c>
      <c r="F24895" s="4" t="e">
        <f>IF(B24895=#REF!,"",B24895)</f>
        <v>#REF!</v>
      </c>
    </row>
    <row r="24896" spans="1:6" ht="15.75" customHeight="1">
      <c r="A24896" s="15" t="s">
        <v>16129</v>
      </c>
      <c r="B24896" s="15" t="s">
        <v>16129</v>
      </c>
      <c r="C24896" s="15" t="s">
        <v>15704</v>
      </c>
      <c r="D24896" s="15" t="s">
        <v>15755</v>
      </c>
      <c r="E24896" s="2">
        <v>1859642</v>
      </c>
      <c r="F24896" s="4" t="e">
        <f>IF(B24896=#REF!,"",B24896)</f>
        <v>#REF!</v>
      </c>
    </row>
    <row r="24897" spans="1:6" ht="15.75" customHeight="1">
      <c r="A24897" s="16" t="s">
        <v>11896</v>
      </c>
      <c r="B24897" s="15" t="s">
        <v>11896</v>
      </c>
      <c r="C24897" s="16" t="s">
        <v>10178</v>
      </c>
      <c r="D24897" s="16" t="s">
        <v>10272</v>
      </c>
      <c r="E24897" s="2">
        <v>1267369</v>
      </c>
      <c r="F24897" s="4" t="str">
        <f>IF(B24897=B24896,"",B24897)</f>
        <v>Kawardha</v>
      </c>
    </row>
    <row r="24898" spans="1:6" ht="15.75" customHeight="1">
      <c r="A24898" s="16" t="str">
        <f ca="1">IFERROR(__xludf.DUMMYFUNCTION("GOOGLETRANSLATE(B35704,""en"",""pt"")"),"Kawanoechō")</f>
        <v>Kawanoechō</v>
      </c>
      <c r="B24898" s="20" t="s">
        <v>34395</v>
      </c>
      <c r="C24898" s="20" t="s">
        <v>15704</v>
      </c>
      <c r="D24898" s="20" t="s">
        <v>15813</v>
      </c>
      <c r="E24898" s="10">
        <v>1926116</v>
      </c>
      <c r="F24898" s="4" t="str">
        <f>IF(B24898=B24897,"",B24898)</f>
        <v>Kawanoechō</v>
      </c>
    </row>
    <row r="24899" spans="1:6" ht="15.75" customHeight="1">
      <c r="A24899" s="16" t="s">
        <v>16127</v>
      </c>
      <c r="B24899" s="15" t="s">
        <v>16128</v>
      </c>
      <c r="C24899" s="16" t="s">
        <v>15704</v>
      </c>
      <c r="D24899" s="16" t="s">
        <v>15813</v>
      </c>
      <c r="E24899" s="2">
        <v>1926116</v>
      </c>
      <c r="F24899" s="4" t="e">
        <f>IF(B24899=#REF!,"",B24899)</f>
        <v>#REF!</v>
      </c>
    </row>
    <row r="24900" spans="1:6" ht="15.75" customHeight="1">
      <c r="A24900" s="16" t="s">
        <v>16126</v>
      </c>
      <c r="B24900" s="15" t="s">
        <v>16126</v>
      </c>
      <c r="C24900" s="16" t="s">
        <v>15704</v>
      </c>
      <c r="D24900" s="16" t="s">
        <v>15712</v>
      </c>
      <c r="E24900" s="2">
        <v>1859675</v>
      </c>
      <c r="F24900" s="4" t="e">
        <f>IF(B24900=#REF!,"",B24900)</f>
        <v>#REF!</v>
      </c>
    </row>
    <row r="24901" spans="1:6" ht="15.75" customHeight="1">
      <c r="A24901" s="16" t="s">
        <v>31051</v>
      </c>
      <c r="B24901" s="15" t="s">
        <v>31051</v>
      </c>
      <c r="C24901" s="16" t="s">
        <v>31038</v>
      </c>
      <c r="D24901" s="16" t="s">
        <v>31052</v>
      </c>
      <c r="E24901" s="2">
        <v>176555</v>
      </c>
      <c r="F24901" s="4" t="e">
        <f>IF(B24901=#REF!,"",B24901)</f>
        <v>#REF!</v>
      </c>
    </row>
    <row r="24902" spans="1:6" ht="15.75" customHeight="1">
      <c r="A24902" s="15" t="s">
        <v>13963</v>
      </c>
      <c r="B24902" s="15" t="s">
        <v>13963</v>
      </c>
      <c r="C24902" s="15" t="s">
        <v>13800</v>
      </c>
      <c r="D24902" s="15" t="s">
        <v>13811</v>
      </c>
      <c r="E24902" s="2">
        <v>1640902</v>
      </c>
      <c r="F24902" s="4" t="e">
        <f>IF(B24902=#REF!,"",B24902)</f>
        <v>#REF!</v>
      </c>
    </row>
    <row r="24903" spans="1:6" ht="15.75" customHeight="1">
      <c r="A24903" s="16" t="s">
        <v>16125</v>
      </c>
      <c r="B24903" s="15" t="s">
        <v>16125</v>
      </c>
      <c r="C24903" s="16" t="s">
        <v>15704</v>
      </c>
      <c r="D24903" s="16" t="s">
        <v>15710</v>
      </c>
      <c r="E24903" s="2">
        <v>1859730</v>
      </c>
      <c r="F24903" s="4" t="e">
        <f>IF(B24903=#REF!,"",B24903)</f>
        <v>#REF!</v>
      </c>
    </row>
    <row r="24904" spans="1:6" ht="15.75" customHeight="1">
      <c r="A24904" s="15" t="s">
        <v>16124</v>
      </c>
      <c r="B24904" s="15" t="s">
        <v>16124</v>
      </c>
      <c r="C24904" s="15" t="s">
        <v>15704</v>
      </c>
      <c r="D24904" s="15" t="s">
        <v>15710</v>
      </c>
      <c r="E24904" s="2">
        <v>1859740</v>
      </c>
      <c r="F24904" s="4" t="e">
        <f>IF(B24904=#REF!,"",B24904)</f>
        <v>#REF!</v>
      </c>
    </row>
    <row r="24905" spans="1:6" ht="15.75" customHeight="1">
      <c r="A24905" s="15" t="s">
        <v>16122</v>
      </c>
      <c r="B24905" s="15" t="s">
        <v>16123</v>
      </c>
      <c r="C24905" s="15" t="s">
        <v>15704</v>
      </c>
      <c r="D24905" s="15" t="s">
        <v>15967</v>
      </c>
      <c r="E24905" s="2">
        <v>6696932</v>
      </c>
      <c r="F24905" s="4" t="str">
        <f>IF(B24905=B24904,"",B24905)</f>
        <v>Kawage</v>
      </c>
    </row>
    <row r="24906" spans="1:6" ht="15.75" customHeight="1">
      <c r="A24906" s="16" t="str">
        <f ca="1">IFERROR(__xludf.DUMMYFUNCTION("GOOGLETRANSLATE(B33105,""en"",""pt"")"),"Kāvali")</f>
        <v>Kāvali</v>
      </c>
      <c r="B24906" s="20" t="s">
        <v>33531</v>
      </c>
      <c r="C24906" s="20" t="s">
        <v>10178</v>
      </c>
      <c r="D24906" s="20" t="s">
        <v>10190</v>
      </c>
      <c r="E24906" s="10">
        <v>1267394</v>
      </c>
      <c r="F24906" s="4" t="e">
        <f>IF(B24906=#REF!,"",B24906)</f>
        <v>#REF!</v>
      </c>
    </row>
    <row r="24907" spans="1:6" ht="15.75" customHeight="1">
      <c r="A24907" s="16" t="s">
        <v>22494</v>
      </c>
      <c r="B24907" s="15" t="s">
        <v>22495</v>
      </c>
      <c r="C24907" s="16" t="s">
        <v>22070</v>
      </c>
      <c r="D24907" s="16" t="s">
        <v>22154</v>
      </c>
      <c r="E24907" s="2">
        <v>2023058</v>
      </c>
      <c r="F24907" s="4" t="str">
        <f>IF(B24907=B24906,"",B24907)</f>
        <v>Kavalerovo</v>
      </c>
    </row>
    <row r="24908" spans="1:6" ht="15.75" customHeight="1">
      <c r="A24908" s="16" t="str">
        <f ca="1">IFERROR(__xludf.DUMMYFUNCTION("GOOGLETRANSLATE(B31046,""en"",""pt"")"),"Kavála")</f>
        <v>Kavála</v>
      </c>
      <c r="B24908" s="20" t="s">
        <v>32752</v>
      </c>
      <c r="C24908" s="20" t="s">
        <v>9441</v>
      </c>
      <c r="D24908" s="20" t="s">
        <v>9475</v>
      </c>
      <c r="E24908" s="10">
        <v>735861</v>
      </c>
      <c r="F24908" s="4" t="str">
        <f>IF(B24908=B24907,"",B24908)</f>
        <v>Kavála</v>
      </c>
    </row>
    <row r="24909" spans="1:6" ht="15.75" customHeight="1">
      <c r="A24909" s="16" t="str">
        <f ca="1">IFERROR(__xludf.DUMMYFUNCTION("GOOGLETRANSLATE(B42149,""en"",""pt"")"),"Kavaklı")</f>
        <v>Kavaklı</v>
      </c>
      <c r="B24909" s="20" t="s">
        <v>35934</v>
      </c>
      <c r="C24909" s="20" t="s">
        <v>26201</v>
      </c>
      <c r="D24909" s="20" t="s">
        <v>26211</v>
      </c>
      <c r="E24909" s="10">
        <v>743818</v>
      </c>
      <c r="F24909" s="4" t="str">
        <f>IF(B24909=B24908,"",B24909)</f>
        <v>Kavaklı</v>
      </c>
    </row>
    <row r="24910" spans="1:6" ht="15.75" customHeight="1">
      <c r="A24910" s="15" t="s">
        <v>26591</v>
      </c>
      <c r="B24910" s="15" t="s">
        <v>26592</v>
      </c>
      <c r="C24910" s="15" t="s">
        <v>26201</v>
      </c>
      <c r="D24910" s="15" t="s">
        <v>26211</v>
      </c>
      <c r="E24910" s="2">
        <v>743818</v>
      </c>
      <c r="F24910" s="4" t="str">
        <f>IF(B24910=B24909,"",B24910)</f>
        <v>KavaklÄ±</v>
      </c>
    </row>
    <row r="24911" spans="1:6" ht="15.75" customHeight="1">
      <c r="A24911" s="16" t="str">
        <f ca="1">IFERROR(__xludf.DUMMYFUNCTION("GOOGLETRANSLATE(B23119,""en"",""pt"")"),"Kavajë")</f>
        <v>Kavajë</v>
      </c>
      <c r="B24911" s="20" t="s">
        <v>31157</v>
      </c>
      <c r="C24911" s="20" t="s">
        <v>113</v>
      </c>
      <c r="D24911" s="20" t="s">
        <v>31149</v>
      </c>
      <c r="E24911" s="10">
        <v>3185211</v>
      </c>
      <c r="F24911" s="4" t="str">
        <f>IF(B24911=B24910,"",B24911)</f>
        <v>Kavajë</v>
      </c>
    </row>
    <row r="24912" spans="1:6" ht="15.75" customHeight="1">
      <c r="A24912" s="15" t="s">
        <v>125</v>
      </c>
      <c r="B24912" s="15" t="s">
        <v>126</v>
      </c>
      <c r="C24912" s="15" t="s">
        <v>113</v>
      </c>
      <c r="D24912" s="15" t="s">
        <v>127</v>
      </c>
      <c r="E24912" s="2">
        <v>3185211</v>
      </c>
      <c r="F24912" s="4" t="e">
        <f>IF(B24912=#REF!,"",B24912)</f>
        <v>#REF!</v>
      </c>
    </row>
    <row r="24913" spans="1:6" ht="15.75" customHeight="1">
      <c r="A24913" s="16" t="s">
        <v>17268</v>
      </c>
      <c r="B24913" s="15" t="s">
        <v>17269</v>
      </c>
      <c r="C24913" s="16" t="s">
        <v>17221</v>
      </c>
      <c r="D24913" s="16" t="s">
        <v>17269</v>
      </c>
      <c r="E24913" s="2">
        <v>789541</v>
      </c>
      <c r="F24913" s="4" t="str">
        <f>IF(B24913=B24912,"",B24913)</f>
        <v>Kavadarci</v>
      </c>
    </row>
    <row r="24914" spans="1:6" ht="15.75" customHeight="1">
      <c r="A24914" s="15" t="s">
        <v>9545</v>
      </c>
      <c r="B24914" s="15" t="s">
        <v>9546</v>
      </c>
      <c r="C24914" s="15" t="s">
        <v>9441</v>
      </c>
      <c r="D24914" s="15" t="s">
        <v>9475</v>
      </c>
      <c r="E24914" s="2">
        <v>735861</v>
      </c>
      <c r="F24914" s="4" t="e">
        <f>IF(B24914=#REF!,"",B24914)</f>
        <v>#REF!</v>
      </c>
    </row>
    <row r="24915" spans="1:6" ht="15.75" customHeight="1">
      <c r="A24915" s="16" t="s">
        <v>19480</v>
      </c>
      <c r="B24915" s="15" t="s">
        <v>19480</v>
      </c>
      <c r="C24915" s="16" t="s">
        <v>19294</v>
      </c>
      <c r="D24915" s="16" t="s">
        <v>19413</v>
      </c>
      <c r="E24915" s="2">
        <v>2334756</v>
      </c>
      <c r="F24915" s="4" t="e">
        <f>IF(B24915=#REF!,"",B24915)</f>
        <v>#REF!</v>
      </c>
    </row>
    <row r="24916" spans="1:6" ht="15.75" customHeight="1">
      <c r="A24916" s="15" t="s">
        <v>17178</v>
      </c>
      <c r="B24916" s="15" t="s">
        <v>17178</v>
      </c>
      <c r="C24916" s="15" t="s">
        <v>17154</v>
      </c>
      <c r="D24916" s="15" t="s">
        <v>17161</v>
      </c>
      <c r="E24916" s="2">
        <v>598316</v>
      </c>
      <c r="F24916" s="4" t="e">
        <f>IF(B24916=#REF!,"",B24916)</f>
        <v>#REF!</v>
      </c>
    </row>
    <row r="24917" spans="1:6" ht="15.75" customHeight="1">
      <c r="A24917" s="15" t="s">
        <v>8669</v>
      </c>
      <c r="B24917" s="15" t="s">
        <v>8669</v>
      </c>
      <c r="C24917" s="15" t="s">
        <v>8028</v>
      </c>
      <c r="D24917" s="15" t="s">
        <v>8036</v>
      </c>
      <c r="E24917" s="2">
        <v>2892051</v>
      </c>
      <c r="F24917" s="4" t="e">
        <f>IF(B24917=#REF!,"",B24917)</f>
        <v>#REF!</v>
      </c>
    </row>
    <row r="24918" spans="1:6" ht="15.75" customHeight="1">
      <c r="A24918" s="15" t="s">
        <v>29006</v>
      </c>
      <c r="B24918" s="15" t="s">
        <v>29006</v>
      </c>
      <c r="C24918" s="15" t="s">
        <v>27788</v>
      </c>
      <c r="D24918" s="15" t="s">
        <v>27890</v>
      </c>
      <c r="E24918" s="2">
        <v>5258296</v>
      </c>
      <c r="F24918" s="4" t="e">
        <f>IF(B24918=#REF!,"",B24918)</f>
        <v>#REF!</v>
      </c>
    </row>
    <row r="24919" spans="1:6" ht="15.75" customHeight="1">
      <c r="A24919" s="16" t="s">
        <v>8668</v>
      </c>
      <c r="B24919" s="15" t="s">
        <v>8668</v>
      </c>
      <c r="C24919" s="16" t="s">
        <v>8028</v>
      </c>
      <c r="D24919" s="16" t="s">
        <v>8044</v>
      </c>
      <c r="E24919" s="2">
        <v>2892080</v>
      </c>
      <c r="F24919" s="4" t="str">
        <f>IF(B24919=B24918,"",B24919)</f>
        <v>Kaufbeuren</v>
      </c>
    </row>
    <row r="24920" spans="1:6" ht="15.75" customHeight="1">
      <c r="A24920" s="15" t="s">
        <v>21283</v>
      </c>
      <c r="B24920" s="15" t="s">
        <v>21284</v>
      </c>
      <c r="C24920" s="15" t="s">
        <v>21064</v>
      </c>
      <c r="D24920" s="15" t="s">
        <v>21108</v>
      </c>
      <c r="E24920" s="2">
        <v>3096328</v>
      </c>
      <c r="F24920" s="4" t="str">
        <f>IF(B24920=B24919,"",B24920)</f>
        <v>KÄ™ty</v>
      </c>
    </row>
    <row r="24921" spans="1:6" ht="15.75" customHeight="1">
      <c r="A24921" s="16" t="s">
        <v>21281</v>
      </c>
      <c r="B24921" s="15" t="s">
        <v>21282</v>
      </c>
      <c r="C24921" s="16" t="s">
        <v>21064</v>
      </c>
      <c r="D24921" s="16" t="s">
        <v>21131</v>
      </c>
      <c r="E24921" s="2">
        <v>769274</v>
      </c>
      <c r="F24921" s="4" t="str">
        <f>IF(B24921=B24920,"",B24921)</f>
        <v>KÄ™trzyn</v>
      </c>
    </row>
    <row r="24922" spans="1:6" ht="15.75" customHeight="1">
      <c r="A24922" s="16" t="s">
        <v>21279</v>
      </c>
      <c r="B24922" s="15" t="s">
        <v>21280</v>
      </c>
      <c r="C24922" s="16" t="s">
        <v>21064</v>
      </c>
      <c r="D24922" s="16" t="s">
        <v>21165</v>
      </c>
      <c r="E24922" s="2">
        <v>3096372</v>
      </c>
      <c r="F24922" s="4" t="e">
        <f>IF(B24922=#REF!,"",B24922)</f>
        <v>#REF!</v>
      </c>
    </row>
    <row r="24923" spans="1:6" ht="15.75" customHeight="1">
      <c r="A24923" s="16" t="s">
        <v>19012</v>
      </c>
      <c r="B24923" s="15" t="s">
        <v>19013</v>
      </c>
      <c r="C24923" s="16" t="s">
        <v>18862</v>
      </c>
      <c r="D24923" s="16" t="s">
        <v>18868</v>
      </c>
      <c r="E24923" s="2">
        <v>2753010</v>
      </c>
      <c r="F24923" s="4" t="e">
        <f>IF(B24923=#REF!,"",B24923)</f>
        <v>#REF!</v>
      </c>
    </row>
    <row r="24924" spans="1:6" ht="15.75" customHeight="1">
      <c r="A24924" s="16" t="s">
        <v>24956</v>
      </c>
      <c r="B24924" s="15" t="s">
        <v>24956</v>
      </c>
      <c r="C24924" s="16" t="s">
        <v>24924</v>
      </c>
      <c r="D24924" s="16" t="s">
        <v>6944</v>
      </c>
      <c r="E24924" s="2">
        <v>1240935</v>
      </c>
      <c r="F24924" s="4" t="e">
        <f>IF(B24924=#REF!,"",B24924)</f>
        <v>#REF!</v>
      </c>
    </row>
    <row r="24925" spans="1:6" ht="15.75" customHeight="1">
      <c r="A24925" s="15" t="s">
        <v>25627</v>
      </c>
      <c r="B24925" s="15" t="s">
        <v>25627</v>
      </c>
      <c r="C24925" s="15" t="s">
        <v>25560</v>
      </c>
      <c r="D24925" s="15" t="s">
        <v>25589</v>
      </c>
      <c r="E24925" s="2">
        <v>158151</v>
      </c>
      <c r="F24925" s="4" t="str">
        <f>IF(B24925=B24924,"",B24925)</f>
        <v>Katumba</v>
      </c>
    </row>
    <row r="24926" spans="1:6" ht="15.75" customHeight="1">
      <c r="A24926" s="16" t="str">
        <f ca="1">IFERROR(__xludf.DUMMYFUNCTION("GOOGLETRANSLATE(B33106,""en"",""pt"")"),"Kattivākkam")</f>
        <v>Kattivākkam</v>
      </c>
      <c r="B24926" s="20" t="s">
        <v>33532</v>
      </c>
      <c r="C24926" s="20" t="s">
        <v>10178</v>
      </c>
      <c r="D24926" s="20" t="s">
        <v>10196</v>
      </c>
      <c r="E24926" s="10">
        <v>1267433</v>
      </c>
      <c r="F24926" s="4" t="str">
        <f>IF(B24926=B24925,"",B24926)</f>
        <v>Kattivākkam</v>
      </c>
    </row>
    <row r="24927" spans="1:6" ht="15.75" customHeight="1">
      <c r="A24927" s="16" t="s">
        <v>11894</v>
      </c>
      <c r="B24927" s="15" t="s">
        <v>11895</v>
      </c>
      <c r="C24927" s="16" t="s">
        <v>10178</v>
      </c>
      <c r="D24927" s="16" t="s">
        <v>10196</v>
      </c>
      <c r="E24927" s="2">
        <v>1267433</v>
      </c>
      <c r="F24927" s="4" t="str">
        <f>IF(B24927=B24926,"",B24927)</f>
        <v>KattivÄkkam</v>
      </c>
    </row>
    <row r="24928" spans="1:6" ht="15.75" customHeight="1">
      <c r="A24928" s="16" t="s">
        <v>30552</v>
      </c>
      <c r="B24928" s="15" t="s">
        <v>30553</v>
      </c>
      <c r="C24928" s="16" t="s">
        <v>30502</v>
      </c>
      <c r="D24928" s="16" t="s">
        <v>30522</v>
      </c>
      <c r="E24928" s="2">
        <v>1216982</v>
      </c>
      <c r="F24928" s="4" t="str">
        <f>IF(B24928=B24927,"",B24928)</f>
        <v>Kattaqoâ€™rgâ€™on</v>
      </c>
    </row>
    <row r="24929" spans="1:6" ht="15.75" customHeight="1">
      <c r="A24929" s="16" t="str">
        <f ca="1">IFERROR(__xludf.DUMMYFUNCTION("GOOGLETRANSLATE(B45512,""en"",""pt"")"),"Kattaqo'rg'on")</f>
        <v>Kattaqo'rg'on</v>
      </c>
      <c r="B24929" s="20" t="s">
        <v>36062</v>
      </c>
      <c r="C24929" s="20" t="s">
        <v>30502</v>
      </c>
      <c r="D24929" s="20" t="s">
        <v>30522</v>
      </c>
      <c r="E24929" s="10">
        <v>1216982</v>
      </c>
      <c r="F24929" s="4" t="e">
        <f>IF(B24929=#REF!,"",B24929)</f>
        <v>#REF!</v>
      </c>
    </row>
    <row r="24930" spans="1:6" ht="15.75" customHeight="1">
      <c r="A24930" s="15" t="s">
        <v>11893</v>
      </c>
      <c r="B24930" s="15" t="s">
        <v>11893</v>
      </c>
      <c r="C24930" s="15" t="s">
        <v>10178</v>
      </c>
      <c r="D24930" s="15" t="s">
        <v>10246</v>
      </c>
      <c r="E24930" s="2">
        <v>1267435</v>
      </c>
      <c r="F24930" s="4" t="e">
        <f>IF(B24930=#REF!,"",B24930)</f>
        <v>#REF!</v>
      </c>
    </row>
    <row r="24931" spans="1:6" ht="15.75" customHeight="1">
      <c r="A24931" s="16" t="s">
        <v>16121</v>
      </c>
      <c r="B24931" s="15" t="s">
        <v>16121</v>
      </c>
      <c r="C24931" s="16" t="s">
        <v>15704</v>
      </c>
      <c r="D24931" s="16" t="s">
        <v>15879</v>
      </c>
      <c r="E24931" s="2">
        <v>1859765</v>
      </c>
      <c r="F24931" s="4" t="e">
        <f>IF(B24931=#REF!,"",B24931)</f>
        <v>#REF!</v>
      </c>
    </row>
    <row r="24932" spans="1:6" ht="15.75" customHeight="1">
      <c r="A24932" s="15" t="s">
        <v>16120</v>
      </c>
      <c r="B24932" s="15" t="s">
        <v>16120</v>
      </c>
      <c r="C24932" s="15" t="s">
        <v>15704</v>
      </c>
      <c r="D24932" s="15" t="s">
        <v>15707</v>
      </c>
      <c r="E24932" s="2">
        <v>2112309</v>
      </c>
      <c r="F24932" s="4" t="e">
        <f>IF(B24932=#REF!,"",B24932)</f>
        <v>#REF!</v>
      </c>
    </row>
    <row r="24933" spans="1:6" ht="15.75" customHeight="1">
      <c r="A24933" s="15" t="s">
        <v>16119</v>
      </c>
      <c r="B24933" s="15" t="s">
        <v>16119</v>
      </c>
      <c r="C24933" s="15" t="s">
        <v>15704</v>
      </c>
      <c r="D24933" s="15" t="s">
        <v>15724</v>
      </c>
      <c r="E24933" s="2">
        <v>2112312</v>
      </c>
      <c r="F24933" s="4" t="e">
        <f>IF(B24933=#REF!,"",B24933)</f>
        <v>#REF!</v>
      </c>
    </row>
    <row r="24934" spans="1:6" ht="15.75" customHeight="1">
      <c r="A24934" s="16" t="s">
        <v>16117</v>
      </c>
      <c r="B24934" s="15" t="s">
        <v>16118</v>
      </c>
      <c r="C24934" s="16" t="s">
        <v>15704</v>
      </c>
      <c r="D24934" s="16" t="s">
        <v>15841</v>
      </c>
      <c r="E24934" s="2">
        <v>1863426</v>
      </c>
      <c r="F24934" s="4" t="e">
        <f>IF(B24934=#REF!,"",B24934)</f>
        <v>#REF!</v>
      </c>
    </row>
    <row r="24935" spans="1:6" ht="15.75" customHeight="1">
      <c r="A24935" s="16" t="s">
        <v>19479</v>
      </c>
      <c r="B24935" s="15" t="s">
        <v>19479</v>
      </c>
      <c r="C24935" s="16" t="s">
        <v>19294</v>
      </c>
      <c r="D24935" s="16" t="s">
        <v>19434</v>
      </c>
      <c r="E24935" s="2">
        <v>2334801</v>
      </c>
      <c r="F24935" s="4" t="e">
        <f>IF(B24935=#REF!,"",B24935)</f>
        <v>#REF!</v>
      </c>
    </row>
    <row r="24936" spans="1:6" ht="15.75" customHeight="1">
      <c r="A24936" s="15" t="s">
        <v>19369</v>
      </c>
      <c r="B24936" s="15" t="s">
        <v>19369</v>
      </c>
      <c r="C24936" s="15" t="s">
        <v>19294</v>
      </c>
      <c r="D24936" s="15" t="s">
        <v>19369</v>
      </c>
      <c r="E24936" s="2">
        <v>2334802</v>
      </c>
      <c r="F24936" s="4" t="e">
        <f>IF(B24936=#REF!,"",B24936)</f>
        <v>#REF!</v>
      </c>
    </row>
    <row r="24937" spans="1:6" ht="15.75" customHeight="1">
      <c r="A24937" s="16" t="s">
        <v>25150</v>
      </c>
      <c r="B24937" s="15" t="s">
        <v>25150</v>
      </c>
      <c r="C24937" s="16" t="s">
        <v>25077</v>
      </c>
      <c r="D24937" s="16" t="s">
        <v>25113</v>
      </c>
      <c r="E24937" s="2">
        <v>2701223</v>
      </c>
      <c r="F24937" s="4" t="str">
        <f>IF(B24937=B24936,"",B24937)</f>
        <v>Katrineholm</v>
      </c>
    </row>
    <row r="24938" spans="1:6" ht="15.75" customHeight="1">
      <c r="A24938" s="16" t="str">
        <f ca="1">IFERROR(__xludf.DUMMYFUNCTION("GOOGLETRANSLATE(B33108,""en"",""pt"")"),"Kātrās")</f>
        <v>Kātrās</v>
      </c>
      <c r="B24938" s="20" t="s">
        <v>33533</v>
      </c>
      <c r="C24938" s="20" t="s">
        <v>10178</v>
      </c>
      <c r="D24938" s="20" t="s">
        <v>10430</v>
      </c>
      <c r="E24938" s="10">
        <v>1267439</v>
      </c>
      <c r="F24938" s="4" t="str">
        <f>IF(B24938=B24937,"",B24938)</f>
        <v>Kātrās</v>
      </c>
    </row>
    <row r="24939" spans="1:6" ht="15.75" customHeight="1">
      <c r="A24939" s="16" t="str">
        <f ca="1">IFERROR(__xludf.DUMMYFUNCTION("GOOGLETRANSLATE(B33109,""en"",""pt"")"),"Kātpādi")</f>
        <v>Kātpādi</v>
      </c>
      <c r="B24939" s="20" t="s">
        <v>33534</v>
      </c>
      <c r="C24939" s="20" t="s">
        <v>10178</v>
      </c>
      <c r="D24939" s="20" t="s">
        <v>10196</v>
      </c>
      <c r="E24939" s="10">
        <v>1267456</v>
      </c>
      <c r="F24939" s="4" t="str">
        <f>IF(B24939=B24938,"",B24939)</f>
        <v>Kātpādi</v>
      </c>
    </row>
    <row r="24940" spans="1:6" ht="15.75" customHeight="1">
      <c r="A24940" s="16" t="str">
        <f ca="1">IFERROR(__xludf.DUMMYFUNCTION("GOOGLETRANSLATE(B33110,""en"",""pt"")"),"Kātoya")</f>
        <v>Kātoya</v>
      </c>
      <c r="B24940" s="20" t="s">
        <v>33535</v>
      </c>
      <c r="C24940" s="20" t="s">
        <v>10178</v>
      </c>
      <c r="D24940" s="20" t="s">
        <v>10201</v>
      </c>
      <c r="E24940" s="10">
        <v>1267457</v>
      </c>
      <c r="F24940" s="4" t="e">
        <f>IF(B24940=#REF!,"",B24940)</f>
        <v>#REF!</v>
      </c>
    </row>
    <row r="24941" spans="1:6" ht="15.75" customHeight="1">
      <c r="A24941" s="15" t="s">
        <v>21278</v>
      </c>
      <c r="B24941" s="15" t="s">
        <v>21278</v>
      </c>
      <c r="C24941" s="15" t="s">
        <v>21064</v>
      </c>
      <c r="D24941" s="15" t="s">
        <v>21073</v>
      </c>
      <c r="E24941" s="2">
        <v>3096472</v>
      </c>
      <c r="F24941" s="4" t="e">
        <f>IF(B24941=#REF!,"",B24941)</f>
        <v>#REF!</v>
      </c>
    </row>
    <row r="24942" spans="1:6" ht="15.75" customHeight="1">
      <c r="A24942" s="15" t="s">
        <v>25626</v>
      </c>
      <c r="B24942" s="15" t="s">
        <v>25626</v>
      </c>
      <c r="C24942" s="15" t="s">
        <v>25560</v>
      </c>
      <c r="D24942" s="15" t="s">
        <v>25578</v>
      </c>
      <c r="E24942" s="2">
        <v>158160</v>
      </c>
      <c r="F24942" s="4" t="e">
        <f>IF(B24942=#REF!,"",B24942)</f>
        <v>#REF!</v>
      </c>
    </row>
    <row r="24943" spans="1:6" ht="15.75" customHeight="1">
      <c r="A24943" s="15" t="s">
        <v>16116</v>
      </c>
      <c r="B24943" s="15" t="s">
        <v>16116</v>
      </c>
      <c r="C24943" s="15" t="s">
        <v>15704</v>
      </c>
      <c r="D24943" s="15" t="s">
        <v>15707</v>
      </c>
      <c r="E24943" s="2">
        <v>2112319</v>
      </c>
      <c r="F24943" s="4" t="e">
        <f>IF(B24943=#REF!,"",B24943)</f>
        <v>#REF!</v>
      </c>
    </row>
    <row r="24944" spans="1:6" ht="15.75" customHeight="1">
      <c r="A24944" s="16" t="s">
        <v>1005</v>
      </c>
      <c r="B24944" s="15" t="s">
        <v>1005</v>
      </c>
      <c r="C24944" s="16" t="s">
        <v>885</v>
      </c>
      <c r="D24944" s="16" t="s">
        <v>891</v>
      </c>
      <c r="E24944" s="2">
        <v>2161776</v>
      </c>
      <c r="F24944" s="4" t="str">
        <f>IF(B24944=B24943,"",B24944)</f>
        <v>Katoomba</v>
      </c>
    </row>
    <row r="24945" spans="1:6" ht="15.75" customHeight="1">
      <c r="A24945" s="16" t="str">
        <f ca="1">IFERROR(__xludf.DUMMYFUNCTION("GOOGLETRANSLATE(B33111,""en"",""pt"")"),"Kātol")</f>
        <v>Kātol</v>
      </c>
      <c r="B24945" s="20" t="s">
        <v>33536</v>
      </c>
      <c r="C24945" s="20" t="s">
        <v>10178</v>
      </c>
      <c r="D24945" s="20" t="s">
        <v>10214</v>
      </c>
      <c r="E24945" s="10">
        <v>1267461</v>
      </c>
      <c r="F24945" s="4" t="e">
        <f>IF(B24945=#REF!,"",B24945)</f>
        <v>#REF!</v>
      </c>
    </row>
    <row r="24946" spans="1:6" ht="15.75" customHeight="1">
      <c r="A24946" s="15" t="s">
        <v>15647</v>
      </c>
      <c r="B24946" s="15" t="s">
        <v>15647</v>
      </c>
      <c r="C24946" s="15" t="s">
        <v>15586</v>
      </c>
      <c r="D24946" s="15" t="s">
        <v>15610</v>
      </c>
      <c r="E24946" s="2">
        <v>2287298</v>
      </c>
      <c r="F24946" s="4" t="e">
        <f>IF(B24946=#REF!,"",B24946)</f>
        <v>#REF!</v>
      </c>
    </row>
    <row r="24947" spans="1:6" ht="15.75" customHeight="1">
      <c r="A24947" s="16" t="s">
        <v>18777</v>
      </c>
      <c r="B24947" s="15" t="s">
        <v>18777</v>
      </c>
      <c r="C24947" s="16" t="s">
        <v>18773</v>
      </c>
      <c r="D24947" s="16" t="s">
        <v>18778</v>
      </c>
      <c r="E24947" s="2">
        <v>877178</v>
      </c>
      <c r="F24947" s="4" t="e">
        <f>IF(B24947=#REF!,"",B24947)</f>
        <v>#REF!</v>
      </c>
    </row>
    <row r="24948" spans="1:6" ht="15.75" customHeight="1">
      <c r="A24948" s="15" t="s">
        <v>11892</v>
      </c>
      <c r="B24948" s="15" t="s">
        <v>11892</v>
      </c>
      <c r="C24948" s="15" t="s">
        <v>10178</v>
      </c>
      <c r="D24948" s="15" t="s">
        <v>10317</v>
      </c>
      <c r="E24948" s="2">
        <v>1267480</v>
      </c>
      <c r="F24948" s="4" t="e">
        <f>IF(B24948=#REF!,"",B24948)</f>
        <v>#REF!</v>
      </c>
    </row>
    <row r="24949" spans="1:6" ht="15.75" customHeight="1">
      <c r="A24949" s="15" t="s">
        <v>17608</v>
      </c>
      <c r="B24949" s="15" t="s">
        <v>17608</v>
      </c>
      <c r="C24949" s="15" t="s">
        <v>17596</v>
      </c>
      <c r="D24949" s="15" t="s">
        <v>17600</v>
      </c>
      <c r="E24949" s="2">
        <v>2455558</v>
      </c>
      <c r="F24949" s="4" t="e">
        <f>IF(B24949=#REF!,"",B24949)</f>
        <v>#REF!</v>
      </c>
    </row>
    <row r="24950" spans="1:6" ht="15.75" customHeight="1">
      <c r="A24950" s="15" t="s">
        <v>11891</v>
      </c>
      <c r="B24950" s="15" t="s">
        <v>11891</v>
      </c>
      <c r="C24950" s="15" t="s">
        <v>10178</v>
      </c>
      <c r="D24950" s="15" t="s">
        <v>10355</v>
      </c>
      <c r="E24950" s="2">
        <v>1267486</v>
      </c>
      <c r="F24950" s="4" t="e">
        <f>IF(B24950=#REF!,"",B24950)</f>
        <v>#REF!</v>
      </c>
    </row>
    <row r="24951" spans="1:6" ht="15.75" customHeight="1">
      <c r="A24951" s="15" t="s">
        <v>25900</v>
      </c>
      <c r="B24951" s="15" t="s">
        <v>25900</v>
      </c>
      <c r="C24951" s="15" t="s">
        <v>25771</v>
      </c>
      <c r="D24951" s="15" t="s">
        <v>25782</v>
      </c>
      <c r="E24951" s="2">
        <v>1153035</v>
      </c>
      <c r="F24951" s="4" t="str">
        <f>IF(B24951=B24950,"",B24951)</f>
        <v>Kathu</v>
      </c>
    </row>
    <row r="24952" spans="1:6" ht="15.75" customHeight="1">
      <c r="A24952" s="16" t="str">
        <f ca="1">IFERROR(__xludf.DUMMYFUNCTION("GOOGLETRANSLATE(B33114,""en"",""pt"")"),"Kāthor")</f>
        <v>Kāthor</v>
      </c>
      <c r="B24952" s="20" t="s">
        <v>33537</v>
      </c>
      <c r="C24952" s="20" t="s">
        <v>10178</v>
      </c>
      <c r="D24952" s="20" t="s">
        <v>10209</v>
      </c>
      <c r="E24952" s="10">
        <v>1267492</v>
      </c>
      <c r="F24952" s="4" t="e">
        <f>IF(B24952=#REF!,"",B24952)</f>
        <v>#REF!</v>
      </c>
    </row>
    <row r="24953" spans="1:6" ht="15.75" customHeight="1">
      <c r="A24953" s="16" t="s">
        <v>18838</v>
      </c>
      <c r="B24953" s="15" t="s">
        <v>18839</v>
      </c>
      <c r="C24953" s="16" t="s">
        <v>18800</v>
      </c>
      <c r="D24953" s="16" t="s">
        <v>17414</v>
      </c>
      <c r="E24953" s="2">
        <v>1283240</v>
      </c>
      <c r="F24953" s="4" t="e">
        <f>IF(B24953=#REF!,"",B24953)</f>
        <v>#REF!</v>
      </c>
    </row>
    <row r="24954" spans="1:6" ht="15.75" customHeight="1">
      <c r="A24954" s="15" t="s">
        <v>11890</v>
      </c>
      <c r="B24954" s="15" t="s">
        <v>11890</v>
      </c>
      <c r="C24954" s="15" t="s">
        <v>10178</v>
      </c>
      <c r="D24954" s="15" t="s">
        <v>10272</v>
      </c>
      <c r="E24954" s="2">
        <v>1267517</v>
      </c>
      <c r="F24954" s="4" t="str">
        <f>IF(B24954=B24953,"",B24954)</f>
        <v>Katghora</v>
      </c>
    </row>
    <row r="24955" spans="1:6" ht="15.75" customHeight="1">
      <c r="A24955" s="16" t="str">
        <f ca="1">IFERROR(__xludf.DUMMYFUNCTION("GOOGLETRANSLATE(B31047,""en"",""pt"")"),"Kateríni")</f>
        <v>Kateríni</v>
      </c>
      <c r="B24955" s="20" t="s">
        <v>32753</v>
      </c>
      <c r="C24955" s="20" t="s">
        <v>9441</v>
      </c>
      <c r="D24955" s="20" t="s">
        <v>9442</v>
      </c>
      <c r="E24955" s="10">
        <v>735914</v>
      </c>
      <c r="F24955" s="4" t="e">
        <f>IF(B24955=#REF!,"",B24955)</f>
        <v>#REF!</v>
      </c>
    </row>
    <row r="24956" spans="1:6" ht="15.75" customHeight="1">
      <c r="A24956" s="15" t="s">
        <v>25625</v>
      </c>
      <c r="B24956" s="15" t="s">
        <v>25625</v>
      </c>
      <c r="C24956" s="15" t="s">
        <v>25560</v>
      </c>
      <c r="D24956" s="15" t="s">
        <v>25570</v>
      </c>
      <c r="E24956" s="2">
        <v>158179</v>
      </c>
      <c r="F24956" s="4" t="str">
        <f>IF(B24956=B24955,"",B24956)</f>
        <v>Katerero</v>
      </c>
    </row>
    <row r="24957" spans="1:6" ht="15.75" customHeight="1">
      <c r="A24957" s="15" t="s">
        <v>9543</v>
      </c>
      <c r="B24957" s="15" t="s">
        <v>9544</v>
      </c>
      <c r="C24957" s="15" t="s">
        <v>9441</v>
      </c>
      <c r="D24957" s="15" t="s">
        <v>9442</v>
      </c>
      <c r="E24957" s="2">
        <v>735914</v>
      </c>
      <c r="F24957" s="4" t="e">
        <f>IF(B24957=#REF!,"",B24957)</f>
        <v>#REF!</v>
      </c>
    </row>
    <row r="24958" spans="1:6" ht="15.75" customHeight="1">
      <c r="A24958" s="15" t="s">
        <v>22492</v>
      </c>
      <c r="B24958" s="15" t="s">
        <v>22492</v>
      </c>
      <c r="C24958" s="15" t="s">
        <v>22070</v>
      </c>
      <c r="D24958" s="15" t="s">
        <v>22493</v>
      </c>
      <c r="E24958" s="2">
        <v>1504212</v>
      </c>
      <c r="F24958" s="4" t="e">
        <f>IF(B24958=#REF!,"",B24958)</f>
        <v>#REF!</v>
      </c>
    </row>
    <row r="24959" spans="1:6" ht="15.75" customHeight="1">
      <c r="A24959" s="16" t="s">
        <v>22491</v>
      </c>
      <c r="B24959" s="15" t="s">
        <v>22491</v>
      </c>
      <c r="C24959" s="16" t="s">
        <v>22070</v>
      </c>
      <c r="D24959" s="16" t="s">
        <v>22166</v>
      </c>
      <c r="E24959" s="2">
        <v>551794</v>
      </c>
      <c r="F24959" s="4" t="e">
        <f>IF(B24959=#REF!,"",B24959)</f>
        <v>#REF!</v>
      </c>
    </row>
    <row r="24960" spans="1:6" ht="15.75" customHeight="1">
      <c r="A24960" s="15" t="s">
        <v>11889</v>
      </c>
      <c r="B24960" s="15" t="s">
        <v>11889</v>
      </c>
      <c r="C24960" s="15" t="s">
        <v>10178</v>
      </c>
      <c r="D24960" s="15" t="s">
        <v>10219</v>
      </c>
      <c r="E24960" s="2">
        <v>1267537</v>
      </c>
      <c r="F24960" s="4" t="e">
        <f>IF(B24960=#REF!,"",B24960)</f>
        <v>#REF!</v>
      </c>
    </row>
    <row r="24961" spans="1:6" ht="15.75" customHeight="1">
      <c r="A24961" s="15" t="s">
        <v>13961</v>
      </c>
      <c r="B24961" s="15" t="s">
        <v>13961</v>
      </c>
      <c r="C24961" s="15" t="s">
        <v>13800</v>
      </c>
      <c r="D24961" s="15" t="s">
        <v>13962</v>
      </c>
      <c r="E24961" s="2">
        <v>1640972</v>
      </c>
      <c r="F24961" s="4" t="str">
        <f>IF(B24961=B24960,"",B24961)</f>
        <v>Katabu</v>
      </c>
    </row>
    <row r="24962" spans="1:6" ht="15.75" customHeight="1">
      <c r="A24962" s="16" t="str">
        <f ca="1">IFERROR(__xludf.DUMMYFUNCTION("GOOGLETRANSLATE(B39040,""en"",""pt"")"),"Kasūr")</f>
        <v>Kasūr</v>
      </c>
      <c r="B24962" s="20" t="s">
        <v>34988</v>
      </c>
      <c r="C24962" s="20" t="s">
        <v>19808</v>
      </c>
      <c r="D24962" s="20" t="s">
        <v>10184</v>
      </c>
      <c r="E24962" s="10">
        <v>1174625</v>
      </c>
      <c r="F24962" s="4" t="e">
        <f>IF(B24962=#REF!,"",B24962)</f>
        <v>#REF!</v>
      </c>
    </row>
    <row r="24963" spans="1:6" ht="15.75" customHeight="1">
      <c r="A24963" s="15" t="s">
        <v>17417</v>
      </c>
      <c r="B24963" s="15" t="s">
        <v>17417</v>
      </c>
      <c r="C24963" s="15" t="s">
        <v>17410</v>
      </c>
      <c r="D24963" s="15" t="s">
        <v>17414</v>
      </c>
      <c r="E24963" s="2">
        <v>928534</v>
      </c>
      <c r="F24963" s="4" t="e">
        <f>IF(B24963=#REF!,"",B24963)</f>
        <v>#REF!</v>
      </c>
    </row>
    <row r="24964" spans="1:6" ht="15.75" customHeight="1">
      <c r="A24964" s="15" t="s">
        <v>25624</v>
      </c>
      <c r="B24964" s="15" t="s">
        <v>25624</v>
      </c>
      <c r="C24964" s="15" t="s">
        <v>25560</v>
      </c>
      <c r="D24964" s="15" t="s">
        <v>25621</v>
      </c>
      <c r="E24964" s="2">
        <v>158214</v>
      </c>
      <c r="F24964" s="4" t="e">
        <f>IF(B24964=#REF!,"",B24964)</f>
        <v>#REF!</v>
      </c>
    </row>
    <row r="24965" spans="1:6" ht="15.75" customHeight="1">
      <c r="A24965" s="15" t="s">
        <v>16115</v>
      </c>
      <c r="B24965" s="15" t="s">
        <v>16115</v>
      </c>
      <c r="C24965" s="15" t="s">
        <v>15704</v>
      </c>
      <c r="D24965" s="15" t="s">
        <v>15710</v>
      </c>
      <c r="E24965" s="2">
        <v>1859884</v>
      </c>
      <c r="F24965" s="4" t="e">
        <f>IF(B24965=#REF!,"",B24965)</f>
        <v>#REF!</v>
      </c>
    </row>
    <row r="24966" spans="1:6" ht="15.75" customHeight="1">
      <c r="A24966" s="15" t="s">
        <v>16114</v>
      </c>
      <c r="B24966" s="15" t="s">
        <v>16114</v>
      </c>
      <c r="C24966" s="15" t="s">
        <v>15704</v>
      </c>
      <c r="D24966" s="15" t="s">
        <v>15729</v>
      </c>
      <c r="E24966" s="2">
        <v>1859891</v>
      </c>
      <c r="F24966" s="4" t="e">
        <f>IF(B24966=#REF!,"",B24966)</f>
        <v>#REF!</v>
      </c>
    </row>
    <row r="24967" spans="1:6" ht="15.75" customHeight="1">
      <c r="A24967" s="15" t="s">
        <v>1606</v>
      </c>
      <c r="B24967" s="15" t="s">
        <v>1606</v>
      </c>
      <c r="C24967" s="15" t="s">
        <v>1512</v>
      </c>
      <c r="D24967" s="15" t="s">
        <v>1513</v>
      </c>
      <c r="E24967" s="2">
        <v>2794663</v>
      </c>
      <c r="F24967" s="4" t="e">
        <f>IF(B24967=#REF!,"",B24967)</f>
        <v>#REF!</v>
      </c>
    </row>
    <row r="24968" spans="1:6" ht="15.75" customHeight="1">
      <c r="A24968" s="16" t="s">
        <v>22489</v>
      </c>
      <c r="B24968" s="15" t="s">
        <v>22490</v>
      </c>
      <c r="C24968" s="16" t="s">
        <v>22070</v>
      </c>
      <c r="D24968" s="16" t="s">
        <v>22119</v>
      </c>
      <c r="E24968" s="2">
        <v>551835</v>
      </c>
      <c r="F24968" s="4" t="e">
        <f>IF(B24968=#REF!,"",B24968)</f>
        <v>#REF!</v>
      </c>
    </row>
    <row r="24969" spans="1:6" ht="15.75" customHeight="1">
      <c r="A24969" s="16" t="s">
        <v>26590</v>
      </c>
      <c r="B24969" s="15" t="s">
        <v>26590</v>
      </c>
      <c r="C24969" s="16" t="s">
        <v>26201</v>
      </c>
      <c r="D24969" s="16" t="s">
        <v>26590</v>
      </c>
      <c r="E24969" s="2">
        <v>743882</v>
      </c>
      <c r="F24969" s="4" t="e">
        <f>IF(B24969=#REF!,"",B24969)</f>
        <v>#REF!</v>
      </c>
    </row>
    <row r="24970" spans="1:6" ht="15.75" customHeight="1">
      <c r="A24970" s="15" t="s">
        <v>26147</v>
      </c>
      <c r="B24970" s="15" t="s">
        <v>26147</v>
      </c>
      <c r="C24970" s="15" t="s">
        <v>26090</v>
      </c>
      <c r="D24970" s="15" t="s">
        <v>26148</v>
      </c>
      <c r="E24970" s="2">
        <v>2473457</v>
      </c>
      <c r="F24970" s="4" t="e">
        <f>IF(B24970=#REF!,"",B24970)</f>
        <v>#REF!</v>
      </c>
    </row>
    <row r="24971" spans="1:6" ht="15.75" customHeight="1">
      <c r="A24971" s="15" t="s">
        <v>8667</v>
      </c>
      <c r="B24971" s="15" t="s">
        <v>8667</v>
      </c>
      <c r="C24971" s="15" t="s">
        <v>8028</v>
      </c>
      <c r="D24971" s="15" t="s">
        <v>8050</v>
      </c>
      <c r="E24971" s="2">
        <v>2892518</v>
      </c>
      <c r="F24971" s="4" t="e">
        <f>IF(B24971=#REF!,"",B24971)</f>
        <v>#REF!</v>
      </c>
    </row>
    <row r="24972" spans="1:6" ht="15.75" customHeight="1">
      <c r="A24972" s="15" t="s">
        <v>25038</v>
      </c>
      <c r="B24972" s="15" t="s">
        <v>25038</v>
      </c>
      <c r="C24972" s="15" t="s">
        <v>24987</v>
      </c>
      <c r="D24972" s="15" t="s">
        <v>25038</v>
      </c>
      <c r="E24972" s="2">
        <v>372753</v>
      </c>
      <c r="F24972" s="4" t="str">
        <f>IF(B24972=B24971,"",B24972)</f>
        <v>Kassala</v>
      </c>
    </row>
    <row r="24973" spans="1:6" ht="15.75" customHeight="1">
      <c r="A24973" s="16" t="str">
        <f ca="1">IFERROR(__xludf.DUMMYFUNCTION("GOOGLETRANSLATE(B33118,""en"",""pt"")"),"Kasrāwad")</f>
        <v>Kasrāwad</v>
      </c>
      <c r="B24973" s="20" t="s">
        <v>33538</v>
      </c>
      <c r="C24973" s="20" t="s">
        <v>10178</v>
      </c>
      <c r="D24973" s="20" t="s">
        <v>10219</v>
      </c>
      <c r="E24973" s="10">
        <v>1267558</v>
      </c>
      <c r="F24973" s="4" t="str">
        <f>IF(B24973=B24972,"",B24973)</f>
        <v>Kasrāwad</v>
      </c>
    </row>
    <row r="24974" spans="1:6" ht="15.75" customHeight="1">
      <c r="A24974" s="16" t="s">
        <v>11887</v>
      </c>
      <c r="B24974" s="15" t="s">
        <v>11888</v>
      </c>
      <c r="C24974" s="16" t="s">
        <v>10178</v>
      </c>
      <c r="D24974" s="16" t="s">
        <v>10219</v>
      </c>
      <c r="E24974" s="2">
        <v>1267558</v>
      </c>
      <c r="F24974" s="4" t="e">
        <f>IF(B24974=#REF!,"",B24974)</f>
        <v>#REF!</v>
      </c>
    </row>
    <row r="24975" spans="1:6" ht="15.75" customHeight="1">
      <c r="A24975" s="15" t="s">
        <v>22488</v>
      </c>
      <c r="B24975" s="15" t="s">
        <v>22488</v>
      </c>
      <c r="C24975" s="15" t="s">
        <v>22070</v>
      </c>
      <c r="D24975" s="15" t="s">
        <v>22208</v>
      </c>
      <c r="E24975" s="2">
        <v>551847</v>
      </c>
      <c r="F24975" s="4" t="e">
        <f>IF(B24975=#REF!,"",B24975)</f>
        <v>#REF!</v>
      </c>
    </row>
    <row r="24976" spans="1:6" ht="15.75" customHeight="1">
      <c r="A24976" s="16" t="s">
        <v>6169</v>
      </c>
      <c r="B24976" s="15" t="s">
        <v>6169</v>
      </c>
      <c r="C24976" s="16" t="s">
        <v>6127</v>
      </c>
      <c r="D24976" s="16" t="s">
        <v>6129</v>
      </c>
      <c r="E24976" s="2">
        <v>2315026</v>
      </c>
      <c r="F24976" s="4" t="e">
        <f>IF(B24976=#REF!,"",B24976)</f>
        <v>#REF!</v>
      </c>
    </row>
    <row r="24977" spans="1:6" ht="15.75" customHeight="1">
      <c r="A24977" s="15" t="s">
        <v>6168</v>
      </c>
      <c r="B24977" s="15" t="s">
        <v>6168</v>
      </c>
      <c r="C24977" s="15" t="s">
        <v>6127</v>
      </c>
      <c r="D24977" s="15" t="s">
        <v>6164</v>
      </c>
      <c r="E24977" s="2">
        <v>213940</v>
      </c>
      <c r="F24977" s="4" t="e">
        <f>IF(B24977=#REF!,"",B24977)</f>
        <v>#REF!</v>
      </c>
    </row>
    <row r="24978" spans="1:6" ht="15.75" customHeight="1">
      <c r="A24978" s="15" t="s">
        <v>9398</v>
      </c>
      <c r="B24978" s="15" t="s">
        <v>9398</v>
      </c>
      <c r="C24978" s="15" t="s">
        <v>9365</v>
      </c>
      <c r="D24978" s="15" t="s">
        <v>1886</v>
      </c>
      <c r="E24978" s="2">
        <v>2296458</v>
      </c>
      <c r="F24978" s="4" t="e">
        <f>IF(B24978=#REF!,"",B24978)</f>
        <v>#REF!</v>
      </c>
    </row>
    <row r="24979" spans="1:6" ht="15.75" customHeight="1">
      <c r="A24979" s="15" t="s">
        <v>22487</v>
      </c>
      <c r="B24979" s="15" t="s">
        <v>22487</v>
      </c>
      <c r="C24979" s="15" t="s">
        <v>22070</v>
      </c>
      <c r="D24979" s="15" t="s">
        <v>22166</v>
      </c>
      <c r="E24979" s="2">
        <v>1504251</v>
      </c>
      <c r="F24979" s="4" t="e">
        <f>IF(B24979=#REF!,"",B24979)</f>
        <v>#REF!</v>
      </c>
    </row>
    <row r="24980" spans="1:6" ht="15.75" customHeight="1">
      <c r="A24980" s="15" t="s">
        <v>22485</v>
      </c>
      <c r="B24980" s="15" t="s">
        <v>22485</v>
      </c>
      <c r="C24980" s="15" t="s">
        <v>22070</v>
      </c>
      <c r="D24980" s="15" t="s">
        <v>22486</v>
      </c>
      <c r="E24980" s="2">
        <v>551891</v>
      </c>
      <c r="F24980" s="4" t="e">
        <f>IF(B24980=#REF!,"",B24980)</f>
        <v>#REF!</v>
      </c>
    </row>
    <row r="24981" spans="1:6" ht="15.75" customHeight="1">
      <c r="A24981" s="15" t="s">
        <v>13960</v>
      </c>
      <c r="B24981" s="15" t="s">
        <v>13960</v>
      </c>
      <c r="C24981" s="15" t="s">
        <v>13800</v>
      </c>
      <c r="D24981" s="15" t="s">
        <v>13826</v>
      </c>
      <c r="E24981" s="2">
        <v>2005237</v>
      </c>
      <c r="F24981" s="4" t="e">
        <f>IF(B24981=#REF!,"",B24981)</f>
        <v>#REF!</v>
      </c>
    </row>
    <row r="24982" spans="1:6" ht="15.75" customHeight="1">
      <c r="A24982" s="15" t="s">
        <v>20010</v>
      </c>
      <c r="B24982" s="15" t="s">
        <v>20011</v>
      </c>
      <c r="C24982" s="15" t="s">
        <v>19808</v>
      </c>
      <c r="D24982" s="15" t="s">
        <v>19823</v>
      </c>
      <c r="E24982" s="2">
        <v>1174653</v>
      </c>
      <c r="F24982" s="4" t="str">
        <f>IF(B24982=B24981,"",B24982)</f>
        <v>Kashmor</v>
      </c>
    </row>
    <row r="24983" spans="1:6" ht="15.75" customHeight="1">
      <c r="A24983" s="16" t="str">
        <f ca="1">IFERROR(__xludf.DUMMYFUNCTION("GOOGLETRANSLATE(B34434,""en"",""pt"")"),"Kāshmar")</f>
        <v>Kāshmar</v>
      </c>
      <c r="B24983" s="20" t="s">
        <v>34187</v>
      </c>
      <c r="C24983" s="20" t="s">
        <v>14240</v>
      </c>
      <c r="D24983" s="20" t="s">
        <v>14351</v>
      </c>
      <c r="E24983" s="10">
        <v>128447</v>
      </c>
      <c r="F24983" s="4" t="e">
        <f>IF(B24983=#REF!,"",B24983)</f>
        <v>#REF!</v>
      </c>
    </row>
    <row r="24984" spans="1:6" ht="15.75" customHeight="1">
      <c r="A24984" s="16" t="s">
        <v>16113</v>
      </c>
      <c r="B24984" s="15" t="s">
        <v>16113</v>
      </c>
      <c r="C24984" s="16" t="s">
        <v>15704</v>
      </c>
      <c r="D24984" s="16" t="s">
        <v>15818</v>
      </c>
      <c r="E24984" s="2">
        <v>1859908</v>
      </c>
      <c r="F24984" s="4" t="e">
        <f>IF(B24984=#REF!,"",B24984)</f>
        <v>#REF!</v>
      </c>
    </row>
    <row r="24985" spans="1:6" ht="15.75" customHeight="1">
      <c r="A24985" s="15" t="s">
        <v>16112</v>
      </c>
      <c r="B24985" s="15" t="s">
        <v>16112</v>
      </c>
      <c r="C24985" s="15" t="s">
        <v>15704</v>
      </c>
      <c r="D24985" s="15" t="s">
        <v>15707</v>
      </c>
      <c r="E24985" s="2">
        <v>1859924</v>
      </c>
      <c r="F24985" s="4" t="e">
        <f>IF(B24985=#REF!,"",B24985)</f>
        <v>#REF!</v>
      </c>
    </row>
    <row r="24986" spans="1:6" ht="15.75" customHeight="1">
      <c r="A24986" s="15" t="s">
        <v>22484</v>
      </c>
      <c r="B24986" s="15" t="s">
        <v>22484</v>
      </c>
      <c r="C24986" s="15" t="s">
        <v>22070</v>
      </c>
      <c r="D24986" s="15" t="s">
        <v>22119</v>
      </c>
      <c r="E24986" s="2">
        <v>551964</v>
      </c>
      <c r="F24986" s="4" t="e">
        <f>IF(B24986=#REF!,"",B24986)</f>
        <v>#REF!</v>
      </c>
    </row>
    <row r="24987" spans="1:6" ht="15.75" customHeight="1">
      <c r="A24987" s="15" t="s">
        <v>11886</v>
      </c>
      <c r="B24987" s="15" t="s">
        <v>11886</v>
      </c>
      <c r="C24987" s="15" t="s">
        <v>10178</v>
      </c>
      <c r="D24987" s="15" t="s">
        <v>10299</v>
      </c>
      <c r="E24987" s="2">
        <v>1267579</v>
      </c>
      <c r="F24987" s="4" t="e">
        <f>IF(B24987=#REF!,"",B24987)</f>
        <v>#REF!</v>
      </c>
    </row>
    <row r="24988" spans="1:6" ht="15.75" customHeight="1">
      <c r="A24988" s="15" t="s">
        <v>22483</v>
      </c>
      <c r="B24988" s="15" t="s">
        <v>22483</v>
      </c>
      <c r="C24988" s="15" t="s">
        <v>22070</v>
      </c>
      <c r="D24988" s="15" t="s">
        <v>22229</v>
      </c>
      <c r="E24988" s="2">
        <v>551986</v>
      </c>
      <c r="F24988" s="4" t="e">
        <f>IF(B24988=#REF!,"",B24988)</f>
        <v>#REF!</v>
      </c>
    </row>
    <row r="24989" spans="1:6" ht="15.75" customHeight="1">
      <c r="A24989" s="16" t="s">
        <v>16111</v>
      </c>
      <c r="B24989" s="15" t="s">
        <v>16111</v>
      </c>
      <c r="C24989" s="16" t="s">
        <v>15704</v>
      </c>
      <c r="D24989" s="16" t="s">
        <v>15724</v>
      </c>
      <c r="E24989" s="2">
        <v>1860748</v>
      </c>
      <c r="F24989" s="4" t="e">
        <f>IF(B24989=#REF!,"",B24989)</f>
        <v>#REF!</v>
      </c>
    </row>
    <row r="24990" spans="1:6" ht="15.75" customHeight="1">
      <c r="A24990" s="15" t="s">
        <v>16110</v>
      </c>
      <c r="B24990" s="15" t="s">
        <v>16110</v>
      </c>
      <c r="C24990" s="15" t="s">
        <v>15704</v>
      </c>
      <c r="D24990" s="15" t="s">
        <v>15761</v>
      </c>
      <c r="E24990" s="2">
        <v>1859941</v>
      </c>
      <c r="F24990" s="4" t="e">
        <f>IF(B24990=#REF!,"",B24990)</f>
        <v>#REF!</v>
      </c>
    </row>
    <row r="24991" spans="1:6" ht="15.75" customHeight="1">
      <c r="A24991" s="16" t="s">
        <v>16109</v>
      </c>
      <c r="B24991" s="15" t="s">
        <v>16109</v>
      </c>
      <c r="C24991" s="16" t="s">
        <v>15704</v>
      </c>
      <c r="D24991" s="16" t="s">
        <v>15905</v>
      </c>
      <c r="E24991" s="2">
        <v>1859951</v>
      </c>
      <c r="F24991" s="4" t="e">
        <f>IF(B24991=#REF!,"",B24991)</f>
        <v>#REF!</v>
      </c>
    </row>
    <row r="24992" spans="1:6" ht="15.75" customHeight="1">
      <c r="A24992" s="15" t="s">
        <v>16108</v>
      </c>
      <c r="B24992" s="15" t="s">
        <v>16108</v>
      </c>
      <c r="C24992" s="15" t="s">
        <v>15704</v>
      </c>
      <c r="D24992" s="15" t="s">
        <v>15853</v>
      </c>
      <c r="E24992" s="2">
        <v>1859952</v>
      </c>
      <c r="F24992" s="4" t="e">
        <f>IF(B24992=#REF!,"",B24992)</f>
        <v>#REF!</v>
      </c>
    </row>
    <row r="24993" spans="1:6" ht="15.75" customHeight="1">
      <c r="A24993" s="15" t="s">
        <v>4850</v>
      </c>
      <c r="B24993" s="15" t="s">
        <v>4850</v>
      </c>
      <c r="C24993" s="15" t="s">
        <v>4487</v>
      </c>
      <c r="D24993" s="15" t="s">
        <v>4490</v>
      </c>
      <c r="E24993" s="2">
        <v>1280849</v>
      </c>
      <c r="F24993" s="4" t="str">
        <f>IF(B24993=B24992,"",B24993)</f>
        <v>Kashgar</v>
      </c>
    </row>
    <row r="24994" spans="1:6" ht="15.75" customHeight="1">
      <c r="A24994" s="16" t="str">
        <f ca="1">IFERROR(__xludf.DUMMYFUNCTION("GOOGLETRANSLATE(B34435,""en"",""pt"")"),"Kāshān")</f>
        <v>Kāshān</v>
      </c>
      <c r="B24994" s="20" t="s">
        <v>34188</v>
      </c>
      <c r="C24994" s="20" t="s">
        <v>14240</v>
      </c>
      <c r="D24994" s="20" t="s">
        <v>14294</v>
      </c>
      <c r="E24994" s="10">
        <v>128477</v>
      </c>
      <c r="F24994" s="4" t="str">
        <f>IF(B24994=B24993,"",B24994)</f>
        <v>Kāshān</v>
      </c>
    </row>
    <row r="24995" spans="1:6" ht="15.75" customHeight="1">
      <c r="A24995" s="16" t="str">
        <f ca="1">IFERROR(__xludf.DUMMYFUNCTION("GOOGLETRANSLATE(B33120,""en"",""pt"")"),"Kāsganj")</f>
        <v>Kāsganj</v>
      </c>
      <c r="B24995" s="20" t="s">
        <v>33539</v>
      </c>
      <c r="C24995" s="20" t="s">
        <v>10178</v>
      </c>
      <c r="D24995" s="20" t="s">
        <v>10193</v>
      </c>
      <c r="E24995" s="10">
        <v>1267588</v>
      </c>
      <c r="F24995" s="4" t="e">
        <f>IF(B24995=#REF!,"",B24995)</f>
        <v>#REF!</v>
      </c>
    </row>
    <row r="24996" spans="1:6" ht="15.75" customHeight="1">
      <c r="A24996" s="16" t="s">
        <v>25899</v>
      </c>
      <c r="B24996" s="15" t="s">
        <v>25899</v>
      </c>
      <c r="C24996" s="16" t="s">
        <v>25771</v>
      </c>
      <c r="D24996" s="16" t="s">
        <v>25815</v>
      </c>
      <c r="E24996" s="2">
        <v>1610185</v>
      </c>
      <c r="F24996" s="4" t="e">
        <f>IF(B24996=#REF!,"",B24996)</f>
        <v>#REF!</v>
      </c>
    </row>
    <row r="24997" spans="1:6" ht="15.75" customHeight="1">
      <c r="A24997" s="16" t="s">
        <v>25898</v>
      </c>
      <c r="B24997" s="15" t="s">
        <v>25898</v>
      </c>
      <c r="C24997" s="16" t="s">
        <v>25771</v>
      </c>
      <c r="D24997" s="16" t="s">
        <v>25859</v>
      </c>
      <c r="E24997" s="2">
        <v>1610187</v>
      </c>
      <c r="F24997" s="4" t="e">
        <f>IF(B24997=#REF!,"",B24997)</f>
        <v>#REF!</v>
      </c>
    </row>
    <row r="24998" spans="1:6" ht="15.75" customHeight="1">
      <c r="A24998" s="15" t="s">
        <v>26839</v>
      </c>
      <c r="B24998" s="15" t="s">
        <v>26839</v>
      </c>
      <c r="C24998" s="15" t="s">
        <v>26820</v>
      </c>
      <c r="D24998" s="15" t="s">
        <v>18803</v>
      </c>
      <c r="E24998" s="2">
        <v>232066</v>
      </c>
      <c r="F24998" s="4" t="e">
        <f>IF(B24998=#REF!,"",B24998)</f>
        <v>#REF!</v>
      </c>
    </row>
    <row r="24999" spans="1:6" ht="15.75" customHeight="1">
      <c r="A24999" s="16" t="s">
        <v>16106</v>
      </c>
      <c r="B24999" s="15" t="s">
        <v>16107</v>
      </c>
      <c r="C24999" s="16" t="s">
        <v>15704</v>
      </c>
      <c r="D24999" s="16" t="s">
        <v>15719</v>
      </c>
      <c r="E24999" s="2">
        <v>1859964</v>
      </c>
      <c r="F24999" s="4" t="e">
        <f>IF(B24999=#REF!,"",B24999)</f>
        <v>#REF!</v>
      </c>
    </row>
    <row r="25000" spans="1:6" ht="15.75" customHeight="1">
      <c r="A25000" s="16" t="s">
        <v>18594</v>
      </c>
      <c r="B25000" s="15" t="s">
        <v>18594</v>
      </c>
      <c r="C25000" s="16" t="s">
        <v>18551</v>
      </c>
      <c r="D25000" s="16" t="s">
        <v>18565</v>
      </c>
      <c r="E25000" s="2">
        <v>2544720</v>
      </c>
      <c r="F25000" s="4" t="e">
        <f>IF(B25000=#REF!,"",B25000)</f>
        <v>#REF!</v>
      </c>
    </row>
    <row r="25001" spans="1:6" ht="15.75" customHeight="1">
      <c r="A25001" s="15" t="s">
        <v>11885</v>
      </c>
      <c r="B25001" s="15" t="s">
        <v>11885</v>
      </c>
      <c r="C25001" s="15" t="s">
        <v>10178</v>
      </c>
      <c r="D25001" s="15" t="s">
        <v>10317</v>
      </c>
      <c r="E25001" s="2">
        <v>1259108</v>
      </c>
      <c r="F25001" s="4" t="str">
        <f>IF(B25001=B25000,"",B25001)</f>
        <v>Kasba</v>
      </c>
    </row>
    <row r="25002" spans="1:6" ht="15.75" customHeight="1">
      <c r="A25002" s="16" t="str">
        <f ca="1">IFERROR(__xludf.DUMMYFUNCTION("GOOGLETRANSLATE(B33121,""en"",""pt"")"),"Kāsaragod")</f>
        <v>Kāsaragod</v>
      </c>
      <c r="B25002" s="20" t="s">
        <v>33540</v>
      </c>
      <c r="C25002" s="20" t="s">
        <v>10178</v>
      </c>
      <c r="D25002" s="20" t="s">
        <v>10246</v>
      </c>
      <c r="E25002" s="10">
        <v>1267616</v>
      </c>
      <c r="F25002" s="4" t="e">
        <f>IF(B25002=#REF!,"",B25002)</f>
        <v>#REF!</v>
      </c>
    </row>
    <row r="25003" spans="1:6" ht="15.75" customHeight="1">
      <c r="A25003" s="15" t="s">
        <v>16105</v>
      </c>
      <c r="B25003" s="15" t="s">
        <v>16105</v>
      </c>
      <c r="C25003" s="15" t="s">
        <v>15704</v>
      </c>
      <c r="D25003" s="15" t="s">
        <v>15981</v>
      </c>
      <c r="E25003" s="2">
        <v>1859990</v>
      </c>
      <c r="F25003" s="4" t="e">
        <f>IF(B25003=#REF!,"",B25003)</f>
        <v>#REF!</v>
      </c>
    </row>
    <row r="25004" spans="1:6" ht="15.75" customHeight="1">
      <c r="A25004" s="16" t="s">
        <v>6166</v>
      </c>
      <c r="B25004" s="15" t="s">
        <v>6166</v>
      </c>
      <c r="C25004" s="16" t="s">
        <v>6127</v>
      </c>
      <c r="D25004" s="16" t="s">
        <v>6167</v>
      </c>
      <c r="E25004" s="2">
        <v>2315057</v>
      </c>
      <c r="F25004" s="4" t="e">
        <f>IF(B25004=#REF!,"",B25004)</f>
        <v>#REF!</v>
      </c>
    </row>
    <row r="25005" spans="1:6" ht="15.75" customHeight="1">
      <c r="A25005" s="15" t="s">
        <v>25623</v>
      </c>
      <c r="B25005" s="15" t="s">
        <v>25623</v>
      </c>
      <c r="C25005" s="15" t="s">
        <v>25560</v>
      </c>
      <c r="D25005" s="15" t="s">
        <v>25578</v>
      </c>
      <c r="E25005" s="2">
        <v>158289</v>
      </c>
      <c r="F25005" s="4" t="str">
        <f>IF(B25005=B25004,"",B25005)</f>
        <v>Kasamwa</v>
      </c>
    </row>
    <row r="25006" spans="1:6" ht="15.75" customHeight="1">
      <c r="A25006" s="16" t="str">
        <f ca="1">IFERROR(__xludf.DUMMYFUNCTION("GOOGLETRANSLATE(B35514,""en"",""pt"")"),"Kasamatsuchō")</f>
        <v>Kasamatsuchō</v>
      </c>
      <c r="B25006" s="20" t="s">
        <v>34359</v>
      </c>
      <c r="C25006" s="20" t="s">
        <v>15704</v>
      </c>
      <c r="D25006" s="20" t="s">
        <v>15748</v>
      </c>
      <c r="E25006" s="10">
        <v>1859998</v>
      </c>
      <c r="F25006" s="4" t="str">
        <f>IF(B25006=B25005,"",B25006)</f>
        <v>Kasamatsuchō</v>
      </c>
    </row>
    <row r="25007" spans="1:6" ht="15.75" customHeight="1">
      <c r="A25007" s="16" t="s">
        <v>16103</v>
      </c>
      <c r="B25007" s="15" t="s">
        <v>16104</v>
      </c>
      <c r="C25007" s="16" t="s">
        <v>15704</v>
      </c>
      <c r="D25007" s="16" t="s">
        <v>15748</v>
      </c>
      <c r="E25007" s="2">
        <v>1859998</v>
      </c>
      <c r="F25007" s="4" t="e">
        <f>IF(B25007=#REF!,"",B25007)</f>
        <v>#REF!</v>
      </c>
    </row>
    <row r="25008" spans="1:6" ht="15.75" customHeight="1">
      <c r="A25008" s="15" t="s">
        <v>16102</v>
      </c>
      <c r="B25008" s="15" t="s">
        <v>16102</v>
      </c>
      <c r="C25008" s="15" t="s">
        <v>15704</v>
      </c>
      <c r="D25008" s="15" t="s">
        <v>15724</v>
      </c>
      <c r="E25008" s="2">
        <v>2112343</v>
      </c>
      <c r="F25008" s="4" t="str">
        <f>IF(B25008=B25007,"",B25008)</f>
        <v>Kasama</v>
      </c>
    </row>
    <row r="25009" spans="1:6" ht="15.75" customHeight="1">
      <c r="A25009" s="15" t="s">
        <v>20008</v>
      </c>
      <c r="B25009" s="15" t="s">
        <v>20009</v>
      </c>
      <c r="C25009" s="15" t="s">
        <v>19808</v>
      </c>
      <c r="D25009" s="15" t="s">
        <v>10184</v>
      </c>
      <c r="E25009" s="2">
        <v>1174625</v>
      </c>
      <c r="F25009" s="4" t="e">
        <f>IF(B25009=#REF!,"",B25009)</f>
        <v>#REF!</v>
      </c>
    </row>
    <row r="25010" spans="1:6" ht="15.75" customHeight="1">
      <c r="A25010" s="15" t="s">
        <v>11884</v>
      </c>
      <c r="B25010" s="15" t="s">
        <v>11884</v>
      </c>
      <c r="C25010" s="15" t="s">
        <v>10178</v>
      </c>
      <c r="D25010" s="15" t="s">
        <v>10252</v>
      </c>
      <c r="E25010" s="2">
        <v>1267635</v>
      </c>
      <c r="F25010" s="4" t="str">
        <f>IF(B25010=B25009,"",B25010)</f>
        <v>Karwar</v>
      </c>
    </row>
    <row r="25011" spans="1:6" ht="15.75" customHeight="1">
      <c r="A25011" s="15" t="s">
        <v>6029</v>
      </c>
      <c r="B25011" s="15" t="s">
        <v>6030</v>
      </c>
      <c r="C25011" s="15" t="s">
        <v>5947</v>
      </c>
      <c r="D25011" s="15" t="s">
        <v>5971</v>
      </c>
      <c r="E25011" s="2">
        <v>3073789</v>
      </c>
      <c r="F25011" s="4" t="str">
        <f>IF(B25011=B25010,"",B25011)</f>
        <v>KarvinÃ¡</v>
      </c>
    </row>
    <row r="25012" spans="1:6" ht="15.75" customHeight="1">
      <c r="A25012" s="16" t="str">
        <f ca="1">IFERROR(__xludf.DUMMYFUNCTION("GOOGLETRANSLATE(B27307,""en"",""pt"")"),"Karviná")</f>
        <v>Karviná</v>
      </c>
      <c r="B25012" s="20" t="s">
        <v>31984</v>
      </c>
      <c r="C25012" s="20" t="s">
        <v>5947</v>
      </c>
      <c r="D25012" s="20" t="s">
        <v>31952</v>
      </c>
      <c r="E25012" s="10">
        <v>3073789</v>
      </c>
      <c r="F25012" s="4" t="e">
        <f>IF(B25012=#REF!,"",B25012)</f>
        <v>#REF!</v>
      </c>
    </row>
    <row r="25013" spans="1:6" ht="15.75" customHeight="1">
      <c r="A25013" s="15" t="s">
        <v>16796</v>
      </c>
      <c r="B25013" s="15" t="s">
        <v>16796</v>
      </c>
      <c r="C25013" s="15" t="s">
        <v>16781</v>
      </c>
      <c r="D25013" s="15" t="s">
        <v>16797</v>
      </c>
      <c r="E25013" s="2">
        <v>193627</v>
      </c>
      <c r="F25013" s="4" t="e">
        <f>IF(B25013=#REF!,"",B25013)</f>
        <v>#REF!</v>
      </c>
    </row>
    <row r="25014" spans="1:6" ht="15.75" customHeight="1">
      <c r="A25014" s="15" t="s">
        <v>11883</v>
      </c>
      <c r="B25014" s="15" t="s">
        <v>11883</v>
      </c>
      <c r="C25014" s="15" t="s">
        <v>10178</v>
      </c>
      <c r="D25014" s="15" t="s">
        <v>10196</v>
      </c>
      <c r="E25014" s="2">
        <v>1267648</v>
      </c>
      <c r="F25014" s="4" t="e">
        <f>IF(B25014=#REF!,"",B25014)</f>
        <v>#REF!</v>
      </c>
    </row>
    <row r="25015" spans="1:6" ht="15.75" customHeight="1">
      <c r="A25015" s="15" t="s">
        <v>62</v>
      </c>
      <c r="B25015" s="15" t="s">
        <v>62</v>
      </c>
      <c r="C25015" s="15" t="s">
        <v>8</v>
      </c>
      <c r="D25015" s="15" t="s">
        <v>51</v>
      </c>
      <c r="E25015" s="2">
        <v>1137807</v>
      </c>
      <c r="F25015" s="4" t="e">
        <f>IF(B25015=#REF!,"",B25015)</f>
        <v>#REF!</v>
      </c>
    </row>
    <row r="25016" spans="1:6" ht="15.75" customHeight="1">
      <c r="A25016" s="15" t="s">
        <v>21277</v>
      </c>
      <c r="B25016" s="15" t="s">
        <v>21277</v>
      </c>
      <c r="C25016" s="15" t="s">
        <v>21064</v>
      </c>
      <c r="D25016" s="15" t="s">
        <v>21173</v>
      </c>
      <c r="E25016" s="2">
        <v>3096525</v>
      </c>
      <c r="F25016" s="4" t="e">
        <f>IF(B25016=#REF!,"",B25016)</f>
        <v>#REF!</v>
      </c>
    </row>
    <row r="25017" spans="1:6" ht="15.75" customHeight="1">
      <c r="A25017" s="15" t="s">
        <v>13959</v>
      </c>
      <c r="B25017" s="15" t="s">
        <v>13959</v>
      </c>
      <c r="C25017" s="15" t="s">
        <v>13800</v>
      </c>
      <c r="D25017" s="15" t="s">
        <v>13803</v>
      </c>
      <c r="E25017" s="2">
        <v>2010985</v>
      </c>
      <c r="F25017" s="4" t="str">
        <f>IF(B25017=B25016,"",B25017)</f>
        <v>Kartasura</v>
      </c>
    </row>
    <row r="25018" spans="1:6" ht="15.75" customHeight="1">
      <c r="A25018" s="16" t="str">
        <f ca="1">IFERROR(__xludf.DUMMYFUNCTION("GOOGLETRANSLATE(B33124,""en"",""pt"")"),"Kartārpur")</f>
        <v>Kartārpur</v>
      </c>
      <c r="B25018" s="20" t="s">
        <v>33541</v>
      </c>
      <c r="C25018" s="20" t="s">
        <v>10178</v>
      </c>
      <c r="D25018" s="20" t="s">
        <v>10184</v>
      </c>
      <c r="E25018" s="10">
        <v>1267669</v>
      </c>
      <c r="F25018" s="4" t="e">
        <f>IF(B25018=#REF!,"",B25018)</f>
        <v>#REF!</v>
      </c>
    </row>
    <row r="25019" spans="1:6" ht="15.75" customHeight="1">
      <c r="A25019" s="15" t="s">
        <v>22482</v>
      </c>
      <c r="B25019" s="15" t="s">
        <v>22482</v>
      </c>
      <c r="C25019" s="15" t="s">
        <v>22070</v>
      </c>
      <c r="D25019" s="15" t="s">
        <v>22166</v>
      </c>
      <c r="E25019" s="2">
        <v>1504317</v>
      </c>
      <c r="F25019" s="4" t="str">
        <f>IF(B25019=B25018,"",B25019)</f>
        <v>Kartaly</v>
      </c>
    </row>
    <row r="25020" spans="1:6" ht="15.75" customHeight="1">
      <c r="A25020" s="16" t="s">
        <v>11881</v>
      </c>
      <c r="B25020" s="15" t="s">
        <v>11882</v>
      </c>
      <c r="C25020" s="16" t="s">
        <v>10178</v>
      </c>
      <c r="D25020" s="16" t="s">
        <v>10184</v>
      </c>
      <c r="E25020" s="2">
        <v>1267669</v>
      </c>
      <c r="F25020" s="4" t="str">
        <f>IF(B25020=B25019,"",B25020)</f>
        <v>KartÄrpur</v>
      </c>
    </row>
    <row r="25021" spans="1:6" ht="15.75" customHeight="1">
      <c r="A25021" s="16" t="str">
        <f ca="1">IFERROR(__xludf.DUMMYFUNCTION("GOOGLETRANSLATE(B33125,""en"",""pt"")"),"Kārsiyāng")</f>
        <v>Kārsiyāng</v>
      </c>
      <c r="B25021" s="20" t="s">
        <v>33542</v>
      </c>
      <c r="C25021" s="20" t="s">
        <v>10178</v>
      </c>
      <c r="D25021" s="20" t="s">
        <v>10201</v>
      </c>
      <c r="E25021" s="10">
        <v>1267675</v>
      </c>
      <c r="F25021" s="4" t="e">
        <f>IF(B25021=#REF!,"",B25021)</f>
        <v>#REF!</v>
      </c>
    </row>
    <row r="25022" spans="1:6" ht="15.75" customHeight="1">
      <c r="A25022" s="15" t="s">
        <v>26570</v>
      </c>
      <c r="B25022" s="15" t="s">
        <v>26570</v>
      </c>
      <c r="C25022" s="15" t="s">
        <v>26201</v>
      </c>
      <c r="D25022" s="15" t="s">
        <v>26570</v>
      </c>
      <c r="E25022" s="2">
        <v>743952</v>
      </c>
      <c r="F25022" s="4" t="e">
        <f>IF(B25022=#REF!,"",B25022)</f>
        <v>#REF!</v>
      </c>
    </row>
    <row r="25023" spans="1:6" ht="15.75" customHeight="1">
      <c r="A25023" s="15" t="s">
        <v>22481</v>
      </c>
      <c r="B25023" s="15" t="s">
        <v>22481</v>
      </c>
      <c r="C25023" s="15" t="s">
        <v>22070</v>
      </c>
      <c r="D25023" s="15" t="s">
        <v>22106</v>
      </c>
      <c r="E25023" s="2">
        <v>1504343</v>
      </c>
      <c r="F25023" s="4" t="e">
        <f>IF(B25023=#REF!,"",B25023)</f>
        <v>#REF!</v>
      </c>
    </row>
    <row r="25024" spans="1:6" ht="15.75" customHeight="1">
      <c r="A25024" s="15" t="s">
        <v>8666</v>
      </c>
      <c r="B25024" s="15" t="s">
        <v>8666</v>
      </c>
      <c r="C25024" s="15" t="s">
        <v>8028</v>
      </c>
      <c r="D25024" s="15" t="s">
        <v>8036</v>
      </c>
      <c r="E25024" s="2">
        <v>2892705</v>
      </c>
      <c r="F25024" s="4" t="e">
        <f>IF(B25024=#REF!,"",B25024)</f>
        <v>#REF!</v>
      </c>
    </row>
    <row r="25025" spans="1:6" ht="15.75" customHeight="1">
      <c r="A25025" s="15" t="s">
        <v>20007</v>
      </c>
      <c r="B25025" s="15" t="s">
        <v>20007</v>
      </c>
      <c r="C25025" s="15" t="s">
        <v>19808</v>
      </c>
      <c r="D25025" s="15" t="s">
        <v>10184</v>
      </c>
      <c r="E25025" s="2">
        <v>1174720</v>
      </c>
      <c r="F25025" s="4" t="e">
        <f>IF(B25025=#REF!,"",B25025)</f>
        <v>#REF!</v>
      </c>
    </row>
    <row r="25026" spans="1:6" ht="15.75" customHeight="1">
      <c r="A25026" s="15" t="s">
        <v>17415</v>
      </c>
      <c r="B25026" s="15" t="s">
        <v>17415</v>
      </c>
      <c r="C25026" s="15" t="s">
        <v>17410</v>
      </c>
      <c r="D25026" s="15" t="s">
        <v>17416</v>
      </c>
      <c r="E25026" s="2">
        <v>235715</v>
      </c>
      <c r="F25026" s="4" t="str">
        <f>IF(B25026=B25025,"",B25026)</f>
        <v>Karonga</v>
      </c>
    </row>
    <row r="25027" spans="1:6" ht="15.75" customHeight="1">
      <c r="A25027" s="16" t="str">
        <f ca="1">IFERROR(__xludf.DUMMYFUNCTION("GOOGLETRANSLATE(B33126,""en"",""pt"")"),"Karol Bāgh")</f>
        <v>Karol Bāgh</v>
      </c>
      <c r="B25027" s="20" t="s">
        <v>33543</v>
      </c>
      <c r="C25027" s="20" t="s">
        <v>10178</v>
      </c>
      <c r="D25027" s="20" t="s">
        <v>10288</v>
      </c>
      <c r="E25027" s="10">
        <v>1267696</v>
      </c>
      <c r="F25027" s="4" t="str">
        <f>IF(B25027=B25026,"",B25027)</f>
        <v>Karol Bāgh</v>
      </c>
    </row>
    <row r="25028" spans="1:6" ht="15.75" customHeight="1">
      <c r="A25028" s="16" t="s">
        <v>11879</v>
      </c>
      <c r="B25028" s="15" t="s">
        <v>11880</v>
      </c>
      <c r="C25028" s="16" t="s">
        <v>10178</v>
      </c>
      <c r="D25028" s="16" t="s">
        <v>10288</v>
      </c>
      <c r="E25028" s="2">
        <v>1267696</v>
      </c>
      <c r="F25028" s="4" t="e">
        <f>IF(B25028=#REF!,"",B25028)</f>
        <v>#REF!</v>
      </c>
    </row>
    <row r="25029" spans="1:6" ht="15.75" customHeight="1">
      <c r="A25029" s="15" t="s">
        <v>31093</v>
      </c>
      <c r="B25029" s="15" t="s">
        <v>31093</v>
      </c>
      <c r="C25029" s="15" t="s">
        <v>31072</v>
      </c>
      <c r="D25029" s="15" t="s">
        <v>31078</v>
      </c>
      <c r="E25029" s="2">
        <v>889191</v>
      </c>
      <c r="F25029" s="4" t="e">
        <f>IF(B25029=#REF!,"",B25029)</f>
        <v>#REF!</v>
      </c>
    </row>
    <row r="25030" spans="1:6" ht="15.75" customHeight="1">
      <c r="A25030" s="15" t="s">
        <v>3727</v>
      </c>
      <c r="B25030" s="15" t="s">
        <v>3727</v>
      </c>
      <c r="C25030" s="15" t="s">
        <v>3701</v>
      </c>
      <c r="D25030" s="15" t="s">
        <v>3704</v>
      </c>
      <c r="E25030" s="2">
        <v>730559</v>
      </c>
      <c r="F25030" s="4" t="str">
        <f>IF(B25030=B25029,"",B25030)</f>
        <v>Karnobat</v>
      </c>
    </row>
    <row r="25031" spans="1:6" ht="15.75" customHeight="1">
      <c r="A25031" s="16" t="str">
        <f ca="1">IFERROR(__xludf.DUMMYFUNCTION("GOOGLETRANSLATE(B33127,""en"",""pt"")"),"Karnāl")</f>
        <v>Karnāl</v>
      </c>
      <c r="B25031" s="20" t="s">
        <v>33544</v>
      </c>
      <c r="C25031" s="20" t="s">
        <v>10178</v>
      </c>
      <c r="D25031" s="20" t="s">
        <v>10224</v>
      </c>
      <c r="E25031" s="10">
        <v>1267708</v>
      </c>
      <c r="F25031" s="4" t="str">
        <f>IF(B25031=B25030,"",B25031)</f>
        <v>Karnāl</v>
      </c>
    </row>
    <row r="25032" spans="1:6" ht="15.75" customHeight="1">
      <c r="A25032" s="15" t="s">
        <v>11877</v>
      </c>
      <c r="B25032" s="15" t="s">
        <v>11878</v>
      </c>
      <c r="C25032" s="15" t="s">
        <v>10178</v>
      </c>
      <c r="D25032" s="15" t="s">
        <v>10224</v>
      </c>
      <c r="E25032" s="2">
        <v>1267708</v>
      </c>
      <c r="F25032" s="4" t="str">
        <f>IF(B25032=B25031,"",B25032)</f>
        <v>KarnÄl</v>
      </c>
    </row>
    <row r="25033" spans="1:6" ht="15.75" customHeight="1">
      <c r="A25033" s="15" t="s">
        <v>14823</v>
      </c>
      <c r="B25033" s="15" t="s">
        <v>14824</v>
      </c>
      <c r="C25033" s="15" t="s">
        <v>14773</v>
      </c>
      <c r="D25033" s="15" t="s">
        <v>14774</v>
      </c>
      <c r="E25033" s="2">
        <v>294577</v>
      </c>
      <c r="F25033" s="4" t="str">
        <f>IF(B25033=B25032,"",B25033)</f>
        <v>Karmiâ€™el</v>
      </c>
    </row>
    <row r="25034" spans="1:6" ht="15.75" customHeight="1">
      <c r="A25034" s="16" t="str">
        <f ca="1">IFERROR(__xludf.DUMMYFUNCTION("GOOGLETRANSLATE(B31796,""en"",""pt"")"),"Karmi'el")</f>
        <v>Karmi'el</v>
      </c>
      <c r="B25034" s="20" t="s">
        <v>32922</v>
      </c>
      <c r="C25034" s="20" t="s">
        <v>14773</v>
      </c>
      <c r="D25034" s="20" t="s">
        <v>14774</v>
      </c>
      <c r="E25034" s="10">
        <v>294577</v>
      </c>
      <c r="F25034" s="4" t="str">
        <f>IF(B25034=B25033,"",B25034)</f>
        <v>Karmi’el</v>
      </c>
    </row>
    <row r="25035" spans="1:6" ht="15.75" customHeight="1">
      <c r="A25035" s="16" t="str">
        <f ca="1">IFERROR(__xludf.DUMMYFUNCTION("GOOGLETRANSLATE(B33128,""en"",""pt"")"),"Karmāla")</f>
        <v>Karmāla</v>
      </c>
      <c r="B25035" s="20" t="s">
        <v>33545</v>
      </c>
      <c r="C25035" s="20" t="s">
        <v>10178</v>
      </c>
      <c r="D25035" s="20" t="s">
        <v>10214</v>
      </c>
      <c r="E25035" s="10">
        <v>1267716</v>
      </c>
      <c r="F25035" s="4" t="str">
        <f>IF(B25035=B25034,"",B25035)</f>
        <v>Karmāla</v>
      </c>
    </row>
    <row r="25036" spans="1:6" ht="15.75" customHeight="1">
      <c r="A25036" s="15" t="s">
        <v>11875</v>
      </c>
      <c r="B25036" s="15" t="s">
        <v>11876</v>
      </c>
      <c r="C25036" s="15" t="s">
        <v>10178</v>
      </c>
      <c r="D25036" s="15" t="s">
        <v>10214</v>
      </c>
      <c r="E25036" s="2">
        <v>1267716</v>
      </c>
      <c r="F25036" s="4" t="e">
        <f>IF(B25036=#REF!,"",B25036)</f>
        <v>#REF!</v>
      </c>
    </row>
    <row r="25037" spans="1:6" ht="15.75" customHeight="1">
      <c r="A25037" s="15" t="s">
        <v>8665</v>
      </c>
      <c r="B25037" s="15" t="s">
        <v>8665</v>
      </c>
      <c r="C25037" s="15" t="s">
        <v>8028</v>
      </c>
      <c r="D25037" s="15" t="s">
        <v>8044</v>
      </c>
      <c r="E25037" s="2">
        <v>2892786</v>
      </c>
      <c r="F25037" s="4" t="e">
        <f>IF(B25037=#REF!,"",B25037)</f>
        <v>#REF!</v>
      </c>
    </row>
    <row r="25038" spans="1:6" ht="15.75" customHeight="1">
      <c r="A25038" s="15" t="s">
        <v>25148</v>
      </c>
      <c r="B25038" s="15" t="s">
        <v>25148</v>
      </c>
      <c r="C25038" s="15" t="s">
        <v>25077</v>
      </c>
      <c r="D25038" s="15" t="s">
        <v>25149</v>
      </c>
      <c r="E25038" s="2">
        <v>2701680</v>
      </c>
      <c r="F25038" s="4" t="e">
        <f>IF(B25038=#REF!,"",B25038)</f>
        <v>#REF!</v>
      </c>
    </row>
    <row r="25039" spans="1:6" ht="15.75" customHeight="1">
      <c r="A25039" s="15" t="s">
        <v>8664</v>
      </c>
      <c r="B25039" s="15" t="s">
        <v>8664</v>
      </c>
      <c r="C25039" s="15" t="s">
        <v>8028</v>
      </c>
      <c r="D25039" s="15" t="s">
        <v>8031</v>
      </c>
      <c r="E25039" s="2">
        <v>2892794</v>
      </c>
      <c r="F25039" s="4" t="e">
        <f>IF(B25039=#REF!,"",B25039)</f>
        <v>#REF!</v>
      </c>
    </row>
    <row r="25040" spans="1:6" ht="15.75" customHeight="1">
      <c r="A25040" s="16" t="s">
        <v>25147</v>
      </c>
      <c r="B25040" s="15" t="s">
        <v>25147</v>
      </c>
      <c r="C25040" s="16" t="s">
        <v>25077</v>
      </c>
      <c r="D25040" s="16" t="s">
        <v>25145</v>
      </c>
      <c r="E25040" s="2">
        <v>2701713</v>
      </c>
      <c r="F25040" s="4" t="e">
        <f>IF(B25040=#REF!,"",B25040)</f>
        <v>#REF!</v>
      </c>
    </row>
    <row r="25041" spans="1:6" ht="15.75" customHeight="1">
      <c r="A25041" s="15" t="s">
        <v>25146</v>
      </c>
      <c r="B25041" s="15" t="s">
        <v>25146</v>
      </c>
      <c r="C25041" s="15" t="s">
        <v>25077</v>
      </c>
      <c r="D25041" s="15" t="s">
        <v>25088</v>
      </c>
      <c r="E25041" s="2">
        <v>2701715</v>
      </c>
      <c r="F25041" s="4" t="e">
        <f>IF(B25041=#REF!,"",B25041)</f>
        <v>#REF!</v>
      </c>
    </row>
    <row r="25042" spans="1:6" ht="15.75" customHeight="1">
      <c r="A25042" s="16" t="s">
        <v>8663</v>
      </c>
      <c r="B25042" s="15" t="s">
        <v>8663</v>
      </c>
      <c r="C25042" s="16" t="s">
        <v>8028</v>
      </c>
      <c r="D25042" s="16" t="s">
        <v>8036</v>
      </c>
      <c r="E25042" s="2">
        <v>2892811</v>
      </c>
      <c r="F25042" s="4" t="e">
        <f>IF(B25042=#REF!,"",B25042)</f>
        <v>#REF!</v>
      </c>
    </row>
    <row r="25043" spans="1:6" ht="15.75" customHeight="1">
      <c r="A25043" s="16" t="s">
        <v>25144</v>
      </c>
      <c r="B25043" s="15" t="s">
        <v>25144</v>
      </c>
      <c r="C25043" s="16" t="s">
        <v>25077</v>
      </c>
      <c r="D25043" s="16" t="s">
        <v>25145</v>
      </c>
      <c r="E25043" s="2">
        <v>2701727</v>
      </c>
      <c r="F25043" s="4" t="e">
        <f>IF(B25043=#REF!,"",B25043)</f>
        <v>#REF!</v>
      </c>
    </row>
    <row r="25044" spans="1:6" ht="15.75" customHeight="1">
      <c r="A25044" s="15" t="s">
        <v>8662</v>
      </c>
      <c r="B25044" s="15" t="s">
        <v>8662</v>
      </c>
      <c r="C25044" s="15" t="s">
        <v>8028</v>
      </c>
      <c r="D25044" s="15" t="s">
        <v>8044</v>
      </c>
      <c r="E25044" s="2">
        <v>2892874</v>
      </c>
      <c r="F25044" s="4" t="e">
        <f>IF(B25044=#REF!,"",B25044)</f>
        <v>#REF!</v>
      </c>
    </row>
    <row r="25045" spans="1:6" ht="15.75" customHeight="1">
      <c r="A25045" s="16" t="s">
        <v>6027</v>
      </c>
      <c r="B25045" s="15" t="s">
        <v>6028</v>
      </c>
      <c r="C25045" s="16" t="s">
        <v>5947</v>
      </c>
      <c r="D25045" s="16" t="s">
        <v>5998</v>
      </c>
      <c r="E25045" s="2">
        <v>3073803</v>
      </c>
      <c r="F25045" s="4" t="e">
        <f>IF(B25045=#REF!,"",B25045)</f>
        <v>#REF!</v>
      </c>
    </row>
    <row r="25046" spans="1:6" ht="15.75" customHeight="1">
      <c r="A25046" s="15" t="s">
        <v>3726</v>
      </c>
      <c r="B25046" s="15" t="s">
        <v>3726</v>
      </c>
      <c r="C25046" s="15" t="s">
        <v>3701</v>
      </c>
      <c r="D25046" s="15" t="s">
        <v>3702</v>
      </c>
      <c r="E25046" s="2">
        <v>730565</v>
      </c>
      <c r="F25046" s="4" t="e">
        <f>IF(B25046=#REF!,"",B25046)</f>
        <v>#REF!</v>
      </c>
    </row>
    <row r="25047" spans="1:6" ht="15.75" customHeight="1">
      <c r="A25047" s="15" t="s">
        <v>5720</v>
      </c>
      <c r="B25047" s="15" t="s">
        <v>5720</v>
      </c>
      <c r="C25047" s="15" t="s">
        <v>5711</v>
      </c>
      <c r="D25047" s="15" t="s">
        <v>5721</v>
      </c>
      <c r="E25047" s="2">
        <v>3198259</v>
      </c>
      <c r="F25047" s="4" t="e">
        <f>IF(B25047=#REF!,"",B25047)</f>
        <v>#REF!</v>
      </c>
    </row>
    <row r="25048" spans="1:6" ht="15.75" customHeight="1">
      <c r="A25048" s="15" t="s">
        <v>26993</v>
      </c>
      <c r="B25048" s="15" t="s">
        <v>26993</v>
      </c>
      <c r="C25048" s="15" t="s">
        <v>26870</v>
      </c>
      <c r="D25048" s="15" t="s">
        <v>26964</v>
      </c>
      <c r="E25048" s="2">
        <v>706749</v>
      </c>
      <c r="F25048" s="4" t="str">
        <f>IF(B25048=B25047,"",B25048)</f>
        <v>Karlivka</v>
      </c>
    </row>
    <row r="25049" spans="1:6" ht="15.75" customHeight="1">
      <c r="A25049" s="16" t="str">
        <f ca="1">IFERROR(__xludf.DUMMYFUNCTION("GOOGLETRANSLATE(B33129,""en"",""pt"")"),"Kārkala")</f>
        <v>Kārkala</v>
      </c>
      <c r="B25049" s="20" t="s">
        <v>33546</v>
      </c>
      <c r="C25049" s="20" t="s">
        <v>10178</v>
      </c>
      <c r="D25049" s="20" t="s">
        <v>10252</v>
      </c>
      <c r="E25049" s="10">
        <v>1267739</v>
      </c>
      <c r="F25049" s="4" t="e">
        <f>IF(B25049=#REF!,"",B25049)</f>
        <v>#REF!</v>
      </c>
    </row>
    <row r="25050" spans="1:6" ht="15.75" customHeight="1">
      <c r="A25050" s="15" t="s">
        <v>11874</v>
      </c>
      <c r="B25050" s="15" t="s">
        <v>11874</v>
      </c>
      <c r="C25050" s="15" t="s">
        <v>10178</v>
      </c>
      <c r="D25050" s="15" t="s">
        <v>10214</v>
      </c>
      <c r="E25050" s="2">
        <v>1267742</v>
      </c>
      <c r="F25050" s="4" t="e">
        <f>IF(B25050=#REF!,"",B25050)</f>
        <v>#REF!</v>
      </c>
    </row>
    <row r="25051" spans="1:6" ht="15.75" customHeight="1">
      <c r="A25051" s="15" t="s">
        <v>16101</v>
      </c>
      <c r="B25051" s="15" t="s">
        <v>16101</v>
      </c>
      <c r="C25051" s="15" t="s">
        <v>15704</v>
      </c>
      <c r="D25051" s="15" t="s">
        <v>15729</v>
      </c>
      <c r="E25051" s="2">
        <v>1860034</v>
      </c>
      <c r="F25051" s="4" t="str">
        <f>IF(B25051=B25050,"",B25051)</f>
        <v>Kariya</v>
      </c>
    </row>
    <row r="25052" spans="1:6" ht="15.75" customHeight="1">
      <c r="A25052" s="16" t="str">
        <f ca="1">IFERROR(__xludf.DUMMYFUNCTION("GOOGLETRANSLATE(B33131,""en"",""pt"")"),"Karīmnagar")</f>
        <v>Karīmnagar</v>
      </c>
      <c r="B25052" s="20" t="s">
        <v>33547</v>
      </c>
      <c r="C25052" s="20" t="s">
        <v>10178</v>
      </c>
      <c r="D25052" s="20" t="s">
        <v>10187</v>
      </c>
      <c r="E25052" s="10">
        <v>1267755</v>
      </c>
      <c r="F25052" s="4" t="str">
        <f>IF(B25052=B25051,"",B25052)</f>
        <v>Karīmnagar</v>
      </c>
    </row>
    <row r="25053" spans="1:6" ht="15.75" customHeight="1">
      <c r="A25053" s="16" t="str">
        <f ca="1">IFERROR(__xludf.DUMMYFUNCTION("GOOGLETRANSLATE(B33132,""en"",""pt"")"),"Karīmganj")</f>
        <v>Karīmganj</v>
      </c>
      <c r="B25053" s="20" t="s">
        <v>33548</v>
      </c>
      <c r="C25053" s="20" t="s">
        <v>10178</v>
      </c>
      <c r="D25053" s="20" t="s">
        <v>10239</v>
      </c>
      <c r="E25053" s="10">
        <v>1267758</v>
      </c>
      <c r="F25053" s="4" t="e">
        <f>IF(B25053=#REF!,"",B25053)</f>
        <v>#REF!</v>
      </c>
    </row>
    <row r="25054" spans="1:6" ht="15.75" customHeight="1">
      <c r="A25054" s="15" t="s">
        <v>31092</v>
      </c>
      <c r="B25054" s="15" t="s">
        <v>31092</v>
      </c>
      <c r="C25054" s="15" t="s">
        <v>31072</v>
      </c>
      <c r="D25054" s="15" t="s">
        <v>31078</v>
      </c>
      <c r="E25054" s="2">
        <v>889215</v>
      </c>
      <c r="F25054" s="4" t="e">
        <f>IF(B25054=#REF!,"",B25054)</f>
        <v>#REF!</v>
      </c>
    </row>
    <row r="25055" spans="1:6" ht="15.75" customHeight="1">
      <c r="A25055" s="15" t="s">
        <v>19478</v>
      </c>
      <c r="B25055" s="15" t="s">
        <v>19478</v>
      </c>
      <c r="C25055" s="15" t="s">
        <v>19294</v>
      </c>
      <c r="D25055" s="15" t="s">
        <v>19332</v>
      </c>
      <c r="E25055" s="2">
        <v>2335015</v>
      </c>
      <c r="F25055" s="4" t="e">
        <f>IF(B25055=#REF!,"",B25055)</f>
        <v>#REF!</v>
      </c>
    </row>
    <row r="25056" spans="1:6" ht="15.75" customHeight="1">
      <c r="A25056" s="15" t="s">
        <v>6988</v>
      </c>
      <c r="B25056" s="15" t="s">
        <v>6988</v>
      </c>
      <c r="C25056" s="15" t="s">
        <v>6948</v>
      </c>
      <c r="D25056" s="15" t="s">
        <v>6949</v>
      </c>
      <c r="E25056" s="2">
        <v>654137</v>
      </c>
      <c r="F25056" s="4" t="e">
        <f>IF(B25056=#REF!,"",B25056)</f>
        <v>#REF!</v>
      </c>
    </row>
    <row r="25057" spans="1:6" ht="15.75" customHeight="1">
      <c r="A25057" s="15" t="s">
        <v>11873</v>
      </c>
      <c r="B25057" s="15" t="s">
        <v>11873</v>
      </c>
      <c r="C25057" s="15" t="s">
        <v>10178</v>
      </c>
      <c r="D25057" s="15" t="s">
        <v>10193</v>
      </c>
      <c r="E25057" s="2">
        <v>1267772</v>
      </c>
      <c r="F25057" s="4" t="e">
        <f>IF(B25057=#REF!,"",B25057)</f>
        <v>#REF!</v>
      </c>
    </row>
    <row r="25058" spans="1:6" ht="15.75" customHeight="1">
      <c r="A25058" s="15" t="s">
        <v>11871</v>
      </c>
      <c r="B25058" s="15" t="s">
        <v>11872</v>
      </c>
      <c r="C25058" s="15" t="s">
        <v>10178</v>
      </c>
      <c r="D25058" s="15" t="s">
        <v>10219</v>
      </c>
      <c r="E25058" s="2">
        <v>1267786</v>
      </c>
      <c r="F25058" s="4" t="e">
        <f>IF(B25058=#REF!,"",B25058)</f>
        <v>#REF!</v>
      </c>
    </row>
    <row r="25059" spans="1:6" ht="15.75" customHeight="1">
      <c r="A25059" s="15" t="s">
        <v>11870</v>
      </c>
      <c r="B25059" s="15" t="s">
        <v>11870</v>
      </c>
      <c r="C25059" s="15" t="s">
        <v>10178</v>
      </c>
      <c r="D25059" s="15" t="s">
        <v>10219</v>
      </c>
      <c r="E25059" s="2">
        <v>1267794</v>
      </c>
      <c r="F25059" s="4" t="e">
        <f>IF(B25059=#REF!,"",B25059)</f>
        <v>#REF!</v>
      </c>
    </row>
    <row r="25060" spans="1:6" ht="15.75" customHeight="1">
      <c r="A25060" s="15" t="s">
        <v>3724</v>
      </c>
      <c r="B25060" s="15" t="s">
        <v>3724</v>
      </c>
      <c r="C25060" s="15" t="s">
        <v>3701</v>
      </c>
      <c r="D25060" s="15" t="s">
        <v>3725</v>
      </c>
      <c r="E25060" s="2">
        <v>729794</v>
      </c>
      <c r="F25060" s="4" t="str">
        <f>IF(B25060=B25059,"",B25060)</f>
        <v>Kardzhali</v>
      </c>
    </row>
    <row r="25061" spans="1:6" ht="15.75" customHeight="1">
      <c r="A25061" s="16" t="str">
        <f ca="1">IFERROR(__xludf.DUMMYFUNCTION("GOOGLETRANSLATE(B30998,""en"",""pt"")"),"Kardítsa")</f>
        <v>Kardítsa</v>
      </c>
      <c r="B25061" s="20" t="s">
        <v>32706</v>
      </c>
      <c r="C25061" s="20" t="s">
        <v>9441</v>
      </c>
      <c r="D25061" s="20" t="s">
        <v>9542</v>
      </c>
      <c r="E25061" s="10">
        <v>260989</v>
      </c>
      <c r="F25061" s="4" t="str">
        <f>IF(B25061=B25060,"",B25061)</f>
        <v>Kardítsa</v>
      </c>
    </row>
    <row r="25062" spans="1:6" ht="15.75" customHeight="1">
      <c r="A25062" s="15" t="s">
        <v>9540</v>
      </c>
      <c r="B25062" s="15" t="s">
        <v>9541</v>
      </c>
      <c r="C25062" s="15" t="s">
        <v>9441</v>
      </c>
      <c r="D25062" s="15" t="s">
        <v>9542</v>
      </c>
      <c r="E25062" s="2">
        <v>260989</v>
      </c>
      <c r="F25062" s="4" t="e">
        <f>IF(B25062=#REF!,"",B25062)</f>
        <v>#REF!</v>
      </c>
    </row>
    <row r="25063" spans="1:6" ht="15.75" customHeight="1">
      <c r="A25063" s="15" t="s">
        <v>10076</v>
      </c>
      <c r="B25063" s="15" t="s">
        <v>10076</v>
      </c>
      <c r="C25063" s="15" t="s">
        <v>9955</v>
      </c>
      <c r="D25063" s="15" t="s">
        <v>10071</v>
      </c>
      <c r="E25063" s="2">
        <v>719404</v>
      </c>
      <c r="F25063" s="4" t="e">
        <f>IF(B25063=#REF!,"",B25063)</f>
        <v>#REF!</v>
      </c>
    </row>
    <row r="25064" spans="1:6" ht="15.75" customHeight="1">
      <c r="A25064" s="15" t="s">
        <v>8661</v>
      </c>
      <c r="B25064" s="15" t="s">
        <v>8661</v>
      </c>
      <c r="C25064" s="15" t="s">
        <v>8028</v>
      </c>
      <c r="D25064" s="15" t="s">
        <v>8050</v>
      </c>
      <c r="E25064" s="2">
        <v>2892980</v>
      </c>
      <c r="F25064" s="4" t="e">
        <f>IF(B25064=#REF!,"",B25064)</f>
        <v>#REF!</v>
      </c>
    </row>
    <row r="25065" spans="1:6" ht="15.75" customHeight="1">
      <c r="A25065" s="15" t="s">
        <v>14688</v>
      </c>
      <c r="B25065" s="15" t="s">
        <v>14688</v>
      </c>
      <c r="C25065" s="15" t="s">
        <v>14594</v>
      </c>
      <c r="D25065" s="15" t="s">
        <v>14641</v>
      </c>
      <c r="E25065" s="2">
        <v>94824</v>
      </c>
      <c r="F25065" s="4" t="e">
        <f>IF(B25065=#REF!,"",B25065)</f>
        <v>#REF!</v>
      </c>
    </row>
    <row r="25066" spans="1:6" ht="15.75" customHeight="1">
      <c r="A25066" s="15" t="s">
        <v>11869</v>
      </c>
      <c r="B25066" s="15" t="s">
        <v>11869</v>
      </c>
      <c r="C25066" s="15" t="s">
        <v>10178</v>
      </c>
      <c r="D25066" s="15" t="s">
        <v>10179</v>
      </c>
      <c r="E25066" s="2">
        <v>1267819</v>
      </c>
      <c r="F25066" s="4" t="e">
        <f>IF(B25066=#REF!,"",B25066)</f>
        <v>#REF!</v>
      </c>
    </row>
    <row r="25067" spans="1:6" ht="15.75" customHeight="1">
      <c r="A25067" s="15" t="s">
        <v>16100</v>
      </c>
      <c r="B25067" s="15" t="s">
        <v>16100</v>
      </c>
      <c r="C25067" s="15" t="s">
        <v>15704</v>
      </c>
      <c r="D25067" s="15" t="s">
        <v>15761</v>
      </c>
      <c r="E25067" s="2">
        <v>1860063</v>
      </c>
      <c r="F25067" s="4" t="e">
        <f>IF(B25067=#REF!,"",B25067)</f>
        <v>#REF!</v>
      </c>
    </row>
    <row r="25068" spans="1:6" ht="15.75" customHeight="1">
      <c r="A25068" s="15" t="s">
        <v>16717</v>
      </c>
      <c r="B25068" s="15" t="s">
        <v>16717</v>
      </c>
      <c r="C25068" s="15" t="s">
        <v>16671</v>
      </c>
      <c r="D25068" s="15" t="s">
        <v>16707</v>
      </c>
      <c r="E25068" s="2">
        <v>1519938</v>
      </c>
      <c r="F25068" s="4" t="e">
        <f>IF(B25068=#REF!,"",B25068)</f>
        <v>#REF!</v>
      </c>
    </row>
    <row r="25069" spans="1:6" ht="15.75" customHeight="1">
      <c r="A25069" s="16" t="s">
        <v>16099</v>
      </c>
      <c r="B25069" s="15" t="s">
        <v>16099</v>
      </c>
      <c r="C25069" s="16" t="s">
        <v>15704</v>
      </c>
      <c r="D25069" s="16" t="s">
        <v>15799</v>
      </c>
      <c r="E25069" s="2">
        <v>2112354</v>
      </c>
      <c r="F25069" s="4" t="e">
        <f>IF(B25069=#REF!,"",B25069)</f>
        <v>#REF!</v>
      </c>
    </row>
    <row r="25070" spans="1:6" ht="15.75" customHeight="1">
      <c r="A25070" s="15" t="s">
        <v>22480</v>
      </c>
      <c r="B25070" s="15" t="s">
        <v>22480</v>
      </c>
      <c r="C25070" s="15" t="s">
        <v>22070</v>
      </c>
      <c r="D25070" s="15" t="s">
        <v>22092</v>
      </c>
      <c r="E25070" s="2">
        <v>1504489</v>
      </c>
      <c r="F25070" s="4" t="e">
        <f>IF(B25070=#REF!,"",B25070)</f>
        <v>#REF!</v>
      </c>
    </row>
    <row r="25071" spans="1:6" ht="15.75" customHeight="1">
      <c r="A25071" s="15" t="s">
        <v>26589</v>
      </c>
      <c r="B25071" s="15" t="s">
        <v>26589</v>
      </c>
      <c r="C25071" s="15" t="s">
        <v>26201</v>
      </c>
      <c r="D25071" s="15" t="s">
        <v>26276</v>
      </c>
      <c r="E25071" s="2">
        <v>744093</v>
      </c>
      <c r="F25071" s="4" t="str">
        <f>IF(B25071=B25070,"",B25071)</f>
        <v>Karasu</v>
      </c>
    </row>
    <row r="25072" spans="1:6" ht="15.75" customHeight="1">
      <c r="A25072" s="16" t="str">
        <f ca="1">IFERROR(__xludf.DUMMYFUNCTION("GOOGLETRANSLATE(B41969,""en"",""pt"")"),"Karapınar")</f>
        <v>Karapınar</v>
      </c>
      <c r="B25072" s="20" t="s">
        <v>35861</v>
      </c>
      <c r="C25072" s="20" t="s">
        <v>26201</v>
      </c>
      <c r="D25072" s="20" t="s">
        <v>26265</v>
      </c>
      <c r="E25072" s="10">
        <v>309415</v>
      </c>
      <c r="F25072" s="4" t="str">
        <f>IF(B25072=B25071,"",B25072)</f>
        <v>Karapınar</v>
      </c>
    </row>
    <row r="25073" spans="1:6" ht="15.75" customHeight="1">
      <c r="A25073" s="16" t="s">
        <v>26587</v>
      </c>
      <c r="B25073" s="15" t="s">
        <v>26588</v>
      </c>
      <c r="C25073" s="16" t="s">
        <v>26201</v>
      </c>
      <c r="D25073" s="16" t="s">
        <v>26265</v>
      </c>
      <c r="E25073" s="2">
        <v>309415</v>
      </c>
      <c r="F25073" s="4" t="e">
        <f>IF(B25073=#REF!,"",B25073)</f>
        <v>#REF!</v>
      </c>
    </row>
    <row r="25074" spans="1:6" ht="15.75" customHeight="1">
      <c r="A25074" s="15" t="s">
        <v>11868</v>
      </c>
      <c r="B25074" s="15" t="s">
        <v>11868</v>
      </c>
      <c r="C25074" s="15" t="s">
        <v>10178</v>
      </c>
      <c r="D25074" s="15" t="s">
        <v>10179</v>
      </c>
      <c r="E25074" s="2">
        <v>1255646</v>
      </c>
      <c r="F25074" s="4" t="str">
        <f>IF(B25074=B25073,"",B25074)</f>
        <v>Karanpur</v>
      </c>
    </row>
    <row r="25075" spans="1:6" ht="15.75" customHeight="1">
      <c r="A25075" s="16" t="str">
        <f ca="1">IFERROR(__xludf.DUMMYFUNCTION("GOOGLETRANSLATE(B33137,""en"",""pt"")"),"Kāranja")</f>
        <v>Kāranja</v>
      </c>
      <c r="B25075" s="20" t="s">
        <v>33549</v>
      </c>
      <c r="C25075" s="20" t="s">
        <v>10178</v>
      </c>
      <c r="D25075" s="20" t="s">
        <v>10214</v>
      </c>
      <c r="E25075" s="10">
        <v>1267853</v>
      </c>
      <c r="F25075" s="4" t="e">
        <f>IF(B25075=#REF!,"",B25075)</f>
        <v>#REF!</v>
      </c>
    </row>
    <row r="25076" spans="1:6" ht="15.75" customHeight="1">
      <c r="A25076" s="16" t="s">
        <v>13958</v>
      </c>
      <c r="B25076" s="15" t="s">
        <v>13958</v>
      </c>
      <c r="C25076" s="16" t="s">
        <v>13800</v>
      </c>
      <c r="D25076" s="16" t="s">
        <v>13811</v>
      </c>
      <c r="E25076" s="2">
        <v>1641184</v>
      </c>
      <c r="F25076" s="4" t="e">
        <f>IF(B25076=#REF!,"",B25076)</f>
        <v>#REF!</v>
      </c>
    </row>
    <row r="25077" spans="1:6" ht="15.75" customHeight="1">
      <c r="A25077" s="16" t="s">
        <v>13957</v>
      </c>
      <c r="B25077" s="15" t="s">
        <v>13957</v>
      </c>
      <c r="C25077" s="16" t="s">
        <v>13800</v>
      </c>
      <c r="D25077" s="16" t="s">
        <v>3894</v>
      </c>
      <c r="E25077" s="2">
        <v>1641301</v>
      </c>
      <c r="F25077" s="4" t="e">
        <f>IF(B25077=#REF!,"",B25077)</f>
        <v>#REF!</v>
      </c>
    </row>
    <row r="25078" spans="1:6" ht="15.75" customHeight="1">
      <c r="A25078" s="16" t="s">
        <v>13956</v>
      </c>
      <c r="B25078" s="15" t="s">
        <v>13956</v>
      </c>
      <c r="C25078" s="16" t="s">
        <v>13800</v>
      </c>
      <c r="D25078" s="16" t="s">
        <v>13803</v>
      </c>
      <c r="E25078" s="2">
        <v>1641333</v>
      </c>
      <c r="F25078" s="4" t="e">
        <f>IF(B25078=#REF!,"",B25078)</f>
        <v>#REF!</v>
      </c>
    </row>
    <row r="25079" spans="1:6" ht="15.75" customHeight="1">
      <c r="A25079" s="16" t="s">
        <v>13955</v>
      </c>
      <c r="B25079" s="15" t="s">
        <v>13955</v>
      </c>
      <c r="C25079" s="16" t="s">
        <v>13800</v>
      </c>
      <c r="D25079" s="16" t="s">
        <v>13811</v>
      </c>
      <c r="E25079" s="2">
        <v>1641342</v>
      </c>
      <c r="F25079" s="4" t="str">
        <f>IF(B25079=B25078,"",B25079)</f>
        <v>Karangampel</v>
      </c>
    </row>
    <row r="25080" spans="1:6" ht="15.75" customHeight="1">
      <c r="A25080" s="16" t="str">
        <f ca="1">IFERROR(__xludf.DUMMYFUNCTION("GOOGLETRANSLATE(B42153,""en"",""pt"")"),"Karamürsel")</f>
        <v>Karamürsel</v>
      </c>
      <c r="B25080" s="20" t="s">
        <v>35935</v>
      </c>
      <c r="C25080" s="20" t="s">
        <v>26201</v>
      </c>
      <c r="D25080" s="20" t="s">
        <v>26216</v>
      </c>
      <c r="E25080" s="10">
        <v>744168</v>
      </c>
      <c r="F25080" s="4" t="e">
        <f>IF(B25080=#REF!,"",B25080)</f>
        <v>#REF!</v>
      </c>
    </row>
    <row r="25081" spans="1:6" ht="15.75" customHeight="1">
      <c r="A25081" s="15" t="s">
        <v>11867</v>
      </c>
      <c r="B25081" s="15" t="s">
        <v>11867</v>
      </c>
      <c r="C25081" s="15" t="s">
        <v>10178</v>
      </c>
      <c r="D25081" s="15" t="s">
        <v>10209</v>
      </c>
      <c r="E25081" s="2">
        <v>1267862</v>
      </c>
      <c r="F25081" s="4" t="e">
        <f>IF(B25081=#REF!,"",B25081)</f>
        <v>#REF!</v>
      </c>
    </row>
    <row r="25082" spans="1:6" ht="15.75" customHeight="1">
      <c r="A25082" s="15" t="s">
        <v>26484</v>
      </c>
      <c r="B25082" s="15" t="s">
        <v>26484</v>
      </c>
      <c r="C25082" s="15" t="s">
        <v>26201</v>
      </c>
      <c r="D25082" s="15" t="s">
        <v>26484</v>
      </c>
      <c r="E25082" s="2">
        <v>309527</v>
      </c>
      <c r="F25082" s="4" t="str">
        <f>IF(B25082=B25081,"",B25082)</f>
        <v>Karaman</v>
      </c>
    </row>
    <row r="25083" spans="1:6" ht="15.75" customHeight="1">
      <c r="A25083" s="16" t="str">
        <f ca="1">IFERROR(__xludf.DUMMYFUNCTION("GOOGLETRANSLATE(B33139,""en"",""pt"")"),"Kāramadai")</f>
        <v>Kāramadai</v>
      </c>
      <c r="B25083" s="20" t="s">
        <v>33550</v>
      </c>
      <c r="C25083" s="20" t="s">
        <v>10178</v>
      </c>
      <c r="D25083" s="20" t="s">
        <v>10196</v>
      </c>
      <c r="E25083" s="10">
        <v>1267869</v>
      </c>
      <c r="F25083" s="4" t="str">
        <f>IF(B25083=B25082,"",B25083)</f>
        <v>Kāramadai</v>
      </c>
    </row>
    <row r="25084" spans="1:6" ht="15.75" customHeight="1">
      <c r="A25084" s="16" t="s">
        <v>26585</v>
      </c>
      <c r="B25084" s="15" t="s">
        <v>26586</v>
      </c>
      <c r="C25084" s="16" t="s">
        <v>26201</v>
      </c>
      <c r="D25084" s="16" t="s">
        <v>26216</v>
      </c>
      <c r="E25084" s="2">
        <v>744168</v>
      </c>
      <c r="F25084" s="4" t="str">
        <f>IF(B25084=B25083,"",B25084)</f>
        <v>KaramÃ¼rsel</v>
      </c>
    </row>
    <row r="25085" spans="1:6" ht="15.75" customHeight="1">
      <c r="A25085" s="16" t="s">
        <v>30550</v>
      </c>
      <c r="B25085" s="15" t="s">
        <v>30551</v>
      </c>
      <c r="C25085" s="16" t="s">
        <v>30502</v>
      </c>
      <c r="D25085" s="16" t="s">
        <v>30519</v>
      </c>
      <c r="E25085" s="2">
        <v>1217084</v>
      </c>
      <c r="F25085" s="4" t="str">
        <f>IF(B25085=B25084,"",B25085)</f>
        <v>Karakulâ€™</v>
      </c>
    </row>
    <row r="25086" spans="1:6" ht="15.75" customHeight="1">
      <c r="A25086" s="16" t="str">
        <f ca="1">IFERROR(__xludf.DUMMYFUNCTION("GOOGLETRANSLATE(B45514,""en"",""pt"")"),"Karakul '")</f>
        <v>Karakul '</v>
      </c>
      <c r="B25086" s="20" t="s">
        <v>36063</v>
      </c>
      <c r="C25086" s="20" t="s">
        <v>30502</v>
      </c>
      <c r="D25086" s="20" t="s">
        <v>30519</v>
      </c>
      <c r="E25086" s="10">
        <v>1217084</v>
      </c>
      <c r="F25086" s="4" t="e">
        <f>IF(B25086=#REF!,"",B25086)</f>
        <v>#REF!</v>
      </c>
    </row>
    <row r="25087" spans="1:6" ht="15.75" customHeight="1">
      <c r="A25087" s="15" t="s">
        <v>16942</v>
      </c>
      <c r="B25087" s="15" t="s">
        <v>16942</v>
      </c>
      <c r="C25087" s="15" t="s">
        <v>16924</v>
      </c>
      <c r="D25087" s="15" t="s">
        <v>16927</v>
      </c>
      <c r="E25087" s="2">
        <v>1528121</v>
      </c>
      <c r="F25087" s="4" t="str">
        <f>IF(B25087=B25086,"",B25087)</f>
        <v>Karakol</v>
      </c>
    </row>
    <row r="25088" spans="1:6" ht="15.75" customHeight="1">
      <c r="A25088" s="16" t="str">
        <f ca="1">IFERROR(__xludf.DUMMYFUNCTION("GOOGLETRANSLATE(B41972,""en"",""pt"")"),"Karakoçan")</f>
        <v>Karakoçan</v>
      </c>
      <c r="B25088" s="20" t="s">
        <v>35862</v>
      </c>
      <c r="C25088" s="20" t="s">
        <v>26201</v>
      </c>
      <c r="D25088" s="20" t="s">
        <v>35855</v>
      </c>
      <c r="E25088" s="10">
        <v>309663</v>
      </c>
      <c r="F25088" s="4" t="str">
        <f>IF(B25088=B25087,"",B25088)</f>
        <v>Karakoçan</v>
      </c>
    </row>
    <row r="25089" spans="1:6" ht="15.75" customHeight="1">
      <c r="A25089" s="16" t="s">
        <v>26583</v>
      </c>
      <c r="B25089" s="15" t="s">
        <v>26584</v>
      </c>
      <c r="C25089" s="16" t="s">
        <v>26201</v>
      </c>
      <c r="D25089" s="16" t="s">
        <v>26378</v>
      </c>
      <c r="E25089" s="2">
        <v>309663</v>
      </c>
      <c r="F25089" s="4" t="e">
        <f>IF(B25089=#REF!,"",B25089)</f>
        <v>#REF!</v>
      </c>
    </row>
    <row r="25090" spans="1:6" ht="15.75" customHeight="1">
      <c r="A25090" s="16" t="s">
        <v>16650</v>
      </c>
      <c r="B25090" s="15" t="s">
        <v>16651</v>
      </c>
      <c r="C25090" s="16" t="s">
        <v>16624</v>
      </c>
      <c r="D25090" s="16" t="s">
        <v>16630</v>
      </c>
      <c r="E25090" s="2">
        <v>6946409</v>
      </c>
      <c r="F25090" s="4" t="e">
        <f>IF(B25090=#REF!,"",B25090)</f>
        <v>#REF!</v>
      </c>
    </row>
    <row r="25091" spans="1:6" ht="15.75" customHeight="1">
      <c r="A25091" s="15" t="s">
        <v>14427</v>
      </c>
      <c r="B25091" s="15" t="s">
        <v>14427</v>
      </c>
      <c r="C25091" s="15" t="s">
        <v>14240</v>
      </c>
      <c r="D25091" s="15" t="s">
        <v>14428</v>
      </c>
      <c r="E25091" s="2">
        <v>128747</v>
      </c>
      <c r="F25091" s="4" t="str">
        <f>IF(B25091=B25090,"",B25091)</f>
        <v>Karaj</v>
      </c>
    </row>
    <row r="25092" spans="1:6" ht="15.75" customHeight="1">
      <c r="A25092" s="16" t="str">
        <f ca="1">IFERROR(__xludf.DUMMYFUNCTION("GOOGLETRANSLATE(B33140,""en"",""pt"")"),"Kāraikkudi")</f>
        <v>Kāraikkudi</v>
      </c>
      <c r="B25092" s="20" t="s">
        <v>33551</v>
      </c>
      <c r="C25092" s="20" t="s">
        <v>10178</v>
      </c>
      <c r="D25092" s="20" t="s">
        <v>10196</v>
      </c>
      <c r="E25092" s="10">
        <v>1267885</v>
      </c>
      <c r="F25092" s="4" t="str">
        <f>IF(B25092=B25091,"",B25092)</f>
        <v>Kāraikkudi</v>
      </c>
    </row>
    <row r="25093" spans="1:6" ht="15.75" customHeight="1">
      <c r="A25093" s="16" t="str">
        <f ca="1">IFERROR(__xludf.DUMMYFUNCTION("GOOGLETRANSLATE(B33141,""en"",""pt"")"),"Kāraikāl")</f>
        <v>Kāraikāl</v>
      </c>
      <c r="B25093" s="20" t="s">
        <v>33552</v>
      </c>
      <c r="C25093" s="20" t="s">
        <v>10178</v>
      </c>
      <c r="D25093" s="20" t="s">
        <v>11769</v>
      </c>
      <c r="E25093" s="10">
        <v>1267887</v>
      </c>
      <c r="F25093" s="4" t="e">
        <f>IF(B25093=#REF!,"",B25093)</f>
        <v>#REF!</v>
      </c>
    </row>
    <row r="25094" spans="1:6" ht="15.75" customHeight="1">
      <c r="A25094" s="16" t="s">
        <v>16716</v>
      </c>
      <c r="B25094" s="15" t="s">
        <v>16716</v>
      </c>
      <c r="C25094" s="16" t="s">
        <v>16671</v>
      </c>
      <c r="D25094" s="16" t="s">
        <v>16672</v>
      </c>
      <c r="E25094" s="2">
        <v>609655</v>
      </c>
      <c r="F25094" s="4" t="str">
        <f>IF(B25094=B25093,"",B25094)</f>
        <v>Karagandy</v>
      </c>
    </row>
    <row r="25095" spans="1:6" ht="15.75" customHeight="1">
      <c r="A25095" s="16" t="str">
        <f ca="1">IFERROR(__xludf.DUMMYFUNCTION("GOOGLETRANSLATE(B33142,""en"",""pt"")"),"Karād")</f>
        <v>Karād</v>
      </c>
      <c r="B25095" s="20" t="s">
        <v>33553</v>
      </c>
      <c r="C25095" s="20" t="s">
        <v>10178</v>
      </c>
      <c r="D25095" s="20" t="s">
        <v>10214</v>
      </c>
      <c r="E25095" s="10">
        <v>1267904</v>
      </c>
      <c r="F25095" s="4" t="str">
        <f>IF(B25095=B25094,"",B25095)</f>
        <v>Karād</v>
      </c>
    </row>
    <row r="25096" spans="1:6" ht="15.75" customHeight="1">
      <c r="A25096" s="16" t="str">
        <f ca="1">IFERROR(__xludf.DUMMYFUNCTION("GOOGLETRANSLATE(B41973,""en"",""pt"")"),"Karaçoban")</f>
        <v>Karaçoban</v>
      </c>
      <c r="B25096" s="20" t="s">
        <v>35863</v>
      </c>
      <c r="C25096" s="20" t="s">
        <v>26201</v>
      </c>
      <c r="D25096" s="20" t="s">
        <v>26268</v>
      </c>
      <c r="E25096" s="10">
        <v>310004</v>
      </c>
      <c r="F25096" s="4" t="e">
        <f>IF(B25096=#REF!,"",B25096)</f>
        <v>#REF!</v>
      </c>
    </row>
    <row r="25097" spans="1:6" ht="15.75" customHeight="1">
      <c r="A25097" s="15" t="s">
        <v>20005</v>
      </c>
      <c r="B25097" s="15" t="s">
        <v>20006</v>
      </c>
      <c r="C25097" s="15" t="s">
        <v>19808</v>
      </c>
      <c r="D25097" s="15" t="s">
        <v>19823</v>
      </c>
      <c r="E25097" s="2">
        <v>1174872</v>
      </c>
      <c r="F25097" s="4" t="e">
        <f>IF(B25097=#REF!,"",B25097)</f>
        <v>#REF!</v>
      </c>
    </row>
    <row r="25098" spans="1:6" ht="15.75" customHeight="1">
      <c r="A25098" s="15" t="s">
        <v>22479</v>
      </c>
      <c r="B25098" s="15" t="s">
        <v>22479</v>
      </c>
      <c r="C25098" s="15" t="s">
        <v>22070</v>
      </c>
      <c r="D25098" s="15" t="s">
        <v>22272</v>
      </c>
      <c r="E25098" s="2">
        <v>552920</v>
      </c>
      <c r="F25098" s="4" t="e">
        <f>IF(B25098=#REF!,"",B25098)</f>
        <v>#REF!</v>
      </c>
    </row>
    <row r="25099" spans="1:6" ht="15.75" customHeight="1">
      <c r="A25099" s="16" t="s">
        <v>22478</v>
      </c>
      <c r="B25099" s="15" t="s">
        <v>22478</v>
      </c>
      <c r="C25099" s="16" t="s">
        <v>22070</v>
      </c>
      <c r="D25099" s="16" t="s">
        <v>22302</v>
      </c>
      <c r="E25099" s="2">
        <v>552924</v>
      </c>
      <c r="F25099" s="4" t="e">
        <f>IF(B25099=#REF!,"",B25099)</f>
        <v>#REF!</v>
      </c>
    </row>
    <row r="25100" spans="1:6" ht="15.75" customHeight="1">
      <c r="A25100" s="16" t="s">
        <v>26582</v>
      </c>
      <c r="B25100" s="15" t="s">
        <v>26582</v>
      </c>
      <c r="C25100" s="16" t="s">
        <v>26201</v>
      </c>
      <c r="D25100" s="16" t="s">
        <v>26205</v>
      </c>
      <c r="E25100" s="2">
        <v>744537</v>
      </c>
      <c r="F25100" s="4" t="e">
        <f>IF(B25100=#REF!,"",B25100)</f>
        <v>#REF!</v>
      </c>
    </row>
    <row r="25101" spans="1:6" ht="15.75" customHeight="1">
      <c r="A25101" s="16" t="s">
        <v>22477</v>
      </c>
      <c r="B25101" s="15" t="s">
        <v>22477</v>
      </c>
      <c r="C25101" s="16" t="s">
        <v>22070</v>
      </c>
      <c r="D25101" s="16" t="s">
        <v>22360</v>
      </c>
      <c r="E25101" s="2">
        <v>552951</v>
      </c>
      <c r="F25101" s="4" t="str">
        <f>IF(B25101=B25100,"",B25101)</f>
        <v>Karabulak</v>
      </c>
    </row>
    <row r="25102" spans="1:6" ht="15.75" customHeight="1">
      <c r="A25102" s="16" t="str">
        <f ca="1">IFERROR(__xludf.DUMMYFUNCTION("GOOGLETRANSLATE(B42155,""en"",""pt"")"),"Karabük")</f>
        <v>Karabük</v>
      </c>
      <c r="B25102" s="20" t="s">
        <v>35926</v>
      </c>
      <c r="C25102" s="20" t="s">
        <v>26201</v>
      </c>
      <c r="D25102" s="20" t="s">
        <v>35926</v>
      </c>
      <c r="E25102" s="10">
        <v>744562</v>
      </c>
      <c r="F25102" s="4" t="e">
        <f>IF(B25102=#REF!,"",B25102)</f>
        <v>#REF!</v>
      </c>
    </row>
    <row r="25103" spans="1:6" ht="15.75" customHeight="1">
      <c r="A25103" s="15" t="s">
        <v>22476</v>
      </c>
      <c r="B25103" s="15" t="s">
        <v>22476</v>
      </c>
      <c r="C25103" s="15" t="s">
        <v>22070</v>
      </c>
      <c r="D25103" s="15" t="s">
        <v>22166</v>
      </c>
      <c r="E25103" s="2">
        <v>1504636</v>
      </c>
      <c r="F25103" s="4" t="e">
        <f>IF(B25103=#REF!,"",B25103)</f>
        <v>#REF!</v>
      </c>
    </row>
    <row r="25104" spans="1:6" ht="15.75" customHeight="1">
      <c r="A25104" s="16" t="s">
        <v>22475</v>
      </c>
      <c r="B25104" s="15" t="s">
        <v>22475</v>
      </c>
      <c r="C25104" s="16" t="s">
        <v>22070</v>
      </c>
      <c r="D25104" s="16" t="s">
        <v>22113</v>
      </c>
      <c r="E25104" s="2">
        <v>552977</v>
      </c>
      <c r="F25104" s="4" t="e">
        <f>IF(B25104=#REF!,"",B25104)</f>
        <v>#REF!</v>
      </c>
    </row>
    <row r="25105" spans="1:6" ht="15.75" customHeight="1">
      <c r="A25105" s="16" t="s">
        <v>16941</v>
      </c>
      <c r="B25105" s="15" t="s">
        <v>16941</v>
      </c>
      <c r="C25105" s="16" t="s">
        <v>16924</v>
      </c>
      <c r="D25105" s="16" t="s">
        <v>16938</v>
      </c>
      <c r="E25105" s="2">
        <v>1528182</v>
      </c>
      <c r="F25105" s="4" t="str">
        <f>IF(B25105=B25104,"",B25105)</f>
        <v>Kara-Balta</v>
      </c>
    </row>
    <row r="25106" spans="1:6" ht="15.75" customHeight="1">
      <c r="A25106" s="16" t="str">
        <f ca="1">IFERROR(__xludf.DUMMYFUNCTION("GOOGLETRANSLATE(B42244,""en"",""pt"")"),"Karabağlar")</f>
        <v>Karabağlar</v>
      </c>
      <c r="B25106" s="20" t="s">
        <v>35980</v>
      </c>
      <c r="C25106" s="20" t="s">
        <v>26201</v>
      </c>
      <c r="D25106" s="20" t="s">
        <v>35825</v>
      </c>
      <c r="E25106" s="10">
        <v>7701384</v>
      </c>
      <c r="F25106" s="4" t="str">
        <f>IF(B25106=B25105,"",B25106)</f>
        <v>Karabağlar</v>
      </c>
    </row>
    <row r="25107" spans="1:6" ht="15.75" customHeight="1">
      <c r="A25107" s="16" t="s">
        <v>26580</v>
      </c>
      <c r="B25107" s="15" t="s">
        <v>26581</v>
      </c>
      <c r="C25107" s="16" t="s">
        <v>26201</v>
      </c>
      <c r="D25107" s="16" t="s">
        <v>26213</v>
      </c>
      <c r="E25107" s="2">
        <v>7701384</v>
      </c>
      <c r="F25107" s="4" t="str">
        <f>IF(B25107=B25106,"",B25107)</f>
        <v>KarabaÄŸlar</v>
      </c>
    </row>
    <row r="25108" spans="1:6" ht="15.75" customHeight="1">
      <c r="A25108" s="15" t="s">
        <v>26578</v>
      </c>
      <c r="B25108" s="15" t="s">
        <v>26579</v>
      </c>
      <c r="C25108" s="15" t="s">
        <v>26201</v>
      </c>
      <c r="D25108" s="15" t="s">
        <v>26579</v>
      </c>
      <c r="E25108" s="2">
        <v>744562</v>
      </c>
      <c r="F25108" s="4" t="str">
        <f>IF(B25108=B25107,"",B25108)</f>
        <v>KarabÃ¼k</v>
      </c>
    </row>
    <row r="25109" spans="1:6" ht="15.75" customHeight="1">
      <c r="A25109" s="15" t="s">
        <v>26576</v>
      </c>
      <c r="B25109" s="15" t="s">
        <v>26577</v>
      </c>
      <c r="C25109" s="15" t="s">
        <v>26201</v>
      </c>
      <c r="D25109" s="15" t="s">
        <v>26268</v>
      </c>
      <c r="E25109" s="2">
        <v>310004</v>
      </c>
      <c r="F25109" s="4" t="str">
        <f>IF(B25109=B25108,"",B25109)</f>
        <v>KaraÃ§oban</v>
      </c>
    </row>
    <row r="25110" spans="1:6" ht="15.75" customHeight="1">
      <c r="A25110" s="15" t="s">
        <v>11865</v>
      </c>
      <c r="B25110" s="15" t="s">
        <v>11866</v>
      </c>
      <c r="C25110" s="15" t="s">
        <v>10178</v>
      </c>
      <c r="D25110" s="15" t="s">
        <v>10214</v>
      </c>
      <c r="E25110" s="2">
        <v>1267904</v>
      </c>
      <c r="F25110" s="4" t="str">
        <f>IF(B25110=B25109,"",B25110)</f>
        <v>KarÄd</v>
      </c>
    </row>
    <row r="25111" spans="1:6" ht="15.75" customHeight="1">
      <c r="A25111" s="16" t="s">
        <v>11863</v>
      </c>
      <c r="B25111" s="15" t="s">
        <v>11864</v>
      </c>
      <c r="C25111" s="16" t="s">
        <v>10178</v>
      </c>
      <c r="D25111" s="16" t="s">
        <v>10187</v>
      </c>
      <c r="E25111" s="2">
        <v>1267755</v>
      </c>
      <c r="F25111" s="4" t="str">
        <f>IF(B25111=B25110,"",B25111)</f>
        <v>KarÄ«mnagar</v>
      </c>
    </row>
    <row r="25112" spans="1:6" ht="15.75" customHeight="1">
      <c r="A25112" s="16" t="s">
        <v>11861</v>
      </c>
      <c r="B25112" s="15" t="s">
        <v>11862</v>
      </c>
      <c r="C25112" s="16" t="s">
        <v>10178</v>
      </c>
      <c r="D25112" s="16" t="s">
        <v>10239</v>
      </c>
      <c r="E25112" s="2">
        <v>1267758</v>
      </c>
      <c r="F25112" s="4" t="e">
        <f>IF(B25112=#REF!,"",B25112)</f>
        <v>#REF!</v>
      </c>
    </row>
    <row r="25113" spans="1:6" ht="15.75" customHeight="1">
      <c r="A25113" s="15" t="s">
        <v>16939</v>
      </c>
      <c r="B25113" s="15" t="s">
        <v>16939</v>
      </c>
      <c r="C25113" s="15" t="s">
        <v>16924</v>
      </c>
      <c r="D25113" s="15" t="s">
        <v>16940</v>
      </c>
      <c r="E25113" s="2">
        <v>1528091</v>
      </c>
      <c r="F25113" s="4" t="e">
        <f>IF(B25113=#REF!,"",B25113)</f>
        <v>#REF!</v>
      </c>
    </row>
    <row r="25114" spans="1:6" ht="15.75" customHeight="1">
      <c r="A25114" s="15" t="s">
        <v>26044</v>
      </c>
      <c r="B25114" s="15" t="s">
        <v>26044</v>
      </c>
      <c r="C25114" s="15" t="s">
        <v>26038</v>
      </c>
      <c r="D25114" s="15" t="s">
        <v>26044</v>
      </c>
      <c r="E25114" s="2">
        <v>2366152</v>
      </c>
      <c r="F25114" s="4" t="str">
        <f>IF(B25114=B25113,"",B25114)</f>
        <v>Kara</v>
      </c>
    </row>
    <row r="25115" spans="1:6" ht="15.75" customHeight="1">
      <c r="A25115" s="16" t="str">
        <f ca="1">IFERROR(__xludf.DUMMYFUNCTION("GOOGLETRANSLATE(B33143,""en"",""pt"")"),"Kapūrthala")</f>
        <v>Kapūrthala</v>
      </c>
      <c r="B25115" s="20" t="s">
        <v>33554</v>
      </c>
      <c r="C25115" s="20" t="s">
        <v>10178</v>
      </c>
      <c r="D25115" s="20" t="s">
        <v>10184</v>
      </c>
      <c r="E25115" s="10">
        <v>1267911</v>
      </c>
      <c r="F25115" s="4" t="e">
        <f>IF(B25115=#REF!,"",B25115)</f>
        <v>#REF!</v>
      </c>
    </row>
    <row r="25116" spans="1:6" ht="15.75" customHeight="1">
      <c r="A25116" s="16" t="s">
        <v>16715</v>
      </c>
      <c r="B25116" s="15" t="s">
        <v>16715</v>
      </c>
      <c r="C25116" s="16" t="s">
        <v>16671</v>
      </c>
      <c r="D25116" s="16" t="s">
        <v>16705</v>
      </c>
      <c r="E25116" s="2">
        <v>1519948</v>
      </c>
      <c r="F25116" s="4" t="str">
        <f>IF(B25116=B25115,"",B25116)</f>
        <v>Kapshagay</v>
      </c>
    </row>
    <row r="25117" spans="1:6" ht="15.75" customHeight="1">
      <c r="A25117" s="16" t="str">
        <f ca="1">IFERROR(__xludf.DUMMYFUNCTION("GOOGLETRANSLATE(B36037,""en"",""pt"")"),"KAPSAN-ŭP")</f>
        <v>KAPSAN-ŭP</v>
      </c>
      <c r="B25117" s="20" t="s">
        <v>34465</v>
      </c>
      <c r="C25117" s="20" t="s">
        <v>19589</v>
      </c>
      <c r="D25117" s="20" t="s">
        <v>19627</v>
      </c>
      <c r="E25117" s="10">
        <v>2043531</v>
      </c>
      <c r="F25117" s="4" t="str">
        <f>IF(B25117=B25116,"",B25117)</f>
        <v>Kapsan-ŭp</v>
      </c>
    </row>
    <row r="25118" spans="1:6" ht="15.75" customHeight="1">
      <c r="A25118" s="16" t="s">
        <v>19639</v>
      </c>
      <c r="B25118" s="15" t="s">
        <v>19640</v>
      </c>
      <c r="C25118" s="16" t="s">
        <v>19589</v>
      </c>
      <c r="D25118" s="16" t="s">
        <v>19627</v>
      </c>
      <c r="E25118" s="2">
        <v>2043531</v>
      </c>
      <c r="F25118" s="4" t="str">
        <f>IF(B25118=B25117,"",B25118)</f>
        <v>Kapsan-Å­p</v>
      </c>
    </row>
    <row r="25119" spans="1:6" ht="15.75" customHeight="1">
      <c r="A25119" s="16" t="str">
        <f ca="1">IFERROR(__xludf.DUMMYFUNCTION("GOOGLETRANSLATE(B33144,""en"",""pt"")"),"Kāpren")</f>
        <v>Kāpren</v>
      </c>
      <c r="B25119" s="20" t="s">
        <v>33555</v>
      </c>
      <c r="C25119" s="20" t="s">
        <v>10178</v>
      </c>
      <c r="D25119" s="20" t="s">
        <v>10179</v>
      </c>
      <c r="E25119" s="10">
        <v>1267923</v>
      </c>
      <c r="F25119" s="4" t="e">
        <f>IF(B25119=#REF!,"",B25119)</f>
        <v>#REF!</v>
      </c>
    </row>
    <row r="25120" spans="1:6" ht="15.75" customHeight="1">
      <c r="A25120" s="15" t="s">
        <v>22474</v>
      </c>
      <c r="B25120" s="15" t="s">
        <v>22474</v>
      </c>
      <c r="C25120" s="15" t="s">
        <v>22070</v>
      </c>
      <c r="D25120" s="15" t="s">
        <v>22127</v>
      </c>
      <c r="E25120" s="2">
        <v>553034</v>
      </c>
      <c r="F25120" s="4" t="str">
        <f>IF(B25120=B25119,"",B25120)</f>
        <v>Kapotnya</v>
      </c>
    </row>
    <row r="25121" spans="1:6" ht="15.75" customHeight="1">
      <c r="A25121" s="16" t="str">
        <f ca="1">IFERROR(__xludf.DUMMYFUNCTION("GOOGLETRANSLATE(B31307,""en"",""pt"")"),"Kaposvár")</f>
        <v>Kaposvár</v>
      </c>
      <c r="B25121" s="20" t="s">
        <v>32876</v>
      </c>
      <c r="C25121" s="20" t="s">
        <v>9955</v>
      </c>
      <c r="D25121" s="20" t="s">
        <v>10075</v>
      </c>
      <c r="E25121" s="10">
        <v>3050616</v>
      </c>
      <c r="F25121" s="4" t="str">
        <f>IF(B25121=B25120,"",B25121)</f>
        <v>Kaposvár</v>
      </c>
    </row>
    <row r="25122" spans="1:6" ht="15.75" customHeight="1">
      <c r="A25122" s="15" t="s">
        <v>10073</v>
      </c>
      <c r="B25122" s="15" t="s">
        <v>10074</v>
      </c>
      <c r="C25122" s="15" t="s">
        <v>9955</v>
      </c>
      <c r="D25122" s="15" t="s">
        <v>10075</v>
      </c>
      <c r="E25122" s="2">
        <v>3050616</v>
      </c>
      <c r="F25122" s="4" t="e">
        <f>IF(B25122=#REF!,"",B25122)</f>
        <v>#REF!</v>
      </c>
    </row>
    <row r="25123" spans="1:6" ht="15.75" customHeight="1">
      <c r="A25123" s="15" t="s">
        <v>17494</v>
      </c>
      <c r="B25123" s="15" t="s">
        <v>17494</v>
      </c>
      <c r="C25123" s="15" t="s">
        <v>17432</v>
      </c>
      <c r="D25123" s="15" t="s">
        <v>17459</v>
      </c>
      <c r="E25123" s="2">
        <v>1737185</v>
      </c>
      <c r="F25123" s="4" t="e">
        <f>IF(B25123=#REF!,"",B25123)</f>
        <v>#REF!</v>
      </c>
    </row>
    <row r="25124" spans="1:6" ht="15.75" customHeight="1">
      <c r="A25124" s="16" t="s">
        <v>31049</v>
      </c>
      <c r="B25124" s="15" t="s">
        <v>31050</v>
      </c>
      <c r="C25124" s="16" t="s">
        <v>31038</v>
      </c>
      <c r="D25124" s="16" t="s">
        <v>1886</v>
      </c>
      <c r="E25124" s="2">
        <v>913029</v>
      </c>
      <c r="F25124" s="4" t="e">
        <f>IF(B25124=#REF!,"",B25124)</f>
        <v>#REF!</v>
      </c>
    </row>
    <row r="25125" spans="1:6" ht="15.75" customHeight="1">
      <c r="A25125" s="16" t="s">
        <v>1134</v>
      </c>
      <c r="B25125" s="15" t="s">
        <v>1134</v>
      </c>
      <c r="C25125" s="16" t="s">
        <v>1117</v>
      </c>
      <c r="D25125" s="16" t="s">
        <v>1130</v>
      </c>
      <c r="E25125" s="2">
        <v>2774773</v>
      </c>
      <c r="F25125" s="4" t="e">
        <f>IF(B25125=#REF!,"",B25125)</f>
        <v>#REF!</v>
      </c>
    </row>
    <row r="25126" spans="1:6" ht="15.75" customHeight="1">
      <c r="A25126" s="16" t="s">
        <v>16794</v>
      </c>
      <c r="B25126" s="15" t="s">
        <v>16794</v>
      </c>
      <c r="C25126" s="16" t="s">
        <v>16781</v>
      </c>
      <c r="D25126" s="16" t="s">
        <v>16795</v>
      </c>
      <c r="E25126" s="2">
        <v>194160</v>
      </c>
      <c r="F25126" s="4" t="e">
        <f>IF(B25126=#REF!,"",B25126)</f>
        <v>#REF!</v>
      </c>
    </row>
    <row r="25127" spans="1:6" ht="15.75" customHeight="1">
      <c r="A25127" s="15" t="s">
        <v>1605</v>
      </c>
      <c r="B25127" s="15" t="s">
        <v>1605</v>
      </c>
      <c r="C25127" s="15" t="s">
        <v>1512</v>
      </c>
      <c r="D25127" s="15" t="s">
        <v>1513</v>
      </c>
      <c r="E25127" s="2">
        <v>2794730</v>
      </c>
      <c r="F25127" s="4" t="e">
        <f>IF(B25127=#REF!,"",B25127)</f>
        <v>#REF!</v>
      </c>
    </row>
    <row r="25128" spans="1:6" ht="15.75" customHeight="1">
      <c r="A25128" s="15" t="s">
        <v>873</v>
      </c>
      <c r="B25128" s="15" t="s">
        <v>873</v>
      </c>
      <c r="C25128" s="15" t="s">
        <v>853</v>
      </c>
      <c r="D25128" s="15" t="s">
        <v>867</v>
      </c>
      <c r="E25128" s="2">
        <v>174875</v>
      </c>
      <c r="F25128" s="4" t="e">
        <f>IF(B25128=#REF!,"",B25128)</f>
        <v>#REF!</v>
      </c>
    </row>
    <row r="25129" spans="1:6" ht="15.75" customHeight="1">
      <c r="A25129" s="16" t="s">
        <v>11860</v>
      </c>
      <c r="B25129" s="15" t="s">
        <v>11860</v>
      </c>
      <c r="C25129" s="16" t="s">
        <v>10178</v>
      </c>
      <c r="D25129" s="16" t="s">
        <v>10209</v>
      </c>
      <c r="E25129" s="2">
        <v>1267939</v>
      </c>
      <c r="F25129" s="4" t="str">
        <f>IF(B25129=B25128,"",B25129)</f>
        <v>Kapadvanj</v>
      </c>
    </row>
    <row r="25130" spans="1:6" ht="15.75" customHeight="1">
      <c r="A25130" s="16" t="s">
        <v>11858</v>
      </c>
      <c r="B25130" s="15" t="s">
        <v>11859</v>
      </c>
      <c r="C25130" s="16" t="s">
        <v>10178</v>
      </c>
      <c r="D25130" s="16" t="s">
        <v>10184</v>
      </c>
      <c r="E25130" s="2">
        <v>1267911</v>
      </c>
      <c r="F25130" s="4" t="e">
        <f>IF(B25130=#REF!,"",B25130)</f>
        <v>#REF!</v>
      </c>
    </row>
    <row r="25131" spans="1:6" ht="15.75" customHeight="1">
      <c r="A25131" s="15" t="s">
        <v>23572</v>
      </c>
      <c r="B25131" s="15" t="s">
        <v>23572</v>
      </c>
      <c r="C25131" s="15" t="s">
        <v>23559</v>
      </c>
      <c r="D25131" s="15" t="s">
        <v>23572</v>
      </c>
      <c r="E25131" s="2">
        <v>2250805</v>
      </c>
      <c r="F25131" s="4" t="e">
        <f>IF(B25131=#REF!,"",B25131)</f>
        <v>#REF!</v>
      </c>
    </row>
    <row r="25132" spans="1:6" ht="15.75" customHeight="1">
      <c r="A25132" s="16" t="s">
        <v>25510</v>
      </c>
      <c r="B25132" s="15" t="s">
        <v>25510</v>
      </c>
      <c r="C25132" s="16" t="s">
        <v>25502</v>
      </c>
      <c r="D25132" s="16" t="s">
        <v>25510</v>
      </c>
      <c r="E25132" s="2">
        <v>1673820</v>
      </c>
      <c r="F25132" s="4" t="e">
        <f>IF(B25132=#REF!,"",B25132)</f>
        <v>#REF!</v>
      </c>
    </row>
    <row r="25133" spans="1:6" ht="15.75" customHeight="1">
      <c r="A25133" s="16" t="s">
        <v>16098</v>
      </c>
      <c r="B25133" s="15" t="s">
        <v>16098</v>
      </c>
      <c r="C25133" s="16" t="s">
        <v>15704</v>
      </c>
      <c r="D25133" s="16" t="s">
        <v>15761</v>
      </c>
      <c r="E25133" s="2">
        <v>1860095</v>
      </c>
      <c r="F25133" s="4" t="e">
        <f>IF(B25133=#REF!,"",B25133)</f>
        <v>#REF!</v>
      </c>
    </row>
    <row r="25134" spans="1:6" ht="15.75" customHeight="1">
      <c r="A25134" s="15" t="s">
        <v>1883</v>
      </c>
      <c r="B25134" s="15" t="s">
        <v>1883</v>
      </c>
      <c r="C25134" s="15" t="s">
        <v>1878</v>
      </c>
      <c r="D25134" s="15" t="s">
        <v>1884</v>
      </c>
      <c r="E25134" s="2">
        <v>933685</v>
      </c>
      <c r="F25134" s="4" t="e">
        <f>IF(B25134=#REF!,"",B25134)</f>
        <v>#REF!</v>
      </c>
    </row>
    <row r="25135" spans="1:6" ht="15.75" customHeight="1">
      <c r="A25135" s="15" t="s">
        <v>11857</v>
      </c>
      <c r="B25135" s="15" t="s">
        <v>11857</v>
      </c>
      <c r="C25135" s="15" t="s">
        <v>10178</v>
      </c>
      <c r="D25135" s="15" t="s">
        <v>10190</v>
      </c>
      <c r="E25135" s="2">
        <v>7302825</v>
      </c>
      <c r="F25135" s="4" t="e">
        <f>IF(B25135=#REF!,"",B25135)</f>
        <v>#REF!</v>
      </c>
    </row>
    <row r="25136" spans="1:6" ht="15.75" customHeight="1">
      <c r="A25136" s="15" t="s">
        <v>16097</v>
      </c>
      <c r="B25136" s="15" t="s">
        <v>16097</v>
      </c>
      <c r="C25136" s="15" t="s">
        <v>15704</v>
      </c>
      <c r="D25136" s="15" t="s">
        <v>15799</v>
      </c>
      <c r="E25136" s="2">
        <v>1860098</v>
      </c>
      <c r="F25136" s="4" t="e">
        <f>IF(B25136=#REF!,"",B25136)</f>
        <v>#REF!</v>
      </c>
    </row>
    <row r="25137" spans="1:6" ht="15.75" customHeight="1">
      <c r="A25137" s="16" t="s">
        <v>22473</v>
      </c>
      <c r="B25137" s="15" t="s">
        <v>22473</v>
      </c>
      <c r="C25137" s="16" t="s">
        <v>22070</v>
      </c>
      <c r="D25137" s="16" t="s">
        <v>22360</v>
      </c>
      <c r="E25137" s="2">
        <v>553092</v>
      </c>
      <c r="F25137" s="4" t="e">
        <f>IF(B25137=#REF!,"",B25137)</f>
        <v>#REF!</v>
      </c>
    </row>
    <row r="25138" spans="1:6" ht="15.75" customHeight="1">
      <c r="A25138" s="16" t="s">
        <v>25896</v>
      </c>
      <c r="B25138" s="15" t="s">
        <v>25896</v>
      </c>
      <c r="C25138" s="16" t="s">
        <v>25771</v>
      </c>
      <c r="D25138" s="16" t="s">
        <v>25897</v>
      </c>
      <c r="E25138" s="2">
        <v>1610227</v>
      </c>
      <c r="F25138" s="4" t="str">
        <f>IF(B25138=B25137,"",B25138)</f>
        <v>Kantharalak</v>
      </c>
    </row>
    <row r="25139" spans="1:6" ht="15.75" customHeight="1">
      <c r="A25139" s="16" t="str">
        <f ca="1">IFERROR(__xludf.DUMMYFUNCTION("GOOGLETRANSLATE(B33146,""en"",""pt"")"),"Kānth")</f>
        <v>Kānth</v>
      </c>
      <c r="B25139" s="20" t="s">
        <v>33556</v>
      </c>
      <c r="C25139" s="20" t="s">
        <v>10178</v>
      </c>
      <c r="D25139" s="20" t="s">
        <v>10193</v>
      </c>
      <c r="E25139" s="10">
        <v>1267972</v>
      </c>
      <c r="F25139" s="4" t="str">
        <f>IF(B25139=B25138,"",B25139)</f>
        <v>Kānth</v>
      </c>
    </row>
    <row r="25140" spans="1:6" ht="15.75" customHeight="1">
      <c r="A25140" s="16" t="str">
        <f ca="1">IFERROR(__xludf.DUMMYFUNCTION("GOOGLETRANSLATE(B33147,""en"",""pt"")"),"Kantābānji")</f>
        <v>Kantābānji</v>
      </c>
      <c r="B25140" s="20" t="s">
        <v>33557</v>
      </c>
      <c r="C25140" s="20" t="s">
        <v>10178</v>
      </c>
      <c r="D25140" s="20" t="s">
        <v>10229</v>
      </c>
      <c r="E25140" s="10">
        <v>1267978</v>
      </c>
      <c r="F25140" s="4" t="str">
        <f>IF(B25140=B25139,"",B25140)</f>
        <v>Kantābānji</v>
      </c>
    </row>
    <row r="25141" spans="1:6" ht="15.75" customHeight="1">
      <c r="A25141" s="16" t="s">
        <v>11855</v>
      </c>
      <c r="B25141" s="15" t="s">
        <v>11856</v>
      </c>
      <c r="C25141" s="16" t="s">
        <v>10178</v>
      </c>
      <c r="D25141" s="16" t="s">
        <v>10229</v>
      </c>
      <c r="E25141" s="2">
        <v>1267978</v>
      </c>
      <c r="F25141" s="4" t="str">
        <f>IF(B25141=B25140,"",B25141)</f>
        <v>KantÄbÄnji</v>
      </c>
    </row>
    <row r="25142" spans="1:6" ht="15.75" customHeight="1">
      <c r="A25142" s="16" t="str">
        <f ca="1">IFERROR(__xludf.DUMMYFUNCTION("GOOGLETRANSLATE(B33148,""en"",""pt"")"),"Kānt")</f>
        <v>Kānt</v>
      </c>
      <c r="B25142" s="20" t="s">
        <v>33558</v>
      </c>
      <c r="C25142" s="20" t="s">
        <v>10178</v>
      </c>
      <c r="D25142" s="20" t="s">
        <v>10193</v>
      </c>
      <c r="E25142" s="10">
        <v>1267979</v>
      </c>
      <c r="F25142" s="4" t="e">
        <f>IF(B25142=#REF!,"",B25142)</f>
        <v>#REF!</v>
      </c>
    </row>
    <row r="25143" spans="1:6" ht="15.75" customHeight="1">
      <c r="A25143" s="15" t="s">
        <v>16937</v>
      </c>
      <c r="B25143" s="15" t="s">
        <v>16937</v>
      </c>
      <c r="C25143" s="15" t="s">
        <v>16924</v>
      </c>
      <c r="D25143" s="15" t="s">
        <v>16938</v>
      </c>
      <c r="E25143" s="2">
        <v>1528193</v>
      </c>
      <c r="F25143" s="4" t="e">
        <f>IF(B25143=#REF!,"",B25143)</f>
        <v>#REF!</v>
      </c>
    </row>
    <row r="25144" spans="1:6" ht="15.75" customHeight="1">
      <c r="A25144" s="15" t="s">
        <v>22472</v>
      </c>
      <c r="B25144" s="15" t="s">
        <v>22472</v>
      </c>
      <c r="C25144" s="15" t="s">
        <v>22070</v>
      </c>
      <c r="D25144" s="15" t="s">
        <v>22079</v>
      </c>
      <c r="E25144" s="2">
        <v>1504682</v>
      </c>
      <c r="F25144" s="4" t="e">
        <f>IF(B25144=#REF!,"",B25144)</f>
        <v>#REF!</v>
      </c>
    </row>
    <row r="25145" spans="1:6" ht="15.75" customHeight="1">
      <c r="A25145" s="16" t="s">
        <v>29004</v>
      </c>
      <c r="B25145" s="15" t="s">
        <v>29005</v>
      </c>
      <c r="C25145" s="16" t="s">
        <v>27788</v>
      </c>
      <c r="D25145" s="16" t="s">
        <v>28419</v>
      </c>
      <c r="E25145" s="2">
        <v>4273837</v>
      </c>
      <c r="F25145" s="4" t="e">
        <f>IF(B25145=#REF!,"",B25145)</f>
        <v>#REF!</v>
      </c>
    </row>
    <row r="25146" spans="1:6" ht="15.75" customHeight="1">
      <c r="A25146" s="16" t="s">
        <v>31047</v>
      </c>
      <c r="B25146" s="15" t="s">
        <v>31047</v>
      </c>
      <c r="C25146" s="16" t="s">
        <v>31038</v>
      </c>
      <c r="D25146" s="16" t="s">
        <v>31048</v>
      </c>
      <c r="E25146" s="2">
        <v>913613</v>
      </c>
      <c r="F25146" s="4" t="e">
        <f>IF(B25146=#REF!,"",B25146)</f>
        <v>#REF!</v>
      </c>
    </row>
    <row r="25147" spans="1:6" ht="15.75" customHeight="1">
      <c r="A25147" s="15" t="s">
        <v>11854</v>
      </c>
      <c r="B25147" s="15" t="s">
        <v>11854</v>
      </c>
      <c r="C25147" s="15" t="s">
        <v>10178</v>
      </c>
      <c r="D25147" s="15" t="s">
        <v>10193</v>
      </c>
      <c r="E25147" s="2">
        <v>1267995</v>
      </c>
      <c r="F25147" s="4" t="e">
        <f>IF(B25147=#REF!,"",B25147)</f>
        <v>#REF!</v>
      </c>
    </row>
    <row r="25148" spans="1:6" ht="15.75" customHeight="1">
      <c r="A25148" s="15" t="s">
        <v>16096</v>
      </c>
      <c r="B25148" s="15" t="s">
        <v>16096</v>
      </c>
      <c r="C25148" s="15" t="s">
        <v>15704</v>
      </c>
      <c r="D25148" s="15" t="s">
        <v>15719</v>
      </c>
      <c r="E25148" s="2">
        <v>1860112</v>
      </c>
      <c r="F25148" s="4" t="e">
        <f>IF(B25148=#REF!,"",B25148)</f>
        <v>#REF!</v>
      </c>
    </row>
    <row r="25149" spans="1:6" ht="15.75" customHeight="1">
      <c r="A25149" s="15" t="s">
        <v>19406</v>
      </c>
      <c r="B25149" s="15" t="s">
        <v>19406</v>
      </c>
      <c r="C25149" s="15" t="s">
        <v>19294</v>
      </c>
      <c r="D25149" s="15" t="s">
        <v>19406</v>
      </c>
      <c r="E25149" s="2">
        <v>2335204</v>
      </c>
      <c r="F25149" s="4" t="e">
        <f>IF(B25149=#REF!,"",B25149)</f>
        <v>#REF!</v>
      </c>
    </row>
    <row r="25150" spans="1:6" ht="15.75" customHeight="1">
      <c r="A25150" s="15" t="s">
        <v>11853</v>
      </c>
      <c r="B25150" s="15" t="s">
        <v>11853</v>
      </c>
      <c r="C25150" s="15" t="s">
        <v>10178</v>
      </c>
      <c r="D25150" s="15" t="s">
        <v>10219</v>
      </c>
      <c r="E25150" s="2">
        <v>1268007</v>
      </c>
      <c r="F25150" s="4" t="str">
        <f>IF(B25150=B25149,"",B25150)</f>
        <v>Kannod</v>
      </c>
    </row>
    <row r="25151" spans="1:6" ht="15.75" customHeight="1">
      <c r="A25151" s="16" t="str">
        <f ca="1">IFERROR(__xludf.DUMMYFUNCTION("GOOGLETRANSLATE(B33151,""en"",""pt"")"),"Kanniyākumāri")</f>
        <v>Kanniyākumāri</v>
      </c>
      <c r="B25151" s="20" t="s">
        <v>33559</v>
      </c>
      <c r="C25151" s="20" t="s">
        <v>10178</v>
      </c>
      <c r="D25151" s="20" t="s">
        <v>10196</v>
      </c>
      <c r="E25151" s="10">
        <v>1268008</v>
      </c>
      <c r="F25151" s="4" t="str">
        <f>IF(B25151=B25150,"",B25151)</f>
        <v>Kanniyākumāri</v>
      </c>
    </row>
    <row r="25152" spans="1:6" ht="15.75" customHeight="1">
      <c r="A25152" s="16" t="s">
        <v>11851</v>
      </c>
      <c r="B25152" s="15" t="s">
        <v>11852</v>
      </c>
      <c r="C25152" s="16" t="s">
        <v>10178</v>
      </c>
      <c r="D25152" s="16" t="s">
        <v>10196</v>
      </c>
      <c r="E25152" s="2">
        <v>1268008</v>
      </c>
      <c r="F25152" s="4" t="e">
        <f>IF(B25152=#REF!,"",B25152)</f>
        <v>#REF!</v>
      </c>
    </row>
    <row r="25153" spans="1:6" ht="15.75" customHeight="1">
      <c r="A25153" s="15" t="s">
        <v>11850</v>
      </c>
      <c r="B25153" s="15" t="s">
        <v>11850</v>
      </c>
      <c r="C25153" s="15" t="s">
        <v>10178</v>
      </c>
      <c r="D25153" s="15" t="s">
        <v>10193</v>
      </c>
      <c r="E25153" s="2">
        <v>1268011</v>
      </c>
      <c r="F25153" s="4" t="e">
        <f>IF(B25153=#REF!,"",B25153)</f>
        <v>#REF!</v>
      </c>
    </row>
    <row r="25154" spans="1:6" ht="15.75" customHeight="1">
      <c r="A25154" s="16" t="s">
        <v>29003</v>
      </c>
      <c r="B25154" s="15" t="s">
        <v>29003</v>
      </c>
      <c r="C25154" s="16" t="s">
        <v>27788</v>
      </c>
      <c r="D25154" s="16" t="s">
        <v>27822</v>
      </c>
      <c r="E25154" s="2">
        <v>4474040</v>
      </c>
      <c r="F25154" s="4" t="str">
        <f>IF(B25154=B25153,"",B25154)</f>
        <v>Kannapolis</v>
      </c>
    </row>
    <row r="25155" spans="1:6" ht="15.75" customHeight="1">
      <c r="A25155" s="16" t="str">
        <f ca="1">IFERROR(__xludf.DUMMYFUNCTION("GOOGLETRANSLATE(B33153,""en"",""pt"")"),"Kānnangād")</f>
        <v>Kānnangād</v>
      </c>
      <c r="B25155" s="20" t="s">
        <v>33560</v>
      </c>
      <c r="C25155" s="20" t="s">
        <v>10178</v>
      </c>
      <c r="D25155" s="20" t="s">
        <v>10246</v>
      </c>
      <c r="E25155" s="10">
        <v>1268015</v>
      </c>
      <c r="F25155" s="4" t="e">
        <f>IF(B25155=#REF!,"",B25155)</f>
        <v>#REF!</v>
      </c>
    </row>
    <row r="25156" spans="1:6" ht="15.75" customHeight="1">
      <c r="A25156" s="15" t="s">
        <v>11849</v>
      </c>
      <c r="B25156" s="15" t="s">
        <v>11849</v>
      </c>
      <c r="C25156" s="15" t="s">
        <v>10178</v>
      </c>
      <c r="D25156" s="15" t="s">
        <v>10214</v>
      </c>
      <c r="E25156" s="2">
        <v>1268020</v>
      </c>
      <c r="F25156" s="4" t="str">
        <f>IF(B25156=B25155,"",B25156)</f>
        <v>Kannad</v>
      </c>
    </row>
    <row r="25157" spans="1:6" ht="15.75" customHeight="1">
      <c r="A25157" s="16" t="str">
        <f ca="1">IFERROR(__xludf.DUMMYFUNCTION("GOOGLETRANSLATE(B35521,""en"",""pt"")"),"Kannabechō-yahiro")</f>
        <v>Kannabechō-yahiro</v>
      </c>
      <c r="B25157" s="20" t="s">
        <v>34361</v>
      </c>
      <c r="C25157" s="20" t="s">
        <v>15704</v>
      </c>
      <c r="D25157" s="20" t="s">
        <v>15789</v>
      </c>
      <c r="E25157" s="10">
        <v>1860176</v>
      </c>
      <c r="F25157" s="4" t="str">
        <f>IF(B25157=B25156,"",B25157)</f>
        <v>Kannabechō-yahiro</v>
      </c>
    </row>
    <row r="25158" spans="1:6" ht="15.75" customHeight="1">
      <c r="A25158" s="16" t="s">
        <v>16094</v>
      </c>
      <c r="B25158" s="15" t="s">
        <v>16095</v>
      </c>
      <c r="C25158" s="16" t="s">
        <v>15704</v>
      </c>
      <c r="D25158" s="16" t="s">
        <v>15789</v>
      </c>
      <c r="E25158" s="2">
        <v>1860176</v>
      </c>
      <c r="F25158" s="4" t="str">
        <f>IF(B25158=B25157,"",B25158)</f>
        <v>KannabechÅ-yahiro</v>
      </c>
    </row>
    <row r="25159" spans="1:6" ht="15.75" customHeight="1">
      <c r="A25159" s="16" t="str">
        <f ca="1">IFERROR(__xludf.DUMMYFUNCTION("GOOGLETRANSLATE(B33155,""en"",""pt"")"),"Kānker")</f>
        <v>Kānker</v>
      </c>
      <c r="B25159" s="20" t="s">
        <v>33561</v>
      </c>
      <c r="C25159" s="20" t="s">
        <v>10178</v>
      </c>
      <c r="D25159" s="20" t="s">
        <v>10272</v>
      </c>
      <c r="E25159" s="10">
        <v>1268031</v>
      </c>
      <c r="F25159" s="4" t="str">
        <f>IF(B25159=B25158,"",B25159)</f>
        <v>Kānker</v>
      </c>
    </row>
    <row r="25160" spans="1:6" ht="15.75" customHeight="1">
      <c r="A25160" s="16" t="str">
        <f ca="1">IFERROR(__xludf.DUMMYFUNCTION("GOOGLETRANSLATE(B33156,""en"",""pt"")"),"Kānke")</f>
        <v>Kānke</v>
      </c>
      <c r="B25160" s="20" t="s">
        <v>33562</v>
      </c>
      <c r="C25160" s="20" t="s">
        <v>10178</v>
      </c>
      <c r="D25160" s="20" t="s">
        <v>10430</v>
      </c>
      <c r="E25160" s="10">
        <v>1268032</v>
      </c>
      <c r="F25160" s="4" t="e">
        <f>IF(B25160=#REF!,"",B25160)</f>
        <v>#REF!</v>
      </c>
    </row>
    <row r="25161" spans="1:6" ht="15.75" customHeight="1">
      <c r="A25161" s="15" t="s">
        <v>11848</v>
      </c>
      <c r="B25161" s="15" t="s">
        <v>11848</v>
      </c>
      <c r="C25161" s="15" t="s">
        <v>10178</v>
      </c>
      <c r="D25161" s="15" t="s">
        <v>10214</v>
      </c>
      <c r="E25161" s="2">
        <v>1268035</v>
      </c>
      <c r="F25161" s="4" t="e">
        <f>IF(B25161=#REF!,"",B25161)</f>
        <v>#REF!</v>
      </c>
    </row>
    <row r="25162" spans="1:6" ht="15.75" customHeight="1">
      <c r="A25162" s="15" t="s">
        <v>9836</v>
      </c>
      <c r="B25162" s="15" t="s">
        <v>9836</v>
      </c>
      <c r="C25162" s="15" t="s">
        <v>9826</v>
      </c>
      <c r="D25162" s="15" t="s">
        <v>9836</v>
      </c>
      <c r="E25162" s="2">
        <v>2419992</v>
      </c>
      <c r="F25162" s="4" t="e">
        <f>IF(B25162=#REF!,"",B25162)</f>
        <v>#REF!</v>
      </c>
    </row>
    <row r="25163" spans="1:6" ht="15.75" customHeight="1">
      <c r="A25163" s="15" t="s">
        <v>29002</v>
      </c>
      <c r="B25163" s="15" t="s">
        <v>29002</v>
      </c>
      <c r="C25163" s="15" t="s">
        <v>27788</v>
      </c>
      <c r="D25163" s="15" t="s">
        <v>27799</v>
      </c>
      <c r="E25163" s="2">
        <v>4898182</v>
      </c>
      <c r="F25163" s="4" t="e">
        <f>IF(B25163=#REF!,"",B25163)</f>
        <v>#REF!</v>
      </c>
    </row>
    <row r="25164" spans="1:6" ht="15.75" customHeight="1">
      <c r="A25164" s="15" t="s">
        <v>26992</v>
      </c>
      <c r="B25164" s="15" t="s">
        <v>26992</v>
      </c>
      <c r="C25164" s="15" t="s">
        <v>26870</v>
      </c>
      <c r="D25164" s="15" t="s">
        <v>26925</v>
      </c>
      <c r="E25164" s="2">
        <v>706900</v>
      </c>
      <c r="F25164" s="4" t="e">
        <f>IF(B25164=#REF!,"",B25164)</f>
        <v>#REF!</v>
      </c>
    </row>
    <row r="25165" spans="1:6" ht="15.75" customHeight="1">
      <c r="A25165" s="15" t="s">
        <v>11847</v>
      </c>
      <c r="B25165" s="15" t="s">
        <v>11847</v>
      </c>
      <c r="C25165" s="15" t="s">
        <v>10178</v>
      </c>
      <c r="D25165" s="15" t="s">
        <v>10190</v>
      </c>
      <c r="E25165" s="2">
        <v>1268059</v>
      </c>
      <c r="F25165" s="4" t="e">
        <f>IF(B25165=#REF!,"",B25165)</f>
        <v>#REF!</v>
      </c>
    </row>
    <row r="25166" spans="1:6" ht="15.75" customHeight="1">
      <c r="A25166" s="15" t="s">
        <v>16093</v>
      </c>
      <c r="B25166" s="15" t="s">
        <v>16093</v>
      </c>
      <c r="C25166" s="15" t="s">
        <v>15704</v>
      </c>
      <c r="D25166" s="15" t="s">
        <v>15729</v>
      </c>
      <c r="E25166" s="2">
        <v>1860191</v>
      </c>
      <c r="F25166" s="4" t="e">
        <f>IF(B25166=#REF!,"",B25166)</f>
        <v>#REF!</v>
      </c>
    </row>
    <row r="25167" spans="1:6" ht="15.75" customHeight="1">
      <c r="A25167" s="16" t="s">
        <v>24100</v>
      </c>
      <c r="B25167" s="15" t="s">
        <v>24100</v>
      </c>
      <c r="C25167" s="16" t="s">
        <v>24024</v>
      </c>
      <c r="D25167" s="16" t="s">
        <v>24054</v>
      </c>
      <c r="E25167" s="2">
        <v>1843137</v>
      </c>
      <c r="F25167" s="4" t="e">
        <f>IF(B25167=#REF!,"",B25167)</f>
        <v>#REF!</v>
      </c>
    </row>
    <row r="25168" spans="1:6" ht="15.75" customHeight="1">
      <c r="A25168" s="16" t="s">
        <v>19636</v>
      </c>
      <c r="B25168" s="15" t="s">
        <v>19637</v>
      </c>
      <c r="C25168" s="16" t="s">
        <v>19589</v>
      </c>
      <c r="D25168" s="16" t="s">
        <v>19638</v>
      </c>
      <c r="E25168" s="2">
        <v>2043572</v>
      </c>
      <c r="F25168" s="4" t="str">
        <f>IF(B25168=B25167,"",B25168)</f>
        <v>Kanggye-si</v>
      </c>
    </row>
    <row r="25169" spans="1:6" ht="15.75" customHeight="1">
      <c r="A25169" s="16" t="str">
        <f ca="1">IFERROR(__xludf.DUMMYFUNCTION("GOOGLETRANSLATE(B36008,""en"",""pt"")"),"Kangdong-ŭp")</f>
        <v>Kangdong-ŭp</v>
      </c>
      <c r="B25169" s="20" t="s">
        <v>34446</v>
      </c>
      <c r="C25169" s="20" t="s">
        <v>19589</v>
      </c>
      <c r="D25169" s="20" t="s">
        <v>19610</v>
      </c>
      <c r="E25169" s="10">
        <v>1876153</v>
      </c>
      <c r="F25169" s="4" t="str">
        <f>IF(B25169=B25168,"",B25169)</f>
        <v>Kangdong-ŭp</v>
      </c>
    </row>
    <row r="25170" spans="1:6" ht="15.75" customHeight="1">
      <c r="A25170" s="16" t="s">
        <v>19634</v>
      </c>
      <c r="B25170" s="15" t="s">
        <v>19635</v>
      </c>
      <c r="C25170" s="16" t="s">
        <v>19589</v>
      </c>
      <c r="D25170" s="16" t="s">
        <v>19610</v>
      </c>
      <c r="E25170" s="2">
        <v>1876153</v>
      </c>
      <c r="F25170" s="4" t="e">
        <f>IF(B25170=#REF!,"",B25170)</f>
        <v>#REF!</v>
      </c>
    </row>
    <row r="25171" spans="1:6" ht="15.75" customHeight="1">
      <c r="A25171" s="15" t="s">
        <v>4849</v>
      </c>
      <c r="B25171" s="15" t="s">
        <v>4849</v>
      </c>
      <c r="C25171" s="15" t="s">
        <v>4487</v>
      </c>
      <c r="D25171" s="15" t="s">
        <v>4588</v>
      </c>
      <c r="E25171" s="2">
        <v>1802171</v>
      </c>
      <c r="F25171" s="4" t="e">
        <f>IF(B25171=#REF!,"",B25171)</f>
        <v>#REF!</v>
      </c>
    </row>
    <row r="25172" spans="1:6" ht="15.75" customHeight="1">
      <c r="A25172" s="16" t="s">
        <v>11846</v>
      </c>
      <c r="B25172" s="15" t="s">
        <v>11846</v>
      </c>
      <c r="C25172" s="16" t="s">
        <v>10178</v>
      </c>
      <c r="D25172" s="16" t="s">
        <v>10196</v>
      </c>
      <c r="E25172" s="2">
        <v>1268095</v>
      </c>
      <c r="F25172" s="4" t="str">
        <f>IF(B25172=B25171,"",B25172)</f>
        <v>Kangayam</v>
      </c>
    </row>
    <row r="25173" spans="1:6" ht="15.75" customHeight="1">
      <c r="A25173" s="16" t="str">
        <f ca="1">IFERROR(__xludf.DUMMYFUNCTION("GOOGLETRANSLATE(B34437,""en"",""pt"")"),"Kangāvar")</f>
        <v>Kangāvar</v>
      </c>
      <c r="B25173" s="20" t="s">
        <v>34189</v>
      </c>
      <c r="C25173" s="20" t="s">
        <v>14240</v>
      </c>
      <c r="D25173" s="20" t="s">
        <v>34120</v>
      </c>
      <c r="E25173" s="10">
        <v>128831</v>
      </c>
      <c r="F25173" s="4" t="e">
        <f>IF(B25173=#REF!,"",B25173)</f>
        <v>#REF!</v>
      </c>
    </row>
    <row r="25174" spans="1:6" ht="15.75" customHeight="1">
      <c r="A25174" s="16" t="s">
        <v>6986</v>
      </c>
      <c r="B25174" s="15" t="s">
        <v>6986</v>
      </c>
      <c r="C25174" s="16" t="s">
        <v>6948</v>
      </c>
      <c r="D25174" s="16" t="s">
        <v>6987</v>
      </c>
      <c r="E25174" s="2">
        <v>654440</v>
      </c>
      <c r="F25174" s="4" t="e">
        <f>IF(B25174=#REF!,"",B25174)</f>
        <v>#REF!</v>
      </c>
    </row>
    <row r="25175" spans="1:6" ht="15.75" customHeight="1">
      <c r="A25175" s="15" t="s">
        <v>17492</v>
      </c>
      <c r="B25175" s="15" t="s">
        <v>17492</v>
      </c>
      <c r="C25175" s="15" t="s">
        <v>17432</v>
      </c>
      <c r="D25175" s="15" t="s">
        <v>17493</v>
      </c>
      <c r="E25175" s="2">
        <v>1736278</v>
      </c>
      <c r="F25175" s="4" t="e">
        <f>IF(B25175=#REF!,"",B25175)</f>
        <v>#REF!</v>
      </c>
    </row>
    <row r="25176" spans="1:6" ht="15.75" customHeight="1">
      <c r="A25176" s="16" t="s">
        <v>20004</v>
      </c>
      <c r="B25176" s="15" t="s">
        <v>20004</v>
      </c>
      <c r="C25176" s="16" t="s">
        <v>19808</v>
      </c>
      <c r="D25176" s="16" t="s">
        <v>10184</v>
      </c>
      <c r="E25176" s="2">
        <v>1174984</v>
      </c>
      <c r="F25176" s="4" t="e">
        <f>IF(B25176=#REF!,"",B25176)</f>
        <v>#REF!</v>
      </c>
    </row>
    <row r="25177" spans="1:6" ht="15.75" customHeight="1">
      <c r="A25177" s="15" t="s">
        <v>17607</v>
      </c>
      <c r="B25177" s="15" t="s">
        <v>17607</v>
      </c>
      <c r="C25177" s="15" t="s">
        <v>17596</v>
      </c>
      <c r="D25177" s="15" t="s">
        <v>17600</v>
      </c>
      <c r="E25177" s="2">
        <v>2455735</v>
      </c>
      <c r="F25177" s="4" t="str">
        <f>IF(B25177=B25176,"",B25177)</f>
        <v>Kangaba</v>
      </c>
    </row>
    <row r="25178" spans="1:6" ht="15.75" customHeight="1">
      <c r="A25178" s="15" t="s">
        <v>14425</v>
      </c>
      <c r="B25178" s="15" t="s">
        <v>14426</v>
      </c>
      <c r="C25178" s="15" t="s">
        <v>14240</v>
      </c>
      <c r="D25178" s="15" t="s">
        <v>14401</v>
      </c>
      <c r="E25178" s="2">
        <v>128831</v>
      </c>
      <c r="F25178" s="4" t="e">
        <f>IF(B25178=#REF!,"",B25178)</f>
        <v>#REF!</v>
      </c>
    </row>
    <row r="25179" spans="1:6" ht="15.75" customHeight="1">
      <c r="A25179" s="16" t="s">
        <v>22471</v>
      </c>
      <c r="B25179" s="15" t="s">
        <v>22471</v>
      </c>
      <c r="C25179" s="16" t="s">
        <v>22070</v>
      </c>
      <c r="D25179" s="16" t="s">
        <v>22077</v>
      </c>
      <c r="E25179" s="2">
        <v>553152</v>
      </c>
      <c r="F25179" s="4" t="e">
        <f>IF(B25179=#REF!,"",B25179)</f>
        <v>#REF!</v>
      </c>
    </row>
    <row r="25180" spans="1:6" ht="15.75" customHeight="1">
      <c r="A25180" s="16" t="s">
        <v>16091</v>
      </c>
      <c r="B25180" s="15" t="s">
        <v>16092</v>
      </c>
      <c r="C25180" s="16" t="s">
        <v>15704</v>
      </c>
      <c r="D25180" s="16" t="s">
        <v>15731</v>
      </c>
      <c r="E25180" s="2">
        <v>1860211</v>
      </c>
      <c r="F25180" s="4" t="str">
        <f>IF(B25180=B25179,"",B25180)</f>
        <v>Kanekomachi</v>
      </c>
    </row>
    <row r="25181" spans="1:6" ht="15.75" customHeight="1">
      <c r="A25181" s="16" t="str">
        <f ca="1">IFERROR(__xludf.DUMMYFUNCTION("GOOGLETRANSLATE(B45402,""en"",""pt"")"),"Kāne‘ohe")</f>
        <v>Kāne‘ohe</v>
      </c>
      <c r="B25181" s="20" t="s">
        <v>36052</v>
      </c>
      <c r="C25181" s="20" t="s">
        <v>27788</v>
      </c>
      <c r="D25181" s="20" t="s">
        <v>27789</v>
      </c>
      <c r="E25181" s="10">
        <v>5848189</v>
      </c>
      <c r="F25181" s="4" t="e">
        <f>IF(B25181=#REF!,"",B25181)</f>
        <v>#REF!</v>
      </c>
    </row>
    <row r="25182" spans="1:6" ht="15.75" customHeight="1">
      <c r="A25182" s="16" t="s">
        <v>16714</v>
      </c>
      <c r="B25182" s="15" t="s">
        <v>16714</v>
      </c>
      <c r="C25182" s="16" t="s">
        <v>16671</v>
      </c>
      <c r="D25182" s="16" t="s">
        <v>16686</v>
      </c>
      <c r="E25182" s="2">
        <v>608679</v>
      </c>
      <c r="F25182" s="4" t="e">
        <f>IF(B25182=#REF!,"",B25182)</f>
        <v>#REF!</v>
      </c>
    </row>
    <row r="25183" spans="1:6" ht="15.75" customHeight="1">
      <c r="A25183" s="15" t="s">
        <v>24955</v>
      </c>
      <c r="B25183" s="15" t="s">
        <v>24955</v>
      </c>
      <c r="C25183" s="15" t="s">
        <v>24924</v>
      </c>
      <c r="D25183" s="15" t="s">
        <v>1886</v>
      </c>
      <c r="E25183" s="2">
        <v>1241622</v>
      </c>
      <c r="F25183" s="4" t="str">
        <f>IF(B25183=B25182,"",B25183)</f>
        <v>Kandy</v>
      </c>
    </row>
    <row r="25184" spans="1:6" ht="15.75" customHeight="1">
      <c r="A25184" s="16" t="str">
        <f ca="1">IFERROR(__xludf.DUMMYFUNCTION("GOOGLETRANSLATE(B33160,""en"",""pt"")"),"Kandukūr")</f>
        <v>Kandukūr</v>
      </c>
      <c r="B25184" s="20" t="s">
        <v>33563</v>
      </c>
      <c r="C25184" s="20" t="s">
        <v>10178</v>
      </c>
      <c r="D25184" s="20" t="s">
        <v>10190</v>
      </c>
      <c r="E25184" s="10">
        <v>1268111</v>
      </c>
      <c r="F25184" s="4" t="str">
        <f>IF(B25184=B25183,"",B25184)</f>
        <v>Kandukūr</v>
      </c>
    </row>
    <row r="25185" spans="1:6" ht="15.75" customHeight="1">
      <c r="A25185" s="16" t="s">
        <v>11844</v>
      </c>
      <c r="B25185" s="15" t="s">
        <v>11845</v>
      </c>
      <c r="C25185" s="16" t="s">
        <v>10178</v>
      </c>
      <c r="D25185" s="16" t="s">
        <v>10190</v>
      </c>
      <c r="E25185" s="2">
        <v>1268111</v>
      </c>
      <c r="F25185" s="4" t="str">
        <f>IF(B25185=B25184,"",B25185)</f>
        <v>KandukÅ«r</v>
      </c>
    </row>
    <row r="25186" spans="1:6" ht="15.75" customHeight="1">
      <c r="A25186" s="16" t="str">
        <f ca="1">IFERROR(__xludf.DUMMYFUNCTION("GOOGLETRANSLATE(B33161,""en"",""pt"")"),"Kāndla")</f>
        <v>Kāndla</v>
      </c>
      <c r="B25186" s="20" t="s">
        <v>33564</v>
      </c>
      <c r="C25186" s="20" t="s">
        <v>10178</v>
      </c>
      <c r="D25186" s="20" t="s">
        <v>10209</v>
      </c>
      <c r="E25186" s="10">
        <v>1268124</v>
      </c>
      <c r="F25186" s="4" t="str">
        <f>IF(B25186=B25185,"",B25186)</f>
        <v>Kāndla</v>
      </c>
    </row>
    <row r="25187" spans="1:6" ht="15.75" customHeight="1">
      <c r="A25187" s="16" t="str">
        <f ca="1">IFERROR(__xludf.DUMMYFUNCTION("GOOGLETRANSLATE(B39045,""en"",""pt"")"),"Kandiāro")</f>
        <v>Kandiāro</v>
      </c>
      <c r="B25187" s="20" t="s">
        <v>34989</v>
      </c>
      <c r="C25187" s="20" t="s">
        <v>19808</v>
      </c>
      <c r="D25187" s="20" t="s">
        <v>19823</v>
      </c>
      <c r="E25187" s="10">
        <v>1175010</v>
      </c>
      <c r="F25187" s="4" t="str">
        <f>IF(B25187=B25186,"",B25187)</f>
        <v>Kandiāro</v>
      </c>
    </row>
    <row r="25188" spans="1:6" ht="15.75" customHeight="1">
      <c r="A25188" s="16" t="s">
        <v>20002</v>
      </c>
      <c r="B25188" s="15" t="s">
        <v>20003</v>
      </c>
      <c r="C25188" s="16" t="s">
        <v>19808</v>
      </c>
      <c r="D25188" s="16" t="s">
        <v>19823</v>
      </c>
      <c r="E25188" s="2">
        <v>1175010</v>
      </c>
      <c r="F25188" s="4" t="str">
        <f>IF(B25188=B25187,"",B25188)</f>
        <v>KandiÄro</v>
      </c>
    </row>
    <row r="25189" spans="1:6" ht="15.75" customHeight="1">
      <c r="A25189" s="16" t="str">
        <f ca="1">IFERROR(__xludf.DUMMYFUNCTION("GOOGLETRANSLATE(B33162,""en"",""pt"")"),"Kāndi")</f>
        <v>Kāndi</v>
      </c>
      <c r="B25189" s="20" t="s">
        <v>33565</v>
      </c>
      <c r="C25189" s="20" t="s">
        <v>10178</v>
      </c>
      <c r="D25189" s="20" t="s">
        <v>10201</v>
      </c>
      <c r="E25189" s="10">
        <v>1268135</v>
      </c>
      <c r="F25189" s="4" t="e">
        <f>IF(B25189=#REF!,"",B25189)</f>
        <v>#REF!</v>
      </c>
    </row>
    <row r="25190" spans="1:6" ht="15.75" customHeight="1">
      <c r="A25190" s="15" t="s">
        <v>1772</v>
      </c>
      <c r="B25190" s="15" t="s">
        <v>1772</v>
      </c>
      <c r="C25190" s="15" t="s">
        <v>1741</v>
      </c>
      <c r="D25190" s="15" t="s">
        <v>1750</v>
      </c>
      <c r="E25190" s="2">
        <v>2393693</v>
      </c>
      <c r="F25190" s="4" t="str">
        <f>IF(B25190=B25189,"",B25190)</f>
        <v>Kandi</v>
      </c>
    </row>
    <row r="25191" spans="1:6" ht="15.75" customHeight="1">
      <c r="A25191" s="16" t="str">
        <f ca="1">IFERROR(__xludf.DUMMYFUNCTION("GOOGLETRANSLATE(B33163,""en"",""pt"")"),"Kāndhla")</f>
        <v>Kāndhla</v>
      </c>
      <c r="B25191" s="20" t="s">
        <v>33566</v>
      </c>
      <c r="C25191" s="20" t="s">
        <v>10178</v>
      </c>
      <c r="D25191" s="20" t="s">
        <v>10193</v>
      </c>
      <c r="E25191" s="10">
        <v>1268138</v>
      </c>
      <c r="F25191" s="4" t="e">
        <f>IF(B25191=#REF!,"",B25191)</f>
        <v>#REF!</v>
      </c>
    </row>
    <row r="25192" spans="1:6" ht="15.75" customHeight="1">
      <c r="A25192" s="15" t="s">
        <v>20001</v>
      </c>
      <c r="B25192" s="15" t="s">
        <v>20001</v>
      </c>
      <c r="C25192" s="15" t="s">
        <v>19808</v>
      </c>
      <c r="D25192" s="15" t="s">
        <v>19823</v>
      </c>
      <c r="E25192" s="2">
        <v>1175021</v>
      </c>
      <c r="F25192" s="4" t="e">
        <f>IF(B25192=#REF!,"",B25192)</f>
        <v>#REF!</v>
      </c>
    </row>
    <row r="25193" spans="1:6" ht="15.75" customHeight="1">
      <c r="A25193" s="15" t="s">
        <v>24954</v>
      </c>
      <c r="B25193" s="15" t="s">
        <v>24954</v>
      </c>
      <c r="C25193" s="15" t="s">
        <v>24924</v>
      </c>
      <c r="D25193" s="15" t="s">
        <v>6944</v>
      </c>
      <c r="E25193" s="2">
        <v>1241750</v>
      </c>
      <c r="F25193" s="4" t="e">
        <f>IF(B25193=#REF!,"",B25193)</f>
        <v>#REF!</v>
      </c>
    </row>
    <row r="25194" spans="1:6" ht="15.75" customHeight="1">
      <c r="A25194" s="16" t="s">
        <v>22470</v>
      </c>
      <c r="B25194" s="15" t="s">
        <v>22470</v>
      </c>
      <c r="C25194" s="16" t="s">
        <v>22070</v>
      </c>
      <c r="D25194" s="16" t="s">
        <v>22143</v>
      </c>
      <c r="E25194" s="2">
        <v>553190</v>
      </c>
      <c r="F25194" s="4" t="str">
        <f>IF(B25194=B25193,"",B25194)</f>
        <v>Kandalaksha</v>
      </c>
    </row>
    <row r="25195" spans="1:6" ht="15.75" customHeight="1">
      <c r="A25195" s="16" t="str">
        <f ca="1">IFERROR(__xludf.DUMMYFUNCTION("GOOGLETRANSLATE(B23079,""en"",""pt"")"),"Kandahār")</f>
        <v>Kandahār</v>
      </c>
      <c r="B25195" s="20" t="s">
        <v>31128</v>
      </c>
      <c r="C25195" s="20" t="s">
        <v>8</v>
      </c>
      <c r="D25195" s="20" t="s">
        <v>31128</v>
      </c>
      <c r="E25195" s="10">
        <v>1138336</v>
      </c>
      <c r="F25195" s="4" t="str">
        <f>IF(B25195=B25194,"",B25195)</f>
        <v>Kandahār</v>
      </c>
    </row>
    <row r="25196" spans="1:6" ht="15.75" customHeight="1">
      <c r="A25196" s="16" t="s">
        <v>60</v>
      </c>
      <c r="B25196" s="15" t="s">
        <v>61</v>
      </c>
      <c r="C25196" s="16" t="s">
        <v>8</v>
      </c>
      <c r="D25196" s="16" t="s">
        <v>61</v>
      </c>
      <c r="E25196" s="2">
        <v>1138336</v>
      </c>
      <c r="F25196" s="4" t="e">
        <f>IF(B25196=#REF!,"",B25196)</f>
        <v>#REF!</v>
      </c>
    </row>
    <row r="25197" spans="1:6" ht="15.75" customHeight="1">
      <c r="A25197" s="15" t="s">
        <v>16090</v>
      </c>
      <c r="B25197" s="15" t="s">
        <v>16090</v>
      </c>
      <c r="C25197" s="15" t="s">
        <v>15704</v>
      </c>
      <c r="D25197" s="15" t="s">
        <v>15722</v>
      </c>
      <c r="E25197" s="2">
        <v>1860234</v>
      </c>
      <c r="F25197" s="4" t="str">
        <f>IF(B25197=B25196,"",B25197)</f>
        <v>Kanda</v>
      </c>
    </row>
    <row r="25198" spans="1:6" ht="15.75" customHeight="1">
      <c r="A25198" s="16" t="str">
        <f ca="1">IFERROR(__xludf.DUMMYFUNCTION("GOOGLETRANSLATE(B33211,""en"",""pt"")"),"Kānchrāpāra")</f>
        <v>Kānchrāpāra</v>
      </c>
      <c r="B25198" s="20" t="s">
        <v>33594</v>
      </c>
      <c r="C25198" s="20" t="s">
        <v>10178</v>
      </c>
      <c r="D25198" s="20" t="s">
        <v>10201</v>
      </c>
      <c r="E25198" s="10">
        <v>1268715</v>
      </c>
      <c r="F25198" s="4" t="str">
        <f>IF(B25198=B25197,"",B25198)</f>
        <v>Kānchrāpāra</v>
      </c>
    </row>
    <row r="25199" spans="1:6" ht="15.75" customHeight="1">
      <c r="A25199" s="16" t="str">
        <f ca="1">IFERROR(__xludf.DUMMYFUNCTION("GOOGLETRANSLATE(B33164,""en"",""pt"")"),"Kānchipuram")</f>
        <v>Kānchipuram</v>
      </c>
      <c r="B25199" s="20" t="s">
        <v>33567</v>
      </c>
      <c r="C25199" s="20" t="s">
        <v>10178</v>
      </c>
      <c r="D25199" s="20" t="s">
        <v>10196</v>
      </c>
      <c r="E25199" s="10">
        <v>1268159</v>
      </c>
      <c r="F25199" s="4" t="e">
        <f>IF(B25199=#REF!,"",B25199)</f>
        <v>#REF!</v>
      </c>
    </row>
    <row r="25200" spans="1:6" ht="15.75" customHeight="1">
      <c r="A25200" s="16" t="s">
        <v>25851</v>
      </c>
      <c r="B25200" s="15" t="s">
        <v>25851</v>
      </c>
      <c r="C25200" s="16" t="s">
        <v>25771</v>
      </c>
      <c r="D25200" s="16" t="s">
        <v>25851</v>
      </c>
      <c r="E25200" s="2">
        <v>1153081</v>
      </c>
      <c r="F25200" s="4" t="e">
        <f>IF(B25200=#REF!,"",B25200)</f>
        <v>#REF!</v>
      </c>
    </row>
    <row r="25201" spans="1:6" ht="15.75" customHeight="1">
      <c r="A25201" s="15" t="s">
        <v>18711</v>
      </c>
      <c r="B25201" s="15" t="s">
        <v>18711</v>
      </c>
      <c r="C25201" s="15" t="s">
        <v>18696</v>
      </c>
      <c r="D25201" s="15" t="s">
        <v>18712</v>
      </c>
      <c r="E25201" s="2">
        <v>1320944</v>
      </c>
      <c r="F25201" s="4" t="e">
        <f>IF(B25201=#REF!,"",B25201)</f>
        <v>#REF!</v>
      </c>
    </row>
    <row r="25202" spans="1:6" ht="15.75" customHeight="1">
      <c r="A25202" s="16" t="s">
        <v>16089</v>
      </c>
      <c r="B25202" s="15" t="s">
        <v>16089</v>
      </c>
      <c r="C25202" s="16" t="s">
        <v>15704</v>
      </c>
      <c r="D25202" s="16" t="s">
        <v>15928</v>
      </c>
      <c r="E25202" s="2">
        <v>1860243</v>
      </c>
      <c r="F25202" s="4" t="e">
        <f>IF(B25202=#REF!,"",B25202)</f>
        <v>#REF!</v>
      </c>
    </row>
    <row r="25203" spans="1:6" ht="15.75" customHeight="1">
      <c r="A25203" s="15" t="s">
        <v>16088</v>
      </c>
      <c r="B25203" s="15" t="s">
        <v>16088</v>
      </c>
      <c r="C25203" s="15" t="s">
        <v>15704</v>
      </c>
      <c r="D25203" s="15" t="s">
        <v>15809</v>
      </c>
      <c r="E25203" s="2">
        <v>1860256</v>
      </c>
      <c r="F25203" s="4" t="str">
        <f>IF(B25203=B25202,"",B25203)</f>
        <v>Kanaya</v>
      </c>
    </row>
    <row r="25204" spans="1:6" ht="15.75" customHeight="1">
      <c r="A25204" s="16" t="str">
        <f ca="1">IFERROR(__xludf.DUMMYFUNCTION("GOOGLETRANSLATE(B36999,""en"",""pt"")"),"Kanasín")</f>
        <v>Kanasín</v>
      </c>
      <c r="B25204" s="20" t="s">
        <v>34693</v>
      </c>
      <c r="C25204" s="20" t="s">
        <v>17707</v>
      </c>
      <c r="D25204" s="20" t="s">
        <v>34661</v>
      </c>
      <c r="E25204" s="10">
        <v>3526323</v>
      </c>
      <c r="F25204" s="4" t="e">
        <f>IF(B25204=#REF!,"",B25204)</f>
        <v>#REF!</v>
      </c>
    </row>
    <row r="25205" spans="1:6" ht="15.75" customHeight="1">
      <c r="A25205" s="15" t="s">
        <v>22469</v>
      </c>
      <c r="B25205" s="15" t="s">
        <v>22469</v>
      </c>
      <c r="C25205" s="15" t="s">
        <v>22070</v>
      </c>
      <c r="D25205" s="15" t="s">
        <v>22109</v>
      </c>
      <c r="E25205" s="2">
        <v>553216</v>
      </c>
      <c r="F25205" s="4" t="str">
        <f>IF(B25205=B25204,"",B25205)</f>
        <v>Kanash</v>
      </c>
    </row>
    <row r="25206" spans="1:6" ht="15.75" customHeight="1">
      <c r="A25206" s="15" t="s">
        <v>18030</v>
      </c>
      <c r="B25206" s="15" t="s">
        <v>18031</v>
      </c>
      <c r="C25206" s="15" t="s">
        <v>17707</v>
      </c>
      <c r="D25206" s="15" t="s">
        <v>17823</v>
      </c>
      <c r="E25206" s="2">
        <v>3526323</v>
      </c>
      <c r="F25206" s="4" t="e">
        <f>IF(B25206=#REF!,"",B25206)</f>
        <v>#REF!</v>
      </c>
    </row>
    <row r="25207" spans="1:6" ht="15.75" customHeight="1">
      <c r="A25207" s="15" t="s">
        <v>6165</v>
      </c>
      <c r="B25207" s="15" t="s">
        <v>6165</v>
      </c>
      <c r="C25207" s="15" t="s">
        <v>6127</v>
      </c>
      <c r="D25207" s="15" t="s">
        <v>6148</v>
      </c>
      <c r="E25207" s="2">
        <v>214481</v>
      </c>
      <c r="F25207" s="4" t="e">
        <f>IF(B25207=#REF!,"",B25207)</f>
        <v>#REF!</v>
      </c>
    </row>
    <row r="25208" spans="1:6" ht="15.75" customHeight="1">
      <c r="A25208" s="16" t="s">
        <v>11843</v>
      </c>
      <c r="B25208" s="15" t="s">
        <v>11843</v>
      </c>
      <c r="C25208" s="16" t="s">
        <v>10178</v>
      </c>
      <c r="D25208" s="16" t="s">
        <v>10252</v>
      </c>
      <c r="E25208" s="2">
        <v>1268189</v>
      </c>
      <c r="F25208" s="4" t="str">
        <f>IF(B25208=B25207,"",B25208)</f>
        <v>Kanakapura</v>
      </c>
    </row>
    <row r="25209" spans="1:6" ht="15.75" customHeight="1">
      <c r="A25209" s="16" t="s">
        <v>16085</v>
      </c>
      <c r="B25209" s="15" t="s">
        <v>16086</v>
      </c>
      <c r="C25209" s="16" t="s">
        <v>15704</v>
      </c>
      <c r="D25209" s="16" t="s">
        <v>16087</v>
      </c>
      <c r="E25209" s="2">
        <v>1860122</v>
      </c>
      <c r="F25209" s="4" t="str">
        <f>IF(B25209=B25208,"",B25209)</f>
        <v>Kanâ€™onjichÅ</v>
      </c>
    </row>
    <row r="25210" spans="1:6" ht="15.75" customHeight="1">
      <c r="A25210" s="16" t="str">
        <f ca="1">IFERROR(__xludf.DUMMYFUNCTION("GOOGLETRANSLATE(B35520,""en"",""pt"")"),"Kan'onjichō")</f>
        <v>Kan'onjichō</v>
      </c>
      <c r="B25210" s="20" t="s">
        <v>34360</v>
      </c>
      <c r="C25210" s="20" t="s">
        <v>15704</v>
      </c>
      <c r="D25210" s="20" t="s">
        <v>16087</v>
      </c>
      <c r="E25210" s="10">
        <v>1860122</v>
      </c>
      <c r="F25210" s="4" t="e">
        <f>IF(B25210=#REF!,"",B25210)</f>
        <v>#REF!</v>
      </c>
    </row>
    <row r="25211" spans="1:6" ht="15.75" customHeight="1">
      <c r="A25211" s="15" t="s">
        <v>22468</v>
      </c>
      <c r="B25211" s="15" t="s">
        <v>22468</v>
      </c>
      <c r="C25211" s="15" t="s">
        <v>22070</v>
      </c>
      <c r="D25211" s="15" t="s">
        <v>22096</v>
      </c>
      <c r="E25211" s="2">
        <v>553248</v>
      </c>
      <c r="F25211" s="4" t="e">
        <f>IF(B25211=#REF!,"",B25211)</f>
        <v>#REF!</v>
      </c>
    </row>
    <row r="25212" spans="1:6" ht="15.75" customHeight="1">
      <c r="A25212" s="16" t="s">
        <v>22467</v>
      </c>
      <c r="B25212" s="15" t="s">
        <v>22467</v>
      </c>
      <c r="C25212" s="16" t="s">
        <v>22070</v>
      </c>
      <c r="D25212" s="16" t="s">
        <v>22106</v>
      </c>
      <c r="E25212" s="2">
        <v>1504769</v>
      </c>
      <c r="F25212" s="4" t="e">
        <f>IF(B25212=#REF!,"",B25212)</f>
        <v>#REF!</v>
      </c>
    </row>
    <row r="25213" spans="1:6" ht="15.75" customHeight="1">
      <c r="A25213" s="15" t="s">
        <v>22466</v>
      </c>
      <c r="B25213" s="15" t="s">
        <v>22466</v>
      </c>
      <c r="C25213" s="15" t="s">
        <v>22070</v>
      </c>
      <c r="D25213" s="15" t="s">
        <v>22351</v>
      </c>
      <c r="E25213" s="2">
        <v>553287</v>
      </c>
      <c r="F25213" s="4" t="str">
        <f>IF(B25213=B25212,"",B25213)</f>
        <v>Kamyshin</v>
      </c>
    </row>
    <row r="25214" spans="1:6" ht="15.75" customHeight="1">
      <c r="A25214" s="16" t="str">
        <f ca="1">IFERROR(__xludf.DUMMYFUNCTION("GOOGLETRANSLATE(B34438,""en"",""pt"")"),"Kāmyārān")</f>
        <v>Kāmyārān</v>
      </c>
      <c r="B25214" s="20" t="s">
        <v>34190</v>
      </c>
      <c r="C25214" s="20" t="s">
        <v>14240</v>
      </c>
      <c r="D25214" s="20" t="s">
        <v>34147</v>
      </c>
      <c r="E25214" s="10">
        <v>128905</v>
      </c>
      <c r="F25214" s="4" t="e">
        <f>IF(B25214=#REF!,"",B25214)</f>
        <v>#REF!</v>
      </c>
    </row>
    <row r="25215" spans="1:6" ht="15.75" customHeight="1">
      <c r="A25215" s="16" t="s">
        <v>26838</v>
      </c>
      <c r="B25215" s="15" t="s">
        <v>26838</v>
      </c>
      <c r="C25215" s="16" t="s">
        <v>26820</v>
      </c>
      <c r="D25215" s="16" t="s">
        <v>18803</v>
      </c>
      <c r="E25215" s="2">
        <v>232371</v>
      </c>
      <c r="F25215" s="4" t="str">
        <f>IF(B25215=B25214,"",B25215)</f>
        <v>Kamwenge</v>
      </c>
    </row>
    <row r="25216" spans="1:6" ht="15.75" customHeight="1">
      <c r="A25216" s="16" t="str">
        <f ca="1">IFERROR(__xludf.DUMMYFUNCTION("GOOGLETRANSLATE(B33166,""en"",""pt"")"),"Kāmthi")</f>
        <v>Kāmthi</v>
      </c>
      <c r="B25216" s="20" t="s">
        <v>33568</v>
      </c>
      <c r="C25216" s="20" t="s">
        <v>10178</v>
      </c>
      <c r="D25216" s="20" t="s">
        <v>10214</v>
      </c>
      <c r="E25216" s="10">
        <v>1268205</v>
      </c>
      <c r="F25216" s="4" t="e">
        <f>IF(B25216=#REF!,"",B25216)</f>
        <v>#REF!</v>
      </c>
    </row>
    <row r="25217" spans="1:6" ht="15.75" customHeight="1">
      <c r="A25217" s="15" t="s">
        <v>9835</v>
      </c>
      <c r="B25217" s="15" t="s">
        <v>9835</v>
      </c>
      <c r="C25217" s="15" t="s">
        <v>9826</v>
      </c>
      <c r="D25217" s="15" t="s">
        <v>9827</v>
      </c>
      <c r="E25217" s="2">
        <v>2420056</v>
      </c>
      <c r="F25217" s="4" t="str">
        <f>IF(B25217=B25216,"",B25217)</f>
        <v>Kamsar</v>
      </c>
    </row>
    <row r="25218" spans="1:6" ht="15.75" customHeight="1">
      <c r="A25218" s="16" t="str">
        <f ca="1">IFERROR(__xludf.DUMMYFUNCTION("GOOGLETRANSLATE(B39047,""en"",""pt"")"),"Kāmra")</f>
        <v>Kāmra</v>
      </c>
      <c r="B25218" s="20" t="s">
        <v>34990</v>
      </c>
      <c r="C25218" s="20" t="s">
        <v>19808</v>
      </c>
      <c r="D25218" s="20" t="s">
        <v>10184</v>
      </c>
      <c r="E25218" s="10">
        <v>1175082</v>
      </c>
      <c r="F25218" s="4" t="e">
        <f>IF(B25218=#REF!,"",B25218)</f>
        <v>#REF!</v>
      </c>
    </row>
    <row r="25219" spans="1:6" ht="15.75" customHeight="1">
      <c r="A25219" s="16" t="s">
        <v>17491</v>
      </c>
      <c r="B25219" s="15" t="s">
        <v>17491</v>
      </c>
      <c r="C25219" s="16" t="s">
        <v>17432</v>
      </c>
      <c r="D25219" s="16" t="s">
        <v>17446</v>
      </c>
      <c r="E25219" s="2">
        <v>1763412</v>
      </c>
      <c r="F25219" s="4" t="e">
        <f>IF(B25219=#REF!,"",B25219)</f>
        <v>#REF!</v>
      </c>
    </row>
    <row r="25220" spans="1:6" ht="15.75" customHeight="1">
      <c r="A25220" s="16" t="s">
        <v>17490</v>
      </c>
      <c r="B25220" s="15" t="s">
        <v>17490</v>
      </c>
      <c r="C25220" s="16" t="s">
        <v>17432</v>
      </c>
      <c r="D25220" s="16" t="s">
        <v>17461</v>
      </c>
      <c r="E25220" s="2">
        <v>1764160</v>
      </c>
      <c r="F25220" s="4" t="e">
        <f>IF(B25220=#REF!,"",B25220)</f>
        <v>#REF!</v>
      </c>
    </row>
    <row r="25221" spans="1:6" ht="15.75" customHeight="1">
      <c r="A25221" s="16" t="s">
        <v>17489</v>
      </c>
      <c r="B25221" s="15" t="s">
        <v>17489</v>
      </c>
      <c r="C25221" s="16" t="s">
        <v>17432</v>
      </c>
      <c r="D25221" s="16" t="s">
        <v>17442</v>
      </c>
      <c r="E25221" s="2">
        <v>1764318</v>
      </c>
      <c r="F25221" s="4" t="e">
        <f>IF(B25221=#REF!,"",B25221)</f>
        <v>#REF!</v>
      </c>
    </row>
    <row r="25222" spans="1:6" ht="15.75" customHeight="1">
      <c r="A25222" s="16" t="s">
        <v>17488</v>
      </c>
      <c r="B25222" s="15" t="s">
        <v>17488</v>
      </c>
      <c r="C25222" s="16" t="s">
        <v>17432</v>
      </c>
      <c r="D25222" s="16" t="s">
        <v>17442</v>
      </c>
      <c r="E25222" s="2">
        <v>1732721</v>
      </c>
      <c r="F25222" s="4" t="e">
        <f>IF(B25222=#REF!,"",B25222)</f>
        <v>#REF!</v>
      </c>
    </row>
    <row r="25223" spans="1:6" ht="15.75" customHeight="1">
      <c r="A25223" s="16" t="s">
        <v>17487</v>
      </c>
      <c r="B25223" s="15" t="s">
        <v>17487</v>
      </c>
      <c r="C25223" s="16" t="s">
        <v>17432</v>
      </c>
      <c r="D25223" s="16" t="s">
        <v>17433</v>
      </c>
      <c r="E25223" s="2">
        <v>1770351</v>
      </c>
      <c r="F25223" s="4" t="e">
        <f>IF(B25223=#REF!,"",B25223)</f>
        <v>#REF!</v>
      </c>
    </row>
    <row r="25224" spans="1:6" ht="15.75" customHeight="1">
      <c r="A25224" s="16" t="s">
        <v>17486</v>
      </c>
      <c r="B25224" s="15" t="s">
        <v>17486</v>
      </c>
      <c r="C25224" s="16" t="s">
        <v>17432</v>
      </c>
      <c r="D25224" s="16" t="s">
        <v>17446</v>
      </c>
      <c r="E25224" s="2">
        <v>1771023</v>
      </c>
      <c r="F25224" s="4" t="e">
        <f>IF(B25224=#REF!,"",B25224)</f>
        <v>#REF!</v>
      </c>
    </row>
    <row r="25225" spans="1:6" ht="15.75" customHeight="1">
      <c r="A25225" s="16" t="s">
        <v>17485</v>
      </c>
      <c r="B25225" s="15" t="s">
        <v>17485</v>
      </c>
      <c r="C25225" s="16" t="s">
        <v>17432</v>
      </c>
      <c r="D25225" s="16" t="s">
        <v>17440</v>
      </c>
      <c r="E25225" s="2">
        <v>1771287</v>
      </c>
      <c r="F25225" s="4" t="e">
        <f>IF(B25225=#REF!,"",B25225)</f>
        <v>#REF!</v>
      </c>
    </row>
    <row r="25226" spans="1:6" ht="15.75" customHeight="1">
      <c r="A25226" s="16" t="s">
        <v>17484</v>
      </c>
      <c r="B25226" s="15" t="s">
        <v>17484</v>
      </c>
      <c r="C25226" s="16" t="s">
        <v>17432</v>
      </c>
      <c r="D25226" s="16" t="s">
        <v>17433</v>
      </c>
      <c r="E25226" s="2">
        <v>1771485</v>
      </c>
      <c r="F25226" s="4" t="e">
        <f>IF(B25226=#REF!,"",B25226)</f>
        <v>#REF!</v>
      </c>
    </row>
    <row r="25227" spans="1:6" ht="15.75" customHeight="1">
      <c r="A25227" s="16" t="s">
        <v>17483</v>
      </c>
      <c r="B25227" s="15" t="s">
        <v>17483</v>
      </c>
      <c r="C25227" s="16" t="s">
        <v>17432</v>
      </c>
      <c r="D25227" s="16" t="s">
        <v>17433</v>
      </c>
      <c r="E25227" s="2">
        <v>1734753</v>
      </c>
      <c r="F25227" s="4" t="e">
        <f>IF(B25227=#REF!,"",B25227)</f>
        <v>#REF!</v>
      </c>
    </row>
    <row r="25228" spans="1:6" ht="15.75" customHeight="1">
      <c r="A25228" s="15" t="s">
        <v>3845</v>
      </c>
      <c r="B25228" s="15" t="s">
        <v>3845</v>
      </c>
      <c r="C25228" s="15" t="s">
        <v>3838</v>
      </c>
      <c r="D25228" s="15" t="s">
        <v>3845</v>
      </c>
      <c r="E25228" s="2">
        <v>1831112</v>
      </c>
      <c r="F25228" s="4" t="e">
        <f>IF(B25228=#REF!,"",B25228)</f>
        <v>#REF!</v>
      </c>
    </row>
    <row r="25229" spans="1:6" ht="15.75" customHeight="1">
      <c r="A25229" s="16" t="s">
        <v>3844</v>
      </c>
      <c r="B25229" s="15" t="s">
        <v>3844</v>
      </c>
      <c r="C25229" s="16" t="s">
        <v>3838</v>
      </c>
      <c r="D25229" s="16" t="s">
        <v>3844</v>
      </c>
      <c r="E25229" s="2">
        <v>1831125</v>
      </c>
      <c r="F25229" s="4" t="e">
        <f>IF(B25229=#REF!,"",B25229)</f>
        <v>#REF!</v>
      </c>
    </row>
    <row r="25230" spans="1:6" ht="15.75" customHeight="1">
      <c r="A25230" s="16" t="s">
        <v>3843</v>
      </c>
      <c r="B25230" s="15" t="s">
        <v>3843</v>
      </c>
      <c r="C25230" s="16" t="s">
        <v>3838</v>
      </c>
      <c r="D25230" s="16" t="s">
        <v>3843</v>
      </c>
      <c r="E25230" s="2">
        <v>1831133</v>
      </c>
      <c r="F25230" s="4" t="e">
        <f>IF(B25230=#REF!,"",B25230)</f>
        <v>#REF!</v>
      </c>
    </row>
    <row r="25231" spans="1:6" ht="15.75" customHeight="1">
      <c r="A25231" s="16" t="s">
        <v>17482</v>
      </c>
      <c r="B25231" s="15" t="s">
        <v>17482</v>
      </c>
      <c r="C25231" s="16" t="s">
        <v>17432</v>
      </c>
      <c r="D25231" s="16" t="s">
        <v>17469</v>
      </c>
      <c r="E25231" s="2">
        <v>1766249</v>
      </c>
      <c r="F25231" s="4" t="e">
        <f>IF(B25231=#REF!,"",B25231)</f>
        <v>#REF!</v>
      </c>
    </row>
    <row r="25232" spans="1:6" ht="15.75" customHeight="1">
      <c r="A25232" s="16" t="s">
        <v>17481</v>
      </c>
      <c r="B25232" s="15" t="s">
        <v>17481</v>
      </c>
      <c r="C25232" s="16" t="s">
        <v>17432</v>
      </c>
      <c r="D25232" s="16" t="s">
        <v>17433</v>
      </c>
      <c r="E25232" s="2">
        <v>1767021</v>
      </c>
      <c r="F25232" s="4" t="e">
        <f>IF(B25232=#REF!,"",B25232)</f>
        <v>#REF!</v>
      </c>
    </row>
    <row r="25233" spans="1:6" ht="15.75" customHeight="1">
      <c r="A25233" s="16" t="s">
        <v>17480</v>
      </c>
      <c r="B25233" s="15" t="s">
        <v>17480</v>
      </c>
      <c r="C25233" s="16" t="s">
        <v>17432</v>
      </c>
      <c r="D25233" s="16" t="s">
        <v>17469</v>
      </c>
      <c r="E25233" s="2">
        <v>1768664</v>
      </c>
      <c r="F25233" s="4" t="e">
        <f>IF(B25233=#REF!,"",B25233)</f>
        <v>#REF!</v>
      </c>
    </row>
    <row r="25234" spans="1:6" ht="15.75" customHeight="1">
      <c r="A25234" s="16" t="s">
        <v>17479</v>
      </c>
      <c r="B25234" s="15" t="s">
        <v>17479</v>
      </c>
      <c r="C25234" s="16" t="s">
        <v>17432</v>
      </c>
      <c r="D25234" s="16" t="s">
        <v>17438</v>
      </c>
      <c r="E25234" s="2">
        <v>1769612</v>
      </c>
      <c r="F25234" s="4" t="e">
        <f>IF(B25234=#REF!,"",B25234)</f>
        <v>#REF!</v>
      </c>
    </row>
    <row r="25235" spans="1:6" ht="15.75" customHeight="1">
      <c r="A25235" s="16" t="s">
        <v>3842</v>
      </c>
      <c r="B25235" s="15" t="s">
        <v>3842</v>
      </c>
      <c r="C25235" s="16" t="s">
        <v>3838</v>
      </c>
      <c r="D25235" s="16" t="s">
        <v>3842</v>
      </c>
      <c r="E25235" s="2">
        <v>1831167</v>
      </c>
      <c r="F25235" s="4" t="e">
        <f>IF(B25235=#REF!,"",B25235)</f>
        <v>#REF!</v>
      </c>
    </row>
    <row r="25236" spans="1:6" ht="15.75" customHeight="1">
      <c r="A25236" s="16" t="s">
        <v>3841</v>
      </c>
      <c r="B25236" s="15" t="s">
        <v>3841</v>
      </c>
      <c r="C25236" s="16" t="s">
        <v>3838</v>
      </c>
      <c r="D25236" s="16" t="s">
        <v>3841</v>
      </c>
      <c r="E25236" s="2">
        <v>1831173</v>
      </c>
      <c r="F25236" s="4" t="e">
        <f>IF(B25236=#REF!,"",B25236)</f>
        <v>#REF!</v>
      </c>
    </row>
    <row r="25237" spans="1:6" ht="15.75" customHeight="1">
      <c r="A25237" s="16" t="s">
        <v>17478</v>
      </c>
      <c r="B25237" s="15" t="s">
        <v>17478</v>
      </c>
      <c r="C25237" s="16" t="s">
        <v>17432</v>
      </c>
      <c r="D25237" s="16" t="s">
        <v>17446</v>
      </c>
      <c r="E25237" s="2">
        <v>1771304</v>
      </c>
      <c r="F25237" s="4" t="e">
        <f>IF(B25237=#REF!,"",B25237)</f>
        <v>#REF!</v>
      </c>
    </row>
    <row r="25238" spans="1:6" ht="15.75" customHeight="1">
      <c r="A25238" s="16" t="s">
        <v>8660</v>
      </c>
      <c r="B25238" s="15" t="s">
        <v>8660</v>
      </c>
      <c r="C25238" s="16" t="s">
        <v>8028</v>
      </c>
      <c r="D25238" s="16" t="s">
        <v>8029</v>
      </c>
      <c r="E25238" s="2">
        <v>2893264</v>
      </c>
      <c r="F25238" s="4" t="e">
        <f>IF(B25238=#REF!,"",B25238)</f>
        <v>#REF!</v>
      </c>
    </row>
    <row r="25239" spans="1:6" ht="15.75" customHeight="1">
      <c r="A25239" s="15" t="s">
        <v>11842</v>
      </c>
      <c r="B25239" s="15" t="s">
        <v>11842</v>
      </c>
      <c r="C25239" s="15" t="s">
        <v>10178</v>
      </c>
      <c r="D25239" s="15" t="s">
        <v>10252</v>
      </c>
      <c r="E25239" s="2">
        <v>1268214</v>
      </c>
      <c r="F25239" s="4" t="e">
        <f>IF(B25239=#REF!,"",B25239)</f>
        <v>#REF!</v>
      </c>
    </row>
    <row r="25240" spans="1:6" ht="15.75" customHeight="1">
      <c r="A25240" s="16" t="s">
        <v>25895</v>
      </c>
      <c r="B25240" s="15" t="s">
        <v>25895</v>
      </c>
      <c r="C25240" s="16" t="s">
        <v>25771</v>
      </c>
      <c r="D25240" s="16" t="s">
        <v>25895</v>
      </c>
      <c r="E25240" s="2">
        <v>1153090</v>
      </c>
      <c r="F25240" s="4" t="e">
        <f>IF(B25240=#REF!,"",B25240)</f>
        <v>#REF!</v>
      </c>
    </row>
    <row r="25241" spans="1:6" ht="15.75" customHeight="1">
      <c r="A25241" s="15" t="s">
        <v>6163</v>
      </c>
      <c r="B25241" s="15" t="s">
        <v>6163</v>
      </c>
      <c r="C25241" s="15" t="s">
        <v>6127</v>
      </c>
      <c r="D25241" s="15" t="s">
        <v>6164</v>
      </c>
      <c r="E25241" s="2">
        <v>214575</v>
      </c>
      <c r="F25241" s="4" t="e">
        <f>IF(B25241=#REF!,"",B25241)</f>
        <v>#REF!</v>
      </c>
    </row>
    <row r="25242" spans="1:6" ht="15.75" customHeight="1">
      <c r="A25242" s="15" t="s">
        <v>19011</v>
      </c>
      <c r="B25242" s="15" t="s">
        <v>19011</v>
      </c>
      <c r="C25242" s="15" t="s">
        <v>18862</v>
      </c>
      <c r="D25242" s="15" t="s">
        <v>18871</v>
      </c>
      <c r="E25242" s="2">
        <v>2753106</v>
      </c>
      <c r="F25242" s="4" t="e">
        <f>IF(B25242=#REF!,"",B25242)</f>
        <v>#REF!</v>
      </c>
    </row>
    <row r="25243" spans="1:6" ht="15.75" customHeight="1">
      <c r="A25243" s="15" t="s">
        <v>17477</v>
      </c>
      <c r="B25243" s="15" t="s">
        <v>17477</v>
      </c>
      <c r="C25243" s="15" t="s">
        <v>17432</v>
      </c>
      <c r="D25243" s="15" t="s">
        <v>17438</v>
      </c>
      <c r="E25243" s="2">
        <v>1735274</v>
      </c>
      <c r="F25243" s="4" t="e">
        <f>IF(B25243=#REF!,"",B25243)</f>
        <v>#REF!</v>
      </c>
    </row>
    <row r="25244" spans="1:6" ht="15.75" customHeight="1">
      <c r="A25244" s="15" t="s">
        <v>26837</v>
      </c>
      <c r="B25244" s="15" t="s">
        <v>26837</v>
      </c>
      <c r="C25244" s="15" t="s">
        <v>26820</v>
      </c>
      <c r="D25244" s="15" t="s">
        <v>17414</v>
      </c>
      <c r="E25244" s="2">
        <v>232422</v>
      </c>
      <c r="F25244" s="4" t="e">
        <f>IF(B25244=#REF!,"",B25244)</f>
        <v>#REF!</v>
      </c>
    </row>
    <row r="25245" spans="1:6" ht="15.75" customHeight="1">
      <c r="A25245" s="15" t="s">
        <v>20000</v>
      </c>
      <c r="B25245" s="15" t="s">
        <v>20000</v>
      </c>
      <c r="C25245" s="15" t="s">
        <v>19808</v>
      </c>
      <c r="D25245" s="15" t="s">
        <v>10184</v>
      </c>
      <c r="E25245" s="2">
        <v>1175088</v>
      </c>
      <c r="F25245" s="4" t="str">
        <f>IF(B25245=B25244,"",B25245)</f>
        <v>Kamoke</v>
      </c>
    </row>
    <row r="25246" spans="1:6" ht="15.75" customHeight="1">
      <c r="A25246" s="16" t="str">
        <f ca="1">IFERROR(__xludf.DUMMYFUNCTION("GOOGLETRANSLATE(B35527,""en"",""pt"")"),"Kamojimachō-jōgejima")</f>
        <v>Kamojimachō-jōgejima</v>
      </c>
      <c r="B25246" s="20" t="s">
        <v>34362</v>
      </c>
      <c r="C25246" s="20" t="s">
        <v>15704</v>
      </c>
      <c r="D25246" s="20" t="s">
        <v>15726</v>
      </c>
      <c r="E25246" s="10">
        <v>1860321</v>
      </c>
      <c r="F25246" s="4" t="str">
        <f>IF(B25246=B25245,"",B25246)</f>
        <v>Kamojimachō-jōgejima</v>
      </c>
    </row>
    <row r="25247" spans="1:6" ht="15.75" customHeight="1">
      <c r="A25247" s="16" t="s">
        <v>16083</v>
      </c>
      <c r="B25247" s="15" t="s">
        <v>16084</v>
      </c>
      <c r="C25247" s="16" t="s">
        <v>15704</v>
      </c>
      <c r="D25247" s="16" t="s">
        <v>15726</v>
      </c>
      <c r="E25247" s="2">
        <v>1860321</v>
      </c>
      <c r="F25247" s="4" t="e">
        <f>IF(B25247=#REF!,"",B25247)</f>
        <v>#REF!</v>
      </c>
    </row>
    <row r="25248" spans="1:6" ht="15.75" customHeight="1">
      <c r="A25248" s="16" t="s">
        <v>16082</v>
      </c>
      <c r="B25248" s="15" t="s">
        <v>16082</v>
      </c>
      <c r="C25248" s="16" t="s">
        <v>15704</v>
      </c>
      <c r="D25248" s="16" t="s">
        <v>15707</v>
      </c>
      <c r="E25248" s="2">
        <v>2112297</v>
      </c>
      <c r="F25248" s="4" t="str">
        <f>IF(B25248=B25247,"",B25248)</f>
        <v>Kamogawa</v>
      </c>
    </row>
    <row r="25249" spans="1:6" ht="15.75" customHeight="1">
      <c r="A25249" s="16" t="str">
        <f ca="1">IFERROR(__xludf.DUMMYFUNCTION("GOOGLETRANSLATE(B35528,""en"",""pt"")"),"Kamogatachō-Kamogata")</f>
        <v>Kamogatachō-Kamogata</v>
      </c>
      <c r="B25249" s="20" t="s">
        <v>34363</v>
      </c>
      <c r="C25249" s="20" t="s">
        <v>15704</v>
      </c>
      <c r="D25249" s="20" t="s">
        <v>15981</v>
      </c>
      <c r="E25249" s="10">
        <v>1860335</v>
      </c>
      <c r="F25249" s="4" t="str">
        <f>IF(B25249=B25248,"",B25249)</f>
        <v>Kamogatachō-kamogata</v>
      </c>
    </row>
    <row r="25250" spans="1:6" ht="15.75" customHeight="1">
      <c r="A25250" s="16" t="s">
        <v>16080</v>
      </c>
      <c r="B25250" s="15" t="s">
        <v>16081</v>
      </c>
      <c r="C25250" s="16" t="s">
        <v>15704</v>
      </c>
      <c r="D25250" s="16" t="s">
        <v>15981</v>
      </c>
      <c r="E25250" s="2">
        <v>1860335</v>
      </c>
      <c r="F25250" s="4" t="e">
        <f>IF(B25250=#REF!,"",B25250)</f>
        <v>#REF!</v>
      </c>
    </row>
    <row r="25251" spans="1:6" ht="15.75" customHeight="1">
      <c r="A25251" s="15" t="s">
        <v>16079</v>
      </c>
      <c r="B25251" s="15" t="s">
        <v>16079</v>
      </c>
      <c r="C25251" s="15" t="s">
        <v>15704</v>
      </c>
      <c r="D25251" s="15" t="s">
        <v>15818</v>
      </c>
      <c r="E25251" s="2">
        <v>1860341</v>
      </c>
      <c r="F25251" s="4" t="e">
        <f>IF(B25251=#REF!,"",B25251)</f>
        <v>#REF!</v>
      </c>
    </row>
    <row r="25252" spans="1:6" ht="15.75" customHeight="1">
      <c r="A25252" s="15" t="s">
        <v>4069</v>
      </c>
      <c r="B25252" s="15" t="s">
        <v>4069</v>
      </c>
      <c r="C25252" s="15" t="s">
        <v>3975</v>
      </c>
      <c r="D25252" s="15" t="s">
        <v>3976</v>
      </c>
      <c r="E25252" s="2">
        <v>5989045</v>
      </c>
      <c r="F25252" s="4" t="e">
        <f>IF(B25252=#REF!,"",B25252)</f>
        <v>#REF!</v>
      </c>
    </row>
    <row r="25253" spans="1:6" ht="15.75" customHeight="1">
      <c r="A25253" s="16" t="s">
        <v>16078</v>
      </c>
      <c r="B25253" s="15" t="s">
        <v>16078</v>
      </c>
      <c r="C25253" s="16" t="s">
        <v>15704</v>
      </c>
      <c r="D25253" s="16" t="s">
        <v>15776</v>
      </c>
      <c r="E25253" s="2">
        <v>1860437</v>
      </c>
      <c r="F25253" s="4" t="str">
        <f>IF(B25253=B25252,"",B25253)</f>
        <v>Kamirenjaku</v>
      </c>
    </row>
    <row r="25254" spans="1:6" ht="15.75" customHeight="1">
      <c r="A25254" s="16" t="str">
        <f ca="1">IFERROR(__xludf.DUMMYFUNCTION("GOOGLETRANSLATE(B39049,""en"",""pt"")"),"Kamīr")</f>
        <v>Kamīr</v>
      </c>
      <c r="B25254" s="20" t="s">
        <v>34991</v>
      </c>
      <c r="C25254" s="20" t="s">
        <v>19808</v>
      </c>
      <c r="D25254" s="20" t="s">
        <v>10184</v>
      </c>
      <c r="E25254" s="10">
        <v>1175098</v>
      </c>
      <c r="F25254" s="4" t="e">
        <f>IF(B25254=#REF!,"",B25254)</f>
        <v>#REF!</v>
      </c>
    </row>
    <row r="25255" spans="1:6" ht="15.75" customHeight="1">
      <c r="A25255" s="16" t="s">
        <v>16077</v>
      </c>
      <c r="B25255" s="15" t="s">
        <v>16077</v>
      </c>
      <c r="C25255" s="16" t="s">
        <v>15704</v>
      </c>
      <c r="D25255" s="16" t="s">
        <v>15951</v>
      </c>
      <c r="E25255" s="2">
        <v>2112409</v>
      </c>
      <c r="F25255" s="4" t="e">
        <f>IF(B25255=#REF!,"",B25255)</f>
        <v>#REF!</v>
      </c>
    </row>
    <row r="25256" spans="1:6" ht="15.75" customHeight="1">
      <c r="A25256" s="16" t="s">
        <v>16076</v>
      </c>
      <c r="B25256" s="15" t="s">
        <v>16076</v>
      </c>
      <c r="C25256" s="16" t="s">
        <v>15704</v>
      </c>
      <c r="D25256" s="16" t="s">
        <v>15799</v>
      </c>
      <c r="E25256" s="2">
        <v>1860458</v>
      </c>
      <c r="F25256" s="4" t="e">
        <f>IF(B25256=#REF!,"",B25256)</f>
        <v>#REF!</v>
      </c>
    </row>
    <row r="25257" spans="1:6" ht="15.75" customHeight="1">
      <c r="A25257" s="15" t="s">
        <v>6162</v>
      </c>
      <c r="B25257" s="15" t="s">
        <v>6162</v>
      </c>
      <c r="C25257" s="15" t="s">
        <v>6127</v>
      </c>
      <c r="D25257" s="15" t="s">
        <v>6138</v>
      </c>
      <c r="E25257" s="2">
        <v>214614</v>
      </c>
      <c r="F25257" s="4" t="e">
        <f>IF(B25257=#REF!,"",B25257)</f>
        <v>#REF!</v>
      </c>
    </row>
    <row r="25258" spans="1:6" ht="15.75" customHeight="1">
      <c r="A25258" s="16" t="s">
        <v>16075</v>
      </c>
      <c r="B25258" s="15" t="s">
        <v>16075</v>
      </c>
      <c r="C25258" s="16" t="s">
        <v>15704</v>
      </c>
      <c r="D25258" s="16" t="s">
        <v>15769</v>
      </c>
      <c r="E25258" s="2">
        <v>1857659</v>
      </c>
      <c r="F25258" s="4" t="e">
        <f>IF(B25258=#REF!,"",B25258)</f>
        <v>#REF!</v>
      </c>
    </row>
    <row r="25259" spans="1:6" ht="15.75" customHeight="1">
      <c r="A25259" s="15" t="s">
        <v>16074</v>
      </c>
      <c r="B25259" s="15" t="s">
        <v>16074</v>
      </c>
      <c r="C25259" s="15" t="s">
        <v>15704</v>
      </c>
      <c r="D25259" s="15" t="s">
        <v>15705</v>
      </c>
      <c r="E25259" s="2">
        <v>2129766</v>
      </c>
      <c r="F25259" s="4" t="e">
        <f>IF(B25259=#REF!,"",B25259)</f>
        <v>#REF!</v>
      </c>
    </row>
    <row r="25260" spans="1:6" ht="15.75" customHeight="1">
      <c r="A25260" s="15" t="s">
        <v>16073</v>
      </c>
      <c r="B25260" s="15" t="s">
        <v>16073</v>
      </c>
      <c r="C25260" s="15" t="s">
        <v>15704</v>
      </c>
      <c r="D25260" s="15" t="s">
        <v>15881</v>
      </c>
      <c r="E25260" s="2">
        <v>1860563</v>
      </c>
      <c r="F25260" s="4" t="str">
        <f>IF(B25260=B25259,"",B25260)</f>
        <v>Kamiichi</v>
      </c>
    </row>
    <row r="25261" spans="1:6" ht="15.75" customHeight="1">
      <c r="A25261" s="16" t="str">
        <f ca="1">IFERROR(__xludf.DUMMYFUNCTION("GOOGLETRANSLATE(B35881,""en"",""pt"")"),"Kamigyō-ku")</f>
        <v>Kamigyō-ku</v>
      </c>
      <c r="B25261" s="20" t="s">
        <v>34422</v>
      </c>
      <c r="C25261" s="20" t="s">
        <v>15704</v>
      </c>
      <c r="D25261" s="20" t="s">
        <v>15831</v>
      </c>
      <c r="E25261" s="10">
        <v>8125829</v>
      </c>
      <c r="F25261" s="4" t="str">
        <f>IF(B25261=B25260,"",B25261)</f>
        <v>Kamigyō-ku</v>
      </c>
    </row>
    <row r="25262" spans="1:6" ht="15.75" customHeight="1">
      <c r="A25262" s="16" t="s">
        <v>16071</v>
      </c>
      <c r="B25262" s="15" t="s">
        <v>16072</v>
      </c>
      <c r="C25262" s="16" t="s">
        <v>15704</v>
      </c>
      <c r="D25262" s="16" t="s">
        <v>15831</v>
      </c>
      <c r="E25262" s="2">
        <v>8125829</v>
      </c>
      <c r="F25262" s="4" t="e">
        <f>IF(B25262=#REF!,"",B25262)</f>
        <v>#REF!</v>
      </c>
    </row>
    <row r="25263" spans="1:6" ht="15.75" customHeight="1">
      <c r="A25263" s="16" t="s">
        <v>16070</v>
      </c>
      <c r="B25263" s="15" t="s">
        <v>16070</v>
      </c>
      <c r="C25263" s="16" t="s">
        <v>15704</v>
      </c>
      <c r="D25263" s="16" t="s">
        <v>15710</v>
      </c>
      <c r="E25263" s="2">
        <v>1907125</v>
      </c>
      <c r="F25263" s="4" t="str">
        <f>IF(B25263=B25262,"",B25263)</f>
        <v>Kamifukuoka</v>
      </c>
    </row>
    <row r="25264" spans="1:6" ht="15.75" customHeight="1">
      <c r="A25264" s="16" t="str">
        <f ca="1">IFERROR(__xludf.DUMMYFUNCTION("GOOGLETRANSLATE(B39440,""en"",""pt"")"),"Kamienna Góra")</f>
        <v>Kamienna Góra</v>
      </c>
      <c r="B25264" s="20" t="s">
        <v>35219</v>
      </c>
      <c r="C25264" s="20" t="s">
        <v>21064</v>
      </c>
      <c r="D25264" s="20" t="s">
        <v>21118</v>
      </c>
      <c r="E25264" s="10">
        <v>3096779</v>
      </c>
      <c r="F25264" s="4" t="str">
        <f>IF(B25264=B25263,"",B25264)</f>
        <v>Kamienna Góra</v>
      </c>
    </row>
    <row r="25265" spans="1:6" ht="15.75" customHeight="1">
      <c r="A25265" s="16" t="s">
        <v>21275</v>
      </c>
      <c r="B25265" s="15" t="s">
        <v>21276</v>
      </c>
      <c r="C25265" s="16" t="s">
        <v>21064</v>
      </c>
      <c r="D25265" s="16" t="s">
        <v>21118</v>
      </c>
      <c r="E25265" s="2">
        <v>3096779</v>
      </c>
      <c r="F25265" s="4" t="e">
        <f>IF(B25265=#REF!,"",B25265)</f>
        <v>#REF!</v>
      </c>
    </row>
    <row r="25266" spans="1:6" ht="15.75" customHeight="1">
      <c r="A25266" s="16" t="s">
        <v>26991</v>
      </c>
      <c r="B25266" s="15" t="s">
        <v>26991</v>
      </c>
      <c r="C25266" s="16" t="s">
        <v>26870</v>
      </c>
      <c r="D25266" s="16" t="s">
        <v>26955</v>
      </c>
      <c r="E25266" s="2">
        <v>706950</v>
      </c>
      <c r="F25266" s="4" t="e">
        <f>IF(B25266=#REF!,"",B25266)</f>
        <v>#REF!</v>
      </c>
    </row>
    <row r="25267" spans="1:6" ht="15.75" customHeight="1">
      <c r="A25267" s="16" t="s">
        <v>16069</v>
      </c>
      <c r="B25267" s="15" t="s">
        <v>16069</v>
      </c>
      <c r="C25267" s="16" t="s">
        <v>15704</v>
      </c>
      <c r="D25267" s="16" t="s">
        <v>15967</v>
      </c>
      <c r="E25267" s="2">
        <v>1860626</v>
      </c>
      <c r="F25267" s="4" t="e">
        <f>IF(B25267=#REF!,"",B25267)</f>
        <v>#REF!</v>
      </c>
    </row>
    <row r="25268" spans="1:6" ht="15.75" customHeight="1">
      <c r="A25268" s="15" t="s">
        <v>16068</v>
      </c>
      <c r="B25268" s="15" t="s">
        <v>16068</v>
      </c>
      <c r="C25268" s="15" t="s">
        <v>15704</v>
      </c>
      <c r="D25268" s="15" t="s">
        <v>15831</v>
      </c>
      <c r="E25268" s="2">
        <v>1860635</v>
      </c>
      <c r="F25268" s="4" t="e">
        <f>IF(B25268=#REF!,"",B25268)</f>
        <v>#REF!</v>
      </c>
    </row>
    <row r="25269" spans="1:6" ht="15.75" customHeight="1">
      <c r="A25269" s="15" t="s">
        <v>8659</v>
      </c>
      <c r="B25269" s="15" t="s">
        <v>8659</v>
      </c>
      <c r="C25269" s="15" t="s">
        <v>8028</v>
      </c>
      <c r="D25269" s="15" t="s">
        <v>8072</v>
      </c>
      <c r="E25269" s="2">
        <v>2893437</v>
      </c>
      <c r="F25269" s="4" t="str">
        <f>IF(B25269=B25268,"",B25269)</f>
        <v>Kamenz</v>
      </c>
    </row>
    <row r="25270" spans="1:6" ht="15.75" customHeight="1">
      <c r="A25270" s="16" t="s">
        <v>22464</v>
      </c>
      <c r="B25270" s="15" t="s">
        <v>22465</v>
      </c>
      <c r="C25270" s="16" t="s">
        <v>22070</v>
      </c>
      <c r="D25270" s="16" t="s">
        <v>22106</v>
      </c>
      <c r="E25270" s="2">
        <v>1504826</v>
      </c>
      <c r="F25270" s="4" t="str">
        <f>IF(B25270=B25269,"",B25270)</f>
        <v>Kamensk-Uralâ€™skiy</v>
      </c>
    </row>
    <row r="25271" spans="1:6" ht="15.75" customHeight="1">
      <c r="A25271" s="16" t="str">
        <f ca="1">IFERROR(__xludf.DUMMYFUNCTION("GOOGLETRANSLATE(B40836,""en"",""pt"")"),"Kamensk-muskiy")</f>
        <v>Kamensk-muskiy</v>
      </c>
      <c r="B25271" s="20" t="s">
        <v>35544</v>
      </c>
      <c r="C25271" s="20" t="s">
        <v>22070</v>
      </c>
      <c r="D25271" s="20" t="s">
        <v>22106</v>
      </c>
      <c r="E25271" s="10">
        <v>1504826</v>
      </c>
      <c r="F25271" s="4" t="e">
        <f>IF(B25271=#REF!,"",B25271)</f>
        <v>#REF!</v>
      </c>
    </row>
    <row r="25272" spans="1:6" ht="15.75" customHeight="1">
      <c r="A25272" s="16" t="s">
        <v>22462</v>
      </c>
      <c r="B25272" s="15" t="s">
        <v>22463</v>
      </c>
      <c r="C25272" s="16" t="s">
        <v>22070</v>
      </c>
      <c r="D25272" s="16" t="s">
        <v>22099</v>
      </c>
      <c r="E25272" s="2">
        <v>553399</v>
      </c>
      <c r="F25272" s="4" t="e">
        <f>IF(B25272=#REF!,"",B25272)</f>
        <v>#REF!</v>
      </c>
    </row>
    <row r="25273" spans="1:6" ht="15.75" customHeight="1">
      <c r="A25273" s="16" t="s">
        <v>17267</v>
      </c>
      <c r="B25273" s="15" t="s">
        <v>17267</v>
      </c>
      <c r="C25273" s="16" t="s">
        <v>17221</v>
      </c>
      <c r="D25273" s="16" t="s">
        <v>17227</v>
      </c>
      <c r="E25273" s="2">
        <v>789611</v>
      </c>
      <c r="F25273" s="4" t="str">
        <f>IF(B25273=B25272,"",B25273)</f>
        <v>Kamenjane</v>
      </c>
    </row>
    <row r="25274" spans="1:6" ht="15.75" customHeight="1">
      <c r="A25274" s="16" t="s">
        <v>22460</v>
      </c>
      <c r="B25274" s="15" t="s">
        <v>22461</v>
      </c>
      <c r="C25274" s="16" t="s">
        <v>22070</v>
      </c>
      <c r="D25274" s="16" t="s">
        <v>22124</v>
      </c>
      <c r="E25274" s="2">
        <v>1504871</v>
      </c>
      <c r="F25274" s="4" t="str">
        <f>IF(B25274=B25273,"",B25274)</f>
        <v>Kamenâ€™-na-Obi</v>
      </c>
    </row>
    <row r="25275" spans="1:6" ht="15.75" customHeight="1">
      <c r="A25275" s="16" t="str">
        <f ca="1">IFERROR(__xludf.DUMMYFUNCTION("GOOGLETRANSLATE(B40837,""en"",""pt"")"),"Kamen'-Na-obi")</f>
        <v>Kamen'-Na-obi</v>
      </c>
      <c r="B25275" s="20" t="s">
        <v>35545</v>
      </c>
      <c r="C25275" s="20" t="s">
        <v>22070</v>
      </c>
      <c r="D25275" s="20" t="s">
        <v>22124</v>
      </c>
      <c r="E25275" s="10">
        <v>1504871</v>
      </c>
      <c r="F25275" s="4" t="e">
        <f>IF(B25275=#REF!,"",B25275)</f>
        <v>#REF!</v>
      </c>
    </row>
    <row r="25276" spans="1:6" ht="15.75" customHeight="1">
      <c r="A25276" s="15" t="s">
        <v>8658</v>
      </c>
      <c r="B25276" s="15" t="s">
        <v>8658</v>
      </c>
      <c r="C25276" s="15" t="s">
        <v>8028</v>
      </c>
      <c r="D25276" s="15" t="s">
        <v>8029</v>
      </c>
      <c r="E25276" s="2">
        <v>2893438</v>
      </c>
      <c r="F25276" s="4" t="str">
        <f>IF(B25276=B25275,"",B25276)</f>
        <v>Kamen</v>
      </c>
    </row>
    <row r="25277" spans="1:6" ht="15.75" customHeight="1">
      <c r="A25277" s="16" t="str">
        <f ca="1">IFERROR(__xludf.DUMMYFUNCTION("GOOGLETRANSLATE(B35535,""en"",""pt"")"),"Kameda-Honchō")</f>
        <v>Kameda-Honchō</v>
      </c>
      <c r="B25277" s="20" t="s">
        <v>34364</v>
      </c>
      <c r="C25277" s="20" t="s">
        <v>15704</v>
      </c>
      <c r="D25277" s="20" t="s">
        <v>15818</v>
      </c>
      <c r="E25277" s="10">
        <v>1860648</v>
      </c>
      <c r="F25277" s="4" t="str">
        <f>IF(B25277=B25276,"",B25277)</f>
        <v>Kameda-honchō</v>
      </c>
    </row>
    <row r="25278" spans="1:6" ht="15.75" customHeight="1">
      <c r="A25278" s="16" t="s">
        <v>16066</v>
      </c>
      <c r="B25278" s="15" t="s">
        <v>16067</v>
      </c>
      <c r="C25278" s="16" t="s">
        <v>15704</v>
      </c>
      <c r="D25278" s="16" t="s">
        <v>15818</v>
      </c>
      <c r="E25278" s="2">
        <v>1860648</v>
      </c>
      <c r="F25278" s="4" t="e">
        <f>IF(B25278=#REF!,"",B25278)</f>
        <v>#REF!</v>
      </c>
    </row>
    <row r="25279" spans="1:6" ht="15.75" customHeight="1">
      <c r="A25279" s="15" t="s">
        <v>6161</v>
      </c>
      <c r="B25279" s="15" t="s">
        <v>6161</v>
      </c>
      <c r="C25279" s="15" t="s">
        <v>6127</v>
      </c>
      <c r="D25279" s="15" t="s">
        <v>6138</v>
      </c>
      <c r="E25279" s="2">
        <v>923058</v>
      </c>
      <c r="F25279" s="4" t="e">
        <f>IF(B25279=#REF!,"",B25279)</f>
        <v>#REF!</v>
      </c>
    </row>
    <row r="25280" spans="1:6" ht="15.75" customHeight="1">
      <c r="A25280" s="15" t="s">
        <v>19999</v>
      </c>
      <c r="B25280" s="15" t="s">
        <v>19999</v>
      </c>
      <c r="C25280" s="15" t="s">
        <v>19808</v>
      </c>
      <c r="D25280" s="15" t="s">
        <v>19823</v>
      </c>
      <c r="E25280" s="2">
        <v>1167622</v>
      </c>
      <c r="F25280" s="4" t="e">
        <f>IF(B25280=#REF!,"",B25280)</f>
        <v>#REF!</v>
      </c>
    </row>
    <row r="25281" spans="1:6" ht="15.75" customHeight="1">
      <c r="A25281" s="15" t="s">
        <v>19477</v>
      </c>
      <c r="B25281" s="15" t="s">
        <v>19477</v>
      </c>
      <c r="C25281" s="15" t="s">
        <v>19294</v>
      </c>
      <c r="D25281" s="15" t="s">
        <v>19325</v>
      </c>
      <c r="E25281" s="2">
        <v>2335333</v>
      </c>
      <c r="F25281" s="4" t="str">
        <f>IF(B25281=B25280,"",B25281)</f>
        <v>Kamba</v>
      </c>
    </row>
    <row r="25282" spans="1:6" ht="15.75" customHeight="1">
      <c r="A25282" s="16" t="str">
        <f ca="1">IFERROR(__xludf.DUMMYFUNCTION("GOOGLETRANSLATE(B30999,""en"",""pt"")"),"Kamaterón")</f>
        <v>Kamaterón</v>
      </c>
      <c r="B25282" s="20" t="s">
        <v>32707</v>
      </c>
      <c r="C25282" s="20" t="s">
        <v>9441</v>
      </c>
      <c r="D25282" s="20" t="s">
        <v>9445</v>
      </c>
      <c r="E25282" s="10">
        <v>261249</v>
      </c>
      <c r="F25282" s="4" t="str">
        <f>IF(B25282=B25281,"",B25282)</f>
        <v>Kamaterón</v>
      </c>
    </row>
    <row r="25283" spans="1:6" ht="15.75" customHeight="1">
      <c r="A25283" s="16" t="s">
        <v>9538</v>
      </c>
      <c r="B25283" s="15" t="s">
        <v>9539</v>
      </c>
      <c r="C25283" s="16" t="s">
        <v>9441</v>
      </c>
      <c r="D25283" s="16" t="s">
        <v>9445</v>
      </c>
      <c r="E25283" s="2">
        <v>261249</v>
      </c>
      <c r="F25283" s="4" t="str">
        <f>IF(B25283=B25282,"",B25283)</f>
        <v>KamaterÃ³n</v>
      </c>
    </row>
    <row r="25284" spans="1:6" ht="15.75" customHeight="1">
      <c r="A25284" s="16" t="str">
        <f ca="1">IFERROR(__xludf.DUMMYFUNCTION("GOOGLETRANSLATE(B33169,""en"",""pt"")"),"Kāmārhāti")</f>
        <v>Kāmārhāti</v>
      </c>
      <c r="B25284" s="20" t="s">
        <v>33569</v>
      </c>
      <c r="C25284" s="20" t="s">
        <v>10178</v>
      </c>
      <c r="D25284" s="20" t="s">
        <v>10201</v>
      </c>
      <c r="E25284" s="10">
        <v>1268257</v>
      </c>
      <c r="F25284" s="4" t="str">
        <f>IF(B25284=B25283,"",B25284)</f>
        <v>Kāmārhāti</v>
      </c>
    </row>
    <row r="25285" spans="1:6" ht="15.75" customHeight="1">
      <c r="A25285" s="16" t="str">
        <f ca="1">IFERROR(__xludf.DUMMYFUNCTION("GOOGLETRANSLATE(B33170,""en"",""pt"")"),"Kāmāreddi")</f>
        <v>Kāmāreddi</v>
      </c>
      <c r="B25285" s="20" t="s">
        <v>33570</v>
      </c>
      <c r="C25285" s="20" t="s">
        <v>10178</v>
      </c>
      <c r="D25285" s="20" t="s">
        <v>10187</v>
      </c>
      <c r="E25285" s="10">
        <v>1268259</v>
      </c>
      <c r="F25285" s="4" t="str">
        <f>IF(B25285=B25284,"",B25285)</f>
        <v>Kāmāreddi</v>
      </c>
    </row>
    <row r="25286" spans="1:6" ht="15.75" customHeight="1">
      <c r="A25286" s="16" t="str">
        <f ca="1">IFERROR(__xludf.DUMMYFUNCTION("GOOGLETRANSLATE(B39050,""en"",""pt"")"),"Kamar Mushāni")</f>
        <v>Kamar Mushāni</v>
      </c>
      <c r="B25286" s="20" t="s">
        <v>34992</v>
      </c>
      <c r="C25286" s="20" t="s">
        <v>19808</v>
      </c>
      <c r="D25286" s="20" t="s">
        <v>10184</v>
      </c>
      <c r="E25286" s="10">
        <v>1175125</v>
      </c>
      <c r="F25286" s="4" t="str">
        <f>IF(B25286=B25285,"",B25286)</f>
        <v>Kamar Mushāni</v>
      </c>
    </row>
    <row r="25287" spans="1:6" ht="15.75" customHeight="1">
      <c r="A25287" s="16" t="s">
        <v>19997</v>
      </c>
      <c r="B25287" s="15" t="s">
        <v>19998</v>
      </c>
      <c r="C25287" s="16" t="s">
        <v>19808</v>
      </c>
      <c r="D25287" s="16" t="s">
        <v>10184</v>
      </c>
      <c r="E25287" s="2">
        <v>1175125</v>
      </c>
      <c r="F25287" s="4" t="str">
        <f>IF(B25287=B25286,"",B25287)</f>
        <v>Kamar MushÄni</v>
      </c>
    </row>
    <row r="25288" spans="1:6" ht="15.75" customHeight="1">
      <c r="A25288" s="16" t="str">
        <f ca="1">IFERROR(__xludf.DUMMYFUNCTION("GOOGLETRANSLATE(B33171,""en"",""pt"")"),"Kāman")</f>
        <v>Kāman</v>
      </c>
      <c r="B25288" s="20" t="s">
        <v>33571</v>
      </c>
      <c r="C25288" s="20" t="s">
        <v>10178</v>
      </c>
      <c r="D25288" s="20" t="s">
        <v>10179</v>
      </c>
      <c r="E25288" s="10">
        <v>1268266</v>
      </c>
      <c r="F25288" s="4" t="e">
        <f>IF(B25288=#REF!,"",B25288)</f>
        <v>#REF!</v>
      </c>
    </row>
    <row r="25289" spans="1:6" ht="15.75" customHeight="1">
      <c r="A25289" s="15" t="s">
        <v>26575</v>
      </c>
      <c r="B25289" s="15" t="s">
        <v>26575</v>
      </c>
      <c r="C25289" s="15" t="s">
        <v>26201</v>
      </c>
      <c r="D25289" s="15" t="s">
        <v>26557</v>
      </c>
      <c r="E25289" s="2">
        <v>310641</v>
      </c>
      <c r="F25289" s="4" t="str">
        <f>IF(B25289=B25288,"",B25289)</f>
        <v>Kaman</v>
      </c>
    </row>
    <row r="25290" spans="1:6" ht="15.75" customHeight="1">
      <c r="A25290" s="16" t="str">
        <f ca="1">IFERROR(__xludf.DUMMYFUNCTION("GOOGLETRANSLATE(B39051,""en"",""pt"")"),"Kamālia")</f>
        <v>Kamālia</v>
      </c>
      <c r="B25290" s="20" t="s">
        <v>34993</v>
      </c>
      <c r="C25290" s="20" t="s">
        <v>19808</v>
      </c>
      <c r="D25290" s="20" t="s">
        <v>10184</v>
      </c>
      <c r="E25290" s="10">
        <v>1175156</v>
      </c>
      <c r="F25290" s="4" t="e">
        <f>IF(B25290=#REF!,"",B25290)</f>
        <v>#REF!</v>
      </c>
    </row>
    <row r="25291" spans="1:6" ht="15.75" customHeight="1">
      <c r="A25291" s="16" t="s">
        <v>11841</v>
      </c>
      <c r="B25291" s="15" t="s">
        <v>11841</v>
      </c>
      <c r="C25291" s="16" t="s">
        <v>10178</v>
      </c>
      <c r="D25291" s="16" t="s">
        <v>10193</v>
      </c>
      <c r="E25291" s="2">
        <v>1268276</v>
      </c>
      <c r="F25291" s="4" t="e">
        <f>IF(B25291=#REF!,"",B25291)</f>
        <v>#REF!</v>
      </c>
    </row>
    <row r="25292" spans="1:6" ht="15.75" customHeight="1">
      <c r="A25292" s="16" t="s">
        <v>25894</v>
      </c>
      <c r="B25292" s="15" t="s">
        <v>25894</v>
      </c>
      <c r="C25292" s="16" t="s">
        <v>25771</v>
      </c>
      <c r="D25292" s="16" t="s">
        <v>25893</v>
      </c>
      <c r="E25292" s="2">
        <v>1610459</v>
      </c>
      <c r="F25292" s="4" t="e">
        <f>IF(B25292=#REF!,"",B25292)</f>
        <v>#REF!</v>
      </c>
    </row>
    <row r="25293" spans="1:6" ht="15.75" customHeight="1">
      <c r="A25293" s="15" t="s">
        <v>13954</v>
      </c>
      <c r="B25293" s="15" t="s">
        <v>13954</v>
      </c>
      <c r="C25293" s="15" t="s">
        <v>13800</v>
      </c>
      <c r="D25293" s="15" t="s">
        <v>13816</v>
      </c>
      <c r="E25293" s="2">
        <v>1641792</v>
      </c>
      <c r="F25293" s="4" t="e">
        <f>IF(B25293=#REF!,"",B25293)</f>
        <v>#REF!</v>
      </c>
    </row>
    <row r="25294" spans="1:6" ht="15.75" customHeight="1">
      <c r="A25294" s="16" t="s">
        <v>16065</v>
      </c>
      <c r="B25294" s="15" t="s">
        <v>16065</v>
      </c>
      <c r="C25294" s="16" t="s">
        <v>15704</v>
      </c>
      <c r="D25294" s="16" t="s">
        <v>15755</v>
      </c>
      <c r="E25294" s="2">
        <v>1860672</v>
      </c>
      <c r="F25294" s="4" t="str">
        <f>IF(B25294=B25293,"",B25294)</f>
        <v>Kamakura</v>
      </c>
    </row>
    <row r="25295" spans="1:6" ht="15.75" customHeight="1">
      <c r="A25295" s="16" t="str">
        <f ca="1">IFERROR(__xludf.DUMMYFUNCTION("GOOGLETRANSLATE(B33173,""en"",""pt"")"),"Kāmākhyānagar")</f>
        <v>Kāmākhyānagar</v>
      </c>
      <c r="B25295" s="20" t="s">
        <v>33572</v>
      </c>
      <c r="C25295" s="20" t="s">
        <v>10178</v>
      </c>
      <c r="D25295" s="20" t="s">
        <v>10229</v>
      </c>
      <c r="E25295" s="10">
        <v>1268279</v>
      </c>
      <c r="F25295" s="4" t="e">
        <f>IF(B25295=#REF!,"",B25295)</f>
        <v>#REF!</v>
      </c>
    </row>
    <row r="25296" spans="1:6" ht="15.75" customHeight="1">
      <c r="A25296" s="15" t="s">
        <v>16064</v>
      </c>
      <c r="B25296" s="15" t="s">
        <v>16064</v>
      </c>
      <c r="C25296" s="15" t="s">
        <v>15704</v>
      </c>
      <c r="D25296" s="15" t="s">
        <v>15745</v>
      </c>
      <c r="E25296" s="2">
        <v>2112444</v>
      </c>
      <c r="F25296" s="4" t="e">
        <f>IF(B25296=#REF!,"",B25296)</f>
        <v>#REF!</v>
      </c>
    </row>
    <row r="25297" spans="1:6" ht="15.75" customHeight="1">
      <c r="A25297" s="16" t="s">
        <v>25622</v>
      </c>
      <c r="B25297" s="15" t="s">
        <v>25622</v>
      </c>
      <c r="C25297" s="16" t="s">
        <v>25560</v>
      </c>
      <c r="D25297" s="16" t="s">
        <v>25570</v>
      </c>
      <c r="E25297" s="2">
        <v>158492</v>
      </c>
      <c r="F25297" s="4" t="str">
        <f>IF(B25297=B25296,"",B25297)</f>
        <v>Kamachumu</v>
      </c>
    </row>
    <row r="25298" spans="1:6" ht="15.75" customHeight="1">
      <c r="A25298" s="15" t="s">
        <v>19995</v>
      </c>
      <c r="B25298" s="15" t="s">
        <v>19996</v>
      </c>
      <c r="C25298" s="15" t="s">
        <v>19808</v>
      </c>
      <c r="D25298" s="15" t="s">
        <v>10184</v>
      </c>
      <c r="E25298" s="2">
        <v>1175156</v>
      </c>
      <c r="F25298" s="4" t="str">
        <f>IF(B25298=B25297,"",B25298)</f>
        <v>KamÄlia</v>
      </c>
    </row>
    <row r="25299" spans="1:6" ht="15.75" customHeight="1">
      <c r="A25299" s="15" t="s">
        <v>19993</v>
      </c>
      <c r="B25299" s="15" t="s">
        <v>19994</v>
      </c>
      <c r="C25299" s="15" t="s">
        <v>19808</v>
      </c>
      <c r="D25299" s="15" t="s">
        <v>10184</v>
      </c>
      <c r="E25299" s="2">
        <v>1175098</v>
      </c>
      <c r="F25299" s="4" t="e">
        <f>IF(B25299=#REF!,"",B25299)</f>
        <v>#REF!</v>
      </c>
    </row>
    <row r="25300" spans="1:6" ht="15.75" customHeight="1">
      <c r="A25300" s="15" t="s">
        <v>26990</v>
      </c>
      <c r="B25300" s="15" t="s">
        <v>26990</v>
      </c>
      <c r="C25300" s="15" t="s">
        <v>26870</v>
      </c>
      <c r="D25300" s="15" t="s">
        <v>26895</v>
      </c>
      <c r="E25300" s="2">
        <v>707155</v>
      </c>
      <c r="F25300" s="4" t="e">
        <f>IF(B25300=#REF!,"",B25300)</f>
        <v>#REF!</v>
      </c>
    </row>
    <row r="25301" spans="1:6" ht="15.75" customHeight="1">
      <c r="A25301" s="15" t="s">
        <v>11840</v>
      </c>
      <c r="B25301" s="15" t="s">
        <v>11840</v>
      </c>
      <c r="C25301" s="15" t="s">
        <v>10178</v>
      </c>
      <c r="D25301" s="15" t="s">
        <v>10201</v>
      </c>
      <c r="E25301" s="2">
        <v>1268293</v>
      </c>
      <c r="F25301" s="4" t="e">
        <f>IF(B25301=#REF!,"",B25301)</f>
        <v>#REF!</v>
      </c>
    </row>
    <row r="25302" spans="1:6" ht="15.75" customHeight="1">
      <c r="A25302" s="16" t="s">
        <v>11839</v>
      </c>
      <c r="B25302" s="15" t="s">
        <v>11839</v>
      </c>
      <c r="C25302" s="16" t="s">
        <v>10178</v>
      </c>
      <c r="D25302" s="16" t="s">
        <v>10190</v>
      </c>
      <c r="E25302" s="2">
        <v>7302838</v>
      </c>
      <c r="F25302" s="4" t="str">
        <f>IF(B25302=B25301,"",B25302)</f>
        <v>Kalyandurg</v>
      </c>
    </row>
    <row r="25303" spans="1:6" ht="15.75" customHeight="1">
      <c r="A25303" s="16" t="str">
        <f ca="1">IFERROR(__xludf.DUMMYFUNCTION("GOOGLETRANSLATE(B33175,""en"",""pt"")"),"Kalyān")</f>
        <v>Kalyān</v>
      </c>
      <c r="B25303" s="20" t="s">
        <v>33573</v>
      </c>
      <c r="C25303" s="20" t="s">
        <v>10178</v>
      </c>
      <c r="D25303" s="20" t="s">
        <v>10214</v>
      </c>
      <c r="E25303" s="10">
        <v>1268295</v>
      </c>
      <c r="F25303" s="4" t="str">
        <f>IF(B25303=B25302,"",B25303)</f>
        <v>Kalyān</v>
      </c>
    </row>
    <row r="25304" spans="1:6" ht="15.75" customHeight="1">
      <c r="A25304" s="15" t="s">
        <v>11837</v>
      </c>
      <c r="B25304" s="15" t="s">
        <v>11838</v>
      </c>
      <c r="C25304" s="15" t="s">
        <v>10178</v>
      </c>
      <c r="D25304" s="15" t="s">
        <v>10214</v>
      </c>
      <c r="E25304" s="2">
        <v>1268295</v>
      </c>
      <c r="F25304" s="4" t="e">
        <f>IF(B25304=#REF!,"",B25304)</f>
        <v>#REF!</v>
      </c>
    </row>
    <row r="25305" spans="1:6" ht="15.75" customHeight="1">
      <c r="A25305" s="15" t="s">
        <v>24952</v>
      </c>
      <c r="B25305" s="15" t="s">
        <v>24953</v>
      </c>
      <c r="C25305" s="15" t="s">
        <v>24924</v>
      </c>
      <c r="D25305" s="15" t="s">
        <v>6944</v>
      </c>
      <c r="E25305" s="2">
        <v>1241964</v>
      </c>
      <c r="F25305" s="4" t="e">
        <f>IF(B25305=#REF!,"",B25305)</f>
        <v>#REF!</v>
      </c>
    </row>
    <row r="25306" spans="1:6" ht="15.75" customHeight="1">
      <c r="A25306" s="15" t="s">
        <v>26989</v>
      </c>
      <c r="B25306" s="15" t="s">
        <v>26989</v>
      </c>
      <c r="C25306" s="15" t="s">
        <v>26870</v>
      </c>
      <c r="D25306" s="15" t="s">
        <v>26947</v>
      </c>
      <c r="E25306" s="2">
        <v>707099</v>
      </c>
      <c r="F25306" s="4" t="str">
        <f>IF(B25306=B25305,"",B25306)</f>
        <v>Kalush</v>
      </c>
    </row>
    <row r="25307" spans="1:6" ht="15.75" customHeight="1">
      <c r="A25307" s="16" t="str">
        <f ca="1">IFERROR(__xludf.DUMMYFUNCTION("GOOGLETRANSLATE(B39052,""en"",""pt"")"),"Kalūr Kot")</f>
        <v>Kalūr Kot</v>
      </c>
      <c r="B25307" s="20" t="s">
        <v>34994</v>
      </c>
      <c r="C25307" s="20" t="s">
        <v>19808</v>
      </c>
      <c r="D25307" s="20" t="s">
        <v>10184</v>
      </c>
      <c r="E25307" s="10">
        <v>1175180</v>
      </c>
      <c r="F25307" s="4" t="e">
        <f>IF(B25307=#REF!,"",B25307)</f>
        <v>#REF!</v>
      </c>
    </row>
    <row r="25308" spans="1:6" ht="15.75" customHeight="1">
      <c r="A25308" s="16" t="s">
        <v>6253</v>
      </c>
      <c r="B25308" s="15" t="s">
        <v>6253</v>
      </c>
      <c r="C25308" s="16" t="s">
        <v>6209</v>
      </c>
      <c r="D25308" s="16" t="s">
        <v>6232</v>
      </c>
      <c r="E25308" s="2">
        <v>2619154</v>
      </c>
      <c r="F25308" s="4" t="e">
        <f>IF(B25308=#REF!,"",B25308)</f>
        <v>#REF!</v>
      </c>
    </row>
    <row r="25309" spans="1:6" ht="15.75" customHeight="1">
      <c r="A25309" s="15" t="s">
        <v>31046</v>
      </c>
      <c r="B25309" s="15" t="s">
        <v>31046</v>
      </c>
      <c r="C25309" s="15" t="s">
        <v>31038</v>
      </c>
      <c r="D25309" s="15" t="s">
        <v>31039</v>
      </c>
      <c r="E25309" s="2">
        <v>914959</v>
      </c>
      <c r="F25309" s="4" t="e">
        <f>IF(B25309=#REF!,"",B25309)</f>
        <v>#REF!</v>
      </c>
    </row>
    <row r="25310" spans="1:6" ht="15.75" customHeight="1">
      <c r="A25310" s="16" t="s">
        <v>11836</v>
      </c>
      <c r="B25310" s="15" t="s">
        <v>11836</v>
      </c>
      <c r="C25310" s="16" t="s">
        <v>10178</v>
      </c>
      <c r="D25310" s="16" t="s">
        <v>10196</v>
      </c>
      <c r="E25310" s="2">
        <v>1268310</v>
      </c>
      <c r="F25310" s="4" t="e">
        <f>IF(B25310=#REF!,"",B25310)</f>
        <v>#REF!</v>
      </c>
    </row>
    <row r="25311" spans="1:6" ht="15.75" customHeight="1">
      <c r="A25311" s="15" t="s">
        <v>22184</v>
      </c>
      <c r="B25311" s="15" t="s">
        <v>22184</v>
      </c>
      <c r="C25311" s="15" t="s">
        <v>22070</v>
      </c>
      <c r="D25311" s="15" t="s">
        <v>22184</v>
      </c>
      <c r="E25311" s="2">
        <v>553915</v>
      </c>
      <c r="F25311" s="4" t="e">
        <f>IF(B25311=#REF!,"",B25311)</f>
        <v>#REF!</v>
      </c>
    </row>
    <row r="25312" spans="1:6" ht="15.75" customHeight="1">
      <c r="A25312" s="16" t="s">
        <v>8657</v>
      </c>
      <c r="B25312" s="15" t="s">
        <v>8657</v>
      </c>
      <c r="C25312" s="16" t="s">
        <v>8028</v>
      </c>
      <c r="D25312" s="16" t="s">
        <v>8040</v>
      </c>
      <c r="E25312" s="2">
        <v>2893544</v>
      </c>
      <c r="F25312" s="4" t="e">
        <f>IF(B25312=#REF!,"",B25312)</f>
        <v>#REF!</v>
      </c>
    </row>
    <row r="25313" spans="1:6" ht="15.75" customHeight="1">
      <c r="A25313" s="15" t="s">
        <v>22459</v>
      </c>
      <c r="B25313" s="15" t="s">
        <v>22459</v>
      </c>
      <c r="C25313" s="15" t="s">
        <v>22070</v>
      </c>
      <c r="D25313" s="15" t="s">
        <v>22140</v>
      </c>
      <c r="E25313" s="2">
        <v>1504972</v>
      </c>
      <c r="F25313" s="4" t="str">
        <f>IF(B25313=B25312,"",B25313)</f>
        <v>Kaltan</v>
      </c>
    </row>
    <row r="25314" spans="1:6" ht="15.75" customHeight="1">
      <c r="A25314" s="16" t="str">
        <f ca="1">IFERROR(__xludf.DUMMYFUNCTION("GOOGLETRANSLATE(B33177,""en"",""pt"")"),"Kālpi")</f>
        <v>Kālpi</v>
      </c>
      <c r="B25314" s="20" t="s">
        <v>33574</v>
      </c>
      <c r="C25314" s="20" t="s">
        <v>10178</v>
      </c>
      <c r="D25314" s="20" t="s">
        <v>10193</v>
      </c>
      <c r="E25314" s="10">
        <v>1268325</v>
      </c>
      <c r="F25314" s="4" t="e">
        <f>IF(B25314=#REF!,"",B25314)</f>
        <v>#REF!</v>
      </c>
    </row>
    <row r="25315" spans="1:6" ht="15.75" customHeight="1">
      <c r="A25315" s="15" t="s">
        <v>11835</v>
      </c>
      <c r="B25315" s="15" t="s">
        <v>11835</v>
      </c>
      <c r="C25315" s="15" t="s">
        <v>10178</v>
      </c>
      <c r="D25315" s="15" t="s">
        <v>10246</v>
      </c>
      <c r="E25315" s="2">
        <v>1268327</v>
      </c>
      <c r="F25315" s="4" t="str">
        <f>IF(B25315=B25314,"",B25315)</f>
        <v>Kalpetta</v>
      </c>
    </row>
    <row r="25316" spans="1:6" ht="15.75" customHeight="1">
      <c r="A25316" s="16" t="str">
        <f ca="1">IFERROR(__xludf.DUMMYFUNCTION("GOOGLETRANSLATE(B33179,""en"",""pt"")"),"Kālol")</f>
        <v>Kālol</v>
      </c>
      <c r="B25316" s="20" t="s">
        <v>33575</v>
      </c>
      <c r="C25316" s="20" t="s">
        <v>10178</v>
      </c>
      <c r="D25316" s="20" t="s">
        <v>10209</v>
      </c>
      <c r="E25316" s="10">
        <v>1268339</v>
      </c>
      <c r="F25316" s="4" t="e">
        <f>IF(B25316=#REF!,"",B25316)</f>
        <v>#REF!</v>
      </c>
    </row>
    <row r="25317" spans="1:6" ht="15.75" customHeight="1">
      <c r="A25317" s="16" t="s">
        <v>1473</v>
      </c>
      <c r="B25317" s="15" t="s">
        <v>1473</v>
      </c>
      <c r="C25317" s="16" t="s">
        <v>1453</v>
      </c>
      <c r="D25317" s="16" t="s">
        <v>1463</v>
      </c>
      <c r="E25317" s="2">
        <v>627083</v>
      </c>
      <c r="F25317" s="4" t="e">
        <f>IF(B25317=#REF!,"",B25317)</f>
        <v>#REF!</v>
      </c>
    </row>
    <row r="25318" spans="1:6" ht="15.75" customHeight="1">
      <c r="A25318" s="15" t="s">
        <v>10072</v>
      </c>
      <c r="B25318" s="15" t="s">
        <v>10072</v>
      </c>
      <c r="C25318" s="15" t="s">
        <v>9955</v>
      </c>
      <c r="D25318" s="15" t="s">
        <v>9970</v>
      </c>
      <c r="E25318" s="2">
        <v>3050719</v>
      </c>
      <c r="F25318" s="4" t="str">
        <f>IF(B25318=B25317,"",B25318)</f>
        <v>Kalocsa</v>
      </c>
    </row>
    <row r="25319" spans="1:6" ht="15.75" customHeight="1">
      <c r="A25319" s="15" t="s">
        <v>25541</v>
      </c>
      <c r="B25319" s="15" t="s">
        <v>25542</v>
      </c>
      <c r="C25319" s="15" t="s">
        <v>25527</v>
      </c>
      <c r="D25319" s="15" t="s">
        <v>25532</v>
      </c>
      <c r="E25319" s="2">
        <v>1221194</v>
      </c>
      <c r="F25319" s="4" t="str">
        <f>IF(B25319=B25318,"",B25319)</f>
        <v>KÅ­lob</v>
      </c>
    </row>
    <row r="25320" spans="1:6" ht="15.75" customHeight="1">
      <c r="A25320" s="16" t="str">
        <f ca="1">IFERROR(__xludf.DUMMYFUNCTION("GOOGLETRANSLATE(B33180,""en"",""pt"")"),"Kālna")</f>
        <v>Kālna</v>
      </c>
      <c r="B25320" s="20" t="s">
        <v>33576</v>
      </c>
      <c r="C25320" s="20" t="s">
        <v>10178</v>
      </c>
      <c r="D25320" s="20" t="s">
        <v>10201</v>
      </c>
      <c r="E25320" s="10">
        <v>1268341</v>
      </c>
      <c r="F25320" s="4" t="e">
        <f>IF(B25320=#REF!,"",B25320)</f>
        <v>#REF!</v>
      </c>
    </row>
    <row r="25321" spans="1:6" ht="15.75" customHeight="1">
      <c r="A25321" s="15" t="s">
        <v>24951</v>
      </c>
      <c r="B25321" s="15" t="s">
        <v>24951</v>
      </c>
      <c r="C25321" s="15" t="s">
        <v>24924</v>
      </c>
      <c r="D25321" s="15" t="s">
        <v>6128</v>
      </c>
      <c r="E25321" s="2">
        <v>1242110</v>
      </c>
      <c r="F25321" s="4" t="e">
        <f>IF(B25321=#REF!,"",B25321)</f>
        <v>#REF!</v>
      </c>
    </row>
    <row r="25322" spans="1:6" ht="15.75" customHeight="1">
      <c r="A25322" s="16" t="s">
        <v>1604</v>
      </c>
      <c r="B25322" s="15" t="s">
        <v>1604</v>
      </c>
      <c r="C25322" s="16" t="s">
        <v>1512</v>
      </c>
      <c r="D25322" s="16" t="s">
        <v>1513</v>
      </c>
      <c r="E25322" s="2">
        <v>2794788</v>
      </c>
      <c r="F25322" s="4" t="e">
        <f>IF(B25322=#REF!,"",B25322)</f>
        <v>#REF!</v>
      </c>
    </row>
    <row r="25323" spans="1:6" ht="15.75" customHeight="1">
      <c r="A25323" s="16" t="s">
        <v>11834</v>
      </c>
      <c r="B25323" s="15" t="s">
        <v>11834</v>
      </c>
      <c r="C25323" s="16" t="s">
        <v>10178</v>
      </c>
      <c r="D25323" s="16" t="s">
        <v>10214</v>
      </c>
      <c r="E25323" s="2">
        <v>1268344</v>
      </c>
      <c r="F25323" s="4" t="e">
        <f>IF(B25323=#REF!,"",B25323)</f>
        <v>#REF!</v>
      </c>
    </row>
    <row r="25324" spans="1:6" ht="15.75" customHeight="1">
      <c r="A25324" s="15" t="s">
        <v>25143</v>
      </c>
      <c r="B25324" s="15" t="s">
        <v>25143</v>
      </c>
      <c r="C25324" s="15" t="s">
        <v>25077</v>
      </c>
      <c r="D25324" s="15" t="s">
        <v>25143</v>
      </c>
      <c r="E25324" s="2">
        <v>2702261</v>
      </c>
      <c r="F25324" s="4" t="str">
        <f>IF(B25324=B25323,"",B25324)</f>
        <v>Kalmar</v>
      </c>
    </row>
    <row r="25325" spans="1:6" ht="15.75" customHeight="1">
      <c r="A25325" s="16" t="str">
        <f ca="1">IFERROR(__xludf.DUMMYFUNCTION("GOOGLETRANSLATE(B31000,""en"",""pt"")"),"Kallithéa")</f>
        <v>Kallithéa</v>
      </c>
      <c r="B25325" s="20" t="s">
        <v>32708</v>
      </c>
      <c r="C25325" s="20" t="s">
        <v>9441</v>
      </c>
      <c r="D25325" s="20" t="s">
        <v>9445</v>
      </c>
      <c r="E25325" s="10">
        <v>261414</v>
      </c>
      <c r="F25325" s="4" t="str">
        <f>IF(B25325=B25324,"",B25325)</f>
        <v>Kallithéa</v>
      </c>
    </row>
    <row r="25326" spans="1:6" ht="15.75" customHeight="1">
      <c r="A25326" s="15" t="s">
        <v>9536</v>
      </c>
      <c r="B25326" s="15" t="s">
        <v>9537</v>
      </c>
      <c r="C25326" s="15" t="s">
        <v>9441</v>
      </c>
      <c r="D25326" s="15" t="s">
        <v>9445</v>
      </c>
      <c r="E25326" s="2">
        <v>261414</v>
      </c>
      <c r="F25326" s="4" t="e">
        <f>IF(B25326=#REF!,"",B25326)</f>
        <v>#REF!</v>
      </c>
    </row>
    <row r="25327" spans="1:6" ht="15.75" customHeight="1">
      <c r="A25327" s="16" t="s">
        <v>11833</v>
      </c>
      <c r="B25327" s="15" t="s">
        <v>11833</v>
      </c>
      <c r="C25327" s="16" t="s">
        <v>10178</v>
      </c>
      <c r="D25327" s="16" t="s">
        <v>10196</v>
      </c>
      <c r="E25327" s="2">
        <v>1268360</v>
      </c>
      <c r="F25327" s="4" t="str">
        <f>IF(B25327=B25326,"",B25327)</f>
        <v>Kallidaikurichchi</v>
      </c>
    </row>
    <row r="25328" spans="1:6" ht="15.75" customHeight="1">
      <c r="A25328" s="16" t="str">
        <f ca="1">IFERROR(__xludf.DUMMYFUNCTION("GOOGLETRANSLATE(B39053,""en"",""pt"")"),"Kallar Kahār")</f>
        <v>Kallar Kahār</v>
      </c>
      <c r="B25328" s="20" t="s">
        <v>34995</v>
      </c>
      <c r="C25328" s="20" t="s">
        <v>19808</v>
      </c>
      <c r="D25328" s="20" t="s">
        <v>10184</v>
      </c>
      <c r="E25328" s="10">
        <v>1175232</v>
      </c>
      <c r="F25328" s="4" t="str">
        <f>IF(B25328=B25327,"",B25328)</f>
        <v>Kallar Kahār</v>
      </c>
    </row>
    <row r="25329" spans="1:6" ht="15.75" customHeight="1">
      <c r="A25329" s="16" t="s">
        <v>19991</v>
      </c>
      <c r="B25329" s="15" t="s">
        <v>19992</v>
      </c>
      <c r="C25329" s="16" t="s">
        <v>19808</v>
      </c>
      <c r="D25329" s="16" t="s">
        <v>10184</v>
      </c>
      <c r="E25329" s="2">
        <v>1175232</v>
      </c>
      <c r="F25329" s="4" t="e">
        <f>IF(B25329=#REF!,"",B25329)</f>
        <v>#REF!</v>
      </c>
    </row>
    <row r="25330" spans="1:6" ht="15.75" customHeight="1">
      <c r="A25330" s="16" t="s">
        <v>11832</v>
      </c>
      <c r="B25330" s="15" t="s">
        <v>11832</v>
      </c>
      <c r="C25330" s="16" t="s">
        <v>10178</v>
      </c>
      <c r="D25330" s="16" t="s">
        <v>10196</v>
      </c>
      <c r="E25330" s="2">
        <v>1268376</v>
      </c>
      <c r="F25330" s="4" t="str">
        <f>IF(B25330=B25329,"",B25330)</f>
        <v>Kallakkurichchi</v>
      </c>
    </row>
    <row r="25331" spans="1:6" ht="15.75" customHeight="1">
      <c r="A25331" s="16" t="str">
        <f ca="1">IFERROR(__xludf.DUMMYFUNCTION("GOOGLETRANSLATE(B33184,""en"",""pt"")"),"Kālka")</f>
        <v>Kālka</v>
      </c>
      <c r="B25331" s="20" t="s">
        <v>33577</v>
      </c>
      <c r="C25331" s="20" t="s">
        <v>10178</v>
      </c>
      <c r="D25331" s="20" t="s">
        <v>10538</v>
      </c>
      <c r="E25331" s="10">
        <v>1268381</v>
      </c>
      <c r="F25331" s="4" t="e">
        <f>IF(B25331=#REF!,"",B25331)</f>
        <v>#REF!</v>
      </c>
    </row>
    <row r="25332" spans="1:6" ht="15.75" customHeight="1">
      <c r="A25332" s="15" t="s">
        <v>8656</v>
      </c>
      <c r="B25332" s="15" t="s">
        <v>8656</v>
      </c>
      <c r="C25332" s="15" t="s">
        <v>8028</v>
      </c>
      <c r="D25332" s="15" t="s">
        <v>8029</v>
      </c>
      <c r="E25332" s="2">
        <v>8593861</v>
      </c>
      <c r="F25332" s="4" t="str">
        <f>IF(B25332=B25331,"",B25332)</f>
        <v>Kalk</v>
      </c>
    </row>
    <row r="25333" spans="1:6" ht="15.75" customHeight="1">
      <c r="A25333" s="16" t="str">
        <f ca="1">IFERROR(__xludf.DUMMYFUNCTION("GOOGLETRANSLATE(B33185,""en"",""pt"")"),"Kāliyāganj")</f>
        <v>Kāliyāganj</v>
      </c>
      <c r="B25333" s="20" t="s">
        <v>33578</v>
      </c>
      <c r="C25333" s="20" t="s">
        <v>10178</v>
      </c>
      <c r="D25333" s="20" t="s">
        <v>10201</v>
      </c>
      <c r="E25333" s="10">
        <v>1268383</v>
      </c>
      <c r="F25333" s="4" t="e">
        <f>IF(B25333=#REF!,"",B25333)</f>
        <v>#REF!</v>
      </c>
    </row>
    <row r="25334" spans="1:6" ht="15.75" customHeight="1">
      <c r="A25334" s="15" t="s">
        <v>21274</v>
      </c>
      <c r="B25334" s="15" t="s">
        <v>21274</v>
      </c>
      <c r="C25334" s="15" t="s">
        <v>21064</v>
      </c>
      <c r="D25334" s="15" t="s">
        <v>21112</v>
      </c>
      <c r="E25334" s="2">
        <v>3096880</v>
      </c>
      <c r="F25334" s="4" t="e">
        <f>IF(B25334=#REF!,"",B25334)</f>
        <v>#REF!</v>
      </c>
    </row>
    <row r="25335" spans="1:6" ht="15.75" customHeight="1">
      <c r="A25335" s="15" t="s">
        <v>29001</v>
      </c>
      <c r="B25335" s="15" t="s">
        <v>29001</v>
      </c>
      <c r="C25335" s="15" t="s">
        <v>27788</v>
      </c>
      <c r="D25335" s="15" t="s">
        <v>3706</v>
      </c>
      <c r="E25335" s="2">
        <v>5660340</v>
      </c>
      <c r="F25335" s="4" t="e">
        <f>IF(B25335=#REF!,"",B25335)</f>
        <v>#REF!</v>
      </c>
    </row>
    <row r="25336" spans="1:6" ht="15.75" customHeight="1">
      <c r="A25336" s="16" t="s">
        <v>1472</v>
      </c>
      <c r="B25336" s="15" t="s">
        <v>1472</v>
      </c>
      <c r="C25336" s="16" t="s">
        <v>1453</v>
      </c>
      <c r="D25336" s="16" t="s">
        <v>1461</v>
      </c>
      <c r="E25336" s="2">
        <v>627751</v>
      </c>
      <c r="F25336" s="4" t="e">
        <f>IF(B25336=#REF!,"",B25336)</f>
        <v>#REF!</v>
      </c>
    </row>
    <row r="25337" spans="1:6" ht="15.75" customHeight="1">
      <c r="A25337" s="16" t="s">
        <v>22458</v>
      </c>
      <c r="B25337" s="15" t="s">
        <v>22458</v>
      </c>
      <c r="C25337" s="16" t="s">
        <v>22070</v>
      </c>
      <c r="D25337" s="16" t="s">
        <v>22094</v>
      </c>
      <c r="E25337" s="2">
        <v>8504951</v>
      </c>
      <c r="F25337" s="4" t="e">
        <f>IF(B25337=#REF!,"",B25337)</f>
        <v>#REF!</v>
      </c>
    </row>
    <row r="25338" spans="1:6" ht="15.75" customHeight="1">
      <c r="A25338" s="15" t="s">
        <v>22457</v>
      </c>
      <c r="B25338" s="15" t="s">
        <v>22457</v>
      </c>
      <c r="C25338" s="15" t="s">
        <v>22070</v>
      </c>
      <c r="D25338" s="15" t="s">
        <v>22171</v>
      </c>
      <c r="E25338" s="2">
        <v>554199</v>
      </c>
      <c r="F25338" s="4" t="e">
        <f>IF(B25338=#REF!,"",B25338)</f>
        <v>#REF!</v>
      </c>
    </row>
    <row r="25339" spans="1:6" ht="15.75" customHeight="1">
      <c r="A25339" s="16" t="s">
        <v>22456</v>
      </c>
      <c r="B25339" s="15" t="s">
        <v>22191</v>
      </c>
      <c r="C25339" s="16" t="s">
        <v>22070</v>
      </c>
      <c r="D25339" s="16" t="s">
        <v>22191</v>
      </c>
      <c r="E25339" s="2">
        <v>554234</v>
      </c>
      <c r="F25339" s="4" t="str">
        <f>IF(B25339=B25338,"",B25339)</f>
        <v>Kaliningrad</v>
      </c>
    </row>
    <row r="25340" spans="1:6" ht="15.75" customHeight="1">
      <c r="A25340" s="16" t="str">
        <f ca="1">IFERROR(__xludf.DUMMYFUNCTION("GOOGLETRANSLATE(B33186,""en"",""pt"")"),"Kālimpong")</f>
        <v>Kālimpong</v>
      </c>
      <c r="B25340" s="20" t="s">
        <v>33579</v>
      </c>
      <c r="C25340" s="20" t="s">
        <v>10178</v>
      </c>
      <c r="D25340" s="20" t="s">
        <v>10201</v>
      </c>
      <c r="E25340" s="10">
        <v>1268403</v>
      </c>
      <c r="F25340" s="4" t="str">
        <f>IF(B25340=B25339,"",B25340)</f>
        <v>Kālimpong</v>
      </c>
    </row>
    <row r="25341" spans="1:6" ht="15.75" customHeight="1">
      <c r="A25341" s="16" t="str">
        <f ca="1">IFERROR(__xludf.DUMMYFUNCTION("GOOGLETRANSLATE(B23728,""en"",""pt"")"),"Kālīganj")</f>
        <v>Kālīganj</v>
      </c>
      <c r="B25341" s="20" t="s">
        <v>31273</v>
      </c>
      <c r="C25341" s="20" t="s">
        <v>1296</v>
      </c>
      <c r="D25341" s="20" t="s">
        <v>1315</v>
      </c>
      <c r="E25341" s="10">
        <v>1185199</v>
      </c>
      <c r="F25341" s="4" t="e">
        <f>IF(B25341=#REF!,"",B25341)</f>
        <v>#REF!</v>
      </c>
    </row>
    <row r="25342" spans="1:6" ht="15.75" customHeight="1">
      <c r="A25342" s="16" t="s">
        <v>20811</v>
      </c>
      <c r="B25342" s="15" t="s">
        <v>20812</v>
      </c>
      <c r="C25342" s="16" t="s">
        <v>20598</v>
      </c>
      <c r="D25342" s="16" t="s">
        <v>20627</v>
      </c>
      <c r="E25342" s="2">
        <v>1709632</v>
      </c>
      <c r="F25342" s="4" t="e">
        <f>IF(B25342=#REF!,"",B25342)</f>
        <v>#REF!</v>
      </c>
    </row>
    <row r="25343" spans="1:6" ht="15.75" customHeight="1">
      <c r="A25343" s="15" t="s">
        <v>13953</v>
      </c>
      <c r="B25343" s="15" t="s">
        <v>13953</v>
      </c>
      <c r="C25343" s="15" t="s">
        <v>13800</v>
      </c>
      <c r="D25343" s="15" t="s">
        <v>13816</v>
      </c>
      <c r="E25343" s="2">
        <v>1641977</v>
      </c>
      <c r="F25343" s="4" t="str">
        <f>IF(B25343=B25342,"",B25343)</f>
        <v>Kalianget</v>
      </c>
    </row>
    <row r="25344" spans="1:6" ht="15.75" customHeight="1">
      <c r="A25344" s="16" t="str">
        <f ca="1">IFERROR(__xludf.DUMMYFUNCTION("GOOGLETRANSLATE(B23748,""en"",""pt"")"),"Kālia")</f>
        <v>Kālia</v>
      </c>
      <c r="B25344" s="20" t="s">
        <v>31285</v>
      </c>
      <c r="C25344" s="20" t="s">
        <v>1296</v>
      </c>
      <c r="D25344" s="20" t="s">
        <v>1315</v>
      </c>
      <c r="E25344" s="10">
        <v>1185272</v>
      </c>
      <c r="F25344" s="4" t="e">
        <f>IF(B25344=#REF!,"",B25344)</f>
        <v>#REF!</v>
      </c>
    </row>
    <row r="25345" spans="1:6" ht="15.75" customHeight="1">
      <c r="A25345" s="16" t="s">
        <v>1004</v>
      </c>
      <c r="B25345" s="15" t="s">
        <v>1004</v>
      </c>
      <c r="C25345" s="16" t="s">
        <v>885</v>
      </c>
      <c r="D25345" s="16" t="s">
        <v>889</v>
      </c>
      <c r="E25345" s="2">
        <v>2068823</v>
      </c>
      <c r="F25345" s="4" t="e">
        <f>IF(B25345=#REF!,"",B25345)</f>
        <v>#REF!</v>
      </c>
    </row>
    <row r="25346" spans="1:6" ht="15.75" customHeight="1">
      <c r="A25346" s="15" t="s">
        <v>11831</v>
      </c>
      <c r="B25346" s="15" t="s">
        <v>11831</v>
      </c>
      <c r="C25346" s="15" t="s">
        <v>10178</v>
      </c>
      <c r="D25346" s="15" t="s">
        <v>10252</v>
      </c>
      <c r="E25346" s="2">
        <v>1268434</v>
      </c>
      <c r="F25346" s="4" t="e">
        <f>IF(B25346=#REF!,"",B25346)</f>
        <v>#REF!</v>
      </c>
    </row>
    <row r="25347" spans="1:6" ht="15.75" customHeight="1">
      <c r="A25347" s="15" t="s">
        <v>6160</v>
      </c>
      <c r="B25347" s="15" t="s">
        <v>6160</v>
      </c>
      <c r="C25347" s="15" t="s">
        <v>6127</v>
      </c>
      <c r="D25347" s="15" t="s">
        <v>6138</v>
      </c>
      <c r="E25347" s="2">
        <v>214974</v>
      </c>
      <c r="F25347" s="4" t="str">
        <f>IF(B25347=B25346,"",B25347)</f>
        <v>Kalemie</v>
      </c>
    </row>
    <row r="25348" spans="1:6" ht="15.75" customHeight="1">
      <c r="A25348" s="16" t="str">
        <f ca="1">IFERROR(__xludf.DUMMYFUNCTION("GOOGLETRANSLATE(B39054,""en"",""pt"")"),"Kāleke Mandi")</f>
        <v>Kāleke Mandi</v>
      </c>
      <c r="B25348" s="20" t="s">
        <v>34996</v>
      </c>
      <c r="C25348" s="20" t="s">
        <v>19808</v>
      </c>
      <c r="D25348" s="20" t="s">
        <v>10184</v>
      </c>
      <c r="E25348" s="10">
        <v>1175283</v>
      </c>
      <c r="F25348" s="4" t="e">
        <f>IF(B25348=#REF!,"",B25348)</f>
        <v>#REF!</v>
      </c>
    </row>
    <row r="25349" spans="1:6" ht="15.75" customHeight="1">
      <c r="A25349" s="15" t="s">
        <v>11830</v>
      </c>
      <c r="B25349" s="15" t="s">
        <v>11830</v>
      </c>
      <c r="C25349" s="15" t="s">
        <v>10178</v>
      </c>
      <c r="D25349" s="15" t="s">
        <v>10246</v>
      </c>
      <c r="E25349" s="2">
        <v>10629189</v>
      </c>
      <c r="F25349" s="4" t="str">
        <f>IF(B25349=B25348,"",B25349)</f>
        <v>Kalavoor</v>
      </c>
    </row>
    <row r="25350" spans="1:6" ht="15.75" customHeight="1">
      <c r="A25350" s="16" t="str">
        <f ca="1">IFERROR(__xludf.DUMMYFUNCTION("GOOGLETRANSLATE(B33188,""en"",""pt"")"),"Kālāvad")</f>
        <v>Kālāvad</v>
      </c>
      <c r="B25350" s="20" t="s">
        <v>33580</v>
      </c>
      <c r="C25350" s="20" t="s">
        <v>10178</v>
      </c>
      <c r="D25350" s="20" t="s">
        <v>10209</v>
      </c>
      <c r="E25350" s="10">
        <v>1268450</v>
      </c>
      <c r="F25350" s="4" t="str">
        <f>IF(B25350=B25349,"",B25350)</f>
        <v>Kālāvad</v>
      </c>
    </row>
    <row r="25351" spans="1:6" ht="15.75" customHeight="1">
      <c r="A25351" s="16" t="str">
        <f ca="1">IFERROR(__xludf.DUMMYFUNCTION("GOOGLETRANSLATE(B39055,""en"",""pt"")"),"Kalāt")</f>
        <v>Kalāt</v>
      </c>
      <c r="B25351" s="20" t="s">
        <v>34997</v>
      </c>
      <c r="C25351" s="20" t="s">
        <v>19808</v>
      </c>
      <c r="D25351" s="20" t="s">
        <v>34892</v>
      </c>
      <c r="E25351" s="10">
        <v>1175296</v>
      </c>
      <c r="F25351" s="4" t="e">
        <f>IF(B25351=#REF!,"",B25351)</f>
        <v>#REF!</v>
      </c>
    </row>
    <row r="25352" spans="1:6" ht="15.75" customHeight="1">
      <c r="A25352" s="15" t="s">
        <v>25893</v>
      </c>
      <c r="B25352" s="15" t="s">
        <v>25893</v>
      </c>
      <c r="C25352" s="15" t="s">
        <v>25771</v>
      </c>
      <c r="D25352" s="15" t="s">
        <v>25893</v>
      </c>
      <c r="E25352" s="2">
        <v>1610469</v>
      </c>
      <c r="F25352" s="4" t="str">
        <f>IF(B25352=B25351,"",B25352)</f>
        <v>Kalasin</v>
      </c>
    </row>
    <row r="25353" spans="1:6" ht="15.75" customHeight="1">
      <c r="A25353" s="16" t="str">
        <f ca="1">IFERROR(__xludf.DUMMYFUNCTION("GOOGLETRANSLATE(B33189,""en"",""pt"")"),"Kālānwāli")</f>
        <v>Kālānwāli</v>
      </c>
      <c r="B25353" s="20" t="s">
        <v>33581</v>
      </c>
      <c r="C25353" s="20" t="s">
        <v>10178</v>
      </c>
      <c r="D25353" s="20" t="s">
        <v>10224</v>
      </c>
      <c r="E25353" s="10">
        <v>1268469</v>
      </c>
      <c r="F25353" s="4" t="str">
        <f>IF(B25353=B25352,"",B25353)</f>
        <v>Kālānwāli</v>
      </c>
    </row>
    <row r="25354" spans="1:6" ht="15.75" customHeight="1">
      <c r="A25354" s="16" t="str">
        <f ca="1">IFERROR(__xludf.DUMMYFUNCTION("GOOGLETRANSLATE(B33190,""en"",""pt"")"),"Kalānaur")</f>
        <v>Kalānaur</v>
      </c>
      <c r="B25354" s="20" t="s">
        <v>33582</v>
      </c>
      <c r="C25354" s="20" t="s">
        <v>10178</v>
      </c>
      <c r="D25354" s="20" t="s">
        <v>10224</v>
      </c>
      <c r="E25354" s="10">
        <v>1268476</v>
      </c>
      <c r="F25354" s="4" t="str">
        <f>IF(B25354=B25353,"",B25354)</f>
        <v>Kalānaur</v>
      </c>
    </row>
    <row r="25355" spans="1:6" ht="15.75" customHeight="1">
      <c r="A25355" s="16" t="str">
        <f ca="1">IFERROR(__xludf.DUMMYFUNCTION("GOOGLETRANSLATE(B33191,""en"",""pt"")"),"Kalamnūri")</f>
        <v>Kalamnūri</v>
      </c>
      <c r="B25355" s="20" t="s">
        <v>33583</v>
      </c>
      <c r="C25355" s="20" t="s">
        <v>10178</v>
      </c>
      <c r="D25355" s="20" t="s">
        <v>10214</v>
      </c>
      <c r="E25355" s="10">
        <v>1268480</v>
      </c>
      <c r="F25355" s="4" t="str">
        <f>IF(B25355=B25354,"",B25355)</f>
        <v>Kalamnūri</v>
      </c>
    </row>
    <row r="25356" spans="1:6" ht="15.75" customHeight="1">
      <c r="A25356" s="16" t="s">
        <v>11828</v>
      </c>
      <c r="B25356" s="15" t="s">
        <v>11829</v>
      </c>
      <c r="C25356" s="16" t="s">
        <v>10178</v>
      </c>
      <c r="D25356" s="16" t="s">
        <v>10214</v>
      </c>
      <c r="E25356" s="2">
        <v>1268480</v>
      </c>
      <c r="F25356" s="4" t="e">
        <f>IF(B25356=#REF!,"",B25356)</f>
        <v>#REF!</v>
      </c>
    </row>
    <row r="25357" spans="1:6" ht="15.75" customHeight="1">
      <c r="A25357" s="15" t="s">
        <v>11827</v>
      </c>
      <c r="B25357" s="15" t="s">
        <v>11827</v>
      </c>
      <c r="C25357" s="15" t="s">
        <v>10178</v>
      </c>
      <c r="D25357" s="15" t="s">
        <v>10214</v>
      </c>
      <c r="E25357" s="2">
        <v>1268484</v>
      </c>
      <c r="F25357" s="4" t="e">
        <f>IF(B25357=#REF!,"",B25357)</f>
        <v>#REF!</v>
      </c>
    </row>
    <row r="25358" spans="1:6" ht="15.75" customHeight="1">
      <c r="A25358" s="16" t="s">
        <v>29000</v>
      </c>
      <c r="B25358" s="15" t="s">
        <v>29000</v>
      </c>
      <c r="C25358" s="16" t="s">
        <v>27788</v>
      </c>
      <c r="D25358" s="16" t="s">
        <v>27804</v>
      </c>
      <c r="E25358" s="2">
        <v>4997787</v>
      </c>
      <c r="F25358" s="4" t="str">
        <f>IF(B25358=B25357,"",B25358)</f>
        <v>Kalamazoo</v>
      </c>
    </row>
    <row r="25359" spans="1:6" ht="15.75" customHeight="1">
      <c r="A25359" s="16" t="str">
        <f ca="1">IFERROR(__xludf.DUMMYFUNCTION("GOOGLETRANSLATE(B31001,""en"",""pt"")"),"Kalamáta")</f>
        <v>Kalamáta</v>
      </c>
      <c r="B25359" s="20" t="s">
        <v>32709</v>
      </c>
      <c r="C25359" s="20" t="s">
        <v>9441</v>
      </c>
      <c r="D25359" s="20" t="s">
        <v>9453</v>
      </c>
      <c r="E25359" s="10">
        <v>261604</v>
      </c>
      <c r="F25359" s="4" t="e">
        <f>IF(B25359=#REF!,"",B25359)</f>
        <v>#REF!</v>
      </c>
    </row>
    <row r="25360" spans="1:6" ht="15.75" customHeight="1">
      <c r="A25360" s="16" t="s">
        <v>11826</v>
      </c>
      <c r="B25360" s="15" t="s">
        <v>11826</v>
      </c>
      <c r="C25360" s="16" t="s">
        <v>10178</v>
      </c>
      <c r="D25360" s="16" t="s">
        <v>10246</v>
      </c>
      <c r="E25360" s="2">
        <v>10630431</v>
      </c>
      <c r="F25360" s="4" t="str">
        <f>IF(B25360=B25359,"",B25360)</f>
        <v>Kalamassery</v>
      </c>
    </row>
    <row r="25361" spans="1:6" ht="15.75" customHeight="1">
      <c r="A25361" s="16" t="s">
        <v>9534</v>
      </c>
      <c r="B25361" s="15" t="s">
        <v>9535</v>
      </c>
      <c r="C25361" s="16" t="s">
        <v>9441</v>
      </c>
      <c r="D25361" s="16" t="s">
        <v>9442</v>
      </c>
      <c r="E25361" s="2">
        <v>736083</v>
      </c>
      <c r="F25361" s="4" t="str">
        <f>IF(B25361=B25360,"",B25361)</f>
        <v>KalamariÃ¡</v>
      </c>
    </row>
    <row r="25362" spans="1:6" ht="15.75" customHeight="1">
      <c r="A25362" s="16" t="str">
        <f ca="1">IFERROR(__xludf.DUMMYFUNCTION("GOOGLETRANSLATE(B31048,""en"",""pt"")"),"Kalamariá")</f>
        <v>Kalamariá</v>
      </c>
      <c r="B25362" s="20" t="s">
        <v>32754</v>
      </c>
      <c r="C25362" s="20" t="s">
        <v>9441</v>
      </c>
      <c r="D25362" s="20" t="s">
        <v>9442</v>
      </c>
      <c r="E25362" s="10">
        <v>736083</v>
      </c>
      <c r="F25362" s="4" t="str">
        <f>IF(B25362=B25361,"",B25362)</f>
        <v>Kalamariá</v>
      </c>
    </row>
    <row r="25363" spans="1:6" ht="15.75" customHeight="1">
      <c r="A25363" s="15" t="s">
        <v>9532</v>
      </c>
      <c r="B25363" s="15" t="s">
        <v>9533</v>
      </c>
      <c r="C25363" s="15" t="s">
        <v>9441</v>
      </c>
      <c r="D25363" s="15" t="s">
        <v>9453</v>
      </c>
      <c r="E25363" s="2">
        <v>261604</v>
      </c>
      <c r="F25363" s="4" t="str">
        <f>IF(B25363=B25362,"",B25363)</f>
        <v>KalamÃ¡ta</v>
      </c>
    </row>
    <row r="25364" spans="1:6" ht="15.75" customHeight="1">
      <c r="A25364" s="16" t="str">
        <f ca="1">IFERROR(__xludf.DUMMYFUNCTION("GOOGLETRANSLATE(B34439,""en"",""pt"")"),"Kalāleh")</f>
        <v>Kalāleh</v>
      </c>
      <c r="B25364" s="20" t="s">
        <v>34191</v>
      </c>
      <c r="C25364" s="20" t="s">
        <v>14240</v>
      </c>
      <c r="D25364" s="20" t="s">
        <v>34127</v>
      </c>
      <c r="E25364" s="10">
        <v>129512</v>
      </c>
      <c r="F25364" s="4" t="str">
        <f>IF(B25364=B25363,"",B25364)</f>
        <v>Kalāleh</v>
      </c>
    </row>
    <row r="25365" spans="1:6" ht="15.75" customHeight="1">
      <c r="A25365" s="16" t="str">
        <f ca="1">IFERROR(__xludf.DUMMYFUNCTION("GOOGLETRANSLATE(B33193,""en"",""pt"")"),"Kalakkādu")</f>
        <v>Kalakkādu</v>
      </c>
      <c r="B25365" s="20" t="s">
        <v>33584</v>
      </c>
      <c r="C25365" s="20" t="s">
        <v>10178</v>
      </c>
      <c r="D25365" s="20" t="s">
        <v>10196</v>
      </c>
      <c r="E25365" s="10">
        <v>1268495</v>
      </c>
      <c r="F25365" s="4" t="str">
        <f>IF(B25365=B25364,"",B25365)</f>
        <v>Kalakkādu</v>
      </c>
    </row>
    <row r="25366" spans="1:6" ht="15.75" customHeight="1">
      <c r="A25366" s="16" t="s">
        <v>11824</v>
      </c>
      <c r="B25366" s="15" t="s">
        <v>11825</v>
      </c>
      <c r="C25366" s="16" t="s">
        <v>10178</v>
      </c>
      <c r="D25366" s="16" t="s">
        <v>10196</v>
      </c>
      <c r="E25366" s="2">
        <v>1268495</v>
      </c>
      <c r="F25366" s="4" t="e">
        <f>IF(B25366=#REF!,"",B25366)</f>
        <v>#REF!</v>
      </c>
    </row>
    <row r="25367" spans="1:6" ht="15.75" customHeight="1">
      <c r="A25367" s="16" t="s">
        <v>22454</v>
      </c>
      <c r="B25367" s="15" t="s">
        <v>22455</v>
      </c>
      <c r="C25367" s="16" t="s">
        <v>22070</v>
      </c>
      <c r="D25367" s="16" t="s">
        <v>22351</v>
      </c>
      <c r="E25367" s="2">
        <v>554397</v>
      </c>
      <c r="F25367" s="4" t="e">
        <f>IF(B25367=#REF!,"",B25367)</f>
        <v>#REF!</v>
      </c>
    </row>
    <row r="25368" spans="1:6" ht="15.75" customHeight="1">
      <c r="A25368" s="16" t="s">
        <v>22452</v>
      </c>
      <c r="B25368" s="15" t="s">
        <v>22452</v>
      </c>
      <c r="C25368" s="16" t="s">
        <v>22070</v>
      </c>
      <c r="D25368" s="16" t="s">
        <v>22453</v>
      </c>
      <c r="E25368" s="2">
        <v>1505074</v>
      </c>
      <c r="F25368" s="4" t="e">
        <f>IF(B25368=#REF!,"",B25368)</f>
        <v>#REF!</v>
      </c>
    </row>
    <row r="25369" spans="1:6" ht="15.75" customHeight="1">
      <c r="A25369" s="15" t="s">
        <v>22451</v>
      </c>
      <c r="B25369" s="15" t="s">
        <v>22451</v>
      </c>
      <c r="C25369" s="15" t="s">
        <v>22070</v>
      </c>
      <c r="D25369" s="15" t="s">
        <v>22137</v>
      </c>
      <c r="E25369" s="2">
        <v>554410</v>
      </c>
      <c r="F25369" s="4" t="str">
        <f>IF(B25369=B25368,"",B25369)</f>
        <v>Kalach</v>
      </c>
    </row>
    <row r="25370" spans="1:6" ht="15.75" customHeight="1">
      <c r="A25370" s="16" t="str">
        <f ca="1">IFERROR(__xludf.DUMMYFUNCTION("GOOGLETRANSLATE(B39056,""en"",""pt"")"),"Kālābāgh")</f>
        <v>Kālābāgh</v>
      </c>
      <c r="B25370" s="20" t="s">
        <v>34998</v>
      </c>
      <c r="C25370" s="20" t="s">
        <v>19808</v>
      </c>
      <c r="D25370" s="20" t="s">
        <v>10184</v>
      </c>
      <c r="E25370" s="10">
        <v>1175365</v>
      </c>
      <c r="F25370" s="4" t="str">
        <f>IF(B25370=B25369,"",B25370)</f>
        <v>Kālābāgh</v>
      </c>
    </row>
    <row r="25371" spans="1:6" ht="15.75" customHeight="1">
      <c r="A25371" s="15" t="s">
        <v>19989</v>
      </c>
      <c r="B25371" s="15" t="s">
        <v>19990</v>
      </c>
      <c r="C25371" s="15" t="s">
        <v>19808</v>
      </c>
      <c r="D25371" s="15" t="s">
        <v>19833</v>
      </c>
      <c r="E25371" s="2">
        <v>1175296</v>
      </c>
      <c r="F25371" s="4" t="str">
        <f>IF(B25371=B25370,"",B25371)</f>
        <v>KalÄt</v>
      </c>
    </row>
    <row r="25372" spans="1:6" ht="15.75" customHeight="1">
      <c r="A25372" s="15" t="s">
        <v>11822</v>
      </c>
      <c r="B25372" s="15" t="s">
        <v>11823</v>
      </c>
      <c r="C25372" s="15" t="s">
        <v>10178</v>
      </c>
      <c r="D25372" s="15" t="s">
        <v>10224</v>
      </c>
      <c r="E25372" s="2">
        <v>1268476</v>
      </c>
      <c r="F25372" s="4" t="str">
        <f>IF(B25372=B25371,"",B25372)</f>
        <v>KalÄnaur</v>
      </c>
    </row>
    <row r="25373" spans="1:6" ht="15.75" customHeight="1">
      <c r="A25373" s="15" t="s">
        <v>14423</v>
      </c>
      <c r="B25373" s="15" t="s">
        <v>14424</v>
      </c>
      <c r="C25373" s="15" t="s">
        <v>14240</v>
      </c>
      <c r="D25373" s="15" t="s">
        <v>14262</v>
      </c>
      <c r="E25373" s="2">
        <v>129512</v>
      </c>
      <c r="F25373" s="4" t="str">
        <f>IF(B25373=B25372,"",B25373)</f>
        <v>KalÄleh</v>
      </c>
    </row>
    <row r="25374" spans="1:6" ht="15.75" customHeight="1">
      <c r="A25374" s="16" t="s">
        <v>19987</v>
      </c>
      <c r="B25374" s="15" t="s">
        <v>19988</v>
      </c>
      <c r="C25374" s="16" t="s">
        <v>19808</v>
      </c>
      <c r="D25374" s="16" t="s">
        <v>10184</v>
      </c>
      <c r="E25374" s="2">
        <v>1175180</v>
      </c>
      <c r="F25374" s="4" t="e">
        <f>IF(B25374=#REF!,"",B25374)</f>
        <v>#REF!</v>
      </c>
    </row>
    <row r="25375" spans="1:6" ht="15.75" customHeight="1">
      <c r="A25375" s="15" t="s">
        <v>16063</v>
      </c>
      <c r="B25375" s="15" t="s">
        <v>16063</v>
      </c>
      <c r="C25375" s="15" t="s">
        <v>15704</v>
      </c>
      <c r="D25375" s="15" t="s">
        <v>15764</v>
      </c>
      <c r="E25375" s="2">
        <v>2112455</v>
      </c>
      <c r="F25375" s="4" t="str">
        <f>IF(B25375=B25374,"",B25375)</f>
        <v>Kakuda</v>
      </c>
    </row>
    <row r="25376" spans="1:6" ht="15.75" customHeight="1">
      <c r="A25376" s="16" t="str">
        <f ca="1">IFERROR(__xludf.DUMMYFUNCTION("GOOGLETRANSLATE(B33194,""en"",""pt"")"),"Kakrāla")</f>
        <v>Kakrāla</v>
      </c>
      <c r="B25376" s="20" t="s">
        <v>33585</v>
      </c>
      <c r="C25376" s="20" t="s">
        <v>10178</v>
      </c>
      <c r="D25376" s="20" t="s">
        <v>10193</v>
      </c>
      <c r="E25376" s="10">
        <v>1268540</v>
      </c>
      <c r="F25376" s="4" t="str">
        <f>IF(B25376=B25375,"",B25376)</f>
        <v>Kakrāla</v>
      </c>
    </row>
    <row r="25377" spans="1:6" ht="15.75" customHeight="1">
      <c r="A25377" s="15" t="s">
        <v>11820</v>
      </c>
      <c r="B25377" s="15" t="s">
        <v>11821</v>
      </c>
      <c r="C25377" s="15" t="s">
        <v>10178</v>
      </c>
      <c r="D25377" s="15" t="s">
        <v>10193</v>
      </c>
      <c r="E25377" s="2">
        <v>1268540</v>
      </c>
      <c r="F25377" s="4" t="str">
        <f>IF(B25377=B25376,"",B25377)</f>
        <v>KakrÄla</v>
      </c>
    </row>
    <row r="25378" spans="1:6" ht="15.75" customHeight="1">
      <c r="A25378" s="16" t="str">
        <f ca="1">IFERROR(__xludf.DUMMYFUNCTION("GOOGLETRANSLATE(B33195,""en"",""pt"")"),"Kākori")</f>
        <v>Kākori</v>
      </c>
      <c r="B25378" s="20" t="s">
        <v>33586</v>
      </c>
      <c r="C25378" s="20" t="s">
        <v>10178</v>
      </c>
      <c r="D25378" s="20" t="s">
        <v>10193</v>
      </c>
      <c r="E25378" s="10">
        <v>1268545</v>
      </c>
      <c r="F25378" s="4" t="e">
        <f>IF(B25378=#REF!,"",B25378)</f>
        <v>#REF!</v>
      </c>
    </row>
    <row r="25379" spans="1:6" ht="15.75" customHeight="1">
      <c r="A25379" s="15" t="s">
        <v>25620</v>
      </c>
      <c r="B25379" s="15" t="s">
        <v>25620</v>
      </c>
      <c r="C25379" s="15" t="s">
        <v>25560</v>
      </c>
      <c r="D25379" s="15" t="s">
        <v>25621</v>
      </c>
      <c r="E25379" s="2">
        <v>158563</v>
      </c>
      <c r="F25379" s="4" t="str">
        <f>IF(B25379=B25378,"",B25379)</f>
        <v>Kakonko</v>
      </c>
    </row>
    <row r="25380" spans="1:6" ht="15.75" customHeight="1">
      <c r="A25380" s="16" t="str">
        <f ca="1">IFERROR(__xludf.DUMMYFUNCTION("GOOGLETRANSLATE(B35537,""en"",""pt"")"),"Kakogawachō-Honmachi")</f>
        <v>Kakogawachō-Honmachi</v>
      </c>
      <c r="B25380" s="20" t="s">
        <v>34365</v>
      </c>
      <c r="C25380" s="20" t="s">
        <v>15704</v>
      </c>
      <c r="D25380" s="20" t="s">
        <v>34291</v>
      </c>
      <c r="E25380" s="10">
        <v>1860704</v>
      </c>
      <c r="F25380" s="4" t="str">
        <f>IF(B25380=B25379,"",B25380)</f>
        <v>Kakogawachō-honmachi</v>
      </c>
    </row>
    <row r="25381" spans="1:6" ht="15.75" customHeight="1">
      <c r="A25381" s="16" t="s">
        <v>16061</v>
      </c>
      <c r="B25381" s="15" t="s">
        <v>16062</v>
      </c>
      <c r="C25381" s="16" t="s">
        <v>15704</v>
      </c>
      <c r="D25381" s="16" t="s">
        <v>15712</v>
      </c>
      <c r="E25381" s="2">
        <v>1860704</v>
      </c>
      <c r="F25381" s="4" t="str">
        <f>IF(B25381=B25380,"",B25381)</f>
        <v>KakogawachÅ-honmachi</v>
      </c>
    </row>
    <row r="25382" spans="1:6" ht="15.75" customHeight="1">
      <c r="A25382" s="16" t="str">
        <f ca="1">IFERROR(__xludf.DUMMYFUNCTION("GOOGLETRANSLATE(B33196,""en"",""pt"")"),"Kākināda")</f>
        <v>Kākināda</v>
      </c>
      <c r="B25382" s="20" t="s">
        <v>33587</v>
      </c>
      <c r="C25382" s="20" t="s">
        <v>10178</v>
      </c>
      <c r="D25382" s="20" t="s">
        <v>10190</v>
      </c>
      <c r="E25382" s="10">
        <v>1268561</v>
      </c>
      <c r="F25382" s="4" t="e">
        <f>IF(B25382=#REF!,"",B25382)</f>
        <v>#REF!</v>
      </c>
    </row>
    <row r="25383" spans="1:6" ht="15.75" customHeight="1">
      <c r="A25383" s="15" t="s">
        <v>26988</v>
      </c>
      <c r="B25383" s="15" t="s">
        <v>26988</v>
      </c>
      <c r="C25383" s="15" t="s">
        <v>26870</v>
      </c>
      <c r="D25383" s="15" t="s">
        <v>26969</v>
      </c>
      <c r="E25383" s="2">
        <v>707244</v>
      </c>
      <c r="F25383" s="4" t="e">
        <f>IF(B25383=#REF!,"",B25383)</f>
        <v>#REF!</v>
      </c>
    </row>
    <row r="25384" spans="1:6" ht="15.75" customHeight="1">
      <c r="A25384" s="16" t="s">
        <v>16060</v>
      </c>
      <c r="B25384" s="15" t="s">
        <v>16060</v>
      </c>
      <c r="C25384" s="16" t="s">
        <v>15704</v>
      </c>
      <c r="D25384" s="16" t="s">
        <v>15809</v>
      </c>
      <c r="E25384" s="2">
        <v>1860728</v>
      </c>
      <c r="F25384" s="4" t="e">
        <f>IF(B25384=#REF!,"",B25384)</f>
        <v>#REF!</v>
      </c>
    </row>
    <row r="25385" spans="1:6" ht="15.75" customHeight="1">
      <c r="A25385" s="15" t="s">
        <v>11819</v>
      </c>
      <c r="B25385" s="15" t="s">
        <v>11819</v>
      </c>
      <c r="C25385" s="15" t="s">
        <v>10178</v>
      </c>
      <c r="D25385" s="15" t="s">
        <v>11001</v>
      </c>
      <c r="E25385" s="2">
        <v>1268567</v>
      </c>
      <c r="F25385" s="4" t="e">
        <f>IF(B25385=#REF!,"",B25385)</f>
        <v>#REF!</v>
      </c>
    </row>
    <row r="25386" spans="1:6" ht="15.75" customHeight="1">
      <c r="A25386" s="15" t="s">
        <v>17062</v>
      </c>
      <c r="B25386" s="15" t="s">
        <v>17062</v>
      </c>
      <c r="C25386" s="15" t="s">
        <v>5687</v>
      </c>
      <c r="D25386" s="15" t="s">
        <v>17063</v>
      </c>
      <c r="E25386" s="2">
        <v>2276086</v>
      </c>
      <c r="F25386" s="4" t="e">
        <f>IF(B25386=#REF!,"",B25386)</f>
        <v>#REF!</v>
      </c>
    </row>
    <row r="25387" spans="1:6" ht="15.75" customHeight="1">
      <c r="A25387" s="16" t="s">
        <v>16059</v>
      </c>
      <c r="B25387" s="15" t="s">
        <v>16059</v>
      </c>
      <c r="C25387" s="16" t="s">
        <v>15704</v>
      </c>
      <c r="D25387" s="16" t="s">
        <v>15748</v>
      </c>
      <c r="E25387" s="2">
        <v>1860735</v>
      </c>
      <c r="F25387" s="4" t="e">
        <f>IF(B25387=#REF!,"",B25387)</f>
        <v>#REF!</v>
      </c>
    </row>
    <row r="25388" spans="1:6" ht="15.75" customHeight="1">
      <c r="A25388" s="16" t="s">
        <v>16793</v>
      </c>
      <c r="B25388" s="15" t="s">
        <v>16793</v>
      </c>
      <c r="C25388" s="16" t="s">
        <v>16781</v>
      </c>
      <c r="D25388" s="16" t="s">
        <v>16793</v>
      </c>
      <c r="E25388" s="2">
        <v>195272</v>
      </c>
      <c r="F25388" s="4" t="e">
        <f>IF(B25388=#REF!,"",B25388)</f>
        <v>#REF!</v>
      </c>
    </row>
    <row r="25389" spans="1:6" ht="15.75" customHeight="1">
      <c r="A25389" s="15" t="s">
        <v>26795</v>
      </c>
      <c r="B25389" s="15" t="s">
        <v>26795</v>
      </c>
      <c r="C25389" s="15" t="s">
        <v>26774</v>
      </c>
      <c r="D25389" s="15" t="s">
        <v>26775</v>
      </c>
      <c r="E25389" s="2">
        <v>161901</v>
      </c>
      <c r="F25389" s="4" t="e">
        <f>IF(B25389=#REF!,"",B25389)</f>
        <v>#REF!</v>
      </c>
    </row>
    <row r="25390" spans="1:6" ht="15.75" customHeight="1">
      <c r="A25390" s="15" t="s">
        <v>16058</v>
      </c>
      <c r="B25390" s="15" t="s">
        <v>16058</v>
      </c>
      <c r="C25390" s="15" t="s">
        <v>15704</v>
      </c>
      <c r="D25390" s="15" t="s">
        <v>15719</v>
      </c>
      <c r="E25390" s="2">
        <v>1860750</v>
      </c>
      <c r="F25390" s="4" t="e">
        <f>IF(B25390=#REF!,"",B25390)</f>
        <v>#REF!</v>
      </c>
    </row>
    <row r="25391" spans="1:6" ht="15.75" customHeight="1">
      <c r="A25391" s="15" t="s">
        <v>6984</v>
      </c>
      <c r="B25391" s="15" t="s">
        <v>6984</v>
      </c>
      <c r="C25391" s="15" t="s">
        <v>6948</v>
      </c>
      <c r="D25391" s="15" t="s">
        <v>6985</v>
      </c>
      <c r="E25391" s="2">
        <v>654899</v>
      </c>
      <c r="F25391" s="4" t="e">
        <f>IF(B25391=#REF!,"",B25391)</f>
        <v>#REF!</v>
      </c>
    </row>
    <row r="25392" spans="1:6" ht="15.75" customHeight="1">
      <c r="A25392" s="15" t="s">
        <v>16057</v>
      </c>
      <c r="B25392" s="15" t="s">
        <v>16057</v>
      </c>
      <c r="C25392" s="15" t="s">
        <v>15704</v>
      </c>
      <c r="D25392" s="15" t="s">
        <v>15853</v>
      </c>
      <c r="E25392" s="2">
        <v>1860765</v>
      </c>
      <c r="F25392" s="4" t="e">
        <f>IF(B25392=#REF!,"",B25392)</f>
        <v>#REF!</v>
      </c>
    </row>
    <row r="25393" spans="1:6" ht="15.75" customHeight="1">
      <c r="A25393" s="15" t="s">
        <v>4848</v>
      </c>
      <c r="B25393" s="15" t="s">
        <v>4848</v>
      </c>
      <c r="C25393" s="15" t="s">
        <v>4487</v>
      </c>
      <c r="D25393" s="15" t="s">
        <v>4607</v>
      </c>
      <c r="E25393" s="2">
        <v>1804850</v>
      </c>
      <c r="F25393" s="4" t="e">
        <f>IF(B25393=#REF!,"",B25393)</f>
        <v>#REF!</v>
      </c>
    </row>
    <row r="25394" spans="1:6" ht="15.75" customHeight="1">
      <c r="A25394" s="15" t="s">
        <v>4847</v>
      </c>
      <c r="B25394" s="15" t="s">
        <v>4847</v>
      </c>
      <c r="C25394" s="15" t="s">
        <v>4487</v>
      </c>
      <c r="D25394" s="15" t="s">
        <v>4518</v>
      </c>
      <c r="E25394" s="2">
        <v>2036338</v>
      </c>
      <c r="F25394" s="4" t="e">
        <f>IF(B25394=#REF!,"",B25394)</f>
        <v>#REF!</v>
      </c>
    </row>
    <row r="25395" spans="1:6" ht="15.75" customHeight="1">
      <c r="A25395" s="15" t="s">
        <v>11818</v>
      </c>
      <c r="B25395" s="15" t="s">
        <v>11818</v>
      </c>
      <c r="C25395" s="15" t="s">
        <v>10178</v>
      </c>
      <c r="D25395" s="15" t="s">
        <v>10224</v>
      </c>
      <c r="E25395" s="2">
        <v>1268593</v>
      </c>
      <c r="F25395" s="4" t="e">
        <f>IF(B25395=#REF!,"",B25395)</f>
        <v>#REF!</v>
      </c>
    </row>
    <row r="25396" spans="1:6" ht="15.75" customHeight="1">
      <c r="A25396" s="16" t="s">
        <v>8655</v>
      </c>
      <c r="B25396" s="15" t="s">
        <v>8655</v>
      </c>
      <c r="C25396" s="16" t="s">
        <v>8028</v>
      </c>
      <c r="D25396" s="16" t="s">
        <v>8065</v>
      </c>
      <c r="E25396" s="2">
        <v>2894003</v>
      </c>
      <c r="F25396" s="4" t="str">
        <f>IF(B25396=B25395,"",B25396)</f>
        <v>Kaiserslautern</v>
      </c>
    </row>
    <row r="25397" spans="1:6" ht="15.75" customHeight="1">
      <c r="A25397" s="16" t="str">
        <f ca="1">IFERROR(__xludf.DUMMYFUNCTION("GOOGLETRANSLATE(B31003,""en"",""pt"")"),"Kaisarian")</f>
        <v>Kaisarian</v>
      </c>
      <c r="B25397" s="20" t="s">
        <v>32711</v>
      </c>
      <c r="C25397" s="20" t="s">
        <v>9441</v>
      </c>
      <c r="D25397" s="20" t="s">
        <v>9445</v>
      </c>
      <c r="E25397" s="10">
        <v>261678</v>
      </c>
      <c r="F25397" s="4" t="str">
        <f>IF(B25397=B25396,"",B25397)</f>
        <v>Kaisarianí</v>
      </c>
    </row>
    <row r="25398" spans="1:6" ht="15.75" customHeight="1">
      <c r="A25398" s="15" t="s">
        <v>9530</v>
      </c>
      <c r="B25398" s="15" t="s">
        <v>9531</v>
      </c>
      <c r="C25398" s="15" t="s">
        <v>9441</v>
      </c>
      <c r="D25398" s="15" t="s">
        <v>9445</v>
      </c>
      <c r="E25398" s="2">
        <v>261678</v>
      </c>
      <c r="F25398" s="4" t="e">
        <f>IF(B25398=#REF!,"",B25398)</f>
        <v>#REF!</v>
      </c>
    </row>
    <row r="25399" spans="1:6" ht="15.75" customHeight="1">
      <c r="A25399" s="15" t="s">
        <v>26145</v>
      </c>
      <c r="B25399" s="15" t="s">
        <v>26145</v>
      </c>
      <c r="C25399" s="15" t="s">
        <v>26090</v>
      </c>
      <c r="D25399" s="15" t="s">
        <v>26146</v>
      </c>
      <c r="E25399" s="2">
        <v>2473449</v>
      </c>
      <c r="F25399" s="4" t="str">
        <f>IF(B25399=B25398,"",B25399)</f>
        <v>Kairouan</v>
      </c>
    </row>
    <row r="25400" spans="1:6" ht="15.75" customHeight="1">
      <c r="A25400" s="16" t="str">
        <f ca="1">IFERROR(__xludf.DUMMYFUNCTION("GOOGLETRANSLATE(B33199,""en"",""pt"")"),"Kairāna")</f>
        <v>Kairāna</v>
      </c>
      <c r="B25400" s="20" t="s">
        <v>33588</v>
      </c>
      <c r="C25400" s="20" t="s">
        <v>10178</v>
      </c>
      <c r="D25400" s="20" t="s">
        <v>10193</v>
      </c>
      <c r="E25400" s="10">
        <v>1268601</v>
      </c>
      <c r="F25400" s="4" t="str">
        <f>IF(B25400=B25399,"",B25400)</f>
        <v>Kairāna</v>
      </c>
    </row>
    <row r="25401" spans="1:6" ht="15.75" customHeight="1">
      <c r="A25401" s="15" t="s">
        <v>11816</v>
      </c>
      <c r="B25401" s="15" t="s">
        <v>11817</v>
      </c>
      <c r="C25401" s="15" t="s">
        <v>10178</v>
      </c>
      <c r="D25401" s="15" t="s">
        <v>10193</v>
      </c>
      <c r="E25401" s="2">
        <v>1268601</v>
      </c>
      <c r="F25401" s="4" t="e">
        <f>IF(B25401=#REF!,"",B25401)</f>
        <v>#REF!</v>
      </c>
    </row>
    <row r="25402" spans="1:6" ht="15.75" customHeight="1">
      <c r="A25402" s="15" t="s">
        <v>16056</v>
      </c>
      <c r="B25402" s="15" t="s">
        <v>16056</v>
      </c>
      <c r="C25402" s="15" t="s">
        <v>15704</v>
      </c>
      <c r="D25402" s="15" t="s">
        <v>15902</v>
      </c>
      <c r="E25402" s="2">
        <v>1860785</v>
      </c>
      <c r="F25402" s="4" t="e">
        <f>IF(B25402=#REF!,"",B25402)</f>
        <v>#REF!</v>
      </c>
    </row>
    <row r="25403" spans="1:6" ht="15.75" customHeight="1">
      <c r="A25403" s="15" t="s">
        <v>11815</v>
      </c>
      <c r="B25403" s="15" t="s">
        <v>11815</v>
      </c>
      <c r="C25403" s="15" t="s">
        <v>10178</v>
      </c>
      <c r="D25403" s="15" t="s">
        <v>10219</v>
      </c>
      <c r="E25403" s="2">
        <v>1268615</v>
      </c>
      <c r="F25403" s="4" t="e">
        <f>IF(B25403=#REF!,"",B25403)</f>
        <v>#REF!</v>
      </c>
    </row>
    <row r="25404" spans="1:6" ht="15.75" customHeight="1">
      <c r="A25404" s="15" t="s">
        <v>11814</v>
      </c>
      <c r="B25404" s="15" t="s">
        <v>11814</v>
      </c>
      <c r="C25404" s="15" t="s">
        <v>10178</v>
      </c>
      <c r="D25404" s="15" t="s">
        <v>10193</v>
      </c>
      <c r="E25404" s="2">
        <v>1268616</v>
      </c>
      <c r="F25404" s="4" t="e">
        <f>IF(B25404=#REF!,"",B25404)</f>
        <v>#REF!</v>
      </c>
    </row>
    <row r="25405" spans="1:6" ht="15.75" customHeight="1">
      <c r="A25405" s="15" t="s">
        <v>28999</v>
      </c>
      <c r="B25405" s="15" t="s">
        <v>28999</v>
      </c>
      <c r="C25405" s="15" t="s">
        <v>27788</v>
      </c>
      <c r="D25405" s="15" t="s">
        <v>27789</v>
      </c>
      <c r="E25405" s="2">
        <v>5847486</v>
      </c>
      <c r="F25405" s="4" t="str">
        <f>IF(B25405=B25404,"",B25405)</f>
        <v>Kailua</v>
      </c>
    </row>
    <row r="25406" spans="1:6" ht="15.75" customHeight="1">
      <c r="A25406" s="16" t="str">
        <f ca="1">IFERROR(__xludf.DUMMYFUNCTION("GOOGLETRANSLATE(B33202,""en"",""pt"")"),"Kailāshahar")</f>
        <v>Kailāshahar</v>
      </c>
      <c r="B25406" s="20" t="s">
        <v>33589</v>
      </c>
      <c r="C25406" s="20" t="s">
        <v>10178</v>
      </c>
      <c r="D25406" s="20" t="s">
        <v>10255</v>
      </c>
      <c r="E25406" s="10">
        <v>1268622</v>
      </c>
      <c r="F25406" s="4" t="str">
        <f>IF(B25406=B25405,"",B25406)</f>
        <v>Kailāshahar</v>
      </c>
    </row>
    <row r="25407" spans="1:6" ht="15.75" customHeight="1">
      <c r="A25407" s="16" t="str">
        <f ca="1">IFERROR(__xludf.DUMMYFUNCTION("GOOGLETRANSLATE(B33203,""en"",""pt"")"),"Kailāras")</f>
        <v>Kailāras</v>
      </c>
      <c r="B25407" s="20" t="s">
        <v>33590</v>
      </c>
      <c r="C25407" s="20" t="s">
        <v>10178</v>
      </c>
      <c r="D25407" s="20" t="s">
        <v>10219</v>
      </c>
      <c r="E25407" s="10">
        <v>1268624</v>
      </c>
      <c r="F25407" s="4" t="str">
        <f>IF(B25407=B25406,"",B25407)</f>
        <v>Kailāras</v>
      </c>
    </row>
    <row r="25408" spans="1:6" ht="15.75" customHeight="1">
      <c r="A25408" s="16" t="s">
        <v>11812</v>
      </c>
      <c r="B25408" s="15" t="s">
        <v>11813</v>
      </c>
      <c r="C25408" s="16" t="s">
        <v>10178</v>
      </c>
      <c r="D25408" s="16" t="s">
        <v>10255</v>
      </c>
      <c r="E25408" s="2">
        <v>1268622</v>
      </c>
      <c r="F25408" s="4" t="str">
        <f>IF(B25408=B25407,"",B25408)</f>
        <v>KailÄshahar</v>
      </c>
    </row>
    <row r="25409" spans="1:6" ht="15.75" customHeight="1">
      <c r="A25409" s="15" t="s">
        <v>11810</v>
      </c>
      <c r="B25409" s="15" t="s">
        <v>11811</v>
      </c>
      <c r="C25409" s="15" t="s">
        <v>10178</v>
      </c>
      <c r="D25409" s="15" t="s">
        <v>10219</v>
      </c>
      <c r="E25409" s="2">
        <v>1268624</v>
      </c>
      <c r="F25409" s="4" t="str">
        <f>IF(B25409=B25408,"",B25409)</f>
        <v>KailÄras</v>
      </c>
    </row>
    <row r="25410" spans="1:6" ht="15.75" customHeight="1">
      <c r="A25410" s="16" t="str">
        <f ca="1">IFERROR(__xludf.DUMMYFUNCTION("GOOGLETRANSLATE(B33204,""en"",""pt"")"),"Kaikalūr")</f>
        <v>Kaikalūr</v>
      </c>
      <c r="B25410" s="20" t="s">
        <v>33591</v>
      </c>
      <c r="C25410" s="20" t="s">
        <v>10178</v>
      </c>
      <c r="D25410" s="20" t="s">
        <v>10190</v>
      </c>
      <c r="E25410" s="10">
        <v>1268627</v>
      </c>
      <c r="F25410" s="4" t="str">
        <f>IF(B25410=B25409,"",B25410)</f>
        <v>Kaikalūr</v>
      </c>
    </row>
    <row r="25411" spans="1:6" ht="15.75" customHeight="1">
      <c r="A25411" s="15" t="s">
        <v>11808</v>
      </c>
      <c r="B25411" s="15" t="s">
        <v>11809</v>
      </c>
      <c r="C25411" s="15" t="s">
        <v>10178</v>
      </c>
      <c r="D25411" s="15" t="s">
        <v>10190</v>
      </c>
      <c r="E25411" s="2">
        <v>1268627</v>
      </c>
      <c r="F25411" s="4" t="e">
        <f>IF(B25411=#REF!,"",B25411)</f>
        <v>#REF!</v>
      </c>
    </row>
    <row r="25412" spans="1:6" ht="15.75" customHeight="1">
      <c r="A25412" s="15" t="s">
        <v>4846</v>
      </c>
      <c r="B25412" s="15" t="s">
        <v>4846</v>
      </c>
      <c r="C25412" s="15" t="s">
        <v>4487</v>
      </c>
      <c r="D25412" s="15" t="s">
        <v>4607</v>
      </c>
      <c r="E25412" s="2">
        <v>1804874</v>
      </c>
      <c r="F25412" s="4" t="e">
        <f>IF(B25412=#REF!,"",B25412)</f>
        <v>#REF!</v>
      </c>
    </row>
    <row r="25413" spans="1:6" ht="15.75" customHeight="1">
      <c r="A25413" s="15" t="s">
        <v>4845</v>
      </c>
      <c r="B25413" s="15" t="s">
        <v>4845</v>
      </c>
      <c r="C25413" s="15" t="s">
        <v>4487</v>
      </c>
      <c r="D25413" s="15" t="s">
        <v>4511</v>
      </c>
      <c r="E25413" s="2">
        <v>1804879</v>
      </c>
      <c r="F25413" s="4" t="e">
        <f>IF(B25413=#REF!,"",B25413)</f>
        <v>#REF!</v>
      </c>
    </row>
    <row r="25414" spans="1:6" ht="15.75" customHeight="1">
      <c r="A25414" s="15" t="s">
        <v>19476</v>
      </c>
      <c r="B25414" s="15" t="s">
        <v>19476</v>
      </c>
      <c r="C25414" s="15" t="s">
        <v>19294</v>
      </c>
      <c r="D25414" s="15" t="s">
        <v>19355</v>
      </c>
      <c r="E25414" s="2">
        <v>2335596</v>
      </c>
      <c r="F25414" s="4" t="str">
        <f>IF(B25414=B25413,"",B25414)</f>
        <v>Kaiama</v>
      </c>
    </row>
    <row r="25415" spans="1:6" ht="15.75" customHeight="1">
      <c r="A25415" s="16" t="str">
        <f ca="1">IFERROR(__xludf.DUMMYFUNCTION("GOOGLETRANSLATE(B39057,""en"",""pt"")"),"Kahūta")</f>
        <v>Kahūta</v>
      </c>
      <c r="B25415" s="20" t="s">
        <v>34999</v>
      </c>
      <c r="C25415" s="20" t="s">
        <v>19808</v>
      </c>
      <c r="D25415" s="20" t="s">
        <v>10184</v>
      </c>
      <c r="E25415" s="10">
        <v>1175436</v>
      </c>
      <c r="F25415" s="4" t="e">
        <f>IF(B25415=#REF!,"",B25415)</f>
        <v>#REF!</v>
      </c>
    </row>
    <row r="25416" spans="1:6" ht="15.75" customHeight="1">
      <c r="A25416" s="15" t="s">
        <v>28998</v>
      </c>
      <c r="B25416" s="15" t="s">
        <v>28998</v>
      </c>
      <c r="C25416" s="15" t="s">
        <v>27788</v>
      </c>
      <c r="D25416" s="15" t="s">
        <v>27789</v>
      </c>
      <c r="E25416" s="2">
        <v>5847411</v>
      </c>
      <c r="F25416" s="4" t="str">
        <f>IF(B25416=B25415,"",B25416)</f>
        <v>Kahului</v>
      </c>
    </row>
    <row r="25417" spans="1:6" ht="15.75" customHeight="1">
      <c r="A25417" s="16" t="str">
        <f ca="1">IFERROR(__xludf.DUMMYFUNCTION("GOOGLETRANSLATE(B41975,""en"",""pt"")"),"Kâhta")</f>
        <v>Kâhta</v>
      </c>
      <c r="B25417" s="20" t="s">
        <v>35864</v>
      </c>
      <c r="C25417" s="20" t="s">
        <v>26201</v>
      </c>
      <c r="D25417" s="20" t="s">
        <v>35865</v>
      </c>
      <c r="E25417" s="10">
        <v>310855</v>
      </c>
      <c r="F25417" s="4" t="str">
        <f>IF(B25417=B25416,"",B25417)</f>
        <v>Kâhta</v>
      </c>
    </row>
    <row r="25418" spans="1:6" ht="15.75" customHeight="1">
      <c r="A25418" s="16" t="str">
        <f ca="1">IFERROR(__xludf.DUMMYFUNCTION("GOOGLETRANSLATE(B34341,""en"",""pt"")"),"Kahrīz")</f>
        <v>Kahrīz</v>
      </c>
      <c r="B25418" s="20" t="s">
        <v>34119</v>
      </c>
      <c r="C25418" s="20" t="s">
        <v>14240</v>
      </c>
      <c r="D25418" s="20" t="s">
        <v>34120</v>
      </c>
      <c r="E25418" s="10">
        <v>23814</v>
      </c>
      <c r="F25418" s="4" t="str">
        <f>IF(B25418=B25417,"",B25418)</f>
        <v>Kahrīz</v>
      </c>
    </row>
    <row r="25419" spans="1:6" ht="15.75" customHeight="1">
      <c r="A25419" s="16" t="str">
        <f ca="1">IFERROR(__xludf.DUMMYFUNCTION("GOOGLETRANSLATE(B41976,""en"",""pt"")"),"Kahramanmaraş")</f>
        <v>Kahramanmaraş</v>
      </c>
      <c r="B25419" s="20" t="s">
        <v>35847</v>
      </c>
      <c r="C25419" s="20" t="s">
        <v>26201</v>
      </c>
      <c r="D25419" s="20" t="s">
        <v>35847</v>
      </c>
      <c r="E25419" s="10">
        <v>310859</v>
      </c>
      <c r="F25419" s="4" t="str">
        <f>IF(B25419=B25418,"",B25419)</f>
        <v>Kahramanmaraş</v>
      </c>
    </row>
    <row r="25420" spans="1:6" ht="15.75" customHeight="1">
      <c r="A25420" s="16" t="s">
        <v>26574</v>
      </c>
      <c r="B25420" s="15" t="s">
        <v>26221</v>
      </c>
      <c r="C25420" s="16" t="s">
        <v>26201</v>
      </c>
      <c r="D25420" s="16" t="s">
        <v>26221</v>
      </c>
      <c r="E25420" s="2">
        <v>310859</v>
      </c>
      <c r="F25420" s="4" t="str">
        <f>IF(B25420=B25419,"",B25420)</f>
        <v>KahramanmaraÅŸ</v>
      </c>
    </row>
    <row r="25421" spans="1:6" ht="15.75" customHeight="1">
      <c r="A25421" s="15" t="s">
        <v>14421</v>
      </c>
      <c r="B25421" s="15" t="s">
        <v>14422</v>
      </c>
      <c r="C25421" s="15" t="s">
        <v>14240</v>
      </c>
      <c r="D25421" s="15" t="s">
        <v>14401</v>
      </c>
      <c r="E25421" s="2">
        <v>23814</v>
      </c>
      <c r="F25421" s="4" t="str">
        <f>IF(B25421=B25420,"",B25421)</f>
        <v>KahrÄ«z</v>
      </c>
    </row>
    <row r="25422" spans="1:6" ht="15.75" customHeight="1">
      <c r="A25422" s="16" t="str">
        <f ca="1">IFERROR(__xludf.DUMMYFUNCTION("GOOGLETRANSLATE(B39059,""en"",""pt"")"),"Kāhna")</f>
        <v>Kāhna</v>
      </c>
      <c r="B25422" s="20" t="s">
        <v>35000</v>
      </c>
      <c r="C25422" s="20" t="s">
        <v>19808</v>
      </c>
      <c r="D25422" s="20" t="s">
        <v>10184</v>
      </c>
      <c r="E25422" s="10">
        <v>1175453</v>
      </c>
      <c r="F25422" s="4" t="e">
        <f>IF(B25422=#REF!,"",B25422)</f>
        <v>#REF!</v>
      </c>
    </row>
    <row r="25423" spans="1:6" ht="15.75" customHeight="1">
      <c r="A25423" s="15" t="s">
        <v>25619</v>
      </c>
      <c r="B25423" s="15" t="s">
        <v>25619</v>
      </c>
      <c r="C25423" s="15" t="s">
        <v>25560</v>
      </c>
      <c r="D25423" s="15" t="s">
        <v>25615</v>
      </c>
      <c r="E25423" s="2">
        <v>158597</v>
      </c>
      <c r="F25423" s="4" t="str">
        <f>IF(B25423=B25422,"",B25423)</f>
        <v>Kahama</v>
      </c>
    </row>
    <row r="25424" spans="1:6" ht="15.75" customHeight="1">
      <c r="A25424" s="15" t="s">
        <v>19985</v>
      </c>
      <c r="B25424" s="15" t="s">
        <v>19986</v>
      </c>
      <c r="C25424" s="15" t="s">
        <v>19808</v>
      </c>
      <c r="D25424" s="15" t="s">
        <v>10184</v>
      </c>
      <c r="E25424" s="2">
        <v>1175436</v>
      </c>
      <c r="F25424" s="4" t="e">
        <f>IF(B25424=#REF!,"",B25424)</f>
        <v>#REF!</v>
      </c>
    </row>
    <row r="25425" spans="1:6" ht="15.75" customHeight="1">
      <c r="A25425" s="16" t="s">
        <v>15719</v>
      </c>
      <c r="B25425" s="15" t="s">
        <v>15719</v>
      </c>
      <c r="C25425" s="16" t="s">
        <v>15704</v>
      </c>
      <c r="D25425" s="16" t="s">
        <v>15719</v>
      </c>
      <c r="E25425" s="2">
        <v>1860827</v>
      </c>
      <c r="F25425" s="4" t="e">
        <f>IF(B25425=#REF!,"",B25425)</f>
        <v>#REF!</v>
      </c>
    </row>
    <row r="25426" spans="1:6" ht="15.75" customHeight="1">
      <c r="A25426" s="15" t="s">
        <v>19475</v>
      </c>
      <c r="B25426" s="15" t="s">
        <v>19475</v>
      </c>
      <c r="C25426" s="15" t="s">
        <v>19294</v>
      </c>
      <c r="D25426" s="15" t="s">
        <v>19320</v>
      </c>
      <c r="E25426" s="2">
        <v>2335614</v>
      </c>
      <c r="F25426" s="4" t="str">
        <f>IF(B25426=B25425,"",B25426)</f>
        <v>Kagoro</v>
      </c>
    </row>
    <row r="25427" spans="1:6" ht="15.75" customHeight="1">
      <c r="A25427" s="16" t="str">
        <f ca="1">IFERROR(__xludf.DUMMYFUNCTION("GOOGLETRANSLATE(B42156,""en"",""pt"")"),"Kağızman")</f>
        <v>Kağızman</v>
      </c>
      <c r="B25427" s="20" t="s">
        <v>35936</v>
      </c>
      <c r="C25427" s="20" t="s">
        <v>26201</v>
      </c>
      <c r="D25427" s="20" t="s">
        <v>26570</v>
      </c>
      <c r="E25427" s="10">
        <v>744873</v>
      </c>
      <c r="F25427" s="4" t="str">
        <f>IF(B25427=B25426,"",B25427)</f>
        <v>Kağızman</v>
      </c>
    </row>
    <row r="25428" spans="1:6" ht="15.75" customHeight="1">
      <c r="A25428" s="16" t="str">
        <f ca="1">IFERROR(__xludf.DUMMYFUNCTION("GOOGLETRANSLATE(B33205,""en"",""pt"")"),"Kāgal")</f>
        <v>Kāgal</v>
      </c>
      <c r="B25428" s="20" t="s">
        <v>33592</v>
      </c>
      <c r="C25428" s="20" t="s">
        <v>10178</v>
      </c>
      <c r="D25428" s="20" t="s">
        <v>10214</v>
      </c>
      <c r="E25428" s="10">
        <v>1268651</v>
      </c>
      <c r="F25428" s="4" t="e">
        <f>IF(B25428=#REF!,"",B25428)</f>
        <v>#REF!</v>
      </c>
    </row>
    <row r="25429" spans="1:6" ht="15.75" customHeight="1">
      <c r="A25429" s="16" t="s">
        <v>4290</v>
      </c>
      <c r="B25429" s="15" t="s">
        <v>4290</v>
      </c>
      <c r="C25429" s="16" t="s">
        <v>4264</v>
      </c>
      <c r="D25429" s="16" t="s">
        <v>4291</v>
      </c>
      <c r="E25429" s="2">
        <v>2386012</v>
      </c>
      <c r="F25429" s="4" t="e">
        <f>IF(B25429=#REF!,"",B25429)</f>
        <v>#REF!</v>
      </c>
    </row>
    <row r="25430" spans="1:6" ht="15.75" customHeight="1">
      <c r="A25430" s="15" t="s">
        <v>31044</v>
      </c>
      <c r="B25430" s="15" t="s">
        <v>31044</v>
      </c>
      <c r="C25430" s="15" t="s">
        <v>31038</v>
      </c>
      <c r="D25430" s="15" t="s">
        <v>31045</v>
      </c>
      <c r="E25430" s="2">
        <v>915883</v>
      </c>
      <c r="F25430" s="4" t="str">
        <f>IF(B25430=B25429,"",B25430)</f>
        <v>Kafue</v>
      </c>
    </row>
    <row r="25431" spans="1:6" ht="15.75" customHeight="1">
      <c r="A25431" s="16" t="s">
        <v>25467</v>
      </c>
      <c r="B25431" s="15" t="s">
        <v>25468</v>
      </c>
      <c r="C25431" s="16" t="s">
        <v>25366</v>
      </c>
      <c r="D25431" s="16" t="s">
        <v>25367</v>
      </c>
      <c r="E25431" s="2">
        <v>168620</v>
      </c>
      <c r="F25431" s="4" t="str">
        <f>IF(B25431=B25430,"",B25431)</f>
        <v>Kafr ZaytÄ</v>
      </c>
    </row>
    <row r="25432" spans="1:6" ht="15.75" customHeight="1">
      <c r="A25432" s="16" t="str">
        <f ca="1">IFERROR(__xludf.DUMMYFUNCTION("GOOGLETRANSLATE(B41415,""en"",""pt"")"),"KAFR ZAYTA")</f>
        <v>KAFR ZAYTA</v>
      </c>
      <c r="B25432" s="20" t="s">
        <v>35739</v>
      </c>
      <c r="C25432" s="20" t="s">
        <v>25366</v>
      </c>
      <c r="D25432" s="20" t="s">
        <v>25367</v>
      </c>
      <c r="E25432" s="10">
        <v>168620</v>
      </c>
      <c r="F25432" s="4" t="str">
        <f>IF(B25432=B25431,"",B25432)</f>
        <v>Kafr Zaytā</v>
      </c>
    </row>
    <row r="25433" spans="1:6" ht="15.75" customHeight="1">
      <c r="A25433" s="16" t="str">
        <f ca="1">IFERROR(__xludf.DUMMYFUNCTION("GOOGLETRANSLATE(B41416,""en"",""pt"")"),"Kafr Takhārīm")</f>
        <v>Kafr Takhārīm</v>
      </c>
      <c r="B25433" s="20" t="s">
        <v>35740</v>
      </c>
      <c r="C25433" s="20" t="s">
        <v>25366</v>
      </c>
      <c r="D25433" s="20" t="s">
        <v>25392</v>
      </c>
      <c r="E25433" s="10">
        <v>168629</v>
      </c>
      <c r="F25433" s="4" t="str">
        <f>IF(B25433=B25432,"",B25433)</f>
        <v>Kafr Takhārīm</v>
      </c>
    </row>
    <row r="25434" spans="1:6" ht="15.75" customHeight="1">
      <c r="A25434" s="16" t="s">
        <v>25465</v>
      </c>
      <c r="B25434" s="15" t="s">
        <v>25466</v>
      </c>
      <c r="C25434" s="16" t="s">
        <v>25366</v>
      </c>
      <c r="D25434" s="16" t="s">
        <v>25392</v>
      </c>
      <c r="E25434" s="2">
        <v>168629</v>
      </c>
      <c r="F25434" s="4" t="str">
        <f>IF(B25434=B25433,"",B25434)</f>
        <v>Kafr TakhÄrÄ«m</v>
      </c>
    </row>
    <row r="25435" spans="1:6" ht="15.75" customHeight="1">
      <c r="A25435" s="16" t="str">
        <f ca="1">IFERROR(__xludf.DUMMYFUNCTION("GOOGLETRANSLATE(B28854,""en"",""pt"")"),"Kafr şaqr")</f>
        <v>Kafr şaqr</v>
      </c>
      <c r="B25435" s="20" t="s">
        <v>32283</v>
      </c>
      <c r="C25435" s="20" t="s">
        <v>6495</v>
      </c>
      <c r="D25435" s="20" t="s">
        <v>6128</v>
      </c>
      <c r="E25435" s="10">
        <v>354105</v>
      </c>
      <c r="F25435" s="4" t="str">
        <f>IF(B25435=B25434,"",B25435)</f>
        <v>Kafr Şaqr</v>
      </c>
    </row>
    <row r="25436" spans="1:6" ht="15.75" customHeight="1">
      <c r="A25436" s="16" t="str">
        <f ca="1">IFERROR(__xludf.DUMMYFUNCTION("GOOGLETRANSLATE(B31797,""en"",""pt"")"),"Kafr qāsim")</f>
        <v>Kafr qāsim</v>
      </c>
      <c r="B25436" s="20" t="s">
        <v>32923</v>
      </c>
      <c r="C25436" s="20" t="s">
        <v>14773</v>
      </c>
      <c r="D25436" s="20" t="s">
        <v>14800</v>
      </c>
      <c r="E25436" s="10">
        <v>294604</v>
      </c>
      <c r="F25436" s="4" t="str">
        <f>IF(B25436=B25435,"",B25436)</f>
        <v>Kafr Qāsim</v>
      </c>
    </row>
    <row r="25437" spans="1:6" ht="15.75" customHeight="1">
      <c r="A25437" s="16" t="s">
        <v>14821</v>
      </c>
      <c r="B25437" s="15" t="s">
        <v>14822</v>
      </c>
      <c r="C25437" s="16" t="s">
        <v>14773</v>
      </c>
      <c r="D25437" s="16" t="s">
        <v>14800</v>
      </c>
      <c r="E25437" s="2">
        <v>294604</v>
      </c>
      <c r="F25437" s="4" t="e">
        <f>IF(B25437=#REF!,"",B25437)</f>
        <v>#REF!</v>
      </c>
    </row>
    <row r="25438" spans="1:6" ht="15.75" customHeight="1">
      <c r="A25438" s="15" t="s">
        <v>25464</v>
      </c>
      <c r="B25438" s="15" t="s">
        <v>25464</v>
      </c>
      <c r="C25438" s="15" t="s">
        <v>25366</v>
      </c>
      <c r="D25438" s="15" t="s">
        <v>25392</v>
      </c>
      <c r="E25438" s="2">
        <v>168661</v>
      </c>
      <c r="F25438" s="4" t="str">
        <f>IF(B25438=B25437,"",B25438)</f>
        <v>Kafr Nubl</v>
      </c>
    </row>
    <row r="25439" spans="1:6" ht="15.75" customHeight="1">
      <c r="A25439" s="16" t="s">
        <v>14819</v>
      </c>
      <c r="B25439" s="15" t="s">
        <v>14820</v>
      </c>
      <c r="C25439" s="16" t="s">
        <v>14773</v>
      </c>
      <c r="D25439" s="16" t="s">
        <v>14774</v>
      </c>
      <c r="E25439" s="2">
        <v>294608</v>
      </c>
      <c r="F25439" s="4" t="str">
        <f>IF(B25439=B25438,"",B25439)</f>
        <v>Kafr MandÄ</v>
      </c>
    </row>
    <row r="25440" spans="1:6" ht="15.75" customHeight="1">
      <c r="A25440" s="16" t="str">
        <f ca="1">IFERROR(__xludf.DUMMYFUNCTION("GOOGLETRANSLATE(B31798,""en"",""pt"")"),"Kafr Mandā")</f>
        <v>Kafr Mandā</v>
      </c>
      <c r="B25440" s="20" t="s">
        <v>32924</v>
      </c>
      <c r="C25440" s="20" t="s">
        <v>14773</v>
      </c>
      <c r="D25440" s="20" t="s">
        <v>14774</v>
      </c>
      <c r="E25440" s="10">
        <v>294608</v>
      </c>
      <c r="F25440" s="4" t="str">
        <f>IF(B25440=B25439,"",B25440)</f>
        <v>Kafr Mandā</v>
      </c>
    </row>
    <row r="25441" spans="1:6" ht="15.75" customHeight="1">
      <c r="A25441" s="16" t="str">
        <f ca="1">IFERROR(__xludf.DUMMYFUNCTION("GOOGLETRANSLATE(B41418,""en"",""pt"")"),"Kafr lāhā")</f>
        <v>Kafr lāhā</v>
      </c>
      <c r="B25441" s="20" t="s">
        <v>35741</v>
      </c>
      <c r="C25441" s="20" t="s">
        <v>25366</v>
      </c>
      <c r="D25441" s="20" t="s">
        <v>25406</v>
      </c>
      <c r="E25441" s="10">
        <v>168668</v>
      </c>
      <c r="F25441" s="4" t="str">
        <f>IF(B25441=B25440,"",B25441)</f>
        <v>Kafr Lāhā</v>
      </c>
    </row>
    <row r="25442" spans="1:6" ht="15.75" customHeight="1">
      <c r="A25442" s="16" t="s">
        <v>25462</v>
      </c>
      <c r="B25442" s="15" t="s">
        <v>25463</v>
      </c>
      <c r="C25442" s="16" t="s">
        <v>25366</v>
      </c>
      <c r="D25442" s="16" t="s">
        <v>25406</v>
      </c>
      <c r="E25442" s="2">
        <v>168668</v>
      </c>
      <c r="F25442" s="4" t="str">
        <f>IF(B25442=B25441,"",B25442)</f>
        <v>Kafr LÄhÄ</v>
      </c>
    </row>
    <row r="25443" spans="1:6" ht="15.75" customHeight="1">
      <c r="A25443" s="16" t="s">
        <v>14817</v>
      </c>
      <c r="B25443" s="15" t="s">
        <v>14818</v>
      </c>
      <c r="C25443" s="16" t="s">
        <v>14773</v>
      </c>
      <c r="D25443" s="16" t="s">
        <v>14774</v>
      </c>
      <c r="E25443" s="2">
        <v>294610</v>
      </c>
      <c r="F25443" s="4" t="str">
        <f>IF(B25443=B25442,"",B25443)</f>
        <v>Kafr KannÄ</v>
      </c>
    </row>
    <row r="25444" spans="1:6" ht="15.75" customHeight="1">
      <c r="A25444" s="16" t="str">
        <f ca="1">IFERROR(__xludf.DUMMYFUNCTION("GOOGLETRANSLATE(B31799,""en"",""pt"")"),"Kannā Kannā")</f>
        <v>Kannā Kannā</v>
      </c>
      <c r="B25444" s="20" t="s">
        <v>32925</v>
      </c>
      <c r="C25444" s="20" t="s">
        <v>14773</v>
      </c>
      <c r="D25444" s="20" t="s">
        <v>14774</v>
      </c>
      <c r="E25444" s="10">
        <v>294610</v>
      </c>
      <c r="F25444" s="4" t="str">
        <f>IF(B25444=B25443,"",B25444)</f>
        <v>Kafr Kannā</v>
      </c>
    </row>
    <row r="25445" spans="1:6" ht="15.75" customHeight="1">
      <c r="A25445" s="16" t="s">
        <v>6666</v>
      </c>
      <c r="B25445" s="15" t="s">
        <v>6666</v>
      </c>
      <c r="C25445" s="16" t="s">
        <v>6495</v>
      </c>
      <c r="D25445" s="16" t="s">
        <v>6128</v>
      </c>
      <c r="E25445" s="2">
        <v>354105</v>
      </c>
      <c r="F25445" s="4" t="str">
        <f>IF(B25445=B25444,"",B25445)</f>
        <v>Kafr Åžaqr</v>
      </c>
    </row>
    <row r="25446" spans="1:6" ht="15.75" customHeight="1">
      <c r="A25446" s="16" t="str">
        <f ca="1">IFERROR(__xludf.DUMMYFUNCTION("GOOGLETRANSLATE(B28855,""en"",""pt"")"),"KAFR AZ ZAYYAT")</f>
        <v>KAFR AZ ZAYYAT</v>
      </c>
      <c r="B25446" s="20" t="s">
        <v>32284</v>
      </c>
      <c r="C25446" s="20" t="s">
        <v>6495</v>
      </c>
      <c r="D25446" s="20" t="s">
        <v>32245</v>
      </c>
      <c r="E25446" s="10">
        <v>354365</v>
      </c>
      <c r="F25446" s="4" t="str">
        <f>IF(B25446=B25445,"",B25446)</f>
        <v>Kafr az Zayyāt</v>
      </c>
    </row>
    <row r="25447" spans="1:6" ht="15.75" customHeight="1">
      <c r="A25447" s="16" t="s">
        <v>6664</v>
      </c>
      <c r="B25447" s="15" t="s">
        <v>6665</v>
      </c>
      <c r="C25447" s="16" t="s">
        <v>6495</v>
      </c>
      <c r="D25447" s="16" t="s">
        <v>6567</v>
      </c>
      <c r="E25447" s="2">
        <v>354365</v>
      </c>
      <c r="F25447" s="4" t="e">
        <f>IF(B25447=#REF!,"",B25447)</f>
        <v>#REF!</v>
      </c>
    </row>
    <row r="25448" spans="1:6" ht="15.75" customHeight="1">
      <c r="A25448" s="16" t="s">
        <v>6663</v>
      </c>
      <c r="B25448" s="15" t="s">
        <v>6536</v>
      </c>
      <c r="C25448" s="16" t="s">
        <v>6495</v>
      </c>
      <c r="D25448" s="16" t="s">
        <v>6536</v>
      </c>
      <c r="E25448" s="2">
        <v>354502</v>
      </c>
      <c r="F25448" s="4" t="str">
        <f>IF(B25448=B25447,"",B25448)</f>
        <v>Kafr ash Shaykh</v>
      </c>
    </row>
    <row r="25449" spans="1:6" ht="15.75" customHeight="1">
      <c r="A25449" s="16" t="str">
        <f ca="1">IFERROR(__xludf.DUMMYFUNCTION("GOOGLETRANSLATE(B28857,""en"",""pt"")"),"Kafr ad Dawwār")</f>
        <v>Kafr ad Dawwār</v>
      </c>
      <c r="B25449" s="20" t="s">
        <v>32285</v>
      </c>
      <c r="C25449" s="20" t="s">
        <v>6495</v>
      </c>
      <c r="D25449" s="20" t="s">
        <v>32264</v>
      </c>
      <c r="E25449" s="10">
        <v>354775</v>
      </c>
      <c r="F25449" s="4" t="str">
        <f>IF(B25449=B25448,"",B25449)</f>
        <v>Kafr ad Dawwār</v>
      </c>
    </row>
    <row r="25450" spans="1:6" ht="15.75" customHeight="1">
      <c r="A25450" s="16" t="s">
        <v>6661</v>
      </c>
      <c r="B25450" s="15" t="s">
        <v>6662</v>
      </c>
      <c r="C25450" s="16" t="s">
        <v>6495</v>
      </c>
      <c r="D25450" s="16" t="s">
        <v>6499</v>
      </c>
      <c r="E25450" s="2">
        <v>354775</v>
      </c>
      <c r="F25450" s="4" t="e">
        <f>IF(B25450=#REF!,"",B25450)</f>
        <v>#REF!</v>
      </c>
    </row>
    <row r="25451" spans="1:6" ht="15.75" customHeight="1">
      <c r="A25451" s="15" t="s">
        <v>59</v>
      </c>
      <c r="B25451" s="15" t="s">
        <v>59</v>
      </c>
      <c r="C25451" s="15" t="s">
        <v>8</v>
      </c>
      <c r="D25451" s="15" t="s">
        <v>51</v>
      </c>
      <c r="E25451" s="2">
        <v>1142404</v>
      </c>
      <c r="F25451" s="4" t="e">
        <f>IF(B25451=#REF!,"",B25451)</f>
        <v>#REF!</v>
      </c>
    </row>
    <row r="25452" spans="1:6" ht="15.75" customHeight="1">
      <c r="A25452" s="15" t="s">
        <v>23571</v>
      </c>
      <c r="B25452" s="15" t="s">
        <v>23571</v>
      </c>
      <c r="C25452" s="15" t="s">
        <v>23559</v>
      </c>
      <c r="D25452" s="15" t="s">
        <v>23571</v>
      </c>
      <c r="E25452" s="2">
        <v>2251007</v>
      </c>
      <c r="F25452" s="4" t="e">
        <f>IF(B25452=#REF!,"",B25452)</f>
        <v>#REF!</v>
      </c>
    </row>
    <row r="25453" spans="1:6" ht="15.75" customHeight="1">
      <c r="A25453" s="16" t="s">
        <v>19474</v>
      </c>
      <c r="B25453" s="15" t="s">
        <v>19474</v>
      </c>
      <c r="C25453" s="16" t="s">
        <v>19294</v>
      </c>
      <c r="D25453" s="16" t="s">
        <v>19320</v>
      </c>
      <c r="E25453" s="2">
        <v>2335713</v>
      </c>
      <c r="F25453" s="4" t="str">
        <f>IF(B25453=B25452,"",B25453)</f>
        <v>Kafanchan</v>
      </c>
    </row>
    <row r="25454" spans="1:6" ht="15.75" customHeight="1">
      <c r="A25454" s="16" t="str">
        <f ca="1">IFERROR(__xludf.DUMMYFUNCTION("GOOGLETRANSLATE(B36009,""en"",""pt"")"),"Kaesŏng")</f>
        <v>Kaesŏng</v>
      </c>
      <c r="B25454" s="20" t="s">
        <v>34447</v>
      </c>
      <c r="C25454" s="20" t="s">
        <v>19589</v>
      </c>
      <c r="D25454" s="20" t="s">
        <v>19601</v>
      </c>
      <c r="E25454" s="10">
        <v>1876373</v>
      </c>
      <c r="F25454" s="4" t="str">
        <f>IF(B25454=B25453,"",B25454)</f>
        <v>Kaesŏng</v>
      </c>
    </row>
    <row r="25455" spans="1:6" ht="15.75" customHeight="1">
      <c r="A25455" s="15" t="s">
        <v>19632</v>
      </c>
      <c r="B25455" s="15" t="s">
        <v>19633</v>
      </c>
      <c r="C25455" s="15" t="s">
        <v>19589</v>
      </c>
      <c r="D25455" s="15" t="s">
        <v>19601</v>
      </c>
      <c r="E25455" s="2">
        <v>1876373</v>
      </c>
      <c r="F25455" s="4" t="e">
        <f>IF(B25455=#REF!,"",B25455)</f>
        <v>#REF!</v>
      </c>
    </row>
    <row r="25456" spans="1:6" ht="15.75" customHeight="1">
      <c r="A25456" s="16" t="s">
        <v>25892</v>
      </c>
      <c r="B25456" s="15" t="s">
        <v>25892</v>
      </c>
      <c r="C25456" s="16" t="s">
        <v>25771</v>
      </c>
      <c r="D25456" s="16" t="s">
        <v>25859</v>
      </c>
      <c r="E25456" s="2">
        <v>1610505</v>
      </c>
      <c r="F25456" s="4" t="e">
        <f>IF(B25456=#REF!,"",B25456)</f>
        <v>#REF!</v>
      </c>
    </row>
    <row r="25457" spans="1:6" ht="15.75" customHeight="1">
      <c r="A25457" s="16" t="s">
        <v>25891</v>
      </c>
      <c r="B25457" s="15" t="s">
        <v>25891</v>
      </c>
      <c r="C25457" s="16" t="s">
        <v>25771</v>
      </c>
      <c r="D25457" s="16" t="s">
        <v>25797</v>
      </c>
      <c r="E25457" s="2">
        <v>1610503</v>
      </c>
      <c r="F25457" s="4" t="str">
        <f>IF(B25457=B25456,"",B25457)</f>
        <v>Kaeng Khoi</v>
      </c>
    </row>
    <row r="25458" spans="1:6" ht="15.75" customHeight="1">
      <c r="A25458" s="16" t="str">
        <f ca="1">IFERROR(__xludf.DUMMYFUNCTION("GOOGLETRANSLATE(B26015,""en"",""pt"")"),"Kaélé")</f>
        <v>Kaélé</v>
      </c>
      <c r="B25458" s="20" t="s">
        <v>31818</v>
      </c>
      <c r="C25458" s="20" t="s">
        <v>3884</v>
      </c>
      <c r="D25458" s="20" t="s">
        <v>3906</v>
      </c>
      <c r="E25458" s="10">
        <v>2230599</v>
      </c>
      <c r="F25458" s="4" t="str">
        <f>IF(B25458=B25457,"",B25458)</f>
        <v>Kaélé</v>
      </c>
    </row>
    <row r="25459" spans="1:6" ht="15.75" customHeight="1">
      <c r="A25459" s="16" t="str">
        <f ca="1">IFERROR(__xludf.DUMMYFUNCTION("GOOGLETRANSLATE(B36802,""en"",""pt"")"),"Kaédi")</f>
        <v>Kaédi</v>
      </c>
      <c r="B25459" s="20" t="s">
        <v>34649</v>
      </c>
      <c r="C25459" s="20" t="s">
        <v>17650</v>
      </c>
      <c r="D25459" s="20" t="s">
        <v>17655</v>
      </c>
      <c r="E25459" s="10">
        <v>2378736</v>
      </c>
      <c r="F25459" s="4" t="str">
        <f>IF(B25459=B25458,"",B25459)</f>
        <v>Kaédi</v>
      </c>
    </row>
    <row r="25460" spans="1:6" ht="15.75" customHeight="1">
      <c r="A25460" s="16" t="str">
        <f ca="1">IFERROR(__xludf.DUMMYFUNCTION("GOOGLETRANSLATE(B33206,""en"",""pt"")"),"Kadūr")</f>
        <v>Kadūr</v>
      </c>
      <c r="B25460" s="20" t="s">
        <v>33593</v>
      </c>
      <c r="C25460" s="20" t="s">
        <v>10178</v>
      </c>
      <c r="D25460" s="20" t="s">
        <v>10252</v>
      </c>
      <c r="E25460" s="10">
        <v>1268662</v>
      </c>
      <c r="F25460" s="4" t="e">
        <f>IF(B25460=#REF!,"",B25460)</f>
        <v>#REF!</v>
      </c>
    </row>
    <row r="25461" spans="1:6" ht="15.75" customHeight="1">
      <c r="A25461" s="15" t="s">
        <v>19320</v>
      </c>
      <c r="B25461" s="15" t="s">
        <v>19320</v>
      </c>
      <c r="C25461" s="15" t="s">
        <v>19294</v>
      </c>
      <c r="D25461" s="15" t="s">
        <v>19320</v>
      </c>
      <c r="E25461" s="2">
        <v>2335727</v>
      </c>
      <c r="F25461" s="4" t="e">
        <f>IF(B25461=#REF!,"",B25461)</f>
        <v>#REF!</v>
      </c>
    </row>
    <row r="25462" spans="1:6" ht="15.75" customHeight="1">
      <c r="A25462" s="15" t="s">
        <v>25037</v>
      </c>
      <c r="B25462" s="15" t="s">
        <v>25037</v>
      </c>
      <c r="C25462" s="15" t="s">
        <v>24987</v>
      </c>
      <c r="D25462" s="15" t="s">
        <v>24990</v>
      </c>
      <c r="E25462" s="2">
        <v>373141</v>
      </c>
      <c r="F25462" s="4" t="e">
        <f>IF(B25462=#REF!,"",B25462)</f>
        <v>#REF!</v>
      </c>
    </row>
    <row r="25463" spans="1:6" ht="15.75" customHeight="1">
      <c r="A25463" s="15" t="s">
        <v>16055</v>
      </c>
      <c r="B25463" s="15" t="s">
        <v>16055</v>
      </c>
      <c r="C25463" s="15" t="s">
        <v>15704</v>
      </c>
      <c r="D25463" s="15" t="s">
        <v>15853</v>
      </c>
      <c r="E25463" s="2">
        <v>1860871</v>
      </c>
      <c r="F25463" s="4" t="e">
        <f>IF(B25463=#REF!,"",B25463)</f>
        <v>#REF!</v>
      </c>
    </row>
    <row r="25464" spans="1:6" ht="15.75" customHeight="1">
      <c r="A25464" s="15" t="s">
        <v>11807</v>
      </c>
      <c r="B25464" s="15" t="s">
        <v>11807</v>
      </c>
      <c r="C25464" s="15" t="s">
        <v>10178</v>
      </c>
      <c r="D25464" s="15" t="s">
        <v>10209</v>
      </c>
      <c r="E25464" s="2">
        <v>1268667</v>
      </c>
      <c r="F25464" s="4" t="e">
        <f>IF(B25464=#REF!,"",B25464)</f>
        <v>#REF!</v>
      </c>
    </row>
    <row r="25465" spans="1:6" ht="15.75" customHeight="1">
      <c r="A25465" s="15" t="s">
        <v>26573</v>
      </c>
      <c r="B25465" s="15" t="s">
        <v>26573</v>
      </c>
      <c r="C25465" s="15" t="s">
        <v>26201</v>
      </c>
      <c r="D25465" s="15" t="s">
        <v>26273</v>
      </c>
      <c r="E25465" s="2">
        <v>310892</v>
      </c>
      <c r="F25465" s="4" t="e">
        <f>IF(B25465=#REF!,"",B25465)</f>
        <v>#REF!</v>
      </c>
    </row>
    <row r="25466" spans="1:6" ht="15.75" customHeight="1">
      <c r="A25466" s="15" t="s">
        <v>11806</v>
      </c>
      <c r="B25466" s="15" t="s">
        <v>11806</v>
      </c>
      <c r="C25466" s="15" t="s">
        <v>10178</v>
      </c>
      <c r="D25466" s="15" t="s">
        <v>10190</v>
      </c>
      <c r="E25466" s="2">
        <v>1268673</v>
      </c>
      <c r="F25466" s="4" t="str">
        <f>IF(B25466=B25465,"",B25466)</f>
        <v>Kadiri</v>
      </c>
    </row>
    <row r="25467" spans="1:6" ht="15.75" customHeight="1">
      <c r="A25467" s="16" t="str">
        <f ca="1">IFERROR(__xludf.DUMMYFUNCTION("GOOGLETRANSLATE(B41978,""en"",""pt"")"),"Kadınhanı")</f>
        <v>Kadınhanı</v>
      </c>
      <c r="B25467" s="20" t="s">
        <v>35866</v>
      </c>
      <c r="C25467" s="20" t="s">
        <v>26201</v>
      </c>
      <c r="D25467" s="20" t="s">
        <v>26265</v>
      </c>
      <c r="E25467" s="10">
        <v>310907</v>
      </c>
      <c r="F25467" s="4" t="e">
        <f>IF(B25467=#REF!,"",B25467)</f>
        <v>#REF!</v>
      </c>
    </row>
    <row r="25468" spans="1:6" ht="15.75" customHeight="1">
      <c r="A25468" s="15" t="s">
        <v>11805</v>
      </c>
      <c r="B25468" s="15" t="s">
        <v>11805</v>
      </c>
      <c r="C25468" s="15" t="s">
        <v>10178</v>
      </c>
      <c r="D25468" s="15" t="s">
        <v>10209</v>
      </c>
      <c r="E25468" s="2">
        <v>1268680</v>
      </c>
      <c r="F25468" s="4" t="e">
        <f>IF(B25468=#REF!,"",B25468)</f>
        <v>#REF!</v>
      </c>
    </row>
    <row r="25469" spans="1:6" ht="15.75" customHeight="1">
      <c r="A25469" s="16" t="s">
        <v>11804</v>
      </c>
      <c r="B25469" s="15" t="s">
        <v>11804</v>
      </c>
      <c r="C25469" s="16" t="s">
        <v>10178</v>
      </c>
      <c r="D25469" s="16" t="s">
        <v>10196</v>
      </c>
      <c r="E25469" s="2">
        <v>1268707</v>
      </c>
      <c r="F25469" s="4" t="e">
        <f>IF(B25469=#REF!,"",B25469)</f>
        <v>#REF!</v>
      </c>
    </row>
    <row r="25470" spans="1:6" ht="15.75" customHeight="1">
      <c r="A25470" s="16" t="str">
        <f ca="1">IFERROR(__xludf.DUMMYFUNCTION("GOOGLETRANSLATE(B27309,""en"",""pt"")"),"Kadaň")</f>
        <v>Kadaň</v>
      </c>
      <c r="B25470" s="20" t="s">
        <v>31985</v>
      </c>
      <c r="C25470" s="20" t="s">
        <v>5947</v>
      </c>
      <c r="D25470" s="20" t="s">
        <v>31942</v>
      </c>
      <c r="E25470" s="10">
        <v>3074020</v>
      </c>
      <c r="F25470" s="4" t="e">
        <f>IF(B25470=#REF!,"",B25470)</f>
        <v>#REF!</v>
      </c>
    </row>
    <row r="25471" spans="1:6" ht="15.75" customHeight="1">
      <c r="A25471" s="16" t="s">
        <v>11803</v>
      </c>
      <c r="B25471" s="15" t="s">
        <v>11803</v>
      </c>
      <c r="C25471" s="16" t="s">
        <v>10178</v>
      </c>
      <c r="D25471" s="16" t="s">
        <v>10246</v>
      </c>
      <c r="E25471" s="2">
        <v>10628608</v>
      </c>
      <c r="F25471" s="4" t="str">
        <f>IF(B25471=B25470,"",B25471)</f>
        <v>Kadakkavoor</v>
      </c>
    </row>
    <row r="25472" spans="1:6" ht="15.75" customHeight="1">
      <c r="A25472" s="16" t="s">
        <v>17176</v>
      </c>
      <c r="B25472" s="15" t="s">
        <v>17177</v>
      </c>
      <c r="C25472" s="16" t="s">
        <v>17154</v>
      </c>
      <c r="D25472" s="16" t="s">
        <v>17161</v>
      </c>
      <c r="E25472" s="2">
        <v>598272</v>
      </c>
      <c r="F25472" s="4" t="e">
        <f>IF(B25472=#REF!,"",B25472)</f>
        <v>#REF!</v>
      </c>
    </row>
    <row r="25473" spans="1:6" ht="15.75" customHeight="1">
      <c r="A25473" s="15" t="s">
        <v>6025</v>
      </c>
      <c r="B25473" s="15" t="s">
        <v>6026</v>
      </c>
      <c r="C25473" s="15" t="s">
        <v>5947</v>
      </c>
      <c r="D25473" s="15" t="s">
        <v>5956</v>
      </c>
      <c r="E25473" s="2">
        <v>3074020</v>
      </c>
      <c r="F25473" s="4" t="str">
        <f>IF(B25473=B25472,"",B25473)</f>
        <v>KadaÅˆ</v>
      </c>
    </row>
    <row r="25474" spans="1:6" ht="15.75" customHeight="1">
      <c r="A25474" s="15" t="s">
        <v>11801</v>
      </c>
      <c r="B25474" s="15" t="s">
        <v>11802</v>
      </c>
      <c r="C25474" s="15" t="s">
        <v>10178</v>
      </c>
      <c r="D25474" s="15" t="s">
        <v>10252</v>
      </c>
      <c r="E25474" s="2">
        <v>1268662</v>
      </c>
      <c r="F25474" s="4" t="str">
        <f>IF(B25474=B25473,"",B25474)</f>
        <v>KadÅ«r</v>
      </c>
    </row>
    <row r="25475" spans="1:6" ht="15.75" customHeight="1">
      <c r="A25475" s="16" t="s">
        <v>26571</v>
      </c>
      <c r="B25475" s="15" t="s">
        <v>26572</v>
      </c>
      <c r="C25475" s="16" t="s">
        <v>26201</v>
      </c>
      <c r="D25475" s="16" t="s">
        <v>26265</v>
      </c>
      <c r="E25475" s="2">
        <v>310907</v>
      </c>
      <c r="F25475" s="4" t="e">
        <f>IF(B25475=#REF!,"",B25475)</f>
        <v>#REF!</v>
      </c>
    </row>
    <row r="25476" spans="1:6" ht="15.75" customHeight="1">
      <c r="A25476" s="16" t="s">
        <v>22450</v>
      </c>
      <c r="B25476" s="15" t="s">
        <v>22450</v>
      </c>
      <c r="C25476" s="16" t="s">
        <v>22070</v>
      </c>
      <c r="D25476" s="16" t="s">
        <v>22106</v>
      </c>
      <c r="E25476" s="2">
        <v>554599</v>
      </c>
      <c r="F25476" s="4" t="e">
        <f>IF(B25476=#REF!,"",B25476)</f>
        <v>#REF!</v>
      </c>
    </row>
    <row r="25477" spans="1:6" ht="15.75" customHeight="1">
      <c r="A25477" s="15" t="s">
        <v>19473</v>
      </c>
      <c r="B25477" s="15" t="s">
        <v>19473</v>
      </c>
      <c r="C25477" s="15" t="s">
        <v>19294</v>
      </c>
      <c r="D25477" s="15" t="s">
        <v>19320</v>
      </c>
      <c r="E25477" s="2">
        <v>2335798</v>
      </c>
      <c r="F25477" s="4" t="e">
        <f>IF(B25477=#REF!,"",B25477)</f>
        <v>#REF!</v>
      </c>
    </row>
    <row r="25478" spans="1:6" ht="15.75" customHeight="1">
      <c r="A25478" s="15" t="s">
        <v>11800</v>
      </c>
      <c r="B25478" s="15" t="s">
        <v>11800</v>
      </c>
      <c r="C25478" s="15" t="s">
        <v>10178</v>
      </c>
      <c r="D25478" s="15" t="s">
        <v>10193</v>
      </c>
      <c r="E25478" s="2">
        <v>1268722</v>
      </c>
      <c r="F25478" s="4" t="e">
        <f>IF(B25478=#REF!,"",B25478)</f>
        <v>#REF!</v>
      </c>
    </row>
    <row r="25479" spans="1:6" ht="15.75" customHeight="1">
      <c r="A25479" s="15" t="s">
        <v>31043</v>
      </c>
      <c r="B25479" s="15" t="s">
        <v>31043</v>
      </c>
      <c r="C25479" s="15" t="s">
        <v>31038</v>
      </c>
      <c r="D25479" s="15" t="s">
        <v>1886</v>
      </c>
      <c r="E25479" s="2">
        <v>916095</v>
      </c>
      <c r="F25479" s="4" t="e">
        <f>IF(B25479=#REF!,"",B25479)</f>
        <v>#REF!</v>
      </c>
    </row>
    <row r="25480" spans="1:6" ht="15.75" customHeight="1">
      <c r="A25480" s="15" t="s">
        <v>57</v>
      </c>
      <c r="B25480" s="15" t="s">
        <v>58</v>
      </c>
      <c r="C25480" s="15" t="s">
        <v>8</v>
      </c>
      <c r="D25480" s="15" t="s">
        <v>58</v>
      </c>
      <c r="E25480" s="2">
        <v>1138958</v>
      </c>
      <c r="F25480" s="4" t="str">
        <f>IF(B25480=B25479,"",B25480)</f>
        <v>Kabul</v>
      </c>
    </row>
    <row r="25481" spans="1:6" ht="15.75" customHeight="1">
      <c r="A25481" s="16" t="str">
        <f ca="1">IFERROR(__xludf.DUMMYFUNCTION("GOOGLETRANSLATE(B33213,""en"",""pt"")"),"Kabrāi")</f>
        <v>Kabrāi</v>
      </c>
      <c r="B25481" s="20" t="s">
        <v>33595</v>
      </c>
      <c r="C25481" s="20" t="s">
        <v>10178</v>
      </c>
      <c r="D25481" s="20" t="s">
        <v>10193</v>
      </c>
      <c r="E25481" s="10">
        <v>1268739</v>
      </c>
      <c r="F25481" s="4" t="str">
        <f>IF(B25481=B25480,"",B25481)</f>
        <v>Kabrāi</v>
      </c>
    </row>
    <row r="25482" spans="1:6" ht="15.75" customHeight="1">
      <c r="A25482" s="15" t="s">
        <v>11798</v>
      </c>
      <c r="B25482" s="15" t="s">
        <v>11799</v>
      </c>
      <c r="C25482" s="15" t="s">
        <v>10178</v>
      </c>
      <c r="D25482" s="15" t="s">
        <v>10193</v>
      </c>
      <c r="E25482" s="2">
        <v>1268739</v>
      </c>
      <c r="F25482" s="4" t="str">
        <f>IF(B25482=B25481,"",B25482)</f>
        <v>KabrÄi</v>
      </c>
    </row>
    <row r="25483" spans="1:6" ht="15.75" customHeight="1">
      <c r="A25483" s="16" t="str">
        <f ca="1">IFERROR(__xludf.DUMMYFUNCTION("GOOGLETRANSLATE(B39060,""en"",""pt"")"),"Kabīrwāla")</f>
        <v>Kabīrwāla</v>
      </c>
      <c r="B25483" s="20" t="s">
        <v>35001</v>
      </c>
      <c r="C25483" s="20" t="s">
        <v>19808</v>
      </c>
      <c r="D25483" s="20" t="s">
        <v>10184</v>
      </c>
      <c r="E25483" s="10">
        <v>1175560</v>
      </c>
      <c r="F25483" s="4" t="e">
        <f>IF(B25483=#REF!,"",B25483)</f>
        <v>#REF!</v>
      </c>
    </row>
    <row r="25484" spans="1:6" ht="15.75" customHeight="1">
      <c r="A25484" s="15" t="s">
        <v>6159</v>
      </c>
      <c r="B25484" s="15" t="s">
        <v>6159</v>
      </c>
      <c r="C25484" s="15" t="s">
        <v>6127</v>
      </c>
      <c r="D25484" s="15" t="s">
        <v>6150</v>
      </c>
      <c r="E25484" s="2">
        <v>215527</v>
      </c>
      <c r="F25484" s="4" t="e">
        <f>IF(B25484=#REF!,"",B25484)</f>
        <v>#REF!</v>
      </c>
    </row>
    <row r="25485" spans="1:6" ht="15.75" customHeight="1">
      <c r="A25485" s="16" t="s">
        <v>25889</v>
      </c>
      <c r="B25485" s="15" t="s">
        <v>25889</v>
      </c>
      <c r="C25485" s="16" t="s">
        <v>25771</v>
      </c>
      <c r="D25485" s="16" t="s">
        <v>25890</v>
      </c>
      <c r="E25485" s="2">
        <v>1610538</v>
      </c>
      <c r="F25485" s="4" t="e">
        <f>IF(B25485=#REF!,"",B25485)</f>
        <v>#REF!</v>
      </c>
    </row>
    <row r="25486" spans="1:6" ht="15.75" customHeight="1">
      <c r="A25486" s="15" t="s">
        <v>19472</v>
      </c>
      <c r="B25486" s="15" t="s">
        <v>19472</v>
      </c>
      <c r="C25486" s="15" t="s">
        <v>19294</v>
      </c>
      <c r="D25486" s="15" t="s">
        <v>19310</v>
      </c>
      <c r="E25486" s="2">
        <v>2335843</v>
      </c>
      <c r="F25486" s="4" t="e">
        <f>IF(B25486=#REF!,"",B25486)</f>
        <v>#REF!</v>
      </c>
    </row>
    <row r="25487" spans="1:6" ht="15.75" customHeight="1">
      <c r="A25487" s="15" t="s">
        <v>21273</v>
      </c>
      <c r="B25487" s="15" t="s">
        <v>21273</v>
      </c>
      <c r="C25487" s="15" t="s">
        <v>21064</v>
      </c>
      <c r="D25487" s="15" t="s">
        <v>21070</v>
      </c>
      <c r="E25487" s="2">
        <v>769893</v>
      </c>
      <c r="F25487" s="4" t="e">
        <f>IF(B25487=#REF!,"",B25487)</f>
        <v>#REF!</v>
      </c>
    </row>
    <row r="25488" spans="1:6" ht="15.75" customHeight="1">
      <c r="A25488" s="15" t="s">
        <v>16791</v>
      </c>
      <c r="B25488" s="15" t="s">
        <v>16791</v>
      </c>
      <c r="C25488" s="15" t="s">
        <v>16781</v>
      </c>
      <c r="D25488" s="15" t="s">
        <v>16792</v>
      </c>
      <c r="E25488" s="2">
        <v>195821</v>
      </c>
      <c r="F25488" s="4" t="e">
        <f>IF(B25488=#REF!,"",B25488)</f>
        <v>#REF!</v>
      </c>
    </row>
    <row r="25489" spans="1:6" ht="15.75" customHeight="1">
      <c r="A25489" s="15" t="s">
        <v>6158</v>
      </c>
      <c r="B25489" s="15" t="s">
        <v>6158</v>
      </c>
      <c r="C25489" s="15" t="s">
        <v>6127</v>
      </c>
      <c r="D25489" s="15" t="s">
        <v>6140</v>
      </c>
      <c r="E25489" s="2">
        <v>215605</v>
      </c>
      <c r="F25489" s="4" t="e">
        <f>IF(B25489=#REF!,"",B25489)</f>
        <v>#REF!</v>
      </c>
    </row>
    <row r="25490" spans="1:6" ht="15.75" customHeight="1">
      <c r="A25490" s="16" t="s">
        <v>22449</v>
      </c>
      <c r="B25490" s="15" t="s">
        <v>22449</v>
      </c>
      <c r="C25490" s="16" t="s">
        <v>22070</v>
      </c>
      <c r="D25490" s="16" t="s">
        <v>22119</v>
      </c>
      <c r="E25490" s="2">
        <v>554679</v>
      </c>
      <c r="F25490" s="4" t="e">
        <f>IF(B25490=#REF!,"",B25490)</f>
        <v>#REF!</v>
      </c>
    </row>
    <row r="25491" spans="1:6" ht="15.75" customHeight="1">
      <c r="A25491" s="16" t="s">
        <v>20810</v>
      </c>
      <c r="B25491" s="15" t="s">
        <v>20810</v>
      </c>
      <c r="C25491" s="16" t="s">
        <v>20598</v>
      </c>
      <c r="D25491" s="16" t="s">
        <v>20627</v>
      </c>
      <c r="E25491" s="2">
        <v>1709968</v>
      </c>
      <c r="F25491" s="4" t="e">
        <f>IF(B25491=#REF!,"",B25491)</f>
        <v>#REF!</v>
      </c>
    </row>
    <row r="25492" spans="1:6" ht="15.75" customHeight="1">
      <c r="A25492" s="16" t="s">
        <v>13952</v>
      </c>
      <c r="B25492" s="15" t="s">
        <v>13952</v>
      </c>
      <c r="C25492" s="16" t="s">
        <v>13800</v>
      </c>
      <c r="D25492" s="16" t="s">
        <v>13830</v>
      </c>
      <c r="E25492" s="2">
        <v>1214965</v>
      </c>
      <c r="F25492" s="4" t="e">
        <f>IF(B25492=#REF!,"",B25492)</f>
        <v>#REF!</v>
      </c>
    </row>
    <row r="25493" spans="1:6" ht="15.75" customHeight="1">
      <c r="A25493" s="15" t="s">
        <v>25618</v>
      </c>
      <c r="B25493" s="15" t="s">
        <v>25618</v>
      </c>
      <c r="C25493" s="15" t="s">
        <v>25560</v>
      </c>
      <c r="D25493" s="15" t="s">
        <v>25570</v>
      </c>
      <c r="E25493" s="2">
        <v>158684</v>
      </c>
      <c r="F25493" s="4" t="e">
        <f>IF(B25493=#REF!,"",B25493)</f>
        <v>#REF!</v>
      </c>
    </row>
    <row r="25494" spans="1:6" ht="15.75" customHeight="1">
      <c r="A25494" s="15" t="s">
        <v>6157</v>
      </c>
      <c r="B25494" s="15" t="s">
        <v>6157</v>
      </c>
      <c r="C25494" s="15" t="s">
        <v>6127</v>
      </c>
      <c r="D25494" s="15" t="s">
        <v>6138</v>
      </c>
      <c r="E25494" s="2">
        <v>215668</v>
      </c>
      <c r="F25494" s="4" t="e">
        <f>IF(B25494=#REF!,"",B25494)</f>
        <v>#REF!</v>
      </c>
    </row>
    <row r="25495" spans="1:6" ht="15.75" customHeight="1">
      <c r="A25495" s="15" t="s">
        <v>26836</v>
      </c>
      <c r="B25495" s="15" t="s">
        <v>26836</v>
      </c>
      <c r="C25495" s="15" t="s">
        <v>26820</v>
      </c>
      <c r="D25495" s="15" t="s">
        <v>18803</v>
      </c>
      <c r="E25495" s="2">
        <v>233070</v>
      </c>
      <c r="F25495" s="4" t="e">
        <f>IF(B25495=#REF!,"",B25495)</f>
        <v>#REF!</v>
      </c>
    </row>
    <row r="25496" spans="1:6" ht="15.75" customHeight="1">
      <c r="A25496" s="15" t="s">
        <v>23679</v>
      </c>
      <c r="B25496" s="15" t="s">
        <v>23679</v>
      </c>
      <c r="C25496" s="15" t="s">
        <v>23676</v>
      </c>
      <c r="D25496" s="15" t="s">
        <v>20426</v>
      </c>
      <c r="E25496" s="2">
        <v>2408329</v>
      </c>
      <c r="F25496" s="4" t="e">
        <f>IF(B25496=#REF!,"",B25496)</f>
        <v>#REF!</v>
      </c>
    </row>
    <row r="25497" spans="1:6" ht="15.75" customHeight="1">
      <c r="A25497" s="15" t="s">
        <v>20809</v>
      </c>
      <c r="B25497" s="15" t="s">
        <v>20809</v>
      </c>
      <c r="C25497" s="15" t="s">
        <v>20598</v>
      </c>
      <c r="D25497" s="15" t="s">
        <v>20606</v>
      </c>
      <c r="E25497" s="2">
        <v>1710011</v>
      </c>
      <c r="F25497" s="4" t="str">
        <f>IF(B25497=B25496,"",B25497)</f>
        <v>Kabacan</v>
      </c>
    </row>
    <row r="25498" spans="1:6" ht="15.75" customHeight="1">
      <c r="A25498" s="16" t="s">
        <v>19983</v>
      </c>
      <c r="B25498" s="15" t="s">
        <v>19984</v>
      </c>
      <c r="C25498" s="16" t="s">
        <v>19808</v>
      </c>
      <c r="D25498" s="16" t="s">
        <v>10184</v>
      </c>
      <c r="E25498" s="2">
        <v>1175560</v>
      </c>
      <c r="F25498" s="4" t="str">
        <f>IF(B25498=B25497,"",B25498)</f>
        <v>KabÄ«rwÄla</v>
      </c>
    </row>
    <row r="25499" spans="1:6" ht="15.75" customHeight="1">
      <c r="A25499" s="16" t="s">
        <v>26568</v>
      </c>
      <c r="B25499" s="15" t="s">
        <v>26569</v>
      </c>
      <c r="C25499" s="16" t="s">
        <v>26201</v>
      </c>
      <c r="D25499" s="16" t="s">
        <v>26570</v>
      </c>
      <c r="E25499" s="2">
        <v>744873</v>
      </c>
      <c r="F25499" s="4" t="e">
        <f>IF(B25499=#REF!,"",B25499)</f>
        <v>#REF!</v>
      </c>
    </row>
    <row r="25500" spans="1:6" ht="15.75" customHeight="1">
      <c r="A25500" s="15" t="s">
        <v>8654</v>
      </c>
      <c r="B25500" s="15" t="s">
        <v>8654</v>
      </c>
      <c r="C25500" s="15" t="s">
        <v>8028</v>
      </c>
      <c r="D25500" s="15" t="s">
        <v>8029</v>
      </c>
      <c r="E25500" s="2">
        <v>2894375</v>
      </c>
      <c r="F25500" s="4" t="e">
        <f>IF(B25500=#REF!,"",B25500)</f>
        <v>#REF!</v>
      </c>
    </row>
    <row r="25501" spans="1:6" ht="15.75" customHeight="1">
      <c r="A25501" s="15" t="s">
        <v>6982</v>
      </c>
      <c r="B25501" s="15" t="s">
        <v>6982</v>
      </c>
      <c r="C25501" s="15" t="s">
        <v>6948</v>
      </c>
      <c r="D25501" s="15" t="s">
        <v>6983</v>
      </c>
      <c r="E25501" s="2">
        <v>655130</v>
      </c>
      <c r="F25501" s="4" t="str">
        <f>IF(B25501=B25500,"",B25501)</f>
        <v>Kaarina</v>
      </c>
    </row>
    <row r="25502" spans="1:6" ht="15.75" customHeight="1">
      <c r="A25502" s="15" t="s">
        <v>3928</v>
      </c>
      <c r="B25502" s="15" t="s">
        <v>3929</v>
      </c>
      <c r="C25502" s="15" t="s">
        <v>3884</v>
      </c>
      <c r="D25502" s="15" t="s">
        <v>3906</v>
      </c>
      <c r="E25502" s="2">
        <v>2230599</v>
      </c>
      <c r="F25502" s="4" t="str">
        <f>IF(B25502=B25501,"",B25502)</f>
        <v>KaÃ©lÃ©</v>
      </c>
    </row>
    <row r="25503" spans="1:6" ht="15.75" customHeight="1">
      <c r="A25503" s="15" t="s">
        <v>17653</v>
      </c>
      <c r="B25503" s="15" t="s">
        <v>17654</v>
      </c>
      <c r="C25503" s="15" t="s">
        <v>17650</v>
      </c>
      <c r="D25503" s="15" t="s">
        <v>17655</v>
      </c>
      <c r="E25503" s="2">
        <v>2378736</v>
      </c>
      <c r="F25503" s="4" t="str">
        <f>IF(B25503=B25502,"",B25503)</f>
        <v>KaÃ©di</v>
      </c>
    </row>
    <row r="25504" spans="1:6" ht="15.75" customHeight="1">
      <c r="A25504" s="16" t="s">
        <v>9528</v>
      </c>
      <c r="B25504" s="15" t="s">
        <v>9529</v>
      </c>
      <c r="C25504" s="16" t="s">
        <v>9441</v>
      </c>
      <c r="D25504" s="16" t="s">
        <v>9453</v>
      </c>
      <c r="E25504" s="2">
        <v>259289</v>
      </c>
      <c r="F25504" s="4" t="str">
        <f>IF(B25504=B25503,"",B25504)</f>
        <v>KÃ³rinthos</v>
      </c>
    </row>
    <row r="25505" spans="1:6" ht="15.75" customHeight="1">
      <c r="A25505" s="16" t="s">
        <v>10172</v>
      </c>
      <c r="B25505" s="15" t="s">
        <v>10173</v>
      </c>
      <c r="C25505" s="16" t="s">
        <v>10168</v>
      </c>
      <c r="D25505" s="16" t="s">
        <v>6216</v>
      </c>
      <c r="E25505" s="2">
        <v>3415212</v>
      </c>
      <c r="F25505" s="4" t="str">
        <f>IF(B25505=B25504,"",B25505)</f>
        <v>KÃ³pavogur</v>
      </c>
    </row>
    <row r="25506" spans="1:6" ht="15.75" customHeight="1">
      <c r="A25506" s="15" t="s">
        <v>26567</v>
      </c>
      <c r="B25506" s="15" t="s">
        <v>26468</v>
      </c>
      <c r="C25506" s="15" t="s">
        <v>26201</v>
      </c>
      <c r="D25506" s="15" t="s">
        <v>26468</v>
      </c>
      <c r="E25506" s="2">
        <v>305268</v>
      </c>
      <c r="F25506" s="4" t="str">
        <f>IF(B25506=B25505,"",B25506)</f>
        <v>KÃ¼tahya</v>
      </c>
    </row>
    <row r="25507" spans="1:6" ht="15.75" customHeight="1">
      <c r="A25507" s="15" t="s">
        <v>8652</v>
      </c>
      <c r="B25507" s="15" t="s">
        <v>8653</v>
      </c>
      <c r="C25507" s="15" t="s">
        <v>8028</v>
      </c>
      <c r="D25507" s="15" t="s">
        <v>8029</v>
      </c>
      <c r="E25507" s="2">
        <v>2882318</v>
      </c>
      <c r="F25507" s="4" t="str">
        <f>IF(B25507=B25506,"",B25507)</f>
        <v>KÃ¼rten</v>
      </c>
    </row>
    <row r="25508" spans="1:6" ht="15.75" customHeight="1">
      <c r="A25508" s="16" t="s">
        <v>8650</v>
      </c>
      <c r="B25508" s="15" t="s">
        <v>8651</v>
      </c>
      <c r="C25508" s="16" t="s">
        <v>8028</v>
      </c>
      <c r="D25508" s="16" t="s">
        <v>8031</v>
      </c>
      <c r="E25508" s="2">
        <v>2882439</v>
      </c>
      <c r="F25508" s="4" t="str">
        <f>IF(B25508=B25507,"",B25508)</f>
        <v>KÃ¼nzelsau</v>
      </c>
    </row>
    <row r="25509" spans="1:6" ht="15.75" customHeight="1">
      <c r="A25509" s="15" t="s">
        <v>8648</v>
      </c>
      <c r="B25509" s="15" t="s">
        <v>8649</v>
      </c>
      <c r="C25509" s="15" t="s">
        <v>8028</v>
      </c>
      <c r="D25509" s="15" t="s">
        <v>8050</v>
      </c>
      <c r="E25509" s="2">
        <v>2882440</v>
      </c>
      <c r="F25509" s="4" t="str">
        <f>IF(B25509=B25508,"",B25509)</f>
        <v>KÃ¼nzell</v>
      </c>
    </row>
    <row r="25510" spans="1:6" ht="15.75" customHeight="1">
      <c r="A25510" s="16" t="s">
        <v>14419</v>
      </c>
      <c r="B25510" s="15" t="s">
        <v>14420</v>
      </c>
      <c r="C25510" s="16" t="s">
        <v>14240</v>
      </c>
      <c r="D25510" s="16" t="s">
        <v>14244</v>
      </c>
      <c r="E25510" s="2">
        <v>128321</v>
      </c>
      <c r="F25510" s="4" t="str">
        <f>IF(B25510=B25509,"",B25510)</f>
        <v>KÄzerÅ«n</v>
      </c>
    </row>
    <row r="25511" spans="1:6" ht="15.75" customHeight="1">
      <c r="A25511" s="16" t="s">
        <v>11796</v>
      </c>
      <c r="B25511" s="15" t="s">
        <v>11797</v>
      </c>
      <c r="C25511" s="16" t="s">
        <v>10178</v>
      </c>
      <c r="D25511" s="16" t="s">
        <v>10246</v>
      </c>
      <c r="E25511" s="2">
        <v>1267360</v>
      </c>
      <c r="F25511" s="4" t="str">
        <f>IF(B25511=B25510,"",B25511)</f>
        <v>KÄyankulam</v>
      </c>
    </row>
    <row r="25512" spans="1:6" ht="15.75" customHeight="1">
      <c r="A25512" s="15" t="s">
        <v>11794</v>
      </c>
      <c r="B25512" s="15" t="s">
        <v>11795</v>
      </c>
      <c r="C25512" s="15" t="s">
        <v>10178</v>
      </c>
      <c r="D25512" s="15" t="s">
        <v>10190</v>
      </c>
      <c r="E25512" s="2">
        <v>1267394</v>
      </c>
      <c r="F25512" s="4" t="str">
        <f>IF(B25512=B25511,"",B25512)</f>
        <v>KÄvali</v>
      </c>
    </row>
    <row r="25513" spans="1:6" ht="15.75" customHeight="1">
      <c r="A25513" s="15" t="s">
        <v>11792</v>
      </c>
      <c r="B25513" s="15" t="s">
        <v>11793</v>
      </c>
      <c r="C25513" s="15" t="s">
        <v>10178</v>
      </c>
      <c r="D25513" s="15" t="s">
        <v>10430</v>
      </c>
      <c r="E25513" s="2">
        <v>1267439</v>
      </c>
      <c r="F25513" s="4" t="str">
        <f>IF(B25513=B25512,"",B25513)</f>
        <v>KÄtrÄs</v>
      </c>
    </row>
    <row r="25514" spans="1:6" ht="15.75" customHeight="1">
      <c r="A25514" s="15" t="s">
        <v>11790</v>
      </c>
      <c r="B25514" s="15" t="s">
        <v>11791</v>
      </c>
      <c r="C25514" s="15" t="s">
        <v>10178</v>
      </c>
      <c r="D25514" s="15" t="s">
        <v>10196</v>
      </c>
      <c r="E25514" s="2">
        <v>1267456</v>
      </c>
      <c r="F25514" s="4" t="str">
        <f>IF(B25514=B25513,"",B25514)</f>
        <v>KÄtpÄdi</v>
      </c>
    </row>
    <row r="25515" spans="1:6" ht="15.75" customHeight="1">
      <c r="A25515" s="15" t="s">
        <v>11788</v>
      </c>
      <c r="B25515" s="15" t="s">
        <v>11789</v>
      </c>
      <c r="C25515" s="15" t="s">
        <v>10178</v>
      </c>
      <c r="D25515" s="15" t="s">
        <v>10201</v>
      </c>
      <c r="E25515" s="2">
        <v>1267457</v>
      </c>
      <c r="F25515" s="4" t="str">
        <f>IF(B25515=B25514,"",B25515)</f>
        <v>KÄtoya</v>
      </c>
    </row>
    <row r="25516" spans="1:6" ht="15.75" customHeight="1">
      <c r="A25516" s="15" t="s">
        <v>11786</v>
      </c>
      <c r="B25516" s="15" t="s">
        <v>11787</v>
      </c>
      <c r="C25516" s="15" t="s">
        <v>10178</v>
      </c>
      <c r="D25516" s="15" t="s">
        <v>10214</v>
      </c>
      <c r="E25516" s="2">
        <v>1267461</v>
      </c>
      <c r="F25516" s="4" t="str">
        <f>IF(B25516=B25515,"",B25516)</f>
        <v>KÄtol</v>
      </c>
    </row>
    <row r="25517" spans="1:6" ht="15.75" customHeight="1">
      <c r="A25517" s="15" t="s">
        <v>11784</v>
      </c>
      <c r="B25517" s="15" t="s">
        <v>11785</v>
      </c>
      <c r="C25517" s="15" t="s">
        <v>10178</v>
      </c>
      <c r="D25517" s="15" t="s">
        <v>10209</v>
      </c>
      <c r="E25517" s="2">
        <v>1267492</v>
      </c>
      <c r="F25517" s="4" t="str">
        <f>IF(B25517=B25516,"",B25517)</f>
        <v>KÄthor</v>
      </c>
    </row>
    <row r="25518" spans="1:6" ht="15.75" customHeight="1">
      <c r="A25518" s="15" t="s">
        <v>14417</v>
      </c>
      <c r="B25518" s="15" t="s">
        <v>14418</v>
      </c>
      <c r="C25518" s="15" t="s">
        <v>14240</v>
      </c>
      <c r="D25518" s="15" t="s">
        <v>14351</v>
      </c>
      <c r="E25518" s="2">
        <v>128447</v>
      </c>
      <c r="F25518" s="4" t="str">
        <f>IF(B25518=B25517,"",B25518)</f>
        <v>KÄshmar</v>
      </c>
    </row>
    <row r="25519" spans="1:6" ht="15.75" customHeight="1">
      <c r="A25519" s="15" t="s">
        <v>14415</v>
      </c>
      <c r="B25519" s="15" t="s">
        <v>14416</v>
      </c>
      <c r="C25519" s="15" t="s">
        <v>14240</v>
      </c>
      <c r="D25519" s="15" t="s">
        <v>14294</v>
      </c>
      <c r="E25519" s="2">
        <v>128477</v>
      </c>
      <c r="F25519" s="4" t="str">
        <f>IF(B25519=B25518,"",B25519)</f>
        <v>KÄshÄn</v>
      </c>
    </row>
    <row r="25520" spans="1:6" ht="15.75" customHeight="1">
      <c r="A25520" s="15" t="s">
        <v>11782</v>
      </c>
      <c r="B25520" s="15" t="s">
        <v>11783</v>
      </c>
      <c r="C25520" s="15" t="s">
        <v>10178</v>
      </c>
      <c r="D25520" s="15" t="s">
        <v>10193</v>
      </c>
      <c r="E25520" s="2">
        <v>1267588</v>
      </c>
      <c r="F25520" s="4" t="str">
        <f>IF(B25520=B25519,"",B25520)</f>
        <v>KÄsganj</v>
      </c>
    </row>
    <row r="25521" spans="1:6" ht="15.75" customHeight="1">
      <c r="A25521" s="16" t="s">
        <v>11780</v>
      </c>
      <c r="B25521" s="15" t="s">
        <v>11781</v>
      </c>
      <c r="C25521" s="16" t="s">
        <v>10178</v>
      </c>
      <c r="D25521" s="16" t="s">
        <v>10246</v>
      </c>
      <c r="E25521" s="2">
        <v>1267616</v>
      </c>
      <c r="F25521" s="4" t="str">
        <f>IF(B25521=B25520,"",B25521)</f>
        <v>KÄsaragod</v>
      </c>
    </row>
    <row r="25522" spans="1:6" ht="15.75" customHeight="1">
      <c r="A25522" s="16" t="s">
        <v>11778</v>
      </c>
      <c r="B25522" s="15" t="s">
        <v>11779</v>
      </c>
      <c r="C25522" s="16" t="s">
        <v>10178</v>
      </c>
      <c r="D25522" s="16" t="s">
        <v>10201</v>
      </c>
      <c r="E25522" s="2">
        <v>1267675</v>
      </c>
      <c r="F25522" s="4" t="str">
        <f>IF(B25522=B25521,"",B25522)</f>
        <v>KÄrsiyÄng</v>
      </c>
    </row>
    <row r="25523" spans="1:6" ht="15.75" customHeight="1">
      <c r="A25523" s="15" t="s">
        <v>11776</v>
      </c>
      <c r="B25523" s="15" t="s">
        <v>11777</v>
      </c>
      <c r="C25523" s="15" t="s">
        <v>10178</v>
      </c>
      <c r="D25523" s="15" t="s">
        <v>10252</v>
      </c>
      <c r="E25523" s="2">
        <v>1267739</v>
      </c>
      <c r="F25523" s="4" t="str">
        <f>IF(B25523=B25522,"",B25523)</f>
        <v>KÄrkala</v>
      </c>
    </row>
    <row r="25524" spans="1:6" ht="15.75" customHeight="1">
      <c r="A25524" s="16" t="s">
        <v>16053</v>
      </c>
      <c r="B25524" s="15" t="s">
        <v>16054</v>
      </c>
      <c r="C25524" s="16" t="s">
        <v>15704</v>
      </c>
      <c r="D25524" s="16" t="s">
        <v>15884</v>
      </c>
      <c r="E25524" s="2">
        <v>2112141</v>
      </c>
      <c r="F25524" s="4" t="str">
        <f>IF(B25524=B25523,"",B25524)</f>
        <v>KÅriyama</v>
      </c>
    </row>
    <row r="25525" spans="1:6" ht="15.75" customHeight="1">
      <c r="A25525" s="15" t="s">
        <v>11774</v>
      </c>
      <c r="B25525" s="15" t="s">
        <v>11775</v>
      </c>
      <c r="C25525" s="15" t="s">
        <v>10178</v>
      </c>
      <c r="D25525" s="15" t="s">
        <v>10214</v>
      </c>
      <c r="E25525" s="2">
        <v>1267853</v>
      </c>
      <c r="F25525" s="4" t="str">
        <f>IF(B25525=B25524,"",B25525)</f>
        <v>KÄranja</v>
      </c>
    </row>
    <row r="25526" spans="1:6" ht="15.75" customHeight="1">
      <c r="A25526" s="16" t="s">
        <v>11772</v>
      </c>
      <c r="B25526" s="15" t="s">
        <v>11773</v>
      </c>
      <c r="C25526" s="16" t="s">
        <v>10178</v>
      </c>
      <c r="D25526" s="16" t="s">
        <v>10196</v>
      </c>
      <c r="E25526" s="2">
        <v>1267869</v>
      </c>
      <c r="F25526" s="4" t="str">
        <f>IF(B25526=B25525,"",B25526)</f>
        <v>KÄramadai</v>
      </c>
    </row>
    <row r="25527" spans="1:6" ht="15.75" customHeight="1">
      <c r="A25527" s="16" t="s">
        <v>11770</v>
      </c>
      <c r="B25527" s="15" t="s">
        <v>11771</v>
      </c>
      <c r="C25527" s="16" t="s">
        <v>10178</v>
      </c>
      <c r="D25527" s="16" t="s">
        <v>10196</v>
      </c>
      <c r="E25527" s="2">
        <v>1267885</v>
      </c>
      <c r="F25527" s="4" t="str">
        <f>IF(B25527=B25526,"",B25527)</f>
        <v>KÄraikkudi</v>
      </c>
    </row>
    <row r="25528" spans="1:6" ht="15.75" customHeight="1">
      <c r="A25528" s="15" t="s">
        <v>11767</v>
      </c>
      <c r="B25528" s="15" t="s">
        <v>11768</v>
      </c>
      <c r="C25528" s="15" t="s">
        <v>10178</v>
      </c>
      <c r="D25528" s="15" t="s">
        <v>11769</v>
      </c>
      <c r="E25528" s="2">
        <v>1267887</v>
      </c>
      <c r="F25528" s="4" t="str">
        <f>IF(B25528=B25527,"",B25528)</f>
        <v>KÄraikÄl</v>
      </c>
    </row>
    <row r="25529" spans="1:6" ht="15.75" customHeight="1">
      <c r="A25529" s="15" t="s">
        <v>11765</v>
      </c>
      <c r="B25529" s="15" t="s">
        <v>11766</v>
      </c>
      <c r="C25529" s="15" t="s">
        <v>10178</v>
      </c>
      <c r="D25529" s="15" t="s">
        <v>10179</v>
      </c>
      <c r="E25529" s="2">
        <v>1267923</v>
      </c>
      <c r="F25529" s="4" t="str">
        <f>IF(B25529=B25528,"",B25529)</f>
        <v>KÄpren</v>
      </c>
    </row>
    <row r="25530" spans="1:6" ht="15.75" customHeight="1">
      <c r="A25530" s="15" t="s">
        <v>11763</v>
      </c>
      <c r="B25530" s="15" t="s">
        <v>11764</v>
      </c>
      <c r="C25530" s="15" t="s">
        <v>10178</v>
      </c>
      <c r="D25530" s="15" t="s">
        <v>10193</v>
      </c>
      <c r="E25530" s="2">
        <v>1267972</v>
      </c>
      <c r="F25530" s="4" t="str">
        <f>IF(B25530=B25529,"",B25530)</f>
        <v>KÄnth</v>
      </c>
    </row>
    <row r="25531" spans="1:6" ht="15.75" customHeight="1">
      <c r="A25531" s="15" t="s">
        <v>11761</v>
      </c>
      <c r="B25531" s="15" t="s">
        <v>11762</v>
      </c>
      <c r="C25531" s="15" t="s">
        <v>10178</v>
      </c>
      <c r="D25531" s="15" t="s">
        <v>10193</v>
      </c>
      <c r="E25531" s="2">
        <v>1267979</v>
      </c>
      <c r="F25531" s="4" t="str">
        <f>IF(B25531=B25530,"",B25531)</f>
        <v>KÄnt</v>
      </c>
    </row>
    <row r="25532" spans="1:6" ht="15.75" customHeight="1">
      <c r="A25532" s="15" t="s">
        <v>16051</v>
      </c>
      <c r="B25532" s="15" t="s">
        <v>16052</v>
      </c>
      <c r="C25532" s="15" t="s">
        <v>15704</v>
      </c>
      <c r="D25532" s="15" t="s">
        <v>15710</v>
      </c>
      <c r="E25532" s="2">
        <v>1858794</v>
      </c>
      <c r="F25532" s="4" t="str">
        <f>IF(B25532=B25531,"",B25532)</f>
        <v>KÅnosu</v>
      </c>
    </row>
    <row r="25533" spans="1:6" ht="15.75" customHeight="1">
      <c r="A25533" s="16" t="s">
        <v>11759</v>
      </c>
      <c r="B25533" s="15" t="s">
        <v>11760</v>
      </c>
      <c r="C25533" s="16" t="s">
        <v>10178</v>
      </c>
      <c r="D25533" s="16" t="s">
        <v>10246</v>
      </c>
      <c r="E25533" s="2">
        <v>1268015</v>
      </c>
      <c r="F25533" s="4" t="str">
        <f>IF(B25533=B25532,"",B25533)</f>
        <v>KÄnnangÄd</v>
      </c>
    </row>
    <row r="25534" spans="1:6" ht="15.75" customHeight="1">
      <c r="A25534" s="15" t="s">
        <v>11757</v>
      </c>
      <c r="B25534" s="15" t="s">
        <v>11758</v>
      </c>
      <c r="C25534" s="15" t="s">
        <v>10178</v>
      </c>
      <c r="D25534" s="15" t="s">
        <v>10272</v>
      </c>
      <c r="E25534" s="2">
        <v>1268031</v>
      </c>
      <c r="F25534" s="4" t="str">
        <f>IF(B25534=B25533,"",B25534)</f>
        <v>KÄnker</v>
      </c>
    </row>
    <row r="25535" spans="1:6" ht="15.75" customHeight="1">
      <c r="A25535" s="15" t="s">
        <v>11755</v>
      </c>
      <c r="B25535" s="15" t="s">
        <v>11756</v>
      </c>
      <c r="C25535" s="15" t="s">
        <v>10178</v>
      </c>
      <c r="D25535" s="15" t="s">
        <v>10430</v>
      </c>
      <c r="E25535" s="2">
        <v>1268032</v>
      </c>
      <c r="F25535" s="4" t="str">
        <f>IF(B25535=B25534,"",B25535)</f>
        <v>KÄnke</v>
      </c>
    </row>
    <row r="25536" spans="1:6" ht="15.75" customHeight="1">
      <c r="A25536" s="16" t="s">
        <v>28996</v>
      </c>
      <c r="B25536" s="15" t="s">
        <v>28997</v>
      </c>
      <c r="C25536" s="16" t="s">
        <v>27788</v>
      </c>
      <c r="D25536" s="16" t="s">
        <v>27789</v>
      </c>
      <c r="E25536" s="2">
        <v>5848189</v>
      </c>
      <c r="F25536" s="4" t="str">
        <f>IF(B25536=B25535,"",B25536)</f>
        <v>KÄneâ€˜ohe</v>
      </c>
    </row>
    <row r="25537" spans="1:6" ht="15.75" customHeight="1">
      <c r="A25537" s="15" t="s">
        <v>11753</v>
      </c>
      <c r="B25537" s="15" t="s">
        <v>11754</v>
      </c>
      <c r="C25537" s="15" t="s">
        <v>10178</v>
      </c>
      <c r="D25537" s="15" t="s">
        <v>10209</v>
      </c>
      <c r="E25537" s="2">
        <v>1268124</v>
      </c>
      <c r="F25537" s="4" t="str">
        <f>IF(B25537=B25536,"",B25537)</f>
        <v>KÄndla</v>
      </c>
    </row>
    <row r="25538" spans="1:6" ht="15.75" customHeight="1">
      <c r="A25538" s="15" t="s">
        <v>11751</v>
      </c>
      <c r="B25538" s="15" t="s">
        <v>11752</v>
      </c>
      <c r="C25538" s="15" t="s">
        <v>10178</v>
      </c>
      <c r="D25538" s="15" t="s">
        <v>10201</v>
      </c>
      <c r="E25538" s="2">
        <v>1268135</v>
      </c>
      <c r="F25538" s="4" t="str">
        <f>IF(B25538=B25537,"",B25538)</f>
        <v>KÄndi</v>
      </c>
    </row>
    <row r="25539" spans="1:6" ht="15.75" customHeight="1">
      <c r="A25539" s="15" t="s">
        <v>11749</v>
      </c>
      <c r="B25539" s="15" t="s">
        <v>11750</v>
      </c>
      <c r="C25539" s="15" t="s">
        <v>10178</v>
      </c>
      <c r="D25539" s="15" t="s">
        <v>10193</v>
      </c>
      <c r="E25539" s="2">
        <v>1268138</v>
      </c>
      <c r="F25539" s="4" t="str">
        <f>IF(B25539=B25538,"",B25539)</f>
        <v>KÄndhla</v>
      </c>
    </row>
    <row r="25540" spans="1:6" ht="15.75" customHeight="1">
      <c r="A25540" s="16" t="s">
        <v>11747</v>
      </c>
      <c r="B25540" s="15" t="s">
        <v>11748</v>
      </c>
      <c r="C25540" s="16" t="s">
        <v>10178</v>
      </c>
      <c r="D25540" s="16" t="s">
        <v>10201</v>
      </c>
      <c r="E25540" s="2">
        <v>1268715</v>
      </c>
      <c r="F25540" s="4" t="str">
        <f>IF(B25540=B25539,"",B25540)</f>
        <v>KÄnchrÄpÄra</v>
      </c>
    </row>
    <row r="25541" spans="1:6" ht="15.75" customHeight="1">
      <c r="A25541" s="16" t="s">
        <v>11745</v>
      </c>
      <c r="B25541" s="15" t="s">
        <v>11746</v>
      </c>
      <c r="C25541" s="16" t="s">
        <v>10178</v>
      </c>
      <c r="D25541" s="16" t="s">
        <v>10196</v>
      </c>
      <c r="E25541" s="2">
        <v>1268159</v>
      </c>
      <c r="F25541" s="4" t="str">
        <f>IF(B25541=B25540,"",B25541)</f>
        <v>KÄnchipuram</v>
      </c>
    </row>
    <row r="25542" spans="1:6" ht="15.75" customHeight="1">
      <c r="A25542" s="15" t="s">
        <v>16049</v>
      </c>
      <c r="B25542" s="15" t="s">
        <v>16050</v>
      </c>
      <c r="C25542" s="15" t="s">
        <v>15704</v>
      </c>
      <c r="D25542" s="15" t="s">
        <v>15729</v>
      </c>
      <c r="E25542" s="2">
        <v>1858836</v>
      </c>
      <c r="F25542" s="4" t="str">
        <f>IF(B25542=B25541,"",B25542)</f>
        <v>KÅnan</v>
      </c>
    </row>
    <row r="25543" spans="1:6" ht="15.75" customHeight="1">
      <c r="A25543" s="16" t="s">
        <v>14413</v>
      </c>
      <c r="B25543" s="15" t="s">
        <v>14414</v>
      </c>
      <c r="C25543" s="16" t="s">
        <v>14240</v>
      </c>
      <c r="D25543" s="16" t="s">
        <v>14299</v>
      </c>
      <c r="E25543" s="2">
        <v>128905</v>
      </c>
      <c r="F25543" s="4" t="str">
        <f>IF(B25543=B25542,"",B25543)</f>
        <v>KÄmyÄrÄn</v>
      </c>
    </row>
    <row r="25544" spans="1:6" ht="15.75" customHeight="1">
      <c r="A25544" s="15" t="s">
        <v>11743</v>
      </c>
      <c r="B25544" s="15" t="s">
        <v>11744</v>
      </c>
      <c r="C25544" s="15" t="s">
        <v>10178</v>
      </c>
      <c r="D25544" s="15" t="s">
        <v>10214</v>
      </c>
      <c r="E25544" s="2">
        <v>1268205</v>
      </c>
      <c r="F25544" s="4" t="str">
        <f>IF(B25544=B25543,"",B25544)</f>
        <v>KÄmthi</v>
      </c>
    </row>
    <row r="25545" spans="1:6" ht="15.75" customHeight="1">
      <c r="A25545" s="15" t="s">
        <v>19981</v>
      </c>
      <c r="B25545" s="15" t="s">
        <v>19982</v>
      </c>
      <c r="C25545" s="15" t="s">
        <v>19808</v>
      </c>
      <c r="D25545" s="15" t="s">
        <v>10184</v>
      </c>
      <c r="E25545" s="2">
        <v>1175082</v>
      </c>
      <c r="F25545" s="4" t="str">
        <f>IF(B25545=B25544,"",B25545)</f>
        <v>KÄmra</v>
      </c>
    </row>
    <row r="25546" spans="1:6" ht="15.75" customHeight="1">
      <c r="A25546" s="15" t="s">
        <v>11741</v>
      </c>
      <c r="B25546" s="15" t="s">
        <v>11742</v>
      </c>
      <c r="C25546" s="15" t="s">
        <v>10178</v>
      </c>
      <c r="D25546" s="15" t="s">
        <v>10179</v>
      </c>
      <c r="E25546" s="2">
        <v>1268266</v>
      </c>
      <c r="F25546" s="4" t="str">
        <f>IF(B25546=B25545,"",B25546)</f>
        <v>KÄman</v>
      </c>
    </row>
    <row r="25547" spans="1:6" ht="15.75" customHeight="1">
      <c r="A25547" s="16" t="s">
        <v>11739</v>
      </c>
      <c r="B25547" s="15" t="s">
        <v>11740</v>
      </c>
      <c r="C25547" s="16" t="s">
        <v>10178</v>
      </c>
      <c r="D25547" s="16" t="s">
        <v>10201</v>
      </c>
      <c r="E25547" s="2">
        <v>1268257</v>
      </c>
      <c r="F25547" s="4" t="str">
        <f>IF(B25547=B25546,"",B25547)</f>
        <v>KÄmÄrhÄti</v>
      </c>
    </row>
    <row r="25548" spans="1:6" ht="15.75" customHeight="1">
      <c r="A25548" s="16" t="s">
        <v>11737</v>
      </c>
      <c r="B25548" s="15" t="s">
        <v>11738</v>
      </c>
      <c r="C25548" s="16" t="s">
        <v>10178</v>
      </c>
      <c r="D25548" s="16" t="s">
        <v>10187</v>
      </c>
      <c r="E25548" s="2">
        <v>1268259</v>
      </c>
      <c r="F25548" s="4" t="str">
        <f>IF(B25548=B25547,"",B25548)</f>
        <v>KÄmÄreddi</v>
      </c>
    </row>
    <row r="25549" spans="1:6" ht="15.75" customHeight="1">
      <c r="A25549" s="16" t="s">
        <v>11735</v>
      </c>
      <c r="B25549" s="15" t="s">
        <v>11736</v>
      </c>
      <c r="C25549" s="16" t="s">
        <v>10178</v>
      </c>
      <c r="D25549" s="16" t="s">
        <v>10229</v>
      </c>
      <c r="E25549" s="2">
        <v>1268279</v>
      </c>
      <c r="F25549" s="4" t="str">
        <f>IF(B25549=B25548,"",B25549)</f>
        <v>KÄmÄkhyÄnagar</v>
      </c>
    </row>
    <row r="25550" spans="1:6" ht="15.75" customHeight="1">
      <c r="A25550" s="15" t="s">
        <v>11733</v>
      </c>
      <c r="B25550" s="15" t="s">
        <v>11734</v>
      </c>
      <c r="C25550" s="15" t="s">
        <v>10178</v>
      </c>
      <c r="D25550" s="15" t="s">
        <v>10193</v>
      </c>
      <c r="E25550" s="2">
        <v>1268325</v>
      </c>
      <c r="F25550" s="4" t="str">
        <f>IF(B25550=B25549,"",B25550)</f>
        <v>KÄlpi</v>
      </c>
    </row>
    <row r="25551" spans="1:6" ht="15.75" customHeight="1">
      <c r="A25551" s="15" t="s">
        <v>11731</v>
      </c>
      <c r="B25551" s="15" t="s">
        <v>11732</v>
      </c>
      <c r="C25551" s="15" t="s">
        <v>10178</v>
      </c>
      <c r="D25551" s="15" t="s">
        <v>10209</v>
      </c>
      <c r="E25551" s="2">
        <v>1268339</v>
      </c>
      <c r="F25551" s="4" t="str">
        <f>IF(B25551=B25550,"",B25551)</f>
        <v>KÄlol</v>
      </c>
    </row>
    <row r="25552" spans="1:6" ht="15.75" customHeight="1">
      <c r="A25552" s="15" t="s">
        <v>11729</v>
      </c>
      <c r="B25552" s="15" t="s">
        <v>11730</v>
      </c>
      <c r="C25552" s="15" t="s">
        <v>10178</v>
      </c>
      <c r="D25552" s="15" t="s">
        <v>10201</v>
      </c>
      <c r="E25552" s="2">
        <v>1268341</v>
      </c>
      <c r="F25552" s="4" t="str">
        <f>IF(B25552=B25551,"",B25552)</f>
        <v>KÄlna</v>
      </c>
    </row>
    <row r="25553" spans="1:6" ht="15.75" customHeight="1">
      <c r="A25553" s="15" t="s">
        <v>11727</v>
      </c>
      <c r="B25553" s="15" t="s">
        <v>11728</v>
      </c>
      <c r="C25553" s="15" t="s">
        <v>10178</v>
      </c>
      <c r="D25553" s="15" t="s">
        <v>10538</v>
      </c>
      <c r="E25553" s="2">
        <v>1268381</v>
      </c>
      <c r="F25553" s="4" t="str">
        <f>IF(B25553=B25552,"",B25553)</f>
        <v>KÄlka</v>
      </c>
    </row>
    <row r="25554" spans="1:6" ht="15.75" customHeight="1">
      <c r="A25554" s="16" t="s">
        <v>11725</v>
      </c>
      <c r="B25554" s="15" t="s">
        <v>11726</v>
      </c>
      <c r="C25554" s="16" t="s">
        <v>10178</v>
      </c>
      <c r="D25554" s="16" t="s">
        <v>10201</v>
      </c>
      <c r="E25554" s="2">
        <v>1268383</v>
      </c>
      <c r="F25554" s="4" t="str">
        <f>IF(B25554=B25553,"",B25554)</f>
        <v>KÄliyÄganj</v>
      </c>
    </row>
    <row r="25555" spans="1:6" ht="15.75" customHeight="1">
      <c r="A25555" s="16" t="s">
        <v>11723</v>
      </c>
      <c r="B25555" s="15" t="s">
        <v>11724</v>
      </c>
      <c r="C25555" s="16" t="s">
        <v>10178</v>
      </c>
      <c r="D25555" s="16" t="s">
        <v>10201</v>
      </c>
      <c r="E25555" s="2">
        <v>1268403</v>
      </c>
      <c r="F25555" s="4" t="str">
        <f>IF(B25555=B25554,"",B25555)</f>
        <v>KÄlimpong</v>
      </c>
    </row>
    <row r="25556" spans="1:6" ht="15.75" customHeight="1">
      <c r="A25556" s="15" t="s">
        <v>1359</v>
      </c>
      <c r="B25556" s="15" t="s">
        <v>1360</v>
      </c>
      <c r="C25556" s="15" t="s">
        <v>1296</v>
      </c>
      <c r="D25556" s="15" t="s">
        <v>1315</v>
      </c>
      <c r="E25556" s="2">
        <v>1185272</v>
      </c>
      <c r="F25556" s="4" t="str">
        <f>IF(B25556=B25555,"",B25556)</f>
        <v>KÄlia</v>
      </c>
    </row>
    <row r="25557" spans="1:6" ht="15.75" customHeight="1">
      <c r="A25557" s="16" t="s">
        <v>19979</v>
      </c>
      <c r="B25557" s="15" t="s">
        <v>19980</v>
      </c>
      <c r="C25557" s="16" t="s">
        <v>19808</v>
      </c>
      <c r="D25557" s="16" t="s">
        <v>10184</v>
      </c>
      <c r="E25557" s="2">
        <v>1175283</v>
      </c>
      <c r="F25557" s="4" t="str">
        <f>IF(B25557=B25556,"",B25557)</f>
        <v>KÄleke Mandi</v>
      </c>
    </row>
    <row r="25558" spans="1:6" ht="15.75" customHeight="1">
      <c r="A25558" s="15" t="s">
        <v>11721</v>
      </c>
      <c r="B25558" s="15" t="s">
        <v>11722</v>
      </c>
      <c r="C25558" s="15" t="s">
        <v>10178</v>
      </c>
      <c r="D25558" s="15" t="s">
        <v>10209</v>
      </c>
      <c r="E25558" s="2">
        <v>1268450</v>
      </c>
      <c r="F25558" s="4" t="str">
        <f>IF(B25558=B25557,"",B25558)</f>
        <v>KÄlÄvad</v>
      </c>
    </row>
    <row r="25559" spans="1:6" ht="15.75" customHeight="1">
      <c r="A25559" s="16" t="s">
        <v>11719</v>
      </c>
      <c r="B25559" s="15" t="s">
        <v>11720</v>
      </c>
      <c r="C25559" s="16" t="s">
        <v>10178</v>
      </c>
      <c r="D25559" s="16" t="s">
        <v>10224</v>
      </c>
      <c r="E25559" s="2">
        <v>1268469</v>
      </c>
      <c r="F25559" s="4" t="str">
        <f>IF(B25559=B25558,"",B25559)</f>
        <v>KÄlÄnwÄli</v>
      </c>
    </row>
    <row r="25560" spans="1:6" ht="15.75" customHeight="1">
      <c r="A25560" s="16" t="s">
        <v>19977</v>
      </c>
      <c r="B25560" s="15" t="s">
        <v>19978</v>
      </c>
      <c r="C25560" s="16" t="s">
        <v>19808</v>
      </c>
      <c r="D25560" s="16" t="s">
        <v>10184</v>
      </c>
      <c r="E25560" s="2">
        <v>1175365</v>
      </c>
      <c r="F25560" s="4" t="str">
        <f>IF(B25560=B25559,"",B25560)</f>
        <v>KÄlÄbÄgh</v>
      </c>
    </row>
    <row r="25561" spans="1:6" ht="15.75" customHeight="1">
      <c r="A25561" s="16" t="s">
        <v>1357</v>
      </c>
      <c r="B25561" s="15" t="s">
        <v>1358</v>
      </c>
      <c r="C25561" s="16" t="s">
        <v>1296</v>
      </c>
      <c r="D25561" s="16" t="s">
        <v>1315</v>
      </c>
      <c r="E25561" s="2">
        <v>1185199</v>
      </c>
      <c r="F25561" s="4" t="str">
        <f>IF(B25561=B25560,"",B25561)</f>
        <v>KÄlÄ«ganj</v>
      </c>
    </row>
    <row r="25562" spans="1:6" ht="15.75" customHeight="1">
      <c r="A25562" s="15" t="s">
        <v>11717</v>
      </c>
      <c r="B25562" s="15" t="s">
        <v>11718</v>
      </c>
      <c r="C25562" s="15" t="s">
        <v>10178</v>
      </c>
      <c r="D25562" s="15" t="s">
        <v>10193</v>
      </c>
      <c r="E25562" s="2">
        <v>1268545</v>
      </c>
      <c r="F25562" s="4" t="str">
        <f>IF(B25562=B25561,"",B25562)</f>
        <v>KÄkori</v>
      </c>
    </row>
    <row r="25563" spans="1:6" ht="15.75" customHeight="1">
      <c r="A25563" s="16" t="s">
        <v>11715</v>
      </c>
      <c r="B25563" s="15" t="s">
        <v>11716</v>
      </c>
      <c r="C25563" s="16" t="s">
        <v>10178</v>
      </c>
      <c r="D25563" s="16" t="s">
        <v>10190</v>
      </c>
      <c r="E25563" s="2">
        <v>1268561</v>
      </c>
      <c r="F25563" s="4" t="str">
        <f>IF(B25563=B25562,"",B25563)</f>
        <v>KÄkinÄda</v>
      </c>
    </row>
    <row r="25564" spans="1:6" ht="15.75" customHeight="1">
      <c r="A25564" s="15" t="s">
        <v>19975</v>
      </c>
      <c r="B25564" s="15" t="s">
        <v>19976</v>
      </c>
      <c r="C25564" s="15" t="s">
        <v>19808</v>
      </c>
      <c r="D25564" s="15" t="s">
        <v>10184</v>
      </c>
      <c r="E25564" s="2">
        <v>1175453</v>
      </c>
      <c r="F25564" s="4" t="str">
        <f>IF(B25564=B25563,"",B25564)</f>
        <v>KÄhna</v>
      </c>
    </row>
    <row r="25565" spans="1:6" ht="15.75" customHeight="1">
      <c r="A25565" s="15" t="s">
        <v>11713</v>
      </c>
      <c r="B25565" s="15" t="s">
        <v>11714</v>
      </c>
      <c r="C25565" s="15" t="s">
        <v>10178</v>
      </c>
      <c r="D25565" s="15" t="s">
        <v>10214</v>
      </c>
      <c r="E25565" s="2">
        <v>1268651</v>
      </c>
      <c r="F25565" s="4" t="str">
        <f>IF(B25565=B25564,"",B25565)</f>
        <v>KÄgal</v>
      </c>
    </row>
    <row r="25566" spans="1:6" ht="15.75" customHeight="1">
      <c r="A25566" s="15" t="s">
        <v>16047</v>
      </c>
      <c r="B25566" s="15" t="s">
        <v>16048</v>
      </c>
      <c r="C25566" s="15" t="s">
        <v>15704</v>
      </c>
      <c r="D25566" s="15" t="s">
        <v>15806</v>
      </c>
      <c r="E25566" s="2">
        <v>1859100</v>
      </c>
      <c r="F25566" s="4" t="str">
        <f>IF(B25566=B25565,"",B25566)</f>
        <v>KÅfu</v>
      </c>
    </row>
    <row r="25567" spans="1:6" ht="15.75" customHeight="1">
      <c r="A25567" s="15" t="s">
        <v>8646</v>
      </c>
      <c r="B25567" s="15" t="s">
        <v>8647</v>
      </c>
      <c r="C25567" s="15" t="s">
        <v>8028</v>
      </c>
      <c r="D25567" s="15" t="s">
        <v>8085</v>
      </c>
      <c r="E25567" s="2">
        <v>2885237</v>
      </c>
      <c r="F25567" s="4" t="str">
        <f>IF(B25567=B25566,"",B25567)</f>
        <v>KÃ¶then</v>
      </c>
    </row>
    <row r="25568" spans="1:6" ht="15.75" customHeight="1">
      <c r="A25568" s="15" t="s">
        <v>26565</v>
      </c>
      <c r="B25568" s="15" t="s">
        <v>26566</v>
      </c>
      <c r="C25568" s="15" t="s">
        <v>26201</v>
      </c>
      <c r="D25568" s="15" t="s">
        <v>26216</v>
      </c>
      <c r="E25568" s="2">
        <v>737961</v>
      </c>
      <c r="F25568" s="4" t="str">
        <f>IF(B25568=B25567,"",B25568)</f>
        <v>KÃ¶rfez</v>
      </c>
    </row>
    <row r="25569" spans="1:6" ht="15.75" customHeight="1">
      <c r="A25569" s="15" t="s">
        <v>25140</v>
      </c>
      <c r="B25569" s="15" t="s">
        <v>25141</v>
      </c>
      <c r="C25569" s="15" t="s">
        <v>25077</v>
      </c>
      <c r="D25569" s="15" t="s">
        <v>25142</v>
      </c>
      <c r="E25569" s="2">
        <v>2699791</v>
      </c>
      <c r="F25569" s="4" t="str">
        <f>IF(B25569=B25568,"",B25569)</f>
        <v>KÃ¶ping</v>
      </c>
    </row>
    <row r="25570" spans="1:6" ht="15.75" customHeight="1">
      <c r="A25570" s="15" t="s">
        <v>8644</v>
      </c>
      <c r="B25570" s="15" t="s">
        <v>8645</v>
      </c>
      <c r="C25570" s="15" t="s">
        <v>8028</v>
      </c>
      <c r="D25570" s="15" t="s">
        <v>8036</v>
      </c>
      <c r="E25570" s="2">
        <v>2885656</v>
      </c>
      <c r="F25570" s="4" t="str">
        <f>IF(B25570=B25569,"",B25570)</f>
        <v>KÃ¶penick</v>
      </c>
    </row>
    <row r="25571" spans="1:6" ht="15.75" customHeight="1">
      <c r="A25571" s="15" t="s">
        <v>25275</v>
      </c>
      <c r="B25571" s="15" t="s">
        <v>25276</v>
      </c>
      <c r="C25571" s="15" t="s">
        <v>25237</v>
      </c>
      <c r="D25571" s="15" t="s">
        <v>25250</v>
      </c>
      <c r="E25571" s="2">
        <v>2660119</v>
      </c>
      <c r="F25571" s="4" t="str">
        <f>IF(B25571=B25570,"",B25571)</f>
        <v>KÃ¶niz</v>
      </c>
    </row>
    <row r="25572" spans="1:6" ht="15.75" customHeight="1">
      <c r="A25572" s="16" t="s">
        <v>8642</v>
      </c>
      <c r="B25572" s="15" t="s">
        <v>8643</v>
      </c>
      <c r="C25572" s="16" t="s">
        <v>8028</v>
      </c>
      <c r="D25572" s="16" t="s">
        <v>8029</v>
      </c>
      <c r="E25572" s="2">
        <v>2885734</v>
      </c>
      <c r="F25572" s="4" t="str">
        <f>IF(B25572=B25571,"",B25572)</f>
        <v>KÃ¶nigswinter</v>
      </c>
    </row>
    <row r="25573" spans="1:6" ht="15.75" customHeight="1">
      <c r="A25573" s="16" t="s">
        <v>8640</v>
      </c>
      <c r="B25573" s="15" t="s">
        <v>8641</v>
      </c>
      <c r="C25573" s="16" t="s">
        <v>8028</v>
      </c>
      <c r="D25573" s="16" t="s">
        <v>8050</v>
      </c>
      <c r="E25573" s="2">
        <v>2885760</v>
      </c>
      <c r="F25573" s="4" t="str">
        <f>IF(B25573=B25572,"",B25573)</f>
        <v>KÃ¶nigstein im Taunus</v>
      </c>
    </row>
    <row r="25574" spans="1:6" ht="15.75" customHeight="1">
      <c r="A25574" s="16" t="s">
        <v>8638</v>
      </c>
      <c r="B25574" s="15" t="s">
        <v>8639</v>
      </c>
      <c r="C25574" s="16" t="s">
        <v>8028</v>
      </c>
      <c r="D25574" s="16" t="s">
        <v>8034</v>
      </c>
      <c r="E25574" s="2">
        <v>2885800</v>
      </c>
      <c r="F25574" s="4" t="str">
        <f>IF(B25574=B25573,"",B25574)</f>
        <v>KÃ¶nigslutter am Elm</v>
      </c>
    </row>
    <row r="25575" spans="1:6" ht="15.75" customHeight="1">
      <c r="A25575" s="16" t="s">
        <v>8636</v>
      </c>
      <c r="B25575" s="15" t="s">
        <v>8637</v>
      </c>
      <c r="C25575" s="16" t="s">
        <v>8028</v>
      </c>
      <c r="D25575" s="16" t="s">
        <v>8044</v>
      </c>
      <c r="E25575" s="2">
        <v>2885908</v>
      </c>
      <c r="F25575" s="4" t="str">
        <f>IF(B25575=B25574,"",B25575)</f>
        <v>KÃ¶nigsbrunn</v>
      </c>
    </row>
    <row r="25576" spans="1:6" ht="15.75" customHeight="1">
      <c r="A25576" s="16" t="s">
        <v>8634</v>
      </c>
      <c r="B25576" s="15" t="s">
        <v>8635</v>
      </c>
      <c r="C25576" s="16" t="s">
        <v>8028</v>
      </c>
      <c r="D25576" s="16" t="s">
        <v>8070</v>
      </c>
      <c r="E25576" s="2">
        <v>2885732</v>
      </c>
      <c r="F25576" s="4" t="str">
        <f>IF(B25576=B25575,"",B25576)</f>
        <v>KÃ¶nigs Wusterhausen</v>
      </c>
    </row>
    <row r="25577" spans="1:6" ht="15.75" customHeight="1">
      <c r="A25577" s="16" t="s">
        <v>26793</v>
      </c>
      <c r="B25577" s="15" t="s">
        <v>26794</v>
      </c>
      <c r="C25577" s="16" t="s">
        <v>26774</v>
      </c>
      <c r="D25577" s="16" t="s">
        <v>26787</v>
      </c>
      <c r="E25577" s="2">
        <v>601608</v>
      </c>
      <c r="F25577" s="4" t="str">
        <f>IF(B25577=B25576,"",B25577)</f>
        <v>KÃ¶neÃ¼rgench</v>
      </c>
    </row>
    <row r="25578" spans="1:6" ht="15.75" customHeight="1">
      <c r="A25578" s="15" t="s">
        <v>8632</v>
      </c>
      <c r="B25578" s="15" t="s">
        <v>8633</v>
      </c>
      <c r="C25578" s="15" t="s">
        <v>8028</v>
      </c>
      <c r="D25578" s="15" t="s">
        <v>8029</v>
      </c>
      <c r="E25578" s="2">
        <v>2886242</v>
      </c>
      <c r="F25578" s="4" t="str">
        <f>IF(B25578=B25577,"",B25578)</f>
        <v>KÃ¶ln</v>
      </c>
    </row>
    <row r="25579" spans="1:6" ht="15.75" customHeight="1">
      <c r="A25579" s="15" t="s">
        <v>1769</v>
      </c>
      <c r="B25579" s="15" t="s">
        <v>1770</v>
      </c>
      <c r="C25579" s="15" t="s">
        <v>1741</v>
      </c>
      <c r="D25579" s="15" t="s">
        <v>1771</v>
      </c>
      <c r="E25579" s="2">
        <v>2393551</v>
      </c>
      <c r="F25579" s="4" t="str">
        <f>IF(B25579=B25578,"",B25579)</f>
        <v>KÃ©tou</v>
      </c>
    </row>
    <row r="25580" spans="1:6" ht="15.75" customHeight="1">
      <c r="A25580" s="15" t="s">
        <v>26143</v>
      </c>
      <c r="B25580" s="15" t="s">
        <v>26144</v>
      </c>
      <c r="C25580" s="15" t="s">
        <v>26090</v>
      </c>
      <c r="D25580" s="15" t="s">
        <v>26108</v>
      </c>
      <c r="E25580" s="2">
        <v>2467959</v>
      </c>
      <c r="F25580" s="4" t="str">
        <f>IF(B25580=B25579,"",B25580)</f>
        <v>KÃ©libia</v>
      </c>
    </row>
    <row r="25581" spans="1:6" ht="15.75" customHeight="1">
      <c r="A25581" s="16" t="s">
        <v>23569</v>
      </c>
      <c r="B25581" s="15" t="s">
        <v>23570</v>
      </c>
      <c r="C25581" s="16" t="s">
        <v>23559</v>
      </c>
      <c r="D25581" s="16" t="s">
        <v>23570</v>
      </c>
      <c r="E25581" s="2">
        <v>2250645</v>
      </c>
      <c r="F25581" s="4" t="str">
        <f>IF(B25581=B25580,"",B25581)</f>
        <v>KÃ©dougou</v>
      </c>
    </row>
    <row r="25582" spans="1:6" ht="15.75" customHeight="1">
      <c r="A25582" s="15" t="s">
        <v>14411</v>
      </c>
      <c r="B25582" s="15" t="s">
        <v>14412</v>
      </c>
      <c r="C25582" s="15" t="s">
        <v>14240</v>
      </c>
      <c r="D25582" s="15" t="s">
        <v>14320</v>
      </c>
      <c r="E25582" s="2">
        <v>126914</v>
      </c>
      <c r="F25582" s="4" t="str">
        <f>IF(B25582=B25581,"",B25582)</f>
        <v>KÄ«sh</v>
      </c>
    </row>
    <row r="25583" spans="1:6" ht="15.75" customHeight="1">
      <c r="A25583" s="16" t="s">
        <v>11711</v>
      </c>
      <c r="B25583" s="15" t="s">
        <v>11712</v>
      </c>
      <c r="C25583" s="16" t="s">
        <v>10178</v>
      </c>
      <c r="D25583" s="16" t="s">
        <v>10193</v>
      </c>
      <c r="E25583" s="2">
        <v>1266509</v>
      </c>
      <c r="F25583" s="4" t="str">
        <f>IF(B25583=B25582,"",B25583)</f>
        <v>KÄ«ratpur</v>
      </c>
    </row>
    <row r="25584" spans="1:6" ht="15.75" customHeight="1">
      <c r="A25584" s="15" t="s">
        <v>11709</v>
      </c>
      <c r="B25584" s="15" t="s">
        <v>11710</v>
      </c>
      <c r="C25584" s="15" t="s">
        <v>10178</v>
      </c>
      <c r="D25584" s="15" t="s">
        <v>10179</v>
      </c>
      <c r="E25584" s="2">
        <v>1265655</v>
      </c>
      <c r="F25584" s="4" t="str">
        <f>IF(B25584=B25583,"",B25584)</f>
        <v>KÅ«mher</v>
      </c>
    </row>
    <row r="25585" spans="1:6" ht="15.75" customHeight="1">
      <c r="A25585" s="16" t="s">
        <v>11707</v>
      </c>
      <c r="B25585" s="15" t="s">
        <v>11708</v>
      </c>
      <c r="C25585" s="16" t="s">
        <v>10178</v>
      </c>
      <c r="D25585" s="16" t="s">
        <v>10187</v>
      </c>
      <c r="E25585" s="2">
        <v>1265767</v>
      </c>
      <c r="F25585" s="4" t="str">
        <f>IF(B25585=B25584,"",B25585)</f>
        <v>KÅ«katpalli</v>
      </c>
    </row>
    <row r="25586" spans="1:6" ht="15.75" customHeight="1">
      <c r="A25586" s="15" t="s">
        <v>28994</v>
      </c>
      <c r="B25586" s="15" t="s">
        <v>28995</v>
      </c>
      <c r="C25586" s="15" t="s">
        <v>27788</v>
      </c>
      <c r="D25586" s="15" t="s">
        <v>27789</v>
      </c>
      <c r="E25586" s="2">
        <v>5849297</v>
      </c>
      <c r="F25586" s="4" t="str">
        <f>IF(B25586=B25585,"",B25586)</f>
        <v>KÄ«hei</v>
      </c>
    </row>
    <row r="25587" spans="1:6" ht="15.75" customHeight="1">
      <c r="A25587" s="16" t="s">
        <v>14409</v>
      </c>
      <c r="B25587" s="15" t="s">
        <v>14410</v>
      </c>
      <c r="C25587" s="16" t="s">
        <v>14240</v>
      </c>
      <c r="D25587" s="16" t="s">
        <v>14281</v>
      </c>
      <c r="E25587" s="2">
        <v>126409</v>
      </c>
      <c r="F25587" s="4" t="str">
        <f>IF(B25587=B25586,"",B25587)</f>
        <v>KÅ«hdasht</v>
      </c>
    </row>
    <row r="25588" spans="1:6" ht="15.75" customHeight="1">
      <c r="A25588" s="15" t="s">
        <v>11705</v>
      </c>
      <c r="B25588" s="15" t="s">
        <v>11706</v>
      </c>
      <c r="C25588" s="15" t="s">
        <v>10178</v>
      </c>
      <c r="D25588" s="15" t="s">
        <v>10252</v>
      </c>
      <c r="E25588" s="2">
        <v>1265795</v>
      </c>
      <c r="F25588" s="4" t="str">
        <f>IF(B25588=B25587,"",B25588)</f>
        <v>KÅ«dligi</v>
      </c>
    </row>
    <row r="25589" spans="1:6" ht="15.75" customHeight="1">
      <c r="A25589" s="16" t="s">
        <v>26563</v>
      </c>
      <c r="B25589" s="15" t="s">
        <v>26564</v>
      </c>
      <c r="C25589" s="16" t="s">
        <v>26201</v>
      </c>
      <c r="D25589" s="16" t="s">
        <v>26440</v>
      </c>
      <c r="E25589" s="2">
        <v>307084</v>
      </c>
      <c r="F25589" s="4" t="str">
        <f>IF(B25589=B25588,"",B25589)</f>
        <v>KÄ±zÄ±ltepe</v>
      </c>
    </row>
    <row r="25590" spans="1:6" ht="15.75" customHeight="1">
      <c r="A25590" s="16" t="s">
        <v>26561</v>
      </c>
      <c r="B25590" s="15" t="s">
        <v>26562</v>
      </c>
      <c r="C25590" s="16" t="s">
        <v>26201</v>
      </c>
      <c r="D25590" s="16" t="s">
        <v>26229</v>
      </c>
      <c r="E25590" s="2">
        <v>743051</v>
      </c>
      <c r="F25590" s="4" t="str">
        <f>IF(B25590=B25589,"",B25590)</f>
        <v>KÄ±zÄ±lcahamam</v>
      </c>
    </row>
    <row r="25591" spans="1:6" ht="15.75" customHeight="1">
      <c r="A25591" s="16" t="s">
        <v>26560</v>
      </c>
      <c r="B25591" s="15" t="s">
        <v>26364</v>
      </c>
      <c r="C25591" s="16" t="s">
        <v>26201</v>
      </c>
      <c r="D25591" s="16" t="s">
        <v>26364</v>
      </c>
      <c r="E25591" s="2">
        <v>743166</v>
      </c>
      <c r="F25591" s="4" t="str">
        <f>IF(B25591=B25590,"",B25591)</f>
        <v>KÄ±rklareli</v>
      </c>
    </row>
    <row r="25592" spans="1:6" ht="15.75" customHeight="1">
      <c r="A25592" s="16" t="s">
        <v>26558</v>
      </c>
      <c r="B25592" s="15" t="s">
        <v>26559</v>
      </c>
      <c r="C25592" s="16" t="s">
        <v>26201</v>
      </c>
      <c r="D25592" s="16" t="s">
        <v>26299</v>
      </c>
      <c r="E25592" s="2">
        <v>307623</v>
      </c>
      <c r="F25592" s="4" t="str">
        <f>IF(B25592=B25591,"",B25592)</f>
        <v>KÄ±rkaÄŸaÃ§</v>
      </c>
    </row>
    <row r="25593" spans="1:6" ht="15.75" customHeight="1">
      <c r="A25593" s="16" t="s">
        <v>26556</v>
      </c>
      <c r="B25593" s="15" t="s">
        <v>26557</v>
      </c>
      <c r="C25593" s="16" t="s">
        <v>26201</v>
      </c>
      <c r="D25593" s="16" t="s">
        <v>26557</v>
      </c>
      <c r="E25593" s="2">
        <v>307515</v>
      </c>
      <c r="F25593" s="4" t="str">
        <f>IF(B25593=B25592,"",B25593)</f>
        <v>KÄ±rÅŸehir</v>
      </c>
    </row>
    <row r="25594" spans="1:6" ht="15.75" customHeight="1">
      <c r="A25594" s="16" t="s">
        <v>26554</v>
      </c>
      <c r="B25594" s="15" t="s">
        <v>26555</v>
      </c>
      <c r="C25594" s="16" t="s">
        <v>26201</v>
      </c>
      <c r="D25594" s="16" t="s">
        <v>26555</v>
      </c>
      <c r="E25594" s="2">
        <v>307654</v>
      </c>
      <c r="F25594" s="4" t="str">
        <f>IF(B25594=B25593,"",B25594)</f>
        <v>KÄ±rÄ±kkale</v>
      </c>
    </row>
    <row r="25595" spans="1:6" ht="15.75" customHeight="1">
      <c r="A25595" s="16" t="s">
        <v>26552</v>
      </c>
      <c r="B25595" s="15" t="s">
        <v>26553</v>
      </c>
      <c r="C25595" s="16" t="s">
        <v>26201</v>
      </c>
      <c r="D25595" s="16" t="s">
        <v>26318</v>
      </c>
      <c r="E25595" s="2">
        <v>307657</v>
      </c>
      <c r="F25595" s="4" t="str">
        <f>IF(B25595=B25594,"",B25595)</f>
        <v>KÄ±rÄ±khan</v>
      </c>
    </row>
    <row r="25596" spans="1:6" ht="15.75" customHeight="1">
      <c r="A25596" s="16" t="s">
        <v>6896</v>
      </c>
      <c r="B25596" s="15" t="s">
        <v>6897</v>
      </c>
      <c r="C25596" s="16" t="s">
        <v>6807</v>
      </c>
      <c r="D25596" s="16" t="s">
        <v>6817</v>
      </c>
      <c r="E25596" s="2">
        <v>332880</v>
      </c>
      <c r="F25596" s="4" t="str">
        <f>IF(B25596=B25595,"",B25596)</f>
        <v>Kâ€™olÄ«to</v>
      </c>
    </row>
    <row r="25597" spans="1:6" ht="15.75" customHeight="1">
      <c r="A25597" s="15" t="s">
        <v>26550</v>
      </c>
      <c r="B25597" s="15" t="s">
        <v>26551</v>
      </c>
      <c r="C25597" s="15" t="s">
        <v>26201</v>
      </c>
      <c r="D25597" s="15" t="s">
        <v>26272</v>
      </c>
      <c r="E25597" s="2">
        <v>310855</v>
      </c>
      <c r="F25597" s="4" t="str">
        <f>IF(B25597=B25596,"",B25597)</f>
        <v>KÃ¢hta</v>
      </c>
    </row>
    <row r="25598" spans="1:6" ht="15.75" customHeight="1">
      <c r="A25598" s="15" t="s">
        <v>21271</v>
      </c>
      <c r="B25598" s="15" t="s">
        <v>21272</v>
      </c>
      <c r="C25598" s="15" t="s">
        <v>21064</v>
      </c>
      <c r="D25598" s="15" t="s">
        <v>21118</v>
      </c>
      <c r="E25598" s="2">
        <v>3096053</v>
      </c>
      <c r="F25598" s="4" t="str">
        <f>IF(B25598=B25597,"",B25598)</f>
        <v>KÅ‚odzko</v>
      </c>
    </row>
    <row r="25599" spans="1:6" ht="15.75" customHeight="1">
      <c r="A25599" s="15" t="s">
        <v>6251</v>
      </c>
      <c r="B25599" s="15" t="s">
        <v>6252</v>
      </c>
      <c r="C25599" s="15" t="s">
        <v>6209</v>
      </c>
      <c r="D25599" s="15" t="s">
        <v>6232</v>
      </c>
      <c r="E25599" s="2">
        <v>2618415</v>
      </c>
      <c r="F25599" s="4" t="str">
        <f>IF(B25599=B25598,"",B25599)</f>
        <v>KÃ¸ge</v>
      </c>
    </row>
    <row r="25600" spans="1:6" ht="15.75" customHeight="1">
      <c r="A25600" s="16" t="str">
        <f ca="1">IFERROR(__xludf.DUMMYFUNCTION("GOOGLETRANSLATE(B29539,""en"",""pt"")"),"K'olīto")</f>
        <v>K'olīto</v>
      </c>
      <c r="B25600" s="20" t="s">
        <v>32494</v>
      </c>
      <c r="C25600" s="20" t="s">
        <v>6807</v>
      </c>
      <c r="D25600" s="20" t="s">
        <v>6817</v>
      </c>
      <c r="E25600" s="10">
        <v>332880</v>
      </c>
      <c r="F25600" s="4" t="str">
        <f>IF(B25600=B25599,"",B25600)</f>
        <v>K’olīto</v>
      </c>
    </row>
    <row r="25601" spans="1:6" ht="15.75" customHeight="1">
      <c r="A25601" s="16" t="str">
        <f ca="1">IFERROR(__xludf.DUMMYFUNCTION("GOOGLETRANSLATE(B29645,""en"",""pt"")"),"Jyväskylä")</f>
        <v>Jyväskylä</v>
      </c>
      <c r="B25601" s="20" t="s">
        <v>32525</v>
      </c>
      <c r="C25601" s="20" t="s">
        <v>6948</v>
      </c>
      <c r="D25601" s="20" t="s">
        <v>6972</v>
      </c>
      <c r="E25601" s="10">
        <v>655194</v>
      </c>
      <c r="F25601" s="4" t="str">
        <f>IF(B25601=B25600,"",B25601)</f>
        <v>Jyväskylä</v>
      </c>
    </row>
    <row r="25602" spans="1:6" ht="15.75" customHeight="1">
      <c r="A25602" s="16" t="s">
        <v>6980</v>
      </c>
      <c r="B25602" s="15" t="s">
        <v>6981</v>
      </c>
      <c r="C25602" s="16" t="s">
        <v>6948</v>
      </c>
      <c r="D25602" s="16" t="s">
        <v>6972</v>
      </c>
      <c r="E25602" s="2">
        <v>655194</v>
      </c>
      <c r="F25602" s="4" t="e">
        <f>IF(B25602=#REF!,"",B25602)</f>
        <v>#REF!</v>
      </c>
    </row>
    <row r="25603" spans="1:6" ht="15.75" customHeight="1">
      <c r="A25603" s="15" t="s">
        <v>4844</v>
      </c>
      <c r="B25603" s="15" t="s">
        <v>4844</v>
      </c>
      <c r="C25603" s="15" t="s">
        <v>4487</v>
      </c>
      <c r="D25603" s="15" t="s">
        <v>4503</v>
      </c>
      <c r="E25603" s="2">
        <v>1804892</v>
      </c>
      <c r="F25603" s="4" t="str">
        <f>IF(B25603=B25602,"",B25603)</f>
        <v>Juye</v>
      </c>
    </row>
    <row r="25604" spans="1:6" ht="15.75" customHeight="1">
      <c r="A25604" s="16" t="str">
        <f ca="1">IFERROR(__xludf.DUMMYFUNCTION("GOOGLETRANSLATE(B34440,""en"",""pt"")"),"Jūybār")</f>
        <v>Jūybār</v>
      </c>
      <c r="B25604" s="20" t="s">
        <v>34192</v>
      </c>
      <c r="C25604" s="20" t="s">
        <v>14240</v>
      </c>
      <c r="D25604" s="20" t="s">
        <v>34132</v>
      </c>
      <c r="E25604" s="10">
        <v>129933</v>
      </c>
      <c r="F25604" s="4" t="e">
        <f>IF(B25604=#REF!,"",B25604)</f>
        <v>#REF!</v>
      </c>
    </row>
    <row r="25605" spans="1:6" ht="15.75" customHeight="1">
      <c r="A25605" s="15" t="s">
        <v>13951</v>
      </c>
      <c r="B25605" s="15" t="s">
        <v>13951</v>
      </c>
      <c r="C25605" s="15" t="s">
        <v>13800</v>
      </c>
      <c r="D25605" s="15" t="s">
        <v>13803</v>
      </c>
      <c r="E25605" s="2">
        <v>1642317</v>
      </c>
      <c r="F25605" s="4" t="e">
        <f>IF(B25605=#REF!,"",B25605)</f>
        <v>#REF!</v>
      </c>
    </row>
    <row r="25606" spans="1:6" ht="15.75" customHeight="1">
      <c r="A25606" s="15" t="s">
        <v>9919</v>
      </c>
      <c r="B25606" s="15" t="s">
        <v>9919</v>
      </c>
      <c r="C25606" s="15" t="s">
        <v>9907</v>
      </c>
      <c r="D25606" s="15" t="s">
        <v>9920</v>
      </c>
      <c r="E25606" s="2">
        <v>3608503</v>
      </c>
      <c r="F25606" s="4" t="e">
        <f>IF(B25606=#REF!,"",B25606)</f>
        <v>#REF!</v>
      </c>
    </row>
    <row r="25607" spans="1:6" ht="15.75" customHeight="1">
      <c r="A25607" s="15" t="s">
        <v>9708</v>
      </c>
      <c r="B25607" s="15" t="s">
        <v>9708</v>
      </c>
      <c r="C25607" s="15" t="s">
        <v>9700</v>
      </c>
      <c r="D25607" s="15" t="s">
        <v>9708</v>
      </c>
      <c r="E25607" s="2">
        <v>3595069</v>
      </c>
      <c r="F25607" s="4" t="str">
        <f>IF(B25607=B25606,"",B25607)</f>
        <v>Jutiapa</v>
      </c>
    </row>
    <row r="25608" spans="1:6" ht="15.75" customHeight="1">
      <c r="A25608" s="16" t="str">
        <f ca="1">IFERROR(__xludf.DUMMYFUNCTION("GOOGLETRANSLATE(B36390,""en"",""pt"")"),"Justiniškės")</f>
        <v>Justiniškės</v>
      </c>
      <c r="B25608" s="20" t="s">
        <v>34541</v>
      </c>
      <c r="C25608" s="20" t="s">
        <v>17154</v>
      </c>
      <c r="D25608" s="20" t="s">
        <v>17155</v>
      </c>
      <c r="E25608" s="10">
        <v>10062601</v>
      </c>
      <c r="F25608" s="4" t="str">
        <f>IF(B25608=B25607,"",B25608)</f>
        <v>Justiniškės</v>
      </c>
    </row>
    <row r="25609" spans="1:6" ht="15.75" customHeight="1">
      <c r="A25609" s="16" t="s">
        <v>17174</v>
      </c>
      <c r="B25609" s="15" t="s">
        <v>17175</v>
      </c>
      <c r="C25609" s="16" t="s">
        <v>17154</v>
      </c>
      <c r="D25609" s="16" t="s">
        <v>17155</v>
      </c>
      <c r="E25609" s="2">
        <v>10062601</v>
      </c>
      <c r="F25609" s="4" t="str">
        <f>IF(B25609=B25608,"",B25609)</f>
        <v>JustiniÅ¡kÄ—s</v>
      </c>
    </row>
    <row r="25610" spans="1:6" ht="15.75" customHeight="1">
      <c r="A25610" s="16" t="str">
        <f ca="1">IFERROR(__xludf.DUMMYFUNCTION("GOOGLETRANSLATE(B36407,""en"",""pt"")"),"Jūrmala")</f>
        <v>Jūrmala</v>
      </c>
      <c r="B25610" s="20" t="s">
        <v>34547</v>
      </c>
      <c r="C25610" s="20" t="s">
        <v>16982</v>
      </c>
      <c r="D25610" s="20" t="s">
        <v>34547</v>
      </c>
      <c r="E25610" s="10">
        <v>459201</v>
      </c>
      <c r="F25610" s="4" t="e">
        <f>IF(B25610=#REF!,"",B25610)</f>
        <v>#REF!</v>
      </c>
    </row>
    <row r="25611" spans="1:6" ht="15.75" customHeight="1">
      <c r="A25611" s="15" t="s">
        <v>28992</v>
      </c>
      <c r="B25611" s="15" t="s">
        <v>28993</v>
      </c>
      <c r="C25611" s="15" t="s">
        <v>27788</v>
      </c>
      <c r="D25611" s="15" t="s">
        <v>5468</v>
      </c>
      <c r="E25611" s="2">
        <v>4160610</v>
      </c>
      <c r="F25611" s="4" t="e">
        <f>IF(B25611=#REF!,"",B25611)</f>
        <v>#REF!</v>
      </c>
    </row>
    <row r="25612" spans="1:6" ht="15.75" customHeight="1">
      <c r="A25612" s="15" t="s">
        <v>11704</v>
      </c>
      <c r="B25612" s="15" t="s">
        <v>11704</v>
      </c>
      <c r="C25612" s="15" t="s">
        <v>10178</v>
      </c>
      <c r="D25612" s="15" t="s">
        <v>10214</v>
      </c>
      <c r="E25612" s="2">
        <v>1268761</v>
      </c>
      <c r="F25612" s="4" t="e">
        <f>IF(B25612=#REF!,"",B25612)</f>
        <v>#REF!</v>
      </c>
    </row>
    <row r="25613" spans="1:6" ht="15.75" customHeight="1">
      <c r="A25613" s="16" t="str">
        <f ca="1">IFERROR(__xludf.DUMMYFUNCTION("GOOGLETRANSLATE(B23313,""en"",""pt"")"),"Junín")</f>
        <v>Junín</v>
      </c>
      <c r="B25613" s="20" t="s">
        <v>31203</v>
      </c>
      <c r="C25613" s="20" t="s">
        <v>558</v>
      </c>
      <c r="D25613" s="20" t="s">
        <v>562</v>
      </c>
      <c r="E25613" s="10">
        <v>3853354</v>
      </c>
      <c r="F25613" s="4" t="e">
        <f>IF(B25613=#REF!,"",B25613)</f>
        <v>#REF!</v>
      </c>
    </row>
    <row r="25614" spans="1:6" ht="15.75" customHeight="1">
      <c r="A25614" s="15" t="s">
        <v>28991</v>
      </c>
      <c r="B25614" s="15" t="s">
        <v>28991</v>
      </c>
      <c r="C25614" s="15" t="s">
        <v>27788</v>
      </c>
      <c r="D25614" s="15" t="s">
        <v>27867</v>
      </c>
      <c r="E25614" s="2">
        <v>5554072</v>
      </c>
      <c r="F25614" s="4" t="str">
        <f>IF(B25614=B25613,"",B25614)</f>
        <v>Juneau</v>
      </c>
    </row>
    <row r="25615" spans="1:6" ht="15.75" customHeight="1">
      <c r="A25615" s="16" t="str">
        <f ca="1">IFERROR(__xludf.DUMMYFUNCTION("GOOGLETRANSLATE(B24876,""en"",""pt"")"),"Jundiaí")</f>
        <v>Jundiaí</v>
      </c>
      <c r="B25615" s="20" t="s">
        <v>31606</v>
      </c>
      <c r="C25615" s="20" t="s">
        <v>1905</v>
      </c>
      <c r="D25615" s="20" t="s">
        <v>3354</v>
      </c>
      <c r="E25615" s="10">
        <v>3459462</v>
      </c>
      <c r="F25615" s="4" t="str">
        <f>IF(B25615=B25614,"",B25615)</f>
        <v>Jundiaí</v>
      </c>
    </row>
    <row r="25616" spans="1:6" ht="15.75" customHeight="1">
      <c r="A25616" s="15" t="s">
        <v>2780</v>
      </c>
      <c r="B25616" s="15" t="s">
        <v>2781</v>
      </c>
      <c r="C25616" s="15" t="s">
        <v>1905</v>
      </c>
      <c r="D25616" s="15" t="s">
        <v>1914</v>
      </c>
      <c r="E25616" s="2">
        <v>3459462</v>
      </c>
      <c r="F25616" s="4" t="e">
        <f>IF(B25616=#REF!,"",B25616)</f>
        <v>#REF!</v>
      </c>
    </row>
    <row r="25617" spans="1:6" ht="15.75" customHeight="1">
      <c r="A25617" s="16" t="s">
        <v>28989</v>
      </c>
      <c r="B25617" s="15" t="s">
        <v>28990</v>
      </c>
      <c r="C25617" s="16" t="s">
        <v>27788</v>
      </c>
      <c r="D25617" s="16" t="s">
        <v>28419</v>
      </c>
      <c r="E25617" s="2">
        <v>4273680</v>
      </c>
      <c r="F25617" s="4" t="e">
        <f>IF(B25617=#REF!,"",B25617)</f>
        <v>#REF!</v>
      </c>
    </row>
    <row r="25618" spans="1:6" ht="15.75" customHeight="1">
      <c r="A25618" s="15" t="s">
        <v>687</v>
      </c>
      <c r="B25618" s="15" t="s">
        <v>688</v>
      </c>
      <c r="C25618" s="15" t="s">
        <v>558</v>
      </c>
      <c r="D25618" s="15" t="s">
        <v>562</v>
      </c>
      <c r="E25618" s="2">
        <v>3853354</v>
      </c>
      <c r="F25618" s="4" t="str">
        <f>IF(B25618=B25617,"",B25618)</f>
        <v>JunÃ­n</v>
      </c>
    </row>
    <row r="25619" spans="1:6" ht="15.75" customHeight="1">
      <c r="A25619" s="16" t="str">
        <f ca="1">IFERROR(__xludf.DUMMYFUNCTION("GOOGLETRANSLATE(B33215,""en"",""pt"")"),"Jūnāgarh")</f>
        <v>Jūnāgarh</v>
      </c>
      <c r="B25619" s="20" t="s">
        <v>33596</v>
      </c>
      <c r="C25619" s="20" t="s">
        <v>10178</v>
      </c>
      <c r="D25619" s="20" t="s">
        <v>10272</v>
      </c>
      <c r="E25619" s="10">
        <v>1268772</v>
      </c>
      <c r="F25619" s="4" t="str">
        <f>IF(B25619=B25618,"",B25619)</f>
        <v>Jūnāgarh</v>
      </c>
    </row>
    <row r="25620" spans="1:6" ht="15.75" customHeight="1">
      <c r="A25620" s="16" t="str">
        <f ca="1">IFERROR(__xludf.DUMMYFUNCTION("GOOGLETRANSLATE(B33216,""en"",""pt"")"),"Jūnāgadh")</f>
        <v>Jūnāgadh</v>
      </c>
      <c r="B25620" s="20" t="s">
        <v>33597</v>
      </c>
      <c r="C25620" s="20" t="s">
        <v>10178</v>
      </c>
      <c r="D25620" s="20" t="s">
        <v>10209</v>
      </c>
      <c r="E25620" s="10">
        <v>1268773</v>
      </c>
      <c r="F25620" s="4" t="str">
        <f>IF(B25620=B25619,"",B25620)</f>
        <v>Jūnāgadh</v>
      </c>
    </row>
    <row r="25621" spans="1:6" ht="15.75" customHeight="1">
      <c r="A25621" s="16" t="s">
        <v>11702</v>
      </c>
      <c r="B25621" s="15" t="s">
        <v>11703</v>
      </c>
      <c r="C25621" s="16" t="s">
        <v>10178</v>
      </c>
      <c r="D25621" s="16" t="s">
        <v>10430</v>
      </c>
      <c r="E25621" s="2">
        <v>1268775</v>
      </c>
      <c r="F25621" s="4" t="str">
        <f>IF(B25621=B25620,"",B25621)</f>
        <v>Jumri TilaiyÄ</v>
      </c>
    </row>
    <row r="25622" spans="1:6" ht="15.75" customHeight="1">
      <c r="A25622" s="16" t="str">
        <f ca="1">IFERROR(__xludf.DUMMYFUNCTION("GOOGLETRANSLATE(B33217,""en"",""pt"")"),"Jumri Tilaiyā")</f>
        <v>Jumri Tilaiyā</v>
      </c>
      <c r="B25622" s="20" t="s">
        <v>33598</v>
      </c>
      <c r="C25622" s="20" t="s">
        <v>10178</v>
      </c>
      <c r="D25622" s="20" t="s">
        <v>10430</v>
      </c>
      <c r="E25622" s="10">
        <v>1268775</v>
      </c>
      <c r="F25622" s="4" t="e">
        <f>IF(B25622=#REF!,"",B25622)</f>
        <v>#REF!</v>
      </c>
    </row>
    <row r="25623" spans="1:6" ht="15.75" customHeight="1">
      <c r="A25623" s="15" t="s">
        <v>24525</v>
      </c>
      <c r="B25623" s="15" t="s">
        <v>24525</v>
      </c>
      <c r="C25623" s="15" t="s">
        <v>24200</v>
      </c>
      <c r="D25623" s="15" t="s">
        <v>20912</v>
      </c>
      <c r="E25623" s="2">
        <v>2516255</v>
      </c>
      <c r="F25623" s="4" t="e">
        <f>IF(B25623=#REF!,"",B25623)</f>
        <v>#REF!</v>
      </c>
    </row>
    <row r="25624" spans="1:6" ht="15.75" customHeight="1">
      <c r="A25624" s="15" t="s">
        <v>30549</v>
      </c>
      <c r="B25624" s="15" t="s">
        <v>30549</v>
      </c>
      <c r="C25624" s="15" t="s">
        <v>30502</v>
      </c>
      <c r="D25624" s="15" t="s">
        <v>30522</v>
      </c>
      <c r="E25624" s="2">
        <v>1217362</v>
      </c>
      <c r="F25624" s="4" t="str">
        <f>IF(B25624=B25623,"",B25624)</f>
        <v>Juma</v>
      </c>
    </row>
    <row r="25625" spans="1:6" ht="15.75" customHeight="1">
      <c r="A25625" s="16" t="str">
        <f ca="1">IFERROR(__xludf.DUMMYFUNCTION("GOOGLETRANSLATE(B24877,""en"",""pt"")"),"Júlio de Castilhos")</f>
        <v>Júlio de Castilhos</v>
      </c>
      <c r="B25625" s="20" t="s">
        <v>31607</v>
      </c>
      <c r="C25625" s="20" t="s">
        <v>1905</v>
      </c>
      <c r="D25625" s="20" t="s">
        <v>1951</v>
      </c>
      <c r="E25625" s="10">
        <v>3459495</v>
      </c>
      <c r="F25625" s="4" t="str">
        <f>IF(B25625=B25624,"",B25625)</f>
        <v>Júlio de Castilhos</v>
      </c>
    </row>
    <row r="25626" spans="1:6" ht="15.75" customHeight="1">
      <c r="A25626" s="16" t="str">
        <f ca="1">IFERROR(__xludf.DUMMYFUNCTION("GOOGLETRANSLATE(B27912,""en"",""pt"")"),"Jülich")</f>
        <v>Jülich</v>
      </c>
      <c r="B25626" s="20" t="s">
        <v>32083</v>
      </c>
      <c r="C25626" s="20" t="s">
        <v>8028</v>
      </c>
      <c r="D25626" s="20" t="s">
        <v>8029</v>
      </c>
      <c r="E25626" s="10">
        <v>2894553</v>
      </c>
      <c r="F25626" s="4" t="e">
        <f>IF(B25626=#REF!,"",B25626)</f>
        <v>#REF!</v>
      </c>
    </row>
    <row r="25627" spans="1:6" ht="15.75" customHeight="1">
      <c r="A25627" s="15" t="s">
        <v>20533</v>
      </c>
      <c r="B25627" s="15" t="s">
        <v>20533</v>
      </c>
      <c r="C25627" s="15" t="s">
        <v>20470</v>
      </c>
      <c r="D25627" s="15" t="s">
        <v>20476</v>
      </c>
      <c r="E25627" s="2">
        <v>3937513</v>
      </c>
      <c r="F25627" s="4" t="e">
        <f>IF(B25627=#REF!,"",B25627)</f>
        <v>#REF!</v>
      </c>
    </row>
    <row r="25628" spans="1:6" ht="15.75" customHeight="1">
      <c r="A25628" s="16" t="s">
        <v>2779</v>
      </c>
      <c r="B25628" s="15" t="s">
        <v>2779</v>
      </c>
      <c r="C25628" s="16" t="s">
        <v>1905</v>
      </c>
      <c r="D25628" s="16" t="s">
        <v>1917</v>
      </c>
      <c r="E25628" s="2">
        <v>3459505</v>
      </c>
      <c r="F25628" s="4" t="e">
        <f>IF(B25628=#REF!,"",B25628)</f>
        <v>#REF!</v>
      </c>
    </row>
    <row r="25629" spans="1:6" ht="15.75" customHeight="1">
      <c r="A25629" s="15" t="s">
        <v>19234</v>
      </c>
      <c r="B25629" s="15" t="s">
        <v>19234</v>
      </c>
      <c r="C25629" s="15" t="s">
        <v>19217</v>
      </c>
      <c r="D25629" s="15" t="s">
        <v>19235</v>
      </c>
      <c r="E25629" s="2">
        <v>3618908</v>
      </c>
      <c r="F25629" s="4" t="e">
        <f>IF(B25629=#REF!,"",B25629)</f>
        <v>#REF!</v>
      </c>
    </row>
    <row r="25630" spans="1:6" ht="15.75" customHeight="1">
      <c r="A25630" s="15" t="s">
        <v>6660</v>
      </c>
      <c r="B25630" s="15" t="s">
        <v>6660</v>
      </c>
      <c r="C25630" s="15" t="s">
        <v>6495</v>
      </c>
      <c r="D25630" s="15" t="s">
        <v>6505</v>
      </c>
      <c r="E25630" s="2">
        <v>354981</v>
      </c>
      <c r="F25630" s="4" t="str">
        <f>IF(B25630=B25629,"",B25630)</f>
        <v>Juhaynah</v>
      </c>
    </row>
    <row r="25631" spans="1:6" ht="15.75" customHeight="1">
      <c r="A25631" s="16" t="str">
        <f ca="1">IFERROR(__xludf.DUMMYFUNCTION("GOOGLETRANSLATE(B33219,""en"",""pt"")"),"Jugsālai")</f>
        <v>Jugsālai</v>
      </c>
      <c r="B25631" s="20" t="s">
        <v>33599</v>
      </c>
      <c r="C25631" s="20" t="s">
        <v>10178</v>
      </c>
      <c r="D25631" s="20" t="s">
        <v>10430</v>
      </c>
      <c r="E25631" s="10">
        <v>1268799</v>
      </c>
      <c r="F25631" s="4" t="str">
        <f>IF(B25631=B25630,"",B25631)</f>
        <v>Jugsālai</v>
      </c>
    </row>
    <row r="25632" spans="1:6" ht="15.75" customHeight="1">
      <c r="A25632" s="15" t="s">
        <v>11700</v>
      </c>
      <c r="B25632" s="15" t="s">
        <v>11701</v>
      </c>
      <c r="C25632" s="15" t="s">
        <v>10178</v>
      </c>
      <c r="D25632" s="15" t="s">
        <v>10430</v>
      </c>
      <c r="E25632" s="2">
        <v>1268799</v>
      </c>
      <c r="F25632" s="4" t="e">
        <f>IF(B25632=#REF!,"",B25632)</f>
        <v>#REF!</v>
      </c>
    </row>
    <row r="25633" spans="1:6" ht="15.75" customHeight="1">
      <c r="A25633" s="15" t="s">
        <v>4842</v>
      </c>
      <c r="B25633" s="15" t="s">
        <v>4843</v>
      </c>
      <c r="C25633" s="15" t="s">
        <v>4487</v>
      </c>
      <c r="D25633" s="15" t="s">
        <v>4535</v>
      </c>
      <c r="E25633" s="2">
        <v>1804979</v>
      </c>
      <c r="F25633" s="4" t="e">
        <f>IF(B25633=#REF!,"",B25633)</f>
        <v>#REF!</v>
      </c>
    </row>
    <row r="25634" spans="1:6" ht="15.75" customHeight="1">
      <c r="A25634" s="15" t="s">
        <v>16649</v>
      </c>
      <c r="B25634" s="15" t="s">
        <v>16649</v>
      </c>
      <c r="C25634" s="15" t="s">
        <v>16624</v>
      </c>
      <c r="D25634" s="15" t="s">
        <v>16641</v>
      </c>
      <c r="E25634" s="2">
        <v>248803</v>
      </c>
      <c r="F25634" s="4" t="e">
        <f>IF(B25634=#REF!,"",B25634)</f>
        <v>#REF!</v>
      </c>
    </row>
    <row r="25635" spans="1:6" ht="15.75" customHeight="1">
      <c r="A25635" s="16" t="s">
        <v>14816</v>
      </c>
      <c r="B25635" s="15" t="s">
        <v>14816</v>
      </c>
      <c r="C25635" s="16" t="s">
        <v>14773</v>
      </c>
      <c r="D25635" s="16" t="s">
        <v>14774</v>
      </c>
      <c r="E25635" s="2">
        <v>294622</v>
      </c>
      <c r="F25635" s="4" t="str">
        <f>IF(B25635=B25634,"",B25635)</f>
        <v>Judeida Makr</v>
      </c>
    </row>
    <row r="25636" spans="1:6" ht="15.75" customHeight="1">
      <c r="A25636" s="16" t="str">
        <f ca="1">IFERROR(__xludf.DUMMYFUNCTION("GOOGLETRANSLATE(B37000,""en"",""pt"")"),"Juchitán de Zaragoza")</f>
        <v>Juchitán de Zaragoza</v>
      </c>
      <c r="B25636" s="20" t="s">
        <v>34694</v>
      </c>
      <c r="C25636" s="20" t="s">
        <v>17707</v>
      </c>
      <c r="D25636" s="20" t="s">
        <v>17844</v>
      </c>
      <c r="E25636" s="10">
        <v>3526357</v>
      </c>
      <c r="F25636" s="4" t="str">
        <f>IF(B25636=B25635,"",B25636)</f>
        <v>Juchitán de Zaragoza</v>
      </c>
    </row>
    <row r="25637" spans="1:6" ht="15.75" customHeight="1">
      <c r="A25637" s="16" t="s">
        <v>18028</v>
      </c>
      <c r="B25637" s="15" t="s">
        <v>18029</v>
      </c>
      <c r="C25637" s="16" t="s">
        <v>17707</v>
      </c>
      <c r="D25637" s="16" t="s">
        <v>17844</v>
      </c>
      <c r="E25637" s="2">
        <v>3526357</v>
      </c>
      <c r="F25637" s="4" t="str">
        <f>IF(B25637=B25636,"",B25637)</f>
        <v>JuchitÃ¡n de Zaragoza</v>
      </c>
    </row>
    <row r="25638" spans="1:6" ht="15.75" customHeight="1">
      <c r="A25638" s="16" t="str">
        <f ca="1">IFERROR(__xludf.DUMMYFUNCTION("GOOGLETRANSLATE(B27913,""en"",""pt"")"),"Jüchen")</f>
        <v>Jüchen</v>
      </c>
      <c r="B25638" s="20" t="s">
        <v>32084</v>
      </c>
      <c r="C25638" s="20" t="s">
        <v>8028</v>
      </c>
      <c r="D25638" s="20" t="s">
        <v>8029</v>
      </c>
      <c r="E25638" s="10">
        <v>2894637</v>
      </c>
      <c r="F25638" s="4" t="e">
        <f>IF(B25638=#REF!,"",B25638)</f>
        <v>#REF!</v>
      </c>
    </row>
    <row r="25639" spans="1:6" ht="15.75" customHeight="1">
      <c r="A25639" s="15" t="s">
        <v>24180</v>
      </c>
      <c r="B25639" s="15" t="s">
        <v>24180</v>
      </c>
      <c r="C25639" s="15" t="s">
        <v>24176</v>
      </c>
      <c r="D25639" s="15" t="s">
        <v>24181</v>
      </c>
      <c r="E25639" s="2">
        <v>373303</v>
      </c>
      <c r="F25639" s="4" t="e">
        <f>IF(B25639=#REF!,"",B25639)</f>
        <v>#REF!</v>
      </c>
    </row>
    <row r="25640" spans="1:6" ht="15.75" customHeight="1">
      <c r="A25640" s="16" t="s">
        <v>2777</v>
      </c>
      <c r="B25640" s="15" t="s">
        <v>2778</v>
      </c>
      <c r="C25640" s="16" t="s">
        <v>1905</v>
      </c>
      <c r="D25640" s="16" t="s">
        <v>1930</v>
      </c>
      <c r="E25640" s="2">
        <v>3397147</v>
      </c>
      <c r="F25640" s="4" t="e">
        <f>IF(B25640=#REF!,"",B25640)</f>
        <v>#REF!</v>
      </c>
    </row>
    <row r="25641" spans="1:6" ht="15.75" customHeight="1">
      <c r="A25641" s="15" t="s">
        <v>2776</v>
      </c>
      <c r="B25641" s="15" t="s">
        <v>2776</v>
      </c>
      <c r="C25641" s="15" t="s">
        <v>1905</v>
      </c>
      <c r="D25641" s="15" t="s">
        <v>1917</v>
      </c>
      <c r="E25641" s="2">
        <v>3459550</v>
      </c>
      <c r="F25641" s="4" t="str">
        <f>IF(B25641=B25640,"",B25641)</f>
        <v>Juatuba</v>
      </c>
    </row>
    <row r="25642" spans="1:6" ht="15.75" customHeight="1">
      <c r="A25642" s="16" t="str">
        <f ca="1">IFERROR(__xludf.DUMMYFUNCTION("GOOGLETRANSLATE(B38332,""en"",""pt"")"),"Juanjuí")</f>
        <v>Juanjuí</v>
      </c>
      <c r="B25642" s="20" t="s">
        <v>34873</v>
      </c>
      <c r="C25642" s="20" t="s">
        <v>20470</v>
      </c>
      <c r="D25642" s="20" t="s">
        <v>31188</v>
      </c>
      <c r="E25642" s="10">
        <v>3696057</v>
      </c>
      <c r="F25642" s="4" t="str">
        <f>IF(B25642=B25641,"",B25642)</f>
        <v>Juanjuí</v>
      </c>
    </row>
    <row r="25643" spans="1:6" ht="15.75" customHeight="1">
      <c r="A25643" s="15" t="s">
        <v>20531</v>
      </c>
      <c r="B25643" s="15" t="s">
        <v>20532</v>
      </c>
      <c r="C25643" s="15" t="s">
        <v>20470</v>
      </c>
      <c r="D25643" s="15" t="s">
        <v>787</v>
      </c>
      <c r="E25643" s="2">
        <v>3696057</v>
      </c>
      <c r="F25643" s="4" t="e">
        <f>IF(B25643=#REF!,"",B25643)</f>
        <v>#REF!</v>
      </c>
    </row>
    <row r="25644" spans="1:6" ht="15.75" customHeight="1">
      <c r="A25644" s="16" t="s">
        <v>18027</v>
      </c>
      <c r="B25644" s="15" t="s">
        <v>18027</v>
      </c>
      <c r="C25644" s="16" t="s">
        <v>17707</v>
      </c>
      <c r="D25644" s="16" t="s">
        <v>17916</v>
      </c>
      <c r="E25644" s="2">
        <v>4005864</v>
      </c>
      <c r="F25644" s="4" t="e">
        <f>IF(B25644=#REF!,"",B25644)</f>
        <v>#REF!</v>
      </c>
    </row>
    <row r="25645" spans="1:6" ht="15.75" customHeight="1">
      <c r="A25645" s="16" t="s">
        <v>30705</v>
      </c>
      <c r="B25645" s="15" t="s">
        <v>30705</v>
      </c>
      <c r="C25645" s="16" t="s">
        <v>5923</v>
      </c>
      <c r="D25645" s="16" t="s">
        <v>30704</v>
      </c>
      <c r="E25645" s="2">
        <v>3639107</v>
      </c>
      <c r="F25645" s="4" t="str">
        <f>IF(B25645=B25644,"",B25645)</f>
        <v>Juan Griego</v>
      </c>
    </row>
    <row r="25646" spans="1:6" ht="15.75" customHeight="1">
      <c r="A25646" s="16" t="str">
        <f ca="1">IFERROR(__xludf.DUMMYFUNCTION("GOOGLETRANSLATE(B39269,""en"",""pt"")"),"Józefów")</f>
        <v>Józefów</v>
      </c>
      <c r="B25646" s="20" t="s">
        <v>35116</v>
      </c>
      <c r="C25646" s="20" t="s">
        <v>21064</v>
      </c>
      <c r="D25646" s="20" t="s">
        <v>21070</v>
      </c>
      <c r="E25646" s="10">
        <v>769981</v>
      </c>
      <c r="F25646" s="4" t="str">
        <f>IF(B25646=B25645,"",B25646)</f>
        <v>Józefów</v>
      </c>
    </row>
    <row r="25647" spans="1:6" ht="15.75" customHeight="1">
      <c r="A25647" s="16" t="str">
        <f ca="1">IFERROR(__xludf.DUMMYFUNCTION("GOOGLETRANSLATE(B23730,""en"",""pt"")"),"Joypur Hāt")</f>
        <v>Joypur Hāt</v>
      </c>
      <c r="B25647" s="20" t="s">
        <v>31275</v>
      </c>
      <c r="C25647" s="20" t="s">
        <v>1296</v>
      </c>
      <c r="D25647" s="20" t="s">
        <v>31259</v>
      </c>
      <c r="E25647" s="10">
        <v>1185206</v>
      </c>
      <c r="F25647" s="4" t="str">
        <f>IF(B25647=B25646,"",B25647)</f>
        <v>Joypur Hāt</v>
      </c>
    </row>
    <row r="25648" spans="1:6" ht="15.75" customHeight="1">
      <c r="A25648" s="16" t="s">
        <v>1355</v>
      </c>
      <c r="B25648" s="15" t="s">
        <v>1356</v>
      </c>
      <c r="C25648" s="16" t="s">
        <v>1296</v>
      </c>
      <c r="D25648" s="16" t="s">
        <v>1310</v>
      </c>
      <c r="E25648" s="2">
        <v>1185206</v>
      </c>
      <c r="F25648" s="4" t="e">
        <f>IF(B25648=#REF!,"",B25648)</f>
        <v>#REF!</v>
      </c>
    </row>
    <row r="25649" spans="1:6" ht="15.75" customHeight="1">
      <c r="A25649" s="16" t="s">
        <v>5862</v>
      </c>
      <c r="B25649" s="15" t="s">
        <v>5862</v>
      </c>
      <c r="C25649" s="16" t="s">
        <v>5764</v>
      </c>
      <c r="D25649" s="16" t="s">
        <v>5796</v>
      </c>
      <c r="E25649" s="2">
        <v>3555907</v>
      </c>
      <c r="F25649" s="4" t="e">
        <f>IF(B25649=#REF!,"",B25649)</f>
        <v>#REF!</v>
      </c>
    </row>
    <row r="25650" spans="1:6" ht="15.75" customHeight="1">
      <c r="A25650" s="16" t="s">
        <v>7414</v>
      </c>
      <c r="B25650" s="15" t="s">
        <v>7414</v>
      </c>
      <c r="C25650" s="16" t="s">
        <v>7052</v>
      </c>
      <c r="D25650" s="16" t="s">
        <v>7058</v>
      </c>
      <c r="E25650" s="2">
        <v>3012162</v>
      </c>
      <c r="F25650" s="4" t="str">
        <f>IF(B25650=B25649,"",B25650)</f>
        <v>Jouy-le-Moutier</v>
      </c>
    </row>
    <row r="25651" spans="1:6" ht="15.75" customHeight="1">
      <c r="A25651" s="16" t="str">
        <f ca="1">IFERROR(__xludf.DUMMYFUNCTION("GOOGLETRANSLATE(B30025,""en"",""pt"")"),"Joué-Lés-turs")</f>
        <v>Joué-Lés-turs</v>
      </c>
      <c r="B25651" s="20" t="s">
        <v>32594</v>
      </c>
      <c r="C25651" s="20" t="s">
        <v>7052</v>
      </c>
      <c r="D25651" s="20" t="s">
        <v>3813</v>
      </c>
      <c r="E25651" s="10">
        <v>3012219</v>
      </c>
      <c r="F25651" s="4" t="str">
        <f>IF(B25651=B25650,"",B25651)</f>
        <v>Joué-lés-Tours</v>
      </c>
    </row>
    <row r="25652" spans="1:6" ht="15.75" customHeight="1">
      <c r="A25652" s="16" t="s">
        <v>7412</v>
      </c>
      <c r="B25652" s="15" t="s">
        <v>7413</v>
      </c>
      <c r="C25652" s="16" t="s">
        <v>7052</v>
      </c>
      <c r="D25652" s="16" t="s">
        <v>3813</v>
      </c>
      <c r="E25652" s="2">
        <v>3012219</v>
      </c>
      <c r="F25652" s="4" t="str">
        <f>IF(B25652=B25651,"",B25652)</f>
        <v>JouÃ©-lÃ©s-Tours</v>
      </c>
    </row>
    <row r="25653" spans="1:6" ht="15.75" customHeight="1">
      <c r="A25653" s="16" t="str">
        <f ca="1">IFERROR(__xludf.DUMMYFUNCTION("GOOGLETRANSLATE(B38687,""en"",""pt"")"),"Jose Pañganiban")</f>
        <v>Jose Pañganiban</v>
      </c>
      <c r="B25653" s="20" t="s">
        <v>34885</v>
      </c>
      <c r="C25653" s="20" t="s">
        <v>20598</v>
      </c>
      <c r="D25653" s="20" t="s">
        <v>20634</v>
      </c>
      <c r="E25653" s="10">
        <v>1710103</v>
      </c>
      <c r="F25653" s="4" t="str">
        <f>IF(B25653=B25652,"",B25653)</f>
        <v>Jose Pañganiban</v>
      </c>
    </row>
    <row r="25654" spans="1:6" ht="15.75" customHeight="1">
      <c r="A25654" s="16" t="s">
        <v>20807</v>
      </c>
      <c r="B25654" s="15" t="s">
        <v>20808</v>
      </c>
      <c r="C25654" s="16" t="s">
        <v>20598</v>
      </c>
      <c r="D25654" s="16" t="s">
        <v>20634</v>
      </c>
      <c r="E25654" s="2">
        <v>1710103</v>
      </c>
      <c r="F25654" s="4" t="str">
        <f>IF(B25654=B25653,"",B25654)</f>
        <v>Jose PaÃ±ganiban</v>
      </c>
    </row>
    <row r="25655" spans="1:6" ht="15.75" customHeight="1">
      <c r="A25655" s="16" t="str">
        <f ca="1">IFERROR(__xludf.DUMMYFUNCTION("GOOGLETRANSLATE(B24287,""en"",""pt"")"),"José de Freitas")</f>
        <v>José de Freitas</v>
      </c>
      <c r="B25655" s="20" t="s">
        <v>2774</v>
      </c>
      <c r="C25655" s="20" t="s">
        <v>1905</v>
      </c>
      <c r="D25655" s="20" t="s">
        <v>31349</v>
      </c>
      <c r="E25655" s="10">
        <v>3397230</v>
      </c>
      <c r="F25655" s="4" t="str">
        <f>IF(B25655=B25654,"",B25655)</f>
        <v>José de Freitas</v>
      </c>
    </row>
    <row r="25656" spans="1:6" ht="15.75" customHeight="1">
      <c r="A25656" s="16" t="str">
        <f ca="1">IFERROR(__xludf.DUMMYFUNCTION("GOOGLETRANSLATE(B24880,""en"",""pt"")"),"José Bonifácio")</f>
        <v>José Bonifácio</v>
      </c>
      <c r="B25656" s="20" t="s">
        <v>31608</v>
      </c>
      <c r="C25656" s="20" t="s">
        <v>1905</v>
      </c>
      <c r="D25656" s="20" t="s">
        <v>3354</v>
      </c>
      <c r="E25656" s="10">
        <v>3459667</v>
      </c>
      <c r="F25656" s="4" t="str">
        <f>IF(B25656=B25655,"",B25656)</f>
        <v>José Bonifácio</v>
      </c>
    </row>
    <row r="25657" spans="1:6" ht="15.75" customHeight="1">
      <c r="A25657" s="16" t="s">
        <v>2774</v>
      </c>
      <c r="B25657" s="15" t="s">
        <v>2775</v>
      </c>
      <c r="C25657" s="16" t="s">
        <v>1905</v>
      </c>
      <c r="D25657" s="16" t="s">
        <v>1960</v>
      </c>
      <c r="E25657" s="2">
        <v>3397230</v>
      </c>
      <c r="F25657" s="4" t="str">
        <f>IF(B25657=B25656,"",B25657)</f>
        <v>JosÃ© de Freitas</v>
      </c>
    </row>
    <row r="25658" spans="1:6" ht="15.75" customHeight="1">
      <c r="A25658" s="16" t="s">
        <v>2772</v>
      </c>
      <c r="B25658" s="15" t="s">
        <v>2773</v>
      </c>
      <c r="C25658" s="16" t="s">
        <v>1905</v>
      </c>
      <c r="D25658" s="16" t="s">
        <v>1914</v>
      </c>
      <c r="E25658" s="2">
        <v>3459667</v>
      </c>
      <c r="F25658" s="4" t="e">
        <f>IF(B25658=#REF!,"",B25658)</f>
        <v>#REF!</v>
      </c>
    </row>
    <row r="25659" spans="1:6" ht="15.75" customHeight="1">
      <c r="A25659" s="15" t="s">
        <v>19471</v>
      </c>
      <c r="B25659" s="15" t="s">
        <v>19471</v>
      </c>
      <c r="C25659" s="15" t="s">
        <v>19294</v>
      </c>
      <c r="D25659" s="15" t="s">
        <v>1771</v>
      </c>
      <c r="E25659" s="2">
        <v>2335953</v>
      </c>
      <c r="F25659" s="4" t="str">
        <f>IF(B25659=B25658,"",B25659)</f>
        <v>Jos</v>
      </c>
    </row>
    <row r="25660" spans="1:6" ht="15.75" customHeight="1">
      <c r="A25660" s="16" t="str">
        <f ca="1">IFERROR(__xludf.DUMMYFUNCTION("GOOGLETRANSLATE(B33220,""en"",""pt"")"),"Jorhāt")</f>
        <v>Jorhāt</v>
      </c>
      <c r="B25660" s="20" t="s">
        <v>33600</v>
      </c>
      <c r="C25660" s="20" t="s">
        <v>10178</v>
      </c>
      <c r="D25660" s="20" t="s">
        <v>10239</v>
      </c>
      <c r="E25660" s="10">
        <v>1268820</v>
      </c>
      <c r="F25660" s="4" t="str">
        <f>IF(B25660=B25659,"",B25660)</f>
        <v>Jorhāt</v>
      </c>
    </row>
    <row r="25661" spans="1:6" ht="15.75" customHeight="1">
      <c r="A25661" s="15" t="s">
        <v>11698</v>
      </c>
      <c r="B25661" s="15" t="s">
        <v>11699</v>
      </c>
      <c r="C25661" s="15" t="s">
        <v>10178</v>
      </c>
      <c r="D25661" s="15" t="s">
        <v>10239</v>
      </c>
      <c r="E25661" s="2">
        <v>1268820</v>
      </c>
      <c r="F25661" s="4" t="e">
        <f>IF(B25661=#REF!,"",B25661)</f>
        <v>#REF!</v>
      </c>
    </row>
    <row r="25662" spans="1:6" ht="15.75" customHeight="1">
      <c r="A25662" s="15" t="s">
        <v>11697</v>
      </c>
      <c r="B25662" s="15" t="s">
        <v>11697</v>
      </c>
      <c r="C25662" s="15" t="s">
        <v>10178</v>
      </c>
      <c r="D25662" s="15" t="s">
        <v>10219</v>
      </c>
      <c r="E25662" s="2">
        <v>1268823</v>
      </c>
      <c r="F25662" s="4" t="e">
        <f>IF(B25662=#REF!,"",B25662)</f>
        <v>#REF!</v>
      </c>
    </row>
    <row r="25663" spans="1:6" ht="15.75" customHeight="1">
      <c r="A25663" s="15" t="s">
        <v>28988</v>
      </c>
      <c r="B25663" s="15" t="s">
        <v>28988</v>
      </c>
      <c r="C25663" s="15" t="s">
        <v>27788</v>
      </c>
      <c r="D25663" s="15" t="s">
        <v>27806</v>
      </c>
      <c r="E25663" s="2">
        <v>4392768</v>
      </c>
      <c r="F25663" s="4" t="str">
        <f>IF(B25663=B25662,"",B25663)</f>
        <v>Joplin</v>
      </c>
    </row>
    <row r="25664" spans="1:6" ht="15.75" customHeight="1">
      <c r="A25664" s="16" t="str">
        <f ca="1">IFERROR(__xludf.DUMMYFUNCTION("GOOGLETRANSLATE(B25635,""en"",""pt"")"),"Jonquière")</f>
        <v>Jonquière</v>
      </c>
      <c r="B25664" s="20" t="s">
        <v>31763</v>
      </c>
      <c r="C25664" s="20" t="s">
        <v>3975</v>
      </c>
      <c r="D25664" s="20" t="s">
        <v>3982</v>
      </c>
      <c r="E25664" s="10">
        <v>7303786</v>
      </c>
      <c r="F25664" s="4" t="str">
        <f>IF(B25664=B25663,"",B25664)</f>
        <v>Jonquière</v>
      </c>
    </row>
    <row r="25665" spans="1:6" ht="15.75" customHeight="1">
      <c r="A25665" s="15" t="s">
        <v>4067</v>
      </c>
      <c r="B25665" s="15" t="s">
        <v>4068</v>
      </c>
      <c r="C25665" s="15" t="s">
        <v>3975</v>
      </c>
      <c r="D25665" s="15" t="s">
        <v>3982</v>
      </c>
      <c r="E25665" s="2">
        <v>7303786</v>
      </c>
      <c r="F25665" s="4" t="str">
        <f>IF(B25665=B25664,"",B25665)</f>
        <v>JonquiÃ¨re</v>
      </c>
    </row>
    <row r="25666" spans="1:6" ht="15.75" customHeight="1">
      <c r="A25666" s="16" t="str">
        <f ca="1">IFERROR(__xludf.DUMMYFUNCTION("GOOGLETRANSLATE(B41182,""en"",""pt"")"),"Jönköping")</f>
        <v>Jönköping</v>
      </c>
      <c r="B25666" s="20" t="s">
        <v>35627</v>
      </c>
      <c r="C25666" s="20" t="s">
        <v>25077</v>
      </c>
      <c r="D25666" s="20" t="s">
        <v>35627</v>
      </c>
      <c r="E25666" s="10">
        <v>2702979</v>
      </c>
      <c r="F25666" s="4" t="e">
        <f>IF(B25666=#REF!,"",B25666)</f>
        <v>#REF!</v>
      </c>
    </row>
    <row r="25667" spans="1:6" ht="15.75" customHeight="1">
      <c r="A25667" s="16" t="s">
        <v>28987</v>
      </c>
      <c r="B25667" s="15" t="s">
        <v>28987</v>
      </c>
      <c r="C25667" s="16" t="s">
        <v>27788</v>
      </c>
      <c r="D25667" s="16" t="s">
        <v>27991</v>
      </c>
      <c r="E25667" s="2">
        <v>4116834</v>
      </c>
      <c r="F25667" s="4" t="e">
        <f>IF(B25667=#REF!,"",B25667)</f>
        <v>#REF!</v>
      </c>
    </row>
    <row r="25668" spans="1:6" ht="15.75" customHeight="1">
      <c r="A25668" s="15" t="s">
        <v>17173</v>
      </c>
      <c r="B25668" s="15" t="s">
        <v>17173</v>
      </c>
      <c r="C25668" s="15" t="s">
        <v>17154</v>
      </c>
      <c r="D25668" s="15" t="s">
        <v>17161</v>
      </c>
      <c r="E25668" s="2">
        <v>598818</v>
      </c>
      <c r="F25668" s="4" t="e">
        <f>IF(B25668=#REF!,"",B25668)</f>
        <v>#REF!</v>
      </c>
    </row>
    <row r="25669" spans="1:6" ht="15.75" customHeight="1">
      <c r="A25669" s="15" t="s">
        <v>25274</v>
      </c>
      <c r="B25669" s="15" t="s">
        <v>25274</v>
      </c>
      <c r="C25669" s="15" t="s">
        <v>25237</v>
      </c>
      <c r="D25669" s="15" t="s">
        <v>25268</v>
      </c>
      <c r="E25669" s="2">
        <v>2660221</v>
      </c>
      <c r="F25669" s="4" t="e">
        <f>IF(B25669=#REF!,"",B25669)</f>
        <v>#REF!</v>
      </c>
    </row>
    <row r="25670" spans="1:6" ht="15.75" customHeight="1">
      <c r="A25670" s="15" t="s">
        <v>13950</v>
      </c>
      <c r="B25670" s="15" t="s">
        <v>13950</v>
      </c>
      <c r="C25670" s="15" t="s">
        <v>13800</v>
      </c>
      <c r="D25670" s="15" t="s">
        <v>13816</v>
      </c>
      <c r="E25670" s="2">
        <v>1642414</v>
      </c>
      <c r="F25670" s="4" t="e">
        <f>IF(B25670=#REF!,"",B25670)</f>
        <v>#REF!</v>
      </c>
    </row>
    <row r="25671" spans="1:6" ht="15.75" customHeight="1">
      <c r="A25671" s="15" t="s">
        <v>20805</v>
      </c>
      <c r="B25671" s="15" t="s">
        <v>20806</v>
      </c>
      <c r="C25671" s="15" t="s">
        <v>20598</v>
      </c>
      <c r="D25671" s="15" t="s">
        <v>20683</v>
      </c>
      <c r="E25671" s="2">
        <v>1710141</v>
      </c>
      <c r="F25671" s="4" t="e">
        <f>IF(B25671=#REF!,"",B25671)</f>
        <v>#REF!</v>
      </c>
    </row>
    <row r="25672" spans="1:6" ht="15.75" customHeight="1">
      <c r="A25672" s="15" t="s">
        <v>4066</v>
      </c>
      <c r="B25672" s="15" t="s">
        <v>4066</v>
      </c>
      <c r="C25672" s="15" t="s">
        <v>3975</v>
      </c>
      <c r="D25672" s="15" t="s">
        <v>3982</v>
      </c>
      <c r="E25672" s="2">
        <v>5987650</v>
      </c>
      <c r="F25672" s="4" t="e">
        <f>IF(B25672=#REF!,"",B25672)</f>
        <v>#REF!</v>
      </c>
    </row>
    <row r="25673" spans="1:6" ht="15.75" customHeight="1">
      <c r="A25673" s="15" t="s">
        <v>28986</v>
      </c>
      <c r="B25673" s="15" t="s">
        <v>28986</v>
      </c>
      <c r="C25673" s="15" t="s">
        <v>27788</v>
      </c>
      <c r="D25673" s="15" t="s">
        <v>27799</v>
      </c>
      <c r="E25673" s="2">
        <v>4898015</v>
      </c>
      <c r="F25673" s="4" t="str">
        <f>IF(B25673=B25672,"",B25673)</f>
        <v>Joliet</v>
      </c>
    </row>
    <row r="25674" spans="1:6" ht="15.75" customHeight="1">
      <c r="A25674" s="16" t="str">
        <f ca="1">IFERROR(__xludf.DUMMYFUNCTION("GOOGLETRANSLATE(B33222,""en"",""pt"")"),"Jolārpettai")</f>
        <v>Jolārpettai</v>
      </c>
      <c r="B25674" s="20" t="s">
        <v>33601</v>
      </c>
      <c r="C25674" s="20" t="s">
        <v>10178</v>
      </c>
      <c r="D25674" s="20" t="s">
        <v>10196</v>
      </c>
      <c r="E25674" s="10">
        <v>1268834</v>
      </c>
      <c r="F25674" s="4" t="str">
        <f>IF(B25674=B25673,"",B25674)</f>
        <v>Jolārpettai</v>
      </c>
    </row>
    <row r="25675" spans="1:6" ht="15.75" customHeight="1">
      <c r="A25675" s="16" t="s">
        <v>11695</v>
      </c>
      <c r="B25675" s="15" t="s">
        <v>11696</v>
      </c>
      <c r="C25675" s="16" t="s">
        <v>10178</v>
      </c>
      <c r="D25675" s="16" t="s">
        <v>10196</v>
      </c>
      <c r="E25675" s="2">
        <v>1268834</v>
      </c>
      <c r="F25675" s="4" t="e">
        <f>IF(B25675=#REF!,"",B25675)</f>
        <v>#REF!</v>
      </c>
    </row>
    <row r="25676" spans="1:6" ht="15.75" customHeight="1">
      <c r="A25676" s="15" t="s">
        <v>18026</v>
      </c>
      <c r="B25676" s="15" t="s">
        <v>18026</v>
      </c>
      <c r="C25676" s="15" t="s">
        <v>17707</v>
      </c>
      <c r="D25676" s="15" t="s">
        <v>17780</v>
      </c>
      <c r="E25676" s="2">
        <v>3526467</v>
      </c>
      <c r="F25676" s="4" t="e">
        <f>IF(B25676=#REF!,"",B25676)</f>
        <v>#REF!</v>
      </c>
    </row>
    <row r="25677" spans="1:6" ht="15.75" customHeight="1">
      <c r="A25677" s="16" t="s">
        <v>7411</v>
      </c>
      <c r="B25677" s="15" t="s">
        <v>7411</v>
      </c>
      <c r="C25677" s="16" t="s">
        <v>7052</v>
      </c>
      <c r="D25677" s="16" t="s">
        <v>7058</v>
      </c>
      <c r="E25677" s="2">
        <v>3012313</v>
      </c>
      <c r="F25677" s="4" t="e">
        <f>IF(B25677=#REF!,"",B25677)</f>
        <v>#REF!</v>
      </c>
    </row>
    <row r="25678" spans="1:6" ht="15.75" customHeight="1">
      <c r="A25678" s="15" t="s">
        <v>2770</v>
      </c>
      <c r="B25678" s="15" t="s">
        <v>2771</v>
      </c>
      <c r="C25678" s="15" t="s">
        <v>1905</v>
      </c>
      <c r="D25678" s="15" t="s">
        <v>2020</v>
      </c>
      <c r="E25678" s="2">
        <v>3459712</v>
      </c>
      <c r="F25678" s="4" t="e">
        <f>IF(B25678=#REF!,"",B25678)</f>
        <v>#REF!</v>
      </c>
    </row>
    <row r="25679" spans="1:6" ht="15.75" customHeight="1">
      <c r="A25679" s="16" t="s">
        <v>17476</v>
      </c>
      <c r="B25679" s="15" t="s">
        <v>17476</v>
      </c>
      <c r="C25679" s="16" t="s">
        <v>17432</v>
      </c>
      <c r="D25679" s="16" t="s">
        <v>17442</v>
      </c>
      <c r="E25679" s="2">
        <v>1732752</v>
      </c>
      <c r="F25679" s="4" t="e">
        <f>IF(B25679=#REF!,"",B25679)</f>
        <v>#REF!</v>
      </c>
    </row>
    <row r="25680" spans="1:6" ht="15.75" customHeight="1">
      <c r="A25680" s="16" t="s">
        <v>28985</v>
      </c>
      <c r="B25680" s="15" t="s">
        <v>28985</v>
      </c>
      <c r="C25680" s="16" t="s">
        <v>27788</v>
      </c>
      <c r="D25680" s="16" t="s">
        <v>27836</v>
      </c>
      <c r="E25680" s="2">
        <v>5195561</v>
      </c>
      <c r="F25680" s="4" t="e">
        <f>IF(B25680=#REF!,"",B25680)</f>
        <v>#REF!</v>
      </c>
    </row>
    <row r="25681" spans="1:6" ht="15.75" customHeight="1">
      <c r="A25681" s="16" t="s">
        <v>27461</v>
      </c>
      <c r="B25681" s="15" t="s">
        <v>27461</v>
      </c>
      <c r="C25681" s="16" t="s">
        <v>27234</v>
      </c>
      <c r="D25681" s="16" t="s">
        <v>27237</v>
      </c>
      <c r="E25681" s="2">
        <v>2645951</v>
      </c>
      <c r="F25681" s="4" t="e">
        <f>IF(B25681=#REF!,"",B25681)</f>
        <v>#REF!</v>
      </c>
    </row>
    <row r="25682" spans="1:6" ht="15.75" customHeight="1">
      <c r="A25682" s="15" t="s">
        <v>28984</v>
      </c>
      <c r="B25682" s="15" t="s">
        <v>28984</v>
      </c>
      <c r="C25682" s="15" t="s">
        <v>27788</v>
      </c>
      <c r="D25682" s="15" t="s">
        <v>27859</v>
      </c>
      <c r="E25682" s="2">
        <v>4862760</v>
      </c>
      <c r="F25682" s="4" t="e">
        <f>IF(B25682=#REF!,"",B25682)</f>
        <v>#REF!</v>
      </c>
    </row>
    <row r="25683" spans="1:6" ht="15.75" customHeight="1">
      <c r="A25683" s="16" t="s">
        <v>28983</v>
      </c>
      <c r="B25683" s="15" t="s">
        <v>28983</v>
      </c>
      <c r="C25683" s="16" t="s">
        <v>27788</v>
      </c>
      <c r="D25683" s="16" t="s">
        <v>27957</v>
      </c>
      <c r="E25683" s="2">
        <v>4633419</v>
      </c>
      <c r="F25683" s="4" t="e">
        <f>IF(B25683=#REF!,"",B25683)</f>
        <v>#REF!</v>
      </c>
    </row>
    <row r="25684" spans="1:6" ht="15.75" customHeight="1">
      <c r="A25684" s="16" t="s">
        <v>28982</v>
      </c>
      <c r="B25684" s="15" t="s">
        <v>28982</v>
      </c>
      <c r="C25684" s="16" t="s">
        <v>27788</v>
      </c>
      <c r="D25684" s="16" t="s">
        <v>7988</v>
      </c>
      <c r="E25684" s="2">
        <v>6331909</v>
      </c>
      <c r="F25684" s="4" t="e">
        <f>IF(B25684=#REF!,"",B25684)</f>
        <v>#REF!</v>
      </c>
    </row>
    <row r="25685" spans="1:6" ht="15.75" customHeight="1">
      <c r="A25685" s="15" t="s">
        <v>19974</v>
      </c>
      <c r="B25685" s="15" t="s">
        <v>19974</v>
      </c>
      <c r="C25685" s="15" t="s">
        <v>19808</v>
      </c>
      <c r="D25685" s="15" t="s">
        <v>19823</v>
      </c>
      <c r="E25685" s="2">
        <v>1175678</v>
      </c>
      <c r="F25685" s="4" t="e">
        <f>IF(B25685=#REF!,"",B25685)</f>
        <v>#REF!</v>
      </c>
    </row>
    <row r="25686" spans="1:6" ht="15.75" customHeight="1">
      <c r="A25686" s="16" t="s">
        <v>8631</v>
      </c>
      <c r="B25686" s="15" t="s">
        <v>8631</v>
      </c>
      <c r="C25686" s="16" t="s">
        <v>8028</v>
      </c>
      <c r="D25686" s="16" t="s">
        <v>8036</v>
      </c>
      <c r="E25686" s="2">
        <v>2894755</v>
      </c>
      <c r="F25686" s="4" t="e">
        <f>IF(B25686=#REF!,"",B25686)</f>
        <v>#REF!</v>
      </c>
    </row>
    <row r="25687" spans="1:6" ht="15.75" customHeight="1">
      <c r="A25687" s="16" t="s">
        <v>23911</v>
      </c>
      <c r="B25687" s="15" t="s">
        <v>23912</v>
      </c>
      <c r="C25687" s="16" t="s">
        <v>23842</v>
      </c>
      <c r="D25687" s="16" t="s">
        <v>23855</v>
      </c>
      <c r="E25687" s="2">
        <v>993800</v>
      </c>
      <c r="F25687" s="4" t="e">
        <f>IF(B25687=#REF!,"",B25687)</f>
        <v>#REF!</v>
      </c>
    </row>
    <row r="25688" spans="1:6" ht="15.75" customHeight="1">
      <c r="A25688" s="16" t="s">
        <v>13949</v>
      </c>
      <c r="B25688" s="15" t="s">
        <v>13949</v>
      </c>
      <c r="C25688" s="16" t="s">
        <v>13800</v>
      </c>
      <c r="D25688" s="16" t="s">
        <v>13803</v>
      </c>
      <c r="E25688" s="2">
        <v>1642437</v>
      </c>
      <c r="F25688" s="4" t="e">
        <f>IF(B25688=#REF!,"",B25688)</f>
        <v>#REF!</v>
      </c>
    </row>
    <row r="25689" spans="1:6" ht="15.75" customHeight="1">
      <c r="A25689" s="15" t="s">
        <v>11694</v>
      </c>
      <c r="B25689" s="15" t="s">
        <v>11694</v>
      </c>
      <c r="C25689" s="15" t="s">
        <v>10178</v>
      </c>
      <c r="D25689" s="15" t="s">
        <v>10317</v>
      </c>
      <c r="E25689" s="2">
        <v>1268855</v>
      </c>
      <c r="F25689" s="4" t="str">
        <f>IF(B25689=B25688,"",B25689)</f>
        <v>Jogbani</v>
      </c>
    </row>
    <row r="25690" spans="1:6" ht="15.75" customHeight="1">
      <c r="A25690" s="16" t="str">
        <f ca="1">IFERROR(__xludf.DUMMYFUNCTION("GOOGLETRANSLATE(B35876,""en"",""pt"")"),"Jōetsu")</f>
        <v>Jōetsu</v>
      </c>
      <c r="B25690" s="20" t="s">
        <v>34421</v>
      </c>
      <c r="C25690" s="20" t="s">
        <v>15704</v>
      </c>
      <c r="D25690" s="20" t="s">
        <v>15818</v>
      </c>
      <c r="E25690" s="10">
        <v>6825489</v>
      </c>
      <c r="F25690" s="4" t="e">
        <f>IF(B25690=#REF!,"",B25690)</f>
        <v>#REF!</v>
      </c>
    </row>
    <row r="25691" spans="1:6" ht="15.75" customHeight="1">
      <c r="A25691" s="15" t="s">
        <v>6978</v>
      </c>
      <c r="B25691" s="15" t="s">
        <v>6978</v>
      </c>
      <c r="C25691" s="15" t="s">
        <v>6948</v>
      </c>
      <c r="D25691" s="15" t="s">
        <v>6979</v>
      </c>
      <c r="E25691" s="2">
        <v>655808</v>
      </c>
      <c r="F25691" s="4" t="e">
        <f>IF(B25691=#REF!,"",B25691)</f>
        <v>#REF!</v>
      </c>
    </row>
    <row r="25692" spans="1:6" ht="15.75" customHeight="1">
      <c r="A25692" s="16" t="s">
        <v>11693</v>
      </c>
      <c r="B25692" s="15" t="s">
        <v>11693</v>
      </c>
      <c r="C25692" s="16" t="s">
        <v>10178</v>
      </c>
      <c r="D25692" s="16" t="s">
        <v>10209</v>
      </c>
      <c r="E25692" s="2">
        <v>1268863</v>
      </c>
      <c r="F25692" s="4" t="e">
        <f>IF(B25692=#REF!,"",B25692)</f>
        <v>#REF!</v>
      </c>
    </row>
    <row r="25693" spans="1:6" ht="15.75" customHeight="1">
      <c r="A25693" s="15" t="s">
        <v>11692</v>
      </c>
      <c r="B25693" s="15" t="s">
        <v>11692</v>
      </c>
      <c r="C25693" s="15" t="s">
        <v>10178</v>
      </c>
      <c r="D25693" s="15" t="s">
        <v>10179</v>
      </c>
      <c r="E25693" s="2">
        <v>1268865</v>
      </c>
      <c r="F25693" s="4" t="e">
        <f>IF(B25693=#REF!,"",B25693)</f>
        <v>#REF!</v>
      </c>
    </row>
    <row r="25694" spans="1:6" ht="15.75" customHeight="1">
      <c r="A25694" s="16" t="s">
        <v>18025</v>
      </c>
      <c r="B25694" s="15" t="s">
        <v>18025</v>
      </c>
      <c r="C25694" s="16" t="s">
        <v>17707</v>
      </c>
      <c r="D25694" s="16" t="s">
        <v>17746</v>
      </c>
      <c r="E25694" s="2">
        <v>4003908</v>
      </c>
      <c r="F25694" s="4" t="e">
        <f>IF(B25694=#REF!,"",B25694)</f>
        <v>#REF!</v>
      </c>
    </row>
    <row r="25695" spans="1:6" ht="15.75" customHeight="1">
      <c r="A25695" s="16" t="s">
        <v>9749</v>
      </c>
      <c r="B25695" s="15" t="s">
        <v>9749</v>
      </c>
      <c r="C25695" s="16" t="s">
        <v>9700</v>
      </c>
      <c r="D25695" s="16" t="s">
        <v>9701</v>
      </c>
      <c r="E25695" s="2">
        <v>3595171</v>
      </c>
      <c r="F25695" s="4" t="e">
        <f>IF(B25695=#REF!,"",B25695)</f>
        <v>#REF!</v>
      </c>
    </row>
    <row r="25696" spans="1:6" ht="15.75" customHeight="1">
      <c r="A25696" s="15" t="s">
        <v>5861</v>
      </c>
      <c r="B25696" s="15" t="s">
        <v>5861</v>
      </c>
      <c r="C25696" s="15" t="s">
        <v>5764</v>
      </c>
      <c r="D25696" s="15" t="s">
        <v>5777</v>
      </c>
      <c r="E25696" s="2">
        <v>3556077</v>
      </c>
      <c r="F25696" s="4" t="str">
        <f>IF(B25696=B25695,"",B25696)</f>
        <v>Jobabo</v>
      </c>
    </row>
    <row r="25697" spans="1:6" ht="15.75" customHeight="1">
      <c r="A25697" s="16" t="str">
        <f ca="1">IFERROR(__xludf.DUMMYFUNCTION("GOOGLETRANSLATE(B23314,""en"",""pt"")"),"Joaquín V. González")</f>
        <v>Joaquín V. González</v>
      </c>
      <c r="B25697" s="20" t="s">
        <v>31204</v>
      </c>
      <c r="C25697" s="20" t="s">
        <v>558</v>
      </c>
      <c r="D25697" s="20" t="s">
        <v>649</v>
      </c>
      <c r="E25697" s="10">
        <v>3853491</v>
      </c>
      <c r="F25697" s="4" t="str">
        <f>IF(B25697=B25696,"",B25697)</f>
        <v>Joaquín V. González</v>
      </c>
    </row>
    <row r="25698" spans="1:6" ht="15.75" customHeight="1">
      <c r="A25698" s="16" t="s">
        <v>685</v>
      </c>
      <c r="B25698" s="15" t="s">
        <v>686</v>
      </c>
      <c r="C25698" s="16" t="s">
        <v>558</v>
      </c>
      <c r="D25698" s="16" t="s">
        <v>649</v>
      </c>
      <c r="E25698" s="2">
        <v>3853491</v>
      </c>
      <c r="F25698" s="4" t="str">
        <f>IF(B25698=B25697,"",B25698)</f>
        <v>JoaquÃ­n V. GonzÃ¡lez</v>
      </c>
    </row>
    <row r="25699" spans="1:6" ht="15.75" customHeight="1">
      <c r="A25699" s="16" t="str">
        <f ca="1">IFERROR(__xludf.DUMMYFUNCTION("GOOGLETRANSLATE(B24882,""en"",""pt"")"),"João Pinheiro")</f>
        <v>João Pinheiro</v>
      </c>
      <c r="B25699" s="20" t="s">
        <v>31609</v>
      </c>
      <c r="C25699" s="20" t="s">
        <v>1905</v>
      </c>
      <c r="D25699" s="20" t="s">
        <v>1917</v>
      </c>
      <c r="E25699" s="10">
        <v>3459785</v>
      </c>
      <c r="F25699" s="4" t="str">
        <f>IF(B25699=B25698,"",B25699)</f>
        <v>João Pinheiro</v>
      </c>
    </row>
    <row r="25700" spans="1:6" ht="15.75" customHeight="1">
      <c r="A25700" s="16" t="str">
        <f ca="1">IFERROR(__xludf.DUMMYFUNCTION("GOOGLETRANSLATE(B24288,""en"",""pt"")"),"João Pessoa")</f>
        <v>João Pessoa</v>
      </c>
      <c r="B25700" s="20" t="s">
        <v>31391</v>
      </c>
      <c r="C25700" s="20" t="s">
        <v>1905</v>
      </c>
      <c r="D25700" s="20" t="s">
        <v>31343</v>
      </c>
      <c r="E25700" s="10">
        <v>3397277</v>
      </c>
      <c r="F25700" s="4" t="str">
        <f>IF(B25700=B25699,"",B25700)</f>
        <v>João Pessoa</v>
      </c>
    </row>
    <row r="25701" spans="1:6" ht="15.75" customHeight="1">
      <c r="A25701" s="16" t="str">
        <f ca="1">IFERROR(__xludf.DUMMYFUNCTION("GOOGLETRANSLATE(B24883,""en"",""pt"")"),"João Monlevade")</f>
        <v>João Monlevade</v>
      </c>
      <c r="B25701" s="20" t="s">
        <v>31610</v>
      </c>
      <c r="C25701" s="20" t="s">
        <v>1905</v>
      </c>
      <c r="D25701" s="20" t="s">
        <v>1917</v>
      </c>
      <c r="E25701" s="10">
        <v>3459796</v>
      </c>
      <c r="F25701" s="4" t="str">
        <f>IF(B25701=B25700,"",B25701)</f>
        <v>João Monlevade</v>
      </c>
    </row>
    <row r="25702" spans="1:6" ht="15.75" customHeight="1">
      <c r="A25702" s="16" t="str">
        <f ca="1">IFERROR(__xludf.DUMMYFUNCTION("GOOGLETRANSLATE(B24289,""en"",""pt"")"),"João Câmara")</f>
        <v>João Câmara</v>
      </c>
      <c r="B25702" s="20" t="s">
        <v>31392</v>
      </c>
      <c r="C25702" s="20" t="s">
        <v>1905</v>
      </c>
      <c r="D25702" s="20" t="s">
        <v>1922</v>
      </c>
      <c r="E25702" s="10">
        <v>3397315</v>
      </c>
      <c r="F25702" s="4" t="e">
        <f>IF(B25702=#REF!,"",B25702)</f>
        <v>#REF!</v>
      </c>
    </row>
    <row r="25703" spans="1:6" ht="15.75" customHeight="1">
      <c r="A25703" s="16" t="s">
        <v>23567</v>
      </c>
      <c r="B25703" s="15" t="s">
        <v>23567</v>
      </c>
      <c r="C25703" s="16" t="s">
        <v>23559</v>
      </c>
      <c r="D25703" s="16" t="s">
        <v>23568</v>
      </c>
      <c r="E25703" s="2">
        <v>2251084</v>
      </c>
      <c r="F25703" s="4" t="str">
        <f>IF(B25703=B25702,"",B25703)</f>
        <v>Joal-Fadiout</v>
      </c>
    </row>
    <row r="25704" spans="1:6" ht="15.75" customHeight="1">
      <c r="A25704" s="16" t="str">
        <f ca="1">IFERROR(__xludf.DUMMYFUNCTION("GOOGLETRANSLATE(B24884,""en"",""pt"")"),"Joaçaba")</f>
        <v>Joaçaba</v>
      </c>
      <c r="B25704" s="20" t="s">
        <v>31611</v>
      </c>
      <c r="C25704" s="20" t="s">
        <v>1905</v>
      </c>
      <c r="D25704" s="20" t="s">
        <v>2020</v>
      </c>
      <c r="E25704" s="10">
        <v>3459869</v>
      </c>
      <c r="F25704" s="4" t="str">
        <f>IF(B25704=B25703,"",B25704)</f>
        <v>Joaçaba</v>
      </c>
    </row>
    <row r="25705" spans="1:6" ht="15.75" customHeight="1">
      <c r="A25705" s="15" t="s">
        <v>2768</v>
      </c>
      <c r="B25705" s="15" t="s">
        <v>2769</v>
      </c>
      <c r="C25705" s="15" t="s">
        <v>1905</v>
      </c>
      <c r="D25705" s="15" t="s">
        <v>2020</v>
      </c>
      <c r="E25705" s="2">
        <v>3459869</v>
      </c>
      <c r="F25705" s="4" t="str">
        <f>IF(B25705=B25704,"",B25705)</f>
        <v>JoaÃ§aba</v>
      </c>
    </row>
    <row r="25706" spans="1:6" ht="15.75" customHeight="1">
      <c r="A25706" s="16" t="s">
        <v>2766</v>
      </c>
      <c r="B25706" s="15" t="s">
        <v>2767</v>
      </c>
      <c r="C25706" s="16" t="s">
        <v>1905</v>
      </c>
      <c r="D25706" s="16" t="s">
        <v>1917</v>
      </c>
      <c r="E25706" s="2">
        <v>3459785</v>
      </c>
      <c r="F25706" s="4" t="str">
        <f>IF(B25706=B25705,"",B25706)</f>
        <v>JoÃ£o Pinheiro</v>
      </c>
    </row>
    <row r="25707" spans="1:6" ht="15.75" customHeight="1">
      <c r="A25707" s="16" t="s">
        <v>2764</v>
      </c>
      <c r="B25707" s="15" t="s">
        <v>2765</v>
      </c>
      <c r="C25707" s="16" t="s">
        <v>1905</v>
      </c>
      <c r="D25707" s="16" t="s">
        <v>1944</v>
      </c>
      <c r="E25707" s="2">
        <v>3397277</v>
      </c>
      <c r="F25707" s="4" t="str">
        <f>IF(B25707=B25706,"",B25707)</f>
        <v>JoÃ£o Pessoa</v>
      </c>
    </row>
    <row r="25708" spans="1:6" ht="15.75" customHeight="1">
      <c r="A25708" s="16" t="s">
        <v>2762</v>
      </c>
      <c r="B25708" s="15" t="s">
        <v>2763</v>
      </c>
      <c r="C25708" s="16" t="s">
        <v>1905</v>
      </c>
      <c r="D25708" s="16" t="s">
        <v>1917</v>
      </c>
      <c r="E25708" s="2">
        <v>3459796</v>
      </c>
      <c r="F25708" s="4" t="str">
        <f>IF(B25708=B25707,"",B25708)</f>
        <v>JoÃ£o Monlevade</v>
      </c>
    </row>
    <row r="25709" spans="1:6" ht="15.75" customHeight="1">
      <c r="A25709" s="16" t="s">
        <v>2760</v>
      </c>
      <c r="B25709" s="15" t="s">
        <v>2761</v>
      </c>
      <c r="C25709" s="16" t="s">
        <v>1905</v>
      </c>
      <c r="D25709" s="16" t="s">
        <v>1922</v>
      </c>
      <c r="E25709" s="2">
        <v>3397315</v>
      </c>
      <c r="F25709" s="4" t="e">
        <f>IF(B25709=#REF!,"",B25709)</f>
        <v>#REF!</v>
      </c>
    </row>
    <row r="25710" spans="1:6" ht="15.75" customHeight="1">
      <c r="A25710" s="15" t="s">
        <v>30532</v>
      </c>
      <c r="B25710" s="15" t="s">
        <v>30532</v>
      </c>
      <c r="C25710" s="15" t="s">
        <v>30502</v>
      </c>
      <c r="D25710" s="15" t="s">
        <v>30532</v>
      </c>
      <c r="E25710" s="2">
        <v>1513886</v>
      </c>
      <c r="F25710" s="4" t="e">
        <f>IF(B25710=#REF!,"",B25710)</f>
        <v>#REF!</v>
      </c>
    </row>
    <row r="25711" spans="1:6" ht="15.75" customHeight="1">
      <c r="A25711" s="15" t="s">
        <v>23467</v>
      </c>
      <c r="B25711" s="15" t="s">
        <v>23467</v>
      </c>
      <c r="C25711" s="15" t="s">
        <v>23454</v>
      </c>
      <c r="D25711" s="15" t="s">
        <v>23467</v>
      </c>
      <c r="E25711" s="2">
        <v>105299</v>
      </c>
      <c r="F25711" s="4" t="e">
        <f>IF(B25711=#REF!,"",B25711)</f>
        <v>#REF!</v>
      </c>
    </row>
    <row r="25712" spans="1:6" ht="15.75" customHeight="1">
      <c r="A25712" s="15" t="s">
        <v>4841</v>
      </c>
      <c r="B25712" s="15" t="s">
        <v>4841</v>
      </c>
      <c r="C25712" s="15" t="s">
        <v>4487</v>
      </c>
      <c r="D25712" s="15" t="s">
        <v>4488</v>
      </c>
      <c r="E25712" s="2">
        <v>2036389</v>
      </c>
      <c r="F25712" s="4" t="str">
        <f>IF(B25712=B25711,"",B25712)</f>
        <v>Jixi</v>
      </c>
    </row>
    <row r="25713" spans="1:6" ht="15.75" customHeight="1">
      <c r="A25713" s="16" t="str">
        <f ca="1">IFERROR(__xludf.DUMMYFUNCTION("GOOGLETRANSLATE(B39062,""en"",""pt"")"),"Jīwani")</f>
        <v>Jīwani</v>
      </c>
      <c r="B25713" s="20" t="s">
        <v>35002</v>
      </c>
      <c r="C25713" s="20" t="s">
        <v>19808</v>
      </c>
      <c r="D25713" s="20" t="s">
        <v>34892</v>
      </c>
      <c r="E25713" s="10">
        <v>1175712</v>
      </c>
      <c r="F25713" s="4" t="e">
        <f>IF(B25713=#REF!,"",B25713)</f>
        <v>#REF!</v>
      </c>
    </row>
    <row r="25714" spans="1:6" ht="15.75" customHeight="1">
      <c r="A25714" s="15" t="s">
        <v>18023</v>
      </c>
      <c r="B25714" s="15" t="s">
        <v>18024</v>
      </c>
      <c r="C25714" s="15" t="s">
        <v>17707</v>
      </c>
      <c r="D25714" s="15" t="s">
        <v>17780</v>
      </c>
      <c r="E25714" s="2">
        <v>3526485</v>
      </c>
      <c r="F25714" s="4" t="e">
        <f>IF(B25714=#REF!,"",B25714)</f>
        <v>#REF!</v>
      </c>
    </row>
    <row r="25715" spans="1:6" ht="15.75" customHeight="1">
      <c r="A25715" s="15" t="s">
        <v>4840</v>
      </c>
      <c r="B25715" s="15" t="s">
        <v>4840</v>
      </c>
      <c r="C25715" s="15" t="s">
        <v>4487</v>
      </c>
      <c r="D25715" s="15" t="s">
        <v>4518</v>
      </c>
      <c r="E25715" s="2">
        <v>2036401</v>
      </c>
      <c r="F25715" s="4" t="e">
        <f>IF(B25715=#REF!,"",B25715)</f>
        <v>#REF!</v>
      </c>
    </row>
    <row r="25716" spans="1:6" ht="15.75" customHeight="1">
      <c r="A25716" s="15" t="s">
        <v>4839</v>
      </c>
      <c r="B25716" s="15" t="s">
        <v>4839</v>
      </c>
      <c r="C25716" s="15" t="s">
        <v>4487</v>
      </c>
      <c r="D25716" s="15" t="s">
        <v>4526</v>
      </c>
      <c r="E25716" s="2">
        <v>1279945</v>
      </c>
      <c r="F25716" s="4" t="e">
        <f>IF(B25716=#REF!,"",B25716)</f>
        <v>#REF!</v>
      </c>
    </row>
    <row r="25717" spans="1:6" ht="15.75" customHeight="1">
      <c r="A25717" s="15" t="s">
        <v>4838</v>
      </c>
      <c r="B25717" s="15" t="s">
        <v>4838</v>
      </c>
      <c r="C25717" s="15" t="s">
        <v>4487</v>
      </c>
      <c r="D25717" s="15" t="s">
        <v>4505</v>
      </c>
      <c r="E25717" s="2">
        <v>2036403</v>
      </c>
      <c r="F25717" s="4" t="e">
        <f>IF(B25717=#REF!,"",B25717)</f>
        <v>#REF!</v>
      </c>
    </row>
    <row r="25718" spans="1:6" ht="15.75" customHeight="1">
      <c r="A25718" s="15" t="s">
        <v>4837</v>
      </c>
      <c r="B25718" s="15" t="s">
        <v>4837</v>
      </c>
      <c r="C25718" s="15" t="s">
        <v>4487</v>
      </c>
      <c r="D25718" s="15" t="s">
        <v>4569</v>
      </c>
      <c r="E25718" s="2">
        <v>1805179</v>
      </c>
      <c r="F25718" s="4" t="e">
        <f>IF(B25718=#REF!,"",B25718)</f>
        <v>#REF!</v>
      </c>
    </row>
    <row r="25719" spans="1:6" ht="15.75" customHeight="1">
      <c r="A25719" s="15" t="s">
        <v>17475</v>
      </c>
      <c r="B25719" s="15" t="s">
        <v>17475</v>
      </c>
      <c r="C25719" s="15" t="s">
        <v>17432</v>
      </c>
      <c r="D25719" s="15" t="s">
        <v>17436</v>
      </c>
      <c r="E25719" s="2">
        <v>1736302</v>
      </c>
      <c r="F25719" s="4" t="str">
        <f>IF(B25719=B25718,"",B25719)</f>
        <v>Jitra</v>
      </c>
    </row>
    <row r="25720" spans="1:6" ht="15.75" customHeight="1">
      <c r="A25720" s="16" t="str">
        <f ca="1">IFERROR(__xludf.DUMMYFUNCTION("GOOGLETRANSLATE(B41419,""en"",""pt"")"),"Jisr Ash Shughūr")</f>
        <v>Jisr Ash Shughūr</v>
      </c>
      <c r="B25720" s="20" t="s">
        <v>35742</v>
      </c>
      <c r="C25720" s="20" t="s">
        <v>25366</v>
      </c>
      <c r="D25720" s="20" t="s">
        <v>25392</v>
      </c>
      <c r="E25720" s="10">
        <v>169023</v>
      </c>
      <c r="F25720" s="4" t="str">
        <f>IF(B25720=B25719,"",B25720)</f>
        <v>Jisr ash Shughūr</v>
      </c>
    </row>
    <row r="25721" spans="1:6" ht="15.75" customHeight="1">
      <c r="A25721" s="16" t="s">
        <v>25460</v>
      </c>
      <c r="B25721" s="15" t="s">
        <v>25461</v>
      </c>
      <c r="C25721" s="16" t="s">
        <v>25366</v>
      </c>
      <c r="D25721" s="16" t="s">
        <v>25392</v>
      </c>
      <c r="E25721" s="2">
        <v>169023</v>
      </c>
      <c r="F25721" s="4" t="e">
        <f>IF(B25721=#REF!,"",B25721)</f>
        <v>#REF!</v>
      </c>
    </row>
    <row r="25722" spans="1:6" ht="15.75" customHeight="1">
      <c r="A25722" s="15" t="s">
        <v>4836</v>
      </c>
      <c r="B25722" s="15" t="s">
        <v>4836</v>
      </c>
      <c r="C25722" s="15" t="s">
        <v>4487</v>
      </c>
      <c r="D25722" s="15" t="s">
        <v>4511</v>
      </c>
      <c r="E25722" s="2">
        <v>1805267</v>
      </c>
      <c r="F25722" s="4" t="e">
        <f>IF(B25722=#REF!,"",B25722)</f>
        <v>#REF!</v>
      </c>
    </row>
    <row r="25723" spans="1:6" ht="15.75" customHeight="1">
      <c r="A25723" s="15" t="s">
        <v>4835</v>
      </c>
      <c r="B25723" s="15" t="s">
        <v>4835</v>
      </c>
      <c r="C25723" s="15" t="s">
        <v>4487</v>
      </c>
      <c r="D25723" s="15" t="s">
        <v>4518</v>
      </c>
      <c r="E25723" s="2">
        <v>2036418</v>
      </c>
      <c r="F25723" s="4" t="e">
        <f>IF(B25723=#REF!,"",B25723)</f>
        <v>#REF!</v>
      </c>
    </row>
    <row r="25724" spans="1:6" ht="15.75" customHeight="1">
      <c r="A25724" s="15" t="s">
        <v>6024</v>
      </c>
      <c r="B25724" s="15" t="s">
        <v>6024</v>
      </c>
      <c r="C25724" s="15" t="s">
        <v>5947</v>
      </c>
      <c r="D25724" s="15" t="s">
        <v>5956</v>
      </c>
      <c r="E25724" s="2">
        <v>3074110</v>
      </c>
      <c r="F25724" s="4" t="str">
        <f>IF(B25724=B25723,"",B25724)</f>
        <v>Jirkov</v>
      </c>
    </row>
    <row r="25725" spans="1:6" ht="15.75" customHeight="1">
      <c r="A25725" s="15" t="s">
        <v>6658</v>
      </c>
      <c r="B25725" s="15" t="s">
        <v>6659</v>
      </c>
      <c r="C25725" s="15" t="s">
        <v>6495</v>
      </c>
      <c r="D25725" s="15" t="s">
        <v>6505</v>
      </c>
      <c r="E25725" s="2">
        <v>355026</v>
      </c>
      <c r="F25725" s="4" t="str">
        <f>IF(B25725=B25724,"",B25725)</f>
        <v>JirjÄ</v>
      </c>
    </row>
    <row r="25726" spans="1:6" ht="15.75" customHeight="1">
      <c r="A25726" s="16" t="str">
        <f ca="1">IFERROR(__xludf.DUMMYFUNCTION("GOOGLETRANSLATE(B28859,""en"",""pt"")"),"Jirjā")</f>
        <v>Jirjā</v>
      </c>
      <c r="B25726" s="20" t="s">
        <v>32286</v>
      </c>
      <c r="C25726" s="20" t="s">
        <v>6495</v>
      </c>
      <c r="D25726" s="20" t="s">
        <v>32254</v>
      </c>
      <c r="E25726" s="10">
        <v>355026</v>
      </c>
      <c r="F25726" s="4" t="str">
        <f>IF(B25726=B25725,"",B25726)</f>
        <v>Jirjā</v>
      </c>
    </row>
    <row r="25727" spans="1:6" ht="15.75" customHeight="1">
      <c r="A25727" s="16" t="str">
        <f ca="1">IFERROR(__xludf.DUMMYFUNCTION("GOOGLETRANSLATE(B37268,""en"",""pt"")"),"Jiquílpan de Juárez")</f>
        <v>Jiquílpan de Juárez</v>
      </c>
      <c r="B25727" s="20" t="s">
        <v>34760</v>
      </c>
      <c r="C25727" s="20" t="s">
        <v>17707</v>
      </c>
      <c r="D25727" s="20" t="s">
        <v>20902</v>
      </c>
      <c r="E25727" s="10">
        <v>4003923</v>
      </c>
      <c r="F25727" s="4" t="str">
        <f>IF(B25727=B25726,"",B25727)</f>
        <v>Jiquílpan de Juárez</v>
      </c>
    </row>
    <row r="25728" spans="1:6" ht="15.75" customHeight="1">
      <c r="A25728" s="16" t="s">
        <v>18021</v>
      </c>
      <c r="B25728" s="15" t="s">
        <v>18022</v>
      </c>
      <c r="C25728" s="16" t="s">
        <v>17707</v>
      </c>
      <c r="D25728" s="16" t="s">
        <v>17736</v>
      </c>
      <c r="E25728" s="2">
        <v>4003923</v>
      </c>
      <c r="F25728" s="4" t="e">
        <f>IF(B25728=#REF!,"",B25728)</f>
        <v>#REF!</v>
      </c>
    </row>
    <row r="25729" spans="1:6" ht="15.75" customHeight="1">
      <c r="A25729" s="15" t="s">
        <v>6434</v>
      </c>
      <c r="B25729" s="15" t="s">
        <v>6434</v>
      </c>
      <c r="C25729" s="15" t="s">
        <v>6398</v>
      </c>
      <c r="D25729" s="15" t="s">
        <v>6408</v>
      </c>
      <c r="E25729" s="2">
        <v>3655446</v>
      </c>
      <c r="F25729" s="4" t="e">
        <f>IF(B25729=#REF!,"",B25729)</f>
        <v>#REF!</v>
      </c>
    </row>
    <row r="25730" spans="1:6" ht="15.75" customHeight="1">
      <c r="A25730" s="15" t="s">
        <v>4834</v>
      </c>
      <c r="B25730" s="15" t="s">
        <v>4834</v>
      </c>
      <c r="C25730" s="15" t="s">
        <v>4487</v>
      </c>
      <c r="D25730" s="15" t="s">
        <v>4505</v>
      </c>
      <c r="E25730" s="2">
        <v>1805298</v>
      </c>
      <c r="F25730" s="4" t="e">
        <f>IF(B25730=#REF!,"",B25730)</f>
        <v>#REF!</v>
      </c>
    </row>
    <row r="25731" spans="1:6" ht="15.75" customHeight="1">
      <c r="A25731" s="15" t="s">
        <v>4833</v>
      </c>
      <c r="B25731" s="15" t="s">
        <v>4833</v>
      </c>
      <c r="C25731" s="15" t="s">
        <v>4487</v>
      </c>
      <c r="D25731" s="15" t="s">
        <v>4631</v>
      </c>
      <c r="E25731" s="2">
        <v>1805334</v>
      </c>
      <c r="F25731" s="4" t="str">
        <f>IF(B25731=B25730,"",B25731)</f>
        <v>Jinxiang</v>
      </c>
    </row>
    <row r="25732" spans="1:6" ht="15.75" customHeight="1">
      <c r="A25732" s="16" t="str">
        <f ca="1">IFERROR(__xludf.DUMMYFUNCTION("GOOGLETRANSLATE(B33227,""en"",""pt"")"),"Jintūr")</f>
        <v>Jintūr</v>
      </c>
      <c r="B25732" s="20" t="s">
        <v>33602</v>
      </c>
      <c r="C25732" s="20" t="s">
        <v>10178</v>
      </c>
      <c r="D25732" s="20" t="s">
        <v>10214</v>
      </c>
      <c r="E25732" s="10">
        <v>1268896</v>
      </c>
      <c r="F25732" s="4" t="str">
        <f>IF(B25732=B25731,"",B25732)</f>
        <v>Jintūr</v>
      </c>
    </row>
    <row r="25733" spans="1:6" ht="15.75" customHeight="1">
      <c r="A25733" s="15" t="s">
        <v>11690</v>
      </c>
      <c r="B25733" s="15" t="s">
        <v>11691</v>
      </c>
      <c r="C25733" s="15" t="s">
        <v>10178</v>
      </c>
      <c r="D25733" s="15" t="s">
        <v>10214</v>
      </c>
      <c r="E25733" s="2">
        <v>1268896</v>
      </c>
      <c r="F25733" s="4" t="e">
        <f>IF(B25733=#REF!,"",B25733)</f>
        <v>#REF!</v>
      </c>
    </row>
    <row r="25734" spans="1:6" ht="15.75" customHeight="1">
      <c r="A25734" s="15" t="s">
        <v>4832</v>
      </c>
      <c r="B25734" s="15" t="s">
        <v>4832</v>
      </c>
      <c r="C25734" s="15" t="s">
        <v>4487</v>
      </c>
      <c r="D25734" s="15" t="s">
        <v>4495</v>
      </c>
      <c r="E25734" s="2">
        <v>1805379</v>
      </c>
      <c r="F25734" s="4" t="e">
        <f>IF(B25734=#REF!,"",B25734)</f>
        <v>#REF!</v>
      </c>
    </row>
    <row r="25735" spans="1:6" ht="15.75" customHeight="1">
      <c r="A25735" s="15" t="s">
        <v>4831</v>
      </c>
      <c r="B25735" s="15" t="s">
        <v>4831</v>
      </c>
      <c r="C25735" s="15" t="s">
        <v>4487</v>
      </c>
      <c r="D25735" s="15" t="s">
        <v>4535</v>
      </c>
      <c r="E25735" s="2">
        <v>1805408</v>
      </c>
      <c r="F25735" s="4" t="e">
        <f>IF(B25735=#REF!,"",B25735)</f>
        <v>#REF!</v>
      </c>
    </row>
    <row r="25736" spans="1:6" ht="15.75" customHeight="1">
      <c r="A25736" s="15" t="s">
        <v>19233</v>
      </c>
      <c r="B25736" s="15" t="s">
        <v>19233</v>
      </c>
      <c r="C25736" s="15" t="s">
        <v>19217</v>
      </c>
      <c r="D25736" s="15" t="s">
        <v>19226</v>
      </c>
      <c r="E25736" s="2">
        <v>3618926</v>
      </c>
      <c r="F25736" s="4" t="e">
        <f>IF(B25736=#REF!,"",B25736)</f>
        <v>#REF!</v>
      </c>
    </row>
    <row r="25737" spans="1:6" ht="15.75" customHeight="1">
      <c r="A25737" s="15" t="s">
        <v>19232</v>
      </c>
      <c r="B25737" s="15" t="s">
        <v>19232</v>
      </c>
      <c r="C25737" s="15" t="s">
        <v>19217</v>
      </c>
      <c r="D25737" s="15" t="s">
        <v>19232</v>
      </c>
      <c r="E25737" s="2">
        <v>3618929</v>
      </c>
      <c r="F25737" s="4" t="e">
        <f>IF(B25737=#REF!,"",B25737)</f>
        <v>#REF!</v>
      </c>
    </row>
    <row r="25738" spans="1:6" ht="15.75" customHeight="1">
      <c r="A25738" s="15" t="s">
        <v>6895</v>
      </c>
      <c r="B25738" s="15" t="s">
        <v>6895</v>
      </c>
      <c r="C25738" s="15" t="s">
        <v>6807</v>
      </c>
      <c r="D25738" s="15" t="s">
        <v>6817</v>
      </c>
      <c r="E25738" s="2">
        <v>333750</v>
      </c>
      <c r="F25738" s="4" t="e">
        <f>IF(B25738=#REF!,"",B25738)</f>
        <v>#REF!</v>
      </c>
    </row>
    <row r="25739" spans="1:6" ht="15.75" customHeight="1">
      <c r="A25739" s="15" t="s">
        <v>4830</v>
      </c>
      <c r="B25739" s="15" t="s">
        <v>4830</v>
      </c>
      <c r="C25739" s="15" t="s">
        <v>4487</v>
      </c>
      <c r="D25739" s="15" t="s">
        <v>4591</v>
      </c>
      <c r="E25739" s="2">
        <v>1797658</v>
      </c>
      <c r="F25739" s="4" t="e">
        <f>IF(B25739=#REF!,"",B25739)</f>
        <v>#REF!</v>
      </c>
    </row>
    <row r="25740" spans="1:6" ht="15.75" customHeight="1">
      <c r="A25740" s="15" t="s">
        <v>4829</v>
      </c>
      <c r="B25740" s="15" t="s">
        <v>4829</v>
      </c>
      <c r="C25740" s="15" t="s">
        <v>4487</v>
      </c>
      <c r="D25740" s="15" t="s">
        <v>4516</v>
      </c>
      <c r="E25740" s="2">
        <v>1805515</v>
      </c>
      <c r="F25740" s="4" t="e">
        <f>IF(B25740=#REF!,"",B25740)</f>
        <v>#REF!</v>
      </c>
    </row>
    <row r="25741" spans="1:6" ht="15.75" customHeight="1">
      <c r="A25741" s="15" t="s">
        <v>26835</v>
      </c>
      <c r="B25741" s="15" t="s">
        <v>26835</v>
      </c>
      <c r="C25741" s="15" t="s">
        <v>26820</v>
      </c>
      <c r="D25741" s="15" t="s">
        <v>18807</v>
      </c>
      <c r="E25741" s="2">
        <v>233114</v>
      </c>
      <c r="F25741" s="4" t="e">
        <f>IF(B25741=#REF!,"",B25741)</f>
        <v>#REF!</v>
      </c>
    </row>
    <row r="25742" spans="1:6" ht="15.75" customHeight="1">
      <c r="A25742" s="15" t="s">
        <v>4828</v>
      </c>
      <c r="B25742" s="15" t="s">
        <v>4828</v>
      </c>
      <c r="C25742" s="15" t="s">
        <v>4487</v>
      </c>
      <c r="D25742" s="15" t="s">
        <v>4503</v>
      </c>
      <c r="E25742" s="2">
        <v>1805518</v>
      </c>
      <c r="F25742" s="4" t="e">
        <f>IF(B25742=#REF!,"",B25742)</f>
        <v>#REF!</v>
      </c>
    </row>
    <row r="25743" spans="1:6" ht="15.75" customHeight="1">
      <c r="A25743" s="15" t="s">
        <v>4827</v>
      </c>
      <c r="B25743" s="15" t="s">
        <v>4827</v>
      </c>
      <c r="C25743" s="15" t="s">
        <v>4487</v>
      </c>
      <c r="D25743" s="15" t="s">
        <v>4631</v>
      </c>
      <c r="E25743" s="2">
        <v>1805528</v>
      </c>
      <c r="F25743" s="4" t="e">
        <f>IF(B25743=#REF!,"",B25743)</f>
        <v>#REF!</v>
      </c>
    </row>
    <row r="25744" spans="1:6" ht="15.75" customHeight="1">
      <c r="A25744" s="15" t="s">
        <v>4826</v>
      </c>
      <c r="B25744" s="15" t="s">
        <v>4826</v>
      </c>
      <c r="C25744" s="15" t="s">
        <v>4487</v>
      </c>
      <c r="D25744" s="15" t="s">
        <v>4499</v>
      </c>
      <c r="E25744" s="2">
        <v>1805540</v>
      </c>
      <c r="F25744" s="4" t="e">
        <f>IF(B25744=#REF!,"",B25744)</f>
        <v>#REF!</v>
      </c>
    </row>
    <row r="25745" spans="1:6" ht="15.75" customHeight="1">
      <c r="A25745" s="15" t="s">
        <v>4825</v>
      </c>
      <c r="B25745" s="15" t="s">
        <v>4825</v>
      </c>
      <c r="C25745" s="15" t="s">
        <v>4487</v>
      </c>
      <c r="D25745" s="15" t="s">
        <v>4499</v>
      </c>
      <c r="E25745" s="2">
        <v>1805611</v>
      </c>
      <c r="F25745" s="4" t="e">
        <f>IF(B25745=#REF!,"",B25745)</f>
        <v>#REF!</v>
      </c>
    </row>
    <row r="25746" spans="1:6" ht="15.75" customHeight="1">
      <c r="A25746" s="15" t="s">
        <v>4824</v>
      </c>
      <c r="B25746" s="15" t="s">
        <v>4824</v>
      </c>
      <c r="C25746" s="15" t="s">
        <v>4487</v>
      </c>
      <c r="D25746" s="15" t="s">
        <v>4499</v>
      </c>
      <c r="E25746" s="2">
        <v>1805618</v>
      </c>
      <c r="F25746" s="4" t="e">
        <f>IF(B25746=#REF!,"",B25746)</f>
        <v>#REF!</v>
      </c>
    </row>
    <row r="25747" spans="1:6" ht="15.75" customHeight="1">
      <c r="A25747" s="15" t="s">
        <v>4823</v>
      </c>
      <c r="B25747" s="15" t="s">
        <v>4823</v>
      </c>
      <c r="C25747" s="15" t="s">
        <v>4487</v>
      </c>
      <c r="D25747" s="15" t="s">
        <v>4607</v>
      </c>
      <c r="E25747" s="2">
        <v>1785710</v>
      </c>
      <c r="F25747" s="4" t="e">
        <f>IF(B25747=#REF!,"",B25747)</f>
        <v>#REF!</v>
      </c>
    </row>
    <row r="25748" spans="1:6" ht="15.75" customHeight="1">
      <c r="A25748" s="16" t="s">
        <v>4822</v>
      </c>
      <c r="B25748" s="15" t="s">
        <v>4822</v>
      </c>
      <c r="C25748" s="16" t="s">
        <v>4487</v>
      </c>
      <c r="D25748" s="16" t="s">
        <v>4569</v>
      </c>
      <c r="E25748" s="2">
        <v>1805680</v>
      </c>
      <c r="F25748" s="4" t="str">
        <f>IF(B25748=B25747,"",B25748)</f>
        <v>Jingdezhen</v>
      </c>
    </row>
    <row r="25749" spans="1:6" ht="15.75" customHeight="1">
      <c r="A25749" s="16" t="str">
        <f ca="1">IFERROR(__xludf.DUMMYFUNCTION("GOOGLETRANSLATE(B27312,""en"",""pt"")"),"Jindřichův hradec")</f>
        <v>Jindřichův hradec</v>
      </c>
      <c r="B25749" s="20" t="s">
        <v>31986</v>
      </c>
      <c r="C25749" s="20" t="s">
        <v>5947</v>
      </c>
      <c r="D25749" s="20" t="s">
        <v>31955</v>
      </c>
      <c r="E25749" s="10">
        <v>3074149</v>
      </c>
      <c r="F25749" s="4" t="str">
        <f>IF(B25749=B25748,"",B25749)</f>
        <v>Jindřichův Hradec</v>
      </c>
    </row>
    <row r="25750" spans="1:6" ht="15.75" customHeight="1">
      <c r="A25750" s="16" t="s">
        <v>6022</v>
      </c>
      <c r="B25750" s="15" t="s">
        <v>6023</v>
      </c>
      <c r="C25750" s="16" t="s">
        <v>5947</v>
      </c>
      <c r="D25750" s="16" t="s">
        <v>5968</v>
      </c>
      <c r="E25750" s="2">
        <v>3074149</v>
      </c>
      <c r="F25750" s="4" t="str">
        <f>IF(B25750=B25749,"",B25750)</f>
        <v>JindÅ™ichÅ¯v Hradec</v>
      </c>
    </row>
    <row r="25751" spans="1:6" ht="15.75" customHeight="1">
      <c r="A25751" s="16" t="str">
        <f ca="1">IFERROR(__xludf.DUMMYFUNCTION("GOOGLETRANSLATE(B33228,""en"",""pt"")"),"Jīnd")</f>
        <v>Jīnd</v>
      </c>
      <c r="B25751" s="20" t="s">
        <v>33603</v>
      </c>
      <c r="C25751" s="20" t="s">
        <v>10178</v>
      </c>
      <c r="D25751" s="20" t="s">
        <v>10224</v>
      </c>
      <c r="E25751" s="10">
        <v>1268907</v>
      </c>
      <c r="F25751" s="4" t="e">
        <f>IF(B25751=#REF!,"",B25751)</f>
        <v>#REF!</v>
      </c>
    </row>
    <row r="25752" spans="1:6" ht="15.75" customHeight="1">
      <c r="A25752" s="15" t="s">
        <v>4821</v>
      </c>
      <c r="B25752" s="15" t="s">
        <v>4821</v>
      </c>
      <c r="C25752" s="15" t="s">
        <v>4487</v>
      </c>
      <c r="D25752" s="15" t="s">
        <v>4581</v>
      </c>
      <c r="E25752" s="2">
        <v>1805741</v>
      </c>
      <c r="F25752" s="4" t="e">
        <f>IF(B25752=#REF!,"",B25752)</f>
        <v>#REF!</v>
      </c>
    </row>
    <row r="25753" spans="1:6" ht="15.75" customHeight="1">
      <c r="A25753" s="15" t="s">
        <v>4820</v>
      </c>
      <c r="B25753" s="15" t="s">
        <v>4820</v>
      </c>
      <c r="C25753" s="15" t="s">
        <v>4487</v>
      </c>
      <c r="D25753" s="15" t="s">
        <v>4526</v>
      </c>
      <c r="E25753" s="2">
        <v>1805733</v>
      </c>
      <c r="F25753" s="4" t="e">
        <f>IF(B25753=#REF!,"",B25753)</f>
        <v>#REF!</v>
      </c>
    </row>
    <row r="25754" spans="1:6" ht="15.75" customHeight="1">
      <c r="A25754" s="16" t="s">
        <v>24098</v>
      </c>
      <c r="B25754" s="15" t="s">
        <v>24099</v>
      </c>
      <c r="C25754" s="16" t="s">
        <v>24024</v>
      </c>
      <c r="D25754" s="16" t="s">
        <v>24042</v>
      </c>
      <c r="E25754" s="2">
        <v>1846114</v>
      </c>
      <c r="F25754" s="4" t="e">
        <f>IF(B25754=#REF!,"",B25754)</f>
        <v>#REF!</v>
      </c>
    </row>
    <row r="25755" spans="1:6" ht="15.75" customHeight="1">
      <c r="A25755" s="15" t="s">
        <v>4819</v>
      </c>
      <c r="B25755" s="15" t="s">
        <v>4819</v>
      </c>
      <c r="C25755" s="15" t="s">
        <v>4487</v>
      </c>
      <c r="D25755" s="15" t="s">
        <v>4503</v>
      </c>
      <c r="E25755" s="2">
        <v>1805753</v>
      </c>
      <c r="F25755" s="4" t="e">
        <f>IF(B25755=#REF!,"",B25755)</f>
        <v>#REF!</v>
      </c>
    </row>
    <row r="25756" spans="1:6" ht="15.75" customHeight="1">
      <c r="A25756" s="15" t="s">
        <v>4818</v>
      </c>
      <c r="B25756" s="15" t="s">
        <v>4818</v>
      </c>
      <c r="C25756" s="15" t="s">
        <v>4487</v>
      </c>
      <c r="D25756" s="15" t="s">
        <v>4503</v>
      </c>
      <c r="E25756" s="2">
        <v>1805757</v>
      </c>
      <c r="F25756" s="4" t="e">
        <f>IF(B25756=#REF!,"",B25756)</f>
        <v>#REF!</v>
      </c>
    </row>
    <row r="25757" spans="1:6" ht="15.75" customHeight="1">
      <c r="A25757" s="15" t="s">
        <v>19470</v>
      </c>
      <c r="B25757" s="15" t="s">
        <v>19470</v>
      </c>
      <c r="C25757" s="15" t="s">
        <v>19294</v>
      </c>
      <c r="D25757" s="15" t="s">
        <v>19403</v>
      </c>
      <c r="E25757" s="2">
        <v>2336056</v>
      </c>
      <c r="F25757" s="4" t="str">
        <f>IF(B25757=B25756,"",B25757)</f>
        <v>Jimeta</v>
      </c>
    </row>
    <row r="25758" spans="1:6" ht="15.75" customHeight="1">
      <c r="A25758" s="16" t="str">
        <f ca="1">IFERROR(__xludf.DUMMYFUNCTION("GOOGLETRANSLATE(B37269,""en"",""pt"")"),"Jiménez")</f>
        <v>Jiménez</v>
      </c>
      <c r="B25758" s="20" t="s">
        <v>34761</v>
      </c>
      <c r="C25758" s="20" t="s">
        <v>17707</v>
      </c>
      <c r="D25758" s="20" t="s">
        <v>17826</v>
      </c>
      <c r="E25758" s="10">
        <v>4003938</v>
      </c>
      <c r="F25758" s="4" t="str">
        <f>IF(B25758=B25757,"",B25758)</f>
        <v>Jiménez</v>
      </c>
    </row>
    <row r="25759" spans="1:6" ht="15.75" customHeight="1">
      <c r="A25759" s="16" t="str">
        <f ca="1">IFERROR(__xludf.DUMMYFUNCTION("GOOGLETRANSLATE(B27225,""en"",""pt"")"),"Jimaguayú")</f>
        <v>Jimaguayú</v>
      </c>
      <c r="B25759" s="20" t="s">
        <v>31934</v>
      </c>
      <c r="C25759" s="20" t="s">
        <v>5764</v>
      </c>
      <c r="D25759" s="20" t="s">
        <v>31904</v>
      </c>
      <c r="E25759" s="10">
        <v>3754915</v>
      </c>
      <c r="F25759" s="4" t="str">
        <f>IF(B25759=B25758,"",B25759)</f>
        <v>Jimaguayú</v>
      </c>
    </row>
    <row r="25760" spans="1:6" ht="15.75" customHeight="1">
      <c r="A25760" s="16" t="s">
        <v>5859</v>
      </c>
      <c r="B25760" s="15" t="s">
        <v>5860</v>
      </c>
      <c r="C25760" s="16" t="s">
        <v>5764</v>
      </c>
      <c r="D25760" s="16" t="s">
        <v>5806</v>
      </c>
      <c r="E25760" s="2">
        <v>3754915</v>
      </c>
      <c r="F25760" s="4" t="str">
        <f>IF(B25760=B25759,"",B25760)</f>
        <v>JimaguayÃº</v>
      </c>
    </row>
    <row r="25761" spans="1:6" ht="15.75" customHeight="1">
      <c r="A25761" s="15" t="s">
        <v>18019</v>
      </c>
      <c r="B25761" s="15" t="s">
        <v>18020</v>
      </c>
      <c r="C25761" s="15" t="s">
        <v>17707</v>
      </c>
      <c r="D25761" s="15" t="s">
        <v>17826</v>
      </c>
      <c r="E25761" s="2">
        <v>4003938</v>
      </c>
      <c r="F25761" s="4" t="str">
        <f>IF(B25761=B25760,"",B25761)</f>
        <v>JimÃ©nez</v>
      </c>
    </row>
    <row r="25762" spans="1:6" ht="15.75" customHeight="1">
      <c r="A25762" s="16" t="str">
        <f ca="1">IFERROR(__xludf.DUMMYFUNCTION("GOOGLETRANSLATE(B29544,""en"",""pt"")"),"Jīma")</f>
        <v>Jīma</v>
      </c>
      <c r="B25762" s="20" t="s">
        <v>32496</v>
      </c>
      <c r="C25762" s="20" t="s">
        <v>6807</v>
      </c>
      <c r="D25762" s="20" t="s">
        <v>6814</v>
      </c>
      <c r="E25762" s="10">
        <v>333772</v>
      </c>
      <c r="F25762" s="4" t="e">
        <f>IF(B25762=#REF!,"",B25762)</f>
        <v>#REF!</v>
      </c>
    </row>
    <row r="25763" spans="1:6" ht="15.75" customHeight="1">
      <c r="A25763" s="15" t="s">
        <v>4817</v>
      </c>
      <c r="B25763" s="15" t="s">
        <v>4817</v>
      </c>
      <c r="C25763" s="15" t="s">
        <v>4487</v>
      </c>
      <c r="D25763" s="15" t="s">
        <v>4518</v>
      </c>
      <c r="E25763" s="2">
        <v>2036502</v>
      </c>
      <c r="F25763" s="4" t="e">
        <f>IF(B25763=#REF!,"",B25763)</f>
        <v>#REF!</v>
      </c>
    </row>
    <row r="25764" spans="1:6" ht="15.75" customHeight="1">
      <c r="A25764" s="15" t="s">
        <v>23829</v>
      </c>
      <c r="B25764" s="15" t="s">
        <v>23829</v>
      </c>
      <c r="C25764" s="15" t="s">
        <v>23800</v>
      </c>
      <c r="D25764" s="15" t="s">
        <v>23830</v>
      </c>
      <c r="E25764" s="2">
        <v>56166</v>
      </c>
      <c r="F25764" s="4" t="e">
        <f>IF(B25764=#REF!,"",B25764)</f>
        <v>#REF!</v>
      </c>
    </row>
    <row r="25765" spans="1:6" ht="15.75" customHeight="1">
      <c r="A25765" s="15" t="s">
        <v>6893</v>
      </c>
      <c r="B25765" s="15" t="s">
        <v>6893</v>
      </c>
      <c r="C25765" s="15" t="s">
        <v>6807</v>
      </c>
      <c r="D25765" s="15" t="s">
        <v>6894</v>
      </c>
      <c r="E25765" s="2">
        <v>333795</v>
      </c>
      <c r="F25765" s="4" t="e">
        <f>IF(B25765=#REF!,"",B25765)</f>
        <v>#REF!</v>
      </c>
    </row>
    <row r="25766" spans="1:6" ht="15.75" customHeight="1">
      <c r="A25766" s="15" t="s">
        <v>4816</v>
      </c>
      <c r="B25766" s="15" t="s">
        <v>4816</v>
      </c>
      <c r="C25766" s="15" t="s">
        <v>4487</v>
      </c>
      <c r="D25766" s="15" t="s">
        <v>4540</v>
      </c>
      <c r="E25766" s="2">
        <v>1805798</v>
      </c>
      <c r="F25766" s="4" t="e">
        <f>IF(B25766=#REF!,"",B25766)</f>
        <v>#REF!</v>
      </c>
    </row>
    <row r="25767" spans="1:6" ht="15.75" customHeight="1">
      <c r="A25767" s="15" t="s">
        <v>372</v>
      </c>
      <c r="B25767" s="15" t="s">
        <v>372</v>
      </c>
      <c r="C25767" s="15" t="s">
        <v>153</v>
      </c>
      <c r="D25767" s="15" t="s">
        <v>372</v>
      </c>
      <c r="E25767" s="2">
        <v>2492913</v>
      </c>
      <c r="F25767" s="4" t="e">
        <f>IF(B25767=#REF!,"",B25767)</f>
        <v>#REF!</v>
      </c>
    </row>
    <row r="25768" spans="1:6" ht="15.75" customHeight="1">
      <c r="A25768" s="15" t="s">
        <v>6021</v>
      </c>
      <c r="B25768" s="15" t="s">
        <v>6021</v>
      </c>
      <c r="C25768" s="15" t="s">
        <v>5947</v>
      </c>
      <c r="D25768" s="15" t="s">
        <v>5951</v>
      </c>
      <c r="E25768" s="2">
        <v>3074199</v>
      </c>
      <c r="F25768" s="4" t="str">
        <f>IF(B25768=B25767,"",B25768)</f>
        <v>Jihlava</v>
      </c>
    </row>
    <row r="25769" spans="1:6" ht="15.75" customHeight="1">
      <c r="A25769" s="16" t="str">
        <f ca="1">IFERROR(__xludf.DUMMYFUNCTION("GOOGLETRANSLATE(B27162,""en"",""pt"")"),"Jiguaní")</f>
        <v>Jiguaní</v>
      </c>
      <c r="B25769" s="20" t="s">
        <v>31917</v>
      </c>
      <c r="C25769" s="20" t="s">
        <v>5764</v>
      </c>
      <c r="D25769" s="20" t="s">
        <v>5788</v>
      </c>
      <c r="E25769" s="10">
        <v>3556168</v>
      </c>
      <c r="F25769" s="4" t="str">
        <f>IF(B25769=B25768,"",B25769)</f>
        <v>Jiguaní</v>
      </c>
    </row>
    <row r="25770" spans="1:6" ht="15.75" customHeight="1">
      <c r="A25770" s="15" t="s">
        <v>5857</v>
      </c>
      <c r="B25770" s="15" t="s">
        <v>5858</v>
      </c>
      <c r="C25770" s="15" t="s">
        <v>5764</v>
      </c>
      <c r="D25770" s="15" t="s">
        <v>5788</v>
      </c>
      <c r="E25770" s="2">
        <v>3556168</v>
      </c>
      <c r="F25770" s="4" t="e">
        <f>IF(B25770=#REF!,"",B25770)</f>
        <v>#REF!</v>
      </c>
    </row>
    <row r="25771" spans="1:6" ht="15.75" customHeight="1">
      <c r="A25771" s="15" t="s">
        <v>4815</v>
      </c>
      <c r="B25771" s="15" t="s">
        <v>4815</v>
      </c>
      <c r="C25771" s="15" t="s">
        <v>4487</v>
      </c>
      <c r="D25771" s="15" t="s">
        <v>4492</v>
      </c>
      <c r="E25771" s="2">
        <v>1797121</v>
      </c>
      <c r="F25771" s="4" t="e">
        <f>IF(B25771=#REF!,"",B25771)</f>
        <v>#REF!</v>
      </c>
    </row>
    <row r="25772" spans="1:6" ht="15.75" customHeight="1">
      <c r="A25772" s="15" t="s">
        <v>4814</v>
      </c>
      <c r="B25772" s="15" t="s">
        <v>4814</v>
      </c>
      <c r="C25772" s="15" t="s">
        <v>4487</v>
      </c>
      <c r="D25772" s="15" t="s">
        <v>4581</v>
      </c>
      <c r="E25772" s="2">
        <v>1805833</v>
      </c>
      <c r="F25772" s="4" t="e">
        <f>IF(B25772=#REF!,"",B25772)</f>
        <v>#REF!</v>
      </c>
    </row>
    <row r="25773" spans="1:6" ht="15.75" customHeight="1">
      <c r="A25773" s="15" t="s">
        <v>4813</v>
      </c>
      <c r="B25773" s="15" t="s">
        <v>4813</v>
      </c>
      <c r="C25773" s="15" t="s">
        <v>4487</v>
      </c>
      <c r="D25773" s="15" t="s">
        <v>4501</v>
      </c>
      <c r="E25773" s="2">
        <v>1805844</v>
      </c>
      <c r="F25773" s="4" t="e">
        <f>IF(B25773=#REF!,"",B25773)</f>
        <v>#REF!</v>
      </c>
    </row>
    <row r="25774" spans="1:6" ht="15.75" customHeight="1">
      <c r="A25774" s="15" t="s">
        <v>4812</v>
      </c>
      <c r="B25774" s="15" t="s">
        <v>4812</v>
      </c>
      <c r="C25774" s="15" t="s">
        <v>4487</v>
      </c>
      <c r="D25774" s="15" t="s">
        <v>4492</v>
      </c>
      <c r="E25774" s="2">
        <v>1805857</v>
      </c>
      <c r="F25774" s="4" t="e">
        <f>IF(B25774=#REF!,"",B25774)</f>
        <v>#REF!</v>
      </c>
    </row>
    <row r="25775" spans="1:6" ht="15.75" customHeight="1">
      <c r="A25775" s="15" t="s">
        <v>4811</v>
      </c>
      <c r="B25775" s="15" t="s">
        <v>4811</v>
      </c>
      <c r="C25775" s="15" t="s">
        <v>4487</v>
      </c>
      <c r="D25775" s="15" t="s">
        <v>4503</v>
      </c>
      <c r="E25775" s="2">
        <v>1805884</v>
      </c>
      <c r="F25775" s="4" t="e">
        <f>IF(B25775=#REF!,"",B25775)</f>
        <v>#REF!</v>
      </c>
    </row>
    <row r="25776" spans="1:6" ht="15.75" customHeight="1">
      <c r="A25776" s="15" t="s">
        <v>4810</v>
      </c>
      <c r="B25776" s="15" t="s">
        <v>4810</v>
      </c>
      <c r="C25776" s="15" t="s">
        <v>4487</v>
      </c>
      <c r="D25776" s="15" t="s">
        <v>4488</v>
      </c>
      <c r="E25776" s="2">
        <v>2036519</v>
      </c>
      <c r="F25776" s="4" t="str">
        <f>IF(B25776=B25775,"",B25776)</f>
        <v>Jidong</v>
      </c>
    </row>
    <row r="25777" spans="1:6" ht="15.75" customHeight="1">
      <c r="A25777" s="16" t="str">
        <f ca="1">IFERROR(__xludf.DUMMYFUNCTION("GOOGLETRANSLATE(B24064,""en"",""pt"")"),"Jidd ḩafş")</f>
        <v>Jidd ḩafş</v>
      </c>
      <c r="B25777" s="20" t="s">
        <v>31325</v>
      </c>
      <c r="C25777" s="20" t="s">
        <v>1279</v>
      </c>
      <c r="D25777" s="20" t="s">
        <v>1288</v>
      </c>
      <c r="E25777" s="10">
        <v>290215</v>
      </c>
      <c r="F25777" s="4" t="str">
        <f>IF(B25777=B25776,"",B25777)</f>
        <v>Jidd Ḩafş</v>
      </c>
    </row>
    <row r="25778" spans="1:6" ht="15.75" customHeight="1">
      <c r="A25778" s="16" t="s">
        <v>1286</v>
      </c>
      <c r="B25778" s="15" t="s">
        <v>1287</v>
      </c>
      <c r="C25778" s="16" t="s">
        <v>1279</v>
      </c>
      <c r="D25778" s="16" t="s">
        <v>1288</v>
      </c>
      <c r="E25778" s="2">
        <v>290215</v>
      </c>
      <c r="F25778" s="4" t="str">
        <f>IF(B25778=B25777,"",B25778)</f>
        <v>Jidd á¸¨afÅŸ</v>
      </c>
    </row>
    <row r="25779" spans="1:6" ht="15.75" customHeight="1">
      <c r="A25779" s="16" t="str">
        <f ca="1">IFERROR(__xludf.DUMMYFUNCTION("GOOGLETRANSLATE(B27314,""en"",""pt"")"),"Jičín")</f>
        <v>Jičín</v>
      </c>
      <c r="B25779" s="20" t="s">
        <v>31987</v>
      </c>
      <c r="C25779" s="20" t="s">
        <v>5947</v>
      </c>
      <c r="D25779" s="20" t="s">
        <v>31936</v>
      </c>
      <c r="E25779" s="10">
        <v>3074204</v>
      </c>
      <c r="F25779" s="4" t="e">
        <f>IF(B25779=#REF!,"",B25779)</f>
        <v>#REF!</v>
      </c>
    </row>
    <row r="25780" spans="1:6" ht="15.75" customHeight="1">
      <c r="A25780" s="15" t="s">
        <v>4809</v>
      </c>
      <c r="B25780" s="15" t="s">
        <v>4809</v>
      </c>
      <c r="C25780" s="15" t="s">
        <v>4487</v>
      </c>
      <c r="D25780" s="15" t="s">
        <v>4492</v>
      </c>
      <c r="E25780" s="2">
        <v>1805935</v>
      </c>
      <c r="F25780" s="4" t="e">
        <f>IF(B25780=#REF!,"",B25780)</f>
        <v>#REF!</v>
      </c>
    </row>
    <row r="25781" spans="1:6" ht="15.75" customHeight="1">
      <c r="A25781" s="15" t="s">
        <v>4808</v>
      </c>
      <c r="B25781" s="15" t="s">
        <v>4808</v>
      </c>
      <c r="C25781" s="15" t="s">
        <v>4487</v>
      </c>
      <c r="D25781" s="15" t="s">
        <v>4526</v>
      </c>
      <c r="E25781" s="2">
        <v>1280957</v>
      </c>
      <c r="F25781" s="4" t="e">
        <f>IF(B25781=#REF!,"",B25781)</f>
        <v>#REF!</v>
      </c>
    </row>
    <row r="25782" spans="1:6" ht="15.75" customHeight="1">
      <c r="A25782" s="15" t="s">
        <v>4807</v>
      </c>
      <c r="B25782" s="15" t="s">
        <v>4807</v>
      </c>
      <c r="C25782" s="15" t="s">
        <v>4487</v>
      </c>
      <c r="D25782" s="15" t="s">
        <v>4631</v>
      </c>
      <c r="E25782" s="2">
        <v>1805953</v>
      </c>
      <c r="F25782" s="4" t="e">
        <f>IF(B25782=#REF!,"",B25782)</f>
        <v>#REF!</v>
      </c>
    </row>
    <row r="25783" spans="1:6" ht="15.75" customHeight="1">
      <c r="A25783" s="15" t="s">
        <v>4806</v>
      </c>
      <c r="B25783" s="15" t="s">
        <v>4806</v>
      </c>
      <c r="C25783" s="15" t="s">
        <v>4487</v>
      </c>
      <c r="D25783" s="15" t="s">
        <v>4631</v>
      </c>
      <c r="E25783" s="2">
        <v>7303248</v>
      </c>
      <c r="F25783" s="4" t="e">
        <f>IF(B25783=#REF!,"",B25783)</f>
        <v>#REF!</v>
      </c>
    </row>
    <row r="25784" spans="1:6" ht="15.75" customHeight="1">
      <c r="A25784" s="15" t="s">
        <v>4805</v>
      </c>
      <c r="B25784" s="15" t="s">
        <v>4805</v>
      </c>
      <c r="C25784" s="15" t="s">
        <v>4487</v>
      </c>
      <c r="D25784" s="15" t="s">
        <v>4511</v>
      </c>
      <c r="E25784" s="2">
        <v>1805987</v>
      </c>
      <c r="F25784" s="4" t="e">
        <f>IF(B25784=#REF!,"",B25784)</f>
        <v>#REF!</v>
      </c>
    </row>
    <row r="25785" spans="1:6" ht="15.75" customHeight="1">
      <c r="A25785" s="15" t="s">
        <v>4804</v>
      </c>
      <c r="B25785" s="15" t="s">
        <v>4804</v>
      </c>
      <c r="C25785" s="15" t="s">
        <v>4487</v>
      </c>
      <c r="D25785" s="15" t="s">
        <v>4503</v>
      </c>
      <c r="E25785" s="2">
        <v>1806096</v>
      </c>
      <c r="F25785" s="4" t="e">
        <f>IF(B25785=#REF!,"",B25785)</f>
        <v>#REF!</v>
      </c>
    </row>
    <row r="25786" spans="1:6" ht="15.75" customHeight="1">
      <c r="A25786" s="15" t="s">
        <v>4803</v>
      </c>
      <c r="B25786" s="15" t="s">
        <v>4803</v>
      </c>
      <c r="C25786" s="15" t="s">
        <v>4487</v>
      </c>
      <c r="D25786" s="15" t="s">
        <v>4631</v>
      </c>
      <c r="E25786" s="2">
        <v>1809061</v>
      </c>
      <c r="F25786" s="4" t="e">
        <f>IF(B25786=#REF!,"",B25786)</f>
        <v>#REF!</v>
      </c>
    </row>
    <row r="25787" spans="1:6" ht="15.75" customHeight="1">
      <c r="A25787" s="15" t="s">
        <v>4802</v>
      </c>
      <c r="B25787" s="15" t="s">
        <v>4802</v>
      </c>
      <c r="C25787" s="15" t="s">
        <v>4487</v>
      </c>
      <c r="D25787" s="15" t="s">
        <v>4588</v>
      </c>
      <c r="E25787" s="2">
        <v>1885823</v>
      </c>
      <c r="F25787" s="4" t="e">
        <f>IF(B25787=#REF!,"",B25787)</f>
        <v>#REF!</v>
      </c>
    </row>
    <row r="25788" spans="1:6" ht="15.75" customHeight="1">
      <c r="A25788" s="15" t="s">
        <v>4801</v>
      </c>
      <c r="B25788" s="15" t="s">
        <v>4801</v>
      </c>
      <c r="C25788" s="15" t="s">
        <v>4487</v>
      </c>
      <c r="D25788" s="15" t="s">
        <v>4535</v>
      </c>
      <c r="E25788" s="2">
        <v>1815251</v>
      </c>
      <c r="F25788" s="4" t="e">
        <f>IF(B25788=#REF!,"",B25788)</f>
        <v>#REF!</v>
      </c>
    </row>
    <row r="25789" spans="1:6" ht="15.75" customHeight="1">
      <c r="A25789" s="15" t="s">
        <v>4800</v>
      </c>
      <c r="B25789" s="15" t="s">
        <v>4800</v>
      </c>
      <c r="C25789" s="15" t="s">
        <v>4487</v>
      </c>
      <c r="D25789" s="15" t="s">
        <v>4535</v>
      </c>
      <c r="E25789" s="2">
        <v>1806218</v>
      </c>
      <c r="F25789" s="4" t="e">
        <f>IF(B25789=#REF!,"",B25789)</f>
        <v>#REF!</v>
      </c>
    </row>
    <row r="25790" spans="1:6" ht="15.75" customHeight="1">
      <c r="A25790" s="16" t="s">
        <v>4798</v>
      </c>
      <c r="B25790" s="15" t="s">
        <v>4799</v>
      </c>
      <c r="C25790" s="16" t="s">
        <v>4487</v>
      </c>
      <c r="D25790" s="16" t="s">
        <v>4569</v>
      </c>
      <c r="E25790" s="2">
        <v>1806248</v>
      </c>
      <c r="F25790" s="4" t="e">
        <f>IF(B25790=#REF!,"",B25790)</f>
        <v>#REF!</v>
      </c>
    </row>
    <row r="25791" spans="1:6" ht="15.75" customHeight="1">
      <c r="A25791" s="15" t="s">
        <v>4797</v>
      </c>
      <c r="B25791" s="15" t="s">
        <v>4797</v>
      </c>
      <c r="C25791" s="15" t="s">
        <v>4487</v>
      </c>
      <c r="D25791" s="15" t="s">
        <v>4492</v>
      </c>
      <c r="E25791" s="2">
        <v>1806299</v>
      </c>
      <c r="F25791" s="4" t="e">
        <f>IF(B25791=#REF!,"",B25791)</f>
        <v>#REF!</v>
      </c>
    </row>
    <row r="25792" spans="1:6" ht="15.75" customHeight="1">
      <c r="A25792" s="15" t="s">
        <v>4796</v>
      </c>
      <c r="B25792" s="15" t="s">
        <v>4796</v>
      </c>
      <c r="C25792" s="15" t="s">
        <v>4487</v>
      </c>
      <c r="D25792" s="15" t="s">
        <v>4591</v>
      </c>
      <c r="E25792" s="2">
        <v>1806327</v>
      </c>
      <c r="F25792" s="4" t="e">
        <f>IF(B25792=#REF!,"",B25792)</f>
        <v>#REF!</v>
      </c>
    </row>
    <row r="25793" spans="1:6" ht="15.75" customHeight="1">
      <c r="A25793" s="16" t="s">
        <v>4794</v>
      </c>
      <c r="B25793" s="15" t="s">
        <v>4795</v>
      </c>
      <c r="C25793" s="16" t="s">
        <v>4487</v>
      </c>
      <c r="D25793" s="16" t="s">
        <v>4511</v>
      </c>
      <c r="E25793" s="2">
        <v>1788046</v>
      </c>
      <c r="F25793" s="4" t="str">
        <f>IF(B25793=B25792,"",B25793)</f>
        <v>Jiangguanchi</v>
      </c>
    </row>
    <row r="25794" spans="1:6" ht="15.75" customHeight="1">
      <c r="A25794" s="15" t="s">
        <v>4792</v>
      </c>
      <c r="B25794" s="15" t="s">
        <v>4793</v>
      </c>
      <c r="C25794" s="15" t="s">
        <v>4487</v>
      </c>
      <c r="D25794" s="15" t="s">
        <v>4591</v>
      </c>
      <c r="E25794" s="2">
        <v>1806167</v>
      </c>
      <c r="F25794" s="4" t="str">
        <f>IF(B25794=B25793,"",B25794)</f>
        <v>Jianâ€™ou</v>
      </c>
    </row>
    <row r="25795" spans="1:6" ht="15.75" customHeight="1">
      <c r="A25795" s="16" t="str">
        <f ca="1">IFERROR(__xludf.DUMMYFUNCTION("GOOGLETRANSLATE(B26457,""en"",""pt"")"),"Jian'ou")</f>
        <v>Jian'ou</v>
      </c>
      <c r="B25795" s="20" t="s">
        <v>31832</v>
      </c>
      <c r="C25795" s="20" t="s">
        <v>4487</v>
      </c>
      <c r="D25795" s="20" t="s">
        <v>4591</v>
      </c>
      <c r="E25795" s="10">
        <v>1806167</v>
      </c>
      <c r="F25795" s="4" t="e">
        <f>IF(B25795=#REF!,"",B25795)</f>
        <v>#REF!</v>
      </c>
    </row>
    <row r="25796" spans="1:6" ht="15.75" customHeight="1">
      <c r="A25796" s="15" t="s">
        <v>4791</v>
      </c>
      <c r="B25796" s="15" t="s">
        <v>4791</v>
      </c>
      <c r="C25796" s="15" t="s">
        <v>4487</v>
      </c>
      <c r="D25796" s="15" t="s">
        <v>4488</v>
      </c>
      <c r="E25796" s="2">
        <v>2036581</v>
      </c>
      <c r="F25796" s="4" t="str">
        <f>IF(B25796=B25795,"",B25796)</f>
        <v>Jiamusi</v>
      </c>
    </row>
    <row r="25797" spans="1:6" ht="15.75" customHeight="1">
      <c r="A25797" s="15" t="s">
        <v>6019</v>
      </c>
      <c r="B25797" s="15" t="s">
        <v>6020</v>
      </c>
      <c r="C25797" s="15" t="s">
        <v>5947</v>
      </c>
      <c r="D25797" s="15" t="s">
        <v>6005</v>
      </c>
      <c r="E25797" s="2">
        <v>3074204</v>
      </c>
      <c r="F25797" s="4" t="str">
        <f>IF(B25797=B25796,"",B25797)</f>
        <v>JiÄÃ­n</v>
      </c>
    </row>
    <row r="25798" spans="1:6" ht="15.75" customHeight="1">
      <c r="A25798" s="15" t="s">
        <v>4789</v>
      </c>
      <c r="B25798" s="15" t="s">
        <v>4790</v>
      </c>
      <c r="C25798" s="15" t="s">
        <v>4487</v>
      </c>
      <c r="D25798" s="15" t="s">
        <v>4569</v>
      </c>
      <c r="E25798" s="2">
        <v>1806445</v>
      </c>
      <c r="F25798" s="4" t="str">
        <f>IF(B25798=B25797,"",B25798)</f>
        <v>Jiâ€™an</v>
      </c>
    </row>
    <row r="25799" spans="1:6" ht="15.75" customHeight="1">
      <c r="A25799" s="16" t="str">
        <f ca="1">IFERROR(__xludf.DUMMYFUNCTION("GOOGLETRANSLATE(B26463,""en"",""pt"")"),"Ji'an")</f>
        <v>Ji'an</v>
      </c>
      <c r="B25799" s="20" t="s">
        <v>31833</v>
      </c>
      <c r="C25799" s="20" t="s">
        <v>4487</v>
      </c>
      <c r="D25799" s="20" t="s">
        <v>4569</v>
      </c>
      <c r="E25799" s="10">
        <v>1806445</v>
      </c>
      <c r="F25799" s="4" t="str">
        <f>IF(B25799=B25798,"",B25799)</f>
        <v>Ji’an</v>
      </c>
    </row>
    <row r="25800" spans="1:6" ht="15.75" customHeight="1">
      <c r="A25800" s="15" t="s">
        <v>2758</v>
      </c>
      <c r="B25800" s="15" t="s">
        <v>2759</v>
      </c>
      <c r="C25800" s="15" t="s">
        <v>1905</v>
      </c>
      <c r="D25800" s="15" t="s">
        <v>2038</v>
      </c>
      <c r="E25800" s="2">
        <v>3925033</v>
      </c>
      <c r="F25800" s="4" t="str">
        <f>IF(B25800=B25799,"",B25800)</f>
        <v>Ji ParanÃ¡</v>
      </c>
    </row>
    <row r="25801" spans="1:6" ht="15.75" customHeight="1">
      <c r="A25801" s="16" t="str">
        <f ca="1">IFERROR(__xludf.DUMMYFUNCTION("GOOGLETRANSLATE(B25328,""en"",""pt"")"),"Ji Paraná")</f>
        <v>Ji Paraná</v>
      </c>
      <c r="B25801" s="20" t="s">
        <v>31744</v>
      </c>
      <c r="C25801" s="20" t="s">
        <v>1905</v>
      </c>
      <c r="D25801" s="20" t="s">
        <v>31741</v>
      </c>
      <c r="E25801" s="10">
        <v>3925033</v>
      </c>
      <c r="F25801" s="4" t="str">
        <f>IF(B25801=B25800,"",B25801)</f>
        <v>Ji Paraná</v>
      </c>
    </row>
    <row r="25802" spans="1:6" ht="15.75" customHeight="1">
      <c r="A25802" s="16" t="str">
        <f ca="1">IFERROR(__xludf.DUMMYFUNCTION("GOOGLETRANSLATE(B33229,""en"",""pt"")"),"Jhūsi")</f>
        <v>Jhūsi</v>
      </c>
      <c r="B25802" s="20" t="s">
        <v>33604</v>
      </c>
      <c r="C25802" s="20" t="s">
        <v>10178</v>
      </c>
      <c r="D25802" s="20" t="s">
        <v>10193</v>
      </c>
      <c r="E25802" s="10">
        <v>1268929</v>
      </c>
      <c r="F25802" s="4" t="str">
        <f>IF(B25802=B25801,"",B25802)</f>
        <v>Jhūsi</v>
      </c>
    </row>
    <row r="25803" spans="1:6" ht="15.75" customHeight="1">
      <c r="A25803" s="16" t="str">
        <f ca="1">IFERROR(__xludf.DUMMYFUNCTION("GOOGLETRANSLATE(B33230,""en"",""pt"")"),"Jhunjhunūn")</f>
        <v>Jhunjhunūn</v>
      </c>
      <c r="B25803" s="20" t="s">
        <v>33605</v>
      </c>
      <c r="C25803" s="20" t="s">
        <v>10178</v>
      </c>
      <c r="D25803" s="20" t="s">
        <v>10179</v>
      </c>
      <c r="E25803" s="10">
        <v>1268936</v>
      </c>
      <c r="F25803" s="4" t="str">
        <f>IF(B25803=B25802,"",B25803)</f>
        <v>Jhunjhunūn</v>
      </c>
    </row>
    <row r="25804" spans="1:6" ht="15.75" customHeight="1">
      <c r="A25804" s="16" t="s">
        <v>11688</v>
      </c>
      <c r="B25804" s="15" t="s">
        <v>11689</v>
      </c>
      <c r="C25804" s="16" t="s">
        <v>10178</v>
      </c>
      <c r="D25804" s="16" t="s">
        <v>10179</v>
      </c>
      <c r="E25804" s="2">
        <v>1268936</v>
      </c>
      <c r="F25804" s="4" t="e">
        <f>IF(B25804=#REF!,"",B25804)</f>
        <v>#REF!</v>
      </c>
    </row>
    <row r="25805" spans="1:6" ht="15.75" customHeight="1">
      <c r="A25805" s="15" t="s">
        <v>19973</v>
      </c>
      <c r="B25805" s="15" t="s">
        <v>19973</v>
      </c>
      <c r="C25805" s="15" t="s">
        <v>19808</v>
      </c>
      <c r="D25805" s="15" t="s">
        <v>10184</v>
      </c>
      <c r="E25805" s="2">
        <v>1175748</v>
      </c>
      <c r="F25805" s="4" t="e">
        <f>IF(B25805=#REF!,"",B25805)</f>
        <v>#REF!</v>
      </c>
    </row>
    <row r="25806" spans="1:6" ht="15.75" customHeight="1">
      <c r="A25806" s="15" t="s">
        <v>19972</v>
      </c>
      <c r="B25806" s="15" t="s">
        <v>19972</v>
      </c>
      <c r="C25806" s="15" t="s">
        <v>19808</v>
      </c>
      <c r="D25806" s="15" t="s">
        <v>19823</v>
      </c>
      <c r="E25806" s="2">
        <v>1175762</v>
      </c>
      <c r="F25806" s="4" t="str">
        <f>IF(B25806=B25805,"",B25806)</f>
        <v>Jhol</v>
      </c>
    </row>
    <row r="25807" spans="1:6" ht="15.75" customHeight="1">
      <c r="A25807" s="16" t="str">
        <f ca="1">IFERROR(__xludf.DUMMYFUNCTION("GOOGLETRANSLATE(B33231,""en"",""pt"")"),"Jhinjhāna")</f>
        <v>Jhinjhāna</v>
      </c>
      <c r="B25807" s="20" t="s">
        <v>33606</v>
      </c>
      <c r="C25807" s="20" t="s">
        <v>10178</v>
      </c>
      <c r="D25807" s="20" t="s">
        <v>10193</v>
      </c>
      <c r="E25807" s="10">
        <v>1268961</v>
      </c>
      <c r="F25807" s="4" t="str">
        <f>IF(B25807=B25806,"",B25807)</f>
        <v>Jhinjhāna</v>
      </c>
    </row>
    <row r="25808" spans="1:6" ht="15.75" customHeight="1">
      <c r="A25808" s="16" t="str">
        <f ca="1">IFERROR(__xludf.DUMMYFUNCTION("GOOGLETRANSLATE(B33232,""en"",""pt"")"),"Jhīnjhak")</f>
        <v>Jhīnjhak</v>
      </c>
      <c r="B25808" s="20" t="s">
        <v>33607</v>
      </c>
      <c r="C25808" s="20" t="s">
        <v>10178</v>
      </c>
      <c r="D25808" s="20" t="s">
        <v>10193</v>
      </c>
      <c r="E25808" s="10">
        <v>1268962</v>
      </c>
      <c r="F25808" s="4" t="str">
        <f>IF(B25808=B25807,"",B25808)</f>
        <v>Jhīnjhak</v>
      </c>
    </row>
    <row r="25809" spans="1:6" ht="15.75" customHeight="1">
      <c r="A25809" s="16" t="s">
        <v>11686</v>
      </c>
      <c r="B25809" s="15" t="s">
        <v>11687</v>
      </c>
      <c r="C25809" s="16" t="s">
        <v>10178</v>
      </c>
      <c r="D25809" s="16" t="s">
        <v>10193</v>
      </c>
      <c r="E25809" s="2">
        <v>1268961</v>
      </c>
      <c r="F25809" s="4" t="str">
        <f>IF(B25809=B25808,"",B25809)</f>
        <v>JhinjhÄna</v>
      </c>
    </row>
    <row r="25810" spans="1:6" ht="15.75" customHeight="1">
      <c r="A25810" s="16" t="str">
        <f ca="1">IFERROR(__xludf.DUMMYFUNCTION("GOOGLETRANSLATE(B23729,""en"",""pt"")"),"Jhingergācha")</f>
        <v>Jhingergācha</v>
      </c>
      <c r="B25810" s="20" t="s">
        <v>31274</v>
      </c>
      <c r="C25810" s="20" t="s">
        <v>1296</v>
      </c>
      <c r="D25810" s="20" t="s">
        <v>1315</v>
      </c>
      <c r="E25810" s="10">
        <v>1185204</v>
      </c>
      <c r="F25810" s="4" t="str">
        <f>IF(B25810=B25809,"",B25810)</f>
        <v>Jhingergācha</v>
      </c>
    </row>
    <row r="25811" spans="1:6" ht="15.75" customHeight="1">
      <c r="A25811" s="16" t="s">
        <v>1353</v>
      </c>
      <c r="B25811" s="15" t="s">
        <v>1354</v>
      </c>
      <c r="C25811" s="16" t="s">
        <v>1296</v>
      </c>
      <c r="D25811" s="16" t="s">
        <v>1315</v>
      </c>
      <c r="E25811" s="2">
        <v>1185204</v>
      </c>
      <c r="F25811" s="4" t="e">
        <f>IF(B25811=#REF!,"",B25811)</f>
        <v>#REF!</v>
      </c>
    </row>
    <row r="25812" spans="1:6" ht="15.75" customHeight="1">
      <c r="A25812" s="15" t="s">
        <v>19971</v>
      </c>
      <c r="B25812" s="15" t="s">
        <v>19971</v>
      </c>
      <c r="C25812" s="15" t="s">
        <v>19808</v>
      </c>
      <c r="D25812" s="15" t="s">
        <v>10184</v>
      </c>
      <c r="E25812" s="2">
        <v>1175864</v>
      </c>
      <c r="F25812" s="4" t="str">
        <f>IF(B25812=B25811,"",B25812)</f>
        <v>Jhelum</v>
      </c>
    </row>
    <row r="25813" spans="1:6" ht="15.75" customHeight="1">
      <c r="A25813" s="16" t="str">
        <f ca="1">IFERROR(__xludf.DUMMYFUNCTION("GOOGLETRANSLATE(B39066,""en"",""pt"")"),"Jhawāriān")</f>
        <v>Jhawāriān</v>
      </c>
      <c r="B25813" s="20" t="s">
        <v>35003</v>
      </c>
      <c r="C25813" s="20" t="s">
        <v>19808</v>
      </c>
      <c r="D25813" s="20" t="s">
        <v>10184</v>
      </c>
      <c r="E25813" s="10">
        <v>1175870</v>
      </c>
      <c r="F25813" s="4" t="str">
        <f>IF(B25813=B25812,"",B25813)</f>
        <v>Jhawāriān</v>
      </c>
    </row>
    <row r="25814" spans="1:6" ht="15.75" customHeight="1">
      <c r="A25814" s="16" t="s">
        <v>19969</v>
      </c>
      <c r="B25814" s="15" t="s">
        <v>19970</v>
      </c>
      <c r="C25814" s="16" t="s">
        <v>19808</v>
      </c>
      <c r="D25814" s="16" t="s">
        <v>10184</v>
      </c>
      <c r="E25814" s="2">
        <v>1175870</v>
      </c>
      <c r="F25814" s="4" t="str">
        <f>IF(B25814=B25813,"",B25814)</f>
        <v>JhawÄriÄn</v>
      </c>
    </row>
    <row r="25815" spans="1:6" ht="15.75" customHeight="1">
      <c r="A25815" s="16" t="str">
        <f ca="1">IFERROR(__xludf.DUMMYFUNCTION("GOOGLETRANSLATE(B33233,""en"",""pt"")"),"Jhārsuguda")</f>
        <v>Jhārsuguda</v>
      </c>
      <c r="B25815" s="20" t="s">
        <v>33608</v>
      </c>
      <c r="C25815" s="20" t="s">
        <v>10178</v>
      </c>
      <c r="D25815" s="20" t="s">
        <v>10229</v>
      </c>
      <c r="E25815" s="10">
        <v>1268977</v>
      </c>
      <c r="F25815" s="4" t="e">
        <f>IF(B25815=#REF!,"",B25815)</f>
        <v>#REF!</v>
      </c>
    </row>
    <row r="25816" spans="1:6" ht="15.75" customHeight="1">
      <c r="A25816" s="15" t="s">
        <v>11685</v>
      </c>
      <c r="B25816" s="15" t="s">
        <v>11685</v>
      </c>
      <c r="C25816" s="15" t="s">
        <v>10178</v>
      </c>
      <c r="D25816" s="15" t="s">
        <v>10430</v>
      </c>
      <c r="E25816" s="2">
        <v>1268988</v>
      </c>
      <c r="F25816" s="4" t="str">
        <f>IF(B25816=B25815,"",B25816)</f>
        <v>Jharia</v>
      </c>
    </row>
    <row r="25817" spans="1:6" ht="15.75" customHeight="1">
      <c r="A25817" s="16" t="str">
        <f ca="1">IFERROR(__xludf.DUMMYFUNCTION("GOOGLETRANSLATE(B33235,""en"",""pt"")"),"Jhārgrām")</f>
        <v>Jhārgrām</v>
      </c>
      <c r="B25817" s="20" t="s">
        <v>33609</v>
      </c>
      <c r="C25817" s="20" t="s">
        <v>10178</v>
      </c>
      <c r="D25817" s="20" t="s">
        <v>10201</v>
      </c>
      <c r="E25817" s="10">
        <v>1268990</v>
      </c>
      <c r="F25817" s="4" t="str">
        <f>IF(B25817=B25816,"",B25817)</f>
        <v>Jhārgrām</v>
      </c>
    </row>
    <row r="25818" spans="1:6" ht="15.75" customHeight="1">
      <c r="A25818" s="16" t="str">
        <f ca="1">IFERROR(__xludf.DUMMYFUNCTION("GOOGLETRANSLATE(B33236,""en"",""pt"")"),"Jhānsi")</f>
        <v>Jhānsi</v>
      </c>
      <c r="B25818" s="20" t="s">
        <v>33610</v>
      </c>
      <c r="C25818" s="20" t="s">
        <v>10178</v>
      </c>
      <c r="D25818" s="20" t="s">
        <v>10193</v>
      </c>
      <c r="E25818" s="10">
        <v>1269006</v>
      </c>
      <c r="F25818" s="4" t="str">
        <f>IF(B25818=B25817,"",B25818)</f>
        <v>Jhānsi</v>
      </c>
    </row>
    <row r="25819" spans="1:6" ht="15.75" customHeight="1">
      <c r="A25819" s="16" t="str">
        <f ca="1">IFERROR(__xludf.DUMMYFUNCTION("GOOGLETRANSLATE(B33237,""en"",""pt"")"),"Jhanjhārpur")</f>
        <v>Jhanjhārpur</v>
      </c>
      <c r="B25819" s="20" t="s">
        <v>33611</v>
      </c>
      <c r="C25819" s="20" t="s">
        <v>10178</v>
      </c>
      <c r="D25819" s="20" t="s">
        <v>10317</v>
      </c>
      <c r="E25819" s="10">
        <v>1269012</v>
      </c>
      <c r="F25819" s="4" t="str">
        <f>IF(B25819=B25818,"",B25819)</f>
        <v>Jhanjhārpur</v>
      </c>
    </row>
    <row r="25820" spans="1:6" ht="15.75" customHeight="1">
      <c r="A25820" s="16" t="s">
        <v>11683</v>
      </c>
      <c r="B25820" s="15" t="s">
        <v>11684</v>
      </c>
      <c r="C25820" s="16" t="s">
        <v>10178</v>
      </c>
      <c r="D25820" s="16" t="s">
        <v>10317</v>
      </c>
      <c r="E25820" s="2">
        <v>1269012</v>
      </c>
      <c r="F25820" s="4" t="e">
        <f>IF(B25820=#REF!,"",B25820)</f>
        <v>#REF!</v>
      </c>
    </row>
    <row r="25821" spans="1:6" ht="15.75" customHeight="1">
      <c r="A25821" s="16" t="s">
        <v>19968</v>
      </c>
      <c r="B25821" s="15" t="s">
        <v>19968</v>
      </c>
      <c r="C25821" s="16" t="s">
        <v>19808</v>
      </c>
      <c r="D25821" s="16" t="s">
        <v>10184</v>
      </c>
      <c r="E25821" s="2">
        <v>1175892</v>
      </c>
      <c r="F25821" s="4" t="str">
        <f>IF(B25821=B25820,"",B25821)</f>
        <v>Jhang Sadr</v>
      </c>
    </row>
    <row r="25822" spans="1:6" ht="15.75" customHeight="1">
      <c r="A25822" s="16" t="str">
        <f ca="1">IFERROR(__xludf.DUMMYFUNCTION("GOOGLETRANSLATE(B33238,""en"",""pt"")"),"Jhālu")</f>
        <v>Jhālu</v>
      </c>
      <c r="B25822" s="20" t="s">
        <v>33612</v>
      </c>
      <c r="C25822" s="20" t="s">
        <v>10178</v>
      </c>
      <c r="D25822" s="20" t="s">
        <v>10193</v>
      </c>
      <c r="E25822" s="10">
        <v>1269019</v>
      </c>
      <c r="F25822" s="4" t="str">
        <f>IF(B25822=B25821,"",B25822)</f>
        <v>Jhālu</v>
      </c>
    </row>
    <row r="25823" spans="1:6" ht="15.75" customHeight="1">
      <c r="A25823" s="16" t="str">
        <f ca="1">IFERROR(__xludf.DUMMYFUNCTION("GOOGLETRANSLATE(B33239,""en"",""pt"")"),"Jhālrapātan")</f>
        <v>Jhālrapātan</v>
      </c>
      <c r="B25823" s="20" t="s">
        <v>33613</v>
      </c>
      <c r="C25823" s="20" t="s">
        <v>10178</v>
      </c>
      <c r="D25823" s="20" t="s">
        <v>10179</v>
      </c>
      <c r="E25823" s="10">
        <v>1269020</v>
      </c>
      <c r="F25823" s="4" t="e">
        <f>IF(B25823=#REF!,"",B25823)</f>
        <v>#REF!</v>
      </c>
    </row>
    <row r="25824" spans="1:6" ht="15.75" customHeight="1">
      <c r="A25824" s="15" t="s">
        <v>11682</v>
      </c>
      <c r="B25824" s="15" t="s">
        <v>11682</v>
      </c>
      <c r="C25824" s="15" t="s">
        <v>10178</v>
      </c>
      <c r="D25824" s="15" t="s">
        <v>10201</v>
      </c>
      <c r="E25824" s="2">
        <v>1269026</v>
      </c>
      <c r="F25824" s="4" t="str">
        <f>IF(B25824=B25823,"",B25824)</f>
        <v>Jhalida</v>
      </c>
    </row>
    <row r="25825" spans="1:6" ht="15.75" customHeight="1">
      <c r="A25825" s="16" t="str">
        <f ca="1">IFERROR(__xludf.DUMMYFUNCTION("GOOGLETRANSLATE(B33241,""en"",""pt"")"),"Jhālāwār")</f>
        <v>Jhālāwār</v>
      </c>
      <c r="B25825" s="20" t="s">
        <v>33614</v>
      </c>
      <c r="C25825" s="20" t="s">
        <v>10178</v>
      </c>
      <c r="D25825" s="20" t="s">
        <v>10179</v>
      </c>
      <c r="E25825" s="10">
        <v>1269027</v>
      </c>
      <c r="F25825" s="4" t="e">
        <f>IF(B25825=#REF!,"",B25825)</f>
        <v>#REF!</v>
      </c>
    </row>
    <row r="25826" spans="1:6" ht="15.75" customHeight="1">
      <c r="A25826" s="15" t="s">
        <v>11681</v>
      </c>
      <c r="B25826" s="15" t="s">
        <v>11681</v>
      </c>
      <c r="C25826" s="15" t="s">
        <v>10178</v>
      </c>
      <c r="D25826" s="15" t="s">
        <v>10224</v>
      </c>
      <c r="E25826" s="2">
        <v>1269042</v>
      </c>
      <c r="F25826" s="4" t="str">
        <f>IF(B25826=B25825,"",B25826)</f>
        <v>Jhajjar</v>
      </c>
    </row>
    <row r="25827" spans="1:6" ht="15.75" customHeight="1">
      <c r="A25827" s="16" t="str">
        <f ca="1">IFERROR(__xludf.DUMMYFUNCTION("GOOGLETRANSLATE(B33244,""en"",""pt"")"),"Jhābua")</f>
        <v>Jhābua</v>
      </c>
      <c r="B25827" s="20" t="s">
        <v>33616</v>
      </c>
      <c r="C25827" s="20" t="s">
        <v>10178</v>
      </c>
      <c r="D25827" s="20" t="s">
        <v>10219</v>
      </c>
      <c r="E25827" s="10">
        <v>1269053</v>
      </c>
      <c r="F25827" s="4" t="str">
        <f>IF(B25827=B25826,"",B25827)</f>
        <v>Jhābua</v>
      </c>
    </row>
    <row r="25828" spans="1:6" ht="15.75" customHeight="1">
      <c r="A25828" s="16" t="s">
        <v>11679</v>
      </c>
      <c r="B25828" s="15" t="s">
        <v>11680</v>
      </c>
      <c r="C25828" s="16" t="s">
        <v>10178</v>
      </c>
      <c r="D25828" s="16" t="s">
        <v>10229</v>
      </c>
      <c r="E25828" s="2">
        <v>1268977</v>
      </c>
      <c r="F25828" s="4" t="str">
        <f>IF(B25828=B25827,"",B25828)</f>
        <v>JhÄrsuguda</v>
      </c>
    </row>
    <row r="25829" spans="1:6" ht="15.75" customHeight="1">
      <c r="A25829" s="16" t="s">
        <v>11677</v>
      </c>
      <c r="B25829" s="15" t="s">
        <v>11678</v>
      </c>
      <c r="C25829" s="16" t="s">
        <v>10178</v>
      </c>
      <c r="D25829" s="16" t="s">
        <v>10201</v>
      </c>
      <c r="E25829" s="2">
        <v>1268990</v>
      </c>
      <c r="F25829" s="4" t="str">
        <f>IF(B25829=B25828,"",B25829)</f>
        <v>JhÄrgrÄm</v>
      </c>
    </row>
    <row r="25830" spans="1:6" ht="15.75" customHeight="1">
      <c r="A25830" s="15" t="s">
        <v>11675</v>
      </c>
      <c r="B25830" s="15" t="s">
        <v>11676</v>
      </c>
      <c r="C25830" s="15" t="s">
        <v>10178</v>
      </c>
      <c r="D25830" s="15" t="s">
        <v>10193</v>
      </c>
      <c r="E25830" s="2">
        <v>1269006</v>
      </c>
      <c r="F25830" s="4" t="str">
        <f>IF(B25830=B25829,"",B25830)</f>
        <v>JhÄnsi</v>
      </c>
    </row>
    <row r="25831" spans="1:6" ht="15.75" customHeight="1">
      <c r="A25831" s="15" t="s">
        <v>11673</v>
      </c>
      <c r="B25831" s="15" t="s">
        <v>11674</v>
      </c>
      <c r="C25831" s="15" t="s">
        <v>10178</v>
      </c>
      <c r="D25831" s="15" t="s">
        <v>10193</v>
      </c>
      <c r="E25831" s="2">
        <v>1269019</v>
      </c>
      <c r="F25831" s="4" t="str">
        <f>IF(B25831=B25830,"",B25831)</f>
        <v>JhÄlu</v>
      </c>
    </row>
    <row r="25832" spans="1:6" ht="15.75" customHeight="1">
      <c r="A25832" s="16" t="s">
        <v>11671</v>
      </c>
      <c r="B25832" s="15" t="s">
        <v>11672</v>
      </c>
      <c r="C25832" s="16" t="s">
        <v>10178</v>
      </c>
      <c r="D25832" s="16" t="s">
        <v>10179</v>
      </c>
      <c r="E25832" s="2">
        <v>1269020</v>
      </c>
      <c r="F25832" s="4" t="str">
        <f>IF(B25832=B25831,"",B25832)</f>
        <v>JhÄlrapÄtan</v>
      </c>
    </row>
    <row r="25833" spans="1:6" ht="15.75" customHeight="1">
      <c r="A25833" s="16" t="s">
        <v>11669</v>
      </c>
      <c r="B25833" s="15" t="s">
        <v>11670</v>
      </c>
      <c r="C25833" s="16" t="s">
        <v>10178</v>
      </c>
      <c r="D25833" s="16" t="s">
        <v>10179</v>
      </c>
      <c r="E25833" s="2">
        <v>1269027</v>
      </c>
      <c r="F25833" s="4" t="str">
        <f>IF(B25833=B25832,"",B25833)</f>
        <v>JhÄlÄwÄr</v>
      </c>
    </row>
    <row r="25834" spans="1:6" ht="15.75" customHeight="1">
      <c r="A25834" s="15" t="s">
        <v>11667</v>
      </c>
      <c r="B25834" s="15" t="s">
        <v>11668</v>
      </c>
      <c r="C25834" s="15" t="s">
        <v>10178</v>
      </c>
      <c r="D25834" s="15" t="s">
        <v>10219</v>
      </c>
      <c r="E25834" s="2">
        <v>1269053</v>
      </c>
      <c r="F25834" s="4" t="str">
        <f>IF(B25834=B25833,"",B25834)</f>
        <v>JhÄbua</v>
      </c>
    </row>
    <row r="25835" spans="1:6" ht="15.75" customHeight="1">
      <c r="A25835" s="15" t="s">
        <v>11665</v>
      </c>
      <c r="B25835" s="15" t="s">
        <v>11666</v>
      </c>
      <c r="C25835" s="15" t="s">
        <v>10178</v>
      </c>
      <c r="D25835" s="15" t="s">
        <v>10317</v>
      </c>
      <c r="E25835" s="2">
        <v>1269046</v>
      </c>
      <c r="F25835" s="4" t="str">
        <f>IF(B25835=B25834,"",B25835)</f>
        <v>JhÄ JhÄ</v>
      </c>
    </row>
    <row r="25836" spans="1:6" ht="15.75" customHeight="1">
      <c r="A25836" s="15" t="s">
        <v>11663</v>
      </c>
      <c r="B25836" s="15" t="s">
        <v>11664</v>
      </c>
      <c r="C25836" s="15" t="s">
        <v>10178</v>
      </c>
      <c r="D25836" s="15" t="s">
        <v>10193</v>
      </c>
      <c r="E25836" s="2">
        <v>1268929</v>
      </c>
      <c r="F25836" s="4" t="str">
        <f>IF(B25836=B25835,"",B25836)</f>
        <v>JhÅ«si</v>
      </c>
    </row>
    <row r="25837" spans="1:6" ht="15.75" customHeight="1">
      <c r="A25837" s="16" t="s">
        <v>11661</v>
      </c>
      <c r="B25837" s="15" t="s">
        <v>11662</v>
      </c>
      <c r="C25837" s="16" t="s">
        <v>10178</v>
      </c>
      <c r="D25837" s="16" t="s">
        <v>10193</v>
      </c>
      <c r="E25837" s="2">
        <v>1268962</v>
      </c>
      <c r="F25837" s="4" t="str">
        <f>IF(B25837=B25836,"",B25837)</f>
        <v>JhÄ«njhak</v>
      </c>
    </row>
    <row r="25838" spans="1:6" ht="15.75" customHeight="1">
      <c r="A25838" s="16" t="str">
        <f ca="1">IFERROR(__xludf.DUMMYFUNCTION("GOOGLETRANSLATE(B33243,""en"",""pt"")"),"Jhā Jhā")</f>
        <v>Jhā Jhā</v>
      </c>
      <c r="B25838" s="20" t="s">
        <v>33615</v>
      </c>
      <c r="C25838" s="20" t="s">
        <v>10178</v>
      </c>
      <c r="D25838" s="20" t="s">
        <v>10317</v>
      </c>
      <c r="E25838" s="10">
        <v>1269046</v>
      </c>
      <c r="F25838" s="4" t="e">
        <f>IF(B25838=#REF!,"",B25838)</f>
        <v>#REF!</v>
      </c>
    </row>
    <row r="25839" spans="1:6" ht="15.75" customHeight="1">
      <c r="A25839" s="15" t="s">
        <v>11660</v>
      </c>
      <c r="B25839" s="15" t="s">
        <v>11660</v>
      </c>
      <c r="C25839" s="15" t="s">
        <v>10178</v>
      </c>
      <c r="D25839" s="15" t="s">
        <v>10229</v>
      </c>
      <c r="E25839" s="2">
        <v>1269092</v>
      </c>
      <c r="F25839" s="4" t="e">
        <f>IF(B25839=#REF!,"",B25839)</f>
        <v>#REF!</v>
      </c>
    </row>
    <row r="25840" spans="1:6" ht="15.75" customHeight="1">
      <c r="A25840" s="15" t="s">
        <v>11658</v>
      </c>
      <c r="B25840" s="15" t="s">
        <v>11659</v>
      </c>
      <c r="C25840" s="15" t="s">
        <v>10178</v>
      </c>
      <c r="D25840" s="15" t="s">
        <v>10193</v>
      </c>
      <c r="E25840" s="2">
        <v>1269056</v>
      </c>
      <c r="F25840" s="4" t="e">
        <f>IF(B25840=#REF!,"",B25840)</f>
        <v>#REF!</v>
      </c>
    </row>
    <row r="25841" spans="1:6" ht="15.75" customHeight="1">
      <c r="A25841" s="15" t="s">
        <v>11657</v>
      </c>
      <c r="B25841" s="15" t="s">
        <v>11657</v>
      </c>
      <c r="C25841" s="15" t="s">
        <v>10178</v>
      </c>
      <c r="D25841" s="15" t="s">
        <v>10252</v>
      </c>
      <c r="E25841" s="2">
        <v>1269057</v>
      </c>
      <c r="F25841" s="4" t="e">
        <f>IF(B25841=#REF!,"",B25841)</f>
        <v>#REF!</v>
      </c>
    </row>
    <row r="25842" spans="1:6" ht="15.75" customHeight="1">
      <c r="A25842" s="15" t="s">
        <v>11656</v>
      </c>
      <c r="B25842" s="15" t="s">
        <v>11656</v>
      </c>
      <c r="C25842" s="15" t="s">
        <v>10178</v>
      </c>
      <c r="D25842" s="15" t="s">
        <v>10209</v>
      </c>
      <c r="E25842" s="2">
        <v>1269065</v>
      </c>
      <c r="F25842" s="4" t="str">
        <f>IF(B25842=B25841,"",B25842)</f>
        <v>Jetpur</v>
      </c>
    </row>
    <row r="25843" spans="1:6" ht="15.75" customHeight="1">
      <c r="A25843" s="16" t="str">
        <f ca="1">IFERROR(__xludf.DUMMYFUNCTION("GOOGLETRANSLATE(B27163,""en"",""pt"")"),"Jesús Menéndez")</f>
        <v>Jesús Menéndez</v>
      </c>
      <c r="B25843" s="20" t="s">
        <v>31918</v>
      </c>
      <c r="C25843" s="20" t="s">
        <v>5764</v>
      </c>
      <c r="D25843" s="20" t="s">
        <v>5773</v>
      </c>
      <c r="E25843" s="10">
        <v>3556268</v>
      </c>
      <c r="F25843" s="4" t="e">
        <f>IF(B25843=#REF!,"",B25843)</f>
        <v>#REF!</v>
      </c>
    </row>
    <row r="25844" spans="1:6" ht="15.75" customHeight="1">
      <c r="A25844" s="16" t="str">
        <f ca="1">IFERROR(__xludf.DUMMYFUNCTION("GOOGLETRANSLATE(B23315,""en"",""pt"")"),"Jesús María")</f>
        <v>Jesús María</v>
      </c>
      <c r="B25844" s="20" t="s">
        <v>31205</v>
      </c>
      <c r="C25844" s="20" t="s">
        <v>558</v>
      </c>
      <c r="D25844" s="20" t="s">
        <v>573</v>
      </c>
      <c r="E25844" s="10">
        <v>3853510</v>
      </c>
      <c r="F25844" s="4" t="str">
        <f>IF(B25844=B25843,"",B25844)</f>
        <v>Jesús María</v>
      </c>
    </row>
    <row r="25845" spans="1:6" ht="15.75" customHeight="1">
      <c r="A25845" s="16" t="str">
        <f ca="1">IFERROR(__xludf.DUMMYFUNCTION("GOOGLETRANSLATE(B37380,""en"",""pt"")"),"Jesús del Monte")</f>
        <v>Jesús del Monte</v>
      </c>
      <c r="B25845" s="20" t="s">
        <v>34792</v>
      </c>
      <c r="C25845" s="20" t="s">
        <v>17707</v>
      </c>
      <c r="D25845" s="20" t="s">
        <v>20902</v>
      </c>
      <c r="E25845" s="10">
        <v>8858103</v>
      </c>
      <c r="F25845" s="4" t="e">
        <f>IF(B25845=#REF!,"",B25845)</f>
        <v>#REF!</v>
      </c>
    </row>
    <row r="25846" spans="1:6" ht="15.75" customHeight="1">
      <c r="A25846" s="15" t="s">
        <v>1352</v>
      </c>
      <c r="B25846" s="15" t="s">
        <v>1352</v>
      </c>
      <c r="C25846" s="15" t="s">
        <v>1296</v>
      </c>
      <c r="D25846" s="15" t="s">
        <v>1315</v>
      </c>
      <c r="E25846" s="2">
        <v>1336140</v>
      </c>
      <c r="F25846" s="4" t="e">
        <f>IF(B25846=#REF!,"",B25846)</f>
        <v>#REF!</v>
      </c>
    </row>
    <row r="25847" spans="1:6" ht="15.75" customHeight="1">
      <c r="A25847" s="15" t="s">
        <v>15204</v>
      </c>
      <c r="B25847" s="15" t="s">
        <v>15204</v>
      </c>
      <c r="C25847" s="15" t="s">
        <v>14891</v>
      </c>
      <c r="D25847" s="15" t="s">
        <v>14931</v>
      </c>
      <c r="E25847" s="2">
        <v>3175628</v>
      </c>
      <c r="F25847" s="4" t="str">
        <f>IF(B25847=B25846,"",B25847)</f>
        <v>Jesi</v>
      </c>
    </row>
    <row r="25848" spans="1:6" ht="15.75" customHeight="1">
      <c r="A25848" s="16" t="s">
        <v>5855</v>
      </c>
      <c r="B25848" s="15" t="s">
        <v>5856</v>
      </c>
      <c r="C25848" s="16" t="s">
        <v>5764</v>
      </c>
      <c r="D25848" s="16" t="s">
        <v>5773</v>
      </c>
      <c r="E25848" s="2">
        <v>3556268</v>
      </c>
      <c r="F25848" s="4" t="e">
        <f>IF(B25848=#REF!,"",B25848)</f>
        <v>#REF!</v>
      </c>
    </row>
    <row r="25849" spans="1:6" ht="15.75" customHeight="1">
      <c r="A25849" s="16" t="s">
        <v>683</v>
      </c>
      <c r="B25849" s="15" t="s">
        <v>684</v>
      </c>
      <c r="C25849" s="16" t="s">
        <v>558</v>
      </c>
      <c r="D25849" s="16" t="s">
        <v>573</v>
      </c>
      <c r="E25849" s="2">
        <v>3853510</v>
      </c>
      <c r="F25849" s="4" t="str">
        <f>IF(B25849=B25848,"",B25849)</f>
        <v>JesÃºs MarÃ­a</v>
      </c>
    </row>
    <row r="25850" spans="1:6" ht="15.75" customHeight="1">
      <c r="A25850" s="16" t="s">
        <v>18017</v>
      </c>
      <c r="B25850" s="15" t="s">
        <v>18018</v>
      </c>
      <c r="C25850" s="16" t="s">
        <v>17707</v>
      </c>
      <c r="D25850" s="16" t="s">
        <v>17736</v>
      </c>
      <c r="E25850" s="2">
        <v>8858103</v>
      </c>
      <c r="F25850" s="4" t="e">
        <f>IF(B25850=#REF!,"",B25850)</f>
        <v>#REF!</v>
      </c>
    </row>
    <row r="25851" spans="1:6" ht="15.75" customHeight="1">
      <c r="A25851" s="16" t="s">
        <v>14815</v>
      </c>
      <c r="B25851" s="15" t="s">
        <v>14781</v>
      </c>
      <c r="C25851" s="16" t="s">
        <v>14773</v>
      </c>
      <c r="D25851" s="16" t="s">
        <v>14781</v>
      </c>
      <c r="E25851" s="2">
        <v>281184</v>
      </c>
      <c r="F25851" s="4" t="e">
        <f>IF(B25851=#REF!,"",B25851)</f>
        <v>#REF!</v>
      </c>
    </row>
    <row r="25852" spans="1:6" ht="15.75" customHeight="1">
      <c r="A25852" s="16" t="s">
        <v>28980</v>
      </c>
      <c r="B25852" s="15" t="s">
        <v>28981</v>
      </c>
      <c r="C25852" s="16" t="s">
        <v>27788</v>
      </c>
      <c r="D25852" s="16" t="s">
        <v>27905</v>
      </c>
      <c r="E25852" s="2">
        <v>5099836</v>
      </c>
      <c r="F25852" s="4" t="e">
        <f>IF(B25852=#REF!,"",B25852)</f>
        <v>#REF!</v>
      </c>
    </row>
    <row r="25853" spans="1:6" ht="15.75" customHeight="1">
      <c r="A25853" s="15" t="s">
        <v>20352</v>
      </c>
      <c r="B25853" s="15" t="s">
        <v>20353</v>
      </c>
      <c r="C25853" s="15" t="s">
        <v>20297</v>
      </c>
      <c r="D25853" s="15" t="s">
        <v>20298</v>
      </c>
      <c r="E25853" s="2">
        <v>284899</v>
      </c>
      <c r="F25853" s="4" t="e">
        <f>IF(B25853=#REF!,"",B25853)</f>
        <v>#REF!</v>
      </c>
    </row>
    <row r="25854" spans="1:6" ht="15.75" customHeight="1">
      <c r="A25854" s="16" t="s">
        <v>24524</v>
      </c>
      <c r="B25854" s="15" t="s">
        <v>24524</v>
      </c>
      <c r="C25854" s="16" t="s">
        <v>24200</v>
      </c>
      <c r="D25854" s="16" t="s">
        <v>24205</v>
      </c>
      <c r="E25854" s="2">
        <v>2516326</v>
      </c>
      <c r="F25854" s="4" t="str">
        <f>IF(B25854=B25853,"",B25854)</f>
        <v>Jerez de la Frontera</v>
      </c>
    </row>
    <row r="25855" spans="1:6" ht="15.75" customHeight="1">
      <c r="A25855" s="16" t="str">
        <f ca="1">IFERROR(__xludf.DUMMYFUNCTION("GOOGLETRANSLATE(B37271,""en"",""pt"")"),"Jerez de García Salinas")</f>
        <v>Jerez de García Salinas</v>
      </c>
      <c r="B25855" s="20" t="s">
        <v>34762</v>
      </c>
      <c r="C25855" s="20" t="s">
        <v>17707</v>
      </c>
      <c r="D25855" s="20" t="s">
        <v>17943</v>
      </c>
      <c r="E25855" s="10">
        <v>4004024</v>
      </c>
      <c r="F25855" s="4" t="str">
        <f>IF(B25855=B25854,"",B25855)</f>
        <v>Jerez de García Salinas</v>
      </c>
    </row>
    <row r="25856" spans="1:6" ht="15.75" customHeight="1">
      <c r="A25856" s="16" t="s">
        <v>18015</v>
      </c>
      <c r="B25856" s="15" t="s">
        <v>18016</v>
      </c>
      <c r="C25856" s="16" t="s">
        <v>17707</v>
      </c>
      <c r="D25856" s="16" t="s">
        <v>17943</v>
      </c>
      <c r="E25856" s="2">
        <v>4004024</v>
      </c>
      <c r="F25856" s="4" t="e">
        <f>IF(B25856=#REF!,"",B25856)</f>
        <v>#REF!</v>
      </c>
    </row>
    <row r="25857" spans="1:6" ht="15.75" customHeight="1">
      <c r="A25857" s="16" t="s">
        <v>2757</v>
      </c>
      <c r="B25857" s="15" t="s">
        <v>2757</v>
      </c>
      <c r="C25857" s="16" t="s">
        <v>1905</v>
      </c>
      <c r="D25857" s="16" t="s">
        <v>1947</v>
      </c>
      <c r="E25857" s="2">
        <v>3459922</v>
      </c>
      <c r="F25857" s="4" t="str">
        <f>IF(B25857=B25856,"",B25857)</f>
        <v>Jeremoabo</v>
      </c>
    </row>
    <row r="25858" spans="1:6" ht="15.75" customHeight="1">
      <c r="A25858" s="16" t="str">
        <f ca="1">IFERROR(__xludf.DUMMYFUNCTION("GOOGLETRANSLATE(B31225,""en"",""pt"")"),"Jérémie")</f>
        <v>Jérémie</v>
      </c>
      <c r="B25858" s="20" t="s">
        <v>32818</v>
      </c>
      <c r="C25858" s="20" t="s">
        <v>9866</v>
      </c>
      <c r="D25858" s="20" t="s">
        <v>32819</v>
      </c>
      <c r="E25858" s="10">
        <v>3723593</v>
      </c>
      <c r="F25858" s="4" t="e">
        <f>IF(B25858=#REF!,"",B25858)</f>
        <v>#REF!</v>
      </c>
    </row>
    <row r="25859" spans="1:6" ht="15.75" customHeight="1">
      <c r="A25859" s="15" t="s">
        <v>17474</v>
      </c>
      <c r="B25859" s="15" t="s">
        <v>17474</v>
      </c>
      <c r="C25859" s="15" t="s">
        <v>17432</v>
      </c>
      <c r="D25859" s="15" t="s">
        <v>17456</v>
      </c>
      <c r="E25859" s="2">
        <v>1732602</v>
      </c>
      <c r="F25859" s="4" t="e">
        <f>IF(B25859=#REF!,"",B25859)</f>
        <v>#REF!</v>
      </c>
    </row>
    <row r="25860" spans="1:6" ht="15.75" customHeight="1">
      <c r="A25860" s="15" t="s">
        <v>18593</v>
      </c>
      <c r="B25860" s="15" t="s">
        <v>18593</v>
      </c>
      <c r="C25860" s="15" t="s">
        <v>18551</v>
      </c>
      <c r="D25860" s="15" t="s">
        <v>18554</v>
      </c>
      <c r="E25860" s="2">
        <v>2545017</v>
      </c>
      <c r="F25860" s="4" t="e">
        <f>IF(B25860=#REF!,"",B25860)</f>
        <v>#REF!</v>
      </c>
    </row>
    <row r="25861" spans="1:6" ht="15.75" customHeight="1">
      <c r="A25861" s="16" t="s">
        <v>2756</v>
      </c>
      <c r="B25861" s="15" t="s">
        <v>2756</v>
      </c>
      <c r="C25861" s="16" t="s">
        <v>1905</v>
      </c>
      <c r="D25861" s="16" t="s">
        <v>1917</v>
      </c>
      <c r="E25861" s="2">
        <v>3459925</v>
      </c>
      <c r="F25861" s="4" t="str">
        <f>IF(B25861=B25860,"",B25861)</f>
        <v>Jequitinhonha</v>
      </c>
    </row>
    <row r="25862" spans="1:6" ht="15.75" customHeight="1">
      <c r="A25862" s="16" t="str">
        <f ca="1">IFERROR(__xludf.DUMMYFUNCTION("GOOGLETRANSLATE(B24887,""en"",""pt"")"),"Jequié")</f>
        <v>Jequié</v>
      </c>
      <c r="B25862" s="20" t="s">
        <v>2754</v>
      </c>
      <c r="C25862" s="20" t="s">
        <v>1905</v>
      </c>
      <c r="D25862" s="20" t="s">
        <v>1947</v>
      </c>
      <c r="E25862" s="10">
        <v>3459943</v>
      </c>
      <c r="F25862" s="4" t="str">
        <f>IF(B25862=B25861,"",B25862)</f>
        <v>Jequié</v>
      </c>
    </row>
    <row r="25863" spans="1:6" ht="15.75" customHeight="1">
      <c r="A25863" s="15" t="s">
        <v>2754</v>
      </c>
      <c r="B25863" s="15" t="s">
        <v>2755</v>
      </c>
      <c r="C25863" s="15" t="s">
        <v>1905</v>
      </c>
      <c r="D25863" s="15" t="s">
        <v>1947</v>
      </c>
      <c r="E25863" s="2">
        <v>3459943</v>
      </c>
      <c r="F25863" s="4" t="e">
        <f>IF(B25863=#REF!,"",B25863)</f>
        <v>#REF!</v>
      </c>
    </row>
    <row r="25864" spans="1:6" ht="15.75" customHeight="1">
      <c r="A25864" s="15" t="s">
        <v>24097</v>
      </c>
      <c r="B25864" s="15" t="s">
        <v>24097</v>
      </c>
      <c r="C25864" s="15" t="s">
        <v>24024</v>
      </c>
      <c r="D25864" s="15" t="s">
        <v>24042</v>
      </c>
      <c r="E25864" s="2">
        <v>1845457</v>
      </c>
      <c r="F25864" s="4" t="e">
        <f>IF(B25864=#REF!,"",B25864)</f>
        <v>#REF!</v>
      </c>
    </row>
    <row r="25865" spans="1:6" ht="15.75" customHeight="1">
      <c r="A25865" s="15" t="s">
        <v>24096</v>
      </c>
      <c r="B25865" s="15" t="s">
        <v>24096</v>
      </c>
      <c r="C25865" s="15" t="s">
        <v>24024</v>
      </c>
      <c r="D25865" s="15" t="s">
        <v>24025</v>
      </c>
      <c r="E25865" s="2">
        <v>1835967</v>
      </c>
      <c r="F25865" s="4" t="e">
        <f>IF(B25865=#REF!,"",B25865)</f>
        <v>#REF!</v>
      </c>
    </row>
    <row r="25866" spans="1:6" ht="15.75" customHeight="1">
      <c r="A25866" s="15" t="s">
        <v>28979</v>
      </c>
      <c r="B25866" s="15" t="s">
        <v>28979</v>
      </c>
      <c r="C25866" s="15" t="s">
        <v>27788</v>
      </c>
      <c r="D25866" s="15" t="s">
        <v>27797</v>
      </c>
      <c r="E25866" s="2">
        <v>4539615</v>
      </c>
      <c r="F25866" s="4" t="e">
        <f>IF(B25866=#REF!,"",B25866)</f>
        <v>#REF!</v>
      </c>
    </row>
    <row r="25867" spans="1:6" ht="15.75" customHeight="1">
      <c r="A25867" s="15" t="s">
        <v>17473</v>
      </c>
      <c r="B25867" s="15" t="s">
        <v>17473</v>
      </c>
      <c r="C25867" s="15" t="s">
        <v>17432</v>
      </c>
      <c r="D25867" s="15" t="s">
        <v>17446</v>
      </c>
      <c r="E25867" s="2">
        <v>1734793</v>
      </c>
      <c r="F25867" s="4" t="e">
        <f>IF(B25867=#REF!,"",B25867)</f>
        <v>#REF!</v>
      </c>
    </row>
    <row r="25868" spans="1:6" ht="15.75" customHeight="1">
      <c r="A25868" s="15" t="s">
        <v>28978</v>
      </c>
      <c r="B25868" s="15" t="s">
        <v>28978</v>
      </c>
      <c r="C25868" s="15" t="s">
        <v>27788</v>
      </c>
      <c r="D25868" s="15" t="s">
        <v>27804</v>
      </c>
      <c r="E25868" s="2">
        <v>4997500</v>
      </c>
      <c r="F25868" s="4" t="e">
        <f>IF(B25868=#REF!,"",B25868)</f>
        <v>#REF!</v>
      </c>
    </row>
    <row r="25869" spans="1:6" ht="15.75" customHeight="1">
      <c r="A25869" s="15" t="s">
        <v>26141</v>
      </c>
      <c r="B25869" s="15" t="s">
        <v>26141</v>
      </c>
      <c r="C25869" s="15" t="s">
        <v>26090</v>
      </c>
      <c r="D25869" s="15" t="s">
        <v>26142</v>
      </c>
      <c r="E25869" s="2">
        <v>2470088</v>
      </c>
      <c r="F25869" s="4" t="e">
        <f>IF(B25869=#REF!,"",B25869)</f>
        <v>#REF!</v>
      </c>
    </row>
    <row r="25870" spans="1:6" ht="15.75" customHeight="1">
      <c r="A25870" s="15" t="s">
        <v>8630</v>
      </c>
      <c r="B25870" s="15" t="s">
        <v>8630</v>
      </c>
      <c r="C25870" s="15" t="s">
        <v>8028</v>
      </c>
      <c r="D25870" s="15" t="s">
        <v>8054</v>
      </c>
      <c r="E25870" s="2">
        <v>2895044</v>
      </c>
      <c r="F25870" s="4" t="e">
        <f>IF(B25870=#REF!,"",B25870)</f>
        <v>#REF!</v>
      </c>
    </row>
    <row r="25871" spans="1:6" ht="15.75" customHeight="1">
      <c r="A25871" s="15" t="s">
        <v>13947</v>
      </c>
      <c r="B25871" s="15" t="s">
        <v>13948</v>
      </c>
      <c r="C25871" s="15" t="s">
        <v>13800</v>
      </c>
      <c r="D25871" s="15" t="s">
        <v>13816</v>
      </c>
      <c r="E25871" s="2">
        <v>1642588</v>
      </c>
      <c r="F25871" s="4" t="e">
        <f>IF(B25871=#REF!,"",B25871)</f>
        <v>#REF!</v>
      </c>
    </row>
    <row r="25872" spans="1:6" ht="15.75" customHeight="1">
      <c r="A25872" s="15" t="s">
        <v>16991</v>
      </c>
      <c r="B25872" s="15" t="s">
        <v>16991</v>
      </c>
      <c r="C25872" s="15" t="s">
        <v>16982</v>
      </c>
      <c r="D25872" s="15" t="s">
        <v>16991</v>
      </c>
      <c r="E25872" s="2">
        <v>459279</v>
      </c>
      <c r="F25872" s="4" t="str">
        <f>IF(B25872=B25871,"",B25872)</f>
        <v>Jelgava</v>
      </c>
    </row>
    <row r="25873" spans="1:6" ht="15.75" customHeight="1">
      <c r="A25873" s="16" t="str">
        <f ca="1">IFERROR(__xludf.DUMMYFUNCTION("GOOGLETRANSLATE(B39442,""en"",""pt"")"),"Jelenia Góra")</f>
        <v>Jelenia Góra</v>
      </c>
      <c r="B25873" s="20" t="s">
        <v>35220</v>
      </c>
      <c r="C25873" s="20" t="s">
        <v>21064</v>
      </c>
      <c r="D25873" s="20" t="s">
        <v>21118</v>
      </c>
      <c r="E25873" s="10">
        <v>3097257</v>
      </c>
      <c r="F25873" s="4" t="str">
        <f>IF(B25873=B25872,"",B25873)</f>
        <v>Jelenia Góra</v>
      </c>
    </row>
    <row r="25874" spans="1:6" ht="15.75" customHeight="1">
      <c r="A25874" s="16" t="s">
        <v>21269</v>
      </c>
      <c r="B25874" s="15" t="s">
        <v>21270</v>
      </c>
      <c r="C25874" s="16" t="s">
        <v>21064</v>
      </c>
      <c r="D25874" s="16" t="s">
        <v>21118</v>
      </c>
      <c r="E25874" s="2">
        <v>3097257</v>
      </c>
      <c r="F25874" s="4" t="e">
        <f>IF(B25874=#REF!,"",B25874)</f>
        <v>#REF!</v>
      </c>
    </row>
    <row r="25875" spans="1:6" ht="15.75" customHeight="1">
      <c r="A25875" s="16" t="s">
        <v>21268</v>
      </c>
      <c r="B25875" s="15" t="s">
        <v>21268</v>
      </c>
      <c r="C25875" s="16" t="s">
        <v>21064</v>
      </c>
      <c r="D25875" s="16" t="s">
        <v>21118</v>
      </c>
      <c r="E25875" s="2">
        <v>7303641</v>
      </c>
      <c r="F25875" s="4" t="e">
        <f>IF(B25875=#REF!,"",B25875)</f>
        <v>#REF!</v>
      </c>
    </row>
    <row r="25876" spans="1:6" ht="15.75" customHeight="1">
      <c r="A25876" s="15" t="s">
        <v>21267</v>
      </c>
      <c r="B25876" s="15" t="s">
        <v>21267</v>
      </c>
      <c r="C25876" s="15" t="s">
        <v>21064</v>
      </c>
      <c r="D25876" s="15" t="s">
        <v>21118</v>
      </c>
      <c r="E25876" s="2">
        <v>3097271</v>
      </c>
      <c r="F25876" s="4" t="e">
        <f>IF(B25876=#REF!,"",B25876)</f>
        <v>#REF!</v>
      </c>
    </row>
    <row r="25877" spans="1:6" ht="15.75" customHeight="1">
      <c r="A25877" s="15" t="s">
        <v>13946</v>
      </c>
      <c r="B25877" s="15" t="s">
        <v>13946</v>
      </c>
      <c r="C25877" s="15" t="s">
        <v>13800</v>
      </c>
      <c r="D25877" s="15" t="s">
        <v>13803</v>
      </c>
      <c r="E25877" s="2">
        <v>1642628</v>
      </c>
      <c r="F25877" s="4" t="str">
        <f>IF(B25877=B25876,"",B25877)</f>
        <v>Jekulo</v>
      </c>
    </row>
    <row r="25878" spans="1:6" ht="15.75" customHeight="1">
      <c r="A25878" s="16" t="str">
        <f ca="1">IFERROR(__xludf.DUMMYFUNCTION("GOOGLETRANSLATE(B36409,""en"",""pt"")"),"Jēkabpils")</f>
        <v>Jēkabpils</v>
      </c>
      <c r="B25878" s="20" t="s">
        <v>34548</v>
      </c>
      <c r="C25878" s="20" t="s">
        <v>16982</v>
      </c>
      <c r="D25878" s="20" t="s">
        <v>34549</v>
      </c>
      <c r="E25878" s="10">
        <v>459283</v>
      </c>
      <c r="F25878" s="4" t="e">
        <f>IF(B25878=#REF!,"",B25878)</f>
        <v>#REF!</v>
      </c>
    </row>
    <row r="25879" spans="1:6" ht="15.75" customHeight="1">
      <c r="A25879" s="16" t="s">
        <v>24094</v>
      </c>
      <c r="B25879" s="15" t="s">
        <v>24095</v>
      </c>
      <c r="C25879" s="16" t="s">
        <v>24024</v>
      </c>
      <c r="D25879" s="16" t="s">
        <v>24062</v>
      </c>
      <c r="E25879" s="2">
        <v>1846266</v>
      </c>
      <c r="F25879" s="4" t="e">
        <f>IF(B25879=#REF!,"",B25879)</f>
        <v>#REF!</v>
      </c>
    </row>
    <row r="25880" spans="1:6" ht="15.75" customHeight="1">
      <c r="A25880" s="15" t="s">
        <v>19468</v>
      </c>
      <c r="B25880" s="15" t="s">
        <v>19469</v>
      </c>
      <c r="C25880" s="15" t="s">
        <v>19294</v>
      </c>
      <c r="D25880" s="15" t="s">
        <v>19325</v>
      </c>
      <c r="E25880" s="2">
        <v>2336237</v>
      </c>
      <c r="F25880" s="4" t="e">
        <f>IF(B25880=#REF!,"",B25880)</f>
        <v>#REF!</v>
      </c>
    </row>
    <row r="25881" spans="1:6" ht="15.75" customHeight="1">
      <c r="A25881" s="16" t="s">
        <v>28977</v>
      </c>
      <c r="B25881" s="15" t="s">
        <v>28977</v>
      </c>
      <c r="C25881" s="16" t="s">
        <v>27788</v>
      </c>
      <c r="D25881" s="16" t="s">
        <v>27869</v>
      </c>
      <c r="E25881" s="2">
        <v>4259671</v>
      </c>
      <c r="F25881" s="4" t="e">
        <f>IF(B25881=#REF!,"",B25881)</f>
        <v>#REF!</v>
      </c>
    </row>
    <row r="25882" spans="1:6" ht="15.75" customHeight="1">
      <c r="A25882" s="16" t="s">
        <v>28976</v>
      </c>
      <c r="B25882" s="15" t="s">
        <v>28976</v>
      </c>
      <c r="C25882" s="16" t="s">
        <v>27788</v>
      </c>
      <c r="D25882" s="16" t="s">
        <v>27909</v>
      </c>
      <c r="E25882" s="2">
        <v>4296218</v>
      </c>
      <c r="F25882" s="4" t="e">
        <f>IF(B25882=#REF!,"",B25882)</f>
        <v>#REF!</v>
      </c>
    </row>
    <row r="25883" spans="1:6" ht="15.75" customHeight="1">
      <c r="A25883" s="16" t="s">
        <v>28975</v>
      </c>
      <c r="B25883" s="15" t="s">
        <v>28975</v>
      </c>
      <c r="C25883" s="16" t="s">
        <v>27788</v>
      </c>
      <c r="D25883" s="16" t="s">
        <v>27806</v>
      </c>
      <c r="E25883" s="2">
        <v>4392388</v>
      </c>
      <c r="F25883" s="4" t="str">
        <f>IF(B25883=B25882,"",B25883)</f>
        <v>Jefferson City</v>
      </c>
    </row>
    <row r="25884" spans="1:6" ht="15.75" customHeight="1">
      <c r="A25884" s="16" t="str">
        <f ca="1">IFERROR(__xludf.DUMMYFUNCTION("GOOGLETRANSLATE(B39270,""en"",""pt"")"),"Jędrzejów")</f>
        <v>Jędrzejów</v>
      </c>
      <c r="B25884" s="20" t="s">
        <v>35117</v>
      </c>
      <c r="C25884" s="20" t="s">
        <v>21064</v>
      </c>
      <c r="D25884" s="20" t="s">
        <v>35079</v>
      </c>
      <c r="E25884" s="10">
        <v>770157</v>
      </c>
      <c r="F25884" s="4" t="e">
        <f>IF(B25884=#REF!,"",B25884)</f>
        <v>#REF!</v>
      </c>
    </row>
    <row r="25885" spans="1:6" ht="15.75" customHeight="1">
      <c r="A25885" s="15" t="s">
        <v>23529</v>
      </c>
      <c r="B25885" s="15" t="s">
        <v>23529</v>
      </c>
      <c r="C25885" s="15" t="s">
        <v>23454</v>
      </c>
      <c r="D25885" s="15" t="s">
        <v>23491</v>
      </c>
      <c r="E25885" s="2">
        <v>105343</v>
      </c>
      <c r="F25885" s="4" t="e">
        <f>IF(B25885=#REF!,"",B25885)</f>
        <v>#REF!</v>
      </c>
    </row>
    <row r="25886" spans="1:6" ht="15.75" customHeight="1">
      <c r="A25886" s="15" t="s">
        <v>19467</v>
      </c>
      <c r="B25886" s="15" t="s">
        <v>19467</v>
      </c>
      <c r="C25886" s="15" t="s">
        <v>19294</v>
      </c>
      <c r="D25886" s="15" t="s">
        <v>19355</v>
      </c>
      <c r="E25886" s="2">
        <v>2336251</v>
      </c>
      <c r="F25886" s="4" t="str">
        <f>IF(B25886=B25885,"",B25886)</f>
        <v>Jebba</v>
      </c>
    </row>
    <row r="25887" spans="1:6" ht="15.75" customHeight="1">
      <c r="A25887" s="16" t="str">
        <f ca="1">IFERROR(__xludf.DUMMYFUNCTION("GOOGLETRANSLATE(B36281,""en"",""pt"")"),"JBAïl")</f>
        <v>JBAïl</v>
      </c>
      <c r="B25887" s="20" t="s">
        <v>34516</v>
      </c>
      <c r="C25887" s="20" t="s">
        <v>17008</v>
      </c>
      <c r="D25887" s="20" t="s">
        <v>17017</v>
      </c>
      <c r="E25887" s="10">
        <v>273203</v>
      </c>
      <c r="F25887" s="4" t="str">
        <f>IF(B25887=B25886,"",B25887)</f>
        <v>Jbaïl</v>
      </c>
    </row>
    <row r="25888" spans="1:6" ht="15.75" customHeight="1">
      <c r="A25888" s="15" t="s">
        <v>17024</v>
      </c>
      <c r="B25888" s="15" t="s">
        <v>17025</v>
      </c>
      <c r="C25888" s="15" t="s">
        <v>17008</v>
      </c>
      <c r="D25888" s="15" t="s">
        <v>17017</v>
      </c>
      <c r="E25888" s="2">
        <v>273203</v>
      </c>
      <c r="F25888" s="4" t="str">
        <f>IF(B25888=B25887,"",B25888)</f>
        <v>JbaÃ¯l</v>
      </c>
    </row>
    <row r="25889" spans="1:6" ht="15.75" customHeight="1">
      <c r="A25889" s="16" t="str">
        <f ca="1">IFERROR(__xludf.DUMMYFUNCTION("GOOGLETRANSLATE(B41420,""en"",""pt"")"),"Jayrūd")</f>
        <v>Jayrūd</v>
      </c>
      <c r="B25889" s="20" t="s">
        <v>35743</v>
      </c>
      <c r="C25889" s="20" t="s">
        <v>25366</v>
      </c>
      <c r="D25889" s="20" t="s">
        <v>25372</v>
      </c>
      <c r="E25889" s="10">
        <v>169113</v>
      </c>
      <c r="F25889" s="4" t="str">
        <f>IF(B25889=B25888,"",B25889)</f>
        <v>Jayrūd</v>
      </c>
    </row>
    <row r="25890" spans="1:6" ht="15.75" customHeight="1">
      <c r="A25890" s="15" t="s">
        <v>25458</v>
      </c>
      <c r="B25890" s="15" t="s">
        <v>25459</v>
      </c>
      <c r="C25890" s="15" t="s">
        <v>25366</v>
      </c>
      <c r="D25890" s="15" t="s">
        <v>25372</v>
      </c>
      <c r="E25890" s="2">
        <v>169113</v>
      </c>
      <c r="F25890" s="4" t="e">
        <f>IF(B25890=#REF!,"",B25890)</f>
        <v>#REF!</v>
      </c>
    </row>
    <row r="25891" spans="1:6" ht="15.75" customHeight="1">
      <c r="A25891" s="16" t="s">
        <v>11655</v>
      </c>
      <c r="B25891" s="15" t="s">
        <v>11655</v>
      </c>
      <c r="C25891" s="16" t="s">
        <v>10178</v>
      </c>
      <c r="D25891" s="16" t="s">
        <v>10201</v>
      </c>
      <c r="E25891" s="2">
        <v>1269094</v>
      </c>
      <c r="F25891" s="4" t="e">
        <f>IF(B25891=#REF!,"",B25891)</f>
        <v>#REF!</v>
      </c>
    </row>
    <row r="25892" spans="1:6" ht="15.75" customHeight="1">
      <c r="A25892" s="15" t="s">
        <v>11654</v>
      </c>
      <c r="B25892" s="15" t="s">
        <v>11654</v>
      </c>
      <c r="C25892" s="15" t="s">
        <v>10178</v>
      </c>
      <c r="D25892" s="15" t="s">
        <v>10317</v>
      </c>
      <c r="E25892" s="2">
        <v>1269093</v>
      </c>
      <c r="F25892" s="4" t="e">
        <f>IF(B25892=#REF!,"",B25892)</f>
        <v>#REF!</v>
      </c>
    </row>
    <row r="25893" spans="1:6" ht="15.75" customHeight="1">
      <c r="A25893" s="15" t="s">
        <v>13945</v>
      </c>
      <c r="B25893" s="15" t="s">
        <v>13945</v>
      </c>
      <c r="C25893" s="15" t="s">
        <v>13800</v>
      </c>
      <c r="D25893" s="15" t="s">
        <v>13801</v>
      </c>
      <c r="E25893" s="2">
        <v>2082600</v>
      </c>
      <c r="F25893" s="4" t="e">
        <f>IF(B25893=#REF!,"",B25893)</f>
        <v>#REF!</v>
      </c>
    </row>
    <row r="25894" spans="1:6" ht="15.75" customHeight="1">
      <c r="A25894" s="16" t="s">
        <v>11653</v>
      </c>
      <c r="B25894" s="15" t="s">
        <v>11653</v>
      </c>
      <c r="C25894" s="16" t="s">
        <v>10178</v>
      </c>
      <c r="D25894" s="16" t="s">
        <v>10196</v>
      </c>
      <c r="E25894" s="2">
        <v>1269102</v>
      </c>
      <c r="F25894" s="4" t="e">
        <f>IF(B25894=#REF!,"",B25894)</f>
        <v>#REF!</v>
      </c>
    </row>
    <row r="25895" spans="1:6" ht="15.75" customHeight="1">
      <c r="A25895" s="15" t="s">
        <v>21266</v>
      </c>
      <c r="B25895" s="15" t="s">
        <v>21266</v>
      </c>
      <c r="C25895" s="15" t="s">
        <v>21064</v>
      </c>
      <c r="D25895" s="15" t="s">
        <v>21073</v>
      </c>
      <c r="E25895" s="2">
        <v>3097333</v>
      </c>
      <c r="F25895" s="4" t="e">
        <f>IF(B25895=#REF!,"",B25895)</f>
        <v>#REF!</v>
      </c>
    </row>
    <row r="25896" spans="1:6" ht="15.75" customHeight="1">
      <c r="A25896" s="15" t="s">
        <v>21265</v>
      </c>
      <c r="B25896" s="15" t="s">
        <v>21265</v>
      </c>
      <c r="C25896" s="15" t="s">
        <v>21064</v>
      </c>
      <c r="D25896" s="15" t="s">
        <v>21118</v>
      </c>
      <c r="E25896" s="2">
        <v>3097367</v>
      </c>
      <c r="F25896" s="4" t="e">
        <f>IF(B25896=#REF!,"",B25896)</f>
        <v>#REF!</v>
      </c>
    </row>
    <row r="25897" spans="1:6" ht="15.75" customHeight="1">
      <c r="A25897" s="15" t="s">
        <v>23827</v>
      </c>
      <c r="B25897" s="15" t="s">
        <v>23827</v>
      </c>
      <c r="C25897" s="15" t="s">
        <v>23800</v>
      </c>
      <c r="D25897" s="15" t="s">
        <v>23828</v>
      </c>
      <c r="E25897" s="2">
        <v>56335</v>
      </c>
      <c r="F25897" s="4" t="str">
        <f>IF(B25897=B25896,"",B25897)</f>
        <v>Jawhar</v>
      </c>
    </row>
    <row r="25898" spans="1:6" ht="15.75" customHeight="1">
      <c r="A25898" s="16" t="str">
        <f ca="1">IFERROR(__xludf.DUMMYFUNCTION("GOOGLETRANSLATE(B33252,""en"",""pt"")"),"Jāwad")</f>
        <v>Jāwad</v>
      </c>
      <c r="B25898" s="20" t="s">
        <v>33617</v>
      </c>
      <c r="C25898" s="20" t="s">
        <v>10178</v>
      </c>
      <c r="D25898" s="20" t="s">
        <v>10219</v>
      </c>
      <c r="E25898" s="10">
        <v>1269126</v>
      </c>
      <c r="F25898" s="4" t="e">
        <f>IF(B25898=#REF!,"",B25898)</f>
        <v>#REF!</v>
      </c>
    </row>
    <row r="25899" spans="1:6" ht="15.75" customHeight="1">
      <c r="A25899" s="15" t="s">
        <v>24523</v>
      </c>
      <c r="B25899" s="15" t="s">
        <v>24523</v>
      </c>
      <c r="C25899" s="15" t="s">
        <v>24200</v>
      </c>
      <c r="D25899" s="15" t="s">
        <v>21053</v>
      </c>
      <c r="E25899" s="2">
        <v>2516336</v>
      </c>
      <c r="F25899" s="4" t="str">
        <f>IF(B25899=B25898,"",B25899)</f>
        <v>Javea</v>
      </c>
    </row>
    <row r="25900" spans="1:6" ht="15.75" customHeight="1">
      <c r="A25900" s="16" t="str">
        <f ca="1">IFERROR(__xludf.DUMMYFUNCTION("GOOGLETRANSLATE(B34441,""en"",""pt"")"),"Javānrūd")</f>
        <v>Javānrūd</v>
      </c>
      <c r="B25900" s="20" t="s">
        <v>34193</v>
      </c>
      <c r="C25900" s="20" t="s">
        <v>14240</v>
      </c>
      <c r="D25900" s="20" t="s">
        <v>34120</v>
      </c>
      <c r="E25900" s="10">
        <v>130245</v>
      </c>
      <c r="F25900" s="4" t="str">
        <f>IF(B25900=B25899,"",B25900)</f>
        <v>Javānrūd</v>
      </c>
    </row>
    <row r="25901" spans="1:6" ht="15.75" customHeight="1">
      <c r="A25901" s="16" t="s">
        <v>14407</v>
      </c>
      <c r="B25901" s="15" t="s">
        <v>14408</v>
      </c>
      <c r="C25901" s="16" t="s">
        <v>14240</v>
      </c>
      <c r="D25901" s="16" t="s">
        <v>14401</v>
      </c>
      <c r="E25901" s="2">
        <v>130245</v>
      </c>
      <c r="F25901" s="4" t="e">
        <f>IF(B25901=#REF!,"",B25901)</f>
        <v>#REF!</v>
      </c>
    </row>
    <row r="25902" spans="1:6" ht="15.75" customHeight="1">
      <c r="A25902" s="15" t="s">
        <v>11652</v>
      </c>
      <c r="B25902" s="15" t="s">
        <v>11652</v>
      </c>
      <c r="C25902" s="15" t="s">
        <v>10178</v>
      </c>
      <c r="D25902" s="15" t="s">
        <v>10193</v>
      </c>
      <c r="E25902" s="2">
        <v>1269135</v>
      </c>
      <c r="F25902" s="4" t="e">
        <f>IF(B25902=#REF!,"",B25902)</f>
        <v>#REF!</v>
      </c>
    </row>
    <row r="25903" spans="1:6" ht="15.75" customHeight="1">
      <c r="A25903" s="15" t="s">
        <v>20530</v>
      </c>
      <c r="B25903" s="15" t="s">
        <v>20530</v>
      </c>
      <c r="C25903" s="15" t="s">
        <v>20470</v>
      </c>
      <c r="D25903" s="15" t="s">
        <v>688</v>
      </c>
      <c r="E25903" s="2">
        <v>3937733</v>
      </c>
      <c r="F25903" s="4" t="str">
        <f>IF(B25903=B25902,"",B25903)</f>
        <v>Jauja</v>
      </c>
    </row>
    <row r="25904" spans="1:6" ht="15.75" customHeight="1">
      <c r="A25904" s="16" t="str">
        <f ca="1">IFERROR(__xludf.DUMMYFUNCTION("GOOGLETRANSLATE(B39068,""en"",""pt"")"),"Jauharābād")</f>
        <v>Jauharābād</v>
      </c>
      <c r="B25904" s="20" t="s">
        <v>35004</v>
      </c>
      <c r="C25904" s="20" t="s">
        <v>19808</v>
      </c>
      <c r="D25904" s="20" t="s">
        <v>10184</v>
      </c>
      <c r="E25904" s="10">
        <v>1176022</v>
      </c>
      <c r="F25904" s="4" t="str">
        <f>IF(B25904=B25903,"",B25904)</f>
        <v>Jauharābād</v>
      </c>
    </row>
    <row r="25905" spans="1:6" ht="15.75" customHeight="1">
      <c r="A25905" s="16" t="s">
        <v>19966</v>
      </c>
      <c r="B25905" s="15" t="s">
        <v>19967</v>
      </c>
      <c r="C25905" s="16" t="s">
        <v>19808</v>
      </c>
      <c r="D25905" s="16" t="s">
        <v>10184</v>
      </c>
      <c r="E25905" s="2">
        <v>1176022</v>
      </c>
      <c r="F25905" s="4" t="str">
        <f>IF(B25905=B25904,"",B25905)</f>
        <v>JauharÄbÄd</v>
      </c>
    </row>
    <row r="25906" spans="1:6" ht="15.75" customHeight="1">
      <c r="A25906" s="16" t="str">
        <f ca="1">IFERROR(__xludf.DUMMYFUNCTION("GOOGLETRANSLATE(B24888,""en"",""pt"")"),"Jaú")</f>
        <v>Jaú</v>
      </c>
      <c r="B25906" s="20" t="s">
        <v>31612</v>
      </c>
      <c r="C25906" s="20" t="s">
        <v>1905</v>
      </c>
      <c r="D25906" s="20" t="s">
        <v>3354</v>
      </c>
      <c r="E25906" s="10">
        <v>3460005</v>
      </c>
      <c r="F25906" s="4" t="str">
        <f>IF(B25906=B25905,"",B25906)</f>
        <v>Jaú</v>
      </c>
    </row>
    <row r="25907" spans="1:6" ht="15.75" customHeight="1">
      <c r="A25907" s="16" t="s">
        <v>21263</v>
      </c>
      <c r="B25907" s="15" t="s">
        <v>21264</v>
      </c>
      <c r="C25907" s="16" t="s">
        <v>21064</v>
      </c>
      <c r="D25907" s="16" t="s">
        <v>21169</v>
      </c>
      <c r="E25907" s="2">
        <v>770157</v>
      </c>
      <c r="F25907" s="4" t="str">
        <f>IF(B25907=B25906,"",B25907)</f>
        <v>JÄ™drzejÃ³w</v>
      </c>
    </row>
    <row r="25908" spans="1:6" ht="15.75" customHeight="1">
      <c r="A25908" s="16" t="str">
        <f ca="1">IFERROR(__xludf.DUMMYFUNCTION("GOOGLETRANSLATE(B39069,""en"",""pt"")"),"Jatoi Shimāli")</f>
        <v>Jatoi Shimāli</v>
      </c>
      <c r="B25908" s="20" t="s">
        <v>35005</v>
      </c>
      <c r="C25908" s="20" t="s">
        <v>19808</v>
      </c>
      <c r="D25908" s="20" t="s">
        <v>10184</v>
      </c>
      <c r="E25908" s="10">
        <v>1176035</v>
      </c>
      <c r="F25908" s="4" t="str">
        <f>IF(B25908=B25907,"",B25908)</f>
        <v>Jatoi Shimāli</v>
      </c>
    </row>
    <row r="25909" spans="1:6" ht="15.75" customHeight="1">
      <c r="A25909" s="16" t="s">
        <v>19964</v>
      </c>
      <c r="B25909" s="15" t="s">
        <v>19965</v>
      </c>
      <c r="C25909" s="16" t="s">
        <v>19808</v>
      </c>
      <c r="D25909" s="16" t="s">
        <v>10184</v>
      </c>
      <c r="E25909" s="2">
        <v>1176035</v>
      </c>
      <c r="F25909" s="4" t="str">
        <f>IF(B25909=B25908,"",B25909)</f>
        <v>Jatoi ShimÄli</v>
      </c>
    </row>
    <row r="25910" spans="1:6" ht="15.75" customHeight="1">
      <c r="A25910" s="15" t="s">
        <v>2752</v>
      </c>
      <c r="B25910" s="15" t="s">
        <v>2753</v>
      </c>
      <c r="C25910" s="15" t="s">
        <v>1905</v>
      </c>
      <c r="D25910" s="15" t="s">
        <v>1909</v>
      </c>
      <c r="E25910" s="2">
        <v>3392243</v>
      </c>
      <c r="F25910" s="4" t="str">
        <f>IF(B25910=B25909,"",B25910)</f>
        <v>JatobÃ¡</v>
      </c>
    </row>
    <row r="25911" spans="1:6" ht="15.75" customHeight="1">
      <c r="A25911" s="16" t="str">
        <f ca="1">IFERROR(__xludf.DUMMYFUNCTION("GOOGLETRANSLATE(B24230,""en"",""pt"")"),"Jatobá")</f>
        <v>Jatobá</v>
      </c>
      <c r="B25911" s="20" t="s">
        <v>31380</v>
      </c>
      <c r="C25911" s="20" t="s">
        <v>1905</v>
      </c>
      <c r="D25911" s="20" t="s">
        <v>1909</v>
      </c>
      <c r="E25911" s="10">
        <v>3392243</v>
      </c>
      <c r="F25911" s="4" t="e">
        <f>IF(B25911=#REF!,"",B25911)</f>
        <v>#REF!</v>
      </c>
    </row>
    <row r="25912" spans="1:6" ht="15.75" customHeight="1">
      <c r="A25912" s="15" t="s">
        <v>13944</v>
      </c>
      <c r="B25912" s="15" t="s">
        <v>13944</v>
      </c>
      <c r="C25912" s="15" t="s">
        <v>13800</v>
      </c>
      <c r="D25912" s="15" t="s">
        <v>13811</v>
      </c>
      <c r="E25912" s="2">
        <v>1642684</v>
      </c>
      <c r="F25912" s="4" t="e">
        <f>IF(B25912=#REF!,"",B25912)</f>
        <v>#REF!</v>
      </c>
    </row>
    <row r="25913" spans="1:6" ht="15.75" customHeight="1">
      <c r="A25913" s="15" t="s">
        <v>13943</v>
      </c>
      <c r="B25913" s="15" t="s">
        <v>13943</v>
      </c>
      <c r="C25913" s="15" t="s">
        <v>13800</v>
      </c>
      <c r="D25913" s="15" t="s">
        <v>13803</v>
      </c>
      <c r="E25913" s="2">
        <v>1642692</v>
      </c>
      <c r="F25913" s="4" t="e">
        <f>IF(B25913=#REF!,"",B25913)</f>
        <v>#REF!</v>
      </c>
    </row>
    <row r="25914" spans="1:6" ht="15.75" customHeight="1">
      <c r="A25914" s="16" t="s">
        <v>5854</v>
      </c>
      <c r="B25914" s="15" t="s">
        <v>5854</v>
      </c>
      <c r="C25914" s="16" t="s">
        <v>5764</v>
      </c>
      <c r="D25914" s="16" t="s">
        <v>5799</v>
      </c>
      <c r="E25914" s="2">
        <v>3556334</v>
      </c>
      <c r="F25914" s="4" t="e">
        <f>IF(B25914=#REF!,"",B25914)</f>
        <v>#REF!</v>
      </c>
    </row>
    <row r="25915" spans="1:6" ht="15.75" customHeight="1">
      <c r="A25915" s="16" t="s">
        <v>13942</v>
      </c>
      <c r="B25915" s="15" t="s">
        <v>13942</v>
      </c>
      <c r="C25915" s="16" t="s">
        <v>13800</v>
      </c>
      <c r="D25915" s="16" t="s">
        <v>13811</v>
      </c>
      <c r="E25915" s="2">
        <v>1642726</v>
      </c>
      <c r="F25915" s="4" t="e">
        <f>IF(B25915=#REF!,"",B25915)</f>
        <v>#REF!</v>
      </c>
    </row>
    <row r="25916" spans="1:6" ht="15.75" customHeight="1">
      <c r="A25916" s="15" t="s">
        <v>13941</v>
      </c>
      <c r="B25916" s="15" t="s">
        <v>13941</v>
      </c>
      <c r="C25916" s="15" t="s">
        <v>13800</v>
      </c>
      <c r="D25916" s="15" t="s">
        <v>13803</v>
      </c>
      <c r="E25916" s="2">
        <v>1642754</v>
      </c>
      <c r="F25916" s="4" t="str">
        <f>IF(B25916=B25915,"",B25916)</f>
        <v>Jaten</v>
      </c>
    </row>
    <row r="25917" spans="1:6" ht="15.75" customHeight="1">
      <c r="A25917" s="16" t="str">
        <f ca="1">IFERROR(__xludf.DUMMYFUNCTION("GOOGLETRANSLATE(B33254,""en"",""pt"")"),"Jatāra")</f>
        <v>Jatāra</v>
      </c>
      <c r="B25917" s="20" t="s">
        <v>33618</v>
      </c>
      <c r="C25917" s="20" t="s">
        <v>10178</v>
      </c>
      <c r="D25917" s="20" t="s">
        <v>10219</v>
      </c>
      <c r="E25917" s="10">
        <v>1269153</v>
      </c>
      <c r="F25917" s="4" t="e">
        <f>IF(B25917=#REF!,"",B25917)</f>
        <v>#REF!</v>
      </c>
    </row>
    <row r="25918" spans="1:6" ht="15.75" customHeight="1">
      <c r="A25918" s="15" t="s">
        <v>11651</v>
      </c>
      <c r="B25918" s="15" t="s">
        <v>11651</v>
      </c>
      <c r="C25918" s="15" t="s">
        <v>10178</v>
      </c>
      <c r="D25918" s="15" t="s">
        <v>10229</v>
      </c>
      <c r="E25918" s="2">
        <v>1269154</v>
      </c>
      <c r="F25918" s="4" t="str">
        <f>IF(B25918=B25917,"",B25918)</f>
        <v>Jatani</v>
      </c>
    </row>
    <row r="25919" spans="1:6" ht="15.75" customHeight="1">
      <c r="A25919" s="16" t="str">
        <f ca="1">IFERROR(__xludf.DUMMYFUNCTION("GOOGLETRANSLATE(B24889,""en"",""pt"")"),"Jataí")</f>
        <v>Jataí</v>
      </c>
      <c r="B25919" s="20" t="s">
        <v>31613</v>
      </c>
      <c r="C25919" s="20" t="s">
        <v>1905</v>
      </c>
      <c r="D25919" s="20" t="s">
        <v>31436</v>
      </c>
      <c r="E25919" s="10">
        <v>3460064</v>
      </c>
      <c r="F25919" s="4" t="str">
        <f>IF(B25919=B25918,"",B25919)</f>
        <v>Jataí</v>
      </c>
    </row>
    <row r="25920" spans="1:6" ht="15.75" customHeight="1">
      <c r="A25920" s="15" t="s">
        <v>2750</v>
      </c>
      <c r="B25920" s="15" t="s">
        <v>2751</v>
      </c>
      <c r="C25920" s="15" t="s">
        <v>1905</v>
      </c>
      <c r="D25920" s="15" t="s">
        <v>1969</v>
      </c>
      <c r="E25920" s="2">
        <v>3460064</v>
      </c>
      <c r="F25920" s="4" t="str">
        <f>IF(B25920=B25919,"",B25920)</f>
        <v>JataÃ­</v>
      </c>
    </row>
    <row r="25921" spans="1:6" ht="15.75" customHeight="1">
      <c r="A25921" s="15" t="s">
        <v>11649</v>
      </c>
      <c r="B25921" s="15" t="s">
        <v>11650</v>
      </c>
      <c r="C25921" s="15" t="s">
        <v>10178</v>
      </c>
      <c r="D25921" s="15" t="s">
        <v>10219</v>
      </c>
      <c r="E25921" s="2">
        <v>1269153</v>
      </c>
      <c r="F25921" s="4" t="str">
        <f>IF(B25921=B25920,"",B25921)</f>
        <v>JatÄra</v>
      </c>
    </row>
    <row r="25922" spans="1:6" ht="15.75" customHeight="1">
      <c r="A25922" s="16" t="str">
        <f ca="1">IFERROR(__xludf.DUMMYFUNCTION("GOOGLETRANSLATE(B31309,""en"",""pt"")"),"Jászberény")</f>
        <v>Jászberény</v>
      </c>
      <c r="B25922" s="20" t="s">
        <v>32877</v>
      </c>
      <c r="C25922" s="20" t="s">
        <v>9955</v>
      </c>
      <c r="D25922" s="20" t="s">
        <v>32822</v>
      </c>
      <c r="E25922" s="10">
        <v>3050907</v>
      </c>
      <c r="F25922" s="4" t="e">
        <f>IF(B25922=#REF!,"",B25922)</f>
        <v>#REF!</v>
      </c>
    </row>
    <row r="25923" spans="1:6" ht="15.75" customHeight="1">
      <c r="A25923" s="16" t="s">
        <v>11648</v>
      </c>
      <c r="B25923" s="15" t="s">
        <v>11648</v>
      </c>
      <c r="C25923" s="16" t="s">
        <v>10178</v>
      </c>
      <c r="D25923" s="16" t="s">
        <v>10193</v>
      </c>
      <c r="E25923" s="2">
        <v>1269158</v>
      </c>
      <c r="F25923" s="4" t="str">
        <f>IF(B25923=B25922,"",B25923)</f>
        <v>Jaswantnagar</v>
      </c>
    </row>
    <row r="25924" spans="1:6" ht="15.75" customHeight="1">
      <c r="A25924" s="16" t="str">
        <f ca="1">IFERROR(__xludf.DUMMYFUNCTION("GOOGLETRANSLATE(B39446,""en"",""pt"")"),"JASTRZęBIE ZDRÓJ")</f>
        <v>JASTRZęBIE ZDRÓJ</v>
      </c>
      <c r="B25924" s="20" t="s">
        <v>35221</v>
      </c>
      <c r="C25924" s="20" t="s">
        <v>21064</v>
      </c>
      <c r="D25924" s="20" t="s">
        <v>21073</v>
      </c>
      <c r="E25924" s="10">
        <v>3097391</v>
      </c>
      <c r="F25924" s="4" t="str">
        <f>IF(B25924=B25923,"",B25924)</f>
        <v>Jastrzębie Zdrój</v>
      </c>
    </row>
    <row r="25925" spans="1:6" ht="15.75" customHeight="1">
      <c r="A25925" s="16" t="s">
        <v>21261</v>
      </c>
      <c r="B25925" s="15" t="s">
        <v>21262</v>
      </c>
      <c r="C25925" s="16" t="s">
        <v>21064</v>
      </c>
      <c r="D25925" s="16" t="s">
        <v>21073</v>
      </c>
      <c r="E25925" s="2">
        <v>3097391</v>
      </c>
      <c r="F25925" s="4" t="e">
        <f>IF(B25925=#REF!,"",B25925)</f>
        <v>#REF!</v>
      </c>
    </row>
    <row r="25926" spans="1:6" ht="15.75" customHeight="1">
      <c r="A25926" s="15" t="s">
        <v>11647</v>
      </c>
      <c r="B25926" s="15" t="s">
        <v>11647</v>
      </c>
      <c r="C25926" s="15" t="s">
        <v>10178</v>
      </c>
      <c r="D25926" s="15" t="s">
        <v>10299</v>
      </c>
      <c r="E25926" s="2">
        <v>1269168</v>
      </c>
      <c r="F25926" s="4" t="e">
        <f>IF(B25926=#REF!,"",B25926)</f>
        <v>#REF!</v>
      </c>
    </row>
    <row r="25927" spans="1:6" ht="15.75" customHeight="1">
      <c r="A25927" s="15" t="s">
        <v>28973</v>
      </c>
      <c r="B25927" s="15" t="s">
        <v>28974</v>
      </c>
      <c r="C25927" s="15" t="s">
        <v>27788</v>
      </c>
      <c r="D25927" s="15" t="s">
        <v>27869</v>
      </c>
      <c r="E25927" s="2">
        <v>4259640</v>
      </c>
      <c r="F25927" s="4" t="e">
        <f>IF(B25927=#REF!,"",B25927)</f>
        <v>#REF!</v>
      </c>
    </row>
    <row r="25928" spans="1:6" ht="15.75" customHeight="1">
      <c r="A25928" s="16" t="s">
        <v>28971</v>
      </c>
      <c r="B25928" s="15" t="s">
        <v>28972</v>
      </c>
      <c r="C25928" s="16" t="s">
        <v>27788</v>
      </c>
      <c r="D25928" s="16" t="s">
        <v>5468</v>
      </c>
      <c r="E25928" s="2">
        <v>4160100</v>
      </c>
      <c r="F25928" s="4" t="str">
        <f>IF(B25928=B25927,"",B25928)</f>
        <v>Jasmine Estates</v>
      </c>
    </row>
    <row r="25929" spans="1:6" ht="15.75" customHeight="1">
      <c r="A25929" s="16" t="str">
        <f ca="1">IFERROR(__xludf.DUMMYFUNCTION("GOOGLETRANSLATE(B39271,""en"",""pt"")"),"Jasło")</f>
        <v>Jasło</v>
      </c>
      <c r="B25929" s="20" t="s">
        <v>35118</v>
      </c>
      <c r="C25929" s="20" t="s">
        <v>21064</v>
      </c>
      <c r="D25929" s="20" t="s">
        <v>21083</v>
      </c>
      <c r="E25929" s="10">
        <v>770293</v>
      </c>
      <c r="F25929" s="4" t="str">
        <f>IF(B25929=B25928,"",B25929)</f>
        <v>Jasło</v>
      </c>
    </row>
    <row r="25930" spans="1:6" ht="15.75" customHeight="1">
      <c r="A25930" s="16" t="str">
        <f ca="1">IFERROR(__xludf.DUMMYFUNCTION("GOOGLETRANSLATE(B41408,""en"",""pt"")"),"Jāsim")</f>
        <v>Jāsim</v>
      </c>
      <c r="B25930" s="20" t="s">
        <v>35734</v>
      </c>
      <c r="C25930" s="20" t="s">
        <v>25366</v>
      </c>
      <c r="D25930" s="20" t="s">
        <v>25375</v>
      </c>
      <c r="E25930" s="10">
        <v>165997</v>
      </c>
      <c r="F25930" s="4" t="e">
        <f>IF(B25930=#REF!,"",B25930)</f>
        <v>#REF!</v>
      </c>
    </row>
    <row r="25931" spans="1:6" ht="15.75" customHeight="1">
      <c r="A25931" s="15" t="s">
        <v>11646</v>
      </c>
      <c r="B25931" s="15" t="s">
        <v>11646</v>
      </c>
      <c r="C25931" s="15" t="s">
        <v>10178</v>
      </c>
      <c r="D25931" s="15" t="s">
        <v>10430</v>
      </c>
      <c r="E25931" s="2">
        <v>1269175</v>
      </c>
      <c r="F25931" s="4" t="e">
        <f>IF(B25931=#REF!,"",B25931)</f>
        <v>#REF!</v>
      </c>
    </row>
    <row r="25932" spans="1:6" ht="15.75" customHeight="1">
      <c r="A25932" s="16" t="s">
        <v>11645</v>
      </c>
      <c r="B25932" s="15" t="s">
        <v>11645</v>
      </c>
      <c r="C25932" s="16" t="s">
        <v>10178</v>
      </c>
      <c r="D25932" s="16" t="s">
        <v>10272</v>
      </c>
      <c r="E25932" s="2">
        <v>1269177</v>
      </c>
      <c r="F25932" s="4" t="e">
        <f>IF(B25932=#REF!,"",B25932)</f>
        <v>#REF!</v>
      </c>
    </row>
    <row r="25933" spans="1:6" ht="15.75" customHeight="1">
      <c r="A25933" s="15" t="s">
        <v>11644</v>
      </c>
      <c r="B25933" s="15" t="s">
        <v>11644</v>
      </c>
      <c r="C25933" s="15" t="s">
        <v>10178</v>
      </c>
      <c r="D25933" s="15" t="s">
        <v>10209</v>
      </c>
      <c r="E25933" s="2">
        <v>1269179</v>
      </c>
      <c r="F25933" s="4" t="e">
        <f>IF(B25933=#REF!,"",B25933)</f>
        <v>#REF!</v>
      </c>
    </row>
    <row r="25934" spans="1:6" ht="15.75" customHeight="1">
      <c r="A25934" s="15" t="s">
        <v>20804</v>
      </c>
      <c r="B25934" s="15" t="s">
        <v>20804</v>
      </c>
      <c r="C25934" s="15" t="s">
        <v>20598</v>
      </c>
      <c r="D25934" s="15" t="s">
        <v>20687</v>
      </c>
      <c r="E25934" s="2">
        <v>1710258</v>
      </c>
      <c r="F25934" s="4" t="str">
        <f>IF(B25934=B25933,"",B25934)</f>
        <v>Jasaan</v>
      </c>
    </row>
    <row r="25935" spans="1:6" ht="15.75" customHeight="1">
      <c r="A25935" s="15" t="s">
        <v>21259</v>
      </c>
      <c r="B25935" s="15" t="s">
        <v>21260</v>
      </c>
      <c r="C25935" s="15" t="s">
        <v>21064</v>
      </c>
      <c r="D25935" s="15" t="s">
        <v>21083</v>
      </c>
      <c r="E25935" s="2">
        <v>770293</v>
      </c>
      <c r="F25935" s="4" t="e">
        <f>IF(B25935=#REF!,"",B25935)</f>
        <v>#REF!</v>
      </c>
    </row>
    <row r="25936" spans="1:6" ht="15.75" customHeight="1">
      <c r="A25936" s="15" t="s">
        <v>11643</v>
      </c>
      <c r="B25936" s="15" t="s">
        <v>11643</v>
      </c>
      <c r="C25936" s="15" t="s">
        <v>10178</v>
      </c>
      <c r="D25936" s="15" t="s">
        <v>10193</v>
      </c>
      <c r="E25936" s="2">
        <v>1269183</v>
      </c>
      <c r="F25936" s="4" t="str">
        <f>IF(B25936=B25935,"",B25936)</f>
        <v>Jarwal</v>
      </c>
    </row>
    <row r="25937" spans="1:6" ht="15.75" customHeight="1">
      <c r="A25937" s="16" t="str">
        <f ca="1">IFERROR(__xludf.DUMMYFUNCTION("GOOGLETRANSLATE(B29647,""en"",""pt"")"),"Järvenpää")</f>
        <v>Järvenpää</v>
      </c>
      <c r="B25937" s="20" t="s">
        <v>32526</v>
      </c>
      <c r="C25937" s="20" t="s">
        <v>6948</v>
      </c>
      <c r="D25937" s="20" t="s">
        <v>6951</v>
      </c>
      <c r="E25937" s="10">
        <v>655958</v>
      </c>
      <c r="F25937" s="4" t="e">
        <f>IF(B25937=#REF!,"",B25937)</f>
        <v>#REF!</v>
      </c>
    </row>
    <row r="25938" spans="1:6" ht="15.75" customHeight="1">
      <c r="A25938" s="15" t="s">
        <v>5853</v>
      </c>
      <c r="B25938" s="15" t="s">
        <v>5853</v>
      </c>
      <c r="C25938" s="15" t="s">
        <v>5764</v>
      </c>
      <c r="D25938" s="15" t="s">
        <v>5792</v>
      </c>
      <c r="E25938" s="2">
        <v>3556351</v>
      </c>
      <c r="F25938" s="4" t="e">
        <f>IF(B25938=#REF!,"",B25938)</f>
        <v>#REF!</v>
      </c>
    </row>
    <row r="25939" spans="1:6" ht="15.75" customHeight="1">
      <c r="A25939" s="15" t="s">
        <v>2749</v>
      </c>
      <c r="B25939" s="15" t="s">
        <v>2749</v>
      </c>
      <c r="C25939" s="15" t="s">
        <v>1905</v>
      </c>
      <c r="D25939" s="15" t="s">
        <v>2038</v>
      </c>
      <c r="E25939" s="2">
        <v>3925040</v>
      </c>
      <c r="F25939" s="4" t="e">
        <f>IF(B25939=#REF!,"",B25939)</f>
        <v>#REF!</v>
      </c>
    </row>
    <row r="25940" spans="1:6" ht="15.75" customHeight="1">
      <c r="A25940" s="15" t="s">
        <v>27460</v>
      </c>
      <c r="B25940" s="15" t="s">
        <v>27460</v>
      </c>
      <c r="C25940" s="15" t="s">
        <v>27234</v>
      </c>
      <c r="D25940" s="15" t="s">
        <v>27241</v>
      </c>
      <c r="E25940" s="2">
        <v>2645972</v>
      </c>
      <c r="F25940" s="4" t="str">
        <f>IF(B25940=B25939,"",B25940)</f>
        <v>Jarrow</v>
      </c>
    </row>
    <row r="25941" spans="1:6" ht="15.75" customHeight="1">
      <c r="A25941" s="16" t="str">
        <f ca="1">IFERROR(__xludf.DUMMYFUNCTION("GOOGLETRANSLATE(B39272,""en"",""pt"")"),"Jarosław")</f>
        <v>Jarosław</v>
      </c>
      <c r="B25941" s="20" t="s">
        <v>35119</v>
      </c>
      <c r="C25941" s="20" t="s">
        <v>21064</v>
      </c>
      <c r="D25941" s="20" t="s">
        <v>21083</v>
      </c>
      <c r="E25941" s="10">
        <v>770380</v>
      </c>
      <c r="F25941" s="4" t="str">
        <f>IF(B25941=B25940,"",B25941)</f>
        <v>Jarosław</v>
      </c>
    </row>
    <row r="25942" spans="1:6" ht="15.75" customHeight="1">
      <c r="A25942" s="16" t="s">
        <v>21257</v>
      </c>
      <c r="B25942" s="15" t="s">
        <v>21258</v>
      </c>
      <c r="C25942" s="16" t="s">
        <v>21064</v>
      </c>
      <c r="D25942" s="16" t="s">
        <v>21083</v>
      </c>
      <c r="E25942" s="2">
        <v>770380</v>
      </c>
      <c r="F25942" s="4" t="e">
        <f>IF(B25942=#REF!,"",B25942)</f>
        <v>#REF!</v>
      </c>
    </row>
    <row r="25943" spans="1:6" ht="15.75" customHeight="1">
      <c r="A25943" s="15" t="s">
        <v>21256</v>
      </c>
      <c r="B25943" s="15" t="s">
        <v>21256</v>
      </c>
      <c r="C25943" s="15" t="s">
        <v>21064</v>
      </c>
      <c r="D25943" s="15" t="s">
        <v>21112</v>
      </c>
      <c r="E25943" s="2">
        <v>3097528</v>
      </c>
      <c r="F25943" s="4" t="e">
        <f>IF(B25943=#REF!,"",B25943)</f>
        <v>#REF!</v>
      </c>
    </row>
    <row r="25944" spans="1:6" ht="15.75" customHeight="1">
      <c r="A25944" s="15" t="s">
        <v>2748</v>
      </c>
      <c r="B25944" s="15" t="s">
        <v>2748</v>
      </c>
      <c r="C25944" s="15" t="s">
        <v>1905</v>
      </c>
      <c r="D25944" s="15" t="s">
        <v>1914</v>
      </c>
      <c r="E25944" s="2">
        <v>3460068</v>
      </c>
      <c r="F25944" s="4" t="str">
        <f>IF(B25944=B25943,"",B25944)</f>
        <v>Jarinu</v>
      </c>
    </row>
    <row r="25945" spans="1:6" ht="15.75" customHeight="1">
      <c r="A25945" s="16" t="str">
        <f ca="1">IFERROR(__xludf.DUMMYFUNCTION("GOOGLETRANSLATE(B24891,""en"",""pt"")"),"Jardinópolis")</f>
        <v>Jardinópolis</v>
      </c>
      <c r="B25945" s="20" t="s">
        <v>31614</v>
      </c>
      <c r="C25945" s="20" t="s">
        <v>1905</v>
      </c>
      <c r="D25945" s="20" t="s">
        <v>3354</v>
      </c>
      <c r="E25945" s="10">
        <v>3460071</v>
      </c>
      <c r="F25945" s="4" t="e">
        <f>IF(B25945=#REF!,"",B25945)</f>
        <v>#REF!</v>
      </c>
    </row>
    <row r="25946" spans="1:6" ht="15.75" customHeight="1">
      <c r="A25946" s="16" t="s">
        <v>18014</v>
      </c>
      <c r="B25946" s="15" t="s">
        <v>18014</v>
      </c>
      <c r="C25946" s="16" t="s">
        <v>17707</v>
      </c>
      <c r="D25946" s="16" t="s">
        <v>17739</v>
      </c>
      <c r="E25946" s="2">
        <v>8858088</v>
      </c>
      <c r="F25946" s="4" t="str">
        <f>IF(B25946=B25945,"",B25946)</f>
        <v>Jardines de la Silla (Jardines)</v>
      </c>
    </row>
    <row r="25947" spans="1:6" ht="15.75" customHeight="1">
      <c r="A25947" s="16" t="s">
        <v>2746</v>
      </c>
      <c r="B25947" s="15" t="s">
        <v>2747</v>
      </c>
      <c r="C25947" s="16" t="s">
        <v>1905</v>
      </c>
      <c r="D25947" s="16" t="s">
        <v>1914</v>
      </c>
      <c r="E25947" s="2">
        <v>3460071</v>
      </c>
      <c r="F25947" s="4" t="str">
        <f>IF(B25947=B25946,"",B25947)</f>
        <v>JardinÃ³polis</v>
      </c>
    </row>
    <row r="25948" spans="1:6" ht="15.75" customHeight="1">
      <c r="A25948" s="16" t="str">
        <f ca="1">IFERROR(__xludf.DUMMYFUNCTION("GOOGLETRANSLATE(B23207,""en"",""pt"")"),"Jardín América")</f>
        <v>Jardín América</v>
      </c>
      <c r="B25948" s="20" t="s">
        <v>31169</v>
      </c>
      <c r="C25948" s="20" t="s">
        <v>558</v>
      </c>
      <c r="D25948" s="20" t="s">
        <v>576</v>
      </c>
      <c r="E25948" s="10">
        <v>3433349</v>
      </c>
      <c r="F25948" s="4" t="e">
        <f>IF(B25948=#REF!,"",B25948)</f>
        <v>#REF!</v>
      </c>
    </row>
    <row r="25949" spans="1:6" ht="15.75" customHeight="1">
      <c r="A25949" s="15" t="s">
        <v>2745</v>
      </c>
      <c r="B25949" s="15" t="s">
        <v>2745</v>
      </c>
      <c r="C25949" s="15" t="s">
        <v>1905</v>
      </c>
      <c r="D25949" s="15" t="s">
        <v>1973</v>
      </c>
      <c r="E25949" s="2">
        <v>3460087</v>
      </c>
      <c r="F25949" s="4" t="str">
        <f>IF(B25949=B25948,"",B25949)</f>
        <v>Jardim</v>
      </c>
    </row>
    <row r="25950" spans="1:6" ht="15.75" customHeight="1">
      <c r="A25950" s="16" t="s">
        <v>681</v>
      </c>
      <c r="B25950" s="15" t="s">
        <v>682</v>
      </c>
      <c r="C25950" s="16" t="s">
        <v>558</v>
      </c>
      <c r="D25950" s="16" t="s">
        <v>576</v>
      </c>
      <c r="E25950" s="2">
        <v>3433349</v>
      </c>
      <c r="F25950" s="4" t="e">
        <f>IF(B25950=#REF!,"",B25950)</f>
        <v>#REF!</v>
      </c>
    </row>
    <row r="25951" spans="1:6" ht="15.75" customHeight="1">
      <c r="A25951" s="15" t="s">
        <v>16647</v>
      </c>
      <c r="B25951" s="15" t="s">
        <v>16647</v>
      </c>
      <c r="C25951" s="15" t="s">
        <v>16624</v>
      </c>
      <c r="D25951" s="15" t="s">
        <v>16648</v>
      </c>
      <c r="E25951" s="2">
        <v>248875</v>
      </c>
      <c r="F25951" s="4" t="str">
        <f>IF(B25951=B25950,"",B25951)</f>
        <v>Jarash</v>
      </c>
    </row>
    <row r="25952" spans="1:6" ht="15.75" customHeight="1">
      <c r="A25952" s="16" t="str">
        <f ca="1">IFERROR(__xludf.DUMMYFUNCTION("GOOGLETRANSLATE(B39070,""en"",""pt"")"),"Jarānwāla")</f>
        <v>Jarānwāla</v>
      </c>
      <c r="B25952" s="20" t="s">
        <v>35006</v>
      </c>
      <c r="C25952" s="20" t="s">
        <v>19808</v>
      </c>
      <c r="D25952" s="20" t="s">
        <v>10184</v>
      </c>
      <c r="E25952" s="10">
        <v>1176106</v>
      </c>
      <c r="F25952" s="4" t="e">
        <f>IF(B25952=#REF!,"",B25952)</f>
        <v>#REF!</v>
      </c>
    </row>
    <row r="25953" spans="1:6" ht="15.75" customHeight="1">
      <c r="A25953" s="16" t="s">
        <v>18013</v>
      </c>
      <c r="B25953" s="15" t="s">
        <v>18013</v>
      </c>
      <c r="C25953" s="16" t="s">
        <v>17707</v>
      </c>
      <c r="D25953" s="16" t="s">
        <v>17713</v>
      </c>
      <c r="E25953" s="2">
        <v>4004092</v>
      </c>
      <c r="F25953" s="4" t="str">
        <f>IF(B25953=B25952,"",B25953)</f>
        <v>Jaral del Progreso</v>
      </c>
    </row>
    <row r="25954" spans="1:6" ht="15.75" customHeight="1">
      <c r="A25954" s="16" t="s">
        <v>2743</v>
      </c>
      <c r="B25954" s="15" t="s">
        <v>2744</v>
      </c>
      <c r="C25954" s="16" t="s">
        <v>1905</v>
      </c>
      <c r="D25954" s="16" t="s">
        <v>2020</v>
      </c>
      <c r="E25954" s="2">
        <v>3460102</v>
      </c>
      <c r="F25954" s="4" t="str">
        <f>IF(B25954=B25953,"",B25954)</f>
        <v>JaraguÃ¡ do Sul</v>
      </c>
    </row>
    <row r="25955" spans="1:6" ht="15.75" customHeight="1">
      <c r="A25955" s="15" t="s">
        <v>2741</v>
      </c>
      <c r="B25955" s="15" t="s">
        <v>2742</v>
      </c>
      <c r="C25955" s="15" t="s">
        <v>1905</v>
      </c>
      <c r="D25955" s="15" t="s">
        <v>1969</v>
      </c>
      <c r="E25955" s="2">
        <v>3460107</v>
      </c>
      <c r="F25955" s="4" t="str">
        <f>IF(B25955=B25954,"",B25955)</f>
        <v>JaraguÃ¡</v>
      </c>
    </row>
    <row r="25956" spans="1:6" ht="15.75" customHeight="1">
      <c r="A25956" s="16" t="str">
        <f ca="1">IFERROR(__xludf.DUMMYFUNCTION("GOOGLETRANSLATE(B24893,""en"",""pt"")"),"Jaraguá do sul")</f>
        <v>Jaraguá do sul</v>
      </c>
      <c r="B25956" s="20" t="s">
        <v>31615</v>
      </c>
      <c r="C25956" s="20" t="s">
        <v>1905</v>
      </c>
      <c r="D25956" s="20" t="s">
        <v>2020</v>
      </c>
      <c r="E25956" s="10">
        <v>3460102</v>
      </c>
      <c r="F25956" s="4" t="str">
        <f>IF(B25956=B25955,"",B25956)</f>
        <v>Jaraguá do Sul</v>
      </c>
    </row>
    <row r="25957" spans="1:6" ht="15.75" customHeight="1">
      <c r="A25957" s="16" t="str">
        <f ca="1">IFERROR(__xludf.DUMMYFUNCTION("GOOGLETRANSLATE(B24894,""en"",""pt"")"),"Jaraguá")</f>
        <v>Jaraguá</v>
      </c>
      <c r="B25957" s="20" t="s">
        <v>2741</v>
      </c>
      <c r="C25957" s="20" t="s">
        <v>1905</v>
      </c>
      <c r="D25957" s="20" t="s">
        <v>31436</v>
      </c>
      <c r="E25957" s="10">
        <v>3460107</v>
      </c>
      <c r="F25957" s="4" t="str">
        <f>IF(B25957=B25956,"",B25957)</f>
        <v>Jaraguá</v>
      </c>
    </row>
    <row r="25958" spans="1:6" ht="15.75" customHeight="1">
      <c r="A25958" s="16" t="str">
        <f ca="1">IFERROR(__xludf.DUMMYFUNCTION("GOOGLETRANSLATE(B41421,""en"",""pt"")"),"Jarābulus")</f>
        <v>Jarābulus</v>
      </c>
      <c r="B25958" s="20" t="s">
        <v>35744</v>
      </c>
      <c r="C25958" s="20" t="s">
        <v>25366</v>
      </c>
      <c r="D25958" s="20" t="s">
        <v>25380</v>
      </c>
      <c r="E25958" s="10">
        <v>169179</v>
      </c>
      <c r="F25958" s="4" t="e">
        <f>IF(B25958=#REF!,"",B25958)</f>
        <v>#REF!</v>
      </c>
    </row>
    <row r="25959" spans="1:6" ht="15.75" customHeight="1">
      <c r="A25959" s="16" t="s">
        <v>6329</v>
      </c>
      <c r="B25959" s="15" t="s">
        <v>6329</v>
      </c>
      <c r="C25959" s="16" t="s">
        <v>6303</v>
      </c>
      <c r="D25959" s="16" t="s">
        <v>6318</v>
      </c>
      <c r="E25959" s="2">
        <v>3504158</v>
      </c>
      <c r="F25959" s="4" t="str">
        <f>IF(B25959=B25958,"",B25959)</f>
        <v>Jarabacoa</v>
      </c>
    </row>
    <row r="25960" spans="1:6" ht="15.75" customHeight="1">
      <c r="A25960" s="16" t="s">
        <v>19962</v>
      </c>
      <c r="B25960" s="15" t="s">
        <v>19963</v>
      </c>
      <c r="C25960" s="16" t="s">
        <v>19808</v>
      </c>
      <c r="D25960" s="16" t="s">
        <v>10184</v>
      </c>
      <c r="E25960" s="2">
        <v>1176106</v>
      </c>
      <c r="F25960" s="4" t="str">
        <f>IF(B25960=B25959,"",B25960)</f>
        <v>JarÄnwÄla</v>
      </c>
    </row>
    <row r="25961" spans="1:6" ht="15.75" customHeight="1">
      <c r="A25961" s="16" t="s">
        <v>25456</v>
      </c>
      <c r="B25961" s="15" t="s">
        <v>25457</v>
      </c>
      <c r="C25961" s="16" t="s">
        <v>25366</v>
      </c>
      <c r="D25961" s="16" t="s">
        <v>25380</v>
      </c>
      <c r="E25961" s="2">
        <v>169179</v>
      </c>
      <c r="F25961" s="4" t="e">
        <f>IF(B25961=#REF!,"",B25961)</f>
        <v>#REF!</v>
      </c>
    </row>
    <row r="25962" spans="1:6" ht="15.75" customHeight="1">
      <c r="A25962" s="15" t="s">
        <v>2740</v>
      </c>
      <c r="B25962" s="15" t="s">
        <v>2740</v>
      </c>
      <c r="C25962" s="15" t="s">
        <v>1905</v>
      </c>
      <c r="D25962" s="15" t="s">
        <v>1978</v>
      </c>
      <c r="E25962" s="2">
        <v>3460132</v>
      </c>
      <c r="F25962" s="4" t="str">
        <f>IF(B25962=B25961,"",B25962)</f>
        <v>Japeri</v>
      </c>
    </row>
    <row r="25963" spans="1:6" ht="15.75" customHeight="1">
      <c r="A25963" s="15" t="s">
        <v>11641</v>
      </c>
      <c r="B25963" s="15" t="s">
        <v>11642</v>
      </c>
      <c r="C25963" s="15" t="s">
        <v>10178</v>
      </c>
      <c r="D25963" s="15" t="s">
        <v>10219</v>
      </c>
      <c r="E25963" s="2">
        <v>1269217</v>
      </c>
      <c r="F25963" s="4" t="str">
        <f>IF(B25963=B25962,"",B25963)</f>
        <v>JaorÄ</v>
      </c>
    </row>
    <row r="25964" spans="1:6" ht="15.75" customHeight="1">
      <c r="A25964" s="16" t="str">
        <f ca="1">IFERROR(__xludf.DUMMYFUNCTION("GOOGLETRANSLATE(B33262,""en"",""pt"")"),"Jaorā")</f>
        <v>Jaorā</v>
      </c>
      <c r="B25964" s="20" t="s">
        <v>33619</v>
      </c>
      <c r="C25964" s="20" t="s">
        <v>10178</v>
      </c>
      <c r="D25964" s="20" t="s">
        <v>10219</v>
      </c>
      <c r="E25964" s="10">
        <v>1269217</v>
      </c>
      <c r="F25964" s="4" t="str">
        <f>IF(B25964=B25963,"",B25964)</f>
        <v>Jaorā</v>
      </c>
    </row>
    <row r="25965" spans="1:6" ht="15.75" customHeight="1">
      <c r="A25965" s="16" t="s">
        <v>2738</v>
      </c>
      <c r="B25965" s="15" t="s">
        <v>2739</v>
      </c>
      <c r="C25965" s="16" t="s">
        <v>1905</v>
      </c>
      <c r="D25965" s="16" t="s">
        <v>1951</v>
      </c>
      <c r="E25965" s="2">
        <v>3459495</v>
      </c>
      <c r="F25965" s="4" t="str">
        <f>IF(B25965=B25964,"",B25965)</f>
        <v>JÃºlio de Castilhos</v>
      </c>
    </row>
    <row r="25966" spans="1:6" ht="15.75" customHeight="1">
      <c r="A25966" s="16" t="str">
        <f ca="1">IFERROR(__xludf.DUMMYFUNCTION("GOOGLETRANSLATE(B36165,""en"",""pt"")"),"Janūb como Surrah")</f>
        <v>Janūb como Surrah</v>
      </c>
      <c r="B25966" s="20" t="s">
        <v>34479</v>
      </c>
      <c r="C25966" s="20" t="s">
        <v>16884</v>
      </c>
      <c r="D25966" s="20" t="s">
        <v>16894</v>
      </c>
      <c r="E25966" s="10">
        <v>285603</v>
      </c>
      <c r="F25966" s="4" t="str">
        <f>IF(B25966=B25965,"",B25966)</f>
        <v>Janūb as Surrah</v>
      </c>
    </row>
    <row r="25967" spans="1:6" ht="15.75" customHeight="1">
      <c r="A25967" s="16" t="str">
        <f ca="1">IFERROR(__xludf.DUMMYFUNCTION("GOOGLETRANSLATE(B24896,""en"",""pt"")"),"Januária")</f>
        <v>Januária</v>
      </c>
      <c r="B25967" s="20" t="s">
        <v>31616</v>
      </c>
      <c r="C25967" s="20" t="s">
        <v>1905</v>
      </c>
      <c r="D25967" s="20" t="s">
        <v>1917</v>
      </c>
      <c r="E25967" s="10">
        <v>3460148</v>
      </c>
      <c r="F25967" s="4" t="str">
        <f>IF(B25967=B25966,"",B25967)</f>
        <v>Januária</v>
      </c>
    </row>
    <row r="25968" spans="1:6" ht="15.75" customHeight="1">
      <c r="A25968" s="15" t="s">
        <v>2736</v>
      </c>
      <c r="B25968" s="15" t="s">
        <v>2737</v>
      </c>
      <c r="C25968" s="15" t="s">
        <v>1905</v>
      </c>
      <c r="D25968" s="15" t="s">
        <v>1917</v>
      </c>
      <c r="E25968" s="2">
        <v>3460148</v>
      </c>
      <c r="F25968" s="4" t="str">
        <f>IF(B25968=B25967,"",B25968)</f>
        <v>JanuÃ¡ria</v>
      </c>
    </row>
    <row r="25969" spans="1:6" ht="15.75" customHeight="1">
      <c r="A25969" s="16" t="str">
        <f ca="1">IFERROR(__xludf.DUMMYFUNCTION("GOOGLETRANSLATE(B33263,""en"",""pt"")"),"Jānsath")</f>
        <v>Jānsath</v>
      </c>
      <c r="B25969" s="20" t="s">
        <v>33620</v>
      </c>
      <c r="C25969" s="20" t="s">
        <v>10178</v>
      </c>
      <c r="D25969" s="20" t="s">
        <v>10193</v>
      </c>
      <c r="E25969" s="10">
        <v>1269227</v>
      </c>
      <c r="F25969" s="4" t="str">
        <f>IF(B25969=B25968,"",B25969)</f>
        <v>Jānsath</v>
      </c>
    </row>
    <row r="25970" spans="1:6" ht="15.75" customHeight="1">
      <c r="A25970" s="16" t="str">
        <f ca="1">IFERROR(__xludf.DUMMYFUNCTION("GOOGLETRANSLATE(B33264,""en"",""pt"")"),"Jānjgīr")</f>
        <v>Jānjgīr</v>
      </c>
      <c r="B25970" s="20" t="s">
        <v>33621</v>
      </c>
      <c r="C25970" s="20" t="s">
        <v>10178</v>
      </c>
      <c r="D25970" s="20" t="s">
        <v>10272</v>
      </c>
      <c r="E25970" s="10">
        <v>1269239</v>
      </c>
      <c r="F25970" s="4" t="str">
        <f>IF(B25970=B25969,"",B25970)</f>
        <v>Jānjgīr</v>
      </c>
    </row>
    <row r="25971" spans="1:6" ht="15.75" customHeight="1">
      <c r="A25971" s="16" t="str">
        <f ca="1">IFERROR(__xludf.DUMMYFUNCTION("GOOGLETRANSLATE(B39544,""en"",""pt"")"),"Janīn")</f>
        <v>Janīn</v>
      </c>
      <c r="B25971" s="20" t="s">
        <v>35272</v>
      </c>
      <c r="C25971" s="20" t="s">
        <v>20297</v>
      </c>
      <c r="D25971" s="20" t="s">
        <v>20298</v>
      </c>
      <c r="E25971" s="10">
        <v>283506</v>
      </c>
      <c r="F25971" s="4" t="e">
        <f>IF(B25971=#REF!,"",B25971)</f>
        <v>#REF!</v>
      </c>
    </row>
    <row r="25972" spans="1:6" ht="15.75" customHeight="1">
      <c r="A25972" s="15" t="s">
        <v>11640</v>
      </c>
      <c r="B25972" s="15" t="s">
        <v>11640</v>
      </c>
      <c r="C25972" s="15" t="s">
        <v>10178</v>
      </c>
      <c r="D25972" s="15" t="s">
        <v>10201</v>
      </c>
      <c r="E25972" s="2">
        <v>1269247</v>
      </c>
      <c r="F25972" s="4" t="e">
        <f>IF(B25972=#REF!,"",B25972)</f>
        <v>#REF!</v>
      </c>
    </row>
    <row r="25973" spans="1:6" ht="15.75" customHeight="1">
      <c r="A25973" s="15" t="s">
        <v>11639</v>
      </c>
      <c r="B25973" s="15" t="s">
        <v>11639</v>
      </c>
      <c r="C25973" s="15" t="s">
        <v>10178</v>
      </c>
      <c r="D25973" s="15" t="s">
        <v>10187</v>
      </c>
      <c r="E25973" s="2">
        <v>1269256</v>
      </c>
      <c r="F25973" s="4" t="e">
        <f>IF(B25973=#REF!,"",B25973)</f>
        <v>#REF!</v>
      </c>
    </row>
    <row r="25974" spans="1:6" ht="15.75" customHeight="1">
      <c r="A25974" s="15" t="s">
        <v>28970</v>
      </c>
      <c r="B25974" s="15" t="s">
        <v>28970</v>
      </c>
      <c r="C25974" s="15" t="s">
        <v>27788</v>
      </c>
      <c r="D25974" s="15" t="s">
        <v>27890</v>
      </c>
      <c r="E25974" s="2">
        <v>5257754</v>
      </c>
      <c r="F25974" s="4" t="e">
        <f>IF(B25974=#REF!,"",B25974)</f>
        <v>#REF!</v>
      </c>
    </row>
    <row r="25975" spans="1:6" ht="15.75" customHeight="1">
      <c r="A25975" s="15" t="s">
        <v>1882</v>
      </c>
      <c r="B25975" s="15" t="s">
        <v>1882</v>
      </c>
      <c r="C25975" s="15" t="s">
        <v>1878</v>
      </c>
      <c r="D25975" s="15" t="s">
        <v>1881</v>
      </c>
      <c r="E25975" s="2">
        <v>933719</v>
      </c>
      <c r="F25975" s="4" t="e">
        <f>IF(B25975=#REF!,"",B25975)</f>
        <v>#REF!</v>
      </c>
    </row>
    <row r="25976" spans="1:6" ht="15.75" customHeight="1">
      <c r="A25976" s="15" t="s">
        <v>2735</v>
      </c>
      <c r="B25976" s="15" t="s">
        <v>2735</v>
      </c>
      <c r="C25976" s="15" t="s">
        <v>1905</v>
      </c>
      <c r="D25976" s="15" t="s">
        <v>1914</v>
      </c>
      <c r="E25976" s="2">
        <v>3460170</v>
      </c>
      <c r="F25976" s="4" t="str">
        <f>IF(B25976=B25975,"",B25976)</f>
        <v>Jandira</v>
      </c>
    </row>
    <row r="25977" spans="1:6" ht="15.75" customHeight="1">
      <c r="A25977" s="16" t="str">
        <f ca="1">IFERROR(__xludf.DUMMYFUNCTION("GOOGLETRANSLATE(B33267,""en"",""pt"")"),"Jandiāla")</f>
        <v>Jandiāla</v>
      </c>
      <c r="B25977" s="20" t="s">
        <v>33622</v>
      </c>
      <c r="C25977" s="20" t="s">
        <v>10178</v>
      </c>
      <c r="D25977" s="20" t="s">
        <v>10184</v>
      </c>
      <c r="E25977" s="10">
        <v>1269269</v>
      </c>
      <c r="F25977" s="4" t="str">
        <f>IF(B25977=B25976,"",B25977)</f>
        <v>Jandiāla</v>
      </c>
    </row>
    <row r="25978" spans="1:6" ht="15.75" customHeight="1">
      <c r="A25978" s="15" t="s">
        <v>11637</v>
      </c>
      <c r="B25978" s="15" t="s">
        <v>11638</v>
      </c>
      <c r="C25978" s="15" t="s">
        <v>10178</v>
      </c>
      <c r="D25978" s="15" t="s">
        <v>10184</v>
      </c>
      <c r="E25978" s="2">
        <v>1269269</v>
      </c>
      <c r="F25978" s="4" t="e">
        <f>IF(B25978=#REF!,"",B25978)</f>
        <v>#REF!</v>
      </c>
    </row>
    <row r="25979" spans="1:6" ht="15.75" customHeight="1">
      <c r="A25979" s="16" t="s">
        <v>2733</v>
      </c>
      <c r="B25979" s="15" t="s">
        <v>2734</v>
      </c>
      <c r="C25979" s="16" t="s">
        <v>1905</v>
      </c>
      <c r="D25979" s="16" t="s">
        <v>728</v>
      </c>
      <c r="E25979" s="2">
        <v>3460172</v>
      </c>
      <c r="F25979" s="4" t="e">
        <f>IF(B25979=#REF!,"",B25979)</f>
        <v>#REF!</v>
      </c>
    </row>
    <row r="25980" spans="1:6" ht="15.75" customHeight="1">
      <c r="A25980" s="15" t="s">
        <v>19961</v>
      </c>
      <c r="B25980" s="15" t="s">
        <v>19961</v>
      </c>
      <c r="C25980" s="15" t="s">
        <v>19808</v>
      </c>
      <c r="D25980" s="15" t="s">
        <v>10184</v>
      </c>
      <c r="E25980" s="2">
        <v>1176218</v>
      </c>
      <c r="F25980" s="4" t="str">
        <f>IF(B25980=B25979,"",B25980)</f>
        <v>Jand</v>
      </c>
    </row>
    <row r="25981" spans="1:6" ht="15.75" customHeight="1">
      <c r="A25981" s="16" t="str">
        <f ca="1">IFERROR(__xludf.DUMMYFUNCTION("GOOGLETRANSLATE(B24899,""en"",""pt"")"),"Janaúba")</f>
        <v>Janaúba</v>
      </c>
      <c r="B25981" s="20" t="s">
        <v>31617</v>
      </c>
      <c r="C25981" s="20" t="s">
        <v>1905</v>
      </c>
      <c r="D25981" s="20" t="s">
        <v>1917</v>
      </c>
      <c r="E25981" s="10">
        <v>3460174</v>
      </c>
      <c r="F25981" s="4" t="e">
        <f>IF(B25981=#REF!,"",B25981)</f>
        <v>#REF!</v>
      </c>
    </row>
    <row r="25982" spans="1:6" ht="15.75" customHeight="1">
      <c r="A25982" s="15" t="s">
        <v>18837</v>
      </c>
      <c r="B25982" s="15" t="s">
        <v>18837</v>
      </c>
      <c r="C25982" s="15" t="s">
        <v>18800</v>
      </c>
      <c r="D25982" s="15" t="s">
        <v>17414</v>
      </c>
      <c r="E25982" s="2">
        <v>1283318</v>
      </c>
      <c r="F25982" s="4" t="e">
        <f>IF(B25982=#REF!,"",B25982)</f>
        <v>#REF!</v>
      </c>
    </row>
    <row r="25983" spans="1:6" ht="15.75" customHeight="1">
      <c r="A25983" s="15" t="s">
        <v>6977</v>
      </c>
      <c r="B25983" s="15" t="s">
        <v>6977</v>
      </c>
      <c r="C25983" s="15" t="s">
        <v>6948</v>
      </c>
      <c r="D25983" s="15" t="s">
        <v>6954</v>
      </c>
      <c r="E25983" s="2">
        <v>656073</v>
      </c>
      <c r="F25983" s="4" t="str">
        <f>IF(B25983=B25982,"",B25983)</f>
        <v>Janakkala</v>
      </c>
    </row>
    <row r="25984" spans="1:6" ht="15.75" customHeight="1">
      <c r="A25984" s="15" t="s">
        <v>2731</v>
      </c>
      <c r="B25984" s="15" t="s">
        <v>2732</v>
      </c>
      <c r="C25984" s="15" t="s">
        <v>1905</v>
      </c>
      <c r="D25984" s="15" t="s">
        <v>1917</v>
      </c>
      <c r="E25984" s="2">
        <v>3460174</v>
      </c>
      <c r="F25984" s="4" t="str">
        <f>IF(B25984=B25983,"",B25984)</f>
        <v>JanaÃºba</v>
      </c>
    </row>
    <row r="25985" spans="1:6" ht="15.75" customHeight="1">
      <c r="A25985" s="15" t="s">
        <v>20350</v>
      </c>
      <c r="B25985" s="15" t="s">
        <v>20351</v>
      </c>
      <c r="C25985" s="15" t="s">
        <v>20297</v>
      </c>
      <c r="D25985" s="15" t="s">
        <v>20298</v>
      </c>
      <c r="E25985" s="2">
        <v>283506</v>
      </c>
      <c r="F25985" s="4" t="str">
        <f>IF(B25985=B25984,"",B25985)</f>
        <v>JanÄ«n</v>
      </c>
    </row>
    <row r="25986" spans="1:6" ht="15.75" customHeight="1">
      <c r="A25986" s="16" t="s">
        <v>16916</v>
      </c>
      <c r="B25986" s="15" t="s">
        <v>16917</v>
      </c>
      <c r="C25986" s="16" t="s">
        <v>16884</v>
      </c>
      <c r="D25986" s="16" t="s">
        <v>16894</v>
      </c>
      <c r="E25986" s="2">
        <v>285603</v>
      </c>
      <c r="F25986" s="4" t="str">
        <f>IF(B25986=B25985,"",B25986)</f>
        <v>JanÅ«b as Surrah</v>
      </c>
    </row>
    <row r="25987" spans="1:6" ht="15.75" customHeight="1">
      <c r="A25987" s="16" t="str">
        <f ca="1">IFERROR(__xludf.DUMMYFUNCTION("GOOGLETRANSLATE(B33268,""en"",""pt"")"),"Jāmuria")</f>
        <v>Jāmuria</v>
      </c>
      <c r="B25987" s="20" t="s">
        <v>33623</v>
      </c>
      <c r="C25987" s="20" t="s">
        <v>10178</v>
      </c>
      <c r="D25987" s="20" t="s">
        <v>10201</v>
      </c>
      <c r="E25987" s="10">
        <v>1269280</v>
      </c>
      <c r="F25987" s="4" t="str">
        <f>IF(B25987=B25986,"",B25987)</f>
        <v>Jāmuria</v>
      </c>
    </row>
    <row r="25988" spans="1:6" ht="15.75" customHeight="1">
      <c r="A25988" s="16" t="str">
        <f ca="1">IFERROR(__xludf.DUMMYFUNCTION("GOOGLETRANSLATE(B26966,""en"",""pt"")"),"Jamundí")</f>
        <v>Jamundí</v>
      </c>
      <c r="B25988" s="20" t="s">
        <v>31868</v>
      </c>
      <c r="C25988" s="20" t="s">
        <v>5348</v>
      </c>
      <c r="D25988" s="20" t="s">
        <v>5360</v>
      </c>
      <c r="E25988" s="10">
        <v>3680387</v>
      </c>
      <c r="F25988" s="4" t="str">
        <f>IF(B25988=B25987,"",B25988)</f>
        <v>Jamundí</v>
      </c>
    </row>
    <row r="25989" spans="1:6" ht="15.75" customHeight="1">
      <c r="A25989" s="15" t="s">
        <v>5493</v>
      </c>
      <c r="B25989" s="15" t="s">
        <v>5494</v>
      </c>
      <c r="C25989" s="15" t="s">
        <v>5348</v>
      </c>
      <c r="D25989" s="15" t="s">
        <v>5360</v>
      </c>
      <c r="E25989" s="2">
        <v>3680387</v>
      </c>
      <c r="F25989" s="4" t="str">
        <f>IF(B25989=B25988,"",B25989)</f>
        <v>JamundÃ­</v>
      </c>
    </row>
    <row r="25990" spans="1:6" ht="15.75" customHeight="1">
      <c r="A25990" s="16" t="str">
        <f ca="1">IFERROR(__xludf.DUMMYFUNCTION("GOOGLETRANSLATE(B33269,""en"",""pt"")"),"Jamūī")</f>
        <v>Jamūī</v>
      </c>
      <c r="B25990" s="20" t="s">
        <v>33624</v>
      </c>
      <c r="C25990" s="20" t="s">
        <v>10178</v>
      </c>
      <c r="D25990" s="20" t="s">
        <v>10317</v>
      </c>
      <c r="E25990" s="10">
        <v>1269291</v>
      </c>
      <c r="F25990" s="4" t="str">
        <f>IF(B25990=B25989,"",B25990)</f>
        <v>Jamūī</v>
      </c>
    </row>
    <row r="25991" spans="1:6" ht="15.75" customHeight="1">
      <c r="A25991" s="16" t="str">
        <f ca="1">IFERROR(__xludf.DUMMYFUNCTION("GOOGLETRANSLATE(B33270,""en"",""pt"")"),"Jāmtāra")</f>
        <v>Jāmtāra</v>
      </c>
      <c r="B25991" s="20" t="s">
        <v>33625</v>
      </c>
      <c r="C25991" s="20" t="s">
        <v>10178</v>
      </c>
      <c r="D25991" s="20" t="s">
        <v>10430</v>
      </c>
      <c r="E25991" s="10">
        <v>1269298</v>
      </c>
      <c r="F25991" s="4" t="e">
        <f>IF(B25991=#REF!,"",B25991)</f>
        <v>#REF!</v>
      </c>
    </row>
    <row r="25992" spans="1:6" ht="15.75" customHeight="1">
      <c r="A25992" s="16" t="s">
        <v>11636</v>
      </c>
      <c r="B25992" s="15" t="s">
        <v>11636</v>
      </c>
      <c r="C25992" s="16" t="s">
        <v>10178</v>
      </c>
      <c r="D25992" s="16" t="s">
        <v>10430</v>
      </c>
      <c r="E25992" s="2">
        <v>1269300</v>
      </c>
      <c r="F25992" s="4" t="str">
        <f>IF(B25992=B25991,"",B25992)</f>
        <v>Jamshedpur</v>
      </c>
    </row>
    <row r="25993" spans="1:6" ht="15.75" customHeight="1">
      <c r="A25993" s="16" t="str">
        <f ca="1">IFERROR(__xludf.DUMMYFUNCTION("GOOGLETRANSLATE(B29649,""en"",""pt"")"),"Jämsä")</f>
        <v>Jämsä</v>
      </c>
      <c r="B25993" s="20" t="s">
        <v>32527</v>
      </c>
      <c r="C25993" s="20" t="s">
        <v>6948</v>
      </c>
      <c r="D25993" s="20" t="s">
        <v>6972</v>
      </c>
      <c r="E25993" s="10">
        <v>656083</v>
      </c>
      <c r="F25993" s="4" t="str">
        <f>IF(B25993=B25992,"",B25993)</f>
        <v>Jämsä</v>
      </c>
    </row>
    <row r="25994" spans="1:6" ht="15.75" customHeight="1">
      <c r="A25994" s="16" t="str">
        <f ca="1">IFERROR(__xludf.DUMMYFUNCTION("GOOGLETRANSLATE(B39072,""en"",""pt"")"),"Jāmpur")</f>
        <v>Jāmpur</v>
      </c>
      <c r="B25994" s="20" t="s">
        <v>35007</v>
      </c>
      <c r="C25994" s="20" t="s">
        <v>19808</v>
      </c>
      <c r="D25994" s="20" t="s">
        <v>10184</v>
      </c>
      <c r="E25994" s="10">
        <v>1176241</v>
      </c>
      <c r="F25994" s="4" t="str">
        <f>IF(B25994=B25993,"",B25994)</f>
        <v>Jāmpur</v>
      </c>
    </row>
    <row r="25995" spans="1:6" ht="15.75" customHeight="1">
      <c r="A25995" s="16" t="str">
        <f ca="1">IFERROR(__xludf.DUMMYFUNCTION("GOOGLETRANSLATE(B33272,""en"",""pt"")"),"Jāmnagar")</f>
        <v>Jāmnagar</v>
      </c>
      <c r="B25995" s="20" t="s">
        <v>33626</v>
      </c>
      <c r="C25995" s="20" t="s">
        <v>10178</v>
      </c>
      <c r="D25995" s="20" t="s">
        <v>10209</v>
      </c>
      <c r="E25995" s="10">
        <v>1269317</v>
      </c>
      <c r="F25995" s="4" t="e">
        <f>IF(B25995=#REF!,"",B25995)</f>
        <v>#REF!</v>
      </c>
    </row>
    <row r="25996" spans="1:6" ht="15.75" customHeight="1">
      <c r="A25996" s="15" t="s">
        <v>11635</v>
      </c>
      <c r="B25996" s="15" t="s">
        <v>11635</v>
      </c>
      <c r="C25996" s="15" t="s">
        <v>10178</v>
      </c>
      <c r="D25996" s="15" t="s">
        <v>10355</v>
      </c>
      <c r="E25996" s="2">
        <v>1269321</v>
      </c>
      <c r="F25996" s="4" t="e">
        <f>IF(B25996=#REF!,"",B25996)</f>
        <v>#REF!</v>
      </c>
    </row>
    <row r="25997" spans="1:6" ht="15.75" customHeight="1">
      <c r="A25997" s="16" t="s">
        <v>11634</v>
      </c>
      <c r="B25997" s="15" t="s">
        <v>11634</v>
      </c>
      <c r="C25997" s="16" t="s">
        <v>10178</v>
      </c>
      <c r="D25997" s="16" t="s">
        <v>10190</v>
      </c>
      <c r="E25997" s="2">
        <v>1269323</v>
      </c>
      <c r="F25997" s="4" t="e">
        <f>IF(B25997=#REF!,"",B25997)</f>
        <v>#REF!</v>
      </c>
    </row>
    <row r="25998" spans="1:6" ht="15.75" customHeight="1">
      <c r="A25998" s="16" t="s">
        <v>11633</v>
      </c>
      <c r="B25998" s="15" t="s">
        <v>11633</v>
      </c>
      <c r="C25998" s="16" t="s">
        <v>10178</v>
      </c>
      <c r="D25998" s="16" t="s">
        <v>10252</v>
      </c>
      <c r="E25998" s="2">
        <v>1269328</v>
      </c>
      <c r="F25998" s="4" t="str">
        <f>IF(B25998=B25997,"",B25998)</f>
        <v>Jamkhandi</v>
      </c>
    </row>
    <row r="25999" spans="1:6" ht="15.75" customHeight="1">
      <c r="A25999" s="16" t="str">
        <f ca="1">IFERROR(__xludf.DUMMYFUNCTION("GOOGLETRANSLATE(B34293,""en"",""pt"")"),"Jamjamāl")</f>
        <v>Jamjamāl</v>
      </c>
      <c r="B25999" s="20" t="s">
        <v>34085</v>
      </c>
      <c r="C25999" s="20" t="s">
        <v>14594</v>
      </c>
      <c r="D25999" s="20" t="s">
        <v>34083</v>
      </c>
      <c r="E25999" s="10">
        <v>97417</v>
      </c>
      <c r="F25999" s="4" t="str">
        <f>IF(B25999=B25998,"",B25999)</f>
        <v>Jamjamāl</v>
      </c>
    </row>
    <row r="26000" spans="1:6" ht="15.75" customHeight="1">
      <c r="A26000" s="16" t="s">
        <v>14686</v>
      </c>
      <c r="B26000" s="15" t="s">
        <v>14687</v>
      </c>
      <c r="C26000" s="16" t="s">
        <v>14594</v>
      </c>
      <c r="D26000" s="16" t="s">
        <v>14598</v>
      </c>
      <c r="E26000" s="2">
        <v>97417</v>
      </c>
      <c r="F26000" s="4" t="e">
        <f>IF(B26000=#REF!,"",B26000)</f>
        <v>#REF!</v>
      </c>
    </row>
    <row r="26001" spans="1:6" ht="15.75" customHeight="1">
      <c r="A26001" s="16" t="s">
        <v>23428</v>
      </c>
      <c r="B26001" s="15" t="s">
        <v>23428</v>
      </c>
      <c r="C26001" s="16" t="s">
        <v>23429</v>
      </c>
      <c r="D26001" s="16" t="s">
        <v>23429</v>
      </c>
      <c r="E26001" s="2">
        <v>3370903</v>
      </c>
      <c r="F26001" s="4" t="e">
        <f>IF(B26001=#REF!,"",B26001)</f>
        <v>#REF!</v>
      </c>
    </row>
    <row r="26002" spans="1:6" ht="15.75" customHeight="1">
      <c r="A26002" s="15" t="s">
        <v>11632</v>
      </c>
      <c r="B26002" s="15" t="s">
        <v>11632</v>
      </c>
      <c r="C26002" s="15" t="s">
        <v>10178</v>
      </c>
      <c r="D26002" s="15" t="s">
        <v>10209</v>
      </c>
      <c r="E26002" s="2">
        <v>1269350</v>
      </c>
      <c r="F26002" s="4" t="e">
        <f>IF(B26002=#REF!,"",B26002)</f>
        <v>#REF!</v>
      </c>
    </row>
    <row r="26003" spans="1:6" ht="15.75" customHeight="1">
      <c r="A26003" s="16" t="s">
        <v>13938</v>
      </c>
      <c r="B26003" s="15" t="s">
        <v>13939</v>
      </c>
      <c r="C26003" s="16" t="s">
        <v>13800</v>
      </c>
      <c r="D26003" s="16" t="s">
        <v>13940</v>
      </c>
      <c r="E26003" s="2">
        <v>1642858</v>
      </c>
      <c r="F26003" s="4" t="e">
        <f>IF(B26003=#REF!,"",B26003)</f>
        <v>#REF!</v>
      </c>
    </row>
    <row r="26004" spans="1:6" ht="15.75" customHeight="1">
      <c r="A26004" s="15" t="s">
        <v>18012</v>
      </c>
      <c r="B26004" s="15" t="s">
        <v>18012</v>
      </c>
      <c r="C26004" s="15" t="s">
        <v>17707</v>
      </c>
      <c r="D26004" s="15" t="s">
        <v>17746</v>
      </c>
      <c r="E26004" s="2">
        <v>4004126</v>
      </c>
      <c r="F26004" s="4" t="e">
        <f>IF(B26004=#REF!,"",B26004)</f>
        <v>#REF!</v>
      </c>
    </row>
    <row r="26005" spans="1:6" ht="15.75" customHeight="1">
      <c r="A26005" s="16" t="str">
        <f ca="1">IFERROR(__xludf.DUMMYFUNCTION("GOOGLETRANSLATE(B23698,""en"",""pt"")"),"Jamālpur")</f>
        <v>Jamālpur</v>
      </c>
      <c r="B26005" s="20" t="s">
        <v>31258</v>
      </c>
      <c r="C26005" s="20" t="s">
        <v>1296</v>
      </c>
      <c r="D26005" s="20" t="s">
        <v>1297</v>
      </c>
      <c r="E26005" s="10">
        <v>1185106</v>
      </c>
      <c r="F26005" s="4" t="e">
        <f>IF(B26005=#REF!,"",B26005)</f>
        <v>#REF!</v>
      </c>
    </row>
    <row r="26006" spans="1:6" ht="15.75" customHeight="1">
      <c r="A26006" s="16" t="s">
        <v>28969</v>
      </c>
      <c r="B26006" s="15" t="s">
        <v>28969</v>
      </c>
      <c r="C26006" s="16" t="s">
        <v>27788</v>
      </c>
      <c r="D26006" s="16" t="s">
        <v>27794</v>
      </c>
      <c r="E26006" s="2">
        <v>4940764</v>
      </c>
      <c r="F26006" s="4" t="e">
        <f>IF(B26006=#REF!,"",B26006)</f>
        <v>#REF!</v>
      </c>
    </row>
    <row r="26007" spans="1:6" ht="15.75" customHeight="1">
      <c r="A26007" s="15" t="s">
        <v>15682</v>
      </c>
      <c r="B26007" s="15" t="s">
        <v>15682</v>
      </c>
      <c r="C26007" s="15" t="s">
        <v>27788</v>
      </c>
      <c r="D26007" s="15" t="s">
        <v>27819</v>
      </c>
      <c r="E26007" s="2">
        <v>5122520</v>
      </c>
      <c r="F26007" s="4" t="str">
        <f>IF(B26007=B26006,"",B26007)</f>
        <v>Jamaica</v>
      </c>
    </row>
    <row r="26008" spans="1:6" ht="15.75" customHeight="1">
      <c r="A26008" s="16" t="str">
        <f ca="1">IFERROR(__xludf.DUMMYFUNCTION("GOOGLETRANSLATE(B33278,""en"",""pt"")"),"Jāmai")</f>
        <v>Jāmai</v>
      </c>
      <c r="B26008" s="20" t="s">
        <v>33627</v>
      </c>
      <c r="C26008" s="20" t="s">
        <v>10178</v>
      </c>
      <c r="D26008" s="20" t="s">
        <v>10219</v>
      </c>
      <c r="E26008" s="10">
        <v>1269377</v>
      </c>
      <c r="F26008" s="4" t="str">
        <f>IF(B26008=B26007,"",B26008)</f>
        <v>Jāmai</v>
      </c>
    </row>
    <row r="26009" spans="1:6" ht="15.75" customHeight="1">
      <c r="A26009" s="16" t="str">
        <f ca="1">IFERROR(__xludf.DUMMYFUNCTION("GOOGLETRANSLATE(B33279,""en"",""pt"")"),"Jāmadoba")</f>
        <v>Jāmadoba</v>
      </c>
      <c r="B26009" s="20" t="s">
        <v>33628</v>
      </c>
      <c r="C26009" s="20" t="s">
        <v>10178</v>
      </c>
      <c r="D26009" s="20" t="s">
        <v>10430</v>
      </c>
      <c r="E26009" s="10">
        <v>1269379</v>
      </c>
      <c r="F26009" s="4" t="e">
        <f>IF(B26009=#REF!,"",B26009)</f>
        <v>#REF!</v>
      </c>
    </row>
    <row r="26010" spans="1:6" ht="15.75" customHeight="1">
      <c r="A26010" s="15" t="s">
        <v>23825</v>
      </c>
      <c r="B26010" s="15" t="s">
        <v>23825</v>
      </c>
      <c r="C26010" s="15" t="s">
        <v>23800</v>
      </c>
      <c r="D26010" s="15" t="s">
        <v>23826</v>
      </c>
      <c r="E26010" s="2">
        <v>56399</v>
      </c>
      <c r="F26010" s="4" t="e">
        <f>IF(B26010=#REF!,"",B26010)</f>
        <v>#REF!</v>
      </c>
    </row>
    <row r="26011" spans="1:6" ht="15.75" customHeight="1">
      <c r="A26011" s="15" t="s">
        <v>1350</v>
      </c>
      <c r="B26011" s="15" t="s">
        <v>1351</v>
      </c>
      <c r="C26011" s="15" t="s">
        <v>1296</v>
      </c>
      <c r="D26011" s="15" t="s">
        <v>1297</v>
      </c>
      <c r="E26011" s="2">
        <v>1185106</v>
      </c>
      <c r="F26011" s="4" t="str">
        <f>IF(B26011=B26010,"",B26011)</f>
        <v>JamÄlpur</v>
      </c>
    </row>
    <row r="26012" spans="1:6" ht="15.75" customHeight="1">
      <c r="A26012" s="15" t="s">
        <v>11630</v>
      </c>
      <c r="B26012" s="15" t="s">
        <v>11631</v>
      </c>
      <c r="C26012" s="15" t="s">
        <v>10178</v>
      </c>
      <c r="D26012" s="15" t="s">
        <v>10317</v>
      </c>
      <c r="E26012" s="2">
        <v>1269291</v>
      </c>
      <c r="F26012" s="4" t="str">
        <f>IF(B26012=B26011,"",B26012)</f>
        <v>JamÅ«Ä«</v>
      </c>
    </row>
    <row r="26013" spans="1:6" ht="15.75" customHeight="1">
      <c r="A26013" s="16" t="str">
        <f ca="1">IFERROR(__xludf.DUMMYFUNCTION("GOOGLETRANSLATE(B33280,""en"",""pt"")"),"Jalpāiguri")</f>
        <v>Jalpāiguri</v>
      </c>
      <c r="B26013" s="20" t="s">
        <v>33629</v>
      </c>
      <c r="C26013" s="20" t="s">
        <v>10178</v>
      </c>
      <c r="D26013" s="20" t="s">
        <v>10201</v>
      </c>
      <c r="E26013" s="10">
        <v>1269388</v>
      </c>
      <c r="F26013" s="4" t="str">
        <f>IF(B26013=B26012,"",B26013)</f>
        <v>Jalpāiguri</v>
      </c>
    </row>
    <row r="26014" spans="1:6" ht="15.75" customHeight="1">
      <c r="A26014" s="15" t="s">
        <v>11628</v>
      </c>
      <c r="B26014" s="15" t="s">
        <v>11629</v>
      </c>
      <c r="C26014" s="15" t="s">
        <v>10178</v>
      </c>
      <c r="D26014" s="15" t="s">
        <v>10201</v>
      </c>
      <c r="E26014" s="2">
        <v>1269388</v>
      </c>
      <c r="F26014" s="4" t="str">
        <f>IF(B26014=B26013,"",B26014)</f>
        <v>JalpÄiguri</v>
      </c>
    </row>
    <row r="26015" spans="1:6" ht="15.75" customHeight="1">
      <c r="A26015" s="16" t="str">
        <f ca="1">IFERROR(__xludf.DUMMYFUNCTION("GOOGLETRANSLATE(B37003,""en"",""pt"")"),"Jalpa de Méndez")</f>
        <v>Jalpa de Méndez</v>
      </c>
      <c r="B26015" s="20" t="s">
        <v>34695</v>
      </c>
      <c r="C26015" s="20" t="s">
        <v>17707</v>
      </c>
      <c r="D26015" s="20" t="s">
        <v>17788</v>
      </c>
      <c r="E26015" s="10">
        <v>3526603</v>
      </c>
      <c r="F26015" s="4" t="str">
        <f>IF(B26015=B26014,"",B26015)</f>
        <v>Jalpa de Méndez</v>
      </c>
    </row>
    <row r="26016" spans="1:6" ht="15.75" customHeight="1">
      <c r="A26016" s="16" t="s">
        <v>18010</v>
      </c>
      <c r="B26016" s="15" t="s">
        <v>18011</v>
      </c>
      <c r="C26016" s="16" t="s">
        <v>17707</v>
      </c>
      <c r="D26016" s="16" t="s">
        <v>17788</v>
      </c>
      <c r="E26016" s="2">
        <v>3526603</v>
      </c>
      <c r="F26016" s="4" t="str">
        <f>IF(B26016=B26015,"",B26016)</f>
        <v>Jalpa de MÃ©ndez</v>
      </c>
    </row>
    <row r="26017" spans="1:6" ht="15.75" customHeight="1">
      <c r="A26017" s="16" t="str">
        <f ca="1">IFERROR(__xludf.DUMMYFUNCTION("GOOGLETRANSLATE(B37274,""en"",""pt"")"),"Jalostotitlán")</f>
        <v>Jalostotitlán</v>
      </c>
      <c r="B26017" s="20" t="s">
        <v>34763</v>
      </c>
      <c r="C26017" s="20" t="s">
        <v>17707</v>
      </c>
      <c r="D26017" s="20" t="s">
        <v>17746</v>
      </c>
      <c r="E26017" s="10">
        <v>4004153</v>
      </c>
      <c r="F26017" s="4" t="str">
        <f>IF(B26017=B26016,"",B26017)</f>
        <v>Jalostotitlán</v>
      </c>
    </row>
    <row r="26018" spans="1:6" ht="15.75" customHeight="1">
      <c r="A26018" s="16" t="s">
        <v>18008</v>
      </c>
      <c r="B26018" s="15" t="s">
        <v>18009</v>
      </c>
      <c r="C26018" s="16" t="s">
        <v>17707</v>
      </c>
      <c r="D26018" s="16" t="s">
        <v>17746</v>
      </c>
      <c r="E26018" s="2">
        <v>4004153</v>
      </c>
      <c r="F26018" s="4" t="e">
        <f>IF(B26018=#REF!,"",B26018)</f>
        <v>#REF!</v>
      </c>
    </row>
    <row r="26019" spans="1:6" ht="15.75" customHeight="1">
      <c r="A26019" s="15" t="s">
        <v>11627</v>
      </c>
      <c r="B26019" s="15" t="s">
        <v>11627</v>
      </c>
      <c r="C26019" s="15" t="s">
        <v>10178</v>
      </c>
      <c r="D26019" s="15" t="s">
        <v>10179</v>
      </c>
      <c r="E26019" s="2">
        <v>1269392</v>
      </c>
      <c r="F26019" s="4" t="str">
        <f>IF(B26019=B26018,"",B26019)</f>
        <v>Jalor</v>
      </c>
    </row>
    <row r="26020" spans="1:6" ht="15.75" customHeight="1">
      <c r="A26020" s="16" t="str">
        <f ca="1">IFERROR(__xludf.DUMMYFUNCTION("GOOGLETRANSLATE(B33282,""en"",""pt"")"),"Jālna")</f>
        <v>Jālna</v>
      </c>
      <c r="B26020" s="20" t="s">
        <v>33630</v>
      </c>
      <c r="C26020" s="20" t="s">
        <v>10178</v>
      </c>
      <c r="D26020" s="20" t="s">
        <v>10214</v>
      </c>
      <c r="E26020" s="10">
        <v>1269395</v>
      </c>
      <c r="F26020" s="4" t="e">
        <f>IF(B26020=#REF!,"",B26020)</f>
        <v>#REF!</v>
      </c>
    </row>
    <row r="26021" spans="1:6" ht="15.75" customHeight="1">
      <c r="A26021" s="15" t="s">
        <v>19466</v>
      </c>
      <c r="B26021" s="15" t="s">
        <v>19466</v>
      </c>
      <c r="C26021" s="15" t="s">
        <v>19294</v>
      </c>
      <c r="D26021" s="15" t="s">
        <v>19341</v>
      </c>
      <c r="E26021" s="2">
        <v>2336589</v>
      </c>
      <c r="F26021" s="4" t="e">
        <f>IF(B26021=#REF!,"",B26021)</f>
        <v>#REF!</v>
      </c>
    </row>
    <row r="26022" spans="1:6" ht="15.75" customHeight="1">
      <c r="A26022" s="16" t="s">
        <v>11626</v>
      </c>
      <c r="B26022" s="15" t="s">
        <v>11626</v>
      </c>
      <c r="C26022" s="16" t="s">
        <v>10178</v>
      </c>
      <c r="D26022" s="16" t="s">
        <v>10214</v>
      </c>
      <c r="E26022" s="2">
        <v>1269406</v>
      </c>
      <c r="F26022" s="4" t="e">
        <f>IF(B26022=#REF!,"",B26022)</f>
        <v>#REF!</v>
      </c>
    </row>
    <row r="26023" spans="1:6" ht="15.75" customHeight="1">
      <c r="A26023" s="15" t="s">
        <v>11625</v>
      </c>
      <c r="B26023" s="15" t="s">
        <v>11625</v>
      </c>
      <c r="C26023" s="15" t="s">
        <v>10178</v>
      </c>
      <c r="D26023" s="15" t="s">
        <v>10214</v>
      </c>
      <c r="E26023" s="2">
        <v>1269407</v>
      </c>
      <c r="F26023" s="4" t="e">
        <f>IF(B26023=#REF!,"",B26023)</f>
        <v>#REF!</v>
      </c>
    </row>
    <row r="26024" spans="1:6" ht="15.75" customHeight="1">
      <c r="A26024" s="15" t="s">
        <v>18836</v>
      </c>
      <c r="B26024" s="15" t="s">
        <v>18836</v>
      </c>
      <c r="C26024" s="15" t="s">
        <v>18800</v>
      </c>
      <c r="D26024" s="15" t="s">
        <v>17414</v>
      </c>
      <c r="E26024" s="2">
        <v>1283323</v>
      </c>
      <c r="F26024" s="4" t="e">
        <f>IF(B26024=#REF!,"",B26024)</f>
        <v>#REF!</v>
      </c>
    </row>
    <row r="26025" spans="1:6" ht="15.75" customHeight="1">
      <c r="A26025" s="15" t="s">
        <v>11624</v>
      </c>
      <c r="B26025" s="15" t="s">
        <v>11624</v>
      </c>
      <c r="C26025" s="15" t="s">
        <v>10178</v>
      </c>
      <c r="D26025" s="15" t="s">
        <v>10229</v>
      </c>
      <c r="E26025" s="2">
        <v>1269413</v>
      </c>
      <c r="F26025" s="4" t="e">
        <f>IF(B26025=#REF!,"",B26025)</f>
        <v>#REF!</v>
      </c>
    </row>
    <row r="26026" spans="1:6" ht="15.75" customHeight="1">
      <c r="A26026" s="15" t="s">
        <v>11623</v>
      </c>
      <c r="B26026" s="15" t="s">
        <v>11623</v>
      </c>
      <c r="C26026" s="15" t="s">
        <v>10178</v>
      </c>
      <c r="D26026" s="15" t="s">
        <v>10193</v>
      </c>
      <c r="E26026" s="2">
        <v>1269415</v>
      </c>
      <c r="F26026" s="4" t="e">
        <f>IF(B26026=#REF!,"",B26026)</f>
        <v>#REF!</v>
      </c>
    </row>
    <row r="26027" spans="1:6" ht="15.75" customHeight="1">
      <c r="A26027" s="15" t="s">
        <v>2730</v>
      </c>
      <c r="B26027" s="15" t="s">
        <v>2730</v>
      </c>
      <c r="C26027" s="15" t="s">
        <v>1905</v>
      </c>
      <c r="D26027" s="15" t="s">
        <v>1914</v>
      </c>
      <c r="E26027" s="2">
        <v>3460186</v>
      </c>
      <c r="F26027" s="4" t="str">
        <f>IF(B26027=B26026,"",B26027)</f>
        <v>Jales</v>
      </c>
    </row>
    <row r="26028" spans="1:6" ht="15.75" customHeight="1">
      <c r="A26028" s="16" t="str">
        <f ca="1">IFERROR(__xludf.DUMMYFUNCTION("GOOGLETRANSLATE(B33287,""en"",""pt"")"),"Jālaun")</f>
        <v>Jālaun</v>
      </c>
      <c r="B26028" s="20" t="s">
        <v>33631</v>
      </c>
      <c r="C26028" s="20" t="s">
        <v>10178</v>
      </c>
      <c r="D26028" s="20" t="s">
        <v>10193</v>
      </c>
      <c r="E26028" s="10">
        <v>1269422</v>
      </c>
      <c r="F26028" s="4" t="e">
        <f>IF(B26028=#REF!,"",B26028)</f>
        <v>#REF!</v>
      </c>
    </row>
    <row r="26029" spans="1:6" ht="15.75" customHeight="1">
      <c r="A26029" s="15" t="s">
        <v>9748</v>
      </c>
      <c r="B26029" s="15" t="s">
        <v>9748</v>
      </c>
      <c r="C26029" s="15" t="s">
        <v>9700</v>
      </c>
      <c r="D26029" s="15" t="s">
        <v>9748</v>
      </c>
      <c r="E26029" s="2">
        <v>3595237</v>
      </c>
      <c r="F26029" s="4" t="e">
        <f>IF(B26029=#REF!,"",B26029)</f>
        <v>#REF!</v>
      </c>
    </row>
    <row r="26030" spans="1:6" ht="15.75" customHeight="1">
      <c r="A26030" s="15" t="s">
        <v>11622</v>
      </c>
      <c r="B26030" s="15" t="s">
        <v>11622</v>
      </c>
      <c r="C26030" s="15" t="s">
        <v>10178</v>
      </c>
      <c r="D26030" s="15" t="s">
        <v>10184</v>
      </c>
      <c r="E26030" s="2">
        <v>1268782</v>
      </c>
      <c r="F26030" s="4" t="str">
        <f>IF(B26030=B26029,"",B26030)</f>
        <v>Jalandhar</v>
      </c>
    </row>
    <row r="26031" spans="1:6" ht="15.75" customHeight="1">
      <c r="A26031" s="16" t="str">
        <f ca="1">IFERROR(__xludf.DUMMYFUNCTION("GOOGLETRANSLATE(B39073,""en"",""pt"")"),"Jalālpur pīrwāla")</f>
        <v>Jalālpur pīrwāla</v>
      </c>
      <c r="B26031" s="20" t="s">
        <v>35008</v>
      </c>
      <c r="C26031" s="20" t="s">
        <v>19808</v>
      </c>
      <c r="D26031" s="20" t="s">
        <v>10184</v>
      </c>
      <c r="E26031" s="10">
        <v>1176358</v>
      </c>
      <c r="F26031" s="4" t="e">
        <f>IF(B26031=#REF!,"",B26031)</f>
        <v>#REF!</v>
      </c>
    </row>
    <row r="26032" spans="1:6" ht="15.75" customHeight="1">
      <c r="A26032" s="16" t="str">
        <f ca="1">IFERROR(__xludf.DUMMYFUNCTION("GOOGLETRANSLATE(B33288,""en"",""pt"")"),"Jalālpur")</f>
        <v>Jalālpur</v>
      </c>
      <c r="B26032" s="20" t="s">
        <v>33632</v>
      </c>
      <c r="C26032" s="20" t="s">
        <v>10178</v>
      </c>
      <c r="D26032" s="20" t="s">
        <v>10193</v>
      </c>
      <c r="E26032" s="10">
        <v>1269435</v>
      </c>
      <c r="F26032" s="4" t="str">
        <f>IF(B26032=B26031,"",B26032)</f>
        <v>Jalālpur</v>
      </c>
    </row>
    <row r="26033" spans="1:6" ht="15.75" customHeight="1">
      <c r="A26033" s="16" t="str">
        <f ca="1">IFERROR(__xludf.DUMMYFUNCTION("GOOGLETRANSLATE(B33290,""en"",""pt"")"),"Jalālī")</f>
        <v>Jalālī</v>
      </c>
      <c r="B26033" s="20" t="s">
        <v>33633</v>
      </c>
      <c r="C26033" s="20" t="s">
        <v>10178</v>
      </c>
      <c r="D26033" s="20" t="s">
        <v>10193</v>
      </c>
      <c r="E26033" s="10">
        <v>1269441</v>
      </c>
      <c r="F26033" s="4" t="e">
        <f>IF(B26033=#REF!,"",B26033)</f>
        <v>#REF!</v>
      </c>
    </row>
    <row r="26034" spans="1:6" ht="15.75" customHeight="1">
      <c r="A26034" s="16" t="str">
        <f ca="1">IFERROR(__xludf.DUMMYFUNCTION("GOOGLETRANSLATE(B23081,""en"",""pt"")"),"Jalālābād")</f>
        <v>Jalālābād</v>
      </c>
      <c r="B26034" s="20" t="s">
        <v>31129</v>
      </c>
      <c r="C26034" s="20" t="s">
        <v>8</v>
      </c>
      <c r="D26034" s="20" t="s">
        <v>31130</v>
      </c>
      <c r="E26034" s="10">
        <v>1139715</v>
      </c>
      <c r="F26034" s="4" t="str">
        <f>IF(B26034=B26033,"",B26034)</f>
        <v>Jalālābād</v>
      </c>
    </row>
    <row r="26035" spans="1:6" ht="15.75" customHeight="1">
      <c r="A26035" s="16" t="str">
        <f ca="1">IFERROR(__xludf.DUMMYFUNCTION("GOOGLETRANSLATE(B33292,""en"",""pt"")"),"Jalālābad")</f>
        <v>Jalālābad</v>
      </c>
      <c r="B26035" s="20" t="s">
        <v>33634</v>
      </c>
      <c r="C26035" s="20" t="s">
        <v>10178</v>
      </c>
      <c r="D26035" s="20" t="s">
        <v>10193</v>
      </c>
      <c r="E26035" s="10">
        <v>1269446</v>
      </c>
      <c r="F26035" s="4" t="e">
        <f>IF(B26035=#REF!,"",B26035)</f>
        <v>#REF!</v>
      </c>
    </row>
    <row r="26036" spans="1:6" ht="15.75" customHeight="1">
      <c r="A26036" s="16" t="s">
        <v>16929</v>
      </c>
      <c r="B26036" s="15" t="s">
        <v>16929</v>
      </c>
      <c r="C26036" s="16" t="s">
        <v>16924</v>
      </c>
      <c r="D26036" s="16" t="s">
        <v>16929</v>
      </c>
      <c r="E26036" s="2">
        <v>1528249</v>
      </c>
      <c r="F26036" s="4" t="e">
        <f>IF(B26036=#REF!,"",B26036)</f>
        <v>#REF!</v>
      </c>
    </row>
    <row r="26037" spans="1:6" ht="15.75" customHeight="1">
      <c r="A26037" s="15" t="s">
        <v>20803</v>
      </c>
      <c r="B26037" s="15" t="s">
        <v>20803</v>
      </c>
      <c r="C26037" s="15" t="s">
        <v>20598</v>
      </c>
      <c r="D26037" s="15" t="s">
        <v>20608</v>
      </c>
      <c r="E26037" s="2">
        <v>1710357</v>
      </c>
      <c r="F26037" s="4" t="e">
        <f>IF(B26037=#REF!,"",B26037)</f>
        <v>#REF!</v>
      </c>
    </row>
    <row r="26038" spans="1:6" ht="15.75" customHeight="1">
      <c r="A26038" s="15" t="s">
        <v>4788</v>
      </c>
      <c r="B26038" s="15" t="s">
        <v>4788</v>
      </c>
      <c r="C26038" s="15" t="s">
        <v>4487</v>
      </c>
      <c r="D26038" s="15" t="s">
        <v>4533</v>
      </c>
      <c r="E26038" s="2">
        <v>2036595</v>
      </c>
      <c r="F26038" s="4" t="str">
        <f>IF(B26038=B26037,"",B26038)</f>
        <v>Jalai Nur</v>
      </c>
    </row>
    <row r="26039" spans="1:6" ht="15.75" customHeight="1">
      <c r="A26039" s="16" t="s">
        <v>19959</v>
      </c>
      <c r="B26039" s="15" t="s">
        <v>19960</v>
      </c>
      <c r="C26039" s="16" t="s">
        <v>19808</v>
      </c>
      <c r="D26039" s="16" t="s">
        <v>10184</v>
      </c>
      <c r="E26039" s="2">
        <v>1176358</v>
      </c>
      <c r="F26039" s="4" t="e">
        <f>IF(B26039=#REF!,"",B26039)</f>
        <v>#REF!</v>
      </c>
    </row>
    <row r="26040" spans="1:6" ht="15.75" customHeight="1">
      <c r="A26040" s="15" t="s">
        <v>11620</v>
      </c>
      <c r="B26040" s="15" t="s">
        <v>11621</v>
      </c>
      <c r="C26040" s="15" t="s">
        <v>10178</v>
      </c>
      <c r="D26040" s="15" t="s">
        <v>10193</v>
      </c>
      <c r="E26040" s="2">
        <v>1269435</v>
      </c>
      <c r="F26040" s="4" t="str">
        <f>IF(B26040=B26039,"",B26040)</f>
        <v>JalÄlpur</v>
      </c>
    </row>
    <row r="26041" spans="1:6" ht="15.75" customHeight="1">
      <c r="A26041" s="16" t="s">
        <v>11618</v>
      </c>
      <c r="B26041" s="15" t="s">
        <v>11619</v>
      </c>
      <c r="C26041" s="16" t="s">
        <v>10178</v>
      </c>
      <c r="D26041" s="16" t="s">
        <v>10193</v>
      </c>
      <c r="E26041" s="2">
        <v>1269446</v>
      </c>
      <c r="F26041" s="4" t="e">
        <f>IF(B26041=#REF!,"",B26041)</f>
        <v>#REF!</v>
      </c>
    </row>
    <row r="26042" spans="1:6" ht="15.75" customHeight="1">
      <c r="A26042" s="16" t="s">
        <v>54</v>
      </c>
      <c r="B26042" s="15" t="s">
        <v>55</v>
      </c>
      <c r="C26042" s="16" t="s">
        <v>8</v>
      </c>
      <c r="D26042" s="16" t="s">
        <v>56</v>
      </c>
      <c r="E26042" s="2">
        <v>1139715</v>
      </c>
      <c r="F26042" s="4" t="str">
        <f>IF(B26042=B26041,"",B26042)</f>
        <v>JalÄlÄbÄd</v>
      </c>
    </row>
    <row r="26043" spans="1:6" ht="15.75" customHeight="1">
      <c r="A26043" s="15" t="s">
        <v>11616</v>
      </c>
      <c r="B26043" s="15" t="s">
        <v>11617</v>
      </c>
      <c r="C26043" s="15" t="s">
        <v>10178</v>
      </c>
      <c r="D26043" s="15" t="s">
        <v>10193</v>
      </c>
      <c r="E26043" s="2">
        <v>1269441</v>
      </c>
      <c r="F26043" s="4" t="e">
        <f>IF(B26043=#REF!,"",B26043)</f>
        <v>#REF!</v>
      </c>
    </row>
    <row r="26044" spans="1:6" ht="15.75" customHeight="1">
      <c r="A26044" s="15" t="s">
        <v>6975</v>
      </c>
      <c r="B26044" s="15" t="s">
        <v>6975</v>
      </c>
      <c r="C26044" s="15" t="s">
        <v>6948</v>
      </c>
      <c r="D26044" s="15" t="s">
        <v>6976</v>
      </c>
      <c r="E26044" s="2">
        <v>656130</v>
      </c>
      <c r="F26044" s="4" t="e">
        <f>IF(B26044=#REF!,"",B26044)</f>
        <v>#REF!</v>
      </c>
    </row>
    <row r="26045" spans="1:6" ht="15.75" customHeight="1">
      <c r="A26045" s="16" t="s">
        <v>25139</v>
      </c>
      <c r="B26045" s="15" t="s">
        <v>25139</v>
      </c>
      <c r="C26045" s="16" t="s">
        <v>25077</v>
      </c>
      <c r="D26045" s="16" t="s">
        <v>25081</v>
      </c>
      <c r="E26045" s="2">
        <v>2703396</v>
      </c>
      <c r="F26045" s="4" t="e">
        <f>IF(B26045=#REF!,"",B26045)</f>
        <v>#REF!</v>
      </c>
    </row>
    <row r="26046" spans="1:6" ht="15.75" customHeight="1">
      <c r="A26046" s="15" t="s">
        <v>13935</v>
      </c>
      <c r="B26046" s="15" t="s">
        <v>13936</v>
      </c>
      <c r="C26046" s="15" t="s">
        <v>13800</v>
      </c>
      <c r="D26046" s="15" t="s">
        <v>13937</v>
      </c>
      <c r="E26046" s="2">
        <v>1642911</v>
      </c>
      <c r="F26046" s="4" t="str">
        <f>IF(B26046=B26045,"",B26046)</f>
        <v>Jakarta</v>
      </c>
    </row>
    <row r="26047" spans="1:6" ht="15.75" customHeight="1">
      <c r="A26047" s="16" t="str">
        <f ca="1">IFERROR(__xludf.DUMMYFUNCTION("GOOGLETRANSLATE(B33294,""en"",""pt"")"),"Jājpur")</f>
        <v>Jājpur</v>
      </c>
      <c r="B26047" s="20" t="s">
        <v>33635</v>
      </c>
      <c r="C26047" s="20" t="s">
        <v>10178</v>
      </c>
      <c r="D26047" s="20" t="s">
        <v>10229</v>
      </c>
      <c r="E26047" s="10">
        <v>1269477</v>
      </c>
      <c r="F26047" s="4" t="e">
        <f>IF(B26047=#REF!,"",B26047)</f>
        <v>#REF!</v>
      </c>
    </row>
    <row r="26048" spans="1:6" ht="15.75" customHeight="1">
      <c r="A26048" s="15" t="s">
        <v>11614</v>
      </c>
      <c r="B26048" s="15" t="s">
        <v>11615</v>
      </c>
      <c r="C26048" s="15" t="s">
        <v>10178</v>
      </c>
      <c r="D26048" s="15" t="s">
        <v>10184</v>
      </c>
      <c r="E26048" s="2">
        <v>1269488</v>
      </c>
      <c r="F26048" s="4" t="str">
        <f>IF(B26048=B26047,"",B26048)</f>
        <v>Jaito</v>
      </c>
    </row>
    <row r="26049" spans="1:6" ht="15.75" customHeight="1">
      <c r="A26049" s="16" t="str">
        <f ca="1">IFERROR(__xludf.DUMMYFUNCTION("GOOGLETRANSLATE(B33296,""en"",""pt"")"),"Jaitāran")</f>
        <v>Jaitāran</v>
      </c>
      <c r="B26049" s="20" t="s">
        <v>33636</v>
      </c>
      <c r="C26049" s="20" t="s">
        <v>10178</v>
      </c>
      <c r="D26049" s="20" t="s">
        <v>10179</v>
      </c>
      <c r="E26049" s="10">
        <v>1269498</v>
      </c>
      <c r="F26049" s="4" t="str">
        <f>IF(B26049=B26048,"",B26049)</f>
        <v>Jaitāran</v>
      </c>
    </row>
    <row r="26050" spans="1:6" ht="15.75" customHeight="1">
      <c r="A26050" s="16" t="s">
        <v>11612</v>
      </c>
      <c r="B26050" s="15" t="s">
        <v>11613</v>
      </c>
      <c r="C26050" s="16" t="s">
        <v>10178</v>
      </c>
      <c r="D26050" s="16" t="s">
        <v>10179</v>
      </c>
      <c r="E26050" s="2">
        <v>1269498</v>
      </c>
      <c r="F26050" s="4" t="e">
        <f>IF(B26050=#REF!,"",B26050)</f>
        <v>#REF!</v>
      </c>
    </row>
    <row r="26051" spans="1:6" ht="15.75" customHeight="1">
      <c r="A26051" s="16" t="s">
        <v>11611</v>
      </c>
      <c r="B26051" s="15" t="s">
        <v>11611</v>
      </c>
      <c r="C26051" s="16" t="s">
        <v>10178</v>
      </c>
      <c r="D26051" s="16" t="s">
        <v>10214</v>
      </c>
      <c r="E26051" s="2">
        <v>1269502</v>
      </c>
      <c r="F26051" s="4" t="e">
        <f>IF(B26051=#REF!,"",B26051)</f>
        <v>#REF!</v>
      </c>
    </row>
    <row r="26052" spans="1:6" ht="15.75" customHeight="1">
      <c r="A26052" s="15" t="s">
        <v>11610</v>
      </c>
      <c r="B26052" s="15" t="s">
        <v>11610</v>
      </c>
      <c r="C26052" s="15" t="s">
        <v>10178</v>
      </c>
      <c r="D26052" s="15" t="s">
        <v>10179</v>
      </c>
      <c r="E26052" s="2">
        <v>1269507</v>
      </c>
      <c r="F26052" s="4" t="e">
        <f>IF(B26052=#REF!,"",B26052)</f>
        <v>#REF!</v>
      </c>
    </row>
    <row r="26053" spans="1:6" ht="15.75" customHeight="1">
      <c r="A26053" s="15" t="s">
        <v>11609</v>
      </c>
      <c r="B26053" s="15" t="s">
        <v>11609</v>
      </c>
      <c r="C26053" s="15" t="s">
        <v>10178</v>
      </c>
      <c r="D26053" s="15" t="s">
        <v>10193</v>
      </c>
      <c r="E26053" s="2">
        <v>1269509</v>
      </c>
      <c r="F26053" s="4" t="e">
        <f>IF(B26053=#REF!,"",B26053)</f>
        <v>#REF!</v>
      </c>
    </row>
    <row r="26054" spans="1:6" ht="15.75" customHeight="1">
      <c r="A26054" s="15" t="s">
        <v>11608</v>
      </c>
      <c r="B26054" s="15" t="s">
        <v>11608</v>
      </c>
      <c r="C26054" s="15" t="s">
        <v>10178</v>
      </c>
      <c r="D26054" s="15" t="s">
        <v>10179</v>
      </c>
      <c r="E26054" s="2">
        <v>1269515</v>
      </c>
      <c r="F26054" s="4" t="e">
        <f>IF(B26054=#REF!,"",B26054)</f>
        <v>#REF!</v>
      </c>
    </row>
    <row r="26055" spans="1:6" ht="15.75" customHeight="1">
      <c r="A26055" s="15" t="s">
        <v>11607</v>
      </c>
      <c r="B26055" s="15" t="s">
        <v>11607</v>
      </c>
      <c r="C26055" s="15" t="s">
        <v>10178</v>
      </c>
      <c r="D26055" s="15" t="s">
        <v>10201</v>
      </c>
      <c r="E26055" s="2">
        <v>7284820</v>
      </c>
      <c r="F26055" s="4" t="str">
        <f>IF(B26055=B26054,"",B26055)</f>
        <v>Jaigaon</v>
      </c>
    </row>
    <row r="26056" spans="1:6" ht="15.75" customHeight="1">
      <c r="A26056" s="16" t="str">
        <f ca="1">IFERROR(__xludf.DUMMYFUNCTION("GOOGLETRANSLATE(B33301,""en"",""pt"")"),"Jahāzpur")</f>
        <v>Jahāzpur</v>
      </c>
      <c r="B26056" s="20" t="s">
        <v>33637</v>
      </c>
      <c r="C26056" s="20" t="s">
        <v>10178</v>
      </c>
      <c r="D26056" s="20" t="s">
        <v>10179</v>
      </c>
      <c r="E26056" s="10">
        <v>1269545</v>
      </c>
      <c r="F26056" s="4" t="str">
        <f>IF(B26056=B26055,"",B26056)</f>
        <v>Jahāzpur</v>
      </c>
    </row>
    <row r="26057" spans="1:6" ht="15.75" customHeight="1">
      <c r="A26057" s="16" t="str">
        <f ca="1">IFERROR(__xludf.DUMMYFUNCTION("GOOGLETRANSLATE(B39075,""en"",""pt"")"),"Jahāniān Shāh")</f>
        <v>Jahāniān Shāh</v>
      </c>
      <c r="B26057" s="20" t="s">
        <v>35009</v>
      </c>
      <c r="C26057" s="20" t="s">
        <v>19808</v>
      </c>
      <c r="D26057" s="20" t="s">
        <v>10184</v>
      </c>
      <c r="E26057" s="10">
        <v>1176444</v>
      </c>
      <c r="F26057" s="4" t="str">
        <f>IF(B26057=B26056,"",B26057)</f>
        <v>Jahāniān Shāh</v>
      </c>
    </row>
    <row r="26058" spans="1:6" ht="15.75" customHeight="1">
      <c r="A26058" s="16" t="str">
        <f ca="1">IFERROR(__xludf.DUMMYFUNCTION("GOOGLETRANSLATE(B33302,""en"",""pt"")"),"Jahāngīrābād")</f>
        <v>Jahāngīrābād</v>
      </c>
      <c r="B26058" s="20" t="s">
        <v>33638</v>
      </c>
      <c r="C26058" s="20" t="s">
        <v>10178</v>
      </c>
      <c r="D26058" s="20" t="s">
        <v>10193</v>
      </c>
      <c r="E26058" s="10">
        <v>1269551</v>
      </c>
      <c r="F26058" s="4" t="str">
        <f>IF(B26058=B26057,"",B26058)</f>
        <v>Jahāngīrābād</v>
      </c>
    </row>
    <row r="26059" spans="1:6" ht="15.75" customHeight="1">
      <c r="A26059" s="16" t="str">
        <f ca="1">IFERROR(__xludf.DUMMYFUNCTION("GOOGLETRANSLATE(B33303,""en"",""pt"")"),"Jahānābād")</f>
        <v>Jahānābād</v>
      </c>
      <c r="B26059" s="20" t="s">
        <v>33639</v>
      </c>
      <c r="C26059" s="20" t="s">
        <v>10178</v>
      </c>
      <c r="D26059" s="20" t="s">
        <v>10317</v>
      </c>
      <c r="E26059" s="10">
        <v>1269557</v>
      </c>
      <c r="F26059" s="4" t="str">
        <f>IF(B26059=B26058,"",B26059)</f>
        <v>Jahānābād</v>
      </c>
    </row>
    <row r="26060" spans="1:6" ht="15.75" customHeight="1">
      <c r="A26060" s="15" t="s">
        <v>11605</v>
      </c>
      <c r="B26060" s="15" t="s">
        <v>11606</v>
      </c>
      <c r="C26060" s="15" t="s">
        <v>10178</v>
      </c>
      <c r="D26060" s="15" t="s">
        <v>10179</v>
      </c>
      <c r="E26060" s="2">
        <v>1269545</v>
      </c>
      <c r="F26060" s="4" t="str">
        <f>IF(B26060=B26059,"",B26060)</f>
        <v>JahÄzpur</v>
      </c>
    </row>
    <row r="26061" spans="1:6" ht="15.75" customHeight="1">
      <c r="A26061" s="16" t="s">
        <v>19957</v>
      </c>
      <c r="B26061" s="15" t="s">
        <v>19958</v>
      </c>
      <c r="C26061" s="16" t="s">
        <v>19808</v>
      </c>
      <c r="D26061" s="16" t="s">
        <v>10184</v>
      </c>
      <c r="E26061" s="2">
        <v>1176444</v>
      </c>
      <c r="F26061" s="4" t="str">
        <f>IF(B26061=B26060,"",B26061)</f>
        <v>JahÄniÄn ShÄh</v>
      </c>
    </row>
    <row r="26062" spans="1:6" ht="15.75" customHeight="1">
      <c r="A26062" s="16" t="s">
        <v>11603</v>
      </c>
      <c r="B26062" s="15" t="s">
        <v>11604</v>
      </c>
      <c r="C26062" s="16" t="s">
        <v>10178</v>
      </c>
      <c r="D26062" s="16" t="s">
        <v>10193</v>
      </c>
      <c r="E26062" s="2">
        <v>1269551</v>
      </c>
      <c r="F26062" s="4" t="str">
        <f>IF(B26062=B26061,"",B26062)</f>
        <v>JahÄngÄ«rÄbÄd</v>
      </c>
    </row>
    <row r="26063" spans="1:6" ht="15.75" customHeight="1">
      <c r="A26063" s="16" t="s">
        <v>11601</v>
      </c>
      <c r="B26063" s="15" t="s">
        <v>11602</v>
      </c>
      <c r="C26063" s="16" t="s">
        <v>10178</v>
      </c>
      <c r="D26063" s="16" t="s">
        <v>10317</v>
      </c>
      <c r="E26063" s="2">
        <v>1269557</v>
      </c>
      <c r="F26063" s="4" t="str">
        <f>IF(B26063=B26062,"",B26063)</f>
        <v>JahÄnÄbÄd</v>
      </c>
    </row>
    <row r="26064" spans="1:6" ht="15.75" customHeight="1">
      <c r="A26064" s="16" t="str">
        <f ca="1">IFERROR(__xludf.DUMMYFUNCTION("GOOGLETRANSLATE(B27166,""en"",""pt"")"),"Jagüey Grande")</f>
        <v>Jagüey Grande</v>
      </c>
      <c r="B26064" s="20" t="s">
        <v>31919</v>
      </c>
      <c r="C26064" s="20" t="s">
        <v>5764</v>
      </c>
      <c r="D26064" s="20" t="s">
        <v>5796</v>
      </c>
      <c r="E26064" s="10">
        <v>3556437</v>
      </c>
      <c r="F26064" s="4" t="e">
        <f>IF(B26064=#REF!,"",B26064)</f>
        <v>#REF!</v>
      </c>
    </row>
    <row r="26065" spans="1:6" ht="15.75" customHeight="1">
      <c r="A26065" s="16" t="s">
        <v>2729</v>
      </c>
      <c r="B26065" s="15" t="s">
        <v>2729</v>
      </c>
      <c r="C26065" s="16" t="s">
        <v>1905</v>
      </c>
      <c r="D26065" s="16" t="s">
        <v>1930</v>
      </c>
      <c r="E26065" s="2">
        <v>3397665</v>
      </c>
      <c r="F26065" s="4" t="str">
        <f>IF(B26065=B26064,"",B26065)</f>
        <v>Jaguaruana</v>
      </c>
    </row>
    <row r="26066" spans="1:6" ht="15.75" customHeight="1">
      <c r="A26066" s="16" t="str">
        <f ca="1">IFERROR(__xludf.DUMMYFUNCTION("GOOGLETRANSLATE(B24901,""en"",""pt"")"),"Jaguariúna")</f>
        <v>Jaguariúna</v>
      </c>
      <c r="B26066" s="20" t="s">
        <v>31618</v>
      </c>
      <c r="C26066" s="20" t="s">
        <v>1905</v>
      </c>
      <c r="D26066" s="20" t="s">
        <v>3354</v>
      </c>
      <c r="E26066" s="10">
        <v>3460200</v>
      </c>
      <c r="F26066" s="4" t="e">
        <f>IF(B26066=#REF!,"",B26066)</f>
        <v>#REF!</v>
      </c>
    </row>
    <row r="26067" spans="1:6" ht="15.75" customHeight="1">
      <c r="A26067" s="15" t="s">
        <v>2728</v>
      </c>
      <c r="B26067" s="15" t="s">
        <v>2728</v>
      </c>
      <c r="C26067" s="15" t="s">
        <v>1905</v>
      </c>
      <c r="D26067" s="15" t="s">
        <v>1930</v>
      </c>
      <c r="E26067" s="2">
        <v>3397675</v>
      </c>
      <c r="F26067" s="4" t="str">
        <f>IF(B26067=B26066,"",B26067)</f>
        <v>Jaguaribe</v>
      </c>
    </row>
    <row r="26068" spans="1:6" ht="15.75" customHeight="1">
      <c r="A26068" s="16" t="s">
        <v>2726</v>
      </c>
      <c r="B26068" s="15" t="s">
        <v>2727</v>
      </c>
      <c r="C26068" s="16" t="s">
        <v>1905</v>
      </c>
      <c r="D26068" s="16" t="s">
        <v>1914</v>
      </c>
      <c r="E26068" s="2">
        <v>3460200</v>
      </c>
      <c r="F26068" s="4" t="str">
        <f>IF(B26068=B26067,"",B26068)</f>
        <v>JaguariÃºna</v>
      </c>
    </row>
    <row r="26069" spans="1:6" ht="15.75" customHeight="1">
      <c r="A26069" s="16" t="str">
        <f ca="1">IFERROR(__xludf.DUMMYFUNCTION("GOOGLETRANSLATE(B24902,""en"",""pt"")"),"Jaguariaíva")</f>
        <v>Jaguariaíva</v>
      </c>
      <c r="B26069" s="20" t="s">
        <v>31619</v>
      </c>
      <c r="C26069" s="20" t="s">
        <v>1905</v>
      </c>
      <c r="D26069" s="20" t="s">
        <v>727</v>
      </c>
      <c r="E26069" s="10">
        <v>3460214</v>
      </c>
      <c r="F26069" s="4" t="str">
        <f>IF(B26069=B26068,"",B26069)</f>
        <v>Jaguariaíva</v>
      </c>
    </row>
    <row r="26070" spans="1:6" ht="15.75" customHeight="1">
      <c r="A26070" s="16" t="s">
        <v>2724</v>
      </c>
      <c r="B26070" s="15" t="s">
        <v>2725</v>
      </c>
      <c r="C26070" s="16" t="s">
        <v>1905</v>
      </c>
      <c r="D26070" s="16" t="s">
        <v>728</v>
      </c>
      <c r="E26070" s="2">
        <v>3460214</v>
      </c>
      <c r="F26070" s="4" t="e">
        <f>IF(B26070=#REF!,"",B26070)</f>
        <v>#REF!</v>
      </c>
    </row>
    <row r="26071" spans="1:6" ht="15.75" customHeight="1">
      <c r="A26071" s="15" t="s">
        <v>2723</v>
      </c>
      <c r="B26071" s="15" t="s">
        <v>2723</v>
      </c>
      <c r="C26071" s="15" t="s">
        <v>1905</v>
      </c>
      <c r="D26071" s="15" t="s">
        <v>1947</v>
      </c>
      <c r="E26071" s="2">
        <v>3460225</v>
      </c>
      <c r="F26071" s="4" t="str">
        <f>IF(B26071=B26070,"",B26071)</f>
        <v>Jaguarari</v>
      </c>
    </row>
    <row r="26072" spans="1:6" ht="15.75" customHeight="1">
      <c r="A26072" s="16" t="str">
        <f ca="1">IFERROR(__xludf.DUMMYFUNCTION("GOOGLETRANSLATE(B24904,""en"",""pt"")"),"Jaguarão")</f>
        <v>Jaguarão</v>
      </c>
      <c r="B26072" s="20" t="s">
        <v>31620</v>
      </c>
      <c r="C26072" s="20" t="s">
        <v>1905</v>
      </c>
      <c r="D26072" s="20" t="s">
        <v>1951</v>
      </c>
      <c r="E26072" s="10">
        <v>3460232</v>
      </c>
      <c r="F26072" s="4" t="str">
        <f>IF(B26072=B26071,"",B26072)</f>
        <v>Jaguarão</v>
      </c>
    </row>
    <row r="26073" spans="1:6" ht="15.75" customHeight="1">
      <c r="A26073" s="15" t="s">
        <v>2721</v>
      </c>
      <c r="B26073" s="15" t="s">
        <v>2722</v>
      </c>
      <c r="C26073" s="15" t="s">
        <v>1905</v>
      </c>
      <c r="D26073" s="15" t="s">
        <v>1951</v>
      </c>
      <c r="E26073" s="2">
        <v>3460232</v>
      </c>
      <c r="F26073" s="4" t="e">
        <f>IF(B26073=#REF!,"",B26073)</f>
        <v>#REF!</v>
      </c>
    </row>
    <row r="26074" spans="1:6" ht="15.75" customHeight="1">
      <c r="A26074" s="16" t="s">
        <v>2720</v>
      </c>
      <c r="B26074" s="15" t="s">
        <v>2720</v>
      </c>
      <c r="C26074" s="16" t="s">
        <v>1905</v>
      </c>
      <c r="D26074" s="16" t="s">
        <v>1947</v>
      </c>
      <c r="E26074" s="2">
        <v>3460242</v>
      </c>
      <c r="F26074" s="4" t="str">
        <f>IF(B26074=B26073,"",B26074)</f>
        <v>Jaguaquara</v>
      </c>
    </row>
    <row r="26075" spans="1:6" ht="15.75" customHeight="1">
      <c r="A26075" s="16" t="str">
        <f ca="1">IFERROR(__xludf.DUMMYFUNCTION("GOOGLETRANSLATE(B33304,""en"",""pt"")"),"Jagtiāl")</f>
        <v>Jagtiāl</v>
      </c>
      <c r="B26075" s="20" t="s">
        <v>33640</v>
      </c>
      <c r="C26075" s="20" t="s">
        <v>10178</v>
      </c>
      <c r="D26075" s="20" t="s">
        <v>10187</v>
      </c>
      <c r="E26075" s="10">
        <v>1269562</v>
      </c>
      <c r="F26075" s="4" t="str">
        <f>IF(B26075=B26074,"",B26075)</f>
        <v>Jagtiāl</v>
      </c>
    </row>
    <row r="26076" spans="1:6" ht="15.75" customHeight="1">
      <c r="A26076" s="15" t="s">
        <v>11599</v>
      </c>
      <c r="B26076" s="15" t="s">
        <v>11600</v>
      </c>
      <c r="C26076" s="15" t="s">
        <v>10178</v>
      </c>
      <c r="D26076" s="15" t="s">
        <v>10187</v>
      </c>
      <c r="E26076" s="2">
        <v>1269562</v>
      </c>
      <c r="F26076" s="4" t="e">
        <f>IF(B26076=#REF!,"",B26076)</f>
        <v>#REF!</v>
      </c>
    </row>
    <row r="26077" spans="1:6" ht="15.75" customHeight="1">
      <c r="A26077" s="15" t="s">
        <v>11598</v>
      </c>
      <c r="B26077" s="15" t="s">
        <v>11598</v>
      </c>
      <c r="C26077" s="15" t="s">
        <v>10178</v>
      </c>
      <c r="D26077" s="15" t="s">
        <v>10184</v>
      </c>
      <c r="E26077" s="2">
        <v>1269564</v>
      </c>
      <c r="F26077" s="4" t="e">
        <f>IF(B26077=#REF!,"",B26077)</f>
        <v>#REF!</v>
      </c>
    </row>
    <row r="26078" spans="1:6" ht="15.75" customHeight="1">
      <c r="A26078" s="15" t="s">
        <v>23624</v>
      </c>
      <c r="B26078" s="15" t="s">
        <v>23624</v>
      </c>
      <c r="C26078" s="15" t="s">
        <v>23602</v>
      </c>
      <c r="D26078" s="15" t="s">
        <v>23603</v>
      </c>
      <c r="E26078" s="2">
        <v>789923</v>
      </c>
      <c r="F26078" s="4" t="e">
        <f>IF(B26078=#REF!,"",B26078)</f>
        <v>#REF!</v>
      </c>
    </row>
    <row r="26079" spans="1:6" ht="15.75" customHeight="1">
      <c r="A26079" s="15" t="s">
        <v>20802</v>
      </c>
      <c r="B26079" s="15" t="s">
        <v>20802</v>
      </c>
      <c r="C26079" s="15" t="s">
        <v>20598</v>
      </c>
      <c r="D26079" s="15" t="s">
        <v>20622</v>
      </c>
      <c r="E26079" s="2">
        <v>1710378</v>
      </c>
      <c r="F26079" s="4" t="e">
        <f>IF(B26079=#REF!,"",B26079)</f>
        <v>#REF!</v>
      </c>
    </row>
    <row r="26080" spans="1:6" ht="15.75" customHeight="1">
      <c r="A26080" s="16" t="s">
        <v>11597</v>
      </c>
      <c r="B26080" s="15" t="s">
        <v>11597</v>
      </c>
      <c r="C26080" s="16" t="s">
        <v>10178</v>
      </c>
      <c r="D26080" s="16" t="s">
        <v>10190</v>
      </c>
      <c r="E26080" s="2">
        <v>1269570</v>
      </c>
      <c r="F26080" s="4" t="str">
        <f>IF(B26080=B26079,"",B26080)</f>
        <v>Jaggayyapeta</v>
      </c>
    </row>
    <row r="26081" spans="1:6" ht="15.75" customHeight="1">
      <c r="A26081" s="16" t="str">
        <f ca="1">IFERROR(__xludf.DUMMYFUNCTION("GOOGLETRANSLATE(B33307,""en"",""pt"")"),"Jagdīspur")</f>
        <v>Jagdīspur</v>
      </c>
      <c r="B26081" s="20" t="s">
        <v>33641</v>
      </c>
      <c r="C26081" s="20" t="s">
        <v>10178</v>
      </c>
      <c r="D26081" s="20" t="s">
        <v>10317</v>
      </c>
      <c r="E26081" s="10">
        <v>1269573</v>
      </c>
      <c r="F26081" s="4" t="str">
        <f>IF(B26081=B26080,"",B26081)</f>
        <v>Jagdīspur</v>
      </c>
    </row>
    <row r="26082" spans="1:6" ht="15.75" customHeight="1">
      <c r="A26082" s="16" t="str">
        <f ca="1">IFERROR(__xludf.DUMMYFUNCTION("GOOGLETRANSLATE(B33308,""en"",""pt"")"),"Jagdīshpur")</f>
        <v>Jagdīshpur</v>
      </c>
      <c r="B26082" s="20" t="s">
        <v>33642</v>
      </c>
      <c r="C26082" s="20" t="s">
        <v>10178</v>
      </c>
      <c r="D26082" s="20" t="s">
        <v>10193</v>
      </c>
      <c r="E26082" s="10">
        <v>1269574</v>
      </c>
      <c r="F26082" s="4" t="e">
        <f>IF(B26082=#REF!,"",B26082)</f>
        <v>#REF!</v>
      </c>
    </row>
    <row r="26083" spans="1:6" ht="15.75" customHeight="1">
      <c r="A26083" s="15" t="s">
        <v>4787</v>
      </c>
      <c r="B26083" s="15" t="s">
        <v>4787</v>
      </c>
      <c r="C26083" s="15" t="s">
        <v>4487</v>
      </c>
      <c r="D26083" s="15" t="s">
        <v>4533</v>
      </c>
      <c r="E26083" s="2">
        <v>2036597</v>
      </c>
      <c r="F26083" s="4" t="e">
        <f>IF(B26083=#REF!,"",B26083)</f>
        <v>#REF!</v>
      </c>
    </row>
    <row r="26084" spans="1:6" ht="15.75" customHeight="1">
      <c r="A26084" s="15" t="s">
        <v>11596</v>
      </c>
      <c r="B26084" s="15" t="s">
        <v>11596</v>
      </c>
      <c r="C26084" s="15" t="s">
        <v>10178</v>
      </c>
      <c r="D26084" s="15" t="s">
        <v>10272</v>
      </c>
      <c r="E26084" s="2">
        <v>1269578</v>
      </c>
      <c r="F26084" s="4" t="str">
        <f>IF(B26084=B26083,"",B26084)</f>
        <v>Jagdalpur</v>
      </c>
    </row>
    <row r="26085" spans="1:6" ht="15.75" customHeight="1">
      <c r="A26085" s="16" t="s">
        <v>11594</v>
      </c>
      <c r="B26085" s="15" t="s">
        <v>11595</v>
      </c>
      <c r="C26085" s="16" t="s">
        <v>10178</v>
      </c>
      <c r="D26085" s="16" t="s">
        <v>10317</v>
      </c>
      <c r="E26085" s="2">
        <v>1269573</v>
      </c>
      <c r="F26085" s="4" t="str">
        <f>IF(B26085=B26084,"",B26085)</f>
        <v>JagdÄ«spur</v>
      </c>
    </row>
    <row r="26086" spans="1:6" ht="15.75" customHeight="1">
      <c r="A26086" s="16" t="s">
        <v>11592</v>
      </c>
      <c r="B26086" s="15" t="s">
        <v>11593</v>
      </c>
      <c r="C26086" s="16" t="s">
        <v>10178</v>
      </c>
      <c r="D26086" s="16" t="s">
        <v>10193</v>
      </c>
      <c r="E26086" s="2">
        <v>1269574</v>
      </c>
      <c r="F26086" s="4" t="e">
        <f>IF(B26086=#REF!,"",B26086)</f>
        <v>#REF!</v>
      </c>
    </row>
    <row r="26087" spans="1:6" ht="15.75" customHeight="1">
      <c r="A26087" s="16" t="s">
        <v>11591</v>
      </c>
      <c r="B26087" s="15" t="s">
        <v>11591</v>
      </c>
      <c r="C26087" s="16" t="s">
        <v>10178</v>
      </c>
      <c r="D26087" s="16" t="s">
        <v>10229</v>
      </c>
      <c r="E26087" s="2">
        <v>1269581</v>
      </c>
      <c r="F26087" s="4" t="str">
        <f>IF(B26087=B26086,"",B26087)</f>
        <v>Jagatsinghapur</v>
      </c>
    </row>
    <row r="26088" spans="1:6" ht="15.75" customHeight="1">
      <c r="A26088" s="16" t="str">
        <f ca="1">IFERROR(__xludf.DUMMYFUNCTION("GOOGLETRANSLATE(B33311,""en"",""pt"")"),"Jagalūr")</f>
        <v>Jagalūr</v>
      </c>
      <c r="B26088" s="20" t="s">
        <v>33643</v>
      </c>
      <c r="C26088" s="20" t="s">
        <v>10178</v>
      </c>
      <c r="D26088" s="20" t="s">
        <v>10252</v>
      </c>
      <c r="E26088" s="10">
        <v>1269602</v>
      </c>
      <c r="F26088" s="4" t="str">
        <f>IF(B26088=B26087,"",B26088)</f>
        <v>Jagalūr</v>
      </c>
    </row>
    <row r="26089" spans="1:6" ht="15.75" customHeight="1">
      <c r="A26089" s="15" t="s">
        <v>11589</v>
      </c>
      <c r="B26089" s="15" t="s">
        <v>11590</v>
      </c>
      <c r="C26089" s="15" t="s">
        <v>10178</v>
      </c>
      <c r="D26089" s="15" t="s">
        <v>10252</v>
      </c>
      <c r="E26089" s="2">
        <v>1269602</v>
      </c>
      <c r="F26089" s="4" t="str">
        <f>IF(B26089=B26088,"",B26089)</f>
        <v>JagalÅ«r</v>
      </c>
    </row>
    <row r="26090" spans="1:6" ht="15.75" customHeight="1">
      <c r="A26090" s="16" t="str">
        <f ca="1">IFERROR(__xludf.DUMMYFUNCTION("GOOGLETRANSLATE(B33312,""en"",""pt"")"),"Jagādhri")</f>
        <v>Jagādhri</v>
      </c>
      <c r="B26090" s="20" t="s">
        <v>33644</v>
      </c>
      <c r="C26090" s="20" t="s">
        <v>10178</v>
      </c>
      <c r="D26090" s="20" t="s">
        <v>10224</v>
      </c>
      <c r="E26090" s="10">
        <v>1269605</v>
      </c>
      <c r="F26090" s="4" t="str">
        <f>IF(B26090=B26089,"",B26090)</f>
        <v>Jagādhri</v>
      </c>
    </row>
    <row r="26091" spans="1:6" ht="15.75" customHeight="1">
      <c r="A26091" s="16" t="s">
        <v>5851</v>
      </c>
      <c r="B26091" s="15" t="s">
        <v>5852</v>
      </c>
      <c r="C26091" s="16" t="s">
        <v>5764</v>
      </c>
      <c r="D26091" s="16" t="s">
        <v>5796</v>
      </c>
      <c r="E26091" s="2">
        <v>3556437</v>
      </c>
      <c r="F26091" s="4" t="str">
        <f>IF(B26091=B26090,"",B26091)</f>
        <v>JagÃ¼ey Grande</v>
      </c>
    </row>
    <row r="26092" spans="1:6" ht="15.75" customHeight="1">
      <c r="A26092" s="15" t="s">
        <v>11587</v>
      </c>
      <c r="B26092" s="15" t="s">
        <v>11588</v>
      </c>
      <c r="C26092" s="15" t="s">
        <v>10178</v>
      </c>
      <c r="D26092" s="15" t="s">
        <v>10224</v>
      </c>
      <c r="E26092" s="2">
        <v>1269605</v>
      </c>
      <c r="F26092" s="4" t="e">
        <f>IF(B26092=#REF!,"",B26092)</f>
        <v>#REF!</v>
      </c>
    </row>
    <row r="26093" spans="1:6" ht="15.75" customHeight="1">
      <c r="A26093" s="15" t="s">
        <v>24950</v>
      </c>
      <c r="B26093" s="15" t="s">
        <v>24950</v>
      </c>
      <c r="C26093" s="15" t="s">
        <v>24924</v>
      </c>
      <c r="D26093" s="15" t="s">
        <v>20426</v>
      </c>
      <c r="E26093" s="2">
        <v>1242833</v>
      </c>
      <c r="F26093" s="4" t="e">
        <f>IF(B26093=#REF!,"",B26093)</f>
        <v>#REF!</v>
      </c>
    </row>
    <row r="26094" spans="1:6" ht="15.75" customHeight="1">
      <c r="A26094" s="16" t="str">
        <f ca="1">IFERROR(__xludf.DUMMYFUNCTION("GOOGLETRANSLATE(B29102,""en"",""pt"")"),"Jaén")</f>
        <v>Jaén</v>
      </c>
      <c r="B26094" s="20" t="s">
        <v>32378</v>
      </c>
      <c r="C26094" s="20" t="s">
        <v>24200</v>
      </c>
      <c r="D26094" s="20" t="s">
        <v>24205</v>
      </c>
      <c r="E26094" s="10">
        <v>2516395</v>
      </c>
      <c r="F26094" s="4" t="e">
        <f>IF(B26094=#REF!,"",B26094)</f>
        <v>#REF!</v>
      </c>
    </row>
    <row r="26095" spans="1:6" ht="15.75" customHeight="1">
      <c r="A26095" s="15" t="s">
        <v>20801</v>
      </c>
      <c r="B26095" s="15" t="s">
        <v>20801</v>
      </c>
      <c r="C26095" s="15" t="s">
        <v>20598</v>
      </c>
      <c r="D26095" s="15" t="s">
        <v>20599</v>
      </c>
      <c r="E26095" s="2">
        <v>1710389</v>
      </c>
      <c r="F26095" s="4" t="e">
        <f>IF(B26095=#REF!,"",B26095)</f>
        <v>#REF!</v>
      </c>
    </row>
    <row r="26096" spans="1:6" ht="15.75" customHeight="1">
      <c r="A26096" s="15" t="s">
        <v>2719</v>
      </c>
      <c r="B26096" s="15" t="s">
        <v>2719</v>
      </c>
      <c r="C26096" s="15" t="s">
        <v>1905</v>
      </c>
      <c r="D26096" s="15" t="s">
        <v>1917</v>
      </c>
      <c r="E26096" s="2">
        <v>3460267</v>
      </c>
      <c r="F26096" s="4" t="e">
        <f>IF(B26096=#REF!,"",B26096)</f>
        <v>#REF!</v>
      </c>
    </row>
    <row r="26097" spans="1:6" ht="15.75" customHeight="1">
      <c r="A26097" s="15" t="s">
        <v>2718</v>
      </c>
      <c r="B26097" s="15" t="s">
        <v>2718</v>
      </c>
      <c r="C26097" s="15" t="s">
        <v>1905</v>
      </c>
      <c r="D26097" s="15" t="s">
        <v>1947</v>
      </c>
      <c r="E26097" s="2">
        <v>3460344</v>
      </c>
      <c r="F26097" s="4" t="str">
        <f>IF(B26097=B26096,"",B26097)</f>
        <v>Jacobina</v>
      </c>
    </row>
    <row r="26098" spans="1:6" ht="15.75" customHeight="1">
      <c r="A26098" s="16" t="str">
        <f ca="1">IFERROR(__xludf.DUMMYFUNCTION("GOOGLETRANSLATE(B39076,""en"",""pt"")"),"Jacobābād")</f>
        <v>Jacobābād</v>
      </c>
      <c r="B26098" s="20" t="s">
        <v>35010</v>
      </c>
      <c r="C26098" s="20" t="s">
        <v>19808</v>
      </c>
      <c r="D26098" s="20" t="s">
        <v>19823</v>
      </c>
      <c r="E26098" s="10">
        <v>1176515</v>
      </c>
      <c r="F26098" s="4" t="str">
        <f>IF(B26098=B26097,"",B26098)</f>
        <v>Jacobābād</v>
      </c>
    </row>
    <row r="26099" spans="1:6" ht="15.75" customHeight="1">
      <c r="A26099" s="16" t="s">
        <v>19955</v>
      </c>
      <c r="B26099" s="15" t="s">
        <v>19956</v>
      </c>
      <c r="C26099" s="16" t="s">
        <v>19808</v>
      </c>
      <c r="D26099" s="16" t="s">
        <v>19823</v>
      </c>
      <c r="E26099" s="2">
        <v>1176515</v>
      </c>
      <c r="F26099" s="4" t="e">
        <f>IF(B26099=#REF!,"",B26099)</f>
        <v>#REF!</v>
      </c>
    </row>
    <row r="26100" spans="1:6" ht="15.75" customHeight="1">
      <c r="A26100" s="15" t="s">
        <v>9883</v>
      </c>
      <c r="B26100" s="15" t="s">
        <v>9883</v>
      </c>
      <c r="C26100" s="15" t="s">
        <v>9866</v>
      </c>
      <c r="D26100" s="15" t="s">
        <v>9884</v>
      </c>
      <c r="E26100" s="2">
        <v>3723779</v>
      </c>
      <c r="F26100" s="4" t="e">
        <f>IF(B26100=#REF!,"",B26100)</f>
        <v>#REF!</v>
      </c>
    </row>
    <row r="26101" spans="1:6" ht="15.75" customHeight="1">
      <c r="A26101" s="16" t="s">
        <v>28968</v>
      </c>
      <c r="B26101" s="15" t="s">
        <v>28968</v>
      </c>
      <c r="C26101" s="16" t="s">
        <v>27788</v>
      </c>
      <c r="D26101" s="16" t="s">
        <v>5468</v>
      </c>
      <c r="E26101" s="2">
        <v>4160023</v>
      </c>
      <c r="F26101" s="4" t="e">
        <f>IF(B26101=#REF!,"",B26101)</f>
        <v>#REF!</v>
      </c>
    </row>
    <row r="26102" spans="1:6" ht="15.75" customHeight="1">
      <c r="A26102" s="16" t="s">
        <v>28967</v>
      </c>
      <c r="B26102" s="15" t="s">
        <v>28967</v>
      </c>
      <c r="C26102" s="16" t="s">
        <v>27788</v>
      </c>
      <c r="D26102" s="16" t="s">
        <v>27991</v>
      </c>
      <c r="E26102" s="2">
        <v>4116315</v>
      </c>
      <c r="F26102" s="4" t="e">
        <f>IF(B26102=#REF!,"",B26102)</f>
        <v>#REF!</v>
      </c>
    </row>
    <row r="26103" spans="1:6" ht="15.75" customHeight="1">
      <c r="A26103" s="15" t="s">
        <v>28966</v>
      </c>
      <c r="B26103" s="15" t="s">
        <v>28966</v>
      </c>
      <c r="C26103" s="15" t="s">
        <v>27788</v>
      </c>
      <c r="D26103" s="15" t="s">
        <v>28040</v>
      </c>
      <c r="E26103" s="2">
        <v>4431410</v>
      </c>
      <c r="F26103" s="4" t="e">
        <f>IF(B26103=#REF!,"",B26103)</f>
        <v>#REF!</v>
      </c>
    </row>
    <row r="26104" spans="1:6" ht="15.75" customHeight="1">
      <c r="A26104" s="15" t="s">
        <v>2717</v>
      </c>
      <c r="B26104" s="15" t="s">
        <v>2717</v>
      </c>
      <c r="C26104" s="15" t="s">
        <v>1905</v>
      </c>
      <c r="D26104" s="15" t="s">
        <v>2036</v>
      </c>
      <c r="E26104" s="2">
        <v>3460355</v>
      </c>
      <c r="F26104" s="4" t="e">
        <f>IF(B26104=#REF!,"",B26104)</f>
        <v>#REF!</v>
      </c>
    </row>
    <row r="26105" spans="1:6" ht="15.75" customHeight="1">
      <c r="A26105" s="16" t="s">
        <v>2716</v>
      </c>
      <c r="B26105" s="15" t="s">
        <v>2716</v>
      </c>
      <c r="C26105" s="16" t="s">
        <v>1905</v>
      </c>
      <c r="D26105" s="16" t="s">
        <v>728</v>
      </c>
      <c r="E26105" s="2">
        <v>3460362</v>
      </c>
      <c r="F26105" s="4" t="str">
        <f>IF(B26105=B26104,"",B26105)</f>
        <v>Jacarezinho</v>
      </c>
    </row>
    <row r="26106" spans="1:6" ht="15.75" customHeight="1">
      <c r="A26106" s="16" t="str">
        <f ca="1">IFERROR(__xludf.DUMMYFUNCTION("GOOGLETRANSLATE(B24910,""en"",""pt"")"),"Jacareí")</f>
        <v>Jacareí</v>
      </c>
      <c r="B26106" s="20" t="s">
        <v>31621</v>
      </c>
      <c r="C26106" s="20" t="s">
        <v>1905</v>
      </c>
      <c r="D26106" s="20" t="s">
        <v>3354</v>
      </c>
      <c r="E26106" s="10">
        <v>3460370</v>
      </c>
      <c r="F26106" s="4" t="str">
        <f>IF(B26106=B26105,"",B26106)</f>
        <v>Jacareí</v>
      </c>
    </row>
    <row r="26107" spans="1:6" ht="15.75" customHeight="1">
      <c r="A26107" s="15" t="s">
        <v>2714</v>
      </c>
      <c r="B26107" s="15" t="s">
        <v>2715</v>
      </c>
      <c r="C26107" s="15" t="s">
        <v>1905</v>
      </c>
      <c r="D26107" s="15" t="s">
        <v>1914</v>
      </c>
      <c r="E26107" s="2">
        <v>3460370</v>
      </c>
      <c r="F26107" s="4" t="e">
        <f>IF(B26107=#REF!,"",B26107)</f>
        <v>#REF!</v>
      </c>
    </row>
    <row r="26108" spans="1:6" ht="15.75" customHeight="1">
      <c r="A26108" s="16" t="s">
        <v>9747</v>
      </c>
      <c r="B26108" s="15" t="s">
        <v>9747</v>
      </c>
      <c r="C26108" s="16" t="s">
        <v>9700</v>
      </c>
      <c r="D26108" s="16" t="s">
        <v>9746</v>
      </c>
      <c r="E26108" s="2">
        <v>3595248</v>
      </c>
      <c r="F26108" s="4" t="e">
        <f>IF(B26108=#REF!,"",B26108)</f>
        <v>#REF!</v>
      </c>
    </row>
    <row r="26109" spans="1:6" ht="15.75" customHeight="1">
      <c r="A26109" s="16" t="s">
        <v>2713</v>
      </c>
      <c r="B26109" s="15" t="s">
        <v>2713</v>
      </c>
      <c r="C26109" s="16" t="s">
        <v>1905</v>
      </c>
      <c r="D26109" s="16" t="s">
        <v>1914</v>
      </c>
      <c r="E26109" s="2">
        <v>3460441</v>
      </c>
      <c r="F26109" s="4" t="str">
        <f>IF(B26109=B26108,"",B26109)</f>
        <v>Jaboticabal</v>
      </c>
    </row>
    <row r="26110" spans="1:6" ht="15.75" customHeight="1">
      <c r="A26110" s="16" t="str">
        <f ca="1">IFERROR(__xludf.DUMMYFUNCTION("GOOGLETRANSLATE(B25334,""en"",""pt"")"),"JABOATÃO DOS Guararapes")</f>
        <v>JABOATÃO DOS Guararapes</v>
      </c>
      <c r="B26110" s="20" t="s">
        <v>31746</v>
      </c>
      <c r="C26110" s="20" t="s">
        <v>1905</v>
      </c>
      <c r="D26110" s="20" t="s">
        <v>1909</v>
      </c>
      <c r="E26110" s="10">
        <v>6317344</v>
      </c>
      <c r="F26110" s="4" t="str">
        <f>IF(B26110=B26109,"",B26110)</f>
        <v>Jaboatão dos Guararapes</v>
      </c>
    </row>
    <row r="26111" spans="1:6" ht="15.75" customHeight="1">
      <c r="A26111" s="16" t="str">
        <f ca="1">IFERROR(__xludf.DUMMYFUNCTION("GOOGLETRANSLATE(B24292,""en"",""pt"")"),"Jaboatão")</f>
        <v>Jaboatão</v>
      </c>
      <c r="B26111" s="20" t="s">
        <v>31393</v>
      </c>
      <c r="C26111" s="20" t="s">
        <v>1905</v>
      </c>
      <c r="D26111" s="20" t="s">
        <v>1909</v>
      </c>
      <c r="E26111" s="10">
        <v>3397838</v>
      </c>
      <c r="F26111" s="4" t="str">
        <f>IF(B26111=B26110,"",B26111)</f>
        <v>Jaboatão</v>
      </c>
    </row>
    <row r="26112" spans="1:6" ht="15.75" customHeight="1">
      <c r="A26112" s="16" t="s">
        <v>2711</v>
      </c>
      <c r="B26112" s="15" t="s">
        <v>2712</v>
      </c>
      <c r="C26112" s="16" t="s">
        <v>1905</v>
      </c>
      <c r="D26112" s="16" t="s">
        <v>1909</v>
      </c>
      <c r="E26112" s="2">
        <v>6317344</v>
      </c>
      <c r="F26112" s="4" t="str">
        <f>IF(B26112=B26111,"",B26112)</f>
        <v>JaboatÃ£o dos Guararapes</v>
      </c>
    </row>
    <row r="26113" spans="1:6" ht="15.75" customHeight="1">
      <c r="A26113" s="15" t="s">
        <v>2709</v>
      </c>
      <c r="B26113" s="15" t="s">
        <v>2710</v>
      </c>
      <c r="C26113" s="15" t="s">
        <v>1905</v>
      </c>
      <c r="D26113" s="15" t="s">
        <v>1909</v>
      </c>
      <c r="E26113" s="2">
        <v>3397838</v>
      </c>
      <c r="F26113" s="4" t="e">
        <f>IF(B26113=#REF!,"",B26113)</f>
        <v>#REF!</v>
      </c>
    </row>
    <row r="26114" spans="1:6" ht="15.75" customHeight="1">
      <c r="A26114" s="16" t="s">
        <v>6017</v>
      </c>
      <c r="B26114" s="15" t="s">
        <v>6018</v>
      </c>
      <c r="C26114" s="16" t="s">
        <v>5947</v>
      </c>
      <c r="D26114" s="16" t="s">
        <v>5962</v>
      </c>
      <c r="E26114" s="2">
        <v>3074603</v>
      </c>
      <c r="F26114" s="4" t="e">
        <f>IF(B26114=#REF!,"",B26114)</f>
        <v>#REF!</v>
      </c>
    </row>
    <row r="26115" spans="1:6" ht="15.75" customHeight="1">
      <c r="A26115" s="15" t="s">
        <v>25454</v>
      </c>
      <c r="B26115" s="15" t="s">
        <v>25454</v>
      </c>
      <c r="C26115" s="15" t="s">
        <v>25366</v>
      </c>
      <c r="D26115" s="15" t="s">
        <v>25455</v>
      </c>
      <c r="E26115" s="2">
        <v>169304</v>
      </c>
      <c r="F26115" s="4" t="str">
        <f>IF(B26115=B26114,"",B26115)</f>
        <v>Jablah</v>
      </c>
    </row>
    <row r="26116" spans="1:6" ht="15.75" customHeight="1">
      <c r="A26116" s="16" t="str">
        <f ca="1">IFERROR(__xludf.DUMMYFUNCTION("GOOGLETRANSLATE(B39528,""en"",""pt"")"),"Jabālyā")</f>
        <v>Jabālyā</v>
      </c>
      <c r="B26116" s="20" t="s">
        <v>35261</v>
      </c>
      <c r="C26116" s="20" t="s">
        <v>20297</v>
      </c>
      <c r="D26116" s="20" t="s">
        <v>20305</v>
      </c>
      <c r="E26116" s="10">
        <v>281129</v>
      </c>
      <c r="F26116" s="4" t="e">
        <f>IF(B26116=#REF!,"",B26116)</f>
        <v>#REF!</v>
      </c>
    </row>
    <row r="26117" spans="1:6" ht="15.75" customHeight="1">
      <c r="A26117" s="15" t="s">
        <v>11586</v>
      </c>
      <c r="B26117" s="15" t="s">
        <v>11586</v>
      </c>
      <c r="C26117" s="15" t="s">
        <v>10178</v>
      </c>
      <c r="D26117" s="15" t="s">
        <v>10219</v>
      </c>
      <c r="E26117" s="2">
        <v>1269633</v>
      </c>
      <c r="F26117" s="4" t="e">
        <f>IF(B26117=#REF!,"",B26117)</f>
        <v>#REF!</v>
      </c>
    </row>
    <row r="26118" spans="1:6" ht="15.75" customHeight="1">
      <c r="A26118" s="16" t="s">
        <v>52</v>
      </c>
      <c r="B26118" s="15" t="s">
        <v>53</v>
      </c>
      <c r="C26118" s="16" t="s">
        <v>8</v>
      </c>
      <c r="D26118" s="16" t="s">
        <v>35</v>
      </c>
      <c r="E26118" s="2">
        <v>1139807</v>
      </c>
      <c r="F26118" s="4" t="str">
        <f>IF(B26118=B26117,"",B26118)</f>
        <v>Jabal os Saraj</v>
      </c>
    </row>
    <row r="26119" spans="1:6" ht="15.75" customHeight="1">
      <c r="A26119" s="15" t="s">
        <v>20348</v>
      </c>
      <c r="B26119" s="15" t="s">
        <v>20349</v>
      </c>
      <c r="C26119" s="15" t="s">
        <v>20297</v>
      </c>
      <c r="D26119" s="15" t="s">
        <v>20305</v>
      </c>
      <c r="E26119" s="2">
        <v>281129</v>
      </c>
      <c r="F26119" s="4" t="str">
        <f>IF(B26119=B26118,"",B26119)</f>
        <v>JabÄlyÄ</v>
      </c>
    </row>
    <row r="26120" spans="1:6" ht="15.75" customHeight="1">
      <c r="A26120" s="15" t="s">
        <v>2707</v>
      </c>
      <c r="B26120" s="15" t="s">
        <v>2708</v>
      </c>
      <c r="C26120" s="15" t="s">
        <v>1905</v>
      </c>
      <c r="D26120" s="15" t="s">
        <v>1914</v>
      </c>
      <c r="E26120" s="2">
        <v>3460005</v>
      </c>
      <c r="F26120" s="4" t="e">
        <f>IF(B26120=#REF!,"",B26120)</f>
        <v>#REF!</v>
      </c>
    </row>
    <row r="26121" spans="1:6" ht="15.75" customHeight="1">
      <c r="A26121" s="15" t="s">
        <v>20528</v>
      </c>
      <c r="B26121" s="15" t="s">
        <v>20529</v>
      </c>
      <c r="C26121" s="15" t="s">
        <v>20470</v>
      </c>
      <c r="D26121" s="15" t="s">
        <v>20481</v>
      </c>
      <c r="E26121" s="2">
        <v>3696150</v>
      </c>
      <c r="F26121" s="4" t="str">
        <f>IF(B26121=B26120,"",B26121)</f>
        <v>JaÃ©n</v>
      </c>
    </row>
    <row r="26122" spans="1:6" ht="15.75" customHeight="1">
      <c r="A26122" s="15" t="s">
        <v>21254</v>
      </c>
      <c r="B26122" s="15" t="s">
        <v>21255</v>
      </c>
      <c r="C26122" s="15" t="s">
        <v>21064</v>
      </c>
      <c r="D26122" s="15" t="s">
        <v>21070</v>
      </c>
      <c r="E26122" s="2">
        <v>769981</v>
      </c>
      <c r="F26122" s="4" t="str">
        <f>IF(B26122=B26121,"",B26122)</f>
        <v>JÃ³zefÃ³w</v>
      </c>
    </row>
    <row r="26123" spans="1:6" ht="15.75" customHeight="1">
      <c r="A26123" s="15" t="s">
        <v>8628</v>
      </c>
      <c r="B26123" s="15" t="s">
        <v>8629</v>
      </c>
      <c r="C26123" s="15" t="s">
        <v>8028</v>
      </c>
      <c r="D26123" s="15" t="s">
        <v>8029</v>
      </c>
      <c r="E26123" s="2">
        <v>2894553</v>
      </c>
      <c r="F26123" s="4" t="str">
        <f>IF(B26123=B26122,"",B26123)</f>
        <v>JÃ¼lich</v>
      </c>
    </row>
    <row r="26124" spans="1:6" ht="15.75" customHeight="1">
      <c r="A26124" s="15" t="s">
        <v>8626</v>
      </c>
      <c r="B26124" s="15" t="s">
        <v>8627</v>
      </c>
      <c r="C26124" s="15" t="s">
        <v>8028</v>
      </c>
      <c r="D26124" s="15" t="s">
        <v>8029</v>
      </c>
      <c r="E26124" s="2">
        <v>2894637</v>
      </c>
      <c r="F26124" s="4" t="str">
        <f>IF(B26124=B26123,"",B26124)</f>
        <v>JÃ¼chen</v>
      </c>
    </row>
    <row r="26125" spans="1:6" ht="15.75" customHeight="1">
      <c r="A26125" s="15" t="s">
        <v>11584</v>
      </c>
      <c r="B26125" s="15" t="s">
        <v>11585</v>
      </c>
      <c r="C26125" s="15" t="s">
        <v>10178</v>
      </c>
      <c r="D26125" s="15" t="s">
        <v>10219</v>
      </c>
      <c r="E26125" s="2">
        <v>1269126</v>
      </c>
      <c r="F26125" s="4" t="str">
        <f>IF(B26125=B26124,"",B26125)</f>
        <v>JÄwad</v>
      </c>
    </row>
    <row r="26126" spans="1:6" ht="15.75" customHeight="1">
      <c r="A26126" s="15" t="s">
        <v>25452</v>
      </c>
      <c r="B26126" s="15" t="s">
        <v>25453</v>
      </c>
      <c r="C26126" s="15" t="s">
        <v>25366</v>
      </c>
      <c r="D26126" s="15" t="s">
        <v>25375</v>
      </c>
      <c r="E26126" s="2">
        <v>165997</v>
      </c>
      <c r="F26126" s="4" t="str">
        <f>IF(B26126=B26125,"",B26126)</f>
        <v>JÄsim</v>
      </c>
    </row>
    <row r="26127" spans="1:6" ht="15.75" customHeight="1">
      <c r="A26127" s="15" t="s">
        <v>11582</v>
      </c>
      <c r="B26127" s="15" t="s">
        <v>11583</v>
      </c>
      <c r="C26127" s="15" t="s">
        <v>10178</v>
      </c>
      <c r="D26127" s="15" t="s">
        <v>10193</v>
      </c>
      <c r="E26127" s="2">
        <v>1269227</v>
      </c>
      <c r="F26127" s="4" t="str">
        <f>IF(B26127=B26126,"",B26127)</f>
        <v>JÄnsath</v>
      </c>
    </row>
    <row r="26128" spans="1:6" ht="15.75" customHeight="1">
      <c r="A26128" s="15" t="s">
        <v>11580</v>
      </c>
      <c r="B26128" s="15" t="s">
        <v>11581</v>
      </c>
      <c r="C26128" s="15" t="s">
        <v>10178</v>
      </c>
      <c r="D26128" s="15" t="s">
        <v>10272</v>
      </c>
      <c r="E26128" s="2">
        <v>1269239</v>
      </c>
      <c r="F26128" s="4" t="str">
        <f>IF(B26128=B26127,"",B26128)</f>
        <v>JÄnjgÄ«r</v>
      </c>
    </row>
    <row r="26129" spans="1:6" ht="15.75" customHeight="1">
      <c r="A26129" s="15" t="s">
        <v>11578</v>
      </c>
      <c r="B26129" s="15" t="s">
        <v>11579</v>
      </c>
      <c r="C26129" s="15" t="s">
        <v>10178</v>
      </c>
      <c r="D26129" s="15" t="s">
        <v>10201</v>
      </c>
      <c r="E26129" s="2">
        <v>1269280</v>
      </c>
      <c r="F26129" s="4" t="str">
        <f>IF(B26129=B26128,"",B26129)</f>
        <v>JÄmuria</v>
      </c>
    </row>
    <row r="26130" spans="1:6" ht="15.75" customHeight="1">
      <c r="A26130" s="15" t="s">
        <v>11576</v>
      </c>
      <c r="B26130" s="15" t="s">
        <v>11577</v>
      </c>
      <c r="C26130" s="15" t="s">
        <v>10178</v>
      </c>
      <c r="D26130" s="15" t="s">
        <v>10430</v>
      </c>
      <c r="E26130" s="2">
        <v>1269298</v>
      </c>
      <c r="F26130" s="4" t="str">
        <f>IF(B26130=B26129,"",B26130)</f>
        <v>JÄmtÄra</v>
      </c>
    </row>
    <row r="26131" spans="1:6" ht="15.75" customHeight="1">
      <c r="A26131" s="15" t="s">
        <v>19953</v>
      </c>
      <c r="B26131" s="15" t="s">
        <v>19954</v>
      </c>
      <c r="C26131" s="15" t="s">
        <v>19808</v>
      </c>
      <c r="D26131" s="15" t="s">
        <v>10184</v>
      </c>
      <c r="E26131" s="2">
        <v>1176241</v>
      </c>
      <c r="F26131" s="4" t="str">
        <f>IF(B26131=B26130,"",B26131)</f>
        <v>JÄmpur</v>
      </c>
    </row>
    <row r="26132" spans="1:6" ht="15.75" customHeight="1">
      <c r="A26132" s="16" t="s">
        <v>11574</v>
      </c>
      <c r="B26132" s="15" t="s">
        <v>11575</v>
      </c>
      <c r="C26132" s="16" t="s">
        <v>10178</v>
      </c>
      <c r="D26132" s="16" t="s">
        <v>10209</v>
      </c>
      <c r="E26132" s="2">
        <v>1269317</v>
      </c>
      <c r="F26132" s="4" t="str">
        <f>IF(B26132=B26131,"",B26132)</f>
        <v>JÄmnagar</v>
      </c>
    </row>
    <row r="26133" spans="1:6" ht="15.75" customHeight="1">
      <c r="A26133" s="15" t="s">
        <v>11572</v>
      </c>
      <c r="B26133" s="15" t="s">
        <v>11573</v>
      </c>
      <c r="C26133" s="15" t="s">
        <v>10178</v>
      </c>
      <c r="D26133" s="15" t="s">
        <v>10219</v>
      </c>
      <c r="E26133" s="2">
        <v>1269377</v>
      </c>
      <c r="F26133" s="4" t="str">
        <f>IF(B26133=B26132,"",B26133)</f>
        <v>JÄmai</v>
      </c>
    </row>
    <row r="26134" spans="1:6" ht="15.75" customHeight="1">
      <c r="A26134" s="16" t="s">
        <v>11570</v>
      </c>
      <c r="B26134" s="15" t="s">
        <v>11571</v>
      </c>
      <c r="C26134" s="16" t="s">
        <v>10178</v>
      </c>
      <c r="D26134" s="16" t="s">
        <v>10430</v>
      </c>
      <c r="E26134" s="2">
        <v>1269379</v>
      </c>
      <c r="F26134" s="4" t="str">
        <f>IF(B26134=B26133,"",B26134)</f>
        <v>JÄmadoba</v>
      </c>
    </row>
    <row r="26135" spans="1:6" ht="15.75" customHeight="1">
      <c r="A26135" s="15" t="s">
        <v>11568</v>
      </c>
      <c r="B26135" s="15" t="s">
        <v>11569</v>
      </c>
      <c r="C26135" s="15" t="s">
        <v>10178</v>
      </c>
      <c r="D26135" s="15" t="s">
        <v>10214</v>
      </c>
      <c r="E26135" s="2">
        <v>1269395</v>
      </c>
      <c r="F26135" s="4" t="str">
        <f>IF(B26135=B26134,"",B26135)</f>
        <v>JÄlna</v>
      </c>
    </row>
    <row r="26136" spans="1:6" ht="15.75" customHeight="1">
      <c r="A26136" s="15" t="s">
        <v>11566</v>
      </c>
      <c r="B26136" s="15" t="s">
        <v>11567</v>
      </c>
      <c r="C26136" s="15" t="s">
        <v>10178</v>
      </c>
      <c r="D26136" s="15" t="s">
        <v>10193</v>
      </c>
      <c r="E26136" s="2">
        <v>1269422</v>
      </c>
      <c r="F26136" s="4" t="str">
        <f>IF(B26136=B26135,"",B26136)</f>
        <v>JÄlaun</v>
      </c>
    </row>
    <row r="26137" spans="1:6" ht="15.75" customHeight="1">
      <c r="A26137" s="15" t="s">
        <v>11564</v>
      </c>
      <c r="B26137" s="15" t="s">
        <v>11565</v>
      </c>
      <c r="C26137" s="15" t="s">
        <v>10178</v>
      </c>
      <c r="D26137" s="15" t="s">
        <v>10229</v>
      </c>
      <c r="E26137" s="2">
        <v>1269477</v>
      </c>
      <c r="F26137" s="4" t="str">
        <f>IF(B26137=B26136,"",B26137)</f>
        <v>JÄjpur</v>
      </c>
    </row>
    <row r="26138" spans="1:6" ht="15.75" customHeight="1">
      <c r="A26138" s="15" t="s">
        <v>16045</v>
      </c>
      <c r="B26138" s="15" t="s">
        <v>16046</v>
      </c>
      <c r="C26138" s="15" t="s">
        <v>15704</v>
      </c>
      <c r="D26138" s="15" t="s">
        <v>15818</v>
      </c>
      <c r="E26138" s="2">
        <v>6825489</v>
      </c>
      <c r="F26138" s="4" t="str">
        <f>IF(B26138=B26137,"",B26138)</f>
        <v>JÅetsu</v>
      </c>
    </row>
    <row r="26139" spans="1:6" ht="15.75" customHeight="1">
      <c r="A26139" s="16" t="s">
        <v>25138</v>
      </c>
      <c r="B26139" s="15" t="s">
        <v>25137</v>
      </c>
      <c r="C26139" s="16" t="s">
        <v>25077</v>
      </c>
      <c r="D26139" s="16" t="s">
        <v>25137</v>
      </c>
      <c r="E26139" s="2">
        <v>2702979</v>
      </c>
      <c r="F26139" s="4" t="str">
        <f>IF(B26139=B26138,"",B26139)</f>
        <v>JÃ¶nkÃ¶ping</v>
      </c>
    </row>
    <row r="26140" spans="1:6" ht="15.75" customHeight="1">
      <c r="A26140" s="16" t="s">
        <v>9880</v>
      </c>
      <c r="B26140" s="15" t="s">
        <v>9881</v>
      </c>
      <c r="C26140" s="16" t="s">
        <v>9866</v>
      </c>
      <c r="D26140" s="16" t="s">
        <v>9882</v>
      </c>
      <c r="E26140" s="2">
        <v>3723593</v>
      </c>
      <c r="F26140" s="4" t="str">
        <f>IF(B26140=B26139,"",B26140)</f>
        <v>JÃ©rÃ©mie</v>
      </c>
    </row>
    <row r="26141" spans="1:6" ht="15.75" customHeight="1">
      <c r="A26141" s="15" t="s">
        <v>14405</v>
      </c>
      <c r="B26141" s="15" t="s">
        <v>14406</v>
      </c>
      <c r="C26141" s="15" t="s">
        <v>14240</v>
      </c>
      <c r="D26141" s="15" t="s">
        <v>14253</v>
      </c>
      <c r="E26141" s="2">
        <v>129933</v>
      </c>
      <c r="F26141" s="4" t="str">
        <f>IF(B26141=B26140,"",B26141)</f>
        <v>JÅ«ybÄr</v>
      </c>
    </row>
    <row r="26142" spans="1:6" ht="15.75" customHeight="1">
      <c r="A26142" s="15" t="s">
        <v>19951</v>
      </c>
      <c r="B26142" s="15" t="s">
        <v>19952</v>
      </c>
      <c r="C26142" s="15" t="s">
        <v>19808</v>
      </c>
      <c r="D26142" s="15" t="s">
        <v>19833</v>
      </c>
      <c r="E26142" s="2">
        <v>1175712</v>
      </c>
      <c r="F26142" s="4" t="str">
        <f>IF(B26142=B26141,"",B26142)</f>
        <v>JÄ«wani</v>
      </c>
    </row>
    <row r="26143" spans="1:6" ht="15.75" customHeight="1">
      <c r="A26143" s="15" t="s">
        <v>16989</v>
      </c>
      <c r="B26143" s="15" t="s">
        <v>16990</v>
      </c>
      <c r="C26143" s="15" t="s">
        <v>16982</v>
      </c>
      <c r="D26143" s="15" t="s">
        <v>16990</v>
      </c>
      <c r="E26143" s="2">
        <v>459201</v>
      </c>
      <c r="F26143" s="4" t="str">
        <f>IF(B26143=B26142,"",B26143)</f>
        <v>JÅ«rmala</v>
      </c>
    </row>
    <row r="26144" spans="1:6" ht="15.75" customHeight="1">
      <c r="A26144" s="15" t="s">
        <v>11562</v>
      </c>
      <c r="B26144" s="15" t="s">
        <v>11563</v>
      </c>
      <c r="C26144" s="15" t="s">
        <v>10178</v>
      </c>
      <c r="D26144" s="15" t="s">
        <v>10224</v>
      </c>
      <c r="E26144" s="2">
        <v>1268907</v>
      </c>
      <c r="F26144" s="4" t="str">
        <f>IF(B26144=B26143,"",B26144)</f>
        <v>JÄ«nd</v>
      </c>
    </row>
    <row r="26145" spans="1:6" ht="15.75" customHeight="1">
      <c r="A26145" s="16" t="s">
        <v>11560</v>
      </c>
      <c r="B26145" s="15" t="s">
        <v>11561</v>
      </c>
      <c r="C26145" s="16" t="s">
        <v>10178</v>
      </c>
      <c r="D26145" s="16" t="s">
        <v>10272</v>
      </c>
      <c r="E26145" s="2">
        <v>1268772</v>
      </c>
      <c r="F26145" s="4" t="str">
        <f>IF(B26145=B26144,"",B26145)</f>
        <v>JÅ«nÄgarh</v>
      </c>
    </row>
    <row r="26146" spans="1:6" ht="15.75" customHeight="1">
      <c r="A26146" s="16" t="s">
        <v>11558</v>
      </c>
      <c r="B26146" s="15" t="s">
        <v>11559</v>
      </c>
      <c r="C26146" s="16" t="s">
        <v>10178</v>
      </c>
      <c r="D26146" s="16" t="s">
        <v>10209</v>
      </c>
      <c r="E26146" s="2">
        <v>1268773</v>
      </c>
      <c r="F26146" s="4" t="str">
        <f>IF(B26146=B26145,"",B26146)</f>
        <v>JÅ«nÄgadh</v>
      </c>
    </row>
    <row r="26147" spans="1:6" ht="15.75" customHeight="1">
      <c r="A26147" s="15" t="s">
        <v>6891</v>
      </c>
      <c r="B26147" s="15" t="s">
        <v>6892</v>
      </c>
      <c r="C26147" s="15" t="s">
        <v>6807</v>
      </c>
      <c r="D26147" s="15" t="s">
        <v>6814</v>
      </c>
      <c r="E26147" s="2">
        <v>333772</v>
      </c>
      <c r="F26147" s="4" t="str">
        <f>IF(B26147=B26146,"",B26147)</f>
        <v>JÄ«ma</v>
      </c>
    </row>
    <row r="26148" spans="1:6" ht="15.75" customHeight="1">
      <c r="A26148" s="16" t="s">
        <v>6973</v>
      </c>
      <c r="B26148" s="15" t="s">
        <v>6974</v>
      </c>
      <c r="C26148" s="16" t="s">
        <v>6948</v>
      </c>
      <c r="D26148" s="16" t="s">
        <v>6951</v>
      </c>
      <c r="E26148" s="2">
        <v>655958</v>
      </c>
      <c r="F26148" s="4" t="str">
        <f>IF(B26148=B26147,"",B26148)</f>
        <v>JÃ¤rvenpÃ¤Ã¤</v>
      </c>
    </row>
    <row r="26149" spans="1:6" ht="15.75" customHeight="1">
      <c r="A26149" s="15" t="s">
        <v>6970</v>
      </c>
      <c r="B26149" s="15" t="s">
        <v>6971</v>
      </c>
      <c r="C26149" s="15" t="s">
        <v>6948</v>
      </c>
      <c r="D26149" s="15" t="s">
        <v>6972</v>
      </c>
      <c r="E26149" s="2">
        <v>656083</v>
      </c>
      <c r="F26149" s="4" t="str">
        <f>IF(B26149=B26148,"",B26149)</f>
        <v>JÃ¤msÃ¤</v>
      </c>
    </row>
    <row r="26150" spans="1:6" ht="15.75" customHeight="1">
      <c r="A26150" s="16" t="s">
        <v>16986</v>
      </c>
      <c r="B26150" s="15" t="s">
        <v>16987</v>
      </c>
      <c r="C26150" s="16" t="s">
        <v>16982</v>
      </c>
      <c r="D26150" s="16" t="s">
        <v>16988</v>
      </c>
      <c r="E26150" s="2">
        <v>459283</v>
      </c>
      <c r="F26150" s="4" t="str">
        <f>IF(B26150=B26149,"",B26150)</f>
        <v>JÄ“kabpils</v>
      </c>
    </row>
    <row r="26151" spans="1:6" ht="15.75" customHeight="1">
      <c r="A26151" s="16" t="s">
        <v>10069</v>
      </c>
      <c r="B26151" s="15" t="s">
        <v>10070</v>
      </c>
      <c r="C26151" s="16" t="s">
        <v>9955</v>
      </c>
      <c r="D26151" s="16" t="s">
        <v>10071</v>
      </c>
      <c r="E26151" s="2">
        <v>3050907</v>
      </c>
      <c r="F26151" s="4" t="e">
        <f>IF(B26151=#REF!,"",B26151)</f>
        <v>#REF!</v>
      </c>
    </row>
    <row r="26152" spans="1:6" ht="15.75" customHeight="1">
      <c r="A26152" s="15" t="s">
        <v>24949</v>
      </c>
      <c r="B26152" s="15" t="s">
        <v>24949</v>
      </c>
      <c r="C26152" s="15" t="s">
        <v>24924</v>
      </c>
      <c r="D26152" s="15" t="s">
        <v>6944</v>
      </c>
      <c r="E26152" s="2">
        <v>1242835</v>
      </c>
      <c r="F26152" s="4" t="e">
        <f>IF(B26152=#REF!,"",B26152)</f>
        <v>#REF!</v>
      </c>
    </row>
    <row r="26153" spans="1:6" ht="15.75" customHeight="1">
      <c r="A26153" s="15" t="s">
        <v>26987</v>
      </c>
      <c r="B26153" s="15" t="s">
        <v>26987</v>
      </c>
      <c r="C26153" s="15" t="s">
        <v>26870</v>
      </c>
      <c r="D26153" s="15" t="s">
        <v>26893</v>
      </c>
      <c r="E26153" s="2">
        <v>707292</v>
      </c>
      <c r="F26153" s="4" t="e">
        <f>IF(B26153=#REF!,"",B26153)</f>
        <v>#REF!</v>
      </c>
    </row>
    <row r="26154" spans="1:6" ht="15.75" customHeight="1">
      <c r="A26154" s="15" t="s">
        <v>26986</v>
      </c>
      <c r="B26154" s="15" t="s">
        <v>26986</v>
      </c>
      <c r="C26154" s="15" t="s">
        <v>26870</v>
      </c>
      <c r="D26154" s="15" t="s">
        <v>26955</v>
      </c>
      <c r="E26154" s="2">
        <v>707296</v>
      </c>
      <c r="F26154" s="4" t="e">
        <f>IF(B26154=#REF!,"",B26154)</f>
        <v>#REF!</v>
      </c>
    </row>
    <row r="26155" spans="1:6" ht="15.75" customHeight="1">
      <c r="A26155" s="15" t="s">
        <v>16044</v>
      </c>
      <c r="B26155" s="15" t="s">
        <v>16044</v>
      </c>
      <c r="C26155" s="15" t="s">
        <v>15704</v>
      </c>
      <c r="D26155" s="15" t="s">
        <v>15740</v>
      </c>
      <c r="E26155" s="2">
        <v>1861084</v>
      </c>
      <c r="F26155" s="4" t="str">
        <f>IF(B26155=B26154,"",B26155)</f>
        <v>Izumo</v>
      </c>
    </row>
    <row r="26156" spans="1:6" ht="15.75" customHeight="1">
      <c r="A26156" s="16" t="str">
        <f ca="1">IFERROR(__xludf.DUMMYFUNCTION("GOOGLETRANSLATE(B35547,""en"",""pt"")"),"Izumiōtsu")</f>
        <v>Izumiōtsu</v>
      </c>
      <c r="B26156" s="20" t="s">
        <v>34366</v>
      </c>
      <c r="C26156" s="20" t="s">
        <v>15704</v>
      </c>
      <c r="D26156" s="20" t="s">
        <v>34295</v>
      </c>
      <c r="E26156" s="10">
        <v>1861095</v>
      </c>
      <c r="F26156" s="4" t="str">
        <f>IF(B26156=B26155,"",B26156)</f>
        <v>Izumiōtsu</v>
      </c>
    </row>
    <row r="26157" spans="1:6" ht="15.75" customHeight="1">
      <c r="A26157" s="16" t="s">
        <v>16042</v>
      </c>
      <c r="B26157" s="15" t="s">
        <v>16043</v>
      </c>
      <c r="C26157" s="16" t="s">
        <v>15704</v>
      </c>
      <c r="D26157" s="16" t="s">
        <v>15853</v>
      </c>
      <c r="E26157" s="2">
        <v>1861095</v>
      </c>
      <c r="F26157" s="4" t="e">
        <f>IF(B26157=#REF!,"",B26157)</f>
        <v>#REF!</v>
      </c>
    </row>
    <row r="26158" spans="1:6" ht="15.75" customHeight="1">
      <c r="A26158" s="15" t="s">
        <v>16041</v>
      </c>
      <c r="B26158" s="15" t="s">
        <v>16041</v>
      </c>
      <c r="C26158" s="15" t="s">
        <v>15704</v>
      </c>
      <c r="D26158" s="15" t="s">
        <v>15853</v>
      </c>
      <c r="E26158" s="2">
        <v>1861107</v>
      </c>
      <c r="F26158" s="4" t="str">
        <f>IF(B26158=B26157,"",B26158)</f>
        <v>Izumi</v>
      </c>
    </row>
    <row r="26159" spans="1:6" ht="15.75" customHeight="1">
      <c r="A26159" s="16" t="str">
        <f ca="1">IFERROR(__xludf.DUMMYFUNCTION("GOOGLETRANSLATE(B37005,""en"",""pt"")"),"Izúcar de Matamoros")</f>
        <v>Izúcar de Matamoros</v>
      </c>
      <c r="B26159" s="20" t="s">
        <v>34697</v>
      </c>
      <c r="C26159" s="20" t="s">
        <v>17707</v>
      </c>
      <c r="D26159" s="20" t="s">
        <v>17717</v>
      </c>
      <c r="E26159" s="10">
        <v>3526657</v>
      </c>
      <c r="F26159" s="4" t="e">
        <f>IF(B26159=#REF!,"",B26159)</f>
        <v>#REF!</v>
      </c>
    </row>
    <row r="26160" spans="1:6" ht="15.75" customHeight="1">
      <c r="A26160" s="16" t="s">
        <v>18007</v>
      </c>
      <c r="B26160" s="15" t="s">
        <v>18007</v>
      </c>
      <c r="C26160" s="16" t="s">
        <v>17707</v>
      </c>
      <c r="D26160" s="16" t="s">
        <v>17711</v>
      </c>
      <c r="E26160" s="2">
        <v>3526683</v>
      </c>
      <c r="F26160" s="4" t="e">
        <f>IF(B26160=#REF!,"",B26160)</f>
        <v>#REF!</v>
      </c>
    </row>
    <row r="26161" spans="1:6" ht="15.75" customHeight="1">
      <c r="A26161" s="15" t="s">
        <v>18006</v>
      </c>
      <c r="B26161" s="15" t="s">
        <v>18006</v>
      </c>
      <c r="C26161" s="15" t="s">
        <v>17707</v>
      </c>
      <c r="D26161" s="15" t="s">
        <v>17711</v>
      </c>
      <c r="E26161" s="2">
        <v>3526700</v>
      </c>
      <c r="F26161" s="4" t="str">
        <f>IF(B26161=B26160,"",B26161)</f>
        <v>Iztacalco</v>
      </c>
    </row>
    <row r="26162" spans="1:6" ht="15.75" customHeight="1">
      <c r="A26162" s="16" t="s">
        <v>22447</v>
      </c>
      <c r="B26162" s="15" t="s">
        <v>22448</v>
      </c>
      <c r="C26162" s="16" t="s">
        <v>22070</v>
      </c>
      <c r="D26162" s="16" t="s">
        <v>22117</v>
      </c>
      <c r="E26162" s="2">
        <v>554770</v>
      </c>
      <c r="F26162" s="4" t="str">
        <f>IF(B26162=B26161,"",B26162)</f>
        <v>Izobilâ€™nyy</v>
      </c>
    </row>
    <row r="26163" spans="1:6" ht="15.75" customHeight="1">
      <c r="A26163" s="16" t="str">
        <f ca="1">IFERROR(__xludf.DUMMYFUNCTION("GOOGLETRANSLATE(B40502,""en"",""pt"")"),"Izobil'nyy")</f>
        <v>Izobil'nyy</v>
      </c>
      <c r="B26163" s="20" t="s">
        <v>35509</v>
      </c>
      <c r="C26163" s="20" t="s">
        <v>22070</v>
      </c>
      <c r="D26163" s="20" t="s">
        <v>22117</v>
      </c>
      <c r="E26163" s="10">
        <v>554770</v>
      </c>
      <c r="F26163" s="4" t="str">
        <f>IF(B26163=B26162,"",B26163)</f>
        <v>Izobil’nyy</v>
      </c>
    </row>
    <row r="26164" spans="1:6" ht="15.75" customHeight="1">
      <c r="A26164" s="16" t="str">
        <f ca="1">IFERROR(__xludf.DUMMYFUNCTION("GOOGLETRANSLATE(B42157,""en"",""pt"")"),"İznik")</f>
        <v>İznik</v>
      </c>
      <c r="B26164" s="20" t="s">
        <v>35937</v>
      </c>
      <c r="C26164" s="20" t="s">
        <v>26201</v>
      </c>
      <c r="D26164" s="20" t="s">
        <v>26205</v>
      </c>
      <c r="E26164" s="10">
        <v>745026</v>
      </c>
      <c r="F26164" s="4" t="str">
        <f>IF(B26164=B26163,"",B26164)</f>
        <v>İznik</v>
      </c>
    </row>
    <row r="26165" spans="1:6" ht="15.75" customHeight="1">
      <c r="A26165" s="16" t="str">
        <f ca="1">IFERROR(__xludf.DUMMYFUNCTION("GOOGLETRANSLATE(B42158,""en"",""pt"")"),"Izmit")</f>
        <v>Izmit</v>
      </c>
      <c r="B26165" s="20" t="s">
        <v>35938</v>
      </c>
      <c r="C26165" s="20" t="s">
        <v>26201</v>
      </c>
      <c r="D26165" s="20" t="s">
        <v>26216</v>
      </c>
      <c r="E26165" s="10">
        <v>745028</v>
      </c>
      <c r="F26165" s="4" t="str">
        <f>IF(B26165=B26164,"",B26165)</f>
        <v>İzmit</v>
      </c>
    </row>
    <row r="26166" spans="1:6" ht="15.75" customHeight="1">
      <c r="A26166" s="16" t="str">
        <f ca="1">IFERROR(__xludf.DUMMYFUNCTION("GOOGLETRANSLATE(B41979,""en"",""pt"")"),"Izmir")</f>
        <v>Izmir</v>
      </c>
      <c r="B26166" s="20" t="s">
        <v>35825</v>
      </c>
      <c r="C26166" s="20" t="s">
        <v>26201</v>
      </c>
      <c r="D26166" s="20" t="s">
        <v>35825</v>
      </c>
      <c r="E26166" s="10">
        <v>311046</v>
      </c>
      <c r="F26166" s="4" t="e">
        <f>IF(B26166=#REF!,"",B26166)</f>
        <v>#REF!</v>
      </c>
    </row>
    <row r="26167" spans="1:6" ht="15.75" customHeight="1">
      <c r="A26167" s="16" t="s">
        <v>22446</v>
      </c>
      <c r="B26167" s="15" t="s">
        <v>22446</v>
      </c>
      <c r="C26167" s="16" t="s">
        <v>22070</v>
      </c>
      <c r="D26167" s="16" t="s">
        <v>22119</v>
      </c>
      <c r="E26167" s="2">
        <v>554787</v>
      </c>
      <c r="F26167" s="4" t="e">
        <f>IF(B26167=#REF!,"",B26167)</f>
        <v>#REF!</v>
      </c>
    </row>
    <row r="26168" spans="1:6" ht="15.75" customHeight="1">
      <c r="A26168" s="15" t="s">
        <v>26985</v>
      </c>
      <c r="B26168" s="15" t="s">
        <v>26985</v>
      </c>
      <c r="C26168" s="15" t="s">
        <v>26870</v>
      </c>
      <c r="D26168" s="15" t="s">
        <v>26884</v>
      </c>
      <c r="E26168" s="2">
        <v>707308</v>
      </c>
      <c r="F26168" s="4" t="e">
        <f>IF(B26168=#REF!,"",B26168)</f>
        <v>#REF!</v>
      </c>
    </row>
    <row r="26169" spans="1:6" ht="15.75" customHeight="1">
      <c r="A26169" s="15" t="s">
        <v>22445</v>
      </c>
      <c r="B26169" s="15" t="s">
        <v>22445</v>
      </c>
      <c r="C26169" s="15" t="s">
        <v>22070</v>
      </c>
      <c r="D26169" s="15" t="s">
        <v>22217</v>
      </c>
      <c r="E26169" s="2">
        <v>7290697</v>
      </c>
      <c r="F26169" s="4" t="str">
        <f>IF(B26169=B26168,"",B26169)</f>
        <v>Izluchinsk</v>
      </c>
    </row>
    <row r="26170" spans="1:6" ht="15.75" customHeight="1">
      <c r="A26170" s="16" t="str">
        <f ca="1">IFERROR(__xludf.DUMMYFUNCTION("GOOGLETRANSLATE(B38261,""en"",""pt"")"),"Izkī")</f>
        <v>Izkī</v>
      </c>
      <c r="B26170" s="20" t="s">
        <v>34850</v>
      </c>
      <c r="C26170" s="20" t="s">
        <v>19755</v>
      </c>
      <c r="D26170" s="20" t="s">
        <v>34843</v>
      </c>
      <c r="E26170" s="10">
        <v>287814</v>
      </c>
      <c r="F26170" s="4" t="str">
        <f>IF(B26170=B26169,"",B26170)</f>
        <v>Izkī</v>
      </c>
    </row>
    <row r="26171" spans="1:6" ht="15.75" customHeight="1">
      <c r="A26171" s="15" t="s">
        <v>19789</v>
      </c>
      <c r="B26171" s="15" t="s">
        <v>19790</v>
      </c>
      <c r="C26171" s="15" t="s">
        <v>19755</v>
      </c>
      <c r="D26171" s="15" t="s">
        <v>19759</v>
      </c>
      <c r="E26171" s="2">
        <v>287814</v>
      </c>
      <c r="F26171" s="4" t="e">
        <f>IF(B26171=#REF!,"",B26171)</f>
        <v>#REF!</v>
      </c>
    </row>
    <row r="26172" spans="1:6" ht="15.75" customHeight="1">
      <c r="A26172" s="15" t="s">
        <v>22444</v>
      </c>
      <c r="B26172" s="15" t="s">
        <v>22444</v>
      </c>
      <c r="C26172" s="15" t="s">
        <v>22070</v>
      </c>
      <c r="D26172" s="15" t="s">
        <v>22189</v>
      </c>
      <c r="E26172" s="2">
        <v>554840</v>
      </c>
      <c r="F26172" s="4" t="e">
        <f>IF(B26172=#REF!,"",B26172)</f>
        <v>#REF!</v>
      </c>
    </row>
    <row r="26173" spans="1:6" ht="15.75" customHeight="1">
      <c r="A26173" s="15" t="s">
        <v>1603</v>
      </c>
      <c r="B26173" s="15" t="s">
        <v>1603</v>
      </c>
      <c r="C26173" s="15" t="s">
        <v>1512</v>
      </c>
      <c r="D26173" s="15" t="s">
        <v>1513</v>
      </c>
      <c r="E26173" s="2">
        <v>2795009</v>
      </c>
      <c r="F26173" s="4" t="e">
        <f>IF(B26173=#REF!,"",B26173)</f>
        <v>#REF!</v>
      </c>
    </row>
    <row r="26174" spans="1:6" ht="15.75" customHeight="1">
      <c r="A26174" s="15" t="s">
        <v>22443</v>
      </c>
      <c r="B26174" s="15" t="s">
        <v>22443</v>
      </c>
      <c r="C26174" s="15" t="s">
        <v>22070</v>
      </c>
      <c r="D26174" s="15" t="s">
        <v>22208</v>
      </c>
      <c r="E26174" s="2">
        <v>554894</v>
      </c>
      <c r="F26174" s="4" t="e">
        <f>IF(B26174=#REF!,"",B26174)</f>
        <v>#REF!</v>
      </c>
    </row>
    <row r="26175" spans="1:6" ht="15.75" customHeight="1">
      <c r="A26175" s="15" t="s">
        <v>25617</v>
      </c>
      <c r="B26175" s="15" t="s">
        <v>25617</v>
      </c>
      <c r="C26175" s="15" t="s">
        <v>25560</v>
      </c>
      <c r="D26175" s="15" t="s">
        <v>25611</v>
      </c>
      <c r="E26175" s="2">
        <v>158825</v>
      </c>
      <c r="F26175" s="4" t="str">
        <f>IF(B26175=B26174,"",B26175)</f>
        <v>Izazi</v>
      </c>
    </row>
    <row r="26176" spans="1:6" ht="15.75" customHeight="1">
      <c r="A26176" s="16" t="s">
        <v>18004</v>
      </c>
      <c r="B26176" s="15" t="s">
        <v>18005</v>
      </c>
      <c r="C26176" s="16" t="s">
        <v>17707</v>
      </c>
      <c r="D26176" s="16" t="s">
        <v>17717</v>
      </c>
      <c r="E26176" s="2">
        <v>3526657</v>
      </c>
      <c r="F26176" s="4" t="e">
        <f>IF(B26176=#REF!,"",B26176)</f>
        <v>#REF!</v>
      </c>
    </row>
    <row r="26177" spans="1:6" ht="15.75" customHeight="1">
      <c r="A26177" s="15" t="s">
        <v>6744</v>
      </c>
      <c r="B26177" s="15" t="s">
        <v>6744</v>
      </c>
      <c r="C26177" s="15" t="s">
        <v>6727</v>
      </c>
      <c r="D26177" s="15" t="s">
        <v>6728</v>
      </c>
      <c r="E26177" s="2">
        <v>3585473</v>
      </c>
      <c r="F26177" s="4" t="e">
        <f>IF(B26177=#REF!,"",B26177)</f>
        <v>#REF!</v>
      </c>
    </row>
    <row r="26178" spans="1:6" ht="15.75" customHeight="1">
      <c r="A26178" s="15" t="s">
        <v>16040</v>
      </c>
      <c r="B26178" s="15" t="s">
        <v>16040</v>
      </c>
      <c r="C26178" s="15" t="s">
        <v>15704</v>
      </c>
      <c r="D26178" s="15" t="s">
        <v>15813</v>
      </c>
      <c r="E26178" s="2">
        <v>1926006</v>
      </c>
      <c r="F26178" s="4" t="str">
        <f>IF(B26178=B26177,"",B26178)</f>
        <v>Iyo</v>
      </c>
    </row>
    <row r="26179" spans="1:6" ht="15.75" customHeight="1">
      <c r="A26179" s="16" t="str">
        <f ca="1">IFERROR(__xludf.DUMMYFUNCTION("GOOGLETRANSLATE(B37275,""en"",""pt"")"),"Ixtlán del Río")</f>
        <v>Ixtlán del Río</v>
      </c>
      <c r="B26179" s="20" t="s">
        <v>34764</v>
      </c>
      <c r="C26179" s="20" t="s">
        <v>17707</v>
      </c>
      <c r="D26179" s="20" t="s">
        <v>17720</v>
      </c>
      <c r="E26179" s="10">
        <v>4004267</v>
      </c>
      <c r="F26179" s="4" t="str">
        <f>IF(B26179=B26178,"",B26179)</f>
        <v>Ixtlán del Río</v>
      </c>
    </row>
    <row r="26180" spans="1:6" ht="15.75" customHeight="1">
      <c r="A26180" s="16" t="s">
        <v>18002</v>
      </c>
      <c r="B26180" s="15" t="s">
        <v>18003</v>
      </c>
      <c r="C26180" s="16" t="s">
        <v>17707</v>
      </c>
      <c r="D26180" s="16" t="s">
        <v>17720</v>
      </c>
      <c r="E26180" s="2">
        <v>4004267</v>
      </c>
      <c r="F26180" s="4" t="e">
        <f>IF(B26180=#REF!,"",B26180)</f>
        <v>#REF!</v>
      </c>
    </row>
    <row r="26181" spans="1:6" ht="15.75" customHeight="1">
      <c r="A26181" s="16" t="s">
        <v>18000</v>
      </c>
      <c r="B26181" s="15" t="s">
        <v>18001</v>
      </c>
      <c r="C26181" s="16" t="s">
        <v>17707</v>
      </c>
      <c r="D26181" s="16" t="s">
        <v>17723</v>
      </c>
      <c r="E26181" s="2">
        <v>3979673</v>
      </c>
      <c r="F26181" s="4" t="e">
        <f>IF(B26181=#REF!,"",B26181)</f>
        <v>#REF!</v>
      </c>
    </row>
    <row r="26182" spans="1:6" ht="15.75" customHeight="1">
      <c r="A26182" s="16" t="s">
        <v>17998</v>
      </c>
      <c r="B26182" s="15" t="s">
        <v>17999</v>
      </c>
      <c r="C26182" s="16" t="s">
        <v>17707</v>
      </c>
      <c r="D26182" s="16" t="s">
        <v>17736</v>
      </c>
      <c r="E26182" s="2">
        <v>3526681</v>
      </c>
      <c r="F26182" s="4" t="e">
        <f>IF(B26182=#REF!,"",B26182)</f>
        <v>#REF!</v>
      </c>
    </row>
    <row r="26183" spans="1:6" ht="15.75" customHeight="1">
      <c r="A26183" s="16" t="s">
        <v>17997</v>
      </c>
      <c r="B26183" s="15" t="s">
        <v>17997</v>
      </c>
      <c r="C26183" s="16" t="s">
        <v>17707</v>
      </c>
      <c r="D26183" s="16" t="s">
        <v>17736</v>
      </c>
      <c r="E26183" s="2">
        <v>3526682</v>
      </c>
      <c r="F26183" s="4" t="e">
        <f>IF(B26183=#REF!,"",B26183)</f>
        <v>#REF!</v>
      </c>
    </row>
    <row r="26184" spans="1:6" ht="15.75" customHeight="1">
      <c r="A26184" s="15" t="s">
        <v>17996</v>
      </c>
      <c r="B26184" s="15" t="s">
        <v>17996</v>
      </c>
      <c r="C26184" s="15" t="s">
        <v>17707</v>
      </c>
      <c r="D26184" s="15" t="s">
        <v>17746</v>
      </c>
      <c r="E26184" s="2">
        <v>4004293</v>
      </c>
      <c r="F26184" s="4" t="str">
        <f>IF(B26184=B26183,"",B26184)</f>
        <v>Ixtapa</v>
      </c>
    </row>
    <row r="26185" spans="1:6" ht="15.75" customHeight="1">
      <c r="A26185" s="16" t="str">
        <f ca="1">IFERROR(__xludf.DUMMYFUNCTION("GOOGLETRANSLATE(B37010,""en"",""pt"")"),"Ixtac Zoquitlán")</f>
        <v>Ixtac Zoquitlán</v>
      </c>
      <c r="B26185" s="20" t="s">
        <v>34699</v>
      </c>
      <c r="C26185" s="20" t="s">
        <v>17707</v>
      </c>
      <c r="D26185" s="20" t="s">
        <v>17708</v>
      </c>
      <c r="E26185" s="10">
        <v>3526696</v>
      </c>
      <c r="F26185" s="4" t="str">
        <f>IF(B26185=B26184,"",B26185)</f>
        <v>Ixtac Zoquitlán</v>
      </c>
    </row>
    <row r="26186" spans="1:6" ht="15.75" customHeight="1">
      <c r="A26186" s="16" t="s">
        <v>17994</v>
      </c>
      <c r="B26186" s="15" t="s">
        <v>17995</v>
      </c>
      <c r="C26186" s="16" t="s">
        <v>17707</v>
      </c>
      <c r="D26186" s="16" t="s">
        <v>17708</v>
      </c>
      <c r="E26186" s="2">
        <v>3526696</v>
      </c>
      <c r="F26186" s="4" t="e">
        <f>IF(B26186=#REF!,"",B26186)</f>
        <v>#REF!</v>
      </c>
    </row>
    <row r="26187" spans="1:6" ht="15.75" customHeight="1">
      <c r="A26187" s="16" t="s">
        <v>17992</v>
      </c>
      <c r="B26187" s="15" t="s">
        <v>17993</v>
      </c>
      <c r="C26187" s="16" t="s">
        <v>17707</v>
      </c>
      <c r="D26187" s="16" t="s">
        <v>17729</v>
      </c>
      <c r="E26187" s="2">
        <v>3526708</v>
      </c>
      <c r="F26187" s="4" t="str">
        <f>IF(B26187=B26186,"",B26187)</f>
        <v>Ixmiquilpan</v>
      </c>
    </row>
    <row r="26188" spans="1:6" ht="15.75" customHeight="1">
      <c r="A26188" s="16" t="str">
        <f ca="1">IFERROR(__xludf.DUMMYFUNCTION("GOOGLETRANSLATE(B36039,""en"",""pt"")"),"Iwŏn-ŭp")</f>
        <v>Iwŏn-ŭp</v>
      </c>
      <c r="B26188" s="20" t="s">
        <v>34466</v>
      </c>
      <c r="C26188" s="20" t="s">
        <v>19589</v>
      </c>
      <c r="D26188" s="20" t="s">
        <v>34439</v>
      </c>
      <c r="E26188" s="10">
        <v>2043677</v>
      </c>
      <c r="F26188" s="4" t="e">
        <f>IF(B26188=#REF!,"",B26188)</f>
        <v>#REF!</v>
      </c>
    </row>
    <row r="26189" spans="1:6" ht="15.75" customHeight="1">
      <c r="A26189" s="15" t="s">
        <v>8005</v>
      </c>
      <c r="B26189" s="15" t="s">
        <v>19465</v>
      </c>
      <c r="C26189" s="15" t="s">
        <v>19294</v>
      </c>
      <c r="D26189" s="15" t="s">
        <v>19322</v>
      </c>
      <c r="E26189" s="2">
        <v>2336905</v>
      </c>
      <c r="F26189" s="4" t="e">
        <f>IF(B26189=#REF!,"",B26189)</f>
        <v>#REF!</v>
      </c>
    </row>
    <row r="26190" spans="1:6" ht="15.75" customHeight="1">
      <c r="A26190" s="15" t="s">
        <v>16039</v>
      </c>
      <c r="B26190" s="15" t="s">
        <v>16039</v>
      </c>
      <c r="C26190" s="15" t="s">
        <v>15704</v>
      </c>
      <c r="D26190" s="15" t="s">
        <v>15710</v>
      </c>
      <c r="E26190" s="2">
        <v>1861164</v>
      </c>
      <c r="F26190" s="4" t="e">
        <f>IF(B26190=#REF!,"",B26190)</f>
        <v>#REF!</v>
      </c>
    </row>
    <row r="26191" spans="1:6" ht="15.75" customHeight="1">
      <c r="A26191" s="15" t="s">
        <v>16038</v>
      </c>
      <c r="B26191" s="15" t="s">
        <v>16038</v>
      </c>
      <c r="C26191" s="15" t="s">
        <v>15704</v>
      </c>
      <c r="D26191" s="15" t="s">
        <v>15809</v>
      </c>
      <c r="E26191" s="2">
        <v>1861171</v>
      </c>
      <c r="F26191" s="4" t="e">
        <f>IF(B26191=#REF!,"",B26191)</f>
        <v>#REF!</v>
      </c>
    </row>
    <row r="26192" spans="1:6" ht="15.75" customHeight="1">
      <c r="A26192" s="15" t="s">
        <v>16037</v>
      </c>
      <c r="B26192" s="15" t="s">
        <v>16037</v>
      </c>
      <c r="C26192" s="15" t="s">
        <v>15704</v>
      </c>
      <c r="D26192" s="15" t="s">
        <v>15724</v>
      </c>
      <c r="E26192" s="2">
        <v>2112521</v>
      </c>
      <c r="F26192" s="4" t="e">
        <f>IF(B26192=#REF!,"",B26192)</f>
        <v>#REF!</v>
      </c>
    </row>
    <row r="26193" spans="1:6" ht="15.75" customHeight="1">
      <c r="A26193" s="15" t="s">
        <v>16036</v>
      </c>
      <c r="B26193" s="15" t="s">
        <v>16036</v>
      </c>
      <c r="C26193" s="15" t="s">
        <v>15704</v>
      </c>
      <c r="D26193" s="15" t="s">
        <v>15764</v>
      </c>
      <c r="E26193" s="2">
        <v>2112527</v>
      </c>
      <c r="F26193" s="4" t="e">
        <f>IF(B26193=#REF!,"",B26193)</f>
        <v>#REF!</v>
      </c>
    </row>
    <row r="26194" spans="1:6" ht="15.75" customHeight="1">
      <c r="A26194" s="15" t="s">
        <v>16035</v>
      </c>
      <c r="B26194" s="15" t="s">
        <v>16035</v>
      </c>
      <c r="C26194" s="15" t="s">
        <v>15704</v>
      </c>
      <c r="D26194" s="15" t="s">
        <v>15705</v>
      </c>
      <c r="E26194" s="2">
        <v>2129868</v>
      </c>
      <c r="F26194" s="4" t="e">
        <f>IF(B26194=#REF!,"",B26194)</f>
        <v>#REF!</v>
      </c>
    </row>
    <row r="26195" spans="1:6" ht="15.75" customHeight="1">
      <c r="A26195" s="16" t="s">
        <v>16034</v>
      </c>
      <c r="B26195" s="15" t="s">
        <v>16034</v>
      </c>
      <c r="C26195" s="16" t="s">
        <v>15704</v>
      </c>
      <c r="D26195" s="16" t="s">
        <v>15705</v>
      </c>
      <c r="E26195" s="2">
        <v>2129870</v>
      </c>
      <c r="F26195" s="4" t="e">
        <f>IF(B26195=#REF!,"",B26195)</f>
        <v>#REF!</v>
      </c>
    </row>
    <row r="26196" spans="1:6" ht="15.75" customHeight="1">
      <c r="A26196" s="15" t="s">
        <v>16033</v>
      </c>
      <c r="B26196" s="15" t="s">
        <v>16033</v>
      </c>
      <c r="C26196" s="15" t="s">
        <v>15704</v>
      </c>
      <c r="D26196" s="15" t="s">
        <v>15729</v>
      </c>
      <c r="E26196" s="2">
        <v>1861207</v>
      </c>
      <c r="F26196" s="4" t="e">
        <f>IF(B26196=#REF!,"",B26196)</f>
        <v>#REF!</v>
      </c>
    </row>
    <row r="26197" spans="1:6" ht="15.75" customHeight="1">
      <c r="A26197" s="15" t="s">
        <v>16032</v>
      </c>
      <c r="B26197" s="15" t="s">
        <v>16032</v>
      </c>
      <c r="C26197" s="15" t="s">
        <v>15704</v>
      </c>
      <c r="D26197" s="15" t="s">
        <v>15796</v>
      </c>
      <c r="E26197" s="2">
        <v>1861212</v>
      </c>
      <c r="F26197" s="4" t="e">
        <f>IF(B26197=#REF!,"",B26197)</f>
        <v>#REF!</v>
      </c>
    </row>
    <row r="26198" spans="1:6" ht="15.75" customHeight="1">
      <c r="A26198" s="15" t="s">
        <v>16031</v>
      </c>
      <c r="B26198" s="15" t="s">
        <v>16031</v>
      </c>
      <c r="C26198" s="15" t="s">
        <v>15704</v>
      </c>
      <c r="D26198" s="15" t="s">
        <v>15884</v>
      </c>
      <c r="E26198" s="2">
        <v>2112539</v>
      </c>
      <c r="F26198" s="4" t="e">
        <f>IF(B26198=#REF!,"",B26198)</f>
        <v>#REF!</v>
      </c>
    </row>
    <row r="26199" spans="1:6" ht="15.75" customHeight="1">
      <c r="A26199" s="15" t="s">
        <v>16029</v>
      </c>
      <c r="B26199" s="15" t="s">
        <v>16030</v>
      </c>
      <c r="C26199" s="15" t="s">
        <v>15704</v>
      </c>
      <c r="D26199" s="15" t="s">
        <v>15724</v>
      </c>
      <c r="E26199" s="2">
        <v>1861223</v>
      </c>
      <c r="F26199" s="4" t="e">
        <f>IF(B26199=#REF!,"",B26199)</f>
        <v>#REF!</v>
      </c>
    </row>
    <row r="26200" spans="1:6" ht="15.75" customHeight="1">
      <c r="A26200" s="15" t="s">
        <v>16028</v>
      </c>
      <c r="B26200" s="15" t="s">
        <v>16028</v>
      </c>
      <c r="C26200" s="15" t="s">
        <v>15704</v>
      </c>
      <c r="D26200" s="15" t="s">
        <v>15902</v>
      </c>
      <c r="E26200" s="2">
        <v>1861244</v>
      </c>
      <c r="F26200" s="4" t="str">
        <f>IF(B26200=B26199,"",B26200)</f>
        <v>Iwade</v>
      </c>
    </row>
    <row r="26201" spans="1:6" ht="15.75" customHeight="1">
      <c r="A26201" s="15" t="s">
        <v>19630</v>
      </c>
      <c r="B26201" s="15" t="s">
        <v>19631</v>
      </c>
      <c r="C26201" s="15" t="s">
        <v>19589</v>
      </c>
      <c r="D26201" s="15" t="s">
        <v>19616</v>
      </c>
      <c r="E26201" s="2">
        <v>2043677</v>
      </c>
      <c r="F26201" s="4" t="e">
        <f>IF(B26201=#REF!,"",B26201)</f>
        <v>#REF!</v>
      </c>
    </row>
    <row r="26202" spans="1:6" ht="15.75" customHeight="1">
      <c r="A26202" s="16" t="s">
        <v>7409</v>
      </c>
      <c r="B26202" s="15" t="s">
        <v>7410</v>
      </c>
      <c r="C26202" s="16" t="s">
        <v>7052</v>
      </c>
      <c r="D26202" s="16" t="s">
        <v>7058</v>
      </c>
      <c r="E26202" s="2">
        <v>3012621</v>
      </c>
      <c r="F26202" s="4" t="e">
        <f>IF(B26202=#REF!,"",B26202)</f>
        <v>#REF!</v>
      </c>
    </row>
    <row r="26203" spans="1:6" ht="15.75" customHeight="1">
      <c r="A26203" s="15" t="s">
        <v>15203</v>
      </c>
      <c r="B26203" s="15" t="s">
        <v>15203</v>
      </c>
      <c r="C26203" s="15" t="s">
        <v>14891</v>
      </c>
      <c r="D26203" s="15" t="s">
        <v>14911</v>
      </c>
      <c r="E26203" s="2">
        <v>3175384</v>
      </c>
      <c r="F26203" s="4" t="e">
        <f>IF(B26203=#REF!,"",B26203)</f>
        <v>#REF!</v>
      </c>
    </row>
    <row r="26204" spans="1:6" ht="15.75" customHeight="1">
      <c r="A26204" s="15" t="s">
        <v>2706</v>
      </c>
      <c r="B26204" s="15" t="s">
        <v>2706</v>
      </c>
      <c r="C26204" s="15" t="s">
        <v>1905</v>
      </c>
      <c r="D26204" s="15" t="s">
        <v>1951</v>
      </c>
      <c r="E26204" s="2">
        <v>3460484</v>
      </c>
      <c r="F26204" s="4" t="e">
        <f>IF(B26204=#REF!,"",B26204)</f>
        <v>#REF!</v>
      </c>
    </row>
    <row r="26205" spans="1:6" ht="15.75" customHeight="1">
      <c r="A26205" s="16" t="s">
        <v>28965</v>
      </c>
      <c r="B26205" s="15" t="s">
        <v>28965</v>
      </c>
      <c r="C26205" s="16" t="s">
        <v>27788</v>
      </c>
      <c r="D26205" s="16" t="s">
        <v>5468</v>
      </c>
      <c r="E26205" s="2">
        <v>4159896</v>
      </c>
      <c r="F26205" s="4" t="str">
        <f>IF(B26205=B26204,"",B26205)</f>
        <v>Ives Estates</v>
      </c>
    </row>
    <row r="26206" spans="1:6" ht="15.75" customHeight="1">
      <c r="A26206" s="15" t="s">
        <v>22441</v>
      </c>
      <c r="B26206" s="15" t="s">
        <v>22442</v>
      </c>
      <c r="C26206" s="15" t="s">
        <v>22070</v>
      </c>
      <c r="D26206" s="15" t="s">
        <v>22106</v>
      </c>
      <c r="E26206" s="2">
        <v>1505260</v>
      </c>
      <c r="F26206" s="4" t="str">
        <f>IF(B26206=B26205,"",B26206)</f>
        <v>Ivdelâ€™</v>
      </c>
    </row>
    <row r="26207" spans="1:6" ht="15.75" customHeight="1">
      <c r="A26207" s="16" t="str">
        <f ca="1">IFERROR(__xludf.DUMMYFUNCTION("GOOGLETRANSLATE(B40840,""en"",""pt"")"),"Ivdel '")</f>
        <v>Ivdel '</v>
      </c>
      <c r="B26207" s="20" t="s">
        <v>35546</v>
      </c>
      <c r="C26207" s="20" t="s">
        <v>22070</v>
      </c>
      <c r="D26207" s="20" t="s">
        <v>22106</v>
      </c>
      <c r="E26207" s="10">
        <v>1505260</v>
      </c>
      <c r="F26207" s="4" t="e">
        <f>IF(B26207=#REF!,"",B26207)</f>
        <v>#REF!</v>
      </c>
    </row>
    <row r="26208" spans="1:6" ht="15.75" customHeight="1">
      <c r="A26208" s="16" t="s">
        <v>1471</v>
      </c>
      <c r="B26208" s="15" t="s">
        <v>1471</v>
      </c>
      <c r="C26208" s="16" t="s">
        <v>1453</v>
      </c>
      <c r="D26208" s="16" t="s">
        <v>1457</v>
      </c>
      <c r="E26208" s="2">
        <v>627800</v>
      </c>
      <c r="F26208" s="4" t="e">
        <f>IF(B26208=#REF!,"",B26208)</f>
        <v>#REF!</v>
      </c>
    </row>
    <row r="26209" spans="1:6" ht="15.75" customHeight="1">
      <c r="A26209" s="16" t="s">
        <v>22440</v>
      </c>
      <c r="B26209" s="15" t="s">
        <v>22440</v>
      </c>
      <c r="C26209" s="16" t="s">
        <v>22070</v>
      </c>
      <c r="D26209" s="16" t="s">
        <v>22119</v>
      </c>
      <c r="E26209" s="2">
        <v>555111</v>
      </c>
      <c r="F26209" s="4" t="e">
        <f>IF(B26209=#REF!,"",B26209)</f>
        <v>#REF!</v>
      </c>
    </row>
    <row r="26210" spans="1:6" ht="15.75" customHeight="1">
      <c r="A26210" s="16" t="s">
        <v>22439</v>
      </c>
      <c r="B26210" s="15" t="s">
        <v>22439</v>
      </c>
      <c r="C26210" s="16" t="s">
        <v>22070</v>
      </c>
      <c r="D26210" s="16" t="s">
        <v>22127</v>
      </c>
      <c r="E26210" s="2">
        <v>555129</v>
      </c>
      <c r="F26210" s="4" t="e">
        <f>IF(B26210=#REF!,"",B26210)</f>
        <v>#REF!</v>
      </c>
    </row>
    <row r="26211" spans="1:6" ht="15.75" customHeight="1">
      <c r="A26211" s="15" t="s">
        <v>22382</v>
      </c>
      <c r="B26211" s="15" t="s">
        <v>22382</v>
      </c>
      <c r="C26211" s="15" t="s">
        <v>22070</v>
      </c>
      <c r="D26211" s="15" t="s">
        <v>22382</v>
      </c>
      <c r="E26211" s="2">
        <v>555312</v>
      </c>
      <c r="F26211" s="4" t="str">
        <f>IF(B26211=B26210,"",B26211)</f>
        <v>Ivanovo</v>
      </c>
    </row>
    <row r="26212" spans="1:6" ht="15.75" customHeight="1">
      <c r="A26212" s="16" t="s">
        <v>26983</v>
      </c>
      <c r="B26212" s="15" t="s">
        <v>26984</v>
      </c>
      <c r="C26212" s="16" t="s">
        <v>26870</v>
      </c>
      <c r="D26212" s="16" t="s">
        <v>26947</v>
      </c>
      <c r="E26212" s="2">
        <v>707471</v>
      </c>
      <c r="F26212" s="4" t="str">
        <f>IF(B26212=B26211,"",B26212)</f>
        <v>Ivano-Frankivsâ€™k</v>
      </c>
    </row>
    <row r="26213" spans="1:6" ht="15.75" customHeight="1">
      <c r="A26213" s="16" t="str">
        <f ca="1">IFERROR(__xludf.DUMMYFUNCTION("GOOGLETRANSLATE(B42644,""en"",""pt"")"),"Ivano-Frankivs'k")</f>
        <v>Ivano-Frankivs'k</v>
      </c>
      <c r="B26213" s="20" t="s">
        <v>36032</v>
      </c>
      <c r="C26213" s="20" t="s">
        <v>26870</v>
      </c>
      <c r="D26213" s="20" t="s">
        <v>26947</v>
      </c>
      <c r="E26213" s="10">
        <v>707471</v>
      </c>
      <c r="F26213" s="4" t="e">
        <f>IF(B26213=#REF!,"",B26213)</f>
        <v>#REF!</v>
      </c>
    </row>
    <row r="26214" spans="1:6" ht="15.75" customHeight="1">
      <c r="A26214" s="15" t="s">
        <v>8625</v>
      </c>
      <c r="B26214" s="15" t="s">
        <v>8625</v>
      </c>
      <c r="C26214" s="15" t="s">
        <v>8028</v>
      </c>
      <c r="D26214" s="15" t="s">
        <v>8040</v>
      </c>
      <c r="E26214" s="2">
        <v>2895569</v>
      </c>
      <c r="F26214" s="4" t="e">
        <f>IF(B26214=#REF!,"",B26214)</f>
        <v>#REF!</v>
      </c>
    </row>
    <row r="26215" spans="1:6" ht="15.75" customHeight="1">
      <c r="A26215" s="15" t="s">
        <v>2704</v>
      </c>
      <c r="B26215" s="15" t="s">
        <v>2705</v>
      </c>
      <c r="C26215" s="15" t="s">
        <v>1905</v>
      </c>
      <c r="D26215" s="15" t="s">
        <v>1914</v>
      </c>
      <c r="E26215" s="2">
        <v>3460511</v>
      </c>
      <c r="F26215" s="4" t="e">
        <f>IF(B26215=#REF!,"",B26215)</f>
        <v>#REF!</v>
      </c>
    </row>
    <row r="26216" spans="1:6" ht="15.75" customHeight="1">
      <c r="A26216" s="15" t="s">
        <v>24522</v>
      </c>
      <c r="B26216" s="15" t="s">
        <v>24522</v>
      </c>
      <c r="C26216" s="15" t="s">
        <v>24200</v>
      </c>
      <c r="D26216" s="15" t="s">
        <v>24320</v>
      </c>
      <c r="E26216" s="2">
        <v>8050879</v>
      </c>
      <c r="F26216" s="4" t="e">
        <f>IF(B26216=#REF!,"",B26216)</f>
        <v>#REF!</v>
      </c>
    </row>
    <row r="26217" spans="1:6" ht="15.75" customHeight="1">
      <c r="A26217" s="15" t="s">
        <v>2703</v>
      </c>
      <c r="B26217" s="15" t="s">
        <v>2703</v>
      </c>
      <c r="C26217" s="15" t="s">
        <v>1905</v>
      </c>
      <c r="D26217" s="15" t="s">
        <v>1917</v>
      </c>
      <c r="E26217" s="2">
        <v>3460513</v>
      </c>
      <c r="F26217" s="4" t="e">
        <f>IF(B26217=#REF!,"",B26217)</f>
        <v>#REF!</v>
      </c>
    </row>
    <row r="26218" spans="1:6" ht="15.75" customHeight="1">
      <c r="A26218" s="16" t="s">
        <v>2702</v>
      </c>
      <c r="B26218" s="15" t="s">
        <v>2702</v>
      </c>
      <c r="C26218" s="16" t="s">
        <v>1905</v>
      </c>
      <c r="D26218" s="16" t="s">
        <v>1906</v>
      </c>
      <c r="E26218" s="2">
        <v>3397851</v>
      </c>
      <c r="F26218" s="4" t="e">
        <f>IF(B26218=#REF!,"",B26218)</f>
        <v>#REF!</v>
      </c>
    </row>
    <row r="26219" spans="1:6" ht="15.75" customHeight="1">
      <c r="A26219" s="15" t="s">
        <v>2700</v>
      </c>
      <c r="B26219" s="15" t="s">
        <v>2701</v>
      </c>
      <c r="C26219" s="15" t="s">
        <v>1905</v>
      </c>
      <c r="D26219" s="15" t="s">
        <v>1914</v>
      </c>
      <c r="E26219" s="2">
        <v>3460516</v>
      </c>
      <c r="F26219" s="4" t="e">
        <f>IF(B26219=#REF!,"",B26219)</f>
        <v>#REF!</v>
      </c>
    </row>
    <row r="26220" spans="1:6" ht="15.75" customHeight="1">
      <c r="A26220" s="15" t="s">
        <v>2699</v>
      </c>
      <c r="B26220" s="15" t="s">
        <v>2699</v>
      </c>
      <c r="C26220" s="15" t="s">
        <v>1905</v>
      </c>
      <c r="D26220" s="15" t="s">
        <v>1969</v>
      </c>
      <c r="E26220" s="2">
        <v>3460522</v>
      </c>
      <c r="F26220" s="4" t="e">
        <f>IF(B26220=#REF!,"",B26220)</f>
        <v>#REF!</v>
      </c>
    </row>
    <row r="26221" spans="1:6" ht="15.75" customHeight="1">
      <c r="A26221" s="15" t="s">
        <v>2698</v>
      </c>
      <c r="B26221" s="15" t="s">
        <v>2698</v>
      </c>
      <c r="C26221" s="15" t="s">
        <v>1905</v>
      </c>
      <c r="D26221" s="15" t="s">
        <v>1917</v>
      </c>
      <c r="E26221" s="2">
        <v>3460523</v>
      </c>
      <c r="F26221" s="4" t="str">
        <f>IF(B26221=B26220,"",B26221)</f>
        <v>Ituiutaba</v>
      </c>
    </row>
    <row r="26222" spans="1:6" ht="15.75" customHeight="1">
      <c r="A26222" s="15" t="s">
        <v>2696</v>
      </c>
      <c r="B26222" s="15" t="s">
        <v>2697</v>
      </c>
      <c r="C26222" s="15" t="s">
        <v>1905</v>
      </c>
      <c r="D26222" s="15" t="s">
        <v>1947</v>
      </c>
      <c r="E26222" s="2">
        <v>3460530</v>
      </c>
      <c r="F26222" s="4" t="str">
        <f>IF(B26222=B26221,"",B26222)</f>
        <v>ItuberÃ¡</v>
      </c>
    </row>
    <row r="26223" spans="1:6" ht="15.75" customHeight="1">
      <c r="A26223" s="16" t="str">
        <f ca="1">IFERROR(__xludf.DUMMYFUNCTION("GOOGLETRANSLATE(B24918,""en"",""pt"")"),"Ituberá")</f>
        <v>Ituberá</v>
      </c>
      <c r="B26223" s="20" t="s">
        <v>31622</v>
      </c>
      <c r="C26223" s="20" t="s">
        <v>1905</v>
      </c>
      <c r="D26223" s="20" t="s">
        <v>1947</v>
      </c>
      <c r="E26223" s="10">
        <v>3460530</v>
      </c>
      <c r="F26223" s="4" t="e">
        <f>IF(B26223=#REF!,"",B26223)</f>
        <v>#REF!</v>
      </c>
    </row>
    <row r="26224" spans="1:6" ht="15.75" customHeight="1">
      <c r="A26224" s="15" t="s">
        <v>2694</v>
      </c>
      <c r="B26224" s="15" t="s">
        <v>2695</v>
      </c>
      <c r="C26224" s="15" t="s">
        <v>1905</v>
      </c>
      <c r="D26224" s="15" t="s">
        <v>1914</v>
      </c>
      <c r="E26224" s="2">
        <v>3460535</v>
      </c>
      <c r="F26224" s="4" t="e">
        <f>IF(B26224=#REF!,"",B26224)</f>
        <v>#REF!</v>
      </c>
    </row>
    <row r="26225" spans="1:6" ht="15.75" customHeight="1">
      <c r="A26225" s="15" t="s">
        <v>16027</v>
      </c>
      <c r="B26225" s="15" t="s">
        <v>16027</v>
      </c>
      <c r="C26225" s="15" t="s">
        <v>15704</v>
      </c>
      <c r="D26225" s="15" t="s">
        <v>15776</v>
      </c>
      <c r="E26225" s="2">
        <v>1861261</v>
      </c>
      <c r="F26225" s="4" t="str">
        <f>IF(B26225=B26224,"",B26225)</f>
        <v>Itsukaichi</v>
      </c>
    </row>
    <row r="26226" spans="1:6" ht="15.75" customHeight="1">
      <c r="A26226" s="16" t="str">
        <f ca="1">IFERROR(__xludf.DUMMYFUNCTION("GOOGLETRANSLATE(B28861,""en"",""pt"")"),"É um")</f>
        <v>É um</v>
      </c>
      <c r="B26226" s="20" t="s">
        <v>32288</v>
      </c>
      <c r="C26226" s="20" t="s">
        <v>6495</v>
      </c>
      <c r="D26226" s="20" t="s">
        <v>32248</v>
      </c>
      <c r="E26226" s="10">
        <v>355420</v>
      </c>
      <c r="F26226" s="4" t="str">
        <f>IF(B26226=B26225,"",B26226)</f>
        <v>Iţsā</v>
      </c>
    </row>
    <row r="26227" spans="1:6" ht="15.75" customHeight="1">
      <c r="A26227" s="16" t="str">
        <f ca="1">IFERROR(__xludf.DUMMYFUNCTION("GOOGLETRANSLATE(B24920,""en"",""pt"")"),"Itororó")</f>
        <v>Itororó</v>
      </c>
      <c r="B26227" s="20" t="s">
        <v>31623</v>
      </c>
      <c r="C26227" s="20" t="s">
        <v>1905</v>
      </c>
      <c r="D26227" s="20" t="s">
        <v>1947</v>
      </c>
      <c r="E26227" s="10">
        <v>3460542</v>
      </c>
      <c r="F26227" s="4" t="str">
        <f>IF(B26227=B26226,"",B26227)</f>
        <v>Itororó</v>
      </c>
    </row>
    <row r="26228" spans="1:6" ht="15.75" customHeight="1">
      <c r="A26228" s="15" t="s">
        <v>2692</v>
      </c>
      <c r="B26228" s="15" t="s">
        <v>2693</v>
      </c>
      <c r="C26228" s="15" t="s">
        <v>1905</v>
      </c>
      <c r="D26228" s="15" t="s">
        <v>1947</v>
      </c>
      <c r="E26228" s="2">
        <v>3460542</v>
      </c>
      <c r="F26228" s="4" t="e">
        <f>IF(B26228=#REF!,"",B26228)</f>
        <v>#REF!</v>
      </c>
    </row>
    <row r="26229" spans="1:6" ht="15.75" customHeight="1">
      <c r="A26229" s="15" t="s">
        <v>16026</v>
      </c>
      <c r="B26229" s="15" t="s">
        <v>16026</v>
      </c>
      <c r="C26229" s="15" t="s">
        <v>15704</v>
      </c>
      <c r="D26229" s="15" t="s">
        <v>15841</v>
      </c>
      <c r="E26229" s="2">
        <v>1861280</v>
      </c>
      <c r="F26229" s="4" t="e">
        <f>IF(B26229=#REF!,"",B26229)</f>
        <v>#REF!</v>
      </c>
    </row>
    <row r="26230" spans="1:6" ht="15.75" customHeight="1">
      <c r="A26230" s="15" t="s">
        <v>16025</v>
      </c>
      <c r="B26230" s="15" t="s">
        <v>16025</v>
      </c>
      <c r="C26230" s="15" t="s">
        <v>15704</v>
      </c>
      <c r="D26230" s="15" t="s">
        <v>15818</v>
      </c>
      <c r="E26230" s="2">
        <v>1861285</v>
      </c>
      <c r="F26230" s="4" t="e">
        <f>IF(B26230=#REF!,"",B26230)</f>
        <v>#REF!</v>
      </c>
    </row>
    <row r="26231" spans="1:6" ht="15.75" customHeight="1">
      <c r="A26231" s="15" t="s">
        <v>20800</v>
      </c>
      <c r="B26231" s="15" t="s">
        <v>20800</v>
      </c>
      <c r="C26231" s="15" t="s">
        <v>20598</v>
      </c>
      <c r="D26231" s="15" t="s">
        <v>20436</v>
      </c>
      <c r="E26231" s="2">
        <v>1710441</v>
      </c>
      <c r="F26231" s="4" t="str">
        <f>IF(B26231=B26230,"",B26231)</f>
        <v>Itogon</v>
      </c>
    </row>
    <row r="26232" spans="1:6" ht="15.75" customHeight="1">
      <c r="A26232" s="16" t="str">
        <f ca="1">IFERROR(__xludf.DUMMYFUNCTION("GOOGLETRANSLATE(B35559,""en"",""pt"")"),"Itō")</f>
        <v>Itō</v>
      </c>
      <c r="B26232" s="20" t="s">
        <v>34367</v>
      </c>
      <c r="C26232" s="20" t="s">
        <v>15704</v>
      </c>
      <c r="D26232" s="20" t="s">
        <v>15809</v>
      </c>
      <c r="E26232" s="10">
        <v>1861290</v>
      </c>
      <c r="F26232" s="4" t="str">
        <f>IF(B26232=B26231,"",B26232)</f>
        <v>Itō</v>
      </c>
    </row>
    <row r="26233" spans="1:6" ht="15.75" customHeight="1">
      <c r="A26233" s="16" t="str">
        <f ca="1">IFERROR(__xludf.DUMMYFUNCTION("GOOGLETRANSLATE(B33314,""en"",""pt"")"),"Itimādpur")</f>
        <v>Itimādpur</v>
      </c>
      <c r="B26233" s="20" t="s">
        <v>33645</v>
      </c>
      <c r="C26233" s="20" t="s">
        <v>10178</v>
      </c>
      <c r="D26233" s="20" t="s">
        <v>10193</v>
      </c>
      <c r="E26233" s="10">
        <v>1269646</v>
      </c>
      <c r="F26233" s="4" t="str">
        <f>IF(B26233=B26232,"",B26233)</f>
        <v>Itimādpur</v>
      </c>
    </row>
    <row r="26234" spans="1:6" ht="15.75" customHeight="1">
      <c r="A26234" s="16" t="s">
        <v>11556</v>
      </c>
      <c r="B26234" s="15" t="s">
        <v>11557</v>
      </c>
      <c r="C26234" s="16" t="s">
        <v>10178</v>
      </c>
      <c r="D26234" s="16" t="s">
        <v>10193</v>
      </c>
      <c r="E26234" s="2">
        <v>1269646</v>
      </c>
      <c r="F26234" s="4" t="e">
        <f>IF(B26234=#REF!,"",B26234)</f>
        <v>#REF!</v>
      </c>
    </row>
    <row r="26235" spans="1:6" ht="15.75" customHeight="1">
      <c r="A26235" s="15" t="s">
        <v>25616</v>
      </c>
      <c r="B26235" s="15" t="s">
        <v>25616</v>
      </c>
      <c r="C26235" s="15" t="s">
        <v>25560</v>
      </c>
      <c r="D26235" s="15" t="s">
        <v>25602</v>
      </c>
      <c r="E26235" s="2">
        <v>158904</v>
      </c>
      <c r="F26235" s="4" t="e">
        <f>IF(B26235=#REF!,"",B26235)</f>
        <v>#REF!</v>
      </c>
    </row>
    <row r="26236" spans="1:6" ht="15.75" customHeight="1">
      <c r="A26236" s="15" t="s">
        <v>18835</v>
      </c>
      <c r="B26236" s="15" t="s">
        <v>18835</v>
      </c>
      <c r="C26236" s="15" t="s">
        <v>18800</v>
      </c>
      <c r="D26236" s="15" t="s">
        <v>18807</v>
      </c>
      <c r="E26236" s="2">
        <v>1283329</v>
      </c>
      <c r="F26236" s="4" t="e">
        <f>IF(B26236=#REF!,"",B26236)</f>
        <v>#REF!</v>
      </c>
    </row>
    <row r="26237" spans="1:6" ht="15.75" customHeight="1">
      <c r="A26237" s="15" t="s">
        <v>28964</v>
      </c>
      <c r="B26237" s="15" t="s">
        <v>28964</v>
      </c>
      <c r="C26237" s="15" t="s">
        <v>27788</v>
      </c>
      <c r="D26237" s="15" t="s">
        <v>27819</v>
      </c>
      <c r="E26237" s="2">
        <v>5122432</v>
      </c>
      <c r="F26237" s="4" t="str">
        <f>IF(B26237=B26236,"",B26237)</f>
        <v>Ithaca</v>
      </c>
    </row>
    <row r="26238" spans="1:6" ht="15.75" customHeight="1">
      <c r="A26238" s="16" t="str">
        <f ca="1">IFERROR(__xludf.DUMMYFUNCTION("GOOGLETRANSLATE(B24921,""en"",""pt"")"),"Itaúna")</f>
        <v>Itaúna</v>
      </c>
      <c r="B26238" s="20" t="s">
        <v>31624</v>
      </c>
      <c r="C26238" s="20" t="s">
        <v>1905</v>
      </c>
      <c r="D26238" s="20" t="s">
        <v>1917</v>
      </c>
      <c r="E26238" s="10">
        <v>3460584</v>
      </c>
      <c r="F26238" s="4" t="str">
        <f>IF(B26238=B26237,"",B26238)</f>
        <v>Itaúna</v>
      </c>
    </row>
    <row r="26239" spans="1:6" ht="15.75" customHeight="1">
      <c r="A26239" s="15" t="s">
        <v>20453</v>
      </c>
      <c r="B26239" s="15" t="s">
        <v>20454</v>
      </c>
      <c r="C26239" s="15" t="s">
        <v>20433</v>
      </c>
      <c r="D26239" s="15" t="s">
        <v>1886</v>
      </c>
      <c r="E26239" s="2">
        <v>3437918</v>
      </c>
      <c r="F26239" s="4" t="str">
        <f>IF(B26239=B26238,"",B26239)</f>
        <v>ItauguÃ¡</v>
      </c>
    </row>
    <row r="26240" spans="1:6" ht="15.75" customHeight="1">
      <c r="A26240" s="16" t="str">
        <f ca="1">IFERROR(__xludf.DUMMYFUNCTION("GOOGLETRANSLATE(B39690,""en"",""pt"")"),"Itauguá")</f>
        <v>Itauguá</v>
      </c>
      <c r="B26240" s="20" t="s">
        <v>35315</v>
      </c>
      <c r="C26240" s="20" t="s">
        <v>20433</v>
      </c>
      <c r="D26240" s="20" t="s">
        <v>1886</v>
      </c>
      <c r="E26240" s="10">
        <v>3437918</v>
      </c>
      <c r="F26240" s="4" t="e">
        <f>IF(B26240=#REF!,"",B26240)</f>
        <v>#REF!</v>
      </c>
    </row>
    <row r="26241" spans="1:6" ht="15.75" customHeight="1">
      <c r="A26241" s="15" t="s">
        <v>2691</v>
      </c>
      <c r="B26241" s="15" t="s">
        <v>2691</v>
      </c>
      <c r="C26241" s="15" t="s">
        <v>1905</v>
      </c>
      <c r="D26241" s="15" t="s">
        <v>1914</v>
      </c>
      <c r="E26241" s="2">
        <v>3460594</v>
      </c>
      <c r="F26241" s="4" t="e">
        <f>IF(B26241=#REF!,"",B26241)</f>
        <v>#REF!</v>
      </c>
    </row>
    <row r="26242" spans="1:6" ht="15.75" customHeight="1">
      <c r="A26242" s="15" t="s">
        <v>2690</v>
      </c>
      <c r="B26242" s="15" t="s">
        <v>2690</v>
      </c>
      <c r="C26242" s="15" t="s">
        <v>1905</v>
      </c>
      <c r="D26242" s="15" t="s">
        <v>1914</v>
      </c>
      <c r="E26242" s="2">
        <v>3460598</v>
      </c>
      <c r="F26242" s="4" t="str">
        <f>IF(B26242=B26241,"",B26242)</f>
        <v>Itatiba</v>
      </c>
    </row>
    <row r="26243" spans="1:6" ht="15.75" customHeight="1">
      <c r="A26243" s="16" t="str">
        <f ca="1">IFERROR(__xludf.DUMMYFUNCTION("GOOGLETRANSLATE(B33315,""en"",""pt"")"),"Itārsi")</f>
        <v>Itārsi</v>
      </c>
      <c r="B26243" s="20" t="s">
        <v>33646</v>
      </c>
      <c r="C26243" s="20" t="s">
        <v>10178</v>
      </c>
      <c r="D26243" s="20" t="s">
        <v>10219</v>
      </c>
      <c r="E26243" s="10">
        <v>1269653</v>
      </c>
      <c r="F26243" s="4" t="str">
        <f>IF(B26243=B26242,"",B26243)</f>
        <v>Itārsi</v>
      </c>
    </row>
    <row r="26244" spans="1:6" ht="15.75" customHeight="1">
      <c r="A26244" s="16" t="str">
        <f ca="1">IFERROR(__xludf.DUMMYFUNCTION("GOOGLETRANSLATE(B24924,""en"",""pt"")"),"Itararé")</f>
        <v>Itararé</v>
      </c>
      <c r="B26244" s="20" t="s">
        <v>2688</v>
      </c>
      <c r="C26244" s="20" t="s">
        <v>1905</v>
      </c>
      <c r="D26244" s="20" t="s">
        <v>3354</v>
      </c>
      <c r="E26244" s="10">
        <v>3460620</v>
      </c>
      <c r="F26244" s="4" t="str">
        <f>IF(B26244=B26243,"",B26244)</f>
        <v>Itararé</v>
      </c>
    </row>
    <row r="26245" spans="1:6" ht="15.75" customHeight="1">
      <c r="A26245" s="15" t="s">
        <v>2688</v>
      </c>
      <c r="B26245" s="15" t="s">
        <v>2689</v>
      </c>
      <c r="C26245" s="15" t="s">
        <v>1905</v>
      </c>
      <c r="D26245" s="15" t="s">
        <v>1914</v>
      </c>
      <c r="E26245" s="2">
        <v>3460620</v>
      </c>
      <c r="F26245" s="4" t="e">
        <f>IF(B26245=#REF!,"",B26245)</f>
        <v>#REF!</v>
      </c>
    </row>
    <row r="26246" spans="1:6" ht="15.75" customHeight="1">
      <c r="A26246" s="15" t="s">
        <v>2687</v>
      </c>
      <c r="B26246" s="15" t="s">
        <v>2687</v>
      </c>
      <c r="C26246" s="15" t="s">
        <v>1905</v>
      </c>
      <c r="D26246" s="15" t="s">
        <v>1951</v>
      </c>
      <c r="E26246" s="2">
        <v>3460629</v>
      </c>
      <c r="F26246" s="4" t="e">
        <f>IF(B26246=#REF!,"",B26246)</f>
        <v>#REF!</v>
      </c>
    </row>
    <row r="26247" spans="1:6" ht="15.75" customHeight="1">
      <c r="A26247" s="16" t="s">
        <v>2685</v>
      </c>
      <c r="B26247" s="15" t="s">
        <v>2686</v>
      </c>
      <c r="C26247" s="16" t="s">
        <v>1905</v>
      </c>
      <c r="D26247" s="16" t="s">
        <v>1914</v>
      </c>
      <c r="E26247" s="2">
        <v>3460644</v>
      </c>
      <c r="F26247" s="4" t="e">
        <f>IF(B26247=#REF!,"",B26247)</f>
        <v>#REF!</v>
      </c>
    </row>
    <row r="26248" spans="1:6" ht="15.75" customHeight="1">
      <c r="A26248" s="16" t="s">
        <v>2684</v>
      </c>
      <c r="B26248" s="15" t="s">
        <v>2684</v>
      </c>
      <c r="C26248" s="16" t="s">
        <v>1905</v>
      </c>
      <c r="D26248" s="16" t="s">
        <v>1969</v>
      </c>
      <c r="E26248" s="2">
        <v>3460648</v>
      </c>
      <c r="F26248" s="4" t="e">
        <f>IF(B26248=#REF!,"",B26248)</f>
        <v>#REF!</v>
      </c>
    </row>
    <row r="26249" spans="1:6" ht="15.75" customHeight="1">
      <c r="A26249" s="16" t="s">
        <v>2683</v>
      </c>
      <c r="B26249" s="15" t="s">
        <v>2683</v>
      </c>
      <c r="C26249" s="16" t="s">
        <v>1905</v>
      </c>
      <c r="D26249" s="16" t="s">
        <v>1944</v>
      </c>
      <c r="E26249" s="2">
        <v>3397898</v>
      </c>
      <c r="F26249" s="4" t="str">
        <f>IF(B26249=B26248,"",B26249)</f>
        <v>Itaporanga</v>
      </c>
    </row>
    <row r="26250" spans="1:6" ht="15.75" customHeight="1">
      <c r="A26250" s="16" t="str">
        <f ca="1">IFERROR(__xludf.DUMMYFUNCTION("GOOGLETRANSLATE(B24928,""en"",""pt"")"),"Itápolis")</f>
        <v>Itápolis</v>
      </c>
      <c r="B26250" s="20" t="s">
        <v>31625</v>
      </c>
      <c r="C26250" s="20" t="s">
        <v>1905</v>
      </c>
      <c r="D26250" s="20" t="s">
        <v>3354</v>
      </c>
      <c r="E26250" s="10">
        <v>3460671</v>
      </c>
      <c r="F26250" s="4" t="e">
        <f>IF(B26250=#REF!,"",B26250)</f>
        <v>#REF!</v>
      </c>
    </row>
    <row r="26251" spans="1:6" ht="15.75" customHeight="1">
      <c r="A26251" s="16" t="s">
        <v>2682</v>
      </c>
      <c r="B26251" s="15" t="s">
        <v>2682</v>
      </c>
      <c r="C26251" s="16" t="s">
        <v>1905</v>
      </c>
      <c r="D26251" s="16" t="s">
        <v>1909</v>
      </c>
      <c r="E26251" s="2">
        <v>3397904</v>
      </c>
      <c r="F26251" s="4" t="e">
        <f>IF(B26251=#REF!,"",B26251)</f>
        <v>#REF!</v>
      </c>
    </row>
    <row r="26252" spans="1:6" ht="15.75" customHeight="1">
      <c r="A26252" s="15" t="s">
        <v>2681</v>
      </c>
      <c r="B26252" s="15" t="s">
        <v>2681</v>
      </c>
      <c r="C26252" s="15" t="s">
        <v>1905</v>
      </c>
      <c r="D26252" s="15" t="s">
        <v>1914</v>
      </c>
      <c r="E26252" s="2">
        <v>3460699</v>
      </c>
      <c r="F26252" s="4" t="e">
        <f>IF(B26252=#REF!,"",B26252)</f>
        <v>#REF!</v>
      </c>
    </row>
    <row r="26253" spans="1:6" ht="15.75" customHeight="1">
      <c r="A26253" s="15" t="s">
        <v>2680</v>
      </c>
      <c r="B26253" s="15" t="s">
        <v>2680</v>
      </c>
      <c r="C26253" s="15" t="s">
        <v>1905</v>
      </c>
      <c r="D26253" s="15" t="s">
        <v>1930</v>
      </c>
      <c r="E26253" s="2">
        <v>3397909</v>
      </c>
      <c r="F26253" s="4" t="e">
        <f>IF(B26253=#REF!,"",B26253)</f>
        <v>#REF!</v>
      </c>
    </row>
    <row r="26254" spans="1:6" ht="15.75" customHeight="1">
      <c r="A26254" s="15" t="s">
        <v>2679</v>
      </c>
      <c r="B26254" s="15" t="s">
        <v>2679</v>
      </c>
      <c r="C26254" s="15" t="s">
        <v>1905</v>
      </c>
      <c r="D26254" s="15" t="s">
        <v>1914</v>
      </c>
      <c r="E26254" s="2">
        <v>3460718</v>
      </c>
      <c r="F26254" s="4" t="e">
        <f>IF(B26254=#REF!,"",B26254)</f>
        <v>#REF!</v>
      </c>
    </row>
    <row r="26255" spans="1:6" ht="15.75" customHeight="1">
      <c r="A26255" s="15" t="s">
        <v>2678</v>
      </c>
      <c r="B26255" s="15" t="s">
        <v>2678</v>
      </c>
      <c r="C26255" s="15" t="s">
        <v>1905</v>
      </c>
      <c r="D26255" s="15" t="s">
        <v>1914</v>
      </c>
      <c r="E26255" s="2">
        <v>3460723</v>
      </c>
      <c r="F26255" s="4" t="e">
        <f>IF(B26255=#REF!,"",B26255)</f>
        <v>#REF!</v>
      </c>
    </row>
    <row r="26256" spans="1:6" ht="15.75" customHeight="1">
      <c r="A26256" s="16" t="s">
        <v>2676</v>
      </c>
      <c r="B26256" s="15" t="s">
        <v>2677</v>
      </c>
      <c r="C26256" s="16" t="s">
        <v>1905</v>
      </c>
      <c r="D26256" s="16" t="s">
        <v>1914</v>
      </c>
      <c r="E26256" s="2">
        <v>3460728</v>
      </c>
      <c r="F26256" s="4" t="e">
        <f>IF(B26256=#REF!,"",B26256)</f>
        <v>#REF!</v>
      </c>
    </row>
    <row r="26257" spans="1:6" ht="15.75" customHeight="1">
      <c r="A26257" s="16" t="s">
        <v>2674</v>
      </c>
      <c r="B26257" s="15" t="s">
        <v>2675</v>
      </c>
      <c r="C26257" s="16" t="s">
        <v>1905</v>
      </c>
      <c r="D26257" s="16" t="s">
        <v>1947</v>
      </c>
      <c r="E26257" s="2">
        <v>3460730</v>
      </c>
      <c r="F26257" s="4" t="e">
        <f>IF(B26257=#REF!,"",B26257)</f>
        <v>#REF!</v>
      </c>
    </row>
    <row r="26258" spans="1:6" ht="15.75" customHeight="1">
      <c r="A26258" s="15" t="s">
        <v>2673</v>
      </c>
      <c r="B26258" s="15" t="s">
        <v>2673</v>
      </c>
      <c r="C26258" s="15" t="s">
        <v>1905</v>
      </c>
      <c r="D26258" s="15" t="s">
        <v>1978</v>
      </c>
      <c r="E26258" s="2">
        <v>3460733</v>
      </c>
      <c r="F26258" s="4" t="str">
        <f>IF(B26258=B26257,"",B26258)</f>
        <v>Itaperuna</v>
      </c>
    </row>
    <row r="26259" spans="1:6" ht="15.75" customHeight="1">
      <c r="A26259" s="16" t="str">
        <f ca="1">IFERROR(__xludf.DUMMYFUNCTION("GOOGLETRANSLATE(B24935,""en"",""pt"")"),"Itaperuçu")</f>
        <v>Itaperuçu</v>
      </c>
      <c r="B26259" s="20" t="s">
        <v>31626</v>
      </c>
      <c r="C26259" s="20" t="s">
        <v>1905</v>
      </c>
      <c r="D26259" s="20" t="s">
        <v>727</v>
      </c>
      <c r="E26259" s="10">
        <v>3460734</v>
      </c>
      <c r="F26259" s="4" t="str">
        <f>IF(B26259=B26258,"",B26259)</f>
        <v>Itaperuçu</v>
      </c>
    </row>
    <row r="26260" spans="1:6" ht="15.75" customHeight="1">
      <c r="A26260" s="16" t="s">
        <v>2671</v>
      </c>
      <c r="B26260" s="15" t="s">
        <v>2672</v>
      </c>
      <c r="C26260" s="16" t="s">
        <v>1905</v>
      </c>
      <c r="D26260" s="16" t="s">
        <v>728</v>
      </c>
      <c r="E26260" s="2">
        <v>3460734</v>
      </c>
      <c r="F26260" s="4" t="e">
        <f>IF(B26260=#REF!,"",B26260)</f>
        <v>#REF!</v>
      </c>
    </row>
    <row r="26261" spans="1:6" ht="15.75" customHeight="1">
      <c r="A26261" s="16" t="s">
        <v>2670</v>
      </c>
      <c r="B26261" s="15" t="s">
        <v>2670</v>
      </c>
      <c r="C26261" s="16" t="s">
        <v>1905</v>
      </c>
      <c r="D26261" s="16" t="s">
        <v>1949</v>
      </c>
      <c r="E26261" s="2">
        <v>3460738</v>
      </c>
      <c r="F26261" s="4" t="e">
        <f>IF(B26261=#REF!,"",B26261)</f>
        <v>#REF!</v>
      </c>
    </row>
    <row r="26262" spans="1:6" ht="15.75" customHeight="1">
      <c r="A26262" s="15" t="s">
        <v>2669</v>
      </c>
      <c r="B26262" s="15" t="s">
        <v>2669</v>
      </c>
      <c r="C26262" s="15" t="s">
        <v>1905</v>
      </c>
      <c r="D26262" s="15" t="s">
        <v>2020</v>
      </c>
      <c r="E26262" s="2">
        <v>3460740</v>
      </c>
      <c r="F26262" s="4" t="e">
        <f>IF(B26262=#REF!,"",B26262)</f>
        <v>#REF!</v>
      </c>
    </row>
    <row r="26263" spans="1:6" ht="15.75" customHeight="1">
      <c r="A26263" s="16" t="s">
        <v>2667</v>
      </c>
      <c r="B26263" s="15" t="s">
        <v>2668</v>
      </c>
      <c r="C26263" s="16" t="s">
        <v>1905</v>
      </c>
      <c r="D26263" s="16" t="s">
        <v>2024</v>
      </c>
      <c r="E26263" s="2">
        <v>3397936</v>
      </c>
      <c r="F26263" s="4" t="e">
        <f>IF(B26263=#REF!,"",B26263)</f>
        <v>#REF!</v>
      </c>
    </row>
    <row r="26264" spans="1:6" ht="15.75" customHeight="1">
      <c r="A26264" s="16" t="s">
        <v>2665</v>
      </c>
      <c r="B26264" s="15" t="s">
        <v>2666</v>
      </c>
      <c r="C26264" s="16" t="s">
        <v>1905</v>
      </c>
      <c r="D26264" s="16" t="s">
        <v>1914</v>
      </c>
      <c r="E26264" s="2">
        <v>3460748</v>
      </c>
      <c r="F26264" s="4" t="e">
        <f>IF(B26264=#REF!,"",B26264)</f>
        <v>#REF!</v>
      </c>
    </row>
    <row r="26265" spans="1:6" ht="15.75" customHeight="1">
      <c r="A26265" s="16" t="s">
        <v>2663</v>
      </c>
      <c r="B26265" s="15" t="s">
        <v>2664</v>
      </c>
      <c r="C26265" s="16" t="s">
        <v>1905</v>
      </c>
      <c r="D26265" s="16" t="s">
        <v>1917</v>
      </c>
      <c r="E26265" s="2">
        <v>3460752</v>
      </c>
      <c r="F26265" s="4" t="e">
        <f>IF(B26265=#REF!,"",B26265)</f>
        <v>#REF!</v>
      </c>
    </row>
    <row r="26266" spans="1:6" ht="15.75" customHeight="1">
      <c r="A26266" s="15" t="s">
        <v>2662</v>
      </c>
      <c r="B26266" s="15" t="s">
        <v>2662</v>
      </c>
      <c r="C26266" s="15" t="s">
        <v>1905</v>
      </c>
      <c r="D26266" s="15" t="s">
        <v>1947</v>
      </c>
      <c r="E26266" s="2">
        <v>3460764</v>
      </c>
      <c r="F26266" s="4" t="str">
        <f>IF(B26266=B26265,"",B26266)</f>
        <v>Itaparica</v>
      </c>
    </row>
    <row r="26267" spans="1:6" ht="15.75" customHeight="1">
      <c r="A26267" s="16" t="str">
        <f ca="1">IFERROR(__xludf.DUMMYFUNCTION("GOOGLETRANSLATE(B24299,""en"",""pt"")"),"Itapagé")</f>
        <v>Itapagé</v>
      </c>
      <c r="B26267" s="20" t="s">
        <v>2660</v>
      </c>
      <c r="C26267" s="20" t="s">
        <v>1905</v>
      </c>
      <c r="D26267" s="20" t="s">
        <v>31345</v>
      </c>
      <c r="E26267" s="10">
        <v>3397941</v>
      </c>
      <c r="F26267" s="4" t="str">
        <f>IF(B26267=B26266,"",B26267)</f>
        <v>Itapagé</v>
      </c>
    </row>
    <row r="26268" spans="1:6" ht="15.75" customHeight="1">
      <c r="A26268" s="15" t="s">
        <v>2660</v>
      </c>
      <c r="B26268" s="15" t="s">
        <v>2661</v>
      </c>
      <c r="C26268" s="15" t="s">
        <v>1905</v>
      </c>
      <c r="D26268" s="15" t="s">
        <v>1930</v>
      </c>
      <c r="E26268" s="2">
        <v>3397941</v>
      </c>
      <c r="F26268" s="4" t="e">
        <f>IF(B26268=#REF!,"",B26268)</f>
        <v>#REF!</v>
      </c>
    </row>
    <row r="26269" spans="1:6" ht="15.75" customHeight="1">
      <c r="A26269" s="15" t="s">
        <v>2659</v>
      </c>
      <c r="B26269" s="15" t="s">
        <v>2659</v>
      </c>
      <c r="C26269" s="15" t="s">
        <v>1905</v>
      </c>
      <c r="D26269" s="15" t="s">
        <v>1969</v>
      </c>
      <c r="E26269" s="2">
        <v>3460773</v>
      </c>
      <c r="F26269" s="4" t="e">
        <f>IF(B26269=#REF!,"",B26269)</f>
        <v>#REF!</v>
      </c>
    </row>
    <row r="26270" spans="1:6" ht="15.75" customHeight="1">
      <c r="A26270" s="15" t="s">
        <v>2658</v>
      </c>
      <c r="B26270" s="15" t="s">
        <v>2658</v>
      </c>
      <c r="C26270" s="15" t="s">
        <v>1905</v>
      </c>
      <c r="D26270" s="15" t="s">
        <v>1978</v>
      </c>
      <c r="E26270" s="2">
        <v>3460774</v>
      </c>
      <c r="F26270" s="4" t="str">
        <f>IF(B26270=B26269,"",B26270)</f>
        <v>Itaocara</v>
      </c>
    </row>
    <row r="26271" spans="1:6" ht="15.75" customHeight="1">
      <c r="A26271" s="16" t="str">
        <f ca="1">IFERROR(__xludf.DUMMYFUNCTION("GOOGLETRANSLATE(B24943,""en"",""pt"")"),"Itanhaém")</f>
        <v>Itanhaém</v>
      </c>
      <c r="B26271" s="20" t="s">
        <v>31627</v>
      </c>
      <c r="C26271" s="20" t="s">
        <v>1905</v>
      </c>
      <c r="D26271" s="20" t="s">
        <v>3354</v>
      </c>
      <c r="E26271" s="10">
        <v>3460791</v>
      </c>
      <c r="F26271" s="4" t="str">
        <f>IF(B26271=B26270,"",B26271)</f>
        <v>Itanhaém</v>
      </c>
    </row>
    <row r="26272" spans="1:6" ht="15.75" customHeight="1">
      <c r="A26272" s="16" t="s">
        <v>2656</v>
      </c>
      <c r="B26272" s="15" t="s">
        <v>2657</v>
      </c>
      <c r="C26272" s="16" t="s">
        <v>1905</v>
      </c>
      <c r="D26272" s="16" t="s">
        <v>1914</v>
      </c>
      <c r="E26272" s="2">
        <v>3460791</v>
      </c>
      <c r="F26272" s="4" t="str">
        <f>IF(B26272=B26271,"",B26272)</f>
        <v>ItanhaÃ©m</v>
      </c>
    </row>
    <row r="26273" spans="1:6" ht="15.75" customHeight="1">
      <c r="A26273" s="16" t="str">
        <f ca="1">IFERROR(__xludf.DUMMYFUNCTION("GOOGLETRANSLATE(B33316,""en"",""pt"")"),"Itānagar")</f>
        <v>Itānagar</v>
      </c>
      <c r="B26273" s="20" t="s">
        <v>33647</v>
      </c>
      <c r="C26273" s="20" t="s">
        <v>10178</v>
      </c>
      <c r="D26273" s="20" t="s">
        <v>10304</v>
      </c>
      <c r="E26273" s="10">
        <v>1269655</v>
      </c>
      <c r="F26273" s="4" t="e">
        <f>IF(B26273=#REF!,"",B26273)</f>
        <v>#REF!</v>
      </c>
    </row>
    <row r="26274" spans="1:6" ht="15.75" customHeight="1">
      <c r="A26274" s="15" t="s">
        <v>16024</v>
      </c>
      <c r="B26274" s="15" t="s">
        <v>16024</v>
      </c>
      <c r="C26274" s="15" t="s">
        <v>15704</v>
      </c>
      <c r="D26274" s="15" t="s">
        <v>15712</v>
      </c>
      <c r="E26274" s="2">
        <v>1861310</v>
      </c>
      <c r="F26274" s="4" t="str">
        <f>IF(B26274=B26273,"",B26274)</f>
        <v>Itami</v>
      </c>
    </row>
    <row r="26275" spans="1:6" ht="15.75" customHeight="1">
      <c r="A26275" s="16" t="str">
        <f ca="1">IFERROR(__xludf.DUMMYFUNCTION("GOOGLETRANSLATE(B24944,""en"",""pt"")"),"Itambé")</f>
        <v>Itambé</v>
      </c>
      <c r="B26275" s="20" t="s">
        <v>2654</v>
      </c>
      <c r="C26275" s="20" t="s">
        <v>1905</v>
      </c>
      <c r="D26275" s="20" t="s">
        <v>1947</v>
      </c>
      <c r="E26275" s="10">
        <v>3460813</v>
      </c>
      <c r="F26275" s="4" t="str">
        <f>IF(B26275=B26274,"",B26275)</f>
        <v>Itambé</v>
      </c>
    </row>
    <row r="26276" spans="1:6" ht="15.75" customHeight="1">
      <c r="A26276" s="15" t="s">
        <v>2654</v>
      </c>
      <c r="B26276" s="15" t="s">
        <v>2655</v>
      </c>
      <c r="C26276" s="15" t="s">
        <v>1905</v>
      </c>
      <c r="D26276" s="15" t="s">
        <v>1947</v>
      </c>
      <c r="E26276" s="2">
        <v>3460813</v>
      </c>
      <c r="F26276" s="4" t="e">
        <f>IF(B26276=#REF!,"",B26276)</f>
        <v>#REF!</v>
      </c>
    </row>
    <row r="26277" spans="1:6" ht="15.75" customHeight="1">
      <c r="A26277" s="16" t="s">
        <v>2653</v>
      </c>
      <c r="B26277" s="15" t="s">
        <v>2653</v>
      </c>
      <c r="C26277" s="16" t="s">
        <v>1905</v>
      </c>
      <c r="D26277" s="16" t="s">
        <v>1917</v>
      </c>
      <c r="E26277" s="2">
        <v>3460825</v>
      </c>
      <c r="F26277" s="4" t="e">
        <f>IF(B26277=#REF!,"",B26277)</f>
        <v>#REF!</v>
      </c>
    </row>
    <row r="26278" spans="1:6" ht="15.75" customHeight="1">
      <c r="A26278" s="15" t="s">
        <v>2652</v>
      </c>
      <c r="B26278" s="15" t="s">
        <v>2652</v>
      </c>
      <c r="C26278" s="15" t="s">
        <v>1905</v>
      </c>
      <c r="D26278" s="15" t="s">
        <v>1947</v>
      </c>
      <c r="E26278" s="2">
        <v>3460826</v>
      </c>
      <c r="F26278" s="4" t="e">
        <f>IF(B26278=#REF!,"",B26278)</f>
        <v>#REF!</v>
      </c>
    </row>
    <row r="26279" spans="1:6" ht="15.75" customHeight="1">
      <c r="A26279" s="15" t="s">
        <v>16023</v>
      </c>
      <c r="B26279" s="15" t="s">
        <v>16023</v>
      </c>
      <c r="C26279" s="15" t="s">
        <v>15704</v>
      </c>
      <c r="D26279" s="15" t="s">
        <v>15724</v>
      </c>
      <c r="E26279" s="2">
        <v>2112555</v>
      </c>
      <c r="F26279" s="4" t="str">
        <f>IF(B26279=B26278,"",B26279)</f>
        <v>Itako</v>
      </c>
    </row>
    <row r="26280" spans="1:6" ht="15.75" customHeight="1">
      <c r="A26280" s="16" t="str">
        <f ca="1">IFERROR(__xludf.DUMMYFUNCTION("GOOGLETRANSLATE(B24947,""en"",""pt"")"),"Itajuípe")</f>
        <v>Itajuípe</v>
      </c>
      <c r="B26280" s="20" t="s">
        <v>31628</v>
      </c>
      <c r="C26280" s="20" t="s">
        <v>1905</v>
      </c>
      <c r="D26280" s="20" t="s">
        <v>1947</v>
      </c>
      <c r="E26280" s="10">
        <v>3460831</v>
      </c>
      <c r="F26280" s="4" t="str">
        <f>IF(B26280=B26279,"",B26280)</f>
        <v>Itajuípe</v>
      </c>
    </row>
    <row r="26281" spans="1:6" ht="15.75" customHeight="1">
      <c r="A26281" s="15" t="s">
        <v>2650</v>
      </c>
      <c r="B26281" s="15" t="s">
        <v>2651</v>
      </c>
      <c r="C26281" s="15" t="s">
        <v>1905</v>
      </c>
      <c r="D26281" s="15" t="s">
        <v>1917</v>
      </c>
      <c r="E26281" s="2">
        <v>3460834</v>
      </c>
      <c r="F26281" s="4" t="str">
        <f>IF(B26281=B26280,"",B26281)</f>
        <v>ItajubÃ¡</v>
      </c>
    </row>
    <row r="26282" spans="1:6" ht="15.75" customHeight="1">
      <c r="A26282" s="16" t="str">
        <f ca="1">IFERROR(__xludf.DUMMYFUNCTION("GOOGLETRANSLATE(B24948,""en"",""pt"")"),"Itajubá")</f>
        <v>Itajubá</v>
      </c>
      <c r="B26282" s="20" t="s">
        <v>31629</v>
      </c>
      <c r="C26282" s="20" t="s">
        <v>1905</v>
      </c>
      <c r="D26282" s="20" t="s">
        <v>1917</v>
      </c>
      <c r="E26282" s="10">
        <v>3460834</v>
      </c>
      <c r="F26282" s="4" t="str">
        <f>IF(B26282=B26281,"",B26282)</f>
        <v>Itajubá</v>
      </c>
    </row>
    <row r="26283" spans="1:6" ht="15.75" customHeight="1">
      <c r="A26283" s="15" t="s">
        <v>2648</v>
      </c>
      <c r="B26283" s="15" t="s">
        <v>2649</v>
      </c>
      <c r="C26283" s="15" t="s">
        <v>1905</v>
      </c>
      <c r="D26283" s="15" t="s">
        <v>1947</v>
      </c>
      <c r="E26283" s="2">
        <v>3460831</v>
      </c>
      <c r="F26283" s="4" t="str">
        <f>IF(B26283=B26282,"",B26283)</f>
        <v>ItajuÃ­pe</v>
      </c>
    </row>
    <row r="26284" spans="1:6" ht="15.75" customHeight="1">
      <c r="A26284" s="16" t="str">
        <f ca="1">IFERROR(__xludf.DUMMYFUNCTION("GOOGLETRANSLATE(B24949,""en"",""pt"")"),"Itajaí")</f>
        <v>Itajaí</v>
      </c>
      <c r="B26284" s="20" t="s">
        <v>31630</v>
      </c>
      <c r="C26284" s="20" t="s">
        <v>1905</v>
      </c>
      <c r="D26284" s="20" t="s">
        <v>2020</v>
      </c>
      <c r="E26284" s="10">
        <v>3460845</v>
      </c>
      <c r="F26284" s="4" t="str">
        <f>IF(B26284=B26283,"",B26284)</f>
        <v>Itajaí</v>
      </c>
    </row>
    <row r="26285" spans="1:6" ht="15.75" customHeight="1">
      <c r="A26285" s="15" t="s">
        <v>2646</v>
      </c>
      <c r="B26285" s="15" t="s">
        <v>2647</v>
      </c>
      <c r="C26285" s="15" t="s">
        <v>1905</v>
      </c>
      <c r="D26285" s="15" t="s">
        <v>2020</v>
      </c>
      <c r="E26285" s="2">
        <v>3460845</v>
      </c>
      <c r="F26285" s="4" t="e">
        <f>IF(B26285=#REF!,"",B26285)</f>
        <v>#REF!</v>
      </c>
    </row>
    <row r="26286" spans="1:6" ht="15.75" customHeight="1">
      <c r="A26286" s="15" t="s">
        <v>2645</v>
      </c>
      <c r="B26286" s="15" t="s">
        <v>2645</v>
      </c>
      <c r="C26286" s="15" t="s">
        <v>1905</v>
      </c>
      <c r="D26286" s="15" t="s">
        <v>1906</v>
      </c>
      <c r="E26286" s="2">
        <v>3397967</v>
      </c>
      <c r="F26286" s="4" t="e">
        <f>IF(B26286=#REF!,"",B26286)</f>
        <v>#REF!</v>
      </c>
    </row>
    <row r="26287" spans="1:6" ht="15.75" customHeight="1">
      <c r="A26287" s="15" t="s">
        <v>2644</v>
      </c>
      <c r="B26287" s="15" t="s">
        <v>2644</v>
      </c>
      <c r="C26287" s="15" t="s">
        <v>1905</v>
      </c>
      <c r="D26287" s="15" t="s">
        <v>1930</v>
      </c>
      <c r="E26287" s="2">
        <v>3397969</v>
      </c>
      <c r="F26287" s="4" t="str">
        <f>IF(B26287=B26286,"",B26287)</f>
        <v>Itaitinga</v>
      </c>
    </row>
    <row r="26288" spans="1:6" ht="15.75" customHeight="1">
      <c r="A26288" s="16" t="str">
        <f ca="1">IFERROR(__xludf.DUMMYFUNCTION("GOOGLETRANSLATE(B24950,""en"",""pt"")"),"Itaí")</f>
        <v>Itaí</v>
      </c>
      <c r="B26288" s="20" t="s">
        <v>31631</v>
      </c>
      <c r="C26288" s="20" t="s">
        <v>1905</v>
      </c>
      <c r="D26288" s="20" t="s">
        <v>3354</v>
      </c>
      <c r="E26288" s="10">
        <v>3460887</v>
      </c>
      <c r="F26288" s="4" t="str">
        <f>IF(B26288=B26287,"",B26288)</f>
        <v>Itaí</v>
      </c>
    </row>
    <row r="26289" spans="1:6" ht="15.75" customHeight="1">
      <c r="A26289" s="16" t="str">
        <f ca="1">IFERROR(__xludf.DUMMYFUNCTION("GOOGLETRANSLATE(B26967,""en"",""pt"")"),"Itagüí")</f>
        <v>Itagüí</v>
      </c>
      <c r="B26289" s="20" t="s">
        <v>31869</v>
      </c>
      <c r="C26289" s="20" t="s">
        <v>5348</v>
      </c>
      <c r="D26289" s="20" t="s">
        <v>5362</v>
      </c>
      <c r="E26289" s="10">
        <v>3680450</v>
      </c>
      <c r="F26289" s="4" t="str">
        <f>IF(B26289=B26288,"",B26289)</f>
        <v>Itagüí</v>
      </c>
    </row>
    <row r="26290" spans="1:6" ht="15.75" customHeight="1">
      <c r="A26290" s="16" t="str">
        <f ca="1">IFERROR(__xludf.DUMMYFUNCTION("GOOGLETRANSLATE(B24951,""en"",""pt"")"),"ItaGuaí")</f>
        <v>ItaGuaí</v>
      </c>
      <c r="B26290" s="20" t="s">
        <v>31632</v>
      </c>
      <c r="C26290" s="20" t="s">
        <v>1905</v>
      </c>
      <c r="D26290" s="20" t="s">
        <v>1978</v>
      </c>
      <c r="E26290" s="10">
        <v>3460899</v>
      </c>
      <c r="F26290" s="4" t="str">
        <f>IF(B26290=B26289,"",B26290)</f>
        <v>Itaguaí</v>
      </c>
    </row>
    <row r="26291" spans="1:6" ht="15.75" customHeight="1">
      <c r="A26291" s="15" t="s">
        <v>2642</v>
      </c>
      <c r="B26291" s="15" t="s">
        <v>2643</v>
      </c>
      <c r="C26291" s="15" t="s">
        <v>1905</v>
      </c>
      <c r="D26291" s="15" t="s">
        <v>1978</v>
      </c>
      <c r="E26291" s="2">
        <v>3460899</v>
      </c>
      <c r="F26291" s="4" t="str">
        <f>IF(B26291=B26290,"",B26291)</f>
        <v>ItaguaÃ­</v>
      </c>
    </row>
    <row r="26292" spans="1:6" ht="15.75" customHeight="1">
      <c r="A26292" s="15" t="s">
        <v>5491</v>
      </c>
      <c r="B26292" s="15" t="s">
        <v>5492</v>
      </c>
      <c r="C26292" s="15" t="s">
        <v>5348</v>
      </c>
      <c r="D26292" s="15" t="s">
        <v>5362</v>
      </c>
      <c r="E26292" s="2">
        <v>3680450</v>
      </c>
      <c r="F26292" s="4" t="e">
        <f>IF(B26292=#REF!,"",B26292)</f>
        <v>#REF!</v>
      </c>
    </row>
    <row r="26293" spans="1:6" ht="15.75" customHeight="1">
      <c r="A26293" s="16" t="s">
        <v>2640</v>
      </c>
      <c r="B26293" s="15" t="s">
        <v>2641</v>
      </c>
      <c r="C26293" s="16" t="s">
        <v>1905</v>
      </c>
      <c r="D26293" s="16" t="s">
        <v>2287</v>
      </c>
      <c r="E26293" s="2">
        <v>3397893</v>
      </c>
      <c r="F26293" s="4" t="e">
        <f>IF(B26293=#REF!,"",B26293)</f>
        <v>#REF!</v>
      </c>
    </row>
    <row r="26294" spans="1:6" ht="15.75" customHeight="1">
      <c r="A26294" s="15" t="s">
        <v>2639</v>
      </c>
      <c r="B26294" s="15" t="s">
        <v>2639</v>
      </c>
      <c r="C26294" s="15" t="s">
        <v>1905</v>
      </c>
      <c r="D26294" s="15" t="s">
        <v>1947</v>
      </c>
      <c r="E26294" s="2">
        <v>3460949</v>
      </c>
      <c r="F26294" s="4" t="str">
        <f>IF(B26294=B26293,"",B26294)</f>
        <v>Itabuna</v>
      </c>
    </row>
    <row r="26295" spans="1:6" ht="15.75" customHeight="1">
      <c r="A26295" s="16" t="str">
        <f ca="1">IFERROR(__xludf.DUMMYFUNCTION("GOOGLETRANSLATE(B24953,""en"",""pt"")"),"Itaboraí")</f>
        <v>Itaboraí</v>
      </c>
      <c r="B26295" s="20" t="s">
        <v>31633</v>
      </c>
      <c r="C26295" s="20" t="s">
        <v>1905</v>
      </c>
      <c r="D26295" s="20" t="s">
        <v>1978</v>
      </c>
      <c r="E26295" s="10">
        <v>3460950</v>
      </c>
      <c r="F26295" s="4" t="str">
        <f>IF(B26295=B26294,"",B26295)</f>
        <v>Itaboraí</v>
      </c>
    </row>
    <row r="26296" spans="1:6" ht="15.75" customHeight="1">
      <c r="A26296" s="15" t="s">
        <v>2637</v>
      </c>
      <c r="B26296" s="15" t="s">
        <v>2638</v>
      </c>
      <c r="C26296" s="15" t="s">
        <v>1905</v>
      </c>
      <c r="D26296" s="15" t="s">
        <v>1978</v>
      </c>
      <c r="E26296" s="2">
        <v>3460950</v>
      </c>
      <c r="F26296" s="4" t="e">
        <f>IF(B26296=#REF!,"",B26296)</f>
        <v>#REF!</v>
      </c>
    </row>
    <row r="26297" spans="1:6" ht="15.75" customHeight="1">
      <c r="A26297" s="15" t="s">
        <v>2636</v>
      </c>
      <c r="B26297" s="15" t="s">
        <v>2636</v>
      </c>
      <c r="C26297" s="15" t="s">
        <v>1905</v>
      </c>
      <c r="D26297" s="15" t="s">
        <v>1917</v>
      </c>
      <c r="E26297" s="2">
        <v>3460954</v>
      </c>
      <c r="F26297" s="4" t="e">
        <f>IF(B26297=#REF!,"",B26297)</f>
        <v>#REF!</v>
      </c>
    </row>
    <row r="26298" spans="1:6" ht="15.75" customHeight="1">
      <c r="A26298" s="15" t="s">
        <v>2635</v>
      </c>
      <c r="B26298" s="15" t="s">
        <v>2635</v>
      </c>
      <c r="C26298" s="15" t="s">
        <v>1905</v>
      </c>
      <c r="D26298" s="15" t="s">
        <v>1917</v>
      </c>
      <c r="E26298" s="2">
        <v>3460960</v>
      </c>
      <c r="F26298" s="4" t="str">
        <f>IF(B26298=B26297,"",B26298)</f>
        <v>Itabira</v>
      </c>
    </row>
    <row r="26299" spans="1:6" ht="15.75" customHeight="1">
      <c r="A26299" s="16" t="str">
        <f ca="1">IFERROR(__xludf.DUMMYFUNCTION("GOOGLETRANSLATE(B24956,""en"",""pt"")"),"Itaberaí")</f>
        <v>Itaberaí</v>
      </c>
      <c r="B26299" s="20" t="s">
        <v>31634</v>
      </c>
      <c r="C26299" s="20" t="s">
        <v>1905</v>
      </c>
      <c r="D26299" s="20" t="s">
        <v>31436</v>
      </c>
      <c r="E26299" s="10">
        <v>3460963</v>
      </c>
      <c r="F26299" s="4" t="e">
        <f>IF(B26299=#REF!,"",B26299)</f>
        <v>#REF!</v>
      </c>
    </row>
    <row r="26300" spans="1:6" ht="15.75" customHeight="1">
      <c r="A26300" s="15" t="s">
        <v>2634</v>
      </c>
      <c r="B26300" s="15" t="s">
        <v>2634</v>
      </c>
      <c r="C26300" s="15" t="s">
        <v>1905</v>
      </c>
      <c r="D26300" s="15" t="s">
        <v>1947</v>
      </c>
      <c r="E26300" s="2">
        <v>3460966</v>
      </c>
      <c r="F26300" s="4" t="str">
        <f>IF(B26300=B26299,"",B26300)</f>
        <v>Itaberaba</v>
      </c>
    </row>
    <row r="26301" spans="1:6" ht="15.75" customHeight="1">
      <c r="A26301" s="15" t="s">
        <v>2632</v>
      </c>
      <c r="B26301" s="15" t="s">
        <v>2633</v>
      </c>
      <c r="C26301" s="15" t="s">
        <v>1905</v>
      </c>
      <c r="D26301" s="15" t="s">
        <v>1969</v>
      </c>
      <c r="E26301" s="2">
        <v>3460963</v>
      </c>
      <c r="F26301" s="4" t="e">
        <f>IF(B26301=#REF!,"",B26301)</f>
        <v>#REF!</v>
      </c>
    </row>
    <row r="26302" spans="1:6" ht="15.75" customHeight="1">
      <c r="A26302" s="16" t="s">
        <v>2631</v>
      </c>
      <c r="B26302" s="15" t="s">
        <v>2631</v>
      </c>
      <c r="C26302" s="16" t="s">
        <v>1905</v>
      </c>
      <c r="D26302" s="16" t="s">
        <v>2002</v>
      </c>
      <c r="E26302" s="2">
        <v>3460971</v>
      </c>
      <c r="F26302" s="4" t="e">
        <f>IF(B26302=#REF!,"",B26302)</f>
        <v>#REF!</v>
      </c>
    </row>
    <row r="26303" spans="1:6" ht="15.75" customHeight="1">
      <c r="A26303" s="15" t="s">
        <v>2630</v>
      </c>
      <c r="B26303" s="15" t="s">
        <v>2630</v>
      </c>
      <c r="C26303" s="15" t="s">
        <v>1905</v>
      </c>
      <c r="D26303" s="15" t="s">
        <v>1944</v>
      </c>
      <c r="E26303" s="2">
        <v>3398003</v>
      </c>
      <c r="F26303" s="4" t="str">
        <f>IF(B26303=B26302,"",B26303)</f>
        <v>Itabaiana</v>
      </c>
    </row>
    <row r="26304" spans="1:6" ht="15.75" customHeight="1">
      <c r="A26304" s="15" t="s">
        <v>2628</v>
      </c>
      <c r="B26304" s="15" t="s">
        <v>2629</v>
      </c>
      <c r="C26304" s="15" t="s">
        <v>1905</v>
      </c>
      <c r="D26304" s="15" t="s">
        <v>1917</v>
      </c>
      <c r="E26304" s="2">
        <v>3460584</v>
      </c>
      <c r="F26304" s="4" t="str">
        <f>IF(B26304=B26303,"",B26304)</f>
        <v>ItaÃºna</v>
      </c>
    </row>
    <row r="26305" spans="1:6" ht="15.75" customHeight="1">
      <c r="A26305" s="15" t="s">
        <v>2626</v>
      </c>
      <c r="B26305" s="15" t="s">
        <v>2627</v>
      </c>
      <c r="C26305" s="15" t="s">
        <v>1905</v>
      </c>
      <c r="D26305" s="15" t="s">
        <v>1914</v>
      </c>
      <c r="E26305" s="2">
        <v>3460887</v>
      </c>
      <c r="F26305" s="4" t="str">
        <f>IF(B26305=B26304,"",B26305)</f>
        <v>ItaÃ­</v>
      </c>
    </row>
    <row r="26306" spans="1:6" ht="15.75" customHeight="1">
      <c r="A26306" s="15" t="s">
        <v>11554</v>
      </c>
      <c r="B26306" s="15" t="s">
        <v>11555</v>
      </c>
      <c r="C26306" s="15" t="s">
        <v>10178</v>
      </c>
      <c r="D26306" s="15" t="s">
        <v>10219</v>
      </c>
      <c r="E26306" s="2">
        <v>1269653</v>
      </c>
      <c r="F26306" s="4" t="str">
        <f>IF(B26306=B26305,"",B26306)</f>
        <v>ItÄrsi</v>
      </c>
    </row>
    <row r="26307" spans="1:6" ht="15.75" customHeight="1">
      <c r="A26307" s="15" t="s">
        <v>11552</v>
      </c>
      <c r="B26307" s="15" t="s">
        <v>11553</v>
      </c>
      <c r="C26307" s="15" t="s">
        <v>10178</v>
      </c>
      <c r="D26307" s="15" t="s">
        <v>10304</v>
      </c>
      <c r="E26307" s="2">
        <v>1269655</v>
      </c>
      <c r="F26307" s="4" t="str">
        <f>IF(B26307=B26306,"",B26307)</f>
        <v>ItÄnagar</v>
      </c>
    </row>
    <row r="26308" spans="1:6" ht="15.75" customHeight="1">
      <c r="A26308" s="15" t="s">
        <v>16021</v>
      </c>
      <c r="B26308" s="15" t="s">
        <v>16022</v>
      </c>
      <c r="C26308" s="15" t="s">
        <v>15704</v>
      </c>
      <c r="D26308" s="15" t="s">
        <v>15809</v>
      </c>
      <c r="E26308" s="2">
        <v>1861290</v>
      </c>
      <c r="F26308" s="4" t="str">
        <f>IF(B26308=B26307,"",B26308)</f>
        <v>ItÅ</v>
      </c>
    </row>
    <row r="26309" spans="1:6" ht="15.75" customHeight="1">
      <c r="A26309" s="15" t="s">
        <v>2624</v>
      </c>
      <c r="B26309" s="15" t="s">
        <v>2625</v>
      </c>
      <c r="C26309" s="15" t="s">
        <v>1905</v>
      </c>
      <c r="D26309" s="15" t="s">
        <v>1914</v>
      </c>
      <c r="E26309" s="2">
        <v>3460671</v>
      </c>
      <c r="F26309" s="4" t="str">
        <f>IF(B26309=B26308,"",B26309)</f>
        <v>ItÃ¡polis</v>
      </c>
    </row>
    <row r="26310" spans="1:6" ht="15.75" customHeight="1">
      <c r="A26310" s="15" t="s">
        <v>20451</v>
      </c>
      <c r="B26310" s="15" t="s">
        <v>20452</v>
      </c>
      <c r="C26310" s="15" t="s">
        <v>20433</v>
      </c>
      <c r="D26310" s="15" t="s">
        <v>1886</v>
      </c>
      <c r="E26310" s="2">
        <v>3437954</v>
      </c>
      <c r="F26310" s="4" t="str">
        <f>IF(B26310=B26309,"",B26310)</f>
        <v>ItÃ¡</v>
      </c>
    </row>
    <row r="26311" spans="1:6" ht="15.75" customHeight="1">
      <c r="A26311" s="16" t="str">
        <f ca="1">IFERROR(__xludf.DUMMYFUNCTION("GOOGLETRANSLATE(B39691,""en"",""pt"")"),"Itá")</f>
        <v>Itá</v>
      </c>
      <c r="B26311" s="20" t="s">
        <v>35316</v>
      </c>
      <c r="C26311" s="20" t="s">
        <v>20433</v>
      </c>
      <c r="D26311" s="20" t="s">
        <v>1886</v>
      </c>
      <c r="E26311" s="10">
        <v>3437954</v>
      </c>
      <c r="F26311" s="4" t="e">
        <f>IF(B26311=#REF!,"",B26311)</f>
        <v>#REF!</v>
      </c>
    </row>
    <row r="26312" spans="1:6" ht="15.75" customHeight="1">
      <c r="A26312" s="15" t="s">
        <v>20799</v>
      </c>
      <c r="B26312" s="15" t="s">
        <v>20799</v>
      </c>
      <c r="C26312" s="15" t="s">
        <v>20598</v>
      </c>
      <c r="D26312" s="15" t="s">
        <v>20606</v>
      </c>
      <c r="E26312" s="2">
        <v>1710470</v>
      </c>
      <c r="F26312" s="4" t="e">
        <f>IF(B26312=#REF!,"",B26312)</f>
        <v>#REF!</v>
      </c>
    </row>
    <row r="26313" spans="1:6" ht="15.75" customHeight="1">
      <c r="A26313" s="15" t="s">
        <v>7408</v>
      </c>
      <c r="B26313" s="15" t="s">
        <v>7408</v>
      </c>
      <c r="C26313" s="15" t="s">
        <v>7052</v>
      </c>
      <c r="D26313" s="15" t="s">
        <v>7087</v>
      </c>
      <c r="E26313" s="2">
        <v>3012647</v>
      </c>
      <c r="F26313" s="4" t="e">
        <f>IF(B26313=#REF!,"",B26313)</f>
        <v>#REF!</v>
      </c>
    </row>
    <row r="26314" spans="1:6" ht="15.75" customHeight="1">
      <c r="A26314" s="15" t="s">
        <v>22438</v>
      </c>
      <c r="B26314" s="15" t="s">
        <v>22438</v>
      </c>
      <c r="C26314" s="15" t="s">
        <v>22070</v>
      </c>
      <c r="D26314" s="15" t="s">
        <v>22119</v>
      </c>
      <c r="E26314" s="2">
        <v>555746</v>
      </c>
      <c r="F26314" s="4" t="e">
        <f>IF(B26314=#REF!,"",B26314)</f>
        <v>#REF!</v>
      </c>
    </row>
    <row r="26315" spans="1:6" ht="15.75" customHeight="1">
      <c r="A26315" s="15" t="s">
        <v>16862</v>
      </c>
      <c r="B26315" s="15" t="s">
        <v>16862</v>
      </c>
      <c r="C26315" s="15" t="s">
        <v>16852</v>
      </c>
      <c r="D26315" s="15" t="s">
        <v>16863</v>
      </c>
      <c r="E26315" s="2">
        <v>789996</v>
      </c>
      <c r="F26315" s="4" t="str">
        <f>IF(B26315=B26314,"",B26315)</f>
        <v>Istok</v>
      </c>
    </row>
    <row r="26316" spans="1:6" ht="15.75" customHeight="1">
      <c r="A26316" s="16" t="str">
        <f ca="1">IFERROR(__xludf.DUMMYFUNCTION("GOOGLETRANSLATE(B34343,""en"",""pt"")"),"Īstgāh-e rāh āhan-e Garmsār")</f>
        <v>Īstgāh-e rāh āhan-e Garmsār</v>
      </c>
      <c r="B26316" s="20" t="s">
        <v>34123</v>
      </c>
      <c r="C26316" s="20" t="s">
        <v>14240</v>
      </c>
      <c r="D26316" s="20" t="s">
        <v>34124</v>
      </c>
      <c r="E26316" s="10">
        <v>32723</v>
      </c>
      <c r="F26316" s="4" t="e">
        <f>IF(B26316=#REF!,"",B26316)</f>
        <v>#REF!</v>
      </c>
    </row>
    <row r="26317" spans="1:6" ht="15.75" customHeight="1">
      <c r="A26317" s="16" t="s">
        <v>25540</v>
      </c>
      <c r="B26317" s="15" t="s">
        <v>25540</v>
      </c>
      <c r="C26317" s="16" t="s">
        <v>25527</v>
      </c>
      <c r="D26317" s="16" t="s">
        <v>25530</v>
      </c>
      <c r="E26317" s="2">
        <v>1220253</v>
      </c>
      <c r="F26317" s="4" t="str">
        <f>IF(B26317=B26316,"",B26317)</f>
        <v>Istaravshan</v>
      </c>
    </row>
    <row r="26318" spans="1:6" ht="15.75" customHeight="1">
      <c r="A26318" s="16" t="str">
        <f ca="1">IFERROR(__xludf.DUMMYFUNCTION("GOOGLETRANSLATE(B42159,""en"",""pt"")"),"Istambul")</f>
        <v>Istambul</v>
      </c>
      <c r="B26318" s="20" t="s">
        <v>35939</v>
      </c>
      <c r="C26318" s="20" t="s">
        <v>26201</v>
      </c>
      <c r="D26318" s="20" t="s">
        <v>26211</v>
      </c>
      <c r="E26318" s="10">
        <v>745044</v>
      </c>
      <c r="F26318" s="4" t="e">
        <f>IF(B26318=#REF!,"",B26318)</f>
        <v>#REF!</v>
      </c>
    </row>
    <row r="26319" spans="1:6" ht="15.75" customHeight="1">
      <c r="A26319" s="16" t="s">
        <v>7407</v>
      </c>
      <c r="B26319" s="15" t="s">
        <v>7407</v>
      </c>
      <c r="C26319" s="16" t="s">
        <v>7052</v>
      </c>
      <c r="D26319" s="16" t="s">
        <v>7058</v>
      </c>
      <c r="E26319" s="2">
        <v>3012649</v>
      </c>
      <c r="F26319" s="4" t="e">
        <f>IF(B26319=#REF!,"",B26319)</f>
        <v>#REF!</v>
      </c>
    </row>
    <row r="26320" spans="1:6" ht="15.75" customHeight="1">
      <c r="A26320" s="15" t="s">
        <v>7406</v>
      </c>
      <c r="B26320" s="15" t="s">
        <v>7406</v>
      </c>
      <c r="C26320" s="15" t="s">
        <v>7052</v>
      </c>
      <c r="D26320" s="15" t="s">
        <v>7053</v>
      </c>
      <c r="E26320" s="2">
        <v>3012664</v>
      </c>
      <c r="F26320" s="4" t="e">
        <f>IF(B26320=#REF!,"",B26320)</f>
        <v>#REF!</v>
      </c>
    </row>
    <row r="26321" spans="1:6" ht="15.75" customHeight="1">
      <c r="A26321" s="15" t="s">
        <v>15646</v>
      </c>
      <c r="B26321" s="15" t="s">
        <v>15646</v>
      </c>
      <c r="C26321" s="15" t="s">
        <v>15586</v>
      </c>
      <c r="D26321" s="15" t="s">
        <v>15630</v>
      </c>
      <c r="E26321" s="2">
        <v>2287790</v>
      </c>
      <c r="F26321" s="4" t="e">
        <f>IF(B26321=#REF!,"",B26321)</f>
        <v>#REF!</v>
      </c>
    </row>
    <row r="26322" spans="1:6" ht="15.75" customHeight="1">
      <c r="A26322" s="15" t="s">
        <v>371</v>
      </c>
      <c r="B26322" s="15" t="s">
        <v>371</v>
      </c>
      <c r="C26322" s="15" t="s">
        <v>153</v>
      </c>
      <c r="D26322" s="15" t="s">
        <v>229</v>
      </c>
      <c r="E26322" s="2">
        <v>2492991</v>
      </c>
      <c r="F26322" s="4" t="e">
        <f>IF(B26322=#REF!,"",B26322)</f>
        <v>#REF!</v>
      </c>
    </row>
    <row r="26323" spans="1:6" ht="15.75" customHeight="1">
      <c r="A26323" s="15" t="s">
        <v>28963</v>
      </c>
      <c r="B26323" s="15" t="s">
        <v>28963</v>
      </c>
      <c r="C26323" s="15" t="s">
        <v>27788</v>
      </c>
      <c r="D26323" s="15" t="s">
        <v>27733</v>
      </c>
      <c r="E26323" s="2">
        <v>5798487</v>
      </c>
      <c r="F26323" s="4" t="e">
        <f>IF(B26323=#REF!,"",B26323)</f>
        <v>#REF!</v>
      </c>
    </row>
    <row r="26324" spans="1:6" ht="15.75" customHeight="1">
      <c r="A26324" s="15" t="s">
        <v>26548</v>
      </c>
      <c r="B26324" s="15" t="s">
        <v>26348</v>
      </c>
      <c r="C26324" s="15" t="s">
        <v>26201</v>
      </c>
      <c r="D26324" s="15" t="s">
        <v>26549</v>
      </c>
      <c r="E26324" s="2">
        <v>311073</v>
      </c>
      <c r="F26324" s="4" t="str">
        <f>IF(B26324=B26323,"",B26324)</f>
        <v>Isparta</v>
      </c>
    </row>
    <row r="26325" spans="1:6" ht="15.75" customHeight="1">
      <c r="A26325" s="15" t="s">
        <v>6656</v>
      </c>
      <c r="B26325" s="15" t="s">
        <v>6657</v>
      </c>
      <c r="C26325" s="15" t="s">
        <v>6495</v>
      </c>
      <c r="D26325" s="15" t="s">
        <v>6634</v>
      </c>
      <c r="E26325" s="2">
        <v>355449</v>
      </c>
      <c r="F26325" s="4" t="str">
        <f>IF(B26325=B26324,"",B26325)</f>
        <v>IsnÄ</v>
      </c>
    </row>
    <row r="26326" spans="1:6" ht="15.75" customHeight="1">
      <c r="A26326" s="16" t="str">
        <f ca="1">IFERROR(__xludf.DUMMYFUNCTION("GOOGLETRANSLATE(B28862,""en"",""pt"")"),"Isnā")</f>
        <v>Isnā</v>
      </c>
      <c r="B26326" s="20" t="s">
        <v>32289</v>
      </c>
      <c r="C26326" s="20" t="s">
        <v>6495</v>
      </c>
      <c r="D26326" s="20" t="s">
        <v>32267</v>
      </c>
      <c r="E26326" s="10">
        <v>355449</v>
      </c>
      <c r="F26326" s="4" t="e">
        <f>IF(B26326=#REF!,"",B26326)</f>
        <v>#REF!</v>
      </c>
    </row>
    <row r="26327" spans="1:6" ht="15.75" customHeight="1">
      <c r="A26327" s="15" t="s">
        <v>6655</v>
      </c>
      <c r="B26327" s="15" t="s">
        <v>6655</v>
      </c>
      <c r="C26327" s="15" t="s">
        <v>6495</v>
      </c>
      <c r="D26327" s="15" t="s">
        <v>6600</v>
      </c>
      <c r="E26327" s="2">
        <v>361055</v>
      </c>
      <c r="F26327" s="4" t="e">
        <f>IF(B26327=#REF!,"",B26327)</f>
        <v>#REF!</v>
      </c>
    </row>
    <row r="26328" spans="1:6" ht="15.75" customHeight="1">
      <c r="A26328" s="15" t="s">
        <v>28962</v>
      </c>
      <c r="B26328" s="15" t="s">
        <v>28962</v>
      </c>
      <c r="C26328" s="15" t="s">
        <v>27788</v>
      </c>
      <c r="D26328" s="15" t="s">
        <v>27819</v>
      </c>
      <c r="E26328" s="2">
        <v>5122413</v>
      </c>
      <c r="F26328" s="4" t="e">
        <f>IF(B26328=#REF!,"",B26328)</f>
        <v>#REF!</v>
      </c>
    </row>
    <row r="26329" spans="1:6" ht="15.75" customHeight="1">
      <c r="A26329" s="15" t="s">
        <v>27459</v>
      </c>
      <c r="B26329" s="15" t="s">
        <v>27459</v>
      </c>
      <c r="C26329" s="15" t="s">
        <v>27234</v>
      </c>
      <c r="D26329" s="15" t="s">
        <v>27241</v>
      </c>
      <c r="E26329" s="2">
        <v>2646003</v>
      </c>
      <c r="F26329" s="4" t="e">
        <f>IF(B26329=#REF!,"",B26329)</f>
        <v>#REF!</v>
      </c>
    </row>
    <row r="26330" spans="1:6" ht="15.75" customHeight="1">
      <c r="A26330" s="15" t="s">
        <v>27458</v>
      </c>
      <c r="B26330" s="15" t="s">
        <v>27458</v>
      </c>
      <c r="C26330" s="15" t="s">
        <v>27234</v>
      </c>
      <c r="D26330" s="15" t="s">
        <v>27241</v>
      </c>
      <c r="E26330" s="2">
        <v>2646004</v>
      </c>
      <c r="F26330" s="4" t="e">
        <f>IF(B26330=#REF!,"",B26330)</f>
        <v>#REF!</v>
      </c>
    </row>
    <row r="26331" spans="1:6" ht="15.75" customHeight="1">
      <c r="A26331" s="16" t="s">
        <v>27456</v>
      </c>
      <c r="B26331" s="15" t="s">
        <v>27457</v>
      </c>
      <c r="C26331" s="16" t="s">
        <v>27234</v>
      </c>
      <c r="D26331" s="16" t="s">
        <v>27237</v>
      </c>
      <c r="E26331" s="2">
        <v>8299620</v>
      </c>
      <c r="F26331" s="4" t="e">
        <f>IF(B26331=#REF!,"",B26331)</f>
        <v>#REF!</v>
      </c>
    </row>
    <row r="26332" spans="1:6" ht="15.75" customHeight="1">
      <c r="A26332" s="16" t="str">
        <f ca="1">IFERROR(__xludf.DUMMYFUNCTION("GOOGLETRANSLATE(B33317,""en"",""pt"")"),"Islāmpur")</f>
        <v>Islāmpur</v>
      </c>
      <c r="B26332" s="20" t="s">
        <v>33648</v>
      </c>
      <c r="C26332" s="20" t="s">
        <v>10178</v>
      </c>
      <c r="D26332" s="20" t="s">
        <v>10201</v>
      </c>
      <c r="E26332" s="10">
        <v>1269665</v>
      </c>
      <c r="F26332" s="4" t="str">
        <f>IF(B26332=B26331,"",B26332)</f>
        <v>Islāmpur</v>
      </c>
    </row>
    <row r="26333" spans="1:6" ht="15.75" customHeight="1">
      <c r="A26333" s="16" t="str">
        <f ca="1">IFERROR(__xludf.DUMMYFUNCTION("GOOGLETRANSLATE(B33319,""en"",""pt"")"),"Islāmnagar")</f>
        <v>Islāmnagar</v>
      </c>
      <c r="B26333" s="20" t="s">
        <v>33649</v>
      </c>
      <c r="C26333" s="20" t="s">
        <v>10178</v>
      </c>
      <c r="D26333" s="20" t="s">
        <v>10193</v>
      </c>
      <c r="E26333" s="10">
        <v>1269670</v>
      </c>
      <c r="F26333" s="4" t="e">
        <f>IF(B26333=#REF!,"",B26333)</f>
        <v>#REF!</v>
      </c>
    </row>
    <row r="26334" spans="1:6" ht="15.75" customHeight="1">
      <c r="A26334" s="16" t="s">
        <v>19949</v>
      </c>
      <c r="B26334" s="15" t="s">
        <v>19949</v>
      </c>
      <c r="C26334" s="16" t="s">
        <v>19808</v>
      </c>
      <c r="D26334" s="16" t="s">
        <v>19950</v>
      </c>
      <c r="E26334" s="2">
        <v>1176615</v>
      </c>
      <c r="F26334" s="4" t="e">
        <f>IF(B26334=#REF!,"",B26334)</f>
        <v>#REF!</v>
      </c>
    </row>
    <row r="26335" spans="1:6" ht="15.75" customHeight="1">
      <c r="A26335" s="15" t="s">
        <v>11550</v>
      </c>
      <c r="B26335" s="15" t="s">
        <v>11551</v>
      </c>
      <c r="C26335" s="15" t="s">
        <v>10178</v>
      </c>
      <c r="D26335" s="15" t="s">
        <v>10201</v>
      </c>
      <c r="E26335" s="2">
        <v>1269665</v>
      </c>
      <c r="F26335" s="4" t="str">
        <f>IF(B26335=B26334,"",B26335)</f>
        <v>IslÄmpur</v>
      </c>
    </row>
    <row r="26336" spans="1:6" ht="15.75" customHeight="1">
      <c r="A26336" s="16" t="s">
        <v>11548</v>
      </c>
      <c r="B26336" s="15" t="s">
        <v>11549</v>
      </c>
      <c r="C26336" s="16" t="s">
        <v>10178</v>
      </c>
      <c r="D26336" s="16" t="s">
        <v>10193</v>
      </c>
      <c r="E26336" s="2">
        <v>1269670</v>
      </c>
      <c r="F26336" s="4" t="e">
        <f>IF(B26336=#REF!,"",B26336)</f>
        <v>#REF!</v>
      </c>
    </row>
    <row r="26337" spans="1:6" ht="15.75" customHeight="1">
      <c r="A26337" s="16" t="s">
        <v>24521</v>
      </c>
      <c r="B26337" s="15" t="s">
        <v>24521</v>
      </c>
      <c r="C26337" s="16" t="s">
        <v>24200</v>
      </c>
      <c r="D26337" s="16" t="s">
        <v>24205</v>
      </c>
      <c r="E26337" s="2">
        <v>2516431</v>
      </c>
      <c r="F26337" s="4" t="e">
        <f>IF(B26337=#REF!,"",B26337)</f>
        <v>#REF!</v>
      </c>
    </row>
    <row r="26338" spans="1:6" ht="15.75" customHeight="1">
      <c r="A26338" s="15" t="s">
        <v>22437</v>
      </c>
      <c r="B26338" s="15" t="s">
        <v>22437</v>
      </c>
      <c r="C26338" s="15" t="s">
        <v>22070</v>
      </c>
      <c r="D26338" s="15" t="s">
        <v>22092</v>
      </c>
      <c r="E26338" s="2">
        <v>1505429</v>
      </c>
      <c r="F26338" s="4" t="str">
        <f>IF(B26338=B26337,"",B26338)</f>
        <v>Iskitim</v>
      </c>
    </row>
    <row r="26339" spans="1:6" ht="15.75" customHeight="1">
      <c r="A26339" s="16" t="str">
        <f ca="1">IFERROR(__xludf.DUMMYFUNCTION("GOOGLETRANSLATE(B42160,""en"",""pt"")"),"İskilip")</f>
        <v>İskilip</v>
      </c>
      <c r="B26339" s="20" t="s">
        <v>35940</v>
      </c>
      <c r="C26339" s="20" t="s">
        <v>26201</v>
      </c>
      <c r="D26339" s="20" t="s">
        <v>35922</v>
      </c>
      <c r="E26339" s="10">
        <v>745076</v>
      </c>
      <c r="F26339" s="4" t="e">
        <f>IF(B26339=#REF!,"",B26339)</f>
        <v>#REF!</v>
      </c>
    </row>
    <row r="26340" spans="1:6" ht="15.75" customHeight="1">
      <c r="A26340" s="15" t="s">
        <v>30548</v>
      </c>
      <c r="B26340" s="15" t="s">
        <v>30548</v>
      </c>
      <c r="C26340" s="15" t="s">
        <v>30502</v>
      </c>
      <c r="D26340" s="15" t="s">
        <v>30504</v>
      </c>
      <c r="E26340" s="2">
        <v>1513900</v>
      </c>
      <c r="F26340" s="4" t="e">
        <f>IF(B26340=#REF!,"",B26340)</f>
        <v>#REF!</v>
      </c>
    </row>
    <row r="26341" spans="1:6" ht="15.75" customHeight="1">
      <c r="A26341" s="15" t="s">
        <v>6156</v>
      </c>
      <c r="B26341" s="15" t="s">
        <v>6156</v>
      </c>
      <c r="C26341" s="15" t="s">
        <v>6127</v>
      </c>
      <c r="D26341" s="15" t="s">
        <v>6128</v>
      </c>
      <c r="E26341" s="2">
        <v>215771</v>
      </c>
      <c r="F26341" s="4" t="e">
        <f>IF(B26341=#REF!,"",B26341)</f>
        <v>#REF!</v>
      </c>
    </row>
    <row r="26342" spans="1:6" ht="15.75" customHeight="1">
      <c r="A26342" s="15" t="s">
        <v>16790</v>
      </c>
      <c r="B26342" s="15" t="s">
        <v>16790</v>
      </c>
      <c r="C26342" s="15" t="s">
        <v>16781</v>
      </c>
      <c r="D26342" s="15" t="s">
        <v>16790</v>
      </c>
      <c r="E26342" s="2">
        <v>196231</v>
      </c>
      <c r="F26342" s="4" t="e">
        <f>IF(B26342=#REF!,"",B26342)</f>
        <v>#REF!</v>
      </c>
    </row>
    <row r="26343" spans="1:6" ht="15.75" customHeight="1">
      <c r="A26343" s="15" t="s">
        <v>19464</v>
      </c>
      <c r="B26343" s="15" t="s">
        <v>19464</v>
      </c>
      <c r="C26343" s="15" t="s">
        <v>19294</v>
      </c>
      <c r="D26343" s="15" t="s">
        <v>19297</v>
      </c>
      <c r="E26343" s="2">
        <v>2337148</v>
      </c>
      <c r="F26343" s="4" t="e">
        <f>IF(B26343=#REF!,"",B26343)</f>
        <v>#REF!</v>
      </c>
    </row>
    <row r="26344" spans="1:6" ht="15.75" customHeight="1">
      <c r="A26344" s="15" t="s">
        <v>1349</v>
      </c>
      <c r="B26344" s="15" t="s">
        <v>1349</v>
      </c>
      <c r="C26344" s="15" t="s">
        <v>1296</v>
      </c>
      <c r="D26344" s="15" t="s">
        <v>1310</v>
      </c>
      <c r="E26344" s="2">
        <v>1185207</v>
      </c>
      <c r="F26344" s="4" t="e">
        <f>IF(B26344=#REF!,"",B26344)</f>
        <v>#REF!</v>
      </c>
    </row>
    <row r="26345" spans="1:6" ht="15.75" customHeight="1">
      <c r="A26345" s="16" t="s">
        <v>25538</v>
      </c>
      <c r="B26345" s="15" t="s">
        <v>25538</v>
      </c>
      <c r="C26345" s="16" t="s">
        <v>25527</v>
      </c>
      <c r="D26345" s="16" t="s">
        <v>25539</v>
      </c>
      <c r="E26345" s="2">
        <v>1221614</v>
      </c>
      <c r="F26345" s="4" t="str">
        <f>IF(B26345=B26344,"",B26345)</f>
        <v>Ishqoshim</v>
      </c>
    </row>
    <row r="26346" spans="1:6" ht="15.75" customHeight="1">
      <c r="A26346" s="16" t="str">
        <f ca="1">IFERROR(__xludf.DUMMYFUNCTION("GOOGLETRANSLATE(B28427,""en"",""pt"")"),"Ishøj")</f>
        <v>Ishøj</v>
      </c>
      <c r="B26346" s="20" t="s">
        <v>32159</v>
      </c>
      <c r="C26346" s="20" t="s">
        <v>6209</v>
      </c>
      <c r="D26346" s="20" t="s">
        <v>6216</v>
      </c>
      <c r="E26346" s="10">
        <v>2619377</v>
      </c>
      <c r="F26346" s="4" t="e">
        <f>IF(B26346=#REF!,"",B26346)</f>
        <v>#REF!</v>
      </c>
    </row>
    <row r="26347" spans="1:6" ht="15.75" customHeight="1">
      <c r="A26347" s="15" t="s">
        <v>16020</v>
      </c>
      <c r="B26347" s="15" t="s">
        <v>16020</v>
      </c>
      <c r="C26347" s="15" t="s">
        <v>15704</v>
      </c>
      <c r="D26347" s="15" t="s">
        <v>15724</v>
      </c>
      <c r="E26347" s="2">
        <v>2112571</v>
      </c>
      <c r="F26347" s="4" t="e">
        <f>IF(B26347=#REF!,"",B26347)</f>
        <v>#REF!</v>
      </c>
    </row>
    <row r="26348" spans="1:6" ht="15.75" customHeight="1">
      <c r="A26348" s="16" t="s">
        <v>16019</v>
      </c>
      <c r="B26348" s="15" t="s">
        <v>16019</v>
      </c>
      <c r="C26348" s="16" t="s">
        <v>15704</v>
      </c>
      <c r="D26348" s="16" t="s">
        <v>15764</v>
      </c>
      <c r="E26348" s="2">
        <v>2112576</v>
      </c>
      <c r="F26348" s="4" t="e">
        <f>IF(B26348=#REF!,"",B26348)</f>
        <v>#REF!</v>
      </c>
    </row>
    <row r="26349" spans="1:6" ht="15.75" customHeight="1">
      <c r="A26349" s="15" t="s">
        <v>22436</v>
      </c>
      <c r="B26349" s="15" t="s">
        <v>22436</v>
      </c>
      <c r="C26349" s="15" t="s">
        <v>22070</v>
      </c>
      <c r="D26349" s="15" t="s">
        <v>22088</v>
      </c>
      <c r="E26349" s="2">
        <v>555980</v>
      </c>
      <c r="F26349" s="4" t="e">
        <f>IF(B26349=#REF!,"",B26349)</f>
        <v>#REF!</v>
      </c>
    </row>
    <row r="26350" spans="1:6" ht="15.75" customHeight="1">
      <c r="A26350" s="15" t="s">
        <v>22435</v>
      </c>
      <c r="B26350" s="15" t="s">
        <v>22435</v>
      </c>
      <c r="C26350" s="15" t="s">
        <v>22070</v>
      </c>
      <c r="D26350" s="15" t="s">
        <v>22265</v>
      </c>
      <c r="E26350" s="2">
        <v>1505453</v>
      </c>
      <c r="F26350" s="4" t="e">
        <f>IF(B26350=#REF!,"",B26350)</f>
        <v>#REF!</v>
      </c>
    </row>
    <row r="26351" spans="1:6" ht="15.75" customHeight="1">
      <c r="A26351" s="15" t="s">
        <v>16018</v>
      </c>
      <c r="B26351" s="15" t="s">
        <v>16018</v>
      </c>
      <c r="C26351" s="15" t="s">
        <v>15704</v>
      </c>
      <c r="D26351" s="15" t="s">
        <v>15729</v>
      </c>
      <c r="E26351" s="2">
        <v>1861383</v>
      </c>
      <c r="F26351" s="4" t="e">
        <f>IF(B26351=#REF!,"",B26351)</f>
        <v>#REF!</v>
      </c>
    </row>
    <row r="26352" spans="1:6" ht="15.75" customHeight="1">
      <c r="A26352" s="15" t="s">
        <v>15928</v>
      </c>
      <c r="B26352" s="15" t="s">
        <v>15928</v>
      </c>
      <c r="C26352" s="15" t="s">
        <v>15704</v>
      </c>
      <c r="D26352" s="15" t="s">
        <v>15841</v>
      </c>
      <c r="E26352" s="2">
        <v>1861393</v>
      </c>
      <c r="F26352" s="4" t="e">
        <f>IF(B26352=#REF!,"",B26352)</f>
        <v>#REF!</v>
      </c>
    </row>
    <row r="26353" spans="1:6" ht="15.75" customHeight="1">
      <c r="A26353" s="15" t="s">
        <v>16017</v>
      </c>
      <c r="B26353" s="15" t="s">
        <v>16017</v>
      </c>
      <c r="C26353" s="15" t="s">
        <v>15704</v>
      </c>
      <c r="D26353" s="15" t="s">
        <v>15705</v>
      </c>
      <c r="E26353" s="2">
        <v>2129909</v>
      </c>
      <c r="F26353" s="4" t="e">
        <f>IF(B26353=#REF!,"",B26353)</f>
        <v>#REF!</v>
      </c>
    </row>
    <row r="26354" spans="1:6" ht="15.75" customHeight="1">
      <c r="A26354" s="15" t="s">
        <v>16016</v>
      </c>
      <c r="B26354" s="15" t="s">
        <v>16016</v>
      </c>
      <c r="C26354" s="15" t="s">
        <v>15704</v>
      </c>
      <c r="D26354" s="15" t="s">
        <v>15726</v>
      </c>
      <c r="E26354" s="2">
        <v>1861400</v>
      </c>
      <c r="F26354" s="4" t="e">
        <f>IF(B26354=#REF!,"",B26354)</f>
        <v>#REF!</v>
      </c>
    </row>
    <row r="26355" spans="1:6" ht="15.75" customHeight="1">
      <c r="A26355" s="15" t="s">
        <v>16015</v>
      </c>
      <c r="B26355" s="15" t="s">
        <v>16015</v>
      </c>
      <c r="C26355" s="15" t="s">
        <v>15704</v>
      </c>
      <c r="D26355" s="15" t="s">
        <v>15724</v>
      </c>
      <c r="E26355" s="2">
        <v>1861406</v>
      </c>
      <c r="F26355" s="4" t="e">
        <f>IF(B26355=#REF!,"",B26355)</f>
        <v>#REF!</v>
      </c>
    </row>
    <row r="26356" spans="1:6" ht="15.75" customHeight="1">
      <c r="A26356" s="15" t="s">
        <v>16014</v>
      </c>
      <c r="B26356" s="15" t="s">
        <v>16014</v>
      </c>
      <c r="C26356" s="15" t="s">
        <v>15704</v>
      </c>
      <c r="D26356" s="15" t="s">
        <v>15841</v>
      </c>
      <c r="E26356" s="2">
        <v>1861416</v>
      </c>
      <c r="F26356" s="4" t="str">
        <f>IF(B26356=B26355,"",B26356)</f>
        <v>Ishigaki</v>
      </c>
    </row>
    <row r="26357" spans="1:6" ht="15.75" customHeight="1">
      <c r="A26357" s="15" t="s">
        <v>6249</v>
      </c>
      <c r="B26357" s="15" t="s">
        <v>6250</v>
      </c>
      <c r="C26357" s="15" t="s">
        <v>6209</v>
      </c>
      <c r="D26357" s="15" t="s">
        <v>6216</v>
      </c>
      <c r="E26357" s="2">
        <v>2619377</v>
      </c>
      <c r="F26357" s="4" t="e">
        <f>IF(B26357=#REF!,"",B26357)</f>
        <v>#REF!</v>
      </c>
    </row>
    <row r="26358" spans="1:6" ht="15.75" customHeight="1">
      <c r="A26358" s="15" t="s">
        <v>25537</v>
      </c>
      <c r="B26358" s="15" t="s">
        <v>25537</v>
      </c>
      <c r="C26358" s="15" t="s">
        <v>25527</v>
      </c>
      <c r="D26358" s="15" t="s">
        <v>25530</v>
      </c>
      <c r="E26358" s="2">
        <v>1514896</v>
      </c>
      <c r="F26358" s="4" t="e">
        <f>IF(B26358=#REF!,"",B26358)</f>
        <v>#REF!</v>
      </c>
    </row>
    <row r="26359" spans="1:6" ht="15.75" customHeight="1">
      <c r="A26359" s="15" t="s">
        <v>16936</v>
      </c>
      <c r="B26359" s="15" t="s">
        <v>16936</v>
      </c>
      <c r="C26359" s="15" t="s">
        <v>16924</v>
      </c>
      <c r="D26359" s="15" t="s">
        <v>16935</v>
      </c>
      <c r="E26359" s="2">
        <v>1222662</v>
      </c>
      <c r="F26359" s="4" t="e">
        <f>IF(B26359=#REF!,"",B26359)</f>
        <v>#REF!</v>
      </c>
    </row>
    <row r="26360" spans="1:6" ht="15.75" customHeight="1">
      <c r="A26360" s="15" t="s">
        <v>14294</v>
      </c>
      <c r="B26360" s="15" t="s">
        <v>14294</v>
      </c>
      <c r="C26360" s="15" t="s">
        <v>14240</v>
      </c>
      <c r="D26360" s="15" t="s">
        <v>14294</v>
      </c>
      <c r="E26360" s="2">
        <v>418863</v>
      </c>
      <c r="F26360" s="4" t="e">
        <f>IF(B26360=#REF!,"",B26360)</f>
        <v>#REF!</v>
      </c>
    </row>
    <row r="26361" spans="1:6" ht="15.75" customHeight="1">
      <c r="A26361" s="15" t="s">
        <v>16013</v>
      </c>
      <c r="B26361" s="15" t="s">
        <v>16013</v>
      </c>
      <c r="C26361" s="15" t="s">
        <v>15704</v>
      </c>
      <c r="D26361" s="15" t="s">
        <v>15731</v>
      </c>
      <c r="E26361" s="2">
        <v>1861436</v>
      </c>
      <c r="F26361" s="4" t="e">
        <f>IF(B26361=#REF!,"",B26361)</f>
        <v>#REF!</v>
      </c>
    </row>
    <row r="26362" spans="1:6" ht="15.75" customHeight="1">
      <c r="A26362" s="15" t="s">
        <v>15201</v>
      </c>
      <c r="B26362" s="15" t="s">
        <v>15202</v>
      </c>
      <c r="C26362" s="15" t="s">
        <v>14891</v>
      </c>
      <c r="D26362" s="15" t="s">
        <v>15012</v>
      </c>
      <c r="E26362" s="2">
        <v>3175445</v>
      </c>
      <c r="F26362" s="4" t="e">
        <f>IF(B26362=#REF!,"",B26362)</f>
        <v>#REF!</v>
      </c>
    </row>
    <row r="26363" spans="1:6" ht="15.75" customHeight="1">
      <c r="A26363" s="16" t="s">
        <v>8623</v>
      </c>
      <c r="B26363" s="15" t="s">
        <v>8624</v>
      </c>
      <c r="C26363" s="16" t="s">
        <v>8028</v>
      </c>
      <c r="D26363" s="16" t="s">
        <v>8034</v>
      </c>
      <c r="E26363" s="2">
        <v>2895664</v>
      </c>
      <c r="F26363" s="4" t="e">
        <f>IF(B26363=#REF!,"",B26363)</f>
        <v>#REF!</v>
      </c>
    </row>
    <row r="26364" spans="1:6" ht="15.75" customHeight="1">
      <c r="A26364" s="15" t="s">
        <v>8622</v>
      </c>
      <c r="B26364" s="15" t="s">
        <v>8622</v>
      </c>
      <c r="C26364" s="15" t="s">
        <v>8028</v>
      </c>
      <c r="D26364" s="15" t="s">
        <v>8029</v>
      </c>
      <c r="E26364" s="2">
        <v>2895669</v>
      </c>
      <c r="F26364" s="4" t="e">
        <f>IF(B26364=#REF!,"",B26364)</f>
        <v>#REF!</v>
      </c>
    </row>
    <row r="26365" spans="1:6" ht="15.75" customHeight="1">
      <c r="A26365" s="15" t="s">
        <v>28961</v>
      </c>
      <c r="B26365" s="15" t="s">
        <v>28961</v>
      </c>
      <c r="C26365" s="15" t="s">
        <v>27788</v>
      </c>
      <c r="D26365" s="15" t="s">
        <v>27905</v>
      </c>
      <c r="E26365" s="2">
        <v>5099738</v>
      </c>
      <c r="F26365" s="4" t="e">
        <f>IF(B26365=#REF!,"",B26365)</f>
        <v>#REF!</v>
      </c>
    </row>
    <row r="26366" spans="1:6" ht="15.75" customHeight="1">
      <c r="A26366" s="15" t="s">
        <v>16012</v>
      </c>
      <c r="B26366" s="15" t="s">
        <v>16012</v>
      </c>
      <c r="C26366" s="15" t="s">
        <v>15704</v>
      </c>
      <c r="D26366" s="15" t="s">
        <v>15755</v>
      </c>
      <c r="E26366" s="2">
        <v>1861449</v>
      </c>
      <c r="F26366" s="4" t="e">
        <f>IF(B26366=#REF!,"",B26366)</f>
        <v>#REF!</v>
      </c>
    </row>
    <row r="26367" spans="1:6" ht="15.75" customHeight="1">
      <c r="A26367" s="15" t="s">
        <v>19463</v>
      </c>
      <c r="B26367" s="15" t="s">
        <v>19463</v>
      </c>
      <c r="C26367" s="15" t="s">
        <v>19294</v>
      </c>
      <c r="D26367" s="15" t="s">
        <v>19304</v>
      </c>
      <c r="E26367" s="2">
        <v>2337207</v>
      </c>
      <c r="F26367" s="4" t="e">
        <f>IF(B26367=#REF!,"",B26367)</f>
        <v>#REF!</v>
      </c>
    </row>
    <row r="26368" spans="1:6" ht="15.75" customHeight="1">
      <c r="A26368" s="15" t="s">
        <v>16011</v>
      </c>
      <c r="B26368" s="15" t="s">
        <v>16011</v>
      </c>
      <c r="C26368" s="15" t="s">
        <v>15704</v>
      </c>
      <c r="D26368" s="15" t="s">
        <v>15967</v>
      </c>
      <c r="E26368" s="2">
        <v>1861450</v>
      </c>
      <c r="F26368" s="4" t="e">
        <f>IF(B26368=#REF!,"",B26368)</f>
        <v>#REF!</v>
      </c>
    </row>
    <row r="26369" spans="1:6" ht="15.75" customHeight="1">
      <c r="A26369" s="16" t="s">
        <v>15200</v>
      </c>
      <c r="B26369" s="15" t="s">
        <v>15200</v>
      </c>
      <c r="C26369" s="16" t="s">
        <v>14891</v>
      </c>
      <c r="D26369" s="16" t="s">
        <v>14896</v>
      </c>
      <c r="E26369" s="2">
        <v>3175453</v>
      </c>
      <c r="F26369" s="4" t="e">
        <f>IF(B26369=#REF!,"",B26369)</f>
        <v>#REF!</v>
      </c>
    </row>
    <row r="26370" spans="1:6" ht="15.75" customHeight="1">
      <c r="A26370" s="15" t="s">
        <v>15199</v>
      </c>
      <c r="B26370" s="15" t="s">
        <v>15199</v>
      </c>
      <c r="C26370" s="15" t="s">
        <v>14891</v>
      </c>
      <c r="D26370" s="15" t="s">
        <v>14896</v>
      </c>
      <c r="E26370" s="2">
        <v>3175458</v>
      </c>
      <c r="F26370" s="4" t="e">
        <f>IF(B26370=#REF!,"",B26370)</f>
        <v>#REF!</v>
      </c>
    </row>
    <row r="26371" spans="1:6" ht="15.75" customHeight="1">
      <c r="A26371" s="15" t="s">
        <v>16009</v>
      </c>
      <c r="B26371" s="15" t="s">
        <v>16010</v>
      </c>
      <c r="C26371" s="15" t="s">
        <v>15704</v>
      </c>
      <c r="D26371" s="15" t="s">
        <v>15806</v>
      </c>
      <c r="E26371" s="2">
        <v>1861454</v>
      </c>
      <c r="F26371" s="4" t="e">
        <f>IF(B26371=#REF!,"",B26371)</f>
        <v>#REF!</v>
      </c>
    </row>
    <row r="26372" spans="1:6" ht="15.75" customHeight="1">
      <c r="A26372" s="16" t="s">
        <v>19461</v>
      </c>
      <c r="B26372" s="15" t="s">
        <v>19462</v>
      </c>
      <c r="C26372" s="16" t="s">
        <v>19294</v>
      </c>
      <c r="D26372" s="16" t="s">
        <v>19310</v>
      </c>
      <c r="E26372" s="2">
        <v>2337235</v>
      </c>
      <c r="F26372" s="4" t="e">
        <f>IF(B26372=#REF!,"",B26372)</f>
        <v>#REF!</v>
      </c>
    </row>
    <row r="26373" spans="1:6" ht="15.75" customHeight="1">
      <c r="A26373" s="16" t="s">
        <v>22434</v>
      </c>
      <c r="B26373" s="15" t="s">
        <v>22434</v>
      </c>
      <c r="C26373" s="16" t="s">
        <v>22070</v>
      </c>
      <c r="D26373" s="16" t="s">
        <v>22151</v>
      </c>
      <c r="E26373" s="2">
        <v>6315399</v>
      </c>
      <c r="F26373" s="4" t="e">
        <f>IF(B26373=#REF!,"",B26373)</f>
        <v>#REF!</v>
      </c>
    </row>
    <row r="26374" spans="1:6" ht="15.75" customHeight="1">
      <c r="A26374" s="15" t="s">
        <v>25613</v>
      </c>
      <c r="B26374" s="15" t="s">
        <v>25614</v>
      </c>
      <c r="C26374" s="15" t="s">
        <v>25560</v>
      </c>
      <c r="D26374" s="15" t="s">
        <v>25615</v>
      </c>
      <c r="E26374" s="2">
        <v>159045</v>
      </c>
      <c r="F26374" s="4" t="e">
        <f>IF(B26374=#REF!,"",B26374)</f>
        <v>#REF!</v>
      </c>
    </row>
    <row r="26375" spans="1:6" ht="15.75" customHeight="1">
      <c r="A26375" s="15" t="s">
        <v>16008</v>
      </c>
      <c r="B26375" s="15" t="s">
        <v>16008</v>
      </c>
      <c r="C26375" s="15" t="s">
        <v>15704</v>
      </c>
      <c r="D26375" s="15" t="s">
        <v>15784</v>
      </c>
      <c r="E26375" s="2">
        <v>1861464</v>
      </c>
      <c r="F26375" s="4" t="e">
        <f>IF(B26375=#REF!,"",B26375)</f>
        <v>#REF!</v>
      </c>
    </row>
    <row r="26376" spans="1:6" ht="15.75" customHeight="1">
      <c r="A26376" s="15" t="s">
        <v>20798</v>
      </c>
      <c r="B26376" s="15" t="s">
        <v>20798</v>
      </c>
      <c r="C26376" s="15" t="s">
        <v>20598</v>
      </c>
      <c r="D26376" s="15" t="s">
        <v>20627</v>
      </c>
      <c r="E26376" s="2">
        <v>1710518</v>
      </c>
      <c r="F26376" s="4" t="e">
        <f>IF(B26376=#REF!,"",B26376)</f>
        <v>#REF!</v>
      </c>
    </row>
    <row r="26377" spans="1:6" ht="15.75" customHeight="1">
      <c r="A26377" s="15" t="s">
        <v>28960</v>
      </c>
      <c r="B26377" s="15" t="s">
        <v>28960</v>
      </c>
      <c r="C26377" s="15" t="s">
        <v>27788</v>
      </c>
      <c r="D26377" s="15" t="s">
        <v>27905</v>
      </c>
      <c r="E26377" s="2">
        <v>5099724</v>
      </c>
      <c r="F26377" s="4" t="e">
        <f>IF(B26377=#REF!,"",B26377)</f>
        <v>#REF!</v>
      </c>
    </row>
    <row r="26378" spans="1:6" ht="15.75" customHeight="1">
      <c r="A26378" s="15" t="s">
        <v>28959</v>
      </c>
      <c r="B26378" s="15" t="s">
        <v>28959</v>
      </c>
      <c r="C26378" s="15" t="s">
        <v>27788</v>
      </c>
      <c r="D26378" s="15" t="s">
        <v>27876</v>
      </c>
      <c r="E26378" s="2">
        <v>4700168</v>
      </c>
      <c r="F26378" s="4" t="e">
        <f>IF(B26378=#REF!,"",B26378)</f>
        <v>#REF!</v>
      </c>
    </row>
    <row r="26379" spans="1:6" ht="15.75" customHeight="1">
      <c r="A26379" s="15" t="s">
        <v>27455</v>
      </c>
      <c r="B26379" s="15" t="s">
        <v>27455</v>
      </c>
      <c r="C26379" s="15" t="s">
        <v>27234</v>
      </c>
      <c r="D26379" s="15" t="s">
        <v>27241</v>
      </c>
      <c r="E26379" s="2">
        <v>2646032</v>
      </c>
      <c r="F26379" s="4" t="e">
        <f>IF(B26379=#REF!,"",B26379)</f>
        <v>#REF!</v>
      </c>
    </row>
    <row r="26380" spans="1:6" ht="15.75" customHeight="1">
      <c r="A26380" s="15" t="s">
        <v>24519</v>
      </c>
      <c r="B26380" s="15" t="s">
        <v>24520</v>
      </c>
      <c r="C26380" s="15" t="s">
        <v>24200</v>
      </c>
      <c r="D26380" s="15" t="s">
        <v>24249</v>
      </c>
      <c r="E26380" s="2">
        <v>3120304</v>
      </c>
      <c r="F26380" s="4" t="str">
        <f>IF(B26380=B26379,"",B26380)</f>
        <v>Irun</v>
      </c>
    </row>
    <row r="26381" spans="1:6" ht="15.75" customHeight="1">
      <c r="A26381" s="16" t="str">
        <f ca="1">IFERROR(__xludf.DUMMYFUNCTION("GOOGLETRANSLATE(B33320,""en"",""pt"")"),"Irugūr")</f>
        <v>Irugūr</v>
      </c>
      <c r="B26381" s="20" t="s">
        <v>33650</v>
      </c>
      <c r="C26381" s="20" t="s">
        <v>10178</v>
      </c>
      <c r="D26381" s="20" t="s">
        <v>10196</v>
      </c>
      <c r="E26381" s="10">
        <v>1269690</v>
      </c>
      <c r="F26381" s="4" t="str">
        <f>IF(B26381=B26380,"",B26381)</f>
        <v>Irugūr</v>
      </c>
    </row>
    <row r="26382" spans="1:6" ht="15.75" customHeight="1">
      <c r="A26382" s="15" t="s">
        <v>11546</v>
      </c>
      <c r="B26382" s="15" t="s">
        <v>11547</v>
      </c>
      <c r="C26382" s="15" t="s">
        <v>10178</v>
      </c>
      <c r="D26382" s="15" t="s">
        <v>10196</v>
      </c>
      <c r="E26382" s="2">
        <v>1269690</v>
      </c>
      <c r="F26382" s="4" t="e">
        <f>IF(B26382=#REF!,"",B26382)</f>
        <v>#REF!</v>
      </c>
    </row>
    <row r="26383" spans="1:6" ht="15.75" customHeight="1">
      <c r="A26383" s="15" t="s">
        <v>26982</v>
      </c>
      <c r="B26383" s="15" t="s">
        <v>26982</v>
      </c>
      <c r="C26383" s="15" t="s">
        <v>26870</v>
      </c>
      <c r="D26383" s="15" t="s">
        <v>26905</v>
      </c>
      <c r="E26383" s="2">
        <v>707565</v>
      </c>
      <c r="F26383" s="4" t="e">
        <f>IF(B26383=#REF!,"",B26383)</f>
        <v>#REF!</v>
      </c>
    </row>
    <row r="26384" spans="1:6" ht="15.75" customHeight="1">
      <c r="A26384" s="15" t="s">
        <v>20796</v>
      </c>
      <c r="B26384" s="15" t="s">
        <v>20797</v>
      </c>
      <c r="C26384" s="15" t="s">
        <v>20598</v>
      </c>
      <c r="D26384" s="15" t="s">
        <v>20634</v>
      </c>
      <c r="E26384" s="2">
        <v>1710531</v>
      </c>
      <c r="F26384" s="4" t="e">
        <f>IF(B26384=#REF!,"",B26384)</f>
        <v>#REF!</v>
      </c>
    </row>
    <row r="26385" spans="1:6" ht="15.75" customHeight="1">
      <c r="A26385" s="15" t="s">
        <v>28958</v>
      </c>
      <c r="B26385" s="15" t="s">
        <v>28958</v>
      </c>
      <c r="C26385" s="15" t="s">
        <v>27788</v>
      </c>
      <c r="D26385" s="15" t="s">
        <v>27909</v>
      </c>
      <c r="E26385" s="2">
        <v>4295940</v>
      </c>
      <c r="F26385" s="4" t="e">
        <f>IF(B26385=#REF!,"",B26385)</f>
        <v>#REF!</v>
      </c>
    </row>
    <row r="26386" spans="1:6" ht="15.75" customHeight="1">
      <c r="A26386" s="16" t="s">
        <v>28957</v>
      </c>
      <c r="B26386" s="15" t="s">
        <v>28957</v>
      </c>
      <c r="C26386" s="16" t="s">
        <v>27788</v>
      </c>
      <c r="D26386" s="16" t="s">
        <v>27819</v>
      </c>
      <c r="E26386" s="2">
        <v>5122331</v>
      </c>
      <c r="F26386" s="4" t="e">
        <f>IF(B26386=#REF!,"",B26386)</f>
        <v>#REF!</v>
      </c>
    </row>
    <row r="26387" spans="1:6" ht="15.75" customHeight="1">
      <c r="A26387" s="15" t="s">
        <v>28955</v>
      </c>
      <c r="B26387" s="15" t="s">
        <v>28956</v>
      </c>
      <c r="C26387" s="15" t="s">
        <v>27788</v>
      </c>
      <c r="D26387" s="15" t="s">
        <v>27804</v>
      </c>
      <c r="E26387" s="2">
        <v>4997238</v>
      </c>
      <c r="F26387" s="4" t="e">
        <f>IF(B26387=#REF!,"",B26387)</f>
        <v>#REF!</v>
      </c>
    </row>
    <row r="26388" spans="1:6" ht="15.75" customHeight="1">
      <c r="A26388" s="15" t="s">
        <v>22135</v>
      </c>
      <c r="B26388" s="15" t="s">
        <v>22135</v>
      </c>
      <c r="C26388" s="15" t="s">
        <v>22070</v>
      </c>
      <c r="D26388" s="15" t="s">
        <v>22135</v>
      </c>
      <c r="E26388" s="2">
        <v>2023469</v>
      </c>
      <c r="F26388" s="4" t="str">
        <f>IF(B26388=B26387,"",B26388)</f>
        <v>Irkutsk</v>
      </c>
    </row>
    <row r="26389" spans="1:6" ht="15.75" customHeight="1">
      <c r="A26389" s="16" t="str">
        <f ca="1">IFERROR(__xludf.DUMMYFUNCTION("GOOGLETRANSLATE(B33321,""en"",""pt"")"),"Irinjālakuda")</f>
        <v>Irinjālakuda</v>
      </c>
      <c r="B26389" s="20" t="s">
        <v>33651</v>
      </c>
      <c r="C26389" s="20" t="s">
        <v>10178</v>
      </c>
      <c r="D26389" s="20" t="s">
        <v>10246</v>
      </c>
      <c r="E26389" s="10">
        <v>1269693</v>
      </c>
      <c r="F26389" s="4" t="str">
        <f>IF(B26389=B26388,"",B26389)</f>
        <v>Irinjālakuda</v>
      </c>
    </row>
    <row r="26390" spans="1:6" ht="15.75" customHeight="1">
      <c r="A26390" s="16" t="s">
        <v>11544</v>
      </c>
      <c r="B26390" s="15" t="s">
        <v>11545</v>
      </c>
      <c r="C26390" s="16" t="s">
        <v>10178</v>
      </c>
      <c r="D26390" s="16" t="s">
        <v>10246</v>
      </c>
      <c r="E26390" s="2">
        <v>1269693</v>
      </c>
      <c r="F26390" s="4" t="e">
        <f>IF(B26390=#REF!,"",B26390)</f>
        <v>#REF!</v>
      </c>
    </row>
    <row r="26391" spans="1:6" ht="15.75" customHeight="1">
      <c r="A26391" s="15" t="s">
        <v>11543</v>
      </c>
      <c r="B26391" s="15" t="s">
        <v>11543</v>
      </c>
      <c r="C26391" s="15" t="s">
        <v>10178</v>
      </c>
      <c r="D26391" s="15" t="s">
        <v>10246</v>
      </c>
      <c r="E26391" s="2">
        <v>1269694</v>
      </c>
      <c r="F26391" s="4" t="e">
        <f>IF(B26391=#REF!,"",B26391)</f>
        <v>#REF!</v>
      </c>
    </row>
    <row r="26392" spans="1:6" ht="15.75" customHeight="1">
      <c r="A26392" s="15" t="s">
        <v>25611</v>
      </c>
      <c r="B26392" s="15" t="s">
        <v>25611</v>
      </c>
      <c r="C26392" s="15" t="s">
        <v>25560</v>
      </c>
      <c r="D26392" s="15" t="s">
        <v>25611</v>
      </c>
      <c r="E26392" s="2">
        <v>159071</v>
      </c>
      <c r="F26392" s="4" t="e">
        <f>IF(B26392=#REF!,"",B26392)</f>
        <v>#REF!</v>
      </c>
    </row>
    <row r="26393" spans="1:6" ht="15.75" customHeight="1">
      <c r="A26393" s="16" t="s">
        <v>20794</v>
      </c>
      <c r="B26393" s="15" t="s">
        <v>20795</v>
      </c>
      <c r="C26393" s="16" t="s">
        <v>20598</v>
      </c>
      <c r="D26393" s="16" t="s">
        <v>20634</v>
      </c>
      <c r="E26393" s="2">
        <v>1710544</v>
      </c>
      <c r="F26393" s="4" t="str">
        <f>IF(B26393=B26392,"",B26393)</f>
        <v>Iriga City</v>
      </c>
    </row>
    <row r="26394" spans="1:6" ht="15.75" customHeight="1">
      <c r="A26394" s="16" t="str">
        <f ca="1">IFERROR(__xludf.DUMMYFUNCTION("GOOGLETRANSLATE(B24960,""en"",""pt"")"),"Irecê")</f>
        <v>Irecê</v>
      </c>
      <c r="B26394" s="20" t="s">
        <v>31635</v>
      </c>
      <c r="C26394" s="20" t="s">
        <v>1905</v>
      </c>
      <c r="D26394" s="20" t="s">
        <v>1947</v>
      </c>
      <c r="E26394" s="10">
        <v>3461013</v>
      </c>
      <c r="F26394" s="4" t="str">
        <f>IF(B26394=B26393,"",B26394)</f>
        <v>Irecê</v>
      </c>
    </row>
    <row r="26395" spans="1:6" ht="15.75" customHeight="1">
      <c r="A26395" s="15" t="s">
        <v>2622</v>
      </c>
      <c r="B26395" s="15" t="s">
        <v>2623</v>
      </c>
      <c r="C26395" s="15" t="s">
        <v>1905</v>
      </c>
      <c r="D26395" s="15" t="s">
        <v>1947</v>
      </c>
      <c r="E26395" s="2">
        <v>3461013</v>
      </c>
      <c r="F26395" s="4" t="e">
        <f>IF(B26395=#REF!,"",B26395)</f>
        <v>#REF!</v>
      </c>
    </row>
    <row r="26396" spans="1:6" ht="15.75" customHeight="1">
      <c r="A26396" s="15" t="s">
        <v>22433</v>
      </c>
      <c r="B26396" s="15" t="s">
        <v>22433</v>
      </c>
      <c r="C26396" s="15" t="s">
        <v>22070</v>
      </c>
      <c r="D26396" s="15" t="s">
        <v>22106</v>
      </c>
      <c r="E26396" s="2">
        <v>1505526</v>
      </c>
      <c r="F26396" s="4" t="e">
        <f>IF(B26396=#REF!,"",B26396)</f>
        <v>#REF!</v>
      </c>
    </row>
    <row r="26397" spans="1:6" ht="15.75" customHeight="1">
      <c r="A26397" s="15" t="s">
        <v>16641</v>
      </c>
      <c r="B26397" s="15" t="s">
        <v>16641</v>
      </c>
      <c r="C26397" s="15" t="s">
        <v>16624</v>
      </c>
      <c r="D26397" s="15" t="s">
        <v>16641</v>
      </c>
      <c r="E26397" s="2">
        <v>248946</v>
      </c>
      <c r="F26397" s="4" t="e">
        <f>IF(B26397=#REF!,"",B26397)</f>
        <v>#REF!</v>
      </c>
    </row>
    <row r="26398" spans="1:6" ht="15.75" customHeight="1">
      <c r="A26398" s="15" t="s">
        <v>2621</v>
      </c>
      <c r="B26398" s="15" t="s">
        <v>2621</v>
      </c>
      <c r="C26398" s="15" t="s">
        <v>1905</v>
      </c>
      <c r="D26398" s="15" t="s">
        <v>728</v>
      </c>
      <c r="E26398" s="2">
        <v>3461017</v>
      </c>
      <c r="F26398" s="4" t="e">
        <f>IF(B26398=#REF!,"",B26398)</f>
        <v>#REF!</v>
      </c>
    </row>
    <row r="26399" spans="1:6" ht="15.75" customHeight="1">
      <c r="A26399" s="16" t="s">
        <v>17990</v>
      </c>
      <c r="B26399" s="15" t="s">
        <v>17991</v>
      </c>
      <c r="C26399" s="16" t="s">
        <v>17707</v>
      </c>
      <c r="D26399" s="16" t="s">
        <v>17713</v>
      </c>
      <c r="E26399" s="2">
        <v>4004330</v>
      </c>
      <c r="F26399" s="4" t="str">
        <f>IF(B26399=B26398,"",B26399)</f>
        <v>Irapuato</v>
      </c>
    </row>
    <row r="26400" spans="1:6" ht="15.75" customHeight="1">
      <c r="A26400" s="16" t="str">
        <f ca="1">IFERROR(__xludf.DUMMYFUNCTION("GOOGLETRANSLATE(B34531,""en"",""pt"")"),"Īrānshahr")</f>
        <v>Īrānshahr</v>
      </c>
      <c r="B26400" s="20" t="s">
        <v>34262</v>
      </c>
      <c r="C26400" s="20" t="s">
        <v>14240</v>
      </c>
      <c r="D26400" s="20" t="s">
        <v>14266</v>
      </c>
      <c r="E26400" s="10">
        <v>1160939</v>
      </c>
      <c r="F26400" s="4" t="str">
        <f>IF(B26400=B26399,"",B26400)</f>
        <v>Īrānshahr</v>
      </c>
    </row>
    <row r="26401" spans="1:6" ht="15.75" customHeight="1">
      <c r="A26401" s="16" t="str">
        <f ca="1">IFERROR(__xludf.DUMMYFUNCTION("GOOGLETRANSLATE(B31005,""en"",""pt"")"),"Irákleion")</f>
        <v>Irákleion</v>
      </c>
      <c r="B26401" s="20" t="s">
        <v>32713</v>
      </c>
      <c r="C26401" s="20" t="s">
        <v>9441</v>
      </c>
      <c r="D26401" s="20" t="s">
        <v>9493</v>
      </c>
      <c r="E26401" s="10">
        <v>261745</v>
      </c>
      <c r="F26401" s="4" t="str">
        <f>IF(B26401=B26400,"",B26401)</f>
        <v>Irákleion</v>
      </c>
    </row>
    <row r="26402" spans="1:6" ht="15.75" customHeight="1">
      <c r="A26402" s="16" t="str">
        <f ca="1">IFERROR(__xludf.DUMMYFUNCTION("GOOGLETRANSLATE(B31004,""en"",""pt"")"),"Irákleio")</f>
        <v>Irákleio</v>
      </c>
      <c r="B26402" s="20" t="s">
        <v>32712</v>
      </c>
      <c r="C26402" s="20" t="s">
        <v>9441</v>
      </c>
      <c r="D26402" s="20" t="s">
        <v>9445</v>
      </c>
      <c r="E26402" s="10">
        <v>261743</v>
      </c>
      <c r="F26402" s="4" t="e">
        <f>IF(B26402=#REF!,"",B26402)</f>
        <v>#REF!</v>
      </c>
    </row>
    <row r="26403" spans="1:6" ht="15.75" customHeight="1">
      <c r="A26403" s="15" t="s">
        <v>16933</v>
      </c>
      <c r="B26403" s="15" t="s">
        <v>16934</v>
      </c>
      <c r="C26403" s="15" t="s">
        <v>16924</v>
      </c>
      <c r="D26403" s="15" t="s">
        <v>16935</v>
      </c>
      <c r="E26403" s="2">
        <v>1528283</v>
      </c>
      <c r="F26403" s="4" t="str">
        <f>IF(B26403=B26402,"",B26403)</f>
        <v>Iradan</v>
      </c>
    </row>
    <row r="26404" spans="1:6" ht="15.75" customHeight="1">
      <c r="A26404" s="16" t="str">
        <f ca="1">IFERROR(__xludf.DUMMYFUNCTION("GOOGLETRANSLATE(B24962,""en"",""pt"")"),"Iracemápolis")</f>
        <v>Iracemápolis</v>
      </c>
      <c r="B26404" s="20" t="s">
        <v>31636</v>
      </c>
      <c r="C26404" s="20" t="s">
        <v>1905</v>
      </c>
      <c r="D26404" s="20" t="s">
        <v>3354</v>
      </c>
      <c r="E26404" s="10">
        <v>3461055</v>
      </c>
      <c r="F26404" s="4" t="str">
        <f>IF(B26404=B26403,"",B26404)</f>
        <v>Iracemápolis</v>
      </c>
    </row>
    <row r="26405" spans="1:6" ht="15.75" customHeight="1">
      <c r="A26405" s="16" t="s">
        <v>2619</v>
      </c>
      <c r="B26405" s="15" t="s">
        <v>2620</v>
      </c>
      <c r="C26405" s="16" t="s">
        <v>1905</v>
      </c>
      <c r="D26405" s="16" t="s">
        <v>1914</v>
      </c>
      <c r="E26405" s="2">
        <v>3461055</v>
      </c>
      <c r="F26405" s="4" t="str">
        <f>IF(B26405=B26404,"",B26405)</f>
        <v>IracemÃ¡polis</v>
      </c>
    </row>
    <row r="26406" spans="1:6" ht="15.75" customHeight="1">
      <c r="A26406" s="15" t="s">
        <v>9526</v>
      </c>
      <c r="B26406" s="15" t="s">
        <v>9527</v>
      </c>
      <c r="C26406" s="15" t="s">
        <v>9441</v>
      </c>
      <c r="D26406" s="15" t="s">
        <v>9493</v>
      </c>
      <c r="E26406" s="2">
        <v>261745</v>
      </c>
      <c r="F26406" s="4" t="str">
        <f>IF(B26406=B26405,"",B26406)</f>
        <v>IrÃ¡kleion</v>
      </c>
    </row>
    <row r="26407" spans="1:6" ht="15.75" customHeight="1">
      <c r="A26407" s="15" t="s">
        <v>9524</v>
      </c>
      <c r="B26407" s="15" t="s">
        <v>9525</v>
      </c>
      <c r="C26407" s="15" t="s">
        <v>9441</v>
      </c>
      <c r="D26407" s="15" t="s">
        <v>9445</v>
      </c>
      <c r="E26407" s="2">
        <v>261743</v>
      </c>
      <c r="F26407" s="4" t="e">
        <f>IF(B26407=#REF!,"",B26407)</f>
        <v>#REF!</v>
      </c>
    </row>
    <row r="26408" spans="1:6" ht="15.75" customHeight="1">
      <c r="A26408" s="15" t="s">
        <v>20527</v>
      </c>
      <c r="B26408" s="15" t="s">
        <v>20527</v>
      </c>
      <c r="C26408" s="15" t="s">
        <v>20470</v>
      </c>
      <c r="D26408" s="15" t="s">
        <v>18055</v>
      </c>
      <c r="E26408" s="2">
        <v>3696183</v>
      </c>
      <c r="F26408" s="4" t="e">
        <f>IF(B26408=#REF!,"",B26408)</f>
        <v>#REF!</v>
      </c>
    </row>
    <row r="26409" spans="1:6" ht="15.75" customHeight="1">
      <c r="A26409" s="15" t="s">
        <v>4402</v>
      </c>
      <c r="B26409" s="15" t="s">
        <v>4402</v>
      </c>
      <c r="C26409" s="15" t="s">
        <v>4355</v>
      </c>
      <c r="D26409" s="15" t="s">
        <v>4403</v>
      </c>
      <c r="E26409" s="2">
        <v>3887127</v>
      </c>
      <c r="F26409" s="4" t="e">
        <f>IF(B26409=#REF!,"",B26409)</f>
        <v>#REF!</v>
      </c>
    </row>
    <row r="26410" spans="1:6" ht="15.75" customHeight="1">
      <c r="A26410" s="15" t="s">
        <v>2618</v>
      </c>
      <c r="B26410" s="15" t="s">
        <v>2618</v>
      </c>
      <c r="C26410" s="15" t="s">
        <v>1905</v>
      </c>
      <c r="D26410" s="15" t="s">
        <v>1930</v>
      </c>
      <c r="E26410" s="2">
        <v>3398076</v>
      </c>
      <c r="F26410" s="4" t="e">
        <f>IF(B26410=#REF!,"",B26410)</f>
        <v>#REF!</v>
      </c>
    </row>
    <row r="26411" spans="1:6" ht="15.75" customHeight="1">
      <c r="A26411" s="15" t="s">
        <v>2616</v>
      </c>
      <c r="B26411" s="15" t="s">
        <v>2617</v>
      </c>
      <c r="C26411" s="15" t="s">
        <v>1905</v>
      </c>
      <c r="D26411" s="15" t="s">
        <v>1909</v>
      </c>
      <c r="E26411" s="2">
        <v>3398105</v>
      </c>
      <c r="F26411" s="4" t="e">
        <f>IF(B26411=#REF!,"",B26411)</f>
        <v>#REF!</v>
      </c>
    </row>
    <row r="26412" spans="1:6" ht="15.75" customHeight="1">
      <c r="A26412" s="15" t="s">
        <v>2614</v>
      </c>
      <c r="B26412" s="15" t="s">
        <v>2615</v>
      </c>
      <c r="C26412" s="15" t="s">
        <v>1905</v>
      </c>
      <c r="D26412" s="15" t="s">
        <v>1930</v>
      </c>
      <c r="E26412" s="2">
        <v>3398112</v>
      </c>
      <c r="F26412" s="4" t="e">
        <f>IF(B26412=#REF!,"",B26412)</f>
        <v>#REF!</v>
      </c>
    </row>
    <row r="26413" spans="1:6" ht="15.75" customHeight="1">
      <c r="A26413" s="15" t="s">
        <v>4289</v>
      </c>
      <c r="B26413" s="15" t="s">
        <v>4289</v>
      </c>
      <c r="C26413" s="15" t="s">
        <v>4264</v>
      </c>
      <c r="D26413" s="15" t="s">
        <v>4265</v>
      </c>
      <c r="E26413" s="2">
        <v>238566</v>
      </c>
      <c r="F26413" s="4" t="e">
        <f>IF(B26413=#REF!,"",B26413)</f>
        <v>#REF!</v>
      </c>
    </row>
    <row r="26414" spans="1:6" ht="15.75" customHeight="1">
      <c r="A26414" s="15" t="s">
        <v>19460</v>
      </c>
      <c r="B26414" s="15" t="s">
        <v>19460</v>
      </c>
      <c r="C26414" s="15" t="s">
        <v>19294</v>
      </c>
      <c r="D26414" s="15" t="s">
        <v>19304</v>
      </c>
      <c r="E26414" s="2">
        <v>2337352</v>
      </c>
      <c r="F26414" s="4" t="str">
        <f>IF(B26414=B26413,"",B26414)</f>
        <v>Ipoti</v>
      </c>
    </row>
    <row r="26415" spans="1:6" ht="15.75" customHeight="1">
      <c r="A26415" s="15" t="s">
        <v>2612</v>
      </c>
      <c r="B26415" s="15" t="s">
        <v>2613</v>
      </c>
      <c r="C26415" s="15" t="s">
        <v>1905</v>
      </c>
      <c r="D26415" s="15" t="s">
        <v>1969</v>
      </c>
      <c r="E26415" s="2">
        <v>3461090</v>
      </c>
      <c r="F26415" s="4" t="str">
        <f>IF(B26415=B26414,"",B26415)</f>
        <v>IporÃ¡</v>
      </c>
    </row>
    <row r="26416" spans="1:6" ht="15.75" customHeight="1">
      <c r="A26416" s="16" t="str">
        <f ca="1">IFERROR(__xludf.DUMMYFUNCTION("GOOGLETRANSLATE(B24963,""en"",""pt"")"),"Iporá")</f>
        <v>Iporá</v>
      </c>
      <c r="B26416" s="20" t="s">
        <v>2612</v>
      </c>
      <c r="C26416" s="20" t="s">
        <v>1905</v>
      </c>
      <c r="D26416" s="20" t="s">
        <v>31436</v>
      </c>
      <c r="E26416" s="10">
        <v>3461090</v>
      </c>
      <c r="F26416" s="4" t="e">
        <f>IF(B26416=#REF!,"",B26416)</f>
        <v>#REF!</v>
      </c>
    </row>
    <row r="26417" spans="1:6" ht="15.75" customHeight="1">
      <c r="A26417" s="15" t="s">
        <v>2611</v>
      </c>
      <c r="B26417" s="15" t="s">
        <v>2611</v>
      </c>
      <c r="C26417" s="15" t="s">
        <v>1905</v>
      </c>
      <c r="D26417" s="15" t="s">
        <v>1909</v>
      </c>
      <c r="E26417" s="2">
        <v>3398115</v>
      </c>
      <c r="F26417" s="4" t="e">
        <f>IF(B26417=#REF!,"",B26417)</f>
        <v>#REF!</v>
      </c>
    </row>
    <row r="26418" spans="1:6" ht="15.75" customHeight="1">
      <c r="A26418" s="15" t="s">
        <v>17471</v>
      </c>
      <c r="B26418" s="15" t="s">
        <v>17472</v>
      </c>
      <c r="C26418" s="15" t="s">
        <v>17432</v>
      </c>
      <c r="D26418" s="15" t="s">
        <v>17438</v>
      </c>
      <c r="E26418" s="2">
        <v>1734634</v>
      </c>
      <c r="F26418" s="4" t="str">
        <f>IF(B26418=B26417,"",B26418)</f>
        <v>Ipoh</v>
      </c>
    </row>
    <row r="26419" spans="1:6" ht="15.75" customHeight="1">
      <c r="A26419" s="16" t="str">
        <f ca="1">IFERROR(__xludf.DUMMYFUNCTION("GOOGLETRANSLATE(B27088,""en"",""pt"")"),"Ipís")</f>
        <v>Ipís</v>
      </c>
      <c r="B26419" s="20" t="s">
        <v>31897</v>
      </c>
      <c r="C26419" s="20" t="s">
        <v>5665</v>
      </c>
      <c r="D26419" s="20" t="s">
        <v>5697</v>
      </c>
      <c r="E26419" s="10">
        <v>3623394</v>
      </c>
      <c r="F26419" s="4" t="str">
        <f>IF(B26419=B26418,"",B26419)</f>
        <v>Ipís</v>
      </c>
    </row>
    <row r="26420" spans="1:6" ht="15.75" customHeight="1">
      <c r="A26420" s="15" t="s">
        <v>2609</v>
      </c>
      <c r="B26420" s="15" t="s">
        <v>2610</v>
      </c>
      <c r="C26420" s="15" t="s">
        <v>1905</v>
      </c>
      <c r="D26420" s="15" t="s">
        <v>1947</v>
      </c>
      <c r="E26420" s="2">
        <v>3461124</v>
      </c>
      <c r="F26420" s="4" t="str">
        <f>IF(B26420=B26419,"",B26420)</f>
        <v>IpirÃ¡</v>
      </c>
    </row>
    <row r="26421" spans="1:6" ht="15.75" customHeight="1">
      <c r="A26421" s="16" t="str">
        <f ca="1">IFERROR(__xludf.DUMMYFUNCTION("GOOGLETRANSLATE(B24964,""en"",""pt"")"),"Ipirá")</f>
        <v>Ipirá</v>
      </c>
      <c r="B26421" s="20" t="s">
        <v>2609</v>
      </c>
      <c r="C26421" s="20" t="s">
        <v>1905</v>
      </c>
      <c r="D26421" s="20" t="s">
        <v>1947</v>
      </c>
      <c r="E26421" s="10">
        <v>3461124</v>
      </c>
      <c r="F26421" s="4" t="e">
        <f>IF(B26421=#REF!,"",B26421)</f>
        <v>#REF!</v>
      </c>
    </row>
    <row r="26422" spans="1:6" ht="15.75" customHeight="1">
      <c r="A26422" s="15" t="s">
        <v>25612</v>
      </c>
      <c r="B26422" s="15" t="s">
        <v>25612</v>
      </c>
      <c r="C26422" s="15" t="s">
        <v>25560</v>
      </c>
      <c r="D26422" s="15" t="s">
        <v>25589</v>
      </c>
      <c r="E26422" s="2">
        <v>159107</v>
      </c>
      <c r="F26422" s="4" t="e">
        <f>IF(B26422=#REF!,"",B26422)</f>
        <v>#REF!</v>
      </c>
    </row>
    <row r="26423" spans="1:6" ht="15.75" customHeight="1">
      <c r="A26423" s="15" t="s">
        <v>20793</v>
      </c>
      <c r="B26423" s="15" t="s">
        <v>20793</v>
      </c>
      <c r="C26423" s="15" t="s">
        <v>20598</v>
      </c>
      <c r="D26423" s="15" t="s">
        <v>20752</v>
      </c>
      <c r="E26423" s="2">
        <v>1710612</v>
      </c>
      <c r="F26423" s="4" t="str">
        <f>IF(B26423=B26422,"",B26423)</f>
        <v>Ipil</v>
      </c>
    </row>
    <row r="26424" spans="1:6" ht="15.75" customHeight="1">
      <c r="A26424" s="16" t="str">
        <f ca="1">IFERROR(__xludf.DUMMYFUNCTION("GOOGLETRANSLATE(B24965,""en"",""pt"")"),"Ipiaú")</f>
        <v>Ipiaú</v>
      </c>
      <c r="B26424" s="20" t="s">
        <v>31637</v>
      </c>
      <c r="C26424" s="20" t="s">
        <v>1905</v>
      </c>
      <c r="D26424" s="20" t="s">
        <v>1947</v>
      </c>
      <c r="E26424" s="10">
        <v>3461129</v>
      </c>
      <c r="F26424" s="4" t="e">
        <f>IF(B26424=#REF!,"",B26424)</f>
        <v>#REF!</v>
      </c>
    </row>
    <row r="26425" spans="1:6" ht="15.75" customHeight="1">
      <c r="A26425" s="15" t="s">
        <v>5490</v>
      </c>
      <c r="B26425" s="15" t="s">
        <v>5490</v>
      </c>
      <c r="C26425" s="15" t="s">
        <v>5348</v>
      </c>
      <c r="D26425" s="15" t="s">
        <v>5454</v>
      </c>
      <c r="E26425" s="2">
        <v>3680539</v>
      </c>
      <c r="F26425" s="4" t="str">
        <f>IF(B26425=B26424,"",B26425)</f>
        <v>Ipiales</v>
      </c>
    </row>
    <row r="26426" spans="1:6" ht="15.75" customHeight="1">
      <c r="A26426" s="15" t="s">
        <v>2607</v>
      </c>
      <c r="B26426" s="15" t="s">
        <v>2608</v>
      </c>
      <c r="C26426" s="15" t="s">
        <v>1905</v>
      </c>
      <c r="D26426" s="15" t="s">
        <v>1947</v>
      </c>
      <c r="E26426" s="2">
        <v>3461129</v>
      </c>
      <c r="F26426" s="4" t="e">
        <f>IF(B26426=#REF!,"",B26426)</f>
        <v>#REF!</v>
      </c>
    </row>
    <row r="26427" spans="1:6" ht="15.75" customHeight="1">
      <c r="A26427" s="15" t="s">
        <v>19459</v>
      </c>
      <c r="B26427" s="15" t="s">
        <v>19459</v>
      </c>
      <c r="C26427" s="15" t="s">
        <v>19294</v>
      </c>
      <c r="D26427" s="15" t="s">
        <v>19299</v>
      </c>
      <c r="E26427" s="2">
        <v>2337379</v>
      </c>
      <c r="F26427" s="4" t="str">
        <f>IF(B26427=B26426,"",B26427)</f>
        <v>Iperu</v>
      </c>
    </row>
    <row r="26428" spans="1:6" ht="15.75" customHeight="1">
      <c r="A26428" s="16" t="str">
        <f ca="1">IFERROR(__xludf.DUMMYFUNCTION("GOOGLETRANSLATE(B24966,""en"",""pt"")"),"Iperó")</f>
        <v>Iperó</v>
      </c>
      <c r="B26428" s="20" t="s">
        <v>31638</v>
      </c>
      <c r="C26428" s="20" t="s">
        <v>1905</v>
      </c>
      <c r="D26428" s="20" t="s">
        <v>3354</v>
      </c>
      <c r="E26428" s="10">
        <v>3461134</v>
      </c>
      <c r="F26428" s="4" t="str">
        <f>IF(B26428=B26427,"",B26428)</f>
        <v>Iperó</v>
      </c>
    </row>
    <row r="26429" spans="1:6" ht="15.75" customHeight="1">
      <c r="A26429" s="15" t="s">
        <v>2605</v>
      </c>
      <c r="B26429" s="15" t="s">
        <v>2606</v>
      </c>
      <c r="C26429" s="15" t="s">
        <v>1905</v>
      </c>
      <c r="D26429" s="15" t="s">
        <v>1914</v>
      </c>
      <c r="E26429" s="2">
        <v>3461134</v>
      </c>
      <c r="F26429" s="4" t="e">
        <f>IF(B26429=#REF!,"",B26429)</f>
        <v>#REF!</v>
      </c>
    </row>
    <row r="26430" spans="1:6" ht="15.75" customHeight="1">
      <c r="A26430" s="15" t="s">
        <v>22432</v>
      </c>
      <c r="B26430" s="15" t="s">
        <v>22432</v>
      </c>
      <c r="C26430" s="15" t="s">
        <v>22070</v>
      </c>
      <c r="D26430" s="15" t="s">
        <v>22117</v>
      </c>
      <c r="E26430" s="2">
        <v>556230</v>
      </c>
      <c r="F26430" s="4" t="e">
        <f>IF(B26430=#REF!,"",B26430)</f>
        <v>#REF!</v>
      </c>
    </row>
    <row r="26431" spans="1:6" ht="15.75" customHeight="1">
      <c r="A26431" s="15" t="s">
        <v>2604</v>
      </c>
      <c r="B26431" s="15" t="s">
        <v>2604</v>
      </c>
      <c r="C26431" s="15" t="s">
        <v>1905</v>
      </c>
      <c r="D26431" s="15" t="s">
        <v>1917</v>
      </c>
      <c r="E26431" s="2">
        <v>3461144</v>
      </c>
      <c r="F26431" s="4" t="str">
        <f>IF(B26431=B26430,"",B26431)</f>
        <v>Ipatinga</v>
      </c>
    </row>
    <row r="26432" spans="1:6" ht="15.75" customHeight="1">
      <c r="A26432" s="15" t="s">
        <v>5684</v>
      </c>
      <c r="B26432" s="15" t="s">
        <v>5685</v>
      </c>
      <c r="C26432" s="15" t="s">
        <v>5665</v>
      </c>
      <c r="D26432" s="15" t="s">
        <v>5668</v>
      </c>
      <c r="E26432" s="2">
        <v>3623394</v>
      </c>
      <c r="F26432" s="4" t="e">
        <f>IF(B26432=#REF!,"",B26432)</f>
        <v>#REF!</v>
      </c>
    </row>
    <row r="26433" spans="1:6" ht="15.75" customHeight="1">
      <c r="A26433" s="15" t="s">
        <v>2603</v>
      </c>
      <c r="B26433" s="15" t="s">
        <v>2603</v>
      </c>
      <c r="C26433" s="15" t="s">
        <v>1905</v>
      </c>
      <c r="D26433" s="15" t="s">
        <v>1969</v>
      </c>
      <c r="E26433" s="2">
        <v>3461151</v>
      </c>
      <c r="F26433" s="4" t="e">
        <f>IF(B26433=#REF!,"",B26433)</f>
        <v>#REF!</v>
      </c>
    </row>
    <row r="26434" spans="1:6" ht="15.75" customHeight="1">
      <c r="A26434" s="15" t="s">
        <v>2602</v>
      </c>
      <c r="B26434" s="15" t="s">
        <v>2602</v>
      </c>
      <c r="C26434" s="15" t="s">
        <v>1905</v>
      </c>
      <c r="D26434" s="15" t="s">
        <v>1917</v>
      </c>
      <c r="E26434" s="2">
        <v>3461153</v>
      </c>
      <c r="F26434" s="4" t="e">
        <f>IF(B26434=#REF!,"",B26434)</f>
        <v>#REF!</v>
      </c>
    </row>
    <row r="26435" spans="1:6" ht="15.75" customHeight="1">
      <c r="A26435" s="16" t="s">
        <v>28953</v>
      </c>
      <c r="B26435" s="15" t="s">
        <v>28954</v>
      </c>
      <c r="C26435" s="16" t="s">
        <v>27788</v>
      </c>
      <c r="D26435" s="16" t="s">
        <v>27859</v>
      </c>
      <c r="E26435" s="2">
        <v>4862034</v>
      </c>
      <c r="F26435" s="4" t="e">
        <f>IF(B26435=#REF!,"",B26435)</f>
        <v>#REF!</v>
      </c>
    </row>
    <row r="26436" spans="1:6" ht="15.75" customHeight="1">
      <c r="A26436" s="15" t="s">
        <v>28952</v>
      </c>
      <c r="B26436" s="15" t="s">
        <v>28952</v>
      </c>
      <c r="C26436" s="15" t="s">
        <v>27788</v>
      </c>
      <c r="D26436" s="15" t="s">
        <v>5468</v>
      </c>
      <c r="E26436" s="2">
        <v>4159805</v>
      </c>
      <c r="F26436" s="4" t="str">
        <f>IF(B26436=B26435,"",B26436)</f>
        <v>Iona</v>
      </c>
    </row>
    <row r="26437" spans="1:6" ht="15.75" customHeight="1">
      <c r="A26437" s="16" t="str">
        <f ca="1">IFERROR(__xludf.DUMMYFUNCTION("GOOGLETRANSLATE(B31006,""en"",""pt"")"),"Ioánnina")</f>
        <v>Ioánnina</v>
      </c>
      <c r="B26437" s="20" t="s">
        <v>32714</v>
      </c>
      <c r="C26437" s="20" t="s">
        <v>9441</v>
      </c>
      <c r="D26437" s="20" t="s">
        <v>9456</v>
      </c>
      <c r="E26437" s="10">
        <v>261779</v>
      </c>
      <c r="F26437" s="4" t="str">
        <f>IF(B26437=B26436,"",B26437)</f>
        <v>Ioánnina</v>
      </c>
    </row>
    <row r="26438" spans="1:6" ht="15.75" customHeight="1">
      <c r="A26438" s="15" t="s">
        <v>9522</v>
      </c>
      <c r="B26438" s="15" t="s">
        <v>9523</v>
      </c>
      <c r="C26438" s="15" t="s">
        <v>9441</v>
      </c>
      <c r="D26438" s="15" t="s">
        <v>9456</v>
      </c>
      <c r="E26438" s="2">
        <v>261779</v>
      </c>
      <c r="F26438" s="4" t="e">
        <f>IF(B26438=#REF!,"",B26438)</f>
        <v>#REF!</v>
      </c>
    </row>
    <row r="26439" spans="1:6" ht="15.75" customHeight="1">
      <c r="A26439" s="15" t="s">
        <v>22431</v>
      </c>
      <c r="B26439" s="15" t="s">
        <v>22431</v>
      </c>
      <c r="C26439" s="15" t="s">
        <v>22070</v>
      </c>
      <c r="D26439" s="15" t="s">
        <v>22195</v>
      </c>
      <c r="E26439" s="2">
        <v>556283</v>
      </c>
      <c r="F26439" s="4" t="e">
        <f>IF(B26439=#REF!,"",B26439)</f>
        <v>#REF!</v>
      </c>
    </row>
    <row r="26440" spans="1:6" ht="15.75" customHeight="1">
      <c r="A26440" s="16" t="s">
        <v>19181</v>
      </c>
      <c r="B26440" s="15" t="s">
        <v>19181</v>
      </c>
      <c r="C26440" s="16" t="s">
        <v>19169</v>
      </c>
      <c r="D26440" s="16" t="s">
        <v>19182</v>
      </c>
      <c r="E26440" s="2">
        <v>2189529</v>
      </c>
      <c r="F26440" s="4" t="e">
        <f>IF(B26440=#REF!,"",B26440)</f>
        <v>#REF!</v>
      </c>
    </row>
    <row r="26441" spans="1:6" ht="15.75" customHeight="1">
      <c r="A26441" s="16" t="s">
        <v>28950</v>
      </c>
      <c r="B26441" s="15" t="s">
        <v>28951</v>
      </c>
      <c r="C26441" s="16" t="s">
        <v>27788</v>
      </c>
      <c r="D26441" s="16" t="s">
        <v>27824</v>
      </c>
      <c r="E26441" s="2">
        <v>5031412</v>
      </c>
      <c r="F26441" s="4" t="e">
        <f>IF(B26441=#REF!,"",B26441)</f>
        <v>#REF!</v>
      </c>
    </row>
    <row r="26442" spans="1:6" ht="15.75" customHeight="1">
      <c r="A26442" s="15" t="s">
        <v>16007</v>
      </c>
      <c r="B26442" s="15" t="s">
        <v>16007</v>
      </c>
      <c r="C26442" s="15" t="s">
        <v>15704</v>
      </c>
      <c r="D26442" s="15" t="s">
        <v>15748</v>
      </c>
      <c r="E26442" s="2">
        <v>1861528</v>
      </c>
      <c r="F26442" s="4" t="e">
        <f>IF(B26442=#REF!,"",B26442)</f>
        <v>#REF!</v>
      </c>
    </row>
    <row r="26443" spans="1:6" ht="15.75" customHeight="1">
      <c r="A26443" s="15" t="s">
        <v>369</v>
      </c>
      <c r="B26443" s="15" t="s">
        <v>369</v>
      </c>
      <c r="C26443" s="15" t="s">
        <v>153</v>
      </c>
      <c r="D26443" s="15" t="s">
        <v>370</v>
      </c>
      <c r="E26443" s="2">
        <v>2493222</v>
      </c>
      <c r="F26443" s="4" t="e">
        <f>IF(B26443=#REF!,"",B26443)</f>
        <v>#REF!</v>
      </c>
    </row>
    <row r="26444" spans="1:6" ht="15.75" customHeight="1">
      <c r="A26444" s="16" t="s">
        <v>22430</v>
      </c>
      <c r="B26444" s="15" t="s">
        <v>22430</v>
      </c>
      <c r="C26444" s="16" t="s">
        <v>22070</v>
      </c>
      <c r="D26444" s="16" t="s">
        <v>22117</v>
      </c>
      <c r="E26444" s="2">
        <v>556320</v>
      </c>
      <c r="F26444" s="4" t="str">
        <f>IF(B26444=B26443,"",B26444)</f>
        <v>Inozemtsevo</v>
      </c>
    </row>
    <row r="26445" spans="1:6" ht="15.75" customHeight="1">
      <c r="A26445" s="16" t="str">
        <f ca="1">IFERROR(__xludf.DUMMYFUNCTION("GOOGLETRANSLATE(B39448,""en"",""pt"")"),"Inowrocław")</f>
        <v>Inowrocław</v>
      </c>
      <c r="B26445" s="20" t="s">
        <v>35222</v>
      </c>
      <c r="C26445" s="20" t="s">
        <v>21064</v>
      </c>
      <c r="D26445" s="20" t="s">
        <v>21125</v>
      </c>
      <c r="E26445" s="10">
        <v>3097872</v>
      </c>
      <c r="F26445" s="4" t="str">
        <f>IF(B26445=B26444,"",B26445)</f>
        <v>Inowrocław</v>
      </c>
    </row>
    <row r="26446" spans="1:6" ht="15.75" customHeight="1">
      <c r="A26446" s="16" t="s">
        <v>21252</v>
      </c>
      <c r="B26446" s="15" t="s">
        <v>21253</v>
      </c>
      <c r="C26446" s="16" t="s">
        <v>21064</v>
      </c>
      <c r="D26446" s="16" t="s">
        <v>21125</v>
      </c>
      <c r="E26446" s="2">
        <v>3097872</v>
      </c>
      <c r="F26446" s="4" t="e">
        <f>IF(B26446=#REF!,"",B26446)</f>
        <v>#REF!</v>
      </c>
    </row>
    <row r="26447" spans="1:6" ht="15.75" customHeight="1">
      <c r="A26447" s="15" t="s">
        <v>6155</v>
      </c>
      <c r="B26447" s="15" t="s">
        <v>6155</v>
      </c>
      <c r="C26447" s="15" t="s">
        <v>6127</v>
      </c>
      <c r="D26447" s="15" t="s">
        <v>6129</v>
      </c>
      <c r="E26447" s="2">
        <v>2315417</v>
      </c>
      <c r="F26447" s="4" t="e">
        <f>IF(B26447=#REF!,"",B26447)</f>
        <v>#REF!</v>
      </c>
    </row>
    <row r="26448" spans="1:6" ht="15.75" customHeight="1">
      <c r="A26448" s="15" t="s">
        <v>16005</v>
      </c>
      <c r="B26448" s="15" t="s">
        <v>16006</v>
      </c>
      <c r="C26448" s="15" t="s">
        <v>15704</v>
      </c>
      <c r="D26448" s="15" t="s">
        <v>15715</v>
      </c>
      <c r="E26448" s="2">
        <v>1861584</v>
      </c>
      <c r="F26448" s="4" t="e">
        <f>IF(B26448=#REF!,"",B26448)</f>
        <v>#REF!</v>
      </c>
    </row>
    <row r="26449" spans="1:6" ht="15.75" customHeight="1">
      <c r="A26449" s="15" t="s">
        <v>1132</v>
      </c>
      <c r="B26449" s="15" t="s">
        <v>1132</v>
      </c>
      <c r="C26449" s="15" t="s">
        <v>1117</v>
      </c>
      <c r="D26449" s="15" t="s">
        <v>1133</v>
      </c>
      <c r="E26449" s="2">
        <v>2775220</v>
      </c>
      <c r="F26449" s="4" t="e">
        <f>IF(B26449=#REF!,"",B26449)</f>
        <v>#REF!</v>
      </c>
    </row>
    <row r="26450" spans="1:6" ht="15.75" customHeight="1">
      <c r="A26450" s="16" t="s">
        <v>16004</v>
      </c>
      <c r="B26450" s="15" t="s">
        <v>16004</v>
      </c>
      <c r="C26450" s="16" t="s">
        <v>15704</v>
      </c>
      <c r="D26450" s="16" t="s">
        <v>15789</v>
      </c>
      <c r="E26450" s="2">
        <v>1861586</v>
      </c>
      <c r="F26450" s="4" t="e">
        <f>IF(B26450=#REF!,"",B26450)</f>
        <v>#REF!</v>
      </c>
    </row>
    <row r="26451" spans="1:6" ht="15.75" customHeight="1">
      <c r="A26451" s="15" t="s">
        <v>25451</v>
      </c>
      <c r="B26451" s="15" t="s">
        <v>25451</v>
      </c>
      <c r="C26451" s="15" t="s">
        <v>25366</v>
      </c>
      <c r="D26451" s="15" t="s">
        <v>25375</v>
      </c>
      <c r="E26451" s="2">
        <v>169375</v>
      </c>
      <c r="F26451" s="4" t="e">
        <f>IF(B26451=#REF!,"",B26451)</f>
        <v>#REF!</v>
      </c>
    </row>
    <row r="26452" spans="1:6" ht="15.75" customHeight="1">
      <c r="A26452" s="16" t="s">
        <v>11542</v>
      </c>
      <c r="B26452" s="15" t="s">
        <v>11542</v>
      </c>
      <c r="C26452" s="16" t="s">
        <v>10178</v>
      </c>
      <c r="D26452" s="16" t="s">
        <v>10196</v>
      </c>
      <c r="E26452" s="2">
        <v>9212569</v>
      </c>
      <c r="F26452" s="4" t="e">
        <f>IF(B26452=#REF!,"",B26452)</f>
        <v>#REF!</v>
      </c>
    </row>
    <row r="26453" spans="1:6" ht="15.75" customHeight="1">
      <c r="A26453" s="15" t="s">
        <v>19458</v>
      </c>
      <c r="B26453" s="15" t="s">
        <v>19458</v>
      </c>
      <c r="C26453" s="15" t="s">
        <v>19294</v>
      </c>
      <c r="D26453" s="15" t="s">
        <v>19322</v>
      </c>
      <c r="E26453" s="2">
        <v>2337490</v>
      </c>
      <c r="F26453" s="4" t="e">
        <f>IF(B26453=#REF!,"",B26453)</f>
        <v>#REF!</v>
      </c>
    </row>
    <row r="26454" spans="1:6" ht="15.75" customHeight="1">
      <c r="A26454" s="15" t="s">
        <v>2600</v>
      </c>
      <c r="B26454" s="15" t="s">
        <v>2601</v>
      </c>
      <c r="C26454" s="15" t="s">
        <v>1905</v>
      </c>
      <c r="D26454" s="15" t="s">
        <v>1969</v>
      </c>
      <c r="E26454" s="2">
        <v>3461194</v>
      </c>
      <c r="F26454" s="4" t="e">
        <f>IF(B26454=#REF!,"",B26454)</f>
        <v>#REF!</v>
      </c>
    </row>
    <row r="26455" spans="1:6" ht="15.75" customHeight="1">
      <c r="A26455" s="16" t="s">
        <v>18672</v>
      </c>
      <c r="B26455" s="15" t="s">
        <v>18673</v>
      </c>
      <c r="C26455" s="16" t="s">
        <v>18655</v>
      </c>
      <c r="D26455" s="16" t="s">
        <v>18673</v>
      </c>
      <c r="E26455" s="2">
        <v>1045114</v>
      </c>
      <c r="F26455" s="4" t="str">
        <f>IF(B26455=B26454,"",B26455)</f>
        <v>Inhambane</v>
      </c>
    </row>
    <row r="26456" spans="1:6" ht="15.75" customHeight="1">
      <c r="A26456" s="16" t="str">
        <f ca="1">IFERROR(__xludf.DUMMYFUNCTION("GOOGLETRANSLATE(B33323,""en"",""pt"")"),"Ingrāj bāzār")</f>
        <v>Ingrāj bāzār</v>
      </c>
      <c r="B26456" s="20" t="s">
        <v>33652</v>
      </c>
      <c r="C26456" s="20" t="s">
        <v>10178</v>
      </c>
      <c r="D26456" s="20" t="s">
        <v>10201</v>
      </c>
      <c r="E26456" s="10">
        <v>1269723</v>
      </c>
      <c r="F26456" s="4" t="str">
        <f>IF(B26456=B26455,"",B26456)</f>
        <v>Ingrāj Bāzār</v>
      </c>
    </row>
    <row r="26457" spans="1:6" ht="15.75" customHeight="1">
      <c r="A26457" s="16" t="s">
        <v>11540</v>
      </c>
      <c r="B26457" s="15" t="s">
        <v>11541</v>
      </c>
      <c r="C26457" s="16" t="s">
        <v>10178</v>
      </c>
      <c r="D26457" s="16" t="s">
        <v>10201</v>
      </c>
      <c r="E26457" s="2">
        <v>1269723</v>
      </c>
      <c r="F26457" s="4" t="e">
        <f>IF(B26457=#REF!,"",B26457)</f>
        <v>#REF!</v>
      </c>
    </row>
    <row r="26458" spans="1:6" ht="15.75" customHeight="1">
      <c r="A26458" s="16" t="s">
        <v>8621</v>
      </c>
      <c r="B26458" s="15" t="s">
        <v>8621</v>
      </c>
      <c r="C26458" s="16" t="s">
        <v>8028</v>
      </c>
      <c r="D26458" s="16" t="s">
        <v>8044</v>
      </c>
      <c r="E26458" s="2">
        <v>2895992</v>
      </c>
      <c r="F26458" s="4" t="e">
        <f>IF(B26458=#REF!,"",B26458)</f>
        <v>#REF!</v>
      </c>
    </row>
    <row r="26459" spans="1:6" ht="15.75" customHeight="1">
      <c r="A26459" s="16" t="s">
        <v>28949</v>
      </c>
      <c r="B26459" s="15" t="s">
        <v>28949</v>
      </c>
      <c r="C26459" s="16" t="s">
        <v>27788</v>
      </c>
      <c r="D26459" s="16" t="s">
        <v>27733</v>
      </c>
      <c r="E26459" s="2">
        <v>7261476</v>
      </c>
      <c r="F26459" s="4" t="e">
        <f>IF(B26459=#REF!,"",B26459)</f>
        <v>#REF!</v>
      </c>
    </row>
    <row r="26460" spans="1:6" ht="15.75" customHeight="1">
      <c r="A26460" s="16" t="s">
        <v>28948</v>
      </c>
      <c r="B26460" s="15" t="s">
        <v>28948</v>
      </c>
      <c r="C26460" s="16" t="s">
        <v>27788</v>
      </c>
      <c r="D26460" s="16" t="s">
        <v>27801</v>
      </c>
      <c r="E26460" s="2">
        <v>5359488</v>
      </c>
      <c r="F26460" s="4" t="e">
        <f>IF(B26460=#REF!,"",B26460)</f>
        <v>#REF!</v>
      </c>
    </row>
    <row r="26461" spans="1:6" ht="15.75" customHeight="1">
      <c r="A26461" s="15" t="s">
        <v>24518</v>
      </c>
      <c r="B26461" s="15" t="s">
        <v>24518</v>
      </c>
      <c r="C26461" s="15" t="s">
        <v>24200</v>
      </c>
      <c r="D26461" s="15" t="s">
        <v>24212</v>
      </c>
      <c r="E26461" s="2">
        <v>2516443</v>
      </c>
      <c r="F26461" s="4" t="str">
        <f>IF(B26461=B26460,"",B26461)</f>
        <v>Ingenio</v>
      </c>
    </row>
    <row r="26462" spans="1:6" ht="15.75" customHeight="1">
      <c r="A26462" s="16" t="str">
        <f ca="1">IFERROR(__xludf.DUMMYFUNCTION("GOOGLETRANSLATE(B42161,""en"",""pt"")"),"İnegol")</f>
        <v>İnegol</v>
      </c>
      <c r="B26462" s="20" t="s">
        <v>35941</v>
      </c>
      <c r="C26462" s="20" t="s">
        <v>26201</v>
      </c>
      <c r="D26462" s="20" t="s">
        <v>26205</v>
      </c>
      <c r="E26462" s="10">
        <v>745169</v>
      </c>
      <c r="F26462" s="4" t="e">
        <f>IF(B26462=#REF!,"",B26462)</f>
        <v>#REF!</v>
      </c>
    </row>
    <row r="26463" spans="1:6" ht="15.75" customHeight="1">
      <c r="A26463" s="15" t="s">
        <v>11539</v>
      </c>
      <c r="B26463" s="15" t="s">
        <v>11539</v>
      </c>
      <c r="C26463" s="15" t="s">
        <v>10178</v>
      </c>
      <c r="D26463" s="15" t="s">
        <v>10224</v>
      </c>
      <c r="E26463" s="2">
        <v>1269731</v>
      </c>
      <c r="F26463" s="4" t="e">
        <f>IF(B26463=#REF!,"",B26463)</f>
        <v>#REF!</v>
      </c>
    </row>
    <row r="26464" spans="1:6" ht="15.75" customHeight="1">
      <c r="A26464" s="16" t="s">
        <v>13934</v>
      </c>
      <c r="B26464" s="15" t="s">
        <v>13934</v>
      </c>
      <c r="C26464" s="16" t="s">
        <v>13800</v>
      </c>
      <c r="D26464" s="16" t="s">
        <v>13811</v>
      </c>
      <c r="E26464" s="2">
        <v>1643078</v>
      </c>
      <c r="F26464" s="4" t="e">
        <f>IF(B26464=#REF!,"",B26464)</f>
        <v>#REF!</v>
      </c>
    </row>
    <row r="26465" spans="1:6" ht="15.75" customHeight="1">
      <c r="A26465" s="15" t="s">
        <v>11538</v>
      </c>
      <c r="B26465" s="15" t="s">
        <v>11538</v>
      </c>
      <c r="C26465" s="15" t="s">
        <v>10178</v>
      </c>
      <c r="D26465" s="15" t="s">
        <v>10219</v>
      </c>
      <c r="E26465" s="2">
        <v>1269743</v>
      </c>
      <c r="F26465" s="4" t="e">
        <f>IF(B26465=#REF!,"",B26465)</f>
        <v>#REF!</v>
      </c>
    </row>
    <row r="26466" spans="1:6" ht="15.75" customHeight="1">
      <c r="A26466" s="15" t="s">
        <v>28947</v>
      </c>
      <c r="B26466" s="15" t="s">
        <v>28947</v>
      </c>
      <c r="C26466" s="15" t="s">
        <v>27788</v>
      </c>
      <c r="D26466" s="15" t="s">
        <v>27801</v>
      </c>
      <c r="E26466" s="2">
        <v>5359446</v>
      </c>
      <c r="F26466" s="4" t="str">
        <f>IF(B26466=B26465,"",B26466)</f>
        <v>Indio</v>
      </c>
    </row>
    <row r="26467" spans="1:6" ht="15.75" customHeight="1">
      <c r="A26467" s="16" t="str">
        <f ca="1">IFERROR(__xludf.DUMMYFUNCTION("GOOGLETRANSLATE(B39884,""en"",""pt"")"),"Inđija")</f>
        <v>Inđija</v>
      </c>
      <c r="B26467" s="20" t="s">
        <v>35419</v>
      </c>
      <c r="C26467" s="20" t="s">
        <v>23602</v>
      </c>
      <c r="D26467" s="20" t="s">
        <v>23610</v>
      </c>
      <c r="E26467" s="10">
        <v>790015</v>
      </c>
      <c r="F26467" s="4" t="e">
        <f>IF(B26467=#REF!,"",B26467)</f>
        <v>#REF!</v>
      </c>
    </row>
    <row r="26468" spans="1:6" ht="15.75" customHeight="1">
      <c r="A26468" s="16" t="s">
        <v>28946</v>
      </c>
      <c r="B26468" s="15" t="s">
        <v>28946</v>
      </c>
      <c r="C26468" s="16" t="s">
        <v>27788</v>
      </c>
      <c r="D26468" s="16" t="s">
        <v>27869</v>
      </c>
      <c r="E26468" s="2">
        <v>4259418</v>
      </c>
      <c r="F26468" s="4" t="e">
        <f>IF(B26468=#REF!,"",B26468)</f>
        <v>#REF!</v>
      </c>
    </row>
    <row r="26469" spans="1:6" ht="15.75" customHeight="1">
      <c r="A26469" s="16" t="s">
        <v>28944</v>
      </c>
      <c r="B26469" s="15" t="s">
        <v>28945</v>
      </c>
      <c r="C26469" s="16" t="s">
        <v>27788</v>
      </c>
      <c r="D26469" s="16" t="s">
        <v>27822</v>
      </c>
      <c r="E26469" s="2">
        <v>4472687</v>
      </c>
      <c r="F26469" s="4" t="e">
        <f>IF(B26469=#REF!,"",B26469)</f>
        <v>#REF!</v>
      </c>
    </row>
    <row r="26470" spans="1:6" ht="15.75" customHeight="1">
      <c r="A26470" s="15" t="s">
        <v>11537</v>
      </c>
      <c r="B26470" s="15" t="s">
        <v>11537</v>
      </c>
      <c r="C26470" s="15" t="s">
        <v>10178</v>
      </c>
      <c r="D26470" s="15" t="s">
        <v>10252</v>
      </c>
      <c r="E26470" s="2">
        <v>1269751</v>
      </c>
      <c r="F26470" s="4" t="e">
        <f>IF(B26470=#REF!,"",B26470)</f>
        <v>#REF!</v>
      </c>
    </row>
    <row r="26471" spans="1:6" ht="15.75" customHeight="1">
      <c r="A26471" s="15" t="s">
        <v>11536</v>
      </c>
      <c r="B26471" s="15" t="s">
        <v>11536</v>
      </c>
      <c r="C26471" s="15" t="s">
        <v>10178</v>
      </c>
      <c r="D26471" s="15" t="s">
        <v>10193</v>
      </c>
      <c r="E26471" s="2">
        <v>1269752</v>
      </c>
      <c r="F26471" s="4" t="e">
        <f>IF(B26471=#REF!,"",B26471)</f>
        <v>#REF!</v>
      </c>
    </row>
    <row r="26472" spans="1:6" ht="15.75" customHeight="1">
      <c r="A26472" s="16" t="s">
        <v>28942</v>
      </c>
      <c r="B26472" s="15" t="s">
        <v>28943</v>
      </c>
      <c r="C26472" s="16" t="s">
        <v>27788</v>
      </c>
      <c r="D26472" s="16" t="s">
        <v>27909</v>
      </c>
      <c r="E26472" s="2">
        <v>4295776</v>
      </c>
      <c r="F26472" s="4" t="str">
        <f>IF(B26472=B26471,"",B26472)</f>
        <v>Independence</v>
      </c>
    </row>
    <row r="26473" spans="1:6" ht="15.75" customHeight="1">
      <c r="A26473" s="16" t="str">
        <f ca="1">IFERROR(__xludf.DUMMYFUNCTION("GOOGLETRANSLATE(B33328,""en"",""pt"")"),"Indāpur")</f>
        <v>Indāpur</v>
      </c>
      <c r="B26473" s="20" t="s">
        <v>33653</v>
      </c>
      <c r="C26473" s="20" t="s">
        <v>10178</v>
      </c>
      <c r="D26473" s="20" t="s">
        <v>10214</v>
      </c>
      <c r="E26473" s="10">
        <v>1269761</v>
      </c>
      <c r="F26473" s="4" t="e">
        <f>IF(B26473=#REF!,"",B26473)</f>
        <v>#REF!</v>
      </c>
    </row>
    <row r="26474" spans="1:6" ht="15.75" customHeight="1">
      <c r="A26474" s="15" t="s">
        <v>20792</v>
      </c>
      <c r="B26474" s="15" t="s">
        <v>20792</v>
      </c>
      <c r="C26474" s="15" t="s">
        <v>20598</v>
      </c>
      <c r="D26474" s="15" t="s">
        <v>20608</v>
      </c>
      <c r="E26474" s="2">
        <v>1710770</v>
      </c>
      <c r="F26474" s="4" t="e">
        <f>IF(B26474=#REF!,"",B26474)</f>
        <v>#REF!</v>
      </c>
    </row>
    <row r="26475" spans="1:6" ht="15.75" customHeight="1">
      <c r="A26475" s="16" t="s">
        <v>2599</v>
      </c>
      <c r="B26475" s="15" t="s">
        <v>2599</v>
      </c>
      <c r="C26475" s="16" t="s">
        <v>1905</v>
      </c>
      <c r="D26475" s="16" t="s">
        <v>1914</v>
      </c>
      <c r="E26475" s="2">
        <v>3461311</v>
      </c>
      <c r="F26475" s="4" t="e">
        <f>IF(B26475=#REF!,"",B26475)</f>
        <v>#REF!</v>
      </c>
    </row>
    <row r="26476" spans="1:6" ht="15.75" customHeight="1">
      <c r="A26476" s="15" t="s">
        <v>2597</v>
      </c>
      <c r="B26476" s="15" t="s">
        <v>2598</v>
      </c>
      <c r="C26476" s="15" t="s">
        <v>1905</v>
      </c>
      <c r="D26476" s="15" t="s">
        <v>2020</v>
      </c>
      <c r="E26476" s="2">
        <v>3461316</v>
      </c>
      <c r="F26476" s="4" t="str">
        <f>IF(B26476=B26475,"",B26476)</f>
        <v>Indaial</v>
      </c>
    </row>
    <row r="26477" spans="1:6" ht="15.75" customHeight="1">
      <c r="A26477" s="15" t="s">
        <v>11534</v>
      </c>
      <c r="B26477" s="15" t="s">
        <v>11535</v>
      </c>
      <c r="C26477" s="15" t="s">
        <v>10178</v>
      </c>
      <c r="D26477" s="15" t="s">
        <v>10214</v>
      </c>
      <c r="E26477" s="2">
        <v>1269761</v>
      </c>
      <c r="F26477" s="4" t="str">
        <f>IF(B26477=B26476,"",B26477)</f>
        <v>IndÄpur</v>
      </c>
    </row>
    <row r="26478" spans="1:6" ht="15.75" customHeight="1">
      <c r="A26478" s="16" t="str">
        <f ca="1">IFERROR(__xludf.DUMMYFUNCTION("GOOGLETRANSLATE(B29546,""en"",""pt"")"),"Inda Silasē")</f>
        <v>Inda Silasē</v>
      </c>
      <c r="B26478" s="20" t="s">
        <v>32497</v>
      </c>
      <c r="C26478" s="20" t="s">
        <v>6807</v>
      </c>
      <c r="D26478" s="20" t="s">
        <v>6808</v>
      </c>
      <c r="E26478" s="10">
        <v>334227</v>
      </c>
      <c r="F26478" s="4" t="str">
        <f>IF(B26478=B26477,"",B26478)</f>
        <v>Inda Silasē</v>
      </c>
    </row>
    <row r="26479" spans="1:6" ht="15.75" customHeight="1">
      <c r="A26479" s="16" t="s">
        <v>6889</v>
      </c>
      <c r="B26479" s="15" t="s">
        <v>6890</v>
      </c>
      <c r="C26479" s="16" t="s">
        <v>6807</v>
      </c>
      <c r="D26479" s="16" t="s">
        <v>6808</v>
      </c>
      <c r="E26479" s="2">
        <v>334227</v>
      </c>
      <c r="F26479" s="4" t="e">
        <f>IF(B26479=#REF!,"",B26479)</f>
        <v>#REF!</v>
      </c>
    </row>
    <row r="26480" spans="1:6" ht="15.75" customHeight="1">
      <c r="A26480" s="15" t="s">
        <v>24064</v>
      </c>
      <c r="B26480" s="15" t="s">
        <v>24064</v>
      </c>
      <c r="C26480" s="15" t="s">
        <v>24024</v>
      </c>
      <c r="D26480" s="15" t="s">
        <v>24064</v>
      </c>
      <c r="E26480" s="2">
        <v>1843564</v>
      </c>
      <c r="F26480" s="4" t="e">
        <f>IF(B26480=#REF!,"",B26480)</f>
        <v>#REF!</v>
      </c>
    </row>
    <row r="26481" spans="1:6" ht="15.75" customHeight="1">
      <c r="A26481" s="15" t="s">
        <v>24517</v>
      </c>
      <c r="B26481" s="15" t="s">
        <v>24517</v>
      </c>
      <c r="C26481" s="15" t="s">
        <v>24200</v>
      </c>
      <c r="D26481" s="15" t="s">
        <v>24236</v>
      </c>
      <c r="E26481" s="2">
        <v>2516452</v>
      </c>
      <c r="F26481" s="4" t="e">
        <f>IF(B26481=#REF!,"",B26481)</f>
        <v>#REF!</v>
      </c>
    </row>
    <row r="26482" spans="1:6" ht="15.75" customHeight="1">
      <c r="A26482" s="15" t="s">
        <v>16003</v>
      </c>
      <c r="B26482" s="15" t="s">
        <v>16003</v>
      </c>
      <c r="C26482" s="15" t="s">
        <v>15704</v>
      </c>
      <c r="D26482" s="15" t="s">
        <v>15729</v>
      </c>
      <c r="E26482" s="2">
        <v>1861602</v>
      </c>
      <c r="F26482" s="4" t="e">
        <f>IF(B26482=#REF!,"",B26482)</f>
        <v>#REF!</v>
      </c>
    </row>
    <row r="26483" spans="1:6" ht="15.75" customHeight="1">
      <c r="A26483" s="16" t="s">
        <v>16002</v>
      </c>
      <c r="B26483" s="15" t="s">
        <v>16002</v>
      </c>
      <c r="C26483" s="16" t="s">
        <v>15704</v>
      </c>
      <c r="D26483" s="16" t="s">
        <v>15884</v>
      </c>
      <c r="E26483" s="2">
        <v>2112615</v>
      </c>
      <c r="F26483" s="4" t="e">
        <f>IF(B26483=#REF!,"",B26483)</f>
        <v>#REF!</v>
      </c>
    </row>
    <row r="26484" spans="1:6" ht="15.75" customHeight="1">
      <c r="A26484" s="15" t="s">
        <v>16001</v>
      </c>
      <c r="B26484" s="15" t="s">
        <v>16001</v>
      </c>
      <c r="C26484" s="15" t="s">
        <v>15704</v>
      </c>
      <c r="D26484" s="15" t="s">
        <v>15724</v>
      </c>
      <c r="E26484" s="2">
        <v>6822108</v>
      </c>
      <c r="F26484" s="4" t="str">
        <f>IF(B26484=B26483,"",B26484)</f>
        <v>Inashiki</v>
      </c>
    </row>
    <row r="26485" spans="1:6" ht="15.75" customHeight="1">
      <c r="A26485" s="15" t="s">
        <v>23622</v>
      </c>
      <c r="B26485" s="15" t="s">
        <v>23623</v>
      </c>
      <c r="C26485" s="15" t="s">
        <v>23602</v>
      </c>
      <c r="D26485" s="15" t="s">
        <v>23610</v>
      </c>
      <c r="E26485" s="2">
        <v>790015</v>
      </c>
      <c r="F26485" s="4" t="e">
        <f>IF(B26485=#REF!,"",B26485)</f>
        <v>#REF!</v>
      </c>
    </row>
    <row r="26486" spans="1:6" ht="15.75" customHeight="1">
      <c r="A26486" s="15" t="s">
        <v>15999</v>
      </c>
      <c r="B26486" s="15" t="s">
        <v>16000</v>
      </c>
      <c r="C26486" s="15" t="s">
        <v>15704</v>
      </c>
      <c r="D26486" s="15" t="s">
        <v>15769</v>
      </c>
      <c r="E26486" s="2">
        <v>1861641</v>
      </c>
      <c r="F26486" s="4" t="str">
        <f>IF(B26486=B26485,"",B26486)</f>
        <v>Ina</v>
      </c>
    </row>
    <row r="26487" spans="1:6" ht="15.75" customHeight="1">
      <c r="A26487" s="16" t="str">
        <f ca="1">IFERROR(__xludf.DUMMYFUNCTION("GOOGLETRANSLATE(B36498,""en"",""pt"")"),"Imzoûrene")</f>
        <v>Imzoûrene</v>
      </c>
      <c r="B26487" s="20" t="s">
        <v>34593</v>
      </c>
      <c r="C26487" s="20" t="s">
        <v>18551</v>
      </c>
      <c r="D26487" s="20" t="s">
        <v>18557</v>
      </c>
      <c r="E26487" s="10">
        <v>2545985</v>
      </c>
      <c r="F26487" s="4" t="str">
        <f>IF(B26487=B26486,"",B26487)</f>
        <v>Imzoûrene</v>
      </c>
    </row>
    <row r="26488" spans="1:6" ht="15.75" customHeight="1">
      <c r="A26488" s="16" t="s">
        <v>18591</v>
      </c>
      <c r="B26488" s="15" t="s">
        <v>18592</v>
      </c>
      <c r="C26488" s="16" t="s">
        <v>18551</v>
      </c>
      <c r="D26488" s="16" t="s">
        <v>18557</v>
      </c>
      <c r="E26488" s="2">
        <v>2545985</v>
      </c>
      <c r="F26488" s="4" t="e">
        <f>IF(B26488=#REF!,"",B26488)</f>
        <v>#REF!</v>
      </c>
    </row>
    <row r="26489" spans="1:6" ht="15.75" customHeight="1">
      <c r="A26489" s="15" t="s">
        <v>20791</v>
      </c>
      <c r="B26489" s="15" t="s">
        <v>20791</v>
      </c>
      <c r="C26489" s="15" t="s">
        <v>20598</v>
      </c>
      <c r="D26489" s="15" t="s">
        <v>20608</v>
      </c>
      <c r="E26489" s="2">
        <v>1710914</v>
      </c>
      <c r="F26489" s="4" t="e">
        <f>IF(B26489=#REF!,"",B26489)</f>
        <v>#REF!</v>
      </c>
    </row>
    <row r="26490" spans="1:6" ht="15.75" customHeight="1">
      <c r="A26490" s="15" t="s">
        <v>24093</v>
      </c>
      <c r="B26490" s="15" t="s">
        <v>24093</v>
      </c>
      <c r="C26490" s="15" t="s">
        <v>24024</v>
      </c>
      <c r="D26490" s="15" t="s">
        <v>24042</v>
      </c>
      <c r="E26490" s="2">
        <v>1843585</v>
      </c>
      <c r="F26490" s="4" t="e">
        <f>IF(B26490=#REF!,"",B26490)</f>
        <v>#REF!</v>
      </c>
    </row>
    <row r="26491" spans="1:6" ht="15.75" customHeight="1">
      <c r="A26491" s="15" t="s">
        <v>11533</v>
      </c>
      <c r="B26491" s="15" t="s">
        <v>11533</v>
      </c>
      <c r="C26491" s="15" t="s">
        <v>10178</v>
      </c>
      <c r="D26491" s="15" t="s">
        <v>11001</v>
      </c>
      <c r="E26491" s="2">
        <v>1269771</v>
      </c>
      <c r="F26491" s="4" t="e">
        <f>IF(B26491=#REF!,"",B26491)</f>
        <v>#REF!</v>
      </c>
    </row>
    <row r="26492" spans="1:6" ht="15.75" customHeight="1">
      <c r="A26492" s="15" t="s">
        <v>21793</v>
      </c>
      <c r="B26492" s="15" t="s">
        <v>21793</v>
      </c>
      <c r="C26492" s="15" t="s">
        <v>21788</v>
      </c>
      <c r="D26492" s="15" t="s">
        <v>21794</v>
      </c>
      <c r="E26492" s="2">
        <v>2259655</v>
      </c>
      <c r="F26492" s="4" t="e">
        <f>IF(B26492=#REF!,"",B26492)</f>
        <v>#REF!</v>
      </c>
    </row>
    <row r="26493" spans="1:6" ht="15.75" customHeight="1">
      <c r="A26493" s="16" t="s">
        <v>28940</v>
      </c>
      <c r="B26493" s="15" t="s">
        <v>28941</v>
      </c>
      <c r="C26493" s="16" t="s">
        <v>27788</v>
      </c>
      <c r="D26493" s="16" t="s">
        <v>27801</v>
      </c>
      <c r="E26493" s="2">
        <v>5359054</v>
      </c>
      <c r="F26493" s="4" t="e">
        <f>IF(B26493=#REF!,"",B26493)</f>
        <v>#REF!</v>
      </c>
    </row>
    <row r="26494" spans="1:6" ht="15.75" customHeight="1">
      <c r="A26494" s="15" t="s">
        <v>20526</v>
      </c>
      <c r="B26494" s="15" t="s">
        <v>20526</v>
      </c>
      <c r="C26494" s="15" t="s">
        <v>20470</v>
      </c>
      <c r="D26494" s="15" t="s">
        <v>20479</v>
      </c>
      <c r="E26494" s="2">
        <v>3938396</v>
      </c>
      <c r="F26494" s="4" t="e">
        <f>IF(B26494=#REF!,"",B26494)</f>
        <v>#REF!</v>
      </c>
    </row>
    <row r="26495" spans="1:6" ht="15.75" customHeight="1">
      <c r="A26495" s="15" t="s">
        <v>15198</v>
      </c>
      <c r="B26495" s="15" t="s">
        <v>15198</v>
      </c>
      <c r="C26495" s="15" t="s">
        <v>14891</v>
      </c>
      <c r="D26495" s="15" t="s">
        <v>14920</v>
      </c>
      <c r="E26495" s="2">
        <v>3175532</v>
      </c>
      <c r="F26495" s="4" t="e">
        <f>IF(B26495=#REF!,"",B26495)</f>
        <v>#REF!</v>
      </c>
    </row>
    <row r="26496" spans="1:6" ht="15.75" customHeight="1">
      <c r="A26496" s="16" t="s">
        <v>2596</v>
      </c>
      <c r="B26496" s="15" t="s">
        <v>2596</v>
      </c>
      <c r="C26496" s="16" t="s">
        <v>1905</v>
      </c>
      <c r="D26496" s="16" t="s">
        <v>2024</v>
      </c>
      <c r="E26496" s="2">
        <v>3398269</v>
      </c>
      <c r="F26496" s="4" t="e">
        <f>IF(B26496=#REF!,"",B26496)</f>
        <v>#REF!</v>
      </c>
    </row>
    <row r="26497" spans="1:6" ht="15.75" customHeight="1">
      <c r="A26497" s="15" t="s">
        <v>15197</v>
      </c>
      <c r="B26497" s="15" t="s">
        <v>15197</v>
      </c>
      <c r="C26497" s="15" t="s">
        <v>14891</v>
      </c>
      <c r="D26497" s="15" t="s">
        <v>14973</v>
      </c>
      <c r="E26497" s="2">
        <v>3175537</v>
      </c>
      <c r="F26497" s="4" t="e">
        <f>IF(B26497=#REF!,"",B26497)</f>
        <v>#REF!</v>
      </c>
    </row>
    <row r="26498" spans="1:6" ht="15.75" customHeight="1">
      <c r="A26498" s="16" t="s">
        <v>28939</v>
      </c>
      <c r="B26498" s="15" t="s">
        <v>28939</v>
      </c>
      <c r="C26498" s="16" t="s">
        <v>27788</v>
      </c>
      <c r="D26498" s="16" t="s">
        <v>5468</v>
      </c>
      <c r="E26498" s="2">
        <v>4159553</v>
      </c>
      <c r="F26498" s="4" t="e">
        <f>IF(B26498=#REF!,"",B26498)</f>
        <v>#REF!</v>
      </c>
    </row>
    <row r="26499" spans="1:6" ht="15.75" customHeight="1">
      <c r="A26499" s="15" t="s">
        <v>1212</v>
      </c>
      <c r="B26499" s="15" t="s">
        <v>1213</v>
      </c>
      <c r="C26499" s="15" t="s">
        <v>1170</v>
      </c>
      <c r="D26499" s="15" t="s">
        <v>1214</v>
      </c>
      <c r="E26499" s="2">
        <v>147982</v>
      </c>
      <c r="F26499" s="4" t="e">
        <f>IF(B26499=#REF!,"",B26499)</f>
        <v>#REF!</v>
      </c>
    </row>
    <row r="26500" spans="1:6" ht="15.75" customHeight="1">
      <c r="A26500" s="15" t="s">
        <v>2595</v>
      </c>
      <c r="B26500" s="15" t="s">
        <v>2595</v>
      </c>
      <c r="C26500" s="15" t="s">
        <v>1905</v>
      </c>
      <c r="D26500" s="15" t="s">
        <v>728</v>
      </c>
      <c r="E26500" s="2">
        <v>3461368</v>
      </c>
      <c r="F26500" s="4" t="e">
        <f>IF(B26500=#REF!,"",B26500)</f>
        <v>#REF!</v>
      </c>
    </row>
    <row r="26501" spans="1:6" ht="15.75" customHeight="1">
      <c r="A26501" s="15" t="s">
        <v>2594</v>
      </c>
      <c r="B26501" s="15" t="s">
        <v>2594</v>
      </c>
      <c r="C26501" s="15" t="s">
        <v>1905</v>
      </c>
      <c r="D26501" s="15" t="s">
        <v>2020</v>
      </c>
      <c r="E26501" s="2">
        <v>3461370</v>
      </c>
      <c r="F26501" s="4" t="e">
        <f>IF(B26501=#REF!,"",B26501)</f>
        <v>#REF!</v>
      </c>
    </row>
    <row r="26502" spans="1:6" ht="15.75" customHeight="1">
      <c r="A26502" s="15" t="s">
        <v>6968</v>
      </c>
      <c r="B26502" s="15" t="s">
        <v>6968</v>
      </c>
      <c r="C26502" s="15" t="s">
        <v>6948</v>
      </c>
      <c r="D26502" s="15" t="s">
        <v>6969</v>
      </c>
      <c r="E26502" s="2">
        <v>656688</v>
      </c>
      <c r="F26502" s="4" t="str">
        <f>IF(B26502=B26501,"",B26502)</f>
        <v>Imatra</v>
      </c>
    </row>
    <row r="26503" spans="1:6" ht="15.75" customHeight="1">
      <c r="A26503" s="16" t="str">
        <f ca="1">IFERROR(__xludf.DUMMYFUNCTION("GOOGLETRANSLATE(B35576,""en"",""pt"")"),"Imarichō-kō")</f>
        <v>Imarichō-kō</v>
      </c>
      <c r="B26503" s="20" t="s">
        <v>34368</v>
      </c>
      <c r="C26503" s="20" t="s">
        <v>15704</v>
      </c>
      <c r="D26503" s="20" t="s">
        <v>15761</v>
      </c>
      <c r="E26503" s="10">
        <v>1861677</v>
      </c>
      <c r="F26503" s="4" t="str">
        <f>IF(B26503=B26502,"",B26503)</f>
        <v>Imarichō-kō</v>
      </c>
    </row>
    <row r="26504" spans="1:6" ht="15.75" customHeight="1">
      <c r="A26504" s="16" t="s">
        <v>15997</v>
      </c>
      <c r="B26504" s="15" t="s">
        <v>15998</v>
      </c>
      <c r="C26504" s="16" t="s">
        <v>15704</v>
      </c>
      <c r="D26504" s="16" t="s">
        <v>15761</v>
      </c>
      <c r="E26504" s="2">
        <v>1861677</v>
      </c>
      <c r="F26504" s="4" t="e">
        <f>IF(B26504=#REF!,"",B26504)</f>
        <v>#REF!</v>
      </c>
    </row>
    <row r="26505" spans="1:6" ht="15.75" customHeight="1">
      <c r="A26505" s="16" t="s">
        <v>14685</v>
      </c>
      <c r="B26505" s="15" t="s">
        <v>14685</v>
      </c>
      <c r="C26505" s="16" t="s">
        <v>14594</v>
      </c>
      <c r="D26505" s="16" t="s">
        <v>14625</v>
      </c>
      <c r="E26505" s="2">
        <v>99010</v>
      </c>
      <c r="F26505" s="4" t="e">
        <f>IF(B26505=#REF!,"",B26505)</f>
        <v>#REF!</v>
      </c>
    </row>
    <row r="26506" spans="1:6" ht="15.75" customHeight="1">
      <c r="A26506" s="15" t="s">
        <v>15996</v>
      </c>
      <c r="B26506" s="15" t="s">
        <v>15996</v>
      </c>
      <c r="C26506" s="15" t="s">
        <v>15704</v>
      </c>
      <c r="D26506" s="15" t="s">
        <v>15799</v>
      </c>
      <c r="E26506" s="2">
        <v>1861699</v>
      </c>
      <c r="F26506" s="4" t="e">
        <f>IF(B26506=#REF!,"",B26506)</f>
        <v>#REF!</v>
      </c>
    </row>
    <row r="26507" spans="1:6" ht="15.75" customHeight="1">
      <c r="A26507" s="15" t="s">
        <v>25610</v>
      </c>
      <c r="B26507" s="15" t="s">
        <v>25610</v>
      </c>
      <c r="C26507" s="15" t="s">
        <v>25560</v>
      </c>
      <c r="D26507" s="15" t="s">
        <v>25611</v>
      </c>
      <c r="E26507" s="2">
        <v>159179</v>
      </c>
      <c r="F26507" s="4" t="str">
        <f>IF(B26507=B26506,"",B26507)</f>
        <v>Ilula</v>
      </c>
    </row>
    <row r="26508" spans="1:6" ht="15.75" customHeight="1">
      <c r="A26508" s="15" t="s">
        <v>26980</v>
      </c>
      <c r="B26508" s="15" t="s">
        <v>26981</v>
      </c>
      <c r="C26508" s="15" t="s">
        <v>26870</v>
      </c>
      <c r="D26508" s="15" t="s">
        <v>22345</v>
      </c>
      <c r="E26508" s="2">
        <v>707679</v>
      </c>
      <c r="F26508" s="4" t="str">
        <f>IF(B26508=B26507,"",B26508)</f>
        <v>Ilovaysâ€™k</v>
      </c>
    </row>
    <row r="26509" spans="1:6" ht="15.75" customHeight="1">
      <c r="A26509" s="16" t="str">
        <f ca="1">IFERROR(__xludf.DUMMYFUNCTION("GOOGLETRANSLATE(B42646,""en"",""pt"")"),"Ilovays'k")</f>
        <v>Ilovays'k</v>
      </c>
      <c r="B26509" s="20" t="s">
        <v>36033</v>
      </c>
      <c r="C26509" s="20" t="s">
        <v>26870</v>
      </c>
      <c r="D26509" s="20" t="s">
        <v>22345</v>
      </c>
      <c r="E26509" s="10">
        <v>707679</v>
      </c>
      <c r="F26509" s="4" t="e">
        <f>IF(B26509=#REF!,"",B26509)</f>
        <v>#REF!</v>
      </c>
    </row>
    <row r="26510" spans="1:6" ht="15.75" customHeight="1">
      <c r="A26510" s="15" t="s">
        <v>19457</v>
      </c>
      <c r="B26510" s="15" t="s">
        <v>19457</v>
      </c>
      <c r="C26510" s="15" t="s">
        <v>19294</v>
      </c>
      <c r="D26510" s="15" t="s">
        <v>19355</v>
      </c>
      <c r="E26510" s="2">
        <v>2337639</v>
      </c>
      <c r="F26510" s="4" t="e">
        <f>IF(B26510=#REF!,"",B26510)</f>
        <v>#REF!</v>
      </c>
    </row>
    <row r="26511" spans="1:6" ht="15.75" customHeight="1">
      <c r="A26511" s="15" t="s">
        <v>6743</v>
      </c>
      <c r="B26511" s="15" t="s">
        <v>6743</v>
      </c>
      <c r="C26511" s="15" t="s">
        <v>6727</v>
      </c>
      <c r="D26511" s="15" t="s">
        <v>6729</v>
      </c>
      <c r="E26511" s="2">
        <v>3585484</v>
      </c>
      <c r="F26511" s="4" t="e">
        <f>IF(B26511=#REF!,"",B26511)</f>
        <v>#REF!</v>
      </c>
    </row>
    <row r="26512" spans="1:6" ht="15.75" customHeight="1">
      <c r="A26512" s="15" t="s">
        <v>25609</v>
      </c>
      <c r="B26512" s="15" t="s">
        <v>25609</v>
      </c>
      <c r="C26512" s="15" t="s">
        <v>25560</v>
      </c>
      <c r="D26512" s="15" t="s">
        <v>25602</v>
      </c>
      <c r="E26512" s="2">
        <v>159186</v>
      </c>
      <c r="F26512" s="4" t="e">
        <f>IF(B26512=#REF!,"",B26512)</f>
        <v>#REF!</v>
      </c>
    </row>
    <row r="26513" spans="1:6" ht="15.75" customHeight="1">
      <c r="A26513" s="15" t="s">
        <v>20790</v>
      </c>
      <c r="B26513" s="15" t="s">
        <v>20790</v>
      </c>
      <c r="C26513" s="15" t="s">
        <v>20598</v>
      </c>
      <c r="D26513" s="15" t="s">
        <v>20627</v>
      </c>
      <c r="E26513" s="2">
        <v>1711005</v>
      </c>
      <c r="F26513" s="4" t="e">
        <f>IF(B26513=#REF!,"",B26513)</f>
        <v>#REF!</v>
      </c>
    </row>
    <row r="26514" spans="1:6" ht="15.75" customHeight="1">
      <c r="A26514" s="15" t="s">
        <v>19456</v>
      </c>
      <c r="B26514" s="15" t="s">
        <v>19456</v>
      </c>
      <c r="C26514" s="15" t="s">
        <v>19294</v>
      </c>
      <c r="D26514" s="15" t="s">
        <v>19322</v>
      </c>
      <c r="E26514" s="2">
        <v>2337659</v>
      </c>
      <c r="F26514" s="4" t="e">
        <f>IF(B26514=#REF!,"",B26514)</f>
        <v>#REF!</v>
      </c>
    </row>
    <row r="26515" spans="1:6" ht="15.75" customHeight="1">
      <c r="A26515" s="15" t="s">
        <v>20523</v>
      </c>
      <c r="B26515" s="15" t="s">
        <v>20524</v>
      </c>
      <c r="C26515" s="15" t="s">
        <v>20470</v>
      </c>
      <c r="D26515" s="15" t="s">
        <v>20525</v>
      </c>
      <c r="E26515" s="2">
        <v>3938415</v>
      </c>
      <c r="F26515" s="4" t="e">
        <f>IF(B26515=#REF!,"",B26515)</f>
        <v>#REF!</v>
      </c>
    </row>
    <row r="26516" spans="1:6" ht="15.75" customHeight="1">
      <c r="A26516" s="15" t="s">
        <v>8620</v>
      </c>
      <c r="B26516" s="15" t="s">
        <v>8620</v>
      </c>
      <c r="C26516" s="15" t="s">
        <v>8028</v>
      </c>
      <c r="D26516" s="15" t="s">
        <v>8054</v>
      </c>
      <c r="E26516" s="2">
        <v>2896514</v>
      </c>
      <c r="F26516" s="4" t="e">
        <f>IF(B26516=#REF!,"",B26516)</f>
        <v>#REF!</v>
      </c>
    </row>
    <row r="26517" spans="1:6" ht="15.75" customHeight="1">
      <c r="A26517" s="15" t="s">
        <v>7405</v>
      </c>
      <c r="B26517" s="15" t="s">
        <v>7405</v>
      </c>
      <c r="C26517" s="15" t="s">
        <v>7052</v>
      </c>
      <c r="D26517" s="15" t="s">
        <v>7061</v>
      </c>
      <c r="E26517" s="2">
        <v>3012829</v>
      </c>
      <c r="F26517" s="4" t="e">
        <f>IF(B26517=#REF!,"",B26517)</f>
        <v>#REF!</v>
      </c>
    </row>
    <row r="26518" spans="1:6" ht="15.75" customHeight="1">
      <c r="A26518" s="16" t="s">
        <v>7404</v>
      </c>
      <c r="B26518" s="15" t="s">
        <v>7404</v>
      </c>
      <c r="C26518" s="16" t="s">
        <v>7052</v>
      </c>
      <c r="D26518" s="16" t="s">
        <v>7061</v>
      </c>
      <c r="E26518" s="2">
        <v>3012834</v>
      </c>
      <c r="F26518" s="4" t="e">
        <f>IF(B26518=#REF!,"",B26518)</f>
        <v>#REF!</v>
      </c>
    </row>
    <row r="26519" spans="1:6" ht="15.75" customHeight="1">
      <c r="A26519" s="15" t="s">
        <v>8619</v>
      </c>
      <c r="B26519" s="15" t="s">
        <v>8619</v>
      </c>
      <c r="C26519" s="15" t="s">
        <v>8028</v>
      </c>
      <c r="D26519" s="15" t="s">
        <v>8177</v>
      </c>
      <c r="E26519" s="2">
        <v>2896538</v>
      </c>
      <c r="F26519" s="4" t="str">
        <f>IF(B26519=B26518,"",B26519)</f>
        <v>Illingen</v>
      </c>
    </row>
    <row r="26520" spans="1:6" ht="15.75" customHeight="1">
      <c r="A26520" s="15" t="s">
        <v>26978</v>
      </c>
      <c r="B26520" s="15" t="s">
        <v>26979</v>
      </c>
      <c r="C26520" s="15" t="s">
        <v>26870</v>
      </c>
      <c r="D26520" s="15" t="s">
        <v>26884</v>
      </c>
      <c r="E26520" s="2">
        <v>707688</v>
      </c>
      <c r="F26520" s="4" t="str">
        <f>IF(B26520=B26519,"",B26520)</f>
        <v>Illichivsâ€™k</v>
      </c>
    </row>
    <row r="26521" spans="1:6" ht="15.75" customHeight="1">
      <c r="A26521" s="16" t="str">
        <f ca="1">IFERROR(__xludf.DUMMYFUNCTION("GOOGLETRANSLATE(B42647,""en"",""pt"")"),"Illichivs'k")</f>
        <v>Illichivs'k</v>
      </c>
      <c r="B26521" s="20" t="s">
        <v>36034</v>
      </c>
      <c r="C26521" s="20" t="s">
        <v>26870</v>
      </c>
      <c r="D26521" s="20" t="s">
        <v>26884</v>
      </c>
      <c r="E26521" s="10">
        <v>707688</v>
      </c>
      <c r="F26521" s="4" t="e">
        <f>IF(B26521=#REF!,"",B26521)</f>
        <v>#REF!</v>
      </c>
    </row>
    <row r="26522" spans="1:6" ht="15.75" customHeight="1">
      <c r="A26522" s="15" t="s">
        <v>24516</v>
      </c>
      <c r="B26522" s="15" t="s">
        <v>24516</v>
      </c>
      <c r="C26522" s="15" t="s">
        <v>24200</v>
      </c>
      <c r="D26522" s="15" t="s">
        <v>24218</v>
      </c>
      <c r="E26522" s="2">
        <v>3120410</v>
      </c>
      <c r="F26522" s="4" t="e">
        <f>IF(B26522=#REF!,"",B26522)</f>
        <v>#REF!</v>
      </c>
    </row>
    <row r="26523" spans="1:6" ht="15.75" customHeight="1">
      <c r="A26523" s="15" t="s">
        <v>8617</v>
      </c>
      <c r="B26523" s="15" t="s">
        <v>8618</v>
      </c>
      <c r="C26523" s="15" t="s">
        <v>8028</v>
      </c>
      <c r="D26523" s="15" t="s">
        <v>8044</v>
      </c>
      <c r="E26523" s="2">
        <v>2896546</v>
      </c>
      <c r="F26523" s="4" t="str">
        <f>IF(B26523=B26522,"",B26523)</f>
        <v>Illertissen</v>
      </c>
    </row>
    <row r="26524" spans="1:6" ht="15.75" customHeight="1">
      <c r="A26524" s="16" t="str">
        <f ca="1">IFERROR(__xludf.DUMMYFUNCTION("GOOGLETRANSLATE(B37597,""en"",""pt"")"),"Illéla")</f>
        <v>Illéla</v>
      </c>
      <c r="B26524" s="20" t="s">
        <v>34806</v>
      </c>
      <c r="C26524" s="20" t="s">
        <v>19259</v>
      </c>
      <c r="D26524" s="20" t="s">
        <v>19265</v>
      </c>
      <c r="E26524" s="10">
        <v>2443304</v>
      </c>
      <c r="F26524" s="4" t="e">
        <f>IF(B26524=#REF!,"",B26524)</f>
        <v>#REF!</v>
      </c>
    </row>
    <row r="26525" spans="1:6" ht="15.75" customHeight="1">
      <c r="A26525" s="15" t="s">
        <v>19454</v>
      </c>
      <c r="B26525" s="15" t="s">
        <v>19455</v>
      </c>
      <c r="C26525" s="15" t="s">
        <v>19294</v>
      </c>
      <c r="D26525" s="15" t="s">
        <v>19416</v>
      </c>
      <c r="E26525" s="2">
        <v>2337680</v>
      </c>
      <c r="F26525" s="4" t="e">
        <f>IF(B26525=#REF!,"",B26525)</f>
        <v>#REF!</v>
      </c>
    </row>
    <row r="26526" spans="1:6" ht="15.75" customHeight="1">
      <c r="A26526" s="15" t="s">
        <v>4401</v>
      </c>
      <c r="B26526" s="15" t="s">
        <v>4401</v>
      </c>
      <c r="C26526" s="15" t="s">
        <v>4355</v>
      </c>
      <c r="D26526" s="15" t="s">
        <v>4390</v>
      </c>
      <c r="E26526" s="2">
        <v>3887344</v>
      </c>
      <c r="F26526" s="4" t="str">
        <f>IF(B26526=B26525,"",B26526)</f>
        <v>Illapel</v>
      </c>
    </row>
    <row r="26527" spans="1:6" ht="15.75" customHeight="1">
      <c r="A26527" s="15" t="s">
        <v>19273</v>
      </c>
      <c r="B26527" s="15" t="s">
        <v>19274</v>
      </c>
      <c r="C26527" s="15" t="s">
        <v>19259</v>
      </c>
      <c r="D26527" s="15" t="s">
        <v>19265</v>
      </c>
      <c r="E26527" s="2">
        <v>2443304</v>
      </c>
      <c r="F26527" s="4" t="e">
        <f>IF(B26527=#REF!,"",B26527)</f>
        <v>#REF!</v>
      </c>
    </row>
    <row r="26528" spans="1:6" ht="15.75" customHeight="1">
      <c r="A26528" s="15" t="s">
        <v>11532</v>
      </c>
      <c r="B26528" s="15" t="s">
        <v>11532</v>
      </c>
      <c r="C26528" s="15" t="s">
        <v>10178</v>
      </c>
      <c r="D26528" s="15" t="s">
        <v>10252</v>
      </c>
      <c r="E26528" s="2">
        <v>1269784</v>
      </c>
      <c r="F26528" s="4" t="str">
        <f>IF(B26528=B26527,"",B26528)</f>
        <v>Ilkal</v>
      </c>
    </row>
    <row r="26529" spans="1:6" ht="15.75" customHeight="1">
      <c r="A26529" s="16" t="str">
        <f ca="1">IFERROR(__xludf.DUMMYFUNCTION("GOOGLETRANSLATE(B31056,""en"",""pt"")"),"Ilioúpoli")</f>
        <v>Ilioúpoli</v>
      </c>
      <c r="B26529" s="20" t="s">
        <v>32760</v>
      </c>
      <c r="C26529" s="20" t="s">
        <v>9441</v>
      </c>
      <c r="D26529" s="20" t="s">
        <v>9445</v>
      </c>
      <c r="E26529" s="10">
        <v>8310138</v>
      </c>
      <c r="F26529" s="4" t="str">
        <f>IF(B26529=B26528,"",B26529)</f>
        <v>Ilioúpoli</v>
      </c>
    </row>
    <row r="26530" spans="1:6" ht="15.75" customHeight="1">
      <c r="A26530" s="16" t="str">
        <f ca="1">IFERROR(__xludf.DUMMYFUNCTION("GOOGLETRANSLATE(B30974,""en"",""pt"")"),"Ílion")</f>
        <v>Ílion</v>
      </c>
      <c r="B26530" s="20" t="s">
        <v>32685</v>
      </c>
      <c r="C26530" s="20" t="s">
        <v>9441</v>
      </c>
      <c r="D26530" s="20" t="s">
        <v>9445</v>
      </c>
      <c r="E26530" s="10">
        <v>256601</v>
      </c>
      <c r="F26530" s="4" t="str">
        <f>IF(B26530=B26529,"",B26530)</f>
        <v>Ílion</v>
      </c>
    </row>
    <row r="26531" spans="1:6" ht="15.75" customHeight="1">
      <c r="A26531" s="15" t="s">
        <v>9520</v>
      </c>
      <c r="B26531" s="15" t="s">
        <v>9521</v>
      </c>
      <c r="C26531" s="15" t="s">
        <v>9441</v>
      </c>
      <c r="D26531" s="15" t="s">
        <v>9445</v>
      </c>
      <c r="E26531" s="2">
        <v>8310138</v>
      </c>
      <c r="F26531" s="4" t="e">
        <f>IF(B26531=#REF!,"",B26531)</f>
        <v>#REF!</v>
      </c>
    </row>
    <row r="26532" spans="1:6" ht="15.75" customHeight="1">
      <c r="A26532" s="15" t="s">
        <v>17266</v>
      </c>
      <c r="B26532" s="15" t="s">
        <v>17266</v>
      </c>
      <c r="C26532" s="15" t="s">
        <v>17221</v>
      </c>
      <c r="D26532" s="15" t="s">
        <v>17266</v>
      </c>
      <c r="E26532" s="2">
        <v>833357</v>
      </c>
      <c r="F26532" s="4" t="e">
        <f>IF(B26532=#REF!,"",B26532)</f>
        <v>#REF!</v>
      </c>
    </row>
    <row r="26533" spans="1:6" ht="15.75" customHeight="1">
      <c r="A26533" s="16" t="s">
        <v>20788</v>
      </c>
      <c r="B26533" s="15" t="s">
        <v>20789</v>
      </c>
      <c r="C26533" s="16" t="s">
        <v>20598</v>
      </c>
      <c r="D26533" s="16" t="s">
        <v>20606</v>
      </c>
      <c r="E26533" s="2">
        <v>1711082</v>
      </c>
      <c r="F26533" s="4" t="str">
        <f>IF(B26533=B26532,"",B26533)</f>
        <v>Iligan City</v>
      </c>
    </row>
    <row r="26534" spans="1:6" ht="15.75" customHeight="1">
      <c r="A26534" s="16" t="str">
        <f ca="1">IFERROR(__xludf.DUMMYFUNCTION("GOOGLETRANSLATE(B24975,""en"",""pt"")"),"Ilhéus")</f>
        <v>Ilhéus</v>
      </c>
      <c r="B26534" s="20" t="s">
        <v>31639</v>
      </c>
      <c r="C26534" s="20" t="s">
        <v>1905</v>
      </c>
      <c r="D26534" s="20" t="s">
        <v>1947</v>
      </c>
      <c r="E26534" s="10">
        <v>3461408</v>
      </c>
      <c r="F26534" s="4" t="str">
        <f>IF(B26534=B26533,"",B26534)</f>
        <v>Ilhéus</v>
      </c>
    </row>
    <row r="26535" spans="1:6" ht="15.75" customHeight="1">
      <c r="A26535" s="16" t="str">
        <f ca="1">IFERROR(__xludf.DUMMYFUNCTION("GOOGLETRANSLATE(B39655,""en"",""pt"")"),"Ílhavo")</f>
        <v>Ílhavo</v>
      </c>
      <c r="B26535" s="20" t="s">
        <v>35308</v>
      </c>
      <c r="C26535" s="20" t="s">
        <v>21606</v>
      </c>
      <c r="D26535" s="20" t="s">
        <v>21612</v>
      </c>
      <c r="E26535" s="10">
        <v>2738707</v>
      </c>
      <c r="F26535" s="4" t="e">
        <f>IF(B26535=#REF!,"",B26535)</f>
        <v>#REF!</v>
      </c>
    </row>
    <row r="26536" spans="1:6" ht="15.75" customHeight="1">
      <c r="A26536" s="15" t="s">
        <v>2593</v>
      </c>
      <c r="B26536" s="15" t="s">
        <v>2593</v>
      </c>
      <c r="C26536" s="15" t="s">
        <v>1905</v>
      </c>
      <c r="D26536" s="15" t="s">
        <v>1914</v>
      </c>
      <c r="E26536" s="2">
        <v>3461425</v>
      </c>
      <c r="F26536" s="4" t="str">
        <f>IF(B26536=B26535,"",B26536)</f>
        <v>Ilhabela</v>
      </c>
    </row>
    <row r="26537" spans="1:6" ht="15.75" customHeight="1">
      <c r="A26537" s="16" t="s">
        <v>2591</v>
      </c>
      <c r="B26537" s="15" t="s">
        <v>2592</v>
      </c>
      <c r="C26537" s="16" t="s">
        <v>1905</v>
      </c>
      <c r="D26537" s="16" t="s">
        <v>1947</v>
      </c>
      <c r="E26537" s="2">
        <v>3461408</v>
      </c>
      <c r="F26537" s="4" t="e">
        <f>IF(B26537=#REF!,"",B26537)</f>
        <v>#REF!</v>
      </c>
    </row>
    <row r="26538" spans="1:6" ht="15.75" customHeight="1">
      <c r="A26538" s="16" t="s">
        <v>2590</v>
      </c>
      <c r="B26538" s="15" t="s">
        <v>2590</v>
      </c>
      <c r="C26538" s="16" t="s">
        <v>1905</v>
      </c>
      <c r="D26538" s="16" t="s">
        <v>1914</v>
      </c>
      <c r="E26538" s="2">
        <v>3461411</v>
      </c>
      <c r="F26538" s="4" t="str">
        <f>IF(B26538=B26537,"",B26538)</f>
        <v>Ilha Solteira</v>
      </c>
    </row>
    <row r="26539" spans="1:6" ht="15.75" customHeight="1">
      <c r="A26539" s="16" t="str">
        <f ca="1">IFERROR(__xludf.DUMMYFUNCTION("GOOGLETRANSLATE(B37551,""en"",""pt"")"),"Ilha de Moçambique")</f>
        <v>Ilha de Moçambique</v>
      </c>
      <c r="B26539" s="20" t="s">
        <v>34798</v>
      </c>
      <c r="C26539" s="20" t="s">
        <v>18655</v>
      </c>
      <c r="D26539" s="20" t="s">
        <v>18656</v>
      </c>
      <c r="E26539" s="10">
        <v>1037390</v>
      </c>
      <c r="F26539" s="4" t="str">
        <f>IF(B26539=B26538,"",B26539)</f>
        <v>Ilha de Moçambique</v>
      </c>
    </row>
    <row r="26540" spans="1:6" ht="15.75" customHeight="1">
      <c r="A26540" s="16" t="s">
        <v>18670</v>
      </c>
      <c r="B26540" s="15" t="s">
        <v>18671</v>
      </c>
      <c r="C26540" s="16" t="s">
        <v>18655</v>
      </c>
      <c r="D26540" s="16" t="s">
        <v>18656</v>
      </c>
      <c r="E26540" s="2">
        <v>1037390</v>
      </c>
      <c r="F26540" s="4" t="e">
        <f>IF(B26540=#REF!,"",B26540)</f>
        <v>#REF!</v>
      </c>
    </row>
    <row r="26541" spans="1:6" ht="15.75" customHeight="1">
      <c r="A26541" s="15" t="s">
        <v>19453</v>
      </c>
      <c r="B26541" s="15" t="s">
        <v>19453</v>
      </c>
      <c r="C26541" s="15" t="s">
        <v>19294</v>
      </c>
      <c r="D26541" s="15" t="s">
        <v>19322</v>
      </c>
      <c r="E26541" s="2">
        <v>2337704</v>
      </c>
      <c r="F26541" s="4" t="e">
        <f>IF(B26541=#REF!,"",B26541)</f>
        <v>#REF!</v>
      </c>
    </row>
    <row r="26542" spans="1:6" ht="15.75" customHeight="1">
      <c r="A26542" s="15" t="s">
        <v>25607</v>
      </c>
      <c r="B26542" s="15" t="s">
        <v>25607</v>
      </c>
      <c r="C26542" s="15" t="s">
        <v>25560</v>
      </c>
      <c r="D26542" s="15" t="s">
        <v>25608</v>
      </c>
      <c r="E26542" s="2">
        <v>159218</v>
      </c>
      <c r="F26542" s="4" t="e">
        <f>IF(B26542=#REF!,"",B26542)</f>
        <v>#REF!</v>
      </c>
    </row>
    <row r="26543" spans="1:6" ht="15.75" customHeight="1">
      <c r="A26543" s="15" t="s">
        <v>6154</v>
      </c>
      <c r="B26543" s="15" t="s">
        <v>6154</v>
      </c>
      <c r="C26543" s="15" t="s">
        <v>6127</v>
      </c>
      <c r="D26543" s="15" t="s">
        <v>6148</v>
      </c>
      <c r="E26543" s="2">
        <v>215976</v>
      </c>
      <c r="F26543" s="4" t="e">
        <f>IF(B26543=#REF!,"",B26543)</f>
        <v>#REF!</v>
      </c>
    </row>
    <row r="26544" spans="1:6" ht="15.75" customHeight="1">
      <c r="A26544" s="15" t="s">
        <v>28938</v>
      </c>
      <c r="B26544" s="15" t="s">
        <v>28938</v>
      </c>
      <c r="C26544" s="15" t="s">
        <v>27788</v>
      </c>
      <c r="D26544" s="15" t="s">
        <v>17061</v>
      </c>
      <c r="E26544" s="2">
        <v>4358864</v>
      </c>
      <c r="F26544" s="4" t="str">
        <f>IF(B26544=B26543,"",B26544)</f>
        <v>Ilchester</v>
      </c>
    </row>
    <row r="26545" spans="1:6" ht="15.75" customHeight="1">
      <c r="A26545" s="16" t="str">
        <f ca="1">IFERROR(__xludf.DUMMYFUNCTION("GOOGLETRANSLATE(B39449,""en"",""pt"")"),"Iława")</f>
        <v>Iława</v>
      </c>
      <c r="B26545" s="20" t="s">
        <v>35223</v>
      </c>
      <c r="C26545" s="20" t="s">
        <v>21064</v>
      </c>
      <c r="D26545" s="20" t="s">
        <v>21131</v>
      </c>
      <c r="E26545" s="10">
        <v>3097902</v>
      </c>
      <c r="F26545" s="4" t="e">
        <f>IF(B26545=#REF!,"",B26545)</f>
        <v>#REF!</v>
      </c>
    </row>
    <row r="26546" spans="1:6" ht="15.75" customHeight="1">
      <c r="A26546" s="15" t="s">
        <v>20522</v>
      </c>
      <c r="B26546" s="15" t="s">
        <v>20522</v>
      </c>
      <c r="C26546" s="15" t="s">
        <v>20470</v>
      </c>
      <c r="D26546" s="15" t="s">
        <v>20476</v>
      </c>
      <c r="E26546" s="2">
        <v>3938451</v>
      </c>
      <c r="F26546" s="4" t="e">
        <f>IF(B26546=#REF!,"",B26546)</f>
        <v>#REF!</v>
      </c>
    </row>
    <row r="26547" spans="1:6" ht="15.75" customHeight="1">
      <c r="A26547" s="15" t="s">
        <v>19452</v>
      </c>
      <c r="B26547" s="15" t="s">
        <v>19452</v>
      </c>
      <c r="C26547" s="15" t="s">
        <v>19294</v>
      </c>
      <c r="D26547" s="15" t="s">
        <v>19299</v>
      </c>
      <c r="E26547" s="2">
        <v>2337759</v>
      </c>
      <c r="F26547" s="4" t="e">
        <f>IF(B26547=#REF!,"",B26547)</f>
        <v>#REF!</v>
      </c>
    </row>
    <row r="26548" spans="1:6" ht="15.75" customHeight="1">
      <c r="A26548" s="15" t="s">
        <v>22429</v>
      </c>
      <c r="B26548" s="15" t="s">
        <v>22429</v>
      </c>
      <c r="C26548" s="15" t="s">
        <v>22070</v>
      </c>
      <c r="D26548" s="15" t="s">
        <v>22079</v>
      </c>
      <c r="E26548" s="2">
        <v>1505933</v>
      </c>
      <c r="F26548" s="4" t="str">
        <f>IF(B26548=B26547,"",B26548)</f>
        <v>Ilanskiy</v>
      </c>
    </row>
    <row r="26549" spans="1:6" ht="15.75" customHeight="1">
      <c r="A26549" s="16" t="str">
        <f ca="1">IFERROR(__xludf.DUMMYFUNCTION("GOOGLETRANSLATE(B34442,""en"",""pt"")"),"Īlām")</f>
        <v>Īlām</v>
      </c>
      <c r="B26549" s="20" t="s">
        <v>34194</v>
      </c>
      <c r="C26549" s="20" t="s">
        <v>14240</v>
      </c>
      <c r="D26549" s="20" t="s">
        <v>34194</v>
      </c>
      <c r="E26549" s="10">
        <v>130802</v>
      </c>
      <c r="F26549" s="4" t="str">
        <f>IF(B26549=B26548,"",B26549)</f>
        <v>Īlām</v>
      </c>
    </row>
    <row r="26550" spans="1:6" ht="15.75" customHeight="1">
      <c r="A26550" s="16" t="str">
        <f ca="1">IFERROR(__xludf.DUMMYFUNCTION("GOOGLETRANSLATE(B38194,""en"",""pt"")"),"Ilām")</f>
        <v>Ilām</v>
      </c>
      <c r="B26550" s="20" t="s">
        <v>34830</v>
      </c>
      <c r="C26550" s="20" t="s">
        <v>18800</v>
      </c>
      <c r="D26550" s="20" t="s">
        <v>18807</v>
      </c>
      <c r="E26550" s="10">
        <v>1283333</v>
      </c>
      <c r="F26550" s="4" t="e">
        <f>IF(B26550=#REF!,"",B26550)</f>
        <v>#REF!</v>
      </c>
    </row>
    <row r="26551" spans="1:6" ht="15.75" customHeight="1">
      <c r="A26551" s="15" t="s">
        <v>20786</v>
      </c>
      <c r="B26551" s="15" t="s">
        <v>20787</v>
      </c>
      <c r="C26551" s="15" t="s">
        <v>20598</v>
      </c>
      <c r="D26551" s="15" t="s">
        <v>20611</v>
      </c>
      <c r="E26551" s="2">
        <v>1711146</v>
      </c>
      <c r="F26551" s="4" t="str">
        <f>IF(B26551=B26550,"",B26551)</f>
        <v>Ilagan</v>
      </c>
    </row>
    <row r="26552" spans="1:6" ht="15.75" customHeight="1">
      <c r="A26552" s="15" t="s">
        <v>18833</v>
      </c>
      <c r="B26552" s="15" t="s">
        <v>18834</v>
      </c>
      <c r="C26552" s="15" t="s">
        <v>18800</v>
      </c>
      <c r="D26552" s="15" t="s">
        <v>18807</v>
      </c>
      <c r="E26552" s="2">
        <v>1283333</v>
      </c>
      <c r="F26552" s="4" t="str">
        <f>IF(B26552=B26551,"",B26552)</f>
        <v>IlÄm</v>
      </c>
    </row>
    <row r="26553" spans="1:6" ht="15.75" customHeight="1">
      <c r="A26553" s="16" t="s">
        <v>22427</v>
      </c>
      <c r="B26553" s="15" t="s">
        <v>22428</v>
      </c>
      <c r="C26553" s="16" t="s">
        <v>22070</v>
      </c>
      <c r="D26553" s="16" t="s">
        <v>22077</v>
      </c>
      <c r="E26553" s="2">
        <v>556951</v>
      </c>
      <c r="F26553" s="4" t="e">
        <f>IF(B26553=#REF!,"",B26553)</f>
        <v>#REF!</v>
      </c>
    </row>
    <row r="26554" spans="1:6" ht="15.75" customHeight="1">
      <c r="A26554" s="16" t="s">
        <v>19451</v>
      </c>
      <c r="B26554" s="15" t="s">
        <v>19451</v>
      </c>
      <c r="C26554" s="16" t="s">
        <v>19294</v>
      </c>
      <c r="D26554" s="16" t="s">
        <v>19322</v>
      </c>
      <c r="E26554" s="2">
        <v>2337765</v>
      </c>
      <c r="F26554" s="4" t="str">
        <f>IF(B26554=B26553,"",B26554)</f>
        <v>Ila Orangun</v>
      </c>
    </row>
    <row r="26555" spans="1:6" ht="15.75" customHeight="1">
      <c r="A26555" s="16" t="str">
        <f ca="1">IFERROR(__xludf.DUMMYFUNCTION("GOOGLETRANSLATE(B40514,""en"",""pt"")"),"Il'Skiy")</f>
        <v>Il'Skiy</v>
      </c>
      <c r="B26555" s="20" t="s">
        <v>35510</v>
      </c>
      <c r="C26555" s="20" t="s">
        <v>22070</v>
      </c>
      <c r="D26555" s="20" t="s">
        <v>22077</v>
      </c>
      <c r="E26555" s="10">
        <v>556951</v>
      </c>
      <c r="F26555" s="4" t="e">
        <f>IF(B26555=#REF!,"",B26555)</f>
        <v>#REF!</v>
      </c>
    </row>
    <row r="26556" spans="1:6" ht="15.75" customHeight="1">
      <c r="A26556" s="15" t="s">
        <v>25606</v>
      </c>
      <c r="B26556" s="15" t="s">
        <v>25606</v>
      </c>
      <c r="C26556" s="15" t="s">
        <v>25560</v>
      </c>
      <c r="D26556" s="15" t="s">
        <v>25602</v>
      </c>
      <c r="E26556" s="2">
        <v>159267</v>
      </c>
      <c r="F26556" s="4" t="e">
        <f>IF(B26556=#REF!,"",B26556)</f>
        <v>#REF!</v>
      </c>
    </row>
    <row r="26557" spans="1:6" ht="15.75" customHeight="1">
      <c r="A26557" s="15" t="s">
        <v>24092</v>
      </c>
      <c r="B26557" s="15" t="s">
        <v>24092</v>
      </c>
      <c r="C26557" s="15" t="s">
        <v>24024</v>
      </c>
      <c r="D26557" s="15" t="s">
        <v>24042</v>
      </c>
      <c r="E26557" s="2">
        <v>1843491</v>
      </c>
      <c r="F26557" s="4" t="e">
        <f>IF(B26557=#REF!,"",B26557)</f>
        <v>#REF!</v>
      </c>
    </row>
    <row r="26558" spans="1:6" ht="15.75" customHeight="1">
      <c r="A26558" s="16" t="s">
        <v>19449</v>
      </c>
      <c r="B26558" s="15" t="s">
        <v>19450</v>
      </c>
      <c r="C26558" s="16" t="s">
        <v>19294</v>
      </c>
      <c r="D26558" s="16" t="s">
        <v>19385</v>
      </c>
      <c r="E26558" s="2">
        <v>2338106</v>
      </c>
      <c r="F26558" s="4" t="e">
        <f>IF(B26558=#REF!,"",B26558)</f>
        <v>#REF!</v>
      </c>
    </row>
    <row r="26559" spans="1:6" ht="15.75" customHeight="1">
      <c r="A26559" s="15" t="s">
        <v>17368</v>
      </c>
      <c r="B26559" s="15" t="s">
        <v>17368</v>
      </c>
      <c r="C26559" s="15" t="s">
        <v>17292</v>
      </c>
      <c r="D26559" s="15" t="s">
        <v>17310</v>
      </c>
      <c r="E26559" s="2">
        <v>1064234</v>
      </c>
      <c r="F26559" s="4" t="e">
        <f>IF(B26559=#REF!,"",B26559)</f>
        <v>#REF!</v>
      </c>
    </row>
    <row r="26560" spans="1:6" ht="15.75" customHeight="1">
      <c r="A26560" s="15" t="s">
        <v>15995</v>
      </c>
      <c r="B26560" s="15" t="s">
        <v>15995</v>
      </c>
      <c r="C26560" s="15" t="s">
        <v>15704</v>
      </c>
      <c r="D26560" s="15" t="s">
        <v>15905</v>
      </c>
      <c r="E26560" s="2">
        <v>1861749</v>
      </c>
      <c r="F26560" s="4" t="e">
        <f>IF(B26560=#REF!,"",B26560)</f>
        <v>#REF!</v>
      </c>
    </row>
    <row r="26561" spans="1:6" ht="15.75" customHeight="1">
      <c r="A26561" s="15" t="s">
        <v>19448</v>
      </c>
      <c r="B26561" s="15" t="s">
        <v>19448</v>
      </c>
      <c r="C26561" s="15" t="s">
        <v>19294</v>
      </c>
      <c r="D26561" s="15" t="s">
        <v>19362</v>
      </c>
      <c r="E26561" s="2">
        <v>2338242</v>
      </c>
      <c r="F26561" s="4" t="e">
        <f>IF(B26561=#REF!,"",B26561)</f>
        <v>#REF!</v>
      </c>
    </row>
    <row r="26562" spans="1:6" ht="15.75" customHeight="1">
      <c r="A26562" s="15" t="s">
        <v>19447</v>
      </c>
      <c r="B26562" s="15" t="s">
        <v>19447</v>
      </c>
      <c r="C26562" s="15" t="s">
        <v>19294</v>
      </c>
      <c r="D26562" s="15" t="s">
        <v>19322</v>
      </c>
      <c r="E26562" s="2">
        <v>2338269</v>
      </c>
      <c r="F26562" s="4" t="e">
        <f>IF(B26562=#REF!,"",B26562)</f>
        <v>#REF!</v>
      </c>
    </row>
    <row r="26563" spans="1:6" ht="15.75" customHeight="1">
      <c r="A26563" s="15" t="s">
        <v>19446</v>
      </c>
      <c r="B26563" s="15" t="s">
        <v>19446</v>
      </c>
      <c r="C26563" s="15" t="s">
        <v>19294</v>
      </c>
      <c r="D26563" s="15" t="s">
        <v>19322</v>
      </c>
      <c r="E26563" s="2">
        <v>2338273</v>
      </c>
      <c r="F26563" s="4" t="e">
        <f>IF(B26563=#REF!,"",B26563)</f>
        <v>#REF!</v>
      </c>
    </row>
    <row r="26564" spans="1:6" ht="15.75" customHeight="1">
      <c r="A26564" s="16" t="s">
        <v>19445</v>
      </c>
      <c r="B26564" s="15" t="s">
        <v>19445</v>
      </c>
      <c r="C26564" s="16" t="s">
        <v>19294</v>
      </c>
      <c r="D26564" s="16" t="s">
        <v>19304</v>
      </c>
      <c r="E26564" s="2">
        <v>2338287</v>
      </c>
      <c r="F26564" s="4" t="e">
        <f>IF(B26564=#REF!,"",B26564)</f>
        <v>#REF!</v>
      </c>
    </row>
    <row r="26565" spans="1:6" ht="15.75" customHeight="1">
      <c r="A26565" s="15" t="s">
        <v>19444</v>
      </c>
      <c r="B26565" s="15" t="s">
        <v>19444</v>
      </c>
      <c r="C26565" s="15" t="s">
        <v>19294</v>
      </c>
      <c r="D26565" s="15" t="s">
        <v>19336</v>
      </c>
      <c r="E26565" s="2">
        <v>2338313</v>
      </c>
      <c r="F26565" s="4" t="str">
        <f>IF(B26565=B26564,"",B26565)</f>
        <v>Ikeja</v>
      </c>
    </row>
    <row r="26566" spans="1:6" ht="15.75" customHeight="1">
      <c r="A26566" s="16" t="str">
        <f ca="1">IFERROR(__xludf.DUMMYFUNCTION("GOOGLETRANSLATE(B35580,""en"",""pt"")"),"Ikedachō")</f>
        <v>Ikedachō</v>
      </c>
      <c r="B26566" s="20" t="s">
        <v>34369</v>
      </c>
      <c r="C26566" s="20" t="s">
        <v>15704</v>
      </c>
      <c r="D26566" s="20" t="s">
        <v>15726</v>
      </c>
      <c r="E26566" s="10">
        <v>1861799</v>
      </c>
      <c r="F26566" s="4" t="str">
        <f>IF(B26566=B26565,"",B26566)</f>
        <v>Ikedachō</v>
      </c>
    </row>
    <row r="26567" spans="1:6" ht="15.75" customHeight="1">
      <c r="A26567" s="15" t="s">
        <v>15993</v>
      </c>
      <c r="B26567" s="15" t="s">
        <v>15994</v>
      </c>
      <c r="C26567" s="15" t="s">
        <v>15704</v>
      </c>
      <c r="D26567" s="15" t="s">
        <v>15726</v>
      </c>
      <c r="E26567" s="2">
        <v>1861799</v>
      </c>
      <c r="F26567" s="4" t="e">
        <f>IF(B26567=#REF!,"",B26567)</f>
        <v>#REF!</v>
      </c>
    </row>
    <row r="26568" spans="1:6" ht="15.75" customHeight="1">
      <c r="A26568" s="15" t="s">
        <v>15992</v>
      </c>
      <c r="B26568" s="15" t="s">
        <v>15992</v>
      </c>
      <c r="C26568" s="15" t="s">
        <v>15704</v>
      </c>
      <c r="D26568" s="15" t="s">
        <v>15853</v>
      </c>
      <c r="E26568" s="2">
        <v>1861795</v>
      </c>
      <c r="F26568" s="4" t="e">
        <f>IF(B26568=#REF!,"",B26568)</f>
        <v>#REF!</v>
      </c>
    </row>
    <row r="26569" spans="1:6" ht="15.75" customHeight="1">
      <c r="A26569" s="16" t="s">
        <v>17367</v>
      </c>
      <c r="B26569" s="15" t="s">
        <v>17367</v>
      </c>
      <c r="C26569" s="16" t="s">
        <v>17292</v>
      </c>
      <c r="D26569" s="16" t="s">
        <v>17295</v>
      </c>
      <c r="E26569" s="2">
        <v>1064258</v>
      </c>
      <c r="F26569" s="4" t="str">
        <f>IF(B26569=B26568,"",B26569)</f>
        <v>Ikalamavony</v>
      </c>
    </row>
    <row r="26570" spans="1:6" ht="15.75" customHeight="1">
      <c r="A26570" s="16" t="str">
        <f ca="1">IFERROR(__xludf.DUMMYFUNCTION("GOOGLETRANSLATE(B35581,""en"",""pt"")"),"Ijūin")</f>
        <v>Ijūin</v>
      </c>
      <c r="B26570" s="20" t="s">
        <v>34370</v>
      </c>
      <c r="C26570" s="20" t="s">
        <v>15704</v>
      </c>
      <c r="D26570" s="20" t="s">
        <v>15719</v>
      </c>
      <c r="E26570" s="10">
        <v>1861825</v>
      </c>
      <c r="F26570" s="4" t="str">
        <f>IF(B26570=B26569,"",B26570)</f>
        <v>Ijūin</v>
      </c>
    </row>
    <row r="26571" spans="1:6" ht="15.75" customHeight="1">
      <c r="A26571" s="16" t="str">
        <f ca="1">IFERROR(__xludf.DUMMYFUNCTION("GOOGLETRANSLATE(B24978,""en"",""pt"")"),"Ijuí")</f>
        <v>Ijuí</v>
      </c>
      <c r="B26571" s="20" t="s">
        <v>31640</v>
      </c>
      <c r="C26571" s="20" t="s">
        <v>1905</v>
      </c>
      <c r="D26571" s="20" t="s">
        <v>1951</v>
      </c>
      <c r="E26571" s="10">
        <v>3461444</v>
      </c>
      <c r="F26571" s="4" t="str">
        <f>IF(B26571=B26570,"",B26571)</f>
        <v>Ijuí</v>
      </c>
    </row>
    <row r="26572" spans="1:6" ht="15.75" customHeight="1">
      <c r="A26572" s="15" t="s">
        <v>2588</v>
      </c>
      <c r="B26572" s="15" t="s">
        <v>2589</v>
      </c>
      <c r="C26572" s="15" t="s">
        <v>1905</v>
      </c>
      <c r="D26572" s="15" t="s">
        <v>1951</v>
      </c>
      <c r="E26572" s="2">
        <v>3461444</v>
      </c>
      <c r="F26572" s="4" t="e">
        <f>IF(B26572=#REF!,"",B26572)</f>
        <v>#REF!</v>
      </c>
    </row>
    <row r="26573" spans="1:6" ht="15.75" customHeight="1">
      <c r="A26573" s="16" t="s">
        <v>19009</v>
      </c>
      <c r="B26573" s="15" t="s">
        <v>19010</v>
      </c>
      <c r="C26573" s="16" t="s">
        <v>18862</v>
      </c>
      <c r="D26573" s="16" t="s">
        <v>18877</v>
      </c>
      <c r="E26573" s="2">
        <v>2753355</v>
      </c>
      <c r="F26573" s="4" t="e">
        <f>IF(B26573=#REF!,"",B26573)</f>
        <v>#REF!</v>
      </c>
    </row>
    <row r="26574" spans="1:6" ht="15.75" customHeight="1">
      <c r="A26574" s="15" t="s">
        <v>19443</v>
      </c>
      <c r="B26574" s="15" t="s">
        <v>19443</v>
      </c>
      <c r="C26574" s="15" t="s">
        <v>19294</v>
      </c>
      <c r="D26574" s="15" t="s">
        <v>19304</v>
      </c>
      <c r="E26574" s="2">
        <v>2338385</v>
      </c>
      <c r="F26574" s="4" t="e">
        <f>IF(B26574=#REF!,"",B26574)</f>
        <v>#REF!</v>
      </c>
    </row>
    <row r="26575" spans="1:6" ht="15.75" customHeight="1">
      <c r="A26575" s="16" t="s">
        <v>19442</v>
      </c>
      <c r="B26575" s="15" t="s">
        <v>19442</v>
      </c>
      <c r="C26575" s="16" t="s">
        <v>19294</v>
      </c>
      <c r="D26575" s="16" t="s">
        <v>19299</v>
      </c>
      <c r="E26575" s="2">
        <v>2338400</v>
      </c>
      <c r="F26575" s="4" t="e">
        <f>IF(B26575=#REF!,"",B26575)</f>
        <v>#REF!</v>
      </c>
    </row>
    <row r="26576" spans="1:6" ht="15.75" customHeight="1">
      <c r="A26576" s="16" t="s">
        <v>19441</v>
      </c>
      <c r="B26576" s="15" t="s">
        <v>19441</v>
      </c>
      <c r="C26576" s="16" t="s">
        <v>19294</v>
      </c>
      <c r="D26576" s="16" t="s">
        <v>19322</v>
      </c>
      <c r="E26576" s="2">
        <v>2338401</v>
      </c>
      <c r="F26576" s="4" t="e">
        <f>IF(B26576=#REF!,"",B26576)</f>
        <v>#REF!</v>
      </c>
    </row>
    <row r="26577" spans="1:6" ht="15.75" customHeight="1">
      <c r="A26577" s="16" t="s">
        <v>19439</v>
      </c>
      <c r="B26577" s="15" t="s">
        <v>19440</v>
      </c>
      <c r="C26577" s="16" t="s">
        <v>19294</v>
      </c>
      <c r="D26577" s="16" t="s">
        <v>19299</v>
      </c>
      <c r="E26577" s="2">
        <v>2338403</v>
      </c>
      <c r="F26577" s="4" t="str">
        <f>IF(B26577=B26576,"",B26577)</f>
        <v>Ijebu-Igbo</v>
      </c>
    </row>
    <row r="26578" spans="1:6" ht="15.75" customHeight="1">
      <c r="A26578" s="15" t="s">
        <v>15990</v>
      </c>
      <c r="B26578" s="15" t="s">
        <v>15991</v>
      </c>
      <c r="C26578" s="15" t="s">
        <v>15704</v>
      </c>
      <c r="D26578" s="15" t="s">
        <v>15719</v>
      </c>
      <c r="E26578" s="2">
        <v>1861825</v>
      </c>
      <c r="F26578" s="4" t="e">
        <f>IF(B26578=#REF!,"",B26578)</f>
        <v>#REF!</v>
      </c>
    </row>
    <row r="26579" spans="1:6" ht="15.75" customHeight="1">
      <c r="A26579" s="15" t="s">
        <v>15989</v>
      </c>
      <c r="B26579" s="15" t="s">
        <v>15989</v>
      </c>
      <c r="C26579" s="15" t="s">
        <v>15704</v>
      </c>
      <c r="D26579" s="15" t="s">
        <v>15722</v>
      </c>
      <c r="E26579" s="2">
        <v>1861835</v>
      </c>
      <c r="F26579" s="4" t="e">
        <f>IF(B26579=#REF!,"",B26579)</f>
        <v>#REF!</v>
      </c>
    </row>
    <row r="26580" spans="1:6" ht="15.75" customHeight="1">
      <c r="A26580" s="15" t="s">
        <v>15988</v>
      </c>
      <c r="B26580" s="15" t="s">
        <v>15988</v>
      </c>
      <c r="C26580" s="15" t="s">
        <v>15704</v>
      </c>
      <c r="D26580" s="15" t="s">
        <v>15769</v>
      </c>
      <c r="E26580" s="2">
        <v>1861838</v>
      </c>
      <c r="F26580" s="4" t="e">
        <f>IF(B26580=#REF!,"",B26580)</f>
        <v>#REF!</v>
      </c>
    </row>
    <row r="26581" spans="1:6" ht="15.75" customHeight="1">
      <c r="A26581" s="15" t="s">
        <v>6966</v>
      </c>
      <c r="B26581" s="15" t="s">
        <v>6966</v>
      </c>
      <c r="C26581" s="15" t="s">
        <v>6948</v>
      </c>
      <c r="D26581" s="15" t="s">
        <v>6967</v>
      </c>
      <c r="E26581" s="2">
        <v>656820</v>
      </c>
      <c r="F26581" s="4" t="e">
        <f>IF(B26581=#REF!,"",B26581)</f>
        <v>#REF!</v>
      </c>
    </row>
    <row r="26582" spans="1:6" ht="15.75" customHeight="1">
      <c r="A26582" s="15" t="s">
        <v>15987</v>
      </c>
      <c r="B26582" s="15" t="s">
        <v>15987</v>
      </c>
      <c r="C26582" s="15" t="s">
        <v>15704</v>
      </c>
      <c r="D26582" s="15" t="s">
        <v>15769</v>
      </c>
      <c r="E26582" s="2">
        <v>1861864</v>
      </c>
      <c r="F26582" s="4" t="e">
        <f>IF(B26582=#REF!,"",B26582)</f>
        <v>#REF!</v>
      </c>
    </row>
    <row r="26583" spans="1:6" ht="15.75" customHeight="1">
      <c r="A26583" s="15" t="s">
        <v>17365</v>
      </c>
      <c r="B26583" s="15" t="s">
        <v>17365</v>
      </c>
      <c r="C26583" s="15" t="s">
        <v>17292</v>
      </c>
      <c r="D26583" s="15" t="s">
        <v>17366</v>
      </c>
      <c r="E26583" s="2">
        <v>1064275</v>
      </c>
      <c r="F26583" s="4" t="e">
        <f>IF(B26583=#REF!,"",B26583)</f>
        <v>#REF!</v>
      </c>
    </row>
    <row r="26584" spans="1:6" ht="15.75" customHeight="1">
      <c r="A26584" s="15" t="s">
        <v>19438</v>
      </c>
      <c r="B26584" s="15" t="s">
        <v>19438</v>
      </c>
      <c r="C26584" s="15" t="s">
        <v>19294</v>
      </c>
      <c r="D26584" s="15" t="s">
        <v>19308</v>
      </c>
      <c r="E26584" s="2">
        <v>2338497</v>
      </c>
      <c r="F26584" s="4" t="e">
        <f>IF(B26584=#REF!,"",B26584)</f>
        <v>#REF!</v>
      </c>
    </row>
    <row r="26585" spans="1:6" ht="15.75" customHeight="1">
      <c r="A26585" s="15" t="s">
        <v>25605</v>
      </c>
      <c r="B26585" s="15" t="s">
        <v>25605</v>
      </c>
      <c r="C26585" s="15" t="s">
        <v>25560</v>
      </c>
      <c r="D26585" s="15" t="s">
        <v>25589</v>
      </c>
      <c r="E26585" s="2">
        <v>159380</v>
      </c>
      <c r="F26585" s="4" t="e">
        <f>IF(B26585=#REF!,"",B26585)</f>
        <v>#REF!</v>
      </c>
    </row>
    <row r="26586" spans="1:6" ht="15.75" customHeight="1">
      <c r="A26586" s="15" t="s">
        <v>25603</v>
      </c>
      <c r="B26586" s="15" t="s">
        <v>25603</v>
      </c>
      <c r="C26586" s="15" t="s">
        <v>25560</v>
      </c>
      <c r="D26586" s="15" t="s">
        <v>25604</v>
      </c>
      <c r="E26586" s="2">
        <v>159386</v>
      </c>
      <c r="F26586" s="4" t="e">
        <f>IF(B26586=#REF!,"",B26586)</f>
        <v>#REF!</v>
      </c>
    </row>
    <row r="26587" spans="1:6" ht="15.75" customHeight="1">
      <c r="A26587" s="15" t="s">
        <v>25600</v>
      </c>
      <c r="B26587" s="15" t="s">
        <v>25601</v>
      </c>
      <c r="C26587" s="15" t="s">
        <v>25560</v>
      </c>
      <c r="D26587" s="15" t="s">
        <v>25602</v>
      </c>
      <c r="E26587" s="2">
        <v>159398</v>
      </c>
      <c r="F26587" s="4" t="e">
        <f>IF(B26587=#REF!,"",B26587)</f>
        <v>#REF!</v>
      </c>
    </row>
    <row r="26588" spans="1:6" ht="15.75" customHeight="1">
      <c r="A26588" s="15" t="s">
        <v>2587</v>
      </c>
      <c r="B26588" s="15" t="s">
        <v>2587</v>
      </c>
      <c r="C26588" s="15" t="s">
        <v>1905</v>
      </c>
      <c r="D26588" s="15" t="s">
        <v>1930</v>
      </c>
      <c r="E26588" s="2">
        <v>3398331</v>
      </c>
      <c r="F26588" s="4" t="e">
        <f>IF(B26588=#REF!,"",B26588)</f>
        <v>#REF!</v>
      </c>
    </row>
    <row r="26589" spans="1:6" ht="15.75" customHeight="1">
      <c r="A26589" s="15" t="s">
        <v>2586</v>
      </c>
      <c r="B26589" s="15" t="s">
        <v>2586</v>
      </c>
      <c r="C26589" s="15" t="s">
        <v>1905</v>
      </c>
      <c r="D26589" s="15" t="s">
        <v>1914</v>
      </c>
      <c r="E26589" s="2">
        <v>3461465</v>
      </c>
      <c r="F26589" s="4" t="e">
        <f>IF(B26589=#REF!,"",B26589)</f>
        <v>#REF!</v>
      </c>
    </row>
    <row r="26590" spans="1:6" ht="15.75" customHeight="1">
      <c r="A26590" s="15" t="s">
        <v>24515</v>
      </c>
      <c r="B26590" s="15" t="s">
        <v>24515</v>
      </c>
      <c r="C26590" s="15" t="s">
        <v>24200</v>
      </c>
      <c r="D26590" s="15" t="s">
        <v>24277</v>
      </c>
      <c r="E26590" s="2">
        <v>3120431</v>
      </c>
      <c r="F26590" s="4" t="e">
        <f>IF(B26590=#REF!,"",B26590)</f>
        <v>#REF!</v>
      </c>
    </row>
    <row r="26591" spans="1:6" ht="15.75" customHeight="1">
      <c r="A26591" s="16" t="s">
        <v>17989</v>
      </c>
      <c r="B26591" s="15" t="s">
        <v>17989</v>
      </c>
      <c r="C26591" s="16" t="s">
        <v>17707</v>
      </c>
      <c r="D26591" s="16" t="s">
        <v>17723</v>
      </c>
      <c r="E26591" s="2">
        <v>3526798</v>
      </c>
      <c r="F26591" s="4" t="e">
        <f>IF(B26591=#REF!,"",B26591)</f>
        <v>#REF!</v>
      </c>
    </row>
    <row r="26592" spans="1:6" ht="15.75" customHeight="1">
      <c r="A26592" s="15" t="s">
        <v>2585</v>
      </c>
      <c r="B26592" s="15" t="s">
        <v>2585</v>
      </c>
      <c r="C26592" s="15" t="s">
        <v>1905</v>
      </c>
      <c r="D26592" s="15" t="s">
        <v>1951</v>
      </c>
      <c r="E26592" s="2">
        <v>3461481</v>
      </c>
      <c r="F26592" s="4" t="e">
        <f>IF(B26592=#REF!,"",B26592)</f>
        <v>#REF!</v>
      </c>
    </row>
    <row r="26593" spans="1:6" ht="15.75" customHeight="1">
      <c r="A26593" s="15" t="s">
        <v>22426</v>
      </c>
      <c r="B26593" s="15" t="s">
        <v>22426</v>
      </c>
      <c r="C26593" s="15" t="s">
        <v>22070</v>
      </c>
      <c r="D26593" s="15" t="s">
        <v>22189</v>
      </c>
      <c r="E26593" s="2">
        <v>557469</v>
      </c>
      <c r="F26593" s="4" t="e">
        <f>IF(B26593=#REF!,"",B26593)</f>
        <v>#REF!</v>
      </c>
    </row>
    <row r="26594" spans="1:6" ht="15.75" customHeight="1">
      <c r="A26594" s="15" t="s">
        <v>15196</v>
      </c>
      <c r="B26594" s="15" t="s">
        <v>15196</v>
      </c>
      <c r="C26594" s="15" t="s">
        <v>14891</v>
      </c>
      <c r="D26594" s="15" t="s">
        <v>14925</v>
      </c>
      <c r="E26594" s="2">
        <v>2524533</v>
      </c>
      <c r="F26594" s="4" t="e">
        <f>IF(B26594=#REF!,"",B26594)</f>
        <v>#REF!</v>
      </c>
    </row>
    <row r="26595" spans="1:6" ht="15.75" customHeight="1">
      <c r="A26595" s="15" t="s">
        <v>367</v>
      </c>
      <c r="B26595" s="15" t="s">
        <v>368</v>
      </c>
      <c r="C26595" s="15" t="s">
        <v>153</v>
      </c>
      <c r="D26595" s="15" t="s">
        <v>172</v>
      </c>
      <c r="E26595" s="2">
        <v>2493605</v>
      </c>
      <c r="F26595" s="4" t="e">
        <f>IF(B26595=#REF!,"",B26595)</f>
        <v>#REF!</v>
      </c>
    </row>
    <row r="26596" spans="1:6" ht="15.75" customHeight="1">
      <c r="A26596" s="16" t="s">
        <v>19437</v>
      </c>
      <c r="B26596" s="15" t="s">
        <v>19437</v>
      </c>
      <c r="C26596" s="16" t="s">
        <v>19294</v>
      </c>
      <c r="D26596" s="16" t="s">
        <v>19304</v>
      </c>
      <c r="E26596" s="2">
        <v>2338630</v>
      </c>
      <c r="F26596" s="4" t="e">
        <f>IF(B26596=#REF!,"",B26596)</f>
        <v>#REF!</v>
      </c>
    </row>
    <row r="26597" spans="1:6" ht="15.75" customHeight="1">
      <c r="A26597" s="16" t="s">
        <v>19435</v>
      </c>
      <c r="B26597" s="15" t="s">
        <v>19436</v>
      </c>
      <c r="C26597" s="16" t="s">
        <v>19294</v>
      </c>
      <c r="D26597" s="16" t="s">
        <v>19308</v>
      </c>
      <c r="E26597" s="2">
        <v>2338640</v>
      </c>
      <c r="F26597" s="4" t="e">
        <f>IF(B26597=#REF!,"",B26597)</f>
        <v>#REF!</v>
      </c>
    </row>
    <row r="26598" spans="1:6" ht="15.75" customHeight="1">
      <c r="A26598" s="15" t="s">
        <v>19433</v>
      </c>
      <c r="B26598" s="15" t="s">
        <v>19433</v>
      </c>
      <c r="C26598" s="15" t="s">
        <v>19294</v>
      </c>
      <c r="D26598" s="15" t="s">
        <v>19434</v>
      </c>
      <c r="E26598" s="2">
        <v>2338660</v>
      </c>
      <c r="F26598" s="4" t="e">
        <f>IF(B26598=#REF!,"",B26598)</f>
        <v>#REF!</v>
      </c>
    </row>
    <row r="26599" spans="1:6" ht="15.75" customHeight="1">
      <c r="A26599" s="15" t="s">
        <v>19431</v>
      </c>
      <c r="B26599" s="15" t="s">
        <v>19432</v>
      </c>
      <c r="C26599" s="15" t="s">
        <v>19294</v>
      </c>
      <c r="D26599" s="15" t="s">
        <v>19398</v>
      </c>
      <c r="E26599" s="2">
        <v>2338669</v>
      </c>
      <c r="F26599" s="4" t="e">
        <f>IF(B26599=#REF!,"",B26599)</f>
        <v>#REF!</v>
      </c>
    </row>
    <row r="26600" spans="1:6" ht="15.75" customHeight="1">
      <c r="A26600" s="15" t="s">
        <v>19430</v>
      </c>
      <c r="B26600" s="15" t="s">
        <v>19430</v>
      </c>
      <c r="C26600" s="15" t="s">
        <v>19294</v>
      </c>
      <c r="D26600" s="15" t="s">
        <v>19398</v>
      </c>
      <c r="E26600" s="2">
        <v>2338711</v>
      </c>
      <c r="F26600" s="4" t="e">
        <f>IF(B26600=#REF!,"",B26600)</f>
        <v>#REF!</v>
      </c>
    </row>
    <row r="26601" spans="1:6" ht="15.75" customHeight="1">
      <c r="A26601" s="15" t="s">
        <v>19429</v>
      </c>
      <c r="B26601" s="15" t="s">
        <v>19429</v>
      </c>
      <c r="C26601" s="15" t="s">
        <v>19294</v>
      </c>
      <c r="D26601" s="15" t="s">
        <v>19398</v>
      </c>
      <c r="E26601" s="2">
        <v>2338772</v>
      </c>
      <c r="F26601" s="4" t="e">
        <f>IF(B26601=#REF!,"",B26601)</f>
        <v>#REF!</v>
      </c>
    </row>
    <row r="26602" spans="1:6" ht="15.75" customHeight="1">
      <c r="A26602" s="16" t="s">
        <v>19428</v>
      </c>
      <c r="B26602" s="15" t="s">
        <v>19428</v>
      </c>
      <c r="C26602" s="16" t="s">
        <v>19294</v>
      </c>
      <c r="D26602" s="16" t="s">
        <v>19304</v>
      </c>
      <c r="E26602" s="2">
        <v>2338810</v>
      </c>
      <c r="F26602" s="4" t="e">
        <f>IF(B26602=#REF!,"",B26602)</f>
        <v>#REF!</v>
      </c>
    </row>
    <row r="26603" spans="1:6" ht="15.75" customHeight="1">
      <c r="A26603" s="15" t="s">
        <v>11531</v>
      </c>
      <c r="B26603" s="15" t="s">
        <v>11531</v>
      </c>
      <c r="C26603" s="15" t="s">
        <v>10178</v>
      </c>
      <c r="D26603" s="15" t="s">
        <v>10214</v>
      </c>
      <c r="E26603" s="2">
        <v>1269810</v>
      </c>
      <c r="F26603" s="4" t="e">
        <f>IF(B26603=#REF!,"",B26603)</f>
        <v>#REF!</v>
      </c>
    </row>
    <row r="26604" spans="1:6" ht="15.75" customHeight="1">
      <c r="A26604" s="15" t="s">
        <v>2584</v>
      </c>
      <c r="B26604" s="15" t="s">
        <v>2584</v>
      </c>
      <c r="C26604" s="15" t="s">
        <v>1905</v>
      </c>
      <c r="D26604" s="15" t="s">
        <v>1909</v>
      </c>
      <c r="E26604" s="2">
        <v>3398352</v>
      </c>
      <c r="F26604" s="4" t="str">
        <f>IF(B26604=B26603,"",B26604)</f>
        <v>Igarassu</v>
      </c>
    </row>
    <row r="26605" spans="1:6" ht="15.75" customHeight="1">
      <c r="A26605" s="16" t="str">
        <f ca="1">IFERROR(__xludf.DUMMYFUNCTION("GOOGLETRANSLATE(B24309,""en"",""pt"")"),"Igarapé Miri")</f>
        <v>Igarapé Miri</v>
      </c>
      <c r="B26605" s="20" t="s">
        <v>31394</v>
      </c>
      <c r="C26605" s="20" t="s">
        <v>1905</v>
      </c>
      <c r="D26605" s="20" t="s">
        <v>31342</v>
      </c>
      <c r="E26605" s="10">
        <v>3398343</v>
      </c>
      <c r="F26605" s="4" t="str">
        <f>IF(B26605=B26604,"",B26605)</f>
        <v>Igarapé Miri</v>
      </c>
    </row>
    <row r="26606" spans="1:6" ht="15.75" customHeight="1">
      <c r="A26606" s="16" t="str">
        <f ca="1">IFERROR(__xludf.DUMMYFUNCTION("GOOGLETRANSLATE(B24310,""en"",""pt"")"),"Igarapé Açu")</f>
        <v>Igarapé Açu</v>
      </c>
      <c r="B26606" s="20" t="s">
        <v>31395</v>
      </c>
      <c r="C26606" s="20" t="s">
        <v>1905</v>
      </c>
      <c r="D26606" s="20" t="s">
        <v>31342</v>
      </c>
      <c r="E26606" s="10">
        <v>3398350</v>
      </c>
      <c r="F26606" s="4" t="str">
        <f>IF(B26606=B26605,"",B26606)</f>
        <v>Igarapé Açu</v>
      </c>
    </row>
    <row r="26607" spans="1:6" ht="15.75" customHeight="1">
      <c r="A26607" s="16" t="str">
        <f ca="1">IFERROR(__xludf.DUMMYFUNCTION("GOOGLETRANSLATE(B24981,""en"",""pt"")"),"Igarapé")</f>
        <v>Igarapé</v>
      </c>
      <c r="B26607" s="20" t="s">
        <v>2577</v>
      </c>
      <c r="C26607" s="20" t="s">
        <v>1905</v>
      </c>
      <c r="D26607" s="20" t="s">
        <v>1917</v>
      </c>
      <c r="E26607" s="10">
        <v>3461498</v>
      </c>
      <c r="F26607" s="4" t="e">
        <f>IF(B26607=#REF!,"",B26607)</f>
        <v>#REF!</v>
      </c>
    </row>
    <row r="26608" spans="1:6" ht="15.75" customHeight="1">
      <c r="A26608" s="15" t="s">
        <v>2583</v>
      </c>
      <c r="B26608" s="15" t="s">
        <v>2583</v>
      </c>
      <c r="C26608" s="15" t="s">
        <v>1905</v>
      </c>
      <c r="D26608" s="15" t="s">
        <v>1914</v>
      </c>
      <c r="E26608" s="2">
        <v>3461499</v>
      </c>
      <c r="F26608" s="4" t="str">
        <f>IF(B26608=B26607,"",B26608)</f>
        <v>Igarapava</v>
      </c>
    </row>
    <row r="26609" spans="1:6" ht="15.75" customHeight="1">
      <c r="A26609" s="16" t="s">
        <v>2581</v>
      </c>
      <c r="B26609" s="15" t="s">
        <v>2582</v>
      </c>
      <c r="C26609" s="16" t="s">
        <v>1905</v>
      </c>
      <c r="D26609" s="16" t="s">
        <v>1906</v>
      </c>
      <c r="E26609" s="2">
        <v>3398343</v>
      </c>
      <c r="F26609" s="4" t="str">
        <f>IF(B26609=B26608,"",B26609)</f>
        <v>IgarapÃ© Miri</v>
      </c>
    </row>
    <row r="26610" spans="1:6" ht="15.75" customHeight="1">
      <c r="A26610" s="16" t="s">
        <v>2579</v>
      </c>
      <c r="B26610" s="15" t="s">
        <v>2580</v>
      </c>
      <c r="C26610" s="16" t="s">
        <v>1905</v>
      </c>
      <c r="D26610" s="16" t="s">
        <v>1906</v>
      </c>
      <c r="E26610" s="2">
        <v>3398350</v>
      </c>
      <c r="F26610" s="4" t="str">
        <f>IF(B26610=B26609,"",B26610)</f>
        <v>IgarapÃ© AÃ§u</v>
      </c>
    </row>
    <row r="26611" spans="1:6" ht="15.75" customHeight="1">
      <c r="A26611" s="15" t="s">
        <v>2577</v>
      </c>
      <c r="B26611" s="15" t="s">
        <v>2578</v>
      </c>
      <c r="C26611" s="15" t="s">
        <v>1905</v>
      </c>
      <c r="D26611" s="15" t="s">
        <v>1917</v>
      </c>
      <c r="E26611" s="2">
        <v>3461498</v>
      </c>
      <c r="F26611" s="4" t="str">
        <f>IF(B26611=B26610,"",B26611)</f>
        <v>IgarapÃ©</v>
      </c>
    </row>
    <row r="26612" spans="1:6" ht="15.75" customHeight="1">
      <c r="A26612" s="16" t="str">
        <f ca="1">IFERROR(__xludf.DUMMYFUNCTION("GOOGLETRANSLATE(B24983,""en"",""pt"")"),"Igaraçu do Tietê")</f>
        <v>Igaraçu do Tietê</v>
      </c>
      <c r="B26612" s="20" t="s">
        <v>31641</v>
      </c>
      <c r="C26612" s="20" t="s">
        <v>1905</v>
      </c>
      <c r="D26612" s="20" t="s">
        <v>3354</v>
      </c>
      <c r="E26612" s="10">
        <v>3461501</v>
      </c>
      <c r="F26612" s="4" t="str">
        <f>IF(B26612=B26611,"",B26612)</f>
        <v>Igaraçu do Tietê</v>
      </c>
    </row>
    <row r="26613" spans="1:6" ht="15.75" customHeight="1">
      <c r="A26613" s="16" t="s">
        <v>2575</v>
      </c>
      <c r="B26613" s="15" t="s">
        <v>2576</v>
      </c>
      <c r="C26613" s="16" t="s">
        <v>1905</v>
      </c>
      <c r="D26613" s="16" t="s">
        <v>1914</v>
      </c>
      <c r="E26613" s="2">
        <v>3461501</v>
      </c>
      <c r="F26613" s="4" t="e">
        <f>IF(B26613=#REF!,"",B26613)</f>
        <v>#REF!</v>
      </c>
    </row>
    <row r="26614" spans="1:6" ht="15.75" customHeight="1">
      <c r="A26614" s="15" t="s">
        <v>26834</v>
      </c>
      <c r="B26614" s="15" t="s">
        <v>26834</v>
      </c>
      <c r="C26614" s="15" t="s">
        <v>26820</v>
      </c>
      <c r="D26614" s="15" t="s">
        <v>18807</v>
      </c>
      <c r="E26614" s="2">
        <v>233275</v>
      </c>
      <c r="F26614" s="4" t="e">
        <f>IF(B26614=#REF!,"",B26614)</f>
        <v>#REF!</v>
      </c>
    </row>
    <row r="26615" spans="1:6" ht="15.75" customHeight="1">
      <c r="A26615" s="15" t="s">
        <v>19427</v>
      </c>
      <c r="B26615" s="15" t="s">
        <v>19427</v>
      </c>
      <c r="C26615" s="15" t="s">
        <v>19294</v>
      </c>
      <c r="D26615" s="15" t="s">
        <v>19299</v>
      </c>
      <c r="E26615" s="2">
        <v>2338876</v>
      </c>
      <c r="F26615" s="4" t="e">
        <f>IF(B26615=#REF!,"",B26615)</f>
        <v>#REF!</v>
      </c>
    </row>
    <row r="26616" spans="1:6" ht="15.75" customHeight="1">
      <c r="A26616" s="16" t="s">
        <v>17364</v>
      </c>
      <c r="B26616" s="15" t="s">
        <v>17364</v>
      </c>
      <c r="C26616" s="16" t="s">
        <v>17292</v>
      </c>
      <c r="D26616" s="16" t="s">
        <v>17310</v>
      </c>
      <c r="E26616" s="2">
        <v>1064366</v>
      </c>
      <c r="F26616" s="4" t="e">
        <f>IF(B26616=#REF!,"",B26616)</f>
        <v>#REF!</v>
      </c>
    </row>
    <row r="26617" spans="1:6" ht="15.75" customHeight="1">
      <c r="A26617" s="15" t="s">
        <v>25599</v>
      </c>
      <c r="B26617" s="15" t="s">
        <v>25599</v>
      </c>
      <c r="C26617" s="15" t="s">
        <v>25560</v>
      </c>
      <c r="D26617" s="15" t="s">
        <v>25596</v>
      </c>
      <c r="E26617" s="2">
        <v>159492</v>
      </c>
      <c r="F26617" s="4" t="e">
        <f>IF(B26617=#REF!,"",B26617)</f>
        <v>#REF!</v>
      </c>
    </row>
    <row r="26618" spans="1:6" ht="15.75" customHeight="1">
      <c r="A26618" s="15" t="s">
        <v>1601</v>
      </c>
      <c r="B26618" s="15" t="s">
        <v>1602</v>
      </c>
      <c r="C26618" s="15" t="s">
        <v>1512</v>
      </c>
      <c r="D26618" s="15" t="s">
        <v>1513</v>
      </c>
      <c r="E26618" s="2">
        <v>2795100</v>
      </c>
      <c r="F26618" s="4" t="e">
        <f>IF(B26618=#REF!,"",B26618)</f>
        <v>#REF!</v>
      </c>
    </row>
    <row r="26619" spans="1:6" ht="15.75" customHeight="1">
      <c r="A26619" s="15" t="s">
        <v>8616</v>
      </c>
      <c r="B26619" s="15" t="s">
        <v>8616</v>
      </c>
      <c r="C26619" s="15" t="s">
        <v>8028</v>
      </c>
      <c r="D26619" s="15" t="s">
        <v>8050</v>
      </c>
      <c r="E26619" s="2">
        <v>2896736</v>
      </c>
      <c r="F26619" s="4" t="e">
        <f>IF(B26619=#REF!,"",B26619)</f>
        <v>#REF!</v>
      </c>
    </row>
    <row r="26620" spans="1:6" ht="15.75" customHeight="1">
      <c r="A26620" s="15" t="s">
        <v>25392</v>
      </c>
      <c r="B26620" s="15" t="s">
        <v>25392</v>
      </c>
      <c r="C26620" s="15" t="s">
        <v>25366</v>
      </c>
      <c r="D26620" s="15" t="s">
        <v>25392</v>
      </c>
      <c r="E26620" s="2">
        <v>169389</v>
      </c>
      <c r="F26620" s="4" t="str">
        <f>IF(B26620=B26619,"",B26620)</f>
        <v>Idlib</v>
      </c>
    </row>
    <row r="26621" spans="1:6" ht="15.75" customHeight="1">
      <c r="A26621" s="16" t="str">
        <f ca="1">IFERROR(__xludf.DUMMYFUNCTION("GOOGLETRANSLATE(B28863,""en"",""pt"")"),"Eu não te conheço")</f>
        <v>Eu não te conheço</v>
      </c>
      <c r="B26621" s="20" t="s">
        <v>32290</v>
      </c>
      <c r="C26621" s="20" t="s">
        <v>6495</v>
      </c>
      <c r="D26621" s="20" t="s">
        <v>32264</v>
      </c>
      <c r="E26621" s="10">
        <v>355628</v>
      </c>
      <c r="F26621" s="4" t="str">
        <f>IF(B26621=B26620,"",B26621)</f>
        <v>Idkū</v>
      </c>
    </row>
    <row r="26622" spans="1:6" ht="15.75" customHeight="1">
      <c r="A26622" s="15" t="s">
        <v>6653</v>
      </c>
      <c r="B26622" s="15" t="s">
        <v>6654</v>
      </c>
      <c r="C26622" s="15" t="s">
        <v>6495</v>
      </c>
      <c r="D26622" s="15" t="s">
        <v>6499</v>
      </c>
      <c r="E26622" s="2">
        <v>355628</v>
      </c>
      <c r="F26622" s="4" t="str">
        <f>IF(B26622=B26621,"",B26622)</f>
        <v>IdkÅ«</v>
      </c>
    </row>
    <row r="26623" spans="1:6" ht="15.75" customHeight="1">
      <c r="A26623" s="16" t="str">
        <f ca="1">IFERROR(__xludf.DUMMYFUNCTION("GOOGLETRANSLATE(B41981,""en"",""pt"")"),"Idil")</f>
        <v>Idil</v>
      </c>
      <c r="B26623" s="20" t="s">
        <v>35867</v>
      </c>
      <c r="C26623" s="20" t="s">
        <v>26201</v>
      </c>
      <c r="D26623" s="20" t="s">
        <v>35834</v>
      </c>
      <c r="E26623" s="10">
        <v>311704</v>
      </c>
      <c r="F26623" s="4" t="str">
        <f>IF(B26623=B26622,"",B26623)</f>
        <v>İdil</v>
      </c>
    </row>
    <row r="26624" spans="1:6" ht="15.75" customHeight="1">
      <c r="A26624" s="15" t="s">
        <v>20346</v>
      </c>
      <c r="B26624" s="15" t="s">
        <v>20347</v>
      </c>
      <c r="C26624" s="15" t="s">
        <v>20297</v>
      </c>
      <c r="D26624" s="15" t="s">
        <v>20298</v>
      </c>
      <c r="E26624" s="2">
        <v>283621</v>
      </c>
      <c r="F26624" s="4" t="str">
        <f>IF(B26624=B26623,"",B26624)</f>
        <v>IdhnÄ</v>
      </c>
    </row>
    <row r="26625" spans="1:6" ht="15.75" customHeight="1">
      <c r="A26625" s="16" t="str">
        <f ca="1">IFERROR(__xludf.DUMMYFUNCTION("GOOGLETRANSLATE(B39545,""en"",""pt"")"),"Idhnā")</f>
        <v>Idhnā</v>
      </c>
      <c r="B26625" s="20" t="s">
        <v>35273</v>
      </c>
      <c r="C26625" s="20" t="s">
        <v>20297</v>
      </c>
      <c r="D26625" s="20" t="s">
        <v>20298</v>
      </c>
      <c r="E26625" s="10">
        <v>283621</v>
      </c>
      <c r="F26625" s="4" t="str">
        <f>IF(B26625=B26624,"",B26625)</f>
        <v>Idhnā</v>
      </c>
    </row>
    <row r="26626" spans="1:6" ht="15.75" customHeight="1">
      <c r="A26626" s="16" t="str">
        <f ca="1">IFERROR(__xludf.DUMMYFUNCTION("GOOGLETRANSLATE(B28864,""en"",""pt"")"),"Idfū")</f>
        <v>Idfū</v>
      </c>
      <c r="B26626" s="20" t="s">
        <v>32291</v>
      </c>
      <c r="C26626" s="20" t="s">
        <v>6495</v>
      </c>
      <c r="D26626" s="20" t="s">
        <v>32281</v>
      </c>
      <c r="E26626" s="10">
        <v>355635</v>
      </c>
      <c r="F26626" s="4" t="str">
        <f>IF(B26626=B26625,"",B26626)</f>
        <v>Idfū</v>
      </c>
    </row>
    <row r="26627" spans="1:6" ht="15.75" customHeight="1">
      <c r="A26627" s="15" t="s">
        <v>6651</v>
      </c>
      <c r="B26627" s="15" t="s">
        <v>6652</v>
      </c>
      <c r="C26627" s="15" t="s">
        <v>6495</v>
      </c>
      <c r="D26627" s="15" t="s">
        <v>6596</v>
      </c>
      <c r="E26627" s="2">
        <v>355635</v>
      </c>
      <c r="F26627" s="4" t="e">
        <f>IF(B26627=#REF!,"",B26627)</f>
        <v>#REF!</v>
      </c>
    </row>
    <row r="26628" spans="1:6" ht="15.75" customHeight="1">
      <c r="A26628" s="15" t="s">
        <v>3927</v>
      </c>
      <c r="B26628" s="15" t="s">
        <v>3927</v>
      </c>
      <c r="C26628" s="15" t="s">
        <v>3884</v>
      </c>
      <c r="D26628" s="15" t="s">
        <v>3898</v>
      </c>
      <c r="E26628" s="2">
        <v>2594800</v>
      </c>
      <c r="F26628" s="4" t="e">
        <f>IF(B26628=#REF!,"",B26628)</f>
        <v>#REF!</v>
      </c>
    </row>
    <row r="26629" spans="1:6" ht="15.75" customHeight="1">
      <c r="A26629" s="16" t="s">
        <v>8615</v>
      </c>
      <c r="B26629" s="15" t="s">
        <v>8615</v>
      </c>
      <c r="C26629" s="16" t="s">
        <v>8028</v>
      </c>
      <c r="D26629" s="16" t="s">
        <v>8065</v>
      </c>
      <c r="E26629" s="2">
        <v>2896753</v>
      </c>
      <c r="F26629" s="4" t="e">
        <f>IF(B26629=#REF!,"",B26629)</f>
        <v>#REF!</v>
      </c>
    </row>
    <row r="26630" spans="1:6" ht="15.75" customHeight="1">
      <c r="A26630" s="15" t="s">
        <v>11530</v>
      </c>
      <c r="B26630" s="15" t="s">
        <v>11530</v>
      </c>
      <c r="C26630" s="15" t="s">
        <v>10178</v>
      </c>
      <c r="D26630" s="15" t="s">
        <v>10196</v>
      </c>
      <c r="E26630" s="2">
        <v>1269819</v>
      </c>
      <c r="F26630" s="4" t="e">
        <f>IF(B26630=#REF!,"",B26630)</f>
        <v>#REF!</v>
      </c>
    </row>
    <row r="26631" spans="1:6" ht="15.75" customHeight="1">
      <c r="A26631" s="15" t="s">
        <v>19426</v>
      </c>
      <c r="B26631" s="15" t="s">
        <v>19426</v>
      </c>
      <c r="C26631" s="15" t="s">
        <v>19294</v>
      </c>
      <c r="D26631" s="15" t="s">
        <v>19314</v>
      </c>
      <c r="E26631" s="2">
        <v>2339150</v>
      </c>
      <c r="F26631" s="4" t="e">
        <f>IF(B26631=#REF!,"",B26631)</f>
        <v>#REF!</v>
      </c>
    </row>
    <row r="26632" spans="1:6" ht="15.75" customHeight="1">
      <c r="A26632" s="16" t="s">
        <v>28937</v>
      </c>
      <c r="B26632" s="15" t="s">
        <v>28937</v>
      </c>
      <c r="C26632" s="16" t="s">
        <v>27788</v>
      </c>
      <c r="D26632" s="16" t="s">
        <v>28059</v>
      </c>
      <c r="E26632" s="2">
        <v>5596475</v>
      </c>
      <c r="F26632" s="4" t="e">
        <f>IF(B26632=#REF!,"",B26632)</f>
        <v>#REF!</v>
      </c>
    </row>
    <row r="26633" spans="1:6" ht="15.75" customHeight="1">
      <c r="A26633" s="15" t="s">
        <v>19425</v>
      </c>
      <c r="B26633" s="15" t="s">
        <v>19425</v>
      </c>
      <c r="C26633" s="15" t="s">
        <v>19294</v>
      </c>
      <c r="D26633" s="15" t="s">
        <v>19310</v>
      </c>
      <c r="E26633" s="2">
        <v>2339156</v>
      </c>
      <c r="F26633" s="4" t="e">
        <f>IF(B26633=#REF!,"",B26633)</f>
        <v>#REF!</v>
      </c>
    </row>
    <row r="26634" spans="1:6" ht="15.75" customHeight="1">
      <c r="A26634" s="16" t="s">
        <v>24513</v>
      </c>
      <c r="B26634" s="15" t="s">
        <v>24514</v>
      </c>
      <c r="C26634" s="16" t="s">
        <v>24200</v>
      </c>
      <c r="D26634" s="16" t="s">
        <v>24212</v>
      </c>
      <c r="E26634" s="2">
        <v>2516474</v>
      </c>
      <c r="F26634" s="4" t="str">
        <f>IF(B26634=B26633,"",B26634)</f>
        <v>Icod de los Vinos</v>
      </c>
    </row>
    <row r="26635" spans="1:6" ht="15.75" customHeight="1">
      <c r="A26635" s="16" t="str">
        <f ca="1">IFERROR(__xludf.DUMMYFUNCTION("GOOGLETRANSLATE(B24312,""en"",""pt"")"),"Icó")</f>
        <v>Icó</v>
      </c>
      <c r="B26635" s="20" t="s">
        <v>31396</v>
      </c>
      <c r="C26635" s="20" t="s">
        <v>1905</v>
      </c>
      <c r="D26635" s="20" t="s">
        <v>31345</v>
      </c>
      <c r="E26635" s="10">
        <v>3398379</v>
      </c>
      <c r="F26635" s="4" t="e">
        <f>IF(B26635=#REF!,"",B26635)</f>
        <v>#REF!</v>
      </c>
    </row>
    <row r="26636" spans="1:6" ht="15.75" customHeight="1">
      <c r="A26636" s="16" t="s">
        <v>15986</v>
      </c>
      <c r="B26636" s="15" t="s">
        <v>15986</v>
      </c>
      <c r="C26636" s="16" t="s">
        <v>15704</v>
      </c>
      <c r="D26636" s="16" t="s">
        <v>15745</v>
      </c>
      <c r="E26636" s="2">
        <v>2112656</v>
      </c>
      <c r="F26636" s="4" t="e">
        <f>IF(B26636=#REF!,"",B26636)</f>
        <v>#REF!</v>
      </c>
    </row>
    <row r="26637" spans="1:6" ht="15.75" customHeight="1">
      <c r="A26637" s="16" t="s">
        <v>15985</v>
      </c>
      <c r="B26637" s="15" t="s">
        <v>15985</v>
      </c>
      <c r="C26637" s="16" t="s">
        <v>15704</v>
      </c>
      <c r="D26637" s="16" t="s">
        <v>15729</v>
      </c>
      <c r="E26637" s="2">
        <v>1861949</v>
      </c>
      <c r="F26637" s="4" t="e">
        <f>IF(B26637=#REF!,"",B26637)</f>
        <v>#REF!</v>
      </c>
    </row>
    <row r="26638" spans="1:6" ht="15.75" customHeight="1">
      <c r="A26638" s="15" t="s">
        <v>15984</v>
      </c>
      <c r="B26638" s="15" t="s">
        <v>15984</v>
      </c>
      <c r="C26638" s="15" t="s">
        <v>15704</v>
      </c>
      <c r="D26638" s="15" t="s">
        <v>15745</v>
      </c>
      <c r="E26638" s="2">
        <v>2129961</v>
      </c>
      <c r="F26638" s="4" t="e">
        <f>IF(B26638=#REF!,"",B26638)</f>
        <v>#REF!</v>
      </c>
    </row>
    <row r="26639" spans="1:6" ht="15.75" customHeight="1">
      <c r="A26639" s="15" t="s">
        <v>15983</v>
      </c>
      <c r="B26639" s="15" t="s">
        <v>15983</v>
      </c>
      <c r="C26639" s="15" t="s">
        <v>15704</v>
      </c>
      <c r="D26639" s="15" t="s">
        <v>15707</v>
      </c>
      <c r="E26639" s="2">
        <v>2112664</v>
      </c>
      <c r="F26639" s="4" t="e">
        <f>IF(B26639=#REF!,"",B26639)</f>
        <v>#REF!</v>
      </c>
    </row>
    <row r="26640" spans="1:6" ht="15.75" customHeight="1">
      <c r="A26640" s="15" t="s">
        <v>24090</v>
      </c>
      <c r="B26640" s="15" t="s">
        <v>24091</v>
      </c>
      <c r="C26640" s="15" t="s">
        <v>24024</v>
      </c>
      <c r="D26640" s="15" t="s">
        <v>24028</v>
      </c>
      <c r="E26640" s="2">
        <v>1843702</v>
      </c>
      <c r="F26640" s="4" t="str">
        <f>IF(B26640=B26639,"",B26640)</f>
        <v>Icheon-si</v>
      </c>
    </row>
    <row r="26641" spans="1:6" ht="15.75" customHeight="1">
      <c r="A26641" s="16" t="str">
        <f ca="1">IFERROR(__xludf.DUMMYFUNCTION("GOOGLETRANSLATE(B33333,""en"",""pt"")"),"Ichchāpuram")</f>
        <v>Ichchāpuram</v>
      </c>
      <c r="B26641" s="20" t="s">
        <v>33654</v>
      </c>
      <c r="C26641" s="20" t="s">
        <v>10178</v>
      </c>
      <c r="D26641" s="20" t="s">
        <v>10190</v>
      </c>
      <c r="E26641" s="10">
        <v>1269827</v>
      </c>
      <c r="F26641" s="4" t="str">
        <f>IF(B26641=B26640,"",B26641)</f>
        <v>Ichchāpuram</v>
      </c>
    </row>
    <row r="26642" spans="1:6" ht="15.75" customHeight="1">
      <c r="A26642" s="16" t="s">
        <v>11528</v>
      </c>
      <c r="B26642" s="15" t="s">
        <v>11529</v>
      </c>
      <c r="C26642" s="16" t="s">
        <v>10178</v>
      </c>
      <c r="D26642" s="16" t="s">
        <v>10190</v>
      </c>
      <c r="E26642" s="2">
        <v>1269827</v>
      </c>
      <c r="F26642" s="4" t="e">
        <f>IF(B26642=#REF!,"",B26642)</f>
        <v>#REF!</v>
      </c>
    </row>
    <row r="26643" spans="1:6" ht="15.75" customHeight="1">
      <c r="A26643" s="16" t="s">
        <v>11527</v>
      </c>
      <c r="B26643" s="15" t="s">
        <v>11527</v>
      </c>
      <c r="C26643" s="16" t="s">
        <v>10178</v>
      </c>
      <c r="D26643" s="16" t="s">
        <v>10214</v>
      </c>
      <c r="E26643" s="2">
        <v>1269834</v>
      </c>
      <c r="F26643" s="4" t="str">
        <f>IF(B26643=B26642,"",B26643)</f>
        <v>Ichalkaranji</v>
      </c>
    </row>
    <row r="26644" spans="1:6" ht="15.75" customHeight="1">
      <c r="A26644" s="16" t="str">
        <f ca="1">IFERROR(__xludf.DUMMYFUNCTION("GOOGLETRANSLATE(B24984,""en"",""pt"")"),"Içara")</f>
        <v>Içara</v>
      </c>
      <c r="B26644" s="20" t="s">
        <v>31642</v>
      </c>
      <c r="C26644" s="20" t="s">
        <v>1905</v>
      </c>
      <c r="D26644" s="20" t="s">
        <v>2020</v>
      </c>
      <c r="E26644" s="10">
        <v>3461519</v>
      </c>
      <c r="F26644" s="4" t="str">
        <f>IF(B26644=B26643,"",B26644)</f>
        <v>Içara</v>
      </c>
    </row>
    <row r="26645" spans="1:6" ht="15.75" customHeight="1">
      <c r="A26645" s="15" t="s">
        <v>2573</v>
      </c>
      <c r="B26645" s="15" t="s">
        <v>2574</v>
      </c>
      <c r="C26645" s="15" t="s">
        <v>1905</v>
      </c>
      <c r="D26645" s="15" t="s">
        <v>1930</v>
      </c>
      <c r="E26645" s="2">
        <v>3398379</v>
      </c>
      <c r="F26645" s="4" t="e">
        <f>IF(B26645=#REF!,"",B26645)</f>
        <v>#REF!</v>
      </c>
    </row>
    <row r="26646" spans="1:6" ht="15.75" customHeight="1">
      <c r="A26646" s="15" t="s">
        <v>20521</v>
      </c>
      <c r="B26646" s="15" t="s">
        <v>20499</v>
      </c>
      <c r="C26646" s="15" t="s">
        <v>20470</v>
      </c>
      <c r="D26646" s="15" t="s">
        <v>20499</v>
      </c>
      <c r="E26646" s="2">
        <v>3938527</v>
      </c>
      <c r="F26646" s="4" t="e">
        <f>IF(B26646=#REF!,"",B26646)</f>
        <v>#REF!</v>
      </c>
    </row>
    <row r="26647" spans="1:6" ht="15.75" customHeight="1">
      <c r="A26647" s="15" t="s">
        <v>15982</v>
      </c>
      <c r="B26647" s="15" t="s">
        <v>15982</v>
      </c>
      <c r="C26647" s="15" t="s">
        <v>15704</v>
      </c>
      <c r="D26647" s="15" t="s">
        <v>15719</v>
      </c>
      <c r="E26647" s="2">
        <v>1862010</v>
      </c>
      <c r="F26647" s="4" t="str">
        <f>IF(B26647=B26646,"",B26647)</f>
        <v>Ibusuki</v>
      </c>
    </row>
    <row r="26648" spans="1:6" ht="15.75" customHeight="1">
      <c r="A26648" s="16" t="str">
        <f ca="1">IFERROR(__xludf.DUMMYFUNCTION("GOOGLETRANSLATE(B28865,""en"",""pt"")"),"Ibshawāy")</f>
        <v>Ibshawāy</v>
      </c>
      <c r="B26648" s="20" t="s">
        <v>32292</v>
      </c>
      <c r="C26648" s="20" t="s">
        <v>6495</v>
      </c>
      <c r="D26648" s="20" t="s">
        <v>32248</v>
      </c>
      <c r="E26648" s="10">
        <v>355648</v>
      </c>
      <c r="F26648" s="4" t="str">
        <f>IF(B26648=B26647,"",B26648)</f>
        <v>Ibshawāy</v>
      </c>
    </row>
    <row r="26649" spans="1:6" ht="15.75" customHeight="1">
      <c r="A26649" s="16" t="s">
        <v>6649</v>
      </c>
      <c r="B26649" s="15" t="s">
        <v>6650</v>
      </c>
      <c r="C26649" s="16" t="s">
        <v>6495</v>
      </c>
      <c r="D26649" s="16" t="s">
        <v>6502</v>
      </c>
      <c r="E26649" s="2">
        <v>355648</v>
      </c>
      <c r="F26649" s="4" t="str">
        <f>IF(B26649=B26648,"",B26649)</f>
        <v>IbshawÄy</v>
      </c>
    </row>
    <row r="26650" spans="1:6" ht="15.75" customHeight="1">
      <c r="A26650" s="15" t="s">
        <v>19787</v>
      </c>
      <c r="B26650" s="15" t="s">
        <v>19788</v>
      </c>
      <c r="C26650" s="15" t="s">
        <v>19755</v>
      </c>
      <c r="D26650" s="15" t="s">
        <v>19777</v>
      </c>
      <c r="E26650" s="2">
        <v>287832</v>
      </c>
      <c r="F26650" s="4" t="str">
        <f>IF(B26650=B26649,"",B26650)</f>
        <v>IbrÄâ€™</v>
      </c>
    </row>
    <row r="26651" spans="1:6" ht="15.75" customHeight="1">
      <c r="A26651" s="16" t="str">
        <f ca="1">IFERROR(__xludf.DUMMYFUNCTION("GOOGLETRANSLATE(B38263,""en"",""pt"")"),"Ibrā '")</f>
        <v>Ibrā '</v>
      </c>
      <c r="B26651" s="20" t="s">
        <v>34853</v>
      </c>
      <c r="C26651" s="20" t="s">
        <v>19755</v>
      </c>
      <c r="D26651" s="20" t="s">
        <v>19777</v>
      </c>
      <c r="E26651" s="10">
        <v>287832</v>
      </c>
      <c r="F26651" s="4" t="e">
        <f>IF(B26651=#REF!,"",B26651)</f>
        <v>#REF!</v>
      </c>
    </row>
    <row r="26652" spans="1:6" ht="15.75" customHeight="1">
      <c r="A26652" s="15" t="s">
        <v>2572</v>
      </c>
      <c r="B26652" s="15" t="s">
        <v>2572</v>
      </c>
      <c r="C26652" s="15" t="s">
        <v>1905</v>
      </c>
      <c r="D26652" s="15" t="s">
        <v>1947</v>
      </c>
      <c r="E26652" s="2">
        <v>3461525</v>
      </c>
      <c r="F26652" s="4" t="e">
        <f>IF(B26652=#REF!,"",B26652)</f>
        <v>#REF!</v>
      </c>
    </row>
    <row r="26653" spans="1:6" ht="15.75" customHeight="1">
      <c r="A26653" s="15" t="s">
        <v>24512</v>
      </c>
      <c r="B26653" s="15" t="s">
        <v>24512</v>
      </c>
      <c r="C26653" s="15" t="s">
        <v>24200</v>
      </c>
      <c r="D26653" s="15" t="s">
        <v>24236</v>
      </c>
      <c r="E26653" s="2">
        <v>2516479</v>
      </c>
      <c r="F26653" s="4" t="str">
        <f>IF(B26653=B26652,"",B26653)</f>
        <v>Ibiza</v>
      </c>
    </row>
    <row r="26654" spans="1:6" ht="15.75" customHeight="1">
      <c r="A26654" s="16" t="str">
        <f ca="1">IFERROR(__xludf.DUMMYFUNCTION("GOOGLETRANSLATE(B24986,""en"",""pt"")"),"Ibiúna")</f>
        <v>Ibiúna</v>
      </c>
      <c r="B26654" s="20" t="s">
        <v>31643</v>
      </c>
      <c r="C26654" s="20" t="s">
        <v>1905</v>
      </c>
      <c r="D26654" s="20" t="s">
        <v>3354</v>
      </c>
      <c r="E26654" s="10">
        <v>3461528</v>
      </c>
      <c r="F26654" s="4" t="e">
        <f>IF(B26654=#REF!,"",B26654)</f>
        <v>#REF!</v>
      </c>
    </row>
    <row r="26655" spans="1:6" ht="15.75" customHeight="1">
      <c r="A26655" s="15" t="s">
        <v>2571</v>
      </c>
      <c r="B26655" s="15" t="s">
        <v>2571</v>
      </c>
      <c r="C26655" s="15" t="s">
        <v>1905</v>
      </c>
      <c r="D26655" s="15" t="s">
        <v>1914</v>
      </c>
      <c r="E26655" s="2">
        <v>3461550</v>
      </c>
      <c r="F26655" s="4" t="str">
        <f>IF(B26655=B26654,"",B26655)</f>
        <v>Ibitinga</v>
      </c>
    </row>
    <row r="26656" spans="1:6" ht="15.75" customHeight="1">
      <c r="A26656" s="16" t="str">
        <f ca="1">IFERROR(__xludf.DUMMYFUNCTION("GOOGLETRANSLATE(B24988,""en"",""pt"")"),"Ibirité")</f>
        <v>Ibirité</v>
      </c>
      <c r="B26656" s="20" t="s">
        <v>2569</v>
      </c>
      <c r="C26656" s="20" t="s">
        <v>1905</v>
      </c>
      <c r="D26656" s="20" t="s">
        <v>1917</v>
      </c>
      <c r="E26656" s="10">
        <v>3461563</v>
      </c>
      <c r="F26656" s="4" t="str">
        <f>IF(B26656=B26655,"",B26656)</f>
        <v>Ibirité</v>
      </c>
    </row>
    <row r="26657" spans="1:6" ht="15.75" customHeight="1">
      <c r="A26657" s="15" t="s">
        <v>2569</v>
      </c>
      <c r="B26657" s="15" t="s">
        <v>2570</v>
      </c>
      <c r="C26657" s="15" t="s">
        <v>1905</v>
      </c>
      <c r="D26657" s="15" t="s">
        <v>1917</v>
      </c>
      <c r="E26657" s="2">
        <v>3461563</v>
      </c>
      <c r="F26657" s="4" t="e">
        <f>IF(B26657=#REF!,"",B26657)</f>
        <v>#REF!</v>
      </c>
    </row>
    <row r="26658" spans="1:6" ht="15.75" customHeight="1">
      <c r="A26658" s="15" t="s">
        <v>2568</v>
      </c>
      <c r="B26658" s="15" t="s">
        <v>2568</v>
      </c>
      <c r="C26658" s="15" t="s">
        <v>1905</v>
      </c>
      <c r="D26658" s="15" t="s">
        <v>1947</v>
      </c>
      <c r="E26658" s="2">
        <v>3461565</v>
      </c>
      <c r="F26658" s="4" t="e">
        <f>IF(B26658=#REF!,"",B26658)</f>
        <v>#REF!</v>
      </c>
    </row>
    <row r="26659" spans="1:6" ht="15.75" customHeight="1">
      <c r="A26659" s="15" t="s">
        <v>2567</v>
      </c>
      <c r="B26659" s="15" t="s">
        <v>2567</v>
      </c>
      <c r="C26659" s="15" t="s">
        <v>1905</v>
      </c>
      <c r="D26659" s="15" t="s">
        <v>2020</v>
      </c>
      <c r="E26659" s="2">
        <v>3461576</v>
      </c>
      <c r="F26659" s="4" t="str">
        <f>IF(B26659=B26658,"",B26659)</f>
        <v>Ibirama</v>
      </c>
    </row>
    <row r="26660" spans="1:6" ht="15.75" customHeight="1">
      <c r="A26660" s="15" t="s">
        <v>2565</v>
      </c>
      <c r="B26660" s="15" t="s">
        <v>2566</v>
      </c>
      <c r="C26660" s="15" t="s">
        <v>1905</v>
      </c>
      <c r="D26660" s="15" t="s">
        <v>728</v>
      </c>
      <c r="E26660" s="2">
        <v>3461588</v>
      </c>
      <c r="F26660" s="4" t="str">
        <f>IF(B26660=B26659,"",B26660)</f>
        <v>IbiporÃ£</v>
      </c>
    </row>
    <row r="26661" spans="1:6" ht="15.75" customHeight="1">
      <c r="A26661" s="16" t="str">
        <f ca="1">IFERROR(__xludf.DUMMYFUNCTION("GOOGLETRANSLATE(B24991,""en"",""pt"")"),"Ibiporã")</f>
        <v>Ibiporã</v>
      </c>
      <c r="B26661" s="20" t="s">
        <v>2565</v>
      </c>
      <c r="C26661" s="20" t="s">
        <v>1905</v>
      </c>
      <c r="D26661" s="20" t="s">
        <v>727</v>
      </c>
      <c r="E26661" s="10">
        <v>3461588</v>
      </c>
      <c r="F26661" s="4" t="str">
        <f>IF(B26661=B26660,"",B26661)</f>
        <v>Ibiporã</v>
      </c>
    </row>
    <row r="26662" spans="1:6" ht="15.75" customHeight="1">
      <c r="A26662" s="16" t="str">
        <f ca="1">IFERROR(__xludf.DUMMYFUNCTION("GOOGLETRANSLATE(B24992,""en"",""pt"")"),"Ibicaraí")</f>
        <v>Ibicaraí</v>
      </c>
      <c r="B26662" s="20" t="s">
        <v>31644</v>
      </c>
      <c r="C26662" s="20" t="s">
        <v>1905</v>
      </c>
      <c r="D26662" s="20" t="s">
        <v>1947</v>
      </c>
      <c r="E26662" s="10">
        <v>3461606</v>
      </c>
      <c r="F26662" s="4" t="str">
        <f>IF(B26662=B26661,"",B26662)</f>
        <v>Ibicaraí</v>
      </c>
    </row>
    <row r="26663" spans="1:6" ht="15.75" customHeight="1">
      <c r="A26663" s="15" t="s">
        <v>2563</v>
      </c>
      <c r="B26663" s="15" t="s">
        <v>2564</v>
      </c>
      <c r="C26663" s="15" t="s">
        <v>1905</v>
      </c>
      <c r="D26663" s="15" t="s">
        <v>1947</v>
      </c>
      <c r="E26663" s="2">
        <v>3461606</v>
      </c>
      <c r="F26663" s="4" t="str">
        <f>IF(B26663=B26662,"",B26663)</f>
        <v>IbicaraÃ­</v>
      </c>
    </row>
    <row r="26664" spans="1:6" ht="15.75" customHeight="1">
      <c r="A26664" s="15" t="s">
        <v>2561</v>
      </c>
      <c r="B26664" s="15" t="s">
        <v>2562</v>
      </c>
      <c r="C26664" s="15" t="s">
        <v>1905</v>
      </c>
      <c r="D26664" s="15" t="s">
        <v>1914</v>
      </c>
      <c r="E26664" s="2">
        <v>3461528</v>
      </c>
      <c r="F26664" s="4" t="str">
        <f>IF(B26664=B26663,"",B26664)</f>
        <v>IbiÃºna</v>
      </c>
    </row>
    <row r="26665" spans="1:6" ht="15.75" customHeight="1">
      <c r="A26665" s="15" t="s">
        <v>2559</v>
      </c>
      <c r="B26665" s="15" t="s">
        <v>2560</v>
      </c>
      <c r="C26665" s="15" t="s">
        <v>1905</v>
      </c>
      <c r="D26665" s="15" t="s">
        <v>1917</v>
      </c>
      <c r="E26665" s="2">
        <v>3461620</v>
      </c>
      <c r="F26665" s="4" t="str">
        <f>IF(B26665=B26664,"",B26665)</f>
        <v>IbiÃ¡</v>
      </c>
    </row>
    <row r="26666" spans="1:6" ht="15.75" customHeight="1">
      <c r="A26666" s="16" t="str">
        <f ca="1">IFERROR(__xludf.DUMMYFUNCTION("GOOGLETRANSLATE(B24993,""en"",""pt"")"),"Ibiá")</f>
        <v>Ibiá</v>
      </c>
      <c r="B26666" s="20" t="s">
        <v>31645</v>
      </c>
      <c r="C26666" s="20" t="s">
        <v>1905</v>
      </c>
      <c r="D26666" s="20" t="s">
        <v>1917</v>
      </c>
      <c r="E26666" s="10">
        <v>3461620</v>
      </c>
      <c r="F26666" s="4" t="e">
        <f>IF(B26666=#REF!,"",B26666)</f>
        <v>#REF!</v>
      </c>
    </row>
    <row r="26667" spans="1:6" ht="15.75" customHeight="1">
      <c r="A26667" s="15" t="s">
        <v>19424</v>
      </c>
      <c r="B26667" s="15" t="s">
        <v>19424</v>
      </c>
      <c r="C26667" s="15" t="s">
        <v>19294</v>
      </c>
      <c r="D26667" s="15" t="s">
        <v>19341</v>
      </c>
      <c r="E26667" s="2">
        <v>2339287</v>
      </c>
      <c r="F26667" s="4" t="e">
        <f>IF(B26667=#REF!,"",B26667)</f>
        <v>#REF!</v>
      </c>
    </row>
    <row r="26668" spans="1:6" ht="15.75" customHeight="1">
      <c r="A26668" s="15" t="s">
        <v>19422</v>
      </c>
      <c r="B26668" s="15" t="s">
        <v>19423</v>
      </c>
      <c r="C26668" s="15" t="s">
        <v>19294</v>
      </c>
      <c r="D26668" s="15" t="s">
        <v>19259</v>
      </c>
      <c r="E26668" s="2">
        <v>2339293</v>
      </c>
      <c r="F26668" s="4" t="str">
        <f>IF(B26668=B26667,"",B26668)</f>
        <v>Ibeto</v>
      </c>
    </row>
    <row r="26669" spans="1:6" ht="15.75" customHeight="1">
      <c r="A26669" s="16" t="str">
        <f ca="1">IFERROR(__xludf.DUMMYFUNCTION("GOOGLETRANSLATE(B27925,""en"",""pt"")"),"Ibbenbüren")</f>
        <v>Ibbenbüren</v>
      </c>
      <c r="B26669" s="20" t="s">
        <v>32085</v>
      </c>
      <c r="C26669" s="20" t="s">
        <v>8028</v>
      </c>
      <c r="D26669" s="20" t="s">
        <v>8029</v>
      </c>
      <c r="E26669" s="10">
        <v>2896817</v>
      </c>
      <c r="F26669" s="4" t="str">
        <f>IF(B26669=B26668,"",B26669)</f>
        <v>Ibbenbüren</v>
      </c>
    </row>
    <row r="26670" spans="1:6" ht="15.75" customHeight="1">
      <c r="A26670" s="16" t="s">
        <v>8613</v>
      </c>
      <c r="B26670" s="15" t="s">
        <v>8614</v>
      </c>
      <c r="C26670" s="16" t="s">
        <v>8028</v>
      </c>
      <c r="D26670" s="16" t="s">
        <v>8029</v>
      </c>
      <c r="E26670" s="2">
        <v>2896817</v>
      </c>
      <c r="F26670" s="4" t="e">
        <f>IF(B26670=#REF!,"",B26670)</f>
        <v>#REF!</v>
      </c>
    </row>
    <row r="26671" spans="1:6" ht="15.75" customHeight="1">
      <c r="A26671" s="15" t="s">
        <v>31014</v>
      </c>
      <c r="B26671" s="15" t="s">
        <v>31014</v>
      </c>
      <c r="C26671" s="15" t="s">
        <v>30993</v>
      </c>
      <c r="D26671" s="15" t="s">
        <v>31014</v>
      </c>
      <c r="E26671" s="2">
        <v>74477</v>
      </c>
      <c r="F26671" s="4" t="str">
        <f>IF(B26671=B26670,"",B26671)</f>
        <v>Ibb</v>
      </c>
    </row>
    <row r="26672" spans="1:6" ht="15.75" customHeight="1">
      <c r="A26672" s="16" t="str">
        <f ca="1">IFERROR(__xludf.DUMMYFUNCTION("GOOGLETRANSLATE(B24994,""en"",""pt"")"),"Ibaté")</f>
        <v>Ibaté</v>
      </c>
      <c r="B26672" s="20" t="s">
        <v>2557</v>
      </c>
      <c r="C26672" s="20" t="s">
        <v>1905</v>
      </c>
      <c r="D26672" s="20" t="s">
        <v>3354</v>
      </c>
      <c r="E26672" s="10">
        <v>3461625</v>
      </c>
      <c r="F26672" s="4" t="str">
        <f>IF(B26672=B26671,"",B26672)</f>
        <v>Ibaté</v>
      </c>
    </row>
    <row r="26673" spans="1:6" ht="15.75" customHeight="1">
      <c r="A26673" s="15" t="s">
        <v>2557</v>
      </c>
      <c r="B26673" s="15" t="s">
        <v>2558</v>
      </c>
      <c r="C26673" s="15" t="s">
        <v>1905</v>
      </c>
      <c r="D26673" s="15" t="s">
        <v>1914</v>
      </c>
      <c r="E26673" s="2">
        <v>3461625</v>
      </c>
      <c r="F26673" s="4" t="e">
        <f>IF(B26673=#REF!,"",B26673)</f>
        <v>#REF!</v>
      </c>
    </row>
    <row r="26674" spans="1:6" ht="15.75" customHeight="1">
      <c r="A26674" s="15" t="s">
        <v>6433</v>
      </c>
      <c r="B26674" s="15" t="s">
        <v>6433</v>
      </c>
      <c r="C26674" s="15" t="s">
        <v>6398</v>
      </c>
      <c r="D26674" s="15" t="s">
        <v>6401</v>
      </c>
      <c r="E26674" s="2">
        <v>3655673</v>
      </c>
      <c r="F26674" s="4" t="e">
        <f>IF(B26674=#REF!,"",B26674)</f>
        <v>#REF!</v>
      </c>
    </row>
    <row r="26675" spans="1:6" ht="15.75" customHeight="1">
      <c r="A26675" s="15" t="s">
        <v>15724</v>
      </c>
      <c r="B26675" s="15" t="s">
        <v>15724</v>
      </c>
      <c r="C26675" s="15" t="s">
        <v>15704</v>
      </c>
      <c r="D26675" s="15" t="s">
        <v>15853</v>
      </c>
      <c r="E26675" s="2">
        <v>1862033</v>
      </c>
      <c r="F26675" s="4" t="e">
        <f>IF(B26675=#REF!,"",B26675)</f>
        <v>#REF!</v>
      </c>
    </row>
    <row r="26676" spans="1:6" ht="15.75" customHeight="1">
      <c r="A26676" s="15" t="s">
        <v>15980</v>
      </c>
      <c r="B26676" s="15" t="s">
        <v>15980</v>
      </c>
      <c r="C26676" s="15" t="s">
        <v>15704</v>
      </c>
      <c r="D26676" s="15" t="s">
        <v>15981</v>
      </c>
      <c r="E26676" s="2">
        <v>1862034</v>
      </c>
      <c r="F26676" s="4" t="e">
        <f>IF(B26676=#REF!,"",B26676)</f>
        <v>#REF!</v>
      </c>
    </row>
    <row r="26677" spans="1:6" ht="15.75" customHeight="1">
      <c r="A26677" s="15" t="s">
        <v>2556</v>
      </c>
      <c r="B26677" s="15" t="s">
        <v>2556</v>
      </c>
      <c r="C26677" s="15" t="s">
        <v>1905</v>
      </c>
      <c r="D26677" s="15" t="s">
        <v>728</v>
      </c>
      <c r="E26677" s="2">
        <v>3461628</v>
      </c>
      <c r="F26677" s="4" t="str">
        <f>IF(B26677=B26676,"",B26677)</f>
        <v>Ibaiti</v>
      </c>
    </row>
    <row r="26678" spans="1:6" ht="15.75" customHeight="1">
      <c r="A26678" s="16" t="str">
        <f ca="1">IFERROR(__xludf.DUMMYFUNCTION("GOOGLETRANSLATE(B26969,""en"",""pt"")"),"Ibagué")</f>
        <v>Ibagué</v>
      </c>
      <c r="B26678" s="20" t="s">
        <v>5488</v>
      </c>
      <c r="C26678" s="20" t="s">
        <v>5348</v>
      </c>
      <c r="D26678" s="20" t="s">
        <v>5422</v>
      </c>
      <c r="E26678" s="10">
        <v>3680656</v>
      </c>
      <c r="F26678" s="4" t="str">
        <f>IF(B26678=B26677,"",B26678)</f>
        <v>Ibagué</v>
      </c>
    </row>
    <row r="26679" spans="1:6" ht="15.75" customHeight="1">
      <c r="A26679" s="15" t="s">
        <v>5488</v>
      </c>
      <c r="B26679" s="15" t="s">
        <v>5489</v>
      </c>
      <c r="C26679" s="15" t="s">
        <v>5348</v>
      </c>
      <c r="D26679" s="15" t="s">
        <v>5422</v>
      </c>
      <c r="E26679" s="2">
        <v>3680656</v>
      </c>
      <c r="F26679" s="4" t="e">
        <f>IF(B26679=#REF!,"",B26679)</f>
        <v>#REF!</v>
      </c>
    </row>
    <row r="26680" spans="1:6" ht="15.75" customHeight="1">
      <c r="A26680" s="15" t="s">
        <v>19421</v>
      </c>
      <c r="B26680" s="15" t="s">
        <v>19421</v>
      </c>
      <c r="C26680" s="15" t="s">
        <v>19294</v>
      </c>
      <c r="D26680" s="15" t="s">
        <v>19398</v>
      </c>
      <c r="E26680" s="2">
        <v>2339354</v>
      </c>
      <c r="F26680" s="4" t="e">
        <f>IF(B26680=#REF!,"",B26680)</f>
        <v>#REF!</v>
      </c>
    </row>
    <row r="26681" spans="1:6" ht="15.75" customHeight="1">
      <c r="A26681" s="15" t="s">
        <v>20784</v>
      </c>
      <c r="B26681" s="15" t="s">
        <v>20785</v>
      </c>
      <c r="C26681" s="15" t="s">
        <v>20598</v>
      </c>
      <c r="D26681" s="15" t="s">
        <v>20599</v>
      </c>
      <c r="E26681" s="2">
        <v>1711437</v>
      </c>
      <c r="F26681" s="4" t="str">
        <f>IF(B26681=B26680,"",B26681)</f>
        <v>Iba</v>
      </c>
    </row>
    <row r="26682" spans="1:6" ht="15.75" customHeight="1">
      <c r="A26682" s="16" t="str">
        <f ca="1">IFERROR(__xludf.DUMMYFUNCTION("GOOGLETRANSLATE(B39784,""en"",""pt"")"),"Iaşi")</f>
        <v>Iaşi</v>
      </c>
      <c r="B26682" s="20" t="s">
        <v>35379</v>
      </c>
      <c r="C26682" s="20" t="s">
        <v>21824</v>
      </c>
      <c r="D26682" s="20" t="s">
        <v>35379</v>
      </c>
      <c r="E26682" s="10">
        <v>675810</v>
      </c>
      <c r="F26682" s="4" t="str">
        <f>IF(B26682=B26681,"",B26682)</f>
        <v>Iaşi</v>
      </c>
    </row>
    <row r="26683" spans="1:6" ht="15.75" customHeight="1">
      <c r="A26683" s="16" t="str">
        <f ca="1">IFERROR(__xludf.DUMMYFUNCTION("GOOGLETRANSLATE(B24996,""en"",""pt"")"),"Iaçu")</f>
        <v>Iaçu</v>
      </c>
      <c r="B26683" s="20" t="s">
        <v>31646</v>
      </c>
      <c r="C26683" s="20" t="s">
        <v>1905</v>
      </c>
      <c r="D26683" s="20" t="s">
        <v>1947</v>
      </c>
      <c r="E26683" s="10">
        <v>3461638</v>
      </c>
      <c r="F26683" s="4" t="str">
        <f>IF(B26683=B26682,"",B26683)</f>
        <v>Iaçu</v>
      </c>
    </row>
    <row r="26684" spans="1:6" ht="15.75" customHeight="1">
      <c r="A26684" s="15" t="s">
        <v>21945</v>
      </c>
      <c r="B26684" s="15" t="s">
        <v>21946</v>
      </c>
      <c r="C26684" s="15" t="s">
        <v>21824</v>
      </c>
      <c r="D26684" s="15" t="s">
        <v>21946</v>
      </c>
      <c r="E26684" s="2">
        <v>675810</v>
      </c>
      <c r="F26684" s="4" t="str">
        <f>IF(B26684=B26683,"",B26684)</f>
        <v>IaÅŸi</v>
      </c>
    </row>
    <row r="26685" spans="1:6" ht="15.75" customHeight="1">
      <c r="A26685" s="15" t="s">
        <v>2554</v>
      </c>
      <c r="B26685" s="15" t="s">
        <v>2555</v>
      </c>
      <c r="C26685" s="15" t="s">
        <v>1905</v>
      </c>
      <c r="D26685" s="15" t="s">
        <v>1947</v>
      </c>
      <c r="E26685" s="2">
        <v>3461638</v>
      </c>
      <c r="F26685" s="4" t="str">
        <f>IF(B26685=B26684,"",B26685)</f>
        <v>IaÃ§u</v>
      </c>
    </row>
    <row r="26686" spans="1:6" ht="15.75" customHeight="1">
      <c r="A26686" s="15" t="s">
        <v>2552</v>
      </c>
      <c r="B26686" s="15" t="s">
        <v>2553</v>
      </c>
      <c r="C26686" s="15" t="s">
        <v>1905</v>
      </c>
      <c r="D26686" s="15" t="s">
        <v>2020</v>
      </c>
      <c r="E26686" s="2">
        <v>3461519</v>
      </c>
      <c r="F26686" s="4" t="str">
        <f>IF(B26686=B26685,"",B26686)</f>
        <v>IÃ§ara</v>
      </c>
    </row>
    <row r="26687" spans="1:6" ht="15.75" customHeight="1">
      <c r="A26687" s="16" t="s">
        <v>25449</v>
      </c>
      <c r="B26687" s="15" t="s">
        <v>25450</v>
      </c>
      <c r="C26687" s="16" t="s">
        <v>25366</v>
      </c>
      <c r="D26687" s="16" t="s">
        <v>25380</v>
      </c>
      <c r="E26687" s="2">
        <v>172082</v>
      </c>
      <c r="F26687" s="4" t="str">
        <f>IF(B26687=B26686,"",B26687)</f>
        <v>Iâ€˜zÄz</v>
      </c>
    </row>
    <row r="26688" spans="1:6" ht="15.75" customHeight="1">
      <c r="A26688" s="15" t="s">
        <v>6647</v>
      </c>
      <c r="B26688" s="15" t="s">
        <v>6648</v>
      </c>
      <c r="C26688" s="15" t="s">
        <v>6495</v>
      </c>
      <c r="D26688" s="15" t="s">
        <v>6502</v>
      </c>
      <c r="E26688" s="2">
        <v>355420</v>
      </c>
      <c r="F26688" s="4" t="str">
        <f>IF(B26688=B26687,"",B26688)</f>
        <v>IÅ£sÄ</v>
      </c>
    </row>
    <row r="26689" spans="1:6" ht="15.75" customHeight="1">
      <c r="A26689" s="15" t="s">
        <v>21250</v>
      </c>
      <c r="B26689" s="15" t="s">
        <v>21251</v>
      </c>
      <c r="C26689" s="15" t="s">
        <v>21064</v>
      </c>
      <c r="D26689" s="15" t="s">
        <v>21131</v>
      </c>
      <c r="E26689" s="2">
        <v>3097902</v>
      </c>
      <c r="F26689" s="4" t="str">
        <f>IF(B26689=B26688,"",B26689)</f>
        <v>IÅ‚awa</v>
      </c>
    </row>
    <row r="26690" spans="1:6" ht="15.75" customHeight="1">
      <c r="A26690" s="16" t="str">
        <f ca="1">IFERROR(__xludf.DUMMYFUNCTION("GOOGLETRANSLATE(B41441,""en"",""pt"")"),"I‘zāz")</f>
        <v>I‘zāz</v>
      </c>
      <c r="B26690" s="20" t="s">
        <v>35755</v>
      </c>
      <c r="C26690" s="20" t="s">
        <v>25366</v>
      </c>
      <c r="D26690" s="20" t="s">
        <v>25380</v>
      </c>
      <c r="E26690" s="10">
        <v>172082</v>
      </c>
      <c r="F26690" s="4" t="str">
        <f>IF(B26690=B26689,"",B26690)</f>
        <v>I‘zāz</v>
      </c>
    </row>
    <row r="26691" spans="1:6" ht="15.75" customHeight="1">
      <c r="A26691" s="16" t="s">
        <v>30702</v>
      </c>
      <c r="B26691" s="15" t="s">
        <v>30703</v>
      </c>
      <c r="C26691" s="16" t="s">
        <v>5923</v>
      </c>
      <c r="D26691" s="16" t="s">
        <v>30704</v>
      </c>
      <c r="E26691" s="3">
        <v>9999999</v>
      </c>
      <c r="F26691" s="4" t="e">
        <f>IF(B26691=#REF!,"",B26691)</f>
        <v>#REF!</v>
      </c>
    </row>
    <row r="26692" spans="1:6" ht="15.75" customHeight="1">
      <c r="A26692" s="15" t="s">
        <v>6965</v>
      </c>
      <c r="B26692" s="15" t="s">
        <v>6965</v>
      </c>
      <c r="C26692" s="15" t="s">
        <v>6948</v>
      </c>
      <c r="D26692" s="15" t="s">
        <v>6951</v>
      </c>
      <c r="E26692" s="2">
        <v>656913</v>
      </c>
      <c r="F26692" s="4" t="e">
        <f>IF(B26692=#REF!,"",B26692)</f>
        <v>#REF!</v>
      </c>
    </row>
    <row r="26693" spans="1:6" ht="15.75" customHeight="1">
      <c r="A26693" s="15" t="s">
        <v>19628</v>
      </c>
      <c r="B26693" s="15" t="s">
        <v>19629</v>
      </c>
      <c r="C26693" s="15" t="s">
        <v>19589</v>
      </c>
      <c r="D26693" s="15" t="s">
        <v>19627</v>
      </c>
      <c r="E26693" s="2">
        <v>2043837</v>
      </c>
      <c r="F26693" s="4" t="e">
        <f>IF(B26693=#REF!,"",B26693)</f>
        <v>#REF!</v>
      </c>
    </row>
    <row r="26694" spans="1:6" ht="15.75" customHeight="1">
      <c r="A26694" s="16" t="s">
        <v>19626</v>
      </c>
      <c r="B26694" s="15" t="s">
        <v>19626</v>
      </c>
      <c r="C26694" s="16" t="s">
        <v>19589</v>
      </c>
      <c r="D26694" s="16" t="s">
        <v>19627</v>
      </c>
      <c r="E26694" s="2">
        <v>2043835</v>
      </c>
      <c r="F26694" s="4" t="str">
        <f>IF(B26694=B26693,"",B26694)</f>
        <v>Hyesan-dong</v>
      </c>
    </row>
    <row r="26695" spans="1:6" ht="15.75" customHeight="1">
      <c r="A26695" s="16" t="str">
        <f ca="1">IFERROR(__xludf.DUMMYFUNCTION("GOOGLETRANSLATE(B30033,""en"",""pt"")"),"Hyères")</f>
        <v>Hyères</v>
      </c>
      <c r="B26695" s="20" t="s">
        <v>32595</v>
      </c>
      <c r="C26695" s="20" t="s">
        <v>7052</v>
      </c>
      <c r="D26695" s="20" t="s">
        <v>32534</v>
      </c>
      <c r="E26695" s="10">
        <v>3012937</v>
      </c>
      <c r="F26695" s="4" t="e">
        <f>IF(B26695=#REF!,"",B26695)</f>
        <v>#REF!</v>
      </c>
    </row>
    <row r="26696" spans="1:6" ht="15.75" customHeight="1">
      <c r="A26696" s="16" t="s">
        <v>11526</v>
      </c>
      <c r="B26696" s="15" t="s">
        <v>11526</v>
      </c>
      <c r="C26696" s="16" t="s">
        <v>10178</v>
      </c>
      <c r="D26696" s="16" t="s">
        <v>10187</v>
      </c>
      <c r="E26696" s="2">
        <v>1269843</v>
      </c>
      <c r="F26696" s="4" t="e">
        <f>IF(B26696=#REF!,"",B26696)</f>
        <v>#REF!</v>
      </c>
    </row>
    <row r="26697" spans="1:6" ht="15.75" customHeight="1">
      <c r="A26697" s="16" t="s">
        <v>28936</v>
      </c>
      <c r="B26697" s="15" t="s">
        <v>28936</v>
      </c>
      <c r="C26697" s="16" t="s">
        <v>27788</v>
      </c>
      <c r="D26697" s="16" t="s">
        <v>17061</v>
      </c>
      <c r="E26697" s="2">
        <v>4358821</v>
      </c>
      <c r="F26697" s="4" t="str">
        <f>IF(B26697=B26696,"",B26697)</f>
        <v>Hyattsville</v>
      </c>
    </row>
    <row r="26698" spans="1:6" ht="15.75" customHeight="1">
      <c r="A26698" s="15" t="s">
        <v>7402</v>
      </c>
      <c r="B26698" s="15" t="s">
        <v>7403</v>
      </c>
      <c r="C26698" s="15" t="s">
        <v>7052</v>
      </c>
      <c r="D26698" s="15" t="s">
        <v>7087</v>
      </c>
      <c r="E26698" s="2">
        <v>3012937</v>
      </c>
      <c r="F26698" s="4" t="str">
        <f>IF(B26698=B26697,"",B26698)</f>
        <v>HyÃ¨res</v>
      </c>
    </row>
    <row r="26699" spans="1:6" ht="15.75" customHeight="1">
      <c r="A26699" s="16" t="str">
        <f ca="1">IFERROR(__xludf.DUMMYFUNCTION("GOOGLETRANSLATE(B36160,""en"",""pt"")"),"Hwawŏn")</f>
        <v>Hwawŏn</v>
      </c>
      <c r="B26699" s="20" t="s">
        <v>34477</v>
      </c>
      <c r="C26699" s="20" t="s">
        <v>24024</v>
      </c>
      <c r="D26699" s="20" t="s">
        <v>24055</v>
      </c>
      <c r="E26699" s="10">
        <v>1925943</v>
      </c>
      <c r="F26699" s="4" t="str">
        <f>IF(B26699=B26698,"",B26699)</f>
        <v>Hwawŏn</v>
      </c>
    </row>
    <row r="26700" spans="1:6" ht="15.75" customHeight="1">
      <c r="A26700" s="15" t="s">
        <v>24088</v>
      </c>
      <c r="B26700" s="15" t="s">
        <v>24089</v>
      </c>
      <c r="C26700" s="15" t="s">
        <v>24024</v>
      </c>
      <c r="D26700" s="15" t="s">
        <v>24055</v>
      </c>
      <c r="E26700" s="2">
        <v>1925943</v>
      </c>
      <c r="F26700" s="4" t="e">
        <f>IF(B26700=#REF!,"",B26700)</f>
        <v>#REF!</v>
      </c>
    </row>
    <row r="26701" spans="1:6" ht="15.75" customHeight="1">
      <c r="A26701" s="15" t="s">
        <v>24087</v>
      </c>
      <c r="B26701" s="15" t="s">
        <v>24087</v>
      </c>
      <c r="C26701" s="15" t="s">
        <v>24024</v>
      </c>
      <c r="D26701" s="15" t="s">
        <v>24035</v>
      </c>
      <c r="E26701" s="2">
        <v>1843841</v>
      </c>
      <c r="F26701" s="4" t="e">
        <f>IF(B26701=#REF!,"",B26701)</f>
        <v>#REF!</v>
      </c>
    </row>
    <row r="26702" spans="1:6" ht="15.75" customHeight="1">
      <c r="A26702" s="16" t="s">
        <v>24085</v>
      </c>
      <c r="B26702" s="15" t="s">
        <v>24086</v>
      </c>
      <c r="C26702" s="16" t="s">
        <v>24024</v>
      </c>
      <c r="D26702" s="16" t="s">
        <v>24028</v>
      </c>
      <c r="E26702" s="2">
        <v>1843847</v>
      </c>
      <c r="F26702" s="4" t="str">
        <f>IF(B26702=B26701,"",B26702)</f>
        <v>Hwaseong-si</v>
      </c>
    </row>
    <row r="26703" spans="1:6" ht="15.75" customHeight="1">
      <c r="A26703" s="16" t="str">
        <f ca="1">IFERROR(__xludf.DUMMYFUNCTION("GOOGLETRANSLATE(B36010,""en"",""pt"")"),"Hwangju-ŭp")</f>
        <v>Hwangju-ŭp</v>
      </c>
      <c r="B26703" s="20" t="s">
        <v>34448</v>
      </c>
      <c r="C26703" s="20" t="s">
        <v>19589</v>
      </c>
      <c r="D26703" s="20" t="s">
        <v>19592</v>
      </c>
      <c r="E26703" s="10">
        <v>1876873</v>
      </c>
      <c r="F26703" s="4" t="str">
        <f>IF(B26703=B26702,"",B26703)</f>
        <v>Hwangju-ŭp</v>
      </c>
    </row>
    <row r="26704" spans="1:6" ht="15.75" customHeight="1">
      <c r="A26704" s="16" t="s">
        <v>19624</v>
      </c>
      <c r="B26704" s="15" t="s">
        <v>19625</v>
      </c>
      <c r="C26704" s="16" t="s">
        <v>19589</v>
      </c>
      <c r="D26704" s="16" t="s">
        <v>19592</v>
      </c>
      <c r="E26704" s="2">
        <v>1876873</v>
      </c>
      <c r="F26704" s="4" t="e">
        <f>IF(B26704=#REF!,"",B26704)</f>
        <v>#REF!</v>
      </c>
    </row>
    <row r="26705" spans="1:6" ht="15.75" customHeight="1">
      <c r="A26705" s="15" t="s">
        <v>31090</v>
      </c>
      <c r="B26705" s="15" t="s">
        <v>31090</v>
      </c>
      <c r="C26705" s="15" t="s">
        <v>31072</v>
      </c>
      <c r="D26705" s="15" t="s">
        <v>31091</v>
      </c>
      <c r="E26705" s="2">
        <v>889942</v>
      </c>
      <c r="F26705" s="4" t="e">
        <f>IF(B26705=#REF!,"",B26705)</f>
        <v>#REF!</v>
      </c>
    </row>
    <row r="26706" spans="1:6" ht="15.75" customHeight="1">
      <c r="A26706" s="15" t="s">
        <v>24084</v>
      </c>
      <c r="B26706" s="15" t="s">
        <v>24084</v>
      </c>
      <c r="C26706" s="15" t="s">
        <v>24024</v>
      </c>
      <c r="D26706" s="15" t="s">
        <v>24028</v>
      </c>
      <c r="E26706" s="2">
        <v>1897118</v>
      </c>
      <c r="F26706" s="4" t="e">
        <f>IF(B26706=#REF!,"",B26706)</f>
        <v>#REF!</v>
      </c>
    </row>
    <row r="26707" spans="1:6" ht="15.75" customHeight="1">
      <c r="A26707" s="16" t="s">
        <v>24083</v>
      </c>
      <c r="B26707" s="15" t="s">
        <v>24083</v>
      </c>
      <c r="C26707" s="16" t="s">
        <v>24024</v>
      </c>
      <c r="D26707" s="16" t="s">
        <v>24054</v>
      </c>
      <c r="E26707" s="2">
        <v>1844045</v>
      </c>
      <c r="F26707" s="4" t="e">
        <f>IF(B26707=#REF!,"",B26707)</f>
        <v>#REF!</v>
      </c>
    </row>
    <row r="26708" spans="1:6" ht="15.75" customHeight="1">
      <c r="A26708" s="15" t="s">
        <v>6248</v>
      </c>
      <c r="B26708" s="15" t="s">
        <v>6248</v>
      </c>
      <c r="C26708" s="15" t="s">
        <v>6209</v>
      </c>
      <c r="D26708" s="15" t="s">
        <v>6216</v>
      </c>
      <c r="E26708" s="2">
        <v>2619528</v>
      </c>
      <c r="F26708" s="4" t="e">
        <f>IF(B26708=#REF!,"",B26708)</f>
        <v>#REF!</v>
      </c>
    </row>
    <row r="26709" spans="1:6" ht="15.75" customHeight="1">
      <c r="A26709" s="15" t="s">
        <v>4786</v>
      </c>
      <c r="B26709" s="15" t="s">
        <v>4786</v>
      </c>
      <c r="C26709" s="15" t="s">
        <v>4487</v>
      </c>
      <c r="D26709" s="15" t="s">
        <v>4631</v>
      </c>
      <c r="E26709" s="2">
        <v>1806535</v>
      </c>
      <c r="F26709" s="4" t="e">
        <f>IF(B26709=#REF!,"",B26709)</f>
        <v>#REF!</v>
      </c>
    </row>
    <row r="26710" spans="1:6" ht="15.75" customHeight="1">
      <c r="A26710" s="15" t="s">
        <v>1600</v>
      </c>
      <c r="B26710" s="15" t="s">
        <v>1600</v>
      </c>
      <c r="C26710" s="15" t="s">
        <v>1512</v>
      </c>
      <c r="D26710" s="15" t="s">
        <v>1518</v>
      </c>
      <c r="E26710" s="2">
        <v>2795113</v>
      </c>
      <c r="F26710" s="4" t="e">
        <f>IF(B26710=#REF!,"",B26710)</f>
        <v>#REF!</v>
      </c>
    </row>
    <row r="26711" spans="1:6" ht="15.75" customHeight="1">
      <c r="A26711" s="16" t="s">
        <v>28935</v>
      </c>
      <c r="B26711" s="15" t="s">
        <v>28935</v>
      </c>
      <c r="C26711" s="16" t="s">
        <v>27788</v>
      </c>
      <c r="D26711" s="16" t="s">
        <v>28419</v>
      </c>
      <c r="E26711" s="2">
        <v>4273299</v>
      </c>
      <c r="F26711" s="4" t="e">
        <f>IF(B26711=#REF!,"",B26711)</f>
        <v>#REF!</v>
      </c>
    </row>
    <row r="26712" spans="1:6" ht="15.75" customHeight="1">
      <c r="A26712" s="15" t="s">
        <v>4785</v>
      </c>
      <c r="B26712" s="15" t="s">
        <v>4785</v>
      </c>
      <c r="C26712" s="15" t="s">
        <v>4487</v>
      </c>
      <c r="D26712" s="15" t="s">
        <v>4535</v>
      </c>
      <c r="E26712" s="2">
        <v>1806591</v>
      </c>
      <c r="F26712" s="4" t="e">
        <f>IF(B26712=#REF!,"",B26712)</f>
        <v>#REF!</v>
      </c>
    </row>
    <row r="26713" spans="1:6" ht="15.75" customHeight="1">
      <c r="A26713" s="15" t="s">
        <v>8612</v>
      </c>
      <c r="B26713" s="15" t="s">
        <v>8612</v>
      </c>
      <c r="C26713" s="15" t="s">
        <v>8028</v>
      </c>
      <c r="D26713" s="15" t="s">
        <v>8040</v>
      </c>
      <c r="E26713" s="2">
        <v>2897132</v>
      </c>
      <c r="F26713" s="4" t="e">
        <f>IF(B26713=#REF!,"",B26713)</f>
        <v>#REF!</v>
      </c>
    </row>
    <row r="26714" spans="1:6" ht="15.75" customHeight="1">
      <c r="A26714" s="16" t="s">
        <v>25136</v>
      </c>
      <c r="B26714" s="15" t="s">
        <v>25136</v>
      </c>
      <c r="C26714" s="16" t="s">
        <v>25077</v>
      </c>
      <c r="D26714" s="16" t="s">
        <v>25137</v>
      </c>
      <c r="E26714" s="2">
        <v>2704136</v>
      </c>
      <c r="F26714" s="4" t="str">
        <f>IF(B26714=B26713,"",B26714)</f>
        <v>Huskvarna</v>
      </c>
    </row>
    <row r="26715" spans="1:6" ht="15.75" customHeight="1">
      <c r="A26715" s="16" t="str">
        <f ca="1">IFERROR(__xludf.DUMMYFUNCTION("GOOGLETRANSLATE(B39785,""en"",""pt"")"),"Huşi")</f>
        <v>Huşi</v>
      </c>
      <c r="B26715" s="20" t="s">
        <v>35380</v>
      </c>
      <c r="C26715" s="20" t="s">
        <v>21824</v>
      </c>
      <c r="D26715" s="20" t="s">
        <v>21835</v>
      </c>
      <c r="E26715" s="10">
        <v>675892</v>
      </c>
      <c r="F26715" s="4" t="e">
        <f>IF(B26715=#REF!,"",B26715)</f>
        <v>#REF!</v>
      </c>
    </row>
    <row r="26716" spans="1:6" ht="15.75" customHeight="1">
      <c r="A26716" s="15" t="s">
        <v>4784</v>
      </c>
      <c r="B26716" s="15" t="s">
        <v>4784</v>
      </c>
      <c r="C26716" s="15" t="s">
        <v>4487</v>
      </c>
      <c r="D26716" s="15" t="s">
        <v>4505</v>
      </c>
      <c r="E26716" s="2">
        <v>2036619</v>
      </c>
      <c r="F26716" s="4" t="str">
        <f>IF(B26716=B26715,"",B26716)</f>
        <v>Hushitai</v>
      </c>
    </row>
    <row r="26717" spans="1:6" ht="15.75" customHeight="1">
      <c r="A26717" s="16" t="str">
        <f ca="1">IFERROR(__xludf.DUMMYFUNCTION("GOOGLETRANSLATE(B33337,""en"",""pt"")"),"Husainābād")</f>
        <v>Husainābād</v>
      </c>
      <c r="B26717" s="20" t="s">
        <v>33655</v>
      </c>
      <c r="C26717" s="20" t="s">
        <v>10178</v>
      </c>
      <c r="D26717" s="20" t="s">
        <v>10430</v>
      </c>
      <c r="E26717" s="10">
        <v>1269862</v>
      </c>
      <c r="F26717" s="4" t="str">
        <f>IF(B26717=B26716,"",B26717)</f>
        <v>Husainābād</v>
      </c>
    </row>
    <row r="26718" spans="1:6" ht="15.75" customHeight="1">
      <c r="A26718" s="16" t="s">
        <v>11524</v>
      </c>
      <c r="B26718" s="15" t="s">
        <v>11525</v>
      </c>
      <c r="C26718" s="16" t="s">
        <v>10178</v>
      </c>
      <c r="D26718" s="16" t="s">
        <v>10430</v>
      </c>
      <c r="E26718" s="2">
        <v>1269862</v>
      </c>
      <c r="F26718" s="4" t="str">
        <f>IF(B26718=B26717,"",B26718)</f>
        <v>HusainÄbÄd</v>
      </c>
    </row>
    <row r="26719" spans="1:6" ht="15.75" customHeight="1">
      <c r="A26719" s="16" t="str">
        <f ca="1">IFERROR(__xludf.DUMMYFUNCTION("GOOGLETRANSLATE(B27927,""en"",""pt"")"),"Hürth")</f>
        <v>Hürth</v>
      </c>
      <c r="B26719" s="20" t="s">
        <v>32086</v>
      </c>
      <c r="C26719" s="20" t="s">
        <v>8028</v>
      </c>
      <c r="D26719" s="20" t="s">
        <v>8029</v>
      </c>
      <c r="E26719" s="10">
        <v>2897216</v>
      </c>
      <c r="F26719" s="4" t="e">
        <f>IF(B26719=#REF!,"",B26719)</f>
        <v>#REF!</v>
      </c>
    </row>
    <row r="26720" spans="1:6" ht="15.75" customHeight="1">
      <c r="A26720" s="15" t="s">
        <v>28934</v>
      </c>
      <c r="B26720" s="15" t="s">
        <v>28934</v>
      </c>
      <c r="C26720" s="15" t="s">
        <v>27788</v>
      </c>
      <c r="D26720" s="15" t="s">
        <v>27792</v>
      </c>
      <c r="E26720" s="2">
        <v>4699575</v>
      </c>
      <c r="F26720" s="4" t="e">
        <f>IF(B26720=#REF!,"",B26720)</f>
        <v>#REF!</v>
      </c>
    </row>
    <row r="26721" spans="1:6" ht="15.75" customHeight="1">
      <c r="A26721" s="15" t="s">
        <v>6646</v>
      </c>
      <c r="B26721" s="15" t="s">
        <v>6646</v>
      </c>
      <c r="C26721" s="15" t="s">
        <v>6495</v>
      </c>
      <c r="D26721" s="15" t="s">
        <v>6584</v>
      </c>
      <c r="E26721" s="2">
        <v>361291</v>
      </c>
      <c r="F26721" s="4" t="e">
        <f>IF(B26721=#REF!,"",B26721)</f>
        <v>#REF!</v>
      </c>
    </row>
    <row r="26722" spans="1:6" ht="15.75" customHeight="1">
      <c r="A26722" s="16" t="s">
        <v>4783</v>
      </c>
      <c r="B26722" s="15" t="s">
        <v>4783</v>
      </c>
      <c r="C26722" s="16" t="s">
        <v>4487</v>
      </c>
      <c r="D26722" s="16" t="s">
        <v>4501</v>
      </c>
      <c r="E26722" s="2">
        <v>1806651</v>
      </c>
      <c r="F26722" s="4" t="str">
        <f>IF(B26722=B26721,"",B26722)</f>
        <v>Huoqiu Chengguanzhen</v>
      </c>
    </row>
    <row r="26723" spans="1:6" ht="15.75" customHeight="1">
      <c r="A26723" s="15" t="s">
        <v>17987</v>
      </c>
      <c r="B26723" s="15" t="s">
        <v>17988</v>
      </c>
      <c r="C26723" s="15" t="s">
        <v>17707</v>
      </c>
      <c r="D26723" s="15" t="s">
        <v>17823</v>
      </c>
      <c r="E26723" s="2">
        <v>3526838</v>
      </c>
      <c r="F26723" s="4" t="str">
        <f>IF(B26723=B26722,"",B26723)</f>
        <v>HunucmÃ¡</v>
      </c>
    </row>
    <row r="26724" spans="1:6" ht="15.75" customHeight="1">
      <c r="A26724" s="16" t="str">
        <f ca="1">IFERROR(__xludf.DUMMYFUNCTION("GOOGLETRANSLATE(B37014,""en"",""pt"")"),"Hunucmá")</f>
        <v>Hunucmá</v>
      </c>
      <c r="B26724" s="20" t="s">
        <v>34700</v>
      </c>
      <c r="C26724" s="20" t="s">
        <v>17707</v>
      </c>
      <c r="D26724" s="20" t="s">
        <v>34661</v>
      </c>
      <c r="E26724" s="10">
        <v>3526838</v>
      </c>
      <c r="F26724" s="4" t="e">
        <f>IF(B26724=#REF!,"",B26724)</f>
        <v>#REF!</v>
      </c>
    </row>
    <row r="26725" spans="1:6" ht="15.75" customHeight="1">
      <c r="A26725" s="16" t="s">
        <v>4065</v>
      </c>
      <c r="B26725" s="15" t="s">
        <v>4065</v>
      </c>
      <c r="C26725" s="16" t="s">
        <v>3975</v>
      </c>
      <c r="D26725" s="16" t="s">
        <v>3980</v>
      </c>
      <c r="E26725" s="2">
        <v>5978765</v>
      </c>
      <c r="F26725" s="4" t="e">
        <f>IF(B26725=#REF!,"",B26725)</f>
        <v>#REF!</v>
      </c>
    </row>
    <row r="26726" spans="1:6" ht="15.75" customHeight="1">
      <c r="A26726" s="15" t="s">
        <v>28933</v>
      </c>
      <c r="B26726" s="15" t="s">
        <v>28933</v>
      </c>
      <c r="C26726" s="15" t="s">
        <v>27788</v>
      </c>
      <c r="D26726" s="15" t="s">
        <v>27799</v>
      </c>
      <c r="E26726" s="2">
        <v>4896691</v>
      </c>
      <c r="F26726" s="4" t="e">
        <f>IF(B26726=#REF!,"",B26726)</f>
        <v>#REF!</v>
      </c>
    </row>
    <row r="26727" spans="1:6" ht="15.75" customHeight="1">
      <c r="A26727" s="16" t="s">
        <v>28931</v>
      </c>
      <c r="B26727" s="15" t="s">
        <v>28932</v>
      </c>
      <c r="C26727" s="16" t="s">
        <v>27788</v>
      </c>
      <c r="D26727" s="16" t="s">
        <v>27819</v>
      </c>
      <c r="E26727" s="2">
        <v>5121650</v>
      </c>
      <c r="F26727" s="4" t="e">
        <f>IF(B26727=#REF!,"",B26727)</f>
        <v>#REF!</v>
      </c>
    </row>
    <row r="26728" spans="1:6" ht="15.75" customHeight="1">
      <c r="A26728" s="16" t="s">
        <v>28930</v>
      </c>
      <c r="B26728" s="15" t="s">
        <v>28930</v>
      </c>
      <c r="C26728" s="16" t="s">
        <v>27788</v>
      </c>
      <c r="D26728" s="16" t="s">
        <v>27801</v>
      </c>
      <c r="E26728" s="2">
        <v>5358736</v>
      </c>
      <c r="F26728" s="4" t="e">
        <f>IF(B26728=#REF!,"",B26728)</f>
        <v>#REF!</v>
      </c>
    </row>
    <row r="26729" spans="1:6" ht="15.75" customHeight="1">
      <c r="A26729" s="16" t="s">
        <v>28928</v>
      </c>
      <c r="B26729" s="15" t="s">
        <v>28929</v>
      </c>
      <c r="C26729" s="16" t="s">
        <v>27788</v>
      </c>
      <c r="D26729" s="16" t="s">
        <v>27801</v>
      </c>
      <c r="E26729" s="2">
        <v>5358705</v>
      </c>
      <c r="F26729" s="4" t="e">
        <f>IF(B26729=#REF!,"",B26729)</f>
        <v>#REF!</v>
      </c>
    </row>
    <row r="26730" spans="1:6" ht="15.75" customHeight="1">
      <c r="A26730" s="16" t="s">
        <v>28927</v>
      </c>
      <c r="B26730" s="15" t="s">
        <v>28927</v>
      </c>
      <c r="C26730" s="16" t="s">
        <v>27788</v>
      </c>
      <c r="D26730" s="16" t="s">
        <v>27869</v>
      </c>
      <c r="E26730" s="2">
        <v>4921725</v>
      </c>
      <c r="F26730" s="4" t="e">
        <f>IF(B26730=#REF!,"",B26730)</f>
        <v>#REF!</v>
      </c>
    </row>
    <row r="26731" spans="1:6" ht="15.75" customHeight="1">
      <c r="A26731" s="16" t="s">
        <v>28926</v>
      </c>
      <c r="B26731" s="15" t="s">
        <v>28926</v>
      </c>
      <c r="C26731" s="16" t="s">
        <v>27788</v>
      </c>
      <c r="D26731" s="16" t="s">
        <v>27822</v>
      </c>
      <c r="E26731" s="2">
        <v>4472370</v>
      </c>
      <c r="F26731" s="4" t="e">
        <f>IF(B26731=#REF!,"",B26731)</f>
        <v>#REF!</v>
      </c>
    </row>
    <row r="26732" spans="1:6" ht="15.75" customHeight="1">
      <c r="A26732" s="16" t="s">
        <v>28925</v>
      </c>
      <c r="B26732" s="15" t="s">
        <v>28925</v>
      </c>
      <c r="C26732" s="16" t="s">
        <v>27788</v>
      </c>
      <c r="D26732" s="16" t="s">
        <v>17061</v>
      </c>
      <c r="E26732" s="2">
        <v>4358701</v>
      </c>
      <c r="F26732" s="4" t="str">
        <f>IF(B26732=B26731,"",B26732)</f>
        <v>Hunt Valley</v>
      </c>
    </row>
    <row r="26733" spans="1:6" ht="15.75" customHeight="1">
      <c r="A26733" s="16" t="str">
        <f ca="1">IFERROR(__xludf.DUMMYFUNCTION("GOOGLETRANSLATE(B33338,""en"",""pt"")"),"Hunsūr")</f>
        <v>Hunsūr</v>
      </c>
      <c r="B26733" s="20" t="s">
        <v>33656</v>
      </c>
      <c r="C26733" s="20" t="s">
        <v>10178</v>
      </c>
      <c r="D26733" s="20" t="s">
        <v>10252</v>
      </c>
      <c r="E26733" s="10">
        <v>1269873</v>
      </c>
      <c r="F26733" s="4" t="str">
        <f>IF(B26733=B26732,"",B26733)</f>
        <v>Hunsūr</v>
      </c>
    </row>
    <row r="26734" spans="1:6" ht="15.75" customHeight="1">
      <c r="A26734" s="15" t="s">
        <v>11522</v>
      </c>
      <c r="B26734" s="15" t="s">
        <v>11523</v>
      </c>
      <c r="C26734" s="15" t="s">
        <v>10178</v>
      </c>
      <c r="D26734" s="15" t="s">
        <v>10252</v>
      </c>
      <c r="E26734" s="2">
        <v>1269873</v>
      </c>
      <c r="F26734" s="4" t="e">
        <f>IF(B26734=#REF!,"",B26734)</f>
        <v>#REF!</v>
      </c>
    </row>
    <row r="26735" spans="1:6" ht="15.75" customHeight="1">
      <c r="A26735" s="15" t="s">
        <v>11521</v>
      </c>
      <c r="B26735" s="15" t="s">
        <v>11521</v>
      </c>
      <c r="C26735" s="15" t="s">
        <v>10178</v>
      </c>
      <c r="D26735" s="15" t="s">
        <v>10252</v>
      </c>
      <c r="E26735" s="2">
        <v>1269876</v>
      </c>
      <c r="F26735" s="4" t="str">
        <f>IF(B26735=B26734,"",B26735)</f>
        <v>Hungund</v>
      </c>
    </row>
    <row r="26736" spans="1:6" ht="15.75" customHeight="1">
      <c r="A26736" s="16" t="str">
        <f ca="1">IFERROR(__xludf.DUMMYFUNCTION("GOOGLETRANSLATE(B36011,""en"",""pt"")"),"Hŭngnam")</f>
        <v>Hŭngnam</v>
      </c>
      <c r="B26736" s="20" t="s">
        <v>34449</v>
      </c>
      <c r="C26736" s="20" t="s">
        <v>19589</v>
      </c>
      <c r="D26736" s="20" t="s">
        <v>34439</v>
      </c>
      <c r="E26736" s="10">
        <v>1877030</v>
      </c>
      <c r="F26736" s="4" t="str">
        <f>IF(B26736=B26735,"",B26736)</f>
        <v>Hŭngnam</v>
      </c>
    </row>
    <row r="26737" spans="1:6" ht="15.75" customHeight="1">
      <c r="A26737" s="16" t="str">
        <f ca="1">IFERROR(__xludf.DUMMYFUNCTION("GOOGLETRANSLATE(B45753,""en"",""pt"")"),"Hưng yin")</f>
        <v>Hưng yin</v>
      </c>
      <c r="B26737" s="20" t="s">
        <v>36162</v>
      </c>
      <c r="C26737" s="20" t="s">
        <v>30784</v>
      </c>
      <c r="D26737" s="20" t="s">
        <v>36162</v>
      </c>
      <c r="E26737" s="10">
        <v>1580142</v>
      </c>
      <c r="F26737" s="4" t="str">
        <f>IF(B26737=B26736,"",B26737)</f>
        <v>Hưng Yên</v>
      </c>
    </row>
    <row r="26738" spans="1:6" ht="15.75" customHeight="1">
      <c r="A26738" s="16" t="str">
        <f ca="1">IFERROR(__xludf.DUMMYFUNCTION("GOOGLETRANSLATE(B27928,""en"",""pt"")"),"Hünfeld")</f>
        <v>Hünfeld</v>
      </c>
      <c r="B26738" s="20" t="s">
        <v>32087</v>
      </c>
      <c r="C26738" s="20" t="s">
        <v>8028</v>
      </c>
      <c r="D26738" s="20" t="s">
        <v>8050</v>
      </c>
      <c r="E26738" s="10">
        <v>2897436</v>
      </c>
      <c r="F26738" s="4" t="e">
        <f>IF(B26738=#REF!,"",B26738)</f>
        <v>#REF!</v>
      </c>
    </row>
    <row r="26739" spans="1:6" ht="15.75" customHeight="1">
      <c r="A26739" s="16" t="s">
        <v>21865</v>
      </c>
      <c r="B26739" s="15" t="s">
        <v>21865</v>
      </c>
      <c r="C26739" s="16" t="s">
        <v>21824</v>
      </c>
      <c r="D26739" s="16" t="s">
        <v>21865</v>
      </c>
      <c r="E26739" s="2">
        <v>675918</v>
      </c>
      <c r="F26739" s="4" t="e">
        <f>IF(B26739=#REF!,"",B26739)</f>
        <v>#REF!</v>
      </c>
    </row>
    <row r="26740" spans="1:6" ht="15.75" customHeight="1">
      <c r="A26740" s="15" t="s">
        <v>4782</v>
      </c>
      <c r="B26740" s="15" t="s">
        <v>4782</v>
      </c>
      <c r="C26740" s="15" t="s">
        <v>4487</v>
      </c>
      <c r="D26740" s="15" t="s">
        <v>4518</v>
      </c>
      <c r="E26740" s="2">
        <v>2036653</v>
      </c>
      <c r="F26740" s="4" t="str">
        <f>IF(B26740=B26739,"",B26740)</f>
        <v>Hunchun</v>
      </c>
    </row>
    <row r="26741" spans="1:6" ht="15.75" customHeight="1">
      <c r="A26741" s="16" t="str">
        <f ca="1">IFERROR(__xludf.DUMMYFUNCTION("GOOGLETRANSLATE(B36442,""en"",""pt"")"),"Hūn")</f>
        <v>Hūn</v>
      </c>
      <c r="B26741" s="20" t="s">
        <v>34575</v>
      </c>
      <c r="C26741" s="20" t="s">
        <v>17074</v>
      </c>
      <c r="D26741" s="20" t="s">
        <v>17120</v>
      </c>
      <c r="E26741" s="10">
        <v>2216645</v>
      </c>
      <c r="F26741" s="4" t="str">
        <f>IF(B26741=B26740,"",B26741)</f>
        <v>Hūn</v>
      </c>
    </row>
    <row r="26742" spans="1:6" ht="15.75" customHeight="1">
      <c r="A26742" s="16" t="str">
        <f ca="1">IFERROR(__xludf.DUMMYFUNCTION("GOOGLETRANSLATE(B27929,""en"",""pt"")"),"Hummelsbüttel")</f>
        <v>Hummelsbüttel</v>
      </c>
      <c r="B26742" s="20" t="s">
        <v>8610</v>
      </c>
      <c r="C26742" s="20" t="s">
        <v>8028</v>
      </c>
      <c r="D26742" s="20" t="s">
        <v>8059</v>
      </c>
      <c r="E26742" s="10">
        <v>2897674</v>
      </c>
      <c r="F26742" s="4" t="str">
        <f>IF(B26742=B26741,"",B26742)</f>
        <v>Hummelsbüttel</v>
      </c>
    </row>
    <row r="26743" spans="1:6" ht="15.75" customHeight="1">
      <c r="A26743" s="16" t="s">
        <v>8610</v>
      </c>
      <c r="B26743" s="15" t="s">
        <v>8611</v>
      </c>
      <c r="C26743" s="16" t="s">
        <v>8028</v>
      </c>
      <c r="D26743" s="16" t="s">
        <v>8059</v>
      </c>
      <c r="E26743" s="2">
        <v>2897674</v>
      </c>
      <c r="F26743" s="4" t="str">
        <f>IF(B26743=B26742,"",B26743)</f>
        <v>HummelsbÃ¼ttel</v>
      </c>
    </row>
    <row r="26744" spans="1:6" ht="15.75" customHeight="1">
      <c r="A26744" s="16" t="str">
        <f ca="1">IFERROR(__xludf.DUMMYFUNCTION("GOOGLETRANSLATE(B41233,""en"",""pt"")"),"Humenné")</f>
        <v>Humenné</v>
      </c>
      <c r="B26744" s="20" t="s">
        <v>23723</v>
      </c>
      <c r="C26744" s="20" t="s">
        <v>23694</v>
      </c>
      <c r="D26744" s="20" t="s">
        <v>35666</v>
      </c>
      <c r="E26744" s="10">
        <v>724627</v>
      </c>
      <c r="F26744" s="4" t="str">
        <f>IF(B26744=B26743,"",B26744)</f>
        <v>Humenné</v>
      </c>
    </row>
    <row r="26745" spans="1:6" ht="15.75" customHeight="1">
      <c r="A26745" s="16" t="s">
        <v>23723</v>
      </c>
      <c r="B26745" s="15" t="s">
        <v>23724</v>
      </c>
      <c r="C26745" s="16" t="s">
        <v>23694</v>
      </c>
      <c r="D26745" s="16" t="s">
        <v>23706</v>
      </c>
      <c r="E26745" s="2">
        <v>724627</v>
      </c>
      <c r="F26745" s="4" t="e">
        <f>IF(B26745=#REF!,"",B26745)</f>
        <v>#REF!</v>
      </c>
    </row>
    <row r="26746" spans="1:6" ht="15.75" customHeight="1">
      <c r="A26746" s="15" t="s">
        <v>4781</v>
      </c>
      <c r="B26746" s="15" t="s">
        <v>4781</v>
      </c>
      <c r="C26746" s="15" t="s">
        <v>4487</v>
      </c>
      <c r="D26746" s="15" t="s">
        <v>4492</v>
      </c>
      <c r="E26746" s="2">
        <v>1806696</v>
      </c>
      <c r="F26746" s="4" t="e">
        <f>IF(B26746=#REF!,"",B26746)</f>
        <v>#REF!</v>
      </c>
    </row>
    <row r="26747" spans="1:6" ht="15.75" customHeight="1">
      <c r="A26747" s="16" t="s">
        <v>8609</v>
      </c>
      <c r="B26747" s="15" t="s">
        <v>8609</v>
      </c>
      <c r="C26747" s="16" t="s">
        <v>8028</v>
      </c>
      <c r="D26747" s="16" t="s">
        <v>8029</v>
      </c>
      <c r="E26747" s="2">
        <v>2897732</v>
      </c>
      <c r="F26747" s="4" t="e">
        <f>IF(B26747=#REF!,"",B26747)</f>
        <v>#REF!</v>
      </c>
    </row>
    <row r="26748" spans="1:6" ht="15.75" customHeight="1">
      <c r="A26748" s="15" t="s">
        <v>28923</v>
      </c>
      <c r="B26748" s="15" t="s">
        <v>28924</v>
      </c>
      <c r="C26748" s="15" t="s">
        <v>27788</v>
      </c>
      <c r="D26748" s="15" t="s">
        <v>27792</v>
      </c>
      <c r="E26748" s="2">
        <v>4699442</v>
      </c>
      <c r="F26748" s="4" t="e">
        <f>IF(B26748=#REF!,"",B26748)</f>
        <v>#REF!</v>
      </c>
    </row>
    <row r="26749" spans="1:6" ht="15.75" customHeight="1">
      <c r="A26749" s="16" t="s">
        <v>24511</v>
      </c>
      <c r="B26749" s="15" t="s">
        <v>24511</v>
      </c>
      <c r="C26749" s="16" t="s">
        <v>24200</v>
      </c>
      <c r="D26749" s="16" t="s">
        <v>5513</v>
      </c>
      <c r="E26749" s="2">
        <v>3120501</v>
      </c>
      <c r="F26749" s="4" t="str">
        <f>IF(B26749=B26748,"",B26749)</f>
        <v>Humanes de Madrid</v>
      </c>
    </row>
    <row r="26750" spans="1:6" ht="15.75" customHeight="1">
      <c r="A26750" s="15" t="s">
        <v>2550</v>
      </c>
      <c r="B26750" s="15" t="s">
        <v>2551</v>
      </c>
      <c r="C26750" s="15" t="s">
        <v>1905</v>
      </c>
      <c r="D26750" s="15" t="s">
        <v>2287</v>
      </c>
      <c r="E26750" s="2">
        <v>3664078</v>
      </c>
      <c r="F26750" s="4" t="str">
        <f>IF(B26750=B26749,"",B26750)</f>
        <v>HumaitÃ¡</v>
      </c>
    </row>
    <row r="26751" spans="1:6" ht="15.75" customHeight="1">
      <c r="A26751" s="16" t="str">
        <f ca="1">IFERROR(__xludf.DUMMYFUNCTION("GOOGLETRANSLATE(B25315,""en"",""pt"")"),"Humaitá")</f>
        <v>Humaitá</v>
      </c>
      <c r="B26751" s="20" t="s">
        <v>31742</v>
      </c>
      <c r="C26751" s="20" t="s">
        <v>1905</v>
      </c>
      <c r="D26751" s="20" t="s">
        <v>2287</v>
      </c>
      <c r="E26751" s="10">
        <v>3664078</v>
      </c>
      <c r="F26751" s="4" t="e">
        <f>IF(B26751=#REF!,"",B26751)</f>
        <v>#REF!</v>
      </c>
    </row>
    <row r="26752" spans="1:6" ht="15.75" customHeight="1">
      <c r="A26752" s="15" t="s">
        <v>21764</v>
      </c>
      <c r="B26752" s="15" t="s">
        <v>21764</v>
      </c>
      <c r="C26752" s="15" t="s">
        <v>747</v>
      </c>
      <c r="D26752" s="15" t="s">
        <v>21764</v>
      </c>
      <c r="E26752" s="2">
        <v>4565564</v>
      </c>
      <c r="F26752" s="4" t="e">
        <f>IF(B26752=#REF!,"",B26752)</f>
        <v>#REF!</v>
      </c>
    </row>
    <row r="26753" spans="1:6" ht="15.75" customHeight="1">
      <c r="A26753" s="16" t="s">
        <v>26977</v>
      </c>
      <c r="B26753" s="15" t="s">
        <v>26977</v>
      </c>
      <c r="C26753" s="16" t="s">
        <v>26870</v>
      </c>
      <c r="D26753" s="16" t="s">
        <v>26898</v>
      </c>
      <c r="E26753" s="2">
        <v>707898</v>
      </c>
      <c r="F26753" s="4" t="e">
        <f>IF(B26753=#REF!,"",B26753)</f>
        <v>#REF!</v>
      </c>
    </row>
    <row r="26754" spans="1:6" ht="15.75" customHeight="1">
      <c r="A26754" s="15" t="s">
        <v>27453</v>
      </c>
      <c r="B26754" s="15" t="s">
        <v>27454</v>
      </c>
      <c r="C26754" s="15" t="s">
        <v>27234</v>
      </c>
      <c r="D26754" s="15" t="s">
        <v>27241</v>
      </c>
      <c r="E26754" s="2">
        <v>2645425</v>
      </c>
      <c r="F26754" s="4" t="e">
        <f>IF(B26754=#REF!,"",B26754)</f>
        <v>#REF!</v>
      </c>
    </row>
    <row r="26755" spans="1:6" ht="15.75" customHeight="1">
      <c r="A26755" s="16" t="s">
        <v>4779</v>
      </c>
      <c r="B26755" s="15" t="s">
        <v>4780</v>
      </c>
      <c r="C26755" s="16" t="s">
        <v>4487</v>
      </c>
      <c r="D26755" s="16" t="s">
        <v>4488</v>
      </c>
      <c r="E26755" s="2">
        <v>2036670</v>
      </c>
      <c r="F26755" s="4" t="e">
        <f>IF(B26755=#REF!,"",B26755)</f>
        <v>#REF!</v>
      </c>
    </row>
    <row r="26756" spans="1:6" ht="15.75" customHeight="1">
      <c r="A26756" s="15" t="s">
        <v>4777</v>
      </c>
      <c r="B26756" s="15" t="s">
        <v>4778</v>
      </c>
      <c r="C26756" s="15" t="s">
        <v>4487</v>
      </c>
      <c r="D26756" s="15" t="s">
        <v>4488</v>
      </c>
      <c r="E26756" s="2">
        <v>2036671</v>
      </c>
      <c r="F26756" s="4" t="str">
        <f>IF(B26756=B26755,"",B26756)</f>
        <v>Hulan</v>
      </c>
    </row>
    <row r="26757" spans="1:6" ht="15.75" customHeight="1">
      <c r="A26757" s="16" t="str">
        <f ca="1">IFERROR(__xludf.DUMMYFUNCTION("GOOGLETRANSLATE(B36012,""en"",""pt"")"),"Hŭkkyo-ri")</f>
        <v>Hŭkkyo-ri</v>
      </c>
      <c r="B26757" s="20" t="s">
        <v>34450</v>
      </c>
      <c r="C26757" s="20" t="s">
        <v>19589</v>
      </c>
      <c r="D26757" s="20" t="s">
        <v>19592</v>
      </c>
      <c r="E26757" s="10">
        <v>1877046</v>
      </c>
      <c r="F26757" s="4" t="e">
        <f>IF(B26757=#REF!,"",B26757)</f>
        <v>#REF!</v>
      </c>
    </row>
    <row r="26758" spans="1:6" ht="15.75" customHeight="1">
      <c r="A26758" s="15" t="s">
        <v>11520</v>
      </c>
      <c r="B26758" s="15" t="s">
        <v>11520</v>
      </c>
      <c r="C26758" s="15" t="s">
        <v>10178</v>
      </c>
      <c r="D26758" s="15" t="s">
        <v>10252</v>
      </c>
      <c r="E26758" s="2">
        <v>1269908</v>
      </c>
      <c r="F26758" s="4" t="e">
        <f>IF(B26758=#REF!,"",B26758)</f>
        <v>#REF!</v>
      </c>
    </row>
    <row r="26759" spans="1:6" ht="15.75" customHeight="1">
      <c r="A26759" s="15" t="s">
        <v>19948</v>
      </c>
      <c r="B26759" s="15" t="s">
        <v>19948</v>
      </c>
      <c r="C26759" s="15" t="s">
        <v>19808</v>
      </c>
      <c r="D26759" s="15" t="s">
        <v>10184</v>
      </c>
      <c r="E26759" s="2">
        <v>1176800</v>
      </c>
      <c r="F26759" s="4" t="e">
        <f>IF(B26759=#REF!,"",B26759)</f>
        <v>#REF!</v>
      </c>
    </row>
    <row r="26760" spans="1:6" ht="15.75" customHeight="1">
      <c r="A26760" s="15" t="s">
        <v>4776</v>
      </c>
      <c r="B26760" s="15" t="s">
        <v>4776</v>
      </c>
      <c r="C26760" s="15" t="s">
        <v>4487</v>
      </c>
      <c r="D26760" s="15" t="s">
        <v>4492</v>
      </c>
      <c r="E26760" s="2">
        <v>1806776</v>
      </c>
      <c r="F26760" s="4" t="e">
        <f>IF(B26760=#REF!,"",B26760)</f>
        <v>#REF!</v>
      </c>
    </row>
    <row r="26761" spans="1:6" ht="15.75" customHeight="1">
      <c r="A26761" s="15" t="s">
        <v>19008</v>
      </c>
      <c r="B26761" s="15" t="s">
        <v>19008</v>
      </c>
      <c r="C26761" s="15" t="s">
        <v>18862</v>
      </c>
      <c r="D26761" s="15" t="s">
        <v>18863</v>
      </c>
      <c r="E26761" s="2">
        <v>2753468</v>
      </c>
      <c r="F26761" s="4" t="e">
        <f>IF(B26761=#REF!,"",B26761)</f>
        <v>#REF!</v>
      </c>
    </row>
    <row r="26762" spans="1:6" ht="15.75" customHeight="1">
      <c r="A26762" s="15" t="s">
        <v>17986</v>
      </c>
      <c r="B26762" s="15" t="s">
        <v>17986</v>
      </c>
      <c r="C26762" s="15" t="s">
        <v>17707</v>
      </c>
      <c r="D26762" s="15" t="s">
        <v>17770</v>
      </c>
      <c r="E26762" s="2">
        <v>3526855</v>
      </c>
      <c r="F26762" s="4" t="e">
        <f>IF(B26762=#REF!,"",B26762)</f>
        <v>#REF!</v>
      </c>
    </row>
    <row r="26763" spans="1:6" ht="15.75" customHeight="1">
      <c r="A26763" s="16" t="s">
        <v>17985</v>
      </c>
      <c r="B26763" s="15" t="s">
        <v>17985</v>
      </c>
      <c r="C26763" s="16" t="s">
        <v>17707</v>
      </c>
      <c r="D26763" s="16" t="s">
        <v>17736</v>
      </c>
      <c r="E26763" s="2">
        <v>3827414</v>
      </c>
      <c r="F26763" s="4" t="e">
        <f>IF(B26763=#REF!,"",B26763)</f>
        <v>#REF!</v>
      </c>
    </row>
    <row r="26764" spans="1:6" ht="15.75" customHeight="1">
      <c r="A26764" s="16" t="s">
        <v>17983</v>
      </c>
      <c r="B26764" s="15" t="s">
        <v>17984</v>
      </c>
      <c r="C26764" s="16" t="s">
        <v>17707</v>
      </c>
      <c r="D26764" s="16" t="s">
        <v>17723</v>
      </c>
      <c r="E26764" s="2">
        <v>3526864</v>
      </c>
      <c r="F26764" s="4" t="e">
        <f>IF(B26764=#REF!,"",B26764)</f>
        <v>#REF!</v>
      </c>
    </row>
    <row r="26765" spans="1:6" ht="15.75" customHeight="1">
      <c r="A26765" s="15" t="s">
        <v>4775</v>
      </c>
      <c r="B26765" s="15" t="s">
        <v>4775</v>
      </c>
      <c r="C26765" s="15" t="s">
        <v>4487</v>
      </c>
      <c r="D26765" s="15" t="s">
        <v>4518</v>
      </c>
      <c r="E26765" s="2">
        <v>2036685</v>
      </c>
      <c r="F26765" s="4" t="e">
        <f>IF(B26765=#REF!,"",B26765)</f>
        <v>#REF!</v>
      </c>
    </row>
    <row r="26766" spans="1:6" ht="15.75" customHeight="1">
      <c r="A26766" s="16" t="s">
        <v>17982</v>
      </c>
      <c r="B26766" s="15" t="s">
        <v>17982</v>
      </c>
      <c r="C26766" s="16" t="s">
        <v>17707</v>
      </c>
      <c r="D26766" s="16" t="s">
        <v>17788</v>
      </c>
      <c r="E26766" s="2">
        <v>3526908</v>
      </c>
      <c r="F26766" s="4" t="e">
        <f>IF(B26766=#REF!,"",B26766)</f>
        <v>#REF!</v>
      </c>
    </row>
    <row r="26767" spans="1:6" ht="15.75" customHeight="1">
      <c r="A26767" s="15" t="s">
        <v>4774</v>
      </c>
      <c r="B26767" s="15" t="s">
        <v>4774</v>
      </c>
      <c r="C26767" s="15" t="s">
        <v>4487</v>
      </c>
      <c r="D26767" s="15" t="s">
        <v>4535</v>
      </c>
      <c r="E26767" s="2">
        <v>1806840</v>
      </c>
      <c r="F26767" s="4" t="e">
        <f>IF(B26767=#REF!,"",B26767)</f>
        <v>#REF!</v>
      </c>
    </row>
    <row r="26768" spans="1:6" ht="15.75" customHeight="1">
      <c r="A26768" s="15" t="s">
        <v>17981</v>
      </c>
      <c r="B26768" s="15" t="s">
        <v>17981</v>
      </c>
      <c r="C26768" s="15" t="s">
        <v>17707</v>
      </c>
      <c r="D26768" s="15" t="s">
        <v>17736</v>
      </c>
      <c r="E26768" s="2">
        <v>3827588</v>
      </c>
      <c r="F26768" s="4" t="e">
        <f>IF(B26768=#REF!,"",B26768)</f>
        <v>#REF!</v>
      </c>
    </row>
    <row r="26769" spans="1:6" ht="15.75" customHeight="1">
      <c r="A26769" s="15" t="s">
        <v>4773</v>
      </c>
      <c r="B26769" s="15" t="s">
        <v>4773</v>
      </c>
      <c r="C26769" s="15" t="s">
        <v>4487</v>
      </c>
      <c r="D26769" s="15" t="s">
        <v>4492</v>
      </c>
      <c r="E26769" s="2">
        <v>1806881</v>
      </c>
      <c r="F26769" s="4" t="e">
        <f>IF(B26769=#REF!,"",B26769)</f>
        <v>#REF!</v>
      </c>
    </row>
    <row r="26770" spans="1:6" ht="15.75" customHeight="1">
      <c r="A26770" s="15" t="s">
        <v>11519</v>
      </c>
      <c r="B26770" s="15" t="s">
        <v>11519</v>
      </c>
      <c r="C26770" s="15" t="s">
        <v>10178</v>
      </c>
      <c r="D26770" s="15" t="s">
        <v>10201</v>
      </c>
      <c r="E26770" s="2">
        <v>1269910</v>
      </c>
      <c r="F26770" s="4" t="e">
        <f>IF(B26770=#REF!,"",B26770)</f>
        <v>#REF!</v>
      </c>
    </row>
    <row r="26771" spans="1:6" ht="15.75" customHeight="1">
      <c r="A26771" s="16" t="s">
        <v>28922</v>
      </c>
      <c r="B26771" s="15" t="s">
        <v>28922</v>
      </c>
      <c r="C26771" s="16" t="s">
        <v>27788</v>
      </c>
      <c r="D26771" s="16" t="s">
        <v>28023</v>
      </c>
      <c r="E26771" s="2">
        <v>4068446</v>
      </c>
      <c r="F26771" s="4" t="str">
        <f>IF(B26771=B26770,"",B26771)</f>
        <v>Hueytown</v>
      </c>
    </row>
    <row r="26772" spans="1:6" ht="15.75" customHeight="1">
      <c r="A26772" s="16" t="str">
        <f ca="1">IFERROR(__xludf.DUMMYFUNCTION("GOOGLETRANSLATE(B37278,""en"",""pt"")"),"Huetamo de Núñez")</f>
        <v>Huetamo de Núñez</v>
      </c>
      <c r="B26772" s="20" t="s">
        <v>34765</v>
      </c>
      <c r="C26772" s="20" t="s">
        <v>17707</v>
      </c>
      <c r="D26772" s="20" t="s">
        <v>34727</v>
      </c>
      <c r="E26772" s="10">
        <v>4004555</v>
      </c>
      <c r="F26772" s="4" t="str">
        <f>IF(B26772=B26771,"",B26772)</f>
        <v>Huetamo de Núñez</v>
      </c>
    </row>
    <row r="26773" spans="1:6" ht="15.75" customHeight="1">
      <c r="A26773" s="16" t="s">
        <v>17979</v>
      </c>
      <c r="B26773" s="15" t="s">
        <v>17980</v>
      </c>
      <c r="C26773" s="16" t="s">
        <v>17707</v>
      </c>
      <c r="D26773" s="16" t="s">
        <v>17761</v>
      </c>
      <c r="E26773" s="2">
        <v>4004555</v>
      </c>
      <c r="F26773" s="4" t="e">
        <f>IF(B26773=#REF!,"",B26773)</f>
        <v>#REF!</v>
      </c>
    </row>
    <row r="26774" spans="1:6" ht="15.75" customHeight="1">
      <c r="A26774" s="15" t="s">
        <v>24510</v>
      </c>
      <c r="B26774" s="15" t="s">
        <v>24510</v>
      </c>
      <c r="C26774" s="15" t="s">
        <v>24200</v>
      </c>
      <c r="D26774" s="15" t="s">
        <v>24226</v>
      </c>
      <c r="E26774" s="2">
        <v>3120514</v>
      </c>
      <c r="F26774" s="4" t="str">
        <f>IF(B26774=B26773,"",B26774)</f>
        <v>Huesca</v>
      </c>
    </row>
    <row r="26775" spans="1:6" ht="15.75" customHeight="1">
      <c r="A26775" s="16" t="str">
        <f ca="1">IFERROR(__xludf.DUMMYFUNCTION("GOOGLETRANSLATE(B29109,""en"",""pt"")"),"Huércal-Overa")</f>
        <v>Huércal-Overa</v>
      </c>
      <c r="B26775" s="20" t="s">
        <v>32379</v>
      </c>
      <c r="C26775" s="20" t="s">
        <v>24200</v>
      </c>
      <c r="D26775" s="20" t="s">
        <v>24205</v>
      </c>
      <c r="E26775" s="10">
        <v>2516542</v>
      </c>
      <c r="F26775" s="4" t="e">
        <f>IF(B26775=#REF!,"",B26775)</f>
        <v>#REF!</v>
      </c>
    </row>
    <row r="26776" spans="1:6" ht="15.75" customHeight="1">
      <c r="A26776" s="15" t="s">
        <v>24509</v>
      </c>
      <c r="B26776" s="15" t="s">
        <v>24509</v>
      </c>
      <c r="C26776" s="15" t="s">
        <v>24200</v>
      </c>
      <c r="D26776" s="15" t="s">
        <v>24205</v>
      </c>
      <c r="E26776" s="2">
        <v>2516548</v>
      </c>
      <c r="F26776" s="4" t="e">
        <f>IF(B26776=#REF!,"",B26776)</f>
        <v>#REF!</v>
      </c>
    </row>
    <row r="26777" spans="1:6" ht="15.75" customHeight="1">
      <c r="A26777" s="16" t="s">
        <v>17978</v>
      </c>
      <c r="B26777" s="15" t="s">
        <v>17978</v>
      </c>
      <c r="C26777" s="16" t="s">
        <v>17707</v>
      </c>
      <c r="D26777" s="16" t="s">
        <v>17729</v>
      </c>
      <c r="E26777" s="2">
        <v>3526952</v>
      </c>
      <c r="F26777" s="4" t="e">
        <f>IF(B26777=#REF!,"",B26777)</f>
        <v>#REF!</v>
      </c>
    </row>
    <row r="26778" spans="1:6" ht="15.75" customHeight="1">
      <c r="A26778" s="16" t="s">
        <v>17977</v>
      </c>
      <c r="B26778" s="15" t="s">
        <v>17977</v>
      </c>
      <c r="C26778" s="16" t="s">
        <v>17707</v>
      </c>
      <c r="D26778" s="16" t="s">
        <v>17717</v>
      </c>
      <c r="E26778" s="2">
        <v>3526953</v>
      </c>
      <c r="F26778" s="4" t="e">
        <f>IF(B26778=#REF!,"",B26778)</f>
        <v>#REF!</v>
      </c>
    </row>
    <row r="26779" spans="1:6" ht="15.75" customHeight="1">
      <c r="A26779" s="16" t="s">
        <v>9746</v>
      </c>
      <c r="B26779" s="15" t="s">
        <v>9746</v>
      </c>
      <c r="C26779" s="16" t="s">
        <v>9700</v>
      </c>
      <c r="D26779" s="16" t="s">
        <v>9746</v>
      </c>
      <c r="E26779" s="2">
        <v>3595416</v>
      </c>
      <c r="F26779" s="4" t="str">
        <f>IF(B26779=B26778,"",B26779)</f>
        <v>Huehuetenango</v>
      </c>
    </row>
    <row r="26780" spans="1:6" ht="15.75" customHeight="1">
      <c r="A26780" s="16" t="str">
        <f ca="1">IFERROR(__xludf.DUMMYFUNCTION("GOOGLETRANSLATE(B45754,""en"",""pt"")"),"Matiz")</f>
        <v>Matiz</v>
      </c>
      <c r="B26780" s="20" t="s">
        <v>36163</v>
      </c>
      <c r="C26780" s="20" t="s">
        <v>30784</v>
      </c>
      <c r="D26780" s="20" t="s">
        <v>36164</v>
      </c>
      <c r="E26780" s="10">
        <v>1580240</v>
      </c>
      <c r="F26780" s="4" t="e">
        <f>IF(B26780=#REF!,"",B26780)</f>
        <v>#REF!</v>
      </c>
    </row>
    <row r="26781" spans="1:6" ht="15.75" customHeight="1">
      <c r="A26781" s="15" t="s">
        <v>28921</v>
      </c>
      <c r="B26781" s="15" t="s">
        <v>28921</v>
      </c>
      <c r="C26781" s="15" t="s">
        <v>27788</v>
      </c>
      <c r="D26781" s="15" t="s">
        <v>27813</v>
      </c>
      <c r="E26781" s="2">
        <v>5158164</v>
      </c>
      <c r="F26781" s="4" t="e">
        <f>IF(B26781=#REF!,"",B26781)</f>
        <v>#REF!</v>
      </c>
    </row>
    <row r="26782" spans="1:6" ht="15.75" customHeight="1">
      <c r="A26782" s="15" t="s">
        <v>8608</v>
      </c>
      <c r="B26782" s="15" t="s">
        <v>8608</v>
      </c>
      <c r="C26782" s="15" t="s">
        <v>8028</v>
      </c>
      <c r="D26782" s="15" t="s">
        <v>8034</v>
      </c>
      <c r="E26782" s="2">
        <v>2898079</v>
      </c>
      <c r="F26782" s="4" t="e">
        <f>IF(B26782=#REF!,"",B26782)</f>
        <v>#REF!</v>
      </c>
    </row>
    <row r="26783" spans="1:6" ht="15.75" customHeight="1">
      <c r="A26783" s="15" t="s">
        <v>25135</v>
      </c>
      <c r="B26783" s="15" t="s">
        <v>25135</v>
      </c>
      <c r="C26783" s="15" t="s">
        <v>25077</v>
      </c>
      <c r="D26783" s="15" t="s">
        <v>25081</v>
      </c>
      <c r="E26783" s="2">
        <v>2704620</v>
      </c>
      <c r="F26783" s="4" t="str">
        <f>IF(B26783=B26782,"",B26783)</f>
        <v>Huddinge</v>
      </c>
    </row>
    <row r="26784" spans="1:6" ht="15.75" customHeight="1">
      <c r="A26784" s="16" t="str">
        <f ca="1">IFERROR(__xludf.DUMMYFUNCTION("GOOGLETRANSLATE(B27932,""en"",""pt"")"),"Hückeswagen")</f>
        <v>Hückeswagen</v>
      </c>
      <c r="B26784" s="20" t="s">
        <v>32088</v>
      </c>
      <c r="C26784" s="20" t="s">
        <v>8028</v>
      </c>
      <c r="D26784" s="20" t="s">
        <v>8029</v>
      </c>
      <c r="E26784" s="10">
        <v>2898098</v>
      </c>
      <c r="F26784" s="4" t="str">
        <f>IF(B26784=B26783,"",B26784)</f>
        <v>Hückeswagen</v>
      </c>
    </row>
    <row r="26785" spans="1:6" ht="15.75" customHeight="1">
      <c r="A26785" s="16" t="str">
        <f ca="1">IFERROR(__xludf.DUMMYFUNCTION("GOOGLETRANSLATE(B27933,""en"",""pt"")"),"Hückeloven")</f>
        <v>Hückeloven</v>
      </c>
      <c r="B26785" s="20" t="s">
        <v>32089</v>
      </c>
      <c r="C26785" s="20" t="s">
        <v>8028</v>
      </c>
      <c r="D26785" s="20" t="s">
        <v>8029</v>
      </c>
      <c r="E26785" s="10">
        <v>2898111</v>
      </c>
      <c r="F26785" s="4" t="e">
        <f>IF(B26785=#REF!,"",B26785)</f>
        <v>#REF!</v>
      </c>
    </row>
    <row r="26786" spans="1:6" ht="15.75" customHeight="1">
      <c r="A26786" s="15" t="s">
        <v>11518</v>
      </c>
      <c r="B26786" s="15" t="s">
        <v>11518</v>
      </c>
      <c r="C26786" s="15" t="s">
        <v>10178</v>
      </c>
      <c r="D26786" s="15" t="s">
        <v>10252</v>
      </c>
      <c r="E26786" s="2">
        <v>1269920</v>
      </c>
      <c r="F26786" s="4" t="e">
        <f>IF(B26786=#REF!,"",B26786)</f>
        <v>#REF!</v>
      </c>
    </row>
    <row r="26787" spans="1:6" ht="15.75" customHeight="1">
      <c r="A26787" s="16" t="s">
        <v>28920</v>
      </c>
      <c r="B26787" s="15" t="s">
        <v>28920</v>
      </c>
      <c r="C26787" s="16" t="s">
        <v>27788</v>
      </c>
      <c r="D26787" s="16" t="s">
        <v>27813</v>
      </c>
      <c r="E26787" s="2">
        <v>4514746</v>
      </c>
      <c r="F26787" s="4" t="e">
        <f>IF(B26787=#REF!,"",B26787)</f>
        <v>#REF!</v>
      </c>
    </row>
    <row r="26788" spans="1:6" ht="15.75" customHeight="1">
      <c r="A26788" s="15" t="s">
        <v>4772</v>
      </c>
      <c r="B26788" s="15" t="s">
        <v>4772</v>
      </c>
      <c r="C26788" s="15" t="s">
        <v>4487</v>
      </c>
      <c r="D26788" s="15" t="s">
        <v>4492</v>
      </c>
      <c r="E26788" s="2">
        <v>1806960</v>
      </c>
      <c r="F26788" s="4" t="str">
        <f>IF(B26788=B26787,"",B26788)</f>
        <v>Huazhou</v>
      </c>
    </row>
    <row r="26789" spans="1:6" ht="15.75" customHeight="1">
      <c r="A26789" s="15" t="s">
        <v>21943</v>
      </c>
      <c r="B26789" s="15" t="s">
        <v>21944</v>
      </c>
      <c r="C26789" s="15" t="s">
        <v>21824</v>
      </c>
      <c r="D26789" s="15" t="s">
        <v>21835</v>
      </c>
      <c r="E26789" s="2">
        <v>675892</v>
      </c>
      <c r="F26789" s="4" t="e">
        <f>IF(B26789=#REF!,"",B26789)</f>
        <v>#REF!</v>
      </c>
    </row>
    <row r="26790" spans="1:6" ht="15.75" customHeight="1">
      <c r="A26790" s="15" t="s">
        <v>20520</v>
      </c>
      <c r="B26790" s="15" t="s">
        <v>20520</v>
      </c>
      <c r="C26790" s="15" t="s">
        <v>20470</v>
      </c>
      <c r="D26790" s="15" t="s">
        <v>20479</v>
      </c>
      <c r="E26790" s="2">
        <v>3939023</v>
      </c>
      <c r="F26790" s="4" t="e">
        <f>IF(B26790=#REF!,"",B26790)</f>
        <v>#REF!</v>
      </c>
    </row>
    <row r="26791" spans="1:6" ht="15.75" customHeight="1">
      <c r="A26791" s="16" t="s">
        <v>17976</v>
      </c>
      <c r="B26791" s="15" t="s">
        <v>17976</v>
      </c>
      <c r="C26791" s="16" t="s">
        <v>17707</v>
      </c>
      <c r="D26791" s="16" t="s">
        <v>17717</v>
      </c>
      <c r="E26791" s="2">
        <v>3526992</v>
      </c>
      <c r="F26791" s="4" t="e">
        <f>IF(B26791=#REF!,"",B26791)</f>
        <v>#REF!</v>
      </c>
    </row>
    <row r="26792" spans="1:6" ht="15.75" customHeight="1">
      <c r="A26792" s="16" t="s">
        <v>17975</v>
      </c>
      <c r="B26792" s="15" t="s">
        <v>17975</v>
      </c>
      <c r="C26792" s="16" t="s">
        <v>17707</v>
      </c>
      <c r="D26792" s="16" t="s">
        <v>17708</v>
      </c>
      <c r="E26792" s="2">
        <v>3526993</v>
      </c>
      <c r="F26792" s="4" t="e">
        <f>IF(B26792=#REF!,"",B26792)</f>
        <v>#REF!</v>
      </c>
    </row>
    <row r="26793" spans="1:6" ht="15.75" customHeight="1">
      <c r="A26793" s="16" t="s">
        <v>17974</v>
      </c>
      <c r="B26793" s="15" t="s">
        <v>17974</v>
      </c>
      <c r="C26793" s="16" t="s">
        <v>17707</v>
      </c>
      <c r="D26793" s="16" t="s">
        <v>17732</v>
      </c>
      <c r="E26793" s="2">
        <v>4004647</v>
      </c>
      <c r="F26793" s="4" t="e">
        <f>IF(B26793=#REF!,"",B26793)</f>
        <v>#REF!</v>
      </c>
    </row>
    <row r="26794" spans="1:6" ht="15.75" customHeight="1">
      <c r="A26794" s="15" t="s">
        <v>20519</v>
      </c>
      <c r="B26794" s="15" t="s">
        <v>20519</v>
      </c>
      <c r="C26794" s="15" t="s">
        <v>20470</v>
      </c>
      <c r="D26794" s="15" t="s">
        <v>20497</v>
      </c>
      <c r="E26794" s="2">
        <v>3939168</v>
      </c>
      <c r="F26794" s="4" t="e">
        <f>IF(B26794=#REF!,"",B26794)</f>
        <v>#REF!</v>
      </c>
    </row>
    <row r="26795" spans="1:6" ht="15.75" customHeight="1">
      <c r="A26795" s="15" t="s">
        <v>20518</v>
      </c>
      <c r="B26795" s="15" t="s">
        <v>20518</v>
      </c>
      <c r="C26795" s="15" t="s">
        <v>20470</v>
      </c>
      <c r="D26795" s="15" t="s">
        <v>20497</v>
      </c>
      <c r="E26795" s="2">
        <v>3696378</v>
      </c>
      <c r="F26795" s="4" t="e">
        <f>IF(B26795=#REF!,"",B26795)</f>
        <v>#REF!</v>
      </c>
    </row>
    <row r="26796" spans="1:6" ht="15.75" customHeight="1">
      <c r="A26796" s="15" t="s">
        <v>20517</v>
      </c>
      <c r="B26796" s="15" t="s">
        <v>20517</v>
      </c>
      <c r="C26796" s="15" t="s">
        <v>20470</v>
      </c>
      <c r="D26796" s="15" t="s">
        <v>20479</v>
      </c>
      <c r="E26796" s="2">
        <v>3939285</v>
      </c>
      <c r="F26796" s="4" t="e">
        <f>IF(B26796=#REF!,"",B26796)</f>
        <v>#REF!</v>
      </c>
    </row>
    <row r="26797" spans="1:6" ht="15.75" customHeight="1">
      <c r="A26797" s="16" t="s">
        <v>6430</v>
      </c>
      <c r="B26797" s="15" t="s">
        <v>6431</v>
      </c>
      <c r="C26797" s="16" t="s">
        <v>6398</v>
      </c>
      <c r="D26797" s="16" t="s">
        <v>6432</v>
      </c>
      <c r="E26797" s="2">
        <v>3655720</v>
      </c>
      <c r="F26797" s="4" t="str">
        <f>IF(B26797=B26796,"",B26797)</f>
        <v>Huaquillas</v>
      </c>
    </row>
    <row r="26798" spans="1:6" ht="15.75" customHeight="1">
      <c r="A26798" s="15" t="s">
        <v>30859</v>
      </c>
      <c r="B26798" s="15" t="s">
        <v>30860</v>
      </c>
      <c r="C26798" s="15" t="s">
        <v>30784</v>
      </c>
      <c r="D26798" s="15" t="s">
        <v>30861</v>
      </c>
      <c r="E26798" s="2">
        <v>1580240</v>
      </c>
      <c r="F26798" s="4" t="e">
        <f>IF(B26798=#REF!,"",B26798)</f>
        <v>#REF!</v>
      </c>
    </row>
    <row r="26799" spans="1:6" ht="15.75" customHeight="1">
      <c r="A26799" s="15" t="s">
        <v>1814</v>
      </c>
      <c r="B26799" s="15" t="s">
        <v>1814</v>
      </c>
      <c r="C26799" s="15" t="s">
        <v>1806</v>
      </c>
      <c r="D26799" s="15" t="s">
        <v>1815</v>
      </c>
      <c r="E26799" s="2">
        <v>3914839</v>
      </c>
      <c r="F26799" s="4" t="str">
        <f>IF(B26799=B26798,"",B26799)</f>
        <v>Huanuni</v>
      </c>
    </row>
    <row r="26800" spans="1:6" ht="15.75" customHeight="1">
      <c r="A26800" s="16" t="str">
        <f ca="1">IFERROR(__xludf.DUMMYFUNCTION("GOOGLETRANSLATE(B38336,""en"",""pt"")"),"Huánuco")</f>
        <v>Huánuco</v>
      </c>
      <c r="B26800" s="20" t="s">
        <v>34874</v>
      </c>
      <c r="C26800" s="20" t="s">
        <v>20470</v>
      </c>
      <c r="D26800" s="20" t="s">
        <v>20510</v>
      </c>
      <c r="E26800" s="10">
        <v>3696417</v>
      </c>
      <c r="F26800" s="4" t="e">
        <f>IF(B26800=#REF!,"",B26800)</f>
        <v>#REF!</v>
      </c>
    </row>
    <row r="26801" spans="1:6" ht="15.75" customHeight="1">
      <c r="A26801" s="15" t="s">
        <v>20516</v>
      </c>
      <c r="B26801" s="15" t="s">
        <v>20516</v>
      </c>
      <c r="C26801" s="15" t="s">
        <v>20470</v>
      </c>
      <c r="D26801" s="15" t="s">
        <v>20474</v>
      </c>
      <c r="E26801" s="2">
        <v>3939386</v>
      </c>
      <c r="F26801" s="4" t="e">
        <f>IF(B26801=#REF!,"",B26801)</f>
        <v>#REF!</v>
      </c>
    </row>
    <row r="26802" spans="1:6" ht="15.75" customHeight="1">
      <c r="A26802" s="15" t="s">
        <v>4771</v>
      </c>
      <c r="B26802" s="15" t="s">
        <v>4771</v>
      </c>
      <c r="C26802" s="15" t="s">
        <v>4487</v>
      </c>
      <c r="D26802" s="15" t="s">
        <v>4505</v>
      </c>
      <c r="E26802" s="2">
        <v>2036713</v>
      </c>
      <c r="F26802" s="4" t="e">
        <f>IF(B26802=#REF!,"",B26802)</f>
        <v>#REF!</v>
      </c>
    </row>
    <row r="26803" spans="1:6" ht="15.75" customHeight="1">
      <c r="A26803" s="16" t="s">
        <v>4770</v>
      </c>
      <c r="B26803" s="15" t="s">
        <v>4770</v>
      </c>
      <c r="C26803" s="16" t="s">
        <v>4487</v>
      </c>
      <c r="D26803" s="16" t="s">
        <v>4499</v>
      </c>
      <c r="E26803" s="2">
        <v>1807112</v>
      </c>
      <c r="F26803" s="4" t="e">
        <f>IF(B26803=#REF!,"",B26803)</f>
        <v>#REF!</v>
      </c>
    </row>
    <row r="26804" spans="1:6" ht="15.75" customHeight="1">
      <c r="A26804" s="16" t="s">
        <v>4769</v>
      </c>
      <c r="B26804" s="15" t="s">
        <v>4769</v>
      </c>
      <c r="C26804" s="16" t="s">
        <v>4487</v>
      </c>
      <c r="D26804" s="16" t="s">
        <v>4631</v>
      </c>
      <c r="E26804" s="2">
        <v>1807143</v>
      </c>
      <c r="F26804" s="4" t="e">
        <f>IF(B26804=#REF!,"",B26804)</f>
        <v>#REF!</v>
      </c>
    </row>
    <row r="26805" spans="1:6" ht="15.75" customHeight="1">
      <c r="A26805" s="15" t="s">
        <v>4768</v>
      </c>
      <c r="B26805" s="15" t="s">
        <v>4768</v>
      </c>
      <c r="C26805" s="15" t="s">
        <v>4487</v>
      </c>
      <c r="D26805" s="15" t="s">
        <v>4499</v>
      </c>
      <c r="E26805" s="2">
        <v>1807234</v>
      </c>
      <c r="F26805" s="4" t="e">
        <f>IF(B26805=#REF!,"",B26805)</f>
        <v>#REF!</v>
      </c>
    </row>
    <row r="26806" spans="1:6" ht="15.75" customHeight="1">
      <c r="A26806" s="16" t="s">
        <v>4767</v>
      </c>
      <c r="B26806" s="15" t="s">
        <v>4767</v>
      </c>
      <c r="C26806" s="16" t="s">
        <v>4487</v>
      </c>
      <c r="D26806" s="16" t="s">
        <v>4501</v>
      </c>
      <c r="E26806" s="2">
        <v>1792359</v>
      </c>
      <c r="F26806" s="4" t="e">
        <f>IF(B26806=#REF!,"",B26806)</f>
        <v>#REF!</v>
      </c>
    </row>
    <row r="26807" spans="1:6" ht="15.75" customHeight="1">
      <c r="A26807" s="15" t="s">
        <v>4766</v>
      </c>
      <c r="B26807" s="15" t="s">
        <v>4766</v>
      </c>
      <c r="C26807" s="15" t="s">
        <v>4487</v>
      </c>
      <c r="D26807" s="15" t="s">
        <v>4499</v>
      </c>
      <c r="E26807" s="2">
        <v>1807308</v>
      </c>
      <c r="F26807" s="4" t="e">
        <f>IF(B26807=#REF!,"",B26807)</f>
        <v>#REF!</v>
      </c>
    </row>
    <row r="26808" spans="1:6" ht="15.75" customHeight="1">
      <c r="A26808" s="16" t="s">
        <v>4765</v>
      </c>
      <c r="B26808" s="15" t="s">
        <v>4765</v>
      </c>
      <c r="C26808" s="16" t="s">
        <v>4487</v>
      </c>
      <c r="D26808" s="16" t="s">
        <v>4518</v>
      </c>
      <c r="E26808" s="2">
        <v>2036734</v>
      </c>
      <c r="F26808" s="4" t="e">
        <f>IF(B26808=#REF!,"",B26808)</f>
        <v>#REF!</v>
      </c>
    </row>
    <row r="26809" spans="1:6" ht="15.75" customHeight="1">
      <c r="A26809" s="16" t="s">
        <v>4764</v>
      </c>
      <c r="B26809" s="15" t="s">
        <v>4764</v>
      </c>
      <c r="C26809" s="16" t="s">
        <v>4487</v>
      </c>
      <c r="D26809" s="16" t="s">
        <v>4499</v>
      </c>
      <c r="E26809" s="2">
        <v>1807339</v>
      </c>
      <c r="F26809" s="4" t="e">
        <f>IF(B26809=#REF!,"",B26809)</f>
        <v>#REF!</v>
      </c>
    </row>
    <row r="26810" spans="1:6" ht="15.75" customHeight="1">
      <c r="A26810" s="16" t="s">
        <v>4763</v>
      </c>
      <c r="B26810" s="15" t="s">
        <v>4763</v>
      </c>
      <c r="C26810" s="16" t="s">
        <v>4487</v>
      </c>
      <c r="D26810" s="16" t="s">
        <v>4492</v>
      </c>
      <c r="E26810" s="2">
        <v>1807508</v>
      </c>
      <c r="F26810" s="4" t="e">
        <f>IF(B26810=#REF!,"",B26810)</f>
        <v>#REF!</v>
      </c>
    </row>
    <row r="26811" spans="1:6" ht="15.75" customHeight="1">
      <c r="A26811" s="16" t="s">
        <v>20515</v>
      </c>
      <c r="B26811" s="15" t="s">
        <v>20515</v>
      </c>
      <c r="C26811" s="16" t="s">
        <v>20470</v>
      </c>
      <c r="D26811" s="16" t="s">
        <v>688</v>
      </c>
      <c r="E26811" s="2">
        <v>3939459</v>
      </c>
      <c r="F26811" s="4" t="e">
        <f>IF(B26811=#REF!,"",B26811)</f>
        <v>#REF!</v>
      </c>
    </row>
    <row r="26812" spans="1:6" ht="15.75" customHeight="1">
      <c r="A26812" s="16" t="s">
        <v>20514</v>
      </c>
      <c r="B26812" s="15" t="s">
        <v>20514</v>
      </c>
      <c r="C26812" s="16" t="s">
        <v>20470</v>
      </c>
      <c r="D26812" s="16" t="s">
        <v>20514</v>
      </c>
      <c r="E26812" s="2">
        <v>3939470</v>
      </c>
      <c r="F26812" s="4" t="e">
        <f>IF(B26812=#REF!,"",B26812)</f>
        <v>#REF!</v>
      </c>
    </row>
    <row r="26813" spans="1:6" ht="15.75" customHeight="1">
      <c r="A26813" s="15" t="s">
        <v>4762</v>
      </c>
      <c r="B26813" s="15" t="s">
        <v>4762</v>
      </c>
      <c r="C26813" s="15" t="s">
        <v>4487</v>
      </c>
      <c r="D26813" s="15" t="s">
        <v>4488</v>
      </c>
      <c r="E26813" s="2">
        <v>2036753</v>
      </c>
      <c r="F26813" s="4" t="e">
        <f>IF(B26813=#REF!,"",B26813)</f>
        <v>#REF!</v>
      </c>
    </row>
    <row r="26814" spans="1:6" ht="15.75" customHeight="1">
      <c r="A26814" s="15" t="s">
        <v>510</v>
      </c>
      <c r="B26814" s="15" t="s">
        <v>510</v>
      </c>
      <c r="C26814" s="15" t="s">
        <v>507</v>
      </c>
      <c r="D26814" s="15" t="s">
        <v>510</v>
      </c>
      <c r="E26814" s="2">
        <v>3348313</v>
      </c>
      <c r="F26814" s="4" t="e">
        <f>IF(B26814=#REF!,"",B26814)</f>
        <v>#REF!</v>
      </c>
    </row>
    <row r="26815" spans="1:6" ht="15.75" customHeight="1">
      <c r="A26815" s="16" t="s">
        <v>17973</v>
      </c>
      <c r="B26815" s="15" t="s">
        <v>17973</v>
      </c>
      <c r="C26815" s="16" t="s">
        <v>17707</v>
      </c>
      <c r="D26815" s="16" t="s">
        <v>17763</v>
      </c>
      <c r="E26815" s="2">
        <v>3815324</v>
      </c>
      <c r="F26815" s="4" t="e">
        <f>IF(B26815=#REF!,"",B26815)</f>
        <v>#REF!</v>
      </c>
    </row>
    <row r="26816" spans="1:6" ht="15.75" customHeight="1">
      <c r="A26816" s="16" t="s">
        <v>20513</v>
      </c>
      <c r="B26816" s="15" t="s">
        <v>20513</v>
      </c>
      <c r="C26816" s="16" t="s">
        <v>20470</v>
      </c>
      <c r="D26816" s="16" t="s">
        <v>6435</v>
      </c>
      <c r="E26816" s="2">
        <v>3696509</v>
      </c>
      <c r="F26816" s="4" t="e">
        <f>IF(B26816=#REF!,"",B26816)</f>
        <v>#REF!</v>
      </c>
    </row>
    <row r="26817" spans="1:6" ht="15.75" customHeight="1">
      <c r="A26817" s="15" t="s">
        <v>20512</v>
      </c>
      <c r="B26817" s="15" t="s">
        <v>20512</v>
      </c>
      <c r="C26817" s="15" t="s">
        <v>20470</v>
      </c>
      <c r="D26817" s="15" t="s">
        <v>20479</v>
      </c>
      <c r="E26817" s="2">
        <v>3939761</v>
      </c>
      <c r="F26817" s="4" t="e">
        <f>IF(B26817=#REF!,"",B26817)</f>
        <v>#REF!</v>
      </c>
    </row>
    <row r="26818" spans="1:6" ht="15.75" customHeight="1">
      <c r="A26818" s="16" t="s">
        <v>25508</v>
      </c>
      <c r="B26818" s="15" t="s">
        <v>25509</v>
      </c>
      <c r="C26818" s="16" t="s">
        <v>25502</v>
      </c>
      <c r="D26818" s="16" t="s">
        <v>25502</v>
      </c>
      <c r="E26818" s="2">
        <v>1674504</v>
      </c>
      <c r="F26818" s="4" t="e">
        <f>IF(B26818=#REF!,"",B26818)</f>
        <v>#REF!</v>
      </c>
    </row>
    <row r="26819" spans="1:6" ht="15.75" customHeight="1">
      <c r="A26819" s="16" t="s">
        <v>4761</v>
      </c>
      <c r="B26819" s="15" t="s">
        <v>4761</v>
      </c>
      <c r="C26819" s="16" t="s">
        <v>4487</v>
      </c>
      <c r="D26819" s="16" t="s">
        <v>4501</v>
      </c>
      <c r="E26819" s="2">
        <v>1807645</v>
      </c>
      <c r="F26819" s="4" t="e">
        <f>IF(B26819=#REF!,"",B26819)</f>
        <v>#REF!</v>
      </c>
    </row>
    <row r="26820" spans="1:6" ht="15.75" customHeight="1">
      <c r="A26820" s="15" t="s">
        <v>4760</v>
      </c>
      <c r="B26820" s="15" t="s">
        <v>4760</v>
      </c>
      <c r="C26820" s="15" t="s">
        <v>4487</v>
      </c>
      <c r="D26820" s="15" t="s">
        <v>4501</v>
      </c>
      <c r="E26820" s="2">
        <v>1807681</v>
      </c>
      <c r="F26820" s="4" t="e">
        <f>IF(B26820=#REF!,"",B26820)</f>
        <v>#REF!</v>
      </c>
    </row>
    <row r="26821" spans="1:6" ht="15.75" customHeight="1">
      <c r="A26821" s="15" t="s">
        <v>4759</v>
      </c>
      <c r="B26821" s="15" t="s">
        <v>4759</v>
      </c>
      <c r="C26821" s="15" t="s">
        <v>4487</v>
      </c>
      <c r="D26821" s="15" t="s">
        <v>4495</v>
      </c>
      <c r="E26821" s="2">
        <v>1807689</v>
      </c>
      <c r="F26821" s="4" t="e">
        <f>IF(B26821=#REF!,"",B26821)</f>
        <v>#REF!</v>
      </c>
    </row>
    <row r="26822" spans="1:6" ht="15.75" customHeight="1">
      <c r="A26822" s="16" t="s">
        <v>4757</v>
      </c>
      <c r="B26822" s="15" t="s">
        <v>4758</v>
      </c>
      <c r="C26822" s="16" t="s">
        <v>4487</v>
      </c>
      <c r="D26822" s="16" t="s">
        <v>4511</v>
      </c>
      <c r="E26822" s="2">
        <v>1807695</v>
      </c>
      <c r="F26822" s="4" t="e">
        <f>IF(B26822=#REF!,"",B26822)</f>
        <v>#REF!</v>
      </c>
    </row>
    <row r="26823" spans="1:6" ht="15.75" customHeight="1">
      <c r="A26823" s="16" t="s">
        <v>4756</v>
      </c>
      <c r="B26823" s="15" t="s">
        <v>4756</v>
      </c>
      <c r="C26823" s="16" t="s">
        <v>4487</v>
      </c>
      <c r="D26823" s="16" t="s">
        <v>4492</v>
      </c>
      <c r="E26823" s="2">
        <v>1807687</v>
      </c>
      <c r="F26823" s="4" t="e">
        <f>IF(B26823=#REF!,"",B26823)</f>
        <v>#REF!</v>
      </c>
    </row>
    <row r="26824" spans="1:6" ht="15.75" customHeight="1">
      <c r="A26824" s="15" t="s">
        <v>4755</v>
      </c>
      <c r="B26824" s="15" t="s">
        <v>4755</v>
      </c>
      <c r="C26824" s="15" t="s">
        <v>4487</v>
      </c>
      <c r="D26824" s="15" t="s">
        <v>4501</v>
      </c>
      <c r="E26824" s="2">
        <v>1807700</v>
      </c>
      <c r="F26824" s="4" t="e">
        <f>IF(B26824=#REF!,"",B26824)</f>
        <v>#REF!</v>
      </c>
    </row>
    <row r="26825" spans="1:6" ht="15.75" customHeight="1">
      <c r="A26825" s="15" t="s">
        <v>4754</v>
      </c>
      <c r="B26825" s="15" t="s">
        <v>4754</v>
      </c>
      <c r="C26825" s="15" t="s">
        <v>4487</v>
      </c>
      <c r="D26825" s="15" t="s">
        <v>4535</v>
      </c>
      <c r="E26825" s="2">
        <v>1797873</v>
      </c>
      <c r="F26825" s="4" t="e">
        <f>IF(B26825=#REF!,"",B26825)</f>
        <v>#REF!</v>
      </c>
    </row>
    <row r="26826" spans="1:6" ht="15.75" customHeight="1">
      <c r="A26826" s="15" t="s">
        <v>25886</v>
      </c>
      <c r="B26826" s="15" t="s">
        <v>25887</v>
      </c>
      <c r="C26826" s="15" t="s">
        <v>25771</v>
      </c>
      <c r="D26826" s="15" t="s">
        <v>25888</v>
      </c>
      <c r="E26826" s="2">
        <v>1153241</v>
      </c>
      <c r="F26826" s="4" t="e">
        <f>IF(B26826=#REF!,"",B26826)</f>
        <v>#REF!</v>
      </c>
    </row>
    <row r="26827" spans="1:6" ht="15.75" customHeight="1">
      <c r="A26827" s="15" t="s">
        <v>4752</v>
      </c>
      <c r="B26827" s="15" t="s">
        <v>4753</v>
      </c>
      <c r="C26827" s="15" t="s">
        <v>4487</v>
      </c>
      <c r="D26827" s="15" t="s">
        <v>4518</v>
      </c>
      <c r="E26827" s="2">
        <v>2036776</v>
      </c>
      <c r="F26827" s="4" t="e">
        <f>IF(B26827=#REF!,"",B26827)</f>
        <v>#REF!</v>
      </c>
    </row>
    <row r="26828" spans="1:6" ht="15.75" customHeight="1">
      <c r="A26828" s="15" t="s">
        <v>20511</v>
      </c>
      <c r="B26828" s="15" t="s">
        <v>20511</v>
      </c>
      <c r="C26828" s="15" t="s">
        <v>20470</v>
      </c>
      <c r="D26828" s="15" t="s">
        <v>20479</v>
      </c>
      <c r="E26828" s="2">
        <v>3940002</v>
      </c>
      <c r="F26828" s="4" t="str">
        <f>IF(B26828=B26827,"",B26828)</f>
        <v>Huacho</v>
      </c>
    </row>
    <row r="26829" spans="1:6" ht="15.75" customHeight="1">
      <c r="A26829" s="16" t="s">
        <v>24507</v>
      </c>
      <c r="B26829" s="15" t="s">
        <v>24508</v>
      </c>
      <c r="C26829" s="16" t="s">
        <v>24200</v>
      </c>
      <c r="D26829" s="16" t="s">
        <v>24205</v>
      </c>
      <c r="E26829" s="2">
        <v>2516542</v>
      </c>
      <c r="F26829" s="4" t="str">
        <f>IF(B26829=B26828,"",B26829)</f>
        <v>HuÃ©rcal-Overa</v>
      </c>
    </row>
    <row r="26830" spans="1:6" ht="15.75" customHeight="1">
      <c r="A26830" s="15" t="s">
        <v>20508</v>
      </c>
      <c r="B26830" s="15" t="s">
        <v>20509</v>
      </c>
      <c r="C26830" s="15" t="s">
        <v>20470</v>
      </c>
      <c r="D26830" s="15" t="s">
        <v>20510</v>
      </c>
      <c r="E26830" s="2">
        <v>3696417</v>
      </c>
      <c r="F26830" s="4" t="e">
        <f>IF(B26830=#REF!,"",B26830)</f>
        <v>#REF!</v>
      </c>
    </row>
    <row r="26831" spans="1:6" ht="15.75" customHeight="1">
      <c r="A26831" s="15" t="s">
        <v>25885</v>
      </c>
      <c r="B26831" s="15" t="s">
        <v>25885</v>
      </c>
      <c r="C26831" s="15" t="s">
        <v>25771</v>
      </c>
      <c r="D26831" s="15" t="s">
        <v>25846</v>
      </c>
      <c r="E26831" s="2">
        <v>1153269</v>
      </c>
      <c r="F26831" s="4" t="e">
        <f>IF(B26831=#REF!,"",B26831)</f>
        <v>#REF!</v>
      </c>
    </row>
    <row r="26832" spans="1:6" ht="15.75" customHeight="1">
      <c r="A26832" s="15" t="s">
        <v>25507</v>
      </c>
      <c r="B26832" s="15" t="s">
        <v>25507</v>
      </c>
      <c r="C26832" s="15" t="s">
        <v>25502</v>
      </c>
      <c r="D26832" s="15" t="s">
        <v>25502</v>
      </c>
      <c r="E26832" s="2">
        <v>1675151</v>
      </c>
      <c r="F26832" s="4" t="str">
        <f>IF(B26832=B26831,"",B26832)</f>
        <v>Hsinchu</v>
      </c>
    </row>
    <row r="26833" spans="1:6" ht="15.75" customHeight="1">
      <c r="A26833" s="16" t="str">
        <f ca="1">IFERROR(__xludf.DUMMYFUNCTION("GOOGLETRANSLATE(B39273,""en"",""pt"")"),"Hrubieszów")</f>
        <v>Hrubieszów</v>
      </c>
      <c r="B26833" s="20" t="s">
        <v>35120</v>
      </c>
      <c r="C26833" s="20" t="s">
        <v>21064</v>
      </c>
      <c r="D26833" s="20" t="s">
        <v>21091</v>
      </c>
      <c r="E26833" s="10">
        <v>770966</v>
      </c>
      <c r="F26833" s="4" t="str">
        <f>IF(B26833=B26832,"",B26833)</f>
        <v>Hrubieszów</v>
      </c>
    </row>
    <row r="26834" spans="1:6" ht="15.75" customHeight="1">
      <c r="A26834" s="16" t="s">
        <v>21248</v>
      </c>
      <c r="B26834" s="15" t="s">
        <v>21249</v>
      </c>
      <c r="C26834" s="16" t="s">
        <v>21064</v>
      </c>
      <c r="D26834" s="16" t="s">
        <v>21091</v>
      </c>
      <c r="E26834" s="2">
        <v>770966</v>
      </c>
      <c r="F26834" s="4" t="e">
        <f>IF(B26834=#REF!,"",B26834)</f>
        <v>#REF!</v>
      </c>
    </row>
    <row r="26835" spans="1:6" ht="15.75" customHeight="1">
      <c r="A26835" s="15" t="s">
        <v>1469</v>
      </c>
      <c r="B26835" s="15" t="s">
        <v>1469</v>
      </c>
      <c r="C26835" s="15" t="s">
        <v>1453</v>
      </c>
      <c r="D26835" s="15" t="s">
        <v>1470</v>
      </c>
      <c r="E26835" s="2">
        <v>627904</v>
      </c>
      <c r="F26835" s="4" t="e">
        <f>IF(B26835=#REF!,"",B26835)</f>
        <v>#REF!</v>
      </c>
    </row>
    <row r="26836" spans="1:6" ht="15.75" customHeight="1">
      <c r="A26836" s="15" t="s">
        <v>872</v>
      </c>
      <c r="B26836" s="15" t="s">
        <v>872</v>
      </c>
      <c r="C26836" s="15" t="s">
        <v>853</v>
      </c>
      <c r="D26836" s="15" t="s">
        <v>854</v>
      </c>
      <c r="E26836" s="2">
        <v>616629</v>
      </c>
      <c r="F26836" s="4" t="e">
        <f>IF(B26836=#REF!,"",B26836)</f>
        <v>#REF!</v>
      </c>
    </row>
    <row r="26837" spans="1:6" ht="15.75" customHeight="1">
      <c r="A26837" s="15" t="s">
        <v>6016</v>
      </c>
      <c r="B26837" s="15" t="s">
        <v>6016</v>
      </c>
      <c r="C26837" s="15" t="s">
        <v>5947</v>
      </c>
      <c r="D26837" s="15" t="s">
        <v>5948</v>
      </c>
      <c r="E26837" s="2">
        <v>3074893</v>
      </c>
      <c r="F26837" s="4" t="str">
        <f>IF(B26837=B26836,"",B26837)</f>
        <v>Hranice</v>
      </c>
    </row>
    <row r="26838" spans="1:6" ht="15.75" customHeight="1">
      <c r="A26838" s="16" t="str">
        <f ca="1">IFERROR(__xludf.DUMMYFUNCTION("GOOGLETRANSLATE(B27317,""en"",""pt"")"),"HRADEC KRÁLOVÉ")</f>
        <v>HRADEC KRÁLOVÉ</v>
      </c>
      <c r="B26838" s="20" t="s">
        <v>31988</v>
      </c>
      <c r="C26838" s="20" t="s">
        <v>5947</v>
      </c>
      <c r="D26838" s="20" t="s">
        <v>31936</v>
      </c>
      <c r="E26838" s="10">
        <v>3074967</v>
      </c>
      <c r="F26838" s="4" t="str">
        <f>IF(B26838=B26837,"",B26838)</f>
        <v>Hradec Králové</v>
      </c>
    </row>
    <row r="26839" spans="1:6" ht="15.75" customHeight="1">
      <c r="A26839" s="16" t="s">
        <v>6014</v>
      </c>
      <c r="B26839" s="15" t="s">
        <v>6015</v>
      </c>
      <c r="C26839" s="16" t="s">
        <v>5947</v>
      </c>
      <c r="D26839" s="16" t="s">
        <v>6005</v>
      </c>
      <c r="E26839" s="2">
        <v>3074967</v>
      </c>
      <c r="F26839" s="4" t="e">
        <f>IF(B26839=#REF!,"",B26839)</f>
        <v>#REF!</v>
      </c>
    </row>
    <row r="26840" spans="1:6" ht="15.75" customHeight="1">
      <c r="A26840" s="15" t="s">
        <v>18708</v>
      </c>
      <c r="B26840" s="15" t="s">
        <v>18709</v>
      </c>
      <c r="C26840" s="15" t="s">
        <v>18696</v>
      </c>
      <c r="D26840" s="15" t="s">
        <v>18710</v>
      </c>
      <c r="E26840" s="2">
        <v>1302849</v>
      </c>
      <c r="F26840" s="4" t="e">
        <f>IF(B26840=#REF!,"",B26840)</f>
        <v>#REF!</v>
      </c>
    </row>
    <row r="26841" spans="1:6" ht="15.75" customHeight="1">
      <c r="A26841" s="16" t="s">
        <v>8607</v>
      </c>
      <c r="B26841" s="15" t="s">
        <v>8607</v>
      </c>
      <c r="C26841" s="16" t="s">
        <v>8028</v>
      </c>
      <c r="D26841" s="16" t="s">
        <v>8072</v>
      </c>
      <c r="E26841" s="2">
        <v>2898304</v>
      </c>
      <c r="F26841" s="4" t="e">
        <f>IF(B26841=#REF!,"",B26841)</f>
        <v>#REF!</v>
      </c>
    </row>
    <row r="26842" spans="1:6" ht="15.75" customHeight="1">
      <c r="A26842" s="16" t="s">
        <v>4751</v>
      </c>
      <c r="B26842" s="15" t="s">
        <v>4751</v>
      </c>
      <c r="C26842" s="16" t="s">
        <v>4487</v>
      </c>
      <c r="D26842" s="16" t="s">
        <v>4490</v>
      </c>
      <c r="E26842" s="2">
        <v>1529452</v>
      </c>
      <c r="F26842" s="4" t="str">
        <f>IF(B26842=B26841,"",B26842)</f>
        <v>Hoxtolgay</v>
      </c>
    </row>
    <row r="26843" spans="1:6" ht="15.75" customHeight="1">
      <c r="A26843" s="16" t="str">
        <f ca="1">IFERROR(__xludf.DUMMYFUNCTION("GOOGLETRANSLATE(B27935,""en"",""pt"")"),"Höxter")</f>
        <v>Höxter</v>
      </c>
      <c r="B26843" s="20" t="s">
        <v>32090</v>
      </c>
      <c r="C26843" s="20" t="s">
        <v>8028</v>
      </c>
      <c r="D26843" s="20" t="s">
        <v>8029</v>
      </c>
      <c r="E26843" s="10">
        <v>2898321</v>
      </c>
      <c r="F26843" s="4" t="e">
        <f>IF(B26843=#REF!,"",B26843)</f>
        <v>#REF!</v>
      </c>
    </row>
    <row r="26844" spans="1:6" ht="15.75" customHeight="1">
      <c r="A26844" s="15" t="s">
        <v>11517</v>
      </c>
      <c r="B26844" s="15" t="s">
        <v>11517</v>
      </c>
      <c r="C26844" s="15" t="s">
        <v>10178</v>
      </c>
      <c r="D26844" s="15" t="s">
        <v>10239</v>
      </c>
      <c r="E26844" s="2">
        <v>1269927</v>
      </c>
      <c r="F26844" s="4" t="e">
        <f>IF(B26844=#REF!,"",B26844)</f>
        <v>#REF!</v>
      </c>
    </row>
    <row r="26845" spans="1:6" ht="15.75" customHeight="1">
      <c r="A26845" s="15" t="s">
        <v>23910</v>
      </c>
      <c r="B26845" s="15" t="s">
        <v>23910</v>
      </c>
      <c r="C26845" s="15" t="s">
        <v>23842</v>
      </c>
      <c r="D26845" s="15" t="s">
        <v>23851</v>
      </c>
      <c r="E26845" s="2">
        <v>995202</v>
      </c>
      <c r="F26845" s="4" t="e">
        <f>IF(B26845=#REF!,"",B26845)</f>
        <v>#REF!</v>
      </c>
    </row>
    <row r="26846" spans="1:6" ht="15.75" customHeight="1">
      <c r="A26846" s="15" t="s">
        <v>28919</v>
      </c>
      <c r="B26846" s="15" t="s">
        <v>28919</v>
      </c>
      <c r="C26846" s="15" t="s">
        <v>27788</v>
      </c>
      <c r="D26846" s="15" t="s">
        <v>27890</v>
      </c>
      <c r="E26846" s="2">
        <v>5257029</v>
      </c>
      <c r="F26846" s="4" t="str">
        <f>IF(B26846=B26845,"",B26846)</f>
        <v>Howard</v>
      </c>
    </row>
    <row r="26847" spans="1:6" ht="15.75" customHeight="1">
      <c r="A26847" s="16" t="str">
        <f ca="1">IFERROR(__xludf.DUMMYFUNCTION("GOOGLETRANSLATE(B23658,""en"",""pt"")"),"Hövsan")</f>
        <v>Hövsan</v>
      </c>
      <c r="B26847" s="20" t="s">
        <v>31246</v>
      </c>
      <c r="C26847" s="20" t="s">
        <v>1170</v>
      </c>
      <c r="D26847" s="20" t="s">
        <v>1181</v>
      </c>
      <c r="E26847" s="10">
        <v>586429</v>
      </c>
      <c r="F26847" s="4" t="str">
        <f>IF(B26847=B26846,"",B26847)</f>
        <v>Hövsan</v>
      </c>
    </row>
    <row r="26848" spans="1:6" ht="15.75" customHeight="1">
      <c r="A26848" s="16" t="str">
        <f ca="1">IFERROR(__xludf.DUMMYFUNCTION("GOOGLETRANSLATE(B27936,""en"",""pt"")"),"Hövelhof")</f>
        <v>Hövelhof</v>
      </c>
      <c r="B26848" s="20" t="s">
        <v>32091</v>
      </c>
      <c r="C26848" s="20" t="s">
        <v>8028</v>
      </c>
      <c r="D26848" s="20" t="s">
        <v>8029</v>
      </c>
      <c r="E26848" s="10">
        <v>2898364</v>
      </c>
      <c r="F26848" s="4" t="e">
        <f>IF(B26848=#REF!,"",B26848)</f>
        <v>#REF!</v>
      </c>
    </row>
    <row r="26849" spans="1:6" ht="15.75" customHeight="1">
      <c r="A26849" s="15" t="s">
        <v>18518</v>
      </c>
      <c r="B26849" s="15" t="s">
        <v>18518</v>
      </c>
      <c r="C26849" s="15" t="s">
        <v>18496</v>
      </c>
      <c r="D26849" s="15" t="s">
        <v>18501</v>
      </c>
      <c r="E26849" s="2">
        <v>2030474</v>
      </c>
      <c r="F26849" s="4" t="e">
        <f>IF(B26849=#REF!,"",B26849)</f>
        <v>#REF!</v>
      </c>
    </row>
    <row r="26850" spans="1:6" ht="15.75" customHeight="1">
      <c r="A26850" s="16" t="s">
        <v>1599</v>
      </c>
      <c r="B26850" s="15" t="s">
        <v>1599</v>
      </c>
      <c r="C26850" s="16" t="s">
        <v>1512</v>
      </c>
      <c r="D26850" s="16" t="s">
        <v>1513</v>
      </c>
      <c r="E26850" s="2">
        <v>2795261</v>
      </c>
      <c r="F26850" s="4" t="e">
        <f>IF(B26850=#REF!,"",B26850)</f>
        <v>#REF!</v>
      </c>
    </row>
    <row r="26851" spans="1:6" ht="15.75" customHeight="1">
      <c r="A26851" s="15" t="s">
        <v>19007</v>
      </c>
      <c r="B26851" s="15" t="s">
        <v>19007</v>
      </c>
      <c r="C26851" s="15" t="s">
        <v>18862</v>
      </c>
      <c r="D26851" s="15" t="s">
        <v>18877</v>
      </c>
      <c r="E26851" s="2">
        <v>2753557</v>
      </c>
      <c r="F26851" s="4" t="e">
        <f>IF(B26851=#REF!,"",B26851)</f>
        <v>#REF!</v>
      </c>
    </row>
    <row r="26852" spans="1:6" ht="15.75" customHeight="1">
      <c r="A26852" s="15" t="s">
        <v>28918</v>
      </c>
      <c r="B26852" s="15" t="s">
        <v>28918</v>
      </c>
      <c r="C26852" s="15" t="s">
        <v>27788</v>
      </c>
      <c r="D26852" s="15" t="s">
        <v>27792</v>
      </c>
      <c r="E26852" s="2">
        <v>4699066</v>
      </c>
      <c r="F26852" s="4" t="str">
        <f>IF(B26852=B26851,"",B26852)</f>
        <v>Houston</v>
      </c>
    </row>
    <row r="26853" spans="1:6" ht="15.75" customHeight="1">
      <c r="A26853" s="16" t="str">
        <f ca="1">IFERROR(__xludf.DUMMYFUNCTION("GOOGLETRANSLATE(B23993,""en"",""pt"")"),"Houndé")</f>
        <v>Houndé</v>
      </c>
      <c r="B26853" s="20" t="s">
        <v>31319</v>
      </c>
      <c r="C26853" s="20" t="s">
        <v>3768</v>
      </c>
      <c r="D26853" s="20" t="s">
        <v>3772</v>
      </c>
      <c r="E26853" s="10">
        <v>2360073</v>
      </c>
      <c r="F26853" s="4" t="str">
        <f>IF(B26853=B26852,"",B26853)</f>
        <v>Houndé</v>
      </c>
    </row>
    <row r="26854" spans="1:6" ht="15.75" customHeight="1">
      <c r="A26854" s="16" t="s">
        <v>3794</v>
      </c>
      <c r="B26854" s="15" t="s">
        <v>3795</v>
      </c>
      <c r="C26854" s="16" t="s">
        <v>3768</v>
      </c>
      <c r="D26854" s="16" t="s">
        <v>3772</v>
      </c>
      <c r="E26854" s="2">
        <v>2360073</v>
      </c>
      <c r="F26854" s="4" t="e">
        <f>IF(B26854=#REF!,"",B26854)</f>
        <v>#REF!</v>
      </c>
    </row>
    <row r="26855" spans="1:6" ht="15.75" customHeight="1">
      <c r="A26855" s="16" t="s">
        <v>26139</v>
      </c>
      <c r="B26855" s="15" t="s">
        <v>26139</v>
      </c>
      <c r="C26855" s="16" t="s">
        <v>26090</v>
      </c>
      <c r="D26855" s="16" t="s">
        <v>26140</v>
      </c>
      <c r="E26855" s="2">
        <v>2470384</v>
      </c>
      <c r="F26855" s="4" t="e">
        <f>IF(B26855=#REF!,"",B26855)</f>
        <v>#REF!</v>
      </c>
    </row>
    <row r="26856" spans="1:6" ht="15.75" customHeight="1">
      <c r="A26856" s="15" t="s">
        <v>28917</v>
      </c>
      <c r="B26856" s="15" t="s">
        <v>28917</v>
      </c>
      <c r="C26856" s="15" t="s">
        <v>27788</v>
      </c>
      <c r="D26856" s="15" t="s">
        <v>27827</v>
      </c>
      <c r="E26856" s="2">
        <v>4328010</v>
      </c>
      <c r="F26856" s="4" t="e">
        <f>IF(B26856=#REF!,"",B26856)</f>
        <v>#REF!</v>
      </c>
    </row>
    <row r="26857" spans="1:6" ht="15.75" customHeight="1">
      <c r="A26857" s="15" t="s">
        <v>7401</v>
      </c>
      <c r="B26857" s="15" t="s">
        <v>7401</v>
      </c>
      <c r="C26857" s="15" t="s">
        <v>7052</v>
      </c>
      <c r="D26857" s="15" t="s">
        <v>7058</v>
      </c>
      <c r="E26857" s="2">
        <v>3013097</v>
      </c>
      <c r="F26857" s="4" t="e">
        <f>IF(B26857=#REF!,"",B26857)</f>
        <v>#REF!</v>
      </c>
    </row>
    <row r="26858" spans="1:6" ht="15.75" customHeight="1">
      <c r="A26858" s="15" t="s">
        <v>4750</v>
      </c>
      <c r="B26858" s="15" t="s">
        <v>4750</v>
      </c>
      <c r="C26858" s="15" t="s">
        <v>4487</v>
      </c>
      <c r="D26858" s="15" t="s">
        <v>4490</v>
      </c>
      <c r="E26858" s="2">
        <v>1281019</v>
      </c>
      <c r="F26858" s="4" t="e">
        <f>IF(B26858=#REF!,"",B26858)</f>
        <v>#REF!</v>
      </c>
    </row>
    <row r="26859" spans="1:6" ht="15.75" customHeight="1">
      <c r="A26859" s="15" t="s">
        <v>15979</v>
      </c>
      <c r="B26859" s="15" t="s">
        <v>15979</v>
      </c>
      <c r="C26859" s="15" t="s">
        <v>15704</v>
      </c>
      <c r="D26859" s="15" t="s">
        <v>15769</v>
      </c>
      <c r="E26859" s="2">
        <v>1862098</v>
      </c>
      <c r="F26859" s="4" t="e">
        <f>IF(B26859=#REF!,"",B26859)</f>
        <v>#REF!</v>
      </c>
    </row>
    <row r="26860" spans="1:6" ht="15.75" customHeight="1">
      <c r="A26860" s="16" t="s">
        <v>28915</v>
      </c>
      <c r="B26860" s="15" t="s">
        <v>28916</v>
      </c>
      <c r="C26860" s="16" t="s">
        <v>27788</v>
      </c>
      <c r="D26860" s="16" t="s">
        <v>27991</v>
      </c>
      <c r="E26860" s="2">
        <v>8605040</v>
      </c>
      <c r="F26860" s="4" t="e">
        <f>IF(B26860=#REF!,"",B26860)</f>
        <v>#REF!</v>
      </c>
    </row>
    <row r="26861" spans="1:6" ht="15.75" customHeight="1">
      <c r="A26861" s="16" t="s">
        <v>28914</v>
      </c>
      <c r="B26861" s="15" t="s">
        <v>28914</v>
      </c>
      <c r="C26861" s="16" t="s">
        <v>27788</v>
      </c>
      <c r="D26861" s="16" t="s">
        <v>27991</v>
      </c>
      <c r="E26861" s="2">
        <v>4115412</v>
      </c>
      <c r="F26861" s="4" t="str">
        <f>IF(B26861=B26860,"",B26861)</f>
        <v>Hot Springs</v>
      </c>
    </row>
    <row r="26862" spans="1:6" ht="15.75" customHeight="1">
      <c r="A26862" s="16" t="str">
        <f ca="1">IFERROR(__xludf.DUMMYFUNCTION("GOOGLETRANSLATE(B33344,""en"",""pt"")"),"Hosūr")</f>
        <v>Hosūr</v>
      </c>
      <c r="B26862" s="20" t="s">
        <v>33657</v>
      </c>
      <c r="C26862" s="20" t="s">
        <v>10178</v>
      </c>
      <c r="D26862" s="20" t="s">
        <v>10196</v>
      </c>
      <c r="E26862" s="10">
        <v>1269934</v>
      </c>
      <c r="F26862" s="4" t="e">
        <f>IF(B26862=#REF!,"",B26862)</f>
        <v>#REF!</v>
      </c>
    </row>
    <row r="26863" spans="1:6" ht="15.75" customHeight="1">
      <c r="A26863" s="15" t="s">
        <v>11516</v>
      </c>
      <c r="B26863" s="15" t="s">
        <v>11516</v>
      </c>
      <c r="C26863" s="15" t="s">
        <v>10178</v>
      </c>
      <c r="D26863" s="15" t="s">
        <v>10252</v>
      </c>
      <c r="E26863" s="2">
        <v>1269935</v>
      </c>
      <c r="F26863" s="4" t="e">
        <f>IF(B26863=#REF!,"",B26863)</f>
        <v>#REF!</v>
      </c>
    </row>
    <row r="26864" spans="1:6" ht="15.75" customHeight="1">
      <c r="A26864" s="15" t="s">
        <v>11515</v>
      </c>
      <c r="B26864" s="15" t="s">
        <v>11515</v>
      </c>
      <c r="C26864" s="15" t="s">
        <v>10178</v>
      </c>
      <c r="D26864" s="15" t="s">
        <v>10252</v>
      </c>
      <c r="E26864" s="2">
        <v>1269936</v>
      </c>
      <c r="F26864" s="4" t="str">
        <f>IF(B26864=B26863,"",B26864)</f>
        <v>Hoskote</v>
      </c>
    </row>
    <row r="26865" spans="1:6" ht="15.75" customHeight="1">
      <c r="A26865" s="16" t="str">
        <f ca="1">IFERROR(__xludf.DUMMYFUNCTION("GOOGLETRANSLATE(B33347,""en"",""pt"")"),"Hoshangābād")</f>
        <v>Hoshangābād</v>
      </c>
      <c r="B26865" s="20" t="s">
        <v>33658</v>
      </c>
      <c r="C26865" s="20" t="s">
        <v>10178</v>
      </c>
      <c r="D26865" s="20" t="s">
        <v>10219</v>
      </c>
      <c r="E26865" s="10">
        <v>1269939</v>
      </c>
      <c r="F26865" s="4" t="str">
        <f>IF(B26865=B26864,"",B26865)</f>
        <v>Hoshangābād</v>
      </c>
    </row>
    <row r="26866" spans="1:6" ht="15.75" customHeight="1">
      <c r="A26866" s="16" t="s">
        <v>11513</v>
      </c>
      <c r="B26866" s="15" t="s">
        <v>11514</v>
      </c>
      <c r="C26866" s="16" t="s">
        <v>10178</v>
      </c>
      <c r="D26866" s="16" t="s">
        <v>10219</v>
      </c>
      <c r="E26866" s="2">
        <v>1269939</v>
      </c>
      <c r="F26866" s="4" t="e">
        <f>IF(B26866=#REF!,"",B26866)</f>
        <v>#REF!</v>
      </c>
    </row>
    <row r="26867" spans="1:6" ht="15.75" customHeight="1">
      <c r="A26867" s="15" t="s">
        <v>11512</v>
      </c>
      <c r="B26867" s="15" t="s">
        <v>11512</v>
      </c>
      <c r="C26867" s="15" t="s">
        <v>10178</v>
      </c>
      <c r="D26867" s="15" t="s">
        <v>10252</v>
      </c>
      <c r="E26867" s="2">
        <v>1269943</v>
      </c>
      <c r="F26867" s="4" t="str">
        <f>IF(B26867=B26866,"",B26867)</f>
        <v>Hosdurga</v>
      </c>
    </row>
    <row r="26868" spans="1:6" ht="15.75" customHeight="1">
      <c r="A26868" s="15" t="s">
        <v>11510</v>
      </c>
      <c r="B26868" s="15" t="s">
        <v>11511</v>
      </c>
      <c r="C26868" s="15" t="s">
        <v>10178</v>
      </c>
      <c r="D26868" s="15" t="s">
        <v>10196</v>
      </c>
      <c r="E26868" s="2">
        <v>1269934</v>
      </c>
      <c r="F26868" s="4" t="str">
        <f>IF(B26868=B26867,"",B26868)</f>
        <v>HosÅ«r</v>
      </c>
    </row>
    <row r="26869" spans="1:6" ht="15.75" customHeight="1">
      <c r="A26869" s="16" t="str">
        <f ca="1">IFERROR(__xludf.DUMMYFUNCTION("GOOGLETRANSLATE(B24997,""en"",""pt"")"),"HortolânDia")</f>
        <v>HortolânDia</v>
      </c>
      <c r="B26869" s="20" t="s">
        <v>31647</v>
      </c>
      <c r="C26869" s="20" t="s">
        <v>1905</v>
      </c>
      <c r="D26869" s="20" t="s">
        <v>3354</v>
      </c>
      <c r="E26869" s="10">
        <v>3461655</v>
      </c>
      <c r="F26869" s="4" t="str">
        <f>IF(B26869=B26868,"",B26869)</f>
        <v>Hortolândia</v>
      </c>
    </row>
    <row r="26870" spans="1:6" ht="15.75" customHeight="1">
      <c r="A26870" s="16" t="s">
        <v>2548</v>
      </c>
      <c r="B26870" s="15" t="s">
        <v>2549</v>
      </c>
      <c r="C26870" s="16" t="s">
        <v>1905</v>
      </c>
      <c r="D26870" s="16" t="s">
        <v>1914</v>
      </c>
      <c r="E26870" s="2">
        <v>3461655</v>
      </c>
      <c r="F26870" s="4" t="e">
        <f>IF(B26870=#REF!,"",B26870)</f>
        <v>#REF!</v>
      </c>
    </row>
    <row r="26871" spans="1:6" ht="15.75" customHeight="1">
      <c r="A26871" s="15" t="s">
        <v>19721</v>
      </c>
      <c r="B26871" s="15" t="s">
        <v>19721</v>
      </c>
      <c r="C26871" s="15" t="s">
        <v>19695</v>
      </c>
      <c r="D26871" s="15" t="s">
        <v>19722</v>
      </c>
      <c r="E26871" s="2">
        <v>3151770</v>
      </c>
      <c r="F26871" s="4" t="e">
        <f>IF(B26871=#REF!,"",B26871)</f>
        <v>#REF!</v>
      </c>
    </row>
    <row r="26872" spans="1:6" ht="15.75" customHeight="1">
      <c r="A26872" s="15" t="s">
        <v>24506</v>
      </c>
      <c r="B26872" s="15" t="s">
        <v>24506</v>
      </c>
      <c r="C26872" s="15" t="s">
        <v>24200</v>
      </c>
      <c r="D26872" s="15" t="s">
        <v>5513</v>
      </c>
      <c r="E26872" s="2">
        <v>3120635</v>
      </c>
      <c r="F26872" s="4" t="str">
        <f>IF(B26872=B26871,"",B26872)</f>
        <v>Hortaleza</v>
      </c>
    </row>
    <row r="26873" spans="1:6" ht="15.75" customHeight="1">
      <c r="A26873" s="16" t="str">
        <f ca="1">IFERROR(__xludf.DUMMYFUNCTION("GOOGLETRANSLATE(B29486,""en"",""pt"")"),"Horta-Guinardó")</f>
        <v>Horta-Guinardó</v>
      </c>
      <c r="B26873" s="20" t="s">
        <v>32477</v>
      </c>
      <c r="C26873" s="20" t="s">
        <v>24200</v>
      </c>
      <c r="D26873" s="20" t="s">
        <v>24277</v>
      </c>
      <c r="E26873" s="10">
        <v>6544103</v>
      </c>
      <c r="F26873" s="4" t="str">
        <f>IF(B26873=B26872,"",B26873)</f>
        <v>Horta-Guinardó</v>
      </c>
    </row>
    <row r="26874" spans="1:6" ht="15.75" customHeight="1">
      <c r="A26874" s="16" t="s">
        <v>24504</v>
      </c>
      <c r="B26874" s="15" t="s">
        <v>24505</v>
      </c>
      <c r="C26874" s="16" t="s">
        <v>24200</v>
      </c>
      <c r="D26874" s="16" t="s">
        <v>24277</v>
      </c>
      <c r="E26874" s="2">
        <v>6544103</v>
      </c>
      <c r="F26874" s="4" t="str">
        <f>IF(B26874=B26873,"",B26874)</f>
        <v>Horta-GuinardÃ³</v>
      </c>
    </row>
    <row r="26875" spans="1:6" ht="15.75" customHeight="1">
      <c r="A26875" s="16" t="str">
        <f ca="1">IFERROR(__xludf.DUMMYFUNCTION("GOOGLETRANSLATE(B27937,""en"",""pt"")"),"Hörstel")</f>
        <v>Hörstel</v>
      </c>
      <c r="B26875" s="20" t="s">
        <v>32092</v>
      </c>
      <c r="C26875" s="20" t="s">
        <v>8028</v>
      </c>
      <c r="D26875" s="20" t="s">
        <v>8029</v>
      </c>
      <c r="E26875" s="10">
        <v>2898603</v>
      </c>
      <c r="F26875" s="4" t="e">
        <f>IF(B26875=#REF!,"",B26875)</f>
        <v>#REF!</v>
      </c>
    </row>
    <row r="26876" spans="1:6" ht="15.75" customHeight="1">
      <c r="A26876" s="15" t="s">
        <v>19006</v>
      </c>
      <c r="B26876" s="15" t="s">
        <v>19006</v>
      </c>
      <c r="C26876" s="15" t="s">
        <v>18862</v>
      </c>
      <c r="D26876" s="15" t="s">
        <v>18865</v>
      </c>
      <c r="E26876" s="2">
        <v>2753587</v>
      </c>
      <c r="F26876" s="4" t="str">
        <f>IF(B26876=B26875,"",B26876)</f>
        <v>Horst</v>
      </c>
    </row>
    <row r="26877" spans="1:6" ht="15.75" customHeight="1">
      <c r="A26877" s="16" t="str">
        <f ca="1">IFERROR(__xludf.DUMMYFUNCTION("GOOGLETRANSLATE(B28430,""en"",""pt"")"),"Hørsholm")</f>
        <v>Hørsholm</v>
      </c>
      <c r="B26877" s="20" t="s">
        <v>32160</v>
      </c>
      <c r="C26877" s="20" t="s">
        <v>6209</v>
      </c>
      <c r="D26877" s="20" t="s">
        <v>6216</v>
      </c>
      <c r="E26877" s="10">
        <v>2619856</v>
      </c>
      <c r="F26877" s="4" t="e">
        <f>IF(B26877=#REF!,"",B26877)</f>
        <v>#REF!</v>
      </c>
    </row>
    <row r="26878" spans="1:6" ht="15.75" customHeight="1">
      <c r="A26878" s="15" t="s">
        <v>6246</v>
      </c>
      <c r="B26878" s="15" t="s">
        <v>6247</v>
      </c>
      <c r="C26878" s="15" t="s">
        <v>6209</v>
      </c>
      <c r="D26878" s="15" t="s">
        <v>6210</v>
      </c>
      <c r="E26878" s="2">
        <v>2619771</v>
      </c>
      <c r="F26878" s="4" t="e">
        <f>IF(B26878=#REF!,"",B26878)</f>
        <v>#REF!</v>
      </c>
    </row>
    <row r="26879" spans="1:6" ht="15.75" customHeight="1">
      <c r="A26879" s="16" t="s">
        <v>26975</v>
      </c>
      <c r="B26879" s="15" t="s">
        <v>26976</v>
      </c>
      <c r="C26879" s="16" t="s">
        <v>26870</v>
      </c>
      <c r="D26879" s="16" t="s">
        <v>26925</v>
      </c>
      <c r="E26879" s="2">
        <v>708366</v>
      </c>
      <c r="F26879" s="4" t="e">
        <f>IF(B26879=#REF!,"",B26879)</f>
        <v>#REF!</v>
      </c>
    </row>
    <row r="26880" spans="1:6" ht="15.75" customHeight="1">
      <c r="A26880" s="15" t="s">
        <v>26974</v>
      </c>
      <c r="B26880" s="15" t="s">
        <v>26974</v>
      </c>
      <c r="C26880" s="15" t="s">
        <v>26870</v>
      </c>
      <c r="D26880" s="15" t="s">
        <v>26955</v>
      </c>
      <c r="E26880" s="2">
        <v>707752</v>
      </c>
      <c r="F26880" s="4" t="e">
        <f>IF(B26880=#REF!,"",B26880)</f>
        <v>#REF!</v>
      </c>
    </row>
    <row r="26881" spans="1:6" ht="15.75" customHeight="1">
      <c r="A26881" s="15" t="s">
        <v>1003</v>
      </c>
      <c r="B26881" s="15" t="s">
        <v>1003</v>
      </c>
      <c r="C26881" s="15" t="s">
        <v>885</v>
      </c>
      <c r="D26881" s="15" t="s">
        <v>891</v>
      </c>
      <c r="E26881" s="2">
        <v>2163137</v>
      </c>
      <c r="F26881" s="4" t="e">
        <f>IF(B26881=#REF!,"",B26881)</f>
        <v>#REF!</v>
      </c>
    </row>
    <row r="26882" spans="1:6" ht="15.75" customHeight="1">
      <c r="A26882" s="16" t="s">
        <v>27452</v>
      </c>
      <c r="B26882" s="15" t="s">
        <v>27452</v>
      </c>
      <c r="C26882" s="16" t="s">
        <v>27234</v>
      </c>
      <c r="D26882" s="16" t="s">
        <v>27241</v>
      </c>
      <c r="E26882" s="2">
        <v>6690863</v>
      </c>
      <c r="F26882" s="4" t="e">
        <f>IF(B26882=#REF!,"",B26882)</f>
        <v>#REF!</v>
      </c>
    </row>
    <row r="26883" spans="1:6" ht="15.75" customHeight="1">
      <c r="A26883" s="16" t="s">
        <v>28912</v>
      </c>
      <c r="B26883" s="15" t="s">
        <v>28913</v>
      </c>
      <c r="C26883" s="16" t="s">
        <v>27788</v>
      </c>
      <c r="D26883" s="16" t="s">
        <v>28040</v>
      </c>
      <c r="E26883" s="2">
        <v>4430400</v>
      </c>
      <c r="F26883" s="4" t="e">
        <f>IF(B26883=#REF!,"",B26883)</f>
        <v>#REF!</v>
      </c>
    </row>
    <row r="26884" spans="1:6" ht="15.75" customHeight="1">
      <c r="A26884" s="15" t="s">
        <v>26973</v>
      </c>
      <c r="B26884" s="15" t="s">
        <v>26973</v>
      </c>
      <c r="C26884" s="15" t="s">
        <v>26870</v>
      </c>
      <c r="D26884" s="15" t="s">
        <v>22345</v>
      </c>
      <c r="E26884" s="2">
        <v>707753</v>
      </c>
      <c r="F26884" s="4" t="e">
        <f>IF(B26884=#REF!,"",B26884)</f>
        <v>#REF!</v>
      </c>
    </row>
    <row r="26885" spans="1:6" ht="15.75" customHeight="1">
      <c r="A26885" s="15" t="s">
        <v>1468</v>
      </c>
      <c r="B26885" s="15" t="s">
        <v>1468</v>
      </c>
      <c r="C26885" s="15" t="s">
        <v>1453</v>
      </c>
      <c r="D26885" s="15" t="s">
        <v>1454</v>
      </c>
      <c r="E26885" s="2">
        <v>627905</v>
      </c>
      <c r="F26885" s="4" t="e">
        <f>IF(B26885=#REF!,"",B26885)</f>
        <v>#REF!</v>
      </c>
    </row>
    <row r="26886" spans="1:6" ht="15.75" customHeight="1">
      <c r="A26886" s="15" t="s">
        <v>2547</v>
      </c>
      <c r="B26886" s="15" t="s">
        <v>2547</v>
      </c>
      <c r="C26886" s="15" t="s">
        <v>1905</v>
      </c>
      <c r="D26886" s="15" t="s">
        <v>1930</v>
      </c>
      <c r="E26886" s="2">
        <v>3398450</v>
      </c>
      <c r="F26886" s="4" t="e">
        <f>IF(B26886=#REF!,"",B26886)</f>
        <v>#REF!</v>
      </c>
    </row>
    <row r="26887" spans="1:6" ht="15.75" customHeight="1">
      <c r="A26887" s="16" t="s">
        <v>28910</v>
      </c>
      <c r="B26887" s="15" t="s">
        <v>28911</v>
      </c>
      <c r="C26887" s="16" t="s">
        <v>27788</v>
      </c>
      <c r="D26887" s="16" t="s">
        <v>27792</v>
      </c>
      <c r="E26887" s="2">
        <v>5523369</v>
      </c>
      <c r="F26887" s="4" t="e">
        <f>IF(B26887=#REF!,"",B26887)</f>
        <v>#REF!</v>
      </c>
    </row>
    <row r="26888" spans="1:6" ht="15.75" customHeight="1">
      <c r="A26888" s="15" t="s">
        <v>25273</v>
      </c>
      <c r="B26888" s="15" t="s">
        <v>25273</v>
      </c>
      <c r="C26888" s="15" t="s">
        <v>25237</v>
      </c>
      <c r="D26888" s="15" t="s">
        <v>25240</v>
      </c>
      <c r="E26888" s="2">
        <v>2660305</v>
      </c>
      <c r="F26888" s="4" t="e">
        <f>IF(B26888=#REF!,"",B26888)</f>
        <v>#REF!</v>
      </c>
    </row>
    <row r="26889" spans="1:6" ht="15.75" customHeight="1">
      <c r="A26889" s="16" t="s">
        <v>8606</v>
      </c>
      <c r="B26889" s="15" t="s">
        <v>8606</v>
      </c>
      <c r="C26889" s="16" t="s">
        <v>8028</v>
      </c>
      <c r="D26889" s="16" t="s">
        <v>8031</v>
      </c>
      <c r="E26889" s="2">
        <v>2899101</v>
      </c>
      <c r="F26889" s="4" t="e">
        <f>IF(B26889=#REF!,"",B26889)</f>
        <v>#REF!</v>
      </c>
    </row>
    <row r="26890" spans="1:6" ht="15.75" customHeight="1">
      <c r="A26890" s="15" t="s">
        <v>26547</v>
      </c>
      <c r="B26890" s="15" t="s">
        <v>26547</v>
      </c>
      <c r="C26890" s="15" t="s">
        <v>26201</v>
      </c>
      <c r="D26890" s="15" t="s">
        <v>26268</v>
      </c>
      <c r="E26890" s="2">
        <v>745527</v>
      </c>
      <c r="F26890" s="4" t="e">
        <f>IF(B26890=#REF!,"",B26890)</f>
        <v>#REF!</v>
      </c>
    </row>
    <row r="26891" spans="1:6" ht="15.75" customHeight="1">
      <c r="A26891" s="16" t="s">
        <v>1467</v>
      </c>
      <c r="B26891" s="15" t="s">
        <v>1467</v>
      </c>
      <c r="C26891" s="16" t="s">
        <v>1453</v>
      </c>
      <c r="D26891" s="16" t="s">
        <v>1463</v>
      </c>
      <c r="E26891" s="2">
        <v>618800</v>
      </c>
      <c r="F26891" s="4" t="e">
        <f>IF(B26891=#REF!,"",B26891)</f>
        <v>#REF!</v>
      </c>
    </row>
    <row r="26892" spans="1:6" ht="15.75" customHeight="1">
      <c r="A26892" s="16" t="s">
        <v>1466</v>
      </c>
      <c r="B26892" s="15" t="s">
        <v>1466</v>
      </c>
      <c r="C26892" s="16" t="s">
        <v>1453</v>
      </c>
      <c r="D26892" s="16" t="s">
        <v>1463</v>
      </c>
      <c r="E26892" s="2">
        <v>630376</v>
      </c>
      <c r="F26892" s="4" t="e">
        <f>IF(B26892=#REF!,"",B26892)</f>
        <v>#REF!</v>
      </c>
    </row>
    <row r="26893" spans="1:6" ht="15.75" customHeight="1">
      <c r="A26893" s="16" t="s">
        <v>1001</v>
      </c>
      <c r="B26893" s="15" t="s">
        <v>1002</v>
      </c>
      <c r="C26893" s="16" t="s">
        <v>885</v>
      </c>
      <c r="D26893" s="16" t="s">
        <v>827</v>
      </c>
      <c r="E26893" s="2">
        <v>7281807</v>
      </c>
      <c r="F26893" s="4" t="e">
        <f>IF(B26893=#REF!,"",B26893)</f>
        <v>#REF!</v>
      </c>
    </row>
    <row r="26894" spans="1:6" ht="15.75" customHeight="1">
      <c r="A26894" s="16" t="s">
        <v>28909</v>
      </c>
      <c r="B26894" s="15" t="s">
        <v>28909</v>
      </c>
      <c r="C26894" s="16" t="s">
        <v>27788</v>
      </c>
      <c r="D26894" s="16" t="s">
        <v>27909</v>
      </c>
      <c r="E26894" s="2">
        <v>4295251</v>
      </c>
      <c r="F26894" s="4" t="e">
        <f>IF(B26894=#REF!,"",B26894)</f>
        <v>#REF!</v>
      </c>
    </row>
    <row r="26895" spans="1:6" ht="15.75" customHeight="1">
      <c r="A26895" s="15" t="s">
        <v>28908</v>
      </c>
      <c r="B26895" s="15" t="s">
        <v>28908</v>
      </c>
      <c r="C26895" s="15" t="s">
        <v>27788</v>
      </c>
      <c r="D26895" s="15" t="s">
        <v>27824</v>
      </c>
      <c r="E26895" s="2">
        <v>5030670</v>
      </c>
      <c r="F26895" s="4" t="e">
        <f>IF(B26895=#REF!,"",B26895)</f>
        <v>#REF!</v>
      </c>
    </row>
    <row r="26896" spans="1:6" ht="15.75" customHeight="1">
      <c r="A26896" s="16" t="s">
        <v>28907</v>
      </c>
      <c r="B26896" s="15" t="s">
        <v>28907</v>
      </c>
      <c r="C26896" s="16" t="s">
        <v>27788</v>
      </c>
      <c r="D26896" s="16" t="s">
        <v>27822</v>
      </c>
      <c r="E26896" s="2">
        <v>4471851</v>
      </c>
      <c r="F26896" s="4" t="e">
        <f>IF(B26896=#REF!,"",B26896)</f>
        <v>#REF!</v>
      </c>
    </row>
    <row r="26897" spans="1:6" ht="15.75" customHeight="1">
      <c r="A26897" s="16" t="s">
        <v>28905</v>
      </c>
      <c r="B26897" s="15" t="s">
        <v>28906</v>
      </c>
      <c r="C26897" s="16" t="s">
        <v>27788</v>
      </c>
      <c r="D26897" s="16" t="s">
        <v>27905</v>
      </c>
      <c r="E26897" s="2">
        <v>5099292</v>
      </c>
      <c r="F26897" s="4" t="e">
        <f>IF(B26897=#REF!,"",B26897)</f>
        <v>#REF!</v>
      </c>
    </row>
    <row r="26898" spans="1:6" ht="15.75" customHeight="1">
      <c r="A26898" s="16" t="s">
        <v>28904</v>
      </c>
      <c r="B26898" s="15" t="s">
        <v>28904</v>
      </c>
      <c r="C26898" s="16" t="s">
        <v>27788</v>
      </c>
      <c r="D26898" s="16" t="s">
        <v>27905</v>
      </c>
      <c r="E26898" s="2">
        <v>5099289</v>
      </c>
      <c r="F26898" s="4" t="e">
        <f>IF(B26898=#REF!,"",B26898)</f>
        <v>#REF!</v>
      </c>
    </row>
    <row r="26899" spans="1:6" ht="15.75" customHeight="1">
      <c r="A26899" s="15" t="s">
        <v>26546</v>
      </c>
      <c r="B26899" s="15" t="s">
        <v>26546</v>
      </c>
      <c r="C26899" s="15" t="s">
        <v>26201</v>
      </c>
      <c r="D26899" s="15" t="s">
        <v>26333</v>
      </c>
      <c r="E26899" s="2">
        <v>745530</v>
      </c>
      <c r="F26899" s="4" t="e">
        <f>IF(B26899=#REF!,"",B26899)</f>
        <v>#REF!</v>
      </c>
    </row>
    <row r="26900" spans="1:6" ht="15.75" customHeight="1">
      <c r="A26900" s="15" t="s">
        <v>28902</v>
      </c>
      <c r="B26900" s="15" t="s">
        <v>28903</v>
      </c>
      <c r="C26900" s="15" t="s">
        <v>27788</v>
      </c>
      <c r="D26900" s="15" t="s">
        <v>28023</v>
      </c>
      <c r="E26900" s="2">
        <v>4067994</v>
      </c>
      <c r="F26900" s="4" t="e">
        <f>IF(B26900=#REF!,"",B26900)</f>
        <v>#REF!</v>
      </c>
    </row>
    <row r="26901" spans="1:6" ht="15.75" customHeight="1">
      <c r="A26901" s="15" t="s">
        <v>19005</v>
      </c>
      <c r="B26901" s="15" t="s">
        <v>19005</v>
      </c>
      <c r="C26901" s="15" t="s">
        <v>18862</v>
      </c>
      <c r="D26901" s="15" t="s">
        <v>18863</v>
      </c>
      <c r="E26901" s="2">
        <v>2753638</v>
      </c>
      <c r="F26901" s="4" t="e">
        <f>IF(B26901=#REF!,"",B26901)</f>
        <v>#REF!</v>
      </c>
    </row>
    <row r="26902" spans="1:6" ht="15.75" customHeight="1">
      <c r="A26902" s="16" t="s">
        <v>1598</v>
      </c>
      <c r="B26902" s="15" t="s">
        <v>1598</v>
      </c>
      <c r="C26902" s="16" t="s">
        <v>1512</v>
      </c>
      <c r="D26902" s="16" t="s">
        <v>1513</v>
      </c>
      <c r="E26902" s="2">
        <v>2795398</v>
      </c>
      <c r="F26902" s="4" t="e">
        <f>IF(B26902=#REF!,"",B26902)</f>
        <v>#REF!</v>
      </c>
    </row>
    <row r="26903" spans="1:6" ht="15.75" customHeight="1">
      <c r="A26903" s="16" t="s">
        <v>19004</v>
      </c>
      <c r="B26903" s="15" t="s">
        <v>19004</v>
      </c>
      <c r="C26903" s="16" t="s">
        <v>18862</v>
      </c>
      <c r="D26903" s="16" t="s">
        <v>18935</v>
      </c>
      <c r="E26903" s="2">
        <v>2753706</v>
      </c>
      <c r="F26903" s="4" t="e">
        <f>IF(B26903=#REF!,"",B26903)</f>
        <v>#REF!</v>
      </c>
    </row>
    <row r="26904" spans="1:6" ht="15.75" customHeight="1">
      <c r="A26904" s="16" t="s">
        <v>19003</v>
      </c>
      <c r="B26904" s="15" t="s">
        <v>19003</v>
      </c>
      <c r="C26904" s="16" t="s">
        <v>18862</v>
      </c>
      <c r="D26904" s="16" t="s">
        <v>18883</v>
      </c>
      <c r="E26904" s="2">
        <v>2753719</v>
      </c>
      <c r="F26904" s="4" t="e">
        <f>IF(B26904=#REF!,"",B26904)</f>
        <v>#REF!</v>
      </c>
    </row>
    <row r="26905" spans="1:6" ht="15.75" customHeight="1">
      <c r="A26905" s="16" t="s">
        <v>19001</v>
      </c>
      <c r="B26905" s="15" t="s">
        <v>19002</v>
      </c>
      <c r="C26905" s="16" t="s">
        <v>18862</v>
      </c>
      <c r="D26905" s="16" t="s">
        <v>18863</v>
      </c>
      <c r="E26905" s="2">
        <v>2753801</v>
      </c>
      <c r="F26905" s="4" t="e">
        <f>IF(B26905=#REF!,"",B26905)</f>
        <v>#REF!</v>
      </c>
    </row>
    <row r="26906" spans="1:6" ht="15.75" customHeight="1">
      <c r="A26906" s="15" t="s">
        <v>28901</v>
      </c>
      <c r="B26906" s="15" t="s">
        <v>28901</v>
      </c>
      <c r="C26906" s="15" t="s">
        <v>27788</v>
      </c>
      <c r="D26906" s="15" t="s">
        <v>27789</v>
      </c>
      <c r="E26906" s="2">
        <v>5856195</v>
      </c>
      <c r="F26906" s="4" t="str">
        <f>IF(B26906=B26905,"",B26906)</f>
        <v>Honolulu</v>
      </c>
    </row>
    <row r="26907" spans="1:6" ht="15.75" customHeight="1">
      <c r="A26907" s="16" t="str">
        <f ca="1">IFERROR(__xludf.DUMMYFUNCTION("GOOGLETRANSLATE(B33349,""en"",""pt"")"),"Honnāli")</f>
        <v>Honnāli</v>
      </c>
      <c r="B26907" s="20" t="s">
        <v>33659</v>
      </c>
      <c r="C26907" s="20" t="s">
        <v>10178</v>
      </c>
      <c r="D26907" s="20" t="s">
        <v>10252</v>
      </c>
      <c r="E26907" s="10">
        <v>1269970</v>
      </c>
      <c r="F26907" s="4" t="str">
        <f>IF(B26907=B26906,"",B26907)</f>
        <v>Honnāli</v>
      </c>
    </row>
    <row r="26908" spans="1:6" ht="15.75" customHeight="1">
      <c r="A26908" s="15" t="s">
        <v>11508</v>
      </c>
      <c r="B26908" s="15" t="s">
        <v>11509</v>
      </c>
      <c r="C26908" s="15" t="s">
        <v>10178</v>
      </c>
      <c r="D26908" s="15" t="s">
        <v>10252</v>
      </c>
      <c r="E26908" s="2">
        <v>1269970</v>
      </c>
      <c r="F26908" s="4" t="str">
        <f>IF(B26908=B26907,"",B26908)</f>
        <v>HonnÄli</v>
      </c>
    </row>
    <row r="26909" spans="1:6" ht="15.75" customHeight="1">
      <c r="A26909" s="16" t="str">
        <f ca="1">IFERROR(__xludf.DUMMYFUNCTION("GOOGLETRANSLATE(B35590,""en"",""pt"")"),"Honjō")</f>
        <v>Honjō</v>
      </c>
      <c r="B26909" s="20" t="s">
        <v>34371</v>
      </c>
      <c r="C26909" s="20" t="s">
        <v>15704</v>
      </c>
      <c r="D26909" s="20" t="s">
        <v>15710</v>
      </c>
      <c r="E26909" s="10">
        <v>1862198</v>
      </c>
      <c r="F26909" s="4" t="str">
        <f>IF(B26909=B26908,"",B26909)</f>
        <v>Honjō</v>
      </c>
    </row>
    <row r="26910" spans="1:6" ht="15.75" customHeight="1">
      <c r="A26910" s="15" t="s">
        <v>15977</v>
      </c>
      <c r="B26910" s="15" t="s">
        <v>15978</v>
      </c>
      <c r="C26910" s="15" t="s">
        <v>15704</v>
      </c>
      <c r="D26910" s="15" t="s">
        <v>15710</v>
      </c>
      <c r="E26910" s="2">
        <v>1862198</v>
      </c>
      <c r="F26910" s="4" t="e">
        <f>IF(B26910=#REF!,"",B26910)</f>
        <v>#REF!</v>
      </c>
    </row>
    <row r="26911" spans="1:6" ht="15.75" customHeight="1">
      <c r="A26911" s="15" t="s">
        <v>23796</v>
      </c>
      <c r="B26911" s="15" t="s">
        <v>23796</v>
      </c>
      <c r="C26911" s="15" t="s">
        <v>23797</v>
      </c>
      <c r="D26911" s="15" t="s">
        <v>23798</v>
      </c>
      <c r="E26911" s="2">
        <v>2108502</v>
      </c>
      <c r="F26911" s="4" t="str">
        <f>IF(B26911=B26910,"",B26911)</f>
        <v>Honiara</v>
      </c>
    </row>
    <row r="26912" spans="1:6" ht="15.75" customHeight="1">
      <c r="A26912" s="16" t="str">
        <f ca="1">IFERROR(__xludf.DUMMYFUNCTION("GOOGLETRANSLATE(B36042,""en"",""pt"")"),"Hongwŏn")</f>
        <v>Hongwŏn</v>
      </c>
      <c r="B26912" s="20" t="s">
        <v>34467</v>
      </c>
      <c r="C26912" s="20" t="s">
        <v>19589</v>
      </c>
      <c r="D26912" s="20" t="s">
        <v>34439</v>
      </c>
      <c r="E26912" s="10">
        <v>2044050</v>
      </c>
      <c r="F26912" s="4" t="str">
        <f>IF(B26912=B26911,"",B26912)</f>
        <v>Hongwŏn</v>
      </c>
    </row>
    <row r="26913" spans="1:6" ht="15.75" customHeight="1">
      <c r="A26913" s="16" t="s">
        <v>19622</v>
      </c>
      <c r="B26913" s="15" t="s">
        <v>19623</v>
      </c>
      <c r="C26913" s="16" t="s">
        <v>19589</v>
      </c>
      <c r="D26913" s="16" t="s">
        <v>19616</v>
      </c>
      <c r="E26913" s="2">
        <v>2044050</v>
      </c>
      <c r="F26913" s="4" t="e">
        <f>IF(B26913=#REF!,"",B26913)</f>
        <v>#REF!</v>
      </c>
    </row>
    <row r="26914" spans="1:6" ht="15.75" customHeight="1">
      <c r="A26914" s="16" t="s">
        <v>24082</v>
      </c>
      <c r="B26914" s="15" t="s">
        <v>24082</v>
      </c>
      <c r="C26914" s="16" t="s">
        <v>24024</v>
      </c>
      <c r="D26914" s="16" t="s">
        <v>24033</v>
      </c>
      <c r="E26914" s="2">
        <v>1844174</v>
      </c>
      <c r="F26914" s="4" t="e">
        <f>IF(B26914=#REF!,"",B26914)</f>
        <v>#REF!</v>
      </c>
    </row>
    <row r="26915" spans="1:6" ht="15.75" customHeight="1">
      <c r="A26915" s="15" t="s">
        <v>4749</v>
      </c>
      <c r="B26915" s="15" t="s">
        <v>4749</v>
      </c>
      <c r="C26915" s="15" t="s">
        <v>4487</v>
      </c>
      <c r="D26915" s="15" t="s">
        <v>4495</v>
      </c>
      <c r="E26915" s="2">
        <v>1798082</v>
      </c>
      <c r="F26915" s="4" t="e">
        <f>IF(B26915=#REF!,"",B26915)</f>
        <v>#REF!</v>
      </c>
    </row>
    <row r="26916" spans="1:6" ht="15.75" customHeight="1">
      <c r="A26916" s="16" t="s">
        <v>4748</v>
      </c>
      <c r="B26916" s="15" t="s">
        <v>4748</v>
      </c>
      <c r="C26916" s="16" t="s">
        <v>4487</v>
      </c>
      <c r="D26916" s="16" t="s">
        <v>4495</v>
      </c>
      <c r="E26916" s="2">
        <v>1808106</v>
      </c>
      <c r="F26916" s="4" t="e">
        <f>IF(B26916=#REF!,"",B26916)</f>
        <v>#REF!</v>
      </c>
    </row>
    <row r="26917" spans="1:6" ht="15.75" customHeight="1">
      <c r="A26917" s="16" t="s">
        <v>4747</v>
      </c>
      <c r="B26917" s="15" t="s">
        <v>4747</v>
      </c>
      <c r="C26917" s="16" t="s">
        <v>4487</v>
      </c>
      <c r="D26917" s="16" t="s">
        <v>4488</v>
      </c>
      <c r="E26917" s="2">
        <v>2036876</v>
      </c>
      <c r="F26917" s="4" t="str">
        <f>IF(B26917=B26916,"",B26917)</f>
        <v>Honggang</v>
      </c>
    </row>
    <row r="26918" spans="1:6" ht="15.75" customHeight="1">
      <c r="A26918" s="16" t="s">
        <v>24080</v>
      </c>
      <c r="B26918" s="15" t="s">
        <v>24081</v>
      </c>
      <c r="C26918" s="16" t="s">
        <v>24024</v>
      </c>
      <c r="D26918" s="16" t="s">
        <v>24054</v>
      </c>
      <c r="E26918" s="2">
        <v>1844191</v>
      </c>
      <c r="F26918" s="4" t="str">
        <f>IF(B26918=B26917,"",B26918)</f>
        <v>Hongchâ€™Ån</v>
      </c>
    </row>
    <row r="26919" spans="1:6" ht="15.75" customHeight="1">
      <c r="A26919" s="16" t="str">
        <f ca="1">IFERROR(__xludf.DUMMYFUNCTION("GOOGLETRANSLATE(B36129,""en"",""pt"")"),"Hongch'ŏn")</f>
        <v>Hongch'ŏn</v>
      </c>
      <c r="B26919" s="20" t="s">
        <v>34473</v>
      </c>
      <c r="C26919" s="20" t="s">
        <v>24024</v>
      </c>
      <c r="D26919" s="20" t="s">
        <v>24054</v>
      </c>
      <c r="E26919" s="10">
        <v>1844191</v>
      </c>
      <c r="F26919" s="4" t="e">
        <f>IF(B26919=#REF!,"",B26919)</f>
        <v>#REF!</v>
      </c>
    </row>
    <row r="26920" spans="1:6" ht="15.75" customHeight="1">
      <c r="A26920" s="16" t="s">
        <v>9941</v>
      </c>
      <c r="B26920" s="15" t="s">
        <v>9941</v>
      </c>
      <c r="C26920" s="16" t="s">
        <v>9941</v>
      </c>
      <c r="D26920" s="16" t="s">
        <v>9942</v>
      </c>
      <c r="E26920" s="2">
        <v>1819729</v>
      </c>
      <c r="F26920" s="4" t="e">
        <f>IF(B26920=#REF!,"",B26920)</f>
        <v>#REF!</v>
      </c>
    </row>
    <row r="26921" spans="1:6" ht="15.75" customHeight="1">
      <c r="A26921" s="15" t="s">
        <v>15976</v>
      </c>
      <c r="B26921" s="15" t="s">
        <v>15976</v>
      </c>
      <c r="C26921" s="15" t="s">
        <v>15704</v>
      </c>
      <c r="D26921" s="15" t="s">
        <v>15812</v>
      </c>
      <c r="E26921" s="2">
        <v>1862230</v>
      </c>
      <c r="F26921" s="4" t="e">
        <f>IF(B26921=#REF!,"",B26921)</f>
        <v>#REF!</v>
      </c>
    </row>
    <row r="26922" spans="1:6" ht="15.75" customHeight="1">
      <c r="A26922" s="16" t="s">
        <v>24502</v>
      </c>
      <c r="B26922" s="15" t="s">
        <v>24503</v>
      </c>
      <c r="C26922" s="16" t="s">
        <v>24200</v>
      </c>
      <c r="D26922" s="16" t="s">
        <v>24249</v>
      </c>
      <c r="E26922" s="2">
        <v>3121881</v>
      </c>
      <c r="F26922" s="4" t="e">
        <f>IF(B26922=#REF!,"",B26922)</f>
        <v>#REF!</v>
      </c>
    </row>
    <row r="26923" spans="1:6" ht="15.75" customHeight="1">
      <c r="A26923" s="15" t="s">
        <v>5487</v>
      </c>
      <c r="B26923" s="15" t="s">
        <v>5487</v>
      </c>
      <c r="C26923" s="15" t="s">
        <v>5348</v>
      </c>
      <c r="D26923" s="15" t="s">
        <v>5422</v>
      </c>
      <c r="E26923" s="2">
        <v>3680840</v>
      </c>
      <c r="F26923" s="4" t="str">
        <f>IF(B26923=B26922,"",B26923)</f>
        <v>Honda</v>
      </c>
    </row>
    <row r="26924" spans="1:6" ht="15.75" customHeight="1">
      <c r="A26924" s="16" t="str">
        <f ca="1">IFERROR(__xludf.DUMMYFUNCTION("GOOGLETRANSLATE(B35640,""en"",""pt"")"),"Honchō")</f>
        <v>Honchō</v>
      </c>
      <c r="B26924" s="20" t="s">
        <v>34385</v>
      </c>
      <c r="C26924" s="20" t="s">
        <v>15704</v>
      </c>
      <c r="D26924" s="20" t="s">
        <v>15707</v>
      </c>
      <c r="E26924" s="10">
        <v>1863905</v>
      </c>
      <c r="F26924" s="4" t="str">
        <f>IF(B26924=B26923,"",B26924)</f>
        <v>Honchō</v>
      </c>
    </row>
    <row r="26925" spans="1:6" ht="15.75" customHeight="1">
      <c r="A26925" s="15" t="s">
        <v>15974</v>
      </c>
      <c r="B26925" s="15" t="s">
        <v>15975</v>
      </c>
      <c r="C26925" s="15" t="s">
        <v>15704</v>
      </c>
      <c r="D26925" s="15" t="s">
        <v>15707</v>
      </c>
      <c r="E26925" s="2">
        <v>1863905</v>
      </c>
      <c r="F26925" s="4" t="str">
        <f>IF(B26925=B26924,"",B26925)</f>
        <v>HonchÅ</v>
      </c>
    </row>
    <row r="26926" spans="1:6" ht="15.75" customHeight="1">
      <c r="A26926" s="16" t="str">
        <f ca="1">IFERROR(__xludf.DUMMYFUNCTION("GOOGLETRANSLATE(B33350,""en"",""pt"")"),"Honāvar")</f>
        <v>Honāvar</v>
      </c>
      <c r="B26926" s="20" t="s">
        <v>33660</v>
      </c>
      <c r="C26926" s="20" t="s">
        <v>10178</v>
      </c>
      <c r="D26926" s="20" t="s">
        <v>10252</v>
      </c>
      <c r="E26926" s="10">
        <v>1269976</v>
      </c>
      <c r="F26926" s="4" t="str">
        <f>IF(B26926=B26925,"",B26926)</f>
        <v>Honāvar</v>
      </c>
    </row>
    <row r="26927" spans="1:6" ht="15.75" customHeight="1">
      <c r="A26927" s="15" t="s">
        <v>11506</v>
      </c>
      <c r="B26927" s="15" t="s">
        <v>11507</v>
      </c>
      <c r="C26927" s="15" t="s">
        <v>10178</v>
      </c>
      <c r="D26927" s="15" t="s">
        <v>10252</v>
      </c>
      <c r="E26927" s="2">
        <v>1269976</v>
      </c>
      <c r="F26927" s="4" t="e">
        <f>IF(B26927=#REF!,"",B26927)</f>
        <v>#REF!</v>
      </c>
    </row>
    <row r="26928" spans="1:6" ht="15.75" customHeight="1">
      <c r="A26928" s="15" t="s">
        <v>25406</v>
      </c>
      <c r="B26928" s="15" t="s">
        <v>25406</v>
      </c>
      <c r="C26928" s="15" t="s">
        <v>25366</v>
      </c>
      <c r="D26928" s="15" t="s">
        <v>25406</v>
      </c>
      <c r="E26928" s="2">
        <v>169577</v>
      </c>
      <c r="F26928" s="4" t="str">
        <f>IF(B26928=B26927,"",B26928)</f>
        <v>Homs</v>
      </c>
    </row>
    <row r="26929" spans="1:6" ht="15.75" customHeight="1">
      <c r="A26929" s="16" t="str">
        <f ca="1">IFERROR(__xludf.DUMMYFUNCTION("GOOGLETRANSLATE(B33351,""en"",""pt"")"),"Homnābād")</f>
        <v>Homnābād</v>
      </c>
      <c r="B26929" s="20" t="s">
        <v>33661</v>
      </c>
      <c r="C26929" s="20" t="s">
        <v>10178</v>
      </c>
      <c r="D26929" s="20" t="s">
        <v>10252</v>
      </c>
      <c r="E26929" s="10">
        <v>1269979</v>
      </c>
      <c r="F26929" s="4" t="str">
        <f>IF(B26929=B26928,"",B26929)</f>
        <v>Homnābād</v>
      </c>
    </row>
    <row r="26930" spans="1:6" ht="15.75" customHeight="1">
      <c r="A26930" s="16" t="s">
        <v>11504</v>
      </c>
      <c r="B26930" s="15" t="s">
        <v>11505</v>
      </c>
      <c r="C26930" s="16" t="s">
        <v>10178</v>
      </c>
      <c r="D26930" s="16" t="s">
        <v>10252</v>
      </c>
      <c r="E26930" s="2">
        <v>1269979</v>
      </c>
      <c r="F26930" s="4" t="e">
        <f>IF(B26930=#REF!,"",B26930)</f>
        <v>#REF!</v>
      </c>
    </row>
    <row r="26931" spans="1:6" ht="15.75" customHeight="1">
      <c r="A26931" s="16" t="s">
        <v>28900</v>
      </c>
      <c r="B26931" s="15" t="s">
        <v>28900</v>
      </c>
      <c r="C26931" s="16" t="s">
        <v>27788</v>
      </c>
      <c r="D26931" s="16" t="s">
        <v>28023</v>
      </c>
      <c r="E26931" s="2">
        <v>4067927</v>
      </c>
      <c r="F26931" s="4" t="e">
        <f>IF(B26931=#REF!,"",B26931)</f>
        <v>#REF!</v>
      </c>
    </row>
    <row r="26932" spans="1:6" ht="15.75" customHeight="1">
      <c r="A26932" s="15" t="s">
        <v>28898</v>
      </c>
      <c r="B26932" s="15" t="s">
        <v>28899</v>
      </c>
      <c r="C26932" s="15" t="s">
        <v>27788</v>
      </c>
      <c r="D26932" s="15" t="s">
        <v>5468</v>
      </c>
      <c r="E26932" s="2">
        <v>4159050</v>
      </c>
      <c r="F26932" s="4" t="e">
        <f>IF(B26932=#REF!,"",B26932)</f>
        <v>#REF!</v>
      </c>
    </row>
    <row r="26933" spans="1:6" ht="15.75" customHeight="1">
      <c r="A26933" s="16" t="s">
        <v>28897</v>
      </c>
      <c r="B26933" s="15" t="s">
        <v>28897</v>
      </c>
      <c r="C26933" s="16" t="s">
        <v>27788</v>
      </c>
      <c r="D26933" s="16" t="s">
        <v>27799</v>
      </c>
      <c r="E26933" s="2">
        <v>4896336</v>
      </c>
      <c r="F26933" s="4" t="e">
        <f>IF(B26933=#REF!,"",B26933)</f>
        <v>#REF!</v>
      </c>
    </row>
    <row r="26934" spans="1:6" ht="15.75" customHeight="1">
      <c r="A26934" s="16" t="s">
        <v>8604</v>
      </c>
      <c r="B26934" s="15" t="s">
        <v>8605</v>
      </c>
      <c r="C26934" s="16" t="s">
        <v>8028</v>
      </c>
      <c r="D26934" s="16" t="s">
        <v>8177</v>
      </c>
      <c r="E26934" s="2">
        <v>2899449</v>
      </c>
      <c r="F26934" s="4" t="e">
        <f>IF(B26934=#REF!,"",B26934)</f>
        <v>#REF!</v>
      </c>
    </row>
    <row r="26935" spans="1:6" ht="15.75" customHeight="1">
      <c r="A26935" s="16" t="s">
        <v>24948</v>
      </c>
      <c r="B26935" s="15" t="s">
        <v>24948</v>
      </c>
      <c r="C26935" s="16" t="s">
        <v>24924</v>
      </c>
      <c r="D26935" s="16" t="s">
        <v>6944</v>
      </c>
      <c r="E26935" s="2">
        <v>1243936</v>
      </c>
      <c r="F26935" s="4" t="e">
        <f>IF(B26935=#REF!,"",B26935)</f>
        <v>#REF!</v>
      </c>
    </row>
    <row r="26936" spans="1:6" ht="15.75" customHeight="1">
      <c r="A26936" s="16" t="s">
        <v>16788</v>
      </c>
      <c r="B26936" s="15" t="s">
        <v>16789</v>
      </c>
      <c r="C26936" s="16" t="s">
        <v>16781</v>
      </c>
      <c r="D26936" s="16" t="s">
        <v>16789</v>
      </c>
      <c r="E26936" s="2">
        <v>196742</v>
      </c>
      <c r="F26936" s="4" t="e">
        <f>IF(B26936=#REF!,"",B26936)</f>
        <v>#REF!</v>
      </c>
    </row>
    <row r="26937" spans="1:6" ht="15.75" customHeight="1">
      <c r="A26937" s="16" t="s">
        <v>8603</v>
      </c>
      <c r="B26937" s="15" t="s">
        <v>8603</v>
      </c>
      <c r="C26937" s="16" t="s">
        <v>8028</v>
      </c>
      <c r="D26937" s="16" t="s">
        <v>8029</v>
      </c>
      <c r="E26937" s="2">
        <v>2899538</v>
      </c>
      <c r="F26937" s="4" t="e">
        <f>IF(B26937=#REF!,"",B26937)</f>
        <v>#REF!</v>
      </c>
    </row>
    <row r="26938" spans="1:6" ht="15.75" customHeight="1">
      <c r="A26938" s="16" t="s">
        <v>8602</v>
      </c>
      <c r="B26938" s="15" t="s">
        <v>8602</v>
      </c>
      <c r="C26938" s="16" t="s">
        <v>8028</v>
      </c>
      <c r="D26938" s="16" t="s">
        <v>8034</v>
      </c>
      <c r="E26938" s="2">
        <v>2899601</v>
      </c>
      <c r="F26938" s="4" t="e">
        <f>IF(B26938=#REF!,"",B26938)</f>
        <v>#REF!</v>
      </c>
    </row>
    <row r="26939" spans="1:6" ht="15.75" customHeight="1">
      <c r="A26939" s="16" t="s">
        <v>8601</v>
      </c>
      <c r="B26939" s="15" t="s">
        <v>8601</v>
      </c>
      <c r="C26939" s="16" t="s">
        <v>8028</v>
      </c>
      <c r="D26939" s="16" t="s">
        <v>8044</v>
      </c>
      <c r="E26939" s="2">
        <v>2899676</v>
      </c>
      <c r="F26939" s="4" t="e">
        <f>IF(B26939=#REF!,"",B26939)</f>
        <v>#REF!</v>
      </c>
    </row>
    <row r="26940" spans="1:6" ht="15.75" customHeight="1">
      <c r="A26940" s="15" t="s">
        <v>28896</v>
      </c>
      <c r="B26940" s="15" t="s">
        <v>28896</v>
      </c>
      <c r="C26940" s="15" t="s">
        <v>27788</v>
      </c>
      <c r="D26940" s="15" t="s">
        <v>27794</v>
      </c>
      <c r="E26940" s="2">
        <v>4939783</v>
      </c>
      <c r="F26940" s="4" t="e">
        <f>IF(B26940=#REF!,"",B26940)</f>
        <v>#REF!</v>
      </c>
    </row>
    <row r="26941" spans="1:6" ht="15.75" customHeight="1">
      <c r="A26941" s="15" t="s">
        <v>28895</v>
      </c>
      <c r="B26941" s="15" t="s">
        <v>28895</v>
      </c>
      <c r="C26941" s="15" t="s">
        <v>27788</v>
      </c>
      <c r="D26941" s="15" t="s">
        <v>27819</v>
      </c>
      <c r="E26941" s="2">
        <v>5121163</v>
      </c>
      <c r="F26941" s="4" t="e">
        <f>IF(B26941=#REF!,"",B26941)</f>
        <v>#REF!</v>
      </c>
    </row>
    <row r="26942" spans="1:6" ht="15.75" customHeight="1">
      <c r="A26942" s="15" t="s">
        <v>28894</v>
      </c>
      <c r="B26942" s="15" t="s">
        <v>28894</v>
      </c>
      <c r="C26942" s="15" t="s">
        <v>27788</v>
      </c>
      <c r="D26942" s="15" t="s">
        <v>27804</v>
      </c>
      <c r="E26942" s="2">
        <v>4996306</v>
      </c>
      <c r="F26942" s="4" t="e">
        <f>IF(B26942=#REF!,"",B26942)</f>
        <v>#REF!</v>
      </c>
    </row>
    <row r="26943" spans="1:6" ht="15.75" customHeight="1">
      <c r="A26943" s="15" t="s">
        <v>6245</v>
      </c>
      <c r="B26943" s="15" t="s">
        <v>6245</v>
      </c>
      <c r="C26943" s="15" t="s">
        <v>6209</v>
      </c>
      <c r="D26943" s="15" t="s">
        <v>6210</v>
      </c>
      <c r="E26943" s="2">
        <v>2620046</v>
      </c>
      <c r="F26943" s="4" t="str">
        <f>IF(B26943=B26942,"",B26943)</f>
        <v>Holstebro</v>
      </c>
    </row>
    <row r="26944" spans="1:6" ht="15.75" customHeight="1">
      <c r="A26944" s="16" t="str">
        <f ca="1">IFERROR(__xludf.DUMMYFUNCTION("GOOGLETRANSLATE(B31801,""en"",""pt"")"),"H̱olon")</f>
        <v>H̱olon</v>
      </c>
      <c r="B26944" s="20" t="s">
        <v>32926</v>
      </c>
      <c r="C26944" s="20" t="s">
        <v>14773</v>
      </c>
      <c r="D26944" s="20" t="s">
        <v>14786</v>
      </c>
      <c r="E26944" s="10">
        <v>294751</v>
      </c>
      <c r="F26944" s="4" t="e">
        <f>IF(B26944=#REF!,"",B26944)</f>
        <v>#REF!</v>
      </c>
    </row>
    <row r="26945" spans="1:6" ht="15.75" customHeight="1">
      <c r="A26945" s="16" t="s">
        <v>28893</v>
      </c>
      <c r="B26945" s="15" t="s">
        <v>28893</v>
      </c>
      <c r="C26945" s="16" t="s">
        <v>27788</v>
      </c>
      <c r="D26945" s="16" t="s">
        <v>5468</v>
      </c>
      <c r="E26945" s="2">
        <v>4158928</v>
      </c>
      <c r="F26945" s="4" t="e">
        <f>IF(B26945=#REF!,"",B26945)</f>
        <v>#REF!</v>
      </c>
    </row>
    <row r="26946" spans="1:6" ht="15.75" customHeight="1">
      <c r="A26946" s="16" t="s">
        <v>28892</v>
      </c>
      <c r="B26946" s="15" t="s">
        <v>28892</v>
      </c>
      <c r="C26946" s="16" t="s">
        <v>27788</v>
      </c>
      <c r="D26946" s="16" t="s">
        <v>27822</v>
      </c>
      <c r="E26946" s="2">
        <v>4471641</v>
      </c>
      <c r="F26946" s="4" t="e">
        <f>IF(B26946=#REF!,"",B26946)</f>
        <v>#REF!</v>
      </c>
    </row>
    <row r="26947" spans="1:6" ht="15.75" customHeight="1">
      <c r="A26947" s="15" t="s">
        <v>27451</v>
      </c>
      <c r="B26947" s="15" t="s">
        <v>27451</v>
      </c>
      <c r="C26947" s="15" t="s">
        <v>27234</v>
      </c>
      <c r="D26947" s="15" t="s">
        <v>27241</v>
      </c>
      <c r="E26947" s="2">
        <v>8315400</v>
      </c>
      <c r="F26947" s="4" t="e">
        <f>IF(B26947=#REF!,"",B26947)</f>
        <v>#REF!</v>
      </c>
    </row>
    <row r="26948" spans="1:6" ht="15.75" customHeight="1">
      <c r="A26948" s="15" t="s">
        <v>6964</v>
      </c>
      <c r="B26948" s="15" t="s">
        <v>6964</v>
      </c>
      <c r="C26948" s="15" t="s">
        <v>6948</v>
      </c>
      <c r="D26948" s="15" t="s">
        <v>6961</v>
      </c>
      <c r="E26948" s="2">
        <v>657530</v>
      </c>
      <c r="F26948" s="4" t="e">
        <f>IF(B26948=#REF!,"",B26948)</f>
        <v>#REF!</v>
      </c>
    </row>
    <row r="26949" spans="1:6" ht="15.75" customHeight="1">
      <c r="A26949" s="15" t="s">
        <v>28891</v>
      </c>
      <c r="B26949" s="15" t="s">
        <v>28891</v>
      </c>
      <c r="C26949" s="15" t="s">
        <v>27788</v>
      </c>
      <c r="D26949" s="15" t="s">
        <v>27801</v>
      </c>
      <c r="E26949" s="2">
        <v>5357499</v>
      </c>
      <c r="F26949" s="4" t="e">
        <f>IF(B26949=#REF!,"",B26949)</f>
        <v>#REF!</v>
      </c>
    </row>
    <row r="26950" spans="1:6" ht="15.75" customHeight="1">
      <c r="A26950" s="15" t="s">
        <v>28889</v>
      </c>
      <c r="B26950" s="15" t="s">
        <v>28890</v>
      </c>
      <c r="C26950" s="15" t="s">
        <v>27788</v>
      </c>
      <c r="D26950" s="15" t="s">
        <v>27804</v>
      </c>
      <c r="E26950" s="2">
        <v>4996248</v>
      </c>
      <c r="F26950" s="4" t="e">
        <f>IF(B26950=#REF!,"",B26950)</f>
        <v>#REF!</v>
      </c>
    </row>
    <row r="26951" spans="1:6" ht="15.75" customHeight="1">
      <c r="A26951" s="15" t="s">
        <v>28888</v>
      </c>
      <c r="B26951" s="15" t="s">
        <v>28888</v>
      </c>
      <c r="C26951" s="15" t="s">
        <v>27788</v>
      </c>
      <c r="D26951" s="15" t="s">
        <v>27856</v>
      </c>
      <c r="E26951" s="2">
        <v>5776008</v>
      </c>
      <c r="F26951" s="4" t="e">
        <f>IF(B26951=#REF!,"",B26951)</f>
        <v>#REF!</v>
      </c>
    </row>
    <row r="26952" spans="1:6" ht="15.75" customHeight="1">
      <c r="A26952" s="15" t="s">
        <v>28886</v>
      </c>
      <c r="B26952" s="15" t="s">
        <v>28887</v>
      </c>
      <c r="C26952" s="15" t="s">
        <v>27788</v>
      </c>
      <c r="D26952" s="15" t="s">
        <v>5468</v>
      </c>
      <c r="E26952" s="2">
        <v>4158865</v>
      </c>
      <c r="F26952" s="4" t="str">
        <f>IF(B26952=B26951,"",B26952)</f>
        <v>Holiday</v>
      </c>
    </row>
    <row r="26953" spans="1:6" ht="15.75" customHeight="1">
      <c r="A26953" s="16" t="str">
        <f ca="1">IFERROR(__xludf.DUMMYFUNCTION("GOOGLETRANSLATE(B27167,""en"",""pt"")"),"Holguín")</f>
        <v>Holguín</v>
      </c>
      <c r="B26953" s="20" t="s">
        <v>31907</v>
      </c>
      <c r="C26953" s="20" t="s">
        <v>5764</v>
      </c>
      <c r="D26953" s="20" t="s">
        <v>31907</v>
      </c>
      <c r="E26953" s="10">
        <v>3556969</v>
      </c>
      <c r="F26953" s="4" t="str">
        <f>IF(B26953=B26952,"",B26953)</f>
        <v>Holguín</v>
      </c>
    </row>
    <row r="26954" spans="1:6" ht="15.75" customHeight="1">
      <c r="A26954" s="15" t="s">
        <v>5850</v>
      </c>
      <c r="B26954" s="15" t="s">
        <v>5777</v>
      </c>
      <c r="C26954" s="15" t="s">
        <v>5764</v>
      </c>
      <c r="D26954" s="15" t="s">
        <v>5777</v>
      </c>
      <c r="E26954" s="2">
        <v>3556969</v>
      </c>
      <c r="F26954" s="4" t="e">
        <f>IF(B26954=#REF!,"",B26954)</f>
        <v>#REF!</v>
      </c>
    </row>
    <row r="26955" spans="1:6" ht="15.75" customHeight="1">
      <c r="A26955" s="16" t="s">
        <v>11502</v>
      </c>
      <c r="B26955" s="15" t="s">
        <v>11503</v>
      </c>
      <c r="C26955" s="16" t="s">
        <v>10178</v>
      </c>
      <c r="D26955" s="16" t="s">
        <v>10252</v>
      </c>
      <c r="E26955" s="2">
        <v>1269985</v>
      </c>
      <c r="F26955" s="4" t="e">
        <f>IF(B26955=#REF!,"",B26955)</f>
        <v>#REF!</v>
      </c>
    </row>
    <row r="26956" spans="1:6" ht="15.75" customHeight="1">
      <c r="A26956" s="15" t="s">
        <v>28885</v>
      </c>
      <c r="B26956" s="15" t="s">
        <v>28885</v>
      </c>
      <c r="C26956" s="15" t="s">
        <v>27788</v>
      </c>
      <c r="D26956" s="15" t="s">
        <v>27794</v>
      </c>
      <c r="E26956" s="2">
        <v>4939647</v>
      </c>
      <c r="F26956" s="4" t="e">
        <f>IF(B26956=#REF!,"",B26956)</f>
        <v>#REF!</v>
      </c>
    </row>
    <row r="26957" spans="1:6" ht="15.75" customHeight="1">
      <c r="A26957" s="15" t="s">
        <v>28884</v>
      </c>
      <c r="B26957" s="15" t="s">
        <v>28884</v>
      </c>
      <c r="C26957" s="15" t="s">
        <v>27788</v>
      </c>
      <c r="D26957" s="15" t="s">
        <v>27819</v>
      </c>
      <c r="E26957" s="2">
        <v>5120987</v>
      </c>
      <c r="F26957" s="4" t="str">
        <f>IF(B26957=B26956,"",B26957)</f>
        <v>Holbrook</v>
      </c>
    </row>
    <row r="26958" spans="1:6" ht="15.75" customHeight="1">
      <c r="A26958" s="16" t="str">
        <f ca="1">IFERROR(__xludf.DUMMYFUNCTION("GOOGLETRANSLATE(B28432,""en"",""pt"")"),"Holbæk")</f>
        <v>Holbæk</v>
      </c>
      <c r="B26958" s="20" t="s">
        <v>32161</v>
      </c>
      <c r="C26958" s="20" t="s">
        <v>6209</v>
      </c>
      <c r="D26958" s="20" t="s">
        <v>6232</v>
      </c>
      <c r="E26958" s="10">
        <v>2620147</v>
      </c>
      <c r="F26958" s="4" t="str">
        <f>IF(B26958=B26957,"",B26958)</f>
        <v>Holbæk</v>
      </c>
    </row>
    <row r="26959" spans="1:6" ht="15.75" customHeight="1">
      <c r="A26959" s="15" t="s">
        <v>6243</v>
      </c>
      <c r="B26959" s="15" t="s">
        <v>6244</v>
      </c>
      <c r="C26959" s="15" t="s">
        <v>6209</v>
      </c>
      <c r="D26959" s="15" t="s">
        <v>6232</v>
      </c>
      <c r="E26959" s="2">
        <v>2620147</v>
      </c>
      <c r="F26959" s="4" t="e">
        <f>IF(B26959=#REF!,"",B26959)</f>
        <v>#REF!</v>
      </c>
    </row>
    <row r="26960" spans="1:6" ht="15.75" customHeight="1">
      <c r="A26960" s="15" t="s">
        <v>11501</v>
      </c>
      <c r="B26960" s="15" t="s">
        <v>11501</v>
      </c>
      <c r="C26960" s="15" t="s">
        <v>10178</v>
      </c>
      <c r="D26960" s="15" t="s">
        <v>10252</v>
      </c>
      <c r="E26960" s="2">
        <v>1269990</v>
      </c>
      <c r="F26960" s="4" t="str">
        <f>IF(B26960=B26959,"",B26960)</f>
        <v>Holalkere</v>
      </c>
    </row>
    <row r="26961" spans="1:6" ht="15.75" customHeight="1">
      <c r="A26961" s="16" t="s">
        <v>26971</v>
      </c>
      <c r="B26961" s="15" t="s">
        <v>26972</v>
      </c>
      <c r="C26961" s="16" t="s">
        <v>26870</v>
      </c>
      <c r="D26961" s="16" t="s">
        <v>26969</v>
      </c>
      <c r="E26961" s="2">
        <v>708632</v>
      </c>
      <c r="F26961" s="4" t="str">
        <f>IF(B26961=B26960,"",B26961)</f>
        <v>Hola Prystanâ€™</v>
      </c>
    </row>
    <row r="26962" spans="1:6" ht="15.75" customHeight="1">
      <c r="A26962" s="16" t="str">
        <f ca="1">IFERROR(__xludf.DUMMYFUNCTION("GOOGLETRANSLATE(B42654,""en"",""pt"")"),"Hola Prystan '")</f>
        <v>Hola Prystan '</v>
      </c>
      <c r="B26962" s="20" t="s">
        <v>36035</v>
      </c>
      <c r="C26962" s="20" t="s">
        <v>26870</v>
      </c>
      <c r="D26962" s="20" t="s">
        <v>26969</v>
      </c>
      <c r="E26962" s="10">
        <v>708632</v>
      </c>
      <c r="F26962" s="4" t="str">
        <f>IF(B26962=B26961,"",B26962)</f>
        <v>Hola Prystan’</v>
      </c>
    </row>
    <row r="26963" spans="1:6" ht="15.75" customHeight="1">
      <c r="A26963" s="16" t="str">
        <f ca="1">IFERROR(__xludf.DUMMYFUNCTION("GOOGLETRANSLATE(B35705,""en"",""pt"")"),"Hōjō")</f>
        <v>Hōjō</v>
      </c>
      <c r="B26963" s="20" t="s">
        <v>34396</v>
      </c>
      <c r="C26963" s="20" t="s">
        <v>15704</v>
      </c>
      <c r="D26963" s="20" t="s">
        <v>15813</v>
      </c>
      <c r="E26963" s="10">
        <v>1926142</v>
      </c>
      <c r="F26963" s="4" t="str">
        <f>IF(B26963=B26962,"",B26963)</f>
        <v>Hōjō</v>
      </c>
    </row>
    <row r="26964" spans="1:6" ht="15.75" customHeight="1">
      <c r="A26964" s="16" t="str">
        <f ca="1">IFERROR(__xludf.DUMMYFUNCTION("GOOGLETRANSLATE(B33354,""en"",""pt"")"),"Hojāi")</f>
        <v>Hojāi</v>
      </c>
      <c r="B26964" s="20" t="s">
        <v>33662</v>
      </c>
      <c r="C26964" s="20" t="s">
        <v>10178</v>
      </c>
      <c r="D26964" s="20" t="s">
        <v>10239</v>
      </c>
      <c r="E26964" s="10">
        <v>1269993</v>
      </c>
      <c r="F26964" s="4" t="str">
        <f>IF(B26964=B26963,"",B26964)</f>
        <v>Hojāi</v>
      </c>
    </row>
    <row r="26965" spans="1:6" ht="15.75" customHeight="1">
      <c r="A26965" s="15" t="s">
        <v>11499</v>
      </c>
      <c r="B26965" s="15" t="s">
        <v>11500</v>
      </c>
      <c r="C26965" s="15" t="s">
        <v>10178</v>
      </c>
      <c r="D26965" s="15" t="s">
        <v>10239</v>
      </c>
      <c r="E26965" s="2">
        <v>1269993</v>
      </c>
      <c r="F26965" s="4" t="e">
        <f>IF(B26965=#REF!,"",B26965)</f>
        <v>#REF!</v>
      </c>
    </row>
    <row r="26966" spans="1:6" ht="15.75" customHeight="1">
      <c r="A26966" s="15" t="s">
        <v>26833</v>
      </c>
      <c r="B26966" s="15" t="s">
        <v>26833</v>
      </c>
      <c r="C26966" s="15" t="s">
        <v>26820</v>
      </c>
      <c r="D26966" s="15" t="s">
        <v>18803</v>
      </c>
      <c r="E26966" s="2">
        <v>233312</v>
      </c>
      <c r="F26966" s="4" t="str">
        <f>IF(B26966=B26965,"",B26966)</f>
        <v>Hoima</v>
      </c>
    </row>
    <row r="26967" spans="1:6" ht="15.75" customHeight="1">
      <c r="A26967" s="16" t="str">
        <f ca="1">IFERROR(__xludf.DUMMYFUNCTION("GOOGLETRANSLATE(B45756,""en"",""pt"")"),"Hội an")</f>
        <v>Hội an</v>
      </c>
      <c r="B26967" s="20" t="s">
        <v>36166</v>
      </c>
      <c r="C26967" s="20" t="s">
        <v>30784</v>
      </c>
      <c r="D26967" s="20" t="s">
        <v>36131</v>
      </c>
      <c r="E26967" s="10">
        <v>1580541</v>
      </c>
      <c r="F26967" s="4" t="e">
        <f>IF(B26967=#REF!,"",B26967)</f>
        <v>#REF!</v>
      </c>
    </row>
    <row r="26968" spans="1:6" ht="15.75" customHeight="1">
      <c r="A26968" s="15" t="s">
        <v>9397</v>
      </c>
      <c r="B26968" s="15" t="s">
        <v>9397</v>
      </c>
      <c r="C26968" s="15" t="s">
        <v>9365</v>
      </c>
      <c r="D26968" s="15" t="s">
        <v>9375</v>
      </c>
      <c r="E26968" s="2">
        <v>2300372</v>
      </c>
      <c r="F26968" s="4" t="e">
        <f>IF(B26968=#REF!,"",B26968)</f>
        <v>#REF!</v>
      </c>
    </row>
    <row r="26969" spans="1:6" ht="15.75" customHeight="1">
      <c r="A26969" s="15" t="s">
        <v>4746</v>
      </c>
      <c r="B26969" s="15" t="s">
        <v>4746</v>
      </c>
      <c r="C26969" s="15" t="s">
        <v>4487</v>
      </c>
      <c r="D26969" s="15" t="s">
        <v>4533</v>
      </c>
      <c r="E26969" s="2">
        <v>2036892</v>
      </c>
      <c r="F26969" s="4" t="e">
        <f>IF(B26969=#REF!,"",B26969)</f>
        <v>#REF!</v>
      </c>
    </row>
    <row r="26970" spans="1:6" ht="15.75" customHeight="1">
      <c r="A26970" s="16" t="s">
        <v>8599</v>
      </c>
      <c r="B26970" s="15" t="s">
        <v>8600</v>
      </c>
      <c r="C26970" s="16" t="s">
        <v>8028</v>
      </c>
      <c r="D26970" s="16" t="s">
        <v>8072</v>
      </c>
      <c r="E26970" s="2">
        <v>2901420</v>
      </c>
      <c r="F26970" s="4" t="e">
        <f>IF(B26970=#REF!,"",B26970)</f>
        <v>#REF!</v>
      </c>
    </row>
    <row r="26971" spans="1:6" ht="15.75" customHeight="1">
      <c r="A26971" s="16" t="s">
        <v>8598</v>
      </c>
      <c r="B26971" s="15" t="s">
        <v>8598</v>
      </c>
      <c r="C26971" s="16" t="s">
        <v>8028</v>
      </c>
      <c r="D26971" s="16" t="s">
        <v>8070</v>
      </c>
      <c r="E26971" s="2">
        <v>2901588</v>
      </c>
      <c r="F26971" s="4" t="e">
        <f>IF(B26971=#REF!,"",B26971)</f>
        <v>#REF!</v>
      </c>
    </row>
    <row r="26972" spans="1:6" ht="15.75" customHeight="1">
      <c r="A26972" s="16" t="s">
        <v>19000</v>
      </c>
      <c r="B26972" s="15" t="s">
        <v>19000</v>
      </c>
      <c r="C26972" s="16" t="s">
        <v>18862</v>
      </c>
      <c r="D26972" s="16" t="s">
        <v>18888</v>
      </c>
      <c r="E26972" s="2">
        <v>2753955</v>
      </c>
      <c r="F26972" s="4" t="str">
        <f>IF(B26972=B26971,"",B26972)</f>
        <v>Hoge Vucht</v>
      </c>
    </row>
    <row r="26973" spans="1:6" ht="15.75" customHeight="1">
      <c r="A26973" s="16" t="str">
        <f ca="1">IFERROR(__xludf.DUMMYFUNCTION("GOOGLETRANSLATE(B35592,""en"",""pt"")"),"Hōfu")</f>
        <v>Hōfu</v>
      </c>
      <c r="B26973" s="20" t="s">
        <v>34372</v>
      </c>
      <c r="C26973" s="20" t="s">
        <v>15704</v>
      </c>
      <c r="D26973" s="20" t="s">
        <v>15796</v>
      </c>
      <c r="E26973" s="10">
        <v>1862302</v>
      </c>
      <c r="F26973" s="4" t="e">
        <f>IF(B26973=#REF!,"",B26973)</f>
        <v>#REF!</v>
      </c>
    </row>
    <row r="26974" spans="1:6" ht="15.75" customHeight="1">
      <c r="A26974" s="16" t="s">
        <v>8596</v>
      </c>
      <c r="B26974" s="15" t="s">
        <v>8597</v>
      </c>
      <c r="C26974" s="16" t="s">
        <v>8028</v>
      </c>
      <c r="D26974" s="16" t="s">
        <v>8050</v>
      </c>
      <c r="E26974" s="2">
        <v>2902533</v>
      </c>
      <c r="F26974" s="4" t="e">
        <f>IF(B26974=#REF!,"",B26974)</f>
        <v>#REF!</v>
      </c>
    </row>
    <row r="26975" spans="1:6" ht="15.75" customHeight="1">
      <c r="A26975" s="16" t="s">
        <v>8595</v>
      </c>
      <c r="B26975" s="15" t="s">
        <v>8595</v>
      </c>
      <c r="C26975" s="16" t="s">
        <v>8028</v>
      </c>
      <c r="D26975" s="16" t="s">
        <v>8050</v>
      </c>
      <c r="E26975" s="2">
        <v>2902559</v>
      </c>
      <c r="F26975" s="4" t="e">
        <f>IF(B26975=#REF!,"",B26975)</f>
        <v>#REF!</v>
      </c>
    </row>
    <row r="26976" spans="1:6" ht="15.75" customHeight="1">
      <c r="A26976" s="16" t="s">
        <v>28883</v>
      </c>
      <c r="B26976" s="15" t="s">
        <v>28883</v>
      </c>
      <c r="C26976" s="16" t="s">
        <v>27788</v>
      </c>
      <c r="D26976" s="16" t="s">
        <v>27799</v>
      </c>
      <c r="E26976" s="2">
        <v>4896075</v>
      </c>
      <c r="F26976" s="4" t="e">
        <f>IF(B26976=#REF!,"",B26976)</f>
        <v>#REF!</v>
      </c>
    </row>
    <row r="26977" spans="1:6" ht="15.75" customHeight="1">
      <c r="A26977" s="15" t="s">
        <v>8594</v>
      </c>
      <c r="B26977" s="15" t="s">
        <v>8594</v>
      </c>
      <c r="C26977" s="15" t="s">
        <v>8028</v>
      </c>
      <c r="D26977" s="15" t="s">
        <v>8044</v>
      </c>
      <c r="E26977" s="2">
        <v>2902768</v>
      </c>
      <c r="F26977" s="4" t="e">
        <f>IF(B26977=#REF!,"",B26977)</f>
        <v>#REF!</v>
      </c>
    </row>
    <row r="26978" spans="1:6" ht="15.75" customHeight="1">
      <c r="A26978" s="15" t="s">
        <v>19621</v>
      </c>
      <c r="B26978" s="15" t="s">
        <v>19621</v>
      </c>
      <c r="C26978" s="15" t="s">
        <v>19589</v>
      </c>
      <c r="D26978" s="15" t="s">
        <v>19595</v>
      </c>
      <c r="E26978" s="2">
        <v>1877148</v>
      </c>
      <c r="F26978" s="4" t="str">
        <f>IF(B26978=B26977,"",B26978)</f>
        <v>Hoeyang</v>
      </c>
    </row>
    <row r="26979" spans="1:6" ht="15.75" customHeight="1">
      <c r="A26979" s="16" t="str">
        <f ca="1">IFERROR(__xludf.DUMMYFUNCTION("GOOGLETRANSLATE(B36043,""en"",""pt"")"),"Hoeryŏng")</f>
        <v>Hoeryŏng</v>
      </c>
      <c r="B26979" s="20" t="s">
        <v>34468</v>
      </c>
      <c r="C26979" s="20" t="s">
        <v>19589</v>
      </c>
      <c r="D26979" s="20" t="s">
        <v>34462</v>
      </c>
      <c r="E26979" s="10">
        <v>2044091</v>
      </c>
      <c r="F26979" s="4" t="str">
        <f>IF(B26979=B26978,"",B26979)</f>
        <v>Hoeryŏng</v>
      </c>
    </row>
    <row r="26980" spans="1:6" ht="15.75" customHeight="1">
      <c r="A26980" s="16" t="s">
        <v>19619</v>
      </c>
      <c r="B26980" s="15" t="s">
        <v>19620</v>
      </c>
      <c r="C26980" s="16" t="s">
        <v>19589</v>
      </c>
      <c r="D26980" s="16" t="s">
        <v>19599</v>
      </c>
      <c r="E26980" s="2">
        <v>2044091</v>
      </c>
      <c r="F26980" s="4" t="e">
        <f>IF(B26980=#REF!,"",B26980)</f>
        <v>#REF!</v>
      </c>
    </row>
    <row r="26981" spans="1:6" ht="15.75" customHeight="1">
      <c r="A26981" s="16" t="s">
        <v>18999</v>
      </c>
      <c r="B26981" s="15" t="s">
        <v>18999</v>
      </c>
      <c r="C26981" s="16" t="s">
        <v>18862</v>
      </c>
      <c r="D26981" s="16" t="s">
        <v>18893</v>
      </c>
      <c r="E26981" s="2">
        <v>2753996</v>
      </c>
      <c r="F26981" s="4" t="str">
        <f>IF(B26981=B26980,"",B26981)</f>
        <v>Hoensbroek</v>
      </c>
    </row>
    <row r="26982" spans="1:6" ht="15.75" customHeight="1">
      <c r="A26982" s="16" t="str">
        <f ca="1">IFERROR(__xludf.DUMMYFUNCTION("GOOGLETRANSLATE(B27318,""en"",""pt"")"),"Hodonín")</f>
        <v>Hodonín</v>
      </c>
      <c r="B26982" s="20" t="s">
        <v>31989</v>
      </c>
      <c r="C26982" s="20" t="s">
        <v>5947</v>
      </c>
      <c r="D26982" s="20" t="s">
        <v>5982</v>
      </c>
      <c r="E26982" s="10">
        <v>3075654</v>
      </c>
      <c r="F26982" s="4" t="str">
        <f>IF(B26982=B26981,"",B26982)</f>
        <v>Hodonín</v>
      </c>
    </row>
    <row r="26983" spans="1:6" ht="15.75" customHeight="1">
      <c r="A26983" s="15" t="s">
        <v>6012</v>
      </c>
      <c r="B26983" s="15" t="s">
        <v>6013</v>
      </c>
      <c r="C26983" s="15" t="s">
        <v>5947</v>
      </c>
      <c r="D26983" s="15" t="s">
        <v>5982</v>
      </c>
      <c r="E26983" s="2">
        <v>3075654</v>
      </c>
      <c r="F26983" s="4" t="str">
        <f>IF(B26983=B26982,"",B26983)</f>
        <v>HodonÃ­n</v>
      </c>
    </row>
    <row r="26984" spans="1:6" ht="15.75" customHeight="1">
      <c r="A26984" s="16" t="str">
        <f ca="1">IFERROR(__xludf.DUMMYFUNCTION("GOOGLETRANSLATE(B31258,""en"",""pt"")"),"Hódmezővásárhely")</f>
        <v>Hódmezővásárhely</v>
      </c>
      <c r="B26984" s="20" t="s">
        <v>32838</v>
      </c>
      <c r="C26984" s="20" t="s">
        <v>9955</v>
      </c>
      <c r="D26984" s="20" t="s">
        <v>32825</v>
      </c>
      <c r="E26984" s="10">
        <v>719965</v>
      </c>
      <c r="F26984" s="4" t="e">
        <f>IF(B26984=#REF!,"",B26984)</f>
        <v>#REF!</v>
      </c>
    </row>
    <row r="26985" spans="1:6" ht="15.75" customHeight="1">
      <c r="A26985" s="15" t="s">
        <v>11498</v>
      </c>
      <c r="B26985" s="15" t="s">
        <v>11498</v>
      </c>
      <c r="C26985" s="15" t="s">
        <v>10178</v>
      </c>
      <c r="D26985" s="15" t="s">
        <v>10224</v>
      </c>
      <c r="E26985" s="2">
        <v>1270000</v>
      </c>
      <c r="F26985" s="4" t="e">
        <f>IF(B26985=#REF!,"",B26985)</f>
        <v>#REF!</v>
      </c>
    </row>
    <row r="26986" spans="1:6" ht="15.75" customHeight="1">
      <c r="A26986" s="16" t="s">
        <v>14813</v>
      </c>
      <c r="B26986" s="15" t="s">
        <v>14814</v>
      </c>
      <c r="C26986" s="16" t="s">
        <v>14773</v>
      </c>
      <c r="D26986" s="16" t="s">
        <v>14800</v>
      </c>
      <c r="E26986" s="2">
        <v>294760</v>
      </c>
      <c r="F26986" s="4" t="e">
        <f>IF(B26986=#REF!,"",B26986)</f>
        <v>#REF!</v>
      </c>
    </row>
    <row r="26987" spans="1:6" ht="15.75" customHeight="1">
      <c r="A26987" s="16" t="s">
        <v>8593</v>
      </c>
      <c r="B26987" s="15" t="s">
        <v>8593</v>
      </c>
      <c r="C26987" s="16" t="s">
        <v>8028</v>
      </c>
      <c r="D26987" s="16" t="s">
        <v>8031</v>
      </c>
      <c r="E26987" s="2">
        <v>2902852</v>
      </c>
      <c r="F26987" s="4" t="e">
        <f>IF(B26987=#REF!,"",B26987)</f>
        <v>#REF!</v>
      </c>
    </row>
    <row r="26988" spans="1:6" ht="15.75" customHeight="1">
      <c r="A26988" s="16" t="s">
        <v>8591</v>
      </c>
      <c r="B26988" s="15" t="s">
        <v>8592</v>
      </c>
      <c r="C26988" s="16" t="s">
        <v>8028</v>
      </c>
      <c r="D26988" s="16" t="s">
        <v>8050</v>
      </c>
      <c r="E26988" s="2">
        <v>2903175</v>
      </c>
      <c r="F26988" s="4" t="e">
        <f>IF(B26988=#REF!,"",B26988)</f>
        <v>#REF!</v>
      </c>
    </row>
    <row r="26989" spans="1:6" ht="15.75" customHeight="1">
      <c r="A26989" s="15" t="s">
        <v>8590</v>
      </c>
      <c r="B26989" s="15" t="s">
        <v>8590</v>
      </c>
      <c r="C26989" s="15" t="s">
        <v>8028</v>
      </c>
      <c r="D26989" s="15" t="s">
        <v>8029</v>
      </c>
      <c r="E26989" s="2">
        <v>2903237</v>
      </c>
      <c r="F26989" s="4" t="e">
        <f>IF(B26989=#REF!,"",B26989)</f>
        <v>#REF!</v>
      </c>
    </row>
    <row r="26990" spans="1:6" ht="15.75" customHeight="1">
      <c r="A26990" s="15" t="s">
        <v>1597</v>
      </c>
      <c r="B26990" s="15" t="s">
        <v>1597</v>
      </c>
      <c r="C26990" s="15" t="s">
        <v>1512</v>
      </c>
      <c r="D26990" s="15" t="s">
        <v>1513</v>
      </c>
      <c r="E26990" s="2">
        <v>2795730</v>
      </c>
      <c r="F26990" s="4" t="e">
        <f>IF(B26990=#REF!,"",B26990)</f>
        <v>#REF!</v>
      </c>
    </row>
    <row r="26991" spans="1:6" ht="15.75" customHeight="1">
      <c r="A26991" s="15" t="s">
        <v>28882</v>
      </c>
      <c r="B26991" s="15" t="s">
        <v>28882</v>
      </c>
      <c r="C26991" s="15" t="s">
        <v>27788</v>
      </c>
      <c r="D26991" s="15" t="s">
        <v>27818</v>
      </c>
      <c r="E26991" s="2">
        <v>5471578</v>
      </c>
      <c r="F26991" s="4" t="e">
        <f>IF(B26991=#REF!,"",B26991)</f>
        <v>#REF!</v>
      </c>
    </row>
    <row r="26992" spans="1:6" ht="15.75" customHeight="1">
      <c r="A26992" s="15" t="s">
        <v>1000</v>
      </c>
      <c r="B26992" s="15" t="s">
        <v>1000</v>
      </c>
      <c r="C26992" s="15" t="s">
        <v>885</v>
      </c>
      <c r="D26992" s="15" t="s">
        <v>924</v>
      </c>
      <c r="E26992" s="2">
        <v>2163355</v>
      </c>
      <c r="F26992" s="4" t="e">
        <f>IF(B26992=#REF!,"",B26992)</f>
        <v>#REF!</v>
      </c>
    </row>
    <row r="26993" spans="1:6" ht="15.75" customHeight="1">
      <c r="A26993" s="16" t="s">
        <v>15973</v>
      </c>
      <c r="B26993" s="15" t="s">
        <v>15973</v>
      </c>
      <c r="C26993" s="16" t="s">
        <v>15704</v>
      </c>
      <c r="D26993" s="16" t="s">
        <v>15884</v>
      </c>
      <c r="E26993" s="2">
        <v>2112692</v>
      </c>
      <c r="F26993" s="4" t="e">
        <f>IF(B26993=#REF!,"",B26993)</f>
        <v>#REF!</v>
      </c>
    </row>
    <row r="26994" spans="1:6" ht="15.75" customHeight="1">
      <c r="A26994" s="16" t="s">
        <v>30858</v>
      </c>
      <c r="B26994" s="15" t="s">
        <v>30817</v>
      </c>
      <c r="C26994" s="16" t="s">
        <v>30784</v>
      </c>
      <c r="D26994" s="16" t="s">
        <v>30817</v>
      </c>
      <c r="E26994" s="2">
        <v>1566083</v>
      </c>
      <c r="F26994" s="4" t="e">
        <f>IF(B26994=#REF!,"",B26994)</f>
        <v>#REF!</v>
      </c>
    </row>
    <row r="26995" spans="1:6" ht="15.75" customHeight="1">
      <c r="A26995" s="15" t="s">
        <v>9396</v>
      </c>
      <c r="B26995" s="15" t="s">
        <v>9396</v>
      </c>
      <c r="C26995" s="15" t="s">
        <v>9365</v>
      </c>
      <c r="D26995" s="15" t="s">
        <v>9375</v>
      </c>
      <c r="E26995" s="2">
        <v>2300379</v>
      </c>
      <c r="F26995" s="4" t="e">
        <f>IF(B26995=#REF!,"",B26995)</f>
        <v>#REF!</v>
      </c>
    </row>
    <row r="26996" spans="1:6" ht="15.75" customHeight="1">
      <c r="A26996" s="16" t="s">
        <v>1464</v>
      </c>
      <c r="B26996" s="15" t="s">
        <v>1464</v>
      </c>
      <c r="C26996" s="16" t="s">
        <v>1453</v>
      </c>
      <c r="D26996" s="16" t="s">
        <v>1465</v>
      </c>
      <c r="E26996" s="2">
        <v>627908</v>
      </c>
      <c r="F26996" s="4" t="e">
        <f>IF(B26996=#REF!,"",B26996)</f>
        <v>#REF!</v>
      </c>
    </row>
    <row r="26997" spans="1:6" ht="15.75" customHeight="1">
      <c r="A26997" s="15" t="s">
        <v>26970</v>
      </c>
      <c r="B26997" s="15" t="s">
        <v>26970</v>
      </c>
      <c r="C26997" s="15" t="s">
        <v>26870</v>
      </c>
      <c r="D26997" s="15" t="s">
        <v>26911</v>
      </c>
      <c r="E26997" s="2">
        <v>707758</v>
      </c>
      <c r="F26997" s="4" t="e">
        <f>IF(B26997=#REF!,"",B26997)</f>
        <v>#REF!</v>
      </c>
    </row>
    <row r="26998" spans="1:6" ht="15.75" customHeight="1">
      <c r="A26998" s="15" t="s">
        <v>23722</v>
      </c>
      <c r="B26998" s="15" t="s">
        <v>23722</v>
      </c>
      <c r="C26998" s="15" t="s">
        <v>23694</v>
      </c>
      <c r="D26998" s="15" t="s">
        <v>23718</v>
      </c>
      <c r="E26998" s="2">
        <v>3060095</v>
      </c>
      <c r="F26998" s="4" t="str">
        <f>IF(B26998=B26997,"",B26998)</f>
        <v>Hlohovec</v>
      </c>
    </row>
    <row r="26999" spans="1:6" ht="15.75" customHeight="1">
      <c r="A26999" s="16" t="str">
        <f ca="1">IFERROR(__xludf.DUMMYFUNCTION("GOOGLETRANSLATE(B28433,""en"",""pt"")"),"Hjørring")</f>
        <v>Hjørring</v>
      </c>
      <c r="B26999" s="20" t="s">
        <v>32162</v>
      </c>
      <c r="C26999" s="20" t="s">
        <v>6209</v>
      </c>
      <c r="D26999" s="20" t="s">
        <v>6214</v>
      </c>
      <c r="E26999" s="10">
        <v>2620214</v>
      </c>
      <c r="F26999" s="4" t="str">
        <f>IF(B26999=B26998,"",B26999)</f>
        <v>Hjørring</v>
      </c>
    </row>
    <row r="27000" spans="1:6" ht="15.75" customHeight="1">
      <c r="A27000" s="15" t="s">
        <v>6241</v>
      </c>
      <c r="B27000" s="15" t="s">
        <v>6242</v>
      </c>
      <c r="C27000" s="15" t="s">
        <v>6209</v>
      </c>
      <c r="D27000" s="15" t="s">
        <v>6214</v>
      </c>
      <c r="E27000" s="2">
        <v>2620214</v>
      </c>
      <c r="F27000" s="4" t="e">
        <f>IF(B27000=#REF!,"",B27000)</f>
        <v>#REF!</v>
      </c>
    </row>
    <row r="27001" spans="1:6" ht="15.75" customHeight="1">
      <c r="A27001" s="15" t="s">
        <v>26545</v>
      </c>
      <c r="B27001" s="15" t="s">
        <v>26545</v>
      </c>
      <c r="C27001" s="15" t="s">
        <v>26201</v>
      </c>
      <c r="D27001" s="15" t="s">
        <v>26280</v>
      </c>
      <c r="E27001" s="2">
        <v>312024</v>
      </c>
      <c r="F27001" s="4" t="e">
        <f>IF(B27001=#REF!,"",B27001)</f>
        <v>#REF!</v>
      </c>
    </row>
    <row r="27002" spans="1:6" ht="15.75" customHeight="1">
      <c r="A27002" s="15" t="s">
        <v>15972</v>
      </c>
      <c r="B27002" s="15" t="s">
        <v>15972</v>
      </c>
      <c r="C27002" s="15" t="s">
        <v>15704</v>
      </c>
      <c r="D27002" s="15" t="s">
        <v>15812</v>
      </c>
      <c r="E27002" s="2">
        <v>1862352</v>
      </c>
      <c r="F27002" s="4" t="e">
        <f>IF(B27002=#REF!,"",B27002)</f>
        <v>#REF!</v>
      </c>
    </row>
    <row r="27003" spans="1:6" ht="15.75" customHeight="1">
      <c r="A27003" s="16" t="s">
        <v>15970</v>
      </c>
      <c r="B27003" s="15" t="s">
        <v>15971</v>
      </c>
      <c r="C27003" s="16" t="s">
        <v>15704</v>
      </c>
      <c r="D27003" s="16" t="s">
        <v>15724</v>
      </c>
      <c r="E27003" s="2">
        <v>6822096</v>
      </c>
      <c r="F27003" s="4" t="e">
        <f>IF(B27003=#REF!,"",B27003)</f>
        <v>#REF!</v>
      </c>
    </row>
    <row r="27004" spans="1:6" ht="15.75" customHeight="1">
      <c r="A27004" s="15" t="s">
        <v>15969</v>
      </c>
      <c r="B27004" s="15" t="s">
        <v>15969</v>
      </c>
      <c r="C27004" s="15" t="s">
        <v>15704</v>
      </c>
      <c r="D27004" s="15" t="s">
        <v>15724</v>
      </c>
      <c r="E27004" s="2">
        <v>2112708</v>
      </c>
      <c r="F27004" s="4" t="e">
        <f>IF(B27004=#REF!,"",B27004)</f>
        <v>#REF!</v>
      </c>
    </row>
    <row r="27005" spans="1:6" ht="15.75" customHeight="1">
      <c r="A27005" s="15" t="s">
        <v>15968</v>
      </c>
      <c r="B27005" s="15" t="s">
        <v>15968</v>
      </c>
      <c r="C27005" s="15" t="s">
        <v>15704</v>
      </c>
      <c r="D27005" s="15" t="s">
        <v>15758</v>
      </c>
      <c r="E27005" s="2">
        <v>1862373</v>
      </c>
      <c r="F27005" s="4" t="str">
        <f>IF(B27005=B27004,"",B27005)</f>
        <v>Hita</v>
      </c>
    </row>
    <row r="27006" spans="1:6" ht="15.75" customHeight="1">
      <c r="A27006" s="16" t="str">
        <f ca="1">IFERROR(__xludf.DUMMYFUNCTION("GOOGLETRANSLATE(B34289,""en"",""pt"")"),"Bater")</f>
        <v>Bater</v>
      </c>
      <c r="B27006" s="20" t="s">
        <v>34081</v>
      </c>
      <c r="C27006" s="20" t="s">
        <v>14594</v>
      </c>
      <c r="D27006" s="20" t="s">
        <v>14595</v>
      </c>
      <c r="E27006" s="10">
        <v>95788</v>
      </c>
      <c r="F27006" s="4" t="str">
        <f>IF(B27006=B27005,"",B27006)</f>
        <v>Hīt</v>
      </c>
    </row>
    <row r="27007" spans="1:6" ht="15.75" customHeight="1">
      <c r="A27007" s="15" t="s">
        <v>11496</v>
      </c>
      <c r="B27007" s="15" t="s">
        <v>11497</v>
      </c>
      <c r="C27007" s="15" t="s">
        <v>10178</v>
      </c>
      <c r="D27007" s="15" t="s">
        <v>10317</v>
      </c>
      <c r="E27007" s="2">
        <v>1270021</v>
      </c>
      <c r="F27007" s="4" t="str">
        <f>IF(B27007=B27006,"",B27007)</f>
        <v>HisuÄ</v>
      </c>
    </row>
    <row r="27008" spans="1:6" ht="15.75" customHeight="1">
      <c r="A27008" s="16" t="str">
        <f ca="1">IFERROR(__xludf.DUMMYFUNCTION("GOOGLETRANSLATE(B33356,""en"",""pt"")"),"Hisuā")</f>
        <v>Hisuā</v>
      </c>
      <c r="B27008" s="20" t="s">
        <v>33663</v>
      </c>
      <c r="C27008" s="20" t="s">
        <v>10178</v>
      </c>
      <c r="D27008" s="20" t="s">
        <v>10317</v>
      </c>
      <c r="E27008" s="10">
        <v>1270021</v>
      </c>
      <c r="F27008" s="4" t="e">
        <f>IF(B27008=#REF!,"",B27008)</f>
        <v>#REF!</v>
      </c>
    </row>
    <row r="27009" spans="1:6" ht="15.75" customHeight="1">
      <c r="A27009" s="15" t="s">
        <v>25535</v>
      </c>
      <c r="B27009" s="15" t="s">
        <v>25535</v>
      </c>
      <c r="C27009" s="15" t="s">
        <v>25527</v>
      </c>
      <c r="D27009" s="15" t="s">
        <v>25536</v>
      </c>
      <c r="E27009" s="2">
        <v>1221714</v>
      </c>
      <c r="F27009" s="4" t="e">
        <f>IF(B27009=#REF!,"",B27009)</f>
        <v>#REF!</v>
      </c>
    </row>
    <row r="27010" spans="1:6" ht="15.75" customHeight="1">
      <c r="A27010" s="15" t="s">
        <v>11495</v>
      </c>
      <c r="B27010" s="15" t="s">
        <v>11495</v>
      </c>
      <c r="C27010" s="15" t="s">
        <v>10178</v>
      </c>
      <c r="D27010" s="15" t="s">
        <v>10224</v>
      </c>
      <c r="E27010" s="2">
        <v>1270022</v>
      </c>
      <c r="F27010" s="4" t="e">
        <f>IF(B27010=#REF!,"",B27010)</f>
        <v>#REF!</v>
      </c>
    </row>
    <row r="27011" spans="1:6" ht="15.75" customHeight="1">
      <c r="A27011" s="16" t="s">
        <v>15965</v>
      </c>
      <c r="B27011" s="15" t="s">
        <v>15966</v>
      </c>
      <c r="C27011" s="16" t="s">
        <v>15704</v>
      </c>
      <c r="D27011" s="16" t="s">
        <v>15967</v>
      </c>
      <c r="E27011" s="2">
        <v>1862389</v>
      </c>
      <c r="F27011" s="4" t="e">
        <f>IF(B27011=#REF!,"",B27011)</f>
        <v>#REF!</v>
      </c>
    </row>
    <row r="27012" spans="1:6" ht="15.75" customHeight="1">
      <c r="A27012" s="16" t="s">
        <v>15789</v>
      </c>
      <c r="B27012" s="15" t="s">
        <v>15789</v>
      </c>
      <c r="C27012" s="16" t="s">
        <v>15704</v>
      </c>
      <c r="D27012" s="16" t="s">
        <v>15789</v>
      </c>
      <c r="E27012" s="2">
        <v>1862415</v>
      </c>
      <c r="F27012" s="4" t="e">
        <f>IF(B27012=#REF!,"",B27012)</f>
        <v>#REF!</v>
      </c>
    </row>
    <row r="27013" spans="1:6" ht="15.75" customHeight="1">
      <c r="A27013" s="15" t="s">
        <v>15964</v>
      </c>
      <c r="B27013" s="15" t="s">
        <v>15964</v>
      </c>
      <c r="C27013" s="15" t="s">
        <v>15704</v>
      </c>
      <c r="D27013" s="15" t="s">
        <v>15815</v>
      </c>
      <c r="E27013" s="2">
        <v>2130057</v>
      </c>
      <c r="F27013" s="4" t="str">
        <f>IF(B27013=B27012,"",B27013)</f>
        <v>Hirosaki</v>
      </c>
    </row>
    <row r="27014" spans="1:6" ht="15.75" customHeight="1">
      <c r="A27014" s="16" t="str">
        <f ca="1">IFERROR(__xludf.DUMMYFUNCTION("GOOGLETRANSLATE(B33358,""en"",""pt"")"),"Hiriyūr")</f>
        <v>Hiriyūr</v>
      </c>
      <c r="B27014" s="20" t="s">
        <v>33664</v>
      </c>
      <c r="C27014" s="20" t="s">
        <v>10178</v>
      </c>
      <c r="D27014" s="20" t="s">
        <v>10252</v>
      </c>
      <c r="E27014" s="10">
        <v>1270032</v>
      </c>
      <c r="F27014" s="4" t="str">
        <f>IF(B27014=B27013,"",B27014)</f>
        <v>Hiriyūr</v>
      </c>
    </row>
    <row r="27015" spans="1:6" ht="15.75" customHeight="1">
      <c r="A27015" s="15" t="s">
        <v>11493</v>
      </c>
      <c r="B27015" s="15" t="s">
        <v>11494</v>
      </c>
      <c r="C27015" s="15" t="s">
        <v>10178</v>
      </c>
      <c r="D27015" s="15" t="s">
        <v>10252</v>
      </c>
      <c r="E27015" s="2">
        <v>1270032</v>
      </c>
      <c r="F27015" s="4" t="str">
        <f>IF(B27015=B27014,"",B27015)</f>
        <v>HiriyÅ«r</v>
      </c>
    </row>
    <row r="27016" spans="1:6" ht="15.75" customHeight="1">
      <c r="A27016" s="16" t="str">
        <f ca="1">IFERROR(__xludf.DUMMYFUNCTION("GOOGLETRANSLATE(B33359,""en"",""pt"")"),"Hirekerūr")</f>
        <v>Hirekerūr</v>
      </c>
      <c r="B27016" s="20" t="s">
        <v>33665</v>
      </c>
      <c r="C27016" s="20" t="s">
        <v>10178</v>
      </c>
      <c r="D27016" s="20" t="s">
        <v>10252</v>
      </c>
      <c r="E27016" s="10">
        <v>1270036</v>
      </c>
      <c r="F27016" s="4" t="str">
        <f>IF(B27016=B27015,"",B27016)</f>
        <v>Hirekerūr</v>
      </c>
    </row>
    <row r="27017" spans="1:6" ht="15.75" customHeight="1">
      <c r="A27017" s="16" t="s">
        <v>11491</v>
      </c>
      <c r="B27017" s="15" t="s">
        <v>11492</v>
      </c>
      <c r="C27017" s="16" t="s">
        <v>10178</v>
      </c>
      <c r="D27017" s="16" t="s">
        <v>10252</v>
      </c>
      <c r="E27017" s="2">
        <v>1270036</v>
      </c>
      <c r="F27017" s="4" t="e">
        <f>IF(B27017=#REF!,"",B27017)</f>
        <v>#REF!</v>
      </c>
    </row>
    <row r="27018" spans="1:6" ht="15.75" customHeight="1">
      <c r="A27018" s="15" t="s">
        <v>15963</v>
      </c>
      <c r="B27018" s="15" t="s">
        <v>15963</v>
      </c>
      <c r="C27018" s="15" t="s">
        <v>15704</v>
      </c>
      <c r="D27018" s="15" t="s">
        <v>15755</v>
      </c>
      <c r="E27018" s="2">
        <v>1862462</v>
      </c>
      <c r="F27018" s="4" t="str">
        <f>IF(B27018=B27017,"",B27018)</f>
        <v>Hiratsuka</v>
      </c>
    </row>
    <row r="27019" spans="1:6" ht="15.75" customHeight="1">
      <c r="A27019" s="16" t="str">
        <f ca="1">IFERROR(__xludf.DUMMYFUNCTION("GOOGLETRANSLATE(B35598,""en"",""pt"")"),"Hiratachō")</f>
        <v>Hiratachō</v>
      </c>
      <c r="B27019" s="20" t="s">
        <v>34373</v>
      </c>
      <c r="C27019" s="20" t="s">
        <v>15704</v>
      </c>
      <c r="D27019" s="20" t="s">
        <v>15740</v>
      </c>
      <c r="E27019" s="10">
        <v>1862471</v>
      </c>
      <c r="F27019" s="4" t="str">
        <f>IF(B27019=B27018,"",B27019)</f>
        <v>Hiratachō</v>
      </c>
    </row>
    <row r="27020" spans="1:6" ht="15.75" customHeight="1">
      <c r="A27020" s="15" t="s">
        <v>15961</v>
      </c>
      <c r="B27020" s="15" t="s">
        <v>15962</v>
      </c>
      <c r="C27020" s="15" t="s">
        <v>15704</v>
      </c>
      <c r="D27020" s="15" t="s">
        <v>15740</v>
      </c>
      <c r="E27020" s="2">
        <v>1862471</v>
      </c>
      <c r="F27020" s="4" t="e">
        <f>IF(B27020=#REF!,"",B27020)</f>
        <v>#REF!</v>
      </c>
    </row>
    <row r="27021" spans="1:6" ht="15.75" customHeight="1">
      <c r="A27021" s="15" t="s">
        <v>15960</v>
      </c>
      <c r="B27021" s="15" t="s">
        <v>15960</v>
      </c>
      <c r="C27021" s="15" t="s">
        <v>15704</v>
      </c>
      <c r="D27021" s="15" t="s">
        <v>15841</v>
      </c>
      <c r="E27021" s="2">
        <v>1862505</v>
      </c>
      <c r="F27021" s="4" t="str">
        <f>IF(B27021=B27020,"",B27021)</f>
        <v>Hirara</v>
      </c>
    </row>
    <row r="27022" spans="1:6" ht="15.75" customHeight="1">
      <c r="A27022" s="16" t="str">
        <f ca="1">IFERROR(__xludf.DUMMYFUNCTION("GOOGLETRANSLATE(B33360,""en"",""pt"")"),"Hīrākud")</f>
        <v>Hīrākud</v>
      </c>
      <c r="B27022" s="20" t="s">
        <v>33666</v>
      </c>
      <c r="C27022" s="20" t="s">
        <v>10178</v>
      </c>
      <c r="D27022" s="20" t="s">
        <v>10229</v>
      </c>
      <c r="E27022" s="10">
        <v>1270059</v>
      </c>
      <c r="F27022" s="4" t="e">
        <f>IF(B27022=#REF!,"",B27022)</f>
        <v>#REF!</v>
      </c>
    </row>
    <row r="27023" spans="1:6" ht="15.75" customHeight="1">
      <c r="A27023" s="15" t="s">
        <v>15959</v>
      </c>
      <c r="B27023" s="15" t="s">
        <v>15959</v>
      </c>
      <c r="C27023" s="15" t="s">
        <v>15704</v>
      </c>
      <c r="D27023" s="15" t="s">
        <v>15853</v>
      </c>
      <c r="E27023" s="2">
        <v>1862540</v>
      </c>
      <c r="F27023" s="4" t="e">
        <f>IF(B27023=#REF!,"",B27023)</f>
        <v>#REF!</v>
      </c>
    </row>
    <row r="27024" spans="1:6" ht="15.75" customHeight="1">
      <c r="A27024" s="15" t="s">
        <v>15958</v>
      </c>
      <c r="B27024" s="15" t="s">
        <v>15958</v>
      </c>
      <c r="C27024" s="15" t="s">
        <v>15704</v>
      </c>
      <c r="D27024" s="15" t="s">
        <v>15784</v>
      </c>
      <c r="E27024" s="2">
        <v>1862555</v>
      </c>
      <c r="F27024" s="4" t="e">
        <f>IF(B27024=#REF!,"",B27024)</f>
        <v>#REF!</v>
      </c>
    </row>
    <row r="27025" spans="1:6" ht="15.75" customHeight="1">
      <c r="A27025" s="15" t="s">
        <v>18707</v>
      </c>
      <c r="B27025" s="15" t="s">
        <v>18707</v>
      </c>
      <c r="C27025" s="15" t="s">
        <v>18696</v>
      </c>
      <c r="D27025" s="15" t="s">
        <v>18700</v>
      </c>
      <c r="E27025" s="2">
        <v>1325211</v>
      </c>
      <c r="F27025" s="4" t="e">
        <f>IF(B27025=#REF!,"",B27025)</f>
        <v>#REF!</v>
      </c>
    </row>
    <row r="27026" spans="1:6" ht="15.75" customHeight="1">
      <c r="A27026" s="15" t="s">
        <v>28881</v>
      </c>
      <c r="B27026" s="15" t="s">
        <v>28881</v>
      </c>
      <c r="C27026" s="15" t="s">
        <v>27788</v>
      </c>
      <c r="D27026" s="15" t="s">
        <v>27799</v>
      </c>
      <c r="E27026" s="2">
        <v>4896012</v>
      </c>
      <c r="F27026" s="4" t="e">
        <f>IF(B27026=#REF!,"",B27026)</f>
        <v>#REF!</v>
      </c>
    </row>
    <row r="27027" spans="1:6" ht="15.75" customHeight="1">
      <c r="A27027" s="15" t="s">
        <v>15957</v>
      </c>
      <c r="B27027" s="15" t="s">
        <v>15957</v>
      </c>
      <c r="C27027" s="15" t="s">
        <v>15704</v>
      </c>
      <c r="D27027" s="15" t="s">
        <v>15776</v>
      </c>
      <c r="E27027" s="2">
        <v>1862599</v>
      </c>
      <c r="F27027" s="4" t="e">
        <f>IF(B27027=#REF!,"",B27027)</f>
        <v>#REF!</v>
      </c>
    </row>
    <row r="27028" spans="1:6" ht="15.75" customHeight="1">
      <c r="A27028" s="16" t="s">
        <v>11490</v>
      </c>
      <c r="B27028" s="15" t="s">
        <v>11490</v>
      </c>
      <c r="C27028" s="16" t="s">
        <v>10178</v>
      </c>
      <c r="D27028" s="16" t="s">
        <v>10229</v>
      </c>
      <c r="E27028" s="2">
        <v>1270066</v>
      </c>
      <c r="F27028" s="4" t="str">
        <f>IF(B27028=B27027,"",B27028)</f>
        <v>Hinjilikatu</v>
      </c>
    </row>
    <row r="27029" spans="1:6" ht="15.75" customHeight="1">
      <c r="A27029" s="16" t="str">
        <f ca="1">IFERROR(__xludf.DUMMYFUNCTION("GOOGLETRANSLATE(B41983,""en"",""pt"")"),"Hınıs")</f>
        <v>Hınıs</v>
      </c>
      <c r="B27029" s="20" t="s">
        <v>35868</v>
      </c>
      <c r="C27029" s="20" t="s">
        <v>26201</v>
      </c>
      <c r="D27029" s="20" t="s">
        <v>26268</v>
      </c>
      <c r="E27029" s="10">
        <v>312114</v>
      </c>
      <c r="F27029" s="4" t="e">
        <f>IF(B27029=#REF!,"",B27029)</f>
        <v>#REF!</v>
      </c>
    </row>
    <row r="27030" spans="1:6" ht="15.75" customHeight="1">
      <c r="A27030" s="15" t="s">
        <v>20783</v>
      </c>
      <c r="B27030" s="15" t="s">
        <v>20783</v>
      </c>
      <c r="C27030" s="15" t="s">
        <v>20598</v>
      </c>
      <c r="D27030" s="15" t="s">
        <v>20627</v>
      </c>
      <c r="E27030" s="2">
        <v>1711621</v>
      </c>
      <c r="F27030" s="4" t="e">
        <f>IF(B27030=#REF!,"",B27030)</f>
        <v>#REF!</v>
      </c>
    </row>
    <row r="27031" spans="1:6" ht="15.75" customHeight="1">
      <c r="A27031" s="15" t="s">
        <v>19947</v>
      </c>
      <c r="B27031" s="15" t="s">
        <v>19947</v>
      </c>
      <c r="C27031" s="15" t="s">
        <v>19808</v>
      </c>
      <c r="D27031" s="15" t="s">
        <v>19823</v>
      </c>
      <c r="E27031" s="2">
        <v>1176889</v>
      </c>
      <c r="F27031" s="4" t="e">
        <f>IF(B27031=#REF!,"",B27031)</f>
        <v>#REF!</v>
      </c>
    </row>
    <row r="27032" spans="1:6" ht="15.75" customHeight="1">
      <c r="A27032" s="15" t="s">
        <v>11489</v>
      </c>
      <c r="B27032" s="15" t="s">
        <v>11489</v>
      </c>
      <c r="C27032" s="15" t="s">
        <v>10178</v>
      </c>
      <c r="D27032" s="15" t="s">
        <v>10214</v>
      </c>
      <c r="E27032" s="2">
        <v>1270072</v>
      </c>
      <c r="F27032" s="4" t="str">
        <f>IF(B27032=B27031,"",B27032)</f>
        <v>Hingoli</v>
      </c>
    </row>
    <row r="27033" spans="1:6" ht="15.75" customHeight="1">
      <c r="A27033" s="16" t="str">
        <f ca="1">IFERROR(__xludf.DUMMYFUNCTION("GOOGLETRANSLATE(B33363,""en"",""pt"")"),"Hinganghāt")</f>
        <v>Hinganghāt</v>
      </c>
      <c r="B27033" s="20" t="s">
        <v>33667</v>
      </c>
      <c r="C27033" s="20" t="s">
        <v>10178</v>
      </c>
      <c r="D27033" s="20" t="s">
        <v>10214</v>
      </c>
      <c r="E27033" s="10">
        <v>1270077</v>
      </c>
      <c r="F27033" s="4" t="str">
        <f>IF(B27033=B27032,"",B27033)</f>
        <v>Hinganghāt</v>
      </c>
    </row>
    <row r="27034" spans="1:6" ht="15.75" customHeight="1">
      <c r="A27034" s="16" t="s">
        <v>11487</v>
      </c>
      <c r="B27034" s="15" t="s">
        <v>11488</v>
      </c>
      <c r="C27034" s="16" t="s">
        <v>10178</v>
      </c>
      <c r="D27034" s="16" t="s">
        <v>10214</v>
      </c>
      <c r="E27034" s="2">
        <v>1270077</v>
      </c>
      <c r="F27034" s="4" t="e">
        <f>IF(B27034=#REF!,"",B27034)</f>
        <v>#REF!</v>
      </c>
    </row>
    <row r="27035" spans="1:6" ht="15.75" customHeight="1">
      <c r="A27035" s="15" t="s">
        <v>28880</v>
      </c>
      <c r="B27035" s="15" t="s">
        <v>28880</v>
      </c>
      <c r="C27035" s="15" t="s">
        <v>27788</v>
      </c>
      <c r="D27035" s="15" t="s">
        <v>7988</v>
      </c>
      <c r="E27035" s="2">
        <v>4200671</v>
      </c>
      <c r="F27035" s="4" t="e">
        <f>IF(B27035=#REF!,"",B27035)</f>
        <v>#REF!</v>
      </c>
    </row>
    <row r="27036" spans="1:6" ht="15.75" customHeight="1">
      <c r="A27036" s="15" t="s">
        <v>11486</v>
      </c>
      <c r="B27036" s="15" t="s">
        <v>11486</v>
      </c>
      <c r="C27036" s="15" t="s">
        <v>10178</v>
      </c>
      <c r="D27036" s="15" t="s">
        <v>10190</v>
      </c>
      <c r="E27036" s="2">
        <v>1270079</v>
      </c>
      <c r="F27036" s="4" t="e">
        <f>IF(B27036=#REF!,"",B27036)</f>
        <v>#REF!</v>
      </c>
    </row>
    <row r="27037" spans="1:6" ht="15.75" customHeight="1">
      <c r="A27037" s="15" t="s">
        <v>11485</v>
      </c>
      <c r="B27037" s="15" t="s">
        <v>11485</v>
      </c>
      <c r="C27037" s="15" t="s">
        <v>10178</v>
      </c>
      <c r="D27037" s="15" t="s">
        <v>10219</v>
      </c>
      <c r="E27037" s="2">
        <v>1270082</v>
      </c>
      <c r="F27037" s="4" t="e">
        <f>IF(B27037=#REF!,"",B27037)</f>
        <v>#REF!</v>
      </c>
    </row>
    <row r="27038" spans="1:6" ht="15.75" customHeight="1">
      <c r="A27038" s="15" t="s">
        <v>11484</v>
      </c>
      <c r="B27038" s="15" t="s">
        <v>11484</v>
      </c>
      <c r="C27038" s="15" t="s">
        <v>10178</v>
      </c>
      <c r="D27038" s="15" t="s">
        <v>10179</v>
      </c>
      <c r="E27038" s="2">
        <v>1270090</v>
      </c>
      <c r="F27038" s="4" t="e">
        <f>IF(B27038=#REF!,"",B27038)</f>
        <v>#REF!</v>
      </c>
    </row>
    <row r="27039" spans="1:6" ht="15.75" customHeight="1">
      <c r="A27039" s="15" t="s">
        <v>9879</v>
      </c>
      <c r="B27039" s="15" t="s">
        <v>9879</v>
      </c>
      <c r="C27039" s="15" t="s">
        <v>9866</v>
      </c>
      <c r="D27039" s="15" t="s">
        <v>3813</v>
      </c>
      <c r="E27039" s="2">
        <v>3723841</v>
      </c>
      <c r="F27039" s="4" t="str">
        <f>IF(B27039=B27038,"",B27039)</f>
        <v>Hinche</v>
      </c>
    </row>
    <row r="27040" spans="1:6" ht="15.75" customHeight="1">
      <c r="A27040" s="16" t="str">
        <f ca="1">IFERROR(__xludf.DUMMYFUNCTION("GOOGLETRANSLATE(B36535,""en"",""pt"")"),"Hînceşti")</f>
        <v>Hînceşti</v>
      </c>
      <c r="B27040" s="20" t="s">
        <v>34603</v>
      </c>
      <c r="C27040" s="20" t="s">
        <v>18455</v>
      </c>
      <c r="D27040" s="20" t="s">
        <v>34603</v>
      </c>
      <c r="E27040" s="10">
        <v>617993</v>
      </c>
      <c r="F27040" s="4" t="e">
        <f>IF(B27040=#REF!,"",B27040)</f>
        <v>#REF!</v>
      </c>
    </row>
    <row r="27041" spans="1:6" ht="15.75" customHeight="1">
      <c r="A27041" s="16" t="s">
        <v>15956</v>
      </c>
      <c r="B27041" s="15" t="s">
        <v>15956</v>
      </c>
      <c r="C27041" s="16" t="s">
        <v>15704</v>
      </c>
      <c r="D27041" s="16" t="s">
        <v>15881</v>
      </c>
      <c r="E27041" s="2">
        <v>1862612</v>
      </c>
      <c r="F27041" s="4" t="e">
        <f>IF(B27041=#REF!,"",B27041)</f>
        <v>#REF!</v>
      </c>
    </row>
    <row r="27042" spans="1:6" ht="15.75" customHeight="1">
      <c r="A27042" s="15" t="s">
        <v>15955</v>
      </c>
      <c r="B27042" s="15" t="s">
        <v>15955</v>
      </c>
      <c r="C27042" s="15" t="s">
        <v>15704</v>
      </c>
      <c r="D27042" s="15" t="s">
        <v>15712</v>
      </c>
      <c r="E27042" s="2">
        <v>1862627</v>
      </c>
      <c r="F27042" s="4" t="e">
        <f>IF(B27042=#REF!,"",B27042)</f>
        <v>#REF!</v>
      </c>
    </row>
    <row r="27043" spans="1:6" ht="15.75" customHeight="1">
      <c r="A27043" s="16" t="s">
        <v>11483</v>
      </c>
      <c r="B27043" s="15" t="s">
        <v>11483</v>
      </c>
      <c r="C27043" s="16" t="s">
        <v>10178</v>
      </c>
      <c r="D27043" s="16" t="s">
        <v>10209</v>
      </c>
      <c r="E27043" s="2">
        <v>1270099</v>
      </c>
      <c r="F27043" s="4" t="e">
        <f>IF(B27043=#REF!,"",B27043)</f>
        <v>#REF!</v>
      </c>
    </row>
    <row r="27044" spans="1:6" ht="15.75" customHeight="1">
      <c r="A27044" s="16" t="s">
        <v>20782</v>
      </c>
      <c r="B27044" s="15" t="s">
        <v>20782</v>
      </c>
      <c r="C27044" s="16" t="s">
        <v>20598</v>
      </c>
      <c r="D27044" s="16" t="s">
        <v>20627</v>
      </c>
      <c r="E27044" s="2">
        <v>1711718</v>
      </c>
      <c r="F27044" s="4" t="e">
        <f>IF(B27044=#REF!,"",B27044)</f>
        <v>#REF!</v>
      </c>
    </row>
    <row r="27045" spans="1:6" ht="15.75" customHeight="1">
      <c r="A27045" s="16" t="s">
        <v>18998</v>
      </c>
      <c r="B27045" s="15" t="s">
        <v>18998</v>
      </c>
      <c r="C27045" s="16" t="s">
        <v>18862</v>
      </c>
      <c r="D27045" s="16" t="s">
        <v>18863</v>
      </c>
      <c r="E27045" s="2">
        <v>2754064</v>
      </c>
      <c r="F27045" s="4" t="e">
        <f>IF(B27045=#REF!,"",B27045)</f>
        <v>#REF!</v>
      </c>
    </row>
    <row r="27046" spans="1:6" ht="15.75" customHeight="1">
      <c r="A27046" s="16" t="s">
        <v>18997</v>
      </c>
      <c r="B27046" s="15" t="s">
        <v>18997</v>
      </c>
      <c r="C27046" s="16" t="s">
        <v>18862</v>
      </c>
      <c r="D27046" s="16" t="s">
        <v>18888</v>
      </c>
      <c r="E27046" s="2">
        <v>2754066</v>
      </c>
      <c r="F27046" s="4" t="e">
        <f>IF(B27046=#REF!,"",B27046)</f>
        <v>#REF!</v>
      </c>
    </row>
    <row r="27047" spans="1:6" ht="15.75" customHeight="1">
      <c r="A27047" s="15" t="s">
        <v>26544</v>
      </c>
      <c r="B27047" s="15" t="s">
        <v>26544</v>
      </c>
      <c r="C27047" s="15" t="s">
        <v>26201</v>
      </c>
      <c r="D27047" s="15" t="s">
        <v>26289</v>
      </c>
      <c r="E27047" s="2">
        <v>312134</v>
      </c>
      <c r="F27047" s="4" t="e">
        <f>IF(B27047=#REF!,"",B27047)</f>
        <v>#REF!</v>
      </c>
    </row>
    <row r="27048" spans="1:6" ht="15.75" customHeight="1">
      <c r="A27048" s="16" t="s">
        <v>28879</v>
      </c>
      <c r="B27048" s="15" t="s">
        <v>28879</v>
      </c>
      <c r="C27048" s="16" t="s">
        <v>27788</v>
      </c>
      <c r="D27048" s="16" t="s">
        <v>27811</v>
      </c>
      <c r="E27048" s="2">
        <v>4581833</v>
      </c>
      <c r="F27048" s="4" t="e">
        <f>IF(B27048=#REF!,"",B27048)</f>
        <v>#REF!</v>
      </c>
    </row>
    <row r="27049" spans="1:6" ht="15.75" customHeight="1">
      <c r="A27049" s="15" t="s">
        <v>11482</v>
      </c>
      <c r="B27049" s="15" t="s">
        <v>11482</v>
      </c>
      <c r="C27049" s="15" t="s">
        <v>10178</v>
      </c>
      <c r="D27049" s="15" t="s">
        <v>10317</v>
      </c>
      <c r="E27049" s="2">
        <v>1270102</v>
      </c>
      <c r="F27049" s="4" t="e">
        <f>IF(B27049=#REF!,"",B27049)</f>
        <v>#REF!</v>
      </c>
    </row>
    <row r="27050" spans="1:6" ht="15.75" customHeight="1">
      <c r="A27050" s="15" t="s">
        <v>28878</v>
      </c>
      <c r="B27050" s="15" t="s">
        <v>28878</v>
      </c>
      <c r="C27050" s="15" t="s">
        <v>27788</v>
      </c>
      <c r="D27050" s="15" t="s">
        <v>27789</v>
      </c>
      <c r="E27050" s="2">
        <v>5855927</v>
      </c>
      <c r="F27050" s="4" t="e">
        <f>IF(B27050=#REF!,"",B27050)</f>
        <v>#REF!</v>
      </c>
    </row>
    <row r="27051" spans="1:6" ht="15.75" customHeight="1">
      <c r="A27051" s="15" t="s">
        <v>998</v>
      </c>
      <c r="B27051" s="15" t="s">
        <v>999</v>
      </c>
      <c r="C27051" s="15" t="s">
        <v>885</v>
      </c>
      <c r="D27051" s="15" t="s">
        <v>827</v>
      </c>
      <c r="E27051" s="2">
        <v>8349243</v>
      </c>
      <c r="F27051" s="4" t="e">
        <f>IF(B27051=#REF!,"",B27051)</f>
        <v>#REF!</v>
      </c>
    </row>
    <row r="27052" spans="1:6" ht="15.75" customHeight="1">
      <c r="A27052" s="15" t="s">
        <v>28877</v>
      </c>
      <c r="B27052" s="15" t="s">
        <v>28877</v>
      </c>
      <c r="C27052" s="15" t="s">
        <v>27788</v>
      </c>
      <c r="D27052" s="15" t="s">
        <v>27820</v>
      </c>
      <c r="E27052" s="2">
        <v>5731371</v>
      </c>
      <c r="F27052" s="4" t="e">
        <f>IF(B27052=#REF!,"",B27052)</f>
        <v>#REF!</v>
      </c>
    </row>
    <row r="27053" spans="1:6" ht="15.75" customHeight="1">
      <c r="A27053" s="15" t="s">
        <v>28876</v>
      </c>
      <c r="B27053" s="15" t="s">
        <v>28876</v>
      </c>
      <c r="C27053" s="15" t="s">
        <v>27788</v>
      </c>
      <c r="D27053" s="15" t="s">
        <v>27813</v>
      </c>
      <c r="E27053" s="2">
        <v>5157588</v>
      </c>
      <c r="F27053" s="4" t="str">
        <f>IF(B27053=B27052,"",B27053)</f>
        <v>Hilliard</v>
      </c>
    </row>
    <row r="27054" spans="1:6" ht="15.75" customHeight="1">
      <c r="A27054" s="16" t="str">
        <f ca="1">IFERROR(__xludf.DUMMYFUNCTION("GOOGLETRANSLATE(B28434,""en"",""pt"")"),"Hillerød")</f>
        <v>Hillerød</v>
      </c>
      <c r="B27054" s="20" t="s">
        <v>32163</v>
      </c>
      <c r="C27054" s="20" t="s">
        <v>6209</v>
      </c>
      <c r="D27054" s="20" t="s">
        <v>6216</v>
      </c>
      <c r="E27054" s="10">
        <v>2620320</v>
      </c>
      <c r="F27054" s="4" t="str">
        <f>IF(B27054=B27053,"",B27054)</f>
        <v>Hillerød</v>
      </c>
    </row>
    <row r="27055" spans="1:6" ht="15.75" customHeight="1">
      <c r="A27055" s="15" t="s">
        <v>6239</v>
      </c>
      <c r="B27055" s="15" t="s">
        <v>6240</v>
      </c>
      <c r="C27055" s="15" t="s">
        <v>6209</v>
      </c>
      <c r="D27055" s="15" t="s">
        <v>6216</v>
      </c>
      <c r="E27055" s="2">
        <v>2620320</v>
      </c>
      <c r="F27055" s="4" t="e">
        <f>IF(B27055=#REF!,"",B27055)</f>
        <v>#REF!</v>
      </c>
    </row>
    <row r="27056" spans="1:6" ht="15.75" customHeight="1">
      <c r="A27056" s="15" t="s">
        <v>18996</v>
      </c>
      <c r="B27056" s="15" t="s">
        <v>18996</v>
      </c>
      <c r="C27056" s="15" t="s">
        <v>18862</v>
      </c>
      <c r="D27056" s="15" t="s">
        <v>18868</v>
      </c>
      <c r="E27056" s="2">
        <v>2754073</v>
      </c>
      <c r="F27056" s="4" t="e">
        <f>IF(B27056=#REF!,"",B27056)</f>
        <v>#REF!</v>
      </c>
    </row>
    <row r="27057" spans="1:6" ht="15.75" customHeight="1">
      <c r="A27057" s="15" t="s">
        <v>8589</v>
      </c>
      <c r="B27057" s="15" t="s">
        <v>8589</v>
      </c>
      <c r="C27057" s="15" t="s">
        <v>8028</v>
      </c>
      <c r="D27057" s="15" t="s">
        <v>8029</v>
      </c>
      <c r="E27057" s="2">
        <v>2904725</v>
      </c>
      <c r="F27057" s="4" t="e">
        <f>IF(B27057=#REF!,"",B27057)</f>
        <v>#REF!</v>
      </c>
    </row>
    <row r="27058" spans="1:6" ht="15.75" customHeight="1">
      <c r="A27058" s="16" t="s">
        <v>28875</v>
      </c>
      <c r="B27058" s="15" t="s">
        <v>28875</v>
      </c>
      <c r="C27058" s="16" t="s">
        <v>27788</v>
      </c>
      <c r="D27058" s="16" t="s">
        <v>17061</v>
      </c>
      <c r="E27058" s="2">
        <v>4358082</v>
      </c>
      <c r="F27058" s="4" t="e">
        <f>IF(B27058=#REF!,"",B27058)</f>
        <v>#REF!</v>
      </c>
    </row>
    <row r="27059" spans="1:6" ht="15.75" customHeight="1">
      <c r="A27059" s="16" t="s">
        <v>8588</v>
      </c>
      <c r="B27059" s="15" t="s">
        <v>8588</v>
      </c>
      <c r="C27059" s="16" t="s">
        <v>8028</v>
      </c>
      <c r="D27059" s="16" t="s">
        <v>8034</v>
      </c>
      <c r="E27059" s="2">
        <v>2904789</v>
      </c>
      <c r="F27059" s="4" t="e">
        <f>IF(B27059=#REF!,"",B27059)</f>
        <v>#REF!</v>
      </c>
    </row>
    <row r="27060" spans="1:6" ht="15.75" customHeight="1">
      <c r="A27060" s="15" t="s">
        <v>8587</v>
      </c>
      <c r="B27060" s="15" t="s">
        <v>8587</v>
      </c>
      <c r="C27060" s="15" t="s">
        <v>8028</v>
      </c>
      <c r="D27060" s="15" t="s">
        <v>8029</v>
      </c>
      <c r="E27060" s="2">
        <v>2904795</v>
      </c>
      <c r="F27060" s="4" t="e">
        <f>IF(B27060=#REF!,"",B27060)</f>
        <v>#REF!</v>
      </c>
    </row>
    <row r="27061" spans="1:6" ht="15.75" customHeight="1">
      <c r="A27061" s="16" t="s">
        <v>8586</v>
      </c>
      <c r="B27061" s="15" t="s">
        <v>8586</v>
      </c>
      <c r="C27061" s="16" t="s">
        <v>8028</v>
      </c>
      <c r="D27061" s="16" t="s">
        <v>8029</v>
      </c>
      <c r="E27061" s="2">
        <v>2904808</v>
      </c>
      <c r="F27061" s="4" t="e">
        <f>IF(B27061=#REF!,"",B27061)</f>
        <v>#REF!</v>
      </c>
    </row>
    <row r="27062" spans="1:6" ht="15.75" customHeight="1">
      <c r="A27062" s="15" t="s">
        <v>15954</v>
      </c>
      <c r="B27062" s="15" t="s">
        <v>15954</v>
      </c>
      <c r="C27062" s="15" t="s">
        <v>15704</v>
      </c>
      <c r="D27062" s="15" t="s">
        <v>15779</v>
      </c>
      <c r="E27062" s="2">
        <v>1862636</v>
      </c>
      <c r="F27062" s="4" t="e">
        <f>IF(B27062=#REF!,"",B27062)</f>
        <v>#REF!</v>
      </c>
    </row>
    <row r="27063" spans="1:6" ht="15.75" customHeight="1">
      <c r="A27063" s="15" t="s">
        <v>15953</v>
      </c>
      <c r="B27063" s="15" t="s">
        <v>15953</v>
      </c>
      <c r="C27063" s="15" t="s">
        <v>15704</v>
      </c>
      <c r="D27063" s="15" t="s">
        <v>15796</v>
      </c>
      <c r="E27063" s="2">
        <v>1896348</v>
      </c>
      <c r="F27063" s="4" t="e">
        <f>IF(B27063=#REF!,"",B27063)</f>
        <v>#REF!</v>
      </c>
    </row>
    <row r="27064" spans="1:6" ht="15.75" customHeight="1">
      <c r="A27064" s="15" t="s">
        <v>15952</v>
      </c>
      <c r="B27064" s="15" t="s">
        <v>15952</v>
      </c>
      <c r="C27064" s="15" t="s">
        <v>15704</v>
      </c>
      <c r="D27064" s="15" t="s">
        <v>15758</v>
      </c>
      <c r="E27064" s="2">
        <v>1862689</v>
      </c>
      <c r="F27064" s="4" t="str">
        <f>IF(B27064=B27063,"",B27064)</f>
        <v>Hiji</v>
      </c>
    </row>
    <row r="27065" spans="1:6" ht="15.75" customHeight="1">
      <c r="A27065" s="15" t="s">
        <v>6644</v>
      </c>
      <c r="B27065" s="15" t="s">
        <v>6645</v>
      </c>
      <c r="C27065" s="15" t="s">
        <v>6495</v>
      </c>
      <c r="D27065" s="15" t="s">
        <v>6128</v>
      </c>
      <c r="E27065" s="2">
        <v>355939</v>
      </c>
      <c r="F27065" s="4" t="str">
        <f>IF(B27065=B27064,"",B27065)</f>
        <v>HihyÄ</v>
      </c>
    </row>
    <row r="27066" spans="1:6" ht="15.75" customHeight="1">
      <c r="A27066" s="16" t="str">
        <f ca="1">IFERROR(__xludf.DUMMYFUNCTION("GOOGLETRANSLATE(B28867,""en"",""pt"")"),"Hihyā")</f>
        <v>Hihyā</v>
      </c>
      <c r="B27066" s="20" t="s">
        <v>32294</v>
      </c>
      <c r="C27066" s="20" t="s">
        <v>6495</v>
      </c>
      <c r="D27066" s="20" t="s">
        <v>6128</v>
      </c>
      <c r="E27066" s="10">
        <v>355939</v>
      </c>
      <c r="F27066" s="4" t="e">
        <f>IF(B27066=#REF!,"",B27066)</f>
        <v>#REF!</v>
      </c>
    </row>
    <row r="27067" spans="1:6" ht="15.75" customHeight="1">
      <c r="A27067" s="15" t="s">
        <v>28874</v>
      </c>
      <c r="B27067" s="15" t="s">
        <v>28874</v>
      </c>
      <c r="C27067" s="15" t="s">
        <v>27788</v>
      </c>
      <c r="D27067" s="15" t="s">
        <v>27909</v>
      </c>
      <c r="E27067" s="2">
        <v>4294799</v>
      </c>
      <c r="F27067" s="4" t="e">
        <f>IF(B27067=#REF!,"",B27067)</f>
        <v>#REF!</v>
      </c>
    </row>
    <row r="27068" spans="1:6" ht="15.75" customHeight="1">
      <c r="A27068" s="16" t="s">
        <v>28873</v>
      </c>
      <c r="B27068" s="15" t="s">
        <v>28873</v>
      </c>
      <c r="C27068" s="16" t="s">
        <v>27788</v>
      </c>
      <c r="D27068" s="16" t="s">
        <v>2341</v>
      </c>
      <c r="E27068" s="2">
        <v>5425043</v>
      </c>
      <c r="F27068" s="4" t="e">
        <f>IF(B27068=#REF!,"",B27068)</f>
        <v>#REF!</v>
      </c>
    </row>
    <row r="27069" spans="1:6" ht="15.75" customHeight="1">
      <c r="A27069" s="16" t="s">
        <v>28872</v>
      </c>
      <c r="B27069" s="15" t="s">
        <v>28872</v>
      </c>
      <c r="C27069" s="16" t="s">
        <v>27788</v>
      </c>
      <c r="D27069" s="16" t="s">
        <v>27792</v>
      </c>
      <c r="E27069" s="2">
        <v>4697645</v>
      </c>
      <c r="F27069" s="4" t="e">
        <f>IF(B27069=#REF!,"",B27069)</f>
        <v>#REF!</v>
      </c>
    </row>
    <row r="27070" spans="1:6" ht="15.75" customHeight="1">
      <c r="A27070" s="16" t="s">
        <v>28871</v>
      </c>
      <c r="B27070" s="15" t="s">
        <v>28871</v>
      </c>
      <c r="C27070" s="16" t="s">
        <v>27788</v>
      </c>
      <c r="D27070" s="16" t="s">
        <v>27799</v>
      </c>
      <c r="E27070" s="2">
        <v>4895876</v>
      </c>
      <c r="F27070" s="4" t="e">
        <f>IF(B27070=#REF!,"",B27070)</f>
        <v>#REF!</v>
      </c>
    </row>
    <row r="27071" spans="1:6" ht="15.75" customHeight="1">
      <c r="A27071" s="15" t="s">
        <v>28870</v>
      </c>
      <c r="B27071" s="15" t="s">
        <v>28870</v>
      </c>
      <c r="C27071" s="15" t="s">
        <v>27788</v>
      </c>
      <c r="D27071" s="15" t="s">
        <v>27869</v>
      </c>
      <c r="E27071" s="2">
        <v>4921402</v>
      </c>
      <c r="F27071" s="4" t="e">
        <f>IF(B27071=#REF!,"",B27071)</f>
        <v>#REF!</v>
      </c>
    </row>
    <row r="27072" spans="1:6" ht="15.75" customHeight="1">
      <c r="A27072" s="16" t="s">
        <v>28868</v>
      </c>
      <c r="B27072" s="15" t="s">
        <v>28869</v>
      </c>
      <c r="C27072" s="16" t="s">
        <v>27788</v>
      </c>
      <c r="D27072" s="16" t="s">
        <v>27822</v>
      </c>
      <c r="E27072" s="2">
        <v>4471025</v>
      </c>
      <c r="F27072" s="4" t="e">
        <f>IF(B27072=#REF!,"",B27072)</f>
        <v>#REF!</v>
      </c>
    </row>
    <row r="27073" spans="1:6" ht="15.75" customHeight="1">
      <c r="A27073" s="15" t="s">
        <v>27449</v>
      </c>
      <c r="B27073" s="15" t="s">
        <v>27450</v>
      </c>
      <c r="C27073" s="15" t="s">
        <v>27234</v>
      </c>
      <c r="D27073" s="15" t="s">
        <v>27241</v>
      </c>
      <c r="E27073" s="2">
        <v>8299617</v>
      </c>
      <c r="F27073" s="4" t="e">
        <f>IF(B27073=#REF!,"",B27073)</f>
        <v>#REF!</v>
      </c>
    </row>
    <row r="27074" spans="1:6" ht="15.75" customHeight="1">
      <c r="A27074" s="15" t="s">
        <v>15950</v>
      </c>
      <c r="B27074" s="15" t="s">
        <v>15950</v>
      </c>
      <c r="C27074" s="15" t="s">
        <v>15704</v>
      </c>
      <c r="D27074" s="15" t="s">
        <v>15951</v>
      </c>
      <c r="E27074" s="2">
        <v>2112758</v>
      </c>
      <c r="F27074" s="4" t="e">
        <f>IF(B27074=#REF!,"",B27074)</f>
        <v>#REF!</v>
      </c>
    </row>
    <row r="27075" spans="1:6" ht="15.75" customHeight="1">
      <c r="A27075" s="16" t="s">
        <v>15949</v>
      </c>
      <c r="B27075" s="15" t="s">
        <v>15949</v>
      </c>
      <c r="C27075" s="16" t="s">
        <v>15704</v>
      </c>
      <c r="D27075" s="16" t="s">
        <v>15776</v>
      </c>
      <c r="E27075" s="2">
        <v>7279570</v>
      </c>
      <c r="F27075" s="4" t="e">
        <f>IF(B27075=#REF!,"",B27075)</f>
        <v>#REF!</v>
      </c>
    </row>
    <row r="27076" spans="1:6" ht="15.75" customHeight="1">
      <c r="A27076" s="16" t="s">
        <v>8585</v>
      </c>
      <c r="B27076" s="15" t="s">
        <v>8585</v>
      </c>
      <c r="C27076" s="16" t="s">
        <v>8028</v>
      </c>
      <c r="D27076" s="16" t="s">
        <v>8029</v>
      </c>
      <c r="E27076" s="2">
        <v>2904886</v>
      </c>
      <c r="F27076" s="4" t="e">
        <f>IF(B27076=#REF!,"",B27076)</f>
        <v>#REF!</v>
      </c>
    </row>
    <row r="27077" spans="1:6" ht="15.75" customHeight="1">
      <c r="A27077" s="16" t="s">
        <v>17971</v>
      </c>
      <c r="B27077" s="15" t="s">
        <v>17972</v>
      </c>
      <c r="C27077" s="16" t="s">
        <v>17707</v>
      </c>
      <c r="D27077" s="16" t="s">
        <v>17826</v>
      </c>
      <c r="E27077" s="2">
        <v>4004867</v>
      </c>
      <c r="F27077" s="4" t="e">
        <f>IF(B27077=#REF!,"",B27077)</f>
        <v>#REF!</v>
      </c>
    </row>
    <row r="27078" spans="1:6" ht="15.75" customHeight="1">
      <c r="A27078" s="15" t="s">
        <v>17729</v>
      </c>
      <c r="B27078" s="15" t="s">
        <v>17729</v>
      </c>
      <c r="C27078" s="15" t="s">
        <v>17707</v>
      </c>
      <c r="D27078" s="15" t="s">
        <v>17739</v>
      </c>
      <c r="E27078" s="2">
        <v>3792044</v>
      </c>
      <c r="F27078" s="4" t="e">
        <f>IF(B27078=#REF!,"",B27078)</f>
        <v>#REF!</v>
      </c>
    </row>
    <row r="27079" spans="1:6" ht="15.75" customHeight="1">
      <c r="A27079" s="15" t="s">
        <v>28867</v>
      </c>
      <c r="B27079" s="15" t="s">
        <v>28867</v>
      </c>
      <c r="C27079" s="15" t="s">
        <v>27788</v>
      </c>
      <c r="D27079" s="15" t="s">
        <v>27819</v>
      </c>
      <c r="E27079" s="2">
        <v>5120656</v>
      </c>
      <c r="F27079" s="4" t="e">
        <f>IF(B27079=#REF!,"",B27079)</f>
        <v>#REF!</v>
      </c>
    </row>
    <row r="27080" spans="1:6" ht="15.75" customHeight="1">
      <c r="A27080" s="15" t="s">
        <v>28866</v>
      </c>
      <c r="B27080" s="15" t="s">
        <v>28866</v>
      </c>
      <c r="C27080" s="15" t="s">
        <v>27788</v>
      </c>
      <c r="D27080" s="15" t="s">
        <v>27822</v>
      </c>
      <c r="E27080" s="2">
        <v>4470778</v>
      </c>
      <c r="F27080" s="4" t="e">
        <f>IF(B27080=#REF!,"",B27080)</f>
        <v>#REF!</v>
      </c>
    </row>
    <row r="27081" spans="1:6" ht="15.75" customHeight="1">
      <c r="A27081" s="15" t="s">
        <v>28865</v>
      </c>
      <c r="B27081" s="15" t="s">
        <v>28865</v>
      </c>
      <c r="C27081" s="15" t="s">
        <v>27788</v>
      </c>
      <c r="D27081" s="15" t="s">
        <v>27824</v>
      </c>
      <c r="E27081" s="2">
        <v>5030005</v>
      </c>
      <c r="F27081" s="4" t="e">
        <f>IF(B27081=#REF!,"",B27081)</f>
        <v>#REF!</v>
      </c>
    </row>
    <row r="27082" spans="1:6" ht="15.75" customHeight="1">
      <c r="A27082" s="16" t="s">
        <v>28864</v>
      </c>
      <c r="B27082" s="15" t="s">
        <v>28864</v>
      </c>
      <c r="C27082" s="16" t="s">
        <v>27788</v>
      </c>
      <c r="D27082" s="16" t="s">
        <v>5468</v>
      </c>
      <c r="E27082" s="2">
        <v>4158482</v>
      </c>
      <c r="F27082" s="4" t="e">
        <f>IF(B27082=#REF!,"",B27082)</f>
        <v>#REF!</v>
      </c>
    </row>
    <row r="27083" spans="1:6" ht="15.75" customHeight="1">
      <c r="A27083" s="15" t="s">
        <v>28863</v>
      </c>
      <c r="B27083" s="15" t="s">
        <v>28863</v>
      </c>
      <c r="C27083" s="15" t="s">
        <v>27788</v>
      </c>
      <c r="D27083" s="15" t="s">
        <v>5468</v>
      </c>
      <c r="E27083" s="2">
        <v>4158476</v>
      </c>
      <c r="F27083" s="4" t="str">
        <f>IF(B27083=B27082,"",B27083)</f>
        <v>Hialeah</v>
      </c>
    </row>
    <row r="27084" spans="1:6" ht="15.75" customHeight="1">
      <c r="A27084" s="15" t="s">
        <v>14811</v>
      </c>
      <c r="B27084" s="15" t="s">
        <v>14812</v>
      </c>
      <c r="C27084" s="15" t="s">
        <v>14773</v>
      </c>
      <c r="D27084" s="15" t="s">
        <v>14786</v>
      </c>
      <c r="E27084" s="2">
        <v>294751</v>
      </c>
      <c r="F27084" s="4" t="str">
        <f>IF(B27084=B27083,"",B27084)</f>
        <v>HÌ±olon</v>
      </c>
    </row>
    <row r="27085" spans="1:6" ht="15.75" customHeight="1">
      <c r="A27085" s="16" t="s">
        <v>14809</v>
      </c>
      <c r="B27085" s="15" t="s">
        <v>14810</v>
      </c>
      <c r="C27085" s="16" t="s">
        <v>14773</v>
      </c>
      <c r="D27085" s="16" t="s">
        <v>14796</v>
      </c>
      <c r="E27085" s="2">
        <v>294946</v>
      </c>
      <c r="F27085" s="4" t="e">
        <f>IF(B27085=#REF!,"",B27085)</f>
        <v>#REF!</v>
      </c>
    </row>
    <row r="27086" spans="1:6" ht="15.75" customHeight="1">
      <c r="A27086" s="15" t="s">
        <v>4745</v>
      </c>
      <c r="B27086" s="15" t="s">
        <v>4745</v>
      </c>
      <c r="C27086" s="15" t="s">
        <v>4487</v>
      </c>
      <c r="D27086" s="15" t="s">
        <v>4503</v>
      </c>
      <c r="E27086" s="2">
        <v>1808198</v>
      </c>
      <c r="F27086" s="4" t="e">
        <f>IF(B27086=#REF!,"",B27086)</f>
        <v>#REF!</v>
      </c>
    </row>
    <row r="27087" spans="1:6" ht="15.75" customHeight="1">
      <c r="A27087" s="15" t="s">
        <v>27448</v>
      </c>
      <c r="B27087" s="15" t="s">
        <v>27448</v>
      </c>
      <c r="C27087" s="15" t="s">
        <v>27234</v>
      </c>
      <c r="D27087" s="15" t="s">
        <v>27241</v>
      </c>
      <c r="E27087" s="2">
        <v>6691235</v>
      </c>
      <c r="F27087" s="4" t="e">
        <f>IF(B27087=#REF!,"",B27087)</f>
        <v>#REF!</v>
      </c>
    </row>
    <row r="27088" spans="1:6" ht="15.75" customHeight="1">
      <c r="A27088" s="15" t="s">
        <v>4744</v>
      </c>
      <c r="B27088" s="15" t="s">
        <v>4744</v>
      </c>
      <c r="C27088" s="15" t="s">
        <v>4487</v>
      </c>
      <c r="D27088" s="15" t="s">
        <v>4492</v>
      </c>
      <c r="E27088" s="2">
        <v>1786112</v>
      </c>
      <c r="F27088" s="4" t="e">
        <f>IF(B27088=#REF!,"",B27088)</f>
        <v>#REF!</v>
      </c>
    </row>
    <row r="27089" spans="1:6" ht="15.75" customHeight="1">
      <c r="A27089" s="16" t="s">
        <v>8584</v>
      </c>
      <c r="B27089" s="15" t="s">
        <v>8584</v>
      </c>
      <c r="C27089" s="16" t="s">
        <v>8028</v>
      </c>
      <c r="D27089" s="16" t="s">
        <v>8177</v>
      </c>
      <c r="E27089" s="2">
        <v>2904985</v>
      </c>
      <c r="F27089" s="4" t="e">
        <f>IF(B27089=#REF!,"",B27089)</f>
        <v>#REF!</v>
      </c>
    </row>
    <row r="27090" spans="1:6" ht="15.75" customHeight="1">
      <c r="A27090" s="16" t="s">
        <v>8583</v>
      </c>
      <c r="B27090" s="15" t="s">
        <v>8583</v>
      </c>
      <c r="C27090" s="16" t="s">
        <v>8028</v>
      </c>
      <c r="D27090" s="16" t="s">
        <v>8050</v>
      </c>
      <c r="E27090" s="2">
        <v>2904992</v>
      </c>
      <c r="F27090" s="4" t="e">
        <f>IF(B27090=#REF!,"",B27090)</f>
        <v>#REF!</v>
      </c>
    </row>
    <row r="27091" spans="1:6" ht="15.75" customHeight="1">
      <c r="A27091" s="15" t="s">
        <v>1596</v>
      </c>
      <c r="B27091" s="15" t="s">
        <v>1596</v>
      </c>
      <c r="C27091" s="15" t="s">
        <v>1512</v>
      </c>
      <c r="D27091" s="15" t="s">
        <v>1513</v>
      </c>
      <c r="E27091" s="2">
        <v>2795800</v>
      </c>
      <c r="F27091" s="4" t="e">
        <f>IF(B27091=#REF!,"",B27091)</f>
        <v>#REF!</v>
      </c>
    </row>
    <row r="27092" spans="1:6" ht="15.75" customHeight="1">
      <c r="A27092" s="16" t="s">
        <v>24079</v>
      </c>
      <c r="B27092" s="15" t="s">
        <v>24079</v>
      </c>
      <c r="C27092" s="16" t="s">
        <v>24024</v>
      </c>
      <c r="D27092" s="16" t="s">
        <v>24025</v>
      </c>
      <c r="E27092" s="2">
        <v>1832015</v>
      </c>
      <c r="F27092" s="4" t="e">
        <f>IF(B27092=#REF!,"",B27092)</f>
        <v>#REF!</v>
      </c>
    </row>
    <row r="27093" spans="1:6" ht="15.75" customHeight="1">
      <c r="A27093" s="15" t="s">
        <v>8582</v>
      </c>
      <c r="B27093" s="15" t="s">
        <v>8582</v>
      </c>
      <c r="C27093" s="15" t="s">
        <v>8028</v>
      </c>
      <c r="D27093" s="15" t="s">
        <v>8085</v>
      </c>
      <c r="E27093" s="2">
        <v>2905206</v>
      </c>
      <c r="F27093" s="4" t="e">
        <f>IF(B27093=#REF!,"",B27093)</f>
        <v>#REF!</v>
      </c>
    </row>
    <row r="27094" spans="1:6" ht="15.75" customHeight="1">
      <c r="A27094" s="15" t="s">
        <v>18832</v>
      </c>
      <c r="B27094" s="15" t="s">
        <v>18832</v>
      </c>
      <c r="C27094" s="15" t="s">
        <v>18800</v>
      </c>
      <c r="D27094" s="15" t="s">
        <v>17414</v>
      </c>
      <c r="E27094" s="2">
        <v>1283339</v>
      </c>
      <c r="F27094" s="4" t="e">
        <f>IF(B27094=#REF!,"",B27094)</f>
        <v>#REF!</v>
      </c>
    </row>
    <row r="27095" spans="1:6" ht="15.75" customHeight="1">
      <c r="A27095" s="16" t="s">
        <v>8581</v>
      </c>
      <c r="B27095" s="15" t="s">
        <v>8581</v>
      </c>
      <c r="C27095" s="16" t="s">
        <v>8028</v>
      </c>
      <c r="D27095" s="16" t="s">
        <v>8034</v>
      </c>
      <c r="E27095" s="2">
        <v>2905290</v>
      </c>
      <c r="F27095" s="4" t="e">
        <f>IF(B27095=#REF!,"",B27095)</f>
        <v>#REF!</v>
      </c>
    </row>
    <row r="27096" spans="1:6" ht="15.75" customHeight="1">
      <c r="A27096" s="15" t="s">
        <v>28862</v>
      </c>
      <c r="B27096" s="15" t="s">
        <v>28862</v>
      </c>
      <c r="C27096" s="15" t="s">
        <v>27788</v>
      </c>
      <c r="D27096" s="15" t="s">
        <v>27801</v>
      </c>
      <c r="E27096" s="2">
        <v>5356576</v>
      </c>
      <c r="F27096" s="4" t="e">
        <f>IF(B27096=#REF!,"",B27096)</f>
        <v>#REF!</v>
      </c>
    </row>
    <row r="27097" spans="1:6" ht="15.75" customHeight="1">
      <c r="A27097" s="16" t="s">
        <v>8580</v>
      </c>
      <c r="B27097" s="15" t="s">
        <v>8580</v>
      </c>
      <c r="C27097" s="16" t="s">
        <v>8028</v>
      </c>
      <c r="D27097" s="16" t="s">
        <v>8029</v>
      </c>
      <c r="E27097" s="2">
        <v>2905455</v>
      </c>
      <c r="F27097" s="4" t="e">
        <f>IF(B27097=#REF!,"",B27097)</f>
        <v>#REF!</v>
      </c>
    </row>
    <row r="27098" spans="1:6" ht="15.75" customHeight="1">
      <c r="A27098" s="16" t="s">
        <v>8579</v>
      </c>
      <c r="B27098" s="15" t="s">
        <v>8579</v>
      </c>
      <c r="C27098" s="16" t="s">
        <v>8028</v>
      </c>
      <c r="D27098" s="16" t="s">
        <v>8044</v>
      </c>
      <c r="E27098" s="2">
        <v>2905457</v>
      </c>
      <c r="F27098" s="4" t="e">
        <f>IF(B27098=#REF!,"",B27098)</f>
        <v>#REF!</v>
      </c>
    </row>
    <row r="27099" spans="1:6" ht="15.75" customHeight="1">
      <c r="A27099" s="15" t="s">
        <v>14808</v>
      </c>
      <c r="B27099" s="15" t="s">
        <v>14808</v>
      </c>
      <c r="C27099" s="15" t="s">
        <v>14773</v>
      </c>
      <c r="D27099" s="15" t="s">
        <v>14786</v>
      </c>
      <c r="E27099" s="2">
        <v>294778</v>
      </c>
      <c r="F27099" s="4" t="e">
        <f>IF(B27099=#REF!,"",B27099)</f>
        <v>#REF!</v>
      </c>
    </row>
    <row r="27100" spans="1:6" ht="15.75" customHeight="1">
      <c r="A27100" s="15" t="s">
        <v>1595</v>
      </c>
      <c r="B27100" s="15" t="s">
        <v>1595</v>
      </c>
      <c r="C27100" s="15" t="s">
        <v>1512</v>
      </c>
      <c r="D27100" s="15" t="s">
        <v>1513</v>
      </c>
      <c r="E27100" s="2">
        <v>2795908</v>
      </c>
      <c r="F27100" s="4" t="e">
        <f>IF(B27100=#REF!,"",B27100)</f>
        <v>#REF!</v>
      </c>
    </row>
    <row r="27101" spans="1:6" ht="15.75" customHeight="1">
      <c r="A27101" s="15" t="s">
        <v>1594</v>
      </c>
      <c r="B27101" s="15" t="s">
        <v>1594</v>
      </c>
      <c r="C27101" s="15" t="s">
        <v>1512</v>
      </c>
      <c r="D27101" s="15" t="s">
        <v>1518</v>
      </c>
      <c r="E27101" s="2">
        <v>2795912</v>
      </c>
      <c r="F27101" s="4" t="e">
        <f>IF(B27101=#REF!,"",B27101)</f>
        <v>#REF!</v>
      </c>
    </row>
    <row r="27102" spans="1:6" ht="15.75" customHeight="1">
      <c r="A27102" s="15" t="s">
        <v>2546</v>
      </c>
      <c r="B27102" s="15" t="s">
        <v>2546</v>
      </c>
      <c r="C27102" s="15" t="s">
        <v>1905</v>
      </c>
      <c r="D27102" s="15" t="s">
        <v>1951</v>
      </c>
      <c r="E27102" s="2">
        <v>3461680</v>
      </c>
      <c r="F27102" s="4" t="e">
        <f>IF(B27102=#REF!,"",B27102)</f>
        <v>#REF!</v>
      </c>
    </row>
    <row r="27103" spans="1:6" ht="15.75" customHeight="1">
      <c r="A27103" s="15" t="s">
        <v>8578</v>
      </c>
      <c r="B27103" s="15" t="s">
        <v>8578</v>
      </c>
      <c r="C27103" s="15" t="s">
        <v>8028</v>
      </c>
      <c r="D27103" s="15" t="s">
        <v>8029</v>
      </c>
      <c r="E27103" s="2">
        <v>2905560</v>
      </c>
      <c r="F27103" s="4" t="e">
        <f>IF(B27103=#REF!,"",B27103)</f>
        <v>#REF!</v>
      </c>
    </row>
    <row r="27104" spans="1:6" ht="15.75" customHeight="1">
      <c r="A27104" s="15" t="s">
        <v>1593</v>
      </c>
      <c r="B27104" s="15" t="s">
        <v>1593</v>
      </c>
      <c r="C27104" s="15" t="s">
        <v>1512</v>
      </c>
      <c r="D27104" s="15" t="s">
        <v>1518</v>
      </c>
      <c r="E27104" s="2">
        <v>2795930</v>
      </c>
      <c r="F27104" s="4" t="e">
        <f>IF(B27104=#REF!,"",B27104)</f>
        <v>#REF!</v>
      </c>
    </row>
    <row r="27105" spans="1:6" ht="15.75" customHeight="1">
      <c r="A27105" s="15" t="s">
        <v>28861</v>
      </c>
      <c r="B27105" s="15" t="s">
        <v>28861</v>
      </c>
      <c r="C27105" s="15" t="s">
        <v>27788</v>
      </c>
      <c r="D27105" s="15" t="s">
        <v>27856</v>
      </c>
      <c r="E27105" s="2">
        <v>5775782</v>
      </c>
      <c r="F27105" s="4" t="e">
        <f>IF(B27105=#REF!,"",B27105)</f>
        <v>#REF!</v>
      </c>
    </row>
    <row r="27106" spans="1:6" ht="15.75" customHeight="1">
      <c r="A27106" s="16" t="s">
        <v>8577</v>
      </c>
      <c r="B27106" s="15" t="s">
        <v>8577</v>
      </c>
      <c r="C27106" s="16" t="s">
        <v>8028</v>
      </c>
      <c r="D27106" s="16" t="s">
        <v>8031</v>
      </c>
      <c r="E27106" s="2">
        <v>2905826</v>
      </c>
      <c r="F27106" s="4" t="str">
        <f>IF(B27106=B27105,"",B27106)</f>
        <v>Herrenberg</v>
      </c>
    </row>
    <row r="27107" spans="1:6" ht="15.75" customHeight="1">
      <c r="A27107" s="16" t="str">
        <f ca="1">IFERROR(__xludf.DUMMYFUNCTION("GOOGLETRANSLATE(B30035,""en"",""pt"")"),"HÉROUVILLE-SANT-CLAIR")</f>
        <v>HÉROUVILLE-SANT-CLAIR</v>
      </c>
      <c r="B27107" s="20" t="s">
        <v>32596</v>
      </c>
      <c r="C27107" s="20" t="s">
        <v>7052</v>
      </c>
      <c r="D27107" s="20" t="s">
        <v>7068</v>
      </c>
      <c r="E27107" s="10">
        <v>3013403</v>
      </c>
      <c r="F27107" s="4" t="str">
        <f>IF(B27107=B27106,"",B27107)</f>
        <v>Hérouville-Saint-Clair</v>
      </c>
    </row>
    <row r="27108" spans="1:6" ht="15.75" customHeight="1">
      <c r="A27108" s="16" t="str">
        <f ca="1">IFERROR(__xludf.DUMMYFUNCTION("GOOGLETRANSLATE(B37281,""en"",""pt"")"),"Heróica Zitácuaro")</f>
        <v>Heróica Zitácuaro</v>
      </c>
      <c r="B27108" s="20" t="s">
        <v>34766</v>
      </c>
      <c r="C27108" s="20" t="s">
        <v>17707</v>
      </c>
      <c r="D27108" s="20" t="s">
        <v>34727</v>
      </c>
      <c r="E27108" s="10">
        <v>4004885</v>
      </c>
      <c r="F27108" s="4" t="e">
        <f>IF(B27108=#REF!,"",B27108)</f>
        <v>#REF!</v>
      </c>
    </row>
    <row r="27109" spans="1:6" ht="15.75" customHeight="1">
      <c r="A27109" s="16" t="s">
        <v>17970</v>
      </c>
      <c r="B27109" s="15" t="s">
        <v>17970</v>
      </c>
      <c r="C27109" s="16" t="s">
        <v>17707</v>
      </c>
      <c r="D27109" s="16" t="s">
        <v>17740</v>
      </c>
      <c r="E27109" s="2">
        <v>3523466</v>
      </c>
      <c r="F27109" s="4" t="e">
        <f>IF(B27109=#REF!,"",B27109)</f>
        <v>#REF!</v>
      </c>
    </row>
    <row r="27110" spans="1:6" ht="15.75" customHeight="1">
      <c r="A27110" s="16" t="s">
        <v>17969</v>
      </c>
      <c r="B27110" s="15" t="s">
        <v>17969</v>
      </c>
      <c r="C27110" s="16" t="s">
        <v>17707</v>
      </c>
      <c r="D27110" s="16" t="s">
        <v>17732</v>
      </c>
      <c r="E27110" s="2">
        <v>4005143</v>
      </c>
      <c r="F27110" s="4" t="e">
        <f>IF(B27110=#REF!,"",B27110)</f>
        <v>#REF!</v>
      </c>
    </row>
    <row r="27111" spans="1:6" ht="15.75" customHeight="1">
      <c r="A27111" s="16" t="s">
        <v>17968</v>
      </c>
      <c r="B27111" s="15" t="s">
        <v>17968</v>
      </c>
      <c r="C27111" s="16" t="s">
        <v>17707</v>
      </c>
      <c r="D27111" s="16" t="s">
        <v>17844</v>
      </c>
      <c r="E27111" s="2">
        <v>8858114</v>
      </c>
      <c r="F27111" s="4" t="e">
        <f>IF(B27111=#REF!,"",B27111)</f>
        <v>#REF!</v>
      </c>
    </row>
    <row r="27112" spans="1:6" ht="15.75" customHeight="1">
      <c r="A27112" s="16" t="s">
        <v>17967</v>
      </c>
      <c r="B27112" s="15" t="s">
        <v>17967</v>
      </c>
      <c r="C27112" s="16" t="s">
        <v>17707</v>
      </c>
      <c r="D27112" s="16" t="s">
        <v>17732</v>
      </c>
      <c r="E27112" s="2">
        <v>4004887</v>
      </c>
      <c r="F27112" s="4" t="e">
        <f>IF(B27112=#REF!,"",B27112)</f>
        <v>#REF!</v>
      </c>
    </row>
    <row r="27113" spans="1:6" ht="15.75" customHeight="1">
      <c r="A27113" s="16" t="s">
        <v>17966</v>
      </c>
      <c r="B27113" s="15" t="s">
        <v>17966</v>
      </c>
      <c r="C27113" s="16" t="s">
        <v>17707</v>
      </c>
      <c r="D27113" s="16" t="s">
        <v>17708</v>
      </c>
      <c r="E27113" s="2">
        <v>3532964</v>
      </c>
      <c r="F27113" s="4" t="e">
        <f>IF(B27113=#REF!,"",B27113)</f>
        <v>#REF!</v>
      </c>
    </row>
    <row r="27114" spans="1:6" ht="15.75" customHeight="1">
      <c r="A27114" s="15" t="s">
        <v>6238</v>
      </c>
      <c r="B27114" s="15" t="s">
        <v>6238</v>
      </c>
      <c r="C27114" s="15" t="s">
        <v>6209</v>
      </c>
      <c r="D27114" s="15" t="s">
        <v>6210</v>
      </c>
      <c r="E27114" s="2">
        <v>2620425</v>
      </c>
      <c r="F27114" s="4" t="e">
        <f>IF(B27114=#REF!,"",B27114)</f>
        <v>#REF!</v>
      </c>
    </row>
    <row r="27115" spans="1:6" ht="15.75" customHeight="1">
      <c r="A27115" s="15" t="s">
        <v>8576</v>
      </c>
      <c r="B27115" s="15" t="s">
        <v>8576</v>
      </c>
      <c r="C27115" s="15" t="s">
        <v>8028</v>
      </c>
      <c r="D27115" s="15" t="s">
        <v>8029</v>
      </c>
      <c r="E27115" s="2">
        <v>2905891</v>
      </c>
      <c r="F27115" s="4" t="e">
        <f>IF(B27115=#REF!,"",B27115)</f>
        <v>#REF!</v>
      </c>
    </row>
    <row r="27116" spans="1:6" ht="15.75" customHeight="1">
      <c r="A27116" s="15" t="s">
        <v>24501</v>
      </c>
      <c r="B27116" s="15" t="s">
        <v>24501</v>
      </c>
      <c r="C27116" s="15" t="s">
        <v>24200</v>
      </c>
      <c r="D27116" s="15" t="s">
        <v>24249</v>
      </c>
      <c r="E27116" s="2">
        <v>3120811</v>
      </c>
      <c r="F27116" s="4" t="e">
        <f>IF(B27116=#REF!,"",B27116)</f>
        <v>#REF!</v>
      </c>
    </row>
    <row r="27117" spans="1:6" ht="15.75" customHeight="1">
      <c r="A27117" s="16" t="s">
        <v>8575</v>
      </c>
      <c r="B27117" s="15" t="s">
        <v>8575</v>
      </c>
      <c r="C27117" s="16" t="s">
        <v>8028</v>
      </c>
      <c r="D27117" s="16" t="s">
        <v>8036</v>
      </c>
      <c r="E27117" s="2">
        <v>2905904</v>
      </c>
      <c r="F27117" s="4" t="e">
        <f>IF(B27117=#REF!,"",B27117)</f>
        <v>#REF!</v>
      </c>
    </row>
    <row r="27118" spans="1:6" ht="15.75" customHeight="1">
      <c r="A27118" s="16" t="s">
        <v>17965</v>
      </c>
      <c r="B27118" s="15" t="s">
        <v>17965</v>
      </c>
      <c r="C27118" s="16" t="s">
        <v>17707</v>
      </c>
      <c r="D27118" s="16" t="s">
        <v>17732</v>
      </c>
      <c r="E27118" s="2">
        <v>4004898</v>
      </c>
      <c r="F27118" s="4" t="e">
        <f>IF(B27118=#REF!,"",B27118)</f>
        <v>#REF!</v>
      </c>
    </row>
    <row r="27119" spans="1:6" ht="15.75" customHeight="1">
      <c r="A27119" s="16" t="s">
        <v>28859</v>
      </c>
      <c r="B27119" s="15" t="s">
        <v>28860</v>
      </c>
      <c r="C27119" s="16" t="s">
        <v>27788</v>
      </c>
      <c r="D27119" s="16" t="s">
        <v>27801</v>
      </c>
      <c r="E27119" s="2">
        <v>5356521</v>
      </c>
      <c r="F27119" s="4" t="e">
        <f>IF(B27119=#REF!,"",B27119)</f>
        <v>#REF!</v>
      </c>
    </row>
    <row r="27120" spans="1:6" ht="15.75" customHeight="1">
      <c r="A27120" s="15" t="s">
        <v>20781</v>
      </c>
      <c r="B27120" s="15" t="s">
        <v>20781</v>
      </c>
      <c r="C27120" s="15" t="s">
        <v>20598</v>
      </c>
      <c r="D27120" s="15" t="s">
        <v>20599</v>
      </c>
      <c r="E27120" s="2">
        <v>1711829</v>
      </c>
      <c r="F27120" s="4" t="e">
        <f>IF(B27120=#REF!,"",B27120)</f>
        <v>#REF!</v>
      </c>
    </row>
    <row r="27121" spans="1:6" ht="15.75" customHeight="1">
      <c r="A27121" s="16" t="s">
        <v>28857</v>
      </c>
      <c r="B27121" s="15" t="s">
        <v>28858</v>
      </c>
      <c r="C27121" s="16" t="s">
        <v>27788</v>
      </c>
      <c r="D27121" s="16" t="s">
        <v>27836</v>
      </c>
      <c r="E27121" s="2">
        <v>5193309</v>
      </c>
      <c r="F27121" s="4" t="e">
        <f>IF(B27121=#REF!,"",B27121)</f>
        <v>#REF!</v>
      </c>
    </row>
    <row r="27122" spans="1:6" ht="15.75" customHeight="1">
      <c r="A27122" s="16" t="s">
        <v>28856</v>
      </c>
      <c r="B27122" s="15" t="s">
        <v>28856</v>
      </c>
      <c r="C27122" s="16" t="s">
        <v>27788</v>
      </c>
      <c r="D27122" s="16" t="s">
        <v>27820</v>
      </c>
      <c r="E27122" s="2">
        <v>5731070</v>
      </c>
      <c r="F27122" s="4" t="e">
        <f>IF(B27122=#REF!,"",B27122)</f>
        <v>#REF!</v>
      </c>
    </row>
    <row r="27123" spans="1:6" ht="15.75" customHeight="1">
      <c r="A27123" s="16" t="s">
        <v>23909</v>
      </c>
      <c r="B27123" s="15" t="s">
        <v>23909</v>
      </c>
      <c r="C27123" s="16" t="s">
        <v>23842</v>
      </c>
      <c r="D27123" s="16" t="s">
        <v>23847</v>
      </c>
      <c r="E27123" s="2">
        <v>3366880</v>
      </c>
      <c r="F27123" s="4" t="e">
        <f>IF(B27123=#REF!,"",B27123)</f>
        <v>#REF!</v>
      </c>
    </row>
    <row r="27124" spans="1:6" ht="15.75" customHeight="1">
      <c r="A27124" s="15" t="s">
        <v>25271</v>
      </c>
      <c r="B27124" s="15" t="s">
        <v>25271</v>
      </c>
      <c r="C27124" s="15" t="s">
        <v>25237</v>
      </c>
      <c r="D27124" s="15" t="s">
        <v>25272</v>
      </c>
      <c r="E27124" s="2">
        <v>2660365</v>
      </c>
      <c r="F27124" s="4" t="e">
        <f>IF(B27124=#REF!,"",B27124)</f>
        <v>#REF!</v>
      </c>
    </row>
    <row r="27125" spans="1:6" ht="15.75" customHeight="1">
      <c r="A27125" s="15" t="s">
        <v>8574</v>
      </c>
      <c r="B27125" s="15" t="s">
        <v>8574</v>
      </c>
      <c r="C27125" s="15" t="s">
        <v>8028</v>
      </c>
      <c r="D27125" s="15" t="s">
        <v>8029</v>
      </c>
      <c r="E27125" s="2">
        <v>2906121</v>
      </c>
      <c r="F27125" s="4" t="e">
        <f>IF(B27125=#REF!,"",B27125)</f>
        <v>#REF!</v>
      </c>
    </row>
    <row r="27126" spans="1:6" ht="15.75" customHeight="1">
      <c r="A27126" s="15" t="s">
        <v>1592</v>
      </c>
      <c r="B27126" s="15" t="s">
        <v>1592</v>
      </c>
      <c r="C27126" s="15" t="s">
        <v>1512</v>
      </c>
      <c r="D27126" s="15" t="s">
        <v>1513</v>
      </c>
      <c r="E27126" s="2">
        <v>2796009</v>
      </c>
      <c r="F27126" s="4" t="e">
        <f>IF(B27126=#REF!,"",B27126)</f>
        <v>#REF!</v>
      </c>
    </row>
    <row r="27127" spans="1:6" ht="15.75" customHeight="1">
      <c r="A27127" s="15" t="s">
        <v>1591</v>
      </c>
      <c r="B27127" s="15" t="s">
        <v>1591</v>
      </c>
      <c r="C27127" s="15" t="s">
        <v>1512</v>
      </c>
      <c r="D27127" s="15" t="s">
        <v>1513</v>
      </c>
      <c r="E27127" s="2">
        <v>2796012</v>
      </c>
      <c r="F27127" s="4" t="e">
        <f>IF(B27127=#REF!,"",B27127)</f>
        <v>#REF!</v>
      </c>
    </row>
    <row r="27128" spans="1:6" ht="15.75" customHeight="1">
      <c r="A27128" s="15" t="s">
        <v>28855</v>
      </c>
      <c r="B27128" s="15" t="s">
        <v>28855</v>
      </c>
      <c r="C27128" s="15" t="s">
        <v>27788</v>
      </c>
      <c r="D27128" s="15" t="s">
        <v>27792</v>
      </c>
      <c r="E27128" s="2">
        <v>5523074</v>
      </c>
      <c r="F27128" s="4" t="e">
        <f>IF(B27128=#REF!,"",B27128)</f>
        <v>#REF!</v>
      </c>
    </row>
    <row r="27129" spans="1:6" ht="15.75" customHeight="1">
      <c r="A27129" s="15" t="s">
        <v>5683</v>
      </c>
      <c r="B27129" s="15" t="s">
        <v>5683</v>
      </c>
      <c r="C27129" s="15" t="s">
        <v>5665</v>
      </c>
      <c r="D27129" s="15" t="s">
        <v>5683</v>
      </c>
      <c r="E27129" s="2">
        <v>3623486</v>
      </c>
      <c r="F27129" s="4" t="e">
        <f>IF(B27129=#REF!,"",B27129)</f>
        <v>#REF!</v>
      </c>
    </row>
    <row r="27130" spans="1:6" ht="15.75" customHeight="1">
      <c r="A27130" s="15" t="s">
        <v>8573</v>
      </c>
      <c r="B27130" s="15" t="s">
        <v>8573</v>
      </c>
      <c r="C27130" s="15" t="s">
        <v>8028</v>
      </c>
      <c r="D27130" s="15" t="s">
        <v>8029</v>
      </c>
      <c r="E27130" s="2">
        <v>2906152</v>
      </c>
      <c r="F27130" s="4" t="e">
        <f>IF(B27130=#REF!,"",B27130)</f>
        <v>#REF!</v>
      </c>
    </row>
    <row r="27131" spans="1:6" ht="15.75" customHeight="1">
      <c r="A27131" s="15" t="s">
        <v>28853</v>
      </c>
      <c r="B27131" s="15" t="s">
        <v>28854</v>
      </c>
      <c r="C27131" s="15" t="s">
        <v>27788</v>
      </c>
      <c r="D27131" s="15" t="s">
        <v>27801</v>
      </c>
      <c r="E27131" s="2">
        <v>5356451</v>
      </c>
      <c r="F27131" s="4" t="e">
        <f>IF(B27131=#REF!,"",B27131)</f>
        <v>#REF!</v>
      </c>
    </row>
    <row r="27132" spans="1:6" ht="15.75" customHeight="1">
      <c r="A27132" s="16" t="s">
        <v>18538</v>
      </c>
      <c r="B27132" s="15" t="s">
        <v>18538</v>
      </c>
      <c r="C27132" s="16" t="s">
        <v>2921</v>
      </c>
      <c r="D27132" s="16" t="s">
        <v>18539</v>
      </c>
      <c r="E27132" s="2">
        <v>3199394</v>
      </c>
      <c r="F27132" s="4" t="e">
        <f>IF(B27132=#REF!,"",B27132)</f>
        <v>#REF!</v>
      </c>
    </row>
    <row r="27133" spans="1:6" ht="15.75" customHeight="1">
      <c r="A27133" s="15" t="s">
        <v>8572</v>
      </c>
      <c r="B27133" s="15" t="s">
        <v>8572</v>
      </c>
      <c r="C27133" s="15" t="s">
        <v>8028</v>
      </c>
      <c r="D27133" s="15" t="s">
        <v>8050</v>
      </c>
      <c r="E27133" s="2">
        <v>2906199</v>
      </c>
      <c r="F27133" s="4" t="e">
        <f>IF(B27133=#REF!,"",B27133)</f>
        <v>#REF!</v>
      </c>
    </row>
    <row r="27134" spans="1:6" ht="15.75" customHeight="1">
      <c r="A27134" s="15" t="s">
        <v>7400</v>
      </c>
      <c r="B27134" s="15" t="s">
        <v>7400</v>
      </c>
      <c r="C27134" s="15" t="s">
        <v>7052</v>
      </c>
      <c r="D27134" s="15" t="s">
        <v>7058</v>
      </c>
      <c r="E27134" s="2">
        <v>3013477</v>
      </c>
      <c r="F27134" s="4" t="str">
        <f>IF(B27134=B27133,"",B27134)</f>
        <v>Herblay</v>
      </c>
    </row>
    <row r="27135" spans="1:6" ht="15.75" customHeight="1">
      <c r="A27135" s="16" t="str">
        <f ca="1">IFERROR(__xludf.DUMMYFUNCTION("GOOGLETRANSLATE(B23083,""en"",""pt"")"),"Herāt")</f>
        <v>Herāt</v>
      </c>
      <c r="B27135" s="20" t="s">
        <v>31131</v>
      </c>
      <c r="C27135" s="20" t="s">
        <v>8</v>
      </c>
      <c r="D27135" s="20" t="s">
        <v>51</v>
      </c>
      <c r="E27135" s="10">
        <v>1140026</v>
      </c>
      <c r="F27135" s="4" t="str">
        <f>IF(B27135=B27134,"",B27135)</f>
        <v>Herāt</v>
      </c>
    </row>
    <row r="27136" spans="1:6" ht="15.75" customHeight="1">
      <c r="A27136" s="16" t="s">
        <v>17963</v>
      </c>
      <c r="B27136" s="15" t="s">
        <v>17964</v>
      </c>
      <c r="C27136" s="16" t="s">
        <v>17707</v>
      </c>
      <c r="D27136" s="16" t="s">
        <v>17761</v>
      </c>
      <c r="E27136" s="2">
        <v>4004885</v>
      </c>
      <c r="F27136" s="4" t="str">
        <f>IF(B27136=B27135,"",B27136)</f>
        <v>HerÃ³ica ZitÃ¡cuaro</v>
      </c>
    </row>
    <row r="27137" spans="1:6" ht="15.75" customHeight="1">
      <c r="A27137" s="15" t="s">
        <v>49</v>
      </c>
      <c r="B27137" s="15" t="s">
        <v>50</v>
      </c>
      <c r="C27137" s="15" t="s">
        <v>8</v>
      </c>
      <c r="D27137" s="15" t="s">
        <v>51</v>
      </c>
      <c r="E27137" s="2">
        <v>1140026</v>
      </c>
      <c r="F27137" s="4" t="e">
        <f>IF(B27137=#REF!,"",B27137)</f>
        <v>#REF!</v>
      </c>
    </row>
    <row r="27138" spans="1:6" ht="15.75" customHeight="1">
      <c r="A27138" s="16" t="s">
        <v>8570</v>
      </c>
      <c r="B27138" s="15" t="s">
        <v>8571</v>
      </c>
      <c r="C27138" s="16" t="s">
        <v>8028</v>
      </c>
      <c r="D27138" s="16" t="s">
        <v>8050</v>
      </c>
      <c r="E27138" s="2">
        <v>2906268</v>
      </c>
      <c r="F27138" s="4" t="e">
        <f>IF(B27138=#REF!,"",B27138)</f>
        <v>#REF!</v>
      </c>
    </row>
    <row r="27139" spans="1:6" ht="15.75" customHeight="1">
      <c r="A27139" s="15" t="s">
        <v>4743</v>
      </c>
      <c r="B27139" s="15" t="s">
        <v>4743</v>
      </c>
      <c r="C27139" s="15" t="s">
        <v>4487</v>
      </c>
      <c r="D27139" s="15" t="s">
        <v>4492</v>
      </c>
      <c r="E27139" s="2">
        <v>1808336</v>
      </c>
      <c r="F27139" s="4" t="e">
        <f>IF(B27139=#REF!,"",B27139)</f>
        <v>#REF!</v>
      </c>
    </row>
    <row r="27140" spans="1:6" ht="15.75" customHeight="1">
      <c r="A27140" s="15" t="s">
        <v>4742</v>
      </c>
      <c r="B27140" s="15" t="s">
        <v>4742</v>
      </c>
      <c r="C27140" s="15" t="s">
        <v>4487</v>
      </c>
      <c r="D27140" s="15" t="s">
        <v>4518</v>
      </c>
      <c r="E27140" s="2">
        <v>2034226</v>
      </c>
      <c r="F27140" s="4" t="e">
        <f>IF(B27140=#REF!,"",B27140)</f>
        <v>#REF!</v>
      </c>
    </row>
    <row r="27141" spans="1:6" ht="15.75" customHeight="1">
      <c r="A27141" s="16" t="s">
        <v>8568</v>
      </c>
      <c r="B27141" s="15" t="s">
        <v>8569</v>
      </c>
      <c r="C27141" s="16" t="s">
        <v>8028</v>
      </c>
      <c r="D27141" s="16" t="s">
        <v>8040</v>
      </c>
      <c r="E27141" s="2">
        <v>3209083</v>
      </c>
      <c r="F27141" s="4" t="e">
        <f>IF(B27141=#REF!,"",B27141)</f>
        <v>#REF!</v>
      </c>
    </row>
    <row r="27142" spans="1:6" ht="15.75" customHeight="1">
      <c r="A27142" s="16" t="s">
        <v>8567</v>
      </c>
      <c r="B27142" s="15" t="s">
        <v>8567</v>
      </c>
      <c r="C27142" s="16" t="s">
        <v>8028</v>
      </c>
      <c r="D27142" s="16" t="s">
        <v>8070</v>
      </c>
      <c r="E27142" s="2">
        <v>2906331</v>
      </c>
      <c r="F27142" s="4" t="e">
        <f>IF(B27142=#REF!,"",B27142)</f>
        <v>#REF!</v>
      </c>
    </row>
    <row r="27143" spans="1:6" ht="15.75" customHeight="1">
      <c r="A27143" s="16" t="s">
        <v>23908</v>
      </c>
      <c r="B27143" s="15" t="s">
        <v>23908</v>
      </c>
      <c r="C27143" s="16" t="s">
        <v>23842</v>
      </c>
      <c r="D27143" s="16" t="s">
        <v>23845</v>
      </c>
      <c r="E27143" s="2">
        <v>996918</v>
      </c>
      <c r="F27143" s="4" t="e">
        <f>IF(B27143=#REF!,"",B27143)</f>
        <v>#REF!</v>
      </c>
    </row>
    <row r="27144" spans="1:6" ht="15.75" customHeight="1">
      <c r="A27144" s="15" t="s">
        <v>8566</v>
      </c>
      <c r="B27144" s="15" t="s">
        <v>8566</v>
      </c>
      <c r="C27144" s="15" t="s">
        <v>8028</v>
      </c>
      <c r="D27144" s="15" t="s">
        <v>8029</v>
      </c>
      <c r="E27144" s="2">
        <v>2906376</v>
      </c>
      <c r="F27144" s="4" t="e">
        <f>IF(B27144=#REF!,"",B27144)</f>
        <v>#REF!</v>
      </c>
    </row>
    <row r="27145" spans="1:6" ht="15.75" customHeight="1">
      <c r="A27145" s="15" t="s">
        <v>366</v>
      </c>
      <c r="B27145" s="15" t="s">
        <v>366</v>
      </c>
      <c r="C27145" s="15" t="s">
        <v>153</v>
      </c>
      <c r="D27145" s="15" t="s">
        <v>253</v>
      </c>
      <c r="E27145" s="2">
        <v>2493918</v>
      </c>
      <c r="F27145" s="4" t="str">
        <f>IF(B27145=B27144,"",B27145)</f>
        <v>Hennaya</v>
      </c>
    </row>
    <row r="27146" spans="1:6" ht="15.75" customHeight="1">
      <c r="A27146" s="16" t="str">
        <f ca="1">IFERROR(__xludf.DUMMYFUNCTION("GOOGLETRANSLATE(B30037,""en"",""pt"")"),"Hénin-Beaumont")</f>
        <v>Hénin-Beaumont</v>
      </c>
      <c r="B27146" s="20" t="s">
        <v>32597</v>
      </c>
      <c r="C27146" s="20" t="s">
        <v>7052</v>
      </c>
      <c r="D27146" s="20" t="s">
        <v>7078</v>
      </c>
      <c r="E27146" s="10">
        <v>3013525</v>
      </c>
      <c r="F27146" s="4" t="str">
        <f>IF(B27146=B27145,"",B27146)</f>
        <v>Hénin-Beaumont</v>
      </c>
    </row>
    <row r="27147" spans="1:6" ht="15.75" customHeight="1">
      <c r="A27147" s="16" t="s">
        <v>26967</v>
      </c>
      <c r="B27147" s="15" t="s">
        <v>26968</v>
      </c>
      <c r="C27147" s="16" t="s">
        <v>26870</v>
      </c>
      <c r="D27147" s="16" t="s">
        <v>26969</v>
      </c>
      <c r="E27147" s="2">
        <v>708878</v>
      </c>
      <c r="F27147" s="4" t="str">
        <f>IF(B27147=B27146,"",B27147)</f>
        <v>Henichesâ€™k</v>
      </c>
    </row>
    <row r="27148" spans="1:6" ht="15.75" customHeight="1">
      <c r="A27148" s="16" t="str">
        <f ca="1">IFERROR(__xludf.DUMMYFUNCTION("GOOGLETRANSLATE(B42655,""en"",""pt"")"),"Heniches'k")</f>
        <v>Heniches'k</v>
      </c>
      <c r="B27148" s="20" t="s">
        <v>36036</v>
      </c>
      <c r="C27148" s="20" t="s">
        <v>26870</v>
      </c>
      <c r="D27148" s="20" t="s">
        <v>26969</v>
      </c>
      <c r="E27148" s="10">
        <v>708878</v>
      </c>
      <c r="F27148" s="4" t="e">
        <f>IF(B27148=#REF!,"",B27148)</f>
        <v>#REF!</v>
      </c>
    </row>
    <row r="27149" spans="1:6" ht="15.75" customHeight="1">
      <c r="A27149" s="16" t="s">
        <v>4741</v>
      </c>
      <c r="B27149" s="15" t="s">
        <v>4741</v>
      </c>
      <c r="C27149" s="16" t="s">
        <v>4487</v>
      </c>
      <c r="D27149" s="16" t="s">
        <v>4495</v>
      </c>
      <c r="E27149" s="2">
        <v>1808370</v>
      </c>
      <c r="F27149" s="4" t="e">
        <f>IF(B27149=#REF!,"",B27149)</f>
        <v>#REF!</v>
      </c>
    </row>
    <row r="27150" spans="1:6" ht="15.75" customHeight="1">
      <c r="A27150" s="15" t="s">
        <v>4740</v>
      </c>
      <c r="B27150" s="15" t="s">
        <v>4740</v>
      </c>
      <c r="C27150" s="15" t="s">
        <v>4487</v>
      </c>
      <c r="D27150" s="15" t="s">
        <v>4529</v>
      </c>
      <c r="E27150" s="2">
        <v>1808392</v>
      </c>
      <c r="F27150" s="4" t="e">
        <f>IF(B27150=#REF!,"",B27150)</f>
        <v>#REF!</v>
      </c>
    </row>
    <row r="27151" spans="1:6" ht="15.75" customHeight="1">
      <c r="A27151" s="15" t="s">
        <v>18995</v>
      </c>
      <c r="B27151" s="15" t="s">
        <v>18995</v>
      </c>
      <c r="C27151" s="15" t="s">
        <v>18862</v>
      </c>
      <c r="D27151" s="15" t="s">
        <v>18871</v>
      </c>
      <c r="E27151" s="2">
        <v>2754394</v>
      </c>
      <c r="F27151" s="4" t="e">
        <f>IF(B27151=#REF!,"",B27151)</f>
        <v>#REF!</v>
      </c>
    </row>
    <row r="27152" spans="1:6" ht="15.75" customHeight="1">
      <c r="A27152" s="16" t="s">
        <v>25506</v>
      </c>
      <c r="B27152" s="15" t="s">
        <v>25506</v>
      </c>
      <c r="C27152" s="16" t="s">
        <v>25502</v>
      </c>
      <c r="D27152" s="16" t="s">
        <v>25502</v>
      </c>
      <c r="E27152" s="2">
        <v>1676242</v>
      </c>
      <c r="F27152" s="4" t="e">
        <f>IF(B27152=#REF!,"",B27152)</f>
        <v>#REF!</v>
      </c>
    </row>
    <row r="27153" spans="1:6" ht="15.75" customHeight="1">
      <c r="A27153" s="15" t="s">
        <v>23907</v>
      </c>
      <c r="B27153" s="15" t="s">
        <v>23907</v>
      </c>
      <c r="C27153" s="15" t="s">
        <v>23842</v>
      </c>
      <c r="D27153" s="15" t="s">
        <v>23849</v>
      </c>
      <c r="E27153" s="2">
        <v>996930</v>
      </c>
      <c r="F27153" s="4" t="e">
        <f>IF(B27153=#REF!,"",B27153)</f>
        <v>#REF!</v>
      </c>
    </row>
    <row r="27154" spans="1:6" ht="15.75" customHeight="1">
      <c r="A27154" s="16" t="s">
        <v>18993</v>
      </c>
      <c r="B27154" s="15" t="s">
        <v>18994</v>
      </c>
      <c r="C27154" s="16" t="s">
        <v>18862</v>
      </c>
      <c r="D27154" s="16" t="s">
        <v>18868</v>
      </c>
      <c r="E27154" s="2">
        <v>2754408</v>
      </c>
      <c r="F27154" s="4" t="e">
        <f>IF(B27154=#REF!,"",B27154)</f>
        <v>#REF!</v>
      </c>
    </row>
    <row r="27155" spans="1:6" ht="15.75" customHeight="1">
      <c r="A27155" s="16" t="s">
        <v>28852</v>
      </c>
      <c r="B27155" s="15" t="s">
        <v>28852</v>
      </c>
      <c r="C27155" s="16" t="s">
        <v>27788</v>
      </c>
      <c r="D27155" s="16" t="s">
        <v>27957</v>
      </c>
      <c r="E27155" s="2">
        <v>4628735</v>
      </c>
      <c r="F27155" s="4" t="e">
        <f>IF(B27155=#REF!,"",B27155)</f>
        <v>#REF!</v>
      </c>
    </row>
    <row r="27156" spans="1:6" ht="15.75" customHeight="1">
      <c r="A27156" s="16" t="s">
        <v>28851</v>
      </c>
      <c r="B27156" s="15" t="s">
        <v>28851</v>
      </c>
      <c r="C27156" s="16" t="s">
        <v>27788</v>
      </c>
      <c r="D27156" s="16" t="s">
        <v>27909</v>
      </c>
      <c r="E27156" s="2">
        <v>4294494</v>
      </c>
      <c r="F27156" s="4" t="e">
        <f>IF(B27156=#REF!,"",B27156)</f>
        <v>#REF!</v>
      </c>
    </row>
    <row r="27157" spans="1:6" ht="15.75" customHeight="1">
      <c r="A27157" s="15" t="s">
        <v>26542</v>
      </c>
      <c r="B27157" s="15" t="s">
        <v>26543</v>
      </c>
      <c r="C27157" s="15" t="s">
        <v>26201</v>
      </c>
      <c r="D27157" s="15" t="s">
        <v>26276</v>
      </c>
      <c r="E27157" s="2">
        <v>745664</v>
      </c>
      <c r="F27157" s="4" t="e">
        <f>IF(B27157=#REF!,"",B27157)</f>
        <v>#REF!</v>
      </c>
    </row>
    <row r="27158" spans="1:6" ht="15.75" customHeight="1">
      <c r="A27158" s="15" t="s">
        <v>24947</v>
      </c>
      <c r="B27158" s="15" t="s">
        <v>24947</v>
      </c>
      <c r="C27158" s="15" t="s">
        <v>24924</v>
      </c>
      <c r="D27158" s="15" t="s">
        <v>6944</v>
      </c>
      <c r="E27158" s="2">
        <v>1244397</v>
      </c>
      <c r="F27158" s="4" t="e">
        <f>IF(B27158=#REF!,"",B27158)</f>
        <v>#REF!</v>
      </c>
    </row>
    <row r="27159" spans="1:6" ht="15.75" customHeight="1">
      <c r="A27159" s="16" t="s">
        <v>28850</v>
      </c>
      <c r="B27159" s="15" t="s">
        <v>28850</v>
      </c>
      <c r="C27159" s="16" t="s">
        <v>27788</v>
      </c>
      <c r="D27159" s="16" t="s">
        <v>27819</v>
      </c>
      <c r="E27159" s="2">
        <v>5120478</v>
      </c>
      <c r="F27159" s="4" t="e">
        <f>IF(B27159=#REF!,"",B27159)</f>
        <v>#REF!</v>
      </c>
    </row>
    <row r="27160" spans="1:6" ht="15.75" customHeight="1">
      <c r="A27160" s="16" t="s">
        <v>8565</v>
      </c>
      <c r="B27160" s="15" t="s">
        <v>8565</v>
      </c>
      <c r="C27160" s="16" t="s">
        <v>8028</v>
      </c>
      <c r="D27160" s="16" t="s">
        <v>8034</v>
      </c>
      <c r="E27160" s="2">
        <v>2906530</v>
      </c>
      <c r="F27160" s="4" t="e">
        <f>IF(B27160=#REF!,"",B27160)</f>
        <v>#REF!</v>
      </c>
    </row>
    <row r="27161" spans="1:6" ht="15.75" customHeight="1">
      <c r="A27161" s="16" t="s">
        <v>28848</v>
      </c>
      <c r="B27161" s="15" t="s">
        <v>28849</v>
      </c>
      <c r="C27161" s="16" t="s">
        <v>27788</v>
      </c>
      <c r="D27161" s="16" t="s">
        <v>27801</v>
      </c>
      <c r="E27161" s="2">
        <v>5356277</v>
      </c>
      <c r="F27161" s="4" t="e">
        <f>IF(B27161=#REF!,"",B27161)</f>
        <v>#REF!</v>
      </c>
    </row>
    <row r="27162" spans="1:6" ht="15.75" customHeight="1">
      <c r="A27162" s="15" t="s">
        <v>8564</v>
      </c>
      <c r="B27162" s="15" t="s">
        <v>8564</v>
      </c>
      <c r="C27162" s="15" t="s">
        <v>8028</v>
      </c>
      <c r="D27162" s="15" t="s">
        <v>8029</v>
      </c>
      <c r="E27162" s="2">
        <v>2906595</v>
      </c>
      <c r="F27162" s="4" t="e">
        <f>IF(B27162=#REF!,"",B27162)</f>
        <v>#REF!</v>
      </c>
    </row>
    <row r="27163" spans="1:6" ht="15.75" customHeight="1">
      <c r="A27163" s="15" t="s">
        <v>7398</v>
      </c>
      <c r="B27163" s="15" t="s">
        <v>7399</v>
      </c>
      <c r="C27163" s="15" t="s">
        <v>7052</v>
      </c>
      <c r="D27163" s="15" t="s">
        <v>7078</v>
      </c>
      <c r="E27163" s="2">
        <v>3013549</v>
      </c>
      <c r="F27163" s="4" t="e">
        <f>IF(B27163=#REF!,"",B27163)</f>
        <v>#REF!</v>
      </c>
    </row>
    <row r="27164" spans="1:6" ht="15.75" customHeight="1">
      <c r="A27164" s="16" t="s">
        <v>6962</v>
      </c>
      <c r="B27164" s="15" t="s">
        <v>6963</v>
      </c>
      <c r="C27164" s="16" t="s">
        <v>6948</v>
      </c>
      <c r="D27164" s="16" t="s">
        <v>6951</v>
      </c>
      <c r="E27164" s="2">
        <v>658225</v>
      </c>
      <c r="F27164" s="4" t="str">
        <f>IF(B27164=B27163,"",B27164)</f>
        <v>Helsinki</v>
      </c>
    </row>
    <row r="27165" spans="1:6" ht="15.75" customHeight="1">
      <c r="A27165" s="16" t="str">
        <f ca="1">IFERROR(__xludf.DUMMYFUNCTION("GOOGLETRANSLATE(B28436,""en"",""pt"")"),"Helsingør")</f>
        <v>Helsingør</v>
      </c>
      <c r="B27165" s="20" t="s">
        <v>32164</v>
      </c>
      <c r="C27165" s="20" t="s">
        <v>6209</v>
      </c>
      <c r="D27165" s="20" t="s">
        <v>6216</v>
      </c>
      <c r="E27165" s="10">
        <v>2620473</v>
      </c>
      <c r="F27165" s="4" t="e">
        <f>IF(B27165=#REF!,"",B27165)</f>
        <v>#REF!</v>
      </c>
    </row>
    <row r="27166" spans="1:6" ht="15.75" customHeight="1">
      <c r="A27166" s="16" t="s">
        <v>25134</v>
      </c>
      <c r="B27166" s="15" t="s">
        <v>25134</v>
      </c>
      <c r="C27166" s="16" t="s">
        <v>25077</v>
      </c>
      <c r="D27166" s="16" t="s">
        <v>25078</v>
      </c>
      <c r="E27166" s="2">
        <v>2706767</v>
      </c>
      <c r="F27166" s="4" t="str">
        <f>IF(B27166=B27165,"",B27166)</f>
        <v>Helsingborg</v>
      </c>
    </row>
    <row r="27167" spans="1:6" ht="15.75" customHeight="1">
      <c r="A27167" s="15" t="s">
        <v>6236</v>
      </c>
      <c r="B27167" s="15" t="s">
        <v>6237</v>
      </c>
      <c r="C27167" s="15" t="s">
        <v>6209</v>
      </c>
      <c r="D27167" s="15" t="s">
        <v>6216</v>
      </c>
      <c r="E27167" s="2">
        <v>2620473</v>
      </c>
      <c r="F27167" s="4" t="e">
        <f>IF(B27167=#REF!,"",B27167)</f>
        <v>#REF!</v>
      </c>
    </row>
    <row r="27168" spans="1:6" ht="15.75" customHeight="1">
      <c r="A27168" s="15" t="s">
        <v>4739</v>
      </c>
      <c r="B27168" s="15" t="s">
        <v>4739</v>
      </c>
      <c r="C27168" s="15" t="s">
        <v>4487</v>
      </c>
      <c r="D27168" s="15" t="s">
        <v>4518</v>
      </c>
      <c r="E27168" s="2">
        <v>2036933</v>
      </c>
      <c r="F27168" s="4" t="e">
        <f>IF(B27168=#REF!,"",B27168)</f>
        <v>#REF!</v>
      </c>
    </row>
    <row r="27169" spans="1:6" ht="15.75" customHeight="1">
      <c r="A27169" s="16" t="s">
        <v>8563</v>
      </c>
      <c r="B27169" s="15" t="s">
        <v>8563</v>
      </c>
      <c r="C27169" s="16" t="s">
        <v>8028</v>
      </c>
      <c r="D27169" s="16" t="s">
        <v>8034</v>
      </c>
      <c r="E27169" s="2">
        <v>2906676</v>
      </c>
      <c r="F27169" s="4" t="e">
        <f>IF(B27169=#REF!,"",B27169)</f>
        <v>#REF!</v>
      </c>
    </row>
    <row r="27170" spans="1:6" ht="15.75" customHeight="1">
      <c r="A27170" s="15" t="s">
        <v>18992</v>
      </c>
      <c r="B27170" s="15" t="s">
        <v>18992</v>
      </c>
      <c r="C27170" s="15" t="s">
        <v>18862</v>
      </c>
      <c r="D27170" s="15" t="s">
        <v>18888</v>
      </c>
      <c r="E27170" s="2">
        <v>2754447</v>
      </c>
      <c r="F27170" s="4" t="e">
        <f>IF(B27170=#REF!,"",B27170)</f>
        <v>#REF!</v>
      </c>
    </row>
    <row r="27171" spans="1:6" ht="15.75" customHeight="1">
      <c r="A27171" s="15" t="s">
        <v>17362</v>
      </c>
      <c r="B27171" s="15" t="s">
        <v>17363</v>
      </c>
      <c r="C27171" s="15" t="s">
        <v>17292</v>
      </c>
      <c r="D27171" s="15" t="s">
        <v>17297</v>
      </c>
      <c r="E27171" s="2">
        <v>1076105</v>
      </c>
      <c r="F27171" s="4" t="str">
        <f>IF(B27171=B27170,"",B27171)</f>
        <v>Hell-Ville</v>
      </c>
    </row>
    <row r="27172" spans="1:6" ht="15.75" customHeight="1">
      <c r="A27172" s="16" t="str">
        <f ca="1">IFERROR(__xludf.DUMMYFUNCTION("GOOGLETRANSLATE(B29111,""en"",""pt"")"),"Hellín")</f>
        <v>Hellín</v>
      </c>
      <c r="B27172" s="20" t="s">
        <v>32380</v>
      </c>
      <c r="C27172" s="20" t="s">
        <v>24200</v>
      </c>
      <c r="D27172" s="20" t="s">
        <v>24218</v>
      </c>
      <c r="E27172" s="10">
        <v>2516797</v>
      </c>
      <c r="F27172" s="4" t="e">
        <f>IF(B27172=#REF!,"",B27172)</f>
        <v>#REF!</v>
      </c>
    </row>
    <row r="27173" spans="1:6" ht="15.75" customHeight="1">
      <c r="A27173" s="16" t="s">
        <v>18991</v>
      </c>
      <c r="B27173" s="15" t="s">
        <v>18991</v>
      </c>
      <c r="C27173" s="16" t="s">
        <v>18862</v>
      </c>
      <c r="D27173" s="16" t="s">
        <v>18868</v>
      </c>
      <c r="E27173" s="2">
        <v>2754454</v>
      </c>
      <c r="F27173" s="4" t="e">
        <f>IF(B27173=#REF!,"",B27173)</f>
        <v>#REF!</v>
      </c>
    </row>
    <row r="27174" spans="1:6" ht="15.75" customHeight="1">
      <c r="A27174" s="16" t="s">
        <v>8562</v>
      </c>
      <c r="B27174" s="15" t="s">
        <v>8562</v>
      </c>
      <c r="C27174" s="16" t="s">
        <v>8028</v>
      </c>
      <c r="D27174" s="16" t="s">
        <v>8036</v>
      </c>
      <c r="E27174" s="2">
        <v>2906809</v>
      </c>
      <c r="F27174" s="4" t="str">
        <f>IF(B27174=B27173,"",B27174)</f>
        <v>Hellersdorf</v>
      </c>
    </row>
    <row r="27175" spans="1:6" ht="15.75" customHeight="1">
      <c r="A27175" s="15" t="s">
        <v>24499</v>
      </c>
      <c r="B27175" s="15" t="s">
        <v>24500</v>
      </c>
      <c r="C27175" s="15" t="s">
        <v>24200</v>
      </c>
      <c r="D27175" s="15" t="s">
        <v>24218</v>
      </c>
      <c r="E27175" s="2">
        <v>2516797</v>
      </c>
      <c r="F27175" s="4" t="str">
        <f>IF(B27175=B27174,"",B27175)</f>
        <v>HellÃ­n</v>
      </c>
    </row>
    <row r="27176" spans="1:6" ht="15.75" customHeight="1">
      <c r="A27176" s="16" t="str">
        <f ca="1">IFERROR(__xludf.DUMMYFUNCTION("GOOGLETRANSLATE(B28611,""en"",""pt"")"),"Héliopolis")</f>
        <v>Héliopolis</v>
      </c>
      <c r="B27176" s="20" t="s">
        <v>32203</v>
      </c>
      <c r="C27176" s="20" t="s">
        <v>153</v>
      </c>
      <c r="D27176" s="20" t="s">
        <v>296</v>
      </c>
      <c r="E27176" s="10">
        <v>2493956</v>
      </c>
      <c r="F27176" s="4" t="e">
        <f>IF(B27176=#REF!,"",B27176)</f>
        <v>#REF!</v>
      </c>
    </row>
    <row r="27177" spans="1:6" ht="15.75" customHeight="1">
      <c r="A27177" s="15" t="s">
        <v>28847</v>
      </c>
      <c r="B27177" s="15" t="s">
        <v>28847</v>
      </c>
      <c r="C27177" s="15" t="s">
        <v>27788</v>
      </c>
      <c r="D27177" s="15" t="s">
        <v>28023</v>
      </c>
      <c r="E27177" s="2">
        <v>4066811</v>
      </c>
      <c r="F27177" s="4" t="e">
        <f>IF(B27177=#REF!,"",B27177)</f>
        <v>#REF!</v>
      </c>
    </row>
    <row r="27178" spans="1:6" ht="15.75" customHeight="1">
      <c r="A27178" s="16" t="s">
        <v>1590</v>
      </c>
      <c r="B27178" s="15" t="s">
        <v>1590</v>
      </c>
      <c r="C27178" s="16" t="s">
        <v>1512</v>
      </c>
      <c r="D27178" s="16" t="s">
        <v>1513</v>
      </c>
      <c r="E27178" s="2">
        <v>2796132</v>
      </c>
      <c r="F27178" s="4" t="e">
        <f>IF(B27178=#REF!,"",B27178)</f>
        <v>#REF!</v>
      </c>
    </row>
    <row r="27179" spans="1:6" ht="15.75" customHeight="1">
      <c r="A27179" s="15" t="s">
        <v>15948</v>
      </c>
      <c r="B27179" s="15" t="s">
        <v>15948</v>
      </c>
      <c r="C27179" s="15" t="s">
        <v>15704</v>
      </c>
      <c r="D27179" s="15" t="s">
        <v>15729</v>
      </c>
      <c r="E27179" s="2">
        <v>1862912</v>
      </c>
      <c r="F27179" s="4" t="e">
        <f>IF(B27179=#REF!,"",B27179)</f>
        <v>#REF!</v>
      </c>
    </row>
    <row r="27180" spans="1:6" ht="15.75" customHeight="1">
      <c r="A27180" s="16" t="s">
        <v>1588</v>
      </c>
      <c r="B27180" s="15" t="s">
        <v>1589</v>
      </c>
      <c r="C27180" s="16" t="s">
        <v>1512</v>
      </c>
      <c r="D27180" s="16" t="s">
        <v>1513</v>
      </c>
      <c r="E27180" s="2">
        <v>2796153</v>
      </c>
      <c r="F27180" s="4" t="e">
        <f>IF(B27180=#REF!,"",B27180)</f>
        <v>#REF!</v>
      </c>
    </row>
    <row r="27181" spans="1:6" ht="15.75" customHeight="1">
      <c r="A27181" s="15" t="s">
        <v>4738</v>
      </c>
      <c r="B27181" s="15" t="s">
        <v>4738</v>
      </c>
      <c r="C27181" s="15" t="s">
        <v>4487</v>
      </c>
      <c r="D27181" s="15" t="s">
        <v>4505</v>
      </c>
      <c r="E27181" s="2">
        <v>2036959</v>
      </c>
      <c r="F27181" s="4" t="e">
        <f>IF(B27181=#REF!,"",B27181)</f>
        <v>#REF!</v>
      </c>
    </row>
    <row r="27182" spans="1:6" ht="15.75" customHeight="1">
      <c r="A27182" s="16" t="s">
        <v>8561</v>
      </c>
      <c r="B27182" s="15" t="s">
        <v>8561</v>
      </c>
      <c r="C27182" s="16" t="s">
        <v>8028</v>
      </c>
      <c r="D27182" s="16" t="s">
        <v>8029</v>
      </c>
      <c r="E27182" s="2">
        <v>2907201</v>
      </c>
      <c r="F27182" s="4" t="e">
        <f>IF(B27182=#REF!,"",B27182)</f>
        <v>#REF!</v>
      </c>
    </row>
    <row r="27183" spans="1:6" ht="15.75" customHeight="1">
      <c r="A27183" s="15" t="s">
        <v>6960</v>
      </c>
      <c r="B27183" s="15" t="s">
        <v>6960</v>
      </c>
      <c r="C27183" s="15" t="s">
        <v>6948</v>
      </c>
      <c r="D27183" s="15" t="s">
        <v>6961</v>
      </c>
      <c r="E27183" s="2">
        <v>658288</v>
      </c>
      <c r="F27183" s="4" t="e">
        <f>IF(B27183=#REF!,"",B27183)</f>
        <v>#REF!</v>
      </c>
    </row>
    <row r="27184" spans="1:6" ht="15.75" customHeight="1">
      <c r="A27184" s="15" t="s">
        <v>18990</v>
      </c>
      <c r="B27184" s="15" t="s">
        <v>18990</v>
      </c>
      <c r="C27184" s="15" t="s">
        <v>18862</v>
      </c>
      <c r="D27184" s="15" t="s">
        <v>18863</v>
      </c>
      <c r="E27184" s="2">
        <v>2754516</v>
      </c>
      <c r="F27184" s="4" t="e">
        <f>IF(B27184=#REF!,"",B27184)</f>
        <v>#REF!</v>
      </c>
    </row>
    <row r="27185" spans="1:6" ht="15.75" customHeight="1">
      <c r="A27185" s="16" t="s">
        <v>8560</v>
      </c>
      <c r="B27185" s="15" t="s">
        <v>8560</v>
      </c>
      <c r="C27185" s="16" t="s">
        <v>8028</v>
      </c>
      <c r="D27185" s="16" t="s">
        <v>8036</v>
      </c>
      <c r="E27185" s="2">
        <v>2907551</v>
      </c>
      <c r="F27185" s="4" t="e">
        <f>IF(B27185=#REF!,"",B27185)</f>
        <v>#REF!</v>
      </c>
    </row>
    <row r="27186" spans="1:6" ht="15.75" customHeight="1">
      <c r="A27186" s="16" t="s">
        <v>8559</v>
      </c>
      <c r="B27186" s="15" t="s">
        <v>8559</v>
      </c>
      <c r="C27186" s="16" t="s">
        <v>8028</v>
      </c>
      <c r="D27186" s="16" t="s">
        <v>8029</v>
      </c>
      <c r="E27186" s="2">
        <v>2907585</v>
      </c>
      <c r="F27186" s="4" t="e">
        <f>IF(B27186=#REF!,"",B27186)</f>
        <v>#REF!</v>
      </c>
    </row>
    <row r="27187" spans="1:6" ht="15.75" customHeight="1">
      <c r="A27187" s="16" t="s">
        <v>8558</v>
      </c>
      <c r="B27187" s="15" t="s">
        <v>8558</v>
      </c>
      <c r="C27187" s="16" t="s">
        <v>8028</v>
      </c>
      <c r="D27187" s="16" t="s">
        <v>8031</v>
      </c>
      <c r="E27187" s="2">
        <v>2907669</v>
      </c>
      <c r="F27187" s="4" t="e">
        <f>IF(B27187=#REF!,"",B27187)</f>
        <v>#REF!</v>
      </c>
    </row>
    <row r="27188" spans="1:6" ht="15.75" customHeight="1">
      <c r="A27188" s="15" t="s">
        <v>23906</v>
      </c>
      <c r="B27188" s="15" t="s">
        <v>23906</v>
      </c>
      <c r="C27188" s="15" t="s">
        <v>23842</v>
      </c>
      <c r="D27188" s="15" t="s">
        <v>23845</v>
      </c>
      <c r="E27188" s="2">
        <v>997140</v>
      </c>
      <c r="F27188" s="4" t="e">
        <f>IF(B27188=#REF!,"",B27188)</f>
        <v>#REF!</v>
      </c>
    </row>
    <row r="27189" spans="1:6" ht="15.75" customHeight="1">
      <c r="A27189" s="16" t="s">
        <v>8557</v>
      </c>
      <c r="B27189" s="15" t="s">
        <v>8557</v>
      </c>
      <c r="C27189" s="16" t="s">
        <v>8028</v>
      </c>
      <c r="D27189" s="16" t="s">
        <v>8054</v>
      </c>
      <c r="E27189" s="2">
        <v>2907545</v>
      </c>
      <c r="F27189" s="4" t="e">
        <f>IF(B27189=#REF!,"",B27189)</f>
        <v>#REF!</v>
      </c>
    </row>
    <row r="27190" spans="1:6" ht="15.75" customHeight="1">
      <c r="A27190" s="15" t="s">
        <v>4737</v>
      </c>
      <c r="B27190" s="15" t="s">
        <v>4737</v>
      </c>
      <c r="C27190" s="15" t="s">
        <v>4487</v>
      </c>
      <c r="D27190" s="15" t="s">
        <v>4488</v>
      </c>
      <c r="E27190" s="2">
        <v>2036973</v>
      </c>
      <c r="F27190" s="4" t="e">
        <f>IF(B27190=#REF!,"",B27190)</f>
        <v>#REF!</v>
      </c>
    </row>
    <row r="27191" spans="1:6" ht="15.75" customHeight="1">
      <c r="A27191" s="16" t="s">
        <v>8555</v>
      </c>
      <c r="B27191" s="15" t="s">
        <v>8556</v>
      </c>
      <c r="C27191" s="16" t="s">
        <v>8028</v>
      </c>
      <c r="D27191" s="16" t="s">
        <v>8031</v>
      </c>
      <c r="E27191" s="2">
        <v>2907851</v>
      </c>
      <c r="F27191" s="4" t="e">
        <f>IF(B27191=#REF!,"",B27191)</f>
        <v>#REF!</v>
      </c>
    </row>
    <row r="27192" spans="1:6" ht="15.75" customHeight="1">
      <c r="A27192" s="15" t="s">
        <v>8554</v>
      </c>
      <c r="B27192" s="15" t="s">
        <v>8554</v>
      </c>
      <c r="C27192" s="15" t="s">
        <v>8028</v>
      </c>
      <c r="D27192" s="15" t="s">
        <v>8072</v>
      </c>
      <c r="E27192" s="2">
        <v>2907887</v>
      </c>
      <c r="F27192" s="4" t="e">
        <f>IF(B27192=#REF!,"",B27192)</f>
        <v>#REF!</v>
      </c>
    </row>
    <row r="27193" spans="1:6" ht="15.75" customHeight="1">
      <c r="A27193" s="16" t="s">
        <v>8553</v>
      </c>
      <c r="B27193" s="15" t="s">
        <v>8553</v>
      </c>
      <c r="C27193" s="16" t="s">
        <v>8028</v>
      </c>
      <c r="D27193" s="16" t="s">
        <v>8031</v>
      </c>
      <c r="E27193" s="2">
        <v>2907911</v>
      </c>
      <c r="F27193" s="4" t="e">
        <f>IF(B27193=#REF!,"",B27193)</f>
        <v>#REF!</v>
      </c>
    </row>
    <row r="27194" spans="1:6" ht="15.75" customHeight="1">
      <c r="A27194" s="15" t="s">
        <v>8552</v>
      </c>
      <c r="B27194" s="15" t="s">
        <v>8552</v>
      </c>
      <c r="C27194" s="15" t="s">
        <v>8028</v>
      </c>
      <c r="D27194" s="15" t="s">
        <v>8040</v>
      </c>
      <c r="E27194" s="2">
        <v>2908032</v>
      </c>
      <c r="F27194" s="4" t="e">
        <f>IF(B27194=#REF!,"",B27194)</f>
        <v>#REF!</v>
      </c>
    </row>
    <row r="27195" spans="1:6" ht="15.75" customHeight="1">
      <c r="A27195" s="15" t="s">
        <v>4736</v>
      </c>
      <c r="B27195" s="15" t="s">
        <v>4736</v>
      </c>
      <c r="C27195" s="15" t="s">
        <v>4487</v>
      </c>
      <c r="D27195" s="15" t="s">
        <v>4488</v>
      </c>
      <c r="E27195" s="2">
        <v>2036986</v>
      </c>
      <c r="F27195" s="4" t="e">
        <f>IF(B27195=#REF!,"",B27195)</f>
        <v>#REF!</v>
      </c>
    </row>
    <row r="27196" spans="1:6" ht="15.75" customHeight="1">
      <c r="A27196" s="15" t="s">
        <v>4735</v>
      </c>
      <c r="B27196" s="15" t="s">
        <v>4735</v>
      </c>
      <c r="C27196" s="15" t="s">
        <v>4487</v>
      </c>
      <c r="D27196" s="15" t="s">
        <v>4501</v>
      </c>
      <c r="E27196" s="2">
        <v>1808722</v>
      </c>
      <c r="F27196" s="4" t="e">
        <f>IF(B27196=#REF!,"",B27196)</f>
        <v>#REF!</v>
      </c>
    </row>
    <row r="27197" spans="1:6" ht="15.75" customHeight="1">
      <c r="A27197" s="15" t="s">
        <v>18989</v>
      </c>
      <c r="B27197" s="15" t="s">
        <v>18989</v>
      </c>
      <c r="C27197" s="15" t="s">
        <v>18862</v>
      </c>
      <c r="D27197" s="15" t="s">
        <v>18888</v>
      </c>
      <c r="E27197" s="2">
        <v>2754635</v>
      </c>
      <c r="F27197" s="4" t="e">
        <f>IF(B27197=#REF!,"",B27197)</f>
        <v>#REF!</v>
      </c>
    </row>
    <row r="27198" spans="1:6" ht="15.75" customHeight="1">
      <c r="A27198" s="15" t="s">
        <v>18988</v>
      </c>
      <c r="B27198" s="15" t="s">
        <v>18988</v>
      </c>
      <c r="C27198" s="15" t="s">
        <v>18862</v>
      </c>
      <c r="D27198" s="15" t="s">
        <v>18893</v>
      </c>
      <c r="E27198" s="2">
        <v>2754652</v>
      </c>
      <c r="F27198" s="4" t="e">
        <f>IF(B27198=#REF!,"",B27198)</f>
        <v>#REF!</v>
      </c>
    </row>
    <row r="27199" spans="1:6" ht="15.75" customHeight="1">
      <c r="A27199" s="16" t="s">
        <v>18987</v>
      </c>
      <c r="B27199" s="15" t="s">
        <v>18987</v>
      </c>
      <c r="C27199" s="16" t="s">
        <v>18862</v>
      </c>
      <c r="D27199" s="16" t="s">
        <v>18863</v>
      </c>
      <c r="E27199" s="2">
        <v>2754659</v>
      </c>
      <c r="F27199" s="4" t="e">
        <f>IF(B27199=#REF!,"",B27199)</f>
        <v>#REF!</v>
      </c>
    </row>
    <row r="27200" spans="1:6" ht="15.75" customHeight="1">
      <c r="A27200" s="16" t="s">
        <v>18986</v>
      </c>
      <c r="B27200" s="15" t="s">
        <v>18986</v>
      </c>
      <c r="C27200" s="16" t="s">
        <v>18862</v>
      </c>
      <c r="D27200" s="16" t="s">
        <v>18943</v>
      </c>
      <c r="E27200" s="2">
        <v>2754669</v>
      </c>
      <c r="F27200" s="4" t="e">
        <f>IF(B27200=#REF!,"",B27200)</f>
        <v>#REF!</v>
      </c>
    </row>
    <row r="27201" spans="1:6" ht="15.75" customHeight="1">
      <c r="A27201" s="15" t="s">
        <v>18985</v>
      </c>
      <c r="B27201" s="15" t="s">
        <v>18985</v>
      </c>
      <c r="C27201" s="15" t="s">
        <v>18862</v>
      </c>
      <c r="D27201" s="15" t="s">
        <v>18865</v>
      </c>
      <c r="E27201" s="2">
        <v>2754681</v>
      </c>
      <c r="F27201" s="4" t="e">
        <f>IF(B27201=#REF!,"",B27201)</f>
        <v>#REF!</v>
      </c>
    </row>
    <row r="27202" spans="1:6" ht="15.75" customHeight="1">
      <c r="A27202" s="16" t="s">
        <v>18984</v>
      </c>
      <c r="B27202" s="15" t="s">
        <v>18984</v>
      </c>
      <c r="C27202" s="16" t="s">
        <v>18862</v>
      </c>
      <c r="D27202" s="16" t="s">
        <v>18863</v>
      </c>
      <c r="E27202" s="2">
        <v>2754692</v>
      </c>
      <c r="F27202" s="4" t="e">
        <f>IF(B27202=#REF!,"",B27202)</f>
        <v>#REF!</v>
      </c>
    </row>
    <row r="27203" spans="1:6" ht="15.75" customHeight="1">
      <c r="A27203" s="16" t="s">
        <v>18983</v>
      </c>
      <c r="B27203" s="15" t="s">
        <v>18983</v>
      </c>
      <c r="C27203" s="16" t="s">
        <v>18862</v>
      </c>
      <c r="D27203" s="16" t="s">
        <v>18863</v>
      </c>
      <c r="E27203" s="2">
        <v>2754697</v>
      </c>
      <c r="F27203" s="4" t="e">
        <f>IF(B27203=#REF!,"",B27203)</f>
        <v>#REF!</v>
      </c>
    </row>
    <row r="27204" spans="1:6" ht="15.75" customHeight="1">
      <c r="A27204" s="16" t="s">
        <v>27446</v>
      </c>
      <c r="B27204" s="15" t="s">
        <v>27447</v>
      </c>
      <c r="C27204" s="16" t="s">
        <v>27234</v>
      </c>
      <c r="D27204" s="16" t="s">
        <v>27241</v>
      </c>
      <c r="E27204" s="2">
        <v>6620360</v>
      </c>
      <c r="F27204" s="4" t="e">
        <f>IF(B27204=#REF!,"",B27204)</f>
        <v>#REF!</v>
      </c>
    </row>
    <row r="27205" spans="1:6" ht="15.75" customHeight="1">
      <c r="A27205" s="15" t="s">
        <v>4734</v>
      </c>
      <c r="B27205" s="15" t="s">
        <v>4734</v>
      </c>
      <c r="C27205" s="15" t="s">
        <v>4487</v>
      </c>
      <c r="D27205" s="15" t="s">
        <v>4535</v>
      </c>
      <c r="E27205" s="2">
        <v>1808744</v>
      </c>
      <c r="F27205" s="4" t="e">
        <f>IF(B27205=#REF!,"",B27205)</f>
        <v>#REF!</v>
      </c>
    </row>
    <row r="27206" spans="1:6" ht="15.75" customHeight="1">
      <c r="A27206" s="15" t="s">
        <v>25597</v>
      </c>
      <c r="B27206" s="15" t="s">
        <v>25597</v>
      </c>
      <c r="C27206" s="15" t="s">
        <v>25560</v>
      </c>
      <c r="D27206" s="15" t="s">
        <v>25598</v>
      </c>
      <c r="E27206" s="2">
        <v>159647</v>
      </c>
      <c r="F27206" s="4" t="e">
        <f>IF(B27206=#REF!,"",B27206)</f>
        <v>#REF!</v>
      </c>
    </row>
    <row r="27207" spans="1:6" ht="15.75" customHeight="1">
      <c r="A27207" s="15" t="s">
        <v>4733</v>
      </c>
      <c r="B27207" s="15" t="s">
        <v>4733</v>
      </c>
      <c r="C27207" s="15" t="s">
        <v>4487</v>
      </c>
      <c r="D27207" s="15" t="s">
        <v>4529</v>
      </c>
      <c r="E27207" s="2">
        <v>1808747</v>
      </c>
      <c r="F27207" s="4" t="e">
        <f>IF(B27207=#REF!,"",B27207)</f>
        <v>#REF!</v>
      </c>
    </row>
    <row r="27208" spans="1:6" ht="15.75" customHeight="1">
      <c r="A27208" s="15" t="s">
        <v>4732</v>
      </c>
      <c r="B27208" s="15" t="s">
        <v>4732</v>
      </c>
      <c r="C27208" s="15" t="s">
        <v>4487</v>
      </c>
      <c r="D27208" s="15" t="s">
        <v>4540</v>
      </c>
      <c r="E27208" s="2">
        <v>1808212</v>
      </c>
      <c r="F27208" s="4" t="e">
        <f>IF(B27208=#REF!,"",B27208)</f>
        <v>#REF!</v>
      </c>
    </row>
    <row r="27209" spans="1:6" ht="15.75" customHeight="1">
      <c r="A27209" s="16" t="s">
        <v>8551</v>
      </c>
      <c r="B27209" s="15" t="s">
        <v>8551</v>
      </c>
      <c r="C27209" s="16" t="s">
        <v>8028</v>
      </c>
      <c r="D27209" s="16" t="s">
        <v>8031</v>
      </c>
      <c r="E27209" s="2">
        <v>2908495</v>
      </c>
      <c r="F27209" s="4" t="e">
        <f>IF(B27209=#REF!,"",B27209)</f>
        <v>#REF!</v>
      </c>
    </row>
    <row r="27210" spans="1:6" ht="15.75" customHeight="1">
      <c r="A27210" s="15" t="s">
        <v>20345</v>
      </c>
      <c r="B27210" s="15" t="s">
        <v>20345</v>
      </c>
      <c r="C27210" s="15" t="s">
        <v>20297</v>
      </c>
      <c r="D27210" s="15" t="s">
        <v>20298</v>
      </c>
      <c r="E27210" s="2">
        <v>285066</v>
      </c>
      <c r="F27210" s="4" t="e">
        <f>IF(B27210=#REF!,"",B27210)</f>
        <v>#REF!</v>
      </c>
    </row>
    <row r="27211" spans="1:6" ht="15.75" customHeight="1">
      <c r="A27211" s="15" t="s">
        <v>4731</v>
      </c>
      <c r="B27211" s="15" t="s">
        <v>4731</v>
      </c>
      <c r="C27211" s="15" t="s">
        <v>4487</v>
      </c>
      <c r="D27211" s="15" t="s">
        <v>4511</v>
      </c>
      <c r="E27211" s="2">
        <v>1808770</v>
      </c>
      <c r="F27211" s="4" t="e">
        <f>IF(B27211=#REF!,"",B27211)</f>
        <v>#REF!</v>
      </c>
    </row>
    <row r="27212" spans="1:6" ht="15.75" customHeight="1">
      <c r="A27212" s="15" t="s">
        <v>27445</v>
      </c>
      <c r="B27212" s="15" t="s">
        <v>27445</v>
      </c>
      <c r="C27212" s="15" t="s">
        <v>27234</v>
      </c>
      <c r="D27212" s="15" t="s">
        <v>27241</v>
      </c>
      <c r="E27212" s="2">
        <v>6691884</v>
      </c>
      <c r="F27212" s="4" t="e">
        <f>IF(B27212=#REF!,"",B27212)</f>
        <v>#REF!</v>
      </c>
    </row>
    <row r="27213" spans="1:6" ht="15.75" customHeight="1">
      <c r="A27213" s="15" t="s">
        <v>19946</v>
      </c>
      <c r="B27213" s="15" t="s">
        <v>19946</v>
      </c>
      <c r="C27213" s="15" t="s">
        <v>19808</v>
      </c>
      <c r="D27213" s="15" t="s">
        <v>10184</v>
      </c>
      <c r="E27213" s="2">
        <v>1176948</v>
      </c>
      <c r="F27213" s="4" t="e">
        <f>IF(B27213=#REF!,"",B27213)</f>
        <v>#REF!</v>
      </c>
    </row>
    <row r="27214" spans="1:6" ht="15.75" customHeight="1">
      <c r="A27214" s="15" t="s">
        <v>30547</v>
      </c>
      <c r="B27214" s="15" t="s">
        <v>30547</v>
      </c>
      <c r="C27214" s="15" t="s">
        <v>30502</v>
      </c>
      <c r="D27214" s="15" t="s">
        <v>30545</v>
      </c>
      <c r="E27214" s="2">
        <v>1513957</v>
      </c>
      <c r="F27214" s="4" t="e">
        <f>IF(B27214=#REF!,"",B27214)</f>
        <v>#REF!</v>
      </c>
    </row>
    <row r="27215" spans="1:6" ht="15.75" customHeight="1">
      <c r="A27215" s="15" t="s">
        <v>28846</v>
      </c>
      <c r="B27215" s="15" t="s">
        <v>28846</v>
      </c>
      <c r="C27215" s="15" t="s">
        <v>27788</v>
      </c>
      <c r="D27215" s="15" t="s">
        <v>27836</v>
      </c>
      <c r="E27215" s="2">
        <v>5193011</v>
      </c>
      <c r="F27215" s="4" t="e">
        <f>IF(B27215=#REF!,"",B27215)</f>
        <v>#REF!</v>
      </c>
    </row>
    <row r="27216" spans="1:6" ht="15.75" customHeight="1">
      <c r="A27216" s="16" t="s">
        <v>28845</v>
      </c>
      <c r="B27216" s="15" t="s">
        <v>28845</v>
      </c>
      <c r="C27216" s="16" t="s">
        <v>27788</v>
      </c>
      <c r="D27216" s="16" t="s">
        <v>27806</v>
      </c>
      <c r="E27216" s="2">
        <v>4389967</v>
      </c>
      <c r="F27216" s="4" t="e">
        <f>IF(B27216=#REF!,"",B27216)</f>
        <v>#REF!</v>
      </c>
    </row>
    <row r="27217" spans="1:6" ht="15.75" customHeight="1">
      <c r="A27217" s="16" t="s">
        <v>28844</v>
      </c>
      <c r="B27217" s="15" t="s">
        <v>28844</v>
      </c>
      <c r="C27217" s="16" t="s">
        <v>27788</v>
      </c>
      <c r="D27217" s="16" t="s">
        <v>27804</v>
      </c>
      <c r="E27217" s="2">
        <v>4995664</v>
      </c>
      <c r="F27217" s="4" t="e">
        <f>IF(B27217=#REF!,"",B27217)</f>
        <v>#REF!</v>
      </c>
    </row>
    <row r="27218" spans="1:6" ht="15.75" customHeight="1">
      <c r="A27218" s="16" t="s">
        <v>28843</v>
      </c>
      <c r="B27218" s="15" t="s">
        <v>28843</v>
      </c>
      <c r="C27218" s="16" t="s">
        <v>27788</v>
      </c>
      <c r="D27218" s="16" t="s">
        <v>27733</v>
      </c>
      <c r="E27218" s="2">
        <v>5796984</v>
      </c>
      <c r="F27218" s="4" t="e">
        <f>IF(B27218=#REF!,"",B27218)</f>
        <v>#REF!</v>
      </c>
    </row>
    <row r="27219" spans="1:6" ht="15.75" customHeight="1">
      <c r="A27219" s="16" t="s">
        <v>7397</v>
      </c>
      <c r="B27219" s="15" t="s">
        <v>7397</v>
      </c>
      <c r="C27219" s="16" t="s">
        <v>7052</v>
      </c>
      <c r="D27219" s="16" t="s">
        <v>7078</v>
      </c>
      <c r="E27219" s="2">
        <v>3013619</v>
      </c>
      <c r="F27219" s="4" t="str">
        <f>IF(B27219=B27218,"",B27219)</f>
        <v>Hazebrouck</v>
      </c>
    </row>
    <row r="27220" spans="1:6" ht="15.75" customHeight="1">
      <c r="A27220" s="16" t="str">
        <f ca="1">IFERROR(__xludf.DUMMYFUNCTION("GOOGLETRANSLATE(B33369,""en"",""pt"")"),"Hazārībāg")</f>
        <v>Hazārībāg</v>
      </c>
      <c r="B27220" s="20" t="s">
        <v>33668</v>
      </c>
      <c r="C27220" s="20" t="s">
        <v>10178</v>
      </c>
      <c r="D27220" s="20" t="s">
        <v>10430</v>
      </c>
      <c r="E27220" s="10">
        <v>1270164</v>
      </c>
      <c r="F27220" s="4" t="str">
        <f>IF(B27220=B27219,"",B27220)</f>
        <v>Hazārībāg</v>
      </c>
    </row>
    <row r="27221" spans="1:6" ht="15.75" customHeight="1">
      <c r="A27221" s="16" t="s">
        <v>11480</v>
      </c>
      <c r="B27221" s="15" t="s">
        <v>11481</v>
      </c>
      <c r="C27221" s="16" t="s">
        <v>10178</v>
      </c>
      <c r="D27221" s="16" t="s">
        <v>10430</v>
      </c>
      <c r="E27221" s="2">
        <v>1270164</v>
      </c>
      <c r="F27221" s="4" t="e">
        <f>IF(B27221=#REF!,"",B27221)</f>
        <v>#REF!</v>
      </c>
    </row>
    <row r="27222" spans="1:6" ht="15.75" customHeight="1">
      <c r="A27222" s="15" t="s">
        <v>28842</v>
      </c>
      <c r="B27222" s="15" t="s">
        <v>28842</v>
      </c>
      <c r="C27222" s="15" t="s">
        <v>27788</v>
      </c>
      <c r="D27222" s="15" t="s">
        <v>27801</v>
      </c>
      <c r="E27222" s="2">
        <v>5355933</v>
      </c>
      <c r="F27222" s="4" t="e">
        <f>IF(B27222=#REF!,"",B27222)</f>
        <v>#REF!</v>
      </c>
    </row>
    <row r="27223" spans="1:6" ht="15.75" customHeight="1">
      <c r="A27223" s="15" t="s">
        <v>26966</v>
      </c>
      <c r="B27223" s="15" t="s">
        <v>26966</v>
      </c>
      <c r="C27223" s="15" t="s">
        <v>26870</v>
      </c>
      <c r="D27223" s="15" t="s">
        <v>26949</v>
      </c>
      <c r="E27223" s="2">
        <v>708898</v>
      </c>
      <c r="F27223" s="4" t="e">
        <f>IF(B27223=#REF!,"",B27223)</f>
        <v>#REF!</v>
      </c>
    </row>
    <row r="27224" spans="1:6" ht="15.75" customHeight="1">
      <c r="A27224" s="15" t="s">
        <v>26965</v>
      </c>
      <c r="B27224" s="15" t="s">
        <v>26965</v>
      </c>
      <c r="C27224" s="15" t="s">
        <v>26870</v>
      </c>
      <c r="D27224" s="15" t="s">
        <v>26895</v>
      </c>
      <c r="E27224" s="2">
        <v>708901</v>
      </c>
      <c r="F27224" s="4" t="e">
        <f>IF(B27224=#REF!,"",B27224)</f>
        <v>#REF!</v>
      </c>
    </row>
    <row r="27225" spans="1:6" ht="15.75" customHeight="1">
      <c r="A27225" s="15" t="s">
        <v>28841</v>
      </c>
      <c r="B27225" s="15" t="s">
        <v>28841</v>
      </c>
      <c r="C27225" s="15" t="s">
        <v>27788</v>
      </c>
      <c r="D27225" s="15" t="s">
        <v>28419</v>
      </c>
      <c r="E27225" s="2">
        <v>4272782</v>
      </c>
      <c r="F27225" s="4" t="e">
        <f>IF(B27225=#REF!,"",B27225)</f>
        <v>#REF!</v>
      </c>
    </row>
    <row r="27226" spans="1:6" ht="15.75" customHeight="1">
      <c r="A27226" s="16" t="s">
        <v>26541</v>
      </c>
      <c r="B27226" s="15" t="s">
        <v>26541</v>
      </c>
      <c r="C27226" s="16" t="s">
        <v>26201</v>
      </c>
      <c r="D27226" s="16" t="s">
        <v>26251</v>
      </c>
      <c r="E27226" s="2">
        <v>745697</v>
      </c>
      <c r="F27226" s="4" t="e">
        <f>IF(B27226=#REF!,"",B27226)</f>
        <v>#REF!</v>
      </c>
    </row>
    <row r="27227" spans="1:6" ht="15.75" customHeight="1">
      <c r="A27227" s="16" t="s">
        <v>27443</v>
      </c>
      <c r="B27227" s="15" t="s">
        <v>27444</v>
      </c>
      <c r="C27227" s="16" t="s">
        <v>27234</v>
      </c>
      <c r="D27227" s="16" t="s">
        <v>27241</v>
      </c>
      <c r="E27227" s="2">
        <v>8299619</v>
      </c>
      <c r="F27227" s="4" t="e">
        <f>IF(B27227=#REF!,"",B27227)</f>
        <v>#REF!</v>
      </c>
    </row>
    <row r="27228" spans="1:6" ht="15.75" customHeight="1">
      <c r="A27228" s="16" t="s">
        <v>28840</v>
      </c>
      <c r="B27228" s="15" t="s">
        <v>28840</v>
      </c>
      <c r="C27228" s="16" t="s">
        <v>27788</v>
      </c>
      <c r="D27228" s="16" t="s">
        <v>27820</v>
      </c>
      <c r="E27228" s="2">
        <v>5730675</v>
      </c>
      <c r="F27228" s="4" t="e">
        <f>IF(B27228=#REF!,"",B27228)</f>
        <v>#REF!</v>
      </c>
    </row>
    <row r="27229" spans="1:6" ht="15.75" customHeight="1">
      <c r="A27229" s="15" t="s">
        <v>7396</v>
      </c>
      <c r="B27229" s="15" t="s">
        <v>7396</v>
      </c>
      <c r="C27229" s="15" t="s">
        <v>7052</v>
      </c>
      <c r="D27229" s="15" t="s">
        <v>7061</v>
      </c>
      <c r="E27229" s="2">
        <v>3013627</v>
      </c>
      <c r="F27229" s="4" t="e">
        <f>IF(B27229=#REF!,"",B27229)</f>
        <v>#REF!</v>
      </c>
    </row>
    <row r="27230" spans="1:6" ht="15.75" customHeight="1">
      <c r="A27230" s="15" t="s">
        <v>24078</v>
      </c>
      <c r="B27230" s="15" t="s">
        <v>24078</v>
      </c>
      <c r="C27230" s="15" t="s">
        <v>24024</v>
      </c>
      <c r="D27230" s="15" t="s">
        <v>24025</v>
      </c>
      <c r="E27230" s="2">
        <v>1844308</v>
      </c>
      <c r="F27230" s="4" t="e">
        <f>IF(B27230=#REF!,"",B27230)</f>
        <v>#REF!</v>
      </c>
    </row>
    <row r="27231" spans="1:6" ht="15.75" customHeight="1">
      <c r="A27231" s="15" t="s">
        <v>15947</v>
      </c>
      <c r="B27231" s="15" t="s">
        <v>15947</v>
      </c>
      <c r="C27231" s="15" t="s">
        <v>15704</v>
      </c>
      <c r="D27231" s="15" t="s">
        <v>15755</v>
      </c>
      <c r="E27231" s="2">
        <v>1862992</v>
      </c>
      <c r="F27231" s="4" t="e">
        <f>IF(B27231=#REF!,"",B27231)</f>
        <v>#REF!</v>
      </c>
    </row>
    <row r="27232" spans="1:6" ht="15.75" customHeight="1">
      <c r="A27232" s="16" t="s">
        <v>28839</v>
      </c>
      <c r="B27232" s="15" t="s">
        <v>28839</v>
      </c>
      <c r="C27232" s="16" t="s">
        <v>27788</v>
      </c>
      <c r="D27232" s="16" t="s">
        <v>27905</v>
      </c>
      <c r="E27232" s="2">
        <v>5098909</v>
      </c>
      <c r="F27232" s="4" t="e">
        <f>IF(B27232=#REF!,"",B27232)</f>
        <v>#REF!</v>
      </c>
    </row>
    <row r="27233" spans="1:6" ht="15.75" customHeight="1">
      <c r="A27233" s="16" t="s">
        <v>997</v>
      </c>
      <c r="B27233" s="15" t="s">
        <v>997</v>
      </c>
      <c r="C27233" s="16" t="s">
        <v>885</v>
      </c>
      <c r="D27233" s="16" t="s">
        <v>827</v>
      </c>
      <c r="E27233" s="2">
        <v>2163776</v>
      </c>
      <c r="F27233" s="4" t="str">
        <f>IF(B27233=B27232,"",B27233)</f>
        <v>Hawthorn South</v>
      </c>
    </row>
    <row r="27234" spans="1:6" ht="15.75" customHeight="1">
      <c r="A27234" s="16" t="str">
        <f ca="1">IFERROR(__xludf.DUMMYFUNCTION("GOOGLETRANSLATE(B28868,""en"",""pt"")"),"Ḩawsh ‘īsá")</f>
        <v>Ḩawsh ‘īsá</v>
      </c>
      <c r="B27234" s="20" t="s">
        <v>32295</v>
      </c>
      <c r="C27234" s="20" t="s">
        <v>6495</v>
      </c>
      <c r="D27234" s="20" t="s">
        <v>32264</v>
      </c>
      <c r="E27234" s="10">
        <v>356000</v>
      </c>
      <c r="F27234" s="4" t="e">
        <f>IF(B27234=#REF!,"",B27234)</f>
        <v>#REF!</v>
      </c>
    </row>
    <row r="27235" spans="1:6" ht="15.75" customHeight="1">
      <c r="A27235" s="15" t="s">
        <v>6888</v>
      </c>
      <c r="B27235" s="15" t="s">
        <v>6888</v>
      </c>
      <c r="C27235" s="15" t="s">
        <v>6807</v>
      </c>
      <c r="D27235" s="15" t="s">
        <v>6817</v>
      </c>
      <c r="E27235" s="2">
        <v>343137</v>
      </c>
      <c r="F27235" s="4" t="str">
        <f>IF(B27235=B27234,"",B27235)</f>
        <v>Hawassa</v>
      </c>
    </row>
    <row r="27236" spans="1:6" ht="15.75" customHeight="1">
      <c r="A27236" s="16" t="str">
        <f ca="1">IFERROR(__xludf.DUMMYFUNCTION("GOOGLETRANSLATE(B36166,""en"",""pt"")"),"Ḩawallī")</f>
        <v>Ḩawallī</v>
      </c>
      <c r="B27236" s="20" t="s">
        <v>34480</v>
      </c>
      <c r="C27236" s="20" t="s">
        <v>16884</v>
      </c>
      <c r="D27236" s="20" t="s">
        <v>34481</v>
      </c>
      <c r="E27236" s="10">
        <v>285629</v>
      </c>
      <c r="F27236" s="4" t="e">
        <f>IF(B27236=#REF!,"",B27236)</f>
        <v>#REF!</v>
      </c>
    </row>
    <row r="27237" spans="1:6" ht="15.75" customHeight="1">
      <c r="A27237" s="15" t="s">
        <v>26540</v>
      </c>
      <c r="B27237" s="15" t="s">
        <v>26540</v>
      </c>
      <c r="C27237" s="15" t="s">
        <v>26201</v>
      </c>
      <c r="D27237" s="15" t="s">
        <v>26232</v>
      </c>
      <c r="E27237" s="2">
        <v>745714</v>
      </c>
      <c r="F27237" s="4" t="str">
        <f>IF(B27237=B27236,"",B27237)</f>
        <v>Havza</v>
      </c>
    </row>
    <row r="27238" spans="1:6" ht="15.75" customHeight="1">
      <c r="A27238" s="16" t="str">
        <f ca="1">IFERROR(__xludf.DUMMYFUNCTION("GOOGLETRANSLATE(B27319,""en"",""pt"")"),"Havlíčkův brod")</f>
        <v>Havlíčkův brod</v>
      </c>
      <c r="B27238" s="20" t="s">
        <v>31990</v>
      </c>
      <c r="C27238" s="20" t="s">
        <v>5947</v>
      </c>
      <c r="D27238" s="20" t="s">
        <v>31939</v>
      </c>
      <c r="E27238" s="10">
        <v>3075919</v>
      </c>
      <c r="F27238" s="4" t="str">
        <f>IF(B27238=B27237,"",B27238)</f>
        <v>Havlíčkův Brod</v>
      </c>
    </row>
    <row r="27239" spans="1:6" ht="15.75" customHeight="1">
      <c r="A27239" s="16" t="s">
        <v>6010</v>
      </c>
      <c r="B27239" s="15" t="s">
        <v>6011</v>
      </c>
      <c r="C27239" s="16" t="s">
        <v>5947</v>
      </c>
      <c r="D27239" s="16" t="s">
        <v>5951</v>
      </c>
      <c r="E27239" s="2">
        <v>3075919</v>
      </c>
      <c r="F27239" s="4" t="str">
        <f>IF(B27239=B27238,"",B27239)</f>
        <v>HavlÃ­ÄkÅ¯v Brod</v>
      </c>
    </row>
    <row r="27240" spans="1:6" ht="15.75" customHeight="1">
      <c r="A27240" s="16" t="str">
        <f ca="1">IFERROR(__xludf.DUMMYFUNCTION("GOOGLETRANSLATE(B27320,""en"",""pt"")"),"Havířov")</f>
        <v>Havířov</v>
      </c>
      <c r="B27240" s="20" t="s">
        <v>31991</v>
      </c>
      <c r="C27240" s="20" t="s">
        <v>5947</v>
      </c>
      <c r="D27240" s="20" t="s">
        <v>31952</v>
      </c>
      <c r="E27240" s="10">
        <v>3075921</v>
      </c>
      <c r="F27240" s="4" t="str">
        <f>IF(B27240=B27239,"",B27240)</f>
        <v>Havířov</v>
      </c>
    </row>
    <row r="27241" spans="1:6" ht="15.75" customHeight="1">
      <c r="A27241" s="16" t="str">
        <f ca="1">IFERROR(__xludf.DUMMYFUNCTION("GOOGLETRANSLATE(B33370,""en"",""pt"")"),"Hāveri")</f>
        <v>Hāveri</v>
      </c>
      <c r="B27241" s="20" t="s">
        <v>33669</v>
      </c>
      <c r="C27241" s="20" t="s">
        <v>10178</v>
      </c>
      <c r="D27241" s="20" t="s">
        <v>10252</v>
      </c>
      <c r="E27241" s="10">
        <v>1270171</v>
      </c>
      <c r="F27241" s="4" t="e">
        <f>IF(B27241=#REF!,"",B27241)</f>
        <v>#REF!</v>
      </c>
    </row>
    <row r="27242" spans="1:6" ht="15.75" customHeight="1">
      <c r="A27242" s="15" t="s">
        <v>28838</v>
      </c>
      <c r="B27242" s="15" t="s">
        <v>28838</v>
      </c>
      <c r="C27242" s="15" t="s">
        <v>27788</v>
      </c>
      <c r="D27242" s="15" t="s">
        <v>27794</v>
      </c>
      <c r="E27242" s="2">
        <v>4939085</v>
      </c>
      <c r="F27242" s="4" t="e">
        <f>IF(B27242=#REF!,"",B27242)</f>
        <v>#REF!</v>
      </c>
    </row>
    <row r="27243" spans="1:6" ht="15.75" customHeight="1">
      <c r="A27243" s="15" t="s">
        <v>28837</v>
      </c>
      <c r="B27243" s="15" t="s">
        <v>28837</v>
      </c>
      <c r="C27243" s="15" t="s">
        <v>27788</v>
      </c>
      <c r="D27243" s="15" t="s">
        <v>27822</v>
      </c>
      <c r="E27243" s="2">
        <v>4470244</v>
      </c>
      <c r="F27243" s="4" t="str">
        <f>IF(B27243=B27242,"",B27243)</f>
        <v>Havelock</v>
      </c>
    </row>
    <row r="27244" spans="1:6" ht="15.75" customHeight="1">
      <c r="A27244" s="16" t="str">
        <f ca="1">IFERROR(__xludf.DUMMYFUNCTION("GOOGLETRANSLATE(B39082,""en"",""pt"")"),"Haveliān")</f>
        <v>Haveliān</v>
      </c>
      <c r="B27244" s="20" t="s">
        <v>35011</v>
      </c>
      <c r="C27244" s="20" t="s">
        <v>19808</v>
      </c>
      <c r="D27244" s="20" t="s">
        <v>19811</v>
      </c>
      <c r="E27244" s="10">
        <v>1176995</v>
      </c>
      <c r="F27244" s="4" t="str">
        <f>IF(B27244=B27243,"",B27244)</f>
        <v>Haveliān</v>
      </c>
    </row>
    <row r="27245" spans="1:6" ht="15.75" customHeight="1">
      <c r="A27245" s="15" t="s">
        <v>19944</v>
      </c>
      <c r="B27245" s="15" t="s">
        <v>19945</v>
      </c>
      <c r="C27245" s="15" t="s">
        <v>19808</v>
      </c>
      <c r="D27245" s="15" t="s">
        <v>19811</v>
      </c>
      <c r="E27245" s="2">
        <v>1176995</v>
      </c>
      <c r="F27245" s="4" t="e">
        <f>IF(B27245=#REF!,"",B27245)</f>
        <v>#REF!</v>
      </c>
    </row>
    <row r="27246" spans="1:6" ht="15.75" customHeight="1">
      <c r="A27246" s="15" t="s">
        <v>19943</v>
      </c>
      <c r="B27246" s="15" t="s">
        <v>19943</v>
      </c>
      <c r="C27246" s="15" t="s">
        <v>19808</v>
      </c>
      <c r="D27246" s="15" t="s">
        <v>10184</v>
      </c>
      <c r="E27246" s="2">
        <v>1176997</v>
      </c>
      <c r="F27246" s="4" t="e">
        <f>IF(B27246=#REF!,"",B27246)</f>
        <v>#REF!</v>
      </c>
    </row>
    <row r="27247" spans="1:6" ht="15.75" customHeight="1">
      <c r="A27247" s="15" t="s">
        <v>5849</v>
      </c>
      <c r="B27247" s="15" t="s">
        <v>5849</v>
      </c>
      <c r="C27247" s="15" t="s">
        <v>5764</v>
      </c>
      <c r="D27247" s="15" t="s">
        <v>5768</v>
      </c>
      <c r="E27247" s="2">
        <v>3553478</v>
      </c>
      <c r="F27247" s="4" t="str">
        <f>IF(B27247=B27246,"",B27247)</f>
        <v>Havana</v>
      </c>
    </row>
    <row r="27248" spans="1:6" ht="15.75" customHeight="1">
      <c r="A27248" s="16" t="s">
        <v>6008</v>
      </c>
      <c r="B27248" s="15" t="s">
        <v>6009</v>
      </c>
      <c r="C27248" s="16" t="s">
        <v>5947</v>
      </c>
      <c r="D27248" s="16" t="s">
        <v>5971</v>
      </c>
      <c r="E27248" s="2">
        <v>3075921</v>
      </c>
      <c r="F27248" s="4" t="e">
        <f>IF(B27248=#REF!,"",B27248)</f>
        <v>#REF!</v>
      </c>
    </row>
    <row r="27249" spans="1:6" ht="15.75" customHeight="1">
      <c r="A27249" s="16" t="s">
        <v>7395</v>
      </c>
      <c r="B27249" s="15" t="s">
        <v>7395</v>
      </c>
      <c r="C27249" s="16" t="s">
        <v>7052</v>
      </c>
      <c r="D27249" s="16" t="s">
        <v>7078</v>
      </c>
      <c r="E27249" s="2">
        <v>3013681</v>
      </c>
      <c r="F27249" s="4" t="e">
        <f>IF(B27249=#REF!,"",B27249)</f>
        <v>#REF!</v>
      </c>
    </row>
    <row r="27250" spans="1:6" ht="15.75" customHeight="1">
      <c r="A27250" s="16" t="s">
        <v>28836</v>
      </c>
      <c r="B27250" s="15" t="s">
        <v>28836</v>
      </c>
      <c r="C27250" s="16" t="s">
        <v>27788</v>
      </c>
      <c r="D27250" s="16" t="s">
        <v>27819</v>
      </c>
      <c r="E27250" s="2">
        <v>5120228</v>
      </c>
      <c r="F27250" s="4" t="e">
        <f>IF(B27250=#REF!,"",B27250)</f>
        <v>#REF!</v>
      </c>
    </row>
    <row r="27251" spans="1:6" ht="15.75" customHeight="1">
      <c r="A27251" s="16" t="s">
        <v>6958</v>
      </c>
      <c r="B27251" s="15" t="s">
        <v>6958</v>
      </c>
      <c r="C27251" s="16" t="s">
        <v>6948</v>
      </c>
      <c r="D27251" s="16" t="s">
        <v>6959</v>
      </c>
      <c r="E27251" s="2">
        <v>658629</v>
      </c>
      <c r="F27251" s="4" t="e">
        <f>IF(B27251=#REF!,"",B27251)</f>
        <v>#REF!</v>
      </c>
    </row>
    <row r="27252" spans="1:6" ht="15.75" customHeight="1">
      <c r="A27252" s="16" t="s">
        <v>19719</v>
      </c>
      <c r="B27252" s="15" t="s">
        <v>19719</v>
      </c>
      <c r="C27252" s="16" t="s">
        <v>19695</v>
      </c>
      <c r="D27252" s="16" t="s">
        <v>19720</v>
      </c>
      <c r="E27252" s="2">
        <v>3153623</v>
      </c>
      <c r="F27252" s="4" t="e">
        <f>IF(B27252=#REF!,"",B27252)</f>
        <v>#REF!</v>
      </c>
    </row>
    <row r="27253" spans="1:6" ht="15.75" customHeight="1">
      <c r="A27253" s="16" t="s">
        <v>7394</v>
      </c>
      <c r="B27253" s="15" t="s">
        <v>7394</v>
      </c>
      <c r="C27253" s="16" t="s">
        <v>7052</v>
      </c>
      <c r="D27253" s="16" t="s">
        <v>7078</v>
      </c>
      <c r="E27253" s="2">
        <v>3013862</v>
      </c>
      <c r="F27253" s="4" t="e">
        <f>IF(B27253=#REF!,"",B27253)</f>
        <v>#REF!</v>
      </c>
    </row>
    <row r="27254" spans="1:6" ht="15.75" customHeight="1">
      <c r="A27254" s="15" t="s">
        <v>10068</v>
      </c>
      <c r="B27254" s="15" t="s">
        <v>10068</v>
      </c>
      <c r="C27254" s="15" t="s">
        <v>9955</v>
      </c>
      <c r="D27254" s="15" t="s">
        <v>10041</v>
      </c>
      <c r="E27254" s="2">
        <v>3051621</v>
      </c>
      <c r="F27254" s="4" t="e">
        <f>IF(B27254=#REF!,"",B27254)</f>
        <v>#REF!</v>
      </c>
    </row>
    <row r="27255" spans="1:6" ht="15.75" customHeight="1">
      <c r="A27255" s="15" t="s">
        <v>24946</v>
      </c>
      <c r="B27255" s="15" t="s">
        <v>24946</v>
      </c>
      <c r="C27255" s="15" t="s">
        <v>24924</v>
      </c>
      <c r="D27255" s="15" t="s">
        <v>1886</v>
      </c>
      <c r="E27255" s="2">
        <v>1244596</v>
      </c>
      <c r="F27255" s="4" t="e">
        <f>IF(B27255=#REF!,"",B27255)</f>
        <v>#REF!</v>
      </c>
    </row>
    <row r="27256" spans="1:6" ht="15.75" customHeight="1">
      <c r="A27256" s="15" t="s">
        <v>8550</v>
      </c>
      <c r="B27256" s="15" t="s">
        <v>8550</v>
      </c>
      <c r="C27256" s="15" t="s">
        <v>8028</v>
      </c>
      <c r="D27256" s="15" t="s">
        <v>8029</v>
      </c>
      <c r="E27256" s="2">
        <v>2909230</v>
      </c>
      <c r="F27256" s="4" t="e">
        <f>IF(B27256=#REF!,"",B27256)</f>
        <v>#REF!</v>
      </c>
    </row>
    <row r="27257" spans="1:6" ht="15.75" customHeight="1">
      <c r="A27257" s="16" t="s">
        <v>28835</v>
      </c>
      <c r="B27257" s="15" t="s">
        <v>28835</v>
      </c>
      <c r="C27257" s="16" t="s">
        <v>27788</v>
      </c>
      <c r="D27257" s="16" t="s">
        <v>28040</v>
      </c>
      <c r="E27257" s="2">
        <v>4429295</v>
      </c>
      <c r="F27257" s="4" t="e">
        <f>IF(B27257=#REF!,"",B27257)</f>
        <v>#REF!</v>
      </c>
    </row>
    <row r="27258" spans="1:6" ht="15.75" customHeight="1">
      <c r="A27258" s="16" t="s">
        <v>8549</v>
      </c>
      <c r="B27258" s="15" t="s">
        <v>8549</v>
      </c>
      <c r="C27258" s="16" t="s">
        <v>8028</v>
      </c>
      <c r="D27258" s="16" t="s">
        <v>8050</v>
      </c>
      <c r="E27258" s="2">
        <v>2909240</v>
      </c>
      <c r="F27258" s="4" t="e">
        <f>IF(B27258=#REF!,"",B27258)</f>
        <v>#REF!</v>
      </c>
    </row>
    <row r="27259" spans="1:6" ht="15.75" customHeight="1">
      <c r="A27259" s="15" t="s">
        <v>11479</v>
      </c>
      <c r="B27259" s="15" t="s">
        <v>11479</v>
      </c>
      <c r="C27259" s="15" t="s">
        <v>10178</v>
      </c>
      <c r="D27259" s="15" t="s">
        <v>10219</v>
      </c>
      <c r="E27259" s="2">
        <v>1270185</v>
      </c>
      <c r="F27259" s="4" t="e">
        <f>IF(B27259=#REF!,"",B27259)</f>
        <v>#REF!</v>
      </c>
    </row>
    <row r="27260" spans="1:6" ht="15.75" customHeight="1">
      <c r="A27260" s="16" t="s">
        <v>15946</v>
      </c>
      <c r="B27260" s="15" t="s">
        <v>15946</v>
      </c>
      <c r="C27260" s="16" t="s">
        <v>15704</v>
      </c>
      <c r="D27260" s="16" t="s">
        <v>15789</v>
      </c>
      <c r="E27260" s="2">
        <v>1863018</v>
      </c>
      <c r="F27260" s="4" t="str">
        <f>IF(B27260=B27259,"",B27260)</f>
        <v>Hatsukaichi</v>
      </c>
    </row>
    <row r="27261" spans="1:6" ht="15.75" customHeight="1">
      <c r="A27261" s="16" t="s">
        <v>870</v>
      </c>
      <c r="B27261" s="15" t="s">
        <v>871</v>
      </c>
      <c r="C27261" s="16" t="s">
        <v>853</v>
      </c>
      <c r="D27261" s="16" t="s">
        <v>867</v>
      </c>
      <c r="E27261" s="2">
        <v>174972</v>
      </c>
      <c r="F27261" s="4" t="str">
        <f>IF(B27261=B27260,"",B27261)</f>
        <v>Hatsâ€™avan</v>
      </c>
    </row>
    <row r="27262" spans="1:6" ht="15.75" customHeight="1">
      <c r="A27262" s="16" t="str">
        <f ca="1">IFERROR(__xludf.DUMMYFUNCTION("GOOGLETRANSLATE(B23126,""en"",""pt"")"),"Hats'avan")</f>
        <v>Hats'avan</v>
      </c>
      <c r="B27262" s="20" t="s">
        <v>31159</v>
      </c>
      <c r="C27262" s="20" t="s">
        <v>853</v>
      </c>
      <c r="D27262" s="20" t="s">
        <v>867</v>
      </c>
      <c r="E27262" s="10">
        <v>174972</v>
      </c>
      <c r="F27262" s="4" t="str">
        <f>IF(B27262=B27261,"",B27262)</f>
        <v>Hats’avan</v>
      </c>
    </row>
    <row r="27263" spans="1:6" ht="15.75" customHeight="1">
      <c r="A27263" s="16" t="str">
        <f ca="1">IFERROR(__xludf.DUMMYFUNCTION("GOOGLETRANSLATE(B35611,""en"",""pt"")"),"HATOGAYA-HONCHI")</f>
        <v>HATOGAYA-HONCHI</v>
      </c>
      <c r="B27263" s="20" t="s">
        <v>34374</v>
      </c>
      <c r="C27263" s="20" t="s">
        <v>15704</v>
      </c>
      <c r="D27263" s="20" t="s">
        <v>15710</v>
      </c>
      <c r="E27263" s="10">
        <v>1863023</v>
      </c>
      <c r="F27263" s="4" t="str">
        <f>IF(B27263=B27262,"",B27263)</f>
        <v>Hatogaya-honchō</v>
      </c>
    </row>
    <row r="27264" spans="1:6" ht="15.75" customHeight="1">
      <c r="A27264" s="16" t="s">
        <v>15944</v>
      </c>
      <c r="B27264" s="15" t="s">
        <v>15945</v>
      </c>
      <c r="C27264" s="16" t="s">
        <v>15704</v>
      </c>
      <c r="D27264" s="16" t="s">
        <v>15710</v>
      </c>
      <c r="E27264" s="2">
        <v>1863023</v>
      </c>
      <c r="F27264" s="4" t="e">
        <f>IF(B27264=#REF!,"",B27264)</f>
        <v>#REF!</v>
      </c>
    </row>
    <row r="27265" spans="1:6" ht="15.75" customHeight="1">
      <c r="A27265" s="16" t="s">
        <v>6326</v>
      </c>
      <c r="B27265" s="15" t="s">
        <v>6327</v>
      </c>
      <c r="C27265" s="16" t="s">
        <v>6303</v>
      </c>
      <c r="D27265" s="16" t="s">
        <v>6328</v>
      </c>
      <c r="E27265" s="2">
        <v>3504765</v>
      </c>
      <c r="F27265" s="4" t="str">
        <f>IF(B27265=B27264,"",B27265)</f>
        <v>Hato Mayor del Rey</v>
      </c>
    </row>
    <row r="27266" spans="1:6" ht="15.75" customHeight="1">
      <c r="A27266" s="16" t="str">
        <f ca="1">IFERROR(__xludf.DUMMYFUNCTION("GOOGLETRANSLATE(B33372,""en"",""pt"")"),"Hāthras")</f>
        <v>Hāthras</v>
      </c>
      <c r="B27266" s="20" t="s">
        <v>33670</v>
      </c>
      <c r="C27266" s="20" t="s">
        <v>10178</v>
      </c>
      <c r="D27266" s="20" t="s">
        <v>10193</v>
      </c>
      <c r="E27266" s="10">
        <v>1270216</v>
      </c>
      <c r="F27266" s="4" t="e">
        <f>IF(B27266=#REF!,"",B27266)</f>
        <v>#REF!</v>
      </c>
    </row>
    <row r="27267" spans="1:6" ht="15.75" customHeight="1">
      <c r="A27267" s="16" t="s">
        <v>25883</v>
      </c>
      <c r="B27267" s="15" t="s">
        <v>25884</v>
      </c>
      <c r="C27267" s="16" t="s">
        <v>25771</v>
      </c>
      <c r="D27267" s="16" t="s">
        <v>25794</v>
      </c>
      <c r="E27267" s="2">
        <v>1610780</v>
      </c>
      <c r="F27267" s="4" t="e">
        <f>IF(B27267=#REF!,"",B27267)</f>
        <v>#REF!</v>
      </c>
    </row>
    <row r="27268" spans="1:6" ht="15.75" customHeight="1">
      <c r="A27268" s="15" t="s">
        <v>15943</v>
      </c>
      <c r="B27268" s="15" t="s">
        <v>15943</v>
      </c>
      <c r="C27268" s="15" t="s">
        <v>15704</v>
      </c>
      <c r="D27268" s="15" t="s">
        <v>15710</v>
      </c>
      <c r="E27268" s="2">
        <v>1907123</v>
      </c>
      <c r="F27268" s="4" t="e">
        <f>IF(B27268=#REF!,"",B27268)</f>
        <v>#REF!</v>
      </c>
    </row>
    <row r="27269" spans="1:6" ht="15.75" customHeight="1">
      <c r="A27269" s="15" t="s">
        <v>19179</v>
      </c>
      <c r="B27269" s="15" t="s">
        <v>19179</v>
      </c>
      <c r="C27269" s="15" t="s">
        <v>19169</v>
      </c>
      <c r="D27269" s="15" t="s">
        <v>19180</v>
      </c>
      <c r="E27269" s="2">
        <v>2190224</v>
      </c>
      <c r="F27269" s="4" t="str">
        <f>IF(B27269=B27268,"",B27269)</f>
        <v>Hastings</v>
      </c>
    </row>
    <row r="27270" spans="1:6" ht="15.75" customHeight="1">
      <c r="A27270" s="16" t="str">
        <f ca="1">IFERROR(__xludf.DUMMYFUNCTION("GOOGLETRANSLATE(B33373,""en"",""pt"")"),"Hastināpur")</f>
        <v>Hastināpur</v>
      </c>
      <c r="B27270" s="20" t="s">
        <v>33671</v>
      </c>
      <c r="C27270" s="20" t="s">
        <v>10178</v>
      </c>
      <c r="D27270" s="20" t="s">
        <v>10193</v>
      </c>
      <c r="E27270" s="10">
        <v>1270237</v>
      </c>
      <c r="F27270" s="4" t="str">
        <f>IF(B27270=B27269,"",B27270)</f>
        <v>Hastināpur</v>
      </c>
    </row>
    <row r="27271" spans="1:6" ht="15.75" customHeight="1">
      <c r="A27271" s="16" t="s">
        <v>11477</v>
      </c>
      <c r="B27271" s="15" t="s">
        <v>11478</v>
      </c>
      <c r="C27271" s="16" t="s">
        <v>10178</v>
      </c>
      <c r="D27271" s="16" t="s">
        <v>10193</v>
      </c>
      <c r="E27271" s="2">
        <v>1270237</v>
      </c>
      <c r="F27271" s="4" t="str">
        <f>IF(B27271=B27270,"",B27271)</f>
        <v>HastinÄpur</v>
      </c>
    </row>
    <row r="27272" spans="1:6" ht="15.75" customHeight="1">
      <c r="A27272" s="16" t="str">
        <f ca="1">IFERROR(__xludf.DUMMYFUNCTION("GOOGLETRANSLATE(B27988,""en"",""pt"")"),"Haßloch")</f>
        <v>Haßloch</v>
      </c>
      <c r="B27272" s="20" t="s">
        <v>32093</v>
      </c>
      <c r="C27272" s="20" t="s">
        <v>8028</v>
      </c>
      <c r="D27272" s="20" t="s">
        <v>8065</v>
      </c>
      <c r="E27272" s="10">
        <v>2909313</v>
      </c>
      <c r="F27272" s="4" t="str">
        <f>IF(B27272=B27271,"",B27272)</f>
        <v>Haßloch</v>
      </c>
    </row>
    <row r="27273" spans="1:6" ht="15.75" customHeight="1">
      <c r="A27273" s="16" t="str">
        <f ca="1">IFERROR(__xludf.DUMMYFUNCTION("GOOGLETRANSLATE(B41187,""en"",""pt"")"),"Hässleholm")</f>
        <v>Hässleholm</v>
      </c>
      <c r="B27273" s="20" t="s">
        <v>35653</v>
      </c>
      <c r="C27273" s="20" t="s">
        <v>25077</v>
      </c>
      <c r="D27273" s="20" t="s">
        <v>35623</v>
      </c>
      <c r="E27273" s="10">
        <v>2707399</v>
      </c>
      <c r="F27273" s="4" t="e">
        <f>IF(B27273=#REF!,"",B27273)</f>
        <v>#REF!</v>
      </c>
    </row>
    <row r="27274" spans="1:6" ht="15.75" customHeight="1">
      <c r="A27274" s="16" t="s">
        <v>364</v>
      </c>
      <c r="B27274" s="15" t="s">
        <v>365</v>
      </c>
      <c r="C27274" s="16" t="s">
        <v>153</v>
      </c>
      <c r="D27274" s="16" t="s">
        <v>323</v>
      </c>
      <c r="E27274" s="2">
        <v>2494029</v>
      </c>
      <c r="F27274" s="4" t="e">
        <f>IF(B27274=#REF!,"",B27274)</f>
        <v>#REF!</v>
      </c>
    </row>
    <row r="27275" spans="1:6" ht="15.75" customHeight="1">
      <c r="A27275" s="15" t="s">
        <v>1587</v>
      </c>
      <c r="B27275" s="15" t="s">
        <v>1587</v>
      </c>
      <c r="C27275" s="15" t="s">
        <v>1512</v>
      </c>
      <c r="D27275" s="15" t="s">
        <v>1513</v>
      </c>
      <c r="E27275" s="2">
        <v>2796491</v>
      </c>
      <c r="F27275" s="4" t="e">
        <f>IF(B27275=#REF!,"",B27275)</f>
        <v>#REF!</v>
      </c>
    </row>
    <row r="27276" spans="1:6" ht="15.75" customHeight="1">
      <c r="A27276" s="15" t="s">
        <v>11476</v>
      </c>
      <c r="B27276" s="15" t="s">
        <v>11476</v>
      </c>
      <c r="C27276" s="15" t="s">
        <v>10178</v>
      </c>
      <c r="D27276" s="15" t="s">
        <v>10252</v>
      </c>
      <c r="E27276" s="2">
        <v>1270239</v>
      </c>
      <c r="F27276" s="4" t="e">
        <f>IF(B27276=#REF!,"",B27276)</f>
        <v>#REF!</v>
      </c>
    </row>
    <row r="27277" spans="1:6" ht="15.75" customHeight="1">
      <c r="A27277" s="15" t="s">
        <v>28834</v>
      </c>
      <c r="B27277" s="15" t="s">
        <v>28834</v>
      </c>
      <c r="C27277" s="15" t="s">
        <v>27788</v>
      </c>
      <c r="D27277" s="15" t="s">
        <v>27804</v>
      </c>
      <c r="E27277" s="2">
        <v>4995514</v>
      </c>
      <c r="F27277" s="4" t="e">
        <f>IF(B27277=#REF!,"",B27277)</f>
        <v>#REF!</v>
      </c>
    </row>
    <row r="27278" spans="1:6" ht="15.75" customHeight="1">
      <c r="A27278" s="15" t="s">
        <v>3723</v>
      </c>
      <c r="B27278" s="15" t="s">
        <v>3723</v>
      </c>
      <c r="C27278" s="15" t="s">
        <v>3701</v>
      </c>
      <c r="D27278" s="15" t="s">
        <v>3715</v>
      </c>
      <c r="E27278" s="2">
        <v>730435</v>
      </c>
      <c r="F27278" s="4" t="str">
        <f>IF(B27278=B27277,"",B27278)</f>
        <v>Haskovo</v>
      </c>
    </row>
    <row r="27279" spans="1:6" ht="15.75" customHeight="1">
      <c r="A27279" s="16" t="str">
        <f ca="1">IFERROR(__xludf.DUMMYFUNCTION("GOOGLETRANSLATE(B33375,""en"",""pt"")"),"Hāsimāra")</f>
        <v>Hāsimāra</v>
      </c>
      <c r="B27279" s="20" t="s">
        <v>33672</v>
      </c>
      <c r="C27279" s="20" t="s">
        <v>10178</v>
      </c>
      <c r="D27279" s="20" t="s">
        <v>10201</v>
      </c>
      <c r="E27279" s="10">
        <v>1270245</v>
      </c>
      <c r="F27279" s="4" t="str">
        <f>IF(B27279=B27278,"",B27279)</f>
        <v>Hāsimāra</v>
      </c>
    </row>
    <row r="27280" spans="1:6" ht="15.75" customHeight="1">
      <c r="A27280" s="16" t="str">
        <f ca="1">IFERROR(__xludf.DUMMYFUNCTION("GOOGLETRANSLATE(B39084,""en"",""pt"")"),"Hāsilpur")</f>
        <v>Hāsilpur</v>
      </c>
      <c r="B27280" s="20" t="s">
        <v>35012</v>
      </c>
      <c r="C27280" s="20" t="s">
        <v>19808</v>
      </c>
      <c r="D27280" s="20" t="s">
        <v>10184</v>
      </c>
      <c r="E27280" s="10">
        <v>1177042</v>
      </c>
      <c r="F27280" s="4" t="str">
        <f>IF(B27280=B27279,"",B27280)</f>
        <v>Hāsilpur</v>
      </c>
    </row>
    <row r="27281" spans="1:6" ht="15.75" customHeight="1">
      <c r="A27281" s="16" t="str">
        <f ca="1">IFERROR(__xludf.DUMMYFUNCTION("GOOGLETRANSLATE(B34490,""en"",""pt"")"),"Hashtrūd")</f>
        <v>Hashtrūd</v>
      </c>
      <c r="B27281" s="20" t="s">
        <v>34234</v>
      </c>
      <c r="C27281" s="20" t="s">
        <v>14240</v>
      </c>
      <c r="D27281" s="20" t="s">
        <v>14241</v>
      </c>
      <c r="E27281" s="10">
        <v>142554</v>
      </c>
      <c r="F27281" s="4" t="str">
        <f>IF(B27281=B27280,"",B27281)</f>
        <v>Hashtrūd</v>
      </c>
    </row>
    <row r="27282" spans="1:6" ht="15.75" customHeight="1">
      <c r="A27282" s="16" t="s">
        <v>14403</v>
      </c>
      <c r="B27282" s="15" t="s">
        <v>14404</v>
      </c>
      <c r="C27282" s="16" t="s">
        <v>14240</v>
      </c>
      <c r="D27282" s="16" t="s">
        <v>14241</v>
      </c>
      <c r="E27282" s="2">
        <v>142554</v>
      </c>
      <c r="F27282" s="4" t="e">
        <f>IF(B27282=#REF!,"",B27282)</f>
        <v>#REF!</v>
      </c>
    </row>
    <row r="27283" spans="1:6" ht="15.75" customHeight="1">
      <c r="A27283" s="15" t="s">
        <v>14402</v>
      </c>
      <c r="B27283" s="15" t="s">
        <v>14402</v>
      </c>
      <c r="C27283" s="15" t="s">
        <v>14240</v>
      </c>
      <c r="D27283" s="15" t="s">
        <v>14256</v>
      </c>
      <c r="E27283" s="2">
        <v>113343</v>
      </c>
      <c r="F27283" s="4" t="e">
        <f>IF(B27283=#REF!,"",B27283)</f>
        <v>#REF!</v>
      </c>
    </row>
    <row r="27284" spans="1:6" ht="15.75" customHeight="1">
      <c r="A27284" s="16" t="s">
        <v>15942</v>
      </c>
      <c r="B27284" s="15" t="s">
        <v>15942</v>
      </c>
      <c r="C27284" s="16" t="s">
        <v>15704</v>
      </c>
      <c r="D27284" s="16" t="s">
        <v>15902</v>
      </c>
      <c r="E27284" s="2">
        <v>1863082</v>
      </c>
      <c r="F27284" s="4" t="e">
        <f>IF(B27284=#REF!,"",B27284)</f>
        <v>#REF!</v>
      </c>
    </row>
    <row r="27285" spans="1:6" ht="15.75" customHeight="1">
      <c r="A27285" s="16" t="s">
        <v>8548</v>
      </c>
      <c r="B27285" s="15" t="s">
        <v>8548</v>
      </c>
      <c r="C27285" s="16" t="s">
        <v>8028</v>
      </c>
      <c r="D27285" s="16" t="s">
        <v>8072</v>
      </c>
      <c r="E27285" s="2">
        <v>7302786</v>
      </c>
      <c r="F27285" s="4" t="e">
        <f>IF(B27285=#REF!,"",B27285)</f>
        <v>#REF!</v>
      </c>
    </row>
    <row r="27286" spans="1:6" ht="15.75" customHeight="1">
      <c r="A27286" s="15" t="s">
        <v>11475</v>
      </c>
      <c r="B27286" s="15" t="s">
        <v>11475</v>
      </c>
      <c r="C27286" s="15" t="s">
        <v>10178</v>
      </c>
      <c r="D27286" s="15" t="s">
        <v>10193</v>
      </c>
      <c r="E27286" s="2">
        <v>1270251</v>
      </c>
      <c r="F27286" s="4" t="str">
        <f>IF(B27286=B27285,"",B27286)</f>
        <v>Hasanpur</v>
      </c>
    </row>
    <row r="27287" spans="1:6" ht="15.75" customHeight="1">
      <c r="A27287" s="16" t="str">
        <f ca="1">IFERROR(__xludf.DUMMYFUNCTION("GOOGLETRANSLATE(B39085,""en"",""pt"")"),"Hasan Abdāl")</f>
        <v>Hasan Abdāl</v>
      </c>
      <c r="B27287" s="20" t="s">
        <v>35013</v>
      </c>
      <c r="C27287" s="20" t="s">
        <v>19808</v>
      </c>
      <c r="D27287" s="20" t="s">
        <v>10184</v>
      </c>
      <c r="E27287" s="10">
        <v>1177064</v>
      </c>
      <c r="F27287" s="4" t="str">
        <f>IF(B27287=B27286,"",B27287)</f>
        <v>Hasan Abdāl</v>
      </c>
    </row>
    <row r="27288" spans="1:6" ht="15.75" customHeight="1">
      <c r="A27288" s="16" t="s">
        <v>19941</v>
      </c>
      <c r="B27288" s="15" t="s">
        <v>19942</v>
      </c>
      <c r="C27288" s="16" t="s">
        <v>19808</v>
      </c>
      <c r="D27288" s="16" t="s">
        <v>10184</v>
      </c>
      <c r="E27288" s="2">
        <v>1177064</v>
      </c>
      <c r="F27288" s="4" t="e">
        <f>IF(B27288=#REF!,"",B27288)</f>
        <v>#REF!</v>
      </c>
    </row>
    <row r="27289" spans="1:6" ht="15.75" customHeight="1">
      <c r="A27289" s="15" t="s">
        <v>15941</v>
      </c>
      <c r="B27289" s="15" t="s">
        <v>15941</v>
      </c>
      <c r="C27289" s="15" t="s">
        <v>15704</v>
      </c>
      <c r="D27289" s="15" t="s">
        <v>15707</v>
      </c>
      <c r="E27289" s="2">
        <v>2112802</v>
      </c>
      <c r="F27289" s="4" t="e">
        <f>IF(B27289=#REF!,"",B27289)</f>
        <v>#REF!</v>
      </c>
    </row>
    <row r="27290" spans="1:6" ht="15.75" customHeight="1">
      <c r="A27290" s="15" t="s">
        <v>28833</v>
      </c>
      <c r="B27290" s="15" t="s">
        <v>28833</v>
      </c>
      <c r="C27290" s="15" t="s">
        <v>27788</v>
      </c>
      <c r="D27290" s="15" t="s">
        <v>27827</v>
      </c>
      <c r="E27290" s="2">
        <v>4327047</v>
      </c>
      <c r="F27290" s="4" t="str">
        <f>IF(B27290=B27289,"",B27290)</f>
        <v>Harvey</v>
      </c>
    </row>
    <row r="27291" spans="1:6" ht="15.75" customHeight="1">
      <c r="A27291" s="16" t="str">
        <f ca="1">IFERROR(__xludf.DUMMYFUNCTION("GOOGLETRANSLATE(B33377,""en"",""pt"")"),"Harūr")</f>
        <v>Harūr</v>
      </c>
      <c r="B27291" s="20" t="s">
        <v>33673</v>
      </c>
      <c r="C27291" s="20" t="s">
        <v>10178</v>
      </c>
      <c r="D27291" s="20" t="s">
        <v>10196</v>
      </c>
      <c r="E27291" s="10">
        <v>1270265</v>
      </c>
      <c r="F27291" s="4" t="e">
        <f>IF(B27291=#REF!,"",B27291)</f>
        <v>#REF!</v>
      </c>
    </row>
    <row r="27292" spans="1:6" ht="15.75" customHeight="1">
      <c r="A27292" s="16" t="s">
        <v>19940</v>
      </c>
      <c r="B27292" s="15" t="s">
        <v>19940</v>
      </c>
      <c r="C27292" s="16" t="s">
        <v>19808</v>
      </c>
      <c r="D27292" s="16" t="s">
        <v>10184</v>
      </c>
      <c r="E27292" s="2">
        <v>1177073</v>
      </c>
      <c r="F27292" s="4" t="str">
        <f>IF(B27292=B27291,"",B27292)</f>
        <v>Haru Zbad</v>
      </c>
    </row>
    <row r="27293" spans="1:6" ht="15.75" customHeight="1">
      <c r="A27293" s="16" t="str">
        <f ca="1">IFERROR(__xludf.DUMMYFUNCTION("GOOGLETRANSLATE(B33378,""en"",""pt"")"),"Harsūd")</f>
        <v>Harsūd</v>
      </c>
      <c r="B27293" s="20" t="s">
        <v>33674</v>
      </c>
      <c r="C27293" s="20" t="s">
        <v>10178</v>
      </c>
      <c r="D27293" s="20" t="s">
        <v>10219</v>
      </c>
      <c r="E27293" s="10">
        <v>1270271</v>
      </c>
      <c r="F27293" s="4" t="e">
        <f>IF(B27293=#REF!,"",B27293)</f>
        <v>#REF!</v>
      </c>
    </row>
    <row r="27294" spans="1:6" ht="15.75" customHeight="1">
      <c r="A27294" s="15" t="s">
        <v>19717</v>
      </c>
      <c r="B27294" s="15" t="s">
        <v>19717</v>
      </c>
      <c r="C27294" s="15" t="s">
        <v>19695</v>
      </c>
      <c r="D27294" s="15" t="s">
        <v>19718</v>
      </c>
      <c r="E27294" s="2">
        <v>3153823</v>
      </c>
      <c r="F27294" s="4" t="str">
        <f>IF(B27294=B27293,"",B27294)</f>
        <v>Harstad</v>
      </c>
    </row>
    <row r="27295" spans="1:6" ht="15.75" customHeight="1">
      <c r="A27295" s="16" t="str">
        <f ca="1">IFERROR(__xludf.DUMMYFUNCTION("GOOGLETRANSLATE(B34443,""en"",""pt"")"),"Harsīn")</f>
        <v>Harsīn</v>
      </c>
      <c r="B27295" s="20" t="s">
        <v>34195</v>
      </c>
      <c r="C27295" s="20" t="s">
        <v>14240</v>
      </c>
      <c r="D27295" s="20" t="s">
        <v>34120</v>
      </c>
      <c r="E27295" s="10">
        <v>131962</v>
      </c>
      <c r="F27295" s="4" t="e">
        <f>IF(B27295=#REF!,"",B27295)</f>
        <v>#REF!</v>
      </c>
    </row>
    <row r="27296" spans="1:6" ht="15.75" customHeight="1">
      <c r="A27296" s="16" t="s">
        <v>8547</v>
      </c>
      <c r="B27296" s="15" t="s">
        <v>8547</v>
      </c>
      <c r="C27296" s="16" t="s">
        <v>8028</v>
      </c>
      <c r="D27296" s="16" t="s">
        <v>8029</v>
      </c>
      <c r="E27296" s="2">
        <v>2910278</v>
      </c>
      <c r="F27296" s="4" t="str">
        <f>IF(B27296=B27295,"",B27296)</f>
        <v>Harsewinkel</v>
      </c>
    </row>
    <row r="27297" spans="1:6" ht="15.75" customHeight="1">
      <c r="A27297" s="15" t="s">
        <v>14399</v>
      </c>
      <c r="B27297" s="15" t="s">
        <v>14400</v>
      </c>
      <c r="C27297" s="15" t="s">
        <v>14240</v>
      </c>
      <c r="D27297" s="15" t="s">
        <v>14401</v>
      </c>
      <c r="E27297" s="2">
        <v>131962</v>
      </c>
      <c r="F27297" s="4" t="str">
        <f>IF(B27297=B27296,"",B27297)</f>
        <v>HarsÄ«n</v>
      </c>
    </row>
    <row r="27298" spans="1:6" ht="15.75" customHeight="1">
      <c r="A27298" s="15" t="s">
        <v>11473</v>
      </c>
      <c r="B27298" s="15" t="s">
        <v>11474</v>
      </c>
      <c r="C27298" s="15" t="s">
        <v>10178</v>
      </c>
      <c r="D27298" s="15" t="s">
        <v>10219</v>
      </c>
      <c r="E27298" s="2">
        <v>1270271</v>
      </c>
      <c r="F27298" s="4" t="e">
        <f>IF(B27298=#REF!,"",B27298)</f>
        <v>#REF!</v>
      </c>
    </row>
    <row r="27299" spans="1:6" ht="15.75" customHeight="1">
      <c r="A27299" s="15" t="s">
        <v>28832</v>
      </c>
      <c r="B27299" s="15" t="s">
        <v>28832</v>
      </c>
      <c r="C27299" s="15" t="s">
        <v>27788</v>
      </c>
      <c r="D27299" s="15" t="s">
        <v>27819</v>
      </c>
      <c r="E27299" s="2">
        <v>5120095</v>
      </c>
      <c r="F27299" s="4" t="e">
        <f>IF(B27299=#REF!,"",B27299)</f>
        <v>#REF!</v>
      </c>
    </row>
    <row r="27300" spans="1:6" ht="15.75" customHeight="1">
      <c r="A27300" s="16" t="s">
        <v>23905</v>
      </c>
      <c r="B27300" s="15" t="s">
        <v>23905</v>
      </c>
      <c r="C27300" s="16" t="s">
        <v>23842</v>
      </c>
      <c r="D27300" s="16" t="s">
        <v>23845</v>
      </c>
      <c r="E27300" s="2">
        <v>997751</v>
      </c>
      <c r="F27300" s="4" t="e">
        <f>IF(B27300=#REF!,"",B27300)</f>
        <v>#REF!</v>
      </c>
    </row>
    <row r="27301" spans="1:6" ht="15.75" customHeight="1">
      <c r="A27301" s="16" t="s">
        <v>28831</v>
      </c>
      <c r="B27301" s="15" t="s">
        <v>28831</v>
      </c>
      <c r="C27301" s="16" t="s">
        <v>27788</v>
      </c>
      <c r="D27301" s="16" t="s">
        <v>27836</v>
      </c>
      <c r="E27301" s="2">
        <v>5192726</v>
      </c>
      <c r="F27301" s="4" t="e">
        <f>IF(B27301=#REF!,"",B27301)</f>
        <v>#REF!</v>
      </c>
    </row>
    <row r="27302" spans="1:6" ht="15.75" customHeight="1">
      <c r="A27302" s="15" t="s">
        <v>27442</v>
      </c>
      <c r="B27302" s="15" t="s">
        <v>27442</v>
      </c>
      <c r="C27302" s="15" t="s">
        <v>27234</v>
      </c>
      <c r="D27302" s="15" t="s">
        <v>27241</v>
      </c>
      <c r="E27302" s="2">
        <v>8581595</v>
      </c>
      <c r="F27302" s="4" t="e">
        <f>IF(B27302=#REF!,"",B27302)</f>
        <v>#REF!</v>
      </c>
    </row>
    <row r="27303" spans="1:6" ht="15.75" customHeight="1">
      <c r="A27303" s="15" t="s">
        <v>17060</v>
      </c>
      <c r="B27303" s="15" t="s">
        <v>17060</v>
      </c>
      <c r="C27303" s="15" t="s">
        <v>5687</v>
      </c>
      <c r="D27303" s="15" t="s">
        <v>17061</v>
      </c>
      <c r="E27303" s="2">
        <v>2276492</v>
      </c>
      <c r="F27303" s="4" t="e">
        <f>IF(B27303=#REF!,"",B27303)</f>
        <v>#REF!</v>
      </c>
    </row>
    <row r="27304" spans="1:6" ht="15.75" customHeight="1">
      <c r="A27304" s="16" t="s">
        <v>11472</v>
      </c>
      <c r="B27304" s="15" t="s">
        <v>11472</v>
      </c>
      <c r="C27304" s="16" t="s">
        <v>10178</v>
      </c>
      <c r="D27304" s="16" t="s">
        <v>10252</v>
      </c>
      <c r="E27304" s="2">
        <v>1270287</v>
      </c>
      <c r="F27304" s="4" t="str">
        <f>IF(B27304=B27303,"",B27304)</f>
        <v>Harpanahalli</v>
      </c>
    </row>
    <row r="27305" spans="1:6" ht="15.75" customHeight="1">
      <c r="A27305" s="16" t="str">
        <f ca="1">IFERROR(__xludf.DUMMYFUNCTION("GOOGLETRANSLATE(B33380,""en"",""pt"")"),"Harpālpur")</f>
        <v>Harpālpur</v>
      </c>
      <c r="B27305" s="20" t="s">
        <v>33675</v>
      </c>
      <c r="C27305" s="20" t="s">
        <v>10178</v>
      </c>
      <c r="D27305" s="20" t="s">
        <v>10219</v>
      </c>
      <c r="E27305" s="10">
        <v>1270291</v>
      </c>
      <c r="F27305" s="4" t="str">
        <f>IF(B27305=B27304,"",B27305)</f>
        <v>Harpālpur</v>
      </c>
    </row>
    <row r="27306" spans="1:6" ht="15.75" customHeight="1">
      <c r="A27306" s="16" t="s">
        <v>11470</v>
      </c>
      <c r="B27306" s="15" t="s">
        <v>11471</v>
      </c>
      <c r="C27306" s="16" t="s">
        <v>10178</v>
      </c>
      <c r="D27306" s="16" t="s">
        <v>10219</v>
      </c>
      <c r="E27306" s="2">
        <v>1270291</v>
      </c>
      <c r="F27306" s="4" t="str">
        <f>IF(B27306=B27305,"",B27306)</f>
        <v>HarpÄlpur</v>
      </c>
    </row>
    <row r="27307" spans="1:6" ht="15.75" customHeight="1">
      <c r="A27307" s="16" t="str">
        <f ca="1">IFERROR(__xludf.DUMMYFUNCTION("GOOGLETRANSLATE(B41188,""en"",""pt"")"),"Härnösand")</f>
        <v>Härnösand</v>
      </c>
      <c r="B27307" s="20" t="s">
        <v>35654</v>
      </c>
      <c r="C27307" s="20" t="s">
        <v>25077</v>
      </c>
      <c r="D27307" s="20" t="s">
        <v>35631</v>
      </c>
      <c r="E27307" s="10">
        <v>2707684</v>
      </c>
      <c r="F27307" s="4" t="e">
        <f>IF(B27307=#REF!,"",B27307)</f>
        <v>#REF!</v>
      </c>
    </row>
    <row r="27308" spans="1:6" ht="15.75" customHeight="1">
      <c r="A27308" s="15" t="s">
        <v>19939</v>
      </c>
      <c r="B27308" s="15" t="s">
        <v>19939</v>
      </c>
      <c r="C27308" s="15" t="s">
        <v>19808</v>
      </c>
      <c r="D27308" s="15" t="s">
        <v>10184</v>
      </c>
      <c r="E27308" s="2">
        <v>1177089</v>
      </c>
      <c r="F27308" s="4" t="e">
        <f>IF(B27308=#REF!,"",B27308)</f>
        <v>#REF!</v>
      </c>
    </row>
    <row r="27309" spans="1:6" ht="15.75" customHeight="1">
      <c r="A27309" s="15" t="s">
        <v>18982</v>
      </c>
      <c r="B27309" s="15" t="s">
        <v>18982</v>
      </c>
      <c r="C27309" s="15" t="s">
        <v>18862</v>
      </c>
      <c r="D27309" s="15" t="s">
        <v>18943</v>
      </c>
      <c r="E27309" s="2">
        <v>2754817</v>
      </c>
      <c r="F27309" s="4" t="e">
        <f>IF(B27309=#REF!,"",B27309)</f>
        <v>#REF!</v>
      </c>
    </row>
    <row r="27310" spans="1:6" ht="15.75" customHeight="1">
      <c r="A27310" s="16" t="s">
        <v>28830</v>
      </c>
      <c r="B27310" s="15" t="s">
        <v>28830</v>
      </c>
      <c r="C27310" s="16" t="s">
        <v>27788</v>
      </c>
      <c r="D27310" s="16" t="s">
        <v>27792</v>
      </c>
      <c r="E27310" s="2">
        <v>4696202</v>
      </c>
      <c r="F27310" s="4" t="str">
        <f>IF(B27310=B27309,"",B27310)</f>
        <v>Harker Heights</v>
      </c>
    </row>
    <row r="27311" spans="1:6" ht="15.75" customHeight="1">
      <c r="A27311" s="16" t="str">
        <f ca="1">IFERROR(__xludf.DUMMYFUNCTION("GOOGLETRANSLATE(B39088,""en"",""pt"")"),"Harīpur")</f>
        <v>Harīpur</v>
      </c>
      <c r="B27311" s="20" t="s">
        <v>35014</v>
      </c>
      <c r="C27311" s="20" t="s">
        <v>19808</v>
      </c>
      <c r="D27311" s="20" t="s">
        <v>19811</v>
      </c>
      <c r="E27311" s="10">
        <v>1177107</v>
      </c>
      <c r="F27311" s="4" t="str">
        <f>IF(B27311=B27310,"",B27311)</f>
        <v>Harīpur</v>
      </c>
    </row>
    <row r="27312" spans="1:6" ht="15.75" customHeight="1">
      <c r="A27312" s="16" t="str">
        <f ca="1">IFERROR(__xludf.DUMMYFUNCTION("GOOGLETRANSLATE(B33381,""en"",""pt"")"),"Hārij")</f>
        <v>Hārij</v>
      </c>
      <c r="B27312" s="20" t="s">
        <v>33676</v>
      </c>
      <c r="C27312" s="20" t="s">
        <v>10178</v>
      </c>
      <c r="D27312" s="20" t="s">
        <v>10209</v>
      </c>
      <c r="E27312" s="10">
        <v>1270343</v>
      </c>
      <c r="F27312" s="4" t="e">
        <f>IF(B27312=#REF!,"",B27312)</f>
        <v>#REF!</v>
      </c>
    </row>
    <row r="27313" spans="1:6" ht="15.75" customHeight="1">
      <c r="A27313" s="15" t="s">
        <v>11469</v>
      </c>
      <c r="B27313" s="15" t="s">
        <v>11469</v>
      </c>
      <c r="C27313" s="15" t="s">
        <v>10178</v>
      </c>
      <c r="D27313" s="15" t="s">
        <v>10252</v>
      </c>
      <c r="E27313" s="2">
        <v>1270349</v>
      </c>
      <c r="F27313" s="4" t="e">
        <f>IF(B27313=#REF!,"",B27313)</f>
        <v>#REF!</v>
      </c>
    </row>
    <row r="27314" spans="1:6" ht="15.75" customHeight="1">
      <c r="A27314" s="15" t="s">
        <v>11468</v>
      </c>
      <c r="B27314" s="15" t="s">
        <v>11468</v>
      </c>
      <c r="C27314" s="15" t="s">
        <v>10178</v>
      </c>
      <c r="D27314" s="15" t="s">
        <v>10299</v>
      </c>
      <c r="E27314" s="2">
        <v>1270351</v>
      </c>
      <c r="F27314" s="4" t="e">
        <f>IF(B27314=#REF!,"",B27314)</f>
        <v>#REF!</v>
      </c>
    </row>
    <row r="27315" spans="1:6" ht="15.75" customHeight="1">
      <c r="A27315" s="15" t="s">
        <v>23824</v>
      </c>
      <c r="B27315" s="15" t="s">
        <v>23824</v>
      </c>
      <c r="C27315" s="15" t="s">
        <v>23800</v>
      </c>
      <c r="D27315" s="15" t="s">
        <v>23808</v>
      </c>
      <c r="E27315" s="2">
        <v>57289</v>
      </c>
      <c r="F27315" s="4" t="e">
        <f>IF(B27315=#REF!,"",B27315)</f>
        <v>#REF!</v>
      </c>
    </row>
    <row r="27316" spans="1:6" ht="15.75" customHeight="1">
      <c r="A27316" s="16" t="s">
        <v>18981</v>
      </c>
      <c r="B27316" s="15" t="s">
        <v>18981</v>
      </c>
      <c r="C27316" s="16" t="s">
        <v>18862</v>
      </c>
      <c r="D27316" s="16" t="s">
        <v>18863</v>
      </c>
      <c r="E27316" s="2">
        <v>2754837</v>
      </c>
      <c r="F27316" s="4" t="e">
        <f>IF(B27316=#REF!,"",B27316)</f>
        <v>#REF!</v>
      </c>
    </row>
    <row r="27317" spans="1:6" ht="15.75" customHeight="1">
      <c r="A27317" s="15" t="s">
        <v>8546</v>
      </c>
      <c r="B27317" s="15" t="s">
        <v>8546</v>
      </c>
      <c r="C27317" s="15" t="s">
        <v>8028</v>
      </c>
      <c r="D27317" s="15" t="s">
        <v>8034</v>
      </c>
      <c r="E27317" s="2">
        <v>2910514</v>
      </c>
      <c r="F27317" s="4" t="e">
        <f>IF(B27317=#REF!,"",B27317)</f>
        <v>#REF!</v>
      </c>
    </row>
    <row r="27318" spans="1:6" ht="15.75" customHeight="1">
      <c r="A27318" s="16" t="s">
        <v>1586</v>
      </c>
      <c r="B27318" s="15" t="s">
        <v>1586</v>
      </c>
      <c r="C27318" s="16" t="s">
        <v>1512</v>
      </c>
      <c r="D27318" s="16" t="s">
        <v>1513</v>
      </c>
      <c r="E27318" s="2">
        <v>2796542</v>
      </c>
      <c r="F27318" s="4" t="str">
        <f>IF(B27318=B27317,"",B27318)</f>
        <v>Harelbeke</v>
      </c>
    </row>
    <row r="27319" spans="1:6" ht="15.75" customHeight="1">
      <c r="A27319" s="16" t="str">
        <f ca="1">IFERROR(__xludf.DUMMYFUNCTION("GOOGLETRANSLATE(B33384,""en"",""pt"")"),"Hardoī")</f>
        <v>Hardoī</v>
      </c>
      <c r="B27319" s="20" t="s">
        <v>33677</v>
      </c>
      <c r="C27319" s="20" t="s">
        <v>10178</v>
      </c>
      <c r="D27319" s="20" t="s">
        <v>10193</v>
      </c>
      <c r="E27319" s="10">
        <v>1270370</v>
      </c>
      <c r="F27319" s="4" t="str">
        <f>IF(B27319=B27318,"",B27319)</f>
        <v>Hardoī</v>
      </c>
    </row>
    <row r="27320" spans="1:6" ht="15.75" customHeight="1">
      <c r="A27320" s="15" t="s">
        <v>11466</v>
      </c>
      <c r="B27320" s="15" t="s">
        <v>11467</v>
      </c>
      <c r="C27320" s="15" t="s">
        <v>10178</v>
      </c>
      <c r="D27320" s="15" t="s">
        <v>10193</v>
      </c>
      <c r="E27320" s="2">
        <v>1270370</v>
      </c>
      <c r="F27320" s="4" t="e">
        <f>IF(B27320=#REF!,"",B27320)</f>
        <v>#REF!</v>
      </c>
    </row>
    <row r="27321" spans="1:6" ht="15.75" customHeight="1">
      <c r="A27321" s="16" t="s">
        <v>18980</v>
      </c>
      <c r="B27321" s="15" t="s">
        <v>18980</v>
      </c>
      <c r="C27321" s="16" t="s">
        <v>18862</v>
      </c>
      <c r="D27321" s="16" t="s">
        <v>18865</v>
      </c>
      <c r="E27321" s="2">
        <v>2754848</v>
      </c>
      <c r="F27321" s="4" t="e">
        <f>IF(B27321=#REF!,"",B27321)</f>
        <v>#REF!</v>
      </c>
    </row>
    <row r="27322" spans="1:6" ht="15.75" customHeight="1">
      <c r="A27322" s="16" t="s">
        <v>18979</v>
      </c>
      <c r="B27322" s="15" t="s">
        <v>18979</v>
      </c>
      <c r="C27322" s="16" t="s">
        <v>18862</v>
      </c>
      <c r="D27322" s="16" t="s">
        <v>18871</v>
      </c>
      <c r="E27322" s="2">
        <v>2754861</v>
      </c>
      <c r="F27322" s="4" t="str">
        <f>IF(B27322=B27321,"",B27322)</f>
        <v>Hardenberg</v>
      </c>
    </row>
    <row r="27323" spans="1:6" ht="15.75" customHeight="1">
      <c r="A27323" s="16" t="str">
        <f ca="1">IFERROR(__xludf.DUMMYFUNCTION("GOOGLETRANSLATE(B33385,""en"",""pt"")"),"HARA KHAs")</f>
        <v>HARA KHAs</v>
      </c>
      <c r="B27323" s="20" t="s">
        <v>33678</v>
      </c>
      <c r="C27323" s="20" t="s">
        <v>10178</v>
      </c>
      <c r="D27323" s="20" t="s">
        <v>10219</v>
      </c>
      <c r="E27323" s="10">
        <v>1270375</v>
      </c>
      <c r="F27323" s="4" t="str">
        <f>IF(B27323=B27322,"",B27323)</f>
        <v>Harda Khās</v>
      </c>
    </row>
    <row r="27324" spans="1:6" ht="15.75" customHeight="1">
      <c r="A27324" s="16" t="s">
        <v>11464</v>
      </c>
      <c r="B27324" s="15" t="s">
        <v>11465</v>
      </c>
      <c r="C27324" s="16" t="s">
        <v>10178</v>
      </c>
      <c r="D27324" s="16" t="s">
        <v>10219</v>
      </c>
      <c r="E27324" s="2">
        <v>1270375</v>
      </c>
      <c r="F27324" s="4" t="e">
        <f>IF(B27324=#REF!,"",B27324)</f>
        <v>#REF!</v>
      </c>
    </row>
    <row r="27325" spans="1:6" ht="15.75" customHeight="1">
      <c r="A27325" s="15" t="s">
        <v>8545</v>
      </c>
      <c r="B27325" s="15" t="s">
        <v>8545</v>
      </c>
      <c r="C27325" s="15" t="s">
        <v>8028</v>
      </c>
      <c r="D27325" s="15" t="s">
        <v>8059</v>
      </c>
      <c r="E27325" s="2">
        <v>2910685</v>
      </c>
      <c r="F27325" s="4" t="e">
        <f>IF(B27325=#REF!,"",B27325)</f>
        <v>#REF!</v>
      </c>
    </row>
    <row r="27326" spans="1:6" ht="15.75" customHeight="1">
      <c r="A27326" s="15" t="s">
        <v>4730</v>
      </c>
      <c r="B27326" s="15" t="s">
        <v>4730</v>
      </c>
      <c r="C27326" s="15" t="s">
        <v>4487</v>
      </c>
      <c r="D27326" s="15" t="s">
        <v>4488</v>
      </c>
      <c r="E27326" s="2">
        <v>2037013</v>
      </c>
      <c r="F27326" s="4" t="str">
        <f>IF(B27326=B27325,"",B27326)</f>
        <v>Harbin</v>
      </c>
    </row>
    <row r="27327" spans="1:6" ht="15.75" customHeight="1">
      <c r="A27327" s="16" t="str">
        <f ca="1">IFERROR(__xludf.DUMMYFUNCTION("GOOGLETRANSLATE(B41427,""en"",""pt"")"),"Ḩarastā")</f>
        <v>Ḩarastā</v>
      </c>
      <c r="B27327" s="20" t="s">
        <v>35746</v>
      </c>
      <c r="C27327" s="20" t="s">
        <v>25366</v>
      </c>
      <c r="D27327" s="20" t="s">
        <v>25372</v>
      </c>
      <c r="E27327" s="10">
        <v>169897</v>
      </c>
      <c r="F27327" s="4" t="e">
        <f>IF(B27327=#REF!,"",B27327)</f>
        <v>#REF!</v>
      </c>
    </row>
    <row r="27328" spans="1:6" ht="15.75" customHeight="1">
      <c r="A27328" s="15" t="s">
        <v>31085</v>
      </c>
      <c r="B27328" s="15" t="s">
        <v>31085</v>
      </c>
      <c r="C27328" s="15" t="s">
        <v>31072</v>
      </c>
      <c r="D27328" s="15" t="s">
        <v>31085</v>
      </c>
      <c r="E27328" s="2">
        <v>890299</v>
      </c>
      <c r="F27328" s="4" t="e">
        <f>IF(B27328=#REF!,"",B27328)</f>
        <v>#REF!</v>
      </c>
    </row>
    <row r="27329" spans="1:6" ht="15.75" customHeight="1">
      <c r="A27329" s="15" t="s">
        <v>6886</v>
      </c>
      <c r="B27329" s="15" t="s">
        <v>6886</v>
      </c>
      <c r="C27329" s="15" t="s">
        <v>6807</v>
      </c>
      <c r="D27329" s="15" t="s">
        <v>6887</v>
      </c>
      <c r="E27329" s="2">
        <v>335035</v>
      </c>
      <c r="F27329" s="4" t="str">
        <f>IF(B27329=B27328,"",B27329)</f>
        <v>Harar</v>
      </c>
    </row>
    <row r="27330" spans="1:6" ht="15.75" customHeight="1">
      <c r="A27330" s="15" t="s">
        <v>11462</v>
      </c>
      <c r="B27330" s="15" t="s">
        <v>11463</v>
      </c>
      <c r="C27330" s="15" t="s">
        <v>10178</v>
      </c>
      <c r="D27330" s="15" t="s">
        <v>10196</v>
      </c>
      <c r="E27330" s="2">
        <v>1270265</v>
      </c>
      <c r="F27330" s="4" t="str">
        <f>IF(B27330=B27329,"",B27330)</f>
        <v>HarÅ«r</v>
      </c>
    </row>
    <row r="27331" spans="1:6" ht="15.75" customHeight="1">
      <c r="A27331" s="16" t="s">
        <v>19937</v>
      </c>
      <c r="B27331" s="15" t="s">
        <v>19938</v>
      </c>
      <c r="C27331" s="16" t="s">
        <v>19808</v>
      </c>
      <c r="D27331" s="16" t="s">
        <v>19811</v>
      </c>
      <c r="E27331" s="2">
        <v>1177107</v>
      </c>
      <c r="F27331" s="4" t="e">
        <f>IF(B27331=#REF!,"",B27331)</f>
        <v>#REF!</v>
      </c>
    </row>
    <row r="27332" spans="1:6" ht="15.75" customHeight="1">
      <c r="A27332" s="16" t="s">
        <v>30546</v>
      </c>
      <c r="B27332" s="15" t="s">
        <v>30546</v>
      </c>
      <c r="C27332" s="16" t="s">
        <v>30502</v>
      </c>
      <c r="D27332" s="16" t="s">
        <v>30528</v>
      </c>
      <c r="E27332" s="2">
        <v>1513655</v>
      </c>
      <c r="F27332" s="4" t="str">
        <f>IF(B27332=B27331,"",B27332)</f>
        <v>Haqqulobod</v>
      </c>
    </row>
    <row r="27333" spans="1:6" ht="15.75" customHeight="1">
      <c r="A27333" s="16" t="str">
        <f ca="1">IFERROR(__xludf.DUMMYFUNCTION("GOOGLETRANSLATE(B33386,""en"",""pt"")"),"Hāpur")</f>
        <v>Hāpur</v>
      </c>
      <c r="B27333" s="20" t="s">
        <v>33679</v>
      </c>
      <c r="C27333" s="20" t="s">
        <v>10178</v>
      </c>
      <c r="D27333" s="20" t="s">
        <v>10193</v>
      </c>
      <c r="E27333" s="10">
        <v>1270393</v>
      </c>
      <c r="F27333" s="4" t="str">
        <f>IF(B27333=B27332,"",B27333)</f>
        <v>Hāpur</v>
      </c>
    </row>
    <row r="27334" spans="1:6" ht="15.75" customHeight="1">
      <c r="A27334" s="16" t="str">
        <f ca="1">IFERROR(__xludf.DUMMYFUNCTION("GOOGLETRANSLATE(B33387,""en"",""pt"")"),"Hāora")</f>
        <v>Hāora</v>
      </c>
      <c r="B27334" s="20" t="s">
        <v>33680</v>
      </c>
      <c r="C27334" s="20" t="s">
        <v>10178</v>
      </c>
      <c r="D27334" s="20" t="s">
        <v>10201</v>
      </c>
      <c r="E27334" s="10">
        <v>1270396</v>
      </c>
      <c r="F27334" s="4" t="e">
        <f>IF(B27334=#REF!,"",B27334)</f>
        <v>#REF!</v>
      </c>
    </row>
    <row r="27335" spans="1:6" ht="15.75" customHeight="1">
      <c r="A27335" s="16" t="s">
        <v>4729</v>
      </c>
      <c r="B27335" s="15" t="s">
        <v>4729</v>
      </c>
      <c r="C27335" s="16" t="s">
        <v>4487</v>
      </c>
      <c r="D27335" s="16" t="s">
        <v>4497</v>
      </c>
      <c r="E27335" s="2">
        <v>1808857</v>
      </c>
      <c r="F27335" s="4" t="str">
        <f>IF(B27335=B27334,"",B27335)</f>
        <v>Hanzhong</v>
      </c>
    </row>
    <row r="27336" spans="1:6" ht="15.75" customHeight="1">
      <c r="A27336" s="16" t="str">
        <f ca="1">IFERROR(__xludf.DUMMYFUNCTION("GOOGLETRANSLATE(B35613,""en"",""pt"")"),"Hanyū")</f>
        <v>Hanyū</v>
      </c>
      <c r="B27336" s="20" t="s">
        <v>34375</v>
      </c>
      <c r="C27336" s="20" t="s">
        <v>15704</v>
      </c>
      <c r="D27336" s="20" t="s">
        <v>15710</v>
      </c>
      <c r="E27336" s="10">
        <v>1863173</v>
      </c>
      <c r="F27336" s="4" t="str">
        <f>IF(B27336=B27335,"",B27336)</f>
        <v>Hanyū</v>
      </c>
    </row>
    <row r="27337" spans="1:6" ht="15.75" customHeight="1">
      <c r="A27337" s="15" t="s">
        <v>15939</v>
      </c>
      <c r="B27337" s="15" t="s">
        <v>15940</v>
      </c>
      <c r="C27337" s="15" t="s">
        <v>15704</v>
      </c>
      <c r="D27337" s="15" t="s">
        <v>15710</v>
      </c>
      <c r="E27337" s="2">
        <v>1863173</v>
      </c>
      <c r="F27337" s="4" t="e">
        <f>IF(B27337=#REF!,"",B27337)</f>
        <v>#REF!</v>
      </c>
    </row>
    <row r="27338" spans="1:6" ht="15.75" customHeight="1">
      <c r="A27338" s="16" t="s">
        <v>24945</v>
      </c>
      <c r="B27338" s="15" t="s">
        <v>24945</v>
      </c>
      <c r="C27338" s="16" t="s">
        <v>24924</v>
      </c>
      <c r="D27338" s="16" t="s">
        <v>6944</v>
      </c>
      <c r="E27338" s="2">
        <v>1244773</v>
      </c>
      <c r="F27338" s="4" t="str">
        <f>IF(B27338=B27337,"",B27338)</f>
        <v>Hanwella Ihala</v>
      </c>
    </row>
    <row r="27339" spans="1:6" ht="15.75" customHeight="1">
      <c r="A27339" s="16" t="str">
        <f ca="1">IFERROR(__xludf.DUMMYFUNCTION("GOOGLETRANSLATE(B33388,""en"",""pt"")"),"Hanumāngarh")</f>
        <v>Hanumāngarh</v>
      </c>
      <c r="B27339" s="20" t="s">
        <v>33681</v>
      </c>
      <c r="C27339" s="20" t="s">
        <v>10178</v>
      </c>
      <c r="D27339" s="20" t="s">
        <v>10179</v>
      </c>
      <c r="E27339" s="10">
        <v>1270407</v>
      </c>
      <c r="F27339" s="4" t="str">
        <f>IF(B27339=B27338,"",B27339)</f>
        <v>Hanumāngarh</v>
      </c>
    </row>
    <row r="27340" spans="1:6" ht="15.75" customHeight="1">
      <c r="A27340" s="16" t="s">
        <v>11460</v>
      </c>
      <c r="B27340" s="15" t="s">
        <v>11461</v>
      </c>
      <c r="C27340" s="16" t="s">
        <v>10178</v>
      </c>
      <c r="D27340" s="16" t="s">
        <v>10179</v>
      </c>
      <c r="E27340" s="2">
        <v>1270407</v>
      </c>
      <c r="F27340" s="4" t="e">
        <f>IF(B27340=#REF!,"",B27340)</f>
        <v>#REF!</v>
      </c>
    </row>
    <row r="27341" spans="1:6" ht="15.75" customHeight="1">
      <c r="A27341" s="15" t="s">
        <v>4728</v>
      </c>
      <c r="B27341" s="15" t="s">
        <v>4728</v>
      </c>
      <c r="C27341" s="15" t="s">
        <v>4487</v>
      </c>
      <c r="D27341" s="15" t="s">
        <v>4503</v>
      </c>
      <c r="E27341" s="2">
        <v>1808879</v>
      </c>
      <c r="F27341" s="4" t="str">
        <f>IF(B27341=B27340,"",B27341)</f>
        <v>Hanting</v>
      </c>
    </row>
    <row r="27342" spans="1:6" ht="15.75" customHeight="1">
      <c r="A27342" s="16" t="str">
        <f ca="1">IFERROR(__xludf.DUMMYFUNCTION("GOOGLETRANSLATE(B33389,""en"",""pt"")"),"Hānsi")</f>
        <v>Hānsi</v>
      </c>
      <c r="B27342" s="20" t="s">
        <v>33682</v>
      </c>
      <c r="C27342" s="20" t="s">
        <v>10178</v>
      </c>
      <c r="D27342" s="20" t="s">
        <v>10224</v>
      </c>
      <c r="E27342" s="10">
        <v>1270417</v>
      </c>
      <c r="F27342" s="4" t="e">
        <f>IF(B27342=#REF!,"",B27342)</f>
        <v>#REF!</v>
      </c>
    </row>
    <row r="27343" spans="1:6" ht="15.75" customHeight="1">
      <c r="A27343" s="16" t="s">
        <v>28829</v>
      </c>
      <c r="B27343" s="15" t="s">
        <v>28829</v>
      </c>
      <c r="C27343" s="16" t="s">
        <v>27788</v>
      </c>
      <c r="D27343" s="16" t="s">
        <v>27799</v>
      </c>
      <c r="E27343" s="2">
        <v>4895066</v>
      </c>
      <c r="F27343" s="4" t="e">
        <f>IF(B27343=#REF!,"",B27343)</f>
        <v>#REF!</v>
      </c>
    </row>
    <row r="27344" spans="1:6" ht="15.75" customHeight="1">
      <c r="A27344" s="15" t="s">
        <v>28828</v>
      </c>
      <c r="B27344" s="15" t="s">
        <v>28828</v>
      </c>
      <c r="C27344" s="15" t="s">
        <v>27788</v>
      </c>
      <c r="D27344" s="15" t="s">
        <v>17061</v>
      </c>
      <c r="E27344" s="2">
        <v>4357340</v>
      </c>
      <c r="F27344" s="4" t="e">
        <f>IF(B27344=#REF!,"",B27344)</f>
        <v>#REF!</v>
      </c>
    </row>
    <row r="27345" spans="1:6" ht="15.75" customHeight="1">
      <c r="A27345" s="15" t="s">
        <v>30856</v>
      </c>
      <c r="B27345" s="15" t="s">
        <v>30857</v>
      </c>
      <c r="C27345" s="15" t="s">
        <v>30784</v>
      </c>
      <c r="D27345" s="15" t="s">
        <v>30844</v>
      </c>
      <c r="E27345" s="2">
        <v>1581130</v>
      </c>
      <c r="F27345" s="4" t="str">
        <f>IF(B27345=B27344,"",B27345)</f>
        <v>Hanoi</v>
      </c>
    </row>
    <row r="27346" spans="1:6" ht="15.75" customHeight="1">
      <c r="A27346" s="16" t="str">
        <f ca="1">IFERROR(__xludf.DUMMYFUNCTION("GOOGLETRANSLATE(B27738,""en"",""pt"")"),"Hannoversch Münde")</f>
        <v>Hannoversch Münde</v>
      </c>
      <c r="B27346" s="20" t="s">
        <v>32050</v>
      </c>
      <c r="C27346" s="20" t="s">
        <v>8028</v>
      </c>
      <c r="D27346" s="20" t="s">
        <v>8034</v>
      </c>
      <c r="E27346" s="10">
        <v>2867613</v>
      </c>
      <c r="F27346" s="4" t="str">
        <f>IF(B27346=B27345,"",B27346)</f>
        <v>Hannoversch Münden</v>
      </c>
    </row>
    <row r="27347" spans="1:6" ht="15.75" customHeight="1">
      <c r="A27347" s="16" t="s">
        <v>8543</v>
      </c>
      <c r="B27347" s="15" t="s">
        <v>8544</v>
      </c>
      <c r="C27347" s="16" t="s">
        <v>8028</v>
      </c>
      <c r="D27347" s="16" t="s">
        <v>8034</v>
      </c>
      <c r="E27347" s="2">
        <v>2867613</v>
      </c>
      <c r="F27347" s="4" t="e">
        <f>IF(B27347=#REF!,"",B27347)</f>
        <v>#REF!</v>
      </c>
    </row>
    <row r="27348" spans="1:6" ht="15.75" customHeight="1">
      <c r="A27348" s="15" t="s">
        <v>8542</v>
      </c>
      <c r="B27348" s="15" t="s">
        <v>8542</v>
      </c>
      <c r="C27348" s="15" t="s">
        <v>8028</v>
      </c>
      <c r="D27348" s="15" t="s">
        <v>8034</v>
      </c>
      <c r="E27348" s="2">
        <v>2910831</v>
      </c>
      <c r="F27348" s="4" t="str">
        <f>IF(B27348=B27347,"",B27348)</f>
        <v>Hannover</v>
      </c>
    </row>
    <row r="27349" spans="1:6" ht="15.75" customHeight="1">
      <c r="A27349" s="16" t="str">
        <f ca="1">IFERROR(__xludf.DUMMYFUNCTION("GOOGLETRANSLATE(B35614,""en"",""pt"")"),"Hannō")</f>
        <v>Hannō</v>
      </c>
      <c r="B27349" s="20" t="s">
        <v>34376</v>
      </c>
      <c r="C27349" s="20" t="s">
        <v>15704</v>
      </c>
      <c r="D27349" s="20" t="s">
        <v>15710</v>
      </c>
      <c r="E27349" s="10">
        <v>1863183</v>
      </c>
      <c r="F27349" s="4" t="e">
        <f>IF(B27349=#REF!,"",B27349)</f>
        <v>#REF!</v>
      </c>
    </row>
    <row r="27350" spans="1:6" ht="15.75" customHeight="1">
      <c r="A27350" s="15" t="s">
        <v>28826</v>
      </c>
      <c r="B27350" s="15" t="s">
        <v>28827</v>
      </c>
      <c r="C27350" s="15" t="s">
        <v>27788</v>
      </c>
      <c r="D27350" s="15" t="s">
        <v>27806</v>
      </c>
      <c r="E27350" s="2">
        <v>4389418</v>
      </c>
      <c r="F27350" s="4" t="str">
        <f>IF(B27350=B27349,"",B27350)</f>
        <v>Hannibal</v>
      </c>
    </row>
    <row r="27351" spans="1:6" ht="15.75" customHeight="1">
      <c r="A27351" s="15" t="s">
        <v>15937</v>
      </c>
      <c r="B27351" s="15" t="s">
        <v>15938</v>
      </c>
      <c r="C27351" s="15" t="s">
        <v>15704</v>
      </c>
      <c r="D27351" s="15" t="s">
        <v>15710</v>
      </c>
      <c r="E27351" s="2">
        <v>1863183</v>
      </c>
      <c r="F27351" s="4" t="e">
        <f>IF(B27351=#REF!,"",B27351)</f>
        <v>#REF!</v>
      </c>
    </row>
    <row r="27352" spans="1:6" ht="15.75" customHeight="1">
      <c r="A27352" s="15" t="s">
        <v>25133</v>
      </c>
      <c r="B27352" s="15" t="s">
        <v>25133</v>
      </c>
      <c r="C27352" s="15" t="s">
        <v>25077</v>
      </c>
      <c r="D27352" s="15" t="s">
        <v>25081</v>
      </c>
      <c r="E27352" s="2">
        <v>2707953</v>
      </c>
      <c r="F27352" s="4" t="e">
        <f>IF(B27352=#REF!,"",B27352)</f>
        <v>#REF!</v>
      </c>
    </row>
    <row r="27353" spans="1:6" ht="15.75" customHeight="1">
      <c r="A27353" s="16" t="s">
        <v>4727</v>
      </c>
      <c r="B27353" s="15" t="s">
        <v>4727</v>
      </c>
      <c r="C27353" s="16" t="s">
        <v>4487</v>
      </c>
      <c r="D27353" s="16" t="s">
        <v>4631</v>
      </c>
      <c r="E27353" s="2">
        <v>1808926</v>
      </c>
      <c r="F27353" s="4" t="e">
        <f>IF(B27353=#REF!,"",B27353)</f>
        <v>#REF!</v>
      </c>
    </row>
    <row r="27354" spans="1:6" ht="15.75" customHeight="1">
      <c r="A27354" s="15" t="s">
        <v>4725</v>
      </c>
      <c r="B27354" s="15" t="s">
        <v>4725</v>
      </c>
      <c r="C27354" s="15" t="s">
        <v>4487</v>
      </c>
      <c r="D27354" s="15" t="s">
        <v>4726</v>
      </c>
      <c r="E27354" s="2">
        <v>1808931</v>
      </c>
      <c r="F27354" s="4" t="str">
        <f>IF(B27354=B27353,"",B27354)</f>
        <v>Hangu</v>
      </c>
    </row>
    <row r="27355" spans="1:6" ht="15.75" customHeight="1">
      <c r="A27355" s="15" t="s">
        <v>19617</v>
      </c>
      <c r="B27355" s="15" t="s">
        <v>19618</v>
      </c>
      <c r="C27355" s="15" t="s">
        <v>19589</v>
      </c>
      <c r="D27355" s="15" t="s">
        <v>19616</v>
      </c>
      <c r="E27355" s="2">
        <v>1877030</v>
      </c>
      <c r="F27355" s="4" t="str">
        <f>IF(B27355=B27354,"",B27355)</f>
        <v>HÅ­ngnam</v>
      </c>
    </row>
    <row r="27356" spans="1:6" ht="15.75" customHeight="1">
      <c r="A27356" s="16" t="str">
        <f ca="1">IFERROR(__xludf.DUMMYFUNCTION("GOOGLETRANSLATE(B33390,""en"",""pt"")"),"Hāngal")</f>
        <v>Hāngal</v>
      </c>
      <c r="B27356" s="20" t="s">
        <v>33683</v>
      </c>
      <c r="C27356" s="20" t="s">
        <v>10178</v>
      </c>
      <c r="D27356" s="20" t="s">
        <v>10252</v>
      </c>
      <c r="E27356" s="10">
        <v>1270435</v>
      </c>
      <c r="F27356" s="4" t="e">
        <f>IF(B27356=#REF!,"",B27356)</f>
        <v>#REF!</v>
      </c>
    </row>
    <row r="27357" spans="1:6" ht="15.75" customHeight="1">
      <c r="A27357" s="16" t="s">
        <v>25881</v>
      </c>
      <c r="B27357" s="15" t="s">
        <v>25882</v>
      </c>
      <c r="C27357" s="16" t="s">
        <v>25771</v>
      </c>
      <c r="D27357" s="16" t="s">
        <v>25861</v>
      </c>
      <c r="E27357" s="2">
        <v>1153386</v>
      </c>
      <c r="F27357" s="4" t="e">
        <f>IF(B27357=#REF!,"",B27357)</f>
        <v>#REF!</v>
      </c>
    </row>
    <row r="27358" spans="1:6" ht="15.75" customHeight="1">
      <c r="A27358" s="15" t="s">
        <v>28825</v>
      </c>
      <c r="B27358" s="15" t="s">
        <v>28825</v>
      </c>
      <c r="C27358" s="15" t="s">
        <v>27788</v>
      </c>
      <c r="D27358" s="15" t="s">
        <v>27801</v>
      </c>
      <c r="E27358" s="2">
        <v>5355180</v>
      </c>
      <c r="F27358" s="4" t="str">
        <f>IF(B27358=B27357,"",B27358)</f>
        <v>Hanford</v>
      </c>
    </row>
    <row r="27359" spans="1:6" ht="15.75" customHeight="1">
      <c r="A27359" s="15" t="s">
        <v>23720</v>
      </c>
      <c r="B27359" s="15" t="s">
        <v>23721</v>
      </c>
      <c r="C27359" s="15" t="s">
        <v>23694</v>
      </c>
      <c r="D27359" s="15" t="s">
        <v>23715</v>
      </c>
      <c r="E27359" s="2">
        <v>3060139</v>
      </c>
      <c r="F27359" s="4" t="str">
        <f>IF(B27359=B27358,"",B27359)</f>
        <v>HandlovÃ¡</v>
      </c>
    </row>
    <row r="27360" spans="1:6" ht="15.75" customHeight="1">
      <c r="A27360" s="16" t="str">
        <f ca="1">IFERROR(__xludf.DUMMYFUNCTION("GOOGLETRANSLATE(B41262,""en"",""pt"")"),"Handlová")</f>
        <v>Handlová</v>
      </c>
      <c r="B27360" s="20" t="s">
        <v>35695</v>
      </c>
      <c r="C27360" s="20" t="s">
        <v>23694</v>
      </c>
      <c r="D27360" s="20" t="s">
        <v>23715</v>
      </c>
      <c r="E27360" s="10">
        <v>3060139</v>
      </c>
      <c r="F27360" s="4" t="str">
        <f>IF(B27360=B27359,"",B27360)</f>
        <v>Handlová</v>
      </c>
    </row>
    <row r="27361" spans="1:6" ht="15.75" customHeight="1">
      <c r="A27361" s="15" t="s">
        <v>11458</v>
      </c>
      <c r="B27361" s="15" t="s">
        <v>11459</v>
      </c>
      <c r="C27361" s="15" t="s">
        <v>10178</v>
      </c>
      <c r="D27361" s="15" t="s">
        <v>10193</v>
      </c>
      <c r="E27361" s="2">
        <v>1270437</v>
      </c>
      <c r="F27361" s="4" t="str">
        <f>IF(B27361=B27360,"",B27361)</f>
        <v>HandiÄ</v>
      </c>
    </row>
    <row r="27362" spans="1:6" ht="15.75" customHeight="1">
      <c r="A27362" s="16" t="str">
        <f ca="1">IFERROR(__xludf.DUMMYFUNCTION("GOOGLETRANSLATE(B33391,""en"",""pt"")"),"Handiā")</f>
        <v>Handiā</v>
      </c>
      <c r="B27362" s="20" t="s">
        <v>33684</v>
      </c>
      <c r="C27362" s="20" t="s">
        <v>10178</v>
      </c>
      <c r="D27362" s="20" t="s">
        <v>10193</v>
      </c>
      <c r="E27362" s="10">
        <v>1270437</v>
      </c>
      <c r="F27362" s="4" t="e">
        <f>IF(B27362=#REF!,"",B27362)</f>
        <v>#REF!</v>
      </c>
    </row>
    <row r="27363" spans="1:6" ht="15.75" customHeight="1">
      <c r="A27363" s="15" t="s">
        <v>4724</v>
      </c>
      <c r="B27363" s="15" t="s">
        <v>4724</v>
      </c>
      <c r="C27363" s="15" t="s">
        <v>4487</v>
      </c>
      <c r="D27363" s="15" t="s">
        <v>4529</v>
      </c>
      <c r="E27363" s="2">
        <v>1808963</v>
      </c>
      <c r="F27363" s="4" t="e">
        <f>IF(B27363=#REF!,"",B27363)</f>
        <v>#REF!</v>
      </c>
    </row>
    <row r="27364" spans="1:6" ht="15.75" customHeight="1">
      <c r="A27364" s="15" t="s">
        <v>15935</v>
      </c>
      <c r="B27364" s="15" t="s">
        <v>15936</v>
      </c>
      <c r="C27364" s="15" t="s">
        <v>15704</v>
      </c>
      <c r="D27364" s="15" t="s">
        <v>15729</v>
      </c>
      <c r="E27364" s="2">
        <v>1863209</v>
      </c>
      <c r="F27364" s="4" t="e">
        <f>IF(B27364=#REF!,"",B27364)</f>
        <v>#REF!</v>
      </c>
    </row>
    <row r="27365" spans="1:6" ht="15.75" customHeight="1">
      <c r="A27365" s="16" t="s">
        <v>4723</v>
      </c>
      <c r="B27365" s="15" t="s">
        <v>4723</v>
      </c>
      <c r="C27365" s="16" t="s">
        <v>4487</v>
      </c>
      <c r="D27365" s="16" t="s">
        <v>4499</v>
      </c>
      <c r="E27365" s="2">
        <v>1808977</v>
      </c>
      <c r="F27365" s="4" t="e">
        <f>IF(B27365=#REF!,"",B27365)</f>
        <v>#REF!</v>
      </c>
    </row>
    <row r="27366" spans="1:6" ht="15.75" customHeight="1">
      <c r="A27366" s="16" t="s">
        <v>4722</v>
      </c>
      <c r="B27366" s="15" t="s">
        <v>4722</v>
      </c>
      <c r="C27366" s="16" t="s">
        <v>4487</v>
      </c>
      <c r="D27366" s="16" t="s">
        <v>4511</v>
      </c>
      <c r="E27366" s="2">
        <v>1788522</v>
      </c>
      <c r="F27366" s="4" t="e">
        <f>IF(B27366=#REF!,"",B27366)</f>
        <v>#REF!</v>
      </c>
    </row>
    <row r="27367" spans="1:6" ht="15.75" customHeight="1">
      <c r="A27367" s="15" t="s">
        <v>15934</v>
      </c>
      <c r="B27367" s="15" t="s">
        <v>15934</v>
      </c>
      <c r="C27367" s="15" t="s">
        <v>15704</v>
      </c>
      <c r="D27367" s="15" t="s">
        <v>15716</v>
      </c>
      <c r="E27367" s="2">
        <v>2130146</v>
      </c>
      <c r="F27367" s="4" t="e">
        <f>IF(B27367=#REF!,"",B27367)</f>
        <v>#REF!</v>
      </c>
    </row>
    <row r="27368" spans="1:6" ht="15.75" customHeight="1">
      <c r="A27368" s="16" t="s">
        <v>8540</v>
      </c>
      <c r="B27368" s="15" t="s">
        <v>8541</v>
      </c>
      <c r="C27368" s="16" t="s">
        <v>8028</v>
      </c>
      <c r="D27368" s="16" t="s">
        <v>8050</v>
      </c>
      <c r="E27368" s="2">
        <v>2911007</v>
      </c>
      <c r="F27368" s="4" t="e">
        <f>IF(B27368=#REF!,"",B27368)</f>
        <v>#REF!</v>
      </c>
    </row>
    <row r="27369" spans="1:6" ht="15.75" customHeight="1">
      <c r="A27369" s="16" t="s">
        <v>15933</v>
      </c>
      <c r="B27369" s="15" t="s">
        <v>15933</v>
      </c>
      <c r="C27369" s="16" t="s">
        <v>15704</v>
      </c>
      <c r="D27369" s="16" t="s">
        <v>15745</v>
      </c>
      <c r="E27369" s="2">
        <v>2112823</v>
      </c>
      <c r="F27369" s="4" t="e">
        <f>IF(B27369=#REF!,"",B27369)</f>
        <v>#REF!</v>
      </c>
    </row>
    <row r="27370" spans="1:6" ht="15.75" customHeight="1">
      <c r="A27370" s="15" t="s">
        <v>24077</v>
      </c>
      <c r="B27370" s="15" t="s">
        <v>24077</v>
      </c>
      <c r="C27370" s="15" t="s">
        <v>24024</v>
      </c>
      <c r="D27370" s="15" t="s">
        <v>24028</v>
      </c>
      <c r="E27370" s="2">
        <v>1897007</v>
      </c>
      <c r="F27370" s="4" t="e">
        <f>IF(B27370=#REF!,"",B27370)</f>
        <v>#REF!</v>
      </c>
    </row>
    <row r="27371" spans="1:6" ht="15.75" customHeight="1">
      <c r="A27371" s="15" t="s">
        <v>28824</v>
      </c>
      <c r="B27371" s="15" t="s">
        <v>28824</v>
      </c>
      <c r="C27371" s="15" t="s">
        <v>27788</v>
      </c>
      <c r="D27371" s="15" t="s">
        <v>27811</v>
      </c>
      <c r="E27371" s="2">
        <v>4581023</v>
      </c>
      <c r="F27371" s="4" t="e">
        <f>IF(B27371=#REF!,"",B27371)</f>
        <v>#REF!</v>
      </c>
    </row>
    <row r="27372" spans="1:6" ht="15.75" customHeight="1">
      <c r="A27372" s="16" t="s">
        <v>28823</v>
      </c>
      <c r="B27372" s="15" t="s">
        <v>28823</v>
      </c>
      <c r="C27372" s="16" t="s">
        <v>27788</v>
      </c>
      <c r="D27372" s="16" t="s">
        <v>27804</v>
      </c>
      <c r="E27372" s="2">
        <v>4995197</v>
      </c>
      <c r="F27372" s="4" t="e">
        <f>IF(B27372=#REF!,"",B27372)</f>
        <v>#REF!</v>
      </c>
    </row>
    <row r="27373" spans="1:6" ht="15.75" customHeight="1">
      <c r="A27373" s="16" t="s">
        <v>996</v>
      </c>
      <c r="B27373" s="15" t="s">
        <v>996</v>
      </c>
      <c r="C27373" s="16" t="s">
        <v>885</v>
      </c>
      <c r="D27373" s="16" t="s">
        <v>827</v>
      </c>
      <c r="E27373" s="2">
        <v>2163990</v>
      </c>
      <c r="F27373" s="4" t="e">
        <f>IF(B27373=#REF!,"",B27373)</f>
        <v>#REF!</v>
      </c>
    </row>
    <row r="27374" spans="1:6" ht="15.75" customHeight="1">
      <c r="A27374" s="16" t="s">
        <v>28822</v>
      </c>
      <c r="B27374" s="15" t="s">
        <v>28822</v>
      </c>
      <c r="C27374" s="16" t="s">
        <v>27788</v>
      </c>
      <c r="D27374" s="16" t="s">
        <v>27827</v>
      </c>
      <c r="E27374" s="2">
        <v>4326868</v>
      </c>
      <c r="F27374" s="4" t="e">
        <f>IF(B27374=#REF!,"",B27374)</f>
        <v>#REF!</v>
      </c>
    </row>
    <row r="27375" spans="1:6" ht="15.75" customHeight="1">
      <c r="A27375" s="16" t="s">
        <v>8539</v>
      </c>
      <c r="B27375" s="15" t="s">
        <v>8539</v>
      </c>
      <c r="C27375" s="16" t="s">
        <v>8028</v>
      </c>
      <c r="D27375" s="16" t="s">
        <v>8029</v>
      </c>
      <c r="E27375" s="2">
        <v>2911051</v>
      </c>
      <c r="F27375" s="4" t="e">
        <f>IF(B27375=#REF!,"",B27375)</f>
        <v>#REF!</v>
      </c>
    </row>
    <row r="27376" spans="1:6" ht="15.75" customHeight="1">
      <c r="A27376" s="15" t="s">
        <v>1585</v>
      </c>
      <c r="B27376" s="15" t="s">
        <v>1585</v>
      </c>
      <c r="C27376" s="15" t="s">
        <v>1512</v>
      </c>
      <c r="D27376" s="15" t="s">
        <v>1513</v>
      </c>
      <c r="E27376" s="2">
        <v>2796637</v>
      </c>
      <c r="F27376" s="4" t="e">
        <f>IF(B27376=#REF!,"",B27376)</f>
        <v>#REF!</v>
      </c>
    </row>
    <row r="27377" spans="1:6" ht="15.75" customHeight="1">
      <c r="A27377" s="16" t="s">
        <v>26138</v>
      </c>
      <c r="B27377" s="15" t="s">
        <v>26138</v>
      </c>
      <c r="C27377" s="16" t="s">
        <v>26090</v>
      </c>
      <c r="D27377" s="16" t="s">
        <v>26094</v>
      </c>
      <c r="E27377" s="2">
        <v>2470588</v>
      </c>
      <c r="F27377" s="4" t="e">
        <f>IF(B27377=#REF!,"",B27377)</f>
        <v>#REF!</v>
      </c>
    </row>
    <row r="27378" spans="1:6" ht="15.75" customHeight="1">
      <c r="A27378" s="16" t="s">
        <v>363</v>
      </c>
      <c r="B27378" s="15" t="s">
        <v>363</v>
      </c>
      <c r="C27378" s="16" t="s">
        <v>153</v>
      </c>
      <c r="D27378" s="16" t="s">
        <v>264</v>
      </c>
      <c r="E27378" s="2">
        <v>2494548</v>
      </c>
      <c r="F27378" s="4" t="e">
        <f>IF(B27378=#REF!,"",B27378)</f>
        <v>#REF!</v>
      </c>
    </row>
    <row r="27379" spans="1:6" ht="15.75" customHeight="1">
      <c r="A27379" s="16" t="s">
        <v>26136</v>
      </c>
      <c r="B27379" s="15" t="s">
        <v>26137</v>
      </c>
      <c r="C27379" s="16" t="s">
        <v>26090</v>
      </c>
      <c r="D27379" s="16" t="s">
        <v>26091</v>
      </c>
      <c r="E27379" s="2">
        <v>2470579</v>
      </c>
      <c r="F27379" s="4" t="e">
        <f>IF(B27379=#REF!,"",B27379)</f>
        <v>#REF!</v>
      </c>
    </row>
    <row r="27380" spans="1:6" ht="15.75" customHeight="1">
      <c r="A27380" s="16" t="s">
        <v>362</v>
      </c>
      <c r="B27380" s="15" t="s">
        <v>362</v>
      </c>
      <c r="C27380" s="16" t="s">
        <v>153</v>
      </c>
      <c r="D27380" s="16" t="s">
        <v>209</v>
      </c>
      <c r="E27380" s="2">
        <v>2494554</v>
      </c>
      <c r="F27380" s="4" t="e">
        <f>IF(B27380=#REF!,"",B27380)</f>
        <v>#REF!</v>
      </c>
    </row>
    <row r="27381" spans="1:6" ht="15.75" customHeight="1">
      <c r="A27381" s="16" t="s">
        <v>361</v>
      </c>
      <c r="B27381" s="15" t="s">
        <v>361</v>
      </c>
      <c r="C27381" s="16" t="s">
        <v>153</v>
      </c>
      <c r="D27381" s="16" t="s">
        <v>157</v>
      </c>
      <c r="E27381" s="2">
        <v>2494610</v>
      </c>
      <c r="F27381" s="4" t="e">
        <f>IF(B27381=#REF!,"",B27381)</f>
        <v>#REF!</v>
      </c>
    </row>
    <row r="27382" spans="1:6" ht="15.75" customHeight="1">
      <c r="A27382" s="15" t="s">
        <v>8538</v>
      </c>
      <c r="B27382" s="15" t="s">
        <v>8538</v>
      </c>
      <c r="C27382" s="15" t="s">
        <v>8028</v>
      </c>
      <c r="D27382" s="15" t="s">
        <v>8029</v>
      </c>
      <c r="E27382" s="2">
        <v>2911240</v>
      </c>
      <c r="F27382" s="4" t="e">
        <f>IF(B27382=#REF!,"",B27382)</f>
        <v>#REF!</v>
      </c>
    </row>
    <row r="27383" spans="1:6" ht="15.75" customHeight="1">
      <c r="A27383" s="16" t="str">
        <f ca="1">IFERROR(__xludf.DUMMYFUNCTION("GOOGLETRANSLATE(B33392,""en"",""pt"")"),"Hamīrpur")</f>
        <v>Hamīrpur</v>
      </c>
      <c r="B27383" s="20" t="s">
        <v>33685</v>
      </c>
      <c r="C27383" s="20" t="s">
        <v>10178</v>
      </c>
      <c r="D27383" s="20" t="s">
        <v>10538</v>
      </c>
      <c r="E27383" s="10">
        <v>1270454</v>
      </c>
      <c r="F27383" s="4" t="e">
        <f>IF(B27383=#REF!,"",B27383)</f>
        <v>#REF!</v>
      </c>
    </row>
    <row r="27384" spans="1:6" ht="15.75" customHeight="1">
      <c r="A27384" s="15" t="s">
        <v>6957</v>
      </c>
      <c r="B27384" s="15" t="s">
        <v>6957</v>
      </c>
      <c r="C27384" s="15" t="s">
        <v>6948</v>
      </c>
      <c r="D27384" s="15" t="s">
        <v>6949</v>
      </c>
      <c r="E27384" s="2">
        <v>659169</v>
      </c>
      <c r="F27384" s="4" t="e">
        <f>IF(B27384=#REF!,"",B27384)</f>
        <v>#REF!</v>
      </c>
    </row>
    <row r="27385" spans="1:6" ht="15.75" customHeight="1">
      <c r="A27385" s="15" t="s">
        <v>1793</v>
      </c>
      <c r="B27385" s="15" t="s">
        <v>1793</v>
      </c>
      <c r="C27385" s="15" t="s">
        <v>1794</v>
      </c>
      <c r="D27385" s="15" t="s">
        <v>1795</v>
      </c>
      <c r="E27385" s="2">
        <v>3573197</v>
      </c>
      <c r="F27385" s="4" t="e">
        <f>IF(B27385=#REF!,"",B27385)</f>
        <v>#REF!</v>
      </c>
    </row>
    <row r="27386" spans="1:6" ht="15.75" customHeight="1">
      <c r="A27386" s="15" t="s">
        <v>4721</v>
      </c>
      <c r="B27386" s="15" t="s">
        <v>4721</v>
      </c>
      <c r="C27386" s="15" t="s">
        <v>4487</v>
      </c>
      <c r="D27386" s="15" t="s">
        <v>4490</v>
      </c>
      <c r="E27386" s="2">
        <v>1529484</v>
      </c>
      <c r="F27386" s="4" t="str">
        <f>IF(B27386=B27385,"",B27386)</f>
        <v>Hami</v>
      </c>
    </row>
    <row r="27387" spans="1:6" ht="15.75" customHeight="1">
      <c r="A27387" s="16" t="str">
        <f ca="1">IFERROR(__xludf.DUMMYFUNCTION("GOOGLETRANSLATE(B36014,""en"",""pt"")"),"Hamhŭng")</f>
        <v>Hamhŭng</v>
      </c>
      <c r="B27387" s="20" t="s">
        <v>34451</v>
      </c>
      <c r="C27387" s="20" t="s">
        <v>19589</v>
      </c>
      <c r="D27387" s="20" t="s">
        <v>34439</v>
      </c>
      <c r="E27387" s="10">
        <v>1877449</v>
      </c>
      <c r="F27387" s="4" t="str">
        <f>IF(B27387=B27386,"",B27387)</f>
        <v>Hamhŭng</v>
      </c>
    </row>
    <row r="27388" spans="1:6" ht="15.75" customHeight="1">
      <c r="A27388" s="15" t="s">
        <v>19614</v>
      </c>
      <c r="B27388" s="15" t="s">
        <v>19615</v>
      </c>
      <c r="C27388" s="15" t="s">
        <v>19589</v>
      </c>
      <c r="D27388" s="15" t="s">
        <v>19616</v>
      </c>
      <c r="E27388" s="2">
        <v>1877449</v>
      </c>
      <c r="F27388" s="4" t="e">
        <f>IF(B27388=#REF!,"",B27388)</f>
        <v>#REF!</v>
      </c>
    </row>
    <row r="27389" spans="1:6" ht="15.75" customHeight="1">
      <c r="A27389" s="15" t="s">
        <v>8537</v>
      </c>
      <c r="B27389" s="15" t="s">
        <v>8537</v>
      </c>
      <c r="C27389" s="15" t="s">
        <v>8028</v>
      </c>
      <c r="D27389" s="15" t="s">
        <v>8034</v>
      </c>
      <c r="E27389" s="2">
        <v>2911271</v>
      </c>
      <c r="F27389" s="4" t="str">
        <f>IF(B27389=B27388,"",B27389)</f>
        <v>Hameln</v>
      </c>
    </row>
    <row r="27390" spans="1:6" ht="15.75" customHeight="1">
      <c r="A27390" s="16" t="str">
        <f ca="1">IFERROR(__xludf.DUMMYFUNCTION("GOOGLETRANSLATE(B29659,""en"",""pt"")"),"Hämeenlinna")</f>
        <v>Hämeenlinna</v>
      </c>
      <c r="B27390" s="20" t="s">
        <v>32528</v>
      </c>
      <c r="C27390" s="20" t="s">
        <v>6948</v>
      </c>
      <c r="D27390" s="20" t="s">
        <v>32522</v>
      </c>
      <c r="E27390" s="10">
        <v>659180</v>
      </c>
      <c r="F27390" s="4" t="e">
        <f>IF(B27390=#REF!,"",B27390)</f>
        <v>#REF!</v>
      </c>
    </row>
    <row r="27391" spans="1:6" ht="15.75" customHeight="1">
      <c r="A27391" s="16" t="s">
        <v>8535</v>
      </c>
      <c r="B27391" s="15" t="s">
        <v>8536</v>
      </c>
      <c r="C27391" s="16" t="s">
        <v>8028</v>
      </c>
      <c r="D27391" s="16" t="s">
        <v>8059</v>
      </c>
      <c r="E27391" s="2">
        <v>8354626</v>
      </c>
      <c r="F27391" s="4" t="e">
        <f>IF(B27391=#REF!,"",B27391)</f>
        <v>#REF!</v>
      </c>
    </row>
    <row r="27392" spans="1:6" ht="15.75" customHeight="1">
      <c r="A27392" s="16" t="s">
        <v>8533</v>
      </c>
      <c r="B27392" s="15" t="s">
        <v>8534</v>
      </c>
      <c r="C27392" s="16" t="s">
        <v>8028</v>
      </c>
      <c r="D27392" s="16" t="s">
        <v>8059</v>
      </c>
      <c r="E27392" s="2">
        <v>2911288</v>
      </c>
      <c r="F27392" s="4" t="e">
        <f>IF(B27392=#REF!,"",B27392)</f>
        <v>#REF!</v>
      </c>
    </row>
    <row r="27393" spans="1:6" ht="15.75" customHeight="1">
      <c r="A27393" s="16" t="s">
        <v>8532</v>
      </c>
      <c r="B27393" s="15" t="s">
        <v>8059</v>
      </c>
      <c r="C27393" s="16" t="s">
        <v>8028</v>
      </c>
      <c r="D27393" s="16" t="s">
        <v>8059</v>
      </c>
      <c r="E27393" s="2">
        <v>2911298</v>
      </c>
      <c r="F27393" s="4" t="e">
        <f>IF(B27393=#REF!,"",B27393)</f>
        <v>#REF!</v>
      </c>
    </row>
    <row r="27394" spans="1:6" ht="15.75" customHeight="1">
      <c r="A27394" s="15" t="s">
        <v>19714</v>
      </c>
      <c r="B27394" s="15" t="s">
        <v>19715</v>
      </c>
      <c r="C27394" s="15" t="s">
        <v>19695</v>
      </c>
      <c r="D27394" s="15" t="s">
        <v>19716</v>
      </c>
      <c r="E27394" s="2">
        <v>3154084</v>
      </c>
      <c r="F27394" s="4" t="e">
        <f>IF(B27394=#REF!,"",B27394)</f>
        <v>#REF!</v>
      </c>
    </row>
    <row r="27395" spans="1:6" ht="15.75" customHeight="1">
      <c r="A27395" s="16" t="s">
        <v>15932</v>
      </c>
      <c r="B27395" s="15" t="s">
        <v>15932</v>
      </c>
      <c r="C27395" s="16" t="s">
        <v>15704</v>
      </c>
      <c r="D27395" s="16" t="s">
        <v>15719</v>
      </c>
      <c r="E27395" s="2">
        <v>1863279</v>
      </c>
      <c r="F27395" s="4" t="e">
        <f>IF(B27395=#REF!,"",B27395)</f>
        <v>#REF!</v>
      </c>
    </row>
    <row r="27396" spans="1:6" ht="15.75" customHeight="1">
      <c r="A27396" s="16" t="s">
        <v>15931</v>
      </c>
      <c r="B27396" s="15" t="s">
        <v>15931</v>
      </c>
      <c r="C27396" s="16" t="s">
        <v>15704</v>
      </c>
      <c r="D27396" s="16" t="s">
        <v>15809</v>
      </c>
      <c r="E27396" s="2">
        <v>1863289</v>
      </c>
      <c r="F27396" s="4" t="e">
        <f>IF(B27396=#REF!,"",B27396)</f>
        <v>#REF!</v>
      </c>
    </row>
    <row r="27397" spans="1:6" ht="15.75" customHeight="1">
      <c r="A27397" s="15" t="s">
        <v>15930</v>
      </c>
      <c r="B27397" s="15" t="s">
        <v>15930</v>
      </c>
      <c r="C27397" s="15" t="s">
        <v>15704</v>
      </c>
      <c r="D27397" s="15" t="s">
        <v>15809</v>
      </c>
      <c r="E27397" s="2">
        <v>1863293</v>
      </c>
      <c r="F27397" s="4" t="str">
        <f>IF(B27397=B27396,"",B27397)</f>
        <v>Hamakita</v>
      </c>
    </row>
    <row r="27398" spans="1:6" ht="15.75" customHeight="1">
      <c r="A27398" s="16" t="str">
        <f ca="1">IFERROR(__xludf.DUMMYFUNCTION("GOOGLETRANSLATE(B41428,""en"",""pt"")"),"Ḩamāh")</f>
        <v>Ḩamāh</v>
      </c>
      <c r="B27398" s="20" t="s">
        <v>35747</v>
      </c>
      <c r="C27398" s="20" t="s">
        <v>25366</v>
      </c>
      <c r="D27398" s="20" t="s">
        <v>25367</v>
      </c>
      <c r="E27398" s="10">
        <v>170017</v>
      </c>
      <c r="F27398" s="4" t="str">
        <f>IF(B27398=B27397,"",B27398)</f>
        <v>Ḩamāh</v>
      </c>
    </row>
    <row r="27399" spans="1:6" ht="15.75" customHeight="1">
      <c r="A27399" s="16" t="str">
        <f ca="1">IFERROR(__xludf.DUMMYFUNCTION("GOOGLETRANSLATE(B34444,""en"",""pt"")"),"Hamadān")</f>
        <v>Hamadān</v>
      </c>
      <c r="B27399" s="20" t="s">
        <v>34118</v>
      </c>
      <c r="C27399" s="20" t="s">
        <v>14240</v>
      </c>
      <c r="D27399" s="20" t="s">
        <v>34118</v>
      </c>
      <c r="E27399" s="10">
        <v>132144</v>
      </c>
      <c r="F27399" s="4" t="str">
        <f>IF(B27399=B27398,"",B27399)</f>
        <v>Hamadān</v>
      </c>
    </row>
    <row r="27400" spans="1:6" ht="15.75" customHeight="1">
      <c r="A27400" s="16" t="s">
        <v>14398</v>
      </c>
      <c r="B27400" s="15" t="s">
        <v>14261</v>
      </c>
      <c r="C27400" s="16" t="s">
        <v>14240</v>
      </c>
      <c r="D27400" s="16" t="s">
        <v>14261</v>
      </c>
      <c r="E27400" s="2">
        <v>132144</v>
      </c>
      <c r="F27400" s="4" t="e">
        <f>IF(B27400=#REF!,"",B27400)</f>
        <v>#REF!</v>
      </c>
    </row>
    <row r="27401" spans="1:6" ht="15.75" customHeight="1">
      <c r="A27401" s="15" t="s">
        <v>15929</v>
      </c>
      <c r="B27401" s="15" t="s">
        <v>15929</v>
      </c>
      <c r="C27401" s="15" t="s">
        <v>15704</v>
      </c>
      <c r="D27401" s="15" t="s">
        <v>15740</v>
      </c>
      <c r="E27401" s="2">
        <v>1863310</v>
      </c>
      <c r="F27401" s="4" t="e">
        <f>IF(B27401=#REF!,"",B27401)</f>
        <v>#REF!</v>
      </c>
    </row>
    <row r="27402" spans="1:6" ht="15.75" customHeight="1">
      <c r="A27402" s="16" t="s">
        <v>11456</v>
      </c>
      <c r="B27402" s="15" t="s">
        <v>11457</v>
      </c>
      <c r="C27402" s="16" t="s">
        <v>10178</v>
      </c>
      <c r="D27402" s="16" t="s">
        <v>10538</v>
      </c>
      <c r="E27402" s="2">
        <v>1270454</v>
      </c>
      <c r="F27402" s="4" t="e">
        <f>IF(B27402=#REF!,"",B27402)</f>
        <v>#REF!</v>
      </c>
    </row>
    <row r="27403" spans="1:6" ht="15.75" customHeight="1">
      <c r="A27403" s="16" t="s">
        <v>28820</v>
      </c>
      <c r="B27403" s="15" t="s">
        <v>28821</v>
      </c>
      <c r="C27403" s="16" t="s">
        <v>27788</v>
      </c>
      <c r="D27403" s="16" t="s">
        <v>27824</v>
      </c>
      <c r="E27403" s="2">
        <v>5029181</v>
      </c>
      <c r="F27403" s="4" t="str">
        <f>IF(B27403=B27402,"",B27403)</f>
        <v>Ham Lake</v>
      </c>
    </row>
    <row r="27404" spans="1:6" ht="15.75" customHeight="1">
      <c r="A27404" s="16" t="str">
        <f ca="1">IFERROR(__xludf.DUMMYFUNCTION("GOOGLETRANSLATE(B28866,""en"",""pt"")"),"Ḩalwān")</f>
        <v>Ḩalwān</v>
      </c>
      <c r="B27404" s="20" t="s">
        <v>32293</v>
      </c>
      <c r="C27404" s="20" t="s">
        <v>6495</v>
      </c>
      <c r="D27404" s="20" t="s">
        <v>6496</v>
      </c>
      <c r="E27404" s="10">
        <v>355795</v>
      </c>
      <c r="F27404" s="4" t="e">
        <f>IF(B27404=#REF!,"",B27404)</f>
        <v>#REF!</v>
      </c>
    </row>
    <row r="27405" spans="1:6" ht="15.75" customHeight="1">
      <c r="A27405" s="15" t="s">
        <v>8531</v>
      </c>
      <c r="B27405" s="15" t="s">
        <v>8531</v>
      </c>
      <c r="C27405" s="15" t="s">
        <v>8028</v>
      </c>
      <c r="D27405" s="15" t="s">
        <v>8029</v>
      </c>
      <c r="E27405" s="2">
        <v>2911384</v>
      </c>
      <c r="F27405" s="4" t="e">
        <f>IF(B27405=#REF!,"",B27405)</f>
        <v>#REF!</v>
      </c>
    </row>
    <row r="27406" spans="1:6" ht="15.75" customHeight="1">
      <c r="A27406" s="15" t="s">
        <v>11455</v>
      </c>
      <c r="B27406" s="15" t="s">
        <v>11455</v>
      </c>
      <c r="C27406" s="15" t="s">
        <v>10178</v>
      </c>
      <c r="D27406" s="15" t="s">
        <v>10209</v>
      </c>
      <c r="E27406" s="2">
        <v>1270466</v>
      </c>
      <c r="F27406" s="4" t="e">
        <f>IF(B27406=#REF!,"",B27406)</f>
        <v>#REF!</v>
      </c>
    </row>
    <row r="27407" spans="1:6" ht="15.75" customHeight="1">
      <c r="A27407" s="16" t="s">
        <v>28819</v>
      </c>
      <c r="B27407" s="15" t="s">
        <v>28819</v>
      </c>
      <c r="C27407" s="16" t="s">
        <v>27788</v>
      </c>
      <c r="D27407" s="16" t="s">
        <v>27792</v>
      </c>
      <c r="E27407" s="2">
        <v>4695912</v>
      </c>
      <c r="F27407" s="4" t="e">
        <f>IF(B27407=#REF!,"",B27407)</f>
        <v>#REF!</v>
      </c>
    </row>
    <row r="27408" spans="1:6" ht="15.75" customHeight="1">
      <c r="A27408" s="15" t="s">
        <v>8530</v>
      </c>
      <c r="B27408" s="15" t="s">
        <v>8530</v>
      </c>
      <c r="C27408" s="15" t="s">
        <v>8028</v>
      </c>
      <c r="D27408" s="15" t="s">
        <v>8029</v>
      </c>
      <c r="E27408" s="2">
        <v>2911395</v>
      </c>
      <c r="F27408" s="4" t="e">
        <f>IF(B27408=#REF!,"",B27408)</f>
        <v>#REF!</v>
      </c>
    </row>
    <row r="27409" spans="1:6" ht="15.75" customHeight="1">
      <c r="A27409" s="16" t="s">
        <v>8529</v>
      </c>
      <c r="B27409" s="15" t="s">
        <v>8529</v>
      </c>
      <c r="C27409" s="16" t="s">
        <v>8028</v>
      </c>
      <c r="D27409" s="16" t="s">
        <v>8040</v>
      </c>
      <c r="E27409" s="2">
        <v>2911408</v>
      </c>
      <c r="F27409" s="4" t="str">
        <f>IF(B27409=B27408,"",B27409)</f>
        <v>Halstenbek</v>
      </c>
    </row>
    <row r="27410" spans="1:6" ht="15.75" customHeight="1">
      <c r="A27410" s="16" t="str">
        <f ca="1">IFERROR(__xludf.DUMMYFUNCTION("GOOGLETRANSLATE(B33395,""en"",""pt"")"),"Hālol")</f>
        <v>Hālol</v>
      </c>
      <c r="B27410" s="20" t="s">
        <v>33686</v>
      </c>
      <c r="C27410" s="20" t="s">
        <v>10178</v>
      </c>
      <c r="D27410" s="20" t="s">
        <v>10209</v>
      </c>
      <c r="E27410" s="10">
        <v>1270474</v>
      </c>
      <c r="F27410" s="4" t="e">
        <f>IF(B27410=#REF!,"",B27410)</f>
        <v>#REF!</v>
      </c>
    </row>
    <row r="27411" spans="1:6" ht="15.75" customHeight="1">
      <c r="A27411" s="15" t="s">
        <v>25132</v>
      </c>
      <c r="B27411" s="15" t="s">
        <v>25132</v>
      </c>
      <c r="C27411" s="15" t="s">
        <v>25077</v>
      </c>
      <c r="D27411" s="15" t="s">
        <v>25119</v>
      </c>
      <c r="E27411" s="2">
        <v>2708365</v>
      </c>
      <c r="F27411" s="4" t="e">
        <f>IF(B27411=#REF!,"",B27411)</f>
        <v>#REF!</v>
      </c>
    </row>
    <row r="27412" spans="1:6" ht="15.75" customHeight="1">
      <c r="A27412" s="15" t="s">
        <v>7393</v>
      </c>
      <c r="B27412" s="15" t="s">
        <v>7393</v>
      </c>
      <c r="C27412" s="15" t="s">
        <v>7052</v>
      </c>
      <c r="D27412" s="15" t="s">
        <v>7078</v>
      </c>
      <c r="E27412" s="2">
        <v>3014034</v>
      </c>
      <c r="F27412" s="4" t="e">
        <f>IF(B27412=#REF!,"",B27412)</f>
        <v>#REF!</v>
      </c>
    </row>
    <row r="27413" spans="1:6" ht="15.75" customHeight="1">
      <c r="A27413" s="15" t="s">
        <v>1131</v>
      </c>
      <c r="B27413" s="15" t="s">
        <v>1131</v>
      </c>
      <c r="C27413" s="15" t="s">
        <v>1117</v>
      </c>
      <c r="D27413" s="15" t="s">
        <v>1120</v>
      </c>
      <c r="E27413" s="2">
        <v>2776951</v>
      </c>
      <c r="F27413" s="4" t="e">
        <f>IF(B27413=#REF!,"",B27413)</f>
        <v>#REF!</v>
      </c>
    </row>
    <row r="27414" spans="1:6" ht="15.75" customHeight="1">
      <c r="A27414" s="16" t="s">
        <v>8528</v>
      </c>
      <c r="B27414" s="15" t="s">
        <v>8528</v>
      </c>
      <c r="C27414" s="16" t="s">
        <v>8028</v>
      </c>
      <c r="D27414" s="16" t="s">
        <v>8085</v>
      </c>
      <c r="E27414" s="2">
        <v>7289614</v>
      </c>
      <c r="F27414" s="4" t="e">
        <f>IF(B27414=#REF!,"",B27414)</f>
        <v>#REF!</v>
      </c>
    </row>
    <row r="27415" spans="1:6" ht="15.75" customHeight="1">
      <c r="A27415" s="16" t="s">
        <v>8527</v>
      </c>
      <c r="B27415" s="15" t="s">
        <v>8527</v>
      </c>
      <c r="C27415" s="16" t="s">
        <v>8028</v>
      </c>
      <c r="D27415" s="16" t="s">
        <v>8085</v>
      </c>
      <c r="E27415" s="2">
        <v>2911522</v>
      </c>
      <c r="F27415" s="4" t="e">
        <f>IF(B27415=#REF!,"",B27415)</f>
        <v>#REF!</v>
      </c>
    </row>
    <row r="27416" spans="1:6" ht="15.75" customHeight="1">
      <c r="A27416" s="15" t="s">
        <v>1584</v>
      </c>
      <c r="B27416" s="15" t="s">
        <v>1584</v>
      </c>
      <c r="C27416" s="15" t="s">
        <v>1512</v>
      </c>
      <c r="D27416" s="15" t="s">
        <v>1513</v>
      </c>
      <c r="E27416" s="2">
        <v>2796696</v>
      </c>
      <c r="F27416" s="4" t="e">
        <f>IF(B27416=#REF!,"",B27416)</f>
        <v>#REF!</v>
      </c>
    </row>
    <row r="27417" spans="1:6" ht="15.75" customHeight="1">
      <c r="A27417" s="16" t="s">
        <v>28818</v>
      </c>
      <c r="B27417" s="15" t="s">
        <v>28818</v>
      </c>
      <c r="C27417" s="16" t="s">
        <v>27788</v>
      </c>
      <c r="D27417" s="16" t="s">
        <v>5468</v>
      </c>
      <c r="E27417" s="2">
        <v>4157898</v>
      </c>
      <c r="F27417" s="4" t="e">
        <f>IF(B27417=#REF!,"",B27417)</f>
        <v>#REF!</v>
      </c>
    </row>
    <row r="27418" spans="1:6" ht="15.75" customHeight="1">
      <c r="A27418" s="15" t="s">
        <v>11454</v>
      </c>
      <c r="B27418" s="15" t="s">
        <v>11454</v>
      </c>
      <c r="C27418" s="15" t="s">
        <v>10178</v>
      </c>
      <c r="D27418" s="15" t="s">
        <v>10252</v>
      </c>
      <c r="E27418" s="2">
        <v>1270482</v>
      </c>
      <c r="F27418" s="4" t="str">
        <f>IF(B27418=B27417,"",B27418)</f>
        <v>Haliyal</v>
      </c>
    </row>
    <row r="27419" spans="1:6" ht="15.75" customHeight="1">
      <c r="A27419" s="16" t="str">
        <f ca="1">IFERROR(__xludf.DUMMYFUNCTION("GOOGLETRANSLATE(B33397,""en"",""pt"")"),"Hālīsahar")</f>
        <v>Hālīsahar</v>
      </c>
      <c r="B27419" s="20" t="s">
        <v>33687</v>
      </c>
      <c r="C27419" s="20" t="s">
        <v>10178</v>
      </c>
      <c r="D27419" s="20" t="s">
        <v>10201</v>
      </c>
      <c r="E27419" s="10">
        <v>1270484</v>
      </c>
      <c r="F27419" s="4" t="e">
        <f>IF(B27419=#REF!,"",B27419)</f>
        <v>#REF!</v>
      </c>
    </row>
    <row r="27420" spans="1:6" ht="15.75" customHeight="1">
      <c r="A27420" s="15" t="s">
        <v>4064</v>
      </c>
      <c r="B27420" s="15" t="s">
        <v>4064</v>
      </c>
      <c r="C27420" s="15" t="s">
        <v>3975</v>
      </c>
      <c r="D27420" s="15" t="s">
        <v>4027</v>
      </c>
      <c r="E27420" s="2">
        <v>6324729</v>
      </c>
      <c r="F27420" s="4" t="str">
        <f>IF(B27420=B27419,"",B27420)</f>
        <v>Halifax</v>
      </c>
    </row>
    <row r="27421" spans="1:6" ht="15.75" customHeight="1">
      <c r="A27421" s="16" t="str">
        <f ca="1">IFERROR(__xludf.DUMMYFUNCTION("GOOGLETRANSLATE(B39546,""en"",""pt"")"),"Ḩalḩūl")</f>
        <v>Ḩalḩūl</v>
      </c>
      <c r="B27421" s="20" t="s">
        <v>35274</v>
      </c>
      <c r="C27421" s="20" t="s">
        <v>20297</v>
      </c>
      <c r="D27421" s="20" t="s">
        <v>20298</v>
      </c>
      <c r="E27421" s="10">
        <v>283806</v>
      </c>
      <c r="F27421" s="4" t="str">
        <f>IF(B27421=B27420,"",B27421)</f>
        <v>Ḩalḩūl</v>
      </c>
    </row>
    <row r="27422" spans="1:6" ht="15.75" customHeight="1">
      <c r="A27422" s="16" t="str">
        <f ca="1">IFERROR(__xludf.DUMMYFUNCTION("GOOGLETRANSLATE(B41429,""en"",""pt"")"),"Ḩalfāyā")</f>
        <v>Ḩalfāyā</v>
      </c>
      <c r="B27422" s="20" t="s">
        <v>35748</v>
      </c>
      <c r="C27422" s="20" t="s">
        <v>25366</v>
      </c>
      <c r="D27422" s="20" t="s">
        <v>25367</v>
      </c>
      <c r="E27422" s="10">
        <v>170044</v>
      </c>
      <c r="F27422" s="4" t="e">
        <f>IF(B27422=#REF!,"",B27422)</f>
        <v>#REF!</v>
      </c>
    </row>
    <row r="27423" spans="1:6" ht="15.75" customHeight="1">
      <c r="A27423" s="16" t="s">
        <v>15680</v>
      </c>
      <c r="B27423" s="15" t="s">
        <v>15681</v>
      </c>
      <c r="C27423" s="16" t="s">
        <v>15682</v>
      </c>
      <c r="D27423" s="16" t="s">
        <v>15683</v>
      </c>
      <c r="E27423" s="2">
        <v>3490165</v>
      </c>
      <c r="F27423" s="4" t="e">
        <f>IF(B27423=#REF!,"",B27423)</f>
        <v>#REF!</v>
      </c>
    </row>
    <row r="27424" spans="1:6" ht="15.75" customHeight="1">
      <c r="A27424" s="15" t="s">
        <v>27441</v>
      </c>
      <c r="B27424" s="15" t="s">
        <v>27441</v>
      </c>
      <c r="C27424" s="15" t="s">
        <v>27234</v>
      </c>
      <c r="D27424" s="15" t="s">
        <v>27241</v>
      </c>
      <c r="E27424" s="2">
        <v>6640028</v>
      </c>
      <c r="F27424" s="4" t="e">
        <f>IF(B27424=#REF!,"",B27424)</f>
        <v>#REF!</v>
      </c>
    </row>
    <row r="27425" spans="1:6" ht="15.75" customHeight="1">
      <c r="A27425" s="15" t="s">
        <v>11453</v>
      </c>
      <c r="B27425" s="15" t="s">
        <v>11453</v>
      </c>
      <c r="C27425" s="15" t="s">
        <v>10178</v>
      </c>
      <c r="D27425" s="15" t="s">
        <v>10299</v>
      </c>
      <c r="E27425" s="2">
        <v>1270498</v>
      </c>
      <c r="F27425" s="4" t="e">
        <f>IF(B27425=#REF!,"",B27425)</f>
        <v>#REF!</v>
      </c>
    </row>
    <row r="27426" spans="1:6" ht="15.75" customHeight="1">
      <c r="A27426" s="15" t="s">
        <v>11452</v>
      </c>
      <c r="B27426" s="15" t="s">
        <v>11452</v>
      </c>
      <c r="C27426" s="15" t="s">
        <v>10178</v>
      </c>
      <c r="D27426" s="15" t="s">
        <v>10201</v>
      </c>
      <c r="E27426" s="2">
        <v>1344377</v>
      </c>
      <c r="F27426" s="4" t="e">
        <f>IF(B27426=#REF!,"",B27426)</f>
        <v>#REF!</v>
      </c>
    </row>
    <row r="27427" spans="1:6" ht="15.75" customHeight="1">
      <c r="A27427" s="16" t="s">
        <v>8525</v>
      </c>
      <c r="B27427" s="15" t="s">
        <v>8526</v>
      </c>
      <c r="C27427" s="16" t="s">
        <v>8028</v>
      </c>
      <c r="D27427" s="16" t="s">
        <v>8085</v>
      </c>
      <c r="E27427" s="2">
        <v>2911584</v>
      </c>
      <c r="F27427" s="4" t="e">
        <f>IF(B27427=#REF!,"",B27427)</f>
        <v>#REF!</v>
      </c>
    </row>
    <row r="27428" spans="1:6" ht="15.75" customHeight="1">
      <c r="A27428" s="15" t="s">
        <v>19713</v>
      </c>
      <c r="B27428" s="15" t="s">
        <v>19713</v>
      </c>
      <c r="C27428" s="15" t="s">
        <v>19695</v>
      </c>
      <c r="D27428" s="15" t="s">
        <v>19709</v>
      </c>
      <c r="E27428" s="2">
        <v>3154209</v>
      </c>
      <c r="F27428" s="4" t="e">
        <f>IF(B27428=#REF!,"",B27428)</f>
        <v>#REF!</v>
      </c>
    </row>
    <row r="27429" spans="1:6" ht="15.75" customHeight="1">
      <c r="A27429" s="15" t="s">
        <v>11451</v>
      </c>
      <c r="B27429" s="15" t="s">
        <v>11451</v>
      </c>
      <c r="C27429" s="15" t="s">
        <v>10178</v>
      </c>
      <c r="D27429" s="15" t="s">
        <v>10193</v>
      </c>
      <c r="E27429" s="2">
        <v>1270509</v>
      </c>
      <c r="F27429" s="4" t="e">
        <f>IF(B27429=#REF!,"",B27429)</f>
        <v>#REF!</v>
      </c>
    </row>
    <row r="27430" spans="1:6" ht="15.75" customHeight="1">
      <c r="A27430" s="16" t="s">
        <v>8524</v>
      </c>
      <c r="B27430" s="15" t="s">
        <v>8524</v>
      </c>
      <c r="C27430" s="16" t="s">
        <v>8028</v>
      </c>
      <c r="D27430" s="16" t="s">
        <v>8085</v>
      </c>
      <c r="E27430" s="2">
        <v>2911665</v>
      </c>
      <c r="F27430" s="4" t="str">
        <f>IF(B27430=B27429,"",B27430)</f>
        <v>Halberstadt</v>
      </c>
    </row>
    <row r="27431" spans="1:6" ht="15.75" customHeight="1">
      <c r="A27431" s="16" t="str">
        <f ca="1">IFERROR(__xludf.DUMMYFUNCTION("GOOGLETRANSLATE(B34290,""en"",""pt"")"),"Ḩalabjah")</f>
        <v>Ḩalabjah</v>
      </c>
      <c r="B27431" s="20" t="s">
        <v>34082</v>
      </c>
      <c r="C27431" s="20" t="s">
        <v>14594</v>
      </c>
      <c r="D27431" s="20" t="s">
        <v>34083</v>
      </c>
      <c r="E27431" s="10">
        <v>96205</v>
      </c>
      <c r="F27431" s="4" t="str">
        <f>IF(B27431=B27430,"",B27431)</f>
        <v>Ḩalabjah</v>
      </c>
    </row>
    <row r="27432" spans="1:6" ht="15.75" customHeight="1">
      <c r="A27432" s="16" t="str">
        <f ca="1">IFERROR(__xludf.DUMMYFUNCTION("GOOGLETRANSLATE(B39090,""en"",""pt"")"),"Hāla")</f>
        <v>Hāla</v>
      </c>
      <c r="B27432" s="20" t="s">
        <v>35015</v>
      </c>
      <c r="C27432" s="20" t="s">
        <v>19808</v>
      </c>
      <c r="D27432" s="20" t="s">
        <v>19823</v>
      </c>
      <c r="E27432" s="10">
        <v>1177278</v>
      </c>
      <c r="F27432" s="4" t="e">
        <f>IF(B27432=#REF!,"",B27432)</f>
        <v>#REF!</v>
      </c>
    </row>
    <row r="27433" spans="1:6" ht="15.75" customHeight="1">
      <c r="A27433" s="15" t="s">
        <v>15927</v>
      </c>
      <c r="B27433" s="15" t="s">
        <v>15927</v>
      </c>
      <c r="C27433" s="15" t="s">
        <v>15704</v>
      </c>
      <c r="D27433" s="15" t="s">
        <v>15928</v>
      </c>
      <c r="E27433" s="2">
        <v>1863341</v>
      </c>
      <c r="F27433" s="4" t="e">
        <f>IF(B27433=#REF!,"",B27433)</f>
        <v>#REF!</v>
      </c>
    </row>
    <row r="27434" spans="1:6" ht="15.75" customHeight="1">
      <c r="A27434" s="15" t="s">
        <v>15926</v>
      </c>
      <c r="B27434" s="15" t="s">
        <v>15926</v>
      </c>
      <c r="C27434" s="15" t="s">
        <v>15704</v>
      </c>
      <c r="D27434" s="15" t="s">
        <v>15705</v>
      </c>
      <c r="E27434" s="2">
        <v>2130188</v>
      </c>
      <c r="F27434" s="4" t="str">
        <f>IF(B27434=B27433,"",B27434)</f>
        <v>Hakodate</v>
      </c>
    </row>
    <row r="27435" spans="1:6" ht="15.75" customHeight="1">
      <c r="A27435" s="15" t="s">
        <v>19612</v>
      </c>
      <c r="B27435" s="15" t="s">
        <v>19613</v>
      </c>
      <c r="C27435" s="15" t="s">
        <v>19589</v>
      </c>
      <c r="D27435" s="15" t="s">
        <v>19592</v>
      </c>
      <c r="E27435" s="2">
        <v>1877046</v>
      </c>
      <c r="F27435" s="4" t="e">
        <f>IF(B27435=#REF!,"",B27435)</f>
        <v>#REF!</v>
      </c>
    </row>
    <row r="27436" spans="1:6" ht="15.75" customHeight="1">
      <c r="A27436" s="15" t="s">
        <v>26539</v>
      </c>
      <c r="B27436" s="15" t="s">
        <v>26539</v>
      </c>
      <c r="C27436" s="15" t="s">
        <v>26201</v>
      </c>
      <c r="D27436" s="15" t="s">
        <v>26352</v>
      </c>
      <c r="E27436" s="2">
        <v>318137</v>
      </c>
      <c r="F27436" s="4" t="e">
        <f>IF(B27436=#REF!,"",B27436)</f>
        <v>#REF!</v>
      </c>
    </row>
    <row r="27437" spans="1:6" ht="15.75" customHeight="1">
      <c r="A27437" s="15" t="s">
        <v>18705</v>
      </c>
      <c r="B27437" s="15" t="s">
        <v>18705</v>
      </c>
      <c r="C27437" s="15" t="s">
        <v>18696</v>
      </c>
      <c r="D27437" s="15" t="s">
        <v>18706</v>
      </c>
      <c r="E27437" s="2">
        <v>1325443</v>
      </c>
      <c r="F27437" s="4" t="e">
        <f>IF(B27437=#REF!,"",B27437)</f>
        <v>#REF!</v>
      </c>
    </row>
    <row r="27438" spans="1:6" ht="15.75" customHeight="1">
      <c r="A27438" s="16" t="s">
        <v>8523</v>
      </c>
      <c r="B27438" s="15" t="s">
        <v>8523</v>
      </c>
      <c r="C27438" s="16" t="s">
        <v>8028</v>
      </c>
      <c r="D27438" s="16" t="s">
        <v>8036</v>
      </c>
      <c r="E27438" s="2">
        <v>2911710</v>
      </c>
      <c r="F27438" s="4" t="str">
        <f>IF(B27438=B27437,"",B27438)</f>
        <v>Hakenfelde</v>
      </c>
    </row>
    <row r="27439" spans="1:6" ht="15.75" customHeight="1">
      <c r="A27439" s="16" t="str">
        <f ca="1">IFERROR(__xludf.DUMMYFUNCTION("GOOGLETRANSLATE(B33400,""en"",""pt"")"),"Hājo")</f>
        <v>Hājo</v>
      </c>
      <c r="B27439" s="20" t="s">
        <v>33688</v>
      </c>
      <c r="C27439" s="20" t="s">
        <v>10178</v>
      </c>
      <c r="D27439" s="20" t="s">
        <v>10239</v>
      </c>
      <c r="E27439" s="10">
        <v>1270522</v>
      </c>
      <c r="F27439" s="4" t="str">
        <f>IF(B27439=B27438,"",B27439)</f>
        <v>Hājo</v>
      </c>
    </row>
    <row r="27440" spans="1:6" ht="15.75" customHeight="1">
      <c r="A27440" s="16" t="str">
        <f ca="1">IFERROR(__xludf.DUMMYFUNCTION("GOOGLETRANSLATE(B39274,""en"",""pt"")"),"Hajnówka")</f>
        <v>Hajnówka</v>
      </c>
      <c r="B27440" s="20" t="s">
        <v>35121</v>
      </c>
      <c r="C27440" s="20" t="s">
        <v>21064</v>
      </c>
      <c r="D27440" s="20" t="s">
        <v>21086</v>
      </c>
      <c r="E27440" s="10">
        <v>771158</v>
      </c>
      <c r="F27440" s="4" t="str">
        <f>IF(B27440=B27439,"",B27440)</f>
        <v>Hajnówka</v>
      </c>
    </row>
    <row r="27441" spans="1:6" ht="15.75" customHeight="1">
      <c r="A27441" s="16" t="s">
        <v>21246</v>
      </c>
      <c r="B27441" s="15" t="s">
        <v>21247</v>
      </c>
      <c r="C27441" s="16" t="s">
        <v>21064</v>
      </c>
      <c r="D27441" s="16" t="s">
        <v>21086</v>
      </c>
      <c r="E27441" s="2">
        <v>771158</v>
      </c>
      <c r="F27441" s="4" t="str">
        <f>IF(B27441=B27440,"",B27441)</f>
        <v>HajnÃ³wka</v>
      </c>
    </row>
    <row r="27442" spans="1:6" ht="15.75" customHeight="1">
      <c r="A27442" s="16" t="str">
        <f ca="1">IFERROR(__xludf.DUMMYFUNCTION("GOOGLETRANSLATE(B45827,""en"",""pt"")"),"Ḩajjah")</f>
        <v>Ḩajjah</v>
      </c>
      <c r="B27442" s="20" t="s">
        <v>36221</v>
      </c>
      <c r="C27442" s="20" t="s">
        <v>30993</v>
      </c>
      <c r="D27442" s="20" t="s">
        <v>36221</v>
      </c>
      <c r="E27442" s="10">
        <v>75337</v>
      </c>
      <c r="F27442" s="4" t="str">
        <f>IF(B27442=B27441,"",B27442)</f>
        <v>Ḩajjah</v>
      </c>
    </row>
    <row r="27443" spans="1:6" ht="15.75" customHeight="1">
      <c r="A27443" s="16" t="str">
        <f ca="1">IFERROR(__xludf.DUMMYFUNCTION("GOOGLETRANSLATE(B33401,""en"",""pt"")"),"Hājīpur")</f>
        <v>Hājīpur</v>
      </c>
      <c r="B27443" s="20" t="s">
        <v>33689</v>
      </c>
      <c r="C27443" s="20" t="s">
        <v>10178</v>
      </c>
      <c r="D27443" s="20" t="s">
        <v>10317</v>
      </c>
      <c r="E27443" s="10">
        <v>1270525</v>
      </c>
      <c r="F27443" s="4" t="str">
        <f>IF(B27443=B27442,"",B27443)</f>
        <v>Hājīpur</v>
      </c>
    </row>
    <row r="27444" spans="1:6" ht="15.75" customHeight="1">
      <c r="A27444" s="16" t="str">
        <f ca="1">IFERROR(__xludf.DUMMYFUNCTION("GOOGLETRANSLATE(B41464,""en"",""pt"")"),"Hajīn")</f>
        <v>Hajīn</v>
      </c>
      <c r="B27444" s="20" t="s">
        <v>35769</v>
      </c>
      <c r="C27444" s="20" t="s">
        <v>25366</v>
      </c>
      <c r="D27444" s="20" t="s">
        <v>25387</v>
      </c>
      <c r="E27444" s="10">
        <v>174506</v>
      </c>
      <c r="F27444" s="4" t="str">
        <f>IF(B27444=B27443,"",B27444)</f>
        <v>Hajīn</v>
      </c>
    </row>
    <row r="27445" spans="1:6" ht="15.75" customHeight="1">
      <c r="A27445" s="16" t="str">
        <f ca="1">IFERROR(__xludf.DUMMYFUNCTION("GOOGLETRANSLATE(B23763,""en"",""pt"")"),"Hājīganj")</f>
        <v>Hājīganj</v>
      </c>
      <c r="B27445" s="20" t="s">
        <v>31294</v>
      </c>
      <c r="C27445" s="20" t="s">
        <v>1296</v>
      </c>
      <c r="D27445" s="20" t="s">
        <v>1302</v>
      </c>
      <c r="E27445" s="10">
        <v>1201753</v>
      </c>
      <c r="F27445" s="4" t="str">
        <f>IF(B27445=B27444,"",B27445)</f>
        <v>Hājīganj</v>
      </c>
    </row>
    <row r="27446" spans="1:6" ht="15.75" customHeight="1">
      <c r="A27446" s="16" t="str">
        <f ca="1">IFERROR(__xludf.DUMMYFUNCTION("GOOGLETRANSLATE(B31259,""en"",""pt"")"),"Hajdúszoboszló")</f>
        <v>Hajdúszoboszló</v>
      </c>
      <c r="B27446" s="20" t="s">
        <v>32839</v>
      </c>
      <c r="C27446" s="20" t="s">
        <v>9955</v>
      </c>
      <c r="D27446" s="20" t="s">
        <v>32828</v>
      </c>
      <c r="E27446" s="10">
        <v>720276</v>
      </c>
      <c r="F27446" s="4" t="str">
        <f>IF(B27446=B27445,"",B27446)</f>
        <v>Hajdúszoboszló</v>
      </c>
    </row>
    <row r="27447" spans="1:6" ht="15.75" customHeight="1">
      <c r="A27447" s="16" t="str">
        <f ca="1">IFERROR(__xludf.DUMMYFUNCTION("GOOGLETRANSLATE(B31260,""en"",""pt"")"),"Hajdúnánás")</f>
        <v>Hajdúnánás</v>
      </c>
      <c r="B27447" s="20" t="s">
        <v>32840</v>
      </c>
      <c r="C27447" s="20" t="s">
        <v>9955</v>
      </c>
      <c r="D27447" s="20" t="s">
        <v>32828</v>
      </c>
      <c r="E27447" s="10">
        <v>720284</v>
      </c>
      <c r="F27447" s="4" t="str">
        <f>IF(B27447=B27446,"",B27447)</f>
        <v>Hajdúnánás</v>
      </c>
    </row>
    <row r="27448" spans="1:6" ht="15.75" customHeight="1">
      <c r="A27448" s="16" t="str">
        <f ca="1">IFERROR(__xludf.DUMMYFUNCTION("GOOGLETRANSLATE(B31261,""en"",""pt"")"),"Hajdúböszörmény")</f>
        <v>Hajdúböszörmény</v>
      </c>
      <c r="B27448" s="20" t="s">
        <v>32841</v>
      </c>
      <c r="C27448" s="20" t="s">
        <v>9955</v>
      </c>
      <c r="D27448" s="20" t="s">
        <v>32828</v>
      </c>
      <c r="E27448" s="10">
        <v>720292</v>
      </c>
      <c r="F27448" s="4" t="str">
        <f>IF(B27448=B27447,"",B27448)</f>
        <v>Hajdúböszörmény</v>
      </c>
    </row>
    <row r="27449" spans="1:6" ht="15.75" customHeight="1">
      <c r="A27449" s="16" t="s">
        <v>10066</v>
      </c>
      <c r="B27449" s="15" t="s">
        <v>10067</v>
      </c>
      <c r="C27449" s="16" t="s">
        <v>9955</v>
      </c>
      <c r="D27449" s="16" t="s">
        <v>9975</v>
      </c>
      <c r="E27449" s="2">
        <v>720276</v>
      </c>
      <c r="F27449" s="4" t="str">
        <f>IF(B27449=B27448,"",B27449)</f>
        <v>HajdÃºszoboszlÃ³</v>
      </c>
    </row>
    <row r="27450" spans="1:6" ht="15.75" customHeight="1">
      <c r="A27450" s="15" t="s">
        <v>10064</v>
      </c>
      <c r="B27450" s="15" t="s">
        <v>10065</v>
      </c>
      <c r="C27450" s="15" t="s">
        <v>9955</v>
      </c>
      <c r="D27450" s="15" t="s">
        <v>9975</v>
      </c>
      <c r="E27450" s="2">
        <v>720284</v>
      </c>
      <c r="F27450" s="4" t="str">
        <f>IF(B27450=B27449,"",B27450)</f>
        <v>HajdÃºnÃ¡nÃ¡s</v>
      </c>
    </row>
    <row r="27451" spans="1:6" ht="15.75" customHeight="1">
      <c r="A27451" s="16" t="s">
        <v>10062</v>
      </c>
      <c r="B27451" s="15" t="s">
        <v>10063</v>
      </c>
      <c r="C27451" s="16" t="s">
        <v>9955</v>
      </c>
      <c r="D27451" s="16" t="s">
        <v>9975</v>
      </c>
      <c r="E27451" s="2">
        <v>720292</v>
      </c>
      <c r="F27451" s="4" t="str">
        <f>IF(B27451=B27450,"",B27451)</f>
        <v>HajdÃºbÃ¶szÃ¶rmÃ©ny</v>
      </c>
    </row>
    <row r="27452" spans="1:6" ht="15.75" customHeight="1">
      <c r="A27452" s="15" t="s">
        <v>25447</v>
      </c>
      <c r="B27452" s="15" t="s">
        <v>25448</v>
      </c>
      <c r="C27452" s="15" t="s">
        <v>25366</v>
      </c>
      <c r="D27452" s="15" t="s">
        <v>25387</v>
      </c>
      <c r="E27452" s="2">
        <v>174506</v>
      </c>
      <c r="F27452" s="4" t="e">
        <f>IF(B27452=#REF!,"",B27452)</f>
        <v>#REF!</v>
      </c>
    </row>
    <row r="27453" spans="1:6" ht="15.75" customHeight="1">
      <c r="A27453" s="15" t="s">
        <v>4720</v>
      </c>
      <c r="B27453" s="15" t="s">
        <v>4720</v>
      </c>
      <c r="C27453" s="15" t="s">
        <v>4487</v>
      </c>
      <c r="D27453" s="15" t="s">
        <v>4535</v>
      </c>
      <c r="E27453" s="2">
        <v>1809003</v>
      </c>
      <c r="F27453" s="4" t="e">
        <f>IF(B27453=#REF!,"",B27453)</f>
        <v>#REF!</v>
      </c>
    </row>
    <row r="27454" spans="1:6" ht="15.75" customHeight="1">
      <c r="A27454" s="15" t="s">
        <v>30855</v>
      </c>
      <c r="B27454" s="15" t="s">
        <v>30855</v>
      </c>
      <c r="C27454" s="15" t="s">
        <v>30784</v>
      </c>
      <c r="D27454" s="15" t="s">
        <v>30814</v>
      </c>
      <c r="E27454" s="2">
        <v>1581298</v>
      </c>
      <c r="F27454" s="4" t="e">
        <f>IF(B27454=#REF!,"",B27454)</f>
        <v>#REF!</v>
      </c>
    </row>
    <row r="27455" spans="1:6" ht="15.75" customHeight="1">
      <c r="A27455" s="16" t="s">
        <v>28817</v>
      </c>
      <c r="B27455" s="15" t="s">
        <v>28817</v>
      </c>
      <c r="C27455" s="16" t="s">
        <v>27788</v>
      </c>
      <c r="D27455" s="16" t="s">
        <v>5468</v>
      </c>
      <c r="E27455" s="2">
        <v>4157827</v>
      </c>
      <c r="F27455" s="4" t="e">
        <f>IF(B27455=#REF!,"",B27455)</f>
        <v>#REF!</v>
      </c>
    </row>
    <row r="27456" spans="1:6" ht="15.75" customHeight="1">
      <c r="A27456" s="15" t="s">
        <v>4719</v>
      </c>
      <c r="B27456" s="15" t="s">
        <v>4719</v>
      </c>
      <c r="C27456" s="15" t="s">
        <v>4487</v>
      </c>
      <c r="D27456" s="15" t="s">
        <v>4492</v>
      </c>
      <c r="E27456" s="2">
        <v>1809062</v>
      </c>
      <c r="F27456" s="4" t="e">
        <f>IF(B27456=#REF!,"",B27456)</f>
        <v>#REF!</v>
      </c>
    </row>
    <row r="27457" spans="1:6" ht="15.75" customHeight="1">
      <c r="A27457" s="15" t="s">
        <v>4718</v>
      </c>
      <c r="B27457" s="15" t="s">
        <v>4718</v>
      </c>
      <c r="C27457" s="15" t="s">
        <v>4487</v>
      </c>
      <c r="D27457" s="15" t="s">
        <v>4488</v>
      </c>
      <c r="E27457" s="2">
        <v>2037069</v>
      </c>
      <c r="F27457" s="4" t="e">
        <f>IF(B27457=#REF!,"",B27457)</f>
        <v>#REF!</v>
      </c>
    </row>
    <row r="27458" spans="1:6" ht="15.75" customHeight="1">
      <c r="A27458" s="15" t="s">
        <v>4717</v>
      </c>
      <c r="B27458" s="15" t="s">
        <v>4717</v>
      </c>
      <c r="C27458" s="15" t="s">
        <v>4487</v>
      </c>
      <c r="D27458" s="15" t="s">
        <v>4488</v>
      </c>
      <c r="E27458" s="2">
        <v>2037075</v>
      </c>
      <c r="F27458" s="4" t="e">
        <f>IF(B27458=#REF!,"",B27458)</f>
        <v>#REF!</v>
      </c>
    </row>
    <row r="27459" spans="1:6" ht="15.75" customHeight="1">
      <c r="A27459" s="15" t="s">
        <v>4716</v>
      </c>
      <c r="B27459" s="15" t="s">
        <v>4716</v>
      </c>
      <c r="C27459" s="15" t="s">
        <v>4487</v>
      </c>
      <c r="D27459" s="15" t="s">
        <v>4533</v>
      </c>
      <c r="E27459" s="2">
        <v>2037078</v>
      </c>
      <c r="F27459" s="4" t="str">
        <f>IF(B27459=B27458,"",B27459)</f>
        <v>Hailar</v>
      </c>
    </row>
    <row r="27460" spans="1:6" ht="15.75" customHeight="1">
      <c r="A27460" s="16" t="str">
        <f ca="1">IFERROR(__xludf.DUMMYFUNCTION("GOOGLETRANSLATE(B33402,""en"",""pt"")"),"Hailākāndi")</f>
        <v>Hailākāndi</v>
      </c>
      <c r="B27460" s="20" t="s">
        <v>33690</v>
      </c>
      <c r="C27460" s="20" t="s">
        <v>10178</v>
      </c>
      <c r="D27460" s="20" t="s">
        <v>10239</v>
      </c>
      <c r="E27460" s="10">
        <v>1270530</v>
      </c>
      <c r="F27460" s="4" t="str">
        <f>IF(B27460=B27459,"",B27460)</f>
        <v>Hailākāndi</v>
      </c>
    </row>
    <row r="27461" spans="1:6" ht="15.75" customHeight="1">
      <c r="A27461" s="16" t="s">
        <v>11449</v>
      </c>
      <c r="B27461" s="15" t="s">
        <v>11450</v>
      </c>
      <c r="C27461" s="16" t="s">
        <v>10178</v>
      </c>
      <c r="D27461" s="16" t="s">
        <v>10239</v>
      </c>
      <c r="E27461" s="2">
        <v>1270530</v>
      </c>
      <c r="F27461" s="4" t="e">
        <f>IF(B27461=#REF!,"",B27461)</f>
        <v>#REF!</v>
      </c>
    </row>
    <row r="27462" spans="1:6" ht="15.75" customHeight="1">
      <c r="A27462" s="15" t="s">
        <v>23526</v>
      </c>
      <c r="B27462" s="15" t="s">
        <v>23527</v>
      </c>
      <c r="C27462" s="15" t="s">
        <v>23454</v>
      </c>
      <c r="D27462" s="15" t="s">
        <v>23528</v>
      </c>
      <c r="E27462" s="2">
        <v>106281</v>
      </c>
      <c r="F27462" s="4" t="e">
        <f>IF(B27462=#REF!,"",B27462)</f>
        <v>#REF!</v>
      </c>
    </row>
    <row r="27463" spans="1:6" ht="15.75" customHeight="1">
      <c r="A27463" s="15" t="s">
        <v>4714</v>
      </c>
      <c r="B27463" s="15" t="s">
        <v>4714</v>
      </c>
      <c r="C27463" s="15" t="s">
        <v>4487</v>
      </c>
      <c r="D27463" s="15" t="s">
        <v>4607</v>
      </c>
      <c r="E27463" s="2">
        <v>1809077</v>
      </c>
      <c r="F27463" s="4" t="e">
        <f>IF(B27463=#REF!,"",B27463)</f>
        <v>#REF!</v>
      </c>
    </row>
    <row r="27464" spans="1:6" ht="15.75" customHeight="1">
      <c r="A27464" s="15" t="s">
        <v>8522</v>
      </c>
      <c r="B27464" s="15" t="s">
        <v>8522</v>
      </c>
      <c r="C27464" s="15" t="s">
        <v>8028</v>
      </c>
      <c r="D27464" s="15" t="s">
        <v>8050</v>
      </c>
      <c r="E27464" s="2">
        <v>2911964</v>
      </c>
      <c r="F27464" s="4" t="e">
        <f>IF(B27464=#REF!,"",B27464)</f>
        <v>#REF!</v>
      </c>
    </row>
    <row r="27465" spans="1:6" ht="15.75" customHeight="1">
      <c r="A27465" s="15" t="s">
        <v>14796</v>
      </c>
      <c r="B27465" s="15" t="s">
        <v>14796</v>
      </c>
      <c r="C27465" s="15" t="s">
        <v>14773</v>
      </c>
      <c r="D27465" s="15" t="s">
        <v>14796</v>
      </c>
      <c r="E27465" s="2">
        <v>294801</v>
      </c>
      <c r="F27465" s="4" t="e">
        <f>IF(B27465=#REF!,"",B27465)</f>
        <v>#REF!</v>
      </c>
    </row>
    <row r="27466" spans="1:6" ht="15.75" customHeight="1">
      <c r="A27466" s="15" t="s">
        <v>4713</v>
      </c>
      <c r="B27466" s="15" t="s">
        <v>4713</v>
      </c>
      <c r="C27466" s="15" t="s">
        <v>4487</v>
      </c>
      <c r="D27466" s="15" t="s">
        <v>4505</v>
      </c>
      <c r="E27466" s="2">
        <v>2037086</v>
      </c>
      <c r="F27466" s="4" t="e">
        <f>IF(B27466=#REF!,"",B27466)</f>
        <v>#REF!</v>
      </c>
    </row>
    <row r="27467" spans="1:6" ht="15.75" customHeight="1">
      <c r="A27467" s="16" t="s">
        <v>15924</v>
      </c>
      <c r="B27467" s="15" t="s">
        <v>15925</v>
      </c>
      <c r="C27467" s="16" t="s">
        <v>15704</v>
      </c>
      <c r="D27467" s="16" t="s">
        <v>15905</v>
      </c>
      <c r="E27467" s="2">
        <v>1863398</v>
      </c>
      <c r="F27467" s="4" t="e">
        <f>IF(B27467=#REF!,"",B27467)</f>
        <v>#REF!</v>
      </c>
    </row>
    <row r="27468" spans="1:6" ht="15.75" customHeight="1">
      <c r="A27468" s="16" t="s">
        <v>7392</v>
      </c>
      <c r="B27468" s="15" t="s">
        <v>7392</v>
      </c>
      <c r="C27468" s="16" t="s">
        <v>7052</v>
      </c>
      <c r="D27468" s="16" t="s">
        <v>7061</v>
      </c>
      <c r="E27468" s="2">
        <v>3014078</v>
      </c>
      <c r="F27468" s="4" t="e">
        <f>IF(B27468=#REF!,"",B27468)</f>
        <v>#REF!</v>
      </c>
    </row>
    <row r="27469" spans="1:6" ht="15.75" customHeight="1">
      <c r="A27469" s="15" t="s">
        <v>20780</v>
      </c>
      <c r="B27469" s="15" t="s">
        <v>20780</v>
      </c>
      <c r="C27469" s="15" t="s">
        <v>20598</v>
      </c>
      <c r="D27469" s="15" t="s">
        <v>20599</v>
      </c>
      <c r="E27469" s="2">
        <v>1711982</v>
      </c>
      <c r="F27469" s="4" t="e">
        <f>IF(B27469=#REF!,"",B27469)</f>
        <v>#REF!</v>
      </c>
    </row>
    <row r="27470" spans="1:6" ht="15.75" customHeight="1">
      <c r="A27470" s="15" t="s">
        <v>15923</v>
      </c>
      <c r="B27470" s="15" t="s">
        <v>15923</v>
      </c>
      <c r="C27470" s="15" t="s">
        <v>15704</v>
      </c>
      <c r="D27470" s="15" t="s">
        <v>15796</v>
      </c>
      <c r="E27470" s="2">
        <v>1863418</v>
      </c>
      <c r="F27470" s="4" t="e">
        <f>IF(B27470=#REF!,"",B27470)</f>
        <v>#REF!</v>
      </c>
    </row>
    <row r="27471" spans="1:6" ht="15.75" customHeight="1">
      <c r="A27471" s="16" t="s">
        <v>28816</v>
      </c>
      <c r="B27471" s="15" t="s">
        <v>28816</v>
      </c>
      <c r="C27471" s="16" t="s">
        <v>27788</v>
      </c>
      <c r="D27471" s="16" t="s">
        <v>17061</v>
      </c>
      <c r="E27471" s="2">
        <v>4357141</v>
      </c>
      <c r="F27471" s="4" t="e">
        <f>IF(B27471=#REF!,"",B27471)</f>
        <v>#REF!</v>
      </c>
    </row>
    <row r="27472" spans="1:6" ht="15.75" customHeight="1">
      <c r="A27472" s="16" t="s">
        <v>6885</v>
      </c>
      <c r="B27472" s="15" t="s">
        <v>6885</v>
      </c>
      <c r="C27472" s="16" t="s">
        <v>6807</v>
      </c>
      <c r="D27472" s="16" t="s">
        <v>6814</v>
      </c>
      <c r="E27472" s="2">
        <v>344620</v>
      </c>
      <c r="F27472" s="4" t="str">
        <f>IF(B27472=B27471,"",B27472)</f>
        <v>Hagere Maryam</v>
      </c>
    </row>
    <row r="27473" spans="1:6" ht="15.75" customHeight="1">
      <c r="A27473" s="16" t="str">
        <f ca="1">IFERROR(__xludf.DUMMYFUNCTION("GOOGLETRANSLATE(B29548,""en"",""pt"")"),"Hāgere Hiywet")</f>
        <v>Hāgere Hiywet</v>
      </c>
      <c r="B27473" s="20" t="s">
        <v>32498</v>
      </c>
      <c r="C27473" s="20" t="s">
        <v>6807</v>
      </c>
      <c r="D27473" s="20" t="s">
        <v>6814</v>
      </c>
      <c r="E27473" s="10">
        <v>335288</v>
      </c>
      <c r="F27473" s="4" t="e">
        <f>IF(B27473=#REF!,"",B27473)</f>
        <v>#REF!</v>
      </c>
    </row>
    <row r="27474" spans="1:6" ht="15.75" customHeight="1">
      <c r="A27474" s="15" t="s">
        <v>8521</v>
      </c>
      <c r="B27474" s="15" t="s">
        <v>8521</v>
      </c>
      <c r="C27474" s="15" t="s">
        <v>8028</v>
      </c>
      <c r="D27474" s="15" t="s">
        <v>8029</v>
      </c>
      <c r="E27474" s="2">
        <v>2912621</v>
      </c>
      <c r="F27474" s="4" t="str">
        <f>IF(B27474=B27473,"",B27474)</f>
        <v>Hagen</v>
      </c>
    </row>
    <row r="27475" spans="1:6" ht="15.75" customHeight="1">
      <c r="A27475" s="16" t="str">
        <f ca="1">IFERROR(__xludf.DUMMYFUNCTION("GOOGLETRANSLATE(B31149,""en"",""pt"")"),"Hagåtña")</f>
        <v>Hagåtña</v>
      </c>
      <c r="B27475" s="20" t="s">
        <v>32791</v>
      </c>
      <c r="C27475" s="20" t="s">
        <v>9683</v>
      </c>
      <c r="D27475" s="20" t="s">
        <v>9687</v>
      </c>
      <c r="E27475" s="10">
        <v>4044012</v>
      </c>
      <c r="F27475" s="4" t="str">
        <f>IF(B27475=B27474,"",B27475)</f>
        <v>Hagåtña</v>
      </c>
    </row>
    <row r="27476" spans="1:6" ht="15.75" customHeight="1">
      <c r="A27476" s="16" t="s">
        <v>9688</v>
      </c>
      <c r="B27476" s="15" t="s">
        <v>9689</v>
      </c>
      <c r="C27476" s="16" t="s">
        <v>9683</v>
      </c>
      <c r="D27476" s="16" t="s">
        <v>9687</v>
      </c>
      <c r="E27476" s="2">
        <v>4044012</v>
      </c>
      <c r="F27476" s="4" t="str">
        <f>IF(B27476=B27475,"",B27476)</f>
        <v>HagÃ¥tÃ±a</v>
      </c>
    </row>
    <row r="27477" spans="1:6" ht="15.75" customHeight="1">
      <c r="A27477" s="16" t="str">
        <f ca="1">IFERROR(__xludf.DUMMYFUNCTION("GOOGLETRANSLATE(B34538,""en"",""pt"")"),"Hafnarfjörður")</f>
        <v>Hafnarfjörður</v>
      </c>
      <c r="B27477" s="20" t="s">
        <v>34265</v>
      </c>
      <c r="C27477" s="20" t="s">
        <v>10168</v>
      </c>
      <c r="D27477" s="20" t="s">
        <v>6216</v>
      </c>
      <c r="E27477" s="10">
        <v>3416706</v>
      </c>
      <c r="F27477" s="4" t="str">
        <f>IF(B27477=B27476,"",B27477)</f>
        <v>Hafnarfjörður</v>
      </c>
    </row>
    <row r="27478" spans="1:6" ht="15.75" customHeight="1">
      <c r="A27478" s="16" t="s">
        <v>10170</v>
      </c>
      <c r="B27478" s="15" t="s">
        <v>10171</v>
      </c>
      <c r="C27478" s="16" t="s">
        <v>10168</v>
      </c>
      <c r="D27478" s="16" t="s">
        <v>6216</v>
      </c>
      <c r="E27478" s="2">
        <v>3416706</v>
      </c>
      <c r="F27478" s="4" t="str">
        <f>IF(B27478=B27477,"",B27478)</f>
        <v>HafnarfjÃ¶rÃ°ur</v>
      </c>
    </row>
    <row r="27479" spans="1:6" ht="15.75" customHeight="1">
      <c r="A27479" s="16" t="str">
        <f ca="1">IFERROR(__xludf.DUMMYFUNCTION("GOOGLETRANSLATE(B33403,""en"",""pt"")"),"Hāflong")</f>
        <v>Hāflong</v>
      </c>
      <c r="B27479" s="20" t="s">
        <v>33691</v>
      </c>
      <c r="C27479" s="20" t="s">
        <v>10178</v>
      </c>
      <c r="D27479" s="20" t="s">
        <v>10239</v>
      </c>
      <c r="E27479" s="10">
        <v>1270543</v>
      </c>
      <c r="F27479" s="4" t="str">
        <f>IF(B27479=B27478,"",B27479)</f>
        <v>Hāflong</v>
      </c>
    </row>
    <row r="27480" spans="1:6" ht="15.75" customHeight="1">
      <c r="A27480" s="16" t="str">
        <f ca="1">IFERROR(__xludf.DUMMYFUNCTION("GOOGLETRANSLATE(B39091,""en"",""pt"")"),"Hāfizābād")</f>
        <v>Hāfizābād</v>
      </c>
      <c r="B27480" s="20" t="s">
        <v>35016</v>
      </c>
      <c r="C27480" s="20" t="s">
        <v>19808</v>
      </c>
      <c r="D27480" s="20" t="s">
        <v>10184</v>
      </c>
      <c r="E27480" s="10">
        <v>1177384</v>
      </c>
      <c r="F27480" s="4" t="e">
        <f>IF(B27480=#REF!,"",B27480)</f>
        <v>#REF!</v>
      </c>
    </row>
    <row r="27481" spans="1:6" ht="15.75" customHeight="1">
      <c r="A27481" s="15" t="s">
        <v>24076</v>
      </c>
      <c r="B27481" s="15" t="s">
        <v>24076</v>
      </c>
      <c r="C27481" s="15" t="s">
        <v>24024</v>
      </c>
      <c r="D27481" s="15" t="s">
        <v>24035</v>
      </c>
      <c r="E27481" s="2">
        <v>1844751</v>
      </c>
      <c r="F27481" s="4" t="e">
        <f>IF(B27481=#REF!,"",B27481)</f>
        <v>#REF!</v>
      </c>
    </row>
    <row r="27482" spans="1:6" ht="15.75" customHeight="1">
      <c r="A27482" s="15" t="s">
        <v>19611</v>
      </c>
      <c r="B27482" s="15" t="s">
        <v>19611</v>
      </c>
      <c r="C27482" s="15" t="s">
        <v>19589</v>
      </c>
      <c r="D27482" s="15" t="s">
        <v>19601</v>
      </c>
      <c r="E27482" s="2">
        <v>1877615</v>
      </c>
      <c r="F27482" s="4" t="str">
        <f>IF(B27482=B27481,"",B27482)</f>
        <v>Haeju</v>
      </c>
    </row>
    <row r="27483" spans="1:6" ht="15.75" customHeight="1">
      <c r="A27483" s="16" t="s">
        <v>30853</v>
      </c>
      <c r="B27483" s="15" t="s">
        <v>30854</v>
      </c>
      <c r="C27483" s="16" t="s">
        <v>30784</v>
      </c>
      <c r="D27483" s="16" t="s">
        <v>30854</v>
      </c>
      <c r="E27483" s="2">
        <v>1580142</v>
      </c>
      <c r="F27483" s="4" t="e">
        <f>IF(B27483=#REF!,"",B27483)</f>
        <v>#REF!</v>
      </c>
    </row>
    <row r="27484" spans="1:6" ht="15.75" customHeight="1">
      <c r="A27484" s="15" t="s">
        <v>26963</v>
      </c>
      <c r="B27484" s="15" t="s">
        <v>26963</v>
      </c>
      <c r="C27484" s="15" t="s">
        <v>26870</v>
      </c>
      <c r="D27484" s="15" t="s">
        <v>26964</v>
      </c>
      <c r="E27484" s="2">
        <v>709054</v>
      </c>
      <c r="F27484" s="4" t="e">
        <f>IF(B27484=#REF!,"",B27484)</f>
        <v>#REF!</v>
      </c>
    </row>
    <row r="27485" spans="1:6" ht="15.75" customHeight="1">
      <c r="A27485" s="16" t="s">
        <v>27440</v>
      </c>
      <c r="B27485" s="15" t="s">
        <v>27440</v>
      </c>
      <c r="C27485" s="16" t="s">
        <v>27234</v>
      </c>
      <c r="D27485" s="16" t="s">
        <v>27241</v>
      </c>
      <c r="E27485" s="2">
        <v>6693771</v>
      </c>
      <c r="F27485" s="4" t="e">
        <f>IF(B27485=#REF!,"",B27485)</f>
        <v>#REF!</v>
      </c>
    </row>
    <row r="27486" spans="1:6" ht="15.75" customHeight="1">
      <c r="A27486" s="15" t="s">
        <v>360</v>
      </c>
      <c r="B27486" s="15" t="s">
        <v>360</v>
      </c>
      <c r="C27486" s="15" t="s">
        <v>153</v>
      </c>
      <c r="D27486" s="15" t="s">
        <v>160</v>
      </c>
      <c r="E27486" s="2">
        <v>2494962</v>
      </c>
      <c r="F27486" s="4" t="str">
        <f>IF(B27486=B27485,"",B27486)</f>
        <v>Hadjout</v>
      </c>
    </row>
    <row r="27487" spans="1:6" ht="15.75" customHeight="1">
      <c r="A27487" s="16" t="str">
        <f ca="1">IFERROR(__xludf.DUMMYFUNCTION("GOOGLETRANSLATE(B34291,""en"",""pt"")"),"Ḩadīthah")</f>
        <v>Ḩadīthah</v>
      </c>
      <c r="B27487" s="20" t="s">
        <v>34084</v>
      </c>
      <c r="C27487" s="20" t="s">
        <v>14594</v>
      </c>
      <c r="D27487" s="20" t="s">
        <v>14595</v>
      </c>
      <c r="E27487" s="10">
        <v>96309</v>
      </c>
      <c r="F27487" s="4" t="e">
        <f>IF(B27487=#REF!,"",B27487)</f>
        <v>#REF!</v>
      </c>
    </row>
    <row r="27488" spans="1:6" ht="15.75" customHeight="1">
      <c r="A27488" s="15" t="s">
        <v>26538</v>
      </c>
      <c r="B27488" s="15" t="s">
        <v>26538</v>
      </c>
      <c r="C27488" s="15" t="s">
        <v>26201</v>
      </c>
      <c r="D27488" s="15" t="s">
        <v>26265</v>
      </c>
      <c r="E27488" s="2">
        <v>312899</v>
      </c>
      <c r="F27488" s="4" t="str">
        <f>IF(B27488=B27487,"",B27488)</f>
        <v>Hadim</v>
      </c>
    </row>
    <row r="27489" spans="1:6" ht="15.75" customHeight="1">
      <c r="A27489" s="16" t="str">
        <f ca="1">IFERROR(__xludf.DUMMYFUNCTION("GOOGLETRANSLATE(B33404,""en"",""pt"")"),"Hadgāon")</f>
        <v>Hadgāon</v>
      </c>
      <c r="B27489" s="20" t="s">
        <v>33692</v>
      </c>
      <c r="C27489" s="20" t="s">
        <v>10178</v>
      </c>
      <c r="D27489" s="20" t="s">
        <v>10214</v>
      </c>
      <c r="E27489" s="10">
        <v>1270554</v>
      </c>
      <c r="F27489" s="4" t="str">
        <f>IF(B27489=B27488,"",B27489)</f>
        <v>Hadgāon</v>
      </c>
    </row>
    <row r="27490" spans="1:6" ht="15.75" customHeight="1">
      <c r="A27490" s="15" t="s">
        <v>11447</v>
      </c>
      <c r="B27490" s="15" t="s">
        <v>11448</v>
      </c>
      <c r="C27490" s="15" t="s">
        <v>10178</v>
      </c>
      <c r="D27490" s="15" t="s">
        <v>10214</v>
      </c>
      <c r="E27490" s="2">
        <v>1270554</v>
      </c>
      <c r="F27490" s="4" t="e">
        <f>IF(B27490=#REF!,"",B27490)</f>
        <v>#REF!</v>
      </c>
    </row>
    <row r="27491" spans="1:6" ht="15.75" customHeight="1">
      <c r="A27491" s="16" t="s">
        <v>6235</v>
      </c>
      <c r="B27491" s="15" t="s">
        <v>6235</v>
      </c>
      <c r="C27491" s="16" t="s">
        <v>6209</v>
      </c>
      <c r="D27491" s="16" t="s">
        <v>6212</v>
      </c>
      <c r="E27491" s="2">
        <v>2620964</v>
      </c>
      <c r="F27491" s="4" t="str">
        <f>IF(B27491=B27490,"",B27491)</f>
        <v>Haderslev</v>
      </c>
    </row>
    <row r="27492" spans="1:6" ht="15.75" customHeight="1">
      <c r="A27492" s="16" t="str">
        <f ca="1">IFERROR(__xludf.DUMMYFUNCTION("GOOGLETRANSLATE(B31805,""en"",""pt"")"),"H̱adera")</f>
        <v>H̱adera</v>
      </c>
      <c r="B27492" s="20" t="s">
        <v>32927</v>
      </c>
      <c r="C27492" s="20" t="s">
        <v>14773</v>
      </c>
      <c r="D27492" s="20" t="s">
        <v>14796</v>
      </c>
      <c r="E27492" s="10">
        <v>294946</v>
      </c>
      <c r="F27492" s="4" t="e">
        <f>IF(B27492=#REF!,"",B27492)</f>
        <v>#REF!</v>
      </c>
    </row>
    <row r="27493" spans="1:6" ht="15.75" customHeight="1">
      <c r="A27493" s="15" t="s">
        <v>19420</v>
      </c>
      <c r="B27493" s="15" t="s">
        <v>19420</v>
      </c>
      <c r="C27493" s="15" t="s">
        <v>19294</v>
      </c>
      <c r="D27493" s="15" t="s">
        <v>19351</v>
      </c>
      <c r="E27493" s="2">
        <v>2339631</v>
      </c>
      <c r="F27493" s="4" t="e">
        <f>IF(B27493=#REF!,"",B27493)</f>
        <v>#REF!</v>
      </c>
    </row>
    <row r="27494" spans="1:6" ht="15.75" customHeight="1">
      <c r="A27494" s="15" t="s">
        <v>15922</v>
      </c>
      <c r="B27494" s="15" t="s">
        <v>15922</v>
      </c>
      <c r="C27494" s="15" t="s">
        <v>15704</v>
      </c>
      <c r="D27494" s="15" t="s">
        <v>15755</v>
      </c>
      <c r="E27494" s="2">
        <v>1863431</v>
      </c>
      <c r="F27494" s="4" t="str">
        <f>IF(B27494=B27493,"",B27494)</f>
        <v>Hadano</v>
      </c>
    </row>
    <row r="27495" spans="1:6" ht="15.75" customHeight="1">
      <c r="A27495" s="16" t="str">
        <f ca="1">IFERROR(__xludf.DUMMYFUNCTION("GOOGLETRANSLATE(B39092,""en"",""pt"")"),"Hadāli")</f>
        <v>Hadāli</v>
      </c>
      <c r="B27495" s="20" t="s">
        <v>35017</v>
      </c>
      <c r="C27495" s="20" t="s">
        <v>19808</v>
      </c>
      <c r="D27495" s="20" t="s">
        <v>10184</v>
      </c>
      <c r="E27495" s="10">
        <v>1177397</v>
      </c>
      <c r="F27495" s="4" t="e">
        <f>IF(B27495=#REF!,"",B27495)</f>
        <v>#REF!</v>
      </c>
    </row>
    <row r="27496" spans="1:6" ht="15.75" customHeight="1">
      <c r="A27496" s="15" t="s">
        <v>11446</v>
      </c>
      <c r="B27496" s="15" t="s">
        <v>11446</v>
      </c>
      <c r="C27496" s="15" t="s">
        <v>10178</v>
      </c>
      <c r="D27496" s="15" t="s">
        <v>10252</v>
      </c>
      <c r="E27496" s="2">
        <v>1269849</v>
      </c>
      <c r="F27496" s="4" t="str">
        <f>IF(B27496=B27495,"",B27496)</f>
        <v>Hadagalli</v>
      </c>
    </row>
    <row r="27497" spans="1:6" ht="15.75" customHeight="1">
      <c r="A27497" s="15" t="s">
        <v>19935</v>
      </c>
      <c r="B27497" s="15" t="s">
        <v>19936</v>
      </c>
      <c r="C27497" s="15" t="s">
        <v>19808</v>
      </c>
      <c r="D27497" s="15" t="s">
        <v>10184</v>
      </c>
      <c r="E27497" s="2">
        <v>1177397</v>
      </c>
      <c r="F27497" s="4" t="e">
        <f>IF(B27497=#REF!,"",B27497)</f>
        <v>#REF!</v>
      </c>
    </row>
    <row r="27498" spans="1:6" ht="15.75" customHeight="1">
      <c r="A27498" s="16" t="s">
        <v>28815</v>
      </c>
      <c r="B27498" s="15" t="s">
        <v>28815</v>
      </c>
      <c r="C27498" s="16" t="s">
        <v>27788</v>
      </c>
      <c r="D27498" s="16" t="s">
        <v>27905</v>
      </c>
      <c r="E27498" s="2">
        <v>5098706</v>
      </c>
      <c r="F27498" s="4" t="str">
        <f>IF(B27498=B27497,"",B27498)</f>
        <v>Hackensack</v>
      </c>
    </row>
    <row r="27499" spans="1:6" ht="15.75" customHeight="1">
      <c r="A27499" s="16" t="str">
        <f ca="1">IFERROR(__xludf.DUMMYFUNCTION("GOOGLETRANSLATE(B23647,""en"",""pt"")"),"Hacıqabul")</f>
        <v>Hacıqabul</v>
      </c>
      <c r="B27499" s="20" t="s">
        <v>31240</v>
      </c>
      <c r="C27499" s="20" t="s">
        <v>1170</v>
      </c>
      <c r="D27499" s="20" t="s">
        <v>31240</v>
      </c>
      <c r="E27499" s="10">
        <v>585225</v>
      </c>
      <c r="F27499" s="4" t="str">
        <f>IF(B27499=B27498,"",B27499)</f>
        <v>Hacıqabul</v>
      </c>
    </row>
    <row r="27500" spans="1:6" ht="15.75" customHeight="1">
      <c r="A27500" s="16" t="str">
        <f ca="1">IFERROR(__xludf.DUMMYFUNCTION("GOOGLETRANSLATE(B41986,""en"",""pt"")"),"Hacılar")</f>
        <v>Hacılar</v>
      </c>
      <c r="B27500" s="20" t="s">
        <v>35869</v>
      </c>
      <c r="C27500" s="20" t="s">
        <v>26201</v>
      </c>
      <c r="D27500" s="20" t="s">
        <v>26445</v>
      </c>
      <c r="E27500" s="10">
        <v>313013</v>
      </c>
      <c r="F27500" s="4" t="e">
        <f>IF(B27500=#REF!,"",B27500)</f>
        <v>#REF!</v>
      </c>
    </row>
    <row r="27501" spans="1:6" ht="15.75" customHeight="1">
      <c r="A27501" s="16" t="s">
        <v>17962</v>
      </c>
      <c r="B27501" s="15" t="s">
        <v>17962</v>
      </c>
      <c r="C27501" s="16" t="s">
        <v>17707</v>
      </c>
      <c r="D27501" s="16" t="s">
        <v>17746</v>
      </c>
      <c r="E27501" s="2">
        <v>8858085</v>
      </c>
      <c r="F27501" s="4" t="e">
        <f>IF(B27501=#REF!,"",B27501)</f>
        <v>#REF!</v>
      </c>
    </row>
    <row r="27502" spans="1:6" ht="15.75" customHeight="1">
      <c r="A27502" s="16" t="s">
        <v>4400</v>
      </c>
      <c r="B27502" s="15" t="s">
        <v>4400</v>
      </c>
      <c r="C27502" s="16" t="s">
        <v>4355</v>
      </c>
      <c r="D27502" s="16" t="s">
        <v>3642</v>
      </c>
      <c r="E27502" s="2">
        <v>3888214</v>
      </c>
      <c r="F27502" s="4" t="e">
        <f>IF(B27502=#REF!,"",B27502)</f>
        <v>#REF!</v>
      </c>
    </row>
    <row r="27503" spans="1:6" ht="15.75" customHeight="1">
      <c r="A27503" s="16" t="s">
        <v>28814</v>
      </c>
      <c r="B27503" s="15" t="s">
        <v>28814</v>
      </c>
      <c r="C27503" s="16" t="s">
        <v>27788</v>
      </c>
      <c r="D27503" s="16" t="s">
        <v>27801</v>
      </c>
      <c r="E27503" s="2">
        <v>5354819</v>
      </c>
      <c r="F27503" s="4" t="str">
        <f>IF(B27503=B27502,"",B27503)</f>
        <v>Hacienda Heights</v>
      </c>
    </row>
    <row r="27504" spans="1:6" ht="15.75" customHeight="1">
      <c r="A27504" s="16" t="str">
        <f ca="1">IFERROR(__xludf.DUMMYFUNCTION("GOOGLETRANSLATE(B23649,""en"",""pt"")"),"Hacı Zeynalabdin")</f>
        <v>Hacı Zeynalabdin</v>
      </c>
      <c r="B27504" s="20" t="s">
        <v>31241</v>
      </c>
      <c r="C27504" s="20" t="s">
        <v>1170</v>
      </c>
      <c r="D27504" s="20" t="s">
        <v>1209</v>
      </c>
      <c r="E27504" s="10">
        <v>585379</v>
      </c>
      <c r="F27504" s="4" t="str">
        <f>IF(B27504=B27503,"",B27504)</f>
        <v>Hacı Zeynalabdin</v>
      </c>
    </row>
    <row r="27505" spans="1:6" ht="15.75" customHeight="1">
      <c r="A27505" s="16" t="str">
        <f ca="1">IFERROR(__xludf.DUMMYFUNCTION("GOOGLETRANSLATE(B35625,""en"",""pt"")"),"Hachiōji")</f>
        <v>Hachiōji</v>
      </c>
      <c r="B27505" s="20" t="s">
        <v>34377</v>
      </c>
      <c r="C27505" s="20" t="s">
        <v>15704</v>
      </c>
      <c r="D27505" s="20" t="s">
        <v>15776</v>
      </c>
      <c r="E27505" s="10">
        <v>1863440</v>
      </c>
      <c r="F27505" s="4" t="e">
        <f>IF(B27505=#REF!,"",B27505)</f>
        <v>#REF!</v>
      </c>
    </row>
    <row r="27506" spans="1:6" ht="15.75" customHeight="1">
      <c r="A27506" s="16" t="s">
        <v>15921</v>
      </c>
      <c r="B27506" s="15" t="s">
        <v>15921</v>
      </c>
      <c r="C27506" s="16" t="s">
        <v>15704</v>
      </c>
      <c r="D27506" s="16" t="s">
        <v>15815</v>
      </c>
      <c r="E27506" s="2">
        <v>2130203</v>
      </c>
      <c r="F27506" s="4" t="str">
        <f>IF(B27506=B27505,"",B27506)</f>
        <v>Hachinohe</v>
      </c>
    </row>
    <row r="27507" spans="1:6" ht="15.75" customHeight="1">
      <c r="A27507" s="15" t="s">
        <v>15919</v>
      </c>
      <c r="B27507" s="15" t="s">
        <v>15920</v>
      </c>
      <c r="C27507" s="15" t="s">
        <v>15704</v>
      </c>
      <c r="D27507" s="15" t="s">
        <v>15776</v>
      </c>
      <c r="E27507" s="2">
        <v>1863440</v>
      </c>
      <c r="F27507" s="4" t="str">
        <f>IF(B27507=B27506,"",B27507)</f>
        <v>HachiÅji</v>
      </c>
    </row>
    <row r="27508" spans="1:6" ht="15.75" customHeight="1">
      <c r="A27508" s="16" t="s">
        <v>1210</v>
      </c>
      <c r="B27508" s="15" t="s">
        <v>1211</v>
      </c>
      <c r="C27508" s="16" t="s">
        <v>1170</v>
      </c>
      <c r="D27508" s="16" t="s">
        <v>1211</v>
      </c>
      <c r="E27508" s="2">
        <v>585225</v>
      </c>
      <c r="F27508" s="4" t="str">
        <f>IF(B27508=B27507,"",B27508)</f>
        <v>HacÄ±qabul</v>
      </c>
    </row>
    <row r="27509" spans="1:6" ht="15.75" customHeight="1">
      <c r="A27509" s="16" t="s">
        <v>26536</v>
      </c>
      <c r="B27509" s="15" t="s">
        <v>26537</v>
      </c>
      <c r="C27509" s="16" t="s">
        <v>26201</v>
      </c>
      <c r="D27509" s="16" t="s">
        <v>26445</v>
      </c>
      <c r="E27509" s="2">
        <v>313013</v>
      </c>
      <c r="F27509" s="4" t="str">
        <f>IF(B27509=B27508,"",B27509)</f>
        <v>HacÄ±lar</v>
      </c>
    </row>
    <row r="27510" spans="1:6" ht="15.75" customHeight="1">
      <c r="A27510" s="16" t="s">
        <v>1207</v>
      </c>
      <c r="B27510" s="15" t="s">
        <v>1208</v>
      </c>
      <c r="C27510" s="16" t="s">
        <v>1170</v>
      </c>
      <c r="D27510" s="16" t="s">
        <v>1209</v>
      </c>
      <c r="E27510" s="2">
        <v>585379</v>
      </c>
      <c r="F27510" s="4" t="str">
        <f>IF(B27510=B27509,"",B27510)</f>
        <v>HacÄ± Zeynalabdin</v>
      </c>
    </row>
    <row r="27511" spans="1:6" ht="15.75" customHeight="1">
      <c r="A27511" s="16" t="str">
        <f ca="1">IFERROR(__xludf.DUMMYFUNCTION("GOOGLETRANSLATE(B33405,""en"",""pt"")"),"Hābra")</f>
        <v>Hābra</v>
      </c>
      <c r="B27511" s="20" t="s">
        <v>33693</v>
      </c>
      <c r="C27511" s="20" t="s">
        <v>10178</v>
      </c>
      <c r="D27511" s="20" t="s">
        <v>10201</v>
      </c>
      <c r="E27511" s="10">
        <v>1270568</v>
      </c>
      <c r="F27511" s="4" t="e">
        <f>IF(B27511=#REF!,"",B27511)</f>
        <v>#REF!</v>
      </c>
    </row>
    <row r="27512" spans="1:6" ht="15.75" customHeight="1">
      <c r="A27512" s="15" t="s">
        <v>1348</v>
      </c>
      <c r="B27512" s="15" t="s">
        <v>1348</v>
      </c>
      <c r="C27512" s="15" t="s">
        <v>1296</v>
      </c>
      <c r="D27512" s="15" t="s">
        <v>1306</v>
      </c>
      <c r="E27512" s="2">
        <v>1185209</v>
      </c>
      <c r="F27512" s="4" t="str">
        <f>IF(B27512=B27511,"",B27512)</f>
        <v>Habiganj</v>
      </c>
    </row>
    <row r="27513" spans="1:6" ht="15.75" customHeight="1">
      <c r="A27513" s="16" t="str">
        <f ca="1">IFERROR(__xludf.DUMMYFUNCTION("GOOGLETRANSLATE(B36282,""en"",""pt"")"),"Habboílico")</f>
        <v>Habboílico</v>
      </c>
      <c r="B27513" s="20" t="s">
        <v>34517</v>
      </c>
      <c r="C27513" s="20" t="s">
        <v>17008</v>
      </c>
      <c r="D27513" s="20" t="s">
        <v>34518</v>
      </c>
      <c r="E27513" s="10">
        <v>274874</v>
      </c>
      <c r="F27513" s="4" t="str">
        <f>IF(B27513=B27512,"",B27513)</f>
        <v>Habboûch</v>
      </c>
    </row>
    <row r="27514" spans="1:6" ht="15.75" customHeight="1">
      <c r="A27514" s="16" t="s">
        <v>17021</v>
      </c>
      <c r="B27514" s="15" t="s">
        <v>17022</v>
      </c>
      <c r="C27514" s="16" t="s">
        <v>17008</v>
      </c>
      <c r="D27514" s="16" t="s">
        <v>17023</v>
      </c>
      <c r="E27514" s="2">
        <v>274874</v>
      </c>
      <c r="F27514" s="4" t="e">
        <f>IF(B27514=#REF!,"",B27514)</f>
        <v>#REF!</v>
      </c>
    </row>
    <row r="27515" spans="1:6" ht="15.75" customHeight="1">
      <c r="A27515" s="16" t="s">
        <v>5848</v>
      </c>
      <c r="B27515" s="15" t="s">
        <v>5848</v>
      </c>
      <c r="C27515" s="16" t="s">
        <v>5764</v>
      </c>
      <c r="D27515" s="16" t="s">
        <v>5768</v>
      </c>
      <c r="E27515" s="2">
        <v>3746181</v>
      </c>
      <c r="F27515" s="4" t="str">
        <f>IF(B27515=B27514,"",B27515)</f>
        <v>Habana del Este</v>
      </c>
    </row>
    <row r="27516" spans="1:6" ht="15.75" customHeight="1">
      <c r="A27516" s="15" t="s">
        <v>8519</v>
      </c>
      <c r="B27516" s="15" t="s">
        <v>8520</v>
      </c>
      <c r="C27516" s="15" t="s">
        <v>8028</v>
      </c>
      <c r="D27516" s="15" t="s">
        <v>8065</v>
      </c>
      <c r="E27516" s="2">
        <v>2909313</v>
      </c>
      <c r="F27516" s="4" t="e">
        <f>IF(B27516=#REF!,"",B27516)</f>
        <v>#REF!</v>
      </c>
    </row>
    <row r="27517" spans="1:6" ht="15.75" customHeight="1">
      <c r="A27517" s="15" t="s">
        <v>18978</v>
      </c>
      <c r="B27517" s="15" t="s">
        <v>18978</v>
      </c>
      <c r="C27517" s="15" t="s">
        <v>18862</v>
      </c>
      <c r="D27517" s="15" t="s">
        <v>18863</v>
      </c>
      <c r="E27517" s="2">
        <v>2755003</v>
      </c>
      <c r="F27517" s="4" t="e">
        <f>IF(B27517=#REF!,"",B27517)</f>
        <v>#REF!</v>
      </c>
    </row>
    <row r="27518" spans="1:6" ht="15.75" customHeight="1">
      <c r="A27518" s="15" t="s">
        <v>8518</v>
      </c>
      <c r="B27518" s="15" t="s">
        <v>8518</v>
      </c>
      <c r="C27518" s="15" t="s">
        <v>8028</v>
      </c>
      <c r="D27518" s="15" t="s">
        <v>8044</v>
      </c>
      <c r="E27518" s="2">
        <v>2913192</v>
      </c>
      <c r="F27518" s="4" t="e">
        <f>IF(B27518=#REF!,"",B27518)</f>
        <v>#REF!</v>
      </c>
    </row>
    <row r="27519" spans="1:6" ht="15.75" customHeight="1">
      <c r="A27519" s="15" t="s">
        <v>8517</v>
      </c>
      <c r="B27519" s="15" t="s">
        <v>8517</v>
      </c>
      <c r="C27519" s="15" t="s">
        <v>8028</v>
      </c>
      <c r="D27519" s="15" t="s">
        <v>8029</v>
      </c>
      <c r="E27519" s="2">
        <v>2913195</v>
      </c>
      <c r="F27519" s="4" t="e">
        <f>IF(B27519=#REF!,"",B27519)</f>
        <v>#REF!</v>
      </c>
    </row>
    <row r="27520" spans="1:6" ht="15.75" customHeight="1">
      <c r="A27520" s="15" t="s">
        <v>1583</v>
      </c>
      <c r="B27520" s="15" t="s">
        <v>1583</v>
      </c>
      <c r="C27520" s="15" t="s">
        <v>1512</v>
      </c>
      <c r="D27520" s="15" t="s">
        <v>1513</v>
      </c>
      <c r="E27520" s="2">
        <v>2796833</v>
      </c>
      <c r="F27520" s="4" t="e">
        <f>IF(B27520=#REF!,"",B27520)</f>
        <v>#REF!</v>
      </c>
    </row>
    <row r="27521" spans="1:6" ht="15.75" customHeight="1">
      <c r="A27521" s="16" t="s">
        <v>18977</v>
      </c>
      <c r="B27521" s="15" t="s">
        <v>18977</v>
      </c>
      <c r="C27521" s="16" t="s">
        <v>18862</v>
      </c>
      <c r="D27521" s="16" t="s">
        <v>18871</v>
      </c>
      <c r="E27521" s="2">
        <v>2755030</v>
      </c>
      <c r="F27521" s="4" t="str">
        <f>IF(B27521=B27520,"",B27521)</f>
        <v>Haaksbergen</v>
      </c>
    </row>
    <row r="27522" spans="1:6" ht="15.75" customHeight="1">
      <c r="A27522" s="16" t="s">
        <v>10060</v>
      </c>
      <c r="B27522" s="15" t="s">
        <v>10061</v>
      </c>
      <c r="C27522" s="16" t="s">
        <v>9955</v>
      </c>
      <c r="D27522" s="16" t="s">
        <v>10029</v>
      </c>
      <c r="E27522" s="2">
        <v>719965</v>
      </c>
      <c r="F27522" s="4" t="str">
        <f>IF(B27522=B27521,"",B27522)</f>
        <v>HÃ³dmezÅ‘vÃ¡sÃ¡rhely</v>
      </c>
    </row>
    <row r="27523" spans="1:6" ht="15.75" customHeight="1">
      <c r="A27523" s="15" t="s">
        <v>8515</v>
      </c>
      <c r="B27523" s="15" t="s">
        <v>8516</v>
      </c>
      <c r="C27523" s="15" t="s">
        <v>8028</v>
      </c>
      <c r="D27523" s="15" t="s">
        <v>8029</v>
      </c>
      <c r="E27523" s="2">
        <v>2897216</v>
      </c>
      <c r="F27523" s="4" t="str">
        <f>IF(B27523=B27522,"",B27523)</f>
        <v>HÃ¼rth</v>
      </c>
    </row>
    <row r="27524" spans="1:6" ht="15.75" customHeight="1">
      <c r="A27524" s="15" t="s">
        <v>8513</v>
      </c>
      <c r="B27524" s="15" t="s">
        <v>8514</v>
      </c>
      <c r="C27524" s="15" t="s">
        <v>8028</v>
      </c>
      <c r="D27524" s="15" t="s">
        <v>8050</v>
      </c>
      <c r="E27524" s="2">
        <v>2897436</v>
      </c>
      <c r="F27524" s="4" t="str">
        <f>IF(B27524=B27523,"",B27524)</f>
        <v>HÃ¼nfeld</v>
      </c>
    </row>
    <row r="27525" spans="1:6" ht="15.75" customHeight="1">
      <c r="A27525" s="16" t="s">
        <v>8511</v>
      </c>
      <c r="B27525" s="15" t="s">
        <v>8512</v>
      </c>
      <c r="C27525" s="16" t="s">
        <v>8028</v>
      </c>
      <c r="D27525" s="16" t="s">
        <v>8029</v>
      </c>
      <c r="E27525" s="2">
        <v>2898098</v>
      </c>
      <c r="F27525" s="4" t="str">
        <f>IF(B27525=B27524,"",B27525)</f>
        <v>HÃ¼ckeswagen</v>
      </c>
    </row>
    <row r="27526" spans="1:6" ht="15.75" customHeight="1">
      <c r="A27526" s="16" t="s">
        <v>8509</v>
      </c>
      <c r="B27526" s="15" t="s">
        <v>8510</v>
      </c>
      <c r="C27526" s="16" t="s">
        <v>8028</v>
      </c>
      <c r="D27526" s="16" t="s">
        <v>8029</v>
      </c>
      <c r="E27526" s="2">
        <v>2898111</v>
      </c>
      <c r="F27526" s="4" t="str">
        <f>IF(B27526=B27525,"",B27526)</f>
        <v>HÃ¼ckelhoven</v>
      </c>
    </row>
    <row r="27527" spans="1:6" ht="15.75" customHeight="1">
      <c r="A27527" s="15" t="s">
        <v>11444</v>
      </c>
      <c r="B27527" s="15" t="s">
        <v>11445</v>
      </c>
      <c r="C27527" s="15" t="s">
        <v>10178</v>
      </c>
      <c r="D27527" s="15" t="s">
        <v>10252</v>
      </c>
      <c r="E27527" s="2">
        <v>1270171</v>
      </c>
      <c r="F27527" s="4" t="str">
        <f>IF(B27527=B27526,"",B27527)</f>
        <v>HÄveri</v>
      </c>
    </row>
    <row r="27528" spans="1:6" ht="15.75" customHeight="1">
      <c r="A27528" s="15" t="s">
        <v>11442</v>
      </c>
      <c r="B27528" s="15" t="s">
        <v>11443</v>
      </c>
      <c r="C27528" s="15" t="s">
        <v>10178</v>
      </c>
      <c r="D27528" s="15" t="s">
        <v>10193</v>
      </c>
      <c r="E27528" s="2">
        <v>1270216</v>
      </c>
      <c r="F27528" s="4" t="str">
        <f>IF(B27528=B27527,"",B27528)</f>
        <v>HÄthras</v>
      </c>
    </row>
    <row r="27529" spans="1:6" ht="15.75" customHeight="1">
      <c r="A27529" s="16" t="s">
        <v>11440</v>
      </c>
      <c r="B27529" s="15" t="s">
        <v>11441</v>
      </c>
      <c r="C27529" s="16" t="s">
        <v>10178</v>
      </c>
      <c r="D27529" s="16" t="s">
        <v>10201</v>
      </c>
      <c r="E27529" s="2">
        <v>1270245</v>
      </c>
      <c r="F27529" s="4" t="str">
        <f>IF(B27529=B27528,"",B27529)</f>
        <v>HÄsimÄra</v>
      </c>
    </row>
    <row r="27530" spans="1:6" ht="15.75" customHeight="1">
      <c r="A27530" s="15" t="s">
        <v>19933</v>
      </c>
      <c r="B27530" s="15" t="s">
        <v>19934</v>
      </c>
      <c r="C27530" s="15" t="s">
        <v>19808</v>
      </c>
      <c r="D27530" s="15" t="s">
        <v>10184</v>
      </c>
      <c r="E27530" s="2">
        <v>1177042</v>
      </c>
      <c r="F27530" s="4" t="str">
        <f>IF(B27530=B27529,"",B27530)</f>
        <v>HÄsilpur</v>
      </c>
    </row>
    <row r="27531" spans="1:6" ht="15.75" customHeight="1">
      <c r="A27531" s="15" t="s">
        <v>11438</v>
      </c>
      <c r="B27531" s="15" t="s">
        <v>11439</v>
      </c>
      <c r="C27531" s="15" t="s">
        <v>10178</v>
      </c>
      <c r="D27531" s="15" t="s">
        <v>10209</v>
      </c>
      <c r="E27531" s="2">
        <v>1270343</v>
      </c>
      <c r="F27531" s="4" t="str">
        <f>IF(B27531=B27530,"",B27531)</f>
        <v>HÄrij</v>
      </c>
    </row>
    <row r="27532" spans="1:6" ht="15.75" customHeight="1">
      <c r="A27532" s="15" t="s">
        <v>11436</v>
      </c>
      <c r="B27532" s="15" t="s">
        <v>11437</v>
      </c>
      <c r="C27532" s="15" t="s">
        <v>10178</v>
      </c>
      <c r="D27532" s="15" t="s">
        <v>10193</v>
      </c>
      <c r="E27532" s="2">
        <v>1270393</v>
      </c>
      <c r="F27532" s="4" t="str">
        <f>IF(B27532=B27531,"",B27532)</f>
        <v>HÄpur</v>
      </c>
    </row>
    <row r="27533" spans="1:6" ht="15.75" customHeight="1">
      <c r="A27533" s="15" t="s">
        <v>11434</v>
      </c>
      <c r="B27533" s="15" t="s">
        <v>11435</v>
      </c>
      <c r="C27533" s="15" t="s">
        <v>10178</v>
      </c>
      <c r="D27533" s="15" t="s">
        <v>10201</v>
      </c>
      <c r="E27533" s="2">
        <v>1270396</v>
      </c>
      <c r="F27533" s="4" t="str">
        <f>IF(B27533=B27532,"",B27533)</f>
        <v>HÄora</v>
      </c>
    </row>
    <row r="27534" spans="1:6" ht="15.75" customHeight="1">
      <c r="A27534" s="15" t="s">
        <v>11432</v>
      </c>
      <c r="B27534" s="15" t="s">
        <v>11433</v>
      </c>
      <c r="C27534" s="15" t="s">
        <v>10178</v>
      </c>
      <c r="D27534" s="15" t="s">
        <v>10224</v>
      </c>
      <c r="E27534" s="2">
        <v>1270417</v>
      </c>
      <c r="F27534" s="4" t="str">
        <f>IF(B27534=B27533,"",B27534)</f>
        <v>HÄnsi</v>
      </c>
    </row>
    <row r="27535" spans="1:6" ht="15.75" customHeight="1">
      <c r="A27535" s="15" t="s">
        <v>11430</v>
      </c>
      <c r="B27535" s="15" t="s">
        <v>11431</v>
      </c>
      <c r="C27535" s="15" t="s">
        <v>10178</v>
      </c>
      <c r="D27535" s="15" t="s">
        <v>10252</v>
      </c>
      <c r="E27535" s="2">
        <v>1270435</v>
      </c>
      <c r="F27535" s="4" t="str">
        <f>IF(B27535=B27534,"",B27535)</f>
        <v>HÄngal</v>
      </c>
    </row>
    <row r="27536" spans="1:6" ht="15.75" customHeight="1">
      <c r="A27536" s="15" t="s">
        <v>11428</v>
      </c>
      <c r="B27536" s="15" t="s">
        <v>11429</v>
      </c>
      <c r="C27536" s="15" t="s">
        <v>10178</v>
      </c>
      <c r="D27536" s="15" t="s">
        <v>10209</v>
      </c>
      <c r="E27536" s="2">
        <v>1270474</v>
      </c>
      <c r="F27536" s="4" t="str">
        <f>IF(B27536=B27535,"",B27536)</f>
        <v>HÄlol</v>
      </c>
    </row>
    <row r="27537" spans="1:6" ht="15.75" customHeight="1">
      <c r="A27537" s="16" t="s">
        <v>11426</v>
      </c>
      <c r="B27537" s="15" t="s">
        <v>11427</v>
      </c>
      <c r="C27537" s="16" t="s">
        <v>10178</v>
      </c>
      <c r="D27537" s="16" t="s">
        <v>10201</v>
      </c>
      <c r="E27537" s="2">
        <v>1270484</v>
      </c>
      <c r="F27537" s="4" t="str">
        <f>IF(B27537=B27536,"",B27537)</f>
        <v>HÄlÄ«sahar</v>
      </c>
    </row>
    <row r="27538" spans="1:6" ht="15.75" customHeight="1">
      <c r="A27538" s="15" t="s">
        <v>19931</v>
      </c>
      <c r="B27538" s="15" t="s">
        <v>19932</v>
      </c>
      <c r="C27538" s="15" t="s">
        <v>19808</v>
      </c>
      <c r="D27538" s="15" t="s">
        <v>19823</v>
      </c>
      <c r="E27538" s="2">
        <v>1177278</v>
      </c>
      <c r="F27538" s="4" t="str">
        <f>IF(B27538=B27537,"",B27538)</f>
        <v>HÄla</v>
      </c>
    </row>
    <row r="27539" spans="1:6" ht="15.75" customHeight="1">
      <c r="A27539" s="15" t="s">
        <v>11424</v>
      </c>
      <c r="B27539" s="15" t="s">
        <v>11425</v>
      </c>
      <c r="C27539" s="15" t="s">
        <v>10178</v>
      </c>
      <c r="D27539" s="15" t="s">
        <v>10239</v>
      </c>
      <c r="E27539" s="2">
        <v>1270522</v>
      </c>
      <c r="F27539" s="4" t="str">
        <f>IF(B27539=B27538,"",B27539)</f>
        <v>HÄjo</v>
      </c>
    </row>
    <row r="27540" spans="1:6" ht="15.75" customHeight="1">
      <c r="A27540" s="15" t="s">
        <v>15917</v>
      </c>
      <c r="B27540" s="15" t="s">
        <v>15918</v>
      </c>
      <c r="C27540" s="15" t="s">
        <v>15704</v>
      </c>
      <c r="D27540" s="15" t="s">
        <v>15813</v>
      </c>
      <c r="E27540" s="2">
        <v>1926142</v>
      </c>
      <c r="F27540" s="4" t="str">
        <f>IF(B27540=B27539,"",B27540)</f>
        <v>HÅjÅ</v>
      </c>
    </row>
    <row r="27541" spans="1:6" ht="15.75" customHeight="1">
      <c r="A27541" s="16" t="s">
        <v>11422</v>
      </c>
      <c r="B27541" s="15" t="s">
        <v>11423</v>
      </c>
      <c r="C27541" s="16" t="s">
        <v>10178</v>
      </c>
      <c r="D27541" s="16" t="s">
        <v>10317</v>
      </c>
      <c r="E27541" s="2">
        <v>1270525</v>
      </c>
      <c r="F27541" s="4" t="str">
        <f>IF(B27541=B27540,"",B27541)</f>
        <v>HÄjÄ«pur</v>
      </c>
    </row>
    <row r="27542" spans="1:6" ht="15.75" customHeight="1">
      <c r="A27542" s="16" t="s">
        <v>1346</v>
      </c>
      <c r="B27542" s="15" t="s">
        <v>1347</v>
      </c>
      <c r="C27542" s="16" t="s">
        <v>1296</v>
      </c>
      <c r="D27542" s="16" t="s">
        <v>1302</v>
      </c>
      <c r="E27542" s="2">
        <v>1201753</v>
      </c>
      <c r="F27542" s="4" t="str">
        <f>IF(B27542=B27541,"",B27542)</f>
        <v>HÄjÄ«ganj</v>
      </c>
    </row>
    <row r="27543" spans="1:6" ht="15.75" customHeight="1">
      <c r="A27543" s="16" t="s">
        <v>6883</v>
      </c>
      <c r="B27543" s="15" t="s">
        <v>6884</v>
      </c>
      <c r="C27543" s="16" t="s">
        <v>6807</v>
      </c>
      <c r="D27543" s="16" t="s">
        <v>6814</v>
      </c>
      <c r="E27543" s="2">
        <v>335288</v>
      </c>
      <c r="F27543" s="4" t="str">
        <f>IF(B27543=B27542,"",B27543)</f>
        <v>HÄgere Hiywet</v>
      </c>
    </row>
    <row r="27544" spans="1:6" ht="15.75" customHeight="1">
      <c r="A27544" s="15" t="s">
        <v>15915</v>
      </c>
      <c r="B27544" s="15" t="s">
        <v>15916</v>
      </c>
      <c r="C27544" s="15" t="s">
        <v>15704</v>
      </c>
      <c r="D27544" s="15" t="s">
        <v>15796</v>
      </c>
      <c r="E27544" s="2">
        <v>1862302</v>
      </c>
      <c r="F27544" s="4" t="str">
        <f>IF(B27544=B27543,"",B27544)</f>
        <v>HÅfu</v>
      </c>
    </row>
    <row r="27545" spans="1:6" ht="15.75" customHeight="1">
      <c r="A27545" s="15" t="s">
        <v>11420</v>
      </c>
      <c r="B27545" s="15" t="s">
        <v>11421</v>
      </c>
      <c r="C27545" s="15" t="s">
        <v>10178</v>
      </c>
      <c r="D27545" s="15" t="s">
        <v>10239</v>
      </c>
      <c r="E27545" s="2">
        <v>1270543</v>
      </c>
      <c r="F27545" s="4" t="str">
        <f>IF(B27545=B27544,"",B27545)</f>
        <v>HÄflong</v>
      </c>
    </row>
    <row r="27546" spans="1:6" ht="15.75" customHeight="1">
      <c r="A27546" s="16" t="s">
        <v>19929</v>
      </c>
      <c r="B27546" s="15" t="s">
        <v>19930</v>
      </c>
      <c r="C27546" s="16" t="s">
        <v>19808</v>
      </c>
      <c r="D27546" s="16" t="s">
        <v>10184</v>
      </c>
      <c r="E27546" s="2">
        <v>1177384</v>
      </c>
      <c r="F27546" s="4" t="str">
        <f>IF(B27546=B27545,"",B27546)</f>
        <v>HÄfizÄbÄd</v>
      </c>
    </row>
    <row r="27547" spans="1:6" ht="15.75" customHeight="1">
      <c r="A27547" s="15" t="s">
        <v>11418</v>
      </c>
      <c r="B27547" s="15" t="s">
        <v>11419</v>
      </c>
      <c r="C27547" s="15" t="s">
        <v>10178</v>
      </c>
      <c r="D27547" s="15" t="s">
        <v>10201</v>
      </c>
      <c r="E27547" s="2">
        <v>1270568</v>
      </c>
      <c r="F27547" s="4" t="str">
        <f>IF(B27547=B27546,"",B27547)</f>
        <v>HÄbra</v>
      </c>
    </row>
    <row r="27548" spans="1:6" ht="15.75" customHeight="1">
      <c r="A27548" s="15" t="s">
        <v>8507</v>
      </c>
      <c r="B27548" s="15" t="s">
        <v>8508</v>
      </c>
      <c r="C27548" s="15" t="s">
        <v>8028</v>
      </c>
      <c r="D27548" s="15" t="s">
        <v>8029</v>
      </c>
      <c r="E27548" s="2">
        <v>2898321</v>
      </c>
      <c r="F27548" s="4" t="str">
        <f>IF(B27548=B27547,"",B27548)</f>
        <v>HÃ¶xter</v>
      </c>
    </row>
    <row r="27549" spans="1:6" ht="15.75" customHeight="1">
      <c r="A27549" s="15" t="s">
        <v>1205</v>
      </c>
      <c r="B27549" s="15" t="s">
        <v>1206</v>
      </c>
      <c r="C27549" s="15" t="s">
        <v>1170</v>
      </c>
      <c r="D27549" s="15" t="s">
        <v>1181</v>
      </c>
      <c r="E27549" s="2">
        <v>586429</v>
      </c>
      <c r="F27549" s="4" t="str">
        <f>IF(B27549=B27548,"",B27549)</f>
        <v>HÃ¶vsan</v>
      </c>
    </row>
    <row r="27550" spans="1:6" ht="15.75" customHeight="1">
      <c r="A27550" s="16" t="s">
        <v>8505</v>
      </c>
      <c r="B27550" s="15" t="s">
        <v>8506</v>
      </c>
      <c r="C27550" s="16" t="s">
        <v>8028</v>
      </c>
      <c r="D27550" s="16" t="s">
        <v>8029</v>
      </c>
      <c r="E27550" s="2">
        <v>2898364</v>
      </c>
      <c r="F27550" s="4" t="str">
        <f>IF(B27550=B27549,"",B27550)</f>
        <v>HÃ¶velhof</v>
      </c>
    </row>
    <row r="27551" spans="1:6" ht="15.75" customHeight="1">
      <c r="A27551" s="15" t="s">
        <v>8503</v>
      </c>
      <c r="B27551" s="15" t="s">
        <v>8504</v>
      </c>
      <c r="C27551" s="15" t="s">
        <v>8028</v>
      </c>
      <c r="D27551" s="15" t="s">
        <v>8029</v>
      </c>
      <c r="E27551" s="2">
        <v>2898603</v>
      </c>
      <c r="F27551" s="4" t="str">
        <f>IF(B27551=B27550,"",B27551)</f>
        <v>HÃ¶rstel</v>
      </c>
    </row>
    <row r="27552" spans="1:6" ht="15.75" customHeight="1">
      <c r="A27552" s="16" t="s">
        <v>18477</v>
      </c>
      <c r="B27552" s="15" t="s">
        <v>18478</v>
      </c>
      <c r="C27552" s="16" t="s">
        <v>18455</v>
      </c>
      <c r="D27552" s="16" t="s">
        <v>18478</v>
      </c>
      <c r="E27552" s="2">
        <v>617993</v>
      </c>
      <c r="F27552" s="4" t="str">
        <f>IF(B27552=B27551,"",B27552)</f>
        <v>HÃ®nceÅŸti</v>
      </c>
    </row>
    <row r="27553" spans="1:6" ht="15.75" customHeight="1">
      <c r="A27553" s="16" t="s">
        <v>7390</v>
      </c>
      <c r="B27553" s="15" t="s">
        <v>7391</v>
      </c>
      <c r="C27553" s="16" t="s">
        <v>7052</v>
      </c>
      <c r="D27553" s="16" t="s">
        <v>7068</v>
      </c>
      <c r="E27553" s="2">
        <v>3013403</v>
      </c>
      <c r="F27553" s="4" t="str">
        <f>IF(B27553=B27552,"",B27553)</f>
        <v>HÃ©rouville-Saint-Clair</v>
      </c>
    </row>
    <row r="27554" spans="1:6" ht="15.75" customHeight="1">
      <c r="A27554" s="16" t="s">
        <v>7388</v>
      </c>
      <c r="B27554" s="15" t="s">
        <v>7389</v>
      </c>
      <c r="C27554" s="16" t="s">
        <v>7052</v>
      </c>
      <c r="D27554" s="16" t="s">
        <v>7078</v>
      </c>
      <c r="E27554" s="2">
        <v>3013525</v>
      </c>
      <c r="F27554" s="4" t="str">
        <f>IF(B27554=B27553,"",B27554)</f>
        <v>HÃ©nin-Beaumont</v>
      </c>
    </row>
    <row r="27555" spans="1:6" ht="15.75" customHeight="1">
      <c r="A27555" s="16" t="s">
        <v>358</v>
      </c>
      <c r="B27555" s="15" t="s">
        <v>359</v>
      </c>
      <c r="C27555" s="16" t="s">
        <v>153</v>
      </c>
      <c r="D27555" s="16" t="s">
        <v>296</v>
      </c>
      <c r="E27555" s="2">
        <v>2493956</v>
      </c>
      <c r="F27555" s="4" t="str">
        <f>IF(B27555=B27554,"",B27555)</f>
        <v>HÃ©liopolis</v>
      </c>
    </row>
    <row r="27556" spans="1:6" ht="15.75" customHeight="1">
      <c r="A27556" s="16" t="s">
        <v>30850</v>
      </c>
      <c r="B27556" s="15" t="s">
        <v>30851</v>
      </c>
      <c r="C27556" s="16" t="s">
        <v>30784</v>
      </c>
      <c r="D27556" s="16" t="s">
        <v>30852</v>
      </c>
      <c r="E27556" s="2">
        <v>1580541</v>
      </c>
      <c r="F27556" s="4" t="str">
        <f>IF(B27556=B27555,"",B27556)</f>
        <v>Há»™i An</v>
      </c>
    </row>
    <row r="27557" spans="1:6" ht="15.75" customHeight="1">
      <c r="A27557" s="15" t="s">
        <v>14683</v>
      </c>
      <c r="B27557" s="15" t="s">
        <v>14684</v>
      </c>
      <c r="C27557" s="15" t="s">
        <v>14594</v>
      </c>
      <c r="D27557" s="15" t="s">
        <v>14595</v>
      </c>
      <c r="E27557" s="2">
        <v>95788</v>
      </c>
      <c r="F27557" s="4" t="str">
        <f>IF(B27557=B27556,"",B27557)</f>
        <v>HÄ«t</v>
      </c>
    </row>
    <row r="27558" spans="1:6" ht="15.75" customHeight="1">
      <c r="A27558" s="16" t="s">
        <v>11416</v>
      </c>
      <c r="B27558" s="15" t="s">
        <v>11417</v>
      </c>
      <c r="C27558" s="16" t="s">
        <v>10178</v>
      </c>
      <c r="D27558" s="16" t="s">
        <v>10229</v>
      </c>
      <c r="E27558" s="2">
        <v>1270059</v>
      </c>
      <c r="F27558" s="4" t="str">
        <f>IF(B27558=B27557,"",B27558)</f>
        <v>HÄ«rÄkud</v>
      </c>
    </row>
    <row r="27559" spans="1:6" ht="15.75" customHeight="1">
      <c r="A27559" s="15" t="s">
        <v>17118</v>
      </c>
      <c r="B27559" s="15" t="s">
        <v>17119</v>
      </c>
      <c r="C27559" s="15" t="s">
        <v>17074</v>
      </c>
      <c r="D27559" s="15" t="s">
        <v>17120</v>
      </c>
      <c r="E27559" s="2">
        <v>2216645</v>
      </c>
      <c r="F27559" s="4" t="str">
        <f>IF(B27559=B27558,"",B27559)</f>
        <v>HÅ«n</v>
      </c>
    </row>
    <row r="27560" spans="1:6" ht="15.75" customHeight="1">
      <c r="A27560" s="16" t="s">
        <v>26534</v>
      </c>
      <c r="B27560" s="15" t="s">
        <v>26535</v>
      </c>
      <c r="C27560" s="16" t="s">
        <v>26201</v>
      </c>
      <c r="D27560" s="16" t="s">
        <v>26268</v>
      </c>
      <c r="E27560" s="2">
        <v>312114</v>
      </c>
      <c r="F27560" s="4" t="str">
        <f>IF(B27560=B27559,"",B27560)</f>
        <v>HÄ±nÄ±s</v>
      </c>
    </row>
    <row r="27561" spans="1:6" ht="15.75" customHeight="1">
      <c r="A27561" s="16" t="s">
        <v>25130</v>
      </c>
      <c r="B27561" s="15" t="s">
        <v>25131</v>
      </c>
      <c r="C27561" s="16" t="s">
        <v>25077</v>
      </c>
      <c r="D27561" s="16" t="s">
        <v>25078</v>
      </c>
      <c r="E27561" s="2">
        <v>2707399</v>
      </c>
      <c r="F27561" s="4" t="str">
        <f>IF(B27561=B27560,"",B27561)</f>
        <v>HÃ¤ssleholm</v>
      </c>
    </row>
    <row r="27562" spans="1:6" ht="15.75" customHeight="1">
      <c r="A27562" s="16" t="s">
        <v>25128</v>
      </c>
      <c r="B27562" s="15" t="s">
        <v>25129</v>
      </c>
      <c r="C27562" s="16" t="s">
        <v>25077</v>
      </c>
      <c r="D27562" s="16" t="s">
        <v>25091</v>
      </c>
      <c r="E27562" s="2">
        <v>2707684</v>
      </c>
      <c r="F27562" s="4" t="str">
        <f>IF(B27562=B27561,"",B27562)</f>
        <v>HÃ¤rnÃ¶sand</v>
      </c>
    </row>
    <row r="27563" spans="1:6" ht="15.75" customHeight="1">
      <c r="A27563" s="16" t="s">
        <v>6955</v>
      </c>
      <c r="B27563" s="15" t="s">
        <v>6956</v>
      </c>
      <c r="C27563" s="16" t="s">
        <v>6948</v>
      </c>
      <c r="D27563" s="16" t="s">
        <v>6954</v>
      </c>
      <c r="E27563" s="2">
        <v>659180</v>
      </c>
      <c r="F27563" s="4" t="str">
        <f>IF(B27563=B27562,"",B27563)</f>
        <v>HÃ¤meenlinna</v>
      </c>
    </row>
    <row r="27564" spans="1:6" ht="15.75" customHeight="1">
      <c r="A27564" s="15" t="s">
        <v>6233</v>
      </c>
      <c r="B27564" s="15" t="s">
        <v>6234</v>
      </c>
      <c r="C27564" s="15" t="s">
        <v>6209</v>
      </c>
      <c r="D27564" s="15" t="s">
        <v>6216</v>
      </c>
      <c r="E27564" s="2">
        <v>2619856</v>
      </c>
      <c r="F27564" s="4" t="str">
        <f>IF(B27564=B27563,"",B27564)</f>
        <v>HÃ¸rsholm</v>
      </c>
    </row>
    <row r="27565" spans="1:6" ht="15.75" customHeight="1">
      <c r="A27565" s="15" t="s">
        <v>30847</v>
      </c>
      <c r="B27565" s="15" t="s">
        <v>30848</v>
      </c>
      <c r="C27565" s="15" t="s">
        <v>30784</v>
      </c>
      <c r="D27565" s="15" t="s">
        <v>30849</v>
      </c>
      <c r="E27565" s="2">
        <v>1581052</v>
      </c>
      <c r="F27565" s="4" t="str">
        <f>IF(B27565=B27564,"",B27565)</f>
        <v>HÃ  TiÃªn</v>
      </c>
    </row>
    <row r="27566" spans="1:6" ht="15.75" customHeight="1">
      <c r="A27566" s="16" t="s">
        <v>30845</v>
      </c>
      <c r="B27566" s="15" t="s">
        <v>30846</v>
      </c>
      <c r="C27566" s="16" t="s">
        <v>30784</v>
      </c>
      <c r="D27566" s="16" t="s">
        <v>30846</v>
      </c>
      <c r="E27566" s="2">
        <v>1581047</v>
      </c>
      <c r="F27566" s="4" t="str">
        <f>IF(B27566=B27565,"",B27566)</f>
        <v>HÃ  TÄ©nh</v>
      </c>
    </row>
    <row r="27567" spans="1:6" ht="15.75" customHeight="1">
      <c r="A27567" s="15" t="s">
        <v>30842</v>
      </c>
      <c r="B27567" s="15" t="s">
        <v>30843</v>
      </c>
      <c r="C27567" s="15" t="s">
        <v>30784</v>
      </c>
      <c r="D27567" s="15" t="s">
        <v>30844</v>
      </c>
      <c r="E27567" s="2">
        <v>1581364</v>
      </c>
      <c r="F27567" s="4" t="str">
        <f>IF(B27567=B27566,"",B27567)</f>
        <v>HÃ  ÄÃ´ng</v>
      </c>
    </row>
    <row r="27568" spans="1:6" ht="15.75" customHeight="1">
      <c r="A27568" s="16" t="str">
        <f ca="1">IFERROR(__xludf.DUMMYFUNCTION("GOOGLETRANSLATE(B45758,""en"",""pt"")"),"Hà tĩnh")</f>
        <v>Hà tĩnh</v>
      </c>
      <c r="B27568" s="20" t="s">
        <v>36169</v>
      </c>
      <c r="C27568" s="20" t="s">
        <v>30784</v>
      </c>
      <c r="D27568" s="20" t="s">
        <v>36169</v>
      </c>
      <c r="E27568" s="10">
        <v>1581047</v>
      </c>
      <c r="F27568" s="4" t="str">
        <f>IF(B27568=B27567,"",B27568)</f>
        <v>Hà Tĩnh</v>
      </c>
    </row>
    <row r="27569" spans="1:6" ht="15.75" customHeight="1">
      <c r="A27569" s="16" t="str">
        <f ca="1">IFERROR(__xludf.DUMMYFUNCTION("GOOGLETRANSLATE(B45759,""en"",""pt"")"),"Hà tiin")</f>
        <v>Hà tiin</v>
      </c>
      <c r="B27569" s="20" t="s">
        <v>36170</v>
      </c>
      <c r="C27569" s="20" t="s">
        <v>30784</v>
      </c>
      <c r="D27569" s="20" t="s">
        <v>36141</v>
      </c>
      <c r="E27569" s="10">
        <v>1581052</v>
      </c>
      <c r="F27569" s="4" t="str">
        <f>IF(B27569=B27568,"",B27569)</f>
        <v>Hà Tiên</v>
      </c>
    </row>
    <row r="27570" spans="1:6" ht="15.75" customHeight="1">
      <c r="A27570" s="16" t="str">
        <f ca="1">IFERROR(__xludf.DUMMYFUNCTION("GOOGLETRANSLATE(B45764,""en"",""pt"")"),"Hà đông")</f>
        <v>Hà đông</v>
      </c>
      <c r="B27570" s="20" t="s">
        <v>36176</v>
      </c>
      <c r="C27570" s="20" t="s">
        <v>30784</v>
      </c>
      <c r="D27570" s="20" t="s">
        <v>36133</v>
      </c>
      <c r="E27570" s="10">
        <v>1581364</v>
      </c>
      <c r="F27570" s="4" t="e">
        <f>IF(B27570=#REF!,"",B27570)</f>
        <v>#REF!</v>
      </c>
    </row>
    <row r="27571" spans="1:6" ht="15.75" customHeight="1">
      <c r="A27571" s="15" t="s">
        <v>868</v>
      </c>
      <c r="B27571" s="15" t="s">
        <v>868</v>
      </c>
      <c r="C27571" s="15" t="s">
        <v>853</v>
      </c>
      <c r="D27571" s="15" t="s">
        <v>869</v>
      </c>
      <c r="E27571" s="2">
        <v>616635</v>
      </c>
      <c r="F27571" s="4" t="e">
        <f>IF(B27571=#REF!,"",B27571)</f>
        <v>#REF!</v>
      </c>
    </row>
    <row r="27572" spans="1:6" ht="15.75" customHeight="1">
      <c r="A27572" s="15" t="s">
        <v>10059</v>
      </c>
      <c r="B27572" s="15" t="s">
        <v>10059</v>
      </c>
      <c r="C27572" s="15" t="s">
        <v>9955</v>
      </c>
      <c r="D27572" s="15" t="s">
        <v>9966</v>
      </c>
      <c r="E27572" s="2">
        <v>720334</v>
      </c>
      <c r="F27572" s="4" t="str">
        <f>IF(B27572=B27571,"",B27572)</f>
        <v>Gyula</v>
      </c>
    </row>
    <row r="27573" spans="1:6" ht="15.75" customHeight="1">
      <c r="A27573" s="16" t="str">
        <f ca="1">IFERROR(__xludf.DUMMYFUNCTION("GOOGLETRANSLATE(B31311,""en"",""pt"")"),"Győr")</f>
        <v>Győr</v>
      </c>
      <c r="B27573" s="20" t="s">
        <v>32878</v>
      </c>
      <c r="C27573" s="20" t="s">
        <v>9955</v>
      </c>
      <c r="D27573" s="20" t="s">
        <v>32858</v>
      </c>
      <c r="E27573" s="10">
        <v>3052009</v>
      </c>
      <c r="F27573" s="4" t="str">
        <f>IF(B27573=B27572,"",B27573)</f>
        <v>Győr</v>
      </c>
    </row>
    <row r="27574" spans="1:6" ht="15.75" customHeight="1">
      <c r="A27574" s="16" t="str">
        <f ca="1">IFERROR(__xludf.DUMMYFUNCTION("GOOGLETRANSLATE(B31312,""en"",""pt"")"),"Gyöngyös")</f>
        <v>Gyöngyös</v>
      </c>
      <c r="B27574" s="20" t="s">
        <v>32879</v>
      </c>
      <c r="C27574" s="20" t="s">
        <v>9955</v>
      </c>
      <c r="D27574" s="20" t="s">
        <v>10041</v>
      </c>
      <c r="E27574" s="10">
        <v>3052040</v>
      </c>
      <c r="F27574" s="4" t="str">
        <f>IF(B27574=B27573,"",B27574)</f>
        <v>Gyöngyös</v>
      </c>
    </row>
    <row r="27575" spans="1:6" ht="15.75" customHeight="1">
      <c r="A27575" s="16" t="str">
        <f ca="1">IFERROR(__xludf.DUMMYFUNCTION("GOOGLETRANSLATE(B31263,""en"",""pt"")"),"Gyomaendrőd")</f>
        <v>Gyomaendrőd</v>
      </c>
      <c r="B27575" s="20" t="s">
        <v>32842</v>
      </c>
      <c r="C27575" s="20" t="s">
        <v>9955</v>
      </c>
      <c r="D27575" s="20" t="s">
        <v>9966</v>
      </c>
      <c r="E27575" s="10">
        <v>720364</v>
      </c>
      <c r="F27575" s="4" t="str">
        <f>IF(B27575=B27574,"",B27575)</f>
        <v>Gyomaendrőd</v>
      </c>
    </row>
    <row r="27576" spans="1:6" ht="15.75" customHeight="1">
      <c r="A27576" s="16" t="s">
        <v>10057</v>
      </c>
      <c r="B27576" s="15" t="s">
        <v>10058</v>
      </c>
      <c r="C27576" s="16" t="s">
        <v>9955</v>
      </c>
      <c r="D27576" s="16" t="s">
        <v>9966</v>
      </c>
      <c r="E27576" s="2">
        <v>720364</v>
      </c>
      <c r="F27576" s="4" t="str">
        <f>IF(B27576=B27575,"",B27576)</f>
        <v>GyomaendrÅ‘d</v>
      </c>
    </row>
    <row r="27577" spans="1:6" ht="15.75" customHeight="1">
      <c r="A27577" s="16" t="str">
        <f ca="1">IFERROR(__xludf.DUMMYFUNCTION("GOOGLETRANSLATE(B35627,""en"",""pt"")"),"Gyōda")</f>
        <v>Gyōda</v>
      </c>
      <c r="B27577" s="20" t="s">
        <v>34379</v>
      </c>
      <c r="C27577" s="20" t="s">
        <v>15704</v>
      </c>
      <c r="D27577" s="20" t="s">
        <v>15710</v>
      </c>
      <c r="E27577" s="10">
        <v>1863482</v>
      </c>
      <c r="F27577" s="4" t="e">
        <f>IF(B27577=#REF!,"",B27577)</f>
        <v>#REF!</v>
      </c>
    </row>
    <row r="27578" spans="1:6" ht="15.75" customHeight="1">
      <c r="A27578" s="16" t="s">
        <v>24074</v>
      </c>
      <c r="B27578" s="15" t="s">
        <v>24075</v>
      </c>
      <c r="C27578" s="16" t="s">
        <v>24024</v>
      </c>
      <c r="D27578" s="16" t="s">
        <v>24025</v>
      </c>
      <c r="E27578" s="2">
        <v>1841598</v>
      </c>
      <c r="F27578" s="4" t="str">
        <f>IF(B27578=B27577,"",B27578)</f>
        <v>Gyeongsan-si</v>
      </c>
    </row>
    <row r="27579" spans="1:6" ht="15.75" customHeight="1">
      <c r="A27579" s="16" t="str">
        <f ca="1">IFERROR(__xludf.DUMMYFUNCTION("GOOGLETRANSLATE(B31313,""en"",""pt"")"),"Gyál")</f>
        <v>Gyál</v>
      </c>
      <c r="B27579" s="20" t="s">
        <v>32880</v>
      </c>
      <c r="C27579" s="20" t="s">
        <v>9955</v>
      </c>
      <c r="D27579" s="20" t="s">
        <v>9959</v>
      </c>
      <c r="E27579" s="10">
        <v>3052101</v>
      </c>
      <c r="F27579" s="4" t="str">
        <f>IF(B27579=B27578,"",B27579)</f>
        <v>Gyál</v>
      </c>
    </row>
    <row r="27580" spans="1:6" ht="15.75" customHeight="1">
      <c r="A27580" s="15" t="s">
        <v>15913</v>
      </c>
      <c r="B27580" s="15" t="s">
        <v>15914</v>
      </c>
      <c r="C27580" s="15" t="s">
        <v>15704</v>
      </c>
      <c r="D27580" s="15" t="s">
        <v>15710</v>
      </c>
      <c r="E27580" s="2">
        <v>1863482</v>
      </c>
      <c r="F27580" s="4" t="str">
        <f>IF(B27580=B27579,"",B27580)</f>
        <v>GyÅda</v>
      </c>
    </row>
    <row r="27581" spans="1:6" ht="15.75" customHeight="1">
      <c r="A27581" s="15" t="s">
        <v>10055</v>
      </c>
      <c r="B27581" s="15" t="s">
        <v>10056</v>
      </c>
      <c r="C27581" s="15" t="s">
        <v>9955</v>
      </c>
      <c r="D27581" s="15" t="s">
        <v>10041</v>
      </c>
      <c r="E27581" s="2">
        <v>3052040</v>
      </c>
      <c r="F27581" s="4" t="str">
        <f>IF(B27581=B27580,"",B27581)</f>
        <v>GyÃ¶ngyÃ¶s</v>
      </c>
    </row>
    <row r="27582" spans="1:6" ht="15.75" customHeight="1">
      <c r="A27582" s="15" t="s">
        <v>10052</v>
      </c>
      <c r="B27582" s="15" t="s">
        <v>10053</v>
      </c>
      <c r="C27582" s="15" t="s">
        <v>9955</v>
      </c>
      <c r="D27582" s="15" t="s">
        <v>10054</v>
      </c>
      <c r="E27582" s="2">
        <v>3052009</v>
      </c>
      <c r="F27582" s="4" t="str">
        <f>IF(B27582=B27581,"",B27582)</f>
        <v>GyÅ‘r</v>
      </c>
    </row>
    <row r="27583" spans="1:6" ht="15.75" customHeight="1">
      <c r="A27583" s="15" t="s">
        <v>10050</v>
      </c>
      <c r="B27583" s="15" t="s">
        <v>10051</v>
      </c>
      <c r="C27583" s="15" t="s">
        <v>9955</v>
      </c>
      <c r="D27583" s="15" t="s">
        <v>9959</v>
      </c>
      <c r="E27583" s="2">
        <v>3052101</v>
      </c>
      <c r="F27583" s="4" t="e">
        <f>IF(B27583=#REF!,"",B27583)</f>
        <v>#REF!</v>
      </c>
    </row>
    <row r="27584" spans="1:6" ht="15.75" customHeight="1">
      <c r="A27584" s="15" t="s">
        <v>19419</v>
      </c>
      <c r="B27584" s="15" t="s">
        <v>19419</v>
      </c>
      <c r="C27584" s="15" t="s">
        <v>19294</v>
      </c>
      <c r="D27584" s="15" t="s">
        <v>19338</v>
      </c>
      <c r="E27584" s="2">
        <v>2339665</v>
      </c>
      <c r="F27584" s="4" t="e">
        <f>IF(B27584=#REF!,"",B27584)</f>
        <v>#REF!</v>
      </c>
    </row>
    <row r="27585" spans="1:6" ht="15.75" customHeight="1">
      <c r="A27585" s="15" t="s">
        <v>31089</v>
      </c>
      <c r="B27585" s="15" t="s">
        <v>31089</v>
      </c>
      <c r="C27585" s="15" t="s">
        <v>31072</v>
      </c>
      <c r="D27585" s="15" t="s">
        <v>31088</v>
      </c>
      <c r="E27585" s="2">
        <v>890422</v>
      </c>
      <c r="F27585" s="4" t="e">
        <f>IF(B27585=#REF!,"",B27585)</f>
        <v>#REF!</v>
      </c>
    </row>
    <row r="27586" spans="1:6" ht="15.75" customHeight="1">
      <c r="A27586" s="15" t="s">
        <v>19418</v>
      </c>
      <c r="B27586" s="15" t="s">
        <v>19418</v>
      </c>
      <c r="C27586" s="15" t="s">
        <v>19294</v>
      </c>
      <c r="D27586" s="15" t="s">
        <v>19406</v>
      </c>
      <c r="E27586" s="2">
        <v>2339756</v>
      </c>
      <c r="F27586" s="4" t="e">
        <f>IF(B27586=#REF!,"",B27586)</f>
        <v>#REF!</v>
      </c>
    </row>
    <row r="27587" spans="1:6" ht="15.75" customHeight="1">
      <c r="A27587" s="15" t="s">
        <v>19417</v>
      </c>
      <c r="B27587" s="15" t="s">
        <v>19417</v>
      </c>
      <c r="C27587" s="15" t="s">
        <v>19294</v>
      </c>
      <c r="D27587" s="15" t="s">
        <v>19351</v>
      </c>
      <c r="E27587" s="2">
        <v>2339786</v>
      </c>
      <c r="F27587" s="4" t="e">
        <f>IF(B27587=#REF!,"",B27587)</f>
        <v>#REF!</v>
      </c>
    </row>
    <row r="27588" spans="1:6" ht="15.75" customHeight="1">
      <c r="A27588" s="15" t="s">
        <v>24073</v>
      </c>
      <c r="B27588" s="15" t="s">
        <v>24073</v>
      </c>
      <c r="C27588" s="15" t="s">
        <v>24024</v>
      </c>
      <c r="D27588" s="15" t="s">
        <v>24028</v>
      </c>
      <c r="E27588" s="2">
        <v>1841810</v>
      </c>
      <c r="F27588" s="4" t="e">
        <f>IF(B27588=#REF!,"",B27588)</f>
        <v>#REF!</v>
      </c>
    </row>
    <row r="27589" spans="1:6" ht="15.75" customHeight="1">
      <c r="A27589" s="15" t="s">
        <v>11415</v>
      </c>
      <c r="B27589" s="15" t="s">
        <v>11415</v>
      </c>
      <c r="C27589" s="15" t="s">
        <v>10178</v>
      </c>
      <c r="D27589" s="15" t="s">
        <v>10219</v>
      </c>
      <c r="E27589" s="2">
        <v>1270583</v>
      </c>
      <c r="F27589" s="4" t="e">
        <f>IF(B27589=#REF!,"",B27589)</f>
        <v>#REF!</v>
      </c>
    </row>
    <row r="27590" spans="1:6" ht="15.75" customHeight="1">
      <c r="A27590" s="15" t="s">
        <v>19928</v>
      </c>
      <c r="B27590" s="15" t="s">
        <v>19928</v>
      </c>
      <c r="C27590" s="15" t="s">
        <v>19808</v>
      </c>
      <c r="D27590" s="15" t="s">
        <v>19833</v>
      </c>
      <c r="E27590" s="2">
        <v>1177446</v>
      </c>
      <c r="F27590" s="4" t="e">
        <f>IF(B27590=#REF!,"",B27590)</f>
        <v>#REF!</v>
      </c>
    </row>
    <row r="27591" spans="1:6" ht="15.75" customHeight="1">
      <c r="A27591" s="16" t="s">
        <v>19415</v>
      </c>
      <c r="B27591" s="15" t="s">
        <v>19415</v>
      </c>
      <c r="C27591" s="16" t="s">
        <v>19294</v>
      </c>
      <c r="D27591" s="16" t="s">
        <v>19416</v>
      </c>
      <c r="E27591" s="2">
        <v>2339892</v>
      </c>
      <c r="F27591" s="4" t="e">
        <f>IF(B27591=#REF!,"",B27591)</f>
        <v>#REF!</v>
      </c>
    </row>
    <row r="27592" spans="1:6" ht="15.75" customHeight="1">
      <c r="A27592" s="15" t="s">
        <v>20779</v>
      </c>
      <c r="B27592" s="15" t="s">
        <v>20779</v>
      </c>
      <c r="C27592" s="15" t="s">
        <v>20598</v>
      </c>
      <c r="D27592" s="15" t="s">
        <v>20599</v>
      </c>
      <c r="E27592" s="2">
        <v>1712051</v>
      </c>
      <c r="F27592" s="4" t="e">
        <f>IF(B27592=#REF!,"",B27592)</f>
        <v>#REF!</v>
      </c>
    </row>
    <row r="27593" spans="1:6" ht="15.75" customHeight="1">
      <c r="A27593" s="15" t="s">
        <v>4712</v>
      </c>
      <c r="B27593" s="15" t="s">
        <v>4712</v>
      </c>
      <c r="C27593" s="15" t="s">
        <v>4487</v>
      </c>
      <c r="D27593" s="15" t="s">
        <v>4529</v>
      </c>
      <c r="E27593" s="2">
        <v>1809159</v>
      </c>
      <c r="F27593" s="4" t="e">
        <f>IF(B27593=#REF!,"",B27593)</f>
        <v>#REF!</v>
      </c>
    </row>
    <row r="27594" spans="1:6" ht="15.75" customHeight="1">
      <c r="A27594" s="16" t="s">
        <v>7387</v>
      </c>
      <c r="B27594" s="15" t="s">
        <v>7387</v>
      </c>
      <c r="C27594" s="16" t="s">
        <v>7052</v>
      </c>
      <c r="D27594" s="16" t="s">
        <v>7058</v>
      </c>
      <c r="E27594" s="2">
        <v>3014143</v>
      </c>
      <c r="F27594" s="4" t="e">
        <f>IF(B27594=#REF!,"",B27594)</f>
        <v>#REF!</v>
      </c>
    </row>
    <row r="27595" spans="1:6" ht="15.75" customHeight="1">
      <c r="A27595" s="15" t="s">
        <v>11414</v>
      </c>
      <c r="B27595" s="15" t="s">
        <v>11414</v>
      </c>
      <c r="C27595" s="15" t="s">
        <v>10178</v>
      </c>
      <c r="D27595" s="15" t="s">
        <v>10239</v>
      </c>
      <c r="E27595" s="2">
        <v>1271476</v>
      </c>
      <c r="F27595" s="4" t="str">
        <f>IF(B27595=B27594,"",B27595)</f>
        <v>Guwahati</v>
      </c>
    </row>
    <row r="27596" spans="1:6" ht="15.75" customHeight="1">
      <c r="A27596" s="16" t="str">
        <f ca="1">IFERROR(__xludf.DUMMYFUNCTION("GOOGLETRANSLATE(B28015,""en"",""pt"")"),"Gütersloh")</f>
        <v>Gütersloh</v>
      </c>
      <c r="B27596" s="20" t="s">
        <v>32095</v>
      </c>
      <c r="C27596" s="20" t="s">
        <v>8028</v>
      </c>
      <c r="D27596" s="20" t="s">
        <v>8029</v>
      </c>
      <c r="E27596" s="10">
        <v>2913366</v>
      </c>
      <c r="F27596" s="4" t="e">
        <f>IF(B27596=#REF!,"",B27596)</f>
        <v>#REF!</v>
      </c>
    </row>
    <row r="27597" spans="1:6" ht="15.75" customHeight="1">
      <c r="A27597" s="15" t="s">
        <v>4711</v>
      </c>
      <c r="B27597" s="15" t="s">
        <v>4711</v>
      </c>
      <c r="C27597" s="15" t="s">
        <v>4487</v>
      </c>
      <c r="D27597" s="15" t="s">
        <v>4581</v>
      </c>
      <c r="E27597" s="2">
        <v>1798636</v>
      </c>
      <c r="F27597" s="4" t="str">
        <f>IF(B27597=B27596,"",B27597)</f>
        <v>Gutao</v>
      </c>
    </row>
    <row r="27598" spans="1:6" ht="15.75" customHeight="1">
      <c r="A27598" s="16" t="str">
        <f ca="1">IFERROR(__xludf.DUMMYFUNCTION("GOOGLETRANSLATE(B28016,""en"",""pt"")"),"Güstrow")</f>
        <v>Güstrow</v>
      </c>
      <c r="B27598" s="20" t="s">
        <v>32096</v>
      </c>
      <c r="C27598" s="20" t="s">
        <v>8028</v>
      </c>
      <c r="D27598" s="20" t="s">
        <v>8436</v>
      </c>
      <c r="E27598" s="10">
        <v>2913433</v>
      </c>
      <c r="F27598" s="4" t="e">
        <f>IF(B27598=#REF!,"",B27598)</f>
        <v>#REF!</v>
      </c>
    </row>
    <row r="27599" spans="1:6" ht="15.75" customHeight="1">
      <c r="A27599" s="16" t="s">
        <v>17961</v>
      </c>
      <c r="B27599" s="15" t="s">
        <v>17961</v>
      </c>
      <c r="C27599" s="16" t="s">
        <v>17707</v>
      </c>
      <c r="D27599" s="16" t="s">
        <v>17740</v>
      </c>
      <c r="E27599" s="2">
        <v>3482969</v>
      </c>
      <c r="F27599" s="4" t="e">
        <f>IF(B27599=#REF!,"",B27599)</f>
        <v>#REF!</v>
      </c>
    </row>
    <row r="27600" spans="1:6" ht="15.75" customHeight="1">
      <c r="A27600" s="15" t="s">
        <v>23426</v>
      </c>
      <c r="B27600" s="15" t="s">
        <v>23426</v>
      </c>
      <c r="C27600" s="15" t="s">
        <v>23427</v>
      </c>
      <c r="D27600" s="15" t="s">
        <v>551</v>
      </c>
      <c r="E27600" s="2">
        <v>3579132</v>
      </c>
      <c r="F27600" s="4" t="e">
        <f>IF(B27600=#REF!,"",B27600)</f>
        <v>#REF!</v>
      </c>
    </row>
    <row r="27601" spans="1:6" ht="15.75" customHeight="1">
      <c r="A27601" s="15" t="s">
        <v>11413</v>
      </c>
      <c r="B27601" s="15" t="s">
        <v>11413</v>
      </c>
      <c r="C27601" s="15" t="s">
        <v>10178</v>
      </c>
      <c r="D27601" s="15" t="s">
        <v>10201</v>
      </c>
      <c r="E27601" s="2">
        <v>1270598</v>
      </c>
      <c r="F27601" s="4" t="e">
        <f>IF(B27601=#REF!,"",B27601)</f>
        <v>#REF!</v>
      </c>
    </row>
    <row r="27602" spans="1:6" ht="15.75" customHeight="1">
      <c r="A27602" s="16" t="s">
        <v>22424</v>
      </c>
      <c r="B27602" s="15" t="s">
        <v>22424</v>
      </c>
      <c r="C27602" s="16" t="s">
        <v>22070</v>
      </c>
      <c r="D27602" s="16" t="s">
        <v>22425</v>
      </c>
      <c r="E27602" s="2">
        <v>2023782</v>
      </c>
      <c r="F27602" s="4" t="e">
        <f>IF(B27602=#REF!,"",B27602)</f>
        <v>#REF!</v>
      </c>
    </row>
    <row r="27603" spans="1:6" ht="15.75" customHeight="1">
      <c r="A27603" s="15" t="s">
        <v>4710</v>
      </c>
      <c r="B27603" s="15" t="s">
        <v>4710</v>
      </c>
      <c r="C27603" s="15" t="s">
        <v>4487</v>
      </c>
      <c r="D27603" s="15" t="s">
        <v>4501</v>
      </c>
      <c r="E27603" s="2">
        <v>1813851</v>
      </c>
      <c r="F27603" s="4" t="e">
        <f>IF(B27603=#REF!,"",B27603)</f>
        <v>#REF!</v>
      </c>
    </row>
    <row r="27604" spans="1:6" ht="15.75" customHeight="1">
      <c r="A27604" s="16" t="s">
        <v>15912</v>
      </c>
      <c r="B27604" s="15" t="s">
        <v>15912</v>
      </c>
      <c r="C27604" s="16" t="s">
        <v>15704</v>
      </c>
      <c r="D27604" s="16" t="s">
        <v>15841</v>
      </c>
      <c r="E27604" s="2">
        <v>1863495</v>
      </c>
      <c r="F27604" s="4" t="e">
        <f>IF(B27604=#REF!,"",B27604)</f>
        <v>#REF!</v>
      </c>
    </row>
    <row r="27605" spans="1:6" ht="15.75" customHeight="1">
      <c r="A27605" s="15" t="s">
        <v>22423</v>
      </c>
      <c r="B27605" s="15" t="s">
        <v>22423</v>
      </c>
      <c r="C27605" s="15" t="s">
        <v>22070</v>
      </c>
      <c r="D27605" s="15" t="s">
        <v>22191</v>
      </c>
      <c r="E27605" s="2">
        <v>557882</v>
      </c>
      <c r="F27605" s="4" t="e">
        <f>IF(B27605=#REF!,"",B27605)</f>
        <v>#REF!</v>
      </c>
    </row>
    <row r="27606" spans="1:6" ht="15.75" customHeight="1">
      <c r="A27606" s="15" t="s">
        <v>19414</v>
      </c>
      <c r="B27606" s="15" t="s">
        <v>19414</v>
      </c>
      <c r="C27606" s="15" t="s">
        <v>19294</v>
      </c>
      <c r="D27606" s="15" t="s">
        <v>19413</v>
      </c>
      <c r="E27606" s="2">
        <v>2339937</v>
      </c>
      <c r="F27606" s="4" t="str">
        <f>IF(B27606=B27605,"",B27606)</f>
        <v>Gusau</v>
      </c>
    </row>
    <row r="27607" spans="1:6" ht="15.75" customHeight="1">
      <c r="A27607" s="16" t="s">
        <v>22421</v>
      </c>
      <c r="B27607" s="15" t="s">
        <v>22422</v>
      </c>
      <c r="C27607" s="16" t="s">
        <v>22070</v>
      </c>
      <c r="D27607" s="16" t="s">
        <v>22113</v>
      </c>
      <c r="E27607" s="2">
        <v>557775</v>
      </c>
      <c r="F27607" s="4" t="str">
        <f>IF(B27607=B27606,"",B27607)</f>
        <v>Gusâ€™-Khrustalâ€™nyy</v>
      </c>
    </row>
    <row r="27608" spans="1:6" ht="15.75" customHeight="1">
      <c r="A27608" s="16" t="str">
        <f ca="1">IFERROR(__xludf.DUMMYFUNCTION("GOOGLETRANSLATE(B40516,""en"",""pt"")"),"Gus'-Khrustal'nyy")</f>
        <v>Gus'-Khrustal'nyy</v>
      </c>
      <c r="B27608" s="20" t="s">
        <v>35511</v>
      </c>
      <c r="C27608" s="20" t="s">
        <v>22070</v>
      </c>
      <c r="D27608" s="20" t="s">
        <v>22113</v>
      </c>
      <c r="E27608" s="10">
        <v>557775</v>
      </c>
      <c r="F27608" s="4" t="str">
        <f>IF(B27608=B27607,"",B27608)</f>
        <v>Gus’-Khrustal’nyy</v>
      </c>
    </row>
    <row r="27609" spans="1:6" ht="15.75" customHeight="1">
      <c r="A27609" s="16" t="str">
        <f ca="1">IFERROR(__xludf.DUMMYFUNCTION("GOOGLETRANSLATE(B33408,""en"",""pt"")"),"Guruvāyūr")</f>
        <v>Guruvāyūr</v>
      </c>
      <c r="B27609" s="20" t="s">
        <v>33694</v>
      </c>
      <c r="C27609" s="20" t="s">
        <v>10178</v>
      </c>
      <c r="D27609" s="20" t="s">
        <v>10246</v>
      </c>
      <c r="E27609" s="10">
        <v>1270603</v>
      </c>
      <c r="F27609" s="4" t="str">
        <f>IF(B27609=B27608,"",B27609)</f>
        <v>Guruvāyūr</v>
      </c>
    </row>
    <row r="27610" spans="1:6" ht="15.75" customHeight="1">
      <c r="A27610" s="16" t="s">
        <v>11411</v>
      </c>
      <c r="B27610" s="15" t="s">
        <v>11412</v>
      </c>
      <c r="C27610" s="16" t="s">
        <v>10178</v>
      </c>
      <c r="D27610" s="16" t="s">
        <v>10246</v>
      </c>
      <c r="E27610" s="2">
        <v>1270603</v>
      </c>
      <c r="F27610" s="4" t="e">
        <f>IF(B27610=#REF!,"",B27610)</f>
        <v>#REF!</v>
      </c>
    </row>
    <row r="27611" spans="1:6" ht="15.75" customHeight="1">
      <c r="A27611" s="15" t="s">
        <v>2545</v>
      </c>
      <c r="B27611" s="15" t="s">
        <v>2545</v>
      </c>
      <c r="C27611" s="15" t="s">
        <v>1905</v>
      </c>
      <c r="D27611" s="15" t="s">
        <v>2011</v>
      </c>
      <c r="E27611" s="2">
        <v>3461724</v>
      </c>
      <c r="F27611" s="4" t="e">
        <f>IF(B27611=#REF!,"",B27611)</f>
        <v>#REF!</v>
      </c>
    </row>
    <row r="27612" spans="1:6" ht="15.75" customHeight="1">
      <c r="A27612" s="15" t="s">
        <v>17470</v>
      </c>
      <c r="B27612" s="15" t="s">
        <v>17470</v>
      </c>
      <c r="C27612" s="15" t="s">
        <v>17432</v>
      </c>
      <c r="D27612" s="15" t="s">
        <v>17436</v>
      </c>
      <c r="E27612" s="2">
        <v>1735485</v>
      </c>
      <c r="F27612" s="4" t="str">
        <f>IF(B27612=B27611,"",B27612)</f>
        <v>Gurun</v>
      </c>
    </row>
    <row r="27613" spans="1:6" ht="15.75" customHeight="1">
      <c r="A27613" s="16" t="str">
        <f ca="1">IFERROR(__xludf.DUMMYFUNCTION("GOOGLETRANSLATE(B33409,""en"",""pt"")"),"Guru Har Sahāi")</f>
        <v>Guru Har Sahāi</v>
      </c>
      <c r="B27613" s="20" t="s">
        <v>33695</v>
      </c>
      <c r="C27613" s="20" t="s">
        <v>10178</v>
      </c>
      <c r="D27613" s="20" t="s">
        <v>10184</v>
      </c>
      <c r="E27613" s="10">
        <v>1270612</v>
      </c>
      <c r="F27613" s="4" t="str">
        <f>IF(B27613=B27612,"",B27613)</f>
        <v>Guru Har Sahāi</v>
      </c>
    </row>
    <row r="27614" spans="1:6" ht="15.75" customHeight="1">
      <c r="A27614" s="16" t="s">
        <v>11409</v>
      </c>
      <c r="B27614" s="15" t="s">
        <v>11410</v>
      </c>
      <c r="C27614" s="16" t="s">
        <v>10178</v>
      </c>
      <c r="D27614" s="16" t="s">
        <v>10184</v>
      </c>
      <c r="E27614" s="2">
        <v>1270612</v>
      </c>
      <c r="F27614" s="4" t="str">
        <f>IF(B27614=B27613,"",B27614)</f>
        <v>Guru Har SahÄi</v>
      </c>
    </row>
    <row r="27615" spans="1:6" ht="15.75" customHeight="1">
      <c r="A27615" s="16" t="str">
        <f ca="1">IFERROR(__xludf.DUMMYFUNCTION("GOOGLETRANSLATE(B42167,""en"",""pt"")"),"Gürsu")</f>
        <v>Gürsu</v>
      </c>
      <c r="B27615" s="20" t="s">
        <v>35942</v>
      </c>
      <c r="C27615" s="20" t="s">
        <v>26201</v>
      </c>
      <c r="D27615" s="20" t="s">
        <v>26205</v>
      </c>
      <c r="E27615" s="10">
        <v>746232</v>
      </c>
      <c r="F27615" s="4" t="str">
        <f>IF(B27615=B27614,"",B27615)</f>
        <v>Gürsu</v>
      </c>
    </row>
    <row r="27616" spans="1:6" ht="15.75" customHeight="1">
      <c r="A27616" s="16" t="str">
        <f ca="1">IFERROR(__xludf.DUMMYFUNCTION("GOOGLETRANSLATE(B33410,""en"",""pt"")"),"Gursarāi")</f>
        <v>Gursarāi</v>
      </c>
      <c r="B27616" s="20" t="s">
        <v>33696</v>
      </c>
      <c r="C27616" s="20" t="s">
        <v>10178</v>
      </c>
      <c r="D27616" s="20" t="s">
        <v>10193</v>
      </c>
      <c r="E27616" s="10">
        <v>1270618</v>
      </c>
      <c r="F27616" s="4" t="str">
        <f>IF(B27616=B27615,"",B27616)</f>
        <v>Gursarāi</v>
      </c>
    </row>
    <row r="27617" spans="1:6" ht="15.75" customHeight="1">
      <c r="A27617" s="15" t="s">
        <v>11407</v>
      </c>
      <c r="B27617" s="15" t="s">
        <v>11408</v>
      </c>
      <c r="C27617" s="15" t="s">
        <v>10178</v>
      </c>
      <c r="D27617" s="15" t="s">
        <v>10193</v>
      </c>
      <c r="E27617" s="2">
        <v>1270618</v>
      </c>
      <c r="F27617" s="4" t="str">
        <f>IF(B27617=B27616,"",B27617)</f>
        <v>GursarÄi</v>
      </c>
    </row>
    <row r="27618" spans="1:6" ht="15.75" customHeight="1">
      <c r="A27618" s="16" t="str">
        <f ca="1">IFERROR(__xludf.DUMMYFUNCTION("GOOGLETRANSLATE(B33411,""en"",""pt"")"),"GURSAHAGANJ")</f>
        <v>GURSAHAGANJ</v>
      </c>
      <c r="B27618" s="20" t="s">
        <v>33697</v>
      </c>
      <c r="C27618" s="20" t="s">
        <v>10178</v>
      </c>
      <c r="D27618" s="20" t="s">
        <v>10193</v>
      </c>
      <c r="E27618" s="10">
        <v>1270619</v>
      </c>
      <c r="F27618" s="4" t="str">
        <f>IF(B27618=B27617,"",B27618)</f>
        <v>Gursahāiganj</v>
      </c>
    </row>
    <row r="27619" spans="1:6" ht="15.75" customHeight="1">
      <c r="A27619" s="16" t="s">
        <v>11405</v>
      </c>
      <c r="B27619" s="15" t="s">
        <v>11406</v>
      </c>
      <c r="C27619" s="16" t="s">
        <v>10178</v>
      </c>
      <c r="D27619" s="16" t="s">
        <v>10193</v>
      </c>
      <c r="E27619" s="2">
        <v>1270619</v>
      </c>
      <c r="F27619" s="4" t="str">
        <f>IF(B27619=B27618,"",B27619)</f>
        <v>GursahÄiganj</v>
      </c>
    </row>
    <row r="27620" spans="1:6" ht="15.75" customHeight="1">
      <c r="A27620" s="16" t="str">
        <f ca="1">IFERROR(__xludf.DUMMYFUNCTION("GOOGLETRANSLATE(B42168,""en"",""pt"")"),"Gürpınar")</f>
        <v>Gürpınar</v>
      </c>
      <c r="B27620" s="20" t="s">
        <v>35943</v>
      </c>
      <c r="C27620" s="20" t="s">
        <v>26201</v>
      </c>
      <c r="D27620" s="20" t="s">
        <v>26211</v>
      </c>
      <c r="E27620" s="10">
        <v>746234</v>
      </c>
      <c r="F27620" s="4" t="str">
        <f>IF(B27620=B27619,"",B27620)</f>
        <v>Gürpınar</v>
      </c>
    </row>
    <row r="27621" spans="1:6" ht="15.75" customHeight="1">
      <c r="A27621" s="16" t="str">
        <f ca="1">IFERROR(__xludf.DUMMYFUNCTION("GOOGLETRANSLATE(B41987,""en"",""pt"")"),"Güroymak")</f>
        <v>Güroymak</v>
      </c>
      <c r="B27621" s="20" t="s">
        <v>35870</v>
      </c>
      <c r="C27621" s="20" t="s">
        <v>26201</v>
      </c>
      <c r="D27621" s="20" t="s">
        <v>26280</v>
      </c>
      <c r="E27621" s="10">
        <v>313331</v>
      </c>
      <c r="F27621" s="4" t="e">
        <f>IF(B27621=#REF!,"",B27621)</f>
        <v>#REF!</v>
      </c>
    </row>
    <row r="27622" spans="1:6" ht="15.75" customHeight="1">
      <c r="A27622" s="15" t="s">
        <v>28813</v>
      </c>
      <c r="B27622" s="15" t="s">
        <v>28813</v>
      </c>
      <c r="C27622" s="15" t="s">
        <v>27788</v>
      </c>
      <c r="D27622" s="15" t="s">
        <v>27799</v>
      </c>
      <c r="E27622" s="2">
        <v>4894861</v>
      </c>
      <c r="F27622" s="4" t="str">
        <f>IF(B27622=B27621,"",B27622)</f>
        <v>Gurnee</v>
      </c>
    </row>
    <row r="27623" spans="1:6" ht="15.75" customHeight="1">
      <c r="A27623" s="16" t="str">
        <f ca="1">IFERROR(__xludf.DUMMYFUNCTION("GOOGLETRANSLATE(B33412,""en"",""pt"")"),"Gurmatkāl")</f>
        <v>Gurmatkāl</v>
      </c>
      <c r="B27623" s="20" t="s">
        <v>33698</v>
      </c>
      <c r="C27623" s="20" t="s">
        <v>10178</v>
      </c>
      <c r="D27623" s="20" t="s">
        <v>10252</v>
      </c>
      <c r="E27623" s="10">
        <v>1270627</v>
      </c>
      <c r="F27623" s="4" t="str">
        <f>IF(B27623=B27622,"",B27623)</f>
        <v>Gurmatkāl</v>
      </c>
    </row>
    <row r="27624" spans="1:6" ht="15.75" customHeight="1">
      <c r="A27624" s="16" t="s">
        <v>11403</v>
      </c>
      <c r="B27624" s="15" t="s">
        <v>11404</v>
      </c>
      <c r="C27624" s="16" t="s">
        <v>10178</v>
      </c>
      <c r="D27624" s="16" t="s">
        <v>10252</v>
      </c>
      <c r="E27624" s="2">
        <v>1270627</v>
      </c>
      <c r="F27624" s="4" t="e">
        <f>IF(B27624=#REF!,"",B27624)</f>
        <v>#REF!</v>
      </c>
    </row>
    <row r="27625" spans="1:6" ht="15.75" customHeight="1">
      <c r="A27625" s="15" t="s">
        <v>30544</v>
      </c>
      <c r="B27625" s="15" t="s">
        <v>30544</v>
      </c>
      <c r="C27625" s="15" t="s">
        <v>30502</v>
      </c>
      <c r="D27625" s="15" t="s">
        <v>30545</v>
      </c>
      <c r="E27625" s="2">
        <v>1513962</v>
      </c>
      <c r="F27625" s="4" t="e">
        <f>IF(B27625=#REF!,"",B27625)</f>
        <v>#REF!</v>
      </c>
    </row>
    <row r="27626" spans="1:6" ht="15.75" customHeight="1">
      <c r="A27626" s="15" t="s">
        <v>24072</v>
      </c>
      <c r="B27626" s="15" t="s">
        <v>24072</v>
      </c>
      <c r="C27626" s="15" t="s">
        <v>24024</v>
      </c>
      <c r="D27626" s="15" t="s">
        <v>24028</v>
      </c>
      <c r="E27626" s="2">
        <v>1841988</v>
      </c>
      <c r="F27626" s="4" t="str">
        <f>IF(B27626=B27625,"",B27626)</f>
        <v>Guri-si</v>
      </c>
    </row>
    <row r="27627" spans="1:6" ht="15.75" customHeight="1">
      <c r="A27627" s="16" t="str">
        <f ca="1">IFERROR(__xludf.DUMMYFUNCTION("GOOGLETRANSLATE(B42169,""en"",""pt"")"),"Gürgentepe")</f>
        <v>Gürgentepe</v>
      </c>
      <c r="B27627" s="20" t="s">
        <v>35944</v>
      </c>
      <c r="C27627" s="20" t="s">
        <v>26201</v>
      </c>
      <c r="D27627" s="20" t="s">
        <v>26321</v>
      </c>
      <c r="E27627" s="10">
        <v>746252</v>
      </c>
      <c r="F27627" s="4" t="e">
        <f>IF(B27627=#REF!,"",B27627)</f>
        <v>#REF!</v>
      </c>
    </row>
    <row r="27628" spans="1:6" ht="15.75" customHeight="1">
      <c r="A27628" s="15" t="s">
        <v>11402</v>
      </c>
      <c r="B27628" s="15" t="s">
        <v>11402</v>
      </c>
      <c r="C27628" s="15" t="s">
        <v>10178</v>
      </c>
      <c r="D27628" s="15" t="s">
        <v>10224</v>
      </c>
      <c r="E27628" s="2">
        <v>1270642</v>
      </c>
      <c r="F27628" s="4" t="str">
        <f>IF(B27628=B27627,"",B27628)</f>
        <v>Gurgaon</v>
      </c>
    </row>
    <row r="27629" spans="1:6" ht="15.75" customHeight="1">
      <c r="A27629" s="16" t="s">
        <v>22419</v>
      </c>
      <c r="B27629" s="15" t="s">
        <v>22420</v>
      </c>
      <c r="C27629" s="16" t="s">
        <v>22070</v>
      </c>
      <c r="D27629" s="16" t="s">
        <v>22140</v>
      </c>
      <c r="E27629" s="2">
        <v>1506073</v>
      </c>
      <c r="F27629" s="4" t="e">
        <f>IF(B27629=#REF!,"",B27629)</f>
        <v>#REF!</v>
      </c>
    </row>
    <row r="27630" spans="1:6" ht="15.75" customHeight="1">
      <c r="A27630" s="16" t="s">
        <v>21941</v>
      </c>
      <c r="B27630" s="15" t="s">
        <v>21942</v>
      </c>
      <c r="C27630" s="16" t="s">
        <v>21824</v>
      </c>
      <c r="D27630" s="16" t="s">
        <v>21885</v>
      </c>
      <c r="E27630" s="2">
        <v>676527</v>
      </c>
      <c r="F27630" s="4" t="str">
        <f>IF(B27630=B27629,"",B27630)</f>
        <v>Gura Humorului</v>
      </c>
    </row>
    <row r="27631" spans="1:6" ht="15.75" customHeight="1">
      <c r="A27631" s="16" t="str">
        <f ca="1">IFERROR(__xludf.DUMMYFUNCTION("GOOGLETRANSLATE(B40845,""en"",""pt"")"),"Gur'yevsk")</f>
        <v>Gur'yevsk</v>
      </c>
      <c r="B27631" s="20" t="s">
        <v>35547</v>
      </c>
      <c r="C27631" s="20" t="s">
        <v>22070</v>
      </c>
      <c r="D27631" s="20" t="s">
        <v>22140</v>
      </c>
      <c r="E27631" s="10">
        <v>1506073</v>
      </c>
      <c r="F27631" s="4" t="e">
        <f>IF(B27631=#REF!,"",B27631)</f>
        <v>#REF!</v>
      </c>
    </row>
    <row r="27632" spans="1:6" ht="15.75" customHeight="1">
      <c r="A27632" s="15" t="s">
        <v>4709</v>
      </c>
      <c r="B27632" s="15" t="s">
        <v>4709</v>
      </c>
      <c r="C27632" s="15" t="s">
        <v>4487</v>
      </c>
      <c r="D27632" s="15" t="s">
        <v>4497</v>
      </c>
      <c r="E27632" s="2">
        <v>1809263</v>
      </c>
      <c r="F27632" s="4" t="e">
        <f>IF(B27632=#REF!,"",B27632)</f>
        <v>#REF!</v>
      </c>
    </row>
    <row r="27633" spans="1:6" ht="15.75" customHeight="1">
      <c r="A27633" s="16" t="s">
        <v>8502</v>
      </c>
      <c r="B27633" s="15" t="s">
        <v>8502</v>
      </c>
      <c r="C27633" s="16" t="s">
        <v>8028</v>
      </c>
      <c r="D27633" s="16" t="s">
        <v>8044</v>
      </c>
      <c r="E27633" s="2">
        <v>2913537</v>
      </c>
      <c r="F27633" s="4" t="str">
        <f>IF(B27633=B27632,"",B27633)</f>
        <v>Gunzenhausen</v>
      </c>
    </row>
    <row r="27634" spans="1:6" ht="15.75" customHeight="1">
      <c r="A27634" s="16" t="str">
        <f ca="1">IFERROR(__xludf.DUMMYFUNCTION("GOOGLETRANSLATE(B28018,""en"",""pt"")"),"Günzburg")</f>
        <v>Günzburg</v>
      </c>
      <c r="B27634" s="20" t="s">
        <v>8432</v>
      </c>
      <c r="C27634" s="20" t="s">
        <v>8028</v>
      </c>
      <c r="D27634" s="20" t="s">
        <v>8044</v>
      </c>
      <c r="E27634" s="10">
        <v>2913555</v>
      </c>
      <c r="F27634" s="4" t="e">
        <f>IF(B27634=#REF!,"",B27634)</f>
        <v>#REF!</v>
      </c>
    </row>
    <row r="27635" spans="1:6" ht="15.75" customHeight="1">
      <c r="A27635" s="15" t="s">
        <v>11401</v>
      </c>
      <c r="B27635" s="15" t="s">
        <v>11401</v>
      </c>
      <c r="C27635" s="15" t="s">
        <v>10178</v>
      </c>
      <c r="D27635" s="15" t="s">
        <v>10229</v>
      </c>
      <c r="E27635" s="2">
        <v>1270667</v>
      </c>
      <c r="F27635" s="4" t="str">
        <f>IF(B27635=B27634,"",B27635)</f>
        <v>Gunupur</v>
      </c>
    </row>
    <row r="27636" spans="1:6" ht="15.75" customHeight="1">
      <c r="A27636" s="16" t="str">
        <f ca="1">IFERROR(__xludf.DUMMYFUNCTION("GOOGLETRANSLATE(B33415,""en"",""pt"")"),"Guntūr")</f>
        <v>Guntūr</v>
      </c>
      <c r="B27636" s="20" t="s">
        <v>33699</v>
      </c>
      <c r="C27636" s="20" t="s">
        <v>10178</v>
      </c>
      <c r="D27636" s="20" t="s">
        <v>10190</v>
      </c>
      <c r="E27636" s="10">
        <v>1270668</v>
      </c>
      <c r="F27636" s="4" t="e">
        <f>IF(B27636=#REF!,"",B27636)</f>
        <v>#REF!</v>
      </c>
    </row>
    <row r="27637" spans="1:6" ht="15.75" customHeight="1">
      <c r="A27637" s="16" t="s">
        <v>11399</v>
      </c>
      <c r="B27637" s="15" t="s">
        <v>11400</v>
      </c>
      <c r="C27637" s="16" t="s">
        <v>10178</v>
      </c>
      <c r="D27637" s="16" t="s">
        <v>10190</v>
      </c>
      <c r="E27637" s="2">
        <v>1270670</v>
      </c>
      <c r="F27637" s="4" t="str">
        <f>IF(B27637=B27636,"",B27637)</f>
        <v>Guntakal Junction</v>
      </c>
    </row>
    <row r="27638" spans="1:6" ht="15.75" customHeight="1">
      <c r="A27638" s="15" t="s">
        <v>11397</v>
      </c>
      <c r="B27638" s="15" t="s">
        <v>11398</v>
      </c>
      <c r="C27638" s="15" t="s">
        <v>10178</v>
      </c>
      <c r="D27638" s="15" t="s">
        <v>10190</v>
      </c>
      <c r="E27638" s="2">
        <v>1270668</v>
      </c>
      <c r="F27638" s="4" t="e">
        <f>IF(B27638=#REF!,"",B27638)</f>
        <v>#REF!</v>
      </c>
    </row>
    <row r="27639" spans="1:6" ht="15.75" customHeight="1">
      <c r="A27639" s="15" t="s">
        <v>11396</v>
      </c>
      <c r="B27639" s="15" t="s">
        <v>11396</v>
      </c>
      <c r="C27639" s="15" t="s">
        <v>10178</v>
      </c>
      <c r="D27639" s="15" t="s">
        <v>10193</v>
      </c>
      <c r="E27639" s="2">
        <v>1270674</v>
      </c>
      <c r="F27639" s="4" t="str">
        <f>IF(B27639=B27638,"",B27639)</f>
        <v>Gunnaur</v>
      </c>
    </row>
    <row r="27640" spans="1:6" ht="15.75" customHeight="1">
      <c r="A27640" s="16" t="str">
        <f ca="1">IFERROR(__xludf.DUMMYFUNCTION("GOOGLETRANSLATE(B42232,""en"",""pt"")"),"Güngören Merter")</f>
        <v>Güngören Merter</v>
      </c>
      <c r="B27640" s="20" t="s">
        <v>35973</v>
      </c>
      <c r="C27640" s="20" t="s">
        <v>26201</v>
      </c>
      <c r="D27640" s="20" t="s">
        <v>26211</v>
      </c>
      <c r="E27640" s="10">
        <v>6354985</v>
      </c>
      <c r="F27640" s="4" t="e">
        <f>IF(B27640=#REF!,"",B27640)</f>
        <v>#REF!</v>
      </c>
    </row>
    <row r="27641" spans="1:6" ht="15.75" customHeight="1">
      <c r="A27641" s="16" t="s">
        <v>11394</v>
      </c>
      <c r="B27641" s="15" t="s">
        <v>11395</v>
      </c>
      <c r="C27641" s="16" t="s">
        <v>10178</v>
      </c>
      <c r="D27641" s="16" t="s">
        <v>10252</v>
      </c>
      <c r="E27641" s="2">
        <v>1270686</v>
      </c>
      <c r="F27641" s="4" t="e">
        <f>IF(B27641=#REF!,"",B27641)</f>
        <v>#REF!</v>
      </c>
    </row>
    <row r="27642" spans="1:6" ht="15.75" customHeight="1">
      <c r="A27642" s="15" t="s">
        <v>11393</v>
      </c>
      <c r="B27642" s="15" t="s">
        <v>11393</v>
      </c>
      <c r="C27642" s="15" t="s">
        <v>10178</v>
      </c>
      <c r="D27642" s="15" t="s">
        <v>10219</v>
      </c>
      <c r="E27642" s="2">
        <v>1270711</v>
      </c>
      <c r="F27642" s="4" t="e">
        <f>IF(B27642=#REF!,"",B27642)</f>
        <v>#REF!</v>
      </c>
    </row>
    <row r="27643" spans="1:6" ht="15.75" customHeight="1">
      <c r="A27643" s="16" t="s">
        <v>26532</v>
      </c>
      <c r="B27643" s="15" t="s">
        <v>26532</v>
      </c>
      <c r="C27643" s="16" t="s">
        <v>26201</v>
      </c>
      <c r="D27643" s="16" t="s">
        <v>26533</v>
      </c>
      <c r="E27643" s="2">
        <v>746425</v>
      </c>
      <c r="F27643" s="4" t="e">
        <f>IF(B27643=#REF!,"",B27643)</f>
        <v>#REF!</v>
      </c>
    </row>
    <row r="27644" spans="1:6" ht="15.75" customHeight="1">
      <c r="A27644" s="16" t="s">
        <v>11392</v>
      </c>
      <c r="B27644" s="15" t="s">
        <v>11392</v>
      </c>
      <c r="C27644" s="16" t="s">
        <v>10178</v>
      </c>
      <c r="D27644" s="16" t="s">
        <v>10196</v>
      </c>
      <c r="E27644" s="2">
        <v>1270718</v>
      </c>
      <c r="F27644" s="4" t="e">
        <f>IF(B27644=#REF!,"",B27644)</f>
        <v>#REF!</v>
      </c>
    </row>
    <row r="27645" spans="1:6" ht="15.75" customHeight="1">
      <c r="A27645" s="15" t="s">
        <v>19412</v>
      </c>
      <c r="B27645" s="15" t="s">
        <v>19412</v>
      </c>
      <c r="C27645" s="15" t="s">
        <v>19294</v>
      </c>
      <c r="D27645" s="15" t="s">
        <v>19413</v>
      </c>
      <c r="E27645" s="2">
        <v>2340086</v>
      </c>
      <c r="F27645" s="4" t="e">
        <f>IF(B27645=#REF!,"",B27645)</f>
        <v>#REF!</v>
      </c>
    </row>
    <row r="27646" spans="1:6" ht="15.75" customHeight="1">
      <c r="A27646" s="16" t="s">
        <v>8501</v>
      </c>
      <c r="B27646" s="15" t="s">
        <v>8501</v>
      </c>
      <c r="C27646" s="16" t="s">
        <v>8028</v>
      </c>
      <c r="D27646" s="16" t="s">
        <v>8029</v>
      </c>
      <c r="E27646" s="2">
        <v>2913761</v>
      </c>
      <c r="F27646" s="4" t="e">
        <f>IF(B27646=#REF!,"",B27646)</f>
        <v>#REF!</v>
      </c>
    </row>
    <row r="27647" spans="1:6" ht="15.75" customHeight="1">
      <c r="A27647" s="15" t="s">
        <v>11391</v>
      </c>
      <c r="B27647" s="15" t="s">
        <v>11391</v>
      </c>
      <c r="C27647" s="15" t="s">
        <v>10178</v>
      </c>
      <c r="D27647" s="15" t="s">
        <v>10272</v>
      </c>
      <c r="E27647" s="2">
        <v>1270722</v>
      </c>
      <c r="F27647" s="4" t="e">
        <f>IF(B27647=#REF!,"",B27647)</f>
        <v>#REF!</v>
      </c>
    </row>
    <row r="27648" spans="1:6" ht="15.75" customHeight="1">
      <c r="A27648" s="15" t="s">
        <v>11390</v>
      </c>
      <c r="B27648" s="15" t="s">
        <v>11390</v>
      </c>
      <c r="C27648" s="15" t="s">
        <v>10178</v>
      </c>
      <c r="D27648" s="15" t="s">
        <v>10430</v>
      </c>
      <c r="E27648" s="2">
        <v>1270723</v>
      </c>
      <c r="F27648" s="4" t="e">
        <f>IF(B27648=#REF!,"",B27648)</f>
        <v>#REF!</v>
      </c>
    </row>
    <row r="27649" spans="1:6" ht="15.75" customHeight="1">
      <c r="A27649" s="15" t="s">
        <v>24071</v>
      </c>
      <c r="B27649" s="15" t="s">
        <v>24071</v>
      </c>
      <c r="C27649" s="15" t="s">
        <v>24024</v>
      </c>
      <c r="D27649" s="15" t="s">
        <v>24025</v>
      </c>
      <c r="E27649" s="2">
        <v>1842225</v>
      </c>
      <c r="F27649" s="4" t="e">
        <f>IF(B27649=#REF!,"",B27649)</f>
        <v>#REF!</v>
      </c>
    </row>
    <row r="27650" spans="1:6" ht="15.75" customHeight="1">
      <c r="A27650" s="15" t="s">
        <v>19411</v>
      </c>
      <c r="B27650" s="15" t="s">
        <v>19411</v>
      </c>
      <c r="C27650" s="15" t="s">
        <v>19294</v>
      </c>
      <c r="D27650" s="15" t="s">
        <v>19351</v>
      </c>
      <c r="E27650" s="2">
        <v>2340091</v>
      </c>
      <c r="F27650" s="4" t="e">
        <f>IF(B27650=#REF!,"",B27650)</f>
        <v>#REF!</v>
      </c>
    </row>
    <row r="27651" spans="1:6" ht="15.75" customHeight="1">
      <c r="A27651" s="15" t="s">
        <v>26792</v>
      </c>
      <c r="B27651" s="15" t="s">
        <v>26792</v>
      </c>
      <c r="C27651" s="15" t="s">
        <v>26774</v>
      </c>
      <c r="D27651" s="15" t="s">
        <v>26783</v>
      </c>
      <c r="E27651" s="2">
        <v>161943</v>
      </c>
      <c r="F27651" s="4" t="e">
        <f>IF(B27651=#REF!,"",B27651)</f>
        <v>#REF!</v>
      </c>
    </row>
    <row r="27652" spans="1:6" ht="15.75" customHeight="1">
      <c r="A27652" s="15" t="s">
        <v>20778</v>
      </c>
      <c r="B27652" s="15" t="s">
        <v>20778</v>
      </c>
      <c r="C27652" s="15" t="s">
        <v>20598</v>
      </c>
      <c r="D27652" s="15" t="s">
        <v>20608</v>
      </c>
      <c r="E27652" s="2">
        <v>1712162</v>
      </c>
      <c r="F27652" s="4" t="e">
        <f>IF(B27652=#REF!,"",B27652)</f>
        <v>#REF!</v>
      </c>
    </row>
    <row r="27653" spans="1:6" ht="15.75" customHeight="1">
      <c r="A27653" s="15" t="s">
        <v>26832</v>
      </c>
      <c r="B27653" s="15" t="s">
        <v>26832</v>
      </c>
      <c r="C27653" s="15" t="s">
        <v>26820</v>
      </c>
      <c r="D27653" s="15" t="s">
        <v>17416</v>
      </c>
      <c r="E27653" s="2">
        <v>233346</v>
      </c>
      <c r="F27653" s="4" t="e">
        <f>IF(B27653=#REF!,"",B27653)</f>
        <v>#REF!</v>
      </c>
    </row>
    <row r="27654" spans="1:6" ht="15.75" customHeight="1">
      <c r="A27654" s="15" t="s">
        <v>30542</v>
      </c>
      <c r="B27654" s="15" t="s">
        <v>30542</v>
      </c>
      <c r="C27654" s="15" t="s">
        <v>30502</v>
      </c>
      <c r="D27654" s="15" t="s">
        <v>30543</v>
      </c>
      <c r="E27654" s="2">
        <v>1513966</v>
      </c>
      <c r="F27654" s="4" t="e">
        <f>IF(B27654=#REF!,"",B27654)</f>
        <v>#REF!</v>
      </c>
    </row>
    <row r="27655" spans="1:6" ht="15.75" customHeight="1">
      <c r="A27655" s="15" t="s">
        <v>4708</v>
      </c>
      <c r="B27655" s="15" t="s">
        <v>4708</v>
      </c>
      <c r="C27655" s="15" t="s">
        <v>4487</v>
      </c>
      <c r="D27655" s="15" t="s">
        <v>4631</v>
      </c>
      <c r="E27655" s="2">
        <v>1809412</v>
      </c>
      <c r="F27655" s="4" t="e">
        <f>IF(B27655=#REF!,"",B27655)</f>
        <v>#REF!</v>
      </c>
    </row>
    <row r="27656" spans="1:6" ht="15.75" customHeight="1">
      <c r="A27656" s="15" t="s">
        <v>28812</v>
      </c>
      <c r="B27656" s="15" t="s">
        <v>28812</v>
      </c>
      <c r="C27656" s="15" t="s">
        <v>27788</v>
      </c>
      <c r="D27656" s="15" t="s">
        <v>28040</v>
      </c>
      <c r="E27656" s="2">
        <v>4428667</v>
      </c>
      <c r="F27656" s="4" t="e">
        <f>IF(B27656=#REF!,"",B27656)</f>
        <v>#REF!</v>
      </c>
    </row>
    <row r="27657" spans="1:6" ht="15.75" customHeight="1">
      <c r="A27657" s="16" t="s">
        <v>11388</v>
      </c>
      <c r="B27657" s="15" t="s">
        <v>11389</v>
      </c>
      <c r="C27657" s="16" t="s">
        <v>10178</v>
      </c>
      <c r="D27657" s="16" t="s">
        <v>10252</v>
      </c>
      <c r="E27657" s="2">
        <v>1270750</v>
      </c>
      <c r="F27657" s="4" t="e">
        <f>IF(B27657=#REF!,"",B27657)</f>
        <v>#REF!</v>
      </c>
    </row>
    <row r="27658" spans="1:6" ht="15.75" customHeight="1">
      <c r="A27658" s="15" t="s">
        <v>11387</v>
      </c>
      <c r="B27658" s="15" t="s">
        <v>11387</v>
      </c>
      <c r="C27658" s="15" t="s">
        <v>10178</v>
      </c>
      <c r="D27658" s="15" t="s">
        <v>10252</v>
      </c>
      <c r="E27658" s="2">
        <v>1270752</v>
      </c>
      <c r="F27658" s="4" t="str">
        <f>IF(B27658=B27657,"",B27658)</f>
        <v>Gulbarga</v>
      </c>
    </row>
    <row r="27659" spans="1:6" ht="15.75" customHeight="1">
      <c r="A27659" s="15" t="s">
        <v>18830</v>
      </c>
      <c r="B27659" s="15" t="s">
        <v>18831</v>
      </c>
      <c r="C27659" s="15" t="s">
        <v>18800</v>
      </c>
      <c r="D27659" s="15" t="s">
        <v>18813</v>
      </c>
      <c r="E27659" s="2">
        <v>1283368</v>
      </c>
      <c r="F27659" s="4" t="str">
        <f>IF(B27659=B27658,"",B27659)</f>
        <v>GulariyÄ</v>
      </c>
    </row>
    <row r="27660" spans="1:6" ht="15.75" customHeight="1">
      <c r="A27660" s="16" t="str">
        <f ca="1">IFERROR(__xludf.DUMMYFUNCTION("GOOGLETRANSLATE(B38196,""en"",""pt"")"),"Gulariyā")</f>
        <v>Gulariyā</v>
      </c>
      <c r="B27660" s="20" t="s">
        <v>34831</v>
      </c>
      <c r="C27660" s="20" t="s">
        <v>18800</v>
      </c>
      <c r="D27660" s="20" t="s">
        <v>18813</v>
      </c>
      <c r="E27660" s="10">
        <v>1283368</v>
      </c>
      <c r="F27660" s="4" t="str">
        <f>IF(B27660=B27659,"",B27660)</f>
        <v>Gulariyā</v>
      </c>
    </row>
    <row r="27661" spans="1:6" ht="15.75" customHeight="1">
      <c r="A27661" s="16" t="str">
        <f ca="1">IFERROR(__xludf.DUMMYFUNCTION("GOOGLETRANSLATE(B33425,""en"",""pt"")"),"Gulāothi")</f>
        <v>Gulāothi</v>
      </c>
      <c r="B27661" s="20" t="s">
        <v>33700</v>
      </c>
      <c r="C27661" s="20" t="s">
        <v>10178</v>
      </c>
      <c r="D27661" s="20" t="s">
        <v>10193</v>
      </c>
      <c r="E27661" s="10">
        <v>1270759</v>
      </c>
      <c r="F27661" s="4" t="str">
        <f>IF(B27661=B27660,"",B27661)</f>
        <v>Gulāothi</v>
      </c>
    </row>
    <row r="27662" spans="1:6" ht="15.75" customHeight="1">
      <c r="A27662" s="16" t="str">
        <f ca="1">IFERROR(__xludf.DUMMYFUNCTION("GOOGLETRANSLATE(B33426,""en"",""pt"")"),"Gulābpura")</f>
        <v>Gulābpura</v>
      </c>
      <c r="B27662" s="20" t="s">
        <v>33701</v>
      </c>
      <c r="C27662" s="20" t="s">
        <v>10178</v>
      </c>
      <c r="D27662" s="20" t="s">
        <v>10179</v>
      </c>
      <c r="E27662" s="10">
        <v>1270763</v>
      </c>
      <c r="F27662" s="4" t="str">
        <f>IF(B27662=B27661,"",B27662)</f>
        <v>Gulābpura</v>
      </c>
    </row>
    <row r="27663" spans="1:6" ht="15.75" customHeight="1">
      <c r="A27663" s="15" t="s">
        <v>11385</v>
      </c>
      <c r="B27663" s="15" t="s">
        <v>11386</v>
      </c>
      <c r="C27663" s="15" t="s">
        <v>10178</v>
      </c>
      <c r="D27663" s="15" t="s">
        <v>10193</v>
      </c>
      <c r="E27663" s="2">
        <v>1270759</v>
      </c>
      <c r="F27663" s="4" t="str">
        <f>IF(B27663=B27662,"",B27663)</f>
        <v>GulÄothi</v>
      </c>
    </row>
    <row r="27664" spans="1:6" ht="15.75" customHeight="1">
      <c r="A27664" s="16" t="s">
        <v>11383</v>
      </c>
      <c r="B27664" s="15" t="s">
        <v>11384</v>
      </c>
      <c r="C27664" s="16" t="s">
        <v>10178</v>
      </c>
      <c r="D27664" s="16" t="s">
        <v>10179</v>
      </c>
      <c r="E27664" s="2">
        <v>1270763</v>
      </c>
      <c r="F27664" s="4" t="str">
        <f>IF(B27664=B27663,"",B27664)</f>
        <v>GulÄbpura</v>
      </c>
    </row>
    <row r="27665" spans="1:6" ht="15.75" customHeight="1">
      <c r="A27665" s="16" t="s">
        <v>22417</v>
      </c>
      <c r="B27665" s="15" t="s">
        <v>22418</v>
      </c>
      <c r="C27665" s="16" t="s">
        <v>22070</v>
      </c>
      <c r="D27665" s="16" t="s">
        <v>22077</v>
      </c>
      <c r="E27665" s="2">
        <v>558066</v>
      </c>
      <c r="F27665" s="4" t="str">
        <f>IF(B27665=B27664,"",B27665)</f>
        <v>Gulâ€™kevichi</v>
      </c>
    </row>
    <row r="27666" spans="1:6" ht="15.75" customHeight="1">
      <c r="A27666" s="16" t="str">
        <f ca="1">IFERROR(__xludf.DUMMYFUNCTION("GOOGLETRANSLATE(B40518,""en"",""pt"")"),"Gul'Kevichi")</f>
        <v>Gul'Kevichi</v>
      </c>
      <c r="B27666" s="20" t="s">
        <v>35512</v>
      </c>
      <c r="C27666" s="20" t="s">
        <v>22070</v>
      </c>
      <c r="D27666" s="20" t="s">
        <v>22077</v>
      </c>
      <c r="E27666" s="10">
        <v>558066</v>
      </c>
      <c r="F27666" s="4" t="e">
        <f>IF(B27666=#REF!,"",B27666)</f>
        <v>#REF!</v>
      </c>
    </row>
    <row r="27667" spans="1:6" ht="15.75" customHeight="1">
      <c r="A27667" s="15" t="s">
        <v>22416</v>
      </c>
      <c r="B27667" s="15" t="s">
        <v>22416</v>
      </c>
      <c r="C27667" s="15" t="s">
        <v>22070</v>
      </c>
      <c r="D27667" s="15" t="s">
        <v>22099</v>
      </c>
      <c r="E27667" s="2">
        <v>558082</v>
      </c>
      <c r="F27667" s="4" t="str">
        <f>IF(B27667=B27666,"",B27667)</f>
        <v>Gukovo</v>
      </c>
    </row>
    <row r="27668" spans="1:6" ht="15.75" customHeight="1">
      <c r="A27668" s="16" t="str">
        <f ca="1">IFERROR(__xludf.DUMMYFUNCTION("GOOGLETRANSLATE(B39094,""en"",""pt"")"),"Gujrāt")</f>
        <v>Gujrāt</v>
      </c>
      <c r="B27668" s="20" t="s">
        <v>35018</v>
      </c>
      <c r="C27668" s="20" t="s">
        <v>19808</v>
      </c>
      <c r="D27668" s="20" t="s">
        <v>10184</v>
      </c>
      <c r="E27668" s="10">
        <v>1177654</v>
      </c>
      <c r="F27668" s="4" t="str">
        <f>IF(B27668=B27667,"",B27668)</f>
        <v>Gujrāt</v>
      </c>
    </row>
    <row r="27669" spans="1:6" ht="15.75" customHeight="1">
      <c r="A27669" s="16" t="str">
        <f ca="1">IFERROR(__xludf.DUMMYFUNCTION("GOOGLETRANSLATE(B39095,""en"",""pt"")"),"Gujrānwāla")</f>
        <v>Gujrānwāla</v>
      </c>
      <c r="B27669" s="20" t="s">
        <v>35019</v>
      </c>
      <c r="C27669" s="20" t="s">
        <v>19808</v>
      </c>
      <c r="D27669" s="20" t="s">
        <v>10184</v>
      </c>
      <c r="E27669" s="10">
        <v>1177662</v>
      </c>
      <c r="F27669" s="4" t="str">
        <f>IF(B27669=B27668,"",B27669)</f>
        <v>Gujrānwāla</v>
      </c>
    </row>
    <row r="27670" spans="1:6" ht="15.75" customHeight="1">
      <c r="A27670" s="15" t="s">
        <v>19926</v>
      </c>
      <c r="B27670" s="15" t="s">
        <v>19927</v>
      </c>
      <c r="C27670" s="15" t="s">
        <v>19808</v>
      </c>
      <c r="D27670" s="15" t="s">
        <v>10184</v>
      </c>
      <c r="E27670" s="2">
        <v>1177654</v>
      </c>
      <c r="F27670" s="4" t="str">
        <f>IF(B27670=B27669,"",B27670)</f>
        <v>GujrÄt</v>
      </c>
    </row>
    <row r="27671" spans="1:6" ht="15.75" customHeight="1">
      <c r="A27671" s="16" t="s">
        <v>19924</v>
      </c>
      <c r="B27671" s="15" t="s">
        <v>19925</v>
      </c>
      <c r="C27671" s="16" t="s">
        <v>19808</v>
      </c>
      <c r="D27671" s="16" t="s">
        <v>10184</v>
      </c>
      <c r="E27671" s="2">
        <v>1177662</v>
      </c>
      <c r="F27671" s="4" t="str">
        <f>IF(B27671=B27670,"",B27671)</f>
        <v>GujrÄnwÄla</v>
      </c>
    </row>
    <row r="27672" spans="1:6" ht="15.75" customHeight="1">
      <c r="A27672" s="16" t="str">
        <f ca="1">IFERROR(__xludf.DUMMYFUNCTION("GOOGLETRANSLATE(B35875,""en"",""pt"")"),"Gujō")</f>
        <v>Gujō</v>
      </c>
      <c r="B27672" s="20" t="s">
        <v>34420</v>
      </c>
      <c r="C27672" s="20" t="s">
        <v>15704</v>
      </c>
      <c r="D27672" s="20" t="s">
        <v>15748</v>
      </c>
      <c r="E27672" s="10">
        <v>6822219</v>
      </c>
      <c r="F27672" s="4" t="str">
        <f>IF(B27672=B27671,"",B27672)</f>
        <v>Gujō</v>
      </c>
    </row>
    <row r="27673" spans="1:6" ht="15.75" customHeight="1">
      <c r="A27673" s="16" t="str">
        <f ca="1">IFERROR(__xludf.DUMMYFUNCTION("GOOGLETRANSLATE(B39096,""en"",""pt"")"),"Gūjar Khān")</f>
        <v>Gūjar Khān</v>
      </c>
      <c r="B27673" s="20" t="s">
        <v>35020</v>
      </c>
      <c r="C27673" s="20" t="s">
        <v>19808</v>
      </c>
      <c r="D27673" s="20" t="s">
        <v>10184</v>
      </c>
      <c r="E27673" s="10">
        <v>1177682</v>
      </c>
      <c r="F27673" s="4" t="e">
        <f>IF(B27673=#REF!,"",B27673)</f>
        <v>#REF!</v>
      </c>
    </row>
    <row r="27674" spans="1:6" ht="15.75" customHeight="1">
      <c r="A27674" s="16" t="s">
        <v>7386</v>
      </c>
      <c r="B27674" s="15" t="s">
        <v>7386</v>
      </c>
      <c r="C27674" s="16" t="s">
        <v>7052</v>
      </c>
      <c r="D27674" s="16" t="s">
        <v>7084</v>
      </c>
      <c r="E27674" s="2">
        <v>3014175</v>
      </c>
      <c r="F27674" s="4" t="str">
        <f>IF(B27674=B27673,"",B27674)</f>
        <v>Gujan-Mestras</v>
      </c>
    </row>
    <row r="27675" spans="1:6" ht="15.75" customHeight="1">
      <c r="A27675" s="15" t="s">
        <v>15910</v>
      </c>
      <c r="B27675" s="15" t="s">
        <v>15911</v>
      </c>
      <c r="C27675" s="15" t="s">
        <v>15704</v>
      </c>
      <c r="D27675" s="15" t="s">
        <v>15748</v>
      </c>
      <c r="E27675" s="2">
        <v>6822219</v>
      </c>
      <c r="F27675" s="4" t="e">
        <f>IF(B27675=#REF!,"",B27675)</f>
        <v>#REF!</v>
      </c>
    </row>
    <row r="27676" spans="1:6" ht="15.75" customHeight="1">
      <c r="A27676" s="15" t="s">
        <v>4707</v>
      </c>
      <c r="B27676" s="15" t="s">
        <v>4707</v>
      </c>
      <c r="C27676" s="15" t="s">
        <v>4487</v>
      </c>
      <c r="D27676" s="15" t="s">
        <v>4507</v>
      </c>
      <c r="E27676" s="2">
        <v>1809461</v>
      </c>
      <c r="F27676" s="4" t="e">
        <f>IF(B27676=#REF!,"",B27676)</f>
        <v>#REF!</v>
      </c>
    </row>
    <row r="27677" spans="1:6" ht="15.75" customHeight="1">
      <c r="A27677" s="15" t="s">
        <v>4706</v>
      </c>
      <c r="B27677" s="15" t="s">
        <v>4706</v>
      </c>
      <c r="C27677" s="15" t="s">
        <v>4487</v>
      </c>
      <c r="D27677" s="15" t="s">
        <v>4569</v>
      </c>
      <c r="E27677" s="2">
        <v>1788406</v>
      </c>
      <c r="F27677" s="4" t="e">
        <f>IF(B27677=#REF!,"",B27677)</f>
        <v>#REF!</v>
      </c>
    </row>
    <row r="27678" spans="1:6" ht="15.75" customHeight="1">
      <c r="A27678" s="16" t="s">
        <v>20777</v>
      </c>
      <c r="B27678" s="15" t="s">
        <v>20777</v>
      </c>
      <c r="C27678" s="16" t="s">
        <v>20598</v>
      </c>
      <c r="D27678" s="16" t="s">
        <v>20603</v>
      </c>
      <c r="E27678" s="2">
        <v>1712232</v>
      </c>
      <c r="F27678" s="4" t="e">
        <f>IF(B27678=#REF!,"",B27678)</f>
        <v>#REF!</v>
      </c>
    </row>
    <row r="27679" spans="1:6" ht="15.75" customHeight="1">
      <c r="A27679" s="15" t="s">
        <v>5847</v>
      </c>
      <c r="B27679" s="15" t="s">
        <v>5847</v>
      </c>
      <c r="C27679" s="15" t="s">
        <v>5764</v>
      </c>
      <c r="D27679" s="15" t="s">
        <v>5788</v>
      </c>
      <c r="E27679" s="2">
        <v>3557332</v>
      </c>
      <c r="F27679" s="4" t="str">
        <f>IF(B27679=B27678,"",B27679)</f>
        <v>Guisa</v>
      </c>
    </row>
    <row r="27680" spans="1:6" ht="15.75" customHeight="1">
      <c r="A27680" s="16" t="str">
        <f ca="1">IFERROR(__xludf.DUMMYFUNCTION("GOOGLETRANSLATE(B45658,""en"",""pt"")"),"Güiria")</f>
        <v>Güiria</v>
      </c>
      <c r="B27680" s="20" t="s">
        <v>36094</v>
      </c>
      <c r="C27680" s="20" t="s">
        <v>5923</v>
      </c>
      <c r="D27680" s="20" t="s">
        <v>1829</v>
      </c>
      <c r="E27680" s="10">
        <v>3639725</v>
      </c>
      <c r="F27680" s="4" t="e">
        <f>IF(B27680=#REF!,"",B27680)</f>
        <v>#REF!</v>
      </c>
    </row>
    <row r="27681" spans="1:6" ht="15.75" customHeight="1">
      <c r="A27681" s="15" t="s">
        <v>4705</v>
      </c>
      <c r="B27681" s="15" t="s">
        <v>4705</v>
      </c>
      <c r="C27681" s="15" t="s">
        <v>4487</v>
      </c>
      <c r="D27681" s="15" t="s">
        <v>4535</v>
      </c>
      <c r="E27681" s="2">
        <v>1809483</v>
      </c>
      <c r="F27681" s="4" t="str">
        <f>IF(B27681=B27680,"",B27681)</f>
        <v>Guiren</v>
      </c>
    </row>
    <row r="27682" spans="1:6" ht="15.75" customHeight="1">
      <c r="A27682" s="16" t="str">
        <f ca="1">IFERROR(__xludf.DUMMYFUNCTION("GOOGLETRANSLATE(B27169,""en"",""pt"")"),"Güira de Melena")</f>
        <v>Güira de Melena</v>
      </c>
      <c r="B27682" s="20" t="s">
        <v>31920</v>
      </c>
      <c r="C27682" s="20" t="s">
        <v>5764</v>
      </c>
      <c r="D27682" s="20" t="s">
        <v>5771</v>
      </c>
      <c r="E27682" s="10">
        <v>3557347</v>
      </c>
      <c r="F27682" s="4" t="e">
        <f>IF(B27682=#REF!,"",B27682)</f>
        <v>#REF!</v>
      </c>
    </row>
    <row r="27683" spans="1:6" ht="15.75" customHeight="1">
      <c r="A27683" s="15" t="s">
        <v>4704</v>
      </c>
      <c r="B27683" s="15" t="s">
        <v>4704</v>
      </c>
      <c r="C27683" s="15" t="s">
        <v>4487</v>
      </c>
      <c r="D27683" s="15" t="s">
        <v>4516</v>
      </c>
      <c r="E27683" s="2">
        <v>1809486</v>
      </c>
      <c r="F27683" s="4" t="str">
        <f>IF(B27683=B27682,"",B27683)</f>
        <v>Guiping</v>
      </c>
    </row>
    <row r="27684" spans="1:6" ht="15.75" customHeight="1">
      <c r="A27684" s="16" t="str">
        <f ca="1">IFERROR(__xludf.DUMMYFUNCTION("GOOGLETRANSLATE(B41309,""en"",""pt"")"),"GUINGINÉO")</f>
        <v>GUINGINÉO</v>
      </c>
      <c r="B27684" s="20" t="s">
        <v>35711</v>
      </c>
      <c r="C27684" s="20" t="s">
        <v>23559</v>
      </c>
      <c r="D27684" s="20" t="s">
        <v>23566</v>
      </c>
      <c r="E27684" s="10">
        <v>2251230</v>
      </c>
      <c r="F27684" s="4" t="str">
        <f>IF(B27684=B27683,"",B27684)</f>
        <v>Guinguinéo</v>
      </c>
    </row>
    <row r="27685" spans="1:6" ht="15.75" customHeight="1">
      <c r="A27685" s="16" t="s">
        <v>23564</v>
      </c>
      <c r="B27685" s="15" t="s">
        <v>23565</v>
      </c>
      <c r="C27685" s="16" t="s">
        <v>23559</v>
      </c>
      <c r="D27685" s="16" t="s">
        <v>23566</v>
      </c>
      <c r="E27685" s="2">
        <v>2251230</v>
      </c>
      <c r="F27685" s="4" t="str">
        <f>IF(B27685=B27684,"",B27685)</f>
        <v>GuinguinÃ©o</v>
      </c>
    </row>
    <row r="27686" spans="1:6" ht="15.75" customHeight="1">
      <c r="A27686" s="16" t="str">
        <f ca="1">IFERROR(__xludf.DUMMYFUNCTION("GOOGLETRANSLATE(B27170,""en"",""pt"")"),"Güines")</f>
        <v>Güines</v>
      </c>
      <c r="B27686" s="20" t="s">
        <v>31921</v>
      </c>
      <c r="C27686" s="20" t="s">
        <v>5764</v>
      </c>
      <c r="D27686" s="20" t="s">
        <v>5792</v>
      </c>
      <c r="E27686" s="10">
        <v>3557378</v>
      </c>
      <c r="F27686" s="4" t="e">
        <f>IF(B27686=#REF!,"",B27686)</f>
        <v>#REF!</v>
      </c>
    </row>
    <row r="27687" spans="1:6" ht="15.75" customHeight="1">
      <c r="A27687" s="15" t="s">
        <v>20776</v>
      </c>
      <c r="B27687" s="15" t="s">
        <v>20776</v>
      </c>
      <c r="C27687" s="15" t="s">
        <v>20598</v>
      </c>
      <c r="D27687" s="15" t="s">
        <v>20599</v>
      </c>
      <c r="E27687" s="2">
        <v>1712488</v>
      </c>
      <c r="F27687" s="4" t="str">
        <f>IF(B27687=B27686,"",B27687)</f>
        <v>Guimba</v>
      </c>
    </row>
    <row r="27688" spans="1:6" ht="15.75" customHeight="1">
      <c r="A27688" s="16" t="str">
        <f ca="1">IFERROR(__xludf.DUMMYFUNCTION("GOOGLETRANSLATE(B39656,""en"",""pt"")"),"Guimarães")</f>
        <v>Guimarães</v>
      </c>
      <c r="B27688" s="20" t="s">
        <v>35309</v>
      </c>
      <c r="C27688" s="20" t="s">
        <v>21606</v>
      </c>
      <c r="D27688" s="20" t="s">
        <v>21626</v>
      </c>
      <c r="E27688" s="10">
        <v>2738752</v>
      </c>
      <c r="F27688" s="4" t="str">
        <f>IF(B27688=B27687,"",B27688)</f>
        <v>Guimarães</v>
      </c>
    </row>
    <row r="27689" spans="1:6" ht="15.75" customHeight="1">
      <c r="A27689" s="15" t="s">
        <v>21667</v>
      </c>
      <c r="B27689" s="15" t="s">
        <v>21668</v>
      </c>
      <c r="C27689" s="15" t="s">
        <v>21606</v>
      </c>
      <c r="D27689" s="15" t="s">
        <v>21626</v>
      </c>
      <c r="E27689" s="2">
        <v>2738752</v>
      </c>
      <c r="F27689" s="4" t="str">
        <f>IF(B27689=B27688,"",B27689)</f>
        <v>GuimarÃ£es</v>
      </c>
    </row>
    <row r="27690" spans="1:6" ht="15.75" customHeight="1">
      <c r="A27690" s="16" t="str">
        <f ca="1">IFERROR(__xludf.DUMMYFUNCTION("GOOGLETRANSLATE(B29112,""en"",""pt"")"),"Güimar")</f>
        <v>Güimar</v>
      </c>
      <c r="B27690" s="20" t="s">
        <v>32381</v>
      </c>
      <c r="C27690" s="20" t="s">
        <v>24200</v>
      </c>
      <c r="D27690" s="20" t="s">
        <v>24212</v>
      </c>
      <c r="E27690" s="10">
        <v>2516852</v>
      </c>
      <c r="F27690" s="4" t="e">
        <f>IF(B27690=#REF!,"",B27690)</f>
        <v>#REF!</v>
      </c>
    </row>
    <row r="27691" spans="1:6" ht="15.75" customHeight="1">
      <c r="A27691" s="15" t="s">
        <v>4703</v>
      </c>
      <c r="B27691" s="15" t="s">
        <v>4703</v>
      </c>
      <c r="C27691" s="15" t="s">
        <v>4487</v>
      </c>
      <c r="D27691" s="15" t="s">
        <v>4516</v>
      </c>
      <c r="E27691" s="2">
        <v>1809498</v>
      </c>
      <c r="F27691" s="4" t="str">
        <f>IF(B27691=B27690,"",B27691)</f>
        <v>Guilin</v>
      </c>
    </row>
    <row r="27692" spans="1:6" ht="15.75" customHeight="1">
      <c r="A27692" s="16" t="str">
        <f ca="1">IFERROR(__xludf.DUMMYFUNCTION("GOOGLETRANSLATE(B38714,""en"",""pt"")"),"Guihulñgan")</f>
        <v>Guihulñgan</v>
      </c>
      <c r="B27692" s="20" t="s">
        <v>34886</v>
      </c>
      <c r="C27692" s="20" t="s">
        <v>20598</v>
      </c>
      <c r="D27692" s="20" t="s">
        <v>20622</v>
      </c>
      <c r="E27692" s="10">
        <v>1712520</v>
      </c>
      <c r="F27692" s="4" t="str">
        <f>IF(B27692=B27691,"",B27692)</f>
        <v>Guihulñgan</v>
      </c>
    </row>
    <row r="27693" spans="1:6" ht="15.75" customHeight="1">
      <c r="A27693" s="16" t="s">
        <v>20774</v>
      </c>
      <c r="B27693" s="15" t="s">
        <v>20775</v>
      </c>
      <c r="C27693" s="16" t="s">
        <v>20598</v>
      </c>
      <c r="D27693" s="16" t="s">
        <v>20622</v>
      </c>
      <c r="E27693" s="2">
        <v>1712520</v>
      </c>
      <c r="F27693" s="4" t="e">
        <f>IF(B27693=#REF!,"",B27693)</f>
        <v>#REF!</v>
      </c>
    </row>
    <row r="27694" spans="1:6" ht="15.75" customHeight="1">
      <c r="A27694" s="15" t="s">
        <v>20773</v>
      </c>
      <c r="B27694" s="15" t="s">
        <v>20773</v>
      </c>
      <c r="C27694" s="15" t="s">
        <v>20598</v>
      </c>
      <c r="D27694" s="15" t="s">
        <v>20599</v>
      </c>
      <c r="E27694" s="2">
        <v>1712531</v>
      </c>
      <c r="F27694" s="4" t="str">
        <f>IF(B27694=B27693,"",B27694)</f>
        <v>Guiguinto</v>
      </c>
    </row>
    <row r="27695" spans="1:6" ht="15.75" customHeight="1">
      <c r="A27695" s="16" t="str">
        <f ca="1">IFERROR(__xludf.DUMMYFUNCTION("GOOGLETRANSLATE(B45659,""en"",""pt"")"),"Güigüe")</f>
        <v>Güigüe</v>
      </c>
      <c r="B27695" s="20" t="s">
        <v>36095</v>
      </c>
      <c r="C27695" s="20" t="s">
        <v>5923</v>
      </c>
      <c r="D27695" s="20" t="s">
        <v>30693</v>
      </c>
      <c r="E27695" s="10">
        <v>3639747</v>
      </c>
      <c r="F27695" s="4" t="e">
        <f>IF(B27695=#REF!,"",B27695)</f>
        <v>#REF!</v>
      </c>
    </row>
    <row r="27696" spans="1:6" ht="15.75" customHeight="1">
      <c r="A27696" s="15" t="s">
        <v>15645</v>
      </c>
      <c r="B27696" s="15" t="s">
        <v>15645</v>
      </c>
      <c r="C27696" s="15" t="s">
        <v>15586</v>
      </c>
      <c r="D27696" s="15" t="s">
        <v>15613</v>
      </c>
      <c r="E27696" s="2">
        <v>2287958</v>
      </c>
      <c r="F27696" s="4" t="e">
        <f>IF(B27696=#REF!,"",B27696)</f>
        <v>#REF!</v>
      </c>
    </row>
    <row r="27697" spans="1:6" ht="15.75" customHeight="1">
      <c r="A27697" s="15" t="s">
        <v>4702</v>
      </c>
      <c r="B27697" s="15" t="s">
        <v>4702</v>
      </c>
      <c r="C27697" s="15" t="s">
        <v>4487</v>
      </c>
      <c r="D27697" s="15" t="s">
        <v>4516</v>
      </c>
      <c r="E27697" s="2">
        <v>1809532</v>
      </c>
      <c r="F27697" s="4" t="e">
        <f>IF(B27697=#REF!,"",B27697)</f>
        <v>#REF!</v>
      </c>
    </row>
    <row r="27698" spans="1:6" ht="15.75" customHeight="1">
      <c r="A27698" s="16" t="s">
        <v>15195</v>
      </c>
      <c r="B27698" s="15" t="s">
        <v>15195</v>
      </c>
      <c r="C27698" s="16" t="s">
        <v>14891</v>
      </c>
      <c r="D27698" s="16" t="s">
        <v>14904</v>
      </c>
      <c r="E27698" s="2">
        <v>6534228</v>
      </c>
      <c r="F27698" s="4" t="e">
        <f>IF(B27698=#REF!,"",B27698)</f>
        <v>#REF!</v>
      </c>
    </row>
    <row r="27699" spans="1:6" ht="15.75" customHeight="1">
      <c r="A27699" s="15" t="s">
        <v>15194</v>
      </c>
      <c r="B27699" s="15" t="s">
        <v>15194</v>
      </c>
      <c r="C27699" s="15" t="s">
        <v>14891</v>
      </c>
      <c r="D27699" s="15" t="s">
        <v>14904</v>
      </c>
      <c r="E27699" s="2">
        <v>3175678</v>
      </c>
      <c r="F27699" s="4" t="e">
        <f>IF(B27699=#REF!,"",B27699)</f>
        <v>#REF!</v>
      </c>
    </row>
    <row r="27700" spans="1:6" ht="15.75" customHeight="1">
      <c r="A27700" s="15" t="s">
        <v>3926</v>
      </c>
      <c r="B27700" s="15" t="s">
        <v>3926</v>
      </c>
      <c r="C27700" s="15" t="s">
        <v>3884</v>
      </c>
      <c r="D27700" s="15" t="s">
        <v>3923</v>
      </c>
      <c r="E27700" s="2">
        <v>2230876</v>
      </c>
      <c r="F27700" s="4" t="str">
        <f>IF(B27700=B27699,"",B27700)</f>
        <v>Guider</v>
      </c>
    </row>
    <row r="27701" spans="1:6" ht="15.75" customHeight="1">
      <c r="A27701" s="16" t="str">
        <f ca="1">IFERROR(__xludf.DUMMYFUNCTION("GOOGLETRANSLATE(B29113,""en"",""pt"")"),"Guía de Isora")</f>
        <v>Guía de Isora</v>
      </c>
      <c r="B27701" s="20" t="s">
        <v>32382</v>
      </c>
      <c r="C27701" s="20" t="s">
        <v>24200</v>
      </c>
      <c r="D27701" s="20" t="s">
        <v>24212</v>
      </c>
      <c r="E27701" s="10">
        <v>2516860</v>
      </c>
      <c r="F27701" s="4" t="str">
        <f>IF(B27701=B27700,"",B27701)</f>
        <v>Guía de Isora</v>
      </c>
    </row>
    <row r="27702" spans="1:6" ht="15.75" customHeight="1">
      <c r="A27702" s="16" t="str">
        <f ca="1">IFERROR(__xludf.DUMMYFUNCTION("GOOGLETRANSLATE(B30048,""en"",""pt"")"),"Guéret")</f>
        <v>Guéret</v>
      </c>
      <c r="B27702" s="20" t="s">
        <v>32598</v>
      </c>
      <c r="C27702" s="20" t="s">
        <v>7052</v>
      </c>
      <c r="D27702" s="20" t="s">
        <v>7084</v>
      </c>
      <c r="E27702" s="10">
        <v>3014383</v>
      </c>
      <c r="F27702" s="4" t="e">
        <f>IF(B27702=#REF!,"",B27702)</f>
        <v>#REF!</v>
      </c>
    </row>
    <row r="27703" spans="1:6" ht="15.75" customHeight="1">
      <c r="A27703" s="15" t="s">
        <v>18590</v>
      </c>
      <c r="B27703" s="15" t="s">
        <v>18590</v>
      </c>
      <c r="C27703" s="15" t="s">
        <v>18551</v>
      </c>
      <c r="D27703" s="15" t="s">
        <v>18557</v>
      </c>
      <c r="E27703" s="2">
        <v>2548489</v>
      </c>
      <c r="F27703" s="4" t="str">
        <f>IF(B27703=B27702,"",B27703)</f>
        <v>Guercif</v>
      </c>
    </row>
    <row r="27704" spans="1:6" ht="15.75" customHeight="1">
      <c r="A27704" s="16" t="str">
        <f ca="1">IFERROR(__xludf.DUMMYFUNCTION("GOOGLETRANSLATE(B30049,""en"",""pt"")"),"Guérande")</f>
        <v>Guérande</v>
      </c>
      <c r="B27704" s="20" t="s">
        <v>32599</v>
      </c>
      <c r="C27704" s="20" t="s">
        <v>7052</v>
      </c>
      <c r="D27704" s="20" t="s">
        <v>7102</v>
      </c>
      <c r="E27704" s="10">
        <v>3014392</v>
      </c>
      <c r="F27704" s="4" t="e">
        <f>IF(B27704=#REF!,"",B27704)</f>
        <v>#REF!</v>
      </c>
    </row>
    <row r="27705" spans="1:6" ht="15.75" customHeight="1">
      <c r="A27705" s="15" t="s">
        <v>4063</v>
      </c>
      <c r="B27705" s="15" t="s">
        <v>4063</v>
      </c>
      <c r="C27705" s="15" t="s">
        <v>3975</v>
      </c>
      <c r="D27705" s="15" t="s">
        <v>3980</v>
      </c>
      <c r="E27705" s="2">
        <v>5967629</v>
      </c>
      <c r="F27705" s="4" t="e">
        <f>IF(B27705=#REF!,"",B27705)</f>
        <v>#REF!</v>
      </c>
    </row>
    <row r="27706" spans="1:6" ht="15.75" customHeight="1">
      <c r="A27706" s="15" t="s">
        <v>18588</v>
      </c>
      <c r="B27706" s="15" t="s">
        <v>18588</v>
      </c>
      <c r="C27706" s="15" t="s">
        <v>18551</v>
      </c>
      <c r="D27706" s="15" t="s">
        <v>18589</v>
      </c>
      <c r="E27706" s="2">
        <v>2548526</v>
      </c>
      <c r="F27706" s="4" t="e">
        <f>IF(B27706=#REF!,"",B27706)</f>
        <v>#REF!</v>
      </c>
    </row>
    <row r="27707" spans="1:6" ht="15.75" customHeight="1">
      <c r="A27707" s="15" t="s">
        <v>296</v>
      </c>
      <c r="B27707" s="15" t="s">
        <v>296</v>
      </c>
      <c r="C27707" s="15" t="s">
        <v>153</v>
      </c>
      <c r="D27707" s="15" t="s">
        <v>296</v>
      </c>
      <c r="E27707" s="2">
        <v>2495662</v>
      </c>
      <c r="F27707" s="4" t="e">
        <f>IF(B27707=#REF!,"",B27707)</f>
        <v>#REF!</v>
      </c>
    </row>
    <row r="27708" spans="1:6" ht="15.75" customHeight="1">
      <c r="A27708" s="16" t="s">
        <v>9833</v>
      </c>
      <c r="B27708" s="15" t="s">
        <v>9833</v>
      </c>
      <c r="C27708" s="16" t="s">
        <v>9826</v>
      </c>
      <c r="D27708" s="16" t="s">
        <v>9834</v>
      </c>
      <c r="E27708" s="2">
        <v>2420562</v>
      </c>
      <c r="F27708" s="4" t="str">
        <f>IF(B27708=B27707,"",B27708)</f>
        <v>Gueckedou</v>
      </c>
    </row>
    <row r="27709" spans="1:6" ht="15.75" customHeight="1">
      <c r="A27709" s="16" t="str">
        <f ca="1">IFERROR(__xludf.DUMMYFUNCTION("GOOGLETRANSLATE(B33427,""en"",""pt"")"),"Gūduvāncheri")</f>
        <v>Gūduvāncheri</v>
      </c>
      <c r="B27709" s="20" t="s">
        <v>33702</v>
      </c>
      <c r="C27709" s="20" t="s">
        <v>10178</v>
      </c>
      <c r="D27709" s="20" t="s">
        <v>10196</v>
      </c>
      <c r="E27709" s="10">
        <v>1270787</v>
      </c>
      <c r="F27709" s="4" t="str">
        <f>IF(B27709=B27708,"",B27709)</f>
        <v>Gūduvāncheri</v>
      </c>
    </row>
    <row r="27710" spans="1:6" ht="15.75" customHeight="1">
      <c r="A27710" s="16" t="str">
        <f ca="1">IFERROR(__xludf.DUMMYFUNCTION("GOOGLETRANSLATE(B33428,""en"",""pt"")"),"Gūdūr")</f>
        <v>Gūdūr</v>
      </c>
      <c r="B27710" s="20" t="s">
        <v>33703</v>
      </c>
      <c r="C27710" s="20" t="s">
        <v>10178</v>
      </c>
      <c r="D27710" s="20" t="s">
        <v>10190</v>
      </c>
      <c r="E27710" s="10">
        <v>1270791</v>
      </c>
      <c r="F27710" s="4" t="e">
        <f>IF(B27710=#REF!,"",B27710)</f>
        <v>#REF!</v>
      </c>
    </row>
    <row r="27711" spans="1:6" ht="15.75" customHeight="1">
      <c r="A27711" s="16" t="s">
        <v>11382</v>
      </c>
      <c r="B27711" s="15" t="s">
        <v>11382</v>
      </c>
      <c r="C27711" s="16" t="s">
        <v>10178</v>
      </c>
      <c r="D27711" s="16" t="s">
        <v>10196</v>
      </c>
      <c r="E27711" s="2">
        <v>1270800</v>
      </c>
      <c r="F27711" s="4" t="str">
        <f>IF(B27711=B27710,"",B27711)</f>
        <v>Gudiyatham</v>
      </c>
    </row>
    <row r="27712" spans="1:6" ht="15.75" customHeight="1">
      <c r="A27712" s="16" t="str">
        <f ca="1">IFERROR(__xludf.DUMMYFUNCTION("GOOGLETRANSLATE(B33430,""en"",""pt"")"),"Gudivāda")</f>
        <v>Gudivāda</v>
      </c>
      <c r="B27712" s="20" t="s">
        <v>33704</v>
      </c>
      <c r="C27712" s="20" t="s">
        <v>10178</v>
      </c>
      <c r="D27712" s="20" t="s">
        <v>10190</v>
      </c>
      <c r="E27712" s="10">
        <v>1270801</v>
      </c>
      <c r="F27712" s="4" t="str">
        <f>IF(B27712=B27711,"",B27712)</f>
        <v>Gudivāda</v>
      </c>
    </row>
    <row r="27713" spans="1:6" ht="15.75" customHeight="1">
      <c r="A27713" s="16" t="s">
        <v>11380</v>
      </c>
      <c r="B27713" s="15" t="s">
        <v>11381</v>
      </c>
      <c r="C27713" s="16" t="s">
        <v>10178</v>
      </c>
      <c r="D27713" s="16" t="s">
        <v>10190</v>
      </c>
      <c r="E27713" s="2">
        <v>1270801</v>
      </c>
      <c r="F27713" s="4" t="e">
        <f>IF(B27713=#REF!,"",B27713)</f>
        <v>#REF!</v>
      </c>
    </row>
    <row r="27714" spans="1:6" ht="15.75" customHeight="1">
      <c r="A27714" s="16" t="s">
        <v>22415</v>
      </c>
      <c r="B27714" s="15" t="s">
        <v>22415</v>
      </c>
      <c r="C27714" s="16" t="s">
        <v>22070</v>
      </c>
      <c r="D27714" s="16" t="s">
        <v>22081</v>
      </c>
      <c r="E27714" s="2">
        <v>558118</v>
      </c>
      <c r="F27714" s="4" t="e">
        <f>IF(B27714=#REF!,"",B27714)</f>
        <v>#REF!</v>
      </c>
    </row>
    <row r="27715" spans="1:6" ht="15.75" customHeight="1">
      <c r="A27715" s="15" t="s">
        <v>11379</v>
      </c>
      <c r="B27715" s="15" t="s">
        <v>11379</v>
      </c>
      <c r="C27715" s="15" t="s">
        <v>10178</v>
      </c>
      <c r="D27715" s="15" t="s">
        <v>10196</v>
      </c>
      <c r="E27715" s="2">
        <v>1270820</v>
      </c>
      <c r="F27715" s="4" t="e">
        <f>IF(B27715=#REF!,"",B27715)</f>
        <v>#REF!</v>
      </c>
    </row>
    <row r="27716" spans="1:6" ht="15.75" customHeight="1">
      <c r="A27716" s="16" t="s">
        <v>4701</v>
      </c>
      <c r="B27716" s="15" t="s">
        <v>4701</v>
      </c>
      <c r="C27716" s="16" t="s">
        <v>4487</v>
      </c>
      <c r="D27716" s="16" t="s">
        <v>4499</v>
      </c>
      <c r="E27716" s="2">
        <v>1809610</v>
      </c>
      <c r="F27716" s="4" t="e">
        <f>IF(B27716=#REF!,"",B27716)</f>
        <v>#REF!</v>
      </c>
    </row>
    <row r="27717" spans="1:6" ht="15.75" customHeight="1">
      <c r="A27717" s="16" t="s">
        <v>22413</v>
      </c>
      <c r="B27717" s="15" t="s">
        <v>22413</v>
      </c>
      <c r="C27717" s="16" t="s">
        <v>22070</v>
      </c>
      <c r="D27717" s="16" t="s">
        <v>22414</v>
      </c>
      <c r="E27717" s="2">
        <v>1539209</v>
      </c>
      <c r="F27717" s="4" t="e">
        <f>IF(B27717=#REF!,"",B27717)</f>
        <v>#REF!</v>
      </c>
    </row>
    <row r="27718" spans="1:6" ht="15.75" customHeight="1">
      <c r="A27718" s="15" t="s">
        <v>22412</v>
      </c>
      <c r="B27718" s="15" t="s">
        <v>22412</v>
      </c>
      <c r="C27718" s="15" t="s">
        <v>22070</v>
      </c>
      <c r="D27718" s="15" t="s">
        <v>22120</v>
      </c>
      <c r="E27718" s="2">
        <v>558146</v>
      </c>
      <c r="F27718" s="4" t="e">
        <f>IF(B27718=#REF!,"",B27718)</f>
        <v>#REF!</v>
      </c>
    </row>
    <row r="27719" spans="1:6" ht="15.75" customHeight="1">
      <c r="A27719" s="15" t="s">
        <v>21245</v>
      </c>
      <c r="B27719" s="15" t="s">
        <v>21245</v>
      </c>
      <c r="C27719" s="15" t="s">
        <v>21064</v>
      </c>
      <c r="D27719" s="15" t="s">
        <v>21065</v>
      </c>
      <c r="E27719" s="2">
        <v>3098130</v>
      </c>
      <c r="F27719" s="4" t="e">
        <f>IF(B27719=#REF!,"",B27719)</f>
        <v>#REF!</v>
      </c>
    </row>
    <row r="27720" spans="1:6" ht="15.75" customHeight="1">
      <c r="A27720" s="15" t="s">
        <v>8500</v>
      </c>
      <c r="B27720" s="15" t="s">
        <v>8500</v>
      </c>
      <c r="C27720" s="15" t="s">
        <v>8028</v>
      </c>
      <c r="D27720" s="15" t="s">
        <v>8070</v>
      </c>
      <c r="E27720" s="2">
        <v>2913922</v>
      </c>
      <c r="F27720" s="4" t="e">
        <f>IF(B27720=#REF!,"",B27720)</f>
        <v>#REF!</v>
      </c>
    </row>
    <row r="27721" spans="1:6" ht="15.75" customHeight="1">
      <c r="A27721" s="15" t="s">
        <v>11378</v>
      </c>
      <c r="B27721" s="15" t="s">
        <v>11378</v>
      </c>
      <c r="C27721" s="15" t="s">
        <v>10178</v>
      </c>
      <c r="D27721" s="15" t="s">
        <v>10252</v>
      </c>
      <c r="E27721" s="2">
        <v>1270824</v>
      </c>
      <c r="F27721" s="4" t="e">
        <f>IF(B27721=#REF!,"",B27721)</f>
        <v>#REF!</v>
      </c>
    </row>
    <row r="27722" spans="1:6" ht="15.75" customHeight="1">
      <c r="A27722" s="15" t="s">
        <v>22411</v>
      </c>
      <c r="B27722" s="15" t="s">
        <v>22411</v>
      </c>
      <c r="C27722" s="15" t="s">
        <v>22070</v>
      </c>
      <c r="D27722" s="15" t="s">
        <v>22115</v>
      </c>
      <c r="E27722" s="2">
        <v>558209</v>
      </c>
      <c r="F27722" s="4" t="e">
        <f>IF(B27722=#REF!,"",B27722)</f>
        <v>#REF!</v>
      </c>
    </row>
    <row r="27723" spans="1:6" ht="15.75" customHeight="1">
      <c r="A27723" s="16" t="s">
        <v>21763</v>
      </c>
      <c r="B27723" s="15" t="s">
        <v>21763</v>
      </c>
      <c r="C27723" s="16" t="s">
        <v>747</v>
      </c>
      <c r="D27723" s="16" t="s">
        <v>21763</v>
      </c>
      <c r="E27723" s="2">
        <v>4565119</v>
      </c>
      <c r="F27723" s="4" t="str">
        <f>IF(B27723=B27722,"",B27723)</f>
        <v>Guaynabo</v>
      </c>
    </row>
    <row r="27724" spans="1:6" ht="15.75" customHeight="1">
      <c r="A27724" s="16" t="str">
        <f ca="1">IFERROR(__xludf.DUMMYFUNCTION("GOOGLETRANSLATE(B24137,""en"",""pt"")"),"Guayaramerín")</f>
        <v>Guayaramerín</v>
      </c>
      <c r="B27724" s="20" t="s">
        <v>31338</v>
      </c>
      <c r="C27724" s="20" t="s">
        <v>1806</v>
      </c>
      <c r="D27724" s="20" t="s">
        <v>1813</v>
      </c>
      <c r="E27724" s="10">
        <v>3915350</v>
      </c>
      <c r="F27724" s="4" t="str">
        <f>IF(B27724=B27723,"",B27724)</f>
        <v>Guayaramerín</v>
      </c>
    </row>
    <row r="27725" spans="1:6" ht="15.75" customHeight="1">
      <c r="A27725" s="16" t="s">
        <v>1811</v>
      </c>
      <c r="B27725" s="15" t="s">
        <v>1812</v>
      </c>
      <c r="C27725" s="16" t="s">
        <v>1806</v>
      </c>
      <c r="D27725" s="16" t="s">
        <v>1813</v>
      </c>
      <c r="E27725" s="2">
        <v>3915350</v>
      </c>
      <c r="F27725" s="4" t="e">
        <f>IF(B27725=#REF!,"",B27725)</f>
        <v>#REF!</v>
      </c>
    </row>
    <row r="27726" spans="1:6" ht="15.75" customHeight="1">
      <c r="A27726" s="16" t="s">
        <v>6429</v>
      </c>
      <c r="B27726" s="15" t="s">
        <v>6429</v>
      </c>
      <c r="C27726" s="16" t="s">
        <v>6398</v>
      </c>
      <c r="D27726" s="16" t="s">
        <v>6410</v>
      </c>
      <c r="E27726" s="2">
        <v>3657509</v>
      </c>
      <c r="F27726" s="4" t="e">
        <f>IF(B27726=#REF!,"",B27726)</f>
        <v>#REF!</v>
      </c>
    </row>
    <row r="27727" spans="1:6" ht="15.75" customHeight="1">
      <c r="A27727" s="15" t="s">
        <v>21762</v>
      </c>
      <c r="B27727" s="15" t="s">
        <v>21762</v>
      </c>
      <c r="C27727" s="15" t="s">
        <v>747</v>
      </c>
      <c r="D27727" s="15" t="s">
        <v>21762</v>
      </c>
      <c r="E27727" s="2">
        <v>4565105</v>
      </c>
      <c r="F27727" s="4" t="str">
        <f>IF(B27727=B27726,"",B27727)</f>
        <v>Guayama</v>
      </c>
    </row>
    <row r="27728" spans="1:6" ht="15.75" customHeight="1">
      <c r="A27728" s="16" t="str">
        <f ca="1">IFERROR(__xludf.DUMMYFUNCTION("GOOGLETRANSLATE(B25000,""en"",""pt"")"),"Guaxupé")</f>
        <v>Guaxupé</v>
      </c>
      <c r="B27728" s="20" t="s">
        <v>31648</v>
      </c>
      <c r="C27728" s="20" t="s">
        <v>1905</v>
      </c>
      <c r="D27728" s="20" t="s">
        <v>1917</v>
      </c>
      <c r="E27728" s="10">
        <v>3461763</v>
      </c>
      <c r="F27728" s="4" t="str">
        <f>IF(B27728=B27727,"",B27728)</f>
        <v>Guaxupé</v>
      </c>
    </row>
    <row r="27729" spans="1:6" ht="15.75" customHeight="1">
      <c r="A27729" s="16" t="s">
        <v>2543</v>
      </c>
      <c r="B27729" s="15" t="s">
        <v>2544</v>
      </c>
      <c r="C27729" s="16" t="s">
        <v>1905</v>
      </c>
      <c r="D27729" s="16" t="s">
        <v>1917</v>
      </c>
      <c r="E27729" s="2">
        <v>3461763</v>
      </c>
      <c r="F27729" s="4" t="e">
        <f>IF(B27729=#REF!,"",B27729)</f>
        <v>#REF!</v>
      </c>
    </row>
    <row r="27730" spans="1:6" ht="15.75" customHeight="1">
      <c r="A27730" s="15" t="s">
        <v>30701</v>
      </c>
      <c r="B27730" s="15" t="s">
        <v>30701</v>
      </c>
      <c r="C27730" s="15" t="s">
        <v>5923</v>
      </c>
      <c r="D27730" s="15" t="s">
        <v>30647</v>
      </c>
      <c r="E27730" s="2">
        <v>3639898</v>
      </c>
      <c r="F27730" s="4" t="e">
        <f>IF(B27730=#REF!,"",B27730)</f>
        <v>#REF!</v>
      </c>
    </row>
    <row r="27731" spans="1:6" ht="15.75" customHeight="1">
      <c r="A27731" s="16" t="s">
        <v>9744</v>
      </c>
      <c r="B27731" s="15" t="s">
        <v>9745</v>
      </c>
      <c r="C27731" s="16" t="s">
        <v>9700</v>
      </c>
      <c r="D27731" s="16" t="s">
        <v>9700</v>
      </c>
      <c r="E27731" s="2">
        <v>3598132</v>
      </c>
      <c r="F27731" s="4" t="e">
        <f>IF(B27731=#REF!,"",B27731)</f>
        <v>#REF!</v>
      </c>
    </row>
    <row r="27732" spans="1:6" ht="15.75" customHeight="1">
      <c r="A27732" s="16" t="s">
        <v>30699</v>
      </c>
      <c r="B27732" s="15" t="s">
        <v>30699</v>
      </c>
      <c r="C27732" s="16" t="s">
        <v>5923</v>
      </c>
      <c r="D27732" s="16" t="s">
        <v>30700</v>
      </c>
      <c r="E27732" s="2">
        <v>3804949</v>
      </c>
      <c r="F27732" s="4" t="e">
        <f>IF(B27732=#REF!,"",B27732)</f>
        <v>#REF!</v>
      </c>
    </row>
    <row r="27733" spans="1:6" ht="15.75" customHeight="1">
      <c r="A27733" s="15" t="s">
        <v>17960</v>
      </c>
      <c r="B27733" s="15" t="s">
        <v>17960</v>
      </c>
      <c r="C27733" s="15" t="s">
        <v>17707</v>
      </c>
      <c r="D27733" s="15" t="s">
        <v>17916</v>
      </c>
      <c r="E27733" s="2">
        <v>4005219</v>
      </c>
      <c r="F27733" s="4" t="e">
        <f>IF(B27733=#REF!,"",B27733)</f>
        <v>#REF!</v>
      </c>
    </row>
    <row r="27734" spans="1:6" ht="15.75" customHeight="1">
      <c r="A27734" s="16" t="s">
        <v>2542</v>
      </c>
      <c r="B27734" s="15" t="s">
        <v>2542</v>
      </c>
      <c r="C27734" s="16" t="s">
        <v>1905</v>
      </c>
      <c r="D27734" s="16" t="s">
        <v>1914</v>
      </c>
      <c r="E27734" s="2">
        <v>3461786</v>
      </c>
      <c r="F27734" s="4" t="str">
        <f>IF(B27734=B27733,"",B27734)</f>
        <v>Guarulhos</v>
      </c>
    </row>
    <row r="27735" spans="1:6" ht="15.75" customHeight="1">
      <c r="A27735" s="15" t="s">
        <v>2540</v>
      </c>
      <c r="B27735" s="15" t="s">
        <v>2541</v>
      </c>
      <c r="C27735" s="15" t="s">
        <v>1905</v>
      </c>
      <c r="D27735" s="15" t="s">
        <v>1914</v>
      </c>
      <c r="E27735" s="2">
        <v>3461789</v>
      </c>
      <c r="F27735" s="4" t="str">
        <f>IF(B27735=B27734,"",B27735)</f>
        <v>GuarujÃ¡</v>
      </c>
    </row>
    <row r="27736" spans="1:6" ht="15.75" customHeight="1">
      <c r="A27736" s="16" t="str">
        <f ca="1">IFERROR(__xludf.DUMMYFUNCTION("GOOGLETRANSLATE(B25002,""en"",""pt"")"),"Guarujá")</f>
        <v>Guarujá</v>
      </c>
      <c r="B27736" s="20" t="s">
        <v>31649</v>
      </c>
      <c r="C27736" s="20" t="s">
        <v>1905</v>
      </c>
      <c r="D27736" s="20" t="s">
        <v>3354</v>
      </c>
      <c r="E27736" s="10">
        <v>3461789</v>
      </c>
      <c r="F27736" s="4" t="e">
        <f>IF(B27736=#REF!,"",B27736)</f>
        <v>#REF!</v>
      </c>
    </row>
    <row r="27737" spans="1:6" ht="15.75" customHeight="1">
      <c r="A27737" s="15" t="s">
        <v>2539</v>
      </c>
      <c r="B27737" s="15" t="s">
        <v>2539</v>
      </c>
      <c r="C27737" s="15" t="s">
        <v>1905</v>
      </c>
      <c r="D27737" s="15" t="s">
        <v>1914</v>
      </c>
      <c r="E27737" s="2">
        <v>3461824</v>
      </c>
      <c r="F27737" s="4" t="e">
        <f>IF(B27737=#REF!,"",B27737)</f>
        <v>#REF!</v>
      </c>
    </row>
    <row r="27738" spans="1:6" ht="15.75" customHeight="1">
      <c r="A27738" s="15" t="s">
        <v>30698</v>
      </c>
      <c r="B27738" s="15" t="s">
        <v>30698</v>
      </c>
      <c r="C27738" s="15" t="s">
        <v>5923</v>
      </c>
      <c r="D27738" s="15" t="s">
        <v>30647</v>
      </c>
      <c r="E27738" s="2">
        <v>3640049</v>
      </c>
      <c r="F27738" s="4" t="e">
        <f>IF(B27738=#REF!,"",B27738)</f>
        <v>#REF!</v>
      </c>
    </row>
    <row r="27739" spans="1:6" ht="15.75" customHeight="1">
      <c r="A27739" s="16" t="s">
        <v>24498</v>
      </c>
      <c r="B27739" s="15" t="s">
        <v>24498</v>
      </c>
      <c r="C27739" s="16" t="s">
        <v>24200</v>
      </c>
      <c r="D27739" s="16" t="s">
        <v>21053</v>
      </c>
      <c r="E27739" s="2">
        <v>2516902</v>
      </c>
      <c r="F27739" s="4" t="e">
        <f>IF(B27739=#REF!,"",B27739)</f>
        <v>#REF!</v>
      </c>
    </row>
    <row r="27740" spans="1:6" ht="15.75" customHeight="1">
      <c r="A27740" s="15" t="s">
        <v>21656</v>
      </c>
      <c r="B27740" s="15" t="s">
        <v>21656</v>
      </c>
      <c r="C27740" s="15" t="s">
        <v>21606</v>
      </c>
      <c r="D27740" s="15" t="s">
        <v>21656</v>
      </c>
      <c r="E27740" s="2">
        <v>2738785</v>
      </c>
      <c r="F27740" s="4" t="e">
        <f>IF(B27740=#REF!,"",B27740)</f>
        <v>#REF!</v>
      </c>
    </row>
    <row r="27741" spans="1:6" ht="15.75" customHeight="1">
      <c r="A27741" s="16" t="s">
        <v>2538</v>
      </c>
      <c r="B27741" s="15" t="s">
        <v>2538</v>
      </c>
      <c r="C27741" s="16" t="s">
        <v>1905</v>
      </c>
      <c r="D27741" s="16" t="s">
        <v>728</v>
      </c>
      <c r="E27741" s="2">
        <v>3461857</v>
      </c>
      <c r="F27741" s="4" t="str">
        <f>IF(B27741=B27740,"",B27741)</f>
        <v>Guaratuba</v>
      </c>
    </row>
    <row r="27742" spans="1:6" ht="15.75" customHeight="1">
      <c r="A27742" s="16" t="s">
        <v>2536</v>
      </c>
      <c r="B27742" s="15" t="s">
        <v>2537</v>
      </c>
      <c r="C27742" s="16" t="s">
        <v>1905</v>
      </c>
      <c r="D27742" s="16" t="s">
        <v>1914</v>
      </c>
      <c r="E27742" s="2">
        <v>3461859</v>
      </c>
      <c r="F27742" s="4" t="str">
        <f>IF(B27742=B27741,"",B27742)</f>
        <v>GuaratinguetÃ¡</v>
      </c>
    </row>
    <row r="27743" spans="1:6" ht="15.75" customHeight="1">
      <c r="A27743" s="16" t="str">
        <f ca="1">IFERROR(__xludf.DUMMYFUNCTION("GOOGLETRANSLATE(B25005,""en"",""pt"")"),"Guaratuetá")</f>
        <v>Guaratuetá</v>
      </c>
      <c r="B27743" s="20" t="s">
        <v>2536</v>
      </c>
      <c r="C27743" s="20" t="s">
        <v>1905</v>
      </c>
      <c r="D27743" s="20" t="s">
        <v>3354</v>
      </c>
      <c r="E27743" s="10">
        <v>3461859</v>
      </c>
      <c r="F27743" s="4" t="e">
        <f>IF(B27743=#REF!,"",B27743)</f>
        <v>#REF!</v>
      </c>
    </row>
    <row r="27744" spans="1:6" ht="15.75" customHeight="1">
      <c r="A27744" s="15" t="s">
        <v>2534</v>
      </c>
      <c r="B27744" s="15" t="s">
        <v>2535</v>
      </c>
      <c r="C27744" s="15" t="s">
        <v>1905</v>
      </c>
      <c r="D27744" s="15" t="s">
        <v>1914</v>
      </c>
      <c r="E27744" s="2">
        <v>3461871</v>
      </c>
      <c r="F27744" s="4" t="e">
        <f>IF(B27744=#REF!,"",B27744)</f>
        <v>#REF!</v>
      </c>
    </row>
    <row r="27745" spans="1:6" ht="15.75" customHeight="1">
      <c r="A27745" s="16" t="s">
        <v>2533</v>
      </c>
      <c r="B27745" s="15" t="s">
        <v>2533</v>
      </c>
      <c r="C27745" s="16" t="s">
        <v>1905</v>
      </c>
      <c r="D27745" s="16" t="s">
        <v>1914</v>
      </c>
      <c r="E27745" s="2">
        <v>3461874</v>
      </c>
      <c r="F27745" s="4" t="e">
        <f>IF(B27745=#REF!,"",B27745)</f>
        <v>#REF!</v>
      </c>
    </row>
    <row r="27746" spans="1:6" ht="15.75" customHeight="1">
      <c r="A27746" s="16" t="s">
        <v>2532</v>
      </c>
      <c r="B27746" s="15" t="s">
        <v>2532</v>
      </c>
      <c r="C27746" s="16" t="s">
        <v>1905</v>
      </c>
      <c r="D27746" s="16" t="s">
        <v>728</v>
      </c>
      <c r="E27746" s="2">
        <v>3461879</v>
      </c>
      <c r="F27746" s="4" t="e">
        <f>IF(B27746=#REF!,"",B27746)</f>
        <v>#REF!</v>
      </c>
    </row>
    <row r="27747" spans="1:6" ht="15.75" customHeight="1">
      <c r="A27747" s="16" t="s">
        <v>2531</v>
      </c>
      <c r="B27747" s="15" t="s">
        <v>2531</v>
      </c>
      <c r="C27747" s="16" t="s">
        <v>1905</v>
      </c>
      <c r="D27747" s="16" t="s">
        <v>1949</v>
      </c>
      <c r="E27747" s="2">
        <v>3461888</v>
      </c>
      <c r="F27747" s="4" t="str">
        <f>IF(B27747=B27746,"",B27747)</f>
        <v>Guarapari</v>
      </c>
    </row>
    <row r="27748" spans="1:6" ht="15.75" customHeight="1">
      <c r="A27748" s="16" t="str">
        <f ca="1">IFERROR(__xludf.DUMMYFUNCTION("GOOGLETRANSLATE(B25010,""en"",""pt"")"),"Guaranésia")</f>
        <v>Guaranésia</v>
      </c>
      <c r="B27748" s="20" t="s">
        <v>31650</v>
      </c>
      <c r="C27748" s="20" t="s">
        <v>1905</v>
      </c>
      <c r="D27748" s="20" t="s">
        <v>1917</v>
      </c>
      <c r="E27748" s="10">
        <v>3461910</v>
      </c>
      <c r="F27748" s="4" t="e">
        <f>IF(B27748=#REF!,"",B27748)</f>
        <v>#REF!</v>
      </c>
    </row>
    <row r="27749" spans="1:6" ht="15.75" customHeight="1">
      <c r="A27749" s="15" t="s">
        <v>6428</v>
      </c>
      <c r="B27749" s="15" t="s">
        <v>6428</v>
      </c>
      <c r="C27749" s="15" t="s">
        <v>6398</v>
      </c>
      <c r="D27749" s="15" t="s">
        <v>5373</v>
      </c>
      <c r="E27749" s="2">
        <v>3657571</v>
      </c>
      <c r="F27749" s="4" t="str">
        <f>IF(B27749=B27748,"",B27749)</f>
        <v>Guaranda</v>
      </c>
    </row>
    <row r="27750" spans="1:6" ht="15.75" customHeight="1">
      <c r="A27750" s="16" t="s">
        <v>2529</v>
      </c>
      <c r="B27750" s="15" t="s">
        <v>2530</v>
      </c>
      <c r="C27750" s="16" t="s">
        <v>1905</v>
      </c>
      <c r="D27750" s="16" t="s">
        <v>1917</v>
      </c>
      <c r="E27750" s="2">
        <v>3461910</v>
      </c>
      <c r="F27750" s="4" t="e">
        <f>IF(B27750=#REF!,"",B27750)</f>
        <v>#REF!</v>
      </c>
    </row>
    <row r="27751" spans="1:6" ht="15.75" customHeight="1">
      <c r="A27751" s="16" t="s">
        <v>2528</v>
      </c>
      <c r="B27751" s="15" t="s">
        <v>2528</v>
      </c>
      <c r="C27751" s="16" t="s">
        <v>1905</v>
      </c>
      <c r="D27751" s="16" t="s">
        <v>2020</v>
      </c>
      <c r="E27751" s="2">
        <v>3461914</v>
      </c>
      <c r="F27751" s="4" t="e">
        <f>IF(B27751=#REF!,"",B27751)</f>
        <v>#REF!</v>
      </c>
    </row>
    <row r="27752" spans="1:6" ht="15.75" customHeight="1">
      <c r="A27752" s="16" t="s">
        <v>2527</v>
      </c>
      <c r="B27752" s="15" t="s">
        <v>2527</v>
      </c>
      <c r="C27752" s="16" t="s">
        <v>1905</v>
      </c>
      <c r="D27752" s="16" t="s">
        <v>1930</v>
      </c>
      <c r="E27752" s="2">
        <v>3398569</v>
      </c>
      <c r="F27752" s="4" t="e">
        <f>IF(B27752=#REF!,"",B27752)</f>
        <v>#REF!</v>
      </c>
    </row>
    <row r="27753" spans="1:6" ht="15.75" customHeight="1">
      <c r="A27753" s="16" t="s">
        <v>2526</v>
      </c>
      <c r="B27753" s="15" t="s">
        <v>2526</v>
      </c>
      <c r="C27753" s="16" t="s">
        <v>1905</v>
      </c>
      <c r="D27753" s="16" t="s">
        <v>1944</v>
      </c>
      <c r="E27753" s="2">
        <v>3398570</v>
      </c>
      <c r="F27753" s="4" t="str">
        <f>IF(B27753=B27752,"",B27753)</f>
        <v>Guarabira</v>
      </c>
    </row>
    <row r="27754" spans="1:6" ht="15.75" customHeight="1">
      <c r="A27754" s="15" t="s">
        <v>2524</v>
      </c>
      <c r="B27754" s="15" t="s">
        <v>2525</v>
      </c>
      <c r="C27754" s="15" t="s">
        <v>1905</v>
      </c>
      <c r="D27754" s="15" t="s">
        <v>1914</v>
      </c>
      <c r="E27754" s="2">
        <v>3461935</v>
      </c>
      <c r="F27754" s="4" t="str">
        <f>IF(B27754=B27753,"",B27754)</f>
        <v>GuarÃ¡</v>
      </c>
    </row>
    <row r="27755" spans="1:6" ht="15.75" customHeight="1">
      <c r="A27755" s="16" t="str">
        <f ca="1">IFERROR(__xludf.DUMMYFUNCTION("GOOGLETRANSLATE(B25012,""en"",""pt"")"),"Guará")</f>
        <v>Guará</v>
      </c>
      <c r="B27755" s="20" t="s">
        <v>2524</v>
      </c>
      <c r="C27755" s="20" t="s">
        <v>1905</v>
      </c>
      <c r="D27755" s="20" t="s">
        <v>3354</v>
      </c>
      <c r="E27755" s="10">
        <v>3461935</v>
      </c>
      <c r="F27755" s="4" t="str">
        <f>IF(B27755=B27754,"",B27755)</f>
        <v>Guará</v>
      </c>
    </row>
    <row r="27756" spans="1:6" ht="15.75" customHeight="1">
      <c r="A27756" s="16" t="str">
        <f ca="1">IFERROR(__xludf.DUMMYFUNCTION("GOOGLETRANSLATE(B25013,""en"",""pt"")"),"Guaporé")</f>
        <v>Guaporé</v>
      </c>
      <c r="B27756" s="20" t="s">
        <v>31651</v>
      </c>
      <c r="C27756" s="20" t="s">
        <v>1905</v>
      </c>
      <c r="D27756" s="20" t="s">
        <v>1951</v>
      </c>
      <c r="E27756" s="10">
        <v>3461941</v>
      </c>
      <c r="F27756" s="4" t="str">
        <f>IF(B27756=B27755,"",B27756)</f>
        <v>Guaporé</v>
      </c>
    </row>
    <row r="27757" spans="1:6" ht="15.75" customHeight="1">
      <c r="A27757" s="16" t="s">
        <v>2522</v>
      </c>
      <c r="B27757" s="15" t="s">
        <v>2523</v>
      </c>
      <c r="C27757" s="16" t="s">
        <v>1905</v>
      </c>
      <c r="D27757" s="16" t="s">
        <v>1951</v>
      </c>
      <c r="E27757" s="2">
        <v>3461941</v>
      </c>
      <c r="F27757" s="4" t="e">
        <f>IF(B27757=#REF!,"",B27757)</f>
        <v>#REF!</v>
      </c>
    </row>
    <row r="27758" spans="1:6" ht="15.75" customHeight="1">
      <c r="A27758" s="16" t="s">
        <v>2521</v>
      </c>
      <c r="B27758" s="15" t="s">
        <v>2521</v>
      </c>
      <c r="C27758" s="16" t="s">
        <v>1905</v>
      </c>
      <c r="D27758" s="16" t="s">
        <v>1978</v>
      </c>
      <c r="E27758" s="2">
        <v>3461949</v>
      </c>
      <c r="F27758" s="4" t="str">
        <f>IF(B27758=B27757,"",B27758)</f>
        <v>Guapimirim</v>
      </c>
    </row>
    <row r="27759" spans="1:6" ht="15.75" customHeight="1">
      <c r="A27759" s="16" t="str">
        <f ca="1">IFERROR(__xludf.DUMMYFUNCTION("GOOGLETRANSLATE(B27090,""en"",""pt"")"),"Guápiles")</f>
        <v>Guápiles</v>
      </c>
      <c r="B27759" s="20" t="s">
        <v>31898</v>
      </c>
      <c r="C27759" s="20" t="s">
        <v>5665</v>
      </c>
      <c r="D27759" s="20" t="s">
        <v>31895</v>
      </c>
      <c r="E27759" s="10">
        <v>3623580</v>
      </c>
      <c r="F27759" s="4" t="str">
        <f>IF(B27759=B27758,"",B27759)</f>
        <v>Guápiles</v>
      </c>
    </row>
    <row r="27760" spans="1:6" ht="15.75" customHeight="1">
      <c r="A27760" s="16" t="str">
        <f ca="1">IFERROR(__xludf.DUMMYFUNCTION("GOOGLETRANSLATE(B27171,""en"",""pt"")"),"Guantánamo")</f>
        <v>Guantánamo</v>
      </c>
      <c r="B27760" s="20" t="s">
        <v>5846</v>
      </c>
      <c r="C27760" s="20" t="s">
        <v>5764</v>
      </c>
      <c r="D27760" s="20" t="s">
        <v>5846</v>
      </c>
      <c r="E27760" s="10">
        <v>3557689</v>
      </c>
      <c r="F27760" s="4" t="str">
        <f>IF(B27760=B27759,"",B27760)</f>
        <v>Guantánamo</v>
      </c>
    </row>
    <row r="27761" spans="1:6" ht="15.75" customHeight="1">
      <c r="A27761" s="16" t="s">
        <v>5846</v>
      </c>
      <c r="B27761" s="15" t="s">
        <v>5782</v>
      </c>
      <c r="C27761" s="16" t="s">
        <v>5764</v>
      </c>
      <c r="D27761" s="16" t="s">
        <v>5782</v>
      </c>
      <c r="E27761" s="2">
        <v>3557689</v>
      </c>
      <c r="F27761" s="4" t="e">
        <f>IF(B27761=#REF!,"",B27761)</f>
        <v>#REF!</v>
      </c>
    </row>
    <row r="27762" spans="1:6" ht="15.75" customHeight="1">
      <c r="A27762" s="15" t="s">
        <v>4700</v>
      </c>
      <c r="B27762" s="15" t="s">
        <v>4700</v>
      </c>
      <c r="C27762" s="15" t="s">
        <v>4487</v>
      </c>
      <c r="D27762" s="15" t="s">
        <v>4495</v>
      </c>
      <c r="E27762" s="2">
        <v>1802875</v>
      </c>
      <c r="F27762" s="4" t="str">
        <f>IF(B27762=B27761,"",B27762)</f>
        <v>Guankou</v>
      </c>
    </row>
    <row r="27763" spans="1:6" ht="15.75" customHeight="1">
      <c r="A27763" s="16" t="str">
        <f ca="1">IFERROR(__xludf.DUMMYFUNCTION("GOOGLETRANSLATE(B25015,""en"",""pt"")"),"Guanhães")</f>
        <v>Guanhães</v>
      </c>
      <c r="B27763" s="20" t="s">
        <v>31652</v>
      </c>
      <c r="C27763" s="20" t="s">
        <v>1905</v>
      </c>
      <c r="D27763" s="20" t="s">
        <v>1917</v>
      </c>
      <c r="E27763" s="10">
        <v>3461958</v>
      </c>
      <c r="F27763" s="4" t="str">
        <f>IF(B27763=B27762,"",B27763)</f>
        <v>Guanhães</v>
      </c>
    </row>
    <row r="27764" spans="1:6" ht="15.75" customHeight="1">
      <c r="A27764" s="16" t="s">
        <v>2519</v>
      </c>
      <c r="B27764" s="15" t="s">
        <v>2520</v>
      </c>
      <c r="C27764" s="16" t="s">
        <v>1905</v>
      </c>
      <c r="D27764" s="16" t="s">
        <v>1917</v>
      </c>
      <c r="E27764" s="2">
        <v>3461958</v>
      </c>
      <c r="F27764" s="4" t="e">
        <f>IF(B27764=#REF!,"",B27764)</f>
        <v>#REF!</v>
      </c>
    </row>
    <row r="27765" spans="1:6" ht="15.75" customHeight="1">
      <c r="A27765" s="16" t="s">
        <v>4699</v>
      </c>
      <c r="B27765" s="15" t="s">
        <v>4699</v>
      </c>
      <c r="C27765" s="16" t="s">
        <v>4487</v>
      </c>
      <c r="D27765" s="16" t="s">
        <v>4492</v>
      </c>
      <c r="E27765" s="2">
        <v>1809858</v>
      </c>
      <c r="F27765" s="4" t="e">
        <f>IF(B27765=#REF!,"",B27765)</f>
        <v>#REF!</v>
      </c>
    </row>
    <row r="27766" spans="1:6" ht="15.75" customHeight="1">
      <c r="A27766" s="16" t="s">
        <v>4698</v>
      </c>
      <c r="B27766" s="15" t="s">
        <v>4698</v>
      </c>
      <c r="C27766" s="16" t="s">
        <v>4487</v>
      </c>
      <c r="D27766" s="16" t="s">
        <v>4588</v>
      </c>
      <c r="E27766" s="2">
        <v>1806466</v>
      </c>
      <c r="F27766" s="4" t="e">
        <f>IF(B27766=#REF!,"",B27766)</f>
        <v>#REF!</v>
      </c>
    </row>
    <row r="27767" spans="1:6" ht="15.75" customHeight="1">
      <c r="A27767" s="16" t="s">
        <v>4697</v>
      </c>
      <c r="B27767" s="15" t="s">
        <v>4697</v>
      </c>
      <c r="C27767" s="16" t="s">
        <v>4487</v>
      </c>
      <c r="D27767" s="16" t="s">
        <v>4499</v>
      </c>
      <c r="E27767" s="2">
        <v>1809879</v>
      </c>
      <c r="F27767" s="4" t="e">
        <f>IF(B27767=#REF!,"",B27767)</f>
        <v>#REF!</v>
      </c>
    </row>
    <row r="27768" spans="1:6" ht="15.75" customHeight="1">
      <c r="A27768" s="16" t="s">
        <v>4696</v>
      </c>
      <c r="B27768" s="15" t="s">
        <v>4696</v>
      </c>
      <c r="C27768" s="16" t="s">
        <v>4487</v>
      </c>
      <c r="D27768" s="16" t="s">
        <v>4518</v>
      </c>
      <c r="E27768" s="2">
        <v>2034497</v>
      </c>
      <c r="F27768" s="4" t="e">
        <f>IF(B27768=#REF!,"",B27768)</f>
        <v>#REF!</v>
      </c>
    </row>
    <row r="27769" spans="1:6" ht="15.75" customHeight="1">
      <c r="A27769" s="15" t="s">
        <v>5845</v>
      </c>
      <c r="B27769" s="15" t="s">
        <v>5845</v>
      </c>
      <c r="C27769" s="15" t="s">
        <v>5764</v>
      </c>
      <c r="D27769" s="15" t="s">
        <v>5824</v>
      </c>
      <c r="E27769" s="2">
        <v>3557758</v>
      </c>
      <c r="F27769" s="4" t="e">
        <f>IF(B27769=#REF!,"",B27769)</f>
        <v>#REF!</v>
      </c>
    </row>
    <row r="27770" spans="1:6" ht="15.75" customHeight="1">
      <c r="A27770" s="15" t="s">
        <v>30697</v>
      </c>
      <c r="B27770" s="15" t="s">
        <v>30697</v>
      </c>
      <c r="C27770" s="15" t="s">
        <v>5923</v>
      </c>
      <c r="D27770" s="15" t="s">
        <v>30634</v>
      </c>
      <c r="E27770" s="2">
        <v>3640226</v>
      </c>
      <c r="F27770" s="4" t="e">
        <f>IF(B27770=#REF!,"",B27770)</f>
        <v>#REF!</v>
      </c>
    </row>
    <row r="27771" spans="1:6" ht="15.75" customHeight="1">
      <c r="A27771" s="16" t="s">
        <v>2518</v>
      </c>
      <c r="B27771" s="15" t="s">
        <v>2518</v>
      </c>
      <c r="C27771" s="16" t="s">
        <v>1905</v>
      </c>
      <c r="D27771" s="16" t="s">
        <v>1947</v>
      </c>
      <c r="E27771" s="2">
        <v>3461973</v>
      </c>
      <c r="F27771" s="4" t="e">
        <f>IF(B27771=#REF!,"",B27771)</f>
        <v>#REF!</v>
      </c>
    </row>
    <row r="27772" spans="1:6" ht="15.75" customHeight="1">
      <c r="A27772" s="16" t="s">
        <v>17713</v>
      </c>
      <c r="B27772" s="15" t="s">
        <v>17713</v>
      </c>
      <c r="C27772" s="16" t="s">
        <v>17707</v>
      </c>
      <c r="D27772" s="16" t="s">
        <v>17713</v>
      </c>
      <c r="E27772" s="2">
        <v>4005270</v>
      </c>
      <c r="F27772" s="4" t="e">
        <f>IF(B27772=#REF!,"",B27772)</f>
        <v>#REF!</v>
      </c>
    </row>
    <row r="27773" spans="1:6" ht="15.75" customHeight="1">
      <c r="A27773" s="15" t="s">
        <v>5844</v>
      </c>
      <c r="B27773" s="15" t="s">
        <v>5844</v>
      </c>
      <c r="C27773" s="15" t="s">
        <v>5764</v>
      </c>
      <c r="D27773" s="15" t="s">
        <v>5771</v>
      </c>
      <c r="E27773" s="2">
        <v>3557801</v>
      </c>
      <c r="F27773" s="4" t="e">
        <f>IF(B27773=#REF!,"",B27773)</f>
        <v>#REF!</v>
      </c>
    </row>
    <row r="27774" spans="1:6" ht="15.75" customHeight="1">
      <c r="A27774" s="16" t="s">
        <v>5843</v>
      </c>
      <c r="B27774" s="15" t="s">
        <v>5843</v>
      </c>
      <c r="C27774" s="16" t="s">
        <v>5764</v>
      </c>
      <c r="D27774" s="16" t="s">
        <v>5768</v>
      </c>
      <c r="E27774" s="2">
        <v>3557846</v>
      </c>
      <c r="F27774" s="4" t="str">
        <f>IF(B27774=B27773,"",B27774)</f>
        <v>Guanabacoa</v>
      </c>
    </row>
    <row r="27775" spans="1:6" ht="15.75" customHeight="1">
      <c r="A27775" s="16" t="str">
        <f ca="1">IFERROR(__xludf.DUMMYFUNCTION("GOOGLETRANSLATE(B37288,""en"",""pt"")"),"Guamúchil")</f>
        <v>Guamúchil</v>
      </c>
      <c r="B27775" s="20" t="s">
        <v>34767</v>
      </c>
      <c r="C27775" s="20" t="s">
        <v>17707</v>
      </c>
      <c r="D27775" s="20" t="s">
        <v>17916</v>
      </c>
      <c r="E27775" s="10">
        <v>4005297</v>
      </c>
      <c r="F27775" s="4" t="str">
        <f>IF(B27775=B27774,"",B27775)</f>
        <v>Guamúchil</v>
      </c>
    </row>
    <row r="27776" spans="1:6" ht="15.75" customHeight="1">
      <c r="A27776" s="16" t="s">
        <v>17958</v>
      </c>
      <c r="B27776" s="15" t="s">
        <v>17959</v>
      </c>
      <c r="C27776" s="16" t="s">
        <v>17707</v>
      </c>
      <c r="D27776" s="16" t="s">
        <v>17916</v>
      </c>
      <c r="E27776" s="2">
        <v>4005297</v>
      </c>
      <c r="F27776" s="4" t="e">
        <f>IF(B27776=#REF!,"",B27776)</f>
        <v>#REF!</v>
      </c>
    </row>
    <row r="27777" spans="1:6" ht="15.75" customHeight="1">
      <c r="A27777" s="16" t="s">
        <v>9685</v>
      </c>
      <c r="B27777" s="15" t="s">
        <v>9686</v>
      </c>
      <c r="C27777" s="16" t="s">
        <v>9683</v>
      </c>
      <c r="D27777" s="16" t="s">
        <v>9687</v>
      </c>
      <c r="E27777" s="2">
        <v>4043547</v>
      </c>
      <c r="F27777" s="4" t="str">
        <f>IF(B27777=B27776,"",B27777)</f>
        <v>Guam Government House</v>
      </c>
    </row>
    <row r="27778" spans="1:6" ht="15.75" customHeight="1">
      <c r="A27778" s="16" t="str">
        <f ca="1">IFERROR(__xludf.DUMMYFUNCTION("GOOGLETRANSLATE(B23208,""en"",""pt"")"),"GualEguaychú")</f>
        <v>GualEguaychú</v>
      </c>
      <c r="B27778" s="20" t="s">
        <v>31170</v>
      </c>
      <c r="C27778" s="20" t="s">
        <v>558</v>
      </c>
      <c r="D27778" s="20" t="s">
        <v>611</v>
      </c>
      <c r="E27778" s="10">
        <v>3433658</v>
      </c>
      <c r="F27778" s="4" t="str">
        <f>IF(B27778=B27777,"",B27778)</f>
        <v>Gualeguaychú</v>
      </c>
    </row>
    <row r="27779" spans="1:6" ht="15.75" customHeight="1">
      <c r="A27779" s="16" t="s">
        <v>679</v>
      </c>
      <c r="B27779" s="15" t="s">
        <v>680</v>
      </c>
      <c r="C27779" s="16" t="s">
        <v>558</v>
      </c>
      <c r="D27779" s="16" t="s">
        <v>611</v>
      </c>
      <c r="E27779" s="2">
        <v>3433658</v>
      </c>
      <c r="F27779" s="4" t="e">
        <f>IF(B27779=#REF!,"",B27779)</f>
        <v>#REF!</v>
      </c>
    </row>
    <row r="27780" spans="1:6" ht="15.75" customHeight="1">
      <c r="A27780" s="16" t="s">
        <v>677</v>
      </c>
      <c r="B27780" s="15" t="s">
        <v>678</v>
      </c>
      <c r="C27780" s="16" t="s">
        <v>558</v>
      </c>
      <c r="D27780" s="16" t="s">
        <v>611</v>
      </c>
      <c r="E27780" s="2">
        <v>3433663</v>
      </c>
      <c r="F27780" s="4" t="str">
        <f>IF(B27780=B27779,"",B27780)</f>
        <v>Gualeguay</v>
      </c>
    </row>
    <row r="27781" spans="1:6" ht="15.75" customHeight="1">
      <c r="A27781" s="16" t="str">
        <f ca="1">IFERROR(__xludf.DUMMYFUNCTION("GOOGLETRANSLATE(B31117,""en"",""pt"")"),"Gualán")</f>
        <v>Gualán</v>
      </c>
      <c r="B27781" s="20" t="s">
        <v>32787</v>
      </c>
      <c r="C27781" s="20" t="s">
        <v>9700</v>
      </c>
      <c r="D27781" s="20" t="s">
        <v>9743</v>
      </c>
      <c r="E27781" s="10">
        <v>3595560</v>
      </c>
      <c r="F27781" s="4" t="e">
        <f>IF(B27781=#REF!,"",B27781)</f>
        <v>#REF!</v>
      </c>
    </row>
    <row r="27782" spans="1:6" ht="15.75" customHeight="1">
      <c r="A27782" s="15" t="s">
        <v>6427</v>
      </c>
      <c r="B27782" s="15" t="s">
        <v>6427</v>
      </c>
      <c r="C27782" s="15" t="s">
        <v>6398</v>
      </c>
      <c r="D27782" s="15" t="s">
        <v>6423</v>
      </c>
      <c r="E27782" s="2">
        <v>3657670</v>
      </c>
      <c r="F27782" s="4" t="str">
        <f>IF(B27782=B27781,"",B27782)</f>
        <v>Gualaceo</v>
      </c>
    </row>
    <row r="27783" spans="1:6" ht="15.75" customHeight="1">
      <c r="A27783" s="15" t="s">
        <v>9741</v>
      </c>
      <c r="B27783" s="15" t="s">
        <v>9742</v>
      </c>
      <c r="C27783" s="15" t="s">
        <v>9700</v>
      </c>
      <c r="D27783" s="15" t="s">
        <v>9743</v>
      </c>
      <c r="E27783" s="2">
        <v>3595560</v>
      </c>
      <c r="F27783" s="4" t="str">
        <f>IF(B27783=B27782,"",B27783)</f>
        <v>GualÃ¡n</v>
      </c>
    </row>
    <row r="27784" spans="1:6" ht="15.75" customHeight="1">
      <c r="A27784" s="16" t="s">
        <v>2516</v>
      </c>
      <c r="B27784" s="15" t="s">
        <v>2517</v>
      </c>
      <c r="C27784" s="16" t="s">
        <v>1905</v>
      </c>
      <c r="D27784" s="16" t="s">
        <v>2038</v>
      </c>
      <c r="E27784" s="2">
        <v>3925075</v>
      </c>
      <c r="F27784" s="4" t="str">
        <f>IF(B27784=B27783,"",B27784)</f>
        <v>GuajarÃ¡ Mirim</v>
      </c>
    </row>
    <row r="27785" spans="1:6" ht="15.75" customHeight="1">
      <c r="A27785" s="16" t="str">
        <f ca="1">IFERROR(__xludf.DUMMYFUNCTION("GOOGLETRANSLATE(B25330,""en"",""pt"")"),"Guajará Mirim")</f>
        <v>Guajará Mirim</v>
      </c>
      <c r="B27785" s="20" t="s">
        <v>2516</v>
      </c>
      <c r="C27785" s="20" t="s">
        <v>1905</v>
      </c>
      <c r="D27785" s="20" t="s">
        <v>31741</v>
      </c>
      <c r="E27785" s="10">
        <v>3925075</v>
      </c>
      <c r="F27785" s="4" t="str">
        <f>IF(B27785=B27784,"",B27785)</f>
        <v>Guajará Mirim</v>
      </c>
    </row>
    <row r="27786" spans="1:6" ht="15.75" customHeight="1">
      <c r="A27786" s="16" t="str">
        <f ca="1">IFERROR(__xludf.DUMMYFUNCTION("GOOGLETRANSLATE(B24316,""en"",""pt"")"),"Guaiúba")</f>
        <v>Guaiúba</v>
      </c>
      <c r="B27786" s="20" t="s">
        <v>31397</v>
      </c>
      <c r="C27786" s="20" t="s">
        <v>1905</v>
      </c>
      <c r="D27786" s="20" t="s">
        <v>31345</v>
      </c>
      <c r="E27786" s="10">
        <v>3398614</v>
      </c>
      <c r="F27786" s="4" t="str">
        <f>IF(B27786=B27785,"",B27786)</f>
        <v>Guaiúba</v>
      </c>
    </row>
    <row r="27787" spans="1:6" ht="15.75" customHeight="1">
      <c r="A27787" s="16" t="str">
        <f ca="1">IFERROR(__xludf.DUMMYFUNCTION("GOOGLETRANSLATE(B25017,""en"",""pt"")"),"Guaíra")</f>
        <v>Guaíra</v>
      </c>
      <c r="B27787" s="20" t="s">
        <v>31653</v>
      </c>
      <c r="C27787" s="20" t="s">
        <v>1905</v>
      </c>
      <c r="D27787" s="20" t="s">
        <v>3354</v>
      </c>
      <c r="E27787" s="10">
        <v>3461995</v>
      </c>
      <c r="F27787" s="4" t="str">
        <f>IF(B27787=B27786,"",B27787)</f>
        <v>Guaíra</v>
      </c>
    </row>
    <row r="27788" spans="1:6" ht="15.75" customHeight="1">
      <c r="A27788" s="16" t="str">
        <f ca="1">IFERROR(__xludf.DUMMYFUNCTION("GOOGLETRANSLATE(B27175,""en"",""pt"")"),"Guáimaro")</f>
        <v>Guáimaro</v>
      </c>
      <c r="B27788" s="20" t="s">
        <v>31922</v>
      </c>
      <c r="C27788" s="20" t="s">
        <v>5764</v>
      </c>
      <c r="D27788" s="20" t="s">
        <v>31904</v>
      </c>
      <c r="E27788" s="10">
        <v>3557923</v>
      </c>
      <c r="F27788" s="4" t="str">
        <f>IF(B27788=B27787,"",B27788)</f>
        <v>Guáimaro</v>
      </c>
    </row>
    <row r="27789" spans="1:6" ht="15.75" customHeight="1">
      <c r="A27789" s="16" t="str">
        <f ca="1">IFERROR(__xludf.DUMMYFUNCTION("GOOGLETRANSLATE(B25304,""en"",""pt"")"),"Guaíba")</f>
        <v>Guaíba</v>
      </c>
      <c r="B27789" s="20" t="s">
        <v>31738</v>
      </c>
      <c r="C27789" s="20" t="s">
        <v>1905</v>
      </c>
      <c r="D27789" s="20" t="s">
        <v>1951</v>
      </c>
      <c r="E27789" s="10">
        <v>3473964</v>
      </c>
      <c r="F27789" s="4" t="str">
        <f>IF(B27789=B27788,"",B27789)</f>
        <v>Guaíba</v>
      </c>
    </row>
    <row r="27790" spans="1:6" ht="15.75" customHeight="1">
      <c r="A27790" s="16" t="s">
        <v>2514</v>
      </c>
      <c r="B27790" s="15" t="s">
        <v>2515</v>
      </c>
      <c r="C27790" s="16" t="s">
        <v>1905</v>
      </c>
      <c r="D27790" s="16" t="s">
        <v>1930</v>
      </c>
      <c r="E27790" s="2">
        <v>3398614</v>
      </c>
      <c r="F27790" s="4" t="e">
        <f>IF(B27790=#REF!,"",B27790)</f>
        <v>#REF!</v>
      </c>
    </row>
    <row r="27791" spans="1:6" ht="15.75" customHeight="1">
      <c r="A27791" s="15" t="s">
        <v>24497</v>
      </c>
      <c r="B27791" s="15" t="s">
        <v>24497</v>
      </c>
      <c r="C27791" s="15" t="s">
        <v>24200</v>
      </c>
      <c r="D27791" s="15" t="s">
        <v>24205</v>
      </c>
      <c r="E27791" s="2">
        <v>2516925</v>
      </c>
      <c r="F27791" s="4" t="e">
        <f>IF(B27791=#REF!,"",B27791)</f>
        <v>#REF!</v>
      </c>
    </row>
    <row r="27792" spans="1:6" ht="15.75" customHeight="1">
      <c r="A27792" s="16" t="s">
        <v>17957</v>
      </c>
      <c r="B27792" s="15" t="s">
        <v>17957</v>
      </c>
      <c r="C27792" s="16" t="s">
        <v>17707</v>
      </c>
      <c r="D27792" s="16" t="s">
        <v>17932</v>
      </c>
      <c r="E27792" s="2">
        <v>3979505</v>
      </c>
      <c r="F27792" s="4" t="e">
        <f>IF(B27792=#REF!,"",B27792)</f>
        <v>#REF!</v>
      </c>
    </row>
    <row r="27793" spans="1:6" ht="15.75" customHeight="1">
      <c r="A27793" s="16" t="s">
        <v>5682</v>
      </c>
      <c r="B27793" s="15" t="s">
        <v>5682</v>
      </c>
      <c r="C27793" s="16" t="s">
        <v>5665</v>
      </c>
      <c r="D27793" s="16" t="s">
        <v>5668</v>
      </c>
      <c r="E27793" s="2">
        <v>3623593</v>
      </c>
      <c r="F27793" s="4" t="e">
        <f>IF(B27793=#REF!,"",B27793)</f>
        <v>#REF!</v>
      </c>
    </row>
    <row r="27794" spans="1:6" ht="15.75" customHeight="1">
      <c r="A27794" s="16" t="s">
        <v>17956</v>
      </c>
      <c r="B27794" s="15" t="s">
        <v>17956</v>
      </c>
      <c r="C27794" s="16" t="s">
        <v>17707</v>
      </c>
      <c r="D27794" s="16" t="s">
        <v>17746</v>
      </c>
      <c r="E27794" s="2">
        <v>4005539</v>
      </c>
      <c r="F27794" s="4" t="str">
        <f>IF(B27794=B27793,"",B27794)</f>
        <v>Guadalajara</v>
      </c>
    </row>
    <row r="27795" spans="1:6" ht="15.75" customHeight="1">
      <c r="A27795" s="16" t="str">
        <f ca="1">IFERROR(__xludf.DUMMYFUNCTION("GOOGLETRANSLATE(B25018,""en"",""pt"")"),"Guaçuí")</f>
        <v>Guaçuí</v>
      </c>
      <c r="B27795" s="20" t="s">
        <v>31654</v>
      </c>
      <c r="C27795" s="20" t="s">
        <v>1905</v>
      </c>
      <c r="D27795" s="20" t="s">
        <v>31426</v>
      </c>
      <c r="E27795" s="10">
        <v>3462022</v>
      </c>
      <c r="F27795" s="4" t="str">
        <f>IF(B27795=B27794,"",B27795)</f>
        <v>Guaçuí</v>
      </c>
    </row>
    <row r="27796" spans="1:6" ht="15.75" customHeight="1">
      <c r="A27796" s="16" t="str">
        <f ca="1">IFERROR(__xludf.DUMMYFUNCTION("GOOGLETRANSLATE(B26971,""en"",""pt"")"),"Guacarí")</f>
        <v>Guacarí</v>
      </c>
      <c r="B27796" s="20" t="s">
        <v>31870</v>
      </c>
      <c r="C27796" s="20" t="s">
        <v>5348</v>
      </c>
      <c r="D27796" s="20" t="s">
        <v>5360</v>
      </c>
      <c r="E27796" s="10">
        <v>3681797</v>
      </c>
      <c r="F27796" s="4" t="str">
        <f>IF(B27796=B27795,"",B27796)</f>
        <v>Guacarí</v>
      </c>
    </row>
    <row r="27797" spans="1:6" ht="15.75" customHeight="1">
      <c r="A27797" s="15" t="s">
        <v>5485</v>
      </c>
      <c r="B27797" s="15" t="s">
        <v>5486</v>
      </c>
      <c r="C27797" s="15" t="s">
        <v>5348</v>
      </c>
      <c r="D27797" s="15" t="s">
        <v>5360</v>
      </c>
      <c r="E27797" s="2">
        <v>3681797</v>
      </c>
      <c r="F27797" s="4" t="e">
        <f>IF(B27797=#REF!,"",B27797)</f>
        <v>#REF!</v>
      </c>
    </row>
    <row r="27798" spans="1:6" ht="15.75" customHeight="1">
      <c r="A27798" s="15" t="s">
        <v>30696</v>
      </c>
      <c r="B27798" s="15" t="s">
        <v>30696</v>
      </c>
      <c r="C27798" s="15" t="s">
        <v>5923</v>
      </c>
      <c r="D27798" s="15" t="s">
        <v>30693</v>
      </c>
      <c r="E27798" s="2">
        <v>3640465</v>
      </c>
      <c r="F27798" s="4" t="e">
        <f>IF(B27798=#REF!,"",B27798)</f>
        <v>#REF!</v>
      </c>
    </row>
    <row r="27799" spans="1:6" ht="15.75" customHeight="1">
      <c r="A27799" s="16" t="s">
        <v>17955</v>
      </c>
      <c r="B27799" s="15" t="s">
        <v>17955</v>
      </c>
      <c r="C27799" s="16" t="s">
        <v>17707</v>
      </c>
      <c r="D27799" s="16" t="s">
        <v>17761</v>
      </c>
      <c r="E27799" s="2">
        <v>4026075</v>
      </c>
      <c r="F27799" s="4" t="str">
        <f>IF(B27799=B27798,"",B27799)</f>
        <v>Guacamayas</v>
      </c>
    </row>
    <row r="27800" spans="1:6" ht="15.75" customHeight="1">
      <c r="A27800" s="15" t="s">
        <v>2512</v>
      </c>
      <c r="B27800" s="15" t="s">
        <v>2513</v>
      </c>
      <c r="C27800" s="15" t="s">
        <v>1905</v>
      </c>
      <c r="D27800" s="15" t="s">
        <v>1914</v>
      </c>
      <c r="E27800" s="2">
        <v>3461995</v>
      </c>
      <c r="F27800" s="4" t="str">
        <f>IF(B27800=B27799,"",B27800)</f>
        <v>GuaÃ­ra</v>
      </c>
    </row>
    <row r="27801" spans="1:6" ht="15.75" customHeight="1">
      <c r="A27801" s="15" t="s">
        <v>2510</v>
      </c>
      <c r="B27801" s="15" t="s">
        <v>2511</v>
      </c>
      <c r="C27801" s="15" t="s">
        <v>1905</v>
      </c>
      <c r="D27801" s="15" t="s">
        <v>1951</v>
      </c>
      <c r="E27801" s="2">
        <v>3473964</v>
      </c>
      <c r="F27801" s="4" t="str">
        <f>IF(B27801=B27800,"",B27801)</f>
        <v>GuaÃ­ba</v>
      </c>
    </row>
    <row r="27802" spans="1:6" ht="15.75" customHeight="1">
      <c r="A27802" s="15" t="s">
        <v>2508</v>
      </c>
      <c r="B27802" s="15" t="s">
        <v>2509</v>
      </c>
      <c r="C27802" s="15" t="s">
        <v>1905</v>
      </c>
      <c r="D27802" s="15" t="s">
        <v>1949</v>
      </c>
      <c r="E27802" s="2">
        <v>3462022</v>
      </c>
      <c r="F27802" s="4" t="str">
        <f>IF(B27802=B27801,"",B27802)</f>
        <v>GuaÃ§uÃ­</v>
      </c>
    </row>
    <row r="27803" spans="1:6" ht="15.75" customHeight="1">
      <c r="A27803" s="16" t="s">
        <v>24495</v>
      </c>
      <c r="B27803" s="15" t="s">
        <v>24496</v>
      </c>
      <c r="C27803" s="16" t="s">
        <v>24200</v>
      </c>
      <c r="D27803" s="16" t="s">
        <v>24212</v>
      </c>
      <c r="E27803" s="2">
        <v>2516860</v>
      </c>
      <c r="F27803" s="4" t="str">
        <f>IF(B27803=B27802,"",B27803)</f>
        <v>GuÃ­a de Isora</v>
      </c>
    </row>
    <row r="27804" spans="1:6" ht="15.75" customHeight="1">
      <c r="A27804" s="15" t="s">
        <v>7384</v>
      </c>
      <c r="B27804" s="15" t="s">
        <v>7385</v>
      </c>
      <c r="C27804" s="15" t="s">
        <v>7052</v>
      </c>
      <c r="D27804" s="15" t="s">
        <v>7084</v>
      </c>
      <c r="E27804" s="2">
        <v>3014383</v>
      </c>
      <c r="F27804" s="4" t="str">
        <f>IF(B27804=B27803,"",B27804)</f>
        <v>GuÃ©ret</v>
      </c>
    </row>
    <row r="27805" spans="1:6" ht="15.75" customHeight="1">
      <c r="A27805" s="16" t="s">
        <v>7382</v>
      </c>
      <c r="B27805" s="15" t="s">
        <v>7383</v>
      </c>
      <c r="C27805" s="16" t="s">
        <v>7052</v>
      </c>
      <c r="D27805" s="16" t="s">
        <v>7102</v>
      </c>
      <c r="E27805" s="2">
        <v>3014392</v>
      </c>
      <c r="F27805" s="4" t="str">
        <f>IF(B27805=B27804,"",B27805)</f>
        <v>GuÃ©rande</v>
      </c>
    </row>
    <row r="27806" spans="1:6" ht="15.75" customHeight="1">
      <c r="A27806" s="15" t="s">
        <v>5679</v>
      </c>
      <c r="B27806" s="15" t="s">
        <v>5680</v>
      </c>
      <c r="C27806" s="15" t="s">
        <v>5665</v>
      </c>
      <c r="D27806" s="15" t="s">
        <v>5681</v>
      </c>
      <c r="E27806" s="2">
        <v>3623580</v>
      </c>
      <c r="F27806" s="4" t="str">
        <f>IF(B27806=B27805,"",B27806)</f>
        <v>GuÃ¡piles</v>
      </c>
    </row>
    <row r="27807" spans="1:6" ht="15.75" customHeight="1">
      <c r="A27807" s="16" t="s">
        <v>5841</v>
      </c>
      <c r="B27807" s="15" t="s">
        <v>5842</v>
      </c>
      <c r="C27807" s="16" t="s">
        <v>5764</v>
      </c>
      <c r="D27807" s="16" t="s">
        <v>5806</v>
      </c>
      <c r="E27807" s="2">
        <v>3557923</v>
      </c>
      <c r="F27807" s="4" t="e">
        <f>IF(B27807=#REF!,"",B27807)</f>
        <v>#REF!</v>
      </c>
    </row>
    <row r="27808" spans="1:6" ht="15.75" customHeight="1">
      <c r="A27808" s="16" t="s">
        <v>17468</v>
      </c>
      <c r="B27808" s="15" t="s">
        <v>17468</v>
      </c>
      <c r="C27808" s="16" t="s">
        <v>17432</v>
      </c>
      <c r="D27808" s="16" t="s">
        <v>17469</v>
      </c>
      <c r="E27808" s="2">
        <v>1734651</v>
      </c>
      <c r="F27808" s="4" t="e">
        <f>IF(B27808=#REF!,"",B27808)</f>
        <v>#REF!</v>
      </c>
    </row>
    <row r="27809" spans="1:6" ht="15.75" customHeight="1">
      <c r="A27809" s="15" t="s">
        <v>24021</v>
      </c>
      <c r="B27809" s="15" t="s">
        <v>24021</v>
      </c>
      <c r="C27809" s="15" t="s">
        <v>24022</v>
      </c>
      <c r="D27809" s="15" t="s">
        <v>551</v>
      </c>
      <c r="E27809" s="2">
        <v>3426466</v>
      </c>
      <c r="F27809" s="4" t="e">
        <f>IF(B27809=#REF!,"",B27809)</f>
        <v>#REF!</v>
      </c>
    </row>
    <row r="27810" spans="1:6" ht="15.75" customHeight="1">
      <c r="A27810" s="15" t="s">
        <v>21244</v>
      </c>
      <c r="B27810" s="15" t="s">
        <v>21244</v>
      </c>
      <c r="C27810" s="15" t="s">
        <v>21064</v>
      </c>
      <c r="D27810" s="15" t="s">
        <v>21121</v>
      </c>
      <c r="E27810" s="2">
        <v>3098200</v>
      </c>
      <c r="F27810" s="4" t="e">
        <f>IF(B27810=#REF!,"",B27810)</f>
        <v>#REF!</v>
      </c>
    </row>
    <row r="27811" spans="1:6" ht="15.75" customHeight="1">
      <c r="A27811" s="15" t="s">
        <v>21243</v>
      </c>
      <c r="B27811" s="15" t="s">
        <v>21243</v>
      </c>
      <c r="C27811" s="15" t="s">
        <v>21064</v>
      </c>
      <c r="D27811" s="15" t="s">
        <v>21121</v>
      </c>
      <c r="E27811" s="2">
        <v>3098201</v>
      </c>
      <c r="F27811" s="4" t="e">
        <f>IF(B27811=#REF!,"",B27811)</f>
        <v>#REF!</v>
      </c>
    </row>
    <row r="27812" spans="1:6" ht="15.75" customHeight="1">
      <c r="A27812" s="16" t="s">
        <v>22410</v>
      </c>
      <c r="B27812" s="15" t="s">
        <v>22410</v>
      </c>
      <c r="C27812" s="16" t="s">
        <v>22070</v>
      </c>
      <c r="D27812" s="16" t="s">
        <v>22300</v>
      </c>
      <c r="E27812" s="2">
        <v>558236</v>
      </c>
      <c r="F27812" s="4" t="e">
        <f>IF(B27812=#REF!,"",B27812)</f>
        <v>#REF!</v>
      </c>
    </row>
    <row r="27813" spans="1:6" ht="15.75" customHeight="1">
      <c r="A27813" s="15" t="s">
        <v>22409</v>
      </c>
      <c r="B27813" s="15" t="s">
        <v>22409</v>
      </c>
      <c r="C27813" s="15" t="s">
        <v>22070</v>
      </c>
      <c r="D27813" s="15" t="s">
        <v>22328</v>
      </c>
      <c r="E27813" s="2">
        <v>558312</v>
      </c>
      <c r="F27813" s="4" t="e">
        <f>IF(B27813=#REF!,"",B27813)</f>
        <v>#REF!</v>
      </c>
    </row>
    <row r="27814" spans="1:6" ht="15.75" customHeight="1">
      <c r="A27814" s="16" t="s">
        <v>15192</v>
      </c>
      <c r="B27814" s="15" t="s">
        <v>15193</v>
      </c>
      <c r="C27814" s="16" t="s">
        <v>14891</v>
      </c>
      <c r="D27814" s="16" t="s">
        <v>14896</v>
      </c>
      <c r="E27814" s="2">
        <v>3175743</v>
      </c>
      <c r="F27814" s="4" t="e">
        <f>IF(B27814=#REF!,"",B27814)</f>
        <v>#REF!</v>
      </c>
    </row>
    <row r="27815" spans="1:6" ht="15.75" customHeight="1">
      <c r="A27815" s="16" t="s">
        <v>15191</v>
      </c>
      <c r="B27815" s="15" t="s">
        <v>15191</v>
      </c>
      <c r="C27815" s="16" t="s">
        <v>14891</v>
      </c>
      <c r="D27815" s="16" t="s">
        <v>14911</v>
      </c>
      <c r="E27815" s="2">
        <v>3175755</v>
      </c>
      <c r="F27815" s="4" t="str">
        <f>IF(B27815=B27814,"",B27815)</f>
        <v>Grugliasco</v>
      </c>
    </row>
    <row r="27816" spans="1:6" ht="15.75" customHeight="1">
      <c r="A27816" s="16" t="str">
        <f ca="1">IFERROR(__xludf.DUMMYFUNCTION("GOOGLETRANSLATE(B39453,""en"",""pt"")"),"Grudziądz")</f>
        <v>Grudziądz</v>
      </c>
      <c r="B27816" s="20" t="s">
        <v>35224</v>
      </c>
      <c r="C27816" s="20" t="s">
        <v>21064</v>
      </c>
      <c r="D27816" s="20" t="s">
        <v>21125</v>
      </c>
      <c r="E27816" s="10">
        <v>3098218</v>
      </c>
      <c r="F27816" s="4" t="str">
        <f>IF(B27816=B27815,"",B27816)</f>
        <v>Grudziądz</v>
      </c>
    </row>
    <row r="27817" spans="1:6" ht="15.75" customHeight="1">
      <c r="A27817" s="16" t="s">
        <v>21241</v>
      </c>
      <c r="B27817" s="15" t="s">
        <v>21242</v>
      </c>
      <c r="C27817" s="16" t="s">
        <v>21064</v>
      </c>
      <c r="D27817" s="16" t="s">
        <v>21125</v>
      </c>
      <c r="E27817" s="2">
        <v>3098218</v>
      </c>
      <c r="F27817" s="4" t="e">
        <f>IF(B27817=#REF!,"",B27817)</f>
        <v>#REF!</v>
      </c>
    </row>
    <row r="27818" spans="1:6" ht="15.75" customHeight="1">
      <c r="A27818" s="15" t="s">
        <v>22408</v>
      </c>
      <c r="B27818" s="15" t="s">
        <v>22408</v>
      </c>
      <c r="C27818" s="15" t="s">
        <v>22070</v>
      </c>
      <c r="D27818" s="15" t="s">
        <v>22081</v>
      </c>
      <c r="E27818" s="2">
        <v>558418</v>
      </c>
      <c r="F27818" s="4" t="e">
        <f>IF(B27818=#REF!,"",B27818)</f>
        <v>#REF!</v>
      </c>
    </row>
    <row r="27819" spans="1:6" ht="15.75" customHeight="1">
      <c r="A27819" s="15" t="s">
        <v>28811</v>
      </c>
      <c r="B27819" s="15" t="s">
        <v>28811</v>
      </c>
      <c r="C27819" s="15" t="s">
        <v>27788</v>
      </c>
      <c r="D27819" s="15" t="s">
        <v>27792</v>
      </c>
      <c r="E27819" s="2">
        <v>4695317</v>
      </c>
      <c r="F27819" s="4" t="e">
        <f>IF(B27819=#REF!,"",B27819)</f>
        <v>#REF!</v>
      </c>
    </row>
    <row r="27820" spans="1:6" ht="15.75" customHeight="1">
      <c r="A27820" s="16" t="s">
        <v>28810</v>
      </c>
      <c r="B27820" s="15" t="s">
        <v>28810</v>
      </c>
      <c r="C27820" s="16" t="s">
        <v>27788</v>
      </c>
      <c r="D27820" s="16" t="s">
        <v>27813</v>
      </c>
      <c r="E27820" s="2">
        <v>4513409</v>
      </c>
      <c r="F27820" s="4" t="e">
        <f>IF(B27820=#REF!,"",B27820)</f>
        <v>#REF!</v>
      </c>
    </row>
    <row r="27821" spans="1:6" ht="15.75" customHeight="1">
      <c r="A27821" s="16" t="s">
        <v>15190</v>
      </c>
      <c r="B27821" s="15" t="s">
        <v>15190</v>
      </c>
      <c r="C27821" s="16" t="s">
        <v>14891</v>
      </c>
      <c r="D27821" s="16" t="s">
        <v>14908</v>
      </c>
      <c r="E27821" s="2">
        <v>3175773</v>
      </c>
      <c r="F27821" s="4" t="e">
        <f>IF(B27821=#REF!,"",B27821)</f>
        <v>#REF!</v>
      </c>
    </row>
    <row r="27822" spans="1:6" ht="15.75" customHeight="1">
      <c r="A27822" s="16" t="s">
        <v>15189</v>
      </c>
      <c r="B27822" s="15" t="s">
        <v>15189</v>
      </c>
      <c r="C27822" s="16" t="s">
        <v>14891</v>
      </c>
      <c r="D27822" s="16" t="s">
        <v>14904</v>
      </c>
      <c r="E27822" s="2">
        <v>3175775</v>
      </c>
      <c r="F27822" s="4" t="str">
        <f>IF(B27822=B27821,"",B27822)</f>
        <v>Grottaferrata</v>
      </c>
    </row>
    <row r="27823" spans="1:6" ht="15.75" customHeight="1">
      <c r="A27823" s="16" t="str">
        <f ca="1">IFERROR(__xludf.DUMMYFUNCTION("GOOGLETRANSLATE(B28021,""en"",""pt"")"),"Groß-UMSTADT")</f>
        <v>Groß-UMSTADT</v>
      </c>
      <c r="B27823" s="20" t="s">
        <v>32097</v>
      </c>
      <c r="C27823" s="20" t="s">
        <v>8028</v>
      </c>
      <c r="D27823" s="20" t="s">
        <v>8050</v>
      </c>
      <c r="E27823" s="10">
        <v>2914929</v>
      </c>
      <c r="F27823" s="4" t="str">
        <f>IF(B27823=B27822,"",B27823)</f>
        <v>Groß-Umstadt</v>
      </c>
    </row>
    <row r="27824" spans="1:6" ht="15.75" customHeight="1">
      <c r="A27824" s="16" t="str">
        <f ca="1">IFERROR(__xludf.DUMMYFUNCTION("GOOGLETRANSLATE(B28022,""en"",""pt"")"),"Großostheim")</f>
        <v>Großostheim</v>
      </c>
      <c r="B27824" s="20" t="s">
        <v>32098</v>
      </c>
      <c r="C27824" s="20" t="s">
        <v>8028</v>
      </c>
      <c r="D27824" s="20" t="s">
        <v>8044</v>
      </c>
      <c r="E27824" s="10">
        <v>2915196</v>
      </c>
      <c r="F27824" s="4" t="str">
        <f>IF(B27824=B27823,"",B27824)</f>
        <v>Großostheim</v>
      </c>
    </row>
    <row r="27825" spans="1:6" ht="15.75" customHeight="1">
      <c r="A27825" s="16" t="str">
        <f ca="1">IFERROR(__xludf.DUMMYFUNCTION("GOOGLETRANSLATE(B28023,""en"",""pt"")"),"Groß-Gerau")</f>
        <v>Groß-Gerau</v>
      </c>
      <c r="B27825" s="20" t="s">
        <v>32099</v>
      </c>
      <c r="C27825" s="20" t="s">
        <v>8028</v>
      </c>
      <c r="D27825" s="20" t="s">
        <v>8050</v>
      </c>
      <c r="E27825" s="10">
        <v>2915613</v>
      </c>
      <c r="F27825" s="4" t="e">
        <f>IF(B27825=#REF!,"",B27825)</f>
        <v>#REF!</v>
      </c>
    </row>
    <row r="27826" spans="1:6" ht="15.75" customHeight="1">
      <c r="A27826" s="15" t="s">
        <v>15187</v>
      </c>
      <c r="B27826" s="15" t="s">
        <v>15188</v>
      </c>
      <c r="C27826" s="15" t="s">
        <v>14891</v>
      </c>
      <c r="D27826" s="15" t="s">
        <v>14943</v>
      </c>
      <c r="E27826" s="2">
        <v>3175786</v>
      </c>
      <c r="F27826" s="4" t="str">
        <f>IF(B27826=B27825,"",B27826)</f>
        <v>Grosseto</v>
      </c>
    </row>
    <row r="27827" spans="1:6" ht="15.75" customHeight="1">
      <c r="A27827" s="16" t="str">
        <f ca="1">IFERROR(__xludf.DUMMYFUNCTION("GOOGLETRANSLATE(B28024,""en"",""pt"")"),"Großenhain")</f>
        <v>Großenhain</v>
      </c>
      <c r="B27827" s="20" t="s">
        <v>32100</v>
      </c>
      <c r="C27827" s="20" t="s">
        <v>8028</v>
      </c>
      <c r="D27827" s="20" t="s">
        <v>8072</v>
      </c>
      <c r="E27827" s="10">
        <v>2916630</v>
      </c>
      <c r="F27827" s="4" t="e">
        <f>IF(B27827=#REF!,"",B27827)</f>
        <v>#REF!</v>
      </c>
    </row>
    <row r="27828" spans="1:6" ht="15.75" customHeight="1">
      <c r="A27828" s="16" t="s">
        <v>28809</v>
      </c>
      <c r="B27828" s="15" t="s">
        <v>28809</v>
      </c>
      <c r="C27828" s="16" t="s">
        <v>27788</v>
      </c>
      <c r="D27828" s="16" t="s">
        <v>27804</v>
      </c>
      <c r="E27828" s="2">
        <v>4994871</v>
      </c>
      <c r="F27828" s="4" t="e">
        <f>IF(B27828=#REF!,"",B27828)</f>
        <v>#REF!</v>
      </c>
    </row>
    <row r="27829" spans="1:6" ht="15.75" customHeight="1">
      <c r="A27829" s="16" t="s">
        <v>8499</v>
      </c>
      <c r="B27829" s="15" t="s">
        <v>8499</v>
      </c>
      <c r="C27829" s="16" t="s">
        <v>8028</v>
      </c>
      <c r="D27829" s="16" t="s">
        <v>8036</v>
      </c>
      <c r="E27829" s="2">
        <v>3337408</v>
      </c>
      <c r="F27829" s="4" t="e">
        <f>IF(B27829=#REF!,"",B27829)</f>
        <v>#REF!</v>
      </c>
    </row>
    <row r="27830" spans="1:6" ht="15.75" customHeight="1">
      <c r="A27830" s="16" t="s">
        <v>18775</v>
      </c>
      <c r="B27830" s="15" t="s">
        <v>18775</v>
      </c>
      <c r="C27830" s="16" t="s">
        <v>18773</v>
      </c>
      <c r="D27830" s="16" t="s">
        <v>18776</v>
      </c>
      <c r="E27830" s="2">
        <v>3357114</v>
      </c>
      <c r="F27830" s="4" t="e">
        <f>IF(B27830=#REF!,"",B27830)</f>
        <v>#REF!</v>
      </c>
    </row>
    <row r="27831" spans="1:6" ht="15.75" customHeight="1">
      <c r="A27831" s="16" t="s">
        <v>18935</v>
      </c>
      <c r="B27831" s="15" t="s">
        <v>18935</v>
      </c>
      <c r="C27831" s="16" t="s">
        <v>18862</v>
      </c>
      <c r="D27831" s="16" t="s">
        <v>18935</v>
      </c>
      <c r="E27831" s="2">
        <v>2755251</v>
      </c>
      <c r="F27831" s="4" t="e">
        <f>IF(B27831=#REF!,"",B27831)</f>
        <v>#REF!</v>
      </c>
    </row>
    <row r="27832" spans="1:6" ht="15.75" customHeight="1">
      <c r="A27832" s="15" t="s">
        <v>8497</v>
      </c>
      <c r="B27832" s="15" t="s">
        <v>8498</v>
      </c>
      <c r="C27832" s="15" t="s">
        <v>8028</v>
      </c>
      <c r="D27832" s="15" t="s">
        <v>8029</v>
      </c>
      <c r="E27832" s="2">
        <v>2917138</v>
      </c>
      <c r="F27832" s="4" t="e">
        <f>IF(B27832=#REF!,"",B27832)</f>
        <v>#REF!</v>
      </c>
    </row>
    <row r="27833" spans="1:6" ht="15.75" customHeight="1">
      <c r="A27833" s="15" t="s">
        <v>13933</v>
      </c>
      <c r="B27833" s="15" t="s">
        <v>13933</v>
      </c>
      <c r="C27833" s="15" t="s">
        <v>13800</v>
      </c>
      <c r="D27833" s="15" t="s">
        <v>13803</v>
      </c>
      <c r="E27833" s="2">
        <v>1643761</v>
      </c>
      <c r="F27833" s="4" t="e">
        <f>IF(B27833=#REF!,"",B27833)</f>
        <v>#REF!</v>
      </c>
    </row>
    <row r="27834" spans="1:6" ht="15.75" customHeight="1">
      <c r="A27834" s="16" t="s">
        <v>18976</v>
      </c>
      <c r="B27834" s="15" t="s">
        <v>18976</v>
      </c>
      <c r="C27834" s="16" t="s">
        <v>18862</v>
      </c>
      <c r="D27834" s="16" t="s">
        <v>18865</v>
      </c>
      <c r="E27834" s="2">
        <v>2755272</v>
      </c>
      <c r="F27834" s="4" t="e">
        <f>IF(B27834=#REF!,"",B27834)</f>
        <v>#REF!</v>
      </c>
    </row>
    <row r="27835" spans="1:6" ht="15.75" customHeight="1">
      <c r="A27835" s="16" t="s">
        <v>21240</v>
      </c>
      <c r="B27835" s="15" t="s">
        <v>21240</v>
      </c>
      <c r="C27835" s="16" t="s">
        <v>21064</v>
      </c>
      <c r="D27835" s="16" t="s">
        <v>21070</v>
      </c>
      <c r="E27835" s="2">
        <v>771401</v>
      </c>
      <c r="F27835" s="4" t="str">
        <f>IF(B27835=B27834,"",B27835)</f>
        <v>Grodzisk Mazowiecki</v>
      </c>
    </row>
    <row r="27836" spans="1:6" ht="15.75" customHeight="1">
      <c r="A27836" s="16" t="str">
        <f ca="1">IFERROR(__xludf.DUMMYFUNCTION("GOOGLETRANSLATE(B28026,""en"",""pt"")"),"Gröbenzell")</f>
        <v>Gröbenzell</v>
      </c>
      <c r="B27836" s="20" t="s">
        <v>32101</v>
      </c>
      <c r="C27836" s="20" t="s">
        <v>8028</v>
      </c>
      <c r="D27836" s="20" t="s">
        <v>8044</v>
      </c>
      <c r="E27836" s="10">
        <v>2917221</v>
      </c>
      <c r="F27836" s="4" t="str">
        <f>IF(B27836=B27835,"",B27836)</f>
        <v>Gröbenzell</v>
      </c>
    </row>
    <row r="27837" spans="1:6" ht="15.75" customHeight="1">
      <c r="A27837" s="16" t="s">
        <v>8495</v>
      </c>
      <c r="B27837" s="15" t="s">
        <v>8496</v>
      </c>
      <c r="C27837" s="16" t="s">
        <v>8028</v>
      </c>
      <c r="D27837" s="16" t="s">
        <v>8050</v>
      </c>
      <c r="E27837" s="2">
        <v>2914929</v>
      </c>
      <c r="F27837" s="4" t="str">
        <f>IF(B27837=B27836,"",B27837)</f>
        <v>GroÃŸ-Umstadt</v>
      </c>
    </row>
    <row r="27838" spans="1:6" ht="15.75" customHeight="1">
      <c r="A27838" s="16" t="s">
        <v>8493</v>
      </c>
      <c r="B27838" s="15" t="s">
        <v>8494</v>
      </c>
      <c r="C27838" s="16" t="s">
        <v>8028</v>
      </c>
      <c r="D27838" s="16" t="s">
        <v>8044</v>
      </c>
      <c r="E27838" s="2">
        <v>2915196</v>
      </c>
      <c r="F27838" s="4" t="str">
        <f>IF(B27838=B27837,"",B27838)</f>
        <v>GroÃŸostheim</v>
      </c>
    </row>
    <row r="27839" spans="1:6" ht="15.75" customHeight="1">
      <c r="A27839" s="16" t="s">
        <v>8491</v>
      </c>
      <c r="B27839" s="15" t="s">
        <v>8492</v>
      </c>
      <c r="C27839" s="16" t="s">
        <v>8028</v>
      </c>
      <c r="D27839" s="16" t="s">
        <v>8050</v>
      </c>
      <c r="E27839" s="2">
        <v>2915613</v>
      </c>
      <c r="F27839" s="4" t="str">
        <f>IF(B27839=B27838,"",B27839)</f>
        <v>GroÃŸ-Gerau</v>
      </c>
    </row>
    <row r="27840" spans="1:6" ht="15.75" customHeight="1">
      <c r="A27840" s="16" t="s">
        <v>8489</v>
      </c>
      <c r="B27840" s="15" t="s">
        <v>8490</v>
      </c>
      <c r="C27840" s="16" t="s">
        <v>8028</v>
      </c>
      <c r="D27840" s="16" t="s">
        <v>8072</v>
      </c>
      <c r="E27840" s="2">
        <v>2916630</v>
      </c>
      <c r="F27840" s="4" t="e">
        <f>IF(B27840=#REF!,"",B27840)</f>
        <v>#REF!</v>
      </c>
    </row>
    <row r="27841" spans="1:6" ht="15.75" customHeight="1">
      <c r="A27841" s="16" t="s">
        <v>24494</v>
      </c>
      <c r="B27841" s="15" t="s">
        <v>24494</v>
      </c>
      <c r="C27841" s="16" t="s">
        <v>24200</v>
      </c>
      <c r="D27841" s="16" t="s">
        <v>21053</v>
      </c>
      <c r="E27841" s="2">
        <v>2567529</v>
      </c>
      <c r="F27841" s="4" t="e">
        <f>IF(B27841=#REF!,"",B27841)</f>
        <v>#REF!</v>
      </c>
    </row>
    <row r="27842" spans="1:6" ht="15.75" customHeight="1">
      <c r="A27842" s="15" t="s">
        <v>8488</v>
      </c>
      <c r="B27842" s="15" t="s">
        <v>8488</v>
      </c>
      <c r="C27842" s="15" t="s">
        <v>8028</v>
      </c>
      <c r="D27842" s="15" t="s">
        <v>8072</v>
      </c>
      <c r="E27842" s="2">
        <v>2917325</v>
      </c>
      <c r="F27842" s="4" t="e">
        <f>IF(B27842=#REF!,"",B27842)</f>
        <v>#REF!</v>
      </c>
    </row>
    <row r="27843" spans="1:6" ht="15.75" customHeight="1">
      <c r="A27843" s="16" t="s">
        <v>1582</v>
      </c>
      <c r="B27843" s="15" t="s">
        <v>1582</v>
      </c>
      <c r="C27843" s="16" t="s">
        <v>1512</v>
      </c>
      <c r="D27843" s="16" t="s">
        <v>1513</v>
      </c>
      <c r="E27843" s="2">
        <v>2797114</v>
      </c>
      <c r="F27843" s="4" t="e">
        <f>IF(B27843=#REF!,"",B27843)</f>
        <v>#REF!</v>
      </c>
    </row>
    <row r="27844" spans="1:6" ht="15.75" customHeight="1">
      <c r="A27844" s="15" t="s">
        <v>7381</v>
      </c>
      <c r="B27844" s="15" t="s">
        <v>7381</v>
      </c>
      <c r="C27844" s="15" t="s">
        <v>7052</v>
      </c>
      <c r="D27844" s="15" t="s">
        <v>7058</v>
      </c>
      <c r="E27844" s="2">
        <v>3014646</v>
      </c>
      <c r="F27844" s="4" t="e">
        <f>IF(B27844=#REF!,"",B27844)</f>
        <v>#REF!</v>
      </c>
    </row>
    <row r="27845" spans="1:6" ht="15.75" customHeight="1">
      <c r="A27845" s="15" t="s">
        <v>995</v>
      </c>
      <c r="B27845" s="15" t="s">
        <v>995</v>
      </c>
      <c r="C27845" s="15" t="s">
        <v>885</v>
      </c>
      <c r="D27845" s="15" t="s">
        <v>891</v>
      </c>
      <c r="E27845" s="2">
        <v>2164422</v>
      </c>
      <c r="F27845" s="4" t="e">
        <f>IF(B27845=#REF!,"",B27845)</f>
        <v>#REF!</v>
      </c>
    </row>
    <row r="27846" spans="1:6" ht="15.75" customHeight="1">
      <c r="A27846" s="15" t="s">
        <v>28808</v>
      </c>
      <c r="B27846" s="15" t="s">
        <v>28808</v>
      </c>
      <c r="C27846" s="15" t="s">
        <v>27788</v>
      </c>
      <c r="D27846" s="15" t="s">
        <v>7988</v>
      </c>
      <c r="E27846" s="2">
        <v>4198322</v>
      </c>
      <c r="F27846" s="4" t="e">
        <f>IF(B27846=#REF!,"",B27846)</f>
        <v>#REF!</v>
      </c>
    </row>
    <row r="27847" spans="1:6" ht="15.75" customHeight="1">
      <c r="A27847" s="16" t="s">
        <v>8487</v>
      </c>
      <c r="B27847" s="15" t="s">
        <v>8487</v>
      </c>
      <c r="C27847" s="16" t="s">
        <v>8028</v>
      </c>
      <c r="D27847" s="16" t="s">
        <v>8050</v>
      </c>
      <c r="E27847" s="2">
        <v>2917412</v>
      </c>
      <c r="F27847" s="4" t="e">
        <f>IF(B27847=#REF!,"",B27847)</f>
        <v>#REF!</v>
      </c>
    </row>
    <row r="27848" spans="1:6" ht="15.75" customHeight="1">
      <c r="A27848" s="16" t="s">
        <v>22406</v>
      </c>
      <c r="B27848" s="15" t="s">
        <v>22407</v>
      </c>
      <c r="C27848" s="16" t="s">
        <v>22070</v>
      </c>
      <c r="D27848" s="16" t="s">
        <v>22137</v>
      </c>
      <c r="E27848" s="2">
        <v>558799</v>
      </c>
      <c r="F27848" s="4" t="e">
        <f>IF(B27848=#REF!,"",B27848)</f>
        <v>#REF!</v>
      </c>
    </row>
    <row r="27849" spans="1:6" ht="15.75" customHeight="1">
      <c r="A27849" s="16" t="s">
        <v>8486</v>
      </c>
      <c r="B27849" s="15" t="s">
        <v>8486</v>
      </c>
      <c r="C27849" s="16" t="s">
        <v>8028</v>
      </c>
      <c r="D27849" s="16" t="s">
        <v>8029</v>
      </c>
      <c r="E27849" s="2">
        <v>2917540</v>
      </c>
      <c r="F27849" s="4" t="e">
        <f>IF(B27849=#REF!,"",B27849)</f>
        <v>#REF!</v>
      </c>
    </row>
    <row r="27850" spans="1:6" ht="15.75" customHeight="1">
      <c r="A27850" s="15" t="s">
        <v>8485</v>
      </c>
      <c r="B27850" s="15" t="s">
        <v>8485</v>
      </c>
      <c r="C27850" s="15" t="s">
        <v>8028</v>
      </c>
      <c r="D27850" s="15" t="s">
        <v>8029</v>
      </c>
      <c r="E27850" s="2">
        <v>2917544</v>
      </c>
      <c r="F27850" s="4" t="e">
        <f>IF(B27850=#REF!,"",B27850)</f>
        <v>#REF!</v>
      </c>
    </row>
    <row r="27851" spans="1:6" ht="15.75" customHeight="1">
      <c r="A27851" s="15" t="s">
        <v>6231</v>
      </c>
      <c r="B27851" s="15" t="s">
        <v>6231</v>
      </c>
      <c r="C27851" s="15" t="s">
        <v>6209</v>
      </c>
      <c r="D27851" s="15" t="s">
        <v>6232</v>
      </c>
      <c r="E27851" s="2">
        <v>2621215</v>
      </c>
      <c r="F27851" s="4" t="e">
        <f>IF(B27851=#REF!,"",B27851)</f>
        <v>#REF!</v>
      </c>
    </row>
    <row r="27852" spans="1:6" ht="15.75" customHeight="1">
      <c r="A27852" s="15" t="s">
        <v>28807</v>
      </c>
      <c r="B27852" s="15" t="s">
        <v>28807</v>
      </c>
      <c r="C27852" s="15" t="s">
        <v>27788</v>
      </c>
      <c r="D27852" s="15" t="s">
        <v>27827</v>
      </c>
      <c r="E27852" s="2">
        <v>4326575</v>
      </c>
      <c r="F27852" s="4" t="e">
        <f>IF(B27852=#REF!,"",B27852)</f>
        <v>#REF!</v>
      </c>
    </row>
    <row r="27853" spans="1:6" ht="15.75" customHeight="1">
      <c r="A27853" s="15" t="s">
        <v>9878</v>
      </c>
      <c r="B27853" s="15" t="s">
        <v>9878</v>
      </c>
      <c r="C27853" s="15" t="s">
        <v>9866</v>
      </c>
      <c r="D27853" s="15" t="s">
        <v>9867</v>
      </c>
      <c r="E27853" s="2">
        <v>3724233</v>
      </c>
      <c r="F27853" s="4" t="e">
        <f>IF(B27853=#REF!,"",B27853)</f>
        <v>#REF!</v>
      </c>
    </row>
    <row r="27854" spans="1:6" ht="15.75" customHeight="1">
      <c r="A27854" s="15" t="s">
        <v>13932</v>
      </c>
      <c r="B27854" s="15" t="s">
        <v>13932</v>
      </c>
      <c r="C27854" s="15" t="s">
        <v>13800</v>
      </c>
      <c r="D27854" s="15" t="s">
        <v>13816</v>
      </c>
      <c r="E27854" s="2">
        <v>1643776</v>
      </c>
      <c r="F27854" s="4" t="e">
        <f>IF(B27854=#REF!,"",B27854)</f>
        <v>#REF!</v>
      </c>
    </row>
    <row r="27855" spans="1:6" ht="15.75" customHeight="1">
      <c r="A27855" s="15" t="s">
        <v>28806</v>
      </c>
      <c r="B27855" s="15" t="s">
        <v>28806</v>
      </c>
      <c r="C27855" s="15" t="s">
        <v>27788</v>
      </c>
      <c r="D27855" s="15" t="s">
        <v>27820</v>
      </c>
      <c r="E27855" s="2">
        <v>5729485</v>
      </c>
      <c r="F27855" s="4" t="e">
        <f>IF(B27855=#REF!,"",B27855)</f>
        <v>#REF!</v>
      </c>
    </row>
    <row r="27856" spans="1:6" ht="15.75" customHeight="1">
      <c r="A27856" s="15" t="s">
        <v>7380</v>
      </c>
      <c r="B27856" s="15" t="s">
        <v>7380</v>
      </c>
      <c r="C27856" s="15" t="s">
        <v>7052</v>
      </c>
      <c r="D27856" s="15" t="s">
        <v>7053</v>
      </c>
      <c r="E27856" s="2">
        <v>3014728</v>
      </c>
      <c r="F27856" s="4" t="e">
        <f>IF(B27856=#REF!,"",B27856)</f>
        <v>#REF!</v>
      </c>
    </row>
    <row r="27857" spans="1:6" ht="15.75" customHeight="1">
      <c r="A27857" s="15" t="s">
        <v>25269</v>
      </c>
      <c r="B27857" s="15" t="s">
        <v>25269</v>
      </c>
      <c r="C27857" s="15" t="s">
        <v>25237</v>
      </c>
      <c r="D27857" s="15" t="s">
        <v>25270</v>
      </c>
      <c r="E27857" s="2">
        <v>2660512</v>
      </c>
      <c r="F27857" s="4" t="e">
        <f>IF(B27857=#REF!,"",B27857)</f>
        <v>#REF!</v>
      </c>
    </row>
    <row r="27858" spans="1:6" ht="15.75" customHeight="1">
      <c r="A27858" s="15" t="s">
        <v>26134</v>
      </c>
      <c r="B27858" s="15" t="s">
        <v>26134</v>
      </c>
      <c r="C27858" s="15" t="s">
        <v>26090</v>
      </c>
      <c r="D27858" s="15" t="s">
        <v>26135</v>
      </c>
      <c r="E27858" s="2">
        <v>2473470</v>
      </c>
      <c r="F27858" s="4" t="e">
        <f>IF(B27858=#REF!,"",B27858)</f>
        <v>#REF!</v>
      </c>
    </row>
    <row r="27859" spans="1:6" ht="15.75" customHeight="1">
      <c r="A27859" s="15" t="s">
        <v>8484</v>
      </c>
      <c r="B27859" s="15" t="s">
        <v>8484</v>
      </c>
      <c r="C27859" s="15" t="s">
        <v>8028</v>
      </c>
      <c r="D27859" s="15" t="s">
        <v>8054</v>
      </c>
      <c r="E27859" s="2">
        <v>2917737</v>
      </c>
      <c r="F27859" s="4" t="e">
        <f>IF(B27859=#REF!,"",B27859)</f>
        <v>#REF!</v>
      </c>
    </row>
    <row r="27860" spans="1:6" ht="15.75" customHeight="1">
      <c r="A27860" s="16" t="s">
        <v>8483</v>
      </c>
      <c r="B27860" s="15" t="s">
        <v>8483</v>
      </c>
      <c r="C27860" s="16" t="s">
        <v>8028</v>
      </c>
      <c r="D27860" s="16" t="s">
        <v>8436</v>
      </c>
      <c r="E27860" s="2">
        <v>2917788</v>
      </c>
      <c r="F27860" s="4" t="e">
        <f>IF(B27860=#REF!,"",B27860)</f>
        <v>#REF!</v>
      </c>
    </row>
    <row r="27861" spans="1:6" ht="15.75" customHeight="1">
      <c r="A27861" s="15" t="s">
        <v>8482</v>
      </c>
      <c r="B27861" s="15" t="s">
        <v>8482</v>
      </c>
      <c r="C27861" s="15" t="s">
        <v>8028</v>
      </c>
      <c r="D27861" s="15" t="s">
        <v>8029</v>
      </c>
      <c r="E27861" s="2">
        <v>2917816</v>
      </c>
      <c r="F27861" s="4" t="e">
        <f>IF(B27861=#REF!,"",B27861)</f>
        <v>#REF!</v>
      </c>
    </row>
    <row r="27862" spans="1:6" ht="15.75" customHeight="1">
      <c r="A27862" s="15" t="s">
        <v>28805</v>
      </c>
      <c r="B27862" s="15" t="s">
        <v>28805</v>
      </c>
      <c r="C27862" s="15" t="s">
        <v>27788</v>
      </c>
      <c r="D27862" s="15" t="s">
        <v>27811</v>
      </c>
      <c r="E27862" s="2">
        <v>4580599</v>
      </c>
      <c r="F27862" s="4" t="e">
        <f>IF(B27862=#REF!,"",B27862)</f>
        <v>#REF!</v>
      </c>
    </row>
    <row r="27863" spans="1:6" ht="15.75" customHeight="1">
      <c r="A27863" s="16" t="s">
        <v>28804</v>
      </c>
      <c r="B27863" s="15" t="s">
        <v>28804</v>
      </c>
      <c r="C27863" s="16" t="s">
        <v>27788</v>
      </c>
      <c r="D27863" s="16" t="s">
        <v>27869</v>
      </c>
      <c r="E27863" s="2">
        <v>4258313</v>
      </c>
      <c r="F27863" s="4" t="e">
        <f>IF(B27863=#REF!,"",B27863)</f>
        <v>#REF!</v>
      </c>
    </row>
    <row r="27864" spans="1:6" ht="15.75" customHeight="1">
      <c r="A27864" s="16" t="s">
        <v>17058</v>
      </c>
      <c r="B27864" s="15" t="s">
        <v>17058</v>
      </c>
      <c r="C27864" s="16" t="s">
        <v>5687</v>
      </c>
      <c r="D27864" s="16" t="s">
        <v>17059</v>
      </c>
      <c r="E27864" s="2">
        <v>2276600</v>
      </c>
      <c r="F27864" s="4" t="e">
        <f>IF(B27864=#REF!,"",B27864)</f>
        <v>#REF!</v>
      </c>
    </row>
    <row r="27865" spans="1:6" ht="15.75" customHeight="1">
      <c r="A27865" s="16" t="s">
        <v>994</v>
      </c>
      <c r="B27865" s="15" t="s">
        <v>994</v>
      </c>
      <c r="C27865" s="16" t="s">
        <v>885</v>
      </c>
      <c r="D27865" s="16" t="s">
        <v>827</v>
      </c>
      <c r="E27865" s="2">
        <v>2164515</v>
      </c>
      <c r="F27865" s="4" t="e">
        <f>IF(B27865=#REF!,"",B27865)</f>
        <v>#REF!</v>
      </c>
    </row>
    <row r="27866" spans="1:6" ht="15.75" customHeight="1">
      <c r="A27866" s="16" t="s">
        <v>28803</v>
      </c>
      <c r="B27866" s="15" t="s">
        <v>28803</v>
      </c>
      <c r="C27866" s="16" t="s">
        <v>27788</v>
      </c>
      <c r="D27866" s="16" t="s">
        <v>27822</v>
      </c>
      <c r="E27866" s="2">
        <v>4469146</v>
      </c>
      <c r="F27866" s="4" t="e">
        <f>IF(B27866=#REF!,"",B27866)</f>
        <v>#REF!</v>
      </c>
    </row>
    <row r="27867" spans="1:6" ht="15.75" customHeight="1">
      <c r="A27867" s="16" t="s">
        <v>2244</v>
      </c>
      <c r="B27867" s="15" t="s">
        <v>28802</v>
      </c>
      <c r="C27867" s="16" t="s">
        <v>27788</v>
      </c>
      <c r="D27867" s="16" t="s">
        <v>27869</v>
      </c>
      <c r="E27867" s="2">
        <v>4258285</v>
      </c>
      <c r="F27867" s="4" t="e">
        <f>IF(B27867=#REF!,"",B27867)</f>
        <v>#REF!</v>
      </c>
    </row>
    <row r="27868" spans="1:6" ht="15.75" customHeight="1">
      <c r="A27868" s="16" t="s">
        <v>28801</v>
      </c>
      <c r="B27868" s="15" t="s">
        <v>28801</v>
      </c>
      <c r="C27868" s="16" t="s">
        <v>27788</v>
      </c>
      <c r="D27868" s="16" t="s">
        <v>27957</v>
      </c>
      <c r="E27868" s="2">
        <v>4626334</v>
      </c>
      <c r="F27868" s="4" t="e">
        <f>IF(B27868=#REF!,"",B27868)</f>
        <v>#REF!</v>
      </c>
    </row>
    <row r="27869" spans="1:6" ht="15.75" customHeight="1">
      <c r="A27869" s="16" t="s">
        <v>28800</v>
      </c>
      <c r="B27869" s="15" t="s">
        <v>28800</v>
      </c>
      <c r="C27869" s="16" t="s">
        <v>27788</v>
      </c>
      <c r="D27869" s="16" t="s">
        <v>27819</v>
      </c>
      <c r="E27869" s="2">
        <v>5119347</v>
      </c>
      <c r="F27869" s="4" t="e">
        <f>IF(B27869=#REF!,"",B27869)</f>
        <v>#REF!</v>
      </c>
    </row>
    <row r="27870" spans="1:6" ht="15.75" customHeight="1">
      <c r="A27870" s="16" t="s">
        <v>28798</v>
      </c>
      <c r="B27870" s="15" t="s">
        <v>28799</v>
      </c>
      <c r="C27870" s="16" t="s">
        <v>27788</v>
      </c>
      <c r="D27870" s="16" t="s">
        <v>17061</v>
      </c>
      <c r="E27870" s="2">
        <v>4356847</v>
      </c>
      <c r="F27870" s="4" t="e">
        <f>IF(B27870=#REF!,"",B27870)</f>
        <v>#REF!</v>
      </c>
    </row>
    <row r="27871" spans="1:6" ht="15.75" customHeight="1">
      <c r="A27871" s="16" t="s">
        <v>28796</v>
      </c>
      <c r="B27871" s="15" t="s">
        <v>28797</v>
      </c>
      <c r="C27871" s="16" t="s">
        <v>27788</v>
      </c>
      <c r="D27871" s="16" t="s">
        <v>5468</v>
      </c>
      <c r="E27871" s="2">
        <v>4157467</v>
      </c>
      <c r="F27871" s="4" t="e">
        <f>IF(B27871=#REF!,"",B27871)</f>
        <v>#REF!</v>
      </c>
    </row>
    <row r="27872" spans="1:6" ht="15.75" customHeight="1">
      <c r="A27872" s="16" t="s">
        <v>28794</v>
      </c>
      <c r="B27872" s="15" t="s">
        <v>28795</v>
      </c>
      <c r="C27872" s="16" t="s">
        <v>27788</v>
      </c>
      <c r="D27872" s="16" t="s">
        <v>27880</v>
      </c>
      <c r="E27872" s="2">
        <v>5296802</v>
      </c>
      <c r="F27872" s="4" t="e">
        <f>IF(B27872=#REF!,"",B27872)</f>
        <v>#REF!</v>
      </c>
    </row>
    <row r="27873" spans="1:6" ht="15.75" customHeight="1">
      <c r="A27873" s="16" t="s">
        <v>28792</v>
      </c>
      <c r="B27873" s="15" t="s">
        <v>28793</v>
      </c>
      <c r="C27873" s="16" t="s">
        <v>27788</v>
      </c>
      <c r="D27873" s="16" t="s">
        <v>17061</v>
      </c>
      <c r="E27873" s="2">
        <v>4356783</v>
      </c>
      <c r="F27873" s="4" t="e">
        <f>IF(B27873=#REF!,"",B27873)</f>
        <v>#REF!</v>
      </c>
    </row>
    <row r="27874" spans="1:6" ht="15.75" customHeight="1">
      <c r="A27874" s="16" t="s">
        <v>28790</v>
      </c>
      <c r="B27874" s="15" t="s">
        <v>28791</v>
      </c>
      <c r="C27874" s="16" t="s">
        <v>27788</v>
      </c>
      <c r="D27874" s="16" t="s">
        <v>27890</v>
      </c>
      <c r="E27874" s="2">
        <v>5254962</v>
      </c>
      <c r="F27874" s="4" t="e">
        <f>IF(B27874=#REF!,"",B27874)</f>
        <v>#REF!</v>
      </c>
    </row>
    <row r="27875" spans="1:6" ht="15.75" customHeight="1">
      <c r="A27875" s="15" t="s">
        <v>28788</v>
      </c>
      <c r="B27875" s="15" t="s">
        <v>28789</v>
      </c>
      <c r="C27875" s="15" t="s">
        <v>27788</v>
      </c>
      <c r="D27875" s="15" t="s">
        <v>27813</v>
      </c>
      <c r="E27875" s="2">
        <v>5156371</v>
      </c>
      <c r="F27875" s="4" t="e">
        <f>IF(B27875=#REF!,"",B27875)</f>
        <v>#REF!</v>
      </c>
    </row>
    <row r="27876" spans="1:6" ht="15.75" customHeight="1">
      <c r="A27876" s="15" t="s">
        <v>28787</v>
      </c>
      <c r="B27876" s="15" t="s">
        <v>28787</v>
      </c>
      <c r="C27876" s="15" t="s">
        <v>27788</v>
      </c>
      <c r="D27876" s="15" t="s">
        <v>2341</v>
      </c>
      <c r="E27876" s="2">
        <v>5577592</v>
      </c>
      <c r="F27876" s="4" t="e">
        <f>IF(B27876=#REF!,"",B27876)</f>
        <v>#REF!</v>
      </c>
    </row>
    <row r="27877" spans="1:6" ht="15.75" customHeight="1">
      <c r="A27877" s="16" t="s">
        <v>4061</v>
      </c>
      <c r="B27877" s="15" t="s">
        <v>4062</v>
      </c>
      <c r="C27877" s="16" t="s">
        <v>3975</v>
      </c>
      <c r="D27877" s="16" t="s">
        <v>3980</v>
      </c>
      <c r="E27877" s="2">
        <v>5964700</v>
      </c>
      <c r="F27877" s="4" t="e">
        <f>IF(B27877=#REF!,"",B27877)</f>
        <v>#REF!</v>
      </c>
    </row>
    <row r="27878" spans="1:6" ht="15.75" customHeight="1">
      <c r="A27878" s="16" t="s">
        <v>28785</v>
      </c>
      <c r="B27878" s="15" t="s">
        <v>28786</v>
      </c>
      <c r="C27878" s="16" t="s">
        <v>27788</v>
      </c>
      <c r="D27878" s="16" t="s">
        <v>5468</v>
      </c>
      <c r="E27878" s="2">
        <v>7259823</v>
      </c>
      <c r="F27878" s="4" t="e">
        <f>IF(B27878=#REF!,"",B27878)</f>
        <v>#REF!</v>
      </c>
    </row>
    <row r="27879" spans="1:6" ht="15.75" customHeight="1">
      <c r="A27879" s="16" t="s">
        <v>11376</v>
      </c>
      <c r="B27879" s="15" t="s">
        <v>11377</v>
      </c>
      <c r="C27879" s="16" t="s">
        <v>10178</v>
      </c>
      <c r="D27879" s="16" t="s">
        <v>10193</v>
      </c>
      <c r="E27879" s="2">
        <v>6954929</v>
      </c>
      <c r="F27879" s="4" t="e">
        <f>IF(B27879=#REF!,"",B27879)</f>
        <v>#REF!</v>
      </c>
    </row>
    <row r="27880" spans="1:6" ht="15.75" customHeight="1">
      <c r="A27880" s="16" t="s">
        <v>4059</v>
      </c>
      <c r="B27880" s="15" t="s">
        <v>4060</v>
      </c>
      <c r="C27880" s="16" t="s">
        <v>3975</v>
      </c>
      <c r="D27880" s="16" t="s">
        <v>3980</v>
      </c>
      <c r="E27880" s="2">
        <v>5965812</v>
      </c>
      <c r="F27880" s="4" t="e">
        <f>IF(B27880=#REF!,"",B27880)</f>
        <v>#REF!</v>
      </c>
    </row>
    <row r="27881" spans="1:6" ht="15.75" customHeight="1">
      <c r="A27881" s="16" t="s">
        <v>28783</v>
      </c>
      <c r="B27881" s="15" t="s">
        <v>28784</v>
      </c>
      <c r="C27881" s="16" t="s">
        <v>27788</v>
      </c>
      <c r="D27881" s="16" t="s">
        <v>3706</v>
      </c>
      <c r="E27881" s="2">
        <v>5655240</v>
      </c>
      <c r="F27881" s="4" t="e">
        <f>IF(B27881=#REF!,"",B27881)</f>
        <v>#REF!</v>
      </c>
    </row>
    <row r="27882" spans="1:6" ht="15.75" customHeight="1">
      <c r="A27882" s="16" t="s">
        <v>28781</v>
      </c>
      <c r="B27882" s="15" t="s">
        <v>28782</v>
      </c>
      <c r="C27882" s="16" t="s">
        <v>27788</v>
      </c>
      <c r="D27882" s="16" t="s">
        <v>28419</v>
      </c>
      <c r="E27882" s="2">
        <v>4272340</v>
      </c>
      <c r="F27882" s="4" t="e">
        <f>IF(B27882=#REF!,"",B27882)</f>
        <v>#REF!</v>
      </c>
    </row>
    <row r="27883" spans="1:6" ht="15.75" customHeight="1">
      <c r="A27883" s="16" t="s">
        <v>22405</v>
      </c>
      <c r="B27883" s="15" t="s">
        <v>22405</v>
      </c>
      <c r="C27883" s="16" t="s">
        <v>22070</v>
      </c>
      <c r="D27883" s="16" t="s">
        <v>22084</v>
      </c>
      <c r="E27883" s="2">
        <v>559029</v>
      </c>
      <c r="F27883" s="4" t="e">
        <f>IF(B27883=#REF!,"",B27883)</f>
        <v>#REF!</v>
      </c>
    </row>
    <row r="27884" spans="1:6" ht="15.75" customHeight="1">
      <c r="A27884" s="15" t="s">
        <v>1129</v>
      </c>
      <c r="B27884" s="15" t="s">
        <v>1129</v>
      </c>
      <c r="C27884" s="15" t="s">
        <v>1117</v>
      </c>
      <c r="D27884" s="15" t="s">
        <v>1130</v>
      </c>
      <c r="E27884" s="2">
        <v>2778067</v>
      </c>
      <c r="F27884" s="4" t="e">
        <f>IF(B27884=#REF!,"",B27884)</f>
        <v>#REF!</v>
      </c>
    </row>
    <row r="27885" spans="1:6" ht="15.75" customHeight="1">
      <c r="A27885" s="15" t="s">
        <v>28780</v>
      </c>
      <c r="B27885" s="15" t="s">
        <v>28780</v>
      </c>
      <c r="C27885" s="15" t="s">
        <v>27788</v>
      </c>
      <c r="D27885" s="15" t="s">
        <v>27799</v>
      </c>
      <c r="E27885" s="2">
        <v>4894465</v>
      </c>
      <c r="F27885" s="4" t="e">
        <f>IF(B27885=#REF!,"",B27885)</f>
        <v>#REF!</v>
      </c>
    </row>
    <row r="27886" spans="1:6" ht="15.75" customHeight="1">
      <c r="A27886" s="16" t="s">
        <v>15185</v>
      </c>
      <c r="B27886" s="15" t="s">
        <v>15186</v>
      </c>
      <c r="C27886" s="16" t="s">
        <v>14891</v>
      </c>
      <c r="D27886" s="16" t="s">
        <v>14908</v>
      </c>
      <c r="E27886" s="2">
        <v>3175860</v>
      </c>
      <c r="F27886" s="4" t="e">
        <f>IF(B27886=#REF!,"",B27886)</f>
        <v>#REF!</v>
      </c>
    </row>
    <row r="27887" spans="1:6" ht="15.75" customHeight="1">
      <c r="A27887" s="16" t="s">
        <v>15184</v>
      </c>
      <c r="B27887" s="15" t="s">
        <v>15184</v>
      </c>
      <c r="C27887" s="16" t="s">
        <v>14891</v>
      </c>
      <c r="D27887" s="16" t="s">
        <v>14899</v>
      </c>
      <c r="E27887" s="2">
        <v>6534275</v>
      </c>
      <c r="F27887" s="4" t="str">
        <f>IF(B27887=B27886,"",B27887)</f>
        <v>Gravina di Catania</v>
      </c>
    </row>
    <row r="27888" spans="1:6" ht="15.75" customHeight="1">
      <c r="A27888" s="16" t="str">
        <f ca="1">IFERROR(__xludf.DUMMYFUNCTION("GOOGLETRANSLATE(B25019,""en"",""pt"")"),"Gravataí")</f>
        <v>Gravataí</v>
      </c>
      <c r="B27888" s="20" t="s">
        <v>31655</v>
      </c>
      <c r="C27888" s="20" t="s">
        <v>1905</v>
      </c>
      <c r="D27888" s="20" t="s">
        <v>1951</v>
      </c>
      <c r="E27888" s="10">
        <v>3462089</v>
      </c>
      <c r="F27888" s="4" t="str">
        <f>IF(B27888=B27887,"",B27888)</f>
        <v>Gravataí</v>
      </c>
    </row>
    <row r="27889" spans="1:6" ht="15.75" customHeight="1">
      <c r="A27889" s="15" t="s">
        <v>2506</v>
      </c>
      <c r="B27889" s="15" t="s">
        <v>2507</v>
      </c>
      <c r="C27889" s="15" t="s">
        <v>1905</v>
      </c>
      <c r="D27889" s="15" t="s">
        <v>1951</v>
      </c>
      <c r="E27889" s="2">
        <v>3462089</v>
      </c>
      <c r="F27889" s="4" t="str">
        <f>IF(B27889=B27888,"",B27889)</f>
        <v>GravataÃ­</v>
      </c>
    </row>
    <row r="27890" spans="1:6" ht="15.75" customHeight="1">
      <c r="A27890" s="15" t="s">
        <v>2504</v>
      </c>
      <c r="B27890" s="15" t="s">
        <v>2505</v>
      </c>
      <c r="C27890" s="15" t="s">
        <v>1905</v>
      </c>
      <c r="D27890" s="15" t="s">
        <v>1909</v>
      </c>
      <c r="E27890" s="2">
        <v>3398691</v>
      </c>
      <c r="F27890" s="4" t="str">
        <f>IF(B27890=B27889,"",B27890)</f>
        <v>GravatÃ¡</v>
      </c>
    </row>
    <row r="27891" spans="1:6" ht="15.75" customHeight="1">
      <c r="A27891" s="16" t="str">
        <f ca="1">IFERROR(__xludf.DUMMYFUNCTION("GOOGLETRANSLATE(B24317,""en"",""pt"")"),"Gravatá")</f>
        <v>Gravatá</v>
      </c>
      <c r="B27891" s="20" t="s">
        <v>31398</v>
      </c>
      <c r="C27891" s="20" t="s">
        <v>1905</v>
      </c>
      <c r="D27891" s="20" t="s">
        <v>1909</v>
      </c>
      <c r="E27891" s="10">
        <v>3398691</v>
      </c>
      <c r="F27891" s="4" t="e">
        <f>IF(B27891=#REF!,"",B27891)</f>
        <v>#REF!</v>
      </c>
    </row>
    <row r="27892" spans="1:6" ht="15.75" customHeight="1">
      <c r="A27892" s="15" t="s">
        <v>7379</v>
      </c>
      <c r="B27892" s="15" t="s">
        <v>7379</v>
      </c>
      <c r="C27892" s="15" t="s">
        <v>7052</v>
      </c>
      <c r="D27892" s="15" t="s">
        <v>7087</v>
      </c>
      <c r="E27892" s="2">
        <v>3014856</v>
      </c>
      <c r="F27892" s="4" t="e">
        <f>IF(B27892=#REF!,"",B27892)</f>
        <v>#REF!</v>
      </c>
    </row>
    <row r="27893" spans="1:6" ht="15.75" customHeight="1">
      <c r="A27893" s="16" t="s">
        <v>28779</v>
      </c>
      <c r="B27893" s="15" t="s">
        <v>28779</v>
      </c>
      <c r="C27893" s="16" t="s">
        <v>27788</v>
      </c>
      <c r="D27893" s="16" t="s">
        <v>27792</v>
      </c>
      <c r="E27893" s="2">
        <v>4694568</v>
      </c>
      <c r="F27893" s="4" t="e">
        <f>IF(B27893=#REF!,"",B27893)</f>
        <v>#REF!</v>
      </c>
    </row>
    <row r="27894" spans="1:6" ht="15.75" customHeight="1">
      <c r="A27894" s="15" t="s">
        <v>993</v>
      </c>
      <c r="B27894" s="15" t="s">
        <v>993</v>
      </c>
      <c r="C27894" s="15" t="s">
        <v>885</v>
      </c>
      <c r="D27894" s="15" t="s">
        <v>891</v>
      </c>
      <c r="E27894" s="2">
        <v>2164691</v>
      </c>
      <c r="F27894" s="4" t="e">
        <f>IF(B27894=#REF!,"",B27894)</f>
        <v>#REF!</v>
      </c>
    </row>
    <row r="27895" spans="1:6" ht="15.75" customHeight="1">
      <c r="A27895" s="16" t="s">
        <v>28777</v>
      </c>
      <c r="B27895" s="15" t="s">
        <v>28778</v>
      </c>
      <c r="C27895" s="16" t="s">
        <v>27788</v>
      </c>
      <c r="D27895" s="16" t="s">
        <v>27820</v>
      </c>
      <c r="E27895" s="2">
        <v>5729080</v>
      </c>
      <c r="F27895" s="4" t="e">
        <f>IF(B27895=#REF!,"",B27895)</f>
        <v>#REF!</v>
      </c>
    </row>
    <row r="27896" spans="1:6" ht="15.75" customHeight="1">
      <c r="A27896" s="16" t="s">
        <v>24493</v>
      </c>
      <c r="B27896" s="15" t="s">
        <v>24493</v>
      </c>
      <c r="C27896" s="16" t="s">
        <v>24200</v>
      </c>
      <c r="D27896" s="16" t="s">
        <v>24277</v>
      </c>
      <c r="E27896" s="2">
        <v>3121145</v>
      </c>
      <c r="F27896" s="4" t="e">
        <f>IF(B27896=#REF!,"",B27896)</f>
        <v>#REF!</v>
      </c>
    </row>
    <row r="27897" spans="1:6" ht="15.75" customHeight="1">
      <c r="A27897" s="15" t="s">
        <v>2503</v>
      </c>
      <c r="B27897" s="15" t="s">
        <v>2503</v>
      </c>
      <c r="C27897" s="15" t="s">
        <v>1905</v>
      </c>
      <c r="D27897" s="15" t="s">
        <v>1930</v>
      </c>
      <c r="E27897" s="2">
        <v>3398706</v>
      </c>
      <c r="F27897" s="4" t="e">
        <f>IF(B27897=#REF!,"",B27897)</f>
        <v>#REF!</v>
      </c>
    </row>
    <row r="27898" spans="1:6" ht="15.75" customHeight="1">
      <c r="A27898" s="16" t="s">
        <v>28775</v>
      </c>
      <c r="B27898" s="15" t="s">
        <v>28776</v>
      </c>
      <c r="C27898" s="16" t="s">
        <v>27788</v>
      </c>
      <c r="D27898" s="16" t="s">
        <v>27799</v>
      </c>
      <c r="E27898" s="2">
        <v>4239714</v>
      </c>
      <c r="F27898" s="4" t="e">
        <f>IF(B27898=#REF!,"",B27898)</f>
        <v>#REF!</v>
      </c>
    </row>
    <row r="27899" spans="1:6" ht="15.75" customHeight="1">
      <c r="A27899" s="16" t="s">
        <v>28773</v>
      </c>
      <c r="B27899" s="15" t="s">
        <v>28774</v>
      </c>
      <c r="C27899" s="16" t="s">
        <v>27788</v>
      </c>
      <c r="D27899" s="16" t="s">
        <v>27801</v>
      </c>
      <c r="E27899" s="2">
        <v>5353530</v>
      </c>
      <c r="F27899" s="4" t="e">
        <f>IF(B27899=#REF!,"",B27899)</f>
        <v>#REF!</v>
      </c>
    </row>
    <row r="27900" spans="1:6" ht="15.75" customHeight="1">
      <c r="A27900" s="16" t="s">
        <v>9877</v>
      </c>
      <c r="B27900" s="15" t="s">
        <v>9877</v>
      </c>
      <c r="C27900" s="16" t="s">
        <v>9866</v>
      </c>
      <c r="D27900" s="16" t="s">
        <v>9867</v>
      </c>
      <c r="E27900" s="2">
        <v>3724337</v>
      </c>
      <c r="F27900" s="4" t="e">
        <f>IF(B27900=#REF!,"",B27900)</f>
        <v>#REF!</v>
      </c>
    </row>
    <row r="27901" spans="1:6" ht="15.75" customHeight="1">
      <c r="A27901" s="15" t="s">
        <v>28772</v>
      </c>
      <c r="B27901" s="15" t="s">
        <v>28772</v>
      </c>
      <c r="C27901" s="15" t="s">
        <v>27788</v>
      </c>
      <c r="D27901" s="15" t="s">
        <v>27869</v>
      </c>
      <c r="E27901" s="2">
        <v>4920869</v>
      </c>
      <c r="F27901" s="4" t="e">
        <f>IF(B27901=#REF!,"",B27901)</f>
        <v>#REF!</v>
      </c>
    </row>
    <row r="27902" spans="1:6" ht="15.75" customHeight="1">
      <c r="A27902" s="16" t="s">
        <v>4398</v>
      </c>
      <c r="B27902" s="15" t="s">
        <v>4399</v>
      </c>
      <c r="C27902" s="16" t="s">
        <v>4355</v>
      </c>
      <c r="D27902" s="16" t="s">
        <v>4379</v>
      </c>
      <c r="E27902" s="2">
        <v>3888749</v>
      </c>
      <c r="F27902" s="4" t="e">
        <f>IF(B27902=#REF!,"",B27902)</f>
        <v>#REF!</v>
      </c>
    </row>
    <row r="27903" spans="1:6" ht="15.75" customHeight="1">
      <c r="A27903" s="16" t="s">
        <v>28771</v>
      </c>
      <c r="B27903" s="15" t="s">
        <v>28771</v>
      </c>
      <c r="C27903" s="16" t="s">
        <v>27788</v>
      </c>
      <c r="D27903" s="16" t="s">
        <v>27804</v>
      </c>
      <c r="E27903" s="2">
        <v>4994391</v>
      </c>
      <c r="F27903" s="4" t="e">
        <f>IF(B27903=#REF!,"",B27903)</f>
        <v>#REF!</v>
      </c>
    </row>
    <row r="27904" spans="1:6" ht="15.75" customHeight="1">
      <c r="A27904" s="16" t="s">
        <v>28769</v>
      </c>
      <c r="B27904" s="15" t="s">
        <v>28770</v>
      </c>
      <c r="C27904" s="16" t="s">
        <v>27788</v>
      </c>
      <c r="D27904" s="16" t="s">
        <v>27806</v>
      </c>
      <c r="E27904" s="2">
        <v>4388460</v>
      </c>
      <c r="F27904" s="4" t="e">
        <f>IF(B27904=#REF!,"",B27904)</f>
        <v>#REF!</v>
      </c>
    </row>
    <row r="27905" spans="1:6" ht="15.75" customHeight="1">
      <c r="A27905" s="16" t="s">
        <v>7378</v>
      </c>
      <c r="B27905" s="15" t="s">
        <v>7378</v>
      </c>
      <c r="C27905" s="16" t="s">
        <v>7052</v>
      </c>
      <c r="D27905" s="16" t="s">
        <v>7078</v>
      </c>
      <c r="E27905" s="2">
        <v>3015160</v>
      </c>
      <c r="F27905" s="4" t="e">
        <f>IF(B27905=#REF!,"",B27905)</f>
        <v>#REF!</v>
      </c>
    </row>
    <row r="27906" spans="1:6" ht="15.75" customHeight="1">
      <c r="A27906" s="16" t="s">
        <v>4058</v>
      </c>
      <c r="B27906" s="15" t="s">
        <v>4058</v>
      </c>
      <c r="C27906" s="16" t="s">
        <v>3975</v>
      </c>
      <c r="D27906" s="16" t="s">
        <v>3978</v>
      </c>
      <c r="E27906" s="2">
        <v>5964347</v>
      </c>
      <c r="F27906" s="4" t="e">
        <f>IF(B27906=#REF!,"",B27906)</f>
        <v>#REF!</v>
      </c>
    </row>
    <row r="27907" spans="1:6" ht="15.75" customHeight="1">
      <c r="A27907" s="16" t="s">
        <v>15644</v>
      </c>
      <c r="B27907" s="15" t="s">
        <v>15644</v>
      </c>
      <c r="C27907" s="16" t="s">
        <v>15586</v>
      </c>
      <c r="D27907" s="16" t="s">
        <v>15593</v>
      </c>
      <c r="E27907" s="2">
        <v>2288115</v>
      </c>
      <c r="F27907" s="4" t="e">
        <f>IF(B27907=#REF!,"",B27907)</f>
        <v>#REF!</v>
      </c>
    </row>
    <row r="27908" spans="1:6" ht="15.75" customHeight="1">
      <c r="A27908" s="16" t="s">
        <v>28768</v>
      </c>
      <c r="B27908" s="15" t="s">
        <v>28768</v>
      </c>
      <c r="C27908" s="16" t="s">
        <v>27788</v>
      </c>
      <c r="D27908" s="16" t="s">
        <v>27804</v>
      </c>
      <c r="E27908" s="2">
        <v>4994358</v>
      </c>
      <c r="F27908" s="4" t="e">
        <f>IF(B27908=#REF!,"",B27908)</f>
        <v>#REF!</v>
      </c>
    </row>
    <row r="27909" spans="1:6" ht="15.75" customHeight="1">
      <c r="A27909" s="16" t="s">
        <v>28767</v>
      </c>
      <c r="B27909" s="15" t="s">
        <v>28767</v>
      </c>
      <c r="C27909" s="16" t="s">
        <v>27788</v>
      </c>
      <c r="D27909" s="16" t="s">
        <v>27792</v>
      </c>
      <c r="E27909" s="2">
        <v>4694482</v>
      </c>
      <c r="F27909" s="4" t="e">
        <f>IF(B27909=#REF!,"",B27909)</f>
        <v>#REF!</v>
      </c>
    </row>
    <row r="27910" spans="1:6" ht="15.75" customHeight="1">
      <c r="A27910" s="16" t="s">
        <v>28766</v>
      </c>
      <c r="B27910" s="15" t="s">
        <v>28766</v>
      </c>
      <c r="C27910" s="16" t="s">
        <v>27788</v>
      </c>
      <c r="D27910" s="16" t="s">
        <v>2341</v>
      </c>
      <c r="E27910" s="2">
        <v>5423573</v>
      </c>
      <c r="F27910" s="4" t="e">
        <f>IF(B27910=#REF!,"",B27910)</f>
        <v>#REF!</v>
      </c>
    </row>
    <row r="27911" spans="1:6" ht="15.75" customHeight="1">
      <c r="A27911" s="16" t="s">
        <v>28765</v>
      </c>
      <c r="B27911" s="15" t="s">
        <v>28765</v>
      </c>
      <c r="C27911" s="16" t="s">
        <v>27788</v>
      </c>
      <c r="D27911" s="16" t="s">
        <v>27995</v>
      </c>
      <c r="E27911" s="2">
        <v>5069297</v>
      </c>
      <c r="F27911" s="4" t="e">
        <f>IF(B27911=#REF!,"",B27911)</f>
        <v>#REF!</v>
      </c>
    </row>
    <row r="27912" spans="1:6" ht="15.75" customHeight="1">
      <c r="A27912" s="16" t="s">
        <v>28764</v>
      </c>
      <c r="B27912" s="15" t="s">
        <v>28764</v>
      </c>
      <c r="C27912" s="16" t="s">
        <v>27788</v>
      </c>
      <c r="D27912" s="16" t="s">
        <v>28043</v>
      </c>
      <c r="E27912" s="2">
        <v>5059429</v>
      </c>
      <c r="F27912" s="4" t="e">
        <f>IF(B27912=#REF!,"",B27912)</f>
        <v>#REF!</v>
      </c>
    </row>
    <row r="27913" spans="1:6" ht="15.75" customHeight="1">
      <c r="A27913" s="15" t="s">
        <v>4057</v>
      </c>
      <c r="B27913" s="15" t="s">
        <v>4057</v>
      </c>
      <c r="C27913" s="15" t="s">
        <v>3975</v>
      </c>
      <c r="D27913" s="15" t="s">
        <v>3982</v>
      </c>
      <c r="E27913" s="2">
        <v>5964215</v>
      </c>
      <c r="F27913" s="4" t="e">
        <f>IF(B27913=#REF!,"",B27913)</f>
        <v>#REF!</v>
      </c>
    </row>
    <row r="27914" spans="1:6" ht="15.75" customHeight="1">
      <c r="A27914" s="16" t="s">
        <v>24492</v>
      </c>
      <c r="B27914" s="15" t="s">
        <v>24492</v>
      </c>
      <c r="C27914" s="16" t="s">
        <v>24200</v>
      </c>
      <c r="D27914" s="16" t="s">
        <v>24212</v>
      </c>
      <c r="E27914" s="2">
        <v>2517111</v>
      </c>
      <c r="F27914" s="4" t="e">
        <f>IF(B27914=#REF!,"",B27914)</f>
        <v>#REF!</v>
      </c>
    </row>
    <row r="27915" spans="1:6" ht="15.75" customHeight="1">
      <c r="A27915" s="16" t="s">
        <v>676</v>
      </c>
      <c r="B27915" s="15" t="s">
        <v>676</v>
      </c>
      <c r="C27915" s="16" t="s">
        <v>558</v>
      </c>
      <c r="D27915" s="16" t="s">
        <v>579</v>
      </c>
      <c r="E27915" s="2">
        <v>3854895</v>
      </c>
      <c r="F27915" s="4" t="e">
        <f>IF(B27915=#REF!,"",B27915)</f>
        <v>#REF!</v>
      </c>
    </row>
    <row r="27916" spans="1:6" ht="15.75" customHeight="1">
      <c r="A27916" s="15" t="s">
        <v>5484</v>
      </c>
      <c r="B27916" s="15" t="s">
        <v>5484</v>
      </c>
      <c r="C27916" s="15" t="s">
        <v>5348</v>
      </c>
      <c r="D27916" s="15" t="s">
        <v>5349</v>
      </c>
      <c r="E27916" s="2">
        <v>3681957</v>
      </c>
      <c r="F27916" s="4" t="e">
        <f>IF(B27916=#REF!,"",B27916)</f>
        <v>#REF!</v>
      </c>
    </row>
    <row r="27917" spans="1:6" ht="15.75" customHeight="1">
      <c r="A27917" s="15" t="s">
        <v>21239</v>
      </c>
      <c r="B27917" s="15" t="s">
        <v>21239</v>
      </c>
      <c r="C27917" s="15" t="s">
        <v>21064</v>
      </c>
      <c r="D27917" s="15" t="s">
        <v>21086</v>
      </c>
      <c r="E27917" s="2">
        <v>771506</v>
      </c>
      <c r="F27917" s="4" t="str">
        <f>IF(B27917=B27916,"",B27917)</f>
        <v>Grajewo</v>
      </c>
    </row>
    <row r="27918" spans="1:6" ht="15.75" customHeight="1">
      <c r="A27918" s="16" t="str">
        <f ca="1">IFERROR(__xludf.DUMMYFUNCTION("GOOGLETRANSLATE(B24319,""en"",""pt"")"),"Grajaú")</f>
        <v>Grajaú</v>
      </c>
      <c r="B27918" s="20" t="s">
        <v>31399</v>
      </c>
      <c r="C27918" s="20" t="s">
        <v>1905</v>
      </c>
      <c r="D27918" s="20" t="s">
        <v>31340</v>
      </c>
      <c r="E27918" s="10">
        <v>3398856</v>
      </c>
      <c r="F27918" s="4" t="str">
        <f>IF(B27918=B27917,"",B27918)</f>
        <v>Grajaú</v>
      </c>
    </row>
    <row r="27919" spans="1:6" ht="15.75" customHeight="1">
      <c r="A27919" s="15" t="s">
        <v>2501</v>
      </c>
      <c r="B27919" s="15" t="s">
        <v>2502</v>
      </c>
      <c r="C27919" s="15" t="s">
        <v>1905</v>
      </c>
      <c r="D27919" s="15" t="s">
        <v>2024</v>
      </c>
      <c r="E27919" s="2">
        <v>3398856</v>
      </c>
      <c r="F27919" s="4" t="e">
        <f>IF(B27919=#REF!,"",B27919)</f>
        <v>#REF!</v>
      </c>
    </row>
    <row r="27920" spans="1:6" ht="15.75" customHeight="1">
      <c r="A27920" s="16" t="s">
        <v>23904</v>
      </c>
      <c r="B27920" s="15" t="s">
        <v>23904</v>
      </c>
      <c r="C27920" s="16" t="s">
        <v>23842</v>
      </c>
      <c r="D27920" s="16" t="s">
        <v>23843</v>
      </c>
      <c r="E27920" s="2">
        <v>1000501</v>
      </c>
      <c r="F27920" s="4" t="e">
        <f>IF(B27920=#REF!,"",B27920)</f>
        <v>#REF!</v>
      </c>
    </row>
    <row r="27921" spans="1:6" ht="15.75" customHeight="1">
      <c r="A27921" s="15" t="s">
        <v>28763</v>
      </c>
      <c r="B27921" s="15" t="s">
        <v>28763</v>
      </c>
      <c r="C27921" s="15" t="s">
        <v>27788</v>
      </c>
      <c r="D27921" s="15" t="s">
        <v>27733</v>
      </c>
      <c r="E27921" s="2">
        <v>5795906</v>
      </c>
      <c r="F27921" s="4" t="e">
        <f>IF(B27921=#REF!,"",B27921)</f>
        <v>#REF!</v>
      </c>
    </row>
    <row r="27922" spans="1:6" ht="15.75" customHeight="1">
      <c r="A27922" s="15" t="s">
        <v>15183</v>
      </c>
      <c r="B27922" s="15" t="s">
        <v>15183</v>
      </c>
      <c r="C27922" s="15" t="s">
        <v>14891</v>
      </c>
      <c r="D27922" s="15" t="s">
        <v>14896</v>
      </c>
      <c r="E27922" s="2">
        <v>3175952</v>
      </c>
      <c r="F27922" s="4" t="e">
        <f>IF(B27922=#REF!,"",B27922)</f>
        <v>#REF!</v>
      </c>
    </row>
    <row r="27923" spans="1:6" ht="15.75" customHeight="1">
      <c r="A27923" s="15" t="s">
        <v>28762</v>
      </c>
      <c r="B27923" s="15" t="s">
        <v>28762</v>
      </c>
      <c r="C27923" s="15" t="s">
        <v>27788</v>
      </c>
      <c r="D27923" s="15" t="s">
        <v>27794</v>
      </c>
      <c r="E27923" s="2">
        <v>4938048</v>
      </c>
      <c r="F27923" s="4" t="e">
        <f>IF(B27923=#REF!,"",B27923)</f>
        <v>#REF!</v>
      </c>
    </row>
    <row r="27924" spans="1:6" ht="15.75" customHeight="1">
      <c r="A27924" s="16" t="s">
        <v>7377</v>
      </c>
      <c r="B27924" s="15" t="s">
        <v>7377</v>
      </c>
      <c r="C27924" s="16" t="s">
        <v>7052</v>
      </c>
      <c r="D27924" s="16" t="s">
        <v>7084</v>
      </c>
      <c r="E27924" s="2">
        <v>3015419</v>
      </c>
      <c r="F27924" s="4" t="str">
        <f>IF(B27924=B27923,"",B27924)</f>
        <v>Gradignan</v>
      </c>
    </row>
    <row r="27925" spans="1:6" ht="15.75" customHeight="1">
      <c r="A27925" s="16" t="str">
        <f ca="1">IFERROR(__xludf.DUMMYFUNCTION("GOOGLETRANSLATE(B23680,""en"",""pt"")"),"GRATAčac")</f>
        <v>GRATAčac</v>
      </c>
      <c r="B27925" s="20" t="s">
        <v>31250</v>
      </c>
      <c r="C27925" s="20" t="s">
        <v>1845</v>
      </c>
      <c r="D27925" s="20" t="s">
        <v>1849</v>
      </c>
      <c r="E27925" s="10">
        <v>3199744</v>
      </c>
      <c r="F27925" s="4" t="str">
        <f>IF(B27925=B27924,"",B27925)</f>
        <v>Gradačac</v>
      </c>
    </row>
    <row r="27926" spans="1:6" ht="15.75" customHeight="1">
      <c r="A27926" s="16" t="s">
        <v>1862</v>
      </c>
      <c r="B27926" s="15" t="s">
        <v>1863</v>
      </c>
      <c r="C27926" s="16" t="s">
        <v>1845</v>
      </c>
      <c r="D27926" s="16" t="s">
        <v>1849</v>
      </c>
      <c r="E27926" s="2">
        <v>3199744</v>
      </c>
      <c r="F27926" s="4" t="str">
        <f>IF(B27926=B27925,"",B27926)</f>
        <v>GradaÄac</v>
      </c>
    </row>
    <row r="27927" spans="1:6" ht="15.75" customHeight="1">
      <c r="A27927" s="16" t="str">
        <f ca="1">IFERROR(__xludf.DUMMYFUNCTION("GOOGLETRANSLATE(B29396,""en"",""pt"")"),"Gràcia")</f>
        <v>Gràcia</v>
      </c>
      <c r="B27927" s="20" t="s">
        <v>32460</v>
      </c>
      <c r="C27927" s="20" t="s">
        <v>24200</v>
      </c>
      <c r="D27927" s="20" t="s">
        <v>24277</v>
      </c>
      <c r="E27927" s="10">
        <v>3121245</v>
      </c>
      <c r="F27927" s="4" t="str">
        <f>IF(B27927=B27926,"",B27927)</f>
        <v>Gràcia</v>
      </c>
    </row>
    <row r="27928" spans="1:6" ht="15.75" customHeight="1">
      <c r="A27928" s="16" t="str">
        <f ca="1">IFERROR(__xludf.DUMMYFUNCTION("GOOGLETRANSLATE(B23681,""en"",""pt"")"),"Gračanica")</f>
        <v>Gračanica</v>
      </c>
      <c r="B27928" s="20" t="s">
        <v>31251</v>
      </c>
      <c r="C27928" s="20" t="s">
        <v>1845</v>
      </c>
      <c r="D27928" s="20" t="s">
        <v>1849</v>
      </c>
      <c r="E27928" s="10">
        <v>3199779</v>
      </c>
      <c r="F27928" s="4" t="e">
        <f>IF(B27928=#REF!,"",B27928)</f>
        <v>#REF!</v>
      </c>
    </row>
    <row r="27929" spans="1:6" ht="15.75" customHeight="1">
      <c r="A27929" s="15" t="s">
        <v>23903</v>
      </c>
      <c r="B27929" s="15" t="s">
        <v>23903</v>
      </c>
      <c r="C27929" s="15" t="s">
        <v>23842</v>
      </c>
      <c r="D27929" s="15" t="s">
        <v>23847</v>
      </c>
      <c r="E27929" s="2">
        <v>3367513</v>
      </c>
      <c r="F27929" s="4" t="e">
        <f>IF(B27929=#REF!,"",B27929)</f>
        <v>#REF!</v>
      </c>
    </row>
    <row r="27930" spans="1:6" ht="15.75" customHeight="1">
      <c r="A27930" s="16" t="s">
        <v>23902</v>
      </c>
      <c r="B27930" s="15" t="s">
        <v>23902</v>
      </c>
      <c r="C27930" s="16" t="s">
        <v>23842</v>
      </c>
      <c r="D27930" s="16" t="s">
        <v>23843</v>
      </c>
      <c r="E27930" s="2">
        <v>1000543</v>
      </c>
      <c r="F27930" s="4" t="str">
        <f>IF(B27930=B27929,"",B27930)</f>
        <v>Graaff-Reinet</v>
      </c>
    </row>
    <row r="27931" spans="1:6" ht="15.75" customHeight="1">
      <c r="A27931" s="16" t="s">
        <v>1860</v>
      </c>
      <c r="B27931" s="15" t="s">
        <v>1861</v>
      </c>
      <c r="C27931" s="16" t="s">
        <v>1845</v>
      </c>
      <c r="D27931" s="16" t="s">
        <v>1849</v>
      </c>
      <c r="E27931" s="2">
        <v>3199779</v>
      </c>
      <c r="F27931" s="4" t="str">
        <f>IF(B27931=B27930,"",B27931)</f>
        <v>GraÄanica</v>
      </c>
    </row>
    <row r="27932" spans="1:6" ht="15.75" customHeight="1">
      <c r="A27932" s="16" t="s">
        <v>8480</v>
      </c>
      <c r="B27932" s="15" t="s">
        <v>8481</v>
      </c>
      <c r="C27932" s="16" t="s">
        <v>8028</v>
      </c>
      <c r="D27932" s="16" t="s">
        <v>8044</v>
      </c>
      <c r="E27932" s="2">
        <v>2917221</v>
      </c>
      <c r="F27932" s="4" t="str">
        <f>IF(B27932=B27931,"",B27932)</f>
        <v>GrÃ¶benzell</v>
      </c>
    </row>
    <row r="27933" spans="1:6" ht="15.75" customHeight="1">
      <c r="A27933" s="15" t="s">
        <v>24490</v>
      </c>
      <c r="B27933" s="15" t="s">
        <v>24491</v>
      </c>
      <c r="C27933" s="15" t="s">
        <v>24200</v>
      </c>
      <c r="D27933" s="15" t="s">
        <v>24277</v>
      </c>
      <c r="E27933" s="2">
        <v>3121245</v>
      </c>
      <c r="F27933" s="4" t="str">
        <f>IF(B27933=B27932,"",B27933)</f>
        <v>GrÃ cia</v>
      </c>
    </row>
    <row r="27934" spans="1:6" ht="15.75" customHeight="1">
      <c r="A27934" s="16" t="str">
        <f ca="1">IFERROR(__xludf.DUMMYFUNCTION("GOOGLETRANSLATE(B33433,""en"",""pt"")"),"Goyerkāta")</f>
        <v>Goyerkāta</v>
      </c>
      <c r="B27934" s="20" t="s">
        <v>33705</v>
      </c>
      <c r="C27934" s="20" t="s">
        <v>10178</v>
      </c>
      <c r="D27934" s="20" t="s">
        <v>10201</v>
      </c>
      <c r="E27934" s="10">
        <v>1270845</v>
      </c>
      <c r="F27934" s="4" t="str">
        <f>IF(B27934=B27933,"",B27934)</f>
        <v>Goyerkāta</v>
      </c>
    </row>
    <row r="27935" spans="1:6" ht="15.75" customHeight="1">
      <c r="A27935" s="16" t="s">
        <v>11374</v>
      </c>
      <c r="B27935" s="15" t="s">
        <v>11375</v>
      </c>
      <c r="C27935" s="16" t="s">
        <v>10178</v>
      </c>
      <c r="D27935" s="16" t="s">
        <v>10201</v>
      </c>
      <c r="E27935" s="2">
        <v>1270845</v>
      </c>
      <c r="F27935" s="4" t="e">
        <f>IF(B27935=#REF!,"",B27935)</f>
        <v>#REF!</v>
      </c>
    </row>
    <row r="27936" spans="1:6" ht="15.75" customHeight="1">
      <c r="A27936" s="16" t="s">
        <v>24070</v>
      </c>
      <c r="B27936" s="15" t="s">
        <v>24070</v>
      </c>
      <c r="C27936" s="16" t="s">
        <v>24024</v>
      </c>
      <c r="D27936" s="16" t="s">
        <v>24028</v>
      </c>
      <c r="E27936" s="2">
        <v>1842485</v>
      </c>
      <c r="F27936" s="4" t="e">
        <f>IF(B27936=#REF!,"",B27936)</f>
        <v>#REF!</v>
      </c>
    </row>
    <row r="27937" spans="1:6" ht="15.75" customHeight="1">
      <c r="A27937" s="15" t="s">
        <v>675</v>
      </c>
      <c r="B27937" s="15" t="s">
        <v>675</v>
      </c>
      <c r="C27937" s="15" t="s">
        <v>558</v>
      </c>
      <c r="D27937" s="15" t="s">
        <v>629</v>
      </c>
      <c r="E27937" s="2">
        <v>3433715</v>
      </c>
      <c r="F27937" s="4" t="e">
        <f>IF(B27937=#REF!,"",B27937)</f>
        <v>#REF!</v>
      </c>
    </row>
    <row r="27938" spans="1:6" ht="15.75" customHeight="1">
      <c r="A27938" s="16" t="s">
        <v>26791</v>
      </c>
      <c r="B27938" s="15" t="s">
        <v>26791</v>
      </c>
      <c r="C27938" s="16" t="s">
        <v>26774</v>
      </c>
      <c r="D27938" s="16" t="s">
        <v>26780</v>
      </c>
      <c r="E27938" s="2">
        <v>1219392</v>
      </c>
      <c r="F27938" s="4" t="e">
        <f>IF(B27938=#REF!,"",B27938)</f>
        <v>#REF!</v>
      </c>
    </row>
    <row r="27939" spans="1:6" ht="15.75" customHeight="1">
      <c r="A27939" s="16" t="s">
        <v>2500</v>
      </c>
      <c r="B27939" s="15" t="s">
        <v>2500</v>
      </c>
      <c r="C27939" s="16" t="s">
        <v>1905</v>
      </c>
      <c r="D27939" s="16" t="s">
        <v>1917</v>
      </c>
      <c r="E27939" s="2">
        <v>3462315</v>
      </c>
      <c r="F27939" s="4" t="e">
        <f>IF(B27939=#REF!,"",B27939)</f>
        <v>#REF!</v>
      </c>
    </row>
    <row r="27940" spans="1:6" ht="15.75" customHeight="1">
      <c r="A27940" s="16" t="s">
        <v>11373</v>
      </c>
      <c r="B27940" s="15" t="s">
        <v>11373</v>
      </c>
      <c r="C27940" s="16" t="s">
        <v>10178</v>
      </c>
      <c r="D27940" s="16" t="s">
        <v>10193</v>
      </c>
      <c r="E27940" s="2">
        <v>1270863</v>
      </c>
      <c r="F27940" s="4" t="e">
        <f>IF(B27940=#REF!,"",B27940)</f>
        <v>#REF!</v>
      </c>
    </row>
    <row r="27941" spans="1:6" ht="15.75" customHeight="1">
      <c r="A27941" s="16" t="s">
        <v>7376</v>
      </c>
      <c r="B27941" s="15" t="s">
        <v>7376</v>
      </c>
      <c r="C27941" s="16" t="s">
        <v>7052</v>
      </c>
      <c r="D27941" s="16" t="s">
        <v>7058</v>
      </c>
      <c r="E27941" s="2">
        <v>3015490</v>
      </c>
      <c r="F27941" s="4" t="e">
        <f>IF(B27941=#REF!,"",B27941)</f>
        <v>#REF!</v>
      </c>
    </row>
    <row r="27942" spans="1:6" ht="15.75" customHeight="1">
      <c r="A27942" s="15" t="s">
        <v>3792</v>
      </c>
      <c r="B27942" s="15" t="s">
        <v>3792</v>
      </c>
      <c r="C27942" s="15" t="s">
        <v>3768</v>
      </c>
      <c r="D27942" s="15" t="s">
        <v>3793</v>
      </c>
      <c r="E27942" s="2">
        <v>2360238</v>
      </c>
      <c r="F27942" s="4" t="e">
        <f>IF(B27942=#REF!,"",B27942)</f>
        <v>#REF!</v>
      </c>
    </row>
    <row r="27943" spans="1:6" ht="15.75" customHeight="1">
      <c r="A27943" s="15" t="s">
        <v>992</v>
      </c>
      <c r="B27943" s="15" t="s">
        <v>992</v>
      </c>
      <c r="C27943" s="15" t="s">
        <v>885</v>
      </c>
      <c r="D27943" s="15" t="s">
        <v>891</v>
      </c>
      <c r="E27943" s="2">
        <v>2164837</v>
      </c>
      <c r="F27943" s="4" t="e">
        <f>IF(B27943=#REF!,"",B27943)</f>
        <v>#REF!</v>
      </c>
    </row>
    <row r="27944" spans="1:6" ht="15.75" customHeight="1">
      <c r="A27944" s="15" t="s">
        <v>18975</v>
      </c>
      <c r="B27944" s="15" t="s">
        <v>18975</v>
      </c>
      <c r="C27944" s="15" t="s">
        <v>18862</v>
      </c>
      <c r="D27944" s="15" t="s">
        <v>18868</v>
      </c>
      <c r="E27944" s="2">
        <v>2755420</v>
      </c>
      <c r="F27944" s="4" t="str">
        <f>IF(B27944=B27943,"",B27944)</f>
        <v>Gouda</v>
      </c>
    </row>
    <row r="27945" spans="1:6" ht="15.75" customHeight="1">
      <c r="A27945" s="16" t="str">
        <f ca="1">IFERROR(__xludf.DUMMYFUNCTION("GOOGLETRANSLATE(B28034,""en"",""pt"")"),"Göttingen")</f>
        <v>Göttingen</v>
      </c>
      <c r="B27945" s="20" t="s">
        <v>32102</v>
      </c>
      <c r="C27945" s="20" t="s">
        <v>8028</v>
      </c>
      <c r="D27945" s="20" t="s">
        <v>8034</v>
      </c>
      <c r="E27945" s="10">
        <v>2918632</v>
      </c>
      <c r="F27945" s="4" t="str">
        <f>IF(B27945=B27944,"",B27945)</f>
        <v>Göttingen</v>
      </c>
    </row>
    <row r="27946" spans="1:6" ht="15.75" customHeight="1">
      <c r="A27946" s="16" t="str">
        <f ca="1">IFERROR(__xludf.DUMMYFUNCTION("GOOGLETRANSLATE(B35629,""en"",""pt"")"),"Gōtsuchō")</f>
        <v>Gōtsuchō</v>
      </c>
      <c r="B27946" s="20" t="s">
        <v>34380</v>
      </c>
      <c r="C27946" s="20" t="s">
        <v>15704</v>
      </c>
      <c r="D27946" s="20" t="s">
        <v>15740</v>
      </c>
      <c r="E27946" s="10">
        <v>1863521</v>
      </c>
      <c r="F27946" s="4" t="e">
        <f>IF(B27946=#REF!,"",B27946)</f>
        <v>#REF!</v>
      </c>
    </row>
    <row r="27947" spans="1:6" ht="15.75" customHeight="1">
      <c r="A27947" s="16" t="s">
        <v>3722</v>
      </c>
      <c r="B27947" s="15" t="s">
        <v>3722</v>
      </c>
      <c r="C27947" s="16" t="s">
        <v>3701</v>
      </c>
      <c r="D27947" s="16" t="s">
        <v>3707</v>
      </c>
      <c r="E27947" s="2">
        <v>731108</v>
      </c>
      <c r="F27947" s="4" t="e">
        <f>IF(B27947=#REF!,"",B27947)</f>
        <v>#REF!</v>
      </c>
    </row>
    <row r="27948" spans="1:6" ht="15.75" customHeight="1">
      <c r="A27948" s="15" t="s">
        <v>8479</v>
      </c>
      <c r="B27948" s="15" t="s">
        <v>8479</v>
      </c>
      <c r="C27948" s="15" t="s">
        <v>8028</v>
      </c>
      <c r="D27948" s="15" t="s">
        <v>8054</v>
      </c>
      <c r="E27948" s="2">
        <v>2918752</v>
      </c>
      <c r="F27948" s="4" t="e">
        <f>IF(B27948=#REF!,"",B27948)</f>
        <v>#REF!</v>
      </c>
    </row>
    <row r="27949" spans="1:6" ht="15.75" customHeight="1">
      <c r="A27949" s="15" t="s">
        <v>15909</v>
      </c>
      <c r="B27949" s="15" t="s">
        <v>15909</v>
      </c>
      <c r="C27949" s="15" t="s">
        <v>15704</v>
      </c>
      <c r="D27949" s="15" t="s">
        <v>15809</v>
      </c>
      <c r="E27949" s="2">
        <v>1863528</v>
      </c>
      <c r="F27949" s="4" t="str">
        <f>IF(B27949=B27948,"",B27949)</f>
        <v>Gotenba</v>
      </c>
    </row>
    <row r="27950" spans="1:6" ht="15.75" customHeight="1">
      <c r="A27950" s="16" t="str">
        <f ca="1">IFERROR(__xludf.DUMMYFUNCTION("GOOGLETRANSLATE(B41191,""en"",""pt"")"),"Göteborg")</f>
        <v>Göteborg</v>
      </c>
      <c r="B27950" s="20" t="s">
        <v>35655</v>
      </c>
      <c r="C27950" s="20" t="s">
        <v>25077</v>
      </c>
      <c r="D27950" s="20" t="s">
        <v>35628</v>
      </c>
      <c r="E27950" s="10">
        <v>2711537</v>
      </c>
      <c r="F27950" s="4" t="e">
        <f>IF(B27950=#REF!,"",B27950)</f>
        <v>#REF!</v>
      </c>
    </row>
    <row r="27951" spans="1:6" ht="15.75" customHeight="1">
      <c r="A27951" s="15" t="s">
        <v>21238</v>
      </c>
      <c r="B27951" s="15" t="s">
        <v>21238</v>
      </c>
      <c r="C27951" s="15" t="s">
        <v>21064</v>
      </c>
      <c r="D27951" s="15" t="s">
        <v>21070</v>
      </c>
      <c r="E27951" s="2">
        <v>3098619</v>
      </c>
      <c r="F27951" s="4" t="str">
        <f>IF(B27951=B27950,"",B27951)</f>
        <v>Gostynin</v>
      </c>
    </row>
    <row r="27952" spans="1:6" ht="15.75" customHeight="1">
      <c r="A27952" s="16" t="str">
        <f ca="1">IFERROR(__xludf.DUMMYFUNCTION("GOOGLETRANSLATE(B39455,""en"",""pt"")"),"Gostyń")</f>
        <v>Gostyń</v>
      </c>
      <c r="B27952" s="20" t="s">
        <v>35225</v>
      </c>
      <c r="C27952" s="20" t="s">
        <v>21064</v>
      </c>
      <c r="D27952" s="20" t="s">
        <v>21112</v>
      </c>
      <c r="E27952" s="10">
        <v>3098625</v>
      </c>
      <c r="F27952" s="4" t="str">
        <f>IF(B27952=B27951,"",B27952)</f>
        <v>Gostyń</v>
      </c>
    </row>
    <row r="27953" spans="1:6" ht="15.75" customHeight="1">
      <c r="A27953" s="15" t="s">
        <v>21236</v>
      </c>
      <c r="B27953" s="15" t="s">
        <v>21237</v>
      </c>
      <c r="C27953" s="15" t="s">
        <v>21064</v>
      </c>
      <c r="D27953" s="15" t="s">
        <v>21112</v>
      </c>
      <c r="E27953" s="2">
        <v>3098625</v>
      </c>
      <c r="F27953" s="4" t="e">
        <f>IF(B27953=#REF!,"",B27953)</f>
        <v>#REF!</v>
      </c>
    </row>
    <row r="27954" spans="1:6" ht="15.75" customHeight="1">
      <c r="A27954" s="15" t="s">
        <v>17265</v>
      </c>
      <c r="B27954" s="15" t="s">
        <v>17265</v>
      </c>
      <c r="C27954" s="15" t="s">
        <v>17221</v>
      </c>
      <c r="D27954" s="15" t="s">
        <v>17265</v>
      </c>
      <c r="E27954" s="2">
        <v>790295</v>
      </c>
      <c r="F27954" s="4" t="e">
        <f>IF(B27954=#REF!,"",B27954)</f>
        <v>#REF!</v>
      </c>
    </row>
    <row r="27955" spans="1:6" ht="15.75" customHeight="1">
      <c r="A27955" s="15" t="s">
        <v>25267</v>
      </c>
      <c r="B27955" s="15" t="s">
        <v>25267</v>
      </c>
      <c r="C27955" s="15" t="s">
        <v>25237</v>
      </c>
      <c r="D27955" s="15" t="s">
        <v>25268</v>
      </c>
      <c r="E27955" s="2">
        <v>2660549</v>
      </c>
      <c r="F27955" s="4" t="e">
        <f>IF(B27955=#REF!,"",B27955)</f>
        <v>#REF!</v>
      </c>
    </row>
    <row r="27956" spans="1:6" ht="15.75" customHeight="1">
      <c r="A27956" s="15" t="s">
        <v>991</v>
      </c>
      <c r="B27956" s="15" t="s">
        <v>991</v>
      </c>
      <c r="C27956" s="15" t="s">
        <v>885</v>
      </c>
      <c r="D27956" s="15" t="s">
        <v>889</v>
      </c>
      <c r="E27956" s="2">
        <v>2070571</v>
      </c>
      <c r="F27956" s="4" t="e">
        <f>IF(B27956=#REF!,"",B27956)</f>
        <v>#REF!</v>
      </c>
    </row>
    <row r="27957" spans="1:6" ht="15.75" customHeight="1">
      <c r="A27957" s="15" t="s">
        <v>8478</v>
      </c>
      <c r="B27957" s="15" t="s">
        <v>8478</v>
      </c>
      <c r="C27957" s="15" t="s">
        <v>8028</v>
      </c>
      <c r="D27957" s="15" t="s">
        <v>8034</v>
      </c>
      <c r="E27957" s="2">
        <v>2918840</v>
      </c>
      <c r="F27957" s="4" t="e">
        <f>IF(B27957=#REF!,"",B27957)</f>
        <v>#REF!</v>
      </c>
    </row>
    <row r="27958" spans="1:6" ht="15.75" customHeight="1">
      <c r="A27958" s="16" t="s">
        <v>15908</v>
      </c>
      <c r="B27958" s="15" t="s">
        <v>15908</v>
      </c>
      <c r="C27958" s="16" t="s">
        <v>15704</v>
      </c>
      <c r="D27958" s="16" t="s">
        <v>15815</v>
      </c>
      <c r="E27958" s="2">
        <v>2131612</v>
      </c>
      <c r="F27958" s="4" t="e">
        <f>IF(B27958=#REF!,"",B27958)</f>
        <v>#REF!</v>
      </c>
    </row>
    <row r="27959" spans="1:6" ht="15.75" customHeight="1">
      <c r="A27959" s="15" t="s">
        <v>28761</v>
      </c>
      <c r="B27959" s="15" t="s">
        <v>28761</v>
      </c>
      <c r="C27959" s="15" t="s">
        <v>27788</v>
      </c>
      <c r="D27959" s="15" t="s">
        <v>27869</v>
      </c>
      <c r="E27959" s="2">
        <v>4920808</v>
      </c>
      <c r="F27959" s="4" t="e">
        <f>IF(B27959=#REF!,"",B27959)</f>
        <v>#REF!</v>
      </c>
    </row>
    <row r="27960" spans="1:6" ht="15.75" customHeight="1">
      <c r="A27960" s="15" t="s">
        <v>24069</v>
      </c>
      <c r="B27960" s="15" t="s">
        <v>24069</v>
      </c>
      <c r="C27960" s="15" t="s">
        <v>24024</v>
      </c>
      <c r="D27960" s="15" t="s">
        <v>24040</v>
      </c>
      <c r="E27960" s="2">
        <v>1842518</v>
      </c>
      <c r="F27960" s="4" t="e">
        <f>IF(B27960=#REF!,"",B27960)</f>
        <v>#REF!</v>
      </c>
    </row>
    <row r="27961" spans="1:6" ht="15.75" customHeight="1">
      <c r="A27961" s="15" t="s">
        <v>15907</v>
      </c>
      <c r="B27961" s="15" t="s">
        <v>15907</v>
      </c>
      <c r="C27961" s="15" t="s">
        <v>15704</v>
      </c>
      <c r="D27961" s="15" t="s">
        <v>15818</v>
      </c>
      <c r="E27961" s="2">
        <v>1863540</v>
      </c>
      <c r="F27961" s="4" t="e">
        <f>IF(B27961=#REF!,"",B27961)</f>
        <v>#REF!</v>
      </c>
    </row>
    <row r="27962" spans="1:6" ht="15.75" customHeight="1">
      <c r="A27962" s="15" t="s">
        <v>15906</v>
      </c>
      <c r="B27962" s="15" t="s">
        <v>15906</v>
      </c>
      <c r="C27962" s="15" t="s">
        <v>15704</v>
      </c>
      <c r="D27962" s="15" t="s">
        <v>15905</v>
      </c>
      <c r="E27962" s="2">
        <v>1863541</v>
      </c>
      <c r="F27962" s="4" t="str">
        <f>IF(B27962=B27961,"",B27962)</f>
        <v>Gose</v>
      </c>
    </row>
    <row r="27963" spans="1:6" ht="15.75" customHeight="1">
      <c r="A27963" s="16" t="str">
        <f ca="1">IFERROR(__xludf.DUMMYFUNCTION("GOOGLETRANSLATE(B33435,""en"",""pt"")"),"Gosāba")</f>
        <v>Gosāba</v>
      </c>
      <c r="B27963" s="20" t="s">
        <v>33706</v>
      </c>
      <c r="C27963" s="20" t="s">
        <v>10178</v>
      </c>
      <c r="D27963" s="20" t="s">
        <v>10201</v>
      </c>
      <c r="E27963" s="10">
        <v>1270896</v>
      </c>
      <c r="F27963" s="4" t="str">
        <f>IF(B27963=B27962,"",B27963)</f>
        <v>Gosāba</v>
      </c>
    </row>
    <row r="27964" spans="1:6" ht="15.75" customHeight="1">
      <c r="A27964" s="15" t="s">
        <v>11371</v>
      </c>
      <c r="B27964" s="15" t="s">
        <v>11372</v>
      </c>
      <c r="C27964" s="15" t="s">
        <v>10178</v>
      </c>
      <c r="D27964" s="15" t="s">
        <v>10201</v>
      </c>
      <c r="E27964" s="2">
        <v>1270896</v>
      </c>
      <c r="F27964" s="4" t="str">
        <f>IF(B27964=B27963,"",B27964)</f>
        <v>GosÄba</v>
      </c>
    </row>
    <row r="27965" spans="1:6" ht="15.75" customHeight="1">
      <c r="A27965" s="16" t="str">
        <f ca="1">IFERROR(__xludf.DUMMYFUNCTION("GOOGLETRANSLATE(B39456,""en"",""pt"")"),"Gorzów Wielkopolski")</f>
        <v>Gorzów Wielkopolski</v>
      </c>
      <c r="B27965" s="20" t="s">
        <v>35226</v>
      </c>
      <c r="C27965" s="20" t="s">
        <v>21064</v>
      </c>
      <c r="D27965" s="20" t="s">
        <v>21065</v>
      </c>
      <c r="E27965" s="10">
        <v>3098722</v>
      </c>
      <c r="F27965" s="4" t="str">
        <f>IF(B27965=B27964,"",B27965)</f>
        <v>Gorzów Wielkopolski</v>
      </c>
    </row>
    <row r="27966" spans="1:6" ht="15.75" customHeight="1">
      <c r="A27966" s="16" t="s">
        <v>21234</v>
      </c>
      <c r="B27966" s="15" t="s">
        <v>21235</v>
      </c>
      <c r="C27966" s="16" t="s">
        <v>21064</v>
      </c>
      <c r="D27966" s="16" t="s">
        <v>21065</v>
      </c>
      <c r="E27966" s="2">
        <v>3098722</v>
      </c>
      <c r="F27966" s="4" t="e">
        <f>IF(B27966=#REF!,"",B27966)</f>
        <v>#REF!</v>
      </c>
    </row>
    <row r="27967" spans="1:6" ht="15.75" customHeight="1">
      <c r="A27967" s="16" t="s">
        <v>22404</v>
      </c>
      <c r="B27967" s="15" t="s">
        <v>22404</v>
      </c>
      <c r="C27967" s="16" t="s">
        <v>22070</v>
      </c>
      <c r="D27967" s="16" t="s">
        <v>22077</v>
      </c>
      <c r="E27967" s="2">
        <v>559317</v>
      </c>
      <c r="F27967" s="4" t="e">
        <f>IF(B27967=#REF!,"",B27967)</f>
        <v>#REF!</v>
      </c>
    </row>
    <row r="27968" spans="1:6" ht="15.75" customHeight="1">
      <c r="A27968" s="16" t="s">
        <v>22403</v>
      </c>
      <c r="B27968" s="15" t="s">
        <v>22403</v>
      </c>
      <c r="C27968" s="16" t="s">
        <v>22070</v>
      </c>
      <c r="D27968" s="16" t="s">
        <v>22117</v>
      </c>
      <c r="E27968" s="2">
        <v>559320</v>
      </c>
      <c r="F27968" s="4" t="e">
        <f>IF(B27968=#REF!,"",B27968)</f>
        <v>#REF!</v>
      </c>
    </row>
    <row r="27969" spans="1:6" ht="15.75" customHeight="1">
      <c r="A27969" s="16" t="s">
        <v>13931</v>
      </c>
      <c r="B27969" s="15" t="s">
        <v>13931</v>
      </c>
      <c r="C27969" s="16" t="s">
        <v>13800</v>
      </c>
      <c r="D27969" s="16" t="s">
        <v>13931</v>
      </c>
      <c r="E27969" s="2">
        <v>1643837</v>
      </c>
      <c r="F27969" s="4" t="e">
        <f>IF(B27969=#REF!,"",B27969)</f>
        <v>#REF!</v>
      </c>
    </row>
    <row r="27970" spans="1:6" ht="15.75" customHeight="1">
      <c r="A27970" s="15" t="s">
        <v>20412</v>
      </c>
      <c r="B27970" s="15" t="s">
        <v>20412</v>
      </c>
      <c r="C27970" s="15" t="s">
        <v>20406</v>
      </c>
      <c r="D27970" s="15" t="s">
        <v>20413</v>
      </c>
      <c r="E27970" s="2">
        <v>2096742</v>
      </c>
      <c r="F27970" s="4" t="e">
        <f>IF(B27970=#REF!,"",B27970)</f>
        <v>#REF!</v>
      </c>
    </row>
    <row r="27971" spans="1:6" ht="15.75" customHeight="1">
      <c r="A27971" s="16" t="s">
        <v>22402</v>
      </c>
      <c r="B27971" s="15" t="s">
        <v>22402</v>
      </c>
      <c r="C27971" s="16" t="s">
        <v>22070</v>
      </c>
      <c r="D27971" s="16" t="s">
        <v>22351</v>
      </c>
      <c r="E27971" s="2">
        <v>559654</v>
      </c>
      <c r="F27971" s="4" t="e">
        <f>IF(B27971=#REF!,"",B27971)</f>
        <v>#REF!</v>
      </c>
    </row>
    <row r="27972" spans="1:6" ht="15.75" customHeight="1">
      <c r="A27972" s="15" t="s">
        <v>22401</v>
      </c>
      <c r="B27972" s="15" t="s">
        <v>22401</v>
      </c>
      <c r="C27972" s="15" t="s">
        <v>22070</v>
      </c>
      <c r="D27972" s="15" t="s">
        <v>22161</v>
      </c>
      <c r="E27972" s="2">
        <v>559678</v>
      </c>
      <c r="F27972" s="4" t="e">
        <f>IF(B27972=#REF!,"",B27972)</f>
        <v>#REF!</v>
      </c>
    </row>
    <row r="27973" spans="1:6" ht="15.75" customHeight="1">
      <c r="A27973" s="15" t="s">
        <v>22400</v>
      </c>
      <c r="B27973" s="15" t="s">
        <v>22400</v>
      </c>
      <c r="C27973" s="15" t="s">
        <v>22070</v>
      </c>
      <c r="D27973" s="15" t="s">
        <v>22124</v>
      </c>
      <c r="E27973" s="2">
        <v>1506260</v>
      </c>
      <c r="F27973" s="4" t="e">
        <f>IF(B27973=#REF!,"",B27973)</f>
        <v>#REF!</v>
      </c>
    </row>
    <row r="27974" spans="1:6" ht="15.75" customHeight="1">
      <c r="A27974" s="16" t="s">
        <v>22398</v>
      </c>
      <c r="B27974" s="15" t="s">
        <v>22398</v>
      </c>
      <c r="C27974" s="16" t="s">
        <v>22070</v>
      </c>
      <c r="D27974" s="16" t="s">
        <v>22399</v>
      </c>
      <c r="E27974" s="2">
        <v>1506271</v>
      </c>
      <c r="F27974" s="4" t="e">
        <f>IF(B27974=#REF!,"",B27974)</f>
        <v>#REF!</v>
      </c>
    </row>
    <row r="27975" spans="1:6" ht="15.75" customHeight="1">
      <c r="A27975" s="16" t="s">
        <v>23621</v>
      </c>
      <c r="B27975" s="15" t="s">
        <v>23621</v>
      </c>
      <c r="C27975" s="16" t="s">
        <v>23602</v>
      </c>
      <c r="D27975" s="16" t="s">
        <v>23603</v>
      </c>
      <c r="E27975" s="2">
        <v>790367</v>
      </c>
      <c r="F27975" s="4" t="e">
        <f>IF(B27975=#REF!,"",B27975)</f>
        <v>#REF!</v>
      </c>
    </row>
    <row r="27976" spans="1:6" ht="15.75" customHeight="1">
      <c r="A27976" s="16" t="s">
        <v>3720</v>
      </c>
      <c r="B27976" s="15" t="s">
        <v>3720</v>
      </c>
      <c r="C27976" s="16" t="s">
        <v>3701</v>
      </c>
      <c r="D27976" s="16" t="s">
        <v>3721</v>
      </c>
      <c r="E27976" s="2">
        <v>731233</v>
      </c>
      <c r="F27976" s="4" t="str">
        <f>IF(B27976=B27975,"",B27976)</f>
        <v>Gorna Oryakhovitsa</v>
      </c>
    </row>
    <row r="27977" spans="1:6" ht="15.75" customHeight="1">
      <c r="A27977" s="16" t="str">
        <f ca="1">IFERROR(__xludf.DUMMYFUNCTION("GOOGLETRANSLATE(B28037,""en"",""pt"")"),"Görlitz")</f>
        <v>Görlitz</v>
      </c>
      <c r="B27977" s="20" t="s">
        <v>32103</v>
      </c>
      <c r="C27977" s="20" t="s">
        <v>8028</v>
      </c>
      <c r="D27977" s="20" t="s">
        <v>8072</v>
      </c>
      <c r="E27977" s="10">
        <v>2918987</v>
      </c>
      <c r="F27977" s="4" t="e">
        <f>IF(B27977=#REF!,"",B27977)</f>
        <v>#REF!</v>
      </c>
    </row>
    <row r="27978" spans="1:6" ht="15.75" customHeight="1">
      <c r="A27978" s="15" t="s">
        <v>21233</v>
      </c>
      <c r="B27978" s="15" t="s">
        <v>21233</v>
      </c>
      <c r="C27978" s="15" t="s">
        <v>21064</v>
      </c>
      <c r="D27978" s="15" t="s">
        <v>21108</v>
      </c>
      <c r="E27978" s="2">
        <v>771804</v>
      </c>
      <c r="F27978" s="4" t="e">
        <f>IF(B27978=#REF!,"",B27978)</f>
        <v>#REF!</v>
      </c>
    </row>
    <row r="27979" spans="1:6" ht="15.75" customHeight="1">
      <c r="A27979" s="15" t="s">
        <v>15182</v>
      </c>
      <c r="B27979" s="15" t="s">
        <v>15182</v>
      </c>
      <c r="C27979" s="15" t="s">
        <v>14891</v>
      </c>
      <c r="D27979" s="15" t="s">
        <v>15105</v>
      </c>
      <c r="E27979" s="2">
        <v>3175986</v>
      </c>
      <c r="F27979" s="4" t="e">
        <f>IF(B27979=#REF!,"",B27979)</f>
        <v>#REF!</v>
      </c>
    </row>
    <row r="27980" spans="1:6" ht="15.75" customHeight="1">
      <c r="A27980" s="15" t="s">
        <v>866</v>
      </c>
      <c r="B27980" s="15" t="s">
        <v>866</v>
      </c>
      <c r="C27980" s="15" t="s">
        <v>853</v>
      </c>
      <c r="D27980" s="15" t="s">
        <v>867</v>
      </c>
      <c r="E27980" s="2">
        <v>174895</v>
      </c>
      <c r="F27980" s="4" t="e">
        <f>IF(B27980=#REF!,"",B27980)</f>
        <v>#REF!</v>
      </c>
    </row>
    <row r="27981" spans="1:6" ht="15.75" customHeight="1">
      <c r="A27981" s="16" t="s">
        <v>18974</v>
      </c>
      <c r="B27981" s="15" t="s">
        <v>18974</v>
      </c>
      <c r="C27981" s="16" t="s">
        <v>18862</v>
      </c>
      <c r="D27981" s="16" t="s">
        <v>18868</v>
      </c>
      <c r="E27981" s="2">
        <v>2755434</v>
      </c>
      <c r="F27981" s="4" t="str">
        <f>IF(B27981=B27980,"",B27981)</f>
        <v>Gorinchem</v>
      </c>
    </row>
    <row r="27982" spans="1:6" ht="15.75" customHeight="1">
      <c r="A27982" s="16" t="str">
        <f ca="1">IFERROR(__xludf.DUMMYFUNCTION("GOOGLETRANSLATE(B33472,""en"",""pt"")"),"Goribidnūr")</f>
        <v>Goribidnūr</v>
      </c>
      <c r="B27982" s="20" t="s">
        <v>33725</v>
      </c>
      <c r="C27982" s="20" t="s">
        <v>10178</v>
      </c>
      <c r="D27982" s="20" t="s">
        <v>10252</v>
      </c>
      <c r="E27982" s="10">
        <v>1271459</v>
      </c>
      <c r="F27982" s="4" t="str">
        <f>IF(B27982=B27981,"",B27982)</f>
        <v>Goribidnūr</v>
      </c>
    </row>
    <row r="27983" spans="1:6" ht="15.75" customHeight="1">
      <c r="A27983" s="16" t="s">
        <v>11369</v>
      </c>
      <c r="B27983" s="15" t="s">
        <v>11370</v>
      </c>
      <c r="C27983" s="16" t="s">
        <v>10178</v>
      </c>
      <c r="D27983" s="16" t="s">
        <v>10252</v>
      </c>
      <c r="E27983" s="2">
        <v>1271459</v>
      </c>
      <c r="F27983" s="4" t="e">
        <f>IF(B27983=#REF!,"",B27983)</f>
        <v>#REF!</v>
      </c>
    </row>
    <row r="27984" spans="1:6" ht="15.75" customHeight="1">
      <c r="A27984" s="15" t="s">
        <v>7992</v>
      </c>
      <c r="B27984" s="15" t="s">
        <v>7992</v>
      </c>
      <c r="C27984" s="15" t="s">
        <v>7988</v>
      </c>
      <c r="D27984" s="15" t="s">
        <v>7993</v>
      </c>
      <c r="E27984" s="2">
        <v>614455</v>
      </c>
      <c r="F27984" s="4" t="e">
        <f>IF(B27984=#REF!,"",B27984)</f>
        <v>#REF!</v>
      </c>
    </row>
    <row r="27985" spans="1:6" ht="15.75" customHeight="1">
      <c r="A27985" s="16" t="s">
        <v>15181</v>
      </c>
      <c r="B27985" s="15" t="s">
        <v>15181</v>
      </c>
      <c r="C27985" s="16" t="s">
        <v>14891</v>
      </c>
      <c r="D27985" s="16" t="s">
        <v>14894</v>
      </c>
      <c r="E27985" s="2">
        <v>3175990</v>
      </c>
      <c r="F27985" s="4" t="str">
        <f>IF(B27985=B27984,"",B27985)</f>
        <v>Gorgonzola</v>
      </c>
    </row>
    <row r="27986" spans="1:6" ht="15.75" customHeight="1">
      <c r="A27986" s="16" t="str">
        <f ca="1">IFERROR(__xludf.DUMMYFUNCTION("GOOGLETRANSLATE(B34445,""en"",""pt"")"),"Gorgān")</f>
        <v>Gorgān</v>
      </c>
      <c r="B27986" s="20" t="s">
        <v>34196</v>
      </c>
      <c r="C27986" s="20" t="s">
        <v>14240</v>
      </c>
      <c r="D27986" s="20" t="s">
        <v>34127</v>
      </c>
      <c r="E27986" s="10">
        <v>132892</v>
      </c>
      <c r="F27986" s="4" t="str">
        <f>IF(B27986=B27985,"",B27986)</f>
        <v>Gorgān</v>
      </c>
    </row>
    <row r="27987" spans="1:6" ht="15.75" customHeight="1">
      <c r="A27987" s="15" t="s">
        <v>14396</v>
      </c>
      <c r="B27987" s="15" t="s">
        <v>14397</v>
      </c>
      <c r="C27987" s="15" t="s">
        <v>14240</v>
      </c>
      <c r="D27987" s="15" t="s">
        <v>14262</v>
      </c>
      <c r="E27987" s="2">
        <v>132892</v>
      </c>
      <c r="F27987" s="4" t="e">
        <f>IF(B27987=#REF!,"",B27987)</f>
        <v>#REF!</v>
      </c>
    </row>
    <row r="27988" spans="1:6" ht="15.75" customHeight="1">
      <c r="A27988" s="15" t="s">
        <v>22397</v>
      </c>
      <c r="B27988" s="15" t="s">
        <v>22397</v>
      </c>
      <c r="C27988" s="15" t="s">
        <v>22070</v>
      </c>
      <c r="D27988" s="15" t="s">
        <v>22084</v>
      </c>
      <c r="E27988" s="2">
        <v>560142</v>
      </c>
      <c r="F27988" s="4" t="str">
        <f>IF(B27988=B27987,"",B27988)</f>
        <v>Gorelovo</v>
      </c>
    </row>
    <row r="27989" spans="1:6" ht="15.75" customHeight="1">
      <c r="A27989" s="16" t="str">
        <f ca="1">IFERROR(__xludf.DUMMYFUNCTION("GOOGLETRANSLATE(B42171,""en"",""pt"")"),"Görele")</f>
        <v>Görele</v>
      </c>
      <c r="B27989" s="20" t="s">
        <v>35945</v>
      </c>
      <c r="C27989" s="20" t="s">
        <v>26201</v>
      </c>
      <c r="D27989" s="20" t="s">
        <v>26350</v>
      </c>
      <c r="E27989" s="10">
        <v>746565</v>
      </c>
      <c r="F27989" s="4" t="str">
        <f>IF(B27989=B27988,"",B27989)</f>
        <v>Görele</v>
      </c>
    </row>
    <row r="27990" spans="1:6" ht="15.75" customHeight="1">
      <c r="A27990" s="16" t="str">
        <f ca="1">IFERROR(__xludf.DUMMYFUNCTION("GOOGLETRANSLATE(B23682,""en"",""pt"")"),"Goražde")</f>
        <v>Goražde</v>
      </c>
      <c r="B27990" s="20" t="s">
        <v>31252</v>
      </c>
      <c r="C27990" s="20" t="s">
        <v>1845</v>
      </c>
      <c r="D27990" s="20" t="s">
        <v>1849</v>
      </c>
      <c r="E27990" s="10">
        <v>3200396</v>
      </c>
      <c r="F27990" s="4" t="e">
        <f>IF(B27990=#REF!,"",B27990)</f>
        <v>#REF!</v>
      </c>
    </row>
    <row r="27991" spans="1:6" ht="15.75" customHeight="1">
      <c r="A27991" s="16" t="s">
        <v>11368</v>
      </c>
      <c r="B27991" s="15" t="s">
        <v>11368</v>
      </c>
      <c r="C27991" s="16" t="s">
        <v>10178</v>
      </c>
      <c r="D27991" s="16" t="s">
        <v>10224</v>
      </c>
      <c r="E27991" s="2">
        <v>1270926</v>
      </c>
      <c r="F27991" s="4" t="str">
        <f>IF(B27991=B27990,"",B27991)</f>
        <v>Gorakhpur</v>
      </c>
    </row>
    <row r="27992" spans="1:6" ht="15.75" customHeight="1">
      <c r="A27992" s="16" t="s">
        <v>1858</v>
      </c>
      <c r="B27992" s="15" t="s">
        <v>1859</v>
      </c>
      <c r="C27992" s="16" t="s">
        <v>1845</v>
      </c>
      <c r="D27992" s="16" t="s">
        <v>1849</v>
      </c>
      <c r="E27992" s="2">
        <v>3200396</v>
      </c>
      <c r="F27992" s="4" t="str">
        <f>IF(B27992=B27991,"",B27992)</f>
        <v>GoraÅ¾de</v>
      </c>
    </row>
    <row r="27993" spans="1:6" ht="15.75" customHeight="1">
      <c r="A27993" s="16" t="str">
        <f ca="1">IFERROR(__xludf.DUMMYFUNCTION("GOOGLETRANSLATE(B28038,""en"",""pt"")"),"Göppingen")</f>
        <v>Göppingen</v>
      </c>
      <c r="B27993" s="20" t="s">
        <v>32104</v>
      </c>
      <c r="C27993" s="20" t="s">
        <v>8028</v>
      </c>
      <c r="D27993" s="20" t="s">
        <v>32013</v>
      </c>
      <c r="E27993" s="10">
        <v>2919054</v>
      </c>
      <c r="F27993" s="4" t="str">
        <f>IF(B27993=B27992,"",B27993)</f>
        <v>Göppingen</v>
      </c>
    </row>
    <row r="27994" spans="1:6" ht="15.75" customHeight="1">
      <c r="A27994" s="16" t="str">
        <f ca="1">IFERROR(__xludf.DUMMYFUNCTION("GOOGLETRANSLATE(B33439,""en"",""pt"")"),"Gopālganj")</f>
        <v>Gopālganj</v>
      </c>
      <c r="B27994" s="20" t="s">
        <v>33707</v>
      </c>
      <c r="C27994" s="20" t="s">
        <v>10178</v>
      </c>
      <c r="D27994" s="20" t="s">
        <v>10317</v>
      </c>
      <c r="E27994" s="10">
        <v>1270965</v>
      </c>
      <c r="F27994" s="4" t="str">
        <f>IF(B27994=B27993,"",B27994)</f>
        <v>Gopālganj</v>
      </c>
    </row>
    <row r="27995" spans="1:6" ht="15.75" customHeight="1">
      <c r="A27995" s="16" t="s">
        <v>11366</v>
      </c>
      <c r="B27995" s="15" t="s">
        <v>11367</v>
      </c>
      <c r="C27995" s="16" t="s">
        <v>10178</v>
      </c>
      <c r="D27995" s="16" t="s">
        <v>10317</v>
      </c>
      <c r="E27995" s="2">
        <v>1270965</v>
      </c>
      <c r="F27995" s="4" t="e">
        <f>IF(B27995=#REF!,"",B27995)</f>
        <v>#REF!</v>
      </c>
    </row>
    <row r="27996" spans="1:6" ht="15.75" customHeight="1">
      <c r="A27996" s="16" t="s">
        <v>28760</v>
      </c>
      <c r="B27996" s="15" t="s">
        <v>28760</v>
      </c>
      <c r="C27996" s="16" t="s">
        <v>27788</v>
      </c>
      <c r="D27996" s="16" t="s">
        <v>27811</v>
      </c>
      <c r="E27996" s="2">
        <v>4580098</v>
      </c>
      <c r="F27996" s="4" t="e">
        <f>IF(B27996=#REF!,"",B27996)</f>
        <v>#REF!</v>
      </c>
    </row>
    <row r="27997" spans="1:6" ht="15.75" customHeight="1">
      <c r="A27997" s="15" t="s">
        <v>28758</v>
      </c>
      <c r="B27997" s="15" t="s">
        <v>28759</v>
      </c>
      <c r="C27997" s="15" t="s">
        <v>27788</v>
      </c>
      <c r="D27997" s="15" t="s">
        <v>27880</v>
      </c>
      <c r="E27997" s="2">
        <v>5296266</v>
      </c>
      <c r="F27997" s="4" t="e">
        <f>IF(B27997=#REF!,"",B27997)</f>
        <v>#REF!</v>
      </c>
    </row>
    <row r="27998" spans="1:6" ht="15.75" customHeight="1">
      <c r="A27998" s="16" t="s">
        <v>28757</v>
      </c>
      <c r="B27998" s="15" t="s">
        <v>28757</v>
      </c>
      <c r="C27998" s="16" t="s">
        <v>27788</v>
      </c>
      <c r="D27998" s="16" t="s">
        <v>27957</v>
      </c>
      <c r="E27998" s="2">
        <v>4625282</v>
      </c>
      <c r="F27998" s="4" t="e">
        <f>IF(B27998=#REF!,"",B27998)</f>
        <v>#REF!</v>
      </c>
    </row>
    <row r="27999" spans="1:6" ht="15.75" customHeight="1">
      <c r="A27999" s="16" t="s">
        <v>17685</v>
      </c>
      <c r="B27999" s="15" t="s">
        <v>17685</v>
      </c>
      <c r="C27999" s="16" t="s">
        <v>17678</v>
      </c>
      <c r="D27999" s="16" t="s">
        <v>17686</v>
      </c>
      <c r="E27999" s="2">
        <v>934488</v>
      </c>
      <c r="F27999" s="4" t="e">
        <f>IF(B27999=#REF!,"",B27999)</f>
        <v>#REF!</v>
      </c>
    </row>
    <row r="28000" spans="1:6" ht="15.75" customHeight="1">
      <c r="A28000" s="16" t="s">
        <v>28756</v>
      </c>
      <c r="B28000" s="15" t="s">
        <v>28756</v>
      </c>
      <c r="C28000" s="16" t="s">
        <v>27788</v>
      </c>
      <c r="D28000" s="16" t="s">
        <v>27799</v>
      </c>
      <c r="E28000" s="2">
        <v>4894061</v>
      </c>
      <c r="F28000" s="4" t="e">
        <f>IF(B28000=#REF!,"",B28000)</f>
        <v>#REF!</v>
      </c>
    </row>
    <row r="28001" spans="1:6" ht="15.75" customHeight="1">
      <c r="A28001" s="16" t="s">
        <v>4695</v>
      </c>
      <c r="B28001" s="15" t="s">
        <v>4695</v>
      </c>
      <c r="C28001" s="16" t="s">
        <v>4487</v>
      </c>
      <c r="D28001" s="16" t="s">
        <v>4518</v>
      </c>
      <c r="E28001" s="2">
        <v>2037222</v>
      </c>
      <c r="F28001" s="4" t="e">
        <f>IF(B28001=#REF!,"",B28001)</f>
        <v>#REF!</v>
      </c>
    </row>
    <row r="28002" spans="1:6" ht="15.75" customHeight="1">
      <c r="A28002" s="15" t="s">
        <v>24068</v>
      </c>
      <c r="B28002" s="15" t="s">
        <v>24068</v>
      </c>
      <c r="C28002" s="15" t="s">
        <v>24024</v>
      </c>
      <c r="D28002" s="15" t="s">
        <v>24033</v>
      </c>
      <c r="E28002" s="2">
        <v>1842616</v>
      </c>
      <c r="F28002" s="4" t="e">
        <f>IF(B28002=#REF!,"",B28002)</f>
        <v>#REF!</v>
      </c>
    </row>
    <row r="28003" spans="1:6" ht="15.75" customHeight="1">
      <c r="A28003" s="16" t="s">
        <v>13930</v>
      </c>
      <c r="B28003" s="15" t="s">
        <v>13930</v>
      </c>
      <c r="C28003" s="16" t="s">
        <v>13800</v>
      </c>
      <c r="D28003" s="16" t="s">
        <v>13816</v>
      </c>
      <c r="E28003" s="2">
        <v>1643898</v>
      </c>
      <c r="F28003" s="4" t="e">
        <f>IF(B28003=#REF!,"",B28003)</f>
        <v>#REF!</v>
      </c>
    </row>
    <row r="28004" spans="1:6" ht="15.75" customHeight="1">
      <c r="A28004" s="16" t="s">
        <v>4693</v>
      </c>
      <c r="B28004" s="15" t="s">
        <v>4694</v>
      </c>
      <c r="C28004" s="16" t="s">
        <v>4487</v>
      </c>
      <c r="D28004" s="16" t="s">
        <v>4505</v>
      </c>
      <c r="E28004" s="2">
        <v>2037240</v>
      </c>
      <c r="F28004" s="4" t="e">
        <f>IF(B28004=#REF!,"",B28004)</f>
        <v>#REF!</v>
      </c>
    </row>
    <row r="28005" spans="1:6" ht="15.75" customHeight="1">
      <c r="A28005" s="15" t="s">
        <v>7375</v>
      </c>
      <c r="B28005" s="15" t="s">
        <v>7375</v>
      </c>
      <c r="C28005" s="15" t="s">
        <v>7052</v>
      </c>
      <c r="D28005" s="15" t="s">
        <v>7058</v>
      </c>
      <c r="E28005" s="2">
        <v>3015689</v>
      </c>
      <c r="F28005" s="4" t="str">
        <f>IF(B28005=B28004,"",B28005)</f>
        <v>Gonesse</v>
      </c>
    </row>
    <row r="28006" spans="1:6" ht="15.75" customHeight="1">
      <c r="A28006" s="16" t="str">
        <f ca="1">IFERROR(__xludf.DUMMYFUNCTION("GOOGLETRANSLATE(B42172,""en"",""pt"")"),"Gönen")</f>
        <v>Gönen</v>
      </c>
      <c r="B28006" s="20" t="s">
        <v>35946</v>
      </c>
      <c r="C28006" s="20" t="s">
        <v>26201</v>
      </c>
      <c r="D28006" s="20" t="s">
        <v>35830</v>
      </c>
      <c r="E28006" s="10">
        <v>746574</v>
      </c>
      <c r="F28006" s="4" t="e">
        <f>IF(B28006=#REF!,"",B28006)</f>
        <v>#REF!</v>
      </c>
    </row>
    <row r="28007" spans="1:6" ht="15.75" customHeight="1">
      <c r="A28007" s="16" t="s">
        <v>21666</v>
      </c>
      <c r="B28007" s="15" t="s">
        <v>21666</v>
      </c>
      <c r="C28007" s="16" t="s">
        <v>21606</v>
      </c>
      <c r="D28007" s="16" t="s">
        <v>21609</v>
      </c>
      <c r="E28007" s="2">
        <v>2738925</v>
      </c>
      <c r="F28007" s="4" t="str">
        <f>IF(B28007=B28006,"",B28007)</f>
        <v>Gondomar</v>
      </c>
    </row>
    <row r="28008" spans="1:6" ht="15.75" customHeight="1">
      <c r="A28008" s="15" t="s">
        <v>11364</v>
      </c>
      <c r="B28008" s="15" t="s">
        <v>11365</v>
      </c>
      <c r="C28008" s="15" t="s">
        <v>10178</v>
      </c>
      <c r="D28008" s="15" t="s">
        <v>10214</v>
      </c>
      <c r="E28008" s="2">
        <v>1270990</v>
      </c>
      <c r="F28008" s="4" t="str">
        <f>IF(B28008=B28007,"",B28008)</f>
        <v>GondiÄ</v>
      </c>
    </row>
    <row r="28009" spans="1:6" ht="15.75" customHeight="1">
      <c r="A28009" s="16" t="str">
        <f ca="1">IFERROR(__xludf.DUMMYFUNCTION("GOOGLETRANSLATE(B33440,""en"",""pt"")"),"Gondiā")</f>
        <v>Gondiā</v>
      </c>
      <c r="B28009" s="20" t="s">
        <v>33708</v>
      </c>
      <c r="C28009" s="20" t="s">
        <v>10178</v>
      </c>
      <c r="D28009" s="20" t="s">
        <v>10214</v>
      </c>
      <c r="E28009" s="10">
        <v>1270990</v>
      </c>
      <c r="F28009" s="4" t="e">
        <f>IF(B28009=#REF!,"",B28009)</f>
        <v>#REF!</v>
      </c>
    </row>
    <row r="28010" spans="1:6" ht="15.75" customHeight="1">
      <c r="A28010" s="15" t="s">
        <v>6882</v>
      </c>
      <c r="B28010" s="15" t="s">
        <v>6882</v>
      </c>
      <c r="C28010" s="15" t="s">
        <v>6807</v>
      </c>
      <c r="D28010" s="15" t="s">
        <v>6811</v>
      </c>
      <c r="E28010" s="2">
        <v>336014</v>
      </c>
      <c r="F28010" s="4" t="e">
        <f>IF(B28010=#REF!,"",B28010)</f>
        <v>#REF!</v>
      </c>
    </row>
    <row r="28011" spans="1:6" ht="15.75" customHeight="1">
      <c r="A28011" s="15" t="s">
        <v>11363</v>
      </c>
      <c r="B28011" s="15" t="s">
        <v>11363</v>
      </c>
      <c r="C28011" s="15" t="s">
        <v>10178</v>
      </c>
      <c r="D28011" s="15" t="s">
        <v>10209</v>
      </c>
      <c r="E28011" s="2">
        <v>1270994</v>
      </c>
      <c r="F28011" s="4" t="str">
        <f>IF(B28011=B28010,"",B28011)</f>
        <v>Gondal</v>
      </c>
    </row>
    <row r="28012" spans="1:6" ht="15.75" customHeight="1">
      <c r="A28012" s="16" t="s">
        <v>11361</v>
      </c>
      <c r="B28012" s="15" t="s">
        <v>11362</v>
      </c>
      <c r="C28012" s="16" t="s">
        <v>10178</v>
      </c>
      <c r="D28012" s="16" t="s">
        <v>10193</v>
      </c>
      <c r="E28012" s="2">
        <v>1270996</v>
      </c>
      <c r="F28012" s="4" t="str">
        <f>IF(B28012=B28011,"",B28012)</f>
        <v>GondÄ City</v>
      </c>
    </row>
    <row r="28013" spans="1:6" ht="15.75" customHeight="1">
      <c r="A28013" s="16" t="str">
        <f ca="1">IFERROR(__xludf.DUMMYFUNCTION("GOOGLETRANSLATE(B33442,""en"",""pt"")"),"Gondā City")</f>
        <v>Gondā City</v>
      </c>
      <c r="B28013" s="20" t="s">
        <v>33709</v>
      </c>
      <c r="C28013" s="20" t="s">
        <v>10178</v>
      </c>
      <c r="D28013" s="20" t="s">
        <v>10193</v>
      </c>
      <c r="E28013" s="10">
        <v>1270996</v>
      </c>
      <c r="F28013" s="4" t="str">
        <f>IF(B28013=B28012,"",B28013)</f>
        <v>Gondā City</v>
      </c>
    </row>
    <row r="28014" spans="1:6" ht="15.75" customHeight="1">
      <c r="A28014" s="16" t="str">
        <f ca="1">IFERROR(__xludf.DUMMYFUNCTION("GOOGLETRANSLATE(B34446,""en"",""pt"")"),"Gonbad-e Kāvūs")</f>
        <v>Gonbad-e Kāvūs</v>
      </c>
      <c r="B28014" s="20" t="s">
        <v>34197</v>
      </c>
      <c r="C28014" s="20" t="s">
        <v>14240</v>
      </c>
      <c r="D28014" s="20" t="s">
        <v>34127</v>
      </c>
      <c r="E28014" s="10">
        <v>132938</v>
      </c>
      <c r="F28014" s="4" t="str">
        <f>IF(B28014=B28013,"",B28014)</f>
        <v>Gonbad-e Kāvūs</v>
      </c>
    </row>
    <row r="28015" spans="1:6" ht="15.75" customHeight="1">
      <c r="A28015" s="16" t="s">
        <v>14394</v>
      </c>
      <c r="B28015" s="15" t="s">
        <v>14395</v>
      </c>
      <c r="C28015" s="16" t="s">
        <v>14240</v>
      </c>
      <c r="D28015" s="16" t="s">
        <v>14262</v>
      </c>
      <c r="E28015" s="2">
        <v>132938</v>
      </c>
      <c r="F28015" s="4" t="e">
        <f>IF(B28015=#REF!,"",B28015)</f>
        <v>#REF!</v>
      </c>
    </row>
    <row r="28016" spans="1:6" ht="15.75" customHeight="1">
      <c r="A28016" s="15" t="s">
        <v>9875</v>
      </c>
      <c r="B28016" s="15" t="s">
        <v>9876</v>
      </c>
      <c r="C28016" s="15" t="s">
        <v>9866</v>
      </c>
      <c r="D28016" s="15" t="s">
        <v>9871</v>
      </c>
      <c r="E28016" s="2">
        <v>3724696</v>
      </c>
      <c r="F28016" s="4" t="str">
        <f>IF(B28016=B28015,"",B28016)</f>
        <v>Gonayiv</v>
      </c>
    </row>
    <row r="28017" spans="1:6" ht="15.75" customHeight="1">
      <c r="A28017" s="16" t="str">
        <f ca="1">IFERROR(__xludf.DUMMYFUNCTION("GOOGLETRANSLATE(B34447,""en"",""pt"")"),"Gonābād")</f>
        <v>Gonābād</v>
      </c>
      <c r="B28017" s="20" t="s">
        <v>34198</v>
      </c>
      <c r="C28017" s="20" t="s">
        <v>14240</v>
      </c>
      <c r="D28017" s="20" t="s">
        <v>14351</v>
      </c>
      <c r="E28017" s="10">
        <v>132961</v>
      </c>
      <c r="F28017" s="4" t="str">
        <f>IF(B28017=B28016,"",B28017)</f>
        <v>Gonābād</v>
      </c>
    </row>
    <row r="28018" spans="1:6" ht="15.75" customHeight="1">
      <c r="A28018" s="16" t="s">
        <v>14392</v>
      </c>
      <c r="B28018" s="15" t="s">
        <v>14393</v>
      </c>
      <c r="C28018" s="16" t="s">
        <v>14240</v>
      </c>
      <c r="D28018" s="16" t="s">
        <v>14351</v>
      </c>
      <c r="E28018" s="2">
        <v>132961</v>
      </c>
      <c r="F28018" s="4" t="e">
        <f>IF(B28018=#REF!,"",B28018)</f>
        <v>#REF!</v>
      </c>
    </row>
    <row r="28019" spans="1:6" ht="15.75" customHeight="1">
      <c r="A28019" s="15" t="s">
        <v>11360</v>
      </c>
      <c r="B28019" s="15" t="s">
        <v>11360</v>
      </c>
      <c r="C28019" s="15" t="s">
        <v>10178</v>
      </c>
      <c r="D28019" s="15" t="s">
        <v>10430</v>
      </c>
      <c r="E28019" s="2">
        <v>1271005</v>
      </c>
      <c r="F28019" s="4" t="e">
        <f>IF(B28019=#REF!,"",B28019)</f>
        <v>#REF!</v>
      </c>
    </row>
    <row r="28020" spans="1:6" ht="15.75" customHeight="1">
      <c r="A28020" s="16" t="s">
        <v>17953</v>
      </c>
      <c r="B28020" s="15" t="s">
        <v>17953</v>
      </c>
      <c r="C28020" s="16" t="s">
        <v>17707</v>
      </c>
      <c r="D28020" s="16" t="s">
        <v>17954</v>
      </c>
      <c r="E28020" s="2">
        <v>4005775</v>
      </c>
      <c r="F28020" s="4" t="e">
        <f>IF(B28020=#REF!,"",B28020)</f>
        <v>#REF!</v>
      </c>
    </row>
    <row r="28021" spans="1:6" ht="15.75" customHeight="1">
      <c r="A28021" s="15" t="s">
        <v>1461</v>
      </c>
      <c r="B28021" s="15" t="s">
        <v>1461</v>
      </c>
      <c r="C28021" s="15" t="s">
        <v>1453</v>
      </c>
      <c r="D28021" s="15" t="s">
        <v>1461</v>
      </c>
      <c r="E28021" s="2">
        <v>627907</v>
      </c>
      <c r="F28021" s="4" t="e">
        <f>IF(B28021=#REF!,"",B28021)</f>
        <v>#REF!</v>
      </c>
    </row>
    <row r="28022" spans="1:6" ht="15.75" customHeight="1">
      <c r="A28022" s="16" t="s">
        <v>13929</v>
      </c>
      <c r="B28022" s="15" t="s">
        <v>13929</v>
      </c>
      <c r="C28022" s="16" t="s">
        <v>13800</v>
      </c>
      <c r="D28022" s="16" t="s">
        <v>13803</v>
      </c>
      <c r="E28022" s="2">
        <v>1643920</v>
      </c>
      <c r="F28022" s="4" t="e">
        <f>IF(B28022=#REF!,"",B28022)</f>
        <v>#REF!</v>
      </c>
    </row>
    <row r="28023" spans="1:6" ht="15.75" customHeight="1">
      <c r="A28023" s="15" t="s">
        <v>19410</v>
      </c>
      <c r="B28023" s="15" t="s">
        <v>19410</v>
      </c>
      <c r="C28023" s="15" t="s">
        <v>19294</v>
      </c>
      <c r="D28023" s="15" t="s">
        <v>19403</v>
      </c>
      <c r="E28023" s="2">
        <v>2340446</v>
      </c>
      <c r="F28023" s="4" t="e">
        <f>IF(B28023=#REF!,"",B28023)</f>
        <v>#REF!</v>
      </c>
    </row>
    <row r="28024" spans="1:6" ht="15.75" customHeight="1">
      <c r="A28024" s="15" t="s">
        <v>19348</v>
      </c>
      <c r="B28024" s="15" t="s">
        <v>19348</v>
      </c>
      <c r="C28024" s="15" t="s">
        <v>19294</v>
      </c>
      <c r="D28024" s="15" t="s">
        <v>19348</v>
      </c>
      <c r="E28024" s="2">
        <v>2340451</v>
      </c>
      <c r="F28024" s="4" t="e">
        <f>IF(B28024=#REF!,"",B28024)</f>
        <v>#REF!</v>
      </c>
    </row>
    <row r="28025" spans="1:6" ht="15.75" customHeight="1">
      <c r="A28025" s="15" t="s">
        <v>6153</v>
      </c>
      <c r="B28025" s="15" t="s">
        <v>6153</v>
      </c>
      <c r="C28025" s="15" t="s">
        <v>6127</v>
      </c>
      <c r="D28025" s="15" t="s">
        <v>6132</v>
      </c>
      <c r="E28025" s="2">
        <v>216281</v>
      </c>
      <c r="F28025" s="4" t="str">
        <f>IF(B28025=B28024,"",B28025)</f>
        <v>Goma</v>
      </c>
    </row>
    <row r="28026" spans="1:6" ht="15.75" customHeight="1">
      <c r="A28026" s="16" t="str">
        <f ca="1">IFERROR(__xludf.DUMMYFUNCTION("GOOGLETRANSLATE(B34448,""en"",""pt"")"),"Golpāyegān")</f>
        <v>Golpāyegān</v>
      </c>
      <c r="B28026" s="20" t="s">
        <v>34199</v>
      </c>
      <c r="C28026" s="20" t="s">
        <v>14240</v>
      </c>
      <c r="D28026" s="20" t="s">
        <v>14294</v>
      </c>
      <c r="E28026" s="10">
        <v>133037</v>
      </c>
      <c r="F28026" s="4" t="str">
        <f>IF(B28026=B28025,"",B28026)</f>
        <v>Golpāyegān</v>
      </c>
    </row>
    <row r="28027" spans="1:6" ht="15.75" customHeight="1">
      <c r="A28027" s="16" t="s">
        <v>14390</v>
      </c>
      <c r="B28027" s="15" t="s">
        <v>14391</v>
      </c>
      <c r="C28027" s="16" t="s">
        <v>14240</v>
      </c>
      <c r="D28027" s="16" t="s">
        <v>14294</v>
      </c>
      <c r="E28027" s="2">
        <v>133037</v>
      </c>
      <c r="F28027" s="4" t="e">
        <f>IF(B28027=#REF!,"",B28027)</f>
        <v>#REF!</v>
      </c>
    </row>
    <row r="28028" spans="1:6" ht="15.75" customHeight="1">
      <c r="A28028" s="15" t="s">
        <v>22396</v>
      </c>
      <c r="B28028" s="15" t="s">
        <v>22396</v>
      </c>
      <c r="C28028" s="15" t="s">
        <v>22070</v>
      </c>
      <c r="D28028" s="15" t="s">
        <v>22119</v>
      </c>
      <c r="E28028" s="2">
        <v>560756</v>
      </c>
      <c r="F28028" s="4" t="e">
        <f>IF(B28028=#REF!,"",B28028)</f>
        <v>#REF!</v>
      </c>
    </row>
    <row r="28029" spans="1:6" ht="15.75" customHeight="1">
      <c r="A28029" s="15" t="s">
        <v>28755</v>
      </c>
      <c r="B28029" s="15" t="s">
        <v>28755</v>
      </c>
      <c r="C28029" s="15" t="s">
        <v>27788</v>
      </c>
      <c r="D28029" s="15" t="s">
        <v>27801</v>
      </c>
      <c r="E28029" s="2">
        <v>5352963</v>
      </c>
      <c r="F28029" s="4" t="str">
        <f>IF(B28029=B28028,"",B28029)</f>
        <v>Goleta</v>
      </c>
    </row>
    <row r="28030" spans="1:6" ht="15.75" customHeight="1">
      <c r="A28030" s="16" t="str">
        <f ca="1">IFERROR(__xludf.DUMMYFUNCTION("GOOGLETRANSLATE(B39457,""en"",""pt"")"),"Goleniów")</f>
        <v>Goleniów</v>
      </c>
      <c r="B28030" s="20" t="s">
        <v>35227</v>
      </c>
      <c r="C28030" s="20" t="s">
        <v>21064</v>
      </c>
      <c r="D28030" s="20" t="s">
        <v>21121</v>
      </c>
      <c r="E28030" s="10">
        <v>3098966</v>
      </c>
      <c r="F28030" s="4" t="str">
        <f>IF(B28030=B28029,"",B28030)</f>
        <v>Goleniów</v>
      </c>
    </row>
    <row r="28031" spans="1:6" ht="15.75" customHeight="1">
      <c r="A28031" s="16" t="s">
        <v>21231</v>
      </c>
      <c r="B28031" s="15" t="s">
        <v>21232</v>
      </c>
      <c r="C28031" s="16" t="s">
        <v>21064</v>
      </c>
      <c r="D28031" s="16" t="s">
        <v>21121</v>
      </c>
      <c r="E28031" s="2">
        <v>3098966</v>
      </c>
      <c r="F28031" s="4" t="e">
        <f>IF(B28031=#REF!,"",B28031)</f>
        <v>#REF!</v>
      </c>
    </row>
    <row r="28032" spans="1:6" ht="15.75" customHeight="1">
      <c r="A28032" s="16" t="s">
        <v>28754</v>
      </c>
      <c r="B28032" s="15" t="s">
        <v>28754</v>
      </c>
      <c r="C28032" s="16" t="s">
        <v>27788</v>
      </c>
      <c r="D28032" s="16" t="s">
        <v>27822</v>
      </c>
      <c r="E28032" s="2">
        <v>4468261</v>
      </c>
      <c r="F28032" s="4" t="e">
        <f>IF(B28032=#REF!,"",B28032)</f>
        <v>#REF!</v>
      </c>
    </row>
    <row r="28033" spans="1:6" ht="15.75" customHeight="1">
      <c r="A28033" s="16" t="s">
        <v>28753</v>
      </c>
      <c r="B28033" s="15" t="s">
        <v>28753</v>
      </c>
      <c r="C28033" s="16" t="s">
        <v>27788</v>
      </c>
      <c r="D28033" s="16" t="s">
        <v>27824</v>
      </c>
      <c r="E28033" s="2">
        <v>5028163</v>
      </c>
      <c r="F28033" s="4" t="e">
        <f>IF(B28033=#REF!,"",B28033)</f>
        <v>#REF!</v>
      </c>
    </row>
    <row r="28034" spans="1:6" ht="15.75" customHeight="1">
      <c r="A28034" s="16" t="s">
        <v>28751</v>
      </c>
      <c r="B28034" s="15" t="s">
        <v>28752</v>
      </c>
      <c r="C28034" s="16" t="s">
        <v>27788</v>
      </c>
      <c r="D28034" s="16" t="s">
        <v>5468</v>
      </c>
      <c r="E28034" s="2">
        <v>4156931</v>
      </c>
      <c r="F28034" s="4" t="e">
        <f>IF(B28034=#REF!,"",B28034)</f>
        <v>#REF!</v>
      </c>
    </row>
    <row r="28035" spans="1:6" ht="15.75" customHeight="1">
      <c r="A28035" s="16" t="s">
        <v>28749</v>
      </c>
      <c r="B28035" s="15" t="s">
        <v>28750</v>
      </c>
      <c r="C28035" s="16" t="s">
        <v>27788</v>
      </c>
      <c r="D28035" s="16" t="s">
        <v>5468</v>
      </c>
      <c r="E28035" s="2">
        <v>4156920</v>
      </c>
      <c r="F28035" s="4" t="e">
        <f>IF(B28035=#REF!,"",B28035)</f>
        <v>#REF!</v>
      </c>
    </row>
    <row r="28036" spans="1:6" ht="15.75" customHeight="1">
      <c r="A28036" s="15" t="s">
        <v>28747</v>
      </c>
      <c r="B28036" s="15" t="s">
        <v>28748</v>
      </c>
      <c r="C28036" s="15" t="s">
        <v>27788</v>
      </c>
      <c r="D28036" s="15" t="s">
        <v>2341</v>
      </c>
      <c r="E28036" s="2">
        <v>5423294</v>
      </c>
      <c r="F28036" s="4" t="e">
        <f>IF(B28036=#REF!,"",B28036)</f>
        <v>#REF!</v>
      </c>
    </row>
    <row r="28037" spans="1:6" ht="15.75" customHeight="1">
      <c r="A28037" s="16" t="s">
        <v>989</v>
      </c>
      <c r="B28037" s="15" t="s">
        <v>990</v>
      </c>
      <c r="C28037" s="16" t="s">
        <v>885</v>
      </c>
      <c r="D28037" s="16" t="s">
        <v>910</v>
      </c>
      <c r="E28037" s="2">
        <v>2165087</v>
      </c>
      <c r="F28037" s="4" t="str">
        <f>IF(B28037=B28036,"",B28037)</f>
        <v>Gold Coast</v>
      </c>
    </row>
    <row r="28038" spans="1:6" ht="15.75" customHeight="1">
      <c r="A28038" s="16" t="str">
        <f ca="1">IFERROR(__xludf.DUMMYFUNCTION("GOOGLETRANSLATE(B42173,""en"",""pt"")"),"Gölcük")</f>
        <v>Gölcük</v>
      </c>
      <c r="B28038" s="20" t="s">
        <v>35947</v>
      </c>
      <c r="C28038" s="20" t="s">
        <v>26201</v>
      </c>
      <c r="D28038" s="20" t="s">
        <v>26216</v>
      </c>
      <c r="E28038" s="10">
        <v>746666</v>
      </c>
      <c r="F28038" s="4" t="str">
        <f>IF(B28038=B28037,"",B28038)</f>
        <v>Gölcük</v>
      </c>
    </row>
    <row r="28039" spans="1:6" ht="15.75" customHeight="1">
      <c r="A28039" s="16" t="str">
        <f ca="1">IFERROR(__xludf.DUMMYFUNCTION("GOOGLETRANSLATE(B41988,""en"",""pt"")"),"Gölbaşı")</f>
        <v>Gölbaşı</v>
      </c>
      <c r="B28039" s="20" t="s">
        <v>35871</v>
      </c>
      <c r="C28039" s="20" t="s">
        <v>26201</v>
      </c>
      <c r="D28039" s="20" t="s">
        <v>35865</v>
      </c>
      <c r="E28039" s="10">
        <v>314136</v>
      </c>
      <c r="F28039" s="4" t="str">
        <f>IF(B28039=B28038,"",B28039)</f>
        <v>Gölbaşı</v>
      </c>
    </row>
    <row r="28040" spans="1:6" ht="15.75" customHeight="1">
      <c r="A28040" s="16" t="str">
        <f ca="1">IFERROR(__xludf.DUMMYFUNCTION("GOOGLETRANSLATE(B33445,""en"",""pt"")"),"Golāghāt")</f>
        <v>Golāghāt</v>
      </c>
      <c r="B28040" s="20" t="s">
        <v>33711</v>
      </c>
      <c r="C28040" s="20" t="s">
        <v>10178</v>
      </c>
      <c r="D28040" s="20" t="s">
        <v>10239</v>
      </c>
      <c r="E28040" s="10">
        <v>1271050</v>
      </c>
      <c r="F28040" s="4" t="str">
        <f>IF(B28040=B28039,"",B28040)</f>
        <v>Golāghāt</v>
      </c>
    </row>
    <row r="28041" spans="1:6" ht="15.75" customHeight="1">
      <c r="A28041" s="16" t="s">
        <v>11358</v>
      </c>
      <c r="B28041" s="15" t="s">
        <v>11359</v>
      </c>
      <c r="C28041" s="16" t="s">
        <v>10178</v>
      </c>
      <c r="D28041" s="16" t="s">
        <v>10239</v>
      </c>
      <c r="E28041" s="2">
        <v>1271050</v>
      </c>
      <c r="F28041" s="4" t="str">
        <f>IF(B28041=B28040,"",B28041)</f>
        <v>GolÄghÄt</v>
      </c>
    </row>
    <row r="28042" spans="1:6" ht="15.75" customHeight="1">
      <c r="A28042" s="16" t="s">
        <v>22394</v>
      </c>
      <c r="B28042" s="15" t="s">
        <v>22395</v>
      </c>
      <c r="C28042" s="16" t="s">
        <v>22070</v>
      </c>
      <c r="D28042" s="16" t="s">
        <v>22127</v>
      </c>
      <c r="E28042" s="2">
        <v>560465</v>
      </c>
      <c r="F28042" s="4" t="str">
        <f>IF(B28042=B28041,"",B28042)</f>
        <v>Golâ€™yanovo</v>
      </c>
    </row>
    <row r="28043" spans="1:6" ht="15.75" customHeight="1">
      <c r="A28043" s="16" t="str">
        <f ca="1">IFERROR(__xludf.DUMMYFUNCTION("GOOGLETRANSLATE(B33444,""en"",""pt"")"),"Gola Gokarannāth")</f>
        <v>Gola Gokarannāth</v>
      </c>
      <c r="B28043" s="20" t="s">
        <v>33710</v>
      </c>
      <c r="C28043" s="20" t="s">
        <v>10178</v>
      </c>
      <c r="D28043" s="20" t="s">
        <v>10193</v>
      </c>
      <c r="E28043" s="10">
        <v>1271049</v>
      </c>
      <c r="F28043" s="4" t="str">
        <f>IF(B28043=B28042,"",B28043)</f>
        <v>Gola Gokarannāth</v>
      </c>
    </row>
    <row r="28044" spans="1:6" ht="15.75" customHeight="1">
      <c r="A28044" s="16" t="s">
        <v>11356</v>
      </c>
      <c r="B28044" s="15" t="s">
        <v>11357</v>
      </c>
      <c r="C28044" s="16" t="s">
        <v>10178</v>
      </c>
      <c r="D28044" s="16" t="s">
        <v>10193</v>
      </c>
      <c r="E28044" s="2">
        <v>1271049</v>
      </c>
      <c r="F28044" s="4" t="str">
        <f>IF(B28044=B28043,"",B28044)</f>
        <v>Gola GokarannÄth</v>
      </c>
    </row>
    <row r="28045" spans="1:6" ht="15.75" customHeight="1">
      <c r="A28045" s="16" t="str">
        <f ca="1">IFERROR(__xludf.DUMMYFUNCTION("GOOGLETRANSLATE(B40533,""en"",""pt"")"),"Gol'yanovo")</f>
        <v>Gol'yanovo</v>
      </c>
      <c r="B28045" s="20" t="s">
        <v>35513</v>
      </c>
      <c r="C28045" s="20" t="s">
        <v>22070</v>
      </c>
      <c r="D28045" s="20" t="s">
        <v>22127</v>
      </c>
      <c r="E28045" s="10">
        <v>560465</v>
      </c>
      <c r="F28045" s="4" t="e">
        <f>IF(B28045=#REF!,"",B28045)</f>
        <v>#REF!</v>
      </c>
    </row>
    <row r="28046" spans="1:6" ht="15.75" customHeight="1">
      <c r="A28046" s="15" t="s">
        <v>31087</v>
      </c>
      <c r="B28046" s="15" t="s">
        <v>31087</v>
      </c>
      <c r="C28046" s="15" t="s">
        <v>31072</v>
      </c>
      <c r="D28046" s="15" t="s">
        <v>31088</v>
      </c>
      <c r="E28046" s="2">
        <v>890983</v>
      </c>
      <c r="F28046" s="4" t="str">
        <f>IF(B28046=B28045,"",B28046)</f>
        <v>Gokwe</v>
      </c>
    </row>
    <row r="28047" spans="1:6" ht="15.75" customHeight="1">
      <c r="A28047" s="16" t="str">
        <f ca="1">IFERROR(__xludf.DUMMYFUNCTION("GOOGLETRANSLATE(B41989,""en"",""pt"")"),"Göksun")</f>
        <v>Göksun</v>
      </c>
      <c r="B28047" s="20" t="s">
        <v>35872</v>
      </c>
      <c r="C28047" s="20" t="s">
        <v>26201</v>
      </c>
      <c r="D28047" s="20" t="s">
        <v>35847</v>
      </c>
      <c r="E28047" s="10">
        <v>314188</v>
      </c>
      <c r="F28047" s="4" t="e">
        <f>IF(B28047=#REF!,"",B28047)</f>
        <v>#REF!</v>
      </c>
    </row>
    <row r="28048" spans="1:6" ht="15.75" customHeight="1">
      <c r="A28048" s="15" t="s">
        <v>11355</v>
      </c>
      <c r="B28048" s="15" t="s">
        <v>11355</v>
      </c>
      <c r="C28048" s="15" t="s">
        <v>10178</v>
      </c>
      <c r="D28048" s="15" t="s">
        <v>10252</v>
      </c>
      <c r="E28048" s="2">
        <v>1271064</v>
      </c>
      <c r="F28048" s="4" t="e">
        <f>IF(B28048=#REF!,"",B28048)</f>
        <v>#REF!</v>
      </c>
    </row>
    <row r="28049" spans="1:6" ht="15.75" customHeight="1">
      <c r="A28049" s="15" t="s">
        <v>11354</v>
      </c>
      <c r="B28049" s="15" t="s">
        <v>11354</v>
      </c>
      <c r="C28049" s="15" t="s">
        <v>10178</v>
      </c>
      <c r="D28049" s="15" t="s">
        <v>10252</v>
      </c>
      <c r="E28049" s="2">
        <v>1271067</v>
      </c>
      <c r="F28049" s="4" t="e">
        <f>IF(B28049=#REF!,"",B28049)</f>
        <v>#REF!</v>
      </c>
    </row>
    <row r="28050" spans="1:6" ht="15.75" customHeight="1">
      <c r="A28050" s="15" t="s">
        <v>19923</v>
      </c>
      <c r="B28050" s="15" t="s">
        <v>19923</v>
      </c>
      <c r="C28050" s="15" t="s">
        <v>19808</v>
      </c>
      <c r="D28050" s="15" t="s">
        <v>10184</v>
      </c>
      <c r="E28050" s="2">
        <v>1178231</v>
      </c>
      <c r="F28050" s="4" t="str">
        <f>IF(B28050=B28049,"",B28050)</f>
        <v>Gojra</v>
      </c>
    </row>
    <row r="28051" spans="1:6" ht="15.75" customHeight="1">
      <c r="A28051" s="16" t="str">
        <f ca="1">IFERROR(__xludf.DUMMYFUNCTION("GOOGLETRANSLATE(B35633,""en"",""pt"")"),"Gojō")</f>
        <v>Gojō</v>
      </c>
      <c r="B28051" s="20" t="s">
        <v>34381</v>
      </c>
      <c r="C28051" s="20" t="s">
        <v>15704</v>
      </c>
      <c r="D28051" s="20" t="s">
        <v>15905</v>
      </c>
      <c r="E28051" s="10">
        <v>1863592</v>
      </c>
      <c r="F28051" s="4" t="str">
        <f>IF(B28051=B28050,"",B28051)</f>
        <v>Gojō</v>
      </c>
    </row>
    <row r="28052" spans="1:6" ht="15.75" customHeight="1">
      <c r="A28052" s="15" t="s">
        <v>15903</v>
      </c>
      <c r="B28052" s="15" t="s">
        <v>15904</v>
      </c>
      <c r="C28052" s="15" t="s">
        <v>15704</v>
      </c>
      <c r="D28052" s="15" t="s">
        <v>15905</v>
      </c>
      <c r="E28052" s="2">
        <v>1863592</v>
      </c>
      <c r="F28052" s="4" t="e">
        <f>IF(B28052=#REF!,"",B28052)</f>
        <v>#REF!</v>
      </c>
    </row>
    <row r="28053" spans="1:6" ht="15.75" customHeight="1">
      <c r="A28053" s="15" t="s">
        <v>18972</v>
      </c>
      <c r="B28053" s="15" t="s">
        <v>18973</v>
      </c>
      <c r="C28053" s="15" t="s">
        <v>18862</v>
      </c>
      <c r="D28053" s="15" t="s">
        <v>18888</v>
      </c>
      <c r="E28053" s="2">
        <v>2755464</v>
      </c>
      <c r="F28053" s="4" t="e">
        <f>IF(B28053=#REF!,"",B28053)</f>
        <v>#REF!</v>
      </c>
    </row>
    <row r="28054" spans="1:6" ht="15.75" customHeight="1">
      <c r="A28054" s="15" t="s">
        <v>2499</v>
      </c>
      <c r="B28054" s="15" t="s">
        <v>2499</v>
      </c>
      <c r="C28054" s="15" t="s">
        <v>1905</v>
      </c>
      <c r="D28054" s="15" t="s">
        <v>1969</v>
      </c>
      <c r="E28054" s="2">
        <v>3462371</v>
      </c>
      <c r="F28054" s="4" t="str">
        <f>IF(B28054=B28053,"",B28054)</f>
        <v>Goiatuba</v>
      </c>
    </row>
    <row r="28055" spans="1:6" ht="15.75" customHeight="1">
      <c r="A28055" s="16" t="str">
        <f ca="1">IFERROR(__xludf.DUMMYFUNCTION("GOOGLETRANSLATE(B25022,""en"",""pt"")"),"Goiás")</f>
        <v>Goiás</v>
      </c>
      <c r="B28055" s="20" t="s">
        <v>31436</v>
      </c>
      <c r="C28055" s="20" t="s">
        <v>1905</v>
      </c>
      <c r="D28055" s="20" t="s">
        <v>31436</v>
      </c>
      <c r="E28055" s="10">
        <v>3462374</v>
      </c>
      <c r="F28055" s="4" t="e">
        <f>IF(B28055=#REF!,"",B28055)</f>
        <v>#REF!</v>
      </c>
    </row>
    <row r="28056" spans="1:6" ht="15.75" customHeight="1">
      <c r="A28056" s="15" t="s">
        <v>2498</v>
      </c>
      <c r="B28056" s="15" t="s">
        <v>2498</v>
      </c>
      <c r="C28056" s="15" t="s">
        <v>1905</v>
      </c>
      <c r="D28056" s="15" t="s">
        <v>1969</v>
      </c>
      <c r="E28056" s="2">
        <v>3462376</v>
      </c>
      <c r="F28056" s="4" t="str">
        <f>IF(B28056=B28055,"",B28056)</f>
        <v>Goianira</v>
      </c>
    </row>
    <row r="28057" spans="1:6" ht="15.75" customHeight="1">
      <c r="A28057" s="16" t="str">
        <f ca="1">IFERROR(__xludf.DUMMYFUNCTION("GOOGLETRANSLATE(B25024,""en"",""pt"")"),"Goiânia")</f>
        <v>Goiânia</v>
      </c>
      <c r="B28057" s="20" t="s">
        <v>31656</v>
      </c>
      <c r="C28057" s="20" t="s">
        <v>1905</v>
      </c>
      <c r="D28057" s="20" t="s">
        <v>31436</v>
      </c>
      <c r="E28057" s="10">
        <v>3462377</v>
      </c>
      <c r="F28057" s="4" t="str">
        <f>IF(B28057=B28056,"",B28057)</f>
        <v>Goiânia</v>
      </c>
    </row>
    <row r="28058" spans="1:6" ht="15.75" customHeight="1">
      <c r="A28058" s="16" t="str">
        <f ca="1">IFERROR(__xludf.DUMMYFUNCTION("GOOGLETRANSLATE(B25025,""en"",""pt"")"),"Goianésia")</f>
        <v>Goianésia</v>
      </c>
      <c r="B28058" s="20" t="s">
        <v>31657</v>
      </c>
      <c r="C28058" s="20" t="s">
        <v>1905</v>
      </c>
      <c r="D28058" s="20" t="s">
        <v>31436</v>
      </c>
      <c r="E28058" s="10">
        <v>3462378</v>
      </c>
      <c r="F28058" s="4" t="str">
        <f>IF(B28058=B28057,"",B28058)</f>
        <v>Goianésia</v>
      </c>
    </row>
    <row r="28059" spans="1:6" ht="15.75" customHeight="1">
      <c r="A28059" s="16" t="s">
        <v>2496</v>
      </c>
      <c r="B28059" s="15" t="s">
        <v>2497</v>
      </c>
      <c r="C28059" s="16" t="s">
        <v>1905</v>
      </c>
      <c r="D28059" s="16" t="s">
        <v>1969</v>
      </c>
      <c r="E28059" s="2">
        <v>3462378</v>
      </c>
      <c r="F28059" s="4" t="e">
        <f>IF(B28059=#REF!,"",B28059)</f>
        <v>#REF!</v>
      </c>
    </row>
    <row r="28060" spans="1:6" ht="15.75" customHeight="1">
      <c r="A28060" s="15" t="s">
        <v>2495</v>
      </c>
      <c r="B28060" s="15" t="s">
        <v>2495</v>
      </c>
      <c r="C28060" s="15" t="s">
        <v>1905</v>
      </c>
      <c r="D28060" s="15" t="s">
        <v>1909</v>
      </c>
      <c r="E28060" s="2">
        <v>3398904</v>
      </c>
      <c r="F28060" s="4" t="str">
        <f>IF(B28060=B28059,"",B28060)</f>
        <v>Goiana</v>
      </c>
    </row>
    <row r="28061" spans="1:6" ht="15.75" customHeight="1">
      <c r="A28061" s="15" t="s">
        <v>2493</v>
      </c>
      <c r="B28061" s="15" t="s">
        <v>2494</v>
      </c>
      <c r="C28061" s="15" t="s">
        <v>1905</v>
      </c>
      <c r="D28061" s="15" t="s">
        <v>1969</v>
      </c>
      <c r="E28061" s="2">
        <v>3462377</v>
      </c>
      <c r="F28061" s="4" t="str">
        <f>IF(B28061=B28060,"",B28061)</f>
        <v>GoiÃ¢nia</v>
      </c>
    </row>
    <row r="28062" spans="1:6" ht="15.75" customHeight="1">
      <c r="A28062" s="15" t="s">
        <v>2492</v>
      </c>
      <c r="B28062" s="15" t="s">
        <v>1969</v>
      </c>
      <c r="C28062" s="15" t="s">
        <v>1905</v>
      </c>
      <c r="D28062" s="15" t="s">
        <v>1969</v>
      </c>
      <c r="E28062" s="2">
        <v>3462374</v>
      </c>
      <c r="F28062" s="4" t="str">
        <f>IF(B28062=B28061,"",B28062)</f>
        <v>GoiÃ¡s</v>
      </c>
    </row>
    <row r="28063" spans="1:6" ht="15.75" customHeight="1">
      <c r="A28063" s="16" t="str">
        <f ca="1">IFERROR(__xludf.DUMMYFUNCTION("GOOGLETRANSLATE(B33448,""en"",""pt"")"),"Gohāna")</f>
        <v>Gohāna</v>
      </c>
      <c r="B28063" s="20" t="s">
        <v>33712</v>
      </c>
      <c r="C28063" s="20" t="s">
        <v>10178</v>
      </c>
      <c r="D28063" s="20" t="s">
        <v>10224</v>
      </c>
      <c r="E28063" s="10">
        <v>1271079</v>
      </c>
      <c r="F28063" s="4" t="e">
        <f>IF(B28063=#REF!,"",B28063)</f>
        <v>#REF!</v>
      </c>
    </row>
    <row r="28064" spans="1:6" ht="15.75" customHeight="1">
      <c r="A28064" s="15" t="s">
        <v>11353</v>
      </c>
      <c r="B28064" s="15" t="s">
        <v>11353</v>
      </c>
      <c r="C28064" s="15" t="s">
        <v>10178</v>
      </c>
      <c r="D28064" s="15" t="s">
        <v>10219</v>
      </c>
      <c r="E28064" s="2">
        <v>1271083</v>
      </c>
      <c r="F28064" s="4" t="str">
        <f>IF(B28064=B28063,"",B28064)</f>
        <v>Gohadi</v>
      </c>
    </row>
    <row r="28065" spans="1:6" ht="15.75" customHeight="1">
      <c r="A28065" s="15" t="s">
        <v>11351</v>
      </c>
      <c r="B28065" s="15" t="s">
        <v>11352</v>
      </c>
      <c r="C28065" s="15" t="s">
        <v>10178</v>
      </c>
      <c r="D28065" s="15" t="s">
        <v>10224</v>
      </c>
      <c r="E28065" s="2">
        <v>1271079</v>
      </c>
      <c r="F28065" s="4" t="e">
        <f>IF(B28065=#REF!,"",B28065)</f>
        <v>#REF!</v>
      </c>
    </row>
    <row r="28066" spans="1:6" ht="15.75" customHeight="1">
      <c r="A28066" s="15" t="s">
        <v>24178</v>
      </c>
      <c r="B28066" s="15" t="s">
        <v>24178</v>
      </c>
      <c r="C28066" s="15" t="s">
        <v>24176</v>
      </c>
      <c r="D28066" s="15" t="s">
        <v>24179</v>
      </c>
      <c r="E28066" s="2">
        <v>374739</v>
      </c>
      <c r="F28066" s="4" t="e">
        <f>IF(B28066=#REF!,"",B28066)</f>
        <v>#REF!</v>
      </c>
    </row>
    <row r="28067" spans="1:6" ht="15.75" customHeight="1">
      <c r="A28067" s="15" t="s">
        <v>18970</v>
      </c>
      <c r="B28067" s="15" t="s">
        <v>18971</v>
      </c>
      <c r="C28067" s="15" t="s">
        <v>18862</v>
      </c>
      <c r="D28067" s="15" t="s">
        <v>18913</v>
      </c>
      <c r="E28067" s="2">
        <v>2755476</v>
      </c>
      <c r="F28067" s="4" t="str">
        <f>IF(B28067=B28066,"",B28067)</f>
        <v>Goes</v>
      </c>
    </row>
    <row r="28068" spans="1:6" ht="15.75" customHeight="1">
      <c r="A28068" s="16" t="str">
        <f ca="1">IFERROR(__xludf.DUMMYFUNCTION("GOOGLETRANSLATE(B31314,""en"",""pt"")"),"Gödöllő")</f>
        <v>Gödöllő</v>
      </c>
      <c r="B28068" s="20" t="s">
        <v>32881</v>
      </c>
      <c r="C28068" s="20" t="s">
        <v>9955</v>
      </c>
      <c r="D28068" s="20" t="s">
        <v>9959</v>
      </c>
      <c r="E28068" s="10">
        <v>3052236</v>
      </c>
      <c r="F28068" s="4" t="str">
        <f>IF(B28068=B28067,"",B28068)</f>
        <v>Gödöllő</v>
      </c>
    </row>
    <row r="28069" spans="1:6" ht="15.75" customHeight="1">
      <c r="A28069" s="16" t="str">
        <f ca="1">IFERROR(__xludf.DUMMYFUNCTION("GOOGLETRANSLATE(B35634,""en"",""pt"")"),"Vá, faça")</f>
        <v>Vá, faça</v>
      </c>
      <c r="B28069" s="20" t="s">
        <v>34382</v>
      </c>
      <c r="C28069" s="20" t="s">
        <v>15704</v>
      </c>
      <c r="D28069" s="20" t="s">
        <v>15748</v>
      </c>
      <c r="E28069" s="10">
        <v>1863611</v>
      </c>
      <c r="F28069" s="4" t="e">
        <f>IF(B28069=#REF!,"",B28069)</f>
        <v>#REF!</v>
      </c>
    </row>
    <row r="28070" spans="1:6" ht="15.75" customHeight="1">
      <c r="A28070" s="15" t="s">
        <v>11350</v>
      </c>
      <c r="B28070" s="15" t="s">
        <v>11350</v>
      </c>
      <c r="C28070" s="15" t="s">
        <v>10178</v>
      </c>
      <c r="D28070" s="15" t="s">
        <v>10209</v>
      </c>
      <c r="E28070" s="2">
        <v>1271107</v>
      </c>
      <c r="F28070" s="4" t="e">
        <f>IF(B28070=#REF!,"",B28070)</f>
        <v>#REF!</v>
      </c>
    </row>
    <row r="28071" spans="1:6" ht="15.75" customHeight="1">
      <c r="A28071" s="15" t="s">
        <v>28746</v>
      </c>
      <c r="B28071" s="15" t="s">
        <v>28746</v>
      </c>
      <c r="C28071" s="15" t="s">
        <v>27788</v>
      </c>
      <c r="D28071" s="15" t="s">
        <v>27799</v>
      </c>
      <c r="E28071" s="2">
        <v>4239509</v>
      </c>
      <c r="F28071" s="4" t="e">
        <f>IF(B28071=#REF!,"",B28071)</f>
        <v>#REF!</v>
      </c>
    </row>
    <row r="28072" spans="1:6" ht="15.75" customHeight="1">
      <c r="A28072" s="15" t="s">
        <v>13928</v>
      </c>
      <c r="B28072" s="15" t="s">
        <v>13928</v>
      </c>
      <c r="C28072" s="15" t="s">
        <v>13800</v>
      </c>
      <c r="D28072" s="15" t="s">
        <v>13826</v>
      </c>
      <c r="E28072" s="2">
        <v>1643981</v>
      </c>
      <c r="F28072" s="4" t="e">
        <f>IF(B28072=#REF!,"",B28072)</f>
        <v>#REF!</v>
      </c>
    </row>
    <row r="28073" spans="1:6" ht="15.75" customHeight="1">
      <c r="A28073" s="15" t="s">
        <v>11349</v>
      </c>
      <c r="B28073" s="15" t="s">
        <v>11349</v>
      </c>
      <c r="C28073" s="15" t="s">
        <v>10178</v>
      </c>
      <c r="D28073" s="15" t="s">
        <v>10430</v>
      </c>
      <c r="E28073" s="2">
        <v>1271113</v>
      </c>
      <c r="F28073" s="4" t="str">
        <f>IF(B28073=B28072,"",B28073)</f>
        <v>Godda</v>
      </c>
    </row>
    <row r="28074" spans="1:6" ht="15.75" customHeight="1">
      <c r="A28074" s="16" t="str">
        <f ca="1">IFERROR(__xludf.DUMMYFUNCTION("GOOGLETRANSLATE(B31315,""en"",""pt"")"),"Deus")</f>
        <v>Deus</v>
      </c>
      <c r="B28074" s="20" t="s">
        <v>32882</v>
      </c>
      <c r="C28074" s="20" t="s">
        <v>9955</v>
      </c>
      <c r="D28074" s="20" t="s">
        <v>9959</v>
      </c>
      <c r="E28074" s="10">
        <v>3052241</v>
      </c>
      <c r="F28074" s="4" t="e">
        <f>IF(B28074=#REF!,"",B28074)</f>
        <v>#REF!</v>
      </c>
    </row>
    <row r="28075" spans="1:6" ht="15.75" customHeight="1">
      <c r="A28075" s="15" t="s">
        <v>8477</v>
      </c>
      <c r="B28075" s="15" t="s">
        <v>8477</v>
      </c>
      <c r="C28075" s="15" t="s">
        <v>8028</v>
      </c>
      <c r="D28075" s="15" t="s">
        <v>8029</v>
      </c>
      <c r="E28075" s="2">
        <v>2919625</v>
      </c>
      <c r="F28075" s="4" t="str">
        <f>IF(B28075=B28074,"",B28075)</f>
        <v>Goch</v>
      </c>
    </row>
    <row r="28076" spans="1:6" ht="15.75" customHeight="1">
      <c r="A28076" s="16" t="str">
        <f ca="1">IFERROR(__xludf.DUMMYFUNCTION("GOOGLETRANSLATE(B35635,""en"",""pt"")"),"Gobō")</f>
        <v>Gobō</v>
      </c>
      <c r="B28076" s="20" t="s">
        <v>34383</v>
      </c>
      <c r="C28076" s="20" t="s">
        <v>15704</v>
      </c>
      <c r="D28076" s="20" t="s">
        <v>15902</v>
      </c>
      <c r="E28076" s="10">
        <v>1863614</v>
      </c>
      <c r="F28076" s="4" t="e">
        <f>IF(B28076=#REF!,"",B28076)</f>
        <v>#REF!</v>
      </c>
    </row>
    <row r="28077" spans="1:6" ht="15.75" customHeight="1">
      <c r="A28077" s="16" t="s">
        <v>11348</v>
      </c>
      <c r="B28077" s="15" t="s">
        <v>11348</v>
      </c>
      <c r="C28077" s="16" t="s">
        <v>10178</v>
      </c>
      <c r="D28077" s="16" t="s">
        <v>10430</v>
      </c>
      <c r="E28077" s="2">
        <v>1271131</v>
      </c>
      <c r="F28077" s="4" t="e">
        <f>IF(B28077=#REF!,"",B28077)</f>
        <v>#REF!</v>
      </c>
    </row>
    <row r="28078" spans="1:6" ht="15.75" customHeight="1">
      <c r="A28078" s="16" t="s">
        <v>11347</v>
      </c>
      <c r="B28078" s="15" t="s">
        <v>11347</v>
      </c>
      <c r="C28078" s="16" t="s">
        <v>10178</v>
      </c>
      <c r="D28078" s="16" t="s">
        <v>10196</v>
      </c>
      <c r="E28078" s="2">
        <v>1270947</v>
      </c>
      <c r="F28078" s="4" t="str">
        <f>IF(B28078=B28077,"",B28078)</f>
        <v>Gobichettipalayam</v>
      </c>
    </row>
    <row r="28079" spans="1:6" ht="15.75" customHeight="1">
      <c r="A28079" s="16" t="str">
        <f ca="1">IFERROR(__xludf.DUMMYFUNCTION("GOOGLETRANSLATE(B23211,""en"",""pt"")"),"Gobernador Ingeniero Valentín Virasoro")</f>
        <v>Gobernador Ingeniero Valentín Virasoro</v>
      </c>
      <c r="B28079" s="20" t="s">
        <v>31171</v>
      </c>
      <c r="C28079" s="20" t="s">
        <v>558</v>
      </c>
      <c r="D28079" s="20" t="s">
        <v>629</v>
      </c>
      <c r="E28079" s="10">
        <v>3433753</v>
      </c>
      <c r="F28079" s="4" t="str">
        <f>IF(B28079=B28078,"",B28079)</f>
        <v>Gobernador Ingeniero Valentín Virasoro</v>
      </c>
    </row>
    <row r="28080" spans="1:6" ht="15.75" customHeight="1">
      <c r="A28080" s="16" t="s">
        <v>673</v>
      </c>
      <c r="B28080" s="15" t="s">
        <v>674</v>
      </c>
      <c r="C28080" s="16" t="s">
        <v>558</v>
      </c>
      <c r="D28080" s="16" t="s">
        <v>629</v>
      </c>
      <c r="E28080" s="2">
        <v>3433753</v>
      </c>
      <c r="F28080" s="4" t="str">
        <f>IF(B28080=B28079,"",B28080)</f>
        <v>Gobernador Ingeniero ValentÃ­n Virasoro</v>
      </c>
    </row>
    <row r="28081" spans="1:6" ht="15.75" customHeight="1">
      <c r="A28081" s="16" t="str">
        <f ca="1">IFERROR(__xludf.DUMMYFUNCTION("GOOGLETRANSLATE(B23317,""en"",""pt"")"),"Gobernador Gálvez")</f>
        <v>Gobernador Gálvez</v>
      </c>
      <c r="B28081" s="20" t="s">
        <v>31206</v>
      </c>
      <c r="C28081" s="20" t="s">
        <v>558</v>
      </c>
      <c r="D28081" s="20" t="s">
        <v>579</v>
      </c>
      <c r="E28081" s="10">
        <v>3854985</v>
      </c>
      <c r="F28081" s="4" t="str">
        <f>IF(B28081=B28080,"",B28081)</f>
        <v>Gobernador Gálvez</v>
      </c>
    </row>
    <row r="28082" spans="1:6" ht="15.75" customHeight="1">
      <c r="A28082" s="16" t="s">
        <v>671</v>
      </c>
      <c r="B28082" s="15" t="s">
        <v>672</v>
      </c>
      <c r="C28082" s="16" t="s">
        <v>558</v>
      </c>
      <c r="D28082" s="16" t="s">
        <v>579</v>
      </c>
      <c r="E28082" s="2">
        <v>3854985</v>
      </c>
      <c r="F28082" s="4" t="str">
        <f>IF(B28082=B28081,"",B28082)</f>
        <v>Gobernador GÃ¡lvez</v>
      </c>
    </row>
    <row r="28083" spans="1:6" ht="15.75" customHeight="1">
      <c r="A28083" s="16" t="str">
        <f ca="1">IFERROR(__xludf.DUMMYFUNCTION("GOOGLETRANSLATE(B33453,""en"",""pt"")"),"Gobārdānga")</f>
        <v>Gobārdānga</v>
      </c>
      <c r="B28083" s="20" t="s">
        <v>33713</v>
      </c>
      <c r="C28083" s="20" t="s">
        <v>10178</v>
      </c>
      <c r="D28083" s="20" t="s">
        <v>10201</v>
      </c>
      <c r="E28083" s="10">
        <v>1271142</v>
      </c>
      <c r="F28083" s="4" t="e">
        <f>IF(B28083=#REF!,"",B28083)</f>
        <v>#REF!</v>
      </c>
    </row>
    <row r="28084" spans="1:6" ht="15.75" customHeight="1">
      <c r="A28084" s="15" t="s">
        <v>18772</v>
      </c>
      <c r="B28084" s="15" t="s">
        <v>18772</v>
      </c>
      <c r="C28084" s="15" t="s">
        <v>18773</v>
      </c>
      <c r="D28084" s="15" t="s">
        <v>18774</v>
      </c>
      <c r="E28084" s="2">
        <v>3357247</v>
      </c>
      <c r="F28084" s="4" t="str">
        <f>IF(B28084=B28083,"",B28084)</f>
        <v>Gobabis</v>
      </c>
    </row>
    <row r="28085" spans="1:6" ht="15.75" customHeight="1">
      <c r="A28085" s="16" t="s">
        <v>11345</v>
      </c>
      <c r="B28085" s="15" t="s">
        <v>11346</v>
      </c>
      <c r="C28085" s="16" t="s">
        <v>10178</v>
      </c>
      <c r="D28085" s="16" t="s">
        <v>10201</v>
      </c>
      <c r="E28085" s="2">
        <v>1271142</v>
      </c>
      <c r="F28085" s="4" t="str">
        <f>IF(B28085=B28084,"",B28085)</f>
        <v>GobÄrdÄnga</v>
      </c>
    </row>
    <row r="28086" spans="1:6" ht="15.75" customHeight="1">
      <c r="A28086" s="15" t="s">
        <v>15900</v>
      </c>
      <c r="B28086" s="15" t="s">
        <v>15901</v>
      </c>
      <c r="C28086" s="15" t="s">
        <v>15704</v>
      </c>
      <c r="D28086" s="15" t="s">
        <v>15902</v>
      </c>
      <c r="E28086" s="2">
        <v>1863614</v>
      </c>
      <c r="F28086" s="4" t="e">
        <f>IF(B28086=#REF!,"",B28086)</f>
        <v>#REF!</v>
      </c>
    </row>
    <row r="28087" spans="1:6" ht="15.75" customHeight="1">
      <c r="A28087" s="15" t="s">
        <v>6880</v>
      </c>
      <c r="B28087" s="15" t="s">
        <v>6881</v>
      </c>
      <c r="C28087" s="15" t="s">
        <v>6807</v>
      </c>
      <c r="D28087" s="15" t="s">
        <v>6814</v>
      </c>
      <c r="E28087" s="2">
        <v>336350</v>
      </c>
      <c r="F28087" s="4" t="str">
        <f>IF(B28087=B28086,"",B28087)</f>
        <v>Goba</v>
      </c>
    </row>
    <row r="28088" spans="1:6" ht="15.75" customHeight="1">
      <c r="A28088" s="16" t="str">
        <f ca="1">IFERROR(__xludf.DUMMYFUNCTION("GOOGLETRANSLATE(B33454,""en"",""pt"")"),"Goālpāra")</f>
        <v>Goālpāra</v>
      </c>
      <c r="B28088" s="20" t="s">
        <v>33714</v>
      </c>
      <c r="C28088" s="20" t="s">
        <v>10178</v>
      </c>
      <c r="D28088" s="20" t="s">
        <v>10239</v>
      </c>
      <c r="E28088" s="10">
        <v>1271151</v>
      </c>
      <c r="F28088" s="4" t="str">
        <f>IF(B28088=B28087,"",B28088)</f>
        <v>Goālpāra</v>
      </c>
    </row>
    <row r="28089" spans="1:6" ht="15.75" customHeight="1">
      <c r="A28089" s="16" t="s">
        <v>11343</v>
      </c>
      <c r="B28089" s="15" t="s">
        <v>11344</v>
      </c>
      <c r="C28089" s="16" t="s">
        <v>10178</v>
      </c>
      <c r="D28089" s="16" t="s">
        <v>10239</v>
      </c>
      <c r="E28089" s="2">
        <v>1271151</v>
      </c>
      <c r="F28089" s="4" t="e">
        <f>IF(B28089=#REF!,"",B28089)</f>
        <v>#REF!</v>
      </c>
    </row>
    <row r="28090" spans="1:6" ht="15.75" customHeight="1">
      <c r="A28090" s="15" t="s">
        <v>10856</v>
      </c>
      <c r="B28090" s="15" t="s">
        <v>10856</v>
      </c>
      <c r="C28090" s="15" t="s">
        <v>20598</v>
      </c>
      <c r="D28090" s="15" t="s">
        <v>20634</v>
      </c>
      <c r="E28090" s="2">
        <v>1712808</v>
      </c>
      <c r="F28090" s="4" t="e">
        <f>IF(B28090=#REF!,"",B28090)</f>
        <v>#REF!</v>
      </c>
    </row>
    <row r="28091" spans="1:6" ht="15.75" customHeight="1">
      <c r="A28091" s="15" t="s">
        <v>21230</v>
      </c>
      <c r="B28091" s="15" t="s">
        <v>21230</v>
      </c>
      <c r="C28091" s="15" t="s">
        <v>21064</v>
      </c>
      <c r="D28091" s="15" t="s">
        <v>21112</v>
      </c>
      <c r="E28091" s="2">
        <v>3099112</v>
      </c>
      <c r="F28091" s="4" t="str">
        <f>IF(B28091=B28090,"",B28091)</f>
        <v>Gniezno</v>
      </c>
    </row>
    <row r="28092" spans="1:6" ht="15.75" customHeight="1">
      <c r="A28092" s="16" t="str">
        <f ca="1">IFERROR(__xludf.DUMMYFUNCTION("GOOGLETRANSLATE(B31007,""en"",""pt"")"),"Glyfáda")</f>
        <v>Glyfáda</v>
      </c>
      <c r="B28092" s="20" t="s">
        <v>32715</v>
      </c>
      <c r="C28092" s="20" t="s">
        <v>9441</v>
      </c>
      <c r="D28092" s="20" t="s">
        <v>9445</v>
      </c>
      <c r="E28092" s="10">
        <v>262036</v>
      </c>
      <c r="F28092" s="4" t="str">
        <f>IF(B28092=B28091,"",B28092)</f>
        <v>Glyfáda</v>
      </c>
    </row>
    <row r="28093" spans="1:6" ht="15.75" customHeight="1">
      <c r="A28093" s="15" t="s">
        <v>9518</v>
      </c>
      <c r="B28093" s="15" t="s">
        <v>9519</v>
      </c>
      <c r="C28093" s="15" t="s">
        <v>9441</v>
      </c>
      <c r="D28093" s="15" t="s">
        <v>9445</v>
      </c>
      <c r="E28093" s="2">
        <v>262036</v>
      </c>
      <c r="F28093" s="4" t="str">
        <f>IF(B28093=B28092,"",B28093)</f>
        <v>GlyfÃ¡da</v>
      </c>
    </row>
    <row r="28094" spans="1:6" ht="15.75" customHeight="1">
      <c r="A28094" s="16" t="str">
        <f ca="1">IFERROR(__xludf.DUMMYFUNCTION("GOOGLETRANSLATE(B39459,""en"",""pt"")"),"Głuchołazy")</f>
        <v>Głuchołazy</v>
      </c>
      <c r="B28094" s="20" t="s">
        <v>35228</v>
      </c>
      <c r="C28094" s="20" t="s">
        <v>21064</v>
      </c>
      <c r="D28094" s="20" t="s">
        <v>21165</v>
      </c>
      <c r="E28094" s="10">
        <v>3099169</v>
      </c>
      <c r="F28094" s="4" t="str">
        <f>IF(B28094=B28093,"",B28094)</f>
        <v>Głuchołazy</v>
      </c>
    </row>
    <row r="28095" spans="1:6" ht="15.75" customHeight="1">
      <c r="A28095" s="16" t="str">
        <f ca="1">IFERROR(__xludf.DUMMYFUNCTION("GOOGLETRANSLATE(B39460,""en"",""pt"")"),"Głowno")</f>
        <v>Głowno</v>
      </c>
      <c r="B28095" s="20" t="s">
        <v>35229</v>
      </c>
      <c r="C28095" s="20" t="s">
        <v>21064</v>
      </c>
      <c r="D28095" s="20" t="s">
        <v>35071</v>
      </c>
      <c r="E28095" s="10">
        <v>3099180</v>
      </c>
      <c r="F28095" s="4" t="e">
        <f>IF(B28095=#REF!,"",B28095)</f>
        <v>#REF!</v>
      </c>
    </row>
    <row r="28096" spans="1:6" ht="15.75" customHeight="1">
      <c r="A28096" s="16" t="s">
        <v>28745</v>
      </c>
      <c r="B28096" s="15" t="s">
        <v>28745</v>
      </c>
      <c r="C28096" s="16" t="s">
        <v>27788</v>
      </c>
      <c r="D28096" s="16" t="s">
        <v>27819</v>
      </c>
      <c r="E28096" s="2">
        <v>5118743</v>
      </c>
      <c r="F28096" s="4" t="e">
        <f>IF(B28096=#REF!,"",B28096)</f>
        <v>#REF!</v>
      </c>
    </row>
    <row r="28097" spans="1:6" ht="15.75" customHeight="1">
      <c r="A28097" s="16" t="s">
        <v>28744</v>
      </c>
      <c r="B28097" s="15" t="s">
        <v>28744</v>
      </c>
      <c r="C28097" s="16" t="s">
        <v>27788</v>
      </c>
      <c r="D28097" s="16" t="s">
        <v>27794</v>
      </c>
      <c r="E28097" s="2">
        <v>4937829</v>
      </c>
      <c r="F28097" s="4" t="e">
        <f>IF(B28097=#REF!,"",B28097)</f>
        <v>#REF!</v>
      </c>
    </row>
    <row r="28098" spans="1:6" ht="15.75" customHeight="1">
      <c r="A28098" s="15" t="s">
        <v>6230</v>
      </c>
      <c r="B28098" s="15" t="s">
        <v>6230</v>
      </c>
      <c r="C28098" s="15" t="s">
        <v>6209</v>
      </c>
      <c r="D28098" s="15" t="s">
        <v>6216</v>
      </c>
      <c r="E28098" s="2">
        <v>2621356</v>
      </c>
      <c r="F28098" s="4" t="str">
        <f>IF(B28098=B28097,"",B28098)</f>
        <v>Glostrup</v>
      </c>
    </row>
    <row r="28099" spans="1:6" ht="15.75" customHeight="1">
      <c r="A28099" s="16" t="str">
        <f ca="1">IFERROR(__xludf.DUMMYFUNCTION("GOOGLETRANSLATE(B24321,""en"",""pt"")"),"GLÓRIA DO GOITÁ")</f>
        <v>GLÓRIA DO GOITÁ</v>
      </c>
      <c r="B28099" s="20" t="s">
        <v>31400</v>
      </c>
      <c r="C28099" s="20" t="s">
        <v>1905</v>
      </c>
      <c r="D28099" s="20" t="s">
        <v>1909</v>
      </c>
      <c r="E28099" s="10">
        <v>3398920</v>
      </c>
      <c r="F28099" s="4" t="str">
        <f>IF(B28099=B28098,"",B28099)</f>
        <v>Glória do Goitá</v>
      </c>
    </row>
    <row r="28100" spans="1:6" ht="15.75" customHeight="1">
      <c r="A28100" s="16" t="str">
        <f ca="1">IFERROR(__xludf.DUMMYFUNCTION("GOOGLETRANSLATE(B39461,""en"",""pt"")"),"Głogów")</f>
        <v>Głogów</v>
      </c>
      <c r="B28100" s="20" t="s">
        <v>35230</v>
      </c>
      <c r="C28100" s="20" t="s">
        <v>21064</v>
      </c>
      <c r="D28100" s="20" t="s">
        <v>21118</v>
      </c>
      <c r="E28100" s="10">
        <v>3099213</v>
      </c>
      <c r="F28100" s="4" t="e">
        <f>IF(B28100=#REF!,"",B28100)</f>
        <v>#REF!</v>
      </c>
    </row>
    <row r="28101" spans="1:6" ht="15.75" customHeight="1">
      <c r="A28101" s="15" t="s">
        <v>16860</v>
      </c>
      <c r="B28101" s="15" t="s">
        <v>16860</v>
      </c>
      <c r="C28101" s="15" t="s">
        <v>16852</v>
      </c>
      <c r="D28101" s="15" t="s">
        <v>16861</v>
      </c>
      <c r="E28101" s="2">
        <v>790701</v>
      </c>
      <c r="F28101" s="4" t="e">
        <f>IF(B28101=#REF!,"",B28101)</f>
        <v>#REF!</v>
      </c>
    </row>
    <row r="28102" spans="1:6" ht="15.75" customHeight="1">
      <c r="A28102" s="15" t="s">
        <v>21229</v>
      </c>
      <c r="B28102" s="15" t="s">
        <v>21229</v>
      </c>
      <c r="C28102" s="15" t="s">
        <v>21064</v>
      </c>
      <c r="D28102" s="15" t="s">
        <v>21073</v>
      </c>
      <c r="E28102" s="2">
        <v>3099230</v>
      </c>
      <c r="F28102" s="4" t="e">
        <f>IF(B28102=#REF!,"",B28102)</f>
        <v>#REF!</v>
      </c>
    </row>
    <row r="28103" spans="1:6" ht="15.75" customHeight="1">
      <c r="A28103" s="15" t="s">
        <v>8476</v>
      </c>
      <c r="B28103" s="15" t="s">
        <v>8476</v>
      </c>
      <c r="C28103" s="15" t="s">
        <v>8028</v>
      </c>
      <c r="D28103" s="15" t="s">
        <v>8040</v>
      </c>
      <c r="E28103" s="2">
        <v>2919880</v>
      </c>
      <c r="F28103" s="4" t="e">
        <f>IF(B28103=#REF!,"",B28103)</f>
        <v>#REF!</v>
      </c>
    </row>
    <row r="28104" spans="1:6" ht="15.75" customHeight="1">
      <c r="A28104" s="15" t="s">
        <v>28743</v>
      </c>
      <c r="B28104" s="15" t="s">
        <v>28743</v>
      </c>
      <c r="C28104" s="15" t="s">
        <v>27788</v>
      </c>
      <c r="D28104" s="15" t="s">
        <v>27799</v>
      </c>
      <c r="E28104" s="2">
        <v>4893886</v>
      </c>
      <c r="F28104" s="4" t="e">
        <f>IF(B28104=#REF!,"",B28104)</f>
        <v>#REF!</v>
      </c>
    </row>
    <row r="28105" spans="1:6" ht="15.75" customHeight="1">
      <c r="A28105" s="16" t="s">
        <v>28741</v>
      </c>
      <c r="B28105" s="15" t="s">
        <v>28742</v>
      </c>
      <c r="C28105" s="16" t="s">
        <v>27788</v>
      </c>
      <c r="D28105" s="16" t="s">
        <v>5468</v>
      </c>
      <c r="E28105" s="2">
        <v>4156857</v>
      </c>
      <c r="F28105" s="4" t="e">
        <f>IF(B28105=#REF!,"",B28105)</f>
        <v>#REF!</v>
      </c>
    </row>
    <row r="28106" spans="1:6" ht="15.75" customHeight="1">
      <c r="A28106" s="15" t="s">
        <v>988</v>
      </c>
      <c r="B28106" s="15" t="s">
        <v>988</v>
      </c>
      <c r="C28106" s="15" t="s">
        <v>885</v>
      </c>
      <c r="D28106" s="15" t="s">
        <v>827</v>
      </c>
      <c r="E28106" s="2">
        <v>2165200</v>
      </c>
      <c r="F28106" s="4" t="e">
        <f>IF(B28106=#REF!,"",B28106)</f>
        <v>#REF!</v>
      </c>
    </row>
    <row r="28107" spans="1:6" ht="15.75" customHeight="1">
      <c r="A28107" s="16" t="s">
        <v>987</v>
      </c>
      <c r="B28107" s="15" t="s">
        <v>987</v>
      </c>
      <c r="C28107" s="16" t="s">
        <v>885</v>
      </c>
      <c r="D28107" s="16" t="s">
        <v>891</v>
      </c>
      <c r="E28107" s="2">
        <v>7302642</v>
      </c>
      <c r="F28107" s="4" t="e">
        <f>IF(B28107=#REF!,"",B28107)</f>
        <v>#REF!</v>
      </c>
    </row>
    <row r="28108" spans="1:6" ht="15.75" customHeight="1">
      <c r="A28108" s="16" t="s">
        <v>986</v>
      </c>
      <c r="B28108" s="15" t="s">
        <v>986</v>
      </c>
      <c r="C28108" s="16" t="s">
        <v>885</v>
      </c>
      <c r="D28108" s="16" t="s">
        <v>827</v>
      </c>
      <c r="E28108" s="2">
        <v>2165329</v>
      </c>
      <c r="F28108" s="4" t="e">
        <f>IF(B28108=#REF!,"",B28108)</f>
        <v>#REF!</v>
      </c>
    </row>
    <row r="28109" spans="1:6" ht="15.75" customHeight="1">
      <c r="A28109" s="15" t="s">
        <v>28740</v>
      </c>
      <c r="B28109" s="15" t="s">
        <v>28740</v>
      </c>
      <c r="C28109" s="15" t="s">
        <v>27788</v>
      </c>
      <c r="D28109" s="15" t="s">
        <v>27801</v>
      </c>
      <c r="E28109" s="2">
        <v>5352439</v>
      </c>
      <c r="F28109" s="4" t="e">
        <f>IF(B28109=#REF!,"",B28109)</f>
        <v>#REF!</v>
      </c>
    </row>
    <row r="28110" spans="1:6" ht="15.75" customHeight="1">
      <c r="A28110" s="15" t="s">
        <v>28739</v>
      </c>
      <c r="B28110" s="15" t="s">
        <v>28739</v>
      </c>
      <c r="C28110" s="15" t="s">
        <v>27788</v>
      </c>
      <c r="D28110" s="15" t="s">
        <v>27880</v>
      </c>
      <c r="E28110" s="2">
        <v>5295985</v>
      </c>
      <c r="F28110" s="4" t="e">
        <f>IF(B28110=#REF!,"",B28110)</f>
        <v>#REF!</v>
      </c>
    </row>
    <row r="28111" spans="1:6" ht="15.75" customHeight="1">
      <c r="A28111" s="15" t="s">
        <v>985</v>
      </c>
      <c r="B28111" s="15" t="s">
        <v>985</v>
      </c>
      <c r="C28111" s="15" t="s">
        <v>885</v>
      </c>
      <c r="D28111" s="15" t="s">
        <v>827</v>
      </c>
      <c r="E28111" s="2">
        <v>7932612</v>
      </c>
      <c r="F28111" s="4" t="e">
        <f>IF(B28111=#REF!,"",B28111)</f>
        <v>#REF!</v>
      </c>
    </row>
    <row r="28112" spans="1:6" ht="15.75" customHeight="1">
      <c r="A28112" s="16" t="s">
        <v>28738</v>
      </c>
      <c r="B28112" s="15" t="s">
        <v>28738</v>
      </c>
      <c r="C28112" s="16" t="s">
        <v>27788</v>
      </c>
      <c r="D28112" s="16" t="s">
        <v>27799</v>
      </c>
      <c r="E28112" s="2">
        <v>4893811</v>
      </c>
      <c r="F28112" s="4" t="e">
        <f>IF(B28112=#REF!,"",B28112)</f>
        <v>#REF!</v>
      </c>
    </row>
    <row r="28113" spans="1:6" ht="15.75" customHeight="1">
      <c r="A28113" s="16" t="s">
        <v>28737</v>
      </c>
      <c r="B28113" s="15" t="s">
        <v>28737</v>
      </c>
      <c r="C28113" s="16" t="s">
        <v>27788</v>
      </c>
      <c r="D28113" s="16" t="s">
        <v>27819</v>
      </c>
      <c r="E28113" s="2">
        <v>5118626</v>
      </c>
      <c r="F28113" s="4" t="e">
        <f>IF(B28113=#REF!,"",B28113)</f>
        <v>#REF!</v>
      </c>
    </row>
    <row r="28114" spans="1:6" ht="15.75" customHeight="1">
      <c r="A28114" s="16" t="s">
        <v>28736</v>
      </c>
      <c r="B28114" s="15" t="s">
        <v>28736</v>
      </c>
      <c r="C28114" s="16" t="s">
        <v>27788</v>
      </c>
      <c r="D28114" s="16" t="s">
        <v>17061</v>
      </c>
      <c r="E28114" s="2">
        <v>4356188</v>
      </c>
      <c r="F28114" s="4" t="e">
        <f>IF(B28114=#REF!,"",B28114)</f>
        <v>#REF!</v>
      </c>
    </row>
    <row r="28115" spans="1:6" ht="15.75" customHeight="1">
      <c r="A28115" s="16" t="s">
        <v>28735</v>
      </c>
      <c r="B28115" s="15" t="s">
        <v>28735</v>
      </c>
      <c r="C28115" s="16" t="s">
        <v>27788</v>
      </c>
      <c r="D28115" s="16" t="s">
        <v>27801</v>
      </c>
      <c r="E28115" s="2">
        <v>5352350</v>
      </c>
      <c r="F28115" s="4" t="e">
        <f>IF(B28115=#REF!,"",B28115)</f>
        <v>#REF!</v>
      </c>
    </row>
    <row r="28116" spans="1:6" ht="15.75" customHeight="1">
      <c r="A28116" s="15" t="s">
        <v>22393</v>
      </c>
      <c r="B28116" s="15" t="s">
        <v>22393</v>
      </c>
      <c r="C28116" s="15" t="s">
        <v>22070</v>
      </c>
      <c r="D28116" s="15" t="s">
        <v>22189</v>
      </c>
      <c r="E28116" s="2">
        <v>561347</v>
      </c>
      <c r="F28116" s="4" t="e">
        <f>IF(B28116=#REF!,"",B28116)</f>
        <v>#REF!</v>
      </c>
    </row>
    <row r="28117" spans="1:6" ht="15.75" customHeight="1">
      <c r="A28117" s="15" t="s">
        <v>8475</v>
      </c>
      <c r="B28117" s="15" t="s">
        <v>8475</v>
      </c>
      <c r="C28117" s="15" t="s">
        <v>8028</v>
      </c>
      <c r="D28117" s="15" t="s">
        <v>8072</v>
      </c>
      <c r="E28117" s="2">
        <v>2920020</v>
      </c>
      <c r="F28117" s="4" t="e">
        <f>IF(B28117=#REF!,"",B28117)</f>
        <v>#REF!</v>
      </c>
    </row>
    <row r="28118" spans="1:6" ht="15.75" customHeight="1">
      <c r="A28118" s="16" t="s">
        <v>28734</v>
      </c>
      <c r="B28118" s="15" t="s">
        <v>28734</v>
      </c>
      <c r="C28118" s="16" t="s">
        <v>27788</v>
      </c>
      <c r="D28118" s="16" t="s">
        <v>17061</v>
      </c>
      <c r="E28118" s="2">
        <v>4356165</v>
      </c>
      <c r="F28118" s="4" t="e">
        <f>IF(B28118=#REF!,"",B28118)</f>
        <v>#REF!</v>
      </c>
    </row>
    <row r="28119" spans="1:6" ht="15.75" customHeight="1">
      <c r="A28119" s="16" t="s">
        <v>28733</v>
      </c>
      <c r="B28119" s="15" t="s">
        <v>28733</v>
      </c>
      <c r="C28119" s="16" t="s">
        <v>27788</v>
      </c>
      <c r="D28119" s="16" t="s">
        <v>27905</v>
      </c>
      <c r="E28119" s="2">
        <v>4501931</v>
      </c>
      <c r="F28119" s="4" t="e">
        <f>IF(B28119=#REF!,"",B28119)</f>
        <v>#REF!</v>
      </c>
    </row>
    <row r="28120" spans="1:6" ht="15.75" customHeight="1">
      <c r="A28120" s="15" t="s">
        <v>20772</v>
      </c>
      <c r="B28120" s="15" t="s">
        <v>20772</v>
      </c>
      <c r="C28120" s="15" t="s">
        <v>20598</v>
      </c>
      <c r="D28120" s="15" t="s">
        <v>20606</v>
      </c>
      <c r="E28120" s="2">
        <v>1712819</v>
      </c>
      <c r="F28120" s="4" t="e">
        <f>IF(B28120=#REF!,"",B28120)</f>
        <v>#REF!</v>
      </c>
    </row>
    <row r="28121" spans="1:6" ht="15.75" customHeight="1">
      <c r="A28121" s="16" t="s">
        <v>984</v>
      </c>
      <c r="B28121" s="15" t="s">
        <v>984</v>
      </c>
      <c r="C28121" s="16" t="s">
        <v>885</v>
      </c>
      <c r="D28121" s="16" t="s">
        <v>910</v>
      </c>
      <c r="E28121" s="2">
        <v>2165478</v>
      </c>
      <c r="F28121" s="4" t="e">
        <f>IF(B28121=#REF!,"",B28121)</f>
        <v>#REF!</v>
      </c>
    </row>
    <row r="28122" spans="1:6" ht="15.75" customHeight="1">
      <c r="A28122" s="15" t="s">
        <v>8474</v>
      </c>
      <c r="B28122" s="15" t="s">
        <v>8474</v>
      </c>
      <c r="C28122" s="15" t="s">
        <v>8028</v>
      </c>
      <c r="D28122" s="15" t="s">
        <v>8029</v>
      </c>
      <c r="E28122" s="2">
        <v>2920236</v>
      </c>
      <c r="F28122" s="4" t="e">
        <f>IF(B28122=#REF!,"",B28122)</f>
        <v>#REF!</v>
      </c>
    </row>
    <row r="28123" spans="1:6" ht="15.75" customHeight="1">
      <c r="A28123" s="15" t="s">
        <v>4056</v>
      </c>
      <c r="B28123" s="15" t="s">
        <v>4056</v>
      </c>
      <c r="C28123" s="15" t="s">
        <v>3975</v>
      </c>
      <c r="D28123" s="15" t="s">
        <v>4027</v>
      </c>
      <c r="E28123" s="2">
        <v>5961564</v>
      </c>
      <c r="F28123" s="4" t="str">
        <f>IF(B28123=B28122,"",B28123)</f>
        <v>Glace Bay</v>
      </c>
    </row>
    <row r="28124" spans="1:6" ht="15.75" customHeight="1">
      <c r="A28124" s="16" t="s">
        <v>2490</v>
      </c>
      <c r="B28124" s="15" t="s">
        <v>2491</v>
      </c>
      <c r="C28124" s="16" t="s">
        <v>1905</v>
      </c>
      <c r="D28124" s="16" t="s">
        <v>1909</v>
      </c>
      <c r="E28124" s="2">
        <v>3398920</v>
      </c>
      <c r="F28124" s="4" t="str">
        <f>IF(B28124=B28123,"",B28124)</f>
        <v>GlÃ³ria do GoitÃ¡</v>
      </c>
    </row>
    <row r="28125" spans="1:6" ht="15.75" customHeight="1">
      <c r="A28125" s="16" t="str">
        <f ca="1">IFERROR(__xludf.DUMMYFUNCTION("GOOGLETRANSLATE(B38167,""en"",""pt"")"),"GJøvik")</f>
        <v>GJøvik</v>
      </c>
      <c r="B28125" s="20" t="s">
        <v>34818</v>
      </c>
      <c r="C28125" s="20" t="s">
        <v>19695</v>
      </c>
      <c r="D28125" s="20" t="s">
        <v>19712</v>
      </c>
      <c r="E28125" s="10">
        <v>3155573</v>
      </c>
      <c r="F28125" s="4" t="str">
        <f>IF(B28125=B28124,"",B28125)</f>
        <v>Gjøvik</v>
      </c>
    </row>
    <row r="28126" spans="1:6" ht="15.75" customHeight="1">
      <c r="A28126" s="16" t="str">
        <f ca="1">IFERROR(__xludf.DUMMYFUNCTION("GOOGLETRANSLATE(B23107,""en"",""pt"")"),"Gjirokastër")</f>
        <v>Gjirokastër</v>
      </c>
      <c r="B28126" s="20" t="s">
        <v>31148</v>
      </c>
      <c r="C28126" s="20" t="s">
        <v>113</v>
      </c>
      <c r="D28126" s="20" t="s">
        <v>31148</v>
      </c>
      <c r="E28126" s="10">
        <v>783148</v>
      </c>
      <c r="F28126" s="4" t="str">
        <f>IF(B28126=B28125,"",B28126)</f>
        <v>Gjirokastër</v>
      </c>
    </row>
    <row r="28127" spans="1:6" ht="15.75" customHeight="1">
      <c r="A28127" s="16" t="s">
        <v>123</v>
      </c>
      <c r="B28127" s="15" t="s">
        <v>124</v>
      </c>
      <c r="C28127" s="16" t="s">
        <v>113</v>
      </c>
      <c r="D28127" s="16" t="s">
        <v>124</v>
      </c>
      <c r="E28127" s="2">
        <v>783148</v>
      </c>
      <c r="F28127" s="4" t="e">
        <f>IF(B28127=#REF!,"",B28127)</f>
        <v>#REF!</v>
      </c>
    </row>
    <row r="28128" spans="1:6" ht="15.75" customHeight="1">
      <c r="A28128" s="15" t="s">
        <v>16859</v>
      </c>
      <c r="B28128" s="15" t="s">
        <v>16859</v>
      </c>
      <c r="C28128" s="15" t="s">
        <v>16852</v>
      </c>
      <c r="D28128" s="15" t="s">
        <v>16859</v>
      </c>
      <c r="E28128" s="2">
        <v>790674</v>
      </c>
      <c r="F28128" s="4" t="str">
        <f>IF(B28128=B28127,"",B28128)</f>
        <v>Gjilan</v>
      </c>
    </row>
    <row r="28129" spans="1:6" ht="15.75" customHeight="1">
      <c r="A28129" s="16" t="str">
        <f ca="1">IFERROR(__xludf.DUMMYFUNCTION("GOOGLETRANSLATE(B45815,""en"",""pt"")"),"Gjakovë")</f>
        <v>Gjakovë</v>
      </c>
      <c r="B28129" s="20" t="s">
        <v>36210</v>
      </c>
      <c r="C28129" s="20" t="s">
        <v>16852</v>
      </c>
      <c r="D28129" s="20" t="s">
        <v>16853</v>
      </c>
      <c r="E28129" s="10">
        <v>791646</v>
      </c>
      <c r="F28129" s="4" t="str">
        <f>IF(B28129=B28128,"",B28129)</f>
        <v>Gjakovë</v>
      </c>
    </row>
    <row r="28130" spans="1:6" ht="15.75" customHeight="1">
      <c r="A28130" s="15" t="s">
        <v>16857</v>
      </c>
      <c r="B28130" s="15" t="s">
        <v>16858</v>
      </c>
      <c r="C28130" s="15" t="s">
        <v>16852</v>
      </c>
      <c r="D28130" s="15" t="s">
        <v>16853</v>
      </c>
      <c r="E28130" s="2">
        <v>791646</v>
      </c>
      <c r="F28130" s="4" t="str">
        <f>IF(B28130=B28129,"",B28130)</f>
        <v>GjakovÃ«</v>
      </c>
    </row>
    <row r="28131" spans="1:6" ht="15.75" customHeight="1">
      <c r="A28131" s="15" t="s">
        <v>19710</v>
      </c>
      <c r="B28131" s="15" t="s">
        <v>19711</v>
      </c>
      <c r="C28131" s="15" t="s">
        <v>19695</v>
      </c>
      <c r="D28131" s="15" t="s">
        <v>19712</v>
      </c>
      <c r="E28131" s="2">
        <v>3155573</v>
      </c>
      <c r="F28131" s="4" t="str">
        <f>IF(B28131=B28130,"",B28131)</f>
        <v>GjÃ¸vik</v>
      </c>
    </row>
    <row r="28132" spans="1:6" ht="15.75" customHeight="1">
      <c r="A28132" s="16" t="str">
        <f ca="1">IFERROR(__xludf.DUMMYFUNCTION("GOOGLETRANSLATE(B39278,""en"",""pt"")"),"Giżycko")</f>
        <v>Giżycko</v>
      </c>
      <c r="B28132" s="20" t="s">
        <v>35122</v>
      </c>
      <c r="C28132" s="20" t="s">
        <v>21064</v>
      </c>
      <c r="D28132" s="20" t="s">
        <v>21131</v>
      </c>
      <c r="E28132" s="10">
        <v>772195</v>
      </c>
      <c r="F28132" s="4" t="e">
        <f>IF(B28132=#REF!,"",B28132)</f>
        <v>#REF!</v>
      </c>
    </row>
    <row r="28133" spans="1:6" ht="15.75" customHeight="1">
      <c r="A28133" s="15" t="s">
        <v>23901</v>
      </c>
      <c r="B28133" s="15" t="s">
        <v>23901</v>
      </c>
      <c r="C28133" s="15" t="s">
        <v>23842</v>
      </c>
      <c r="D28133" s="15" t="s">
        <v>23885</v>
      </c>
      <c r="E28133" s="2">
        <v>1001860</v>
      </c>
      <c r="F28133" s="4" t="e">
        <f>IF(B28133=#REF!,"",B28133)</f>
        <v>#REF!</v>
      </c>
    </row>
    <row r="28134" spans="1:6" ht="15.75" customHeight="1">
      <c r="A28134" s="15" t="s">
        <v>7374</v>
      </c>
      <c r="B28134" s="15" t="s">
        <v>7374</v>
      </c>
      <c r="C28134" s="15" t="s">
        <v>7052</v>
      </c>
      <c r="D28134" s="15" t="s">
        <v>7053</v>
      </c>
      <c r="E28134" s="2">
        <v>3015902</v>
      </c>
      <c r="F28134" s="4" t="str">
        <f>IF(B28134=B28133,"",B28134)</f>
        <v>Givors</v>
      </c>
    </row>
    <row r="28135" spans="1:6" ht="15.75" customHeight="1">
      <c r="A28135" s="16" t="s">
        <v>14806</v>
      </c>
      <c r="B28135" s="15" t="s">
        <v>14807</v>
      </c>
      <c r="C28135" s="16" t="s">
        <v>14773</v>
      </c>
      <c r="D28135" s="16" t="s">
        <v>14786</v>
      </c>
      <c r="E28135" s="2">
        <v>294999</v>
      </c>
      <c r="F28135" s="4" t="str">
        <f>IF(B28135=B28134,"",B28135)</f>
        <v>Givâ€˜atayim</v>
      </c>
    </row>
    <row r="28136" spans="1:6" ht="15.75" customHeight="1">
      <c r="A28136" s="16" t="s">
        <v>14804</v>
      </c>
      <c r="B28136" s="15" t="s">
        <v>14805</v>
      </c>
      <c r="C28136" s="16" t="s">
        <v>14773</v>
      </c>
      <c r="D28136" s="16" t="s">
        <v>14786</v>
      </c>
      <c r="E28136" s="2">
        <v>294981</v>
      </c>
      <c r="F28136" s="4" t="str">
        <f>IF(B28136=B28135,"",B28136)</f>
        <v>Givâ€˜at Shemuâ€™Ã©l</v>
      </c>
    </row>
    <row r="28137" spans="1:6" ht="15.75" customHeight="1">
      <c r="A28137" s="16" t="str">
        <f ca="1">IFERROR(__xludf.DUMMYFUNCTION("GOOGLETRANSLATE(B31807,""en"",""pt"")"),"Giv‘atayim")</f>
        <v>Giv‘atayim</v>
      </c>
      <c r="B28137" s="20" t="s">
        <v>32929</v>
      </c>
      <c r="C28137" s="20" t="s">
        <v>14773</v>
      </c>
      <c r="D28137" s="20" t="s">
        <v>14786</v>
      </c>
      <c r="E28137" s="10">
        <v>294999</v>
      </c>
      <c r="F28137" s="4" t="str">
        <f>IF(B28137=B28136,"",B28137)</f>
        <v>Giv‘atayim</v>
      </c>
    </row>
    <row r="28138" spans="1:6" ht="15.75" customHeight="1">
      <c r="A28138" s="16" t="str">
        <f ca="1">IFERROR(__xludf.DUMMYFUNCTION("GOOGLETRANSLATE(B31806,""en"",""pt"")"),"Giv) Shemu'él")</f>
        <v>Giv) Shemu'él</v>
      </c>
      <c r="B28138" s="20" t="s">
        <v>32928</v>
      </c>
      <c r="C28138" s="20" t="s">
        <v>14773</v>
      </c>
      <c r="D28138" s="20" t="s">
        <v>14786</v>
      </c>
      <c r="E28138" s="10">
        <v>294981</v>
      </c>
      <c r="F28138" s="4" t="e">
        <f>IF(B28138=#REF!,"",B28138)</f>
        <v>#REF!</v>
      </c>
    </row>
    <row r="28139" spans="1:6" ht="15.75" customHeight="1">
      <c r="A28139" s="15" t="s">
        <v>15180</v>
      </c>
      <c r="B28139" s="15" t="s">
        <v>15180</v>
      </c>
      <c r="C28139" s="15" t="s">
        <v>14891</v>
      </c>
      <c r="D28139" s="15" t="s">
        <v>14894</v>
      </c>
      <c r="E28139" s="2">
        <v>3176041</v>
      </c>
      <c r="F28139" s="4" t="e">
        <f>IF(B28139=#REF!,"",B28139)</f>
        <v>#REF!</v>
      </c>
    </row>
    <row r="28140" spans="1:6" ht="15.75" customHeight="1">
      <c r="A28140" s="15" t="s">
        <v>21940</v>
      </c>
      <c r="B28140" s="15" t="s">
        <v>21940</v>
      </c>
      <c r="C28140" s="15" t="s">
        <v>21824</v>
      </c>
      <c r="D28140" s="15" t="s">
        <v>21940</v>
      </c>
      <c r="E28140" s="2">
        <v>677106</v>
      </c>
      <c r="F28140" s="4" t="e">
        <f>IF(B28140=#REF!,"",B28140)</f>
        <v>#REF!</v>
      </c>
    </row>
    <row r="28141" spans="1:6" ht="15.75" customHeight="1">
      <c r="A28141" s="16" t="s">
        <v>15179</v>
      </c>
      <c r="B28141" s="15" t="s">
        <v>15179</v>
      </c>
      <c r="C28141" s="16" t="s">
        <v>14891</v>
      </c>
      <c r="D28141" s="16" t="s">
        <v>14957</v>
      </c>
      <c r="E28141" s="2">
        <v>3176053</v>
      </c>
      <c r="F28141" s="4" t="e">
        <f>IF(B28141=#REF!,"",B28141)</f>
        <v>#REF!</v>
      </c>
    </row>
    <row r="28142" spans="1:6" ht="15.75" customHeight="1">
      <c r="A28142" s="16" t="s">
        <v>15177</v>
      </c>
      <c r="B28142" s="15" t="s">
        <v>15178</v>
      </c>
      <c r="C28142" s="16" t="s">
        <v>14891</v>
      </c>
      <c r="D28142" s="16" t="s">
        <v>14896</v>
      </c>
      <c r="E28142" s="2">
        <v>3176059</v>
      </c>
      <c r="F28142" s="4" t="e">
        <f>IF(B28142=#REF!,"",B28142)</f>
        <v>#REF!</v>
      </c>
    </row>
    <row r="28143" spans="1:6" ht="15.75" customHeight="1">
      <c r="A28143" s="15" t="s">
        <v>3828</v>
      </c>
      <c r="B28143" s="15" t="s">
        <v>3828</v>
      </c>
      <c r="C28143" s="15" t="s">
        <v>3825</v>
      </c>
      <c r="D28143" s="15" t="s">
        <v>3828</v>
      </c>
      <c r="E28143" s="2">
        <v>426272</v>
      </c>
      <c r="F28143" s="4" t="e">
        <f>IF(B28143=#REF!,"",B28143)</f>
        <v>#REF!</v>
      </c>
    </row>
    <row r="28144" spans="1:6" ht="15.75" customHeight="1">
      <c r="A28144" s="15" t="s">
        <v>23418</v>
      </c>
      <c r="B28144" s="15" t="s">
        <v>23418</v>
      </c>
      <c r="C28144" s="15" t="s">
        <v>23413</v>
      </c>
      <c r="D28144" s="15" t="s">
        <v>23414</v>
      </c>
      <c r="E28144" s="2">
        <v>202217</v>
      </c>
      <c r="F28144" s="4" t="e">
        <f>IF(B28144=#REF!,"",B28144)</f>
        <v>#REF!</v>
      </c>
    </row>
    <row r="28145" spans="1:6" ht="15.75" customHeight="1">
      <c r="A28145" s="15" t="s">
        <v>23417</v>
      </c>
      <c r="B28145" s="15" t="s">
        <v>23417</v>
      </c>
      <c r="C28145" s="15" t="s">
        <v>23413</v>
      </c>
      <c r="D28145" s="15" t="s">
        <v>20411</v>
      </c>
      <c r="E28145" s="2">
        <v>202905</v>
      </c>
      <c r="F28145" s="4" t="e">
        <f>IF(B28145=#REF!,"",B28145)</f>
        <v>#REF!</v>
      </c>
    </row>
    <row r="28146" spans="1:6" ht="15.75" customHeight="1">
      <c r="A28146" s="15" t="s">
        <v>19178</v>
      </c>
      <c r="B28146" s="15" t="s">
        <v>19178</v>
      </c>
      <c r="C28146" s="15" t="s">
        <v>19169</v>
      </c>
      <c r="D28146" s="15" t="s">
        <v>19178</v>
      </c>
      <c r="E28146" s="2">
        <v>2206854</v>
      </c>
      <c r="F28146" s="4" t="e">
        <f>IF(B28146=#REF!,"",B28146)</f>
        <v>#REF!</v>
      </c>
    </row>
    <row r="28147" spans="1:6" ht="15.75" customHeight="1">
      <c r="A28147" s="15" t="s">
        <v>24489</v>
      </c>
      <c r="B28147" s="15" t="s">
        <v>24489</v>
      </c>
      <c r="C28147" s="15" t="s">
        <v>24200</v>
      </c>
      <c r="D28147" s="15" t="s">
        <v>24277</v>
      </c>
      <c r="E28147" s="2">
        <v>3121456</v>
      </c>
      <c r="F28147" s="4" t="str">
        <f>IF(B28147=B28146,"",B28147)</f>
        <v>Girona</v>
      </c>
    </row>
    <row r="28148" spans="1:6" ht="15.75" customHeight="1">
      <c r="A28148" s="16" t="str">
        <f ca="1">IFERROR(__xludf.DUMMYFUNCTION("GOOGLETRANSLATE(B26973,""en"",""pt"")"),"Girón")</f>
        <v>Girón</v>
      </c>
      <c r="B28148" s="20" t="s">
        <v>31871</v>
      </c>
      <c r="C28148" s="20" t="s">
        <v>5348</v>
      </c>
      <c r="D28148" s="20" t="s">
        <v>5380</v>
      </c>
      <c r="E28148" s="10">
        <v>3682018</v>
      </c>
      <c r="F28148" s="4" t="str">
        <f>IF(B28148=B28147,"",B28148)</f>
        <v>Girón</v>
      </c>
    </row>
    <row r="28149" spans="1:6" ht="15.75" customHeight="1">
      <c r="A28149" s="16" t="str">
        <f ca="1">IFERROR(__xludf.DUMMYFUNCTION("GOOGLETRANSLATE(B33455,""en"",""pt"")"),"Girīdīh")</f>
        <v>Girīdīh</v>
      </c>
      <c r="B28149" s="20" t="s">
        <v>33715</v>
      </c>
      <c r="C28149" s="20" t="s">
        <v>10178</v>
      </c>
      <c r="D28149" s="20" t="s">
        <v>10430</v>
      </c>
      <c r="E28149" s="10">
        <v>1271175</v>
      </c>
      <c r="F28149" s="4" t="e">
        <f>IF(B28149=#REF!,"",B28149)</f>
        <v>#REF!</v>
      </c>
    </row>
    <row r="28150" spans="1:6" ht="15.75" customHeight="1">
      <c r="A28150" s="15" t="s">
        <v>26350</v>
      </c>
      <c r="B28150" s="15" t="s">
        <v>26350</v>
      </c>
      <c r="C28150" s="15" t="s">
        <v>26201</v>
      </c>
      <c r="D28150" s="15" t="s">
        <v>26350</v>
      </c>
      <c r="E28150" s="2">
        <v>746881</v>
      </c>
      <c r="F28150" s="4" t="e">
        <f>IF(B28150=#REF!,"",B28150)</f>
        <v>#REF!</v>
      </c>
    </row>
    <row r="28151" spans="1:6" ht="15.75" customHeight="1">
      <c r="A28151" s="16" t="s">
        <v>5482</v>
      </c>
      <c r="B28151" s="15" t="s">
        <v>5483</v>
      </c>
      <c r="C28151" s="16" t="s">
        <v>5348</v>
      </c>
      <c r="D28151" s="16" t="s">
        <v>5400</v>
      </c>
      <c r="E28151" s="2">
        <v>3682028</v>
      </c>
      <c r="F28151" s="4" t="str">
        <f>IF(B28151=B28150,"",B28151)</f>
        <v>Girardot City</v>
      </c>
    </row>
    <row r="28152" spans="1:6" ht="15.75" customHeight="1">
      <c r="A28152" s="15" t="s">
        <v>5480</v>
      </c>
      <c r="B28152" s="15" t="s">
        <v>5481</v>
      </c>
      <c r="C28152" s="15" t="s">
        <v>5348</v>
      </c>
      <c r="D28152" s="15" t="s">
        <v>5380</v>
      </c>
      <c r="E28152" s="2">
        <v>3682018</v>
      </c>
      <c r="F28152" s="4" t="str">
        <f>IF(B28152=B28151,"",B28152)</f>
        <v>GirÃ³n</v>
      </c>
    </row>
    <row r="28153" spans="1:6" ht="15.75" customHeight="1">
      <c r="A28153" s="16" t="s">
        <v>11341</v>
      </c>
      <c r="B28153" s="15" t="s">
        <v>11342</v>
      </c>
      <c r="C28153" s="16" t="s">
        <v>10178</v>
      </c>
      <c r="D28153" s="16" t="s">
        <v>10430</v>
      </c>
      <c r="E28153" s="2">
        <v>1271175</v>
      </c>
      <c r="F28153" s="4" t="e">
        <f>IF(B28153=#REF!,"",B28153)</f>
        <v>#REF!</v>
      </c>
    </row>
    <row r="28154" spans="1:6" ht="15.75" customHeight="1">
      <c r="A28154" s="16" t="s">
        <v>15176</v>
      </c>
      <c r="B28154" s="15" t="s">
        <v>15176</v>
      </c>
      <c r="C28154" s="16" t="s">
        <v>14891</v>
      </c>
      <c r="D28154" s="16" t="s">
        <v>14908</v>
      </c>
      <c r="E28154" s="2">
        <v>3176072</v>
      </c>
      <c r="F28154" s="4" t="e">
        <f>IF(B28154=#REF!,"",B28154)</f>
        <v>#REF!</v>
      </c>
    </row>
    <row r="28155" spans="1:6" ht="15.75" customHeight="1">
      <c r="A28155" s="16" t="s">
        <v>15175</v>
      </c>
      <c r="B28155" s="15" t="s">
        <v>15175</v>
      </c>
      <c r="C28155" s="16" t="s">
        <v>14891</v>
      </c>
      <c r="D28155" s="16" t="s">
        <v>14929</v>
      </c>
      <c r="E28155" s="2">
        <v>2524606</v>
      </c>
      <c r="F28155" s="4" t="e">
        <f>IF(B28155=#REF!,"",B28155)</f>
        <v>#REF!</v>
      </c>
    </row>
    <row r="28156" spans="1:6" ht="15.75" customHeight="1">
      <c r="A28156" s="16" t="s">
        <v>15174</v>
      </c>
      <c r="B28156" s="15" t="s">
        <v>15174</v>
      </c>
      <c r="C28156" s="16" t="s">
        <v>14891</v>
      </c>
      <c r="D28156" s="16" t="s">
        <v>14908</v>
      </c>
      <c r="E28156" s="2">
        <v>3176090</v>
      </c>
      <c r="F28156" s="4" t="e">
        <f>IF(B28156=#REF!,"",B28156)</f>
        <v>#REF!</v>
      </c>
    </row>
    <row r="28157" spans="1:6" ht="15.75" customHeight="1">
      <c r="A28157" s="16" t="s">
        <v>8473</v>
      </c>
      <c r="B28157" s="15" t="s">
        <v>8473</v>
      </c>
      <c r="C28157" s="16" t="s">
        <v>8028</v>
      </c>
      <c r="D28157" s="16" t="s">
        <v>8050</v>
      </c>
      <c r="E28157" s="2">
        <v>2920329</v>
      </c>
      <c r="F28157" s="4" t="e">
        <f>IF(B28157=#REF!,"",B28157)</f>
        <v>#REF!</v>
      </c>
    </row>
    <row r="28158" spans="1:6" ht="15.75" customHeight="1">
      <c r="A28158" s="15" t="s">
        <v>15899</v>
      </c>
      <c r="B28158" s="15" t="s">
        <v>15899</v>
      </c>
      <c r="C28158" s="15" t="s">
        <v>15704</v>
      </c>
      <c r="D28158" s="15" t="s">
        <v>15841</v>
      </c>
      <c r="E28158" s="2">
        <v>1863627</v>
      </c>
      <c r="F28158" s="4" t="e">
        <f>IF(B28158=#REF!,"",B28158)</f>
        <v>#REF!</v>
      </c>
    </row>
    <row r="28159" spans="1:6" ht="15.75" customHeight="1">
      <c r="A28159" s="15" t="s">
        <v>15173</v>
      </c>
      <c r="B28159" s="15" t="s">
        <v>15173</v>
      </c>
      <c r="C28159" s="15" t="s">
        <v>14891</v>
      </c>
      <c r="D28159" s="15" t="s">
        <v>14908</v>
      </c>
      <c r="E28159" s="2">
        <v>3176097</v>
      </c>
      <c r="F28159" s="4" t="e">
        <f>IF(B28159=#REF!,"",B28159)</f>
        <v>#REF!</v>
      </c>
    </row>
    <row r="28160" spans="1:6" ht="15.75" customHeight="1">
      <c r="A28160" s="15" t="s">
        <v>6879</v>
      </c>
      <c r="B28160" s="15" t="s">
        <v>6879</v>
      </c>
      <c r="C28160" s="15" t="s">
        <v>6807</v>
      </c>
      <c r="D28160" s="15" t="s">
        <v>6814</v>
      </c>
      <c r="E28160" s="2">
        <v>336454</v>
      </c>
      <c r="F28160" s="4" t="e">
        <f>IF(B28160=#REF!,"",B28160)</f>
        <v>#REF!</v>
      </c>
    </row>
    <row r="28161" spans="1:6" ht="15.75" customHeight="1">
      <c r="A28161" s="15" t="s">
        <v>11339</v>
      </c>
      <c r="B28161" s="15" t="s">
        <v>11340</v>
      </c>
      <c r="C28161" s="15" t="s">
        <v>10178</v>
      </c>
      <c r="D28161" s="15" t="s">
        <v>10196</v>
      </c>
      <c r="E28161" s="2">
        <v>1271199</v>
      </c>
      <c r="F28161" s="4" t="e">
        <f>IF(B28161=#REF!,"",B28161)</f>
        <v>#REF!</v>
      </c>
    </row>
    <row r="28162" spans="1:6" ht="15.75" customHeight="1">
      <c r="A28162" s="16" t="s">
        <v>24067</v>
      </c>
      <c r="B28162" s="15" t="s">
        <v>24067</v>
      </c>
      <c r="C28162" s="16" t="s">
        <v>24024</v>
      </c>
      <c r="D28162" s="16" t="s">
        <v>24025</v>
      </c>
      <c r="E28162" s="2">
        <v>1842944</v>
      </c>
      <c r="F28162" s="4" t="e">
        <f>IF(B28162=#REF!,"",B28162)</f>
        <v>#REF!</v>
      </c>
    </row>
    <row r="28163" spans="1:6" ht="15.75" customHeight="1">
      <c r="A28163" s="15" t="s">
        <v>6878</v>
      </c>
      <c r="B28163" s="15" t="s">
        <v>6878</v>
      </c>
      <c r="C28163" s="15" t="s">
        <v>6807</v>
      </c>
      <c r="D28163" s="15" t="s">
        <v>6814</v>
      </c>
      <c r="E28163" s="2">
        <v>336496</v>
      </c>
      <c r="F28163" s="4" t="e">
        <f>IF(B28163=#REF!,"",B28163)</f>
        <v>#REF!</v>
      </c>
    </row>
    <row r="28164" spans="1:6" ht="15.75" customHeight="1">
      <c r="A28164" s="15" t="s">
        <v>28732</v>
      </c>
      <c r="B28164" s="15" t="s">
        <v>28732</v>
      </c>
      <c r="C28164" s="15" t="s">
        <v>27788</v>
      </c>
      <c r="D28164" s="15" t="s">
        <v>27801</v>
      </c>
      <c r="E28164" s="2">
        <v>5352214</v>
      </c>
      <c r="F28164" s="4" t="e">
        <f>IF(B28164=#REF!,"",B28164)</f>
        <v>#REF!</v>
      </c>
    </row>
    <row r="28165" spans="1:6" ht="15.75" customHeight="1">
      <c r="A28165" s="15" t="s">
        <v>28731</v>
      </c>
      <c r="B28165" s="15" t="s">
        <v>28731</v>
      </c>
      <c r="C28165" s="15" t="s">
        <v>27788</v>
      </c>
      <c r="D28165" s="15" t="s">
        <v>28189</v>
      </c>
      <c r="E28165" s="2">
        <v>5826027</v>
      </c>
      <c r="F28165" s="4" t="e">
        <f>IF(B28165=#REF!,"",B28165)</f>
        <v>#REF!</v>
      </c>
    </row>
    <row r="28166" spans="1:6" ht="15.75" customHeight="1">
      <c r="A28166" s="15" t="s">
        <v>8472</v>
      </c>
      <c r="B28166" s="15" t="s">
        <v>8472</v>
      </c>
      <c r="C28166" s="15" t="s">
        <v>8028</v>
      </c>
      <c r="D28166" s="15" t="s">
        <v>8044</v>
      </c>
      <c r="E28166" s="2">
        <v>2920433</v>
      </c>
      <c r="F28166" s="4" t="e">
        <f>IF(B28166=#REF!,"",B28166)</f>
        <v>#REF!</v>
      </c>
    </row>
    <row r="28167" spans="1:6" ht="15.75" customHeight="1">
      <c r="A28167" s="15" t="s">
        <v>28730</v>
      </c>
      <c r="B28167" s="15" t="s">
        <v>28730</v>
      </c>
      <c r="C28167" s="15" t="s">
        <v>27788</v>
      </c>
      <c r="D28167" s="15" t="s">
        <v>27880</v>
      </c>
      <c r="E28167" s="2">
        <v>5295903</v>
      </c>
      <c r="F28167" s="4" t="str">
        <f>IF(B28167=B28166,"",B28167)</f>
        <v>Gilbert</v>
      </c>
    </row>
    <row r="28168" spans="1:6" ht="15.75" customHeight="1">
      <c r="A28168" s="16" t="str">
        <f ca="1">IFERROR(__xludf.DUMMYFUNCTION("GOOGLETRANSLATE(B29397,""en"",""pt"")"),"Gijón")</f>
        <v>Gijón</v>
      </c>
      <c r="B28168" s="20" t="s">
        <v>32461</v>
      </c>
      <c r="C28168" s="20" t="s">
        <v>24200</v>
      </c>
      <c r="D28168" s="20" t="s">
        <v>24303</v>
      </c>
      <c r="E28168" s="10">
        <v>3121424</v>
      </c>
      <c r="F28168" s="4" t="e">
        <f>IF(B28168=#REF!,"",B28168)</f>
        <v>#REF!</v>
      </c>
    </row>
    <row r="28169" spans="1:6" ht="15.75" customHeight="1">
      <c r="A28169" s="15" t="s">
        <v>24066</v>
      </c>
      <c r="B28169" s="15" t="s">
        <v>24066</v>
      </c>
      <c r="C28169" s="15" t="s">
        <v>24024</v>
      </c>
      <c r="D28169" s="15" t="s">
        <v>24038</v>
      </c>
      <c r="E28169" s="2">
        <v>1842966</v>
      </c>
      <c r="F28169" s="4" t="str">
        <f>IF(B28169=B28168,"",B28169)</f>
        <v>Gijang</v>
      </c>
    </row>
    <row r="28170" spans="1:6" ht="15.75" customHeight="1">
      <c r="A28170" s="15" t="s">
        <v>24487</v>
      </c>
      <c r="B28170" s="15" t="s">
        <v>24488</v>
      </c>
      <c r="C28170" s="15" t="s">
        <v>24200</v>
      </c>
      <c r="D28170" s="15" t="s">
        <v>24303</v>
      </c>
      <c r="E28170" s="2">
        <v>3121424</v>
      </c>
      <c r="F28170" s="4" t="e">
        <f>IF(B28170=#REF!,"",B28170)</f>
        <v>#REF!</v>
      </c>
    </row>
    <row r="28171" spans="1:6" ht="15.75" customHeight="1">
      <c r="A28171" s="15" t="s">
        <v>15898</v>
      </c>
      <c r="B28171" s="15" t="s">
        <v>15898</v>
      </c>
      <c r="C28171" s="15" t="s">
        <v>15704</v>
      </c>
      <c r="D28171" s="15" t="s">
        <v>15748</v>
      </c>
      <c r="E28171" s="2">
        <v>1863641</v>
      </c>
      <c r="F28171" s="4" t="e">
        <f>IF(B28171=#REF!,"",B28171)</f>
        <v>#REF!</v>
      </c>
    </row>
    <row r="28172" spans="1:6" ht="15.75" customHeight="1">
      <c r="A28172" s="16" t="s">
        <v>7372</v>
      </c>
      <c r="B28172" s="15" t="s">
        <v>7373</v>
      </c>
      <c r="C28172" s="16" t="s">
        <v>7052</v>
      </c>
      <c r="D28172" s="16" t="s">
        <v>7058</v>
      </c>
      <c r="E28172" s="2">
        <v>3016078</v>
      </c>
      <c r="F28172" s="4" t="e">
        <f>IF(B28172=#REF!,"",B28172)</f>
        <v>#REF!</v>
      </c>
    </row>
    <row r="28173" spans="1:6" ht="15.75" customHeight="1">
      <c r="A28173" s="15" t="s">
        <v>8471</v>
      </c>
      <c r="B28173" s="15" t="s">
        <v>8471</v>
      </c>
      <c r="C28173" s="15" t="s">
        <v>8028</v>
      </c>
      <c r="D28173" s="15" t="s">
        <v>8034</v>
      </c>
      <c r="E28173" s="2">
        <v>2920478</v>
      </c>
      <c r="F28173" s="4" t="str">
        <f>IF(B28173=B28172,"",B28173)</f>
        <v>Gifhorn</v>
      </c>
    </row>
    <row r="28174" spans="1:6" ht="15.75" customHeight="1">
      <c r="A28174" s="16" t="str">
        <f ca="1">IFERROR(__xludf.DUMMYFUNCTION("GOOGLETRANSLATE(B28046,""en"",""pt"")"),"Gießen")</f>
        <v>Gießen</v>
      </c>
      <c r="B28174" s="20" t="s">
        <v>32105</v>
      </c>
      <c r="C28174" s="20" t="s">
        <v>8028</v>
      </c>
      <c r="D28174" s="20" t="s">
        <v>8050</v>
      </c>
      <c r="E28174" s="10">
        <v>2920512</v>
      </c>
      <c r="F28174" s="4" t="str">
        <f>IF(B28174=B28173,"",B28174)</f>
        <v>Gießen</v>
      </c>
    </row>
    <row r="28175" spans="1:6" ht="15.75" customHeight="1">
      <c r="A28175" s="16" t="str">
        <f ca="1">IFERROR(__xludf.DUMMYFUNCTION("GOOGLETRANSLATE(B39279,""en"",""pt"")"),"Gierłoż")</f>
        <v>Gierłoż</v>
      </c>
      <c r="B28175" s="20" t="s">
        <v>35123</v>
      </c>
      <c r="C28175" s="20" t="s">
        <v>21064</v>
      </c>
      <c r="D28175" s="20" t="s">
        <v>21131</v>
      </c>
      <c r="E28175" s="10">
        <v>772227</v>
      </c>
      <c r="F28175" s="4" t="str">
        <f>IF(B28175=B28174,"",B28175)</f>
        <v>Gierłoż</v>
      </c>
    </row>
    <row r="28176" spans="1:6" ht="15.75" customHeight="1">
      <c r="A28176" s="16" t="s">
        <v>21227</v>
      </c>
      <c r="B28176" s="15" t="s">
        <v>21228</v>
      </c>
      <c r="C28176" s="16" t="s">
        <v>21064</v>
      </c>
      <c r="D28176" s="16" t="s">
        <v>21131</v>
      </c>
      <c r="E28176" s="2">
        <v>772227</v>
      </c>
      <c r="F28176" s="4" t="e">
        <f>IF(B28176=#REF!,"",B28176)</f>
        <v>#REF!</v>
      </c>
    </row>
    <row r="28177" spans="1:6" ht="15.75" customHeight="1">
      <c r="A28177" s="16" t="s">
        <v>8469</v>
      </c>
      <c r="B28177" s="15" t="s">
        <v>8470</v>
      </c>
      <c r="C28177" s="16" t="s">
        <v>8028</v>
      </c>
      <c r="D28177" s="16" t="s">
        <v>8031</v>
      </c>
      <c r="E28177" s="2">
        <v>2920620</v>
      </c>
      <c r="F28177" s="4" t="e">
        <f>IF(B28177=#REF!,"",B28177)</f>
        <v>#REF!</v>
      </c>
    </row>
    <row r="28178" spans="1:6" ht="15.75" customHeight="1">
      <c r="A28178" s="15" t="s">
        <v>7371</v>
      </c>
      <c r="B28178" s="15" t="s">
        <v>7371</v>
      </c>
      <c r="C28178" s="15" t="s">
        <v>7052</v>
      </c>
      <c r="D28178" s="15" t="s">
        <v>3813</v>
      </c>
      <c r="E28178" s="2">
        <v>3016097</v>
      </c>
      <c r="F28178" s="4" t="str">
        <f>IF(B28178=B28177,"",B28178)</f>
        <v>Gien</v>
      </c>
    </row>
    <row r="28179" spans="1:6" ht="15.75" customHeight="1">
      <c r="A28179" s="15" t="s">
        <v>8467</v>
      </c>
      <c r="B28179" s="15" t="s">
        <v>8468</v>
      </c>
      <c r="C28179" s="15" t="s">
        <v>8028</v>
      </c>
      <c r="D28179" s="15" t="s">
        <v>8050</v>
      </c>
      <c r="E28179" s="2">
        <v>2920512</v>
      </c>
      <c r="F28179" s="4" t="str">
        <f>IF(B28179=B28178,"",B28179)</f>
        <v>GieÃŸen</v>
      </c>
    </row>
    <row r="28180" spans="1:6" ht="15.75" customHeight="1">
      <c r="A28180" s="16" t="str">
        <f ca="1">IFERROR(__xludf.DUMMYFUNCTION("GOOGLETRANSLATE(B33457,""en"",""pt"")"),"Giddarbāha")</f>
        <v>Giddarbāha</v>
      </c>
      <c r="B28180" s="20" t="s">
        <v>33716</v>
      </c>
      <c r="C28180" s="20" t="s">
        <v>10178</v>
      </c>
      <c r="D28180" s="20" t="s">
        <v>10184</v>
      </c>
      <c r="E28180" s="10">
        <v>1271212</v>
      </c>
      <c r="F28180" s="4" t="str">
        <f>IF(B28180=B28179,"",B28180)</f>
        <v>Giddarbāha</v>
      </c>
    </row>
    <row r="28181" spans="1:6" ht="15.75" customHeight="1">
      <c r="A28181" s="16" t="s">
        <v>11337</v>
      </c>
      <c r="B28181" s="15" t="s">
        <v>11338</v>
      </c>
      <c r="C28181" s="16" t="s">
        <v>10178</v>
      </c>
      <c r="D28181" s="16" t="s">
        <v>10184</v>
      </c>
      <c r="E28181" s="2">
        <v>1271212</v>
      </c>
      <c r="F28181" s="4" t="str">
        <f>IF(B28181=B28180,"",B28181)</f>
        <v>GiddarbÄha</v>
      </c>
    </row>
    <row r="28182" spans="1:6" ht="15.75" customHeight="1">
      <c r="A28182" s="16" t="str">
        <f ca="1">IFERROR(__xludf.DUMMYFUNCTION("GOOGLETRANSLATE(B33458,""en"",""pt"")"),"Giddalūr")</f>
        <v>Giddalūr</v>
      </c>
      <c r="B28182" s="20" t="s">
        <v>33717</v>
      </c>
      <c r="C28182" s="20" t="s">
        <v>10178</v>
      </c>
      <c r="D28182" s="20" t="s">
        <v>10190</v>
      </c>
      <c r="E28182" s="10">
        <v>1271213</v>
      </c>
      <c r="F28182" s="4" t="str">
        <f>IF(B28182=B28181,"",B28182)</f>
        <v>Giddalūr</v>
      </c>
    </row>
    <row r="28183" spans="1:6" ht="15.75" customHeight="1">
      <c r="A28183" s="16" t="s">
        <v>11335</v>
      </c>
      <c r="B28183" s="15" t="s">
        <v>11336</v>
      </c>
      <c r="C28183" s="16" t="s">
        <v>10178</v>
      </c>
      <c r="D28183" s="16" t="s">
        <v>10190</v>
      </c>
      <c r="E28183" s="2">
        <v>1271213</v>
      </c>
      <c r="F28183" s="4" t="e">
        <f>IF(B28183=#REF!,"",B28183)</f>
        <v>#REF!</v>
      </c>
    </row>
    <row r="28184" spans="1:6" ht="15.75" customHeight="1">
      <c r="A28184" s="15" t="s">
        <v>9438</v>
      </c>
      <c r="B28184" s="15" t="s">
        <v>9438</v>
      </c>
      <c r="C28184" s="15" t="s">
        <v>9438</v>
      </c>
      <c r="D28184" s="15" t="s">
        <v>551</v>
      </c>
      <c r="E28184" s="2">
        <v>2411585</v>
      </c>
      <c r="F28184" s="4" t="e">
        <f>IF(B28184=#REF!,"",B28184)</f>
        <v>#REF!</v>
      </c>
    </row>
    <row r="28185" spans="1:6" ht="15.75" customHeight="1">
      <c r="A28185" s="15" t="s">
        <v>5840</v>
      </c>
      <c r="B28185" s="15" t="s">
        <v>5840</v>
      </c>
      <c r="C28185" s="15" t="s">
        <v>5764</v>
      </c>
      <c r="D28185" s="15" t="s">
        <v>5777</v>
      </c>
      <c r="E28185" s="2">
        <v>3558315</v>
      </c>
      <c r="F28185" s="4" t="e">
        <f>IF(B28185=#REF!,"",B28185)</f>
        <v>#REF!</v>
      </c>
    </row>
    <row r="28186" spans="1:6" ht="15.75" customHeight="1">
      <c r="A28186" s="15" t="s">
        <v>15172</v>
      </c>
      <c r="B28186" s="15" t="s">
        <v>15172</v>
      </c>
      <c r="C28186" s="15" t="s">
        <v>14891</v>
      </c>
      <c r="D28186" s="15" t="s">
        <v>14899</v>
      </c>
      <c r="E28186" s="2">
        <v>2524618</v>
      </c>
      <c r="F28186" s="4" t="str">
        <f>IF(B28186=B28185,"",B28186)</f>
        <v>Giarre</v>
      </c>
    </row>
    <row r="28187" spans="1:6" ht="15.75" customHeight="1">
      <c r="A28187" s="15" t="s">
        <v>9516</v>
      </c>
      <c r="B28187" s="15" t="s">
        <v>9517</v>
      </c>
      <c r="C28187" s="15" t="s">
        <v>9441</v>
      </c>
      <c r="D28187" s="15" t="s">
        <v>9442</v>
      </c>
      <c r="E28187" s="2">
        <v>733776</v>
      </c>
      <c r="F28187" s="4" t="str">
        <f>IF(B28187=B28186,"",B28187)</f>
        <v>GiannitsÃ¡</v>
      </c>
    </row>
    <row r="28188" spans="1:6" ht="15.75" customHeight="1">
      <c r="A28188" s="16" t="str">
        <f ca="1">IFERROR(__xludf.DUMMYFUNCTION("GOOGLETRANSLATE(B31028,""en"",""pt"")"),"Giannitsá")</f>
        <v>Giannitsá</v>
      </c>
      <c r="B28188" s="20" t="s">
        <v>32734</v>
      </c>
      <c r="C28188" s="20" t="s">
        <v>9441</v>
      </c>
      <c r="D28188" s="20" t="s">
        <v>9442</v>
      </c>
      <c r="E28188" s="10">
        <v>733776</v>
      </c>
      <c r="F28188" s="4" t="e">
        <f>IF(B28188=#REF!,"",B28188)</f>
        <v>#REF!</v>
      </c>
    </row>
    <row r="28189" spans="1:6" ht="15.75" customHeight="1">
      <c r="A28189" s="16" t="s">
        <v>22392</v>
      </c>
      <c r="B28189" s="15" t="s">
        <v>22392</v>
      </c>
      <c r="C28189" s="16" t="s">
        <v>22070</v>
      </c>
      <c r="D28189" s="16" t="s">
        <v>22369</v>
      </c>
      <c r="E28189" s="2">
        <v>561515</v>
      </c>
      <c r="F28189" s="4" t="str">
        <f>IF(B28189=B28188,"",B28189)</f>
        <v>Giaginskaya</v>
      </c>
    </row>
    <row r="28190" spans="1:6" ht="15.75" customHeight="1">
      <c r="A28190" s="15" t="s">
        <v>21225</v>
      </c>
      <c r="B28190" s="15" t="s">
        <v>21226</v>
      </c>
      <c r="C28190" s="15" t="s">
        <v>21064</v>
      </c>
      <c r="D28190" s="15" t="s">
        <v>21131</v>
      </c>
      <c r="E28190" s="2">
        <v>772195</v>
      </c>
      <c r="F28190" s="4" t="e">
        <f>IF(B28190=#REF!,"",B28190)</f>
        <v>#REF!</v>
      </c>
    </row>
    <row r="28191" spans="1:6" ht="15.75" customHeight="1">
      <c r="A28191" s="15" t="s">
        <v>11334</v>
      </c>
      <c r="B28191" s="15" t="s">
        <v>11334</v>
      </c>
      <c r="C28191" s="15" t="s">
        <v>10178</v>
      </c>
      <c r="D28191" s="15" t="s">
        <v>10214</v>
      </c>
      <c r="E28191" s="2">
        <v>1271244</v>
      </c>
      <c r="F28191" s="4" t="e">
        <f>IF(B28191=#REF!,"",B28191)</f>
        <v>#REF!</v>
      </c>
    </row>
    <row r="28192" spans="1:6" ht="15.75" customHeight="1">
      <c r="A28192" s="15" t="s">
        <v>19922</v>
      </c>
      <c r="B28192" s="15" t="s">
        <v>19922</v>
      </c>
      <c r="C28192" s="15" t="s">
        <v>19808</v>
      </c>
      <c r="D28192" s="15" t="s">
        <v>19823</v>
      </c>
      <c r="E28192" s="2">
        <v>1178456</v>
      </c>
      <c r="F28192" s="4" t="e">
        <f>IF(B28192=#REF!,"",B28192)</f>
        <v>#REF!</v>
      </c>
    </row>
    <row r="28193" spans="1:6" ht="15.75" customHeight="1">
      <c r="A28193" s="16" t="s">
        <v>11333</v>
      </c>
      <c r="B28193" s="15" t="s">
        <v>11333</v>
      </c>
      <c r="C28193" s="16" t="s">
        <v>10178</v>
      </c>
      <c r="D28193" s="16" t="s">
        <v>10214</v>
      </c>
      <c r="E28193" s="2">
        <v>1271250</v>
      </c>
      <c r="F28193" s="4" t="str">
        <f>IF(B28193=B28192,"",B28193)</f>
        <v>Ghoti Budrukh</v>
      </c>
    </row>
    <row r="28194" spans="1:6" ht="15.75" customHeight="1">
      <c r="A28194" s="16" t="str">
        <f ca="1">IFERROR(__xludf.DUMMYFUNCTION("GOOGLETRANSLATE(B33461,""en"",""pt"")"),"Ghosī")</f>
        <v>Ghosī</v>
      </c>
      <c r="B28194" s="20" t="s">
        <v>33718</v>
      </c>
      <c r="C28194" s="20" t="s">
        <v>10178</v>
      </c>
      <c r="D28194" s="20" t="s">
        <v>10193</v>
      </c>
      <c r="E28194" s="10">
        <v>1271259</v>
      </c>
      <c r="F28194" s="4" t="str">
        <f>IF(B28194=B28193,"",B28194)</f>
        <v>Ghosī</v>
      </c>
    </row>
    <row r="28195" spans="1:6" ht="15.75" customHeight="1">
      <c r="A28195" s="15" t="s">
        <v>11331</v>
      </c>
      <c r="B28195" s="15" t="s">
        <v>11332</v>
      </c>
      <c r="C28195" s="15" t="s">
        <v>10178</v>
      </c>
      <c r="D28195" s="15" t="s">
        <v>10193</v>
      </c>
      <c r="E28195" s="2">
        <v>1271259</v>
      </c>
      <c r="F28195" s="4" t="e">
        <f>IF(B28195=#REF!,"",B28195)</f>
        <v>#REF!</v>
      </c>
    </row>
    <row r="28196" spans="1:6" ht="15.75" customHeight="1">
      <c r="A28196" s="16" t="s">
        <v>47</v>
      </c>
      <c r="B28196" s="15" t="s">
        <v>47</v>
      </c>
      <c r="C28196" s="16" t="s">
        <v>8</v>
      </c>
      <c r="D28196" s="16" t="s">
        <v>48</v>
      </c>
      <c r="E28196" s="2">
        <v>1141089</v>
      </c>
      <c r="F28196" s="4" t="e">
        <f>IF(B28196=#REF!,"",B28196)</f>
        <v>#REF!</v>
      </c>
    </row>
    <row r="28197" spans="1:6" ht="15.75" customHeight="1">
      <c r="A28197" s="16" t="s">
        <v>30541</v>
      </c>
      <c r="B28197" s="15" t="s">
        <v>30541</v>
      </c>
      <c r="C28197" s="16" t="s">
        <v>30502</v>
      </c>
      <c r="D28197" s="16" t="s">
        <v>30519</v>
      </c>
      <c r="E28197" s="2">
        <v>1513983</v>
      </c>
      <c r="F28197" s="4" t="e">
        <f>IF(B28197=#REF!,"",B28197)</f>
        <v>#REF!</v>
      </c>
    </row>
    <row r="28198" spans="1:6" ht="15.75" customHeight="1">
      <c r="A28198" s="15" t="s">
        <v>21939</v>
      </c>
      <c r="B28198" s="15" t="s">
        <v>21939</v>
      </c>
      <c r="C28198" s="15" t="s">
        <v>21824</v>
      </c>
      <c r="D28198" s="15" t="s">
        <v>21880</v>
      </c>
      <c r="E28198" s="2">
        <v>677429</v>
      </c>
      <c r="F28198" s="4" t="e">
        <f>IF(B28198=#REF!,"",B28198)</f>
        <v>#REF!</v>
      </c>
    </row>
    <row r="28199" spans="1:6" ht="15.75" customHeight="1">
      <c r="A28199" s="16" t="s">
        <v>21937</v>
      </c>
      <c r="B28199" s="15" t="s">
        <v>21937</v>
      </c>
      <c r="C28199" s="16" t="s">
        <v>21824</v>
      </c>
      <c r="D28199" s="16" t="s">
        <v>21938</v>
      </c>
      <c r="E28199" s="2">
        <v>677458</v>
      </c>
      <c r="F28199" s="4" t="e">
        <f>IF(B28199=#REF!,"",B28199)</f>
        <v>#REF!</v>
      </c>
    </row>
    <row r="28200" spans="1:6" ht="15.75" customHeight="1">
      <c r="A28200" s="15" t="s">
        <v>15171</v>
      </c>
      <c r="B28200" s="15" t="s">
        <v>15171</v>
      </c>
      <c r="C28200" s="15" t="s">
        <v>14891</v>
      </c>
      <c r="D28200" s="15" t="s">
        <v>14894</v>
      </c>
      <c r="E28200" s="2">
        <v>3176177</v>
      </c>
      <c r="F28200" s="4" t="e">
        <f>IF(B28200=#REF!,"",B28200)</f>
        <v>#REF!</v>
      </c>
    </row>
    <row r="28201" spans="1:6" ht="15.75" customHeight="1">
      <c r="A28201" s="15" t="s">
        <v>45</v>
      </c>
      <c r="B28201" s="15" t="s">
        <v>45</v>
      </c>
      <c r="C28201" s="15" t="s">
        <v>8</v>
      </c>
      <c r="D28201" s="15" t="s">
        <v>46</v>
      </c>
      <c r="E28201" s="2">
        <v>1141269</v>
      </c>
      <c r="F28201" s="4" t="str">
        <f>IF(B28201=B28200,"",B28201)</f>
        <v>Ghazni</v>
      </c>
    </row>
    <row r="28202" spans="1:6" ht="15.75" customHeight="1">
      <c r="A28202" s="16" t="str">
        <f ca="1">IFERROR(__xludf.DUMMYFUNCTION("GOOGLETRANSLATE(B33462,""en"",""pt"")"),"Ghazīpur")</f>
        <v>Ghazīpur</v>
      </c>
      <c r="B28202" s="20" t="s">
        <v>33719</v>
      </c>
      <c r="C28202" s="20" t="s">
        <v>10178</v>
      </c>
      <c r="D28202" s="20" t="s">
        <v>10193</v>
      </c>
      <c r="E28202" s="10">
        <v>1271306</v>
      </c>
      <c r="F28202" s="4" t="str">
        <f>IF(B28202=B28201,"",B28202)</f>
        <v>Ghazīpur</v>
      </c>
    </row>
    <row r="28203" spans="1:6" ht="15.75" customHeight="1">
      <c r="A28203" s="16" t="str">
        <f ca="1">IFERROR(__xludf.DUMMYFUNCTION("GOOGLETRANSLATE(B33463,""en"",""pt"")"),"Ghāziābād")</f>
        <v>Ghāziābād</v>
      </c>
      <c r="B28203" s="20" t="s">
        <v>33720</v>
      </c>
      <c r="C28203" s="20" t="s">
        <v>10178</v>
      </c>
      <c r="D28203" s="20" t="s">
        <v>10193</v>
      </c>
      <c r="E28203" s="10">
        <v>1271308</v>
      </c>
      <c r="F28203" s="4" t="str">
        <f>IF(B28203=B28202,"",B28203)</f>
        <v>Ghāziābād</v>
      </c>
    </row>
    <row r="28204" spans="1:6" ht="15.75" customHeight="1">
      <c r="A28204" s="16" t="s">
        <v>11329</v>
      </c>
      <c r="B28204" s="15" t="s">
        <v>11330</v>
      </c>
      <c r="C28204" s="16" t="s">
        <v>10178</v>
      </c>
      <c r="D28204" s="16" t="s">
        <v>10193</v>
      </c>
      <c r="E28204" s="2">
        <v>1271306</v>
      </c>
      <c r="F28204" s="4" t="e">
        <f>IF(B28204=#REF!,"",B28204)</f>
        <v>#REF!</v>
      </c>
    </row>
    <row r="28205" spans="1:6" ht="15.75" customHeight="1">
      <c r="A28205" s="15" t="s">
        <v>19921</v>
      </c>
      <c r="B28205" s="15" t="s">
        <v>19921</v>
      </c>
      <c r="C28205" s="15" t="s">
        <v>19808</v>
      </c>
      <c r="D28205" s="15" t="s">
        <v>19823</v>
      </c>
      <c r="E28205" s="2">
        <v>1178560</v>
      </c>
      <c r="F28205" s="4" t="str">
        <f>IF(B28205=B28204,"",B28205)</f>
        <v>Ghauspur</v>
      </c>
    </row>
    <row r="28206" spans="1:6" ht="15.75" customHeight="1">
      <c r="A28206" s="16" t="str">
        <f ca="1">IFERROR(__xludf.DUMMYFUNCTION("GOOGLETRANSLATE(B33464,""en"",""pt"")"),"Ghātsīla")</f>
        <v>Ghātsīla</v>
      </c>
      <c r="B28206" s="20" t="s">
        <v>33721</v>
      </c>
      <c r="C28206" s="20" t="s">
        <v>10178</v>
      </c>
      <c r="D28206" s="20" t="s">
        <v>10430</v>
      </c>
      <c r="E28206" s="10">
        <v>1271319</v>
      </c>
      <c r="F28206" s="4" t="e">
        <f>IF(B28206=#REF!,"",B28206)</f>
        <v>#REF!</v>
      </c>
    </row>
    <row r="28207" spans="1:6" ht="15.75" customHeight="1">
      <c r="A28207" s="16" t="s">
        <v>11328</v>
      </c>
      <c r="B28207" s="15" t="s">
        <v>11328</v>
      </c>
      <c r="C28207" s="16" t="s">
        <v>10178</v>
      </c>
      <c r="D28207" s="16" t="s">
        <v>10187</v>
      </c>
      <c r="E28207" s="2">
        <v>1445378</v>
      </c>
      <c r="F28207" s="4" t="str">
        <f>IF(B28207=B28206,"",B28207)</f>
        <v>Ghatkesar</v>
      </c>
    </row>
    <row r="28208" spans="1:6" ht="15.75" customHeight="1">
      <c r="A28208" s="16" t="str">
        <f ca="1">IFERROR(__xludf.DUMMYFUNCTION("GOOGLETRANSLATE(B33465,""en"",""pt"")"),"Ghātanji")</f>
        <v>Ghātanji</v>
      </c>
      <c r="B28208" s="20" t="s">
        <v>33722</v>
      </c>
      <c r="C28208" s="20" t="s">
        <v>10178</v>
      </c>
      <c r="D28208" s="20" t="s">
        <v>10214</v>
      </c>
      <c r="E28208" s="10">
        <v>1271343</v>
      </c>
      <c r="F28208" s="4" t="str">
        <f>IF(B28208=B28207,"",B28208)</f>
        <v>Ghātanji</v>
      </c>
    </row>
    <row r="28209" spans="1:6" ht="15.75" customHeight="1">
      <c r="A28209" s="16" t="str">
        <f ca="1">IFERROR(__xludf.DUMMYFUNCTION("GOOGLETRANSLATE(B33466,""en"",""pt"")"),"Ghātampur")</f>
        <v>Ghātampur</v>
      </c>
      <c r="B28209" s="20" t="s">
        <v>33723</v>
      </c>
      <c r="C28209" s="20" t="s">
        <v>10178</v>
      </c>
      <c r="D28209" s="20" t="s">
        <v>10193</v>
      </c>
      <c r="E28209" s="10">
        <v>1271345</v>
      </c>
      <c r="F28209" s="4" t="str">
        <f>IF(B28209=B28208,"",B28209)</f>
        <v>Ghātampur</v>
      </c>
    </row>
    <row r="28210" spans="1:6" ht="15.75" customHeight="1">
      <c r="A28210" s="16" t="str">
        <f ca="1">IFERROR(__xludf.DUMMYFUNCTION("GOOGLETRANSLATE(B33467,""en"",""pt"")"),"Ghātāl")</f>
        <v>Ghātāl</v>
      </c>
      <c r="B28210" s="20" t="s">
        <v>33724</v>
      </c>
      <c r="C28210" s="20" t="s">
        <v>10178</v>
      </c>
      <c r="D28210" s="20" t="s">
        <v>10201</v>
      </c>
      <c r="E28210" s="10">
        <v>1271346</v>
      </c>
      <c r="F28210" s="4" t="e">
        <f>IF(B28210=#REF!,"",B28210)</f>
        <v>#REF!</v>
      </c>
    </row>
    <row r="28211" spans="1:6" ht="15.75" customHeight="1">
      <c r="A28211" s="15" t="s">
        <v>17116</v>
      </c>
      <c r="B28211" s="15" t="s">
        <v>17116</v>
      </c>
      <c r="C28211" s="15" t="s">
        <v>17074</v>
      </c>
      <c r="D28211" s="15" t="s">
        <v>17117</v>
      </c>
      <c r="E28211" s="2">
        <v>2217351</v>
      </c>
      <c r="F28211" s="4" t="e">
        <f>IF(B28211=#REF!,"",B28211)</f>
        <v>#REF!</v>
      </c>
    </row>
    <row r="28212" spans="1:6" ht="15.75" customHeight="1">
      <c r="A28212" s="15" t="s">
        <v>17115</v>
      </c>
      <c r="B28212" s="15" t="s">
        <v>17115</v>
      </c>
      <c r="C28212" s="15" t="s">
        <v>17074</v>
      </c>
      <c r="D28212" s="15" t="s">
        <v>17101</v>
      </c>
      <c r="E28212" s="2">
        <v>2217362</v>
      </c>
      <c r="F28212" s="4" t="str">
        <f>IF(B28212=B28211,"",B28212)</f>
        <v>Gharyan</v>
      </c>
    </row>
    <row r="28213" spans="1:6" ht="15.75" customHeight="1">
      <c r="A28213" s="16" t="str">
        <f ca="1">IFERROR(__xludf.DUMMYFUNCTION("GOOGLETRANSLATE(B39100,""en"",""pt"")"),"Ghāro")</f>
        <v>Ghāro</v>
      </c>
      <c r="B28213" s="20" t="s">
        <v>35021</v>
      </c>
      <c r="C28213" s="20" t="s">
        <v>19808</v>
      </c>
      <c r="D28213" s="20" t="s">
        <v>19823</v>
      </c>
      <c r="E28213" s="10">
        <v>1178587</v>
      </c>
      <c r="F28213" s="4" t="str">
        <f>IF(B28213=B28212,"",B28213)</f>
        <v>Ghāro</v>
      </c>
    </row>
    <row r="28214" spans="1:6" ht="15.75" customHeight="1">
      <c r="A28214" s="16" t="str">
        <f ca="1">IFERROR(__xludf.DUMMYFUNCTION("GOOGLETRANSLATE(B28618,""en"",""pt"")"),"Ghardaïa")</f>
        <v>Ghardaïa</v>
      </c>
      <c r="B28214" s="20" t="s">
        <v>32198</v>
      </c>
      <c r="C28214" s="20" t="s">
        <v>153</v>
      </c>
      <c r="D28214" s="20" t="s">
        <v>32198</v>
      </c>
      <c r="E28214" s="10">
        <v>2496049</v>
      </c>
      <c r="F28214" s="4" t="str">
        <f>IF(B28214=B28213,"",B28214)</f>
        <v>Ghardaïa</v>
      </c>
    </row>
    <row r="28215" spans="1:6" ht="15.75" customHeight="1">
      <c r="A28215" s="15" t="s">
        <v>357</v>
      </c>
      <c r="B28215" s="15" t="s">
        <v>258</v>
      </c>
      <c r="C28215" s="15" t="s">
        <v>153</v>
      </c>
      <c r="D28215" s="15" t="s">
        <v>258</v>
      </c>
      <c r="E28215" s="2">
        <v>2496049</v>
      </c>
      <c r="F28215" s="4" t="e">
        <f>IF(B28215=#REF!,"",B28215)</f>
        <v>#REF!</v>
      </c>
    </row>
    <row r="28216" spans="1:6" ht="15.75" customHeight="1">
      <c r="A28216" s="16" t="s">
        <v>11327</v>
      </c>
      <c r="B28216" s="15" t="s">
        <v>11327</v>
      </c>
      <c r="C28216" s="16" t="s">
        <v>10178</v>
      </c>
      <c r="D28216" s="16" t="s">
        <v>10224</v>
      </c>
      <c r="E28216" s="2">
        <v>1271363</v>
      </c>
      <c r="F28216" s="4" t="e">
        <f>IF(B28216=#REF!,"",B28216)</f>
        <v>#REF!</v>
      </c>
    </row>
    <row r="28217" spans="1:6" ht="15.75" customHeight="1">
      <c r="A28217" s="16" t="s">
        <v>11326</v>
      </c>
      <c r="B28217" s="15" t="s">
        <v>11326</v>
      </c>
      <c r="C28217" s="16" t="s">
        <v>10178</v>
      </c>
      <c r="D28217" s="16" t="s">
        <v>10209</v>
      </c>
      <c r="E28217" s="2">
        <v>1271715</v>
      </c>
      <c r="F28217" s="4" t="str">
        <f>IF(B28217=B28216,"",B28217)</f>
        <v>Ghandinagar</v>
      </c>
    </row>
    <row r="28218" spans="1:6" ht="15.75" customHeight="1">
      <c r="A28218" s="16" t="s">
        <v>11324</v>
      </c>
      <c r="B28218" s="15" t="s">
        <v>11325</v>
      </c>
      <c r="C28218" s="16" t="s">
        <v>10178</v>
      </c>
      <c r="D28218" s="16" t="s">
        <v>10193</v>
      </c>
      <c r="E28218" s="2">
        <v>1271308</v>
      </c>
      <c r="F28218" s="4" t="str">
        <f>IF(B28218=B28217,"",B28218)</f>
        <v>GhÄziÄbÄd</v>
      </c>
    </row>
    <row r="28219" spans="1:6" ht="15.75" customHeight="1">
      <c r="A28219" s="16" t="s">
        <v>11322</v>
      </c>
      <c r="B28219" s="15" t="s">
        <v>11323</v>
      </c>
      <c r="C28219" s="16" t="s">
        <v>10178</v>
      </c>
      <c r="D28219" s="16" t="s">
        <v>10430</v>
      </c>
      <c r="E28219" s="2">
        <v>1271319</v>
      </c>
      <c r="F28219" s="4" t="str">
        <f>IF(B28219=B28218,"",B28219)</f>
        <v>GhÄtsÄ«la</v>
      </c>
    </row>
    <row r="28220" spans="1:6" ht="15.75" customHeight="1">
      <c r="A28220" s="15" t="s">
        <v>11320</v>
      </c>
      <c r="B28220" s="15" t="s">
        <v>11321</v>
      </c>
      <c r="C28220" s="15" t="s">
        <v>10178</v>
      </c>
      <c r="D28220" s="15" t="s">
        <v>10214</v>
      </c>
      <c r="E28220" s="2">
        <v>1271343</v>
      </c>
      <c r="F28220" s="4" t="str">
        <f>IF(B28220=B28219,"",B28220)</f>
        <v>GhÄtanji</v>
      </c>
    </row>
    <row r="28221" spans="1:6" ht="15.75" customHeight="1">
      <c r="A28221" s="16" t="s">
        <v>11318</v>
      </c>
      <c r="B28221" s="15" t="s">
        <v>11319</v>
      </c>
      <c r="C28221" s="16" t="s">
        <v>10178</v>
      </c>
      <c r="D28221" s="16" t="s">
        <v>10193</v>
      </c>
      <c r="E28221" s="2">
        <v>1271345</v>
      </c>
      <c r="F28221" s="4" t="str">
        <f>IF(B28221=B28220,"",B28221)</f>
        <v>GhÄtampur</v>
      </c>
    </row>
    <row r="28222" spans="1:6" ht="15.75" customHeight="1">
      <c r="A28222" s="15" t="s">
        <v>11316</v>
      </c>
      <c r="B28222" s="15" t="s">
        <v>11317</v>
      </c>
      <c r="C28222" s="15" t="s">
        <v>10178</v>
      </c>
      <c r="D28222" s="15" t="s">
        <v>10201</v>
      </c>
      <c r="E28222" s="2">
        <v>1271346</v>
      </c>
      <c r="F28222" s="4" t="str">
        <f>IF(B28222=B28221,"",B28222)</f>
        <v>GhÄtÄl</v>
      </c>
    </row>
    <row r="28223" spans="1:6" ht="15.75" customHeight="1">
      <c r="A28223" s="15" t="s">
        <v>19919</v>
      </c>
      <c r="B28223" s="15" t="s">
        <v>19920</v>
      </c>
      <c r="C28223" s="15" t="s">
        <v>19808</v>
      </c>
      <c r="D28223" s="15" t="s">
        <v>19823</v>
      </c>
      <c r="E28223" s="2">
        <v>1178587</v>
      </c>
      <c r="F28223" s="4" t="e">
        <f>IF(B28223=#REF!,"",B28223)</f>
        <v>#REF!</v>
      </c>
    </row>
    <row r="28224" spans="1:6" ht="15.75" customHeight="1">
      <c r="A28224" s="15" t="s">
        <v>26531</v>
      </c>
      <c r="B28224" s="15" t="s">
        <v>26531</v>
      </c>
      <c r="C28224" s="15" t="s">
        <v>26201</v>
      </c>
      <c r="D28224" s="15" t="s">
        <v>26276</v>
      </c>
      <c r="E28224" s="2">
        <v>746898</v>
      </c>
      <c r="F28224" s="4" t="e">
        <f>IF(B28224=#REF!,"",B28224)</f>
        <v>#REF!</v>
      </c>
    </row>
    <row r="28225" spans="1:6" ht="15.75" customHeight="1">
      <c r="A28225" s="15" t="s">
        <v>11315</v>
      </c>
      <c r="B28225" s="15" t="s">
        <v>11315</v>
      </c>
      <c r="C28225" s="15" t="s">
        <v>10178</v>
      </c>
      <c r="D28225" s="15" t="s">
        <v>10214</v>
      </c>
      <c r="E28225" s="2">
        <v>1271413</v>
      </c>
      <c r="F28225" s="4" t="e">
        <f>IF(B28225=#REF!,"",B28225)</f>
        <v>#REF!</v>
      </c>
    </row>
    <row r="28226" spans="1:6" ht="15.75" customHeight="1">
      <c r="A28226" s="15" t="s">
        <v>17264</v>
      </c>
      <c r="B28226" s="15" t="s">
        <v>17264</v>
      </c>
      <c r="C28226" s="15" t="s">
        <v>17221</v>
      </c>
      <c r="D28226" s="15" t="s">
        <v>17264</v>
      </c>
      <c r="E28226" s="2">
        <v>790744</v>
      </c>
      <c r="F28226" s="4" t="e">
        <f>IF(B28226=#REF!,"",B28226)</f>
        <v>#REF!</v>
      </c>
    </row>
    <row r="28227" spans="1:6" ht="15.75" customHeight="1">
      <c r="A28227" s="16" t="s">
        <v>8466</v>
      </c>
      <c r="B28227" s="15" t="s">
        <v>8466</v>
      </c>
      <c r="C28227" s="16" t="s">
        <v>8028</v>
      </c>
      <c r="D28227" s="16" t="s">
        <v>8029</v>
      </c>
      <c r="E28227" s="2">
        <v>2920757</v>
      </c>
      <c r="F28227" s="4" t="e">
        <f>IF(B28227=#REF!,"",B28227)</f>
        <v>#REF!</v>
      </c>
    </row>
    <row r="28228" spans="1:6" ht="15.75" customHeight="1">
      <c r="A28228" s="15" t="s">
        <v>24486</v>
      </c>
      <c r="B28228" s="15" t="s">
        <v>24486</v>
      </c>
      <c r="C28228" s="15" t="s">
        <v>24200</v>
      </c>
      <c r="D28228" s="15" t="s">
        <v>24249</v>
      </c>
      <c r="E28228" s="2">
        <v>3121007</v>
      </c>
      <c r="F28228" s="4" t="e">
        <f>IF(B28228=#REF!,"",B28228)</f>
        <v>#REF!</v>
      </c>
    </row>
    <row r="28229" spans="1:6" ht="15.75" customHeight="1">
      <c r="A28229" s="15" t="s">
        <v>24485</v>
      </c>
      <c r="B28229" s="15" t="s">
        <v>24485</v>
      </c>
      <c r="C28229" s="15" t="s">
        <v>24200</v>
      </c>
      <c r="D28229" s="15" t="s">
        <v>5513</v>
      </c>
      <c r="E28229" s="2">
        <v>3121437</v>
      </c>
      <c r="F28229" s="4" t="e">
        <f>IF(B28229=#REF!,"",B28229)</f>
        <v>#REF!</v>
      </c>
    </row>
    <row r="28230" spans="1:6" ht="15.75" customHeight="1">
      <c r="A28230" s="16" t="s">
        <v>8465</v>
      </c>
      <c r="B28230" s="15" t="s">
        <v>8465</v>
      </c>
      <c r="C28230" s="16" t="s">
        <v>8028</v>
      </c>
      <c r="D28230" s="16" t="s">
        <v>8036</v>
      </c>
      <c r="E28230" s="2">
        <v>2920789</v>
      </c>
      <c r="F28230" s="4" t="e">
        <f>IF(B28230=#REF!,"",B28230)</f>
        <v>#REF!</v>
      </c>
    </row>
    <row r="28231" spans="1:6" ht="15.75" customHeight="1">
      <c r="A28231" s="15" t="s">
        <v>8464</v>
      </c>
      <c r="B28231" s="15" t="s">
        <v>8464</v>
      </c>
      <c r="C28231" s="15" t="s">
        <v>8028</v>
      </c>
      <c r="D28231" s="15" t="s">
        <v>8029</v>
      </c>
      <c r="E28231" s="2">
        <v>2920834</v>
      </c>
      <c r="F28231" s="4" t="e">
        <f>IF(B28231=#REF!,"",B28231)</f>
        <v>#REF!</v>
      </c>
    </row>
    <row r="28232" spans="1:6" ht="15.75" customHeight="1">
      <c r="A28232" s="15" t="s">
        <v>8463</v>
      </c>
      <c r="B28232" s="15" t="s">
        <v>8463</v>
      </c>
      <c r="C28232" s="15" t="s">
        <v>8028</v>
      </c>
      <c r="D28232" s="15" t="s">
        <v>8029</v>
      </c>
      <c r="E28232" s="2">
        <v>2920842</v>
      </c>
      <c r="F28232" s="4" t="e">
        <f>IF(B28232=#REF!,"",B28232)</f>
        <v>#REF!</v>
      </c>
    </row>
    <row r="28233" spans="1:6" ht="15.75" customHeight="1">
      <c r="A28233" s="16" t="s">
        <v>8462</v>
      </c>
      <c r="B28233" s="15" t="s">
        <v>8462</v>
      </c>
      <c r="C28233" s="16" t="s">
        <v>8028</v>
      </c>
      <c r="D28233" s="16" t="s">
        <v>8044</v>
      </c>
      <c r="E28233" s="2">
        <v>2920891</v>
      </c>
      <c r="F28233" s="4" t="e">
        <f>IF(B28233=#REF!,"",B28233)</f>
        <v>#REF!</v>
      </c>
    </row>
    <row r="28234" spans="1:6" ht="15.75" customHeight="1">
      <c r="A28234" s="15" t="s">
        <v>20771</v>
      </c>
      <c r="B28234" s="15" t="s">
        <v>20771</v>
      </c>
      <c r="C28234" s="15" t="s">
        <v>20598</v>
      </c>
      <c r="D28234" s="15" t="s">
        <v>20599</v>
      </c>
      <c r="E28234" s="2">
        <v>1713004</v>
      </c>
      <c r="F28234" s="4" t="e">
        <f>IF(B28234=#REF!,"",B28234)</f>
        <v>#REF!</v>
      </c>
    </row>
    <row r="28235" spans="1:6" ht="15.75" customHeight="1">
      <c r="A28235" s="15" t="s">
        <v>15897</v>
      </c>
      <c r="B28235" s="15" t="s">
        <v>15897</v>
      </c>
      <c r="C28235" s="15" t="s">
        <v>15704</v>
      </c>
      <c r="D28235" s="15" t="s">
        <v>15748</v>
      </c>
      <c r="E28235" s="2">
        <v>1848055</v>
      </c>
      <c r="F28235" s="4" t="e">
        <f>IF(B28235=#REF!,"",B28235)</f>
        <v>#REF!</v>
      </c>
    </row>
    <row r="28236" spans="1:6" ht="15.75" customHeight="1">
      <c r="A28236" s="16" t="s">
        <v>24484</v>
      </c>
      <c r="B28236" s="15" t="s">
        <v>24484</v>
      </c>
      <c r="C28236" s="16" t="s">
        <v>24200</v>
      </c>
      <c r="D28236" s="16" t="s">
        <v>24249</v>
      </c>
      <c r="E28236" s="2">
        <v>3120989</v>
      </c>
      <c r="F28236" s="4" t="e">
        <f>IF(B28236=#REF!,"",B28236)</f>
        <v>#REF!</v>
      </c>
    </row>
    <row r="28237" spans="1:6" ht="15.75" customHeight="1">
      <c r="A28237" s="16" t="s">
        <v>8461</v>
      </c>
      <c r="B28237" s="15" t="s">
        <v>8461</v>
      </c>
      <c r="C28237" s="16" t="s">
        <v>8028</v>
      </c>
      <c r="D28237" s="16" t="s">
        <v>8065</v>
      </c>
      <c r="E28237" s="2">
        <v>2921034</v>
      </c>
      <c r="F28237" s="4" t="e">
        <f>IF(B28237=#REF!,"",B28237)</f>
        <v>#REF!</v>
      </c>
    </row>
    <row r="28238" spans="1:6" ht="15.75" customHeight="1">
      <c r="A28238" s="16" t="s">
        <v>8459</v>
      </c>
      <c r="B28238" s="15" t="s">
        <v>8460</v>
      </c>
      <c r="C28238" s="16" t="s">
        <v>8028</v>
      </c>
      <c r="D28238" s="16" t="s">
        <v>8044</v>
      </c>
      <c r="E28238" s="2">
        <v>2921039</v>
      </c>
      <c r="F28238" s="4" t="e">
        <f>IF(B28238=#REF!,"",B28238)</f>
        <v>#REF!</v>
      </c>
    </row>
    <row r="28239" spans="1:6" ht="15.75" customHeight="1">
      <c r="A28239" s="16" t="s">
        <v>28729</v>
      </c>
      <c r="B28239" s="15" t="s">
        <v>28729</v>
      </c>
      <c r="C28239" s="16" t="s">
        <v>27788</v>
      </c>
      <c r="D28239" s="16" t="s">
        <v>17061</v>
      </c>
      <c r="E28239" s="2">
        <v>4356050</v>
      </c>
      <c r="F28239" s="4" t="e">
        <f>IF(B28239=#REF!,"",B28239)</f>
        <v>#REF!</v>
      </c>
    </row>
    <row r="28240" spans="1:6" ht="15.75" customHeight="1">
      <c r="A28240" s="15" t="s">
        <v>8458</v>
      </c>
      <c r="B28240" s="15" t="s">
        <v>8458</v>
      </c>
      <c r="C28240" s="15" t="s">
        <v>8028</v>
      </c>
      <c r="D28240" s="15" t="s">
        <v>8031</v>
      </c>
      <c r="E28240" s="2">
        <v>2921061</v>
      </c>
      <c r="F28240" s="4" t="e">
        <f>IF(B28240=#REF!,"",B28240)</f>
        <v>#REF!</v>
      </c>
    </row>
    <row r="28241" spans="1:6" ht="15.75" customHeight="1">
      <c r="A28241" s="16" t="s">
        <v>8457</v>
      </c>
      <c r="B28241" s="15" t="s">
        <v>8457</v>
      </c>
      <c r="C28241" s="16" t="s">
        <v>8028</v>
      </c>
      <c r="D28241" s="16" t="s">
        <v>8044</v>
      </c>
      <c r="E28241" s="2">
        <v>2921139</v>
      </c>
      <c r="F28241" s="4" t="e">
        <f>IF(B28241=#REF!,"",B28241)</f>
        <v>#REF!</v>
      </c>
    </row>
    <row r="28242" spans="1:6" ht="15.75" customHeight="1">
      <c r="A28242" s="15" t="s">
        <v>42</v>
      </c>
      <c r="B28242" s="15" t="s">
        <v>43</v>
      </c>
      <c r="C28242" s="15" t="s">
        <v>8</v>
      </c>
      <c r="D28242" s="15" t="s">
        <v>44</v>
      </c>
      <c r="E28242" s="2">
        <v>1141540</v>
      </c>
      <c r="F28242" s="4" t="e">
        <f>IF(B28242=#REF!,"",B28242)</f>
        <v>#REF!</v>
      </c>
    </row>
    <row r="28243" spans="1:6" ht="15.75" customHeight="1">
      <c r="A28243" s="15" t="s">
        <v>26529</v>
      </c>
      <c r="B28243" s="15" t="s">
        <v>26530</v>
      </c>
      <c r="C28243" s="15" t="s">
        <v>26201</v>
      </c>
      <c r="D28243" s="15" t="s">
        <v>26410</v>
      </c>
      <c r="E28243" s="2">
        <v>746940</v>
      </c>
      <c r="F28243" s="4" t="str">
        <f>IF(B28243=B28242,"",B28243)</f>
        <v>Gerede</v>
      </c>
    </row>
    <row r="28244" spans="1:6" ht="15.75" customHeight="1">
      <c r="A28244" s="16" t="str">
        <f ca="1">IFERROR(__xludf.DUMMYFUNCTION("GOOGLETRANSLATE(B34449,""en"",""pt"")"),"Gerāsh")</f>
        <v>Gerāsh</v>
      </c>
      <c r="B28244" s="20" t="s">
        <v>34200</v>
      </c>
      <c r="C28244" s="20" t="s">
        <v>14240</v>
      </c>
      <c r="D28244" s="20" t="s">
        <v>14244</v>
      </c>
      <c r="E28244" s="10">
        <v>133595</v>
      </c>
      <c r="F28244" s="4" t="e">
        <f>IF(B28244=#REF!,"",B28244)</f>
        <v>#REF!</v>
      </c>
    </row>
    <row r="28245" spans="1:6" ht="15.75" customHeight="1">
      <c r="A28245" s="16" t="s">
        <v>983</v>
      </c>
      <c r="B28245" s="15" t="s">
        <v>983</v>
      </c>
      <c r="C28245" s="16" t="s">
        <v>885</v>
      </c>
      <c r="D28245" s="16" t="s">
        <v>889</v>
      </c>
      <c r="E28245" s="2">
        <v>2070998</v>
      </c>
      <c r="F28245" s="4" t="str">
        <f>IF(B28245=B28244,"",B28245)</f>
        <v>Geraldton</v>
      </c>
    </row>
    <row r="28246" spans="1:6" ht="15.75" customHeight="1">
      <c r="A28246" s="16" t="str">
        <f ca="1">IFERROR(__xludf.DUMMYFUNCTION("GOOGLETRANSLATE(B31055,""en"",""pt"")"),"Gérakas")</f>
        <v>Gérakas</v>
      </c>
      <c r="B28246" s="20" t="s">
        <v>32759</v>
      </c>
      <c r="C28246" s="20" t="s">
        <v>9441</v>
      </c>
      <c r="D28246" s="20" t="s">
        <v>9445</v>
      </c>
      <c r="E28246" s="10">
        <v>8201845</v>
      </c>
      <c r="F28246" s="4" t="e">
        <f>IF(B28246=#REF!,"",B28246)</f>
        <v>#REF!</v>
      </c>
    </row>
    <row r="28247" spans="1:6" ht="15.75" customHeight="1">
      <c r="A28247" s="16" t="s">
        <v>1581</v>
      </c>
      <c r="B28247" s="15" t="s">
        <v>1581</v>
      </c>
      <c r="C28247" s="16" t="s">
        <v>1512</v>
      </c>
      <c r="D28247" s="16" t="s">
        <v>1513</v>
      </c>
      <c r="E28247" s="2">
        <v>2797638</v>
      </c>
      <c r="F28247" s="4" t="str">
        <f>IF(B28247=B28246,"",B28247)</f>
        <v>Geraardsbergen</v>
      </c>
    </row>
    <row r="28248" spans="1:6" ht="15.75" customHeight="1">
      <c r="A28248" s="15" t="s">
        <v>14388</v>
      </c>
      <c r="B28248" s="15" t="s">
        <v>14389</v>
      </c>
      <c r="C28248" s="15" t="s">
        <v>14240</v>
      </c>
      <c r="D28248" s="15" t="s">
        <v>14244</v>
      </c>
      <c r="E28248" s="2">
        <v>133595</v>
      </c>
      <c r="F28248" s="4" t="e">
        <f>IF(B28248=#REF!,"",B28248)</f>
        <v>#REF!</v>
      </c>
    </row>
    <row r="28249" spans="1:6" ht="15.75" customHeight="1">
      <c r="A28249" s="15" t="s">
        <v>8456</v>
      </c>
      <c r="B28249" s="15" t="s">
        <v>8456</v>
      </c>
      <c r="C28249" s="15" t="s">
        <v>8028</v>
      </c>
      <c r="D28249" s="15" t="s">
        <v>8054</v>
      </c>
      <c r="E28249" s="2">
        <v>2921232</v>
      </c>
      <c r="F28249" s="4" t="str">
        <f>IF(B28249=B28248,"",B28249)</f>
        <v>Gera</v>
      </c>
    </row>
    <row r="28250" spans="1:6" ht="15.75" customHeight="1">
      <c r="A28250" s="16" t="str">
        <f ca="1">IFERROR(__xludf.DUMMYFUNCTION("GOOGLETRANSLATE(B28058,""en"",""pt"")"),"Georgsmarienhütte")</f>
        <v>Georgsmarienhütte</v>
      </c>
      <c r="B28250" s="20" t="s">
        <v>32106</v>
      </c>
      <c r="C28250" s="20" t="s">
        <v>8028</v>
      </c>
      <c r="D28250" s="20" t="s">
        <v>8034</v>
      </c>
      <c r="E28250" s="10">
        <v>2921242</v>
      </c>
      <c r="F28250" s="4" t="str">
        <f>IF(B28250=B28249,"",B28250)</f>
        <v>Georgsmarienhütte</v>
      </c>
    </row>
    <row r="28251" spans="1:6" ht="15.75" customHeight="1">
      <c r="A28251" s="16" t="s">
        <v>8454</v>
      </c>
      <c r="B28251" s="15" t="s">
        <v>8455</v>
      </c>
      <c r="C28251" s="16" t="s">
        <v>8028</v>
      </c>
      <c r="D28251" s="16" t="s">
        <v>8034</v>
      </c>
      <c r="E28251" s="2">
        <v>2921242</v>
      </c>
      <c r="F28251" s="4" t="e">
        <f>IF(B28251=#REF!,"",B28251)</f>
        <v>#REF!</v>
      </c>
    </row>
    <row r="28252" spans="1:6" ht="15.75" customHeight="1">
      <c r="A28252" s="16" t="s">
        <v>22391</v>
      </c>
      <c r="B28252" s="15" t="s">
        <v>22391</v>
      </c>
      <c r="C28252" s="16" t="s">
        <v>22070</v>
      </c>
      <c r="D28252" s="16" t="s">
        <v>22117</v>
      </c>
      <c r="E28252" s="2">
        <v>561627</v>
      </c>
      <c r="F28252" s="4" t="str">
        <f>IF(B28252=B28251,"",B28252)</f>
        <v>Georgiyevsk</v>
      </c>
    </row>
    <row r="28253" spans="1:6" ht="15.75" customHeight="1">
      <c r="A28253" s="16" t="str">
        <f ca="1">IFERROR(__xludf.DUMMYFUNCTION("GOOGLETRANSLATE(B36243,""en"",""pt"")"),"Georgīevka")</f>
        <v>Georgīevka</v>
      </c>
      <c r="B28253" s="20" t="s">
        <v>34505</v>
      </c>
      <c r="C28253" s="20" t="s">
        <v>16671</v>
      </c>
      <c r="D28253" s="20" t="s">
        <v>16697</v>
      </c>
      <c r="E28253" s="10">
        <v>1524245</v>
      </c>
      <c r="F28253" s="4" t="e">
        <f>IF(B28253=#REF!,"",B28253)</f>
        <v>#REF!</v>
      </c>
    </row>
    <row r="28254" spans="1:6" ht="15.75" customHeight="1">
      <c r="A28254" s="16" t="s">
        <v>9857</v>
      </c>
      <c r="B28254" s="15" t="s">
        <v>9857</v>
      </c>
      <c r="C28254" s="16" t="s">
        <v>9858</v>
      </c>
      <c r="D28254" s="16" t="s">
        <v>9859</v>
      </c>
      <c r="E28254" s="2">
        <v>3378644</v>
      </c>
      <c r="F28254" s="4" t="e">
        <f>IF(B28254=#REF!,"",B28254)</f>
        <v>#REF!</v>
      </c>
    </row>
    <row r="28255" spans="1:6" ht="15.75" customHeight="1">
      <c r="A28255" s="16" t="s">
        <v>4261</v>
      </c>
      <c r="B28255" s="15" t="s">
        <v>4261</v>
      </c>
      <c r="C28255" s="16" t="s">
        <v>4262</v>
      </c>
      <c r="D28255" s="16" t="s">
        <v>4261</v>
      </c>
      <c r="E28255" s="2">
        <v>3580661</v>
      </c>
      <c r="F28255" s="4" t="e">
        <f>IF(B28255=#REF!,"",B28255)</f>
        <v>#REF!</v>
      </c>
    </row>
    <row r="28256" spans="1:6" ht="15.75" customHeight="1">
      <c r="A28256" s="15" t="s">
        <v>23900</v>
      </c>
      <c r="B28256" s="15" t="s">
        <v>23900</v>
      </c>
      <c r="C28256" s="15" t="s">
        <v>23842</v>
      </c>
      <c r="D28256" s="15" t="s">
        <v>23847</v>
      </c>
      <c r="E28256" s="2">
        <v>1002145</v>
      </c>
      <c r="F28256" s="4" t="str">
        <f>IF(B28256=B28255,"",B28256)</f>
        <v>George</v>
      </c>
    </row>
    <row r="28257" spans="1:6" ht="15.75" customHeight="1">
      <c r="A28257" s="16" t="s">
        <v>16712</v>
      </c>
      <c r="B28257" s="15" t="s">
        <v>16713</v>
      </c>
      <c r="C28257" s="16" t="s">
        <v>16671</v>
      </c>
      <c r="D28257" s="16" t="s">
        <v>16697</v>
      </c>
      <c r="E28257" s="2">
        <v>1524245</v>
      </c>
      <c r="F28257" s="4" t="e">
        <f>IF(B28257=#REF!,"",B28257)</f>
        <v>#REF!</v>
      </c>
    </row>
    <row r="28258" spans="1:6" ht="15.75" customHeight="1">
      <c r="A28258" s="16" t="s">
        <v>1203</v>
      </c>
      <c r="B28258" s="15" t="s">
        <v>1203</v>
      </c>
      <c r="C28258" s="16" t="s">
        <v>1170</v>
      </c>
      <c r="D28258" s="16" t="s">
        <v>1204</v>
      </c>
      <c r="E28258" s="2">
        <v>586427</v>
      </c>
      <c r="F28258" s="4" t="e">
        <f>IF(B28258=#REF!,"",B28258)</f>
        <v>#REF!</v>
      </c>
    </row>
    <row r="28259" spans="1:6" ht="15.75" customHeight="1">
      <c r="A28259" s="16" t="s">
        <v>15170</v>
      </c>
      <c r="B28259" s="15" t="s">
        <v>15170</v>
      </c>
      <c r="C28259" s="16" t="s">
        <v>14891</v>
      </c>
      <c r="D28259" s="16" t="s">
        <v>14904</v>
      </c>
      <c r="E28259" s="2">
        <v>3176203</v>
      </c>
      <c r="F28259" s="4" t="e">
        <f>IF(B28259=#REF!,"",B28259)</f>
        <v>#REF!</v>
      </c>
    </row>
    <row r="28260" spans="1:6" ht="15.75" customHeight="1">
      <c r="A28260" s="15" t="s">
        <v>7370</v>
      </c>
      <c r="B28260" s="15" t="s">
        <v>7370</v>
      </c>
      <c r="C28260" s="15" t="s">
        <v>7052</v>
      </c>
      <c r="D28260" s="15" t="s">
        <v>7058</v>
      </c>
      <c r="E28260" s="2">
        <v>3016292</v>
      </c>
      <c r="F28260" s="4" t="e">
        <f>IF(B28260=#REF!,"",B28260)</f>
        <v>#REF!</v>
      </c>
    </row>
    <row r="28261" spans="1:6" ht="15.75" customHeight="1">
      <c r="A28261" s="15" t="s">
        <v>13927</v>
      </c>
      <c r="B28261" s="15" t="s">
        <v>13927</v>
      </c>
      <c r="C28261" s="15" t="s">
        <v>13800</v>
      </c>
      <c r="D28261" s="15" t="s">
        <v>13816</v>
      </c>
      <c r="E28261" s="2">
        <v>1644178</v>
      </c>
      <c r="F28261" s="4" t="e">
        <f>IF(B28261=#REF!,"",B28261)</f>
        <v>#REF!</v>
      </c>
    </row>
    <row r="28262" spans="1:6" ht="15.75" customHeight="1">
      <c r="A28262" s="15" t="s">
        <v>1580</v>
      </c>
      <c r="B28262" s="15" t="s">
        <v>1580</v>
      </c>
      <c r="C28262" s="15" t="s">
        <v>1512</v>
      </c>
      <c r="D28262" s="15" t="s">
        <v>1513</v>
      </c>
      <c r="E28262" s="2">
        <v>2797656</v>
      </c>
      <c r="F28262" s="4" t="e">
        <f>IF(B28262=#REF!,"",B28262)</f>
        <v>#REF!</v>
      </c>
    </row>
    <row r="28263" spans="1:6" ht="15.75" customHeight="1">
      <c r="A28263" s="15" t="s">
        <v>15168</v>
      </c>
      <c r="B28263" s="15" t="s">
        <v>15169</v>
      </c>
      <c r="C28263" s="15" t="s">
        <v>14891</v>
      </c>
      <c r="D28263" s="15" t="s">
        <v>14920</v>
      </c>
      <c r="E28263" s="2">
        <v>3176219</v>
      </c>
      <c r="F28263" s="4" t="e">
        <f>IF(B28263=#REF!,"",B28263)</f>
        <v>#REF!</v>
      </c>
    </row>
    <row r="28264" spans="1:6" ht="15.75" customHeight="1">
      <c r="A28264" s="16" t="s">
        <v>7369</v>
      </c>
      <c r="B28264" s="15" t="s">
        <v>7369</v>
      </c>
      <c r="C28264" s="16" t="s">
        <v>7052</v>
      </c>
      <c r="D28264" s="16" t="s">
        <v>7058</v>
      </c>
      <c r="E28264" s="2">
        <v>3016321</v>
      </c>
      <c r="F28264" s="4" t="e">
        <f>IF(B28264=#REF!,"",B28264)</f>
        <v>#REF!</v>
      </c>
    </row>
    <row r="28265" spans="1:6" ht="15.75" customHeight="1">
      <c r="A28265" s="15" t="s">
        <v>18969</v>
      </c>
      <c r="B28265" s="15" t="s">
        <v>18969</v>
      </c>
      <c r="C28265" s="15" t="s">
        <v>18862</v>
      </c>
      <c r="D28265" s="15" t="s">
        <v>18893</v>
      </c>
      <c r="E28265" s="2">
        <v>2755584</v>
      </c>
      <c r="F28265" s="4" t="e">
        <f>IF(B28265=#REF!,"",B28265)</f>
        <v>#REF!</v>
      </c>
    </row>
    <row r="28266" spans="1:6" ht="15.75" customHeight="1">
      <c r="A28266" s="15" t="s">
        <v>1579</v>
      </c>
      <c r="B28266" s="15" t="s">
        <v>1579</v>
      </c>
      <c r="C28266" s="15" t="s">
        <v>1512</v>
      </c>
      <c r="D28266" s="15" t="s">
        <v>1513</v>
      </c>
      <c r="E28266" s="2">
        <v>2797670</v>
      </c>
      <c r="F28266" s="4" t="e">
        <f>IF(B28266=#REF!,"",B28266)</f>
        <v>#REF!</v>
      </c>
    </row>
    <row r="28267" spans="1:6" ht="15.75" customHeight="1">
      <c r="A28267" s="15" t="s">
        <v>4691</v>
      </c>
      <c r="B28267" s="15" t="s">
        <v>4692</v>
      </c>
      <c r="C28267" s="15" t="s">
        <v>4487</v>
      </c>
      <c r="D28267" s="15" t="s">
        <v>4533</v>
      </c>
      <c r="E28267" s="2">
        <v>2037252</v>
      </c>
      <c r="F28267" s="4" t="e">
        <f>IF(B28267=#REF!,"",B28267)</f>
        <v>#REF!</v>
      </c>
    </row>
    <row r="28268" spans="1:6" ht="15.75" customHeight="1">
      <c r="A28268" s="15" t="s">
        <v>25253</v>
      </c>
      <c r="B28268" s="15" t="s">
        <v>25266</v>
      </c>
      <c r="C28268" s="15" t="s">
        <v>25237</v>
      </c>
      <c r="D28268" s="15" t="s">
        <v>25253</v>
      </c>
      <c r="E28268" s="2">
        <v>2660646</v>
      </c>
      <c r="F28268" s="4" t="e">
        <f>IF(B28268=#REF!,"",B28268)</f>
        <v>#REF!</v>
      </c>
    </row>
    <row r="28269" spans="1:6" ht="15.75" customHeight="1">
      <c r="A28269" s="15" t="s">
        <v>28728</v>
      </c>
      <c r="B28269" s="15" t="s">
        <v>25253</v>
      </c>
      <c r="C28269" s="15" t="s">
        <v>27788</v>
      </c>
      <c r="D28269" s="15" t="s">
        <v>27799</v>
      </c>
      <c r="E28269" s="2">
        <v>4893591</v>
      </c>
      <c r="F28269" s="4" t="e">
        <f>IF(B28269=#REF!,"",B28269)</f>
        <v>#REF!</v>
      </c>
    </row>
    <row r="28270" spans="1:6" ht="15.75" customHeight="1">
      <c r="A28270" s="15" t="s">
        <v>6877</v>
      </c>
      <c r="B28270" s="15" t="s">
        <v>6877</v>
      </c>
      <c r="C28270" s="15" t="s">
        <v>6807</v>
      </c>
      <c r="D28270" s="15" t="s">
        <v>6814</v>
      </c>
      <c r="E28270" s="2">
        <v>336931</v>
      </c>
      <c r="F28270" s="4" t="e">
        <f>IF(B28270=#REF!,"",B28270)</f>
        <v>#REF!</v>
      </c>
    </row>
    <row r="28271" spans="1:6" ht="15.75" customHeight="1">
      <c r="A28271" s="16" t="s">
        <v>20769</v>
      </c>
      <c r="B28271" s="15" t="s">
        <v>20770</v>
      </c>
      <c r="C28271" s="16" t="s">
        <v>20598</v>
      </c>
      <c r="D28271" s="16" t="s">
        <v>20608</v>
      </c>
      <c r="E28271" s="2">
        <v>1713014</v>
      </c>
      <c r="F28271" s="4" t="e">
        <f>IF(B28271=#REF!,"",B28271)</f>
        <v>#REF!</v>
      </c>
    </row>
    <row r="28272" spans="1:6" ht="15.75" customHeight="1">
      <c r="A28272" s="16" t="s">
        <v>20768</v>
      </c>
      <c r="B28272" s="15" t="s">
        <v>20768</v>
      </c>
      <c r="C28272" s="16" t="s">
        <v>20598</v>
      </c>
      <c r="D28272" s="16" t="s">
        <v>20599</v>
      </c>
      <c r="E28272" s="2">
        <v>1713018</v>
      </c>
      <c r="F28272" s="4" t="e">
        <f>IF(B28272=#REF!,"",B28272)</f>
        <v>#REF!</v>
      </c>
    </row>
    <row r="28273" spans="1:6" ht="15.75" customHeight="1">
      <c r="A28273" s="16" t="s">
        <v>20767</v>
      </c>
      <c r="B28273" s="15" t="s">
        <v>20767</v>
      </c>
      <c r="C28273" s="16" t="s">
        <v>20598</v>
      </c>
      <c r="D28273" s="16" t="s">
        <v>20606</v>
      </c>
      <c r="E28273" s="2">
        <v>1713022</v>
      </c>
      <c r="F28273" s="4" t="e">
        <f>IF(B28273=#REF!,"",B28273)</f>
        <v>#REF!</v>
      </c>
    </row>
    <row r="28274" spans="1:6" ht="15.75" customHeight="1">
      <c r="A28274" s="16" t="s">
        <v>670</v>
      </c>
      <c r="B28274" s="15" t="s">
        <v>670</v>
      </c>
      <c r="C28274" s="16" t="s">
        <v>558</v>
      </c>
      <c r="D28274" s="16" t="s">
        <v>571</v>
      </c>
      <c r="E28274" s="2">
        <v>3855065</v>
      </c>
      <c r="F28274" s="4" t="e">
        <f>IF(B28274=#REF!,"",B28274)</f>
        <v>#REF!</v>
      </c>
    </row>
    <row r="28275" spans="1:6" ht="15.75" customHeight="1">
      <c r="A28275" s="16" t="s">
        <v>669</v>
      </c>
      <c r="B28275" s="15" t="s">
        <v>669</v>
      </c>
      <c r="C28275" s="16" t="s">
        <v>558</v>
      </c>
      <c r="D28275" s="16" t="s">
        <v>586</v>
      </c>
      <c r="E28275" s="2">
        <v>3855074</v>
      </c>
      <c r="F28275" s="4" t="e">
        <f>IF(B28275=#REF!,"",B28275)</f>
        <v>#REF!</v>
      </c>
    </row>
    <row r="28276" spans="1:6" ht="15.75" customHeight="1">
      <c r="A28276" s="16" t="s">
        <v>666</v>
      </c>
      <c r="B28276" s="15" t="s">
        <v>667</v>
      </c>
      <c r="C28276" s="16" t="s">
        <v>558</v>
      </c>
      <c r="D28276" s="16" t="s">
        <v>668</v>
      </c>
      <c r="E28276" s="2">
        <v>3855075</v>
      </c>
      <c r="F28276" s="4" t="e">
        <f>IF(B28276=#REF!,"",B28276)</f>
        <v>#REF!</v>
      </c>
    </row>
    <row r="28277" spans="1:6" ht="15.75" customHeight="1">
      <c r="A28277" s="16" t="s">
        <v>20766</v>
      </c>
      <c r="B28277" s="15" t="s">
        <v>20766</v>
      </c>
      <c r="C28277" s="16" t="s">
        <v>20598</v>
      </c>
      <c r="D28277" s="16" t="s">
        <v>20599</v>
      </c>
      <c r="E28277" s="2">
        <v>1713027</v>
      </c>
      <c r="F28277" s="4" t="str">
        <f>IF(B28277=B28276,"",B28277)</f>
        <v>General Mamerto Natividad</v>
      </c>
    </row>
    <row r="28278" spans="1:6" ht="15.75" customHeight="1">
      <c r="A28278" s="16" t="str">
        <f ca="1">IFERROR(__xludf.DUMMYFUNCTION("GOOGLETRANSLATE(B23212,""en"",""pt"")"),"General José de San Martín")</f>
        <v>General José de San Martín</v>
      </c>
      <c r="B28278" s="20" t="s">
        <v>31172</v>
      </c>
      <c r="C28278" s="20" t="s">
        <v>558</v>
      </c>
      <c r="D28278" s="20" t="s">
        <v>586</v>
      </c>
      <c r="E28278" s="10">
        <v>3433803</v>
      </c>
      <c r="F28278" s="4" t="str">
        <f>IF(B28278=B28277,"",B28278)</f>
        <v>General José de San Martín</v>
      </c>
    </row>
    <row r="28279" spans="1:6" ht="15.75" customHeight="1">
      <c r="A28279" s="16" t="s">
        <v>664</v>
      </c>
      <c r="B28279" s="15" t="s">
        <v>665</v>
      </c>
      <c r="C28279" s="16" t="s">
        <v>558</v>
      </c>
      <c r="D28279" s="16" t="s">
        <v>586</v>
      </c>
      <c r="E28279" s="2">
        <v>3433803</v>
      </c>
      <c r="F28279" s="4" t="e">
        <f>IF(B28279=#REF!,"",B28279)</f>
        <v>#REF!</v>
      </c>
    </row>
    <row r="28280" spans="1:6" ht="15.75" customHeight="1">
      <c r="A28280" s="16" t="s">
        <v>17951</v>
      </c>
      <c r="B28280" s="15" t="s">
        <v>17952</v>
      </c>
      <c r="C28280" s="16" t="s">
        <v>17707</v>
      </c>
      <c r="D28280" s="16" t="s">
        <v>17739</v>
      </c>
      <c r="E28280" s="2">
        <v>4005867</v>
      </c>
      <c r="F28280" s="4" t="e">
        <f>IF(B28280=#REF!,"",B28280)</f>
        <v>#REF!</v>
      </c>
    </row>
    <row r="28281" spans="1:6" ht="15.75" customHeight="1">
      <c r="A28281" s="16" t="s">
        <v>663</v>
      </c>
      <c r="B28281" s="15" t="s">
        <v>663</v>
      </c>
      <c r="C28281" s="16" t="s">
        <v>558</v>
      </c>
      <c r="D28281" s="16" t="s">
        <v>649</v>
      </c>
      <c r="E28281" s="2">
        <v>3855116</v>
      </c>
      <c r="F28281" s="4" t="e">
        <f>IF(B28281=#REF!,"",B28281)</f>
        <v>#REF!</v>
      </c>
    </row>
    <row r="28282" spans="1:6" ht="15.75" customHeight="1">
      <c r="A28282" s="15" t="s">
        <v>25035</v>
      </c>
      <c r="B28282" s="15" t="s">
        <v>25035</v>
      </c>
      <c r="C28282" s="15" t="s">
        <v>24987</v>
      </c>
      <c r="D28282" s="15" t="s">
        <v>25036</v>
      </c>
      <c r="E28282" s="2">
        <v>379303</v>
      </c>
      <c r="F28282" s="4" t="e">
        <f>IF(B28282=#REF!,"",B28282)</f>
        <v>#REF!</v>
      </c>
    </row>
    <row r="28283" spans="1:6" ht="15.75" customHeight="1">
      <c r="A28283" s="16" t="s">
        <v>18968</v>
      </c>
      <c r="B28283" s="15" t="s">
        <v>18968</v>
      </c>
      <c r="C28283" s="16" t="s">
        <v>18862</v>
      </c>
      <c r="D28283" s="16" t="s">
        <v>18865</v>
      </c>
      <c r="E28283" s="2">
        <v>2755599</v>
      </c>
      <c r="F28283" s="4" t="str">
        <f>IF(B28283=B28282,"",B28283)</f>
        <v>Gendringen</v>
      </c>
    </row>
    <row r="28284" spans="1:6" ht="15.75" customHeight="1">
      <c r="A28284" s="16" t="str">
        <f ca="1">IFERROR(__xludf.DUMMYFUNCTION("GOOGLETRANSLATE(B41990,""en"",""pt"")"),"Genç")</f>
        <v>Genç</v>
      </c>
      <c r="B28284" s="20" t="s">
        <v>35873</v>
      </c>
      <c r="C28284" s="20" t="s">
        <v>26201</v>
      </c>
      <c r="D28284" s="20" t="s">
        <v>35832</v>
      </c>
      <c r="E28284" s="10">
        <v>314648</v>
      </c>
      <c r="F28284" s="4" t="str">
        <f>IF(B28284=B28283,"",B28284)</f>
        <v>Genç</v>
      </c>
    </row>
    <row r="28285" spans="1:6" ht="15.75" customHeight="1">
      <c r="A28285" s="15" t="s">
        <v>26527</v>
      </c>
      <c r="B28285" s="15" t="s">
        <v>26528</v>
      </c>
      <c r="C28285" s="15" t="s">
        <v>26201</v>
      </c>
      <c r="D28285" s="15" t="s">
        <v>26405</v>
      </c>
      <c r="E28285" s="2">
        <v>314648</v>
      </c>
      <c r="F28285" s="4" t="str">
        <f>IF(B28285=B28284,"",B28285)</f>
        <v>GenÃ§</v>
      </c>
    </row>
    <row r="28286" spans="1:6" ht="15.75" customHeight="1">
      <c r="A28286" s="15" t="s">
        <v>25264</v>
      </c>
      <c r="B28286" s="15" t="s">
        <v>25265</v>
      </c>
      <c r="C28286" s="15" t="s">
        <v>25237</v>
      </c>
      <c r="D28286" s="15" t="s">
        <v>25253</v>
      </c>
      <c r="E28286" s="2">
        <v>2660646</v>
      </c>
      <c r="F28286" s="4" t="e">
        <f>IF(B28286=#REF!,"",B28286)</f>
        <v>#REF!</v>
      </c>
    </row>
    <row r="28287" spans="1:6" ht="15.75" customHeight="1">
      <c r="A28287" s="15" t="s">
        <v>26526</v>
      </c>
      <c r="B28287" s="15" t="s">
        <v>26526</v>
      </c>
      <c r="C28287" s="15" t="s">
        <v>26201</v>
      </c>
      <c r="D28287" s="15" t="s">
        <v>26205</v>
      </c>
      <c r="E28287" s="2">
        <v>746958</v>
      </c>
      <c r="F28287" s="4" t="e">
        <f>IF(B28287=#REF!,"",B28287)</f>
        <v>#REF!</v>
      </c>
    </row>
    <row r="28288" spans="1:6" ht="15.75" customHeight="1">
      <c r="A28288" s="15" t="s">
        <v>26525</v>
      </c>
      <c r="B28288" s="15" t="s">
        <v>26525</v>
      </c>
      <c r="C28288" s="15" t="s">
        <v>26201</v>
      </c>
      <c r="D28288" s="15" t="s">
        <v>26345</v>
      </c>
      <c r="E28288" s="2">
        <v>314665</v>
      </c>
      <c r="F28288" s="4" t="e">
        <f>IF(B28288=#REF!,"",B28288)</f>
        <v>#REF!</v>
      </c>
    </row>
    <row r="28289" spans="1:6" ht="15.75" customHeight="1">
      <c r="A28289" s="15" t="s">
        <v>6152</v>
      </c>
      <c r="B28289" s="15" t="s">
        <v>6152</v>
      </c>
      <c r="C28289" s="15" t="s">
        <v>6127</v>
      </c>
      <c r="D28289" s="15" t="s">
        <v>6134</v>
      </c>
      <c r="E28289" s="2">
        <v>2315728</v>
      </c>
      <c r="F28289" s="4" t="e">
        <f>IF(B28289=#REF!,"",B28289)</f>
        <v>#REF!</v>
      </c>
    </row>
    <row r="28290" spans="1:6" ht="15.75" customHeight="1">
      <c r="A28290" s="15" t="s">
        <v>19409</v>
      </c>
      <c r="B28290" s="15" t="s">
        <v>19409</v>
      </c>
      <c r="C28290" s="15" t="s">
        <v>19294</v>
      </c>
      <c r="D28290" s="15" t="s">
        <v>19341</v>
      </c>
      <c r="E28290" s="2">
        <v>2341275</v>
      </c>
      <c r="F28290" s="4" t="e">
        <f>IF(B28290=#REF!,"",B28290)</f>
        <v>#REF!</v>
      </c>
    </row>
    <row r="28291" spans="1:6" ht="15.75" customHeight="1">
      <c r="A28291" s="16" t="s">
        <v>1578</v>
      </c>
      <c r="B28291" s="15" t="s">
        <v>1578</v>
      </c>
      <c r="C28291" s="16" t="s">
        <v>1512</v>
      </c>
      <c r="D28291" s="16" t="s">
        <v>1518</v>
      </c>
      <c r="E28291" s="2">
        <v>2797713</v>
      </c>
      <c r="F28291" s="4" t="e">
        <f>IF(B28291=#REF!,"",B28291)</f>
        <v>#REF!</v>
      </c>
    </row>
    <row r="28292" spans="1:6" ht="15.75" customHeight="1">
      <c r="A28292" s="16" t="s">
        <v>8453</v>
      </c>
      <c r="B28292" s="15" t="s">
        <v>8453</v>
      </c>
      <c r="C28292" s="16" t="s">
        <v>8028</v>
      </c>
      <c r="D28292" s="16" t="s">
        <v>8029</v>
      </c>
      <c r="E28292" s="2">
        <v>2921466</v>
      </c>
      <c r="F28292" s="4" t="e">
        <f>IF(B28292=#REF!,"",B28292)</f>
        <v>#REF!</v>
      </c>
    </row>
    <row r="28293" spans="1:6" ht="15.75" customHeight="1">
      <c r="A28293" s="16" t="s">
        <v>8452</v>
      </c>
      <c r="B28293" s="15" t="s">
        <v>8452</v>
      </c>
      <c r="C28293" s="16" t="s">
        <v>8028</v>
      </c>
      <c r="D28293" s="16" t="s">
        <v>8050</v>
      </c>
      <c r="E28293" s="2">
        <v>2921473</v>
      </c>
      <c r="F28293" s="4" t="e">
        <f>IF(B28293=#REF!,"",B28293)</f>
        <v>#REF!</v>
      </c>
    </row>
    <row r="28294" spans="1:6" ht="15.75" customHeight="1">
      <c r="A28294" s="15" t="s">
        <v>26524</v>
      </c>
      <c r="B28294" s="15" t="s">
        <v>26524</v>
      </c>
      <c r="C28294" s="15" t="s">
        <v>26201</v>
      </c>
      <c r="D28294" s="15" t="s">
        <v>26224</v>
      </c>
      <c r="E28294" s="2">
        <v>746983</v>
      </c>
      <c r="F28294" s="4" t="e">
        <f>IF(B28294=#REF!,"",B28294)</f>
        <v>#REF!</v>
      </c>
    </row>
    <row r="28295" spans="1:6" ht="15.75" customHeight="1">
      <c r="A28295" s="16" t="s">
        <v>22389</v>
      </c>
      <c r="B28295" s="15" t="s">
        <v>22390</v>
      </c>
      <c r="C28295" s="16" t="s">
        <v>22070</v>
      </c>
      <c r="D28295" s="16" t="s">
        <v>22077</v>
      </c>
      <c r="E28295" s="2">
        <v>561667</v>
      </c>
      <c r="F28295" s="4" t="e">
        <f>IF(B28295=#REF!,"",B28295)</f>
        <v>#REF!</v>
      </c>
    </row>
    <row r="28296" spans="1:6" ht="15.75" customHeight="1">
      <c r="A28296" s="15" t="s">
        <v>6876</v>
      </c>
      <c r="B28296" s="15" t="s">
        <v>6876</v>
      </c>
      <c r="C28296" s="15" t="s">
        <v>6807</v>
      </c>
      <c r="D28296" s="15" t="s">
        <v>6814</v>
      </c>
      <c r="E28296" s="2">
        <v>337010</v>
      </c>
      <c r="F28296" s="4" t="e">
        <f>IF(B28296=#REF!,"",B28296)</f>
        <v>#REF!</v>
      </c>
    </row>
    <row r="28297" spans="1:6" ht="15.75" customHeight="1">
      <c r="A28297" s="15" t="s">
        <v>18967</v>
      </c>
      <c r="B28297" s="15" t="s">
        <v>18967</v>
      </c>
      <c r="C28297" s="15" t="s">
        <v>18862</v>
      </c>
      <c r="D28297" s="15" t="s">
        <v>18888</v>
      </c>
      <c r="E28297" s="2">
        <v>2755619</v>
      </c>
      <c r="F28297" s="4" t="e">
        <f>IF(B28297=#REF!,"",B28297)</f>
        <v>#REF!</v>
      </c>
    </row>
    <row r="28298" spans="1:6" ht="15.75" customHeight="1">
      <c r="A28298" s="15" t="s">
        <v>8451</v>
      </c>
      <c r="B28298" s="15" t="s">
        <v>8451</v>
      </c>
      <c r="C28298" s="15" t="s">
        <v>8028</v>
      </c>
      <c r="D28298" s="15" t="s">
        <v>8029</v>
      </c>
      <c r="E28298" s="2">
        <v>2921528</v>
      </c>
      <c r="F28298" s="4" t="e">
        <f>IF(B28298=#REF!,"",B28298)</f>
        <v>#REF!</v>
      </c>
    </row>
    <row r="28299" spans="1:6" ht="15.75" customHeight="1">
      <c r="A28299" s="16" t="s">
        <v>18966</v>
      </c>
      <c r="B28299" s="15" t="s">
        <v>18966</v>
      </c>
      <c r="C28299" s="16" t="s">
        <v>18862</v>
      </c>
      <c r="D28299" s="16" t="s">
        <v>18865</v>
      </c>
      <c r="E28299" s="2">
        <v>2755633</v>
      </c>
      <c r="F28299" s="4" t="e">
        <f>IF(B28299=#REF!,"",B28299)</f>
        <v>#REF!</v>
      </c>
    </row>
    <row r="28300" spans="1:6" ht="15.75" customHeight="1">
      <c r="A28300" s="15" t="s">
        <v>15167</v>
      </c>
      <c r="B28300" s="15" t="s">
        <v>15167</v>
      </c>
      <c r="C28300" s="15" t="s">
        <v>14891</v>
      </c>
      <c r="D28300" s="15" t="s">
        <v>14899</v>
      </c>
      <c r="E28300" s="2">
        <v>2524653</v>
      </c>
      <c r="F28300" s="4" t="e">
        <f>IF(B28300=#REF!,"",B28300)</f>
        <v>#REF!</v>
      </c>
    </row>
    <row r="28301" spans="1:6" ht="15.75" customHeight="1">
      <c r="A28301" s="15" t="s">
        <v>4690</v>
      </c>
      <c r="B28301" s="15" t="s">
        <v>4690</v>
      </c>
      <c r="C28301" s="15" t="s">
        <v>4487</v>
      </c>
      <c r="D28301" s="15" t="s">
        <v>4607</v>
      </c>
      <c r="E28301" s="2">
        <v>1810240</v>
      </c>
      <c r="F28301" s="4" t="e">
        <f>IF(B28301=#REF!,"",B28301)</f>
        <v>#REF!</v>
      </c>
    </row>
    <row r="28302" spans="1:6" ht="15.75" customHeight="1">
      <c r="A28302" s="15" t="s">
        <v>25578</v>
      </c>
      <c r="B28302" s="15" t="s">
        <v>25578</v>
      </c>
      <c r="C28302" s="15" t="s">
        <v>25560</v>
      </c>
      <c r="D28302" s="15" t="s">
        <v>25578</v>
      </c>
      <c r="E28302" s="2">
        <v>159908</v>
      </c>
      <c r="F28302" s="4" t="e">
        <f>IF(B28302=#REF!,"",B28302)</f>
        <v>#REF!</v>
      </c>
    </row>
    <row r="28303" spans="1:6" ht="15.75" customHeight="1">
      <c r="A28303" s="16" t="s">
        <v>8449</v>
      </c>
      <c r="B28303" s="15" t="s">
        <v>8450</v>
      </c>
      <c r="C28303" s="16" t="s">
        <v>8028</v>
      </c>
      <c r="D28303" s="16" t="s">
        <v>8031</v>
      </c>
      <c r="E28303" s="2">
        <v>2921653</v>
      </c>
      <c r="F28303" s="4" t="e">
        <f>IF(B28303=#REF!,"",B28303)</f>
        <v>#REF!</v>
      </c>
    </row>
    <row r="28304" spans="1:6" ht="15.75" customHeight="1">
      <c r="A28304" s="15" t="s">
        <v>25595</v>
      </c>
      <c r="B28304" s="15" t="s">
        <v>25595</v>
      </c>
      <c r="C28304" s="15" t="s">
        <v>25560</v>
      </c>
      <c r="D28304" s="15" t="s">
        <v>25596</v>
      </c>
      <c r="E28304" s="2">
        <v>159909</v>
      </c>
      <c r="F28304" s="4" t="e">
        <f>IF(B28304=#REF!,"",B28304)</f>
        <v>#REF!</v>
      </c>
    </row>
    <row r="28305" spans="1:6" ht="15.75" customHeight="1">
      <c r="A28305" s="16" t="s">
        <v>8448</v>
      </c>
      <c r="B28305" s="15" t="s">
        <v>8448</v>
      </c>
      <c r="C28305" s="16" t="s">
        <v>8028</v>
      </c>
      <c r="D28305" s="16" t="s">
        <v>8029</v>
      </c>
      <c r="E28305" s="2">
        <v>2921837</v>
      </c>
      <c r="F28305" s="4" t="e">
        <f>IF(B28305=#REF!,"",B28305)</f>
        <v>#REF!</v>
      </c>
    </row>
    <row r="28306" spans="1:6" ht="15.75" customHeight="1">
      <c r="A28306" s="15" t="s">
        <v>19408</v>
      </c>
      <c r="B28306" s="15" t="s">
        <v>19408</v>
      </c>
      <c r="C28306" s="15" t="s">
        <v>19294</v>
      </c>
      <c r="D28306" s="15" t="s">
        <v>19364</v>
      </c>
      <c r="E28306" s="2">
        <v>2341294</v>
      </c>
      <c r="F28306" s="4" t="e">
        <f>IF(B28306=#REF!,"",B28306)</f>
        <v>#REF!</v>
      </c>
    </row>
    <row r="28307" spans="1:6" ht="15.75" customHeight="1">
      <c r="A28307" s="16" t="s">
        <v>8447</v>
      </c>
      <c r="B28307" s="15" t="s">
        <v>8447</v>
      </c>
      <c r="C28307" s="16" t="s">
        <v>8028</v>
      </c>
      <c r="D28307" s="16" t="s">
        <v>8040</v>
      </c>
      <c r="E28307" s="2">
        <v>2922102</v>
      </c>
      <c r="F28307" s="4" t="e">
        <f>IF(B28307=#REF!,"",B28307)</f>
        <v>#REF!</v>
      </c>
    </row>
    <row r="28308" spans="1:6" ht="15.75" customHeight="1">
      <c r="A28308" s="16" t="s">
        <v>18965</v>
      </c>
      <c r="B28308" s="15" t="s">
        <v>18965</v>
      </c>
      <c r="C28308" s="16" t="s">
        <v>18862</v>
      </c>
      <c r="D28308" s="16" t="s">
        <v>18888</v>
      </c>
      <c r="E28308" s="2">
        <v>2755669</v>
      </c>
      <c r="F28308" s="4" t="e">
        <f>IF(B28308=#REF!,"",B28308)</f>
        <v>#REF!</v>
      </c>
    </row>
    <row r="28309" spans="1:6" ht="15.75" customHeight="1">
      <c r="A28309" s="15" t="s">
        <v>982</v>
      </c>
      <c r="B28309" s="15" t="s">
        <v>982</v>
      </c>
      <c r="C28309" s="15" t="s">
        <v>885</v>
      </c>
      <c r="D28309" s="15" t="s">
        <v>827</v>
      </c>
      <c r="E28309" s="2">
        <v>2165798</v>
      </c>
      <c r="F28309" s="4" t="e">
        <f>IF(B28309=#REF!,"",B28309)</f>
        <v>#REF!</v>
      </c>
    </row>
    <row r="28310" spans="1:6" ht="15.75" customHeight="1">
      <c r="A28310" s="15" t="s">
        <v>1577</v>
      </c>
      <c r="B28310" s="15" t="s">
        <v>1577</v>
      </c>
      <c r="C28310" s="15" t="s">
        <v>1512</v>
      </c>
      <c r="D28310" s="15" t="s">
        <v>1513</v>
      </c>
      <c r="E28310" s="2">
        <v>2797779</v>
      </c>
      <c r="F28310" s="4" t="e">
        <f>IF(B28310=#REF!,"",B28310)</f>
        <v>#REF!</v>
      </c>
    </row>
    <row r="28311" spans="1:6" ht="15.75" customHeight="1">
      <c r="A28311" s="15" t="s">
        <v>26522</v>
      </c>
      <c r="B28311" s="15" t="s">
        <v>26523</v>
      </c>
      <c r="C28311" s="15" t="s">
        <v>26201</v>
      </c>
      <c r="D28311" s="15" t="s">
        <v>26468</v>
      </c>
      <c r="E28311" s="2">
        <v>314716</v>
      </c>
      <c r="F28311" s="4" t="e">
        <f>IF(B28311=#REF!,"",B28311)</f>
        <v>#REF!</v>
      </c>
    </row>
    <row r="28312" spans="1:6" ht="15.75" customHeight="1">
      <c r="A28312" s="16" t="s">
        <v>13926</v>
      </c>
      <c r="B28312" s="15" t="s">
        <v>13926</v>
      </c>
      <c r="C28312" s="16" t="s">
        <v>13800</v>
      </c>
      <c r="D28312" s="16" t="s">
        <v>13816</v>
      </c>
      <c r="E28312" s="2">
        <v>1644349</v>
      </c>
      <c r="F28312" s="4" t="e">
        <f>IF(B28312=#REF!,"",B28312)</f>
        <v>#REF!</v>
      </c>
    </row>
    <row r="28313" spans="1:6" ht="15.75" customHeight="1">
      <c r="A28313" s="15" t="s">
        <v>26521</v>
      </c>
      <c r="B28313" s="15" t="s">
        <v>26521</v>
      </c>
      <c r="C28313" s="15" t="s">
        <v>26201</v>
      </c>
      <c r="D28313" s="15" t="s">
        <v>26216</v>
      </c>
      <c r="E28313" s="2">
        <v>747014</v>
      </c>
      <c r="F28313" s="4" t="e">
        <f>IF(B28313=#REF!,"",B28313)</f>
        <v>#REF!</v>
      </c>
    </row>
    <row r="28314" spans="1:6" ht="15.75" customHeight="1">
      <c r="A28314" s="16" t="s">
        <v>6875</v>
      </c>
      <c r="B28314" s="15" t="s">
        <v>6875</v>
      </c>
      <c r="C28314" s="16" t="s">
        <v>6807</v>
      </c>
      <c r="D28314" s="16" t="s">
        <v>6814</v>
      </c>
      <c r="E28314" s="2">
        <v>337152</v>
      </c>
      <c r="F28314" s="4" t="e">
        <f>IF(B28314=#REF!,"",B28314)</f>
        <v>#REF!</v>
      </c>
    </row>
    <row r="28315" spans="1:6" ht="15.75" customHeight="1">
      <c r="A28315" s="15" t="s">
        <v>13925</v>
      </c>
      <c r="B28315" s="15" t="s">
        <v>13925</v>
      </c>
      <c r="C28315" s="15" t="s">
        <v>13800</v>
      </c>
      <c r="D28315" s="15" t="s">
        <v>13803</v>
      </c>
      <c r="E28315" s="2">
        <v>1644360</v>
      </c>
      <c r="F28315" s="4" t="e">
        <f>IF(B28315=#REF!,"",B28315)</f>
        <v>#REF!</v>
      </c>
    </row>
    <row r="28316" spans="1:6" ht="15.75" customHeight="1">
      <c r="A28316" s="15" t="s">
        <v>21224</v>
      </c>
      <c r="B28316" s="15" t="s">
        <v>21224</v>
      </c>
      <c r="C28316" s="15" t="s">
        <v>21064</v>
      </c>
      <c r="D28316" s="15" t="s">
        <v>21173</v>
      </c>
      <c r="E28316" s="2">
        <v>3099424</v>
      </c>
      <c r="F28316" s="4" t="str">
        <f>IF(B28316=B28315,"",B28316)</f>
        <v>Gdynia</v>
      </c>
    </row>
    <row r="28317" spans="1:6" ht="15.75" customHeight="1">
      <c r="A28317" s="16" t="str">
        <f ca="1">IFERROR(__xludf.DUMMYFUNCTION("GOOGLETRANSLATE(B39464,""en"",""pt"")"),"Gdańsk")</f>
        <v>Gdańsk</v>
      </c>
      <c r="B28317" s="20" t="s">
        <v>35231</v>
      </c>
      <c r="C28317" s="20" t="s">
        <v>21064</v>
      </c>
      <c r="D28317" s="20" t="s">
        <v>21173</v>
      </c>
      <c r="E28317" s="10">
        <v>3099434</v>
      </c>
      <c r="F28317" s="4" t="str">
        <f>IF(B28317=B28316,"",B28317)</f>
        <v>Gdańsk</v>
      </c>
    </row>
    <row r="28318" spans="1:6" ht="15.75" customHeight="1">
      <c r="A28318" s="15" t="s">
        <v>21222</v>
      </c>
      <c r="B28318" s="15" t="s">
        <v>21223</v>
      </c>
      <c r="C28318" s="15" t="s">
        <v>21064</v>
      </c>
      <c r="D28318" s="15" t="s">
        <v>21173</v>
      </c>
      <c r="E28318" s="2">
        <v>3099434</v>
      </c>
      <c r="F28318" s="4" t="e">
        <f>IF(B28318=#REF!,"",B28318)</f>
        <v>#REF!</v>
      </c>
    </row>
    <row r="28319" spans="1:6" ht="15.75" customHeight="1">
      <c r="A28319" s="15" t="s">
        <v>19407</v>
      </c>
      <c r="B28319" s="15" t="s">
        <v>19407</v>
      </c>
      <c r="C28319" s="15" t="s">
        <v>19294</v>
      </c>
      <c r="D28319" s="15" t="s">
        <v>19322</v>
      </c>
      <c r="E28319" s="2">
        <v>2341355</v>
      </c>
      <c r="F28319" s="4" t="e">
        <f>IF(B28319=#REF!,"",B28319)</f>
        <v>#REF!</v>
      </c>
    </row>
    <row r="28320" spans="1:6" ht="15.75" customHeight="1">
      <c r="A28320" s="15" t="s">
        <v>9394</v>
      </c>
      <c r="B28320" s="15" t="s">
        <v>9395</v>
      </c>
      <c r="C28320" s="15" t="s">
        <v>9365</v>
      </c>
      <c r="D28320" s="15" t="s">
        <v>9368</v>
      </c>
      <c r="E28320" s="2">
        <v>2300721</v>
      </c>
      <c r="F28320" s="4" t="e">
        <f>IF(B28320=#REF!,"",B28320)</f>
        <v>#REF!</v>
      </c>
    </row>
    <row r="28321" spans="1:6" ht="15.75" customHeight="1">
      <c r="A28321" s="16" t="s">
        <v>17055</v>
      </c>
      <c r="B28321" s="15" t="s">
        <v>17056</v>
      </c>
      <c r="C28321" s="16" t="s">
        <v>5687</v>
      </c>
      <c r="D28321" s="16" t="s">
        <v>17057</v>
      </c>
      <c r="E28321" s="2">
        <v>2277060</v>
      </c>
      <c r="F28321" s="4" t="e">
        <f>IF(B28321=#REF!,"",B28321)</f>
        <v>#REF!</v>
      </c>
    </row>
    <row r="28322" spans="1:6" ht="15.75" customHeight="1">
      <c r="A28322" s="15" t="s">
        <v>6151</v>
      </c>
      <c r="B28322" s="15" t="s">
        <v>6151</v>
      </c>
      <c r="C28322" s="15" t="s">
        <v>6127</v>
      </c>
      <c r="D28322" s="15" t="s">
        <v>6134</v>
      </c>
      <c r="E28322" s="2">
        <v>216404</v>
      </c>
      <c r="F28322" s="4" t="e">
        <f>IF(B28322=#REF!,"",B28322)</f>
        <v>#REF!</v>
      </c>
    </row>
    <row r="28323" spans="1:6" ht="15.75" customHeight="1">
      <c r="A28323" s="15" t="s">
        <v>26790</v>
      </c>
      <c r="B28323" s="15" t="s">
        <v>26790</v>
      </c>
      <c r="C28323" s="15" t="s">
        <v>26774</v>
      </c>
      <c r="D28323" s="15" t="s">
        <v>26780</v>
      </c>
      <c r="E28323" s="2">
        <v>1514792</v>
      </c>
      <c r="F28323" s="4" t="str">
        <f>IF(B28323=B28322,"",B28323)</f>
        <v>Gazojak</v>
      </c>
    </row>
    <row r="28324" spans="1:6" ht="15.75" customHeight="1">
      <c r="A28324" s="16" t="str">
        <f ca="1">IFERROR(__xludf.DUMMYFUNCTION("GOOGLETRANSLATE(B41993,""en"",""pt"")"),"Gazipaşa")</f>
        <v>Gazipaşa</v>
      </c>
      <c r="B28324" s="20" t="s">
        <v>35874</v>
      </c>
      <c r="C28324" s="20" t="s">
        <v>26201</v>
      </c>
      <c r="D28324" s="20" t="s">
        <v>26308</v>
      </c>
      <c r="E28324" s="10">
        <v>314812</v>
      </c>
      <c r="F28324" s="4" t="str">
        <f>IF(B28324=B28323,"",B28324)</f>
        <v>Gazipaşa</v>
      </c>
    </row>
    <row r="28325" spans="1:6" ht="15.75" customHeight="1">
      <c r="A28325" s="16" t="s">
        <v>26519</v>
      </c>
      <c r="B28325" s="15" t="s">
        <v>26520</v>
      </c>
      <c r="C28325" s="16" t="s">
        <v>26201</v>
      </c>
      <c r="D28325" s="16" t="s">
        <v>26308</v>
      </c>
      <c r="E28325" s="2">
        <v>314812</v>
      </c>
      <c r="F28325" s="4" t="e">
        <f>IF(B28325=#REF!,"",B28325)</f>
        <v>#REF!</v>
      </c>
    </row>
    <row r="28326" spans="1:6" ht="15.75" customHeight="1">
      <c r="A28326" s="16" t="s">
        <v>26517</v>
      </c>
      <c r="B28326" s="15" t="s">
        <v>26518</v>
      </c>
      <c r="C28326" s="16" t="s">
        <v>26201</v>
      </c>
      <c r="D28326" s="16" t="s">
        <v>26518</v>
      </c>
      <c r="E28326" s="2">
        <v>314830</v>
      </c>
      <c r="F28326" s="4" t="e">
        <f>IF(B28326=#REF!,"",B28326)</f>
        <v>#REF!</v>
      </c>
    </row>
    <row r="28327" spans="1:6" ht="15.75" customHeight="1">
      <c r="A28327" s="15" t="s">
        <v>26789</v>
      </c>
      <c r="B28327" s="15" t="s">
        <v>26789</v>
      </c>
      <c r="C28327" s="15" t="s">
        <v>26774</v>
      </c>
      <c r="D28327" s="15" t="s">
        <v>26783</v>
      </c>
      <c r="E28327" s="2">
        <v>161974</v>
      </c>
      <c r="F28327" s="4" t="e">
        <f>IF(B28327=#REF!,"",B28327)</f>
        <v>#REF!</v>
      </c>
    </row>
    <row r="28328" spans="1:6" ht="15.75" customHeight="1">
      <c r="A28328" s="15" t="s">
        <v>18661</v>
      </c>
      <c r="B28328" s="15" t="s">
        <v>18661</v>
      </c>
      <c r="C28328" s="15" t="s">
        <v>20297</v>
      </c>
      <c r="D28328" s="15" t="s">
        <v>20305</v>
      </c>
      <c r="E28328" s="2">
        <v>281133</v>
      </c>
      <c r="F28328" s="4" t="e">
        <f>IF(B28328=#REF!,"",B28328)</f>
        <v>#REF!</v>
      </c>
    </row>
    <row r="28329" spans="1:6" ht="15.75" customHeight="1">
      <c r="A28329" s="15" t="s">
        <v>11314</v>
      </c>
      <c r="B28329" s="15" t="s">
        <v>11314</v>
      </c>
      <c r="C28329" s="15" t="s">
        <v>10178</v>
      </c>
      <c r="D28329" s="15" t="s">
        <v>10317</v>
      </c>
      <c r="E28329" s="2">
        <v>1271439</v>
      </c>
      <c r="F28329" s="4" t="e">
        <f>IF(B28329=#REF!,"",B28329)</f>
        <v>#REF!</v>
      </c>
    </row>
    <row r="28330" spans="1:6" ht="15.75" customHeight="1">
      <c r="A28330" s="15" t="s">
        <v>22388</v>
      </c>
      <c r="B28330" s="15" t="s">
        <v>22388</v>
      </c>
      <c r="C28330" s="15" t="s">
        <v>22070</v>
      </c>
      <c r="D28330" s="15" t="s">
        <v>22075</v>
      </c>
      <c r="E28330" s="2">
        <v>561731</v>
      </c>
      <c r="F28330" s="4" t="e">
        <f>IF(B28330=#REF!,"",B28330)</f>
        <v>#REF!</v>
      </c>
    </row>
    <row r="28331" spans="1:6" ht="15.75" customHeight="1">
      <c r="A28331" s="15" t="s">
        <v>981</v>
      </c>
      <c r="B28331" s="15" t="s">
        <v>981</v>
      </c>
      <c r="C28331" s="15" t="s">
        <v>885</v>
      </c>
      <c r="D28331" s="15" t="s">
        <v>886</v>
      </c>
      <c r="E28331" s="2">
        <v>2071059</v>
      </c>
      <c r="F28331" s="4" t="e">
        <f>IF(B28331=#REF!,"",B28331)</f>
        <v>#REF!</v>
      </c>
    </row>
    <row r="28332" spans="1:6" ht="15.75" customHeight="1">
      <c r="A28332" s="16" t="s">
        <v>22386</v>
      </c>
      <c r="B28332" s="15" t="s">
        <v>22387</v>
      </c>
      <c r="C28332" s="16" t="s">
        <v>22070</v>
      </c>
      <c r="D28332" s="16" t="s">
        <v>22326</v>
      </c>
      <c r="E28332" s="2">
        <v>561762</v>
      </c>
      <c r="F28332" s="4" t="str">
        <f>IF(B28332=B28331,"",B28332)</f>
        <v>Gavrilov-Yam</v>
      </c>
    </row>
    <row r="28333" spans="1:6" ht="15.75" customHeight="1">
      <c r="A28333" s="16" t="str">
        <f ca="1">IFERROR(__xludf.DUMMYFUNCTION("GOOGLETRANSLATE(B41192,""en"",""pt"")"),"Gävle")</f>
        <v>Gävle</v>
      </c>
      <c r="B28333" s="20" t="s">
        <v>35656</v>
      </c>
      <c r="C28333" s="20" t="s">
        <v>25077</v>
      </c>
      <c r="D28333" s="20" t="s">
        <v>35634</v>
      </c>
      <c r="E28333" s="10">
        <v>2712414</v>
      </c>
      <c r="F28333" s="4" t="e">
        <f>IF(B28333=#REF!,"",B28333)</f>
        <v>#REF!</v>
      </c>
    </row>
    <row r="28334" spans="1:6" ht="15.75" customHeight="1">
      <c r="A28334" s="15" t="s">
        <v>864</v>
      </c>
      <c r="B28334" s="15" t="s">
        <v>864</v>
      </c>
      <c r="C28334" s="15" t="s">
        <v>853</v>
      </c>
      <c r="D28334" s="15" t="s">
        <v>865</v>
      </c>
      <c r="E28334" s="2">
        <v>616599</v>
      </c>
      <c r="F28334" s="4" t="str">
        <f>IF(B28334=B28333,"",B28334)</f>
        <v>Gavarr</v>
      </c>
    </row>
    <row r="28335" spans="1:6" ht="15.75" customHeight="1">
      <c r="A28335" s="15" t="s">
        <v>24482</v>
      </c>
      <c r="B28335" s="15" t="s">
        <v>24483</v>
      </c>
      <c r="C28335" s="15" t="s">
        <v>24200</v>
      </c>
      <c r="D28335" s="15" t="s">
        <v>24277</v>
      </c>
      <c r="E28335" s="2">
        <v>3121519</v>
      </c>
      <c r="F28335" s="4" t="str">
        <f>IF(B28335=B28334,"",B28335)</f>
        <v>GavÃ </v>
      </c>
    </row>
    <row r="28336" spans="1:6" ht="15.75" customHeight="1">
      <c r="A28336" s="16" t="str">
        <f ca="1">IFERROR(__xludf.DUMMYFUNCTION("GOOGLETRANSLATE(B29400,""en"",""pt"")"),"Gavà")</f>
        <v>Gavà</v>
      </c>
      <c r="B28336" s="20" t="s">
        <v>32462</v>
      </c>
      <c r="C28336" s="20" t="s">
        <v>24200</v>
      </c>
      <c r="D28336" s="20" t="s">
        <v>24277</v>
      </c>
      <c r="E28336" s="10">
        <v>3121519</v>
      </c>
      <c r="F28336" s="4" t="e">
        <f>IF(B28336=#REF!,"",B28336)</f>
        <v>#REF!</v>
      </c>
    </row>
    <row r="28337" spans="1:6" ht="15.75" customHeight="1">
      <c r="A28337" s="15" t="s">
        <v>8446</v>
      </c>
      <c r="B28337" s="15" t="s">
        <v>8446</v>
      </c>
      <c r="C28337" s="15" t="s">
        <v>8028</v>
      </c>
      <c r="D28337" s="15" t="s">
        <v>8044</v>
      </c>
      <c r="E28337" s="2">
        <v>2922230</v>
      </c>
      <c r="F28337" s="4" t="e">
        <f>IF(B28337=#REF!,"",B28337)</f>
        <v>#REF!</v>
      </c>
    </row>
    <row r="28338" spans="1:6" ht="15.75" customHeight="1">
      <c r="A28338" s="15" t="s">
        <v>28727</v>
      </c>
      <c r="B28338" s="15" t="s">
        <v>28727</v>
      </c>
      <c r="C28338" s="15" t="s">
        <v>27788</v>
      </c>
      <c r="D28338" s="15" t="s">
        <v>28040</v>
      </c>
      <c r="E28338" s="2">
        <v>4427569</v>
      </c>
      <c r="F28338" s="4" t="e">
        <f>IF(B28338=#REF!,"",B28338)</f>
        <v>#REF!</v>
      </c>
    </row>
    <row r="28339" spans="1:6" ht="15.75" customHeight="1">
      <c r="A28339" s="16" t="s">
        <v>1344</v>
      </c>
      <c r="B28339" s="15" t="s">
        <v>1345</v>
      </c>
      <c r="C28339" s="16" t="s">
        <v>1296</v>
      </c>
      <c r="D28339" s="16" t="s">
        <v>1308</v>
      </c>
      <c r="E28339" s="2">
        <v>1185210</v>
      </c>
      <c r="F28339" s="4" t="e">
        <f>IF(B28339=#REF!,"",B28339)</f>
        <v>#REF!</v>
      </c>
    </row>
    <row r="28340" spans="1:6" ht="15.75" customHeight="1">
      <c r="A28340" s="15" t="s">
        <v>11313</v>
      </c>
      <c r="B28340" s="15" t="s">
        <v>11313</v>
      </c>
      <c r="C28340" s="15" t="s">
        <v>10178</v>
      </c>
      <c r="D28340" s="15" t="s">
        <v>10239</v>
      </c>
      <c r="E28340" s="2">
        <v>1271453</v>
      </c>
      <c r="F28340" s="4" t="e">
        <f>IF(B28340=#REF!,"",B28340)</f>
        <v>#REF!</v>
      </c>
    </row>
    <row r="28341" spans="1:6" ht="15.75" customHeight="1">
      <c r="A28341" s="15" t="s">
        <v>18829</v>
      </c>
      <c r="B28341" s="15" t="s">
        <v>18829</v>
      </c>
      <c r="C28341" s="15" t="s">
        <v>18800</v>
      </c>
      <c r="D28341" s="15" t="s">
        <v>17414</v>
      </c>
      <c r="E28341" s="2">
        <v>1283401</v>
      </c>
      <c r="F28341" s="4" t="e">
        <f>IF(B28341=#REF!,"",B28341)</f>
        <v>#REF!</v>
      </c>
    </row>
    <row r="28342" spans="1:6" ht="15.75" customHeight="1">
      <c r="A28342" s="15" t="s">
        <v>4055</v>
      </c>
      <c r="B28342" s="15" t="s">
        <v>4055</v>
      </c>
      <c r="C28342" s="15" t="s">
        <v>3975</v>
      </c>
      <c r="D28342" s="15" t="s">
        <v>3982</v>
      </c>
      <c r="E28342" s="2">
        <v>5959974</v>
      </c>
      <c r="F28342" s="4" t="e">
        <f>IF(B28342=#REF!,"",B28342)</f>
        <v>#REF!</v>
      </c>
    </row>
    <row r="28343" spans="1:6" ht="15.75" customHeight="1">
      <c r="A28343" s="15" t="s">
        <v>28726</v>
      </c>
      <c r="B28343" s="15" t="s">
        <v>28726</v>
      </c>
      <c r="C28343" s="15" t="s">
        <v>27788</v>
      </c>
      <c r="D28343" s="15" t="s">
        <v>27792</v>
      </c>
      <c r="E28343" s="2">
        <v>4693150</v>
      </c>
      <c r="F28343" s="4" t="e">
        <f>IF(B28343=#REF!,"",B28343)</f>
        <v>#REF!</v>
      </c>
    </row>
    <row r="28344" spans="1:6" ht="15.75" customHeight="1">
      <c r="A28344" s="15" t="s">
        <v>22385</v>
      </c>
      <c r="B28344" s="15" t="s">
        <v>22385</v>
      </c>
      <c r="C28344" s="15" t="s">
        <v>22070</v>
      </c>
      <c r="D28344" s="15" t="s">
        <v>22094</v>
      </c>
      <c r="E28344" s="2">
        <v>561887</v>
      </c>
      <c r="F28344" s="4" t="e">
        <f>IF(B28344=#REF!,"",B28344)</f>
        <v>#REF!</v>
      </c>
    </row>
    <row r="28345" spans="1:6" ht="15.75" customHeight="1">
      <c r="A28345" s="15" t="s">
        <v>13924</v>
      </c>
      <c r="B28345" s="15" t="s">
        <v>13924</v>
      </c>
      <c r="C28345" s="15" t="s">
        <v>13800</v>
      </c>
      <c r="D28345" s="15" t="s">
        <v>13803</v>
      </c>
      <c r="E28345" s="2">
        <v>2011457</v>
      </c>
      <c r="F28345" s="4" t="e">
        <f>IF(B28345=#REF!,"",B28345)</f>
        <v>#REF!</v>
      </c>
    </row>
    <row r="28346" spans="1:6" ht="15.75" customHeight="1">
      <c r="A28346" s="15" t="s">
        <v>28725</v>
      </c>
      <c r="B28346" s="15" t="s">
        <v>28725</v>
      </c>
      <c r="C28346" s="15" t="s">
        <v>27788</v>
      </c>
      <c r="D28346" s="15" t="s">
        <v>27822</v>
      </c>
      <c r="E28346" s="2">
        <v>4467732</v>
      </c>
      <c r="F28346" s="4" t="e">
        <f>IF(B28346=#REF!,"",B28346)</f>
        <v>#REF!</v>
      </c>
    </row>
    <row r="28347" spans="1:6" ht="15.75" customHeight="1">
      <c r="A28347" s="16" t="s">
        <v>24481</v>
      </c>
      <c r="B28347" s="15" t="s">
        <v>24481</v>
      </c>
      <c r="C28347" s="16" t="s">
        <v>24200</v>
      </c>
      <c r="D28347" s="16" t="s">
        <v>24249</v>
      </c>
      <c r="E28347" s="2">
        <v>3104499</v>
      </c>
      <c r="F28347" s="4" t="e">
        <f>IF(B28347=#REF!,"",B28347)</f>
        <v>#REF!</v>
      </c>
    </row>
    <row r="28348" spans="1:6" ht="15.75" customHeight="1">
      <c r="A28348" s="15" t="s">
        <v>2489</v>
      </c>
      <c r="B28348" s="15" t="s">
        <v>2489</v>
      </c>
      <c r="C28348" s="15" t="s">
        <v>1905</v>
      </c>
      <c r="D28348" s="15" t="s">
        <v>2020</v>
      </c>
      <c r="E28348" s="2">
        <v>3462535</v>
      </c>
      <c r="F28348" s="4" t="e">
        <f>IF(B28348=#REF!,"",B28348)</f>
        <v>#REF!</v>
      </c>
    </row>
    <row r="28349" spans="1:6" ht="15.75" customHeight="1">
      <c r="A28349" s="15" t="s">
        <v>19405</v>
      </c>
      <c r="B28349" s="15" t="s">
        <v>19405</v>
      </c>
      <c r="C28349" s="15" t="s">
        <v>19294</v>
      </c>
      <c r="D28349" s="15" t="s">
        <v>19364</v>
      </c>
      <c r="E28349" s="2">
        <v>2341656</v>
      </c>
      <c r="F28349" s="4" t="str">
        <f>IF(B28349=B28348,"",B28349)</f>
        <v>Gashua</v>
      </c>
    </row>
    <row r="28350" spans="1:6" ht="15.75" customHeight="1">
      <c r="A28350" s="16" t="str">
        <f ca="1">IFERROR(__xludf.DUMMYFUNCTION("GOOGLETRANSLATE(B26975,""en"",""pt"")"),"Garzón")</f>
        <v>Garzón</v>
      </c>
      <c r="B28350" s="20" t="s">
        <v>31872</v>
      </c>
      <c r="C28350" s="20" t="s">
        <v>5348</v>
      </c>
      <c r="D28350" s="20" t="s">
        <v>5406</v>
      </c>
      <c r="E28350" s="10">
        <v>3682108</v>
      </c>
      <c r="F28350" s="4" t="str">
        <f>IF(B28350=B28349,"",B28350)</f>
        <v>Garzón</v>
      </c>
    </row>
    <row r="28351" spans="1:6" ht="15.75" customHeight="1">
      <c r="A28351" s="15" t="s">
        <v>5478</v>
      </c>
      <c r="B28351" s="15" t="s">
        <v>5479</v>
      </c>
      <c r="C28351" s="15" t="s">
        <v>5348</v>
      </c>
      <c r="D28351" s="15" t="s">
        <v>5406</v>
      </c>
      <c r="E28351" s="2">
        <v>3682108</v>
      </c>
      <c r="F28351" s="4" t="str">
        <f>IF(B28351=B28350,"",B28351)</f>
        <v>GarzÃ³n</v>
      </c>
    </row>
    <row r="28352" spans="1:6" ht="15.75" customHeight="1">
      <c r="A28352" s="16" t="str">
        <f ca="1">IFERROR(__xludf.DUMMYFUNCTION("GOOGLETRANSLATE(B37295,""en"",""pt"")"),"Garza García")</f>
        <v>Garza García</v>
      </c>
      <c r="B28352" s="20" t="s">
        <v>34768</v>
      </c>
      <c r="C28352" s="20" t="s">
        <v>17707</v>
      </c>
      <c r="D28352" s="20" t="s">
        <v>34689</v>
      </c>
      <c r="E28352" s="10">
        <v>4005937</v>
      </c>
      <c r="F28352" s="4" t="str">
        <f>IF(B28352=B28351,"",B28352)</f>
        <v>Garza García</v>
      </c>
    </row>
    <row r="28353" spans="1:6" ht="15.75" customHeight="1">
      <c r="A28353" s="16" t="s">
        <v>17949</v>
      </c>
      <c r="B28353" s="15" t="s">
        <v>17950</v>
      </c>
      <c r="C28353" s="16" t="s">
        <v>17707</v>
      </c>
      <c r="D28353" s="16" t="s">
        <v>17739</v>
      </c>
      <c r="E28353" s="2">
        <v>4005937</v>
      </c>
      <c r="F28353" s="4" t="e">
        <f>IF(B28353=#REF!,"",B28353)</f>
        <v>#REF!</v>
      </c>
    </row>
    <row r="28354" spans="1:6" ht="15.75" customHeight="1">
      <c r="A28354" s="15" t="s">
        <v>28724</v>
      </c>
      <c r="B28354" s="15" t="s">
        <v>28724</v>
      </c>
      <c r="C28354" s="15" t="s">
        <v>27788</v>
      </c>
      <c r="D28354" s="15" t="s">
        <v>27869</v>
      </c>
      <c r="E28354" s="2">
        <v>4920607</v>
      </c>
      <c r="F28354" s="4" t="e">
        <f>IF(B28354=#REF!,"",B28354)</f>
        <v>#REF!</v>
      </c>
    </row>
    <row r="28355" spans="1:6" ht="15.75" customHeight="1">
      <c r="A28355" s="15" t="s">
        <v>21221</v>
      </c>
      <c r="B28355" s="15" t="s">
        <v>21221</v>
      </c>
      <c r="C28355" s="15" t="s">
        <v>21064</v>
      </c>
      <c r="D28355" s="15" t="s">
        <v>21070</v>
      </c>
      <c r="E28355" s="2">
        <v>772339</v>
      </c>
      <c r="F28355" s="4" t="str">
        <f>IF(B28355=B28354,"",B28355)</f>
        <v>Garwolin</v>
      </c>
    </row>
    <row r="28356" spans="1:6" ht="15.75" customHeight="1">
      <c r="A28356" s="15" t="s">
        <v>661</v>
      </c>
      <c r="B28356" s="15" t="s">
        <v>662</v>
      </c>
      <c r="C28356" s="15" t="s">
        <v>558</v>
      </c>
      <c r="D28356" s="15" t="s">
        <v>576</v>
      </c>
      <c r="E28356" s="2">
        <v>3433836</v>
      </c>
      <c r="F28356" s="4" t="str">
        <f>IF(B28356=B28355,"",B28356)</f>
        <v>GarupÃ¡</v>
      </c>
    </row>
    <row r="28357" spans="1:6" ht="15.75" customHeight="1">
      <c r="A28357" s="16" t="str">
        <f ca="1">IFERROR(__xludf.DUMMYFUNCTION("GOOGLETRANSLATE(B23213,""en"",""pt"")"),"Garupá")</f>
        <v>Garupá</v>
      </c>
      <c r="B28357" s="20" t="s">
        <v>661</v>
      </c>
      <c r="C28357" s="20" t="s">
        <v>558</v>
      </c>
      <c r="D28357" s="20" t="s">
        <v>576</v>
      </c>
      <c r="E28357" s="10">
        <v>3433836</v>
      </c>
      <c r="F28357" s="4" t="e">
        <f>IF(B28357=#REF!,"",B28357)</f>
        <v>#REF!</v>
      </c>
    </row>
    <row r="28358" spans="1:6" ht="15.75" customHeight="1">
      <c r="A28358" s="15" t="s">
        <v>11312</v>
      </c>
      <c r="B28358" s="15" t="s">
        <v>11312</v>
      </c>
      <c r="C28358" s="15" t="s">
        <v>10178</v>
      </c>
      <c r="D28358" s="15" t="s">
        <v>10201</v>
      </c>
      <c r="E28358" s="2">
        <v>1271495</v>
      </c>
      <c r="F28358" s="4" t="e">
        <f>IF(B28358=#REF!,"",B28358)</f>
        <v>#REF!</v>
      </c>
    </row>
    <row r="28359" spans="1:6" ht="15.75" customHeight="1">
      <c r="A28359" s="16" t="s">
        <v>8445</v>
      </c>
      <c r="B28359" s="15" t="s">
        <v>8445</v>
      </c>
      <c r="C28359" s="16" t="s">
        <v>8028</v>
      </c>
      <c r="D28359" s="16" t="s">
        <v>8065</v>
      </c>
      <c r="E28359" s="2">
        <v>8642860</v>
      </c>
      <c r="F28359" s="4" t="str">
        <f>IF(B28359=B28358,"",B28359)</f>
        <v>Gartenstadt</v>
      </c>
    </row>
    <row r="28360" spans="1:6" ht="15.75" customHeight="1">
      <c r="A28360" s="16" t="str">
        <f ca="1">IFERROR(__xludf.DUMMYFUNCTION("GOOGLETRANSLATE(B26017,""en"",""pt"")"),"Garoua Boulaï")</f>
        <v>Garoua Boulaï</v>
      </c>
      <c r="B28360" s="20" t="s">
        <v>31819</v>
      </c>
      <c r="C28360" s="20" t="s">
        <v>3884</v>
      </c>
      <c r="D28360" s="20" t="s">
        <v>3889</v>
      </c>
      <c r="E28360" s="10">
        <v>2231319</v>
      </c>
      <c r="F28360" s="4" t="str">
        <f>IF(B28360=B28359,"",B28360)</f>
        <v>Garoua Boulaï</v>
      </c>
    </row>
    <row r="28361" spans="1:6" ht="15.75" customHeight="1">
      <c r="A28361" s="16" t="s">
        <v>3924</v>
      </c>
      <c r="B28361" s="15" t="s">
        <v>3925</v>
      </c>
      <c r="C28361" s="16" t="s">
        <v>3884</v>
      </c>
      <c r="D28361" s="16" t="s">
        <v>3889</v>
      </c>
      <c r="E28361" s="2">
        <v>2231319</v>
      </c>
      <c r="F28361" s="4" t="e">
        <f>IF(B28361=#REF!,"",B28361)</f>
        <v>#REF!</v>
      </c>
    </row>
    <row r="28362" spans="1:6" ht="15.75" customHeight="1">
      <c r="A28362" s="15" t="s">
        <v>3922</v>
      </c>
      <c r="B28362" s="15" t="s">
        <v>3922</v>
      </c>
      <c r="C28362" s="15" t="s">
        <v>3884</v>
      </c>
      <c r="D28362" s="15" t="s">
        <v>3923</v>
      </c>
      <c r="E28362" s="2">
        <v>2231320</v>
      </c>
      <c r="F28362" s="4" t="e">
        <f>IF(B28362=#REF!,"",B28362)</f>
        <v>#REF!</v>
      </c>
    </row>
    <row r="28363" spans="1:6" ht="15.75" customHeight="1">
      <c r="A28363" s="15" t="s">
        <v>23823</v>
      </c>
      <c r="B28363" s="15" t="s">
        <v>23823</v>
      </c>
      <c r="C28363" s="15" t="s">
        <v>23800</v>
      </c>
      <c r="D28363" s="15" t="s">
        <v>23820</v>
      </c>
      <c r="E28363" s="2">
        <v>58933</v>
      </c>
      <c r="F28363" s="4" t="e">
        <f>IF(B28363=#REF!,"",B28363)</f>
        <v>#REF!</v>
      </c>
    </row>
    <row r="28364" spans="1:6" ht="15.75" customHeight="1">
      <c r="A28364" s="15" t="s">
        <v>28723</v>
      </c>
      <c r="B28364" s="15" t="s">
        <v>28723</v>
      </c>
      <c r="C28364" s="15" t="s">
        <v>27788</v>
      </c>
      <c r="D28364" s="15" t="s">
        <v>27822</v>
      </c>
      <c r="E28364" s="2">
        <v>4467657</v>
      </c>
      <c r="F28364" s="4" t="e">
        <f>IF(B28364=#REF!,"",B28364)</f>
        <v>#REF!</v>
      </c>
    </row>
    <row r="28365" spans="1:6" ht="15.75" customHeight="1">
      <c r="A28365" s="16" t="s">
        <v>8444</v>
      </c>
      <c r="B28365" s="15" t="s">
        <v>8444</v>
      </c>
      <c r="C28365" s="16" t="s">
        <v>8028</v>
      </c>
      <c r="D28365" s="16" t="s">
        <v>8044</v>
      </c>
      <c r="E28365" s="2">
        <v>2922530</v>
      </c>
      <c r="F28365" s="4" t="e">
        <f>IF(B28365=#REF!,"",B28365)</f>
        <v>#REF!</v>
      </c>
    </row>
    <row r="28366" spans="1:6" ht="15.75" customHeight="1">
      <c r="A28366" s="15" t="s">
        <v>28721</v>
      </c>
      <c r="B28366" s="15" t="s">
        <v>28722</v>
      </c>
      <c r="C28366" s="15" t="s">
        <v>27788</v>
      </c>
      <c r="D28366" s="15" t="s">
        <v>27792</v>
      </c>
      <c r="E28366" s="2">
        <v>4693003</v>
      </c>
      <c r="F28366" s="4" t="e">
        <f>IF(B28366=#REF!,"",B28366)</f>
        <v>#REF!</v>
      </c>
    </row>
    <row r="28367" spans="1:6" ht="15.75" customHeight="1">
      <c r="A28367" s="15" t="s">
        <v>19404</v>
      </c>
      <c r="B28367" s="15" t="s">
        <v>19404</v>
      </c>
      <c r="C28367" s="15" t="s">
        <v>19294</v>
      </c>
      <c r="D28367" s="15" t="s">
        <v>19348</v>
      </c>
      <c r="E28367" s="2">
        <v>2341758</v>
      </c>
      <c r="F28367" s="4" t="e">
        <f>IF(B28367=#REF!,"",B28367)</f>
        <v>#REF!</v>
      </c>
    </row>
    <row r="28368" spans="1:6" ht="15.75" customHeight="1">
      <c r="A28368" s="15" t="s">
        <v>16787</v>
      </c>
      <c r="B28368" s="15" t="s">
        <v>16787</v>
      </c>
      <c r="C28368" s="15" t="s">
        <v>16781</v>
      </c>
      <c r="D28368" s="15" t="s">
        <v>16787</v>
      </c>
      <c r="E28368" s="2">
        <v>197745</v>
      </c>
      <c r="F28368" s="4" t="e">
        <f>IF(B28368=#REF!,"",B28368)</f>
        <v>#REF!</v>
      </c>
    </row>
    <row r="28369" spans="1:6" ht="15.75" customHeight="1">
      <c r="A28369" s="15" t="s">
        <v>2488</v>
      </c>
      <c r="B28369" s="15" t="s">
        <v>2488</v>
      </c>
      <c r="C28369" s="15" t="s">
        <v>1905</v>
      </c>
      <c r="D28369" s="15" t="s">
        <v>1951</v>
      </c>
      <c r="E28369" s="2">
        <v>3462557</v>
      </c>
      <c r="F28369" s="4" t="e">
        <f>IF(B28369=#REF!,"",B28369)</f>
        <v>#REF!</v>
      </c>
    </row>
    <row r="28370" spans="1:6" ht="15.75" customHeight="1">
      <c r="A28370" s="16" t="s">
        <v>11311</v>
      </c>
      <c r="B28370" s="15" t="s">
        <v>11311</v>
      </c>
      <c r="C28370" s="16" t="s">
        <v>10178</v>
      </c>
      <c r="D28370" s="16" t="s">
        <v>10209</v>
      </c>
      <c r="E28370" s="2">
        <v>1271533</v>
      </c>
      <c r="F28370" s="4" t="e">
        <f>IF(B28370=#REF!,"",B28370)</f>
        <v>#REF!</v>
      </c>
    </row>
    <row r="28371" spans="1:6" ht="15.75" customHeight="1">
      <c r="A28371" s="15" t="s">
        <v>11310</v>
      </c>
      <c r="B28371" s="15" t="s">
        <v>11310</v>
      </c>
      <c r="C28371" s="15" t="s">
        <v>10178</v>
      </c>
      <c r="D28371" s="15" t="s">
        <v>10430</v>
      </c>
      <c r="E28371" s="2">
        <v>1271493</v>
      </c>
      <c r="F28371" s="4" t="e">
        <f>IF(B28371=#REF!,"",B28371)</f>
        <v>#REF!</v>
      </c>
    </row>
    <row r="28372" spans="1:6" ht="15.75" customHeight="1">
      <c r="A28372" s="16" t="s">
        <v>11309</v>
      </c>
      <c r="B28372" s="15" t="s">
        <v>11309</v>
      </c>
      <c r="C28372" s="16" t="s">
        <v>10178</v>
      </c>
      <c r="D28372" s="16" t="s">
        <v>10184</v>
      </c>
      <c r="E28372" s="2">
        <v>1271538</v>
      </c>
      <c r="F28372" s="4" t="e">
        <f>IF(B28372=#REF!,"",B28372)</f>
        <v>#REF!</v>
      </c>
    </row>
    <row r="28373" spans="1:6" ht="15.75" customHeight="1">
      <c r="A28373" s="16" t="s">
        <v>11308</v>
      </c>
      <c r="B28373" s="15" t="s">
        <v>11308</v>
      </c>
      <c r="C28373" s="16" t="s">
        <v>10178</v>
      </c>
      <c r="D28373" s="16" t="s">
        <v>10193</v>
      </c>
      <c r="E28373" s="2">
        <v>1271543</v>
      </c>
      <c r="F28373" s="4" t="str">
        <f>IF(B28373=B28372,"",B28373)</f>
        <v>Garhmuktesar</v>
      </c>
    </row>
    <row r="28374" spans="1:6" ht="15.75" customHeight="1">
      <c r="A28374" s="16" t="str">
        <f ca="1">IFERROR(__xludf.DUMMYFUNCTION("GOOGLETRANSLATE(B33479,""en"",""pt"")"),"Garhākota")</f>
        <v>Garhākota</v>
      </c>
      <c r="B28374" s="20" t="s">
        <v>33726</v>
      </c>
      <c r="C28374" s="20" t="s">
        <v>10178</v>
      </c>
      <c r="D28374" s="20" t="s">
        <v>10219</v>
      </c>
      <c r="E28374" s="10">
        <v>1271563</v>
      </c>
      <c r="F28374" s="4" t="str">
        <f>IF(B28374=B28373,"",B28374)</f>
        <v>Garhākota</v>
      </c>
    </row>
    <row r="28375" spans="1:6" ht="15.75" customHeight="1">
      <c r="A28375" s="16" t="s">
        <v>11306</v>
      </c>
      <c r="B28375" s="15" t="s">
        <v>11307</v>
      </c>
      <c r="C28375" s="16" t="s">
        <v>10178</v>
      </c>
      <c r="D28375" s="16" t="s">
        <v>10219</v>
      </c>
      <c r="E28375" s="2">
        <v>1271563</v>
      </c>
      <c r="F28375" s="4" t="str">
        <f>IF(B28375=B28374,"",B28375)</f>
        <v>GarhÄkota</v>
      </c>
    </row>
    <row r="28376" spans="1:6" ht="15.75" customHeight="1">
      <c r="A28376" s="16" t="str">
        <f ca="1">IFERROR(__xludf.DUMMYFUNCTION("GOOGLETRANSLATE(B39101,""en"",""pt"")"),"Garh Mahārāja")</f>
        <v>Garh Mahārāja</v>
      </c>
      <c r="B28376" s="20" t="s">
        <v>35022</v>
      </c>
      <c r="C28376" s="20" t="s">
        <v>19808</v>
      </c>
      <c r="D28376" s="20" t="s">
        <v>10184</v>
      </c>
      <c r="E28376" s="10">
        <v>1178841</v>
      </c>
      <c r="F28376" s="4" t="str">
        <f>IF(B28376=B28375,"",B28376)</f>
        <v>Garh Mahārāja</v>
      </c>
    </row>
    <row r="28377" spans="1:6" ht="15.75" customHeight="1">
      <c r="A28377" s="16" t="s">
        <v>19917</v>
      </c>
      <c r="B28377" s="15" t="s">
        <v>19918</v>
      </c>
      <c r="C28377" s="16" t="s">
        <v>19808</v>
      </c>
      <c r="D28377" s="16" t="s">
        <v>10184</v>
      </c>
      <c r="E28377" s="2">
        <v>1178841</v>
      </c>
      <c r="F28377" s="4" t="str">
        <f>IF(B28377=B28376,"",B28377)</f>
        <v>Garh MahÄrÄja</v>
      </c>
    </row>
    <row r="28378" spans="1:6" ht="15.75" customHeight="1">
      <c r="A28378" s="16" t="str">
        <f ca="1">IFERROR(__xludf.DUMMYFUNCTION("GOOGLETRANSLATE(B36381,""en"",""pt"")"),"Gargždai")</f>
        <v>Gargždai</v>
      </c>
      <c r="B28378" s="20" t="s">
        <v>34537</v>
      </c>
      <c r="C28378" s="20" t="s">
        <v>17154</v>
      </c>
      <c r="D28378" s="20" t="s">
        <v>34527</v>
      </c>
      <c r="E28378" s="10">
        <v>599506</v>
      </c>
      <c r="F28378" s="4" t="str">
        <f>IF(B28378=B28377,"",B28378)</f>
        <v>Gargždai</v>
      </c>
    </row>
    <row r="28379" spans="1:6" ht="15.75" customHeight="1">
      <c r="A28379" s="16" t="str">
        <f ca="1">IFERROR(__xludf.DUMMYFUNCTION("GOOGLETRANSLATE(B30062,""en"",""pt"")"),"Garges-Lès-Goneesse")</f>
        <v>Garges-Lès-Goneesse</v>
      </c>
      <c r="B28379" s="20" t="s">
        <v>32600</v>
      </c>
      <c r="C28379" s="20" t="s">
        <v>7052</v>
      </c>
      <c r="D28379" s="20" t="s">
        <v>32531</v>
      </c>
      <c r="E28379" s="10">
        <v>3016621</v>
      </c>
      <c r="F28379" s="4" t="str">
        <f>IF(B28379=B28378,"",B28379)</f>
        <v>Garges-lès-Gonesse</v>
      </c>
    </row>
    <row r="28380" spans="1:6" ht="15.75" customHeight="1">
      <c r="A28380" s="16" t="s">
        <v>7367</v>
      </c>
      <c r="B28380" s="15" t="s">
        <v>7368</v>
      </c>
      <c r="C28380" s="16" t="s">
        <v>7052</v>
      </c>
      <c r="D28380" s="16" t="s">
        <v>7058</v>
      </c>
      <c r="E28380" s="2">
        <v>3016621</v>
      </c>
      <c r="F28380" s="4" t="str">
        <f>IF(B28380=B28379,"",B28380)</f>
        <v>Garges-lÃ¨s-Gonesse</v>
      </c>
    </row>
    <row r="28381" spans="1:6" ht="15.75" customHeight="1">
      <c r="A28381" s="16" t="s">
        <v>17170</v>
      </c>
      <c r="B28381" s="15" t="s">
        <v>17171</v>
      </c>
      <c r="C28381" s="16" t="s">
        <v>17154</v>
      </c>
      <c r="D28381" s="16" t="s">
        <v>17172</v>
      </c>
      <c r="E28381" s="2">
        <v>599506</v>
      </c>
      <c r="F28381" s="4" t="e">
        <f>IF(B28381=#REF!,"",B28381)</f>
        <v>#REF!</v>
      </c>
    </row>
    <row r="28382" spans="1:6" ht="15.75" customHeight="1">
      <c r="A28382" s="16" t="s">
        <v>28720</v>
      </c>
      <c r="B28382" s="15" t="s">
        <v>28720</v>
      </c>
      <c r="C28382" s="16" t="s">
        <v>27788</v>
      </c>
      <c r="D28382" s="16" t="s">
        <v>27813</v>
      </c>
      <c r="E28382" s="2">
        <v>5155499</v>
      </c>
      <c r="F28382" s="4" t="e">
        <f>IF(B28382=#REF!,"",B28382)</f>
        <v>#REF!</v>
      </c>
    </row>
    <row r="28383" spans="1:6" ht="15.75" customHeight="1">
      <c r="A28383" s="15" t="s">
        <v>28719</v>
      </c>
      <c r="B28383" s="15" t="s">
        <v>28719</v>
      </c>
      <c r="C28383" s="15" t="s">
        <v>27788</v>
      </c>
      <c r="D28383" s="15" t="s">
        <v>27905</v>
      </c>
      <c r="E28383" s="2">
        <v>5098343</v>
      </c>
      <c r="F28383" s="4" t="e">
        <f>IF(B28383=#REF!,"",B28383)</f>
        <v>#REF!</v>
      </c>
    </row>
    <row r="28384" spans="1:6" ht="15.75" customHeight="1">
      <c r="A28384" s="15" t="s">
        <v>28717</v>
      </c>
      <c r="B28384" s="15" t="s">
        <v>28718</v>
      </c>
      <c r="C28384" s="15" t="s">
        <v>27788</v>
      </c>
      <c r="D28384" s="15" t="s">
        <v>28419</v>
      </c>
      <c r="E28384" s="2">
        <v>4271935</v>
      </c>
      <c r="F28384" s="4" t="str">
        <f>IF(B28384=B28383,"",B28384)</f>
        <v>Gardner</v>
      </c>
    </row>
    <row r="28385" spans="1:6" ht="15.75" customHeight="1">
      <c r="A28385" s="16" t="str">
        <f ca="1">IFERROR(__xludf.DUMMYFUNCTION("GOOGLETRANSLATE(B23087,""en"",""pt"")"),"Gardēz")</f>
        <v>Gardēz</v>
      </c>
      <c r="B28385" s="20" t="s">
        <v>31132</v>
      </c>
      <c r="C28385" s="20" t="s">
        <v>8</v>
      </c>
      <c r="D28385" s="20" t="s">
        <v>41</v>
      </c>
      <c r="E28385" s="10">
        <v>1141857</v>
      </c>
      <c r="F28385" s="4" t="e">
        <f>IF(B28385=#REF!,"",B28385)</f>
        <v>#REF!</v>
      </c>
    </row>
    <row r="28386" spans="1:6" ht="15.75" customHeight="1">
      <c r="A28386" s="15" t="s">
        <v>28716</v>
      </c>
      <c r="B28386" s="15" t="s">
        <v>28716</v>
      </c>
      <c r="C28386" s="15" t="s">
        <v>27788</v>
      </c>
      <c r="D28386" s="15" t="s">
        <v>27801</v>
      </c>
      <c r="E28386" s="2">
        <v>5351549</v>
      </c>
      <c r="F28386" s="4" t="e">
        <f>IF(B28386=#REF!,"",B28386)</f>
        <v>#REF!</v>
      </c>
    </row>
    <row r="28387" spans="1:6" ht="15.75" customHeight="1">
      <c r="A28387" s="16" t="s">
        <v>28715</v>
      </c>
      <c r="B28387" s="15" t="s">
        <v>28715</v>
      </c>
      <c r="C28387" s="16" t="s">
        <v>27788</v>
      </c>
      <c r="D28387" s="16" t="s">
        <v>27801</v>
      </c>
      <c r="E28387" s="2">
        <v>5351515</v>
      </c>
      <c r="F28387" s="4" t="e">
        <f>IF(B28387=#REF!,"",B28387)</f>
        <v>#REF!</v>
      </c>
    </row>
    <row r="28388" spans="1:6" ht="15.75" customHeight="1">
      <c r="A28388" s="16" t="s">
        <v>28713</v>
      </c>
      <c r="B28388" s="15" t="s">
        <v>28714</v>
      </c>
      <c r="C28388" s="16" t="s">
        <v>27788</v>
      </c>
      <c r="D28388" s="16" t="s">
        <v>27804</v>
      </c>
      <c r="E28388" s="2">
        <v>4993659</v>
      </c>
      <c r="F28388" s="4" t="e">
        <f>IF(B28388=#REF!,"",B28388)</f>
        <v>#REF!</v>
      </c>
    </row>
    <row r="28389" spans="1:6" ht="15.75" customHeight="1">
      <c r="A28389" s="16" t="s">
        <v>7366</v>
      </c>
      <c r="B28389" s="15" t="s">
        <v>7366</v>
      </c>
      <c r="C28389" s="16" t="s">
        <v>7052</v>
      </c>
      <c r="D28389" s="16" t="s">
        <v>7087</v>
      </c>
      <c r="E28389" s="2">
        <v>3016667</v>
      </c>
      <c r="F28389" s="4" t="str">
        <f>IF(B28389=B28388,"",B28389)</f>
        <v>Gardanne</v>
      </c>
    </row>
    <row r="28390" spans="1:6" ht="15.75" customHeight="1">
      <c r="A28390" s="15" t="s">
        <v>39</v>
      </c>
      <c r="B28390" s="15" t="s">
        <v>40</v>
      </c>
      <c r="C28390" s="15" t="s">
        <v>8</v>
      </c>
      <c r="D28390" s="15" t="s">
        <v>41</v>
      </c>
      <c r="E28390" s="2">
        <v>1141857</v>
      </c>
      <c r="F28390" s="4" t="str">
        <f>IF(B28390=B28389,"",B28390)</f>
        <v>GardÄ“z</v>
      </c>
    </row>
    <row r="28391" spans="1:6" ht="15.75" customHeight="1">
      <c r="A28391" s="16" t="str">
        <f ca="1">IFERROR(__xludf.DUMMYFUNCTION("GOOGLETRANSLATE(B37153,""en"",""pt"")"),"García")</f>
        <v>García</v>
      </c>
      <c r="B28391" s="20" t="s">
        <v>34731</v>
      </c>
      <c r="C28391" s="20" t="s">
        <v>17707</v>
      </c>
      <c r="D28391" s="20" t="s">
        <v>34689</v>
      </c>
      <c r="E28391" s="10">
        <v>3980190</v>
      </c>
      <c r="F28391" s="4" t="str">
        <f>IF(B28391=B28390,"",B28391)</f>
        <v>García</v>
      </c>
    </row>
    <row r="28392" spans="1:6" ht="15.75" customHeight="1">
      <c r="A28392" s="16" t="str">
        <f ca="1">IFERROR(__xludf.DUMMYFUNCTION("GOOGLETRANSLATE(B28067,""en"",""pt"")"),"Garching Bei München")</f>
        <v>Garching Bei München</v>
      </c>
      <c r="B28392" s="20" t="s">
        <v>32107</v>
      </c>
      <c r="C28392" s="20" t="s">
        <v>8028</v>
      </c>
      <c r="D28392" s="20" t="s">
        <v>8044</v>
      </c>
      <c r="E28392" s="10">
        <v>2922582</v>
      </c>
      <c r="F28392" s="4" t="str">
        <f>IF(B28392=B28391,"",B28392)</f>
        <v>Garching bei München</v>
      </c>
    </row>
    <row r="28393" spans="1:6" ht="15.75" customHeight="1">
      <c r="A28393" s="16" t="s">
        <v>8442</v>
      </c>
      <c r="B28393" s="15" t="s">
        <v>8443</v>
      </c>
      <c r="C28393" s="16" t="s">
        <v>8028</v>
      </c>
      <c r="D28393" s="16" t="s">
        <v>8044</v>
      </c>
      <c r="E28393" s="2">
        <v>2922582</v>
      </c>
      <c r="F28393" s="4" t="e">
        <f>IF(B28393=#REF!,"",B28393)</f>
        <v>#REF!</v>
      </c>
    </row>
    <row r="28394" spans="1:6" ht="15.75" customHeight="1">
      <c r="A28394" s="15" t="s">
        <v>7365</v>
      </c>
      <c r="B28394" s="15" t="s">
        <v>7365</v>
      </c>
      <c r="C28394" s="15" t="s">
        <v>7052</v>
      </c>
      <c r="D28394" s="15" t="s">
        <v>7058</v>
      </c>
      <c r="E28394" s="2">
        <v>3016675</v>
      </c>
      <c r="F28394" s="4" t="str">
        <f>IF(B28394=B28393,"",B28394)</f>
        <v>Garches</v>
      </c>
    </row>
    <row r="28395" spans="1:6" ht="15.75" customHeight="1">
      <c r="A28395" s="15" t="s">
        <v>17947</v>
      </c>
      <c r="B28395" s="15" t="s">
        <v>17948</v>
      </c>
      <c r="C28395" s="15" t="s">
        <v>17707</v>
      </c>
      <c r="D28395" s="15" t="s">
        <v>17739</v>
      </c>
      <c r="E28395" s="2">
        <v>3980190</v>
      </c>
      <c r="F28395" s="4" t="str">
        <f>IF(B28395=B28394,"",B28395)</f>
        <v>GarcÃ­a</v>
      </c>
    </row>
    <row r="28396" spans="1:6" ht="15.75" customHeight="1">
      <c r="A28396" s="16" t="str">
        <f ca="1">IFERROR(__xludf.DUMMYFUNCTION("GOOGLETRANSLATE(B25028,""en"",""pt"")"),"Garça")</f>
        <v>Garça</v>
      </c>
      <c r="B28396" s="20" t="s">
        <v>31658</v>
      </c>
      <c r="C28396" s="20" t="s">
        <v>1905</v>
      </c>
      <c r="D28396" s="20" t="s">
        <v>3354</v>
      </c>
      <c r="E28396" s="10">
        <v>3462580</v>
      </c>
      <c r="F28396" s="4" t="e">
        <f>IF(B28396=#REF!,"",B28396)</f>
        <v>#REF!</v>
      </c>
    </row>
    <row r="28397" spans="1:6" ht="15.75" customHeight="1">
      <c r="A28397" s="15" t="s">
        <v>8441</v>
      </c>
      <c r="B28397" s="15" t="s">
        <v>8441</v>
      </c>
      <c r="C28397" s="15" t="s">
        <v>8028</v>
      </c>
      <c r="D28397" s="15" t="s">
        <v>8034</v>
      </c>
      <c r="E28397" s="2">
        <v>2922586</v>
      </c>
      <c r="F28397" s="4" t="e">
        <f>IF(B28397=#REF!,"",B28397)</f>
        <v>#REF!</v>
      </c>
    </row>
    <row r="28398" spans="1:6" ht="15.75" customHeight="1">
      <c r="A28398" s="16" t="s">
        <v>15165</v>
      </c>
      <c r="B28398" s="15" t="s">
        <v>15166</v>
      </c>
      <c r="C28398" s="16" t="s">
        <v>14891</v>
      </c>
      <c r="D28398" s="16" t="s">
        <v>14894</v>
      </c>
      <c r="E28398" s="2">
        <v>3176322</v>
      </c>
      <c r="F28398" s="4" t="e">
        <f>IF(B28398=#REF!,"",B28398)</f>
        <v>#REF!</v>
      </c>
    </row>
    <row r="28399" spans="1:6" ht="15.75" customHeight="1">
      <c r="A28399" s="16" t="s">
        <v>23898</v>
      </c>
      <c r="B28399" s="15" t="s">
        <v>23899</v>
      </c>
      <c r="C28399" s="16" t="s">
        <v>23842</v>
      </c>
      <c r="D28399" s="16" t="s">
        <v>23860</v>
      </c>
      <c r="E28399" s="2">
        <v>1002851</v>
      </c>
      <c r="F28399" s="4" t="e">
        <f>IF(B28399=#REF!,"",B28399)</f>
        <v>#REF!</v>
      </c>
    </row>
    <row r="28400" spans="1:6" ht="15.75" customHeight="1">
      <c r="A28400" s="16" t="s">
        <v>2487</v>
      </c>
      <c r="B28400" s="15" t="s">
        <v>2487</v>
      </c>
      <c r="C28400" s="16" t="s">
        <v>1905</v>
      </c>
      <c r="D28400" s="16" t="s">
        <v>1909</v>
      </c>
      <c r="E28400" s="2">
        <v>3399058</v>
      </c>
      <c r="F28400" s="4" t="e">
        <f>IF(B28400=#REF!,"",B28400)</f>
        <v>#REF!</v>
      </c>
    </row>
    <row r="28401" spans="1:6" ht="15.75" customHeight="1">
      <c r="A28401" s="15" t="s">
        <v>3790</v>
      </c>
      <c r="B28401" s="15" t="s">
        <v>3790</v>
      </c>
      <c r="C28401" s="15" t="s">
        <v>3768</v>
      </c>
      <c r="D28401" s="15" t="s">
        <v>3791</v>
      </c>
      <c r="E28401" s="2">
        <v>2360615</v>
      </c>
      <c r="F28401" s="4" t="str">
        <f>IF(B28401=B28400,"",B28401)</f>
        <v>Garango</v>
      </c>
    </row>
    <row r="28402" spans="1:6" ht="15.75" customHeight="1">
      <c r="A28402" s="15" t="s">
        <v>2485</v>
      </c>
      <c r="B28402" s="15" t="s">
        <v>2486</v>
      </c>
      <c r="C28402" s="15" t="s">
        <v>1905</v>
      </c>
      <c r="D28402" s="15" t="s">
        <v>1914</v>
      </c>
      <c r="E28402" s="2">
        <v>3462580</v>
      </c>
      <c r="F28402" s="4" t="e">
        <f>IF(B28402=#REF!,"",B28402)</f>
        <v>#REF!</v>
      </c>
    </row>
    <row r="28403" spans="1:6" ht="15.75" customHeight="1">
      <c r="A28403" s="16" t="s">
        <v>24065</v>
      </c>
      <c r="B28403" s="15" t="s">
        <v>24065</v>
      </c>
      <c r="C28403" s="16" t="s">
        <v>24024</v>
      </c>
      <c r="D28403" s="16" t="s">
        <v>24028</v>
      </c>
      <c r="E28403" s="2">
        <v>1843082</v>
      </c>
      <c r="F28403" s="4" t="e">
        <f>IF(B28403=#REF!,"",B28403)</f>
        <v>#REF!</v>
      </c>
    </row>
    <row r="28404" spans="1:6" ht="15.75" customHeight="1">
      <c r="A28404" s="15" t="s">
        <v>20765</v>
      </c>
      <c r="B28404" s="15" t="s">
        <v>20765</v>
      </c>
      <c r="C28404" s="15" t="s">
        <v>20598</v>
      </c>
      <c r="D28404" s="15" t="s">
        <v>20599</v>
      </c>
      <c r="E28404" s="2">
        <v>1713226</v>
      </c>
      <c r="F28404" s="4" t="e">
        <f>IF(B28404=#REF!,"",B28404)</f>
        <v>#REF!</v>
      </c>
    </row>
    <row r="28405" spans="1:6" ht="15.75" customHeight="1">
      <c r="A28405" s="15" t="s">
        <v>7363</v>
      </c>
      <c r="B28405" s="15" t="s">
        <v>7364</v>
      </c>
      <c r="C28405" s="15" t="s">
        <v>7052</v>
      </c>
      <c r="D28405" s="15" t="s">
        <v>7087</v>
      </c>
      <c r="E28405" s="2">
        <v>3016702</v>
      </c>
      <c r="F28405" s="4" t="e">
        <f>IF(B28405=#REF!,"",B28405)</f>
        <v>#REF!</v>
      </c>
    </row>
    <row r="28406" spans="1:6" ht="15.75" customHeight="1">
      <c r="A28406" s="15" t="s">
        <v>4689</v>
      </c>
      <c r="B28406" s="15" t="s">
        <v>4689</v>
      </c>
      <c r="C28406" s="15" t="s">
        <v>4487</v>
      </c>
      <c r="D28406" s="15" t="s">
        <v>4492</v>
      </c>
      <c r="E28406" s="2">
        <v>1810295</v>
      </c>
      <c r="F28406" s="4" t="e">
        <f>IF(B28406=#REF!,"",B28406)</f>
        <v>#REF!</v>
      </c>
    </row>
    <row r="28407" spans="1:6" ht="15.75" customHeight="1">
      <c r="A28407" s="15" t="s">
        <v>4688</v>
      </c>
      <c r="B28407" s="15" t="s">
        <v>4688</v>
      </c>
      <c r="C28407" s="15" t="s">
        <v>4487</v>
      </c>
      <c r="D28407" s="15" t="s">
        <v>4535</v>
      </c>
      <c r="E28407" s="2">
        <v>1810309</v>
      </c>
      <c r="F28407" s="4" t="e">
        <f>IF(B28407=#REF!,"",B28407)</f>
        <v>#REF!</v>
      </c>
    </row>
    <row r="28408" spans="1:6" ht="15.75" customHeight="1">
      <c r="A28408" s="15" t="s">
        <v>3788</v>
      </c>
      <c r="B28408" s="15" t="s">
        <v>3788</v>
      </c>
      <c r="C28408" s="15" t="s">
        <v>3768</v>
      </c>
      <c r="D28408" s="15" t="s">
        <v>3789</v>
      </c>
      <c r="E28408" s="2">
        <v>2577162</v>
      </c>
      <c r="F28408" s="4" t="e">
        <f>IF(B28408=#REF!,"",B28408)</f>
        <v>#REF!</v>
      </c>
    </row>
    <row r="28409" spans="1:6" ht="15.75" customHeight="1">
      <c r="A28409" s="15" t="s">
        <v>4687</v>
      </c>
      <c r="B28409" s="15" t="s">
        <v>4687</v>
      </c>
      <c r="C28409" s="15" t="s">
        <v>4487</v>
      </c>
      <c r="D28409" s="15" t="s">
        <v>4588</v>
      </c>
      <c r="E28409" s="2">
        <v>1810437</v>
      </c>
      <c r="F28409" s="4" t="e">
        <f>IF(B28409=#REF!,"",B28409)</f>
        <v>#REF!</v>
      </c>
    </row>
    <row r="28410" spans="1:6" ht="15.75" customHeight="1">
      <c r="A28410" s="15" t="s">
        <v>4686</v>
      </c>
      <c r="B28410" s="15" t="s">
        <v>4686</v>
      </c>
      <c r="C28410" s="15" t="s">
        <v>4487</v>
      </c>
      <c r="D28410" s="15" t="s">
        <v>4503</v>
      </c>
      <c r="E28410" s="2">
        <v>1810458</v>
      </c>
      <c r="F28410" s="4" t="e">
        <f>IF(B28410=#REF!,"",B28410)</f>
        <v>#REF!</v>
      </c>
    </row>
    <row r="28411" spans="1:6" ht="15.75" customHeight="1">
      <c r="A28411" s="15" t="s">
        <v>4685</v>
      </c>
      <c r="B28411" s="15" t="s">
        <v>4685</v>
      </c>
      <c r="C28411" s="15" t="s">
        <v>4487</v>
      </c>
      <c r="D28411" s="15" t="s">
        <v>4535</v>
      </c>
      <c r="E28411" s="2">
        <v>1810553</v>
      </c>
      <c r="F28411" s="4" t="e">
        <f>IF(B28411=#REF!,"",B28411)</f>
        <v>#REF!</v>
      </c>
    </row>
    <row r="28412" spans="1:6" ht="15.75" customHeight="1">
      <c r="A28412" s="15" t="s">
        <v>17606</v>
      </c>
      <c r="B28412" s="15" t="s">
        <v>17606</v>
      </c>
      <c r="C28412" s="15" t="s">
        <v>17596</v>
      </c>
      <c r="D28412" s="15" t="s">
        <v>17606</v>
      </c>
      <c r="E28412" s="2">
        <v>2457163</v>
      </c>
      <c r="F28412" s="4" t="e">
        <f>IF(B28412=#REF!,"",B28412)</f>
        <v>#REF!</v>
      </c>
    </row>
    <row r="28413" spans="1:6" ht="15.75" customHeight="1">
      <c r="A28413" s="15" t="s">
        <v>19402</v>
      </c>
      <c r="B28413" s="15" t="s">
        <v>19402</v>
      </c>
      <c r="C28413" s="15" t="s">
        <v>19294</v>
      </c>
      <c r="D28413" s="15" t="s">
        <v>19403</v>
      </c>
      <c r="E28413" s="2">
        <v>2341955</v>
      </c>
      <c r="F28413" s="4" t="e">
        <f>IF(B28413=#REF!,"",B28413)</f>
        <v>#REF!</v>
      </c>
    </row>
    <row r="28414" spans="1:6" ht="15.75" customHeight="1">
      <c r="A28414" s="16" t="s">
        <v>11305</v>
      </c>
      <c r="B28414" s="15" t="s">
        <v>11305</v>
      </c>
      <c r="C28414" s="16" t="s">
        <v>10178</v>
      </c>
      <c r="D28414" s="16" t="s">
        <v>10190</v>
      </c>
      <c r="E28414" s="2">
        <v>1271613</v>
      </c>
      <c r="F28414" s="4" t="e">
        <f>IF(B28414=#REF!,"",B28414)</f>
        <v>#REF!</v>
      </c>
    </row>
    <row r="28415" spans="1:6" ht="15.75" customHeight="1">
      <c r="A28415" s="15" t="s">
        <v>4684</v>
      </c>
      <c r="B28415" s="15" t="s">
        <v>4684</v>
      </c>
      <c r="C28415" s="15" t="s">
        <v>4487</v>
      </c>
      <c r="D28415" s="15" t="s">
        <v>4488</v>
      </c>
      <c r="E28415" s="2">
        <v>2037311</v>
      </c>
      <c r="F28415" s="4" t="e">
        <f>IF(B28415=#REF!,"",B28415)</f>
        <v>#REF!</v>
      </c>
    </row>
    <row r="28416" spans="1:6" ht="15.75" customHeight="1">
      <c r="A28416" s="15" t="s">
        <v>1201</v>
      </c>
      <c r="B28416" s="15" t="s">
        <v>1201</v>
      </c>
      <c r="C28416" s="15" t="s">
        <v>1170</v>
      </c>
      <c r="D28416" s="15" t="s">
        <v>1202</v>
      </c>
      <c r="E28416" s="2">
        <v>586523</v>
      </c>
      <c r="F28416" s="4" t="str">
        <f>IF(B28416=B28415,"",B28416)</f>
        <v>Ganja</v>
      </c>
    </row>
    <row r="28417" spans="1:6" ht="15.75" customHeight="1">
      <c r="A28417" s="16" t="str">
        <f ca="1">IFERROR(__xludf.DUMMYFUNCTION("GOOGLETRANSLATE(B33543,""en"",""pt"")"),"Ganj Dundwāra")</f>
        <v>Ganj Dundwāra</v>
      </c>
      <c r="B28417" s="20" t="s">
        <v>33754</v>
      </c>
      <c r="C28417" s="20" t="s">
        <v>10178</v>
      </c>
      <c r="D28417" s="20" t="s">
        <v>10193</v>
      </c>
      <c r="E28417" s="10">
        <v>1272207</v>
      </c>
      <c r="F28417" s="4" t="str">
        <f>IF(B28417=B28416,"",B28417)</f>
        <v>Ganj Dundwāra</v>
      </c>
    </row>
    <row r="28418" spans="1:6" ht="15.75" customHeight="1">
      <c r="A28418" s="16" t="s">
        <v>11303</v>
      </c>
      <c r="B28418" s="15" t="s">
        <v>11304</v>
      </c>
      <c r="C28418" s="16" t="s">
        <v>10178</v>
      </c>
      <c r="D28418" s="16" t="s">
        <v>10193</v>
      </c>
      <c r="E28418" s="2">
        <v>1272207</v>
      </c>
      <c r="F28418" s="4" t="e">
        <f>IF(B28418=#REF!,"",B28418)</f>
        <v>#REF!</v>
      </c>
    </row>
    <row r="28419" spans="1:6" ht="15.75" customHeight="1">
      <c r="A28419" s="15" t="s">
        <v>11301</v>
      </c>
      <c r="B28419" s="15" t="s">
        <v>11301</v>
      </c>
      <c r="C28419" s="15" t="s">
        <v>10178</v>
      </c>
      <c r="D28419" s="15" t="s">
        <v>11302</v>
      </c>
      <c r="E28419" s="2">
        <v>1271631</v>
      </c>
      <c r="F28419" s="4" t="e">
        <f>IF(B28419=#REF!,"",B28419)</f>
        <v>#REF!</v>
      </c>
    </row>
    <row r="28420" spans="1:6" ht="15.75" customHeight="1">
      <c r="A28420" s="15" t="s">
        <v>11300</v>
      </c>
      <c r="B28420" s="15" t="s">
        <v>11300</v>
      </c>
      <c r="C28420" s="15" t="s">
        <v>10178</v>
      </c>
      <c r="D28420" s="15" t="s">
        <v>10252</v>
      </c>
      <c r="E28420" s="2">
        <v>1271642</v>
      </c>
      <c r="F28420" s="4" t="e">
        <f>IF(B28420=#REF!,"",B28420)</f>
        <v>#REF!</v>
      </c>
    </row>
    <row r="28421" spans="1:6" ht="15.75" customHeight="1">
      <c r="A28421" s="15" t="s">
        <v>11298</v>
      </c>
      <c r="B28421" s="15" t="s">
        <v>11299</v>
      </c>
      <c r="C28421" s="15" t="s">
        <v>10178</v>
      </c>
      <c r="D28421" s="15" t="s">
        <v>10193</v>
      </c>
      <c r="E28421" s="2">
        <v>1271644</v>
      </c>
      <c r="F28421" s="4" t="e">
        <f>IF(B28421=#REF!,"",B28421)</f>
        <v>#REF!</v>
      </c>
    </row>
    <row r="28422" spans="1:6" ht="15.75" customHeight="1">
      <c r="A28422" s="16" t="s">
        <v>24063</v>
      </c>
      <c r="B28422" s="15" t="s">
        <v>24063</v>
      </c>
      <c r="C28422" s="16" t="s">
        <v>24024</v>
      </c>
      <c r="D28422" s="16" t="s">
        <v>24064</v>
      </c>
      <c r="E28422" s="2">
        <v>1843163</v>
      </c>
      <c r="F28422" s="4" t="str">
        <f>IF(B28422=B28421,"",B28422)</f>
        <v>Ganghwa-gun</v>
      </c>
    </row>
    <row r="28423" spans="1:6" ht="15.75" customHeight="1">
      <c r="A28423" s="16" t="str">
        <f ca="1">IFERROR(__xludf.DUMMYFUNCTION("GOOGLETRANSLATE(B33484,""en"",""pt"")"),"Gangāwati")</f>
        <v>Gangāwati</v>
      </c>
      <c r="B28423" s="20" t="s">
        <v>33727</v>
      </c>
      <c r="C28423" s="20" t="s">
        <v>10178</v>
      </c>
      <c r="D28423" s="20" t="s">
        <v>10252</v>
      </c>
      <c r="E28423" s="10">
        <v>1271662</v>
      </c>
      <c r="F28423" s="4" t="str">
        <f>IF(B28423=B28422,"",B28423)</f>
        <v>Gangāwati</v>
      </c>
    </row>
    <row r="28424" spans="1:6" ht="15.75" customHeight="1">
      <c r="A28424" s="16" t="str">
        <f ca="1">IFERROR(__xludf.DUMMYFUNCTION("GOOGLETRANSLATE(B33485,""en"",""pt"")"),"Gangārāmpur")</f>
        <v>Gangārāmpur</v>
      </c>
      <c r="B28424" s="20" t="s">
        <v>33728</v>
      </c>
      <c r="C28424" s="20" t="s">
        <v>10178</v>
      </c>
      <c r="D28424" s="20" t="s">
        <v>10201</v>
      </c>
      <c r="E28424" s="10">
        <v>1271670</v>
      </c>
      <c r="F28424" s="4" t="e">
        <f>IF(B28424=#REF!,"",B28424)</f>
        <v>#REF!</v>
      </c>
    </row>
    <row r="28425" spans="1:6" ht="15.75" customHeight="1">
      <c r="A28425" s="16" t="str">
        <f ca="1">IFERROR(__xludf.DUMMYFUNCTION("GOOGLETRANSLATE(B33486,""en"",""pt"")"),"Gangāpur")</f>
        <v>Gangāpur</v>
      </c>
      <c r="B28425" s="20" t="s">
        <v>33729</v>
      </c>
      <c r="C28425" s="20" t="s">
        <v>10178</v>
      </c>
      <c r="D28425" s="20" t="s">
        <v>10179</v>
      </c>
      <c r="E28425" s="10">
        <v>1271675</v>
      </c>
      <c r="F28425" s="4" t="str">
        <f>IF(B28425=B28424,"",B28425)</f>
        <v>Gangāpur</v>
      </c>
    </row>
    <row r="28426" spans="1:6" ht="15.75" customHeight="1">
      <c r="A28426" s="16" t="str">
        <f ca="1">IFERROR(__xludf.DUMMYFUNCTION("GOOGLETRANSLATE(B33489,""en"",""pt"")"),"Gangānagar")</f>
        <v>Gangānagar</v>
      </c>
      <c r="B28426" s="20" t="s">
        <v>33730</v>
      </c>
      <c r="C28426" s="20" t="s">
        <v>10178</v>
      </c>
      <c r="D28426" s="20" t="s">
        <v>10179</v>
      </c>
      <c r="E28426" s="10">
        <v>1271685</v>
      </c>
      <c r="F28426" s="4" t="str">
        <f>IF(B28426=B28425,"",B28426)</f>
        <v>Gangānagar</v>
      </c>
    </row>
    <row r="28427" spans="1:6" ht="15.75" customHeight="1">
      <c r="A28427" s="16" t="str">
        <f ca="1">IFERROR(__xludf.DUMMYFUNCTION("GOOGLETRANSLATE(B33490,""en"",""pt"")"),"Gangākher")</f>
        <v>Gangākher</v>
      </c>
      <c r="B28427" s="20" t="s">
        <v>33731</v>
      </c>
      <c r="C28427" s="20" t="s">
        <v>10178</v>
      </c>
      <c r="D28427" s="20" t="s">
        <v>10214</v>
      </c>
      <c r="E28427" s="10">
        <v>1271688</v>
      </c>
      <c r="F28427" s="4" t="str">
        <f>IF(B28427=B28426,"",B28427)</f>
        <v>Gangākher</v>
      </c>
    </row>
    <row r="28428" spans="1:6" ht="15.75" customHeight="1">
      <c r="A28428" s="16" t="s">
        <v>11296</v>
      </c>
      <c r="B28428" s="15" t="s">
        <v>11297</v>
      </c>
      <c r="C28428" s="16" t="s">
        <v>10178</v>
      </c>
      <c r="D28428" s="16" t="s">
        <v>10252</v>
      </c>
      <c r="E28428" s="2">
        <v>1271662</v>
      </c>
      <c r="F28428" s="4" t="str">
        <f>IF(B28428=B28427,"",B28428)</f>
        <v>GangÄwati</v>
      </c>
    </row>
    <row r="28429" spans="1:6" ht="15.75" customHeight="1">
      <c r="A28429" s="16" t="s">
        <v>11294</v>
      </c>
      <c r="B28429" s="15" t="s">
        <v>11295</v>
      </c>
      <c r="C28429" s="16" t="s">
        <v>10178</v>
      </c>
      <c r="D28429" s="16" t="s">
        <v>10201</v>
      </c>
      <c r="E28429" s="2">
        <v>1271670</v>
      </c>
      <c r="F28429" s="4" t="e">
        <f>IF(B28429=#REF!,"",B28429)</f>
        <v>#REF!</v>
      </c>
    </row>
    <row r="28430" spans="1:6" ht="15.75" customHeight="1">
      <c r="A28430" s="16" t="s">
        <v>11292</v>
      </c>
      <c r="B28430" s="15" t="s">
        <v>11293</v>
      </c>
      <c r="C28430" s="16" t="s">
        <v>10178</v>
      </c>
      <c r="D28430" s="16" t="s">
        <v>10179</v>
      </c>
      <c r="E28430" s="2">
        <v>1271675</v>
      </c>
      <c r="F28430" s="4" t="str">
        <f>IF(B28430=B28429,"",B28430)</f>
        <v>GangÄpur</v>
      </c>
    </row>
    <row r="28431" spans="1:6" ht="15.75" customHeight="1">
      <c r="A28431" s="16" t="s">
        <v>11290</v>
      </c>
      <c r="B28431" s="15" t="s">
        <v>11291</v>
      </c>
      <c r="C28431" s="16" t="s">
        <v>10178</v>
      </c>
      <c r="D28431" s="16" t="s">
        <v>10179</v>
      </c>
      <c r="E28431" s="2">
        <v>1271685</v>
      </c>
      <c r="F28431" s="4" t="str">
        <f>IF(B28431=B28430,"",B28431)</f>
        <v>GangÄnagar</v>
      </c>
    </row>
    <row r="28432" spans="1:6" ht="15.75" customHeight="1">
      <c r="A28432" s="16" t="s">
        <v>11288</v>
      </c>
      <c r="B28432" s="15" t="s">
        <v>11289</v>
      </c>
      <c r="C28432" s="16" t="s">
        <v>10178</v>
      </c>
      <c r="D28432" s="16" t="s">
        <v>10214</v>
      </c>
      <c r="E28432" s="2">
        <v>1271688</v>
      </c>
      <c r="F28432" s="4" t="e">
        <f>IF(B28432=#REF!,"",B28432)</f>
        <v>#REF!</v>
      </c>
    </row>
    <row r="28433" spans="1:6" ht="15.75" customHeight="1">
      <c r="A28433" s="15" t="s">
        <v>2484</v>
      </c>
      <c r="B28433" s="15" t="s">
        <v>2484</v>
      </c>
      <c r="C28433" s="15" t="s">
        <v>1905</v>
      </c>
      <c r="D28433" s="15" t="s">
        <v>1947</v>
      </c>
      <c r="E28433" s="2">
        <v>3462601</v>
      </c>
      <c r="F28433" s="4" t="e">
        <f>IF(B28433=#REF!,"",B28433)</f>
        <v>#REF!</v>
      </c>
    </row>
    <row r="28434" spans="1:6" ht="15.75" customHeight="1">
      <c r="A28434" s="15" t="s">
        <v>24480</v>
      </c>
      <c r="B28434" s="15" t="s">
        <v>24480</v>
      </c>
      <c r="C28434" s="15" t="s">
        <v>24200</v>
      </c>
      <c r="D28434" s="15" t="s">
        <v>21053</v>
      </c>
      <c r="E28434" s="2">
        <v>2517367</v>
      </c>
      <c r="F28434" s="4" t="str">
        <f>IF(B28434=B28433,"",B28434)</f>
        <v>Gandia</v>
      </c>
    </row>
    <row r="28435" spans="1:6" ht="15.75" customHeight="1">
      <c r="A28435" s="16" t="str">
        <f ca="1">IFERROR(__xludf.DUMMYFUNCTION("GOOGLETRANSLATE(B33492,""en"",""pt"")"),"Gāndhīdhām")</f>
        <v>Gāndhīdhām</v>
      </c>
      <c r="B28435" s="20" t="s">
        <v>33732</v>
      </c>
      <c r="C28435" s="20" t="s">
        <v>10178</v>
      </c>
      <c r="D28435" s="20" t="s">
        <v>10209</v>
      </c>
      <c r="E28435" s="10">
        <v>1271717</v>
      </c>
      <c r="F28435" s="4" t="e">
        <f>IF(B28435=#REF!,"",B28435)</f>
        <v>#REF!</v>
      </c>
    </row>
    <row r="28436" spans="1:6" ht="15.75" customHeight="1">
      <c r="A28436" s="15" t="s">
        <v>11286</v>
      </c>
      <c r="B28436" s="15" t="s">
        <v>11287</v>
      </c>
      <c r="C28436" s="15" t="s">
        <v>10178</v>
      </c>
      <c r="D28436" s="15" t="s">
        <v>10209</v>
      </c>
      <c r="E28436" s="2">
        <v>1271722</v>
      </c>
      <c r="F28436" s="4" t="e">
        <f>IF(B28436=#REF!,"",B28436)</f>
        <v>#REF!</v>
      </c>
    </row>
    <row r="28437" spans="1:6" ht="15.75" customHeight="1">
      <c r="A28437" s="16" t="s">
        <v>8440</v>
      </c>
      <c r="B28437" s="15" t="s">
        <v>8440</v>
      </c>
      <c r="C28437" s="16" t="s">
        <v>8028</v>
      </c>
      <c r="D28437" s="16" t="s">
        <v>8034</v>
      </c>
      <c r="E28437" s="2">
        <v>2922731</v>
      </c>
      <c r="F28437" s="4" t="str">
        <f>IF(B28437=B28436,"",B28437)</f>
        <v>Ganderkesee</v>
      </c>
    </row>
    <row r="28438" spans="1:6" ht="15.75" customHeight="1">
      <c r="A28438" s="16" t="str">
        <f ca="1">IFERROR(__xludf.DUMMYFUNCTION("GOOGLETRANSLATE(B33494,""en"",""pt"")"),"Gāndarbal")</f>
        <v>Gāndarbal</v>
      </c>
      <c r="B28438" s="20" t="s">
        <v>33733</v>
      </c>
      <c r="C28438" s="20" t="s">
        <v>10178</v>
      </c>
      <c r="D28438" s="20" t="s">
        <v>10355</v>
      </c>
      <c r="E28438" s="10">
        <v>1271729</v>
      </c>
      <c r="F28438" s="4" t="e">
        <f>IF(B28438=#REF!,"",B28438)</f>
        <v>#REF!</v>
      </c>
    </row>
    <row r="28439" spans="1:6" ht="15.75" customHeight="1">
      <c r="A28439" s="16" t="s">
        <v>6149</v>
      </c>
      <c r="B28439" s="15" t="s">
        <v>6149</v>
      </c>
      <c r="C28439" s="16" t="s">
        <v>6127</v>
      </c>
      <c r="D28439" s="16" t="s">
        <v>6150</v>
      </c>
      <c r="E28439" s="2">
        <v>216449</v>
      </c>
      <c r="F28439" s="4" t="e">
        <f>IF(B28439=#REF!,"",B28439)</f>
        <v>#REF!</v>
      </c>
    </row>
    <row r="28440" spans="1:6" ht="15.75" customHeight="1">
      <c r="A28440" s="15" t="s">
        <v>24944</v>
      </c>
      <c r="B28440" s="15" t="s">
        <v>24944</v>
      </c>
      <c r="C28440" s="15" t="s">
        <v>24924</v>
      </c>
      <c r="D28440" s="15" t="s">
        <v>1886</v>
      </c>
      <c r="E28440" s="2">
        <v>1246000</v>
      </c>
      <c r="F28440" s="4" t="e">
        <f>IF(B28440=#REF!,"",B28440)</f>
        <v>#REF!</v>
      </c>
    </row>
    <row r="28441" spans="1:6" ht="15.75" customHeight="1">
      <c r="A28441" s="16" t="s">
        <v>13922</v>
      </c>
      <c r="B28441" s="15" t="s">
        <v>13923</v>
      </c>
      <c r="C28441" s="16" t="s">
        <v>13800</v>
      </c>
      <c r="D28441" s="16" t="s">
        <v>13826</v>
      </c>
      <c r="E28441" s="2">
        <v>2005057</v>
      </c>
      <c r="F28441" s="4" t="e">
        <f>IF(B28441=#REF!,"",B28441)</f>
        <v>#REF!</v>
      </c>
    </row>
    <row r="28442" spans="1:6" ht="15.75" customHeight="1">
      <c r="A28442" s="16" t="s">
        <v>13920</v>
      </c>
      <c r="B28442" s="15" t="s">
        <v>13921</v>
      </c>
      <c r="C28442" s="16" t="s">
        <v>13800</v>
      </c>
      <c r="D28442" s="16" t="s">
        <v>13816</v>
      </c>
      <c r="E28442" s="2">
        <v>1644522</v>
      </c>
      <c r="F28442" s="4" t="e">
        <f>IF(B28442=#REF!,"",B28442)</f>
        <v>#REF!</v>
      </c>
    </row>
    <row r="28443" spans="1:6" ht="15.75" customHeight="1">
      <c r="A28443" s="16" t="s">
        <v>25126</v>
      </c>
      <c r="B28443" s="15" t="s">
        <v>25127</v>
      </c>
      <c r="C28443" s="16" t="s">
        <v>25077</v>
      </c>
      <c r="D28443" s="16" t="s">
        <v>25111</v>
      </c>
      <c r="E28443" s="2">
        <v>2712993</v>
      </c>
      <c r="F28443" s="4" t="e">
        <f>IF(B28443=#REF!,"",B28443)</f>
        <v>#REF!</v>
      </c>
    </row>
    <row r="28444" spans="1:6" ht="15.75" customHeight="1">
      <c r="A28444" s="16" t="s">
        <v>2483</v>
      </c>
      <c r="B28444" s="15" t="s">
        <v>2483</v>
      </c>
      <c r="C28444" s="16" t="s">
        <v>1905</v>
      </c>
      <c r="D28444" s="16" t="s">
        <v>1909</v>
      </c>
      <c r="E28444" s="2">
        <v>3399132</v>
      </c>
      <c r="F28444" s="4" t="e">
        <f>IF(B28444=#REF!,"",B28444)</f>
        <v>#REF!</v>
      </c>
    </row>
    <row r="28445" spans="1:6" ht="15.75" customHeight="1">
      <c r="A28445" s="15" t="s">
        <v>19401</v>
      </c>
      <c r="B28445" s="15" t="s">
        <v>19401</v>
      </c>
      <c r="C28445" s="15" t="s">
        <v>19294</v>
      </c>
      <c r="D28445" s="15" t="s">
        <v>19338</v>
      </c>
      <c r="E28445" s="2">
        <v>2342192</v>
      </c>
      <c r="F28445" s="4" t="e">
        <f>IF(B28445=#REF!,"",B28445)</f>
        <v>#REF!</v>
      </c>
    </row>
    <row r="28446" spans="1:6" ht="15.75" customHeight="1">
      <c r="A28446" s="16" t="s">
        <v>21791</v>
      </c>
      <c r="B28446" s="15" t="s">
        <v>21791</v>
      </c>
      <c r="C28446" s="16" t="s">
        <v>21788</v>
      </c>
      <c r="D28446" s="16" t="s">
        <v>21792</v>
      </c>
      <c r="E28446" s="2">
        <v>2259947</v>
      </c>
      <c r="F28446" s="4" t="e">
        <f>IF(B28446=#REF!,"",B28446)</f>
        <v>#REF!</v>
      </c>
    </row>
    <row r="28447" spans="1:6" ht="15.75" customHeight="1">
      <c r="A28447" s="16" t="s">
        <v>13919</v>
      </c>
      <c r="B28447" s="15" t="s">
        <v>13919</v>
      </c>
      <c r="C28447" s="16" t="s">
        <v>13800</v>
      </c>
      <c r="D28447" s="16" t="s">
        <v>13816</v>
      </c>
      <c r="E28447" s="2">
        <v>1644557</v>
      </c>
      <c r="F28447" s="4" t="str">
        <f>IF(B28447=B28446,"",B28447)</f>
        <v>Gambiran Satu</v>
      </c>
    </row>
    <row r="28448" spans="1:6" ht="15.75" customHeight="1">
      <c r="A28448" s="16" t="str">
        <f ca="1">IFERROR(__xludf.DUMMYFUNCTION("GOOGLETRANSLATE(B29557,""en"",""pt"")"),"Gambēla")</f>
        <v>Gambēla</v>
      </c>
      <c r="B28448" s="20" t="s">
        <v>32499</v>
      </c>
      <c r="C28448" s="20" t="s">
        <v>6807</v>
      </c>
      <c r="D28448" s="20" t="s">
        <v>6874</v>
      </c>
      <c r="E28448" s="10">
        <v>337405</v>
      </c>
      <c r="F28448" s="4" t="e">
        <f>IF(B28448=#REF!,"",B28448)</f>
        <v>#REF!</v>
      </c>
    </row>
    <row r="28449" spans="1:6" ht="15.75" customHeight="1">
      <c r="A28449" s="15" t="s">
        <v>19916</v>
      </c>
      <c r="B28449" s="15" t="s">
        <v>19916</v>
      </c>
      <c r="C28449" s="15" t="s">
        <v>19808</v>
      </c>
      <c r="D28449" s="15" t="s">
        <v>19823</v>
      </c>
      <c r="E28449" s="2">
        <v>1179061</v>
      </c>
      <c r="F28449" s="4" t="str">
        <f>IF(B28449=B28448,"",B28449)</f>
        <v>Gambat</v>
      </c>
    </row>
    <row r="28450" spans="1:6" ht="15.75" customHeight="1">
      <c r="A28450" s="16" t="s">
        <v>6872</v>
      </c>
      <c r="B28450" s="15" t="s">
        <v>6873</v>
      </c>
      <c r="C28450" s="16" t="s">
        <v>6807</v>
      </c>
      <c r="D28450" s="16" t="s">
        <v>6874</v>
      </c>
      <c r="E28450" s="2">
        <v>337405</v>
      </c>
      <c r="F28450" s="4" t="str">
        <f>IF(B28450=B28449,"",B28450)</f>
        <v>GambÄ“la</v>
      </c>
    </row>
    <row r="28451" spans="1:6" ht="15.75" customHeight="1">
      <c r="A28451" s="16" t="str">
        <f ca="1">IFERROR(__xludf.DUMMYFUNCTION("GOOGLETRANSLATE(B35638,""en"",""pt"")"),"Gamagōri")</f>
        <v>Gamagōri</v>
      </c>
      <c r="B28451" s="20" t="s">
        <v>34384</v>
      </c>
      <c r="C28451" s="20" t="s">
        <v>15704</v>
      </c>
      <c r="D28451" s="20" t="s">
        <v>15729</v>
      </c>
      <c r="E28451" s="10">
        <v>1863693</v>
      </c>
      <c r="F28451" s="4" t="str">
        <f>IF(B28451=B28450,"",B28451)</f>
        <v>Gamagōri</v>
      </c>
    </row>
    <row r="28452" spans="1:6" ht="15.75" customHeight="1">
      <c r="A28452" s="16" t="s">
        <v>15895</v>
      </c>
      <c r="B28452" s="15" t="s">
        <v>15896</v>
      </c>
      <c r="C28452" s="16" t="s">
        <v>15704</v>
      </c>
      <c r="D28452" s="16" t="s">
        <v>15729</v>
      </c>
      <c r="E28452" s="2">
        <v>1863693</v>
      </c>
      <c r="F28452" s="4" t="str">
        <f>IF(B28452=B28451,"",B28452)</f>
        <v>GamagÅri</v>
      </c>
    </row>
    <row r="28453" spans="1:6" ht="15.75" customHeight="1">
      <c r="A28453" s="16" t="str">
        <f ca="1">IFERROR(__xludf.DUMMYFUNCTION("GOOGLETRANSLATE(B23322,""en"",""pt"")"),"Gálvez")</f>
        <v>Gálvez</v>
      </c>
      <c r="B28453" s="20" t="s">
        <v>31207</v>
      </c>
      <c r="C28453" s="20" t="s">
        <v>558</v>
      </c>
      <c r="D28453" s="20" t="s">
        <v>579</v>
      </c>
      <c r="E28453" s="10">
        <v>3855244</v>
      </c>
      <c r="F28453" s="4" t="e">
        <f>IF(B28453=#REF!,"",B28453)</f>
        <v>#REF!</v>
      </c>
    </row>
    <row r="28454" spans="1:6" ht="15.75" customHeight="1">
      <c r="A28454" s="16" t="s">
        <v>28712</v>
      </c>
      <c r="B28454" s="15" t="s">
        <v>28712</v>
      </c>
      <c r="C28454" s="16" t="s">
        <v>27788</v>
      </c>
      <c r="D28454" s="16" t="s">
        <v>27792</v>
      </c>
      <c r="E28454" s="2">
        <v>4692883</v>
      </c>
      <c r="F28454" s="4" t="e">
        <f>IF(B28454=#REF!,"",B28454)</f>
        <v>#REF!</v>
      </c>
    </row>
    <row r="28455" spans="1:6" ht="15.75" customHeight="1">
      <c r="A28455" s="15" t="s">
        <v>28711</v>
      </c>
      <c r="B28455" s="15" t="s">
        <v>28711</v>
      </c>
      <c r="C28455" s="15" t="s">
        <v>27788</v>
      </c>
      <c r="D28455" s="15" t="s">
        <v>27801</v>
      </c>
      <c r="E28455" s="2">
        <v>5351428</v>
      </c>
      <c r="F28455" s="4" t="e">
        <f>IF(B28455=#REF!,"",B28455)</f>
        <v>#REF!</v>
      </c>
    </row>
    <row r="28456" spans="1:6" ht="15.75" customHeight="1">
      <c r="A28456" s="15" t="s">
        <v>28710</v>
      </c>
      <c r="B28456" s="15" t="s">
        <v>28710</v>
      </c>
      <c r="C28456" s="15" t="s">
        <v>27788</v>
      </c>
      <c r="D28456" s="15" t="s">
        <v>27818</v>
      </c>
      <c r="E28456" s="2">
        <v>5468773</v>
      </c>
      <c r="F28456" s="4" t="e">
        <f>IF(B28456=#REF!,"",B28456)</f>
        <v>#REF!</v>
      </c>
    </row>
    <row r="28457" spans="1:6" ht="15.75" customHeight="1">
      <c r="A28457" s="15" t="s">
        <v>15164</v>
      </c>
      <c r="B28457" s="15" t="s">
        <v>15164</v>
      </c>
      <c r="C28457" s="15" t="s">
        <v>14891</v>
      </c>
      <c r="D28457" s="15" t="s">
        <v>14908</v>
      </c>
      <c r="E28457" s="2">
        <v>3176366</v>
      </c>
      <c r="F28457" s="4" t="e">
        <f>IF(B28457=#REF!,"",B28457)</f>
        <v>#REF!</v>
      </c>
    </row>
    <row r="28458" spans="1:6" ht="15.75" customHeight="1">
      <c r="A28458" s="15" t="s">
        <v>24943</v>
      </c>
      <c r="B28458" s="15" t="s">
        <v>24943</v>
      </c>
      <c r="C28458" s="15" t="s">
        <v>24924</v>
      </c>
      <c r="D28458" s="15" t="s">
        <v>1884</v>
      </c>
      <c r="E28458" s="2">
        <v>1246294</v>
      </c>
      <c r="F28458" s="4" t="e">
        <f>IF(B28458=#REF!,"",B28458)</f>
        <v>#REF!</v>
      </c>
    </row>
    <row r="28459" spans="1:6" ht="15.75" customHeight="1">
      <c r="A28459" s="15" t="s">
        <v>28709</v>
      </c>
      <c r="B28459" s="15" t="s">
        <v>28709</v>
      </c>
      <c r="C28459" s="15" t="s">
        <v>27788</v>
      </c>
      <c r="D28459" s="15" t="s">
        <v>27957</v>
      </c>
      <c r="E28459" s="2">
        <v>4624180</v>
      </c>
      <c r="F28459" s="4" t="e">
        <f>IF(B28459=#REF!,"",B28459)</f>
        <v>#REF!</v>
      </c>
    </row>
    <row r="28460" spans="1:6" ht="15.75" customHeight="1">
      <c r="A28460" s="15" t="s">
        <v>15162</v>
      </c>
      <c r="B28460" s="15" t="s">
        <v>15163</v>
      </c>
      <c r="C28460" s="15" t="s">
        <v>14891</v>
      </c>
      <c r="D28460" s="15" t="s">
        <v>14894</v>
      </c>
      <c r="E28460" s="2">
        <v>3176391</v>
      </c>
      <c r="F28460" s="4" t="e">
        <f>IF(B28460=#REF!,"",B28460)</f>
        <v>#REF!</v>
      </c>
    </row>
    <row r="28461" spans="1:6" ht="15.75" customHeight="1">
      <c r="A28461" s="15" t="s">
        <v>24942</v>
      </c>
      <c r="B28461" s="15" t="s">
        <v>24942</v>
      </c>
      <c r="C28461" s="15" t="s">
        <v>24924</v>
      </c>
      <c r="D28461" s="15" t="s">
        <v>6944</v>
      </c>
      <c r="E28461" s="2">
        <v>1246321</v>
      </c>
      <c r="F28461" s="4" t="e">
        <f>IF(B28461=#REF!,"",B28461)</f>
        <v>#REF!</v>
      </c>
    </row>
    <row r="28462" spans="1:6" ht="15.75" customHeight="1">
      <c r="A28462" s="15" t="s">
        <v>22384</v>
      </c>
      <c r="B28462" s="15" t="s">
        <v>22384</v>
      </c>
      <c r="C28462" s="15" t="s">
        <v>22070</v>
      </c>
      <c r="D28462" s="15" t="s">
        <v>22284</v>
      </c>
      <c r="E28462" s="2">
        <v>562161</v>
      </c>
      <c r="F28462" s="4" t="e">
        <f>IF(B28462=#REF!,"",B28462)</f>
        <v>#REF!</v>
      </c>
    </row>
    <row r="28463" spans="1:6" ht="15.75" customHeight="1">
      <c r="A28463" s="15" t="s">
        <v>13917</v>
      </c>
      <c r="B28463" s="15" t="s">
        <v>13917</v>
      </c>
      <c r="C28463" s="15" t="s">
        <v>13800</v>
      </c>
      <c r="D28463" s="15" t="s">
        <v>13918</v>
      </c>
      <c r="E28463" s="2">
        <v>1644605</v>
      </c>
      <c r="F28463" s="4" t="e">
        <f>IF(B28463=#REF!,"",B28463)</f>
        <v>#REF!</v>
      </c>
    </row>
    <row r="28464" spans="1:6" ht="15.75" customHeight="1">
      <c r="A28464" s="16" t="s">
        <v>28708</v>
      </c>
      <c r="B28464" s="15" t="s">
        <v>28708</v>
      </c>
      <c r="C28464" s="16" t="s">
        <v>27788</v>
      </c>
      <c r="D28464" s="16" t="s">
        <v>27799</v>
      </c>
      <c r="E28464" s="2">
        <v>4893392</v>
      </c>
      <c r="F28464" s="4" t="str">
        <f>IF(B28464=B28463,"",B28464)</f>
        <v>Galesburg</v>
      </c>
    </row>
    <row r="28465" spans="1:6" ht="15.75" customHeight="1">
      <c r="A28465" s="16" t="str">
        <f ca="1">IFERROR(__xludf.DUMMYFUNCTION("GOOGLETRANSLATE(B29119,""en"",""pt"")"),"Gáldar")</f>
        <v>Gáldar</v>
      </c>
      <c r="B28465" s="20" t="s">
        <v>32383</v>
      </c>
      <c r="C28465" s="20" t="s">
        <v>24200</v>
      </c>
      <c r="D28465" s="20" t="s">
        <v>24212</v>
      </c>
      <c r="E28465" s="10">
        <v>2517436</v>
      </c>
      <c r="F28465" s="4" t="e">
        <f>IF(B28465=#REF!,"",B28465)</f>
        <v>#REF!</v>
      </c>
    </row>
    <row r="28466" spans="1:6" ht="15.75" customHeight="1">
      <c r="A28466" s="15" t="s">
        <v>24479</v>
      </c>
      <c r="B28466" s="15" t="s">
        <v>24479</v>
      </c>
      <c r="C28466" s="15" t="s">
        <v>24200</v>
      </c>
      <c r="D28466" s="15" t="s">
        <v>24249</v>
      </c>
      <c r="E28466" s="2">
        <v>3121751</v>
      </c>
      <c r="F28466" s="4" t="str">
        <f>IF(B28466=B28465,"",B28466)</f>
        <v>Galdakao</v>
      </c>
    </row>
    <row r="28467" spans="1:6" ht="15.75" customHeight="1">
      <c r="A28467" s="16" t="str">
        <f ca="1">IFERROR(__xludf.DUMMYFUNCTION("GOOGLETRANSLATE(B31008,""en"",""pt"")"),"Galási")</f>
        <v>Galási</v>
      </c>
      <c r="B28467" s="20" t="s">
        <v>32716</v>
      </c>
      <c r="C28467" s="20" t="s">
        <v>9441</v>
      </c>
      <c r="D28467" s="20" t="s">
        <v>9445</v>
      </c>
      <c r="E28467" s="10">
        <v>262135</v>
      </c>
      <c r="F28467" s="4" t="e">
        <f>IF(B28467=#REF!,"",B28467)</f>
        <v>#REF!</v>
      </c>
    </row>
    <row r="28468" spans="1:6" ht="15.75" customHeight="1">
      <c r="A28468" s="15" t="s">
        <v>15161</v>
      </c>
      <c r="B28468" s="15" t="s">
        <v>15161</v>
      </c>
      <c r="C28468" s="15" t="s">
        <v>14891</v>
      </c>
      <c r="D28468" s="15" t="s">
        <v>14908</v>
      </c>
      <c r="E28468" s="2">
        <v>3176407</v>
      </c>
      <c r="F28468" s="4" t="str">
        <f>IF(B28468=B28467,"",B28468)</f>
        <v>Galatina</v>
      </c>
    </row>
    <row r="28469" spans="1:6" ht="15.75" customHeight="1">
      <c r="A28469" s="16" t="str">
        <f ca="1">IFERROR(__xludf.DUMMYFUNCTION("GOOGLETRANSLATE(B39791,""en"",""pt"")"),"Galaţi")</f>
        <v>Galaţi</v>
      </c>
      <c r="B28469" s="20" t="s">
        <v>35348</v>
      </c>
      <c r="C28469" s="20" t="s">
        <v>21824</v>
      </c>
      <c r="D28469" s="20" t="s">
        <v>35348</v>
      </c>
      <c r="E28469" s="10">
        <v>677697</v>
      </c>
      <c r="F28469" s="4" t="e">
        <f>IF(B28469=#REF!,"",B28469)</f>
        <v>#REF!</v>
      </c>
    </row>
    <row r="28470" spans="1:6" ht="15.75" customHeight="1">
      <c r="A28470" s="15" t="s">
        <v>25594</v>
      </c>
      <c r="B28470" s="15" t="s">
        <v>25594</v>
      </c>
      <c r="C28470" s="15" t="s">
        <v>25560</v>
      </c>
      <c r="D28470" s="15" t="s">
        <v>25562</v>
      </c>
      <c r="E28470" s="2">
        <v>159951</v>
      </c>
      <c r="F28470" s="4" t="e">
        <f>IF(B28470=#REF!,"",B28470)</f>
        <v>#REF!</v>
      </c>
    </row>
    <row r="28471" spans="1:6" ht="15.75" customHeight="1">
      <c r="A28471" s="16" t="s">
        <v>24478</v>
      </c>
      <c r="B28471" s="15" t="s">
        <v>24478</v>
      </c>
      <c r="C28471" s="16" t="s">
        <v>24200</v>
      </c>
      <c r="D28471" s="16" t="s">
        <v>5513</v>
      </c>
      <c r="E28471" s="2">
        <v>3121766</v>
      </c>
      <c r="F28471" s="4" t="e">
        <f>IF(B28471=#REF!,"",B28471)</f>
        <v>#REF!</v>
      </c>
    </row>
    <row r="28472" spans="1:6" ht="15.75" customHeight="1">
      <c r="A28472" s="15" t="s">
        <v>5477</v>
      </c>
      <c r="B28472" s="15" t="s">
        <v>5477</v>
      </c>
      <c r="C28472" s="15" t="s">
        <v>5348</v>
      </c>
      <c r="D28472" s="15" t="s">
        <v>5378</v>
      </c>
      <c r="E28472" s="2">
        <v>3682238</v>
      </c>
      <c r="F28472" s="4" t="e">
        <f>IF(B28472=#REF!,"",B28472)</f>
        <v>#REF!</v>
      </c>
    </row>
    <row r="28473" spans="1:6" ht="15.75" customHeight="1">
      <c r="A28473" s="15" t="s">
        <v>30540</v>
      </c>
      <c r="B28473" s="15" t="s">
        <v>30540</v>
      </c>
      <c r="C28473" s="15" t="s">
        <v>30502</v>
      </c>
      <c r="D28473" s="15" t="s">
        <v>30519</v>
      </c>
      <c r="E28473" s="2">
        <v>1217340</v>
      </c>
      <c r="F28473" s="4" t="e">
        <f>IF(B28473=#REF!,"",B28473)</f>
        <v>#REF!</v>
      </c>
    </row>
    <row r="28474" spans="1:6" ht="15.75" customHeight="1">
      <c r="A28474" s="15" t="s">
        <v>23719</v>
      </c>
      <c r="B28474" s="15" t="s">
        <v>23719</v>
      </c>
      <c r="C28474" s="15" t="s">
        <v>23694</v>
      </c>
      <c r="D28474" s="15" t="s">
        <v>23718</v>
      </c>
      <c r="E28474" s="2">
        <v>3060219</v>
      </c>
      <c r="F28474" s="4" t="e">
        <f>IF(B28474=#REF!,"",B28474)</f>
        <v>#REF!</v>
      </c>
    </row>
    <row r="28475" spans="1:6" ht="15.75" customHeight="1">
      <c r="A28475" s="16" t="s">
        <v>26132</v>
      </c>
      <c r="B28475" s="15" t="s">
        <v>26133</v>
      </c>
      <c r="C28475" s="16" t="s">
        <v>26090</v>
      </c>
      <c r="D28475" s="16" t="s">
        <v>26098</v>
      </c>
      <c r="E28475" s="2">
        <v>2468329</v>
      </c>
      <c r="F28475" s="4" t="str">
        <f>IF(B28475=B28474,"",B28475)</f>
        <v>Galaat el Andeless</v>
      </c>
    </row>
    <row r="28476" spans="1:6" ht="15.75" customHeight="1">
      <c r="A28476" s="15" t="s">
        <v>21935</v>
      </c>
      <c r="B28476" s="15" t="s">
        <v>21936</v>
      </c>
      <c r="C28476" s="15" t="s">
        <v>21824</v>
      </c>
      <c r="D28476" s="15" t="s">
        <v>21936</v>
      </c>
      <c r="E28476" s="2">
        <v>677697</v>
      </c>
      <c r="F28476" s="4" t="str">
        <f>IF(B28476=B28475,"",B28476)</f>
        <v>GalaÅ£i</v>
      </c>
    </row>
    <row r="28477" spans="1:6" ht="15.75" customHeight="1">
      <c r="A28477" s="15" t="s">
        <v>9514</v>
      </c>
      <c r="B28477" s="15" t="s">
        <v>9515</v>
      </c>
      <c r="C28477" s="15" t="s">
        <v>9441</v>
      </c>
      <c r="D28477" s="15" t="s">
        <v>9445</v>
      </c>
      <c r="E28477" s="2">
        <v>262135</v>
      </c>
      <c r="F28477" s="4" t="e">
        <f>IF(B28477=#REF!,"",B28477)</f>
        <v>#REF!</v>
      </c>
    </row>
    <row r="28478" spans="1:6" ht="15.75" customHeight="1">
      <c r="A28478" s="15" t="s">
        <v>11285</v>
      </c>
      <c r="B28478" s="15" t="s">
        <v>11285</v>
      </c>
      <c r="C28478" s="15" t="s">
        <v>10178</v>
      </c>
      <c r="D28478" s="15" t="s">
        <v>10190</v>
      </c>
      <c r="E28478" s="2">
        <v>7302833</v>
      </c>
      <c r="F28478" s="4" t="e">
        <f>IF(B28478=#REF!,"",B28478)</f>
        <v>#REF!</v>
      </c>
    </row>
    <row r="28479" spans="1:6" ht="15.75" customHeight="1">
      <c r="A28479" s="15" t="s">
        <v>11284</v>
      </c>
      <c r="B28479" s="15" t="s">
        <v>11284</v>
      </c>
      <c r="C28479" s="15" t="s">
        <v>10178</v>
      </c>
      <c r="D28479" s="15" t="s">
        <v>10193</v>
      </c>
      <c r="E28479" s="2">
        <v>1271780</v>
      </c>
      <c r="F28479" s="4" t="e">
        <f>IF(B28479=#REF!,"",B28479)</f>
        <v>#REF!</v>
      </c>
    </row>
    <row r="28480" spans="1:6" ht="15.75" customHeight="1">
      <c r="A28480" s="16" t="s">
        <v>11283</v>
      </c>
      <c r="B28480" s="15" t="s">
        <v>11283</v>
      </c>
      <c r="C28480" s="16" t="s">
        <v>10178</v>
      </c>
      <c r="D28480" s="16" t="s">
        <v>10252</v>
      </c>
      <c r="E28480" s="2">
        <v>1271789</v>
      </c>
      <c r="F28480" s="4" t="e">
        <f>IF(B28480=#REF!,"",B28480)</f>
        <v>#REF!</v>
      </c>
    </row>
    <row r="28481" spans="1:6" ht="15.75" customHeight="1">
      <c r="A28481" s="16" t="s">
        <v>28707</v>
      </c>
      <c r="B28481" s="15" t="s">
        <v>28707</v>
      </c>
      <c r="C28481" s="16" t="s">
        <v>27788</v>
      </c>
      <c r="D28481" s="16" t="s">
        <v>17061</v>
      </c>
      <c r="E28481" s="2">
        <v>4355843</v>
      </c>
      <c r="F28481" s="4" t="e">
        <f>IF(B28481=#REF!,"",B28481)</f>
        <v>#REF!</v>
      </c>
    </row>
    <row r="28482" spans="1:6" ht="15.75" customHeight="1">
      <c r="A28482" s="16" t="s">
        <v>28706</v>
      </c>
      <c r="B28482" s="15" t="s">
        <v>28706</v>
      </c>
      <c r="C28482" s="16" t="s">
        <v>27788</v>
      </c>
      <c r="D28482" s="16" t="s">
        <v>5468</v>
      </c>
      <c r="E28482" s="2">
        <v>4156404</v>
      </c>
      <c r="F28482" s="4" t="e">
        <f>IF(B28482=#REF!,"",B28482)</f>
        <v>#REF!</v>
      </c>
    </row>
    <row r="28483" spans="1:6" ht="15.75" customHeight="1">
      <c r="A28483" s="15" t="s">
        <v>14748</v>
      </c>
      <c r="B28483" s="15" t="s">
        <v>14748</v>
      </c>
      <c r="C28483" s="15" t="s">
        <v>14728</v>
      </c>
      <c r="D28483" s="15" t="s">
        <v>14749</v>
      </c>
      <c r="E28483" s="2">
        <v>2964180</v>
      </c>
      <c r="F28483" s="4" t="e">
        <f>IF(B28483=#REF!,"",B28483)</f>
        <v>#REF!</v>
      </c>
    </row>
    <row r="28484" spans="1:6" ht="15.75" customHeight="1">
      <c r="A28484" s="15" t="s">
        <v>24060</v>
      </c>
      <c r="B28484" s="15" t="s">
        <v>24061</v>
      </c>
      <c r="C28484" s="15" t="s">
        <v>24024</v>
      </c>
      <c r="D28484" s="15" t="s">
        <v>24062</v>
      </c>
      <c r="E28484" s="2">
        <v>1847050</v>
      </c>
      <c r="F28484" s="4" t="e">
        <f>IF(B28484=#REF!,"",B28484)</f>
        <v>#REF!</v>
      </c>
    </row>
    <row r="28485" spans="1:6" ht="15.75" customHeight="1">
      <c r="A28485" s="15" t="s">
        <v>28705</v>
      </c>
      <c r="B28485" s="15" t="s">
        <v>28705</v>
      </c>
      <c r="C28485" s="15" t="s">
        <v>27788</v>
      </c>
      <c r="D28485" s="15" t="s">
        <v>27813</v>
      </c>
      <c r="E28485" s="2">
        <v>5155393</v>
      </c>
      <c r="F28485" s="4" t="e">
        <f>IF(B28485=#REF!,"",B28485)</f>
        <v>#REF!</v>
      </c>
    </row>
    <row r="28486" spans="1:6" ht="15.75" customHeight="1">
      <c r="A28486" s="15" t="s">
        <v>7362</v>
      </c>
      <c r="B28486" s="15" t="s">
        <v>7362</v>
      </c>
      <c r="C28486" s="15" t="s">
        <v>7052</v>
      </c>
      <c r="D28486" s="15" t="s">
        <v>7058</v>
      </c>
      <c r="E28486" s="2">
        <v>3016830</v>
      </c>
      <c r="F28486" s="4" t="e">
        <f>IF(B28486=#REF!,"",B28486)</f>
        <v>#REF!</v>
      </c>
    </row>
    <row r="28487" spans="1:6" ht="15.75" customHeight="1">
      <c r="A28487" s="15" t="s">
        <v>15642</v>
      </c>
      <c r="B28487" s="15" t="s">
        <v>15642</v>
      </c>
      <c r="C28487" s="15" t="s">
        <v>15586</v>
      </c>
      <c r="D28487" s="15" t="s">
        <v>15643</v>
      </c>
      <c r="E28487" s="2">
        <v>2288829</v>
      </c>
      <c r="F28487" s="4" t="e">
        <f>IF(B28487=#REF!,"",B28487)</f>
        <v>#REF!</v>
      </c>
    </row>
    <row r="28488" spans="1:6" ht="15.75" customHeight="1">
      <c r="A28488" s="16" t="s">
        <v>8439</v>
      </c>
      <c r="B28488" s="15" t="s">
        <v>8439</v>
      </c>
      <c r="C28488" s="16" t="s">
        <v>8028</v>
      </c>
      <c r="D28488" s="16" t="s">
        <v>8031</v>
      </c>
      <c r="E28488" s="2">
        <v>2923362</v>
      </c>
      <c r="F28488" s="4" t="e">
        <f>IF(B28488=#REF!,"",B28488)</f>
        <v>#REF!</v>
      </c>
    </row>
    <row r="28489" spans="1:6" ht="15.75" customHeight="1">
      <c r="A28489" s="15" t="s">
        <v>22383</v>
      </c>
      <c r="B28489" s="15" t="s">
        <v>22383</v>
      </c>
      <c r="C28489" s="15" t="s">
        <v>22070</v>
      </c>
      <c r="D28489" s="15" t="s">
        <v>22336</v>
      </c>
      <c r="E28489" s="2">
        <v>562237</v>
      </c>
      <c r="F28489" s="4" t="e">
        <f>IF(B28489=#REF!,"",B28489)</f>
        <v>#REF!</v>
      </c>
    </row>
    <row r="28490" spans="1:6" ht="15.75" customHeight="1">
      <c r="A28490" s="15" t="s">
        <v>26131</v>
      </c>
      <c r="B28490" s="15" t="s">
        <v>26097</v>
      </c>
      <c r="C28490" s="15" t="s">
        <v>26090</v>
      </c>
      <c r="D28490" s="15" t="s">
        <v>26097</v>
      </c>
      <c r="E28490" s="2">
        <v>2468353</v>
      </c>
      <c r="F28490" s="4" t="str">
        <f>IF(B28490=B28489,"",B28490)</f>
        <v>Gafsa</v>
      </c>
    </row>
    <row r="28491" spans="1:6" ht="15.75" customHeight="1">
      <c r="A28491" s="15" t="s">
        <v>21932</v>
      </c>
      <c r="B28491" s="15" t="s">
        <v>21933</v>
      </c>
      <c r="C28491" s="15" t="s">
        <v>21824</v>
      </c>
      <c r="D28491" s="15" t="s">
        <v>21934</v>
      </c>
      <c r="E28491" s="2">
        <v>677742</v>
      </c>
      <c r="F28491" s="4" t="e">
        <f>IF(B28491=#REF!,"",B28491)</f>
        <v>#REF!</v>
      </c>
    </row>
    <row r="28492" spans="1:6" ht="15.75" customHeight="1">
      <c r="A28492" s="16" t="s">
        <v>1343</v>
      </c>
      <c r="B28492" s="15" t="s">
        <v>1343</v>
      </c>
      <c r="C28492" s="16" t="s">
        <v>1296</v>
      </c>
      <c r="D28492" s="16" t="s">
        <v>1297</v>
      </c>
      <c r="E28492" s="2">
        <v>1185218</v>
      </c>
      <c r="F28492" s="4" t="e">
        <f>IF(B28492=#REF!,"",B28492)</f>
        <v>#REF!</v>
      </c>
    </row>
    <row r="28493" spans="1:6" ht="15.75" customHeight="1">
      <c r="A28493" s="15" t="s">
        <v>15160</v>
      </c>
      <c r="B28493" s="15" t="s">
        <v>15160</v>
      </c>
      <c r="C28493" s="15" t="s">
        <v>14891</v>
      </c>
      <c r="D28493" s="15" t="s">
        <v>14904</v>
      </c>
      <c r="E28493" s="2">
        <v>3176438</v>
      </c>
      <c r="F28493" s="4" t="str">
        <f>IF(B28493=B28492,"",B28493)</f>
        <v>Gaeta</v>
      </c>
    </row>
    <row r="28494" spans="1:6" ht="15.75" customHeight="1">
      <c r="A28494" s="16" t="str">
        <f ca="1">IFERROR(__xludf.DUMMYFUNCTION("GOOGLETRANSLATE(B39792,""en"",""pt"")"),"Găeşti")</f>
        <v>Găeşti</v>
      </c>
      <c r="B28494" s="20" t="s">
        <v>35381</v>
      </c>
      <c r="C28494" s="20" t="s">
        <v>21824</v>
      </c>
      <c r="D28494" s="20" t="s">
        <v>35345</v>
      </c>
      <c r="E28494" s="10">
        <v>677742</v>
      </c>
      <c r="F28494" s="4" t="str">
        <f>IF(B28494=B28493,"",B28494)</f>
        <v>Găeşti</v>
      </c>
    </row>
    <row r="28495" spans="1:6" ht="15.75" customHeight="1">
      <c r="A28495" s="16" t="str">
        <f ca="1">IFERROR(__xludf.DUMMYFUNCTION("GOOGLETRANSLATE(B33497,""en"",""pt"")"),"Gadwāl")</f>
        <v>Gadwāl</v>
      </c>
      <c r="B28495" s="20" t="s">
        <v>33734</v>
      </c>
      <c r="C28495" s="20" t="s">
        <v>10178</v>
      </c>
      <c r="D28495" s="20" t="s">
        <v>10187</v>
      </c>
      <c r="E28495" s="10">
        <v>1271819</v>
      </c>
      <c r="F28495" s="4" t="str">
        <f>IF(B28495=B28494,"",B28495)</f>
        <v>Gadwāl</v>
      </c>
    </row>
    <row r="28496" spans="1:6" ht="15.75" customHeight="1">
      <c r="A28496" s="15" t="s">
        <v>11281</v>
      </c>
      <c r="B28496" s="15" t="s">
        <v>11282</v>
      </c>
      <c r="C28496" s="15" t="s">
        <v>10178</v>
      </c>
      <c r="D28496" s="15" t="s">
        <v>10187</v>
      </c>
      <c r="E28496" s="2">
        <v>1271819</v>
      </c>
      <c r="F28496" s="4" t="e">
        <f>IF(B28496=#REF!,"",B28496)</f>
        <v>#REF!</v>
      </c>
    </row>
    <row r="28497" spans="1:6" ht="15.75" customHeight="1">
      <c r="A28497" s="15" t="s">
        <v>28704</v>
      </c>
      <c r="B28497" s="15" t="s">
        <v>28704</v>
      </c>
      <c r="C28497" s="15" t="s">
        <v>27788</v>
      </c>
      <c r="D28497" s="15" t="s">
        <v>28023</v>
      </c>
      <c r="E28497" s="2">
        <v>4063619</v>
      </c>
      <c r="F28497" s="4" t="e">
        <f>IF(B28497=#REF!,"",B28497)</f>
        <v>#REF!</v>
      </c>
    </row>
    <row r="28498" spans="1:6" ht="15.75" customHeight="1">
      <c r="A28498" s="16" t="s">
        <v>11280</v>
      </c>
      <c r="B28498" s="15" t="s">
        <v>11280</v>
      </c>
      <c r="C28498" s="16" t="s">
        <v>10178</v>
      </c>
      <c r="D28498" s="16" t="s">
        <v>10214</v>
      </c>
      <c r="E28498" s="2">
        <v>1271834</v>
      </c>
      <c r="F28498" s="4" t="e">
        <f>IF(B28498=#REF!,"",B28498)</f>
        <v>#REF!</v>
      </c>
    </row>
    <row r="28499" spans="1:6" ht="15.75" customHeight="1">
      <c r="A28499" s="15" t="s">
        <v>11279</v>
      </c>
      <c r="B28499" s="15" t="s">
        <v>11279</v>
      </c>
      <c r="C28499" s="15" t="s">
        <v>10178</v>
      </c>
      <c r="D28499" s="15" t="s">
        <v>10209</v>
      </c>
      <c r="E28499" s="2">
        <v>1271839</v>
      </c>
      <c r="F28499" s="4" t="e">
        <f>IF(B28499=#REF!,"",B28499)</f>
        <v>#REF!</v>
      </c>
    </row>
    <row r="28500" spans="1:6" ht="15.75" customHeight="1">
      <c r="A28500" s="16" t="s">
        <v>11278</v>
      </c>
      <c r="B28500" s="15" t="s">
        <v>11278</v>
      </c>
      <c r="C28500" s="16" t="s">
        <v>10178</v>
      </c>
      <c r="D28500" s="16" t="s">
        <v>10187</v>
      </c>
      <c r="E28500" s="2">
        <v>7302810</v>
      </c>
      <c r="F28500" s="4" t="str">
        <f>IF(B28500=B28499,"",B28500)</f>
        <v>Gaddi Annaram</v>
      </c>
    </row>
    <row r="28501" spans="1:6" ht="15.75" customHeight="1">
      <c r="A28501" s="16" t="str">
        <f ca="1">IFERROR(__xludf.DUMMYFUNCTION("GOOGLETRANSLATE(B33500,""en"",""pt"")"),"Gādarwāra")</f>
        <v>Gādarwāra</v>
      </c>
      <c r="B28501" s="20" t="s">
        <v>33735</v>
      </c>
      <c r="C28501" s="20" t="s">
        <v>10178</v>
      </c>
      <c r="D28501" s="20" t="s">
        <v>10219</v>
      </c>
      <c r="E28501" s="10">
        <v>1271847</v>
      </c>
      <c r="F28501" s="4" t="e">
        <f>IF(B28501=#REF!,"",B28501)</f>
        <v>#REF!</v>
      </c>
    </row>
    <row r="28502" spans="1:6" ht="15.75" customHeight="1">
      <c r="A28502" s="15" t="s">
        <v>11277</v>
      </c>
      <c r="B28502" s="15" t="s">
        <v>11277</v>
      </c>
      <c r="C28502" s="15" t="s">
        <v>10178</v>
      </c>
      <c r="D28502" s="15" t="s">
        <v>10252</v>
      </c>
      <c r="E28502" s="2">
        <v>1271850</v>
      </c>
      <c r="F28502" s="4" t="e">
        <f>IF(B28502=#REF!,"",B28502)</f>
        <v>#REF!</v>
      </c>
    </row>
    <row r="28503" spans="1:6" ht="15.75" customHeight="1">
      <c r="A28503" s="15" t="s">
        <v>3719</v>
      </c>
      <c r="B28503" s="15" t="s">
        <v>3719</v>
      </c>
      <c r="C28503" s="15" t="s">
        <v>3701</v>
      </c>
      <c r="D28503" s="15" t="s">
        <v>3719</v>
      </c>
      <c r="E28503" s="2">
        <v>731549</v>
      </c>
      <c r="F28503" s="4" t="e">
        <f>IF(B28503=#REF!,"",B28503)</f>
        <v>#REF!</v>
      </c>
    </row>
    <row r="28504" spans="1:6" ht="15.75" customHeight="1">
      <c r="A28504" s="16" t="s">
        <v>1880</v>
      </c>
      <c r="B28504" s="15" t="s">
        <v>1880</v>
      </c>
      <c r="C28504" s="16" t="s">
        <v>1878</v>
      </c>
      <c r="D28504" s="16" t="s">
        <v>1881</v>
      </c>
      <c r="E28504" s="2">
        <v>933773</v>
      </c>
      <c r="F28504" s="4" t="str">
        <f>IF(B28504=B28503,"",B28504)</f>
        <v>Gaborone</v>
      </c>
    </row>
    <row r="28505" spans="1:6" ht="15.75" customHeight="1">
      <c r="A28505" s="16" t="str">
        <f ca="1">IFERROR(__xludf.DUMMYFUNCTION("GOOGLETRANSLATE(B41814,""en"",""pt"")"),"Gabès")</f>
        <v>Gabès</v>
      </c>
      <c r="B28505" s="20" t="s">
        <v>35805</v>
      </c>
      <c r="C28505" s="20" t="s">
        <v>26090</v>
      </c>
      <c r="D28505" s="20" t="s">
        <v>35806</v>
      </c>
      <c r="E28505" s="10">
        <v>2468369</v>
      </c>
      <c r="F28505" s="4" t="str">
        <f>IF(B28505=B28504,"",B28505)</f>
        <v>Gabès</v>
      </c>
    </row>
    <row r="28506" spans="1:6" ht="15.75" customHeight="1">
      <c r="A28506" s="15" t="s">
        <v>26129</v>
      </c>
      <c r="B28506" s="15" t="s">
        <v>26130</v>
      </c>
      <c r="C28506" s="15" t="s">
        <v>26090</v>
      </c>
      <c r="D28506" s="15" t="s">
        <v>26125</v>
      </c>
      <c r="E28506" s="2">
        <v>2468369</v>
      </c>
      <c r="F28506" s="4" t="e">
        <f>IF(B28506=#REF!,"",B28506)</f>
        <v>#REF!</v>
      </c>
    </row>
    <row r="28507" spans="1:6" ht="15.75" customHeight="1">
      <c r="A28507" s="16" t="s">
        <v>23821</v>
      </c>
      <c r="B28507" s="15" t="s">
        <v>23821</v>
      </c>
      <c r="C28507" s="16" t="s">
        <v>23800</v>
      </c>
      <c r="D28507" s="16" t="s">
        <v>23822</v>
      </c>
      <c r="E28507" s="2">
        <v>59611</v>
      </c>
      <c r="F28507" s="4" t="str">
        <f>IF(B28507=B28506,"",B28507)</f>
        <v>Gaalkacyo</v>
      </c>
    </row>
    <row r="28508" spans="1:6" ht="15.75" customHeight="1">
      <c r="A28508" s="15" t="s">
        <v>8437</v>
      </c>
      <c r="B28508" s="15" t="s">
        <v>8438</v>
      </c>
      <c r="C28508" s="15" t="s">
        <v>8028</v>
      </c>
      <c r="D28508" s="15" t="s">
        <v>8029</v>
      </c>
      <c r="E28508" s="2">
        <v>2913366</v>
      </c>
      <c r="F28508" s="4" t="str">
        <f>IF(B28508=B28507,"",B28508)</f>
        <v>GÃ¼tersloh</v>
      </c>
    </row>
    <row r="28509" spans="1:6" ht="15.75" customHeight="1">
      <c r="A28509" s="15" t="s">
        <v>8434</v>
      </c>
      <c r="B28509" s="15" t="s">
        <v>8435</v>
      </c>
      <c r="C28509" s="15" t="s">
        <v>8028</v>
      </c>
      <c r="D28509" s="15" t="s">
        <v>8436</v>
      </c>
      <c r="E28509" s="2">
        <v>2913433</v>
      </c>
      <c r="F28509" s="4" t="str">
        <f>IF(B28509=B28508,"",B28509)</f>
        <v>GÃ¼strow</v>
      </c>
    </row>
    <row r="28510" spans="1:6" ht="15.75" customHeight="1">
      <c r="A28510" s="15" t="s">
        <v>26515</v>
      </c>
      <c r="B28510" s="15" t="s">
        <v>26516</v>
      </c>
      <c r="C28510" s="15" t="s">
        <v>26201</v>
      </c>
      <c r="D28510" s="15" t="s">
        <v>26205</v>
      </c>
      <c r="E28510" s="2">
        <v>746232</v>
      </c>
      <c r="F28510" s="4" t="str">
        <f>IF(B28510=B28509,"",B28510)</f>
        <v>GÃ¼rsu</v>
      </c>
    </row>
    <row r="28511" spans="1:6" ht="15.75" customHeight="1">
      <c r="A28511" s="16" t="s">
        <v>26513</v>
      </c>
      <c r="B28511" s="15" t="s">
        <v>26514</v>
      </c>
      <c r="C28511" s="16" t="s">
        <v>26201</v>
      </c>
      <c r="D28511" s="16" t="s">
        <v>26211</v>
      </c>
      <c r="E28511" s="2">
        <v>746234</v>
      </c>
      <c r="F28511" s="4" t="str">
        <f>IF(B28511=B28510,"",B28511)</f>
        <v>GÃ¼rpÄ±nar</v>
      </c>
    </row>
    <row r="28512" spans="1:6" ht="15.75" customHeight="1">
      <c r="A28512" s="16" t="s">
        <v>26511</v>
      </c>
      <c r="B28512" s="15" t="s">
        <v>26512</v>
      </c>
      <c r="C28512" s="16" t="s">
        <v>26201</v>
      </c>
      <c r="D28512" s="16" t="s">
        <v>26280</v>
      </c>
      <c r="E28512" s="2">
        <v>313331</v>
      </c>
      <c r="F28512" s="4" t="str">
        <f>IF(B28512=B28511,"",B28512)</f>
        <v>GÃ¼roymak</v>
      </c>
    </row>
    <row r="28513" spans="1:6" ht="15.75" customHeight="1">
      <c r="A28513" s="16" t="s">
        <v>26509</v>
      </c>
      <c r="B28513" s="15" t="s">
        <v>26510</v>
      </c>
      <c r="C28513" s="16" t="s">
        <v>26201</v>
      </c>
      <c r="D28513" s="16" t="s">
        <v>26321</v>
      </c>
      <c r="E28513" s="2">
        <v>746252</v>
      </c>
      <c r="F28513" s="4" t="str">
        <f>IF(B28513=B28512,"",B28513)</f>
        <v>GÃ¼rgentepe</v>
      </c>
    </row>
    <row r="28514" spans="1:6" ht="15.75" customHeight="1">
      <c r="A28514" s="15" t="s">
        <v>8432</v>
      </c>
      <c r="B28514" s="15" t="s">
        <v>8433</v>
      </c>
      <c r="C28514" s="15" t="s">
        <v>8028</v>
      </c>
      <c r="D28514" s="15" t="s">
        <v>8044</v>
      </c>
      <c r="E28514" s="2">
        <v>2913555</v>
      </c>
      <c r="F28514" s="4" t="str">
        <f>IF(B28514=B28513,"",B28514)</f>
        <v>GÃ¼nzburg</v>
      </c>
    </row>
    <row r="28515" spans="1:6" ht="15.75" customHeight="1">
      <c r="A28515" s="16" t="s">
        <v>26507</v>
      </c>
      <c r="B28515" s="15" t="s">
        <v>26508</v>
      </c>
      <c r="C28515" s="16" t="s">
        <v>26201</v>
      </c>
      <c r="D28515" s="16" t="s">
        <v>26211</v>
      </c>
      <c r="E28515" s="2">
        <v>6354985</v>
      </c>
      <c r="F28515" s="4" t="str">
        <f>IF(B28515=B28514,"",B28515)</f>
        <v>gÃ¼ngÃ¶ren merter</v>
      </c>
    </row>
    <row r="28516" spans="1:6" ht="15.75" customHeight="1">
      <c r="A28516" s="15" t="s">
        <v>30694</v>
      </c>
      <c r="B28516" s="15" t="s">
        <v>30695</v>
      </c>
      <c r="C28516" s="15" t="s">
        <v>5923</v>
      </c>
      <c r="D28516" s="15" t="s">
        <v>1829</v>
      </c>
      <c r="E28516" s="2">
        <v>3639725</v>
      </c>
      <c r="F28516" s="4" t="str">
        <f>IF(B28516=B28515,"",B28516)</f>
        <v>GÃ¼iria</v>
      </c>
    </row>
    <row r="28517" spans="1:6" ht="15.75" customHeight="1">
      <c r="A28517" s="16" t="s">
        <v>5838</v>
      </c>
      <c r="B28517" s="15" t="s">
        <v>5839</v>
      </c>
      <c r="C28517" s="16" t="s">
        <v>5764</v>
      </c>
      <c r="D28517" s="16" t="s">
        <v>5771</v>
      </c>
      <c r="E28517" s="2">
        <v>3557347</v>
      </c>
      <c r="F28517" s="4" t="str">
        <f>IF(B28517=B28516,"",B28517)</f>
        <v>GÃ¼ira de Melena</v>
      </c>
    </row>
    <row r="28518" spans="1:6" ht="15.75" customHeight="1">
      <c r="A28518" s="15" t="s">
        <v>5836</v>
      </c>
      <c r="B28518" s="15" t="s">
        <v>5837</v>
      </c>
      <c r="C28518" s="15" t="s">
        <v>5764</v>
      </c>
      <c r="D28518" s="15" t="s">
        <v>5792</v>
      </c>
      <c r="E28518" s="2">
        <v>3557378</v>
      </c>
      <c r="F28518" s="4" t="str">
        <f>IF(B28518=B28517,"",B28518)</f>
        <v>GÃ¼ines</v>
      </c>
    </row>
    <row r="28519" spans="1:6" ht="15.75" customHeight="1">
      <c r="A28519" s="15" t="s">
        <v>24476</v>
      </c>
      <c r="B28519" s="15" t="s">
        <v>24477</v>
      </c>
      <c r="C28519" s="15" t="s">
        <v>24200</v>
      </c>
      <c r="D28519" s="15" t="s">
        <v>24212</v>
      </c>
      <c r="E28519" s="2">
        <v>2516852</v>
      </c>
      <c r="F28519" s="4" t="str">
        <f>IF(B28519=B28518,"",B28519)</f>
        <v>GÃ¼imar</v>
      </c>
    </row>
    <row r="28520" spans="1:6" ht="15.75" customHeight="1">
      <c r="A28520" s="15" t="s">
        <v>30691</v>
      </c>
      <c r="B28520" s="15" t="s">
        <v>30692</v>
      </c>
      <c r="C28520" s="15" t="s">
        <v>5923</v>
      </c>
      <c r="D28520" s="15" t="s">
        <v>30693</v>
      </c>
      <c r="E28520" s="2">
        <v>3639747</v>
      </c>
      <c r="F28520" s="4" t="str">
        <f>IF(B28520=B28519,"",B28520)</f>
        <v>GÃ¼igÃ¼e</v>
      </c>
    </row>
    <row r="28521" spans="1:6" ht="15.75" customHeight="1">
      <c r="A28521" s="16" t="s">
        <v>15893</v>
      </c>
      <c r="B28521" s="15" t="s">
        <v>15894</v>
      </c>
      <c r="C28521" s="16" t="s">
        <v>15704</v>
      </c>
      <c r="D28521" s="16" t="s">
        <v>15740</v>
      </c>
      <c r="E28521" s="2">
        <v>1863521</v>
      </c>
      <c r="F28521" s="4" t="str">
        <f>IF(B28521=B28520,"",B28521)</f>
        <v>GÅtsuchÅ</v>
      </c>
    </row>
    <row r="28522" spans="1:6" ht="15.75" customHeight="1">
      <c r="A28522" s="16" t="s">
        <v>11275</v>
      </c>
      <c r="B28522" s="15" t="s">
        <v>11276</v>
      </c>
      <c r="C28522" s="16" t="s">
        <v>10178</v>
      </c>
      <c r="D28522" s="16" t="s">
        <v>10209</v>
      </c>
      <c r="E28522" s="2">
        <v>1271717</v>
      </c>
      <c r="F28522" s="4" t="str">
        <f>IF(B28522=B28521,"",B28522)</f>
        <v>GÄndhÄ«dhÄm</v>
      </c>
    </row>
    <row r="28523" spans="1:6" ht="15.75" customHeight="1">
      <c r="A28523" s="16" t="s">
        <v>11273</v>
      </c>
      <c r="B28523" s="15" t="s">
        <v>11274</v>
      </c>
      <c r="C28523" s="16" t="s">
        <v>10178</v>
      </c>
      <c r="D28523" s="16" t="s">
        <v>10355</v>
      </c>
      <c r="E28523" s="2">
        <v>1271729</v>
      </c>
      <c r="F28523" s="4" t="str">
        <f>IF(B28523=B28522,"",B28523)</f>
        <v>GÄndarbal</v>
      </c>
    </row>
    <row r="28524" spans="1:6" ht="15.75" customHeight="1">
      <c r="A28524" s="15" t="s">
        <v>15891</v>
      </c>
      <c r="B28524" s="15" t="s">
        <v>15892</v>
      </c>
      <c r="C28524" s="15" t="s">
        <v>15704</v>
      </c>
      <c r="D28524" s="15" t="s">
        <v>15748</v>
      </c>
      <c r="E28524" s="2">
        <v>1863611</v>
      </c>
      <c r="F28524" s="4" t="str">
        <f>IF(B28524=B28523,"",B28524)</f>
        <v>GÅdo</v>
      </c>
    </row>
    <row r="28525" spans="1:6" ht="15.75" customHeight="1">
      <c r="A28525" s="16" t="s">
        <v>11271</v>
      </c>
      <c r="B28525" s="15" t="s">
        <v>11272</v>
      </c>
      <c r="C28525" s="16" t="s">
        <v>10178</v>
      </c>
      <c r="D28525" s="16" t="s">
        <v>10219</v>
      </c>
      <c r="E28525" s="2">
        <v>1271847</v>
      </c>
      <c r="F28525" s="4" t="str">
        <f>IF(B28525=B28524,"",B28525)</f>
        <v>GÄdarwÄra</v>
      </c>
    </row>
    <row r="28526" spans="1:6" ht="15.75" customHeight="1">
      <c r="A28526" s="15" t="s">
        <v>8430</v>
      </c>
      <c r="B28526" s="15" t="s">
        <v>8431</v>
      </c>
      <c r="C28526" s="15" t="s">
        <v>8028</v>
      </c>
      <c r="D28526" s="15" t="s">
        <v>8034</v>
      </c>
      <c r="E28526" s="2">
        <v>2918632</v>
      </c>
      <c r="F28526" s="4" t="str">
        <f>IF(B28526=B28525,"",B28526)</f>
        <v>GÃ¶ttingen</v>
      </c>
    </row>
    <row r="28527" spans="1:6" ht="15.75" customHeight="1">
      <c r="A28527" s="15" t="s">
        <v>25124</v>
      </c>
      <c r="B28527" s="15" t="s">
        <v>25125</v>
      </c>
      <c r="C28527" s="15" t="s">
        <v>25077</v>
      </c>
      <c r="D28527" s="15" t="s">
        <v>25086</v>
      </c>
      <c r="E28527" s="2">
        <v>2711537</v>
      </c>
      <c r="F28527" s="4" t="str">
        <f>IF(B28527=B28526,"",B28527)</f>
        <v>GÃ¶teborg</v>
      </c>
    </row>
    <row r="28528" spans="1:6" ht="15.75" customHeight="1">
      <c r="A28528" s="15" t="s">
        <v>8428</v>
      </c>
      <c r="B28528" s="15" t="s">
        <v>8429</v>
      </c>
      <c r="C28528" s="15" t="s">
        <v>8028</v>
      </c>
      <c r="D28528" s="15" t="s">
        <v>8072</v>
      </c>
      <c r="E28528" s="2">
        <v>2918987</v>
      </c>
      <c r="F28528" s="4" t="str">
        <f>IF(B28528=B28527,"",B28528)</f>
        <v>GÃ¶rlitz</v>
      </c>
    </row>
    <row r="28529" spans="1:6" ht="15.75" customHeight="1">
      <c r="A28529" s="15" t="s">
        <v>26505</v>
      </c>
      <c r="B28529" s="15" t="s">
        <v>26506</v>
      </c>
      <c r="C28529" s="15" t="s">
        <v>26201</v>
      </c>
      <c r="D28529" s="15" t="s">
        <v>26350</v>
      </c>
      <c r="E28529" s="2">
        <v>746565</v>
      </c>
      <c r="F28529" s="4" t="str">
        <f>IF(B28529=B28528,"",B28529)</f>
        <v>GÃ¶rele</v>
      </c>
    </row>
    <row r="28530" spans="1:6" ht="15.75" customHeight="1">
      <c r="A28530" s="15" t="s">
        <v>8426</v>
      </c>
      <c r="B28530" s="15" t="s">
        <v>8427</v>
      </c>
      <c r="C28530" s="15" t="s">
        <v>8028</v>
      </c>
      <c r="D28530" s="15" t="s">
        <v>8031</v>
      </c>
      <c r="E28530" s="2">
        <v>2919054</v>
      </c>
      <c r="F28530" s="4" t="str">
        <f>IF(B28530=B28529,"",B28530)</f>
        <v>GÃ¶ppingen</v>
      </c>
    </row>
    <row r="28531" spans="1:6" ht="15.75" customHeight="1">
      <c r="A28531" s="15" t="s">
        <v>26503</v>
      </c>
      <c r="B28531" s="15" t="s">
        <v>26504</v>
      </c>
      <c r="C28531" s="15" t="s">
        <v>26201</v>
      </c>
      <c r="D28531" s="15" t="s">
        <v>26340</v>
      </c>
      <c r="E28531" s="2">
        <v>746574</v>
      </c>
      <c r="F28531" s="4" t="str">
        <f>IF(B28531=B28530,"",B28531)</f>
        <v>GÃ¶nen</v>
      </c>
    </row>
    <row r="28532" spans="1:6" ht="15.75" customHeight="1">
      <c r="A28532" s="15" t="s">
        <v>26501</v>
      </c>
      <c r="B28532" s="15" t="s">
        <v>26502</v>
      </c>
      <c r="C28532" s="15" t="s">
        <v>26201</v>
      </c>
      <c r="D28532" s="15" t="s">
        <v>26216</v>
      </c>
      <c r="E28532" s="2">
        <v>746666</v>
      </c>
      <c r="F28532" s="4" t="str">
        <f>IF(B28532=B28531,"",B28532)</f>
        <v>GÃ¶lcÃ¼k</v>
      </c>
    </row>
    <row r="28533" spans="1:6" ht="15.75" customHeight="1">
      <c r="A28533" s="16" t="s">
        <v>26499</v>
      </c>
      <c r="B28533" s="15" t="s">
        <v>26500</v>
      </c>
      <c r="C28533" s="16" t="s">
        <v>26201</v>
      </c>
      <c r="D28533" s="16" t="s">
        <v>26272</v>
      </c>
      <c r="E28533" s="2">
        <v>314136</v>
      </c>
      <c r="F28533" s="4" t="str">
        <f>IF(B28533=B28532,"",B28533)</f>
        <v>GÃ¶lbaÅŸÄ±</v>
      </c>
    </row>
    <row r="28534" spans="1:6" ht="15.75" customHeight="1">
      <c r="A28534" s="15" t="s">
        <v>26497</v>
      </c>
      <c r="B28534" s="15" t="s">
        <v>26498</v>
      </c>
      <c r="C28534" s="15" t="s">
        <v>26201</v>
      </c>
      <c r="D28534" s="15" t="s">
        <v>26221</v>
      </c>
      <c r="E28534" s="2">
        <v>314188</v>
      </c>
      <c r="F28534" s="4" t="str">
        <f>IF(B28534=B28533,"",B28534)</f>
        <v>GÃ¶ksun</v>
      </c>
    </row>
    <row r="28535" spans="1:6" ht="15.75" customHeight="1">
      <c r="A28535" s="15" t="s">
        <v>10048</v>
      </c>
      <c r="B28535" s="15" t="s">
        <v>10049</v>
      </c>
      <c r="C28535" s="15" t="s">
        <v>9955</v>
      </c>
      <c r="D28535" s="15" t="s">
        <v>9959</v>
      </c>
      <c r="E28535" s="2">
        <v>3052236</v>
      </c>
      <c r="F28535" s="4" t="str">
        <f>IF(B28535=B28534,"",B28535)</f>
        <v>GÃ¶dÃ¶llÅ‘</v>
      </c>
    </row>
    <row r="28536" spans="1:6" ht="15.75" customHeight="1">
      <c r="A28536" s="15" t="s">
        <v>10046</v>
      </c>
      <c r="B28536" s="15" t="s">
        <v>10047</v>
      </c>
      <c r="C28536" s="15" t="s">
        <v>9955</v>
      </c>
      <c r="D28536" s="15" t="s">
        <v>9959</v>
      </c>
      <c r="E28536" s="2">
        <v>3052241</v>
      </c>
      <c r="F28536" s="4" t="str">
        <f>IF(B28536=B28535,"",B28536)</f>
        <v>GÃ¶d</v>
      </c>
    </row>
    <row r="28537" spans="1:6" ht="15.75" customHeight="1">
      <c r="A28537" s="15" t="s">
        <v>9512</v>
      </c>
      <c r="B28537" s="15" t="s">
        <v>9513</v>
      </c>
      <c r="C28537" s="15" t="s">
        <v>9441</v>
      </c>
      <c r="D28537" s="15" t="s">
        <v>9445</v>
      </c>
      <c r="E28537" s="2">
        <v>8201845</v>
      </c>
      <c r="F28537" s="4" t="str">
        <f>IF(B28537=B28536,"",B28537)</f>
        <v>GÃ©rakas</v>
      </c>
    </row>
    <row r="28538" spans="1:6" ht="15.75" customHeight="1">
      <c r="A28538" s="16" t="s">
        <v>19914</v>
      </c>
      <c r="B28538" s="15" t="s">
        <v>19915</v>
      </c>
      <c r="C28538" s="16" t="s">
        <v>19808</v>
      </c>
      <c r="D28538" s="16" t="s">
        <v>10184</v>
      </c>
      <c r="E28538" s="2">
        <v>1177682</v>
      </c>
      <c r="F28538" s="4" t="str">
        <f>IF(B28538=B28537,"",B28538)</f>
        <v>GÅ«jar KhÄn</v>
      </c>
    </row>
    <row r="28539" spans="1:6" ht="15.75" customHeight="1">
      <c r="A28539" s="16" t="s">
        <v>11269</v>
      </c>
      <c r="B28539" s="15" t="s">
        <v>11270</v>
      </c>
      <c r="C28539" s="16" t="s">
        <v>10178</v>
      </c>
      <c r="D28539" s="16" t="s">
        <v>10196</v>
      </c>
      <c r="E28539" s="2">
        <v>1270787</v>
      </c>
      <c r="F28539" s="4" t="str">
        <f>IF(B28539=B28538,"",B28539)</f>
        <v>GÅ«duvÄncheri</v>
      </c>
    </row>
    <row r="28540" spans="1:6" ht="15.75" customHeight="1">
      <c r="A28540" s="15" t="s">
        <v>11267</v>
      </c>
      <c r="B28540" s="15" t="s">
        <v>11268</v>
      </c>
      <c r="C28540" s="15" t="s">
        <v>10178</v>
      </c>
      <c r="D28540" s="15" t="s">
        <v>10190</v>
      </c>
      <c r="E28540" s="2">
        <v>1270791</v>
      </c>
      <c r="F28540" s="4" t="str">
        <f>IF(B28540=B28539,"",B28540)</f>
        <v>GÅ«dÅ«r</v>
      </c>
    </row>
    <row r="28541" spans="1:6" ht="15.75" customHeight="1">
      <c r="A28541" s="15" t="s">
        <v>30538</v>
      </c>
      <c r="B28541" s="15" t="s">
        <v>30539</v>
      </c>
      <c r="C28541" s="15" t="s">
        <v>30502</v>
      </c>
      <c r="D28541" s="15" t="s">
        <v>30515</v>
      </c>
      <c r="E28541" s="2">
        <v>1217262</v>
      </c>
      <c r="F28541" s="4" t="str">
        <f>IF(B28541=B28540,"",B28541)</f>
        <v>Gâ€™uzor</v>
      </c>
    </row>
    <row r="28542" spans="1:6" ht="15.75" customHeight="1">
      <c r="A28542" s="16" t="s">
        <v>30536</v>
      </c>
      <c r="B28542" s="15" t="s">
        <v>30537</v>
      </c>
      <c r="C28542" s="16" t="s">
        <v>30502</v>
      </c>
      <c r="D28542" s="16" t="s">
        <v>30504</v>
      </c>
      <c r="E28542" s="2">
        <v>1513996</v>
      </c>
      <c r="F28542" s="4" t="str">
        <f>IF(B28542=B28541,"",B28542)</f>
        <v>Gâ€˜azalkent</v>
      </c>
    </row>
    <row r="28543" spans="1:6" ht="15.75" customHeight="1">
      <c r="A28543" s="15" t="s">
        <v>25121</v>
      </c>
      <c r="B28543" s="15" t="s">
        <v>25122</v>
      </c>
      <c r="C28543" s="15" t="s">
        <v>25077</v>
      </c>
      <c r="D28543" s="15" t="s">
        <v>25123</v>
      </c>
      <c r="E28543" s="2">
        <v>2712414</v>
      </c>
      <c r="F28543" s="4" t="str">
        <f>IF(B28543=B28542,"",B28543)</f>
        <v>GÃ¤vle</v>
      </c>
    </row>
    <row r="28544" spans="1:6" ht="15.75" customHeight="1">
      <c r="A28544" s="16" t="s">
        <v>21219</v>
      </c>
      <c r="B28544" s="15" t="s">
        <v>21220</v>
      </c>
      <c r="C28544" s="16" t="s">
        <v>21064</v>
      </c>
      <c r="D28544" s="16" t="s">
        <v>21165</v>
      </c>
      <c r="E28544" s="2">
        <v>3099169</v>
      </c>
      <c r="F28544" s="4" t="str">
        <f>IF(B28544=B28543,"",B28544)</f>
        <v>GÅ‚uchoÅ‚azy</v>
      </c>
    </row>
    <row r="28545" spans="1:6" ht="15.75" customHeight="1">
      <c r="A28545" s="15" t="s">
        <v>21217</v>
      </c>
      <c r="B28545" s="15" t="s">
        <v>21218</v>
      </c>
      <c r="C28545" s="15" t="s">
        <v>21064</v>
      </c>
      <c r="D28545" s="15" t="s">
        <v>21080</v>
      </c>
      <c r="E28545" s="2">
        <v>3099180</v>
      </c>
      <c r="F28545" s="4" t="str">
        <f>IF(B28545=B28544,"",B28545)</f>
        <v>GÅ‚owno</v>
      </c>
    </row>
    <row r="28546" spans="1:6" ht="15.75" customHeight="1">
      <c r="A28546" s="15" t="s">
        <v>21215</v>
      </c>
      <c r="B28546" s="15" t="s">
        <v>21216</v>
      </c>
      <c r="C28546" s="15" t="s">
        <v>21064</v>
      </c>
      <c r="D28546" s="15" t="s">
        <v>21118</v>
      </c>
      <c r="E28546" s="2">
        <v>3099213</v>
      </c>
      <c r="F28546" s="4" t="str">
        <f>IF(B28546=B28545,"",B28546)</f>
        <v>GÅ‚ogÃ³w</v>
      </c>
    </row>
    <row r="28547" spans="1:6" ht="15.75" customHeight="1">
      <c r="A28547" s="15" t="s">
        <v>659</v>
      </c>
      <c r="B28547" s="15" t="s">
        <v>660</v>
      </c>
      <c r="C28547" s="15" t="s">
        <v>558</v>
      </c>
      <c r="D28547" s="15" t="s">
        <v>579</v>
      </c>
      <c r="E28547" s="2">
        <v>3855244</v>
      </c>
      <c r="F28547" s="4" t="str">
        <f>IF(B28547=B28546,"",B28547)</f>
        <v>GÃ¡lvez</v>
      </c>
    </row>
    <row r="28548" spans="1:6" ht="15.75" customHeight="1">
      <c r="A28548" s="15" t="s">
        <v>24474</v>
      </c>
      <c r="B28548" s="15" t="s">
        <v>24475</v>
      </c>
      <c r="C28548" s="15" t="s">
        <v>24200</v>
      </c>
      <c r="D28548" s="15" t="s">
        <v>24212</v>
      </c>
      <c r="E28548" s="2">
        <v>2517436</v>
      </c>
      <c r="F28548" s="4" t="str">
        <f>IF(B28548=B28547,"",B28548)</f>
        <v>GÃ¡ldar</v>
      </c>
    </row>
    <row r="28549" spans="1:6" ht="15.75" customHeight="1">
      <c r="A28549" s="16" t="str">
        <f ca="1">IFERROR(__xludf.DUMMYFUNCTION("GOOGLETRANSLATE(B45516,""en"",""pt"")"),"G'uzor")</f>
        <v>G'uzor</v>
      </c>
      <c r="B28549" s="20" t="s">
        <v>36064</v>
      </c>
      <c r="C28549" s="20" t="s">
        <v>30502</v>
      </c>
      <c r="D28549" s="20" t="s">
        <v>30515</v>
      </c>
      <c r="E28549" s="10">
        <v>1217262</v>
      </c>
      <c r="F28549" s="4" t="str">
        <f>IF(B28549=B28548,"",B28549)</f>
        <v>G’uzor</v>
      </c>
    </row>
    <row r="28550" spans="1:6" ht="15.75" customHeight="1">
      <c r="A28550" s="16" t="str">
        <f ca="1">IFERROR(__xludf.DUMMYFUNCTION("GOOGLETRANSLATE(B45578,""en"",""pt"")"),"G‘Azalkent")</f>
        <v>G‘Azalkent</v>
      </c>
      <c r="B28550" s="20" t="s">
        <v>36077</v>
      </c>
      <c r="C28550" s="20" t="s">
        <v>30502</v>
      </c>
      <c r="D28550" s="20" t="s">
        <v>30504</v>
      </c>
      <c r="E28550" s="10">
        <v>1513996</v>
      </c>
      <c r="F28550" s="4" t="str">
        <f>IF(B28550=B28549,"",B28550)</f>
        <v>G‘azalkent</v>
      </c>
    </row>
    <row r="28551" spans="1:6" ht="15.75" customHeight="1">
      <c r="A28551" s="16" t="str">
        <f ca="1">IFERROR(__xludf.DUMMYFUNCTION("GOOGLETRANSLATE(B33526,""en"",""pt"")"),"Fyzābād")</f>
        <v>Fyzābād</v>
      </c>
      <c r="B28551" s="20" t="s">
        <v>33746</v>
      </c>
      <c r="C28551" s="20" t="s">
        <v>10178</v>
      </c>
      <c r="D28551" s="20" t="s">
        <v>10193</v>
      </c>
      <c r="E28551" s="10">
        <v>1271976</v>
      </c>
      <c r="F28551" s="4" t="str">
        <f>IF(B28551=B28550,"",B28551)</f>
        <v>Fyzābād</v>
      </c>
    </row>
    <row r="28552" spans="1:6" ht="15.75" customHeight="1">
      <c r="A28552" s="15" t="s">
        <v>11265</v>
      </c>
      <c r="B28552" s="15" t="s">
        <v>11266</v>
      </c>
      <c r="C28552" s="15" t="s">
        <v>10178</v>
      </c>
      <c r="D28552" s="15" t="s">
        <v>10193</v>
      </c>
      <c r="E28552" s="2">
        <v>1271976</v>
      </c>
      <c r="F28552" s="4" t="e">
        <f>IF(B28552=#REF!,"",B28552)</f>
        <v>#REF!</v>
      </c>
    </row>
    <row r="28553" spans="1:6" ht="15.75" customHeight="1">
      <c r="A28553" s="15" t="s">
        <v>4683</v>
      </c>
      <c r="B28553" s="15" t="s">
        <v>4683</v>
      </c>
      <c r="C28553" s="15" t="s">
        <v>4487</v>
      </c>
      <c r="D28553" s="15" t="s">
        <v>4591</v>
      </c>
      <c r="E28553" s="2">
        <v>1810821</v>
      </c>
      <c r="F28553" s="4" t="e">
        <f>IF(B28553=#REF!,"",B28553)</f>
        <v>#REF!</v>
      </c>
    </row>
    <row r="28554" spans="1:6" ht="15.75" customHeight="1">
      <c r="A28554" s="15" t="s">
        <v>4682</v>
      </c>
      <c r="B28554" s="15" t="s">
        <v>4682</v>
      </c>
      <c r="C28554" s="15" t="s">
        <v>4487</v>
      </c>
      <c r="D28554" s="15" t="s">
        <v>4488</v>
      </c>
      <c r="E28554" s="2">
        <v>2037330</v>
      </c>
      <c r="F28554" s="4" t="e">
        <f>IF(B28554=#REF!,"",B28554)</f>
        <v>#REF!</v>
      </c>
    </row>
    <row r="28555" spans="1:6" ht="15.75" customHeight="1">
      <c r="A28555" s="15" t="s">
        <v>4681</v>
      </c>
      <c r="B28555" s="15" t="s">
        <v>4681</v>
      </c>
      <c r="C28555" s="15" t="s">
        <v>4487</v>
      </c>
      <c r="D28555" s="15" t="s">
        <v>4488</v>
      </c>
      <c r="E28555" s="2">
        <v>2037334</v>
      </c>
      <c r="F28555" s="4" t="e">
        <f>IF(B28555=#REF!,"",B28555)</f>
        <v>#REF!</v>
      </c>
    </row>
    <row r="28556" spans="1:6" ht="15.75" customHeight="1">
      <c r="A28556" s="15" t="s">
        <v>24059</v>
      </c>
      <c r="B28556" s="15" t="s">
        <v>24059</v>
      </c>
      <c r="C28556" s="15" t="s">
        <v>24024</v>
      </c>
      <c r="D28556" s="15" t="s">
        <v>24033</v>
      </c>
      <c r="E28556" s="2">
        <v>1838508</v>
      </c>
      <c r="F28556" s="4" t="e">
        <f>IF(B28556=#REF!,"",B28556)</f>
        <v>#REF!</v>
      </c>
    </row>
    <row r="28557" spans="1:6" ht="15.75" customHeight="1">
      <c r="A28557" s="15" t="s">
        <v>4680</v>
      </c>
      <c r="B28557" s="15" t="s">
        <v>4680</v>
      </c>
      <c r="C28557" s="15" t="s">
        <v>4487</v>
      </c>
      <c r="D28557" s="15" t="s">
        <v>4501</v>
      </c>
      <c r="E28557" s="2">
        <v>1810845</v>
      </c>
      <c r="F28557" s="4" t="e">
        <f>IF(B28557=#REF!,"",B28557)</f>
        <v>#REF!</v>
      </c>
    </row>
    <row r="28558" spans="1:6" ht="15.75" customHeight="1">
      <c r="A28558" s="15" t="s">
        <v>4679</v>
      </c>
      <c r="B28558" s="15" t="s">
        <v>4679</v>
      </c>
      <c r="C28558" s="15" t="s">
        <v>4487</v>
      </c>
      <c r="D28558" s="15" t="s">
        <v>4505</v>
      </c>
      <c r="E28558" s="2">
        <v>2037345</v>
      </c>
      <c r="F28558" s="4" t="e">
        <f>IF(B28558=#REF!,"",B28558)</f>
        <v>#REF!</v>
      </c>
    </row>
    <row r="28559" spans="1:6" ht="15.75" customHeight="1">
      <c r="A28559" s="15" t="s">
        <v>6643</v>
      </c>
      <c r="B28559" s="15" t="s">
        <v>6643</v>
      </c>
      <c r="C28559" s="15" t="s">
        <v>6495</v>
      </c>
      <c r="D28559" s="15" t="s">
        <v>6536</v>
      </c>
      <c r="E28559" s="2">
        <v>356806</v>
      </c>
      <c r="F28559" s="4" t="e">
        <f>IF(B28559=#REF!,"",B28559)</f>
        <v>#REF!</v>
      </c>
    </row>
    <row r="28560" spans="1:6" ht="15.75" customHeight="1">
      <c r="A28560" s="15" t="s">
        <v>15890</v>
      </c>
      <c r="B28560" s="15" t="s">
        <v>15890</v>
      </c>
      <c r="C28560" s="15" t="s">
        <v>15704</v>
      </c>
      <c r="D28560" s="15" t="s">
        <v>15707</v>
      </c>
      <c r="E28560" s="2">
        <v>1863713</v>
      </c>
      <c r="F28560" s="4" t="e">
        <f>IF(B28560=#REF!,"",B28560)</f>
        <v>#REF!</v>
      </c>
    </row>
    <row r="28561" spans="1:6" ht="15.75" customHeight="1">
      <c r="A28561" s="15" t="s">
        <v>15889</v>
      </c>
      <c r="B28561" s="15" t="s">
        <v>15889</v>
      </c>
      <c r="C28561" s="15" t="s">
        <v>15704</v>
      </c>
      <c r="D28561" s="15" t="s">
        <v>15776</v>
      </c>
      <c r="E28561" s="2">
        <v>1907148</v>
      </c>
      <c r="F28561" s="4" t="e">
        <f>IF(B28561=#REF!,"",B28561)</f>
        <v>#REF!</v>
      </c>
    </row>
    <row r="28562" spans="1:6" ht="15.75" customHeight="1">
      <c r="A28562" s="15" t="s">
        <v>4678</v>
      </c>
      <c r="B28562" s="15" t="s">
        <v>4678</v>
      </c>
      <c r="C28562" s="15" t="s">
        <v>4487</v>
      </c>
      <c r="D28562" s="15" t="s">
        <v>4505</v>
      </c>
      <c r="E28562" s="2">
        <v>2037355</v>
      </c>
      <c r="F28562" s="4" t="e">
        <f>IF(B28562=#REF!,"",B28562)</f>
        <v>#REF!</v>
      </c>
    </row>
    <row r="28563" spans="1:6" ht="15.75" customHeight="1">
      <c r="A28563" s="16" t="s">
        <v>5476</v>
      </c>
      <c r="B28563" s="15" t="s">
        <v>5476</v>
      </c>
      <c r="C28563" s="16" t="s">
        <v>5348</v>
      </c>
      <c r="D28563" s="16" t="s">
        <v>5400</v>
      </c>
      <c r="E28563" s="2">
        <v>3682274</v>
      </c>
      <c r="F28563" s="4" t="e">
        <f>IF(B28563=#REF!,"",B28563)</f>
        <v>#REF!</v>
      </c>
    </row>
    <row r="28564" spans="1:6" ht="15.75" customHeight="1">
      <c r="A28564" s="15" t="s">
        <v>15888</v>
      </c>
      <c r="B28564" s="15" t="s">
        <v>15888</v>
      </c>
      <c r="C28564" s="15" t="s">
        <v>15704</v>
      </c>
      <c r="D28564" s="15" t="s">
        <v>15764</v>
      </c>
      <c r="E28564" s="2">
        <v>2112899</v>
      </c>
      <c r="F28564" s="4" t="str">
        <f>IF(B28564=B28563,"",B28564)</f>
        <v>Furukawa</v>
      </c>
    </row>
    <row r="28565" spans="1:6" ht="15.75" customHeight="1">
      <c r="A28565" s="16" t="str">
        <f ca="1">IFERROR(__xludf.DUMMYFUNCTION("GOOGLETRANSLATE(B28071,""en"",""pt"")"),"Fürth")</f>
        <v>Fürth</v>
      </c>
      <c r="B28565" s="20" t="s">
        <v>32108</v>
      </c>
      <c r="C28565" s="20" t="s">
        <v>8028</v>
      </c>
      <c r="D28565" s="20" t="s">
        <v>8044</v>
      </c>
      <c r="E28565" s="10">
        <v>2923544</v>
      </c>
      <c r="F28565" s="4" t="str">
        <f>IF(B28565=B28564,"",B28565)</f>
        <v>Fürth</v>
      </c>
    </row>
    <row r="28566" spans="1:6" ht="15.75" customHeight="1">
      <c r="A28566" s="16" t="str">
        <f ca="1">IFERROR(__xludf.DUMMYFUNCTION("GOOGLETRANSLATE(B28072,""en"",""pt"")"),"Fürstenwalde")</f>
        <v>Fürstenwalde</v>
      </c>
      <c r="B28566" s="20" t="s">
        <v>8374</v>
      </c>
      <c r="C28566" s="20" t="s">
        <v>8028</v>
      </c>
      <c r="D28566" s="20" t="s">
        <v>8070</v>
      </c>
      <c r="E28566" s="10">
        <v>2923588</v>
      </c>
      <c r="F28566" s="4" t="str">
        <f>IF(B28566=B28565,"",B28566)</f>
        <v>Fürstenwalde</v>
      </c>
    </row>
    <row r="28567" spans="1:6" ht="15.75" customHeight="1">
      <c r="A28567" s="16" t="str">
        <f ca="1">IFERROR(__xludf.DUMMYFUNCTION("GOOGLETRANSLATE(B28073,""en"",""pt"")"),"Fürstenfeldbruck")</f>
        <v>Fürstenfeldbruck</v>
      </c>
      <c r="B28567" s="20" t="s">
        <v>32109</v>
      </c>
      <c r="C28567" s="20" t="s">
        <v>8028</v>
      </c>
      <c r="D28567" s="20" t="s">
        <v>8044</v>
      </c>
      <c r="E28567" s="10">
        <v>2923625</v>
      </c>
      <c r="F28567" s="4" t="e">
        <f>IF(B28567=#REF!,"",B28567)</f>
        <v>#REF!</v>
      </c>
    </row>
    <row r="28568" spans="1:6" ht="15.75" customHeight="1">
      <c r="A28568" s="16" t="s">
        <v>22381</v>
      </c>
      <c r="B28568" s="15" t="s">
        <v>22381</v>
      </c>
      <c r="C28568" s="16" t="s">
        <v>22070</v>
      </c>
      <c r="D28568" s="16" t="s">
        <v>22382</v>
      </c>
      <c r="E28568" s="2">
        <v>562309</v>
      </c>
      <c r="F28568" s="4" t="e">
        <f>IF(B28568=#REF!,"",B28568)</f>
        <v>#REF!</v>
      </c>
    </row>
    <row r="28569" spans="1:6" ht="15.75" customHeight="1">
      <c r="A28569" s="16" t="s">
        <v>28703</v>
      </c>
      <c r="B28569" s="15" t="s">
        <v>28703</v>
      </c>
      <c r="C28569" s="16" t="s">
        <v>27788</v>
      </c>
      <c r="D28569" s="16" t="s">
        <v>27822</v>
      </c>
      <c r="E28569" s="2">
        <v>4467485</v>
      </c>
      <c r="F28569" s="4" t="e">
        <f>IF(B28569=#REF!,"",B28569)</f>
        <v>#REF!</v>
      </c>
    </row>
    <row r="28570" spans="1:6" ht="15.75" customHeight="1">
      <c r="A28570" s="15" t="s">
        <v>4677</v>
      </c>
      <c r="B28570" s="15" t="s">
        <v>4677</v>
      </c>
      <c r="C28570" s="15" t="s">
        <v>4487</v>
      </c>
      <c r="D28570" s="15" t="s">
        <v>4591</v>
      </c>
      <c r="E28570" s="2">
        <v>1797120</v>
      </c>
      <c r="F28570" s="4" t="e">
        <f>IF(B28570=#REF!,"",B28570)</f>
        <v>#REF!</v>
      </c>
    </row>
    <row r="28571" spans="1:6" ht="15.75" customHeight="1">
      <c r="A28571" s="15" t="s">
        <v>5474</v>
      </c>
      <c r="B28571" s="15" t="s">
        <v>5475</v>
      </c>
      <c r="C28571" s="15" t="s">
        <v>5348</v>
      </c>
      <c r="D28571" s="15" t="s">
        <v>5400</v>
      </c>
      <c r="E28571" s="2">
        <v>3682281</v>
      </c>
      <c r="F28571" s="4" t="e">
        <f>IF(B28571=#REF!,"",B28571)</f>
        <v>#REF!</v>
      </c>
    </row>
    <row r="28572" spans="1:6" ht="15.75" customHeight="1">
      <c r="A28572" s="15" t="s">
        <v>19399</v>
      </c>
      <c r="B28572" s="15" t="s">
        <v>19400</v>
      </c>
      <c r="C28572" s="15" t="s">
        <v>19294</v>
      </c>
      <c r="D28572" s="15" t="s">
        <v>19369</v>
      </c>
      <c r="E28572" s="2">
        <v>2342490</v>
      </c>
      <c r="F28572" s="4" t="e">
        <f>IF(B28572=#REF!,"",B28572)</f>
        <v>#REF!</v>
      </c>
    </row>
    <row r="28573" spans="1:6" ht="15.75" customHeight="1">
      <c r="A28573" s="16" t="s">
        <v>15887</v>
      </c>
      <c r="B28573" s="15" t="s">
        <v>15887</v>
      </c>
      <c r="C28573" s="16" t="s">
        <v>15704</v>
      </c>
      <c r="D28573" s="16" t="s">
        <v>15884</v>
      </c>
      <c r="E28573" s="2">
        <v>2112903</v>
      </c>
      <c r="F28573" s="4" t="e">
        <f>IF(B28573=#REF!,"",B28573)</f>
        <v>#REF!</v>
      </c>
    </row>
    <row r="28574" spans="1:6" ht="15.75" customHeight="1">
      <c r="A28574" s="16" t="s">
        <v>3920</v>
      </c>
      <c r="B28574" s="15" t="s">
        <v>3921</v>
      </c>
      <c r="C28574" s="16" t="s">
        <v>3884</v>
      </c>
      <c r="D28574" s="16" t="s">
        <v>3895</v>
      </c>
      <c r="E28574" s="2">
        <v>2231482</v>
      </c>
      <c r="F28574" s="4" t="str">
        <f>IF(B28574=B28573,"",B28574)</f>
        <v>Fundong</v>
      </c>
    </row>
    <row r="28575" spans="1:6" ht="15.75" customHeight="1">
      <c r="A28575" s="16" t="str">
        <f ca="1">IFERROR(__xludf.DUMMYFUNCTION("GOOGLETRANSLATE(B26979,""en"",""pt"")"),"Fundación")</f>
        <v>Fundación</v>
      </c>
      <c r="B28575" s="20" t="s">
        <v>31873</v>
      </c>
      <c r="C28575" s="20" t="s">
        <v>5348</v>
      </c>
      <c r="D28575" s="20" t="s">
        <v>5368</v>
      </c>
      <c r="E28575" s="10">
        <v>3682292</v>
      </c>
      <c r="F28575" s="4" t="str">
        <f>IF(B28575=B28574,"",B28575)</f>
        <v>Fundación</v>
      </c>
    </row>
    <row r="28576" spans="1:6" ht="15.75" customHeight="1">
      <c r="A28576" s="16" t="s">
        <v>5472</v>
      </c>
      <c r="B28576" s="15" t="s">
        <v>5473</v>
      </c>
      <c r="C28576" s="16" t="s">
        <v>5348</v>
      </c>
      <c r="D28576" s="16" t="s">
        <v>5368</v>
      </c>
      <c r="E28576" s="2">
        <v>3682292</v>
      </c>
      <c r="F28576" s="4" t="e">
        <f>IF(B28576=#REF!,"",B28576)</f>
        <v>#REF!</v>
      </c>
    </row>
    <row r="28577" spans="1:6" ht="15.75" customHeight="1">
      <c r="A28577" s="15" t="s">
        <v>21665</v>
      </c>
      <c r="B28577" s="15" t="s">
        <v>21665</v>
      </c>
      <c r="C28577" s="15" t="s">
        <v>21606</v>
      </c>
      <c r="D28577" s="15" t="s">
        <v>21635</v>
      </c>
      <c r="E28577" s="2">
        <v>2267827</v>
      </c>
      <c r="F28577" s="4" t="e">
        <f>IF(B28577=#REF!,"",B28577)</f>
        <v>#REF!</v>
      </c>
    </row>
    <row r="28578" spans="1:6" ht="15.75" customHeight="1">
      <c r="A28578" s="16" t="s">
        <v>15886</v>
      </c>
      <c r="B28578" s="15" t="s">
        <v>15886</v>
      </c>
      <c r="C28578" s="16" t="s">
        <v>15704</v>
      </c>
      <c r="D28578" s="16" t="s">
        <v>15724</v>
      </c>
      <c r="E28578" s="2">
        <v>2112913</v>
      </c>
      <c r="F28578" s="4" t="e">
        <f>IF(B28578=#REF!,"",B28578)</f>
        <v>#REF!</v>
      </c>
    </row>
    <row r="28579" spans="1:6" ht="15.75" customHeight="1">
      <c r="A28579" s="16" t="s">
        <v>26811</v>
      </c>
      <c r="B28579" s="15" t="s">
        <v>26812</v>
      </c>
      <c r="C28579" s="16" t="s">
        <v>26813</v>
      </c>
      <c r="D28579" s="16" t="s">
        <v>26812</v>
      </c>
      <c r="E28579" s="2">
        <v>2110394</v>
      </c>
      <c r="F28579" s="4" t="str">
        <f>IF(B28579=B28578,"",B28579)</f>
        <v>Funafuti</v>
      </c>
    </row>
    <row r="28580" spans="1:6" ht="15.75" customHeight="1">
      <c r="A28580" s="16" t="str">
        <f ca="1">IFERROR(__xludf.DUMMYFUNCTION("GOOGLETRANSLATE(B34451,""en"",""pt"")"),"Fūman")</f>
        <v>Fūman</v>
      </c>
      <c r="B28580" s="20" t="s">
        <v>34202</v>
      </c>
      <c r="C28580" s="20" t="s">
        <v>14240</v>
      </c>
      <c r="D28580" s="20" t="s">
        <v>34133</v>
      </c>
      <c r="E28580" s="10">
        <v>134441</v>
      </c>
      <c r="F28580" s="4" t="e">
        <f>IF(B28580=#REF!,"",B28580)</f>
        <v>#REF!</v>
      </c>
    </row>
    <row r="28581" spans="1:6" ht="15.75" customHeight="1">
      <c r="A28581" s="15" t="s">
        <v>28702</v>
      </c>
      <c r="B28581" s="15" t="s">
        <v>28702</v>
      </c>
      <c r="C28581" s="15" t="s">
        <v>27788</v>
      </c>
      <c r="D28581" s="15" t="s">
        <v>27801</v>
      </c>
      <c r="E28581" s="2">
        <v>5351247</v>
      </c>
      <c r="F28581" s="4" t="e">
        <f>IF(B28581=#REF!,"",B28581)</f>
        <v>#REF!</v>
      </c>
    </row>
    <row r="28582" spans="1:6" ht="15.75" customHeight="1">
      <c r="A28582" s="15" t="s">
        <v>4676</v>
      </c>
      <c r="B28582" s="15" t="s">
        <v>4676</v>
      </c>
      <c r="C28582" s="15" t="s">
        <v>4487</v>
      </c>
      <c r="D28582" s="15" t="s">
        <v>4540</v>
      </c>
      <c r="E28582" s="2">
        <v>1810979</v>
      </c>
      <c r="F28582" s="4" t="e">
        <f>IF(B28582=#REF!,"",B28582)</f>
        <v>#REF!</v>
      </c>
    </row>
    <row r="28583" spans="1:6" ht="15.75" customHeight="1">
      <c r="A28583" s="15" t="s">
        <v>4675</v>
      </c>
      <c r="B28583" s="15" t="s">
        <v>4675</v>
      </c>
      <c r="C28583" s="15" t="s">
        <v>4487</v>
      </c>
      <c r="D28583" s="15" t="s">
        <v>4488</v>
      </c>
      <c r="E28583" s="2">
        <v>2037370</v>
      </c>
      <c r="F28583" s="4" t="e">
        <f>IF(B28583=#REF!,"",B28583)</f>
        <v>#REF!</v>
      </c>
    </row>
    <row r="28584" spans="1:6" ht="15.75" customHeight="1">
      <c r="A28584" s="15" t="s">
        <v>8425</v>
      </c>
      <c r="B28584" s="15" t="s">
        <v>8425</v>
      </c>
      <c r="C28584" s="15" t="s">
        <v>8028</v>
      </c>
      <c r="D28584" s="15" t="s">
        <v>8050</v>
      </c>
      <c r="E28584" s="2">
        <v>2923822</v>
      </c>
      <c r="F28584" s="4" t="e">
        <f>IF(B28584=#REF!,"",B28584)</f>
        <v>#REF!</v>
      </c>
    </row>
    <row r="28585" spans="1:6" ht="15.75" customHeight="1">
      <c r="A28585" s="16" t="s">
        <v>15885</v>
      </c>
      <c r="B28585" s="15" t="s">
        <v>15885</v>
      </c>
      <c r="C28585" s="16" t="s">
        <v>15704</v>
      </c>
      <c r="D28585" s="16" t="s">
        <v>15789</v>
      </c>
      <c r="E28585" s="2">
        <v>1863917</v>
      </c>
      <c r="F28585" s="4" t="e">
        <f>IF(B28585=#REF!,"",B28585)</f>
        <v>#REF!</v>
      </c>
    </row>
    <row r="28586" spans="1:6" ht="15.75" customHeight="1">
      <c r="A28586" s="16" t="s">
        <v>15884</v>
      </c>
      <c r="B28586" s="15" t="s">
        <v>15884</v>
      </c>
      <c r="C28586" s="16" t="s">
        <v>15704</v>
      </c>
      <c r="D28586" s="16" t="s">
        <v>15884</v>
      </c>
      <c r="E28586" s="2">
        <v>2112923</v>
      </c>
      <c r="F28586" s="4" t="e">
        <f>IF(B28586=#REF!,"",B28586)</f>
        <v>#REF!</v>
      </c>
    </row>
    <row r="28587" spans="1:6" ht="15.75" customHeight="1">
      <c r="A28587" s="15" t="s">
        <v>15883</v>
      </c>
      <c r="B28587" s="15" t="s">
        <v>15883</v>
      </c>
      <c r="C28587" s="15" t="s">
        <v>15704</v>
      </c>
      <c r="D28587" s="15" t="s">
        <v>15809</v>
      </c>
      <c r="E28587" s="2">
        <v>1863945</v>
      </c>
      <c r="F28587" s="4" t="e">
        <f>IF(B28587=#REF!,"",B28587)</f>
        <v>#REF!</v>
      </c>
    </row>
    <row r="28588" spans="1:6" ht="15.75" customHeight="1">
      <c r="A28588" s="15" t="s">
        <v>15882</v>
      </c>
      <c r="B28588" s="15" t="s">
        <v>15882</v>
      </c>
      <c r="C28588" s="15" t="s">
        <v>15704</v>
      </c>
      <c r="D28588" s="15" t="s">
        <v>15712</v>
      </c>
      <c r="E28588" s="2">
        <v>1863953</v>
      </c>
      <c r="F28588" s="4" t="e">
        <f>IF(B28588=#REF!,"",B28588)</f>
        <v>#REF!</v>
      </c>
    </row>
    <row r="28589" spans="1:6" ht="15.75" customHeight="1">
      <c r="A28589" s="15" t="s">
        <v>15722</v>
      </c>
      <c r="B28589" s="15" t="s">
        <v>15722</v>
      </c>
      <c r="C28589" s="15" t="s">
        <v>15704</v>
      </c>
      <c r="D28589" s="15" t="s">
        <v>15722</v>
      </c>
      <c r="E28589" s="2">
        <v>1863967</v>
      </c>
      <c r="F28589" s="4" t="e">
        <f>IF(B28589=#REF!,"",B28589)</f>
        <v>#REF!</v>
      </c>
    </row>
    <row r="28590" spans="1:6" ht="15.75" customHeight="1">
      <c r="A28590" s="16" t="s">
        <v>15880</v>
      </c>
      <c r="B28590" s="15" t="s">
        <v>15880</v>
      </c>
      <c r="C28590" s="16" t="s">
        <v>15704</v>
      </c>
      <c r="D28590" s="16" t="s">
        <v>15881</v>
      </c>
      <c r="E28590" s="2">
        <v>1863973</v>
      </c>
      <c r="F28590" s="4" t="e">
        <f>IF(B28590=#REF!,"",B28590)</f>
        <v>#REF!</v>
      </c>
    </row>
    <row r="28591" spans="1:6" ht="15.75" customHeight="1">
      <c r="A28591" s="15" t="s">
        <v>15878</v>
      </c>
      <c r="B28591" s="15" t="s">
        <v>15878</v>
      </c>
      <c r="C28591" s="15" t="s">
        <v>15704</v>
      </c>
      <c r="D28591" s="15" t="s">
        <v>15879</v>
      </c>
      <c r="E28591" s="2">
        <v>1863985</v>
      </c>
      <c r="F28591" s="4" t="str">
        <f>IF(B28591=B28590,"",B28591)</f>
        <v>Fukui-shi</v>
      </c>
    </row>
    <row r="28592" spans="1:6" ht="15.75" customHeight="1">
      <c r="A28592" s="16" t="str">
        <f ca="1">IFERROR(__xludf.DUMMYFUNCTION("GOOGLETRANSLATE(B35648,""en"",""pt"")"),"Fukuechō")</f>
        <v>Fukuechō</v>
      </c>
      <c r="B28592" s="20" t="s">
        <v>34386</v>
      </c>
      <c r="C28592" s="20" t="s">
        <v>15704</v>
      </c>
      <c r="D28592" s="20" t="s">
        <v>15784</v>
      </c>
      <c r="E28592" s="10">
        <v>1863997</v>
      </c>
      <c r="F28592" s="4" t="str">
        <f>IF(B28592=B28591,"",B28592)</f>
        <v>Fukuechō</v>
      </c>
    </row>
    <row r="28593" spans="1:6" ht="15.75" customHeight="1">
      <c r="A28593" s="15" t="s">
        <v>15876</v>
      </c>
      <c r="B28593" s="15" t="s">
        <v>15877</v>
      </c>
      <c r="C28593" s="15" t="s">
        <v>15704</v>
      </c>
      <c r="D28593" s="15" t="s">
        <v>15784</v>
      </c>
      <c r="E28593" s="2">
        <v>1863997</v>
      </c>
      <c r="F28593" s="4" t="e">
        <f>IF(B28593=#REF!,"",B28593)</f>
        <v>#REF!</v>
      </c>
    </row>
    <row r="28594" spans="1:6" ht="15.75" customHeight="1">
      <c r="A28594" s="16" t="s">
        <v>15875</v>
      </c>
      <c r="B28594" s="15" t="s">
        <v>15875</v>
      </c>
      <c r="C28594" s="16" t="s">
        <v>15704</v>
      </c>
      <c r="D28594" s="16" t="s">
        <v>15831</v>
      </c>
      <c r="E28594" s="2">
        <v>1864009</v>
      </c>
      <c r="F28594" s="4" t="e">
        <f>IF(B28594=#REF!,"",B28594)</f>
        <v>#REF!</v>
      </c>
    </row>
    <row r="28595" spans="1:6" ht="15.75" customHeight="1">
      <c r="A28595" s="16" t="s">
        <v>15873</v>
      </c>
      <c r="B28595" s="15" t="s">
        <v>15874</v>
      </c>
      <c r="C28595" s="16" t="s">
        <v>15704</v>
      </c>
      <c r="D28595" s="16" t="s">
        <v>15710</v>
      </c>
      <c r="E28595" s="2">
        <v>1864025</v>
      </c>
      <c r="F28595" s="4" t="str">
        <f>IF(B28595=B28594,"",B28595)</f>
        <v>Fukiage-fujimi</v>
      </c>
    </row>
    <row r="28596" spans="1:6" ht="15.75" customHeight="1">
      <c r="A28596" s="16" t="str">
        <f ca="1">IFERROR(__xludf.DUMMYFUNCTION("GOOGLETRANSLATE(B35651,""en"",""pt"")"),"Fukayachō")</f>
        <v>Fukayachō</v>
      </c>
      <c r="B28596" s="20" t="s">
        <v>34387</v>
      </c>
      <c r="C28596" s="20" t="s">
        <v>15704</v>
      </c>
      <c r="D28596" s="20" t="s">
        <v>15710</v>
      </c>
      <c r="E28596" s="10">
        <v>1864031</v>
      </c>
      <c r="F28596" s="4" t="str">
        <f>IF(B28596=B28595,"",B28596)</f>
        <v>Fukayachō</v>
      </c>
    </row>
    <row r="28597" spans="1:6" ht="15.75" customHeight="1">
      <c r="A28597" s="16" t="s">
        <v>15871</v>
      </c>
      <c r="B28597" s="15" t="s">
        <v>15872</v>
      </c>
      <c r="C28597" s="16" t="s">
        <v>15704</v>
      </c>
      <c r="D28597" s="16" t="s">
        <v>15710</v>
      </c>
      <c r="E28597" s="2">
        <v>1864031</v>
      </c>
      <c r="F28597" s="4" t="e">
        <f>IF(B28597=#REF!,"",B28597)</f>
        <v>#REF!</v>
      </c>
    </row>
    <row r="28598" spans="1:6" ht="15.75" customHeight="1">
      <c r="A28598" s="16" t="s">
        <v>15870</v>
      </c>
      <c r="B28598" s="15" t="s">
        <v>15870</v>
      </c>
      <c r="C28598" s="16" t="s">
        <v>15704</v>
      </c>
      <c r="D28598" s="16" t="s">
        <v>15705</v>
      </c>
      <c r="E28598" s="2">
        <v>2130332</v>
      </c>
      <c r="F28598" s="4" t="e">
        <f>IF(B28598=#REF!,"",B28598)</f>
        <v>#REF!</v>
      </c>
    </row>
    <row r="28599" spans="1:6" ht="15.75" customHeight="1">
      <c r="A28599" s="15" t="s">
        <v>15869</v>
      </c>
      <c r="B28599" s="15" t="s">
        <v>15869</v>
      </c>
      <c r="C28599" s="15" t="s">
        <v>15704</v>
      </c>
      <c r="D28599" s="15" t="s">
        <v>15724</v>
      </c>
      <c r="E28599" s="2">
        <v>2112940</v>
      </c>
      <c r="F28599" s="4" t="e">
        <f>IF(B28599=#REF!,"",B28599)</f>
        <v>#REF!</v>
      </c>
    </row>
    <row r="28600" spans="1:6" ht="15.75" customHeight="1">
      <c r="A28600" s="15" t="s">
        <v>15868</v>
      </c>
      <c r="B28600" s="15" t="s">
        <v>15868</v>
      </c>
      <c r="C28600" s="15" t="s">
        <v>15704</v>
      </c>
      <c r="D28600" s="15" t="s">
        <v>15755</v>
      </c>
      <c r="E28600" s="2">
        <v>1864092</v>
      </c>
      <c r="F28600" s="4" t="e">
        <f>IF(B28600=#REF!,"",B28600)</f>
        <v>#REF!</v>
      </c>
    </row>
    <row r="28601" spans="1:6" ht="15.75" customHeight="1">
      <c r="A28601" s="15" t="s">
        <v>15867</v>
      </c>
      <c r="B28601" s="15" t="s">
        <v>15867</v>
      </c>
      <c r="C28601" s="15" t="s">
        <v>15704</v>
      </c>
      <c r="D28601" s="15" t="s">
        <v>15799</v>
      </c>
      <c r="E28601" s="2">
        <v>1864098</v>
      </c>
      <c r="F28601" s="4" t="e">
        <f>IF(B28601=#REF!,"",B28601)</f>
        <v>#REF!</v>
      </c>
    </row>
    <row r="28602" spans="1:6" ht="15.75" customHeight="1">
      <c r="A28602" s="16" t="s">
        <v>15866</v>
      </c>
      <c r="B28602" s="15" t="s">
        <v>15866</v>
      </c>
      <c r="C28602" s="16" t="s">
        <v>15704</v>
      </c>
      <c r="D28602" s="16" t="s">
        <v>15809</v>
      </c>
      <c r="E28602" s="2">
        <v>1864105</v>
      </c>
      <c r="F28602" s="4" t="e">
        <f>IF(B28602=#REF!,"",B28602)</f>
        <v>#REF!</v>
      </c>
    </row>
    <row r="28603" spans="1:6" ht="15.75" customHeight="1">
      <c r="A28603" s="15" t="s">
        <v>4674</v>
      </c>
      <c r="B28603" s="15" t="s">
        <v>4674</v>
      </c>
      <c r="C28603" s="15" t="s">
        <v>4487</v>
      </c>
      <c r="D28603" s="15" t="s">
        <v>4488</v>
      </c>
      <c r="E28603" s="2">
        <v>2037375</v>
      </c>
      <c r="F28603" s="4" t="e">
        <f>IF(B28603=#REF!,"",B28603)</f>
        <v>#REF!</v>
      </c>
    </row>
    <row r="28604" spans="1:6" ht="15.75" customHeight="1">
      <c r="A28604" s="16" t="s">
        <v>15865</v>
      </c>
      <c r="B28604" s="15" t="s">
        <v>15865</v>
      </c>
      <c r="C28604" s="16" t="s">
        <v>15704</v>
      </c>
      <c r="D28604" s="16" t="s">
        <v>15806</v>
      </c>
      <c r="E28604" s="2">
        <v>7281819</v>
      </c>
      <c r="F28604" s="4" t="e">
        <f>IF(B28604=#REF!,"",B28604)</f>
        <v>#REF!</v>
      </c>
    </row>
    <row r="28605" spans="1:6" ht="15.75" customHeight="1">
      <c r="A28605" s="15" t="s">
        <v>15864</v>
      </c>
      <c r="B28605" s="15" t="s">
        <v>15864</v>
      </c>
      <c r="C28605" s="15" t="s">
        <v>15704</v>
      </c>
      <c r="D28605" s="15" t="s">
        <v>15809</v>
      </c>
      <c r="E28605" s="2">
        <v>1864132</v>
      </c>
      <c r="F28605" s="4" t="e">
        <f>IF(B28605=#REF!,"",B28605)</f>
        <v>#REF!</v>
      </c>
    </row>
    <row r="28606" spans="1:6" ht="15.75" customHeight="1">
      <c r="A28606" s="15" t="s">
        <v>15863</v>
      </c>
      <c r="B28606" s="15" t="s">
        <v>15863</v>
      </c>
      <c r="C28606" s="15" t="s">
        <v>15704</v>
      </c>
      <c r="D28606" s="15" t="s">
        <v>15809</v>
      </c>
      <c r="E28606" s="2">
        <v>1864134</v>
      </c>
      <c r="F28606" s="4" t="e">
        <f>IF(B28606=#REF!,"",B28606)</f>
        <v>#REF!</v>
      </c>
    </row>
    <row r="28607" spans="1:6" ht="15.75" customHeight="1">
      <c r="A28607" s="16" t="s">
        <v>17946</v>
      </c>
      <c r="B28607" s="15" t="s">
        <v>17946</v>
      </c>
      <c r="C28607" s="16" t="s">
        <v>17707</v>
      </c>
      <c r="D28607" s="16" t="s">
        <v>17736</v>
      </c>
      <c r="E28607" s="2">
        <v>8858086</v>
      </c>
      <c r="F28607" s="4" t="e">
        <f>IF(B28607=#REF!,"",B28607)</f>
        <v>#REF!</v>
      </c>
    </row>
    <row r="28608" spans="1:6" ht="15.75" customHeight="1">
      <c r="A28608" s="16" t="s">
        <v>24473</v>
      </c>
      <c r="B28608" s="15" t="s">
        <v>24473</v>
      </c>
      <c r="C28608" s="16" t="s">
        <v>24200</v>
      </c>
      <c r="D28608" s="16" t="s">
        <v>5513</v>
      </c>
      <c r="E28608" s="2">
        <v>3121960</v>
      </c>
      <c r="F28608" s="4" t="e">
        <f>IF(B28608=#REF!,"",B28608)</f>
        <v>#REF!</v>
      </c>
    </row>
    <row r="28609" spans="1:6" ht="15.75" customHeight="1">
      <c r="A28609" s="16" t="s">
        <v>24472</v>
      </c>
      <c r="B28609" s="15" t="s">
        <v>24472</v>
      </c>
      <c r="C28609" s="16" t="s">
        <v>24200</v>
      </c>
      <c r="D28609" s="16" t="s">
        <v>24205</v>
      </c>
      <c r="E28609" s="2">
        <v>2517595</v>
      </c>
      <c r="F28609" s="4" t="e">
        <f>IF(B28609=#REF!,"",B28609)</f>
        <v>#REF!</v>
      </c>
    </row>
    <row r="28610" spans="1:6" ht="15.75" customHeight="1">
      <c r="A28610" s="16" t="s">
        <v>24471</v>
      </c>
      <c r="B28610" s="15" t="s">
        <v>24471</v>
      </c>
      <c r="C28610" s="16" t="s">
        <v>24200</v>
      </c>
      <c r="D28610" s="16" t="s">
        <v>5513</v>
      </c>
      <c r="E28610" s="2">
        <v>8285534</v>
      </c>
      <c r="F28610" s="4" t="e">
        <f>IF(B28610=#REF!,"",B28610)</f>
        <v>#REF!</v>
      </c>
    </row>
    <row r="28611" spans="1:6" ht="15.75" customHeight="1">
      <c r="A28611" s="15" t="s">
        <v>4673</v>
      </c>
      <c r="B28611" s="15" t="s">
        <v>4673</v>
      </c>
      <c r="C28611" s="15" t="s">
        <v>4487</v>
      </c>
      <c r="D28611" s="15" t="s">
        <v>4591</v>
      </c>
      <c r="E28611" s="2">
        <v>1792585</v>
      </c>
      <c r="F28611" s="4" t="str">
        <f>IF(B28611=B28610,"",B28611)</f>
        <v>Fuding</v>
      </c>
    </row>
    <row r="28612" spans="1:6" ht="15.75" customHeight="1">
      <c r="A28612" s="16" t="str">
        <f ca="1">IFERROR(__xludf.DUMMYFUNCTION("GOOGLETRANSLATE(B35658,""en"",""pt"")"),"Fuchūchō")</f>
        <v>Fuchūchō</v>
      </c>
      <c r="B28612" s="20" t="s">
        <v>34388</v>
      </c>
      <c r="C28612" s="20" t="s">
        <v>15704</v>
      </c>
      <c r="D28612" s="20" t="s">
        <v>15789</v>
      </c>
      <c r="E28612" s="10">
        <v>1864155</v>
      </c>
      <c r="F28612" s="4" t="str">
        <f>IF(B28612=B28611,"",B28612)</f>
        <v>Fuchūchō</v>
      </c>
    </row>
    <row r="28613" spans="1:6" ht="15.75" customHeight="1">
      <c r="A28613" s="16" t="s">
        <v>15861</v>
      </c>
      <c r="B28613" s="15" t="s">
        <v>15862</v>
      </c>
      <c r="C28613" s="16" t="s">
        <v>15704</v>
      </c>
      <c r="D28613" s="16" t="s">
        <v>15789</v>
      </c>
      <c r="E28613" s="2">
        <v>1864155</v>
      </c>
      <c r="F28613" s="4" t="str">
        <f>IF(B28613=B28612,"",B28613)</f>
        <v>FuchÅ«chÅ</v>
      </c>
    </row>
    <row r="28614" spans="1:6" ht="15.75" customHeight="1">
      <c r="A28614" s="16" t="str">
        <f ca="1">IFERROR(__xludf.DUMMYFUNCTION("GOOGLETRANSLATE(B27321,""en"",""pt"")"),"Frýdek-Míttek")</f>
        <v>Frýdek-Míttek</v>
      </c>
      <c r="B28614" s="20" t="s">
        <v>31992</v>
      </c>
      <c r="C28614" s="20" t="s">
        <v>5947</v>
      </c>
      <c r="D28614" s="20" t="s">
        <v>31952</v>
      </c>
      <c r="E28614" s="10">
        <v>3076127</v>
      </c>
      <c r="F28614" s="4" t="e">
        <f>IF(B28614=#REF!,"",B28614)</f>
        <v>#REF!</v>
      </c>
    </row>
    <row r="28615" spans="1:6" ht="15.75" customHeight="1">
      <c r="A28615" s="15" t="s">
        <v>22380</v>
      </c>
      <c r="B28615" s="15" t="s">
        <v>22380</v>
      </c>
      <c r="C28615" s="15" t="s">
        <v>22070</v>
      </c>
      <c r="D28615" s="15" t="s">
        <v>22119</v>
      </c>
      <c r="E28615" s="2">
        <v>562319</v>
      </c>
      <c r="F28615" s="4" t="e">
        <f>IF(B28615=#REF!,"",B28615)</f>
        <v>#REF!</v>
      </c>
    </row>
    <row r="28616" spans="1:6" ht="15.75" customHeight="1">
      <c r="A28616" s="15" t="s">
        <v>22379</v>
      </c>
      <c r="B28616" s="15" t="s">
        <v>22379</v>
      </c>
      <c r="C28616" s="15" t="s">
        <v>22070</v>
      </c>
      <c r="D28616" s="15" t="s">
        <v>22119</v>
      </c>
      <c r="E28616" s="2">
        <v>562321</v>
      </c>
      <c r="F28616" s="4" t="e">
        <f>IF(B28616=#REF!,"",B28616)</f>
        <v>#REF!</v>
      </c>
    </row>
    <row r="28617" spans="1:6" ht="15.75" customHeight="1">
      <c r="A28617" s="15" t="s">
        <v>4397</v>
      </c>
      <c r="B28617" s="15" t="s">
        <v>4397</v>
      </c>
      <c r="C28617" s="15" t="s">
        <v>4355</v>
      </c>
      <c r="D28617" s="15" t="s">
        <v>4356</v>
      </c>
      <c r="E28617" s="2">
        <v>3889263</v>
      </c>
      <c r="F28617" s="4" t="e">
        <f>IF(B28617=#REF!,"",B28617)</f>
        <v>#REF!</v>
      </c>
    </row>
    <row r="28618" spans="1:6" ht="15.75" customHeight="1">
      <c r="A28618" s="15" t="s">
        <v>2482</v>
      </c>
      <c r="B28618" s="15" t="s">
        <v>2482</v>
      </c>
      <c r="C28618" s="15" t="s">
        <v>1905</v>
      </c>
      <c r="D28618" s="15" t="s">
        <v>1917</v>
      </c>
      <c r="E28618" s="2">
        <v>3462916</v>
      </c>
      <c r="F28618" s="4" t="e">
        <f>IF(B28618=#REF!,"",B28618)</f>
        <v>#REF!</v>
      </c>
    </row>
    <row r="28619" spans="1:6" ht="15.75" customHeight="1">
      <c r="A28619" s="16" t="s">
        <v>28700</v>
      </c>
      <c r="B28619" s="15" t="s">
        <v>28701</v>
      </c>
      <c r="C28619" s="16" t="s">
        <v>27788</v>
      </c>
      <c r="D28619" s="16" t="s">
        <v>5468</v>
      </c>
      <c r="E28619" s="2">
        <v>4156331</v>
      </c>
      <c r="F28619" s="4" t="e">
        <f>IF(B28619=#REF!,"",B28619)</f>
        <v>#REF!</v>
      </c>
    </row>
    <row r="28620" spans="1:6" ht="15.75" customHeight="1">
      <c r="A28620" s="16" t="s">
        <v>15158</v>
      </c>
      <c r="B28620" s="15" t="s">
        <v>15159</v>
      </c>
      <c r="C28620" s="16" t="s">
        <v>14891</v>
      </c>
      <c r="D28620" s="16" t="s">
        <v>14904</v>
      </c>
      <c r="E28620" s="2">
        <v>3176515</v>
      </c>
      <c r="F28620" s="4" t="e">
        <f>IF(B28620=#REF!,"",B28620)</f>
        <v>#REF!</v>
      </c>
    </row>
    <row r="28621" spans="1:6" ht="15.75" customHeight="1">
      <c r="A28621" s="16" t="s">
        <v>7361</v>
      </c>
      <c r="B28621" s="15" t="s">
        <v>7361</v>
      </c>
      <c r="C28621" s="16" t="s">
        <v>7052</v>
      </c>
      <c r="D28621" s="16" t="s">
        <v>7082</v>
      </c>
      <c r="E28621" s="2">
        <v>3016956</v>
      </c>
      <c r="F28621" s="4" t="e">
        <f>IF(B28621=#REF!,"",B28621)</f>
        <v>#REF!</v>
      </c>
    </row>
    <row r="28622" spans="1:6" ht="15.75" customHeight="1">
      <c r="A28622" s="16" t="s">
        <v>17945</v>
      </c>
      <c r="B28622" s="15" t="s">
        <v>17945</v>
      </c>
      <c r="C28622" s="16" t="s">
        <v>17707</v>
      </c>
      <c r="D28622" s="16" t="s">
        <v>17770</v>
      </c>
      <c r="E28622" s="2">
        <v>3527542</v>
      </c>
      <c r="F28622" s="4" t="e">
        <f>IF(B28622=#REF!,"",B28622)</f>
        <v>#REF!</v>
      </c>
    </row>
    <row r="28623" spans="1:6" ht="15.75" customHeight="1">
      <c r="A28623" s="15" t="s">
        <v>17944</v>
      </c>
      <c r="B28623" s="15" t="s">
        <v>17944</v>
      </c>
      <c r="C28623" s="15" t="s">
        <v>17707</v>
      </c>
      <c r="D28623" s="15" t="s">
        <v>17788</v>
      </c>
      <c r="E28623" s="2">
        <v>3527545</v>
      </c>
      <c r="F28623" s="4" t="str">
        <f>IF(B28623=B28622,"",B28623)</f>
        <v>Frontera</v>
      </c>
    </row>
    <row r="28624" spans="1:6" ht="15.75" customHeight="1">
      <c r="A28624" s="16" t="str">
        <f ca="1">IFERROR(__xludf.DUMMYFUNCTION("GOOGLETRANSLATE(B28075,""en"",""pt"")"),"Fröndenberg")</f>
        <v>Fröndenberg</v>
      </c>
      <c r="B28624" s="20" t="s">
        <v>32110</v>
      </c>
      <c r="C28624" s="20" t="s">
        <v>8028</v>
      </c>
      <c r="D28624" s="20" t="s">
        <v>8029</v>
      </c>
      <c r="E28624" s="10">
        <v>2924206</v>
      </c>
      <c r="F28624" s="4" t="e">
        <f>IF(B28624=#REF!,"",B28624)</f>
        <v>#REF!</v>
      </c>
    </row>
    <row r="28625" spans="1:6" ht="15.75" customHeight="1">
      <c r="A28625" s="15" t="s">
        <v>22377</v>
      </c>
      <c r="B28625" s="15" t="s">
        <v>22378</v>
      </c>
      <c r="C28625" s="15" t="s">
        <v>22070</v>
      </c>
      <c r="D28625" s="15" t="s">
        <v>22351</v>
      </c>
      <c r="E28625" s="2">
        <v>562389</v>
      </c>
      <c r="F28625" s="4" t="e">
        <f>IF(B28625=#REF!,"",B28625)</f>
        <v>#REF!</v>
      </c>
    </row>
    <row r="28626" spans="1:6" ht="15.75" customHeight="1">
      <c r="A28626" s="15" t="s">
        <v>8424</v>
      </c>
      <c r="B28626" s="15" t="s">
        <v>8424</v>
      </c>
      <c r="C28626" s="15" t="s">
        <v>8028</v>
      </c>
      <c r="D28626" s="15" t="s">
        <v>8036</v>
      </c>
      <c r="E28626" s="2">
        <v>2924302</v>
      </c>
      <c r="F28626" s="4" t="e">
        <f>IF(B28626=#REF!,"",B28626)</f>
        <v>#REF!</v>
      </c>
    </row>
    <row r="28627" spans="1:6" ht="15.75" customHeight="1">
      <c r="A28627" s="15" t="s">
        <v>28699</v>
      </c>
      <c r="B28627" s="15" t="s">
        <v>28699</v>
      </c>
      <c r="C28627" s="15" t="s">
        <v>27788</v>
      </c>
      <c r="D28627" s="15" t="s">
        <v>27792</v>
      </c>
      <c r="E28627" s="2">
        <v>4692559</v>
      </c>
      <c r="F28627" s="4" t="e">
        <f>IF(B28627=#REF!,"",B28627)</f>
        <v>#REF!</v>
      </c>
    </row>
    <row r="28628" spans="1:6" ht="15.75" customHeight="1">
      <c r="A28628" s="15" t="s">
        <v>8422</v>
      </c>
      <c r="B28628" s="15" t="s">
        <v>8423</v>
      </c>
      <c r="C28628" s="15" t="s">
        <v>8028</v>
      </c>
      <c r="D28628" s="15" t="s">
        <v>8034</v>
      </c>
      <c r="E28628" s="2">
        <v>2924360</v>
      </c>
      <c r="F28628" s="4" t="e">
        <f>IF(B28628=#REF!,"",B28628)</f>
        <v>#REF!</v>
      </c>
    </row>
    <row r="28629" spans="1:6" ht="15.75" customHeight="1">
      <c r="A28629" s="16" t="s">
        <v>28698</v>
      </c>
      <c r="B28629" s="15" t="s">
        <v>28698</v>
      </c>
      <c r="C28629" s="16" t="s">
        <v>27788</v>
      </c>
      <c r="D28629" s="16" t="s">
        <v>27792</v>
      </c>
      <c r="E28629" s="2">
        <v>4692521</v>
      </c>
      <c r="F28629" s="4" t="e">
        <f>IF(B28629=#REF!,"",B28629)</f>
        <v>#REF!</v>
      </c>
    </row>
    <row r="28630" spans="1:6" ht="15.75" customHeight="1">
      <c r="A28630" s="16" t="s">
        <v>8421</v>
      </c>
      <c r="B28630" s="15" t="s">
        <v>8421</v>
      </c>
      <c r="C28630" s="16" t="s">
        <v>8028</v>
      </c>
      <c r="D28630" s="16" t="s">
        <v>8036</v>
      </c>
      <c r="E28630" s="2">
        <v>2924573</v>
      </c>
      <c r="F28630" s="4" t="e">
        <f>IF(B28630=#REF!,"",B28630)</f>
        <v>#REF!</v>
      </c>
    </row>
    <row r="28631" spans="1:6" ht="15.75" customHeight="1">
      <c r="A28631" s="16" t="s">
        <v>8420</v>
      </c>
      <c r="B28631" s="15" t="s">
        <v>8420</v>
      </c>
      <c r="C28631" s="16" t="s">
        <v>8028</v>
      </c>
      <c r="D28631" s="16" t="s">
        <v>8036</v>
      </c>
      <c r="E28631" s="2">
        <v>2924577</v>
      </c>
      <c r="F28631" s="4" t="e">
        <f>IF(B28631=#REF!,"",B28631)</f>
        <v>#REF!</v>
      </c>
    </row>
    <row r="28632" spans="1:6" ht="15.75" customHeight="1">
      <c r="A28632" s="16" t="s">
        <v>8419</v>
      </c>
      <c r="B28632" s="15" t="s">
        <v>8419</v>
      </c>
      <c r="C28632" s="16" t="s">
        <v>8028</v>
      </c>
      <c r="D28632" s="16" t="s">
        <v>8031</v>
      </c>
      <c r="E28632" s="2">
        <v>2924585</v>
      </c>
      <c r="F28632" s="4" t="e">
        <f>IF(B28632=#REF!,"",B28632)</f>
        <v>#REF!</v>
      </c>
    </row>
    <row r="28633" spans="1:6" ht="15.75" customHeight="1">
      <c r="A28633" s="16" t="s">
        <v>8418</v>
      </c>
      <c r="B28633" s="15" t="s">
        <v>8418</v>
      </c>
      <c r="C28633" s="16" t="s">
        <v>8028</v>
      </c>
      <c r="D28633" s="16" t="s">
        <v>8036</v>
      </c>
      <c r="E28633" s="2">
        <v>2924599</v>
      </c>
      <c r="F28633" s="4" t="e">
        <f>IF(B28633=#REF!,"",B28633)</f>
        <v>#REF!</v>
      </c>
    </row>
    <row r="28634" spans="1:6" ht="15.75" customHeight="1">
      <c r="A28634" s="16" t="s">
        <v>8417</v>
      </c>
      <c r="B28634" s="15" t="s">
        <v>8417</v>
      </c>
      <c r="C28634" s="16" t="s">
        <v>8028</v>
      </c>
      <c r="D28634" s="16" t="s">
        <v>8050</v>
      </c>
      <c r="E28634" s="2">
        <v>2924625</v>
      </c>
      <c r="F28634" s="4" t="e">
        <f>IF(B28634=#REF!,"",B28634)</f>
        <v>#REF!</v>
      </c>
    </row>
    <row r="28635" spans="1:6" ht="15.75" customHeight="1">
      <c r="A28635" s="16" t="s">
        <v>8416</v>
      </c>
      <c r="B28635" s="15" t="s">
        <v>8416</v>
      </c>
      <c r="C28635" s="16" t="s">
        <v>8028</v>
      </c>
      <c r="D28635" s="16" t="s">
        <v>8036</v>
      </c>
      <c r="E28635" s="2">
        <v>2924770</v>
      </c>
      <c r="F28635" s="4" t="e">
        <f>IF(B28635=#REF!,"",B28635)</f>
        <v>#REF!</v>
      </c>
    </row>
    <row r="28636" spans="1:6" ht="15.75" customHeight="1">
      <c r="A28636" s="15" t="s">
        <v>8415</v>
      </c>
      <c r="B28636" s="15" t="s">
        <v>8415</v>
      </c>
      <c r="C28636" s="15" t="s">
        <v>8028</v>
      </c>
      <c r="D28636" s="15" t="s">
        <v>8050</v>
      </c>
      <c r="E28636" s="2">
        <v>2924802</v>
      </c>
      <c r="F28636" s="4" t="e">
        <f>IF(B28636=#REF!,"",B28636)</f>
        <v>#REF!</v>
      </c>
    </row>
    <row r="28637" spans="1:6" ht="15.75" customHeight="1">
      <c r="A28637" s="15" t="s">
        <v>28697</v>
      </c>
      <c r="B28637" s="15" t="s">
        <v>28697</v>
      </c>
      <c r="C28637" s="15" t="s">
        <v>27788</v>
      </c>
      <c r="D28637" s="15" t="s">
        <v>27824</v>
      </c>
      <c r="E28637" s="2">
        <v>5027482</v>
      </c>
      <c r="F28637" s="4" t="e">
        <f>IF(B28637=#REF!,"",B28637)</f>
        <v>#REF!</v>
      </c>
    </row>
    <row r="28638" spans="1:6" ht="15.75" customHeight="1">
      <c r="A28638" s="15" t="s">
        <v>25262</v>
      </c>
      <c r="B28638" s="15" t="s">
        <v>25263</v>
      </c>
      <c r="C28638" s="15" t="s">
        <v>25237</v>
      </c>
      <c r="D28638" s="15" t="s">
        <v>25263</v>
      </c>
      <c r="E28638" s="2">
        <v>2660718</v>
      </c>
      <c r="F28638" s="4" t="e">
        <f>IF(B28638=#REF!,"",B28638)</f>
        <v>#REF!</v>
      </c>
    </row>
    <row r="28639" spans="1:6" ht="15.75" customHeight="1">
      <c r="A28639" s="15" t="s">
        <v>9832</v>
      </c>
      <c r="B28639" s="15" t="s">
        <v>9832</v>
      </c>
      <c r="C28639" s="15" t="s">
        <v>9826</v>
      </c>
      <c r="D28639" s="15" t="s">
        <v>9827</v>
      </c>
      <c r="E28639" s="2">
        <v>2420884</v>
      </c>
      <c r="F28639" s="4" t="e">
        <f>IF(B28639=#REF!,"",B28639)</f>
        <v>#REF!</v>
      </c>
    </row>
    <row r="28640" spans="1:6" ht="15.75" customHeight="1">
      <c r="A28640" s="16" t="s">
        <v>8414</v>
      </c>
      <c r="B28640" s="15" t="s">
        <v>8414</v>
      </c>
      <c r="C28640" s="16" t="s">
        <v>8028</v>
      </c>
      <c r="D28640" s="16" t="s">
        <v>8031</v>
      </c>
      <c r="E28640" s="2">
        <v>2924894</v>
      </c>
      <c r="F28640" s="4" t="e">
        <f>IF(B28640=#REF!,"",B28640)</f>
        <v>#REF!</v>
      </c>
    </row>
    <row r="28641" spans="1:6" ht="15.75" customHeight="1">
      <c r="A28641" s="16" t="s">
        <v>8413</v>
      </c>
      <c r="B28641" s="15" t="s">
        <v>8413</v>
      </c>
      <c r="C28641" s="16" t="s">
        <v>8028</v>
      </c>
      <c r="D28641" s="16" t="s">
        <v>8029</v>
      </c>
      <c r="E28641" s="2">
        <v>2924915</v>
      </c>
      <c r="F28641" s="4" t="e">
        <f>IF(B28641=#REF!,"",B28641)</f>
        <v>#REF!</v>
      </c>
    </row>
    <row r="28642" spans="1:6" ht="15.75" customHeight="1">
      <c r="A28642" s="15" t="s">
        <v>5471</v>
      </c>
      <c r="B28642" s="15" t="s">
        <v>5471</v>
      </c>
      <c r="C28642" s="15" t="s">
        <v>5348</v>
      </c>
      <c r="D28642" s="15" t="s">
        <v>5422</v>
      </c>
      <c r="E28642" s="2">
        <v>3682330</v>
      </c>
      <c r="F28642" s="4" t="e">
        <f>IF(B28642=#REF!,"",B28642)</f>
        <v>#REF!</v>
      </c>
    </row>
    <row r="28643" spans="1:6" ht="15.75" customHeight="1">
      <c r="A28643" s="15" t="s">
        <v>17942</v>
      </c>
      <c r="B28643" s="15" t="s">
        <v>17942</v>
      </c>
      <c r="C28643" s="15" t="s">
        <v>17707</v>
      </c>
      <c r="D28643" s="15" t="s">
        <v>17943</v>
      </c>
      <c r="E28643" s="2">
        <v>4006163</v>
      </c>
      <c r="F28643" s="4" t="e">
        <f>IF(B28643=#REF!,"",B28643)</f>
        <v>#REF!</v>
      </c>
    </row>
    <row r="28644" spans="1:6" ht="15.75" customHeight="1">
      <c r="A28644" s="15" t="s">
        <v>7360</v>
      </c>
      <c r="B28644" s="15" t="s">
        <v>7360</v>
      </c>
      <c r="C28644" s="15" t="s">
        <v>7052</v>
      </c>
      <c r="D28644" s="15" t="s">
        <v>7058</v>
      </c>
      <c r="E28644" s="2">
        <v>3017178</v>
      </c>
      <c r="F28644" s="4" t="e">
        <f>IF(B28644=#REF!,"",B28644)</f>
        <v>#REF!</v>
      </c>
    </row>
    <row r="28645" spans="1:6" ht="15.75" customHeight="1">
      <c r="A28645" s="15" t="s">
        <v>356</v>
      </c>
      <c r="B28645" s="15" t="s">
        <v>356</v>
      </c>
      <c r="C28645" s="15" t="s">
        <v>153</v>
      </c>
      <c r="D28645" s="15" t="s">
        <v>163</v>
      </c>
      <c r="E28645" s="2">
        <v>2496232</v>
      </c>
      <c r="F28645" s="4" t="e">
        <f>IF(B28645=#REF!,"",B28645)</f>
        <v>#REF!</v>
      </c>
    </row>
    <row r="28646" spans="1:6" ht="15.75" customHeight="1">
      <c r="A28646" s="16" t="s">
        <v>11263</v>
      </c>
      <c r="B28646" s="15" t="s">
        <v>11264</v>
      </c>
      <c r="C28646" s="16" t="s">
        <v>10178</v>
      </c>
      <c r="D28646" s="16" t="s">
        <v>10252</v>
      </c>
      <c r="E28646" s="2">
        <v>1260553</v>
      </c>
      <c r="F28646" s="4" t="e">
        <f>IF(B28646=#REF!,"",B28646)</f>
        <v>#REF!</v>
      </c>
    </row>
    <row r="28647" spans="1:6" ht="15.75" customHeight="1">
      <c r="A28647" s="15" t="s">
        <v>28696</v>
      </c>
      <c r="B28647" s="15" t="s">
        <v>28696</v>
      </c>
      <c r="C28647" s="15" t="s">
        <v>27788</v>
      </c>
      <c r="D28647" s="15" t="s">
        <v>27995</v>
      </c>
      <c r="E28647" s="2">
        <v>5068725</v>
      </c>
      <c r="F28647" s="4" t="e">
        <f>IF(B28647=#REF!,"",B28647)</f>
        <v>#REF!</v>
      </c>
    </row>
    <row r="28648" spans="1:6" ht="15.75" customHeight="1">
      <c r="A28648" s="16" t="s">
        <v>980</v>
      </c>
      <c r="B28648" s="15" t="s">
        <v>980</v>
      </c>
      <c r="C28648" s="16" t="s">
        <v>885</v>
      </c>
      <c r="D28648" s="16" t="s">
        <v>889</v>
      </c>
      <c r="E28648" s="2">
        <v>2071223</v>
      </c>
      <c r="F28648" s="4" t="str">
        <f>IF(B28648=B28647,"",B28648)</f>
        <v>Fremantle</v>
      </c>
    </row>
    <row r="28649" spans="1:6" ht="15.75" customHeight="1">
      <c r="A28649" s="16" t="str">
        <f ca="1">IFERROR(__xludf.DUMMYFUNCTION("GOOGLETRANSLATE(B30069,""en"",""pt"")"),"Fréjus")</f>
        <v>Fréjus</v>
      </c>
      <c r="B28649" s="20" t="s">
        <v>32601</v>
      </c>
      <c r="C28649" s="20" t="s">
        <v>7052</v>
      </c>
      <c r="D28649" s="20" t="s">
        <v>32534</v>
      </c>
      <c r="E28649" s="10">
        <v>3017253</v>
      </c>
      <c r="F28649" s="4" t="e">
        <f>IF(B28649=#REF!,"",B28649)</f>
        <v>#REF!</v>
      </c>
    </row>
    <row r="28650" spans="1:6" ht="15.75" customHeight="1">
      <c r="A28650" s="15" t="s">
        <v>8412</v>
      </c>
      <c r="B28650" s="15" t="s">
        <v>8412</v>
      </c>
      <c r="C28650" s="15" t="s">
        <v>8028</v>
      </c>
      <c r="D28650" s="15" t="s">
        <v>8072</v>
      </c>
      <c r="E28650" s="2">
        <v>2925017</v>
      </c>
      <c r="F28650" s="4" t="e">
        <f>IF(B28650=#REF!,"",B28650)</f>
        <v>#REF!</v>
      </c>
    </row>
    <row r="28651" spans="1:6" ht="15.75" customHeight="1">
      <c r="A28651" s="15" t="s">
        <v>8411</v>
      </c>
      <c r="B28651" s="15" t="s">
        <v>8411</v>
      </c>
      <c r="C28651" s="15" t="s">
        <v>8028</v>
      </c>
      <c r="D28651" s="15" t="s">
        <v>8044</v>
      </c>
      <c r="E28651" s="2">
        <v>2925034</v>
      </c>
      <c r="F28651" s="4" t="e">
        <f>IF(B28651=#REF!,"",B28651)</f>
        <v>#REF!</v>
      </c>
    </row>
    <row r="28652" spans="1:6" ht="15.75" customHeight="1">
      <c r="A28652" s="16" t="s">
        <v>8409</v>
      </c>
      <c r="B28652" s="15" t="s">
        <v>8410</v>
      </c>
      <c r="C28652" s="16" t="s">
        <v>8028</v>
      </c>
      <c r="D28652" s="16" t="s">
        <v>8044</v>
      </c>
      <c r="E28652" s="2">
        <v>2925080</v>
      </c>
      <c r="F28652" s="4" t="e">
        <f>IF(B28652=#REF!,"",B28652)</f>
        <v>#REF!</v>
      </c>
    </row>
    <row r="28653" spans="1:6" ht="15.75" customHeight="1">
      <c r="A28653" s="15" t="s">
        <v>8408</v>
      </c>
      <c r="B28653" s="15" t="s">
        <v>8408</v>
      </c>
      <c r="C28653" s="15" t="s">
        <v>8028</v>
      </c>
      <c r="D28653" s="15" t="s">
        <v>8031</v>
      </c>
      <c r="E28653" s="2">
        <v>2925177</v>
      </c>
      <c r="F28653" s="4" t="e">
        <f>IF(B28653=#REF!,"",B28653)</f>
        <v>#REF!</v>
      </c>
    </row>
    <row r="28654" spans="1:6" ht="15.75" customHeight="1">
      <c r="A28654" s="16" t="s">
        <v>8407</v>
      </c>
      <c r="B28654" s="15" t="s">
        <v>8407</v>
      </c>
      <c r="C28654" s="16" t="s">
        <v>8028</v>
      </c>
      <c r="D28654" s="16" t="s">
        <v>8031</v>
      </c>
      <c r="E28654" s="2">
        <v>2925189</v>
      </c>
      <c r="F28654" s="4" t="e">
        <f>IF(B28654=#REF!,"",B28654)</f>
        <v>#REF!</v>
      </c>
    </row>
    <row r="28655" spans="1:6" ht="15.75" customHeight="1">
      <c r="A28655" s="15" t="s">
        <v>8406</v>
      </c>
      <c r="B28655" s="15" t="s">
        <v>8406</v>
      </c>
      <c r="C28655" s="15" t="s">
        <v>8028</v>
      </c>
      <c r="D28655" s="15" t="s">
        <v>8072</v>
      </c>
      <c r="E28655" s="2">
        <v>2925192</v>
      </c>
      <c r="F28655" s="4" t="e">
        <f>IF(B28655=#REF!,"",B28655)</f>
        <v>#REF!</v>
      </c>
    </row>
    <row r="28656" spans="1:6" ht="15.75" customHeight="1">
      <c r="A28656" s="15" t="s">
        <v>355</v>
      </c>
      <c r="B28656" s="15" t="s">
        <v>355</v>
      </c>
      <c r="C28656" s="15" t="s">
        <v>153</v>
      </c>
      <c r="D28656" s="15" t="s">
        <v>172</v>
      </c>
      <c r="E28656" s="2">
        <v>2496241</v>
      </c>
      <c r="F28656" s="4" t="e">
        <f>IF(B28656=#REF!,"",B28656)</f>
        <v>#REF!</v>
      </c>
    </row>
    <row r="28657" spans="1:6" ht="15.75" customHeight="1">
      <c r="A28657" s="16" t="s">
        <v>2480</v>
      </c>
      <c r="B28657" s="15" t="s">
        <v>2481</v>
      </c>
      <c r="C28657" s="16" t="s">
        <v>1905</v>
      </c>
      <c r="D28657" s="16" t="s">
        <v>2020</v>
      </c>
      <c r="E28657" s="2">
        <v>7874492</v>
      </c>
      <c r="F28657" s="4" t="e">
        <f>IF(B28657=#REF!,"",B28657)</f>
        <v>#REF!</v>
      </c>
    </row>
    <row r="28658" spans="1:6" ht="15.75" customHeight="1">
      <c r="A28658" s="15" t="s">
        <v>23677</v>
      </c>
      <c r="B28658" s="15" t="s">
        <v>23677</v>
      </c>
      <c r="C28658" s="15" t="s">
        <v>23676</v>
      </c>
      <c r="D28658" s="15" t="s">
        <v>23678</v>
      </c>
      <c r="E28658" s="2">
        <v>2409306</v>
      </c>
      <c r="F28658" s="4" t="e">
        <f>IF(B28658=#REF!,"",B28658)</f>
        <v>#REF!</v>
      </c>
    </row>
    <row r="28659" spans="1:6" ht="15.75" customHeight="1">
      <c r="A28659" s="16" t="s">
        <v>1272</v>
      </c>
      <c r="B28659" s="15" t="s">
        <v>1273</v>
      </c>
      <c r="C28659" s="16" t="s">
        <v>1274</v>
      </c>
      <c r="D28659" s="16" t="s">
        <v>1273</v>
      </c>
      <c r="E28659" s="2">
        <v>3572375</v>
      </c>
      <c r="F28659" s="4" t="e">
        <f>IF(B28659=#REF!,"",B28659)</f>
        <v>#REF!</v>
      </c>
    </row>
    <row r="28660" spans="1:6" ht="15.75" customHeight="1">
      <c r="A28660" s="16" t="s">
        <v>19708</v>
      </c>
      <c r="B28660" s="15" t="s">
        <v>19708</v>
      </c>
      <c r="C28660" s="16" t="s">
        <v>19695</v>
      </c>
      <c r="D28660" s="16" t="s">
        <v>19709</v>
      </c>
      <c r="E28660" s="2">
        <v>3156529</v>
      </c>
      <c r="F28660" s="4" t="e">
        <f>IF(B28660=#REF!,"",B28660)</f>
        <v>#REF!</v>
      </c>
    </row>
    <row r="28661" spans="1:6" ht="15.75" customHeight="1">
      <c r="A28661" s="16" t="s">
        <v>6229</v>
      </c>
      <c r="B28661" s="15" t="s">
        <v>6229</v>
      </c>
      <c r="C28661" s="16" t="s">
        <v>6209</v>
      </c>
      <c r="D28661" s="16" t="s">
        <v>6214</v>
      </c>
      <c r="E28661" s="2">
        <v>2621927</v>
      </c>
      <c r="F28661" s="4" t="e">
        <f>IF(B28661=#REF!,"",B28661)</f>
        <v>#REF!</v>
      </c>
    </row>
    <row r="28662" spans="1:6" ht="15.75" customHeight="1">
      <c r="A28662" s="16" t="s">
        <v>6228</v>
      </c>
      <c r="B28662" s="15" t="s">
        <v>6228</v>
      </c>
      <c r="C28662" s="16" t="s">
        <v>6209</v>
      </c>
      <c r="D28662" s="16" t="s">
        <v>6216</v>
      </c>
      <c r="E28662" s="2">
        <v>2621942</v>
      </c>
      <c r="F28662" s="4" t="e">
        <f>IF(B28662=#REF!,"",B28662)</f>
        <v>#REF!</v>
      </c>
    </row>
    <row r="28663" spans="1:6" ht="15.75" customHeight="1">
      <c r="A28663" s="16" t="s">
        <v>4054</v>
      </c>
      <c r="B28663" s="15" t="s">
        <v>4054</v>
      </c>
      <c r="C28663" s="16" t="s">
        <v>3975</v>
      </c>
      <c r="D28663" s="16" t="s">
        <v>4042</v>
      </c>
      <c r="E28663" s="2">
        <v>5957776</v>
      </c>
      <c r="F28663" s="4" t="e">
        <f>IF(B28663=#REF!,"",B28663)</f>
        <v>#REF!</v>
      </c>
    </row>
    <row r="28664" spans="1:6" ht="15.75" customHeight="1">
      <c r="A28664" s="16" t="s">
        <v>2479</v>
      </c>
      <c r="B28664" s="15" t="s">
        <v>2479</v>
      </c>
      <c r="C28664" s="16" t="s">
        <v>1905</v>
      </c>
      <c r="D28664" s="16" t="s">
        <v>1951</v>
      </c>
      <c r="E28664" s="2">
        <v>3462956</v>
      </c>
      <c r="F28664" s="4" t="e">
        <f>IF(B28664=#REF!,"",B28664)</f>
        <v>#REF!</v>
      </c>
    </row>
    <row r="28665" spans="1:6" ht="15.75" customHeight="1">
      <c r="A28665" s="16" t="s">
        <v>28695</v>
      </c>
      <c r="B28665" s="15" t="s">
        <v>28695</v>
      </c>
      <c r="C28665" s="16" t="s">
        <v>27788</v>
      </c>
      <c r="D28665" s="16" t="s">
        <v>27733</v>
      </c>
      <c r="E28665" s="2">
        <v>5795011</v>
      </c>
      <c r="F28665" s="4" t="e">
        <f>IF(B28665=#REF!,"",B28665)</f>
        <v>#REF!</v>
      </c>
    </row>
    <row r="28666" spans="1:6" ht="15.75" customHeight="1">
      <c r="A28666" s="15" t="s">
        <v>28694</v>
      </c>
      <c r="B28666" s="15" t="s">
        <v>28694</v>
      </c>
      <c r="C28666" s="15" t="s">
        <v>27788</v>
      </c>
      <c r="D28666" s="15" t="s">
        <v>17061</v>
      </c>
      <c r="E28666" s="2">
        <v>4355585</v>
      </c>
      <c r="F28666" s="4" t="e">
        <f>IF(B28666=#REF!,"",B28666)</f>
        <v>#REF!</v>
      </c>
    </row>
    <row r="28667" spans="1:6" ht="15.75" customHeight="1">
      <c r="A28667" s="15" t="s">
        <v>6226</v>
      </c>
      <c r="B28667" s="15" t="s">
        <v>6227</v>
      </c>
      <c r="C28667" s="15" t="s">
        <v>6209</v>
      </c>
      <c r="D28667" s="15" t="s">
        <v>6212</v>
      </c>
      <c r="E28667" s="2">
        <v>2621951</v>
      </c>
      <c r="F28667" s="4" t="e">
        <f>IF(B28667=#REF!,"",B28667)</f>
        <v>#REF!</v>
      </c>
    </row>
    <row r="28668" spans="1:6" ht="15.75" customHeight="1">
      <c r="A28668" s="15" t="s">
        <v>8405</v>
      </c>
      <c r="B28668" s="15" t="s">
        <v>8405</v>
      </c>
      <c r="C28668" s="15" t="s">
        <v>8028</v>
      </c>
      <c r="D28668" s="15" t="s">
        <v>8029</v>
      </c>
      <c r="E28668" s="2">
        <v>2925259</v>
      </c>
      <c r="F28668" s="4" t="e">
        <f>IF(B28668=#REF!,"",B28668)</f>
        <v>#REF!</v>
      </c>
    </row>
    <row r="28669" spans="1:6" ht="15.75" customHeight="1">
      <c r="A28669" s="16" t="s">
        <v>30479</v>
      </c>
      <c r="B28669" s="15" t="s">
        <v>30479</v>
      </c>
      <c r="C28669" s="16" t="s">
        <v>30472</v>
      </c>
      <c r="D28669" s="16" t="s">
        <v>30480</v>
      </c>
      <c r="E28669" s="2">
        <v>3442568</v>
      </c>
      <c r="F28669" s="4" t="e">
        <f>IF(B28669=#REF!,"",B28669)</f>
        <v>#REF!</v>
      </c>
    </row>
    <row r="28670" spans="1:6" ht="15.75" customHeight="1">
      <c r="A28670" s="16" t="s">
        <v>25260</v>
      </c>
      <c r="B28670" s="15" t="s">
        <v>25260</v>
      </c>
      <c r="C28670" s="16" t="s">
        <v>25237</v>
      </c>
      <c r="D28670" s="16" t="s">
        <v>25261</v>
      </c>
      <c r="E28670" s="2">
        <v>2660727</v>
      </c>
      <c r="F28670" s="4" t="e">
        <f>IF(B28670=#REF!,"",B28670)</f>
        <v>#REF!</v>
      </c>
    </row>
    <row r="28671" spans="1:6" ht="15.75" customHeight="1">
      <c r="A28671" s="16" t="s">
        <v>15157</v>
      </c>
      <c r="B28671" s="15" t="s">
        <v>15157</v>
      </c>
      <c r="C28671" s="16" t="s">
        <v>14891</v>
      </c>
      <c r="D28671" s="16" t="s">
        <v>14896</v>
      </c>
      <c r="E28671" s="2">
        <v>3176560</v>
      </c>
      <c r="F28671" s="4" t="e">
        <f>IF(B28671=#REF!,"",B28671)</f>
        <v>#REF!</v>
      </c>
    </row>
    <row r="28672" spans="1:6" ht="15.75" customHeight="1">
      <c r="A28672" s="16" t="s">
        <v>15156</v>
      </c>
      <c r="B28672" s="15" t="s">
        <v>15156</v>
      </c>
      <c r="C28672" s="16" t="s">
        <v>14891</v>
      </c>
      <c r="D28672" s="16" t="s">
        <v>14896</v>
      </c>
      <c r="E28672" s="2">
        <v>3176561</v>
      </c>
      <c r="F28672" s="4" t="e">
        <f>IF(B28672=#REF!,"",B28672)</f>
        <v>#REF!</v>
      </c>
    </row>
    <row r="28673" spans="1:6" ht="15.75" customHeight="1">
      <c r="A28673" s="15" t="s">
        <v>15155</v>
      </c>
      <c r="B28673" s="15" t="s">
        <v>15155</v>
      </c>
      <c r="C28673" s="15" t="s">
        <v>14891</v>
      </c>
      <c r="D28673" s="15" t="s">
        <v>14904</v>
      </c>
      <c r="E28673" s="2">
        <v>3176589</v>
      </c>
      <c r="F28673" s="4" t="str">
        <f>IF(B28673=B28672,"",B28673)</f>
        <v>Frascati</v>
      </c>
    </row>
    <row r="28674" spans="1:6" ht="15.75" customHeight="1">
      <c r="A28674" s="16" t="str">
        <f ca="1">IFERROR(__xludf.DUMMYFUNCTION("GOOGLETRANSLATE(B28216,""en"",""pt"")"),"Französisch Buchholz")</f>
        <v>Französisch Buchholz</v>
      </c>
      <c r="B28674" s="20" t="s">
        <v>32124</v>
      </c>
      <c r="C28674" s="20" t="s">
        <v>8028</v>
      </c>
      <c r="D28674" s="20" t="s">
        <v>8036</v>
      </c>
      <c r="E28674" s="10">
        <v>2942341</v>
      </c>
      <c r="F28674" s="4" t="str">
        <f>IF(B28674=B28673,"",B28674)</f>
        <v>Französisch Buchholz</v>
      </c>
    </row>
    <row r="28675" spans="1:6" ht="15.75" customHeight="1">
      <c r="A28675" s="16" t="s">
        <v>8403</v>
      </c>
      <c r="B28675" s="15" t="s">
        <v>8404</v>
      </c>
      <c r="C28675" s="16" t="s">
        <v>8028</v>
      </c>
      <c r="D28675" s="16" t="s">
        <v>8036</v>
      </c>
      <c r="E28675" s="2">
        <v>2942341</v>
      </c>
      <c r="F28675" s="4" t="e">
        <f>IF(B28675=#REF!,"",B28675)</f>
        <v>#REF!</v>
      </c>
    </row>
    <row r="28676" spans="1:6" ht="15.75" customHeight="1">
      <c r="A28676" s="16" t="s">
        <v>979</v>
      </c>
      <c r="B28676" s="15" t="s">
        <v>979</v>
      </c>
      <c r="C28676" s="16" t="s">
        <v>885</v>
      </c>
      <c r="D28676" s="16" t="s">
        <v>827</v>
      </c>
      <c r="E28676" s="2">
        <v>9972527</v>
      </c>
      <c r="F28676" s="4" t="e">
        <f>IF(B28676=#REF!,"",B28676)</f>
        <v>#REF!</v>
      </c>
    </row>
    <row r="28677" spans="1:6" ht="15.75" customHeight="1">
      <c r="A28677" s="16" t="s">
        <v>978</v>
      </c>
      <c r="B28677" s="15" t="s">
        <v>978</v>
      </c>
      <c r="C28677" s="16" t="s">
        <v>885</v>
      </c>
      <c r="D28677" s="16" t="s">
        <v>827</v>
      </c>
      <c r="E28677" s="2">
        <v>2166143</v>
      </c>
      <c r="F28677" s="4" t="e">
        <f>IF(B28677=#REF!,"",B28677)</f>
        <v>#REF!</v>
      </c>
    </row>
    <row r="28678" spans="1:6" ht="15.75" customHeight="1">
      <c r="A28678" s="16" t="s">
        <v>977</v>
      </c>
      <c r="B28678" s="15" t="s">
        <v>977</v>
      </c>
      <c r="C28678" s="16" t="s">
        <v>885</v>
      </c>
      <c r="D28678" s="16" t="s">
        <v>827</v>
      </c>
      <c r="E28678" s="2">
        <v>2166144</v>
      </c>
      <c r="F28678" s="4" t="e">
        <f>IF(B28678=#REF!,"",B28678)</f>
        <v>#REF!</v>
      </c>
    </row>
    <row r="28679" spans="1:6" ht="15.75" customHeight="1">
      <c r="A28679" s="16" t="s">
        <v>28693</v>
      </c>
      <c r="B28679" s="15" t="s">
        <v>28693</v>
      </c>
      <c r="C28679" s="16" t="s">
        <v>27788</v>
      </c>
      <c r="D28679" s="16" t="s">
        <v>27819</v>
      </c>
      <c r="E28679" s="2">
        <v>5117891</v>
      </c>
      <c r="F28679" s="4" t="e">
        <f>IF(B28679=#REF!,"",B28679)</f>
        <v>#REF!</v>
      </c>
    </row>
    <row r="28680" spans="1:6" ht="15.75" customHeight="1">
      <c r="A28680" s="16" t="s">
        <v>28692</v>
      </c>
      <c r="B28680" s="15" t="s">
        <v>28692</v>
      </c>
      <c r="C28680" s="16" t="s">
        <v>27788</v>
      </c>
      <c r="D28680" s="16" t="s">
        <v>27799</v>
      </c>
      <c r="E28680" s="2">
        <v>4893070</v>
      </c>
      <c r="F28680" s="4" t="e">
        <f>IF(B28680=#REF!,"",B28680)</f>
        <v>#REF!</v>
      </c>
    </row>
    <row r="28681" spans="1:6" ht="15.75" customHeight="1">
      <c r="A28681" s="15" t="s">
        <v>28691</v>
      </c>
      <c r="B28681" s="15" t="s">
        <v>28691</v>
      </c>
      <c r="C28681" s="15" t="s">
        <v>27788</v>
      </c>
      <c r="D28681" s="15" t="s">
        <v>27957</v>
      </c>
      <c r="E28681" s="2">
        <v>4623560</v>
      </c>
      <c r="F28681" s="4" t="e">
        <f>IF(B28681=#REF!,"",B28681)</f>
        <v>#REF!</v>
      </c>
    </row>
    <row r="28682" spans="1:6" ht="15.75" customHeight="1">
      <c r="A28682" s="16" t="s">
        <v>8401</v>
      </c>
      <c r="B28682" s="15" t="s">
        <v>8402</v>
      </c>
      <c r="C28682" s="16" t="s">
        <v>8028</v>
      </c>
      <c r="D28682" s="16" t="s">
        <v>8050</v>
      </c>
      <c r="E28682" s="2">
        <v>2925533</v>
      </c>
      <c r="F28682" s="4" t="str">
        <f>IF(B28682=B28681,"",B28682)</f>
        <v>Frankfurt am Main</v>
      </c>
    </row>
    <row r="28683" spans="1:6" ht="15.75" customHeight="1">
      <c r="A28683" s="15" t="s">
        <v>8399</v>
      </c>
      <c r="B28683" s="15" t="s">
        <v>8400</v>
      </c>
      <c r="C28683" s="15" t="s">
        <v>8028</v>
      </c>
      <c r="D28683" s="15" t="s">
        <v>8050</v>
      </c>
      <c r="E28683" s="2">
        <v>2925533</v>
      </c>
      <c r="F28683" s="4" t="e">
        <f>IF(B28683=#REF!,"",B28683)</f>
        <v>#REF!</v>
      </c>
    </row>
    <row r="28684" spans="1:6" ht="15.75" customHeight="1">
      <c r="A28684" s="16" t="s">
        <v>8397</v>
      </c>
      <c r="B28684" s="15" t="s">
        <v>8398</v>
      </c>
      <c r="C28684" s="16" t="s">
        <v>8028</v>
      </c>
      <c r="D28684" s="16" t="s">
        <v>8070</v>
      </c>
      <c r="E28684" s="2">
        <v>2925535</v>
      </c>
      <c r="F28684" s="4" t="e">
        <f>IF(B28684=#REF!,"",B28684)</f>
        <v>#REF!</v>
      </c>
    </row>
    <row r="28685" spans="1:6" ht="15.75" customHeight="1">
      <c r="A28685" s="15" t="s">
        <v>28690</v>
      </c>
      <c r="B28685" s="15" t="s">
        <v>28690</v>
      </c>
      <c r="C28685" s="15" t="s">
        <v>27788</v>
      </c>
      <c r="D28685" s="15" t="s">
        <v>27909</v>
      </c>
      <c r="E28685" s="2">
        <v>4292188</v>
      </c>
      <c r="F28685" s="4" t="e">
        <f>IF(B28685=#REF!,"",B28685)</f>
        <v>#REF!</v>
      </c>
    </row>
    <row r="28686" spans="1:6" ht="15.75" customHeight="1">
      <c r="A28686" s="16" t="s">
        <v>8396</v>
      </c>
      <c r="B28686" s="15" t="s">
        <v>8396</v>
      </c>
      <c r="C28686" s="16" t="s">
        <v>8028</v>
      </c>
      <c r="D28686" s="16" t="s">
        <v>8065</v>
      </c>
      <c r="E28686" s="2">
        <v>2925550</v>
      </c>
      <c r="F28686" s="4" t="e">
        <f>IF(B28686=#REF!,"",B28686)</f>
        <v>#REF!</v>
      </c>
    </row>
    <row r="28687" spans="1:6" ht="15.75" customHeight="1">
      <c r="A28687" s="16" t="s">
        <v>8395</v>
      </c>
      <c r="B28687" s="15" t="s">
        <v>8395</v>
      </c>
      <c r="C28687" s="16" t="s">
        <v>8028</v>
      </c>
      <c r="D28687" s="16" t="s">
        <v>8050</v>
      </c>
      <c r="E28687" s="2">
        <v>2925629</v>
      </c>
      <c r="F28687" s="4" t="e">
        <f>IF(B28687=#REF!,"",B28687)</f>
        <v>#REF!</v>
      </c>
    </row>
    <row r="28688" spans="1:6" ht="15.75" customHeight="1">
      <c r="A28688" s="16" t="s">
        <v>7359</v>
      </c>
      <c r="B28688" s="15" t="s">
        <v>7359</v>
      </c>
      <c r="C28688" s="16" t="s">
        <v>7052</v>
      </c>
      <c r="D28688" s="16" t="s">
        <v>7058</v>
      </c>
      <c r="E28688" s="2">
        <v>3017341</v>
      </c>
      <c r="F28688" s="4" t="e">
        <f>IF(B28688=#REF!,"",B28688)</f>
        <v>#REF!</v>
      </c>
    </row>
    <row r="28689" spans="1:6" ht="15.75" customHeight="1">
      <c r="A28689" s="16" t="s">
        <v>2478</v>
      </c>
      <c r="B28689" s="15" t="s">
        <v>2478</v>
      </c>
      <c r="C28689" s="16" t="s">
        <v>1905</v>
      </c>
      <c r="D28689" s="16" t="s">
        <v>1914</v>
      </c>
      <c r="E28689" s="2">
        <v>3462964</v>
      </c>
      <c r="F28689" s="4" t="e">
        <f>IF(B28689=#REF!,"",B28689)</f>
        <v>#REF!</v>
      </c>
    </row>
    <row r="28690" spans="1:6" ht="15.75" customHeight="1">
      <c r="A28690" s="16" t="s">
        <v>1877</v>
      </c>
      <c r="B28690" s="15" t="s">
        <v>1877</v>
      </c>
      <c r="C28690" s="16" t="s">
        <v>1878</v>
      </c>
      <c r="D28690" s="16" t="s">
        <v>1879</v>
      </c>
      <c r="E28690" s="2">
        <v>933778</v>
      </c>
      <c r="F28690" s="4" t="e">
        <f>IF(B28690=#REF!,"",B28690)</f>
        <v>#REF!</v>
      </c>
    </row>
    <row r="28691" spans="1:6" ht="15.75" customHeight="1">
      <c r="A28691" s="16" t="s">
        <v>2477</v>
      </c>
      <c r="B28691" s="15" t="s">
        <v>2477</v>
      </c>
      <c r="C28691" s="16" t="s">
        <v>1905</v>
      </c>
      <c r="D28691" s="16" t="s">
        <v>1914</v>
      </c>
      <c r="E28691" s="2">
        <v>3462980</v>
      </c>
      <c r="F28691" s="4" t="str">
        <f>IF(B28691=B28690,"",B28691)</f>
        <v>Francisco Morato</v>
      </c>
    </row>
    <row r="28692" spans="1:6" ht="15.75" customHeight="1">
      <c r="A28692" s="16" t="str">
        <f ca="1">IFERROR(__xludf.DUMMYFUNCTION("GOOGLETRANSLATE(B25034,""en"",""pt"")"),"Francisco Beltrão")</f>
        <v>Francisco Beltrão</v>
      </c>
      <c r="B28692" s="20" t="s">
        <v>31659</v>
      </c>
      <c r="C28692" s="20" t="s">
        <v>1905</v>
      </c>
      <c r="D28692" s="20" t="s">
        <v>727</v>
      </c>
      <c r="E28692" s="10">
        <v>3462996</v>
      </c>
      <c r="F28692" s="4" t="str">
        <f>IF(B28692=B28691,"",B28692)</f>
        <v>Francisco Beltrão</v>
      </c>
    </row>
    <row r="28693" spans="1:6" ht="15.75" customHeight="1">
      <c r="A28693" s="16" t="s">
        <v>2475</v>
      </c>
      <c r="B28693" s="15" t="s">
        <v>2476</v>
      </c>
      <c r="C28693" s="16" t="s">
        <v>1905</v>
      </c>
      <c r="D28693" s="16" t="s">
        <v>728</v>
      </c>
      <c r="E28693" s="2">
        <v>3462996</v>
      </c>
      <c r="F28693" s="4" t="e">
        <f>IF(B28693=#REF!,"",B28693)</f>
        <v>#REF!</v>
      </c>
    </row>
    <row r="28694" spans="1:6" ht="15.75" customHeight="1">
      <c r="A28694" s="16" t="s">
        <v>7959</v>
      </c>
      <c r="B28694" s="15" t="s">
        <v>7959</v>
      </c>
      <c r="C28694" s="16" t="s">
        <v>7960</v>
      </c>
      <c r="D28694" s="16" t="s">
        <v>7961</v>
      </c>
      <c r="E28694" s="2">
        <v>2400555</v>
      </c>
      <c r="F28694" s="4" t="e">
        <f>IF(B28694=#REF!,"",B28694)</f>
        <v>#REF!</v>
      </c>
    </row>
    <row r="28695" spans="1:6" ht="15.75" customHeight="1">
      <c r="A28695" s="16" t="s">
        <v>15154</v>
      </c>
      <c r="B28695" s="15" t="s">
        <v>15154</v>
      </c>
      <c r="C28695" s="16" t="s">
        <v>14891</v>
      </c>
      <c r="D28695" s="16" t="s">
        <v>14908</v>
      </c>
      <c r="E28695" s="2">
        <v>3176603</v>
      </c>
      <c r="F28695" s="4" t="e">
        <f>IF(B28695=#REF!,"",B28695)</f>
        <v>#REF!</v>
      </c>
    </row>
    <row r="28696" spans="1:6" ht="15.75" customHeight="1">
      <c r="A28696" s="16" t="s">
        <v>15152</v>
      </c>
      <c r="B28696" s="15" t="s">
        <v>15153</v>
      </c>
      <c r="C28696" s="16" t="s">
        <v>14891</v>
      </c>
      <c r="D28696" s="16" t="s">
        <v>14957</v>
      </c>
      <c r="E28696" s="2">
        <v>3176605</v>
      </c>
      <c r="F28696" s="4" t="e">
        <f>IF(B28696=#REF!,"",B28696)</f>
        <v>#REF!</v>
      </c>
    </row>
    <row r="28697" spans="1:6" ht="15.75" customHeight="1">
      <c r="A28697" s="15" t="s">
        <v>2474</v>
      </c>
      <c r="B28697" s="15" t="s">
        <v>2474</v>
      </c>
      <c r="C28697" s="15" t="s">
        <v>1905</v>
      </c>
      <c r="D28697" s="15" t="s">
        <v>1914</v>
      </c>
      <c r="E28697" s="2">
        <v>3463011</v>
      </c>
      <c r="F28697" s="4" t="e">
        <f>IF(B28697=#REF!,"",B28697)</f>
        <v>#REF!</v>
      </c>
    </row>
    <row r="28698" spans="1:6" ht="15.75" customHeight="1">
      <c r="A28698" s="16" t="s">
        <v>28688</v>
      </c>
      <c r="B28698" s="15" t="s">
        <v>28689</v>
      </c>
      <c r="C28698" s="16" t="s">
        <v>27788</v>
      </c>
      <c r="D28698" s="16" t="s">
        <v>27794</v>
      </c>
      <c r="E28698" s="2">
        <v>4937232</v>
      </c>
      <c r="F28698" s="4" t="e">
        <f>IF(B28698=#REF!,"",B28698)</f>
        <v>#REF!</v>
      </c>
    </row>
    <row r="28699" spans="1:6" ht="15.75" customHeight="1">
      <c r="A28699" s="16" t="s">
        <v>28687</v>
      </c>
      <c r="B28699" s="15" t="s">
        <v>28687</v>
      </c>
      <c r="C28699" s="16" t="s">
        <v>27788</v>
      </c>
      <c r="D28699" s="16" t="s">
        <v>27794</v>
      </c>
      <c r="E28699" s="2">
        <v>4937230</v>
      </c>
      <c r="F28699" s="4" t="e">
        <f>IF(B28699=#REF!,"",B28699)</f>
        <v>#REF!</v>
      </c>
    </row>
    <row r="28700" spans="1:6" ht="15.75" customHeight="1">
      <c r="A28700" s="16" t="s">
        <v>1576</v>
      </c>
      <c r="B28700" s="15" t="s">
        <v>1576</v>
      </c>
      <c r="C28700" s="16" t="s">
        <v>1512</v>
      </c>
      <c r="D28700" s="16" t="s">
        <v>1518</v>
      </c>
      <c r="E28700" s="2">
        <v>2798023</v>
      </c>
      <c r="F28700" s="4" t="e">
        <f>IF(B28700=#REF!,"",B28700)</f>
        <v>#REF!</v>
      </c>
    </row>
    <row r="28701" spans="1:6" ht="15.75" customHeight="1">
      <c r="A28701" s="16" t="s">
        <v>9739</v>
      </c>
      <c r="B28701" s="15" t="s">
        <v>9740</v>
      </c>
      <c r="C28701" s="16" t="s">
        <v>9700</v>
      </c>
      <c r="D28701" s="16" t="s">
        <v>9700</v>
      </c>
      <c r="E28701" s="2">
        <v>3595714</v>
      </c>
      <c r="F28701" s="4" t="e">
        <f>IF(B28701=#REF!,"",B28701)</f>
        <v>#REF!</v>
      </c>
    </row>
    <row r="28702" spans="1:6" ht="15.75" customHeight="1">
      <c r="A28702" s="16" t="s">
        <v>17940</v>
      </c>
      <c r="B28702" s="15" t="s">
        <v>17941</v>
      </c>
      <c r="C28702" s="16" t="s">
        <v>17707</v>
      </c>
      <c r="D28702" s="16" t="s">
        <v>17739</v>
      </c>
      <c r="E28702" s="2">
        <v>8858093</v>
      </c>
      <c r="F28702" s="4" t="e">
        <f>IF(B28702=#REF!,"",B28702)</f>
        <v>#REF!</v>
      </c>
    </row>
    <row r="28703" spans="1:6" ht="15.75" customHeight="1">
      <c r="A28703" s="16" t="s">
        <v>17939</v>
      </c>
      <c r="B28703" s="15" t="s">
        <v>17939</v>
      </c>
      <c r="C28703" s="16" t="s">
        <v>17707</v>
      </c>
      <c r="D28703" s="16" t="s">
        <v>17708</v>
      </c>
      <c r="E28703" s="2">
        <v>8858119</v>
      </c>
      <c r="F28703" s="4" t="str">
        <f>IF(B28703=B28702,"",B28703)</f>
        <v>Fraccionamiento Ciudad Olmeca</v>
      </c>
    </row>
    <row r="28704" spans="1:6" ht="15.75" customHeight="1">
      <c r="A28704" s="16" t="s">
        <v>6006</v>
      </c>
      <c r="B28704" s="15" t="s">
        <v>6007</v>
      </c>
      <c r="C28704" s="16" t="s">
        <v>5947</v>
      </c>
      <c r="D28704" s="16" t="s">
        <v>5971</v>
      </c>
      <c r="E28704" s="2">
        <v>3076127</v>
      </c>
      <c r="F28704" s="4" t="str">
        <f>IF(B28704=B28703,"",B28704)</f>
        <v>FrÃ½dek-MÃ­stek</v>
      </c>
    </row>
    <row r="28705" spans="1:6" ht="15.75" customHeight="1">
      <c r="A28705" s="16" t="s">
        <v>8393</v>
      </c>
      <c r="B28705" s="15" t="s">
        <v>8394</v>
      </c>
      <c r="C28705" s="16" t="s">
        <v>8028</v>
      </c>
      <c r="D28705" s="16" t="s">
        <v>8029</v>
      </c>
      <c r="E28705" s="2">
        <v>2924206</v>
      </c>
      <c r="F28705" s="4" t="str">
        <f>IF(B28705=B28704,"",B28705)</f>
        <v>FrÃ¶ndenberg</v>
      </c>
    </row>
    <row r="28706" spans="1:6" ht="15.75" customHeight="1">
      <c r="A28706" s="15" t="s">
        <v>7357</v>
      </c>
      <c r="B28706" s="15" t="s">
        <v>7358</v>
      </c>
      <c r="C28706" s="15" t="s">
        <v>7052</v>
      </c>
      <c r="D28706" s="15" t="s">
        <v>7087</v>
      </c>
      <c r="E28706" s="2">
        <v>3017253</v>
      </c>
      <c r="F28706" s="4" t="str">
        <f>IF(B28706=B28705,"",B28706)</f>
        <v>FrÃ©jus</v>
      </c>
    </row>
    <row r="28707" spans="1:6" ht="15.75" customHeight="1">
      <c r="A28707" s="16" t="str">
        <f ca="1">IFERROR(__xludf.DUMMYFUNCTION("GOOGLETRANSLATE(B25036,""en"",""pt"")"),"Foz do iguaçu")</f>
        <v>Foz do iguaçu</v>
      </c>
      <c r="B28707" s="20" t="s">
        <v>31660</v>
      </c>
      <c r="C28707" s="20" t="s">
        <v>1905</v>
      </c>
      <c r="D28707" s="20" t="s">
        <v>727</v>
      </c>
      <c r="E28707" s="10">
        <v>3463030</v>
      </c>
      <c r="F28707" s="4" t="str">
        <f>IF(B28707=B28706,"",B28707)</f>
        <v>Foz do Iguaçu</v>
      </c>
    </row>
    <row r="28708" spans="1:6" ht="15.75" customHeight="1">
      <c r="A28708" s="16" t="s">
        <v>2472</v>
      </c>
      <c r="B28708" s="15" t="s">
        <v>2473</v>
      </c>
      <c r="C28708" s="16" t="s">
        <v>1905</v>
      </c>
      <c r="D28708" s="16" t="s">
        <v>728</v>
      </c>
      <c r="E28708" s="2">
        <v>3463030</v>
      </c>
      <c r="F28708" s="4" t="e">
        <f>IF(B28708=#REF!,"",B28708)</f>
        <v>#REF!</v>
      </c>
    </row>
    <row r="28709" spans="1:6" ht="15.75" customHeight="1">
      <c r="A28709" s="16" t="s">
        <v>28685</v>
      </c>
      <c r="B28709" s="15" t="s">
        <v>28686</v>
      </c>
      <c r="C28709" s="16" t="s">
        <v>27788</v>
      </c>
      <c r="D28709" s="16" t="s">
        <v>27820</v>
      </c>
      <c r="E28709" s="2">
        <v>5727382</v>
      </c>
      <c r="F28709" s="4" t="e">
        <f>IF(B28709=#REF!,"",B28709)</f>
        <v>#REF!</v>
      </c>
    </row>
    <row r="28710" spans="1:6" ht="15.75" customHeight="1">
      <c r="A28710" s="16" t="s">
        <v>28684</v>
      </c>
      <c r="B28710" s="15" t="s">
        <v>28684</v>
      </c>
      <c r="C28710" s="16" t="s">
        <v>27788</v>
      </c>
      <c r="D28710" s="16" t="s">
        <v>5468</v>
      </c>
      <c r="E28710" s="2">
        <v>4156091</v>
      </c>
      <c r="F28710" s="4" t="e">
        <f>IF(B28710=#REF!,"",B28710)</f>
        <v>#REF!</v>
      </c>
    </row>
    <row r="28711" spans="1:6" ht="15.75" customHeight="1">
      <c r="A28711" s="16" t="s">
        <v>28682</v>
      </c>
      <c r="B28711" s="15" t="s">
        <v>28683</v>
      </c>
      <c r="C28711" s="16" t="s">
        <v>27788</v>
      </c>
      <c r="D28711" s="16" t="s">
        <v>27801</v>
      </c>
      <c r="E28711" s="2">
        <v>5350207</v>
      </c>
      <c r="F28711" s="4" t="e">
        <f>IF(B28711=#REF!,"",B28711)</f>
        <v>#REF!</v>
      </c>
    </row>
    <row r="28712" spans="1:6" ht="15.75" customHeight="1">
      <c r="A28712" s="16" t="s">
        <v>28680</v>
      </c>
      <c r="B28712" s="15" t="s">
        <v>28681</v>
      </c>
      <c r="C28712" s="16" t="s">
        <v>27788</v>
      </c>
      <c r="D28712" s="16" t="s">
        <v>27880</v>
      </c>
      <c r="E28712" s="2">
        <v>5295177</v>
      </c>
      <c r="F28712" s="4" t="e">
        <f>IF(B28712=#REF!,"",B28712)</f>
        <v>#REF!</v>
      </c>
    </row>
    <row r="28713" spans="1:6" ht="15.75" customHeight="1">
      <c r="A28713" s="15" t="s">
        <v>3916</v>
      </c>
      <c r="B28713" s="15" t="s">
        <v>28679</v>
      </c>
      <c r="C28713" s="15" t="s">
        <v>27788</v>
      </c>
      <c r="D28713" s="15" t="s">
        <v>2341</v>
      </c>
      <c r="E28713" s="2">
        <v>5422191</v>
      </c>
      <c r="F28713" s="4" t="e">
        <f>IF(B28713=#REF!,"",B28713)</f>
        <v>#REF!</v>
      </c>
    </row>
    <row r="28714" spans="1:6" ht="15.75" customHeight="1">
      <c r="A28714" s="15" t="s">
        <v>3919</v>
      </c>
      <c r="B28714" s="15" t="s">
        <v>3919</v>
      </c>
      <c r="C28714" s="15" t="s">
        <v>3884</v>
      </c>
      <c r="D28714" s="15" t="s">
        <v>3891</v>
      </c>
      <c r="E28714" s="2">
        <v>2231504</v>
      </c>
      <c r="F28714" s="4" t="e">
        <f>IF(B28714=#REF!,"",B28714)</f>
        <v>#REF!</v>
      </c>
    </row>
    <row r="28715" spans="1:6" ht="15.75" customHeight="1">
      <c r="A28715" s="15" t="s">
        <v>3918</v>
      </c>
      <c r="B28715" s="15" t="s">
        <v>3918</v>
      </c>
      <c r="C28715" s="15" t="s">
        <v>3884</v>
      </c>
      <c r="D28715" s="15" t="s">
        <v>3891</v>
      </c>
      <c r="E28715" s="2">
        <v>2231506</v>
      </c>
      <c r="F28715" s="4" t="str">
        <f>IF(B28715=B28714,"",B28715)</f>
        <v>Foumban</v>
      </c>
    </row>
    <row r="28716" spans="1:6" ht="15.75" customHeight="1">
      <c r="A28716" s="16" t="str">
        <f ca="1">IFERROR(__xludf.DUMMYFUNCTION("GOOGLETRANSLATE(B30071,""en"",""pt"")"),"Fougères")</f>
        <v>Fougères</v>
      </c>
      <c r="B28716" s="20" t="s">
        <v>32602</v>
      </c>
      <c r="C28716" s="20" t="s">
        <v>7052</v>
      </c>
      <c r="D28716" s="20" t="s">
        <v>7190</v>
      </c>
      <c r="E28716" s="10">
        <v>3017609</v>
      </c>
      <c r="F28716" s="4" t="str">
        <f>IF(B28716=B28715,"",B28716)</f>
        <v>Fougères</v>
      </c>
    </row>
    <row r="28717" spans="1:6" ht="15.75" customHeight="1">
      <c r="A28717" s="15" t="s">
        <v>7355</v>
      </c>
      <c r="B28717" s="15" t="s">
        <v>7356</v>
      </c>
      <c r="C28717" s="15" t="s">
        <v>7052</v>
      </c>
      <c r="D28717" s="15" t="s">
        <v>7190</v>
      </c>
      <c r="E28717" s="2">
        <v>3017609</v>
      </c>
      <c r="F28717" s="4" t="str">
        <f>IF(B28717=B28716,"",B28717)</f>
        <v>FougÃ¨res</v>
      </c>
    </row>
    <row r="28718" spans="1:6" ht="15.75" customHeight="1">
      <c r="A28718" s="16" t="str">
        <f ca="1">IFERROR(__xludf.DUMMYFUNCTION("GOOGLETRANSLATE(B31316,""en"",""pt"")"),"Fór")</f>
        <v>Fór</v>
      </c>
      <c r="B28718" s="20" t="s">
        <v>32883</v>
      </c>
      <c r="C28718" s="20" t="s">
        <v>9955</v>
      </c>
      <c r="D28718" s="20" t="s">
        <v>9959</v>
      </c>
      <c r="E28718" s="10">
        <v>3052542</v>
      </c>
      <c r="F28718" s="4" t="e">
        <f>IF(B28718=#REF!,"",B28718)</f>
        <v>#REF!</v>
      </c>
    </row>
    <row r="28719" spans="1:6" ht="15.75" customHeight="1">
      <c r="A28719" s="16" t="s">
        <v>28678</v>
      </c>
      <c r="B28719" s="15" t="s">
        <v>28678</v>
      </c>
      <c r="C28719" s="16" t="s">
        <v>27788</v>
      </c>
      <c r="D28719" s="16" t="s">
        <v>27801</v>
      </c>
      <c r="E28719" s="2">
        <v>5350159</v>
      </c>
      <c r="F28719" s="4" t="e">
        <f>IF(B28719=#REF!,"",B28719)</f>
        <v>#REF!</v>
      </c>
    </row>
    <row r="28720" spans="1:6" ht="15.75" customHeight="1">
      <c r="A28720" s="16" t="s">
        <v>7354</v>
      </c>
      <c r="B28720" s="15" t="s">
        <v>7354</v>
      </c>
      <c r="C28720" s="16" t="s">
        <v>7052</v>
      </c>
      <c r="D28720" s="16" t="s">
        <v>7087</v>
      </c>
      <c r="E28720" s="2">
        <v>3017651</v>
      </c>
      <c r="F28720" s="4" t="e">
        <f>IF(B28720=#REF!,"",B28720)</f>
        <v>#REF!</v>
      </c>
    </row>
    <row r="28721" spans="1:6" ht="15.75" customHeight="1">
      <c r="A28721" s="15" t="s">
        <v>15151</v>
      </c>
      <c r="B28721" s="15" t="s">
        <v>15151</v>
      </c>
      <c r="C28721" s="15" t="s">
        <v>14891</v>
      </c>
      <c r="D28721" s="15" t="s">
        <v>14911</v>
      </c>
      <c r="E28721" s="2">
        <v>3176639</v>
      </c>
      <c r="F28721" s="4" t="e">
        <f>IF(B28721=#REF!,"",B28721)</f>
        <v>#REF!</v>
      </c>
    </row>
    <row r="28722" spans="1:6" ht="15.75" customHeight="1">
      <c r="A28722" s="15" t="s">
        <v>9393</v>
      </c>
      <c r="B28722" s="15" t="s">
        <v>9393</v>
      </c>
      <c r="C28722" s="15" t="s">
        <v>9365</v>
      </c>
      <c r="D28722" s="15" t="s">
        <v>1886</v>
      </c>
      <c r="E28722" s="2">
        <v>2300883</v>
      </c>
      <c r="F28722" s="4" t="e">
        <f>IF(B28722=#REF!,"",B28722)</f>
        <v>#REF!</v>
      </c>
    </row>
    <row r="28723" spans="1:6" ht="15.75" customHeight="1">
      <c r="A28723" s="15" t="s">
        <v>4672</v>
      </c>
      <c r="B28723" s="15" t="s">
        <v>4672</v>
      </c>
      <c r="C28723" s="15" t="s">
        <v>4487</v>
      </c>
      <c r="D28723" s="15" t="s">
        <v>4492</v>
      </c>
      <c r="E28723" s="2">
        <v>1811103</v>
      </c>
      <c r="F28723" s="4" t="e">
        <f>IF(B28723=#REF!,"",B28723)</f>
        <v>#REF!</v>
      </c>
    </row>
    <row r="28724" spans="1:6" ht="15.75" customHeight="1">
      <c r="A28724" s="16" t="s">
        <v>28676</v>
      </c>
      <c r="B28724" s="15" t="s">
        <v>28677</v>
      </c>
      <c r="C28724" s="16" t="s">
        <v>27788</v>
      </c>
      <c r="D28724" s="16" t="s">
        <v>27880</v>
      </c>
      <c r="E28724" s="2">
        <v>5295143</v>
      </c>
      <c r="F28724" s="4" t="str">
        <f>IF(B28724=B28723,"",B28724)</f>
        <v>Fortuna Foothills</v>
      </c>
    </row>
    <row r="28725" spans="1:6" ht="15.75" customHeight="1">
      <c r="A28725" s="16" t="str">
        <f ca="1">IFERROR(__xludf.DUMMYFUNCTION("GOOGLETRANSLATE(B37025,""en"",""pt"")"),"Fortín de Las Flores")</f>
        <v>Fortín de Las Flores</v>
      </c>
      <c r="B28725" s="20" t="s">
        <v>34702</v>
      </c>
      <c r="C28725" s="20" t="s">
        <v>17707</v>
      </c>
      <c r="D28725" s="20" t="s">
        <v>17708</v>
      </c>
      <c r="E28725" s="10">
        <v>3527596</v>
      </c>
      <c r="F28725" s="4" t="e">
        <f>IF(B28725=#REF!,"",B28725)</f>
        <v>#REF!</v>
      </c>
    </row>
    <row r="28726" spans="1:6" ht="15.75" customHeight="1">
      <c r="A28726" s="16" t="s">
        <v>17636</v>
      </c>
      <c r="B28726" s="15" t="s">
        <v>17636</v>
      </c>
      <c r="C28726" s="16" t="s">
        <v>17635</v>
      </c>
      <c r="D28726" s="16" t="s">
        <v>17635</v>
      </c>
      <c r="E28726" s="2">
        <v>3570675</v>
      </c>
      <c r="F28726" s="4" t="str">
        <f>IF(B28726=B28725,"",B28726)</f>
        <v>Fort-de-France</v>
      </c>
    </row>
    <row r="28727" spans="1:6" ht="15.75" customHeight="1">
      <c r="A28727" s="16" t="s">
        <v>17937</v>
      </c>
      <c r="B28727" s="15" t="s">
        <v>17938</v>
      </c>
      <c r="C28727" s="16" t="s">
        <v>17707</v>
      </c>
      <c r="D28727" s="16" t="s">
        <v>17708</v>
      </c>
      <c r="E28727" s="2">
        <v>3527596</v>
      </c>
      <c r="F28727" s="4" t="e">
        <f>IF(B28727=#REF!,"",B28727)</f>
        <v>#REF!</v>
      </c>
    </row>
    <row r="28728" spans="1:6" ht="15.75" customHeight="1">
      <c r="A28728" s="15" t="s">
        <v>2471</v>
      </c>
      <c r="B28728" s="15" t="s">
        <v>2471</v>
      </c>
      <c r="C28728" s="15" t="s">
        <v>1905</v>
      </c>
      <c r="D28728" s="15" t="s">
        <v>1930</v>
      </c>
      <c r="E28728" s="2">
        <v>3399415</v>
      </c>
      <c r="F28728" s="4" t="e">
        <f>IF(B28728=#REF!,"",B28728)</f>
        <v>#REF!</v>
      </c>
    </row>
    <row r="28729" spans="1:6" ht="15.75" customHeight="1">
      <c r="A28729" s="16" t="s">
        <v>28675</v>
      </c>
      <c r="B28729" s="15" t="s">
        <v>28675</v>
      </c>
      <c r="C28729" s="16" t="s">
        <v>27788</v>
      </c>
      <c r="D28729" s="16" t="s">
        <v>27792</v>
      </c>
      <c r="E28729" s="2">
        <v>4691930</v>
      </c>
      <c r="F28729" s="4" t="e">
        <f>IF(B28729=#REF!,"",B28729)</f>
        <v>#REF!</v>
      </c>
    </row>
    <row r="28730" spans="1:6" ht="15.75" customHeight="1">
      <c r="A28730" s="16" t="s">
        <v>28674</v>
      </c>
      <c r="B28730" s="15" t="s">
        <v>28674</v>
      </c>
      <c r="C28730" s="16" t="s">
        <v>27788</v>
      </c>
      <c r="D28730" s="16" t="s">
        <v>27869</v>
      </c>
      <c r="E28730" s="2">
        <v>4920423</v>
      </c>
      <c r="F28730" s="4" t="e">
        <f>IF(B28730=#REF!,"",B28730)</f>
        <v>#REF!</v>
      </c>
    </row>
    <row r="28731" spans="1:6" ht="15.75" customHeight="1">
      <c r="A28731" s="16" t="s">
        <v>28673</v>
      </c>
      <c r="B28731" s="15" t="s">
        <v>28673</v>
      </c>
      <c r="C28731" s="16" t="s">
        <v>27788</v>
      </c>
      <c r="D28731" s="16" t="s">
        <v>17061</v>
      </c>
      <c r="E28731" s="2">
        <v>4355355</v>
      </c>
      <c r="F28731" s="4" t="e">
        <f>IF(B28731=#REF!,"",B28731)</f>
        <v>#REF!</v>
      </c>
    </row>
    <row r="28732" spans="1:6" ht="15.75" customHeight="1">
      <c r="A28732" s="16" t="s">
        <v>28672</v>
      </c>
      <c r="B28732" s="15" t="s">
        <v>28672</v>
      </c>
      <c r="C28732" s="16" t="s">
        <v>27788</v>
      </c>
      <c r="D28732" s="16" t="s">
        <v>5468</v>
      </c>
      <c r="E28732" s="2">
        <v>4156042</v>
      </c>
      <c r="F28732" s="4" t="e">
        <f>IF(B28732=#REF!,"",B28732)</f>
        <v>#REF!</v>
      </c>
    </row>
    <row r="28733" spans="1:6" ht="15.75" customHeight="1">
      <c r="A28733" s="16" t="s">
        <v>28671</v>
      </c>
      <c r="B28733" s="15" t="s">
        <v>28671</v>
      </c>
      <c r="C28733" s="16" t="s">
        <v>27788</v>
      </c>
      <c r="D28733" s="16" t="s">
        <v>27909</v>
      </c>
      <c r="E28733" s="2">
        <v>4292071</v>
      </c>
      <c r="F28733" s="4" t="e">
        <f>IF(B28733=#REF!,"",B28733)</f>
        <v>#REF!</v>
      </c>
    </row>
    <row r="28734" spans="1:6" ht="15.75" customHeight="1">
      <c r="A28734" s="16" t="s">
        <v>4053</v>
      </c>
      <c r="B28734" s="15" t="s">
        <v>4053</v>
      </c>
      <c r="C28734" s="16" t="s">
        <v>3975</v>
      </c>
      <c r="D28734" s="16" t="s">
        <v>3976</v>
      </c>
      <c r="E28734" s="2">
        <v>5955960</v>
      </c>
      <c r="F28734" s="4" t="e">
        <f>IF(B28734=#REF!,"",B28734)</f>
        <v>#REF!</v>
      </c>
    </row>
    <row r="28735" spans="1:6" ht="15.75" customHeight="1">
      <c r="A28735" s="16" t="s">
        <v>28670</v>
      </c>
      <c r="B28735" s="15" t="s">
        <v>28670</v>
      </c>
      <c r="C28735" s="16" t="s">
        <v>27788</v>
      </c>
      <c r="D28735" s="16" t="s">
        <v>27991</v>
      </c>
      <c r="E28735" s="2">
        <v>4111410</v>
      </c>
      <c r="F28735" s="4" t="e">
        <f>IF(B28735=#REF!,"",B28735)</f>
        <v>#REF!</v>
      </c>
    </row>
    <row r="28736" spans="1:6" ht="15.75" customHeight="1">
      <c r="A28736" s="16" t="s">
        <v>26830</v>
      </c>
      <c r="B28736" s="15" t="s">
        <v>26831</v>
      </c>
      <c r="C28736" s="16" t="s">
        <v>26820</v>
      </c>
      <c r="D28736" s="16" t="s">
        <v>18803</v>
      </c>
      <c r="E28736" s="2">
        <v>233476</v>
      </c>
      <c r="F28736" s="4" t="e">
        <f>IF(B28736=#REF!,"",B28736)</f>
        <v>#REF!</v>
      </c>
    </row>
    <row r="28737" spans="1:6" ht="15.75" customHeight="1">
      <c r="A28737" s="16" t="s">
        <v>28669</v>
      </c>
      <c r="B28737" s="15" t="s">
        <v>28669</v>
      </c>
      <c r="C28737" s="16" t="s">
        <v>27788</v>
      </c>
      <c r="D28737" s="16" t="s">
        <v>5468</v>
      </c>
      <c r="E28737" s="2">
        <v>4156018</v>
      </c>
      <c r="F28737" s="4" t="e">
        <f>IF(B28737=#REF!,"",B28737)</f>
        <v>#REF!</v>
      </c>
    </row>
    <row r="28738" spans="1:6" ht="15.75" customHeight="1">
      <c r="A28738" s="16" t="s">
        <v>28668</v>
      </c>
      <c r="B28738" s="15" t="s">
        <v>28668</v>
      </c>
      <c r="C28738" s="16" t="s">
        <v>27788</v>
      </c>
      <c r="D28738" s="16" t="s">
        <v>5468</v>
      </c>
      <c r="E28738" s="2">
        <v>4155995</v>
      </c>
      <c r="F28738" s="4" t="e">
        <f>IF(B28738=#REF!,"",B28738)</f>
        <v>#REF!</v>
      </c>
    </row>
    <row r="28739" spans="1:6" ht="15.75" customHeight="1">
      <c r="A28739" s="16" t="s">
        <v>4052</v>
      </c>
      <c r="B28739" s="15" t="s">
        <v>4052</v>
      </c>
      <c r="C28739" s="16" t="s">
        <v>3975</v>
      </c>
      <c r="D28739" s="16" t="s">
        <v>3978</v>
      </c>
      <c r="E28739" s="2">
        <v>5955895</v>
      </c>
      <c r="F28739" s="4" t="e">
        <f>IF(B28739=#REF!,"",B28739)</f>
        <v>#REF!</v>
      </c>
    </row>
    <row r="28740" spans="1:6" ht="15.75" customHeight="1">
      <c r="A28740" s="16" t="s">
        <v>28667</v>
      </c>
      <c r="B28740" s="15" t="s">
        <v>28667</v>
      </c>
      <c r="C28740" s="16" t="s">
        <v>27788</v>
      </c>
      <c r="D28740" s="16" t="s">
        <v>27806</v>
      </c>
      <c r="E28740" s="2">
        <v>7259265</v>
      </c>
      <c r="F28740" s="4" t="e">
        <f>IF(B28740=#REF!,"",B28740)</f>
        <v>#REF!</v>
      </c>
    </row>
    <row r="28741" spans="1:6" ht="15.75" customHeight="1">
      <c r="A28741" s="15" t="s">
        <v>28666</v>
      </c>
      <c r="B28741" s="15" t="s">
        <v>28666</v>
      </c>
      <c r="C28741" s="15" t="s">
        <v>27788</v>
      </c>
      <c r="D28741" s="15" t="s">
        <v>27905</v>
      </c>
      <c r="E28741" s="2">
        <v>5098135</v>
      </c>
      <c r="F28741" s="4" t="e">
        <f>IF(B28741=#REF!,"",B28741)</f>
        <v>#REF!</v>
      </c>
    </row>
    <row r="28742" spans="1:6" ht="15.75" customHeight="1">
      <c r="A28742" s="16" t="s">
        <v>28665</v>
      </c>
      <c r="B28742" s="15" t="s">
        <v>28665</v>
      </c>
      <c r="C28742" s="16" t="s">
        <v>27788</v>
      </c>
      <c r="D28742" s="16" t="s">
        <v>5468</v>
      </c>
      <c r="E28742" s="2">
        <v>4155966</v>
      </c>
      <c r="F28742" s="4" t="e">
        <f>IF(B28742=#REF!,"",B28742)</f>
        <v>#REF!</v>
      </c>
    </row>
    <row r="28743" spans="1:6" ht="15.75" customHeight="1">
      <c r="A28743" s="15" t="s">
        <v>28664</v>
      </c>
      <c r="B28743" s="15" t="s">
        <v>28664</v>
      </c>
      <c r="C28743" s="15" t="s">
        <v>27788</v>
      </c>
      <c r="D28743" s="15" t="s">
        <v>24004</v>
      </c>
      <c r="E28743" s="2">
        <v>4046704</v>
      </c>
      <c r="F28743" s="4" t="e">
        <f>IF(B28743=#REF!,"",B28743)</f>
        <v>#REF!</v>
      </c>
    </row>
    <row r="28744" spans="1:6" ht="15.75" customHeight="1">
      <c r="A28744" s="16" t="s">
        <v>28663</v>
      </c>
      <c r="B28744" s="15" t="s">
        <v>28663</v>
      </c>
      <c r="C28744" s="16" t="s">
        <v>27788</v>
      </c>
      <c r="D28744" s="16" t="s">
        <v>27792</v>
      </c>
      <c r="E28744" s="2">
        <v>7261291</v>
      </c>
      <c r="F28744" s="4" t="e">
        <f>IF(B28744=#REF!,"",B28744)</f>
        <v>#REF!</v>
      </c>
    </row>
    <row r="28745" spans="1:6" ht="15.75" customHeight="1">
      <c r="A28745" s="16" t="s">
        <v>11262</v>
      </c>
      <c r="B28745" s="15" t="s">
        <v>11262</v>
      </c>
      <c r="C28745" s="16" t="s">
        <v>10178</v>
      </c>
      <c r="D28745" s="16" t="s">
        <v>10201</v>
      </c>
      <c r="E28745" s="2">
        <v>1271871</v>
      </c>
      <c r="F28745" s="4" t="e">
        <f>IF(B28745=#REF!,"",B28745)</f>
        <v>#REF!</v>
      </c>
    </row>
    <row r="28746" spans="1:6" ht="15.75" customHeight="1">
      <c r="A28746" s="15" t="s">
        <v>4051</v>
      </c>
      <c r="B28746" s="15" t="s">
        <v>4051</v>
      </c>
      <c r="C28746" s="15" t="s">
        <v>3975</v>
      </c>
      <c r="D28746" s="15" t="s">
        <v>3980</v>
      </c>
      <c r="E28746" s="2">
        <v>5955815</v>
      </c>
      <c r="F28746" s="4" t="e">
        <f>IF(B28746=#REF!,"",B28746)</f>
        <v>#REF!</v>
      </c>
    </row>
    <row r="28747" spans="1:6" ht="15.75" customHeight="1">
      <c r="A28747" s="16" t="s">
        <v>28662</v>
      </c>
      <c r="B28747" s="15" t="s">
        <v>28662</v>
      </c>
      <c r="C28747" s="16" t="s">
        <v>27788</v>
      </c>
      <c r="D28747" s="16" t="s">
        <v>27859</v>
      </c>
      <c r="E28747" s="2">
        <v>4857486</v>
      </c>
      <c r="F28747" s="4" t="e">
        <f>IF(B28747=#REF!,"",B28747)</f>
        <v>#REF!</v>
      </c>
    </row>
    <row r="28748" spans="1:6" ht="15.75" customHeight="1">
      <c r="A28748" s="16" t="s">
        <v>17361</v>
      </c>
      <c r="B28748" s="15" t="s">
        <v>17361</v>
      </c>
      <c r="C28748" s="16" t="s">
        <v>17292</v>
      </c>
      <c r="D28748" s="16" t="s">
        <v>17313</v>
      </c>
      <c r="E28748" s="2">
        <v>1055433</v>
      </c>
      <c r="F28748" s="4" t="e">
        <f>IF(B28748=#REF!,"",B28748)</f>
        <v>#REF!</v>
      </c>
    </row>
    <row r="28749" spans="1:6" ht="15.75" customHeight="1">
      <c r="A28749" s="16" t="s">
        <v>28661</v>
      </c>
      <c r="B28749" s="15" t="s">
        <v>28661</v>
      </c>
      <c r="C28749" s="16" t="s">
        <v>27788</v>
      </c>
      <c r="D28749" s="16" t="s">
        <v>2341</v>
      </c>
      <c r="E28749" s="2">
        <v>5577147</v>
      </c>
      <c r="F28749" s="4" t="e">
        <f>IF(B28749=#REF!,"",B28749)</f>
        <v>#REF!</v>
      </c>
    </row>
    <row r="28750" spans="1:6" ht="15.75" customHeight="1">
      <c r="A28750" s="16" t="s">
        <v>28660</v>
      </c>
      <c r="B28750" s="15" t="s">
        <v>28660</v>
      </c>
      <c r="C28750" s="16" t="s">
        <v>27788</v>
      </c>
      <c r="D28750" s="16" t="s">
        <v>27822</v>
      </c>
      <c r="E28750" s="2">
        <v>6941080</v>
      </c>
      <c r="F28750" s="4" t="e">
        <f>IF(B28750=#REF!,"",B28750)</f>
        <v>#REF!</v>
      </c>
    </row>
    <row r="28751" spans="1:6" ht="15.75" customHeight="1">
      <c r="A28751" s="16" t="s">
        <v>23897</v>
      </c>
      <c r="B28751" s="15" t="s">
        <v>23897</v>
      </c>
      <c r="C28751" s="16" t="s">
        <v>23842</v>
      </c>
      <c r="D28751" s="16" t="s">
        <v>23843</v>
      </c>
      <c r="E28751" s="2">
        <v>1003953</v>
      </c>
      <c r="F28751" s="4" t="str">
        <f>IF(B28751=B28750,"",B28751)</f>
        <v>Fort Beaufort</v>
      </c>
    </row>
    <row r="28752" spans="1:6" ht="15.75" customHeight="1">
      <c r="A28752" s="16" t="str">
        <f ca="1">IFERROR(__xludf.DUMMYFUNCTION("GOOGLETRANSLATE(B39103,""en"",""pt"")"),"Fort Abbās")</f>
        <v>Fort Abbās</v>
      </c>
      <c r="B28752" s="20" t="s">
        <v>35023</v>
      </c>
      <c r="C28752" s="20" t="s">
        <v>19808</v>
      </c>
      <c r="D28752" s="20" t="s">
        <v>10184</v>
      </c>
      <c r="E28752" s="10">
        <v>1179223</v>
      </c>
      <c r="F28752" s="4" t="str">
        <f>IF(B28752=B28751,"",B28752)</f>
        <v>Fort Abbās</v>
      </c>
    </row>
    <row r="28753" spans="1:6" ht="15.75" customHeight="1">
      <c r="A28753" s="16" t="s">
        <v>19912</v>
      </c>
      <c r="B28753" s="15" t="s">
        <v>19913</v>
      </c>
      <c r="C28753" s="16" t="s">
        <v>19808</v>
      </c>
      <c r="D28753" s="16" t="s">
        <v>10184</v>
      </c>
      <c r="E28753" s="2">
        <v>1179223</v>
      </c>
      <c r="F28753" s="4" t="e">
        <f>IF(B28753=#REF!,"",B28753)</f>
        <v>#REF!</v>
      </c>
    </row>
    <row r="28754" spans="1:6" ht="15.75" customHeight="1">
      <c r="A28754" s="15" t="s">
        <v>976</v>
      </c>
      <c r="B28754" s="15" t="s">
        <v>976</v>
      </c>
      <c r="C28754" s="15" t="s">
        <v>885</v>
      </c>
      <c r="D28754" s="15" t="s">
        <v>891</v>
      </c>
      <c r="E28754" s="2">
        <v>2166309</v>
      </c>
      <c r="F28754" s="4" t="e">
        <f>IF(B28754=#REF!,"",B28754)</f>
        <v>#REF!</v>
      </c>
    </row>
    <row r="28755" spans="1:6" ht="15.75" customHeight="1">
      <c r="A28755" s="15" t="s">
        <v>8392</v>
      </c>
      <c r="B28755" s="15" t="s">
        <v>8392</v>
      </c>
      <c r="C28755" s="15" t="s">
        <v>8028</v>
      </c>
      <c r="D28755" s="15" t="s">
        <v>8070</v>
      </c>
      <c r="E28755" s="2">
        <v>2925832</v>
      </c>
      <c r="F28755" s="4" t="e">
        <f>IF(B28755=#REF!,"",B28755)</f>
        <v>#REF!</v>
      </c>
    </row>
    <row r="28756" spans="1:6" ht="15.75" customHeight="1">
      <c r="A28756" s="15" t="s">
        <v>6952</v>
      </c>
      <c r="B28756" s="15" t="s">
        <v>6953</v>
      </c>
      <c r="C28756" s="15" t="s">
        <v>6948</v>
      </c>
      <c r="D28756" s="15" t="s">
        <v>6954</v>
      </c>
      <c r="E28756" s="2">
        <v>659935</v>
      </c>
      <c r="F28756" s="4" t="e">
        <f>IF(B28756=#REF!,"",B28756)</f>
        <v>#REF!</v>
      </c>
    </row>
    <row r="28757" spans="1:6" ht="15.75" customHeight="1">
      <c r="A28757" s="16" t="s">
        <v>28659</v>
      </c>
      <c r="B28757" s="15" t="s">
        <v>28659</v>
      </c>
      <c r="C28757" s="16" t="s">
        <v>27788</v>
      </c>
      <c r="D28757" s="16" t="s">
        <v>27991</v>
      </c>
      <c r="E28757" s="2">
        <v>4111382</v>
      </c>
      <c r="F28757" s="4" t="e">
        <f>IF(B28757=#REF!,"",B28757)</f>
        <v>#REF!</v>
      </c>
    </row>
    <row r="28758" spans="1:6" ht="15.75" customHeight="1">
      <c r="A28758" s="16" t="s">
        <v>2470</v>
      </c>
      <c r="B28758" s="15" t="s">
        <v>2470</v>
      </c>
      <c r="C28758" s="16" t="s">
        <v>1905</v>
      </c>
      <c r="D28758" s="16" t="s">
        <v>2020</v>
      </c>
      <c r="E28758" s="2">
        <v>3463066</v>
      </c>
      <c r="F28758" s="4" t="e">
        <f>IF(B28758=#REF!,"",B28758)</f>
        <v>#REF!</v>
      </c>
    </row>
    <row r="28759" spans="1:6" ht="15.75" customHeight="1">
      <c r="A28759" s="16" t="s">
        <v>15150</v>
      </c>
      <c r="B28759" s="15" t="s">
        <v>15150</v>
      </c>
      <c r="C28759" s="16" t="s">
        <v>14891</v>
      </c>
      <c r="D28759" s="16" t="s">
        <v>14943</v>
      </c>
      <c r="E28759" s="2">
        <v>3176722</v>
      </c>
      <c r="F28759" s="4" t="e">
        <f>IF(B28759=#REF!,"",B28759)</f>
        <v>#REF!</v>
      </c>
    </row>
    <row r="28760" spans="1:6" ht="15.75" customHeight="1">
      <c r="A28760" s="15" t="s">
        <v>658</v>
      </c>
      <c r="B28760" s="15" t="s">
        <v>658</v>
      </c>
      <c r="C28760" s="15" t="s">
        <v>558</v>
      </c>
      <c r="D28760" s="15" t="s">
        <v>658</v>
      </c>
      <c r="E28760" s="2">
        <v>3433899</v>
      </c>
      <c r="F28760" s="4" t="e">
        <f>IF(B28760=#REF!,"",B28760)</f>
        <v>#REF!</v>
      </c>
    </row>
    <row r="28761" spans="1:6" ht="15.75" customHeight="1">
      <c r="A28761" s="16" t="s">
        <v>15149</v>
      </c>
      <c r="B28761" s="15" t="s">
        <v>15149</v>
      </c>
      <c r="C28761" s="16" t="s">
        <v>14891</v>
      </c>
      <c r="D28761" s="16" t="s">
        <v>14973</v>
      </c>
      <c r="E28761" s="2">
        <v>3176733</v>
      </c>
      <c r="F28761" s="4" t="e">
        <f>IF(B28761=#REF!,"",B28761)</f>
        <v>#REF!</v>
      </c>
    </row>
    <row r="28762" spans="1:6" ht="15.75" customHeight="1">
      <c r="A28762" s="15" t="s">
        <v>2469</v>
      </c>
      <c r="B28762" s="15" t="s">
        <v>2469</v>
      </c>
      <c r="C28762" s="15" t="s">
        <v>1905</v>
      </c>
      <c r="D28762" s="15" t="s">
        <v>1917</v>
      </c>
      <c r="E28762" s="2">
        <v>3463174</v>
      </c>
      <c r="F28762" s="4" t="e">
        <f>IF(B28762=#REF!,"",B28762)</f>
        <v>#REF!</v>
      </c>
    </row>
    <row r="28763" spans="1:6" ht="15.75" customHeight="1">
      <c r="A28763" s="15" t="s">
        <v>15148</v>
      </c>
      <c r="B28763" s="15" t="s">
        <v>15148</v>
      </c>
      <c r="C28763" s="15" t="s">
        <v>14891</v>
      </c>
      <c r="D28763" s="15" t="s">
        <v>14904</v>
      </c>
      <c r="E28763" s="2">
        <v>3176738</v>
      </c>
      <c r="F28763" s="4" t="str">
        <f>IF(B28763=B28762,"",B28763)</f>
        <v>Formia</v>
      </c>
    </row>
    <row r="28764" spans="1:6" ht="15.75" customHeight="1">
      <c r="A28764" s="16" t="str">
        <f ca="1">IFERROR(__xludf.DUMMYFUNCTION("GOOGLETRANSLATE(B34922,""en"",""pt"")"),"Forlì")</f>
        <v>Forlì</v>
      </c>
      <c r="B28764" s="20" t="s">
        <v>34272</v>
      </c>
      <c r="C28764" s="20" t="s">
        <v>14891</v>
      </c>
      <c r="D28764" s="20" t="s">
        <v>14973</v>
      </c>
      <c r="E28764" s="10">
        <v>3176746</v>
      </c>
      <c r="F28764" s="4" t="str">
        <f>IF(B28764=B28763,"",B28764)</f>
        <v>Forlì</v>
      </c>
    </row>
    <row r="28765" spans="1:6" ht="15.75" customHeight="1">
      <c r="A28765" s="15" t="s">
        <v>15146</v>
      </c>
      <c r="B28765" s="15" t="s">
        <v>15147</v>
      </c>
      <c r="C28765" s="15" t="s">
        <v>14891</v>
      </c>
      <c r="D28765" s="15" t="s">
        <v>14973</v>
      </c>
      <c r="E28765" s="2">
        <v>3176746</v>
      </c>
      <c r="F28765" s="4" t="e">
        <f>IF(B28765=#REF!,"",B28765)</f>
        <v>#REF!</v>
      </c>
    </row>
    <row r="28766" spans="1:6" ht="15.75" customHeight="1">
      <c r="A28766" s="15" t="s">
        <v>15145</v>
      </c>
      <c r="B28766" s="15" t="s">
        <v>15145</v>
      </c>
      <c r="C28766" s="15" t="s">
        <v>14891</v>
      </c>
      <c r="D28766" s="15" t="s">
        <v>14896</v>
      </c>
      <c r="E28766" s="2">
        <v>3176748</v>
      </c>
      <c r="F28766" s="4" t="e">
        <f>IF(B28766=#REF!,"",B28766)</f>
        <v>#REF!</v>
      </c>
    </row>
    <row r="28767" spans="1:6" ht="15.75" customHeight="1">
      <c r="A28767" s="16" t="s">
        <v>28657</v>
      </c>
      <c r="B28767" s="15" t="s">
        <v>28658</v>
      </c>
      <c r="C28767" s="16" t="s">
        <v>27788</v>
      </c>
      <c r="D28767" s="16" t="s">
        <v>7988</v>
      </c>
      <c r="E28767" s="2">
        <v>4195701</v>
      </c>
      <c r="F28767" s="4" t="e">
        <f>IF(B28767=#REF!,"",B28767)</f>
        <v>#REF!</v>
      </c>
    </row>
    <row r="28768" spans="1:6" ht="15.75" customHeight="1">
      <c r="A28768" s="16" t="s">
        <v>974</v>
      </c>
      <c r="B28768" s="15" t="s">
        <v>975</v>
      </c>
      <c r="C28768" s="16" t="s">
        <v>885</v>
      </c>
      <c r="D28768" s="16" t="s">
        <v>910</v>
      </c>
      <c r="E28768" s="2">
        <v>9957340</v>
      </c>
      <c r="F28768" s="4" t="e">
        <f>IF(B28768=#REF!,"",B28768)</f>
        <v>#REF!</v>
      </c>
    </row>
    <row r="28769" spans="1:6" ht="15.75" customHeight="1">
      <c r="A28769" s="16" t="s">
        <v>28655</v>
      </c>
      <c r="B28769" s="15" t="s">
        <v>28656</v>
      </c>
      <c r="C28769" s="16" t="s">
        <v>27788</v>
      </c>
      <c r="D28769" s="16" t="s">
        <v>27804</v>
      </c>
      <c r="E28769" s="2">
        <v>4993125</v>
      </c>
      <c r="F28769" s="4" t="e">
        <f>IF(B28769=#REF!,"",B28769)</f>
        <v>#REF!</v>
      </c>
    </row>
    <row r="28770" spans="1:6" ht="15.75" customHeight="1">
      <c r="A28770" s="16" t="s">
        <v>28654</v>
      </c>
      <c r="B28770" s="15" t="s">
        <v>28654</v>
      </c>
      <c r="C28770" s="16" t="s">
        <v>27788</v>
      </c>
      <c r="D28770" s="16" t="s">
        <v>27820</v>
      </c>
      <c r="E28770" s="2">
        <v>5727190</v>
      </c>
      <c r="F28770" s="4" t="e">
        <f>IF(B28770=#REF!,"",B28770)</f>
        <v>#REF!</v>
      </c>
    </row>
    <row r="28771" spans="1:6" ht="15.75" customHeight="1">
      <c r="A28771" s="15" t="s">
        <v>28653</v>
      </c>
      <c r="B28771" s="15" t="s">
        <v>28653</v>
      </c>
      <c r="C28771" s="15" t="s">
        <v>27788</v>
      </c>
      <c r="D28771" s="15" t="s">
        <v>27905</v>
      </c>
      <c r="E28771" s="2">
        <v>5098109</v>
      </c>
      <c r="F28771" s="4" t="e">
        <f>IF(B28771=#REF!,"",B28771)</f>
        <v>#REF!</v>
      </c>
    </row>
    <row r="28772" spans="1:6" ht="15.75" customHeight="1">
      <c r="A28772" s="15" t="s">
        <v>21214</v>
      </c>
      <c r="B28772" s="15" t="s">
        <v>21214</v>
      </c>
      <c r="C28772" s="15" t="s">
        <v>21064</v>
      </c>
      <c r="D28772" s="15" t="s">
        <v>21125</v>
      </c>
      <c r="E28772" s="2">
        <v>3099654</v>
      </c>
      <c r="F28772" s="4" t="e">
        <f>IF(B28772=#REF!,"",B28772)</f>
        <v>#REF!</v>
      </c>
    </row>
    <row r="28773" spans="1:6" ht="15.75" customHeight="1">
      <c r="A28773" s="16" t="s">
        <v>8391</v>
      </c>
      <c r="B28773" s="15" t="s">
        <v>8391</v>
      </c>
      <c r="C28773" s="16" t="s">
        <v>8028</v>
      </c>
      <c r="D28773" s="16" t="s">
        <v>8044</v>
      </c>
      <c r="E28773" s="2">
        <v>2925910</v>
      </c>
      <c r="F28773" s="4" t="e">
        <f>IF(B28773=#REF!,"",B28773)</f>
        <v>#REF!</v>
      </c>
    </row>
    <row r="28774" spans="1:6" ht="15.75" customHeight="1">
      <c r="A28774" s="16" t="s">
        <v>11261</v>
      </c>
      <c r="B28774" s="15" t="s">
        <v>11261</v>
      </c>
      <c r="C28774" s="16" t="s">
        <v>10178</v>
      </c>
      <c r="D28774" s="16" t="s">
        <v>10317</v>
      </c>
      <c r="E28774" s="2">
        <v>1271874</v>
      </c>
      <c r="F28774" s="4" t="e">
        <f>IF(B28774=#REF!,"",B28774)</f>
        <v>#REF!</v>
      </c>
    </row>
    <row r="28775" spans="1:6" ht="15.75" customHeight="1">
      <c r="A28775" s="15" t="s">
        <v>7353</v>
      </c>
      <c r="B28775" s="15" t="s">
        <v>7353</v>
      </c>
      <c r="C28775" s="15" t="s">
        <v>7052</v>
      </c>
      <c r="D28775" s="15" t="s">
        <v>7061</v>
      </c>
      <c r="E28775" s="2">
        <v>3017805</v>
      </c>
      <c r="F28775" s="4" t="e">
        <f>IF(B28775=#REF!,"",B28775)</f>
        <v>#REF!</v>
      </c>
    </row>
    <row r="28776" spans="1:6" ht="15.75" customHeight="1">
      <c r="A28776" s="16" t="s">
        <v>28651</v>
      </c>
      <c r="B28776" s="15" t="s">
        <v>28652</v>
      </c>
      <c r="C28776" s="16" t="s">
        <v>27788</v>
      </c>
      <c r="D28776" s="16" t="s">
        <v>27801</v>
      </c>
      <c r="E28776" s="2">
        <v>5349803</v>
      </c>
      <c r="F28776" s="4" t="e">
        <f>IF(B28776=#REF!,"",B28776)</f>
        <v>#REF!</v>
      </c>
    </row>
    <row r="28777" spans="1:6" ht="15.75" customHeight="1">
      <c r="A28777" s="16" t="s">
        <v>7351</v>
      </c>
      <c r="B28777" s="15" t="s">
        <v>7352</v>
      </c>
      <c r="C28777" s="16" t="s">
        <v>7052</v>
      </c>
      <c r="D28777" s="16" t="s">
        <v>7058</v>
      </c>
      <c r="E28777" s="2">
        <v>3017910</v>
      </c>
      <c r="F28777" s="4" t="e">
        <f>IF(B28777=#REF!,"",B28777)</f>
        <v>#REF!</v>
      </c>
    </row>
    <row r="28778" spans="1:6" ht="15.75" customHeight="1">
      <c r="A28778" s="16" t="s">
        <v>7349</v>
      </c>
      <c r="B28778" s="15" t="s">
        <v>7350</v>
      </c>
      <c r="C28778" s="16" t="s">
        <v>7052</v>
      </c>
      <c r="D28778" s="16" t="s">
        <v>7102</v>
      </c>
      <c r="E28778" s="2">
        <v>3017921</v>
      </c>
      <c r="F28778" s="4" t="e">
        <f>IF(B28778=#REF!,"",B28778)</f>
        <v>#REF!</v>
      </c>
    </row>
    <row r="28779" spans="1:6" ht="15.75" customHeight="1">
      <c r="A28779" s="16" t="s">
        <v>7347</v>
      </c>
      <c r="B28779" s="15" t="s">
        <v>7348</v>
      </c>
      <c r="C28779" s="16" t="s">
        <v>7052</v>
      </c>
      <c r="D28779" s="16" t="s">
        <v>7058</v>
      </c>
      <c r="E28779" s="2">
        <v>3017924</v>
      </c>
      <c r="F28779" s="4" t="e">
        <f>IF(B28779=#REF!,"",B28779)</f>
        <v>#REF!</v>
      </c>
    </row>
    <row r="28780" spans="1:6" ht="15.75" customHeight="1">
      <c r="A28780" s="15" t="s">
        <v>3916</v>
      </c>
      <c r="B28780" s="15" t="s">
        <v>3917</v>
      </c>
      <c r="C28780" s="15" t="s">
        <v>3884</v>
      </c>
      <c r="D28780" s="15" t="s">
        <v>3898</v>
      </c>
      <c r="E28780" s="2">
        <v>2231564</v>
      </c>
      <c r="F28780" s="4" t="e">
        <f>IF(B28780=#REF!,"",B28780)</f>
        <v>#REF!</v>
      </c>
    </row>
    <row r="28781" spans="1:6" ht="15.75" customHeight="1">
      <c r="A28781" s="16" t="s">
        <v>2468</v>
      </c>
      <c r="B28781" s="15" t="s">
        <v>2468</v>
      </c>
      <c r="C28781" s="16" t="s">
        <v>1905</v>
      </c>
      <c r="D28781" s="16" t="s">
        <v>2287</v>
      </c>
      <c r="E28781" s="2">
        <v>3664207</v>
      </c>
      <c r="F28781" s="4" t="e">
        <f>IF(B28781=#REF!,"",B28781)</f>
        <v>#REF!</v>
      </c>
    </row>
    <row r="28782" spans="1:6" ht="15.75" customHeight="1">
      <c r="A28782" s="15" t="s">
        <v>657</v>
      </c>
      <c r="B28782" s="15" t="s">
        <v>657</v>
      </c>
      <c r="C28782" s="15" t="s">
        <v>558</v>
      </c>
      <c r="D28782" s="15" t="s">
        <v>586</v>
      </c>
      <c r="E28782" s="2">
        <v>3433901</v>
      </c>
      <c r="F28782" s="4" t="e">
        <f>IF(B28782=#REF!,"",B28782)</f>
        <v>#REF!</v>
      </c>
    </row>
    <row r="28783" spans="1:6" ht="15.75" customHeight="1">
      <c r="A28783" s="16" t="s">
        <v>7346</v>
      </c>
      <c r="B28783" s="15" t="s">
        <v>7346</v>
      </c>
      <c r="C28783" s="16" t="s">
        <v>7052</v>
      </c>
      <c r="D28783" s="16" t="s">
        <v>7058</v>
      </c>
      <c r="E28783" s="2">
        <v>3018074</v>
      </c>
      <c r="F28783" s="4" t="e">
        <f>IF(B28783=#REF!,"",B28783)</f>
        <v>#REF!</v>
      </c>
    </row>
    <row r="28784" spans="1:6" ht="15.75" customHeight="1">
      <c r="A28784" s="15" t="s">
        <v>7345</v>
      </c>
      <c r="B28784" s="15" t="s">
        <v>7345</v>
      </c>
      <c r="C28784" s="15" t="s">
        <v>7052</v>
      </c>
      <c r="D28784" s="15" t="s">
        <v>7053</v>
      </c>
      <c r="E28784" s="2">
        <v>3018095</v>
      </c>
      <c r="F28784" s="4" t="e">
        <f>IF(B28784=#REF!,"",B28784)</f>
        <v>#REF!</v>
      </c>
    </row>
    <row r="28785" spans="1:6" ht="15.75" customHeight="1">
      <c r="A28785" s="15" t="s">
        <v>5470</v>
      </c>
      <c r="B28785" s="15" t="s">
        <v>5470</v>
      </c>
      <c r="C28785" s="15" t="s">
        <v>5348</v>
      </c>
      <c r="D28785" s="15" t="s">
        <v>5383</v>
      </c>
      <c r="E28785" s="2">
        <v>3682374</v>
      </c>
      <c r="F28785" s="4" t="e">
        <f>IF(B28785=#REF!,"",B28785)</f>
        <v>#REF!</v>
      </c>
    </row>
    <row r="28786" spans="1:6" ht="15.75" customHeight="1">
      <c r="A28786" s="15" t="s">
        <v>15144</v>
      </c>
      <c r="B28786" s="15" t="s">
        <v>15144</v>
      </c>
      <c r="C28786" s="15" t="s">
        <v>14891</v>
      </c>
      <c r="D28786" s="15" t="s">
        <v>14904</v>
      </c>
      <c r="E28786" s="2">
        <v>3176843</v>
      </c>
      <c r="F28786" s="4" t="e">
        <f>IF(B28786=#REF!,"",B28786)</f>
        <v>#REF!</v>
      </c>
    </row>
    <row r="28787" spans="1:6" ht="15.75" customHeight="1">
      <c r="A28787" s="16" t="s">
        <v>9873</v>
      </c>
      <c r="B28787" s="15" t="s">
        <v>9874</v>
      </c>
      <c r="C28787" s="16" t="s">
        <v>9866</v>
      </c>
      <c r="D28787" s="16" t="s">
        <v>9867</v>
      </c>
      <c r="E28787" s="2">
        <v>3725276</v>
      </c>
      <c r="F28787" s="4" t="e">
        <f>IF(B28787=#REF!,"",B28787)</f>
        <v>#REF!</v>
      </c>
    </row>
    <row r="28788" spans="1:6" ht="15.75" customHeight="1">
      <c r="A28788" s="16" t="s">
        <v>28650</v>
      </c>
      <c r="B28788" s="15" t="s">
        <v>28650</v>
      </c>
      <c r="C28788" s="16" t="s">
        <v>27788</v>
      </c>
      <c r="D28788" s="16" t="s">
        <v>27890</v>
      </c>
      <c r="E28788" s="2">
        <v>5253352</v>
      </c>
      <c r="F28788" s="4" t="e">
        <f>IF(B28788=#REF!,"",B28788)</f>
        <v>#REF!</v>
      </c>
    </row>
    <row r="28789" spans="1:6" ht="15.75" customHeight="1">
      <c r="A28789" s="15" t="s">
        <v>5835</v>
      </c>
      <c r="B28789" s="15" t="s">
        <v>5835</v>
      </c>
      <c r="C28789" s="15" t="s">
        <v>5764</v>
      </c>
      <c r="D28789" s="15" t="s">
        <v>5799</v>
      </c>
      <c r="E28789" s="2">
        <v>3558744</v>
      </c>
      <c r="F28789" s="4" t="e">
        <f>IF(B28789=#REF!,"",B28789)</f>
        <v>#REF!</v>
      </c>
    </row>
    <row r="28790" spans="1:6" ht="15.75" customHeight="1">
      <c r="A28790" s="15" t="s">
        <v>28649</v>
      </c>
      <c r="B28790" s="15" t="s">
        <v>28649</v>
      </c>
      <c r="C28790" s="15" t="s">
        <v>27788</v>
      </c>
      <c r="D28790" s="15" t="s">
        <v>27801</v>
      </c>
      <c r="E28790" s="2">
        <v>5349705</v>
      </c>
      <c r="F28790" s="4" t="e">
        <f>IF(B28790=#REF!,"",B28790)</f>
        <v>#REF!</v>
      </c>
    </row>
    <row r="28791" spans="1:6" ht="15.75" customHeight="1">
      <c r="A28791" s="15" t="s">
        <v>15142</v>
      </c>
      <c r="B28791" s="15" t="s">
        <v>15143</v>
      </c>
      <c r="C28791" s="15" t="s">
        <v>14891</v>
      </c>
      <c r="D28791" s="15" t="s">
        <v>14943</v>
      </c>
      <c r="E28791" s="2">
        <v>3176849</v>
      </c>
      <c r="F28791" s="4" t="e">
        <f>IF(B28791=#REF!,"",B28791)</f>
        <v>#REF!</v>
      </c>
    </row>
    <row r="28792" spans="1:6" ht="15.75" customHeight="1">
      <c r="A28792" s="15" t="s">
        <v>15141</v>
      </c>
      <c r="B28792" s="15" t="s">
        <v>15141</v>
      </c>
      <c r="C28792" s="15" t="s">
        <v>14891</v>
      </c>
      <c r="D28792" s="15" t="s">
        <v>14969</v>
      </c>
      <c r="E28792" s="2">
        <v>3176854</v>
      </c>
      <c r="F28792" s="4" t="e">
        <f>IF(B28792=#REF!,"",B28792)</f>
        <v>#REF!</v>
      </c>
    </row>
    <row r="28793" spans="1:6" ht="15.75" customHeight="1">
      <c r="A28793" s="15" t="s">
        <v>22376</v>
      </c>
      <c r="B28793" s="15" t="s">
        <v>22376</v>
      </c>
      <c r="C28793" s="15" t="s">
        <v>22070</v>
      </c>
      <c r="D28793" s="15" t="s">
        <v>22154</v>
      </c>
      <c r="E28793" s="2">
        <v>2015310</v>
      </c>
      <c r="F28793" s="4" t="e">
        <f>IF(B28793=#REF!,"",B28793)</f>
        <v>#REF!</v>
      </c>
    </row>
    <row r="28794" spans="1:6" ht="15.75" customHeight="1">
      <c r="A28794" s="15" t="s">
        <v>15140</v>
      </c>
      <c r="B28794" s="15" t="s">
        <v>15140</v>
      </c>
      <c r="C28794" s="15" t="s">
        <v>14891</v>
      </c>
      <c r="D28794" s="15" t="s">
        <v>14908</v>
      </c>
      <c r="E28794" s="2">
        <v>3176885</v>
      </c>
      <c r="F28794" s="4" t="str">
        <f>IF(B28794=B28793,"",B28794)</f>
        <v>Foggia</v>
      </c>
    </row>
    <row r="28795" spans="1:6" ht="15.75" customHeight="1">
      <c r="A28795" s="16" t="str">
        <f ca="1">IFERROR(__xludf.DUMMYFUNCTION("GOOGLETRANSLATE(B39793,""en"",""pt"")"),"Focșani")</f>
        <v>Focșani</v>
      </c>
      <c r="B28795" s="20" t="s">
        <v>35382</v>
      </c>
      <c r="C28795" s="20" t="s">
        <v>21824</v>
      </c>
      <c r="D28795" s="20" t="s">
        <v>21825</v>
      </c>
      <c r="E28795" s="10">
        <v>678015</v>
      </c>
      <c r="F28795" s="4" t="e">
        <f>IF(B28795=#REF!,"",B28795)</f>
        <v>#REF!</v>
      </c>
    </row>
    <row r="28796" spans="1:6" ht="15.75" customHeight="1">
      <c r="A28796" s="15" t="s">
        <v>23896</v>
      </c>
      <c r="B28796" s="15" t="s">
        <v>23896</v>
      </c>
      <c r="C28796" s="15" t="s">
        <v>23842</v>
      </c>
      <c r="D28796" s="15" t="s">
        <v>23860</v>
      </c>
      <c r="E28796" s="2">
        <v>1004109</v>
      </c>
      <c r="F28796" s="4" t="str">
        <f>IF(B28796=B28795,"",B28796)</f>
        <v>Fochville</v>
      </c>
    </row>
    <row r="28797" spans="1:6" ht="15.75" customHeight="1">
      <c r="A28797" s="16" t="s">
        <v>21930</v>
      </c>
      <c r="B28797" s="15" t="s">
        <v>21931</v>
      </c>
      <c r="C28797" s="16" t="s">
        <v>21824</v>
      </c>
      <c r="D28797" s="16" t="s">
        <v>21825</v>
      </c>
      <c r="E28797" s="2">
        <v>678015</v>
      </c>
      <c r="F28797" s="4" t="str">
        <f>IF(B28797=B28796,"",B28797)</f>
        <v>FocÈ™ani</v>
      </c>
    </row>
    <row r="28798" spans="1:6" ht="15.75" customHeight="1">
      <c r="A28798" s="16" t="str">
        <f ca="1">IFERROR(__xludf.DUMMYFUNCTION("GOOGLETRANSLATE(B41995,""en"",""pt"")"),"Foça")</f>
        <v>Foça</v>
      </c>
      <c r="B28798" s="20" t="s">
        <v>35875</v>
      </c>
      <c r="C28798" s="20" t="s">
        <v>26201</v>
      </c>
      <c r="D28798" s="20" t="s">
        <v>35825</v>
      </c>
      <c r="E28798" s="10">
        <v>314903</v>
      </c>
      <c r="F28798" s="4" t="str">
        <f>IF(B28798=B28797,"",B28798)</f>
        <v>Foça</v>
      </c>
    </row>
    <row r="28799" spans="1:6" ht="15.75" customHeight="1">
      <c r="A28799" s="15" t="s">
        <v>26495</v>
      </c>
      <c r="B28799" s="15" t="s">
        <v>26496</v>
      </c>
      <c r="C28799" s="15" t="s">
        <v>26201</v>
      </c>
      <c r="D28799" s="15" t="s">
        <v>26213</v>
      </c>
      <c r="E28799" s="2">
        <v>314903</v>
      </c>
      <c r="F28799" s="4" t="e">
        <f>IF(B28799=#REF!,"",B28799)</f>
        <v>#REF!</v>
      </c>
    </row>
    <row r="28800" spans="1:6" ht="15.75" customHeight="1">
      <c r="A28800" s="16" t="s">
        <v>5340</v>
      </c>
      <c r="B28800" s="15" t="s">
        <v>5341</v>
      </c>
      <c r="C28800" s="16" t="s">
        <v>5342</v>
      </c>
      <c r="D28800" s="16" t="s">
        <v>551</v>
      </c>
      <c r="E28800" s="2">
        <v>2078127</v>
      </c>
      <c r="F28800" s="4" t="e">
        <f>IF(B28800=#REF!,"",B28800)</f>
        <v>#REF!</v>
      </c>
    </row>
    <row r="28801" spans="1:6" ht="15.75" customHeight="1">
      <c r="A28801" s="16" t="s">
        <v>28647</v>
      </c>
      <c r="B28801" s="15" t="s">
        <v>28648</v>
      </c>
      <c r="C28801" s="16" t="s">
        <v>27788</v>
      </c>
      <c r="D28801" s="16" t="s">
        <v>27880</v>
      </c>
      <c r="E28801" s="2">
        <v>5294937</v>
      </c>
      <c r="F28801" s="4" t="e">
        <f>IF(B28801=#REF!,"",B28801)</f>
        <v>#REF!</v>
      </c>
    </row>
    <row r="28802" spans="1:6" ht="15.75" customHeight="1">
      <c r="A28802" s="16" t="s">
        <v>28645</v>
      </c>
      <c r="B28802" s="15" t="s">
        <v>28646</v>
      </c>
      <c r="C28802" s="16" t="s">
        <v>27788</v>
      </c>
      <c r="D28802" s="16" t="s">
        <v>27792</v>
      </c>
      <c r="E28802" s="2">
        <v>4691585</v>
      </c>
      <c r="F28802" s="4" t="str">
        <f>IF(B28802=B28801,"",B28802)</f>
        <v>Flower Mound</v>
      </c>
    </row>
    <row r="28803" spans="1:6" ht="15.75" customHeight="1">
      <c r="A28803" s="16" t="str">
        <f ca="1">IFERROR(__xludf.DUMMYFUNCTION("GOOGLETRANSLATE(B28102,""en"",""pt"")"),"Flörsheim")</f>
        <v>Flörsheim</v>
      </c>
      <c r="B28803" s="20" t="s">
        <v>32111</v>
      </c>
      <c r="C28803" s="20" t="s">
        <v>8028</v>
      </c>
      <c r="D28803" s="20" t="s">
        <v>8050</v>
      </c>
      <c r="E28803" s="10">
        <v>2926120</v>
      </c>
      <c r="F28803" s="4" t="e">
        <f>IF(B28803=#REF!,"",B28803)</f>
        <v>#REF!</v>
      </c>
    </row>
    <row r="28804" spans="1:6" ht="15.75" customHeight="1">
      <c r="A28804" s="15" t="s">
        <v>28644</v>
      </c>
      <c r="B28804" s="15" t="s">
        <v>28644</v>
      </c>
      <c r="C28804" s="15" t="s">
        <v>27788</v>
      </c>
      <c r="D28804" s="15" t="s">
        <v>27806</v>
      </c>
      <c r="E28804" s="2">
        <v>4386802</v>
      </c>
      <c r="F28804" s="4" t="str">
        <f>IF(B28804=B28803,"",B28804)</f>
        <v>Florissant</v>
      </c>
    </row>
    <row r="28805" spans="1:6" ht="15.75" customHeight="1">
      <c r="A28805" s="16" t="str">
        <f ca="1">IFERROR(__xludf.DUMMYFUNCTION("GOOGLETRANSLATE(B31049,""en"",""pt"")"),"Flórina")</f>
        <v>Flórina</v>
      </c>
      <c r="B28805" s="20" t="s">
        <v>32755</v>
      </c>
      <c r="C28805" s="20" t="s">
        <v>9441</v>
      </c>
      <c r="D28805" s="20" t="s">
        <v>9511</v>
      </c>
      <c r="E28805" s="10">
        <v>736229</v>
      </c>
      <c r="F28805" s="4" t="e">
        <f>IF(B28805=#REF!,"",B28805)</f>
        <v>#REF!</v>
      </c>
    </row>
    <row r="28806" spans="1:6" ht="15.75" customHeight="1">
      <c r="A28806" s="15" t="s">
        <v>28642</v>
      </c>
      <c r="B28806" s="15" t="s">
        <v>28643</v>
      </c>
      <c r="C28806" s="15" t="s">
        <v>27788</v>
      </c>
      <c r="D28806" s="15" t="s">
        <v>27801</v>
      </c>
      <c r="E28806" s="2">
        <v>5349613</v>
      </c>
      <c r="F28806" s="4" t="e">
        <f>IF(B28806=#REF!,"",B28806)</f>
        <v>#REF!</v>
      </c>
    </row>
    <row r="28807" spans="1:6" ht="15.75" customHeight="1">
      <c r="A28807" s="15" t="s">
        <v>5467</v>
      </c>
      <c r="B28807" s="15" t="s">
        <v>15139</v>
      </c>
      <c r="C28807" s="15" t="s">
        <v>14891</v>
      </c>
      <c r="D28807" s="15" t="s">
        <v>14899</v>
      </c>
      <c r="E28807" s="2">
        <v>2524734</v>
      </c>
      <c r="F28807" s="4" t="e">
        <f>IF(B28807=#REF!,"",B28807)</f>
        <v>#REF!</v>
      </c>
    </row>
    <row r="28808" spans="1:6" ht="15.75" customHeight="1">
      <c r="A28808" s="16" t="s">
        <v>5469</v>
      </c>
      <c r="B28808" s="15" t="s">
        <v>5469</v>
      </c>
      <c r="C28808" s="16" t="s">
        <v>5348</v>
      </c>
      <c r="D28808" s="16" t="s">
        <v>5380</v>
      </c>
      <c r="E28808" s="2">
        <v>3682385</v>
      </c>
      <c r="F28808" s="4" t="e">
        <f>IF(B28808=#REF!,"",B28808)</f>
        <v>#REF!</v>
      </c>
    </row>
    <row r="28809" spans="1:6" ht="15.75" customHeight="1">
      <c r="A28809" s="16" t="s">
        <v>28641</v>
      </c>
      <c r="B28809" s="15" t="s">
        <v>28641</v>
      </c>
      <c r="C28809" s="16" t="s">
        <v>27788</v>
      </c>
      <c r="D28809" s="16" t="s">
        <v>5468</v>
      </c>
      <c r="E28809" s="2">
        <v>4155726</v>
      </c>
      <c r="F28809" s="4" t="e">
        <f>IF(B28809=#REF!,"",B28809)</f>
        <v>#REF!</v>
      </c>
    </row>
    <row r="28810" spans="1:6" ht="15.75" customHeight="1">
      <c r="A28810" s="15" t="s">
        <v>5467</v>
      </c>
      <c r="B28810" s="15" t="s">
        <v>5468</v>
      </c>
      <c r="C28810" s="15" t="s">
        <v>5348</v>
      </c>
      <c r="D28810" s="15" t="s">
        <v>5360</v>
      </c>
      <c r="E28810" s="2">
        <v>3682393</v>
      </c>
      <c r="F28810" s="4" t="str">
        <f>IF(B28810=B28809,"",B28810)</f>
        <v>Florida</v>
      </c>
    </row>
    <row r="28811" spans="1:6" ht="15.75" customHeight="1">
      <c r="A28811" s="16" t="str">
        <f ca="1">IFERROR(__xludf.DUMMYFUNCTION("GOOGLETRANSLATE(B25040,""en"",""pt"")"),"Florianópolis")</f>
        <v>Florianópolis</v>
      </c>
      <c r="B28811" s="20" t="s">
        <v>31661</v>
      </c>
      <c r="C28811" s="20" t="s">
        <v>1905</v>
      </c>
      <c r="D28811" s="20" t="s">
        <v>2020</v>
      </c>
      <c r="E28811" s="10">
        <v>3463237</v>
      </c>
      <c r="F28811" s="4" t="e">
        <f>IF(B28811=#REF!,"",B28811)</f>
        <v>#REF!</v>
      </c>
    </row>
    <row r="28812" spans="1:6" ht="15.75" customHeight="1">
      <c r="A28812" s="15" t="s">
        <v>2467</v>
      </c>
      <c r="B28812" s="15" t="s">
        <v>2467</v>
      </c>
      <c r="C28812" s="15" t="s">
        <v>1905</v>
      </c>
      <c r="D28812" s="15" t="s">
        <v>1960</v>
      </c>
      <c r="E28812" s="2">
        <v>3399506</v>
      </c>
      <c r="F28812" s="4" t="str">
        <f>IF(B28812=B28811,"",B28812)</f>
        <v>Floriano</v>
      </c>
    </row>
    <row r="28813" spans="1:6" ht="15.75" customHeight="1">
      <c r="A28813" s="16" t="s">
        <v>2465</v>
      </c>
      <c r="B28813" s="15" t="s">
        <v>2466</v>
      </c>
      <c r="C28813" s="16" t="s">
        <v>1905</v>
      </c>
      <c r="D28813" s="16" t="s">
        <v>2020</v>
      </c>
      <c r="E28813" s="2">
        <v>3463237</v>
      </c>
      <c r="F28813" s="4" t="str">
        <f>IF(B28813=B28812,"",B28813)</f>
        <v>FlorianÃ³polis</v>
      </c>
    </row>
    <row r="28814" spans="1:6" ht="15.75" customHeight="1">
      <c r="A28814" s="16" t="str">
        <f ca="1">IFERROR(__xludf.DUMMYFUNCTION("GOOGLETRANSLATE(B36537,""en"",""pt"")"),"Floreşti")</f>
        <v>Floreşti</v>
      </c>
      <c r="B28814" s="20" t="s">
        <v>34605</v>
      </c>
      <c r="C28814" s="20" t="s">
        <v>18455</v>
      </c>
      <c r="D28814" s="20" t="s">
        <v>34605</v>
      </c>
      <c r="E28814" s="10">
        <v>618329</v>
      </c>
      <c r="F28814" s="4" t="e">
        <f>IF(B28814=#REF!,"",B28814)</f>
        <v>#REF!</v>
      </c>
    </row>
    <row r="28815" spans="1:6" ht="15.75" customHeight="1">
      <c r="A28815" s="15" t="s">
        <v>2464</v>
      </c>
      <c r="B28815" s="15" t="s">
        <v>2464</v>
      </c>
      <c r="C28815" s="15" t="s">
        <v>1905</v>
      </c>
      <c r="D28815" s="15" t="s">
        <v>1909</v>
      </c>
      <c r="E28815" s="2">
        <v>3399518</v>
      </c>
      <c r="F28815" s="4" t="e">
        <f>IF(B28815=#REF!,"",B28815)</f>
        <v>#REF!</v>
      </c>
    </row>
    <row r="28816" spans="1:6" ht="15.75" customHeight="1">
      <c r="A28816" s="16" t="s">
        <v>2463</v>
      </c>
      <c r="B28816" s="15" t="s">
        <v>2463</v>
      </c>
      <c r="C28816" s="16" t="s">
        <v>1905</v>
      </c>
      <c r="D28816" s="16" t="s">
        <v>1951</v>
      </c>
      <c r="E28816" s="2">
        <v>3463271</v>
      </c>
      <c r="F28816" s="4" t="e">
        <f>IF(B28816=#REF!,"",B28816)</f>
        <v>#REF!</v>
      </c>
    </row>
    <row r="28817" spans="1:6" ht="15.75" customHeight="1">
      <c r="A28817" s="15" t="s">
        <v>9737</v>
      </c>
      <c r="B28817" s="15" t="s">
        <v>9737</v>
      </c>
      <c r="C28817" s="15" t="s">
        <v>9700</v>
      </c>
      <c r="D28817" s="15" t="s">
        <v>9738</v>
      </c>
      <c r="E28817" s="2">
        <v>3595725</v>
      </c>
      <c r="F28817" s="4" t="e">
        <f>IF(B28817=#REF!,"",B28817)</f>
        <v>#REF!</v>
      </c>
    </row>
    <row r="28818" spans="1:6" ht="15.75" customHeight="1">
      <c r="A28818" s="16" t="s">
        <v>5464</v>
      </c>
      <c r="B28818" s="15" t="s">
        <v>5465</v>
      </c>
      <c r="C28818" s="16" t="s">
        <v>5348</v>
      </c>
      <c r="D28818" s="16" t="s">
        <v>5466</v>
      </c>
      <c r="E28818" s="2">
        <v>3682426</v>
      </c>
      <c r="F28818" s="4" t="e">
        <f>IF(B28818=#REF!,"",B28818)</f>
        <v>#REF!</v>
      </c>
    </row>
    <row r="28819" spans="1:6" ht="15.75" customHeight="1">
      <c r="A28819" s="16" t="s">
        <v>28640</v>
      </c>
      <c r="B28819" s="15" t="s">
        <v>28640</v>
      </c>
      <c r="C28819" s="16" t="s">
        <v>27788</v>
      </c>
      <c r="D28819" s="16" t="s">
        <v>27801</v>
      </c>
      <c r="E28819" s="2">
        <v>7261268</v>
      </c>
      <c r="F28819" s="4" t="e">
        <f>IF(B28819=#REF!,"",B28819)</f>
        <v>#REF!</v>
      </c>
    </row>
    <row r="28820" spans="1:6" ht="15.75" customHeight="1">
      <c r="A28820" s="15" t="s">
        <v>15138</v>
      </c>
      <c r="B28820" s="15" t="s">
        <v>15138</v>
      </c>
      <c r="C28820" s="15" t="s">
        <v>14891</v>
      </c>
      <c r="D28820" s="15" t="s">
        <v>14943</v>
      </c>
      <c r="E28820" s="2">
        <v>3176959</v>
      </c>
      <c r="F28820" s="4" t="str">
        <f>IF(B28820=B28819,"",B28820)</f>
        <v>Florence</v>
      </c>
    </row>
    <row r="28821" spans="1:6" ht="15.75" customHeight="1">
      <c r="A28821" s="15" t="s">
        <v>18475</v>
      </c>
      <c r="B28821" s="15" t="s">
        <v>18476</v>
      </c>
      <c r="C28821" s="15" t="s">
        <v>18455</v>
      </c>
      <c r="D28821" s="15" t="s">
        <v>18476</v>
      </c>
      <c r="E28821" s="2">
        <v>618329</v>
      </c>
      <c r="F28821" s="4" t="e">
        <f>IF(B28821=#REF!,"",B28821)</f>
        <v>#REF!</v>
      </c>
    </row>
    <row r="28822" spans="1:6" ht="15.75" customHeight="1">
      <c r="A28822" s="16" t="s">
        <v>28638</v>
      </c>
      <c r="B28822" s="15" t="s">
        <v>28639</v>
      </c>
      <c r="C28822" s="16" t="s">
        <v>27788</v>
      </c>
      <c r="D28822" s="16" t="s">
        <v>27819</v>
      </c>
      <c r="E28822" s="2">
        <v>5117438</v>
      </c>
      <c r="F28822" s="4" t="e">
        <f>IF(B28822=#REF!,"",B28822)</f>
        <v>#REF!</v>
      </c>
    </row>
    <row r="28823" spans="1:6" ht="15.75" customHeight="1">
      <c r="A28823" s="15" t="s">
        <v>7343</v>
      </c>
      <c r="B28823" s="15" t="s">
        <v>7344</v>
      </c>
      <c r="C28823" s="15" t="s">
        <v>7052</v>
      </c>
      <c r="D28823" s="15" t="s">
        <v>7084</v>
      </c>
      <c r="E28823" s="2">
        <v>3018246</v>
      </c>
      <c r="F28823" s="4" t="e">
        <f>IF(B28823=#REF!,"",B28823)</f>
        <v>#REF!</v>
      </c>
    </row>
    <row r="28824" spans="1:6" ht="15.75" customHeight="1">
      <c r="A28824" s="15" t="s">
        <v>28636</v>
      </c>
      <c r="B28824" s="15" t="s">
        <v>28637</v>
      </c>
      <c r="C28824" s="15" t="s">
        <v>27788</v>
      </c>
      <c r="D28824" s="15" t="s">
        <v>27804</v>
      </c>
      <c r="E28824" s="2">
        <v>4992982</v>
      </c>
      <c r="F28824" s="4" t="e">
        <f>IF(B28824=#REF!,"",B28824)</f>
        <v>#REF!</v>
      </c>
    </row>
    <row r="28825" spans="1:6" ht="15.75" customHeight="1">
      <c r="A28825" s="16" t="s">
        <v>7342</v>
      </c>
      <c r="B28825" s="15" t="s">
        <v>7342</v>
      </c>
      <c r="C28825" s="16" t="s">
        <v>7052</v>
      </c>
      <c r="D28825" s="16" t="s">
        <v>3813</v>
      </c>
      <c r="E28825" s="2">
        <v>3018280</v>
      </c>
      <c r="F28825" s="4" t="e">
        <f>IF(B28825=#REF!,"",B28825)</f>
        <v>#REF!</v>
      </c>
    </row>
    <row r="28826" spans="1:6" ht="15.75" customHeight="1">
      <c r="A28826" s="15" t="s">
        <v>1575</v>
      </c>
      <c r="B28826" s="15" t="s">
        <v>1575</v>
      </c>
      <c r="C28826" s="15" t="s">
        <v>1512</v>
      </c>
      <c r="D28826" s="15" t="s">
        <v>1518</v>
      </c>
      <c r="E28826" s="2">
        <v>2798297</v>
      </c>
      <c r="F28826" s="4" t="e">
        <f>IF(B28826=#REF!,"",B28826)</f>
        <v>#REF!</v>
      </c>
    </row>
    <row r="28827" spans="1:6" ht="15.75" customHeight="1">
      <c r="A28827" s="15" t="s">
        <v>7341</v>
      </c>
      <c r="B28827" s="15" t="s">
        <v>7341</v>
      </c>
      <c r="C28827" s="15" t="s">
        <v>7052</v>
      </c>
      <c r="D28827" s="15" t="s">
        <v>7068</v>
      </c>
      <c r="E28827" s="2">
        <v>3018339</v>
      </c>
      <c r="F28827" s="4" t="str">
        <f>IF(B28827=B28826,"",B28827)</f>
        <v>Flers</v>
      </c>
    </row>
    <row r="28828" spans="1:6" ht="15.75" customHeight="1">
      <c r="A28828" s="16" t="str">
        <f ca="1">IFERROR(__xludf.DUMMYFUNCTION("GOOGLETRANSLATE(B23926,""en"",""pt"")"),"Fléron")</f>
        <v>Fléron</v>
      </c>
      <c r="B28828" s="20" t="s">
        <v>31312</v>
      </c>
      <c r="C28828" s="20" t="s">
        <v>1512</v>
      </c>
      <c r="D28828" s="20" t="s">
        <v>1518</v>
      </c>
      <c r="E28828" s="10">
        <v>2798301</v>
      </c>
      <c r="F28828" s="4" t="e">
        <f>IF(B28828=#REF!,"",B28828)</f>
        <v>#REF!</v>
      </c>
    </row>
    <row r="28829" spans="1:6" ht="15.75" customHeight="1">
      <c r="A28829" s="15" t="s">
        <v>8390</v>
      </c>
      <c r="B28829" s="15" t="s">
        <v>8390</v>
      </c>
      <c r="C28829" s="15" t="s">
        <v>8028</v>
      </c>
      <c r="D28829" s="15" t="s">
        <v>8040</v>
      </c>
      <c r="E28829" s="2">
        <v>2926271</v>
      </c>
      <c r="F28829" s="4" t="str">
        <f>IF(B28829=B28828,"",B28829)</f>
        <v>Flensburg</v>
      </c>
    </row>
    <row r="28830" spans="1:6" ht="15.75" customHeight="1">
      <c r="A28830" s="16" t="str">
        <f ca="1">IFERROR(__xludf.DUMMYFUNCTION("GOOGLETRANSLATE(B23927,""en"",""pt"")"),"Flémalle-Haute")</f>
        <v>Flémalle-Haute</v>
      </c>
      <c r="B28830" s="20" t="s">
        <v>31313</v>
      </c>
      <c r="C28830" s="20" t="s">
        <v>1512</v>
      </c>
      <c r="D28830" s="20" t="s">
        <v>1518</v>
      </c>
      <c r="E28830" s="10">
        <v>2798307</v>
      </c>
      <c r="F28830" s="4" t="e">
        <f>IF(B28830=#REF!,"",B28830)</f>
        <v>#REF!</v>
      </c>
    </row>
    <row r="28831" spans="1:6" ht="15.75" customHeight="1">
      <c r="A28831" s="15" t="s">
        <v>5462</v>
      </c>
      <c r="B28831" s="15" t="s">
        <v>5463</v>
      </c>
      <c r="C28831" s="15" t="s">
        <v>5348</v>
      </c>
      <c r="D28831" s="15" t="s">
        <v>5422</v>
      </c>
      <c r="E28831" s="2">
        <v>3682458</v>
      </c>
      <c r="F28831" s="4" t="e">
        <f>IF(B28831=#REF!,"",B28831)</f>
        <v>#REF!</v>
      </c>
    </row>
    <row r="28832" spans="1:6" ht="15.75" customHeight="1">
      <c r="A28832" s="15" t="s">
        <v>28635</v>
      </c>
      <c r="B28832" s="15" t="s">
        <v>28635</v>
      </c>
      <c r="C28832" s="15" t="s">
        <v>27788</v>
      </c>
      <c r="D28832" s="15" t="s">
        <v>27880</v>
      </c>
      <c r="E28832" s="2">
        <v>5294810</v>
      </c>
      <c r="F28832" s="4" t="e">
        <f>IF(B28832=#REF!,"",B28832)</f>
        <v>#REF!</v>
      </c>
    </row>
    <row r="28833" spans="1:6" ht="15.75" customHeight="1">
      <c r="A28833" s="15" t="s">
        <v>28634</v>
      </c>
      <c r="B28833" s="15" t="s">
        <v>28634</v>
      </c>
      <c r="C28833" s="15" t="s">
        <v>27788</v>
      </c>
      <c r="D28833" s="15" t="s">
        <v>5468</v>
      </c>
      <c r="E28833" s="2">
        <v>4155529</v>
      </c>
      <c r="F28833" s="4" t="str">
        <f>IF(B28833=B28832,"",B28833)</f>
        <v>Flagami</v>
      </c>
    </row>
    <row r="28834" spans="1:6" ht="15.75" customHeight="1">
      <c r="A28834" s="15" t="s">
        <v>9509</v>
      </c>
      <c r="B28834" s="15" t="s">
        <v>9510</v>
      </c>
      <c r="C28834" s="15" t="s">
        <v>9441</v>
      </c>
      <c r="D28834" s="15" t="s">
        <v>9511</v>
      </c>
      <c r="E28834" s="2">
        <v>736229</v>
      </c>
      <c r="F28834" s="4" t="str">
        <f>IF(B28834=B28833,"",B28834)</f>
        <v>FlÃ³rina</v>
      </c>
    </row>
    <row r="28835" spans="1:6" ht="15.75" customHeight="1">
      <c r="A28835" s="15" t="s">
        <v>8388</v>
      </c>
      <c r="B28835" s="15" t="s">
        <v>8389</v>
      </c>
      <c r="C28835" s="15" t="s">
        <v>8028</v>
      </c>
      <c r="D28835" s="15" t="s">
        <v>8050</v>
      </c>
      <c r="E28835" s="2">
        <v>2926120</v>
      </c>
      <c r="F28835" s="4" t="str">
        <f>IF(B28835=B28834,"",B28835)</f>
        <v>FlÃ¶rsheim</v>
      </c>
    </row>
    <row r="28836" spans="1:6" ht="15.75" customHeight="1">
      <c r="A28836" s="15" t="s">
        <v>1573</v>
      </c>
      <c r="B28836" s="15" t="s">
        <v>1574</v>
      </c>
      <c r="C28836" s="15" t="s">
        <v>1512</v>
      </c>
      <c r="D28836" s="15" t="s">
        <v>1518</v>
      </c>
      <c r="E28836" s="2">
        <v>2798301</v>
      </c>
      <c r="F28836" s="4" t="str">
        <f>IF(B28836=B28835,"",B28836)</f>
        <v>FlÃ©ron</v>
      </c>
    </row>
    <row r="28837" spans="1:6" ht="15.75" customHeight="1">
      <c r="A28837" s="16" t="s">
        <v>1571</v>
      </c>
      <c r="B28837" s="15" t="s">
        <v>1572</v>
      </c>
      <c r="C28837" s="16" t="s">
        <v>1512</v>
      </c>
      <c r="D28837" s="16" t="s">
        <v>1518</v>
      </c>
      <c r="E28837" s="2">
        <v>2798307</v>
      </c>
      <c r="F28837" s="4" t="e">
        <f>IF(B28837=#REF!,"",B28837)</f>
        <v>#REF!</v>
      </c>
    </row>
    <row r="28838" spans="1:6" ht="15.75" customHeight="1">
      <c r="A28838" s="16" t="s">
        <v>18587</v>
      </c>
      <c r="B28838" s="15" t="s">
        <v>18587</v>
      </c>
      <c r="C28838" s="16" t="s">
        <v>18551</v>
      </c>
      <c r="D28838" s="16" t="s">
        <v>18565</v>
      </c>
      <c r="E28838" s="2">
        <v>2548830</v>
      </c>
      <c r="F28838" s="4" t="e">
        <f>IF(B28838=#REF!,"",B28838)</f>
        <v>#REF!</v>
      </c>
    </row>
    <row r="28839" spans="1:6" ht="15.75" customHeight="1">
      <c r="A28839" s="15" t="s">
        <v>1199</v>
      </c>
      <c r="B28839" s="15" t="s">
        <v>1199</v>
      </c>
      <c r="C28839" s="15" t="s">
        <v>1170</v>
      </c>
      <c r="D28839" s="15" t="s">
        <v>1200</v>
      </c>
      <c r="E28839" s="2">
        <v>148106</v>
      </c>
      <c r="F28839" s="4" t="e">
        <f>IF(B28839=#REF!,"",B28839)</f>
        <v>#REF!</v>
      </c>
    </row>
    <row r="28840" spans="1:6" ht="15.75" customHeight="1">
      <c r="A28840" s="16" t="s">
        <v>28632</v>
      </c>
      <c r="B28840" s="15" t="s">
        <v>28633</v>
      </c>
      <c r="C28840" s="16" t="s">
        <v>27788</v>
      </c>
      <c r="D28840" s="16" t="s">
        <v>27733</v>
      </c>
      <c r="E28840" s="2">
        <v>5794559</v>
      </c>
      <c r="F28840" s="4" t="e">
        <f>IF(B28840=#REF!,"",B28840)</f>
        <v>#REF!</v>
      </c>
    </row>
    <row r="28841" spans="1:6" ht="15.75" customHeight="1">
      <c r="A28841" s="16" t="s">
        <v>15137</v>
      </c>
      <c r="B28841" s="15" t="s">
        <v>15137</v>
      </c>
      <c r="C28841" s="16" t="s">
        <v>14891</v>
      </c>
      <c r="D28841" s="16" t="s">
        <v>14904</v>
      </c>
      <c r="E28841" s="2">
        <v>3176923</v>
      </c>
      <c r="F28841" s="4" t="e">
        <f>IF(B28841=#REF!,"",B28841)</f>
        <v>#REF!</v>
      </c>
    </row>
    <row r="28842" spans="1:6" ht="15.75" customHeight="1">
      <c r="A28842" s="15" t="s">
        <v>28631</v>
      </c>
      <c r="B28842" s="15" t="s">
        <v>28631</v>
      </c>
      <c r="C28842" s="15" t="s">
        <v>27788</v>
      </c>
      <c r="D28842" s="15" t="s">
        <v>27794</v>
      </c>
      <c r="E28842" s="2">
        <v>4936812</v>
      </c>
      <c r="F28842" s="4" t="e">
        <f>IF(B28842=#REF!,"",B28842)</f>
        <v>#REF!</v>
      </c>
    </row>
    <row r="28843" spans="1:6" ht="15.75" customHeight="1">
      <c r="A28843" s="16" t="s">
        <v>28629</v>
      </c>
      <c r="B28843" s="15" t="s">
        <v>28630</v>
      </c>
      <c r="C28843" s="16" t="s">
        <v>27788</v>
      </c>
      <c r="D28843" s="16" t="s">
        <v>27869</v>
      </c>
      <c r="E28843" s="2">
        <v>4257494</v>
      </c>
      <c r="F28843" s="4" t="str">
        <f>IF(B28843=B28842,"",B28843)</f>
        <v>Fishers</v>
      </c>
    </row>
    <row r="28844" spans="1:6" ht="15.75" customHeight="1">
      <c r="A28844" s="16" t="str">
        <f ca="1">IFERROR(__xludf.DUMMYFUNCTION("GOOGLETRANSLATE(B34452,""en"",""pt"")"),"Fīrūzābād")</f>
        <v>Fīrūzābād</v>
      </c>
      <c r="B28844" s="20" t="s">
        <v>34203</v>
      </c>
      <c r="C28844" s="20" t="s">
        <v>14240</v>
      </c>
      <c r="D28844" s="20" t="s">
        <v>14244</v>
      </c>
      <c r="E28844" s="10">
        <v>134518</v>
      </c>
      <c r="F28844" s="4" t="str">
        <f>IF(B28844=B28843,"",B28844)</f>
        <v>Fīrūzābād</v>
      </c>
    </row>
    <row r="28845" spans="1:6" ht="15.75" customHeight="1">
      <c r="A28845" s="16" t="str">
        <f ca="1">IFERROR(__xludf.DUMMYFUNCTION("GOOGLETRANSLATE(B33504,""en"",""pt"")"),"Fīrozpur Jhirka")</f>
        <v>Fīrozpur Jhirka</v>
      </c>
      <c r="B28845" s="20" t="s">
        <v>33736</v>
      </c>
      <c r="C28845" s="20" t="s">
        <v>10178</v>
      </c>
      <c r="D28845" s="20" t="s">
        <v>10224</v>
      </c>
      <c r="E28845" s="10">
        <v>1271881</v>
      </c>
      <c r="F28845" s="4" t="str">
        <f>IF(B28845=B28844,"",B28845)</f>
        <v>Fīrozpur Jhirka</v>
      </c>
    </row>
    <row r="28846" spans="1:6" ht="15.75" customHeight="1">
      <c r="A28846" s="16" t="str">
        <f ca="1">IFERROR(__xludf.DUMMYFUNCTION("GOOGLETRANSLATE(B33506,""en"",""pt"")"),"Fīrozābād")</f>
        <v>Fīrozābād</v>
      </c>
      <c r="B28846" s="20" t="s">
        <v>33737</v>
      </c>
      <c r="C28846" s="20" t="s">
        <v>10178</v>
      </c>
      <c r="D28846" s="20" t="s">
        <v>10193</v>
      </c>
      <c r="E28846" s="10">
        <v>1271885</v>
      </c>
      <c r="F28846" s="4" t="e">
        <f>IF(B28846=#REF!,"",B28846)</f>
        <v>#REF!</v>
      </c>
    </row>
    <row r="28847" spans="1:6" ht="15.75" customHeight="1">
      <c r="A28847" s="15" t="s">
        <v>7340</v>
      </c>
      <c r="B28847" s="15" t="s">
        <v>7340</v>
      </c>
      <c r="C28847" s="15" t="s">
        <v>7052</v>
      </c>
      <c r="D28847" s="15" t="s">
        <v>7053</v>
      </c>
      <c r="E28847" s="2">
        <v>3018455</v>
      </c>
      <c r="F28847" s="4" t="e">
        <f>IF(B28847=#REF!,"",B28847)</f>
        <v>#REF!</v>
      </c>
    </row>
    <row r="28848" spans="1:6" ht="15.75" customHeight="1">
      <c r="A28848" s="15" t="s">
        <v>656</v>
      </c>
      <c r="B28848" s="15" t="s">
        <v>656</v>
      </c>
      <c r="C28848" s="15" t="s">
        <v>558</v>
      </c>
      <c r="D28848" s="15" t="s">
        <v>579</v>
      </c>
      <c r="E28848" s="2">
        <v>3855554</v>
      </c>
      <c r="F28848" s="4" t="e">
        <f>IF(B28848=#REF!,"",B28848)</f>
        <v>#REF!</v>
      </c>
    </row>
    <row r="28849" spans="1:6" ht="15.75" customHeight="1">
      <c r="A28849" s="15" t="s">
        <v>15136</v>
      </c>
      <c r="B28849" s="15" t="s">
        <v>15136</v>
      </c>
      <c r="C28849" s="15" t="s">
        <v>14891</v>
      </c>
      <c r="D28849" s="15" t="s">
        <v>14973</v>
      </c>
      <c r="E28849" s="2">
        <v>3176970</v>
      </c>
      <c r="F28849" s="4" t="e">
        <f>IF(B28849=#REF!,"",B28849)</f>
        <v>#REF!</v>
      </c>
    </row>
    <row r="28850" spans="1:6" ht="15.75" customHeight="1">
      <c r="A28850" s="16" t="s">
        <v>8387</v>
      </c>
      <c r="B28850" s="15" t="s">
        <v>8387</v>
      </c>
      <c r="C28850" s="16" t="s">
        <v>8028</v>
      </c>
      <c r="D28850" s="16" t="s">
        <v>8070</v>
      </c>
      <c r="E28850" s="2">
        <v>2926670</v>
      </c>
      <c r="F28850" s="4" t="e">
        <f>IF(B28850=#REF!,"",B28850)</f>
        <v>#REF!</v>
      </c>
    </row>
    <row r="28851" spans="1:6" ht="15.75" customHeight="1">
      <c r="A28851" s="16" t="s">
        <v>6871</v>
      </c>
      <c r="B28851" s="15" t="s">
        <v>6871</v>
      </c>
      <c r="C28851" s="16" t="s">
        <v>6807</v>
      </c>
      <c r="D28851" s="16" t="s">
        <v>6811</v>
      </c>
      <c r="E28851" s="2">
        <v>337712</v>
      </c>
      <c r="F28851" s="4" t="e">
        <f>IF(B28851=#REF!,"",B28851)</f>
        <v>#REF!</v>
      </c>
    </row>
    <row r="28852" spans="1:6" ht="15.75" customHeight="1">
      <c r="A28852" s="16" t="s">
        <v>8385</v>
      </c>
      <c r="B28852" s="15" t="s">
        <v>8386</v>
      </c>
      <c r="C28852" s="16" t="s">
        <v>8028</v>
      </c>
      <c r="D28852" s="16" t="s">
        <v>8029</v>
      </c>
      <c r="E28852" s="2">
        <v>2926716</v>
      </c>
      <c r="F28852" s="4" t="e">
        <f>IF(B28852=#REF!,"",B28852)</f>
        <v>#REF!</v>
      </c>
    </row>
    <row r="28853" spans="1:6" ht="15.75" customHeight="1">
      <c r="A28853" s="16" t="s">
        <v>22375</v>
      </c>
      <c r="B28853" s="15" t="s">
        <v>22375</v>
      </c>
      <c r="C28853" s="16" t="s">
        <v>22070</v>
      </c>
      <c r="D28853" s="16" t="s">
        <v>22094</v>
      </c>
      <c r="E28853" s="2">
        <v>8504959</v>
      </c>
      <c r="F28853" s="4" t="e">
        <f>IF(B28853=#REF!,"",B28853)</f>
        <v>#REF!</v>
      </c>
    </row>
    <row r="28854" spans="1:6" ht="15.75" customHeight="1">
      <c r="A28854" s="15" t="s">
        <v>14747</v>
      </c>
      <c r="B28854" s="15" t="s">
        <v>14747</v>
      </c>
      <c r="C28854" s="15" t="s">
        <v>14728</v>
      </c>
      <c r="D28854" s="15" t="s">
        <v>14729</v>
      </c>
      <c r="E28854" s="2">
        <v>2964303</v>
      </c>
      <c r="F28854" s="4" t="e">
        <f>IF(B28854=#REF!,"",B28854)</f>
        <v>#REF!</v>
      </c>
    </row>
    <row r="28855" spans="1:6" ht="15.75" customHeight="1">
      <c r="A28855" s="15" t="s">
        <v>28628</v>
      </c>
      <c r="B28855" s="15" t="s">
        <v>28628</v>
      </c>
      <c r="C28855" s="15" t="s">
        <v>27788</v>
      </c>
      <c r="D28855" s="15" t="s">
        <v>27813</v>
      </c>
      <c r="E28855" s="2">
        <v>5153924</v>
      </c>
      <c r="F28855" s="4" t="e">
        <f>IF(B28855=#REF!,"",B28855)</f>
        <v>#REF!</v>
      </c>
    </row>
    <row r="28856" spans="1:6" ht="15.75" customHeight="1">
      <c r="A28856" s="15" t="s">
        <v>28627</v>
      </c>
      <c r="B28856" s="15" t="s">
        <v>28627</v>
      </c>
      <c r="C28856" s="15" t="s">
        <v>27788</v>
      </c>
      <c r="D28856" s="15" t="s">
        <v>27801</v>
      </c>
      <c r="E28856" s="2">
        <v>5284756</v>
      </c>
      <c r="F28856" s="4" t="str">
        <f>IF(B28856=B28855,"",B28856)</f>
        <v>Fillmore</v>
      </c>
    </row>
    <row r="28857" spans="1:6" ht="15.75" customHeight="1">
      <c r="A28857" s="16" t="str">
        <f ca="1">IFERROR(__xludf.DUMMYFUNCTION("GOOGLETRANSLATE(B39794,""en"",""pt"")"),"Filiaşi")</f>
        <v>Filiaşi</v>
      </c>
      <c r="B28857" s="20" t="s">
        <v>35383</v>
      </c>
      <c r="C28857" s="20" t="s">
        <v>21824</v>
      </c>
      <c r="D28857" s="20" t="s">
        <v>21843</v>
      </c>
      <c r="E28857" s="10">
        <v>678261</v>
      </c>
      <c r="F28857" s="4" t="str">
        <f>IF(B28857=B28856,"",B28857)</f>
        <v>Filiaşi</v>
      </c>
    </row>
    <row r="28858" spans="1:6" ht="15.75" customHeight="1">
      <c r="A28858" s="15" t="s">
        <v>21928</v>
      </c>
      <c r="B28858" s="15" t="s">
        <v>21929</v>
      </c>
      <c r="C28858" s="15" t="s">
        <v>21824</v>
      </c>
      <c r="D28858" s="15" t="s">
        <v>21843</v>
      </c>
      <c r="E28858" s="2">
        <v>678261</v>
      </c>
      <c r="F28858" s="4" t="e">
        <f>IF(B28858=#REF!,"",B28858)</f>
        <v>#REF!</v>
      </c>
    </row>
    <row r="28859" spans="1:6" ht="15.75" customHeight="1">
      <c r="A28859" s="15" t="s">
        <v>22374</v>
      </c>
      <c r="B28859" s="15" t="s">
        <v>22374</v>
      </c>
      <c r="C28859" s="15" t="s">
        <v>22070</v>
      </c>
      <c r="D28859" s="15" t="s">
        <v>22119</v>
      </c>
      <c r="E28859" s="2">
        <v>562820</v>
      </c>
      <c r="F28859" s="4" t="e">
        <f>IF(B28859=#REF!,"",B28859)</f>
        <v>#REF!</v>
      </c>
    </row>
    <row r="28860" spans="1:6" ht="15.75" customHeight="1">
      <c r="A28860" s="16" t="s">
        <v>8383</v>
      </c>
      <c r="B28860" s="15" t="s">
        <v>8384</v>
      </c>
      <c r="C28860" s="16" t="s">
        <v>8028</v>
      </c>
      <c r="D28860" s="16" t="s">
        <v>8031</v>
      </c>
      <c r="E28860" s="2">
        <v>3336891</v>
      </c>
      <c r="F28860" s="4" t="e">
        <f>IF(B28860=#REF!,"",B28860)</f>
        <v>#REF!</v>
      </c>
    </row>
    <row r="28861" spans="1:6" ht="15.75" customHeight="1">
      <c r="A28861" s="15" t="s">
        <v>24469</v>
      </c>
      <c r="B28861" s="15" t="s">
        <v>24470</v>
      </c>
      <c r="C28861" s="15" t="s">
        <v>24200</v>
      </c>
      <c r="D28861" s="15" t="s">
        <v>24277</v>
      </c>
      <c r="E28861" s="2">
        <v>3122453</v>
      </c>
      <c r="F28861" s="4" t="e">
        <f>IF(B28861=#REF!,"",B28861)</f>
        <v>#REF!</v>
      </c>
    </row>
    <row r="28862" spans="1:6" ht="15.75" customHeight="1">
      <c r="A28862" s="15" t="s">
        <v>24468</v>
      </c>
      <c r="B28862" s="15" t="s">
        <v>24468</v>
      </c>
      <c r="C28862" s="15" t="s">
        <v>24200</v>
      </c>
      <c r="D28862" s="15" t="s">
        <v>24303</v>
      </c>
      <c r="E28862" s="2">
        <v>3122452</v>
      </c>
      <c r="F28862" s="4" t="str">
        <f>IF(B28862=B28861,"",B28862)</f>
        <v>Figueras</v>
      </c>
    </row>
    <row r="28863" spans="1:6" ht="15.75" customHeight="1">
      <c r="A28863" s="16" t="str">
        <f ca="1">IFERROR(__xludf.DUMMYFUNCTION("GOOGLETRANSLATE(B23120,""en"",""pt"")"),"Fero-çifçi")</f>
        <v>Fero-çifçi</v>
      </c>
      <c r="B28863" s="20" t="s">
        <v>31158</v>
      </c>
      <c r="C28863" s="20" t="s">
        <v>113</v>
      </c>
      <c r="D28863" s="20" t="s">
        <v>120</v>
      </c>
      <c r="E28863" s="10">
        <v>3185670</v>
      </c>
      <c r="F28863" s="4" t="str">
        <f>IF(B28863=B28862,"",B28863)</f>
        <v>Fier-Çifçi</v>
      </c>
    </row>
    <row r="28864" spans="1:6" ht="15.75" customHeight="1">
      <c r="A28864" s="16" t="s">
        <v>121</v>
      </c>
      <c r="B28864" s="15" t="s">
        <v>122</v>
      </c>
      <c r="C28864" s="16" t="s">
        <v>113</v>
      </c>
      <c r="D28864" s="16" t="s">
        <v>120</v>
      </c>
      <c r="E28864" s="2">
        <v>3185670</v>
      </c>
      <c r="F28864" s="4" t="e">
        <f>IF(B28864=#REF!,"",B28864)</f>
        <v>#REF!</v>
      </c>
    </row>
    <row r="28865" spans="1:6" ht="15.75" customHeight="1">
      <c r="A28865" s="15" t="s">
        <v>119</v>
      </c>
      <c r="B28865" s="15" t="s">
        <v>120</v>
      </c>
      <c r="C28865" s="15" t="s">
        <v>113</v>
      </c>
      <c r="D28865" s="15" t="s">
        <v>120</v>
      </c>
      <c r="E28865" s="2">
        <v>3185672</v>
      </c>
      <c r="F28865" s="4" t="e">
        <f>IF(B28865=#REF!,"",B28865)</f>
        <v>#REF!</v>
      </c>
    </row>
    <row r="28866" spans="1:6" ht="15.75" customHeight="1">
      <c r="A28866" s="15" t="s">
        <v>19397</v>
      </c>
      <c r="B28866" s="15" t="s">
        <v>19397</v>
      </c>
      <c r="C28866" s="15" t="s">
        <v>19294</v>
      </c>
      <c r="D28866" s="15" t="s">
        <v>19398</v>
      </c>
      <c r="E28866" s="2">
        <v>2342628</v>
      </c>
      <c r="F28866" s="4" t="e">
        <f>IF(B28866=#REF!,"",B28866)</f>
        <v>#REF!</v>
      </c>
    </row>
    <row r="28867" spans="1:6" ht="15.75" customHeight="1">
      <c r="A28867" s="15" t="s">
        <v>15135</v>
      </c>
      <c r="B28867" s="15" t="s">
        <v>15135</v>
      </c>
      <c r="C28867" s="15" t="s">
        <v>14891</v>
      </c>
      <c r="D28867" s="15" t="s">
        <v>14973</v>
      </c>
      <c r="E28867" s="2">
        <v>3177029</v>
      </c>
      <c r="F28867" s="4" t="str">
        <f>IF(B28867=B28866,"",B28867)</f>
        <v>Fidenza</v>
      </c>
    </row>
    <row r="28868" spans="1:6" ht="15.75" customHeight="1">
      <c r="A28868" s="16" t="str">
        <f ca="1">IFERROR(__xludf.DUMMYFUNCTION("GOOGLETRANSLATE(B29559,""en"",""pt"")"),"Fichē")</f>
        <v>Fichē</v>
      </c>
      <c r="B28868" s="20" t="s">
        <v>32500</v>
      </c>
      <c r="C28868" s="20" t="s">
        <v>6807</v>
      </c>
      <c r="D28868" s="20" t="s">
        <v>6814</v>
      </c>
      <c r="E28868" s="10">
        <v>337771</v>
      </c>
      <c r="F28868" s="4" t="str">
        <f>IF(B28868=B28867,"",B28868)</f>
        <v>Fichē</v>
      </c>
    </row>
    <row r="28869" spans="1:6" ht="15.75" customHeight="1">
      <c r="A28869" s="15" t="s">
        <v>6869</v>
      </c>
      <c r="B28869" s="15" t="s">
        <v>6870</v>
      </c>
      <c r="C28869" s="15" t="s">
        <v>6807</v>
      </c>
      <c r="D28869" s="15" t="s">
        <v>6814</v>
      </c>
      <c r="E28869" s="2">
        <v>337771</v>
      </c>
      <c r="F28869" s="4" t="e">
        <f>IF(B28869=#REF!,"",B28869)</f>
        <v>#REF!</v>
      </c>
    </row>
    <row r="28870" spans="1:6" ht="15.75" customHeight="1">
      <c r="A28870" s="16" t="s">
        <v>17360</v>
      </c>
      <c r="B28870" s="15" t="s">
        <v>17360</v>
      </c>
      <c r="C28870" s="16" t="s">
        <v>17292</v>
      </c>
      <c r="D28870" s="16" t="s">
        <v>17295</v>
      </c>
      <c r="E28870" s="2">
        <v>1064890</v>
      </c>
      <c r="F28870" s="4" t="e">
        <f>IF(B28870=#REF!,"",B28870)</f>
        <v>#REF!</v>
      </c>
    </row>
    <row r="28871" spans="1:6" ht="15.75" customHeight="1">
      <c r="A28871" s="15" t="s">
        <v>26494</v>
      </c>
      <c r="B28871" s="15" t="s">
        <v>26494</v>
      </c>
      <c r="C28871" s="15" t="s">
        <v>26201</v>
      </c>
      <c r="D28871" s="15" t="s">
        <v>26409</v>
      </c>
      <c r="E28871" s="2">
        <v>314967</v>
      </c>
      <c r="F28871" s="4" t="str">
        <f>IF(B28871=B28870,"",B28871)</f>
        <v>Fethiye</v>
      </c>
    </row>
    <row r="28872" spans="1:6" ht="15.75" customHeight="1">
      <c r="A28872" s="16" t="str">
        <f ca="1">IFERROR(__xludf.DUMMYFUNCTION("GOOGLETRANSLATE(B39795,""en"",""pt"")"),"FETEșTI-GARÉ")</f>
        <v>FETEșTI-GARÉ</v>
      </c>
      <c r="B28872" s="20" t="s">
        <v>35384</v>
      </c>
      <c r="C28872" s="20" t="s">
        <v>21824</v>
      </c>
      <c r="D28872" s="20" t="s">
        <v>35335</v>
      </c>
      <c r="E28872" s="10">
        <v>678301</v>
      </c>
      <c r="F28872" s="4" t="str">
        <f>IF(B28872=B28871,"",B28872)</f>
        <v>Fetești-Gară</v>
      </c>
    </row>
    <row r="28873" spans="1:6" ht="15.75" customHeight="1">
      <c r="A28873" s="16" t="str">
        <f ca="1">IFERROR(__xludf.DUMMYFUNCTION("GOOGLETRANSLATE(B39796,""en"",""pt"")"),"Feteşti")</f>
        <v>Feteşti</v>
      </c>
      <c r="B28873" s="20" t="s">
        <v>35385</v>
      </c>
      <c r="C28873" s="20" t="s">
        <v>21824</v>
      </c>
      <c r="D28873" s="20" t="s">
        <v>35335</v>
      </c>
      <c r="E28873" s="10">
        <v>678306</v>
      </c>
      <c r="F28873" s="4" t="str">
        <f>IF(B28873=B28872,"",B28873)</f>
        <v>Feteşti</v>
      </c>
    </row>
    <row r="28874" spans="1:6" ht="15.75" customHeight="1">
      <c r="A28874" s="16" t="s">
        <v>21926</v>
      </c>
      <c r="B28874" s="15" t="s">
        <v>21927</v>
      </c>
      <c r="C28874" s="16" t="s">
        <v>21824</v>
      </c>
      <c r="D28874" s="16" t="s">
        <v>21925</v>
      </c>
      <c r="E28874" s="2">
        <v>678301</v>
      </c>
      <c r="F28874" s="4" t="str">
        <f>IF(B28874=B28873,"",B28874)</f>
        <v>FeteÈ™ti-GarÄƒ</v>
      </c>
    </row>
    <row r="28875" spans="1:6" ht="15.75" customHeight="1">
      <c r="A28875" s="15" t="s">
        <v>21923</v>
      </c>
      <c r="B28875" s="15" t="s">
        <v>21924</v>
      </c>
      <c r="C28875" s="15" t="s">
        <v>21824</v>
      </c>
      <c r="D28875" s="15" t="s">
        <v>21925</v>
      </c>
      <c r="E28875" s="2">
        <v>678306</v>
      </c>
      <c r="F28875" s="4" t="str">
        <f>IF(B28875=B28874,"",B28875)</f>
        <v>FeteÅŸti</v>
      </c>
    </row>
    <row r="28876" spans="1:6" ht="15.75" customHeight="1">
      <c r="A28876" s="16" t="str">
        <f ca="1">IFERROR(__xludf.DUMMYFUNCTION("GOOGLETRANSLATE(B36502,""en"",""pt"")"),"Fès al Bali")</f>
        <v>Fès al Bali</v>
      </c>
      <c r="B28876" s="20" t="s">
        <v>34594</v>
      </c>
      <c r="C28876" s="20" t="s">
        <v>18551</v>
      </c>
      <c r="D28876" s="20" t="s">
        <v>34589</v>
      </c>
      <c r="E28876" s="10">
        <v>2548880</v>
      </c>
      <c r="F28876" s="4" t="e">
        <f>IF(B28876=#REF!,"",B28876)</f>
        <v>#REF!</v>
      </c>
    </row>
    <row r="28877" spans="1:6" ht="15.75" customHeight="1">
      <c r="A28877" s="15" t="s">
        <v>18586</v>
      </c>
      <c r="B28877" s="15" t="s">
        <v>18586</v>
      </c>
      <c r="C28877" s="15" t="s">
        <v>18551</v>
      </c>
      <c r="D28877" s="15" t="s">
        <v>18585</v>
      </c>
      <c r="E28877" s="2">
        <v>2548885</v>
      </c>
      <c r="F28877" s="4" t="e">
        <f>IF(B28877=#REF!,"",B28877)</f>
        <v>#REF!</v>
      </c>
    </row>
    <row r="28878" spans="1:6" ht="15.75" customHeight="1">
      <c r="A28878" s="16" t="s">
        <v>28626</v>
      </c>
      <c r="B28878" s="15" t="s">
        <v>28626</v>
      </c>
      <c r="C28878" s="16" t="s">
        <v>27788</v>
      </c>
      <c r="D28878" s="16" t="s">
        <v>5468</v>
      </c>
      <c r="E28878" s="2">
        <v>4155017</v>
      </c>
      <c r="F28878" s="4" t="e">
        <f>IF(B28878=#REF!,"",B28878)</f>
        <v>#REF!</v>
      </c>
    </row>
    <row r="28879" spans="1:6" ht="15.75" customHeight="1">
      <c r="A28879" s="15" t="s">
        <v>24467</v>
      </c>
      <c r="B28879" s="15" t="s">
        <v>24467</v>
      </c>
      <c r="C28879" s="15" t="s">
        <v>24200</v>
      </c>
      <c r="D28879" s="15" t="s">
        <v>24201</v>
      </c>
      <c r="E28879" s="2">
        <v>3123493</v>
      </c>
      <c r="F28879" s="4" t="str">
        <f>IF(B28879=B28878,"",B28879)</f>
        <v>Ferrol</v>
      </c>
    </row>
    <row r="28880" spans="1:6" ht="15.75" customHeight="1">
      <c r="A28880" s="16" t="str">
        <f ca="1">IFERROR(__xludf.DUMMYFUNCTION("GOOGLETRANSLATE(B38339,""en"",""pt"")"),"Ferreñafe")</f>
        <v>Ferreñafe</v>
      </c>
      <c r="B28880" s="20" t="s">
        <v>34875</v>
      </c>
      <c r="C28880" s="20" t="s">
        <v>20470</v>
      </c>
      <c r="D28880" s="20" t="s">
        <v>20495</v>
      </c>
      <c r="E28880" s="10">
        <v>3697033</v>
      </c>
      <c r="F28880" s="4" t="str">
        <f>IF(B28880=B28879,"",B28880)</f>
        <v>Ferreñafe</v>
      </c>
    </row>
    <row r="28881" spans="1:6" ht="15.75" customHeight="1">
      <c r="A28881" s="16" t="s">
        <v>20506</v>
      </c>
      <c r="B28881" s="15" t="s">
        <v>20507</v>
      </c>
      <c r="C28881" s="16" t="s">
        <v>20470</v>
      </c>
      <c r="D28881" s="16" t="s">
        <v>20495</v>
      </c>
      <c r="E28881" s="2">
        <v>3697033</v>
      </c>
      <c r="F28881" s="4" t="e">
        <f>IF(B28881=#REF!,"",B28881)</f>
        <v>#REF!</v>
      </c>
    </row>
    <row r="28882" spans="1:6" ht="15.75" customHeight="1">
      <c r="A28882" s="16" t="s">
        <v>2462</v>
      </c>
      <c r="B28882" s="15" t="s">
        <v>2462</v>
      </c>
      <c r="C28882" s="16" t="s">
        <v>1905</v>
      </c>
      <c r="D28882" s="16" t="s">
        <v>1914</v>
      </c>
      <c r="E28882" s="2">
        <v>3463422</v>
      </c>
      <c r="F28882" s="4" t="e">
        <f>IF(B28882=#REF!,"",B28882)</f>
        <v>#REF!</v>
      </c>
    </row>
    <row r="28883" spans="1:6" ht="15.75" customHeight="1">
      <c r="A28883" s="15" t="s">
        <v>15134</v>
      </c>
      <c r="B28883" s="15" t="s">
        <v>15134</v>
      </c>
      <c r="C28883" s="15" t="s">
        <v>14891</v>
      </c>
      <c r="D28883" s="15" t="s">
        <v>14973</v>
      </c>
      <c r="E28883" s="2">
        <v>3177090</v>
      </c>
      <c r="F28883" s="4" t="e">
        <f>IF(B28883=#REF!,"",B28883)</f>
        <v>#REF!</v>
      </c>
    </row>
    <row r="28884" spans="1:6" ht="15.75" customHeight="1">
      <c r="A28884" s="16" t="s">
        <v>11260</v>
      </c>
      <c r="B28884" s="15" t="s">
        <v>11260</v>
      </c>
      <c r="C28884" s="16" t="s">
        <v>10178</v>
      </c>
      <c r="D28884" s="16" t="s">
        <v>10184</v>
      </c>
      <c r="E28884" s="2">
        <v>1271883</v>
      </c>
      <c r="F28884" s="4" t="e">
        <f>IF(B28884=#REF!,"",B28884)</f>
        <v>#REF!</v>
      </c>
    </row>
    <row r="28885" spans="1:6" ht="15.75" customHeight="1">
      <c r="A28885" s="15" t="s">
        <v>11259</v>
      </c>
      <c r="B28885" s="15" t="s">
        <v>11259</v>
      </c>
      <c r="C28885" s="15" t="s">
        <v>10178</v>
      </c>
      <c r="D28885" s="15" t="s">
        <v>10246</v>
      </c>
      <c r="E28885" s="2">
        <v>1271888</v>
      </c>
      <c r="F28885" s="4" t="e">
        <f>IF(B28885=#REF!,"",B28885)</f>
        <v>#REF!</v>
      </c>
    </row>
    <row r="28886" spans="1:6" ht="15.75" customHeight="1">
      <c r="A28886" s="16" t="s">
        <v>973</v>
      </c>
      <c r="B28886" s="15" t="s">
        <v>973</v>
      </c>
      <c r="C28886" s="16" t="s">
        <v>885</v>
      </c>
      <c r="D28886" s="16" t="s">
        <v>827</v>
      </c>
      <c r="E28886" s="2">
        <v>7281850</v>
      </c>
      <c r="F28886" s="4" t="e">
        <f>IF(B28886=#REF!,"",B28886)</f>
        <v>#REF!</v>
      </c>
    </row>
    <row r="28887" spans="1:6" ht="15.75" customHeight="1">
      <c r="A28887" s="15" t="s">
        <v>28625</v>
      </c>
      <c r="B28887" s="15" t="s">
        <v>28625</v>
      </c>
      <c r="C28887" s="15" t="s">
        <v>27788</v>
      </c>
      <c r="D28887" s="15" t="s">
        <v>28073</v>
      </c>
      <c r="E28887" s="2">
        <v>5504003</v>
      </c>
      <c r="F28887" s="4" t="e">
        <f>IF(B28887=#REF!,"",B28887)</f>
        <v>#REF!</v>
      </c>
    </row>
    <row r="28888" spans="1:6" ht="15.75" customHeight="1">
      <c r="A28888" s="16" t="s">
        <v>27439</v>
      </c>
      <c r="B28888" s="15" t="s">
        <v>27439</v>
      </c>
      <c r="C28888" s="16" t="s">
        <v>27234</v>
      </c>
      <c r="D28888" s="16" t="s">
        <v>27241</v>
      </c>
      <c r="E28888" s="2">
        <v>6691927</v>
      </c>
      <c r="F28888" s="4" t="e">
        <f>IF(B28888=#REF!,"",B28888)</f>
        <v>#REF!</v>
      </c>
    </row>
    <row r="28889" spans="1:6" ht="15.75" customHeight="1">
      <c r="A28889" s="15" t="s">
        <v>28624</v>
      </c>
      <c r="B28889" s="15" t="s">
        <v>28624</v>
      </c>
      <c r="C28889" s="15" t="s">
        <v>27788</v>
      </c>
      <c r="D28889" s="15" t="s">
        <v>17061</v>
      </c>
      <c r="E28889" s="2">
        <v>4354821</v>
      </c>
      <c r="F28889" s="4" t="str">
        <f>IF(B28889=B28888,"",B28889)</f>
        <v>Ferndale</v>
      </c>
    </row>
    <row r="28890" spans="1:6" ht="15.75" customHeight="1">
      <c r="A28890" s="16" t="str">
        <f ca="1">IFERROR(__xludf.DUMMYFUNCTION("GOOGLETRANSLATE(B25043,""en"",""pt"")"),"Fernandópolis")</f>
        <v>Fernandópolis</v>
      </c>
      <c r="B28890" s="20" t="s">
        <v>31662</v>
      </c>
      <c r="C28890" s="20" t="s">
        <v>1905</v>
      </c>
      <c r="D28890" s="20" t="s">
        <v>3354</v>
      </c>
      <c r="E28890" s="10">
        <v>3463432</v>
      </c>
      <c r="F28890" s="4" t="e">
        <f>IF(B28890=#REF!,"",B28890)</f>
        <v>#REF!</v>
      </c>
    </row>
    <row r="28891" spans="1:6" ht="15.75" customHeight="1">
      <c r="A28891" s="16" t="s">
        <v>20450</v>
      </c>
      <c r="B28891" s="15" t="s">
        <v>20450</v>
      </c>
      <c r="C28891" s="16" t="s">
        <v>20433</v>
      </c>
      <c r="D28891" s="16" t="s">
        <v>1886</v>
      </c>
      <c r="E28891" s="2">
        <v>3438115</v>
      </c>
      <c r="F28891" s="4" t="str">
        <f>IF(B28891=B28890,"",B28891)</f>
        <v>Fernando de la Mora</v>
      </c>
    </row>
    <row r="28892" spans="1:6" ht="15.75" customHeight="1">
      <c r="A28892" s="16" t="s">
        <v>2460</v>
      </c>
      <c r="B28892" s="15" t="s">
        <v>2461</v>
      </c>
      <c r="C28892" s="16" t="s">
        <v>1905</v>
      </c>
      <c r="D28892" s="16" t="s">
        <v>1914</v>
      </c>
      <c r="E28892" s="2">
        <v>3463432</v>
      </c>
      <c r="F28892" s="4" t="e">
        <f>IF(B28892=#REF!,"",B28892)</f>
        <v>#REF!</v>
      </c>
    </row>
    <row r="28893" spans="1:6" ht="15.75" customHeight="1">
      <c r="A28893" s="16" t="s">
        <v>28623</v>
      </c>
      <c r="B28893" s="15" t="s">
        <v>28623</v>
      </c>
      <c r="C28893" s="16" t="s">
        <v>27788</v>
      </c>
      <c r="D28893" s="16" t="s">
        <v>27909</v>
      </c>
      <c r="E28893" s="2">
        <v>4291620</v>
      </c>
      <c r="F28893" s="4" t="e">
        <f>IF(B28893=#REF!,"",B28893)</f>
        <v>#REF!</v>
      </c>
    </row>
    <row r="28894" spans="1:6" ht="15.75" customHeight="1">
      <c r="A28894" s="15" t="s">
        <v>15133</v>
      </c>
      <c r="B28894" s="15" t="s">
        <v>15133</v>
      </c>
      <c r="C28894" s="15" t="s">
        <v>14891</v>
      </c>
      <c r="D28894" s="15" t="s">
        <v>14931</v>
      </c>
      <c r="E28894" s="2">
        <v>3177099</v>
      </c>
      <c r="F28894" s="4" t="str">
        <f>IF(B28894=B28893,"",B28894)</f>
        <v>Fermo</v>
      </c>
    </row>
    <row r="28895" spans="1:6" ht="15.75" customHeight="1">
      <c r="A28895" s="16" t="str">
        <f ca="1">IFERROR(__xludf.DUMMYFUNCTION("GOOGLETRANSLATE(B25850,""en"",""pt"")"),"Ferkessédougou")</f>
        <v>Ferkessédougou</v>
      </c>
      <c r="B28895" s="20" t="s">
        <v>31787</v>
      </c>
      <c r="C28895" s="20" t="s">
        <v>15586</v>
      </c>
      <c r="D28895" s="20" t="s">
        <v>15627</v>
      </c>
      <c r="E28895" s="10">
        <v>2289049</v>
      </c>
      <c r="F28895" s="4" t="str">
        <f>IF(B28895=B28894,"",B28895)</f>
        <v>Ferkessédougou</v>
      </c>
    </row>
    <row r="28896" spans="1:6" ht="15.75" customHeight="1">
      <c r="A28896" s="16" t="s">
        <v>15640</v>
      </c>
      <c r="B28896" s="15" t="s">
        <v>15641</v>
      </c>
      <c r="C28896" s="16" t="s">
        <v>15586</v>
      </c>
      <c r="D28896" s="16" t="s">
        <v>15627</v>
      </c>
      <c r="E28896" s="2">
        <v>2289049</v>
      </c>
      <c r="F28896" s="4" t="e">
        <f>IF(B28896=#REF!,"",B28896)</f>
        <v>#REF!</v>
      </c>
    </row>
    <row r="28897" spans="1:6" ht="15.75" customHeight="1">
      <c r="A28897" s="15" t="s">
        <v>26493</v>
      </c>
      <c r="B28897" s="15" t="s">
        <v>26493</v>
      </c>
      <c r="C28897" s="15" t="s">
        <v>26201</v>
      </c>
      <c r="D28897" s="15" t="s">
        <v>26276</v>
      </c>
      <c r="E28897" s="2">
        <v>747135</v>
      </c>
      <c r="F28897" s="4" t="e">
        <f>IF(B28897=#REF!,"",B28897)</f>
        <v>#REF!</v>
      </c>
    </row>
    <row r="28898" spans="1:6" ht="15.75" customHeight="1">
      <c r="A28898" s="15" t="s">
        <v>16856</v>
      </c>
      <c r="B28898" s="15" t="s">
        <v>16856</v>
      </c>
      <c r="C28898" s="15" t="s">
        <v>16852</v>
      </c>
      <c r="D28898" s="15" t="s">
        <v>16856</v>
      </c>
      <c r="E28898" s="2">
        <v>784759</v>
      </c>
      <c r="F28898" s="4" t="e">
        <f>IF(B28898=#REF!,"",B28898)</f>
        <v>#REF!</v>
      </c>
    </row>
    <row r="28899" spans="1:6" ht="15.75" customHeight="1">
      <c r="A28899" s="15" t="s">
        <v>28622</v>
      </c>
      <c r="B28899" s="15" t="s">
        <v>28622</v>
      </c>
      <c r="C28899" s="15" t="s">
        <v>27788</v>
      </c>
      <c r="D28899" s="15" t="s">
        <v>27806</v>
      </c>
      <c r="E28899" s="2">
        <v>4386387</v>
      </c>
      <c r="F28899" s="4" t="e">
        <f>IF(B28899=#REF!,"",B28899)</f>
        <v>#REF!</v>
      </c>
    </row>
    <row r="28900" spans="1:6" ht="15.75" customHeight="1">
      <c r="A28900" s="15" t="s">
        <v>30513</v>
      </c>
      <c r="B28900" s="15" t="s">
        <v>30513</v>
      </c>
      <c r="C28900" s="15" t="s">
        <v>30502</v>
      </c>
      <c r="D28900" s="15" t="s">
        <v>30513</v>
      </c>
      <c r="E28900" s="2">
        <v>1514019</v>
      </c>
      <c r="F28900" s="4" t="str">
        <f>IF(B28900=B28899,"",B28900)</f>
        <v>Fergana</v>
      </c>
    </row>
    <row r="28901" spans="1:6" ht="15.75" customHeight="1">
      <c r="A28901" s="16" t="str">
        <f ca="1">IFERROR(__xludf.DUMMYFUNCTION("GOOGLETRANSLATE(B34453,""en"",""pt"")"),"Fereydūnkenār")</f>
        <v>Fereydūnkenār</v>
      </c>
      <c r="B28901" s="20" t="s">
        <v>34204</v>
      </c>
      <c r="C28901" s="20" t="s">
        <v>14240</v>
      </c>
      <c r="D28901" s="20" t="s">
        <v>34132</v>
      </c>
      <c r="E28901" s="10">
        <v>134602</v>
      </c>
      <c r="F28901" s="4" t="str">
        <f>IF(B28901=B28900,"",B28901)</f>
        <v>Fereydūnkenār</v>
      </c>
    </row>
    <row r="28902" spans="1:6" ht="15.75" customHeight="1">
      <c r="A28902" s="16" t="s">
        <v>14386</v>
      </c>
      <c r="B28902" s="15" t="s">
        <v>14387</v>
      </c>
      <c r="C28902" s="16" t="s">
        <v>14240</v>
      </c>
      <c r="D28902" s="16" t="s">
        <v>14253</v>
      </c>
      <c r="E28902" s="2">
        <v>134602</v>
      </c>
      <c r="F28902" s="4" t="e">
        <f>IF(B28902=#REF!,"",B28902)</f>
        <v>#REF!</v>
      </c>
    </row>
    <row r="28903" spans="1:6" ht="15.75" customHeight="1">
      <c r="A28903" s="15" t="s">
        <v>354</v>
      </c>
      <c r="B28903" s="15" t="s">
        <v>354</v>
      </c>
      <c r="C28903" s="15" t="s">
        <v>153</v>
      </c>
      <c r="D28903" s="15" t="s">
        <v>221</v>
      </c>
      <c r="E28903" s="2">
        <v>2496573</v>
      </c>
      <c r="F28903" s="4" t="e">
        <f>IF(B28903=#REF!,"",B28903)</f>
        <v>#REF!</v>
      </c>
    </row>
    <row r="28904" spans="1:6" ht="15.75" customHeight="1">
      <c r="A28904" s="16" t="s">
        <v>26962</v>
      </c>
      <c r="B28904" s="15" t="s">
        <v>26962</v>
      </c>
      <c r="C28904" s="16" t="s">
        <v>26870</v>
      </c>
      <c r="D28904" s="16" t="s">
        <v>26873</v>
      </c>
      <c r="E28904" s="2">
        <v>709161</v>
      </c>
      <c r="F28904" s="4" t="e">
        <f>IF(B28904=#REF!,"",B28904)</f>
        <v>#REF!</v>
      </c>
    </row>
    <row r="28905" spans="1:6" ht="15.75" customHeight="1">
      <c r="A28905" s="15" t="s">
        <v>4671</v>
      </c>
      <c r="B28905" s="15" t="s">
        <v>4671</v>
      </c>
      <c r="C28905" s="15" t="s">
        <v>4487</v>
      </c>
      <c r="D28905" s="15" t="s">
        <v>4569</v>
      </c>
      <c r="E28905" s="2">
        <v>1811114</v>
      </c>
      <c r="F28905" s="4" t="e">
        <f>IF(B28905=#REF!,"",B28905)</f>
        <v>#REF!</v>
      </c>
    </row>
    <row r="28906" spans="1:6" ht="15.75" customHeight="1">
      <c r="A28906" s="16" t="s">
        <v>17357</v>
      </c>
      <c r="B28906" s="15" t="s">
        <v>17358</v>
      </c>
      <c r="C28906" s="16" t="s">
        <v>17292</v>
      </c>
      <c r="D28906" s="16" t="s">
        <v>17359</v>
      </c>
      <c r="E28906" s="2">
        <v>1064978</v>
      </c>
      <c r="F28906" s="4" t="e">
        <f>IF(B28906=#REF!,"",B28906)</f>
        <v>#REF!</v>
      </c>
    </row>
    <row r="28907" spans="1:6" ht="15.75" customHeight="1">
      <c r="A28907" s="16" t="s">
        <v>17354</v>
      </c>
      <c r="B28907" s="15" t="s">
        <v>17355</v>
      </c>
      <c r="C28907" s="16" t="s">
        <v>17292</v>
      </c>
      <c r="D28907" s="16" t="s">
        <v>17356</v>
      </c>
      <c r="E28907" s="2">
        <v>1064980</v>
      </c>
      <c r="F28907" s="4" t="e">
        <f>IF(B28907=#REF!,"",B28907)</f>
        <v>#REF!</v>
      </c>
    </row>
    <row r="28908" spans="1:6" ht="15.75" customHeight="1">
      <c r="A28908" s="16" t="s">
        <v>8382</v>
      </c>
      <c r="B28908" s="15" t="s">
        <v>8382</v>
      </c>
      <c r="C28908" s="16" t="s">
        <v>8028</v>
      </c>
      <c r="D28908" s="16" t="s">
        <v>8036</v>
      </c>
      <c r="E28908" s="2">
        <v>8334625</v>
      </c>
      <c r="F28908" s="4" t="e">
        <f>IF(B28908=#REF!,"",B28908)</f>
        <v>#REF!</v>
      </c>
    </row>
    <row r="28909" spans="1:6" ht="15.75" customHeight="1">
      <c r="A28909" s="15" t="s">
        <v>1342</v>
      </c>
      <c r="B28909" s="15" t="s">
        <v>1342</v>
      </c>
      <c r="C28909" s="15" t="s">
        <v>1296</v>
      </c>
      <c r="D28909" s="15" t="s">
        <v>1302</v>
      </c>
      <c r="E28909" s="2">
        <v>1185224</v>
      </c>
      <c r="F28909" s="4" t="e">
        <f>IF(B28909=#REF!,"",B28909)</f>
        <v>#REF!</v>
      </c>
    </row>
    <row r="28910" spans="1:6" ht="15.75" customHeight="1">
      <c r="A28910" s="16" t="s">
        <v>4670</v>
      </c>
      <c r="B28910" s="15" t="s">
        <v>4670</v>
      </c>
      <c r="C28910" s="16" t="s">
        <v>4487</v>
      </c>
      <c r="D28910" s="16" t="s">
        <v>4488</v>
      </c>
      <c r="E28910" s="2">
        <v>2037393</v>
      </c>
      <c r="F28910" s="4" t="e">
        <f>IF(B28910=#REF!,"",B28910)</f>
        <v>#REF!</v>
      </c>
    </row>
    <row r="28911" spans="1:6" ht="15.75" customHeight="1">
      <c r="A28911" s="16" t="s">
        <v>4668</v>
      </c>
      <c r="B28911" s="15" t="s">
        <v>4669</v>
      </c>
      <c r="C28911" s="16" t="s">
        <v>4487</v>
      </c>
      <c r="D28911" s="16" t="s">
        <v>4535</v>
      </c>
      <c r="E28911" s="2">
        <v>1811200</v>
      </c>
      <c r="F28911" s="4" t="e">
        <f>IF(B28911=#REF!,"",B28911)</f>
        <v>#REF!</v>
      </c>
    </row>
    <row r="28912" spans="1:6" ht="15.75" customHeight="1">
      <c r="A28912" s="15" t="s">
        <v>4666</v>
      </c>
      <c r="B28912" s="15" t="s">
        <v>4667</v>
      </c>
      <c r="C28912" s="15" t="s">
        <v>4487</v>
      </c>
      <c r="D28912" s="15" t="s">
        <v>4529</v>
      </c>
      <c r="E28912" s="2">
        <v>1811260</v>
      </c>
      <c r="F28912" s="4" t="e">
        <f>IF(B28912=#REF!,"",B28912)</f>
        <v>#REF!</v>
      </c>
    </row>
    <row r="28913" spans="1:6" ht="15.75" customHeight="1">
      <c r="A28913" s="15" t="s">
        <v>4665</v>
      </c>
      <c r="B28913" s="15" t="s">
        <v>4665</v>
      </c>
      <c r="C28913" s="15" t="s">
        <v>4487</v>
      </c>
      <c r="D28913" s="15" t="s">
        <v>4499</v>
      </c>
      <c r="E28913" s="2">
        <v>1811305</v>
      </c>
      <c r="F28913" s="4" t="e">
        <f>IF(B28913=#REF!,"",B28913)</f>
        <v>#REF!</v>
      </c>
    </row>
    <row r="28914" spans="1:6" ht="15.75" customHeight="1">
      <c r="A28914" s="16" t="s">
        <v>4664</v>
      </c>
      <c r="B28914" s="15" t="s">
        <v>4664</v>
      </c>
      <c r="C28914" s="16" t="s">
        <v>4487</v>
      </c>
      <c r="D28914" s="16" t="s">
        <v>4495</v>
      </c>
      <c r="E28914" s="2">
        <v>7304020</v>
      </c>
      <c r="F28914" s="4" t="e">
        <f>IF(B28914=#REF!,"",B28914)</f>
        <v>#REF!</v>
      </c>
    </row>
    <row r="28915" spans="1:6" ht="15.75" customHeight="1">
      <c r="A28915" s="15" t="s">
        <v>4663</v>
      </c>
      <c r="B28915" s="15" t="s">
        <v>4663</v>
      </c>
      <c r="C28915" s="15" t="s">
        <v>4487</v>
      </c>
      <c r="D28915" s="15" t="s">
        <v>4631</v>
      </c>
      <c r="E28915" s="2">
        <v>1813658</v>
      </c>
      <c r="F28915" s="4" t="e">
        <f>IF(B28915=#REF!,"",B28915)</f>
        <v>#REF!</v>
      </c>
    </row>
    <row r="28916" spans="1:6" ht="15.75" customHeight="1">
      <c r="A28916" s="16" t="s">
        <v>4662</v>
      </c>
      <c r="B28916" s="15" t="s">
        <v>4662</v>
      </c>
      <c r="C28916" s="16" t="s">
        <v>4487</v>
      </c>
      <c r="D28916" s="16" t="s">
        <v>4505</v>
      </c>
      <c r="E28916" s="2">
        <v>2037411</v>
      </c>
      <c r="F28916" s="4" t="e">
        <f>IF(B28916=#REF!,"",B28916)</f>
        <v>#REF!</v>
      </c>
    </row>
    <row r="28917" spans="1:6" ht="15.75" customHeight="1">
      <c r="A28917" s="15" t="s">
        <v>4661</v>
      </c>
      <c r="B28917" s="15" t="s">
        <v>4661</v>
      </c>
      <c r="C28917" s="15" t="s">
        <v>4487</v>
      </c>
      <c r="D28917" s="15" t="s">
        <v>4488</v>
      </c>
      <c r="E28917" s="2">
        <v>2035225</v>
      </c>
      <c r="F28917" s="4" t="e">
        <f>IF(B28917=#REF!,"",B28917)</f>
        <v>#REF!</v>
      </c>
    </row>
    <row r="28918" spans="1:6" ht="15.75" customHeight="1">
      <c r="A28918" s="15" t="s">
        <v>8381</v>
      </c>
      <c r="B28918" s="15" t="s">
        <v>8381</v>
      </c>
      <c r="C28918" s="15" t="s">
        <v>8028</v>
      </c>
      <c r="D28918" s="15" t="s">
        <v>8031</v>
      </c>
      <c r="E28918" s="2">
        <v>2927268</v>
      </c>
      <c r="F28918" s="4" t="e">
        <f>IF(B28918=#REF!,"",B28918)</f>
        <v>#REF!</v>
      </c>
    </row>
    <row r="28919" spans="1:6" ht="15.75" customHeight="1">
      <c r="A28919" s="16" t="s">
        <v>17936</v>
      </c>
      <c r="B28919" s="15" t="s">
        <v>17936</v>
      </c>
      <c r="C28919" s="16" t="s">
        <v>17707</v>
      </c>
      <c r="D28919" s="16" t="s">
        <v>17799</v>
      </c>
      <c r="E28919" s="2">
        <v>3527639</v>
      </c>
      <c r="F28919" s="4" t="e">
        <f>IF(B28919=#REF!,"",B28919)</f>
        <v>#REF!</v>
      </c>
    </row>
    <row r="28920" spans="1:6" ht="15.75" customHeight="1">
      <c r="A28920" s="16" t="s">
        <v>6868</v>
      </c>
      <c r="B28920" s="15" t="s">
        <v>6868</v>
      </c>
      <c r="C28920" s="16" t="s">
        <v>6807</v>
      </c>
      <c r="D28920" s="16" t="s">
        <v>6817</v>
      </c>
      <c r="E28920" s="2">
        <v>337853</v>
      </c>
      <c r="F28920" s="4" t="e">
        <f>IF(B28920=#REF!,"",B28920)</f>
        <v>#REF!</v>
      </c>
    </row>
    <row r="28921" spans="1:6" ht="15.75" customHeight="1">
      <c r="A28921" s="15" t="s">
        <v>1128</v>
      </c>
      <c r="B28921" s="15" t="s">
        <v>1128</v>
      </c>
      <c r="C28921" s="15" t="s">
        <v>1117</v>
      </c>
      <c r="D28921" s="15" t="s">
        <v>1126</v>
      </c>
      <c r="E28921" s="2">
        <v>2779674</v>
      </c>
      <c r="F28921" s="4" t="e">
        <f>IF(B28921=#REF!,"",B28921)</f>
        <v>#REF!</v>
      </c>
    </row>
    <row r="28922" spans="1:6" ht="15.75" customHeight="1">
      <c r="A28922" s="15" t="s">
        <v>24466</v>
      </c>
      <c r="B28922" s="15" t="s">
        <v>24466</v>
      </c>
      <c r="C28922" s="15" t="s">
        <v>24200</v>
      </c>
      <c r="D28922" s="15" t="s">
        <v>24236</v>
      </c>
      <c r="E28922" s="2">
        <v>2517750</v>
      </c>
      <c r="F28922" s="4" t="e">
        <f>IF(B28922=#REF!,"",B28922)</f>
        <v>#REF!</v>
      </c>
    </row>
    <row r="28923" spans="1:6" ht="15.75" customHeight="1">
      <c r="A28923" s="16" t="s">
        <v>2459</v>
      </c>
      <c r="B28923" s="15" t="s">
        <v>2459</v>
      </c>
      <c r="C28923" s="16" t="s">
        <v>1905</v>
      </c>
      <c r="D28923" s="16" t="s">
        <v>1947</v>
      </c>
      <c r="E28923" s="2">
        <v>3463478</v>
      </c>
      <c r="F28923" s="4" t="e">
        <f>IF(B28923=#REF!,"",B28923)</f>
        <v>#REF!</v>
      </c>
    </row>
    <row r="28924" spans="1:6" ht="15.75" customHeight="1">
      <c r="A28924" s="15" t="s">
        <v>21664</v>
      </c>
      <c r="B28924" s="15" t="s">
        <v>21664</v>
      </c>
      <c r="C28924" s="15" t="s">
        <v>21606</v>
      </c>
      <c r="D28924" s="15" t="s">
        <v>21612</v>
      </c>
      <c r="E28924" s="2">
        <v>2739723</v>
      </c>
      <c r="F28924" s="4" t="e">
        <f>IF(B28924=#REF!,"",B28924)</f>
        <v>#REF!</v>
      </c>
    </row>
    <row r="28925" spans="1:6" ht="15.75" customHeight="1">
      <c r="A28925" s="15" t="s">
        <v>4660</v>
      </c>
      <c r="B28925" s="15" t="s">
        <v>4660</v>
      </c>
      <c r="C28925" s="15" t="s">
        <v>4487</v>
      </c>
      <c r="D28925" s="15" t="s">
        <v>4503</v>
      </c>
      <c r="E28925" s="2">
        <v>1789176</v>
      </c>
      <c r="F28925" s="4" t="e">
        <f>IF(B28925=#REF!,"",B28925)</f>
        <v>#REF!</v>
      </c>
    </row>
    <row r="28926" spans="1:6" ht="15.75" customHeight="1">
      <c r="A28926" s="16" t="s">
        <v>28620</v>
      </c>
      <c r="B28926" s="15" t="s">
        <v>28621</v>
      </c>
      <c r="C28926" s="16" t="s">
        <v>27788</v>
      </c>
      <c r="D28926" s="16" t="s">
        <v>27733</v>
      </c>
      <c r="E28926" s="2">
        <v>5794245</v>
      </c>
      <c r="F28926" s="4" t="e">
        <f>IF(B28926=#REF!,"",B28926)</f>
        <v>#REF!</v>
      </c>
    </row>
    <row r="28927" spans="1:6" ht="15.75" customHeight="1">
      <c r="A28927" s="15" t="s">
        <v>655</v>
      </c>
      <c r="B28927" s="15" t="s">
        <v>655</v>
      </c>
      <c r="C28927" s="15" t="s">
        <v>558</v>
      </c>
      <c r="D28927" s="15" t="s">
        <v>611</v>
      </c>
      <c r="E28927" s="2">
        <v>3433956</v>
      </c>
      <c r="F28927" s="4" t="str">
        <f>IF(B28927=B28926,"",B28927)</f>
        <v>Federal</v>
      </c>
    </row>
    <row r="28928" spans="1:6" ht="15.75" customHeight="1">
      <c r="A28928" s="16" t="str">
        <f ca="1">IFERROR(__xludf.DUMMYFUNCTION("GOOGLETRANSLATE(B30083,""en"",""pt"")"),"Fécamp")</f>
        <v>Fécamp</v>
      </c>
      <c r="B28928" s="20" t="s">
        <v>32603</v>
      </c>
      <c r="C28928" s="20" t="s">
        <v>7052</v>
      </c>
      <c r="D28928" s="20" t="s">
        <v>7068</v>
      </c>
      <c r="E28928" s="10">
        <v>3018794</v>
      </c>
      <c r="F28928" s="4" t="str">
        <f>IF(B28928=B28927,"",B28928)</f>
        <v>Fécamp</v>
      </c>
    </row>
    <row r="28929" spans="1:6" ht="15.75" customHeight="1">
      <c r="A28929" s="16" t="str">
        <f ca="1">IFERROR(__xludf.DUMMYFUNCTION("GOOGLETRANSLATE(B33508,""en"",""pt"")"),"Fāzilka")</f>
        <v>Fāzilka</v>
      </c>
      <c r="B28929" s="20" t="s">
        <v>33738</v>
      </c>
      <c r="C28929" s="20" t="s">
        <v>10178</v>
      </c>
      <c r="D28929" s="20" t="s">
        <v>10184</v>
      </c>
      <c r="E28929" s="10">
        <v>1271891</v>
      </c>
      <c r="F28929" s="4" t="e">
        <f>IF(B28929=#REF!,"",B28929)</f>
        <v>#REF!</v>
      </c>
    </row>
    <row r="28930" spans="1:6" ht="15.75" customHeight="1">
      <c r="A28930" s="15" t="s">
        <v>19911</v>
      </c>
      <c r="B28930" s="15" t="s">
        <v>19911</v>
      </c>
      <c r="C28930" s="15" t="s">
        <v>19808</v>
      </c>
      <c r="D28930" s="15" t="s">
        <v>10184</v>
      </c>
      <c r="E28930" s="2">
        <v>1179255</v>
      </c>
      <c r="F28930" s="4" t="e">
        <f>IF(B28930=#REF!,"",B28930)</f>
        <v>#REF!</v>
      </c>
    </row>
    <row r="28931" spans="1:6" ht="15.75" customHeight="1">
      <c r="A28931" s="15" t="s">
        <v>37</v>
      </c>
      <c r="B28931" s="15" t="s">
        <v>37</v>
      </c>
      <c r="C28931" s="15" t="s">
        <v>8</v>
      </c>
      <c r="D28931" s="15" t="s">
        <v>38</v>
      </c>
      <c r="E28931" s="2">
        <v>1142170</v>
      </c>
      <c r="F28931" s="4" t="e">
        <f>IF(B28931=#REF!,"",B28931)</f>
        <v>#REF!</v>
      </c>
    </row>
    <row r="28932" spans="1:6" ht="15.75" customHeight="1">
      <c r="A28932" s="16" t="s">
        <v>28619</v>
      </c>
      <c r="B28932" s="15" t="s">
        <v>28619</v>
      </c>
      <c r="C28932" s="16" t="s">
        <v>27788</v>
      </c>
      <c r="D28932" s="16" t="s">
        <v>27991</v>
      </c>
      <c r="E28932" s="2">
        <v>4110486</v>
      </c>
      <c r="F28932" s="4" t="e">
        <f>IF(B28932=#REF!,"",B28932)</f>
        <v>#REF!</v>
      </c>
    </row>
    <row r="28933" spans="1:6" ht="15.75" customHeight="1">
      <c r="A28933" s="15" t="s">
        <v>15132</v>
      </c>
      <c r="B28933" s="15" t="s">
        <v>15132</v>
      </c>
      <c r="C28933" s="15" t="s">
        <v>14891</v>
      </c>
      <c r="D28933" s="15" t="s">
        <v>14899</v>
      </c>
      <c r="E28933" s="2">
        <v>2524786</v>
      </c>
      <c r="F28933" s="4" t="e">
        <f>IF(B28933=#REF!,"",B28933)</f>
        <v>#REF!</v>
      </c>
    </row>
    <row r="28934" spans="1:6" ht="15.75" customHeight="1">
      <c r="A28934" s="15" t="s">
        <v>11258</v>
      </c>
      <c r="B28934" s="15" t="s">
        <v>11258</v>
      </c>
      <c r="C28934" s="15" t="s">
        <v>10178</v>
      </c>
      <c r="D28934" s="15" t="s">
        <v>10317</v>
      </c>
      <c r="E28934" s="2">
        <v>1271892</v>
      </c>
      <c r="F28934" s="4" t="e">
        <f>IF(B28934=#REF!,"",B28934)</f>
        <v>#REF!</v>
      </c>
    </row>
    <row r="28935" spans="1:6" ht="15.75" customHeight="1">
      <c r="A28935" s="15" t="s">
        <v>26492</v>
      </c>
      <c r="B28935" s="15" t="s">
        <v>26492</v>
      </c>
      <c r="C28935" s="15" t="s">
        <v>26201</v>
      </c>
      <c r="D28935" s="15" t="s">
        <v>26321</v>
      </c>
      <c r="E28935" s="2">
        <v>747155</v>
      </c>
      <c r="F28935" s="4" t="e">
        <f>IF(B28935=#REF!,"",B28935)</f>
        <v>#REF!</v>
      </c>
    </row>
    <row r="28936" spans="1:6" ht="15.75" customHeight="1">
      <c r="A28936" s="15" t="s">
        <v>1341</v>
      </c>
      <c r="B28936" s="15" t="s">
        <v>1341</v>
      </c>
      <c r="C28936" s="15" t="s">
        <v>1296</v>
      </c>
      <c r="D28936" s="15" t="s">
        <v>1302</v>
      </c>
      <c r="E28936" s="2">
        <v>6414184</v>
      </c>
      <c r="F28936" s="4" t="str">
        <f>IF(B28936=B28935,"",B28936)</f>
        <v>Fatikchari</v>
      </c>
    </row>
    <row r="28937" spans="1:6" ht="15.75" customHeight="1">
      <c r="A28937" s="16" t="str">
        <f ca="1">IFERROR(__xludf.DUMMYFUNCTION("GOOGLETRANSLATE(B33510,""en"",""pt"")"),"Fatehpur Sīkri")</f>
        <v>Fatehpur Sīkri</v>
      </c>
      <c r="B28937" s="20" t="s">
        <v>33739</v>
      </c>
      <c r="C28937" s="20" t="s">
        <v>10178</v>
      </c>
      <c r="D28937" s="20" t="s">
        <v>10193</v>
      </c>
      <c r="E28937" s="10">
        <v>1271900</v>
      </c>
      <c r="F28937" s="4" t="str">
        <f>IF(B28937=B28936,"",B28937)</f>
        <v>Fatehpur Sīkri</v>
      </c>
    </row>
    <row r="28938" spans="1:6" ht="15.75" customHeight="1">
      <c r="A28938" s="16" t="s">
        <v>11256</v>
      </c>
      <c r="B28938" s="15" t="s">
        <v>11257</v>
      </c>
      <c r="C28938" s="16" t="s">
        <v>10178</v>
      </c>
      <c r="D28938" s="16" t="s">
        <v>10193</v>
      </c>
      <c r="E28938" s="2">
        <v>1271900</v>
      </c>
      <c r="F28938" s="4" t="e">
        <f>IF(B28938=#REF!,"",B28938)</f>
        <v>#REF!</v>
      </c>
    </row>
    <row r="28939" spans="1:6" ht="15.75" customHeight="1">
      <c r="A28939" s="15" t="s">
        <v>11255</v>
      </c>
      <c r="B28939" s="15" t="s">
        <v>11255</v>
      </c>
      <c r="C28939" s="15" t="s">
        <v>10178</v>
      </c>
      <c r="D28939" s="15" t="s">
        <v>10179</v>
      </c>
      <c r="E28939" s="2">
        <v>1271910</v>
      </c>
      <c r="F28939" s="4" t="str">
        <f>IF(B28939=B28938,"",B28939)</f>
        <v>Fatehpur</v>
      </c>
    </row>
    <row r="28940" spans="1:6" ht="15.75" customHeight="1">
      <c r="A28940" s="16" t="str">
        <f ca="1">IFERROR(__xludf.DUMMYFUNCTION("GOOGLETRANSLATE(B33514,""en"",""pt"")"),"Fatehgarh Chūriān")</f>
        <v>Fatehgarh Chūriān</v>
      </c>
      <c r="B28940" s="20" t="s">
        <v>33740</v>
      </c>
      <c r="C28940" s="20" t="s">
        <v>10178</v>
      </c>
      <c r="D28940" s="20" t="s">
        <v>10184</v>
      </c>
      <c r="E28940" s="10">
        <v>1271923</v>
      </c>
      <c r="F28940" s="4" t="str">
        <f>IF(B28940=B28939,"",B28940)</f>
        <v>Fatehgarh Chūriān</v>
      </c>
    </row>
    <row r="28941" spans="1:6" ht="15.75" customHeight="1">
      <c r="A28941" s="16" t="s">
        <v>11253</v>
      </c>
      <c r="B28941" s="15" t="s">
        <v>11254</v>
      </c>
      <c r="C28941" s="16" t="s">
        <v>10178</v>
      </c>
      <c r="D28941" s="16" t="s">
        <v>10184</v>
      </c>
      <c r="E28941" s="2">
        <v>1271923</v>
      </c>
      <c r="F28941" s="4" t="e">
        <f>IF(B28941=#REF!,"",B28941)</f>
        <v>#REF!</v>
      </c>
    </row>
    <row r="28942" spans="1:6" ht="15.75" customHeight="1">
      <c r="A28942" s="16" t="s">
        <v>11252</v>
      </c>
      <c r="B28942" s="15" t="s">
        <v>11252</v>
      </c>
      <c r="C28942" s="16" t="s">
        <v>10178</v>
      </c>
      <c r="D28942" s="16" t="s">
        <v>10193</v>
      </c>
      <c r="E28942" s="2">
        <v>1271929</v>
      </c>
      <c r="F28942" s="4" t="e">
        <f>IF(B28942=#REF!,"",B28942)</f>
        <v>#REF!</v>
      </c>
    </row>
    <row r="28943" spans="1:6" ht="15.75" customHeight="1">
      <c r="A28943" s="16" t="str">
        <f ca="1">IFERROR(__xludf.DUMMYFUNCTION("GOOGLETRANSLATE(B33516,""en"",""pt"")"),"Fatehābād")</f>
        <v>Fatehābād</v>
      </c>
      <c r="B28943" s="20" t="s">
        <v>33741</v>
      </c>
      <c r="C28943" s="20" t="s">
        <v>10178</v>
      </c>
      <c r="D28943" s="20" t="s">
        <v>10224</v>
      </c>
      <c r="E28943" s="10">
        <v>1271934</v>
      </c>
      <c r="F28943" s="4" t="e">
        <f>IF(B28943=#REF!,"",B28943)</f>
        <v>#REF!</v>
      </c>
    </row>
    <row r="28944" spans="1:6" ht="15.75" customHeight="1">
      <c r="A28944" s="16" t="s">
        <v>11250</v>
      </c>
      <c r="B28944" s="15" t="s">
        <v>11251</v>
      </c>
      <c r="C28944" s="16" t="s">
        <v>10178</v>
      </c>
      <c r="D28944" s="16" t="s">
        <v>10224</v>
      </c>
      <c r="E28944" s="2">
        <v>1271934</v>
      </c>
      <c r="F28944" s="4" t="e">
        <f>IF(B28944=#REF!,"",B28944)</f>
        <v>#REF!</v>
      </c>
    </row>
    <row r="28945" spans="1:6" ht="15.75" customHeight="1">
      <c r="A28945" s="15" t="s">
        <v>26961</v>
      </c>
      <c r="B28945" s="15" t="s">
        <v>26961</v>
      </c>
      <c r="C28945" s="15" t="s">
        <v>26870</v>
      </c>
      <c r="D28945" s="15" t="s">
        <v>26905</v>
      </c>
      <c r="E28945" s="2">
        <v>709248</v>
      </c>
      <c r="F28945" s="4" t="e">
        <f>IF(B28945=#REF!,"",B28945)</f>
        <v>#REF!</v>
      </c>
    </row>
    <row r="28946" spans="1:6" ht="15.75" customHeight="1">
      <c r="A28946" s="15" t="s">
        <v>15131</v>
      </c>
      <c r="B28946" s="15" t="s">
        <v>15131</v>
      </c>
      <c r="C28946" s="15" t="s">
        <v>14891</v>
      </c>
      <c r="D28946" s="15" t="s">
        <v>14908</v>
      </c>
      <c r="E28946" s="2">
        <v>3177171</v>
      </c>
      <c r="F28946" s="4" t="str">
        <f>IF(B28946=B28945,"",B28946)</f>
        <v>Fasano</v>
      </c>
    </row>
    <row r="28947" spans="1:6" ht="15.75" customHeight="1">
      <c r="A28947" s="15" t="s">
        <v>14384</v>
      </c>
      <c r="B28947" s="15" t="s">
        <v>14385</v>
      </c>
      <c r="C28947" s="15" t="s">
        <v>14240</v>
      </c>
      <c r="D28947" s="15" t="s">
        <v>14244</v>
      </c>
      <c r="E28947" s="2">
        <v>134721</v>
      </c>
      <c r="F28947" s="4" t="str">
        <f>IF(B28947=B28946,"",B28947)</f>
        <v>FasÄ</v>
      </c>
    </row>
    <row r="28948" spans="1:6" ht="15.75" customHeight="1">
      <c r="A28948" s="16" t="str">
        <f ca="1">IFERROR(__xludf.DUMMYFUNCTION("GOOGLETRANSLATE(B34454,""en"",""pt"")"),"Fasā")</f>
        <v>Fasā</v>
      </c>
      <c r="B28948" s="20" t="s">
        <v>34205</v>
      </c>
      <c r="C28948" s="20" t="s">
        <v>14240</v>
      </c>
      <c r="D28948" s="20" t="s">
        <v>14244</v>
      </c>
      <c r="E28948" s="10">
        <v>134721</v>
      </c>
      <c r="F28948" s="4" t="e">
        <f>IF(B28948=#REF!,"",B28948)</f>
        <v>#REF!</v>
      </c>
    </row>
    <row r="28949" spans="1:6" ht="15.75" customHeight="1">
      <c r="A28949" s="15" t="s">
        <v>6225</v>
      </c>
      <c r="B28949" s="15" t="s">
        <v>6225</v>
      </c>
      <c r="C28949" s="15" t="s">
        <v>6209</v>
      </c>
      <c r="D28949" s="15" t="s">
        <v>6216</v>
      </c>
      <c r="E28949" s="2">
        <v>2622306</v>
      </c>
      <c r="F28949" s="4" t="e">
        <f>IF(B28949=#REF!,"",B28949)</f>
        <v>#REF!</v>
      </c>
    </row>
    <row r="28950" spans="1:6" ht="15.75" customHeight="1">
      <c r="A28950" s="15" t="s">
        <v>19910</v>
      </c>
      <c r="B28950" s="15" t="s">
        <v>19910</v>
      </c>
      <c r="C28950" s="15" t="s">
        <v>19808</v>
      </c>
      <c r="D28950" s="15" t="s">
        <v>10184</v>
      </c>
      <c r="E28950" s="2">
        <v>1179346</v>
      </c>
      <c r="F28950" s="4" t="str">
        <f>IF(B28950=B28949,"",B28950)</f>
        <v>Faruka</v>
      </c>
    </row>
    <row r="28951" spans="1:6" ht="15.75" customHeight="1">
      <c r="A28951" s="16" t="str">
        <f ca="1">IFERROR(__xludf.DUMMYFUNCTION("GOOGLETRANSLATE(B28870,""en"",""pt"")"),"Farshūţ")</f>
        <v>Farshūţ</v>
      </c>
      <c r="B28951" s="20" t="s">
        <v>32296</v>
      </c>
      <c r="C28951" s="20" t="s">
        <v>6495</v>
      </c>
      <c r="D28951" s="20" t="s">
        <v>32267</v>
      </c>
      <c r="E28951" s="10">
        <v>356933</v>
      </c>
      <c r="F28951" s="4" t="str">
        <f>IF(B28951=B28950,"",B28951)</f>
        <v>Farshūţ</v>
      </c>
    </row>
    <row r="28952" spans="1:6" ht="15.75" customHeight="1">
      <c r="A28952" s="16" t="s">
        <v>6641</v>
      </c>
      <c r="B28952" s="15" t="s">
        <v>6642</v>
      </c>
      <c r="C28952" s="16" t="s">
        <v>6495</v>
      </c>
      <c r="D28952" s="16" t="s">
        <v>6634</v>
      </c>
      <c r="E28952" s="2">
        <v>356933</v>
      </c>
      <c r="F28952" s="4" t="str">
        <f>IF(B28952=B28951,"",B28952)</f>
        <v>FarshÅ«Å£</v>
      </c>
    </row>
    <row r="28953" spans="1:6" ht="15.75" customHeight="1">
      <c r="A28953" s="16" t="str">
        <f ca="1">IFERROR(__xludf.DUMMYFUNCTION("GOOGLETRANSLATE(B34455,""en"",""pt"")"),"Fārsān")</f>
        <v>Fārsān</v>
      </c>
      <c r="B28953" s="20" t="s">
        <v>34206</v>
      </c>
      <c r="C28953" s="20" t="s">
        <v>14240</v>
      </c>
      <c r="D28953" s="20" t="s">
        <v>34142</v>
      </c>
      <c r="E28953" s="10">
        <v>134762</v>
      </c>
      <c r="F28953" s="4" t="e">
        <f>IF(B28953=#REF!,"",B28953)</f>
        <v>#REF!</v>
      </c>
    </row>
    <row r="28954" spans="1:6" ht="15.75" customHeight="1">
      <c r="A28954" s="16" t="s">
        <v>11249</v>
      </c>
      <c r="B28954" s="15" t="s">
        <v>11249</v>
      </c>
      <c r="C28954" s="16" t="s">
        <v>10178</v>
      </c>
      <c r="D28954" s="16" t="s">
        <v>10187</v>
      </c>
      <c r="E28954" s="2">
        <v>1271940</v>
      </c>
      <c r="F28954" s="4" t="str">
        <f>IF(B28954=B28953,"",B28954)</f>
        <v>Farrukhnagar</v>
      </c>
    </row>
    <row r="28955" spans="1:6" ht="15.75" customHeight="1">
      <c r="A28955" s="16" t="str">
        <f ca="1">IFERROR(__xludf.DUMMYFUNCTION("GOOGLETRANSLATE(B33519,""en"",""pt"")"),"Farrukhābād")</f>
        <v>Farrukhābād</v>
      </c>
      <c r="B28955" s="20" t="s">
        <v>33742</v>
      </c>
      <c r="C28955" s="20" t="s">
        <v>10178</v>
      </c>
      <c r="D28955" s="20" t="s">
        <v>10193</v>
      </c>
      <c r="E28955" s="10">
        <v>1271942</v>
      </c>
      <c r="F28955" s="4" t="str">
        <f>IF(B28955=B28954,"",B28955)</f>
        <v>Farrukhābād</v>
      </c>
    </row>
    <row r="28956" spans="1:6" ht="15.75" customHeight="1">
      <c r="A28956" s="16" t="s">
        <v>11247</v>
      </c>
      <c r="B28956" s="15" t="s">
        <v>11248</v>
      </c>
      <c r="C28956" s="16" t="s">
        <v>10178</v>
      </c>
      <c r="D28956" s="16" t="s">
        <v>10193</v>
      </c>
      <c r="E28956" s="2">
        <v>1271942</v>
      </c>
      <c r="F28956" s="4" t="e">
        <f>IF(B28956=#REF!,"",B28956)</f>
        <v>#REF!</v>
      </c>
    </row>
    <row r="28957" spans="1:6" ht="15.75" customHeight="1">
      <c r="A28957" s="16" t="s">
        <v>2457</v>
      </c>
      <c r="B28957" s="15" t="s">
        <v>2458</v>
      </c>
      <c r="C28957" s="16" t="s">
        <v>1905</v>
      </c>
      <c r="D28957" s="16" t="s">
        <v>1951</v>
      </c>
      <c r="E28957" s="2">
        <v>3463605</v>
      </c>
      <c r="F28957" s="4" t="e">
        <f>IF(B28957=#REF!,"",B28957)</f>
        <v>#REF!</v>
      </c>
    </row>
    <row r="28958" spans="1:6" ht="15.75" customHeight="1">
      <c r="A28958" s="16" t="s">
        <v>14383</v>
      </c>
      <c r="B28958" s="15" t="s">
        <v>14383</v>
      </c>
      <c r="C28958" s="16" t="s">
        <v>14240</v>
      </c>
      <c r="D28958" s="16" t="s">
        <v>14341</v>
      </c>
      <c r="E28958" s="2">
        <v>120678</v>
      </c>
      <c r="F28958" s="4" t="e">
        <f>IF(B28958=#REF!,"",B28958)</f>
        <v>#REF!</v>
      </c>
    </row>
    <row r="28959" spans="1:6" ht="15.75" customHeight="1">
      <c r="A28959" s="15" t="s">
        <v>28618</v>
      </c>
      <c r="B28959" s="15" t="s">
        <v>28618</v>
      </c>
      <c r="C28959" s="15" t="s">
        <v>27788</v>
      </c>
      <c r="D28959" s="15" t="s">
        <v>27957</v>
      </c>
      <c r="E28959" s="2">
        <v>4621846</v>
      </c>
      <c r="F28959" s="4" t="e">
        <f>IF(B28959=#REF!,"",B28959)</f>
        <v>#REF!</v>
      </c>
    </row>
    <row r="28960" spans="1:6" ht="15.75" customHeight="1">
      <c r="A28960" s="15" t="s">
        <v>21614</v>
      </c>
      <c r="B28960" s="15" t="s">
        <v>21614</v>
      </c>
      <c r="C28960" s="15" t="s">
        <v>21606</v>
      </c>
      <c r="D28960" s="15" t="s">
        <v>21614</v>
      </c>
      <c r="E28960" s="2">
        <v>2268339</v>
      </c>
      <c r="F28960" s="4" t="e">
        <f>IF(B28960=#REF!,"",B28960)</f>
        <v>#REF!</v>
      </c>
    </row>
    <row r="28961" spans="1:6" ht="15.75" customHeight="1">
      <c r="A28961" s="16" t="s">
        <v>8380</v>
      </c>
      <c r="B28961" s="15" t="s">
        <v>8380</v>
      </c>
      <c r="C28961" s="16" t="s">
        <v>8028</v>
      </c>
      <c r="D28961" s="16" t="s">
        <v>8059</v>
      </c>
      <c r="E28961" s="2">
        <v>7932386</v>
      </c>
      <c r="F28961" s="4" t="e">
        <f>IF(B28961=#REF!,"",B28961)</f>
        <v>#REF!</v>
      </c>
    </row>
    <row r="28962" spans="1:6" ht="15.75" customHeight="1">
      <c r="A28962" s="16" t="s">
        <v>28617</v>
      </c>
      <c r="B28962" s="15" t="s">
        <v>28617</v>
      </c>
      <c r="C28962" s="16" t="s">
        <v>27788</v>
      </c>
      <c r="D28962" s="16" t="s">
        <v>27819</v>
      </c>
      <c r="E28962" s="2">
        <v>5116937</v>
      </c>
      <c r="F28962" s="4" t="e">
        <f>IF(B28962=#REF!,"",B28962)</f>
        <v>#REF!</v>
      </c>
    </row>
    <row r="28963" spans="1:6" ht="15.75" customHeight="1">
      <c r="A28963" s="16" t="s">
        <v>28616</v>
      </c>
      <c r="B28963" s="15" t="s">
        <v>28616</v>
      </c>
      <c r="C28963" s="16" t="s">
        <v>27788</v>
      </c>
      <c r="D28963" s="16" t="s">
        <v>27804</v>
      </c>
      <c r="E28963" s="2">
        <v>4992523</v>
      </c>
      <c r="F28963" s="4" t="e">
        <f>IF(B28963=#REF!,"",B28963)</f>
        <v>#REF!</v>
      </c>
    </row>
    <row r="28964" spans="1:6" ht="15.75" customHeight="1">
      <c r="A28964" s="16" t="s">
        <v>28615</v>
      </c>
      <c r="B28964" s="15" t="s">
        <v>28615</v>
      </c>
      <c r="C28964" s="16" t="s">
        <v>27788</v>
      </c>
      <c r="D28964" s="16" t="s">
        <v>27806</v>
      </c>
      <c r="E28964" s="2">
        <v>4386289</v>
      </c>
      <c r="F28964" s="4" t="e">
        <f>IF(B28964=#REF!,"",B28964)</f>
        <v>#REF!</v>
      </c>
    </row>
    <row r="28965" spans="1:6" ht="15.75" customHeight="1">
      <c r="A28965" s="16" t="s">
        <v>28613</v>
      </c>
      <c r="B28965" s="15" t="s">
        <v>28614</v>
      </c>
      <c r="C28965" s="16" t="s">
        <v>27788</v>
      </c>
      <c r="D28965" s="16" t="s">
        <v>27792</v>
      </c>
      <c r="E28965" s="2">
        <v>4690198</v>
      </c>
      <c r="F28965" s="4" t="e">
        <f>IF(B28965=#REF!,"",B28965)</f>
        <v>#REF!</v>
      </c>
    </row>
    <row r="28966" spans="1:6" ht="15.75" customHeight="1">
      <c r="A28966" s="15" t="s">
        <v>25534</v>
      </c>
      <c r="B28966" s="15" t="s">
        <v>25534</v>
      </c>
      <c r="C28966" s="15" t="s">
        <v>25527</v>
      </c>
      <c r="D28966" s="15" t="s">
        <v>25532</v>
      </c>
      <c r="E28966" s="2">
        <v>1220826</v>
      </c>
      <c r="F28966" s="4" t="e">
        <f>IF(B28966=#REF!,"",B28966)</f>
        <v>#REF!</v>
      </c>
    </row>
    <row r="28967" spans="1:6" ht="15.75" customHeight="1">
      <c r="A28967" s="16" t="str">
        <f ca="1">IFERROR(__xludf.DUMMYFUNCTION("GOOGLETRANSLATE(B23764,""en"",""pt"")"),"Farīdpur")</f>
        <v>Farīdpur</v>
      </c>
      <c r="B28967" s="20" t="s">
        <v>31295</v>
      </c>
      <c r="C28967" s="20" t="s">
        <v>1296</v>
      </c>
      <c r="D28967" s="20" t="s">
        <v>1297</v>
      </c>
      <c r="E28967" s="10">
        <v>1203344</v>
      </c>
      <c r="F28967" s="4" t="str">
        <f>IF(B28967=B28966,"",B28967)</f>
        <v>Farīdpur</v>
      </c>
    </row>
    <row r="28968" spans="1:6" ht="15.75" customHeight="1">
      <c r="A28968" s="16" t="str">
        <f ca="1">IFERROR(__xludf.DUMMYFUNCTION("GOOGLETRANSLATE(B33521,""en"",""pt"")"),"Farīdkot")</f>
        <v>Farīdkot</v>
      </c>
      <c r="B28968" s="20" t="s">
        <v>33743</v>
      </c>
      <c r="C28968" s="20" t="s">
        <v>10178</v>
      </c>
      <c r="D28968" s="20" t="s">
        <v>10184</v>
      </c>
      <c r="E28968" s="10">
        <v>1271949</v>
      </c>
      <c r="F28968" s="4" t="str">
        <f>IF(B28968=B28967,"",B28968)</f>
        <v>Farīdkot</v>
      </c>
    </row>
    <row r="28969" spans="1:6" ht="15.75" customHeight="1">
      <c r="A28969" s="16" t="str">
        <f ca="1">IFERROR(__xludf.DUMMYFUNCTION("GOOGLETRANSLATE(B33522,""en"",""pt"")"),"Farīdābād")</f>
        <v>Farīdābād</v>
      </c>
      <c r="B28969" s="20" t="s">
        <v>33744</v>
      </c>
      <c r="C28969" s="20" t="s">
        <v>10178</v>
      </c>
      <c r="D28969" s="20" t="s">
        <v>10224</v>
      </c>
      <c r="E28969" s="10">
        <v>1271951</v>
      </c>
      <c r="F28969" s="4" t="e">
        <f>IF(B28969=#REF!,"",B28969)</f>
        <v>#REF!</v>
      </c>
    </row>
    <row r="28970" spans="1:6" ht="15.75" customHeight="1">
      <c r="A28970" s="15" t="s">
        <v>28612</v>
      </c>
      <c r="B28970" s="15" t="s">
        <v>28612</v>
      </c>
      <c r="C28970" s="15" t="s">
        <v>27788</v>
      </c>
      <c r="D28970" s="15" t="s">
        <v>27824</v>
      </c>
      <c r="E28970" s="2">
        <v>5026291</v>
      </c>
      <c r="F28970" s="4" t="e">
        <f>IF(B28970=#REF!,"",B28970)</f>
        <v>#REF!</v>
      </c>
    </row>
    <row r="28971" spans="1:6" ht="15.75" customHeight="1">
      <c r="A28971" s="15" t="s">
        <v>28611</v>
      </c>
      <c r="B28971" s="15" t="s">
        <v>28611</v>
      </c>
      <c r="C28971" s="15" t="s">
        <v>27788</v>
      </c>
      <c r="D28971" s="15" t="s">
        <v>28043</v>
      </c>
      <c r="E28971" s="2">
        <v>5059163</v>
      </c>
      <c r="F28971" s="4" t="e">
        <f>IF(B28971=#REF!,"",B28971)</f>
        <v>#REF!</v>
      </c>
    </row>
    <row r="28972" spans="1:6" ht="15.75" customHeight="1">
      <c r="A28972" s="15" t="s">
        <v>17353</v>
      </c>
      <c r="B28972" s="15" t="s">
        <v>17353</v>
      </c>
      <c r="C28972" s="15" t="s">
        <v>17292</v>
      </c>
      <c r="D28972" s="15" t="s">
        <v>17304</v>
      </c>
      <c r="E28972" s="2">
        <v>1065140</v>
      </c>
      <c r="F28972" s="4" t="str">
        <f>IF(B28972=B28971,"",B28972)</f>
        <v>Faratsiho</v>
      </c>
    </row>
    <row r="28973" spans="1:6" ht="15.75" customHeight="1">
      <c r="A28973" s="16" t="str">
        <f ca="1">IFERROR(__xludf.DUMMYFUNCTION("GOOGLETRANSLATE(B28871,""en"",""pt"")"),"Fāraskūr")</f>
        <v>Fāraskūr</v>
      </c>
      <c r="B28973" s="20" t="s">
        <v>32297</v>
      </c>
      <c r="C28973" s="20" t="s">
        <v>6495</v>
      </c>
      <c r="D28973" s="20" t="s">
        <v>32298</v>
      </c>
      <c r="E28973" s="10">
        <v>356945</v>
      </c>
      <c r="F28973" s="4" t="e">
        <f>IF(B28973=#REF!,"",B28973)</f>
        <v>#REF!</v>
      </c>
    </row>
    <row r="28974" spans="1:6" ht="15.75" customHeight="1">
      <c r="A28974" s="15" t="s">
        <v>11246</v>
      </c>
      <c r="B28974" s="15" t="s">
        <v>11246</v>
      </c>
      <c r="C28974" s="15" t="s">
        <v>10178</v>
      </c>
      <c r="D28974" s="15" t="s">
        <v>10201</v>
      </c>
      <c r="E28974" s="2">
        <v>1271954</v>
      </c>
      <c r="F28974" s="4" t="e">
        <f>IF(B28974=#REF!,"",B28974)</f>
        <v>#REF!</v>
      </c>
    </row>
    <row r="28975" spans="1:6" ht="15.75" customHeight="1">
      <c r="A28975" s="15" t="s">
        <v>36</v>
      </c>
      <c r="B28975" s="15" t="s">
        <v>36</v>
      </c>
      <c r="C28975" s="15" t="s">
        <v>8</v>
      </c>
      <c r="D28975" s="15" t="s">
        <v>36</v>
      </c>
      <c r="E28975" s="2">
        <v>1142264</v>
      </c>
      <c r="F28975" s="4" t="e">
        <f>IF(B28975=#REF!,"",B28975)</f>
        <v>#REF!</v>
      </c>
    </row>
    <row r="28976" spans="1:6" ht="15.75" customHeight="1">
      <c r="A28976" s="15" t="s">
        <v>7983</v>
      </c>
      <c r="B28976" s="15" t="s">
        <v>7983</v>
      </c>
      <c r="C28976" s="15" t="s">
        <v>7980</v>
      </c>
      <c r="D28976" s="15" t="s">
        <v>7984</v>
      </c>
      <c r="E28976" s="2">
        <v>2413515</v>
      </c>
      <c r="F28976" s="4" t="e">
        <f>IF(B28976=#REF!,"",B28976)</f>
        <v>#REF!</v>
      </c>
    </row>
    <row r="28977" spans="1:6" ht="15.75" customHeight="1">
      <c r="A28977" s="16" t="s">
        <v>17351</v>
      </c>
      <c r="B28977" s="15" t="s">
        <v>17351</v>
      </c>
      <c r="C28977" s="16" t="s">
        <v>17292</v>
      </c>
      <c r="D28977" s="16" t="s">
        <v>17352</v>
      </c>
      <c r="E28977" s="2">
        <v>1065158</v>
      </c>
      <c r="F28977" s="4" t="e">
        <f>IF(B28977=#REF!,"",B28977)</f>
        <v>#REF!</v>
      </c>
    </row>
    <row r="28978" spans="1:6" ht="15.75" customHeight="1">
      <c r="A28978" s="15" t="s">
        <v>1339</v>
      </c>
      <c r="B28978" s="15" t="s">
        <v>1340</v>
      </c>
      <c r="C28978" s="15" t="s">
        <v>1296</v>
      </c>
      <c r="D28978" s="15" t="s">
        <v>1297</v>
      </c>
      <c r="E28978" s="2">
        <v>1203344</v>
      </c>
      <c r="F28978" s="4" t="str">
        <f>IF(B28978=B28977,"",B28978)</f>
        <v>FarÄ«dpur</v>
      </c>
    </row>
    <row r="28979" spans="1:6" ht="15.75" customHeight="1">
      <c r="A28979" s="16" t="s">
        <v>11244</v>
      </c>
      <c r="B28979" s="15" t="s">
        <v>11245</v>
      </c>
      <c r="C28979" s="16" t="s">
        <v>10178</v>
      </c>
      <c r="D28979" s="16" t="s">
        <v>10184</v>
      </c>
      <c r="E28979" s="2">
        <v>1271949</v>
      </c>
      <c r="F28979" s="4" t="str">
        <f>IF(B28979=B28978,"",B28979)</f>
        <v>FarÄ«dkot</v>
      </c>
    </row>
    <row r="28980" spans="1:6" ht="15.75" customHeight="1">
      <c r="A28980" s="16" t="s">
        <v>11242</v>
      </c>
      <c r="B28980" s="15" t="s">
        <v>11243</v>
      </c>
      <c r="C28980" s="16" t="s">
        <v>10178</v>
      </c>
      <c r="D28980" s="16" t="s">
        <v>10224</v>
      </c>
      <c r="E28980" s="2">
        <v>1271951</v>
      </c>
      <c r="F28980" s="4" t="str">
        <f>IF(B28980=B28979,"",B28980)</f>
        <v>FarÄ«dÄbÄd</v>
      </c>
    </row>
    <row r="28981" spans="1:6" ht="15.75" customHeight="1">
      <c r="A28981" s="16" t="str">
        <f ca="1">IFERROR(__xludf.DUMMYFUNCTION("GOOGLETRANSLATE(B28872,""en"",""pt"")"),"Fāqūs")</f>
        <v>Fāqūs</v>
      </c>
      <c r="B28981" s="20" t="s">
        <v>32299</v>
      </c>
      <c r="C28981" s="20" t="s">
        <v>6495</v>
      </c>
      <c r="D28981" s="20" t="s">
        <v>6128</v>
      </c>
      <c r="E28981" s="10">
        <v>356989</v>
      </c>
      <c r="F28981" s="4" t="str">
        <f>IF(B28981=B28980,"",B28981)</f>
        <v>Fāqūs</v>
      </c>
    </row>
    <row r="28982" spans="1:6" ht="15.75" customHeight="1">
      <c r="A28982" s="16" t="str">
        <f ca="1">IFERROR(__xludf.DUMMYFUNCTION("GOOGLETRANSLATE(B39107,""en"",""pt"")"),"Faqīrwāli")</f>
        <v>Faqīrwāli</v>
      </c>
      <c r="B28982" s="20" t="s">
        <v>35024</v>
      </c>
      <c r="C28982" s="20" t="s">
        <v>19808</v>
      </c>
      <c r="D28982" s="20" t="s">
        <v>10184</v>
      </c>
      <c r="E28982" s="10">
        <v>1179377</v>
      </c>
      <c r="F28982" s="4" t="str">
        <f>IF(B28982=B28981,"",B28982)</f>
        <v>Faqīrwāli</v>
      </c>
    </row>
    <row r="28983" spans="1:6" ht="15.75" customHeight="1">
      <c r="A28983" s="16" t="s">
        <v>19908</v>
      </c>
      <c r="B28983" s="15" t="s">
        <v>19909</v>
      </c>
      <c r="C28983" s="16" t="s">
        <v>19808</v>
      </c>
      <c r="D28983" s="16" t="s">
        <v>10184</v>
      </c>
      <c r="E28983" s="2">
        <v>1179377</v>
      </c>
      <c r="F28983" s="4" t="str">
        <f>IF(B28983=B28982,"",B28983)</f>
        <v>FaqÄ«rwÄli</v>
      </c>
    </row>
    <row r="28984" spans="1:6" ht="15.75" customHeight="1">
      <c r="A28984" s="16" t="str">
        <f ca="1">IFERROR(__xludf.DUMMYFUNCTION("GOOGLETRANSLATE(B39660,""en"",""pt"")"),"Fânzeres")</f>
        <v>Fânzeres</v>
      </c>
      <c r="B28984" s="20" t="s">
        <v>35310</v>
      </c>
      <c r="C28984" s="20" t="s">
        <v>21606</v>
      </c>
      <c r="D28984" s="20" t="s">
        <v>21609</v>
      </c>
      <c r="E28984" s="10">
        <v>2739756</v>
      </c>
      <c r="F28984" s="4" t="e">
        <f>IF(B28984=#REF!,"",B28984)</f>
        <v>#REF!</v>
      </c>
    </row>
    <row r="28985" spans="1:6" ht="15.75" customHeight="1">
      <c r="A28985" s="15" t="s">
        <v>15130</v>
      </c>
      <c r="B28985" s="15" t="s">
        <v>15130</v>
      </c>
      <c r="C28985" s="15" t="s">
        <v>14891</v>
      </c>
      <c r="D28985" s="15" t="s">
        <v>14931</v>
      </c>
      <c r="E28985" s="2">
        <v>3177219</v>
      </c>
      <c r="F28985" s="4" t="e">
        <f>IF(B28985=#REF!,"",B28985)</f>
        <v>#REF!</v>
      </c>
    </row>
    <row r="28986" spans="1:6" ht="15.75" customHeight="1">
      <c r="A28986" s="15" t="s">
        <v>4659</v>
      </c>
      <c r="B28986" s="15" t="s">
        <v>4659</v>
      </c>
      <c r="C28986" s="15" t="s">
        <v>4487</v>
      </c>
      <c r="D28986" s="15" t="s">
        <v>4546</v>
      </c>
      <c r="E28986" s="2">
        <v>1811542</v>
      </c>
      <c r="F28986" s="4" t="e">
        <f>IF(B28986=#REF!,"",B28986)</f>
        <v>#REF!</v>
      </c>
    </row>
    <row r="28987" spans="1:6" ht="15.75" customHeight="1">
      <c r="A28987" s="16" t="s">
        <v>17350</v>
      </c>
      <c r="B28987" s="15" t="s">
        <v>17350</v>
      </c>
      <c r="C28987" s="16" t="s">
        <v>17292</v>
      </c>
      <c r="D28987" s="16" t="s">
        <v>17302</v>
      </c>
      <c r="E28987" s="2">
        <v>1065222</v>
      </c>
      <c r="F28987" s="4" t="str">
        <f>IF(B28987=B28986,"",B28987)</f>
        <v>Fandriana</v>
      </c>
    </row>
    <row r="28988" spans="1:6" ht="15.75" customHeight="1">
      <c r="A28988" s="15" t="s">
        <v>653</v>
      </c>
      <c r="B28988" s="15" t="s">
        <v>654</v>
      </c>
      <c r="C28988" s="15" t="s">
        <v>558</v>
      </c>
      <c r="D28988" s="15" t="s">
        <v>565</v>
      </c>
      <c r="E28988" s="2">
        <v>3855666</v>
      </c>
      <c r="F28988" s="4" t="str">
        <f>IF(B28988=B28987,"",B28988)</f>
        <v>FamaillÃ¡</v>
      </c>
    </row>
    <row r="28989" spans="1:6" ht="15.75" customHeight="1">
      <c r="A28989" s="16" t="str">
        <f ca="1">IFERROR(__xludf.DUMMYFUNCTION("GOOGLETRANSLATE(B23324,""en"",""pt"")"),"Famaillá")</f>
        <v>Famaillá</v>
      </c>
      <c r="B28989" s="20" t="s">
        <v>653</v>
      </c>
      <c r="C28989" s="20" t="s">
        <v>558</v>
      </c>
      <c r="D28989" s="20" t="s">
        <v>31177</v>
      </c>
      <c r="E28989" s="10">
        <v>3855666</v>
      </c>
      <c r="F28989" s="4" t="e">
        <f>IF(B28989=#REF!,"",B28989)</f>
        <v>#REF!</v>
      </c>
    </row>
    <row r="28990" spans="1:6" ht="15.75" customHeight="1">
      <c r="A28990" s="16" t="s">
        <v>5931</v>
      </c>
      <c r="B28990" s="15" t="s">
        <v>5931</v>
      </c>
      <c r="C28990" s="16" t="s">
        <v>5932</v>
      </c>
      <c r="D28990" s="16" t="s">
        <v>5933</v>
      </c>
      <c r="E28990" s="2">
        <v>146617</v>
      </c>
      <c r="F28990" s="4" t="e">
        <f>IF(B28990=#REF!,"",B28990)</f>
        <v>#REF!</v>
      </c>
    </row>
    <row r="28991" spans="1:6" ht="15.75" customHeight="1">
      <c r="A28991" s="15" t="s">
        <v>25120</v>
      </c>
      <c r="B28991" s="15" t="s">
        <v>25120</v>
      </c>
      <c r="C28991" s="15" t="s">
        <v>25077</v>
      </c>
      <c r="D28991" s="15" t="s">
        <v>25107</v>
      </c>
      <c r="E28991" s="2">
        <v>2715459</v>
      </c>
      <c r="F28991" s="4" t="str">
        <f>IF(B28991=B28990,"",B28991)</f>
        <v>Falun</v>
      </c>
    </row>
    <row r="28992" spans="1:6" ht="15.75" customHeight="1">
      <c r="A28992" s="16" t="str">
        <f ca="1">IFERROR(__xludf.DUMMYFUNCTION("GOOGLETRANSLATE(B39797,""en"",""pt"")"),"Fălticeni")</f>
        <v>Fălticeni</v>
      </c>
      <c r="B28992" s="20" t="s">
        <v>35386</v>
      </c>
      <c r="C28992" s="20" t="s">
        <v>21824</v>
      </c>
      <c r="D28992" s="20" t="s">
        <v>21885</v>
      </c>
      <c r="E28992" s="10">
        <v>678459</v>
      </c>
      <c r="F28992" s="4" t="e">
        <f>IF(B28992=#REF!,"",B28992)</f>
        <v>#REF!</v>
      </c>
    </row>
    <row r="28993" spans="1:6" ht="15.75" customHeight="1">
      <c r="A28993" s="15" t="s">
        <v>28610</v>
      </c>
      <c r="B28993" s="15" t="s">
        <v>28610</v>
      </c>
      <c r="C28993" s="15" t="s">
        <v>27788</v>
      </c>
      <c r="D28993" s="15" t="s">
        <v>27801</v>
      </c>
      <c r="E28993" s="2">
        <v>5347578</v>
      </c>
      <c r="F28993" s="4" t="e">
        <f>IF(B28993=#REF!,"",B28993)</f>
        <v>#REF!</v>
      </c>
    </row>
    <row r="28994" spans="1:6" ht="15.75" customHeight="1">
      <c r="A28994" s="16" t="s">
        <v>28608</v>
      </c>
      <c r="B28994" s="15" t="s">
        <v>28609</v>
      </c>
      <c r="C28994" s="16" t="s">
        <v>27788</v>
      </c>
      <c r="D28994" s="16" t="s">
        <v>27794</v>
      </c>
      <c r="E28994" s="2">
        <v>4936159</v>
      </c>
      <c r="F28994" s="4" t="str">
        <f>IF(B28994=B28993,"",B28994)</f>
        <v>Fall River</v>
      </c>
    </row>
    <row r="28995" spans="1:6" ht="15.75" customHeight="1">
      <c r="A28995" s="16" t="str">
        <f ca="1">IFERROR(__xludf.DUMMYFUNCTION("GOOGLETRANSLATE(B41195,""en"",""pt"")"),"Falköping")</f>
        <v>Falköping</v>
      </c>
      <c r="B28995" s="20" t="s">
        <v>35657</v>
      </c>
      <c r="C28995" s="20" t="s">
        <v>25077</v>
      </c>
      <c r="D28995" s="20" t="s">
        <v>35628</v>
      </c>
      <c r="E28995" s="10">
        <v>2715568</v>
      </c>
      <c r="F28995" s="4" t="e">
        <f>IF(B28995=#REF!,"",B28995)</f>
        <v>#REF!</v>
      </c>
    </row>
    <row r="28996" spans="1:6" ht="15.75" customHeight="1">
      <c r="A28996" s="15" t="s">
        <v>8379</v>
      </c>
      <c r="B28996" s="15" t="s">
        <v>8379</v>
      </c>
      <c r="C28996" s="15" t="s">
        <v>8028</v>
      </c>
      <c r="D28996" s="15" t="s">
        <v>8070</v>
      </c>
      <c r="E28996" s="2">
        <v>2927930</v>
      </c>
      <c r="F28996" s="4" t="e">
        <f>IF(B28996=#REF!,"",B28996)</f>
        <v>#REF!</v>
      </c>
    </row>
    <row r="28997" spans="1:6" ht="15.75" customHeight="1">
      <c r="A28997" s="16" t="s">
        <v>8378</v>
      </c>
      <c r="B28997" s="15" t="s">
        <v>8378</v>
      </c>
      <c r="C28997" s="16" t="s">
        <v>8028</v>
      </c>
      <c r="D28997" s="16" t="s">
        <v>8036</v>
      </c>
      <c r="E28997" s="2">
        <v>8334621</v>
      </c>
      <c r="F28997" s="4" t="e">
        <f>IF(B28997=#REF!,"",B28997)</f>
        <v>#REF!</v>
      </c>
    </row>
    <row r="28998" spans="1:6" ht="15.75" customHeight="1">
      <c r="A28998" s="16" t="s">
        <v>25118</v>
      </c>
      <c r="B28998" s="15" t="s">
        <v>25118</v>
      </c>
      <c r="C28998" s="16" t="s">
        <v>25077</v>
      </c>
      <c r="D28998" s="16" t="s">
        <v>25119</v>
      </c>
      <c r="E28998" s="2">
        <v>2715573</v>
      </c>
      <c r="F28998" s="4" t="str">
        <f>IF(B28998=B28997,"",B28998)</f>
        <v>Falkenberg</v>
      </c>
    </row>
    <row r="28999" spans="1:6" ht="15.75" customHeight="1">
      <c r="A28999" s="15" t="s">
        <v>25116</v>
      </c>
      <c r="B28999" s="15" t="s">
        <v>25117</v>
      </c>
      <c r="C28999" s="15" t="s">
        <v>25077</v>
      </c>
      <c r="D28999" s="15" t="s">
        <v>25086</v>
      </c>
      <c r="E28999" s="2">
        <v>2715568</v>
      </c>
      <c r="F28999" s="4" t="e">
        <f>IF(B28999=#REF!,"",B28999)</f>
        <v>#REF!</v>
      </c>
    </row>
    <row r="29000" spans="1:6" ht="15.75" customHeight="1">
      <c r="A29000" s="16" t="s">
        <v>15129</v>
      </c>
      <c r="B29000" s="15" t="s">
        <v>15129</v>
      </c>
      <c r="C29000" s="16" t="s">
        <v>14891</v>
      </c>
      <c r="D29000" s="16" t="s">
        <v>14931</v>
      </c>
      <c r="E29000" s="2">
        <v>3177250</v>
      </c>
      <c r="F29000" s="4" t="str">
        <f>IF(B29000=B28999,"",B29000)</f>
        <v>Falconara Marittima</v>
      </c>
    </row>
    <row r="29001" spans="1:6" ht="15.75" customHeight="1">
      <c r="A29001" s="16" t="str">
        <f ca="1">IFERROR(__xludf.DUMMYFUNCTION("GOOGLETRANSLATE(B34520,""en"",""pt"")"),"Falāvarjān")</f>
        <v>Falāvarjān</v>
      </c>
      <c r="B29001" s="20" t="s">
        <v>34255</v>
      </c>
      <c r="C29001" s="20" t="s">
        <v>14240</v>
      </c>
      <c r="D29001" s="20" t="s">
        <v>14294</v>
      </c>
      <c r="E29001" s="10">
        <v>418851</v>
      </c>
      <c r="F29001" s="4" t="str">
        <f>IF(B29001=B29000,"",B29001)</f>
        <v>Falāvarjān</v>
      </c>
    </row>
    <row r="29002" spans="1:6" ht="15.75" customHeight="1">
      <c r="A29002" s="16" t="str">
        <f ca="1">IFERROR(__xludf.DUMMYFUNCTION("GOOGLETRANSLATE(B33524,""en"",""pt"")"),"Fālākāta")</f>
        <v>Fālākāta</v>
      </c>
      <c r="B29002" s="20" t="s">
        <v>33745</v>
      </c>
      <c r="C29002" s="20" t="s">
        <v>10178</v>
      </c>
      <c r="D29002" s="20" t="s">
        <v>10201</v>
      </c>
      <c r="E29002" s="10">
        <v>1271965</v>
      </c>
      <c r="F29002" s="4" t="str">
        <f>IF(B29002=B29001,"",B29002)</f>
        <v>Fālākāta</v>
      </c>
    </row>
    <row r="29003" spans="1:6" ht="15.75" customHeight="1">
      <c r="A29003" s="16" t="s">
        <v>14381</v>
      </c>
      <c r="B29003" s="15" t="s">
        <v>14382</v>
      </c>
      <c r="C29003" s="16" t="s">
        <v>14240</v>
      </c>
      <c r="D29003" s="16" t="s">
        <v>14294</v>
      </c>
      <c r="E29003" s="2">
        <v>418851</v>
      </c>
      <c r="F29003" s="4" t="e">
        <f>IF(B29003=#REF!,"",B29003)</f>
        <v>#REF!</v>
      </c>
    </row>
    <row r="29004" spans="1:6" ht="15.75" customHeight="1">
      <c r="A29004" s="15" t="s">
        <v>21761</v>
      </c>
      <c r="B29004" s="15" t="s">
        <v>21761</v>
      </c>
      <c r="C29004" s="15" t="s">
        <v>747</v>
      </c>
      <c r="D29004" s="15" t="s">
        <v>21761</v>
      </c>
      <c r="E29004" s="2">
        <v>4564946</v>
      </c>
      <c r="F29004" s="4" t="e">
        <f>IF(B29004=#REF!,"",B29004)</f>
        <v>#REF!</v>
      </c>
    </row>
    <row r="29005" spans="1:6" ht="15.75" customHeight="1">
      <c r="A29005" s="15" t="s">
        <v>11241</v>
      </c>
      <c r="B29005" s="15" t="s">
        <v>11241</v>
      </c>
      <c r="C29005" s="15" t="s">
        <v>10178</v>
      </c>
      <c r="D29005" s="15" t="s">
        <v>10214</v>
      </c>
      <c r="E29005" s="2">
        <v>1271975</v>
      </c>
      <c r="F29005" s="4" t="str">
        <f>IF(B29005=B29004,"",B29005)</f>
        <v>Faizpur</v>
      </c>
    </row>
    <row r="29006" spans="1:6" ht="15.75" customHeight="1">
      <c r="A29006" s="16" t="str">
        <f ca="1">IFERROR(__xludf.DUMMYFUNCTION("GOOGLETRANSLATE(B39108,""en"",""pt"")"),"Faisalābād")</f>
        <v>Faisalābād</v>
      </c>
      <c r="B29006" s="20" t="s">
        <v>35025</v>
      </c>
      <c r="C29006" s="20" t="s">
        <v>19808</v>
      </c>
      <c r="D29006" s="20" t="s">
        <v>10184</v>
      </c>
      <c r="E29006" s="10">
        <v>1179400</v>
      </c>
      <c r="F29006" s="4" t="str">
        <f>IF(B29006=B29005,"",B29006)</f>
        <v>Faisalābād</v>
      </c>
    </row>
    <row r="29007" spans="1:6" ht="15.75" customHeight="1">
      <c r="A29007" s="16" t="s">
        <v>19906</v>
      </c>
      <c r="B29007" s="15" t="s">
        <v>19907</v>
      </c>
      <c r="C29007" s="16" t="s">
        <v>19808</v>
      </c>
      <c r="D29007" s="16" t="s">
        <v>10184</v>
      </c>
      <c r="E29007" s="2">
        <v>1179400</v>
      </c>
      <c r="F29007" s="4" t="e">
        <f>IF(B29007=#REF!,"",B29007)</f>
        <v>#REF!</v>
      </c>
    </row>
    <row r="29008" spans="1:6" ht="15.75" customHeight="1">
      <c r="A29008" s="15" t="s">
        <v>28607</v>
      </c>
      <c r="B29008" s="15" t="s">
        <v>28607</v>
      </c>
      <c r="C29008" s="15" t="s">
        <v>27788</v>
      </c>
      <c r="D29008" s="15" t="s">
        <v>27733</v>
      </c>
      <c r="E29008" s="2">
        <v>5794097</v>
      </c>
      <c r="F29008" s="4" t="e">
        <f>IF(B29008=#REF!,"",B29008)</f>
        <v>#REF!</v>
      </c>
    </row>
    <row r="29009" spans="1:6" ht="15.75" customHeight="1">
      <c r="A29009" s="16" t="s">
        <v>28606</v>
      </c>
      <c r="B29009" s="15" t="s">
        <v>28606</v>
      </c>
      <c r="C29009" s="16" t="s">
        <v>27788</v>
      </c>
      <c r="D29009" s="16" t="s">
        <v>27813</v>
      </c>
      <c r="E29009" s="2">
        <v>5153680</v>
      </c>
      <c r="F29009" s="4" t="e">
        <f>IF(B29009=#REF!,"",B29009)</f>
        <v>#REF!</v>
      </c>
    </row>
    <row r="29010" spans="1:6" ht="15.75" customHeight="1">
      <c r="A29010" s="16" t="s">
        <v>28605</v>
      </c>
      <c r="B29010" s="15" t="s">
        <v>28605</v>
      </c>
      <c r="C29010" s="16" t="s">
        <v>27788</v>
      </c>
      <c r="D29010" s="16" t="s">
        <v>27799</v>
      </c>
      <c r="E29010" s="2">
        <v>4238132</v>
      </c>
      <c r="F29010" s="4" t="e">
        <f>IF(B29010=#REF!,"",B29010)</f>
        <v>#REF!</v>
      </c>
    </row>
    <row r="29011" spans="1:6" ht="15.75" customHeight="1">
      <c r="A29011" s="15" t="s">
        <v>28604</v>
      </c>
      <c r="B29011" s="15" t="s">
        <v>28604</v>
      </c>
      <c r="C29011" s="15" t="s">
        <v>27788</v>
      </c>
      <c r="D29011" s="15" t="s">
        <v>17061</v>
      </c>
      <c r="E29011" s="2">
        <v>4354573</v>
      </c>
      <c r="F29011" s="4" t="e">
        <f>IF(B29011=#REF!,"",B29011)</f>
        <v>#REF!</v>
      </c>
    </row>
    <row r="29012" spans="1:6" ht="15.75" customHeight="1">
      <c r="A29012" s="15" t="s">
        <v>28603</v>
      </c>
      <c r="B29012" s="15" t="s">
        <v>28603</v>
      </c>
      <c r="C29012" s="15" t="s">
        <v>27788</v>
      </c>
      <c r="D29012" s="15" t="s">
        <v>28023</v>
      </c>
      <c r="E29012" s="2">
        <v>4061234</v>
      </c>
      <c r="F29012" s="4" t="e">
        <f>IF(B29012=#REF!,"",B29012)</f>
        <v>#REF!</v>
      </c>
    </row>
    <row r="29013" spans="1:6" ht="15.75" customHeight="1">
      <c r="A29013" s="15" t="s">
        <v>28602</v>
      </c>
      <c r="B29013" s="15" t="s">
        <v>28602</v>
      </c>
      <c r="C29013" s="15" t="s">
        <v>27788</v>
      </c>
      <c r="D29013" s="15" t="s">
        <v>27794</v>
      </c>
      <c r="E29013" s="2">
        <v>4936087</v>
      </c>
      <c r="F29013" s="4" t="e">
        <f>IF(B29013=#REF!,"",B29013)</f>
        <v>#REF!</v>
      </c>
    </row>
    <row r="29014" spans="1:6" ht="15.75" customHeight="1">
      <c r="A29014" s="16" t="s">
        <v>28601</v>
      </c>
      <c r="B29014" s="15" t="s">
        <v>28601</v>
      </c>
      <c r="C29014" s="16" t="s">
        <v>27788</v>
      </c>
      <c r="D29014" s="16" t="s">
        <v>27869</v>
      </c>
      <c r="E29014" s="2">
        <v>8347326</v>
      </c>
      <c r="F29014" s="4" t="e">
        <f>IF(B29014=#REF!,"",B29014)</f>
        <v>#REF!</v>
      </c>
    </row>
    <row r="29015" spans="1:6" ht="15.75" customHeight="1">
      <c r="A29015" s="15" t="s">
        <v>28600</v>
      </c>
      <c r="B29015" s="15" t="s">
        <v>28600</v>
      </c>
      <c r="C29015" s="15" t="s">
        <v>27788</v>
      </c>
      <c r="D29015" s="15" t="s">
        <v>27813</v>
      </c>
      <c r="E29015" s="2">
        <v>4511283</v>
      </c>
      <c r="F29015" s="4" t="e">
        <f>IF(B29015=#REF!,"",B29015)</f>
        <v>#REF!</v>
      </c>
    </row>
    <row r="29016" spans="1:6" ht="15.75" customHeight="1">
      <c r="A29016" s="15" t="s">
        <v>28599</v>
      </c>
      <c r="B29016" s="15" t="s">
        <v>28599</v>
      </c>
      <c r="C29016" s="15" t="s">
        <v>27788</v>
      </c>
      <c r="D29016" s="15" t="s">
        <v>27813</v>
      </c>
      <c r="E29016" s="2">
        <v>4511263</v>
      </c>
      <c r="F29016" s="4" t="e">
        <f>IF(B29016=#REF!,"",B29016)</f>
        <v>#REF!</v>
      </c>
    </row>
    <row r="29017" spans="1:6" ht="15.75" customHeight="1">
      <c r="A29017" s="15" t="s">
        <v>28598</v>
      </c>
      <c r="B29017" s="15" t="s">
        <v>28598</v>
      </c>
      <c r="C29017" s="15" t="s">
        <v>27788</v>
      </c>
      <c r="D29017" s="15" t="s">
        <v>27867</v>
      </c>
      <c r="E29017" s="2">
        <v>5861897</v>
      </c>
      <c r="F29017" s="4" t="e">
        <f>IF(B29017=#REF!,"",B29017)</f>
        <v>#REF!</v>
      </c>
    </row>
    <row r="29018" spans="1:6" ht="15.75" customHeight="1">
      <c r="A29018" s="15" t="s">
        <v>28597</v>
      </c>
      <c r="B29018" s="15" t="s">
        <v>28597</v>
      </c>
      <c r="C29018" s="15" t="s">
        <v>27788</v>
      </c>
      <c r="D29018" s="15" t="s">
        <v>27801</v>
      </c>
      <c r="E29018" s="2">
        <v>5347287</v>
      </c>
      <c r="F29018" s="4" t="e">
        <f>IF(B29018=#REF!,"",B29018)</f>
        <v>#REF!</v>
      </c>
    </row>
    <row r="29019" spans="1:6" ht="15.75" customHeight="1">
      <c r="A29019" s="16" t="s">
        <v>28595</v>
      </c>
      <c r="B29019" s="15" t="s">
        <v>28596</v>
      </c>
      <c r="C29019" s="16" t="s">
        <v>27788</v>
      </c>
      <c r="D29019" s="16" t="s">
        <v>27905</v>
      </c>
      <c r="E29019" s="2">
        <v>5097773</v>
      </c>
      <c r="F29019" s="4" t="e">
        <f>IF(B29019=#REF!,"",B29019)</f>
        <v>#REF!</v>
      </c>
    </row>
    <row r="29020" spans="1:6" ht="15.75" customHeight="1">
      <c r="A29020" s="16" t="s">
        <v>27438</v>
      </c>
      <c r="B29020" s="15" t="s">
        <v>27438</v>
      </c>
      <c r="C29020" s="16" t="s">
        <v>27234</v>
      </c>
      <c r="D29020" s="16" t="s">
        <v>27241</v>
      </c>
      <c r="E29020" s="2">
        <v>6691219</v>
      </c>
      <c r="F29020" s="4" t="str">
        <f>IF(B29020=B29019,"",B29020)</f>
        <v>Failsworth</v>
      </c>
    </row>
    <row r="29021" spans="1:6" ht="15.75" customHeight="1">
      <c r="A29021" s="16" t="str">
        <f ca="1">IFERROR(__xludf.DUMMYFUNCTION("GOOGLETRANSLATE(B39798,""en"",""pt"")"),"Făgăraș")</f>
        <v>Făgăraș</v>
      </c>
      <c r="B29021" s="20" t="s">
        <v>35387</v>
      </c>
      <c r="C29021" s="20" t="s">
        <v>21824</v>
      </c>
      <c r="D29021" s="20" t="s">
        <v>35330</v>
      </c>
      <c r="E29021" s="10">
        <v>678499</v>
      </c>
      <c r="F29021" s="4" t="str">
        <f>IF(B29021=B29020,"",B29021)</f>
        <v>Făgăraș</v>
      </c>
    </row>
    <row r="29022" spans="1:6" ht="15.75" customHeight="1">
      <c r="A29022" s="15" t="s">
        <v>21921</v>
      </c>
      <c r="B29022" s="15" t="s">
        <v>21922</v>
      </c>
      <c r="C29022" s="15" t="s">
        <v>21824</v>
      </c>
      <c r="D29022" s="15" t="s">
        <v>21885</v>
      </c>
      <c r="E29022" s="2">
        <v>678459</v>
      </c>
      <c r="F29022" s="4" t="str">
        <f>IF(B29022=B29021,"",B29022)</f>
        <v>FÄƒlticeni</v>
      </c>
    </row>
    <row r="29023" spans="1:6" ht="15.75" customHeight="1">
      <c r="A29023" s="16" t="s">
        <v>21919</v>
      </c>
      <c r="B29023" s="15" t="s">
        <v>21920</v>
      </c>
      <c r="C29023" s="16" t="s">
        <v>21824</v>
      </c>
      <c r="D29023" s="16" t="s">
        <v>21863</v>
      </c>
      <c r="E29023" s="2">
        <v>678499</v>
      </c>
      <c r="F29023" s="4" t="e">
        <f>IF(B29023=#REF!,"",B29023)</f>
        <v>#REF!</v>
      </c>
    </row>
    <row r="29024" spans="1:6" ht="15.75" customHeight="1">
      <c r="A29024" s="15" t="s">
        <v>21663</v>
      </c>
      <c r="B29024" s="15" t="s">
        <v>21663</v>
      </c>
      <c r="C29024" s="15" t="s">
        <v>21606</v>
      </c>
      <c r="D29024" s="15" t="s">
        <v>21626</v>
      </c>
      <c r="E29024" s="2">
        <v>2739788</v>
      </c>
      <c r="F29024" s="4" t="e">
        <f>IF(B29024=#REF!,"",B29024)</f>
        <v>#REF!</v>
      </c>
    </row>
    <row r="29025" spans="1:6" ht="15.75" customHeight="1">
      <c r="A29025" s="15" t="s">
        <v>15128</v>
      </c>
      <c r="B29025" s="15" t="s">
        <v>15128</v>
      </c>
      <c r="C29025" s="15" t="s">
        <v>14891</v>
      </c>
      <c r="D29025" s="15" t="s">
        <v>14973</v>
      </c>
      <c r="E29025" s="2">
        <v>3177300</v>
      </c>
      <c r="F29025" s="4" t="e">
        <f>IF(B29025=#REF!,"",B29025)</f>
        <v>#REF!</v>
      </c>
    </row>
    <row r="29026" spans="1:6" ht="15.75" customHeight="1">
      <c r="A29026" s="16" t="s">
        <v>3786</v>
      </c>
      <c r="B29026" s="15" t="s">
        <v>3787</v>
      </c>
      <c r="C29026" s="16" t="s">
        <v>3768</v>
      </c>
      <c r="D29026" s="16" t="s">
        <v>3782</v>
      </c>
      <c r="E29026" s="2">
        <v>2360886</v>
      </c>
      <c r="F29026" s="4" t="e">
        <f>IF(B29026=#REF!,"",B29026)</f>
        <v>#REF!</v>
      </c>
    </row>
    <row r="29027" spans="1:6" ht="15.75" customHeight="1">
      <c r="A29027" s="15" t="s">
        <v>4325</v>
      </c>
      <c r="B29027" s="15" t="s">
        <v>4325</v>
      </c>
      <c r="C29027" s="15" t="s">
        <v>4305</v>
      </c>
      <c r="D29027" s="15" t="s">
        <v>4326</v>
      </c>
      <c r="E29027" s="2">
        <v>244128</v>
      </c>
      <c r="F29027" s="4" t="e">
        <f>IF(B29027=#REF!,"",B29027)</f>
        <v>#REF!</v>
      </c>
    </row>
    <row r="29028" spans="1:6" ht="15.75" customHeight="1">
      <c r="A29028" s="16" t="s">
        <v>7338</v>
      </c>
      <c r="B29028" s="15" t="s">
        <v>7339</v>
      </c>
      <c r="C29028" s="16" t="s">
        <v>7052</v>
      </c>
      <c r="D29028" s="16" t="s">
        <v>7078</v>
      </c>
      <c r="E29028" s="2">
        <v>3019153</v>
      </c>
      <c r="F29028" s="4" t="str">
        <f>IF(B29028=B29027,"",B29028)</f>
        <v>Faches-Thumesnil</v>
      </c>
    </row>
    <row r="29029" spans="1:6" ht="15.75" customHeight="1">
      <c r="A29029" s="16" t="s">
        <v>5460</v>
      </c>
      <c r="B29029" s="15" t="s">
        <v>5461</v>
      </c>
      <c r="C29029" s="16" t="s">
        <v>5348</v>
      </c>
      <c r="D29029" s="16" t="s">
        <v>5400</v>
      </c>
      <c r="E29029" s="2">
        <v>3682516</v>
      </c>
      <c r="F29029" s="4" t="str">
        <f>IF(B29029=B29028,"",B29029)</f>
        <v>FacatativÃ¡</v>
      </c>
    </row>
    <row r="29030" spans="1:6" ht="15.75" customHeight="1">
      <c r="A29030" s="16" t="str">
        <f ca="1">IFERROR(__xludf.DUMMYFUNCTION("GOOGLETRANSLATE(B26986,""en"",""pt"")"),"Facatativá")</f>
        <v>Facatativá</v>
      </c>
      <c r="B29030" s="20" t="s">
        <v>5460</v>
      </c>
      <c r="C29030" s="20" t="s">
        <v>5348</v>
      </c>
      <c r="D29030" s="20" t="s">
        <v>5400</v>
      </c>
      <c r="E29030" s="10">
        <v>3682516</v>
      </c>
      <c r="F29030" s="4" t="e">
        <f>IF(B29030=#REF!,"",B29030)</f>
        <v>#REF!</v>
      </c>
    </row>
    <row r="29031" spans="1:6" ht="15.75" customHeight="1">
      <c r="A29031" s="15" t="s">
        <v>15127</v>
      </c>
      <c r="B29031" s="15" t="s">
        <v>15127</v>
      </c>
      <c r="C29031" s="15" t="s">
        <v>14891</v>
      </c>
      <c r="D29031" s="15" t="s">
        <v>14931</v>
      </c>
      <c r="E29031" s="2">
        <v>3177315</v>
      </c>
      <c r="F29031" s="4" t="str">
        <f>IF(B29031=B29030,"",B29031)</f>
        <v>Fabriano</v>
      </c>
    </row>
    <row r="29032" spans="1:6" ht="15.75" customHeight="1">
      <c r="A29032" s="16" t="str">
        <f ca="1">IFERROR(__xludf.DUMMYFUNCTION("GOOGLETRANSLATE(B36373,""en"",""pt"")"),"Fabijoniškės")</f>
        <v>Fabijoniškės</v>
      </c>
      <c r="B29032" s="20" t="s">
        <v>34532</v>
      </c>
      <c r="C29032" s="20" t="s">
        <v>17154</v>
      </c>
      <c r="D29032" s="20" t="s">
        <v>17155</v>
      </c>
      <c r="E29032" s="10">
        <v>596479</v>
      </c>
      <c r="F29032" s="4" t="str">
        <f>IF(B29032=B29031,"",B29032)</f>
        <v>Fabijoniškės</v>
      </c>
    </row>
    <row r="29033" spans="1:6" ht="15.75" customHeight="1">
      <c r="A29033" s="16" t="s">
        <v>17168</v>
      </c>
      <c r="B29033" s="15" t="s">
        <v>17169</v>
      </c>
      <c r="C29033" s="16" t="s">
        <v>17154</v>
      </c>
      <c r="D29033" s="16" t="s">
        <v>17155</v>
      </c>
      <c r="E29033" s="2">
        <v>596479</v>
      </c>
      <c r="F29033" s="4" t="e">
        <f>IF(B29033=#REF!,"",B29033)</f>
        <v>#REF!</v>
      </c>
    </row>
    <row r="29034" spans="1:6" ht="15.75" customHeight="1">
      <c r="A29034" s="15" t="s">
        <v>7950</v>
      </c>
      <c r="B29034" s="15" t="s">
        <v>7950</v>
      </c>
      <c r="C29034" s="15" t="s">
        <v>7951</v>
      </c>
      <c r="D29034" s="15" t="s">
        <v>7952</v>
      </c>
      <c r="E29034" s="2">
        <v>4034561</v>
      </c>
      <c r="F29034" s="4" t="str">
        <f>IF(B29034=B29033,"",B29034)</f>
        <v>Faaa</v>
      </c>
    </row>
    <row r="29035" spans="1:6" ht="15.75" customHeight="1">
      <c r="A29035" s="15" t="s">
        <v>10044</v>
      </c>
      <c r="B29035" s="15" t="s">
        <v>10045</v>
      </c>
      <c r="C29035" s="15" t="s">
        <v>9955</v>
      </c>
      <c r="D29035" s="15" t="s">
        <v>9959</v>
      </c>
      <c r="E29035" s="2">
        <v>3052542</v>
      </c>
      <c r="F29035" s="4" t="str">
        <f>IF(B29035=B29034,"",B29035)</f>
        <v>FÃ³t</v>
      </c>
    </row>
    <row r="29036" spans="1:6" ht="15.75" customHeight="1">
      <c r="A29036" s="15" t="s">
        <v>8376</v>
      </c>
      <c r="B29036" s="15" t="s">
        <v>8377</v>
      </c>
      <c r="C29036" s="15" t="s">
        <v>8028</v>
      </c>
      <c r="D29036" s="15" t="s">
        <v>8044</v>
      </c>
      <c r="E29036" s="2">
        <v>2923544</v>
      </c>
      <c r="F29036" s="4" t="str">
        <f>IF(B29036=B29035,"",B29036)</f>
        <v>FÃ¼rth</v>
      </c>
    </row>
    <row r="29037" spans="1:6" ht="15.75" customHeight="1">
      <c r="A29037" s="16" t="s">
        <v>8374</v>
      </c>
      <c r="B29037" s="15" t="s">
        <v>8375</v>
      </c>
      <c r="C29037" s="16" t="s">
        <v>8028</v>
      </c>
      <c r="D29037" s="16" t="s">
        <v>8070</v>
      </c>
      <c r="E29037" s="2">
        <v>2923588</v>
      </c>
      <c r="F29037" s="4" t="str">
        <f>IF(B29037=B29036,"",B29037)</f>
        <v>FÃ¼rstenwalde</v>
      </c>
    </row>
    <row r="29038" spans="1:6" ht="15.75" customHeight="1">
      <c r="A29038" s="16" t="s">
        <v>8372</v>
      </c>
      <c r="B29038" s="15" t="s">
        <v>8373</v>
      </c>
      <c r="C29038" s="16" t="s">
        <v>8028</v>
      </c>
      <c r="D29038" s="16" t="s">
        <v>8044</v>
      </c>
      <c r="E29038" s="2">
        <v>2923625</v>
      </c>
      <c r="F29038" s="4" t="str">
        <f>IF(B29038=B29037,"",B29038)</f>
        <v>FÃ¼rstenfeldbruck</v>
      </c>
    </row>
    <row r="29039" spans="1:6" ht="15.75" customHeight="1">
      <c r="A29039" s="15" t="s">
        <v>11239</v>
      </c>
      <c r="B29039" s="15" t="s">
        <v>11240</v>
      </c>
      <c r="C29039" s="15" t="s">
        <v>10178</v>
      </c>
      <c r="D29039" s="15" t="s">
        <v>10184</v>
      </c>
      <c r="E29039" s="2">
        <v>1271891</v>
      </c>
      <c r="F29039" s="4" t="str">
        <f>IF(B29039=B29038,"",B29039)</f>
        <v>FÄzilka</v>
      </c>
    </row>
    <row r="29040" spans="1:6" ht="15.75" customHeight="1">
      <c r="A29040" s="15" t="s">
        <v>14379</v>
      </c>
      <c r="B29040" s="15" t="s">
        <v>14380</v>
      </c>
      <c r="C29040" s="15" t="s">
        <v>14240</v>
      </c>
      <c r="D29040" s="15" t="s">
        <v>14341</v>
      </c>
      <c r="E29040" s="2">
        <v>134762</v>
      </c>
      <c r="F29040" s="4" t="str">
        <f>IF(B29040=B29039,"",B29040)</f>
        <v>FÄrsÄn</v>
      </c>
    </row>
    <row r="29041" spans="1:6" ht="15.75" customHeight="1">
      <c r="A29041" s="16" t="s">
        <v>6639</v>
      </c>
      <c r="B29041" s="15" t="s">
        <v>6640</v>
      </c>
      <c r="C29041" s="16" t="s">
        <v>6495</v>
      </c>
      <c r="D29041" s="16" t="s">
        <v>6605</v>
      </c>
      <c r="E29041" s="2">
        <v>356945</v>
      </c>
      <c r="F29041" s="4" t="str">
        <f>IF(B29041=B29040,"",B29041)</f>
        <v>FÄraskÅ«r</v>
      </c>
    </row>
    <row r="29042" spans="1:6" ht="15.75" customHeight="1">
      <c r="A29042" s="15" t="s">
        <v>6637</v>
      </c>
      <c r="B29042" s="15" t="s">
        <v>6638</v>
      </c>
      <c r="C29042" s="15" t="s">
        <v>6495</v>
      </c>
      <c r="D29042" s="15" t="s">
        <v>6128</v>
      </c>
      <c r="E29042" s="2">
        <v>356989</v>
      </c>
      <c r="F29042" s="4" t="str">
        <f>IF(B29042=B29041,"",B29042)</f>
        <v>FÄqÅ«s</v>
      </c>
    </row>
    <row r="29043" spans="1:6" ht="15.75" customHeight="1">
      <c r="A29043" s="16" t="s">
        <v>11237</v>
      </c>
      <c r="B29043" s="15" t="s">
        <v>11238</v>
      </c>
      <c r="C29043" s="16" t="s">
        <v>10178</v>
      </c>
      <c r="D29043" s="16" t="s">
        <v>10201</v>
      </c>
      <c r="E29043" s="2">
        <v>1271965</v>
      </c>
      <c r="F29043" s="4" t="str">
        <f>IF(B29043=B29042,"",B29043)</f>
        <v>FÄlÄkÄta</v>
      </c>
    </row>
    <row r="29044" spans="1:6" ht="15.75" customHeight="1">
      <c r="A29044" s="15" t="s">
        <v>7336</v>
      </c>
      <c r="B29044" s="15" t="s">
        <v>7337</v>
      </c>
      <c r="C29044" s="15" t="s">
        <v>7052</v>
      </c>
      <c r="D29044" s="15" t="s">
        <v>7068</v>
      </c>
      <c r="E29044" s="2">
        <v>3018794</v>
      </c>
      <c r="F29044" s="4" t="str">
        <f>IF(B29044=B29043,"",B29044)</f>
        <v>FÃ©camp</v>
      </c>
    </row>
    <row r="29045" spans="1:6" ht="15.75" customHeight="1">
      <c r="A29045" s="16" t="s">
        <v>11235</v>
      </c>
      <c r="B29045" s="15" t="s">
        <v>11236</v>
      </c>
      <c r="C29045" s="16" t="s">
        <v>10178</v>
      </c>
      <c r="D29045" s="16" t="s">
        <v>10224</v>
      </c>
      <c r="E29045" s="2">
        <v>1271881</v>
      </c>
      <c r="F29045" s="4" t="str">
        <f>IF(B29045=B29044,"",B29045)</f>
        <v>FÄ«rozpur Jhirka</v>
      </c>
    </row>
    <row r="29046" spans="1:6" ht="15.75" customHeight="1">
      <c r="A29046" s="16" t="s">
        <v>11233</v>
      </c>
      <c r="B29046" s="15" t="s">
        <v>11234</v>
      </c>
      <c r="C29046" s="16" t="s">
        <v>10178</v>
      </c>
      <c r="D29046" s="16" t="s">
        <v>10193</v>
      </c>
      <c r="E29046" s="2">
        <v>1271885</v>
      </c>
      <c r="F29046" s="4" t="str">
        <f>IF(B29046=B29045,"",B29046)</f>
        <v>FÄ«rozÄbÄd</v>
      </c>
    </row>
    <row r="29047" spans="1:6" ht="15.75" customHeight="1">
      <c r="A29047" s="16" t="s">
        <v>14377</v>
      </c>
      <c r="B29047" s="15" t="s">
        <v>14378</v>
      </c>
      <c r="C29047" s="16" t="s">
        <v>14240</v>
      </c>
      <c r="D29047" s="16" t="s">
        <v>14244</v>
      </c>
      <c r="E29047" s="2">
        <v>134518</v>
      </c>
      <c r="F29047" s="4" t="str">
        <f>IF(B29047=B29046,"",B29047)</f>
        <v>FÄ«rÅ«zÄbÄd</v>
      </c>
    </row>
    <row r="29048" spans="1:6" ht="15.75" customHeight="1">
      <c r="A29048" s="15" t="s">
        <v>14375</v>
      </c>
      <c r="B29048" s="15" t="s">
        <v>14376</v>
      </c>
      <c r="C29048" s="15" t="s">
        <v>14240</v>
      </c>
      <c r="D29048" s="15" t="s">
        <v>14256</v>
      </c>
      <c r="E29048" s="2">
        <v>134441</v>
      </c>
      <c r="F29048" s="4" t="str">
        <f>IF(B29048=B29047,"",B29048)</f>
        <v>FÅ«man</v>
      </c>
    </row>
    <row r="29049" spans="1:6" ht="15.75" customHeight="1">
      <c r="A29049" s="16" t="s">
        <v>21661</v>
      </c>
      <c r="B29049" s="15" t="s">
        <v>21662</v>
      </c>
      <c r="C29049" s="16" t="s">
        <v>21606</v>
      </c>
      <c r="D29049" s="16" t="s">
        <v>21609</v>
      </c>
      <c r="E29049" s="2">
        <v>2739756</v>
      </c>
      <c r="F29049" s="4" t="str">
        <f>IF(B29049=B29048,"",B29049)</f>
        <v>FÃ¢nzeres</v>
      </c>
    </row>
    <row r="29050" spans="1:6" ht="15.75" customHeight="1">
      <c r="A29050" s="15" t="s">
        <v>18583</v>
      </c>
      <c r="B29050" s="15" t="s">
        <v>18584</v>
      </c>
      <c r="C29050" s="15" t="s">
        <v>18551</v>
      </c>
      <c r="D29050" s="15" t="s">
        <v>18585</v>
      </c>
      <c r="E29050" s="2">
        <v>2548880</v>
      </c>
      <c r="F29050" s="4" t="e">
        <f>IF(B29050=#REF!,"",B29050)</f>
        <v>#REF!</v>
      </c>
    </row>
    <row r="29051" spans="1:6" ht="15.75" customHeight="1">
      <c r="A29051" s="15" t="s">
        <v>19395</v>
      </c>
      <c r="B29051" s="15" t="s">
        <v>19396</v>
      </c>
      <c r="C29051" s="15" t="s">
        <v>19294</v>
      </c>
      <c r="D29051" s="15" t="s">
        <v>19297</v>
      </c>
      <c r="E29051" s="2">
        <v>2342883</v>
      </c>
      <c r="F29051" s="4" t="e">
        <f>IF(B29051=#REF!,"",B29051)</f>
        <v>#REF!</v>
      </c>
    </row>
    <row r="29052" spans="1:6" ht="15.75" customHeight="1">
      <c r="A29052" s="15" t="s">
        <v>26491</v>
      </c>
      <c r="B29052" s="15" t="s">
        <v>26491</v>
      </c>
      <c r="C29052" s="15" t="s">
        <v>26201</v>
      </c>
      <c r="D29052" s="15" t="s">
        <v>26224</v>
      </c>
      <c r="E29052" s="2">
        <v>315061</v>
      </c>
      <c r="F29052" s="4" t="e">
        <f>IF(B29052=#REF!,"",B29052)</f>
        <v>#REF!</v>
      </c>
    </row>
    <row r="29053" spans="1:6" ht="15.75" customHeight="1">
      <c r="A29053" s="15" t="s">
        <v>22372</v>
      </c>
      <c r="B29053" s="15" t="s">
        <v>22372</v>
      </c>
      <c r="C29053" s="15" t="s">
        <v>22070</v>
      </c>
      <c r="D29053" s="15" t="s">
        <v>22373</v>
      </c>
      <c r="E29053" s="2">
        <v>563379</v>
      </c>
      <c r="F29053" s="4" t="e">
        <f>IF(B29053=#REF!,"",B29053)</f>
        <v>#REF!</v>
      </c>
    </row>
    <row r="29054" spans="1:6" ht="15.75" customHeight="1">
      <c r="A29054" s="15" t="s">
        <v>4658</v>
      </c>
      <c r="B29054" s="15" t="s">
        <v>4658</v>
      </c>
      <c r="C29054" s="15" t="s">
        <v>4487</v>
      </c>
      <c r="D29054" s="15" t="s">
        <v>4499</v>
      </c>
      <c r="E29054" s="2">
        <v>1811619</v>
      </c>
      <c r="F29054" s="4" t="e">
        <f>IF(B29054=#REF!,"",B29054)</f>
        <v>#REF!</v>
      </c>
    </row>
    <row r="29055" spans="1:6" ht="15.75" customHeight="1">
      <c r="A29055" s="15" t="s">
        <v>7335</v>
      </c>
      <c r="B29055" s="15" t="s">
        <v>7335</v>
      </c>
      <c r="C29055" s="15" t="s">
        <v>7052</v>
      </c>
      <c r="D29055" s="15" t="s">
        <v>7084</v>
      </c>
      <c r="E29055" s="2">
        <v>3019193</v>
      </c>
      <c r="F29055" s="4" t="e">
        <f>IF(B29055=#REF!,"",B29055)</f>
        <v>#REF!</v>
      </c>
    </row>
    <row r="29056" spans="1:6" ht="15.75" customHeight="1">
      <c r="A29056" s="15" t="s">
        <v>23819</v>
      </c>
      <c r="B29056" s="15" t="s">
        <v>23819</v>
      </c>
      <c r="C29056" s="15" t="s">
        <v>23800</v>
      </c>
      <c r="D29056" s="15" t="s">
        <v>23820</v>
      </c>
      <c r="E29056" s="2">
        <v>60019</v>
      </c>
      <c r="F29056" s="4" t="e">
        <f>IF(B29056=#REF!,"",B29056)</f>
        <v>#REF!</v>
      </c>
    </row>
    <row r="29057" spans="1:6" ht="15.75" customHeight="1">
      <c r="A29057" s="15" t="s">
        <v>2456</v>
      </c>
      <c r="B29057" s="15" t="s">
        <v>2456</v>
      </c>
      <c r="C29057" s="15" t="s">
        <v>1905</v>
      </c>
      <c r="D29057" s="15" t="s">
        <v>1922</v>
      </c>
      <c r="E29057" s="2">
        <v>3400567</v>
      </c>
      <c r="F29057" s="4" t="e">
        <f>IF(B29057=#REF!,"",B29057)</f>
        <v>#REF!</v>
      </c>
    </row>
    <row r="29058" spans="1:6" ht="15.75" customHeight="1">
      <c r="A29058" s="15" t="s">
        <v>28594</v>
      </c>
      <c r="B29058" s="15" t="s">
        <v>28594</v>
      </c>
      <c r="C29058" s="15" t="s">
        <v>27788</v>
      </c>
      <c r="D29058" s="15" t="s">
        <v>27905</v>
      </c>
      <c r="E29058" s="2">
        <v>5097751</v>
      </c>
      <c r="F29058" s="4" t="e">
        <f>IF(B29058=#REF!,"",B29058)</f>
        <v>#REF!</v>
      </c>
    </row>
    <row r="29059" spans="1:6" ht="15.75" customHeight="1">
      <c r="A29059" s="15" t="s">
        <v>27437</v>
      </c>
      <c r="B29059" s="15" t="s">
        <v>27437</v>
      </c>
      <c r="C29059" s="15" t="s">
        <v>27234</v>
      </c>
      <c r="D29059" s="15" t="s">
        <v>27241</v>
      </c>
      <c r="E29059" s="2">
        <v>6690867</v>
      </c>
      <c r="F29059" s="4" t="str">
        <f>IF(B29059=B29058,"",B29059)</f>
        <v>Ewell</v>
      </c>
    </row>
    <row r="29060" spans="1:6" ht="15.75" customHeight="1">
      <c r="A29060" s="16" t="str">
        <f ca="1">IFERROR(__xludf.DUMMYFUNCTION("GOOGLETRANSLATE(B30086,""en"",""pt"")"),"Évry")</f>
        <v>Évry</v>
      </c>
      <c r="B29060" s="20" t="s">
        <v>32604</v>
      </c>
      <c r="C29060" s="20" t="s">
        <v>7052</v>
      </c>
      <c r="D29060" s="20" t="s">
        <v>32531</v>
      </c>
      <c r="E29060" s="10">
        <v>3019256</v>
      </c>
      <c r="F29060" s="4" t="str">
        <f>IF(B29060=B29059,"",B29060)</f>
        <v>Évry</v>
      </c>
    </row>
    <row r="29061" spans="1:6" ht="15.75" customHeight="1">
      <c r="A29061" s="16" t="str">
        <f ca="1">IFERROR(__xludf.DUMMYFUNCTION("GOOGLETRANSLATE(B30087,""en"",""pt"")"),"Évreux")</f>
        <v>Évreux</v>
      </c>
      <c r="B29061" s="20" t="s">
        <v>32605</v>
      </c>
      <c r="C29061" s="20" t="s">
        <v>7052</v>
      </c>
      <c r="D29061" s="20" t="s">
        <v>7068</v>
      </c>
      <c r="E29061" s="10">
        <v>3019265</v>
      </c>
      <c r="F29061" s="4" t="str">
        <f>IF(B29061=B29060,"",B29061)</f>
        <v>Évreux</v>
      </c>
    </row>
    <row r="29062" spans="1:6" ht="15.75" customHeight="1">
      <c r="A29062" s="16" t="str">
        <f ca="1">IFERROR(__xludf.DUMMYFUNCTION("GOOGLETRANSLATE(B39607,""en"",""pt"")"),"Évora")</f>
        <v>Évora</v>
      </c>
      <c r="B29062" s="20" t="s">
        <v>35297</v>
      </c>
      <c r="C29062" s="20" t="s">
        <v>21606</v>
      </c>
      <c r="D29062" s="20" t="s">
        <v>35297</v>
      </c>
      <c r="E29062" s="10">
        <v>2268406</v>
      </c>
      <c r="F29062" s="4" t="e">
        <f>IF(B29062=#REF!,"",B29062)</f>
        <v>#REF!</v>
      </c>
    </row>
    <row r="29063" spans="1:6" ht="15.75" customHeight="1">
      <c r="A29063" s="16" t="s">
        <v>28593</v>
      </c>
      <c r="B29063" s="15" t="s">
        <v>28593</v>
      </c>
      <c r="C29063" s="16" t="s">
        <v>27788</v>
      </c>
      <c r="D29063" s="16" t="s">
        <v>27799</v>
      </c>
      <c r="E29063" s="2">
        <v>4891431</v>
      </c>
      <c r="F29063" s="4" t="e">
        <f>IF(B29063=#REF!,"",B29063)</f>
        <v>#REF!</v>
      </c>
    </row>
    <row r="29064" spans="1:6" ht="15.75" customHeight="1">
      <c r="A29064" s="15" t="s">
        <v>1569</v>
      </c>
      <c r="B29064" s="15" t="s">
        <v>1570</v>
      </c>
      <c r="C29064" s="15" t="s">
        <v>1512</v>
      </c>
      <c r="D29064" s="15" t="s">
        <v>1513</v>
      </c>
      <c r="E29064" s="2">
        <v>2798551</v>
      </c>
      <c r="F29064" s="4" t="e">
        <f>IF(B29064=#REF!,"",B29064)</f>
        <v>#REF!</v>
      </c>
    </row>
    <row r="29065" spans="1:6" ht="15.75" customHeight="1">
      <c r="A29065" s="15" t="s">
        <v>28592</v>
      </c>
      <c r="B29065" s="15" t="s">
        <v>28592</v>
      </c>
      <c r="C29065" s="15" t="s">
        <v>27788</v>
      </c>
      <c r="D29065" s="15" t="s">
        <v>27794</v>
      </c>
      <c r="E29065" s="2">
        <v>4936008</v>
      </c>
      <c r="F29065" s="4" t="e">
        <f>IF(B29065=#REF!,"",B29065)</f>
        <v>#REF!</v>
      </c>
    </row>
    <row r="29066" spans="1:6" ht="15.75" customHeight="1">
      <c r="A29066" s="15" t="s">
        <v>28591</v>
      </c>
      <c r="B29066" s="15" t="s">
        <v>28591</v>
      </c>
      <c r="C29066" s="15" t="s">
        <v>27788</v>
      </c>
      <c r="D29066" s="15" t="s">
        <v>27869</v>
      </c>
      <c r="E29066" s="2">
        <v>4257227</v>
      </c>
      <c r="F29066" s="4" t="e">
        <f>IF(B29066=#REF!,"",B29066)</f>
        <v>#REF!</v>
      </c>
    </row>
    <row r="29067" spans="1:6" ht="15.75" customHeight="1">
      <c r="A29067" s="15" t="s">
        <v>28590</v>
      </c>
      <c r="B29067" s="15" t="s">
        <v>28590</v>
      </c>
      <c r="C29067" s="15" t="s">
        <v>27788</v>
      </c>
      <c r="D29067" s="15" t="s">
        <v>27799</v>
      </c>
      <c r="E29067" s="2">
        <v>4891382</v>
      </c>
      <c r="F29067" s="4" t="e">
        <f>IF(B29067=#REF!,"",B29067)</f>
        <v>#REF!</v>
      </c>
    </row>
    <row r="29068" spans="1:6" ht="15.75" customHeight="1">
      <c r="A29068" s="15" t="s">
        <v>28589</v>
      </c>
      <c r="B29068" s="15" t="s">
        <v>28589</v>
      </c>
      <c r="C29068" s="15" t="s">
        <v>27788</v>
      </c>
      <c r="D29068" s="15" t="s">
        <v>7988</v>
      </c>
      <c r="E29068" s="2">
        <v>4193699</v>
      </c>
      <c r="F29068" s="4" t="e">
        <f>IF(B29068=#REF!,"",B29068)</f>
        <v>#REF!</v>
      </c>
    </row>
    <row r="29069" spans="1:6" ht="15.75" customHeight="1">
      <c r="A29069" s="15" t="s">
        <v>8370</v>
      </c>
      <c r="B29069" s="15" t="s">
        <v>8371</v>
      </c>
      <c r="C29069" s="15" t="s">
        <v>8028</v>
      </c>
      <c r="D29069" s="15" t="s">
        <v>8040</v>
      </c>
      <c r="E29069" s="2">
        <v>2928381</v>
      </c>
      <c r="F29069" s="4" t="e">
        <f>IF(B29069=#REF!,"",B29069)</f>
        <v>#REF!</v>
      </c>
    </row>
    <row r="29070" spans="1:6" ht="15.75" customHeight="1">
      <c r="A29070" s="15" t="s">
        <v>28588</v>
      </c>
      <c r="B29070" s="15" t="s">
        <v>28588</v>
      </c>
      <c r="C29070" s="15" t="s">
        <v>27788</v>
      </c>
      <c r="D29070" s="15" t="s">
        <v>5468</v>
      </c>
      <c r="E29070" s="2">
        <v>4154606</v>
      </c>
      <c r="F29070" s="4" t="e">
        <f>IF(B29070=#REF!,"",B29070)</f>
        <v>#REF!</v>
      </c>
    </row>
    <row r="29071" spans="1:6" ht="15.75" customHeight="1">
      <c r="A29071" s="16" t="s">
        <v>8369</v>
      </c>
      <c r="B29071" s="15" t="s">
        <v>8369</v>
      </c>
      <c r="C29071" s="16" t="s">
        <v>8028</v>
      </c>
      <c r="D29071" s="16" t="s">
        <v>8029</v>
      </c>
      <c r="E29071" s="2">
        <v>2928396</v>
      </c>
      <c r="F29071" s="4" t="str">
        <f>IF(B29071=B29070,"",B29071)</f>
        <v>Euskirchen</v>
      </c>
    </row>
    <row r="29072" spans="1:6" ht="15.75" customHeight="1">
      <c r="A29072" s="16" t="str">
        <f ca="1">IFERROR(__xludf.DUMMYFUNCTION("GOOGLETRANSLATE(B24327,""en"",""pt"")"),"Eusébio")</f>
        <v>Eusébio</v>
      </c>
      <c r="B29072" s="20" t="s">
        <v>31401</v>
      </c>
      <c r="C29072" s="20" t="s">
        <v>1905</v>
      </c>
      <c r="D29072" s="20" t="s">
        <v>31345</v>
      </c>
      <c r="E29072" s="10">
        <v>3400558</v>
      </c>
      <c r="F29072" s="4" t="str">
        <f>IF(B29072=B29071,"",B29072)</f>
        <v>Eusébio</v>
      </c>
    </row>
    <row r="29073" spans="1:6" ht="15.75" customHeight="1">
      <c r="A29073" s="16" t="s">
        <v>2454</v>
      </c>
      <c r="B29073" s="15" t="s">
        <v>2455</v>
      </c>
      <c r="C29073" s="16" t="s">
        <v>1905</v>
      </c>
      <c r="D29073" s="16" t="s">
        <v>1930</v>
      </c>
      <c r="E29073" s="2">
        <v>3400558</v>
      </c>
      <c r="F29073" s="4" t="e">
        <f>IF(B29073=#REF!,"",B29073)</f>
        <v>#REF!</v>
      </c>
    </row>
    <row r="29074" spans="1:6" ht="15.75" customHeight="1">
      <c r="A29074" s="15" t="s">
        <v>28587</v>
      </c>
      <c r="B29074" s="15" t="s">
        <v>28587</v>
      </c>
      <c r="C29074" s="15" t="s">
        <v>27788</v>
      </c>
      <c r="D29074" s="15" t="s">
        <v>27801</v>
      </c>
      <c r="E29074" s="2">
        <v>5563397</v>
      </c>
      <c r="F29074" s="4" t="e">
        <f>IF(B29074=#REF!,"",B29074)</f>
        <v>#REF!</v>
      </c>
    </row>
    <row r="29075" spans="1:6" ht="15.75" customHeight="1">
      <c r="A29075" s="15" t="s">
        <v>1568</v>
      </c>
      <c r="B29075" s="15" t="s">
        <v>1568</v>
      </c>
      <c r="C29075" s="15" t="s">
        <v>1512</v>
      </c>
      <c r="D29075" s="15" t="s">
        <v>1518</v>
      </c>
      <c r="E29075" s="2">
        <v>2798573</v>
      </c>
      <c r="F29075" s="4" t="e">
        <f>IF(B29075=#REF!,"",B29075)</f>
        <v>#REF!</v>
      </c>
    </row>
    <row r="29076" spans="1:6" ht="15.75" customHeight="1">
      <c r="A29076" s="15" t="s">
        <v>28586</v>
      </c>
      <c r="B29076" s="15" t="s">
        <v>28586</v>
      </c>
      <c r="C29076" s="15" t="s">
        <v>27788</v>
      </c>
      <c r="D29076" s="15" t="s">
        <v>27792</v>
      </c>
      <c r="E29076" s="2">
        <v>4689550</v>
      </c>
      <c r="F29076" s="4" t="e">
        <f>IF(B29076=#REF!,"",B29076)</f>
        <v>#REF!</v>
      </c>
    </row>
    <row r="29077" spans="1:6" ht="15.75" customHeight="1">
      <c r="A29077" s="15" t="s">
        <v>28585</v>
      </c>
      <c r="B29077" s="15" t="s">
        <v>28585</v>
      </c>
      <c r="C29077" s="15" t="s">
        <v>27788</v>
      </c>
      <c r="D29077" s="15" t="s">
        <v>27820</v>
      </c>
      <c r="E29077" s="2">
        <v>5725846</v>
      </c>
      <c r="F29077" s="4" t="e">
        <f>IF(B29077=#REF!,"",B29077)</f>
        <v>#REF!</v>
      </c>
    </row>
    <row r="29078" spans="1:6" ht="15.75" customHeight="1">
      <c r="A29078" s="16" t="s">
        <v>2453</v>
      </c>
      <c r="B29078" s="15" t="s">
        <v>2453</v>
      </c>
      <c r="C29078" s="16" t="s">
        <v>1905</v>
      </c>
      <c r="D29078" s="16" t="s">
        <v>1947</v>
      </c>
      <c r="E29078" s="2">
        <v>3463698</v>
      </c>
      <c r="F29078" s="4" t="e">
        <f>IF(B29078=#REF!,"",B29078)</f>
        <v>#REF!</v>
      </c>
    </row>
    <row r="29079" spans="1:6" ht="15.75" customHeight="1">
      <c r="A29079" s="15" t="s">
        <v>28583</v>
      </c>
      <c r="B29079" s="15" t="s">
        <v>28584</v>
      </c>
      <c r="C29079" s="15" t="s">
        <v>27788</v>
      </c>
      <c r="D29079" s="15" t="s">
        <v>27813</v>
      </c>
      <c r="E29079" s="2">
        <v>5153420</v>
      </c>
      <c r="F29079" s="4" t="e">
        <f>IF(B29079=#REF!,"",B29079)</f>
        <v>#REF!</v>
      </c>
    </row>
    <row r="29080" spans="1:6" ht="15.75" customHeight="1">
      <c r="A29080" s="15" t="s">
        <v>8368</v>
      </c>
      <c r="B29080" s="15" t="s">
        <v>8368</v>
      </c>
      <c r="C29080" s="15" t="s">
        <v>8028</v>
      </c>
      <c r="D29080" s="15" t="s">
        <v>8031</v>
      </c>
      <c r="E29080" s="2">
        <v>2928615</v>
      </c>
      <c r="F29080" s="4" t="e">
        <f>IF(B29080=#REF!,"",B29080)</f>
        <v>#REF!</v>
      </c>
    </row>
    <row r="29081" spans="1:6" ht="15.75" customHeight="1">
      <c r="A29081" s="15" t="s">
        <v>4050</v>
      </c>
      <c r="B29081" s="15" t="s">
        <v>4050</v>
      </c>
      <c r="C29081" s="15" t="s">
        <v>3975</v>
      </c>
      <c r="D29081" s="15" t="s">
        <v>3980</v>
      </c>
      <c r="E29081" s="2">
        <v>5950267</v>
      </c>
      <c r="F29081" s="4" t="str">
        <f>IF(B29081=B29080,"",B29081)</f>
        <v>Etobicoke</v>
      </c>
    </row>
    <row r="29082" spans="1:6" ht="15.75" customHeight="1">
      <c r="A29082" s="16" t="str">
        <f ca="1">IFERROR(__xludf.DUMMYFUNCTION("GOOGLETRANSLATE(B33527,""en"",""pt"")"),"Etāwah")</f>
        <v>Etāwah</v>
      </c>
      <c r="B29082" s="20" t="s">
        <v>33747</v>
      </c>
      <c r="C29082" s="20" t="s">
        <v>10178</v>
      </c>
      <c r="D29082" s="20" t="s">
        <v>10193</v>
      </c>
      <c r="E29082" s="10">
        <v>1271987</v>
      </c>
      <c r="F29082" s="4" t="str">
        <f>IF(B29082=B29081,"",B29082)</f>
        <v>Etāwah</v>
      </c>
    </row>
    <row r="29083" spans="1:6" ht="15.75" customHeight="1">
      <c r="A29083" s="16" t="str">
        <f ca="1">IFERROR(__xludf.DUMMYFUNCTION("GOOGLETRANSLATE(B33804,""en"",""pt"")"),"Etāwa")</f>
        <v>Etāwa</v>
      </c>
      <c r="B29083" s="20" t="s">
        <v>33868</v>
      </c>
      <c r="C29083" s="20" t="s">
        <v>10178</v>
      </c>
      <c r="D29083" s="20" t="s">
        <v>10219</v>
      </c>
      <c r="E29083" s="10">
        <v>1275582</v>
      </c>
      <c r="F29083" s="4" t="str">
        <f>IF(B29083=B29082,"",B29083)</f>
        <v>Etāwa</v>
      </c>
    </row>
    <row r="29084" spans="1:6" ht="15.75" customHeight="1">
      <c r="A29084" s="16" t="str">
        <f ca="1">IFERROR(__xludf.DUMMYFUNCTION("GOOGLETRANSLATE(B30088,""en"",""pt"")"),"Étampes")</f>
        <v>Étampes</v>
      </c>
      <c r="B29084" s="20" t="s">
        <v>32606</v>
      </c>
      <c r="C29084" s="20" t="s">
        <v>7052</v>
      </c>
      <c r="D29084" s="20" t="s">
        <v>32531</v>
      </c>
      <c r="E29084" s="10">
        <v>3019459</v>
      </c>
      <c r="F29084" s="4" t="str">
        <f>IF(B29084=B29083,"",B29084)</f>
        <v>Étampes</v>
      </c>
    </row>
    <row r="29085" spans="1:6" ht="15.75" customHeight="1">
      <c r="A29085" s="15" t="s">
        <v>11231</v>
      </c>
      <c r="B29085" s="15" t="s">
        <v>11232</v>
      </c>
      <c r="C29085" s="15" t="s">
        <v>10178</v>
      </c>
      <c r="D29085" s="15" t="s">
        <v>10193</v>
      </c>
      <c r="E29085" s="2">
        <v>1271987</v>
      </c>
      <c r="F29085" s="4" t="str">
        <f>IF(B29085=B29084,"",B29085)</f>
        <v>EtÄwah</v>
      </c>
    </row>
    <row r="29086" spans="1:6" ht="15.75" customHeight="1">
      <c r="A29086" s="15" t="s">
        <v>11229</v>
      </c>
      <c r="B29086" s="15" t="s">
        <v>11230</v>
      </c>
      <c r="C29086" s="15" t="s">
        <v>10178</v>
      </c>
      <c r="D29086" s="15" t="s">
        <v>10219</v>
      </c>
      <c r="E29086" s="2">
        <v>1275582</v>
      </c>
      <c r="F29086" s="4" t="str">
        <f>IF(B29086=B29085,"",B29086)</f>
        <v>EtÄwa</v>
      </c>
    </row>
    <row r="29087" spans="1:6" ht="15.75" customHeight="1">
      <c r="A29087" s="16" t="str">
        <f ca="1">IFERROR(__xludf.DUMMYFUNCTION("GOOGLETRANSLATE(B31809,""en"",""pt"")"),"Eṭiyiba")</f>
        <v>Eṭiyiba</v>
      </c>
      <c r="B29087" s="20" t="s">
        <v>32930</v>
      </c>
      <c r="C29087" s="20" t="s">
        <v>14773</v>
      </c>
      <c r="D29087" s="20" t="s">
        <v>14800</v>
      </c>
      <c r="E29087" s="10">
        <v>295130</v>
      </c>
      <c r="F29087" s="4" t="e">
        <f>IF(B29087=#REF!,"",B29087)</f>
        <v>#REF!</v>
      </c>
    </row>
    <row r="29088" spans="1:6" ht="15.75" customHeight="1">
      <c r="A29088" s="16" t="s">
        <v>10042</v>
      </c>
      <c r="B29088" s="15" t="s">
        <v>10042</v>
      </c>
      <c r="C29088" s="16" t="s">
        <v>9955</v>
      </c>
      <c r="D29088" s="16" t="s">
        <v>10043</v>
      </c>
      <c r="E29088" s="2">
        <v>3053163</v>
      </c>
      <c r="F29088" s="4" t="e">
        <f>IF(B29088=#REF!,"",B29088)</f>
        <v>#REF!</v>
      </c>
    </row>
    <row r="29089" spans="1:6" ht="15.75" customHeight="1">
      <c r="A29089" s="16" t="s">
        <v>19394</v>
      </c>
      <c r="B29089" s="15" t="s">
        <v>19394</v>
      </c>
      <c r="C29089" s="16" t="s">
        <v>19294</v>
      </c>
      <c r="D29089" s="16" t="s">
        <v>19385</v>
      </c>
      <c r="E29089" s="2">
        <v>2343093</v>
      </c>
      <c r="F29089" s="4" t="e">
        <f>IF(B29089=#REF!,"",B29089)</f>
        <v>#REF!</v>
      </c>
    </row>
    <row r="29090" spans="1:6" ht="15.75" customHeight="1">
      <c r="A29090" s="15" t="s">
        <v>2452</v>
      </c>
      <c r="B29090" s="15" t="s">
        <v>2452</v>
      </c>
      <c r="C29090" s="15" t="s">
        <v>1905</v>
      </c>
      <c r="D29090" s="15" t="s">
        <v>1951</v>
      </c>
      <c r="E29090" s="2">
        <v>3463762</v>
      </c>
      <c r="F29090" s="4" t="e">
        <f>IF(B29090=#REF!,"",B29090)</f>
        <v>#REF!</v>
      </c>
    </row>
    <row r="29091" spans="1:6" ht="15.75" customHeight="1">
      <c r="A29091" s="15" t="s">
        <v>2451</v>
      </c>
      <c r="B29091" s="15" t="s">
        <v>2451</v>
      </c>
      <c r="C29091" s="15" t="s">
        <v>1905</v>
      </c>
      <c r="D29091" s="15" t="s">
        <v>2024</v>
      </c>
      <c r="E29091" s="2">
        <v>3400617</v>
      </c>
      <c r="F29091" s="4" t="e">
        <f>IF(B29091=#REF!,"",B29091)</f>
        <v>#REF!</v>
      </c>
    </row>
    <row r="29092" spans="1:6" ht="15.75" customHeight="1">
      <c r="A29092" s="15" t="s">
        <v>21660</v>
      </c>
      <c r="B29092" s="15" t="s">
        <v>21660</v>
      </c>
      <c r="C29092" s="15" t="s">
        <v>21606</v>
      </c>
      <c r="D29092" s="15" t="s">
        <v>21616</v>
      </c>
      <c r="E29092" s="2">
        <v>2268436</v>
      </c>
      <c r="F29092" s="4" t="e">
        <f>IF(B29092=#REF!,"",B29092)</f>
        <v>#REF!</v>
      </c>
    </row>
    <row r="29093" spans="1:6" ht="15.75" customHeight="1">
      <c r="A29093" s="15" t="s">
        <v>28582</v>
      </c>
      <c r="B29093" s="15" t="s">
        <v>28582</v>
      </c>
      <c r="C29093" s="15" t="s">
        <v>27788</v>
      </c>
      <c r="D29093" s="15" t="s">
        <v>5468</v>
      </c>
      <c r="E29093" s="2">
        <v>4154568</v>
      </c>
      <c r="F29093" s="4" t="e">
        <f>IF(B29093=#REF!,"",B29093)</f>
        <v>#REF!</v>
      </c>
    </row>
    <row r="29094" spans="1:6" ht="15.75" customHeight="1">
      <c r="A29094" s="15" t="s">
        <v>24465</v>
      </c>
      <c r="B29094" s="15" t="s">
        <v>24465</v>
      </c>
      <c r="C29094" s="15" t="s">
        <v>24200</v>
      </c>
      <c r="D29094" s="15" t="s">
        <v>24205</v>
      </c>
      <c r="E29094" s="2">
        <v>2517816</v>
      </c>
      <c r="F29094" s="4" t="e">
        <f>IF(B29094=#REF!,"",B29094)</f>
        <v>#REF!</v>
      </c>
    </row>
    <row r="29095" spans="1:6" ht="15.75" customHeight="1">
      <c r="A29095" s="15" t="s">
        <v>28581</v>
      </c>
      <c r="B29095" s="15" t="s">
        <v>28581</v>
      </c>
      <c r="C29095" s="15" t="s">
        <v>27788</v>
      </c>
      <c r="D29095" s="15" t="s">
        <v>27827</v>
      </c>
      <c r="E29095" s="2">
        <v>4323873</v>
      </c>
      <c r="F29095" s="4" t="str">
        <f>IF(B29095=B29094,"",B29095)</f>
        <v>Estelle</v>
      </c>
    </row>
    <row r="29096" spans="1:6" ht="15.75" customHeight="1">
      <c r="A29096" s="16" t="str">
        <f ca="1">IFERROR(__xludf.DUMMYFUNCTION("GOOGLETRANSLATE(B37874,""en"",""pt"")"),"Estelí")</f>
        <v>Estelí</v>
      </c>
      <c r="B29096" s="20" t="s">
        <v>34809</v>
      </c>
      <c r="C29096" s="20" t="s">
        <v>19217</v>
      </c>
      <c r="D29096" s="20" t="s">
        <v>34809</v>
      </c>
      <c r="E29096" s="10">
        <v>3619194</v>
      </c>
      <c r="F29096" s="4" t="str">
        <f>IF(B29096=B29095,"",B29096)</f>
        <v>Estelí</v>
      </c>
    </row>
    <row r="29097" spans="1:6" ht="15.75" customHeight="1">
      <c r="A29097" s="15" t="s">
        <v>19229</v>
      </c>
      <c r="B29097" s="15" t="s">
        <v>19230</v>
      </c>
      <c r="C29097" s="15" t="s">
        <v>19217</v>
      </c>
      <c r="D29097" s="15" t="s">
        <v>19230</v>
      </c>
      <c r="E29097" s="2">
        <v>3619194</v>
      </c>
      <c r="F29097" s="4" t="e">
        <f>IF(B29097=#REF!,"",B29097)</f>
        <v>#REF!</v>
      </c>
    </row>
    <row r="29098" spans="1:6" ht="15.75" customHeight="1">
      <c r="A29098" s="15" t="s">
        <v>2450</v>
      </c>
      <c r="B29098" s="15" t="s">
        <v>2450</v>
      </c>
      <c r="C29098" s="15" t="s">
        <v>1905</v>
      </c>
      <c r="D29098" s="15" t="s">
        <v>1951</v>
      </c>
      <c r="E29098" s="2">
        <v>3463859</v>
      </c>
      <c r="F29098" s="4" t="str">
        <f>IF(B29098=B29097,"",B29098)</f>
        <v>Esteio</v>
      </c>
    </row>
    <row r="29099" spans="1:6" ht="15.75" customHeight="1">
      <c r="A29099" s="16" t="str">
        <f ca="1">IFERROR(__xludf.DUMMYFUNCTION("GOOGLETRANSLATE(B25049,""en"",""pt"")"),"Estância velha")</f>
        <v>Estância velha</v>
      </c>
      <c r="B29099" s="20" t="s">
        <v>31663</v>
      </c>
      <c r="C29099" s="20" t="s">
        <v>1905</v>
      </c>
      <c r="D29099" s="20" t="s">
        <v>1951</v>
      </c>
      <c r="E29099" s="10">
        <v>3463865</v>
      </c>
      <c r="F29099" s="4" t="str">
        <f>IF(B29099=B29098,"",B29099)</f>
        <v>Estância Velha</v>
      </c>
    </row>
    <row r="29100" spans="1:6" ht="15.75" customHeight="1">
      <c r="A29100" s="16" t="str">
        <f ca="1">IFERROR(__xludf.DUMMYFUNCTION("GOOGLETRANSLATE(B25050,""en"",""pt"")"),"Estáncia")</f>
        <v>Estáncia</v>
      </c>
      <c r="B29100" s="20" t="s">
        <v>31664</v>
      </c>
      <c r="C29100" s="20" t="s">
        <v>1905</v>
      </c>
      <c r="D29100" s="20" t="s">
        <v>2002</v>
      </c>
      <c r="E29100" s="10">
        <v>3463900</v>
      </c>
      <c r="F29100" s="4" t="str">
        <f>IF(B29100=B29099,"",B29100)</f>
        <v>Estância</v>
      </c>
    </row>
    <row r="29101" spans="1:6" ht="15.75" customHeight="1">
      <c r="A29101" s="16" t="s">
        <v>2448</v>
      </c>
      <c r="B29101" s="15" t="s">
        <v>2449</v>
      </c>
      <c r="C29101" s="16" t="s">
        <v>1905</v>
      </c>
      <c r="D29101" s="16" t="s">
        <v>1951</v>
      </c>
      <c r="E29101" s="2">
        <v>3463865</v>
      </c>
      <c r="F29101" s="4" t="str">
        <f>IF(B29101=B29100,"",B29101)</f>
        <v>EstÃ¢ncia Velha</v>
      </c>
    </row>
    <row r="29102" spans="1:6" ht="15.75" customHeight="1">
      <c r="A29102" s="16" t="s">
        <v>2446</v>
      </c>
      <c r="B29102" s="15" t="s">
        <v>2447</v>
      </c>
      <c r="C29102" s="16" t="s">
        <v>1905</v>
      </c>
      <c r="D29102" s="16" t="s">
        <v>2002</v>
      </c>
      <c r="E29102" s="2">
        <v>3463900</v>
      </c>
      <c r="F29102" s="4" t="e">
        <f>IF(B29102=#REF!,"",B29102)</f>
        <v>#REF!</v>
      </c>
    </row>
    <row r="29103" spans="1:6" ht="15.75" customHeight="1">
      <c r="A29103" s="15" t="s">
        <v>8367</v>
      </c>
      <c r="B29103" s="15" t="s">
        <v>8367</v>
      </c>
      <c r="C29103" s="15" t="s">
        <v>8028</v>
      </c>
      <c r="D29103" s="15" t="s">
        <v>8031</v>
      </c>
      <c r="E29103" s="2">
        <v>2928751</v>
      </c>
      <c r="F29103" s="4" t="e">
        <f>IF(B29103=#REF!,"",B29103)</f>
        <v>#REF!</v>
      </c>
    </row>
    <row r="29104" spans="1:6" ht="15.75" customHeight="1">
      <c r="A29104" s="15" t="s">
        <v>28580</v>
      </c>
      <c r="B29104" s="15" t="s">
        <v>28580</v>
      </c>
      <c r="C29104" s="15" t="s">
        <v>27788</v>
      </c>
      <c r="D29104" s="15" t="s">
        <v>17061</v>
      </c>
      <c r="E29104" s="2">
        <v>4354428</v>
      </c>
      <c r="F29104" s="4" t="e">
        <f>IF(B29104=#REF!,"",B29104)</f>
        <v>#REF!</v>
      </c>
    </row>
    <row r="29105" spans="1:6" ht="15.75" customHeight="1">
      <c r="A29105" s="15" t="s">
        <v>972</v>
      </c>
      <c r="B29105" s="15" t="s">
        <v>972</v>
      </c>
      <c r="C29105" s="15" t="s">
        <v>885</v>
      </c>
      <c r="D29105" s="15" t="s">
        <v>827</v>
      </c>
      <c r="E29105" s="2">
        <v>2167208</v>
      </c>
      <c r="F29105" s="4" t="e">
        <f>IF(B29105=#REF!,"",B29105)</f>
        <v>#REF!</v>
      </c>
    </row>
    <row r="29106" spans="1:6" ht="15.75" customHeight="1">
      <c r="A29106" s="15" t="s">
        <v>1567</v>
      </c>
      <c r="B29106" s="15" t="s">
        <v>1567</v>
      </c>
      <c r="C29106" s="15" t="s">
        <v>1512</v>
      </c>
      <c r="D29106" s="15" t="s">
        <v>1513</v>
      </c>
      <c r="E29106" s="2">
        <v>2798615</v>
      </c>
      <c r="F29106" s="4" t="e">
        <f>IF(B29106=#REF!,"",B29106)</f>
        <v>#REF!</v>
      </c>
    </row>
    <row r="29107" spans="1:6" ht="15.75" customHeight="1">
      <c r="A29107" s="15" t="s">
        <v>18580</v>
      </c>
      <c r="B29107" s="15" t="s">
        <v>18581</v>
      </c>
      <c r="C29107" s="15" t="s">
        <v>18551</v>
      </c>
      <c r="D29107" s="15" t="s">
        <v>18582</v>
      </c>
      <c r="E29107" s="2">
        <v>2549263</v>
      </c>
      <c r="F29107" s="4" t="e">
        <f>IF(B29107=#REF!,"",B29107)</f>
        <v>#REF!</v>
      </c>
    </row>
    <row r="29108" spans="1:6" ht="15.75" customHeight="1">
      <c r="A29108" s="16" t="s">
        <v>9736</v>
      </c>
      <c r="B29108" s="15" t="s">
        <v>9736</v>
      </c>
      <c r="C29108" s="16" t="s">
        <v>9700</v>
      </c>
      <c r="D29108" s="16" t="s">
        <v>9719</v>
      </c>
      <c r="E29108" s="2">
        <v>3595783</v>
      </c>
      <c r="F29108" s="4" t="e">
        <f>IF(B29108=#REF!,"",B29108)</f>
        <v>#REF!</v>
      </c>
    </row>
    <row r="29109" spans="1:6" ht="15.75" customHeight="1">
      <c r="A29109" s="15" t="s">
        <v>652</v>
      </c>
      <c r="B29109" s="15" t="s">
        <v>652</v>
      </c>
      <c r="C29109" s="15" t="s">
        <v>558</v>
      </c>
      <c r="D29109" s="15" t="s">
        <v>629</v>
      </c>
      <c r="E29109" s="2">
        <v>3434095</v>
      </c>
      <c r="F29109" s="4" t="e">
        <f>IF(B29109=#REF!,"",B29109)</f>
        <v>#REF!</v>
      </c>
    </row>
    <row r="29110" spans="1:6" ht="15.75" customHeight="1">
      <c r="A29110" s="15" t="s">
        <v>651</v>
      </c>
      <c r="B29110" s="15" t="s">
        <v>651</v>
      </c>
      <c r="C29110" s="15" t="s">
        <v>558</v>
      </c>
      <c r="D29110" s="15" t="s">
        <v>622</v>
      </c>
      <c r="E29110" s="2">
        <v>3855974</v>
      </c>
      <c r="F29110" s="4" t="e">
        <f>IF(B29110=#REF!,"",B29110)</f>
        <v>#REF!</v>
      </c>
    </row>
    <row r="29111" spans="1:6" ht="15.75" customHeight="1">
      <c r="A29111" s="16" t="s">
        <v>21659</v>
      </c>
      <c r="B29111" s="15" t="s">
        <v>21659</v>
      </c>
      <c r="C29111" s="16" t="s">
        <v>21606</v>
      </c>
      <c r="D29111" s="16" t="s">
        <v>21626</v>
      </c>
      <c r="E29111" s="2">
        <v>2739848</v>
      </c>
      <c r="F29111" s="4" t="e">
        <f>IF(B29111=#REF!,"",B29111)</f>
        <v>#REF!</v>
      </c>
    </row>
    <row r="29112" spans="1:6" ht="15.75" customHeight="1">
      <c r="A29112" s="15" t="s">
        <v>6950</v>
      </c>
      <c r="B29112" s="15" t="s">
        <v>6950</v>
      </c>
      <c r="C29112" s="15" t="s">
        <v>6948</v>
      </c>
      <c r="D29112" s="15" t="s">
        <v>6951</v>
      </c>
      <c r="E29112" s="2">
        <v>660158</v>
      </c>
      <c r="F29112" s="4" t="e">
        <f>IF(B29112=#REF!,"",B29112)</f>
        <v>#REF!</v>
      </c>
    </row>
    <row r="29113" spans="1:6" ht="15.75" customHeight="1">
      <c r="A29113" s="16" t="s">
        <v>24463</v>
      </c>
      <c r="B29113" s="15" t="s">
        <v>24464</v>
      </c>
      <c r="C29113" s="16" t="s">
        <v>24200</v>
      </c>
      <c r="D29113" s="16" t="s">
        <v>24277</v>
      </c>
      <c r="E29113" s="2">
        <v>3122826</v>
      </c>
      <c r="F29113" s="4" t="e">
        <f>IF(B29113=#REF!,"",B29113)</f>
        <v>#REF!</v>
      </c>
    </row>
    <row r="29114" spans="1:6" ht="15.75" customHeight="1">
      <c r="A29114" s="16" t="s">
        <v>2445</v>
      </c>
      <c r="B29114" s="15" t="s">
        <v>2445</v>
      </c>
      <c r="C29114" s="16" t="s">
        <v>1905</v>
      </c>
      <c r="D29114" s="16" t="s">
        <v>1947</v>
      </c>
      <c r="E29114" s="2">
        <v>3463920</v>
      </c>
      <c r="F29114" s="4" t="e">
        <f>IF(B29114=#REF!,"",B29114)</f>
        <v>#REF!</v>
      </c>
    </row>
    <row r="29115" spans="1:6" ht="15.75" customHeight="1">
      <c r="A29115" s="15" t="s">
        <v>26490</v>
      </c>
      <c r="B29115" s="15" t="s">
        <v>26490</v>
      </c>
      <c r="C29115" s="15" t="s">
        <v>26201</v>
      </c>
      <c r="D29115" s="15" t="s">
        <v>26350</v>
      </c>
      <c r="E29115" s="2">
        <v>831432</v>
      </c>
      <c r="F29115" s="4" t="str">
        <f>IF(B29115=B29114,"",B29115)</f>
        <v>Espiye</v>
      </c>
    </row>
    <row r="29116" spans="1:6" ht="15.75" customHeight="1">
      <c r="A29116" s="16" t="str">
        <f ca="1">IFERROR(__xludf.DUMMYFUNCTION("GOOGLETRANSLATE(B24714,""en"",""pt"")"),"Espírito Santo do Pinhal")</f>
        <v>Espírito Santo do Pinhal</v>
      </c>
      <c r="B29116" s="20" t="s">
        <v>31556</v>
      </c>
      <c r="C29116" s="20" t="s">
        <v>1905</v>
      </c>
      <c r="D29116" s="20" t="s">
        <v>3354</v>
      </c>
      <c r="E29116" s="10">
        <v>3453807</v>
      </c>
      <c r="F29116" s="4" t="e">
        <f>IF(B29116=#REF!,"",B29116)</f>
        <v>#REF!</v>
      </c>
    </row>
    <row r="29117" spans="1:6" ht="15.75" customHeight="1">
      <c r="A29117" s="15" t="s">
        <v>2444</v>
      </c>
      <c r="B29117" s="15" t="s">
        <v>2444</v>
      </c>
      <c r="C29117" s="15" t="s">
        <v>1905</v>
      </c>
      <c r="D29117" s="15" t="s">
        <v>1917</v>
      </c>
      <c r="E29117" s="2">
        <v>3463939</v>
      </c>
      <c r="F29117" s="4" t="e">
        <f>IF(B29117=#REF!,"",B29117)</f>
        <v>#REF!</v>
      </c>
    </row>
    <row r="29118" spans="1:6" ht="15.75" customHeight="1">
      <c r="A29118" s="15" t="s">
        <v>5459</v>
      </c>
      <c r="B29118" s="15" t="s">
        <v>5459</v>
      </c>
      <c r="C29118" s="15" t="s">
        <v>5348</v>
      </c>
      <c r="D29118" s="15" t="s">
        <v>5422</v>
      </c>
      <c r="E29118" s="2">
        <v>3682573</v>
      </c>
      <c r="F29118" s="4" t="e">
        <f>IF(B29118=#REF!,"",B29118)</f>
        <v>#REF!</v>
      </c>
    </row>
    <row r="29119" spans="1:6" ht="15.75" customHeight="1">
      <c r="A29119" s="16" t="s">
        <v>650</v>
      </c>
      <c r="B29119" s="15" t="s">
        <v>650</v>
      </c>
      <c r="C29119" s="16" t="s">
        <v>558</v>
      </c>
      <c r="D29119" s="16" t="s">
        <v>579</v>
      </c>
      <c r="E29119" s="2">
        <v>3856022</v>
      </c>
      <c r="F29119" s="4" t="e">
        <f>IF(B29119=#REF!,"",B29119)</f>
        <v>#REF!</v>
      </c>
    </row>
    <row r="29120" spans="1:6" ht="15.75" customHeight="1">
      <c r="A29120" s="16" t="s">
        <v>2443</v>
      </c>
      <c r="B29120" s="15" t="s">
        <v>2443</v>
      </c>
      <c r="C29120" s="16" t="s">
        <v>1905</v>
      </c>
      <c r="D29120" s="16" t="s">
        <v>1960</v>
      </c>
      <c r="E29120" s="2">
        <v>3400740</v>
      </c>
      <c r="F29120" s="4" t="str">
        <f>IF(B29120=B29119,"",B29120)</f>
        <v>Esperantina</v>
      </c>
    </row>
    <row r="29121" spans="1:6" ht="15.75" customHeight="1">
      <c r="A29121" s="16" t="str">
        <f ca="1">IFERROR(__xludf.DUMMYFUNCTION("GOOGLETRANSLATE(B24331,""en"",""pt"")"),"Esperança")</f>
        <v>Esperança</v>
      </c>
      <c r="B29121" s="20" t="s">
        <v>31402</v>
      </c>
      <c r="C29121" s="20" t="s">
        <v>1905</v>
      </c>
      <c r="D29121" s="20" t="s">
        <v>31343</v>
      </c>
      <c r="E29121" s="10">
        <v>3400752</v>
      </c>
      <c r="F29121" s="4" t="str">
        <f>IF(B29121=B29120,"",B29121)</f>
        <v>Esperança</v>
      </c>
    </row>
    <row r="29122" spans="1:6" ht="15.75" customHeight="1">
      <c r="A29122" s="16" t="s">
        <v>2441</v>
      </c>
      <c r="B29122" s="15" t="s">
        <v>2442</v>
      </c>
      <c r="C29122" s="16" t="s">
        <v>1905</v>
      </c>
      <c r="D29122" s="16" t="s">
        <v>1944</v>
      </c>
      <c r="E29122" s="2">
        <v>3400752</v>
      </c>
      <c r="F29122" s="4" t="e">
        <f>IF(B29122=#REF!,"",B29122)</f>
        <v>#REF!</v>
      </c>
    </row>
    <row r="29123" spans="1:6" ht="15.75" customHeight="1">
      <c r="A29123" s="16" t="s">
        <v>8366</v>
      </c>
      <c r="B29123" s="15" t="s">
        <v>8366</v>
      </c>
      <c r="C29123" s="16" t="s">
        <v>8028</v>
      </c>
      <c r="D29123" s="16" t="s">
        <v>8029</v>
      </c>
      <c r="E29123" s="2">
        <v>2928874</v>
      </c>
      <c r="F29123" s="4" t="e">
        <f>IF(B29123=#REF!,"",B29123)</f>
        <v>#REF!</v>
      </c>
    </row>
    <row r="29124" spans="1:6" ht="15.75" customHeight="1">
      <c r="A29124" s="15" t="s">
        <v>5678</v>
      </c>
      <c r="B29124" s="15" t="s">
        <v>5678</v>
      </c>
      <c r="C29124" s="15" t="s">
        <v>5665</v>
      </c>
      <c r="D29124" s="15" t="s">
        <v>5674</v>
      </c>
      <c r="E29124" s="2">
        <v>3623781</v>
      </c>
      <c r="F29124" s="4" t="e">
        <f>IF(B29124=#REF!,"",B29124)</f>
        <v>#REF!</v>
      </c>
    </row>
    <row r="29125" spans="1:6" ht="15.75" customHeight="1">
      <c r="A29125" s="16" t="s">
        <v>24461</v>
      </c>
      <c r="B29125" s="15" t="s">
        <v>24462</v>
      </c>
      <c r="C29125" s="16" t="s">
        <v>24200</v>
      </c>
      <c r="D29125" s="16" t="s">
        <v>24277</v>
      </c>
      <c r="E29125" s="2">
        <v>3122912</v>
      </c>
      <c r="F29125" s="4" t="str">
        <f>IF(B29125=B29124,"",B29125)</f>
        <v>Esparreguera</v>
      </c>
    </row>
    <row r="29126" spans="1:6" ht="15.75" customHeight="1">
      <c r="A29126" s="16" t="s">
        <v>2439</v>
      </c>
      <c r="B29126" s="15" t="s">
        <v>2440</v>
      </c>
      <c r="C29126" s="16" t="s">
        <v>1905</v>
      </c>
      <c r="D29126" s="16" t="s">
        <v>1914</v>
      </c>
      <c r="E29126" s="2">
        <v>3453807</v>
      </c>
      <c r="F29126" s="4" t="e">
        <f>IF(B29126=#REF!,"",B29126)</f>
        <v>#REF!</v>
      </c>
    </row>
    <row r="29127" spans="1:6" ht="15.75" customHeight="1">
      <c r="A29127" s="16" t="s">
        <v>2438</v>
      </c>
      <c r="B29127" s="15" t="s">
        <v>2438</v>
      </c>
      <c r="C29127" s="16" t="s">
        <v>1905</v>
      </c>
      <c r="D29127" s="16" t="s">
        <v>1917</v>
      </c>
      <c r="E29127" s="2">
        <v>3464008</v>
      </c>
      <c r="F29127" s="4" t="e">
        <f>IF(B29127=#REF!,"",B29127)</f>
        <v>#REF!</v>
      </c>
    </row>
    <row r="29128" spans="1:6" ht="15.75" customHeight="1">
      <c r="A29128" s="16" t="s">
        <v>5834</v>
      </c>
      <c r="B29128" s="15" t="s">
        <v>5834</v>
      </c>
      <c r="C29128" s="16" t="s">
        <v>5764</v>
      </c>
      <c r="D29128" s="16" t="s">
        <v>5806</v>
      </c>
      <c r="E29128" s="2">
        <v>3559318</v>
      </c>
      <c r="F29128" s="4" t="str">
        <f>IF(B29128=B29127,"",B29128)</f>
        <v>Esmeralda</v>
      </c>
    </row>
    <row r="29129" spans="1:6" ht="15.75" customHeight="1">
      <c r="A29129" s="16" t="str">
        <f ca="1">IFERROR(__xludf.DUMMYFUNCTION("GOOGLETRANSLATE(B41197,""en"",""pt"")"),"Eslöv")</f>
        <v>Eslöv</v>
      </c>
      <c r="B29129" s="20" t="s">
        <v>35658</v>
      </c>
      <c r="C29129" s="20" t="s">
        <v>25077</v>
      </c>
      <c r="D29129" s="20" t="s">
        <v>35623</v>
      </c>
      <c r="E29129" s="10">
        <v>2715946</v>
      </c>
      <c r="F29129" s="4" t="str">
        <f>IF(B29129=B29128,"",B29129)</f>
        <v>Eslöv</v>
      </c>
    </row>
    <row r="29130" spans="1:6" ht="15.75" customHeight="1">
      <c r="A29130" s="15" t="s">
        <v>25114</v>
      </c>
      <c r="B29130" s="15" t="s">
        <v>25115</v>
      </c>
      <c r="C29130" s="15" t="s">
        <v>25077</v>
      </c>
      <c r="D29130" s="15" t="s">
        <v>25078</v>
      </c>
      <c r="E29130" s="2">
        <v>2715946</v>
      </c>
      <c r="F29130" s="4" t="str">
        <f>IF(B29130=B29129,"",B29130)</f>
        <v>EslÃ¶v</v>
      </c>
    </row>
    <row r="29131" spans="1:6" ht="15.75" customHeight="1">
      <c r="A29131" s="16" t="str">
        <f ca="1">IFERROR(__xludf.DUMMYFUNCTION("GOOGLETRANSLATE(B41998,""en"",""pt"")"),"Eskişehir")</f>
        <v>Eskişehir</v>
      </c>
      <c r="B29131" s="20" t="s">
        <v>35877</v>
      </c>
      <c r="C29131" s="20" t="s">
        <v>26201</v>
      </c>
      <c r="D29131" s="20" t="s">
        <v>35877</v>
      </c>
      <c r="E29131" s="10">
        <v>315202</v>
      </c>
      <c r="F29131" s="4" t="e">
        <f>IF(B29131=#REF!,"",B29131)</f>
        <v>#REF!</v>
      </c>
    </row>
    <row r="29132" spans="1:6" ht="15.75" customHeight="1">
      <c r="A29132" s="16" t="s">
        <v>25112</v>
      </c>
      <c r="B29132" s="15" t="s">
        <v>25112</v>
      </c>
      <c r="C29132" s="16" t="s">
        <v>25077</v>
      </c>
      <c r="D29132" s="16" t="s">
        <v>25113</v>
      </c>
      <c r="E29132" s="2">
        <v>2715953</v>
      </c>
      <c r="F29132" s="4" t="str">
        <f>IF(B29132=B29131,"",B29132)</f>
        <v>Eskilstuna</v>
      </c>
    </row>
    <row r="29133" spans="1:6" ht="15.75" customHeight="1">
      <c r="A29133" s="16" t="s">
        <v>26488</v>
      </c>
      <c r="B29133" s="15" t="s">
        <v>26489</v>
      </c>
      <c r="C29133" s="16" t="s">
        <v>26201</v>
      </c>
      <c r="D29133" s="16" t="s">
        <v>26489</v>
      </c>
      <c r="E29133" s="2">
        <v>315202</v>
      </c>
      <c r="F29133" s="4" t="e">
        <f>IF(B29133=#REF!,"",B29133)</f>
        <v>#REF!</v>
      </c>
    </row>
    <row r="29134" spans="1:6" ht="15.75" customHeight="1">
      <c r="A29134" s="16" t="s">
        <v>23894</v>
      </c>
      <c r="B29134" s="15" t="s">
        <v>23895</v>
      </c>
      <c r="C29134" s="16" t="s">
        <v>23842</v>
      </c>
      <c r="D29134" s="16" t="s">
        <v>23851</v>
      </c>
      <c r="E29134" s="2">
        <v>1005029</v>
      </c>
      <c r="F29134" s="4" t="e">
        <f>IF(B29134=#REF!,"",B29134)</f>
        <v>#REF!</v>
      </c>
    </row>
    <row r="29135" spans="1:6" ht="15.75" customHeight="1">
      <c r="A29135" s="15" t="s">
        <v>16711</v>
      </c>
      <c r="B29135" s="15" t="s">
        <v>16711</v>
      </c>
      <c r="C29135" s="15" t="s">
        <v>16671</v>
      </c>
      <c r="D29135" s="15" t="s">
        <v>16705</v>
      </c>
      <c r="E29135" s="2">
        <v>1523741</v>
      </c>
      <c r="F29135" s="4" t="str">
        <f>IF(B29135=B29134,"",B29135)</f>
        <v>Esik</v>
      </c>
    </row>
    <row r="29136" spans="1:6" ht="15.75" customHeight="1">
      <c r="A29136" s="16" t="str">
        <f ca="1">IFERROR(__xludf.DUMMYFUNCTION("GOOGLETRANSLATE(B34456,""en"",""pt"")"),"Esfarāyen")</f>
        <v>Esfarāyen</v>
      </c>
      <c r="B29136" s="20" t="s">
        <v>34207</v>
      </c>
      <c r="C29136" s="20" t="s">
        <v>14240</v>
      </c>
      <c r="D29136" s="20" t="s">
        <v>34141</v>
      </c>
      <c r="E29136" s="10">
        <v>135298</v>
      </c>
      <c r="F29136" s="4" t="str">
        <f>IF(B29136=B29135,"",B29136)</f>
        <v>Esfarāyen</v>
      </c>
    </row>
    <row r="29137" spans="1:6" ht="15.75" customHeight="1">
      <c r="A29137" s="16" t="s">
        <v>14373</v>
      </c>
      <c r="B29137" s="15" t="s">
        <v>14374</v>
      </c>
      <c r="C29137" s="16" t="s">
        <v>14240</v>
      </c>
      <c r="D29137" s="16" t="s">
        <v>14336</v>
      </c>
      <c r="E29137" s="2">
        <v>135298</v>
      </c>
      <c r="F29137" s="4" t="e">
        <f>IF(B29137=#REF!,"",B29137)</f>
        <v>#REF!</v>
      </c>
    </row>
    <row r="29138" spans="1:6" ht="15.75" customHeight="1">
      <c r="A29138" s="15" t="s">
        <v>26487</v>
      </c>
      <c r="B29138" s="15" t="s">
        <v>26487</v>
      </c>
      <c r="C29138" s="15" t="s">
        <v>26201</v>
      </c>
      <c r="D29138" s="15" t="s">
        <v>26211</v>
      </c>
      <c r="E29138" s="2">
        <v>747323</v>
      </c>
      <c r="F29138" s="4" t="e">
        <f>IF(B29138=#REF!,"",B29138)</f>
        <v>#REF!</v>
      </c>
    </row>
    <row r="29139" spans="1:6" ht="15.75" customHeight="1">
      <c r="A29139" s="15" t="s">
        <v>26486</v>
      </c>
      <c r="B29139" s="15" t="s">
        <v>26486</v>
      </c>
      <c r="C29139" s="15" t="s">
        <v>26201</v>
      </c>
      <c r="D29139" s="15" t="s">
        <v>26211</v>
      </c>
      <c r="E29139" s="2">
        <v>747340</v>
      </c>
      <c r="F29139" s="4" t="str">
        <f>IF(B29139=B29138,"",B29139)</f>
        <v>Esenler</v>
      </c>
    </row>
    <row r="29140" spans="1:6" ht="15.75" customHeight="1">
      <c r="A29140" s="16" t="str">
        <f ca="1">IFERROR(__xludf.DUMMYFUNCTION("GOOGLETRANSLATE(B26023,""en"",""pt"")"),"Eséka")</f>
        <v>Eséka</v>
      </c>
      <c r="B29140" s="20" t="s">
        <v>31820</v>
      </c>
      <c r="C29140" s="20" t="s">
        <v>3884</v>
      </c>
      <c r="D29140" s="20" t="s">
        <v>3813</v>
      </c>
      <c r="E29140" s="10">
        <v>2231881</v>
      </c>
      <c r="F29140" s="4" t="e">
        <f>IF(B29140=#REF!,"",B29140)</f>
        <v>#REF!</v>
      </c>
    </row>
    <row r="29141" spans="1:6" ht="15.75" customHeight="1">
      <c r="A29141" s="15" t="s">
        <v>9735</v>
      </c>
      <c r="B29141" s="15" t="s">
        <v>9735</v>
      </c>
      <c r="C29141" s="15" t="s">
        <v>9700</v>
      </c>
      <c r="D29141" s="15" t="s">
        <v>9735</v>
      </c>
      <c r="E29141" s="2">
        <v>3595803</v>
      </c>
      <c r="F29141" s="4" t="e">
        <f>IF(B29141=#REF!,"",B29141)</f>
        <v>#REF!</v>
      </c>
    </row>
    <row r="29142" spans="1:6" ht="15.75" customHeight="1">
      <c r="A29142" s="16" t="s">
        <v>17935</v>
      </c>
      <c r="B29142" s="15" t="s">
        <v>17935</v>
      </c>
      <c r="C29142" s="16" t="s">
        <v>17707</v>
      </c>
      <c r="D29142" s="16" t="s">
        <v>17916</v>
      </c>
      <c r="E29142" s="2">
        <v>4006622</v>
      </c>
      <c r="F29142" s="4" t="e">
        <f>IF(B29142=#REF!,"",B29142)</f>
        <v>#REF!</v>
      </c>
    </row>
    <row r="29143" spans="1:6" ht="15.75" customHeight="1">
      <c r="A29143" s="16" t="s">
        <v>28579</v>
      </c>
      <c r="B29143" s="15" t="s">
        <v>28579</v>
      </c>
      <c r="C29143" s="16" t="s">
        <v>27788</v>
      </c>
      <c r="D29143" s="16" t="s">
        <v>27801</v>
      </c>
      <c r="E29143" s="2">
        <v>5346827</v>
      </c>
      <c r="F29143" s="4" t="e">
        <f>IF(B29143=#REF!,"",B29143)</f>
        <v>#REF!</v>
      </c>
    </row>
    <row r="29144" spans="1:6" ht="15.75" customHeight="1">
      <c r="A29144" s="16" t="s">
        <v>8365</v>
      </c>
      <c r="B29144" s="15" t="s">
        <v>8365</v>
      </c>
      <c r="C29144" s="16" t="s">
        <v>8028</v>
      </c>
      <c r="D29144" s="16" t="s">
        <v>8029</v>
      </c>
      <c r="E29144" s="2">
        <v>2928963</v>
      </c>
      <c r="F29144" s="4" t="e">
        <f>IF(B29144=#REF!,"",B29144)</f>
        <v>#REF!</v>
      </c>
    </row>
    <row r="29145" spans="1:6" ht="15.75" customHeight="1">
      <c r="A29145" s="15" t="s">
        <v>8364</v>
      </c>
      <c r="B29145" s="15" t="s">
        <v>8364</v>
      </c>
      <c r="C29145" s="15" t="s">
        <v>8028</v>
      </c>
      <c r="D29145" s="15" t="s">
        <v>8050</v>
      </c>
      <c r="E29145" s="2">
        <v>2928967</v>
      </c>
      <c r="F29145" s="4" t="e">
        <f>IF(B29145=#REF!,"",B29145)</f>
        <v>#REF!</v>
      </c>
    </row>
    <row r="29146" spans="1:6" ht="15.75" customHeight="1">
      <c r="A29146" s="16" t="s">
        <v>17216</v>
      </c>
      <c r="B29146" s="15" t="s">
        <v>17216</v>
      </c>
      <c r="C29146" s="16" t="s">
        <v>17215</v>
      </c>
      <c r="D29146" s="16" t="s">
        <v>17215</v>
      </c>
      <c r="E29146" s="2">
        <v>2960596</v>
      </c>
      <c r="F29146" s="4" t="e">
        <f>IF(B29146=#REF!,"",B29146)</f>
        <v>#REF!</v>
      </c>
    </row>
    <row r="29147" spans="1:6" ht="15.75" customHeight="1">
      <c r="A29147" s="15" t="s">
        <v>8362</v>
      </c>
      <c r="B29147" s="15" t="s">
        <v>8363</v>
      </c>
      <c r="C29147" s="15" t="s">
        <v>8028</v>
      </c>
      <c r="D29147" s="15" t="s">
        <v>8050</v>
      </c>
      <c r="E29147" s="2">
        <v>2929134</v>
      </c>
      <c r="F29147" s="4" t="str">
        <f>IF(B29147=B29146,"",B29147)</f>
        <v>Eschborn</v>
      </c>
    </row>
    <row r="29148" spans="1:6" ht="15.75" customHeight="1">
      <c r="A29148" s="16" t="str">
        <f ca="1">IFERROR(__xludf.DUMMYFUNCTION("GOOGLETRANSLATE(B37027,""en"",""pt"")"),"Escárcega")</f>
        <v>Escárcega</v>
      </c>
      <c r="B29148" s="20" t="s">
        <v>34703</v>
      </c>
      <c r="C29148" s="20" t="s">
        <v>17707</v>
      </c>
      <c r="D29148" s="20" t="s">
        <v>17794</v>
      </c>
      <c r="E29148" s="10">
        <v>3527795</v>
      </c>
      <c r="F29148" s="4" t="e">
        <f>IF(B29148=#REF!,"",B29148)</f>
        <v>#REF!</v>
      </c>
    </row>
    <row r="29149" spans="1:6" ht="15.75" customHeight="1">
      <c r="A29149" s="15" t="s">
        <v>20764</v>
      </c>
      <c r="B29149" s="15" t="s">
        <v>20764</v>
      </c>
      <c r="C29149" s="15" t="s">
        <v>20598</v>
      </c>
      <c r="D29149" s="15" t="s">
        <v>20627</v>
      </c>
      <c r="E29149" s="2">
        <v>1713818</v>
      </c>
      <c r="F29149" s="4" t="e">
        <f>IF(B29149=#REF!,"",B29149)</f>
        <v>#REF!</v>
      </c>
    </row>
    <row r="29150" spans="1:6" ht="15.75" customHeight="1">
      <c r="A29150" s="15" t="s">
        <v>2437</v>
      </c>
      <c r="B29150" s="15" t="s">
        <v>2437</v>
      </c>
      <c r="C29150" s="15" t="s">
        <v>1905</v>
      </c>
      <c r="D29150" s="15" t="s">
        <v>1909</v>
      </c>
      <c r="E29150" s="2">
        <v>3400804</v>
      </c>
      <c r="F29150" s="4" t="str">
        <f>IF(B29150=B29149,"",B29150)</f>
        <v>Escada</v>
      </c>
    </row>
    <row r="29151" spans="1:6" ht="15.75" customHeight="1">
      <c r="A29151" s="15" t="s">
        <v>17933</v>
      </c>
      <c r="B29151" s="15" t="s">
        <v>17934</v>
      </c>
      <c r="C29151" s="15" t="s">
        <v>17707</v>
      </c>
      <c r="D29151" s="15" t="s">
        <v>17794</v>
      </c>
      <c r="E29151" s="2">
        <v>3527795</v>
      </c>
      <c r="F29151" s="4" t="e">
        <f>IF(B29151=#REF!,"",B29151)</f>
        <v>#REF!</v>
      </c>
    </row>
    <row r="29152" spans="1:6" ht="15.75" customHeight="1">
      <c r="A29152" s="15" t="s">
        <v>6224</v>
      </c>
      <c r="B29152" s="15" t="s">
        <v>6224</v>
      </c>
      <c r="C29152" s="15" t="s">
        <v>6209</v>
      </c>
      <c r="D29152" s="15" t="s">
        <v>6212</v>
      </c>
      <c r="E29152" s="2">
        <v>2622447</v>
      </c>
      <c r="F29152" s="4" t="str">
        <f>IF(B29152=B29151,"",B29152)</f>
        <v>Esbjerg</v>
      </c>
    </row>
    <row r="29153" spans="1:6" ht="15.75" customHeight="1">
      <c r="A29153" s="15" t="s">
        <v>3914</v>
      </c>
      <c r="B29153" s="15" t="s">
        <v>3915</v>
      </c>
      <c r="C29153" s="15" t="s">
        <v>3884</v>
      </c>
      <c r="D29153" s="15" t="s">
        <v>3813</v>
      </c>
      <c r="E29153" s="2">
        <v>2231881</v>
      </c>
      <c r="F29153" s="4" t="e">
        <f>IF(B29153=#REF!,"",B29153)</f>
        <v>#REF!</v>
      </c>
    </row>
    <row r="29154" spans="1:6" ht="15.75" customHeight="1">
      <c r="A29154" s="15" t="s">
        <v>352</v>
      </c>
      <c r="B29154" s="15" t="s">
        <v>353</v>
      </c>
      <c r="C29154" s="15" t="s">
        <v>153</v>
      </c>
      <c r="D29154" s="15" t="s">
        <v>177</v>
      </c>
      <c r="E29154" s="2">
        <v>2497060</v>
      </c>
      <c r="F29154" s="4" t="e">
        <f>IF(B29154=#REF!,"",B29154)</f>
        <v>#REF!</v>
      </c>
    </row>
    <row r="29155" spans="1:6" ht="15.75" customHeight="1">
      <c r="A29155" s="15" t="s">
        <v>26268</v>
      </c>
      <c r="B29155" s="15" t="s">
        <v>26268</v>
      </c>
      <c r="C29155" s="15" t="s">
        <v>26201</v>
      </c>
      <c r="D29155" s="15" t="s">
        <v>26268</v>
      </c>
      <c r="E29155" s="2">
        <v>315368</v>
      </c>
      <c r="F29155" s="4" t="e">
        <f>IF(B29155=#REF!,"",B29155)</f>
        <v>#REF!</v>
      </c>
    </row>
    <row r="29156" spans="1:6" ht="15.75" customHeight="1">
      <c r="A29156" s="15" t="s">
        <v>26430</v>
      </c>
      <c r="B29156" s="15" t="s">
        <v>26430</v>
      </c>
      <c r="C29156" s="15" t="s">
        <v>26201</v>
      </c>
      <c r="D29156" s="15" t="s">
        <v>26430</v>
      </c>
      <c r="E29156" s="2">
        <v>315373</v>
      </c>
      <c r="F29156" s="4" t="e">
        <f>IF(B29156=#REF!,"",B29156)</f>
        <v>#REF!</v>
      </c>
    </row>
    <row r="29157" spans="1:6" ht="15.75" customHeight="1">
      <c r="A29157" s="15" t="s">
        <v>26485</v>
      </c>
      <c r="B29157" s="15" t="s">
        <v>26485</v>
      </c>
      <c r="C29157" s="15" t="s">
        <v>26201</v>
      </c>
      <c r="D29157" s="15" t="s">
        <v>26318</v>
      </c>
      <c r="E29157" s="2">
        <v>296852</v>
      </c>
      <c r="F29157" s="4" t="e">
        <f>IF(B29157=#REF!,"",B29157)</f>
        <v>#REF!</v>
      </c>
    </row>
    <row r="29158" spans="1:6" ht="15.75" customHeight="1">
      <c r="A29158" s="15" t="s">
        <v>8361</v>
      </c>
      <c r="B29158" s="15" t="s">
        <v>8361</v>
      </c>
      <c r="C29158" s="15" t="s">
        <v>8028</v>
      </c>
      <c r="D29158" s="15" t="s">
        <v>8029</v>
      </c>
      <c r="E29158" s="2">
        <v>2929247</v>
      </c>
      <c r="F29158" s="4" t="e">
        <f>IF(B29158=#REF!,"",B29158)</f>
        <v>#REF!</v>
      </c>
    </row>
    <row r="29159" spans="1:6" ht="15.75" customHeight="1">
      <c r="A29159" s="15" t="s">
        <v>27436</v>
      </c>
      <c r="B29159" s="15" t="s">
        <v>27436</v>
      </c>
      <c r="C29159" s="15" t="s">
        <v>27234</v>
      </c>
      <c r="D29159" s="15" t="s">
        <v>27237</v>
      </c>
      <c r="E29159" s="2">
        <v>6639623</v>
      </c>
      <c r="F29159" s="4" t="e">
        <f>IF(B29159=#REF!,"",B29159)</f>
        <v>#REF!</v>
      </c>
    </row>
    <row r="29160" spans="1:6" ht="15.75" customHeight="1">
      <c r="A29160" s="15" t="s">
        <v>24459</v>
      </c>
      <c r="B29160" s="15" t="s">
        <v>24460</v>
      </c>
      <c r="C29160" s="15" t="s">
        <v>24200</v>
      </c>
      <c r="D29160" s="15" t="s">
        <v>24249</v>
      </c>
      <c r="E29160" s="2">
        <v>3112011</v>
      </c>
      <c r="F29160" s="4" t="e">
        <f>IF(B29160=#REF!,"",B29160)</f>
        <v>#REF!</v>
      </c>
    </row>
    <row r="29161" spans="1:6" ht="15.75" customHeight="1">
      <c r="A29161" s="15" t="s">
        <v>11227</v>
      </c>
      <c r="B29161" s="15" t="s">
        <v>11228</v>
      </c>
      <c r="C29161" s="15" t="s">
        <v>10178</v>
      </c>
      <c r="D29161" s="15" t="s">
        <v>10190</v>
      </c>
      <c r="E29161" s="2">
        <v>1272008</v>
      </c>
      <c r="F29161" s="4" t="e">
        <f>IF(B29161=#REF!,"",B29161)</f>
        <v>#REF!</v>
      </c>
    </row>
    <row r="29162" spans="1:6" ht="15.75" customHeight="1">
      <c r="A29162" s="15" t="s">
        <v>11225</v>
      </c>
      <c r="B29162" s="15" t="s">
        <v>11226</v>
      </c>
      <c r="C29162" s="15" t="s">
        <v>10178</v>
      </c>
      <c r="D29162" s="15" t="s">
        <v>10196</v>
      </c>
      <c r="E29162" s="2">
        <v>1272013</v>
      </c>
      <c r="F29162" s="4" t="e">
        <f>IF(B29162=#REF!,"",B29162)</f>
        <v>#REF!</v>
      </c>
    </row>
    <row r="29163" spans="1:6" ht="15.75" customHeight="1">
      <c r="A29163" s="15" t="s">
        <v>24458</v>
      </c>
      <c r="B29163" s="15" t="s">
        <v>24458</v>
      </c>
      <c r="C29163" s="15" t="s">
        <v>24200</v>
      </c>
      <c r="D29163" s="15" t="s">
        <v>24249</v>
      </c>
      <c r="E29163" s="2">
        <v>3123063</v>
      </c>
      <c r="F29163" s="4" t="e">
        <f>IF(B29163=#REF!,"",B29163)</f>
        <v>#REF!</v>
      </c>
    </row>
    <row r="29164" spans="1:6" ht="15.75" customHeight="1">
      <c r="A29164" s="15" t="s">
        <v>7334</v>
      </c>
      <c r="B29164" s="15" t="s">
        <v>7334</v>
      </c>
      <c r="C29164" s="15" t="s">
        <v>7052</v>
      </c>
      <c r="D29164" s="15" t="s">
        <v>7058</v>
      </c>
      <c r="E29164" s="2">
        <v>3019897</v>
      </c>
      <c r="F29164" s="4" t="str">
        <f>IF(B29164=B29163,"",B29164)</f>
        <v>Ermont</v>
      </c>
    </row>
    <row r="29165" spans="1:6" ht="15.75" customHeight="1">
      <c r="A29165" s="16" t="str">
        <f ca="1">IFERROR(__xludf.DUMMYFUNCTION("GOOGLETRANSLATE(B29513,""en"",""pt"")"),"Ermitagaña")</f>
        <v>Ermitagaña</v>
      </c>
      <c r="B29165" s="20" t="s">
        <v>32483</v>
      </c>
      <c r="C29165" s="20" t="s">
        <v>24200</v>
      </c>
      <c r="D29165" s="20" t="s">
        <v>24320</v>
      </c>
      <c r="E29165" s="10">
        <v>8050880</v>
      </c>
      <c r="F29165" s="4" t="str">
        <f>IF(B29165=B29164,"",B29165)</f>
        <v>Ermitagaña</v>
      </c>
    </row>
    <row r="29166" spans="1:6" ht="15.75" customHeight="1">
      <c r="A29166" s="16" t="s">
        <v>24456</v>
      </c>
      <c r="B29166" s="15" t="s">
        <v>24457</v>
      </c>
      <c r="C29166" s="16" t="s">
        <v>24200</v>
      </c>
      <c r="D29166" s="16" t="s">
        <v>24320</v>
      </c>
      <c r="E29166" s="2">
        <v>8050880</v>
      </c>
      <c r="F29166" s="4" t="e">
        <f>IF(B29166=#REF!,"",B29166)</f>
        <v>#REF!</v>
      </c>
    </row>
    <row r="29167" spans="1:6" ht="15.75" customHeight="1">
      <c r="A29167" s="16" t="s">
        <v>21658</v>
      </c>
      <c r="B29167" s="15" t="s">
        <v>21658</v>
      </c>
      <c r="C29167" s="16" t="s">
        <v>21606</v>
      </c>
      <c r="D29167" s="16" t="s">
        <v>21609</v>
      </c>
      <c r="E29167" s="2">
        <v>2739997</v>
      </c>
      <c r="F29167" s="4" t="e">
        <f>IF(B29167=#REF!,"",B29167)</f>
        <v>#REF!</v>
      </c>
    </row>
    <row r="29168" spans="1:6" ht="15.75" customHeight="1">
      <c r="A29168" s="15" t="s">
        <v>26483</v>
      </c>
      <c r="B29168" s="15" t="s">
        <v>26483</v>
      </c>
      <c r="C29168" s="15" t="s">
        <v>26201</v>
      </c>
      <c r="D29168" s="15" t="s">
        <v>26484</v>
      </c>
      <c r="E29168" s="2">
        <v>315401</v>
      </c>
      <c r="F29168" s="4" t="e">
        <f>IF(B29168=#REF!,"",B29168)</f>
        <v>#REF!</v>
      </c>
    </row>
    <row r="29169" spans="1:6" ht="15.75" customHeight="1">
      <c r="A29169" s="15" t="s">
        <v>18964</v>
      </c>
      <c r="B29169" s="15" t="s">
        <v>18964</v>
      </c>
      <c r="C29169" s="15" t="s">
        <v>18862</v>
      </c>
      <c r="D29169" s="15" t="s">
        <v>18865</v>
      </c>
      <c r="E29169" s="2">
        <v>2756039</v>
      </c>
      <c r="F29169" s="4" t="e">
        <f>IF(B29169=#REF!,"",B29169)</f>
        <v>#REF!</v>
      </c>
    </row>
    <row r="29170" spans="1:6" ht="15.75" customHeight="1">
      <c r="A29170" s="15" t="s">
        <v>28578</v>
      </c>
      <c r="B29170" s="15" t="s">
        <v>28578</v>
      </c>
      <c r="C29170" s="15" t="s">
        <v>27788</v>
      </c>
      <c r="D29170" s="15" t="s">
        <v>27909</v>
      </c>
      <c r="E29170" s="2">
        <v>4291255</v>
      </c>
      <c r="F29170" s="4" t="e">
        <f>IF(B29170=#REF!,"",B29170)</f>
        <v>#REF!</v>
      </c>
    </row>
    <row r="29171" spans="1:6" ht="15.75" customHeight="1">
      <c r="A29171" s="15" t="s">
        <v>8360</v>
      </c>
      <c r="B29171" s="15" t="s">
        <v>8360</v>
      </c>
      <c r="C29171" s="15" t="s">
        <v>8028</v>
      </c>
      <c r="D29171" s="15" t="s">
        <v>8044</v>
      </c>
      <c r="E29171" s="2">
        <v>2929567</v>
      </c>
      <c r="F29171" s="4" t="e">
        <f>IF(B29171=#REF!,"",B29171)</f>
        <v>#REF!</v>
      </c>
    </row>
    <row r="29172" spans="1:6" ht="15.75" customHeight="1">
      <c r="A29172" s="15" t="s">
        <v>8359</v>
      </c>
      <c r="B29172" s="15" t="s">
        <v>8359</v>
      </c>
      <c r="C29172" s="15" t="s">
        <v>8028</v>
      </c>
      <c r="D29172" s="15" t="s">
        <v>8029</v>
      </c>
      <c r="E29172" s="2">
        <v>2929600</v>
      </c>
      <c r="F29172" s="4" t="e">
        <f>IF(B29172=#REF!,"",B29172)</f>
        <v>#REF!</v>
      </c>
    </row>
    <row r="29173" spans="1:6" ht="15.75" customHeight="1">
      <c r="A29173" s="15" t="s">
        <v>8358</v>
      </c>
      <c r="B29173" s="15" t="s">
        <v>8358</v>
      </c>
      <c r="C29173" s="15" t="s">
        <v>8028</v>
      </c>
      <c r="D29173" s="15" t="s">
        <v>8029</v>
      </c>
      <c r="E29173" s="2">
        <v>2929622</v>
      </c>
      <c r="F29173" s="4" t="e">
        <f>IF(B29173=#REF!,"",B29173)</f>
        <v>#REF!</v>
      </c>
    </row>
    <row r="29174" spans="1:6" ht="15.75" customHeight="1">
      <c r="A29174" s="15" t="s">
        <v>28577</v>
      </c>
      <c r="B29174" s="15" t="s">
        <v>28577</v>
      </c>
      <c r="C29174" s="15" t="s">
        <v>27788</v>
      </c>
      <c r="D29174" s="15" t="s">
        <v>27836</v>
      </c>
      <c r="E29174" s="2">
        <v>5188843</v>
      </c>
      <c r="F29174" s="4" t="e">
        <f>IF(B29174=#REF!,"",B29174)</f>
        <v>#REF!</v>
      </c>
    </row>
    <row r="29175" spans="1:6" ht="15.75" customHeight="1">
      <c r="A29175" s="15" t="s">
        <v>26482</v>
      </c>
      <c r="B29175" s="15" t="s">
        <v>26482</v>
      </c>
      <c r="C29175" s="15" t="s">
        <v>26201</v>
      </c>
      <c r="D29175" s="15" t="s">
        <v>26254</v>
      </c>
      <c r="E29175" s="2">
        <v>315468</v>
      </c>
      <c r="F29175" s="4" t="e">
        <f>IF(B29175=#REF!,"",B29175)</f>
        <v>#REF!</v>
      </c>
    </row>
    <row r="29176" spans="1:6" ht="15.75" customHeight="1">
      <c r="A29176" s="15" t="s">
        <v>8357</v>
      </c>
      <c r="B29176" s="15" t="s">
        <v>8357</v>
      </c>
      <c r="C29176" s="15" t="s">
        <v>8028</v>
      </c>
      <c r="D29176" s="15" t="s">
        <v>8054</v>
      </c>
      <c r="E29176" s="2">
        <v>2929670</v>
      </c>
      <c r="F29176" s="4" t="e">
        <f>IF(B29176=#REF!,"",B29176)</f>
        <v>#REF!</v>
      </c>
    </row>
    <row r="29177" spans="1:6" ht="15.75" customHeight="1">
      <c r="A29177" s="15" t="s">
        <v>8356</v>
      </c>
      <c r="B29177" s="15" t="s">
        <v>8356</v>
      </c>
      <c r="C29177" s="15" t="s">
        <v>8028</v>
      </c>
      <c r="D29177" s="15" t="s">
        <v>8029</v>
      </c>
      <c r="E29177" s="2">
        <v>2929671</v>
      </c>
      <c r="F29177" s="4" t="e">
        <f>IF(B29177=#REF!,"",B29177)</f>
        <v>#REF!</v>
      </c>
    </row>
    <row r="29178" spans="1:6" ht="15.75" customHeight="1">
      <c r="A29178" s="15" t="s">
        <v>4656</v>
      </c>
      <c r="B29178" s="15" t="s">
        <v>4657</v>
      </c>
      <c r="C29178" s="15" t="s">
        <v>4487</v>
      </c>
      <c r="D29178" s="15" t="s">
        <v>4533</v>
      </c>
      <c r="E29178" s="2">
        <v>2037485</v>
      </c>
      <c r="F29178" s="4" t="e">
        <f>IF(B29178=#REF!,"",B29178)</f>
        <v>#REF!</v>
      </c>
    </row>
    <row r="29179" spans="1:6" ht="15.75" customHeight="1">
      <c r="A29179" s="16" t="str">
        <f ca="1">IFERROR(__xludf.DUMMYFUNCTION("GOOGLETRANSLATE(B42003,""en"",""pt"")"),"Ereğli")</f>
        <v>Ereğli</v>
      </c>
      <c r="B29179" s="20" t="s">
        <v>35878</v>
      </c>
      <c r="C29179" s="20" t="s">
        <v>26201</v>
      </c>
      <c r="D29179" s="20" t="s">
        <v>26265</v>
      </c>
      <c r="E29179" s="10">
        <v>315498</v>
      </c>
      <c r="F29179" s="4" t="e">
        <f>IF(B29179=#REF!,"",B29179)</f>
        <v>#REF!</v>
      </c>
    </row>
    <row r="29180" spans="1:6" ht="15.75" customHeight="1">
      <c r="A29180" s="15" t="s">
        <v>2436</v>
      </c>
      <c r="B29180" s="15" t="s">
        <v>2436</v>
      </c>
      <c r="C29180" s="15" t="s">
        <v>1905</v>
      </c>
      <c r="D29180" s="15" t="s">
        <v>1951</v>
      </c>
      <c r="E29180" s="2">
        <v>3464073</v>
      </c>
      <c r="F29180" s="4" t="e">
        <f>IF(B29180=#REF!,"",B29180)</f>
        <v>#REF!</v>
      </c>
    </row>
    <row r="29181" spans="1:6" ht="15.75" customHeight="1">
      <c r="A29181" s="15" t="s">
        <v>26480</v>
      </c>
      <c r="B29181" s="15" t="s">
        <v>26481</v>
      </c>
      <c r="C29181" s="15" t="s">
        <v>26201</v>
      </c>
      <c r="D29181" s="15" t="s">
        <v>26265</v>
      </c>
      <c r="E29181" s="2">
        <v>315498</v>
      </c>
      <c r="F29181" s="4" t="e">
        <f>IF(B29181=#REF!,"",B29181)</f>
        <v>#REF!</v>
      </c>
    </row>
    <row r="29182" spans="1:6" ht="15.75" customHeight="1">
      <c r="A29182" s="15" t="s">
        <v>8355</v>
      </c>
      <c r="B29182" s="15" t="s">
        <v>8355</v>
      </c>
      <c r="C29182" s="15" t="s">
        <v>8028</v>
      </c>
      <c r="D29182" s="15" t="s">
        <v>8044</v>
      </c>
      <c r="E29182" s="2">
        <v>2929715</v>
      </c>
      <c r="F29182" s="4" t="e">
        <f>IF(B29182=#REF!,"",B29182)</f>
        <v>#REF!</v>
      </c>
    </row>
    <row r="29183" spans="1:6" ht="15.75" customHeight="1">
      <c r="A29183" s="15" t="s">
        <v>18516</v>
      </c>
      <c r="B29183" s="15" t="s">
        <v>18516</v>
      </c>
      <c r="C29183" s="15" t="s">
        <v>18496</v>
      </c>
      <c r="D29183" s="15" t="s">
        <v>18517</v>
      </c>
      <c r="E29183" s="2">
        <v>2031405</v>
      </c>
      <c r="F29183" s="4" t="e">
        <f>IF(B29183=#REF!,"",B29183)</f>
        <v>#REF!</v>
      </c>
    </row>
    <row r="29184" spans="1:6" ht="15.75" customHeight="1">
      <c r="A29184" s="15" t="s">
        <v>26479</v>
      </c>
      <c r="B29184" s="15" t="s">
        <v>26479</v>
      </c>
      <c r="C29184" s="15" t="s">
        <v>26201</v>
      </c>
      <c r="D29184" s="15" t="s">
        <v>26315</v>
      </c>
      <c r="E29184" s="2">
        <v>315515</v>
      </c>
      <c r="F29184" s="4" t="e">
        <f>IF(B29184=#REF!,"",B29184)</f>
        <v>#REF!</v>
      </c>
    </row>
    <row r="29185" spans="1:6" ht="15.75" customHeight="1">
      <c r="A29185" s="15" t="s">
        <v>26478</v>
      </c>
      <c r="B29185" s="15" t="s">
        <v>26478</v>
      </c>
      <c r="C29185" s="15" t="s">
        <v>26201</v>
      </c>
      <c r="D29185" s="15" t="s">
        <v>26340</v>
      </c>
      <c r="E29185" s="2">
        <v>747482</v>
      </c>
      <c r="F29185" s="4" t="e">
        <f>IF(B29185=#REF!,"",B29185)</f>
        <v>#REF!</v>
      </c>
    </row>
    <row r="29186" spans="1:6" ht="15.75" customHeight="1">
      <c r="A29186" s="16" t="s">
        <v>4655</v>
      </c>
      <c r="B29186" s="15" t="s">
        <v>4655</v>
      </c>
      <c r="C29186" s="16" t="s">
        <v>4487</v>
      </c>
      <c r="D29186" s="16" t="s">
        <v>4518</v>
      </c>
      <c r="E29186" s="2">
        <v>2037494</v>
      </c>
      <c r="F29186" s="4" t="str">
        <f>IF(B29186=B29185,"",B29186)</f>
        <v>Erdaojiang</v>
      </c>
    </row>
    <row r="29187" spans="1:6" ht="15.75" customHeight="1">
      <c r="A29187" s="16" t="str">
        <f ca="1">IFERROR(__xludf.DUMMYFUNCTION("GOOGLETRANSLATE(B31318,""en"",""pt"")"),"Érd")</f>
        <v>Érd</v>
      </c>
      <c r="B29187" s="20" t="s">
        <v>32884</v>
      </c>
      <c r="C29187" s="20" t="s">
        <v>9955</v>
      </c>
      <c r="D29187" s="20" t="s">
        <v>9959</v>
      </c>
      <c r="E29187" s="10">
        <v>3053281</v>
      </c>
      <c r="F29187" s="4" t="e">
        <f>IF(B29187=#REF!,"",B29187)</f>
        <v>#REF!</v>
      </c>
    </row>
    <row r="29188" spans="1:6" ht="15.75" customHeight="1">
      <c r="A29188" s="15" t="s">
        <v>15126</v>
      </c>
      <c r="B29188" s="15" t="s">
        <v>15126</v>
      </c>
      <c r="C29188" s="15" t="s">
        <v>14891</v>
      </c>
      <c r="D29188" s="15" t="s">
        <v>14896</v>
      </c>
      <c r="E29188" s="2">
        <v>3177363</v>
      </c>
      <c r="F29188" s="4" t="str">
        <f>IF(B29188=B29187,"",B29188)</f>
        <v>Ercolano</v>
      </c>
    </row>
    <row r="29189" spans="1:6" ht="15.75" customHeight="1">
      <c r="A29189" s="16" t="str">
        <f ca="1">IFERROR(__xludf.DUMMYFUNCTION("GOOGLETRANSLATE(B42005,""en"",""pt"")"),"Erciş")</f>
        <v>Erciş</v>
      </c>
      <c r="B29189" s="20" t="s">
        <v>35879</v>
      </c>
      <c r="C29189" s="20" t="s">
        <v>26201</v>
      </c>
      <c r="D29189" s="20" t="s">
        <v>26477</v>
      </c>
      <c r="E29189" s="10">
        <v>315530</v>
      </c>
      <c r="F29189" s="4" t="str">
        <f>IF(B29189=B29188,"",B29189)</f>
        <v>Erciş</v>
      </c>
    </row>
    <row r="29190" spans="1:6" ht="15.75" customHeight="1">
      <c r="A29190" s="15" t="s">
        <v>26475</v>
      </c>
      <c r="B29190" s="15" t="s">
        <v>26476</v>
      </c>
      <c r="C29190" s="15" t="s">
        <v>26201</v>
      </c>
      <c r="D29190" s="15" t="s">
        <v>26477</v>
      </c>
      <c r="E29190" s="2">
        <v>315530</v>
      </c>
      <c r="F29190" s="4" t="e">
        <f>IF(B29190=#REF!,"",B29190)</f>
        <v>#REF!</v>
      </c>
    </row>
    <row r="29191" spans="1:6" ht="15.75" customHeight="1">
      <c r="A29191" s="15" t="s">
        <v>14681</v>
      </c>
      <c r="B29191" s="15" t="s">
        <v>14681</v>
      </c>
      <c r="C29191" s="15" t="s">
        <v>14594</v>
      </c>
      <c r="D29191" s="15" t="s">
        <v>14682</v>
      </c>
      <c r="E29191" s="2">
        <v>95446</v>
      </c>
      <c r="F29191" s="4" t="e">
        <f>IF(B29191=#REF!,"",B29191)</f>
        <v>#REF!</v>
      </c>
    </row>
    <row r="29192" spans="1:6" ht="15.75" customHeight="1">
      <c r="A29192" s="15" t="s">
        <v>26473</v>
      </c>
      <c r="B29192" s="15" t="s">
        <v>26473</v>
      </c>
      <c r="C29192" s="15" t="s">
        <v>26201</v>
      </c>
      <c r="D29192" s="15" t="s">
        <v>26474</v>
      </c>
      <c r="E29192" s="2">
        <v>747489</v>
      </c>
      <c r="F29192" s="4" t="e">
        <f>IF(B29192=#REF!,"",B29192)</f>
        <v>#REF!</v>
      </c>
    </row>
    <row r="29193" spans="1:6" ht="15.75" customHeight="1">
      <c r="A29193" s="15" t="s">
        <v>15125</v>
      </c>
      <c r="B29193" s="15" t="s">
        <v>15125</v>
      </c>
      <c r="C29193" s="15" t="s">
        <v>14891</v>
      </c>
      <c r="D29193" s="15" t="s">
        <v>14894</v>
      </c>
      <c r="E29193" s="2">
        <v>3177372</v>
      </c>
      <c r="F29193" s="4" t="e">
        <f>IF(B29193=#REF!,"",B29193)</f>
        <v>#REF!</v>
      </c>
    </row>
    <row r="29194" spans="1:6" ht="15.75" customHeight="1">
      <c r="A29194" s="16" t="s">
        <v>24940</v>
      </c>
      <c r="B29194" s="15" t="s">
        <v>24941</v>
      </c>
      <c r="C29194" s="16" t="s">
        <v>24924</v>
      </c>
      <c r="D29194" s="16" t="s">
        <v>6128</v>
      </c>
      <c r="E29194" s="2">
        <v>1246924</v>
      </c>
      <c r="F29194" s="4" t="str">
        <f>IF(B29194=B29193,"",B29194)</f>
        <v>Eravur Town</v>
      </c>
    </row>
    <row r="29195" spans="1:6" ht="15.75" customHeight="1">
      <c r="A29195" s="16" t="str">
        <f ca="1">IFERROR(__xludf.DUMMYFUNCTION("GOOGLETRANSLATE(B33530,""en"",""pt"")"),"Erāttupetta")</f>
        <v>Erāttupetta</v>
      </c>
      <c r="B29195" s="20" t="s">
        <v>33748</v>
      </c>
      <c r="C29195" s="20" t="s">
        <v>10178</v>
      </c>
      <c r="D29195" s="20" t="s">
        <v>10246</v>
      </c>
      <c r="E29195" s="10">
        <v>1272022</v>
      </c>
      <c r="F29195" s="4" t="e">
        <f>IF(B29195=#REF!,"",B29195)</f>
        <v>#REF!</v>
      </c>
    </row>
    <row r="29196" spans="1:6" ht="15.75" customHeight="1">
      <c r="A29196" s="15" t="s">
        <v>11224</v>
      </c>
      <c r="B29196" s="15" t="s">
        <v>11224</v>
      </c>
      <c r="C29196" s="15" t="s">
        <v>10178</v>
      </c>
      <c r="D29196" s="15" t="s">
        <v>10214</v>
      </c>
      <c r="E29196" s="2">
        <v>1272025</v>
      </c>
      <c r="F29196" s="4" t="e">
        <f>IF(B29196=#REF!,"",B29196)</f>
        <v>#REF!</v>
      </c>
    </row>
    <row r="29197" spans="1:6" ht="15.75" customHeight="1">
      <c r="A29197" s="15" t="s">
        <v>24455</v>
      </c>
      <c r="B29197" s="15" t="s">
        <v>24455</v>
      </c>
      <c r="C29197" s="15" t="s">
        <v>24200</v>
      </c>
      <c r="D29197" s="15" t="s">
        <v>24249</v>
      </c>
      <c r="E29197" s="2">
        <v>3123104</v>
      </c>
      <c r="F29197" s="4" t="str">
        <f>IF(B29197=B29196,"",B29197)</f>
        <v>Erandio</v>
      </c>
    </row>
    <row r="29198" spans="1:6" ht="15.75" customHeight="1">
      <c r="A29198" s="16" t="str">
        <f ca="1">IFERROR(__xludf.DUMMYFUNCTION("GOOGLETRANSLATE(B30091,""en"",""pt"")"),"Éragny")</f>
        <v>Éragny</v>
      </c>
      <c r="B29198" s="20" t="s">
        <v>32607</v>
      </c>
      <c r="C29198" s="20" t="s">
        <v>7052</v>
      </c>
      <c r="D29198" s="20" t="s">
        <v>32531</v>
      </c>
      <c r="E29198" s="10">
        <v>3019952</v>
      </c>
      <c r="F29198" s="4" t="str">
        <f>IF(B29198=B29197,"",B29198)</f>
        <v>Éragny</v>
      </c>
    </row>
    <row r="29199" spans="1:6" ht="15.75" customHeight="1">
      <c r="A29199" s="16" t="s">
        <v>11222</v>
      </c>
      <c r="B29199" s="15" t="s">
        <v>11223</v>
      </c>
      <c r="C29199" s="16" t="s">
        <v>10178</v>
      </c>
      <c r="D29199" s="16" t="s">
        <v>10246</v>
      </c>
      <c r="E29199" s="2">
        <v>1272022</v>
      </c>
      <c r="F29199" s="4" t="e">
        <f>IF(B29199=#REF!,"",B29199)</f>
        <v>#REF!</v>
      </c>
    </row>
    <row r="29200" spans="1:6" ht="15.75" customHeight="1">
      <c r="A29200" s="15" t="s">
        <v>14802</v>
      </c>
      <c r="B29200" s="15" t="s">
        <v>14803</v>
      </c>
      <c r="C29200" s="15" t="s">
        <v>14773</v>
      </c>
      <c r="D29200" s="15" t="s">
        <v>14774</v>
      </c>
      <c r="E29200" s="2">
        <v>295174</v>
      </c>
      <c r="F29200" s="4" t="str">
        <f>IF(B29200=B29199,"",B29200)</f>
        <v>Er Reina</v>
      </c>
    </row>
    <row r="29201" spans="1:6" ht="15.75" customHeight="1">
      <c r="A29201" s="16" t="str">
        <f ca="1">IFERROR(__xludf.DUMMYFUNCTION("GOOGLETRANSLATE(B30092,""en"",""pt"")"),"Équeurdreville-Hainneville")</f>
        <v>Équeurdreville-Hainneville</v>
      </c>
      <c r="B29201" s="20" t="s">
        <v>32608</v>
      </c>
      <c r="C29201" s="20" t="s">
        <v>7052</v>
      </c>
      <c r="D29201" s="20" t="s">
        <v>7068</v>
      </c>
      <c r="E29201" s="10">
        <v>3019960</v>
      </c>
      <c r="F29201" s="4" t="str">
        <f>IF(B29201=B29200,"",B29201)</f>
        <v>Équeurdreville-Hainneville</v>
      </c>
    </row>
    <row r="29202" spans="1:6" ht="15.75" customHeight="1">
      <c r="A29202" s="16" t="str">
        <f ca="1">IFERROR(__xludf.DUMMYFUNCTION("GOOGLETRANSLATE(B34513,""en"",""pt"")"),"Eqbālīyeh")</f>
        <v>Eqbālīyeh</v>
      </c>
      <c r="B29202" s="20" t="s">
        <v>34248</v>
      </c>
      <c r="C29202" s="20" t="s">
        <v>14240</v>
      </c>
      <c r="D29202" s="20" t="s">
        <v>34125</v>
      </c>
      <c r="E29202" s="10">
        <v>406993</v>
      </c>
      <c r="F29202" s="4" t="str">
        <f>IF(B29202=B29201,"",B29202)</f>
        <v>Eqbālīyeh</v>
      </c>
    </row>
    <row r="29203" spans="1:6" ht="15.75" customHeight="1">
      <c r="A29203" s="16" t="s">
        <v>14371</v>
      </c>
      <c r="B29203" s="15" t="s">
        <v>14372</v>
      </c>
      <c r="C29203" s="16" t="s">
        <v>14240</v>
      </c>
      <c r="D29203" s="16" t="s">
        <v>14358</v>
      </c>
      <c r="E29203" s="2">
        <v>406993</v>
      </c>
      <c r="F29203" s="4" t="e">
        <f>IF(B29203=#REF!,"",B29203)</f>
        <v>#REF!</v>
      </c>
    </row>
    <row r="29204" spans="1:6" ht="15.75" customHeight="1">
      <c r="A29204" s="15" t="s">
        <v>31086</v>
      </c>
      <c r="B29204" s="15" t="s">
        <v>31086</v>
      </c>
      <c r="C29204" s="15" t="s">
        <v>31072</v>
      </c>
      <c r="D29204" s="15" t="s">
        <v>31085</v>
      </c>
      <c r="E29204" s="2">
        <v>1085510</v>
      </c>
      <c r="F29204" s="4" t="e">
        <f>IF(B29204=#REF!,"",B29204)</f>
        <v>#REF!</v>
      </c>
    </row>
    <row r="29205" spans="1:6" ht="15.75" customHeight="1">
      <c r="A29205" s="15" t="s">
        <v>8354</v>
      </c>
      <c r="B29205" s="15" t="s">
        <v>8354</v>
      </c>
      <c r="C29205" s="15" t="s">
        <v>8028</v>
      </c>
      <c r="D29205" s="15" t="s">
        <v>8031</v>
      </c>
      <c r="E29205" s="2">
        <v>2929831</v>
      </c>
      <c r="F29205" s="4" t="e">
        <f>IF(B29205=#REF!,"",B29205)</f>
        <v>#REF!</v>
      </c>
    </row>
    <row r="29206" spans="1:6" ht="15.75" customHeight="1">
      <c r="A29206" s="15" t="s">
        <v>971</v>
      </c>
      <c r="B29206" s="15" t="s">
        <v>971</v>
      </c>
      <c r="C29206" s="15" t="s">
        <v>885</v>
      </c>
      <c r="D29206" s="15" t="s">
        <v>827</v>
      </c>
      <c r="E29206" s="2">
        <v>2167279</v>
      </c>
      <c r="F29206" s="4" t="e">
        <f>IF(B29206=#REF!,"",B29206)</f>
        <v>#REF!</v>
      </c>
    </row>
    <row r="29207" spans="1:6" ht="15.75" customHeight="1">
      <c r="A29207" s="16" t="s">
        <v>8353</v>
      </c>
      <c r="B29207" s="15" t="s">
        <v>8353</v>
      </c>
      <c r="C29207" s="16" t="s">
        <v>8028</v>
      </c>
      <c r="D29207" s="16" t="s">
        <v>8177</v>
      </c>
      <c r="E29207" s="2">
        <v>2929865</v>
      </c>
      <c r="F29207" s="4" t="str">
        <f>IF(B29207=B29206,"",B29207)</f>
        <v>Eppelborn</v>
      </c>
    </row>
    <row r="29208" spans="1:6" ht="15.75" customHeight="1">
      <c r="A29208" s="16" t="str">
        <f ca="1">IFERROR(__xludf.DUMMYFUNCTION("GOOGLETRANSLATE(B30093,""en"",""pt"")"),"Épinay-sur-seine")</f>
        <v>Épinay-sur-seine</v>
      </c>
      <c r="B29208" s="20" t="s">
        <v>32609</v>
      </c>
      <c r="C29208" s="20" t="s">
        <v>7052</v>
      </c>
      <c r="D29208" s="20" t="s">
        <v>32531</v>
      </c>
      <c r="E29208" s="10">
        <v>3020020</v>
      </c>
      <c r="F29208" s="4" t="str">
        <f>IF(B29208=B29207,"",B29208)</f>
        <v>Épinay-sur-Seine</v>
      </c>
    </row>
    <row r="29209" spans="1:6" ht="15.75" customHeight="1">
      <c r="A29209" s="16" t="str">
        <f ca="1">IFERROR(__xludf.DUMMYFUNCTION("GOOGLETRANSLATE(B30094,""en"",""pt"")"),"Épinal")</f>
        <v>Épinal</v>
      </c>
      <c r="B29209" s="20" t="s">
        <v>32610</v>
      </c>
      <c r="C29209" s="20" t="s">
        <v>7052</v>
      </c>
      <c r="D29209" s="20" t="s">
        <v>7061</v>
      </c>
      <c r="E29209" s="10">
        <v>3020035</v>
      </c>
      <c r="F29209" s="4" t="str">
        <f>IF(B29209=B29208,"",B29209)</f>
        <v>Épinal</v>
      </c>
    </row>
    <row r="29210" spans="1:6" ht="15.75" customHeight="1">
      <c r="A29210" s="16" t="str">
        <f ca="1">IFERROR(__xludf.DUMMYFUNCTION("GOOGLETRANSLATE(B30095,""en"",""pt"")"),"Épernay")</f>
        <v>Épernay</v>
      </c>
      <c r="B29210" s="20" t="s">
        <v>32611</v>
      </c>
      <c r="C29210" s="20" t="s">
        <v>7052</v>
      </c>
      <c r="D29210" s="20" t="s">
        <v>7061</v>
      </c>
      <c r="E29210" s="10">
        <v>3020062</v>
      </c>
      <c r="F29210" s="4" t="e">
        <f>IF(B29210=#REF!,"",B29210)</f>
        <v>#REF!</v>
      </c>
    </row>
    <row r="29211" spans="1:6" ht="15.75" customHeight="1">
      <c r="A29211" s="15" t="s">
        <v>18962</v>
      </c>
      <c r="B29211" s="15" t="s">
        <v>18963</v>
      </c>
      <c r="C29211" s="15" t="s">
        <v>18862</v>
      </c>
      <c r="D29211" s="15" t="s">
        <v>18865</v>
      </c>
      <c r="E29211" s="2">
        <v>2756059</v>
      </c>
      <c r="F29211" s="4" t="e">
        <f>IF(B29211=#REF!,"",B29211)</f>
        <v>#REF!</v>
      </c>
    </row>
    <row r="29212" spans="1:6" ht="15.75" customHeight="1">
      <c r="A29212" s="15" t="s">
        <v>15860</v>
      </c>
      <c r="B29212" s="15" t="s">
        <v>15860</v>
      </c>
      <c r="C29212" s="15" t="s">
        <v>15704</v>
      </c>
      <c r="D29212" s="15" t="s">
        <v>15806</v>
      </c>
      <c r="E29212" s="2">
        <v>1864180</v>
      </c>
      <c r="F29212" s="4" t="e">
        <f>IF(B29212=#REF!,"",B29212)</f>
        <v>#REF!</v>
      </c>
    </row>
    <row r="29213" spans="1:6" ht="15.75" customHeight="1">
      <c r="A29213" s="15" t="s">
        <v>5458</v>
      </c>
      <c r="B29213" s="15" t="s">
        <v>5458</v>
      </c>
      <c r="C29213" s="15" t="s">
        <v>5348</v>
      </c>
      <c r="D29213" s="15" t="s">
        <v>5362</v>
      </c>
      <c r="E29213" s="2">
        <v>3682631</v>
      </c>
      <c r="F29213" s="4" t="e">
        <f>IF(B29213=#REF!,"",B29213)</f>
        <v>#REF!</v>
      </c>
    </row>
    <row r="29214" spans="1:6" ht="15.75" customHeight="1">
      <c r="A29214" s="16" t="s">
        <v>19392</v>
      </c>
      <c r="B29214" s="15" t="s">
        <v>19393</v>
      </c>
      <c r="C29214" s="16" t="s">
        <v>19294</v>
      </c>
      <c r="D29214" s="16" t="s">
        <v>19308</v>
      </c>
      <c r="E29214" s="2">
        <v>2343270</v>
      </c>
      <c r="F29214" s="4" t="e">
        <f>IF(B29214=#REF!,"",B29214)</f>
        <v>#REF!</v>
      </c>
    </row>
    <row r="29215" spans="1:6" ht="15.75" customHeight="1">
      <c r="A29215" s="16" t="s">
        <v>19390</v>
      </c>
      <c r="B29215" s="15" t="s">
        <v>19391</v>
      </c>
      <c r="C29215" s="16" t="s">
        <v>19294</v>
      </c>
      <c r="D29215" s="16" t="s">
        <v>19312</v>
      </c>
      <c r="E29215" s="2">
        <v>2343273</v>
      </c>
      <c r="F29215" s="4" t="e">
        <f>IF(B29215=#REF!,"",B29215)</f>
        <v>#REF!</v>
      </c>
    </row>
    <row r="29216" spans="1:6" ht="15.75" customHeight="1">
      <c r="A29216" s="15" t="s">
        <v>19312</v>
      </c>
      <c r="B29216" s="15" t="s">
        <v>19312</v>
      </c>
      <c r="C29216" s="15" t="s">
        <v>19294</v>
      </c>
      <c r="D29216" s="15" t="s">
        <v>19312</v>
      </c>
      <c r="E29216" s="2">
        <v>2343279</v>
      </c>
      <c r="F29216" s="4" t="e">
        <f>IF(B29216=#REF!,"",B29216)</f>
        <v>#REF!</v>
      </c>
    </row>
    <row r="29217" spans="1:6" ht="15.75" customHeight="1">
      <c r="A29217" s="16" t="s">
        <v>21657</v>
      </c>
      <c r="B29217" s="15" t="s">
        <v>21657</v>
      </c>
      <c r="C29217" s="16" t="s">
        <v>21606</v>
      </c>
      <c r="D29217" s="16" t="s">
        <v>3428</v>
      </c>
      <c r="E29217" s="2">
        <v>2268575</v>
      </c>
      <c r="F29217" s="4" t="e">
        <f>IF(B29217=#REF!,"",B29217)</f>
        <v>#REF!</v>
      </c>
    </row>
    <row r="29218" spans="1:6" ht="15.75" customHeight="1">
      <c r="A29218" s="16" t="s">
        <v>611</v>
      </c>
      <c r="B29218" s="15" t="s">
        <v>611</v>
      </c>
      <c r="C29218" s="16" t="s">
        <v>1905</v>
      </c>
      <c r="D29218" s="16" t="s">
        <v>1947</v>
      </c>
      <c r="E29218" s="2">
        <v>3464100</v>
      </c>
      <c r="F29218" s="4" t="e">
        <f>IF(B29218=#REF!,"",B29218)</f>
        <v>#REF!</v>
      </c>
    </row>
    <row r="29219" spans="1:6" ht="15.75" customHeight="1">
      <c r="A29219" s="16" t="s">
        <v>28575</v>
      </c>
      <c r="B29219" s="15" t="s">
        <v>28576</v>
      </c>
      <c r="C29219" s="16" t="s">
        <v>27788</v>
      </c>
      <c r="D29219" s="16" t="s">
        <v>28023</v>
      </c>
      <c r="E29219" s="2">
        <v>4060791</v>
      </c>
      <c r="F29219" s="4" t="e">
        <f>IF(B29219=#REF!,"",B29219)</f>
        <v>#REF!</v>
      </c>
    </row>
    <row r="29220" spans="1:6" ht="15.75" customHeight="1">
      <c r="A29220" s="15" t="s">
        <v>26829</v>
      </c>
      <c r="B29220" s="15" t="s">
        <v>26829</v>
      </c>
      <c r="C29220" s="15" t="s">
        <v>26820</v>
      </c>
      <c r="D29220" s="15" t="s">
        <v>17414</v>
      </c>
      <c r="E29220" s="2">
        <v>233508</v>
      </c>
      <c r="F29220" s="4" t="e">
        <f>IF(B29220=#REF!,"",B29220)</f>
        <v>#REF!</v>
      </c>
    </row>
    <row r="29221" spans="1:6" ht="15.75" customHeight="1">
      <c r="A29221" s="15" t="s">
        <v>28574</v>
      </c>
      <c r="B29221" s="15" t="s">
        <v>28574</v>
      </c>
      <c r="C29221" s="15" t="s">
        <v>27788</v>
      </c>
      <c r="D29221" s="15" t="s">
        <v>5468</v>
      </c>
      <c r="E29221" s="2">
        <v>4154489</v>
      </c>
      <c r="F29221" s="4" t="e">
        <f>IF(B29221=#REF!,"",B29221)</f>
        <v>#REF!</v>
      </c>
    </row>
    <row r="29222" spans="1:6" ht="15.75" customHeight="1">
      <c r="A29222" s="15" t="s">
        <v>4654</v>
      </c>
      <c r="B29222" s="15" t="s">
        <v>4654</v>
      </c>
      <c r="C29222" s="15" t="s">
        <v>4487</v>
      </c>
      <c r="D29222" s="15" t="s">
        <v>4499</v>
      </c>
      <c r="E29222" s="2">
        <v>1811720</v>
      </c>
      <c r="F29222" s="4" t="e">
        <f>IF(B29222=#REF!,"",B29222)</f>
        <v>#REF!</v>
      </c>
    </row>
    <row r="29223" spans="1:6" ht="15.75" customHeight="1">
      <c r="A29223" s="15" t="s">
        <v>17931</v>
      </c>
      <c r="B29223" s="15" t="s">
        <v>17931</v>
      </c>
      <c r="C29223" s="15" t="s">
        <v>17707</v>
      </c>
      <c r="D29223" s="15" t="s">
        <v>17932</v>
      </c>
      <c r="E29223" s="2">
        <v>4006702</v>
      </c>
      <c r="F29223" s="4" t="e">
        <f>IF(B29223=#REF!,"",B29223)</f>
        <v>#REF!</v>
      </c>
    </row>
    <row r="29224" spans="1:6" ht="15.75" customHeight="1">
      <c r="A29224" s="15" t="s">
        <v>18961</v>
      </c>
      <c r="B29224" s="15" t="s">
        <v>18961</v>
      </c>
      <c r="C29224" s="15" t="s">
        <v>18862</v>
      </c>
      <c r="D29224" s="15" t="s">
        <v>18871</v>
      </c>
      <c r="E29224" s="2">
        <v>2756071</v>
      </c>
      <c r="F29224" s="4" t="e">
        <f>IF(B29224=#REF!,"",B29224)</f>
        <v>#REF!</v>
      </c>
    </row>
    <row r="29225" spans="1:6" ht="15.75" customHeight="1">
      <c r="A29225" s="15" t="s">
        <v>14746</v>
      </c>
      <c r="B29225" s="15" t="s">
        <v>14746</v>
      </c>
      <c r="C29225" s="15" t="s">
        <v>14728</v>
      </c>
      <c r="D29225" s="15" t="s">
        <v>8868</v>
      </c>
      <c r="E29225" s="2">
        <v>2964405</v>
      </c>
      <c r="F29225" s="4" t="e">
        <f>IF(B29225=#REF!,"",B29225)</f>
        <v>#REF!</v>
      </c>
    </row>
    <row r="29226" spans="1:6" ht="15.75" customHeight="1">
      <c r="A29226" s="16" t="s">
        <v>8352</v>
      </c>
      <c r="B29226" s="15" t="s">
        <v>8352</v>
      </c>
      <c r="C29226" s="16" t="s">
        <v>8028</v>
      </c>
      <c r="D29226" s="16" t="s">
        <v>8029</v>
      </c>
      <c r="E29226" s="2">
        <v>2930030</v>
      </c>
      <c r="F29226" s="4" t="e">
        <f>IF(B29226=#REF!,"",B29226)</f>
        <v>#REF!</v>
      </c>
    </row>
    <row r="29227" spans="1:6" ht="15.75" customHeight="1">
      <c r="A29227" s="16" t="s">
        <v>8351</v>
      </c>
      <c r="B29227" s="15" t="s">
        <v>8351</v>
      </c>
      <c r="C29227" s="16" t="s">
        <v>8028</v>
      </c>
      <c r="D29227" s="16" t="s">
        <v>8029</v>
      </c>
      <c r="E29227" s="2">
        <v>2930043</v>
      </c>
      <c r="F29227" s="4" t="e">
        <f>IF(B29227=#REF!,"",B29227)</f>
        <v>#REF!</v>
      </c>
    </row>
    <row r="29228" spans="1:6" ht="15.75" customHeight="1">
      <c r="A29228" s="15" t="s">
        <v>15124</v>
      </c>
      <c r="B29228" s="15" t="s">
        <v>15124</v>
      </c>
      <c r="C29228" s="15" t="s">
        <v>14891</v>
      </c>
      <c r="D29228" s="15" t="s">
        <v>14899</v>
      </c>
      <c r="E29228" s="2">
        <v>2524819</v>
      </c>
      <c r="F29228" s="4" t="str">
        <f>IF(B29228=B29227,"",B29228)</f>
        <v>Enna</v>
      </c>
    </row>
    <row r="29229" spans="1:6" ht="15.75" customHeight="1">
      <c r="A29229" s="16" t="str">
        <f ca="1">IFERROR(__xludf.DUMMYFUNCTION("GOOGLETRANSLATE(B41199,""en"",""pt"")"),"Enköping")</f>
        <v>Enköping</v>
      </c>
      <c r="B29229" s="20" t="s">
        <v>35659</v>
      </c>
      <c r="C29229" s="20" t="s">
        <v>25077</v>
      </c>
      <c r="D29229" s="20" t="s">
        <v>25111</v>
      </c>
      <c r="E29229" s="10">
        <v>2716166</v>
      </c>
      <c r="F29229" s="4" t="e">
        <f>IF(B29229=#REF!,"",B29229)</f>
        <v>#REF!</v>
      </c>
    </row>
    <row r="29230" spans="1:6" ht="15.75" customHeight="1">
      <c r="A29230" s="16" t="s">
        <v>18960</v>
      </c>
      <c r="B29230" s="15" t="s">
        <v>18960</v>
      </c>
      <c r="C29230" s="16" t="s">
        <v>18862</v>
      </c>
      <c r="D29230" s="16" t="s">
        <v>18863</v>
      </c>
      <c r="E29230" s="2">
        <v>2756077</v>
      </c>
      <c r="F29230" s="4" t="str">
        <f>IF(B29230=B29229,"",B29230)</f>
        <v>Enkhuizen</v>
      </c>
    </row>
    <row r="29231" spans="1:6" ht="15.75" customHeight="1">
      <c r="A29231" s="15" t="s">
        <v>25109</v>
      </c>
      <c r="B29231" s="15" t="s">
        <v>25110</v>
      </c>
      <c r="C29231" s="15" t="s">
        <v>25077</v>
      </c>
      <c r="D29231" s="15" t="s">
        <v>25111</v>
      </c>
      <c r="E29231" s="2">
        <v>2716166</v>
      </c>
      <c r="F29231" s="4" t="e">
        <f>IF(B29231=#REF!,"",B29231)</f>
        <v>#REF!</v>
      </c>
    </row>
    <row r="29232" spans="1:6" ht="15.75" customHeight="1">
      <c r="A29232" s="15" t="s">
        <v>24058</v>
      </c>
      <c r="B29232" s="15" t="s">
        <v>24058</v>
      </c>
      <c r="C29232" s="15" t="s">
        <v>24024</v>
      </c>
      <c r="D29232" s="15" t="s">
        <v>24025</v>
      </c>
      <c r="E29232" s="2">
        <v>1832215</v>
      </c>
      <c r="F29232" s="4" t="e">
        <f>IF(B29232=#REF!,"",B29232)</f>
        <v>#REF!</v>
      </c>
    </row>
    <row r="29233" spans="1:6" ht="15.75" customHeight="1">
      <c r="A29233" s="15" t="s">
        <v>28573</v>
      </c>
      <c r="B29233" s="15" t="s">
        <v>28573</v>
      </c>
      <c r="C29233" s="15" t="s">
        <v>27788</v>
      </c>
      <c r="D29233" s="15" t="s">
        <v>27797</v>
      </c>
      <c r="E29233" s="2">
        <v>4535961</v>
      </c>
      <c r="F29233" s="4" t="e">
        <f>IF(B29233=#REF!,"",B29233)</f>
        <v>#REF!</v>
      </c>
    </row>
    <row r="29234" spans="1:6" ht="15.75" customHeight="1">
      <c r="A29234" s="16" t="s">
        <v>28572</v>
      </c>
      <c r="B29234" s="15" t="s">
        <v>28572</v>
      </c>
      <c r="C29234" s="16" t="s">
        <v>27788</v>
      </c>
      <c r="D29234" s="16" t="s">
        <v>27905</v>
      </c>
      <c r="E29234" s="2">
        <v>5097672</v>
      </c>
      <c r="F29234" s="4" t="e">
        <f>IF(B29234=#REF!,"",B29234)</f>
        <v>#REF!</v>
      </c>
    </row>
    <row r="29235" spans="1:6" ht="15.75" customHeight="1">
      <c r="A29235" s="15" t="s">
        <v>8350</v>
      </c>
      <c r="B29235" s="15" t="s">
        <v>8350</v>
      </c>
      <c r="C29235" s="15" t="s">
        <v>8028</v>
      </c>
      <c r="D29235" s="15" t="s">
        <v>8029</v>
      </c>
      <c r="E29235" s="2">
        <v>2930182</v>
      </c>
      <c r="F29235" s="4" t="e">
        <f>IF(B29235=#REF!,"",B29235)</f>
        <v>#REF!</v>
      </c>
    </row>
    <row r="29236" spans="1:6" ht="15.75" customHeight="1">
      <c r="A29236" s="16" t="s">
        <v>8349</v>
      </c>
      <c r="B29236" s="15" t="s">
        <v>8349</v>
      </c>
      <c r="C29236" s="16" t="s">
        <v>8028</v>
      </c>
      <c r="D29236" s="16" t="s">
        <v>8029</v>
      </c>
      <c r="E29236" s="2">
        <v>2930216</v>
      </c>
      <c r="F29236" s="4" t="str">
        <f>IF(B29236=B29235,"",B29236)</f>
        <v>Engelskirchen</v>
      </c>
    </row>
    <row r="29237" spans="1:6" ht="15.75" customHeight="1">
      <c r="A29237" s="16" t="s">
        <v>22370</v>
      </c>
      <c r="B29237" s="15" t="s">
        <v>22371</v>
      </c>
      <c r="C29237" s="16" t="s">
        <v>22070</v>
      </c>
      <c r="D29237" s="16" t="s">
        <v>22171</v>
      </c>
      <c r="E29237" s="2">
        <v>563464</v>
      </c>
      <c r="F29237" s="4" t="str">
        <f>IF(B29237=B29236,"",B29237)</f>
        <v>Engelâ€™s</v>
      </c>
    </row>
    <row r="29238" spans="1:6" ht="15.75" customHeight="1">
      <c r="A29238" s="16" t="str">
        <f ca="1">IFERROR(__xludf.DUMMYFUNCTION("GOOGLETRANSLATE(B40550,""en"",""pt"")"),"Engel")</f>
        <v>Engel</v>
      </c>
      <c r="B29238" s="20" t="s">
        <v>35514</v>
      </c>
      <c r="C29238" s="20" t="s">
        <v>22070</v>
      </c>
      <c r="D29238" s="20" t="s">
        <v>22171</v>
      </c>
      <c r="E29238" s="10">
        <v>563464</v>
      </c>
      <c r="F29238" s="4" t="e">
        <f>IF(B29238=#REF!,"",B29238)</f>
        <v>#REF!</v>
      </c>
    </row>
    <row r="29239" spans="1:6" ht="15.75" customHeight="1">
      <c r="A29239" s="15" t="s">
        <v>970</v>
      </c>
      <c r="B29239" s="15" t="s">
        <v>970</v>
      </c>
      <c r="C29239" s="15" t="s">
        <v>885</v>
      </c>
      <c r="D29239" s="15" t="s">
        <v>891</v>
      </c>
      <c r="E29239" s="2">
        <v>2167312</v>
      </c>
      <c r="F29239" s="4" t="e">
        <f>IF(B29239=#REF!,"",B29239)</f>
        <v>#REF!</v>
      </c>
    </row>
    <row r="29240" spans="1:6" ht="15.75" customHeight="1">
      <c r="A29240" s="16" t="s">
        <v>26960</v>
      </c>
      <c r="B29240" s="15" t="s">
        <v>26960</v>
      </c>
      <c r="C29240" s="16" t="s">
        <v>26870</v>
      </c>
      <c r="D29240" s="16" t="s">
        <v>26898</v>
      </c>
      <c r="E29240" s="2">
        <v>709276</v>
      </c>
      <c r="F29240" s="4" t="e">
        <f>IF(B29240=#REF!,"",B29240)</f>
        <v>#REF!</v>
      </c>
    </row>
    <row r="29241" spans="1:6" ht="15.75" customHeight="1">
      <c r="A29241" s="15" t="s">
        <v>22367</v>
      </c>
      <c r="B29241" s="15" t="s">
        <v>22368</v>
      </c>
      <c r="C29241" s="15" t="s">
        <v>22070</v>
      </c>
      <c r="D29241" s="15" t="s">
        <v>22369</v>
      </c>
      <c r="E29241" s="2">
        <v>563472</v>
      </c>
      <c r="F29241" s="4" t="e">
        <f>IF(B29241=#REF!,"",B29241)</f>
        <v>#REF!</v>
      </c>
    </row>
    <row r="29242" spans="1:6" ht="15.75" customHeight="1">
      <c r="A29242" s="16" t="s">
        <v>968</v>
      </c>
      <c r="B29242" s="15" t="s">
        <v>969</v>
      </c>
      <c r="C29242" s="16" t="s">
        <v>885</v>
      </c>
      <c r="D29242" s="16" t="s">
        <v>827</v>
      </c>
      <c r="E29242" s="2">
        <v>8347325</v>
      </c>
      <c r="F29242" s="4" t="e">
        <f>IF(B29242=#REF!,"",B29242)</f>
        <v>#REF!</v>
      </c>
    </row>
    <row r="29243" spans="1:6" ht="15.75" customHeight="1">
      <c r="A29243" s="15" t="s">
        <v>13916</v>
      </c>
      <c r="B29243" s="15" t="s">
        <v>13916</v>
      </c>
      <c r="C29243" s="15" t="s">
        <v>13800</v>
      </c>
      <c r="D29243" s="15" t="s">
        <v>13814</v>
      </c>
      <c r="E29243" s="2">
        <v>1644932</v>
      </c>
      <c r="F29243" s="4" t="e">
        <f>IF(B29243=#REF!,"",B29243)</f>
        <v>#REF!</v>
      </c>
    </row>
    <row r="29244" spans="1:6" ht="15.75" customHeight="1">
      <c r="A29244" s="16" t="s">
        <v>2434</v>
      </c>
      <c r="B29244" s="15" t="s">
        <v>2435</v>
      </c>
      <c r="C29244" s="16" t="s">
        <v>1905</v>
      </c>
      <c r="D29244" s="16" t="s">
        <v>1951</v>
      </c>
      <c r="E29244" s="2">
        <v>3464255</v>
      </c>
      <c r="F29244" s="4" t="e">
        <f>IF(B29244=#REF!,"",B29244)</f>
        <v>#REF!</v>
      </c>
    </row>
    <row r="29245" spans="1:6" ht="15.75" customHeight="1">
      <c r="A29245" s="16" t="s">
        <v>5833</v>
      </c>
      <c r="B29245" s="15" t="s">
        <v>5833</v>
      </c>
      <c r="C29245" s="16" t="s">
        <v>5764</v>
      </c>
      <c r="D29245" s="16" t="s">
        <v>5803</v>
      </c>
      <c r="E29245" s="2">
        <v>3559416</v>
      </c>
      <c r="F29245" s="4" t="e">
        <f>IF(B29245=#REF!,"",B29245)</f>
        <v>#REF!</v>
      </c>
    </row>
    <row r="29246" spans="1:6" ht="15.75" customHeight="1">
      <c r="A29246" s="15" t="s">
        <v>28571</v>
      </c>
      <c r="B29246" s="15" t="s">
        <v>28571</v>
      </c>
      <c r="C29246" s="15" t="s">
        <v>27788</v>
      </c>
      <c r="D29246" s="15" t="s">
        <v>27801</v>
      </c>
      <c r="E29246" s="2">
        <v>5346646</v>
      </c>
      <c r="F29246" s="4" t="e">
        <f>IF(B29246=#REF!,"",B29246)</f>
        <v>#REF!</v>
      </c>
    </row>
    <row r="29247" spans="1:6" ht="15.75" customHeight="1">
      <c r="A29247" s="15" t="s">
        <v>4653</v>
      </c>
      <c r="B29247" s="15" t="s">
        <v>4653</v>
      </c>
      <c r="C29247" s="15" t="s">
        <v>4487</v>
      </c>
      <c r="D29247" s="15" t="s">
        <v>4492</v>
      </c>
      <c r="E29247" s="2">
        <v>1811729</v>
      </c>
      <c r="F29247" s="4" t="e">
        <f>IF(B29247=#REF!,"",B29247)</f>
        <v>#REF!</v>
      </c>
    </row>
    <row r="29248" spans="1:6" ht="15.75" customHeight="1">
      <c r="A29248" s="16" t="s">
        <v>28569</v>
      </c>
      <c r="B29248" s="15" t="s">
        <v>28570</v>
      </c>
      <c r="C29248" s="16" t="s">
        <v>27788</v>
      </c>
      <c r="D29248" s="16" t="s">
        <v>27818</v>
      </c>
      <c r="E29248" s="2">
        <v>7839240</v>
      </c>
      <c r="F29248" s="4" t="str">
        <f>IF(B29248=B29247,"",B29248)</f>
        <v>Enchanted Hills</v>
      </c>
    </row>
    <row r="29249" spans="1:6" ht="15.75" customHeight="1">
      <c r="A29249" s="16" t="str">
        <f ca="1">IFERROR(__xludf.DUMMYFUNCTION("GOOGLETRANSLATE(B37299,""en"",""pt"")"),"Encarnación de díaz")</f>
        <v>Encarnación de díaz</v>
      </c>
      <c r="B29249" s="20" t="s">
        <v>34769</v>
      </c>
      <c r="C29249" s="20" t="s">
        <v>17707</v>
      </c>
      <c r="D29249" s="20" t="s">
        <v>17746</v>
      </c>
      <c r="E29249" s="10">
        <v>4006783</v>
      </c>
      <c r="F29249" s="4" t="str">
        <f>IF(B29249=B29248,"",B29249)</f>
        <v>Encarnación de Díaz</v>
      </c>
    </row>
    <row r="29250" spans="1:6" ht="15.75" customHeight="1">
      <c r="A29250" s="16" t="str">
        <f ca="1">IFERROR(__xludf.DUMMYFUNCTION("GOOGLETRANSLATE(B39693,""en"",""pt"")"),"Encarnación")</f>
        <v>Encarnación</v>
      </c>
      <c r="B29250" s="20" t="s">
        <v>35317</v>
      </c>
      <c r="C29250" s="20" t="s">
        <v>20433</v>
      </c>
      <c r="D29250" s="20" t="s">
        <v>35318</v>
      </c>
      <c r="E29250" s="10">
        <v>3438735</v>
      </c>
      <c r="F29250" s="4" t="str">
        <f>IF(B29250=B29249,"",B29250)</f>
        <v>Encarnación</v>
      </c>
    </row>
    <row r="29251" spans="1:6" ht="15.75" customHeight="1">
      <c r="A29251" s="16" t="s">
        <v>17929</v>
      </c>
      <c r="B29251" s="15" t="s">
        <v>17930</v>
      </c>
      <c r="C29251" s="16" t="s">
        <v>17707</v>
      </c>
      <c r="D29251" s="16" t="s">
        <v>17746</v>
      </c>
      <c r="E29251" s="2">
        <v>4006783</v>
      </c>
      <c r="F29251" s="4" t="str">
        <f>IF(B29251=B29250,"",B29251)</f>
        <v>EncarnaciÃ³n de DÃ­az</v>
      </c>
    </row>
    <row r="29252" spans="1:6" ht="15.75" customHeight="1">
      <c r="A29252" s="16" t="s">
        <v>20447</v>
      </c>
      <c r="B29252" s="15" t="s">
        <v>20448</v>
      </c>
      <c r="C29252" s="16" t="s">
        <v>20433</v>
      </c>
      <c r="D29252" s="16" t="s">
        <v>20449</v>
      </c>
      <c r="E29252" s="2">
        <v>3438735</v>
      </c>
      <c r="F29252" s="4" t="e">
        <f>IF(B29252=#REF!,"",B29252)</f>
        <v>#REF!</v>
      </c>
    </row>
    <row r="29253" spans="1:6" ht="15.75" customHeight="1">
      <c r="A29253" s="16" t="s">
        <v>2433</v>
      </c>
      <c r="B29253" s="15" t="s">
        <v>2433</v>
      </c>
      <c r="C29253" s="16" t="s">
        <v>1905</v>
      </c>
      <c r="D29253" s="16" t="s">
        <v>1951</v>
      </c>
      <c r="E29253" s="2">
        <v>3464274</v>
      </c>
      <c r="F29253" s="4" t="str">
        <f>IF(B29253=B29252,"",B29253)</f>
        <v>Encantado</v>
      </c>
    </row>
    <row r="29254" spans="1:6" ht="15.75" customHeight="1">
      <c r="A29254" s="16" t="str">
        <f ca="1">IFERROR(__xludf.DUMMYFUNCTION("GOOGLETRANSLATE(B36286,""en"",""pt"")"),"En nâqoûra")</f>
        <v>En nâqoûra</v>
      </c>
      <c r="B29254" s="20" t="s">
        <v>34519</v>
      </c>
      <c r="C29254" s="20" t="s">
        <v>17008</v>
      </c>
      <c r="D29254" s="20" t="s">
        <v>17020</v>
      </c>
      <c r="E29254" s="10">
        <v>278832</v>
      </c>
      <c r="F29254" s="4" t="str">
        <f>IF(B29254=B29253,"",B29254)</f>
        <v>En Nâqoûra</v>
      </c>
    </row>
    <row r="29255" spans="1:6" ht="15.75" customHeight="1">
      <c r="A29255" s="15" t="s">
        <v>17018</v>
      </c>
      <c r="B29255" s="15" t="s">
        <v>17019</v>
      </c>
      <c r="C29255" s="15" t="s">
        <v>17008</v>
      </c>
      <c r="D29255" s="15" t="s">
        <v>17020</v>
      </c>
      <c r="E29255" s="2">
        <v>278832</v>
      </c>
      <c r="F29255" s="4" t="e">
        <f>IF(B29255=#REF!,"",B29255)</f>
        <v>#REF!</v>
      </c>
    </row>
    <row r="29256" spans="1:6" ht="15.75" customHeight="1">
      <c r="A29256" s="16" t="s">
        <v>19388</v>
      </c>
      <c r="B29256" s="15" t="s">
        <v>19389</v>
      </c>
      <c r="C29256" s="16" t="s">
        <v>19294</v>
      </c>
      <c r="D29256" s="16" t="s">
        <v>19304</v>
      </c>
      <c r="E29256" s="2">
        <v>2343299</v>
      </c>
      <c r="F29256" s="4" t="e">
        <f>IF(B29256=#REF!,"",B29256)</f>
        <v>#REF!</v>
      </c>
    </row>
    <row r="29257" spans="1:6" ht="15.75" customHeight="1">
      <c r="A29257" s="16" t="s">
        <v>8348</v>
      </c>
      <c r="B29257" s="15" t="s">
        <v>8348</v>
      </c>
      <c r="C29257" s="16" t="s">
        <v>8028</v>
      </c>
      <c r="D29257" s="16" t="s">
        <v>8029</v>
      </c>
      <c r="E29257" s="2">
        <v>2930449</v>
      </c>
      <c r="F29257" s="4" t="e">
        <f>IF(B29257=#REF!,"",B29257)</f>
        <v>#REF!</v>
      </c>
    </row>
    <row r="29258" spans="1:6" ht="15.75" customHeight="1">
      <c r="A29258" s="15" t="s">
        <v>28568</v>
      </c>
      <c r="B29258" s="15" t="s">
        <v>28568</v>
      </c>
      <c r="C29258" s="15" t="s">
        <v>27788</v>
      </c>
      <c r="D29258" s="15" t="s">
        <v>28419</v>
      </c>
      <c r="E29258" s="2">
        <v>4271086</v>
      </c>
      <c r="F29258" s="4" t="e">
        <f>IF(B29258=#REF!,"",B29258)</f>
        <v>#REF!</v>
      </c>
    </row>
    <row r="29259" spans="1:6" ht="15.75" customHeight="1">
      <c r="A29259" s="15" t="s">
        <v>15123</v>
      </c>
      <c r="B29259" s="15" t="s">
        <v>15123</v>
      </c>
      <c r="C29259" s="15" t="s">
        <v>14891</v>
      </c>
      <c r="D29259" s="15" t="s">
        <v>14943</v>
      </c>
      <c r="E29259" s="2">
        <v>3177400</v>
      </c>
      <c r="F29259" s="4" t="e">
        <f>IF(B29259=#REF!,"",B29259)</f>
        <v>#REF!</v>
      </c>
    </row>
    <row r="29260" spans="1:6" ht="15.75" customHeight="1">
      <c r="A29260" s="16" t="s">
        <v>23893</v>
      </c>
      <c r="B29260" s="15" t="s">
        <v>23893</v>
      </c>
      <c r="C29260" s="16" t="s">
        <v>23842</v>
      </c>
      <c r="D29260" s="16" t="s">
        <v>23851</v>
      </c>
      <c r="E29260" s="2">
        <v>1005544</v>
      </c>
      <c r="F29260" s="4" t="e">
        <f>IF(B29260=#REF!,"",B29260)</f>
        <v>#REF!</v>
      </c>
    </row>
    <row r="29261" spans="1:6" ht="15.75" customHeight="1">
      <c r="A29261" s="15" t="s">
        <v>17928</v>
      </c>
      <c r="B29261" s="15" t="s">
        <v>17928</v>
      </c>
      <c r="C29261" s="15" t="s">
        <v>17707</v>
      </c>
      <c r="D29261" s="15" t="s">
        <v>17732</v>
      </c>
      <c r="E29261" s="2">
        <v>4006806</v>
      </c>
      <c r="F29261" s="4" t="str">
        <f>IF(B29261=B29260,"",B29261)</f>
        <v>Empalme</v>
      </c>
    </row>
    <row r="29262" spans="1:6" ht="15.75" customHeight="1">
      <c r="A29262" s="16" t="str">
        <f ca="1">IFERROR(__xludf.DUMMYFUNCTION("GOOGLETRANSLATE(B33532,""en"",""pt"")"),"Emmiganūr")</f>
        <v>Emmiganūr</v>
      </c>
      <c r="B29262" s="20" t="s">
        <v>33749</v>
      </c>
      <c r="C29262" s="20" t="s">
        <v>10178</v>
      </c>
      <c r="D29262" s="20" t="s">
        <v>10190</v>
      </c>
      <c r="E29262" s="10">
        <v>1272045</v>
      </c>
      <c r="F29262" s="4" t="str">
        <f>IF(B29262=B29261,"",B29262)</f>
        <v>Emmiganūr</v>
      </c>
    </row>
    <row r="29263" spans="1:6" ht="15.75" customHeight="1">
      <c r="A29263" s="16" t="s">
        <v>11220</v>
      </c>
      <c r="B29263" s="15" t="s">
        <v>11221</v>
      </c>
      <c r="C29263" s="16" t="s">
        <v>10178</v>
      </c>
      <c r="D29263" s="16" t="s">
        <v>10190</v>
      </c>
      <c r="E29263" s="2">
        <v>1272045</v>
      </c>
      <c r="F29263" s="4" t="e">
        <f>IF(B29263=#REF!,"",B29263)</f>
        <v>#REF!</v>
      </c>
    </row>
    <row r="29264" spans="1:6" ht="15.75" customHeight="1">
      <c r="A29264" s="16" t="s">
        <v>8347</v>
      </c>
      <c r="B29264" s="15" t="s">
        <v>8347</v>
      </c>
      <c r="C29264" s="16" t="s">
        <v>8028</v>
      </c>
      <c r="D29264" s="16" t="s">
        <v>8029</v>
      </c>
      <c r="E29264" s="2">
        <v>2930509</v>
      </c>
      <c r="F29264" s="4" t="e">
        <f>IF(B29264=#REF!,"",B29264)</f>
        <v>#REF!</v>
      </c>
    </row>
    <row r="29265" spans="1:6" ht="15.75" customHeight="1">
      <c r="A29265" s="16" t="s">
        <v>8346</v>
      </c>
      <c r="B29265" s="15" t="s">
        <v>8346</v>
      </c>
      <c r="C29265" s="16" t="s">
        <v>8028</v>
      </c>
      <c r="D29265" s="16" t="s">
        <v>8031</v>
      </c>
      <c r="E29265" s="2">
        <v>2930523</v>
      </c>
      <c r="F29265" s="4" t="e">
        <f>IF(B29265=#REF!,"",B29265)</f>
        <v>#REF!</v>
      </c>
    </row>
    <row r="29266" spans="1:6" ht="15.75" customHeight="1">
      <c r="A29266" s="15" t="s">
        <v>18959</v>
      </c>
      <c r="B29266" s="15" t="s">
        <v>18959</v>
      </c>
      <c r="C29266" s="15" t="s">
        <v>18862</v>
      </c>
      <c r="D29266" s="15" t="s">
        <v>18883</v>
      </c>
      <c r="E29266" s="2">
        <v>2756136</v>
      </c>
      <c r="F29266" s="4" t="e">
        <f>IF(B29266=#REF!,"",B29266)</f>
        <v>#REF!</v>
      </c>
    </row>
    <row r="29267" spans="1:6" ht="15.75" customHeight="1">
      <c r="A29267" s="16" t="s">
        <v>18958</v>
      </c>
      <c r="B29267" s="15" t="s">
        <v>18958</v>
      </c>
      <c r="C29267" s="16" t="s">
        <v>18862</v>
      </c>
      <c r="D29267" s="16" t="s">
        <v>18873</v>
      </c>
      <c r="E29267" s="2">
        <v>2756139</v>
      </c>
      <c r="F29267" s="4" t="str">
        <f>IF(B29267=B29266,"",B29267)</f>
        <v>Emmeloord</v>
      </c>
    </row>
    <row r="29268" spans="1:6" ht="15.75" customHeight="1">
      <c r="A29268" s="16" t="str">
        <f ca="1">IFERROR(__xludf.DUMMYFUNCTION("GOOGLETRANSLATE(B42006,""en"",""pt"")"),"Emirdağ")</f>
        <v>Emirdağ</v>
      </c>
      <c r="B29268" s="20" t="s">
        <v>35880</v>
      </c>
      <c r="C29268" s="20" t="s">
        <v>26201</v>
      </c>
      <c r="D29268" s="20" t="s">
        <v>26237</v>
      </c>
      <c r="E29268" s="10">
        <v>315621</v>
      </c>
      <c r="F29268" s="4" t="str">
        <f>IF(B29268=B29267,"",B29268)</f>
        <v>Emirdağ</v>
      </c>
    </row>
    <row r="29269" spans="1:6" ht="15.75" customHeight="1">
      <c r="A29269" s="15" t="s">
        <v>26471</v>
      </c>
      <c r="B29269" s="15" t="s">
        <v>26472</v>
      </c>
      <c r="C29269" s="15" t="s">
        <v>26201</v>
      </c>
      <c r="D29269" s="15" t="s">
        <v>26237</v>
      </c>
      <c r="E29269" s="2">
        <v>315621</v>
      </c>
      <c r="F29269" s="4" t="str">
        <f>IF(B29269=B29268,"",B29269)</f>
        <v>EmirdaÄŸ</v>
      </c>
    </row>
    <row r="29270" spans="1:6" ht="15.75" customHeight="1">
      <c r="A29270" s="16" t="str">
        <f ca="1">IFERROR(__xludf.DUMMYFUNCTION("GOOGLETRANSLATE(B42187,""en"",""pt"")"),"Eminönü")</f>
        <v>Eminönü</v>
      </c>
      <c r="B29270" s="20" t="s">
        <v>35948</v>
      </c>
      <c r="C29270" s="20" t="s">
        <v>26201</v>
      </c>
      <c r="D29270" s="20" t="s">
        <v>26211</v>
      </c>
      <c r="E29270" s="10">
        <v>747538</v>
      </c>
      <c r="F29270" s="4" t="str">
        <f>IF(B29270=B29269,"",B29270)</f>
        <v>Eminönü</v>
      </c>
    </row>
    <row r="29271" spans="1:6" ht="15.75" customHeight="1">
      <c r="A29271" s="16" t="str">
        <f ca="1">IFERROR(__xludf.DUMMYFUNCTION("GOOGLETRANSLATE(B39109,""en"",""pt"")"),"Eminābād")</f>
        <v>Eminābād</v>
      </c>
      <c r="B29271" s="20" t="s">
        <v>35026</v>
      </c>
      <c r="C29271" s="20" t="s">
        <v>19808</v>
      </c>
      <c r="D29271" s="20" t="s">
        <v>10184</v>
      </c>
      <c r="E29271" s="10">
        <v>1179406</v>
      </c>
      <c r="F29271" s="4" t="str">
        <f>IF(B29271=B29270,"",B29271)</f>
        <v>Eminābād</v>
      </c>
    </row>
    <row r="29272" spans="1:6" ht="15.75" customHeight="1">
      <c r="A29272" s="16" t="s">
        <v>19904</v>
      </c>
      <c r="B29272" s="15" t="s">
        <v>19905</v>
      </c>
      <c r="C29272" s="16" t="s">
        <v>19808</v>
      </c>
      <c r="D29272" s="16" t="s">
        <v>10184</v>
      </c>
      <c r="E29272" s="2">
        <v>1179406</v>
      </c>
      <c r="F29272" s="4" t="str">
        <f>IF(B29272=B29271,"",B29272)</f>
        <v>EminÄbÄd</v>
      </c>
    </row>
    <row r="29273" spans="1:6" ht="15.75" customHeight="1">
      <c r="A29273" s="15" t="s">
        <v>26469</v>
      </c>
      <c r="B29273" s="15" t="s">
        <v>26470</v>
      </c>
      <c r="C29273" s="15" t="s">
        <v>26201</v>
      </c>
      <c r="D29273" s="15" t="s">
        <v>26211</v>
      </c>
      <c r="E29273" s="2">
        <v>747538</v>
      </c>
      <c r="F29273" s="4" t="e">
        <f>IF(B29273=#REF!,"",B29273)</f>
        <v>#REF!</v>
      </c>
    </row>
    <row r="29274" spans="1:6" ht="15.75" customHeight="1">
      <c r="A29274" s="16" t="s">
        <v>17927</v>
      </c>
      <c r="B29274" s="15" t="s">
        <v>17927</v>
      </c>
      <c r="C29274" s="16" t="s">
        <v>17707</v>
      </c>
      <c r="D29274" s="16" t="s">
        <v>17780</v>
      </c>
      <c r="E29274" s="2">
        <v>3527879</v>
      </c>
      <c r="F29274" s="4" t="e">
        <f>IF(B29274=#REF!,"",B29274)</f>
        <v>#REF!</v>
      </c>
    </row>
    <row r="29275" spans="1:6" ht="15.75" customHeight="1">
      <c r="A29275" s="15" t="s">
        <v>26467</v>
      </c>
      <c r="B29275" s="15" t="s">
        <v>26467</v>
      </c>
      <c r="C29275" s="15" t="s">
        <v>26201</v>
      </c>
      <c r="D29275" s="15" t="s">
        <v>26468</v>
      </c>
      <c r="E29275" s="2">
        <v>315639</v>
      </c>
      <c r="F29275" s="4" t="e">
        <f>IF(B29275=#REF!,"",B29275)</f>
        <v>#REF!</v>
      </c>
    </row>
    <row r="29276" spans="1:6" ht="15.75" customHeight="1">
      <c r="A29276" s="15" t="s">
        <v>8345</v>
      </c>
      <c r="B29276" s="15" t="s">
        <v>8345</v>
      </c>
      <c r="C29276" s="15" t="s">
        <v>8028</v>
      </c>
      <c r="D29276" s="15" t="s">
        <v>8034</v>
      </c>
      <c r="E29276" s="2">
        <v>2930596</v>
      </c>
      <c r="F29276" s="4" t="str">
        <f>IF(B29276=B29275,"",B29276)</f>
        <v>Emden</v>
      </c>
    </row>
    <row r="29277" spans="1:6" ht="15.75" customHeight="1">
      <c r="A29277" s="16" t="str">
        <f ca="1">IFERROR(__xludf.DUMMYFUNCTION("GOOGLETRANSLATE(B25058,""en"",""pt"")"),"Embu Guaçu")</f>
        <v>Embu Guaçu</v>
      </c>
      <c r="B29277" s="20" t="s">
        <v>31665</v>
      </c>
      <c r="C29277" s="20" t="s">
        <v>1905</v>
      </c>
      <c r="D29277" s="20" t="s">
        <v>3354</v>
      </c>
      <c r="E29277" s="10">
        <v>3464304</v>
      </c>
      <c r="F29277" s="4" t="str">
        <f>IF(B29277=B29276,"",B29277)</f>
        <v>Embu Guaçu</v>
      </c>
    </row>
    <row r="29278" spans="1:6" ht="15.75" customHeight="1">
      <c r="A29278" s="16" t="s">
        <v>2431</v>
      </c>
      <c r="B29278" s="15" t="s">
        <v>2432</v>
      </c>
      <c r="C29278" s="16" t="s">
        <v>1905</v>
      </c>
      <c r="D29278" s="16" t="s">
        <v>1914</v>
      </c>
      <c r="E29278" s="2">
        <v>3464304</v>
      </c>
      <c r="F29278" s="4" t="e">
        <f>IF(B29278=#REF!,"",B29278)</f>
        <v>#REF!</v>
      </c>
    </row>
    <row r="29279" spans="1:6" ht="15.75" customHeight="1">
      <c r="A29279" s="15" t="s">
        <v>2430</v>
      </c>
      <c r="B29279" s="15" t="s">
        <v>2430</v>
      </c>
      <c r="C29279" s="15" t="s">
        <v>1905</v>
      </c>
      <c r="D29279" s="15" t="s">
        <v>1914</v>
      </c>
      <c r="E29279" s="2">
        <v>3464305</v>
      </c>
      <c r="F29279" s="4" t="e">
        <f>IF(B29279=#REF!,"",B29279)</f>
        <v>#REF!</v>
      </c>
    </row>
    <row r="29280" spans="1:6" ht="15.75" customHeight="1">
      <c r="A29280" s="15" t="s">
        <v>16710</v>
      </c>
      <c r="B29280" s="15" t="s">
        <v>16710</v>
      </c>
      <c r="C29280" s="15" t="s">
        <v>16671</v>
      </c>
      <c r="D29280" s="15" t="s">
        <v>16686</v>
      </c>
      <c r="E29280" s="2">
        <v>609924</v>
      </c>
      <c r="F29280" s="4" t="str">
        <f>IF(B29280=B29279,"",B29280)</f>
        <v>Embi</v>
      </c>
    </row>
    <row r="29281" spans="1:6" ht="15.75" customHeight="1">
      <c r="A29281" s="16" t="str">
        <f ca="1">IFERROR(__xludf.DUMMYFUNCTION("GOOGLETRANSLATE(B23327,""en"",""pt"")"),"Embarcación")</f>
        <v>Embarcación</v>
      </c>
      <c r="B29281" s="20" t="s">
        <v>31208</v>
      </c>
      <c r="C29281" s="20" t="s">
        <v>558</v>
      </c>
      <c r="D29281" s="20" t="s">
        <v>649</v>
      </c>
      <c r="E29281" s="10">
        <v>3856231</v>
      </c>
      <c r="F29281" s="4" t="str">
        <f>IF(B29281=B29280,"",B29281)</f>
        <v>Embarcación</v>
      </c>
    </row>
    <row r="29282" spans="1:6" ht="15.75" customHeight="1">
      <c r="A29282" s="16" t="s">
        <v>647</v>
      </c>
      <c r="B29282" s="15" t="s">
        <v>648</v>
      </c>
      <c r="C29282" s="16" t="s">
        <v>558</v>
      </c>
      <c r="D29282" s="16" t="s">
        <v>649</v>
      </c>
      <c r="E29282" s="2">
        <v>3856231</v>
      </c>
      <c r="F29282" s="4" t="e">
        <f>IF(B29282=#REF!,"",B29282)</f>
        <v>#REF!</v>
      </c>
    </row>
    <row r="29283" spans="1:6" ht="15.75" customHeight="1">
      <c r="A29283" s="15" t="s">
        <v>646</v>
      </c>
      <c r="B29283" s="15" t="s">
        <v>646</v>
      </c>
      <c r="C29283" s="15" t="s">
        <v>558</v>
      </c>
      <c r="D29283" s="15" t="s">
        <v>573</v>
      </c>
      <c r="E29283" s="2">
        <v>3856235</v>
      </c>
      <c r="F29283" s="4" t="e">
        <f>IF(B29283=#REF!,"",B29283)</f>
        <v>#REF!</v>
      </c>
    </row>
    <row r="29284" spans="1:6" ht="15.75" customHeight="1">
      <c r="A29284" s="16" t="s">
        <v>23891</v>
      </c>
      <c r="B29284" s="15" t="s">
        <v>23892</v>
      </c>
      <c r="C29284" s="16" t="s">
        <v>23842</v>
      </c>
      <c r="D29284" s="16" t="s">
        <v>23849</v>
      </c>
      <c r="E29284" s="2">
        <v>1005646</v>
      </c>
      <c r="F29284" s="4" t="e">
        <f>IF(B29284=#REF!,"",B29284)</f>
        <v>#REF!</v>
      </c>
    </row>
    <row r="29285" spans="1:6" ht="15.75" customHeight="1">
      <c r="A29285" s="15" t="s">
        <v>28567</v>
      </c>
      <c r="B29285" s="15" t="s">
        <v>28567</v>
      </c>
      <c r="C29285" s="15" t="s">
        <v>27788</v>
      </c>
      <c r="D29285" s="15" t="s">
        <v>27813</v>
      </c>
      <c r="E29285" s="2">
        <v>5153207</v>
      </c>
      <c r="F29285" s="4" t="str">
        <f>IF(B29285=B29284,"",B29285)</f>
        <v>Elyria</v>
      </c>
    </row>
    <row r="29286" spans="1:6" ht="15.75" customHeight="1">
      <c r="A29286" s="16" t="str">
        <f ca="1">IFERROR(__xludf.DUMMYFUNCTION("GOOGLETRANSLATE(B33534,""en"",""pt"")"),"Elūr")</f>
        <v>Elūr</v>
      </c>
      <c r="B29286" s="20" t="s">
        <v>33750</v>
      </c>
      <c r="C29286" s="20" t="s">
        <v>10178</v>
      </c>
      <c r="D29286" s="20" t="s">
        <v>10246</v>
      </c>
      <c r="E29286" s="10">
        <v>1272052</v>
      </c>
      <c r="F29286" s="4" t="e">
        <f>IF(B29286=#REF!,"",B29286)</f>
        <v>#REF!</v>
      </c>
    </row>
    <row r="29287" spans="1:6" ht="15.75" customHeight="1">
      <c r="A29287" s="15" t="s">
        <v>8343</v>
      </c>
      <c r="B29287" s="15" t="s">
        <v>8344</v>
      </c>
      <c r="C29287" s="15" t="s">
        <v>8028</v>
      </c>
      <c r="D29287" s="15" t="s">
        <v>8050</v>
      </c>
      <c r="E29287" s="2">
        <v>2930646</v>
      </c>
      <c r="F29287" s="4" t="e">
        <f>IF(B29287=#REF!,"",B29287)</f>
        <v>#REF!</v>
      </c>
    </row>
    <row r="29288" spans="1:6" ht="15.75" customHeight="1">
      <c r="A29288" s="15" t="s">
        <v>967</v>
      </c>
      <c r="B29288" s="15" t="s">
        <v>967</v>
      </c>
      <c r="C29288" s="15" t="s">
        <v>885</v>
      </c>
      <c r="D29288" s="15" t="s">
        <v>827</v>
      </c>
      <c r="E29288" s="2">
        <v>2167445</v>
      </c>
      <c r="F29288" s="4" t="e">
        <f>IF(B29288=#REF!,"",B29288)</f>
        <v>#REF!</v>
      </c>
    </row>
    <row r="29289" spans="1:6" ht="15.75" customHeight="1">
      <c r="A29289" s="15" t="s">
        <v>18957</v>
      </c>
      <c r="B29289" s="15" t="s">
        <v>18957</v>
      </c>
      <c r="C29289" s="15" t="s">
        <v>18862</v>
      </c>
      <c r="D29289" s="15" t="s">
        <v>18865</v>
      </c>
      <c r="E29289" s="2">
        <v>2756161</v>
      </c>
      <c r="F29289" s="4" t="e">
        <f>IF(B29289=#REF!,"",B29289)</f>
        <v>#REF!</v>
      </c>
    </row>
    <row r="29290" spans="1:6" ht="15.75" customHeight="1">
      <c r="A29290" s="15" t="s">
        <v>8342</v>
      </c>
      <c r="B29290" s="15" t="s">
        <v>8342</v>
      </c>
      <c r="C29290" s="15" t="s">
        <v>8028</v>
      </c>
      <c r="D29290" s="15" t="s">
        <v>8029</v>
      </c>
      <c r="E29290" s="2">
        <v>2930778</v>
      </c>
      <c r="F29290" s="4" t="e">
        <f>IF(B29290=#REF!,"",B29290)</f>
        <v>#REF!</v>
      </c>
    </row>
    <row r="29291" spans="1:6" ht="15.75" customHeight="1">
      <c r="A29291" s="16" t="s">
        <v>6425</v>
      </c>
      <c r="B29291" s="15" t="s">
        <v>6426</v>
      </c>
      <c r="C29291" s="16" t="s">
        <v>6398</v>
      </c>
      <c r="D29291" s="16" t="s">
        <v>6410</v>
      </c>
      <c r="E29291" s="2">
        <v>3658192</v>
      </c>
      <c r="F29291" s="4" t="e">
        <f>IF(B29291=#REF!,"",B29291)</f>
        <v>#REF!</v>
      </c>
    </row>
    <row r="29292" spans="1:6" ht="15.75" customHeight="1">
      <c r="A29292" s="15" t="s">
        <v>28565</v>
      </c>
      <c r="B29292" s="15" t="s">
        <v>28566</v>
      </c>
      <c r="C29292" s="15" t="s">
        <v>27788</v>
      </c>
      <c r="D29292" s="15" t="s">
        <v>27880</v>
      </c>
      <c r="E29292" s="2">
        <v>5294167</v>
      </c>
      <c r="F29292" s="4" t="str">
        <f>IF(B29292=B29291,"",B29292)</f>
        <v>Eloy</v>
      </c>
    </row>
    <row r="29293" spans="1:6" ht="15.75" customHeight="1">
      <c r="A29293" s="16" t="str">
        <f ca="1">IFERROR(__xludf.DUMMYFUNCTION("GOOGLETRANSLATE(B25060,""en"",""pt"")"),"Elói Mendes")</f>
        <v>Elói Mendes</v>
      </c>
      <c r="B29293" s="20" t="s">
        <v>31666</v>
      </c>
      <c r="C29293" s="20" t="s">
        <v>1905</v>
      </c>
      <c r="D29293" s="20" t="s">
        <v>1917</v>
      </c>
      <c r="E29293" s="10">
        <v>3464329</v>
      </c>
      <c r="F29293" s="4" t="e">
        <f>IF(B29293=#REF!,"",B29293)</f>
        <v>#REF!</v>
      </c>
    </row>
    <row r="29294" spans="1:6" ht="15.75" customHeight="1">
      <c r="A29294" s="16" t="s">
        <v>28564</v>
      </c>
      <c r="B29294" s="15" t="s">
        <v>28564</v>
      </c>
      <c r="C29294" s="16" t="s">
        <v>27788</v>
      </c>
      <c r="D29294" s="16" t="s">
        <v>27799</v>
      </c>
      <c r="E29294" s="2">
        <v>4891051</v>
      </c>
      <c r="F29294" s="4" t="e">
        <f>IF(B29294=#REF!,"",B29294)</f>
        <v>#REF!</v>
      </c>
    </row>
    <row r="29295" spans="1:6" ht="15.75" customHeight="1">
      <c r="A29295" s="15" t="s">
        <v>8341</v>
      </c>
      <c r="B29295" s="15" t="s">
        <v>8341</v>
      </c>
      <c r="C29295" s="15" t="s">
        <v>8028</v>
      </c>
      <c r="D29295" s="15" t="s">
        <v>8040</v>
      </c>
      <c r="E29295" s="2">
        <v>2930821</v>
      </c>
      <c r="F29295" s="4" t="e">
        <f>IF(B29295=#REF!,"",B29295)</f>
        <v>#REF!</v>
      </c>
    </row>
    <row r="29296" spans="1:6" ht="15.75" customHeight="1">
      <c r="A29296" s="15" t="s">
        <v>28563</v>
      </c>
      <c r="B29296" s="15" t="s">
        <v>28563</v>
      </c>
      <c r="C29296" s="15" t="s">
        <v>27788</v>
      </c>
      <c r="D29296" s="15" t="s">
        <v>27819</v>
      </c>
      <c r="E29296" s="2">
        <v>5116508</v>
      </c>
      <c r="F29296" s="4" t="e">
        <f>IF(B29296=#REF!,"",B29296)</f>
        <v>#REF!</v>
      </c>
    </row>
    <row r="29297" spans="1:6" ht="15.75" customHeight="1">
      <c r="A29297" s="15" t="s">
        <v>28562</v>
      </c>
      <c r="B29297" s="15" t="s">
        <v>28562</v>
      </c>
      <c r="C29297" s="15" t="s">
        <v>27788</v>
      </c>
      <c r="D29297" s="15" t="s">
        <v>27819</v>
      </c>
      <c r="E29297" s="2">
        <v>5116497</v>
      </c>
      <c r="F29297" s="4" t="e">
        <f>IF(B29297=#REF!,"",B29297)</f>
        <v>#REF!</v>
      </c>
    </row>
    <row r="29298" spans="1:6" ht="15.75" customHeight="1">
      <c r="A29298" s="15" t="s">
        <v>9392</v>
      </c>
      <c r="B29298" s="15" t="s">
        <v>9392</v>
      </c>
      <c r="C29298" s="15" t="s">
        <v>9365</v>
      </c>
      <c r="D29298" s="15" t="s">
        <v>1886</v>
      </c>
      <c r="E29298" s="2">
        <v>2301190</v>
      </c>
      <c r="F29298" s="4" t="e">
        <f>IF(B29298=#REF!,"",B29298)</f>
        <v>#REF!</v>
      </c>
    </row>
    <row r="29299" spans="1:6" ht="15.75" customHeight="1">
      <c r="A29299" s="15" t="s">
        <v>28561</v>
      </c>
      <c r="B29299" s="15" t="s">
        <v>28561</v>
      </c>
      <c r="C29299" s="15" t="s">
        <v>27788</v>
      </c>
      <c r="D29299" s="15" t="s">
        <v>27799</v>
      </c>
      <c r="E29299" s="2">
        <v>4891010</v>
      </c>
      <c r="F29299" s="4" t="str">
        <f>IF(B29299=B29298,"",B29299)</f>
        <v>Elmhurst</v>
      </c>
    </row>
    <row r="29300" spans="1:6" ht="15.75" customHeight="1">
      <c r="A29300" s="16" t="str">
        <f ca="1">IFERROR(__xludf.DUMMYFUNCTION("GOOGLETRANSLATE(B42008,""en"",""pt"")"),"Elmalı")</f>
        <v>Elmalı</v>
      </c>
      <c r="B29300" s="20" t="s">
        <v>35881</v>
      </c>
      <c r="C29300" s="20" t="s">
        <v>26201</v>
      </c>
      <c r="D29300" s="20" t="s">
        <v>26308</v>
      </c>
      <c r="E29300" s="10">
        <v>315697</v>
      </c>
      <c r="F29300" s="4" t="str">
        <f>IF(B29300=B29299,"",B29300)</f>
        <v>Elmalı</v>
      </c>
    </row>
    <row r="29301" spans="1:6" ht="15.75" customHeight="1">
      <c r="A29301" s="15" t="s">
        <v>26465</v>
      </c>
      <c r="B29301" s="15" t="s">
        <v>26466</v>
      </c>
      <c r="C29301" s="15" t="s">
        <v>26201</v>
      </c>
      <c r="D29301" s="15" t="s">
        <v>26308</v>
      </c>
      <c r="E29301" s="2">
        <v>315697</v>
      </c>
      <c r="F29301" s="4" t="str">
        <f>IF(B29301=B29300,"",B29301)</f>
        <v>ElmalÄ±</v>
      </c>
    </row>
    <row r="29302" spans="1:6" ht="15.75" customHeight="1">
      <c r="A29302" s="16" t="str">
        <f ca="1">IFERROR(__xludf.DUMMYFUNCTION("GOOGLETRANSLATE(B42009,""en"",""pt"")"),"Elmadağ")</f>
        <v>Elmadağ</v>
      </c>
      <c r="B29302" s="20" t="s">
        <v>35882</v>
      </c>
      <c r="C29302" s="20" t="s">
        <v>26201</v>
      </c>
      <c r="D29302" s="20" t="s">
        <v>26229</v>
      </c>
      <c r="E29302" s="10">
        <v>315720</v>
      </c>
      <c r="F29302" s="4" t="str">
        <f>IF(B29302=B29301,"",B29302)</f>
        <v>Elmadağ</v>
      </c>
    </row>
    <row r="29303" spans="1:6" ht="15.75" customHeight="1">
      <c r="A29303" s="15" t="s">
        <v>26463</v>
      </c>
      <c r="B29303" s="15" t="s">
        <v>26464</v>
      </c>
      <c r="C29303" s="15" t="s">
        <v>26201</v>
      </c>
      <c r="D29303" s="15" t="s">
        <v>26229</v>
      </c>
      <c r="E29303" s="2">
        <v>315720</v>
      </c>
      <c r="F29303" s="4" t="e">
        <f>IF(B29303=#REF!,"",B29303)</f>
        <v>#REF!</v>
      </c>
    </row>
    <row r="29304" spans="1:6" ht="15.75" customHeight="1">
      <c r="A29304" s="16" t="s">
        <v>8340</v>
      </c>
      <c r="B29304" s="15" t="s">
        <v>8340</v>
      </c>
      <c r="C29304" s="16" t="s">
        <v>8028</v>
      </c>
      <c r="D29304" s="16" t="s">
        <v>8031</v>
      </c>
      <c r="E29304" s="2">
        <v>2930889</v>
      </c>
      <c r="F29304" s="4" t="e">
        <f>IF(B29304=#REF!,"",B29304)</f>
        <v>#REF!</v>
      </c>
    </row>
    <row r="29305" spans="1:6" ht="15.75" customHeight="1">
      <c r="A29305" s="15" t="s">
        <v>11219</v>
      </c>
      <c r="B29305" s="15" t="s">
        <v>11219</v>
      </c>
      <c r="C29305" s="15" t="s">
        <v>10178</v>
      </c>
      <c r="D29305" s="15" t="s">
        <v>10190</v>
      </c>
      <c r="E29305" s="2">
        <v>1272051</v>
      </c>
      <c r="F29305" s="4" t="str">
        <f>IF(B29305=B29304,"",B29305)</f>
        <v>Ellore</v>
      </c>
    </row>
    <row r="29306" spans="1:6" ht="15.75" customHeight="1">
      <c r="A29306" s="16" t="str">
        <f ca="1">IFERROR(__xludf.DUMMYFUNCTION("GOOGLETRANSLATE(B31009,""en"",""pt"")"),"Ellinikó")</f>
        <v>Ellinikó</v>
      </c>
      <c r="B29306" s="20" t="s">
        <v>32717</v>
      </c>
      <c r="C29306" s="20" t="s">
        <v>9441</v>
      </c>
      <c r="D29306" s="20" t="s">
        <v>9445</v>
      </c>
      <c r="E29306" s="10">
        <v>262719</v>
      </c>
      <c r="F29306" s="4" t="str">
        <f>IF(B29306=B29305,"",B29306)</f>
        <v>Ellinikó</v>
      </c>
    </row>
    <row r="29307" spans="1:6" ht="15.75" customHeight="1">
      <c r="A29307" s="15" t="s">
        <v>9507</v>
      </c>
      <c r="B29307" s="15" t="s">
        <v>9508</v>
      </c>
      <c r="C29307" s="15" t="s">
        <v>9441</v>
      </c>
      <c r="D29307" s="15" t="s">
        <v>9445</v>
      </c>
      <c r="E29307" s="2">
        <v>262719</v>
      </c>
      <c r="F29307" s="4" t="e">
        <f>IF(B29307=#REF!,"",B29307)</f>
        <v>#REF!</v>
      </c>
    </row>
    <row r="29308" spans="1:6" ht="15.75" customHeight="1">
      <c r="A29308" s="16" t="s">
        <v>28559</v>
      </c>
      <c r="B29308" s="15" t="s">
        <v>28560</v>
      </c>
      <c r="C29308" s="16" t="s">
        <v>27788</v>
      </c>
      <c r="D29308" s="16" t="s">
        <v>17061</v>
      </c>
      <c r="E29308" s="2">
        <v>4354265</v>
      </c>
      <c r="F29308" s="4" t="e">
        <f>IF(B29308=#REF!,"",B29308)</f>
        <v>#REF!</v>
      </c>
    </row>
    <row r="29309" spans="1:6" ht="15.75" customHeight="1">
      <c r="A29309" s="16" t="s">
        <v>28558</v>
      </c>
      <c r="B29309" s="15" t="s">
        <v>28558</v>
      </c>
      <c r="C29309" s="16" t="s">
        <v>27788</v>
      </c>
      <c r="D29309" s="16" t="s">
        <v>27733</v>
      </c>
      <c r="E29309" s="2">
        <v>5793639</v>
      </c>
      <c r="F29309" s="4" t="e">
        <f>IF(B29309=#REF!,"",B29309)</f>
        <v>#REF!</v>
      </c>
    </row>
    <row r="29310" spans="1:6" ht="15.75" customHeight="1">
      <c r="A29310" s="15" t="s">
        <v>11218</v>
      </c>
      <c r="B29310" s="15" t="s">
        <v>11218</v>
      </c>
      <c r="C29310" s="15" t="s">
        <v>10178</v>
      </c>
      <c r="D29310" s="15" t="s">
        <v>10224</v>
      </c>
      <c r="E29310" s="2">
        <v>1272061</v>
      </c>
      <c r="F29310" s="4" t="e">
        <f>IF(B29310=#REF!,"",B29310)</f>
        <v>#REF!</v>
      </c>
    </row>
    <row r="29311" spans="1:6" ht="15.75" customHeight="1">
      <c r="A29311" s="15" t="s">
        <v>28557</v>
      </c>
      <c r="B29311" s="15" t="s">
        <v>28557</v>
      </c>
      <c r="C29311" s="15" t="s">
        <v>27788</v>
      </c>
      <c r="D29311" s="15" t="s">
        <v>17061</v>
      </c>
      <c r="E29311" s="2">
        <v>4354234</v>
      </c>
      <c r="F29311" s="4" t="e">
        <f>IF(B29311=#REF!,"",B29311)</f>
        <v>#REF!</v>
      </c>
    </row>
    <row r="29312" spans="1:6" ht="15.75" customHeight="1">
      <c r="A29312" s="15" t="s">
        <v>28556</v>
      </c>
      <c r="B29312" s="15" t="s">
        <v>28556</v>
      </c>
      <c r="C29312" s="15" t="s">
        <v>27788</v>
      </c>
      <c r="D29312" s="15" t="s">
        <v>17061</v>
      </c>
      <c r="E29312" s="2">
        <v>4354256</v>
      </c>
      <c r="F29312" s="4" t="e">
        <f>IF(B29312=#REF!,"",B29312)</f>
        <v>#REF!</v>
      </c>
    </row>
    <row r="29313" spans="1:6" ht="15.75" customHeight="1">
      <c r="A29313" s="15" t="s">
        <v>28555</v>
      </c>
      <c r="B29313" s="15" t="s">
        <v>28555</v>
      </c>
      <c r="C29313" s="15" t="s">
        <v>27788</v>
      </c>
      <c r="D29313" s="15" t="s">
        <v>28073</v>
      </c>
      <c r="E29313" s="2">
        <v>5703670</v>
      </c>
      <c r="F29313" s="4" t="e">
        <f>IF(B29313=#REF!,"",B29313)</f>
        <v>#REF!</v>
      </c>
    </row>
    <row r="29314" spans="1:6" ht="15.75" customHeight="1">
      <c r="A29314" s="15" t="s">
        <v>28554</v>
      </c>
      <c r="B29314" s="15" t="s">
        <v>28554</v>
      </c>
      <c r="C29314" s="15" t="s">
        <v>27788</v>
      </c>
      <c r="D29314" s="15" t="s">
        <v>27869</v>
      </c>
      <c r="E29314" s="2">
        <v>4919987</v>
      </c>
      <c r="F29314" s="4" t="e">
        <f>IF(B29314=#REF!,"",B29314)</f>
        <v>#REF!</v>
      </c>
    </row>
    <row r="29315" spans="1:6" ht="15.75" customHeight="1">
      <c r="A29315" s="15" t="s">
        <v>28552</v>
      </c>
      <c r="B29315" s="15" t="s">
        <v>28553</v>
      </c>
      <c r="C29315" s="15" t="s">
        <v>27788</v>
      </c>
      <c r="D29315" s="15" t="s">
        <v>27824</v>
      </c>
      <c r="E29315" s="2">
        <v>5025471</v>
      </c>
      <c r="F29315" s="4" t="e">
        <f>IF(B29315=#REF!,"",B29315)</f>
        <v>#REF!</v>
      </c>
    </row>
    <row r="29316" spans="1:6" ht="15.75" customHeight="1">
      <c r="A29316" s="16" t="s">
        <v>28550</v>
      </c>
      <c r="B29316" s="15" t="s">
        <v>28551</v>
      </c>
      <c r="C29316" s="16" t="s">
        <v>27788</v>
      </c>
      <c r="D29316" s="16" t="s">
        <v>27799</v>
      </c>
      <c r="E29316" s="2">
        <v>4890925</v>
      </c>
      <c r="F29316" s="4" t="e">
        <f>IF(B29316=#REF!,"",B29316)</f>
        <v>#REF!</v>
      </c>
    </row>
    <row r="29317" spans="1:6" ht="15.75" customHeight="1">
      <c r="A29317" s="15" t="s">
        <v>28549</v>
      </c>
      <c r="B29317" s="15" t="s">
        <v>28549</v>
      </c>
      <c r="C29317" s="15" t="s">
        <v>27788</v>
      </c>
      <c r="D29317" s="15" t="s">
        <v>27801</v>
      </c>
      <c r="E29317" s="2">
        <v>5346111</v>
      </c>
      <c r="F29317" s="4" t="str">
        <f>IF(B29317=B29316,"",B29317)</f>
        <v>Elk Grove</v>
      </c>
    </row>
    <row r="29318" spans="1:6" ht="15.75" customHeight="1">
      <c r="A29318" s="16" t="str">
        <f ca="1">IFERROR(__xludf.DUMMYFUNCTION("GOOGLETRANSLATE(B39281,""en"",""pt"")"),"Ełk")</f>
        <v>Ełk</v>
      </c>
      <c r="B29318" s="20" t="s">
        <v>35124</v>
      </c>
      <c r="C29318" s="20" t="s">
        <v>21064</v>
      </c>
      <c r="D29318" s="20" t="s">
        <v>21131</v>
      </c>
      <c r="E29318" s="10">
        <v>772621</v>
      </c>
      <c r="F29318" s="4" t="e">
        <f>IF(B29318=#REF!,"",B29318)</f>
        <v>#REF!</v>
      </c>
    </row>
    <row r="29319" spans="1:6" ht="15.75" customHeight="1">
      <c r="A29319" s="16" t="s">
        <v>28548</v>
      </c>
      <c r="B29319" s="15" t="s">
        <v>28548</v>
      </c>
      <c r="C29319" s="16" t="s">
        <v>27788</v>
      </c>
      <c r="D29319" s="16" t="s">
        <v>27909</v>
      </c>
      <c r="E29319" s="2">
        <v>4290988</v>
      </c>
      <c r="F29319" s="4" t="e">
        <f>IF(B29319=#REF!,"",B29319)</f>
        <v>#REF!</v>
      </c>
    </row>
    <row r="29320" spans="1:6" ht="15.75" customHeight="1">
      <c r="A29320" s="16" t="s">
        <v>28546</v>
      </c>
      <c r="B29320" s="15" t="s">
        <v>28547</v>
      </c>
      <c r="C29320" s="16" t="s">
        <v>27788</v>
      </c>
      <c r="D29320" s="16" t="s">
        <v>27822</v>
      </c>
      <c r="E29320" s="2">
        <v>4465088</v>
      </c>
      <c r="F29320" s="4" t="e">
        <f>IF(B29320=#REF!,"",B29320)</f>
        <v>#REF!</v>
      </c>
    </row>
    <row r="29321" spans="1:6" ht="15.75" customHeight="1">
      <c r="A29321" s="15" t="s">
        <v>28545</v>
      </c>
      <c r="B29321" s="15" t="s">
        <v>28545</v>
      </c>
      <c r="C29321" s="15" t="s">
        <v>27788</v>
      </c>
      <c r="D29321" s="15" t="s">
        <v>27905</v>
      </c>
      <c r="E29321" s="2">
        <v>5097598</v>
      </c>
      <c r="F29321" s="4" t="e">
        <f>IF(B29321=#REF!,"",B29321)</f>
        <v>#REF!</v>
      </c>
    </row>
    <row r="29322" spans="1:6" ht="15.75" customHeight="1">
      <c r="A29322" s="15" t="s">
        <v>22365</v>
      </c>
      <c r="B29322" s="15" t="s">
        <v>22365</v>
      </c>
      <c r="C29322" s="15" t="s">
        <v>22070</v>
      </c>
      <c r="D29322" s="15" t="s">
        <v>22366</v>
      </c>
      <c r="E29322" s="2">
        <v>563514</v>
      </c>
      <c r="F29322" s="4" t="e">
        <f>IF(B29322=#REF!,"",B29322)</f>
        <v>#REF!</v>
      </c>
    </row>
    <row r="29323" spans="1:6" ht="15.75" customHeight="1">
      <c r="A29323" s="15" t="s">
        <v>28544</v>
      </c>
      <c r="B29323" s="15" t="s">
        <v>28544</v>
      </c>
      <c r="C29323" s="15" t="s">
        <v>27788</v>
      </c>
      <c r="D29323" s="15" t="s">
        <v>27799</v>
      </c>
      <c r="E29323" s="2">
        <v>4890864</v>
      </c>
      <c r="F29323" s="4" t="str">
        <f>IF(B29323=B29322,"",B29323)</f>
        <v>Elgin</v>
      </c>
    </row>
    <row r="29324" spans="1:6" ht="15.75" customHeight="1">
      <c r="A29324" s="16" t="str">
        <f ca="1">IFERROR(__xludf.DUMMYFUNCTION("GOOGLETRANSLATE(B42010,""en"",""pt"")"),"Eleşkirt")</f>
        <v>Eleşkirt</v>
      </c>
      <c r="B29324" s="20" t="s">
        <v>35883</v>
      </c>
      <c r="C29324" s="20" t="s">
        <v>26201</v>
      </c>
      <c r="D29324" s="20" t="s">
        <v>35848</v>
      </c>
      <c r="E29324" s="10">
        <v>315758</v>
      </c>
      <c r="F29324" s="4" t="e">
        <f>IF(B29324=#REF!,"",B29324)</f>
        <v>#REF!</v>
      </c>
    </row>
    <row r="29325" spans="1:6" ht="15.75" customHeight="1">
      <c r="A29325" s="15" t="s">
        <v>19387</v>
      </c>
      <c r="B29325" s="15" t="s">
        <v>19387</v>
      </c>
      <c r="C29325" s="15" t="s">
        <v>19294</v>
      </c>
      <c r="D29325" s="15" t="s">
        <v>19357</v>
      </c>
      <c r="E29325" s="2">
        <v>2343512</v>
      </c>
      <c r="F29325" s="4" t="e">
        <f>IF(B29325=#REF!,"",B29325)</f>
        <v>#REF!</v>
      </c>
    </row>
    <row r="29326" spans="1:6" ht="15.75" customHeight="1">
      <c r="A29326" s="16" t="s">
        <v>22364</v>
      </c>
      <c r="B29326" s="15" t="s">
        <v>22364</v>
      </c>
      <c r="C29326" s="16" t="s">
        <v>22070</v>
      </c>
      <c r="D29326" s="16" t="s">
        <v>22119</v>
      </c>
      <c r="E29326" s="2">
        <v>563522</v>
      </c>
      <c r="F29326" s="4" t="str">
        <f>IF(B29326=B29325,"",B29326)</f>
        <v>Elektrougli</v>
      </c>
    </row>
    <row r="29327" spans="1:6" ht="15.75" customHeight="1">
      <c r="A29327" s="16" t="s">
        <v>22362</v>
      </c>
      <c r="B29327" s="15" t="s">
        <v>22363</v>
      </c>
      <c r="C29327" s="16" t="s">
        <v>22070</v>
      </c>
      <c r="D29327" s="16" t="s">
        <v>22119</v>
      </c>
      <c r="E29327" s="2">
        <v>563523</v>
      </c>
      <c r="F29327" s="4" t="str">
        <f>IF(B29327=B29326,"",B29327)</f>
        <v>Elektrostalâ€™</v>
      </c>
    </row>
    <row r="29328" spans="1:6" ht="15.75" customHeight="1">
      <c r="A29328" s="16" t="str">
        <f ca="1">IFERROR(__xludf.DUMMYFUNCTION("GOOGLETRANSLATE(B40554,""en"",""pt"")"),"Elektrostal '")</f>
        <v>Elektrostal '</v>
      </c>
      <c r="B29328" s="20" t="s">
        <v>35515</v>
      </c>
      <c r="C29328" s="20" t="s">
        <v>22070</v>
      </c>
      <c r="D29328" s="20" t="s">
        <v>22119</v>
      </c>
      <c r="E29328" s="10">
        <v>563523</v>
      </c>
      <c r="F29328" s="4" t="e">
        <f>IF(B29328=#REF!,"",B29328)</f>
        <v>#REF!</v>
      </c>
    </row>
    <row r="29329" spans="1:6" ht="15.75" customHeight="1">
      <c r="A29329" s="16" t="s">
        <v>22361</v>
      </c>
      <c r="B29329" s="15" t="s">
        <v>22361</v>
      </c>
      <c r="C29329" s="16" t="s">
        <v>22070</v>
      </c>
      <c r="D29329" s="16" t="s">
        <v>22119</v>
      </c>
      <c r="E29329" s="2">
        <v>563524</v>
      </c>
      <c r="F29329" s="4" t="str">
        <f>IF(B29329=B29328,"",B29329)</f>
        <v>Elektrogorsk</v>
      </c>
    </row>
    <row r="29330" spans="1:6" ht="15.75" customHeight="1">
      <c r="A29330" s="16" t="str">
        <f ca="1">IFERROR(__xludf.DUMMYFUNCTION("GOOGLETRANSLATE(B31010,""en"",""pt"")"),"Elefsinna")</f>
        <v>Elefsinna</v>
      </c>
      <c r="B29330" s="20" t="s">
        <v>32718</v>
      </c>
      <c r="C29330" s="20" t="s">
        <v>9441</v>
      </c>
      <c r="D29330" s="20" t="s">
        <v>9445</v>
      </c>
      <c r="E29330" s="10">
        <v>262752</v>
      </c>
      <c r="F29330" s="4" t="str">
        <f>IF(B29330=B29329,"",B29330)</f>
        <v>Elefsína</v>
      </c>
    </row>
    <row r="29331" spans="1:6" ht="15.75" customHeight="1">
      <c r="A29331" s="15" t="s">
        <v>9505</v>
      </c>
      <c r="B29331" s="15" t="s">
        <v>9506</v>
      </c>
      <c r="C29331" s="15" t="s">
        <v>9441</v>
      </c>
      <c r="D29331" s="15" t="s">
        <v>9445</v>
      </c>
      <c r="E29331" s="2">
        <v>262752</v>
      </c>
      <c r="F29331" s="4" t="str">
        <f>IF(B29331=B29330,"",B29331)</f>
        <v>ElefsÃ­na</v>
      </c>
    </row>
    <row r="29332" spans="1:6" ht="15.75" customHeight="1">
      <c r="A29332" s="15" t="s">
        <v>26461</v>
      </c>
      <c r="B29332" s="15" t="s">
        <v>26462</v>
      </c>
      <c r="C29332" s="15" t="s">
        <v>26201</v>
      </c>
      <c r="D29332" s="15" t="s">
        <v>26270</v>
      </c>
      <c r="E29332" s="2">
        <v>315758</v>
      </c>
      <c r="F29332" s="4" t="e">
        <f>IF(B29332=#REF!,"",B29332)</f>
        <v>#REF!</v>
      </c>
    </row>
    <row r="29333" spans="1:6" ht="15.75" customHeight="1">
      <c r="A29333" s="15" t="s">
        <v>16785</v>
      </c>
      <c r="B29333" s="15" t="s">
        <v>16785</v>
      </c>
      <c r="C29333" s="15" t="s">
        <v>16781</v>
      </c>
      <c r="D29333" s="15" t="s">
        <v>16786</v>
      </c>
      <c r="E29333" s="2">
        <v>198629</v>
      </c>
      <c r="F29333" s="4" t="e">
        <f>IF(B29333=#REF!,"",B29333)</f>
        <v>#REF!</v>
      </c>
    </row>
    <row r="29334" spans="1:6" ht="15.75" customHeight="1">
      <c r="A29334" s="16" t="s">
        <v>28542</v>
      </c>
      <c r="B29334" s="15" t="s">
        <v>28543</v>
      </c>
      <c r="C29334" s="16" t="s">
        <v>27788</v>
      </c>
      <c r="D29334" s="16" t="s">
        <v>17061</v>
      </c>
      <c r="E29334" s="2">
        <v>4354163</v>
      </c>
      <c r="F29334" s="4" t="e">
        <f>IF(B29334=#REF!,"",B29334)</f>
        <v>#REF!</v>
      </c>
    </row>
    <row r="29335" spans="1:6" ht="15.75" customHeight="1">
      <c r="A29335" s="15" t="s">
        <v>24454</v>
      </c>
      <c r="B29335" s="15" t="s">
        <v>24454</v>
      </c>
      <c r="C29335" s="15" t="s">
        <v>24200</v>
      </c>
      <c r="D29335" s="15" t="s">
        <v>21053</v>
      </c>
      <c r="E29335" s="2">
        <v>2518505</v>
      </c>
      <c r="F29335" s="4" t="e">
        <f>IF(B29335=#REF!,"",B29335)</f>
        <v>#REF!</v>
      </c>
    </row>
    <row r="29336" spans="1:6" ht="15.75" customHeight="1">
      <c r="A29336" s="15" t="s">
        <v>24453</v>
      </c>
      <c r="B29336" s="15" t="s">
        <v>24453</v>
      </c>
      <c r="C29336" s="15" t="s">
        <v>24200</v>
      </c>
      <c r="D29336" s="15" t="s">
        <v>21053</v>
      </c>
      <c r="E29336" s="2">
        <v>2518559</v>
      </c>
      <c r="F29336" s="4" t="e">
        <f>IF(B29336=#REF!,"",B29336)</f>
        <v>#REF!</v>
      </c>
    </row>
    <row r="29337" spans="1:6" ht="15.75" customHeight="1">
      <c r="A29337" s="15" t="s">
        <v>18955</v>
      </c>
      <c r="B29337" s="15" t="s">
        <v>18956</v>
      </c>
      <c r="C29337" s="15" t="s">
        <v>18862</v>
      </c>
      <c r="D29337" s="15" t="s">
        <v>18865</v>
      </c>
      <c r="E29337" s="2">
        <v>2756232</v>
      </c>
      <c r="F29337" s="4" t="str">
        <f>IF(B29337=B29336,"",B29337)</f>
        <v>Elburg</v>
      </c>
    </row>
    <row r="29338" spans="1:6" ht="15.75" customHeight="1">
      <c r="A29338" s="16" t="str">
        <f ca="1">IFERROR(__xludf.DUMMYFUNCTION("GOOGLETRANSLATE(B39466,""en"",""pt"")"),"Elbląg")</f>
        <v>Elbląg</v>
      </c>
      <c r="B29338" s="20" t="s">
        <v>35232</v>
      </c>
      <c r="C29338" s="20" t="s">
        <v>21064</v>
      </c>
      <c r="D29338" s="20" t="s">
        <v>21131</v>
      </c>
      <c r="E29338" s="10">
        <v>3099759</v>
      </c>
      <c r="F29338" s="4" t="str">
        <f>IF(B29338=B29337,"",B29338)</f>
        <v>Elbląg</v>
      </c>
    </row>
    <row r="29339" spans="1:6" ht="15.75" customHeight="1">
      <c r="A29339" s="15" t="s">
        <v>21212</v>
      </c>
      <c r="B29339" s="15" t="s">
        <v>21213</v>
      </c>
      <c r="C29339" s="15" t="s">
        <v>21064</v>
      </c>
      <c r="D29339" s="15" t="s">
        <v>21131</v>
      </c>
      <c r="E29339" s="2">
        <v>3099759</v>
      </c>
      <c r="F29339" s="4" t="e">
        <f>IF(B29339=#REF!,"",B29339)</f>
        <v>#REF!</v>
      </c>
    </row>
    <row r="29340" spans="1:6" ht="15.75" customHeight="1">
      <c r="A29340" s="15" t="s">
        <v>26459</v>
      </c>
      <c r="B29340" s="15" t="s">
        <v>26460</v>
      </c>
      <c r="C29340" s="15" t="s">
        <v>26201</v>
      </c>
      <c r="D29340" s="15" t="s">
        <v>26221</v>
      </c>
      <c r="E29340" s="2">
        <v>315795</v>
      </c>
      <c r="F29340" s="4" t="e">
        <f>IF(B29340=#REF!,"",B29340)</f>
        <v>#REF!</v>
      </c>
    </row>
    <row r="29341" spans="1:6" ht="15.75" customHeight="1">
      <c r="A29341" s="15" t="s">
        <v>7333</v>
      </c>
      <c r="B29341" s="15" t="s">
        <v>7333</v>
      </c>
      <c r="C29341" s="15" t="s">
        <v>7052</v>
      </c>
      <c r="D29341" s="15" t="s">
        <v>7068</v>
      </c>
      <c r="E29341" s="2">
        <v>3020307</v>
      </c>
      <c r="F29341" s="4" t="e">
        <f>IF(B29341=#REF!,"",B29341)</f>
        <v>#REF!</v>
      </c>
    </row>
    <row r="29342" spans="1:6" ht="15.75" customHeight="1">
      <c r="A29342" s="15" t="s">
        <v>118</v>
      </c>
      <c r="B29342" s="15" t="s">
        <v>118</v>
      </c>
      <c r="C29342" s="15" t="s">
        <v>113</v>
      </c>
      <c r="D29342" s="15" t="s">
        <v>118</v>
      </c>
      <c r="E29342" s="2">
        <v>783263</v>
      </c>
      <c r="F29342" s="4" t="str">
        <f>IF(B29342=B29341,"",B29342)</f>
        <v>Elbasan</v>
      </c>
    </row>
    <row r="29343" spans="1:6" ht="15.75" customHeight="1">
      <c r="A29343" s="16" t="str">
        <f ca="1">IFERROR(__xludf.DUMMYFUNCTION("GOOGLETRANSLATE(B42012,""en"",""pt"")"),"Elazığ")</f>
        <v>Elazığ</v>
      </c>
      <c r="B29343" s="20" t="s">
        <v>35855</v>
      </c>
      <c r="C29343" s="20" t="s">
        <v>26201</v>
      </c>
      <c r="D29343" s="20" t="s">
        <v>35855</v>
      </c>
      <c r="E29343" s="10">
        <v>315808</v>
      </c>
      <c r="F29343" s="4" t="str">
        <f>IF(B29343=B29342,"",B29343)</f>
        <v>Elazığ</v>
      </c>
    </row>
    <row r="29344" spans="1:6" ht="15.75" customHeight="1">
      <c r="A29344" s="15" t="s">
        <v>26458</v>
      </c>
      <c r="B29344" s="15" t="s">
        <v>26378</v>
      </c>
      <c r="C29344" s="15" t="s">
        <v>26201</v>
      </c>
      <c r="D29344" s="15" t="s">
        <v>26378</v>
      </c>
      <c r="E29344" s="2">
        <v>315808</v>
      </c>
      <c r="F29344" s="4" t="str">
        <f>IF(B29344=B29343,"",B29344)</f>
        <v>ElazÄ±ÄŸ</v>
      </c>
    </row>
    <row r="29345" spans="1:6" ht="15.75" customHeight="1">
      <c r="A29345" s="16" t="str">
        <f ca="1">IFERROR(__xludf.DUMMYFUNCTION("GOOGLETRANSLATE(B30097,""en"",""pt"")"),"Élancourt")</f>
        <v>Élancourt</v>
      </c>
      <c r="B29345" s="20" t="s">
        <v>32612</v>
      </c>
      <c r="C29345" s="20" t="s">
        <v>7052</v>
      </c>
      <c r="D29345" s="20" t="s">
        <v>32531</v>
      </c>
      <c r="E29345" s="10">
        <v>3020310</v>
      </c>
      <c r="F29345" s="4" t="e">
        <f>IF(B29345=#REF!,"",B29345)</f>
        <v>#REF!</v>
      </c>
    </row>
    <row r="29346" spans="1:6" ht="15.75" customHeight="1">
      <c r="A29346" s="16" t="s">
        <v>11216</v>
      </c>
      <c r="B29346" s="15" t="s">
        <v>11217</v>
      </c>
      <c r="C29346" s="16" t="s">
        <v>10178</v>
      </c>
      <c r="D29346" s="16" t="s">
        <v>10190</v>
      </c>
      <c r="E29346" s="2">
        <v>1272084</v>
      </c>
      <c r="F29346" s="4" t="str">
        <f>IF(B29346=B29345,"",B29346)</f>
        <v>Elamanchili</v>
      </c>
    </row>
    <row r="29347" spans="1:6" ht="15.75" customHeight="1">
      <c r="A29347" s="16" t="s">
        <v>2428</v>
      </c>
      <c r="B29347" s="15" t="s">
        <v>2429</v>
      </c>
      <c r="C29347" s="16" t="s">
        <v>1905</v>
      </c>
      <c r="D29347" s="16" t="s">
        <v>1917</v>
      </c>
      <c r="E29347" s="2">
        <v>3464329</v>
      </c>
      <c r="F29347" s="4" t="str">
        <f>IF(B29347=B29346,"",B29347)</f>
        <v>ElÃ³i Mendes</v>
      </c>
    </row>
    <row r="29348" spans="1:6" ht="15.75" customHeight="1">
      <c r="A29348" s="15" t="s">
        <v>11214</v>
      </c>
      <c r="B29348" s="15" t="s">
        <v>11215</v>
      </c>
      <c r="C29348" s="15" t="s">
        <v>10178</v>
      </c>
      <c r="D29348" s="15" t="s">
        <v>10246</v>
      </c>
      <c r="E29348" s="2">
        <v>1272052</v>
      </c>
      <c r="F29348" s="4" t="e">
        <f>IF(B29348=#REF!,"",B29348)</f>
        <v>#REF!</v>
      </c>
    </row>
    <row r="29349" spans="1:6" ht="15.75" customHeight="1">
      <c r="A29349" s="16" t="s">
        <v>24452</v>
      </c>
      <c r="B29349" s="15" t="s">
        <v>24452</v>
      </c>
      <c r="C29349" s="16" t="s">
        <v>24200</v>
      </c>
      <c r="D29349" s="16" t="s">
        <v>24205</v>
      </c>
      <c r="E29349" s="2">
        <v>2518040</v>
      </c>
      <c r="F29349" s="4" t="str">
        <f>IF(B29349=B29348,"",B29349)</f>
        <v>El Viso del Alcor</v>
      </c>
    </row>
    <row r="29350" spans="1:6" ht="15.75" customHeight="1">
      <c r="A29350" s="16" t="str">
        <f ca="1">IFERROR(__xludf.DUMMYFUNCTION("GOOGLETRANSLATE(B45664,""en"",""pt"")"),"El Vigía")</f>
        <v>El Vigía</v>
      </c>
      <c r="B29350" s="20" t="s">
        <v>36096</v>
      </c>
      <c r="C29350" s="20" t="s">
        <v>5923</v>
      </c>
      <c r="D29350" s="20" t="s">
        <v>32369</v>
      </c>
      <c r="E29350" s="10">
        <v>3641099</v>
      </c>
      <c r="F29350" s="4" t="str">
        <f>IF(B29350=B29349,"",B29350)</f>
        <v>El Vigía</v>
      </c>
    </row>
    <row r="29351" spans="1:6" ht="15.75" customHeight="1">
      <c r="A29351" s="15" t="s">
        <v>30689</v>
      </c>
      <c r="B29351" s="15" t="s">
        <v>30690</v>
      </c>
      <c r="C29351" s="15" t="s">
        <v>5923</v>
      </c>
      <c r="D29351" s="15" t="s">
        <v>18059</v>
      </c>
      <c r="E29351" s="2">
        <v>3641099</v>
      </c>
      <c r="F29351" s="4" t="e">
        <f>IF(B29351=#REF!,"",B29351)</f>
        <v>#REF!</v>
      </c>
    </row>
    <row r="29352" spans="1:6" ht="15.75" customHeight="1">
      <c r="A29352" s="15" t="s">
        <v>19228</v>
      </c>
      <c r="B29352" s="15" t="s">
        <v>19228</v>
      </c>
      <c r="C29352" s="15" t="s">
        <v>19217</v>
      </c>
      <c r="D29352" s="15" t="s">
        <v>19222</v>
      </c>
      <c r="E29352" s="2">
        <v>3619267</v>
      </c>
      <c r="F29352" s="4" t="e">
        <f>IF(B29352=#REF!,"",B29352)</f>
        <v>#REF!</v>
      </c>
    </row>
    <row r="29353" spans="1:6" ht="15.75" customHeight="1">
      <c r="A29353" s="16" t="s">
        <v>24451</v>
      </c>
      <c r="B29353" s="15" t="s">
        <v>24451</v>
      </c>
      <c r="C29353" s="16" t="s">
        <v>24200</v>
      </c>
      <c r="D29353" s="16" t="s">
        <v>24277</v>
      </c>
      <c r="E29353" s="2">
        <v>3106180</v>
      </c>
      <c r="F29353" s="4" t="e">
        <f>IF(B29353=#REF!,"",B29353)</f>
        <v>#REF!</v>
      </c>
    </row>
    <row r="29354" spans="1:6" ht="15.75" customHeight="1">
      <c r="A29354" s="15" t="s">
        <v>6424</v>
      </c>
      <c r="B29354" s="15" t="s">
        <v>6424</v>
      </c>
      <c r="C29354" s="15" t="s">
        <v>6398</v>
      </c>
      <c r="D29354" s="15" t="s">
        <v>6410</v>
      </c>
      <c r="E29354" s="2">
        <v>3658053</v>
      </c>
      <c r="F29354" s="4" t="e">
        <f>IF(B29354=#REF!,"",B29354)</f>
        <v>#REF!</v>
      </c>
    </row>
    <row r="29355" spans="1:6" ht="15.75" customHeight="1">
      <c r="A29355" s="15" t="s">
        <v>30688</v>
      </c>
      <c r="B29355" s="15" t="s">
        <v>30688</v>
      </c>
      <c r="C29355" s="15" t="s">
        <v>5923</v>
      </c>
      <c r="D29355" s="15" t="s">
        <v>1011</v>
      </c>
      <c r="E29355" s="2">
        <v>3641275</v>
      </c>
      <c r="F29355" s="4" t="e">
        <f>IF(B29355=#REF!,"",B29355)</f>
        <v>#REF!</v>
      </c>
    </row>
    <row r="29356" spans="1:6" ht="15.75" customHeight="1">
      <c r="A29356" s="15" t="s">
        <v>30687</v>
      </c>
      <c r="B29356" s="15" t="s">
        <v>30687</v>
      </c>
      <c r="C29356" s="15" t="s">
        <v>5923</v>
      </c>
      <c r="D29356" s="15" t="s">
        <v>30641</v>
      </c>
      <c r="E29356" s="2">
        <v>3641351</v>
      </c>
      <c r="F29356" s="4" t="e">
        <f>IF(B29356=#REF!,"",B29356)</f>
        <v>#REF!</v>
      </c>
    </row>
    <row r="29357" spans="1:6" ht="15.75" customHeight="1">
      <c r="A29357" s="15" t="s">
        <v>9734</v>
      </c>
      <c r="B29357" s="15" t="s">
        <v>9734</v>
      </c>
      <c r="C29357" s="15" t="s">
        <v>9700</v>
      </c>
      <c r="D29357" s="15" t="s">
        <v>9717</v>
      </c>
      <c r="E29357" s="2">
        <v>3596041</v>
      </c>
      <c r="F29357" s="4" t="e">
        <f>IF(B29357=#REF!,"",B29357)</f>
        <v>#REF!</v>
      </c>
    </row>
    <row r="29358" spans="1:6" ht="15.75" customHeight="1">
      <c r="A29358" s="15" t="s">
        <v>246</v>
      </c>
      <c r="B29358" s="15" t="s">
        <v>246</v>
      </c>
      <c r="C29358" s="15" t="s">
        <v>153</v>
      </c>
      <c r="D29358" s="15" t="s">
        <v>246</v>
      </c>
      <c r="E29358" s="2">
        <v>2497323</v>
      </c>
      <c r="F29358" s="4" t="e">
        <f>IF(B29358=#REF!,"",B29358)</f>
        <v>#REF!</v>
      </c>
    </row>
    <row r="29359" spans="1:6" ht="15.75" customHeight="1">
      <c r="A29359" s="16" t="s">
        <v>645</v>
      </c>
      <c r="B29359" s="15" t="s">
        <v>645</v>
      </c>
      <c r="C29359" s="16" t="s">
        <v>558</v>
      </c>
      <c r="D29359" s="16" t="s">
        <v>576</v>
      </c>
      <c r="E29359" s="2">
        <v>3434291</v>
      </c>
      <c r="F29359" s="4" t="e">
        <f>IF(B29359=#REF!,"",B29359)</f>
        <v>#REF!</v>
      </c>
    </row>
    <row r="29360" spans="1:6" ht="15.75" customHeight="1">
      <c r="A29360" s="16" t="s">
        <v>28541</v>
      </c>
      <c r="B29360" s="15" t="s">
        <v>28541</v>
      </c>
      <c r="C29360" s="16" t="s">
        <v>27788</v>
      </c>
      <c r="D29360" s="16" t="s">
        <v>27801</v>
      </c>
      <c r="E29360" s="2">
        <v>5345860</v>
      </c>
      <c r="F29360" s="4" t="e">
        <f>IF(B29360=#REF!,"",B29360)</f>
        <v>#REF!</v>
      </c>
    </row>
    <row r="29361" spans="1:6" ht="15.75" customHeight="1">
      <c r="A29361" s="15" t="s">
        <v>17926</v>
      </c>
      <c r="B29361" s="15" t="s">
        <v>17926</v>
      </c>
      <c r="C29361" s="15" t="s">
        <v>17707</v>
      </c>
      <c r="D29361" s="15" t="s">
        <v>17746</v>
      </c>
      <c r="E29361" s="2">
        <v>4007684</v>
      </c>
      <c r="F29361" s="4" t="str">
        <f>IF(B29361=B29360,"",B29361)</f>
        <v>El Salto</v>
      </c>
    </row>
    <row r="29362" spans="1:6" ht="15.75" customHeight="1">
      <c r="A29362" s="16" t="str">
        <f ca="1">IFERROR(__xludf.DUMMYFUNCTION("GOOGLETRANSLATE(B26989,""en"",""pt"")"),"El Retén")</f>
        <v>El Retén</v>
      </c>
      <c r="B29362" s="20" t="s">
        <v>31874</v>
      </c>
      <c r="C29362" s="20" t="s">
        <v>5348</v>
      </c>
      <c r="D29362" s="20" t="s">
        <v>5368</v>
      </c>
      <c r="E29362" s="10">
        <v>3683233</v>
      </c>
      <c r="F29362" s="4" t="str">
        <f>IF(B29362=B29361,"",B29362)</f>
        <v>El Retén</v>
      </c>
    </row>
    <row r="29363" spans="1:6" ht="15.75" customHeight="1">
      <c r="A29363" s="16" t="s">
        <v>5456</v>
      </c>
      <c r="B29363" s="15" t="s">
        <v>5457</v>
      </c>
      <c r="C29363" s="16" t="s">
        <v>5348</v>
      </c>
      <c r="D29363" s="16" t="s">
        <v>5368</v>
      </c>
      <c r="E29363" s="2">
        <v>3683233</v>
      </c>
      <c r="F29363" s="4" t="e">
        <f>IF(B29363=#REF!,"",B29363)</f>
        <v>#REF!</v>
      </c>
    </row>
    <row r="29364" spans="1:6" ht="15.75" customHeight="1">
      <c r="A29364" s="15" t="s">
        <v>28540</v>
      </c>
      <c r="B29364" s="15" t="s">
        <v>28540</v>
      </c>
      <c r="C29364" s="15" t="s">
        <v>27788</v>
      </c>
      <c r="D29364" s="15" t="s">
        <v>27797</v>
      </c>
      <c r="E29364" s="2">
        <v>4535783</v>
      </c>
      <c r="F29364" s="4" t="str">
        <f>IF(B29364=B29363,"",B29364)</f>
        <v>El Reno</v>
      </c>
    </row>
    <row r="29365" spans="1:6" ht="15.75" customHeight="1">
      <c r="A29365" s="16" t="str">
        <f ca="1">IFERROR(__xludf.DUMMYFUNCTION("GOOGLETRANSLATE(B29124,""en"",""pt"")"),"El Puerto de Santa María")</f>
        <v>El Puerto de Santa María</v>
      </c>
      <c r="B29365" s="20" t="s">
        <v>32384</v>
      </c>
      <c r="C29365" s="20" t="s">
        <v>24200</v>
      </c>
      <c r="D29365" s="20" t="s">
        <v>24205</v>
      </c>
      <c r="E29365" s="10">
        <v>2518207</v>
      </c>
      <c r="F29365" s="4" t="str">
        <f>IF(B29365=B29364,"",B29365)</f>
        <v>El Puerto de Santa María</v>
      </c>
    </row>
    <row r="29366" spans="1:6" ht="15.75" customHeight="1">
      <c r="A29366" s="16" t="s">
        <v>24449</v>
      </c>
      <c r="B29366" s="15" t="s">
        <v>24450</v>
      </c>
      <c r="C29366" s="16" t="s">
        <v>24200</v>
      </c>
      <c r="D29366" s="16" t="s">
        <v>24205</v>
      </c>
      <c r="E29366" s="2">
        <v>2518207</v>
      </c>
      <c r="F29366" s="4" t="e">
        <f>IF(B29366=#REF!,"",B29366)</f>
        <v>#REF!</v>
      </c>
    </row>
    <row r="29367" spans="1:6" ht="15.75" customHeight="1">
      <c r="A29367" s="16" t="s">
        <v>17924</v>
      </c>
      <c r="B29367" s="15" t="s">
        <v>17924</v>
      </c>
      <c r="C29367" s="16" t="s">
        <v>17707</v>
      </c>
      <c r="D29367" s="16" t="s">
        <v>17925</v>
      </c>
      <c r="E29367" s="2">
        <v>4008303</v>
      </c>
      <c r="F29367" s="4" t="e">
        <f>IF(B29367=#REF!,"",B29367)</f>
        <v>#REF!</v>
      </c>
    </row>
    <row r="29368" spans="1:6" ht="15.75" customHeight="1">
      <c r="A29368" s="16" t="s">
        <v>9801</v>
      </c>
      <c r="B29368" s="15" t="s">
        <v>9801</v>
      </c>
      <c r="C29368" s="16" t="s">
        <v>9907</v>
      </c>
      <c r="D29368" s="16" t="s">
        <v>9918</v>
      </c>
      <c r="E29368" s="2">
        <v>3610613</v>
      </c>
      <c r="F29368" s="4" t="e">
        <f>IF(B29368=#REF!,"",B29368)</f>
        <v>#REF!</v>
      </c>
    </row>
    <row r="29369" spans="1:6" ht="15.75" customHeight="1">
      <c r="A29369" s="16" t="s">
        <v>24448</v>
      </c>
      <c r="B29369" s="15" t="s">
        <v>24448</v>
      </c>
      <c r="C29369" s="16" t="s">
        <v>24200</v>
      </c>
      <c r="D29369" s="16" t="s">
        <v>24277</v>
      </c>
      <c r="E29369" s="2">
        <v>3123329</v>
      </c>
      <c r="F29369" s="4" t="e">
        <f>IF(B29369=#REF!,"",B29369)</f>
        <v>#REF!</v>
      </c>
    </row>
    <row r="29370" spans="1:6" ht="15.75" customHeight="1">
      <c r="A29370" s="15" t="s">
        <v>28539</v>
      </c>
      <c r="B29370" s="15" t="s">
        <v>28539</v>
      </c>
      <c r="C29370" s="15" t="s">
        <v>27788</v>
      </c>
      <c r="D29370" s="15" t="s">
        <v>27792</v>
      </c>
      <c r="E29370" s="2">
        <v>5520993</v>
      </c>
      <c r="F29370" s="4" t="str">
        <f>IF(B29370=B29369,"",B29370)</f>
        <v>El Paso</v>
      </c>
    </row>
    <row r="29371" spans="1:6" ht="15.75" customHeight="1">
      <c r="A29371" s="16" t="str">
        <f ca="1">IFERROR(__xludf.DUMMYFUNCTION("GOOGLETRANSLATE(B31181,""en"",""pt"")"),"El paraíso")</f>
        <v>El paraíso</v>
      </c>
      <c r="B29371" s="20" t="s">
        <v>32799</v>
      </c>
      <c r="C29371" s="20" t="s">
        <v>9907</v>
      </c>
      <c r="D29371" s="20" t="s">
        <v>32799</v>
      </c>
      <c r="E29371" s="10">
        <v>3610965</v>
      </c>
      <c r="F29371" s="4" t="str">
        <f>IF(B29371=B29370,"",B29371)</f>
        <v>El Paraíso</v>
      </c>
    </row>
    <row r="29372" spans="1:6" ht="15.75" customHeight="1">
      <c r="A29372" s="16" t="s">
        <v>9917</v>
      </c>
      <c r="B29372" s="15" t="s">
        <v>9916</v>
      </c>
      <c r="C29372" s="16" t="s">
        <v>9907</v>
      </c>
      <c r="D29372" s="16" t="s">
        <v>9916</v>
      </c>
      <c r="E29372" s="2">
        <v>3610965</v>
      </c>
      <c r="F29372" s="4" t="e">
        <f>IF(B29372=#REF!,"",B29372)</f>
        <v>#REF!</v>
      </c>
    </row>
    <row r="29373" spans="1:6" ht="15.75" customHeight="1">
      <c r="A29373" s="15" t="s">
        <v>9733</v>
      </c>
      <c r="B29373" s="15" t="s">
        <v>9733</v>
      </c>
      <c r="C29373" s="15" t="s">
        <v>9700</v>
      </c>
      <c r="D29373" s="15" t="s">
        <v>9712</v>
      </c>
      <c r="E29373" s="2">
        <v>3596644</v>
      </c>
      <c r="F29373" s="4" t="e">
        <f>IF(B29373=#REF!,"",B29373)</f>
        <v>#REF!</v>
      </c>
    </row>
    <row r="29374" spans="1:6" ht="15.75" customHeight="1">
      <c r="A29374" s="15" t="s">
        <v>351</v>
      </c>
      <c r="B29374" s="15" t="s">
        <v>319</v>
      </c>
      <c r="C29374" s="15" t="s">
        <v>153</v>
      </c>
      <c r="D29374" s="15" t="s">
        <v>319</v>
      </c>
      <c r="E29374" s="2">
        <v>2497411</v>
      </c>
      <c r="F29374" s="4" t="e">
        <f>IF(B29374=#REF!,"",B29374)</f>
        <v>#REF!</v>
      </c>
    </row>
    <row r="29375" spans="1:6" ht="15.75" customHeight="1">
      <c r="A29375" s="15" t="s">
        <v>25034</v>
      </c>
      <c r="B29375" s="15" t="s">
        <v>25034</v>
      </c>
      <c r="C29375" s="15" t="s">
        <v>24987</v>
      </c>
      <c r="D29375" s="15" t="s">
        <v>25015</v>
      </c>
      <c r="E29375" s="2">
        <v>379003</v>
      </c>
      <c r="F29375" s="4" t="e">
        <f>IF(B29375=#REF!,"",B29375)</f>
        <v>#REF!</v>
      </c>
    </row>
    <row r="29376" spans="1:6" ht="15.75" customHeight="1">
      <c r="A29376" s="15" t="s">
        <v>4396</v>
      </c>
      <c r="B29376" s="15" t="s">
        <v>4396</v>
      </c>
      <c r="C29376" s="15" t="s">
        <v>4355</v>
      </c>
      <c r="D29376" s="15" t="s">
        <v>4366</v>
      </c>
      <c r="E29376" s="2">
        <v>3890949</v>
      </c>
      <c r="F29376" s="4" t="e">
        <f>IF(B29376=#REF!,"",B29376)</f>
        <v>#REF!</v>
      </c>
    </row>
    <row r="29377" spans="1:6" ht="15.75" customHeight="1">
      <c r="A29377" s="15" t="s">
        <v>28538</v>
      </c>
      <c r="B29377" s="15" t="s">
        <v>28538</v>
      </c>
      <c r="C29377" s="15" t="s">
        <v>27788</v>
      </c>
      <c r="D29377" s="15" t="s">
        <v>27880</v>
      </c>
      <c r="E29377" s="2">
        <v>5293996</v>
      </c>
      <c r="F29377" s="4" t="e">
        <f>IF(B29377=#REF!,"",B29377)</f>
        <v>#REF!</v>
      </c>
    </row>
    <row r="29378" spans="1:6" ht="15.75" customHeight="1">
      <c r="A29378" s="16" t="s">
        <v>24447</v>
      </c>
      <c r="B29378" s="15" t="s">
        <v>24447</v>
      </c>
      <c r="C29378" s="16" t="s">
        <v>24200</v>
      </c>
      <c r="D29378" s="16" t="s">
        <v>24277</v>
      </c>
      <c r="E29378" s="2">
        <v>3117232</v>
      </c>
      <c r="F29378" s="4" t="e">
        <f>IF(B29378=#REF!,"",B29378)</f>
        <v>#REF!</v>
      </c>
    </row>
    <row r="29379" spans="1:6" ht="15.75" customHeight="1">
      <c r="A29379" s="15" t="s">
        <v>350</v>
      </c>
      <c r="B29379" s="15" t="s">
        <v>350</v>
      </c>
      <c r="C29379" s="15" t="s">
        <v>153</v>
      </c>
      <c r="D29379" s="15" t="s">
        <v>209</v>
      </c>
      <c r="E29379" s="2">
        <v>2497714</v>
      </c>
      <c r="F29379" s="4" t="str">
        <f>IF(B29379=B29378,"",B29379)</f>
        <v>El Malah</v>
      </c>
    </row>
    <row r="29380" spans="1:6" ht="15.75" customHeight="1">
      <c r="A29380" s="16" t="str">
        <f ca="1">IFERROR(__xludf.DUMMYFUNCTION("GOOGLETRANSLATE(B45667,""en"",""pt"")"),"El Limón")</f>
        <v>El Limón</v>
      </c>
      <c r="B29380" s="20" t="s">
        <v>36097</v>
      </c>
      <c r="C29380" s="20" t="s">
        <v>5923</v>
      </c>
      <c r="D29380" s="20" t="s">
        <v>30652</v>
      </c>
      <c r="E29380" s="10">
        <v>3642833</v>
      </c>
      <c r="F29380" s="4" t="str">
        <f>IF(B29380=B29379,"",B29380)</f>
        <v>El Limón</v>
      </c>
    </row>
    <row r="29381" spans="1:6" ht="15.75" customHeight="1">
      <c r="A29381" s="15" t="s">
        <v>30685</v>
      </c>
      <c r="B29381" s="15" t="s">
        <v>30686</v>
      </c>
      <c r="C29381" s="15" t="s">
        <v>5923</v>
      </c>
      <c r="D29381" s="15" t="s">
        <v>30652</v>
      </c>
      <c r="E29381" s="2">
        <v>3642833</v>
      </c>
      <c r="F29381" s="4" t="e">
        <f>IF(B29381=#REF!,"",B29381)</f>
        <v>#REF!</v>
      </c>
    </row>
    <row r="29382" spans="1:6" ht="15.75" customHeight="1">
      <c r="A29382" s="15" t="s">
        <v>349</v>
      </c>
      <c r="B29382" s="15" t="s">
        <v>349</v>
      </c>
      <c r="C29382" s="15" t="s">
        <v>153</v>
      </c>
      <c r="D29382" s="15" t="s">
        <v>221</v>
      </c>
      <c r="E29382" s="2">
        <v>2497796</v>
      </c>
      <c r="F29382" s="4" t="e">
        <f>IF(B29382=#REF!,"",B29382)</f>
        <v>#REF!</v>
      </c>
    </row>
    <row r="29383" spans="1:6" ht="15.75" customHeight="1">
      <c r="A29383" s="15" t="s">
        <v>348</v>
      </c>
      <c r="B29383" s="15" t="s">
        <v>348</v>
      </c>
      <c r="C29383" s="15" t="s">
        <v>153</v>
      </c>
      <c r="D29383" s="15" t="s">
        <v>157</v>
      </c>
      <c r="E29383" s="2">
        <v>2497849</v>
      </c>
      <c r="F29383" s="4" t="e">
        <f>IF(B29383=#REF!,"",B29383)</f>
        <v>#REF!</v>
      </c>
    </row>
    <row r="29384" spans="1:6" ht="15.75" customHeight="1">
      <c r="A29384" s="15" t="s">
        <v>26127</v>
      </c>
      <c r="B29384" s="15" t="s">
        <v>26127</v>
      </c>
      <c r="C29384" s="15" t="s">
        <v>26090</v>
      </c>
      <c r="D29384" s="15" t="s">
        <v>26128</v>
      </c>
      <c r="E29384" s="2">
        <v>2473634</v>
      </c>
      <c r="F29384" s="4" t="e">
        <f>IF(B29384=#REF!,"",B29384)</f>
        <v>#REF!</v>
      </c>
    </row>
    <row r="29385" spans="1:6" ht="15.75" customHeight="1">
      <c r="A29385" s="15" t="s">
        <v>347</v>
      </c>
      <c r="B29385" s="15" t="s">
        <v>347</v>
      </c>
      <c r="C29385" s="15" t="s">
        <v>153</v>
      </c>
      <c r="D29385" s="15" t="s">
        <v>246</v>
      </c>
      <c r="E29385" s="2">
        <v>2497988</v>
      </c>
      <c r="F29385" s="4" t="e">
        <f>IF(B29385=#REF!,"",B29385)</f>
        <v>#REF!</v>
      </c>
    </row>
    <row r="29386" spans="1:6" ht="15.75" customHeight="1">
      <c r="A29386" s="15" t="s">
        <v>26126</v>
      </c>
      <c r="B29386" s="15" t="s">
        <v>26126</v>
      </c>
      <c r="C29386" s="15" t="s">
        <v>26090</v>
      </c>
      <c r="D29386" s="15" t="s">
        <v>26113</v>
      </c>
      <c r="E29386" s="2">
        <v>2473654</v>
      </c>
      <c r="F29386" s="4" t="e">
        <f>IF(B29386=#REF!,"",B29386)</f>
        <v>#REF!</v>
      </c>
    </row>
    <row r="29387" spans="1:6" ht="15.75" customHeight="1">
      <c r="A29387" s="15" t="s">
        <v>18579</v>
      </c>
      <c r="B29387" s="15" t="s">
        <v>18579</v>
      </c>
      <c r="C29387" s="15" t="s">
        <v>18551</v>
      </c>
      <c r="D29387" s="15" t="s">
        <v>18561</v>
      </c>
      <c r="E29387" s="2">
        <v>2550078</v>
      </c>
      <c r="F29387" s="4" t="e">
        <f>IF(B29387=#REF!,"",B29387)</f>
        <v>#REF!</v>
      </c>
    </row>
    <row r="29388" spans="1:6" ht="15.75" customHeight="1">
      <c r="A29388" s="15" t="s">
        <v>346</v>
      </c>
      <c r="B29388" s="15" t="s">
        <v>346</v>
      </c>
      <c r="C29388" s="15" t="s">
        <v>153</v>
      </c>
      <c r="D29388" s="15" t="s">
        <v>166</v>
      </c>
      <c r="E29388" s="2">
        <v>2498000</v>
      </c>
      <c r="F29388" s="4" t="e">
        <f>IF(B29388=#REF!,"",B29388)</f>
        <v>#REF!</v>
      </c>
    </row>
    <row r="29389" spans="1:6" ht="15.75" customHeight="1">
      <c r="A29389" s="15" t="s">
        <v>344</v>
      </c>
      <c r="B29389" s="15" t="s">
        <v>345</v>
      </c>
      <c r="C29389" s="15" t="s">
        <v>153</v>
      </c>
      <c r="D29389" s="15" t="s">
        <v>221</v>
      </c>
      <c r="E29389" s="2">
        <v>2476412</v>
      </c>
      <c r="F29389" s="4" t="e">
        <f>IF(B29389=#REF!,"",B29389)</f>
        <v>#REF!</v>
      </c>
    </row>
    <row r="29390" spans="1:6" ht="15.75" customHeight="1">
      <c r="A29390" s="15" t="s">
        <v>30684</v>
      </c>
      <c r="B29390" s="15" t="s">
        <v>30684</v>
      </c>
      <c r="C29390" s="15" t="s">
        <v>5923</v>
      </c>
      <c r="D29390" s="15" t="s">
        <v>30647</v>
      </c>
      <c r="E29390" s="2">
        <v>3643031</v>
      </c>
      <c r="F29390" s="4" t="e">
        <f>IF(B29390=#REF!,"",B29390)</f>
        <v>#REF!</v>
      </c>
    </row>
    <row r="29391" spans="1:6" ht="15.75" customHeight="1">
      <c r="A29391" s="16" t="s">
        <v>26124</v>
      </c>
      <c r="B29391" s="15" t="s">
        <v>26124</v>
      </c>
      <c r="C29391" s="16" t="s">
        <v>26090</v>
      </c>
      <c r="D29391" s="16" t="s">
        <v>26125</v>
      </c>
      <c r="E29391" s="2">
        <v>2473747</v>
      </c>
      <c r="F29391" s="4" t="e">
        <f>IF(B29391=#REF!,"",B29391)</f>
        <v>#REF!</v>
      </c>
    </row>
    <row r="29392" spans="1:6" ht="15.75" customHeight="1">
      <c r="A29392" s="15" t="s">
        <v>18578</v>
      </c>
      <c r="B29392" s="15" t="s">
        <v>18578</v>
      </c>
      <c r="C29392" s="15" t="s">
        <v>18551</v>
      </c>
      <c r="D29392" s="15" t="s">
        <v>18563</v>
      </c>
      <c r="E29392" s="2">
        <v>2550252</v>
      </c>
      <c r="F29392" s="4" t="e">
        <f>IF(B29392=#REF!,"",B29392)</f>
        <v>#REF!</v>
      </c>
    </row>
    <row r="29393" spans="1:6" ht="15.75" customHeight="1">
      <c r="A29393" s="15" t="s">
        <v>343</v>
      </c>
      <c r="B29393" s="15" t="s">
        <v>343</v>
      </c>
      <c r="C29393" s="15" t="s">
        <v>153</v>
      </c>
      <c r="D29393" s="15" t="s">
        <v>323</v>
      </c>
      <c r="E29393" s="2">
        <v>2498172</v>
      </c>
      <c r="F29393" s="4" t="e">
        <f>IF(B29393=#REF!,"",B29393)</f>
        <v>#REF!</v>
      </c>
    </row>
    <row r="29394" spans="1:6" ht="15.75" customHeight="1">
      <c r="A29394" s="15" t="s">
        <v>342</v>
      </c>
      <c r="B29394" s="15" t="s">
        <v>342</v>
      </c>
      <c r="C29394" s="15" t="s">
        <v>153</v>
      </c>
      <c r="D29394" s="15" t="s">
        <v>226</v>
      </c>
      <c r="E29394" s="2">
        <v>2498183</v>
      </c>
      <c r="F29394" s="4" t="e">
        <f>IF(B29394=#REF!,"",B29394)</f>
        <v>#REF!</v>
      </c>
    </row>
    <row r="29395" spans="1:6" ht="15.75" customHeight="1">
      <c r="A29395" s="15" t="s">
        <v>17923</v>
      </c>
      <c r="B29395" s="15" t="s">
        <v>17923</v>
      </c>
      <c r="C29395" s="15" t="s">
        <v>17707</v>
      </c>
      <c r="D29395" s="15" t="s">
        <v>17746</v>
      </c>
      <c r="E29395" s="2">
        <v>4009697</v>
      </c>
      <c r="F29395" s="4" t="e">
        <f>IF(B29395=#REF!,"",B29395)</f>
        <v>#REF!</v>
      </c>
    </row>
    <row r="29396" spans="1:6" ht="15.75" customHeight="1">
      <c r="A29396" s="15" t="s">
        <v>25032</v>
      </c>
      <c r="B29396" s="15" t="s">
        <v>25032</v>
      </c>
      <c r="C29396" s="15" t="s">
        <v>24987</v>
      </c>
      <c r="D29396" s="15" t="s">
        <v>25033</v>
      </c>
      <c r="E29396" s="2">
        <v>379555</v>
      </c>
      <c r="F29396" s="4" t="e">
        <f>IF(B29396=#REF!,"",B29396)</f>
        <v>#REF!</v>
      </c>
    </row>
    <row r="29397" spans="1:6" ht="15.75" customHeight="1">
      <c r="A29397" s="15" t="s">
        <v>26122</v>
      </c>
      <c r="B29397" s="15" t="s">
        <v>26122</v>
      </c>
      <c r="C29397" s="15" t="s">
        <v>26090</v>
      </c>
      <c r="D29397" s="15" t="s">
        <v>26123</v>
      </c>
      <c r="E29397" s="2">
        <v>2468285</v>
      </c>
      <c r="F29397" s="4" t="e">
        <f>IF(B29397=#REF!,"",B29397)</f>
        <v>#REF!</v>
      </c>
    </row>
    <row r="29398" spans="1:6" ht="15.75" customHeight="1">
      <c r="A29398" s="15" t="s">
        <v>341</v>
      </c>
      <c r="B29398" s="15" t="s">
        <v>341</v>
      </c>
      <c r="C29398" s="15" t="s">
        <v>153</v>
      </c>
      <c r="D29398" s="15" t="s">
        <v>183</v>
      </c>
      <c r="E29398" s="2">
        <v>2498392</v>
      </c>
      <c r="F29398" s="4" t="e">
        <f>IF(B29398=#REF!,"",B29398)</f>
        <v>#REF!</v>
      </c>
    </row>
    <row r="29399" spans="1:6" ht="15.75" customHeight="1">
      <c r="A29399" s="15" t="s">
        <v>9731</v>
      </c>
      <c r="B29399" s="15" t="s">
        <v>9731</v>
      </c>
      <c r="C29399" s="15" t="s">
        <v>9700</v>
      </c>
      <c r="D29399" s="15" t="s">
        <v>9732</v>
      </c>
      <c r="E29399" s="2">
        <v>3597078</v>
      </c>
      <c r="F29399" s="4" t="e">
        <f>IF(B29399=#REF!,"",B29399)</f>
        <v>#REF!</v>
      </c>
    </row>
    <row r="29400" spans="1:6" ht="15.75" customHeight="1">
      <c r="A29400" s="15" t="s">
        <v>24446</v>
      </c>
      <c r="B29400" s="15" t="s">
        <v>24446</v>
      </c>
      <c r="C29400" s="15" t="s">
        <v>24200</v>
      </c>
      <c r="D29400" s="15" t="s">
        <v>24205</v>
      </c>
      <c r="E29400" s="2">
        <v>2518494</v>
      </c>
      <c r="F29400" s="4" t="e">
        <f>IF(B29400=#REF!,"",B29400)</f>
        <v>#REF!</v>
      </c>
    </row>
    <row r="29401" spans="1:6" ht="15.75" customHeight="1">
      <c r="A29401" s="16" t="s">
        <v>28537</v>
      </c>
      <c r="B29401" s="15" t="s">
        <v>28537</v>
      </c>
      <c r="C29401" s="16" t="s">
        <v>27788</v>
      </c>
      <c r="D29401" s="16" t="s">
        <v>27801</v>
      </c>
      <c r="E29401" s="2">
        <v>5345679</v>
      </c>
      <c r="F29401" s="4" t="e">
        <f>IF(B29401=#REF!,"",B29401)</f>
        <v>#REF!</v>
      </c>
    </row>
    <row r="29402" spans="1:6" ht="15.75" customHeight="1">
      <c r="A29402" s="15" t="s">
        <v>28536</v>
      </c>
      <c r="B29402" s="15" t="s">
        <v>28536</v>
      </c>
      <c r="C29402" s="15" t="s">
        <v>27788</v>
      </c>
      <c r="D29402" s="15" t="s">
        <v>27991</v>
      </c>
      <c r="E29402" s="2">
        <v>4109785</v>
      </c>
      <c r="F29402" s="4" t="e">
        <f>IF(B29402=#REF!,"",B29402)</f>
        <v>#REF!</v>
      </c>
    </row>
    <row r="29403" spans="1:6" ht="15.75" customHeight="1">
      <c r="A29403" s="15" t="s">
        <v>25030</v>
      </c>
      <c r="B29403" s="15" t="s">
        <v>25030</v>
      </c>
      <c r="C29403" s="15" t="s">
        <v>24987</v>
      </c>
      <c r="D29403" s="15" t="s">
        <v>25031</v>
      </c>
      <c r="E29403" s="2">
        <v>380148</v>
      </c>
      <c r="F29403" s="4" t="e">
        <f>IF(B29403=#REF!,"",B29403)</f>
        <v>#REF!</v>
      </c>
    </row>
    <row r="29404" spans="1:6" ht="15.75" customHeight="1">
      <c r="A29404" s="16" t="s">
        <v>19227</v>
      </c>
      <c r="B29404" s="15" t="s">
        <v>19227</v>
      </c>
      <c r="C29404" s="16" t="s">
        <v>19217</v>
      </c>
      <c r="D29404" s="16" t="s">
        <v>19224</v>
      </c>
      <c r="E29404" s="2">
        <v>3619853</v>
      </c>
      <c r="F29404" s="4" t="e">
        <f>IF(B29404=#REF!,"",B29404)</f>
        <v>#REF!</v>
      </c>
    </row>
    <row r="29405" spans="1:6" ht="15.75" customHeight="1">
      <c r="A29405" s="15" t="s">
        <v>5455</v>
      </c>
      <c r="B29405" s="15" t="s">
        <v>5455</v>
      </c>
      <c r="C29405" s="15" t="s">
        <v>5348</v>
      </c>
      <c r="D29405" s="15" t="s">
        <v>5351</v>
      </c>
      <c r="E29405" s="2">
        <v>3684452</v>
      </c>
      <c r="F29405" s="4" t="e">
        <f>IF(B29405=#REF!,"",B29405)</f>
        <v>#REF!</v>
      </c>
    </row>
    <row r="29406" spans="1:6" ht="15.75" customHeight="1">
      <c r="A29406" s="15" t="s">
        <v>5453</v>
      </c>
      <c r="B29406" s="15" t="s">
        <v>5453</v>
      </c>
      <c r="C29406" s="15" t="s">
        <v>5348</v>
      </c>
      <c r="D29406" s="15" t="s">
        <v>5454</v>
      </c>
      <c r="E29406" s="2">
        <v>3684579</v>
      </c>
      <c r="F29406" s="4" t="e">
        <f>IF(B29406=#REF!,"",B29406)</f>
        <v>#REF!</v>
      </c>
    </row>
    <row r="29407" spans="1:6" ht="15.75" customHeight="1">
      <c r="A29407" s="15" t="s">
        <v>5452</v>
      </c>
      <c r="B29407" s="15" t="s">
        <v>5452</v>
      </c>
      <c r="C29407" s="15" t="s">
        <v>5348</v>
      </c>
      <c r="D29407" s="15" t="s">
        <v>5360</v>
      </c>
      <c r="E29407" s="2">
        <v>3684615</v>
      </c>
      <c r="F29407" s="4" t="e">
        <f>IF(B29407=#REF!,"",B29407)</f>
        <v>#REF!</v>
      </c>
    </row>
    <row r="29408" spans="1:6" ht="15.75" customHeight="1">
      <c r="A29408" s="15" t="s">
        <v>28535</v>
      </c>
      <c r="B29408" s="15" t="s">
        <v>28535</v>
      </c>
      <c r="C29408" s="15" t="s">
        <v>27788</v>
      </c>
      <c r="D29408" s="15" t="s">
        <v>27801</v>
      </c>
      <c r="E29408" s="2">
        <v>5345609</v>
      </c>
      <c r="F29408" s="4" t="str">
        <f>IF(B29408=B29407,"",B29408)</f>
        <v>El Centro</v>
      </c>
    </row>
    <row r="29409" spans="1:6" ht="15.75" customHeight="1">
      <c r="A29409" s="16" t="str">
        <f ca="1">IFERROR(__xludf.DUMMYFUNCTION("GOOGLETRANSLATE(B26993,""en"",""pt"")"),"El Carmen de Bolívar")</f>
        <v>El Carmen de Bolívar</v>
      </c>
      <c r="B29409" s="20" t="s">
        <v>31875</v>
      </c>
      <c r="C29409" s="20" t="s">
        <v>5348</v>
      </c>
      <c r="D29409" s="20" t="s">
        <v>31836</v>
      </c>
      <c r="E29409" s="10">
        <v>3684666</v>
      </c>
      <c r="F29409" s="4" t="str">
        <f>IF(B29409=B29408,"",B29409)</f>
        <v>El Carmen de Bolívar</v>
      </c>
    </row>
    <row r="29410" spans="1:6" ht="15.75" customHeight="1">
      <c r="A29410" s="16" t="s">
        <v>5450</v>
      </c>
      <c r="B29410" s="15" t="s">
        <v>5451</v>
      </c>
      <c r="C29410" s="16" t="s">
        <v>5348</v>
      </c>
      <c r="D29410" s="16" t="s">
        <v>5373</v>
      </c>
      <c r="E29410" s="2">
        <v>3684666</v>
      </c>
      <c r="F29410" s="4" t="e">
        <f>IF(B29410=#REF!,"",B29410)</f>
        <v>#REF!</v>
      </c>
    </row>
    <row r="29411" spans="1:6" ht="15.75" customHeight="1">
      <c r="A29411" s="16" t="s">
        <v>24444</v>
      </c>
      <c r="B29411" s="15" t="s">
        <v>24445</v>
      </c>
      <c r="C29411" s="16" t="s">
        <v>24200</v>
      </c>
      <c r="D29411" s="16" t="s">
        <v>21053</v>
      </c>
      <c r="E29411" s="2">
        <v>2520447</v>
      </c>
      <c r="F29411" s="4" t="e">
        <f>IF(B29411=#REF!,"",B29411)</f>
        <v>#REF!</v>
      </c>
    </row>
    <row r="29412" spans="1:6" ht="15.75" customHeight="1">
      <c r="A29412" s="15" t="s">
        <v>28534</v>
      </c>
      <c r="B29412" s="15" t="s">
        <v>28534</v>
      </c>
      <c r="C29412" s="15" t="s">
        <v>27788</v>
      </c>
      <c r="D29412" s="15" t="s">
        <v>27801</v>
      </c>
      <c r="E29412" s="2">
        <v>5345529</v>
      </c>
      <c r="F29412" s="4" t="e">
        <f>IF(B29412=#REF!,"",B29412)</f>
        <v>#REF!</v>
      </c>
    </row>
    <row r="29413" spans="1:6" ht="15.75" customHeight="1">
      <c r="A29413" s="15" t="s">
        <v>30683</v>
      </c>
      <c r="B29413" s="15" t="s">
        <v>30683</v>
      </c>
      <c r="C29413" s="15" t="s">
        <v>5923</v>
      </c>
      <c r="D29413" s="15" t="s">
        <v>30647</v>
      </c>
      <c r="E29413" s="2">
        <v>3803449</v>
      </c>
      <c r="F29413" s="4" t="str">
        <f>IF(B29413=B29412,"",B29413)</f>
        <v>El Cafetal</v>
      </c>
    </row>
    <row r="29414" spans="1:6" ht="15.75" customHeight="1">
      <c r="A29414" s="16" t="str">
        <f ca="1">IFERROR(__xludf.DUMMYFUNCTION("GOOGLETRANSLATE(B23329,""en"",""pt"")"),"El Bolsón")</f>
        <v>El Bolsón</v>
      </c>
      <c r="B29414" s="20" t="s">
        <v>31209</v>
      </c>
      <c r="C29414" s="20" t="s">
        <v>558</v>
      </c>
      <c r="D29414" s="20" t="s">
        <v>571</v>
      </c>
      <c r="E29414" s="10">
        <v>3858765</v>
      </c>
      <c r="F29414" s="4" t="str">
        <f>IF(B29414=B29413,"",B29414)</f>
        <v>El Bolsón</v>
      </c>
    </row>
    <row r="29415" spans="1:6" ht="15.75" customHeight="1">
      <c r="A29415" s="15" t="s">
        <v>643</v>
      </c>
      <c r="B29415" s="15" t="s">
        <v>644</v>
      </c>
      <c r="C29415" s="15" t="s">
        <v>558</v>
      </c>
      <c r="D29415" s="15" t="s">
        <v>571</v>
      </c>
      <c r="E29415" s="2">
        <v>3858765</v>
      </c>
      <c r="F29415" s="4" t="e">
        <f>IF(B29415=#REF!,"",B29415)</f>
        <v>#REF!</v>
      </c>
    </row>
    <row r="29416" spans="1:6" ht="15.75" customHeight="1">
      <c r="A29416" s="15" t="s">
        <v>299</v>
      </c>
      <c r="B29416" s="15" t="s">
        <v>299</v>
      </c>
      <c r="C29416" s="15" t="s">
        <v>153</v>
      </c>
      <c r="D29416" s="15" t="s">
        <v>299</v>
      </c>
      <c r="E29416" s="2">
        <v>2498543</v>
      </c>
      <c r="F29416" s="4" t="e">
        <f>IF(B29416=#REF!,"",B29416)</f>
        <v>#REF!</v>
      </c>
    </row>
    <row r="29417" spans="1:6" ht="15.75" customHeight="1">
      <c r="A29417" s="15" t="s">
        <v>25029</v>
      </c>
      <c r="B29417" s="15" t="s">
        <v>25029</v>
      </c>
      <c r="C29417" s="15" t="s">
        <v>24987</v>
      </c>
      <c r="D29417" s="15" t="s">
        <v>25021</v>
      </c>
      <c r="E29417" s="2">
        <v>379630</v>
      </c>
      <c r="F29417" s="4" t="e">
        <f>IF(B29417=#REF!,"",B29417)</f>
        <v>#REF!</v>
      </c>
    </row>
    <row r="29418" spans="1:6" ht="15.75" customHeight="1">
      <c r="A29418" s="15" t="s">
        <v>5449</v>
      </c>
      <c r="B29418" s="15" t="s">
        <v>5449</v>
      </c>
      <c r="C29418" s="15" t="s">
        <v>5348</v>
      </c>
      <c r="D29418" s="15" t="s">
        <v>5368</v>
      </c>
      <c r="E29418" s="2">
        <v>3684917</v>
      </c>
      <c r="F29418" s="4" t="e">
        <f>IF(B29418=#REF!,"",B29418)</f>
        <v>#REF!</v>
      </c>
    </row>
    <row r="29419" spans="1:6" ht="15.75" customHeight="1">
      <c r="A29419" s="15" t="s">
        <v>5448</v>
      </c>
      <c r="B29419" s="15" t="s">
        <v>5448</v>
      </c>
      <c r="C29419" s="15" t="s">
        <v>5348</v>
      </c>
      <c r="D29419" s="15" t="s">
        <v>5362</v>
      </c>
      <c r="E29419" s="2">
        <v>3684945</v>
      </c>
      <c r="F29419" s="4" t="e">
        <f>IF(B29419=#REF!,"",B29419)</f>
        <v>#REF!</v>
      </c>
    </row>
    <row r="29420" spans="1:6" ht="15.75" customHeight="1">
      <c r="A29420" s="15" t="s">
        <v>339</v>
      </c>
      <c r="B29420" s="15" t="s">
        <v>340</v>
      </c>
      <c r="C29420" s="15" t="s">
        <v>153</v>
      </c>
      <c r="D29420" s="15" t="s">
        <v>191</v>
      </c>
      <c r="E29420" s="2">
        <v>2498590</v>
      </c>
      <c r="F29420" s="4" t="e">
        <f>IF(B29420=#REF!,"",B29420)</f>
        <v>#REF!</v>
      </c>
    </row>
    <row r="29421" spans="1:6" ht="15.75" customHeight="1">
      <c r="A29421" s="16" t="s">
        <v>24443</v>
      </c>
      <c r="B29421" s="15" t="s">
        <v>24443</v>
      </c>
      <c r="C29421" s="16" t="s">
        <v>24200</v>
      </c>
      <c r="D29421" s="16" t="s">
        <v>24367</v>
      </c>
      <c r="E29421" s="2">
        <v>3123667</v>
      </c>
      <c r="F29421" s="4" t="e">
        <f>IF(B29421=#REF!,"",B29421)</f>
        <v>#REF!</v>
      </c>
    </row>
    <row r="29422" spans="1:6" ht="15.75" customHeight="1">
      <c r="A29422" s="15" t="s">
        <v>24442</v>
      </c>
      <c r="B29422" s="15" t="s">
        <v>24442</v>
      </c>
      <c r="C29422" s="15" t="s">
        <v>24200</v>
      </c>
      <c r="D29422" s="15" t="s">
        <v>24205</v>
      </c>
      <c r="E29422" s="2">
        <v>2518729</v>
      </c>
      <c r="F29422" s="4" t="e">
        <f>IF(B29422=#REF!,"",B29422)</f>
        <v>#REF!</v>
      </c>
    </row>
    <row r="29423" spans="1:6" ht="15.75" customHeight="1">
      <c r="A29423" s="16" t="s">
        <v>338</v>
      </c>
      <c r="B29423" s="15" t="s">
        <v>338</v>
      </c>
      <c r="C29423" s="16" t="s">
        <v>153</v>
      </c>
      <c r="D29423" s="16" t="s">
        <v>186</v>
      </c>
      <c r="E29423" s="2">
        <v>2498667</v>
      </c>
      <c r="F29423" s="4" t="e">
        <f>IF(B29423=#REF!,"",B29423)</f>
        <v>#REF!</v>
      </c>
    </row>
    <row r="29424" spans="1:6" ht="15.75" customHeight="1">
      <c r="A29424" s="15" t="s">
        <v>337</v>
      </c>
      <c r="B29424" s="15" t="s">
        <v>337</v>
      </c>
      <c r="C29424" s="15" t="s">
        <v>153</v>
      </c>
      <c r="D29424" s="15" t="s">
        <v>209</v>
      </c>
      <c r="E29424" s="2">
        <v>2498704</v>
      </c>
      <c r="F29424" s="4" t="e">
        <f>IF(B29424=#REF!,"",B29424)</f>
        <v>#REF!</v>
      </c>
    </row>
    <row r="29425" spans="1:6" ht="15.75" customHeight="1">
      <c r="A29425" s="15" t="s">
        <v>26121</v>
      </c>
      <c r="B29425" s="15" t="s">
        <v>26121</v>
      </c>
      <c r="C29425" s="15" t="s">
        <v>26090</v>
      </c>
      <c r="D29425" s="15" t="s">
        <v>26110</v>
      </c>
      <c r="E29425" s="2">
        <v>2473876</v>
      </c>
      <c r="F29425" s="4" t="str">
        <f>IF(B29425=B29424,"",B29425)</f>
        <v>El Alia</v>
      </c>
    </row>
    <row r="29426" spans="1:6" ht="15.75" customHeight="1">
      <c r="A29426" s="16" t="str">
        <f ca="1">IFERROR(__xludf.DUMMYFUNCTION("GOOGLETRANSLATE(B36507,""en"",""pt"")"),"El Aïoun")</f>
        <v>El Aïoun</v>
      </c>
      <c r="B29426" s="20" t="s">
        <v>34595</v>
      </c>
      <c r="C29426" s="20" t="s">
        <v>18551</v>
      </c>
      <c r="D29426" s="20" t="s">
        <v>18554</v>
      </c>
      <c r="E29426" s="10">
        <v>2550806</v>
      </c>
      <c r="F29426" s="4" t="e">
        <f>IF(B29426=#REF!,"",B29426)</f>
        <v>#REF!</v>
      </c>
    </row>
    <row r="29427" spans="1:6" ht="15.75" customHeight="1">
      <c r="A29427" s="16" t="s">
        <v>336</v>
      </c>
      <c r="B29427" s="15" t="s">
        <v>336</v>
      </c>
      <c r="C29427" s="16" t="s">
        <v>153</v>
      </c>
      <c r="D29427" s="16" t="s">
        <v>160</v>
      </c>
      <c r="E29427" s="2">
        <v>2498752</v>
      </c>
      <c r="F29427" s="4" t="e">
        <f>IF(B29427=#REF!,"",B29427)</f>
        <v>#REF!</v>
      </c>
    </row>
    <row r="29428" spans="1:6" ht="15.75" customHeight="1">
      <c r="A29428" s="15" t="s">
        <v>334</v>
      </c>
      <c r="B29428" s="15" t="s">
        <v>335</v>
      </c>
      <c r="C29428" s="15" t="s">
        <v>153</v>
      </c>
      <c r="D29428" s="15" t="s">
        <v>274</v>
      </c>
      <c r="E29428" s="2">
        <v>2498766</v>
      </c>
      <c r="F29428" s="4" t="e">
        <f>IF(B29428=#REF!,"",B29428)</f>
        <v>#REF!</v>
      </c>
    </row>
    <row r="29429" spans="1:6" ht="15.75" customHeight="1">
      <c r="A29429" s="16" t="s">
        <v>333</v>
      </c>
      <c r="B29429" s="15" t="s">
        <v>333</v>
      </c>
      <c r="C29429" s="16" t="s">
        <v>153</v>
      </c>
      <c r="D29429" s="16" t="s">
        <v>299</v>
      </c>
      <c r="E29429" s="2">
        <v>2498775</v>
      </c>
      <c r="F29429" s="4" t="e">
        <f>IF(B29429=#REF!,"",B29429)</f>
        <v>#REF!</v>
      </c>
    </row>
    <row r="29430" spans="1:6" ht="15.75" customHeight="1">
      <c r="A29430" s="15" t="s">
        <v>332</v>
      </c>
      <c r="B29430" s="15" t="s">
        <v>332</v>
      </c>
      <c r="C29430" s="15" t="s">
        <v>153</v>
      </c>
      <c r="D29430" s="15" t="s">
        <v>191</v>
      </c>
      <c r="E29430" s="2">
        <v>2498782</v>
      </c>
      <c r="F29430" s="4" t="str">
        <f>IF(B29430=B29429,"",B29430)</f>
        <v>El Abadia</v>
      </c>
    </row>
    <row r="29431" spans="1:6" ht="15.75" customHeight="1">
      <c r="A29431" s="15" t="s">
        <v>18576</v>
      </c>
      <c r="B29431" s="15" t="s">
        <v>18577</v>
      </c>
      <c r="C29431" s="15" t="s">
        <v>18551</v>
      </c>
      <c r="D29431" s="15" t="s">
        <v>18554</v>
      </c>
      <c r="E29431" s="2">
        <v>2550806</v>
      </c>
      <c r="F29431" s="4" t="e">
        <f>IF(B29431=#REF!,"",B29431)</f>
        <v>#REF!</v>
      </c>
    </row>
    <row r="29432" spans="1:6" ht="15.75" customHeight="1">
      <c r="A29432" s="15" t="s">
        <v>19386</v>
      </c>
      <c r="B29432" s="15" t="s">
        <v>19386</v>
      </c>
      <c r="C29432" s="15" t="s">
        <v>19294</v>
      </c>
      <c r="D29432" s="15" t="s">
        <v>19328</v>
      </c>
      <c r="E29432" s="2">
        <v>2343641</v>
      </c>
      <c r="F29432" s="4" t="e">
        <f>IF(B29432=#REF!,"",B29432)</f>
        <v>#REF!</v>
      </c>
    </row>
    <row r="29433" spans="1:6" ht="15.75" customHeight="1">
      <c r="A29433" s="15" t="s">
        <v>16709</v>
      </c>
      <c r="B29433" s="15" t="s">
        <v>16709</v>
      </c>
      <c r="C29433" s="15" t="s">
        <v>16671</v>
      </c>
      <c r="D29433" s="15" t="s">
        <v>16677</v>
      </c>
      <c r="E29433" s="2">
        <v>1524325</v>
      </c>
      <c r="F29433" s="4" t="e">
        <f>IF(B29433=#REF!,"",B29433)</f>
        <v>#REF!</v>
      </c>
    </row>
    <row r="29434" spans="1:6" ht="15.75" customHeight="1">
      <c r="A29434" s="15" t="s">
        <v>19384</v>
      </c>
      <c r="B29434" s="15" t="s">
        <v>19384</v>
      </c>
      <c r="C29434" s="15" t="s">
        <v>19294</v>
      </c>
      <c r="D29434" s="15" t="s">
        <v>19385</v>
      </c>
      <c r="E29434" s="2">
        <v>2343720</v>
      </c>
      <c r="F29434" s="4" t="e">
        <f>IF(B29434=#REF!,"",B29434)</f>
        <v>#REF!</v>
      </c>
    </row>
    <row r="29435" spans="1:6" ht="15.75" customHeight="1">
      <c r="A29435" s="15" t="s">
        <v>22359</v>
      </c>
      <c r="B29435" s="15" t="s">
        <v>22359</v>
      </c>
      <c r="C29435" s="15" t="s">
        <v>22070</v>
      </c>
      <c r="D29435" s="15" t="s">
        <v>22360</v>
      </c>
      <c r="E29435" s="2">
        <v>563551</v>
      </c>
      <c r="F29435" s="4" t="e">
        <f>IF(B29435=#REF!,"",B29435)</f>
        <v>#REF!</v>
      </c>
    </row>
    <row r="29436" spans="1:6" ht="15.75" customHeight="1">
      <c r="A29436" s="15" t="s">
        <v>23890</v>
      </c>
      <c r="B29436" s="15" t="s">
        <v>23890</v>
      </c>
      <c r="C29436" s="15" t="s">
        <v>23842</v>
      </c>
      <c r="D29436" s="15" t="s">
        <v>23855</v>
      </c>
      <c r="E29436" s="2">
        <v>1105726</v>
      </c>
      <c r="F29436" s="4" t="e">
        <f>IF(B29436=#REF!,"",B29436)</f>
        <v>#REF!</v>
      </c>
    </row>
    <row r="29437" spans="1:6" ht="15.75" customHeight="1">
      <c r="A29437" s="15" t="s">
        <v>9391</v>
      </c>
      <c r="B29437" s="15" t="s">
        <v>9391</v>
      </c>
      <c r="C29437" s="15" t="s">
        <v>9365</v>
      </c>
      <c r="D29437" s="15" t="s">
        <v>9371</v>
      </c>
      <c r="E29437" s="2">
        <v>2301217</v>
      </c>
      <c r="F29437" s="4" t="e">
        <f>IF(B29437=#REF!,"",B29437)</f>
        <v>#REF!</v>
      </c>
    </row>
    <row r="29438" spans="1:6" ht="15.75" customHeight="1">
      <c r="A29438" s="15" t="s">
        <v>863</v>
      </c>
      <c r="B29438" s="15" t="s">
        <v>863</v>
      </c>
      <c r="C29438" s="15" t="s">
        <v>853</v>
      </c>
      <c r="D29438" s="15" t="s">
        <v>859</v>
      </c>
      <c r="E29438" s="2">
        <v>616062</v>
      </c>
      <c r="F29438" s="4" t="e">
        <f>IF(B29438=#REF!,"",B29438)</f>
        <v>#REF!</v>
      </c>
    </row>
    <row r="29439" spans="1:6" ht="15.75" customHeight="1">
      <c r="A29439" s="15" t="s">
        <v>19383</v>
      </c>
      <c r="B29439" s="15" t="s">
        <v>19383</v>
      </c>
      <c r="C29439" s="15" t="s">
        <v>19294</v>
      </c>
      <c r="D29439" s="15" t="s">
        <v>19322</v>
      </c>
      <c r="E29439" s="2">
        <v>2343784</v>
      </c>
      <c r="F29439" s="4" t="e">
        <f>IF(B29439=#REF!,"",B29439)</f>
        <v>#REF!</v>
      </c>
    </row>
    <row r="29440" spans="1:6" ht="15.75" customHeight="1">
      <c r="A29440" s="15" t="s">
        <v>30682</v>
      </c>
      <c r="B29440" s="15" t="s">
        <v>30682</v>
      </c>
      <c r="C29440" s="15" t="s">
        <v>5923</v>
      </c>
      <c r="D29440" s="15" t="s">
        <v>18059</v>
      </c>
      <c r="E29440" s="2">
        <v>3644417</v>
      </c>
      <c r="F29440" s="4" t="e">
        <f>IF(B29440=#REF!,"",B29440)</f>
        <v>#REF!</v>
      </c>
    </row>
    <row r="29441" spans="1:6" ht="15.75" customHeight="1">
      <c r="A29441" s="16" t="s">
        <v>24440</v>
      </c>
      <c r="B29441" s="15" t="s">
        <v>24441</v>
      </c>
      <c r="C29441" s="16" t="s">
        <v>24200</v>
      </c>
      <c r="D29441" s="16" t="s">
        <v>24226</v>
      </c>
      <c r="E29441" s="2">
        <v>3123688</v>
      </c>
      <c r="F29441" s="4" t="e">
        <f>IF(B29441=#REF!,"",B29441)</f>
        <v>#REF!</v>
      </c>
    </row>
    <row r="29442" spans="1:6" ht="15.75" customHeight="1">
      <c r="A29442" s="15" t="s">
        <v>24439</v>
      </c>
      <c r="B29442" s="15" t="s">
        <v>24439</v>
      </c>
      <c r="C29442" s="15" t="s">
        <v>24200</v>
      </c>
      <c r="D29442" s="15" t="s">
        <v>24277</v>
      </c>
      <c r="E29442" s="2">
        <v>6544100</v>
      </c>
      <c r="F29442" s="4" t="e">
        <f>IF(B29442=#REF!,"",B29442)</f>
        <v>#REF!</v>
      </c>
    </row>
    <row r="29443" spans="1:6" ht="15.75" customHeight="1">
      <c r="A29443" s="15" t="s">
        <v>8339</v>
      </c>
      <c r="B29443" s="15" t="s">
        <v>8339</v>
      </c>
      <c r="C29443" s="15" t="s">
        <v>8028</v>
      </c>
      <c r="D29443" s="15" t="s">
        <v>8029</v>
      </c>
      <c r="E29443" s="2">
        <v>2931361</v>
      </c>
      <c r="F29443" s="4" t="e">
        <f>IF(B29443=#REF!,"",B29443)</f>
        <v>#REF!</v>
      </c>
    </row>
    <row r="29444" spans="1:6" ht="15.75" customHeight="1">
      <c r="A29444" s="15" t="s">
        <v>8338</v>
      </c>
      <c r="B29444" s="15" t="s">
        <v>8338</v>
      </c>
      <c r="C29444" s="15" t="s">
        <v>8028</v>
      </c>
      <c r="D29444" s="15" t="s">
        <v>8031</v>
      </c>
      <c r="E29444" s="2">
        <v>2931414</v>
      </c>
      <c r="F29444" s="4" t="str">
        <f>IF(B29444=B29443,"",B29444)</f>
        <v>Eislingen</v>
      </c>
    </row>
    <row r="29445" spans="1:6" ht="15.75" customHeight="1">
      <c r="A29445" s="16" t="str">
        <f ca="1">IFERROR(__xludf.DUMMYFUNCTION("GOOGLETRANSLATE(B28141,""en"",""pt"")"),"Eisenhüttenstadt")</f>
        <v>Eisenhüttenstadt</v>
      </c>
      <c r="B29445" s="20" t="s">
        <v>8336</v>
      </c>
      <c r="C29445" s="20" t="s">
        <v>8028</v>
      </c>
      <c r="D29445" s="20" t="s">
        <v>8070</v>
      </c>
      <c r="E29445" s="10">
        <v>2931481</v>
      </c>
      <c r="F29445" s="4" t="str">
        <f>IF(B29445=B29444,"",B29445)</f>
        <v>Eisenhüttenstadt</v>
      </c>
    </row>
    <row r="29446" spans="1:6" ht="15.75" customHeight="1">
      <c r="A29446" s="16" t="s">
        <v>8336</v>
      </c>
      <c r="B29446" s="15" t="s">
        <v>8337</v>
      </c>
      <c r="C29446" s="16" t="s">
        <v>8028</v>
      </c>
      <c r="D29446" s="16" t="s">
        <v>8070</v>
      </c>
      <c r="E29446" s="2">
        <v>2931481</v>
      </c>
      <c r="F29446" s="4" t="e">
        <f>IF(B29446=#REF!,"",B29446)</f>
        <v>#REF!</v>
      </c>
    </row>
    <row r="29447" spans="1:6" ht="15.75" customHeight="1">
      <c r="A29447" s="15" t="s">
        <v>8335</v>
      </c>
      <c r="B29447" s="15" t="s">
        <v>8335</v>
      </c>
      <c r="C29447" s="15" t="s">
        <v>8028</v>
      </c>
      <c r="D29447" s="15" t="s">
        <v>8054</v>
      </c>
      <c r="E29447" s="2">
        <v>2931574</v>
      </c>
      <c r="F29447" s="4" t="e">
        <f>IF(B29447=#REF!,"",B29447)</f>
        <v>#REF!</v>
      </c>
    </row>
    <row r="29448" spans="1:6" ht="15.75" customHeight="1">
      <c r="A29448" s="15" t="s">
        <v>24057</v>
      </c>
      <c r="B29448" s="15" t="s">
        <v>24057</v>
      </c>
      <c r="C29448" s="15" t="s">
        <v>24024</v>
      </c>
      <c r="D29448" s="15" t="s">
        <v>24025</v>
      </c>
      <c r="E29448" s="2">
        <v>1832384</v>
      </c>
      <c r="F29448" s="4" t="str">
        <f>IF(B29448=B29447,"",B29448)</f>
        <v>Eisen</v>
      </c>
    </row>
    <row r="29449" spans="1:6" ht="15.75" customHeight="1">
      <c r="A29449" s="16" t="str">
        <f ca="1">IFERROR(__xludf.DUMMYFUNCTION("GOOGLETRANSLATE(B25317,""en"",""pt"")"),"Eirunepé")</f>
        <v>Eirunepé</v>
      </c>
      <c r="B29449" s="20" t="s">
        <v>2426</v>
      </c>
      <c r="C29449" s="20" t="s">
        <v>1905</v>
      </c>
      <c r="D29449" s="20" t="s">
        <v>2287</v>
      </c>
      <c r="E29449" s="10">
        <v>3664321</v>
      </c>
      <c r="F29449" s="4" t="str">
        <f>IF(B29449=B29448,"",B29449)</f>
        <v>Eirunepé</v>
      </c>
    </row>
    <row r="29450" spans="1:6" ht="15.75" customHeight="1">
      <c r="A29450" s="15" t="s">
        <v>2426</v>
      </c>
      <c r="B29450" s="15" t="s">
        <v>2427</v>
      </c>
      <c r="C29450" s="15" t="s">
        <v>1905</v>
      </c>
      <c r="D29450" s="15" t="s">
        <v>2287</v>
      </c>
      <c r="E29450" s="2">
        <v>3664321</v>
      </c>
      <c r="F29450" s="4" t="e">
        <f>IF(B29450=#REF!,"",B29450)</f>
        <v>#REF!</v>
      </c>
    </row>
    <row r="29451" spans="1:6" ht="15.75" customHeight="1">
      <c r="A29451" s="16" t="s">
        <v>18954</v>
      </c>
      <c r="B29451" s="15" t="s">
        <v>18954</v>
      </c>
      <c r="C29451" s="16" t="s">
        <v>18862</v>
      </c>
      <c r="D29451" s="16" t="s">
        <v>18888</v>
      </c>
      <c r="E29451" s="2">
        <v>2756253</v>
      </c>
      <c r="F29451" s="4" t="e">
        <f>IF(B29451=#REF!,"",B29451)</f>
        <v>#REF!</v>
      </c>
    </row>
    <row r="29452" spans="1:6" ht="15.75" customHeight="1">
      <c r="A29452" s="15" t="s">
        <v>8334</v>
      </c>
      <c r="B29452" s="15" t="s">
        <v>8334</v>
      </c>
      <c r="C29452" s="15" t="s">
        <v>8028</v>
      </c>
      <c r="D29452" s="15" t="s">
        <v>8034</v>
      </c>
      <c r="E29452" s="2">
        <v>2931804</v>
      </c>
      <c r="F29452" s="4" t="str">
        <f>IF(B29452=B29451,"",B29452)</f>
        <v>Einbeck</v>
      </c>
    </row>
    <row r="29453" spans="1:6" ht="15.75" customHeight="1">
      <c r="A29453" s="16" t="str">
        <f ca="1">IFERROR(__xludf.DUMMYFUNCTION("GOOGLETRANSLATE(B28000,""en"",""pt"")"),"Eimsbüttel")</f>
        <v>Eimsbüttel</v>
      </c>
      <c r="B29453" s="20" t="s">
        <v>32094</v>
      </c>
      <c r="C29453" s="20" t="s">
        <v>8028</v>
      </c>
      <c r="D29453" s="20" t="s">
        <v>8059</v>
      </c>
      <c r="E29453" s="10">
        <v>2911293</v>
      </c>
      <c r="F29453" s="4" t="str">
        <f>IF(B29453=B29452,"",B29453)</f>
        <v>Eimsbüttel</v>
      </c>
    </row>
    <row r="29454" spans="1:6" ht="15.75" customHeight="1">
      <c r="A29454" s="16" t="s">
        <v>8332</v>
      </c>
      <c r="B29454" s="15" t="s">
        <v>8333</v>
      </c>
      <c r="C29454" s="16" t="s">
        <v>8028</v>
      </c>
      <c r="D29454" s="16" t="s">
        <v>8059</v>
      </c>
      <c r="E29454" s="2">
        <v>2911293</v>
      </c>
      <c r="F29454" s="4" t="e">
        <f>IF(B29454=#REF!,"",B29454)</f>
        <v>#REF!</v>
      </c>
    </row>
    <row r="29455" spans="1:6" ht="15.75" customHeight="1">
      <c r="A29455" s="15" t="s">
        <v>8331</v>
      </c>
      <c r="B29455" s="15" t="s">
        <v>8331</v>
      </c>
      <c r="C29455" s="15" t="s">
        <v>8028</v>
      </c>
      <c r="D29455" s="15" t="s">
        <v>8072</v>
      </c>
      <c r="E29455" s="2">
        <v>2931871</v>
      </c>
      <c r="F29455" s="4" t="e">
        <f>IF(B29455=#REF!,"",B29455)</f>
        <v>#REF!</v>
      </c>
    </row>
    <row r="29456" spans="1:6" ht="15.75" customHeight="1">
      <c r="A29456" s="15" t="s">
        <v>14801</v>
      </c>
      <c r="B29456" s="15" t="s">
        <v>14801</v>
      </c>
      <c r="C29456" s="15" t="s">
        <v>14773</v>
      </c>
      <c r="D29456" s="15" t="s">
        <v>14779</v>
      </c>
      <c r="E29456" s="2">
        <v>295277</v>
      </c>
      <c r="F29456" s="4" t="e">
        <f>IF(B29456=#REF!,"",B29456)</f>
        <v>#REF!</v>
      </c>
    </row>
    <row r="29457" spans="1:6" ht="15.75" customHeight="1">
      <c r="A29457" s="15" t="s">
        <v>17167</v>
      </c>
      <c r="B29457" s="15" t="s">
        <v>17167</v>
      </c>
      <c r="C29457" s="15" t="s">
        <v>17154</v>
      </c>
      <c r="D29457" s="15" t="s">
        <v>17161</v>
      </c>
      <c r="E29457" s="2">
        <v>9610008</v>
      </c>
      <c r="F29457" s="4" t="e">
        <f>IF(B29457=#REF!,"",B29457)</f>
        <v>#REF!</v>
      </c>
    </row>
    <row r="29458" spans="1:6" ht="15.75" customHeight="1">
      <c r="A29458" s="16" t="s">
        <v>8330</v>
      </c>
      <c r="B29458" s="15" t="s">
        <v>8330</v>
      </c>
      <c r="C29458" s="16" t="s">
        <v>8028</v>
      </c>
      <c r="D29458" s="16" t="s">
        <v>8059</v>
      </c>
      <c r="E29458" s="2">
        <v>7274677</v>
      </c>
      <c r="F29458" s="4" t="e">
        <f>IF(B29458=#REF!,"",B29458)</f>
        <v>#REF!</v>
      </c>
    </row>
    <row r="29459" spans="1:6" ht="15.75" customHeight="1">
      <c r="A29459" s="15" t="s">
        <v>18953</v>
      </c>
      <c r="B29459" s="15" t="s">
        <v>18953</v>
      </c>
      <c r="C29459" s="15" t="s">
        <v>18862</v>
      </c>
      <c r="D29459" s="15" t="s">
        <v>18865</v>
      </c>
      <c r="E29459" s="2">
        <v>2756295</v>
      </c>
      <c r="F29459" s="4" t="e">
        <f>IF(B29459=#REF!,"",B29459)</f>
        <v>#REF!</v>
      </c>
    </row>
    <row r="29460" spans="1:6" ht="15.75" customHeight="1">
      <c r="A29460" s="15" t="s">
        <v>24438</v>
      </c>
      <c r="B29460" s="15" t="s">
        <v>24438</v>
      </c>
      <c r="C29460" s="15" t="s">
        <v>24200</v>
      </c>
      <c r="D29460" s="15" t="s">
        <v>24249</v>
      </c>
      <c r="E29460" s="2">
        <v>3123709</v>
      </c>
      <c r="F29460" s="4" t="str">
        <f>IF(B29460=B29459,"",B29460)</f>
        <v>Eibar</v>
      </c>
    </row>
    <row r="29461" spans="1:6" ht="15.75" customHeight="1">
      <c r="A29461" s="16" t="str">
        <f ca="1">IFERROR(__xludf.DUMMYFUNCTION("GOOGLETRANSLATE(B23616,""en"",""pt"")"),"Əhmədbəyli")</f>
        <v>Əhmədbəyli</v>
      </c>
      <c r="B29461" s="20" t="s">
        <v>31226</v>
      </c>
      <c r="C29461" s="20" t="s">
        <v>1170</v>
      </c>
      <c r="D29461" s="20" t="s">
        <v>31227</v>
      </c>
      <c r="E29461" s="10">
        <v>147059</v>
      </c>
      <c r="F29461" s="4" t="e">
        <f>IF(B29461=#REF!,"",B29461)</f>
        <v>#REF!</v>
      </c>
    </row>
    <row r="29462" spans="1:6" ht="15.75" customHeight="1">
      <c r="A29462" s="15" t="s">
        <v>8329</v>
      </c>
      <c r="B29462" s="15" t="s">
        <v>8329</v>
      </c>
      <c r="C29462" s="15" t="s">
        <v>8028</v>
      </c>
      <c r="D29462" s="15" t="s">
        <v>8031</v>
      </c>
      <c r="E29462" s="2">
        <v>2932924</v>
      </c>
      <c r="F29462" s="4" t="e">
        <f>IF(B29462=#REF!,"",B29462)</f>
        <v>#REF!</v>
      </c>
    </row>
    <row r="29463" spans="1:6" ht="15.75" customHeight="1">
      <c r="A29463" s="16" t="s">
        <v>19381</v>
      </c>
      <c r="B29463" s="15" t="s">
        <v>19382</v>
      </c>
      <c r="C29463" s="16" t="s">
        <v>19294</v>
      </c>
      <c r="D29463" s="16" t="s">
        <v>19312</v>
      </c>
      <c r="E29463" s="2">
        <v>2343822</v>
      </c>
      <c r="F29463" s="4" t="e">
        <f>IF(B29463=#REF!,"",B29463)</f>
        <v>#REF!</v>
      </c>
    </row>
    <row r="29464" spans="1:6" ht="15.75" customHeight="1">
      <c r="A29464" s="16" t="s">
        <v>28532</v>
      </c>
      <c r="B29464" s="15" t="s">
        <v>28533</v>
      </c>
      <c r="C29464" s="16" t="s">
        <v>27788</v>
      </c>
      <c r="D29464" s="16" t="s">
        <v>5468</v>
      </c>
      <c r="E29464" s="2">
        <v>4154280</v>
      </c>
      <c r="F29464" s="4" t="e">
        <f>IF(B29464=#REF!,"",B29464)</f>
        <v>#REF!</v>
      </c>
    </row>
    <row r="29465" spans="1:6" ht="15.75" customHeight="1">
      <c r="A29465" s="15" t="s">
        <v>11213</v>
      </c>
      <c r="B29465" s="15" t="s">
        <v>11213</v>
      </c>
      <c r="C29465" s="15" t="s">
        <v>10178</v>
      </c>
      <c r="D29465" s="15" t="s">
        <v>10201</v>
      </c>
      <c r="E29465" s="2">
        <v>1272101</v>
      </c>
      <c r="F29465" s="4" t="str">
        <f>IF(B29465=B29464,"",B29465)</f>
        <v>Egra</v>
      </c>
    </row>
    <row r="29466" spans="1:6" ht="15.75" customHeight="1">
      <c r="A29466" s="16" t="str">
        <f ca="1">IFERROR(__xludf.DUMMYFUNCTION("GOOGLETRANSLATE(B42013,""en"",""pt"")"),"Eğirdir")</f>
        <v>Eğirdir</v>
      </c>
      <c r="B29466" s="20" t="s">
        <v>35884</v>
      </c>
      <c r="C29466" s="20" t="s">
        <v>26201</v>
      </c>
      <c r="D29466" s="20" t="s">
        <v>26348</v>
      </c>
      <c r="E29466" s="10">
        <v>315905</v>
      </c>
      <c r="F29466" s="4" t="e">
        <f>IF(B29466=#REF!,"",B29466)</f>
        <v>#REF!</v>
      </c>
    </row>
    <row r="29467" spans="1:6" ht="15.75" customHeight="1">
      <c r="A29467" s="16" t="s">
        <v>28531</v>
      </c>
      <c r="B29467" s="15" t="s">
        <v>28531</v>
      </c>
      <c r="C29467" s="16" t="s">
        <v>27788</v>
      </c>
      <c r="D29467" s="16" t="s">
        <v>27819</v>
      </c>
      <c r="E29467" s="2">
        <v>5116303</v>
      </c>
      <c r="F29467" s="4" t="e">
        <f>IF(B29467=#REF!,"",B29467)</f>
        <v>#REF!</v>
      </c>
    </row>
    <row r="29468" spans="1:6" ht="15.75" customHeight="1">
      <c r="A29468" s="16" t="s">
        <v>8328</v>
      </c>
      <c r="B29468" s="15" t="s">
        <v>8328</v>
      </c>
      <c r="C29468" s="16" t="s">
        <v>8028</v>
      </c>
      <c r="D29468" s="16" t="s">
        <v>8031</v>
      </c>
      <c r="E29468" s="2">
        <v>2933101</v>
      </c>
      <c r="F29468" s="4" t="e">
        <f>IF(B29468=#REF!,"",B29468)</f>
        <v>#REF!</v>
      </c>
    </row>
    <row r="29469" spans="1:6" ht="15.75" customHeight="1">
      <c r="A29469" s="15" t="s">
        <v>10040</v>
      </c>
      <c r="B29469" s="15" t="s">
        <v>10040</v>
      </c>
      <c r="C29469" s="15" t="s">
        <v>9955</v>
      </c>
      <c r="D29469" s="15" t="s">
        <v>10041</v>
      </c>
      <c r="E29469" s="2">
        <v>721239</v>
      </c>
      <c r="F29469" s="4" t="e">
        <f>IF(B29469=#REF!,"",B29469)</f>
        <v>#REF!</v>
      </c>
    </row>
    <row r="29470" spans="1:6" ht="15.75" customHeight="1">
      <c r="A29470" s="15" t="s">
        <v>19380</v>
      </c>
      <c r="B29470" s="15" t="s">
        <v>19380</v>
      </c>
      <c r="C29470" s="15" t="s">
        <v>19294</v>
      </c>
      <c r="D29470" s="15" t="s">
        <v>19310</v>
      </c>
      <c r="E29470" s="2">
        <v>2343943</v>
      </c>
      <c r="F29470" s="4" t="e">
        <f>IF(B29470=#REF!,"",B29470)</f>
        <v>#REF!</v>
      </c>
    </row>
    <row r="29471" spans="1:6" ht="15.75" customHeight="1">
      <c r="A29471" s="16" t="s">
        <v>19379</v>
      </c>
      <c r="B29471" s="15" t="s">
        <v>19379</v>
      </c>
      <c r="C29471" s="16" t="s">
        <v>19294</v>
      </c>
      <c r="D29471" s="16" t="s">
        <v>19322</v>
      </c>
      <c r="E29471" s="2">
        <v>2343983</v>
      </c>
      <c r="F29471" s="4" t="e">
        <f>IF(B29471=#REF!,"",B29471)</f>
        <v>#REF!</v>
      </c>
    </row>
    <row r="29472" spans="1:6" ht="15.75" customHeight="1">
      <c r="A29472" s="15" t="s">
        <v>19378</v>
      </c>
      <c r="B29472" s="15" t="s">
        <v>19378</v>
      </c>
      <c r="C29472" s="15" t="s">
        <v>19294</v>
      </c>
      <c r="D29472" s="15" t="s">
        <v>19297</v>
      </c>
      <c r="E29472" s="2">
        <v>2343985</v>
      </c>
      <c r="F29472" s="4" t="e">
        <f>IF(B29472=#REF!,"",B29472)</f>
        <v>#REF!</v>
      </c>
    </row>
    <row r="29473" spans="1:6" ht="15.75" customHeight="1">
      <c r="A29473" s="15" t="s">
        <v>18951</v>
      </c>
      <c r="B29473" s="15" t="s">
        <v>18952</v>
      </c>
      <c r="C29473" s="15" t="s">
        <v>18862</v>
      </c>
      <c r="D29473" s="15" t="s">
        <v>18888</v>
      </c>
      <c r="E29473" s="2">
        <v>2756342</v>
      </c>
      <c r="F29473" s="4" t="e">
        <f>IF(B29473=#REF!,"",B29473)</f>
        <v>#REF!</v>
      </c>
    </row>
    <row r="29474" spans="1:6" ht="15.75" customHeight="1">
      <c r="A29474" s="15" t="s">
        <v>1566</v>
      </c>
      <c r="B29474" s="15" t="s">
        <v>1566</v>
      </c>
      <c r="C29474" s="15" t="s">
        <v>1512</v>
      </c>
      <c r="D29474" s="15" t="s">
        <v>1513</v>
      </c>
      <c r="E29474" s="2">
        <v>2798987</v>
      </c>
      <c r="F29474" s="4" t="e">
        <f>IF(B29474=#REF!,"",B29474)</f>
        <v>#REF!</v>
      </c>
    </row>
    <row r="29475" spans="1:6" ht="15.75" customHeight="1">
      <c r="A29475" s="16" t="s">
        <v>28530</v>
      </c>
      <c r="B29475" s="15" t="s">
        <v>28530</v>
      </c>
      <c r="C29475" s="16" t="s">
        <v>27788</v>
      </c>
      <c r="D29475" s="16" t="s">
        <v>27799</v>
      </c>
      <c r="E29475" s="2">
        <v>4237717</v>
      </c>
      <c r="F29475" s="4" t="e">
        <f>IF(B29475=#REF!,"",B29475)</f>
        <v>#REF!</v>
      </c>
    </row>
    <row r="29476" spans="1:6" ht="15.75" customHeight="1">
      <c r="A29476" s="15" t="s">
        <v>26457</v>
      </c>
      <c r="B29476" s="15" t="s">
        <v>26457</v>
      </c>
      <c r="C29476" s="15" t="s">
        <v>26201</v>
      </c>
      <c r="D29476" s="15" t="s">
        <v>26340</v>
      </c>
      <c r="E29476" s="2">
        <v>315985</v>
      </c>
      <c r="F29476" s="4" t="e">
        <f>IF(B29476=#REF!,"",B29476)</f>
        <v>#REF!</v>
      </c>
    </row>
    <row r="29477" spans="1:6" ht="15.75" customHeight="1">
      <c r="A29477" s="15" t="s">
        <v>15858</v>
      </c>
      <c r="B29477" s="15" t="s">
        <v>15859</v>
      </c>
      <c r="C29477" s="15" t="s">
        <v>15704</v>
      </c>
      <c r="D29477" s="15" t="s">
        <v>15724</v>
      </c>
      <c r="E29477" s="2">
        <v>2112963</v>
      </c>
      <c r="F29477" s="4" t="e">
        <f>IF(B29477=#REF!,"",B29477)</f>
        <v>#REF!</v>
      </c>
    </row>
    <row r="29478" spans="1:6" ht="15.75" customHeight="1">
      <c r="A29478" s="16" t="s">
        <v>4049</v>
      </c>
      <c r="B29478" s="15" t="s">
        <v>4049</v>
      </c>
      <c r="C29478" s="16" t="s">
        <v>3975</v>
      </c>
      <c r="D29478" s="16" t="s">
        <v>4042</v>
      </c>
      <c r="E29478" s="2">
        <v>6545023</v>
      </c>
      <c r="F29478" s="4" t="e">
        <f>IF(B29478=#REF!,"",B29478)</f>
        <v>#REF!</v>
      </c>
    </row>
    <row r="29479" spans="1:6" ht="15.75" customHeight="1">
      <c r="A29479" s="16" t="s">
        <v>4048</v>
      </c>
      <c r="B29479" s="15" t="s">
        <v>4048</v>
      </c>
      <c r="C29479" s="16" t="s">
        <v>3975</v>
      </c>
      <c r="D29479" s="16" t="s">
        <v>3978</v>
      </c>
      <c r="E29479" s="2">
        <v>5946768</v>
      </c>
      <c r="F29479" s="4" t="e">
        <f>IF(B29479=#REF!,"",B29479)</f>
        <v>#REF!</v>
      </c>
    </row>
    <row r="29480" spans="1:6" ht="15.75" customHeight="1">
      <c r="A29480" s="15" t="s">
        <v>28529</v>
      </c>
      <c r="B29480" s="15" t="s">
        <v>28529</v>
      </c>
      <c r="C29480" s="15" t="s">
        <v>27788</v>
      </c>
      <c r="D29480" s="15" t="s">
        <v>27733</v>
      </c>
      <c r="E29480" s="2">
        <v>5793427</v>
      </c>
      <c r="F29480" s="4" t="e">
        <f>IF(B29480=#REF!,"",B29480)</f>
        <v>#REF!</v>
      </c>
    </row>
    <row r="29481" spans="1:6" ht="15.75" customHeight="1">
      <c r="A29481" s="15" t="s">
        <v>28528</v>
      </c>
      <c r="B29481" s="15" t="s">
        <v>28528</v>
      </c>
      <c r="C29481" s="15" t="s">
        <v>27788</v>
      </c>
      <c r="D29481" s="15" t="s">
        <v>27797</v>
      </c>
      <c r="E29481" s="2">
        <v>4535740</v>
      </c>
      <c r="F29481" s="4" t="e">
        <f>IF(B29481=#REF!,"",B29481)</f>
        <v>#REF!</v>
      </c>
    </row>
    <row r="29482" spans="1:6" ht="15.75" customHeight="1">
      <c r="A29482" s="15" t="s">
        <v>28527</v>
      </c>
      <c r="B29482" s="15" t="s">
        <v>28527</v>
      </c>
      <c r="C29482" s="15" t="s">
        <v>27788</v>
      </c>
      <c r="D29482" s="15" t="s">
        <v>27905</v>
      </c>
      <c r="E29482" s="2">
        <v>5097529</v>
      </c>
      <c r="F29482" s="4" t="e">
        <f>IF(B29482=#REF!,"",B29482)</f>
        <v>#REF!</v>
      </c>
    </row>
    <row r="29483" spans="1:6" ht="15.75" customHeight="1">
      <c r="A29483" s="15" t="s">
        <v>26456</v>
      </c>
      <c r="B29483" s="15" t="s">
        <v>26456</v>
      </c>
      <c r="C29483" s="15" t="s">
        <v>26201</v>
      </c>
      <c r="D29483" s="15" t="s">
        <v>26456</v>
      </c>
      <c r="E29483" s="2">
        <v>747712</v>
      </c>
      <c r="F29483" s="4" t="str">
        <f>IF(B29483=B29482,"",B29483)</f>
        <v>Edirne</v>
      </c>
    </row>
    <row r="29484" spans="1:6" ht="15.75" customHeight="1">
      <c r="A29484" s="16" t="str">
        <f ca="1">IFERROR(__xludf.DUMMYFUNCTION("GOOGLETRANSLATE(B36526,""en"",""pt"")"),"Edineţ")</f>
        <v>Edineţ</v>
      </c>
      <c r="B29484" s="20" t="s">
        <v>34597</v>
      </c>
      <c r="C29484" s="20" t="s">
        <v>18455</v>
      </c>
      <c r="D29484" s="20" t="s">
        <v>34598</v>
      </c>
      <c r="E29484" s="10">
        <v>617076</v>
      </c>
      <c r="F29484" s="4" t="str">
        <f>IF(B29484=B29483,"",B29484)</f>
        <v>Edineţ</v>
      </c>
    </row>
    <row r="29485" spans="1:6" ht="15.75" customHeight="1">
      <c r="A29485" s="15" t="s">
        <v>18472</v>
      </c>
      <c r="B29485" s="15" t="s">
        <v>18473</v>
      </c>
      <c r="C29485" s="15" t="s">
        <v>18455</v>
      </c>
      <c r="D29485" s="15" t="s">
        <v>18474</v>
      </c>
      <c r="E29485" s="2">
        <v>617076</v>
      </c>
      <c r="F29485" s="4" t="e">
        <f>IF(B29485=#REF!,"",B29485)</f>
        <v>#REF!</v>
      </c>
    </row>
    <row r="29486" spans="1:6" ht="15.75" customHeight="1">
      <c r="A29486" s="15" t="s">
        <v>28526</v>
      </c>
      <c r="B29486" s="15" t="s">
        <v>28526</v>
      </c>
      <c r="C29486" s="15" t="s">
        <v>27788</v>
      </c>
      <c r="D29486" s="15" t="s">
        <v>27792</v>
      </c>
      <c r="E29486" s="2">
        <v>4688275</v>
      </c>
      <c r="F29486" s="4" t="e">
        <f>IF(B29486=#REF!,"",B29486)</f>
        <v>#REF!</v>
      </c>
    </row>
    <row r="29487" spans="1:6" ht="15.75" customHeight="1">
      <c r="A29487" s="15" t="s">
        <v>28525</v>
      </c>
      <c r="B29487" s="15" t="s">
        <v>28525</v>
      </c>
      <c r="C29487" s="15" t="s">
        <v>27788</v>
      </c>
      <c r="D29487" s="15" t="s">
        <v>27824</v>
      </c>
      <c r="E29487" s="2">
        <v>5025264</v>
      </c>
      <c r="F29487" s="4" t="e">
        <f>IF(B29487=#REF!,"",B29487)</f>
        <v>#REF!</v>
      </c>
    </row>
    <row r="29488" spans="1:6" ht="15.75" customHeight="1">
      <c r="A29488" s="16" t="s">
        <v>28524</v>
      </c>
      <c r="B29488" s="15" t="s">
        <v>28524</v>
      </c>
      <c r="C29488" s="16" t="s">
        <v>27788</v>
      </c>
      <c r="D29488" s="16" t="s">
        <v>17061</v>
      </c>
      <c r="E29488" s="2">
        <v>4354087</v>
      </c>
      <c r="F29488" s="4" t="e">
        <f>IF(B29488=#REF!,"",B29488)</f>
        <v>#REF!</v>
      </c>
    </row>
    <row r="29489" spans="1:6" ht="15.75" customHeight="1">
      <c r="A29489" s="16" t="s">
        <v>28523</v>
      </c>
      <c r="B29489" s="15" t="s">
        <v>28523</v>
      </c>
      <c r="C29489" s="16" t="s">
        <v>27788</v>
      </c>
      <c r="D29489" s="16" t="s">
        <v>5468</v>
      </c>
      <c r="E29489" s="2">
        <v>4154205</v>
      </c>
      <c r="F29489" s="4" t="e">
        <f>IF(B29489=#REF!,"",B29489)</f>
        <v>#REF!</v>
      </c>
    </row>
    <row r="29490" spans="1:6" ht="15.75" customHeight="1">
      <c r="A29490" s="15" t="s">
        <v>8327</v>
      </c>
      <c r="B29490" s="15" t="s">
        <v>8327</v>
      </c>
      <c r="C29490" s="15" t="s">
        <v>8028</v>
      </c>
      <c r="D29490" s="15" t="s">
        <v>8034</v>
      </c>
      <c r="E29490" s="2">
        <v>2933364</v>
      </c>
      <c r="F29490" s="4" t="str">
        <f>IF(B29490=B29489,"",B29490)</f>
        <v>Edewecht</v>
      </c>
    </row>
    <row r="29491" spans="1:6" ht="15.75" customHeight="1">
      <c r="A29491" s="16" t="str">
        <f ca="1">IFERROR(__xludf.DUMMYFUNCTION("GOOGLETRANSLATE(B31050,""en"",""pt"")"),"Édessa")</f>
        <v>Édessa</v>
      </c>
      <c r="B29491" s="20" t="s">
        <v>32756</v>
      </c>
      <c r="C29491" s="20" t="s">
        <v>9441</v>
      </c>
      <c r="D29491" s="20" t="s">
        <v>9442</v>
      </c>
      <c r="E29491" s="10">
        <v>736357</v>
      </c>
      <c r="F29491" s="4" t="e">
        <f>IF(B29491=#REF!,"",B29491)</f>
        <v>#REF!</v>
      </c>
    </row>
    <row r="29492" spans="1:6" ht="15.75" customHeight="1">
      <c r="A29492" s="16" t="s">
        <v>28522</v>
      </c>
      <c r="B29492" s="15" t="s">
        <v>28522</v>
      </c>
      <c r="C29492" s="16" t="s">
        <v>27788</v>
      </c>
      <c r="D29492" s="16" t="s">
        <v>27824</v>
      </c>
      <c r="E29492" s="2">
        <v>5025219</v>
      </c>
      <c r="F29492" s="4" t="e">
        <f>IF(B29492=#REF!,"",B29492)</f>
        <v>#REF!</v>
      </c>
    </row>
    <row r="29493" spans="1:6" ht="15.75" customHeight="1">
      <c r="A29493" s="15" t="s">
        <v>28520</v>
      </c>
      <c r="B29493" s="15" t="s">
        <v>28521</v>
      </c>
      <c r="C29493" s="15" t="s">
        <v>27788</v>
      </c>
      <c r="D29493" s="15" t="s">
        <v>27822</v>
      </c>
      <c r="E29493" s="2">
        <v>4464873</v>
      </c>
      <c r="F29493" s="4" t="e">
        <f>IF(B29493=#REF!,"",B29493)</f>
        <v>#REF!</v>
      </c>
    </row>
    <row r="29494" spans="1:6" ht="15.75" customHeight="1">
      <c r="A29494" s="15" t="s">
        <v>1565</v>
      </c>
      <c r="B29494" s="15" t="s">
        <v>1565</v>
      </c>
      <c r="C29494" s="15" t="s">
        <v>1512</v>
      </c>
      <c r="D29494" s="15" t="s">
        <v>1513</v>
      </c>
      <c r="E29494" s="2">
        <v>2799007</v>
      </c>
      <c r="F29494" s="4" t="str">
        <f>IF(B29494=B29493,"",B29494)</f>
        <v>Edegem</v>
      </c>
    </row>
    <row r="29495" spans="1:6" ht="15.75" customHeight="1">
      <c r="A29495" s="16" t="str">
        <f ca="1">IFERROR(__xludf.DUMMYFUNCTION("GOOGLETRANSLATE(B26024,""en"",""pt"")"),"Edéa")</f>
        <v>Edéa</v>
      </c>
      <c r="B29495" s="20" t="s">
        <v>31821</v>
      </c>
      <c r="C29495" s="20" t="s">
        <v>3884</v>
      </c>
      <c r="D29495" s="20" t="s">
        <v>1761</v>
      </c>
      <c r="E29495" s="10">
        <v>2232239</v>
      </c>
      <c r="F29495" s="4" t="e">
        <f>IF(B29495=#REF!,"",B29495)</f>
        <v>#REF!</v>
      </c>
    </row>
    <row r="29496" spans="1:6" ht="15.75" customHeight="1">
      <c r="A29496" s="15" t="s">
        <v>18950</v>
      </c>
      <c r="B29496" s="15" t="s">
        <v>18950</v>
      </c>
      <c r="C29496" s="15" t="s">
        <v>18862</v>
      </c>
      <c r="D29496" s="15" t="s">
        <v>18865</v>
      </c>
      <c r="E29496" s="2">
        <v>2756429</v>
      </c>
      <c r="F29496" s="4" t="str">
        <f>IF(B29496=B29495,"",B29496)</f>
        <v>Ede</v>
      </c>
    </row>
    <row r="29497" spans="1:6" ht="15.75" customHeight="1">
      <c r="A29497" s="15" t="s">
        <v>3912</v>
      </c>
      <c r="B29497" s="15" t="s">
        <v>3913</v>
      </c>
      <c r="C29497" s="15" t="s">
        <v>3884</v>
      </c>
      <c r="D29497" s="15" t="s">
        <v>1761</v>
      </c>
      <c r="E29497" s="2">
        <v>2232239</v>
      </c>
      <c r="F29497" s="4" t="e">
        <f>IF(B29497=#REF!,"",B29497)</f>
        <v>#REF!</v>
      </c>
    </row>
    <row r="29498" spans="1:6" ht="15.75" customHeight="1">
      <c r="A29498" s="15" t="s">
        <v>25028</v>
      </c>
      <c r="B29498" s="15" t="s">
        <v>25028</v>
      </c>
      <c r="C29498" s="15" t="s">
        <v>24987</v>
      </c>
      <c r="D29498" s="15" t="s">
        <v>25021</v>
      </c>
      <c r="E29498" s="2">
        <v>380173</v>
      </c>
      <c r="F29498" s="4" t="str">
        <f>IF(B29498=B29497,"",B29498)</f>
        <v>Ed Damer</v>
      </c>
    </row>
    <row r="29499" spans="1:6" ht="15.75" customHeight="1">
      <c r="A29499" s="16" t="str">
        <f ca="1">IFERROR(__xludf.DUMMYFUNCTION("GOOGLETRANSLATE(B30098,""en"",""pt"")"),"Écully")</f>
        <v>Écully</v>
      </c>
      <c r="B29499" s="20" t="s">
        <v>32613</v>
      </c>
      <c r="C29499" s="20" t="s">
        <v>7052</v>
      </c>
      <c r="D29499" s="20" t="s">
        <v>32532</v>
      </c>
      <c r="E29499" s="10">
        <v>3020392</v>
      </c>
      <c r="F29499" s="4" t="str">
        <f>IF(B29499=B29498,"",B29499)</f>
        <v>Écully</v>
      </c>
    </row>
    <row r="29500" spans="1:6" ht="15.75" customHeight="1">
      <c r="A29500" s="16" t="str">
        <f ca="1">IFERROR(__xludf.DUMMYFUNCTION("GOOGLETRANSLATE(B28148,""en"",""pt"")"),"Eckernförde")</f>
        <v>Eckernförde</v>
      </c>
      <c r="B29500" s="20" t="s">
        <v>32112</v>
      </c>
      <c r="C29500" s="20" t="s">
        <v>8028</v>
      </c>
      <c r="D29500" s="20" t="s">
        <v>8040</v>
      </c>
      <c r="E29500" s="10">
        <v>2933627</v>
      </c>
      <c r="F29500" s="4" t="str">
        <f>IF(B29500=B29499,"",B29500)</f>
        <v>Eckernförde</v>
      </c>
    </row>
    <row r="29501" spans="1:6" ht="15.75" customHeight="1">
      <c r="A29501" s="16" t="s">
        <v>8325</v>
      </c>
      <c r="B29501" s="15" t="s">
        <v>8326</v>
      </c>
      <c r="C29501" s="16" t="s">
        <v>8028</v>
      </c>
      <c r="D29501" s="16" t="s">
        <v>8040</v>
      </c>
      <c r="E29501" s="2">
        <v>2933627</v>
      </c>
      <c r="F29501" s="4" t="str">
        <f>IF(B29501=B29500,"",B29501)</f>
        <v>EckernfÃ¶rde</v>
      </c>
    </row>
    <row r="29502" spans="1:6" ht="15.75" customHeight="1">
      <c r="A29502" s="16" t="str">
        <f ca="1">IFERROR(__xludf.DUMMYFUNCTION("GOOGLETRANSLATE(B29129,""en"",""pt"")"),"Écija")</f>
        <v>Écija</v>
      </c>
      <c r="B29502" s="20" t="s">
        <v>32385</v>
      </c>
      <c r="C29502" s="20" t="s">
        <v>24200</v>
      </c>
      <c r="D29502" s="20" t="s">
        <v>24205</v>
      </c>
      <c r="E29502" s="10">
        <v>2518770</v>
      </c>
      <c r="F29502" s="4" t="e">
        <f>IF(B29502=#REF!,"",B29502)</f>
        <v>#REF!</v>
      </c>
    </row>
    <row r="29503" spans="1:6" ht="15.75" customHeight="1">
      <c r="A29503" s="15" t="s">
        <v>966</v>
      </c>
      <c r="B29503" s="15" t="s">
        <v>966</v>
      </c>
      <c r="C29503" s="15" t="s">
        <v>885</v>
      </c>
      <c r="D29503" s="15" t="s">
        <v>827</v>
      </c>
      <c r="E29503" s="2">
        <v>2167817</v>
      </c>
      <c r="F29503" s="4" t="e">
        <f>IF(B29503=#REF!,"",B29503)</f>
        <v>#REF!</v>
      </c>
    </row>
    <row r="29504" spans="1:6" ht="15.75" customHeight="1">
      <c r="A29504" s="15" t="s">
        <v>28519</v>
      </c>
      <c r="B29504" s="15" t="s">
        <v>28519</v>
      </c>
      <c r="C29504" s="15" t="s">
        <v>27788</v>
      </c>
      <c r="D29504" s="15" t="s">
        <v>27801</v>
      </c>
      <c r="E29504" s="2">
        <v>10104154</v>
      </c>
      <c r="F29504" s="4" t="str">
        <f>IF(B29504=B29503,"",B29504)</f>
        <v>Echo Park</v>
      </c>
    </row>
    <row r="29505" spans="1:6" ht="15.75" customHeight="1">
      <c r="A29505" s="16" t="str">
        <f ca="1">IFERROR(__xludf.DUMMYFUNCTION("GOOGLETRANSLATE(B30099,""en"",""pt"")"),"Échirolles")</f>
        <v>Échirolles</v>
      </c>
      <c r="B29505" s="20" t="s">
        <v>32614</v>
      </c>
      <c r="C29505" s="20" t="s">
        <v>7052</v>
      </c>
      <c r="D29505" s="20" t="s">
        <v>32532</v>
      </c>
      <c r="E29505" s="10">
        <v>3020495</v>
      </c>
      <c r="F29505" s="4" t="e">
        <f>IF(B29505=#REF!,"",B29505)</f>
        <v>#REF!</v>
      </c>
    </row>
    <row r="29506" spans="1:6" ht="15.75" customHeight="1">
      <c r="A29506" s="16" t="s">
        <v>330</v>
      </c>
      <c r="B29506" s="15" t="s">
        <v>331</v>
      </c>
      <c r="C29506" s="16" t="s">
        <v>153</v>
      </c>
      <c r="D29506" s="16" t="s">
        <v>215</v>
      </c>
      <c r="E29506" s="2">
        <v>2498954</v>
      </c>
      <c r="F29506" s="4" t="e">
        <f>IF(B29506=#REF!,"",B29506)</f>
        <v>#REF!</v>
      </c>
    </row>
    <row r="29507" spans="1:6" ht="15.75" customHeight="1">
      <c r="A29507" s="15" t="s">
        <v>17921</v>
      </c>
      <c r="B29507" s="15" t="s">
        <v>17922</v>
      </c>
      <c r="C29507" s="15" t="s">
        <v>17707</v>
      </c>
      <c r="D29507" s="15" t="s">
        <v>17736</v>
      </c>
      <c r="E29507" s="2">
        <v>3529612</v>
      </c>
      <c r="F29507" s="4" t="e">
        <f>IF(B29507=#REF!,"",B29507)</f>
        <v>#REF!</v>
      </c>
    </row>
    <row r="29508" spans="1:6" ht="15.75" customHeight="1">
      <c r="A29508" s="16" t="s">
        <v>19377</v>
      </c>
      <c r="B29508" s="15" t="s">
        <v>19377</v>
      </c>
      <c r="C29508" s="16" t="s">
        <v>19294</v>
      </c>
      <c r="D29508" s="16" t="s">
        <v>19336</v>
      </c>
      <c r="E29508" s="2">
        <v>2344082</v>
      </c>
      <c r="F29508" s="4" t="str">
        <f>IF(B29508=B29507,"",B29508)</f>
        <v>Ebute Ikorodu</v>
      </c>
    </row>
    <row r="29509" spans="1:6" ht="15.75" customHeight="1">
      <c r="A29509" s="16" t="str">
        <f ca="1">IFERROR(__xludf.DUMMYFUNCTION("GOOGLETRANSLATE(B26025,""en"",""pt"")"),"Ítolowa")</f>
        <v>Ítolowa</v>
      </c>
      <c r="B29509" s="20" t="s">
        <v>31822</v>
      </c>
      <c r="C29509" s="20" t="s">
        <v>3884</v>
      </c>
      <c r="D29509" s="20" t="s">
        <v>3885</v>
      </c>
      <c r="E29509" s="10">
        <v>2232283</v>
      </c>
      <c r="F29509" s="4" t="e">
        <f>IF(B29509=#REF!,"",B29509)</f>
        <v>#REF!</v>
      </c>
    </row>
    <row r="29510" spans="1:6" ht="15.75" customHeight="1">
      <c r="A29510" s="15" t="s">
        <v>15122</v>
      </c>
      <c r="B29510" s="15" t="s">
        <v>15122</v>
      </c>
      <c r="C29510" s="15" t="s">
        <v>14891</v>
      </c>
      <c r="D29510" s="15" t="s">
        <v>14896</v>
      </c>
      <c r="E29510" s="2">
        <v>3177438</v>
      </c>
      <c r="F29510" s="4" t="e">
        <f>IF(B29510=#REF!,"",B29510)</f>
        <v>#REF!</v>
      </c>
    </row>
    <row r="29511" spans="1:6" ht="15.75" customHeight="1">
      <c r="A29511" s="15" t="s">
        <v>15857</v>
      </c>
      <c r="B29511" s="15" t="s">
        <v>15857</v>
      </c>
      <c r="C29511" s="15" t="s">
        <v>15704</v>
      </c>
      <c r="D29511" s="15" t="s">
        <v>15705</v>
      </c>
      <c r="E29511" s="2">
        <v>2130404</v>
      </c>
      <c r="F29511" s="4" t="e">
        <f>IF(B29511=#REF!,"",B29511)</f>
        <v>#REF!</v>
      </c>
    </row>
    <row r="29512" spans="1:6" ht="15.75" customHeight="1">
      <c r="A29512" s="16" t="s">
        <v>8324</v>
      </c>
      <c r="B29512" s="15" t="s">
        <v>8324</v>
      </c>
      <c r="C29512" s="16" t="s">
        <v>8028</v>
      </c>
      <c r="D29512" s="16" t="s">
        <v>8070</v>
      </c>
      <c r="E29512" s="2">
        <v>2933882</v>
      </c>
      <c r="F29512" s="4" t="e">
        <f>IF(B29512=#REF!,"",B29512)</f>
        <v>#REF!</v>
      </c>
    </row>
    <row r="29513" spans="1:6" ht="15.75" customHeight="1">
      <c r="A29513" s="16" t="s">
        <v>8322</v>
      </c>
      <c r="B29513" s="15" t="s">
        <v>8323</v>
      </c>
      <c r="C29513" s="16" t="s">
        <v>8028</v>
      </c>
      <c r="D29513" s="16" t="s">
        <v>8031</v>
      </c>
      <c r="E29513" s="2">
        <v>2933959</v>
      </c>
      <c r="F29513" s="4" t="e">
        <f>IF(B29513=#REF!,"",B29513)</f>
        <v>#REF!</v>
      </c>
    </row>
    <row r="29514" spans="1:6" ht="15.75" customHeight="1">
      <c r="A29514" s="15" t="s">
        <v>8321</v>
      </c>
      <c r="B29514" s="15" t="s">
        <v>8321</v>
      </c>
      <c r="C29514" s="15" t="s">
        <v>8028</v>
      </c>
      <c r="D29514" s="15" t="s">
        <v>8031</v>
      </c>
      <c r="E29514" s="2">
        <v>2934020</v>
      </c>
      <c r="F29514" s="4" t="e">
        <f>IF(B29514=#REF!,"",B29514)</f>
        <v>#REF!</v>
      </c>
    </row>
    <row r="29515" spans="1:6" ht="15.75" customHeight="1">
      <c r="A29515" s="15" t="s">
        <v>6769</v>
      </c>
      <c r="B29515" s="15" t="s">
        <v>6770</v>
      </c>
      <c r="C29515" s="15" t="s">
        <v>6767</v>
      </c>
      <c r="D29515" s="15" t="s">
        <v>6771</v>
      </c>
      <c r="E29515" s="2">
        <v>2309332</v>
      </c>
      <c r="F29515" s="4" t="str">
        <f>IF(B29515=B29514,"",B29515)</f>
        <v>Ebebiyin</v>
      </c>
    </row>
    <row r="29516" spans="1:6" ht="15.75" customHeight="1">
      <c r="A29516" s="15" t="s">
        <v>26454</v>
      </c>
      <c r="B29516" s="15" t="s">
        <v>26455</v>
      </c>
      <c r="C29516" s="15" t="s">
        <v>26201</v>
      </c>
      <c r="D29516" s="15" t="s">
        <v>26348</v>
      </c>
      <c r="E29516" s="2">
        <v>315905</v>
      </c>
      <c r="F29516" s="4" t="e">
        <f>IF(B29516=#REF!,"",B29516)</f>
        <v>#REF!</v>
      </c>
    </row>
    <row r="29517" spans="1:6" ht="15.75" customHeight="1">
      <c r="A29517" s="16" t="s">
        <v>7332</v>
      </c>
      <c r="B29517" s="15" t="s">
        <v>7332</v>
      </c>
      <c r="C29517" s="16" t="s">
        <v>7052</v>
      </c>
      <c r="D29517" s="16" t="s">
        <v>7058</v>
      </c>
      <c r="E29517" s="2">
        <v>3020601</v>
      </c>
      <c r="F29517" s="4" t="e">
        <f>IF(B29517=#REF!,"",B29517)</f>
        <v>#REF!</v>
      </c>
    </row>
    <row r="29518" spans="1:6" ht="15.75" customHeight="1">
      <c r="A29518" s="16" t="s">
        <v>28518</v>
      </c>
      <c r="B29518" s="15" t="s">
        <v>28518</v>
      </c>
      <c r="C29518" s="16" t="s">
        <v>27788</v>
      </c>
      <c r="D29518" s="16" t="s">
        <v>27890</v>
      </c>
      <c r="E29518" s="2">
        <v>5251436</v>
      </c>
      <c r="F29518" s="4" t="e">
        <f>IF(B29518=#REF!,"",B29518)</f>
        <v>#REF!</v>
      </c>
    </row>
    <row r="29519" spans="1:6" ht="15.75" customHeight="1">
      <c r="A29519" s="16" t="s">
        <v>28517</v>
      </c>
      <c r="B29519" s="15" t="s">
        <v>28517</v>
      </c>
      <c r="C29519" s="16" t="s">
        <v>27788</v>
      </c>
      <c r="D29519" s="16" t="s">
        <v>27804</v>
      </c>
      <c r="E29519" s="2">
        <v>4991735</v>
      </c>
      <c r="F29519" s="4" t="e">
        <f>IF(B29519=#REF!,"",B29519)</f>
        <v>#REF!</v>
      </c>
    </row>
    <row r="29520" spans="1:6" ht="15.75" customHeight="1">
      <c r="A29520" s="15" t="s">
        <v>28516</v>
      </c>
      <c r="B29520" s="15" t="s">
        <v>28516</v>
      </c>
      <c r="C29520" s="15" t="s">
        <v>27788</v>
      </c>
      <c r="D29520" s="15" t="s">
        <v>17061</v>
      </c>
      <c r="E29520" s="2">
        <v>4353962</v>
      </c>
      <c r="F29520" s="4" t="e">
        <f>IF(B29520=#REF!,"",B29520)</f>
        <v>#REF!</v>
      </c>
    </row>
    <row r="29521" spans="1:6" ht="15.75" customHeight="1">
      <c r="A29521" s="15" t="s">
        <v>28515</v>
      </c>
      <c r="B29521" s="15" t="s">
        <v>28515</v>
      </c>
      <c r="C29521" s="15" t="s">
        <v>27788</v>
      </c>
      <c r="D29521" s="15" t="s">
        <v>27813</v>
      </c>
      <c r="E29521" s="2">
        <v>5152833</v>
      </c>
      <c r="F29521" s="4" t="e">
        <f>IF(B29521=#REF!,"",B29521)</f>
        <v>#REF!</v>
      </c>
    </row>
    <row r="29522" spans="1:6" ht="15.75" customHeight="1">
      <c r="A29522" s="16" t="s">
        <v>28514</v>
      </c>
      <c r="B29522" s="15" t="s">
        <v>28514</v>
      </c>
      <c r="C29522" s="16" t="s">
        <v>27788</v>
      </c>
      <c r="D29522" s="16" t="s">
        <v>27794</v>
      </c>
      <c r="E29522" s="2">
        <v>4935582</v>
      </c>
      <c r="F29522" s="4" t="e">
        <f>IF(B29522=#REF!,"",B29522)</f>
        <v>#REF!</v>
      </c>
    </row>
    <row r="29523" spans="1:6" ht="15.75" customHeight="1">
      <c r="A29523" s="16" t="s">
        <v>28513</v>
      </c>
      <c r="B29523" s="15" t="s">
        <v>28513</v>
      </c>
      <c r="C29523" s="16" t="s">
        <v>27788</v>
      </c>
      <c r="D29523" s="16" t="s">
        <v>27819</v>
      </c>
      <c r="E29523" s="2">
        <v>5116119</v>
      </c>
      <c r="F29523" s="4" t="e">
        <f>IF(B29523=#REF!,"",B29523)</f>
        <v>#REF!</v>
      </c>
    </row>
    <row r="29524" spans="1:6" ht="15.75" customHeight="1">
      <c r="A29524" s="16" t="s">
        <v>28512</v>
      </c>
      <c r="B29524" s="15" t="s">
        <v>28512</v>
      </c>
      <c r="C29524" s="16" t="s">
        <v>27788</v>
      </c>
      <c r="D29524" s="16" t="s">
        <v>27819</v>
      </c>
      <c r="E29524" s="2">
        <v>5116060</v>
      </c>
      <c r="F29524" s="4" t="e">
        <f>IF(B29524=#REF!,"",B29524)</f>
        <v>#REF!</v>
      </c>
    </row>
    <row r="29525" spans="1:6" ht="15.75" customHeight="1">
      <c r="A29525" s="16" t="s">
        <v>28510</v>
      </c>
      <c r="B29525" s="15" t="s">
        <v>28511</v>
      </c>
      <c r="C29525" s="16" t="s">
        <v>27788</v>
      </c>
      <c r="D29525" s="16" t="s">
        <v>27799</v>
      </c>
      <c r="E29525" s="2">
        <v>4237579</v>
      </c>
      <c r="F29525" s="4" t="e">
        <f>IF(B29525=#REF!,"",B29525)</f>
        <v>#REF!</v>
      </c>
    </row>
    <row r="29526" spans="1:6" ht="15.75" customHeight="1">
      <c r="A29526" s="16" t="s">
        <v>28509</v>
      </c>
      <c r="B29526" s="15" t="s">
        <v>28509</v>
      </c>
      <c r="C29526" s="16" t="s">
        <v>27788</v>
      </c>
      <c r="D29526" s="16" t="s">
        <v>17061</v>
      </c>
      <c r="E29526" s="2">
        <v>4353925</v>
      </c>
      <c r="F29526" s="4" t="e">
        <f>IF(B29526=#REF!,"",B29526)</f>
        <v>#REF!</v>
      </c>
    </row>
    <row r="29527" spans="1:6" ht="15.75" customHeight="1">
      <c r="A29527" s="16" t="s">
        <v>28508</v>
      </c>
      <c r="B29527" s="15" t="s">
        <v>28508</v>
      </c>
      <c r="C29527" s="16" t="s">
        <v>27788</v>
      </c>
      <c r="D29527" s="16" t="s">
        <v>27957</v>
      </c>
      <c r="E29527" s="2">
        <v>4620131</v>
      </c>
      <c r="F29527" s="4" t="e">
        <f>IF(B29527=#REF!,"",B29527)</f>
        <v>#REF!</v>
      </c>
    </row>
    <row r="29528" spans="1:6" ht="15.75" customHeight="1">
      <c r="A29528" s="16" t="s">
        <v>28507</v>
      </c>
      <c r="B29528" s="15" t="s">
        <v>28507</v>
      </c>
      <c r="C29528" s="16" t="s">
        <v>27788</v>
      </c>
      <c r="D29528" s="16" t="s">
        <v>27801</v>
      </c>
      <c r="E29528" s="2">
        <v>5344817</v>
      </c>
      <c r="F29528" s="4" t="e">
        <f>IF(B29528=#REF!,"",B29528)</f>
        <v>#REF!</v>
      </c>
    </row>
    <row r="29529" spans="1:6" ht="15.75" customHeight="1">
      <c r="A29529" s="16" t="s">
        <v>28506</v>
      </c>
      <c r="B29529" s="15" t="s">
        <v>28506</v>
      </c>
      <c r="C29529" s="16" t="s">
        <v>27788</v>
      </c>
      <c r="D29529" s="16" t="s">
        <v>27951</v>
      </c>
      <c r="E29529" s="2">
        <v>5221931</v>
      </c>
      <c r="F29529" s="4" t="e">
        <f>IF(B29529=#REF!,"",B29529)</f>
        <v>#REF!</v>
      </c>
    </row>
    <row r="29530" spans="1:6" ht="15.75" customHeight="1">
      <c r="A29530" s="16" t="s">
        <v>28505</v>
      </c>
      <c r="B29530" s="15" t="s">
        <v>28505</v>
      </c>
      <c r="C29530" s="16" t="s">
        <v>27788</v>
      </c>
      <c r="D29530" s="16" t="s">
        <v>7988</v>
      </c>
      <c r="E29530" s="2">
        <v>4192674</v>
      </c>
      <c r="F29530" s="4" t="e">
        <f>IF(B29530=#REF!,"",B29530)</f>
        <v>#REF!</v>
      </c>
    </row>
    <row r="29531" spans="1:6" ht="15.75" customHeight="1">
      <c r="A29531" s="16" t="s">
        <v>28503</v>
      </c>
      <c r="B29531" s="15" t="s">
        <v>28504</v>
      </c>
      <c r="C29531" s="16" t="s">
        <v>27788</v>
      </c>
      <c r="D29531" s="16" t="s">
        <v>27799</v>
      </c>
      <c r="E29531" s="2">
        <v>4890549</v>
      </c>
      <c r="F29531" s="4" t="e">
        <f>IF(B29531=#REF!,"",B29531)</f>
        <v>#REF!</v>
      </c>
    </row>
    <row r="29532" spans="1:6" ht="15.75" customHeight="1">
      <c r="A29532" s="16" t="s">
        <v>28501</v>
      </c>
      <c r="B29532" s="15" t="s">
        <v>28502</v>
      </c>
      <c r="C29532" s="16" t="s">
        <v>27788</v>
      </c>
      <c r="D29532" s="16" t="s">
        <v>5468</v>
      </c>
      <c r="E29532" s="2">
        <v>4154047</v>
      </c>
      <c r="F29532" s="4" t="e">
        <f>IF(B29532=#REF!,"",B29532)</f>
        <v>#REF!</v>
      </c>
    </row>
    <row r="29533" spans="1:6" ht="15.75" customHeight="1">
      <c r="A29533" s="16" t="s">
        <v>28500</v>
      </c>
      <c r="B29533" s="15" t="s">
        <v>28500</v>
      </c>
      <c r="C29533" s="16" t="s">
        <v>27788</v>
      </c>
      <c r="D29533" s="16" t="s">
        <v>27819</v>
      </c>
      <c r="E29533" s="2">
        <v>5116004</v>
      </c>
      <c r="F29533" s="4" t="e">
        <f>IF(B29533=#REF!,"",B29533)</f>
        <v>#REF!</v>
      </c>
    </row>
    <row r="29534" spans="1:6" ht="15.75" customHeight="1">
      <c r="A29534" s="16" t="s">
        <v>28498</v>
      </c>
      <c r="B29534" s="15" t="s">
        <v>28499</v>
      </c>
      <c r="C29534" s="16" t="s">
        <v>27788</v>
      </c>
      <c r="D29534" s="16" t="s">
        <v>27801</v>
      </c>
      <c r="E29534" s="2">
        <v>5345032</v>
      </c>
      <c r="F29534" s="4" t="e">
        <f>IF(B29534=#REF!,"",B29534)</f>
        <v>#REF!</v>
      </c>
    </row>
    <row r="29535" spans="1:6" ht="15.75" customHeight="1">
      <c r="A29535" s="16" t="s">
        <v>28496</v>
      </c>
      <c r="B29535" s="15" t="s">
        <v>28497</v>
      </c>
      <c r="C29535" s="16" t="s">
        <v>27788</v>
      </c>
      <c r="D29535" s="16" t="s">
        <v>27905</v>
      </c>
      <c r="E29535" s="2">
        <v>5097441</v>
      </c>
      <c r="F29535" s="4" t="e">
        <f>IF(B29535=#REF!,"",B29535)</f>
        <v>#REF!</v>
      </c>
    </row>
    <row r="29536" spans="1:6" ht="15.75" customHeight="1">
      <c r="A29536" s="16" t="s">
        <v>28495</v>
      </c>
      <c r="B29536" s="15" t="s">
        <v>28495</v>
      </c>
      <c r="C29536" s="16" t="s">
        <v>27788</v>
      </c>
      <c r="D29536" s="16" t="s">
        <v>27819</v>
      </c>
      <c r="E29536" s="2">
        <v>5115989</v>
      </c>
      <c r="F29536" s="4" t="e">
        <f>IF(B29536=#REF!,"",B29536)</f>
        <v>#REF!</v>
      </c>
    </row>
    <row r="29537" spans="1:6" ht="15.75" customHeight="1">
      <c r="A29537" s="16" t="s">
        <v>28493</v>
      </c>
      <c r="B29537" s="15" t="s">
        <v>28494</v>
      </c>
      <c r="C29537" s="16" t="s">
        <v>27788</v>
      </c>
      <c r="D29537" s="16" t="s">
        <v>27819</v>
      </c>
      <c r="E29537" s="2">
        <v>5115985</v>
      </c>
      <c r="F29537" s="4" t="e">
        <f>IF(B29537=#REF!,"",B29537)</f>
        <v>#REF!</v>
      </c>
    </row>
    <row r="29538" spans="1:6" ht="15.75" customHeight="1">
      <c r="A29538" s="16" t="s">
        <v>28492</v>
      </c>
      <c r="B29538" s="15" t="s">
        <v>28492</v>
      </c>
      <c r="C29538" s="16" t="s">
        <v>27788</v>
      </c>
      <c r="D29538" s="16" t="s">
        <v>27799</v>
      </c>
      <c r="E29538" s="2">
        <v>4890536</v>
      </c>
      <c r="F29538" s="4" t="e">
        <f>IF(B29538=#REF!,"",B29538)</f>
        <v>#REF!</v>
      </c>
    </row>
    <row r="29539" spans="1:6" ht="15.75" customHeight="1">
      <c r="A29539" s="16" t="s">
        <v>28491</v>
      </c>
      <c r="B29539" s="15" t="s">
        <v>28491</v>
      </c>
      <c r="C29539" s="16" t="s">
        <v>27788</v>
      </c>
      <c r="D29539" s="16" t="s">
        <v>27856</v>
      </c>
      <c r="E29539" s="2">
        <v>5774301</v>
      </c>
      <c r="F29539" s="4" t="e">
        <f>IF(B29539=#REF!,"",B29539)</f>
        <v>#REF!</v>
      </c>
    </row>
    <row r="29540" spans="1:6" ht="15.75" customHeight="1">
      <c r="A29540" s="16" t="s">
        <v>28489</v>
      </c>
      <c r="B29540" s="15" t="s">
        <v>28490</v>
      </c>
      <c r="C29540" s="16" t="s">
        <v>27788</v>
      </c>
      <c r="D29540" s="16" t="s">
        <v>27819</v>
      </c>
      <c r="E29540" s="2">
        <v>5115960</v>
      </c>
      <c r="F29540" s="4" t="e">
        <f>IF(B29540=#REF!,"",B29540)</f>
        <v>#REF!</v>
      </c>
    </row>
    <row r="29541" spans="1:6" ht="15.75" customHeight="1">
      <c r="A29541" s="16" t="s">
        <v>28487</v>
      </c>
      <c r="B29541" s="15" t="s">
        <v>28488</v>
      </c>
      <c r="C29541" s="16" t="s">
        <v>27788</v>
      </c>
      <c r="D29541" s="16" t="s">
        <v>27819</v>
      </c>
      <c r="E29541" s="2">
        <v>5115962</v>
      </c>
      <c r="F29541" s="4" t="e">
        <f>IF(B29541=#REF!,"",B29541)</f>
        <v>#REF!</v>
      </c>
    </row>
    <row r="29542" spans="1:6" ht="15.75" customHeight="1">
      <c r="A29542" s="16" t="s">
        <v>28486</v>
      </c>
      <c r="B29542" s="15" t="s">
        <v>28486</v>
      </c>
      <c r="C29542" s="16" t="s">
        <v>27788</v>
      </c>
      <c r="D29542" s="16" t="s">
        <v>27801</v>
      </c>
      <c r="E29542" s="2">
        <v>5344994</v>
      </c>
      <c r="F29542" s="4" t="e">
        <f>IF(B29542=#REF!,"",B29542)</f>
        <v>#REF!</v>
      </c>
    </row>
    <row r="29543" spans="1:6" ht="15.75" customHeight="1">
      <c r="A29543" s="16" t="s">
        <v>28485</v>
      </c>
      <c r="B29543" s="15" t="s">
        <v>28485</v>
      </c>
      <c r="C29543" s="16" t="s">
        <v>27788</v>
      </c>
      <c r="D29543" s="16" t="s">
        <v>27794</v>
      </c>
      <c r="E29543" s="2">
        <v>4935434</v>
      </c>
      <c r="F29543" s="4" t="e">
        <f>IF(B29543=#REF!,"",B29543)</f>
        <v>#REF!</v>
      </c>
    </row>
    <row r="29544" spans="1:6" ht="15.75" customHeight="1">
      <c r="A29544" s="16" t="s">
        <v>23888</v>
      </c>
      <c r="B29544" s="15" t="s">
        <v>23889</v>
      </c>
      <c r="C29544" s="16" t="s">
        <v>23842</v>
      </c>
      <c r="D29544" s="16" t="s">
        <v>23843</v>
      </c>
      <c r="E29544" s="2">
        <v>1006984</v>
      </c>
      <c r="F29544" s="4" t="e">
        <f>IF(B29544=#REF!,"",B29544)</f>
        <v>#REF!</v>
      </c>
    </row>
    <row r="29545" spans="1:6" ht="15.75" customHeight="1">
      <c r="A29545" s="16" t="s">
        <v>28484</v>
      </c>
      <c r="B29545" s="15" t="s">
        <v>28484</v>
      </c>
      <c r="C29545" s="16" t="s">
        <v>27788</v>
      </c>
      <c r="D29545" s="16" t="s">
        <v>27804</v>
      </c>
      <c r="E29545" s="2">
        <v>4991640</v>
      </c>
      <c r="F29545" s="4" t="e">
        <f>IF(B29545=#REF!,"",B29545)</f>
        <v>#REF!</v>
      </c>
    </row>
    <row r="29546" spans="1:6" ht="15.75" customHeight="1">
      <c r="A29546" s="16" t="s">
        <v>28482</v>
      </c>
      <c r="B29546" s="15" t="s">
        <v>28483</v>
      </c>
      <c r="C29546" s="16" t="s">
        <v>27788</v>
      </c>
      <c r="D29546" s="16" t="s">
        <v>5468</v>
      </c>
      <c r="E29546" s="2">
        <v>7259705</v>
      </c>
      <c r="F29546" s="4" t="e">
        <f>IF(B29546=#REF!,"",B29546)</f>
        <v>#REF!</v>
      </c>
    </row>
    <row r="29547" spans="1:6" ht="15.75" customHeight="1">
      <c r="A29547" s="15" t="s">
        <v>28481</v>
      </c>
      <c r="B29547" s="15" t="s">
        <v>28481</v>
      </c>
      <c r="C29547" s="15" t="s">
        <v>27788</v>
      </c>
      <c r="D29547" s="15" t="s">
        <v>5468</v>
      </c>
      <c r="E29547" s="2">
        <v>4154008</v>
      </c>
      <c r="F29547" s="4" t="e">
        <f>IF(B29547=#REF!,"",B29547)</f>
        <v>#REF!</v>
      </c>
    </row>
    <row r="29548" spans="1:6" ht="15.75" customHeight="1">
      <c r="A29548" s="16" t="s">
        <v>20343</v>
      </c>
      <c r="B29548" s="15" t="s">
        <v>20344</v>
      </c>
      <c r="C29548" s="16" t="s">
        <v>20297</v>
      </c>
      <c r="D29548" s="16" t="s">
        <v>20298</v>
      </c>
      <c r="E29548" s="2">
        <v>7303419</v>
      </c>
      <c r="F29548" s="4" t="e">
        <f>IF(B29548=#REF!,"",B29548)</f>
        <v>#REF!</v>
      </c>
    </row>
    <row r="29549" spans="1:6" ht="15.75" customHeight="1">
      <c r="A29549" s="16" t="s">
        <v>28479</v>
      </c>
      <c r="B29549" s="15" t="s">
        <v>28480</v>
      </c>
      <c r="C29549" s="16" t="s">
        <v>27788</v>
      </c>
      <c r="D29549" s="16" t="s">
        <v>27806</v>
      </c>
      <c r="E29549" s="2">
        <v>4385018</v>
      </c>
      <c r="F29549" s="4" t="e">
        <f>IF(B29549=#REF!,"",B29549)</f>
        <v>#REF!</v>
      </c>
    </row>
    <row r="29550" spans="1:6" ht="15.75" customHeight="1">
      <c r="A29550" s="16" t="s">
        <v>28478</v>
      </c>
      <c r="B29550" s="15" t="s">
        <v>28478</v>
      </c>
      <c r="C29550" s="16" t="s">
        <v>27788</v>
      </c>
      <c r="D29550" s="16" t="s">
        <v>27733</v>
      </c>
      <c r="E29550" s="2">
        <v>7261759</v>
      </c>
      <c r="F29550" s="4" t="e">
        <f>IF(B29550=#REF!,"",B29550)</f>
        <v>#REF!</v>
      </c>
    </row>
    <row r="29551" spans="1:6" ht="15.75" customHeight="1">
      <c r="A29551" s="16" t="s">
        <v>28476</v>
      </c>
      <c r="B29551" s="15" t="s">
        <v>28477</v>
      </c>
      <c r="C29551" s="16" t="s">
        <v>27788</v>
      </c>
      <c r="D29551" s="16" t="s">
        <v>27801</v>
      </c>
      <c r="E29551" s="2">
        <v>5344942</v>
      </c>
      <c r="F29551" s="4" t="e">
        <f>IF(B29551=#REF!,"",B29551)</f>
        <v>#REF!</v>
      </c>
    </row>
    <row r="29552" spans="1:6" ht="15.75" customHeight="1">
      <c r="A29552" s="16" t="s">
        <v>28474</v>
      </c>
      <c r="B29552" s="15" t="s">
        <v>28475</v>
      </c>
      <c r="C29552" s="16" t="s">
        <v>27788</v>
      </c>
      <c r="D29552" s="16" t="s">
        <v>28023</v>
      </c>
      <c r="E29552" s="2">
        <v>4059870</v>
      </c>
      <c r="F29552" s="4" t="e">
        <f>IF(B29552=#REF!,"",B29552)</f>
        <v>#REF!</v>
      </c>
    </row>
    <row r="29553" spans="1:6" ht="15.75" customHeight="1">
      <c r="A29553" s="16" t="s">
        <v>28472</v>
      </c>
      <c r="B29553" s="15" t="s">
        <v>28473</v>
      </c>
      <c r="C29553" s="16" t="s">
        <v>27788</v>
      </c>
      <c r="D29553" s="16" t="s">
        <v>27985</v>
      </c>
      <c r="E29553" s="2">
        <v>5085688</v>
      </c>
      <c r="F29553" s="4" t="e">
        <f>IF(B29553=#REF!,"",B29553)</f>
        <v>#REF!</v>
      </c>
    </row>
    <row r="29554" spans="1:6" ht="15.75" customHeight="1">
      <c r="A29554" s="16" t="s">
        <v>28471</v>
      </c>
      <c r="B29554" s="15" t="s">
        <v>28471</v>
      </c>
      <c r="C29554" s="16" t="s">
        <v>27788</v>
      </c>
      <c r="D29554" s="16" t="s">
        <v>27813</v>
      </c>
      <c r="E29554" s="2">
        <v>5152599</v>
      </c>
      <c r="F29554" s="4" t="e">
        <f>IF(B29554=#REF!,"",B29554)</f>
        <v>#REF!</v>
      </c>
    </row>
    <row r="29555" spans="1:6" ht="15.75" customHeight="1">
      <c r="A29555" s="16" t="s">
        <v>28470</v>
      </c>
      <c r="B29555" s="15" t="s">
        <v>28470</v>
      </c>
      <c r="C29555" s="16" t="s">
        <v>27788</v>
      </c>
      <c r="D29555" s="16" t="s">
        <v>27869</v>
      </c>
      <c r="E29555" s="2">
        <v>4919857</v>
      </c>
      <c r="F29555" s="4" t="e">
        <f>IF(B29555=#REF!,"",B29555)</f>
        <v>#REF!</v>
      </c>
    </row>
    <row r="29556" spans="1:6" ht="15.75" customHeight="1">
      <c r="A29556" s="16" t="s">
        <v>28468</v>
      </c>
      <c r="B29556" s="15" t="s">
        <v>28469</v>
      </c>
      <c r="C29556" s="16" t="s">
        <v>27788</v>
      </c>
      <c r="D29556" s="16" t="s">
        <v>27957</v>
      </c>
      <c r="E29556" s="2">
        <v>4619947</v>
      </c>
      <c r="F29556" s="4" t="e">
        <f>IF(B29556=#REF!,"",B29556)</f>
        <v>#REF!</v>
      </c>
    </row>
    <row r="29557" spans="1:6" ht="15.75" customHeight="1">
      <c r="A29557" s="16" t="s">
        <v>28467</v>
      </c>
      <c r="B29557" s="15" t="s">
        <v>28467</v>
      </c>
      <c r="C29557" s="16" t="s">
        <v>27788</v>
      </c>
      <c r="D29557" s="16" t="s">
        <v>27905</v>
      </c>
      <c r="E29557" s="2">
        <v>5097402</v>
      </c>
      <c r="F29557" s="4" t="e">
        <f>IF(B29557=#REF!,"",B29557)</f>
        <v>#REF!</v>
      </c>
    </row>
    <row r="29558" spans="1:6" ht="15.75" customHeight="1">
      <c r="A29558" s="16" t="s">
        <v>28466</v>
      </c>
      <c r="B29558" s="15" t="s">
        <v>28466</v>
      </c>
      <c r="C29558" s="16" t="s">
        <v>27788</v>
      </c>
      <c r="D29558" s="16" t="s">
        <v>27957</v>
      </c>
      <c r="E29558" s="2">
        <v>4619943</v>
      </c>
      <c r="F29558" s="4" t="e">
        <f>IF(B29558=#REF!,"",B29558)</f>
        <v>#REF!</v>
      </c>
    </row>
    <row r="29559" spans="1:6" ht="15.75" customHeight="1">
      <c r="A29559" s="15" t="s">
        <v>28465</v>
      </c>
      <c r="B29559" s="15" t="s">
        <v>28465</v>
      </c>
      <c r="C29559" s="15" t="s">
        <v>27788</v>
      </c>
      <c r="D29559" s="15" t="s">
        <v>27811</v>
      </c>
      <c r="E29559" s="2">
        <v>4577263</v>
      </c>
      <c r="F29559" s="4" t="e">
        <f>IF(B29559=#REF!,"",B29559)</f>
        <v>#REF!</v>
      </c>
    </row>
    <row r="29560" spans="1:6" ht="15.75" customHeight="1">
      <c r="A29560" s="15" t="s">
        <v>965</v>
      </c>
      <c r="B29560" s="15" t="s">
        <v>965</v>
      </c>
      <c r="C29560" s="15" t="s">
        <v>885</v>
      </c>
      <c r="D29560" s="15" t="s">
        <v>891</v>
      </c>
      <c r="E29560" s="2">
        <v>2167949</v>
      </c>
      <c r="F29560" s="4" t="e">
        <f>IF(B29560=#REF!,"",B29560)</f>
        <v>#REF!</v>
      </c>
    </row>
    <row r="29561" spans="1:6" ht="15.75" customHeight="1">
      <c r="A29561" s="15" t="s">
        <v>27435</v>
      </c>
      <c r="B29561" s="15" t="s">
        <v>27435</v>
      </c>
      <c r="C29561" s="15" t="s">
        <v>27234</v>
      </c>
      <c r="D29561" s="15" t="s">
        <v>27241</v>
      </c>
      <c r="E29561" s="2">
        <v>8063096</v>
      </c>
      <c r="F29561" s="4" t="e">
        <f>IF(B29561=#REF!,"",B29561)</f>
        <v>#REF!</v>
      </c>
    </row>
    <row r="29562" spans="1:6" ht="15.75" customHeight="1">
      <c r="A29562" s="15" t="s">
        <v>28463</v>
      </c>
      <c r="B29562" s="15" t="s">
        <v>28464</v>
      </c>
      <c r="C29562" s="15" t="s">
        <v>27788</v>
      </c>
      <c r="D29562" s="15" t="s">
        <v>27867</v>
      </c>
      <c r="E29562" s="2">
        <v>5861187</v>
      </c>
      <c r="F29562" s="4" t="e">
        <f>IF(B29562=#REF!,"",B29562)</f>
        <v>#REF!</v>
      </c>
    </row>
    <row r="29563" spans="1:6" ht="15.75" customHeight="1">
      <c r="A29563" s="16" t="s">
        <v>28462</v>
      </c>
      <c r="B29563" s="15" t="s">
        <v>28462</v>
      </c>
      <c r="C29563" s="16" t="s">
        <v>27788</v>
      </c>
      <c r="D29563" s="16" t="s">
        <v>27792</v>
      </c>
      <c r="E29563" s="2">
        <v>5520677</v>
      </c>
      <c r="F29563" s="4" t="e">
        <f>IF(B29563=#REF!,"",B29563)</f>
        <v>#REF!</v>
      </c>
    </row>
    <row r="29564" spans="1:6" ht="15.75" customHeight="1">
      <c r="A29564" s="16" t="s">
        <v>28460</v>
      </c>
      <c r="B29564" s="15" t="s">
        <v>28461</v>
      </c>
      <c r="C29564" s="16" t="s">
        <v>27788</v>
      </c>
      <c r="D29564" s="16" t="s">
        <v>27856</v>
      </c>
      <c r="E29564" s="2">
        <v>5774215</v>
      </c>
      <c r="F29564" s="4" t="e">
        <f>IF(B29564=#REF!,"",B29564)</f>
        <v>#REF!</v>
      </c>
    </row>
    <row r="29565" spans="1:6" ht="15.75" customHeight="1">
      <c r="A29565" s="15" t="s">
        <v>28458</v>
      </c>
      <c r="B29565" s="15" t="s">
        <v>28459</v>
      </c>
      <c r="C29565" s="15" t="s">
        <v>27788</v>
      </c>
      <c r="D29565" s="15" t="s">
        <v>28059</v>
      </c>
      <c r="E29565" s="2">
        <v>5591778</v>
      </c>
      <c r="F29565" s="4" t="e">
        <f>IF(B29565=#REF!,"",B29565)</f>
        <v>#REF!</v>
      </c>
    </row>
    <row r="29566" spans="1:6" ht="15.75" customHeight="1">
      <c r="A29566" s="15" t="s">
        <v>28457</v>
      </c>
      <c r="B29566" s="15" t="s">
        <v>28457</v>
      </c>
      <c r="C29566" s="15" t="s">
        <v>27788</v>
      </c>
      <c r="D29566" s="15" t="s">
        <v>27824</v>
      </c>
      <c r="E29566" s="2">
        <v>5024825</v>
      </c>
      <c r="F29566" s="4" t="str">
        <f>IF(B29566=B29565,"",B29566)</f>
        <v>Eagan</v>
      </c>
    </row>
    <row r="29567" spans="1:6" ht="15.75" customHeight="1">
      <c r="A29567" s="16" t="s">
        <v>14798</v>
      </c>
      <c r="B29567" s="15" t="s">
        <v>14799</v>
      </c>
      <c r="C29567" s="16" t="s">
        <v>14773</v>
      </c>
      <c r="D29567" s="16" t="s">
        <v>14800</v>
      </c>
      <c r="E29567" s="2">
        <v>295130</v>
      </c>
      <c r="F29567" s="4" t="str">
        <f>IF(B29567=B29566,"",B29567)</f>
        <v>Eá¹­ á¹¬aiyiba</v>
      </c>
    </row>
    <row r="29568" spans="1:6" ht="15.75" customHeight="1">
      <c r="A29568" s="15" t="s">
        <v>21210</v>
      </c>
      <c r="B29568" s="15" t="s">
        <v>21211</v>
      </c>
      <c r="C29568" s="15" t="s">
        <v>21064</v>
      </c>
      <c r="D29568" s="15" t="s">
        <v>21131</v>
      </c>
      <c r="E29568" s="2">
        <v>772621</v>
      </c>
      <c r="F29568" s="4" t="e">
        <f>IF(B29568=#REF!,"",B29568)</f>
        <v>#REF!</v>
      </c>
    </row>
    <row r="29569" spans="1:6" ht="15.75" customHeight="1">
      <c r="A29569" s="16" t="s">
        <v>1462</v>
      </c>
      <c r="B29569" s="15" t="s">
        <v>1462</v>
      </c>
      <c r="C29569" s="16" t="s">
        <v>1453</v>
      </c>
      <c r="D29569" s="16" t="s">
        <v>1463</v>
      </c>
      <c r="E29569" s="2">
        <v>628634</v>
      </c>
      <c r="F29569" s="4" t="str">
        <f>IF(B29569=B29568,"",B29569)</f>
        <v>Dzyarzhynsk</v>
      </c>
    </row>
    <row r="29570" spans="1:6" ht="15.75" customHeight="1">
      <c r="A29570" s="16" t="str">
        <f ca="1">IFERROR(__xludf.DUMMYFUNCTION("GOOGLETRANSLATE(B36773,""en"",""pt"")"),"Dzüünharaa")</f>
        <v>Dzüünharaa</v>
      </c>
      <c r="B29570" s="20" t="s">
        <v>34640</v>
      </c>
      <c r="C29570" s="20" t="s">
        <v>18496</v>
      </c>
      <c r="D29570" s="20" t="s">
        <v>18515</v>
      </c>
      <c r="E29570" s="10">
        <v>2031533</v>
      </c>
      <c r="F29570" s="4" t="str">
        <f>IF(B29570=B29569,"",B29570)</f>
        <v>Dzüünharaa</v>
      </c>
    </row>
    <row r="29571" spans="1:6" ht="15.75" customHeight="1">
      <c r="A29571" s="16" t="str">
        <f ca="1">IFERROR(__xludf.DUMMYFUNCTION("GOOGLETRANSLATE(B39467,""en"",""pt"")"),"Dzierżoniów")</f>
        <v>Dzierżoniów</v>
      </c>
      <c r="B29571" s="20" t="s">
        <v>35233</v>
      </c>
      <c r="C29571" s="20" t="s">
        <v>21064</v>
      </c>
      <c r="D29571" s="20" t="s">
        <v>21118</v>
      </c>
      <c r="E29571" s="10">
        <v>3099828</v>
      </c>
      <c r="F29571" s="4" t="str">
        <f>IF(B29571=B29570,"",B29571)</f>
        <v>Dzierżoniów</v>
      </c>
    </row>
    <row r="29572" spans="1:6" ht="15.75" customHeight="1">
      <c r="A29572" s="16" t="s">
        <v>21208</v>
      </c>
      <c r="B29572" s="15" t="s">
        <v>21209</v>
      </c>
      <c r="C29572" s="16" t="s">
        <v>21064</v>
      </c>
      <c r="D29572" s="16" t="s">
        <v>21118</v>
      </c>
      <c r="E29572" s="2">
        <v>3099828</v>
      </c>
      <c r="F29572" s="4" t="str">
        <f>IF(B29572=B29571,"",B29572)</f>
        <v>DzierÅ¼oniÃ³w</v>
      </c>
    </row>
    <row r="29573" spans="1:6" ht="15.75" customHeight="1">
      <c r="A29573" s="16" t="str">
        <f ca="1">IFERROR(__xludf.DUMMYFUNCTION("GOOGLETRANSLATE(B39282,""en"",""pt"")"),"Działdowo")</f>
        <v>Działdowo</v>
      </c>
      <c r="B29573" s="20" t="s">
        <v>35125</v>
      </c>
      <c r="C29573" s="20" t="s">
        <v>21064</v>
      </c>
      <c r="D29573" s="20" t="s">
        <v>21131</v>
      </c>
      <c r="E29573" s="10">
        <v>772748</v>
      </c>
      <c r="F29573" s="4" t="str">
        <f>IF(B29573=B29572,"",B29573)</f>
        <v>Działdowo</v>
      </c>
    </row>
    <row r="29574" spans="1:6" ht="15.75" customHeight="1">
      <c r="A29574" s="16" t="s">
        <v>21206</v>
      </c>
      <c r="B29574" s="15" t="s">
        <v>21207</v>
      </c>
      <c r="C29574" s="16" t="s">
        <v>21064</v>
      </c>
      <c r="D29574" s="16" t="s">
        <v>21131</v>
      </c>
      <c r="E29574" s="2">
        <v>772748</v>
      </c>
      <c r="F29574" s="4" t="e">
        <f>IF(B29574=#REF!,"",B29574)</f>
        <v>#REF!</v>
      </c>
    </row>
    <row r="29575" spans="1:6" ht="15.75" customHeight="1">
      <c r="A29575" s="16" t="s">
        <v>16708</v>
      </c>
      <c r="B29575" s="15" t="s">
        <v>16708</v>
      </c>
      <c r="C29575" s="16" t="s">
        <v>16671</v>
      </c>
      <c r="D29575" s="16" t="s">
        <v>16689</v>
      </c>
      <c r="E29575" s="2">
        <v>1516601</v>
      </c>
      <c r="F29575" s="4" t="e">
        <f>IF(B29575=#REF!,"",B29575)</f>
        <v>#REF!</v>
      </c>
    </row>
    <row r="29576" spans="1:6" ht="15.75" customHeight="1">
      <c r="A29576" s="15" t="s">
        <v>26959</v>
      </c>
      <c r="B29576" s="15" t="s">
        <v>26959</v>
      </c>
      <c r="C29576" s="15" t="s">
        <v>26870</v>
      </c>
      <c r="D29576" s="15" t="s">
        <v>26873</v>
      </c>
      <c r="E29576" s="2">
        <v>709334</v>
      </c>
      <c r="F29576" s="4" t="e">
        <f>IF(B29576=#REF!,"",B29576)</f>
        <v>#REF!</v>
      </c>
    </row>
    <row r="29577" spans="1:6" ht="15.75" customHeight="1">
      <c r="A29577" s="16" t="s">
        <v>1197</v>
      </c>
      <c r="B29577" s="15" t="s">
        <v>1197</v>
      </c>
      <c r="C29577" s="16" t="s">
        <v>1170</v>
      </c>
      <c r="D29577" s="16" t="s">
        <v>1198</v>
      </c>
      <c r="E29577" s="2">
        <v>148290</v>
      </c>
      <c r="F29577" s="4" t="str">
        <f>IF(B29577=B29576,"",B29577)</f>
        <v>Dzhalilabad</v>
      </c>
    </row>
    <row r="29578" spans="1:6" ht="15.75" customHeight="1">
      <c r="A29578" s="16" t="s">
        <v>26957</v>
      </c>
      <c r="B29578" s="15" t="s">
        <v>26958</v>
      </c>
      <c r="C29578" s="16" t="s">
        <v>26870</v>
      </c>
      <c r="D29578" s="16" t="s">
        <v>22345</v>
      </c>
      <c r="E29578" s="2">
        <v>709354</v>
      </c>
      <c r="F29578" s="4" t="str">
        <f>IF(B29578=B29577,"",B29578)</f>
        <v>Dzerzhynsâ€™k</v>
      </c>
    </row>
    <row r="29579" spans="1:6" ht="15.75" customHeight="1">
      <c r="A29579" s="16" t="str">
        <f ca="1">IFERROR(__xludf.DUMMYFUNCTION("GOOGLETRANSLATE(B42663,""en"",""pt"")"),"Dzerzhyns'k")</f>
        <v>Dzerzhyns'k</v>
      </c>
      <c r="B29579" s="20" t="s">
        <v>36037</v>
      </c>
      <c r="C29579" s="20" t="s">
        <v>26870</v>
      </c>
      <c r="D29579" s="20" t="s">
        <v>22345</v>
      </c>
      <c r="E29579" s="10">
        <v>709354</v>
      </c>
      <c r="F29579" s="4" t="e">
        <f>IF(B29579=#REF!,"",B29579)</f>
        <v>#REF!</v>
      </c>
    </row>
    <row r="29580" spans="1:6" ht="15.75" customHeight="1">
      <c r="A29580" s="16" t="s">
        <v>22358</v>
      </c>
      <c r="B29580" s="15" t="s">
        <v>22358</v>
      </c>
      <c r="C29580" s="16" t="s">
        <v>22070</v>
      </c>
      <c r="D29580" s="16" t="s">
        <v>22119</v>
      </c>
      <c r="E29580" s="2">
        <v>563705</v>
      </c>
      <c r="F29580" s="4" t="e">
        <f>IF(B29580=#REF!,"",B29580)</f>
        <v>#REF!</v>
      </c>
    </row>
    <row r="29581" spans="1:6" ht="15.75" customHeight="1">
      <c r="A29581" s="16" t="s">
        <v>22357</v>
      </c>
      <c r="B29581" s="15" t="s">
        <v>22357</v>
      </c>
      <c r="C29581" s="16" t="s">
        <v>22070</v>
      </c>
      <c r="D29581" s="16" t="s">
        <v>22161</v>
      </c>
      <c r="E29581" s="2">
        <v>563708</v>
      </c>
      <c r="F29581" s="4" t="e">
        <f>IF(B29581=#REF!,"",B29581)</f>
        <v>#REF!</v>
      </c>
    </row>
    <row r="29582" spans="1:6" ht="15.75" customHeight="1">
      <c r="A29582" s="15" t="s">
        <v>17701</v>
      </c>
      <c r="B29582" s="15" t="s">
        <v>17701</v>
      </c>
      <c r="C29582" s="15" t="s">
        <v>17702</v>
      </c>
      <c r="D29582" s="15" t="s">
        <v>17701</v>
      </c>
      <c r="E29582" s="2">
        <v>921900</v>
      </c>
      <c r="F29582" s="4" t="str">
        <f>IF(B29582=B29581,"",B29582)</f>
        <v>Dzaoudzi</v>
      </c>
    </row>
    <row r="29583" spans="1:6" ht="15.75" customHeight="1">
      <c r="A29583" s="16" t="s">
        <v>18513</v>
      </c>
      <c r="B29583" s="15" t="s">
        <v>18514</v>
      </c>
      <c r="C29583" s="16" t="s">
        <v>18496</v>
      </c>
      <c r="D29583" s="16" t="s">
        <v>18515</v>
      </c>
      <c r="E29583" s="2">
        <v>2031533</v>
      </c>
      <c r="F29583" s="4" t="e">
        <f>IF(B29583=#REF!,"",B29583)</f>
        <v>#REF!</v>
      </c>
    </row>
    <row r="29584" spans="1:6" ht="15.75" customHeight="1">
      <c r="A29584" s="15" t="s">
        <v>22356</v>
      </c>
      <c r="B29584" s="15" t="s">
        <v>22356</v>
      </c>
      <c r="C29584" s="15" t="s">
        <v>22070</v>
      </c>
      <c r="D29584" s="15" t="s">
        <v>22088</v>
      </c>
      <c r="E29584" s="2">
        <v>563719</v>
      </c>
      <c r="F29584" s="4" t="e">
        <f>IF(B29584=#REF!,"",B29584)</f>
        <v>#REF!</v>
      </c>
    </row>
    <row r="29585" spans="1:6" ht="15.75" customHeight="1">
      <c r="A29585" s="15" t="s">
        <v>26956</v>
      </c>
      <c r="B29585" s="15" t="s">
        <v>26956</v>
      </c>
      <c r="C29585" s="15" t="s">
        <v>26870</v>
      </c>
      <c r="D29585" s="15" t="s">
        <v>22345</v>
      </c>
      <c r="E29585" s="2">
        <v>710035</v>
      </c>
      <c r="F29585" s="4" t="e">
        <f>IF(B29585=#REF!,"",B29585)</f>
        <v>#REF!</v>
      </c>
    </row>
    <row r="29586" spans="1:6" ht="15.75" customHeight="1">
      <c r="A29586" s="16" t="s">
        <v>28456</v>
      </c>
      <c r="B29586" s="15" t="s">
        <v>28456</v>
      </c>
      <c r="C29586" s="16" t="s">
        <v>27788</v>
      </c>
      <c r="D29586" s="16" t="s">
        <v>27957</v>
      </c>
      <c r="E29586" s="2">
        <v>4619800</v>
      </c>
      <c r="F29586" s="4" t="e">
        <f>IF(B29586=#REF!,"",B29586)</f>
        <v>#REF!</v>
      </c>
    </row>
    <row r="29587" spans="1:6" ht="15.75" customHeight="1">
      <c r="A29587" s="16" t="s">
        <v>28454</v>
      </c>
      <c r="B29587" s="15" t="s">
        <v>28455</v>
      </c>
      <c r="C29587" s="16" t="s">
        <v>27788</v>
      </c>
      <c r="D29587" s="16" t="s">
        <v>27869</v>
      </c>
      <c r="E29587" s="2">
        <v>4919820</v>
      </c>
      <c r="F29587" s="4" t="str">
        <f>IF(B29587=B29586,"",B29587)</f>
        <v>Dyer</v>
      </c>
    </row>
    <row r="29588" spans="1:6" ht="15.75" customHeight="1">
      <c r="A29588" s="16" t="s">
        <v>22354</v>
      </c>
      <c r="B29588" s="15" t="s">
        <v>22355</v>
      </c>
      <c r="C29588" s="16" t="s">
        <v>22070</v>
      </c>
      <c r="D29588" s="16" t="s">
        <v>22272</v>
      </c>
      <c r="E29588" s="2">
        <v>563822</v>
      </c>
      <c r="F29588" s="4" t="str">
        <f>IF(B29588=B29587,"",B29588)</f>
        <v>Dyatâ€™kovo</v>
      </c>
    </row>
    <row r="29589" spans="1:6" ht="15.75" customHeight="1">
      <c r="A29589" s="16" t="str">
        <f ca="1">IFERROR(__xludf.DUMMYFUNCTION("GOOGLETRANSLATE(B40560,""en"",""pt"")"),"Dyat'kovo")</f>
        <v>Dyat'kovo</v>
      </c>
      <c r="B29589" s="20" t="s">
        <v>35516</v>
      </c>
      <c r="C29589" s="20" t="s">
        <v>22070</v>
      </c>
      <c r="D29589" s="20" t="s">
        <v>22272</v>
      </c>
      <c r="E29589" s="10">
        <v>563822</v>
      </c>
      <c r="F29589" s="4" t="str">
        <f>IF(B29589=B29588,"",B29589)</f>
        <v>Dyat’kovo</v>
      </c>
    </row>
    <row r="29590" spans="1:6" ht="15.75" customHeight="1">
      <c r="A29590" s="16" t="str">
        <f ca="1">IFERROR(__xludf.DUMMYFUNCTION("GOOGLETRANSLATE(B33538,""en"",""pt"")"),"Dwārka")</f>
        <v>Dwārka</v>
      </c>
      <c r="B29590" s="20" t="s">
        <v>33751</v>
      </c>
      <c r="C29590" s="20" t="s">
        <v>10178</v>
      </c>
      <c r="D29590" s="20" t="s">
        <v>10209</v>
      </c>
      <c r="E29590" s="10">
        <v>1272140</v>
      </c>
      <c r="F29590" s="4" t="str">
        <f>IF(B29590=B29589,"",B29590)</f>
        <v>Dwārka</v>
      </c>
    </row>
    <row r="29591" spans="1:6" ht="15.75" customHeight="1">
      <c r="A29591" s="15" t="s">
        <v>11211</v>
      </c>
      <c r="B29591" s="15" t="s">
        <v>11212</v>
      </c>
      <c r="C29591" s="15" t="s">
        <v>10178</v>
      </c>
      <c r="D29591" s="15" t="s">
        <v>10209</v>
      </c>
      <c r="E29591" s="2">
        <v>1272140</v>
      </c>
      <c r="F29591" s="4" t="str">
        <f>IF(B29591=B29590,"",B29591)</f>
        <v>DwÄrka</v>
      </c>
    </row>
    <row r="29592" spans="1:6" ht="15.75" customHeight="1">
      <c r="A29592" s="16" t="str">
        <f ca="1">IFERROR(__xludf.DUMMYFUNCTION("GOOGLETRANSLATE(B27242,""en"",""pt"")"),"DVůR KRÁLOVÉ NAD LABEM")</f>
        <v>DVůR KRÁLOVÉ NAD LABEM</v>
      </c>
      <c r="B29592" s="20" t="s">
        <v>31935</v>
      </c>
      <c r="C29592" s="20" t="s">
        <v>5947</v>
      </c>
      <c r="D29592" s="20" t="s">
        <v>31936</v>
      </c>
      <c r="E29592" s="10">
        <v>3061284</v>
      </c>
      <c r="F29592" s="4" t="str">
        <f>IF(B29592=B29591,"",B29592)</f>
        <v>Dvůr Králové nad Labem</v>
      </c>
    </row>
    <row r="29593" spans="1:6" ht="15.75" customHeight="1">
      <c r="A29593" s="16" t="s">
        <v>6003</v>
      </c>
      <c r="B29593" s="15" t="s">
        <v>6004</v>
      </c>
      <c r="C29593" s="16" t="s">
        <v>5947</v>
      </c>
      <c r="D29593" s="16" t="s">
        <v>6005</v>
      </c>
      <c r="E29593" s="2">
        <v>3061284</v>
      </c>
      <c r="F29593" s="4" t="str">
        <f>IF(B29593=B29592,"",B29593)</f>
        <v>DvÅ¯r KrÃ¡lovÃ© nad Labem</v>
      </c>
    </row>
    <row r="29594" spans="1:6" ht="15.75" customHeight="1">
      <c r="A29594" s="16" t="str">
        <f ca="1">IFERROR(__xludf.DUMMYFUNCTION("GOOGLETRANSLATE(B42189,""en"",""pt"")"),"Düzce")</f>
        <v>Düzce</v>
      </c>
      <c r="B29594" s="20" t="s">
        <v>35949</v>
      </c>
      <c r="C29594" s="20" t="s">
        <v>26201</v>
      </c>
      <c r="D29594" s="20" t="s">
        <v>35949</v>
      </c>
      <c r="E29594" s="10">
        <v>747764</v>
      </c>
      <c r="F29594" s="4" t="e">
        <f>IF(B29594=#REF!,"",B29594)</f>
        <v>#REF!</v>
      </c>
    </row>
    <row r="29595" spans="1:6" ht="15.75" customHeight="1">
      <c r="A29595" s="15" t="s">
        <v>4652</v>
      </c>
      <c r="B29595" s="15" t="s">
        <v>4652</v>
      </c>
      <c r="C29595" s="15" t="s">
        <v>4487</v>
      </c>
      <c r="D29595" s="15" t="s">
        <v>4507</v>
      </c>
      <c r="E29595" s="2">
        <v>1811764</v>
      </c>
      <c r="F29595" s="4" t="e">
        <f>IF(B29595=#REF!,"",B29595)</f>
        <v>#REF!</v>
      </c>
    </row>
    <row r="29596" spans="1:6" ht="15.75" customHeight="1">
      <c r="A29596" s="16" t="s">
        <v>19376</v>
      </c>
      <c r="B29596" s="15" t="s">
        <v>19376</v>
      </c>
      <c r="C29596" s="16" t="s">
        <v>19294</v>
      </c>
      <c r="D29596" s="16" t="s">
        <v>19320</v>
      </c>
      <c r="E29596" s="2">
        <v>2344229</v>
      </c>
      <c r="F29596" s="4" t="e">
        <f>IF(B29596=#REF!,"",B29596)</f>
        <v>#REF!</v>
      </c>
    </row>
    <row r="29597" spans="1:6" ht="15.75" customHeight="1">
      <c r="A29597" s="15" t="s">
        <v>19375</v>
      </c>
      <c r="B29597" s="15" t="s">
        <v>19375</v>
      </c>
      <c r="C29597" s="15" t="s">
        <v>19294</v>
      </c>
      <c r="D29597" s="15" t="s">
        <v>19351</v>
      </c>
      <c r="E29597" s="2">
        <v>2344245</v>
      </c>
      <c r="F29597" s="4" t="str">
        <f>IF(B29597=B29596,"",B29597)</f>
        <v>Dutse</v>
      </c>
    </row>
    <row r="29598" spans="1:6" ht="15.75" customHeight="1">
      <c r="A29598" s="16" t="str">
        <f ca="1">IFERROR(__xludf.DUMMYFUNCTION("GOOGLETRANSLATE(B45581,""en"",""pt"")"),"Dŭstlik")</f>
        <v>Dŭstlik</v>
      </c>
      <c r="B29598" s="20" t="s">
        <v>36078</v>
      </c>
      <c r="C29598" s="20" t="s">
        <v>30502</v>
      </c>
      <c r="D29598" s="20" t="s">
        <v>30532</v>
      </c>
      <c r="E29598" s="10">
        <v>1514125</v>
      </c>
      <c r="F29598" s="4" t="str">
        <f>IF(B29598=B29597,"",B29598)</f>
        <v>Dŭstlik</v>
      </c>
    </row>
    <row r="29599" spans="1:6" ht="15.75" customHeight="1">
      <c r="A29599" s="16" t="str">
        <f ca="1">IFERROR(__xludf.DUMMYFUNCTION("GOOGLETRANSLATE(B28152,""en"",""pt"")"),"Düsseldorf")</f>
        <v>Düsseldorf</v>
      </c>
      <c r="B29599" s="20" t="s">
        <v>32113</v>
      </c>
      <c r="C29599" s="20" t="s">
        <v>8028</v>
      </c>
      <c r="D29599" s="20" t="s">
        <v>8029</v>
      </c>
      <c r="E29599" s="10">
        <v>2934246</v>
      </c>
      <c r="F29599" s="4" t="e">
        <f>IF(B29599=#REF!,"",B29599)</f>
        <v>#REF!</v>
      </c>
    </row>
    <row r="29600" spans="1:6" ht="15.75" customHeight="1">
      <c r="A29600" s="16" t="s">
        <v>25528</v>
      </c>
      <c r="B29600" s="15" t="s">
        <v>25528</v>
      </c>
      <c r="C29600" s="16" t="s">
        <v>25527</v>
      </c>
      <c r="D29600" s="16" t="s">
        <v>25528</v>
      </c>
      <c r="E29600" s="2">
        <v>1221874</v>
      </c>
      <c r="F29600" s="4" t="e">
        <f>IF(B29600=#REF!,"",B29600)</f>
        <v>#REF!</v>
      </c>
    </row>
    <row r="29601" spans="1:6" ht="15.75" customHeight="1">
      <c r="A29601" s="16" t="s">
        <v>26453</v>
      </c>
      <c r="B29601" s="15" t="s">
        <v>26453</v>
      </c>
      <c r="C29601" s="16" t="s">
        <v>26201</v>
      </c>
      <c r="D29601" s="16" t="s">
        <v>26340</v>
      </c>
      <c r="E29601" s="2">
        <v>316102</v>
      </c>
      <c r="F29601" s="4" t="str">
        <f>IF(B29601=B29600,"",B29601)</f>
        <v>Dursunbey</v>
      </c>
    </row>
    <row r="29602" spans="1:6" ht="15.75" customHeight="1">
      <c r="A29602" s="16" t="str">
        <f ca="1">IFERROR(__xludf.DUMMYFUNCTION("GOOGLETRANSLATE(B23122,""en"",""pt"")"),"Durrës")</f>
        <v>Durrës</v>
      </c>
      <c r="B29602" s="20" t="s">
        <v>31156</v>
      </c>
      <c r="C29602" s="20" t="s">
        <v>113</v>
      </c>
      <c r="D29602" s="20" t="s">
        <v>31156</v>
      </c>
      <c r="E29602" s="10">
        <v>3185728</v>
      </c>
      <c r="F29602" s="4" t="str">
        <f>IF(B29602=B29601,"",B29602)</f>
        <v>Durrës</v>
      </c>
    </row>
    <row r="29603" spans="1:6" ht="15.75" customHeight="1">
      <c r="A29603" s="15" t="s">
        <v>116</v>
      </c>
      <c r="B29603" s="15" t="s">
        <v>117</v>
      </c>
      <c r="C29603" s="15" t="s">
        <v>113</v>
      </c>
      <c r="D29603" s="15" t="s">
        <v>117</v>
      </c>
      <c r="E29603" s="2">
        <v>3185728</v>
      </c>
      <c r="F29603" s="4" t="e">
        <f>IF(B29603=#REF!,"",B29603)</f>
        <v>#REF!</v>
      </c>
    </row>
    <row r="29604" spans="1:6" ht="15.75" customHeight="1">
      <c r="A29604" s="15" t="s">
        <v>28453</v>
      </c>
      <c r="B29604" s="15" t="s">
        <v>28453</v>
      </c>
      <c r="C29604" s="15" t="s">
        <v>27788</v>
      </c>
      <c r="D29604" s="15" t="s">
        <v>27822</v>
      </c>
      <c r="E29604" s="2">
        <v>4464368</v>
      </c>
      <c r="F29604" s="4" t="str">
        <f>IF(B29604=B29603,"",B29604)</f>
        <v>Durham</v>
      </c>
    </row>
    <row r="29605" spans="1:6" ht="15.75" customHeight="1">
      <c r="A29605" s="16" t="str">
        <f ca="1">IFERROR(__xludf.DUMMYFUNCTION("GOOGLETRANSLATE(B33540,""en"",""pt"")"),"Durgāpur")</f>
        <v>Durgāpur</v>
      </c>
      <c r="B29605" s="20" t="s">
        <v>33752</v>
      </c>
      <c r="C29605" s="20" t="s">
        <v>10178</v>
      </c>
      <c r="D29605" s="20" t="s">
        <v>10214</v>
      </c>
      <c r="E29605" s="10">
        <v>1272177</v>
      </c>
      <c r="F29605" s="4" t="e">
        <f>IF(B29605=#REF!,"",B29605)</f>
        <v>#REF!</v>
      </c>
    </row>
    <row r="29606" spans="1:6" ht="15.75" customHeight="1">
      <c r="A29606" s="15" t="s">
        <v>11210</v>
      </c>
      <c r="B29606" s="15" t="s">
        <v>11210</v>
      </c>
      <c r="C29606" s="15" t="s">
        <v>10178</v>
      </c>
      <c r="D29606" s="15" t="s">
        <v>10201</v>
      </c>
      <c r="E29606" s="2">
        <v>1272175</v>
      </c>
      <c r="F29606" s="4" t="str">
        <f>IF(B29606=B29605,"",B29606)</f>
        <v>Durgapur</v>
      </c>
    </row>
    <row r="29607" spans="1:6" ht="15.75" customHeight="1">
      <c r="A29607" s="16" t="s">
        <v>11208</v>
      </c>
      <c r="B29607" s="15" t="s">
        <v>11209</v>
      </c>
      <c r="C29607" s="16" t="s">
        <v>10178</v>
      </c>
      <c r="D29607" s="16" t="s">
        <v>10214</v>
      </c>
      <c r="E29607" s="2">
        <v>1272177</v>
      </c>
      <c r="F29607" s="4" t="e">
        <f>IF(B29607=#REF!,"",B29607)</f>
        <v>#REF!</v>
      </c>
    </row>
    <row r="29608" spans="1:6" ht="15.75" customHeight="1">
      <c r="A29608" s="15" t="s">
        <v>11207</v>
      </c>
      <c r="B29608" s="15" t="s">
        <v>11207</v>
      </c>
      <c r="C29608" s="15" t="s">
        <v>10178</v>
      </c>
      <c r="D29608" s="15" t="s">
        <v>10272</v>
      </c>
      <c r="E29608" s="2">
        <v>1272181</v>
      </c>
      <c r="F29608" s="4" t="str">
        <f>IF(B29608=B29607,"",B29608)</f>
        <v>Durg</v>
      </c>
    </row>
    <row r="29609" spans="1:6" ht="15.75" customHeight="1">
      <c r="A29609" s="16" t="str">
        <f ca="1">IFERROR(__xludf.DUMMYFUNCTION("GOOGLETRANSLATE(B28153,""en"",""pt"")"),"Düren")</f>
        <v>Düren</v>
      </c>
      <c r="B29609" s="20" t="s">
        <v>32114</v>
      </c>
      <c r="C29609" s="20" t="s">
        <v>8028</v>
      </c>
      <c r="D29609" s="20" t="s">
        <v>8029</v>
      </c>
      <c r="E29609" s="10">
        <v>2934486</v>
      </c>
      <c r="F29609" s="4" t="e">
        <f>IF(B29609=#REF!,"",B29609)</f>
        <v>#REF!</v>
      </c>
    </row>
    <row r="29610" spans="1:6" ht="15.75" customHeight="1">
      <c r="A29610" s="15" t="s">
        <v>23887</v>
      </c>
      <c r="B29610" s="15" t="s">
        <v>23887</v>
      </c>
      <c r="C29610" s="15" t="s">
        <v>23842</v>
      </c>
      <c r="D29610" s="15" t="s">
        <v>23851</v>
      </c>
      <c r="E29610" s="2">
        <v>1007311</v>
      </c>
      <c r="F29610" s="4" t="e">
        <f>IF(B29610=#REF!,"",B29610)</f>
        <v>#REF!</v>
      </c>
    </row>
    <row r="29611" spans="1:6" ht="15.75" customHeight="1">
      <c r="A29611" s="15" t="s">
        <v>30478</v>
      </c>
      <c r="B29611" s="15" t="s">
        <v>30478</v>
      </c>
      <c r="C29611" s="15" t="s">
        <v>30472</v>
      </c>
      <c r="D29611" s="15" t="s">
        <v>30478</v>
      </c>
      <c r="E29611" s="2">
        <v>3442727</v>
      </c>
      <c r="F29611" s="4" t="e">
        <f>IF(B29611=#REF!,"",B29611)</f>
        <v>#REF!</v>
      </c>
    </row>
    <row r="29612" spans="1:6" ht="15.75" customHeight="1">
      <c r="A29612" s="15" t="s">
        <v>28452</v>
      </c>
      <c r="B29612" s="15" t="s">
        <v>28452</v>
      </c>
      <c r="C29612" s="15" t="s">
        <v>27788</v>
      </c>
      <c r="D29612" s="15" t="s">
        <v>27797</v>
      </c>
      <c r="E29612" s="2">
        <v>4535414</v>
      </c>
      <c r="F29612" s="4" t="e">
        <f>IF(B29612=#REF!,"",B29612)</f>
        <v>#REF!</v>
      </c>
    </row>
    <row r="29613" spans="1:6" ht="15.75" customHeight="1">
      <c r="A29613" s="15" t="s">
        <v>17954</v>
      </c>
      <c r="B29613" s="15" t="s">
        <v>17954</v>
      </c>
      <c r="C29613" s="15" t="s">
        <v>24200</v>
      </c>
      <c r="D29613" s="15" t="s">
        <v>24249</v>
      </c>
      <c r="E29613" s="2">
        <v>3123773</v>
      </c>
      <c r="F29613" s="4" t="str">
        <f>IF(B29613=B29612,"",B29613)</f>
        <v>Durango</v>
      </c>
    </row>
    <row r="29614" spans="1:6" ht="15.75" customHeight="1">
      <c r="A29614" s="16" t="str">
        <f ca="1">IFERROR(__xludf.DUMMYFUNCTION("GOOGLETRANSLATE(B39547,""en"",""pt"")"),"Dūrā")</f>
        <v>Dūrā</v>
      </c>
      <c r="B29614" s="20" t="s">
        <v>35275</v>
      </c>
      <c r="C29614" s="20" t="s">
        <v>20297</v>
      </c>
      <c r="D29614" s="20" t="s">
        <v>20298</v>
      </c>
      <c r="E29614" s="10">
        <v>284011</v>
      </c>
      <c r="F29614" s="4" t="e">
        <f>IF(B29614=#REF!,"",B29614)</f>
        <v>#REF!</v>
      </c>
    </row>
    <row r="29615" spans="1:6" ht="15.75" customHeight="1">
      <c r="A29615" s="16" t="s">
        <v>2425</v>
      </c>
      <c r="B29615" s="15" t="s">
        <v>2425</v>
      </c>
      <c r="C29615" s="16" t="s">
        <v>1905</v>
      </c>
      <c r="D29615" s="16" t="s">
        <v>1978</v>
      </c>
      <c r="E29615" s="2">
        <v>3464374</v>
      </c>
      <c r="F29615" s="4" t="e">
        <f>IF(B29615=#REF!,"",B29615)</f>
        <v>#REF!</v>
      </c>
    </row>
    <row r="29616" spans="1:6" ht="15.75" customHeight="1">
      <c r="A29616" s="15" t="s">
        <v>3717</v>
      </c>
      <c r="B29616" s="15" t="s">
        <v>3717</v>
      </c>
      <c r="C29616" s="15" t="s">
        <v>3701</v>
      </c>
      <c r="D29616" s="15" t="s">
        <v>3718</v>
      </c>
      <c r="E29616" s="2">
        <v>726872</v>
      </c>
      <c r="F29616" s="4" t="e">
        <f>IF(B29616=#REF!,"",B29616)</f>
        <v>#REF!</v>
      </c>
    </row>
    <row r="29617" spans="1:6" ht="15.75" customHeight="1">
      <c r="A29617" s="15" t="s">
        <v>4651</v>
      </c>
      <c r="B29617" s="15" t="s">
        <v>4651</v>
      </c>
      <c r="C29617" s="15" t="s">
        <v>4487</v>
      </c>
      <c r="D29617" s="15" t="s">
        <v>4499</v>
      </c>
      <c r="E29617" s="2">
        <v>1811829</v>
      </c>
      <c r="F29617" s="4" t="str">
        <f>IF(B29617=B29616,"",B29617)</f>
        <v>Duobao</v>
      </c>
    </row>
    <row r="29618" spans="1:6" ht="15.75" customHeight="1">
      <c r="A29618" s="16" t="str">
        <f ca="1">IFERROR(__xludf.DUMMYFUNCTION("GOOGLETRANSLATE(B39110,""en"",""pt"")"),"Dunyāpur")</f>
        <v>Dunyāpur</v>
      </c>
      <c r="B29618" s="20" t="s">
        <v>35027</v>
      </c>
      <c r="C29618" s="20" t="s">
        <v>19808</v>
      </c>
      <c r="D29618" s="20" t="s">
        <v>10184</v>
      </c>
      <c r="E29618" s="10">
        <v>1179450</v>
      </c>
      <c r="F29618" s="4" t="str">
        <f>IF(B29618=B29617,"",B29618)</f>
        <v>Dunyāpur</v>
      </c>
    </row>
    <row r="29619" spans="1:6" ht="15.75" customHeight="1">
      <c r="A29619" s="16" t="s">
        <v>19902</v>
      </c>
      <c r="B29619" s="15" t="s">
        <v>19903</v>
      </c>
      <c r="C29619" s="16" t="s">
        <v>19808</v>
      </c>
      <c r="D29619" s="16" t="s">
        <v>10184</v>
      </c>
      <c r="E29619" s="2">
        <v>1179450</v>
      </c>
      <c r="F29619" s="4" t="e">
        <f>IF(B29619=#REF!,"",B29619)</f>
        <v>#REF!</v>
      </c>
    </row>
    <row r="29620" spans="1:6" ht="15.75" customHeight="1">
      <c r="A29620" s="16" t="s">
        <v>28451</v>
      </c>
      <c r="B29620" s="15" t="s">
        <v>28451</v>
      </c>
      <c r="C29620" s="16" t="s">
        <v>27788</v>
      </c>
      <c r="D29620" s="16" t="s">
        <v>7988</v>
      </c>
      <c r="E29620" s="2">
        <v>4192375</v>
      </c>
      <c r="F29620" s="4" t="e">
        <f>IF(B29620=#REF!,"",B29620)</f>
        <v>#REF!</v>
      </c>
    </row>
    <row r="29621" spans="1:6" ht="15.75" customHeight="1">
      <c r="A29621" s="15" t="s">
        <v>9390</v>
      </c>
      <c r="B29621" s="15" t="s">
        <v>9390</v>
      </c>
      <c r="C29621" s="15" t="s">
        <v>9365</v>
      </c>
      <c r="D29621" s="15" t="s">
        <v>1886</v>
      </c>
      <c r="E29621" s="2">
        <v>2301400</v>
      </c>
      <c r="F29621" s="4" t="e">
        <f>IF(B29621=#REF!,"",B29621)</f>
        <v>#REF!</v>
      </c>
    </row>
    <row r="29622" spans="1:6" ht="15.75" customHeight="1">
      <c r="A29622" s="16" t="s">
        <v>7331</v>
      </c>
      <c r="B29622" s="15" t="s">
        <v>7331</v>
      </c>
      <c r="C29622" s="16" t="s">
        <v>7052</v>
      </c>
      <c r="D29622" s="16" t="s">
        <v>7078</v>
      </c>
      <c r="E29622" s="2">
        <v>3020686</v>
      </c>
      <c r="F29622" s="4" t="e">
        <f>IF(B29622=#REF!,"",B29622)</f>
        <v>#REF!</v>
      </c>
    </row>
    <row r="29623" spans="1:6" ht="15.75" customHeight="1">
      <c r="A29623" s="15" t="s">
        <v>4650</v>
      </c>
      <c r="B29623" s="15" t="s">
        <v>4650</v>
      </c>
      <c r="C29623" s="15" t="s">
        <v>4487</v>
      </c>
      <c r="D29623" s="15" t="s">
        <v>4518</v>
      </c>
      <c r="E29623" s="2">
        <v>2037534</v>
      </c>
      <c r="F29623" s="4" t="str">
        <f>IF(B29623=B29622,"",B29623)</f>
        <v>Dunhua</v>
      </c>
    </row>
    <row r="29624" spans="1:6" ht="15.75" customHeight="1">
      <c r="A29624" s="16" t="str">
        <f ca="1">IFERROR(__xludf.DUMMYFUNCTION("GOOGLETRANSLATE(B33542,""en"",""pt"")"),"Dūngarpur")</f>
        <v>Dūngarpur</v>
      </c>
      <c r="B29624" s="20" t="s">
        <v>33753</v>
      </c>
      <c r="C29624" s="20" t="s">
        <v>10178</v>
      </c>
      <c r="D29624" s="20" t="s">
        <v>10179</v>
      </c>
      <c r="E29624" s="10">
        <v>1272201</v>
      </c>
      <c r="F29624" s="4" t="e">
        <f>IF(B29624=#REF!,"",B29624)</f>
        <v>#REF!</v>
      </c>
    </row>
    <row r="29625" spans="1:6" ht="15.75" customHeight="1">
      <c r="A29625" s="16" t="s">
        <v>19901</v>
      </c>
      <c r="B29625" s="15" t="s">
        <v>19901</v>
      </c>
      <c r="C29625" s="16" t="s">
        <v>19808</v>
      </c>
      <c r="D29625" s="16" t="s">
        <v>10184</v>
      </c>
      <c r="E29625" s="2">
        <v>1179463</v>
      </c>
      <c r="F29625" s="4" t="e">
        <f>IF(B29625=#REF!,"",B29625)</f>
        <v>#REF!</v>
      </c>
    </row>
    <row r="29626" spans="1:6" ht="15.75" customHeight="1">
      <c r="A29626" s="15" t="s">
        <v>19176</v>
      </c>
      <c r="B29626" s="15" t="s">
        <v>19176</v>
      </c>
      <c r="C29626" s="15" t="s">
        <v>19169</v>
      </c>
      <c r="D29626" s="15" t="s">
        <v>19177</v>
      </c>
      <c r="E29626" s="2">
        <v>2191562</v>
      </c>
      <c r="F29626" s="4" t="e">
        <f>IF(B29626=#REF!,"",B29626)</f>
        <v>#REF!</v>
      </c>
    </row>
    <row r="29627" spans="1:6" ht="15.75" customHeight="1">
      <c r="A29627" s="15" t="s">
        <v>23886</v>
      </c>
      <c r="B29627" s="15" t="s">
        <v>23886</v>
      </c>
      <c r="C29627" s="15" t="s">
        <v>23842</v>
      </c>
      <c r="D29627" s="15" t="s">
        <v>23851</v>
      </c>
      <c r="E29627" s="2">
        <v>1007400</v>
      </c>
      <c r="F29627" s="4" t="e">
        <f>IF(B29627=#REF!,"",B29627)</f>
        <v>#REF!</v>
      </c>
    </row>
    <row r="29628" spans="1:6" ht="15.75" customHeight="1">
      <c r="A29628" s="15" t="s">
        <v>14745</v>
      </c>
      <c r="B29628" s="15" t="s">
        <v>14745</v>
      </c>
      <c r="C29628" s="15" t="s">
        <v>14728</v>
      </c>
      <c r="D29628" s="15" t="s">
        <v>14729</v>
      </c>
      <c r="E29628" s="2">
        <v>2964540</v>
      </c>
      <c r="F29628" s="4" t="e">
        <f>IF(B29628=#REF!,"",B29628)</f>
        <v>#REF!</v>
      </c>
    </row>
    <row r="29629" spans="1:6" ht="15.75" customHeight="1">
      <c r="A29629" s="16" t="s">
        <v>28450</v>
      </c>
      <c r="B29629" s="15" t="s">
        <v>28450</v>
      </c>
      <c r="C29629" s="16" t="s">
        <v>27788</v>
      </c>
      <c r="D29629" s="16" t="s">
        <v>27792</v>
      </c>
      <c r="E29629" s="2">
        <v>4687331</v>
      </c>
      <c r="F29629" s="4" t="e">
        <f>IF(B29629=#REF!,"",B29629)</f>
        <v>#REF!</v>
      </c>
    </row>
    <row r="29630" spans="1:6" ht="15.75" customHeight="1">
      <c r="A29630" s="15" t="s">
        <v>4047</v>
      </c>
      <c r="B29630" s="15" t="s">
        <v>4047</v>
      </c>
      <c r="C29630" s="15" t="s">
        <v>3975</v>
      </c>
      <c r="D29630" s="15" t="s">
        <v>3976</v>
      </c>
      <c r="E29630" s="2">
        <v>5943865</v>
      </c>
      <c r="F29630" s="4" t="str">
        <f>IF(B29630=B29629,"",B29630)</f>
        <v>Duncan</v>
      </c>
    </row>
    <row r="29631" spans="1:6" ht="15.75" customHeight="1">
      <c r="A29631" s="16" t="str">
        <f ca="1">IFERROR(__xludf.DUMMYFUNCTION("GOOGLETRANSLATE(B31319,""en"",""pt"")"),"Dunaújváros")</f>
        <v>Dunaújváros</v>
      </c>
      <c r="B29631" s="20" t="s">
        <v>32885</v>
      </c>
      <c r="C29631" s="20" t="s">
        <v>9955</v>
      </c>
      <c r="D29631" s="20" t="s">
        <v>32856</v>
      </c>
      <c r="E29631" s="10">
        <v>3053438</v>
      </c>
      <c r="F29631" s="4" t="e">
        <f>IF(B29631=#REF!,"",B29631)</f>
        <v>#REF!</v>
      </c>
    </row>
    <row r="29632" spans="1:6" ht="15.75" customHeight="1">
      <c r="A29632" s="16" t="s">
        <v>10039</v>
      </c>
      <c r="B29632" s="15" t="s">
        <v>10039</v>
      </c>
      <c r="C29632" s="16" t="s">
        <v>9955</v>
      </c>
      <c r="D29632" s="16" t="s">
        <v>9959</v>
      </c>
      <c r="E29632" s="2">
        <v>3053476</v>
      </c>
      <c r="F29632" s="4" t="str">
        <f>IF(B29632=B29631,"",B29632)</f>
        <v>Dunakeszi</v>
      </c>
    </row>
    <row r="29633" spans="1:6" ht="15.75" customHeight="1">
      <c r="A29633" s="16" t="s">
        <v>23716</v>
      </c>
      <c r="B29633" s="15" t="s">
        <v>23717</v>
      </c>
      <c r="C29633" s="16" t="s">
        <v>23694</v>
      </c>
      <c r="D29633" s="16" t="s">
        <v>23718</v>
      </c>
      <c r="E29633" s="2">
        <v>3060308</v>
      </c>
      <c r="F29633" s="4" t="str">
        <f>IF(B29633=B29632,"",B29633)</f>
        <v>DunajskÃ¡ Streda</v>
      </c>
    </row>
    <row r="29634" spans="1:6" ht="15.75" customHeight="1">
      <c r="A29634" s="16" t="str">
        <f ca="1">IFERROR(__xludf.DUMMYFUNCTION("GOOGLETRANSLATE(B41264,""en"",""pt"")"),"Dunajská streda")</f>
        <v>Dunajská streda</v>
      </c>
      <c r="B29634" s="20" t="s">
        <v>35696</v>
      </c>
      <c r="C29634" s="20" t="s">
        <v>23694</v>
      </c>
      <c r="D29634" s="20" t="s">
        <v>35680</v>
      </c>
      <c r="E29634" s="10">
        <v>3060308</v>
      </c>
      <c r="F29634" s="4" t="e">
        <f>IF(B29634=#REF!,"",B29634)</f>
        <v>#REF!</v>
      </c>
    </row>
    <row r="29635" spans="1:6" ht="15.75" customHeight="1">
      <c r="A29635" s="15" t="s">
        <v>26954</v>
      </c>
      <c r="B29635" s="15" t="s">
        <v>26954</v>
      </c>
      <c r="C29635" s="15" t="s">
        <v>26870</v>
      </c>
      <c r="D29635" s="15" t="s">
        <v>26955</v>
      </c>
      <c r="E29635" s="2">
        <v>709429</v>
      </c>
      <c r="F29635" s="4" t="e">
        <f>IF(B29635=#REF!,"",B29635)</f>
        <v>#REF!</v>
      </c>
    </row>
    <row r="29636" spans="1:6" ht="15.75" customHeight="1">
      <c r="A29636" s="16" t="s">
        <v>10038</v>
      </c>
      <c r="B29636" s="15" t="s">
        <v>10038</v>
      </c>
      <c r="C29636" s="16" t="s">
        <v>9955</v>
      </c>
      <c r="D29636" s="16" t="s">
        <v>9959</v>
      </c>
      <c r="E29636" s="2">
        <v>3053485</v>
      </c>
      <c r="F29636" s="4" t="str">
        <f>IF(B29636=B29635,"",B29636)</f>
        <v>Dunaharaszti</v>
      </c>
    </row>
    <row r="29637" spans="1:6" ht="15.75" customHeight="1">
      <c r="A29637" s="16" t="s">
        <v>10035</v>
      </c>
      <c r="B29637" s="15" t="s">
        <v>10036</v>
      </c>
      <c r="C29637" s="16" t="s">
        <v>9955</v>
      </c>
      <c r="D29637" s="16" t="s">
        <v>10037</v>
      </c>
      <c r="E29637" s="2">
        <v>3053438</v>
      </c>
      <c r="F29637" s="4" t="str">
        <f>IF(B29637=B29636,"",B29637)</f>
        <v>DunaÃºjvÃ¡ros</v>
      </c>
    </row>
    <row r="29638" spans="1:6" ht="15.75" customHeight="1">
      <c r="A29638" s="16" t="str">
        <f ca="1">IFERROR(__xludf.DUMMYFUNCTION("GOOGLETRANSLATE(B31743,""en"",""pt"")"),"Dún Laoghaire")</f>
        <v>Dún Laoghaire</v>
      </c>
      <c r="B29638" s="20" t="s">
        <v>32912</v>
      </c>
      <c r="C29638" s="20" t="s">
        <v>14728</v>
      </c>
      <c r="D29638" s="20" t="s">
        <v>14729</v>
      </c>
      <c r="E29638" s="10">
        <v>2964506</v>
      </c>
      <c r="F29638" s="4" t="e">
        <f>IF(B29638=#REF!,"",B29638)</f>
        <v>#REF!</v>
      </c>
    </row>
    <row r="29639" spans="1:6" ht="15.75" customHeight="1">
      <c r="A29639" s="15" t="s">
        <v>11206</v>
      </c>
      <c r="B29639" s="15" t="s">
        <v>11206</v>
      </c>
      <c r="C29639" s="15" t="s">
        <v>10178</v>
      </c>
      <c r="D29639" s="15" t="s">
        <v>10317</v>
      </c>
      <c r="E29639" s="2">
        <v>1272225</v>
      </c>
      <c r="F29639" s="4" t="e">
        <f>IF(B29639=#REF!,"",B29639)</f>
        <v>#REF!</v>
      </c>
    </row>
    <row r="29640" spans="1:6" ht="15.75" customHeight="1">
      <c r="A29640" s="15" t="s">
        <v>11205</v>
      </c>
      <c r="B29640" s="15" t="s">
        <v>11205</v>
      </c>
      <c r="C29640" s="15" t="s">
        <v>10178</v>
      </c>
      <c r="D29640" s="15" t="s">
        <v>10317</v>
      </c>
      <c r="E29640" s="2">
        <v>1272229</v>
      </c>
      <c r="F29640" s="4" t="e">
        <f>IF(B29640=#REF!,"",B29640)</f>
        <v>#REF!</v>
      </c>
    </row>
    <row r="29641" spans="1:6" ht="15.75" customHeight="1">
      <c r="A29641" s="15" t="s">
        <v>28449</v>
      </c>
      <c r="B29641" s="15" t="s">
        <v>28449</v>
      </c>
      <c r="C29641" s="15" t="s">
        <v>27788</v>
      </c>
      <c r="D29641" s="15" t="s">
        <v>27905</v>
      </c>
      <c r="E29641" s="2">
        <v>5097357</v>
      </c>
      <c r="F29641" s="4" t="e">
        <f>IF(B29641=#REF!,"",B29641)</f>
        <v>#REF!</v>
      </c>
    </row>
    <row r="29642" spans="1:6" ht="15.75" customHeight="1">
      <c r="A29642" s="15" t="s">
        <v>11204</v>
      </c>
      <c r="B29642" s="15" t="s">
        <v>11204</v>
      </c>
      <c r="C29642" s="15" t="s">
        <v>10178</v>
      </c>
      <c r="D29642" s="15" t="s">
        <v>10430</v>
      </c>
      <c r="E29642" s="2">
        <v>1272237</v>
      </c>
      <c r="F29642" s="4" t="e">
        <f>IF(B29642=#REF!,"",B29642)</f>
        <v>#REF!</v>
      </c>
    </row>
    <row r="29643" spans="1:6" ht="15.75" customHeight="1">
      <c r="A29643" s="15" t="s">
        <v>11203</v>
      </c>
      <c r="B29643" s="15" t="s">
        <v>11203</v>
      </c>
      <c r="C29643" s="15" t="s">
        <v>10178</v>
      </c>
      <c r="D29643" s="15" t="s">
        <v>10201</v>
      </c>
      <c r="E29643" s="2">
        <v>1348739</v>
      </c>
      <c r="F29643" s="4" t="str">
        <f>IF(B29643=B29642,"",B29643)</f>
        <v>Dumjor</v>
      </c>
    </row>
    <row r="29644" spans="1:6" ht="15.75" customHeight="1">
      <c r="A29644" s="16" t="str">
        <f ca="1">IFERROR(__xludf.DUMMYFUNCTION("GOOGLETRANSLATE(B37580,""en"",""pt"")"),"Idiota")</f>
        <v>Idiota</v>
      </c>
      <c r="B29644" s="20" t="s">
        <v>34803</v>
      </c>
      <c r="C29644" s="20" t="s">
        <v>19164</v>
      </c>
      <c r="D29644" s="20" t="s">
        <v>3885</v>
      </c>
      <c r="E29644" s="10">
        <v>2141394</v>
      </c>
      <c r="F29644" s="4" t="str">
        <f>IF(B29644=B29643,"",B29644)</f>
        <v>Dumbéa</v>
      </c>
    </row>
    <row r="29645" spans="1:6" ht="15.75" customHeight="1">
      <c r="A29645" s="16" t="s">
        <v>19162</v>
      </c>
      <c r="B29645" s="15" t="s">
        <v>19163</v>
      </c>
      <c r="C29645" s="16" t="s">
        <v>19164</v>
      </c>
      <c r="D29645" s="16" t="s">
        <v>3885</v>
      </c>
      <c r="E29645" s="2">
        <v>2141394</v>
      </c>
      <c r="F29645" s="4" t="e">
        <f>IF(B29645=#REF!,"",B29645)</f>
        <v>#REF!</v>
      </c>
    </row>
    <row r="29646" spans="1:6" ht="15.75" customHeight="1">
      <c r="A29646" s="15" t="s">
        <v>13915</v>
      </c>
      <c r="B29646" s="15" t="s">
        <v>13915</v>
      </c>
      <c r="C29646" s="15" t="s">
        <v>13800</v>
      </c>
      <c r="D29646" s="15" t="s">
        <v>13819</v>
      </c>
      <c r="E29646" s="2">
        <v>1645133</v>
      </c>
      <c r="F29646" s="4" t="e">
        <f>IF(B29646=#REF!,"",B29646)</f>
        <v>#REF!</v>
      </c>
    </row>
    <row r="29647" spans="1:6" ht="15.75" customHeight="1">
      <c r="A29647" s="16" t="s">
        <v>20763</v>
      </c>
      <c r="B29647" s="15" t="s">
        <v>20763</v>
      </c>
      <c r="C29647" s="16" t="s">
        <v>20598</v>
      </c>
      <c r="D29647" s="16" t="s">
        <v>20622</v>
      </c>
      <c r="E29647" s="2">
        <v>1714201</v>
      </c>
      <c r="F29647" s="4" t="e">
        <f>IF(B29647=#REF!,"",B29647)</f>
        <v>#REF!</v>
      </c>
    </row>
    <row r="29648" spans="1:6" ht="15.75" customHeight="1">
      <c r="A29648" s="16" t="s">
        <v>11201</v>
      </c>
      <c r="B29648" s="15" t="s">
        <v>11202</v>
      </c>
      <c r="C29648" s="16" t="s">
        <v>10178</v>
      </c>
      <c r="D29648" s="16" t="s">
        <v>10239</v>
      </c>
      <c r="E29648" s="2">
        <v>1272242</v>
      </c>
      <c r="F29648" s="4" t="e">
        <f>IF(B29648=#REF!,"",B29648)</f>
        <v>#REF!</v>
      </c>
    </row>
    <row r="29649" spans="1:6" ht="15.75" customHeight="1">
      <c r="A29649" s="15" t="s">
        <v>28448</v>
      </c>
      <c r="B29649" s="15" t="s">
        <v>28448</v>
      </c>
      <c r="C29649" s="15" t="s">
        <v>27788</v>
      </c>
      <c r="D29649" s="15" t="s">
        <v>7988</v>
      </c>
      <c r="E29649" s="2">
        <v>4192289</v>
      </c>
      <c r="F29649" s="4" t="str">
        <f>IF(B29649=B29648,"",B29649)</f>
        <v>Duluth</v>
      </c>
    </row>
    <row r="29650" spans="1:6" ht="15.75" customHeight="1">
      <c r="A29650" s="16" t="str">
        <f ca="1">IFERROR(__xludf.DUMMYFUNCTION("GOOGLETRANSLATE(B28154,""en"",""pt"")"),"Dülmen")</f>
        <v>Dülmen</v>
      </c>
      <c r="B29650" s="20" t="s">
        <v>32115</v>
      </c>
      <c r="C29650" s="20" t="s">
        <v>8028</v>
      </c>
      <c r="D29650" s="20" t="s">
        <v>8029</v>
      </c>
      <c r="E29650" s="10">
        <v>2934662</v>
      </c>
      <c r="F29650" s="4" t="str">
        <f>IF(B29650=B29649,"",B29650)</f>
        <v>Dülmen</v>
      </c>
    </row>
    <row r="29651" spans="1:6" ht="15.75" customHeight="1">
      <c r="A29651" s="16" t="str">
        <f ca="1">IFERROR(__xludf.DUMMYFUNCTION("GOOGLETRANSLATE(B39112,""en"",""pt"")"),"Dullewāla")</f>
        <v>Dullewāla</v>
      </c>
      <c r="B29651" s="20" t="s">
        <v>35028</v>
      </c>
      <c r="C29651" s="20" t="s">
        <v>19808</v>
      </c>
      <c r="D29651" s="20" t="s">
        <v>10184</v>
      </c>
      <c r="E29651" s="10">
        <v>1179496</v>
      </c>
      <c r="F29651" s="4" t="str">
        <f>IF(B29651=B29650,"",B29651)</f>
        <v>Dullewāla</v>
      </c>
    </row>
    <row r="29652" spans="1:6" ht="15.75" customHeight="1">
      <c r="A29652" s="16" t="s">
        <v>19899</v>
      </c>
      <c r="B29652" s="15" t="s">
        <v>19900</v>
      </c>
      <c r="C29652" s="16" t="s">
        <v>19808</v>
      </c>
      <c r="D29652" s="16" t="s">
        <v>10184</v>
      </c>
      <c r="E29652" s="2">
        <v>1179496</v>
      </c>
      <c r="F29652" s="4" t="str">
        <f>IF(B29652=B29651,"",B29652)</f>
        <v>DullewÄla</v>
      </c>
    </row>
    <row r="29653" spans="1:6" ht="15.75" customHeight="1">
      <c r="A29653" s="16" t="str">
        <f ca="1">IFERROR(__xludf.DUMMYFUNCTION("GOOGLETRANSLATE(B33549,""en"",""pt"")"),"Duliāgaon")</f>
        <v>Duliāgaon</v>
      </c>
      <c r="B29653" s="20" t="s">
        <v>33755</v>
      </c>
      <c r="C29653" s="20" t="s">
        <v>10178</v>
      </c>
      <c r="D29653" s="20" t="s">
        <v>10239</v>
      </c>
      <c r="E29653" s="10">
        <v>1272259</v>
      </c>
      <c r="F29653" s="4" t="str">
        <f>IF(B29653=B29652,"",B29653)</f>
        <v>Duliāgaon</v>
      </c>
    </row>
    <row r="29654" spans="1:6" ht="15.75" customHeight="1">
      <c r="A29654" s="16" t="s">
        <v>11199</v>
      </c>
      <c r="B29654" s="15" t="s">
        <v>11200</v>
      </c>
      <c r="C29654" s="16" t="s">
        <v>10178</v>
      </c>
      <c r="D29654" s="16" t="s">
        <v>10239</v>
      </c>
      <c r="E29654" s="2">
        <v>1272259</v>
      </c>
      <c r="F29654" s="4" t="e">
        <f>IF(B29654=#REF!,"",B29654)</f>
        <v>#REF!</v>
      </c>
    </row>
    <row r="29655" spans="1:6" ht="15.75" customHeight="1">
      <c r="A29655" s="16" t="s">
        <v>13914</v>
      </c>
      <c r="B29655" s="15" t="s">
        <v>13914</v>
      </c>
      <c r="C29655" s="16" t="s">
        <v>13800</v>
      </c>
      <c r="D29655" s="16" t="s">
        <v>13803</v>
      </c>
      <c r="E29655" s="2">
        <v>1645154</v>
      </c>
      <c r="F29655" s="4" t="e">
        <f>IF(B29655=#REF!,"",B29655)</f>
        <v>#REF!</v>
      </c>
    </row>
    <row r="29656" spans="1:6" ht="15.75" customHeight="1">
      <c r="A29656" s="15" t="s">
        <v>19374</v>
      </c>
      <c r="B29656" s="15" t="s">
        <v>19374</v>
      </c>
      <c r="C29656" s="15" t="s">
        <v>19294</v>
      </c>
      <c r="D29656" s="15" t="s">
        <v>19348</v>
      </c>
      <c r="E29656" s="2">
        <v>2344418</v>
      </c>
      <c r="F29656" s="4" t="e">
        <f>IF(B29656=#REF!,"",B29656)</f>
        <v>#REF!</v>
      </c>
    </row>
    <row r="29657" spans="1:6" ht="15.75" customHeight="1">
      <c r="A29657" s="16" t="s">
        <v>23884</v>
      </c>
      <c r="B29657" s="15" t="s">
        <v>23884</v>
      </c>
      <c r="C29657" s="16" t="s">
        <v>23842</v>
      </c>
      <c r="D29657" s="16" t="s">
        <v>23885</v>
      </c>
      <c r="E29657" s="2">
        <v>1007514</v>
      </c>
      <c r="F29657" s="4" t="e">
        <f>IF(B29657=#REF!,"",B29657)</f>
        <v>#REF!</v>
      </c>
    </row>
    <row r="29658" spans="1:6" ht="15.75" customHeight="1">
      <c r="A29658" s="15" t="s">
        <v>18949</v>
      </c>
      <c r="B29658" s="15" t="s">
        <v>18949</v>
      </c>
      <c r="C29658" s="15" t="s">
        <v>18862</v>
      </c>
      <c r="D29658" s="15" t="s">
        <v>18865</v>
      </c>
      <c r="E29658" s="2">
        <v>2756507</v>
      </c>
      <c r="F29658" s="4" t="e">
        <f>IF(B29658=#REF!,"",B29658)</f>
        <v>#REF!</v>
      </c>
    </row>
    <row r="29659" spans="1:6" ht="15.75" customHeight="1">
      <c r="A29659" s="15" t="s">
        <v>5447</v>
      </c>
      <c r="B29659" s="15" t="s">
        <v>5447</v>
      </c>
      <c r="C29659" s="15" t="s">
        <v>5348</v>
      </c>
      <c r="D29659" s="15" t="s">
        <v>5433</v>
      </c>
      <c r="E29659" s="2">
        <v>3685084</v>
      </c>
      <c r="F29659" s="4" t="e">
        <f>IF(B29659=#REF!,"",B29659)</f>
        <v>#REF!</v>
      </c>
    </row>
    <row r="29660" spans="1:6" ht="15.75" customHeight="1">
      <c r="A29660" s="15" t="s">
        <v>8320</v>
      </c>
      <c r="B29660" s="15" t="s">
        <v>8320</v>
      </c>
      <c r="C29660" s="15" t="s">
        <v>8028</v>
      </c>
      <c r="D29660" s="15" t="s">
        <v>8029</v>
      </c>
      <c r="E29660" s="2">
        <v>2934691</v>
      </c>
      <c r="F29660" s="4" t="e">
        <f>IF(B29660=#REF!,"",B29660)</f>
        <v>#REF!</v>
      </c>
    </row>
    <row r="29661" spans="1:6" ht="15.75" customHeight="1">
      <c r="A29661" s="16" t="s">
        <v>22353</v>
      </c>
      <c r="B29661" s="15" t="s">
        <v>22353</v>
      </c>
      <c r="C29661" s="16" t="s">
        <v>22070</v>
      </c>
      <c r="D29661" s="16" t="s">
        <v>22182</v>
      </c>
      <c r="E29661" s="2">
        <v>537345</v>
      </c>
      <c r="F29661" s="4" t="e">
        <f>IF(B29661=#REF!,"",B29661)</f>
        <v>#REF!</v>
      </c>
    </row>
    <row r="29662" spans="1:6" ht="15.75" customHeight="1">
      <c r="A29662" s="15" t="s">
        <v>11198</v>
      </c>
      <c r="B29662" s="15" t="s">
        <v>11198</v>
      </c>
      <c r="C29662" s="15" t="s">
        <v>10178</v>
      </c>
      <c r="D29662" s="15" t="s">
        <v>10430</v>
      </c>
      <c r="E29662" s="2">
        <v>1272277</v>
      </c>
      <c r="F29662" s="4" t="e">
        <f>IF(B29662=#REF!,"",B29662)</f>
        <v>#REF!</v>
      </c>
    </row>
    <row r="29663" spans="1:6" ht="15.75" customHeight="1">
      <c r="A29663" s="15" t="s">
        <v>1564</v>
      </c>
      <c r="B29663" s="15" t="s">
        <v>1564</v>
      </c>
      <c r="C29663" s="15" t="s">
        <v>1512</v>
      </c>
      <c r="D29663" s="15" t="s">
        <v>1513</v>
      </c>
      <c r="E29663" s="2">
        <v>2799090</v>
      </c>
      <c r="F29663" s="4" t="str">
        <f>IF(B29663=B29662,"",B29663)</f>
        <v>Duffel</v>
      </c>
    </row>
    <row r="29664" spans="1:6" ht="15.75" customHeight="1">
      <c r="A29664" s="16" t="str">
        <f ca="1">IFERROR(__xludf.DUMMYFUNCTION("GOOGLETRANSLATE(B25851,""en"",""pt"")"),"Duekoué")</f>
        <v>Duekoué</v>
      </c>
      <c r="B29664" s="20" t="s">
        <v>15638</v>
      </c>
      <c r="C29664" s="20" t="s">
        <v>15586</v>
      </c>
      <c r="D29664" s="20" t="s">
        <v>15613</v>
      </c>
      <c r="E29664" s="10">
        <v>2289549</v>
      </c>
      <c r="F29664" s="4" t="str">
        <f>IF(B29664=B29663,"",B29664)</f>
        <v>Duekoué</v>
      </c>
    </row>
    <row r="29665" spans="1:6" ht="15.75" customHeight="1">
      <c r="A29665" s="15" t="s">
        <v>15638</v>
      </c>
      <c r="B29665" s="15" t="s">
        <v>15639</v>
      </c>
      <c r="C29665" s="15" t="s">
        <v>15586</v>
      </c>
      <c r="D29665" s="15" t="s">
        <v>15613</v>
      </c>
      <c r="E29665" s="2">
        <v>2289549</v>
      </c>
      <c r="F29665" s="4" t="e">
        <f>IF(B29665=#REF!,"",B29665)</f>
        <v>#REF!</v>
      </c>
    </row>
    <row r="29666" spans="1:6" ht="15.75" customHeight="1">
      <c r="A29666" s="15" t="s">
        <v>22352</v>
      </c>
      <c r="B29666" s="15" t="s">
        <v>22352</v>
      </c>
      <c r="C29666" s="15" t="s">
        <v>22070</v>
      </c>
      <c r="D29666" s="15" t="s">
        <v>22079</v>
      </c>
      <c r="E29666" s="2">
        <v>1507116</v>
      </c>
      <c r="F29666" s="4" t="e">
        <f>IF(B29666=#REF!,"",B29666)</f>
        <v>#REF!</v>
      </c>
    </row>
    <row r="29667" spans="1:6" ht="15.75" customHeight="1">
      <c r="A29667" s="16" t="s">
        <v>8319</v>
      </c>
      <c r="B29667" s="15" t="s">
        <v>8319</v>
      </c>
      <c r="C29667" s="16" t="s">
        <v>8028</v>
      </c>
      <c r="D29667" s="16" t="s">
        <v>8034</v>
      </c>
      <c r="E29667" s="2">
        <v>2934728</v>
      </c>
      <c r="F29667" s="4" t="e">
        <f>IF(B29667=#REF!,"",B29667)</f>
        <v>#REF!</v>
      </c>
    </row>
    <row r="29668" spans="1:6" ht="15.75" customHeight="1">
      <c r="A29668" s="16" t="s">
        <v>17214</v>
      </c>
      <c r="B29668" s="15" t="s">
        <v>17214</v>
      </c>
      <c r="C29668" s="16" t="s">
        <v>17215</v>
      </c>
      <c r="D29668" s="16" t="s">
        <v>17215</v>
      </c>
      <c r="E29668" s="2">
        <v>2960634</v>
      </c>
      <c r="F29668" s="4" t="e">
        <f>IF(B29668=#REF!,"",B29668)</f>
        <v>#REF!</v>
      </c>
    </row>
    <row r="29669" spans="1:6" ht="15.75" customHeight="1">
      <c r="A29669" s="15" t="s">
        <v>17634</v>
      </c>
      <c r="B29669" s="15" t="s">
        <v>17634</v>
      </c>
      <c r="C29669" s="15" t="s">
        <v>17635</v>
      </c>
      <c r="D29669" s="15" t="s">
        <v>17635</v>
      </c>
      <c r="E29669" s="2">
        <v>3570785</v>
      </c>
      <c r="F29669" s="4" t="e">
        <f>IF(B29669=#REF!,"",B29669)</f>
        <v>#REF!</v>
      </c>
    </row>
    <row r="29670" spans="1:6" ht="15.75" customHeight="1">
      <c r="A29670" s="15" t="s">
        <v>4649</v>
      </c>
      <c r="B29670" s="15" t="s">
        <v>4649</v>
      </c>
      <c r="C29670" s="15" t="s">
        <v>4487</v>
      </c>
      <c r="D29670" s="15" t="s">
        <v>4492</v>
      </c>
      <c r="E29670" s="2">
        <v>1811929</v>
      </c>
      <c r="F29670" s="4" t="e">
        <f>IF(B29670=#REF!,"",B29670)</f>
        <v>#REF!</v>
      </c>
    </row>
    <row r="29671" spans="1:6" ht="15.75" customHeight="1">
      <c r="A29671" s="15" t="s">
        <v>28447</v>
      </c>
      <c r="B29671" s="15" t="s">
        <v>28447</v>
      </c>
      <c r="C29671" s="15" t="s">
        <v>27788</v>
      </c>
      <c r="D29671" s="15" t="s">
        <v>27859</v>
      </c>
      <c r="E29671" s="2">
        <v>4854529</v>
      </c>
      <c r="F29671" s="4" t="e">
        <f>IF(B29671=#REF!,"",B29671)</f>
        <v>#REF!</v>
      </c>
    </row>
    <row r="29672" spans="1:6" ht="15.75" customHeight="1">
      <c r="A29672" s="15" t="s">
        <v>6867</v>
      </c>
      <c r="B29672" s="15" t="s">
        <v>6867</v>
      </c>
      <c r="C29672" s="15" t="s">
        <v>6807</v>
      </c>
      <c r="D29672" s="15" t="s">
        <v>6834</v>
      </c>
      <c r="E29672" s="2">
        <v>338554</v>
      </c>
      <c r="F29672" s="4" t="e">
        <f>IF(B29672=#REF!,"",B29672)</f>
        <v>#REF!</v>
      </c>
    </row>
    <row r="29673" spans="1:6" ht="15.75" customHeight="1">
      <c r="A29673" s="16" t="s">
        <v>5718</v>
      </c>
      <c r="B29673" s="15" t="s">
        <v>5718</v>
      </c>
      <c r="C29673" s="16" t="s">
        <v>5711</v>
      </c>
      <c r="D29673" s="16" t="s">
        <v>5719</v>
      </c>
      <c r="E29673" s="2">
        <v>3201047</v>
      </c>
      <c r="F29673" s="4" t="str">
        <f>IF(B29673=B29672,"",B29673)</f>
        <v>Dubrovnik</v>
      </c>
    </row>
    <row r="29674" spans="1:6" ht="15.75" customHeight="1">
      <c r="A29674" s="16" t="str">
        <f ca="1">IFERROR(__xludf.DUMMYFUNCTION("GOOGLETRANSLATE(B33551,""en"",""pt"")"),"Dubrājpur")</f>
        <v>Dubrājpur</v>
      </c>
      <c r="B29674" s="20" t="s">
        <v>33756</v>
      </c>
      <c r="C29674" s="20" t="s">
        <v>10178</v>
      </c>
      <c r="D29674" s="20" t="s">
        <v>10201</v>
      </c>
      <c r="E29674" s="10">
        <v>1272320</v>
      </c>
      <c r="F29674" s="4" t="str">
        <f>IF(B29674=B29673,"",B29674)</f>
        <v>Dubrājpur</v>
      </c>
    </row>
    <row r="29675" spans="1:6" ht="15.75" customHeight="1">
      <c r="A29675" s="16" t="s">
        <v>11196</v>
      </c>
      <c r="B29675" s="15" t="s">
        <v>11197</v>
      </c>
      <c r="C29675" s="16" t="s">
        <v>10178</v>
      </c>
      <c r="D29675" s="16" t="s">
        <v>10201</v>
      </c>
      <c r="E29675" s="2">
        <v>1272320</v>
      </c>
      <c r="F29675" s="4" t="e">
        <f>IF(B29675=#REF!,"",B29675)</f>
        <v>#REF!</v>
      </c>
    </row>
    <row r="29676" spans="1:6" ht="15.75" customHeight="1">
      <c r="A29676" s="15" t="s">
        <v>22350</v>
      </c>
      <c r="B29676" s="15" t="s">
        <v>22350</v>
      </c>
      <c r="C29676" s="15" t="s">
        <v>22070</v>
      </c>
      <c r="D29676" s="15" t="s">
        <v>22351</v>
      </c>
      <c r="E29676" s="2">
        <v>564654</v>
      </c>
      <c r="F29676" s="4" t="e">
        <f>IF(B29676=#REF!,"",B29676)</f>
        <v>#REF!</v>
      </c>
    </row>
    <row r="29677" spans="1:6" ht="15.75" customHeight="1">
      <c r="A29677" s="15" t="s">
        <v>26952</v>
      </c>
      <c r="B29677" s="15" t="s">
        <v>26952</v>
      </c>
      <c r="C29677" s="15" t="s">
        <v>26870</v>
      </c>
      <c r="D29677" s="15" t="s">
        <v>26953</v>
      </c>
      <c r="E29677" s="2">
        <v>709540</v>
      </c>
      <c r="F29677" s="4" t="str">
        <f>IF(B29677=B29676,"",B29677)</f>
        <v>Dubno</v>
      </c>
    </row>
    <row r="29678" spans="1:6" ht="15.75" customHeight="1">
      <c r="A29678" s="16" t="str">
        <f ca="1">IFERROR(__xludf.DUMMYFUNCTION("GOOGLETRANSLATE(B41265,""en"",""pt"")"),"Dubnica Nad Váhom")</f>
        <v>Dubnica Nad Váhom</v>
      </c>
      <c r="B29678" s="20" t="s">
        <v>35697</v>
      </c>
      <c r="C29678" s="20" t="s">
        <v>23694</v>
      </c>
      <c r="D29678" s="20" t="s">
        <v>23715</v>
      </c>
      <c r="E29678" s="10">
        <v>3060346</v>
      </c>
      <c r="F29678" s="4" t="str">
        <f>IF(B29678=B29677,"",B29678)</f>
        <v>Dubnica nad Váhom</v>
      </c>
    </row>
    <row r="29679" spans="1:6" ht="15.75" customHeight="1">
      <c r="A29679" s="16" t="s">
        <v>23713</v>
      </c>
      <c r="B29679" s="15" t="s">
        <v>23714</v>
      </c>
      <c r="C29679" s="16" t="s">
        <v>23694</v>
      </c>
      <c r="D29679" s="16" t="s">
        <v>23715</v>
      </c>
      <c r="E29679" s="2">
        <v>3060346</v>
      </c>
      <c r="F29679" s="4" t="e">
        <f>IF(B29679=#REF!,"",B29679)</f>
        <v>#REF!</v>
      </c>
    </row>
    <row r="29680" spans="1:6" ht="15.75" customHeight="1">
      <c r="A29680" s="15" t="s">
        <v>22349</v>
      </c>
      <c r="B29680" s="15" t="s">
        <v>22349</v>
      </c>
      <c r="C29680" s="15" t="s">
        <v>22070</v>
      </c>
      <c r="D29680" s="15" t="s">
        <v>22119</v>
      </c>
      <c r="E29680" s="2">
        <v>564719</v>
      </c>
      <c r="F29680" s="4" t="e">
        <f>IF(B29680=#REF!,"",B29680)</f>
        <v>#REF!</v>
      </c>
    </row>
    <row r="29681" spans="1:6" ht="15.75" customHeight="1">
      <c r="A29681" s="15" t="s">
        <v>14744</v>
      </c>
      <c r="B29681" s="15" t="s">
        <v>14744</v>
      </c>
      <c r="C29681" s="15" t="s">
        <v>14728</v>
      </c>
      <c r="D29681" s="15" t="s">
        <v>14729</v>
      </c>
      <c r="E29681" s="2">
        <v>2964574</v>
      </c>
      <c r="F29681" s="4" t="str">
        <f>IF(B29681=B29680,"",B29681)</f>
        <v>Dublin</v>
      </c>
    </row>
    <row r="29682" spans="1:6" ht="15.75" customHeight="1">
      <c r="A29682" s="16" t="str">
        <f ca="1">IFERROR(__xludf.DUMMYFUNCTION("GOOGLETRANSLATE(B25790,""en"",""pt"")"),"Dübendorf")</f>
        <v>Dübendorf</v>
      </c>
      <c r="B29682" s="20" t="s">
        <v>31780</v>
      </c>
      <c r="C29682" s="20" t="s">
        <v>25237</v>
      </c>
      <c r="D29682" s="20" t="s">
        <v>25240</v>
      </c>
      <c r="E29682" s="10">
        <v>2660971</v>
      </c>
      <c r="F29682" s="4" t="e">
        <f>IF(B29682=#REF!,"",B29682)</f>
        <v>#REF!</v>
      </c>
    </row>
    <row r="29683" spans="1:6" ht="15.75" customHeight="1">
      <c r="A29683" s="15" t="s">
        <v>963</v>
      </c>
      <c r="B29683" s="15" t="s">
        <v>964</v>
      </c>
      <c r="C29683" s="15" t="s">
        <v>885</v>
      </c>
      <c r="D29683" s="15" t="s">
        <v>891</v>
      </c>
      <c r="E29683" s="2">
        <v>2168305</v>
      </c>
      <c r="F29683" s="4" t="str">
        <f>IF(B29683=B29682,"",B29683)</f>
        <v>Dubbo</v>
      </c>
    </row>
    <row r="29684" spans="1:6" ht="15.75" customHeight="1">
      <c r="A29684" s="16" t="str">
        <f ca="1">IFERROR(__xludf.DUMMYFUNCTION("GOOGLETRANSLATE(B36538,""en"",""pt"")"),"Dubăsari")</f>
        <v>Dubăsari</v>
      </c>
      <c r="B29684" s="20" t="s">
        <v>34606</v>
      </c>
      <c r="C29684" s="20" t="s">
        <v>18455</v>
      </c>
      <c r="D29684" s="20" t="s">
        <v>34607</v>
      </c>
      <c r="E29684" s="10">
        <v>618365</v>
      </c>
      <c r="F29684" s="4" t="e">
        <f>IF(B29684=#REF!,"",B29684)</f>
        <v>#REF!</v>
      </c>
    </row>
    <row r="29685" spans="1:6" ht="15.75" customHeight="1">
      <c r="A29685" s="15" t="s">
        <v>27226</v>
      </c>
      <c r="B29685" s="15" t="s">
        <v>27226</v>
      </c>
      <c r="C29685" s="15" t="s">
        <v>27213</v>
      </c>
      <c r="D29685" s="15" t="s">
        <v>27226</v>
      </c>
      <c r="E29685" s="2">
        <v>292223</v>
      </c>
      <c r="F29685" s="4" t="str">
        <f>IF(B29685=B29684,"",B29685)</f>
        <v>Dubai</v>
      </c>
    </row>
    <row r="29686" spans="1:6" ht="15.75" customHeight="1">
      <c r="A29686" s="15" t="s">
        <v>18469</v>
      </c>
      <c r="B29686" s="15" t="s">
        <v>18470</v>
      </c>
      <c r="C29686" s="15" t="s">
        <v>18455</v>
      </c>
      <c r="D29686" s="15" t="s">
        <v>18471</v>
      </c>
      <c r="E29686" s="2">
        <v>618365</v>
      </c>
      <c r="F29686" s="4" t="e">
        <f>IF(B29686=#REF!,"",B29686)</f>
        <v>#REF!</v>
      </c>
    </row>
    <row r="29687" spans="1:6" ht="15.75" customHeight="1">
      <c r="A29687" s="15" t="s">
        <v>23525</v>
      </c>
      <c r="B29687" s="15" t="s">
        <v>23525</v>
      </c>
      <c r="C29687" s="15" t="s">
        <v>23454</v>
      </c>
      <c r="D29687" s="15" t="s">
        <v>23503</v>
      </c>
      <c r="E29687" s="2">
        <v>106909</v>
      </c>
      <c r="F29687" s="4" t="e">
        <f>IF(B29687=#REF!,"",B29687)</f>
        <v>#REF!</v>
      </c>
    </row>
    <row r="29688" spans="1:6" ht="15.75" customHeight="1">
      <c r="A29688" s="15" t="s">
        <v>6361</v>
      </c>
      <c r="B29688" s="15" t="s">
        <v>6361</v>
      </c>
      <c r="C29688" s="15" t="s">
        <v>27788</v>
      </c>
      <c r="D29688" s="15" t="s">
        <v>27801</v>
      </c>
      <c r="E29688" s="2">
        <v>5344147</v>
      </c>
      <c r="F29688" s="4" t="str">
        <f>IF(B29688=B29687,"",B29688)</f>
        <v>Duarte</v>
      </c>
    </row>
    <row r="29689" spans="1:6" ht="15.75" customHeight="1">
      <c r="A29689" s="16" t="s">
        <v>17261</v>
      </c>
      <c r="B29689" s="15" t="s">
        <v>17262</v>
      </c>
      <c r="C29689" s="16" t="s">
        <v>17221</v>
      </c>
      <c r="D29689" s="16" t="s">
        <v>17263</v>
      </c>
      <c r="E29689" s="2">
        <v>789045</v>
      </c>
      <c r="F29689" s="4" t="e">
        <f>IF(B29689=#REF!,"",B29689)</f>
        <v>#REF!</v>
      </c>
    </row>
    <row r="29690" spans="1:6" ht="15.75" customHeight="1">
      <c r="A29690" s="15" t="s">
        <v>3911</v>
      </c>
      <c r="B29690" s="15" t="s">
        <v>3911</v>
      </c>
      <c r="C29690" s="15" t="s">
        <v>3884</v>
      </c>
      <c r="D29690" s="15" t="s">
        <v>3891</v>
      </c>
      <c r="E29690" s="2">
        <v>2232444</v>
      </c>
      <c r="F29690" s="4" t="e">
        <f>IF(B29690=#REF!,"",B29690)</f>
        <v>#REF!</v>
      </c>
    </row>
    <row r="29691" spans="1:6" ht="15.75" customHeight="1">
      <c r="A29691" s="16" t="s">
        <v>26951</v>
      </c>
      <c r="B29691" s="15" t="s">
        <v>26951</v>
      </c>
      <c r="C29691" s="16" t="s">
        <v>26870</v>
      </c>
      <c r="D29691" s="16" t="s">
        <v>22345</v>
      </c>
      <c r="E29691" s="2">
        <v>616743</v>
      </c>
      <c r="F29691" s="4" t="e">
        <f>IF(B29691=#REF!,"",B29691)</f>
        <v>#REF!</v>
      </c>
    </row>
    <row r="29692" spans="1:6" ht="15.75" customHeight="1">
      <c r="A29692" s="15" t="s">
        <v>18948</v>
      </c>
      <c r="B29692" s="15" t="s">
        <v>18948</v>
      </c>
      <c r="C29692" s="15" t="s">
        <v>18862</v>
      </c>
      <c r="D29692" s="15" t="s">
        <v>18865</v>
      </c>
      <c r="E29692" s="2">
        <v>2756539</v>
      </c>
      <c r="F29692" s="4" t="e">
        <f>IF(B29692=#REF!,"",B29692)</f>
        <v>#REF!</v>
      </c>
    </row>
    <row r="29693" spans="1:6" ht="15.75" customHeight="1">
      <c r="A29693" s="16" t="s">
        <v>17166</v>
      </c>
      <c r="B29693" s="15" t="s">
        <v>17166</v>
      </c>
      <c r="C29693" s="16" t="s">
        <v>17154</v>
      </c>
      <c r="D29693" s="16" t="s">
        <v>17164</v>
      </c>
      <c r="E29693" s="2">
        <v>599757</v>
      </c>
      <c r="F29693" s="4" t="e">
        <f>IF(B29693=#REF!,"",B29693)</f>
        <v>#REF!</v>
      </c>
    </row>
    <row r="29694" spans="1:6" ht="15.75" customHeight="1">
      <c r="A29694" s="16" t="s">
        <v>4046</v>
      </c>
      <c r="B29694" s="15" t="s">
        <v>4046</v>
      </c>
      <c r="C29694" s="16" t="s">
        <v>3975</v>
      </c>
      <c r="D29694" s="16" t="s">
        <v>3982</v>
      </c>
      <c r="E29694" s="2">
        <v>5942845</v>
      </c>
      <c r="F29694" s="4" t="e">
        <f>IF(B29694=#REF!,"",B29694)</f>
        <v>#REF!</v>
      </c>
    </row>
    <row r="29695" spans="1:6" ht="15.75" customHeight="1">
      <c r="A29695" s="15" t="s">
        <v>18947</v>
      </c>
      <c r="B29695" s="15" t="s">
        <v>18947</v>
      </c>
      <c r="C29695" s="15" t="s">
        <v>18862</v>
      </c>
      <c r="D29695" s="15" t="s">
        <v>18873</v>
      </c>
      <c r="E29695" s="2">
        <v>2756559</v>
      </c>
      <c r="F29695" s="4" t="e">
        <f>IF(B29695=#REF!,"",B29695)</f>
        <v>#REF!</v>
      </c>
    </row>
    <row r="29696" spans="1:6" ht="15.75" customHeight="1">
      <c r="A29696" s="16" t="s">
        <v>14743</v>
      </c>
      <c r="B29696" s="15" t="s">
        <v>14743</v>
      </c>
      <c r="C29696" s="16" t="s">
        <v>14728</v>
      </c>
      <c r="D29696" s="16" t="s">
        <v>14729</v>
      </c>
      <c r="E29696" s="2">
        <v>2962290</v>
      </c>
      <c r="F29696" s="4" t="e">
        <f>IF(B29696=#REF!,"",B29696)</f>
        <v>#REF!</v>
      </c>
    </row>
    <row r="29697" spans="1:6" ht="15.75" customHeight="1">
      <c r="A29697" s="16" t="s">
        <v>26950</v>
      </c>
      <c r="B29697" s="15" t="s">
        <v>26950</v>
      </c>
      <c r="C29697" s="16" t="s">
        <v>26870</v>
      </c>
      <c r="D29697" s="16" t="s">
        <v>26916</v>
      </c>
      <c r="E29697" s="2">
        <v>709611</v>
      </c>
      <c r="F29697" s="4" t="e">
        <f>IF(B29697=#REF!,"",B29697)</f>
        <v>#REF!</v>
      </c>
    </row>
    <row r="29698" spans="1:6" ht="15.75" customHeight="1">
      <c r="A29698" s="15" t="s">
        <v>14742</v>
      </c>
      <c r="B29698" s="15" t="s">
        <v>14742</v>
      </c>
      <c r="C29698" s="15" t="s">
        <v>14728</v>
      </c>
      <c r="D29698" s="15" t="s">
        <v>14729</v>
      </c>
      <c r="E29698" s="2">
        <v>2964661</v>
      </c>
      <c r="F29698" s="4" t="e">
        <f>IF(B29698=#REF!,"",B29698)</f>
        <v>#REF!</v>
      </c>
    </row>
    <row r="29699" spans="1:6" ht="15.75" customHeight="1">
      <c r="A29699" s="15" t="s">
        <v>18468</v>
      </c>
      <c r="B29699" s="15" t="s">
        <v>18468</v>
      </c>
      <c r="C29699" s="15" t="s">
        <v>18455</v>
      </c>
      <c r="D29699" s="15" t="s">
        <v>18468</v>
      </c>
      <c r="E29699" s="2">
        <v>618370</v>
      </c>
      <c r="F29699" s="4" t="e">
        <f>IF(B29699=#REF!,"",B29699)</f>
        <v>#REF!</v>
      </c>
    </row>
    <row r="29700" spans="1:6" ht="15.75" customHeight="1">
      <c r="A29700" s="16" t="s">
        <v>21917</v>
      </c>
      <c r="B29700" s="15" t="s">
        <v>21917</v>
      </c>
      <c r="C29700" s="16" t="s">
        <v>21824</v>
      </c>
      <c r="D29700" s="16" t="s">
        <v>21918</v>
      </c>
      <c r="E29700" s="2">
        <v>678817</v>
      </c>
      <c r="F29700" s="4" t="e">
        <f>IF(B29700=#REF!,"",B29700)</f>
        <v>#REF!</v>
      </c>
    </row>
    <row r="29701" spans="1:6" ht="15.75" customHeight="1">
      <c r="A29701" s="15" t="s">
        <v>13913</v>
      </c>
      <c r="B29701" s="15" t="s">
        <v>13913</v>
      </c>
      <c r="C29701" s="15" t="s">
        <v>13800</v>
      </c>
      <c r="D29701" s="15" t="s">
        <v>13816</v>
      </c>
      <c r="E29701" s="2">
        <v>1645220</v>
      </c>
      <c r="F29701" s="4" t="e">
        <f>IF(B29701=#REF!,"",B29701)</f>
        <v>#REF!</v>
      </c>
    </row>
    <row r="29702" spans="1:6" ht="15.75" customHeight="1">
      <c r="A29702" s="15" t="s">
        <v>18945</v>
      </c>
      <c r="B29702" s="15" t="s">
        <v>18946</v>
      </c>
      <c r="C29702" s="15" t="s">
        <v>18862</v>
      </c>
      <c r="D29702" s="15" t="s">
        <v>18888</v>
      </c>
      <c r="E29702" s="2">
        <v>2756569</v>
      </c>
      <c r="F29702" s="4" t="e">
        <f>IF(B29702=#REF!,"",B29702)</f>
        <v>#REF!</v>
      </c>
    </row>
    <row r="29703" spans="1:6" ht="15.75" customHeight="1">
      <c r="A29703" s="16" t="s">
        <v>23882</v>
      </c>
      <c r="B29703" s="15" t="s">
        <v>23883</v>
      </c>
      <c r="C29703" s="16" t="s">
        <v>23842</v>
      </c>
      <c r="D29703" s="16" t="s">
        <v>23849</v>
      </c>
      <c r="E29703" s="2">
        <v>1008261</v>
      </c>
      <c r="F29703" s="4" t="e">
        <f>IF(B29703=#REF!,"",B29703)</f>
        <v>#REF!</v>
      </c>
    </row>
    <row r="29704" spans="1:6" ht="15.75" customHeight="1">
      <c r="A29704" s="16" t="s">
        <v>18944</v>
      </c>
      <c r="B29704" s="15" t="s">
        <v>18944</v>
      </c>
      <c r="C29704" s="16" t="s">
        <v>18862</v>
      </c>
      <c r="D29704" s="16" t="s">
        <v>18877</v>
      </c>
      <c r="E29704" s="2">
        <v>2756619</v>
      </c>
      <c r="F29704" s="4" t="e">
        <f>IF(B29704=#REF!,"",B29704)</f>
        <v>#REF!</v>
      </c>
    </row>
    <row r="29705" spans="1:6" ht="15.75" customHeight="1">
      <c r="A29705" s="16" t="s">
        <v>28446</v>
      </c>
      <c r="B29705" s="15" t="s">
        <v>28446</v>
      </c>
      <c r="C29705" s="16" t="s">
        <v>27788</v>
      </c>
      <c r="D29705" s="16" t="s">
        <v>27836</v>
      </c>
      <c r="E29705" s="2">
        <v>4557606</v>
      </c>
      <c r="F29705" s="4" t="e">
        <f>IF(B29705=#REF!,"",B29705)</f>
        <v>#REF!</v>
      </c>
    </row>
    <row r="29706" spans="1:6" ht="15.75" customHeight="1">
      <c r="A29706" s="16" t="s">
        <v>28445</v>
      </c>
      <c r="B29706" s="15" t="s">
        <v>28445</v>
      </c>
      <c r="C29706" s="16" t="s">
        <v>27788</v>
      </c>
      <c r="D29706" s="16" t="s">
        <v>27880</v>
      </c>
      <c r="E29706" s="2">
        <v>5293183</v>
      </c>
      <c r="F29706" s="4" t="e">
        <f>IF(B29706=#REF!,"",B29706)</f>
        <v>#REF!</v>
      </c>
    </row>
    <row r="29707" spans="1:6" ht="15.75" customHeight="1">
      <c r="A29707" s="15" t="s">
        <v>7330</v>
      </c>
      <c r="B29707" s="15" t="s">
        <v>7330</v>
      </c>
      <c r="C29707" s="15" t="s">
        <v>7052</v>
      </c>
      <c r="D29707" s="15" t="s">
        <v>3813</v>
      </c>
      <c r="E29707" s="2">
        <v>3020810</v>
      </c>
      <c r="F29707" s="4" t="e">
        <f>IF(B29707=#REF!,"",B29707)</f>
        <v>#REF!</v>
      </c>
    </row>
    <row r="29708" spans="1:6" ht="15.75" customHeight="1">
      <c r="A29708" s="15" t="s">
        <v>8318</v>
      </c>
      <c r="B29708" s="15" t="s">
        <v>8318</v>
      </c>
      <c r="C29708" s="15" t="s">
        <v>8028</v>
      </c>
      <c r="D29708" s="15" t="s">
        <v>8072</v>
      </c>
      <c r="E29708" s="2">
        <v>2935022</v>
      </c>
      <c r="F29708" s="4" t="e">
        <f>IF(B29708=#REF!,"",B29708)</f>
        <v>#REF!</v>
      </c>
    </row>
    <row r="29709" spans="1:6" ht="15.75" customHeight="1">
      <c r="A29709" s="16" t="s">
        <v>8317</v>
      </c>
      <c r="B29709" s="15" t="s">
        <v>8317</v>
      </c>
      <c r="C29709" s="16" t="s">
        <v>8028</v>
      </c>
      <c r="D29709" s="16" t="s">
        <v>8029</v>
      </c>
      <c r="E29709" s="2">
        <v>2935042</v>
      </c>
      <c r="F29709" s="4" t="e">
        <f>IF(B29709=#REF!,"",B29709)</f>
        <v>#REF!</v>
      </c>
    </row>
    <row r="29710" spans="1:6" ht="15.75" customHeight="1">
      <c r="A29710" s="15" t="s">
        <v>8316</v>
      </c>
      <c r="B29710" s="15" t="s">
        <v>8316</v>
      </c>
      <c r="C29710" s="15" t="s">
        <v>8028</v>
      </c>
      <c r="D29710" s="15" t="s">
        <v>8050</v>
      </c>
      <c r="E29710" s="2">
        <v>2935220</v>
      </c>
      <c r="F29710" s="4" t="e">
        <f>IF(B29710=#REF!,"",B29710)</f>
        <v>#REF!</v>
      </c>
    </row>
    <row r="29711" spans="1:6" ht="15.75" customHeight="1">
      <c r="A29711" s="15" t="s">
        <v>329</v>
      </c>
      <c r="B29711" s="15" t="s">
        <v>329</v>
      </c>
      <c r="C29711" s="15" t="s">
        <v>153</v>
      </c>
      <c r="D29711" s="15" t="s">
        <v>226</v>
      </c>
      <c r="E29711" s="2">
        <v>2499055</v>
      </c>
      <c r="F29711" s="4" t="e">
        <f>IF(B29711=#REF!,"",B29711)</f>
        <v>#REF!</v>
      </c>
    </row>
    <row r="29712" spans="1:6" ht="15.75" customHeight="1">
      <c r="A29712" s="15" t="s">
        <v>7329</v>
      </c>
      <c r="B29712" s="15" t="s">
        <v>7329</v>
      </c>
      <c r="C29712" s="15" t="s">
        <v>7052</v>
      </c>
      <c r="D29712" s="15" t="s">
        <v>7058</v>
      </c>
      <c r="E29712" s="2">
        <v>3020832</v>
      </c>
      <c r="F29712" s="4" t="e">
        <f>IF(B29712=#REF!,"",B29712)</f>
        <v>#REF!</v>
      </c>
    </row>
    <row r="29713" spans="1:6" ht="15.75" customHeight="1">
      <c r="A29713" s="15" t="s">
        <v>28444</v>
      </c>
      <c r="B29713" s="15" t="s">
        <v>28444</v>
      </c>
      <c r="C29713" s="15" t="s">
        <v>27788</v>
      </c>
      <c r="D29713" s="15" t="s">
        <v>27856</v>
      </c>
      <c r="E29713" s="2">
        <v>5774001</v>
      </c>
      <c r="F29713" s="4" t="e">
        <f>IF(B29713=#REF!,"",B29713)</f>
        <v>#REF!</v>
      </c>
    </row>
    <row r="29714" spans="1:6" ht="15.75" customHeight="1">
      <c r="A29714" s="15" t="s">
        <v>7328</v>
      </c>
      <c r="B29714" s="15" t="s">
        <v>7328</v>
      </c>
      <c r="C29714" s="15" t="s">
        <v>7052</v>
      </c>
      <c r="D29714" s="15" t="s">
        <v>7058</v>
      </c>
      <c r="E29714" s="2">
        <v>3020839</v>
      </c>
      <c r="F29714" s="4" t="e">
        <f>IF(B29714=#REF!,"",B29714)</f>
        <v>#REF!</v>
      </c>
    </row>
    <row r="29715" spans="1:6" ht="15.75" customHeight="1">
      <c r="A29715" s="16" t="s">
        <v>19706</v>
      </c>
      <c r="B29715" s="15" t="s">
        <v>19706</v>
      </c>
      <c r="C29715" s="16" t="s">
        <v>19695</v>
      </c>
      <c r="D29715" s="16" t="s">
        <v>19707</v>
      </c>
      <c r="E29715" s="2">
        <v>3159016</v>
      </c>
      <c r="F29715" s="4" t="str">
        <f>IF(B29715=B29714,"",B29715)</f>
        <v>Drammen</v>
      </c>
    </row>
    <row r="29716" spans="1:6" ht="15.75" customHeight="1">
      <c r="A29716" s="16" t="str">
        <f ca="1">IFERROR(__xludf.DUMMYFUNCTION("GOOGLETRANSLATE(B31051,""en"",""pt"")"),"Drama")</f>
        <v>Drama</v>
      </c>
      <c r="B29716" s="20" t="s">
        <v>32757</v>
      </c>
      <c r="C29716" s="20" t="s">
        <v>9441</v>
      </c>
      <c r="D29716" s="20" t="s">
        <v>9475</v>
      </c>
      <c r="E29716" s="10">
        <v>736364</v>
      </c>
      <c r="F29716" s="4" t="e">
        <f>IF(B29716=#REF!,"",B29716)</f>
        <v>#REF!</v>
      </c>
    </row>
    <row r="29717" spans="1:6" ht="15.75" customHeight="1">
      <c r="A29717" s="16" t="s">
        <v>7327</v>
      </c>
      <c r="B29717" s="15" t="s">
        <v>7327</v>
      </c>
      <c r="C29717" s="16" t="s">
        <v>7052</v>
      </c>
      <c r="D29717" s="16" t="s">
        <v>7087</v>
      </c>
      <c r="E29717" s="2">
        <v>3020850</v>
      </c>
      <c r="F29717" s="4" t="e">
        <f>IF(B29717=#REF!,"",B29717)</f>
        <v>#REF!</v>
      </c>
    </row>
    <row r="29718" spans="1:6" ht="15.75" customHeight="1">
      <c r="A29718" s="15" t="s">
        <v>16854</v>
      </c>
      <c r="B29718" s="15" t="s">
        <v>16854</v>
      </c>
      <c r="C29718" s="15" t="s">
        <v>16852</v>
      </c>
      <c r="D29718" s="15" t="s">
        <v>16855</v>
      </c>
      <c r="E29718" s="2">
        <v>791122</v>
      </c>
      <c r="F29718" s="4" t="str">
        <f>IF(B29718=B29717,"",B29718)</f>
        <v>Dragash</v>
      </c>
    </row>
    <row r="29719" spans="1:6" ht="15.75" customHeight="1">
      <c r="A29719" s="16" t="str">
        <f ca="1">IFERROR(__xludf.DUMMYFUNCTION("GOOGLETRANSLATE(B39800,""en"",""pt"")"),"Drăgăşani")</f>
        <v>Drăgăşani</v>
      </c>
      <c r="B29719" s="20" t="s">
        <v>35388</v>
      </c>
      <c r="C29719" s="20" t="s">
        <v>21824</v>
      </c>
      <c r="D29719" s="20" t="s">
        <v>35357</v>
      </c>
      <c r="E29719" s="10">
        <v>678978</v>
      </c>
      <c r="F29719" s="4" t="str">
        <f>IF(B29719=B29718,"",B29719)</f>
        <v>Drăgăşani</v>
      </c>
    </row>
    <row r="29720" spans="1:6" ht="15.75" customHeight="1">
      <c r="A29720" s="16" t="s">
        <v>21914</v>
      </c>
      <c r="B29720" s="15" t="s">
        <v>21915</v>
      </c>
      <c r="C29720" s="16" t="s">
        <v>21824</v>
      </c>
      <c r="D29720" s="16" t="s">
        <v>21916</v>
      </c>
      <c r="E29720" s="2">
        <v>678978</v>
      </c>
      <c r="F29720" s="4" t="e">
        <f>IF(B29720=#REF!,"",B29720)</f>
        <v>#REF!</v>
      </c>
    </row>
    <row r="29721" spans="1:6" ht="15.75" customHeight="1">
      <c r="A29721" s="15" t="s">
        <v>28443</v>
      </c>
      <c r="B29721" s="15" t="s">
        <v>28443</v>
      </c>
      <c r="C29721" s="15" t="s">
        <v>27788</v>
      </c>
      <c r="D29721" s="15" t="s">
        <v>27794</v>
      </c>
      <c r="E29721" s="2">
        <v>4935038</v>
      </c>
      <c r="F29721" s="4" t="e">
        <f>IF(B29721=#REF!,"",B29721)</f>
        <v>#REF!</v>
      </c>
    </row>
    <row r="29722" spans="1:6" ht="15.75" customHeight="1">
      <c r="A29722" s="15" t="s">
        <v>18942</v>
      </c>
      <c r="B29722" s="15" t="s">
        <v>18942</v>
      </c>
      <c r="C29722" s="15" t="s">
        <v>18862</v>
      </c>
      <c r="D29722" s="15" t="s">
        <v>18943</v>
      </c>
      <c r="E29722" s="2">
        <v>2756644</v>
      </c>
      <c r="F29722" s="4" t="e">
        <f>IF(B29722=#REF!,"",B29722)</f>
        <v>#REF!</v>
      </c>
    </row>
    <row r="29723" spans="1:6" ht="15.75" customHeight="1">
      <c r="A29723" s="16" t="s">
        <v>327</v>
      </c>
      <c r="B29723" s="15" t="s">
        <v>328</v>
      </c>
      <c r="C29723" s="16" t="s">
        <v>153</v>
      </c>
      <c r="D29723" s="16" t="s">
        <v>189</v>
      </c>
      <c r="E29723" s="2">
        <v>2499104</v>
      </c>
      <c r="F29723" s="4" t="e">
        <f>IF(B29723=#REF!,"",B29723)</f>
        <v>#REF!</v>
      </c>
    </row>
    <row r="29724" spans="1:6" ht="15.75" customHeight="1">
      <c r="A29724" s="16" t="s">
        <v>326</v>
      </c>
      <c r="B29724" s="15" t="s">
        <v>326</v>
      </c>
      <c r="C29724" s="16" t="s">
        <v>153</v>
      </c>
      <c r="D29724" s="16" t="s">
        <v>229</v>
      </c>
      <c r="E29724" s="2">
        <v>2499116</v>
      </c>
      <c r="F29724" s="4" t="str">
        <f>IF(B29724=B29723,"",B29724)</f>
        <v>Draa Ben Khedda</v>
      </c>
    </row>
    <row r="29725" spans="1:6" ht="15.75" customHeight="1">
      <c r="A29725" s="15" t="s">
        <v>9503</v>
      </c>
      <c r="B29725" s="15" t="s">
        <v>9504</v>
      </c>
      <c r="C29725" s="15" t="s">
        <v>9441</v>
      </c>
      <c r="D29725" s="15" t="s">
        <v>9475</v>
      </c>
      <c r="E29725" s="2">
        <v>736364</v>
      </c>
      <c r="F29725" s="4" t="e">
        <f>IF(B29725=#REF!,"",B29725)</f>
        <v>#REF!</v>
      </c>
    </row>
    <row r="29726" spans="1:6" ht="15.75" customHeight="1">
      <c r="A29726" s="15" t="s">
        <v>28442</v>
      </c>
      <c r="B29726" s="15" t="s">
        <v>28442</v>
      </c>
      <c r="C29726" s="15" t="s">
        <v>27788</v>
      </c>
      <c r="D29726" s="15" t="s">
        <v>27801</v>
      </c>
      <c r="E29726" s="2">
        <v>5343858</v>
      </c>
      <c r="F29726" s="4" t="e">
        <f>IF(B29726=#REF!,"",B29726)</f>
        <v>#REF!</v>
      </c>
    </row>
    <row r="29727" spans="1:6" ht="15.75" customHeight="1">
      <c r="A29727" s="16" t="s">
        <v>28441</v>
      </c>
      <c r="B29727" s="15" t="s">
        <v>28441</v>
      </c>
      <c r="C29727" s="16" t="s">
        <v>27788</v>
      </c>
      <c r="D29727" s="16" t="s">
        <v>27799</v>
      </c>
      <c r="E29727" s="2">
        <v>4890119</v>
      </c>
      <c r="F29727" s="4" t="str">
        <f>IF(B29727=B29726,"",B29727)</f>
        <v>Downers Grove</v>
      </c>
    </row>
    <row r="29728" spans="1:6" ht="15.75" customHeight="1">
      <c r="A29728" s="16" t="str">
        <f ca="1">IFERROR(__xludf.DUMMYFUNCTION("GOOGLETRANSLATE(B34522,""en"",""pt"")"),"Dowlatābād")</f>
        <v>Dowlatābād</v>
      </c>
      <c r="B29728" s="20" t="s">
        <v>34256</v>
      </c>
      <c r="C29728" s="20" t="s">
        <v>14240</v>
      </c>
      <c r="D29728" s="20" t="s">
        <v>14294</v>
      </c>
      <c r="E29728" s="10">
        <v>418868</v>
      </c>
      <c r="F29728" s="4" t="str">
        <f>IF(B29728=B29727,"",B29728)</f>
        <v>Dowlatābād</v>
      </c>
    </row>
    <row r="29729" spans="1:6" ht="15.75" customHeight="1">
      <c r="A29729" s="16" t="s">
        <v>14369</v>
      </c>
      <c r="B29729" s="15" t="s">
        <v>14370</v>
      </c>
      <c r="C29729" s="16" t="s">
        <v>14240</v>
      </c>
      <c r="D29729" s="16" t="s">
        <v>14294</v>
      </c>
      <c r="E29729" s="2">
        <v>418868</v>
      </c>
      <c r="F29729" s="4" t="e">
        <f>IF(B29729=#REF!,"",B29729)</f>
        <v>#REF!</v>
      </c>
    </row>
    <row r="29730" spans="1:6" ht="15.75" customHeight="1">
      <c r="A29730" s="15" t="s">
        <v>28440</v>
      </c>
      <c r="B29730" s="15" t="s">
        <v>28440</v>
      </c>
      <c r="C29730" s="15" t="s">
        <v>27788</v>
      </c>
      <c r="D29730" s="15" t="s">
        <v>27978</v>
      </c>
      <c r="E29730" s="2">
        <v>4142290</v>
      </c>
      <c r="F29730" s="4" t="e">
        <f>IF(B29730=#REF!,"",B29730)</f>
        <v>#REF!</v>
      </c>
    </row>
    <row r="29731" spans="1:6" ht="15.75" customHeight="1">
      <c r="A29731" s="15" t="s">
        <v>26119</v>
      </c>
      <c r="B29731" s="15" t="s">
        <v>26119</v>
      </c>
      <c r="C29731" s="15" t="s">
        <v>26090</v>
      </c>
      <c r="D29731" s="15" t="s">
        <v>26120</v>
      </c>
      <c r="E29731" s="2">
        <v>2471287</v>
      </c>
      <c r="F29731" s="4" t="e">
        <f>IF(B29731=#REF!,"",B29731)</f>
        <v>#REF!</v>
      </c>
    </row>
    <row r="29732" spans="1:6" ht="15.75" customHeight="1">
      <c r="A29732" s="15" t="s">
        <v>4323</v>
      </c>
      <c r="B29732" s="15" t="s">
        <v>4323</v>
      </c>
      <c r="C29732" s="15" t="s">
        <v>4305</v>
      </c>
      <c r="D29732" s="15" t="s">
        <v>4324</v>
      </c>
      <c r="E29732" s="2">
        <v>2433055</v>
      </c>
      <c r="F29732" s="4" t="e">
        <f>IF(B29732=#REF!,"",B29732)</f>
        <v>#REF!</v>
      </c>
    </row>
    <row r="29733" spans="1:6" ht="15.75" customHeight="1">
      <c r="A29733" s="15" t="s">
        <v>2424</v>
      </c>
      <c r="B29733" s="15" t="s">
        <v>2424</v>
      </c>
      <c r="C29733" s="15" t="s">
        <v>1905</v>
      </c>
      <c r="D29733" s="15" t="s">
        <v>1973</v>
      </c>
      <c r="E29733" s="2">
        <v>3464460</v>
      </c>
      <c r="F29733" s="4" t="e">
        <f>IF(B29733=#REF!,"",B29733)</f>
        <v>#REF!</v>
      </c>
    </row>
    <row r="29734" spans="1:6" ht="15.75" customHeight="1">
      <c r="A29734" s="15" t="s">
        <v>1563</v>
      </c>
      <c r="B29734" s="15" t="s">
        <v>1563</v>
      </c>
      <c r="C29734" s="15" t="s">
        <v>1512</v>
      </c>
      <c r="D29734" s="15" t="s">
        <v>1518</v>
      </c>
      <c r="E29734" s="2">
        <v>2799226</v>
      </c>
      <c r="F29734" s="4" t="e">
        <f>IF(B29734=#REF!,"",B29734)</f>
        <v>#REF!</v>
      </c>
    </row>
    <row r="29735" spans="1:6" ht="15.75" customHeight="1">
      <c r="A29735" s="15" t="s">
        <v>25446</v>
      </c>
      <c r="B29735" s="15" t="s">
        <v>25446</v>
      </c>
      <c r="C29735" s="15" t="s">
        <v>25366</v>
      </c>
      <c r="D29735" s="15" t="s">
        <v>25372</v>
      </c>
      <c r="E29735" s="2">
        <v>170592</v>
      </c>
      <c r="F29735" s="4" t="e">
        <f>IF(B29735=#REF!,"",B29735)</f>
        <v>#REF!</v>
      </c>
    </row>
    <row r="29736" spans="1:6" ht="15.75" customHeight="1">
      <c r="A29736" s="15" t="s">
        <v>25505</v>
      </c>
      <c r="B29736" s="15" t="s">
        <v>25505</v>
      </c>
      <c r="C29736" s="15" t="s">
        <v>25502</v>
      </c>
      <c r="D29736" s="15" t="s">
        <v>25502</v>
      </c>
      <c r="E29736" s="2">
        <v>1665196</v>
      </c>
      <c r="F29736" s="4" t="e">
        <f>IF(B29736=#REF!,"",B29736)</f>
        <v>#REF!</v>
      </c>
    </row>
    <row r="29737" spans="1:6" ht="15.75" customHeight="1">
      <c r="A29737" s="16" t="s">
        <v>28439</v>
      </c>
      <c r="B29737" s="15" t="s">
        <v>28439</v>
      </c>
      <c r="C29737" s="16" t="s">
        <v>27788</v>
      </c>
      <c r="D29737" s="16" t="s">
        <v>7988</v>
      </c>
      <c r="E29737" s="2">
        <v>4191955</v>
      </c>
      <c r="F29737" s="4" t="e">
        <f>IF(B29737=#REF!,"",B29737)</f>
        <v>#REF!</v>
      </c>
    </row>
    <row r="29738" spans="1:6" ht="15.75" customHeight="1">
      <c r="A29738" s="15" t="s">
        <v>14769</v>
      </c>
      <c r="B29738" s="15" t="s">
        <v>14769</v>
      </c>
      <c r="C29738" s="15" t="s">
        <v>14770</v>
      </c>
      <c r="D29738" s="15" t="s">
        <v>14769</v>
      </c>
      <c r="E29738" s="2">
        <v>3042237</v>
      </c>
      <c r="F29738" s="4" t="e">
        <f>IF(B29738=#REF!,"",B29738)</f>
        <v>#REF!</v>
      </c>
    </row>
    <row r="29739" spans="1:6" ht="15.75" customHeight="1">
      <c r="A29739" s="15" t="s">
        <v>325</v>
      </c>
      <c r="B29739" s="15" t="s">
        <v>325</v>
      </c>
      <c r="C29739" s="15" t="s">
        <v>153</v>
      </c>
      <c r="D29739" s="15" t="s">
        <v>160</v>
      </c>
      <c r="E29739" s="2">
        <v>2499193</v>
      </c>
      <c r="F29739" s="4" t="e">
        <f>IF(B29739=#REF!,"",B29739)</f>
        <v>#REF!</v>
      </c>
    </row>
    <row r="29740" spans="1:6" ht="15.75" customHeight="1">
      <c r="A29740" s="16" t="s">
        <v>7325</v>
      </c>
      <c r="B29740" s="15" t="s">
        <v>7326</v>
      </c>
      <c r="C29740" s="16" t="s">
        <v>7052</v>
      </c>
      <c r="D29740" s="16" t="s">
        <v>7190</v>
      </c>
      <c r="E29740" s="2">
        <v>3020996</v>
      </c>
      <c r="F29740" s="4" t="e">
        <f>IF(B29740=#REF!,"",B29740)</f>
        <v>#REF!</v>
      </c>
    </row>
    <row r="29741" spans="1:6" ht="15.75" customHeight="1">
      <c r="A29741" s="16" t="s">
        <v>26118</v>
      </c>
      <c r="B29741" s="15" t="s">
        <v>26118</v>
      </c>
      <c r="C29741" s="16" t="s">
        <v>26090</v>
      </c>
      <c r="D29741" s="16" t="s">
        <v>26110</v>
      </c>
      <c r="E29741" s="2">
        <v>2471475</v>
      </c>
      <c r="F29741" s="4" t="e">
        <f>IF(B29741=#REF!,"",B29741)</f>
        <v>#REF!</v>
      </c>
    </row>
    <row r="29742" spans="1:6" ht="15.75" customHeight="1">
      <c r="A29742" s="15" t="s">
        <v>26116</v>
      </c>
      <c r="B29742" s="15" t="s">
        <v>26117</v>
      </c>
      <c r="C29742" s="15" t="s">
        <v>26090</v>
      </c>
      <c r="D29742" s="15" t="s">
        <v>26108</v>
      </c>
      <c r="E29742" s="2">
        <v>2581754</v>
      </c>
      <c r="F29742" s="4" t="e">
        <f>IF(B29742=#REF!,"",B29742)</f>
        <v>#REF!</v>
      </c>
    </row>
    <row r="29743" spans="1:6" ht="15.75" customHeight="1">
      <c r="A29743" s="15" t="s">
        <v>3910</v>
      </c>
      <c r="B29743" s="15" t="s">
        <v>3910</v>
      </c>
      <c r="C29743" s="15" t="s">
        <v>3884</v>
      </c>
      <c r="D29743" s="15" t="s">
        <v>1761</v>
      </c>
      <c r="E29743" s="2">
        <v>2232593</v>
      </c>
      <c r="F29743" s="4" t="e">
        <f>IF(B29743=#REF!,"",B29743)</f>
        <v>#REF!</v>
      </c>
    </row>
    <row r="29744" spans="1:6" ht="15.75" customHeight="1">
      <c r="A29744" s="15" t="s">
        <v>7324</v>
      </c>
      <c r="B29744" s="15" t="s">
        <v>7324</v>
      </c>
      <c r="C29744" s="15" t="s">
        <v>7052</v>
      </c>
      <c r="D29744" s="15" t="s">
        <v>7078</v>
      </c>
      <c r="E29744" s="2">
        <v>3021000</v>
      </c>
      <c r="F29744" s="4" t="e">
        <f>IF(B29744=#REF!,"",B29744)</f>
        <v>#REF!</v>
      </c>
    </row>
    <row r="29745" spans="1:6" ht="15.75" customHeight="1">
      <c r="A29745" s="15" t="s">
        <v>28438</v>
      </c>
      <c r="B29745" s="15" t="s">
        <v>28438</v>
      </c>
      <c r="C29745" s="15" t="s">
        <v>27788</v>
      </c>
      <c r="D29745" s="15" t="s">
        <v>28023</v>
      </c>
      <c r="E29745" s="2">
        <v>4059102</v>
      </c>
      <c r="F29745" s="4" t="e">
        <f>IF(B29745=#REF!,"",B29745)</f>
        <v>#REF!</v>
      </c>
    </row>
    <row r="29746" spans="1:6" ht="15.75" customHeight="1">
      <c r="A29746" s="15" t="s">
        <v>19272</v>
      </c>
      <c r="B29746" s="15" t="s">
        <v>19271</v>
      </c>
      <c r="C29746" s="15" t="s">
        <v>19259</v>
      </c>
      <c r="D29746" s="15" t="s">
        <v>19271</v>
      </c>
      <c r="E29746" s="2">
        <v>2445488</v>
      </c>
      <c r="F29746" s="4" t="e">
        <f>IF(B29746=#REF!,"",B29746)</f>
        <v>#REF!</v>
      </c>
    </row>
    <row r="29747" spans="1:6" ht="15.75" customHeight="1">
      <c r="A29747" s="16" t="s">
        <v>5446</v>
      </c>
      <c r="B29747" s="15" t="s">
        <v>5446</v>
      </c>
      <c r="C29747" s="16" t="s">
        <v>5348</v>
      </c>
      <c r="D29747" s="16" t="s">
        <v>5364</v>
      </c>
      <c r="E29747" s="2">
        <v>3685095</v>
      </c>
      <c r="F29747" s="4" t="e">
        <f>IF(B29747=#REF!,"",B29747)</f>
        <v>#REF!</v>
      </c>
    </row>
    <row r="29748" spans="1:6" ht="15.75" customHeight="1">
      <c r="A29748" s="16" t="s">
        <v>24437</v>
      </c>
      <c r="B29748" s="15" t="s">
        <v>24437</v>
      </c>
      <c r="C29748" s="16" t="s">
        <v>24200</v>
      </c>
      <c r="D29748" s="16" t="s">
        <v>24205</v>
      </c>
      <c r="E29748" s="2">
        <v>2518794</v>
      </c>
      <c r="F29748" s="4" t="e">
        <f>IF(B29748=#REF!,"",B29748)</f>
        <v>#REF!</v>
      </c>
    </row>
    <row r="29749" spans="1:6" ht="15.75" customHeight="1">
      <c r="A29749" s="15" t="s">
        <v>4045</v>
      </c>
      <c r="B29749" s="15" t="s">
        <v>4045</v>
      </c>
      <c r="C29749" s="15" t="s">
        <v>3975</v>
      </c>
      <c r="D29749" s="15" t="s">
        <v>3982</v>
      </c>
      <c r="E29749" s="2">
        <v>5941925</v>
      </c>
      <c r="F29749" s="4" t="str">
        <f>IF(B29749=B29748,"",B29749)</f>
        <v>Dorval</v>
      </c>
    </row>
    <row r="29750" spans="1:6" ht="15.75" customHeight="1">
      <c r="A29750" s="16" t="str">
        <f ca="1">IFERROR(__xludf.DUMMYFUNCTION("GOOGLETRANSLATE(B42016,""en"",""pt"")"),"Dörtyol")</f>
        <v>Dörtyol</v>
      </c>
      <c r="B29750" s="20" t="s">
        <v>35885</v>
      </c>
      <c r="C29750" s="20" t="s">
        <v>26201</v>
      </c>
      <c r="D29750" s="20" t="s">
        <v>26318</v>
      </c>
      <c r="E29750" s="10">
        <v>316284</v>
      </c>
      <c r="F29750" s="4" t="e">
        <f>IF(B29750=#REF!,"",B29750)</f>
        <v>#REF!</v>
      </c>
    </row>
    <row r="29751" spans="1:6" ht="15.75" customHeight="1">
      <c r="A29751" s="16" t="s">
        <v>8315</v>
      </c>
      <c r="B29751" s="15" t="s">
        <v>8315</v>
      </c>
      <c r="C29751" s="16" t="s">
        <v>8028</v>
      </c>
      <c r="D29751" s="16" t="s">
        <v>8029</v>
      </c>
      <c r="E29751" s="2">
        <v>2935517</v>
      </c>
      <c r="F29751" s="4" t="e">
        <f>IF(B29751=#REF!,"",B29751)</f>
        <v>#REF!</v>
      </c>
    </row>
    <row r="29752" spans="1:6" ht="15.75" customHeight="1">
      <c r="A29752" s="15" t="s">
        <v>8314</v>
      </c>
      <c r="B29752" s="15" t="s">
        <v>8314</v>
      </c>
      <c r="C29752" s="15" t="s">
        <v>8028</v>
      </c>
      <c r="D29752" s="15" t="s">
        <v>8029</v>
      </c>
      <c r="E29752" s="2">
        <v>2935530</v>
      </c>
      <c r="F29752" s="4" t="e">
        <f>IF(B29752=#REF!,"",B29752)</f>
        <v>#REF!</v>
      </c>
    </row>
    <row r="29753" spans="1:6" ht="15.75" customHeight="1">
      <c r="A29753" s="15" t="s">
        <v>21913</v>
      </c>
      <c r="B29753" s="15" t="s">
        <v>21913</v>
      </c>
      <c r="C29753" s="15" t="s">
        <v>21824</v>
      </c>
      <c r="D29753" s="15" t="s">
        <v>21861</v>
      </c>
      <c r="E29753" s="2">
        <v>679065</v>
      </c>
      <c r="F29753" s="4" t="e">
        <f>IF(B29753=#REF!,"",B29753)</f>
        <v>#REF!</v>
      </c>
    </row>
    <row r="29754" spans="1:6" ht="15.75" customHeight="1">
      <c r="A29754" s="16" t="s">
        <v>22348</v>
      </c>
      <c r="B29754" s="15" t="s">
        <v>22348</v>
      </c>
      <c r="C29754" s="16" t="s">
        <v>22070</v>
      </c>
      <c r="D29754" s="16" t="s">
        <v>22119</v>
      </c>
      <c r="E29754" s="2">
        <v>565197</v>
      </c>
      <c r="F29754" s="4" t="e">
        <f>IF(B29754=#REF!,"",B29754)</f>
        <v>#REF!</v>
      </c>
    </row>
    <row r="29755" spans="1:6" ht="15.75" customHeight="1">
      <c r="A29755" s="15" t="s">
        <v>1127</v>
      </c>
      <c r="B29755" s="15" t="s">
        <v>1127</v>
      </c>
      <c r="C29755" s="15" t="s">
        <v>1117</v>
      </c>
      <c r="D29755" s="15" t="s">
        <v>1126</v>
      </c>
      <c r="E29755" s="2">
        <v>2780741</v>
      </c>
      <c r="F29755" s="4" t="e">
        <f>IF(B29755=#REF!,"",B29755)</f>
        <v>#REF!</v>
      </c>
    </row>
    <row r="29756" spans="1:6" ht="15.75" customHeight="1">
      <c r="A29756" s="15" t="s">
        <v>11195</v>
      </c>
      <c r="B29756" s="15" t="s">
        <v>11195</v>
      </c>
      <c r="C29756" s="15" t="s">
        <v>10178</v>
      </c>
      <c r="D29756" s="15" t="s">
        <v>10187</v>
      </c>
      <c r="E29756" s="2">
        <v>1272367</v>
      </c>
      <c r="F29756" s="4" t="e">
        <f>IF(B29756=#REF!,"",B29756)</f>
        <v>#REF!</v>
      </c>
    </row>
    <row r="29757" spans="1:6" ht="15.75" customHeight="1">
      <c r="A29757" s="16" t="s">
        <v>8313</v>
      </c>
      <c r="B29757" s="15" t="s">
        <v>8313</v>
      </c>
      <c r="C29757" s="16" t="s">
        <v>8028</v>
      </c>
      <c r="D29757" s="16" t="s">
        <v>8029</v>
      </c>
      <c r="E29757" s="2">
        <v>2935825</v>
      </c>
      <c r="F29757" s="4" t="e">
        <f>IF(B29757=#REF!,"",B29757)</f>
        <v>#REF!</v>
      </c>
    </row>
    <row r="29758" spans="1:6" ht="15.75" customHeight="1">
      <c r="A29758" s="15" t="s">
        <v>3785</v>
      </c>
      <c r="B29758" s="15" t="s">
        <v>3785</v>
      </c>
      <c r="C29758" s="15" t="s">
        <v>3768</v>
      </c>
      <c r="D29758" s="15" t="s">
        <v>3784</v>
      </c>
      <c r="E29758" s="2">
        <v>2361082</v>
      </c>
      <c r="F29758" s="4" t="e">
        <f>IF(B29758=#REF!,"",B29758)</f>
        <v>#REF!</v>
      </c>
    </row>
    <row r="29759" spans="1:6" ht="15.75" customHeight="1">
      <c r="A29759" s="16" t="s">
        <v>18941</v>
      </c>
      <c r="B29759" s="15" t="s">
        <v>18941</v>
      </c>
      <c r="C29759" s="16" t="s">
        <v>18862</v>
      </c>
      <c r="D29759" s="16" t="s">
        <v>18868</v>
      </c>
      <c r="E29759" s="2">
        <v>2756669</v>
      </c>
      <c r="F29759" s="4" t="str">
        <f>IF(B29759=B29758,"",B29759)</f>
        <v>Dordrecht</v>
      </c>
    </row>
    <row r="29760" spans="1:6" ht="15.75" customHeight="1">
      <c r="A29760" s="16" t="str">
        <f ca="1">IFERROR(__xludf.DUMMYFUNCTION("GOOGLETRANSLATE(B34523,""en"",""pt"")"),"Dorcheh pīāz")</f>
        <v>Dorcheh pīāz</v>
      </c>
      <c r="B29760" s="20" t="s">
        <v>34257</v>
      </c>
      <c r="C29760" s="20" t="s">
        <v>14240</v>
      </c>
      <c r="D29760" s="20" t="s">
        <v>14294</v>
      </c>
      <c r="E29760" s="10">
        <v>418896</v>
      </c>
      <c r="F29760" s="4" t="str">
        <f>IF(B29760=B29759,"",B29760)</f>
        <v>Dorcheh Pīāz</v>
      </c>
    </row>
    <row r="29761" spans="1:6" ht="15.75" customHeight="1">
      <c r="A29761" s="16" t="s">
        <v>14367</v>
      </c>
      <c r="B29761" s="15" t="s">
        <v>14368</v>
      </c>
      <c r="C29761" s="16" t="s">
        <v>14240</v>
      </c>
      <c r="D29761" s="16" t="s">
        <v>14294</v>
      </c>
      <c r="E29761" s="2">
        <v>418896</v>
      </c>
      <c r="F29761" s="4" t="e">
        <f>IF(B29761=#REF!,"",B29761)</f>
        <v>#REF!</v>
      </c>
    </row>
    <row r="29762" spans="1:6" ht="15.75" customHeight="1">
      <c r="A29762" s="15" t="s">
        <v>28437</v>
      </c>
      <c r="B29762" s="15" t="s">
        <v>28437</v>
      </c>
      <c r="C29762" s="15" t="s">
        <v>27788</v>
      </c>
      <c r="D29762" s="15" t="s">
        <v>5468</v>
      </c>
      <c r="E29762" s="2">
        <v>4153471</v>
      </c>
      <c r="F29762" s="4" t="str">
        <f>IF(B29762=B29761,"",B29762)</f>
        <v>Doral</v>
      </c>
    </row>
    <row r="29763" spans="1:6" ht="15.75" customHeight="1">
      <c r="A29763" s="16" t="str">
        <f ca="1">IFERROR(__xludf.DUMMYFUNCTION("GOOGLETRANSLATE(B33553,""en"",""pt"")"),"Dorāha")</f>
        <v>Dorāha</v>
      </c>
      <c r="B29763" s="20" t="s">
        <v>33757</v>
      </c>
      <c r="C29763" s="20" t="s">
        <v>10178</v>
      </c>
      <c r="D29763" s="20" t="s">
        <v>10184</v>
      </c>
      <c r="E29763" s="10">
        <v>1272375</v>
      </c>
      <c r="F29763" s="4" t="str">
        <f>IF(B29763=B29762,"",B29763)</f>
        <v>Dorāha</v>
      </c>
    </row>
    <row r="29764" spans="1:6" ht="15.75" customHeight="1">
      <c r="A29764" s="15" t="s">
        <v>11193</v>
      </c>
      <c r="B29764" s="15" t="s">
        <v>11194</v>
      </c>
      <c r="C29764" s="15" t="s">
        <v>10178</v>
      </c>
      <c r="D29764" s="15" t="s">
        <v>10184</v>
      </c>
      <c r="E29764" s="2">
        <v>1272375</v>
      </c>
      <c r="F29764" s="4" t="e">
        <f>IF(B29764=#REF!,"",B29764)</f>
        <v>#REF!</v>
      </c>
    </row>
    <row r="29765" spans="1:6" ht="15.75" customHeight="1">
      <c r="A29765" s="15" t="s">
        <v>22347</v>
      </c>
      <c r="B29765" s="15" t="s">
        <v>22347</v>
      </c>
      <c r="C29765" s="15" t="s">
        <v>22070</v>
      </c>
      <c r="D29765" s="15" t="s">
        <v>22117</v>
      </c>
      <c r="E29765" s="2">
        <v>565289</v>
      </c>
      <c r="F29765" s="4" t="e">
        <f>IF(B29765=#REF!,"",B29765)</f>
        <v>#REF!</v>
      </c>
    </row>
    <row r="29766" spans="1:6" ht="15.75" customHeight="1">
      <c r="A29766" s="15" t="s">
        <v>22346</v>
      </c>
      <c r="B29766" s="15" t="s">
        <v>22346</v>
      </c>
      <c r="C29766" s="15" t="s">
        <v>22070</v>
      </c>
      <c r="D29766" s="15" t="s">
        <v>22122</v>
      </c>
      <c r="E29766" s="2">
        <v>565290</v>
      </c>
      <c r="F29766" s="4" t="str">
        <f>IF(B29766=B29765,"",B29766)</f>
        <v>Donskoy</v>
      </c>
    </row>
    <row r="29767" spans="1:6" ht="15.75" customHeight="1">
      <c r="A29767" s="16" t="str">
        <f ca="1">IFERROR(__xludf.DUMMYFUNCTION("GOOGLETRANSLATE(B29287,""en"",""pt"")"),"Donostia / San Sebastián")</f>
        <v>Donostia / San Sebastián</v>
      </c>
      <c r="B29767" s="20" t="s">
        <v>32430</v>
      </c>
      <c r="C29767" s="20" t="s">
        <v>24200</v>
      </c>
      <c r="D29767" s="20" t="s">
        <v>24249</v>
      </c>
      <c r="E29767" s="10">
        <v>3110044</v>
      </c>
      <c r="F29767" s="4" t="str">
        <f>IF(B29767=B29766,"",B29767)</f>
        <v>Donostia / San Sebastián</v>
      </c>
    </row>
    <row r="29768" spans="1:6" ht="15.75" customHeight="1">
      <c r="A29768" s="16" t="s">
        <v>24435</v>
      </c>
      <c r="B29768" s="15" t="s">
        <v>24436</v>
      </c>
      <c r="C29768" s="16" t="s">
        <v>24200</v>
      </c>
      <c r="D29768" s="16" t="s">
        <v>24249</v>
      </c>
      <c r="E29768" s="2">
        <v>3110044</v>
      </c>
      <c r="F29768" s="4" t="e">
        <f>IF(B29768=#REF!,"",B29768)</f>
        <v>#REF!</v>
      </c>
    </row>
    <row r="29769" spans="1:6" ht="15.75" customHeight="1">
      <c r="A29769" s="15" t="s">
        <v>28436</v>
      </c>
      <c r="B29769" s="15" t="s">
        <v>28436</v>
      </c>
      <c r="C29769" s="15" t="s">
        <v>27788</v>
      </c>
      <c r="D29769" s="15" t="s">
        <v>27792</v>
      </c>
      <c r="E29769" s="2">
        <v>4686593</v>
      </c>
      <c r="F29769" s="4" t="e">
        <f>IF(B29769=#REF!,"",B29769)</f>
        <v>#REF!</v>
      </c>
    </row>
    <row r="29770" spans="1:6" ht="15.75" customHeight="1">
      <c r="A29770" s="16" t="s">
        <v>4648</v>
      </c>
      <c r="B29770" s="15" t="s">
        <v>4648</v>
      </c>
      <c r="C29770" s="16" t="s">
        <v>4487</v>
      </c>
      <c r="D29770" s="16" t="s">
        <v>4631</v>
      </c>
      <c r="E29770" s="2">
        <v>1791056</v>
      </c>
      <c r="F29770" s="4" t="e">
        <f>IF(B29770=#REF!,"",B29770)</f>
        <v>#REF!</v>
      </c>
    </row>
    <row r="29771" spans="1:6" ht="15.75" customHeight="1">
      <c r="A29771" s="15" t="s">
        <v>4647</v>
      </c>
      <c r="B29771" s="15" t="s">
        <v>4647</v>
      </c>
      <c r="C29771" s="15" t="s">
        <v>4487</v>
      </c>
      <c r="D29771" s="15" t="s">
        <v>4488</v>
      </c>
      <c r="E29771" s="2">
        <v>2037685</v>
      </c>
      <c r="F29771" s="4" t="e">
        <f>IF(B29771=#REF!,"",B29771)</f>
        <v>#REF!</v>
      </c>
    </row>
    <row r="29772" spans="1:6" ht="15.75" customHeight="1">
      <c r="A29772" s="15" t="s">
        <v>4646</v>
      </c>
      <c r="B29772" s="15" t="s">
        <v>4646</v>
      </c>
      <c r="C29772" s="15" t="s">
        <v>4487</v>
      </c>
      <c r="D29772" s="15" t="s">
        <v>4535</v>
      </c>
      <c r="E29772" s="2">
        <v>1812228</v>
      </c>
      <c r="F29772" s="4" t="e">
        <f>IF(B29772=#REF!,"",B29772)</f>
        <v>#REF!</v>
      </c>
    </row>
    <row r="29773" spans="1:6" ht="15.75" customHeight="1">
      <c r="A29773" s="16" t="s">
        <v>4645</v>
      </c>
      <c r="B29773" s="15" t="s">
        <v>4645</v>
      </c>
      <c r="C29773" s="16" t="s">
        <v>4487</v>
      </c>
      <c r="D29773" s="16" t="s">
        <v>4533</v>
      </c>
      <c r="E29773" s="2">
        <v>1812256</v>
      </c>
      <c r="F29773" s="4" t="e">
        <f>IF(B29773=#REF!,"",B29773)</f>
        <v>#REF!</v>
      </c>
    </row>
    <row r="29774" spans="1:6" ht="15.75" customHeight="1">
      <c r="A29774" s="16" t="s">
        <v>25593</v>
      </c>
      <c r="B29774" s="15" t="s">
        <v>25593</v>
      </c>
      <c r="C29774" s="16" t="s">
        <v>25560</v>
      </c>
      <c r="D29774" s="16" t="s">
        <v>25562</v>
      </c>
      <c r="E29774" s="2">
        <v>160172</v>
      </c>
      <c r="F29774" s="4" t="e">
        <f>IF(B29774=#REF!,"",B29774)</f>
        <v>#REF!</v>
      </c>
    </row>
    <row r="29775" spans="1:6" ht="15.75" customHeight="1">
      <c r="A29775" s="15" t="s">
        <v>4644</v>
      </c>
      <c r="B29775" s="15" t="s">
        <v>4644</v>
      </c>
      <c r="C29775" s="15" t="s">
        <v>4487</v>
      </c>
      <c r="D29775" s="15" t="s">
        <v>4488</v>
      </c>
      <c r="E29775" s="2">
        <v>2037611</v>
      </c>
      <c r="F29775" s="4" t="e">
        <f>IF(B29775=#REF!,"",B29775)</f>
        <v>#REF!</v>
      </c>
    </row>
    <row r="29776" spans="1:6" ht="15.75" customHeight="1">
      <c r="A29776" s="15" t="s">
        <v>4643</v>
      </c>
      <c r="B29776" s="15" t="s">
        <v>4643</v>
      </c>
      <c r="C29776" s="15" t="s">
        <v>4487</v>
      </c>
      <c r="D29776" s="15" t="s">
        <v>4505</v>
      </c>
      <c r="E29776" s="2">
        <v>2037620</v>
      </c>
      <c r="F29776" s="4" t="e">
        <f>IF(B29776=#REF!,"",B29776)</f>
        <v>#REF!</v>
      </c>
    </row>
    <row r="29777" spans="1:6" ht="15.75" customHeight="1">
      <c r="A29777" s="15" t="s">
        <v>4642</v>
      </c>
      <c r="B29777" s="15" t="s">
        <v>4642</v>
      </c>
      <c r="C29777" s="15" t="s">
        <v>4487</v>
      </c>
      <c r="D29777" s="15" t="s">
        <v>4535</v>
      </c>
      <c r="E29777" s="2">
        <v>1812427</v>
      </c>
      <c r="F29777" s="4" t="e">
        <f>IF(B29777=#REF!,"",B29777)</f>
        <v>#REF!</v>
      </c>
    </row>
    <row r="29778" spans="1:6" ht="15.75" customHeight="1">
      <c r="A29778" s="15" t="s">
        <v>4641</v>
      </c>
      <c r="B29778" s="15" t="s">
        <v>4641</v>
      </c>
      <c r="C29778" s="15" t="s">
        <v>4487</v>
      </c>
      <c r="D29778" s="15" t="s">
        <v>4492</v>
      </c>
      <c r="E29778" s="2">
        <v>1812521</v>
      </c>
      <c r="F29778" s="4" t="e">
        <f>IF(B29778=#REF!,"",B29778)</f>
        <v>#REF!</v>
      </c>
    </row>
    <row r="29779" spans="1:6" ht="15.75" customHeight="1">
      <c r="A29779" s="16" t="s">
        <v>4640</v>
      </c>
      <c r="B29779" s="15" t="s">
        <v>4640</v>
      </c>
      <c r="C29779" s="16" t="s">
        <v>4487</v>
      </c>
      <c r="D29779" s="16" t="s">
        <v>4492</v>
      </c>
      <c r="E29779" s="2">
        <v>1812545</v>
      </c>
      <c r="F29779" s="4" t="e">
        <f>IF(B29779=#REF!,"",B29779)</f>
        <v>#REF!</v>
      </c>
    </row>
    <row r="29780" spans="1:6" ht="15.75" customHeight="1">
      <c r="A29780" s="16" t="s">
        <v>17466</v>
      </c>
      <c r="B29780" s="15" t="s">
        <v>17467</v>
      </c>
      <c r="C29780" s="16" t="s">
        <v>17432</v>
      </c>
      <c r="D29780" s="16" t="s">
        <v>17444</v>
      </c>
      <c r="E29780" s="2">
        <v>1733438</v>
      </c>
      <c r="F29780" s="4" t="e">
        <f>IF(B29780=#REF!,"",B29780)</f>
        <v>#REF!</v>
      </c>
    </row>
    <row r="29781" spans="1:6" ht="15.75" customHeight="1">
      <c r="A29781" s="15" t="s">
        <v>4639</v>
      </c>
      <c r="B29781" s="15" t="s">
        <v>4639</v>
      </c>
      <c r="C29781" s="15" t="s">
        <v>4487</v>
      </c>
      <c r="D29781" s="15" t="s">
        <v>4518</v>
      </c>
      <c r="E29781" s="2">
        <v>2037658</v>
      </c>
      <c r="F29781" s="4" t="e">
        <f>IF(B29781=#REF!,"",B29781)</f>
        <v>#REF!</v>
      </c>
    </row>
    <row r="29782" spans="1:6" ht="15.75" customHeight="1">
      <c r="A29782" s="15" t="s">
        <v>18940</v>
      </c>
      <c r="B29782" s="15" t="s">
        <v>18940</v>
      </c>
      <c r="C29782" s="15" t="s">
        <v>18862</v>
      </c>
      <c r="D29782" s="15" t="s">
        <v>18888</v>
      </c>
      <c r="E29782" s="2">
        <v>2756723</v>
      </c>
      <c r="F29782" s="4" t="e">
        <f>IF(B29782=#REF!,"",B29782)</f>
        <v>#REF!</v>
      </c>
    </row>
    <row r="29783" spans="1:6" ht="15.75" customHeight="1">
      <c r="A29783" s="15" t="s">
        <v>4638</v>
      </c>
      <c r="B29783" s="15" t="s">
        <v>4638</v>
      </c>
      <c r="C29783" s="15" t="s">
        <v>4487</v>
      </c>
      <c r="D29783" s="15" t="s">
        <v>4503</v>
      </c>
      <c r="E29783" s="2">
        <v>1812597</v>
      </c>
      <c r="F29783" s="4" t="e">
        <f>IF(B29783=#REF!,"",B29783)</f>
        <v>#REF!</v>
      </c>
    </row>
    <row r="29784" spans="1:6" ht="15.75" customHeight="1">
      <c r="A29784" s="15" t="s">
        <v>4637</v>
      </c>
      <c r="B29784" s="15" t="s">
        <v>4637</v>
      </c>
      <c r="C29784" s="15" t="s">
        <v>4487</v>
      </c>
      <c r="D29784" s="15" t="s">
        <v>4503</v>
      </c>
      <c r="E29784" s="2">
        <v>1812621</v>
      </c>
      <c r="F29784" s="4" t="e">
        <f>IF(B29784=#REF!,"",B29784)</f>
        <v>#REF!</v>
      </c>
    </row>
    <row r="29785" spans="1:6" ht="15.75" customHeight="1">
      <c r="A29785" s="16" t="s">
        <v>11192</v>
      </c>
      <c r="B29785" s="15" t="s">
        <v>11192</v>
      </c>
      <c r="C29785" s="16" t="s">
        <v>10178</v>
      </c>
      <c r="D29785" s="16" t="s">
        <v>10272</v>
      </c>
      <c r="E29785" s="2">
        <v>1272396</v>
      </c>
      <c r="F29785" s="4" t="str">
        <f>IF(B29785=B29784,"",B29785)</f>
        <v>Dongargarh</v>
      </c>
    </row>
    <row r="29786" spans="1:6" ht="15.75" customHeight="1">
      <c r="A29786" s="16" t="str">
        <f ca="1">IFERROR(__xludf.DUMMYFUNCTION("GOOGLETRANSLATE(B45767,""en"",""pt"")"),"Ðông hà")</f>
        <v>Ðông hà</v>
      </c>
      <c r="B29786" s="20" t="s">
        <v>36177</v>
      </c>
      <c r="C29786" s="20" t="s">
        <v>30784</v>
      </c>
      <c r="D29786" s="20" t="s">
        <v>36178</v>
      </c>
      <c r="E29786" s="10">
        <v>1582926</v>
      </c>
      <c r="F29786" s="4" t="e">
        <f>IF(B29786=#REF!,"",B29786)</f>
        <v>#REF!</v>
      </c>
    </row>
    <row r="29787" spans="1:6" ht="15.75" customHeight="1">
      <c r="A29787" s="15" t="s">
        <v>22345</v>
      </c>
      <c r="B29787" s="15" t="s">
        <v>22345</v>
      </c>
      <c r="C29787" s="15" t="s">
        <v>22070</v>
      </c>
      <c r="D29787" s="15" t="s">
        <v>22099</v>
      </c>
      <c r="E29787" s="2">
        <v>565348</v>
      </c>
      <c r="F29787" s="4" t="e">
        <f>IF(B29787=#REF!,"",B29787)</f>
        <v>#REF!</v>
      </c>
    </row>
    <row r="29788" spans="1:6" ht="15.75" customHeight="1">
      <c r="A29788" s="15" t="s">
        <v>18668</v>
      </c>
      <c r="B29788" s="15" t="s">
        <v>18669</v>
      </c>
      <c r="C29788" s="15" t="s">
        <v>18655</v>
      </c>
      <c r="D29788" s="15" t="s">
        <v>18658</v>
      </c>
      <c r="E29788" s="2">
        <v>1024696</v>
      </c>
      <c r="F29788" s="4" t="e">
        <f>IF(B29788=#REF!,"",B29788)</f>
        <v>#REF!</v>
      </c>
    </row>
    <row r="29789" spans="1:6" ht="15.75" customHeight="1">
      <c r="A29789" s="16" t="s">
        <v>11191</v>
      </c>
      <c r="B29789" s="15" t="s">
        <v>11191</v>
      </c>
      <c r="C29789" s="16" t="s">
        <v>10178</v>
      </c>
      <c r="D29789" s="16" t="s">
        <v>10214</v>
      </c>
      <c r="E29789" s="2">
        <v>1272411</v>
      </c>
      <c r="F29789" s="4" t="e">
        <f>IF(B29789=#REF!,"",B29789)</f>
        <v>#REF!</v>
      </c>
    </row>
    <row r="29790" spans="1:6" ht="15.75" customHeight="1">
      <c r="A29790" s="16" t="s">
        <v>961</v>
      </c>
      <c r="B29790" s="15" t="s">
        <v>962</v>
      </c>
      <c r="C29790" s="16" t="s">
        <v>885</v>
      </c>
      <c r="D29790" s="16" t="s">
        <v>827</v>
      </c>
      <c r="E29790" s="2">
        <v>2168605</v>
      </c>
      <c r="F29790" s="4" t="e">
        <f>IF(B29790=#REF!,"",B29790)</f>
        <v>#REF!</v>
      </c>
    </row>
    <row r="29791" spans="1:6" ht="15.75" customHeight="1">
      <c r="A29791" s="16" t="s">
        <v>960</v>
      </c>
      <c r="B29791" s="15" t="s">
        <v>960</v>
      </c>
      <c r="C29791" s="16" t="s">
        <v>885</v>
      </c>
      <c r="D29791" s="16" t="s">
        <v>827</v>
      </c>
      <c r="E29791" s="2">
        <v>2168607</v>
      </c>
      <c r="F29791" s="4" t="str">
        <f>IF(B29791=B29790,"",B29791)</f>
        <v>Doncaster</v>
      </c>
    </row>
    <row r="29792" spans="1:6" ht="15.75" customHeight="1">
      <c r="A29792" s="16" t="str">
        <f ca="1">IFERROR(__xludf.DUMMYFUNCTION("GOOGLETRANSLATE(B28163,""en"",""pt"")"),"Donauwörth")</f>
        <v>Donauwörth</v>
      </c>
      <c r="B29792" s="20" t="s">
        <v>32116</v>
      </c>
      <c r="C29792" s="20" t="s">
        <v>8028</v>
      </c>
      <c r="D29792" s="20" t="s">
        <v>8044</v>
      </c>
      <c r="E29792" s="10">
        <v>2936253</v>
      </c>
      <c r="F29792" s="4" t="str">
        <f>IF(B29792=B29791,"",B29792)</f>
        <v>Donauwörth</v>
      </c>
    </row>
    <row r="29793" spans="1:6" ht="15.75" customHeight="1">
      <c r="A29793" s="16" t="s">
        <v>8311</v>
      </c>
      <c r="B29793" s="15" t="s">
        <v>8312</v>
      </c>
      <c r="C29793" s="16" t="s">
        <v>8028</v>
      </c>
      <c r="D29793" s="16" t="s">
        <v>8044</v>
      </c>
      <c r="E29793" s="2">
        <v>2936253</v>
      </c>
      <c r="F29793" s="4" t="e">
        <f>IF(B29793=#REF!,"",B29793)</f>
        <v>#REF!</v>
      </c>
    </row>
    <row r="29794" spans="1:6" ht="15.75" customHeight="1">
      <c r="A29794" s="16" t="s">
        <v>8310</v>
      </c>
      <c r="B29794" s="15" t="s">
        <v>8310</v>
      </c>
      <c r="C29794" s="16" t="s">
        <v>8028</v>
      </c>
      <c r="D29794" s="16" t="s">
        <v>8031</v>
      </c>
      <c r="E29794" s="2">
        <v>2936267</v>
      </c>
      <c r="F29794" s="4" t="e">
        <f>IF(B29794=#REF!,"",B29794)</f>
        <v>#REF!</v>
      </c>
    </row>
    <row r="29795" spans="1:6" ht="15.75" customHeight="1">
      <c r="A29795" s="16" t="s">
        <v>14741</v>
      </c>
      <c r="B29795" s="15" t="s">
        <v>14741</v>
      </c>
      <c r="C29795" s="16" t="s">
        <v>14728</v>
      </c>
      <c r="D29795" s="16" t="s">
        <v>14729</v>
      </c>
      <c r="E29795" s="2">
        <v>6691033</v>
      </c>
      <c r="F29795" s="4" t="e">
        <f>IF(B29795=#REF!,"",B29795)</f>
        <v>#REF!</v>
      </c>
    </row>
    <row r="29796" spans="1:6" ht="15.75" customHeight="1">
      <c r="A29796" s="15" t="s">
        <v>30840</v>
      </c>
      <c r="B29796" s="15" t="s">
        <v>30840</v>
      </c>
      <c r="C29796" s="15" t="s">
        <v>30784</v>
      </c>
      <c r="D29796" s="15" t="s">
        <v>30841</v>
      </c>
      <c r="E29796" s="2">
        <v>1582436</v>
      </c>
      <c r="F29796" s="4" t="e">
        <f>IF(B29796=#REF!,"",B29796)</f>
        <v>#REF!</v>
      </c>
    </row>
    <row r="29797" spans="1:6" ht="15.75" customHeight="1">
      <c r="A29797" s="16" t="s">
        <v>20762</v>
      </c>
      <c r="B29797" s="15" t="s">
        <v>20762</v>
      </c>
      <c r="C29797" s="16" t="s">
        <v>20598</v>
      </c>
      <c r="D29797" s="16" t="s">
        <v>20687</v>
      </c>
      <c r="E29797" s="2">
        <v>1714441</v>
      </c>
      <c r="F29797" s="4" t="e">
        <f>IF(B29797=#REF!,"",B29797)</f>
        <v>#REF!</v>
      </c>
    </row>
    <row r="29798" spans="1:6" ht="15.75" customHeight="1">
      <c r="A29798" s="16" t="s">
        <v>24434</v>
      </c>
      <c r="B29798" s="15" t="s">
        <v>24434</v>
      </c>
      <c r="C29798" s="16" t="s">
        <v>24200</v>
      </c>
      <c r="D29798" s="16" t="s">
        <v>24262</v>
      </c>
      <c r="E29798" s="2">
        <v>2518820</v>
      </c>
      <c r="F29798" s="4" t="e">
        <f>IF(B29798=#REF!,"",B29798)</f>
        <v>#REF!</v>
      </c>
    </row>
    <row r="29799" spans="1:6" ht="15.75" customHeight="1">
      <c r="A29799" s="16" t="s">
        <v>17920</v>
      </c>
      <c r="B29799" s="15" t="s">
        <v>17920</v>
      </c>
      <c r="C29799" s="16" t="s">
        <v>17707</v>
      </c>
      <c r="D29799" s="16" t="s">
        <v>17729</v>
      </c>
      <c r="E29799" s="2">
        <v>8858113</v>
      </c>
      <c r="F29799" s="4" t="e">
        <f>IF(B29799=#REF!,"",B29799)</f>
        <v>#REF!</v>
      </c>
    </row>
    <row r="29800" spans="1:6" ht="15.75" customHeight="1">
      <c r="A29800" s="15" t="s">
        <v>13912</v>
      </c>
      <c r="B29800" s="15" t="s">
        <v>13912</v>
      </c>
      <c r="C29800" s="15" t="s">
        <v>13800</v>
      </c>
      <c r="D29800" s="15" t="s">
        <v>13855</v>
      </c>
      <c r="E29800" s="2">
        <v>1645343</v>
      </c>
      <c r="F29800" s="4" t="e">
        <f>IF(B29800=#REF!,"",B29800)</f>
        <v>#REF!</v>
      </c>
    </row>
    <row r="29801" spans="1:6" ht="15.75" customHeight="1">
      <c r="A29801" s="15" t="s">
        <v>7322</v>
      </c>
      <c r="B29801" s="15" t="s">
        <v>7323</v>
      </c>
      <c r="C29801" s="15" t="s">
        <v>7052</v>
      </c>
      <c r="D29801" s="15" t="s">
        <v>7058</v>
      </c>
      <c r="E29801" s="2">
        <v>3021150</v>
      </c>
      <c r="F29801" s="4" t="e">
        <f>IF(B29801=#REF!,"",B29801)</f>
        <v>#REF!</v>
      </c>
    </row>
    <row r="29802" spans="1:6" ht="15.75" customHeight="1">
      <c r="A29802" s="16" t="s">
        <v>15121</v>
      </c>
      <c r="B29802" s="15" t="s">
        <v>15121</v>
      </c>
      <c r="C29802" s="16" t="s">
        <v>14891</v>
      </c>
      <c r="D29802" s="16" t="s">
        <v>14911</v>
      </c>
      <c r="E29802" s="2">
        <v>3177532</v>
      </c>
      <c r="F29802" s="4" t="e">
        <f>IF(B29802=#REF!,"",B29802)</f>
        <v>#REF!</v>
      </c>
    </row>
    <row r="29803" spans="1:6" ht="15.75" customHeight="1">
      <c r="A29803" s="16" t="s">
        <v>22343</v>
      </c>
      <c r="B29803" s="15" t="s">
        <v>22344</v>
      </c>
      <c r="C29803" s="16" t="s">
        <v>22070</v>
      </c>
      <c r="D29803" s="16" t="s">
        <v>22119</v>
      </c>
      <c r="E29803" s="2">
        <v>565381</v>
      </c>
      <c r="F29803" s="4" t="e">
        <f>IF(B29803=#REF!,"",B29803)</f>
        <v>#REF!</v>
      </c>
    </row>
    <row r="29804" spans="1:6" ht="15.75" customHeight="1">
      <c r="A29804" s="15" t="s">
        <v>9388</v>
      </c>
      <c r="B29804" s="15" t="s">
        <v>9389</v>
      </c>
      <c r="C29804" s="15" t="s">
        <v>9365</v>
      </c>
      <c r="D29804" s="15" t="s">
        <v>9368</v>
      </c>
      <c r="E29804" s="2">
        <v>2301639</v>
      </c>
      <c r="F29804" s="4" t="str">
        <f>IF(B29804=B29803,"",B29804)</f>
        <v>Dome</v>
      </c>
    </row>
    <row r="29805" spans="1:6" ht="15.75" customHeight="1">
      <c r="A29805" s="16" t="str">
        <f ca="1">IFERROR(__xludf.DUMMYFUNCTION("GOOGLETRANSLATE(B31322,""en"",""pt"")"),"Dombóvár")</f>
        <v>Dombóvár</v>
      </c>
      <c r="B29805" s="20" t="s">
        <v>32886</v>
      </c>
      <c r="C29805" s="20" t="s">
        <v>9955</v>
      </c>
      <c r="D29805" s="20" t="s">
        <v>10034</v>
      </c>
      <c r="E29805" s="10">
        <v>3053590</v>
      </c>
      <c r="F29805" s="4" t="e">
        <f>IF(B29805=#REF!,"",B29805)</f>
        <v>#REF!</v>
      </c>
    </row>
    <row r="29806" spans="1:6" ht="15.75" customHeight="1">
      <c r="A29806" s="15" t="s">
        <v>11190</v>
      </c>
      <c r="B29806" s="15" t="s">
        <v>11190</v>
      </c>
      <c r="C29806" s="15" t="s">
        <v>10178</v>
      </c>
      <c r="D29806" s="15" t="s">
        <v>10214</v>
      </c>
      <c r="E29806" s="2">
        <v>1272423</v>
      </c>
      <c r="F29806" s="4" t="str">
        <f>IF(B29806=B29805,"",B29806)</f>
        <v>Dombivli</v>
      </c>
    </row>
    <row r="29807" spans="1:6" ht="15.75" customHeight="1">
      <c r="A29807" s="15" t="s">
        <v>10032</v>
      </c>
      <c r="B29807" s="15" t="s">
        <v>10033</v>
      </c>
      <c r="C29807" s="15" t="s">
        <v>9955</v>
      </c>
      <c r="D29807" s="15" t="s">
        <v>10034</v>
      </c>
      <c r="E29807" s="2">
        <v>3053590</v>
      </c>
      <c r="F29807" s="4" t="e">
        <f>IF(B29807=#REF!,"",B29807)</f>
        <v>#REF!</v>
      </c>
    </row>
    <row r="29808" spans="1:6" ht="15.75" customHeight="1">
      <c r="A29808" s="16" t="s">
        <v>20761</v>
      </c>
      <c r="B29808" s="15" t="s">
        <v>20761</v>
      </c>
      <c r="C29808" s="16" t="s">
        <v>20598</v>
      </c>
      <c r="D29808" s="16" t="s">
        <v>20603</v>
      </c>
      <c r="E29808" s="2">
        <v>1714482</v>
      </c>
      <c r="F29808" s="4" t="e">
        <f>IF(B29808=#REF!,"",B29808)</f>
        <v>#REF!</v>
      </c>
    </row>
    <row r="29809" spans="1:6" ht="15.75" customHeight="1">
      <c r="A29809" s="15" t="s">
        <v>19373</v>
      </c>
      <c r="B29809" s="15" t="s">
        <v>19373</v>
      </c>
      <c r="C29809" s="15" t="s">
        <v>19294</v>
      </c>
      <c r="D29809" s="15" t="s">
        <v>19316</v>
      </c>
      <c r="E29809" s="2">
        <v>2344600</v>
      </c>
      <c r="F29809" s="4" t="e">
        <f>IF(B29809=#REF!,"",B29809)</f>
        <v>#REF!</v>
      </c>
    </row>
    <row r="29810" spans="1:6" ht="15.75" customHeight="1">
      <c r="A29810" s="16" t="s">
        <v>2423</v>
      </c>
      <c r="B29810" s="15" t="s">
        <v>2423</v>
      </c>
      <c r="C29810" s="16" t="s">
        <v>1905</v>
      </c>
      <c r="D29810" s="16" t="s">
        <v>2024</v>
      </c>
      <c r="E29810" s="2">
        <v>3400969</v>
      </c>
      <c r="F29810" s="4" t="e">
        <f>IF(B29810=#REF!,"",B29810)</f>
        <v>#REF!</v>
      </c>
    </row>
    <row r="29811" spans="1:6" ht="15.75" customHeight="1">
      <c r="A29811" s="16" t="s">
        <v>2422</v>
      </c>
      <c r="B29811" s="15" t="s">
        <v>2422</v>
      </c>
      <c r="C29811" s="16" t="s">
        <v>1905</v>
      </c>
      <c r="D29811" s="16" t="s">
        <v>1951</v>
      </c>
      <c r="E29811" s="2">
        <v>3464547</v>
      </c>
      <c r="F29811" s="4" t="e">
        <f>IF(B29811=#REF!,"",B29811)</f>
        <v>#REF!</v>
      </c>
    </row>
    <row r="29812" spans="1:6" ht="15.75" customHeight="1">
      <c r="A29812" s="15" t="s">
        <v>26948</v>
      </c>
      <c r="B29812" s="15" t="s">
        <v>26948</v>
      </c>
      <c r="C29812" s="15" t="s">
        <v>26870</v>
      </c>
      <c r="D29812" s="15" t="s">
        <v>26949</v>
      </c>
      <c r="E29812" s="2">
        <v>709782</v>
      </c>
      <c r="F29812" s="4" t="e">
        <f>IF(B29812=#REF!,"",B29812)</f>
        <v>#REF!</v>
      </c>
    </row>
    <row r="29813" spans="1:6" ht="15.75" customHeight="1">
      <c r="A29813" s="15" t="s">
        <v>26946</v>
      </c>
      <c r="B29813" s="15" t="s">
        <v>26946</v>
      </c>
      <c r="C29813" s="15" t="s">
        <v>26870</v>
      </c>
      <c r="D29813" s="15" t="s">
        <v>26947</v>
      </c>
      <c r="E29813" s="2">
        <v>709755</v>
      </c>
      <c r="F29813" s="4" t="e">
        <f>IF(B29813=#REF!,"",B29813)</f>
        <v>#REF!</v>
      </c>
    </row>
    <row r="29814" spans="1:6" ht="15.75" customHeight="1">
      <c r="A29814" s="15" t="s">
        <v>28435</v>
      </c>
      <c r="B29814" s="15" t="s">
        <v>28435</v>
      </c>
      <c r="C29814" s="15" t="s">
        <v>27788</v>
      </c>
      <c r="D29814" s="15" t="s">
        <v>27799</v>
      </c>
      <c r="E29814" s="2">
        <v>4890009</v>
      </c>
      <c r="F29814" s="4" t="e">
        <f>IF(B29814=#REF!,"",B29814)</f>
        <v>#REF!</v>
      </c>
    </row>
    <row r="29815" spans="1:6" ht="15.75" customHeight="1">
      <c r="A29815" s="16" t="s">
        <v>17919</v>
      </c>
      <c r="B29815" s="15" t="s">
        <v>17919</v>
      </c>
      <c r="C29815" s="16" t="s">
        <v>17707</v>
      </c>
      <c r="D29815" s="16" t="s">
        <v>17713</v>
      </c>
      <c r="E29815" s="2">
        <v>4023117</v>
      </c>
      <c r="F29815" s="4" t="e">
        <f>IF(B29815=#REF!,"",B29815)</f>
        <v>#REF!</v>
      </c>
    </row>
    <row r="29816" spans="1:6" ht="15.75" customHeight="1">
      <c r="A29816" s="15" t="s">
        <v>642</v>
      </c>
      <c r="B29816" s="15" t="s">
        <v>642</v>
      </c>
      <c r="C29816" s="15" t="s">
        <v>558</v>
      </c>
      <c r="D29816" s="15" t="s">
        <v>562</v>
      </c>
      <c r="E29816" s="2">
        <v>3435038</v>
      </c>
      <c r="F29816" s="4" t="e">
        <f>IF(B29816=#REF!,"",B29816)</f>
        <v>#REF!</v>
      </c>
    </row>
    <row r="29817" spans="1:6" ht="15.75" customHeight="1">
      <c r="A29817" s="15" t="s">
        <v>20760</v>
      </c>
      <c r="B29817" s="15" t="s">
        <v>20760</v>
      </c>
      <c r="C29817" s="15" t="s">
        <v>20598</v>
      </c>
      <c r="D29817" s="15" t="s">
        <v>20687</v>
      </c>
      <c r="E29817" s="2">
        <v>1714519</v>
      </c>
      <c r="F29817" s="4" t="str">
        <f>IF(B29817=B29816,"",B29817)</f>
        <v>Dologon</v>
      </c>
    </row>
    <row r="29818" spans="1:6" ht="15.75" customHeight="1">
      <c r="A29818" s="16" t="str">
        <f ca="1">IFERROR(__xludf.DUMMYFUNCTION("GOOGLETRANSLATE(B41266,""en"",""pt"")"),"Dolný Kubín")</f>
        <v>Dolný Kubín</v>
      </c>
      <c r="B29818" s="20" t="s">
        <v>35698</v>
      </c>
      <c r="C29818" s="20" t="s">
        <v>23694</v>
      </c>
      <c r="D29818" s="20" t="s">
        <v>35678</v>
      </c>
      <c r="E29818" s="10">
        <v>3060405</v>
      </c>
      <c r="F29818" s="4" t="str">
        <f>IF(B29818=B29817,"",B29818)</f>
        <v>Dolný Kubín</v>
      </c>
    </row>
    <row r="29819" spans="1:6" ht="15.75" customHeight="1">
      <c r="A29819" s="16" t="s">
        <v>23711</v>
      </c>
      <c r="B29819" s="15" t="s">
        <v>23712</v>
      </c>
      <c r="C29819" s="16" t="s">
        <v>23694</v>
      </c>
      <c r="D29819" s="16" t="s">
        <v>23697</v>
      </c>
      <c r="E29819" s="2">
        <v>3060405</v>
      </c>
      <c r="F29819" s="4" t="e">
        <f>IF(B29819=#REF!,"",B29819)</f>
        <v>#REF!</v>
      </c>
    </row>
    <row r="29820" spans="1:6" ht="15.75" customHeight="1">
      <c r="A29820" s="16" t="s">
        <v>4043</v>
      </c>
      <c r="B29820" s="15" t="s">
        <v>4044</v>
      </c>
      <c r="C29820" s="16" t="s">
        <v>3975</v>
      </c>
      <c r="D29820" s="16" t="s">
        <v>3982</v>
      </c>
      <c r="E29820" s="2">
        <v>5940956</v>
      </c>
      <c r="F29820" s="4" t="e">
        <f>IF(B29820=#REF!,"",B29820)</f>
        <v>#REF!</v>
      </c>
    </row>
    <row r="29821" spans="1:6" ht="15.75" customHeight="1">
      <c r="A29821" s="15" t="s">
        <v>21789</v>
      </c>
      <c r="B29821" s="15" t="s">
        <v>21789</v>
      </c>
      <c r="C29821" s="15" t="s">
        <v>21788</v>
      </c>
      <c r="D29821" s="15" t="s">
        <v>21790</v>
      </c>
      <c r="E29821" s="2">
        <v>2258261</v>
      </c>
      <c r="F29821" s="4" t="e">
        <f>IF(B29821=#REF!,"",B29821)</f>
        <v>#REF!</v>
      </c>
    </row>
    <row r="29822" spans="1:6" ht="15.75" customHeight="1">
      <c r="A29822" s="16" t="s">
        <v>22342</v>
      </c>
      <c r="B29822" s="15" t="s">
        <v>22342</v>
      </c>
      <c r="C29822" s="16" t="s">
        <v>22070</v>
      </c>
      <c r="D29822" s="16" t="s">
        <v>22119</v>
      </c>
      <c r="E29822" s="2">
        <v>565614</v>
      </c>
      <c r="F29822" s="4" t="e">
        <f>IF(B29822=#REF!,"",B29822)</f>
        <v>#REF!</v>
      </c>
    </row>
    <row r="29823" spans="1:6" ht="15.75" customHeight="1">
      <c r="A29823" s="15" t="s">
        <v>7321</v>
      </c>
      <c r="B29823" s="15" t="s">
        <v>7321</v>
      </c>
      <c r="C29823" s="15" t="s">
        <v>7052</v>
      </c>
      <c r="D29823" s="15" t="s">
        <v>7128</v>
      </c>
      <c r="E29823" s="2">
        <v>3021263</v>
      </c>
      <c r="F29823" s="4" t="str">
        <f>IF(B29823=B29822,"",B29823)</f>
        <v>Dole</v>
      </c>
    </row>
    <row r="29824" spans="1:6" ht="15.75" customHeight="1">
      <c r="A29824" s="16" t="s">
        <v>26944</v>
      </c>
      <c r="B29824" s="15" t="s">
        <v>26945</v>
      </c>
      <c r="C29824" s="16" t="s">
        <v>26870</v>
      </c>
      <c r="D29824" s="16" t="s">
        <v>22345</v>
      </c>
      <c r="E29824" s="2">
        <v>709835</v>
      </c>
      <c r="F29824" s="4" t="str">
        <f>IF(B29824=B29823,"",B29824)</f>
        <v>Dokuchayevsâ€™k</v>
      </c>
    </row>
    <row r="29825" spans="1:6" ht="15.75" customHeight="1">
      <c r="A29825" s="16" t="str">
        <f ca="1">IFERROR(__xludf.DUMMYFUNCTION("GOOGLETRANSLATE(B42670,""en"",""pt"")"),"Dokuchayevs'k")</f>
        <v>Dokuchayevs'k</v>
      </c>
      <c r="B29825" s="20" t="s">
        <v>36038</v>
      </c>
      <c r="C29825" s="20" t="s">
        <v>26870</v>
      </c>
      <c r="D29825" s="20" t="s">
        <v>22345</v>
      </c>
      <c r="E29825" s="10">
        <v>709835</v>
      </c>
      <c r="F29825" s="4" t="e">
        <f>IF(B29825=#REF!,"",B29825)</f>
        <v>#REF!</v>
      </c>
    </row>
    <row r="29826" spans="1:6" ht="15.75" customHeight="1">
      <c r="A29826" s="15" t="s">
        <v>25027</v>
      </c>
      <c r="B29826" s="15" t="s">
        <v>25027</v>
      </c>
      <c r="C29826" s="15" t="s">
        <v>24987</v>
      </c>
      <c r="D29826" s="15" t="s">
        <v>25000</v>
      </c>
      <c r="E29826" s="2">
        <v>376332</v>
      </c>
      <c r="F29826" s="4" t="e">
        <f>IF(B29826=#REF!,"",B29826)</f>
        <v>#REF!</v>
      </c>
    </row>
    <row r="29827" spans="1:6" ht="15.75" customHeight="1">
      <c r="A29827" s="16" t="s">
        <v>25879</v>
      </c>
      <c r="B29827" s="15" t="s">
        <v>25879</v>
      </c>
      <c r="C29827" s="16" t="s">
        <v>25771</v>
      </c>
      <c r="D29827" s="16" t="s">
        <v>25880</v>
      </c>
      <c r="E29827" s="2">
        <v>1153464</v>
      </c>
      <c r="F29827" s="4" t="e">
        <f>IF(B29827=#REF!,"",B29827)</f>
        <v>#REF!</v>
      </c>
    </row>
    <row r="29828" spans="1:6" ht="15.75" customHeight="1">
      <c r="A29828" s="16" t="s">
        <v>2420</v>
      </c>
      <c r="B29828" s="15" t="s">
        <v>2421</v>
      </c>
      <c r="C29828" s="16" t="s">
        <v>1905</v>
      </c>
      <c r="D29828" s="16" t="s">
        <v>728</v>
      </c>
      <c r="E29828" s="2">
        <v>3464579</v>
      </c>
      <c r="F29828" s="4" t="str">
        <f>IF(B29828=B29827,"",B29828)</f>
        <v>Dois Vizinhos</v>
      </c>
    </row>
    <row r="29829" spans="1:6" ht="15.75" customHeight="1">
      <c r="A29829" s="16" t="str">
        <f ca="1">IFERROR(__xludf.DUMMYFUNCTION("GOOGLETRANSLATE(B25065,""en"",""pt"")"),"Dois córregos")</f>
        <v>Dois córregos</v>
      </c>
      <c r="B29829" s="20" t="s">
        <v>31667</v>
      </c>
      <c r="C29829" s="20" t="s">
        <v>1905</v>
      </c>
      <c r="D29829" s="20" t="s">
        <v>3354</v>
      </c>
      <c r="E29829" s="10">
        <v>3464618</v>
      </c>
      <c r="F29829" s="4" t="str">
        <f>IF(B29829=B29828,"",B29829)</f>
        <v>Dois Córregos</v>
      </c>
    </row>
    <row r="29830" spans="1:6" ht="15.75" customHeight="1">
      <c r="A29830" s="16" t="s">
        <v>2418</v>
      </c>
      <c r="B29830" s="15" t="s">
        <v>2419</v>
      </c>
      <c r="C29830" s="16" t="s">
        <v>1905</v>
      </c>
      <c r="D29830" s="16" t="s">
        <v>1914</v>
      </c>
      <c r="E29830" s="2">
        <v>3464618</v>
      </c>
      <c r="F29830" s="4" t="str">
        <f>IF(B29830=B29829,"",B29830)</f>
        <v>Dois CÃ³rregos</v>
      </c>
    </row>
    <row r="29831" spans="1:6" ht="15.75" customHeight="1">
      <c r="A29831" s="16" t="str">
        <f ca="1">IFERROR(__xludf.DUMMYFUNCTION("GOOGLETRANSLATE(B23697,""en"",""pt"")"),"Dohār")</f>
        <v>Dohār</v>
      </c>
      <c r="B29831" s="20" t="s">
        <v>31257</v>
      </c>
      <c r="C29831" s="20" t="s">
        <v>1296</v>
      </c>
      <c r="D29831" s="20" t="s">
        <v>1297</v>
      </c>
      <c r="E29831" s="10">
        <v>1185100</v>
      </c>
      <c r="F29831" s="4" t="e">
        <f>IF(B29831=#REF!,"",B29831)</f>
        <v>#REF!</v>
      </c>
    </row>
    <row r="29832" spans="1:6" ht="15.75" customHeight="1">
      <c r="A29832" s="15" t="s">
        <v>11189</v>
      </c>
      <c r="B29832" s="15" t="s">
        <v>11189</v>
      </c>
      <c r="C29832" s="15" t="s">
        <v>10178</v>
      </c>
      <c r="D29832" s="15" t="s">
        <v>10209</v>
      </c>
      <c r="E29832" s="2">
        <v>1273687</v>
      </c>
      <c r="F29832" s="4" t="str">
        <f>IF(B29832=B29831,"",B29832)</f>
        <v>Dohad</v>
      </c>
    </row>
    <row r="29833" spans="1:6" ht="15.75" customHeight="1">
      <c r="A29833" s="15" t="s">
        <v>1337</v>
      </c>
      <c r="B29833" s="15" t="s">
        <v>1338</v>
      </c>
      <c r="C29833" s="15" t="s">
        <v>1296</v>
      </c>
      <c r="D29833" s="15" t="s">
        <v>1297</v>
      </c>
      <c r="E29833" s="2">
        <v>1185100</v>
      </c>
      <c r="F29833" s="4" t="e">
        <f>IF(B29833=#REF!,"",B29833)</f>
        <v>#REF!</v>
      </c>
    </row>
    <row r="29834" spans="1:6" ht="15.75" customHeight="1">
      <c r="A29834" s="15" t="s">
        <v>21782</v>
      </c>
      <c r="B29834" s="15" t="s">
        <v>21782</v>
      </c>
      <c r="C29834" s="15" t="s">
        <v>21777</v>
      </c>
      <c r="D29834" s="15" t="s">
        <v>21783</v>
      </c>
      <c r="E29834" s="2">
        <v>290030</v>
      </c>
      <c r="F29834" s="4" t="str">
        <f>IF(B29834=B29833,"",B29834)</f>
        <v>Doha</v>
      </c>
    </row>
    <row r="29835" spans="1:6" ht="15.75" customHeight="1">
      <c r="A29835" s="16" t="str">
        <f ca="1">IFERROR(__xludf.DUMMYFUNCTION("GOOGLETRANSLATE(B42017,""en"",""pt"")"),"Doğubayazıt")</f>
        <v>Doğubayazıt</v>
      </c>
      <c r="B29835" s="20" t="s">
        <v>35886</v>
      </c>
      <c r="C29835" s="20" t="s">
        <v>26201</v>
      </c>
      <c r="D29835" s="20" t="s">
        <v>35848</v>
      </c>
      <c r="E29835" s="10">
        <v>316411</v>
      </c>
      <c r="F29835" s="4" t="e">
        <f>IF(B29835=#REF!,"",B29835)</f>
        <v>#REF!</v>
      </c>
    </row>
    <row r="29836" spans="1:6" ht="15.75" customHeight="1">
      <c r="A29836" s="16" t="s">
        <v>19270</v>
      </c>
      <c r="B29836" s="15" t="s">
        <v>19270</v>
      </c>
      <c r="C29836" s="16" t="s">
        <v>19259</v>
      </c>
      <c r="D29836" s="16" t="s">
        <v>19271</v>
      </c>
      <c r="E29836" s="2">
        <v>2445553</v>
      </c>
      <c r="F29836" s="4" t="e">
        <f>IF(B29836=#REF!,"",B29836)</f>
        <v>#REF!</v>
      </c>
    </row>
    <row r="29837" spans="1:6" ht="15.75" customHeight="1">
      <c r="A29837" s="16" t="s">
        <v>14366</v>
      </c>
      <c r="B29837" s="15" t="s">
        <v>14366</v>
      </c>
      <c r="C29837" s="16" t="s">
        <v>14240</v>
      </c>
      <c r="D29837" s="16" t="s">
        <v>14361</v>
      </c>
      <c r="E29837" s="2">
        <v>136014</v>
      </c>
      <c r="F29837" s="4" t="e">
        <f>IF(B29837=#REF!,"",B29837)</f>
        <v>#REF!</v>
      </c>
    </row>
    <row r="29838" spans="1:6" ht="15.75" customHeight="1">
      <c r="A29838" s="15" t="s">
        <v>1768</v>
      </c>
      <c r="B29838" s="15" t="s">
        <v>1768</v>
      </c>
      <c r="C29838" s="15" t="s">
        <v>1741</v>
      </c>
      <c r="D29838" s="15" t="s">
        <v>1748</v>
      </c>
      <c r="E29838" s="2">
        <v>2394545</v>
      </c>
      <c r="F29838" s="4" t="e">
        <f>IF(B29838=#REF!,"",B29838)</f>
        <v>#REF!</v>
      </c>
    </row>
    <row r="29839" spans="1:6" ht="15.75" customHeight="1">
      <c r="A29839" s="16" t="s">
        <v>18939</v>
      </c>
      <c r="B29839" s="15" t="s">
        <v>18939</v>
      </c>
      <c r="C29839" s="16" t="s">
        <v>18862</v>
      </c>
      <c r="D29839" s="16" t="s">
        <v>18865</v>
      </c>
      <c r="E29839" s="2">
        <v>2756767</v>
      </c>
      <c r="F29839" s="4" t="e">
        <f>IF(B29839=#REF!,"",B29839)</f>
        <v>#REF!</v>
      </c>
    </row>
    <row r="29840" spans="1:6" ht="15.75" customHeight="1">
      <c r="A29840" s="15" t="s">
        <v>25592</v>
      </c>
      <c r="B29840" s="15" t="s">
        <v>25592</v>
      </c>
      <c r="C29840" s="15" t="s">
        <v>25560</v>
      </c>
      <c r="D29840" s="15" t="s">
        <v>25592</v>
      </c>
      <c r="E29840" s="2">
        <v>160196</v>
      </c>
      <c r="F29840" s="4" t="e">
        <f>IF(B29840=#REF!,"",B29840)</f>
        <v>#REF!</v>
      </c>
    </row>
    <row r="29841" spans="1:6" ht="15.75" customHeight="1">
      <c r="A29841" s="15" t="s">
        <v>6866</v>
      </c>
      <c r="B29841" s="15" t="s">
        <v>6866</v>
      </c>
      <c r="C29841" s="15" t="s">
        <v>6807</v>
      </c>
      <c r="D29841" s="15" t="s">
        <v>6814</v>
      </c>
      <c r="E29841" s="2">
        <v>338726</v>
      </c>
      <c r="F29841" s="4" t="e">
        <f>IF(B29841=#REF!,"",B29841)</f>
        <v>#REF!</v>
      </c>
    </row>
    <row r="29842" spans="1:6" ht="15.75" customHeight="1">
      <c r="A29842" s="16" t="s">
        <v>28434</v>
      </c>
      <c r="B29842" s="15" t="s">
        <v>28434</v>
      </c>
      <c r="C29842" s="16" t="s">
        <v>27788</v>
      </c>
      <c r="D29842" s="16" t="s">
        <v>28419</v>
      </c>
      <c r="E29842" s="2">
        <v>5445298</v>
      </c>
      <c r="F29842" s="4" t="e">
        <f>IF(B29842=#REF!,"",B29842)</f>
        <v>#REF!</v>
      </c>
    </row>
    <row r="29843" spans="1:6" ht="15.75" customHeight="1">
      <c r="A29843" s="15" t="s">
        <v>11188</v>
      </c>
      <c r="B29843" s="15" t="s">
        <v>11188</v>
      </c>
      <c r="C29843" s="15" t="s">
        <v>10178</v>
      </c>
      <c r="D29843" s="15" t="s">
        <v>10355</v>
      </c>
      <c r="E29843" s="2">
        <v>1272476</v>
      </c>
      <c r="F29843" s="4" t="str">
        <f>IF(B29843=B29842,"",B29843)</f>
        <v>Doda</v>
      </c>
    </row>
    <row r="29844" spans="1:6" ht="15.75" customHeight="1">
      <c r="A29844" s="16" t="str">
        <f ca="1">IFERROR(__xludf.DUMMYFUNCTION("GOOGLETRANSLATE(B33557,""en"",""pt"")"),"Dod Ballāpur")</f>
        <v>Dod Ballāpur</v>
      </c>
      <c r="B29844" s="20" t="s">
        <v>33758</v>
      </c>
      <c r="C29844" s="20" t="s">
        <v>10178</v>
      </c>
      <c r="D29844" s="20" t="s">
        <v>10252</v>
      </c>
      <c r="E29844" s="10">
        <v>1272473</v>
      </c>
      <c r="F29844" s="4" t="str">
        <f>IF(B29844=B29843,"",B29844)</f>
        <v>Dod Ballāpur</v>
      </c>
    </row>
    <row r="29845" spans="1:6" ht="15.75" customHeight="1">
      <c r="A29845" s="16" t="s">
        <v>11186</v>
      </c>
      <c r="B29845" s="15" t="s">
        <v>11187</v>
      </c>
      <c r="C29845" s="16" t="s">
        <v>10178</v>
      </c>
      <c r="D29845" s="16" t="s">
        <v>10252</v>
      </c>
      <c r="E29845" s="2">
        <v>1272473</v>
      </c>
      <c r="F29845" s="4" t="e">
        <f>IF(B29845=#REF!,"",B29845)</f>
        <v>#REF!</v>
      </c>
    </row>
    <row r="29846" spans="1:6" ht="15.75" customHeight="1">
      <c r="A29846" s="16" t="s">
        <v>22341</v>
      </c>
      <c r="B29846" s="15" t="s">
        <v>22341</v>
      </c>
      <c r="C29846" s="16" t="s">
        <v>22070</v>
      </c>
      <c r="D29846" s="16" t="s">
        <v>22115</v>
      </c>
      <c r="E29846" s="2">
        <v>565778</v>
      </c>
      <c r="F29846" s="4" t="e">
        <f>IF(B29846=#REF!,"",B29846)</f>
        <v>#REF!</v>
      </c>
    </row>
    <row r="29847" spans="1:6" ht="15.75" customHeight="1">
      <c r="A29847" s="15" t="s">
        <v>1460</v>
      </c>
      <c r="B29847" s="15" t="s">
        <v>1460</v>
      </c>
      <c r="C29847" s="15" t="s">
        <v>1453</v>
      </c>
      <c r="D29847" s="15" t="s">
        <v>1461</v>
      </c>
      <c r="E29847" s="2">
        <v>629018</v>
      </c>
      <c r="F29847" s="4" t="e">
        <f>IF(B29847=#REF!,"",B29847)</f>
        <v>#REF!</v>
      </c>
    </row>
    <row r="29848" spans="1:6" ht="15.75" customHeight="1">
      <c r="A29848" s="16" t="s">
        <v>26943</v>
      </c>
      <c r="B29848" s="15" t="s">
        <v>26943</v>
      </c>
      <c r="C29848" s="16" t="s">
        <v>26870</v>
      </c>
      <c r="D29848" s="16" t="s">
        <v>22345</v>
      </c>
      <c r="E29848" s="2">
        <v>709900</v>
      </c>
      <c r="F29848" s="4" t="e">
        <f>IF(B29848=#REF!,"",B29848)</f>
        <v>#REF!</v>
      </c>
    </row>
    <row r="29849" spans="1:6" ht="15.75" customHeight="1">
      <c r="A29849" s="15" t="s">
        <v>3716</v>
      </c>
      <c r="B29849" s="15" t="s">
        <v>3716</v>
      </c>
      <c r="C29849" s="15" t="s">
        <v>3701</v>
      </c>
      <c r="D29849" s="15" t="s">
        <v>3716</v>
      </c>
      <c r="E29849" s="2">
        <v>726418</v>
      </c>
      <c r="F29849" s="4" t="e">
        <f>IF(B29849=#REF!,"",B29849)</f>
        <v>#REF!</v>
      </c>
    </row>
    <row r="29850" spans="1:6" ht="15.75" customHeight="1">
      <c r="A29850" s="15" t="s">
        <v>1856</v>
      </c>
      <c r="B29850" s="15" t="s">
        <v>1857</v>
      </c>
      <c r="C29850" s="15" t="s">
        <v>1845</v>
      </c>
      <c r="D29850" s="15" t="s">
        <v>1846</v>
      </c>
      <c r="E29850" s="2">
        <v>3201984</v>
      </c>
      <c r="F29850" s="4" t="str">
        <f>IF(B29850=B29849,"",B29850)</f>
        <v>Doboj</v>
      </c>
    </row>
    <row r="29851" spans="1:6" ht="15.75" customHeight="1">
      <c r="A29851" s="16" t="str">
        <f ca="1">IFERROR(__xludf.DUMMYFUNCTION("GOOGLETRANSLATE(B28165,""en"",""pt"")"),"Döbeln")</f>
        <v>Döbeln</v>
      </c>
      <c r="B29851" s="20" t="s">
        <v>32117</v>
      </c>
      <c r="C29851" s="20" t="s">
        <v>8028</v>
      </c>
      <c r="D29851" s="20" t="s">
        <v>8072</v>
      </c>
      <c r="E29851" s="10">
        <v>2936658</v>
      </c>
      <c r="F29851" s="4" t="e">
        <f>IF(B29851=#REF!,"",B29851)</f>
        <v>#REF!</v>
      </c>
    </row>
    <row r="29852" spans="1:6" ht="15.75" customHeight="1">
      <c r="A29852" s="15" t="s">
        <v>4320</v>
      </c>
      <c r="B29852" s="15" t="s">
        <v>4321</v>
      </c>
      <c r="C29852" s="15" t="s">
        <v>4305</v>
      </c>
      <c r="D29852" s="15" t="s">
        <v>4322</v>
      </c>
      <c r="E29852" s="2">
        <v>2433437</v>
      </c>
      <c r="F29852" s="4" t="str">
        <f>IF(B29852=B29851,"",B29852)</f>
        <v>Doba</v>
      </c>
    </row>
    <row r="29853" spans="1:6" ht="15.75" customHeight="1">
      <c r="A29853" s="16" t="s">
        <v>26451</v>
      </c>
      <c r="B29853" s="15" t="s">
        <v>26452</v>
      </c>
      <c r="C29853" s="16" t="s">
        <v>26201</v>
      </c>
      <c r="D29853" s="16" t="s">
        <v>26270</v>
      </c>
      <c r="E29853" s="2">
        <v>316411</v>
      </c>
      <c r="F29853" s="4" t="e">
        <f>IF(B29853=#REF!,"",B29853)</f>
        <v>#REF!</v>
      </c>
    </row>
    <row r="29854" spans="1:6" ht="15.75" customHeight="1">
      <c r="A29854" s="16" t="s">
        <v>26942</v>
      </c>
      <c r="B29854" s="15" t="s">
        <v>26942</v>
      </c>
      <c r="C29854" s="16" t="s">
        <v>26870</v>
      </c>
      <c r="D29854" s="16" t="s">
        <v>26898</v>
      </c>
      <c r="E29854" s="2">
        <v>709960</v>
      </c>
      <c r="F29854" s="4" t="e">
        <f>IF(B29854=#REF!,"",B29854)</f>
        <v>#REF!</v>
      </c>
    </row>
    <row r="29855" spans="1:6" ht="15.75" customHeight="1">
      <c r="A29855" s="16" t="s">
        <v>26878</v>
      </c>
      <c r="B29855" s="15" t="s">
        <v>26878</v>
      </c>
      <c r="C29855" s="16" t="s">
        <v>26870</v>
      </c>
      <c r="D29855" s="16" t="s">
        <v>26878</v>
      </c>
      <c r="E29855" s="2">
        <v>709930</v>
      </c>
      <c r="F29855" s="4" t="str">
        <f>IF(B29855=B29854,"",B29855)</f>
        <v>Dnipropetrovsk</v>
      </c>
    </row>
    <row r="29856" spans="1:6" ht="15.75" customHeight="1">
      <c r="A29856" s="16" t="s">
        <v>26940</v>
      </c>
      <c r="B29856" s="15" t="s">
        <v>26941</v>
      </c>
      <c r="C29856" s="16" t="s">
        <v>26870</v>
      </c>
      <c r="D29856" s="16" t="s">
        <v>26878</v>
      </c>
      <c r="E29856" s="2">
        <v>709932</v>
      </c>
      <c r="F29856" s="4" t="str">
        <f>IF(B29856=B29855,"",B29856)</f>
        <v>Dniprodzerzhynsâ€™k</v>
      </c>
    </row>
    <row r="29857" spans="1:6" ht="15.75" customHeight="1">
      <c r="A29857" s="16" t="str">
        <f ca="1">IFERROR(__xludf.DUMMYFUNCTION("GOOGLETRANSLATE(B42673,""en"",""pt"")"),"Dniprodzerzhyns'k")</f>
        <v>Dniprodzerzhyns'k</v>
      </c>
      <c r="B29857" s="20" t="s">
        <v>36039</v>
      </c>
      <c r="C29857" s="20" t="s">
        <v>26870</v>
      </c>
      <c r="D29857" s="20" t="s">
        <v>26878</v>
      </c>
      <c r="E29857" s="10">
        <v>709932</v>
      </c>
      <c r="F29857" s="4" t="str">
        <f>IF(B29857=B29856,"",B29857)</f>
        <v>Dniprodzerzhyns’k</v>
      </c>
    </row>
    <row r="29858" spans="1:6" ht="15.75" customHeight="1">
      <c r="A29858" s="16" t="s">
        <v>18510</v>
      </c>
      <c r="B29858" s="15" t="s">
        <v>18511</v>
      </c>
      <c r="C29858" s="16" t="s">
        <v>18496</v>
      </c>
      <c r="D29858" s="16" t="s">
        <v>18512</v>
      </c>
      <c r="E29858" s="2">
        <v>7648817</v>
      </c>
      <c r="F29858" s="4" t="e">
        <f>IF(B29858=#REF!,"",B29858)</f>
        <v>#REF!</v>
      </c>
    </row>
    <row r="29859" spans="1:6" ht="15.75" customHeight="1">
      <c r="A29859" s="15" t="s">
        <v>22340</v>
      </c>
      <c r="B29859" s="15" t="s">
        <v>22340</v>
      </c>
      <c r="C29859" s="15" t="s">
        <v>22070</v>
      </c>
      <c r="D29859" s="15" t="s">
        <v>22119</v>
      </c>
      <c r="E29859" s="2">
        <v>565955</v>
      </c>
      <c r="F29859" s="4" t="e">
        <f>IF(B29859=#REF!,"",B29859)</f>
        <v>#REF!</v>
      </c>
    </row>
    <row r="29860" spans="1:6" ht="15.75" customHeight="1">
      <c r="A29860" s="15" t="s">
        <v>17016</v>
      </c>
      <c r="B29860" s="15" t="s">
        <v>17016</v>
      </c>
      <c r="C29860" s="15" t="s">
        <v>17008</v>
      </c>
      <c r="D29860" s="15" t="s">
        <v>17017</v>
      </c>
      <c r="E29860" s="2">
        <v>273140</v>
      </c>
      <c r="F29860" s="4" t="e">
        <f>IF(B29860=#REF!,"",B29860)</f>
        <v>#REF!</v>
      </c>
    </row>
    <row r="29861" spans="1:6" ht="15.75" customHeight="1">
      <c r="A29861" s="15" t="s">
        <v>1767</v>
      </c>
      <c r="B29861" s="15" t="s">
        <v>1767</v>
      </c>
      <c r="C29861" s="15" t="s">
        <v>1741</v>
      </c>
      <c r="D29861" s="15" t="s">
        <v>1752</v>
      </c>
      <c r="E29861" s="2">
        <v>2394560</v>
      </c>
      <c r="F29861" s="4" t="e">
        <f>IF(B29861=#REF!,"",B29861)</f>
        <v>#REF!</v>
      </c>
    </row>
    <row r="29862" spans="1:6" ht="15.75" customHeight="1">
      <c r="A29862" s="15" t="s">
        <v>324</v>
      </c>
      <c r="B29862" s="15" t="s">
        <v>324</v>
      </c>
      <c r="C29862" s="15" t="s">
        <v>153</v>
      </c>
      <c r="D29862" s="15" t="s">
        <v>180</v>
      </c>
      <c r="E29862" s="2">
        <v>2492920</v>
      </c>
      <c r="F29862" s="4" t="e">
        <f>IF(B29862=#REF!,"",B29862)</f>
        <v>#REF!</v>
      </c>
    </row>
    <row r="29863" spans="1:6" ht="15.75" customHeight="1">
      <c r="A29863" s="15" t="s">
        <v>6295</v>
      </c>
      <c r="B29863" s="15" t="s">
        <v>6292</v>
      </c>
      <c r="C29863" s="15" t="s">
        <v>6292</v>
      </c>
      <c r="D29863" s="15" t="s">
        <v>6292</v>
      </c>
      <c r="E29863" s="2">
        <v>223817</v>
      </c>
      <c r="F29863" s="4" t="e">
        <f>IF(B29863=#REF!,"",B29863)</f>
        <v>#REF!</v>
      </c>
    </row>
    <row r="29864" spans="1:6" ht="15.75" customHeight="1">
      <c r="A29864" s="15" t="s">
        <v>3783</v>
      </c>
      <c r="B29864" s="15" t="s">
        <v>3783</v>
      </c>
      <c r="C29864" s="15" t="s">
        <v>3768</v>
      </c>
      <c r="D29864" s="15" t="s">
        <v>3784</v>
      </c>
      <c r="E29864" s="2">
        <v>2361177</v>
      </c>
      <c r="F29864" s="4" t="str">
        <f>IF(B29864=B29863,"",B29864)</f>
        <v>Djibo</v>
      </c>
    </row>
    <row r="29865" spans="1:6" ht="15.75" customHeight="1">
      <c r="A29865" s="16" t="str">
        <f ca="1">IFERROR(__xludf.DUMMYFUNCTION("GOOGLETRANSLATE(B36693,""en"",""pt"")"),"Djénné")</f>
        <v>Djénné</v>
      </c>
      <c r="B29865" s="20" t="s">
        <v>34635</v>
      </c>
      <c r="C29865" s="20" t="s">
        <v>17596</v>
      </c>
      <c r="D29865" s="20" t="s">
        <v>17605</v>
      </c>
      <c r="E29865" s="10">
        <v>2458589</v>
      </c>
      <c r="F29865" s="4" t="e">
        <f>IF(B29865=#REF!,"",B29865)</f>
        <v>#REF!</v>
      </c>
    </row>
    <row r="29866" spans="1:6" ht="15.75" customHeight="1">
      <c r="A29866" s="15" t="s">
        <v>26115</v>
      </c>
      <c r="B29866" s="15" t="s">
        <v>26115</v>
      </c>
      <c r="C29866" s="15" t="s">
        <v>26090</v>
      </c>
      <c r="D29866" s="15" t="s">
        <v>26103</v>
      </c>
      <c r="E29866" s="2">
        <v>2470191</v>
      </c>
      <c r="F29866" s="4" t="e">
        <f>IF(B29866=#REF!,"",B29866)</f>
        <v>#REF!</v>
      </c>
    </row>
    <row r="29867" spans="1:6" ht="15.75" customHeight="1">
      <c r="A29867" s="15" t="s">
        <v>166</v>
      </c>
      <c r="B29867" s="15" t="s">
        <v>166</v>
      </c>
      <c r="C29867" s="15" t="s">
        <v>153</v>
      </c>
      <c r="D29867" s="15" t="s">
        <v>166</v>
      </c>
      <c r="E29867" s="2">
        <v>2500017</v>
      </c>
      <c r="F29867" s="4" t="e">
        <f>IF(B29867=#REF!,"",B29867)</f>
        <v>#REF!</v>
      </c>
    </row>
    <row r="29868" spans="1:6" ht="15.75" customHeight="1">
      <c r="A29868" s="15" t="s">
        <v>322</v>
      </c>
      <c r="B29868" s="15" t="s">
        <v>322</v>
      </c>
      <c r="C29868" s="15" t="s">
        <v>153</v>
      </c>
      <c r="D29868" s="15" t="s">
        <v>323</v>
      </c>
      <c r="E29868" s="2">
        <v>2500282</v>
      </c>
      <c r="F29868" s="4" t="str">
        <f>IF(B29868=B29867,"",B29868)</f>
        <v>Djamaa</v>
      </c>
    </row>
    <row r="29869" spans="1:6" ht="15.75" customHeight="1">
      <c r="A29869" s="15" t="s">
        <v>17603</v>
      </c>
      <c r="B29869" s="15" t="s">
        <v>17604</v>
      </c>
      <c r="C29869" s="15" t="s">
        <v>17596</v>
      </c>
      <c r="D29869" s="15" t="s">
        <v>17605</v>
      </c>
      <c r="E29869" s="2">
        <v>2458589</v>
      </c>
      <c r="F29869" s="4" t="str">
        <f>IF(B29869=B29868,"",B29869)</f>
        <v>DjÃ©nnÃ©</v>
      </c>
    </row>
    <row r="29870" spans="1:6" ht="15.75" customHeight="1">
      <c r="A29870" s="16" t="str">
        <f ca="1">IFERROR(__xludf.DUMMYFUNCTION("GOOGLETRANSLATE(B26028,""en"",""pt"")"),"Dizangué")</f>
        <v>Dizangué</v>
      </c>
      <c r="B29870" s="20" t="s">
        <v>31823</v>
      </c>
      <c r="C29870" s="20" t="s">
        <v>3884</v>
      </c>
      <c r="D29870" s="20" t="s">
        <v>1761</v>
      </c>
      <c r="E29870" s="10">
        <v>2232997</v>
      </c>
      <c r="F29870" s="4" t="str">
        <f>IF(B29870=B29869,"",B29870)</f>
        <v>Dizangué</v>
      </c>
    </row>
    <row r="29871" spans="1:6" ht="15.75" customHeight="1">
      <c r="A29871" s="16" t="s">
        <v>3908</v>
      </c>
      <c r="B29871" s="15" t="s">
        <v>3909</v>
      </c>
      <c r="C29871" s="16" t="s">
        <v>3884</v>
      </c>
      <c r="D29871" s="16" t="s">
        <v>1761</v>
      </c>
      <c r="E29871" s="2">
        <v>2232997</v>
      </c>
      <c r="F29871" s="4" t="str">
        <f>IF(B29871=B29870,"",B29871)</f>
        <v>DizanguÃ©</v>
      </c>
    </row>
    <row r="29872" spans="1:6" ht="15.75" customHeight="1">
      <c r="A29872" s="16" t="str">
        <f ca="1">IFERROR(__xludf.DUMMYFUNCTION("GOOGLETRANSLATE(B42018,""en"",""pt"")"),"Diyarbakır")</f>
        <v>Diyarbakır</v>
      </c>
      <c r="B29872" s="20" t="s">
        <v>35835</v>
      </c>
      <c r="C29872" s="20" t="s">
        <v>26201</v>
      </c>
      <c r="D29872" s="20" t="s">
        <v>35835</v>
      </c>
      <c r="E29872" s="10">
        <v>316541</v>
      </c>
      <c r="F29872" s="4" t="str">
        <f>IF(B29872=B29871,"",B29872)</f>
        <v>Diyarbakır</v>
      </c>
    </row>
    <row r="29873" spans="1:6" ht="15.75" customHeight="1">
      <c r="A29873" s="16" t="s">
        <v>26450</v>
      </c>
      <c r="B29873" s="15" t="s">
        <v>26254</v>
      </c>
      <c r="C29873" s="16" t="s">
        <v>26201</v>
      </c>
      <c r="D29873" s="16" t="s">
        <v>26254</v>
      </c>
      <c r="E29873" s="2">
        <v>316541</v>
      </c>
      <c r="F29873" s="4" t="e">
        <f>IF(B29873=#REF!,"",B29873)</f>
        <v>#REF!</v>
      </c>
    </row>
    <row r="29874" spans="1:6" ht="15.75" customHeight="1">
      <c r="A29874" s="16" t="s">
        <v>6635</v>
      </c>
      <c r="B29874" s="15" t="s">
        <v>6636</v>
      </c>
      <c r="C29874" s="16" t="s">
        <v>6495</v>
      </c>
      <c r="D29874" s="16" t="s">
        <v>6128</v>
      </c>
      <c r="E29874" s="2">
        <v>358095</v>
      </c>
      <c r="F29874" s="4" t="e">
        <f>IF(B29874=#REF!,"",B29874)</f>
        <v>#REF!</v>
      </c>
    </row>
    <row r="29875" spans="1:6" ht="15.75" customHeight="1">
      <c r="A29875" s="15" t="s">
        <v>26449</v>
      </c>
      <c r="B29875" s="15" t="s">
        <v>26449</v>
      </c>
      <c r="C29875" s="15" t="s">
        <v>26201</v>
      </c>
      <c r="D29875" s="15" t="s">
        <v>26270</v>
      </c>
      <c r="E29875" s="2">
        <v>316542</v>
      </c>
      <c r="F29875" s="4" t="e">
        <f>IF(B29875=#REF!,"",B29875)</f>
        <v>#REF!</v>
      </c>
    </row>
    <row r="29876" spans="1:6" ht="15.75" customHeight="1">
      <c r="A29876" s="15" t="s">
        <v>28433</v>
      </c>
      <c r="B29876" s="15" t="s">
        <v>28433</v>
      </c>
      <c r="C29876" s="15" t="s">
        <v>27788</v>
      </c>
      <c r="D29876" s="15" t="s">
        <v>27799</v>
      </c>
      <c r="E29876" s="2">
        <v>4889959</v>
      </c>
      <c r="F29876" s="4" t="e">
        <f>IF(B29876=#REF!,"",B29876)</f>
        <v>#REF!</v>
      </c>
    </row>
    <row r="29877" spans="1:6" ht="15.75" customHeight="1">
      <c r="A29877" s="15" t="s">
        <v>28432</v>
      </c>
      <c r="B29877" s="15" t="s">
        <v>28432</v>
      </c>
      <c r="C29877" s="15" t="s">
        <v>27788</v>
      </c>
      <c r="D29877" s="15" t="s">
        <v>28023</v>
      </c>
      <c r="E29877" s="2">
        <v>8605041</v>
      </c>
      <c r="F29877" s="4" t="e">
        <f>IF(B29877=#REF!,"",B29877)</f>
        <v>#REF!</v>
      </c>
    </row>
    <row r="29878" spans="1:6" ht="15.75" customHeight="1">
      <c r="A29878" s="15" t="s">
        <v>28431</v>
      </c>
      <c r="B29878" s="15" t="s">
        <v>28431</v>
      </c>
      <c r="C29878" s="15" t="s">
        <v>27788</v>
      </c>
      <c r="D29878" s="15" t="s">
        <v>27819</v>
      </c>
      <c r="E29878" s="2">
        <v>5115107</v>
      </c>
      <c r="F29878" s="4" t="e">
        <f>IF(B29878=#REF!,"",B29878)</f>
        <v>#REF!</v>
      </c>
    </row>
    <row r="29879" spans="1:6" ht="15.75" customHeight="1">
      <c r="A29879" s="15" t="s">
        <v>13911</v>
      </c>
      <c r="B29879" s="15" t="s">
        <v>13911</v>
      </c>
      <c r="C29879" s="15" t="s">
        <v>13800</v>
      </c>
      <c r="D29879" s="15" t="s">
        <v>13816</v>
      </c>
      <c r="E29879" s="2">
        <v>1645428</v>
      </c>
      <c r="F29879" s="4" t="e">
        <f>IF(B29879=#REF!,"",B29879)</f>
        <v>#REF!</v>
      </c>
    </row>
    <row r="29880" spans="1:6" ht="15.75" customHeight="1">
      <c r="A29880" s="15" t="s">
        <v>15636</v>
      </c>
      <c r="B29880" s="15" t="s">
        <v>15636</v>
      </c>
      <c r="C29880" s="15" t="s">
        <v>15586</v>
      </c>
      <c r="D29880" s="15" t="s">
        <v>15637</v>
      </c>
      <c r="E29880" s="2">
        <v>2289887</v>
      </c>
      <c r="F29880" s="4" t="e">
        <f>IF(B29880=#REF!,"",B29880)</f>
        <v>#REF!</v>
      </c>
    </row>
    <row r="29881" spans="1:6" ht="15.75" customHeight="1">
      <c r="A29881" s="15" t="s">
        <v>22339</v>
      </c>
      <c r="B29881" s="15" t="s">
        <v>22339</v>
      </c>
      <c r="C29881" s="15" t="s">
        <v>22070</v>
      </c>
      <c r="D29881" s="15" t="s">
        <v>22117</v>
      </c>
      <c r="E29881" s="2">
        <v>566155</v>
      </c>
      <c r="F29881" s="4" t="e">
        <f>IF(B29881=#REF!,"",B29881)</f>
        <v>#REF!</v>
      </c>
    </row>
    <row r="29882" spans="1:6" ht="15.75" customHeight="1">
      <c r="A29882" s="16" t="s">
        <v>22338</v>
      </c>
      <c r="B29882" s="15" t="s">
        <v>22338</v>
      </c>
      <c r="C29882" s="16" t="s">
        <v>22070</v>
      </c>
      <c r="D29882" s="16" t="s">
        <v>22079</v>
      </c>
      <c r="E29882" s="2">
        <v>1507379</v>
      </c>
      <c r="F29882" s="4" t="str">
        <f>IF(B29882=B29881,"",B29882)</f>
        <v>Divnogorsk</v>
      </c>
    </row>
    <row r="29883" spans="1:6" ht="15.75" customHeight="1">
      <c r="A29883" s="16" t="str">
        <f ca="1">IFERROR(__xludf.DUMMYFUNCTION("GOOGLETRANSLATE(B25066,""en"",""pt"")"),"Divinópolis")</f>
        <v>Divinópolis</v>
      </c>
      <c r="B29883" s="20" t="s">
        <v>31668</v>
      </c>
      <c r="C29883" s="20" t="s">
        <v>1905</v>
      </c>
      <c r="D29883" s="20" t="s">
        <v>1917</v>
      </c>
      <c r="E29883" s="10">
        <v>3464688</v>
      </c>
      <c r="F29883" s="4" t="str">
        <f>IF(B29883=B29882,"",B29883)</f>
        <v>Divinópolis</v>
      </c>
    </row>
    <row r="29884" spans="1:6" ht="15.75" customHeight="1">
      <c r="A29884" s="16" t="s">
        <v>2416</v>
      </c>
      <c r="B29884" s="15" t="s">
        <v>2417</v>
      </c>
      <c r="C29884" s="16" t="s">
        <v>1905</v>
      </c>
      <c r="D29884" s="16" t="s">
        <v>1917</v>
      </c>
      <c r="E29884" s="2">
        <v>3464688</v>
      </c>
      <c r="F29884" s="4" t="e">
        <f>IF(B29884=#REF!,"",B29884)</f>
        <v>#REF!</v>
      </c>
    </row>
    <row r="29885" spans="1:6" ht="15.75" customHeight="1">
      <c r="A29885" s="16" t="s">
        <v>1195</v>
      </c>
      <c r="B29885" s="15" t="s">
        <v>1195</v>
      </c>
      <c r="C29885" s="16" t="s">
        <v>1170</v>
      </c>
      <c r="D29885" s="16" t="s">
        <v>1196</v>
      </c>
      <c r="E29885" s="2">
        <v>586763</v>
      </c>
      <c r="F29885" s="4" t="e">
        <f>IF(B29885=#REF!,"",B29885)</f>
        <v>#REF!</v>
      </c>
    </row>
    <row r="29886" spans="1:6" ht="15.75" customHeight="1">
      <c r="A29886" s="15" t="s">
        <v>11184</v>
      </c>
      <c r="B29886" s="15" t="s">
        <v>11185</v>
      </c>
      <c r="C29886" s="15" t="s">
        <v>10178</v>
      </c>
      <c r="D29886" s="15" t="s">
        <v>11064</v>
      </c>
      <c r="E29886" s="2">
        <v>1272502</v>
      </c>
      <c r="F29886" s="4" t="e">
        <f>IF(B29886=#REF!,"",B29886)</f>
        <v>#REF!</v>
      </c>
    </row>
    <row r="29887" spans="1:6" ht="15.75" customHeight="1">
      <c r="A29887" s="15" t="s">
        <v>8309</v>
      </c>
      <c r="B29887" s="15" t="s">
        <v>8309</v>
      </c>
      <c r="C29887" s="15" t="s">
        <v>8028</v>
      </c>
      <c r="D29887" s="15" t="s">
        <v>8031</v>
      </c>
      <c r="E29887" s="2">
        <v>2936705</v>
      </c>
      <c r="F29887" s="4" t="str">
        <f>IF(B29887=B29886,"",B29887)</f>
        <v>Ditzingen</v>
      </c>
    </row>
    <row r="29888" spans="1:6" ht="15.75" customHeight="1">
      <c r="A29888" s="16" t="str">
        <f ca="1">IFERROR(__xludf.DUMMYFUNCTION("GOOGLETRANSLATE(B28875,""en"",""pt"")"),"Disūq")</f>
        <v>Disūq</v>
      </c>
      <c r="B29888" s="20" t="s">
        <v>32300</v>
      </c>
      <c r="C29888" s="20" t="s">
        <v>6495</v>
      </c>
      <c r="D29888" s="20" t="s">
        <v>6536</v>
      </c>
      <c r="E29888" s="10">
        <v>358108</v>
      </c>
      <c r="F29888" s="4" t="str">
        <f>IF(B29888=B29887,"",B29888)</f>
        <v>Disūq</v>
      </c>
    </row>
    <row r="29889" spans="1:6" ht="15.75" customHeight="1">
      <c r="A29889" s="15" t="s">
        <v>6632</v>
      </c>
      <c r="B29889" s="15" t="s">
        <v>6633</v>
      </c>
      <c r="C29889" s="15" t="s">
        <v>6495</v>
      </c>
      <c r="D29889" s="15" t="s">
        <v>6634</v>
      </c>
      <c r="E29889" s="2">
        <v>358115</v>
      </c>
      <c r="F29889" s="4" t="str">
        <f>IF(B29889=B29888,"",B29889)</f>
        <v>DishnÄ</v>
      </c>
    </row>
    <row r="29890" spans="1:6" ht="15.75" customHeight="1">
      <c r="A29890" s="16" t="str">
        <f ca="1">IFERROR(__xludf.DUMMYFUNCTION("GOOGLETRANSLATE(B28876,""en"",""pt"")"),"Dishnā")</f>
        <v>Dishnā</v>
      </c>
      <c r="B29890" s="20" t="s">
        <v>32301</v>
      </c>
      <c r="C29890" s="20" t="s">
        <v>6495</v>
      </c>
      <c r="D29890" s="20" t="s">
        <v>32267</v>
      </c>
      <c r="E29890" s="10">
        <v>358115</v>
      </c>
      <c r="F29890" s="4" t="str">
        <f>IF(B29890=B29889,"",B29890)</f>
        <v>Dishnā</v>
      </c>
    </row>
    <row r="29891" spans="1:6" ht="15.75" customHeight="1">
      <c r="A29891" s="15" t="s">
        <v>6630</v>
      </c>
      <c r="B29891" s="15" t="s">
        <v>6631</v>
      </c>
      <c r="C29891" s="15" t="s">
        <v>6495</v>
      </c>
      <c r="D29891" s="15" t="s">
        <v>6536</v>
      </c>
      <c r="E29891" s="2">
        <v>358108</v>
      </c>
      <c r="F29891" s="4" t="str">
        <f>IF(B29891=B29890,"",B29891)</f>
        <v>DisÅ«q</v>
      </c>
    </row>
    <row r="29892" spans="1:6" ht="15.75" customHeight="1">
      <c r="A29892" s="16" t="str">
        <f ca="1">IFERROR(__xludf.DUMMYFUNCTION("GOOGLETRANSLATE(B33560,""en"",""pt"")"),"Dīsa")</f>
        <v>Dīsa</v>
      </c>
      <c r="B29892" s="20" t="s">
        <v>33759</v>
      </c>
      <c r="C29892" s="20" t="s">
        <v>10178</v>
      </c>
      <c r="D29892" s="20" t="s">
        <v>10209</v>
      </c>
      <c r="E29892" s="10">
        <v>1272513</v>
      </c>
      <c r="F29892" s="4" t="e">
        <f>IF(B29892=#REF!,"",B29892)</f>
        <v>#REF!</v>
      </c>
    </row>
    <row r="29893" spans="1:6" ht="15.75" customHeight="1">
      <c r="A29893" s="15" t="s">
        <v>19225</v>
      </c>
      <c r="B29893" s="15" t="s">
        <v>19225</v>
      </c>
      <c r="C29893" s="15" t="s">
        <v>19217</v>
      </c>
      <c r="D29893" s="15" t="s">
        <v>19226</v>
      </c>
      <c r="E29893" s="2">
        <v>3620170</v>
      </c>
      <c r="F29893" s="4" t="e">
        <f>IF(B29893=#REF!,"",B29893)</f>
        <v>#REF!</v>
      </c>
    </row>
    <row r="29894" spans="1:6" ht="15.75" customHeight="1">
      <c r="A29894" s="16" t="s">
        <v>6865</v>
      </c>
      <c r="B29894" s="15" t="s">
        <v>6865</v>
      </c>
      <c r="C29894" s="16" t="s">
        <v>6807</v>
      </c>
      <c r="D29894" s="16" t="s">
        <v>6865</v>
      </c>
      <c r="E29894" s="2">
        <v>338832</v>
      </c>
      <c r="F29894" s="4" t="str">
        <f>IF(B29894=B29893,"",B29894)</f>
        <v>Dire Dawa</v>
      </c>
    </row>
    <row r="29895" spans="1:6" ht="15.75" customHeight="1">
      <c r="A29895" s="16" t="str">
        <f ca="1">IFERROR(__xludf.DUMMYFUNCTION("GOOGLETRANSLATE(B39113,""en"",""pt"")"),"Dīr")</f>
        <v>Dīr</v>
      </c>
      <c r="B29895" s="20" t="s">
        <v>35029</v>
      </c>
      <c r="C29895" s="20" t="s">
        <v>19808</v>
      </c>
      <c r="D29895" s="20" t="s">
        <v>19811</v>
      </c>
      <c r="E29895" s="10">
        <v>1179757</v>
      </c>
      <c r="F29895" s="4" t="e">
        <f>IF(B29895=#REF!,"",B29895)</f>
        <v>#REF!</v>
      </c>
    </row>
    <row r="29896" spans="1:6" ht="15.75" customHeight="1">
      <c r="A29896" s="15" t="s">
        <v>20759</v>
      </c>
      <c r="B29896" s="15" t="s">
        <v>20759</v>
      </c>
      <c r="C29896" s="15" t="s">
        <v>20598</v>
      </c>
      <c r="D29896" s="15" t="s">
        <v>20752</v>
      </c>
      <c r="E29896" s="2">
        <v>1714674</v>
      </c>
      <c r="F29896" s="4" t="e">
        <f>IF(B29896=#REF!,"",B29896)</f>
        <v>#REF!</v>
      </c>
    </row>
    <row r="29897" spans="1:6" ht="15.75" customHeight="1">
      <c r="A29897" s="15" t="s">
        <v>11183</v>
      </c>
      <c r="B29897" s="15" t="s">
        <v>11183</v>
      </c>
      <c r="C29897" s="15" t="s">
        <v>10178</v>
      </c>
      <c r="D29897" s="15" t="s">
        <v>10239</v>
      </c>
      <c r="E29897" s="2">
        <v>1272525</v>
      </c>
      <c r="F29897" s="4" t="e">
        <f>IF(B29897=#REF!,"",B29897)</f>
        <v>#REF!</v>
      </c>
    </row>
    <row r="29898" spans="1:6" ht="15.75" customHeight="1">
      <c r="A29898" s="15" t="s">
        <v>18827</v>
      </c>
      <c r="B29898" s="15" t="s">
        <v>18828</v>
      </c>
      <c r="C29898" s="15" t="s">
        <v>18800</v>
      </c>
      <c r="D29898" s="15" t="s">
        <v>18820</v>
      </c>
      <c r="E29898" s="2">
        <v>6254845</v>
      </c>
      <c r="F29898" s="4" t="str">
        <f>IF(B29898=B29897,"",B29898)</f>
        <v>Dipayal</v>
      </c>
    </row>
    <row r="29899" spans="1:6" ht="15.75" customHeight="1">
      <c r="A29899" s="16" t="str">
        <f ca="1">IFERROR(__xludf.DUMMYFUNCTION("GOOGLETRANSLATE(B39114,""en"",""pt"")"),"Dīpālpur")</f>
        <v>Dīpālpur</v>
      </c>
      <c r="B29899" s="20" t="s">
        <v>35030</v>
      </c>
      <c r="C29899" s="20" t="s">
        <v>19808</v>
      </c>
      <c r="D29899" s="20" t="s">
        <v>10184</v>
      </c>
      <c r="E29899" s="10">
        <v>1179760</v>
      </c>
      <c r="F29899" s="4" t="e">
        <f>IF(B29899=#REF!,"",B29899)</f>
        <v>#REF!</v>
      </c>
    </row>
    <row r="29900" spans="1:6" ht="15.75" customHeight="1">
      <c r="A29900" s="15" t="s">
        <v>28430</v>
      </c>
      <c r="B29900" s="15" t="s">
        <v>28430</v>
      </c>
      <c r="C29900" s="15" t="s">
        <v>27788</v>
      </c>
      <c r="D29900" s="15" t="s">
        <v>27801</v>
      </c>
      <c r="E29900" s="2">
        <v>5343171</v>
      </c>
      <c r="F29900" s="4" t="e">
        <f>IF(B29900=#REF!,"",B29900)</f>
        <v>#REF!</v>
      </c>
    </row>
    <row r="29901" spans="1:6" ht="15.75" customHeight="1">
      <c r="A29901" s="15" t="s">
        <v>8308</v>
      </c>
      <c r="B29901" s="15" t="s">
        <v>8308</v>
      </c>
      <c r="C29901" s="15" t="s">
        <v>8028</v>
      </c>
      <c r="D29901" s="15" t="s">
        <v>8029</v>
      </c>
      <c r="E29901" s="2">
        <v>2936871</v>
      </c>
      <c r="F29901" s="4" t="e">
        <f>IF(B29901=#REF!,"",B29901)</f>
        <v>#REF!</v>
      </c>
    </row>
    <row r="29902" spans="1:6" ht="15.75" customHeight="1">
      <c r="A29902" s="15" t="s">
        <v>22337</v>
      </c>
      <c r="B29902" s="15" t="s">
        <v>22337</v>
      </c>
      <c r="C29902" s="15" t="s">
        <v>22070</v>
      </c>
      <c r="D29902" s="15" t="s">
        <v>22077</v>
      </c>
      <c r="E29902" s="2">
        <v>566181</v>
      </c>
      <c r="F29902" s="4" t="str">
        <f>IF(B29902=B29901,"",B29902)</f>
        <v>Dinskaya</v>
      </c>
    </row>
    <row r="29903" spans="1:6" ht="15.75" customHeight="1">
      <c r="A29903" s="16" t="str">
        <f ca="1">IFERROR(__xludf.DUMMYFUNCTION("GOOGLETRANSLATE(B33562,""en"",""pt"")"),"Dīnhāta")</f>
        <v>Dīnhāta</v>
      </c>
      <c r="B29903" s="20" t="s">
        <v>33760</v>
      </c>
      <c r="C29903" s="20" t="s">
        <v>10178</v>
      </c>
      <c r="D29903" s="20" t="s">
        <v>10201</v>
      </c>
      <c r="E29903" s="10">
        <v>1272532</v>
      </c>
      <c r="F29903" s="4" t="str">
        <f>IF(B29903=B29902,"",B29903)</f>
        <v>Dīnhāta</v>
      </c>
    </row>
    <row r="29904" spans="1:6" ht="15.75" customHeight="1">
      <c r="A29904" s="16" t="str">
        <f ca="1">IFERROR(__xludf.DUMMYFUNCTION("GOOGLETRANSLATE(B45791,""en"",""pt"")"),"Đinh văn")</f>
        <v>Đinh văn</v>
      </c>
      <c r="B29904" s="20" t="s">
        <v>36203</v>
      </c>
      <c r="C29904" s="20" t="s">
        <v>30784</v>
      </c>
      <c r="D29904" s="20" t="s">
        <v>36180</v>
      </c>
      <c r="E29904" s="10">
        <v>8991407</v>
      </c>
      <c r="F29904" s="4" t="e">
        <f>IF(B29904=#REF!,"",B29904)</f>
        <v>#REF!</v>
      </c>
    </row>
    <row r="29905" spans="1:6" ht="15.75" customHeight="1">
      <c r="A29905" s="15" t="s">
        <v>4636</v>
      </c>
      <c r="B29905" s="15" t="s">
        <v>4636</v>
      </c>
      <c r="C29905" s="15" t="s">
        <v>4487</v>
      </c>
      <c r="D29905" s="15" t="s">
        <v>4529</v>
      </c>
      <c r="E29905" s="2">
        <v>1812728</v>
      </c>
      <c r="F29905" s="4" t="e">
        <f>IF(B29905=#REF!,"",B29905)</f>
        <v>#REF!</v>
      </c>
    </row>
    <row r="29906" spans="1:6" ht="15.75" customHeight="1">
      <c r="A29906" s="15" t="s">
        <v>4635</v>
      </c>
      <c r="B29906" s="15" t="s">
        <v>4635</v>
      </c>
      <c r="C29906" s="15" t="s">
        <v>4487</v>
      </c>
      <c r="D29906" s="15" t="s">
        <v>4503</v>
      </c>
      <c r="E29906" s="2">
        <v>1812754</v>
      </c>
      <c r="F29906" s="4" t="e">
        <f>IF(B29906=#REF!,"",B29906)</f>
        <v>#REF!</v>
      </c>
    </row>
    <row r="29907" spans="1:6" ht="15.75" customHeight="1">
      <c r="A29907" s="16" t="s">
        <v>8307</v>
      </c>
      <c r="B29907" s="15" t="s">
        <v>8307</v>
      </c>
      <c r="C29907" s="16" t="s">
        <v>8028</v>
      </c>
      <c r="D29907" s="16" t="s">
        <v>8044</v>
      </c>
      <c r="E29907" s="2">
        <v>2936909</v>
      </c>
      <c r="F29907" s="4" t="e">
        <f>IF(B29907=#REF!,"",B29907)</f>
        <v>#REF!</v>
      </c>
    </row>
    <row r="29908" spans="1:6" ht="15.75" customHeight="1">
      <c r="A29908" s="16" t="s">
        <v>4634</v>
      </c>
      <c r="B29908" s="15" t="s">
        <v>4634</v>
      </c>
      <c r="C29908" s="16" t="s">
        <v>4487</v>
      </c>
      <c r="D29908" s="16" t="s">
        <v>4511</v>
      </c>
      <c r="E29908" s="2">
        <v>1807553</v>
      </c>
      <c r="F29908" s="4" t="e">
        <f>IF(B29908=#REF!,"",B29908)</f>
        <v>#REF!</v>
      </c>
    </row>
    <row r="29909" spans="1:6" ht="15.75" customHeight="1">
      <c r="A29909" s="15" t="s">
        <v>19898</v>
      </c>
      <c r="B29909" s="15" t="s">
        <v>19898</v>
      </c>
      <c r="C29909" s="15" t="s">
        <v>19808</v>
      </c>
      <c r="D29909" s="15" t="s">
        <v>10184</v>
      </c>
      <c r="E29909" s="2">
        <v>1179790</v>
      </c>
      <c r="F29909" s="4" t="e">
        <f>IF(B29909=#REF!,"",B29909)</f>
        <v>#REF!</v>
      </c>
    </row>
    <row r="29910" spans="1:6" ht="15.75" customHeight="1">
      <c r="A29910" s="15" t="s">
        <v>11182</v>
      </c>
      <c r="B29910" s="15" t="s">
        <v>11182</v>
      </c>
      <c r="C29910" s="15" t="s">
        <v>10178</v>
      </c>
      <c r="D29910" s="15" t="s">
        <v>10219</v>
      </c>
      <c r="E29910" s="2">
        <v>1272540</v>
      </c>
      <c r="F29910" s="4" t="e">
        <f>IF(B29910=#REF!,"",B29910)</f>
        <v>#REF!</v>
      </c>
    </row>
    <row r="29911" spans="1:6" ht="15.75" customHeight="1">
      <c r="A29911" s="15" t="s">
        <v>11181</v>
      </c>
      <c r="B29911" s="15" t="s">
        <v>11181</v>
      </c>
      <c r="C29911" s="15" t="s">
        <v>10178</v>
      </c>
      <c r="D29911" s="15" t="s">
        <v>10196</v>
      </c>
      <c r="E29911" s="2">
        <v>1272543</v>
      </c>
      <c r="F29911" s="4" t="e">
        <f>IF(B29911=#REF!,"",B29911)</f>
        <v>#REF!</v>
      </c>
    </row>
    <row r="29912" spans="1:6" ht="15.75" customHeight="1">
      <c r="A29912" s="15" t="s">
        <v>26448</v>
      </c>
      <c r="B29912" s="15" t="s">
        <v>26448</v>
      </c>
      <c r="C29912" s="15" t="s">
        <v>26201</v>
      </c>
      <c r="D29912" s="15" t="s">
        <v>26237</v>
      </c>
      <c r="E29912" s="2">
        <v>316634</v>
      </c>
      <c r="F29912" s="4" t="e">
        <f>IF(B29912=#REF!,"",B29912)</f>
        <v>#REF!</v>
      </c>
    </row>
    <row r="29913" spans="1:6" ht="15.75" customHeight="1">
      <c r="A29913" s="15" t="s">
        <v>11180</v>
      </c>
      <c r="B29913" s="15" t="s">
        <v>11180</v>
      </c>
      <c r="C29913" s="15" t="s">
        <v>10178</v>
      </c>
      <c r="D29913" s="15" t="s">
        <v>10317</v>
      </c>
      <c r="E29913" s="2">
        <v>1273581</v>
      </c>
      <c r="F29913" s="4" t="str">
        <f>IF(B29913=B29912,"",B29913)</f>
        <v>Dinapore</v>
      </c>
    </row>
    <row r="29914" spans="1:6" ht="15.75" customHeight="1">
      <c r="A29914" s="16" t="str">
        <f ca="1">IFERROR(__xludf.DUMMYFUNCTION("GOOGLETRANSLATE(B33565,""en"",""pt"")"),"Dīnānagar")</f>
        <v>Dīnānagar</v>
      </c>
      <c r="B29914" s="20" t="s">
        <v>33761</v>
      </c>
      <c r="C29914" s="20" t="s">
        <v>10178</v>
      </c>
      <c r="D29914" s="20" t="s">
        <v>10184</v>
      </c>
      <c r="E29914" s="10">
        <v>1272546</v>
      </c>
      <c r="F29914" s="4" t="e">
        <f>IF(B29914=#REF!,"",B29914)</f>
        <v>#REF!</v>
      </c>
    </row>
    <row r="29915" spans="1:6" ht="15.75" customHeight="1">
      <c r="A29915" s="16" t="s">
        <v>20758</v>
      </c>
      <c r="B29915" s="15" t="s">
        <v>20758</v>
      </c>
      <c r="C29915" s="16" t="s">
        <v>20598</v>
      </c>
      <c r="D29915" s="16" t="s">
        <v>20599</v>
      </c>
      <c r="E29915" s="2">
        <v>1714766</v>
      </c>
      <c r="F29915" s="4" t="str">
        <f>IF(B29915=B29914,"",B29915)</f>
        <v>Dinalupihan</v>
      </c>
    </row>
    <row r="29916" spans="1:6" ht="15.75" customHeight="1">
      <c r="A29916" s="16" t="str">
        <f ca="1">IFERROR(__xludf.DUMMYFUNCTION("GOOGLETRANSLATE(B23765,""en"",""pt"")"),"Dinājpur")</f>
        <v>Dinājpur</v>
      </c>
      <c r="B29916" s="20" t="s">
        <v>31296</v>
      </c>
      <c r="C29916" s="20" t="s">
        <v>1296</v>
      </c>
      <c r="D29916" s="20" t="s">
        <v>1304</v>
      </c>
      <c r="E29916" s="10">
        <v>1203891</v>
      </c>
      <c r="F29916" s="4" t="str">
        <f>IF(B29916=B29915,"",B29916)</f>
        <v>Dinājpur</v>
      </c>
    </row>
    <row r="29917" spans="1:6" ht="15.75" customHeight="1">
      <c r="A29917" s="15" t="s">
        <v>1335</v>
      </c>
      <c r="B29917" s="15" t="s">
        <v>1336</v>
      </c>
      <c r="C29917" s="15" t="s">
        <v>1296</v>
      </c>
      <c r="D29917" s="15" t="s">
        <v>1304</v>
      </c>
      <c r="E29917" s="2">
        <v>1203891</v>
      </c>
      <c r="F29917" s="4" t="e">
        <f>IF(B29917=#REF!,"",B29917)</f>
        <v>#REF!</v>
      </c>
    </row>
    <row r="29918" spans="1:6" ht="15.75" customHeight="1">
      <c r="A29918" s="15" t="s">
        <v>14797</v>
      </c>
      <c r="B29918" s="15" t="s">
        <v>14797</v>
      </c>
      <c r="C29918" s="15" t="s">
        <v>14773</v>
      </c>
      <c r="D29918" s="15" t="s">
        <v>14779</v>
      </c>
      <c r="E29918" s="2">
        <v>295328</v>
      </c>
      <c r="F29918" s="4" t="e">
        <f>IF(B29918=#REF!,"",B29918)</f>
        <v>#REF!</v>
      </c>
    </row>
    <row r="29919" spans="1:6" ht="15.75" customHeight="1">
      <c r="A29919" s="16" t="s">
        <v>3714</v>
      </c>
      <c r="B29919" s="15" t="s">
        <v>3714</v>
      </c>
      <c r="C29919" s="16" t="s">
        <v>3701</v>
      </c>
      <c r="D29919" s="16" t="s">
        <v>3715</v>
      </c>
      <c r="E29919" s="2">
        <v>732263</v>
      </c>
      <c r="F29919" s="4" t="e">
        <f>IF(B29919=#REF!,"",B29919)</f>
        <v>#REF!</v>
      </c>
    </row>
    <row r="29920" spans="1:6" ht="15.75" customHeight="1">
      <c r="A29920" s="16" t="s">
        <v>15635</v>
      </c>
      <c r="B29920" s="15" t="s">
        <v>15635</v>
      </c>
      <c r="C29920" s="16" t="s">
        <v>15586</v>
      </c>
      <c r="D29920" s="16" t="s">
        <v>15607</v>
      </c>
      <c r="E29920" s="2">
        <v>2289983</v>
      </c>
      <c r="F29920" s="4" t="str">
        <f>IF(B29920=B29919,"",B29920)</f>
        <v>Dimbokro</v>
      </c>
    </row>
    <row r="29921" spans="1:6" ht="15.75" customHeight="1">
      <c r="A29921" s="16" t="str">
        <f ca="1">IFERROR(__xludf.DUMMYFUNCTION("GOOGLETRANSLATE(B33566,""en"",""pt"")"),"Dimāpur")</f>
        <v>Dimāpur</v>
      </c>
      <c r="B29921" s="20" t="s">
        <v>33762</v>
      </c>
      <c r="C29921" s="20" t="s">
        <v>10178</v>
      </c>
      <c r="D29921" s="20" t="s">
        <v>11179</v>
      </c>
      <c r="E29921" s="10">
        <v>1272552</v>
      </c>
      <c r="F29921" s="4" t="str">
        <f>IF(B29921=B29920,"",B29921)</f>
        <v>Dimāpur</v>
      </c>
    </row>
    <row r="29922" spans="1:6" ht="15.75" customHeight="1">
      <c r="A29922" s="15" t="s">
        <v>11177</v>
      </c>
      <c r="B29922" s="15" t="s">
        <v>11178</v>
      </c>
      <c r="C29922" s="15" t="s">
        <v>10178</v>
      </c>
      <c r="D29922" s="15" t="s">
        <v>11179</v>
      </c>
      <c r="E29922" s="2">
        <v>1272552</v>
      </c>
      <c r="F29922" s="4" t="e">
        <f>IF(B29922=#REF!,"",B29922)</f>
        <v>#REF!</v>
      </c>
    </row>
    <row r="29923" spans="1:6" ht="15.75" customHeight="1">
      <c r="A29923" s="16" t="s">
        <v>8305</v>
      </c>
      <c r="B29923" s="15" t="s">
        <v>8306</v>
      </c>
      <c r="C29923" s="16" t="s">
        <v>8028</v>
      </c>
      <c r="D29923" s="16" t="s">
        <v>8044</v>
      </c>
      <c r="E29923" s="2">
        <v>2936974</v>
      </c>
      <c r="F29923" s="4" t="e">
        <f>IF(B29923=#REF!,"",B29923)</f>
        <v>#REF!</v>
      </c>
    </row>
    <row r="29924" spans="1:6" ht="15.75" customHeight="1">
      <c r="A29924" s="16" t="s">
        <v>8303</v>
      </c>
      <c r="B29924" s="15" t="s">
        <v>8304</v>
      </c>
      <c r="C29924" s="16" t="s">
        <v>8028</v>
      </c>
      <c r="D29924" s="16" t="s">
        <v>8177</v>
      </c>
      <c r="E29924" s="2">
        <v>2936977</v>
      </c>
      <c r="F29924" s="4" t="e">
        <f>IF(B29924=#REF!,"",B29924)</f>
        <v>#REF!</v>
      </c>
    </row>
    <row r="29925" spans="1:6" ht="15.75" customHeight="1">
      <c r="A29925" s="15" t="s">
        <v>25026</v>
      </c>
      <c r="B29925" s="15" t="s">
        <v>25026</v>
      </c>
      <c r="C29925" s="15" t="s">
        <v>24987</v>
      </c>
      <c r="D29925" s="15" t="s">
        <v>24990</v>
      </c>
      <c r="E29925" s="2">
        <v>376450</v>
      </c>
      <c r="F29925" s="4" t="e">
        <f>IF(B29925=#REF!,"",B29925)</f>
        <v>#REF!</v>
      </c>
    </row>
    <row r="29926" spans="1:6" ht="15.75" customHeight="1">
      <c r="A29926" s="16" t="s">
        <v>8302</v>
      </c>
      <c r="B29926" s="15" t="s">
        <v>8302</v>
      </c>
      <c r="C29926" s="16" t="s">
        <v>8028</v>
      </c>
      <c r="D29926" s="16" t="s">
        <v>8050</v>
      </c>
      <c r="E29926" s="2">
        <v>2936985</v>
      </c>
      <c r="F29926" s="4" t="e">
        <f>IF(B29926=#REF!,"",B29926)</f>
        <v>#REF!</v>
      </c>
    </row>
    <row r="29927" spans="1:6" ht="15.75" customHeight="1">
      <c r="A29927" s="15" t="s">
        <v>6382</v>
      </c>
      <c r="B29927" s="15" t="s">
        <v>6382</v>
      </c>
      <c r="C29927" s="15" t="s">
        <v>6380</v>
      </c>
      <c r="D29927" s="15" t="s">
        <v>6383</v>
      </c>
      <c r="E29927" s="2">
        <v>1645457</v>
      </c>
      <c r="F29927" s="4" t="e">
        <f>IF(B29927=#REF!,"",B29927)</f>
        <v>#REF!</v>
      </c>
    </row>
    <row r="29928" spans="1:6" ht="15.75" customHeight="1">
      <c r="A29928" s="15" t="s">
        <v>1562</v>
      </c>
      <c r="B29928" s="15" t="s">
        <v>1562</v>
      </c>
      <c r="C29928" s="15" t="s">
        <v>1512</v>
      </c>
      <c r="D29928" s="15" t="s">
        <v>1513</v>
      </c>
      <c r="E29928" s="2">
        <v>2799365</v>
      </c>
      <c r="F29928" s="4" t="str">
        <f>IF(B29928=B29927,"",B29928)</f>
        <v>Dilbeek</v>
      </c>
    </row>
    <row r="29929" spans="1:6" ht="15.75" customHeight="1">
      <c r="A29929" s="16" t="str">
        <f ca="1">IFERROR(__xludf.DUMMYFUNCTION("GOOGLETRANSLATE(B29564,""en"",""pt"")"),"Dīla")</f>
        <v>Dīla</v>
      </c>
      <c r="B29929" s="20" t="s">
        <v>32501</v>
      </c>
      <c r="C29929" s="20" t="s">
        <v>6807</v>
      </c>
      <c r="D29929" s="20" t="s">
        <v>6817</v>
      </c>
      <c r="E29929" s="10">
        <v>338998</v>
      </c>
      <c r="F29929" s="4" t="e">
        <f>IF(B29929=#REF!,"",B29929)</f>
        <v>#REF!</v>
      </c>
    </row>
    <row r="29930" spans="1:6" ht="15.75" customHeight="1">
      <c r="A29930" s="15" t="s">
        <v>19372</v>
      </c>
      <c r="B29930" s="15" t="s">
        <v>19372</v>
      </c>
      <c r="C29930" s="15" t="s">
        <v>19294</v>
      </c>
      <c r="D29930" s="15" t="s">
        <v>19338</v>
      </c>
      <c r="E29930" s="2">
        <v>2344854</v>
      </c>
      <c r="F29930" s="4" t="e">
        <f>IF(B29930=#REF!,"",B29930)</f>
        <v>#REF!</v>
      </c>
    </row>
    <row r="29931" spans="1:6" ht="15.75" customHeight="1">
      <c r="A29931" s="16" t="s">
        <v>1561</v>
      </c>
      <c r="B29931" s="15" t="s">
        <v>1561</v>
      </c>
      <c r="C29931" s="16" t="s">
        <v>1512</v>
      </c>
      <c r="D29931" s="16" t="s">
        <v>1513</v>
      </c>
      <c r="E29931" s="2">
        <v>2799369</v>
      </c>
      <c r="F29931" s="4" t="e">
        <f>IF(B29931=#REF!,"",B29931)</f>
        <v>#REF!</v>
      </c>
    </row>
    <row r="29932" spans="1:6" ht="15.75" customHeight="1">
      <c r="A29932" s="15" t="s">
        <v>6629</v>
      </c>
      <c r="B29932" s="15" t="s">
        <v>6629</v>
      </c>
      <c r="C29932" s="15" t="s">
        <v>6495</v>
      </c>
      <c r="D29932" s="15" t="s">
        <v>6508</v>
      </c>
      <c r="E29932" s="2">
        <v>358172</v>
      </c>
      <c r="F29932" s="4" t="e">
        <f>IF(B29932=#REF!,"",B29932)</f>
        <v>#REF!</v>
      </c>
    </row>
    <row r="29933" spans="1:6" ht="15.75" customHeight="1">
      <c r="A29933" s="15" t="s">
        <v>7320</v>
      </c>
      <c r="B29933" s="15" t="s">
        <v>7320</v>
      </c>
      <c r="C29933" s="15" t="s">
        <v>7052</v>
      </c>
      <c r="D29933" s="15" t="s">
        <v>7128</v>
      </c>
      <c r="E29933" s="2">
        <v>3021372</v>
      </c>
      <c r="F29933" s="4" t="e">
        <f>IF(B29933=#REF!,"",B29933)</f>
        <v>#REF!</v>
      </c>
    </row>
    <row r="29934" spans="1:6" ht="15.75" customHeight="1">
      <c r="A29934" s="15" t="s">
        <v>19897</v>
      </c>
      <c r="B29934" s="15" t="s">
        <v>19897</v>
      </c>
      <c r="C29934" s="15" t="s">
        <v>19808</v>
      </c>
      <c r="D29934" s="15" t="s">
        <v>10184</v>
      </c>
      <c r="E29934" s="2">
        <v>1179834</v>
      </c>
      <c r="F29934" s="4" t="e">
        <f>IF(B29934=#REF!,"",B29934)</f>
        <v>#REF!</v>
      </c>
    </row>
    <row r="29935" spans="1:6" ht="15.75" customHeight="1">
      <c r="A29935" s="15" t="s">
        <v>14679</v>
      </c>
      <c r="B29935" s="15" t="s">
        <v>14679</v>
      </c>
      <c r="C29935" s="15" t="s">
        <v>14594</v>
      </c>
      <c r="D29935" s="15" t="s">
        <v>14680</v>
      </c>
      <c r="E29935" s="2">
        <v>96994</v>
      </c>
      <c r="F29935" s="4" t="e">
        <f>IF(B29935=#REF!,"",B29935)</f>
        <v>#REF!</v>
      </c>
    </row>
    <row r="29936" spans="1:6" ht="15.75" customHeight="1">
      <c r="A29936" s="15" t="s">
        <v>19895</v>
      </c>
      <c r="B29936" s="15" t="s">
        <v>19896</v>
      </c>
      <c r="C29936" s="15" t="s">
        <v>19808</v>
      </c>
      <c r="D29936" s="15" t="s">
        <v>19823</v>
      </c>
      <c r="E29936" s="2">
        <v>1179837</v>
      </c>
      <c r="F29936" s="4" t="e">
        <f>IF(B29936=#REF!,"",B29936)</f>
        <v>#REF!</v>
      </c>
    </row>
    <row r="29937" spans="1:6" ht="15.75" customHeight="1">
      <c r="A29937" s="15" t="s">
        <v>11175</v>
      </c>
      <c r="B29937" s="15" t="s">
        <v>11176</v>
      </c>
      <c r="C29937" s="15" t="s">
        <v>10178</v>
      </c>
      <c r="D29937" s="15" t="s">
        <v>10214</v>
      </c>
      <c r="E29937" s="2">
        <v>1272596</v>
      </c>
      <c r="F29937" s="4" t="e">
        <f>IF(B29937=#REF!,"",B29937)</f>
        <v>#REF!</v>
      </c>
    </row>
    <row r="29938" spans="1:6" ht="15.75" customHeight="1">
      <c r="A29938" s="15" t="s">
        <v>20757</v>
      </c>
      <c r="B29938" s="15" t="s">
        <v>20757</v>
      </c>
      <c r="C29938" s="15" t="s">
        <v>20598</v>
      </c>
      <c r="D29938" s="15" t="s">
        <v>20658</v>
      </c>
      <c r="E29938" s="2">
        <v>1714956</v>
      </c>
      <c r="F29938" s="4" t="e">
        <f>IF(B29938=#REF!,"",B29938)</f>
        <v>#REF!</v>
      </c>
    </row>
    <row r="29939" spans="1:6" ht="15.75" customHeight="1">
      <c r="A29939" s="16" t="s">
        <v>7319</v>
      </c>
      <c r="B29939" s="15" t="s">
        <v>7319</v>
      </c>
      <c r="C29939" s="16" t="s">
        <v>7052</v>
      </c>
      <c r="D29939" s="16" t="s">
        <v>7087</v>
      </c>
      <c r="E29939" s="2">
        <v>3021382</v>
      </c>
      <c r="F29939" s="4" t="str">
        <f>IF(B29939=B29938,"",B29939)</f>
        <v>Digne-les-Bains</v>
      </c>
    </row>
    <row r="29940" spans="1:6" ht="15.75" customHeight="1">
      <c r="A29940" s="16" t="str">
        <f ca="1">IFERROR(__xludf.DUMMYFUNCTION("GOOGLETRANSLATE(B33568,""en"",""pt"")"),"Dīglūr")</f>
        <v>Dīglūr</v>
      </c>
      <c r="B29940" s="20" t="s">
        <v>33763</v>
      </c>
      <c r="C29940" s="20" t="s">
        <v>10178</v>
      </c>
      <c r="D29940" s="20" t="s">
        <v>10214</v>
      </c>
      <c r="E29940" s="10">
        <v>1272606</v>
      </c>
      <c r="F29940" s="4" t="str">
        <f>IF(B29940=B29939,"",B29940)</f>
        <v>Dīglūr</v>
      </c>
    </row>
    <row r="29941" spans="1:6" ht="15.75" customHeight="1">
      <c r="A29941" s="16" t="str">
        <f ca="1">IFERROR(__xludf.DUMMYFUNCTION("GOOGLETRANSLATE(B33569,""en"",""pt"")"),"Dighwāra")</f>
        <v>Dighwāra</v>
      </c>
      <c r="B29941" s="20" t="s">
        <v>33764</v>
      </c>
      <c r="C29941" s="20" t="s">
        <v>10178</v>
      </c>
      <c r="D29941" s="20" t="s">
        <v>10317</v>
      </c>
      <c r="E29941" s="10">
        <v>1272610</v>
      </c>
      <c r="F29941" s="4" t="str">
        <f>IF(B29941=B29940,"",B29941)</f>
        <v>Dighwāra</v>
      </c>
    </row>
    <row r="29942" spans="1:6" ht="15.75" customHeight="1">
      <c r="A29942" s="16" t="s">
        <v>11173</v>
      </c>
      <c r="B29942" s="15" t="s">
        <v>11174</v>
      </c>
      <c r="C29942" s="16" t="s">
        <v>10178</v>
      </c>
      <c r="D29942" s="16" t="s">
        <v>10317</v>
      </c>
      <c r="E29942" s="2">
        <v>1272610</v>
      </c>
      <c r="F29942" s="4" t="e">
        <f>IF(B29942=#REF!,"",B29942)</f>
        <v>#REF!</v>
      </c>
    </row>
    <row r="29943" spans="1:6" ht="15.75" customHeight="1">
      <c r="A29943" s="15" t="s">
        <v>11172</v>
      </c>
      <c r="B29943" s="15" t="s">
        <v>11172</v>
      </c>
      <c r="C29943" s="15" t="s">
        <v>10178</v>
      </c>
      <c r="D29943" s="15" t="s">
        <v>10239</v>
      </c>
      <c r="E29943" s="2">
        <v>1272629</v>
      </c>
      <c r="F29943" s="4" t="str">
        <f>IF(B29943=B29942,"",B29943)</f>
        <v>Digboi</v>
      </c>
    </row>
    <row r="29944" spans="1:6" ht="15.75" customHeight="1">
      <c r="A29944" s="16" t="str">
        <f ca="1">IFERROR(__xludf.DUMMYFUNCTION("GOOGLETRANSLATE(B33571,""en"",""pt"")"),"Escavação")</f>
        <v>Escavação</v>
      </c>
      <c r="B29944" s="20" t="s">
        <v>33765</v>
      </c>
      <c r="C29944" s="20" t="s">
        <v>10178</v>
      </c>
      <c r="D29944" s="20" t="s">
        <v>10179</v>
      </c>
      <c r="E29944" s="10">
        <v>1272639</v>
      </c>
      <c r="F29944" s="4" t="e">
        <f>IF(B29944=#REF!,"",B29944)</f>
        <v>#REF!</v>
      </c>
    </row>
    <row r="29945" spans="1:6" ht="15.75" customHeight="1">
      <c r="A29945" s="15" t="s">
        <v>19268</v>
      </c>
      <c r="B29945" s="15" t="s">
        <v>19269</v>
      </c>
      <c r="C29945" s="15" t="s">
        <v>19259</v>
      </c>
      <c r="D29945" s="15" t="s">
        <v>19269</v>
      </c>
      <c r="E29945" s="2">
        <v>2445704</v>
      </c>
      <c r="F29945" s="4" t="e">
        <f>IF(B29945=#REF!,"",B29945)</f>
        <v>#REF!</v>
      </c>
    </row>
    <row r="29946" spans="1:6" ht="15.75" customHeight="1">
      <c r="A29946" s="16" t="s">
        <v>5832</v>
      </c>
      <c r="B29946" s="15" t="s">
        <v>5832</v>
      </c>
      <c r="C29946" s="16" t="s">
        <v>5764</v>
      </c>
      <c r="D29946" s="16" t="s">
        <v>5768</v>
      </c>
      <c r="E29946" s="2">
        <v>6956648</v>
      </c>
      <c r="F29946" s="4" t="e">
        <f>IF(B29946=#REF!,"",B29946)</f>
        <v>#REF!</v>
      </c>
    </row>
    <row r="29947" spans="1:6" ht="15.75" customHeight="1">
      <c r="A29947" s="16" t="s">
        <v>8301</v>
      </c>
      <c r="B29947" s="15" t="s">
        <v>8301</v>
      </c>
      <c r="C29947" s="16" t="s">
        <v>8028</v>
      </c>
      <c r="D29947" s="16" t="s">
        <v>8050</v>
      </c>
      <c r="E29947" s="2">
        <v>2937040</v>
      </c>
      <c r="F29947" s="4" t="e">
        <f>IF(B29947=#REF!,"",B29947)</f>
        <v>#REF!</v>
      </c>
    </row>
    <row r="29948" spans="1:6" ht="15.75" customHeight="1">
      <c r="A29948" s="15" t="s">
        <v>25258</v>
      </c>
      <c r="B29948" s="15" t="s">
        <v>25258</v>
      </c>
      <c r="C29948" s="15" t="s">
        <v>25237</v>
      </c>
      <c r="D29948" s="15" t="s">
        <v>25240</v>
      </c>
      <c r="E29948" s="2">
        <v>2661015</v>
      </c>
      <c r="F29948" s="4" t="e">
        <f>IF(B29948=#REF!,"",B29948)</f>
        <v>#REF!</v>
      </c>
    </row>
    <row r="29949" spans="1:6" ht="15.75" customHeight="1">
      <c r="A29949" s="15" t="s">
        <v>1560</v>
      </c>
      <c r="B29949" s="15" t="s">
        <v>1560</v>
      </c>
      <c r="C29949" s="15" t="s">
        <v>1512</v>
      </c>
      <c r="D29949" s="15" t="s">
        <v>1513</v>
      </c>
      <c r="E29949" s="2">
        <v>2799397</v>
      </c>
      <c r="F29949" s="4" t="e">
        <f>IF(B29949=#REF!,"",B29949)</f>
        <v>#REF!</v>
      </c>
    </row>
    <row r="29950" spans="1:6" ht="15.75" customHeight="1">
      <c r="A29950" s="15" t="s">
        <v>23881</v>
      </c>
      <c r="B29950" s="15" t="s">
        <v>23881</v>
      </c>
      <c r="C29950" s="15" t="s">
        <v>23842</v>
      </c>
      <c r="D29950" s="15" t="s">
        <v>23855</v>
      </c>
      <c r="E29950" s="2">
        <v>8764562</v>
      </c>
      <c r="F29950" s="4" t="e">
        <f>IF(B29950=#REF!,"",B29950)</f>
        <v>#REF!</v>
      </c>
    </row>
    <row r="29951" spans="1:6" ht="15.75" customHeight="1">
      <c r="A29951" s="15" t="s">
        <v>4041</v>
      </c>
      <c r="B29951" s="15" t="s">
        <v>4041</v>
      </c>
      <c r="C29951" s="15" t="s">
        <v>3975</v>
      </c>
      <c r="D29951" s="15" t="s">
        <v>4042</v>
      </c>
      <c r="E29951" s="2">
        <v>5939219</v>
      </c>
      <c r="F29951" s="4" t="e">
        <f>IF(B29951=#REF!,"",B29951)</f>
        <v>#REF!</v>
      </c>
    </row>
    <row r="29952" spans="1:6" ht="15.75" customHeight="1">
      <c r="A29952" s="15" t="s">
        <v>8300</v>
      </c>
      <c r="B29952" s="15" t="s">
        <v>8300</v>
      </c>
      <c r="C29952" s="15" t="s">
        <v>8028</v>
      </c>
      <c r="D29952" s="15" t="s">
        <v>8034</v>
      </c>
      <c r="E29952" s="2">
        <v>2937317</v>
      </c>
      <c r="F29952" s="4" t="e">
        <f>IF(B29952=#REF!,"",B29952)</f>
        <v>#REF!</v>
      </c>
    </row>
    <row r="29953" spans="1:6" ht="15.75" customHeight="1">
      <c r="A29953" s="16" t="s">
        <v>1559</v>
      </c>
      <c r="B29953" s="15" t="s">
        <v>1559</v>
      </c>
      <c r="C29953" s="16" t="s">
        <v>1512</v>
      </c>
      <c r="D29953" s="16" t="s">
        <v>1513</v>
      </c>
      <c r="E29953" s="2">
        <v>2799412</v>
      </c>
      <c r="F29953" s="4" t="e">
        <f>IF(B29953=#REF!,"",B29953)</f>
        <v>#REF!</v>
      </c>
    </row>
    <row r="29954" spans="1:6" ht="15.75" customHeight="1">
      <c r="A29954" s="16" t="s">
        <v>30838</v>
      </c>
      <c r="B29954" s="15" t="s">
        <v>30838</v>
      </c>
      <c r="C29954" s="16" t="s">
        <v>30784</v>
      </c>
      <c r="D29954" s="16" t="s">
        <v>30839</v>
      </c>
      <c r="E29954" s="2">
        <v>1583477</v>
      </c>
      <c r="F29954" s="4" t="e">
        <f>IF(B29954=#REF!,"",B29954)</f>
        <v>#REF!</v>
      </c>
    </row>
    <row r="29955" spans="1:6" ht="15.75" customHeight="1">
      <c r="A29955" s="15" t="s">
        <v>18938</v>
      </c>
      <c r="B29955" s="15" t="s">
        <v>18938</v>
      </c>
      <c r="C29955" s="15" t="s">
        <v>18862</v>
      </c>
      <c r="D29955" s="15" t="s">
        <v>18863</v>
      </c>
      <c r="E29955" s="2">
        <v>2756888</v>
      </c>
      <c r="F29955" s="4" t="e">
        <f>IF(B29955=#REF!,"",B29955)</f>
        <v>#REF!</v>
      </c>
    </row>
    <row r="29956" spans="1:6" ht="15.75" customHeight="1">
      <c r="A29956" s="16" t="s">
        <v>4395</v>
      </c>
      <c r="B29956" s="15" t="s">
        <v>4395</v>
      </c>
      <c r="C29956" s="16" t="s">
        <v>4355</v>
      </c>
      <c r="D29956" s="16" t="s">
        <v>4389</v>
      </c>
      <c r="E29956" s="2">
        <v>3892454</v>
      </c>
      <c r="F29956" s="4" t="e">
        <f>IF(B29956=#REF!,"",B29956)</f>
        <v>#REF!</v>
      </c>
    </row>
    <row r="29957" spans="1:6" ht="15.75" customHeight="1">
      <c r="A29957" s="15" t="s">
        <v>8299</v>
      </c>
      <c r="B29957" s="15" t="s">
        <v>8299</v>
      </c>
      <c r="C29957" s="15" t="s">
        <v>8028</v>
      </c>
      <c r="D29957" s="15" t="s">
        <v>8050</v>
      </c>
      <c r="E29957" s="2">
        <v>2937591</v>
      </c>
      <c r="F29957" s="4" t="str">
        <f>IF(B29957=B29956,"",B29957)</f>
        <v>Dieburg</v>
      </c>
    </row>
    <row r="29958" spans="1:6" ht="15.75" customHeight="1">
      <c r="A29958" s="16" t="str">
        <f ca="1">IFERROR(__xludf.DUMMYFUNCTION("GOOGLETRANSLATE(B33572,""en"",""pt"")"),"Dīdwāna")</f>
        <v>Dīdwāna</v>
      </c>
      <c r="B29958" s="20" t="s">
        <v>33766</v>
      </c>
      <c r="C29958" s="20" t="s">
        <v>10178</v>
      </c>
      <c r="D29958" s="20" t="s">
        <v>10179</v>
      </c>
      <c r="E29958" s="10">
        <v>1272640</v>
      </c>
      <c r="F29958" s="4" t="e">
        <f>IF(B29958=#REF!,"",B29958)</f>
        <v>#REF!</v>
      </c>
    </row>
    <row r="29959" spans="1:6" ht="15.75" customHeight="1">
      <c r="A29959" s="16" t="s">
        <v>321</v>
      </c>
      <c r="B29959" s="15" t="s">
        <v>321</v>
      </c>
      <c r="C29959" s="16" t="s">
        <v>153</v>
      </c>
      <c r="D29959" s="16" t="s">
        <v>157</v>
      </c>
      <c r="E29959" s="2">
        <v>2500401</v>
      </c>
      <c r="F29959" s="4" t="e">
        <f>IF(B29959=#REF!,"",B29959)</f>
        <v>#REF!</v>
      </c>
    </row>
    <row r="29960" spans="1:6" ht="15.75" customHeight="1">
      <c r="A29960" s="15" t="s">
        <v>26447</v>
      </c>
      <c r="B29960" s="15" t="s">
        <v>26447</v>
      </c>
      <c r="C29960" s="15" t="s">
        <v>26201</v>
      </c>
      <c r="D29960" s="15" t="s">
        <v>26257</v>
      </c>
      <c r="E29960" s="2">
        <v>297090</v>
      </c>
      <c r="F29960" s="4" t="e">
        <f>IF(B29960=#REF!,"",B29960)</f>
        <v>#REF!</v>
      </c>
    </row>
    <row r="29961" spans="1:6" ht="15.75" customHeight="1">
      <c r="A29961" s="15" t="s">
        <v>28429</v>
      </c>
      <c r="B29961" s="15" t="s">
        <v>28429</v>
      </c>
      <c r="C29961" s="15" t="s">
        <v>27788</v>
      </c>
      <c r="D29961" s="15" t="s">
        <v>27792</v>
      </c>
      <c r="E29961" s="2">
        <v>4686163</v>
      </c>
      <c r="F29961" s="4" t="e">
        <f>IF(B29961=#REF!,"",B29961)</f>
        <v>#REF!</v>
      </c>
    </row>
    <row r="29962" spans="1:6" ht="15.75" customHeight="1">
      <c r="A29962" s="15" t="s">
        <v>11171</v>
      </c>
      <c r="B29962" s="15" t="s">
        <v>11171</v>
      </c>
      <c r="C29962" s="15" t="s">
        <v>10178</v>
      </c>
      <c r="D29962" s="15" t="s">
        <v>10856</v>
      </c>
      <c r="E29962" s="2">
        <v>1272646</v>
      </c>
      <c r="F29962" s="4" t="e">
        <f>IF(B29962=#REF!,"",B29962)</f>
        <v>#REF!</v>
      </c>
    </row>
    <row r="29963" spans="1:6" ht="15.75" customHeight="1">
      <c r="A29963" s="16" t="s">
        <v>11170</v>
      </c>
      <c r="B29963" s="15" t="s">
        <v>11170</v>
      </c>
      <c r="C29963" s="16" t="s">
        <v>10178</v>
      </c>
      <c r="D29963" s="16" t="s">
        <v>10239</v>
      </c>
      <c r="E29963" s="2">
        <v>1272648</v>
      </c>
      <c r="F29963" s="4" t="e">
        <f>IF(B29963=#REF!,"",B29963)</f>
        <v>#REF!</v>
      </c>
    </row>
    <row r="29964" spans="1:6" ht="15.75" customHeight="1">
      <c r="A29964" s="16" t="s">
        <v>27224</v>
      </c>
      <c r="B29964" s="15" t="s">
        <v>27225</v>
      </c>
      <c r="C29964" s="16" t="s">
        <v>27213</v>
      </c>
      <c r="D29964" s="16" t="s">
        <v>27219</v>
      </c>
      <c r="E29964" s="2">
        <v>292239</v>
      </c>
      <c r="F29964" s="4" t="e">
        <f>IF(B29964=#REF!,"",B29964)</f>
        <v>#REF!</v>
      </c>
    </row>
    <row r="29965" spans="1:6" ht="15.75" customHeight="1">
      <c r="A29965" s="16" t="s">
        <v>27222</v>
      </c>
      <c r="B29965" s="15" t="s">
        <v>27223</v>
      </c>
      <c r="C29965" s="16" t="s">
        <v>27213</v>
      </c>
      <c r="D29965" s="16" t="s">
        <v>27219</v>
      </c>
      <c r="E29965" s="2">
        <v>292231</v>
      </c>
      <c r="F29965" s="4" t="e">
        <f>IF(B29965=#REF!,"",B29965)</f>
        <v>#REF!</v>
      </c>
    </row>
    <row r="29966" spans="1:6" ht="15.75" customHeight="1">
      <c r="A29966" s="15" t="s">
        <v>11169</v>
      </c>
      <c r="B29966" s="15" t="s">
        <v>11169</v>
      </c>
      <c r="C29966" s="15" t="s">
        <v>10178</v>
      </c>
      <c r="D29966" s="15" t="s">
        <v>10193</v>
      </c>
      <c r="E29966" s="2">
        <v>1272653</v>
      </c>
      <c r="F29966" s="4" t="e">
        <f>IF(B29966=#REF!,"",B29966)</f>
        <v>#REF!</v>
      </c>
    </row>
    <row r="29967" spans="1:6" ht="15.75" customHeight="1">
      <c r="A29967" s="15" t="s">
        <v>3781</v>
      </c>
      <c r="B29967" s="15" t="s">
        <v>3781</v>
      </c>
      <c r="C29967" s="15" t="s">
        <v>3768</v>
      </c>
      <c r="D29967" s="15" t="s">
        <v>3782</v>
      </c>
      <c r="E29967" s="2">
        <v>2361373</v>
      </c>
      <c r="F29967" s="4" t="e">
        <f>IF(B29967=#REF!,"",B29967)</f>
        <v>#REF!</v>
      </c>
    </row>
    <row r="29968" spans="1:6" ht="15.75" customHeight="1">
      <c r="A29968" s="16" t="s">
        <v>11167</v>
      </c>
      <c r="B29968" s="15" t="s">
        <v>11168</v>
      </c>
      <c r="C29968" s="16" t="s">
        <v>10178</v>
      </c>
      <c r="D29968" s="16" t="s">
        <v>10201</v>
      </c>
      <c r="E29968" s="2">
        <v>1272657</v>
      </c>
      <c r="F29968" s="4" t="e">
        <f>IF(B29968=#REF!,"",B29968)</f>
        <v>#REF!</v>
      </c>
    </row>
    <row r="29969" spans="1:6" ht="15.75" customHeight="1">
      <c r="A29969" s="16" t="s">
        <v>28427</v>
      </c>
      <c r="B29969" s="15" t="s">
        <v>28428</v>
      </c>
      <c r="C29969" s="16" t="s">
        <v>27788</v>
      </c>
      <c r="D29969" s="16" t="s">
        <v>27801</v>
      </c>
      <c r="E29969" s="2">
        <v>5342992</v>
      </c>
      <c r="F29969" s="4" t="e">
        <f>IF(B29969=#REF!,"",B29969)</f>
        <v>#REF!</v>
      </c>
    </row>
    <row r="29970" spans="1:6" ht="15.75" customHeight="1">
      <c r="A29970" s="16" t="s">
        <v>2415</v>
      </c>
      <c r="B29970" s="15" t="s">
        <v>2415</v>
      </c>
      <c r="C29970" s="16" t="s">
        <v>1905</v>
      </c>
      <c r="D29970" s="16" t="s">
        <v>2036</v>
      </c>
      <c r="E29970" s="2">
        <v>3464724</v>
      </c>
      <c r="F29970" s="4" t="e">
        <f>IF(B29970=#REF!,"",B29970)</f>
        <v>#REF!</v>
      </c>
    </row>
    <row r="29971" spans="1:6" ht="15.75" customHeight="1">
      <c r="A29971" s="16" t="s">
        <v>2414</v>
      </c>
      <c r="B29971" s="15" t="s">
        <v>2414</v>
      </c>
      <c r="C29971" s="16" t="s">
        <v>1905</v>
      </c>
      <c r="D29971" s="16" t="s">
        <v>1917</v>
      </c>
      <c r="E29971" s="2">
        <v>3464728</v>
      </c>
      <c r="F29971" s="4" t="e">
        <f>IF(B29971=#REF!,"",B29971)</f>
        <v>#REF!</v>
      </c>
    </row>
    <row r="29972" spans="1:6" ht="15.75" customHeight="1">
      <c r="A29972" s="15" t="s">
        <v>640</v>
      </c>
      <c r="B29972" s="15" t="s">
        <v>641</v>
      </c>
      <c r="C29972" s="15" t="s">
        <v>558</v>
      </c>
      <c r="D29972" s="15" t="s">
        <v>611</v>
      </c>
      <c r="E29972" s="2">
        <v>3859384</v>
      </c>
      <c r="F29972" s="4" t="e">
        <f>IF(B29972=#REF!,"",B29972)</f>
        <v>#REF!</v>
      </c>
    </row>
    <row r="29973" spans="1:6" ht="15.75" customHeight="1">
      <c r="A29973" s="15" t="s">
        <v>20756</v>
      </c>
      <c r="B29973" s="15" t="s">
        <v>20756</v>
      </c>
      <c r="C29973" s="15" t="s">
        <v>20598</v>
      </c>
      <c r="D29973" s="15" t="s">
        <v>20611</v>
      </c>
      <c r="E29973" s="2">
        <v>1715094</v>
      </c>
      <c r="F29973" s="4" t="e">
        <f>IF(B29973=#REF!,"",B29973)</f>
        <v>#REF!</v>
      </c>
    </row>
    <row r="29974" spans="1:6" ht="15.75" customHeight="1">
      <c r="A29974" s="15" t="s">
        <v>2413</v>
      </c>
      <c r="B29974" s="15" t="s">
        <v>2413</v>
      </c>
      <c r="C29974" s="15" t="s">
        <v>1905</v>
      </c>
      <c r="D29974" s="15" t="s">
        <v>1914</v>
      </c>
      <c r="E29974" s="2">
        <v>3464739</v>
      </c>
      <c r="F29974" s="4" t="str">
        <f>IF(B29974=B29973,"",B29974)</f>
        <v>Diadema</v>
      </c>
    </row>
    <row r="29975" spans="1:6" ht="15.75" customHeight="1">
      <c r="A29975" s="16" t="str">
        <f ca="1">IFERROR(__xludf.DUMMYFUNCTION("GOOGLETRANSLATE(B33577,""en"",""pt"")"),"Dhūri")</f>
        <v>Dhūri</v>
      </c>
      <c r="B29975" s="20" t="s">
        <v>33767</v>
      </c>
      <c r="C29975" s="20" t="s">
        <v>10178</v>
      </c>
      <c r="D29975" s="20" t="s">
        <v>10184</v>
      </c>
      <c r="E29975" s="10">
        <v>1272670</v>
      </c>
      <c r="F29975" s="4" t="str">
        <f>IF(B29975=B29974,"",B29975)</f>
        <v>Dhūri</v>
      </c>
    </row>
    <row r="29976" spans="1:6" ht="15.75" customHeight="1">
      <c r="A29976" s="16" t="str">
        <f ca="1">IFERROR(__xludf.DUMMYFUNCTION("GOOGLETRANSLATE(B33578,""en"",""pt"")"),"Dhupgāri")</f>
        <v>Dhupgāri</v>
      </c>
      <c r="B29976" s="20" t="s">
        <v>33768</v>
      </c>
      <c r="C29976" s="20" t="s">
        <v>10178</v>
      </c>
      <c r="D29976" s="20" t="s">
        <v>10201</v>
      </c>
      <c r="E29976" s="10">
        <v>1272674</v>
      </c>
      <c r="F29976" s="4" t="str">
        <f>IF(B29976=B29975,"",B29976)</f>
        <v>Dhupgāri</v>
      </c>
    </row>
    <row r="29977" spans="1:6" ht="15.75" customHeight="1">
      <c r="A29977" s="15" t="s">
        <v>11165</v>
      </c>
      <c r="B29977" s="15" t="s">
        <v>11166</v>
      </c>
      <c r="C29977" s="15" t="s">
        <v>10178</v>
      </c>
      <c r="D29977" s="15" t="s">
        <v>10201</v>
      </c>
      <c r="E29977" s="2">
        <v>1272674</v>
      </c>
      <c r="F29977" s="4" t="str">
        <f>IF(B29977=B29976,"",B29977)</f>
        <v>DhupgÄri</v>
      </c>
    </row>
    <row r="29978" spans="1:6" ht="15.75" customHeight="1">
      <c r="A29978" s="16" t="str">
        <f ca="1">IFERROR(__xludf.DUMMYFUNCTION("GOOGLETRANSLATE(B33579,""en"",""pt"")"),"Dhuliān")</f>
        <v>Dhuliān</v>
      </c>
      <c r="B29978" s="20" t="s">
        <v>33769</v>
      </c>
      <c r="C29978" s="20" t="s">
        <v>10178</v>
      </c>
      <c r="D29978" s="20" t="s">
        <v>10201</v>
      </c>
      <c r="E29978" s="10">
        <v>1272689</v>
      </c>
      <c r="F29978" s="4" t="str">
        <f>IF(B29978=B29977,"",B29978)</f>
        <v>Dhuliān</v>
      </c>
    </row>
    <row r="29979" spans="1:6" ht="15.75" customHeight="1">
      <c r="A29979" s="15" t="s">
        <v>11163</v>
      </c>
      <c r="B29979" s="15" t="s">
        <v>11164</v>
      </c>
      <c r="C29979" s="15" t="s">
        <v>10178</v>
      </c>
      <c r="D29979" s="15" t="s">
        <v>10201</v>
      </c>
      <c r="E29979" s="2">
        <v>1272689</v>
      </c>
      <c r="F29979" s="4" t="str">
        <f>IF(B29979=B29978,"",B29979)</f>
        <v>DhuliÄn</v>
      </c>
    </row>
    <row r="29980" spans="1:6" ht="15.75" customHeight="1">
      <c r="A29980" s="16" t="str">
        <f ca="1">IFERROR(__xludf.DUMMYFUNCTION("GOOGLETRANSLATE(B33580,""en"",""pt"")"),"Dhūlia")</f>
        <v>Dhūlia</v>
      </c>
      <c r="B29980" s="20" t="s">
        <v>33770</v>
      </c>
      <c r="C29980" s="20" t="s">
        <v>10178</v>
      </c>
      <c r="D29980" s="20" t="s">
        <v>10214</v>
      </c>
      <c r="E29980" s="10">
        <v>1272691</v>
      </c>
      <c r="F29980" s="4" t="e">
        <f>IF(B29980=#REF!,"",B29980)</f>
        <v>#REF!</v>
      </c>
    </row>
    <row r="29981" spans="1:6" ht="15.75" customHeight="1">
      <c r="A29981" s="15" t="s">
        <v>11162</v>
      </c>
      <c r="B29981" s="15" t="s">
        <v>11162</v>
      </c>
      <c r="C29981" s="15" t="s">
        <v>10178</v>
      </c>
      <c r="D29981" s="15" t="s">
        <v>10201</v>
      </c>
      <c r="E29981" s="2">
        <v>1348780</v>
      </c>
      <c r="F29981" s="4" t="e">
        <f>IF(B29981=#REF!,"",B29981)</f>
        <v>#REF!</v>
      </c>
    </row>
    <row r="29982" spans="1:6" ht="15.75" customHeight="1">
      <c r="A29982" s="15" t="s">
        <v>11161</v>
      </c>
      <c r="B29982" s="15" t="s">
        <v>11161</v>
      </c>
      <c r="C29982" s="15" t="s">
        <v>10178</v>
      </c>
      <c r="D29982" s="15" t="s">
        <v>10239</v>
      </c>
      <c r="E29982" s="2">
        <v>1272694</v>
      </c>
      <c r="F29982" s="4" t="e">
        <f>IF(B29982=#REF!,"",B29982)</f>
        <v>#REF!</v>
      </c>
    </row>
    <row r="29983" spans="1:6" ht="15.75" customHeight="1">
      <c r="A29983" s="15" t="s">
        <v>11160</v>
      </c>
      <c r="B29983" s="15" t="s">
        <v>11160</v>
      </c>
      <c r="C29983" s="15" t="s">
        <v>10178</v>
      </c>
      <c r="D29983" s="15" t="s">
        <v>10209</v>
      </c>
      <c r="E29983" s="2">
        <v>1272699</v>
      </c>
      <c r="F29983" s="4" t="str">
        <f>IF(B29983=B29982,"",B29983)</f>
        <v>Dhrol</v>
      </c>
    </row>
    <row r="29984" spans="1:6" ht="15.75" customHeight="1">
      <c r="A29984" s="16" t="str">
        <f ca="1">IFERROR(__xludf.DUMMYFUNCTION("GOOGLETRANSLATE(B33583,""en"",""pt"")"),"Dhrāngadhra")</f>
        <v>Dhrāngadhra</v>
      </c>
      <c r="B29984" s="20" t="s">
        <v>33771</v>
      </c>
      <c r="C29984" s="20" t="s">
        <v>10178</v>
      </c>
      <c r="D29984" s="20" t="s">
        <v>10209</v>
      </c>
      <c r="E29984" s="10">
        <v>1272701</v>
      </c>
      <c r="F29984" s="4" t="str">
        <f>IF(B29984=B29983,"",B29984)</f>
        <v>Dhrāngadhra</v>
      </c>
    </row>
    <row r="29985" spans="1:6" ht="15.75" customHeight="1">
      <c r="A29985" s="16" t="s">
        <v>11158</v>
      </c>
      <c r="B29985" s="15" t="s">
        <v>11159</v>
      </c>
      <c r="C29985" s="16" t="s">
        <v>10178</v>
      </c>
      <c r="D29985" s="16" t="s">
        <v>10209</v>
      </c>
      <c r="E29985" s="2">
        <v>1272701</v>
      </c>
      <c r="F29985" s="4" t="e">
        <f>IF(B29985=#REF!,"",B29985)</f>
        <v>#REF!</v>
      </c>
    </row>
    <row r="29986" spans="1:6" ht="15.75" customHeight="1">
      <c r="A29986" s="16" t="s">
        <v>19894</v>
      </c>
      <c r="B29986" s="15" t="s">
        <v>19894</v>
      </c>
      <c r="C29986" s="16" t="s">
        <v>19808</v>
      </c>
      <c r="D29986" s="16" t="s">
        <v>19823</v>
      </c>
      <c r="E29986" s="2">
        <v>1179902</v>
      </c>
      <c r="F29986" s="4" t="str">
        <f>IF(B29986=B29985,"",B29986)</f>
        <v>Dhoro Naro</v>
      </c>
    </row>
    <row r="29987" spans="1:6" ht="15.75" customHeight="1">
      <c r="A29987" s="16" t="str">
        <f ca="1">IFERROR(__xludf.DUMMYFUNCTION("GOOGLETRANSLATE(B33584,""en"",""pt"")"),"Dhorāji")</f>
        <v>Dhorāji</v>
      </c>
      <c r="B29987" s="20" t="s">
        <v>33772</v>
      </c>
      <c r="C29987" s="20" t="s">
        <v>10178</v>
      </c>
      <c r="D29987" s="20" t="s">
        <v>10209</v>
      </c>
      <c r="E29987" s="10">
        <v>1272720</v>
      </c>
      <c r="F29987" s="4" t="str">
        <f>IF(B29987=B29986,"",B29987)</f>
        <v>Dhorāji</v>
      </c>
    </row>
    <row r="29988" spans="1:6" ht="15.75" customHeight="1">
      <c r="A29988" s="15" t="s">
        <v>11156</v>
      </c>
      <c r="B29988" s="15" t="s">
        <v>11157</v>
      </c>
      <c r="C29988" s="15" t="s">
        <v>10178</v>
      </c>
      <c r="D29988" s="15" t="s">
        <v>10209</v>
      </c>
      <c r="E29988" s="2">
        <v>1272720</v>
      </c>
      <c r="F29988" s="4" t="e">
        <f>IF(B29988=#REF!,"",B29988)</f>
        <v>#REF!</v>
      </c>
    </row>
    <row r="29989" spans="1:6" ht="15.75" customHeight="1">
      <c r="A29989" s="15" t="s">
        <v>11154</v>
      </c>
      <c r="B29989" s="15" t="s">
        <v>11155</v>
      </c>
      <c r="C29989" s="15" t="s">
        <v>10178</v>
      </c>
      <c r="D29989" s="15" t="s">
        <v>10190</v>
      </c>
      <c r="E29989" s="2">
        <v>1272722</v>
      </c>
      <c r="F29989" s="4" t="e">
        <f>IF(B29989=#REF!,"",B29989)</f>
        <v>#REF!</v>
      </c>
    </row>
    <row r="29990" spans="1:6" ht="15.75" customHeight="1">
      <c r="A29990" s="15" t="s">
        <v>11153</v>
      </c>
      <c r="B29990" s="15" t="s">
        <v>11153</v>
      </c>
      <c r="C29990" s="15" t="s">
        <v>10178</v>
      </c>
      <c r="D29990" s="15" t="s">
        <v>10209</v>
      </c>
      <c r="E29990" s="2">
        <v>1272733</v>
      </c>
      <c r="F29990" s="4" t="e">
        <f>IF(B29990=#REF!,"",B29990)</f>
        <v>#REF!</v>
      </c>
    </row>
    <row r="29991" spans="1:6" ht="15.75" customHeight="1">
      <c r="A29991" s="15" t="s">
        <v>11152</v>
      </c>
      <c r="B29991" s="15" t="s">
        <v>11152</v>
      </c>
      <c r="C29991" s="15" t="s">
        <v>10178</v>
      </c>
      <c r="D29991" s="15" t="s">
        <v>10239</v>
      </c>
      <c r="E29991" s="2">
        <v>1272768</v>
      </c>
      <c r="F29991" s="4" t="str">
        <f>IF(B29991=B29990,"",B29991)</f>
        <v>Dhing</v>
      </c>
    </row>
    <row r="29992" spans="1:6" ht="15.75" customHeight="1">
      <c r="A29992" s="16" t="str">
        <f ca="1">IFERROR(__xludf.DUMMYFUNCTION("GOOGLETRANSLATE(B45828,""en"",""pt"")"),"Dhī como sufāl")</f>
        <v>Dhī como sufāl</v>
      </c>
      <c r="B29992" s="20" t="s">
        <v>36222</v>
      </c>
      <c r="C29992" s="20" t="s">
        <v>30993</v>
      </c>
      <c r="D29992" s="20" t="s">
        <v>31014</v>
      </c>
      <c r="E29992" s="10">
        <v>76154</v>
      </c>
      <c r="F29992" s="4" t="str">
        <f>IF(B29992=B29991,"",B29992)</f>
        <v>Dhī as Sufāl</v>
      </c>
    </row>
    <row r="29993" spans="1:6" ht="15.75" customHeight="1">
      <c r="A29993" s="16" t="str">
        <f ca="1">IFERROR(__xludf.DUMMYFUNCTION("GOOGLETRANSLATE(B33588,""en"",""pt"")"),"Dhenkānāl")</f>
        <v>Dhenkānāl</v>
      </c>
      <c r="B29993" s="20" t="s">
        <v>33773</v>
      </c>
      <c r="C29993" s="20" t="s">
        <v>10178</v>
      </c>
      <c r="D29993" s="20" t="s">
        <v>10229</v>
      </c>
      <c r="E29993" s="10">
        <v>1272780</v>
      </c>
      <c r="F29993" s="4" t="str">
        <f>IF(B29993=B29992,"",B29993)</f>
        <v>Dhenkānāl</v>
      </c>
    </row>
    <row r="29994" spans="1:6" ht="15.75" customHeight="1">
      <c r="A29994" s="16" t="s">
        <v>11150</v>
      </c>
      <c r="B29994" s="15" t="s">
        <v>11151</v>
      </c>
      <c r="C29994" s="16" t="s">
        <v>10178</v>
      </c>
      <c r="D29994" s="16" t="s">
        <v>10229</v>
      </c>
      <c r="E29994" s="2">
        <v>1272780</v>
      </c>
      <c r="F29994" s="4" t="e">
        <f>IF(B29994=#REF!,"",B29994)</f>
        <v>#REF!</v>
      </c>
    </row>
    <row r="29995" spans="1:6" ht="15.75" customHeight="1">
      <c r="A29995" s="16" t="s">
        <v>11149</v>
      </c>
      <c r="B29995" s="15" t="s">
        <v>11149</v>
      </c>
      <c r="C29995" s="16" t="s">
        <v>10178</v>
      </c>
      <c r="D29995" s="16" t="s">
        <v>10239</v>
      </c>
      <c r="E29995" s="2">
        <v>1272790</v>
      </c>
      <c r="F29995" s="4" t="e">
        <f>IF(B29995=#REF!,"",B29995)</f>
        <v>#REF!</v>
      </c>
    </row>
    <row r="29996" spans="1:6" ht="15.75" customHeight="1">
      <c r="A29996" s="16" t="s">
        <v>11148</v>
      </c>
      <c r="B29996" s="15" t="s">
        <v>11148</v>
      </c>
      <c r="C29996" s="16" t="s">
        <v>10178</v>
      </c>
      <c r="D29996" s="16" t="s">
        <v>10193</v>
      </c>
      <c r="E29996" s="2">
        <v>1272802</v>
      </c>
      <c r="F29996" s="4" t="e">
        <f>IF(B29996=#REF!,"",B29996)</f>
        <v>#REF!</v>
      </c>
    </row>
    <row r="29997" spans="1:6" ht="15.75" customHeight="1">
      <c r="A29997" s="15" t="s">
        <v>11147</v>
      </c>
      <c r="B29997" s="15" t="s">
        <v>11147</v>
      </c>
      <c r="C29997" s="15" t="s">
        <v>10178</v>
      </c>
      <c r="D29997" s="15" t="s">
        <v>10179</v>
      </c>
      <c r="E29997" s="2">
        <v>1272805</v>
      </c>
      <c r="F29997" s="4" t="str">
        <f>IF(B29997=B29996,"",B29997)</f>
        <v>Dhaulpur</v>
      </c>
    </row>
    <row r="29998" spans="1:6" ht="15.75" customHeight="1">
      <c r="A29998" s="16" t="str">
        <f ca="1">IFERROR(__xludf.DUMMYFUNCTION("GOOGLETRANSLATE(B33592,""en"",""pt"")"),"Dhārūr")</f>
        <v>Dhārūr</v>
      </c>
      <c r="B29998" s="20" t="s">
        <v>33774</v>
      </c>
      <c r="C29998" s="20" t="s">
        <v>10178</v>
      </c>
      <c r="D29998" s="20" t="s">
        <v>10214</v>
      </c>
      <c r="E29998" s="10">
        <v>1272819</v>
      </c>
      <c r="F29998" s="4" t="str">
        <f>IF(B29998=B29997,"",B29998)</f>
        <v>Dhārūr</v>
      </c>
    </row>
    <row r="29999" spans="1:6" ht="15.75" customHeight="1">
      <c r="A29999" s="16" t="str">
        <f ca="1">IFERROR(__xludf.DUMMYFUNCTION("GOOGLETRANSLATE(B33593,""en"",""pt"")"),"Dhāruhera")</f>
        <v>Dhāruhera</v>
      </c>
      <c r="B29999" s="20" t="s">
        <v>33775</v>
      </c>
      <c r="C29999" s="20" t="s">
        <v>10178</v>
      </c>
      <c r="D29999" s="20" t="s">
        <v>10224</v>
      </c>
      <c r="E29999" s="10">
        <v>1272822</v>
      </c>
      <c r="F29999" s="4" t="str">
        <f>IF(B29999=B29998,"",B29999)</f>
        <v>Dhāruhera</v>
      </c>
    </row>
    <row r="30000" spans="1:6" ht="15.75" customHeight="1">
      <c r="A30000" s="16" t="str">
        <f ca="1">IFERROR(__xludf.DUMMYFUNCTION("GOOGLETRANSLATE(B33594,""en"",""pt"")"),"Dharmsāla")</f>
        <v>Dharmsāla</v>
      </c>
      <c r="B30000" s="20" t="s">
        <v>33776</v>
      </c>
      <c r="C30000" s="20" t="s">
        <v>10178</v>
      </c>
      <c r="D30000" s="20" t="s">
        <v>10538</v>
      </c>
      <c r="E30000" s="10">
        <v>1272832</v>
      </c>
      <c r="F30000" s="4" t="str">
        <f>IF(B30000=B29999,"",B30000)</f>
        <v>Dharmsāla</v>
      </c>
    </row>
    <row r="30001" spans="1:6" ht="15.75" customHeight="1">
      <c r="A30001" s="16" t="s">
        <v>11145</v>
      </c>
      <c r="B30001" s="15" t="s">
        <v>11146</v>
      </c>
      <c r="C30001" s="16" t="s">
        <v>10178</v>
      </c>
      <c r="D30001" s="16" t="s">
        <v>10538</v>
      </c>
      <c r="E30001" s="2">
        <v>1272832</v>
      </c>
      <c r="F30001" s="4" t="e">
        <f>IF(B30001=#REF!,"",B30001)</f>
        <v>#REF!</v>
      </c>
    </row>
    <row r="30002" spans="1:6" ht="15.75" customHeight="1">
      <c r="A30002" s="16" t="s">
        <v>11144</v>
      </c>
      <c r="B30002" s="15" t="s">
        <v>11144</v>
      </c>
      <c r="C30002" s="16" t="s">
        <v>10178</v>
      </c>
      <c r="D30002" s="16" t="s">
        <v>10190</v>
      </c>
      <c r="E30002" s="2">
        <v>1272842</v>
      </c>
      <c r="F30002" s="4" t="e">
        <f>IF(B30002=#REF!,"",B30002)</f>
        <v>#REF!</v>
      </c>
    </row>
    <row r="30003" spans="1:6" ht="15.75" customHeight="1">
      <c r="A30003" s="16" t="s">
        <v>11143</v>
      </c>
      <c r="B30003" s="15" t="s">
        <v>11143</v>
      </c>
      <c r="C30003" s="16" t="s">
        <v>10178</v>
      </c>
      <c r="D30003" s="16" t="s">
        <v>10196</v>
      </c>
      <c r="E30003" s="2">
        <v>1272847</v>
      </c>
      <c r="F30003" s="4" t="e">
        <f>IF(B30003=#REF!,"",B30003)</f>
        <v>#REF!</v>
      </c>
    </row>
    <row r="30004" spans="1:6" ht="15.75" customHeight="1">
      <c r="A30004" s="16" t="s">
        <v>11142</v>
      </c>
      <c r="B30004" s="15" t="s">
        <v>11142</v>
      </c>
      <c r="C30004" s="16" t="s">
        <v>10178</v>
      </c>
      <c r="D30004" s="16" t="s">
        <v>10255</v>
      </c>
      <c r="E30004" s="2">
        <v>1272852</v>
      </c>
      <c r="F30004" s="4" t="e">
        <f>IF(B30004=#REF!,"",B30004)</f>
        <v>#REF!</v>
      </c>
    </row>
    <row r="30005" spans="1:6" ht="15.75" customHeight="1">
      <c r="A30005" s="16" t="s">
        <v>11141</v>
      </c>
      <c r="B30005" s="15" t="s">
        <v>11141</v>
      </c>
      <c r="C30005" s="16" t="s">
        <v>10178</v>
      </c>
      <c r="D30005" s="16" t="s">
        <v>10246</v>
      </c>
      <c r="E30005" s="2">
        <v>1272856</v>
      </c>
      <c r="F30005" s="4" t="str">
        <f>IF(B30005=B30004,"",B30005)</f>
        <v>Dharmadam</v>
      </c>
    </row>
    <row r="30006" spans="1:6" ht="15.75" customHeight="1">
      <c r="A30006" s="16" t="str">
        <f ca="1">IFERROR(__xludf.DUMMYFUNCTION("GOOGLETRANSLATE(B33599,""en"",""pt"")"),"Dharmābād")</f>
        <v>Dharmābād</v>
      </c>
      <c r="B30006" s="20" t="s">
        <v>33777</v>
      </c>
      <c r="C30006" s="20" t="s">
        <v>10178</v>
      </c>
      <c r="D30006" s="20" t="s">
        <v>10214</v>
      </c>
      <c r="E30006" s="10">
        <v>1272857</v>
      </c>
      <c r="F30006" s="4" t="str">
        <f>IF(B30006=B30005,"",B30006)</f>
        <v>Dharmābād</v>
      </c>
    </row>
    <row r="30007" spans="1:6" ht="15.75" customHeight="1">
      <c r="A30007" s="16" t="s">
        <v>11139</v>
      </c>
      <c r="B30007" s="15" t="s">
        <v>11140</v>
      </c>
      <c r="C30007" s="16" t="s">
        <v>10178</v>
      </c>
      <c r="D30007" s="16" t="s">
        <v>10214</v>
      </c>
      <c r="E30007" s="2">
        <v>1272857</v>
      </c>
      <c r="F30007" s="4" t="str">
        <f>IF(B30007=B30006,"",B30007)</f>
        <v>DharmÄbÄd</v>
      </c>
    </row>
    <row r="30008" spans="1:6" ht="15.75" customHeight="1">
      <c r="A30008" s="16" t="str">
        <f ca="1">IFERROR(__xludf.DUMMYFUNCTION("GOOGLETRANSLATE(B33600,""en"",""pt"")"),"Dhāriwāl")</f>
        <v>Dhāriwāl</v>
      </c>
      <c r="B30008" s="20" t="s">
        <v>33778</v>
      </c>
      <c r="C30008" s="20" t="s">
        <v>10178</v>
      </c>
      <c r="D30008" s="20" t="s">
        <v>10184</v>
      </c>
      <c r="E30008" s="10">
        <v>1272860</v>
      </c>
      <c r="F30008" s="4" t="str">
        <f>IF(B30008=B30007,"",B30008)</f>
        <v>Dhāriwāl</v>
      </c>
    </row>
    <row r="30009" spans="1:6" ht="15.75" customHeight="1">
      <c r="A30009" s="16" t="str">
        <f ca="1">IFERROR(__xludf.DUMMYFUNCTION("GOOGLETRANSLATE(B33601,""en"",""pt"")"),"Dhāri")</f>
        <v>Dhāri</v>
      </c>
      <c r="B30009" s="20" t="s">
        <v>33779</v>
      </c>
      <c r="C30009" s="20" t="s">
        <v>10178</v>
      </c>
      <c r="D30009" s="20" t="s">
        <v>10209</v>
      </c>
      <c r="E30009" s="10">
        <v>1272861</v>
      </c>
      <c r="F30009" s="4" t="e">
        <f>IF(B30009=#REF!,"",B30009)</f>
        <v>#REF!</v>
      </c>
    </row>
    <row r="30010" spans="1:6" ht="15.75" customHeight="1">
      <c r="A30010" s="16" t="s">
        <v>11137</v>
      </c>
      <c r="B30010" s="15" t="s">
        <v>11138</v>
      </c>
      <c r="C30010" s="16" t="s">
        <v>10178</v>
      </c>
      <c r="D30010" s="16" t="s">
        <v>10196</v>
      </c>
      <c r="E30010" s="2">
        <v>1272873</v>
      </c>
      <c r="F30010" s="4" t="e">
        <f>IF(B30010=#REF!,"",B30010)</f>
        <v>#REF!</v>
      </c>
    </row>
    <row r="30011" spans="1:6" ht="15.75" customHeight="1">
      <c r="A30011" s="16" t="s">
        <v>11136</v>
      </c>
      <c r="B30011" s="15" t="s">
        <v>11136</v>
      </c>
      <c r="C30011" s="16" t="s">
        <v>10178</v>
      </c>
      <c r="D30011" s="16" t="s">
        <v>10214</v>
      </c>
      <c r="E30011" s="2">
        <v>1272874</v>
      </c>
      <c r="F30011" s="4" t="str">
        <f>IF(B30011=B30010,"",B30011)</f>
        <v>Dharangaon</v>
      </c>
    </row>
    <row r="30012" spans="1:6" ht="15.75" customHeight="1">
      <c r="A30012" s="16" t="str">
        <f ca="1">IFERROR(__xludf.DUMMYFUNCTION("GOOGLETRANSLATE(B38198,""en"",""pt"")"),"Dharān bāzār")</f>
        <v>Dharān bāzār</v>
      </c>
      <c r="B30012" s="20" t="s">
        <v>34832</v>
      </c>
      <c r="C30012" s="20" t="s">
        <v>18800</v>
      </c>
      <c r="D30012" s="20" t="s">
        <v>18807</v>
      </c>
      <c r="E30012" s="10">
        <v>1283460</v>
      </c>
      <c r="F30012" s="4" t="e">
        <f>IF(B30012=#REF!,"",B30012)</f>
        <v>#REF!</v>
      </c>
    </row>
    <row r="30013" spans="1:6" ht="15.75" customHeight="1">
      <c r="A30013" s="16" t="s">
        <v>11135</v>
      </c>
      <c r="B30013" s="15" t="s">
        <v>11135</v>
      </c>
      <c r="C30013" s="16" t="s">
        <v>10178</v>
      </c>
      <c r="D30013" s="16" t="s">
        <v>10209</v>
      </c>
      <c r="E30013" s="2">
        <v>1272881</v>
      </c>
      <c r="F30013" s="4" t="str">
        <f>IF(B30013=B30012,"",B30013)</f>
        <v>Dharampur</v>
      </c>
    </row>
    <row r="30014" spans="1:6" ht="15.75" customHeight="1">
      <c r="A30014" s="16" t="s">
        <v>18825</v>
      </c>
      <c r="B30014" s="15" t="s">
        <v>18826</v>
      </c>
      <c r="C30014" s="16" t="s">
        <v>18800</v>
      </c>
      <c r="D30014" s="16" t="s">
        <v>18807</v>
      </c>
      <c r="E30014" s="2">
        <v>1283460</v>
      </c>
      <c r="F30014" s="4" t="str">
        <f>IF(B30014=B30013,"",B30014)</f>
        <v>DharÄn BÄzÄr</v>
      </c>
    </row>
    <row r="30015" spans="1:6" ht="15.75" customHeight="1">
      <c r="A30015" s="16" t="str">
        <f ca="1">IFERROR(__xludf.DUMMYFUNCTION("GOOGLETRANSLATE(B33605,""en"",""pt"")"),"Dhār")</f>
        <v>Dhār</v>
      </c>
      <c r="B30015" s="20" t="s">
        <v>33780</v>
      </c>
      <c r="C30015" s="20" t="s">
        <v>10178</v>
      </c>
      <c r="D30015" s="20" t="s">
        <v>10219</v>
      </c>
      <c r="E30015" s="10">
        <v>1272892</v>
      </c>
      <c r="F30015" s="4" t="e">
        <f>IF(B30015=#REF!,"",B30015)</f>
        <v>#REF!</v>
      </c>
    </row>
    <row r="30016" spans="1:6" ht="15.75" customHeight="1">
      <c r="A30016" s="15" t="s">
        <v>19893</v>
      </c>
      <c r="B30016" s="15" t="s">
        <v>19893</v>
      </c>
      <c r="C30016" s="15" t="s">
        <v>19808</v>
      </c>
      <c r="D30016" s="15" t="s">
        <v>10184</v>
      </c>
      <c r="E30016" s="2">
        <v>1180133</v>
      </c>
      <c r="F30016" s="4" t="str">
        <f>IF(B30016=B30015,"",B30016)</f>
        <v>Dhanot</v>
      </c>
    </row>
    <row r="30017" spans="1:6" ht="15.75" customHeight="1">
      <c r="A30017" s="15" t="s">
        <v>18823</v>
      </c>
      <c r="B30017" s="15" t="s">
        <v>18824</v>
      </c>
      <c r="C30017" s="15" t="s">
        <v>18800</v>
      </c>
      <c r="D30017" s="15" t="s">
        <v>18807</v>
      </c>
      <c r="E30017" s="2">
        <v>1283465</v>
      </c>
      <c r="F30017" s="4" t="str">
        <f>IF(B30017=B30016,"",B30017)</f>
        <v>DhankutÄ</v>
      </c>
    </row>
    <row r="30018" spans="1:6" ht="15.75" customHeight="1">
      <c r="A30018" s="16" t="str">
        <f ca="1">IFERROR(__xludf.DUMMYFUNCTION("GOOGLETRANSLATE(B38199,""en"",""pt"")"),"Dhankutā")</f>
        <v>Dhankutā</v>
      </c>
      <c r="B30018" s="20" t="s">
        <v>34833</v>
      </c>
      <c r="C30018" s="20" t="s">
        <v>18800</v>
      </c>
      <c r="D30018" s="20" t="s">
        <v>18807</v>
      </c>
      <c r="E30018" s="10">
        <v>1283465</v>
      </c>
      <c r="F30018" s="4" t="e">
        <f>IF(B30018=#REF!,"",B30018)</f>
        <v>#REF!</v>
      </c>
    </row>
    <row r="30019" spans="1:6" ht="15.75" customHeight="1">
      <c r="A30019" s="16" t="s">
        <v>18822</v>
      </c>
      <c r="B30019" s="15" t="s">
        <v>18822</v>
      </c>
      <c r="C30019" s="16" t="s">
        <v>18800</v>
      </c>
      <c r="D30019" s="16" t="s">
        <v>18820</v>
      </c>
      <c r="E30019" s="2">
        <v>1283467</v>
      </c>
      <c r="F30019" s="4" t="e">
        <f>IF(B30019=#REF!,"",B30019)</f>
        <v>#REF!</v>
      </c>
    </row>
    <row r="30020" spans="1:6" ht="15.75" customHeight="1">
      <c r="A30020" s="16" t="s">
        <v>11133</v>
      </c>
      <c r="B30020" s="15" t="s">
        <v>11134</v>
      </c>
      <c r="C30020" s="16" t="s">
        <v>10178</v>
      </c>
      <c r="D30020" s="16" t="s">
        <v>10209</v>
      </c>
      <c r="E30020" s="2">
        <v>1272962</v>
      </c>
      <c r="F30020" s="4" t="e">
        <f>IF(B30020=#REF!,"",B30020)</f>
        <v>#REF!</v>
      </c>
    </row>
    <row r="30021" spans="1:6" ht="15.75" customHeight="1">
      <c r="A30021" s="16" t="s">
        <v>11132</v>
      </c>
      <c r="B30021" s="15" t="s">
        <v>11132</v>
      </c>
      <c r="C30021" s="16" t="s">
        <v>10178</v>
      </c>
      <c r="D30021" s="16" t="s">
        <v>10209</v>
      </c>
      <c r="E30021" s="2">
        <v>1272970</v>
      </c>
      <c r="F30021" s="4" t="str">
        <f>IF(B30021=B30020,"",B30021)</f>
        <v>Dhandhuka</v>
      </c>
    </row>
    <row r="30022" spans="1:6" ht="15.75" customHeight="1">
      <c r="A30022" s="16" t="str">
        <f ca="1">IFERROR(__xludf.DUMMYFUNCTION("GOOGLETRANSLATE(B33608,""en"",""pt"")"),"Dhanbād")</f>
        <v>Dhanbād</v>
      </c>
      <c r="B30022" s="20" t="s">
        <v>33781</v>
      </c>
      <c r="C30022" s="20" t="s">
        <v>10178</v>
      </c>
      <c r="D30022" s="20" t="s">
        <v>10430</v>
      </c>
      <c r="E30022" s="10">
        <v>1272979</v>
      </c>
      <c r="F30022" s="4" t="str">
        <f>IF(B30022=B30021,"",B30022)</f>
        <v>Dhanbād</v>
      </c>
    </row>
    <row r="30023" spans="1:6" ht="15.75" customHeight="1">
      <c r="A30023" s="15" t="s">
        <v>11130</v>
      </c>
      <c r="B30023" s="15" t="s">
        <v>11131</v>
      </c>
      <c r="C30023" s="15" t="s">
        <v>10178</v>
      </c>
      <c r="D30023" s="15" t="s">
        <v>10430</v>
      </c>
      <c r="E30023" s="2">
        <v>1272979</v>
      </c>
      <c r="F30023" s="4" t="e">
        <f>IF(B30023=#REF!,"",B30023)</f>
        <v>#REF!</v>
      </c>
    </row>
    <row r="30024" spans="1:6" ht="15.75" customHeight="1">
      <c r="A30024" s="15" t="s">
        <v>11129</v>
      </c>
      <c r="B30024" s="15" t="s">
        <v>11129</v>
      </c>
      <c r="C30024" s="15" t="s">
        <v>10178</v>
      </c>
      <c r="D30024" s="15" t="s">
        <v>10193</v>
      </c>
      <c r="E30024" s="2">
        <v>1272983</v>
      </c>
      <c r="F30024" s="4" t="e">
        <f>IF(B30024=#REF!,"",B30024)</f>
        <v>#REF!</v>
      </c>
    </row>
    <row r="30025" spans="1:6" ht="15.75" customHeight="1">
      <c r="A30025" s="15" t="s">
        <v>11128</v>
      </c>
      <c r="B30025" s="15" t="s">
        <v>11128</v>
      </c>
      <c r="C30025" s="15" t="s">
        <v>10178</v>
      </c>
      <c r="D30025" s="15" t="s">
        <v>10184</v>
      </c>
      <c r="E30025" s="2">
        <v>1272985</v>
      </c>
      <c r="F30025" s="4" t="e">
        <f>IF(B30025=#REF!,"",B30025)</f>
        <v>#REF!</v>
      </c>
    </row>
    <row r="30026" spans="1:6" ht="15.75" customHeight="1">
      <c r="A30026" s="15" t="s">
        <v>11127</v>
      </c>
      <c r="B30026" s="15" t="s">
        <v>11127</v>
      </c>
      <c r="C30026" s="15" t="s">
        <v>10178</v>
      </c>
      <c r="D30026" s="15" t="s">
        <v>10272</v>
      </c>
      <c r="E30026" s="2">
        <v>1272997</v>
      </c>
      <c r="F30026" s="4" t="str">
        <f>IF(B30026=B30025,"",B30026)</f>
        <v>Dhamtari</v>
      </c>
    </row>
    <row r="30027" spans="1:6" ht="15.75" customHeight="1">
      <c r="A30027" s="16" t="str">
        <f ca="1">IFERROR(__xludf.DUMMYFUNCTION("GOOGLETRANSLATE(B33612,""en"",""pt"")"),"Dhāmpur")</f>
        <v>Dhāmpur</v>
      </c>
      <c r="B30027" s="20" t="s">
        <v>33782</v>
      </c>
      <c r="C30027" s="20" t="s">
        <v>10178</v>
      </c>
      <c r="D30027" s="20" t="s">
        <v>10193</v>
      </c>
      <c r="E30027" s="10">
        <v>1273002</v>
      </c>
      <c r="F30027" s="4" t="str">
        <f>IF(B30027=B30026,"",B30027)</f>
        <v>Dhāmpur</v>
      </c>
    </row>
    <row r="30028" spans="1:6" ht="15.75" customHeight="1">
      <c r="A30028" s="16" t="str">
        <f ca="1">IFERROR(__xludf.DUMMYFUNCTION("GOOGLETRANSLATE(B33613,""en"",""pt"")"),"Dhāmnod")</f>
        <v>Dhāmnod</v>
      </c>
      <c r="B30028" s="20" t="s">
        <v>33783</v>
      </c>
      <c r="C30028" s="20" t="s">
        <v>10178</v>
      </c>
      <c r="D30028" s="20" t="s">
        <v>10219</v>
      </c>
      <c r="E30028" s="10">
        <v>1273006</v>
      </c>
      <c r="F30028" s="4" t="str">
        <f>IF(B30028=B30027,"",B30028)</f>
        <v>Dhāmnod</v>
      </c>
    </row>
    <row r="30029" spans="1:6" ht="15.75" customHeight="1">
      <c r="A30029" s="16" t="str">
        <f ca="1">IFERROR(__xludf.DUMMYFUNCTION("GOOGLETRANSLATE(B45829,""en"",""pt"")"),"Dhamār")</f>
        <v>Dhamār</v>
      </c>
      <c r="B30029" s="20" t="s">
        <v>36223</v>
      </c>
      <c r="C30029" s="20" t="s">
        <v>30993</v>
      </c>
      <c r="D30029" s="20" t="s">
        <v>36223</v>
      </c>
      <c r="E30029" s="10">
        <v>76184</v>
      </c>
      <c r="F30029" s="4" t="str">
        <f>IF(B30029=B30028,"",B30029)</f>
        <v>Dhamār</v>
      </c>
    </row>
    <row r="30030" spans="1:6" ht="15.75" customHeight="1">
      <c r="A30030" s="15" t="s">
        <v>31015</v>
      </c>
      <c r="B30030" s="15" t="s">
        <v>31016</v>
      </c>
      <c r="C30030" s="15" t="s">
        <v>30993</v>
      </c>
      <c r="D30030" s="15" t="s">
        <v>31016</v>
      </c>
      <c r="E30030" s="2">
        <v>76184</v>
      </c>
      <c r="F30030" s="4" t="str">
        <f>IF(B30030=B30029,"",B30030)</f>
        <v>DhamÄr</v>
      </c>
    </row>
    <row r="30031" spans="1:6" ht="15.75" customHeight="1">
      <c r="A30031" s="16" t="str">
        <f ca="1">IFERROR(__xludf.DUMMYFUNCTION("GOOGLETRANSLATE(B33614,""en"",""pt"")"),"Dhāka")</f>
        <v>Dhāka</v>
      </c>
      <c r="B30031" s="20" t="s">
        <v>33784</v>
      </c>
      <c r="C30031" s="20" t="s">
        <v>10178</v>
      </c>
      <c r="D30031" s="20" t="s">
        <v>10317</v>
      </c>
      <c r="E30031" s="10">
        <v>1273043</v>
      </c>
      <c r="F30031" s="4" t="e">
        <f>IF(B30031=#REF!,"",B30031)</f>
        <v>#REF!</v>
      </c>
    </row>
    <row r="30032" spans="1:6" ht="15.75" customHeight="1">
      <c r="A30032" s="15" t="s">
        <v>1297</v>
      </c>
      <c r="B30032" s="15" t="s">
        <v>1297</v>
      </c>
      <c r="C30032" s="15" t="s">
        <v>1296</v>
      </c>
      <c r="D30032" s="15" t="s">
        <v>1297</v>
      </c>
      <c r="E30032" s="2">
        <v>1185241</v>
      </c>
      <c r="F30032" s="4" t="e">
        <f>IF(B30032=#REF!,"",B30032)</f>
        <v>#REF!</v>
      </c>
    </row>
    <row r="30033" spans="1:6" ht="15.75" customHeight="1">
      <c r="A30033" s="15" t="s">
        <v>23524</v>
      </c>
      <c r="B30033" s="15" t="s">
        <v>23524</v>
      </c>
      <c r="C30033" s="15" t="s">
        <v>23454</v>
      </c>
      <c r="D30033" s="15" t="s">
        <v>6128</v>
      </c>
      <c r="E30033" s="2">
        <v>107797</v>
      </c>
      <c r="F30033" s="4" t="str">
        <f>IF(B30033=B30032,"",B30033)</f>
        <v>Dhahran</v>
      </c>
    </row>
    <row r="30034" spans="1:6" ht="15.75" customHeight="1">
      <c r="A30034" s="16" t="str">
        <f ca="1">IFERROR(__xludf.DUMMYFUNCTION("GOOGLETRANSLATE(B31011,""en"",""pt"")"),"Dhafní")</f>
        <v>Dhafní</v>
      </c>
      <c r="B30034" s="20" t="s">
        <v>32719</v>
      </c>
      <c r="C30034" s="20" t="s">
        <v>9441</v>
      </c>
      <c r="D30034" s="20" t="s">
        <v>9445</v>
      </c>
      <c r="E30034" s="10">
        <v>263312</v>
      </c>
      <c r="F30034" s="4" t="str">
        <f>IF(B30034=B30033,"",B30034)</f>
        <v>Dhafní</v>
      </c>
    </row>
    <row r="30035" spans="1:6" ht="15.75" customHeight="1">
      <c r="A30035" s="15" t="s">
        <v>9501</v>
      </c>
      <c r="B30035" s="15" t="s">
        <v>9502</v>
      </c>
      <c r="C30035" s="15" t="s">
        <v>9441</v>
      </c>
      <c r="D30035" s="15" t="s">
        <v>9445</v>
      </c>
      <c r="E30035" s="2">
        <v>263312</v>
      </c>
      <c r="F30035" s="4" t="str">
        <f>IF(B30035=B30034,"",B30035)</f>
        <v>DhafnÃ­</v>
      </c>
    </row>
    <row r="30036" spans="1:6" ht="15.75" customHeight="1">
      <c r="A30036" s="16" t="s">
        <v>11125</v>
      </c>
      <c r="B30036" s="15" t="s">
        <v>11126</v>
      </c>
      <c r="C30036" s="16" t="s">
        <v>10178</v>
      </c>
      <c r="D30036" s="16" t="s">
        <v>10224</v>
      </c>
      <c r="E30036" s="2">
        <v>1272822</v>
      </c>
      <c r="F30036" s="4" t="str">
        <f>IF(B30036=B30035,"",B30036)</f>
        <v>DhÄruhera</v>
      </c>
    </row>
    <row r="30037" spans="1:6" ht="15.75" customHeight="1">
      <c r="A30037" s="16" t="s">
        <v>11123</v>
      </c>
      <c r="B30037" s="15" t="s">
        <v>11124</v>
      </c>
      <c r="C30037" s="16" t="s">
        <v>10178</v>
      </c>
      <c r="D30037" s="16" t="s">
        <v>10184</v>
      </c>
      <c r="E30037" s="2">
        <v>1272860</v>
      </c>
      <c r="F30037" s="4" t="str">
        <f>IF(B30037=B30036,"",B30037)</f>
        <v>DhÄriwÄl</v>
      </c>
    </row>
    <row r="30038" spans="1:6" ht="15.75" customHeight="1">
      <c r="A30038" s="15" t="s">
        <v>11121</v>
      </c>
      <c r="B30038" s="15" t="s">
        <v>11122</v>
      </c>
      <c r="C30038" s="15" t="s">
        <v>10178</v>
      </c>
      <c r="D30038" s="15" t="s">
        <v>10209</v>
      </c>
      <c r="E30038" s="2">
        <v>1272861</v>
      </c>
      <c r="F30038" s="4" t="str">
        <f>IF(B30038=B30037,"",B30038)</f>
        <v>DhÄri</v>
      </c>
    </row>
    <row r="30039" spans="1:6" ht="15.75" customHeight="1">
      <c r="A30039" s="15" t="s">
        <v>11119</v>
      </c>
      <c r="B30039" s="15" t="s">
        <v>11120</v>
      </c>
      <c r="C30039" s="15" t="s">
        <v>10178</v>
      </c>
      <c r="D30039" s="15" t="s">
        <v>10214</v>
      </c>
      <c r="E30039" s="2">
        <v>1272819</v>
      </c>
      <c r="F30039" s="4" t="str">
        <f>IF(B30039=B30038,"",B30039)</f>
        <v>DhÄrÅ«r</v>
      </c>
    </row>
    <row r="30040" spans="1:6" ht="15.75" customHeight="1">
      <c r="A30040" s="15" t="s">
        <v>11117</v>
      </c>
      <c r="B30040" s="15" t="s">
        <v>11118</v>
      </c>
      <c r="C30040" s="15" t="s">
        <v>10178</v>
      </c>
      <c r="D30040" s="15" t="s">
        <v>10219</v>
      </c>
      <c r="E30040" s="2">
        <v>1272892</v>
      </c>
      <c r="F30040" s="4" t="str">
        <f>IF(B30040=B30039,"",B30040)</f>
        <v>DhÄr</v>
      </c>
    </row>
    <row r="30041" spans="1:6" ht="15.75" customHeight="1">
      <c r="A30041" s="16" t="s">
        <v>11115</v>
      </c>
      <c r="B30041" s="15" t="s">
        <v>11116</v>
      </c>
      <c r="C30041" s="16" t="s">
        <v>10178</v>
      </c>
      <c r="D30041" s="16" t="s">
        <v>10193</v>
      </c>
      <c r="E30041" s="2">
        <v>1273002</v>
      </c>
      <c r="F30041" s="4" t="str">
        <f>IF(B30041=B30040,"",B30041)</f>
        <v>DhÄmpur</v>
      </c>
    </row>
    <row r="30042" spans="1:6" ht="15.75" customHeight="1">
      <c r="A30042" s="16" t="s">
        <v>11113</v>
      </c>
      <c r="B30042" s="15" t="s">
        <v>11114</v>
      </c>
      <c r="C30042" s="16" t="s">
        <v>10178</v>
      </c>
      <c r="D30042" s="16" t="s">
        <v>10219</v>
      </c>
      <c r="E30042" s="2">
        <v>1273006</v>
      </c>
      <c r="F30042" s="4" t="str">
        <f>IF(B30042=B30041,"",B30042)</f>
        <v>DhÄmnod</v>
      </c>
    </row>
    <row r="30043" spans="1:6" ht="15.75" customHeight="1">
      <c r="A30043" s="15" t="s">
        <v>11111</v>
      </c>
      <c r="B30043" s="15" t="s">
        <v>11112</v>
      </c>
      <c r="C30043" s="15" t="s">
        <v>10178</v>
      </c>
      <c r="D30043" s="15" t="s">
        <v>10317</v>
      </c>
      <c r="E30043" s="2">
        <v>1273043</v>
      </c>
      <c r="F30043" s="4" t="str">
        <f>IF(B30043=B30042,"",B30043)</f>
        <v>DhÄka</v>
      </c>
    </row>
    <row r="30044" spans="1:6" ht="15.75" customHeight="1">
      <c r="A30044" s="15" t="s">
        <v>11109</v>
      </c>
      <c r="B30044" s="15" t="s">
        <v>11110</v>
      </c>
      <c r="C30044" s="15" t="s">
        <v>10178</v>
      </c>
      <c r="D30044" s="15" t="s">
        <v>10184</v>
      </c>
      <c r="E30044" s="2">
        <v>1272670</v>
      </c>
      <c r="F30044" s="4" t="str">
        <f>IF(B30044=B30043,"",B30044)</f>
        <v>DhÅ«ri</v>
      </c>
    </row>
    <row r="30045" spans="1:6" ht="15.75" customHeight="1">
      <c r="A30045" s="15" t="s">
        <v>11107</v>
      </c>
      <c r="B30045" s="15" t="s">
        <v>11108</v>
      </c>
      <c r="C30045" s="15" t="s">
        <v>10178</v>
      </c>
      <c r="D30045" s="15" t="s">
        <v>10214</v>
      </c>
      <c r="E30045" s="2">
        <v>1272691</v>
      </c>
      <c r="F30045" s="4" t="str">
        <f>IF(B30045=B30044,"",B30045)</f>
        <v>DhÅ«lia</v>
      </c>
    </row>
    <row r="30046" spans="1:6" ht="15.75" customHeight="1">
      <c r="A30046" s="16" t="s">
        <v>31012</v>
      </c>
      <c r="B30046" s="15" t="s">
        <v>31013</v>
      </c>
      <c r="C30046" s="16" t="s">
        <v>30993</v>
      </c>
      <c r="D30046" s="16" t="s">
        <v>31014</v>
      </c>
      <c r="E30046" s="2">
        <v>76154</v>
      </c>
      <c r="F30046" s="4" t="e">
        <f>IF(B30046=#REF!,"",B30046)</f>
        <v>#REF!</v>
      </c>
    </row>
    <row r="30047" spans="1:6" ht="15.75" customHeight="1">
      <c r="A30047" s="15" t="s">
        <v>4633</v>
      </c>
      <c r="B30047" s="15" t="s">
        <v>4633</v>
      </c>
      <c r="C30047" s="15" t="s">
        <v>4487</v>
      </c>
      <c r="D30047" s="15" t="s">
        <v>4503</v>
      </c>
      <c r="E30047" s="2">
        <v>1812955</v>
      </c>
      <c r="F30047" s="4" t="e">
        <f>IF(B30047=#REF!,"",B30047)</f>
        <v>#REF!</v>
      </c>
    </row>
    <row r="30048" spans="1:6" ht="15.75" customHeight="1">
      <c r="A30048" s="15" t="s">
        <v>4632</v>
      </c>
      <c r="B30048" s="15" t="s">
        <v>4632</v>
      </c>
      <c r="C30048" s="15" t="s">
        <v>4487</v>
      </c>
      <c r="D30048" s="15" t="s">
        <v>4588</v>
      </c>
      <c r="E30048" s="2">
        <v>1812961</v>
      </c>
      <c r="F30048" s="4" t="e">
        <f>IF(B30048=#REF!,"",B30048)</f>
        <v>#REF!</v>
      </c>
    </row>
    <row r="30049" spans="1:6" ht="15.75" customHeight="1">
      <c r="A30049" s="15" t="s">
        <v>11106</v>
      </c>
      <c r="B30049" s="15" t="s">
        <v>11106</v>
      </c>
      <c r="C30049" s="15" t="s">
        <v>10178</v>
      </c>
      <c r="D30049" s="15" t="s">
        <v>10219</v>
      </c>
      <c r="E30049" s="2">
        <v>1273066</v>
      </c>
      <c r="F30049" s="4" t="e">
        <f>IF(B30049=#REF!,"",B30049)</f>
        <v>#REF!</v>
      </c>
    </row>
    <row r="30050" spans="1:6" ht="15.75" customHeight="1">
      <c r="A30050" s="15" t="s">
        <v>26446</v>
      </c>
      <c r="B30050" s="15" t="s">
        <v>26446</v>
      </c>
      <c r="C30050" s="15" t="s">
        <v>26201</v>
      </c>
      <c r="D30050" s="15" t="s">
        <v>26240</v>
      </c>
      <c r="E30050" s="2">
        <v>748167</v>
      </c>
      <c r="F30050" s="4" t="e">
        <f>IF(B30050=#REF!,"",B30050)</f>
        <v>#REF!</v>
      </c>
    </row>
    <row r="30051" spans="1:6" ht="15.75" customHeight="1">
      <c r="A30051" s="16" t="s">
        <v>959</v>
      </c>
      <c r="B30051" s="15" t="s">
        <v>959</v>
      </c>
      <c r="C30051" s="16" t="s">
        <v>885</v>
      </c>
      <c r="D30051" s="16" t="s">
        <v>924</v>
      </c>
      <c r="E30051" s="2">
        <v>2168943</v>
      </c>
      <c r="F30051" s="4" t="e">
        <f>IF(B30051=#REF!,"",B30051)</f>
        <v>#REF!</v>
      </c>
    </row>
    <row r="30052" spans="1:6" ht="15.75" customHeight="1">
      <c r="A30052" s="15" t="s">
        <v>11105</v>
      </c>
      <c r="B30052" s="15" t="s">
        <v>11105</v>
      </c>
      <c r="C30052" s="15" t="s">
        <v>10178</v>
      </c>
      <c r="D30052" s="15" t="s">
        <v>10179</v>
      </c>
      <c r="E30052" s="2">
        <v>1273098</v>
      </c>
      <c r="F30052" s="4" t="str">
        <f>IF(B30052=B30051,"",B30052)</f>
        <v>Devgarh</v>
      </c>
    </row>
    <row r="30053" spans="1:6" ht="15.75" customHeight="1">
      <c r="A30053" s="16" t="str">
        <f ca="1">IFERROR(__xludf.DUMMYFUNCTION("GOOGLETRANSLATE(B33618,""en"",""pt"")"),"Devgadh Bāriya")</f>
        <v>Devgadh Bāriya</v>
      </c>
      <c r="B30053" s="20" t="s">
        <v>33785</v>
      </c>
      <c r="C30053" s="20" t="s">
        <v>10178</v>
      </c>
      <c r="D30053" s="20" t="s">
        <v>10209</v>
      </c>
      <c r="E30053" s="10">
        <v>1273104</v>
      </c>
      <c r="F30053" s="4" t="str">
        <f>IF(B30053=B30052,"",B30053)</f>
        <v>Devgadh Bāriya</v>
      </c>
    </row>
    <row r="30054" spans="1:6" ht="15.75" customHeight="1">
      <c r="A30054" s="16" t="s">
        <v>11103</v>
      </c>
      <c r="B30054" s="15" t="s">
        <v>11104</v>
      </c>
      <c r="C30054" s="16" t="s">
        <v>10178</v>
      </c>
      <c r="D30054" s="16" t="s">
        <v>10209</v>
      </c>
      <c r="E30054" s="2">
        <v>1273104</v>
      </c>
      <c r="F30054" s="4" t="e">
        <f>IF(B30054=#REF!,"",B30054)</f>
        <v>#REF!</v>
      </c>
    </row>
    <row r="30055" spans="1:6" ht="15.75" customHeight="1">
      <c r="A30055" s="15" t="s">
        <v>18937</v>
      </c>
      <c r="B30055" s="15" t="s">
        <v>18937</v>
      </c>
      <c r="C30055" s="15" t="s">
        <v>18862</v>
      </c>
      <c r="D30055" s="15" t="s">
        <v>18871</v>
      </c>
      <c r="E30055" s="2">
        <v>2756987</v>
      </c>
      <c r="F30055" s="4" t="e">
        <f>IF(B30055=#REF!,"",B30055)</f>
        <v>#REF!</v>
      </c>
    </row>
    <row r="30056" spans="1:6" ht="15.75" customHeight="1">
      <c r="A30056" s="15" t="s">
        <v>26444</v>
      </c>
      <c r="B30056" s="15" t="s">
        <v>26444</v>
      </c>
      <c r="C30056" s="15" t="s">
        <v>26201</v>
      </c>
      <c r="D30056" s="15" t="s">
        <v>26445</v>
      </c>
      <c r="E30056" s="2">
        <v>316795</v>
      </c>
      <c r="F30056" s="4" t="e">
        <f>IF(B30056=#REF!,"",B30056)</f>
        <v>#REF!</v>
      </c>
    </row>
    <row r="30057" spans="1:6" ht="15.75" customHeight="1">
      <c r="A30057" s="16" t="s">
        <v>11102</v>
      </c>
      <c r="B30057" s="15" t="s">
        <v>11102</v>
      </c>
      <c r="C30057" s="16" t="s">
        <v>10178</v>
      </c>
      <c r="D30057" s="16" t="s">
        <v>10187</v>
      </c>
      <c r="E30057" s="2">
        <v>1273109</v>
      </c>
      <c r="F30057" s="4" t="e">
        <f>IF(B30057=#REF!,"",B30057)</f>
        <v>#REF!</v>
      </c>
    </row>
    <row r="30058" spans="1:6" ht="15.75" customHeight="1">
      <c r="A30058" s="16" t="s">
        <v>11101</v>
      </c>
      <c r="B30058" s="15" t="s">
        <v>11101</v>
      </c>
      <c r="C30058" s="16" t="s">
        <v>10178</v>
      </c>
      <c r="D30058" s="16" t="s">
        <v>10252</v>
      </c>
      <c r="E30058" s="2">
        <v>1273123</v>
      </c>
      <c r="F30058" s="4" t="e">
        <f>IF(B30058=#REF!,"",B30058)</f>
        <v>#REF!</v>
      </c>
    </row>
    <row r="30059" spans="1:6" ht="15.75" customHeight="1">
      <c r="A30059" s="16" t="s">
        <v>11100</v>
      </c>
      <c r="B30059" s="15" t="s">
        <v>11100</v>
      </c>
      <c r="C30059" s="16" t="s">
        <v>10178</v>
      </c>
      <c r="D30059" s="16" t="s">
        <v>10196</v>
      </c>
      <c r="E30059" s="2">
        <v>1273128</v>
      </c>
      <c r="F30059" s="4" t="e">
        <f>IF(B30059=#REF!,"",B30059)</f>
        <v>#REF!</v>
      </c>
    </row>
    <row r="30060" spans="1:6" ht="15.75" customHeight="1">
      <c r="A30060" s="15" t="s">
        <v>21912</v>
      </c>
      <c r="B30060" s="15" t="s">
        <v>21912</v>
      </c>
      <c r="C30060" s="15" t="s">
        <v>21824</v>
      </c>
      <c r="D30060" s="15" t="s">
        <v>21865</v>
      </c>
      <c r="E30060" s="2">
        <v>679452</v>
      </c>
      <c r="F30060" s="4" t="e">
        <f>IF(B30060=#REF!,"",B30060)</f>
        <v>#REF!</v>
      </c>
    </row>
    <row r="30061" spans="1:6" ht="15.75" customHeight="1">
      <c r="A30061" s="16" t="s">
        <v>4040</v>
      </c>
      <c r="B30061" s="15" t="s">
        <v>4040</v>
      </c>
      <c r="C30061" s="16" t="s">
        <v>3975</v>
      </c>
      <c r="D30061" s="16" t="s">
        <v>3982</v>
      </c>
      <c r="E30061" s="2">
        <v>5938513</v>
      </c>
      <c r="F30061" s="4" t="e">
        <f>IF(B30061=#REF!,"",B30061)</f>
        <v>#REF!</v>
      </c>
    </row>
    <row r="30062" spans="1:6" ht="15.75" customHeight="1">
      <c r="A30062" s="15" t="s">
        <v>8298</v>
      </c>
      <c r="B30062" s="15" t="s">
        <v>8298</v>
      </c>
      <c r="C30062" s="15" t="s">
        <v>8028</v>
      </c>
      <c r="D30062" s="15" t="s">
        <v>8029</v>
      </c>
      <c r="E30062" s="2">
        <v>2937790</v>
      </c>
      <c r="F30062" s="4" t="str">
        <f>IF(B30062=B30061,"",B30062)</f>
        <v>Deutz</v>
      </c>
    </row>
    <row r="30063" spans="1:6" ht="15.75" customHeight="1">
      <c r="A30063" s="16" t="str">
        <f ca="1">IFERROR(__xludf.DUMMYFUNCTION("GOOGLETRANSLATE(B33622,""en"",""pt"")"),"Deūlgaon rāja")</f>
        <v>Deūlgaon rāja</v>
      </c>
      <c r="B30063" s="20" t="s">
        <v>33786</v>
      </c>
      <c r="C30063" s="20" t="s">
        <v>10178</v>
      </c>
      <c r="D30063" s="20" t="s">
        <v>10214</v>
      </c>
      <c r="E30063" s="10">
        <v>1273136</v>
      </c>
      <c r="F30063" s="4" t="e">
        <f>IF(B30063=#REF!,"",B30063)</f>
        <v>#REF!</v>
      </c>
    </row>
    <row r="30064" spans="1:6" ht="15.75" customHeight="1">
      <c r="A30064" s="16" t="s">
        <v>7317</v>
      </c>
      <c r="B30064" s="15" t="s">
        <v>7318</v>
      </c>
      <c r="C30064" s="16" t="s">
        <v>7052</v>
      </c>
      <c r="D30064" s="16" t="s">
        <v>7058</v>
      </c>
      <c r="E30064" s="2">
        <v>3021516</v>
      </c>
      <c r="F30064" s="4" t="e">
        <f>IF(B30064=#REF!,"",B30064)</f>
        <v>#REF!</v>
      </c>
    </row>
    <row r="30065" spans="1:6" ht="15.75" customHeight="1">
      <c r="A30065" s="15" t="s">
        <v>23710</v>
      </c>
      <c r="B30065" s="15" t="s">
        <v>23710</v>
      </c>
      <c r="C30065" s="15" t="s">
        <v>23694</v>
      </c>
      <c r="D30065" s="15" t="s">
        <v>23695</v>
      </c>
      <c r="E30065" s="2">
        <v>3060589</v>
      </c>
      <c r="F30065" s="4" t="e">
        <f>IF(B30065=#REF!,"",B30065)</f>
        <v>#REF!</v>
      </c>
    </row>
    <row r="30066" spans="1:6" ht="15.75" customHeight="1">
      <c r="A30066" s="15" t="s">
        <v>28426</v>
      </c>
      <c r="B30066" s="15" t="s">
        <v>28426</v>
      </c>
      <c r="C30066" s="15" t="s">
        <v>27788</v>
      </c>
      <c r="D30066" s="15" t="s">
        <v>27804</v>
      </c>
      <c r="E30066" s="2">
        <v>4990729</v>
      </c>
      <c r="F30066" s="4" t="e">
        <f>IF(B30066=#REF!,"",B30066)</f>
        <v>#REF!</v>
      </c>
    </row>
    <row r="30067" spans="1:6" ht="15.75" customHeight="1">
      <c r="A30067" s="15" t="s">
        <v>8297</v>
      </c>
      <c r="B30067" s="15" t="s">
        <v>8297</v>
      </c>
      <c r="C30067" s="15" t="s">
        <v>8028</v>
      </c>
      <c r="D30067" s="15" t="s">
        <v>8029</v>
      </c>
      <c r="E30067" s="2">
        <v>2937936</v>
      </c>
      <c r="F30067" s="4" t="e">
        <f>IF(B30067=#REF!,"",B30067)</f>
        <v>#REF!</v>
      </c>
    </row>
    <row r="30068" spans="1:6" ht="15.75" customHeight="1">
      <c r="A30068" s="16" t="s">
        <v>25876</v>
      </c>
      <c r="B30068" s="15" t="s">
        <v>25877</v>
      </c>
      <c r="C30068" s="16" t="s">
        <v>25771</v>
      </c>
      <c r="D30068" s="16" t="s">
        <v>25878</v>
      </c>
      <c r="E30068" s="2">
        <v>1610940</v>
      </c>
      <c r="F30068" s="4" t="e">
        <f>IF(B30068=#REF!,"",B30068)</f>
        <v>#REF!</v>
      </c>
    </row>
    <row r="30069" spans="1:6" ht="15.75" customHeight="1">
      <c r="A30069" s="16" t="s">
        <v>1558</v>
      </c>
      <c r="B30069" s="15" t="s">
        <v>1558</v>
      </c>
      <c r="C30069" s="16" t="s">
        <v>1512</v>
      </c>
      <c r="D30069" s="16" t="s">
        <v>1513</v>
      </c>
      <c r="E30069" s="2">
        <v>2799496</v>
      </c>
      <c r="F30069" s="4" t="e">
        <f>IF(B30069=#REF!,"",B30069)</f>
        <v>#REF!</v>
      </c>
    </row>
    <row r="30070" spans="1:6" ht="15.75" customHeight="1">
      <c r="A30070" s="15" t="s">
        <v>8296</v>
      </c>
      <c r="B30070" s="15" t="s">
        <v>8296</v>
      </c>
      <c r="C30070" s="15" t="s">
        <v>8028</v>
      </c>
      <c r="D30070" s="15" t="s">
        <v>8085</v>
      </c>
      <c r="E30070" s="2">
        <v>2937959</v>
      </c>
      <c r="F30070" s="4" t="e">
        <f>IF(B30070=#REF!,"",B30070)</f>
        <v>#REF!</v>
      </c>
    </row>
    <row r="30071" spans="1:6" ht="15.75" customHeight="1">
      <c r="A30071" s="15" t="s">
        <v>28424</v>
      </c>
      <c r="B30071" s="15" t="s">
        <v>28425</v>
      </c>
      <c r="C30071" s="15" t="s">
        <v>27788</v>
      </c>
      <c r="D30071" s="15" t="s">
        <v>27792</v>
      </c>
      <c r="E30071" s="2">
        <v>4685524</v>
      </c>
      <c r="F30071" s="4" t="e">
        <f>IF(B30071=#REF!,"",B30071)</f>
        <v>#REF!</v>
      </c>
    </row>
    <row r="30072" spans="1:6" ht="15.75" customHeight="1">
      <c r="A30072" s="16" t="s">
        <v>22335</v>
      </c>
      <c r="B30072" s="15" t="s">
        <v>22335</v>
      </c>
      <c r="C30072" s="16" t="s">
        <v>22070</v>
      </c>
      <c r="D30072" s="16" t="s">
        <v>22336</v>
      </c>
      <c r="E30072" s="2">
        <v>566384</v>
      </c>
      <c r="F30072" s="4" t="e">
        <f>IF(B30072=#REF!,"",B30072)</f>
        <v>#REF!</v>
      </c>
    </row>
    <row r="30073" spans="1:6" ht="15.75" customHeight="1">
      <c r="A30073" s="15" t="s">
        <v>15120</v>
      </c>
      <c r="B30073" s="15" t="s">
        <v>15120</v>
      </c>
      <c r="C30073" s="15" t="s">
        <v>14891</v>
      </c>
      <c r="D30073" s="15" t="s">
        <v>14894</v>
      </c>
      <c r="E30073" s="2">
        <v>3177608</v>
      </c>
      <c r="F30073" s="4" t="e">
        <f>IF(B30073=#REF!,"",B30073)</f>
        <v>#REF!</v>
      </c>
    </row>
    <row r="30074" spans="1:6" ht="15.75" customHeight="1">
      <c r="A30074" s="16" t="s">
        <v>11099</v>
      </c>
      <c r="B30074" s="15" t="s">
        <v>11099</v>
      </c>
      <c r="C30074" s="16" t="s">
        <v>10178</v>
      </c>
      <c r="D30074" s="16" t="s">
        <v>10179</v>
      </c>
      <c r="E30074" s="2">
        <v>1273153</v>
      </c>
      <c r="F30074" s="4" t="e">
        <f>IF(B30074=#REF!,"",B30074)</f>
        <v>#REF!</v>
      </c>
    </row>
    <row r="30075" spans="1:6" ht="15.75" customHeight="1">
      <c r="A30075" s="16" t="s">
        <v>28423</v>
      </c>
      <c r="B30075" s="15" t="s">
        <v>28423</v>
      </c>
      <c r="C30075" s="16" t="s">
        <v>27788</v>
      </c>
      <c r="D30075" s="16" t="s">
        <v>27801</v>
      </c>
      <c r="E30075" s="2">
        <v>5342710</v>
      </c>
      <c r="F30075" s="4" t="e">
        <f>IF(B30075=#REF!,"",B30075)</f>
        <v>#REF!</v>
      </c>
    </row>
    <row r="30076" spans="1:6" ht="15.75" customHeight="1">
      <c r="A30076" s="16" t="s">
        <v>15119</v>
      </c>
      <c r="B30076" s="15" t="s">
        <v>15119</v>
      </c>
      <c r="C30076" s="16" t="s">
        <v>14891</v>
      </c>
      <c r="D30076" s="16" t="s">
        <v>14894</v>
      </c>
      <c r="E30076" s="2">
        <v>3177610</v>
      </c>
      <c r="F30076" s="4" t="str">
        <f>IF(B30076=B30075,"",B30076)</f>
        <v>Desenzano del Garda</v>
      </c>
    </row>
    <row r="30077" spans="1:6" ht="15.75" customHeight="1">
      <c r="A30077" s="16" t="str">
        <f ca="1">IFERROR(__xludf.DUMMYFUNCTION("GOOGLETRANSLATE(B29565,""en"",""pt"")"),"Desē")</f>
        <v>Desē</v>
      </c>
      <c r="B30077" s="20" t="s">
        <v>32502</v>
      </c>
      <c r="C30077" s="20" t="s">
        <v>6807</v>
      </c>
      <c r="D30077" s="20" t="s">
        <v>6811</v>
      </c>
      <c r="E30077" s="10">
        <v>339219</v>
      </c>
      <c r="F30077" s="4" t="e">
        <f>IF(B30077=#REF!,"",B30077)</f>
        <v>#REF!</v>
      </c>
    </row>
    <row r="30078" spans="1:6" ht="15.75" customHeight="1">
      <c r="A30078" s="16" t="s">
        <v>2412</v>
      </c>
      <c r="B30078" s="15" t="s">
        <v>2412</v>
      </c>
      <c r="C30078" s="16" t="s">
        <v>1905</v>
      </c>
      <c r="D30078" s="16" t="s">
        <v>1914</v>
      </c>
      <c r="E30078" s="2">
        <v>3464809</v>
      </c>
      <c r="F30078" s="4" t="str">
        <f>IF(B30078=B30077,"",B30078)</f>
        <v>Descalvado</v>
      </c>
    </row>
    <row r="30079" spans="1:6" ht="15.75" customHeight="1">
      <c r="A30079" s="16" t="str">
        <f ca="1">IFERROR(__xludf.DUMMYFUNCTION("GOOGLETRANSLATE(B31232,""en"",""pt"")"),"Désermes")</f>
        <v>Désermes</v>
      </c>
      <c r="B30079" s="20" t="s">
        <v>32820</v>
      </c>
      <c r="C30079" s="20" t="s">
        <v>9866</v>
      </c>
      <c r="D30079" s="20" t="s">
        <v>9871</v>
      </c>
      <c r="E30079" s="10">
        <v>3726674</v>
      </c>
      <c r="F30079" s="4" t="str">
        <f>IF(B30079=B30078,"",B30079)</f>
        <v>Désarmes</v>
      </c>
    </row>
    <row r="30080" spans="1:6" ht="15.75" customHeight="1">
      <c r="A30080" s="15" t="s">
        <v>6863</v>
      </c>
      <c r="B30080" s="15" t="s">
        <v>6864</v>
      </c>
      <c r="C30080" s="15" t="s">
        <v>6807</v>
      </c>
      <c r="D30080" s="15" t="s">
        <v>6811</v>
      </c>
      <c r="E30080" s="2">
        <v>339219</v>
      </c>
      <c r="F30080" s="4" t="e">
        <f>IF(B30080=#REF!,"",B30080)</f>
        <v>#REF!</v>
      </c>
    </row>
    <row r="30081" spans="1:6" ht="15.75" customHeight="1">
      <c r="A30081" s="16" t="s">
        <v>28422</v>
      </c>
      <c r="B30081" s="15" t="s">
        <v>28422</v>
      </c>
      <c r="C30081" s="16" t="s">
        <v>27788</v>
      </c>
      <c r="D30081" s="16" t="s">
        <v>27799</v>
      </c>
      <c r="E30081" s="2">
        <v>4889772</v>
      </c>
      <c r="F30081" s="4" t="e">
        <f>IF(B30081=#REF!,"",B30081)</f>
        <v>#REF!</v>
      </c>
    </row>
    <row r="30082" spans="1:6" ht="15.75" customHeight="1">
      <c r="A30082" s="16" t="s">
        <v>28421</v>
      </c>
      <c r="B30082" s="15" t="s">
        <v>28421</v>
      </c>
      <c r="C30082" s="16" t="s">
        <v>27788</v>
      </c>
      <c r="D30082" s="16" t="s">
        <v>27859</v>
      </c>
      <c r="E30082" s="2">
        <v>4853828</v>
      </c>
      <c r="F30082" s="4" t="e">
        <f>IF(B30082=#REF!,"",B30082)</f>
        <v>#REF!</v>
      </c>
    </row>
    <row r="30083" spans="1:6" ht="15.75" customHeight="1">
      <c r="A30083" s="16" t="s">
        <v>28420</v>
      </c>
      <c r="B30083" s="15" t="s">
        <v>28420</v>
      </c>
      <c r="C30083" s="16" t="s">
        <v>27788</v>
      </c>
      <c r="D30083" s="16" t="s">
        <v>27985</v>
      </c>
      <c r="E30083" s="2">
        <v>5085382</v>
      </c>
      <c r="F30083" s="4" t="e">
        <f>IF(B30083=#REF!,"",B30083)</f>
        <v>#REF!</v>
      </c>
    </row>
    <row r="30084" spans="1:6" ht="15.75" customHeight="1">
      <c r="A30084" s="15" t="s">
        <v>27434</v>
      </c>
      <c r="B30084" s="15" t="s">
        <v>27434</v>
      </c>
      <c r="C30084" s="15" t="s">
        <v>27234</v>
      </c>
      <c r="D30084" s="15" t="s">
        <v>27259</v>
      </c>
      <c r="E30084" s="2">
        <v>2643736</v>
      </c>
      <c r="F30084" s="4" t="e">
        <f>IF(B30084=#REF!,"",B30084)</f>
        <v>#REF!</v>
      </c>
    </row>
    <row r="30085" spans="1:6" ht="15.75" customHeight="1">
      <c r="A30085" s="15" t="s">
        <v>26939</v>
      </c>
      <c r="B30085" s="15" t="s">
        <v>26939</v>
      </c>
      <c r="C30085" s="15" t="s">
        <v>26870</v>
      </c>
      <c r="D30085" s="15" t="s">
        <v>26893</v>
      </c>
      <c r="E30085" s="2">
        <v>710098</v>
      </c>
      <c r="F30085" s="4" t="e">
        <f>IF(B30085=#REF!,"",B30085)</f>
        <v>#REF!</v>
      </c>
    </row>
    <row r="30086" spans="1:6" ht="15.75" customHeight="1">
      <c r="A30086" s="15" t="s">
        <v>28418</v>
      </c>
      <c r="B30086" s="15" t="s">
        <v>28418</v>
      </c>
      <c r="C30086" s="15" t="s">
        <v>27788</v>
      </c>
      <c r="D30086" s="15" t="s">
        <v>28419</v>
      </c>
      <c r="E30086" s="2">
        <v>4270356</v>
      </c>
      <c r="F30086" s="4" t="e">
        <f>IF(B30086=#REF!,"",B30086)</f>
        <v>#REF!</v>
      </c>
    </row>
    <row r="30087" spans="1:6" ht="15.75" customHeight="1">
      <c r="A30087" s="15" t="s">
        <v>22333</v>
      </c>
      <c r="B30087" s="15" t="s">
        <v>22334</v>
      </c>
      <c r="C30087" s="15" t="s">
        <v>22070</v>
      </c>
      <c r="D30087" s="15" t="s">
        <v>22208</v>
      </c>
      <c r="E30087" s="2">
        <v>566532</v>
      </c>
      <c r="F30087" s="4" t="str">
        <f>IF(B30087=B30086,"",B30087)</f>
        <v>Derbent</v>
      </c>
    </row>
    <row r="30088" spans="1:6" ht="15.75" customHeight="1">
      <c r="A30088" s="16" t="str">
        <f ca="1">IFERROR(__xludf.DUMMYFUNCTION("GOOGLETRANSLATE(B39120,""en"",""pt"")"),"Dera Ismāīl Khān")</f>
        <v>Dera Ismāīl Khān</v>
      </c>
      <c r="B30088" s="20" t="s">
        <v>35031</v>
      </c>
      <c r="C30088" s="20" t="s">
        <v>19808</v>
      </c>
      <c r="D30088" s="20" t="s">
        <v>19811</v>
      </c>
      <c r="E30088" s="10">
        <v>1180281</v>
      </c>
      <c r="F30088" s="4" t="str">
        <f>IF(B30088=B30087,"",B30088)</f>
        <v>Dera Ismāīl Khān</v>
      </c>
    </row>
    <row r="30089" spans="1:6" ht="15.75" customHeight="1">
      <c r="A30089" s="16" t="s">
        <v>19891</v>
      </c>
      <c r="B30089" s="15" t="s">
        <v>19892</v>
      </c>
      <c r="C30089" s="16" t="s">
        <v>19808</v>
      </c>
      <c r="D30089" s="16" t="s">
        <v>19811</v>
      </c>
      <c r="E30089" s="2">
        <v>1180281</v>
      </c>
      <c r="F30089" s="4" t="e">
        <f>IF(B30089=#REF!,"",B30089)</f>
        <v>#REF!</v>
      </c>
    </row>
    <row r="30090" spans="1:6" ht="15.75" customHeight="1">
      <c r="A30090" s="16" t="s">
        <v>19890</v>
      </c>
      <c r="B30090" s="15" t="s">
        <v>19890</v>
      </c>
      <c r="C30090" s="16" t="s">
        <v>19808</v>
      </c>
      <c r="D30090" s="16" t="s">
        <v>10184</v>
      </c>
      <c r="E30090" s="2">
        <v>1180289</v>
      </c>
      <c r="F30090" s="4" t="e">
        <f>IF(B30090=#REF!,"",B30090)</f>
        <v>#REF!</v>
      </c>
    </row>
    <row r="30091" spans="1:6" ht="15.75" customHeight="1">
      <c r="A30091" s="16" t="s">
        <v>19889</v>
      </c>
      <c r="B30091" s="15" t="s">
        <v>19889</v>
      </c>
      <c r="C30091" s="16" t="s">
        <v>19808</v>
      </c>
      <c r="D30091" s="16" t="s">
        <v>19833</v>
      </c>
      <c r="E30091" s="2">
        <v>1180295</v>
      </c>
      <c r="F30091" s="4" t="e">
        <f>IF(B30091=#REF!,"",B30091)</f>
        <v>#REF!</v>
      </c>
    </row>
    <row r="30092" spans="1:6" ht="15.75" customHeight="1">
      <c r="A30092" s="15" t="s">
        <v>4630</v>
      </c>
      <c r="B30092" s="15" t="s">
        <v>4630</v>
      </c>
      <c r="C30092" s="15" t="s">
        <v>4487</v>
      </c>
      <c r="D30092" s="15" t="s">
        <v>4631</v>
      </c>
      <c r="E30092" s="2">
        <v>1812981</v>
      </c>
      <c r="F30092" s="4" t="str">
        <f>IF(B30092=B30091,"",B30092)</f>
        <v>Deqing</v>
      </c>
    </row>
    <row r="30093" spans="1:6" ht="15.75" customHeight="1">
      <c r="A30093" s="16" t="str">
        <f ca="1">IFERROR(__xludf.DUMMYFUNCTION("GOOGLETRANSLATE(B26054,""en"",""pt"")"),"Dêqên")</f>
        <v>Dêqên</v>
      </c>
      <c r="B30093" s="20" t="s">
        <v>31826</v>
      </c>
      <c r="C30093" s="20" t="s">
        <v>4487</v>
      </c>
      <c r="D30093" s="20" t="s">
        <v>4603</v>
      </c>
      <c r="E30093" s="10">
        <v>1281368</v>
      </c>
      <c r="F30093" s="4" t="e">
        <f>IF(B30093=#REF!,"",B30093)</f>
        <v>#REF!</v>
      </c>
    </row>
    <row r="30094" spans="1:6" ht="15.75" customHeight="1">
      <c r="A30094" s="15" t="s">
        <v>13910</v>
      </c>
      <c r="B30094" s="15" t="s">
        <v>13910</v>
      </c>
      <c r="C30094" s="15" t="s">
        <v>13800</v>
      </c>
      <c r="D30094" s="15" t="s">
        <v>13826</v>
      </c>
      <c r="E30094" s="2">
        <v>1645518</v>
      </c>
      <c r="F30094" s="4" t="e">
        <f>IF(B30094=#REF!,"",B30094)</f>
        <v>#REF!</v>
      </c>
    </row>
    <row r="30095" spans="1:6" ht="15.75" customHeight="1">
      <c r="A30095" s="15" t="s">
        <v>28417</v>
      </c>
      <c r="B30095" s="15" t="s">
        <v>28417</v>
      </c>
      <c r="C30095" s="15" t="s">
        <v>27788</v>
      </c>
      <c r="D30095" s="15" t="s">
        <v>27819</v>
      </c>
      <c r="E30095" s="2">
        <v>5114900</v>
      </c>
      <c r="F30095" s="4" t="str">
        <f>IF(B30095=B30094,"",B30095)</f>
        <v>Depew</v>
      </c>
    </row>
    <row r="30096" spans="1:6" ht="15.75" customHeight="1">
      <c r="A30096" s="16" t="str">
        <f ca="1">IFERROR(__xludf.DUMMYFUNCTION("GOOGLETRANSLATE(B33624,""en"",""pt"")"),"Depālpur")</f>
        <v>Depālpur</v>
      </c>
      <c r="B30096" s="20" t="s">
        <v>33787</v>
      </c>
      <c r="C30096" s="20" t="s">
        <v>10178</v>
      </c>
      <c r="D30096" s="20" t="s">
        <v>10219</v>
      </c>
      <c r="E30096" s="10">
        <v>1273181</v>
      </c>
      <c r="F30096" s="4" t="str">
        <f>IF(B30096=B30095,"",B30096)</f>
        <v>Depālpur</v>
      </c>
    </row>
    <row r="30097" spans="1:6" ht="15.75" customHeight="1">
      <c r="A30097" s="15" t="s">
        <v>11097</v>
      </c>
      <c r="B30097" s="15" t="s">
        <v>11098</v>
      </c>
      <c r="C30097" s="15" t="s">
        <v>10178</v>
      </c>
      <c r="D30097" s="15" t="s">
        <v>10219</v>
      </c>
      <c r="E30097" s="2">
        <v>1273181</v>
      </c>
      <c r="F30097" s="4" t="e">
        <f>IF(B30097=#REF!,"",B30097)</f>
        <v>#REF!</v>
      </c>
    </row>
    <row r="30098" spans="1:6" ht="15.75" customHeight="1">
      <c r="A30098" s="15" t="s">
        <v>11096</v>
      </c>
      <c r="B30098" s="15" t="s">
        <v>11096</v>
      </c>
      <c r="C30098" s="15" t="s">
        <v>10178</v>
      </c>
      <c r="D30098" s="15" t="s">
        <v>10193</v>
      </c>
      <c r="E30098" s="2">
        <v>1273193</v>
      </c>
      <c r="F30098" s="4" t="str">
        <f>IF(B30098=B30097,"",B30098)</f>
        <v>Deoria</v>
      </c>
    </row>
    <row r="30099" spans="1:6" ht="15.75" customHeight="1">
      <c r="A30099" s="16" t="str">
        <f ca="1">IFERROR(__xludf.DUMMYFUNCTION("GOOGLETRANSLATE(B33625,""en"",""pt"")"),"Deori Khās")</f>
        <v>Deori Khās</v>
      </c>
      <c r="B30099" s="20" t="s">
        <v>33788</v>
      </c>
      <c r="C30099" s="20" t="s">
        <v>10178</v>
      </c>
      <c r="D30099" s="20" t="s">
        <v>10219</v>
      </c>
      <c r="E30099" s="10">
        <v>1273191</v>
      </c>
      <c r="F30099" s="4" t="str">
        <f>IF(B30099=B30098,"",B30099)</f>
        <v>Deori Khās</v>
      </c>
    </row>
    <row r="30100" spans="1:6" ht="15.75" customHeight="1">
      <c r="A30100" s="16" t="s">
        <v>11094</v>
      </c>
      <c r="B30100" s="15" t="s">
        <v>11095</v>
      </c>
      <c r="C30100" s="16" t="s">
        <v>10178</v>
      </c>
      <c r="D30100" s="16" t="s">
        <v>10219</v>
      </c>
      <c r="E30100" s="2">
        <v>1273191</v>
      </c>
      <c r="F30100" s="4" t="str">
        <f>IF(B30100=B30099,"",B30100)</f>
        <v>Deori KhÄs</v>
      </c>
    </row>
    <row r="30101" spans="1:6" ht="15.75" customHeight="1">
      <c r="A30101" s="16" t="str">
        <f ca="1">IFERROR(__xludf.DUMMYFUNCTION("GOOGLETRANSLATE(B33627,""en"",""pt"")"),"Deoraniān")</f>
        <v>Deoraniān</v>
      </c>
      <c r="B30101" s="20" t="s">
        <v>33789</v>
      </c>
      <c r="C30101" s="20" t="s">
        <v>10178</v>
      </c>
      <c r="D30101" s="20" t="s">
        <v>10193</v>
      </c>
      <c r="E30101" s="10">
        <v>1273206</v>
      </c>
      <c r="F30101" s="4" t="str">
        <f>IF(B30101=B30100,"",B30101)</f>
        <v>Deoraniān</v>
      </c>
    </row>
    <row r="30102" spans="1:6" ht="15.75" customHeight="1">
      <c r="A30102" s="16" t="s">
        <v>11092</v>
      </c>
      <c r="B30102" s="15" t="s">
        <v>11093</v>
      </c>
      <c r="C30102" s="16" t="s">
        <v>10178</v>
      </c>
      <c r="D30102" s="16" t="s">
        <v>10193</v>
      </c>
      <c r="E30102" s="2">
        <v>1273206</v>
      </c>
      <c r="F30102" s="4" t="e">
        <f>IF(B30102=#REF!,"",B30102)</f>
        <v>#REF!</v>
      </c>
    </row>
    <row r="30103" spans="1:6" ht="15.75" customHeight="1">
      <c r="A30103" s="15" t="s">
        <v>11091</v>
      </c>
      <c r="B30103" s="15" t="s">
        <v>11091</v>
      </c>
      <c r="C30103" s="15" t="s">
        <v>10178</v>
      </c>
      <c r="D30103" s="15" t="s">
        <v>10179</v>
      </c>
      <c r="E30103" s="2">
        <v>1273083</v>
      </c>
      <c r="F30103" s="4" t="str">
        <f>IF(B30103=B30102,"",B30103)</f>
        <v>Deoli</v>
      </c>
    </row>
    <row r="30104" spans="1:6" ht="15.75" customHeight="1">
      <c r="A30104" s="16" t="str">
        <f ca="1">IFERROR(__xludf.DUMMYFUNCTION("GOOGLETRANSLATE(B33629,""en"",""pt"")"),"Deolāli")</f>
        <v>Deolāli</v>
      </c>
      <c r="B30104" s="20" t="s">
        <v>33790</v>
      </c>
      <c r="C30104" s="20" t="s">
        <v>10178</v>
      </c>
      <c r="D30104" s="20" t="s">
        <v>10214</v>
      </c>
      <c r="E30104" s="10">
        <v>1273232</v>
      </c>
      <c r="F30104" s="4" t="str">
        <f>IF(B30104=B30103,"",B30104)</f>
        <v>Deolāli</v>
      </c>
    </row>
    <row r="30105" spans="1:6" ht="15.75" customHeight="1">
      <c r="A30105" s="15" t="s">
        <v>11089</v>
      </c>
      <c r="B30105" s="15" t="s">
        <v>11090</v>
      </c>
      <c r="C30105" s="15" t="s">
        <v>10178</v>
      </c>
      <c r="D30105" s="15" t="s">
        <v>10214</v>
      </c>
      <c r="E30105" s="2">
        <v>1273232</v>
      </c>
      <c r="F30105" s="4" t="e">
        <f>IF(B30105=#REF!,"",B30105)</f>
        <v>#REF!</v>
      </c>
    </row>
    <row r="30106" spans="1:6" ht="15.75" customHeight="1">
      <c r="A30106" s="15" t="s">
        <v>11088</v>
      </c>
      <c r="B30106" s="15" t="s">
        <v>11088</v>
      </c>
      <c r="C30106" s="15" t="s">
        <v>10178</v>
      </c>
      <c r="D30106" s="15" t="s">
        <v>10229</v>
      </c>
      <c r="E30106" s="2">
        <v>1273246</v>
      </c>
      <c r="F30106" s="4" t="e">
        <f>IF(B30106=#REF!,"",B30106)</f>
        <v>#REF!</v>
      </c>
    </row>
    <row r="30107" spans="1:6" ht="15.75" customHeight="1">
      <c r="A30107" s="15" t="s">
        <v>11087</v>
      </c>
      <c r="B30107" s="15" t="s">
        <v>11087</v>
      </c>
      <c r="C30107" s="15" t="s">
        <v>10178</v>
      </c>
      <c r="D30107" s="15" t="s">
        <v>10193</v>
      </c>
      <c r="E30107" s="2">
        <v>1273265</v>
      </c>
      <c r="F30107" s="4" t="e">
        <f>IF(B30107=#REF!,"",B30107)</f>
        <v>#REF!</v>
      </c>
    </row>
    <row r="30108" spans="1:6" ht="15.75" customHeight="1">
      <c r="A30108" s="15" t="s">
        <v>28416</v>
      </c>
      <c r="B30108" s="15" t="s">
        <v>28416</v>
      </c>
      <c r="C30108" s="15" t="s">
        <v>27788</v>
      </c>
      <c r="D30108" s="15" t="s">
        <v>2341</v>
      </c>
      <c r="E30108" s="2">
        <v>5419384</v>
      </c>
      <c r="F30108" s="4" t="e">
        <f>IF(B30108=#REF!,"",B30108)</f>
        <v>#REF!</v>
      </c>
    </row>
    <row r="30109" spans="1:6" ht="15.75" customHeight="1">
      <c r="A30109" s="15" t="s">
        <v>28415</v>
      </c>
      <c r="B30109" s="15" t="s">
        <v>28415</v>
      </c>
      <c r="C30109" s="15" t="s">
        <v>27788</v>
      </c>
      <c r="D30109" s="15" t="s">
        <v>27792</v>
      </c>
      <c r="E30109" s="2">
        <v>4685907</v>
      </c>
      <c r="F30109" s="4" t="e">
        <f>IF(B30109=#REF!,"",B30109)</f>
        <v>#REF!</v>
      </c>
    </row>
    <row r="30110" spans="1:6" ht="15.75" customHeight="1">
      <c r="A30110" s="15" t="s">
        <v>13909</v>
      </c>
      <c r="B30110" s="15" t="s">
        <v>13909</v>
      </c>
      <c r="C30110" s="15" t="s">
        <v>13800</v>
      </c>
      <c r="D30110" s="15" t="s">
        <v>3894</v>
      </c>
      <c r="E30110" s="2">
        <v>1645528</v>
      </c>
      <c r="F30110" s="4" t="e">
        <f>IF(B30110=#REF!,"",B30110)</f>
        <v>#REF!</v>
      </c>
    </row>
    <row r="30111" spans="1:6" ht="15.75" customHeight="1">
      <c r="A30111" s="15" t="s">
        <v>30535</v>
      </c>
      <c r="B30111" s="15" t="s">
        <v>30535</v>
      </c>
      <c r="C30111" s="15" t="s">
        <v>30502</v>
      </c>
      <c r="D30111" s="15" t="s">
        <v>30518</v>
      </c>
      <c r="E30111" s="2">
        <v>1217474</v>
      </c>
      <c r="F30111" s="4" t="e">
        <f>IF(B30111=#REF!,"",B30111)</f>
        <v>#REF!</v>
      </c>
    </row>
    <row r="30112" spans="1:6" ht="15.75" customHeight="1">
      <c r="A30112" s="16" t="s">
        <v>11086</v>
      </c>
      <c r="B30112" s="15" t="s">
        <v>11086</v>
      </c>
      <c r="C30112" s="16" t="s">
        <v>10178</v>
      </c>
      <c r="D30112" s="16" t="s">
        <v>10196</v>
      </c>
      <c r="E30112" s="2">
        <v>1273272</v>
      </c>
      <c r="F30112" s="4" t="e">
        <f>IF(B30112=#REF!,"",B30112)</f>
        <v>#REF!</v>
      </c>
    </row>
    <row r="30113" spans="1:6" ht="15.75" customHeight="1">
      <c r="A30113" s="15" t="s">
        <v>26443</v>
      </c>
      <c r="B30113" s="15" t="s">
        <v>26443</v>
      </c>
      <c r="C30113" s="15" t="s">
        <v>26201</v>
      </c>
      <c r="D30113" s="15" t="s">
        <v>26443</v>
      </c>
      <c r="E30113" s="2">
        <v>317109</v>
      </c>
      <c r="F30113" s="4" t="e">
        <f>IF(B30113=#REF!,"",B30113)</f>
        <v>#REF!</v>
      </c>
    </row>
    <row r="30114" spans="1:6" ht="15.75" customHeight="1">
      <c r="A30114" s="15" t="s">
        <v>26442</v>
      </c>
      <c r="B30114" s="15" t="s">
        <v>26442</v>
      </c>
      <c r="C30114" s="15" t="s">
        <v>26201</v>
      </c>
      <c r="D30114" s="15" t="s">
        <v>26318</v>
      </c>
      <c r="E30114" s="2">
        <v>438400</v>
      </c>
      <c r="F30114" s="4" t="e">
        <f>IF(B30114=#REF!,"",B30114)</f>
        <v>#REF!</v>
      </c>
    </row>
    <row r="30115" spans="1:6" ht="15.75" customHeight="1">
      <c r="A30115" s="15" t="s">
        <v>28414</v>
      </c>
      <c r="B30115" s="15" t="s">
        <v>28414</v>
      </c>
      <c r="C30115" s="15" t="s">
        <v>27788</v>
      </c>
      <c r="D30115" s="15" t="s">
        <v>27792</v>
      </c>
      <c r="E30115" s="2">
        <v>4685892</v>
      </c>
      <c r="F30115" s="4" t="e">
        <f>IF(B30115=#REF!,"",B30115)</f>
        <v>#REF!</v>
      </c>
    </row>
    <row r="30116" spans="1:6" ht="15.75" customHeight="1">
      <c r="A30116" s="15" t="s">
        <v>24433</v>
      </c>
      <c r="B30116" s="15" t="s">
        <v>24433</v>
      </c>
      <c r="C30116" s="15" t="s">
        <v>24200</v>
      </c>
      <c r="D30116" s="15" t="s">
        <v>21053</v>
      </c>
      <c r="E30116" s="2">
        <v>2518878</v>
      </c>
      <c r="F30116" s="4" t="e">
        <f>IF(B30116=#REF!,"",B30116)</f>
        <v>#REF!</v>
      </c>
    </row>
    <row r="30117" spans="1:6" ht="15.75" customHeight="1">
      <c r="A30117" s="16" t="s">
        <v>4629</v>
      </c>
      <c r="B30117" s="15" t="s">
        <v>4629</v>
      </c>
      <c r="C30117" s="16" t="s">
        <v>4487</v>
      </c>
      <c r="D30117" s="16" t="s">
        <v>4503</v>
      </c>
      <c r="E30117" s="2">
        <v>1812988</v>
      </c>
      <c r="F30117" s="4" t="e">
        <f>IF(B30117=#REF!,"",B30117)</f>
        <v>#REF!</v>
      </c>
    </row>
    <row r="30118" spans="1:6" ht="15.75" customHeight="1">
      <c r="A30118" s="16" t="s">
        <v>1557</v>
      </c>
      <c r="B30118" s="15" t="s">
        <v>1557</v>
      </c>
      <c r="C30118" s="16" t="s">
        <v>1512</v>
      </c>
      <c r="D30118" s="16" t="s">
        <v>1513</v>
      </c>
      <c r="E30118" s="2">
        <v>2799645</v>
      </c>
      <c r="F30118" s="4" t="e">
        <f>IF(B30118=#REF!,"",B30118)</f>
        <v>#REF!</v>
      </c>
    </row>
    <row r="30119" spans="1:6" ht="15.75" customHeight="1">
      <c r="A30119" s="16" t="s">
        <v>1556</v>
      </c>
      <c r="B30119" s="15" t="s">
        <v>1556</v>
      </c>
      <c r="C30119" s="16" t="s">
        <v>1512</v>
      </c>
      <c r="D30119" s="16" t="s">
        <v>1513</v>
      </c>
      <c r="E30119" s="2">
        <v>2799647</v>
      </c>
      <c r="F30119" s="4" t="e">
        <f>IF(B30119=#REF!,"",B30119)</f>
        <v>#REF!</v>
      </c>
    </row>
    <row r="30120" spans="1:6" ht="15.75" customHeight="1">
      <c r="A30120" s="15" t="s">
        <v>7316</v>
      </c>
      <c r="B30120" s="15" t="s">
        <v>7316</v>
      </c>
      <c r="C30120" s="15" t="s">
        <v>7052</v>
      </c>
      <c r="D30120" s="15" t="s">
        <v>7078</v>
      </c>
      <c r="E30120" s="2">
        <v>3021605</v>
      </c>
      <c r="F30120" s="4" t="e">
        <f>IF(B30120=#REF!,"",B30120)</f>
        <v>#REF!</v>
      </c>
    </row>
    <row r="30121" spans="1:6" ht="15.75" customHeight="1">
      <c r="A30121" s="16" t="s">
        <v>18936</v>
      </c>
      <c r="B30121" s="15" t="s">
        <v>18936</v>
      </c>
      <c r="C30121" s="16" t="s">
        <v>18862</v>
      </c>
      <c r="D30121" s="16" t="s">
        <v>18863</v>
      </c>
      <c r="E30121" s="2">
        <v>2757220</v>
      </c>
      <c r="F30121" s="4" t="e">
        <f>IF(B30121=#REF!,"",B30121)</f>
        <v>#REF!</v>
      </c>
    </row>
    <row r="30122" spans="1:6" ht="15.75" customHeight="1">
      <c r="A30122" s="15" t="s">
        <v>25873</v>
      </c>
      <c r="B30122" s="15" t="s">
        <v>25874</v>
      </c>
      <c r="C30122" s="15" t="s">
        <v>25771</v>
      </c>
      <c r="D30122" s="15" t="s">
        <v>25875</v>
      </c>
      <c r="E30122" s="2">
        <v>1610943</v>
      </c>
      <c r="F30122" s="4" t="e">
        <f>IF(B30122=#REF!,"",B30122)</f>
        <v>#REF!</v>
      </c>
    </row>
    <row r="30123" spans="1:6" ht="15.75" customHeight="1">
      <c r="A30123" s="15" t="s">
        <v>26441</v>
      </c>
      <c r="B30123" s="15" t="s">
        <v>26441</v>
      </c>
      <c r="C30123" s="15" t="s">
        <v>26201</v>
      </c>
      <c r="D30123" s="15" t="s">
        <v>26299</v>
      </c>
      <c r="E30123" s="2">
        <v>317241</v>
      </c>
      <c r="F30123" s="4" t="str">
        <f>IF(B30123=B30122,"",B30123)</f>
        <v>Demirci</v>
      </c>
    </row>
    <row r="30124" spans="1:6" ht="15.75" customHeight="1">
      <c r="A30124" s="16" t="str">
        <f ca="1">IFERROR(__xludf.DUMMYFUNCTION("GOOGLETRANSLATE(B24334,""en"",""pt"")"),"Lobão de DeMerval")</f>
        <v>Lobão de DeMerval</v>
      </c>
      <c r="B30124" s="20" t="s">
        <v>31403</v>
      </c>
      <c r="C30124" s="20" t="s">
        <v>1905</v>
      </c>
      <c r="D30124" s="20" t="s">
        <v>31349</v>
      </c>
      <c r="E30124" s="10">
        <v>3401106</v>
      </c>
      <c r="F30124" s="4" t="str">
        <f>IF(B30124=B30123,"",B30124)</f>
        <v>Demerval Lobão</v>
      </c>
    </row>
    <row r="30125" spans="1:6" ht="15.75" customHeight="1">
      <c r="A30125" s="16" t="s">
        <v>2410</v>
      </c>
      <c r="B30125" s="15" t="s">
        <v>2411</v>
      </c>
      <c r="C30125" s="16" t="s">
        <v>1905</v>
      </c>
      <c r="D30125" s="16" t="s">
        <v>1960</v>
      </c>
      <c r="E30125" s="2">
        <v>3401106</v>
      </c>
      <c r="F30125" s="4" t="str">
        <f>IF(B30125=B30124,"",B30125)</f>
        <v>Demerval LobÃ£o</v>
      </c>
    </row>
    <row r="30126" spans="1:6" ht="15.75" customHeight="1">
      <c r="A30126" s="16" t="str">
        <f ca="1">IFERROR(__xludf.DUMMYFUNCTION("GOOGLETRANSLATE(B29566,""en"",""pt"")"),"Dembī Dolo")</f>
        <v>Dembī Dolo</v>
      </c>
      <c r="B30126" s="20" t="s">
        <v>32503</v>
      </c>
      <c r="C30126" s="20" t="s">
        <v>6807</v>
      </c>
      <c r="D30126" s="20" t="s">
        <v>6814</v>
      </c>
      <c r="E30126" s="10">
        <v>339448</v>
      </c>
      <c r="F30126" s="4" t="str">
        <f>IF(B30126=B30125,"",B30126)</f>
        <v>Dembī Dolo</v>
      </c>
    </row>
    <row r="30127" spans="1:6" ht="15.75" customHeight="1">
      <c r="A30127" s="16" t="s">
        <v>6861</v>
      </c>
      <c r="B30127" s="15" t="s">
        <v>6862</v>
      </c>
      <c r="C30127" s="16" t="s">
        <v>6807</v>
      </c>
      <c r="D30127" s="16" t="s">
        <v>6814</v>
      </c>
      <c r="E30127" s="2">
        <v>339448</v>
      </c>
      <c r="F30127" s="4" t="e">
        <f>IF(B30127=#REF!,"",B30127)</f>
        <v>#REF!</v>
      </c>
    </row>
    <row r="30128" spans="1:6" ht="15.75" customHeight="1">
      <c r="A30128" s="15" t="s">
        <v>6147</v>
      </c>
      <c r="B30128" s="15" t="s">
        <v>6147</v>
      </c>
      <c r="C30128" s="15" t="s">
        <v>6127</v>
      </c>
      <c r="D30128" s="15" t="s">
        <v>6148</v>
      </c>
      <c r="E30128" s="2">
        <v>217389</v>
      </c>
      <c r="F30128" s="4" t="e">
        <f>IF(B30128=#REF!,"",B30128)</f>
        <v>#REF!</v>
      </c>
    </row>
    <row r="30129" spans="1:6" ht="15.75" customHeight="1">
      <c r="A30129" s="15" t="s">
        <v>13907</v>
      </c>
      <c r="B30129" s="15" t="s">
        <v>13908</v>
      </c>
      <c r="C30129" s="15" t="s">
        <v>13800</v>
      </c>
      <c r="D30129" s="15" t="s">
        <v>13803</v>
      </c>
      <c r="E30129" s="2">
        <v>1645559</v>
      </c>
      <c r="F30129" s="4" t="e">
        <f>IF(B30129=#REF!,"",B30129)</f>
        <v>#REF!</v>
      </c>
    </row>
    <row r="30130" spans="1:6" ht="15.75" customHeight="1">
      <c r="A30130" s="15" t="s">
        <v>28413</v>
      </c>
      <c r="B30130" s="15" t="s">
        <v>28413</v>
      </c>
      <c r="C30130" s="15" t="s">
        <v>27788</v>
      </c>
      <c r="D30130" s="15" t="s">
        <v>5468</v>
      </c>
      <c r="E30130" s="2">
        <v>4153146</v>
      </c>
      <c r="F30130" s="4" t="e">
        <f>IF(B30130=#REF!,"",B30130)</f>
        <v>#REF!</v>
      </c>
    </row>
    <row r="30131" spans="1:6" ht="15.75" customHeight="1">
      <c r="A30131" s="16" t="s">
        <v>30476</v>
      </c>
      <c r="B30131" s="15" t="s">
        <v>30476</v>
      </c>
      <c r="C30131" s="16" t="s">
        <v>30472</v>
      </c>
      <c r="D30131" s="16" t="s">
        <v>5668</v>
      </c>
      <c r="E30131" s="2">
        <v>3442778</v>
      </c>
      <c r="F30131" s="4" t="e">
        <f>IF(B30131=#REF!,"",B30131)</f>
        <v>#REF!</v>
      </c>
    </row>
    <row r="30132" spans="1:6" ht="15.75" customHeight="1">
      <c r="A30132" s="15" t="s">
        <v>4039</v>
      </c>
      <c r="B30132" s="15" t="s">
        <v>4039</v>
      </c>
      <c r="C30132" s="15" t="s">
        <v>3975</v>
      </c>
      <c r="D30132" s="15" t="s">
        <v>3976</v>
      </c>
      <c r="E30132" s="2">
        <v>5937615</v>
      </c>
      <c r="F30132" s="4" t="e">
        <f>IF(B30132=#REF!,"",B30132)</f>
        <v>#REF!</v>
      </c>
    </row>
    <row r="30133" spans="1:6" ht="15.75" customHeight="1">
      <c r="A30133" s="16" t="s">
        <v>28412</v>
      </c>
      <c r="B30133" s="15" t="s">
        <v>28412</v>
      </c>
      <c r="C30133" s="16" t="s">
        <v>27788</v>
      </c>
      <c r="D30133" s="16" t="s">
        <v>5468</v>
      </c>
      <c r="E30133" s="2">
        <v>4153132</v>
      </c>
      <c r="F30133" s="4" t="e">
        <f>IF(B30133=#REF!,"",B30133)</f>
        <v>#REF!</v>
      </c>
    </row>
    <row r="30134" spans="1:6" ht="15.75" customHeight="1">
      <c r="A30134" s="16" t="s">
        <v>2409</v>
      </c>
      <c r="B30134" s="15" t="s">
        <v>2409</v>
      </c>
      <c r="C30134" s="16" t="s">
        <v>1905</v>
      </c>
      <c r="D30134" s="16" t="s">
        <v>2015</v>
      </c>
      <c r="E30134" s="2">
        <v>3401109</v>
      </c>
      <c r="F30134" s="4" t="e">
        <f>IF(B30134=#REF!,"",B30134)</f>
        <v>#REF!</v>
      </c>
    </row>
    <row r="30135" spans="1:6" ht="15.75" customHeight="1">
      <c r="A30135" s="16" t="s">
        <v>8295</v>
      </c>
      <c r="B30135" s="15" t="s">
        <v>8295</v>
      </c>
      <c r="C30135" s="16" t="s">
        <v>8028</v>
      </c>
      <c r="D30135" s="16" t="s">
        <v>8034</v>
      </c>
      <c r="E30135" s="2">
        <v>2938323</v>
      </c>
      <c r="F30135" s="4" t="e">
        <f>IF(B30135=#REF!,"",B30135)</f>
        <v>#REF!</v>
      </c>
    </row>
    <row r="30136" spans="1:6" ht="15.75" customHeight="1">
      <c r="A30136" s="16" t="s">
        <v>9872</v>
      </c>
      <c r="B30136" s="15" t="s">
        <v>9872</v>
      </c>
      <c r="C30136" s="16" t="s">
        <v>9866</v>
      </c>
      <c r="D30136" s="16" t="s">
        <v>9867</v>
      </c>
      <c r="E30136" s="2">
        <v>3726786</v>
      </c>
      <c r="F30136" s="4" t="e">
        <f>IF(B30136=#REF!,"",B30136)</f>
        <v>#REF!</v>
      </c>
    </row>
    <row r="30137" spans="1:6" ht="15.75" customHeight="1">
      <c r="A30137" s="15" t="s">
        <v>23880</v>
      </c>
      <c r="B30137" s="15" t="s">
        <v>23880</v>
      </c>
      <c r="C30137" s="15" t="s">
        <v>23842</v>
      </c>
      <c r="D30137" s="15" t="s">
        <v>23849</v>
      </c>
      <c r="E30137" s="2">
        <v>1011031</v>
      </c>
      <c r="F30137" s="4" t="e">
        <f>IF(B30137=#REF!,"",B30137)</f>
        <v>#REF!</v>
      </c>
    </row>
    <row r="30138" spans="1:6" ht="15.75" customHeight="1">
      <c r="A30138" s="15" t="s">
        <v>320</v>
      </c>
      <c r="B30138" s="15" t="s">
        <v>320</v>
      </c>
      <c r="C30138" s="15" t="s">
        <v>153</v>
      </c>
      <c r="D30138" s="15" t="s">
        <v>229</v>
      </c>
      <c r="E30138" s="2">
        <v>2500583</v>
      </c>
      <c r="F30138" s="4" t="e">
        <f>IF(B30138=#REF!,"",B30138)</f>
        <v>#REF!</v>
      </c>
    </row>
    <row r="30139" spans="1:6" ht="15.75" customHeight="1">
      <c r="A30139" s="15" t="s">
        <v>8294</v>
      </c>
      <c r="B30139" s="15" t="s">
        <v>8294</v>
      </c>
      <c r="C30139" s="15" t="s">
        <v>8028</v>
      </c>
      <c r="D30139" s="15" t="s">
        <v>8072</v>
      </c>
      <c r="E30139" s="2">
        <v>2938376</v>
      </c>
      <c r="F30139" s="4" t="str">
        <f>IF(B30139=B30138,"",B30139)</f>
        <v>Delitzsch</v>
      </c>
    </row>
    <row r="30140" spans="1:6" ht="15.75" customHeight="1">
      <c r="A30140" s="16" t="str">
        <f ca="1">IFERROR(__xludf.DUMMYFUNCTION("GOOGLETRANSLATE(B34459,""en"",""pt"")"),"Delījān")</f>
        <v>Delījān</v>
      </c>
      <c r="B30140" s="20" t="s">
        <v>34208</v>
      </c>
      <c r="C30140" s="20" t="s">
        <v>14240</v>
      </c>
      <c r="D30140" s="20" t="s">
        <v>14250</v>
      </c>
      <c r="E30140" s="10">
        <v>136399</v>
      </c>
      <c r="F30140" s="4" t="e">
        <f>IF(B30140=#REF!,"",B30140)</f>
        <v>#REF!</v>
      </c>
    </row>
    <row r="30141" spans="1:6" ht="15.75" customHeight="1">
      <c r="A30141" s="15" t="s">
        <v>24432</v>
      </c>
      <c r="B30141" s="15" t="s">
        <v>24432</v>
      </c>
      <c r="C30141" s="15" t="s">
        <v>24200</v>
      </c>
      <c r="D30141" s="15" t="s">
        <v>24226</v>
      </c>
      <c r="E30141" s="2">
        <v>6615440</v>
      </c>
      <c r="F30141" s="4" t="e">
        <f>IF(B30141=#REF!,"",B30141)</f>
        <v>#REF!</v>
      </c>
    </row>
    <row r="30142" spans="1:6" ht="15.75" customHeight="1">
      <c r="A30142" s="15" t="s">
        <v>13905</v>
      </c>
      <c r="B30142" s="15" t="s">
        <v>13906</v>
      </c>
      <c r="C30142" s="15" t="s">
        <v>13800</v>
      </c>
      <c r="D30142" s="15" t="s">
        <v>13830</v>
      </c>
      <c r="E30142" s="2">
        <v>1215199</v>
      </c>
      <c r="F30142" s="4" t="e">
        <f>IF(B30142=#REF!,"",B30142)</f>
        <v>#REF!</v>
      </c>
    </row>
    <row r="30143" spans="1:6" ht="15.75" customHeight="1">
      <c r="A30143" s="15" t="s">
        <v>11084</v>
      </c>
      <c r="B30143" s="15" t="s">
        <v>11085</v>
      </c>
      <c r="C30143" s="15" t="s">
        <v>10178</v>
      </c>
      <c r="D30143" s="15" t="s">
        <v>10288</v>
      </c>
      <c r="E30143" s="2">
        <v>1273294</v>
      </c>
      <c r="F30143" s="4" t="e">
        <f>IF(B30143=#REF!,"",B30143)</f>
        <v>#REF!</v>
      </c>
    </row>
    <row r="30144" spans="1:6" ht="15.75" customHeight="1">
      <c r="A30144" s="15" t="s">
        <v>6742</v>
      </c>
      <c r="B30144" s="15" t="s">
        <v>6742</v>
      </c>
      <c r="C30144" s="15" t="s">
        <v>6727</v>
      </c>
      <c r="D30144" s="15" t="s">
        <v>6729</v>
      </c>
      <c r="E30144" s="2">
        <v>3586814</v>
      </c>
      <c r="F30144" s="4" t="e">
        <f>IF(B30144=#REF!,"",B30144)</f>
        <v>#REF!</v>
      </c>
    </row>
    <row r="30145" spans="1:6" ht="15.75" customHeight="1">
      <c r="A30145" s="15" t="s">
        <v>18934</v>
      </c>
      <c r="B30145" s="15" t="s">
        <v>18934</v>
      </c>
      <c r="C30145" s="15" t="s">
        <v>18862</v>
      </c>
      <c r="D30145" s="15" t="s">
        <v>18935</v>
      </c>
      <c r="E30145" s="2">
        <v>2757340</v>
      </c>
      <c r="F30145" s="4" t="e">
        <f>IF(B30145=#REF!,"",B30145)</f>
        <v>#REF!</v>
      </c>
    </row>
    <row r="30146" spans="1:6" ht="15.75" customHeight="1">
      <c r="A30146" s="15" t="s">
        <v>18933</v>
      </c>
      <c r="B30146" s="15" t="s">
        <v>18933</v>
      </c>
      <c r="C30146" s="15" t="s">
        <v>18862</v>
      </c>
      <c r="D30146" s="15" t="s">
        <v>18868</v>
      </c>
      <c r="E30146" s="2">
        <v>2757345</v>
      </c>
      <c r="F30146" s="4" t="e">
        <f>IF(B30146=#REF!,"",B30146)</f>
        <v>#REF!</v>
      </c>
    </row>
    <row r="30147" spans="1:6" ht="15.75" customHeight="1">
      <c r="A30147" s="16" t="s">
        <v>18932</v>
      </c>
      <c r="B30147" s="15" t="s">
        <v>18932</v>
      </c>
      <c r="C30147" s="16" t="s">
        <v>18862</v>
      </c>
      <c r="D30147" s="16" t="s">
        <v>18868</v>
      </c>
      <c r="E30147" s="2">
        <v>2757347</v>
      </c>
      <c r="F30147" s="4" t="e">
        <f>IF(B30147=#REF!,"",B30147)</f>
        <v>#REF!</v>
      </c>
    </row>
    <row r="30148" spans="1:6" ht="15.75" customHeight="1">
      <c r="A30148" s="15" t="s">
        <v>17258</v>
      </c>
      <c r="B30148" s="15" t="s">
        <v>17259</v>
      </c>
      <c r="C30148" s="15" t="s">
        <v>17221</v>
      </c>
      <c r="D30148" s="15" t="s">
        <v>17260</v>
      </c>
      <c r="E30148" s="2">
        <v>791559</v>
      </c>
      <c r="F30148" s="4" t="str">
        <f>IF(B30148=B30147,"",B30148)</f>
        <v>Delcevo</v>
      </c>
    </row>
    <row r="30149" spans="1:6" ht="15.75" customHeight="1">
      <c r="A30149" s="16" t="str">
        <f ca="1">IFERROR(__xludf.DUMMYFUNCTION("GOOGLETRANSLATE(B28180,""en"",""pt"")"),"Delbrück")</f>
        <v>Delbrück</v>
      </c>
      <c r="B30149" s="20" t="s">
        <v>32118</v>
      </c>
      <c r="C30149" s="20" t="s">
        <v>8028</v>
      </c>
      <c r="D30149" s="20" t="s">
        <v>8029</v>
      </c>
      <c r="E30149" s="10">
        <v>2938389</v>
      </c>
      <c r="F30149" s="4" t="str">
        <f>IF(B30149=B30148,"",B30149)</f>
        <v>Delbrück</v>
      </c>
    </row>
    <row r="30150" spans="1:6" ht="15.75" customHeight="1">
      <c r="A30150" s="15" t="s">
        <v>8292</v>
      </c>
      <c r="B30150" s="15" t="s">
        <v>8293</v>
      </c>
      <c r="C30150" s="15" t="s">
        <v>8028</v>
      </c>
      <c r="D30150" s="15" t="s">
        <v>8029</v>
      </c>
      <c r="E30150" s="2">
        <v>2938389</v>
      </c>
      <c r="F30150" s="4" t="e">
        <f>IF(B30150=#REF!,"",B30150)</f>
        <v>#REF!</v>
      </c>
    </row>
    <row r="30151" spans="1:6" ht="15.75" customHeight="1">
      <c r="A30151" s="15" t="s">
        <v>27978</v>
      </c>
      <c r="B30151" s="15" t="s">
        <v>27978</v>
      </c>
      <c r="C30151" s="15" t="s">
        <v>27788</v>
      </c>
      <c r="D30151" s="15" t="s">
        <v>27813</v>
      </c>
      <c r="E30151" s="2">
        <v>5151891</v>
      </c>
      <c r="F30151" s="4" t="e">
        <f>IF(B30151=#REF!,"",B30151)</f>
        <v>#REF!</v>
      </c>
    </row>
    <row r="30152" spans="1:6" ht="15.75" customHeight="1">
      <c r="A30152" s="15" t="s">
        <v>28411</v>
      </c>
      <c r="B30152" s="15" t="s">
        <v>28411</v>
      </c>
      <c r="C30152" s="15" t="s">
        <v>27788</v>
      </c>
      <c r="D30152" s="15" t="s">
        <v>27801</v>
      </c>
      <c r="E30152" s="2">
        <v>5342485</v>
      </c>
      <c r="F30152" s="4" t="e">
        <f>IF(B30152=#REF!,"",B30152)</f>
        <v>#REF!</v>
      </c>
    </row>
    <row r="30153" spans="1:6" ht="15.75" customHeight="1">
      <c r="A30153" s="15" t="s">
        <v>13904</v>
      </c>
      <c r="B30153" s="15" t="s">
        <v>13904</v>
      </c>
      <c r="C30153" s="15" t="s">
        <v>13800</v>
      </c>
      <c r="D30153" s="15" t="s">
        <v>13803</v>
      </c>
      <c r="E30153" s="2">
        <v>1645565</v>
      </c>
      <c r="F30153" s="4" t="e">
        <f>IF(B30153=#REF!,"",B30153)</f>
        <v>#REF!</v>
      </c>
    </row>
    <row r="30154" spans="1:6" ht="15.75" customHeight="1">
      <c r="A30154" s="15" t="s">
        <v>28410</v>
      </c>
      <c r="B30154" s="15" t="s">
        <v>28410</v>
      </c>
      <c r="C30154" s="15" t="s">
        <v>27788</v>
      </c>
      <c r="D30154" s="15" t="s">
        <v>5468</v>
      </c>
      <c r="E30154" s="2">
        <v>4152890</v>
      </c>
      <c r="F30154" s="4" t="str">
        <f>IF(B30154=B30153,"",B30154)</f>
        <v>DeLand</v>
      </c>
    </row>
    <row r="30155" spans="1:6" ht="15.75" customHeight="1">
      <c r="A30155" s="16" t="s">
        <v>14364</v>
      </c>
      <c r="B30155" s="15" t="s">
        <v>14365</v>
      </c>
      <c r="C30155" s="16" t="s">
        <v>14240</v>
      </c>
      <c r="D30155" s="16" t="s">
        <v>14250</v>
      </c>
      <c r="E30155" s="2">
        <v>136399</v>
      </c>
      <c r="F30155" s="4" t="e">
        <f>IF(B30155=#REF!,"",B30155)</f>
        <v>#REF!</v>
      </c>
    </row>
    <row r="30156" spans="1:6" ht="15.75" customHeight="1">
      <c r="A30156" s="15" t="s">
        <v>28409</v>
      </c>
      <c r="B30156" s="15" t="s">
        <v>28409</v>
      </c>
      <c r="C30156" s="15" t="s">
        <v>27788</v>
      </c>
      <c r="D30156" s="15" t="s">
        <v>27792</v>
      </c>
      <c r="E30156" s="2">
        <v>5520076</v>
      </c>
      <c r="F30156" s="4" t="e">
        <f>IF(B30156=#REF!,"",B30156)</f>
        <v>#REF!</v>
      </c>
    </row>
    <row r="30157" spans="1:6" ht="15.75" customHeight="1">
      <c r="A30157" s="15" t="s">
        <v>20755</v>
      </c>
      <c r="B30157" s="15" t="s">
        <v>20755</v>
      </c>
      <c r="C30157" s="15" t="s">
        <v>20598</v>
      </c>
      <c r="D30157" s="15" t="s">
        <v>20599</v>
      </c>
      <c r="E30157" s="2">
        <v>1715169</v>
      </c>
      <c r="F30157" s="4" t="e">
        <f>IF(B30157=#REF!,"",B30157)</f>
        <v>#REF!</v>
      </c>
    </row>
    <row r="30158" spans="1:6" ht="15.75" customHeight="1">
      <c r="A30158" s="15" t="s">
        <v>28408</v>
      </c>
      <c r="B30158" s="15" t="s">
        <v>28408</v>
      </c>
      <c r="C30158" s="15" t="s">
        <v>27788</v>
      </c>
      <c r="D30158" s="15" t="s">
        <v>27797</v>
      </c>
      <c r="E30158" s="2">
        <v>4534934</v>
      </c>
      <c r="F30158" s="4" t="e">
        <f>IF(B30158=#REF!,"",B30158)</f>
        <v>#REF!</v>
      </c>
    </row>
    <row r="30159" spans="1:6" ht="15.75" customHeight="1">
      <c r="A30159" s="15" t="s">
        <v>28407</v>
      </c>
      <c r="B30159" s="15" t="s">
        <v>28407</v>
      </c>
      <c r="C30159" s="15" t="s">
        <v>27788</v>
      </c>
      <c r="D30159" s="15" t="s">
        <v>27799</v>
      </c>
      <c r="E30159" s="2">
        <v>4889553</v>
      </c>
      <c r="F30159" s="4" t="e">
        <f>IF(B30159=#REF!,"",B30159)</f>
        <v>#REF!</v>
      </c>
    </row>
    <row r="30160" spans="1:6" ht="15.75" customHeight="1">
      <c r="A30160" s="15" t="s">
        <v>21910</v>
      </c>
      <c r="B30160" s="15" t="s">
        <v>21911</v>
      </c>
      <c r="C30160" s="15" t="s">
        <v>21824</v>
      </c>
      <c r="D30160" s="15" t="s">
        <v>21880</v>
      </c>
      <c r="E30160" s="2">
        <v>679550</v>
      </c>
      <c r="F30160" s="4" t="e">
        <f>IF(B30160=#REF!,"",B30160)</f>
        <v>#REF!</v>
      </c>
    </row>
    <row r="30161" spans="1:6" ht="15.75" customHeight="1">
      <c r="A30161" s="16" t="s">
        <v>25445</v>
      </c>
      <c r="B30161" s="15" t="s">
        <v>25387</v>
      </c>
      <c r="C30161" s="16" t="s">
        <v>25366</v>
      </c>
      <c r="D30161" s="16" t="s">
        <v>25387</v>
      </c>
      <c r="E30161" s="2">
        <v>170794</v>
      </c>
      <c r="F30161" s="4" t="e">
        <f>IF(B30161=#REF!,"",B30161)</f>
        <v>#REF!</v>
      </c>
    </row>
    <row r="30162" spans="1:6" ht="15.75" customHeight="1">
      <c r="A30162" s="15" t="s">
        <v>1555</v>
      </c>
      <c r="B30162" s="15" t="s">
        <v>1555</v>
      </c>
      <c r="C30162" s="15" t="s">
        <v>1512</v>
      </c>
      <c r="D30162" s="15" t="s">
        <v>1513</v>
      </c>
      <c r="E30162" s="2">
        <v>2799746</v>
      </c>
      <c r="F30162" s="4" t="e">
        <f>IF(B30162=#REF!,"",B30162)</f>
        <v>#REF!</v>
      </c>
    </row>
    <row r="30163" spans="1:6" ht="15.75" customHeight="1">
      <c r="A30163" s="15" t="s">
        <v>4628</v>
      </c>
      <c r="B30163" s="15" t="s">
        <v>4628</v>
      </c>
      <c r="C30163" s="15" t="s">
        <v>4487</v>
      </c>
      <c r="D30163" s="15" t="s">
        <v>4518</v>
      </c>
      <c r="E30163" s="2">
        <v>2037712</v>
      </c>
      <c r="F30163" s="4" t="e">
        <f>IF(B30163=#REF!,"",B30163)</f>
        <v>#REF!</v>
      </c>
    </row>
    <row r="30164" spans="1:6" ht="15.75" customHeight="1">
      <c r="A30164" s="15" t="s">
        <v>11083</v>
      </c>
      <c r="B30164" s="15" t="s">
        <v>11083</v>
      </c>
      <c r="C30164" s="15" t="s">
        <v>10178</v>
      </c>
      <c r="D30164" s="15" t="s">
        <v>10317</v>
      </c>
      <c r="E30164" s="2">
        <v>1273309</v>
      </c>
      <c r="F30164" s="4" t="str">
        <f>IF(B30164=B30163,"",B30164)</f>
        <v>Dehri</v>
      </c>
    </row>
    <row r="30165" spans="1:6" ht="15.75" customHeight="1">
      <c r="A30165" s="16" t="str">
        <f ca="1">IFERROR(__xludf.DUMMYFUNCTION("GOOGLETRANSLATE(B33635,""en"",""pt"")"),"Dehra Dūn")</f>
        <v>Dehra Dūn</v>
      </c>
      <c r="B30165" s="20" t="s">
        <v>33791</v>
      </c>
      <c r="C30165" s="20" t="s">
        <v>10178</v>
      </c>
      <c r="D30165" s="20" t="s">
        <v>10299</v>
      </c>
      <c r="E30165" s="10">
        <v>1273313</v>
      </c>
      <c r="F30165" s="4" t="str">
        <f>IF(B30165=B30164,"",B30165)</f>
        <v>Dehra Dūn</v>
      </c>
    </row>
    <row r="30166" spans="1:6" ht="15.75" customHeight="1">
      <c r="A30166" s="16" t="s">
        <v>11081</v>
      </c>
      <c r="B30166" s="15" t="s">
        <v>11082</v>
      </c>
      <c r="C30166" s="16" t="s">
        <v>10178</v>
      </c>
      <c r="D30166" s="16" t="s">
        <v>10299</v>
      </c>
      <c r="E30166" s="2">
        <v>1273313</v>
      </c>
      <c r="F30166" s="4" t="str">
        <f>IF(B30166=B30165,"",B30166)</f>
        <v>Dehra DÅ«n</v>
      </c>
    </row>
    <row r="30167" spans="1:6" ht="15.75" customHeight="1">
      <c r="A30167" s="16" t="str">
        <f ca="1">IFERROR(__xludf.DUMMYFUNCTION("GOOGLETRANSLATE(B34460,""en"",""pt"")"),"Dehlorān")</f>
        <v>Dehlorān</v>
      </c>
      <c r="B30167" s="20" t="s">
        <v>34209</v>
      </c>
      <c r="C30167" s="20" t="s">
        <v>14240</v>
      </c>
      <c r="D30167" s="20" t="s">
        <v>34194</v>
      </c>
      <c r="E30167" s="10">
        <v>136702</v>
      </c>
      <c r="F30167" s="4" t="str">
        <f>IF(B30167=B30166,"",B30167)</f>
        <v>Dehlorān</v>
      </c>
    </row>
    <row r="30168" spans="1:6" ht="15.75" customHeight="1">
      <c r="A30168" s="15" t="s">
        <v>14362</v>
      </c>
      <c r="B30168" s="15" t="s">
        <v>14363</v>
      </c>
      <c r="C30168" s="15" t="s">
        <v>14240</v>
      </c>
      <c r="D30168" s="15" t="s">
        <v>14247</v>
      </c>
      <c r="E30168" s="2">
        <v>136702</v>
      </c>
      <c r="F30168" s="4" t="e">
        <f>IF(B30168=#REF!,"",B30168)</f>
        <v>#REF!</v>
      </c>
    </row>
    <row r="30169" spans="1:6" ht="15.75" customHeight="1">
      <c r="A30169" s="16" t="s">
        <v>24938</v>
      </c>
      <c r="B30169" s="15" t="s">
        <v>24939</v>
      </c>
      <c r="C30169" s="16" t="s">
        <v>24924</v>
      </c>
      <c r="D30169" s="16" t="s">
        <v>6944</v>
      </c>
      <c r="E30169" s="2">
        <v>1234569</v>
      </c>
      <c r="F30169" s="4" t="e">
        <f>IF(B30169=#REF!,"",B30169)</f>
        <v>#REF!</v>
      </c>
    </row>
    <row r="30170" spans="1:6" ht="15.75" customHeight="1">
      <c r="A30170" s="15" t="s">
        <v>14360</v>
      </c>
      <c r="B30170" s="15" t="s">
        <v>14360</v>
      </c>
      <c r="C30170" s="15" t="s">
        <v>14240</v>
      </c>
      <c r="D30170" s="15" t="s">
        <v>14361</v>
      </c>
      <c r="E30170" s="2">
        <v>136987</v>
      </c>
      <c r="F30170" s="4" t="e">
        <f>IF(B30170=#REF!,"",B30170)</f>
        <v>#REF!</v>
      </c>
    </row>
    <row r="30171" spans="1:6" ht="15.75" customHeight="1">
      <c r="A30171" s="16" t="s">
        <v>22332</v>
      </c>
      <c r="B30171" s="15" t="s">
        <v>22332</v>
      </c>
      <c r="C30171" s="16" t="s">
        <v>22070</v>
      </c>
      <c r="D30171" s="16" t="s">
        <v>22106</v>
      </c>
      <c r="E30171" s="2">
        <v>1507488</v>
      </c>
      <c r="F30171" s="4" t="e">
        <f>IF(B30171=#REF!,"",B30171)</f>
        <v>#REF!</v>
      </c>
    </row>
    <row r="30172" spans="1:6" ht="15.75" customHeight="1">
      <c r="A30172" s="16" t="s">
        <v>8290</v>
      </c>
      <c r="B30172" s="15" t="s">
        <v>8291</v>
      </c>
      <c r="C30172" s="16" t="s">
        <v>8028</v>
      </c>
      <c r="D30172" s="16" t="s">
        <v>8044</v>
      </c>
      <c r="E30172" s="2">
        <v>2938540</v>
      </c>
      <c r="F30172" s="4" t="e">
        <f>IF(B30172=#REF!,"",B30172)</f>
        <v>#REF!</v>
      </c>
    </row>
    <row r="30173" spans="1:6" ht="15.75" customHeight="1">
      <c r="A30173" s="16" t="s">
        <v>19371</v>
      </c>
      <c r="B30173" s="15" t="s">
        <v>19371</v>
      </c>
      <c r="C30173" s="16" t="s">
        <v>19294</v>
      </c>
      <c r="D30173" s="16" t="s">
        <v>19357</v>
      </c>
      <c r="E30173" s="2">
        <v>2591159</v>
      </c>
      <c r="F30173" s="4" t="e">
        <f>IF(B30173=#REF!,"",B30173)</f>
        <v>#REF!</v>
      </c>
    </row>
    <row r="30174" spans="1:6" ht="15.75" customHeight="1">
      <c r="A30174" s="15" t="s">
        <v>28405</v>
      </c>
      <c r="B30174" s="15" t="s">
        <v>28406</v>
      </c>
      <c r="C30174" s="15" t="s">
        <v>27788</v>
      </c>
      <c r="D30174" s="15" t="s">
        <v>27813</v>
      </c>
      <c r="E30174" s="2">
        <v>5151861</v>
      </c>
      <c r="F30174" s="4" t="e">
        <f>IF(B30174=#REF!,"",B30174)</f>
        <v>#REF!</v>
      </c>
    </row>
    <row r="30175" spans="1:6" ht="15.75" customHeight="1">
      <c r="A30175" s="15" t="s">
        <v>27433</v>
      </c>
      <c r="B30175" s="15" t="s">
        <v>27433</v>
      </c>
      <c r="C30175" s="15" t="s">
        <v>27234</v>
      </c>
      <c r="D30175" s="15" t="s">
        <v>27235</v>
      </c>
      <c r="E30175" s="2">
        <v>8299616</v>
      </c>
      <c r="F30175" s="4" t="e">
        <f>IF(B30175=#REF!,"",B30175)</f>
        <v>#REF!</v>
      </c>
    </row>
    <row r="30176" spans="1:6" ht="15.75" customHeight="1">
      <c r="A30176" s="16" t="s">
        <v>28404</v>
      </c>
      <c r="B30176" s="15" t="s">
        <v>28404</v>
      </c>
      <c r="C30176" s="16" t="s">
        <v>27788</v>
      </c>
      <c r="D30176" s="16" t="s">
        <v>5468</v>
      </c>
      <c r="E30176" s="2">
        <v>4153071</v>
      </c>
      <c r="F30176" s="4" t="e">
        <f>IF(B30176=#REF!,"",B30176)</f>
        <v>#REF!</v>
      </c>
    </row>
    <row r="30177" spans="1:6" ht="15.75" customHeight="1">
      <c r="A30177" s="15" t="s">
        <v>28403</v>
      </c>
      <c r="B30177" s="15" t="s">
        <v>28403</v>
      </c>
      <c r="C30177" s="15" t="s">
        <v>27788</v>
      </c>
      <c r="D30177" s="15" t="s">
        <v>27799</v>
      </c>
      <c r="E30177" s="2">
        <v>4889668</v>
      </c>
      <c r="F30177" s="4" t="e">
        <f>IF(B30177=#REF!,"",B30177)</f>
        <v>#REF!</v>
      </c>
    </row>
    <row r="30178" spans="1:6" ht="15.75" customHeight="1">
      <c r="A30178" s="16" t="s">
        <v>957</v>
      </c>
      <c r="B30178" s="15" t="s">
        <v>958</v>
      </c>
      <c r="C30178" s="16" t="s">
        <v>885</v>
      </c>
      <c r="D30178" s="16" t="s">
        <v>827</v>
      </c>
      <c r="E30178" s="2">
        <v>2169145</v>
      </c>
      <c r="F30178" s="4" t="e">
        <f>IF(B30178=#REF!,"",B30178)</f>
        <v>#REF!</v>
      </c>
    </row>
    <row r="30179" spans="1:6" ht="15.75" customHeight="1">
      <c r="A30179" s="16" t="s">
        <v>955</v>
      </c>
      <c r="B30179" s="15" t="s">
        <v>956</v>
      </c>
      <c r="C30179" s="16" t="s">
        <v>885</v>
      </c>
      <c r="D30179" s="16" t="s">
        <v>891</v>
      </c>
      <c r="E30179" s="2">
        <v>2208305</v>
      </c>
      <c r="F30179" s="4" t="e">
        <f>IF(B30179=#REF!,"",B30179)</f>
        <v>#REF!</v>
      </c>
    </row>
    <row r="30180" spans="1:6" ht="15.75" customHeight="1">
      <c r="A30180" s="15" t="s">
        <v>17413</v>
      </c>
      <c r="B30180" s="15" t="s">
        <v>17413</v>
      </c>
      <c r="C30180" s="15" t="s">
        <v>17410</v>
      </c>
      <c r="D30180" s="15" t="s">
        <v>17414</v>
      </c>
      <c r="E30180" s="2">
        <v>930025</v>
      </c>
      <c r="F30180" s="4" t="e">
        <f>IF(B30180=#REF!,"",B30180)</f>
        <v>#REF!</v>
      </c>
    </row>
    <row r="30181" spans="1:6" ht="15.75" customHeight="1">
      <c r="A30181" s="15" t="s">
        <v>22331</v>
      </c>
      <c r="B30181" s="15" t="s">
        <v>22331</v>
      </c>
      <c r="C30181" s="15" t="s">
        <v>22070</v>
      </c>
      <c r="D30181" s="15" t="s">
        <v>22119</v>
      </c>
      <c r="E30181" s="2">
        <v>566854</v>
      </c>
      <c r="F30181" s="4" t="str">
        <f>IF(B30181=B30180,"",B30181)</f>
        <v>Dedovsk</v>
      </c>
    </row>
    <row r="30182" spans="1:6" ht="15.75" customHeight="1">
      <c r="A30182" s="16" t="str">
        <f ca="1">IFERROR(__xludf.DUMMYFUNCTION("GOOGLETRANSLATE(B24000,""en"",""pt"")"),"Dédougou")</f>
        <v>Dédougou</v>
      </c>
      <c r="B30182" s="20" t="s">
        <v>31320</v>
      </c>
      <c r="C30182" s="20" t="s">
        <v>3768</v>
      </c>
      <c r="D30182" s="20" t="s">
        <v>3780</v>
      </c>
      <c r="E30182" s="10">
        <v>2361477</v>
      </c>
      <c r="F30182" s="4" t="e">
        <f>IF(B30182=#REF!,"",B30182)</f>
        <v>#REF!</v>
      </c>
    </row>
    <row r="30183" spans="1:6" ht="15.75" customHeight="1">
      <c r="A30183" s="15" t="s">
        <v>28402</v>
      </c>
      <c r="B30183" s="15" t="s">
        <v>28402</v>
      </c>
      <c r="C30183" s="15" t="s">
        <v>27788</v>
      </c>
      <c r="D30183" s="15" t="s">
        <v>27794</v>
      </c>
      <c r="E30183" s="2">
        <v>4934664</v>
      </c>
      <c r="F30183" s="4" t="e">
        <f>IF(B30183=#REF!,"",B30183)</f>
        <v>#REF!</v>
      </c>
    </row>
    <row r="30184" spans="1:6" ht="15.75" customHeight="1">
      <c r="A30184" s="16" t="s">
        <v>9682</v>
      </c>
      <c r="B30184" s="15" t="s">
        <v>9682</v>
      </c>
      <c r="C30184" s="16" t="s">
        <v>9683</v>
      </c>
      <c r="D30184" s="16" t="s">
        <v>9684</v>
      </c>
      <c r="E30184" s="2">
        <v>4043909</v>
      </c>
      <c r="F30184" s="4" t="str">
        <f>IF(B30184=B30183,"",B30184)</f>
        <v>Dededo Village</v>
      </c>
    </row>
    <row r="30185" spans="1:6" ht="15.75" customHeight="1">
      <c r="A30185" s="16" t="str">
        <f ca="1">IFERROR(__xludf.DUMMYFUNCTION("GOOGLETRANSLATE(B30115,""en"",""pt"")"),"Décies-Charpieu")</f>
        <v>Décies-Charpieu</v>
      </c>
      <c r="B30185" s="20" t="s">
        <v>32615</v>
      </c>
      <c r="C30185" s="20" t="s">
        <v>7052</v>
      </c>
      <c r="D30185" s="20" t="s">
        <v>32532</v>
      </c>
      <c r="E30185" s="10">
        <v>3021662</v>
      </c>
      <c r="F30185" s="4" t="str">
        <f>IF(B30185=B30184,"",B30185)</f>
        <v>Décines-Charpieu</v>
      </c>
    </row>
    <row r="30186" spans="1:6" ht="15.75" customHeight="1">
      <c r="A30186" s="16" t="str">
        <f ca="1">IFERROR(__xludf.DUMMYFUNCTION("GOOGLETRANSLATE(B27322,""en"",""pt"")"),"Děčín")</f>
        <v>Děčín</v>
      </c>
      <c r="B30186" s="20" t="s">
        <v>31993</v>
      </c>
      <c r="C30186" s="20" t="s">
        <v>5947</v>
      </c>
      <c r="D30186" s="20" t="s">
        <v>31942</v>
      </c>
      <c r="E30186" s="10">
        <v>3077244</v>
      </c>
      <c r="F30186" s="4" t="e">
        <f>IF(B30186=#REF!,"",B30186)</f>
        <v>#REF!</v>
      </c>
    </row>
    <row r="30187" spans="1:6" ht="15.75" customHeight="1">
      <c r="A30187" s="16" t="s">
        <v>953</v>
      </c>
      <c r="B30187" s="15" t="s">
        <v>954</v>
      </c>
      <c r="C30187" s="16" t="s">
        <v>885</v>
      </c>
      <c r="D30187" s="16" t="s">
        <v>910</v>
      </c>
      <c r="E30187" s="2">
        <v>2169220</v>
      </c>
      <c r="F30187" s="4" t="e">
        <f>IF(B30187=#REF!,"",B30187)</f>
        <v>#REF!</v>
      </c>
    </row>
    <row r="30188" spans="1:6" ht="15.75" customHeight="1">
      <c r="A30188" s="15" t="s">
        <v>28401</v>
      </c>
      <c r="B30188" s="15" t="s">
        <v>28401</v>
      </c>
      <c r="C30188" s="15" t="s">
        <v>27788</v>
      </c>
      <c r="D30188" s="15" t="s">
        <v>28023</v>
      </c>
      <c r="E30188" s="2">
        <v>4058553</v>
      </c>
      <c r="F30188" s="4" t="str">
        <f>IF(B30188=B30187,"",B30188)</f>
        <v>Decatur</v>
      </c>
    </row>
    <row r="30189" spans="1:6" ht="15.75" customHeight="1">
      <c r="A30189" s="16" t="str">
        <f ca="1">IFERROR(__xludf.DUMMYFUNCTION("GOOGLETRANSLATE(B45814,""en"",""pt"")"),"Deçan")</f>
        <v>Deçan</v>
      </c>
      <c r="B30189" s="20" t="s">
        <v>36209</v>
      </c>
      <c r="C30189" s="20" t="s">
        <v>16852</v>
      </c>
      <c r="D30189" s="20" t="s">
        <v>16853</v>
      </c>
      <c r="E30189" s="10">
        <v>791580</v>
      </c>
      <c r="F30189" s="4" t="e">
        <f>IF(B30189=#REF!,"",B30189)</f>
        <v>#REF!</v>
      </c>
    </row>
    <row r="30190" spans="1:6" ht="15.75" customHeight="1">
      <c r="A30190" s="15" t="s">
        <v>10031</v>
      </c>
      <c r="B30190" s="15" t="s">
        <v>10031</v>
      </c>
      <c r="C30190" s="15" t="s">
        <v>9955</v>
      </c>
      <c r="D30190" s="15" t="s">
        <v>9975</v>
      </c>
      <c r="E30190" s="2">
        <v>721472</v>
      </c>
      <c r="F30190" s="4" t="e">
        <f>IF(B30190=#REF!,"",B30190)</f>
        <v>#REF!</v>
      </c>
    </row>
    <row r="30191" spans="1:6" ht="15.75" customHeight="1">
      <c r="A30191" s="16" t="s">
        <v>6860</v>
      </c>
      <c r="B30191" s="15" t="s">
        <v>6860</v>
      </c>
      <c r="C30191" s="16" t="s">
        <v>6807</v>
      </c>
      <c r="D30191" s="16" t="s">
        <v>6811</v>
      </c>
      <c r="E30191" s="2">
        <v>339686</v>
      </c>
      <c r="F30191" s="4" t="str">
        <f>IF(B30191=B30190,"",B30191)</f>
        <v>Debre Tabor</v>
      </c>
    </row>
    <row r="30192" spans="1:6" ht="15.75" customHeight="1">
      <c r="A30192" s="16" t="s">
        <v>6858</v>
      </c>
      <c r="B30192" s="15" t="s">
        <v>6859</v>
      </c>
      <c r="C30192" s="16" t="s">
        <v>6807</v>
      </c>
      <c r="D30192" s="16" t="s">
        <v>6811</v>
      </c>
      <c r="E30192" s="2">
        <v>339708</v>
      </c>
      <c r="F30192" s="4" t="str">
        <f>IF(B30192=B30191,"",B30192)</f>
        <v>Debre Markâ€™os</v>
      </c>
    </row>
    <row r="30193" spans="1:6" ht="15.75" customHeight="1">
      <c r="A30193" s="16" t="str">
        <f ca="1">IFERROR(__xludf.DUMMYFUNCTION("GOOGLETRANSLATE(B29569,""en"",""pt"")"),"Debre Mark'os")</f>
        <v>Debre Mark'os</v>
      </c>
      <c r="B30193" s="20" t="s">
        <v>32504</v>
      </c>
      <c r="C30193" s="20" t="s">
        <v>6807</v>
      </c>
      <c r="D30193" s="20" t="s">
        <v>6811</v>
      </c>
      <c r="E30193" s="10">
        <v>339708</v>
      </c>
      <c r="F30193" s="4" t="e">
        <f>IF(B30193=#REF!,"",B30193)</f>
        <v>#REF!</v>
      </c>
    </row>
    <row r="30194" spans="1:6" ht="15.75" customHeight="1">
      <c r="A30194" s="16" t="s">
        <v>6857</v>
      </c>
      <c r="B30194" s="15" t="s">
        <v>6857</v>
      </c>
      <c r="C30194" s="16" t="s">
        <v>6807</v>
      </c>
      <c r="D30194" s="16" t="s">
        <v>6811</v>
      </c>
      <c r="E30194" s="2">
        <v>339734</v>
      </c>
      <c r="F30194" s="4" t="str">
        <f>IF(B30194=B30193,"",B30194)</f>
        <v>Debre Birhan</v>
      </c>
    </row>
    <row r="30195" spans="1:6" ht="15.75" customHeight="1">
      <c r="A30195" s="16" t="str">
        <f ca="1">IFERROR(__xludf.DUMMYFUNCTION("GOOGLETRANSLATE(B39283,""en"",""pt"")"),"Dęblin")</f>
        <v>Dęblin</v>
      </c>
      <c r="B30195" s="20" t="s">
        <v>35126</v>
      </c>
      <c r="C30195" s="20" t="s">
        <v>21064</v>
      </c>
      <c r="D30195" s="20" t="s">
        <v>21091</v>
      </c>
      <c r="E30195" s="10">
        <v>773357</v>
      </c>
      <c r="F30195" s="4" t="e">
        <f>IF(B30195=#REF!,"",B30195)</f>
        <v>#REF!</v>
      </c>
    </row>
    <row r="30196" spans="1:6" ht="15.75" customHeight="1">
      <c r="A30196" s="15" t="s">
        <v>318</v>
      </c>
      <c r="B30196" s="15" t="s">
        <v>318</v>
      </c>
      <c r="C30196" s="15" t="s">
        <v>153</v>
      </c>
      <c r="D30196" s="15" t="s">
        <v>319</v>
      </c>
      <c r="E30196" s="2">
        <v>2500737</v>
      </c>
      <c r="F30196" s="4" t="str">
        <f>IF(B30196=B30195,"",B30196)</f>
        <v>Debila</v>
      </c>
    </row>
    <row r="30197" spans="1:6" ht="15.75" customHeight="1">
      <c r="A30197" s="16" t="str">
        <f ca="1">IFERROR(__xludf.DUMMYFUNCTION("GOOGLETRANSLATE(B39284,""en"",""pt"")"),"Dębica")</f>
        <v>Dębica</v>
      </c>
      <c r="B30197" s="20" t="s">
        <v>35127</v>
      </c>
      <c r="C30197" s="20" t="s">
        <v>21064</v>
      </c>
      <c r="D30197" s="20" t="s">
        <v>21083</v>
      </c>
      <c r="E30197" s="10">
        <v>773380</v>
      </c>
      <c r="F30197" s="4" t="e">
        <f>IF(B30197=#REF!,"",B30197)</f>
        <v>#REF!</v>
      </c>
    </row>
    <row r="30198" spans="1:6" ht="15.75" customHeight="1">
      <c r="A30198" s="15" t="s">
        <v>28400</v>
      </c>
      <c r="B30198" s="15" t="s">
        <v>28400</v>
      </c>
      <c r="C30198" s="15" t="s">
        <v>27788</v>
      </c>
      <c r="D30198" s="15" t="s">
        <v>5468</v>
      </c>
      <c r="E30198" s="2">
        <v>4152926</v>
      </c>
      <c r="F30198" s="4" t="str">
        <f>IF(B30198=B30197,"",B30198)</f>
        <v>DeBary</v>
      </c>
    </row>
    <row r="30199" spans="1:6" ht="15.75" customHeight="1">
      <c r="A30199" s="15" t="s">
        <v>6855</v>
      </c>
      <c r="B30199" s="15" t="s">
        <v>6856</v>
      </c>
      <c r="C30199" s="15" t="s">
        <v>6807</v>
      </c>
      <c r="D30199" s="15" t="s">
        <v>6811</v>
      </c>
      <c r="E30199" s="2">
        <v>339823</v>
      </c>
      <c r="F30199" s="4" t="str">
        <f>IF(B30199=B30198,"",B30199)</f>
        <v>Debarkâ€™</v>
      </c>
    </row>
    <row r="30200" spans="1:6" ht="15.75" customHeight="1">
      <c r="A30200" s="16" t="str">
        <f ca="1">IFERROR(__xludf.DUMMYFUNCTION("GOOGLETRANSLATE(B29571,""en"",""pt"")"),"Desembarcar'")</f>
        <v>Desembarcar'</v>
      </c>
      <c r="B30200" s="20" t="s">
        <v>32505</v>
      </c>
      <c r="C30200" s="20" t="s">
        <v>6807</v>
      </c>
      <c r="D30200" s="20" t="s">
        <v>6811</v>
      </c>
      <c r="E30200" s="10">
        <v>339823</v>
      </c>
      <c r="F30200" s="4" t="e">
        <f>IF(B30200=#REF!,"",B30200)</f>
        <v>#REF!</v>
      </c>
    </row>
    <row r="30201" spans="1:6" ht="15.75" customHeight="1">
      <c r="A30201" s="15" t="s">
        <v>17256</v>
      </c>
      <c r="B30201" s="15" t="s">
        <v>17257</v>
      </c>
      <c r="C30201" s="15" t="s">
        <v>17221</v>
      </c>
      <c r="D30201" s="15" t="s">
        <v>17257</v>
      </c>
      <c r="E30201" s="2">
        <v>791606</v>
      </c>
      <c r="F30201" s="4" t="str">
        <f>IF(B30201=B30200,"",B30201)</f>
        <v>Debar</v>
      </c>
    </row>
    <row r="30202" spans="1:6" ht="15.75" customHeight="1">
      <c r="A30202" s="16" t="s">
        <v>26937</v>
      </c>
      <c r="B30202" s="15" t="s">
        <v>26938</v>
      </c>
      <c r="C30202" s="16" t="s">
        <v>26870</v>
      </c>
      <c r="D30202" s="16" t="s">
        <v>22345</v>
      </c>
      <c r="E30202" s="2">
        <v>710229</v>
      </c>
      <c r="F30202" s="4" t="str">
        <f>IF(B30202=B30201,"",B30202)</f>
        <v>Debalâ€™tseve</v>
      </c>
    </row>
    <row r="30203" spans="1:6" ht="15.75" customHeight="1">
      <c r="A30203" s="16" t="str">
        <f ca="1">IFERROR(__xludf.DUMMYFUNCTION("GOOGLETRANSLATE(B42677,""en"",""pt"")"),"Debal'tseve")</f>
        <v>Debal'tseve</v>
      </c>
      <c r="B30203" s="20" t="s">
        <v>36040</v>
      </c>
      <c r="C30203" s="20" t="s">
        <v>26870</v>
      </c>
      <c r="D30203" s="20" t="s">
        <v>22345</v>
      </c>
      <c r="E30203" s="10">
        <v>710229</v>
      </c>
      <c r="F30203" s="4" t="e">
        <f>IF(B30203=#REF!,"",B30203)</f>
        <v>#REF!</v>
      </c>
    </row>
    <row r="30204" spans="1:6" ht="15.75" customHeight="1">
      <c r="A30204" s="15" t="s">
        <v>19370</v>
      </c>
      <c r="B30204" s="15" t="s">
        <v>19370</v>
      </c>
      <c r="C30204" s="15" t="s">
        <v>19294</v>
      </c>
      <c r="D30204" s="15" t="s">
        <v>19348</v>
      </c>
      <c r="E30204" s="2">
        <v>2345029</v>
      </c>
      <c r="F30204" s="4" t="e">
        <f>IF(B30204=#REF!,"",B30204)</f>
        <v>#REF!</v>
      </c>
    </row>
    <row r="30205" spans="1:6" ht="15.75" customHeight="1">
      <c r="A30205" s="16" t="s">
        <v>28399</v>
      </c>
      <c r="B30205" s="15" t="s">
        <v>28399</v>
      </c>
      <c r="C30205" s="16" t="s">
        <v>27788</v>
      </c>
      <c r="D30205" s="16" t="s">
        <v>27804</v>
      </c>
      <c r="E30205" s="2">
        <v>4990512</v>
      </c>
      <c r="F30205" s="4" t="e">
        <f>IF(B30205=#REF!,"",B30205)</f>
        <v>#REF!</v>
      </c>
    </row>
    <row r="30206" spans="1:6" ht="15.75" customHeight="1">
      <c r="A30206" s="15" t="s">
        <v>28398</v>
      </c>
      <c r="B30206" s="15" t="s">
        <v>28398</v>
      </c>
      <c r="C30206" s="15" t="s">
        <v>27788</v>
      </c>
      <c r="D30206" s="15" t="s">
        <v>27804</v>
      </c>
      <c r="E30206" s="2">
        <v>4990510</v>
      </c>
      <c r="F30206" s="4" t="str">
        <f>IF(B30206=B30205,"",B30206)</f>
        <v>Dearborn</v>
      </c>
    </row>
    <row r="30207" spans="1:6" ht="15.75" customHeight="1">
      <c r="A30207" s="16" t="str">
        <f ca="1">IFERROR(__xludf.DUMMYFUNCTION("GOOGLETRANSLATE(B23331,""en"",""pt"")"),"Deán Funes")</f>
        <v>Deán Funes</v>
      </c>
      <c r="B30207" s="20" t="s">
        <v>31210</v>
      </c>
      <c r="C30207" s="20" t="s">
        <v>558</v>
      </c>
      <c r="D30207" s="20" t="s">
        <v>573</v>
      </c>
      <c r="E30207" s="10">
        <v>3859512</v>
      </c>
      <c r="F30207" s="4" t="str">
        <f>IF(B30207=B30206,"",B30207)</f>
        <v>Deán Funes</v>
      </c>
    </row>
    <row r="30208" spans="1:6" ht="15.75" customHeight="1">
      <c r="A30208" s="16" t="s">
        <v>16850</v>
      </c>
      <c r="B30208" s="15" t="s">
        <v>16851</v>
      </c>
      <c r="C30208" s="16" t="s">
        <v>16852</v>
      </c>
      <c r="D30208" s="16" t="s">
        <v>16853</v>
      </c>
      <c r="E30208" s="2">
        <v>791580</v>
      </c>
      <c r="F30208" s="4" t="str">
        <f>IF(B30208=B30207,"",B30208)</f>
        <v>DeÃ§an</v>
      </c>
    </row>
    <row r="30209" spans="1:6" ht="15.75" customHeight="1">
      <c r="A30209" s="16" t="s">
        <v>11079</v>
      </c>
      <c r="B30209" s="15" t="s">
        <v>11080</v>
      </c>
      <c r="C30209" s="16" t="s">
        <v>10178</v>
      </c>
      <c r="D30209" s="16" t="s">
        <v>10214</v>
      </c>
      <c r="E30209" s="2">
        <v>1273136</v>
      </c>
      <c r="F30209" s="4" t="str">
        <f>IF(B30209=B30208,"",B30209)</f>
        <v>DeÅ«lgaon RÄja</v>
      </c>
    </row>
    <row r="30210" spans="1:6" ht="15.75" customHeight="1">
      <c r="A30210" s="15" t="s">
        <v>638</v>
      </c>
      <c r="B30210" s="15" t="s">
        <v>639</v>
      </c>
      <c r="C30210" s="15" t="s">
        <v>558</v>
      </c>
      <c r="D30210" s="15" t="s">
        <v>573</v>
      </c>
      <c r="E30210" s="2">
        <v>3859512</v>
      </c>
      <c r="F30210" s="4" t="e">
        <f>IF(B30210=#REF!,"",B30210)</f>
        <v>#REF!</v>
      </c>
    </row>
    <row r="30211" spans="1:6" ht="15.75" customHeight="1">
      <c r="A30211" s="15" t="s">
        <v>28396</v>
      </c>
      <c r="B30211" s="15" t="s">
        <v>28397</v>
      </c>
      <c r="C30211" s="15" t="s">
        <v>27788</v>
      </c>
      <c r="D30211" s="15" t="s">
        <v>27890</v>
      </c>
      <c r="E30211" s="2">
        <v>5250201</v>
      </c>
      <c r="F30211" s="4" t="e">
        <f>IF(B30211=#REF!,"",B30211)</f>
        <v>#REF!</v>
      </c>
    </row>
    <row r="30212" spans="1:6" ht="15.75" customHeight="1">
      <c r="A30212" s="15" t="s">
        <v>18931</v>
      </c>
      <c r="B30212" s="15" t="s">
        <v>18931</v>
      </c>
      <c r="C30212" s="15" t="s">
        <v>18862</v>
      </c>
      <c r="D30212" s="15" t="s">
        <v>18877</v>
      </c>
      <c r="E30212" s="2">
        <v>2757783</v>
      </c>
      <c r="F30212" s="4" t="e">
        <f>IF(B30212=#REF!,"",B30212)</f>
        <v>#REF!</v>
      </c>
    </row>
    <row r="30213" spans="1:6" ht="15.75" customHeight="1">
      <c r="A30213" s="15" t="s">
        <v>23878</v>
      </c>
      <c r="B30213" s="15" t="s">
        <v>23878</v>
      </c>
      <c r="C30213" s="15" t="s">
        <v>23842</v>
      </c>
      <c r="D30213" s="15" t="s">
        <v>23879</v>
      </c>
      <c r="E30213" s="2">
        <v>1011632</v>
      </c>
      <c r="F30213" s="4" t="str">
        <f>IF(B30213=B30212,"",B30213)</f>
        <v>De Aar</v>
      </c>
    </row>
    <row r="30214" spans="1:6" ht="15.75" customHeight="1">
      <c r="A30214" s="16" t="s">
        <v>17253</v>
      </c>
      <c r="B30214" s="15" t="s">
        <v>17254</v>
      </c>
      <c r="C30214" s="16" t="s">
        <v>17221</v>
      </c>
      <c r="D30214" s="16" t="s">
        <v>17255</v>
      </c>
      <c r="E30214" s="2">
        <v>783926</v>
      </c>
      <c r="F30214" s="4" t="e">
        <f>IF(B30214=#REF!,"",B30214)</f>
        <v>#REF!</v>
      </c>
    </row>
    <row r="30215" spans="1:6" ht="15.75" customHeight="1">
      <c r="A30215" s="15" t="s">
        <v>4627</v>
      </c>
      <c r="B30215" s="15" t="s">
        <v>4627</v>
      </c>
      <c r="C30215" s="15" t="s">
        <v>4487</v>
      </c>
      <c r="D30215" s="15" t="s">
        <v>4588</v>
      </c>
      <c r="E30215" s="2">
        <v>1813325</v>
      </c>
      <c r="F30215" s="4" t="e">
        <f>IF(B30215=#REF!,"",B30215)</f>
        <v>#REF!</v>
      </c>
    </row>
    <row r="30216" spans="1:6" ht="15.75" customHeight="1">
      <c r="A30216" s="15" t="s">
        <v>4626</v>
      </c>
      <c r="B30216" s="15" t="s">
        <v>4626</v>
      </c>
      <c r="C30216" s="15" t="s">
        <v>4487</v>
      </c>
      <c r="D30216" s="15" t="s">
        <v>4535</v>
      </c>
      <c r="E30216" s="2">
        <v>1813088</v>
      </c>
      <c r="F30216" s="4" t="e">
        <f>IF(B30216=#REF!,"",B30216)</f>
        <v>#REF!</v>
      </c>
    </row>
    <row r="30217" spans="1:6" ht="15.75" customHeight="1">
      <c r="A30217" s="15" t="s">
        <v>15856</v>
      </c>
      <c r="B30217" s="15" t="s">
        <v>15856</v>
      </c>
      <c r="C30217" s="15" t="s">
        <v>15704</v>
      </c>
      <c r="D30217" s="15" t="s">
        <v>15722</v>
      </c>
      <c r="E30217" s="2">
        <v>7422816</v>
      </c>
      <c r="F30217" s="4" t="e">
        <f>IF(B30217=#REF!,"",B30217)</f>
        <v>#REF!</v>
      </c>
    </row>
    <row r="30218" spans="1:6" ht="15.75" customHeight="1">
      <c r="A30218" s="16" t="s">
        <v>28395</v>
      </c>
      <c r="B30218" s="15" t="s">
        <v>28395</v>
      </c>
      <c r="C30218" s="16" t="s">
        <v>27788</v>
      </c>
      <c r="D30218" s="16" t="s">
        <v>5468</v>
      </c>
      <c r="E30218" s="2">
        <v>4152872</v>
      </c>
      <c r="F30218" s="4" t="e">
        <f>IF(B30218=#REF!,"",B30218)</f>
        <v>#REF!</v>
      </c>
    </row>
    <row r="30219" spans="1:6" ht="15.75" customHeight="1">
      <c r="A30219" s="15" t="s">
        <v>28394</v>
      </c>
      <c r="B30219" s="15" t="s">
        <v>28394</v>
      </c>
      <c r="C30219" s="15" t="s">
        <v>27788</v>
      </c>
      <c r="D30219" s="15" t="s">
        <v>27813</v>
      </c>
      <c r="E30219" s="2">
        <v>4509884</v>
      </c>
      <c r="F30219" s="4" t="str">
        <f>IF(B30219=B30218,"",B30219)</f>
        <v>Dayton</v>
      </c>
    </row>
    <row r="30220" spans="1:6" ht="15.75" customHeight="1">
      <c r="A30220" s="16" t="str">
        <f ca="1">IFERROR(__xludf.DUMMYFUNCTION("GOOGLETRANSLATE(B28878,""en"",""pt"")"),"Dayrūţ")</f>
        <v>Dayrūţ</v>
      </c>
      <c r="B30220" s="20" t="s">
        <v>32302</v>
      </c>
      <c r="C30220" s="20" t="s">
        <v>6495</v>
      </c>
      <c r="D30220" s="20" t="s">
        <v>32276</v>
      </c>
      <c r="E30220" s="10">
        <v>358269</v>
      </c>
      <c r="F30220" s="4" t="str">
        <f>IF(B30220=B30219,"",B30220)</f>
        <v>Dayrūţ</v>
      </c>
    </row>
    <row r="30221" spans="1:6" ht="15.75" customHeight="1">
      <c r="A30221" s="16" t="s">
        <v>6627</v>
      </c>
      <c r="B30221" s="15" t="s">
        <v>6628</v>
      </c>
      <c r="C30221" s="16" t="s">
        <v>6495</v>
      </c>
      <c r="D30221" s="16" t="s">
        <v>6523</v>
      </c>
      <c r="E30221" s="2">
        <v>358269</v>
      </c>
      <c r="F30221" s="4" t="str">
        <f>IF(B30221=B30220,"",B30221)</f>
        <v>DayrÅ«Å£</v>
      </c>
    </row>
    <row r="30222" spans="1:6" ht="15.75" customHeight="1">
      <c r="A30222" s="16" t="str">
        <f ca="1">IFERROR(__xludf.DUMMYFUNCTION("GOOGLETRANSLATE(B28879,""en"",""pt"")"),"Dayr Mawās")</f>
        <v>Dayr Mawās</v>
      </c>
      <c r="B30222" s="20" t="s">
        <v>32303</v>
      </c>
      <c r="C30222" s="20" t="s">
        <v>6495</v>
      </c>
      <c r="D30222" s="20" t="s">
        <v>32263</v>
      </c>
      <c r="E30222" s="10">
        <v>358274</v>
      </c>
      <c r="F30222" s="4" t="str">
        <f>IF(B30222=B30221,"",B30222)</f>
        <v>Dayr Mawās</v>
      </c>
    </row>
    <row r="30223" spans="1:6" ht="15.75" customHeight="1">
      <c r="A30223" s="16" t="s">
        <v>6625</v>
      </c>
      <c r="B30223" s="15" t="s">
        <v>6626</v>
      </c>
      <c r="C30223" s="16" t="s">
        <v>6495</v>
      </c>
      <c r="D30223" s="16" t="s">
        <v>6520</v>
      </c>
      <c r="E30223" s="2">
        <v>358274</v>
      </c>
      <c r="F30223" s="4" t="str">
        <f>IF(B30223=B30222,"",B30223)</f>
        <v>Dayr MawÄs</v>
      </c>
    </row>
    <row r="30224" spans="1:6" ht="15.75" customHeight="1">
      <c r="A30224" s="16" t="str">
        <f ca="1">IFERROR(__xludf.DUMMYFUNCTION("GOOGLETRANSLATE(B41433,""en"",""pt"")"),"Dayr ḩāfir")</f>
        <v>Dayr ḩāfir</v>
      </c>
      <c r="B30224" s="20" t="s">
        <v>35749</v>
      </c>
      <c r="C30224" s="20" t="s">
        <v>25366</v>
      </c>
      <c r="D30224" s="20" t="s">
        <v>25380</v>
      </c>
      <c r="E30224" s="10">
        <v>170785</v>
      </c>
      <c r="F30224" s="4" t="str">
        <f>IF(B30224=B30223,"",B30224)</f>
        <v>Dayr Ḩāfir</v>
      </c>
    </row>
    <row r="30225" spans="1:6" ht="15.75" customHeight="1">
      <c r="A30225" s="16" t="str">
        <f ca="1">IFERROR(__xludf.DUMMYFUNCTION("GOOGLETRANSLATE(B39530,""en"",""pt"")"),"Dayr al Balaḩ")</f>
        <v>Dayr al Balaḩ</v>
      </c>
      <c r="B30225" s="20" t="s">
        <v>35262</v>
      </c>
      <c r="C30225" s="20" t="s">
        <v>20297</v>
      </c>
      <c r="D30225" s="20" t="s">
        <v>20305</v>
      </c>
      <c r="E30225" s="10">
        <v>281141</v>
      </c>
      <c r="F30225" s="4" t="str">
        <f>IF(B30225=B30224,"",B30225)</f>
        <v>Dayr al Balaḩ</v>
      </c>
    </row>
    <row r="30226" spans="1:6" ht="15.75" customHeight="1">
      <c r="A30226" s="16" t="s">
        <v>20341</v>
      </c>
      <c r="B30226" s="15" t="s">
        <v>20342</v>
      </c>
      <c r="C30226" s="16" t="s">
        <v>20297</v>
      </c>
      <c r="D30226" s="16" t="s">
        <v>20305</v>
      </c>
      <c r="E30226" s="2">
        <v>281141</v>
      </c>
      <c r="F30226" s="4" t="str">
        <f>IF(B30226=B30225,"",B30226)</f>
        <v>Dayr al Balaá¸©</v>
      </c>
    </row>
    <row r="30227" spans="1:6" ht="15.75" customHeight="1">
      <c r="A30227" s="16" t="s">
        <v>25443</v>
      </c>
      <c r="B30227" s="15" t="s">
        <v>25444</v>
      </c>
      <c r="C30227" s="16" t="s">
        <v>25366</v>
      </c>
      <c r="D30227" s="16" t="s">
        <v>25380</v>
      </c>
      <c r="E30227" s="2">
        <v>170785</v>
      </c>
      <c r="F30227" s="4" t="e">
        <f>IF(B30227=#REF!,"",B30227)</f>
        <v>#REF!</v>
      </c>
    </row>
    <row r="30228" spans="1:6" ht="15.75" customHeight="1">
      <c r="A30228" s="15" t="s">
        <v>4624</v>
      </c>
      <c r="B30228" s="15" t="s">
        <v>4625</v>
      </c>
      <c r="C30228" s="15" t="s">
        <v>4487</v>
      </c>
      <c r="D30228" s="15" t="s">
        <v>4499</v>
      </c>
      <c r="E30228" s="2">
        <v>1813206</v>
      </c>
      <c r="F30228" s="4" t="e">
        <f>IF(B30228=#REF!,"",B30228)</f>
        <v>#REF!</v>
      </c>
    </row>
    <row r="30229" spans="1:6" ht="15.75" customHeight="1">
      <c r="A30229" s="15" t="s">
        <v>4623</v>
      </c>
      <c r="B30229" s="15" t="s">
        <v>4623</v>
      </c>
      <c r="C30229" s="15" t="s">
        <v>4487</v>
      </c>
      <c r="D30229" s="15" t="s">
        <v>4546</v>
      </c>
      <c r="E30229" s="2">
        <v>1807544</v>
      </c>
      <c r="F30229" s="4" t="e">
        <f>IF(B30229=#REF!,"",B30229)</f>
        <v>#REF!</v>
      </c>
    </row>
    <row r="30230" spans="1:6" ht="15.75" customHeight="1">
      <c r="A30230" s="15" t="s">
        <v>25504</v>
      </c>
      <c r="B30230" s="15" t="s">
        <v>25504</v>
      </c>
      <c r="C30230" s="15" t="s">
        <v>25502</v>
      </c>
      <c r="D30230" s="15" t="s">
        <v>25502</v>
      </c>
      <c r="E30230" s="2">
        <v>1668467</v>
      </c>
      <c r="F30230" s="4" t="e">
        <f>IF(B30230=#REF!,"",B30230)</f>
        <v>#REF!</v>
      </c>
    </row>
    <row r="30231" spans="1:6" ht="15.75" customHeight="1">
      <c r="A30231" s="15" t="s">
        <v>7315</v>
      </c>
      <c r="B30231" s="15" t="s">
        <v>7315</v>
      </c>
      <c r="C30231" s="15" t="s">
        <v>7052</v>
      </c>
      <c r="D30231" s="15" t="s">
        <v>7084</v>
      </c>
      <c r="E30231" s="2">
        <v>3021670</v>
      </c>
      <c r="F30231" s="4" t="e">
        <f>IF(B30231=#REF!,"",B30231)</f>
        <v>#REF!</v>
      </c>
    </row>
    <row r="30232" spans="1:6" ht="15.75" customHeight="1">
      <c r="A30232" s="15" t="s">
        <v>4621</v>
      </c>
      <c r="B30232" s="15" t="s">
        <v>4621</v>
      </c>
      <c r="C30232" s="15" t="s">
        <v>4487</v>
      </c>
      <c r="D30232" s="15" t="s">
        <v>4622</v>
      </c>
      <c r="E30232" s="2">
        <v>1813344</v>
      </c>
      <c r="F30232" s="4" t="e">
        <f>IF(B30232=#REF!,"",B30232)</f>
        <v>#REF!</v>
      </c>
    </row>
    <row r="30233" spans="1:6" ht="15.75" customHeight="1">
      <c r="A30233" s="15" t="s">
        <v>18703</v>
      </c>
      <c r="B30233" s="15" t="s">
        <v>18703</v>
      </c>
      <c r="C30233" s="15" t="s">
        <v>18696</v>
      </c>
      <c r="D30233" s="15" t="s">
        <v>18704</v>
      </c>
      <c r="E30233" s="2">
        <v>1293625</v>
      </c>
      <c r="F30233" s="4" t="e">
        <f>IF(B30233=#REF!,"",B30233)</f>
        <v>#REF!</v>
      </c>
    </row>
    <row r="30234" spans="1:6" ht="15.75" customHeight="1">
      <c r="A30234" s="16" t="s">
        <v>22330</v>
      </c>
      <c r="B30234" s="15" t="s">
        <v>22330</v>
      </c>
      <c r="C30234" s="16" t="s">
        <v>22070</v>
      </c>
      <c r="D30234" s="16" t="s">
        <v>22127</v>
      </c>
      <c r="E30234" s="2">
        <v>566976</v>
      </c>
      <c r="F30234" s="4" t="e">
        <f>IF(B30234=#REF!,"",B30234)</f>
        <v>#REF!</v>
      </c>
    </row>
    <row r="30235" spans="1:6" ht="15.75" customHeight="1">
      <c r="A30235" s="16" t="s">
        <v>22329</v>
      </c>
      <c r="B30235" s="15" t="s">
        <v>22329</v>
      </c>
      <c r="C30235" s="16" t="s">
        <v>22070</v>
      </c>
      <c r="D30235" s="16" t="s">
        <v>22088</v>
      </c>
      <c r="E30235" s="2">
        <v>567006</v>
      </c>
      <c r="F30235" s="4" t="e">
        <f>IF(B30235=#REF!,"",B30235)</f>
        <v>#REF!</v>
      </c>
    </row>
    <row r="30236" spans="1:6" ht="15.75" customHeight="1">
      <c r="A30236" s="15" t="s">
        <v>28393</v>
      </c>
      <c r="B30236" s="15" t="s">
        <v>28393</v>
      </c>
      <c r="C30236" s="15" t="s">
        <v>27788</v>
      </c>
      <c r="D30236" s="15" t="s">
        <v>27801</v>
      </c>
      <c r="E30236" s="2">
        <v>5341704</v>
      </c>
      <c r="F30236" s="4" t="e">
        <f>IF(B30236=#REF!,"",B30236)</f>
        <v>#REF!</v>
      </c>
    </row>
    <row r="30237" spans="1:6" ht="15.75" customHeight="1">
      <c r="A30237" s="15" t="s">
        <v>28392</v>
      </c>
      <c r="B30237" s="15" t="s">
        <v>28392</v>
      </c>
      <c r="C30237" s="15" t="s">
        <v>27788</v>
      </c>
      <c r="D30237" s="15" t="s">
        <v>5468</v>
      </c>
      <c r="E30237" s="2">
        <v>4152820</v>
      </c>
      <c r="F30237" s="4" t="e">
        <f>IF(B30237=#REF!,"",B30237)</f>
        <v>#REF!</v>
      </c>
    </row>
    <row r="30238" spans="1:6" ht="15.75" customHeight="1">
      <c r="A30238" s="15" t="s">
        <v>20386</v>
      </c>
      <c r="B30238" s="15" t="s">
        <v>20386</v>
      </c>
      <c r="C30238" s="15" t="s">
        <v>20370</v>
      </c>
      <c r="D30238" s="15" t="s">
        <v>20387</v>
      </c>
      <c r="E30238" s="2">
        <v>3711668</v>
      </c>
      <c r="F30238" s="4" t="e">
        <f>IF(B30238=#REF!,"",B30238)</f>
        <v>#REF!</v>
      </c>
    </row>
    <row r="30239" spans="1:6" ht="15.75" customHeight="1">
      <c r="A30239" s="16" t="s">
        <v>28391</v>
      </c>
      <c r="B30239" s="15" t="s">
        <v>28391</v>
      </c>
      <c r="C30239" s="16" t="s">
        <v>27788</v>
      </c>
      <c r="D30239" s="16" t="s">
        <v>27859</v>
      </c>
      <c r="E30239" s="2">
        <v>4853423</v>
      </c>
      <c r="F30239" s="4" t="e">
        <f>IF(B30239=#REF!,"",B30239)</f>
        <v>#REF!</v>
      </c>
    </row>
    <row r="30240" spans="1:6" ht="15.75" customHeight="1">
      <c r="A30240" s="15" t="s">
        <v>20658</v>
      </c>
      <c r="B30240" s="15" t="s">
        <v>20658</v>
      </c>
      <c r="C30240" s="15" t="s">
        <v>20598</v>
      </c>
      <c r="D30240" s="15" t="s">
        <v>20658</v>
      </c>
      <c r="E30240" s="2">
        <v>1715348</v>
      </c>
      <c r="F30240" s="4" t="e">
        <f>IF(B30240=#REF!,"",B30240)</f>
        <v>#REF!</v>
      </c>
    </row>
    <row r="30241" spans="1:6" ht="15.75" customHeight="1">
      <c r="A30241" s="15" t="s">
        <v>11078</v>
      </c>
      <c r="B30241" s="15" t="s">
        <v>11078</v>
      </c>
      <c r="C30241" s="15" t="s">
        <v>10178</v>
      </c>
      <c r="D30241" s="15" t="s">
        <v>10179</v>
      </c>
      <c r="E30241" s="2">
        <v>1273369</v>
      </c>
      <c r="F30241" s="4" t="e">
        <f>IF(B30241=#REF!,"",B30241)</f>
        <v>#REF!</v>
      </c>
    </row>
    <row r="30242" spans="1:6" ht="15.75" customHeight="1">
      <c r="A30242" s="15" t="s">
        <v>19368</v>
      </c>
      <c r="B30242" s="15" t="s">
        <v>19368</v>
      </c>
      <c r="C30242" s="15" t="s">
        <v>19294</v>
      </c>
      <c r="D30242" s="15" t="s">
        <v>19369</v>
      </c>
      <c r="E30242" s="2">
        <v>2345094</v>
      </c>
      <c r="F30242" s="4" t="e">
        <f>IF(B30242=#REF!,"",B30242)</f>
        <v>#REF!</v>
      </c>
    </row>
    <row r="30243" spans="1:6" ht="15.75" customHeight="1">
      <c r="A30243" s="15" t="s">
        <v>19888</v>
      </c>
      <c r="B30243" s="15" t="s">
        <v>19888</v>
      </c>
      <c r="C30243" s="15" t="s">
        <v>19808</v>
      </c>
      <c r="D30243" s="15" t="s">
        <v>19823</v>
      </c>
      <c r="E30243" s="2">
        <v>1180374</v>
      </c>
      <c r="F30243" s="4" t="e">
        <f>IF(B30243=#REF!,"",B30243)</f>
        <v>#REF!</v>
      </c>
    </row>
    <row r="30244" spans="1:6" ht="15.75" customHeight="1">
      <c r="A30244" s="15" t="s">
        <v>11077</v>
      </c>
      <c r="B30244" s="15" t="s">
        <v>11077</v>
      </c>
      <c r="C30244" s="15" t="s">
        <v>10178</v>
      </c>
      <c r="D30244" s="15" t="s">
        <v>10214</v>
      </c>
      <c r="E30244" s="2">
        <v>1273374</v>
      </c>
      <c r="F30244" s="4" t="e">
        <f>IF(B30244=#REF!,"",B30244)</f>
        <v>#REF!</v>
      </c>
    </row>
    <row r="30245" spans="1:6" ht="15.75" customHeight="1">
      <c r="A30245" s="16" t="s">
        <v>16984</v>
      </c>
      <c r="B30245" s="15" t="s">
        <v>16984</v>
      </c>
      <c r="C30245" s="16" t="s">
        <v>16982</v>
      </c>
      <c r="D30245" s="16" t="s">
        <v>16985</v>
      </c>
      <c r="E30245" s="2">
        <v>460413</v>
      </c>
      <c r="F30245" s="4" t="e">
        <f>IF(B30245=#REF!,"",B30245)</f>
        <v>#REF!</v>
      </c>
    </row>
    <row r="30246" spans="1:6" ht="15.75" customHeight="1">
      <c r="A30246" s="16" t="s">
        <v>11076</v>
      </c>
      <c r="B30246" s="15" t="s">
        <v>11076</v>
      </c>
      <c r="C30246" s="16" t="s">
        <v>10178</v>
      </c>
      <c r="D30246" s="16" t="s">
        <v>10317</v>
      </c>
      <c r="E30246" s="2">
        <v>1273390</v>
      </c>
      <c r="F30246" s="4" t="str">
        <f>IF(B30246=B30245,"",B30246)</f>
        <v>Daudnagar</v>
      </c>
    </row>
    <row r="30247" spans="1:6" ht="15.75" customHeight="1">
      <c r="A30247" s="16" t="str">
        <f ca="1">IFERROR(__xludf.DUMMYFUNCTION("GOOGLETRANSLATE(B39124,""en"",""pt"")"),"Dāūd Khel")</f>
        <v>Dāūd Khel</v>
      </c>
      <c r="B30247" s="20" t="s">
        <v>35032</v>
      </c>
      <c r="C30247" s="20" t="s">
        <v>19808</v>
      </c>
      <c r="D30247" s="20" t="s">
        <v>10184</v>
      </c>
      <c r="E30247" s="10">
        <v>1180419</v>
      </c>
      <c r="F30247" s="4" t="str">
        <f>IF(B30247=B30246,"",B30247)</f>
        <v>Dāūd Khel</v>
      </c>
    </row>
    <row r="30248" spans="1:6" ht="15.75" customHeight="1">
      <c r="A30248" s="15" t="s">
        <v>21204</v>
      </c>
      <c r="B30248" s="15" t="s">
        <v>21205</v>
      </c>
      <c r="C30248" s="15" t="s">
        <v>21064</v>
      </c>
      <c r="D30248" s="15" t="s">
        <v>21091</v>
      </c>
      <c r="E30248" s="2">
        <v>773357</v>
      </c>
      <c r="F30248" s="4" t="str">
        <f>IF(B30248=B30247,"",B30248)</f>
        <v>DÄ™blin</v>
      </c>
    </row>
    <row r="30249" spans="1:6" ht="15.75" customHeight="1">
      <c r="A30249" s="15" t="s">
        <v>21202</v>
      </c>
      <c r="B30249" s="15" t="s">
        <v>21203</v>
      </c>
      <c r="C30249" s="15" t="s">
        <v>21064</v>
      </c>
      <c r="D30249" s="15" t="s">
        <v>21083</v>
      </c>
      <c r="E30249" s="2">
        <v>773380</v>
      </c>
      <c r="F30249" s="4" t="e">
        <f>IF(B30249=#REF!,"",B30249)</f>
        <v>#REF!</v>
      </c>
    </row>
    <row r="30250" spans="1:6" ht="15.75" customHeight="1">
      <c r="A30250" s="15" t="s">
        <v>8289</v>
      </c>
      <c r="B30250" s="15" t="s">
        <v>8289</v>
      </c>
      <c r="C30250" s="15" t="s">
        <v>8028</v>
      </c>
      <c r="D30250" s="15" t="s">
        <v>8029</v>
      </c>
      <c r="E30250" s="2">
        <v>2938784</v>
      </c>
      <c r="F30250" s="4" t="str">
        <f>IF(B30250=B30249,"",B30250)</f>
        <v>Datteln</v>
      </c>
    </row>
    <row r="30251" spans="1:6" ht="15.75" customHeight="1">
      <c r="A30251" s="16" t="str">
        <f ca="1">IFERROR(__xludf.DUMMYFUNCTION("GOOGLETRANSLATE(B33639,""en"",""pt"")"),"Dattāpur")</f>
        <v>Dattāpur</v>
      </c>
      <c r="B30251" s="20" t="s">
        <v>33792</v>
      </c>
      <c r="C30251" s="20" t="s">
        <v>10178</v>
      </c>
      <c r="D30251" s="20" t="s">
        <v>10214</v>
      </c>
      <c r="E30251" s="10">
        <v>1273397</v>
      </c>
      <c r="F30251" s="4" t="str">
        <f>IF(B30251=B30250,"",B30251)</f>
        <v>Dattāpur</v>
      </c>
    </row>
    <row r="30252" spans="1:6" ht="15.75" customHeight="1">
      <c r="A30252" s="15" t="s">
        <v>11074</v>
      </c>
      <c r="B30252" s="15" t="s">
        <v>11075</v>
      </c>
      <c r="C30252" s="15" t="s">
        <v>10178</v>
      </c>
      <c r="D30252" s="15" t="s">
        <v>10214</v>
      </c>
      <c r="E30252" s="2">
        <v>1273397</v>
      </c>
      <c r="F30252" s="4" t="e">
        <f>IF(B30252=#REF!,"",B30252)</f>
        <v>#REF!</v>
      </c>
    </row>
    <row r="30253" spans="1:6" ht="15.75" customHeight="1">
      <c r="A30253" s="15" t="s">
        <v>4620</v>
      </c>
      <c r="B30253" s="15" t="s">
        <v>4620</v>
      </c>
      <c r="C30253" s="15" t="s">
        <v>4487</v>
      </c>
      <c r="D30253" s="15" t="s">
        <v>4501</v>
      </c>
      <c r="E30253" s="2">
        <v>1813451</v>
      </c>
      <c r="F30253" s="4" t="e">
        <f>IF(B30253=#REF!,"",B30253)</f>
        <v>#REF!</v>
      </c>
    </row>
    <row r="30254" spans="1:6" ht="15.75" customHeight="1">
      <c r="A30254" s="15" t="s">
        <v>11073</v>
      </c>
      <c r="B30254" s="15" t="s">
        <v>11073</v>
      </c>
      <c r="C30254" s="15" t="s">
        <v>10178</v>
      </c>
      <c r="D30254" s="15" t="s">
        <v>10219</v>
      </c>
      <c r="E30254" s="2">
        <v>1273403</v>
      </c>
      <c r="F30254" s="4" t="e">
        <f>IF(B30254=#REF!,"",B30254)</f>
        <v>#REF!</v>
      </c>
    </row>
    <row r="30255" spans="1:6" ht="15.75" customHeight="1">
      <c r="A30255" s="15" t="s">
        <v>15854</v>
      </c>
      <c r="B30255" s="15" t="s">
        <v>15855</v>
      </c>
      <c r="C30255" s="15" t="s">
        <v>15704</v>
      </c>
      <c r="D30255" s="15" t="s">
        <v>15705</v>
      </c>
      <c r="E30255" s="2">
        <v>2130421</v>
      </c>
      <c r="F30255" s="4" t="str">
        <f>IF(B30255=B30254,"",B30255)</f>
        <v>Date</v>
      </c>
    </row>
    <row r="30256" spans="1:6" ht="15.75" customHeight="1">
      <c r="A30256" s="16" t="str">
        <f ca="1">IFERROR(__xludf.DUMMYFUNCTION("GOOGLETRANSLATE(B33641,""en"",""pt"")"),"Dātāganj")</f>
        <v>Dātāganj</v>
      </c>
      <c r="B30256" s="20" t="s">
        <v>33793</v>
      </c>
      <c r="C30256" s="20" t="s">
        <v>10178</v>
      </c>
      <c r="D30256" s="20" t="s">
        <v>10193</v>
      </c>
      <c r="E30256" s="10">
        <v>1273409</v>
      </c>
      <c r="F30256" s="4" t="str">
        <f>IF(B30256=B30255,"",B30256)</f>
        <v>Dātāganj</v>
      </c>
    </row>
    <row r="30257" spans="1:6" ht="15.75" customHeight="1">
      <c r="A30257" s="16" t="str">
        <f ca="1">IFERROR(__xludf.DUMMYFUNCTION("GOOGLETRANSLATE(B33642,""en"",""pt"")"),"Dasūya")</f>
        <v>Dasūya</v>
      </c>
      <c r="B30257" s="20" t="s">
        <v>33794</v>
      </c>
      <c r="C30257" s="20" t="s">
        <v>10178</v>
      </c>
      <c r="D30257" s="20" t="s">
        <v>10184</v>
      </c>
      <c r="E30257" s="10">
        <v>1273410</v>
      </c>
      <c r="F30257" s="4" t="str">
        <f>IF(B30257=B30256,"",B30257)</f>
        <v>Dasūya</v>
      </c>
    </row>
    <row r="30258" spans="1:6" ht="15.75" customHeight="1">
      <c r="A30258" s="15" t="s">
        <v>30533</v>
      </c>
      <c r="B30258" s="15" t="s">
        <v>30534</v>
      </c>
      <c r="C30258" s="15" t="s">
        <v>30502</v>
      </c>
      <c r="D30258" s="15" t="s">
        <v>30532</v>
      </c>
      <c r="E30258" s="2">
        <v>1514125</v>
      </c>
      <c r="F30258" s="4" t="str">
        <f>IF(B30258=B30257,"",B30258)</f>
        <v>DÅ­stlik</v>
      </c>
    </row>
    <row r="30259" spans="1:6" ht="15.75" customHeight="1">
      <c r="A30259" s="16" t="str">
        <f ca="1">IFERROR(__xludf.DUMMYFUNCTION("GOOGLETRANSLATE(B24097,""en"",""pt"")"),"Dassa-Zoumé")</f>
        <v>Dassa-Zoumé</v>
      </c>
      <c r="B30259" s="20" t="s">
        <v>1764</v>
      </c>
      <c r="C30259" s="20" t="s">
        <v>1741</v>
      </c>
      <c r="D30259" s="20" t="s">
        <v>1766</v>
      </c>
      <c r="E30259" s="10">
        <v>2394711</v>
      </c>
      <c r="F30259" s="4" t="str">
        <f>IF(B30259=B30258,"",B30259)</f>
        <v>Dassa-Zoumé</v>
      </c>
    </row>
    <row r="30260" spans="1:6" ht="15.75" customHeight="1">
      <c r="A30260" s="16" t="s">
        <v>1764</v>
      </c>
      <c r="B30260" s="15" t="s">
        <v>1765</v>
      </c>
      <c r="C30260" s="16" t="s">
        <v>1741</v>
      </c>
      <c r="D30260" s="16" t="s">
        <v>1766</v>
      </c>
      <c r="E30260" s="2">
        <v>2394711</v>
      </c>
      <c r="F30260" s="4" t="str">
        <f>IF(B30260=B30259,"",B30260)</f>
        <v>Dassa-ZoumÃ©</v>
      </c>
    </row>
    <row r="30261" spans="1:6" ht="15.75" customHeight="1">
      <c r="A30261" s="16" t="str">
        <f ca="1">IFERROR(__xludf.DUMMYFUNCTION("GOOGLETRANSLATE(B41779,""en"",""pt"")"),"Daşoguz")</f>
        <v>Daşoguz</v>
      </c>
      <c r="B30261" s="20" t="s">
        <v>35787</v>
      </c>
      <c r="C30261" s="20" t="s">
        <v>26774</v>
      </c>
      <c r="D30261" s="20" t="s">
        <v>35787</v>
      </c>
      <c r="E30261" s="10">
        <v>601734</v>
      </c>
      <c r="F30261" s="4" t="e">
        <f>IF(B30261=#REF!,"",B30261)</f>
        <v>#REF!</v>
      </c>
    </row>
    <row r="30262" spans="1:6" ht="15.75" customHeight="1">
      <c r="A30262" s="15" t="s">
        <v>11072</v>
      </c>
      <c r="B30262" s="15" t="s">
        <v>11072</v>
      </c>
      <c r="C30262" s="15" t="s">
        <v>10178</v>
      </c>
      <c r="D30262" s="15" t="s">
        <v>10187</v>
      </c>
      <c r="E30262" s="2">
        <v>7302812</v>
      </c>
      <c r="F30262" s="4" t="str">
        <f>IF(B30262=B30261,"",B30262)</f>
        <v>Dasnapur</v>
      </c>
    </row>
    <row r="30263" spans="1:6" ht="15.75" customHeight="1">
      <c r="A30263" s="16" t="str">
        <f ca="1">IFERROR(__xludf.DUMMYFUNCTION("GOOGLETRANSLATE(B33643,""en"",""pt"")"),"Dāsna")</f>
        <v>Dāsna</v>
      </c>
      <c r="B30263" s="20" t="s">
        <v>33795</v>
      </c>
      <c r="C30263" s="20" t="s">
        <v>10178</v>
      </c>
      <c r="D30263" s="20" t="s">
        <v>10193</v>
      </c>
      <c r="E30263" s="10">
        <v>1273416</v>
      </c>
      <c r="F30263" s="4" t="str">
        <f>IF(B30263=B30262,"",B30263)</f>
        <v>Dāsna</v>
      </c>
    </row>
    <row r="30264" spans="1:6" ht="15.75" customHeight="1">
      <c r="A30264" s="16" t="str">
        <f ca="1">IFERROR(__xludf.DUMMYFUNCTION("GOOGLETRANSLATE(B38736,""en"",""pt"")"),"Dasmariñas")</f>
        <v>Dasmariñas</v>
      </c>
      <c r="B30264" s="20" t="s">
        <v>34887</v>
      </c>
      <c r="C30264" s="20" t="s">
        <v>20598</v>
      </c>
      <c r="D30264" s="20" t="s">
        <v>20608</v>
      </c>
      <c r="E30264" s="10">
        <v>1715430</v>
      </c>
      <c r="F30264" s="4" t="str">
        <f>IF(B30264=B30263,"",B30264)</f>
        <v>Dasmariñas</v>
      </c>
    </row>
    <row r="30265" spans="1:6" ht="15.75" customHeight="1">
      <c r="A30265" s="16" t="s">
        <v>20753</v>
      </c>
      <c r="B30265" s="15" t="s">
        <v>20754</v>
      </c>
      <c r="C30265" s="16" t="s">
        <v>20598</v>
      </c>
      <c r="D30265" s="16" t="s">
        <v>20608</v>
      </c>
      <c r="E30265" s="2">
        <v>1715430</v>
      </c>
      <c r="F30265" s="4" t="e">
        <f>IF(B30265=#REF!,"",B30265)</f>
        <v>#REF!</v>
      </c>
    </row>
    <row r="30266" spans="1:6" ht="15.75" customHeight="1">
      <c r="A30266" s="15" t="s">
        <v>19887</v>
      </c>
      <c r="B30266" s="15" t="s">
        <v>19887</v>
      </c>
      <c r="C30266" s="15" t="s">
        <v>19808</v>
      </c>
      <c r="D30266" s="15" t="s">
        <v>10184</v>
      </c>
      <c r="E30266" s="2">
        <v>1180436</v>
      </c>
      <c r="F30266" s="4" t="e">
        <f>IF(B30266=#REF!,"",B30266)</f>
        <v>#REF!</v>
      </c>
    </row>
    <row r="30267" spans="1:6" ht="15.75" customHeight="1">
      <c r="A30267" s="16" t="s">
        <v>30530</v>
      </c>
      <c r="B30267" s="15" t="s">
        <v>30531</v>
      </c>
      <c r="C30267" s="16" t="s">
        <v>30502</v>
      </c>
      <c r="D30267" s="16" t="s">
        <v>30532</v>
      </c>
      <c r="E30267" s="2">
        <v>1512480</v>
      </c>
      <c r="F30267" s="4" t="e">
        <f>IF(B30267=#REF!,"",B30267)</f>
        <v>#REF!</v>
      </c>
    </row>
    <row r="30268" spans="1:6" ht="15.75" customHeight="1">
      <c r="A30268" s="15" t="s">
        <v>4619</v>
      </c>
      <c r="B30268" s="15" t="s">
        <v>4619</v>
      </c>
      <c r="C30268" s="15" t="s">
        <v>4487</v>
      </c>
      <c r="D30268" s="15" t="s">
        <v>4518</v>
      </c>
      <c r="E30268" s="2">
        <v>2037820</v>
      </c>
      <c r="F30268" s="4" t="e">
        <f>IF(B30268=#REF!,"",B30268)</f>
        <v>#REF!</v>
      </c>
    </row>
    <row r="30269" spans="1:6" ht="15.75" customHeight="1">
      <c r="A30269" s="16" t="s">
        <v>4618</v>
      </c>
      <c r="B30269" s="15" t="s">
        <v>4618</v>
      </c>
      <c r="C30269" s="16" t="s">
        <v>4487</v>
      </c>
      <c r="D30269" s="16" t="s">
        <v>4505</v>
      </c>
      <c r="E30269" s="2">
        <v>2037823</v>
      </c>
      <c r="F30269" s="4" t="e">
        <f>IF(B30269=#REF!,"",B30269)</f>
        <v>#REF!</v>
      </c>
    </row>
    <row r="30270" spans="1:6" ht="15.75" customHeight="1">
      <c r="A30270" s="15" t="s">
        <v>4616</v>
      </c>
      <c r="B30270" s="15" t="s">
        <v>4617</v>
      </c>
      <c r="C30270" s="15" t="s">
        <v>4487</v>
      </c>
      <c r="D30270" s="15" t="s">
        <v>4492</v>
      </c>
      <c r="E30270" s="2">
        <v>1807301</v>
      </c>
      <c r="F30270" s="4" t="str">
        <f>IF(B30270=B30269,"",B30270)</f>
        <v>Dasha</v>
      </c>
    </row>
    <row r="30271" spans="1:6" ht="15.75" customHeight="1">
      <c r="A30271" s="15" t="s">
        <v>11070</v>
      </c>
      <c r="B30271" s="15" t="s">
        <v>11071</v>
      </c>
      <c r="C30271" s="15" t="s">
        <v>10178</v>
      </c>
      <c r="D30271" s="15" t="s">
        <v>10184</v>
      </c>
      <c r="E30271" s="2">
        <v>1273410</v>
      </c>
      <c r="F30271" s="4" t="str">
        <f>IF(B30271=B30270,"",B30271)</f>
        <v>DasÅ«ya</v>
      </c>
    </row>
    <row r="30272" spans="1:6" ht="15.75" customHeight="1">
      <c r="A30272" s="16" t="str">
        <f ca="1">IFERROR(__xludf.DUMMYFUNCTION("GOOGLETRANSLATE(B33644,""en"",""pt"")"),"Daryāpur")</f>
        <v>Daryāpur</v>
      </c>
      <c r="B30272" s="20" t="s">
        <v>33796</v>
      </c>
      <c r="C30272" s="20" t="s">
        <v>10178</v>
      </c>
      <c r="D30272" s="20" t="s">
        <v>10214</v>
      </c>
      <c r="E30272" s="10">
        <v>1273434</v>
      </c>
      <c r="F30272" s="4" t="str">
        <f>IF(B30272=B30271,"",B30272)</f>
        <v>Daryāpur</v>
      </c>
    </row>
    <row r="30273" spans="1:6" ht="15.75" customHeight="1">
      <c r="A30273" s="15" t="s">
        <v>11068</v>
      </c>
      <c r="B30273" s="15" t="s">
        <v>11069</v>
      </c>
      <c r="C30273" s="15" t="s">
        <v>10178</v>
      </c>
      <c r="D30273" s="15" t="s">
        <v>10214</v>
      </c>
      <c r="E30273" s="2">
        <v>1273434</v>
      </c>
      <c r="F30273" s="4" t="str">
        <f>IF(B30273=B30272,"",B30273)</f>
        <v>DaryÄpur</v>
      </c>
    </row>
    <row r="30274" spans="1:6" ht="15.75" customHeight="1">
      <c r="A30274" s="16" t="str">
        <f ca="1">IFERROR(__xludf.DUMMYFUNCTION("GOOGLETRANSLATE(B39126,""en"",""pt"")"),"Darya Khān")</f>
        <v>Darya Khān</v>
      </c>
      <c r="B30274" s="20" t="s">
        <v>35033</v>
      </c>
      <c r="C30274" s="20" t="s">
        <v>19808</v>
      </c>
      <c r="D30274" s="20" t="s">
        <v>10184</v>
      </c>
      <c r="E30274" s="10">
        <v>1180454</v>
      </c>
      <c r="F30274" s="4" t="str">
        <f>IF(B30274=B30273,"",B30274)</f>
        <v>Darya Khān</v>
      </c>
    </row>
    <row r="30275" spans="1:6" ht="15.75" customHeight="1">
      <c r="A30275" s="16" t="s">
        <v>19885</v>
      </c>
      <c r="B30275" s="15" t="s">
        <v>19886</v>
      </c>
      <c r="C30275" s="16" t="s">
        <v>19808</v>
      </c>
      <c r="D30275" s="16" t="s">
        <v>10184</v>
      </c>
      <c r="E30275" s="2">
        <v>1180454</v>
      </c>
      <c r="F30275" s="4" t="e">
        <f>IF(B30275=#REF!,"",B30275)</f>
        <v>#REF!</v>
      </c>
    </row>
    <row r="30276" spans="1:6" ht="15.75" customHeight="1">
      <c r="A30276" s="15" t="s">
        <v>952</v>
      </c>
      <c r="B30276" s="15" t="s">
        <v>952</v>
      </c>
      <c r="C30276" s="15" t="s">
        <v>885</v>
      </c>
      <c r="D30276" s="15" t="s">
        <v>893</v>
      </c>
      <c r="E30276" s="2">
        <v>2073124</v>
      </c>
      <c r="F30276" s="4" t="str">
        <f>IF(B30276=B30275,"",B30276)</f>
        <v>Darwin</v>
      </c>
    </row>
    <row r="30277" spans="1:6" ht="15.75" customHeight="1">
      <c r="A30277" s="16" t="str">
        <f ca="1">IFERROR(__xludf.DUMMYFUNCTION("GOOGLETRANSLATE(B33645,""en"",""pt"")"),"Dārwha")</f>
        <v>Dārwha</v>
      </c>
      <c r="B30277" s="20" t="s">
        <v>33797</v>
      </c>
      <c r="C30277" s="20" t="s">
        <v>10178</v>
      </c>
      <c r="D30277" s="20" t="s">
        <v>10214</v>
      </c>
      <c r="E30277" s="10">
        <v>1273440</v>
      </c>
      <c r="F30277" s="4" t="e">
        <f>IF(B30277=#REF!,"",B30277)</f>
        <v>#REF!</v>
      </c>
    </row>
    <row r="30278" spans="1:6" ht="15.75" customHeight="1">
      <c r="A30278" s="15" t="s">
        <v>20410</v>
      </c>
      <c r="B30278" s="15" t="s">
        <v>20410</v>
      </c>
      <c r="C30278" s="15" t="s">
        <v>20406</v>
      </c>
      <c r="D30278" s="15" t="s">
        <v>20411</v>
      </c>
      <c r="E30278" s="2">
        <v>2098329</v>
      </c>
      <c r="F30278" s="4" t="e">
        <f>IF(B30278=#REF!,"",B30278)</f>
        <v>#REF!</v>
      </c>
    </row>
    <row r="30279" spans="1:6" ht="15.75" customHeight="1">
      <c r="A30279" s="16" t="s">
        <v>4038</v>
      </c>
      <c r="B30279" s="15" t="s">
        <v>4038</v>
      </c>
      <c r="C30279" s="16" t="s">
        <v>3975</v>
      </c>
      <c r="D30279" s="16" t="s">
        <v>4027</v>
      </c>
      <c r="E30279" s="2">
        <v>5935277</v>
      </c>
      <c r="F30279" s="4" t="e">
        <f>IF(B30279=#REF!,"",B30279)</f>
        <v>#REF!</v>
      </c>
    </row>
    <row r="30280" spans="1:6" ht="15.75" customHeight="1">
      <c r="A30280" s="16" t="s">
        <v>14359</v>
      </c>
      <c r="B30280" s="15" t="s">
        <v>14359</v>
      </c>
      <c r="C30280" s="16" t="s">
        <v>14240</v>
      </c>
      <c r="D30280" s="16" t="s">
        <v>14247</v>
      </c>
      <c r="E30280" s="2">
        <v>137436</v>
      </c>
      <c r="F30280" s="4" t="e">
        <f>IF(B30280=#REF!,"",B30280)</f>
        <v>#REF!</v>
      </c>
    </row>
    <row r="30281" spans="1:6" ht="15.75" customHeight="1">
      <c r="A30281" s="15" t="s">
        <v>17090</v>
      </c>
      <c r="B30281" s="15" t="s">
        <v>17090</v>
      </c>
      <c r="C30281" s="15" t="s">
        <v>17074</v>
      </c>
      <c r="D30281" s="15" t="s">
        <v>17090</v>
      </c>
      <c r="E30281" s="2">
        <v>87205</v>
      </c>
      <c r="F30281" s="4" t="e">
        <f>IF(B30281=#REF!,"",B30281)</f>
        <v>#REF!</v>
      </c>
    </row>
    <row r="30282" spans="1:6" ht="15.75" customHeight="1">
      <c r="A30282" s="16" t="s">
        <v>8288</v>
      </c>
      <c r="B30282" s="15" t="s">
        <v>8288</v>
      </c>
      <c r="C30282" s="16" t="s">
        <v>8028</v>
      </c>
      <c r="D30282" s="16" t="s">
        <v>8050</v>
      </c>
      <c r="E30282" s="2">
        <v>2938913</v>
      </c>
      <c r="F30282" s="4" t="str">
        <f>IF(B30282=B30281,"",B30282)</f>
        <v>Darmstadt</v>
      </c>
    </row>
    <row r="30283" spans="1:6" ht="15.75" customHeight="1">
      <c r="A30283" s="16" t="str">
        <f ca="1">IFERROR(__xludf.DUMMYFUNCTION("GOOGLETRANSLATE(B33646,""en"",""pt"")"),"Dārjiling")</f>
        <v>Dārjiling</v>
      </c>
      <c r="B30283" s="20" t="s">
        <v>33798</v>
      </c>
      <c r="C30283" s="20" t="s">
        <v>10178</v>
      </c>
      <c r="D30283" s="20" t="s">
        <v>10201</v>
      </c>
      <c r="E30283" s="10">
        <v>1273467</v>
      </c>
      <c r="F30283" s="4" t="e">
        <f>IF(B30283=#REF!,"",B30283)</f>
        <v>#REF!</v>
      </c>
    </row>
    <row r="30284" spans="1:6" ht="15.75" customHeight="1">
      <c r="A30284" s="15" t="s">
        <v>28390</v>
      </c>
      <c r="B30284" s="15" t="s">
        <v>28390</v>
      </c>
      <c r="C30284" s="15" t="s">
        <v>27788</v>
      </c>
      <c r="D30284" s="15" t="s">
        <v>27799</v>
      </c>
      <c r="E30284" s="2">
        <v>4889447</v>
      </c>
      <c r="F30284" s="4" t="e">
        <f>IF(B30284=#REF!,"",B30284)</f>
        <v>#REF!</v>
      </c>
    </row>
    <row r="30285" spans="1:6" ht="15.75" customHeight="1">
      <c r="A30285" s="15" t="s">
        <v>18508</v>
      </c>
      <c r="B30285" s="15" t="s">
        <v>18508</v>
      </c>
      <c r="C30285" s="15" t="s">
        <v>18496</v>
      </c>
      <c r="D30285" s="15" t="s">
        <v>18509</v>
      </c>
      <c r="E30285" s="2">
        <v>2031964</v>
      </c>
      <c r="F30285" s="4" t="str">
        <f>IF(B30285=B30284,"",B30285)</f>
        <v>Darhan</v>
      </c>
    </row>
    <row r="30286" spans="1:6" ht="15.75" customHeight="1">
      <c r="A30286" s="16" t="str">
        <f ca="1">IFERROR(__xludf.DUMMYFUNCTION("GOOGLETRANSLATE(B42024,""en"",""pt"")"),"Dargeçit")</f>
        <v>Dargeçit</v>
      </c>
      <c r="B30286" s="20" t="s">
        <v>35887</v>
      </c>
      <c r="C30286" s="20" t="s">
        <v>26201</v>
      </c>
      <c r="D30286" s="20" t="s">
        <v>26440</v>
      </c>
      <c r="E30286" s="10">
        <v>317587</v>
      </c>
      <c r="F30286" s="4" t="str">
        <f>IF(B30286=B30285,"",B30286)</f>
        <v>Dargeçit</v>
      </c>
    </row>
    <row r="30287" spans="1:6" ht="15.75" customHeight="1">
      <c r="A30287" s="15" t="s">
        <v>26438</v>
      </c>
      <c r="B30287" s="15" t="s">
        <v>26439</v>
      </c>
      <c r="C30287" s="15" t="s">
        <v>26201</v>
      </c>
      <c r="D30287" s="15" t="s">
        <v>26440</v>
      </c>
      <c r="E30287" s="2">
        <v>317587</v>
      </c>
      <c r="F30287" s="4" t="e">
        <f>IF(B30287=#REF!,"",B30287)</f>
        <v>#REF!</v>
      </c>
    </row>
    <row r="30288" spans="1:6" ht="15.75" customHeight="1">
      <c r="A30288" s="15" t="s">
        <v>26436</v>
      </c>
      <c r="B30288" s="15" t="s">
        <v>26436</v>
      </c>
      <c r="C30288" s="15" t="s">
        <v>26201</v>
      </c>
      <c r="D30288" s="15" t="s">
        <v>26437</v>
      </c>
      <c r="E30288" s="2">
        <v>317588</v>
      </c>
      <c r="F30288" s="4" t="e">
        <f>IF(B30288=#REF!,"",B30288)</f>
        <v>#REF!</v>
      </c>
    </row>
    <row r="30289" spans="1:6" ht="15.75" customHeight="1">
      <c r="A30289" s="15" t="s">
        <v>25591</v>
      </c>
      <c r="B30289" s="15" t="s">
        <v>25591</v>
      </c>
      <c r="C30289" s="15" t="s">
        <v>25560</v>
      </c>
      <c r="D30289" s="15" t="s">
        <v>25562</v>
      </c>
      <c r="E30289" s="2">
        <v>160266</v>
      </c>
      <c r="F30289" s="4" t="str">
        <f>IF(B30289=B30288,"",B30289)</f>
        <v>Dareda</v>
      </c>
    </row>
    <row r="30290" spans="1:6" ht="15.75" customHeight="1">
      <c r="A30290" s="16" t="str">
        <f ca="1">IFERROR(__xludf.DUMMYFUNCTION("GOOGLETRANSLATE(B38201,""en"",""pt"")"),"Dārchulā")</f>
        <v>Dārchulā</v>
      </c>
      <c r="B30290" s="20" t="s">
        <v>34834</v>
      </c>
      <c r="C30290" s="20" t="s">
        <v>18800</v>
      </c>
      <c r="D30290" s="20" t="s">
        <v>18803</v>
      </c>
      <c r="E30290" s="10">
        <v>1283484</v>
      </c>
      <c r="F30290" s="4" t="e">
        <f>IF(B30290=#REF!,"",B30290)</f>
        <v>#REF!</v>
      </c>
    </row>
    <row r="30291" spans="1:6" ht="15.75" customHeight="1">
      <c r="A30291" s="16" t="s">
        <v>11067</v>
      </c>
      <c r="B30291" s="15" t="s">
        <v>11067</v>
      </c>
      <c r="C30291" s="16" t="s">
        <v>10178</v>
      </c>
      <c r="D30291" s="16" t="s">
        <v>10317</v>
      </c>
      <c r="E30291" s="2">
        <v>1273491</v>
      </c>
      <c r="F30291" s="4" t="e">
        <f>IF(B30291=#REF!,"",B30291)</f>
        <v>#REF!</v>
      </c>
    </row>
    <row r="30292" spans="1:6" ht="15.75" customHeight="1">
      <c r="A30292" s="15" t="s">
        <v>19367</v>
      </c>
      <c r="B30292" s="15" t="s">
        <v>19367</v>
      </c>
      <c r="C30292" s="15" t="s">
        <v>19294</v>
      </c>
      <c r="D30292" s="15" t="s">
        <v>19332</v>
      </c>
      <c r="E30292" s="2">
        <v>2345152</v>
      </c>
      <c r="F30292" s="4" t="str">
        <f>IF(B30292=B30291,"",B30292)</f>
        <v>Darazo</v>
      </c>
    </row>
    <row r="30293" spans="1:6" ht="15.75" customHeight="1">
      <c r="A30293" s="16" t="str">
        <f ca="1">IFERROR(__xludf.DUMMYFUNCTION("GOOGLETRANSLATE(B41436,""en"",""pt"")"),"Dārayyā")</f>
        <v>Dārayyā</v>
      </c>
      <c r="B30293" s="20" t="s">
        <v>35751</v>
      </c>
      <c r="C30293" s="20" t="s">
        <v>25366</v>
      </c>
      <c r="D30293" s="20" t="s">
        <v>25372</v>
      </c>
      <c r="E30293" s="10">
        <v>170892</v>
      </c>
      <c r="F30293" s="4" t="str">
        <f>IF(B30293=B30292,"",B30293)</f>
        <v>Dārayyā</v>
      </c>
    </row>
    <row r="30294" spans="1:6" ht="15.75" customHeight="1">
      <c r="A30294" s="16" t="str">
        <f ca="1">IFERROR(__xludf.DUMMYFUNCTION("GOOGLETRANSLATE(B34464,""en"",""pt"")"),"Dārāb")</f>
        <v>Dārāb</v>
      </c>
      <c r="B30294" s="20" t="s">
        <v>34211</v>
      </c>
      <c r="C30294" s="20" t="s">
        <v>14240</v>
      </c>
      <c r="D30294" s="20" t="s">
        <v>14244</v>
      </c>
      <c r="E30294" s="10">
        <v>137956</v>
      </c>
      <c r="F30294" s="4" t="str">
        <f>IF(B30294=B30293,"",B30294)</f>
        <v>Dārāb</v>
      </c>
    </row>
    <row r="30295" spans="1:6" ht="15.75" customHeight="1">
      <c r="A30295" s="15" t="s">
        <v>25441</v>
      </c>
      <c r="B30295" s="15" t="s">
        <v>25442</v>
      </c>
      <c r="C30295" s="15" t="s">
        <v>25366</v>
      </c>
      <c r="D30295" s="15" t="s">
        <v>25375</v>
      </c>
      <c r="E30295" s="2">
        <v>170905</v>
      </c>
      <c r="F30295" s="4" t="e">
        <f>IF(B30295=#REF!,"",B30295)</f>
        <v>#REF!</v>
      </c>
    </row>
    <row r="30296" spans="1:6" ht="15.75" customHeight="1">
      <c r="A30296" s="15" t="s">
        <v>23562</v>
      </c>
      <c r="B30296" s="15" t="s">
        <v>23562</v>
      </c>
      <c r="C30296" s="15" t="s">
        <v>23559</v>
      </c>
      <c r="D30296" s="15" t="s">
        <v>23563</v>
      </c>
      <c r="E30296" s="2">
        <v>2253277</v>
      </c>
      <c r="F30296" s="4" t="str">
        <f>IF(B30296=B30295,"",B30296)</f>
        <v>Dara</v>
      </c>
    </row>
    <row r="30297" spans="1:6" ht="15.75" customHeight="1">
      <c r="A30297" s="16" t="str">
        <f ca="1">IFERROR(__xludf.DUMMYFUNCTION("GOOGLETRANSLATE(B41437,""en"",""pt"")"),"Dar‘ā")</f>
        <v>Dar‘ā</v>
      </c>
      <c r="B30297" s="20" t="s">
        <v>35752</v>
      </c>
      <c r="C30297" s="20" t="s">
        <v>25366</v>
      </c>
      <c r="D30297" s="20" t="s">
        <v>25375</v>
      </c>
      <c r="E30297" s="10">
        <v>170905</v>
      </c>
      <c r="F30297" s="4" t="str">
        <f>IF(B30297=B30296,"",B30297)</f>
        <v>Dar‘ā</v>
      </c>
    </row>
    <row r="30298" spans="1:6" ht="15.75" customHeight="1">
      <c r="A30298" s="16" t="str">
        <f ca="1">IFERROR(__xludf.DUMMYFUNCTION("GOOGLETRANSLATE(B24066,""en"",""pt"")"),"Dār Kulayb")</f>
        <v>Dār Kulayb</v>
      </c>
      <c r="B30298" s="20" t="s">
        <v>31327</v>
      </c>
      <c r="C30298" s="20" t="s">
        <v>1279</v>
      </c>
      <c r="D30298" s="20" t="s">
        <v>1283</v>
      </c>
      <c r="E30298" s="10">
        <v>290269</v>
      </c>
      <c r="F30298" s="4" t="e">
        <f>IF(B30298=#REF!,"",B30298)</f>
        <v>#REF!</v>
      </c>
    </row>
    <row r="30299" spans="1:6" ht="15.75" customHeight="1">
      <c r="A30299" s="16" t="s">
        <v>25590</v>
      </c>
      <c r="B30299" s="15" t="s">
        <v>25590</v>
      </c>
      <c r="C30299" s="16" t="s">
        <v>25560</v>
      </c>
      <c r="D30299" s="16" t="s">
        <v>25590</v>
      </c>
      <c r="E30299" s="2">
        <v>160263</v>
      </c>
      <c r="F30299" s="4" t="str">
        <f>IF(B30299=B30298,"",B30299)</f>
        <v>Dar es Salaam</v>
      </c>
    </row>
    <row r="30300" spans="1:6" ht="15.75" customHeight="1">
      <c r="A30300" s="16" t="str">
        <f ca="1">IFERROR(__xludf.DUMMYFUNCTION("GOOGLETRANSLATE(B28652,""en"",""pt"")"),"Dar El Beïda")</f>
        <v>Dar El Beïda</v>
      </c>
      <c r="B30300" s="20" t="s">
        <v>32205</v>
      </c>
      <c r="C30300" s="20" t="s">
        <v>153</v>
      </c>
      <c r="D30300" s="20" t="s">
        <v>207</v>
      </c>
      <c r="E30300" s="10">
        <v>2500889</v>
      </c>
      <c r="F30300" s="4" t="str">
        <f>IF(B30300=B30299,"",B30300)</f>
        <v>Dar el Beïda</v>
      </c>
    </row>
    <row r="30301" spans="1:6" ht="15.75" customHeight="1">
      <c r="A30301" s="16" t="s">
        <v>316</v>
      </c>
      <c r="B30301" s="15" t="s">
        <v>317</v>
      </c>
      <c r="C30301" s="16" t="s">
        <v>153</v>
      </c>
      <c r="D30301" s="16" t="s">
        <v>207</v>
      </c>
      <c r="E30301" s="2">
        <v>2500889</v>
      </c>
      <c r="F30301" s="4" t="e">
        <f>IF(B30301=#REF!,"",B30301)</f>
        <v>#REF!</v>
      </c>
    </row>
    <row r="30302" spans="1:6" ht="15.75" customHeight="1">
      <c r="A30302" s="16" t="s">
        <v>315</v>
      </c>
      <c r="B30302" s="15" t="s">
        <v>315</v>
      </c>
      <c r="C30302" s="16" t="s">
        <v>153</v>
      </c>
      <c r="D30302" s="16" t="s">
        <v>166</v>
      </c>
      <c r="E30302" s="2">
        <v>2500904</v>
      </c>
      <c r="F30302" s="4" t="e">
        <f>IF(B30302=#REF!,"",B30302)</f>
        <v>#REF!</v>
      </c>
    </row>
    <row r="30303" spans="1:6" ht="15.75" customHeight="1">
      <c r="A30303" s="16" t="s">
        <v>26114</v>
      </c>
      <c r="B30303" s="15" t="s">
        <v>26114</v>
      </c>
      <c r="C30303" s="16" t="s">
        <v>26090</v>
      </c>
      <c r="D30303" s="16" t="s">
        <v>26108</v>
      </c>
      <c r="E30303" s="2">
        <v>2471637</v>
      </c>
      <c r="F30303" s="4" t="e">
        <f>IF(B30303=#REF!,"",B30303)</f>
        <v>#REF!</v>
      </c>
    </row>
    <row r="30304" spans="1:6" ht="15.75" customHeight="1">
      <c r="A30304" s="15" t="s">
        <v>4615</v>
      </c>
      <c r="B30304" s="15" t="s">
        <v>4615</v>
      </c>
      <c r="C30304" s="15" t="s">
        <v>4487</v>
      </c>
      <c r="D30304" s="15" t="s">
        <v>4488</v>
      </c>
      <c r="E30304" s="2">
        <v>2037860</v>
      </c>
      <c r="F30304" s="4" t="e">
        <f>IF(B30304=#REF!,"",B30304)</f>
        <v>#REF!</v>
      </c>
    </row>
    <row r="30305" spans="1:6" ht="15.75" customHeight="1">
      <c r="A30305" s="15" t="s">
        <v>20751</v>
      </c>
      <c r="B30305" s="15" t="s">
        <v>20751</v>
      </c>
      <c r="C30305" s="15" t="s">
        <v>20598</v>
      </c>
      <c r="D30305" s="15" t="s">
        <v>20752</v>
      </c>
      <c r="E30305" s="2">
        <v>1715542</v>
      </c>
      <c r="F30305" s="4" t="e">
        <f>IF(B30305=#REF!,"",B30305)</f>
        <v>#REF!</v>
      </c>
    </row>
    <row r="30306" spans="1:6" ht="15.75" customHeight="1">
      <c r="A30306" s="15" t="s">
        <v>28389</v>
      </c>
      <c r="B30306" s="15" t="s">
        <v>28389</v>
      </c>
      <c r="C30306" s="15" t="s">
        <v>27788</v>
      </c>
      <c r="D30306" s="15" t="s">
        <v>28023</v>
      </c>
      <c r="E30306" s="2">
        <v>4058219</v>
      </c>
      <c r="F30306" s="4" t="e">
        <f>IF(B30306=#REF!,"",B30306)</f>
        <v>#REF!</v>
      </c>
    </row>
    <row r="30307" spans="1:6" ht="15.75" customHeight="1">
      <c r="A30307" s="16" t="s">
        <v>26046</v>
      </c>
      <c r="B30307" s="15" t="s">
        <v>26047</v>
      </c>
      <c r="C30307" s="16" t="s">
        <v>26038</v>
      </c>
      <c r="D30307" s="16" t="s">
        <v>15627</v>
      </c>
      <c r="E30307" s="2">
        <v>2367164</v>
      </c>
      <c r="F30307" s="4" t="e">
        <f>IF(B30307=#REF!,"",B30307)</f>
        <v>#REF!</v>
      </c>
    </row>
    <row r="30308" spans="1:6" ht="15.75" customHeight="1">
      <c r="A30308" s="15" t="s">
        <v>15633</v>
      </c>
      <c r="B30308" s="15" t="s">
        <v>15633</v>
      </c>
      <c r="C30308" s="15" t="s">
        <v>15586</v>
      </c>
      <c r="D30308" s="15" t="s">
        <v>15634</v>
      </c>
      <c r="E30308" s="2">
        <v>2290412</v>
      </c>
      <c r="F30308" s="4" t="str">
        <f>IF(B30308=B30307,"",B30308)</f>
        <v>Daoukro</v>
      </c>
    </row>
    <row r="30309" spans="1:6" ht="15.75" customHeight="1">
      <c r="A30309" s="16" t="s">
        <v>14739</v>
      </c>
      <c r="B30309" s="15" t="s">
        <v>14740</v>
      </c>
      <c r="C30309" s="16" t="s">
        <v>14728</v>
      </c>
      <c r="D30309" s="16" t="s">
        <v>14729</v>
      </c>
      <c r="E30309" s="2">
        <v>2964506</v>
      </c>
      <c r="F30309" s="4" t="e">
        <f>IF(B30309=#REF!,"",B30309)</f>
        <v>#REF!</v>
      </c>
    </row>
    <row r="30310" spans="1:6" ht="15.75" customHeight="1">
      <c r="A30310" s="15" t="s">
        <v>4614</v>
      </c>
      <c r="B30310" s="15" t="s">
        <v>4614</v>
      </c>
      <c r="C30310" s="15" t="s">
        <v>4487</v>
      </c>
      <c r="D30310" s="15" t="s">
        <v>4511</v>
      </c>
      <c r="E30310" s="2">
        <v>1813775</v>
      </c>
      <c r="F30310" s="4" t="e">
        <f>IF(B30310=#REF!,"",B30310)</f>
        <v>#REF!</v>
      </c>
    </row>
    <row r="30311" spans="1:6" ht="15.75" customHeight="1">
      <c r="A30311" s="15" t="s">
        <v>28388</v>
      </c>
      <c r="B30311" s="15" t="s">
        <v>28388</v>
      </c>
      <c r="C30311" s="15" t="s">
        <v>27788</v>
      </c>
      <c r="D30311" s="15" t="s">
        <v>27909</v>
      </c>
      <c r="E30311" s="2">
        <v>4289445</v>
      </c>
      <c r="F30311" s="4" t="e">
        <f>IF(B30311=#REF!,"",B30311)</f>
        <v>#REF!</v>
      </c>
    </row>
    <row r="30312" spans="1:6" ht="15.75" customHeight="1">
      <c r="A30312" s="15" t="s">
        <v>28387</v>
      </c>
      <c r="B30312" s="15" t="s">
        <v>28387</v>
      </c>
      <c r="C30312" s="15" t="s">
        <v>27788</v>
      </c>
      <c r="D30312" s="15" t="s">
        <v>27794</v>
      </c>
      <c r="E30312" s="2">
        <v>4934500</v>
      </c>
      <c r="F30312" s="4" t="e">
        <f>IF(B30312=#REF!,"",B30312)</f>
        <v>#REF!</v>
      </c>
    </row>
    <row r="30313" spans="1:6" ht="15.75" customHeight="1">
      <c r="A30313" s="15" t="s">
        <v>4613</v>
      </c>
      <c r="B30313" s="15" t="s">
        <v>4613</v>
      </c>
      <c r="C30313" s="15" t="s">
        <v>4487</v>
      </c>
      <c r="D30313" s="15" t="s">
        <v>4492</v>
      </c>
      <c r="E30313" s="2">
        <v>1813812</v>
      </c>
      <c r="F30313" s="4" t="str">
        <f>IF(B30313=B30312,"",B30313)</f>
        <v>Danshui</v>
      </c>
    </row>
    <row r="30314" spans="1:6" ht="15.75" customHeight="1">
      <c r="A30314" s="16" t="str">
        <f ca="1">IFERROR(__xludf.DUMMYFUNCTION("GOOGLETRANSLATE(B31182,""en"",""pt"")"),"Danlí")</f>
        <v>Danlí</v>
      </c>
      <c r="B30314" s="20" t="s">
        <v>32800</v>
      </c>
      <c r="C30314" s="20" t="s">
        <v>9907</v>
      </c>
      <c r="D30314" s="20" t="s">
        <v>32799</v>
      </c>
      <c r="E30314" s="10">
        <v>3612907</v>
      </c>
      <c r="F30314" s="4" t="str">
        <f>IF(B30314=B30313,"",B30314)</f>
        <v>Danlí</v>
      </c>
    </row>
    <row r="30315" spans="1:6" ht="15.75" customHeight="1">
      <c r="A30315" s="15" t="s">
        <v>9914</v>
      </c>
      <c r="B30315" s="15" t="s">
        <v>9915</v>
      </c>
      <c r="C30315" s="15" t="s">
        <v>9907</v>
      </c>
      <c r="D30315" s="15" t="s">
        <v>9916</v>
      </c>
      <c r="E30315" s="2">
        <v>3612907</v>
      </c>
      <c r="F30315" s="4" t="e">
        <f>IF(B30315=#REF!,"",B30315)</f>
        <v>#REF!</v>
      </c>
    </row>
    <row r="30316" spans="1:6" ht="15.75" customHeight="1">
      <c r="A30316" s="15" t="s">
        <v>22327</v>
      </c>
      <c r="B30316" s="15" t="s">
        <v>22327</v>
      </c>
      <c r="C30316" s="15" t="s">
        <v>22070</v>
      </c>
      <c r="D30316" s="15" t="s">
        <v>22328</v>
      </c>
      <c r="E30316" s="2">
        <v>567109</v>
      </c>
      <c r="F30316" s="4" t="e">
        <f>IF(B30316=#REF!,"",B30316)</f>
        <v>#REF!</v>
      </c>
    </row>
    <row r="30317" spans="1:6" ht="15.75" customHeight="1">
      <c r="A30317" s="16" t="s">
        <v>4612</v>
      </c>
      <c r="B30317" s="15" t="s">
        <v>4612</v>
      </c>
      <c r="C30317" s="16" t="s">
        <v>4487</v>
      </c>
      <c r="D30317" s="16" t="s">
        <v>4499</v>
      </c>
      <c r="E30317" s="2">
        <v>1813828</v>
      </c>
      <c r="F30317" s="4" t="e">
        <f>IF(B30317=#REF!,"",B30317)</f>
        <v>#REF!</v>
      </c>
    </row>
    <row r="30318" spans="1:6" ht="15.75" customHeight="1">
      <c r="A30318" s="15" t="s">
        <v>22325</v>
      </c>
      <c r="B30318" s="15" t="s">
        <v>22325</v>
      </c>
      <c r="C30318" s="15" t="s">
        <v>22070</v>
      </c>
      <c r="D30318" s="15" t="s">
        <v>22326</v>
      </c>
      <c r="E30318" s="2">
        <v>567183</v>
      </c>
      <c r="F30318" s="4" t="e">
        <f>IF(B30318=#REF!,"",B30318)</f>
        <v>#REF!</v>
      </c>
    </row>
    <row r="30319" spans="1:6" ht="15.75" customHeight="1">
      <c r="A30319" s="16" t="s">
        <v>28386</v>
      </c>
      <c r="B30319" s="15" t="s">
        <v>28386</v>
      </c>
      <c r="C30319" s="16" t="s">
        <v>27788</v>
      </c>
      <c r="D30319" s="16" t="s">
        <v>5468</v>
      </c>
      <c r="E30319" s="2">
        <v>4152772</v>
      </c>
      <c r="F30319" s="4" t="e">
        <f>IF(B30319=#REF!,"",B30319)</f>
        <v>#REF!</v>
      </c>
    </row>
    <row r="30320" spans="1:6" ht="15.75" customHeight="1">
      <c r="A30320" s="15" t="s">
        <v>25533</v>
      </c>
      <c r="B30320" s="15" t="s">
        <v>25533</v>
      </c>
      <c r="C30320" s="15" t="s">
        <v>25527</v>
      </c>
      <c r="D30320" s="15" t="s">
        <v>25532</v>
      </c>
      <c r="E30320" s="2">
        <v>1221965</v>
      </c>
      <c r="F30320" s="4" t="e">
        <f>IF(B30320=#REF!,"",B30320)</f>
        <v>#REF!</v>
      </c>
    </row>
    <row r="30321" spans="1:6" ht="15.75" customHeight="1">
      <c r="A30321" s="15" t="s">
        <v>4611</v>
      </c>
      <c r="B30321" s="15" t="s">
        <v>4611</v>
      </c>
      <c r="C30321" s="15" t="s">
        <v>4487</v>
      </c>
      <c r="D30321" s="15" t="s">
        <v>4505</v>
      </c>
      <c r="E30321" s="2">
        <v>2037886</v>
      </c>
      <c r="F30321" s="4" t="e">
        <f>IF(B30321=#REF!,"",B30321)</f>
        <v>#REF!</v>
      </c>
    </row>
    <row r="30322" spans="1:6" ht="15.75" customHeight="1">
      <c r="A30322" s="16" t="s">
        <v>951</v>
      </c>
      <c r="B30322" s="15" t="s">
        <v>951</v>
      </c>
      <c r="C30322" s="16" t="s">
        <v>885</v>
      </c>
      <c r="D30322" s="16" t="s">
        <v>827</v>
      </c>
      <c r="E30322" s="2">
        <v>9972522</v>
      </c>
      <c r="F30322" s="4" t="e">
        <f>IF(B30322=#REF!,"",B30322)</f>
        <v>#REF!</v>
      </c>
    </row>
    <row r="30323" spans="1:6" ht="15.75" customHeight="1">
      <c r="A30323" s="16" t="s">
        <v>950</v>
      </c>
      <c r="B30323" s="15" t="s">
        <v>950</v>
      </c>
      <c r="C30323" s="16" t="s">
        <v>885</v>
      </c>
      <c r="D30323" s="16" t="s">
        <v>827</v>
      </c>
      <c r="E30323" s="2">
        <v>2169460</v>
      </c>
      <c r="F30323" s="4" t="e">
        <f>IF(B30323=#REF!,"",B30323)</f>
        <v>#REF!</v>
      </c>
    </row>
    <row r="30324" spans="1:6" ht="15.75" customHeight="1">
      <c r="A30324" s="15" t="s">
        <v>11066</v>
      </c>
      <c r="B30324" s="15" t="s">
        <v>11066</v>
      </c>
      <c r="C30324" s="15" t="s">
        <v>10178</v>
      </c>
      <c r="D30324" s="15" t="s">
        <v>10252</v>
      </c>
      <c r="E30324" s="2">
        <v>1273574</v>
      </c>
      <c r="F30324" s="4" t="e">
        <f>IF(B30324=#REF!,"",B30324)</f>
        <v>#REF!</v>
      </c>
    </row>
    <row r="30325" spans="1:6" ht="15.75" customHeight="1">
      <c r="A30325" s="15" t="s">
        <v>20750</v>
      </c>
      <c r="B30325" s="15" t="s">
        <v>20750</v>
      </c>
      <c r="C30325" s="15" t="s">
        <v>20598</v>
      </c>
      <c r="D30325" s="15" t="s">
        <v>20622</v>
      </c>
      <c r="E30325" s="2">
        <v>1715804</v>
      </c>
      <c r="F30325" s="4" t="str">
        <f>IF(B30325=B30324,"",B30325)</f>
        <v>Danao</v>
      </c>
    </row>
    <row r="30326" spans="1:6" ht="15.75" customHeight="1">
      <c r="A30326" s="16" t="str">
        <f ca="1">IFERROR(__xludf.DUMMYFUNCTION("GOOGLETRANSLATE(B25855,""en"",""pt"")"),"Danané")</f>
        <v>Danané</v>
      </c>
      <c r="B30326" s="20" t="s">
        <v>15631</v>
      </c>
      <c r="C30326" s="20" t="s">
        <v>15586</v>
      </c>
      <c r="D30326" s="20" t="s">
        <v>15613</v>
      </c>
      <c r="E30326" s="10">
        <v>2290462</v>
      </c>
      <c r="F30326" s="4" t="str">
        <f>IF(B30326=B30325,"",B30326)</f>
        <v>Danané</v>
      </c>
    </row>
    <row r="30327" spans="1:6" ht="15.75" customHeight="1">
      <c r="A30327" s="15" t="s">
        <v>15631</v>
      </c>
      <c r="B30327" s="15" t="s">
        <v>15632</v>
      </c>
      <c r="C30327" s="15" t="s">
        <v>15586</v>
      </c>
      <c r="D30327" s="15" t="s">
        <v>15613</v>
      </c>
      <c r="E30327" s="2">
        <v>2290462</v>
      </c>
      <c r="F30327" s="4" t="str">
        <f>IF(B30327=B30326,"",B30327)</f>
        <v>DananÃ©</v>
      </c>
    </row>
    <row r="30328" spans="1:6" ht="15.75" customHeight="1">
      <c r="A30328" s="16" t="str">
        <f ca="1">IFERROR(__xludf.DUMMYFUNCTION("GOOGLETRANSLATE(B28400,""en"",""pt"")"),"Ḏânan")</f>
        <v>Ḏânan</v>
      </c>
      <c r="B30328" s="20" t="s">
        <v>32148</v>
      </c>
      <c r="C30328" s="20" t="s">
        <v>6292</v>
      </c>
      <c r="D30328" s="20" t="s">
        <v>6293</v>
      </c>
      <c r="E30328" s="10">
        <v>224152</v>
      </c>
      <c r="F30328" s="4" t="e">
        <f>IF(B30328=#REF!,"",B30328)</f>
        <v>#REF!</v>
      </c>
    </row>
    <row r="30329" spans="1:6" ht="15.75" customHeight="1">
      <c r="A30329" s="16" t="s">
        <v>28385</v>
      </c>
      <c r="B30329" s="15" t="s">
        <v>28385</v>
      </c>
      <c r="C30329" s="16" t="s">
        <v>27788</v>
      </c>
      <c r="D30329" s="16" t="s">
        <v>27801</v>
      </c>
      <c r="E30329" s="2">
        <v>5341483</v>
      </c>
      <c r="F30329" s="4" t="e">
        <f>IF(B30329=#REF!,"",B30329)</f>
        <v>#REF!</v>
      </c>
    </row>
    <row r="30330" spans="1:6" ht="15.75" customHeight="1">
      <c r="A30330" s="16" t="s">
        <v>25872</v>
      </c>
      <c r="B30330" s="15" t="s">
        <v>25872</v>
      </c>
      <c r="C30330" s="16" t="s">
        <v>25771</v>
      </c>
      <c r="D30330" s="16" t="s">
        <v>25774</v>
      </c>
      <c r="E30330" s="2">
        <v>1610963</v>
      </c>
      <c r="F30330" s="4" t="e">
        <f>IF(B30330=#REF!,"",B30330)</f>
        <v>#REF!</v>
      </c>
    </row>
    <row r="30331" spans="1:6" ht="15.75" customHeight="1">
      <c r="A30331" s="15" t="s">
        <v>13903</v>
      </c>
      <c r="B30331" s="15" t="s">
        <v>13903</v>
      </c>
      <c r="C30331" s="15" t="s">
        <v>13800</v>
      </c>
      <c r="D30331" s="15" t="s">
        <v>13816</v>
      </c>
      <c r="E30331" s="2">
        <v>1645749</v>
      </c>
      <c r="F30331" s="4" t="e">
        <f>IF(B30331=#REF!,"",B30331)</f>
        <v>#REF!</v>
      </c>
    </row>
    <row r="30332" spans="1:6" ht="15.75" customHeight="1">
      <c r="A30332" s="15" t="s">
        <v>11065</v>
      </c>
      <c r="B30332" s="15" t="s">
        <v>11065</v>
      </c>
      <c r="C30332" s="15" t="s">
        <v>10178</v>
      </c>
      <c r="D30332" s="15" t="s">
        <v>10219</v>
      </c>
      <c r="E30332" s="2">
        <v>1273587</v>
      </c>
      <c r="F30332" s="4" t="e">
        <f>IF(B30332=#REF!,"",B30332)</f>
        <v>#REF!</v>
      </c>
    </row>
    <row r="30333" spans="1:6" ht="15.75" customHeight="1">
      <c r="A30333" s="16" t="s">
        <v>25870</v>
      </c>
      <c r="B30333" s="15" t="s">
        <v>25871</v>
      </c>
      <c r="C30333" s="16" t="s">
        <v>25771</v>
      </c>
      <c r="D30333" s="16" t="s">
        <v>25811</v>
      </c>
      <c r="E30333" s="2">
        <v>1153513</v>
      </c>
      <c r="F30333" s="4" t="str">
        <f>IF(B30333=B30332,"",B30333)</f>
        <v>Damnoen Saduak</v>
      </c>
    </row>
    <row r="30334" spans="1:6" ht="15.75" customHeight="1">
      <c r="A30334" s="16" t="str">
        <f ca="1">IFERROR(__xludf.DUMMYFUNCTION("GOOGLETRANSLATE(B33651,""en"",""pt"")"),"Dāmnagar")</f>
        <v>Dāmnagar</v>
      </c>
      <c r="B30334" s="20" t="s">
        <v>33799</v>
      </c>
      <c r="C30334" s="20" t="s">
        <v>10178</v>
      </c>
      <c r="D30334" s="20" t="s">
        <v>10209</v>
      </c>
      <c r="E30334" s="10">
        <v>1273593</v>
      </c>
      <c r="F30334" s="4" t="e">
        <f>IF(B30334=#REF!,"",B30334)</f>
        <v>#REF!</v>
      </c>
    </row>
    <row r="30335" spans="1:6" ht="15.75" customHeight="1">
      <c r="A30335" s="15" t="s">
        <v>8287</v>
      </c>
      <c r="B30335" s="15" t="s">
        <v>8287</v>
      </c>
      <c r="C30335" s="15" t="s">
        <v>8028</v>
      </c>
      <c r="D30335" s="15" t="s">
        <v>8034</v>
      </c>
      <c r="E30335" s="2">
        <v>2939167</v>
      </c>
      <c r="F30335" s="4" t="e">
        <f>IF(B30335=#REF!,"",B30335)</f>
        <v>#REF!</v>
      </c>
    </row>
    <row r="30336" spans="1:6" ht="15.75" customHeight="1">
      <c r="A30336" s="16" t="s">
        <v>7313</v>
      </c>
      <c r="B30336" s="15" t="s">
        <v>7314</v>
      </c>
      <c r="C30336" s="16" t="s">
        <v>7052</v>
      </c>
      <c r="D30336" s="16" t="s">
        <v>7058</v>
      </c>
      <c r="E30336" s="2">
        <v>3021852</v>
      </c>
      <c r="F30336" s="4" t="e">
        <f>IF(B30336=#REF!,"",B30336)</f>
        <v>#REF!</v>
      </c>
    </row>
    <row r="30337" spans="1:6" ht="15.75" customHeight="1">
      <c r="A30337" s="15" t="s">
        <v>23523</v>
      </c>
      <c r="B30337" s="15" t="s">
        <v>23523</v>
      </c>
      <c r="C30337" s="15" t="s">
        <v>23454</v>
      </c>
      <c r="D30337" s="15" t="s">
        <v>6128</v>
      </c>
      <c r="E30337" s="2">
        <v>110336</v>
      </c>
      <c r="F30337" s="4" t="e">
        <f>IF(B30337=#REF!,"",B30337)</f>
        <v>#REF!</v>
      </c>
    </row>
    <row r="30338" spans="1:6" ht="15.75" customHeight="1">
      <c r="A30338" s="15" t="s">
        <v>6624</v>
      </c>
      <c r="B30338" s="15" t="s">
        <v>6624</v>
      </c>
      <c r="C30338" s="15" t="s">
        <v>6495</v>
      </c>
      <c r="D30338" s="15" t="s">
        <v>6605</v>
      </c>
      <c r="E30338" s="2">
        <v>358048</v>
      </c>
      <c r="F30338" s="4" t="str">
        <f>IF(B30338=B30337,"",B30338)</f>
        <v>Damietta</v>
      </c>
    </row>
    <row r="30339" spans="1:6" ht="15.75" customHeight="1">
      <c r="A30339" s="16" t="str">
        <f ca="1">IFERROR(__xludf.DUMMYFUNCTION("GOOGLETRANSLATE(B34465,""en"",""pt"")"),"Dāmghān")</f>
        <v>Dāmghān</v>
      </c>
      <c r="B30339" s="20" t="s">
        <v>34212</v>
      </c>
      <c r="C30339" s="20" t="s">
        <v>14240</v>
      </c>
      <c r="D30339" s="20" t="s">
        <v>34124</v>
      </c>
      <c r="E30339" s="10">
        <v>138025</v>
      </c>
      <c r="F30339" s="4" t="e">
        <f>IF(B30339=#REF!,"",B30339)</f>
        <v>#REF!</v>
      </c>
    </row>
    <row r="30340" spans="1:6" ht="15.75" customHeight="1">
      <c r="A30340" s="16" t="s">
        <v>24936</v>
      </c>
      <c r="B30340" s="15" t="s">
        <v>24937</v>
      </c>
      <c r="C30340" s="16" t="s">
        <v>24924</v>
      </c>
      <c r="D30340" s="16" t="s">
        <v>1886</v>
      </c>
      <c r="E30340" s="2">
        <v>1248749</v>
      </c>
      <c r="F30340" s="4" t="e">
        <f>IF(B30340=#REF!,"",B30340)</f>
        <v>#REF!</v>
      </c>
    </row>
    <row r="30341" spans="1:6" ht="15.75" customHeight="1">
      <c r="A30341" s="15" t="s">
        <v>19365</v>
      </c>
      <c r="B30341" s="15" t="s">
        <v>19366</v>
      </c>
      <c r="C30341" s="15" t="s">
        <v>19294</v>
      </c>
      <c r="D30341" s="15" t="s">
        <v>19338</v>
      </c>
      <c r="E30341" s="2">
        <v>2345498</v>
      </c>
      <c r="F30341" s="4" t="str">
        <f>IF(B30341=B30340,"",B30341)</f>
        <v>Damboa</v>
      </c>
    </row>
    <row r="30342" spans="1:6" ht="15.75" customHeight="1">
      <c r="A30342" s="16" t="str">
        <f ca="1">IFERROR(__xludf.DUMMYFUNCTION("GOOGLETRANSLATE(B34466,""en"",""pt"")"),"Damāvand")</f>
        <v>Damāvand</v>
      </c>
      <c r="B30342" s="20" t="s">
        <v>34213</v>
      </c>
      <c r="C30342" s="20" t="s">
        <v>14240</v>
      </c>
      <c r="D30342" s="20" t="s">
        <v>34125</v>
      </c>
      <c r="E30342" s="10">
        <v>138042</v>
      </c>
      <c r="F30342" s="4" t="e">
        <f>IF(B30342=#REF!,"",B30342)</f>
        <v>#REF!</v>
      </c>
    </row>
    <row r="30343" spans="1:6" ht="15.75" customHeight="1">
      <c r="A30343" s="16" t="s">
        <v>19363</v>
      </c>
      <c r="B30343" s="15" t="s">
        <v>19363</v>
      </c>
      <c r="C30343" s="16" t="s">
        <v>19294</v>
      </c>
      <c r="D30343" s="16" t="s">
        <v>19364</v>
      </c>
      <c r="E30343" s="2">
        <v>2345521</v>
      </c>
      <c r="F30343" s="4" t="e">
        <f>IF(B30343=#REF!,"",B30343)</f>
        <v>#REF!</v>
      </c>
    </row>
    <row r="30344" spans="1:6" ht="15.75" customHeight="1">
      <c r="A30344" s="15" t="s">
        <v>25438</v>
      </c>
      <c r="B30344" s="15" t="s">
        <v>25439</v>
      </c>
      <c r="C30344" s="15" t="s">
        <v>25366</v>
      </c>
      <c r="D30344" s="15" t="s">
        <v>25440</v>
      </c>
      <c r="E30344" s="2">
        <v>170654</v>
      </c>
      <c r="F30344" s="4" t="e">
        <f>IF(B30344=#REF!,"",B30344)</f>
        <v>#REF!</v>
      </c>
    </row>
    <row r="30345" spans="1:6" ht="15.75" customHeight="1">
      <c r="A30345" s="15" t="s">
        <v>4288</v>
      </c>
      <c r="B30345" s="15" t="s">
        <v>4288</v>
      </c>
      <c r="C30345" s="15" t="s">
        <v>4264</v>
      </c>
      <c r="D30345" s="15" t="s">
        <v>4277</v>
      </c>
      <c r="E30345" s="2">
        <v>2387435</v>
      </c>
      <c r="F30345" s="4" t="str">
        <f>IF(B30345=B30344,"",B30345)</f>
        <v>Damara</v>
      </c>
    </row>
    <row r="30346" spans="1:6" ht="15.75" customHeight="1">
      <c r="A30346" s="16" t="str">
        <f ca="1">IFERROR(__xludf.DUMMYFUNCTION("GOOGLETRANSLATE(B28880,""en"",""pt"")"),"Damanhūr")</f>
        <v>Damanhūr</v>
      </c>
      <c r="B30346" s="20" t="s">
        <v>32304</v>
      </c>
      <c r="C30346" s="20" t="s">
        <v>6495</v>
      </c>
      <c r="D30346" s="20" t="s">
        <v>32264</v>
      </c>
      <c r="E30346" s="10">
        <v>358448</v>
      </c>
      <c r="F30346" s="4" t="str">
        <f>IF(B30346=B30345,"",B30346)</f>
        <v>Damanhūr</v>
      </c>
    </row>
    <row r="30347" spans="1:6" ht="15.75" customHeight="1">
      <c r="A30347" s="16" t="s">
        <v>6622</v>
      </c>
      <c r="B30347" s="15" t="s">
        <v>6623</v>
      </c>
      <c r="C30347" s="16" t="s">
        <v>6495</v>
      </c>
      <c r="D30347" s="16" t="s">
        <v>6499</v>
      </c>
      <c r="E30347" s="2">
        <v>358448</v>
      </c>
      <c r="F30347" s="4" t="e">
        <f>IF(B30347=#REF!,"",B30347)</f>
        <v>#REF!</v>
      </c>
    </row>
    <row r="30348" spans="1:6" ht="15.75" customHeight="1">
      <c r="A30348" s="15" t="s">
        <v>11063</v>
      </c>
      <c r="B30348" s="15" t="s">
        <v>11063</v>
      </c>
      <c r="C30348" s="15" t="s">
        <v>10178</v>
      </c>
      <c r="D30348" s="15" t="s">
        <v>11064</v>
      </c>
      <c r="E30348" s="2">
        <v>1273618</v>
      </c>
      <c r="F30348" s="4" t="str">
        <f>IF(B30348=B30347,"",B30348)</f>
        <v>Daman</v>
      </c>
    </row>
    <row r="30349" spans="1:6" ht="15.75" customHeight="1">
      <c r="A30349" s="16" t="s">
        <v>14356</v>
      </c>
      <c r="B30349" s="15" t="s">
        <v>14357</v>
      </c>
      <c r="C30349" s="16" t="s">
        <v>14240</v>
      </c>
      <c r="D30349" s="16" t="s">
        <v>14358</v>
      </c>
      <c r="E30349" s="2">
        <v>138042</v>
      </c>
      <c r="F30349" s="4" t="e">
        <f>IF(B30349=#REF!,"",B30349)</f>
        <v>#REF!</v>
      </c>
    </row>
    <row r="30350" spans="1:6" ht="15.75" customHeight="1">
      <c r="A30350" s="15" t="s">
        <v>11061</v>
      </c>
      <c r="B30350" s="15" t="s">
        <v>11062</v>
      </c>
      <c r="C30350" s="15" t="s">
        <v>10178</v>
      </c>
      <c r="D30350" s="15" t="s">
        <v>10201</v>
      </c>
      <c r="E30350" s="2">
        <v>1272243</v>
      </c>
      <c r="F30350" s="4" t="e">
        <f>IF(B30350=#REF!,"",B30350)</f>
        <v>#REF!</v>
      </c>
    </row>
    <row r="30351" spans="1:6" ht="15.75" customHeight="1">
      <c r="A30351" s="16" t="s">
        <v>28383</v>
      </c>
      <c r="B30351" s="15" t="s">
        <v>28384</v>
      </c>
      <c r="C30351" s="16" t="s">
        <v>27788</v>
      </c>
      <c r="D30351" s="16" t="s">
        <v>27801</v>
      </c>
      <c r="E30351" s="2">
        <v>5341430</v>
      </c>
      <c r="F30351" s="4" t="e">
        <f>IF(B30351=#REF!,"",B30351)</f>
        <v>#REF!</v>
      </c>
    </row>
    <row r="30352" spans="1:6" ht="15.75" customHeight="1">
      <c r="A30352" s="15" t="s">
        <v>11059</v>
      </c>
      <c r="B30352" s="15" t="s">
        <v>11060</v>
      </c>
      <c r="C30352" s="15" t="s">
        <v>10178</v>
      </c>
      <c r="D30352" s="15" t="s">
        <v>10430</v>
      </c>
      <c r="E30352" s="2">
        <v>1273626</v>
      </c>
      <c r="F30352" s="4" t="e">
        <f>IF(B30352=#REF!,"",B30352)</f>
        <v>#REF!</v>
      </c>
    </row>
    <row r="30353" spans="1:6" ht="15.75" customHeight="1">
      <c r="A30353" s="15" t="s">
        <v>28382</v>
      </c>
      <c r="B30353" s="15" t="s">
        <v>28382</v>
      </c>
      <c r="C30353" s="15" t="s">
        <v>27788</v>
      </c>
      <c r="D30353" s="15" t="s">
        <v>7988</v>
      </c>
      <c r="E30353" s="2">
        <v>4190581</v>
      </c>
      <c r="F30353" s="4" t="e">
        <f>IF(B30353=#REF!,"",B30353)</f>
        <v>#REF!</v>
      </c>
    </row>
    <row r="30354" spans="1:6" ht="15.75" customHeight="1">
      <c r="A30354" s="16" t="s">
        <v>11058</v>
      </c>
      <c r="B30354" s="15" t="s">
        <v>11058</v>
      </c>
      <c r="C30354" s="16" t="s">
        <v>10178</v>
      </c>
      <c r="D30354" s="16" t="s">
        <v>10317</v>
      </c>
      <c r="E30354" s="2">
        <v>1273628</v>
      </c>
      <c r="F30354" s="4" t="e">
        <f>IF(B30354=#REF!,"",B30354)</f>
        <v>#REF!</v>
      </c>
    </row>
    <row r="30355" spans="1:6" ht="15.75" customHeight="1">
      <c r="A30355" s="15" t="s">
        <v>15629</v>
      </c>
      <c r="B30355" s="15" t="s">
        <v>15629</v>
      </c>
      <c r="C30355" s="15" t="s">
        <v>15586</v>
      </c>
      <c r="D30355" s="15" t="s">
        <v>15630</v>
      </c>
      <c r="E30355" s="2">
        <v>2290486</v>
      </c>
      <c r="F30355" s="4" t="e">
        <f>IF(B30355=#REF!,"",B30355)</f>
        <v>#REF!</v>
      </c>
    </row>
    <row r="30356" spans="1:6" ht="15.75" customHeight="1">
      <c r="A30356" s="16" t="s">
        <v>22324</v>
      </c>
      <c r="B30356" s="15" t="s">
        <v>22324</v>
      </c>
      <c r="C30356" s="16" t="s">
        <v>22070</v>
      </c>
      <c r="D30356" s="16" t="s">
        <v>22154</v>
      </c>
      <c r="E30356" s="2">
        <v>2051471</v>
      </c>
      <c r="F30356" s="4" t="e">
        <f>IF(B30356=#REF!,"",B30356)</f>
        <v>#REF!</v>
      </c>
    </row>
    <row r="30357" spans="1:6" ht="15.75" customHeight="1">
      <c r="A30357" s="15" t="s">
        <v>15118</v>
      </c>
      <c r="B30357" s="15" t="s">
        <v>15118</v>
      </c>
      <c r="C30357" s="15" t="s">
        <v>14891</v>
      </c>
      <c r="D30357" s="15" t="s">
        <v>14894</v>
      </c>
      <c r="E30357" s="2">
        <v>3177650</v>
      </c>
      <c r="F30357" s="4" t="e">
        <f>IF(B30357=#REF!,"",B30357)</f>
        <v>#REF!</v>
      </c>
    </row>
    <row r="30358" spans="1:6" ht="15.75" customHeight="1">
      <c r="A30358" s="15" t="s">
        <v>28381</v>
      </c>
      <c r="B30358" s="15" t="s">
        <v>28381</v>
      </c>
      <c r="C30358" s="15" t="s">
        <v>27788</v>
      </c>
      <c r="D30358" s="15" t="s">
        <v>27792</v>
      </c>
      <c r="E30358" s="2">
        <v>4684888</v>
      </c>
      <c r="F30358" s="4" t="e">
        <f>IF(B30358=#REF!,"",B30358)</f>
        <v>#REF!</v>
      </c>
    </row>
    <row r="30359" spans="1:6" ht="15.75" customHeight="1">
      <c r="A30359" s="15" t="s">
        <v>11057</v>
      </c>
      <c r="B30359" s="15" t="s">
        <v>11057</v>
      </c>
      <c r="C30359" s="15" t="s">
        <v>10178</v>
      </c>
      <c r="D30359" s="15" t="s">
        <v>10201</v>
      </c>
      <c r="E30359" s="2">
        <v>1273642</v>
      </c>
      <c r="F30359" s="4" t="str">
        <f>IF(B30359=B30358,"",B30359)</f>
        <v>Dalkola</v>
      </c>
    </row>
    <row r="30360" spans="1:6" ht="15.75" customHeight="1">
      <c r="A30360" s="16" t="str">
        <f ca="1">IFERROR(__xludf.DUMMYFUNCTION("GOOGLETRANSLATE(B31813,""en"",""pt"")"),"Dāliyat El Karmil")</f>
        <v>Dāliyat El Karmil</v>
      </c>
      <c r="B30360" s="20" t="s">
        <v>32931</v>
      </c>
      <c r="C30360" s="20" t="s">
        <v>14773</v>
      </c>
      <c r="D30360" s="20" t="s">
        <v>14796</v>
      </c>
      <c r="E30360" s="10">
        <v>295365</v>
      </c>
      <c r="F30360" s="4" t="e">
        <f>IF(B30360=#REF!,"",B30360)</f>
        <v>#REF!</v>
      </c>
    </row>
    <row r="30361" spans="1:6" ht="15.75" customHeight="1">
      <c r="A30361" s="16" t="s">
        <v>4610</v>
      </c>
      <c r="B30361" s="15" t="s">
        <v>4610</v>
      </c>
      <c r="C30361" s="16" t="s">
        <v>4487</v>
      </c>
      <c r="D30361" s="16" t="s">
        <v>4505</v>
      </c>
      <c r="E30361" s="2">
        <v>1921372</v>
      </c>
      <c r="F30361" s="4" t="e">
        <f>IF(B30361=#REF!,"",B30361)</f>
        <v>#REF!</v>
      </c>
    </row>
    <row r="30362" spans="1:6" ht="15.75" customHeight="1">
      <c r="A30362" s="15" t="s">
        <v>4609</v>
      </c>
      <c r="B30362" s="15" t="s">
        <v>4609</v>
      </c>
      <c r="C30362" s="15" t="s">
        <v>4487</v>
      </c>
      <c r="D30362" s="15" t="s">
        <v>4492</v>
      </c>
      <c r="E30362" s="2">
        <v>1814082</v>
      </c>
      <c r="F30362" s="4" t="e">
        <f>IF(B30362=#REF!,"",B30362)</f>
        <v>#REF!</v>
      </c>
    </row>
    <row r="30363" spans="1:6" ht="15.75" customHeight="1">
      <c r="A30363" s="15" t="s">
        <v>4608</v>
      </c>
      <c r="B30363" s="15" t="s">
        <v>4608</v>
      </c>
      <c r="C30363" s="15" t="s">
        <v>4487</v>
      </c>
      <c r="D30363" s="15" t="s">
        <v>4505</v>
      </c>
      <c r="E30363" s="2">
        <v>1814087</v>
      </c>
      <c r="F30363" s="4" t="e">
        <f>IF(B30363=#REF!,"",B30363)</f>
        <v>#REF!</v>
      </c>
    </row>
    <row r="30364" spans="1:6" ht="15.75" customHeight="1">
      <c r="A30364" s="15" t="s">
        <v>4606</v>
      </c>
      <c r="B30364" s="15" t="s">
        <v>4606</v>
      </c>
      <c r="C30364" s="15" t="s">
        <v>4487</v>
      </c>
      <c r="D30364" s="15" t="s">
        <v>4607</v>
      </c>
      <c r="E30364" s="2">
        <v>1814093</v>
      </c>
      <c r="F30364" s="4" t="e">
        <f>IF(B30364=#REF!,"",B30364)</f>
        <v>#REF!</v>
      </c>
    </row>
    <row r="30365" spans="1:6" ht="15.75" customHeight="1">
      <c r="A30365" s="15" t="s">
        <v>18930</v>
      </c>
      <c r="B30365" s="15" t="s">
        <v>18930</v>
      </c>
      <c r="C30365" s="15" t="s">
        <v>18862</v>
      </c>
      <c r="D30365" s="15" t="s">
        <v>18871</v>
      </c>
      <c r="E30365" s="2">
        <v>2757850</v>
      </c>
      <c r="F30365" s="4" t="e">
        <f>IF(B30365=#REF!,"",B30365)</f>
        <v>#REF!</v>
      </c>
    </row>
    <row r="30366" spans="1:6" ht="15.75" customHeight="1">
      <c r="A30366" s="16" t="s">
        <v>18506</v>
      </c>
      <c r="B30366" s="15" t="s">
        <v>18506</v>
      </c>
      <c r="C30366" s="16" t="s">
        <v>18496</v>
      </c>
      <c r="D30366" s="16" t="s">
        <v>18507</v>
      </c>
      <c r="E30366" s="2">
        <v>2032007</v>
      </c>
      <c r="F30366" s="4" t="e">
        <f>IF(B30366=#REF!,"",B30366)</f>
        <v>#REF!</v>
      </c>
    </row>
    <row r="30367" spans="1:6" ht="15.75" customHeight="1">
      <c r="A30367" s="15" t="s">
        <v>26435</v>
      </c>
      <c r="B30367" s="15" t="s">
        <v>26435</v>
      </c>
      <c r="C30367" s="15" t="s">
        <v>26201</v>
      </c>
      <c r="D30367" s="15" t="s">
        <v>26409</v>
      </c>
      <c r="E30367" s="2">
        <v>447273</v>
      </c>
      <c r="F30367" s="4" t="e">
        <f>IF(B30367=#REF!,"",B30367)</f>
        <v>#REF!</v>
      </c>
    </row>
    <row r="30368" spans="1:6" ht="15.75" customHeight="1">
      <c r="A30368" s="15" t="s">
        <v>4605</v>
      </c>
      <c r="B30368" s="15" t="s">
        <v>4605</v>
      </c>
      <c r="C30368" s="15" t="s">
        <v>4487</v>
      </c>
      <c r="D30368" s="15" t="s">
        <v>4518</v>
      </c>
      <c r="E30368" s="2">
        <v>2037930</v>
      </c>
      <c r="F30368" s="4" t="str">
        <f>IF(B30368=B30367,"",B30368)</f>
        <v>Dalai</v>
      </c>
    </row>
    <row r="30369" spans="1:6" ht="15.75" customHeight="1">
      <c r="A30369" s="16" t="s">
        <v>22322</v>
      </c>
      <c r="B30369" s="15" t="s">
        <v>22323</v>
      </c>
      <c r="C30369" s="16" t="s">
        <v>22070</v>
      </c>
      <c r="D30369" s="16" t="s">
        <v>22154</v>
      </c>
      <c r="E30369" s="2">
        <v>2025159</v>
      </c>
      <c r="F30369" s="4" t="str">
        <f>IF(B30369=B30368,"",B30369)</f>
        <v>Dalâ€™nerechensk</v>
      </c>
    </row>
    <row r="30370" spans="1:6" ht="15.75" customHeight="1">
      <c r="A30370" s="16" t="str">
        <f ca="1">IFERROR(__xludf.DUMMYFUNCTION("GOOGLETRANSLATE(B40931,""en"",""pt"")"),"Dal'nerechensk")</f>
        <v>Dal'nerechensk</v>
      </c>
      <c r="B30370" s="20" t="s">
        <v>35560</v>
      </c>
      <c r="C30370" s="20" t="s">
        <v>22070</v>
      </c>
      <c r="D30370" s="20" t="s">
        <v>22154</v>
      </c>
      <c r="E30370" s="10">
        <v>2025159</v>
      </c>
      <c r="F30370" s="4" t="e">
        <f>IF(B30370=#REF!,"",B30370)</f>
        <v>#REF!</v>
      </c>
    </row>
    <row r="30371" spans="1:6" ht="15.75" customHeight="1">
      <c r="A30371" s="15" t="s">
        <v>19266</v>
      </c>
      <c r="B30371" s="15" t="s">
        <v>19266</v>
      </c>
      <c r="C30371" s="15" t="s">
        <v>19259</v>
      </c>
      <c r="D30371" s="15" t="s">
        <v>19267</v>
      </c>
      <c r="E30371" s="2">
        <v>2446267</v>
      </c>
      <c r="F30371" s="4" t="str">
        <f>IF(B30371=B30370,"",B30371)</f>
        <v>Dakoro</v>
      </c>
    </row>
    <row r="30372" spans="1:6" ht="15.75" customHeight="1">
      <c r="A30372" s="16" t="str">
        <f ca="1">IFERROR(__xludf.DUMMYFUNCTION("GOOGLETRANSLATE(B33656,""en"",""pt"")"),"Dākor")</f>
        <v>Dākor</v>
      </c>
      <c r="B30372" s="20" t="s">
        <v>33800</v>
      </c>
      <c r="C30372" s="20" t="s">
        <v>10178</v>
      </c>
      <c r="D30372" s="20" t="s">
        <v>10209</v>
      </c>
      <c r="E30372" s="10">
        <v>1273665</v>
      </c>
      <c r="F30372" s="4" t="e">
        <f>IF(B30372=#REF!,"",B30372)</f>
        <v>#REF!</v>
      </c>
    </row>
    <row r="30373" spans="1:6" ht="15.75" customHeight="1">
      <c r="A30373" s="15" t="s">
        <v>18574</v>
      </c>
      <c r="B30373" s="15" t="s">
        <v>18574</v>
      </c>
      <c r="C30373" s="15" t="s">
        <v>18551</v>
      </c>
      <c r="D30373" s="15" t="s">
        <v>18575</v>
      </c>
      <c r="E30373" s="2">
        <v>8542188</v>
      </c>
      <c r="F30373" s="4" t="e">
        <f>IF(B30373=#REF!,"",B30373)</f>
        <v>#REF!</v>
      </c>
    </row>
    <row r="30374" spans="1:6" ht="15.75" customHeight="1">
      <c r="A30374" s="15" t="s">
        <v>23561</v>
      </c>
      <c r="B30374" s="15" t="s">
        <v>23561</v>
      </c>
      <c r="C30374" s="15" t="s">
        <v>23559</v>
      </c>
      <c r="D30374" s="15" t="s">
        <v>23561</v>
      </c>
      <c r="E30374" s="2">
        <v>2253354</v>
      </c>
      <c r="F30374" s="4" t="str">
        <f>IF(B30374=B30373,"",B30374)</f>
        <v>Dakar</v>
      </c>
    </row>
    <row r="30375" spans="1:6" ht="15.75" customHeight="1">
      <c r="A30375" s="16" t="str">
        <f ca="1">IFERROR(__xludf.DUMMYFUNCTION("GOOGLETRANSLATE(B39127,""en"",""pt"")"),"Dājal")</f>
        <v>Dājal</v>
      </c>
      <c r="B30375" s="20" t="s">
        <v>35034</v>
      </c>
      <c r="C30375" s="20" t="s">
        <v>19808</v>
      </c>
      <c r="D30375" s="20" t="s">
        <v>10184</v>
      </c>
      <c r="E30375" s="10">
        <v>1180752</v>
      </c>
      <c r="F30375" s="4" t="str">
        <f>IF(B30375=B30374,"",B30375)</f>
        <v>Dājal</v>
      </c>
    </row>
    <row r="30376" spans="1:6" ht="15.75" customHeight="1">
      <c r="A30376" s="16" t="str">
        <f ca="1">IFERROR(__xludf.DUMMYFUNCTION("GOOGLETRANSLATE(B28485,""en"",""pt"")"),"Dajabón")</f>
        <v>Dajabón</v>
      </c>
      <c r="B30376" s="20" t="s">
        <v>32177</v>
      </c>
      <c r="C30376" s="20" t="s">
        <v>6303</v>
      </c>
      <c r="D30376" s="20" t="s">
        <v>32177</v>
      </c>
      <c r="E30376" s="10">
        <v>3508952</v>
      </c>
      <c r="F30376" s="4" t="str">
        <f>IF(B30376=B30375,"",B30376)</f>
        <v>Dajabón</v>
      </c>
    </row>
    <row r="30377" spans="1:6" ht="15.75" customHeight="1">
      <c r="A30377" s="15" t="s">
        <v>6323</v>
      </c>
      <c r="B30377" s="15" t="s">
        <v>6324</v>
      </c>
      <c r="C30377" s="15" t="s">
        <v>6303</v>
      </c>
      <c r="D30377" s="15" t="s">
        <v>6324</v>
      </c>
      <c r="E30377" s="2">
        <v>3508952</v>
      </c>
      <c r="F30377" s="4" t="str">
        <f>IF(B30377=B30376,"",B30377)</f>
        <v>DajabÃ³n</v>
      </c>
    </row>
    <row r="30378" spans="1:6" ht="15.75" customHeight="1">
      <c r="A30378" s="16" t="str">
        <f ca="1">IFERROR(__xludf.DUMMYFUNCTION("GOOGLETRANSLATE(B35660,""en"",""pt"")"),"Daitōchō")</f>
        <v>Daitōchō</v>
      </c>
      <c r="B30378" s="20" t="s">
        <v>34389</v>
      </c>
      <c r="C30378" s="20" t="s">
        <v>15704</v>
      </c>
      <c r="D30378" s="20" t="s">
        <v>34295</v>
      </c>
      <c r="E30378" s="10">
        <v>1864416</v>
      </c>
      <c r="F30378" s="4" t="str">
        <f>IF(B30378=B30377,"",B30378)</f>
        <v>Daitōchō</v>
      </c>
    </row>
    <row r="30379" spans="1:6" ht="15.75" customHeight="1">
      <c r="A30379" s="15" t="s">
        <v>15851</v>
      </c>
      <c r="B30379" s="15" t="s">
        <v>15852</v>
      </c>
      <c r="C30379" s="15" t="s">
        <v>15704</v>
      </c>
      <c r="D30379" s="15" t="s">
        <v>15853</v>
      </c>
      <c r="E30379" s="2">
        <v>1864416</v>
      </c>
      <c r="F30379" s="4" t="e">
        <f>IF(B30379=#REF!,"",B30379)</f>
        <v>#REF!</v>
      </c>
    </row>
    <row r="30380" spans="1:6" ht="15.75" customHeight="1">
      <c r="A30380" s="16" t="s">
        <v>17165</v>
      </c>
      <c r="B30380" s="15" t="s">
        <v>17165</v>
      </c>
      <c r="C30380" s="16" t="s">
        <v>17154</v>
      </c>
      <c r="D30380" s="16" t="s">
        <v>17161</v>
      </c>
      <c r="E30380" s="2">
        <v>6618486</v>
      </c>
      <c r="F30380" s="4" t="e">
        <f>IF(B30380=#REF!,"",B30380)</f>
        <v>#REF!</v>
      </c>
    </row>
    <row r="30381" spans="1:6" ht="15.75" customHeight="1">
      <c r="A30381" s="15" t="s">
        <v>24431</v>
      </c>
      <c r="B30381" s="15" t="s">
        <v>24431</v>
      </c>
      <c r="C30381" s="15" t="s">
        <v>24200</v>
      </c>
      <c r="D30381" s="15" t="s">
        <v>24218</v>
      </c>
      <c r="E30381" s="2">
        <v>2518924</v>
      </c>
      <c r="F30381" s="4" t="e">
        <f>IF(B30381=#REF!,"",B30381)</f>
        <v>#REF!</v>
      </c>
    </row>
    <row r="30382" spans="1:6" ht="15.75" customHeight="1">
      <c r="A30382" s="15" t="s">
        <v>18821</v>
      </c>
      <c r="B30382" s="15" t="s">
        <v>18821</v>
      </c>
      <c r="C30382" s="15" t="s">
        <v>18800</v>
      </c>
      <c r="D30382" s="15" t="s">
        <v>18813</v>
      </c>
      <c r="E30382" s="2">
        <v>1283496</v>
      </c>
      <c r="F30382" s="4" t="e">
        <f>IF(B30382=#REF!,"",B30382)</f>
        <v>#REF!</v>
      </c>
    </row>
    <row r="30383" spans="1:6" ht="15.75" customHeight="1">
      <c r="A30383" s="15" t="s">
        <v>15850</v>
      </c>
      <c r="B30383" s="15" t="s">
        <v>15850</v>
      </c>
      <c r="C30383" s="15" t="s">
        <v>15704</v>
      </c>
      <c r="D30383" s="15" t="s">
        <v>15724</v>
      </c>
      <c r="E30383" s="2">
        <v>2112989</v>
      </c>
      <c r="F30383" s="4" t="e">
        <f>IF(B30383=#REF!,"",B30383)</f>
        <v>#REF!</v>
      </c>
    </row>
    <row r="30384" spans="1:6" ht="15.75" customHeight="1">
      <c r="A30384" s="15" t="s">
        <v>8286</v>
      </c>
      <c r="B30384" s="15" t="s">
        <v>8286</v>
      </c>
      <c r="C30384" s="15" t="s">
        <v>8028</v>
      </c>
      <c r="D30384" s="15" t="s">
        <v>8036</v>
      </c>
      <c r="E30384" s="2">
        <v>2939440</v>
      </c>
      <c r="F30384" s="4" t="str">
        <f>IF(B30384=B30383,"",B30384)</f>
        <v>Dahlem</v>
      </c>
    </row>
    <row r="30385" spans="1:6" ht="15.75" customHeight="1">
      <c r="A30385" s="16" t="str">
        <f ca="1">IFERROR(__xludf.DUMMYFUNCTION("GOOGLETRANSLATE(B33658,""en"",""pt"")"),"Dahegām")</f>
        <v>Dahegām</v>
      </c>
      <c r="B30385" s="20" t="s">
        <v>33801</v>
      </c>
      <c r="C30385" s="20" t="s">
        <v>10178</v>
      </c>
      <c r="D30385" s="20" t="s">
        <v>10209</v>
      </c>
      <c r="E30385" s="10">
        <v>1273704</v>
      </c>
      <c r="F30385" s="4" t="str">
        <f>IF(B30385=B30384,"",B30385)</f>
        <v>Dahegām</v>
      </c>
    </row>
    <row r="30386" spans="1:6" ht="15.75" customHeight="1">
      <c r="A30386" s="16" t="s">
        <v>11055</v>
      </c>
      <c r="B30386" s="15" t="s">
        <v>11056</v>
      </c>
      <c r="C30386" s="16" t="s">
        <v>10178</v>
      </c>
      <c r="D30386" s="16" t="s">
        <v>10209</v>
      </c>
      <c r="E30386" s="2">
        <v>1273704</v>
      </c>
      <c r="F30386" s="4" t="str">
        <f>IF(B30386=B30385,"",B30386)</f>
        <v>DahegÄm</v>
      </c>
    </row>
    <row r="30387" spans="1:6" ht="15.75" customHeight="1">
      <c r="A30387" s="16" t="str">
        <f ca="1">IFERROR(__xludf.DUMMYFUNCTION("GOOGLETRANSLATE(B33659,""en"",""pt"")"),"Dāhānu")</f>
        <v>Dāhānu</v>
      </c>
      <c r="B30387" s="20" t="s">
        <v>33802</v>
      </c>
      <c r="C30387" s="20" t="s">
        <v>10178</v>
      </c>
      <c r="D30387" s="20" t="s">
        <v>10214</v>
      </c>
      <c r="E30387" s="10">
        <v>1273708</v>
      </c>
      <c r="F30387" s="4" t="e">
        <f>IF(B30387=#REF!,"",B30387)</f>
        <v>#REF!</v>
      </c>
    </row>
    <row r="30388" spans="1:6" ht="15.75" customHeight="1">
      <c r="A30388" s="15" t="s">
        <v>22321</v>
      </c>
      <c r="B30388" s="15" t="s">
        <v>22321</v>
      </c>
      <c r="C30388" s="15" t="s">
        <v>22070</v>
      </c>
      <c r="D30388" s="15" t="s">
        <v>22077</v>
      </c>
      <c r="E30388" s="2">
        <v>823674</v>
      </c>
      <c r="F30388" s="4" t="e">
        <f>IF(B30388=#REF!,"",B30388)</f>
        <v>#REF!</v>
      </c>
    </row>
    <row r="30389" spans="1:6" ht="15.75" customHeight="1">
      <c r="A30389" s="16" t="s">
        <v>22319</v>
      </c>
      <c r="B30389" s="15" t="s">
        <v>22320</v>
      </c>
      <c r="C30389" s="16" t="s">
        <v>22070</v>
      </c>
      <c r="D30389" s="16" t="s">
        <v>22208</v>
      </c>
      <c r="E30389" s="2">
        <v>567290</v>
      </c>
      <c r="F30389" s="4" t="e">
        <f>IF(B30389=#REF!,"",B30389)</f>
        <v>#REF!</v>
      </c>
    </row>
    <row r="30390" spans="1:6" ht="15.75" customHeight="1">
      <c r="A30390" s="15" t="s">
        <v>20749</v>
      </c>
      <c r="B30390" s="15" t="s">
        <v>20749</v>
      </c>
      <c r="C30390" s="15" t="s">
        <v>20598</v>
      </c>
      <c r="D30390" s="15" t="s">
        <v>20634</v>
      </c>
      <c r="E30390" s="2">
        <v>1716287</v>
      </c>
      <c r="F30390" s="4" t="e">
        <f>IF(B30390=#REF!,"",B30390)</f>
        <v>#REF!</v>
      </c>
    </row>
    <row r="30391" spans="1:6" ht="15.75" customHeight="1">
      <c r="A30391" s="15" t="s">
        <v>24056</v>
      </c>
      <c r="B30391" s="15" t="s">
        <v>24056</v>
      </c>
      <c r="C30391" s="15" t="s">
        <v>24024</v>
      </c>
      <c r="D30391" s="15" t="s">
        <v>24056</v>
      </c>
      <c r="E30391" s="2">
        <v>1835235</v>
      </c>
      <c r="F30391" s="4" t="e">
        <f>IF(B30391=#REF!,"",B30391)</f>
        <v>#REF!</v>
      </c>
    </row>
    <row r="30392" spans="1:6" ht="15.75" customHeight="1">
      <c r="A30392" s="15" t="s">
        <v>24055</v>
      </c>
      <c r="B30392" s="15" t="s">
        <v>24055</v>
      </c>
      <c r="C30392" s="15" t="s">
        <v>24024</v>
      </c>
      <c r="D30392" s="15" t="s">
        <v>24055</v>
      </c>
      <c r="E30392" s="2">
        <v>1835329</v>
      </c>
      <c r="F30392" s="4" t="e">
        <f>IF(B30392=#REF!,"",B30392)</f>
        <v>#REF!</v>
      </c>
    </row>
    <row r="30393" spans="1:6" ht="15.75" customHeight="1">
      <c r="A30393" s="15" t="s">
        <v>4604</v>
      </c>
      <c r="B30393" s="15" t="s">
        <v>4604</v>
      </c>
      <c r="C30393" s="15" t="s">
        <v>4487</v>
      </c>
      <c r="D30393" s="15" t="s">
        <v>4588</v>
      </c>
      <c r="E30393" s="2">
        <v>1798998</v>
      </c>
      <c r="F30393" s="4" t="e">
        <f>IF(B30393=#REF!,"",B30393)</f>
        <v>#REF!</v>
      </c>
    </row>
    <row r="30394" spans="1:6" ht="15.75" customHeight="1">
      <c r="A30394" s="15" t="s">
        <v>19884</v>
      </c>
      <c r="B30394" s="15" t="s">
        <v>19884</v>
      </c>
      <c r="C30394" s="15" t="s">
        <v>19808</v>
      </c>
      <c r="D30394" s="15" t="s">
        <v>19823</v>
      </c>
      <c r="E30394" s="2">
        <v>1180809</v>
      </c>
      <c r="F30394" s="4" t="str">
        <f>IF(B30394=B30393,"",B30394)</f>
        <v>Dadu</v>
      </c>
    </row>
    <row r="30395" spans="1:6" ht="15.75" customHeight="1">
      <c r="A30395" s="16" t="str">
        <f ca="1">IFERROR(__xludf.DUMMYFUNCTION("GOOGLETRANSLATE(B33660,""en"",""pt"")"),"Dādri")</f>
        <v>Dādri</v>
      </c>
      <c r="B30395" s="20" t="s">
        <v>33803</v>
      </c>
      <c r="C30395" s="20" t="s">
        <v>10178</v>
      </c>
      <c r="D30395" s="20" t="s">
        <v>10193</v>
      </c>
      <c r="E30395" s="10">
        <v>1273724</v>
      </c>
      <c r="F30395" s="4" t="str">
        <f>IF(B30395=B30394,"",B30395)</f>
        <v>Dādri</v>
      </c>
    </row>
    <row r="30396" spans="1:6" ht="15.75" customHeight="1">
      <c r="A30396" s="16" t="str">
        <f ca="1">IFERROR(__xludf.DUMMYFUNCTION("GOOGLETRANSLATE(B39129,""en"",""pt"")"),"Dādhar")</f>
        <v>Dādhar</v>
      </c>
      <c r="B30396" s="20" t="s">
        <v>35035</v>
      </c>
      <c r="C30396" s="20" t="s">
        <v>19808</v>
      </c>
      <c r="D30396" s="20" t="s">
        <v>34892</v>
      </c>
      <c r="E30396" s="10">
        <v>1180825</v>
      </c>
      <c r="F30396" s="4" t="str">
        <f>IF(B30396=B30395,"",B30396)</f>
        <v>Dādhar</v>
      </c>
    </row>
    <row r="30397" spans="1:6" ht="15.75" customHeight="1">
      <c r="A30397" s="16" t="s">
        <v>18818</v>
      </c>
      <c r="B30397" s="15" t="s">
        <v>18819</v>
      </c>
      <c r="C30397" s="16" t="s">
        <v>18800</v>
      </c>
      <c r="D30397" s="16" t="s">
        <v>18820</v>
      </c>
      <c r="E30397" s="2">
        <v>1283499</v>
      </c>
      <c r="F30397" s="4" t="str">
        <f>IF(B30397=B30396,"",B30397)</f>
        <v>DadeldhurÄ</v>
      </c>
    </row>
    <row r="30398" spans="1:6" ht="15.75" customHeight="1">
      <c r="A30398" s="16" t="str">
        <f ca="1">IFERROR(__xludf.DUMMYFUNCTION("GOOGLETRANSLATE(B38203,""en"",""pt"")"),"DADELDHURA")</f>
        <v>DADELDHURA</v>
      </c>
      <c r="B30398" s="20" t="s">
        <v>34835</v>
      </c>
      <c r="C30398" s="20" t="s">
        <v>18800</v>
      </c>
      <c r="D30398" s="20" t="s">
        <v>18820</v>
      </c>
      <c r="E30398" s="10">
        <v>1283499</v>
      </c>
      <c r="F30398" s="4" t="e">
        <f>IF(B30398=#REF!,"",B30398)</f>
        <v>#REF!</v>
      </c>
    </row>
    <row r="30399" spans="1:6" ht="15.75" customHeight="1">
      <c r="A30399" s="16" t="s">
        <v>22318</v>
      </c>
      <c r="B30399" s="15" t="s">
        <v>22318</v>
      </c>
      <c r="C30399" s="16" t="s">
        <v>22070</v>
      </c>
      <c r="D30399" s="16" t="s">
        <v>22084</v>
      </c>
      <c r="E30399" s="2">
        <v>567311</v>
      </c>
      <c r="F30399" s="4" t="e">
        <f>IF(B30399=#REF!,"",B30399)</f>
        <v>#REF!</v>
      </c>
    </row>
    <row r="30400" spans="1:6" ht="15.75" customHeight="1">
      <c r="A30400" s="15" t="s">
        <v>8285</v>
      </c>
      <c r="B30400" s="15" t="s">
        <v>8285</v>
      </c>
      <c r="C30400" s="15" t="s">
        <v>8028</v>
      </c>
      <c r="D30400" s="15" t="s">
        <v>8044</v>
      </c>
      <c r="E30400" s="2">
        <v>2939623</v>
      </c>
      <c r="F30400" s="4" t="str">
        <f>IF(B30400=B30399,"",B30400)</f>
        <v>Dachau</v>
      </c>
    </row>
    <row r="30401" spans="1:6" ht="15.75" customHeight="1">
      <c r="A30401" s="16" t="str">
        <f ca="1">IFERROR(__xludf.DUMMYFUNCTION("GOOGLETRANSLATE(B33661,""en"",""pt"")"),"Dabwāli")</f>
        <v>Dabwāli</v>
      </c>
      <c r="B30401" s="20" t="s">
        <v>33804</v>
      </c>
      <c r="C30401" s="20" t="s">
        <v>10178</v>
      </c>
      <c r="D30401" s="20" t="s">
        <v>10224</v>
      </c>
      <c r="E30401" s="10">
        <v>1273745</v>
      </c>
      <c r="F30401" s="4" t="str">
        <f>IF(B30401=B30400,"",B30401)</f>
        <v>Dabwāli</v>
      </c>
    </row>
    <row r="30402" spans="1:6" ht="15.75" customHeight="1">
      <c r="A30402" s="15" t="s">
        <v>11053</v>
      </c>
      <c r="B30402" s="15" t="s">
        <v>11054</v>
      </c>
      <c r="C30402" s="15" t="s">
        <v>10178</v>
      </c>
      <c r="D30402" s="15" t="s">
        <v>10224</v>
      </c>
      <c r="E30402" s="2">
        <v>1273745</v>
      </c>
      <c r="F30402" s="4" t="str">
        <f>IF(B30402=B30401,"",B30402)</f>
        <v>DabwÄli</v>
      </c>
    </row>
    <row r="30403" spans="1:6" ht="15.75" customHeight="1">
      <c r="A30403" s="16" t="str">
        <f ca="1">IFERROR(__xludf.DUMMYFUNCTION("GOOGLETRANSLATE(B39468,""en"",""pt"")"),"Dąbrowa górnicza")</f>
        <v>Dąbrowa górnicza</v>
      </c>
      <c r="B30403" s="20" t="s">
        <v>35234</v>
      </c>
      <c r="C30403" s="20" t="s">
        <v>21064</v>
      </c>
      <c r="D30403" s="20" t="s">
        <v>21073</v>
      </c>
      <c r="E30403" s="10">
        <v>3100796</v>
      </c>
      <c r="F30403" s="4" t="e">
        <f>IF(B30403=#REF!,"",B30403)</f>
        <v>#REF!</v>
      </c>
    </row>
    <row r="30404" spans="1:6" ht="15.75" customHeight="1">
      <c r="A30404" s="15" t="s">
        <v>11052</v>
      </c>
      <c r="B30404" s="15" t="s">
        <v>11052</v>
      </c>
      <c r="C30404" s="15" t="s">
        <v>10178</v>
      </c>
      <c r="D30404" s="15" t="s">
        <v>10219</v>
      </c>
      <c r="E30404" s="2">
        <v>1273751</v>
      </c>
      <c r="F30404" s="4" t="e">
        <f>IF(B30404=#REF!,"",B30404)</f>
        <v>#REF!</v>
      </c>
    </row>
    <row r="30405" spans="1:6" ht="15.75" customHeight="1">
      <c r="A30405" s="15" t="s">
        <v>15628</v>
      </c>
      <c r="B30405" s="15" t="s">
        <v>15628</v>
      </c>
      <c r="C30405" s="15" t="s">
        <v>15586</v>
      </c>
      <c r="D30405" s="15" t="s">
        <v>15589</v>
      </c>
      <c r="E30405" s="2">
        <v>2290582</v>
      </c>
      <c r="F30405" s="4" t="e">
        <f>IF(B30405=#REF!,"",B30405)</f>
        <v>#REF!</v>
      </c>
    </row>
    <row r="30406" spans="1:6" ht="15.75" customHeight="1">
      <c r="A30406" s="15" t="s">
        <v>11051</v>
      </c>
      <c r="B30406" s="15" t="s">
        <v>11051</v>
      </c>
      <c r="C30406" s="15" t="s">
        <v>10178</v>
      </c>
      <c r="D30406" s="15" t="s">
        <v>10219</v>
      </c>
      <c r="E30406" s="2">
        <v>1273756</v>
      </c>
      <c r="F30406" s="4" t="e">
        <f>IF(B30406=#REF!,"",B30406)</f>
        <v>#REF!</v>
      </c>
    </row>
    <row r="30407" spans="1:6" ht="15.75" customHeight="1">
      <c r="A30407" s="15" t="s">
        <v>11050</v>
      </c>
      <c r="B30407" s="15" t="s">
        <v>11050</v>
      </c>
      <c r="C30407" s="15" t="s">
        <v>10178</v>
      </c>
      <c r="D30407" s="15" t="s">
        <v>10209</v>
      </c>
      <c r="E30407" s="2">
        <v>1273766</v>
      </c>
      <c r="F30407" s="4" t="e">
        <f>IF(B30407=#REF!,"",B30407)</f>
        <v>#REF!</v>
      </c>
    </row>
    <row r="30408" spans="1:6" ht="15.75" customHeight="1">
      <c r="A30408" s="15" t="s">
        <v>10030</v>
      </c>
      <c r="B30408" s="15" t="s">
        <v>10030</v>
      </c>
      <c r="C30408" s="15" t="s">
        <v>9955</v>
      </c>
      <c r="D30408" s="15" t="s">
        <v>9959</v>
      </c>
      <c r="E30408" s="2">
        <v>3053836</v>
      </c>
      <c r="F30408" s="4" t="str">
        <f>IF(B30408=B30407,"",B30408)</f>
        <v>Dabas</v>
      </c>
    </row>
    <row r="30409" spans="1:6" ht="15.75" customHeight="1">
      <c r="A30409" s="15" t="s">
        <v>26788</v>
      </c>
      <c r="B30409" s="15" t="s">
        <v>26787</v>
      </c>
      <c r="C30409" s="15" t="s">
        <v>26774</v>
      </c>
      <c r="D30409" s="15" t="s">
        <v>26787</v>
      </c>
      <c r="E30409" s="2">
        <v>601734</v>
      </c>
      <c r="F30409" s="4" t="str">
        <f>IF(B30409=B30408,"",B30409)</f>
        <v>DaÅŸoguz</v>
      </c>
    </row>
    <row r="30410" spans="1:6" ht="15.75" customHeight="1">
      <c r="A30410" s="15" t="s">
        <v>4601</v>
      </c>
      <c r="B30410" s="15" t="s">
        <v>4602</v>
      </c>
      <c r="C30410" s="15" t="s">
        <v>4487</v>
      </c>
      <c r="D30410" s="15" t="s">
        <v>4603</v>
      </c>
      <c r="E30410" s="2">
        <v>1281368</v>
      </c>
      <c r="F30410" s="4" t="str">
        <f>IF(B30410=B30409,"",B30410)</f>
        <v>DÃªqÃªn</v>
      </c>
    </row>
    <row r="30411" spans="1:6" ht="15.75" customHeight="1">
      <c r="A30411" s="15" t="s">
        <v>26434</v>
      </c>
      <c r="B30411" s="15" t="s">
        <v>26292</v>
      </c>
      <c r="C30411" s="15" t="s">
        <v>26201</v>
      </c>
      <c r="D30411" s="15" t="s">
        <v>26292</v>
      </c>
      <c r="E30411" s="2">
        <v>747764</v>
      </c>
      <c r="F30411" s="4" t="str">
        <f>IF(B30411=B30410,"",B30411)</f>
        <v>DÃ¼zce</v>
      </c>
    </row>
    <row r="30412" spans="1:6" ht="15.75" customHeight="1">
      <c r="A30412" s="16" t="s">
        <v>8283</v>
      </c>
      <c r="B30412" s="15" t="s">
        <v>8284</v>
      </c>
      <c r="C30412" s="16" t="s">
        <v>8028</v>
      </c>
      <c r="D30412" s="16" t="s">
        <v>8029</v>
      </c>
      <c r="E30412" s="2">
        <v>2934246</v>
      </c>
      <c r="F30412" s="4" t="str">
        <f>IF(B30412=B30411,"",B30412)</f>
        <v>DÃ¼sseldorf</v>
      </c>
    </row>
    <row r="30413" spans="1:6" ht="15.75" customHeight="1">
      <c r="A30413" s="15" t="s">
        <v>8281</v>
      </c>
      <c r="B30413" s="15" t="s">
        <v>8282</v>
      </c>
      <c r="C30413" s="15" t="s">
        <v>8028</v>
      </c>
      <c r="D30413" s="15" t="s">
        <v>8029</v>
      </c>
      <c r="E30413" s="2">
        <v>2934486</v>
      </c>
      <c r="F30413" s="4" t="str">
        <f>IF(B30413=B30412,"",B30413)</f>
        <v>DÃ¼ren</v>
      </c>
    </row>
    <row r="30414" spans="1:6" ht="15.75" customHeight="1">
      <c r="A30414" s="15" t="s">
        <v>8279</v>
      </c>
      <c r="B30414" s="15" t="s">
        <v>8280</v>
      </c>
      <c r="C30414" s="15" t="s">
        <v>8028</v>
      </c>
      <c r="D30414" s="15" t="s">
        <v>8029</v>
      </c>
      <c r="E30414" s="2">
        <v>2934662</v>
      </c>
      <c r="F30414" s="4" t="str">
        <f>IF(B30414=B30413,"",B30414)</f>
        <v>DÃ¼lmen</v>
      </c>
    </row>
    <row r="30415" spans="1:6" ht="15.75" customHeight="1">
      <c r="A30415" s="16" t="s">
        <v>25256</v>
      </c>
      <c r="B30415" s="15" t="s">
        <v>25257</v>
      </c>
      <c r="C30415" s="16" t="s">
        <v>25237</v>
      </c>
      <c r="D30415" s="16" t="s">
        <v>25240</v>
      </c>
      <c r="E30415" s="2">
        <v>2660971</v>
      </c>
      <c r="F30415" s="4" t="str">
        <f>IF(B30415=B30414,"",B30415)</f>
        <v>DÃ¼bendorf</v>
      </c>
    </row>
    <row r="30416" spans="1:6" ht="15.75" customHeight="1">
      <c r="A30416" s="16" t="s">
        <v>11048</v>
      </c>
      <c r="B30416" s="15" t="s">
        <v>11049</v>
      </c>
      <c r="C30416" s="16" t="s">
        <v>10178</v>
      </c>
      <c r="D30416" s="16" t="s">
        <v>10193</v>
      </c>
      <c r="E30416" s="2">
        <v>1273409</v>
      </c>
      <c r="F30416" s="4" t="str">
        <f>IF(B30416=B30415,"",B30416)</f>
        <v>DÄtÄganj</v>
      </c>
    </row>
    <row r="30417" spans="1:6" ht="15.75" customHeight="1">
      <c r="A30417" s="15" t="s">
        <v>11046</v>
      </c>
      <c r="B30417" s="15" t="s">
        <v>11047</v>
      </c>
      <c r="C30417" s="15" t="s">
        <v>10178</v>
      </c>
      <c r="D30417" s="15" t="s">
        <v>10193</v>
      </c>
      <c r="E30417" s="2">
        <v>1273416</v>
      </c>
      <c r="F30417" s="4" t="str">
        <f>IF(B30417=B30416,"",B30417)</f>
        <v>DÄsna</v>
      </c>
    </row>
    <row r="30418" spans="1:6" ht="15.75" customHeight="1">
      <c r="A30418" s="15" t="s">
        <v>11044</v>
      </c>
      <c r="B30418" s="15" t="s">
        <v>11045</v>
      </c>
      <c r="C30418" s="15" t="s">
        <v>10178</v>
      </c>
      <c r="D30418" s="15" t="s">
        <v>10214</v>
      </c>
      <c r="E30418" s="2">
        <v>1273440</v>
      </c>
      <c r="F30418" s="4" t="str">
        <f>IF(B30418=B30417,"",B30418)</f>
        <v>DÄrwha</v>
      </c>
    </row>
    <row r="30419" spans="1:6" ht="15.75" customHeight="1">
      <c r="A30419" s="15" t="s">
        <v>11042</v>
      </c>
      <c r="B30419" s="15" t="s">
        <v>11043</v>
      </c>
      <c r="C30419" s="15" t="s">
        <v>10178</v>
      </c>
      <c r="D30419" s="15" t="s">
        <v>10201</v>
      </c>
      <c r="E30419" s="2">
        <v>1273467</v>
      </c>
      <c r="F30419" s="4" t="str">
        <f>IF(B30419=B30418,"",B30419)</f>
        <v>DÄrjiling</v>
      </c>
    </row>
    <row r="30420" spans="1:6" ht="15.75" customHeight="1">
      <c r="A30420" s="15" t="s">
        <v>18816</v>
      </c>
      <c r="B30420" s="15" t="s">
        <v>18817</v>
      </c>
      <c r="C30420" s="15" t="s">
        <v>18800</v>
      </c>
      <c r="D30420" s="15" t="s">
        <v>18803</v>
      </c>
      <c r="E30420" s="2">
        <v>1283484</v>
      </c>
      <c r="F30420" s="4" t="str">
        <f>IF(B30420=B30419,"",B30420)</f>
        <v>DÄrchulÄ</v>
      </c>
    </row>
    <row r="30421" spans="1:6" ht="15.75" customHeight="1">
      <c r="A30421" s="15" t="s">
        <v>25436</v>
      </c>
      <c r="B30421" s="15" t="s">
        <v>25437</v>
      </c>
      <c r="C30421" s="15" t="s">
        <v>25366</v>
      </c>
      <c r="D30421" s="15" t="s">
        <v>25372</v>
      </c>
      <c r="E30421" s="2">
        <v>170892</v>
      </c>
      <c r="F30421" s="4" t="str">
        <f>IF(B30421=B30420,"",B30421)</f>
        <v>DÄrayyÄ</v>
      </c>
    </row>
    <row r="30422" spans="1:6" ht="15.75" customHeight="1">
      <c r="A30422" s="15" t="s">
        <v>14354</v>
      </c>
      <c r="B30422" s="15" t="s">
        <v>14355</v>
      </c>
      <c r="C30422" s="15" t="s">
        <v>14240</v>
      </c>
      <c r="D30422" s="15" t="s">
        <v>14244</v>
      </c>
      <c r="E30422" s="2">
        <v>137956</v>
      </c>
      <c r="F30422" s="4" t="str">
        <f>IF(B30422=B30421,"",B30422)</f>
        <v>DÄrÄb</v>
      </c>
    </row>
    <row r="30423" spans="1:6" ht="15.75" customHeight="1">
      <c r="A30423" s="16" t="s">
        <v>1284</v>
      </c>
      <c r="B30423" s="15" t="s">
        <v>1285</v>
      </c>
      <c r="C30423" s="16" t="s">
        <v>1279</v>
      </c>
      <c r="D30423" s="16" t="s">
        <v>1283</v>
      </c>
      <c r="E30423" s="2">
        <v>290269</v>
      </c>
      <c r="F30423" s="4" t="str">
        <f>IF(B30423=B30422,"",B30423)</f>
        <v>DÄr Kulayb</v>
      </c>
    </row>
    <row r="30424" spans="1:6" ht="15.75" customHeight="1">
      <c r="A30424" s="16" t="s">
        <v>11040</v>
      </c>
      <c r="B30424" s="15" t="s">
        <v>11041</v>
      </c>
      <c r="C30424" s="16" t="s">
        <v>10178</v>
      </c>
      <c r="D30424" s="16" t="s">
        <v>10209</v>
      </c>
      <c r="E30424" s="2">
        <v>1273593</v>
      </c>
      <c r="F30424" s="4" t="str">
        <f>IF(B30424=B30423,"",B30424)</f>
        <v>DÄmnagar</v>
      </c>
    </row>
    <row r="30425" spans="1:6" ht="15.75" customHeight="1">
      <c r="A30425" s="16" t="s">
        <v>14352</v>
      </c>
      <c r="B30425" s="15" t="s">
        <v>14353</v>
      </c>
      <c r="C30425" s="16" t="s">
        <v>14240</v>
      </c>
      <c r="D30425" s="16" t="s">
        <v>14269</v>
      </c>
      <c r="E30425" s="2">
        <v>138025</v>
      </c>
      <c r="F30425" s="4" t="str">
        <f>IF(B30425=B30424,"",B30425)</f>
        <v>DÄmghÄn</v>
      </c>
    </row>
    <row r="30426" spans="1:6" ht="15.75" customHeight="1">
      <c r="A30426" s="16" t="s">
        <v>14794</v>
      </c>
      <c r="B30426" s="15" t="s">
        <v>14795</v>
      </c>
      <c r="C30426" s="16" t="s">
        <v>14773</v>
      </c>
      <c r="D30426" s="16" t="s">
        <v>14796</v>
      </c>
      <c r="E30426" s="2">
        <v>295365</v>
      </c>
      <c r="F30426" s="4" t="str">
        <f>IF(B30426=B30425,"",B30426)</f>
        <v>DÄliyat el Karmil</v>
      </c>
    </row>
    <row r="30427" spans="1:6" ht="15.75" customHeight="1">
      <c r="A30427" s="15" t="s">
        <v>11038</v>
      </c>
      <c r="B30427" s="15" t="s">
        <v>11039</v>
      </c>
      <c r="C30427" s="15" t="s">
        <v>10178</v>
      </c>
      <c r="D30427" s="15" t="s">
        <v>10209</v>
      </c>
      <c r="E30427" s="2">
        <v>1273665</v>
      </c>
      <c r="F30427" s="4" t="str">
        <f>IF(B30427=B30426,"",B30427)</f>
        <v>DÄkor</v>
      </c>
    </row>
    <row r="30428" spans="1:6" ht="15.75" customHeight="1">
      <c r="A30428" s="15" t="s">
        <v>19882</v>
      </c>
      <c r="B30428" s="15" t="s">
        <v>19883</v>
      </c>
      <c r="C30428" s="15" t="s">
        <v>19808</v>
      </c>
      <c r="D30428" s="15" t="s">
        <v>10184</v>
      </c>
      <c r="E30428" s="2">
        <v>1180752</v>
      </c>
      <c r="F30428" s="4" t="str">
        <f>IF(B30428=B30427,"",B30428)</f>
        <v>DÄjal</v>
      </c>
    </row>
    <row r="30429" spans="1:6" ht="15.75" customHeight="1">
      <c r="A30429" s="15" t="s">
        <v>11036</v>
      </c>
      <c r="B30429" s="15" t="s">
        <v>11037</v>
      </c>
      <c r="C30429" s="15" t="s">
        <v>10178</v>
      </c>
      <c r="D30429" s="15" t="s">
        <v>10214</v>
      </c>
      <c r="E30429" s="2">
        <v>1273708</v>
      </c>
      <c r="F30429" s="4" t="str">
        <f>IF(B30429=B30428,"",B30429)</f>
        <v>DÄhÄnu</v>
      </c>
    </row>
    <row r="30430" spans="1:6" ht="15.75" customHeight="1">
      <c r="A30430" s="15" t="s">
        <v>11034</v>
      </c>
      <c r="B30430" s="15" t="s">
        <v>11035</v>
      </c>
      <c r="C30430" s="15" t="s">
        <v>10178</v>
      </c>
      <c r="D30430" s="15" t="s">
        <v>10193</v>
      </c>
      <c r="E30430" s="2">
        <v>1273724</v>
      </c>
      <c r="F30430" s="4" t="str">
        <f>IF(B30430=B30429,"",B30430)</f>
        <v>DÄdri</v>
      </c>
    </row>
    <row r="30431" spans="1:6" ht="15.75" customHeight="1">
      <c r="A30431" s="15" t="s">
        <v>19880</v>
      </c>
      <c r="B30431" s="15" t="s">
        <v>19881</v>
      </c>
      <c r="C30431" s="15" t="s">
        <v>19808</v>
      </c>
      <c r="D30431" s="15" t="s">
        <v>19833</v>
      </c>
      <c r="E30431" s="2">
        <v>1180825</v>
      </c>
      <c r="F30431" s="4" t="str">
        <f>IF(B30431=B30430,"",B30431)</f>
        <v>DÄdhar</v>
      </c>
    </row>
    <row r="30432" spans="1:6" ht="15.75" customHeight="1">
      <c r="A30432" s="16" t="s">
        <v>19878</v>
      </c>
      <c r="B30432" s="15" t="s">
        <v>19879</v>
      </c>
      <c r="C30432" s="16" t="s">
        <v>19808</v>
      </c>
      <c r="D30432" s="16" t="s">
        <v>10184</v>
      </c>
      <c r="E30432" s="2">
        <v>1180419</v>
      </c>
      <c r="F30432" s="4" t="str">
        <f>IF(B30432=B30431,"",B30432)</f>
        <v>DÄÅ«d Khel</v>
      </c>
    </row>
    <row r="30433" spans="1:6" ht="15.75" customHeight="1">
      <c r="A30433" s="16" t="s">
        <v>21200</v>
      </c>
      <c r="B30433" s="15" t="s">
        <v>21201</v>
      </c>
      <c r="C30433" s="16" t="s">
        <v>21064</v>
      </c>
      <c r="D30433" s="16" t="s">
        <v>21073</v>
      </c>
      <c r="E30433" s="2">
        <v>3100796</v>
      </c>
      <c r="F30433" s="4" t="str">
        <f>IF(B30433=B30432,"",B30433)</f>
        <v>DÄ…browa GÃ³rnicza</v>
      </c>
    </row>
    <row r="30434" spans="1:6" ht="15.75" customHeight="1">
      <c r="A30434" s="15" t="s">
        <v>26432</v>
      </c>
      <c r="B30434" s="15" t="s">
        <v>26433</v>
      </c>
      <c r="C30434" s="15" t="s">
        <v>26201</v>
      </c>
      <c r="D30434" s="15" t="s">
        <v>26318</v>
      </c>
      <c r="E30434" s="2">
        <v>316284</v>
      </c>
      <c r="F30434" s="4" t="str">
        <f>IF(B30434=B30433,"",B30434)</f>
        <v>DÃ¶rtyol</v>
      </c>
    </row>
    <row r="30435" spans="1:6" ht="15.75" customHeight="1">
      <c r="A30435" s="15" t="s">
        <v>8277</v>
      </c>
      <c r="B30435" s="15" t="s">
        <v>8278</v>
      </c>
      <c r="C30435" s="15" t="s">
        <v>8028</v>
      </c>
      <c r="D30435" s="15" t="s">
        <v>8072</v>
      </c>
      <c r="E30435" s="2">
        <v>2936658</v>
      </c>
      <c r="F30435" s="4" t="str">
        <f>IF(B30435=B30434,"",B30435)</f>
        <v>DÃ¶beln</v>
      </c>
    </row>
    <row r="30436" spans="1:6" ht="15.75" customHeight="1">
      <c r="A30436" s="15" t="s">
        <v>9869</v>
      </c>
      <c r="B30436" s="15" t="s">
        <v>9870</v>
      </c>
      <c r="C30436" s="15" t="s">
        <v>9866</v>
      </c>
      <c r="D30436" s="15" t="s">
        <v>9871</v>
      </c>
      <c r="E30436" s="2">
        <v>3726674</v>
      </c>
      <c r="F30436" s="4" t="str">
        <f>IF(B30436=B30435,"",B30436)</f>
        <v>DÃ©sarmes</v>
      </c>
    </row>
    <row r="30437" spans="1:6" ht="15.75" customHeight="1">
      <c r="A30437" s="16" t="s">
        <v>3778</v>
      </c>
      <c r="B30437" s="15" t="s">
        <v>3779</v>
      </c>
      <c r="C30437" s="16" t="s">
        <v>3768</v>
      </c>
      <c r="D30437" s="16" t="s">
        <v>3780</v>
      </c>
      <c r="E30437" s="2">
        <v>2361477</v>
      </c>
      <c r="F30437" s="4" t="str">
        <f>IF(B30437=B30436,"",B30437)</f>
        <v>DÃ©dougou</v>
      </c>
    </row>
    <row r="30438" spans="1:6" ht="15.75" customHeight="1">
      <c r="A30438" s="16" t="s">
        <v>7311</v>
      </c>
      <c r="B30438" s="15" t="s">
        <v>7312</v>
      </c>
      <c r="C30438" s="16" t="s">
        <v>7052</v>
      </c>
      <c r="D30438" s="16" t="s">
        <v>7053</v>
      </c>
      <c r="E30438" s="2">
        <v>3021662</v>
      </c>
      <c r="F30438" s="4" t="str">
        <f>IF(B30438=B30437,"",B30438)</f>
        <v>DÃ©cines-Charpieu</v>
      </c>
    </row>
    <row r="30439" spans="1:6" ht="15.75" customHeight="1">
      <c r="A30439" s="15" t="s">
        <v>11032</v>
      </c>
      <c r="B30439" s="15" t="s">
        <v>11033</v>
      </c>
      <c r="C30439" s="15" t="s">
        <v>10178</v>
      </c>
      <c r="D30439" s="15" t="s">
        <v>10209</v>
      </c>
      <c r="E30439" s="2">
        <v>1272513</v>
      </c>
      <c r="F30439" s="4" t="str">
        <f>IF(B30439=B30438,"",B30439)</f>
        <v>DÄ«sa</v>
      </c>
    </row>
    <row r="30440" spans="1:6" ht="15.75" customHeight="1">
      <c r="A30440" s="15" t="s">
        <v>20339</v>
      </c>
      <c r="B30440" s="15" t="s">
        <v>20340</v>
      </c>
      <c r="C30440" s="15" t="s">
        <v>20297</v>
      </c>
      <c r="D30440" s="15" t="s">
        <v>20298</v>
      </c>
      <c r="E30440" s="2">
        <v>284011</v>
      </c>
      <c r="F30440" s="4" t="str">
        <f>IF(B30440=B30439,"",B30440)</f>
        <v>DÅ«rÄ</v>
      </c>
    </row>
    <row r="30441" spans="1:6" ht="15.75" customHeight="1">
      <c r="A30441" s="15" t="s">
        <v>19876</v>
      </c>
      <c r="B30441" s="15" t="s">
        <v>19877</v>
      </c>
      <c r="C30441" s="15" t="s">
        <v>19808</v>
      </c>
      <c r="D30441" s="15" t="s">
        <v>19811</v>
      </c>
      <c r="E30441" s="2">
        <v>1179757</v>
      </c>
      <c r="F30441" s="4" t="str">
        <f>IF(B30441=B30440,"",B30441)</f>
        <v>DÄ«r</v>
      </c>
    </row>
    <row r="30442" spans="1:6" ht="15.75" customHeight="1">
      <c r="A30442" s="16" t="s">
        <v>19874</v>
      </c>
      <c r="B30442" s="15" t="s">
        <v>19875</v>
      </c>
      <c r="C30442" s="16" t="s">
        <v>19808</v>
      </c>
      <c r="D30442" s="16" t="s">
        <v>10184</v>
      </c>
      <c r="E30442" s="2">
        <v>1179760</v>
      </c>
      <c r="F30442" s="4" t="str">
        <f>IF(B30442=B30441,"",B30442)</f>
        <v>DÄ«pÄlpur</v>
      </c>
    </row>
    <row r="30443" spans="1:6" ht="15.75" customHeight="1">
      <c r="A30443" s="16" t="s">
        <v>11030</v>
      </c>
      <c r="B30443" s="15" t="s">
        <v>11031</v>
      </c>
      <c r="C30443" s="16" t="s">
        <v>10178</v>
      </c>
      <c r="D30443" s="16" t="s">
        <v>10201</v>
      </c>
      <c r="E30443" s="2">
        <v>1272532</v>
      </c>
      <c r="F30443" s="4" t="str">
        <f>IF(B30443=B30442,"",B30443)</f>
        <v>DÄ«nhÄta</v>
      </c>
    </row>
    <row r="30444" spans="1:6" ht="15.75" customHeight="1">
      <c r="A30444" s="16" t="s">
        <v>11028</v>
      </c>
      <c r="B30444" s="15" t="s">
        <v>11029</v>
      </c>
      <c r="C30444" s="16" t="s">
        <v>10178</v>
      </c>
      <c r="D30444" s="16" t="s">
        <v>10179</v>
      </c>
      <c r="E30444" s="2">
        <v>1272201</v>
      </c>
      <c r="F30444" s="4" t="str">
        <f>IF(B30444=B30443,"",B30444)</f>
        <v>DÅ«ngarpur</v>
      </c>
    </row>
    <row r="30445" spans="1:6" ht="15.75" customHeight="1">
      <c r="A30445" s="16" t="s">
        <v>11026</v>
      </c>
      <c r="B30445" s="15" t="s">
        <v>11027</v>
      </c>
      <c r="C30445" s="16" t="s">
        <v>10178</v>
      </c>
      <c r="D30445" s="16" t="s">
        <v>10184</v>
      </c>
      <c r="E30445" s="2">
        <v>1272546</v>
      </c>
      <c r="F30445" s="4" t="str">
        <f>IF(B30445=B30444,"",B30445)</f>
        <v>DÄ«nÄnagar</v>
      </c>
    </row>
    <row r="30446" spans="1:6" ht="15.75" customHeight="1">
      <c r="A30446" s="15" t="s">
        <v>6853</v>
      </c>
      <c r="B30446" s="15" t="s">
        <v>6854</v>
      </c>
      <c r="C30446" s="15" t="s">
        <v>6807</v>
      </c>
      <c r="D30446" s="15" t="s">
        <v>6817</v>
      </c>
      <c r="E30446" s="2">
        <v>338998</v>
      </c>
      <c r="F30446" s="4" t="str">
        <f>IF(B30446=B30445,"",B30446)</f>
        <v>DÄ«la</v>
      </c>
    </row>
    <row r="30447" spans="1:6" ht="15.75" customHeight="1">
      <c r="A30447" s="16" t="s">
        <v>11024</v>
      </c>
      <c r="B30447" s="15" t="s">
        <v>11025</v>
      </c>
      <c r="C30447" s="16" t="s">
        <v>10178</v>
      </c>
      <c r="D30447" s="16" t="s">
        <v>10214</v>
      </c>
      <c r="E30447" s="2">
        <v>1272606</v>
      </c>
      <c r="F30447" s="4" t="str">
        <f>IF(B30447=B30446,"",B30447)</f>
        <v>DÄ«glÅ«r</v>
      </c>
    </row>
    <row r="30448" spans="1:6" ht="15.75" customHeight="1">
      <c r="A30448" s="15" t="s">
        <v>11022</v>
      </c>
      <c r="B30448" s="15" t="s">
        <v>11023</v>
      </c>
      <c r="C30448" s="15" t="s">
        <v>10178</v>
      </c>
      <c r="D30448" s="15" t="s">
        <v>10179</v>
      </c>
      <c r="E30448" s="2">
        <v>1272639</v>
      </c>
      <c r="F30448" s="4" t="str">
        <f>IF(B30448=B30447,"",B30448)</f>
        <v>DÄ«g</v>
      </c>
    </row>
    <row r="30449" spans="1:6" ht="15.75" customHeight="1">
      <c r="A30449" s="16" t="s">
        <v>11020</v>
      </c>
      <c r="B30449" s="15" t="s">
        <v>11021</v>
      </c>
      <c r="C30449" s="16" t="s">
        <v>10178</v>
      </c>
      <c r="D30449" s="16" t="s">
        <v>10179</v>
      </c>
      <c r="E30449" s="2">
        <v>1272640</v>
      </c>
      <c r="F30449" s="4" t="str">
        <f>IF(B30449=B30448,"",B30449)</f>
        <v>DÄ«dwÄna</v>
      </c>
    </row>
    <row r="30450" spans="1:6" ht="15.75" customHeight="1">
      <c r="A30450" s="15" t="s">
        <v>6001</v>
      </c>
      <c r="B30450" s="15" t="s">
        <v>6002</v>
      </c>
      <c r="C30450" s="15" t="s">
        <v>5947</v>
      </c>
      <c r="D30450" s="15" t="s">
        <v>5956</v>
      </c>
      <c r="E30450" s="2">
        <v>3077244</v>
      </c>
      <c r="F30450" s="4" t="e">
        <f>IF(B30450=#REF!,"",B30450)</f>
        <v>#REF!</v>
      </c>
    </row>
    <row r="30451" spans="1:6" ht="15.75" customHeight="1">
      <c r="A30451" s="15" t="s">
        <v>30836</v>
      </c>
      <c r="B30451" s="15" t="s">
        <v>30836</v>
      </c>
      <c r="C30451" s="15" t="s">
        <v>30784</v>
      </c>
      <c r="D30451" s="15" t="s">
        <v>30837</v>
      </c>
      <c r="E30451" s="2">
        <v>1583992</v>
      </c>
      <c r="F30451" s="4" t="str">
        <f>IF(B30451=B30450,"",B30451)</f>
        <v>Da Nang</v>
      </c>
    </row>
    <row r="30452" spans="1:6" ht="15.75" customHeight="1">
      <c r="A30452" s="16" t="str">
        <f ca="1">IFERROR(__xludf.DUMMYFUNCTION("GOOGLETRANSLATE(B45770,""en"",""pt"")"),"Ðà lạt")</f>
        <v>Ðà lạt</v>
      </c>
      <c r="B30452" s="20" t="s">
        <v>36179</v>
      </c>
      <c r="C30452" s="20" t="s">
        <v>30784</v>
      </c>
      <c r="D30452" s="20" t="s">
        <v>36180</v>
      </c>
      <c r="E30452" s="10">
        <v>1584071</v>
      </c>
      <c r="F30452" s="4" t="str">
        <f>IF(B30452=B30451,"",B30452)</f>
        <v>Ðà Lạt</v>
      </c>
    </row>
    <row r="30453" spans="1:6" ht="15.75" customHeight="1">
      <c r="A30453" s="16" t="s">
        <v>17250</v>
      </c>
      <c r="B30453" s="15" t="s">
        <v>17251</v>
      </c>
      <c r="C30453" s="16" t="s">
        <v>17221</v>
      </c>
      <c r="D30453" s="16" t="s">
        <v>17252</v>
      </c>
      <c r="E30453" s="2">
        <v>787715</v>
      </c>
      <c r="F30453" s="4" t="str">
        <f>IF(B30453=B30452,"",B30453)</f>
        <v>ÐÐµÐ³Ð¾Ñ‚Ð¸Ð½Ð¾</v>
      </c>
    </row>
    <row r="30454" spans="1:6" ht="15.75" customHeight="1">
      <c r="A30454" s="16" t="s">
        <v>17247</v>
      </c>
      <c r="B30454" s="15" t="s">
        <v>17248</v>
      </c>
      <c r="C30454" s="16" t="s">
        <v>17221</v>
      </c>
      <c r="D30454" s="16" t="s">
        <v>17249</v>
      </c>
      <c r="E30454" s="2">
        <v>785113</v>
      </c>
      <c r="F30454" s="4" t="str">
        <f>IF(B30454=B30453,"",B30454)</f>
        <v>Ð¢ÐµÐ°Ñ€Ñ†Ðµ</v>
      </c>
    </row>
    <row r="30455" spans="1:6" ht="15.75" customHeight="1">
      <c r="A30455" s="16" t="s">
        <v>17244</v>
      </c>
      <c r="B30455" s="15" t="s">
        <v>17245</v>
      </c>
      <c r="C30455" s="16" t="s">
        <v>17221</v>
      </c>
      <c r="D30455" s="16" t="s">
        <v>17246</v>
      </c>
      <c r="E30455" s="2">
        <v>788654</v>
      </c>
      <c r="F30455" s="4" t="str">
        <f>IF(B30455=B30454,"",B30455)</f>
        <v>Ð›Ð¸Ð¿ÐºÐ¾Ð²Ð¾</v>
      </c>
    </row>
    <row r="30456" spans="1:6" ht="15.75" customHeight="1">
      <c r="A30456" s="16" t="s">
        <v>26935</v>
      </c>
      <c r="B30456" s="15" t="s">
        <v>26936</v>
      </c>
      <c r="C30456" s="16" t="s">
        <v>26870</v>
      </c>
      <c r="D30456" s="16" t="s">
        <v>26931</v>
      </c>
      <c r="E30456" s="2">
        <v>712374</v>
      </c>
      <c r="F30456" s="4" t="str">
        <f>IF(B30456=B30455,"",B30456)</f>
        <v>Ð‘ÐµÑ€ÐµÐ¶Ð°Ð½Ð¸</v>
      </c>
    </row>
    <row r="30457" spans="1:6" ht="15.75" customHeight="1">
      <c r="A30457" s="16" t="s">
        <v>17241</v>
      </c>
      <c r="B30457" s="15" t="s">
        <v>17242</v>
      </c>
      <c r="C30457" s="16" t="s">
        <v>17221</v>
      </c>
      <c r="D30457" s="16" t="s">
        <v>17243</v>
      </c>
      <c r="E30457" s="2">
        <v>785345</v>
      </c>
      <c r="F30457" s="4" t="str">
        <f>IF(B30457=B30456,"",B30457)</f>
        <v>Ð¡Ñ‚ÑƒÐ´ÐµÐ½Ð¸Ñ‡Ð°Ð½Ð¸</v>
      </c>
    </row>
    <row r="30458" spans="1:6" ht="15.75" customHeight="1">
      <c r="A30458" s="16" t="s">
        <v>17238</v>
      </c>
      <c r="B30458" s="15" t="s">
        <v>17239</v>
      </c>
      <c r="C30458" s="16" t="s">
        <v>17221</v>
      </c>
      <c r="D30458" s="16" t="s">
        <v>17240</v>
      </c>
      <c r="E30458" s="2">
        <v>786093</v>
      </c>
      <c r="F30458" s="4" t="str">
        <f>IF(B30458=B30457,"",B30458)</f>
        <v>Ð¡Ð°Ñ€Ð°Ñ˜</v>
      </c>
    </row>
    <row r="30459" spans="1:6" ht="15.75" customHeight="1">
      <c r="A30459" s="16" t="s">
        <v>26933</v>
      </c>
      <c r="B30459" s="15" t="s">
        <v>26934</v>
      </c>
      <c r="C30459" s="16" t="s">
        <v>26870</v>
      </c>
      <c r="D30459" s="16" t="s">
        <v>26905</v>
      </c>
      <c r="E30459" s="2">
        <v>6930327</v>
      </c>
      <c r="F30459" s="4" t="str">
        <f>IF(B30459=B30458,"",B30459)</f>
        <v>Ð¡Ð»Ð°Ð²ÑƒÑ‚Ð¸Ñ‡</v>
      </c>
    </row>
    <row r="30460" spans="1:6" ht="15.75" customHeight="1">
      <c r="A30460" s="16" t="s">
        <v>17235</v>
      </c>
      <c r="B30460" s="15" t="s">
        <v>17236</v>
      </c>
      <c r="C30460" s="16" t="s">
        <v>17221</v>
      </c>
      <c r="D30460" s="16" t="s">
        <v>17237</v>
      </c>
      <c r="E30460" s="2">
        <v>786341</v>
      </c>
      <c r="F30460" s="4" t="str">
        <f>IF(B30460=B30459,"",B30460)</f>
        <v>Ð ÐµÑÐµÐ½</v>
      </c>
    </row>
    <row r="30461" spans="1:6" ht="15.75" customHeight="1">
      <c r="A30461" s="16" t="s">
        <v>17232</v>
      </c>
      <c r="B30461" s="15" t="s">
        <v>17233</v>
      </c>
      <c r="C30461" s="16" t="s">
        <v>17221</v>
      </c>
      <c r="D30461" s="16" t="s">
        <v>17234</v>
      </c>
      <c r="E30461" s="2">
        <v>786565</v>
      </c>
      <c r="F30461" s="4" t="str">
        <f>IF(B30461=B30460,"",B30461)</f>
        <v>Ð Ð°Ð´Ð¾Ð²Ð¸Ñˆ</v>
      </c>
    </row>
    <row r="30462" spans="1:6" ht="15.75" customHeight="1">
      <c r="A30462" s="16" t="str">
        <f ca="1">IFERROR(__xludf.DUMMYFUNCTION("GOOGLETRANSLATE(B39469,""en"",""pt"")"),"Częstochowa")</f>
        <v>Częstochowa</v>
      </c>
      <c r="B30462" s="20" t="s">
        <v>35235</v>
      </c>
      <c r="C30462" s="20" t="s">
        <v>21064</v>
      </c>
      <c r="D30462" s="20" t="s">
        <v>21073</v>
      </c>
      <c r="E30462" s="10">
        <v>3100946</v>
      </c>
      <c r="F30462" s="4" t="e">
        <f>IF(B30462=#REF!,"",B30462)</f>
        <v>#REF!</v>
      </c>
    </row>
    <row r="30463" spans="1:6" ht="15.75" customHeight="1">
      <c r="A30463" s="16" t="s">
        <v>21198</v>
      </c>
      <c r="B30463" s="15" t="s">
        <v>21199</v>
      </c>
      <c r="C30463" s="16" t="s">
        <v>21064</v>
      </c>
      <c r="D30463" s="16" t="s">
        <v>21073</v>
      </c>
      <c r="E30463" s="2">
        <v>3100974</v>
      </c>
      <c r="F30463" s="4" t="str">
        <f>IF(B30463=B30462,"",B30463)</f>
        <v>Czerwionka-Leszczyny</v>
      </c>
    </row>
    <row r="30464" spans="1:6" ht="15.75" customHeight="1">
      <c r="A30464" s="16" t="str">
        <f ca="1">IFERROR(__xludf.DUMMYFUNCTION("GOOGLETRANSLATE(B39471,""en"",""pt"")"),"Czeladź")</f>
        <v>Czeladź</v>
      </c>
      <c r="B30464" s="20" t="s">
        <v>35236</v>
      </c>
      <c r="C30464" s="20" t="s">
        <v>21064</v>
      </c>
      <c r="D30464" s="20" t="s">
        <v>21073</v>
      </c>
      <c r="E30464" s="10">
        <v>3101057</v>
      </c>
      <c r="F30464" s="4" t="str">
        <f>IF(B30464=B30463,"",B30464)</f>
        <v>Czeladź</v>
      </c>
    </row>
    <row r="30465" spans="1:6" ht="15.75" customHeight="1">
      <c r="A30465" s="15" t="s">
        <v>21196</v>
      </c>
      <c r="B30465" s="15" t="s">
        <v>21197</v>
      </c>
      <c r="C30465" s="15" t="s">
        <v>21064</v>
      </c>
      <c r="D30465" s="15" t="s">
        <v>21073</v>
      </c>
      <c r="E30465" s="2">
        <v>3101057</v>
      </c>
      <c r="F30465" s="4" t="e">
        <f>IF(B30465=#REF!,"",B30465)</f>
        <v>#REF!</v>
      </c>
    </row>
    <row r="30466" spans="1:6" ht="15.75" customHeight="1">
      <c r="A30466" s="16" t="s">
        <v>21194</v>
      </c>
      <c r="B30466" s="15" t="s">
        <v>21195</v>
      </c>
      <c r="C30466" s="16" t="s">
        <v>21064</v>
      </c>
      <c r="D30466" s="16" t="s">
        <v>21073</v>
      </c>
      <c r="E30466" s="2">
        <v>3101076</v>
      </c>
      <c r="F30466" s="4" t="str">
        <f>IF(B30466=B30465,"",B30466)</f>
        <v>Czechowice-Dziedzice</v>
      </c>
    </row>
    <row r="30467" spans="1:6" ht="15.75" customHeight="1">
      <c r="A30467" s="16" t="s">
        <v>21192</v>
      </c>
      <c r="B30467" s="15" t="s">
        <v>21193</v>
      </c>
      <c r="C30467" s="16" t="s">
        <v>21064</v>
      </c>
      <c r="D30467" s="16" t="s">
        <v>21073</v>
      </c>
      <c r="E30467" s="2">
        <v>3100946</v>
      </c>
      <c r="F30467" s="4" t="e">
        <f>IF(B30467=#REF!,"",B30467)</f>
        <v>#REF!</v>
      </c>
    </row>
    <row r="30468" spans="1:6" ht="15.75" customHeight="1">
      <c r="A30468" s="15" t="s">
        <v>28379</v>
      </c>
      <c r="B30468" s="15" t="s">
        <v>28380</v>
      </c>
      <c r="C30468" s="15" t="s">
        <v>27788</v>
      </c>
      <c r="D30468" s="15" t="s">
        <v>27792</v>
      </c>
      <c r="E30468" s="2">
        <v>4684724</v>
      </c>
      <c r="F30468" s="4" t="e">
        <f>IF(B30468=#REF!,"",B30468)</f>
        <v>#REF!</v>
      </c>
    </row>
    <row r="30469" spans="1:6" ht="15.75" customHeight="1">
      <c r="A30469" s="15" t="s">
        <v>23416</v>
      </c>
      <c r="B30469" s="15" t="s">
        <v>23416</v>
      </c>
      <c r="C30469" s="15" t="s">
        <v>23413</v>
      </c>
      <c r="D30469" s="15" t="s">
        <v>20411</v>
      </c>
      <c r="E30469" s="2">
        <v>202326</v>
      </c>
      <c r="F30469" s="4" t="e">
        <f>IF(B30469=#REF!,"",B30469)</f>
        <v>#REF!</v>
      </c>
    </row>
    <row r="30470" spans="1:6" ht="15.75" customHeight="1">
      <c r="A30470" s="16" t="s">
        <v>28378</v>
      </c>
      <c r="B30470" s="15" t="s">
        <v>28378</v>
      </c>
      <c r="C30470" s="16" t="s">
        <v>27788</v>
      </c>
      <c r="D30470" s="16" t="s">
        <v>27813</v>
      </c>
      <c r="E30470" s="2">
        <v>5151613</v>
      </c>
      <c r="F30470" s="4" t="e">
        <f>IF(B30470=#REF!,"",B30470)</f>
        <v>#REF!</v>
      </c>
    </row>
    <row r="30471" spans="1:6" ht="15.75" customHeight="1">
      <c r="A30471" s="15" t="s">
        <v>8274</v>
      </c>
      <c r="B30471" s="15" t="s">
        <v>8274</v>
      </c>
      <c r="C30471" s="15" t="s">
        <v>8028</v>
      </c>
      <c r="D30471" s="15" t="s">
        <v>8034</v>
      </c>
      <c r="E30471" s="2">
        <v>2939658</v>
      </c>
      <c r="F30471" s="4" t="e">
        <f>IF(B30471=#REF!,"",B30471)</f>
        <v>#REF!</v>
      </c>
    </row>
    <row r="30472" spans="1:6" ht="15.75" customHeight="1">
      <c r="A30472" s="15" t="s">
        <v>11019</v>
      </c>
      <c r="B30472" s="15" t="s">
        <v>11019</v>
      </c>
      <c r="C30472" s="15" t="s">
        <v>10178</v>
      </c>
      <c r="D30472" s="15" t="s">
        <v>10229</v>
      </c>
      <c r="E30472" s="2">
        <v>1273780</v>
      </c>
      <c r="F30472" s="4" t="str">
        <f>IF(B30472=B30471,"",B30472)</f>
        <v>Cuttack</v>
      </c>
    </row>
    <row r="30473" spans="1:6" ht="15.75" customHeight="1">
      <c r="A30473" s="16" t="str">
        <f ca="1">IFERROR(__xludf.DUMMYFUNCTION("GOOGLETRANSLATE(B23332,""en"",""pt"")"),"Cutral-Có")</f>
        <v>Cutral-Có</v>
      </c>
      <c r="B30473" s="20" t="s">
        <v>31211</v>
      </c>
      <c r="C30473" s="20" t="s">
        <v>558</v>
      </c>
      <c r="D30473" s="20" t="s">
        <v>607</v>
      </c>
      <c r="E30473" s="10">
        <v>3859552</v>
      </c>
      <c r="F30473" s="4" t="str">
        <f>IF(B30473=B30472,"",B30473)</f>
        <v>Cutral-Có</v>
      </c>
    </row>
    <row r="30474" spans="1:6" ht="15.75" customHeight="1">
      <c r="A30474" s="15" t="s">
        <v>636</v>
      </c>
      <c r="B30474" s="15" t="s">
        <v>637</v>
      </c>
      <c r="C30474" s="15" t="s">
        <v>558</v>
      </c>
      <c r="D30474" s="15" t="s">
        <v>607</v>
      </c>
      <c r="E30474" s="2">
        <v>3859552</v>
      </c>
      <c r="F30474" s="4" t="e">
        <f>IF(B30474=#REF!,"",B30474)</f>
        <v>#REF!</v>
      </c>
    </row>
    <row r="30475" spans="1:6" ht="15.75" customHeight="1">
      <c r="A30475" s="16" t="s">
        <v>28377</v>
      </c>
      <c r="B30475" s="15" t="s">
        <v>28377</v>
      </c>
      <c r="C30475" s="16" t="s">
        <v>27788</v>
      </c>
      <c r="D30475" s="16" t="s">
        <v>5468</v>
      </c>
      <c r="E30475" s="2">
        <v>4152574</v>
      </c>
      <c r="F30475" s="4" t="e">
        <f>IF(B30475=#REF!,"",B30475)</f>
        <v>#REF!</v>
      </c>
    </row>
    <row r="30476" spans="1:6" ht="15.75" customHeight="1">
      <c r="A30476" s="16" t="s">
        <v>28376</v>
      </c>
      <c r="B30476" s="15" t="s">
        <v>28376</v>
      </c>
      <c r="C30476" s="16" t="s">
        <v>27788</v>
      </c>
      <c r="D30476" s="16" t="s">
        <v>5468</v>
      </c>
      <c r="E30476" s="2">
        <v>6332309</v>
      </c>
      <c r="F30476" s="4" t="e">
        <f>IF(B30476=#REF!,"",B30476)</f>
        <v>#REF!</v>
      </c>
    </row>
    <row r="30477" spans="1:6" ht="15.75" customHeight="1">
      <c r="A30477" s="15" t="s">
        <v>28375</v>
      </c>
      <c r="B30477" s="15" t="s">
        <v>28375</v>
      </c>
      <c r="C30477" s="15" t="s">
        <v>27788</v>
      </c>
      <c r="D30477" s="15" t="s">
        <v>5468</v>
      </c>
      <c r="E30477" s="2">
        <v>4152564</v>
      </c>
      <c r="F30477" s="4" t="e">
        <f>IF(B30477=#REF!,"",B30477)</f>
        <v>#REF!</v>
      </c>
    </row>
    <row r="30478" spans="1:6" ht="15.75" customHeight="1">
      <c r="A30478" s="15" t="s">
        <v>21655</v>
      </c>
      <c r="B30478" s="15" t="s">
        <v>21655</v>
      </c>
      <c r="C30478" s="15" t="s">
        <v>21606</v>
      </c>
      <c r="D30478" s="15" t="s">
        <v>21656</v>
      </c>
      <c r="E30478" s="2">
        <v>2740174</v>
      </c>
      <c r="F30478" s="4" t="str">
        <f>IF(B30478=B30477,"",B30478)</f>
        <v>Custoias</v>
      </c>
    </row>
    <row r="30479" spans="1:6" ht="15.75" customHeight="1">
      <c r="A30479" s="16" t="str">
        <f ca="1">IFERROR(__xludf.DUMMYFUNCTION("GOOGLETRANSLATE(B24336,""en"",""pt"")"),"Custódia")</f>
        <v>Custódia</v>
      </c>
      <c r="B30479" s="20" t="s">
        <v>31404</v>
      </c>
      <c r="C30479" s="20" t="s">
        <v>1905</v>
      </c>
      <c r="D30479" s="20" t="s">
        <v>1909</v>
      </c>
      <c r="E30479" s="10">
        <v>3401138</v>
      </c>
      <c r="F30479" s="4" t="str">
        <f>IF(B30479=B30478,"",B30479)</f>
        <v>Custódia</v>
      </c>
    </row>
    <row r="30480" spans="1:6" ht="15.75" customHeight="1">
      <c r="A30480" s="15" t="s">
        <v>2407</v>
      </c>
      <c r="B30480" s="15" t="s">
        <v>2408</v>
      </c>
      <c r="C30480" s="15" t="s">
        <v>1905</v>
      </c>
      <c r="D30480" s="15" t="s">
        <v>1909</v>
      </c>
      <c r="E30480" s="2">
        <v>3401138</v>
      </c>
      <c r="F30480" s="4" t="e">
        <f>IF(B30480=#REF!,"",B30480)</f>
        <v>#REF!</v>
      </c>
    </row>
    <row r="30481" spans="1:6" ht="15.75" customHeight="1">
      <c r="A30481" s="15" t="s">
        <v>20505</v>
      </c>
      <c r="B30481" s="15" t="s">
        <v>20505</v>
      </c>
      <c r="C30481" s="15" t="s">
        <v>20470</v>
      </c>
      <c r="D30481" s="15" t="s">
        <v>20505</v>
      </c>
      <c r="E30481" s="2">
        <v>3941584</v>
      </c>
      <c r="F30481" s="4" t="e">
        <f>IF(B30481=#REF!,"",B30481)</f>
        <v>#REF!</v>
      </c>
    </row>
    <row r="30482" spans="1:6" ht="15.75" customHeight="1">
      <c r="A30482" s="16" t="s">
        <v>6741</v>
      </c>
      <c r="B30482" s="15" t="s">
        <v>6741</v>
      </c>
      <c r="C30482" s="16" t="s">
        <v>6727</v>
      </c>
      <c r="D30482" s="16" t="s">
        <v>6729</v>
      </c>
      <c r="E30482" s="2">
        <v>3586833</v>
      </c>
      <c r="F30482" s="4" t="e">
        <f>IF(B30482=#REF!,"",B30482)</f>
        <v>#REF!</v>
      </c>
    </row>
    <row r="30483" spans="1:6" ht="15.75" customHeight="1">
      <c r="A30483" s="16" t="s">
        <v>15117</v>
      </c>
      <c r="B30483" s="15" t="s">
        <v>15117</v>
      </c>
      <c r="C30483" s="16" t="s">
        <v>14891</v>
      </c>
      <c r="D30483" s="16" t="s">
        <v>14894</v>
      </c>
      <c r="E30483" s="2">
        <v>3177664</v>
      </c>
      <c r="F30483" s="4" t="e">
        <f>IF(B30483=#REF!,"",B30483)</f>
        <v>#REF!</v>
      </c>
    </row>
    <row r="30484" spans="1:6" ht="15.75" customHeight="1">
      <c r="A30484" s="15" t="s">
        <v>2406</v>
      </c>
      <c r="B30484" s="15" t="s">
        <v>2406</v>
      </c>
      <c r="C30484" s="15" t="s">
        <v>1905</v>
      </c>
      <c r="D30484" s="15" t="s">
        <v>1917</v>
      </c>
      <c r="E30484" s="2">
        <v>3464891</v>
      </c>
      <c r="F30484" s="4" t="str">
        <f>IF(B30484=B30483,"",B30484)</f>
        <v>Curvelo</v>
      </c>
    </row>
    <row r="30485" spans="1:6" ht="15.75" customHeight="1">
      <c r="A30485" s="16" t="str">
        <f ca="1">IFERROR(__xludf.DUMMYFUNCTION("GOOGLETRANSLATE(B23220,""en"",""pt"")"),"Curuzú Cuatiá")</f>
        <v>Curuzú Cuatiá</v>
      </c>
      <c r="B30485" s="20" t="s">
        <v>31173</v>
      </c>
      <c r="C30485" s="20" t="s">
        <v>558</v>
      </c>
      <c r="D30485" s="20" t="s">
        <v>629</v>
      </c>
      <c r="E30485" s="10">
        <v>3435103</v>
      </c>
      <c r="F30485" s="4" t="str">
        <f>IF(B30485=B30484,"",B30485)</f>
        <v>Curuzú Cuatiá</v>
      </c>
    </row>
    <row r="30486" spans="1:6" ht="15.75" customHeight="1">
      <c r="A30486" s="16" t="s">
        <v>634</v>
      </c>
      <c r="B30486" s="15" t="s">
        <v>635</v>
      </c>
      <c r="C30486" s="16" t="s">
        <v>558</v>
      </c>
      <c r="D30486" s="16" t="s">
        <v>629</v>
      </c>
      <c r="E30486" s="2">
        <v>3435103</v>
      </c>
      <c r="F30486" s="4" t="e">
        <f>IF(B30486=#REF!,"",B30486)</f>
        <v>#REF!</v>
      </c>
    </row>
    <row r="30487" spans="1:6" ht="15.75" customHeight="1">
      <c r="A30487" s="15" t="s">
        <v>2405</v>
      </c>
      <c r="B30487" s="15" t="s">
        <v>2405</v>
      </c>
      <c r="C30487" s="15" t="s">
        <v>1905</v>
      </c>
      <c r="D30487" s="15" t="s">
        <v>2024</v>
      </c>
      <c r="E30487" s="2">
        <v>3401148</v>
      </c>
      <c r="F30487" s="4" t="e">
        <f>IF(B30487=#REF!,"",B30487)</f>
        <v>#REF!</v>
      </c>
    </row>
    <row r="30488" spans="1:6" ht="15.75" customHeight="1">
      <c r="A30488" s="15" t="s">
        <v>13902</v>
      </c>
      <c r="B30488" s="15" t="s">
        <v>13902</v>
      </c>
      <c r="C30488" s="15" t="s">
        <v>13800</v>
      </c>
      <c r="D30488" s="15" t="s">
        <v>13850</v>
      </c>
      <c r="E30488" s="2">
        <v>1645875</v>
      </c>
      <c r="F30488" s="4" t="str">
        <f>IF(B30488=B30487,"",B30488)</f>
        <v>Curup</v>
      </c>
    </row>
    <row r="30489" spans="1:6" ht="15.75" customHeight="1">
      <c r="A30489" s="16" t="str">
        <f ca="1">IFERROR(__xludf.DUMMYFUNCTION("GOOGLETRANSLATE(B26998,""en"",""pt"")"),"Curumaní")</f>
        <v>Curumaní</v>
      </c>
      <c r="B30489" s="20" t="s">
        <v>31876</v>
      </c>
      <c r="C30489" s="20" t="s">
        <v>5348</v>
      </c>
      <c r="D30489" s="20" t="s">
        <v>5351</v>
      </c>
      <c r="E30489" s="10">
        <v>3685335</v>
      </c>
      <c r="F30489" s="4" t="str">
        <f>IF(B30489=B30488,"",B30489)</f>
        <v>Curumaní</v>
      </c>
    </row>
    <row r="30490" spans="1:6" ht="15.75" customHeight="1">
      <c r="A30490" s="16" t="s">
        <v>5444</v>
      </c>
      <c r="B30490" s="15" t="s">
        <v>5445</v>
      </c>
      <c r="C30490" s="16" t="s">
        <v>5348</v>
      </c>
      <c r="D30490" s="16" t="s">
        <v>5351</v>
      </c>
      <c r="E30490" s="2">
        <v>3685335</v>
      </c>
      <c r="F30490" s="4" t="e">
        <f>IF(B30490=#REF!,"",B30490)</f>
        <v>#REF!</v>
      </c>
    </row>
    <row r="30491" spans="1:6" ht="15.75" customHeight="1">
      <c r="A30491" s="15" t="s">
        <v>13899</v>
      </c>
      <c r="B30491" s="15" t="s">
        <v>13900</v>
      </c>
      <c r="C30491" s="15" t="s">
        <v>13800</v>
      </c>
      <c r="D30491" s="15" t="s">
        <v>13901</v>
      </c>
      <c r="E30491" s="2">
        <v>1645895</v>
      </c>
      <c r="F30491" s="4" t="str">
        <f>IF(B30491=B30490,"",B30491)</f>
        <v>Curug</v>
      </c>
    </row>
    <row r="30492" spans="1:6" ht="15.75" customHeight="1">
      <c r="A30492" s="16" t="str">
        <f ca="1">IFERROR(__xludf.DUMMYFUNCTION("GOOGLETRANSLATE(B39804,""en"",""pt"")"),"Curtea de Argeş")</f>
        <v>Curtea de Argeş</v>
      </c>
      <c r="B30492" s="20" t="s">
        <v>35390</v>
      </c>
      <c r="C30492" s="20" t="s">
        <v>21824</v>
      </c>
      <c r="D30492" s="20" t="s">
        <v>35366</v>
      </c>
      <c r="E30492" s="10">
        <v>679907</v>
      </c>
      <c r="F30492" s="4" t="str">
        <f>IF(B30492=B30491,"",B30492)</f>
        <v>Curtea de Argeş</v>
      </c>
    </row>
    <row r="30493" spans="1:6" ht="15.75" customHeight="1">
      <c r="A30493" s="16" t="s">
        <v>21907</v>
      </c>
      <c r="B30493" s="15" t="s">
        <v>21908</v>
      </c>
      <c r="C30493" s="16" t="s">
        <v>21824</v>
      </c>
      <c r="D30493" s="16" t="s">
        <v>21909</v>
      </c>
      <c r="E30493" s="2">
        <v>679907</v>
      </c>
      <c r="F30493" s="4" t="e">
        <f>IF(B30493=#REF!,"",B30493)</f>
        <v>#REF!</v>
      </c>
    </row>
    <row r="30494" spans="1:6" ht="15.75" customHeight="1">
      <c r="A30494" s="16" t="s">
        <v>5677</v>
      </c>
      <c r="B30494" s="15" t="s">
        <v>5677</v>
      </c>
      <c r="C30494" s="16" t="s">
        <v>5665</v>
      </c>
      <c r="D30494" s="16" t="s">
        <v>5668</v>
      </c>
      <c r="E30494" s="2">
        <v>3623977</v>
      </c>
      <c r="F30494" s="4" t="e">
        <f>IF(B30494=#REF!,"",B30494)</f>
        <v>#REF!</v>
      </c>
    </row>
    <row r="30495" spans="1:6" ht="15.75" customHeight="1">
      <c r="A30495" s="16" t="s">
        <v>2404</v>
      </c>
      <c r="B30495" s="15" t="s">
        <v>2404</v>
      </c>
      <c r="C30495" s="16" t="s">
        <v>1905</v>
      </c>
      <c r="D30495" s="16" t="s">
        <v>1922</v>
      </c>
      <c r="E30495" s="2">
        <v>3401283</v>
      </c>
      <c r="F30495" s="4" t="e">
        <f>IF(B30495=#REF!,"",B30495)</f>
        <v>#REF!</v>
      </c>
    </row>
    <row r="30496" spans="1:6" ht="15.75" customHeight="1">
      <c r="A30496" s="16" t="s">
        <v>2403</v>
      </c>
      <c r="B30496" s="15" t="s">
        <v>2403</v>
      </c>
      <c r="C30496" s="16" t="s">
        <v>1905</v>
      </c>
      <c r="D30496" s="16" t="s">
        <v>2020</v>
      </c>
      <c r="E30496" s="2">
        <v>3464974</v>
      </c>
      <c r="F30496" s="4" t="e">
        <f>IF(B30496=#REF!,"",B30496)</f>
        <v>#REF!</v>
      </c>
    </row>
    <row r="30497" spans="1:6" ht="15.75" customHeight="1">
      <c r="A30497" s="15" t="s">
        <v>2402</v>
      </c>
      <c r="B30497" s="15" t="s">
        <v>2402</v>
      </c>
      <c r="C30497" s="15" t="s">
        <v>1905</v>
      </c>
      <c r="D30497" s="15" t="s">
        <v>728</v>
      </c>
      <c r="E30497" s="2">
        <v>3464975</v>
      </c>
      <c r="F30497" s="4" t="str">
        <f>IF(B30497=B30496,"",B30497)</f>
        <v>Curitiba</v>
      </c>
    </row>
    <row r="30498" spans="1:6" ht="15.75" customHeight="1">
      <c r="A30498" s="16" t="str">
        <f ca="1">IFERROR(__xludf.DUMMYFUNCTION("GOOGLETRANSLATE(B25952,""en"",""pt"")"),"Curicó")</f>
        <v>Curicó</v>
      </c>
      <c r="B30498" s="20" t="s">
        <v>31807</v>
      </c>
      <c r="C30498" s="20" t="s">
        <v>4355</v>
      </c>
      <c r="D30498" s="20" t="s">
        <v>4373</v>
      </c>
      <c r="E30498" s="10">
        <v>3892870</v>
      </c>
      <c r="F30498" s="4" t="str">
        <f>IF(B30498=B30497,"",B30498)</f>
        <v>Curicó</v>
      </c>
    </row>
    <row r="30499" spans="1:6" ht="15.75" customHeight="1">
      <c r="A30499" s="15" t="s">
        <v>4393</v>
      </c>
      <c r="B30499" s="15" t="s">
        <v>4394</v>
      </c>
      <c r="C30499" s="15" t="s">
        <v>4355</v>
      </c>
      <c r="D30499" s="15" t="s">
        <v>4373</v>
      </c>
      <c r="E30499" s="2">
        <v>3892870</v>
      </c>
      <c r="F30499" s="4" t="e">
        <f>IF(B30499=#REF!,"",B30499)</f>
        <v>#REF!</v>
      </c>
    </row>
    <row r="30500" spans="1:6" ht="15.75" customHeight="1">
      <c r="A30500" s="15" t="s">
        <v>17682</v>
      </c>
      <c r="B30500" s="15" t="s">
        <v>17683</v>
      </c>
      <c r="C30500" s="15" t="s">
        <v>17678</v>
      </c>
      <c r="D30500" s="15" t="s">
        <v>17684</v>
      </c>
      <c r="E30500" s="2">
        <v>934570</v>
      </c>
      <c r="F30500" s="4" t="e">
        <f>IF(B30500=#REF!,"",B30500)</f>
        <v>#REF!</v>
      </c>
    </row>
    <row r="30501" spans="1:6" ht="15.75" customHeight="1">
      <c r="A30501" s="16" t="s">
        <v>11017</v>
      </c>
      <c r="B30501" s="15" t="s">
        <v>11018</v>
      </c>
      <c r="C30501" s="16" t="s">
        <v>10178</v>
      </c>
      <c r="D30501" s="16" t="s">
        <v>10856</v>
      </c>
      <c r="E30501" s="2">
        <v>1273788</v>
      </c>
      <c r="F30501" s="4" t="e">
        <f>IF(B30501=#REF!,"",B30501)</f>
        <v>#REF!</v>
      </c>
    </row>
    <row r="30502" spans="1:6" ht="15.75" customHeight="1">
      <c r="A30502" s="16" t="s">
        <v>4392</v>
      </c>
      <c r="B30502" s="15" t="s">
        <v>4392</v>
      </c>
      <c r="C30502" s="16" t="s">
        <v>4355</v>
      </c>
      <c r="D30502" s="16" t="s">
        <v>4361</v>
      </c>
      <c r="E30502" s="2">
        <v>3892892</v>
      </c>
      <c r="F30502" s="4" t="str">
        <f>IF(B30502=B30501,"",B30502)</f>
        <v>Curanilahue</v>
      </c>
    </row>
    <row r="30503" spans="1:6" ht="15.75" customHeight="1">
      <c r="A30503" s="16" t="str">
        <f ca="1">IFERROR(__xludf.DUMMYFUNCTION("GOOGLETRANSLATE(B39886,""en"",""pt"")"),"Ćuprija")</f>
        <v>Ćuprija</v>
      </c>
      <c r="B30503" s="20" t="s">
        <v>35420</v>
      </c>
      <c r="C30503" s="20" t="s">
        <v>23602</v>
      </c>
      <c r="D30503" s="20" t="s">
        <v>23603</v>
      </c>
      <c r="E30503" s="10">
        <v>791678</v>
      </c>
      <c r="F30503" s="4" t="e">
        <f>IF(B30503=#REF!,"",B30503)</f>
        <v>#REF!</v>
      </c>
    </row>
    <row r="30504" spans="1:6" ht="15.75" customHeight="1">
      <c r="A30504" s="15" t="s">
        <v>2401</v>
      </c>
      <c r="B30504" s="15" t="s">
        <v>2401</v>
      </c>
      <c r="C30504" s="15" t="s">
        <v>1905</v>
      </c>
      <c r="D30504" s="15" t="s">
        <v>1909</v>
      </c>
      <c r="E30504" s="2">
        <v>3401340</v>
      </c>
      <c r="F30504" s="4" t="e">
        <f>IF(B30504=#REF!,"",B30504)</f>
        <v>#REF!</v>
      </c>
    </row>
    <row r="30505" spans="1:6" ht="15.75" customHeight="1">
      <c r="A30505" s="16" t="s">
        <v>28374</v>
      </c>
      <c r="B30505" s="15" t="s">
        <v>28374</v>
      </c>
      <c r="C30505" s="16" t="s">
        <v>27788</v>
      </c>
      <c r="D30505" s="16" t="s">
        <v>27801</v>
      </c>
      <c r="E30505" s="2">
        <v>5341145</v>
      </c>
      <c r="F30505" s="4" t="str">
        <f>IF(B30505=B30504,"",B30505)</f>
        <v>Cupertino</v>
      </c>
    </row>
    <row r="30506" spans="1:6" ht="15.75" customHeight="1">
      <c r="A30506" s="15" t="s">
        <v>8275</v>
      </c>
      <c r="B30506" s="15" t="s">
        <v>8275</v>
      </c>
      <c r="C30506" s="15" t="s">
        <v>8028</v>
      </c>
      <c r="D30506" s="15" t="s">
        <v>8276</v>
      </c>
      <c r="E30506" s="2">
        <v>9999999</v>
      </c>
      <c r="F30506" s="4" t="e">
        <f>IF(B30506=#REF!,"",B30506)</f>
        <v>#REF!</v>
      </c>
    </row>
    <row r="30507" spans="1:6" ht="15.75" customHeight="1">
      <c r="A30507" s="15" t="s">
        <v>15116</v>
      </c>
      <c r="B30507" s="15" t="s">
        <v>15116</v>
      </c>
      <c r="C30507" s="15" t="s">
        <v>14891</v>
      </c>
      <c r="D30507" s="15" t="s">
        <v>14911</v>
      </c>
      <c r="E30507" s="2">
        <v>3177700</v>
      </c>
      <c r="F30507" s="4" t="str">
        <f>IF(B30507=B30506,"",B30507)</f>
        <v>Cuneo</v>
      </c>
    </row>
    <row r="30508" spans="1:6" ht="15.75" customHeight="1">
      <c r="A30508" s="16" t="str">
        <f ca="1">IFERROR(__xludf.DUMMYFUNCTION("GOOGLETRANSLATE(B37032,""en"",""pt"")"),"Cunduacán")</f>
        <v>Cunduacán</v>
      </c>
      <c r="B30508" s="20" t="s">
        <v>34704</v>
      </c>
      <c r="C30508" s="20" t="s">
        <v>17707</v>
      </c>
      <c r="D30508" s="20" t="s">
        <v>17788</v>
      </c>
      <c r="E30508" s="10">
        <v>3529886</v>
      </c>
      <c r="F30508" s="4" t="str">
        <f>IF(B30508=B30507,"",B30508)</f>
        <v>Cunduacán</v>
      </c>
    </row>
    <row r="30509" spans="1:6" ht="15.75" customHeight="1">
      <c r="A30509" s="15" t="s">
        <v>17917</v>
      </c>
      <c r="B30509" s="15" t="s">
        <v>17918</v>
      </c>
      <c r="C30509" s="15" t="s">
        <v>17707</v>
      </c>
      <c r="D30509" s="15" t="s">
        <v>17788</v>
      </c>
      <c r="E30509" s="2">
        <v>3529886</v>
      </c>
      <c r="F30509" s="4" t="e">
        <f>IF(B30509=#REF!,"",B30509)</f>
        <v>#REF!</v>
      </c>
    </row>
    <row r="30510" spans="1:6" ht="15.75" customHeight="1">
      <c r="A30510" s="15" t="s">
        <v>11016</v>
      </c>
      <c r="B30510" s="15" t="s">
        <v>11016</v>
      </c>
      <c r="C30510" s="15" t="s">
        <v>10178</v>
      </c>
      <c r="D30510" s="15" t="s">
        <v>10856</v>
      </c>
      <c r="E30510" s="2">
        <v>1273793</v>
      </c>
      <c r="F30510" s="4" t="str">
        <f>IF(B30510=B30509,"",B30510)</f>
        <v>Cuncolim</v>
      </c>
    </row>
    <row r="30511" spans="1:6" ht="15.75" customHeight="1">
      <c r="A30511" s="16" t="str">
        <f ca="1">IFERROR(__xludf.DUMMYFUNCTION("GOOGLETRANSLATE(B42026,""en"",""pt"")"),"Çumra")</f>
        <v>Çumra</v>
      </c>
      <c r="B30511" s="20" t="s">
        <v>35888</v>
      </c>
      <c r="C30511" s="20" t="s">
        <v>26201</v>
      </c>
      <c r="D30511" s="20" t="s">
        <v>26265</v>
      </c>
      <c r="E30511" s="10">
        <v>317844</v>
      </c>
      <c r="F30511" s="4" t="e">
        <f>IF(B30511=#REF!,"",B30511)</f>
        <v>#REF!</v>
      </c>
    </row>
    <row r="30512" spans="1:6" ht="15.75" customHeight="1">
      <c r="A30512" s="16" t="s">
        <v>11014</v>
      </c>
      <c r="B30512" s="15" t="s">
        <v>11015</v>
      </c>
      <c r="C30512" s="16" t="s">
        <v>10178</v>
      </c>
      <c r="D30512" s="16" t="s">
        <v>10196</v>
      </c>
      <c r="E30512" s="2">
        <v>1268246</v>
      </c>
      <c r="F30512" s="4" t="e">
        <f>IF(B30512=#REF!,"",B30512)</f>
        <v>#REF!</v>
      </c>
    </row>
    <row r="30513" spans="1:6" ht="15.75" customHeight="1">
      <c r="A30513" s="16" t="s">
        <v>28373</v>
      </c>
      <c r="B30513" s="15" t="s">
        <v>28373</v>
      </c>
      <c r="C30513" s="16" t="s">
        <v>27788</v>
      </c>
      <c r="D30513" s="16" t="s">
        <v>17061</v>
      </c>
      <c r="E30513" s="2">
        <v>4352681</v>
      </c>
      <c r="F30513" s="4" t="e">
        <f>IF(B30513=#REF!,"",B30513)</f>
        <v>#REF!</v>
      </c>
    </row>
    <row r="30514" spans="1:6" ht="15.75" customHeight="1">
      <c r="A30514" s="16" t="s">
        <v>5831</v>
      </c>
      <c r="B30514" s="15" t="s">
        <v>5831</v>
      </c>
      <c r="C30514" s="16" t="s">
        <v>5764</v>
      </c>
      <c r="D30514" s="16" t="s">
        <v>5765</v>
      </c>
      <c r="E30514" s="2">
        <v>3562827</v>
      </c>
      <c r="F30514" s="4" t="str">
        <f>IF(B30514=B30513,"",B30514)</f>
        <v>Cumanayagua</v>
      </c>
    </row>
    <row r="30515" spans="1:6" ht="15.75" customHeight="1">
      <c r="A30515" s="15" t="s">
        <v>30680</v>
      </c>
      <c r="B30515" s="15" t="s">
        <v>30681</v>
      </c>
      <c r="C30515" s="15" t="s">
        <v>5923</v>
      </c>
      <c r="D30515" s="15" t="s">
        <v>1829</v>
      </c>
      <c r="E30515" s="2">
        <v>3644768</v>
      </c>
      <c r="F30515" s="4" t="str">
        <f>IF(B30515=B30514,"",B30515)</f>
        <v>CumanÃ¡</v>
      </c>
    </row>
    <row r="30516" spans="1:6" ht="15.75" customHeight="1">
      <c r="A30516" s="16" t="str">
        <f ca="1">IFERROR(__xludf.DUMMYFUNCTION("GOOGLETRANSLATE(B45670,""en"",""pt"")"),"Cumaná")</f>
        <v>Cumaná</v>
      </c>
      <c r="B30516" s="20" t="s">
        <v>30680</v>
      </c>
      <c r="C30516" s="20" t="s">
        <v>5923</v>
      </c>
      <c r="D30516" s="20" t="s">
        <v>1829</v>
      </c>
      <c r="E30516" s="10">
        <v>3644768</v>
      </c>
      <c r="F30516" s="4" t="e">
        <f>IF(B30516=#REF!,"",B30516)</f>
        <v>#REF!</v>
      </c>
    </row>
    <row r="30517" spans="1:6" ht="15.75" customHeight="1">
      <c r="A30517" s="16" t="s">
        <v>28371</v>
      </c>
      <c r="B30517" s="15" t="s">
        <v>28372</v>
      </c>
      <c r="C30517" s="16" t="s">
        <v>27788</v>
      </c>
      <c r="D30517" s="16" t="s">
        <v>27801</v>
      </c>
      <c r="E30517" s="2">
        <v>5341114</v>
      </c>
      <c r="F30517" s="4" t="e">
        <f>IF(B30517=#REF!,"",B30517)</f>
        <v>#REF!</v>
      </c>
    </row>
    <row r="30518" spans="1:6" ht="15.75" customHeight="1">
      <c r="A30518" s="15" t="s">
        <v>23877</v>
      </c>
      <c r="B30518" s="15" t="s">
        <v>23877</v>
      </c>
      <c r="C30518" s="15" t="s">
        <v>23842</v>
      </c>
      <c r="D30518" s="15" t="s">
        <v>23855</v>
      </c>
      <c r="E30518" s="2">
        <v>1012413</v>
      </c>
      <c r="F30518" s="4" t="e">
        <f>IF(B30518=#REF!,"",B30518)</f>
        <v>#REF!</v>
      </c>
    </row>
    <row r="30519" spans="1:6" ht="15.75" customHeight="1">
      <c r="A30519" s="15" t="s">
        <v>24429</v>
      </c>
      <c r="B30519" s="15" t="s">
        <v>24430</v>
      </c>
      <c r="C30519" s="15" t="s">
        <v>24200</v>
      </c>
      <c r="D30519" s="15" t="s">
        <v>24201</v>
      </c>
      <c r="E30519" s="2">
        <v>3124041</v>
      </c>
      <c r="F30519" s="4" t="e">
        <f>IF(B30519=#REF!,"",B30519)</f>
        <v>#REF!</v>
      </c>
    </row>
    <row r="30520" spans="1:6" ht="15.75" customHeight="1">
      <c r="A30520" s="15" t="s">
        <v>24427</v>
      </c>
      <c r="B30520" s="15" t="s">
        <v>24428</v>
      </c>
      <c r="C30520" s="15" t="s">
        <v>24200</v>
      </c>
      <c r="D30520" s="15" t="s">
        <v>21053</v>
      </c>
      <c r="E30520" s="2">
        <v>2518949</v>
      </c>
      <c r="F30520" s="4" t="str">
        <f>IF(B30520=B30519,"",B30520)</f>
        <v>Cullera</v>
      </c>
    </row>
    <row r="30521" spans="1:6" ht="15.75" customHeight="1">
      <c r="A30521" s="16" t="str">
        <f ca="1">IFERROR(__xludf.DUMMYFUNCTION("GOOGLETRANSLATE(B37306,""en"",""pt"")"),"Culiacán")</f>
        <v>Culiacán</v>
      </c>
      <c r="B30521" s="20" t="s">
        <v>34770</v>
      </c>
      <c r="C30521" s="20" t="s">
        <v>17707</v>
      </c>
      <c r="D30521" s="20" t="s">
        <v>17916</v>
      </c>
      <c r="E30521" s="10">
        <v>4012176</v>
      </c>
      <c r="F30521" s="4" t="str">
        <f>IF(B30521=B30520,"",B30521)</f>
        <v>Culiacán</v>
      </c>
    </row>
    <row r="30522" spans="1:6" ht="15.75" customHeight="1">
      <c r="A30522" s="15" t="s">
        <v>17914</v>
      </c>
      <c r="B30522" s="15" t="s">
        <v>17915</v>
      </c>
      <c r="C30522" s="15" t="s">
        <v>17707</v>
      </c>
      <c r="D30522" s="15" t="s">
        <v>17916</v>
      </c>
      <c r="E30522" s="2">
        <v>4012176</v>
      </c>
      <c r="F30522" s="4" t="e">
        <f>IF(B30522=#REF!,"",B30522)</f>
        <v>#REF!</v>
      </c>
    </row>
    <row r="30523" spans="1:6" ht="15.75" customHeight="1">
      <c r="A30523" s="16" t="s">
        <v>18929</v>
      </c>
      <c r="B30523" s="15" t="s">
        <v>18929</v>
      </c>
      <c r="C30523" s="16" t="s">
        <v>18862</v>
      </c>
      <c r="D30523" s="16" t="s">
        <v>18865</v>
      </c>
      <c r="E30523" s="2">
        <v>2757872</v>
      </c>
      <c r="F30523" s="4" t="e">
        <f>IF(B30523=#REF!,"",B30523)</f>
        <v>#REF!</v>
      </c>
    </row>
    <row r="30524" spans="1:6" ht="15.75" customHeight="1">
      <c r="A30524" s="15" t="s">
        <v>17464</v>
      </c>
      <c r="B30524" s="15" t="s">
        <v>17464</v>
      </c>
      <c r="C30524" s="15" t="s">
        <v>17432</v>
      </c>
      <c r="D30524" s="15" t="s">
        <v>17465</v>
      </c>
      <c r="E30524" s="2">
        <v>1732945</v>
      </c>
      <c r="F30524" s="4" t="e">
        <f>IF(B30524=#REF!,"",B30524)</f>
        <v>#REF!</v>
      </c>
    </row>
    <row r="30525" spans="1:6" ht="15.75" customHeight="1">
      <c r="A30525" s="15" t="s">
        <v>520</v>
      </c>
      <c r="B30525" s="15" t="s">
        <v>520</v>
      </c>
      <c r="C30525" s="15" t="s">
        <v>507</v>
      </c>
      <c r="D30525" s="15" t="s">
        <v>515</v>
      </c>
      <c r="E30525" s="2">
        <v>3348078</v>
      </c>
      <c r="F30525" s="4" t="e">
        <f>IF(B30525=#REF!,"",B30525)</f>
        <v>#REF!</v>
      </c>
    </row>
    <row r="30526" spans="1:6" ht="15.75" customHeight="1">
      <c r="A30526" s="15" t="s">
        <v>9730</v>
      </c>
      <c r="B30526" s="15" t="s">
        <v>9730</v>
      </c>
      <c r="C30526" s="15" t="s">
        <v>9700</v>
      </c>
      <c r="D30526" s="15" t="s">
        <v>805</v>
      </c>
      <c r="E30526" s="2">
        <v>3597804</v>
      </c>
      <c r="F30526" s="4" t="e">
        <f>IF(B30526=#REF!,"",B30526)</f>
        <v>#REF!</v>
      </c>
    </row>
    <row r="30527" spans="1:6" ht="15.75" customHeight="1">
      <c r="A30527" s="15" t="s">
        <v>18928</v>
      </c>
      <c r="B30527" s="15" t="s">
        <v>18928</v>
      </c>
      <c r="C30527" s="15" t="s">
        <v>18862</v>
      </c>
      <c r="D30527" s="15" t="s">
        <v>18888</v>
      </c>
      <c r="E30527" s="2">
        <v>2757874</v>
      </c>
      <c r="F30527" s="4" t="str">
        <f>IF(B30527=B30526,"",B30527)</f>
        <v>Cuijk</v>
      </c>
    </row>
    <row r="30528" spans="1:6" ht="15.75" customHeight="1">
      <c r="A30528" s="15" t="s">
        <v>2399</v>
      </c>
      <c r="B30528" s="15" t="s">
        <v>2400</v>
      </c>
      <c r="C30528" s="15" t="s">
        <v>1905</v>
      </c>
      <c r="D30528" s="15" t="s">
        <v>2036</v>
      </c>
      <c r="E30528" s="2">
        <v>3465038</v>
      </c>
      <c r="F30528" s="4" t="str">
        <f>IF(B30528=B30527,"",B30528)</f>
        <v>CuiabÃ¡</v>
      </c>
    </row>
    <row r="30529" spans="1:6" ht="15.75" customHeight="1">
      <c r="A30529" s="16" t="str">
        <f ca="1">IFERROR(__xludf.DUMMYFUNCTION("GOOGLETRANSLATE(B25074,""en"",""pt"")"),"Cuiabá")</f>
        <v>Cuiabá</v>
      </c>
      <c r="B30529" s="20" t="s">
        <v>31669</v>
      </c>
      <c r="C30529" s="20" t="s">
        <v>1905</v>
      </c>
      <c r="D30529" s="20" t="s">
        <v>2036</v>
      </c>
      <c r="E30529" s="10">
        <v>3465038</v>
      </c>
      <c r="F30529" s="4" t="e">
        <f>IF(B30529=#REF!,"",B30529)</f>
        <v>#REF!</v>
      </c>
    </row>
    <row r="30530" spans="1:6" ht="15.75" customHeight="1">
      <c r="A30530" s="16" t="s">
        <v>7309</v>
      </c>
      <c r="B30530" s="15" t="s">
        <v>7310</v>
      </c>
      <c r="C30530" s="16" t="s">
        <v>7052</v>
      </c>
      <c r="D30530" s="16" t="s">
        <v>7082</v>
      </c>
      <c r="E30530" s="2">
        <v>3022151</v>
      </c>
      <c r="F30530" s="4" t="e">
        <f>IF(B30530=#REF!,"",B30530)</f>
        <v>#REF!</v>
      </c>
    </row>
    <row r="30531" spans="1:6" ht="15.75" customHeight="1">
      <c r="A30531" s="15" t="s">
        <v>21905</v>
      </c>
      <c r="B30531" s="15" t="s">
        <v>21906</v>
      </c>
      <c r="C30531" s="15" t="s">
        <v>21824</v>
      </c>
      <c r="D30531" s="15" t="s">
        <v>14917</v>
      </c>
      <c r="E30531" s="2">
        <v>679995</v>
      </c>
      <c r="F30531" s="4" t="e">
        <f>IF(B30531=#REF!,"",B30531)</f>
        <v>#REF!</v>
      </c>
    </row>
    <row r="30532" spans="1:6" ht="15.75" customHeight="1">
      <c r="A30532" s="15" t="s">
        <v>5830</v>
      </c>
      <c r="B30532" s="15" t="s">
        <v>5830</v>
      </c>
      <c r="C30532" s="15" t="s">
        <v>5764</v>
      </c>
      <c r="D30532" s="15" t="s">
        <v>5777</v>
      </c>
      <c r="E30532" s="2">
        <v>3562895</v>
      </c>
      <c r="F30532" s="4" t="e">
        <f>IF(B30532=#REF!,"",B30532)</f>
        <v>#REF!</v>
      </c>
    </row>
    <row r="30533" spans="1:6" ht="15.75" customHeight="1">
      <c r="A30533" s="16" t="s">
        <v>17913</v>
      </c>
      <c r="B30533" s="15" t="s">
        <v>17913</v>
      </c>
      <c r="C30533" s="16" t="s">
        <v>17707</v>
      </c>
      <c r="D30533" s="16" t="s">
        <v>17780</v>
      </c>
      <c r="E30533" s="2">
        <v>3529947</v>
      </c>
      <c r="F30533" s="4" t="e">
        <f>IF(B30533=#REF!,"",B30533)</f>
        <v>#REF!</v>
      </c>
    </row>
    <row r="30534" spans="1:6" ht="15.75" customHeight="1">
      <c r="A30534" s="15" t="s">
        <v>6422</v>
      </c>
      <c r="B30534" s="15" t="s">
        <v>6422</v>
      </c>
      <c r="C30534" s="15" t="s">
        <v>6398</v>
      </c>
      <c r="D30534" s="15" t="s">
        <v>6423</v>
      </c>
      <c r="E30534" s="2">
        <v>3658666</v>
      </c>
      <c r="F30534" s="4" t="e">
        <f>IF(B30534=#REF!,"",B30534)</f>
        <v>#REF!</v>
      </c>
    </row>
    <row r="30535" spans="1:6" ht="15.75" customHeight="1">
      <c r="A30535" s="16" t="s">
        <v>11013</v>
      </c>
      <c r="B30535" s="15" t="s">
        <v>11013</v>
      </c>
      <c r="C30535" s="16" t="s">
        <v>10178</v>
      </c>
      <c r="D30535" s="16" t="s">
        <v>10190</v>
      </c>
      <c r="E30535" s="2">
        <v>1273800</v>
      </c>
      <c r="F30535" s="4" t="e">
        <f>IF(B30535=#REF!,"",B30535)</f>
        <v>#REF!</v>
      </c>
    </row>
    <row r="30536" spans="1:6" ht="15.75" customHeight="1">
      <c r="A30536" s="16" t="s">
        <v>11012</v>
      </c>
      <c r="B30536" s="15" t="s">
        <v>11012</v>
      </c>
      <c r="C30536" s="16" t="s">
        <v>10178</v>
      </c>
      <c r="D30536" s="16" t="s">
        <v>10196</v>
      </c>
      <c r="E30536" s="2">
        <v>1273802</v>
      </c>
      <c r="F30536" s="4" t="e">
        <f>IF(B30536=#REF!,"",B30536)</f>
        <v>#REF!</v>
      </c>
    </row>
    <row r="30537" spans="1:6" ht="15.75" customHeight="1">
      <c r="A30537" s="15" t="s">
        <v>28370</v>
      </c>
      <c r="B30537" s="15" t="s">
        <v>28370</v>
      </c>
      <c r="C30537" s="15" t="s">
        <v>27788</v>
      </c>
      <c r="D30537" s="15" t="s">
        <v>27890</v>
      </c>
      <c r="E30537" s="2">
        <v>5249871</v>
      </c>
      <c r="F30537" s="4" t="str">
        <f>IF(B30537=B30536,"",B30537)</f>
        <v>Cudahy</v>
      </c>
    </row>
    <row r="30538" spans="1:6" ht="15.75" customHeight="1">
      <c r="A30538" s="16" t="str">
        <f ca="1">IFERROR(__xludf.DUMMYFUNCTION("GOOGLETRANSLATE(B26999,""en"",""pt"")"),"Cúcuta")</f>
        <v>Cúcuta</v>
      </c>
      <c r="B30538" s="20" t="s">
        <v>31877</v>
      </c>
      <c r="C30538" s="20" t="s">
        <v>5348</v>
      </c>
      <c r="D30538" s="20" t="s">
        <v>5410</v>
      </c>
      <c r="E30538" s="10">
        <v>3685533</v>
      </c>
      <c r="F30538" s="4" t="str">
        <f>IF(B30538=B30537,"",B30538)</f>
        <v>Cúcuta</v>
      </c>
    </row>
    <row r="30539" spans="1:6" ht="15.75" customHeight="1">
      <c r="A30539" s="16" t="str">
        <f ca="1">IFERROR(__xludf.DUMMYFUNCTION("GOOGLETRANSLATE(B42191,""en"",""pt"")"),"Çubuk")</f>
        <v>Çubuk</v>
      </c>
      <c r="B30539" s="20" t="s">
        <v>35950</v>
      </c>
      <c r="C30539" s="20" t="s">
        <v>26201</v>
      </c>
      <c r="D30539" s="20" t="s">
        <v>26229</v>
      </c>
      <c r="E30539" s="10">
        <v>748870</v>
      </c>
      <c r="F30539" s="4" t="str">
        <f>IF(B30539=B30538,"",B30539)</f>
        <v>Çubuk</v>
      </c>
    </row>
    <row r="30540" spans="1:6" ht="15.75" customHeight="1">
      <c r="A30540" s="16" t="str">
        <f ca="1">IFERROR(__xludf.DUMMYFUNCTION("GOOGLETRANSLATE(B25075,""en"",""pt"")"),"Cubatão")</f>
        <v>Cubatão</v>
      </c>
      <c r="B30540" s="20" t="s">
        <v>31670</v>
      </c>
      <c r="C30540" s="20" t="s">
        <v>1905</v>
      </c>
      <c r="D30540" s="20" t="s">
        <v>3354</v>
      </c>
      <c r="E30540" s="10">
        <v>3465059</v>
      </c>
      <c r="F30540" s="4" t="str">
        <f>IF(B30540=B30539,"",B30540)</f>
        <v>Cubatão</v>
      </c>
    </row>
    <row r="30541" spans="1:6" ht="15.75" customHeight="1">
      <c r="A30541" s="15" t="s">
        <v>2397</v>
      </c>
      <c r="B30541" s="15" t="s">
        <v>2398</v>
      </c>
      <c r="C30541" s="15" t="s">
        <v>1905</v>
      </c>
      <c r="D30541" s="15" t="s">
        <v>1914</v>
      </c>
      <c r="E30541" s="2">
        <v>3465059</v>
      </c>
      <c r="F30541" s="4" t="e">
        <f>IF(B30541=#REF!,"",B30541)</f>
        <v>#REF!</v>
      </c>
    </row>
    <row r="30542" spans="1:6" ht="15.75" customHeight="1">
      <c r="A30542" s="16" t="s">
        <v>17912</v>
      </c>
      <c r="B30542" s="15" t="s">
        <v>17912</v>
      </c>
      <c r="C30542" s="16" t="s">
        <v>17707</v>
      </c>
      <c r="D30542" s="16" t="s">
        <v>17717</v>
      </c>
      <c r="E30542" s="2">
        <v>3529981</v>
      </c>
      <c r="F30542" s="4" t="e">
        <f>IF(B30542=#REF!,"",B30542)</f>
        <v>#REF!</v>
      </c>
    </row>
    <row r="30543" spans="1:6" ht="15.75" customHeight="1">
      <c r="A30543" s="16" t="s">
        <v>17910</v>
      </c>
      <c r="B30543" s="15" t="s">
        <v>17911</v>
      </c>
      <c r="C30543" s="16" t="s">
        <v>17707</v>
      </c>
      <c r="D30543" s="16" t="s">
        <v>17780</v>
      </c>
      <c r="E30543" s="2">
        <v>3529982</v>
      </c>
      <c r="F30543" s="4" t="str">
        <f>IF(B30543=B30542,"",B30543)</f>
        <v>Cuautla Morelos</v>
      </c>
    </row>
    <row r="30544" spans="1:6" ht="15.75" customHeight="1">
      <c r="A30544" s="16" t="str">
        <f ca="1">IFERROR(__xludf.DUMMYFUNCTION("GOOGLETRANSLATE(B36890,""en"",""pt"")"),"Cuautitlán izcalli")</f>
        <v>Cuautitlán izcalli</v>
      </c>
      <c r="B30544" s="20" t="s">
        <v>34668</v>
      </c>
      <c r="C30544" s="20" t="s">
        <v>17707</v>
      </c>
      <c r="D30544" s="20" t="s">
        <v>20902</v>
      </c>
      <c r="E30544" s="10">
        <v>3515807</v>
      </c>
      <c r="F30544" s="4" t="str">
        <f>IF(B30544=B30543,"",B30544)</f>
        <v>Cuautitlán Izcalli</v>
      </c>
    </row>
    <row r="30545" spans="1:6" ht="15.75" customHeight="1">
      <c r="A30545" s="16" t="str">
        <f ca="1">IFERROR(__xludf.DUMMYFUNCTION("GOOGLETRANSLATE(B37036,""en"",""pt"")"),"Cuautitlán")</f>
        <v>Cuautitlán</v>
      </c>
      <c r="B30545" s="20" t="s">
        <v>34705</v>
      </c>
      <c r="C30545" s="20" t="s">
        <v>17707</v>
      </c>
      <c r="D30545" s="20" t="s">
        <v>20902</v>
      </c>
      <c r="E30545" s="10">
        <v>3529986</v>
      </c>
      <c r="F30545" s="4" t="str">
        <f>IF(B30545=B30544,"",B30545)</f>
        <v>Cuautitlán</v>
      </c>
    </row>
    <row r="30546" spans="1:6" ht="15.75" customHeight="1">
      <c r="A30546" s="16" t="s">
        <v>17908</v>
      </c>
      <c r="B30546" s="15" t="s">
        <v>17909</v>
      </c>
      <c r="C30546" s="16" t="s">
        <v>17707</v>
      </c>
      <c r="D30546" s="16" t="s">
        <v>17736</v>
      </c>
      <c r="E30546" s="2">
        <v>3515807</v>
      </c>
      <c r="F30546" s="4" t="str">
        <f>IF(B30546=B30545,"",B30546)</f>
        <v>CuautitlÃ¡n Izcalli</v>
      </c>
    </row>
    <row r="30547" spans="1:6" ht="15.75" customHeight="1">
      <c r="A30547" s="16" t="s">
        <v>17906</v>
      </c>
      <c r="B30547" s="15" t="s">
        <v>17907</v>
      </c>
      <c r="C30547" s="16" t="s">
        <v>17707</v>
      </c>
      <c r="D30547" s="16" t="s">
        <v>17736</v>
      </c>
      <c r="E30547" s="2">
        <v>3529986</v>
      </c>
      <c r="F30547" s="4" t="e">
        <f>IF(B30547=#REF!,"",B30547)</f>
        <v>#REF!</v>
      </c>
    </row>
    <row r="30548" spans="1:6" ht="15.75" customHeight="1">
      <c r="A30548" s="16" t="s">
        <v>17904</v>
      </c>
      <c r="B30548" s="15" t="s">
        <v>17905</v>
      </c>
      <c r="C30548" s="16" t="s">
        <v>17707</v>
      </c>
      <c r="D30548" s="16" t="s">
        <v>17729</v>
      </c>
      <c r="E30548" s="2">
        <v>3529989</v>
      </c>
      <c r="F30548" s="4" t="e">
        <f>IF(B30548=#REF!,"",B30548)</f>
        <v>#REF!</v>
      </c>
    </row>
    <row r="30549" spans="1:6" ht="15.75" customHeight="1">
      <c r="A30549" s="16" t="str">
        <f ca="1">IFERROR(__xludf.DUMMYFUNCTION("GOOGLETRANSLATE(B37130,""en"",""pt"")"),"Cuauhtémoc")</f>
        <v>Cuauhtémoc</v>
      </c>
      <c r="B30549" s="20" t="s">
        <v>34724</v>
      </c>
      <c r="C30549" s="20" t="s">
        <v>17707</v>
      </c>
      <c r="D30549" s="20" t="s">
        <v>17711</v>
      </c>
      <c r="E30549" s="10">
        <v>3827409</v>
      </c>
      <c r="F30549" s="4" t="e">
        <f>IF(B30549=#REF!,"",B30549)</f>
        <v>#REF!</v>
      </c>
    </row>
    <row r="30550" spans="1:6" ht="15.75" customHeight="1">
      <c r="A30550" s="16" t="s">
        <v>17902</v>
      </c>
      <c r="B30550" s="15" t="s">
        <v>17903</v>
      </c>
      <c r="C30550" s="16" t="s">
        <v>17707</v>
      </c>
      <c r="D30550" s="16" t="s">
        <v>17711</v>
      </c>
      <c r="E30550" s="2">
        <v>3827409</v>
      </c>
      <c r="F30550" s="4" t="e">
        <f>IF(B30550=#REF!,"",B30550)</f>
        <v>#REF!</v>
      </c>
    </row>
    <row r="30551" spans="1:6" ht="15.75" customHeight="1">
      <c r="A30551" s="15" t="s">
        <v>18666</v>
      </c>
      <c r="B30551" s="15" t="s">
        <v>18666</v>
      </c>
      <c r="C30551" s="15" t="s">
        <v>18655</v>
      </c>
      <c r="D30551" s="15" t="s">
        <v>18667</v>
      </c>
      <c r="E30551" s="2">
        <v>1047660</v>
      </c>
      <c r="F30551" s="4" t="e">
        <f>IF(B30551=#REF!,"",B30551)</f>
        <v>#REF!</v>
      </c>
    </row>
    <row r="30552" spans="1:6" ht="15.75" customHeight="1">
      <c r="A30552" s="16" t="s">
        <v>17901</v>
      </c>
      <c r="B30552" s="15" t="s">
        <v>17901</v>
      </c>
      <c r="C30552" s="16" t="s">
        <v>17707</v>
      </c>
      <c r="D30552" s="16" t="s">
        <v>17711</v>
      </c>
      <c r="E30552" s="2">
        <v>3530049</v>
      </c>
      <c r="F30552" s="4" t="str">
        <f>IF(B30552=B30551,"",B30552)</f>
        <v>Cuajimalpa</v>
      </c>
    </row>
    <row r="30553" spans="1:6" ht="15.75" customHeight="1">
      <c r="A30553" s="16" t="str">
        <f ca="1">IFERROR(__xludf.DUMMYFUNCTION("GOOGLETRANSLATE(B45671,""en"",""pt"")"),"Cúa")</f>
        <v>Cúa</v>
      </c>
      <c r="B30553" s="20" t="s">
        <v>36098</v>
      </c>
      <c r="C30553" s="20" t="s">
        <v>5923</v>
      </c>
      <c r="D30553" s="20" t="s">
        <v>30647</v>
      </c>
      <c r="E30553" s="10">
        <v>3644918</v>
      </c>
      <c r="F30553" s="4" t="str">
        <f>IF(B30553=B30552,"",B30553)</f>
        <v>Cúa</v>
      </c>
    </row>
    <row r="30554" spans="1:6" ht="15.75" customHeight="1">
      <c r="A30554" s="16" t="str">
        <f ca="1">IFERROR(__xludf.DUMMYFUNCTION("GOOGLETRANSLATE(B45771,""en"",""pt"")"),"Củ Chi")</f>
        <v>Củ Chi</v>
      </c>
      <c r="B30554" s="20" t="s">
        <v>36181</v>
      </c>
      <c r="C30554" s="20" t="s">
        <v>30784</v>
      </c>
      <c r="D30554" s="20" t="s">
        <v>30817</v>
      </c>
      <c r="E30554" s="10">
        <v>1584661</v>
      </c>
      <c r="F30554" s="4" t="str">
        <f>IF(B30554=B30553,"",B30554)</f>
        <v>Củ Chi</v>
      </c>
    </row>
    <row r="30555" spans="1:6" ht="15.75" customHeight="1">
      <c r="A30555" s="16" t="str">
        <f ca="1">IFERROR(__xludf.DUMMYFUNCTION("GOOGLETRANSLATE(B31266,""en"",""pt"")"),"Csongrád")</f>
        <v>Csongrád</v>
      </c>
      <c r="B30555" s="20" t="s">
        <v>32825</v>
      </c>
      <c r="C30555" s="20" t="s">
        <v>9955</v>
      </c>
      <c r="D30555" s="20" t="s">
        <v>32825</v>
      </c>
      <c r="E30555" s="10">
        <v>721592</v>
      </c>
      <c r="F30555" s="4" t="str">
        <f>IF(B30555=B30554,"",B30555)</f>
        <v>Csongrád</v>
      </c>
    </row>
    <row r="30556" spans="1:6" ht="15.75" customHeight="1">
      <c r="A30556" s="15" t="s">
        <v>10028</v>
      </c>
      <c r="B30556" s="15" t="s">
        <v>10029</v>
      </c>
      <c r="C30556" s="15" t="s">
        <v>9955</v>
      </c>
      <c r="D30556" s="15" t="s">
        <v>10029</v>
      </c>
      <c r="E30556" s="2">
        <v>721592</v>
      </c>
      <c r="F30556" s="4" t="e">
        <f>IF(B30556=#REF!,"",B30556)</f>
        <v>#REF!</v>
      </c>
    </row>
    <row r="30557" spans="1:6" ht="15.75" customHeight="1">
      <c r="A30557" s="16" t="s">
        <v>28369</v>
      </c>
      <c r="B30557" s="15" t="s">
        <v>28369</v>
      </c>
      <c r="C30557" s="16" t="s">
        <v>27788</v>
      </c>
      <c r="D30557" s="16" t="s">
        <v>27799</v>
      </c>
      <c r="E30557" s="2">
        <v>4889229</v>
      </c>
      <c r="F30557" s="4" t="e">
        <f>IF(B30557=#REF!,"",B30557)</f>
        <v>#REF!</v>
      </c>
    </row>
    <row r="30558" spans="1:6" ht="15.75" customHeight="1">
      <c r="A30558" s="15" t="s">
        <v>28367</v>
      </c>
      <c r="B30558" s="15" t="s">
        <v>28368</v>
      </c>
      <c r="C30558" s="15" t="s">
        <v>27788</v>
      </c>
      <c r="D30558" s="15" t="s">
        <v>27824</v>
      </c>
      <c r="E30558" s="2">
        <v>5023571</v>
      </c>
      <c r="F30558" s="4" t="e">
        <f>IF(B30558=#REF!,"",B30558)</f>
        <v>#REF!</v>
      </c>
    </row>
    <row r="30559" spans="1:6" ht="15.75" customHeight="1">
      <c r="A30559" s="16" t="s">
        <v>2394</v>
      </c>
      <c r="B30559" s="15" t="s">
        <v>2395</v>
      </c>
      <c r="C30559" s="16" t="s">
        <v>1905</v>
      </c>
      <c r="D30559" s="16" t="s">
        <v>2396</v>
      </c>
      <c r="E30559" s="2">
        <v>3664464</v>
      </c>
      <c r="F30559" s="4" t="e">
        <f>IF(B30559=#REF!,"",B30559)</f>
        <v>#REF!</v>
      </c>
    </row>
    <row r="30560" spans="1:6" ht="15.75" customHeight="1">
      <c r="A30560" s="16" t="s">
        <v>2392</v>
      </c>
      <c r="B30560" s="15" t="s">
        <v>2393</v>
      </c>
      <c r="C30560" s="16" t="s">
        <v>1905</v>
      </c>
      <c r="D30560" s="16" t="s">
        <v>728</v>
      </c>
      <c r="E30560" s="2">
        <v>3465083</v>
      </c>
      <c r="F30560" s="4" t="e">
        <f>IF(B30560=#REF!,"",B30560)</f>
        <v>#REF!</v>
      </c>
    </row>
    <row r="30561" spans="1:6" ht="15.75" customHeight="1">
      <c r="A30561" s="15" t="s">
        <v>2391</v>
      </c>
      <c r="B30561" s="15" t="s">
        <v>2391</v>
      </c>
      <c r="C30561" s="15" t="s">
        <v>1905</v>
      </c>
      <c r="D30561" s="15" t="s">
        <v>1914</v>
      </c>
      <c r="E30561" s="2">
        <v>3465090</v>
      </c>
      <c r="F30561" s="4" t="e">
        <f>IF(B30561=#REF!,"",B30561)</f>
        <v>#REF!</v>
      </c>
    </row>
    <row r="30562" spans="1:6" ht="15.75" customHeight="1">
      <c r="A30562" s="16" t="s">
        <v>633</v>
      </c>
      <c r="B30562" s="15" t="s">
        <v>633</v>
      </c>
      <c r="C30562" s="16" t="s">
        <v>558</v>
      </c>
      <c r="D30562" s="16" t="s">
        <v>573</v>
      </c>
      <c r="E30562" s="2">
        <v>3859828</v>
      </c>
      <c r="F30562" s="4" t="e">
        <f>IF(B30562=#REF!,"",B30562)</f>
        <v>#REF!</v>
      </c>
    </row>
    <row r="30563" spans="1:6" ht="15.75" customHeight="1">
      <c r="A30563" s="16" t="s">
        <v>2389</v>
      </c>
      <c r="B30563" s="15" t="s">
        <v>2390</v>
      </c>
      <c r="C30563" s="16" t="s">
        <v>1905</v>
      </c>
      <c r="D30563" s="16" t="s">
        <v>1947</v>
      </c>
      <c r="E30563" s="2">
        <v>3465105</v>
      </c>
      <c r="F30563" s="4" t="e">
        <f>IF(B30563=#REF!,"",B30563)</f>
        <v>#REF!</v>
      </c>
    </row>
    <row r="30564" spans="1:6" ht="15.75" customHeight="1">
      <c r="A30564" s="15" t="s">
        <v>2388</v>
      </c>
      <c r="B30564" s="15" t="s">
        <v>2388</v>
      </c>
      <c r="C30564" s="15" t="s">
        <v>1905</v>
      </c>
      <c r="D30564" s="15" t="s">
        <v>1951</v>
      </c>
      <c r="E30564" s="2">
        <v>3465108</v>
      </c>
      <c r="F30564" s="4" t="e">
        <f>IF(B30564=#REF!,"",B30564)</f>
        <v>#REF!</v>
      </c>
    </row>
    <row r="30565" spans="1:6" ht="15.75" customHeight="1">
      <c r="A30565" s="15" t="s">
        <v>5829</v>
      </c>
      <c r="B30565" s="15" t="s">
        <v>5829</v>
      </c>
      <c r="C30565" s="15" t="s">
        <v>5764</v>
      </c>
      <c r="D30565" s="15" t="s">
        <v>5765</v>
      </c>
      <c r="E30565" s="2">
        <v>3563145</v>
      </c>
      <c r="F30565" s="4" t="e">
        <f>IF(B30565=#REF!,"",B30565)</f>
        <v>#REF!</v>
      </c>
    </row>
    <row r="30566" spans="1:6" ht="15.75" customHeight="1">
      <c r="A30566" s="15" t="s">
        <v>17900</v>
      </c>
      <c r="B30566" s="15" t="s">
        <v>17900</v>
      </c>
      <c r="C30566" s="15" t="s">
        <v>17707</v>
      </c>
      <c r="D30566" s="15" t="s">
        <v>17844</v>
      </c>
      <c r="E30566" s="2">
        <v>8858124</v>
      </c>
      <c r="F30566" s="4" t="e">
        <f>IF(B30566=#REF!,"",B30566)</f>
        <v>#REF!</v>
      </c>
    </row>
    <row r="30567" spans="1:6" ht="15.75" customHeight="1">
      <c r="A30567" s="16" t="s">
        <v>28366</v>
      </c>
      <c r="B30567" s="15" t="s">
        <v>28366</v>
      </c>
      <c r="C30567" s="16" t="s">
        <v>27788</v>
      </c>
      <c r="D30567" s="16" t="s">
        <v>27869</v>
      </c>
      <c r="E30567" s="2">
        <v>4919451</v>
      </c>
      <c r="F30567" s="4" t="e">
        <f>IF(B30567=#REF!,"",B30567)</f>
        <v>#REF!</v>
      </c>
    </row>
    <row r="30568" spans="1:6" ht="15.75" customHeight="1">
      <c r="A30568" s="15" t="s">
        <v>15115</v>
      </c>
      <c r="B30568" s="15" t="s">
        <v>15115</v>
      </c>
      <c r="C30568" s="15" t="s">
        <v>14891</v>
      </c>
      <c r="D30568" s="15" t="s">
        <v>14929</v>
      </c>
      <c r="E30568" s="2">
        <v>2524881</v>
      </c>
      <c r="F30568" s="4" t="e">
        <f>IF(B30568=#REF!,"",B30568)</f>
        <v>#REF!</v>
      </c>
    </row>
    <row r="30569" spans="1:6" ht="15.75" customHeight="1">
      <c r="A30569" s="15" t="s">
        <v>27432</v>
      </c>
      <c r="B30569" s="15" t="s">
        <v>27432</v>
      </c>
      <c r="C30569" s="15" t="s">
        <v>27234</v>
      </c>
      <c r="D30569" s="15" t="s">
        <v>27241</v>
      </c>
      <c r="E30569" s="2">
        <v>3209584</v>
      </c>
      <c r="F30569" s="4" t="e">
        <f>IF(B30569=#REF!,"",B30569)</f>
        <v>#REF!</v>
      </c>
    </row>
    <row r="30570" spans="1:6" ht="15.75" customHeight="1">
      <c r="A30570" s="15" t="s">
        <v>949</v>
      </c>
      <c r="B30570" s="15" t="s">
        <v>949</v>
      </c>
      <c r="C30570" s="15" t="s">
        <v>885</v>
      </c>
      <c r="D30570" s="15" t="s">
        <v>891</v>
      </c>
      <c r="E30570" s="2">
        <v>2169956</v>
      </c>
      <c r="F30570" s="4" t="e">
        <f>IF(B30570=#REF!,"",B30570)</f>
        <v>#REF!</v>
      </c>
    </row>
    <row r="30571" spans="1:6" ht="15.75" customHeight="1">
      <c r="A30571" s="16" t="s">
        <v>9868</v>
      </c>
      <c r="B30571" s="15" t="s">
        <v>9868</v>
      </c>
      <c r="C30571" s="16" t="s">
        <v>9866</v>
      </c>
      <c r="D30571" s="16" t="s">
        <v>9867</v>
      </c>
      <c r="E30571" s="2">
        <v>3727135</v>
      </c>
      <c r="F30571" s="4" t="e">
        <f>IF(B30571=#REF!,"",B30571)</f>
        <v>#REF!</v>
      </c>
    </row>
    <row r="30572" spans="1:6" ht="15.75" customHeight="1">
      <c r="A30572" s="15" t="s">
        <v>7308</v>
      </c>
      <c r="B30572" s="15" t="s">
        <v>7308</v>
      </c>
      <c r="C30572" s="15" t="s">
        <v>7052</v>
      </c>
      <c r="D30572" s="15" t="s">
        <v>7078</v>
      </c>
      <c r="E30572" s="2">
        <v>3022376</v>
      </c>
      <c r="F30572" s="4" t="e">
        <f>IF(B30572=#REF!,"",B30572)</f>
        <v>#REF!</v>
      </c>
    </row>
    <row r="30573" spans="1:6" ht="15.75" customHeight="1">
      <c r="A30573" s="15" t="s">
        <v>28365</v>
      </c>
      <c r="B30573" s="15" t="s">
        <v>28365</v>
      </c>
      <c r="C30573" s="15" t="s">
        <v>27788</v>
      </c>
      <c r="D30573" s="15" t="s">
        <v>17061</v>
      </c>
      <c r="E30573" s="2">
        <v>4352539</v>
      </c>
      <c r="F30573" s="4" t="e">
        <f>IF(B30573=#REF!,"",B30573)</f>
        <v>#REF!</v>
      </c>
    </row>
    <row r="30574" spans="1:6" ht="15.75" customHeight="1">
      <c r="A30574" s="15" t="s">
        <v>2387</v>
      </c>
      <c r="B30574" s="15" t="s">
        <v>2387</v>
      </c>
      <c r="C30574" s="15" t="s">
        <v>1905</v>
      </c>
      <c r="D30574" s="15" t="s">
        <v>1969</v>
      </c>
      <c r="E30574" s="2">
        <v>3465164</v>
      </c>
      <c r="F30574" s="4" t="e">
        <f>IF(B30574=#REF!,"",B30574)</f>
        <v>#REF!</v>
      </c>
    </row>
    <row r="30575" spans="1:6" ht="15.75" customHeight="1">
      <c r="A30575" s="16" t="s">
        <v>8273</v>
      </c>
      <c r="B30575" s="15" t="s">
        <v>8273</v>
      </c>
      <c r="C30575" s="16" t="s">
        <v>8028</v>
      </c>
      <c r="D30575" s="16" t="s">
        <v>8072</v>
      </c>
      <c r="E30575" s="2">
        <v>2939747</v>
      </c>
      <c r="F30575" s="4" t="str">
        <f>IF(B30575=B30574,"",B30575)</f>
        <v>Crimmitschau</v>
      </c>
    </row>
    <row r="30576" spans="1:6" ht="15.75" customHeight="1">
      <c r="A30576" s="16" t="str">
        <f ca="1">IFERROR(__xludf.DUMMYFUNCTION("GOOGLETRANSLATE(B25081,""en"",""pt"")"),"Criciúma")</f>
        <v>Criciúma</v>
      </c>
      <c r="B30576" s="20" t="s">
        <v>31671</v>
      </c>
      <c r="C30576" s="20" t="s">
        <v>1905</v>
      </c>
      <c r="D30576" s="20" t="s">
        <v>2020</v>
      </c>
      <c r="E30576" s="10">
        <v>3465196</v>
      </c>
      <c r="F30576" s="4" t="str">
        <f>IF(B30576=B30575,"",B30576)</f>
        <v>Criciúma</v>
      </c>
    </row>
    <row r="30577" spans="1:6" ht="15.75" customHeight="1">
      <c r="A30577" s="15" t="s">
        <v>2385</v>
      </c>
      <c r="B30577" s="15" t="s">
        <v>2386</v>
      </c>
      <c r="C30577" s="15" t="s">
        <v>1905</v>
      </c>
      <c r="D30577" s="15" t="s">
        <v>2020</v>
      </c>
      <c r="E30577" s="2">
        <v>3465196</v>
      </c>
      <c r="F30577" s="4" t="e">
        <f>IF(B30577=#REF!,"",B30577)</f>
        <v>#REF!</v>
      </c>
    </row>
    <row r="30578" spans="1:6" ht="15.75" customHeight="1">
      <c r="A30578" s="16" t="s">
        <v>24426</v>
      </c>
      <c r="B30578" s="15" t="s">
        <v>24426</v>
      </c>
      <c r="C30578" s="16" t="s">
        <v>24200</v>
      </c>
      <c r="D30578" s="16" t="s">
        <v>21053</v>
      </c>
      <c r="E30578" s="2">
        <v>2519110</v>
      </c>
      <c r="F30578" s="4" t="e">
        <f>IF(B30578=#REF!,"",B30578)</f>
        <v>#REF!</v>
      </c>
    </row>
    <row r="30579" spans="1:6" ht="15.75" customHeight="1">
      <c r="A30579" s="16" t="s">
        <v>28364</v>
      </c>
      <c r="B30579" s="15" t="s">
        <v>28364</v>
      </c>
      <c r="C30579" s="16" t="s">
        <v>27788</v>
      </c>
      <c r="D30579" s="16" t="s">
        <v>27806</v>
      </c>
      <c r="E30579" s="2">
        <v>4382837</v>
      </c>
      <c r="F30579" s="4" t="str">
        <f>IF(B30579=B30578,"",B30579)</f>
        <v>Creve Coeur</v>
      </c>
    </row>
    <row r="30580" spans="1:6" ht="15.75" customHeight="1">
      <c r="A30580" s="16" t="str">
        <f ca="1">IFERROR(__xludf.DUMMYFUNCTION("GOOGLETRANSLATE(B30120,""en"",""pt"")"),"Créteil")</f>
        <v>Créteil</v>
      </c>
      <c r="B30580" s="20" t="s">
        <v>32616</v>
      </c>
      <c r="C30580" s="20" t="s">
        <v>7052</v>
      </c>
      <c r="D30580" s="20" t="s">
        <v>32531</v>
      </c>
      <c r="E30580" s="10">
        <v>3022530</v>
      </c>
      <c r="F30580" s="4" t="e">
        <f>IF(B30580=#REF!,"",B30580)</f>
        <v>#REF!</v>
      </c>
    </row>
    <row r="30581" spans="1:6" ht="15.75" customHeight="1">
      <c r="A30581" s="15" t="s">
        <v>28363</v>
      </c>
      <c r="B30581" s="15" t="s">
        <v>28363</v>
      </c>
      <c r="C30581" s="15" t="s">
        <v>27788</v>
      </c>
      <c r="D30581" s="15" t="s">
        <v>5468</v>
      </c>
      <c r="E30581" s="2">
        <v>4152311</v>
      </c>
      <c r="F30581" s="4" t="e">
        <f>IF(B30581=#REF!,"",B30581)</f>
        <v>#REF!</v>
      </c>
    </row>
    <row r="30582" spans="1:6" ht="15.75" customHeight="1">
      <c r="A30582" s="15" t="s">
        <v>28362</v>
      </c>
      <c r="B30582" s="15" t="s">
        <v>28362</v>
      </c>
      <c r="C30582" s="15" t="s">
        <v>27788</v>
      </c>
      <c r="D30582" s="15" t="s">
        <v>27799</v>
      </c>
      <c r="E30582" s="2">
        <v>4889107</v>
      </c>
      <c r="F30582" s="4" t="e">
        <f>IF(B30582=#REF!,"",B30582)</f>
        <v>#REF!</v>
      </c>
    </row>
    <row r="30583" spans="1:6" ht="15.75" customHeight="1">
      <c r="A30583" s="15" t="s">
        <v>632</v>
      </c>
      <c r="B30583" s="15" t="s">
        <v>632</v>
      </c>
      <c r="C30583" s="15" t="s">
        <v>558</v>
      </c>
      <c r="D30583" s="15" t="s">
        <v>611</v>
      </c>
      <c r="E30583" s="2">
        <v>3859904</v>
      </c>
      <c r="F30583" s="4" t="str">
        <f>IF(B30583=B30582,"",B30583)</f>
        <v>Crespo</v>
      </c>
    </row>
    <row r="30584" spans="1:6" ht="15.75" customHeight="1">
      <c r="A30584" s="16" t="str">
        <f ca="1">IFERROR(__xludf.DUMMYFUNCTION("GOOGLETRANSLATE(B30121,""en"",""pt"")"),"Crépy-en-valois")</f>
        <v>Crépy-en-valois</v>
      </c>
      <c r="B30584" s="20" t="s">
        <v>32617</v>
      </c>
      <c r="C30584" s="20" t="s">
        <v>7052</v>
      </c>
      <c r="D30584" s="20" t="s">
        <v>7078</v>
      </c>
      <c r="E30584" s="10">
        <v>3022569</v>
      </c>
      <c r="F30584" s="4" t="e">
        <f>IF(B30584=#REF!,"",B30584)</f>
        <v>#REF!</v>
      </c>
    </row>
    <row r="30585" spans="1:6" ht="15.75" customHeight="1">
      <c r="A30585" s="15" t="s">
        <v>15114</v>
      </c>
      <c r="B30585" s="15" t="s">
        <v>15114</v>
      </c>
      <c r="C30585" s="15" t="s">
        <v>14891</v>
      </c>
      <c r="D30585" s="15" t="s">
        <v>14894</v>
      </c>
      <c r="E30585" s="2">
        <v>3177838</v>
      </c>
      <c r="F30585" s="4" t="e">
        <f>IF(B30585=#REF!,"",B30585)</f>
        <v>#REF!</v>
      </c>
    </row>
    <row r="30586" spans="1:6" ht="15.75" customHeight="1">
      <c r="A30586" s="15" t="s">
        <v>15113</v>
      </c>
      <c r="B30586" s="15" t="s">
        <v>15113</v>
      </c>
      <c r="C30586" s="15" t="s">
        <v>14891</v>
      </c>
      <c r="D30586" s="15" t="s">
        <v>14894</v>
      </c>
      <c r="E30586" s="2">
        <v>3177841</v>
      </c>
      <c r="F30586" s="4" t="e">
        <f>IF(B30586=#REF!,"",B30586)</f>
        <v>#REF!</v>
      </c>
    </row>
    <row r="30587" spans="1:6" ht="15.75" customHeight="1">
      <c r="A30587" s="15" t="s">
        <v>7307</v>
      </c>
      <c r="B30587" s="15" t="s">
        <v>7307</v>
      </c>
      <c r="C30587" s="15" t="s">
        <v>7052</v>
      </c>
      <c r="D30587" s="15" t="s">
        <v>7078</v>
      </c>
      <c r="E30587" s="2">
        <v>3022610</v>
      </c>
      <c r="F30587" s="4" t="e">
        <f>IF(B30587=#REF!,"",B30587)</f>
        <v>#REF!</v>
      </c>
    </row>
    <row r="30588" spans="1:6" ht="15.75" customHeight="1">
      <c r="A30588" s="16" t="s">
        <v>28361</v>
      </c>
      <c r="B30588" s="15" t="s">
        <v>28361</v>
      </c>
      <c r="C30588" s="16" t="s">
        <v>27788</v>
      </c>
      <c r="D30588" s="16" t="s">
        <v>27869</v>
      </c>
      <c r="E30588" s="2">
        <v>4919381</v>
      </c>
      <c r="F30588" s="4" t="e">
        <f>IF(B30588=#REF!,"",B30588)</f>
        <v>#REF!</v>
      </c>
    </row>
    <row r="30589" spans="1:6" ht="15.75" customHeight="1">
      <c r="A30589" s="15" t="s">
        <v>2384</v>
      </c>
      <c r="B30589" s="15" t="s">
        <v>2384</v>
      </c>
      <c r="C30589" s="15" t="s">
        <v>1905</v>
      </c>
      <c r="D30589" s="15" t="s">
        <v>1914</v>
      </c>
      <c r="E30589" s="2">
        <v>3465209</v>
      </c>
      <c r="F30589" s="4" t="e">
        <f>IF(B30589=#REF!,"",B30589)</f>
        <v>#REF!</v>
      </c>
    </row>
    <row r="30590" spans="1:6" ht="15.75" customHeight="1">
      <c r="A30590" s="15" t="s">
        <v>2383</v>
      </c>
      <c r="B30590" s="15" t="s">
        <v>2383</v>
      </c>
      <c r="C30590" s="15" t="s">
        <v>1905</v>
      </c>
      <c r="D30590" s="15" t="s">
        <v>1930</v>
      </c>
      <c r="E30590" s="2">
        <v>3401545</v>
      </c>
      <c r="F30590" s="4" t="str">
        <f>IF(B30590=B30589,"",B30590)</f>
        <v>Crato</v>
      </c>
    </row>
    <row r="30591" spans="1:6" ht="15.75" customHeight="1">
      <c r="A30591" s="16" t="str">
        <f ca="1">IFERROR(__xludf.DUMMYFUNCTION("GOOGLETRANSLATE(B24341,""en"",""pt"")"),"Crateús")</f>
        <v>Crateús</v>
      </c>
      <c r="B30591" s="20" t="s">
        <v>31405</v>
      </c>
      <c r="C30591" s="20" t="s">
        <v>1905</v>
      </c>
      <c r="D30591" s="20" t="s">
        <v>31345</v>
      </c>
      <c r="E30591" s="10">
        <v>3401548</v>
      </c>
      <c r="F30591" s="4" t="str">
        <f>IF(B30591=B30590,"",B30591)</f>
        <v>Crateús</v>
      </c>
    </row>
    <row r="30592" spans="1:6" ht="15.75" customHeight="1">
      <c r="A30592" s="15" t="s">
        <v>2381</v>
      </c>
      <c r="B30592" s="15" t="s">
        <v>2382</v>
      </c>
      <c r="C30592" s="15" t="s">
        <v>1905</v>
      </c>
      <c r="D30592" s="15" t="s">
        <v>1930</v>
      </c>
      <c r="E30592" s="2">
        <v>3401548</v>
      </c>
      <c r="F30592" s="4" t="e">
        <f>IF(B30592=#REF!,"",B30592)</f>
        <v>#REF!</v>
      </c>
    </row>
    <row r="30593" spans="1:6" ht="15.75" customHeight="1">
      <c r="A30593" s="15" t="s">
        <v>28360</v>
      </c>
      <c r="B30593" s="15" t="s">
        <v>28360</v>
      </c>
      <c r="C30593" s="15" t="s">
        <v>27788</v>
      </c>
      <c r="D30593" s="15" t="s">
        <v>27951</v>
      </c>
      <c r="E30593" s="2">
        <v>5221659</v>
      </c>
      <c r="F30593" s="4" t="e">
        <f>IF(B30593=#REF!,"",B30593)</f>
        <v>#REF!</v>
      </c>
    </row>
    <row r="30594" spans="1:6" ht="15.75" customHeight="1">
      <c r="A30594" s="16" t="s">
        <v>7305</v>
      </c>
      <c r="B30594" s="15" t="s">
        <v>7306</v>
      </c>
      <c r="C30594" s="16" t="s">
        <v>7052</v>
      </c>
      <c r="D30594" s="16" t="s">
        <v>7053</v>
      </c>
      <c r="E30594" s="2">
        <v>3022700</v>
      </c>
      <c r="F30594" s="4" t="e">
        <f>IF(B30594=#REF!,"",B30594)</f>
        <v>#REF!</v>
      </c>
    </row>
    <row r="30595" spans="1:6" ht="15.75" customHeight="1">
      <c r="A30595" s="15" t="s">
        <v>28359</v>
      </c>
      <c r="B30595" s="15" t="s">
        <v>28359</v>
      </c>
      <c r="C30595" s="15" t="s">
        <v>27788</v>
      </c>
      <c r="D30595" s="15" t="s">
        <v>27905</v>
      </c>
      <c r="E30595" s="2">
        <v>5097017</v>
      </c>
      <c r="F30595" s="4" t="e">
        <f>IF(B30595=#REF!,"",B30595)</f>
        <v>#REF!</v>
      </c>
    </row>
    <row r="30596" spans="1:6" ht="15.75" customHeight="1">
      <c r="A30596" s="16" t="s">
        <v>18927</v>
      </c>
      <c r="B30596" s="15" t="s">
        <v>18927</v>
      </c>
      <c r="C30596" s="16" t="s">
        <v>18862</v>
      </c>
      <c r="D30596" s="16" t="s">
        <v>18888</v>
      </c>
      <c r="E30596" s="2">
        <v>2757890</v>
      </c>
      <c r="F30596" s="4" t="e">
        <f>IF(B30596=#REF!,"",B30596)</f>
        <v>#REF!</v>
      </c>
    </row>
    <row r="30597" spans="1:6" ht="15.75" customHeight="1">
      <c r="A30597" s="16" t="s">
        <v>4037</v>
      </c>
      <c r="B30597" s="15" t="s">
        <v>4037</v>
      </c>
      <c r="C30597" s="16" t="s">
        <v>3975</v>
      </c>
      <c r="D30597" s="16" t="s">
        <v>3976</v>
      </c>
      <c r="E30597" s="2">
        <v>5931800</v>
      </c>
      <c r="F30597" s="4" t="e">
        <f>IF(B30597=#REF!,"",B30597)</f>
        <v>#REF!</v>
      </c>
    </row>
    <row r="30598" spans="1:6" ht="15.75" customHeight="1">
      <c r="A30598" s="16" t="s">
        <v>948</v>
      </c>
      <c r="B30598" s="15" t="s">
        <v>948</v>
      </c>
      <c r="C30598" s="16" t="s">
        <v>885</v>
      </c>
      <c r="D30598" s="16" t="s">
        <v>827</v>
      </c>
      <c r="E30598" s="2">
        <v>2170078</v>
      </c>
      <c r="F30598" s="4" t="e">
        <f>IF(B30598=#REF!,"",B30598)</f>
        <v>#REF!</v>
      </c>
    </row>
    <row r="30599" spans="1:6" ht="15.75" customHeight="1">
      <c r="A30599" s="16" t="s">
        <v>28357</v>
      </c>
      <c r="B30599" s="15" t="s">
        <v>28358</v>
      </c>
      <c r="C30599" s="16" t="s">
        <v>27788</v>
      </c>
      <c r="D30599" s="16" t="s">
        <v>27836</v>
      </c>
      <c r="E30599" s="2">
        <v>8643098</v>
      </c>
      <c r="F30599" s="4" t="e">
        <f>IF(B30599=#REF!,"",B30599)</f>
        <v>#REF!</v>
      </c>
    </row>
    <row r="30600" spans="1:6" ht="15.75" customHeight="1">
      <c r="A30600" s="15" t="s">
        <v>21904</v>
      </c>
      <c r="B30600" s="15" t="s">
        <v>21904</v>
      </c>
      <c r="C30600" s="15" t="s">
        <v>21824</v>
      </c>
      <c r="D30600" s="15" t="s">
        <v>21843</v>
      </c>
      <c r="E30600" s="2">
        <v>680332</v>
      </c>
      <c r="F30600" s="4" t="e">
        <f>IF(B30600=#REF!,"",B30600)</f>
        <v>#REF!</v>
      </c>
    </row>
    <row r="30601" spans="1:6" ht="15.75" customHeight="1">
      <c r="A30601" s="16" t="s">
        <v>8272</v>
      </c>
      <c r="B30601" s="15" t="s">
        <v>8272</v>
      </c>
      <c r="C30601" s="16" t="s">
        <v>8028</v>
      </c>
      <c r="D30601" s="16" t="s">
        <v>8031</v>
      </c>
      <c r="E30601" s="2">
        <v>2939797</v>
      </c>
      <c r="F30601" s="4" t="e">
        <f>IF(B30601=#REF!,"",B30601)</f>
        <v>#REF!</v>
      </c>
    </row>
    <row r="30602" spans="1:6" ht="15.75" customHeight="1">
      <c r="A30602" s="16" t="s">
        <v>947</v>
      </c>
      <c r="B30602" s="15" t="s">
        <v>947</v>
      </c>
      <c r="C30602" s="16" t="s">
        <v>885</v>
      </c>
      <c r="D30602" s="16" t="s">
        <v>827</v>
      </c>
      <c r="E30602" s="2">
        <v>2170089</v>
      </c>
      <c r="F30602" s="4" t="e">
        <f>IF(B30602=#REF!,"",B30602)</f>
        <v>#REF!</v>
      </c>
    </row>
    <row r="30603" spans="1:6" ht="15.75" customHeight="1">
      <c r="A30603" s="15" t="s">
        <v>27431</v>
      </c>
      <c r="B30603" s="15" t="s">
        <v>27431</v>
      </c>
      <c r="C30603" s="15" t="s">
        <v>27234</v>
      </c>
      <c r="D30603" s="15" t="s">
        <v>27259</v>
      </c>
      <c r="E30603" s="2">
        <v>3345440</v>
      </c>
      <c r="F30603" s="4" t="e">
        <f>IF(B30603=#REF!,"",B30603)</f>
        <v>#REF!</v>
      </c>
    </row>
    <row r="30604" spans="1:6" ht="15.75" customHeight="1">
      <c r="A30604" s="15" t="s">
        <v>23875</v>
      </c>
      <c r="B30604" s="15" t="s">
        <v>23876</v>
      </c>
      <c r="C30604" s="15" t="s">
        <v>23842</v>
      </c>
      <c r="D30604" s="15" t="s">
        <v>23843</v>
      </c>
      <c r="E30604" s="2">
        <v>1012600</v>
      </c>
      <c r="F30604" s="4" t="str">
        <f>IF(B30604=B30603,"",B30604)</f>
        <v>Cradock</v>
      </c>
    </row>
    <row r="30605" spans="1:6" ht="15.75" customHeight="1">
      <c r="A30605" s="15" t="s">
        <v>7303</v>
      </c>
      <c r="B30605" s="15" t="s">
        <v>7304</v>
      </c>
      <c r="C30605" s="15" t="s">
        <v>7052</v>
      </c>
      <c r="D30605" s="15" t="s">
        <v>7058</v>
      </c>
      <c r="E30605" s="2">
        <v>3022530</v>
      </c>
      <c r="F30605" s="4" t="str">
        <f>IF(B30605=B30604,"",B30605)</f>
        <v>CrÃ©teil</v>
      </c>
    </row>
    <row r="30606" spans="1:6" ht="15.75" customHeight="1">
      <c r="A30606" s="16" t="s">
        <v>7301</v>
      </c>
      <c r="B30606" s="15" t="s">
        <v>7302</v>
      </c>
      <c r="C30606" s="16" t="s">
        <v>7052</v>
      </c>
      <c r="D30606" s="16" t="s">
        <v>7078</v>
      </c>
      <c r="E30606" s="2">
        <v>3022569</v>
      </c>
      <c r="F30606" s="4" t="e">
        <f>IF(B30606=#REF!,"",B30606)</f>
        <v>#REF!</v>
      </c>
    </row>
    <row r="30607" spans="1:6" ht="15.75" customHeight="1">
      <c r="A30607" s="16" t="s">
        <v>17898</v>
      </c>
      <c r="B30607" s="15" t="s">
        <v>17899</v>
      </c>
      <c r="C30607" s="16" t="s">
        <v>17707</v>
      </c>
      <c r="D30607" s="16" t="s">
        <v>17780</v>
      </c>
      <c r="E30607" s="2">
        <v>3530123</v>
      </c>
      <c r="F30607" s="4" t="str">
        <f>IF(B30607=B30606,"",B30607)</f>
        <v>Coyotepec</v>
      </c>
    </row>
    <row r="30608" spans="1:6" ht="15.75" customHeight="1">
      <c r="A30608" s="16" t="str">
        <f ca="1">IFERROR(__xludf.DUMMYFUNCTION("GOOGLETRANSLATE(B37041,""en"",""pt"")"),"Coyoacán")</f>
        <v>Coyoacán</v>
      </c>
      <c r="B30608" s="20" t="s">
        <v>34706</v>
      </c>
      <c r="C30608" s="20" t="s">
        <v>17707</v>
      </c>
      <c r="D30608" s="20" t="s">
        <v>17711</v>
      </c>
      <c r="E30608" s="10">
        <v>3530139</v>
      </c>
      <c r="F30608" s="4" t="str">
        <f>IF(B30608=B30607,"",B30608)</f>
        <v>Coyoacán</v>
      </c>
    </row>
    <row r="30609" spans="1:6" ht="15.75" customHeight="1">
      <c r="A30609" s="15" t="s">
        <v>17896</v>
      </c>
      <c r="B30609" s="15" t="s">
        <v>17897</v>
      </c>
      <c r="C30609" s="15" t="s">
        <v>17707</v>
      </c>
      <c r="D30609" s="15" t="s">
        <v>17711</v>
      </c>
      <c r="E30609" s="2">
        <v>3530139</v>
      </c>
      <c r="F30609" s="4" t="e">
        <f>IF(B30609=#REF!,"",B30609)</f>
        <v>#REF!</v>
      </c>
    </row>
    <row r="30610" spans="1:6" ht="15.75" customHeight="1">
      <c r="A30610" s="15" t="s">
        <v>9830</v>
      </c>
      <c r="B30610" s="15" t="s">
        <v>9830</v>
      </c>
      <c r="C30610" s="15" t="s">
        <v>9826</v>
      </c>
      <c r="D30610" s="15" t="s">
        <v>9831</v>
      </c>
      <c r="E30610" s="2">
        <v>2422457</v>
      </c>
      <c r="F30610" s="4" t="e">
        <f>IF(B30610=#REF!,"",B30610)</f>
        <v>#REF!</v>
      </c>
    </row>
    <row r="30611" spans="1:6" ht="15.75" customHeight="1">
      <c r="A30611" s="15" t="s">
        <v>2380</v>
      </c>
      <c r="B30611" s="15" t="s">
        <v>2380</v>
      </c>
      <c r="C30611" s="15" t="s">
        <v>1905</v>
      </c>
      <c r="D30611" s="15" t="s">
        <v>1973</v>
      </c>
      <c r="E30611" s="2">
        <v>3465228</v>
      </c>
      <c r="F30611" s="4" t="str">
        <f>IF(B30611=B30610,"",B30611)</f>
        <v>Coxim</v>
      </c>
    </row>
    <row r="30612" spans="1:6" ht="15.75" customHeight="1">
      <c r="A30612" s="16" t="s">
        <v>1333</v>
      </c>
      <c r="B30612" s="15" t="s">
        <v>1334</v>
      </c>
      <c r="C30612" s="16" t="s">
        <v>1296</v>
      </c>
      <c r="D30612" s="16" t="s">
        <v>1302</v>
      </c>
      <c r="E30612" s="2">
        <v>1336134</v>
      </c>
      <c r="F30612" s="4" t="str">
        <f>IF(B30612=B30611,"",B30612)</f>
        <v>Coxâ€™s BÄzÄr</v>
      </c>
    </row>
    <row r="30613" spans="1:6" ht="15.75" customHeight="1">
      <c r="A30613" s="16" t="str">
        <f ca="1">IFERROR(__xludf.DUMMYFUNCTION("GOOGLETRANSLATE(B23772,""en"",""pt"")"),"Cox's Bāzār")</f>
        <v>Cox's Bāzār</v>
      </c>
      <c r="B30613" s="20" t="s">
        <v>31300</v>
      </c>
      <c r="C30613" s="20" t="s">
        <v>1296</v>
      </c>
      <c r="D30613" s="20" t="s">
        <v>1302</v>
      </c>
      <c r="E30613" s="10">
        <v>1336134</v>
      </c>
      <c r="F30613" s="4" t="str">
        <f>IF(B30613=B30612,"",B30613)</f>
        <v>Cox’s Bāzār</v>
      </c>
    </row>
    <row r="30614" spans="1:6" ht="15.75" customHeight="1">
      <c r="A30614" s="15" t="s">
        <v>27426</v>
      </c>
      <c r="B30614" s="15" t="s">
        <v>27426</v>
      </c>
      <c r="C30614" s="15" t="s">
        <v>27234</v>
      </c>
      <c r="D30614" s="15" t="s">
        <v>27427</v>
      </c>
      <c r="E30614" s="3">
        <v>9999999</v>
      </c>
      <c r="F30614" s="4" t="e">
        <f>IF(B30614=#REF!,"",B30614)</f>
        <v>#REF!</v>
      </c>
    </row>
    <row r="30615" spans="1:6" ht="15.75" customHeight="1">
      <c r="A30615" s="16" t="s">
        <v>28356</v>
      </c>
      <c r="B30615" s="15" t="s">
        <v>28356</v>
      </c>
      <c r="C30615" s="16" t="s">
        <v>27788</v>
      </c>
      <c r="D30615" s="16" t="s">
        <v>27909</v>
      </c>
      <c r="E30615" s="2">
        <v>4288809</v>
      </c>
      <c r="F30615" s="4" t="e">
        <f>IF(B30615=#REF!,"",B30615)</f>
        <v>#REF!</v>
      </c>
    </row>
    <row r="30616" spans="1:6" ht="15.75" customHeight="1">
      <c r="A30616" s="15" t="s">
        <v>28355</v>
      </c>
      <c r="B30616" s="15" t="s">
        <v>28355</v>
      </c>
      <c r="C30616" s="15" t="s">
        <v>27788</v>
      </c>
      <c r="D30616" s="15" t="s">
        <v>27801</v>
      </c>
      <c r="E30616" s="2">
        <v>5340175</v>
      </c>
      <c r="F30616" s="4" t="str">
        <f>IF(B30616=B30615,"",B30616)</f>
        <v>Covina</v>
      </c>
    </row>
    <row r="30617" spans="1:6" ht="15.75" customHeight="1">
      <c r="A30617" s="15" t="s">
        <v>21653</v>
      </c>
      <c r="B30617" s="15" t="s">
        <v>21654</v>
      </c>
      <c r="C30617" s="15" t="s">
        <v>21606</v>
      </c>
      <c r="D30617" s="15" t="s">
        <v>21648</v>
      </c>
      <c r="E30617" s="2">
        <v>2740313</v>
      </c>
      <c r="F30617" s="4" t="str">
        <f>IF(B30617=B30616,"",B30617)</f>
        <v>CovilhÃ£</v>
      </c>
    </row>
    <row r="30618" spans="1:6" ht="15.75" customHeight="1">
      <c r="A30618" s="16" t="str">
        <f ca="1">IFERROR(__xludf.DUMMYFUNCTION("GOOGLETRANSLATE(B39666,""en"",""pt"")"),"Covilhã")</f>
        <v>Covilhã</v>
      </c>
      <c r="B30618" s="20" t="s">
        <v>21653</v>
      </c>
      <c r="C30618" s="20" t="s">
        <v>21606</v>
      </c>
      <c r="D30618" s="20" t="s">
        <v>21648</v>
      </c>
      <c r="E30618" s="10">
        <v>2740313</v>
      </c>
      <c r="F30618" s="4" t="e">
        <f>IF(B30618=#REF!,"",B30618)</f>
        <v>#REF!</v>
      </c>
    </row>
    <row r="30619" spans="1:6" ht="15.75" customHeight="1">
      <c r="A30619" s="15" t="s">
        <v>28354</v>
      </c>
      <c r="B30619" s="15" t="s">
        <v>28354</v>
      </c>
      <c r="C30619" s="15" t="s">
        <v>27788</v>
      </c>
      <c r="D30619" s="15" t="s">
        <v>27951</v>
      </c>
      <c r="E30619" s="2">
        <v>5221637</v>
      </c>
      <c r="F30619" s="4" t="str">
        <f>IF(B30619=B30618,"",B30619)</f>
        <v>Coventry</v>
      </c>
    </row>
    <row r="30620" spans="1:6" ht="15.75" customHeight="1">
      <c r="A30620" s="16" t="str">
        <f ca="1">IFERROR(__xludf.DUMMYFUNCTION("GOOGLETRANSLATE(B24098,""en"",""pt"")"),"Enseada")</f>
        <v>Enseada</v>
      </c>
      <c r="B30620" s="20" t="s">
        <v>1762</v>
      </c>
      <c r="C30620" s="20" t="s">
        <v>1741</v>
      </c>
      <c r="D30620" s="20" t="s">
        <v>1742</v>
      </c>
      <c r="E30620" s="10">
        <v>2394814</v>
      </c>
      <c r="F30620" s="4" t="str">
        <f>IF(B30620=B30619,"",B30620)</f>
        <v>Cové</v>
      </c>
    </row>
    <row r="30621" spans="1:6" ht="15.75" customHeight="1">
      <c r="A30621" s="15" t="s">
        <v>1762</v>
      </c>
      <c r="B30621" s="15" t="s">
        <v>1763</v>
      </c>
      <c r="C30621" s="15" t="s">
        <v>1741</v>
      </c>
      <c r="D30621" s="15" t="s">
        <v>1742</v>
      </c>
      <c r="E30621" s="2">
        <v>2394814</v>
      </c>
      <c r="F30621" s="4" t="e">
        <f>IF(B30621=#REF!,"",B30621)</f>
        <v>#REF!</v>
      </c>
    </row>
    <row r="30622" spans="1:6" ht="15.75" customHeight="1">
      <c r="A30622" s="16" t="s">
        <v>4255</v>
      </c>
      <c r="B30622" s="15" t="s">
        <v>4255</v>
      </c>
      <c r="C30622" s="16" t="s">
        <v>4256</v>
      </c>
      <c r="D30622" s="16" t="s">
        <v>4257</v>
      </c>
      <c r="E30622" s="2">
        <v>3374707</v>
      </c>
      <c r="F30622" s="4" t="e">
        <f>IF(B30622=#REF!,"",B30622)</f>
        <v>#REF!</v>
      </c>
    </row>
    <row r="30623" spans="1:6" ht="15.75" customHeight="1">
      <c r="A30623" s="16" t="s">
        <v>4036</v>
      </c>
      <c r="B30623" s="15" t="s">
        <v>4036</v>
      </c>
      <c r="C30623" s="16" t="s">
        <v>3975</v>
      </c>
      <c r="D30623" s="16" t="s">
        <v>3976</v>
      </c>
      <c r="E30623" s="2">
        <v>5930890</v>
      </c>
      <c r="F30623" s="4" t="str">
        <f>IF(B30623=B30622,"",B30623)</f>
        <v>Courtenay</v>
      </c>
    </row>
    <row r="30624" spans="1:6" ht="15.75" customHeight="1">
      <c r="A30624" s="16" t="s">
        <v>7299</v>
      </c>
      <c r="B30624" s="15" t="s">
        <v>7300</v>
      </c>
      <c r="C30624" s="16" t="s">
        <v>7052</v>
      </c>
      <c r="D30624" s="16" t="s">
        <v>7053</v>
      </c>
      <c r="E30624" s="2">
        <v>3022988</v>
      </c>
      <c r="F30624" s="4" t="str">
        <f>IF(B30624=B30623,"",B30624)</f>
        <v>Cournon-dâ€™Auvergne</v>
      </c>
    </row>
    <row r="30625" spans="1:6" ht="15.75" customHeight="1">
      <c r="A30625" s="16" t="str">
        <f ca="1">IFERROR(__xludf.DUMMYFUNCTION("GOOGLETRANSLATE(B30124,""en"",""pt"")"),"Cournon-d'auvergne")</f>
        <v>Cournon-d'auvergne</v>
      </c>
      <c r="B30625" s="20" t="s">
        <v>32618</v>
      </c>
      <c r="C30625" s="20" t="s">
        <v>7052</v>
      </c>
      <c r="D30625" s="20" t="s">
        <v>32532</v>
      </c>
      <c r="E30625" s="10">
        <v>3022988</v>
      </c>
      <c r="F30625" s="4" t="e">
        <f>IF(B30625=#REF!,"",B30625)</f>
        <v>#REF!</v>
      </c>
    </row>
    <row r="30626" spans="1:6" ht="15.75" customHeight="1">
      <c r="A30626" s="16" t="s">
        <v>1554</v>
      </c>
      <c r="B30626" s="15" t="s">
        <v>1554</v>
      </c>
      <c r="C30626" s="16" t="s">
        <v>1512</v>
      </c>
      <c r="D30626" s="16" t="s">
        <v>1518</v>
      </c>
      <c r="E30626" s="2">
        <v>2800063</v>
      </c>
      <c r="F30626" s="4" t="e">
        <f>IF(B30626=#REF!,"",B30626)</f>
        <v>#REF!</v>
      </c>
    </row>
    <row r="30627" spans="1:6" ht="15.75" customHeight="1">
      <c r="A30627" s="16" t="s">
        <v>7298</v>
      </c>
      <c r="B30627" s="15" t="s">
        <v>7298</v>
      </c>
      <c r="C30627" s="16" t="s">
        <v>7052</v>
      </c>
      <c r="D30627" s="16" t="s">
        <v>7058</v>
      </c>
      <c r="E30627" s="2">
        <v>3023141</v>
      </c>
      <c r="F30627" s="4" t="e">
        <f>IF(B30627=#REF!,"",B30627)</f>
        <v>#REF!</v>
      </c>
    </row>
    <row r="30628" spans="1:6" ht="15.75" customHeight="1">
      <c r="A30628" s="16" t="s">
        <v>28352</v>
      </c>
      <c r="B30628" s="15" t="s">
        <v>28353</v>
      </c>
      <c r="C30628" s="16" t="s">
        <v>27788</v>
      </c>
      <c r="D30628" s="16" t="s">
        <v>5468</v>
      </c>
      <c r="E30628" s="2">
        <v>4152064</v>
      </c>
      <c r="F30628" s="4" t="e">
        <f>IF(B30628=#REF!,"",B30628)</f>
        <v>#REF!</v>
      </c>
    </row>
    <row r="30629" spans="1:6" ht="15.75" customHeight="1">
      <c r="A30629" s="16" t="s">
        <v>28351</v>
      </c>
      <c r="B30629" s="15" t="s">
        <v>28351</v>
      </c>
      <c r="C30629" s="16" t="s">
        <v>27788</v>
      </c>
      <c r="D30629" s="16" t="s">
        <v>27799</v>
      </c>
      <c r="E30629" s="2">
        <v>4888892</v>
      </c>
      <c r="F30629" s="4" t="e">
        <f>IF(B30629=#REF!,"",B30629)</f>
        <v>#REF!</v>
      </c>
    </row>
    <row r="30630" spans="1:6" ht="15.75" customHeight="1">
      <c r="A30630" s="16" t="s">
        <v>28349</v>
      </c>
      <c r="B30630" s="15" t="s">
        <v>28350</v>
      </c>
      <c r="C30630" s="16" t="s">
        <v>27788</v>
      </c>
      <c r="D30630" s="16" t="s">
        <v>5468</v>
      </c>
      <c r="E30630" s="2">
        <v>4152093</v>
      </c>
      <c r="F30630" s="4" t="e">
        <f>IF(B30630=#REF!,"",B30630)</f>
        <v>#REF!</v>
      </c>
    </row>
    <row r="30631" spans="1:6" ht="15.75" customHeight="1">
      <c r="A30631" s="16" t="s">
        <v>28348</v>
      </c>
      <c r="B30631" s="15" t="s">
        <v>28348</v>
      </c>
      <c r="C30631" s="16" t="s">
        <v>27788</v>
      </c>
      <c r="D30631" s="16" t="s">
        <v>27859</v>
      </c>
      <c r="E30631" s="2">
        <v>4852832</v>
      </c>
      <c r="F30631" s="4" t="e">
        <f>IF(B30631=#REF!,"",B30631)</f>
        <v>#REF!</v>
      </c>
    </row>
    <row r="30632" spans="1:6" ht="15.75" customHeight="1">
      <c r="A30632" s="16" t="s">
        <v>7297</v>
      </c>
      <c r="B30632" s="15" t="s">
        <v>7297</v>
      </c>
      <c r="C30632" s="16" t="s">
        <v>7052</v>
      </c>
      <c r="D30632" s="16" t="s">
        <v>7058</v>
      </c>
      <c r="E30632" s="2">
        <v>3023240</v>
      </c>
      <c r="F30632" s="4" t="str">
        <f>IF(B30632=B30631,"",B30632)</f>
        <v>Coulommiers</v>
      </c>
    </row>
    <row r="30633" spans="1:6" ht="15.75" customHeight="1">
      <c r="A30633" s="16" t="str">
        <f ca="1">IFERROR(__xludf.DUMMYFUNCTION("GOOGLETRANSLATE(B30127,""en"",""pt"")"),"Couëron")</f>
        <v>Couëron</v>
      </c>
      <c r="B30633" s="20" t="s">
        <v>32619</v>
      </c>
      <c r="C30633" s="20" t="s">
        <v>7052</v>
      </c>
      <c r="D30633" s="20" t="s">
        <v>7102</v>
      </c>
      <c r="E30633" s="10">
        <v>3023324</v>
      </c>
      <c r="F30633" s="4" t="e">
        <f>IF(B30633=#REF!,"",B30633)</f>
        <v>#REF!</v>
      </c>
    </row>
    <row r="30634" spans="1:6" ht="15.75" customHeight="1">
      <c r="A30634" s="16" t="s">
        <v>7296</v>
      </c>
      <c r="B30634" s="15" t="s">
        <v>7296</v>
      </c>
      <c r="C30634" s="16" t="s">
        <v>7052</v>
      </c>
      <c r="D30634" s="16" t="s">
        <v>7078</v>
      </c>
      <c r="E30634" s="2">
        <v>3023356</v>
      </c>
      <c r="F30634" s="4" t="str">
        <f>IF(B30634=B30633,"",B30634)</f>
        <v>Coudekerque-Branche</v>
      </c>
    </row>
    <row r="30635" spans="1:6" ht="15.75" customHeight="1">
      <c r="A30635" s="15" t="s">
        <v>7294</v>
      </c>
      <c r="B30635" s="15" t="s">
        <v>7295</v>
      </c>
      <c r="C30635" s="15" t="s">
        <v>7052</v>
      </c>
      <c r="D30635" s="15" t="s">
        <v>7102</v>
      </c>
      <c r="E30635" s="2">
        <v>3023324</v>
      </c>
      <c r="F30635" s="4" t="str">
        <f>IF(B30635=B30634,"",B30635)</f>
        <v>CouÃ«ron</v>
      </c>
    </row>
    <row r="30636" spans="1:6" ht="15.75" customHeight="1">
      <c r="A30636" s="16" t="str">
        <f ca="1">IFERROR(__xludf.DUMMYFUNCTION("GOOGLETRANSLATE(B28486,""en"",""pt"")"),"Cotuí")</f>
        <v>Cotuí</v>
      </c>
      <c r="B30636" s="20" t="s">
        <v>32178</v>
      </c>
      <c r="C30636" s="20" t="s">
        <v>6303</v>
      </c>
      <c r="D30636" s="20" t="s">
        <v>32179</v>
      </c>
      <c r="E30636" s="10">
        <v>3509207</v>
      </c>
      <c r="F30636" s="4" t="str">
        <f>IF(B30636=B30635,"",B30636)</f>
        <v>Cotuí</v>
      </c>
    </row>
    <row r="30637" spans="1:6" ht="15.75" customHeight="1">
      <c r="A30637" s="15" t="s">
        <v>6320</v>
      </c>
      <c r="B30637" s="15" t="s">
        <v>6321</v>
      </c>
      <c r="C30637" s="15" t="s">
        <v>6303</v>
      </c>
      <c r="D30637" s="15" t="s">
        <v>6322</v>
      </c>
      <c r="E30637" s="2">
        <v>3509207</v>
      </c>
      <c r="F30637" s="4" t="e">
        <f>IF(B30637=#REF!,"",B30637)</f>
        <v>#REF!</v>
      </c>
    </row>
    <row r="30638" spans="1:6" ht="15.75" customHeight="1">
      <c r="A30638" s="16" t="s">
        <v>28346</v>
      </c>
      <c r="B30638" s="15" t="s">
        <v>28347</v>
      </c>
      <c r="C30638" s="16" t="s">
        <v>27788</v>
      </c>
      <c r="D30638" s="16" t="s">
        <v>27856</v>
      </c>
      <c r="E30638" s="2">
        <v>5773304</v>
      </c>
      <c r="F30638" s="4" t="e">
        <f>IF(B30638=#REF!,"",B30638)</f>
        <v>#REF!</v>
      </c>
    </row>
    <row r="30639" spans="1:6" ht="15.75" customHeight="1">
      <c r="A30639" s="15" t="s">
        <v>8271</v>
      </c>
      <c r="B30639" s="15" t="s">
        <v>8271</v>
      </c>
      <c r="C30639" s="15" t="s">
        <v>8028</v>
      </c>
      <c r="D30639" s="15" t="s">
        <v>8070</v>
      </c>
      <c r="E30639" s="2">
        <v>2939811</v>
      </c>
      <c r="F30639" s="4" t="e">
        <f>IF(B30639=#REF!,"",B30639)</f>
        <v>#REF!</v>
      </c>
    </row>
    <row r="30640" spans="1:6" ht="15.75" customHeight="1">
      <c r="A30640" s="16" t="s">
        <v>28344</v>
      </c>
      <c r="B30640" s="15" t="s">
        <v>28345</v>
      </c>
      <c r="C30640" s="16" t="s">
        <v>27788</v>
      </c>
      <c r="D30640" s="16" t="s">
        <v>27733</v>
      </c>
      <c r="E30640" s="2">
        <v>5790971</v>
      </c>
      <c r="F30640" s="4" t="e">
        <f>IF(B30640=#REF!,"",B30640)</f>
        <v>#REF!</v>
      </c>
    </row>
    <row r="30641" spans="1:6" ht="15.75" customHeight="1">
      <c r="A30641" s="16" t="s">
        <v>28343</v>
      </c>
      <c r="B30641" s="15" t="s">
        <v>28343</v>
      </c>
      <c r="C30641" s="16" t="s">
        <v>27788</v>
      </c>
      <c r="D30641" s="16" t="s">
        <v>27824</v>
      </c>
      <c r="E30641" s="2">
        <v>5022134</v>
      </c>
      <c r="F30641" s="4" t="e">
        <f>IF(B30641=#REF!,"",B30641)</f>
        <v>#REF!</v>
      </c>
    </row>
    <row r="30642" spans="1:6" ht="15.75" customHeight="1">
      <c r="A30642" s="15" t="s">
        <v>1760</v>
      </c>
      <c r="B30642" s="15" t="s">
        <v>1760</v>
      </c>
      <c r="C30642" s="15" t="s">
        <v>1741</v>
      </c>
      <c r="D30642" s="15" t="s">
        <v>1761</v>
      </c>
      <c r="E30642" s="2">
        <v>2394819</v>
      </c>
      <c r="F30642" s="4" t="e">
        <f>IF(B30642=#REF!,"",B30642)</f>
        <v>#REF!</v>
      </c>
    </row>
    <row r="30643" spans="1:6" ht="15.75" customHeight="1">
      <c r="A30643" s="15" t="s">
        <v>1810</v>
      </c>
      <c r="B30643" s="15" t="s">
        <v>1810</v>
      </c>
      <c r="C30643" s="15" t="s">
        <v>1806</v>
      </c>
      <c r="D30643" s="15" t="s">
        <v>595</v>
      </c>
      <c r="E30643" s="2">
        <v>3918937</v>
      </c>
      <c r="F30643" s="4" t="e">
        <f>IF(B30643=#REF!,"",B30643)</f>
        <v>#REF!</v>
      </c>
    </row>
    <row r="30644" spans="1:6" ht="15.75" customHeight="1">
      <c r="A30644" s="15" t="s">
        <v>2379</v>
      </c>
      <c r="B30644" s="15" t="s">
        <v>2379</v>
      </c>
      <c r="C30644" s="15" t="s">
        <v>1905</v>
      </c>
      <c r="D30644" s="15" t="s">
        <v>1914</v>
      </c>
      <c r="E30644" s="2">
        <v>3465284</v>
      </c>
      <c r="F30644" s="4" t="str">
        <f>IF(B30644=B30643,"",B30644)</f>
        <v>Cotia</v>
      </c>
    </row>
    <row r="30645" spans="1:6" ht="15.75" customHeight="1">
      <c r="A30645" s="16" t="str">
        <f ca="1">IFERROR(__xludf.DUMMYFUNCTION("GOOGLETRANSLATE(B25462,""en"",""pt"")"),"Côte-Saint-Luc")</f>
        <v>Côte-Saint-Luc</v>
      </c>
      <c r="B30645" s="20" t="s">
        <v>31753</v>
      </c>
      <c r="C30645" s="20" t="s">
        <v>3975</v>
      </c>
      <c r="D30645" s="20" t="s">
        <v>3982</v>
      </c>
      <c r="E30645" s="10">
        <v>5928488</v>
      </c>
      <c r="F30645" s="4" t="e">
        <f>IF(B30645=#REF!,"",B30645)</f>
        <v>#REF!</v>
      </c>
    </row>
    <row r="30646" spans="1:6" ht="15.75" customHeight="1">
      <c r="A30646" s="15" t="s">
        <v>20748</v>
      </c>
      <c r="B30646" s="15" t="s">
        <v>20748</v>
      </c>
      <c r="C30646" s="15" t="s">
        <v>20598</v>
      </c>
      <c r="D30646" s="15" t="s">
        <v>20683</v>
      </c>
      <c r="E30646" s="2">
        <v>1716771</v>
      </c>
      <c r="F30646" s="4" t="e">
        <f>IF(B30646=#REF!,"",B30646)</f>
        <v>#REF!</v>
      </c>
    </row>
    <row r="30647" spans="1:6" ht="15.75" customHeight="1">
      <c r="A30647" s="15" t="s">
        <v>8270</v>
      </c>
      <c r="B30647" s="15" t="s">
        <v>8270</v>
      </c>
      <c r="C30647" s="15" t="s">
        <v>8028</v>
      </c>
      <c r="D30647" s="15" t="s">
        <v>8072</v>
      </c>
      <c r="E30647" s="2">
        <v>2939820</v>
      </c>
      <c r="F30647" s="4" t="e">
        <f>IF(B30647=#REF!,"",B30647)</f>
        <v>#REF!</v>
      </c>
    </row>
    <row r="30648" spans="1:6" ht="15.75" customHeight="1">
      <c r="A30648" s="16" t="s">
        <v>28342</v>
      </c>
      <c r="B30648" s="15" t="s">
        <v>28342</v>
      </c>
      <c r="C30648" s="16" t="s">
        <v>27788</v>
      </c>
      <c r="D30648" s="16" t="s">
        <v>27801</v>
      </c>
      <c r="E30648" s="2">
        <v>5339840</v>
      </c>
      <c r="F30648" s="4" t="str">
        <f>IF(B30648=B30647,"",B30648)</f>
        <v>Costa Mesa</v>
      </c>
    </row>
    <row r="30649" spans="1:6" ht="15.75" customHeight="1">
      <c r="A30649" s="16" t="str">
        <f ca="1">IFERROR(__xludf.DUMMYFUNCTION("GOOGLETRANSLATE(B23335,""en"",""pt"")"),"Cosquín")</f>
        <v>Cosquín</v>
      </c>
      <c r="B30649" s="20" t="s">
        <v>31212</v>
      </c>
      <c r="C30649" s="20" t="s">
        <v>558</v>
      </c>
      <c r="D30649" s="20" t="s">
        <v>573</v>
      </c>
      <c r="E30649" s="10">
        <v>3859965</v>
      </c>
      <c r="F30649" s="4" t="str">
        <f>IF(B30649=B30648,"",B30649)</f>
        <v>Cosquín</v>
      </c>
    </row>
    <row r="30650" spans="1:6" ht="15.75" customHeight="1">
      <c r="A30650" s="15" t="s">
        <v>630</v>
      </c>
      <c r="B30650" s="15" t="s">
        <v>631</v>
      </c>
      <c r="C30650" s="15" t="s">
        <v>558</v>
      </c>
      <c r="D30650" s="15" t="s">
        <v>573</v>
      </c>
      <c r="E30650" s="2">
        <v>3859965</v>
      </c>
      <c r="F30650" s="4" t="e">
        <f>IF(B30650=#REF!,"",B30650)</f>
        <v>#REF!</v>
      </c>
    </row>
    <row r="30651" spans="1:6" ht="15.75" customHeight="1">
      <c r="A30651" s="16" t="s">
        <v>17894</v>
      </c>
      <c r="B30651" s="15" t="s">
        <v>17895</v>
      </c>
      <c r="C30651" s="16" t="s">
        <v>17707</v>
      </c>
      <c r="D30651" s="16" t="s">
        <v>17708</v>
      </c>
      <c r="E30651" s="2">
        <v>3530167</v>
      </c>
      <c r="F30651" s="4" t="str">
        <f>IF(B30651=B30650,"",B30651)</f>
        <v>Cosoleacaque</v>
      </c>
    </row>
    <row r="30652" spans="1:6" ht="15.75" customHeight="1">
      <c r="A30652" s="16" t="str">
        <f ca="1">IFERROR(__xludf.DUMMYFUNCTION("GOOGLETRANSLATE(B25085,""en"",""pt"")"),"Cosmópolis")</f>
        <v>Cosmópolis</v>
      </c>
      <c r="B30652" s="20" t="s">
        <v>31672</v>
      </c>
      <c r="C30652" s="20" t="s">
        <v>1905</v>
      </c>
      <c r="D30652" s="20" t="s">
        <v>3354</v>
      </c>
      <c r="E30652" s="10">
        <v>3465320</v>
      </c>
      <c r="F30652" s="4" t="str">
        <f>IF(B30652=B30651,"",B30652)</f>
        <v>Cosmópolis</v>
      </c>
    </row>
    <row r="30653" spans="1:6" ht="15.75" customHeight="1">
      <c r="A30653" s="16" t="s">
        <v>2377</v>
      </c>
      <c r="B30653" s="15" t="s">
        <v>2378</v>
      </c>
      <c r="C30653" s="16" t="s">
        <v>1905</v>
      </c>
      <c r="D30653" s="16" t="s">
        <v>1914</v>
      </c>
      <c r="E30653" s="2">
        <v>3465320</v>
      </c>
      <c r="F30653" s="4" t="e">
        <f>IF(B30653=#REF!,"",B30653)</f>
        <v>#REF!</v>
      </c>
    </row>
    <row r="30654" spans="1:6" ht="15.75" customHeight="1">
      <c r="A30654" s="15" t="s">
        <v>24425</v>
      </c>
      <c r="B30654" s="15" t="s">
        <v>24425</v>
      </c>
      <c r="C30654" s="15" t="s">
        <v>24200</v>
      </c>
      <c r="D30654" s="15" t="s">
        <v>5513</v>
      </c>
      <c r="E30654" s="2">
        <v>3124408</v>
      </c>
      <c r="F30654" s="4" t="e">
        <f>IF(B30654=#REF!,"",B30654)</f>
        <v>#REF!</v>
      </c>
    </row>
    <row r="30655" spans="1:6" ht="15.75" customHeight="1">
      <c r="A30655" s="15" t="s">
        <v>15112</v>
      </c>
      <c r="B30655" s="15" t="s">
        <v>15112</v>
      </c>
      <c r="C30655" s="15" t="s">
        <v>14891</v>
      </c>
      <c r="D30655" s="15" t="s">
        <v>14929</v>
      </c>
      <c r="E30655" s="2">
        <v>2524907</v>
      </c>
      <c r="F30655" s="4" t="e">
        <f>IF(B30655=#REF!,"",B30655)</f>
        <v>#REF!</v>
      </c>
    </row>
    <row r="30656" spans="1:6" ht="15.75" customHeight="1">
      <c r="A30656" s="16" t="s">
        <v>17893</v>
      </c>
      <c r="B30656" s="15" t="s">
        <v>17893</v>
      </c>
      <c r="C30656" s="16" t="s">
        <v>17707</v>
      </c>
      <c r="D30656" s="16" t="s">
        <v>17708</v>
      </c>
      <c r="E30656" s="2">
        <v>3530177</v>
      </c>
      <c r="F30656" s="4" t="e">
        <f>IF(B30656=#REF!,"",B30656)</f>
        <v>#REF!</v>
      </c>
    </row>
    <row r="30657" spans="1:6" ht="15.75" customHeight="1">
      <c r="A30657" s="16" t="s">
        <v>24424</v>
      </c>
      <c r="B30657" s="15" t="s">
        <v>24424</v>
      </c>
      <c r="C30657" s="16" t="s">
        <v>24200</v>
      </c>
      <c r="D30657" s="16" t="s">
        <v>24303</v>
      </c>
      <c r="E30657" s="2">
        <v>7115111</v>
      </c>
      <c r="F30657" s="4" t="e">
        <f>IF(B30657=#REF!,"",B30657)</f>
        <v>#REF!</v>
      </c>
    </row>
    <row r="30658" spans="1:6" ht="15.75" customHeight="1">
      <c r="A30658" s="15" t="s">
        <v>28341</v>
      </c>
      <c r="B30658" s="15" t="s">
        <v>28341</v>
      </c>
      <c r="C30658" s="15" t="s">
        <v>27788</v>
      </c>
      <c r="D30658" s="15" t="s">
        <v>27820</v>
      </c>
      <c r="E30658" s="2">
        <v>5720727</v>
      </c>
      <c r="F30658" s="4" t="e">
        <f>IF(B30658=#REF!,"",B30658)</f>
        <v>#REF!</v>
      </c>
    </row>
    <row r="30659" spans="1:6" ht="15.75" customHeight="1">
      <c r="A30659" s="15" t="s">
        <v>2376</v>
      </c>
      <c r="B30659" s="15" t="s">
        <v>2376</v>
      </c>
      <c r="C30659" s="15" t="s">
        <v>1905</v>
      </c>
      <c r="D30659" s="15" t="s">
        <v>2015</v>
      </c>
      <c r="E30659" s="2">
        <v>3465329</v>
      </c>
      <c r="F30659" s="4" t="str">
        <f>IF(B30659=B30658,"",B30659)</f>
        <v>Coruripe</v>
      </c>
    </row>
    <row r="30660" spans="1:6" ht="15.75" customHeight="1">
      <c r="A30660" s="15" t="s">
        <v>2374</v>
      </c>
      <c r="B30660" s="15" t="s">
        <v>2375</v>
      </c>
      <c r="C30660" s="15" t="s">
        <v>1905</v>
      </c>
      <c r="D30660" s="15" t="s">
        <v>1973</v>
      </c>
      <c r="E30660" s="2">
        <v>3465342</v>
      </c>
      <c r="F30660" s="4" t="str">
        <f>IF(B30660=B30659,"",B30660)</f>
        <v>CorumbÃ¡</v>
      </c>
    </row>
    <row r="30661" spans="1:6" ht="15.75" customHeight="1">
      <c r="A30661" s="16" t="str">
        <f ca="1">IFERROR(__xludf.DUMMYFUNCTION("GOOGLETRANSLATE(B25087,""en"",""pt"")"),"Corumbá")</f>
        <v>Corumbá</v>
      </c>
      <c r="B30661" s="20" t="s">
        <v>2374</v>
      </c>
      <c r="C30661" s="20" t="s">
        <v>1905</v>
      </c>
      <c r="D30661" s="20" t="s">
        <v>1973</v>
      </c>
      <c r="E30661" s="10">
        <v>3465342</v>
      </c>
      <c r="F30661" s="4" t="str">
        <f>IF(B30661=B30660,"",B30661)</f>
        <v>Corumbá</v>
      </c>
    </row>
    <row r="30662" spans="1:6" ht="15.75" customHeight="1">
      <c r="A30662" s="16" t="str">
        <f ca="1">IFERROR(__xludf.DUMMYFUNCTION("GOOGLETRANSLATE(B42192,""en"",""pt"")"),"Çorum")</f>
        <v>Çorum</v>
      </c>
      <c r="B30662" s="20" t="s">
        <v>35922</v>
      </c>
      <c r="C30662" s="20" t="s">
        <v>26201</v>
      </c>
      <c r="D30662" s="20" t="s">
        <v>35922</v>
      </c>
      <c r="E30662" s="10">
        <v>748879</v>
      </c>
      <c r="F30662" s="4" t="e">
        <f>IF(B30662=#REF!,"",B30662)</f>
        <v>#REF!</v>
      </c>
    </row>
    <row r="30663" spans="1:6" ht="15.75" customHeight="1">
      <c r="A30663" s="15" t="s">
        <v>28340</v>
      </c>
      <c r="B30663" s="15" t="s">
        <v>28340</v>
      </c>
      <c r="C30663" s="15" t="s">
        <v>27788</v>
      </c>
      <c r="D30663" s="15" t="s">
        <v>27819</v>
      </c>
      <c r="E30663" s="2">
        <v>5113790</v>
      </c>
      <c r="F30663" s="4" t="e">
        <f>IF(B30663=#REF!,"",B30663)</f>
        <v>#REF!</v>
      </c>
    </row>
    <row r="30664" spans="1:6" ht="15.75" customHeight="1">
      <c r="A30664" s="15" t="s">
        <v>17892</v>
      </c>
      <c r="B30664" s="15" t="s">
        <v>17892</v>
      </c>
      <c r="C30664" s="15" t="s">
        <v>17707</v>
      </c>
      <c r="D30664" s="15" t="s">
        <v>17713</v>
      </c>
      <c r="E30664" s="2">
        <v>4012721</v>
      </c>
      <c r="F30664" s="4" t="e">
        <f>IF(B30664=#REF!,"",B30664)</f>
        <v>#REF!</v>
      </c>
    </row>
    <row r="30665" spans="1:6" ht="15.75" customHeight="1">
      <c r="A30665" s="15" t="s">
        <v>15111</v>
      </c>
      <c r="B30665" s="15" t="s">
        <v>15111</v>
      </c>
      <c r="C30665" s="15" t="s">
        <v>14891</v>
      </c>
      <c r="D30665" s="15" t="s">
        <v>14894</v>
      </c>
      <c r="E30665" s="2">
        <v>3178004</v>
      </c>
      <c r="F30665" s="4" t="e">
        <f>IF(B30665=#REF!,"",B30665)</f>
        <v>#REF!</v>
      </c>
    </row>
    <row r="30666" spans="1:6" ht="15.75" customHeight="1">
      <c r="A30666" s="15" t="s">
        <v>28339</v>
      </c>
      <c r="B30666" s="15" t="s">
        <v>28339</v>
      </c>
      <c r="C30666" s="15" t="s">
        <v>27788</v>
      </c>
      <c r="D30666" s="15" t="s">
        <v>27792</v>
      </c>
      <c r="E30666" s="2">
        <v>4683462</v>
      </c>
      <c r="F30666" s="4" t="e">
        <f>IF(B30666=#REF!,"",B30666)</f>
        <v>#REF!</v>
      </c>
    </row>
    <row r="30667" spans="1:6" ht="15.75" customHeight="1">
      <c r="A30667" s="15" t="s">
        <v>21651</v>
      </c>
      <c r="B30667" s="15" t="s">
        <v>21652</v>
      </c>
      <c r="C30667" s="15" t="s">
        <v>21606</v>
      </c>
      <c r="D30667" s="15" t="s">
        <v>21620</v>
      </c>
      <c r="E30667" s="2">
        <v>2269041</v>
      </c>
      <c r="F30667" s="4" t="e">
        <f>IF(B30667=#REF!,"",B30667)</f>
        <v>#REF!</v>
      </c>
    </row>
    <row r="30668" spans="1:6" ht="15.75" customHeight="1">
      <c r="A30668" s="16" t="s">
        <v>629</v>
      </c>
      <c r="B30668" s="15" t="s">
        <v>629</v>
      </c>
      <c r="C30668" s="16" t="s">
        <v>558</v>
      </c>
      <c r="D30668" s="16" t="s">
        <v>629</v>
      </c>
      <c r="E30668" s="2">
        <v>3435217</v>
      </c>
      <c r="F30668" s="4" t="e">
        <f>IF(B30668=#REF!,"",B30668)</f>
        <v>#REF!</v>
      </c>
    </row>
    <row r="30669" spans="1:6" ht="15.75" customHeight="1">
      <c r="A30669" s="15" t="s">
        <v>15110</v>
      </c>
      <c r="B30669" s="15" t="s">
        <v>15110</v>
      </c>
      <c r="C30669" s="15" t="s">
        <v>14891</v>
      </c>
      <c r="D30669" s="15" t="s">
        <v>14973</v>
      </c>
      <c r="E30669" s="2">
        <v>3178019</v>
      </c>
      <c r="F30669" s="4" t="e">
        <f>IF(B30669=#REF!,"",B30669)</f>
        <v>#REF!</v>
      </c>
    </row>
    <row r="30670" spans="1:6" ht="15.75" customHeight="1">
      <c r="A30670" s="15" t="s">
        <v>5828</v>
      </c>
      <c r="B30670" s="15" t="s">
        <v>5828</v>
      </c>
      <c r="C30670" s="15" t="s">
        <v>5764</v>
      </c>
      <c r="D30670" s="15" t="s">
        <v>5803</v>
      </c>
      <c r="E30670" s="2">
        <v>3563317</v>
      </c>
      <c r="F30670" s="4" t="e">
        <f>IF(B30670=#REF!,"",B30670)</f>
        <v>#REF!</v>
      </c>
    </row>
    <row r="30671" spans="1:6" ht="15.75" customHeight="1">
      <c r="A30671" s="16" t="s">
        <v>28338</v>
      </c>
      <c r="B30671" s="15" t="s">
        <v>28338</v>
      </c>
      <c r="C30671" s="16" t="s">
        <v>27788</v>
      </c>
      <c r="D30671" s="16" t="s">
        <v>27792</v>
      </c>
      <c r="E30671" s="2">
        <v>4683416</v>
      </c>
      <c r="F30671" s="4" t="e">
        <f>IF(B30671=#REF!,"",B30671)</f>
        <v>#REF!</v>
      </c>
    </row>
    <row r="30672" spans="1:6" ht="15.75" customHeight="1">
      <c r="A30672" s="15" t="s">
        <v>5443</v>
      </c>
      <c r="B30672" s="15" t="s">
        <v>5443</v>
      </c>
      <c r="C30672" s="15" t="s">
        <v>5348</v>
      </c>
      <c r="D30672" s="15" t="s">
        <v>1829</v>
      </c>
      <c r="E30672" s="2">
        <v>3685823</v>
      </c>
      <c r="F30672" s="4" t="e">
        <f>IF(B30672=#REF!,"",B30672)</f>
        <v>#REF!</v>
      </c>
    </row>
    <row r="30673" spans="1:6" ht="15.75" customHeight="1">
      <c r="A30673" s="16" t="s">
        <v>2373</v>
      </c>
      <c r="B30673" s="15" t="s">
        <v>2373</v>
      </c>
      <c r="C30673" s="16" t="s">
        <v>1905</v>
      </c>
      <c r="D30673" s="16" t="s">
        <v>728</v>
      </c>
      <c r="E30673" s="2">
        <v>3465459</v>
      </c>
      <c r="F30673" s="4" t="str">
        <f>IF(B30673=B30672,"",B30673)</f>
        <v>Coronel Vivida</v>
      </c>
    </row>
    <row r="30674" spans="1:6" ht="15.75" customHeight="1">
      <c r="A30674" s="16" t="str">
        <f ca="1">IFERROR(__xludf.DUMMYFUNCTION("GOOGLETRANSLATE(B23336,""en"",""pt"")"),"Coronel Suárez")</f>
        <v>Coronel Suárez</v>
      </c>
      <c r="B30674" s="20" t="s">
        <v>31213</v>
      </c>
      <c r="C30674" s="20" t="s">
        <v>558</v>
      </c>
      <c r="D30674" s="20" t="s">
        <v>562</v>
      </c>
      <c r="E30674" s="10">
        <v>3860164</v>
      </c>
      <c r="F30674" s="4" t="str">
        <f>IF(B30674=B30673,"",B30674)</f>
        <v>Coronel Suárez</v>
      </c>
    </row>
    <row r="30675" spans="1:6" ht="15.75" customHeight="1">
      <c r="A30675" s="16" t="s">
        <v>627</v>
      </c>
      <c r="B30675" s="15" t="s">
        <v>628</v>
      </c>
      <c r="C30675" s="16" t="s">
        <v>558</v>
      </c>
      <c r="D30675" s="16" t="s">
        <v>562</v>
      </c>
      <c r="E30675" s="2">
        <v>3860164</v>
      </c>
      <c r="F30675" s="4" t="e">
        <f>IF(B30675=#REF!,"",B30675)</f>
        <v>#REF!</v>
      </c>
    </row>
    <row r="30676" spans="1:6" ht="15.75" customHeight="1">
      <c r="A30676" s="16" t="s">
        <v>20446</v>
      </c>
      <c r="B30676" s="15" t="s">
        <v>20446</v>
      </c>
      <c r="C30676" s="16" t="s">
        <v>20433</v>
      </c>
      <c r="D30676" s="16" t="s">
        <v>20438</v>
      </c>
      <c r="E30676" s="2">
        <v>3438819</v>
      </c>
      <c r="F30676" s="4" t="e">
        <f>IF(B30676=#REF!,"",B30676)</f>
        <v>#REF!</v>
      </c>
    </row>
    <row r="30677" spans="1:6" ht="15.75" customHeight="1">
      <c r="A30677" s="16" t="s">
        <v>2372</v>
      </c>
      <c r="B30677" s="15" t="s">
        <v>2372</v>
      </c>
      <c r="C30677" s="16" t="s">
        <v>1905</v>
      </c>
      <c r="D30677" s="16" t="s">
        <v>1917</v>
      </c>
      <c r="E30677" s="2">
        <v>3465476</v>
      </c>
      <c r="F30677" s="4" t="e">
        <f>IF(B30677=#REF!,"",B30677)</f>
        <v>#REF!</v>
      </c>
    </row>
    <row r="30678" spans="1:6" ht="15.75" customHeight="1">
      <c r="A30678" s="15" t="s">
        <v>4391</v>
      </c>
      <c r="B30678" s="15" t="s">
        <v>4391</v>
      </c>
      <c r="C30678" s="15" t="s">
        <v>4355</v>
      </c>
      <c r="D30678" s="15" t="s">
        <v>4361</v>
      </c>
      <c r="E30678" s="2">
        <v>3893532</v>
      </c>
      <c r="F30678" s="4" t="e">
        <f>IF(B30678=#REF!,"",B30678)</f>
        <v>#REF!</v>
      </c>
    </row>
    <row r="30679" spans="1:6" ht="15.75" customHeight="1">
      <c r="A30679" s="15" t="s">
        <v>626</v>
      </c>
      <c r="B30679" s="15" t="s">
        <v>626</v>
      </c>
      <c r="C30679" s="15" t="s">
        <v>558</v>
      </c>
      <c r="D30679" s="15" t="s">
        <v>579</v>
      </c>
      <c r="E30679" s="2">
        <v>3860217</v>
      </c>
      <c r="F30679" s="4" t="e">
        <f>IF(B30679=#REF!,"",B30679)</f>
        <v>#REF!</v>
      </c>
    </row>
    <row r="30680" spans="1:6" ht="15.75" customHeight="1">
      <c r="A30680" s="15" t="s">
        <v>28337</v>
      </c>
      <c r="B30680" s="15" t="s">
        <v>28337</v>
      </c>
      <c r="C30680" s="15" t="s">
        <v>27788</v>
      </c>
      <c r="D30680" s="15" t="s">
        <v>27801</v>
      </c>
      <c r="E30680" s="2">
        <v>5339663</v>
      </c>
      <c r="F30680" s="4" t="e">
        <f>IF(B30680=#REF!,"",B30680)</f>
        <v>#REF!</v>
      </c>
    </row>
    <row r="30681" spans="1:6" ht="15.75" customHeight="1">
      <c r="A30681" s="15" t="s">
        <v>28336</v>
      </c>
      <c r="B30681" s="15" t="s">
        <v>28336</v>
      </c>
      <c r="C30681" s="15" t="s">
        <v>27788</v>
      </c>
      <c r="D30681" s="15" t="s">
        <v>27801</v>
      </c>
      <c r="E30681" s="2">
        <v>5339631</v>
      </c>
      <c r="F30681" s="4" t="e">
        <f>IF(B30681=#REF!,"",B30681)</f>
        <v>#REF!</v>
      </c>
    </row>
    <row r="30682" spans="1:6" ht="15.75" customHeight="1">
      <c r="A30682" s="16" t="s">
        <v>2371</v>
      </c>
      <c r="B30682" s="15" t="s">
        <v>2371</v>
      </c>
      <c r="C30682" s="16" t="s">
        <v>1905</v>
      </c>
      <c r="D30682" s="16" t="s">
        <v>1917</v>
      </c>
      <c r="E30682" s="2">
        <v>3465487</v>
      </c>
      <c r="F30682" s="4" t="str">
        <f>IF(B30682=B30681,"",B30682)</f>
        <v>Coromandel</v>
      </c>
    </row>
    <row r="30683" spans="1:6" ht="15.75" customHeight="1">
      <c r="A30683" s="15" t="s">
        <v>2369</v>
      </c>
      <c r="B30683" s="15" t="s">
        <v>2370</v>
      </c>
      <c r="C30683" s="15" t="s">
        <v>1905</v>
      </c>
      <c r="D30683" s="15" t="s">
        <v>2024</v>
      </c>
      <c r="E30683" s="2">
        <v>3401703</v>
      </c>
      <c r="F30683" s="4" t="str">
        <f>IF(B30683=B30682,"",B30683)</f>
        <v>CoroatÃ¡</v>
      </c>
    </row>
    <row r="30684" spans="1:6" ht="15.75" customHeight="1">
      <c r="A30684" s="16" t="str">
        <f ca="1">IFERROR(__xludf.DUMMYFUNCTION("GOOGLETRANSLATE(B24342,""en"",""pt"")"),"Coroatá")</f>
        <v>Coroatá</v>
      </c>
      <c r="B30684" s="20" t="s">
        <v>2369</v>
      </c>
      <c r="C30684" s="20" t="s">
        <v>1905</v>
      </c>
      <c r="D30684" s="20" t="s">
        <v>31340</v>
      </c>
      <c r="E30684" s="10">
        <v>3401703</v>
      </c>
      <c r="F30684" s="4" t="e">
        <f>IF(B30684=#REF!,"",B30684)</f>
        <v>#REF!</v>
      </c>
    </row>
    <row r="30685" spans="1:6" ht="15.75" customHeight="1">
      <c r="A30685" s="15" t="s">
        <v>30678</v>
      </c>
      <c r="B30685" s="15" t="s">
        <v>30678</v>
      </c>
      <c r="C30685" s="15" t="s">
        <v>5923</v>
      </c>
      <c r="D30685" s="15" t="s">
        <v>30679</v>
      </c>
      <c r="E30685" s="2">
        <v>3645213</v>
      </c>
      <c r="F30685" s="4" t="e">
        <f>IF(B30685=#REF!,"",B30685)</f>
        <v>#REF!</v>
      </c>
    </row>
    <row r="30686" spans="1:6" ht="15.75" customHeight="1">
      <c r="A30686" s="16" t="s">
        <v>4034</v>
      </c>
      <c r="B30686" s="15" t="s">
        <v>4035</v>
      </c>
      <c r="C30686" s="16" t="s">
        <v>3975</v>
      </c>
      <c r="D30686" s="16" t="s">
        <v>3980</v>
      </c>
      <c r="E30686" s="2">
        <v>5928065</v>
      </c>
      <c r="F30686" s="4" t="e">
        <f>IF(B30686=#REF!,"",B30686)</f>
        <v>#REF!</v>
      </c>
    </row>
    <row r="30687" spans="1:6" ht="15.75" customHeight="1">
      <c r="A30687" s="16" t="s">
        <v>4033</v>
      </c>
      <c r="B30687" s="15" t="s">
        <v>4033</v>
      </c>
      <c r="C30687" s="16" t="s">
        <v>3975</v>
      </c>
      <c r="D30687" s="16" t="s">
        <v>4031</v>
      </c>
      <c r="E30687" s="2">
        <v>5927969</v>
      </c>
      <c r="F30687" s="4" t="str">
        <f>IF(B30687=B30686,"",B30687)</f>
        <v>Corner Brook</v>
      </c>
    </row>
    <row r="30688" spans="1:6" ht="15.75" customHeight="1">
      <c r="A30688" s="16" t="s">
        <v>24422</v>
      </c>
      <c r="B30688" s="15" t="s">
        <v>24423</v>
      </c>
      <c r="C30688" s="16" t="s">
        <v>24200</v>
      </c>
      <c r="D30688" s="16" t="s">
        <v>24277</v>
      </c>
      <c r="E30688" s="2">
        <v>3124569</v>
      </c>
      <c r="F30688" s="4" t="str">
        <f>IF(B30688=B30687,"",B30688)</f>
        <v>CornellÃ  de Llobregat</v>
      </c>
    </row>
    <row r="30689" spans="1:6" ht="15.75" customHeight="1">
      <c r="A30689" s="16" t="str">
        <f ca="1">IFERROR(__xludf.DUMMYFUNCTION("GOOGLETRANSLATE(B29420,""en"",""pt"")"),"Cornellà de llobregat")</f>
        <v>Cornellà de llobregat</v>
      </c>
      <c r="B30689" s="20" t="s">
        <v>32463</v>
      </c>
      <c r="C30689" s="20" t="s">
        <v>24200</v>
      </c>
      <c r="D30689" s="20" t="s">
        <v>24277</v>
      </c>
      <c r="E30689" s="10">
        <v>3124569</v>
      </c>
      <c r="F30689" s="4" t="e">
        <f>IF(B30689=#REF!,"",B30689)</f>
        <v>#REF!</v>
      </c>
    </row>
    <row r="30690" spans="1:6" ht="15.75" customHeight="1">
      <c r="A30690" s="15" t="s">
        <v>28335</v>
      </c>
      <c r="B30690" s="15" t="s">
        <v>28335</v>
      </c>
      <c r="C30690" s="15" t="s">
        <v>27788</v>
      </c>
      <c r="D30690" s="15" t="s">
        <v>27822</v>
      </c>
      <c r="E30690" s="2">
        <v>4461941</v>
      </c>
      <c r="F30690" s="4" t="str">
        <f>IF(B30690=B30689,"",B30690)</f>
        <v>Cornelius</v>
      </c>
    </row>
    <row r="30691" spans="1:6" ht="15.75" customHeight="1">
      <c r="A30691" s="16" t="str">
        <f ca="1">IFERROR(__xludf.DUMMYFUNCTION("GOOGLETRANSLATE(B25091,""en"",""pt"")"),"CORNÉLIO PROCÓPIO")</f>
        <v>CORNÉLIO PROCÓPIO</v>
      </c>
      <c r="B30691" s="20" t="s">
        <v>31673</v>
      </c>
      <c r="C30691" s="20" t="s">
        <v>1905</v>
      </c>
      <c r="D30691" s="20" t="s">
        <v>727</v>
      </c>
      <c r="E30691" s="10">
        <v>3465508</v>
      </c>
      <c r="F30691" s="4" t="e">
        <f>IF(B30691=#REF!,"",B30691)</f>
        <v>#REF!</v>
      </c>
    </row>
    <row r="30692" spans="1:6" ht="15.75" customHeight="1">
      <c r="A30692" s="16" t="s">
        <v>15108</v>
      </c>
      <c r="B30692" s="15" t="s">
        <v>15109</v>
      </c>
      <c r="C30692" s="16" t="s">
        <v>14891</v>
      </c>
      <c r="D30692" s="16" t="s">
        <v>14894</v>
      </c>
      <c r="E30692" s="2">
        <v>3178074</v>
      </c>
      <c r="F30692" s="4" t="str">
        <f>IF(B30692=B30691,"",B30692)</f>
        <v>Cornaredo</v>
      </c>
    </row>
    <row r="30693" spans="1:6" ht="15.75" customHeight="1">
      <c r="A30693" s="16" t="s">
        <v>2367</v>
      </c>
      <c r="B30693" s="15" t="s">
        <v>2368</v>
      </c>
      <c r="C30693" s="16" t="s">
        <v>1905</v>
      </c>
      <c r="D30693" s="16" t="s">
        <v>728</v>
      </c>
      <c r="E30693" s="2">
        <v>3465508</v>
      </c>
      <c r="F30693" s="4" t="e">
        <f>IF(B30693=#REF!,"",B30693)</f>
        <v>#REF!</v>
      </c>
    </row>
    <row r="30694" spans="1:6" ht="15.75" customHeight="1">
      <c r="A30694" s="16" t="s">
        <v>7292</v>
      </c>
      <c r="B30694" s="15" t="s">
        <v>7293</v>
      </c>
      <c r="C30694" s="16" t="s">
        <v>7052</v>
      </c>
      <c r="D30694" s="16" t="s">
        <v>7058</v>
      </c>
      <c r="E30694" s="2">
        <v>3023645</v>
      </c>
      <c r="F30694" s="4" t="e">
        <f>IF(B30694=#REF!,"",B30694)</f>
        <v>#REF!</v>
      </c>
    </row>
    <row r="30695" spans="1:6" ht="15.75" customHeight="1">
      <c r="A30695" s="15" t="s">
        <v>15107</v>
      </c>
      <c r="B30695" s="15" t="s">
        <v>15107</v>
      </c>
      <c r="C30695" s="15" t="s">
        <v>14891</v>
      </c>
      <c r="D30695" s="15" t="s">
        <v>14894</v>
      </c>
      <c r="E30695" s="2">
        <v>3178087</v>
      </c>
      <c r="F30695" s="4" t="str">
        <f>IF(B30695=B30694,"",B30695)</f>
        <v>Cormano</v>
      </c>
    </row>
    <row r="30696" spans="1:6" ht="15.75" customHeight="1">
      <c r="A30696" s="16" t="str">
        <f ca="1">IFERROR(__xludf.DUMMYFUNCTION("GOOGLETRANSLATE(B42193,""en"",""pt"")"),"Çorlu")</f>
        <v>Çorlu</v>
      </c>
      <c r="B30696" s="20" t="s">
        <v>35951</v>
      </c>
      <c r="C30696" s="20" t="s">
        <v>26201</v>
      </c>
      <c r="D30696" s="20" t="s">
        <v>35918</v>
      </c>
      <c r="E30696" s="10">
        <v>748893</v>
      </c>
      <c r="F30696" s="4" t="e">
        <f>IF(B30696=#REF!,"",B30696)</f>
        <v>#REF!</v>
      </c>
    </row>
    <row r="30697" spans="1:6" ht="15.75" customHeight="1">
      <c r="A30697" s="15" t="s">
        <v>14737</v>
      </c>
      <c r="B30697" s="15" t="s">
        <v>14738</v>
      </c>
      <c r="C30697" s="15" t="s">
        <v>14728</v>
      </c>
      <c r="D30697" s="15" t="s">
        <v>8868</v>
      </c>
      <c r="E30697" s="2">
        <v>2965140</v>
      </c>
      <c r="F30697" s="4" t="e">
        <f>IF(B30697=#REF!,"",B30697)</f>
        <v>#REF!</v>
      </c>
    </row>
    <row r="30698" spans="1:6" ht="15.75" customHeight="1">
      <c r="A30698" s="15" t="s">
        <v>2366</v>
      </c>
      <c r="B30698" s="15" t="s">
        <v>2366</v>
      </c>
      <c r="C30698" s="15" t="s">
        <v>1905</v>
      </c>
      <c r="D30698" s="15" t="s">
        <v>1917</v>
      </c>
      <c r="E30698" s="2">
        <v>3465512</v>
      </c>
      <c r="F30698" s="4" t="e">
        <f>IF(B30698=#REF!,"",B30698)</f>
        <v>#REF!</v>
      </c>
    </row>
    <row r="30699" spans="1:6" ht="15.75" customHeight="1">
      <c r="A30699" s="15" t="s">
        <v>2366</v>
      </c>
      <c r="B30699" s="15" t="s">
        <v>28334</v>
      </c>
      <c r="C30699" s="15" t="s">
        <v>27788</v>
      </c>
      <c r="D30699" s="15" t="s">
        <v>27792</v>
      </c>
      <c r="E30699" s="2">
        <v>4683317</v>
      </c>
      <c r="F30699" s="4" t="e">
        <f>IF(B30699=#REF!,"",B30699)</f>
        <v>#REF!</v>
      </c>
    </row>
    <row r="30700" spans="1:6" ht="15.75" customHeight="1">
      <c r="A30700" s="16" t="s">
        <v>15106</v>
      </c>
      <c r="B30700" s="15" t="s">
        <v>15106</v>
      </c>
      <c r="C30700" s="16" t="s">
        <v>14891</v>
      </c>
      <c r="D30700" s="16" t="s">
        <v>14929</v>
      </c>
      <c r="E30700" s="2">
        <v>9003711</v>
      </c>
      <c r="F30700" s="4" t="str">
        <f>IF(B30700=B30699,"",B30700)</f>
        <v>Corigliano Scalo</v>
      </c>
    </row>
    <row r="30701" spans="1:6" ht="15.75" customHeight="1">
      <c r="A30701" s="16" t="str">
        <f ca="1">IFERROR(__xludf.DUMMYFUNCTION("GOOGLETRANSLATE(B29137,""en"",""pt"")"),"Coria del Río")</f>
        <v>Coria del Río</v>
      </c>
      <c r="B30701" s="20" t="s">
        <v>32386</v>
      </c>
      <c r="C30701" s="20" t="s">
        <v>24200</v>
      </c>
      <c r="D30701" s="20" t="s">
        <v>24205</v>
      </c>
      <c r="E30701" s="10">
        <v>2519233</v>
      </c>
      <c r="F30701" s="4" t="str">
        <f>IF(B30701=B30700,"",B30701)</f>
        <v>Coria del Río</v>
      </c>
    </row>
    <row r="30702" spans="1:6" ht="15.75" customHeight="1">
      <c r="A30702" s="16" t="s">
        <v>24420</v>
      </c>
      <c r="B30702" s="15" t="s">
        <v>24421</v>
      </c>
      <c r="C30702" s="16" t="s">
        <v>24200</v>
      </c>
      <c r="D30702" s="16" t="s">
        <v>24205</v>
      </c>
      <c r="E30702" s="2">
        <v>2519233</v>
      </c>
      <c r="F30702" s="4" t="e">
        <f>IF(B30702=#REF!,"",B30702)</f>
        <v>#REF!</v>
      </c>
    </row>
    <row r="30703" spans="1:6" ht="15.75" customHeight="1">
      <c r="A30703" s="15" t="s">
        <v>9499</v>
      </c>
      <c r="B30703" s="15" t="s">
        <v>9499</v>
      </c>
      <c r="C30703" s="15" t="s">
        <v>9441</v>
      </c>
      <c r="D30703" s="15" t="s">
        <v>9500</v>
      </c>
      <c r="E30703" s="2">
        <v>2463679</v>
      </c>
      <c r="F30703" s="4" t="e">
        <f>IF(B30703=#REF!,"",B30703)</f>
        <v>#REF!</v>
      </c>
    </row>
    <row r="30704" spans="1:6" ht="15.75" customHeight="1">
      <c r="A30704" s="15" t="s">
        <v>20747</v>
      </c>
      <c r="B30704" s="15" t="s">
        <v>20747</v>
      </c>
      <c r="C30704" s="15" t="s">
        <v>20598</v>
      </c>
      <c r="D30704" s="15" t="s">
        <v>20622</v>
      </c>
      <c r="E30704" s="2">
        <v>1716858</v>
      </c>
      <c r="F30704" s="4" t="e">
        <f>IF(B30704=#REF!,"",B30704)</f>
        <v>#REF!</v>
      </c>
    </row>
    <row r="30705" spans="1:6" ht="15.75" customHeight="1">
      <c r="A30705" s="16" t="str">
        <f ca="1">IFERROR(__xludf.DUMMYFUNCTION("GOOGLETRANSLATE(B23338,""en"",""pt"")"),"Córdoba")</f>
        <v>Córdoba</v>
      </c>
      <c r="B30705" s="20" t="s">
        <v>31214</v>
      </c>
      <c r="C30705" s="20" t="s">
        <v>558</v>
      </c>
      <c r="D30705" s="20" t="s">
        <v>573</v>
      </c>
      <c r="E30705" s="10">
        <v>3860259</v>
      </c>
      <c r="F30705" s="4" t="e">
        <f>IF(B30705=#REF!,"",B30705)</f>
        <v>#REF!</v>
      </c>
    </row>
    <row r="30706" spans="1:6" ht="15.75" customHeight="1">
      <c r="A30706" s="16" t="s">
        <v>15104</v>
      </c>
      <c r="B30706" s="15" t="s">
        <v>15104</v>
      </c>
      <c r="C30706" s="16" t="s">
        <v>14891</v>
      </c>
      <c r="D30706" s="16" t="s">
        <v>15105</v>
      </c>
      <c r="E30706" s="2">
        <v>3178112</v>
      </c>
      <c r="F30706" s="4" t="str">
        <f>IF(B30706=B30705,"",B30706)</f>
        <v>Cordenons</v>
      </c>
    </row>
    <row r="30707" spans="1:6" ht="15.75" customHeight="1">
      <c r="A30707" s="16" t="str">
        <f ca="1">IFERROR(__xludf.DUMMYFUNCTION("GOOGLETRANSLATE(B25093,""en"",""pt"")"),"Cordeirópolis")</f>
        <v>Cordeirópolis</v>
      </c>
      <c r="B30707" s="20" t="s">
        <v>31674</v>
      </c>
      <c r="C30707" s="20" t="s">
        <v>1905</v>
      </c>
      <c r="D30707" s="20" t="s">
        <v>3354</v>
      </c>
      <c r="E30707" s="10">
        <v>3465524</v>
      </c>
      <c r="F30707" s="4" t="e">
        <f>IF(B30707=#REF!,"",B30707)</f>
        <v>#REF!</v>
      </c>
    </row>
    <row r="30708" spans="1:6" ht="15.75" customHeight="1">
      <c r="A30708" s="15" t="s">
        <v>2365</v>
      </c>
      <c r="B30708" s="15" t="s">
        <v>2365</v>
      </c>
      <c r="C30708" s="15" t="s">
        <v>1905</v>
      </c>
      <c r="D30708" s="15" t="s">
        <v>1978</v>
      </c>
      <c r="E30708" s="2">
        <v>3465527</v>
      </c>
      <c r="F30708" s="4" t="str">
        <f>IF(B30708=B30707,"",B30708)</f>
        <v>Cordeiro</v>
      </c>
    </row>
    <row r="30709" spans="1:6" ht="15.75" customHeight="1">
      <c r="A30709" s="16" t="s">
        <v>2363</v>
      </c>
      <c r="B30709" s="15" t="s">
        <v>2364</v>
      </c>
      <c r="C30709" s="16" t="s">
        <v>1905</v>
      </c>
      <c r="D30709" s="16" t="s">
        <v>1914</v>
      </c>
      <c r="E30709" s="2">
        <v>3465524</v>
      </c>
      <c r="F30709" s="4" t="e">
        <f>IF(B30709=#REF!,"",B30709)</f>
        <v>#REF!</v>
      </c>
    </row>
    <row r="30710" spans="1:6" ht="15.75" customHeight="1">
      <c r="A30710" s="15" t="s">
        <v>28333</v>
      </c>
      <c r="B30710" s="15" t="s">
        <v>28333</v>
      </c>
      <c r="C30710" s="15" t="s">
        <v>27788</v>
      </c>
      <c r="D30710" s="15" t="s">
        <v>27801</v>
      </c>
      <c r="E30710" s="2">
        <v>5339539</v>
      </c>
      <c r="F30710" s="4" t="e">
        <f>IF(B30710=#REF!,"",B30710)</f>
        <v>#REF!</v>
      </c>
    </row>
    <row r="30711" spans="1:6" ht="15.75" customHeight="1">
      <c r="A30711" s="16" t="s">
        <v>7290</v>
      </c>
      <c r="B30711" s="15" t="s">
        <v>7291</v>
      </c>
      <c r="C30711" s="16" t="s">
        <v>7052</v>
      </c>
      <c r="D30711" s="16" t="s">
        <v>7058</v>
      </c>
      <c r="E30711" s="2">
        <v>3023763</v>
      </c>
      <c r="F30711" s="4" t="e">
        <f>IF(B30711=#REF!,"",B30711)</f>
        <v>#REF!</v>
      </c>
    </row>
    <row r="30712" spans="1:6" ht="15.75" customHeight="1">
      <c r="A30712" s="15" t="s">
        <v>15103</v>
      </c>
      <c r="B30712" s="15" t="s">
        <v>15103</v>
      </c>
      <c r="C30712" s="15" t="s">
        <v>14891</v>
      </c>
      <c r="D30712" s="15" t="s">
        <v>14908</v>
      </c>
      <c r="E30712" s="2">
        <v>3178131</v>
      </c>
      <c r="F30712" s="4" t="e">
        <f>IF(B30712=#REF!,"",B30712)</f>
        <v>#REF!</v>
      </c>
    </row>
    <row r="30713" spans="1:6" ht="15.75" customHeight="1">
      <c r="A30713" s="15" t="s">
        <v>28332</v>
      </c>
      <c r="B30713" s="15" t="s">
        <v>28332</v>
      </c>
      <c r="C30713" s="15" t="s">
        <v>27788</v>
      </c>
      <c r="D30713" s="15" t="s">
        <v>27819</v>
      </c>
      <c r="E30713" s="2">
        <v>5113694</v>
      </c>
      <c r="F30713" s="4" t="e">
        <f>IF(B30713=#REF!,"",B30713)</f>
        <v>#REF!</v>
      </c>
    </row>
    <row r="30714" spans="1:6" ht="15.75" customHeight="1">
      <c r="A30714" s="15" t="s">
        <v>28331</v>
      </c>
      <c r="B30714" s="15" t="s">
        <v>28331</v>
      </c>
      <c r="C30714" s="15" t="s">
        <v>27788</v>
      </c>
      <c r="D30714" s="15" t="s">
        <v>27859</v>
      </c>
      <c r="E30714" s="2">
        <v>4852640</v>
      </c>
      <c r="F30714" s="4" t="e">
        <f>IF(B30714=#REF!,"",B30714)</f>
        <v>#REF!</v>
      </c>
    </row>
    <row r="30715" spans="1:6" ht="15.75" customHeight="1">
      <c r="A30715" s="16" t="s">
        <v>28329</v>
      </c>
      <c r="B30715" s="15" t="s">
        <v>28330</v>
      </c>
      <c r="C30715" s="16" t="s">
        <v>27788</v>
      </c>
      <c r="D30715" s="16" t="s">
        <v>5468</v>
      </c>
      <c r="E30715" s="2">
        <v>4151921</v>
      </c>
      <c r="F30715" s="4" t="e">
        <f>IF(B30715=#REF!,"",B30715)</f>
        <v>#REF!</v>
      </c>
    </row>
    <row r="30716" spans="1:6" ht="15.75" customHeight="1">
      <c r="A30716" s="16" t="s">
        <v>28328</v>
      </c>
      <c r="B30716" s="15" t="s">
        <v>28328</v>
      </c>
      <c r="C30716" s="16" t="s">
        <v>27788</v>
      </c>
      <c r="D30716" s="16" t="s">
        <v>5468</v>
      </c>
      <c r="E30716" s="2">
        <v>4151909</v>
      </c>
      <c r="F30716" s="4" t="e">
        <f>IF(B30716=#REF!,"",B30716)</f>
        <v>#REF!</v>
      </c>
    </row>
    <row r="30717" spans="1:6" ht="15.75" customHeight="1">
      <c r="A30717" s="16" t="s">
        <v>28327</v>
      </c>
      <c r="B30717" s="15" t="s">
        <v>28327</v>
      </c>
      <c r="C30717" s="16" t="s">
        <v>27788</v>
      </c>
      <c r="D30717" s="16" t="s">
        <v>5468</v>
      </c>
      <c r="E30717" s="2">
        <v>4151871</v>
      </c>
      <c r="F30717" s="4" t="e">
        <f>IF(B30717=#REF!,"",B30717)</f>
        <v>#REF!</v>
      </c>
    </row>
    <row r="30718" spans="1:6" ht="15.75" customHeight="1">
      <c r="A30718" s="15" t="s">
        <v>21903</v>
      </c>
      <c r="B30718" s="15" t="s">
        <v>21903</v>
      </c>
      <c r="C30718" s="15" t="s">
        <v>21824</v>
      </c>
      <c r="D30718" s="15" t="s">
        <v>21850</v>
      </c>
      <c r="E30718" s="2">
        <v>680897</v>
      </c>
      <c r="F30718" s="4" t="e">
        <f>IF(B30718=#REF!,"",B30718)</f>
        <v>#REF!</v>
      </c>
    </row>
    <row r="30719" spans="1:6" ht="15.75" customHeight="1">
      <c r="A30719" s="16" t="s">
        <v>4032</v>
      </c>
      <c r="B30719" s="15" t="s">
        <v>4032</v>
      </c>
      <c r="C30719" s="16" t="s">
        <v>3975</v>
      </c>
      <c r="D30719" s="16" t="s">
        <v>3976</v>
      </c>
      <c r="E30719" s="2">
        <v>5927689</v>
      </c>
      <c r="F30719" s="4" t="e">
        <f>IF(B30719=#REF!,"",B30719)</f>
        <v>#REF!</v>
      </c>
    </row>
    <row r="30720" spans="1:6" ht="15.75" customHeight="1">
      <c r="A30720" s="16" t="s">
        <v>4390</v>
      </c>
      <c r="B30720" s="15" t="s">
        <v>4390</v>
      </c>
      <c r="C30720" s="16" t="s">
        <v>4355</v>
      </c>
      <c r="D30720" s="16" t="s">
        <v>4390</v>
      </c>
      <c r="E30720" s="2">
        <v>3893629</v>
      </c>
      <c r="F30720" s="4" t="e">
        <f>IF(B30720=#REF!,"",B30720)</f>
        <v>#REF!</v>
      </c>
    </row>
    <row r="30721" spans="1:6" ht="15.75" customHeight="1">
      <c r="A30721" s="16" t="s">
        <v>28326</v>
      </c>
      <c r="B30721" s="15" t="s">
        <v>28326</v>
      </c>
      <c r="C30721" s="16" t="s">
        <v>27788</v>
      </c>
      <c r="D30721" s="16" t="s">
        <v>27792</v>
      </c>
      <c r="E30721" s="2">
        <v>4683244</v>
      </c>
      <c r="F30721" s="4" t="e">
        <f>IF(B30721=#REF!,"",B30721)</f>
        <v>#REF!</v>
      </c>
    </row>
    <row r="30722" spans="1:6" ht="15.75" customHeight="1">
      <c r="A30722" s="15" t="s">
        <v>28325</v>
      </c>
      <c r="B30722" s="15" t="s">
        <v>28325</v>
      </c>
      <c r="C30722" s="15" t="s">
        <v>27788</v>
      </c>
      <c r="D30722" s="15" t="s">
        <v>27792</v>
      </c>
      <c r="E30722" s="2">
        <v>4683217</v>
      </c>
      <c r="F30722" s="4" t="str">
        <f>IF(B30722=B30721,"",B30722)</f>
        <v>Coppell</v>
      </c>
    </row>
    <row r="30723" spans="1:6" ht="15.75" customHeight="1">
      <c r="A30723" s="16" t="str">
        <f ca="1">IFERROR(__xludf.DUMMYFUNCTION("GOOGLETRANSLATE(B25956,""en"",""pt"")"),"Copiapó")</f>
        <v>Copiapó</v>
      </c>
      <c r="B30723" s="20" t="s">
        <v>31808</v>
      </c>
      <c r="C30723" s="20" t="s">
        <v>4355</v>
      </c>
      <c r="D30723" s="20" t="s">
        <v>4389</v>
      </c>
      <c r="E30723" s="10">
        <v>3893656</v>
      </c>
      <c r="F30723" s="4" t="str">
        <f>IF(B30723=B30722,"",B30723)</f>
        <v>Copiapó</v>
      </c>
    </row>
    <row r="30724" spans="1:6" ht="15.75" customHeight="1">
      <c r="A30724" s="15" t="s">
        <v>4387</v>
      </c>
      <c r="B30724" s="15" t="s">
        <v>4388</v>
      </c>
      <c r="C30724" s="15" t="s">
        <v>4355</v>
      </c>
      <c r="D30724" s="15" t="s">
        <v>4389</v>
      </c>
      <c r="E30724" s="2">
        <v>3893656</v>
      </c>
      <c r="F30724" s="4" t="e">
        <f>IF(B30724=#REF!,"",B30724)</f>
        <v>#REF!</v>
      </c>
    </row>
    <row r="30725" spans="1:6" ht="15.75" customHeight="1">
      <c r="A30725" s="15" t="s">
        <v>28324</v>
      </c>
      <c r="B30725" s="15" t="s">
        <v>28324</v>
      </c>
      <c r="C30725" s="15" t="s">
        <v>27788</v>
      </c>
      <c r="D30725" s="15" t="s">
        <v>27819</v>
      </c>
      <c r="E30725" s="2">
        <v>5113683</v>
      </c>
      <c r="F30725" s="4" t="e">
        <f>IF(B30725=#REF!,"",B30725)</f>
        <v>#REF!</v>
      </c>
    </row>
    <row r="30726" spans="1:6" ht="15.75" customHeight="1">
      <c r="A30726" s="16" t="s">
        <v>15102</v>
      </c>
      <c r="B30726" s="15" t="s">
        <v>15102</v>
      </c>
      <c r="C30726" s="16" t="s">
        <v>14891</v>
      </c>
      <c r="D30726" s="16" t="s">
        <v>14908</v>
      </c>
      <c r="E30726" s="2">
        <v>3178141</v>
      </c>
      <c r="F30726" s="4" t="e">
        <f>IF(B30726=#REF!,"",B30726)</f>
        <v>#REF!</v>
      </c>
    </row>
    <row r="30727" spans="1:6" ht="15.75" customHeight="1">
      <c r="A30727" s="16" t="s">
        <v>6222</v>
      </c>
      <c r="B30727" s="15" t="s">
        <v>6223</v>
      </c>
      <c r="C30727" s="16" t="s">
        <v>6209</v>
      </c>
      <c r="D30727" s="16" t="s">
        <v>6216</v>
      </c>
      <c r="E30727" s="2">
        <v>2618425</v>
      </c>
      <c r="F30727" s="4" t="e">
        <f>IF(B30727=#REF!,"",B30727)</f>
        <v>#REF!</v>
      </c>
    </row>
    <row r="30728" spans="1:6" ht="15.75" customHeight="1">
      <c r="A30728" s="15" t="s">
        <v>28323</v>
      </c>
      <c r="B30728" s="15" t="s">
        <v>28323</v>
      </c>
      <c r="C30728" s="15" t="s">
        <v>27788</v>
      </c>
      <c r="D30728" s="15" t="s">
        <v>27820</v>
      </c>
      <c r="E30728" s="2">
        <v>5720495</v>
      </c>
      <c r="F30728" s="4" t="e">
        <f>IF(B30728=#REF!,"",B30728)</f>
        <v>#REF!</v>
      </c>
    </row>
    <row r="30729" spans="1:6" ht="15.75" customHeight="1">
      <c r="A30729" s="16" t="s">
        <v>28322</v>
      </c>
      <c r="B30729" s="15" t="s">
        <v>28322</v>
      </c>
      <c r="C30729" s="16" t="s">
        <v>27788</v>
      </c>
      <c r="D30729" s="16" t="s">
        <v>5468</v>
      </c>
      <c r="E30729" s="2">
        <v>4151824</v>
      </c>
      <c r="F30729" s="4" t="e">
        <f>IF(B30729=#REF!,"",B30729)</f>
        <v>#REF!</v>
      </c>
    </row>
    <row r="30730" spans="1:6" ht="15.75" customHeight="1">
      <c r="A30730" s="16" t="s">
        <v>11011</v>
      </c>
      <c r="B30730" s="15" t="s">
        <v>11011</v>
      </c>
      <c r="C30730" s="16" t="s">
        <v>10178</v>
      </c>
      <c r="D30730" s="16" t="s">
        <v>10252</v>
      </c>
      <c r="E30730" s="2">
        <v>1273834</v>
      </c>
      <c r="F30730" s="4" t="e">
        <f>IF(B30730=#REF!,"",B30730)</f>
        <v>#REF!</v>
      </c>
    </row>
    <row r="30731" spans="1:6" ht="15.75" customHeight="1">
      <c r="A30731" s="16" t="s">
        <v>28321</v>
      </c>
      <c r="B30731" s="15" t="s">
        <v>28321</v>
      </c>
      <c r="C30731" s="16" t="s">
        <v>27788</v>
      </c>
      <c r="D30731" s="16" t="s">
        <v>27824</v>
      </c>
      <c r="E30731" s="2">
        <v>5022025</v>
      </c>
      <c r="F30731" s="4" t="e">
        <f>IF(B30731=#REF!,"",B30731)</f>
        <v>#REF!</v>
      </c>
    </row>
    <row r="30732" spans="1:6" ht="15.75" customHeight="1">
      <c r="A30732" s="16" t="s">
        <v>28320</v>
      </c>
      <c r="B30732" s="15" t="s">
        <v>28320</v>
      </c>
      <c r="C30732" s="16" t="s">
        <v>27788</v>
      </c>
      <c r="D30732" s="16" t="s">
        <v>27957</v>
      </c>
      <c r="E30732" s="2">
        <v>4615145</v>
      </c>
      <c r="F30732" s="4" t="e">
        <f>IF(B30732=#REF!,"",B30732)</f>
        <v>#REF!</v>
      </c>
    </row>
    <row r="30733" spans="1:6" ht="15.75" customHeight="1">
      <c r="A30733" s="15" t="s">
        <v>28319</v>
      </c>
      <c r="B30733" s="15" t="s">
        <v>28319</v>
      </c>
      <c r="C30733" s="15" t="s">
        <v>27788</v>
      </c>
      <c r="D30733" s="15" t="s">
        <v>7988</v>
      </c>
      <c r="E30733" s="2">
        <v>4189213</v>
      </c>
      <c r="F30733" s="4" t="e">
        <f>IF(B30733=#REF!,"",B30733)</f>
        <v>#REF!</v>
      </c>
    </row>
    <row r="30734" spans="1:6" ht="15.75" customHeight="1">
      <c r="A30734" s="15" t="s">
        <v>28318</v>
      </c>
      <c r="B30734" s="15" t="s">
        <v>28318</v>
      </c>
      <c r="C30734" s="15" t="s">
        <v>27788</v>
      </c>
      <c r="D30734" s="15" t="s">
        <v>27991</v>
      </c>
      <c r="E30734" s="2">
        <v>4106458</v>
      </c>
      <c r="F30734" s="4" t="e">
        <f>IF(B30734=#REF!,"",B30734)</f>
        <v>#REF!</v>
      </c>
    </row>
    <row r="30735" spans="1:6" ht="15.75" customHeight="1">
      <c r="A30735" s="16" t="s">
        <v>28316</v>
      </c>
      <c r="B30735" s="15" t="s">
        <v>28317</v>
      </c>
      <c r="C30735" s="16" t="s">
        <v>27788</v>
      </c>
      <c r="D30735" s="16" t="s">
        <v>27792</v>
      </c>
      <c r="E30735" s="2">
        <v>4683021</v>
      </c>
      <c r="F30735" s="4" t="e">
        <f>IF(B30735=#REF!,"",B30735)</f>
        <v>#REF!</v>
      </c>
    </row>
    <row r="30736" spans="1:6" ht="15.75" customHeight="1">
      <c r="A30736" s="16" t="s">
        <v>15101</v>
      </c>
      <c r="B30736" s="15" t="s">
        <v>15101</v>
      </c>
      <c r="C30736" s="16" t="s">
        <v>14891</v>
      </c>
      <c r="D30736" s="16" t="s">
        <v>14908</v>
      </c>
      <c r="E30736" s="2">
        <v>3178147</v>
      </c>
      <c r="F30736" s="4" t="e">
        <f>IF(B30736=#REF!,"",B30736)</f>
        <v>#REF!</v>
      </c>
    </row>
    <row r="30737" spans="1:6" ht="15.75" customHeight="1">
      <c r="A30737" s="16" t="s">
        <v>5825</v>
      </c>
      <c r="B30737" s="15" t="s">
        <v>5826</v>
      </c>
      <c r="C30737" s="16" t="s">
        <v>5764</v>
      </c>
      <c r="D30737" s="16" t="s">
        <v>5827</v>
      </c>
      <c r="E30737" s="2">
        <v>3563504</v>
      </c>
      <c r="F30737" s="4" t="e">
        <f>IF(B30737=#REF!,"",B30737)</f>
        <v>#REF!</v>
      </c>
    </row>
    <row r="30738" spans="1:6" ht="15.75" customHeight="1">
      <c r="A30738" s="15" t="s">
        <v>11010</v>
      </c>
      <c r="B30738" s="15" t="s">
        <v>11010</v>
      </c>
      <c r="C30738" s="15" t="s">
        <v>10178</v>
      </c>
      <c r="D30738" s="15" t="s">
        <v>10201</v>
      </c>
      <c r="E30738" s="2">
        <v>1344069</v>
      </c>
      <c r="F30738" s="4" t="e">
        <f>IF(B30738=#REF!,"",B30738)</f>
        <v>#REF!</v>
      </c>
    </row>
    <row r="30739" spans="1:6" ht="15.75" customHeight="1">
      <c r="A30739" s="16" t="s">
        <v>2362</v>
      </c>
      <c r="B30739" s="15" t="s">
        <v>2362</v>
      </c>
      <c r="C30739" s="16" t="s">
        <v>1905</v>
      </c>
      <c r="D30739" s="16" t="s">
        <v>1917</v>
      </c>
      <c r="E30739" s="2">
        <v>3465624</v>
      </c>
      <c r="F30739" s="4" t="str">
        <f>IF(B30739=B30738,"",B30739)</f>
        <v>Contagem</v>
      </c>
    </row>
    <row r="30740" spans="1:6" ht="15.75" customHeight="1">
      <c r="A30740" s="16" t="str">
        <f ca="1">IFERROR(__xludf.DUMMYFUNCTION("GOOGLETRANSLATE(B25957,""en"",""pt"")"),"Constitución")</f>
        <v>Constitución</v>
      </c>
      <c r="B30740" s="20" t="s">
        <v>31809</v>
      </c>
      <c r="C30740" s="20" t="s">
        <v>4355</v>
      </c>
      <c r="D30740" s="20" t="s">
        <v>4373</v>
      </c>
      <c r="E30740" s="10">
        <v>3893726</v>
      </c>
      <c r="F30740" s="4" t="str">
        <f>IF(B30740=B30739,"",B30740)</f>
        <v>Constitución</v>
      </c>
    </row>
    <row r="30741" spans="1:6" ht="15.75" customHeight="1">
      <c r="A30741" s="16" t="s">
        <v>4385</v>
      </c>
      <c r="B30741" s="15" t="s">
        <v>4386</v>
      </c>
      <c r="C30741" s="16" t="s">
        <v>4355</v>
      </c>
      <c r="D30741" s="16" t="s">
        <v>4373</v>
      </c>
      <c r="E30741" s="2">
        <v>3893726</v>
      </c>
      <c r="F30741" s="4" t="e">
        <f>IF(B30741=#REF!,"",B30741)</f>
        <v>#REF!</v>
      </c>
    </row>
    <row r="30742" spans="1:6" ht="15.75" customHeight="1">
      <c r="A30742" s="16" t="s">
        <v>6319</v>
      </c>
      <c r="B30742" s="15" t="s">
        <v>6319</v>
      </c>
      <c r="C30742" s="16" t="s">
        <v>6303</v>
      </c>
      <c r="D30742" s="16" t="s">
        <v>6318</v>
      </c>
      <c r="E30742" s="2">
        <v>3509363</v>
      </c>
      <c r="F30742" s="4" t="e">
        <f>IF(B30742=#REF!,"",B30742)</f>
        <v>#REF!</v>
      </c>
    </row>
    <row r="30743" spans="1:6" ht="15.75" customHeight="1">
      <c r="A30743" s="16" t="s">
        <v>314</v>
      </c>
      <c r="B30743" s="15" t="s">
        <v>157</v>
      </c>
      <c r="C30743" s="16" t="s">
        <v>153</v>
      </c>
      <c r="D30743" s="16" t="s">
        <v>157</v>
      </c>
      <c r="E30743" s="2">
        <v>2501152</v>
      </c>
      <c r="F30743" s="4" t="str">
        <f>IF(B30743=B30742,"",B30743)</f>
        <v>Constantine</v>
      </c>
    </row>
    <row r="30744" spans="1:6" ht="15.75" customHeight="1">
      <c r="A30744" s="16" t="str">
        <f ca="1">IFERROR(__xludf.DUMMYFUNCTION("GOOGLETRANSLATE(B39808,""en"",""pt"")"),"Constanţa")</f>
        <v>Constanţa</v>
      </c>
      <c r="B30744" s="20" t="s">
        <v>35391</v>
      </c>
      <c r="C30744" s="20" t="s">
        <v>21824</v>
      </c>
      <c r="D30744" s="20" t="s">
        <v>35374</v>
      </c>
      <c r="E30744" s="10">
        <v>680963</v>
      </c>
      <c r="F30744" s="4" t="str">
        <f>IF(B30744=B30743,"",B30744)</f>
        <v>Constanţa</v>
      </c>
    </row>
    <row r="30745" spans="1:6" ht="15.75" customHeight="1">
      <c r="A30745" s="16" t="s">
        <v>21901</v>
      </c>
      <c r="B30745" s="15" t="s">
        <v>21902</v>
      </c>
      <c r="C30745" s="16" t="s">
        <v>21824</v>
      </c>
      <c r="D30745" s="16" t="s">
        <v>21893</v>
      </c>
      <c r="E30745" s="2">
        <v>680963</v>
      </c>
      <c r="F30745" s="4" t="str">
        <f>IF(B30745=B30744,"",B30745)</f>
        <v>ConstanÅ£a</v>
      </c>
    </row>
    <row r="30746" spans="1:6" ht="15.75" customHeight="1">
      <c r="A30746" s="16" t="str">
        <f ca="1">IFERROR(__xludf.DUMMYFUNCTION("GOOGLETRANSLATE(B27187,""en"",""pt"")"),"Consolación del Sur")</f>
        <v>Consolación del Sur</v>
      </c>
      <c r="B30746" s="20" t="s">
        <v>31923</v>
      </c>
      <c r="C30746" s="20" t="s">
        <v>5764</v>
      </c>
      <c r="D30746" s="20" t="s">
        <v>31903</v>
      </c>
      <c r="E30746" s="10">
        <v>3563559</v>
      </c>
      <c r="F30746" s="4" t="e">
        <f>IF(B30746=#REF!,"",B30746)</f>
        <v>#REF!</v>
      </c>
    </row>
    <row r="30747" spans="1:6" ht="15.75" customHeight="1">
      <c r="A30747" s="16" t="s">
        <v>20746</v>
      </c>
      <c r="B30747" s="15" t="s">
        <v>20746</v>
      </c>
      <c r="C30747" s="16" t="s">
        <v>20598</v>
      </c>
      <c r="D30747" s="16" t="s">
        <v>20622</v>
      </c>
      <c r="E30747" s="2">
        <v>1716924</v>
      </c>
      <c r="F30747" s="4" t="str">
        <f>IF(B30747=B30746,"",B30747)</f>
        <v>Consolacion</v>
      </c>
    </row>
    <row r="30748" spans="1:6" ht="15.75" customHeight="1">
      <c r="A30748" s="16" t="s">
        <v>5822</v>
      </c>
      <c r="B30748" s="15" t="s">
        <v>5823</v>
      </c>
      <c r="C30748" s="16" t="s">
        <v>5764</v>
      </c>
      <c r="D30748" s="16" t="s">
        <v>5824</v>
      </c>
      <c r="E30748" s="2">
        <v>3563559</v>
      </c>
      <c r="F30748" s="4" t="e">
        <f>IF(B30748=#REF!,"",B30748)</f>
        <v>#REF!</v>
      </c>
    </row>
    <row r="30749" spans="1:6" ht="15.75" customHeight="1">
      <c r="A30749" s="16" t="s">
        <v>2360</v>
      </c>
      <c r="B30749" s="15" t="s">
        <v>2361</v>
      </c>
      <c r="C30749" s="16" t="s">
        <v>1905</v>
      </c>
      <c r="D30749" s="16" t="s">
        <v>1917</v>
      </c>
      <c r="E30749" s="2">
        <v>3465644</v>
      </c>
      <c r="F30749" s="4" t="e">
        <f>IF(B30749=#REF!,"",B30749)</f>
        <v>#REF!</v>
      </c>
    </row>
    <row r="30750" spans="1:6" ht="15.75" customHeight="1">
      <c r="A30750" s="15" t="s">
        <v>28315</v>
      </c>
      <c r="B30750" s="15" t="s">
        <v>28315</v>
      </c>
      <c r="C30750" s="15" t="s">
        <v>27788</v>
      </c>
      <c r="D30750" s="15" t="s">
        <v>27792</v>
      </c>
      <c r="E30750" s="2">
        <v>4682991</v>
      </c>
      <c r="F30750" s="4" t="e">
        <f>IF(B30750=#REF!,"",B30750)</f>
        <v>#REF!</v>
      </c>
    </row>
    <row r="30751" spans="1:6" ht="15.75" customHeight="1">
      <c r="A30751" s="16" t="s">
        <v>24419</v>
      </c>
      <c r="B30751" s="15" t="s">
        <v>24419</v>
      </c>
      <c r="C30751" s="16" t="s">
        <v>24200</v>
      </c>
      <c r="D30751" s="16" t="s">
        <v>24205</v>
      </c>
      <c r="E30751" s="2">
        <v>2519289</v>
      </c>
      <c r="F30751" s="4" t="e">
        <f>IF(B30751=#REF!,"",B30751)</f>
        <v>#REF!</v>
      </c>
    </row>
    <row r="30752" spans="1:6" ht="15.75" customHeight="1">
      <c r="A30752" s="16" t="s">
        <v>2359</v>
      </c>
      <c r="B30752" s="15" t="s">
        <v>2359</v>
      </c>
      <c r="C30752" s="16" t="s">
        <v>1905</v>
      </c>
      <c r="D30752" s="16" t="s">
        <v>1917</v>
      </c>
      <c r="E30752" s="2">
        <v>3465671</v>
      </c>
      <c r="F30752" s="4" t="e">
        <f>IF(B30752=#REF!,"",B30752)</f>
        <v>#REF!</v>
      </c>
    </row>
    <row r="30753" spans="1:6" ht="15.75" customHeight="1">
      <c r="A30753" s="16" t="s">
        <v>7288</v>
      </c>
      <c r="B30753" s="15" t="s">
        <v>7289</v>
      </c>
      <c r="C30753" s="16" t="s">
        <v>7052</v>
      </c>
      <c r="D30753" s="16" t="s">
        <v>7058</v>
      </c>
      <c r="E30753" s="2">
        <v>3023924</v>
      </c>
      <c r="F30753" s="4" t="e">
        <f>IF(B30753=#REF!,"",B30753)</f>
        <v>#REF!</v>
      </c>
    </row>
    <row r="30754" spans="1:6" ht="15.75" customHeight="1">
      <c r="A30754" s="16" t="s">
        <v>28314</v>
      </c>
      <c r="B30754" s="15" t="s">
        <v>28314</v>
      </c>
      <c r="C30754" s="16" t="s">
        <v>27788</v>
      </c>
      <c r="D30754" s="16" t="s">
        <v>27819</v>
      </c>
      <c r="E30754" s="2">
        <v>5113481</v>
      </c>
      <c r="F30754" s="4" t="e">
        <f>IF(B30754=#REF!,"",B30754)</f>
        <v>#REF!</v>
      </c>
    </row>
    <row r="30755" spans="1:6" ht="15.75" customHeight="1">
      <c r="A30755" s="16" t="s">
        <v>15099</v>
      </c>
      <c r="B30755" s="15" t="s">
        <v>15100</v>
      </c>
      <c r="C30755" s="16" t="s">
        <v>14891</v>
      </c>
      <c r="D30755" s="16" t="s">
        <v>14892</v>
      </c>
      <c r="E30755" s="2">
        <v>3178197</v>
      </c>
      <c r="F30755" s="4" t="e">
        <f>IF(B30755=#REF!,"",B30755)</f>
        <v>#REF!</v>
      </c>
    </row>
    <row r="30756" spans="1:6" ht="15.75" customHeight="1">
      <c r="A30756" s="15" t="s">
        <v>2358</v>
      </c>
      <c r="B30756" s="15" t="s">
        <v>2358</v>
      </c>
      <c r="C30756" s="15" t="s">
        <v>1905</v>
      </c>
      <c r="D30756" s="15" t="s">
        <v>1944</v>
      </c>
      <c r="E30756" s="2">
        <v>3385077</v>
      </c>
      <c r="F30756" s="4" t="e">
        <f>IF(B30756=#REF!,"",B30756)</f>
        <v>#REF!</v>
      </c>
    </row>
    <row r="30757" spans="1:6" ht="15.75" customHeight="1">
      <c r="A30757" s="15" t="s">
        <v>2357</v>
      </c>
      <c r="B30757" s="15" t="s">
        <v>2357</v>
      </c>
      <c r="C30757" s="15" t="s">
        <v>1905</v>
      </c>
      <c r="D30757" s="15" t="s">
        <v>1909</v>
      </c>
      <c r="E30757" s="2">
        <v>3401830</v>
      </c>
      <c r="F30757" s="4" t="str">
        <f>IF(B30757=B30756,"",B30757)</f>
        <v>Condado</v>
      </c>
    </row>
    <row r="30758" spans="1:6" ht="15.75" customHeight="1">
      <c r="A30758" s="16" t="str">
        <f ca="1">IFERROR(__xludf.DUMMYFUNCTION("GOOGLETRANSLATE(B25099,""en"",""pt"")"),"Concórdia")</f>
        <v>Concórdia</v>
      </c>
      <c r="B30758" s="20" t="s">
        <v>28312</v>
      </c>
      <c r="C30758" s="20" t="s">
        <v>1905</v>
      </c>
      <c r="D30758" s="20" t="s">
        <v>2020</v>
      </c>
      <c r="E30758" s="10">
        <v>3465721</v>
      </c>
      <c r="F30758" s="4" t="e">
        <f>IF(B30758=#REF!,"",B30758)</f>
        <v>#REF!</v>
      </c>
    </row>
    <row r="30759" spans="1:6" ht="15.75" customHeight="1">
      <c r="A30759" s="16" t="s">
        <v>625</v>
      </c>
      <c r="B30759" s="15" t="s">
        <v>625</v>
      </c>
      <c r="C30759" s="16" t="s">
        <v>558</v>
      </c>
      <c r="D30759" s="16" t="s">
        <v>611</v>
      </c>
      <c r="E30759" s="2">
        <v>3435261</v>
      </c>
      <c r="F30759" s="4" t="e">
        <f>IF(B30759=#REF!,"",B30759)</f>
        <v>#REF!</v>
      </c>
    </row>
    <row r="30760" spans="1:6" ht="15.75" customHeight="1">
      <c r="A30760" s="16" t="s">
        <v>28312</v>
      </c>
      <c r="B30760" s="15" t="s">
        <v>28313</v>
      </c>
      <c r="C30760" s="16" t="s">
        <v>27788</v>
      </c>
      <c r="D30760" s="16" t="s">
        <v>27806</v>
      </c>
      <c r="E30760" s="2">
        <v>4382072</v>
      </c>
      <c r="F30760" s="4" t="e">
        <f>IF(B30760=#REF!,"",B30760)</f>
        <v>#REF!</v>
      </c>
    </row>
    <row r="30761" spans="1:6" ht="15.75" customHeight="1">
      <c r="A30761" s="15" t="s">
        <v>2356</v>
      </c>
      <c r="B30761" s="15" t="s">
        <v>2356</v>
      </c>
      <c r="C30761" s="15" t="s">
        <v>1905</v>
      </c>
      <c r="D30761" s="15" t="s">
        <v>1914</v>
      </c>
      <c r="E30761" s="2">
        <v>3465731</v>
      </c>
      <c r="F30761" s="4" t="e">
        <f>IF(B30761=#REF!,"",B30761)</f>
        <v>#REF!</v>
      </c>
    </row>
    <row r="30762" spans="1:6" ht="15.75" customHeight="1">
      <c r="A30762" s="16" t="s">
        <v>4029</v>
      </c>
      <c r="B30762" s="15" t="s">
        <v>4030</v>
      </c>
      <c r="C30762" s="16" t="s">
        <v>3975</v>
      </c>
      <c r="D30762" s="16" t="s">
        <v>4031</v>
      </c>
      <c r="E30762" s="2">
        <v>5926511</v>
      </c>
      <c r="F30762" s="4" t="e">
        <f>IF(B30762=#REF!,"",B30762)</f>
        <v>#REF!</v>
      </c>
    </row>
    <row r="30763" spans="1:6" ht="15.75" customHeight="1">
      <c r="A30763" s="16" t="s">
        <v>20745</v>
      </c>
      <c r="B30763" s="15" t="s">
        <v>20745</v>
      </c>
      <c r="C30763" s="16" t="s">
        <v>20598</v>
      </c>
      <c r="D30763" s="16" t="s">
        <v>20608</v>
      </c>
      <c r="E30763" s="2">
        <v>1717008</v>
      </c>
      <c r="F30763" s="4" t="str">
        <f>IF(B30763=B30762,"",B30763)</f>
        <v>Concepcion Ibaba</v>
      </c>
    </row>
    <row r="30764" spans="1:6" ht="15.75" customHeight="1">
      <c r="A30764" s="16" t="str">
        <f ca="1">IFERROR(__xludf.DUMMYFUNCTION("GOOGLETRANSLATE(B23223,""en"",""pt"")"),"Concepción del Uruguai")</f>
        <v>Concepción del Uruguai</v>
      </c>
      <c r="B30764" s="20" t="s">
        <v>31174</v>
      </c>
      <c r="C30764" s="20" t="s">
        <v>558</v>
      </c>
      <c r="D30764" s="20" t="s">
        <v>611</v>
      </c>
      <c r="E30764" s="10">
        <v>3435264</v>
      </c>
      <c r="F30764" s="4" t="str">
        <f>IF(B30764=B30763,"",B30764)</f>
        <v>Concepción del Uruguay</v>
      </c>
    </row>
    <row r="30765" spans="1:6" ht="15.75" customHeight="1">
      <c r="A30765" s="16" t="str">
        <f ca="1">IFERROR(__xludf.DUMMYFUNCTION("GOOGLETRANSLATE(B28488,""en"",""pt"")"),"Concepción de la Vega")</f>
        <v>Concepción de la Vega</v>
      </c>
      <c r="B30765" s="20" t="s">
        <v>32180</v>
      </c>
      <c r="C30765" s="20" t="s">
        <v>6303</v>
      </c>
      <c r="D30765" s="20" t="s">
        <v>6318</v>
      </c>
      <c r="E30765" s="10">
        <v>3509382</v>
      </c>
      <c r="F30765" s="4" t="e">
        <f>IF(B30765=#REF!,"",B30765)</f>
        <v>#REF!</v>
      </c>
    </row>
    <row r="30766" spans="1:6" ht="15.75" customHeight="1">
      <c r="A30766" s="16" t="str">
        <f ca="1">IFERROR(__xludf.DUMMYFUNCTION("GOOGLETRANSLATE(B25958,""en"",""pt"")"),"Concepción")</f>
        <v>Concepción</v>
      </c>
      <c r="B30766" s="20" t="s">
        <v>31810</v>
      </c>
      <c r="C30766" s="20" t="s">
        <v>4355</v>
      </c>
      <c r="D30766" s="20" t="s">
        <v>31796</v>
      </c>
      <c r="E30766" s="10">
        <v>3893894</v>
      </c>
      <c r="F30766" s="4" t="e">
        <f>IF(B30766=#REF!,"",B30766)</f>
        <v>#REF!</v>
      </c>
    </row>
    <row r="30767" spans="1:6" ht="15.75" customHeight="1">
      <c r="A30767" s="16" t="s">
        <v>20744</v>
      </c>
      <c r="B30767" s="15" t="s">
        <v>20744</v>
      </c>
      <c r="C30767" s="16" t="s">
        <v>20598</v>
      </c>
      <c r="D30767" s="16" t="s">
        <v>20599</v>
      </c>
      <c r="E30767" s="2">
        <v>1716995</v>
      </c>
      <c r="F30767" s="4" t="str">
        <f>IF(B30767=B30766,"",B30767)</f>
        <v>Concepcion</v>
      </c>
    </row>
    <row r="30768" spans="1:6" ht="15.75" customHeight="1">
      <c r="A30768" s="16" t="s">
        <v>623</v>
      </c>
      <c r="B30768" s="15" t="s">
        <v>624</v>
      </c>
      <c r="C30768" s="16" t="s">
        <v>558</v>
      </c>
      <c r="D30768" s="16" t="s">
        <v>611</v>
      </c>
      <c r="E30768" s="2">
        <v>3435264</v>
      </c>
      <c r="F30768" s="4" t="str">
        <f>IF(B30768=B30767,"",B30768)</f>
        <v>ConcepciÃ³n del Uruguay</v>
      </c>
    </row>
    <row r="30769" spans="1:6" ht="15.75" customHeight="1">
      <c r="A30769" s="16" t="s">
        <v>6316</v>
      </c>
      <c r="B30769" s="15" t="s">
        <v>6317</v>
      </c>
      <c r="C30769" s="16" t="s">
        <v>6303</v>
      </c>
      <c r="D30769" s="16" t="s">
        <v>6318</v>
      </c>
      <c r="E30769" s="2">
        <v>3509382</v>
      </c>
      <c r="F30769" s="4" t="e">
        <f>IF(B30769=#REF!,"",B30769)</f>
        <v>#REF!</v>
      </c>
    </row>
    <row r="30770" spans="1:6" ht="15.75" customHeight="1">
      <c r="A30770" s="16" t="s">
        <v>4383</v>
      </c>
      <c r="B30770" s="15" t="s">
        <v>4384</v>
      </c>
      <c r="C30770" s="16" t="s">
        <v>4355</v>
      </c>
      <c r="D30770" s="16" t="s">
        <v>4361</v>
      </c>
      <c r="E30770" s="2">
        <v>3893894</v>
      </c>
      <c r="F30770" s="4" t="str">
        <f>IF(B30770=B30769,"",B30770)</f>
        <v>ConcepciÃ³n</v>
      </c>
    </row>
    <row r="30771" spans="1:6" ht="15.75" customHeight="1">
      <c r="A30771" s="16" t="str">
        <f ca="1">IFERROR(__xludf.DUMMYFUNCTION("GOOGLETRANSLATE(B25102,""en"",""pt"")"),"Conceito do Jacuípe")</f>
        <v>Conceito do Jacuípe</v>
      </c>
      <c r="B30771" s="20" t="s">
        <v>31676</v>
      </c>
      <c r="C30771" s="20" t="s">
        <v>1905</v>
      </c>
      <c r="D30771" s="20" t="s">
        <v>1947</v>
      </c>
      <c r="E30771" s="10">
        <v>3465758</v>
      </c>
      <c r="F30771" s="4" t="str">
        <f>IF(B30771=B30770,"",B30771)</f>
        <v>Conceição do Jacuípe</v>
      </c>
    </row>
    <row r="30772" spans="1:6" ht="15.75" customHeight="1">
      <c r="A30772" s="16" t="str">
        <f ca="1">IFERROR(__xludf.DUMMYFUNCTION("GOOGLETRANSLATE(B25101,""en"",""pt"")"),"Conceito do Coité")</f>
        <v>Conceito do Coité</v>
      </c>
      <c r="B30772" s="20" t="s">
        <v>31675</v>
      </c>
      <c r="C30772" s="20" t="s">
        <v>1905</v>
      </c>
      <c r="D30772" s="20" t="s">
        <v>1947</v>
      </c>
      <c r="E30772" s="10">
        <v>3465748</v>
      </c>
      <c r="F30772" s="4" t="str">
        <f>IF(B30772=B30771,"",B30772)</f>
        <v>Conceição do Coité</v>
      </c>
    </row>
    <row r="30773" spans="1:6" ht="15.75" customHeight="1">
      <c r="A30773" s="16" t="str">
        <f ca="1">IFERROR(__xludf.DUMMYFUNCTION("GOOGLETRANSLATE(B24344,""en"",""pt"")"),"Conceito do Aragaia")</f>
        <v>Conceito do Aragaia</v>
      </c>
      <c r="B30773" s="20" t="s">
        <v>31406</v>
      </c>
      <c r="C30773" s="20" t="s">
        <v>1905</v>
      </c>
      <c r="D30773" s="20" t="s">
        <v>31342</v>
      </c>
      <c r="E30773" s="10">
        <v>3401845</v>
      </c>
      <c r="F30773" s="4" t="str">
        <f>IF(B30773=B30772,"",B30773)</f>
        <v>Conceição do Araguaia</v>
      </c>
    </row>
    <row r="30774" spans="1:6" ht="15.75" customHeight="1">
      <c r="A30774" s="16" t="str">
        <f ca="1">IFERROR(__xludf.DUMMYFUNCTION("GOOGLETRANSLATE(B25103,""en"",""pt"")"),"Conceito Das Alagoas")</f>
        <v>Conceito Das Alagoas</v>
      </c>
      <c r="B30774" s="20" t="s">
        <v>31677</v>
      </c>
      <c r="C30774" s="20" t="s">
        <v>1905</v>
      </c>
      <c r="D30774" s="20" t="s">
        <v>1917</v>
      </c>
      <c r="E30774" s="10">
        <v>3465764</v>
      </c>
      <c r="F30774" s="4" t="str">
        <f>IF(B30774=B30773,"",B30774)</f>
        <v>Conceição das Alagoas</v>
      </c>
    </row>
    <row r="30775" spans="1:6" ht="15.75" customHeight="1">
      <c r="A30775" s="16" t="str">
        <f ca="1">IFERROR(__xludf.DUMMYFUNCTION("GOOGLETRANSLATE(B25104,""en"",""pt"")"),"Conceição da Feira")</f>
        <v>Conceição da Feira</v>
      </c>
      <c r="B30775" s="20" t="s">
        <v>31678</v>
      </c>
      <c r="C30775" s="20" t="s">
        <v>1905</v>
      </c>
      <c r="D30775" s="20" t="s">
        <v>1947</v>
      </c>
      <c r="E30775" s="10">
        <v>3465767</v>
      </c>
      <c r="F30775" s="4" t="str">
        <f>IF(B30775=B30774,"",B30775)</f>
        <v>Conceição da Feira</v>
      </c>
    </row>
    <row r="30776" spans="1:6" ht="15.75" customHeight="1">
      <c r="A30776" s="16" t="str">
        <f ca="1">IFERROR(__xludf.DUMMYFUNCTION("GOOGLETRANSLATE(B25105,""en"",""pt"")"),"Conceito da Barra")</f>
        <v>Conceito da Barra</v>
      </c>
      <c r="B30776" s="20" t="s">
        <v>31679</v>
      </c>
      <c r="C30776" s="20" t="s">
        <v>1905</v>
      </c>
      <c r="D30776" s="20" t="s">
        <v>31426</v>
      </c>
      <c r="E30776" s="10">
        <v>3465769</v>
      </c>
      <c r="F30776" s="4" t="str">
        <f>IF(B30776=B30775,"",B30776)</f>
        <v>Conceição da Barra</v>
      </c>
    </row>
    <row r="30777" spans="1:6" ht="15.75" customHeight="1">
      <c r="A30777" s="15" t="s">
        <v>2354</v>
      </c>
      <c r="B30777" s="15" t="s">
        <v>2355</v>
      </c>
      <c r="C30777" s="15" t="s">
        <v>1905</v>
      </c>
      <c r="D30777" s="15" t="s">
        <v>1947</v>
      </c>
      <c r="E30777" s="2">
        <v>3465758</v>
      </c>
      <c r="F30777" s="4" t="str">
        <f>IF(B30777=B30776,"",B30777)</f>
        <v>ConceiÃ§Ã£o do JacuÃ­pe</v>
      </c>
    </row>
    <row r="30778" spans="1:6" ht="15.75" customHeight="1">
      <c r="A30778" s="16" t="s">
        <v>2352</v>
      </c>
      <c r="B30778" s="15" t="s">
        <v>2353</v>
      </c>
      <c r="C30778" s="16" t="s">
        <v>1905</v>
      </c>
      <c r="D30778" s="16" t="s">
        <v>1947</v>
      </c>
      <c r="E30778" s="2">
        <v>3465748</v>
      </c>
      <c r="F30778" s="4" t="str">
        <f>IF(B30778=B30777,"",B30778)</f>
        <v>ConceiÃ§Ã£o do CoitÃ©</v>
      </c>
    </row>
    <row r="30779" spans="1:6" ht="15.75" customHeight="1">
      <c r="A30779" s="16" t="s">
        <v>2350</v>
      </c>
      <c r="B30779" s="15" t="s">
        <v>2351</v>
      </c>
      <c r="C30779" s="16" t="s">
        <v>1905</v>
      </c>
      <c r="D30779" s="16" t="s">
        <v>1906</v>
      </c>
      <c r="E30779" s="2">
        <v>3401845</v>
      </c>
      <c r="F30779" s="4" t="str">
        <f>IF(B30779=B30778,"",B30779)</f>
        <v>ConceiÃ§Ã£o do Araguaia</v>
      </c>
    </row>
    <row r="30780" spans="1:6" ht="15.75" customHeight="1">
      <c r="A30780" s="16" t="s">
        <v>2348</v>
      </c>
      <c r="B30780" s="15" t="s">
        <v>2349</v>
      </c>
      <c r="C30780" s="16" t="s">
        <v>1905</v>
      </c>
      <c r="D30780" s="16" t="s">
        <v>1917</v>
      </c>
      <c r="E30780" s="2">
        <v>3465764</v>
      </c>
      <c r="F30780" s="4" t="str">
        <f>IF(B30780=B30779,"",B30780)</f>
        <v>ConceiÃ§Ã£o das Alagoas</v>
      </c>
    </row>
    <row r="30781" spans="1:6" ht="15.75" customHeight="1">
      <c r="A30781" s="15" t="s">
        <v>2346</v>
      </c>
      <c r="B30781" s="15" t="s">
        <v>2347</v>
      </c>
      <c r="C30781" s="15" t="s">
        <v>1905</v>
      </c>
      <c r="D30781" s="15" t="s">
        <v>1947</v>
      </c>
      <c r="E30781" s="2">
        <v>3465767</v>
      </c>
      <c r="F30781" s="4" t="str">
        <f>IF(B30781=B30780,"",B30781)</f>
        <v>ConceiÃ§Ã£o da Feira</v>
      </c>
    </row>
    <row r="30782" spans="1:6" ht="15.75" customHeight="1">
      <c r="A30782" s="16" t="s">
        <v>2344</v>
      </c>
      <c r="B30782" s="15" t="s">
        <v>2345</v>
      </c>
      <c r="C30782" s="16" t="s">
        <v>1905</v>
      </c>
      <c r="D30782" s="16" t="s">
        <v>1949</v>
      </c>
      <c r="E30782" s="2">
        <v>3465769</v>
      </c>
      <c r="F30782" s="4" t="e">
        <f>IF(B30782=#REF!,"",B30782)</f>
        <v>#REF!</v>
      </c>
    </row>
    <row r="30783" spans="1:6" ht="15.75" customHeight="1">
      <c r="A30783" s="16" t="s">
        <v>7287</v>
      </c>
      <c r="B30783" s="15" t="s">
        <v>7287</v>
      </c>
      <c r="C30783" s="16" t="s">
        <v>7052</v>
      </c>
      <c r="D30783" s="16" t="s">
        <v>7190</v>
      </c>
      <c r="E30783" s="2">
        <v>3024035</v>
      </c>
      <c r="F30783" s="4" t="str">
        <f>IF(B30783=B30782,"",B30783)</f>
        <v>Concarneau</v>
      </c>
    </row>
    <row r="30784" spans="1:6" ht="15.75" customHeight="1">
      <c r="A30784" s="15" t="s">
        <v>2342</v>
      </c>
      <c r="B30784" s="15" t="s">
        <v>2343</v>
      </c>
      <c r="C30784" s="15" t="s">
        <v>1905</v>
      </c>
      <c r="D30784" s="15" t="s">
        <v>2020</v>
      </c>
      <c r="E30784" s="2">
        <v>3465721</v>
      </c>
      <c r="F30784" s="4" t="e">
        <f>IF(B30784=#REF!,"",B30784)</f>
        <v>#REF!</v>
      </c>
    </row>
    <row r="30785" spans="1:6" ht="15.75" customHeight="1">
      <c r="A30785" s="15" t="s">
        <v>9829</v>
      </c>
      <c r="B30785" s="15" t="s">
        <v>9829</v>
      </c>
      <c r="C30785" s="15" t="s">
        <v>9826</v>
      </c>
      <c r="D30785" s="15" t="s">
        <v>9829</v>
      </c>
      <c r="E30785" s="2">
        <v>2422465</v>
      </c>
      <c r="F30785" s="4" t="e">
        <f>IF(B30785=#REF!,"",B30785)</f>
        <v>#REF!</v>
      </c>
    </row>
    <row r="30786" spans="1:6" ht="15.75" customHeight="1">
      <c r="A30786" s="15" t="s">
        <v>18467</v>
      </c>
      <c r="B30786" s="15" t="s">
        <v>18467</v>
      </c>
      <c r="C30786" s="15" t="s">
        <v>18455</v>
      </c>
      <c r="D30786" s="15" t="s">
        <v>18464</v>
      </c>
      <c r="E30786" s="2">
        <v>618405</v>
      </c>
      <c r="F30786" s="4" t="e">
        <f>IF(B30786=#REF!,"",B30786)</f>
        <v>#REF!</v>
      </c>
    </row>
    <row r="30787" spans="1:6" ht="15.75" customHeight="1">
      <c r="A30787" s="15" t="s">
        <v>28311</v>
      </c>
      <c r="B30787" s="15" t="s">
        <v>28311</v>
      </c>
      <c r="C30787" s="15" t="s">
        <v>27788</v>
      </c>
      <c r="D30787" s="15" t="s">
        <v>27801</v>
      </c>
      <c r="E30787" s="2">
        <v>5339066</v>
      </c>
      <c r="F30787" s="4" t="e">
        <f>IF(B30787=#REF!,"",B30787)</f>
        <v>#REF!</v>
      </c>
    </row>
    <row r="30788" spans="1:6" ht="15.75" customHeight="1">
      <c r="A30788" s="16" t="s">
        <v>17891</v>
      </c>
      <c r="B30788" s="15" t="s">
        <v>17891</v>
      </c>
      <c r="C30788" s="16" t="s">
        <v>17707</v>
      </c>
      <c r="D30788" s="16" t="s">
        <v>17720</v>
      </c>
      <c r="E30788" s="2">
        <v>4013085</v>
      </c>
      <c r="F30788" s="4" t="str">
        <f>IF(B30788=B30787,"",B30788)</f>
        <v>Compostela</v>
      </c>
    </row>
    <row r="30789" spans="1:6" ht="15.75" customHeight="1">
      <c r="A30789" s="16" t="str">
        <f ca="1">IFERROR(__xludf.DUMMYFUNCTION("GOOGLETRANSLATE(B30133,""en"",""pt"")"),"Compiègne")</f>
        <v>Compiègne</v>
      </c>
      <c r="B30789" s="20" t="s">
        <v>32620</v>
      </c>
      <c r="C30789" s="20" t="s">
        <v>7052</v>
      </c>
      <c r="D30789" s="20" t="s">
        <v>7078</v>
      </c>
      <c r="E30789" s="10">
        <v>3024066</v>
      </c>
      <c r="F30789" s="4" t="str">
        <f>IF(B30789=B30788,"",B30789)</f>
        <v>Compiègne</v>
      </c>
    </row>
    <row r="30790" spans="1:6" ht="15.75" customHeight="1">
      <c r="A30790" s="16" t="s">
        <v>7285</v>
      </c>
      <c r="B30790" s="15" t="s">
        <v>7286</v>
      </c>
      <c r="C30790" s="16" t="s">
        <v>7052</v>
      </c>
      <c r="D30790" s="16" t="s">
        <v>7078</v>
      </c>
      <c r="E30790" s="2">
        <v>3024066</v>
      </c>
      <c r="F30790" s="4" t="e">
        <f>IF(B30790=#REF!,"",B30790)</f>
        <v>#REF!</v>
      </c>
    </row>
    <row r="30791" spans="1:6" ht="15.75" customHeight="1">
      <c r="A30791" s="16" t="s">
        <v>17890</v>
      </c>
      <c r="B30791" s="15" t="s">
        <v>17890</v>
      </c>
      <c r="C30791" s="16" t="s">
        <v>17707</v>
      </c>
      <c r="D30791" s="16" t="s">
        <v>17713</v>
      </c>
      <c r="E30791" s="2">
        <v>4013094</v>
      </c>
      <c r="F30791" s="4" t="e">
        <f>IF(B30791=#REF!,"",B30791)</f>
        <v>#REF!</v>
      </c>
    </row>
    <row r="30792" spans="1:6" ht="15.75" customHeight="1">
      <c r="A30792" s="16" t="s">
        <v>621</v>
      </c>
      <c r="B30792" s="15" t="s">
        <v>621</v>
      </c>
      <c r="C30792" s="16" t="s">
        <v>558</v>
      </c>
      <c r="D30792" s="16" t="s">
        <v>622</v>
      </c>
      <c r="E30792" s="2">
        <v>3860443</v>
      </c>
      <c r="F30792" s="4" t="e">
        <f>IF(B30792=#REF!,"",B30792)</f>
        <v>#REF!</v>
      </c>
    </row>
    <row r="30793" spans="1:6" ht="15.75" customHeight="1">
      <c r="A30793" s="15" t="s">
        <v>15098</v>
      </c>
      <c r="B30793" s="15" t="s">
        <v>15098</v>
      </c>
      <c r="C30793" s="15" t="s">
        <v>14891</v>
      </c>
      <c r="D30793" s="15" t="s">
        <v>14894</v>
      </c>
      <c r="E30793" s="2">
        <v>3178229</v>
      </c>
      <c r="F30793" s="4" t="e">
        <f>IF(B30793=#REF!,"",B30793)</f>
        <v>#REF!</v>
      </c>
    </row>
    <row r="30794" spans="1:6" ht="15.75" customHeight="1">
      <c r="A30794" s="16" t="s">
        <v>28309</v>
      </c>
      <c r="B30794" s="15" t="s">
        <v>28310</v>
      </c>
      <c r="C30794" s="16" t="s">
        <v>27788</v>
      </c>
      <c r="D30794" s="16" t="s">
        <v>2341</v>
      </c>
      <c r="E30794" s="2">
        <v>5417737</v>
      </c>
      <c r="F30794" s="4" t="e">
        <f>IF(B30794=#REF!,"",B30794)</f>
        <v>#REF!</v>
      </c>
    </row>
    <row r="30795" spans="1:6" ht="15.75" customHeight="1">
      <c r="A30795" s="16" t="s">
        <v>28308</v>
      </c>
      <c r="B30795" s="15" t="s">
        <v>28308</v>
      </c>
      <c r="C30795" s="16" t="s">
        <v>27788</v>
      </c>
      <c r="D30795" s="16" t="s">
        <v>27819</v>
      </c>
      <c r="E30795" s="2">
        <v>5113412</v>
      </c>
      <c r="F30795" s="4" t="e">
        <f>IF(B30795=#REF!,"",B30795)</f>
        <v>#REF!</v>
      </c>
    </row>
    <row r="30796" spans="1:6" ht="15.75" customHeight="1">
      <c r="A30796" s="16" t="s">
        <v>9729</v>
      </c>
      <c r="B30796" s="15" t="s">
        <v>9729</v>
      </c>
      <c r="C30796" s="16" t="s">
        <v>9700</v>
      </c>
      <c r="D30796" s="16" t="s">
        <v>5602</v>
      </c>
      <c r="E30796" s="2">
        <v>3598025</v>
      </c>
      <c r="F30796" s="4" t="str">
        <f>IF(B30796=B30795,"",B30796)</f>
        <v>Comitancillo</v>
      </c>
    </row>
    <row r="30797" spans="1:6" ht="15.75" customHeight="1">
      <c r="A30797" s="16" t="str">
        <f ca="1">IFERROR(__xludf.DUMMYFUNCTION("GOOGLETRANSLATE(B37046,""en"",""pt"")"),"Comitán")</f>
        <v>Comitán</v>
      </c>
      <c r="B30797" s="20" t="s">
        <v>34707</v>
      </c>
      <c r="C30797" s="20" t="s">
        <v>17707</v>
      </c>
      <c r="D30797" s="20" t="s">
        <v>17770</v>
      </c>
      <c r="E30797" s="10">
        <v>3530367</v>
      </c>
      <c r="F30797" s="4" t="str">
        <f>IF(B30797=B30796,"",B30797)</f>
        <v>Comitán</v>
      </c>
    </row>
    <row r="30798" spans="1:6" ht="15.75" customHeight="1">
      <c r="A30798" s="15" t="s">
        <v>17888</v>
      </c>
      <c r="B30798" s="15" t="s">
        <v>17889</v>
      </c>
      <c r="C30798" s="15" t="s">
        <v>17707</v>
      </c>
      <c r="D30798" s="15" t="s">
        <v>17770</v>
      </c>
      <c r="E30798" s="2">
        <v>3530367</v>
      </c>
      <c r="F30798" s="4" t="e">
        <f>IF(B30798=#REF!,"",B30798)</f>
        <v>#REF!</v>
      </c>
    </row>
    <row r="30799" spans="1:6" ht="15.75" customHeight="1">
      <c r="A30799" s="15" t="s">
        <v>15096</v>
      </c>
      <c r="B30799" s="15" t="s">
        <v>15097</v>
      </c>
      <c r="C30799" s="15" t="s">
        <v>14891</v>
      </c>
      <c r="D30799" s="15" t="s">
        <v>14899</v>
      </c>
      <c r="E30799" s="2">
        <v>2524955</v>
      </c>
      <c r="F30799" s="4" t="e">
        <f>IF(B30799=#REF!,"",B30799)</f>
        <v>#REF!</v>
      </c>
    </row>
    <row r="30800" spans="1:6" ht="15.75" customHeight="1">
      <c r="A30800" s="15" t="s">
        <v>1332</v>
      </c>
      <c r="B30800" s="15" t="s">
        <v>1332</v>
      </c>
      <c r="C30800" s="15" t="s">
        <v>1296</v>
      </c>
      <c r="D30800" s="15" t="s">
        <v>1302</v>
      </c>
      <c r="E30800" s="2">
        <v>1185186</v>
      </c>
      <c r="F30800" s="4" t="str">
        <f>IF(B30800=B30799,"",B30800)</f>
        <v>Comilla</v>
      </c>
    </row>
    <row r="30801" spans="1:6" ht="15.75" customHeight="1">
      <c r="A30801" s="16" t="str">
        <f ca="1">IFERROR(__xludf.DUMMYFUNCTION("GOOGLETRANSLATE(B24100,""en"",""pt"")"),"Vir")</f>
        <v>Vir</v>
      </c>
      <c r="B30801" s="20" t="s">
        <v>1757</v>
      </c>
      <c r="C30801" s="20" t="s">
        <v>1741</v>
      </c>
      <c r="D30801" s="20" t="s">
        <v>1759</v>
      </c>
      <c r="E30801" s="10">
        <v>2394824</v>
      </c>
      <c r="F30801" s="4" t="e">
        <f>IF(B30801=#REF!,"",B30801)</f>
        <v>#REF!</v>
      </c>
    </row>
    <row r="30802" spans="1:6" ht="15.75" customHeight="1">
      <c r="A30802" s="16" t="s">
        <v>7283</v>
      </c>
      <c r="B30802" s="15" t="s">
        <v>7284</v>
      </c>
      <c r="C30802" s="16" t="s">
        <v>7052</v>
      </c>
      <c r="D30802" s="16" t="s">
        <v>7058</v>
      </c>
      <c r="E30802" s="2">
        <v>3024107</v>
      </c>
      <c r="F30802" s="4" t="e">
        <f>IF(B30802=#REF!,"",B30802)</f>
        <v>#REF!</v>
      </c>
    </row>
    <row r="30803" spans="1:6" ht="15.75" customHeight="1">
      <c r="A30803" s="16" t="s">
        <v>9913</v>
      </c>
      <c r="B30803" s="15" t="s">
        <v>9913</v>
      </c>
      <c r="C30803" s="16" t="s">
        <v>9907</v>
      </c>
      <c r="D30803" s="16" t="s">
        <v>9913</v>
      </c>
      <c r="E30803" s="2">
        <v>3613321</v>
      </c>
      <c r="F30803" s="4" t="str">
        <f>IF(B30803=B30802,"",B30803)</f>
        <v>Comayagua</v>
      </c>
    </row>
    <row r="30804" spans="1:6" ht="15.75" customHeight="1">
      <c r="A30804" s="16" t="str">
        <f ca="1">IFERROR(__xludf.DUMMYFUNCTION("GOOGLETRANSLATE(B39809,""en"",""pt"")"),"Comăneşti")</f>
        <v>Comăneşti</v>
      </c>
      <c r="B30804" s="20" t="s">
        <v>35392</v>
      </c>
      <c r="C30804" s="20" t="s">
        <v>21824</v>
      </c>
      <c r="D30804" s="20" t="s">
        <v>35376</v>
      </c>
      <c r="E30804" s="10">
        <v>681017</v>
      </c>
      <c r="F30804" s="4" t="e">
        <f>IF(B30804=#REF!,"",B30804)</f>
        <v>#REF!</v>
      </c>
    </row>
    <row r="30805" spans="1:6" ht="15.75" customHeight="1">
      <c r="A30805" s="16" t="s">
        <v>17887</v>
      </c>
      <c r="B30805" s="15" t="s">
        <v>17887</v>
      </c>
      <c r="C30805" s="16" t="s">
        <v>17707</v>
      </c>
      <c r="D30805" s="16" t="s">
        <v>17788</v>
      </c>
      <c r="E30805" s="2">
        <v>3530385</v>
      </c>
      <c r="F30805" s="4" t="e">
        <f>IF(B30805=#REF!,"",B30805)</f>
        <v>#REF!</v>
      </c>
    </row>
    <row r="30806" spans="1:6" ht="15.75" customHeight="1">
      <c r="A30806" s="16" t="s">
        <v>9727</v>
      </c>
      <c r="B30806" s="15" t="s">
        <v>9728</v>
      </c>
      <c r="C30806" s="16" t="s">
        <v>9700</v>
      </c>
      <c r="D30806" s="16" t="s">
        <v>9717</v>
      </c>
      <c r="E30806" s="2">
        <v>3598034</v>
      </c>
      <c r="F30806" s="4" t="e">
        <f>IF(B30806=#REF!,"",B30806)</f>
        <v>#REF!</v>
      </c>
    </row>
    <row r="30807" spans="1:6" ht="15.75" customHeight="1">
      <c r="A30807" s="15" t="s">
        <v>13898</v>
      </c>
      <c r="B30807" s="15" t="s">
        <v>13898</v>
      </c>
      <c r="C30807" s="15" t="s">
        <v>13800</v>
      </c>
      <c r="D30807" s="15" t="s">
        <v>13803</v>
      </c>
      <c r="E30807" s="2">
        <v>1645976</v>
      </c>
      <c r="F30807" s="4" t="str">
        <f>IF(B30807=B30806,"",B30807)</f>
        <v>Comal</v>
      </c>
    </row>
    <row r="30808" spans="1:6" ht="15.75" customHeight="1">
      <c r="A30808" s="16" t="s">
        <v>21899</v>
      </c>
      <c r="B30808" s="15" t="s">
        <v>21900</v>
      </c>
      <c r="C30808" s="16" t="s">
        <v>21824</v>
      </c>
      <c r="D30808" s="16" t="s">
        <v>21837</v>
      </c>
      <c r="E30808" s="2">
        <v>681017</v>
      </c>
      <c r="F30808" s="4" t="str">
        <f>IF(B30808=B30807,"",B30808)</f>
        <v>ComÄƒneÅŸti</v>
      </c>
    </row>
    <row r="30809" spans="1:6" ht="15.75" customHeight="1">
      <c r="A30809" s="15" t="s">
        <v>1757</v>
      </c>
      <c r="B30809" s="15" t="s">
        <v>1758</v>
      </c>
      <c r="C30809" s="15" t="s">
        <v>1741</v>
      </c>
      <c r="D30809" s="15" t="s">
        <v>1759</v>
      </c>
      <c r="E30809" s="2">
        <v>2394824</v>
      </c>
      <c r="F30809" s="4" t="e">
        <f>IF(B30809=#REF!,"",B30809)</f>
        <v>#REF!</v>
      </c>
    </row>
    <row r="30810" spans="1:6" ht="15.75" customHeight="1">
      <c r="A30810" s="16" t="s">
        <v>28307</v>
      </c>
      <c r="B30810" s="15" t="s">
        <v>28307</v>
      </c>
      <c r="C30810" s="16" t="s">
        <v>27788</v>
      </c>
      <c r="D30810" s="16" t="s">
        <v>7988</v>
      </c>
      <c r="E30810" s="2">
        <v>4188985</v>
      </c>
      <c r="F30810" s="4" t="e">
        <f>IF(B30810=#REF!,"",B30810)</f>
        <v>#REF!</v>
      </c>
    </row>
    <row r="30811" spans="1:6" ht="15.75" customHeight="1">
      <c r="A30811" s="16" t="s">
        <v>28306</v>
      </c>
      <c r="B30811" s="15" t="s">
        <v>28306</v>
      </c>
      <c r="C30811" s="16" t="s">
        <v>27788</v>
      </c>
      <c r="D30811" s="16" t="s">
        <v>2341</v>
      </c>
      <c r="E30811" s="2">
        <v>5417657</v>
      </c>
      <c r="F30811" s="4" t="e">
        <f>IF(B30811=#REF!,"",B30811)</f>
        <v>#REF!</v>
      </c>
    </row>
    <row r="30812" spans="1:6" ht="15.75" customHeight="1">
      <c r="A30812" s="16" t="s">
        <v>28305</v>
      </c>
      <c r="B30812" s="15" t="s">
        <v>28305</v>
      </c>
      <c r="C30812" s="16" t="s">
        <v>27788</v>
      </c>
      <c r="D30812" s="16" t="s">
        <v>27824</v>
      </c>
      <c r="E30812" s="2">
        <v>5021828</v>
      </c>
      <c r="F30812" s="4" t="e">
        <f>IF(B30812=#REF!,"",B30812)</f>
        <v>#REF!</v>
      </c>
    </row>
    <row r="30813" spans="1:6" ht="15.75" customHeight="1">
      <c r="A30813" s="15" t="s">
        <v>28304</v>
      </c>
      <c r="B30813" s="15" t="s">
        <v>28304</v>
      </c>
      <c r="C30813" s="15" t="s">
        <v>27788</v>
      </c>
      <c r="D30813" s="15" t="s">
        <v>17061</v>
      </c>
      <c r="E30813" s="2">
        <v>4352053</v>
      </c>
      <c r="F30813" s="4" t="e">
        <f>IF(B30813=#REF!,"",B30813)</f>
        <v>#REF!</v>
      </c>
    </row>
    <row r="30814" spans="1:6" ht="15.75" customHeight="1">
      <c r="A30814" s="15" t="s">
        <v>28303</v>
      </c>
      <c r="B30814" s="15" t="s">
        <v>28303</v>
      </c>
      <c r="C30814" s="15" t="s">
        <v>27788</v>
      </c>
      <c r="D30814" s="15" t="s">
        <v>27801</v>
      </c>
      <c r="E30814" s="2">
        <v>5338783</v>
      </c>
      <c r="F30814" s="4" t="e">
        <f>IF(B30814=#REF!,"",B30814)</f>
        <v>#REF!</v>
      </c>
    </row>
    <row r="30815" spans="1:6" ht="15.75" customHeight="1">
      <c r="A30815" s="16" t="s">
        <v>28302</v>
      </c>
      <c r="B30815" s="15" t="s">
        <v>28302</v>
      </c>
      <c r="C30815" s="16" t="s">
        <v>27788</v>
      </c>
      <c r="D30815" s="16" t="s">
        <v>2341</v>
      </c>
      <c r="E30815" s="2">
        <v>5417598</v>
      </c>
      <c r="F30815" s="4" t="e">
        <f>IF(B30815=#REF!,"",B30815)</f>
        <v>#REF!</v>
      </c>
    </row>
    <row r="30816" spans="1:6" ht="15.75" customHeight="1">
      <c r="A30816" s="15" t="s">
        <v>2341</v>
      </c>
      <c r="B30816" s="15" t="s">
        <v>2341</v>
      </c>
      <c r="C30816" s="15" t="s">
        <v>1905</v>
      </c>
      <c r="D30816" s="15" t="s">
        <v>728</v>
      </c>
      <c r="E30816" s="2">
        <v>3465881</v>
      </c>
      <c r="F30816" s="4" t="e">
        <f>IF(B30816=#REF!,"",B30816)</f>
        <v>#REF!</v>
      </c>
    </row>
    <row r="30817" spans="1:6" ht="15.75" customHeight="1">
      <c r="A30817" s="16" t="s">
        <v>17886</v>
      </c>
      <c r="B30817" s="15" t="s">
        <v>17886</v>
      </c>
      <c r="C30817" s="16" t="s">
        <v>17707</v>
      </c>
      <c r="D30817" s="16" t="s">
        <v>17736</v>
      </c>
      <c r="E30817" s="2">
        <v>8858090</v>
      </c>
      <c r="F30817" s="4" t="e">
        <f>IF(B30817=#REF!,"",B30817)</f>
        <v>#REF!</v>
      </c>
    </row>
    <row r="30818" spans="1:6" ht="15.75" customHeight="1">
      <c r="A30818" s="16" t="s">
        <v>17885</v>
      </c>
      <c r="B30818" s="15" t="s">
        <v>17885</v>
      </c>
      <c r="C30818" s="16" t="s">
        <v>17707</v>
      </c>
      <c r="D30818" s="16" t="s">
        <v>17711</v>
      </c>
      <c r="E30818" s="2">
        <v>7280718</v>
      </c>
      <c r="F30818" s="4" t="e">
        <f>IF(B30818=#REF!,"",B30818)</f>
        <v>#REF!</v>
      </c>
    </row>
    <row r="30819" spans="1:6" ht="15.75" customHeight="1">
      <c r="A30819" s="16" t="s">
        <v>20445</v>
      </c>
      <c r="B30819" s="15" t="s">
        <v>20445</v>
      </c>
      <c r="C30819" s="16" t="s">
        <v>20433</v>
      </c>
      <c r="D30819" s="16" t="s">
        <v>1886</v>
      </c>
      <c r="E30819" s="2">
        <v>3438995</v>
      </c>
      <c r="F30819" s="4" t="e">
        <f>IF(B30819=#REF!,"",B30819)</f>
        <v>#REF!</v>
      </c>
    </row>
    <row r="30820" spans="1:6" ht="15.75" customHeight="1">
      <c r="A30820" s="16" t="s">
        <v>17884</v>
      </c>
      <c r="B30820" s="15" t="s">
        <v>17884</v>
      </c>
      <c r="C30820" s="16" t="s">
        <v>17707</v>
      </c>
      <c r="D30820" s="16" t="s">
        <v>17736</v>
      </c>
      <c r="E30820" s="2">
        <v>7280711</v>
      </c>
      <c r="F30820" s="4" t="e">
        <f>IF(B30820=#REF!,"",B30820)</f>
        <v>#REF!</v>
      </c>
    </row>
    <row r="30821" spans="1:6" ht="15.75" customHeight="1">
      <c r="A30821" s="16" t="s">
        <v>17883</v>
      </c>
      <c r="B30821" s="15" t="s">
        <v>17883</v>
      </c>
      <c r="C30821" s="16" t="s">
        <v>17707</v>
      </c>
      <c r="D30821" s="16" t="s">
        <v>17711</v>
      </c>
      <c r="E30821" s="2">
        <v>7280708</v>
      </c>
      <c r="F30821" s="4" t="e">
        <f>IF(B30821=#REF!,"",B30821)</f>
        <v>#REF!</v>
      </c>
    </row>
    <row r="30822" spans="1:6" ht="15.75" customHeight="1">
      <c r="A30822" s="16" t="s">
        <v>30475</v>
      </c>
      <c r="B30822" s="15" t="s">
        <v>30475</v>
      </c>
      <c r="C30822" s="16" t="s">
        <v>30472</v>
      </c>
      <c r="D30822" s="16" t="s">
        <v>28301</v>
      </c>
      <c r="E30822" s="2">
        <v>3443013</v>
      </c>
      <c r="F30822" s="4" t="e">
        <f>IF(B30822=#REF!,"",B30822)</f>
        <v>#REF!</v>
      </c>
    </row>
    <row r="30823" spans="1:6" ht="15.75" customHeight="1">
      <c r="A30823" s="15" t="s">
        <v>28301</v>
      </c>
      <c r="B30823" s="15" t="s">
        <v>28301</v>
      </c>
      <c r="C30823" s="15" t="s">
        <v>27788</v>
      </c>
      <c r="D30823" s="15" t="s">
        <v>27905</v>
      </c>
      <c r="E30823" s="2">
        <v>5096798</v>
      </c>
      <c r="F30823" s="4" t="e">
        <f>IF(B30823=#REF!,"",B30823)</f>
        <v>#REF!</v>
      </c>
    </row>
    <row r="30824" spans="1:6" ht="15.75" customHeight="1">
      <c r="A30824" s="16" t="s">
        <v>11008</v>
      </c>
      <c r="B30824" s="15" t="s">
        <v>11009</v>
      </c>
      <c r="C30824" s="16" t="s">
        <v>10178</v>
      </c>
      <c r="D30824" s="16" t="s">
        <v>10193</v>
      </c>
      <c r="E30824" s="2">
        <v>1273850</v>
      </c>
      <c r="F30824" s="4" t="e">
        <f>IF(B30824=#REF!,"",B30824)</f>
        <v>#REF!</v>
      </c>
    </row>
    <row r="30825" spans="1:6" ht="15.75" customHeight="1">
      <c r="A30825" s="16" t="str">
        <f ca="1">IFERROR(__xludf.DUMMYFUNCTION("GOOGLETRANSLATE(B27189,""en"",""pt"")"),"Cólon")</f>
        <v>Cólon</v>
      </c>
      <c r="B30825" s="20" t="s">
        <v>31924</v>
      </c>
      <c r="C30825" s="20" t="s">
        <v>5764</v>
      </c>
      <c r="D30825" s="20" t="s">
        <v>5796</v>
      </c>
      <c r="E30825" s="10">
        <v>3563843</v>
      </c>
      <c r="F30825" s="4" t="e">
        <f>IF(B30825=#REF!,"",B30825)</f>
        <v>#REF!</v>
      </c>
    </row>
    <row r="30826" spans="1:6" ht="15.75" customHeight="1">
      <c r="A30826" s="16" t="s">
        <v>7282</v>
      </c>
      <c r="B30826" s="15" t="s">
        <v>7282</v>
      </c>
      <c r="C30826" s="16" t="s">
        <v>7052</v>
      </c>
      <c r="D30826" s="16" t="s">
        <v>7082</v>
      </c>
      <c r="E30826" s="2">
        <v>3024223</v>
      </c>
      <c r="F30826" s="4" t="e">
        <f>IF(B30826=#REF!,"",B30826)</f>
        <v>#REF!</v>
      </c>
    </row>
    <row r="30827" spans="1:6" ht="15.75" customHeight="1">
      <c r="A30827" s="15" t="s">
        <v>2340</v>
      </c>
      <c r="B30827" s="15" t="s">
        <v>2340</v>
      </c>
      <c r="C30827" s="15" t="s">
        <v>1905</v>
      </c>
      <c r="D30827" s="15" t="s">
        <v>728</v>
      </c>
      <c r="E30827" s="2">
        <v>3465927</v>
      </c>
      <c r="F30827" s="4" t="e">
        <f>IF(B30827=#REF!,"",B30827)</f>
        <v>#REF!</v>
      </c>
    </row>
    <row r="30828" spans="1:6" ht="15.75" customHeight="1">
      <c r="A30828" s="15" t="s">
        <v>5821</v>
      </c>
      <c r="B30828" s="15" t="s">
        <v>5348</v>
      </c>
      <c r="C30828" s="15" t="s">
        <v>5764</v>
      </c>
      <c r="D30828" s="15" t="s">
        <v>5773</v>
      </c>
      <c r="E30828" s="2">
        <v>3563856</v>
      </c>
      <c r="F30828" s="4" t="e">
        <f>IF(B30828=#REF!,"",B30828)</f>
        <v>#REF!</v>
      </c>
    </row>
    <row r="30829" spans="1:6" ht="15.75" customHeight="1">
      <c r="A30829" s="16" t="s">
        <v>7280</v>
      </c>
      <c r="B30829" s="15" t="s">
        <v>7281</v>
      </c>
      <c r="C30829" s="16" t="s">
        <v>7052</v>
      </c>
      <c r="D30829" s="16" t="s">
        <v>7058</v>
      </c>
      <c r="E30829" s="2">
        <v>3024266</v>
      </c>
      <c r="F30829" s="4" t="e">
        <f>IF(B30829=#REF!,"",B30829)</f>
        <v>#REF!</v>
      </c>
    </row>
    <row r="30830" spans="1:6" ht="15.75" customHeight="1">
      <c r="A30830" s="15" t="s">
        <v>9726</v>
      </c>
      <c r="B30830" s="15" t="s">
        <v>9726</v>
      </c>
      <c r="C30830" s="15" t="s">
        <v>9700</v>
      </c>
      <c r="D30830" s="15" t="s">
        <v>9712</v>
      </c>
      <c r="E30830" s="2">
        <v>3598073</v>
      </c>
      <c r="F30830" s="4" t="e">
        <f>IF(B30830=#REF!,"",B30830)</f>
        <v>#REF!</v>
      </c>
    </row>
    <row r="30831" spans="1:6" ht="15.75" customHeight="1">
      <c r="A30831" s="16" t="s">
        <v>13897</v>
      </c>
      <c r="B30831" s="15" t="s">
        <v>13897</v>
      </c>
      <c r="C30831" s="16" t="s">
        <v>13800</v>
      </c>
      <c r="D30831" s="16" t="s">
        <v>13803</v>
      </c>
      <c r="E30831" s="2">
        <v>1645978</v>
      </c>
      <c r="F30831" s="4" t="e">
        <f>IF(B30831=#REF!,"",B30831)</f>
        <v>#REF!</v>
      </c>
    </row>
    <row r="30832" spans="1:6" ht="15.75" customHeight="1">
      <c r="A30832" s="16" t="s">
        <v>15095</v>
      </c>
      <c r="B30832" s="15" t="s">
        <v>15095</v>
      </c>
      <c r="C30832" s="16" t="s">
        <v>14891</v>
      </c>
      <c r="D30832" s="16" t="s">
        <v>14894</v>
      </c>
      <c r="E30832" s="2">
        <v>3178283</v>
      </c>
      <c r="F30832" s="4" t="e">
        <f>IF(B30832=#REF!,"",B30832)</f>
        <v>#REF!</v>
      </c>
    </row>
    <row r="30833" spans="1:6" ht="15.75" customHeight="1">
      <c r="A30833" s="16" t="s">
        <v>24418</v>
      </c>
      <c r="B30833" s="15" t="s">
        <v>24418</v>
      </c>
      <c r="C30833" s="16" t="s">
        <v>24200</v>
      </c>
      <c r="D30833" s="16" t="s">
        <v>5513</v>
      </c>
      <c r="E30833" s="2">
        <v>3124765</v>
      </c>
      <c r="F30833" s="4" t="e">
        <f>IF(B30833=#REF!,"",B30833)</f>
        <v>#REF!</v>
      </c>
    </row>
    <row r="30834" spans="1:6" ht="15.75" customHeight="1">
      <c r="A30834" s="15" t="s">
        <v>7279</v>
      </c>
      <c r="B30834" s="15" t="s">
        <v>7279</v>
      </c>
      <c r="C30834" s="15" t="s">
        <v>7052</v>
      </c>
      <c r="D30834" s="15" t="s">
        <v>7061</v>
      </c>
      <c r="E30834" s="2">
        <v>3024297</v>
      </c>
      <c r="F30834" s="4" t="e">
        <f>IF(B30834=#REF!,"",B30834)</f>
        <v>#REF!</v>
      </c>
    </row>
    <row r="30835" spans="1:6" ht="15.75" customHeight="1">
      <c r="A30835" s="15" t="s">
        <v>4382</v>
      </c>
      <c r="B30835" s="15" t="s">
        <v>4382</v>
      </c>
      <c r="C30835" s="15" t="s">
        <v>4355</v>
      </c>
      <c r="D30835" s="15" t="s">
        <v>4358</v>
      </c>
      <c r="E30835" s="2">
        <v>3894177</v>
      </c>
      <c r="F30835" s="4" t="e">
        <f>IF(B30835=#REF!,"",B30835)</f>
        <v>#REF!</v>
      </c>
    </row>
    <row r="30836" spans="1:6" ht="15.75" customHeight="1">
      <c r="A30836" s="16" t="s">
        <v>28300</v>
      </c>
      <c r="B30836" s="15" t="s">
        <v>28300</v>
      </c>
      <c r="C30836" s="16" t="s">
        <v>27788</v>
      </c>
      <c r="D30836" s="16" t="s">
        <v>27799</v>
      </c>
      <c r="E30836" s="2">
        <v>4236191</v>
      </c>
      <c r="F30836" s="4" t="e">
        <f>IF(B30836=#REF!,"",B30836)</f>
        <v>#REF!</v>
      </c>
    </row>
    <row r="30837" spans="1:6" ht="15.75" customHeight="1">
      <c r="A30837" s="16" t="s">
        <v>4028</v>
      </c>
      <c r="B30837" s="15" t="s">
        <v>4028</v>
      </c>
      <c r="C30837" s="16" t="s">
        <v>3975</v>
      </c>
      <c r="D30837" s="16" t="s">
        <v>3980</v>
      </c>
      <c r="E30837" s="2">
        <v>5925975</v>
      </c>
      <c r="F30837" s="4" t="e">
        <f>IF(B30837=#REF!,"",B30837)</f>
        <v>#REF!</v>
      </c>
    </row>
    <row r="30838" spans="1:6" ht="15.75" customHeight="1">
      <c r="A30838" s="16" t="s">
        <v>28299</v>
      </c>
      <c r="B30838" s="15" t="s">
        <v>28299</v>
      </c>
      <c r="C30838" s="16" t="s">
        <v>27788</v>
      </c>
      <c r="D30838" s="16" t="s">
        <v>27957</v>
      </c>
      <c r="E30838" s="2">
        <v>4614748</v>
      </c>
      <c r="F30838" s="4" t="e">
        <f>IF(B30838=#REF!,"",B30838)</f>
        <v>#REF!</v>
      </c>
    </row>
    <row r="30839" spans="1:6" ht="15.75" customHeight="1">
      <c r="A30839" s="16" t="s">
        <v>28298</v>
      </c>
      <c r="B30839" s="15" t="s">
        <v>28298</v>
      </c>
      <c r="C30839" s="16" t="s">
        <v>27788</v>
      </c>
      <c r="D30839" s="16" t="s">
        <v>27792</v>
      </c>
      <c r="E30839" s="2">
        <v>4682478</v>
      </c>
      <c r="F30839" s="4" t="e">
        <f>IF(B30839=#REF!,"",B30839)</f>
        <v>#REF!</v>
      </c>
    </row>
    <row r="30840" spans="1:6" ht="15.75" customHeight="1">
      <c r="A30840" s="15" t="s">
        <v>15094</v>
      </c>
      <c r="B30840" s="15" t="s">
        <v>15094</v>
      </c>
      <c r="C30840" s="15" t="s">
        <v>14891</v>
      </c>
      <c r="D30840" s="15" t="s">
        <v>14911</v>
      </c>
      <c r="E30840" s="2">
        <v>3178388</v>
      </c>
      <c r="F30840" s="4" t="e">
        <f>IF(B30840=#REF!,"",B30840)</f>
        <v>#REF!</v>
      </c>
    </row>
    <row r="30841" spans="1:6" ht="15.75" customHeight="1">
      <c r="A30841" s="16" t="s">
        <v>28296</v>
      </c>
      <c r="B30841" s="15" t="s">
        <v>28297</v>
      </c>
      <c r="C30841" s="16" t="s">
        <v>27788</v>
      </c>
      <c r="D30841" s="16" t="s">
        <v>27792</v>
      </c>
      <c r="E30841" s="2">
        <v>4682464</v>
      </c>
      <c r="F30841" s="4" t="e">
        <f>IF(B30841=#REF!,"",B30841)</f>
        <v>#REF!</v>
      </c>
    </row>
    <row r="30842" spans="1:6" ht="15.75" customHeight="1">
      <c r="A30842" s="16" t="s">
        <v>28295</v>
      </c>
      <c r="B30842" s="15" t="s">
        <v>28295</v>
      </c>
      <c r="C30842" s="16" t="s">
        <v>27788</v>
      </c>
      <c r="D30842" s="16" t="s">
        <v>17061</v>
      </c>
      <c r="E30842" s="2">
        <v>4351977</v>
      </c>
      <c r="F30842" s="4" t="e">
        <f>IF(B30842=#REF!,"",B30842)</f>
        <v>#REF!</v>
      </c>
    </row>
    <row r="30843" spans="1:6" ht="15.75" customHeight="1">
      <c r="A30843" s="16" t="s">
        <v>15093</v>
      </c>
      <c r="B30843" s="15" t="s">
        <v>15093</v>
      </c>
      <c r="C30843" s="16" t="s">
        <v>14891</v>
      </c>
      <c r="D30843" s="16" t="s">
        <v>14904</v>
      </c>
      <c r="E30843" s="2">
        <v>3178398</v>
      </c>
      <c r="F30843" s="4" t="e">
        <f>IF(B30843=#REF!,"",B30843)</f>
        <v>#REF!</v>
      </c>
    </row>
    <row r="30844" spans="1:6" ht="15.75" customHeight="1">
      <c r="A30844" s="16" t="s">
        <v>15091</v>
      </c>
      <c r="B30844" s="15" t="s">
        <v>15092</v>
      </c>
      <c r="C30844" s="16" t="s">
        <v>14891</v>
      </c>
      <c r="D30844" s="16" t="s">
        <v>14943</v>
      </c>
      <c r="E30844" s="2">
        <v>3178402</v>
      </c>
      <c r="F30844" s="4" t="e">
        <f>IF(B30844=#REF!,"",B30844)</f>
        <v>#REF!</v>
      </c>
    </row>
    <row r="30845" spans="1:6" ht="15.75" customHeight="1">
      <c r="A30845" s="16" t="s">
        <v>24416</v>
      </c>
      <c r="B30845" s="15" t="s">
        <v>24417</v>
      </c>
      <c r="C30845" s="16" t="s">
        <v>24200</v>
      </c>
      <c r="D30845" s="16" t="s">
        <v>5513</v>
      </c>
      <c r="E30845" s="2">
        <v>3124794</v>
      </c>
      <c r="F30845" s="4" t="e">
        <f>IF(B30845=#REF!,"",B30845)</f>
        <v>#REF!</v>
      </c>
    </row>
    <row r="30846" spans="1:6" ht="15.75" customHeight="1">
      <c r="A30846" s="15" t="s">
        <v>2339</v>
      </c>
      <c r="B30846" s="15" t="s">
        <v>2339</v>
      </c>
      <c r="C30846" s="15" t="s">
        <v>1905</v>
      </c>
      <c r="D30846" s="15" t="s">
        <v>2024</v>
      </c>
      <c r="E30846" s="2">
        <v>3401963</v>
      </c>
      <c r="F30846" s="4" t="e">
        <f>IF(B30846=#REF!,"",B30846)</f>
        <v>#REF!</v>
      </c>
    </row>
    <row r="30847" spans="1:6" ht="15.75" customHeight="1">
      <c r="A30847" s="15" t="s">
        <v>5675</v>
      </c>
      <c r="B30847" s="15" t="s">
        <v>5676</v>
      </c>
      <c r="C30847" s="15" t="s">
        <v>5665</v>
      </c>
      <c r="D30847" s="15" t="s">
        <v>5668</v>
      </c>
      <c r="E30847" s="2">
        <v>3624174</v>
      </c>
      <c r="F30847" s="4" t="e">
        <f>IF(B30847=#REF!,"",B30847)</f>
        <v>#REF!</v>
      </c>
    </row>
    <row r="30848" spans="1:6" ht="15.75" customHeight="1">
      <c r="A30848" s="15" t="s">
        <v>11007</v>
      </c>
      <c r="B30848" s="15" t="s">
        <v>11007</v>
      </c>
      <c r="C30848" s="15" t="s">
        <v>10178</v>
      </c>
      <c r="D30848" s="15" t="s">
        <v>10317</v>
      </c>
      <c r="E30848" s="2">
        <v>1273856</v>
      </c>
      <c r="F30848" s="4" t="e">
        <f>IF(B30848=#REF!,"",B30848)</f>
        <v>#REF!</v>
      </c>
    </row>
    <row r="30849" spans="1:6" ht="15.75" customHeight="1">
      <c r="A30849" s="16" t="s">
        <v>1553</v>
      </c>
      <c r="B30849" s="15" t="s">
        <v>1553</v>
      </c>
      <c r="C30849" s="16" t="s">
        <v>1512</v>
      </c>
      <c r="D30849" s="16" t="s">
        <v>1518</v>
      </c>
      <c r="E30849" s="2">
        <v>2800220</v>
      </c>
      <c r="F30849" s="4" t="e">
        <f>IF(B30849=#REF!,"",B30849)</f>
        <v>#REF!</v>
      </c>
    </row>
    <row r="30850" spans="1:6" ht="15.75" customHeight="1">
      <c r="A30850" s="16" t="s">
        <v>619</v>
      </c>
      <c r="B30850" s="15" t="s">
        <v>620</v>
      </c>
      <c r="C30850" s="16" t="s">
        <v>558</v>
      </c>
      <c r="D30850" s="16" t="s">
        <v>589</v>
      </c>
      <c r="E30850" s="2">
        <v>3435356</v>
      </c>
      <c r="F30850" s="4" t="e">
        <f>IF(B30850=#REF!,"",B30850)</f>
        <v>#REF!</v>
      </c>
    </row>
    <row r="30851" spans="1:6" ht="15.75" customHeight="1">
      <c r="A30851" s="16" t="s">
        <v>4025</v>
      </c>
      <c r="B30851" s="15" t="s">
        <v>4026</v>
      </c>
      <c r="C30851" s="16" t="s">
        <v>3975</v>
      </c>
      <c r="D30851" s="16" t="s">
        <v>4027</v>
      </c>
      <c r="E30851" s="2">
        <v>7280414</v>
      </c>
      <c r="F30851" s="4" t="e">
        <f>IF(B30851=#REF!,"",B30851)</f>
        <v>#REF!</v>
      </c>
    </row>
    <row r="30852" spans="1:6" ht="15.75" customHeight="1">
      <c r="A30852" s="16" t="s">
        <v>28294</v>
      </c>
      <c r="B30852" s="15" t="s">
        <v>28294</v>
      </c>
      <c r="C30852" s="16" t="s">
        <v>27788</v>
      </c>
      <c r="D30852" s="16" t="s">
        <v>28130</v>
      </c>
      <c r="E30852" s="2">
        <v>5235024</v>
      </c>
      <c r="F30852" s="4" t="e">
        <f>IF(B30852=#REF!,"",B30852)</f>
        <v>#REF!</v>
      </c>
    </row>
    <row r="30853" spans="1:6" ht="15.75" customHeight="1">
      <c r="A30853" s="15" t="s">
        <v>2338</v>
      </c>
      <c r="B30853" s="15" t="s">
        <v>2338</v>
      </c>
      <c r="C30853" s="15" t="s">
        <v>1905</v>
      </c>
      <c r="D30853" s="15" t="s">
        <v>1949</v>
      </c>
      <c r="E30853" s="2">
        <v>3465944</v>
      </c>
      <c r="F30853" s="4" t="e">
        <f>IF(B30853=#REF!,"",B30853)</f>
        <v>#REF!</v>
      </c>
    </row>
    <row r="30854" spans="1:6" ht="15.75" customHeight="1">
      <c r="A30854" s="15" t="s">
        <v>11006</v>
      </c>
      <c r="B30854" s="15" t="s">
        <v>11006</v>
      </c>
      <c r="C30854" s="15" t="s">
        <v>10178</v>
      </c>
      <c r="D30854" s="15" t="s">
        <v>10196</v>
      </c>
      <c r="E30854" s="2">
        <v>1266322</v>
      </c>
      <c r="F30854" s="4" t="e">
        <f>IF(B30854=#REF!,"",B30854)</f>
        <v>#REF!</v>
      </c>
    </row>
    <row r="30855" spans="1:6" ht="15.75" customHeight="1">
      <c r="A30855" s="15" t="s">
        <v>5819</v>
      </c>
      <c r="B30855" s="15" t="s">
        <v>5820</v>
      </c>
      <c r="C30855" s="15" t="s">
        <v>5764</v>
      </c>
      <c r="D30855" s="15" t="s">
        <v>5796</v>
      </c>
      <c r="E30855" s="2">
        <v>3563843</v>
      </c>
      <c r="F30855" s="4" t="e">
        <f>IF(B30855=#REF!,"",B30855)</f>
        <v>#REF!</v>
      </c>
    </row>
    <row r="30856" spans="1:6" ht="15.75" customHeight="1">
      <c r="A30856" s="16" t="s">
        <v>6739</v>
      </c>
      <c r="B30856" s="15" t="s">
        <v>6739</v>
      </c>
      <c r="C30856" s="16" t="s">
        <v>6727</v>
      </c>
      <c r="D30856" s="16" t="s">
        <v>6740</v>
      </c>
      <c r="E30856" s="2">
        <v>3586977</v>
      </c>
      <c r="F30856" s="4" t="e">
        <f>IF(B30856=#REF!,"",B30856)</f>
        <v>#REF!</v>
      </c>
    </row>
    <row r="30857" spans="1:6" ht="15.75" customHeight="1">
      <c r="A30857" s="15" t="s">
        <v>27430</v>
      </c>
      <c r="B30857" s="15" t="s">
        <v>27430</v>
      </c>
      <c r="C30857" s="15" t="s">
        <v>27234</v>
      </c>
      <c r="D30857" s="15" t="s">
        <v>27235</v>
      </c>
      <c r="E30857" s="2">
        <v>2652622</v>
      </c>
      <c r="F30857" s="4" t="e">
        <f>IF(B30857=#REF!,"",B30857)</f>
        <v>#REF!</v>
      </c>
    </row>
    <row r="30858" spans="1:6" ht="15.75" customHeight="1">
      <c r="A30858" s="15" t="s">
        <v>20504</v>
      </c>
      <c r="B30858" s="15" t="s">
        <v>20504</v>
      </c>
      <c r="C30858" s="15" t="s">
        <v>20470</v>
      </c>
      <c r="D30858" s="15" t="s">
        <v>20497</v>
      </c>
      <c r="E30858" s="2">
        <v>3697990</v>
      </c>
      <c r="F30858" s="4" t="str">
        <f>IF(B30858=B30857,"",B30858)</f>
        <v>Coishco</v>
      </c>
    </row>
    <row r="30859" spans="1:6" ht="15.75" customHeight="1">
      <c r="A30859" s="16" t="str">
        <f ca="1">IFERROR(__xludf.DUMMYFUNCTION("GOOGLETRANSLATE(B29140,""en"",""pt"")"),"Moeda")</f>
        <v>Moeda</v>
      </c>
      <c r="B30859" s="20" t="s">
        <v>32387</v>
      </c>
      <c r="C30859" s="20" t="s">
        <v>24200</v>
      </c>
      <c r="D30859" s="20" t="s">
        <v>24205</v>
      </c>
      <c r="E30859" s="10">
        <v>2519367</v>
      </c>
      <c r="F30859" s="4" t="e">
        <f>IF(B30859=#REF!,"",B30859)</f>
        <v>#REF!</v>
      </c>
    </row>
    <row r="30860" spans="1:6" ht="15.75" customHeight="1">
      <c r="A30860" s="15" t="s">
        <v>21650</v>
      </c>
      <c r="B30860" s="15" t="s">
        <v>21650</v>
      </c>
      <c r="C30860" s="15" t="s">
        <v>21606</v>
      </c>
      <c r="D30860" s="15" t="s">
        <v>21650</v>
      </c>
      <c r="E30860" s="2">
        <v>2740637</v>
      </c>
      <c r="F30860" s="4" t="e">
        <f>IF(B30860=#REF!,"",B30860)</f>
        <v>#REF!</v>
      </c>
    </row>
    <row r="30861" spans="1:6" ht="15.75" customHeight="1">
      <c r="A30861" s="16" t="s">
        <v>11005</v>
      </c>
      <c r="B30861" s="15" t="s">
        <v>11005</v>
      </c>
      <c r="C30861" s="16" t="s">
        <v>10178</v>
      </c>
      <c r="D30861" s="16" t="s">
        <v>10196</v>
      </c>
      <c r="E30861" s="2">
        <v>1273865</v>
      </c>
      <c r="F30861" s="4" t="e">
        <f>IF(B30861=#REF!,"",B30861)</f>
        <v>#REF!</v>
      </c>
    </row>
    <row r="30862" spans="1:6" ht="15.75" customHeight="1">
      <c r="A30862" s="16" t="s">
        <v>4380</v>
      </c>
      <c r="B30862" s="15" t="s">
        <v>4380</v>
      </c>
      <c r="C30862" s="16" t="s">
        <v>4355</v>
      </c>
      <c r="D30862" s="16" t="s">
        <v>4381</v>
      </c>
      <c r="E30862" s="2">
        <v>3894426</v>
      </c>
      <c r="F30862" s="4" t="e">
        <f>IF(B30862=#REF!,"",B30862)</f>
        <v>#REF!</v>
      </c>
    </row>
    <row r="30863" spans="1:6" ht="15.75" customHeight="1">
      <c r="A30863" s="15" t="s">
        <v>28293</v>
      </c>
      <c r="B30863" s="15" t="s">
        <v>28293</v>
      </c>
      <c r="C30863" s="15" t="s">
        <v>27788</v>
      </c>
      <c r="D30863" s="15" t="s">
        <v>27819</v>
      </c>
      <c r="E30863" s="2">
        <v>5113142</v>
      </c>
      <c r="F30863" s="4" t="e">
        <f>IF(B30863=#REF!,"",B30863)</f>
        <v>#REF!</v>
      </c>
    </row>
    <row r="30864" spans="1:6" ht="15.75" customHeight="1">
      <c r="A30864" s="16" t="s">
        <v>7277</v>
      </c>
      <c r="B30864" s="15" t="s">
        <v>7278</v>
      </c>
      <c r="C30864" s="16" t="s">
        <v>7052</v>
      </c>
      <c r="D30864" s="16" t="s">
        <v>7084</v>
      </c>
      <c r="E30864" s="2">
        <v>3024440</v>
      </c>
      <c r="F30864" s="4" t="e">
        <f>IF(B30864=#REF!,"",B30864)</f>
        <v>#REF!</v>
      </c>
    </row>
    <row r="30865" spans="1:6" ht="15.75" customHeight="1">
      <c r="A30865" s="15" t="s">
        <v>20743</v>
      </c>
      <c r="B30865" s="15" t="s">
        <v>20743</v>
      </c>
      <c r="C30865" s="15" t="s">
        <v>20598</v>
      </c>
      <c r="D30865" s="15" t="s">
        <v>20622</v>
      </c>
      <c r="E30865" s="2">
        <v>1718328</v>
      </c>
      <c r="F30865" s="4" t="str">
        <f>IF(B30865=B30864,"",B30865)</f>
        <v>Cogan</v>
      </c>
    </row>
    <row r="30866" spans="1:6" ht="15.75" customHeight="1">
      <c r="A30866" s="16" t="str">
        <f ca="1">IFERROR(__xludf.DUMMYFUNCTION("GOOGLETRANSLATE(B31184,""en"",""pt"")"),"Cofradía")</f>
        <v>Cofradía</v>
      </c>
      <c r="B30866" s="20" t="s">
        <v>32801</v>
      </c>
      <c r="C30866" s="20" t="s">
        <v>9907</v>
      </c>
      <c r="D30866" s="20" t="s">
        <v>32793</v>
      </c>
      <c r="E30866" s="10">
        <v>3613394</v>
      </c>
      <c r="F30866" s="4" t="str">
        <f>IF(B30866=B30865,"",B30866)</f>
        <v>Cofradía</v>
      </c>
    </row>
    <row r="30867" spans="1:6" ht="15.75" customHeight="1">
      <c r="A30867" s="15" t="s">
        <v>9911</v>
      </c>
      <c r="B30867" s="15" t="s">
        <v>9912</v>
      </c>
      <c r="C30867" s="15" t="s">
        <v>9907</v>
      </c>
      <c r="D30867" s="15" t="s">
        <v>9908</v>
      </c>
      <c r="E30867" s="2">
        <v>3613394</v>
      </c>
      <c r="F30867" s="4" t="e">
        <f>IF(B30867=#REF!,"",B30867)</f>
        <v>#REF!</v>
      </c>
    </row>
    <row r="30868" spans="1:6" ht="15.75" customHeight="1">
      <c r="A30868" s="16" t="s">
        <v>945</v>
      </c>
      <c r="B30868" s="15" t="s">
        <v>946</v>
      </c>
      <c r="C30868" s="16" t="s">
        <v>885</v>
      </c>
      <c r="D30868" s="16" t="s">
        <v>891</v>
      </c>
      <c r="E30868" s="2">
        <v>2171085</v>
      </c>
      <c r="F30868" s="4" t="e">
        <f>IF(B30868=#REF!,"",B30868)</f>
        <v>#REF!</v>
      </c>
    </row>
    <row r="30869" spans="1:6" ht="15.75" customHeight="1">
      <c r="A30869" s="16" t="s">
        <v>28292</v>
      </c>
      <c r="B30869" s="15" t="s">
        <v>28292</v>
      </c>
      <c r="C30869" s="16" t="s">
        <v>27788</v>
      </c>
      <c r="D30869" s="16" t="s">
        <v>28059</v>
      </c>
      <c r="E30869" s="2">
        <v>5589173</v>
      </c>
      <c r="F30869" s="4" t="e">
        <f>IF(B30869=#REF!,"",B30869)</f>
        <v>#REF!</v>
      </c>
    </row>
    <row r="30870" spans="1:6" ht="15.75" customHeight="1">
      <c r="A30870" s="15" t="s">
        <v>8269</v>
      </c>
      <c r="B30870" s="15" t="s">
        <v>8269</v>
      </c>
      <c r="C30870" s="15" t="s">
        <v>8028</v>
      </c>
      <c r="D30870" s="15" t="s">
        <v>8029</v>
      </c>
      <c r="E30870" s="2">
        <v>2939945</v>
      </c>
      <c r="F30870" s="4" t="e">
        <f>IF(B30870=#REF!,"",B30870)</f>
        <v>#REF!</v>
      </c>
    </row>
    <row r="30871" spans="1:6" ht="15.75" customHeight="1">
      <c r="A30871" s="16" t="s">
        <v>2336</v>
      </c>
      <c r="B30871" s="15" t="s">
        <v>2337</v>
      </c>
      <c r="C30871" s="16" t="s">
        <v>1905</v>
      </c>
      <c r="D30871" s="16" t="s">
        <v>2024</v>
      </c>
      <c r="E30871" s="2">
        <v>3401992</v>
      </c>
      <c r="F30871" s="4" t="str">
        <f>IF(B30871=B30870,"",B30871)</f>
        <v>Coelho Neto</v>
      </c>
    </row>
    <row r="30872" spans="1:6" ht="15.75" customHeight="1">
      <c r="A30872" s="16" t="str">
        <f ca="1">IFERROR(__xludf.DUMMYFUNCTION("GOOGLETRANSLATE(B24347,""en"",""pt"")"),"Codó")</f>
        <v>Codó</v>
      </c>
      <c r="B30872" s="20" t="s">
        <v>31407</v>
      </c>
      <c r="C30872" s="20" t="s">
        <v>1905</v>
      </c>
      <c r="D30872" s="20" t="s">
        <v>31340</v>
      </c>
      <c r="E30872" s="10">
        <v>3402000</v>
      </c>
      <c r="F30872" s="4" t="e">
        <f>IF(B30872=#REF!,"",B30872)</f>
        <v>#REF!</v>
      </c>
    </row>
    <row r="30873" spans="1:6" ht="15.75" customHeight="1">
      <c r="A30873" s="15" t="s">
        <v>21898</v>
      </c>
      <c r="B30873" s="15" t="s">
        <v>21898</v>
      </c>
      <c r="C30873" s="15" t="s">
        <v>21824</v>
      </c>
      <c r="D30873" s="15" t="s">
        <v>21863</v>
      </c>
      <c r="E30873" s="2">
        <v>681179</v>
      </c>
      <c r="F30873" s="4" t="str">
        <f>IF(B30873=B30872,"",B30873)</f>
        <v>Codlea</v>
      </c>
    </row>
    <row r="30874" spans="1:6" ht="15.75" customHeight="1">
      <c r="A30874" s="15" t="s">
        <v>2334</v>
      </c>
      <c r="B30874" s="15" t="s">
        <v>2335</v>
      </c>
      <c r="C30874" s="15" t="s">
        <v>1905</v>
      </c>
      <c r="D30874" s="15" t="s">
        <v>2024</v>
      </c>
      <c r="E30874" s="2">
        <v>3402000</v>
      </c>
      <c r="F30874" s="4" t="e">
        <f>IF(B30874=#REF!,"",B30874)</f>
        <v>#REF!</v>
      </c>
    </row>
    <row r="30875" spans="1:6" ht="15.75" customHeight="1">
      <c r="A30875" s="15" t="s">
        <v>28290</v>
      </c>
      <c r="B30875" s="15" t="s">
        <v>28291</v>
      </c>
      <c r="C30875" s="15" t="s">
        <v>27788</v>
      </c>
      <c r="D30875" s="15" t="s">
        <v>5468</v>
      </c>
      <c r="E30875" s="2">
        <v>4151460</v>
      </c>
      <c r="F30875" s="4" t="e">
        <f>IF(B30875=#REF!,"",B30875)</f>
        <v>#REF!</v>
      </c>
    </row>
    <row r="30876" spans="1:6" ht="15.75" customHeight="1">
      <c r="A30876" s="16" t="s">
        <v>28289</v>
      </c>
      <c r="B30876" s="15" t="s">
        <v>28289</v>
      </c>
      <c r="C30876" s="16" t="s">
        <v>27788</v>
      </c>
      <c r="D30876" s="16" t="s">
        <v>5468</v>
      </c>
      <c r="E30876" s="2">
        <v>4151455</v>
      </c>
      <c r="F30876" s="4" t="e">
        <f>IF(B30876=#REF!,"",B30876)</f>
        <v>#REF!</v>
      </c>
    </row>
    <row r="30877" spans="1:6" ht="15.75" customHeight="1">
      <c r="A30877" s="15" t="s">
        <v>28287</v>
      </c>
      <c r="B30877" s="15" t="s">
        <v>28288</v>
      </c>
      <c r="C30877" s="15" t="s">
        <v>27788</v>
      </c>
      <c r="D30877" s="15" t="s">
        <v>5468</v>
      </c>
      <c r="E30877" s="2">
        <v>4151440</v>
      </c>
      <c r="F30877" s="4" t="e">
        <f>IF(B30877=#REF!,"",B30877)</f>
        <v>#REF!</v>
      </c>
    </row>
    <row r="30878" spans="1:6" ht="15.75" customHeight="1">
      <c r="A30878" s="16" t="s">
        <v>28286</v>
      </c>
      <c r="B30878" s="15" t="s">
        <v>28286</v>
      </c>
      <c r="C30878" s="16" t="s">
        <v>27788</v>
      </c>
      <c r="D30878" s="16" t="s">
        <v>17061</v>
      </c>
      <c r="E30878" s="2">
        <v>4351887</v>
      </c>
      <c r="F30878" s="4" t="e">
        <f>IF(B30878=#REF!,"",B30878)</f>
        <v>#REF!</v>
      </c>
    </row>
    <row r="30879" spans="1:6" ht="15.75" customHeight="1">
      <c r="A30879" s="16" t="s">
        <v>26808</v>
      </c>
      <c r="B30879" s="15" t="s">
        <v>26809</v>
      </c>
      <c r="C30879" s="16" t="s">
        <v>26810</v>
      </c>
      <c r="D30879" s="16" t="s">
        <v>551</v>
      </c>
      <c r="E30879" s="2">
        <v>3576994</v>
      </c>
      <c r="F30879" s="4" t="e">
        <f>IF(B30879=#REF!,"",B30879)</f>
        <v>#REF!</v>
      </c>
    </row>
    <row r="30880" spans="1:6" ht="15.75" customHeight="1">
      <c r="A30880" s="15" t="s">
        <v>4024</v>
      </c>
      <c r="B30880" s="15" t="s">
        <v>4024</v>
      </c>
      <c r="C30880" s="15" t="s">
        <v>3975</v>
      </c>
      <c r="D30880" s="15" t="s">
        <v>3978</v>
      </c>
      <c r="E30880" s="2">
        <v>5924618</v>
      </c>
      <c r="F30880" s="4" t="e">
        <f>IF(B30880=#REF!,"",B30880)</f>
        <v>#REF!</v>
      </c>
    </row>
    <row r="30881" spans="1:6" ht="15.75" customHeight="1">
      <c r="A30881" s="15" t="s">
        <v>11004</v>
      </c>
      <c r="B30881" s="15" t="s">
        <v>11004</v>
      </c>
      <c r="C30881" s="15" t="s">
        <v>10178</v>
      </c>
      <c r="D30881" s="15" t="s">
        <v>10246</v>
      </c>
      <c r="E30881" s="2">
        <v>1273874</v>
      </c>
      <c r="F30881" s="4" t="e">
        <f>IF(B30881=#REF!,"",B30881)</f>
        <v>#REF!</v>
      </c>
    </row>
    <row r="30882" spans="1:6" ht="15.75" customHeight="1">
      <c r="A30882" s="16" t="s">
        <v>1809</v>
      </c>
      <c r="B30882" s="15" t="s">
        <v>1809</v>
      </c>
      <c r="C30882" s="16" t="s">
        <v>1806</v>
      </c>
      <c r="D30882" s="16" t="s">
        <v>1809</v>
      </c>
      <c r="E30882" s="2">
        <v>3919968</v>
      </c>
      <c r="F30882" s="4" t="e">
        <f>IF(B30882=#REF!,"",B30882)</f>
        <v>#REF!</v>
      </c>
    </row>
    <row r="30883" spans="1:6" ht="15.75" customHeight="1">
      <c r="A30883" s="15" t="s">
        <v>944</v>
      </c>
      <c r="B30883" s="15" t="s">
        <v>944</v>
      </c>
      <c r="C30883" s="15" t="s">
        <v>885</v>
      </c>
      <c r="D30883" s="15" t="s">
        <v>827</v>
      </c>
      <c r="E30883" s="2">
        <v>2171168</v>
      </c>
      <c r="F30883" s="4" t="e">
        <f>IF(B30883=#REF!,"",B30883)</f>
        <v>#REF!</v>
      </c>
    </row>
    <row r="30884" spans="1:6" ht="15.75" customHeight="1">
      <c r="A30884" s="15" t="s">
        <v>4023</v>
      </c>
      <c r="B30884" s="15" t="s">
        <v>4023</v>
      </c>
      <c r="C30884" s="15" t="s">
        <v>3975</v>
      </c>
      <c r="D30884" s="15" t="s">
        <v>3980</v>
      </c>
      <c r="E30884" s="2">
        <v>5924579</v>
      </c>
      <c r="F30884" s="4" t="e">
        <f>IF(B30884=#REF!,"",B30884)</f>
        <v>#REF!</v>
      </c>
    </row>
    <row r="30885" spans="1:6" ht="15.75" customHeight="1">
      <c r="A30885" s="15" t="s">
        <v>1807</v>
      </c>
      <c r="B30885" s="15" t="s">
        <v>1807</v>
      </c>
      <c r="C30885" s="15" t="s">
        <v>1806</v>
      </c>
      <c r="D30885" s="15" t="s">
        <v>1808</v>
      </c>
      <c r="E30885" s="2">
        <v>3919998</v>
      </c>
      <c r="F30885" s="4" t="e">
        <f>IF(B30885=#REF!,"",B30885)</f>
        <v>#REF!</v>
      </c>
    </row>
    <row r="30886" spans="1:6" ht="15.75" customHeight="1">
      <c r="A30886" s="15" t="s">
        <v>27429</v>
      </c>
      <c r="B30886" s="15" t="s">
        <v>27429</v>
      </c>
      <c r="C30886" s="15" t="s">
        <v>27234</v>
      </c>
      <c r="D30886" s="15" t="s">
        <v>27241</v>
      </c>
      <c r="E30886" s="2">
        <v>2652689</v>
      </c>
      <c r="F30886" s="4" t="str">
        <f>IF(B30886=B30885,"",B30886)</f>
        <v>Cobham</v>
      </c>
    </row>
    <row r="30887" spans="1:6" ht="15.75" customHeight="1">
      <c r="A30887" s="16" t="str">
        <f ca="1">IFERROR(__xludf.DUMMYFUNCTION("GOOGLETRANSLATE(B31129,""en"",""pt"")"),"Cobán")</f>
        <v>Cobán</v>
      </c>
      <c r="B30887" s="20" t="s">
        <v>32788</v>
      </c>
      <c r="C30887" s="20" t="s">
        <v>9700</v>
      </c>
      <c r="D30887" s="20" t="s">
        <v>9721</v>
      </c>
      <c r="E30887" s="10">
        <v>3598119</v>
      </c>
      <c r="F30887" s="4" t="str">
        <f>IF(B30887=B30886,"",B30887)</f>
        <v>Cobán</v>
      </c>
    </row>
    <row r="30888" spans="1:6" ht="15.75" customHeight="1">
      <c r="A30888" s="15" t="s">
        <v>9724</v>
      </c>
      <c r="B30888" s="15" t="s">
        <v>9725</v>
      </c>
      <c r="C30888" s="15" t="s">
        <v>9700</v>
      </c>
      <c r="D30888" s="15" t="s">
        <v>9721</v>
      </c>
      <c r="E30888" s="2">
        <v>3598119</v>
      </c>
      <c r="F30888" s="4" t="e">
        <f>IF(B30888=#REF!,"",B30888)</f>
        <v>#REF!</v>
      </c>
    </row>
    <row r="30889" spans="1:6" ht="15.75" customHeight="1">
      <c r="A30889" s="16" t="s">
        <v>17882</v>
      </c>
      <c r="B30889" s="15" t="s">
        <v>17882</v>
      </c>
      <c r="C30889" s="16" t="s">
        <v>17707</v>
      </c>
      <c r="D30889" s="16" t="s">
        <v>17708</v>
      </c>
      <c r="E30889" s="2">
        <v>3530513</v>
      </c>
      <c r="F30889" s="4" t="e">
        <f>IF(B30889=#REF!,"",B30889)</f>
        <v>#REF!</v>
      </c>
    </row>
    <row r="30890" spans="1:6" ht="15.75" customHeight="1">
      <c r="A30890" s="16" t="s">
        <v>17881</v>
      </c>
      <c r="B30890" s="15" t="s">
        <v>17881</v>
      </c>
      <c r="C30890" s="16" t="s">
        <v>17707</v>
      </c>
      <c r="D30890" s="16" t="s">
        <v>17708</v>
      </c>
      <c r="E30890" s="2">
        <v>3530517</v>
      </c>
      <c r="F30890" s="4" t="str">
        <f>IF(B30890=B30889,"",B30890)</f>
        <v>Coatzacoalcos</v>
      </c>
    </row>
    <row r="30891" spans="1:6" ht="15.75" customHeight="1">
      <c r="A30891" s="16" t="str">
        <f ca="1">IFERROR(__xludf.DUMMYFUNCTION("GOOGLETRANSLATE(B36925,""en"",""pt"")"),"Coatlnchán")</f>
        <v>Coatlnchán</v>
      </c>
      <c r="B30891" s="20" t="s">
        <v>34677</v>
      </c>
      <c r="C30891" s="20" t="s">
        <v>17707</v>
      </c>
      <c r="D30891" s="20" t="s">
        <v>20902</v>
      </c>
      <c r="E30891" s="10">
        <v>3518277</v>
      </c>
      <c r="F30891" s="4" t="str">
        <f>IF(B30891=B30890,"",B30891)</f>
        <v>Coatlinchán</v>
      </c>
    </row>
    <row r="30892" spans="1:6" ht="15.75" customHeight="1">
      <c r="A30892" s="16" t="s">
        <v>17879</v>
      </c>
      <c r="B30892" s="15" t="s">
        <v>17880</v>
      </c>
      <c r="C30892" s="16" t="s">
        <v>17707</v>
      </c>
      <c r="D30892" s="16" t="s">
        <v>17736</v>
      </c>
      <c r="E30892" s="2">
        <v>3518277</v>
      </c>
      <c r="F30892" s="4" t="e">
        <f>IF(B30892=#REF!,"",B30892)</f>
        <v>#REF!</v>
      </c>
    </row>
    <row r="30893" spans="1:6" ht="15.75" customHeight="1">
      <c r="A30893" s="16" t="s">
        <v>9723</v>
      </c>
      <c r="B30893" s="15" t="s">
        <v>9723</v>
      </c>
      <c r="C30893" s="16" t="s">
        <v>9700</v>
      </c>
      <c r="D30893" s="16" t="s">
        <v>9712</v>
      </c>
      <c r="E30893" s="2">
        <v>3598122</v>
      </c>
      <c r="F30893" s="4" t="e">
        <f>IF(B30893=#REF!,"",B30893)</f>
        <v>#REF!</v>
      </c>
    </row>
    <row r="30894" spans="1:6" ht="15.75" customHeight="1">
      <c r="A30894" s="15" t="s">
        <v>17878</v>
      </c>
      <c r="B30894" s="15" t="s">
        <v>17878</v>
      </c>
      <c r="C30894" s="15" t="s">
        <v>17707</v>
      </c>
      <c r="D30894" s="15" t="s">
        <v>17708</v>
      </c>
      <c r="E30894" s="2">
        <v>3530531</v>
      </c>
      <c r="F30894" s="4" t="e">
        <f>IF(B30894=#REF!,"",B30894)</f>
        <v>#REF!</v>
      </c>
    </row>
    <row r="30895" spans="1:6" ht="15.75" customHeight="1">
      <c r="A30895" s="16" t="s">
        <v>27428</v>
      </c>
      <c r="B30895" s="15" t="s">
        <v>27428</v>
      </c>
      <c r="C30895" s="16" t="s">
        <v>27234</v>
      </c>
      <c r="D30895" s="16" t="s">
        <v>27237</v>
      </c>
      <c r="E30895" s="2">
        <v>2652696</v>
      </c>
      <c r="F30895" s="4" t="e">
        <f>IF(B30895=#REF!,"",B30895)</f>
        <v>#REF!</v>
      </c>
    </row>
    <row r="30896" spans="1:6" ht="15.75" customHeight="1">
      <c r="A30896" s="15" t="s">
        <v>2333</v>
      </c>
      <c r="B30896" s="15" t="s">
        <v>2333</v>
      </c>
      <c r="C30896" s="15" t="s">
        <v>1905</v>
      </c>
      <c r="D30896" s="15" t="s">
        <v>2287</v>
      </c>
      <c r="E30896" s="2">
        <v>3664539</v>
      </c>
      <c r="F30896" s="4" t="e">
        <f>IF(B30896=#REF!,"",B30896)</f>
        <v>#REF!</v>
      </c>
    </row>
    <row r="30897" spans="1:6" ht="15.75" customHeight="1">
      <c r="A30897" s="15" t="s">
        <v>2332</v>
      </c>
      <c r="B30897" s="15" t="s">
        <v>2332</v>
      </c>
      <c r="C30897" s="15" t="s">
        <v>1905</v>
      </c>
      <c r="D30897" s="15" t="s">
        <v>1947</v>
      </c>
      <c r="E30897" s="2">
        <v>3466041</v>
      </c>
      <c r="F30897" s="4" t="str">
        <f>IF(B30897=B30896,"",B30897)</f>
        <v>Coaraci</v>
      </c>
    </row>
    <row r="30898" spans="1:6" ht="15.75" customHeight="1">
      <c r="A30898" s="15" t="s">
        <v>24414</v>
      </c>
      <c r="B30898" s="15" t="s">
        <v>24415</v>
      </c>
      <c r="C30898" s="15" t="s">
        <v>24200</v>
      </c>
      <c r="D30898" s="15" t="s">
        <v>24205</v>
      </c>
      <c r="E30898" s="2">
        <v>2519367</v>
      </c>
      <c r="F30898" s="4" t="e">
        <f>IF(B30898=#REF!,"",B30898)</f>
        <v>#REF!</v>
      </c>
    </row>
    <row r="30899" spans="1:6" ht="15.75" customHeight="1">
      <c r="A30899" s="15" t="s">
        <v>27425</v>
      </c>
      <c r="B30899" s="15" t="s">
        <v>27425</v>
      </c>
      <c r="C30899" s="15" t="s">
        <v>27234</v>
      </c>
      <c r="D30899" s="15" t="s">
        <v>27241</v>
      </c>
      <c r="E30899" s="2">
        <v>2652698</v>
      </c>
      <c r="F30899" s="4" t="e">
        <f>IF(B30899=#REF!,"",B30899)</f>
        <v>#REF!</v>
      </c>
    </row>
    <row r="30900" spans="1:6" ht="15.75" customHeight="1">
      <c r="A30900" s="15" t="s">
        <v>28285</v>
      </c>
      <c r="B30900" s="15" t="s">
        <v>28285</v>
      </c>
      <c r="C30900" s="15" t="s">
        <v>27788</v>
      </c>
      <c r="D30900" s="15" t="s">
        <v>27801</v>
      </c>
      <c r="E30900" s="2">
        <v>5338166</v>
      </c>
      <c r="F30900" s="4" t="e">
        <f>IF(B30900=#REF!,"",B30900)</f>
        <v>#REF!</v>
      </c>
    </row>
    <row r="30901" spans="1:6" ht="15.75" customHeight="1">
      <c r="A30901" s="15" t="s">
        <v>17877</v>
      </c>
      <c r="B30901" s="15" t="s">
        <v>17877</v>
      </c>
      <c r="C30901" s="15" t="s">
        <v>17707</v>
      </c>
      <c r="D30901" s="15" t="s">
        <v>17736</v>
      </c>
      <c r="E30901" s="2">
        <v>3530569</v>
      </c>
      <c r="F30901" s="4" t="e">
        <f>IF(B30901=#REF!,"",B30901)</f>
        <v>#REF!</v>
      </c>
    </row>
    <row r="30902" spans="1:6" ht="15.75" customHeight="1">
      <c r="A30902" s="16" t="s">
        <v>27424</v>
      </c>
      <c r="B30902" s="15" t="s">
        <v>27424</v>
      </c>
      <c r="C30902" s="16" t="s">
        <v>27234</v>
      </c>
      <c r="D30902" s="16" t="s">
        <v>27237</v>
      </c>
      <c r="E30902" s="2">
        <v>2652730</v>
      </c>
      <c r="F30902" s="4" t="e">
        <f>IF(B30902=#REF!,"",B30902)</f>
        <v>#REF!</v>
      </c>
    </row>
    <row r="30903" spans="1:6" ht="15.75" customHeight="1">
      <c r="A30903" s="15" t="s">
        <v>27423</v>
      </c>
      <c r="B30903" s="15" t="s">
        <v>27423</v>
      </c>
      <c r="C30903" s="15" t="s">
        <v>27234</v>
      </c>
      <c r="D30903" s="15" t="s">
        <v>27235</v>
      </c>
      <c r="E30903" s="2">
        <v>2652734</v>
      </c>
      <c r="F30903" s="4" t="e">
        <f>IF(B30903=#REF!,"",B30903)</f>
        <v>#REF!</v>
      </c>
    </row>
    <row r="30904" spans="1:6" ht="15.75" customHeight="1">
      <c r="A30904" s="15" t="s">
        <v>7275</v>
      </c>
      <c r="B30904" s="15" t="s">
        <v>7276</v>
      </c>
      <c r="C30904" s="15" t="s">
        <v>7052</v>
      </c>
      <c r="D30904" s="15" t="s">
        <v>7053</v>
      </c>
      <c r="E30904" s="2">
        <v>3024532</v>
      </c>
      <c r="F30904" s="4" t="e">
        <f>IF(B30904=#REF!,"",B30904)</f>
        <v>#REF!</v>
      </c>
    </row>
    <row r="30905" spans="1:6" ht="15.75" customHeight="1">
      <c r="A30905" s="16" t="s">
        <v>21897</v>
      </c>
      <c r="B30905" s="15" t="s">
        <v>21897</v>
      </c>
      <c r="C30905" s="16" t="s">
        <v>21824</v>
      </c>
      <c r="D30905" s="16" t="s">
        <v>21880</v>
      </c>
      <c r="E30905" s="2">
        <v>681290</v>
      </c>
      <c r="F30905" s="4" t="e">
        <f>IF(B30905=#REF!,"",B30905)</f>
        <v>#REF!</v>
      </c>
    </row>
    <row r="30906" spans="1:6" ht="15.75" customHeight="1">
      <c r="A30906" s="16" t="s">
        <v>14735</v>
      </c>
      <c r="B30906" s="15" t="s">
        <v>14736</v>
      </c>
      <c r="C30906" s="16" t="s">
        <v>14728</v>
      </c>
      <c r="D30906" s="16" t="s">
        <v>8868</v>
      </c>
      <c r="E30906" s="2">
        <v>2965353</v>
      </c>
      <c r="F30906" s="4" t="e">
        <f>IF(B30906=#REF!,"",B30906)</f>
        <v>#REF!</v>
      </c>
    </row>
    <row r="30907" spans="1:6" ht="15.75" customHeight="1">
      <c r="A30907" s="15" t="s">
        <v>28284</v>
      </c>
      <c r="B30907" s="15" t="s">
        <v>28284</v>
      </c>
      <c r="C30907" s="15" t="s">
        <v>27788</v>
      </c>
      <c r="D30907" s="15" t="s">
        <v>27801</v>
      </c>
      <c r="E30907" s="2">
        <v>5338122</v>
      </c>
      <c r="F30907" s="4" t="e">
        <f>IF(B30907=#REF!,"",B30907)</f>
        <v>#REF!</v>
      </c>
    </row>
    <row r="30908" spans="1:6" ht="15.75" customHeight="1">
      <c r="A30908" s="15" t="s">
        <v>28283</v>
      </c>
      <c r="B30908" s="15" t="s">
        <v>28283</v>
      </c>
      <c r="C30908" s="15" t="s">
        <v>27788</v>
      </c>
      <c r="D30908" s="15" t="s">
        <v>17061</v>
      </c>
      <c r="E30908" s="2">
        <v>4351851</v>
      </c>
      <c r="F30908" s="4" t="e">
        <f>IF(B30908=#REF!,"",B30908)</f>
        <v>#REF!</v>
      </c>
    </row>
    <row r="30909" spans="1:6" ht="15.75" customHeight="1">
      <c r="A30909" s="16" t="s">
        <v>28281</v>
      </c>
      <c r="B30909" s="15" t="s">
        <v>28282</v>
      </c>
      <c r="C30909" s="16" t="s">
        <v>27788</v>
      </c>
      <c r="D30909" s="16" t="s">
        <v>27792</v>
      </c>
      <c r="E30909" s="2">
        <v>4682127</v>
      </c>
      <c r="F30909" s="4" t="e">
        <f>IF(B30909=#REF!,"",B30909)</f>
        <v>#REF!</v>
      </c>
    </row>
    <row r="30910" spans="1:6" ht="15.75" customHeight="1">
      <c r="A30910" s="16" t="s">
        <v>8268</v>
      </c>
      <c r="B30910" s="15" t="s">
        <v>8268</v>
      </c>
      <c r="C30910" s="16" t="s">
        <v>8028</v>
      </c>
      <c r="D30910" s="16" t="s">
        <v>8034</v>
      </c>
      <c r="E30910" s="2">
        <v>2939969</v>
      </c>
      <c r="F30910" s="4" t="e">
        <f>IF(B30910=#REF!,"",B30910)</f>
        <v>#REF!</v>
      </c>
    </row>
    <row r="30911" spans="1:6" ht="15.75" customHeight="1">
      <c r="A30911" s="15" t="s">
        <v>28280</v>
      </c>
      <c r="B30911" s="15" t="s">
        <v>28280</v>
      </c>
      <c r="C30911" s="15" t="s">
        <v>27788</v>
      </c>
      <c r="D30911" s="15" t="s">
        <v>27859</v>
      </c>
      <c r="E30911" s="2">
        <v>4852065</v>
      </c>
      <c r="F30911" s="4" t="e">
        <f>IF(B30911=#REF!,"",B30911)</f>
        <v>#REF!</v>
      </c>
    </row>
    <row r="30912" spans="1:6" ht="15.75" customHeight="1">
      <c r="A30912" s="15" t="s">
        <v>27422</v>
      </c>
      <c r="B30912" s="15" t="s">
        <v>27422</v>
      </c>
      <c r="C30912" s="15" t="s">
        <v>27234</v>
      </c>
      <c r="D30912" s="15" t="s">
        <v>27241</v>
      </c>
      <c r="E30912" s="2">
        <v>2652819</v>
      </c>
      <c r="F30912" s="4" t="e">
        <f>IF(B30912=#REF!,"",B30912)</f>
        <v>#REF!</v>
      </c>
    </row>
    <row r="30913" spans="1:6" ht="15.75" customHeight="1">
      <c r="A30913" s="15" t="s">
        <v>28279</v>
      </c>
      <c r="B30913" s="15" t="s">
        <v>28279</v>
      </c>
      <c r="C30913" s="15" t="s">
        <v>27788</v>
      </c>
      <c r="D30913" s="15" t="s">
        <v>17061</v>
      </c>
      <c r="E30913" s="2">
        <v>4351871</v>
      </c>
      <c r="F30913" s="4" t="e">
        <f>IF(B30913=#REF!,"",B30913)</f>
        <v>#REF!</v>
      </c>
    </row>
    <row r="30914" spans="1:6" ht="15.75" customHeight="1">
      <c r="A30914" s="15" t="s">
        <v>28278</v>
      </c>
      <c r="B30914" s="15" t="s">
        <v>28278</v>
      </c>
      <c r="C30914" s="15" t="s">
        <v>27788</v>
      </c>
      <c r="D30914" s="15" t="s">
        <v>27905</v>
      </c>
      <c r="E30914" s="2">
        <v>5096699</v>
      </c>
      <c r="F30914" s="4" t="e">
        <f>IF(B30914=#REF!,"",B30914)</f>
        <v>#REF!</v>
      </c>
    </row>
    <row r="30915" spans="1:6" ht="15.75" customHeight="1">
      <c r="A30915" s="16" t="s">
        <v>28276</v>
      </c>
      <c r="B30915" s="15" t="s">
        <v>28277</v>
      </c>
      <c r="C30915" s="16" t="s">
        <v>27788</v>
      </c>
      <c r="D30915" s="16" t="s">
        <v>27905</v>
      </c>
      <c r="E30915" s="2">
        <v>5096686</v>
      </c>
      <c r="F30915" s="4" t="e">
        <f>IF(B30915=#REF!,"",B30915)</f>
        <v>#REF!</v>
      </c>
    </row>
    <row r="30916" spans="1:6" ht="15.75" customHeight="1">
      <c r="A30916" s="16" t="s">
        <v>7273</v>
      </c>
      <c r="B30916" s="15" t="s">
        <v>7274</v>
      </c>
      <c r="C30916" s="16" t="s">
        <v>7052</v>
      </c>
      <c r="D30916" s="16" t="s">
        <v>7058</v>
      </c>
      <c r="E30916" s="2">
        <v>3024596</v>
      </c>
      <c r="F30916" s="4" t="e">
        <f>IF(B30916=#REF!,"",B30916)</f>
        <v>#REF!</v>
      </c>
    </row>
    <row r="30917" spans="1:6" ht="15.75" customHeight="1">
      <c r="A30917" s="15" t="s">
        <v>7272</v>
      </c>
      <c r="B30917" s="15" t="s">
        <v>7272</v>
      </c>
      <c r="C30917" s="15" t="s">
        <v>7052</v>
      </c>
      <c r="D30917" s="15" t="s">
        <v>7058</v>
      </c>
      <c r="E30917" s="2">
        <v>3024597</v>
      </c>
      <c r="F30917" s="4" t="e">
        <f>IF(B30917=#REF!,"",B30917)</f>
        <v>#REF!</v>
      </c>
    </row>
    <row r="30918" spans="1:6" ht="15.75" customHeight="1">
      <c r="A30918" s="15" t="s">
        <v>28275</v>
      </c>
      <c r="B30918" s="15" t="s">
        <v>28275</v>
      </c>
      <c r="C30918" s="15" t="s">
        <v>27788</v>
      </c>
      <c r="D30918" s="15" t="s">
        <v>27957</v>
      </c>
      <c r="E30918" s="2">
        <v>4614088</v>
      </c>
      <c r="F30918" s="4" t="e">
        <f>IF(B30918=#REF!,"",B30918)</f>
        <v>#REF!</v>
      </c>
    </row>
    <row r="30919" spans="1:6" ht="15.75" customHeight="1">
      <c r="A30919" s="15" t="s">
        <v>27421</v>
      </c>
      <c r="B30919" s="15" t="s">
        <v>27421</v>
      </c>
      <c r="C30919" s="15" t="s">
        <v>27234</v>
      </c>
      <c r="D30919" s="15" t="s">
        <v>27241</v>
      </c>
      <c r="E30919" s="2">
        <v>2652861</v>
      </c>
      <c r="F30919" s="4" t="e">
        <f>IF(B30919=#REF!,"",B30919)</f>
        <v>#REF!</v>
      </c>
    </row>
    <row r="30920" spans="1:6" ht="15.75" customHeight="1">
      <c r="A30920" s="16" t="s">
        <v>7271</v>
      </c>
      <c r="B30920" s="15" t="s">
        <v>7271</v>
      </c>
      <c r="C30920" s="16" t="s">
        <v>7052</v>
      </c>
      <c r="D30920" s="16" t="s">
        <v>7053</v>
      </c>
      <c r="E30920" s="2">
        <v>3024635</v>
      </c>
      <c r="F30920" s="4" t="e">
        <f>IF(B30920=#REF!,"",B30920)</f>
        <v>#REF!</v>
      </c>
    </row>
    <row r="30921" spans="1:6" ht="15.75" customHeight="1">
      <c r="A30921" s="15" t="s">
        <v>28274</v>
      </c>
      <c r="B30921" s="15" t="s">
        <v>28274</v>
      </c>
      <c r="C30921" s="15" t="s">
        <v>27788</v>
      </c>
      <c r="D30921" s="15" t="s">
        <v>5468</v>
      </c>
      <c r="E30921" s="2">
        <v>4151352</v>
      </c>
      <c r="F30921" s="4" t="e">
        <f>IF(B30921=#REF!,"",B30921)</f>
        <v>#REF!</v>
      </c>
    </row>
    <row r="30922" spans="1:6" ht="15.75" customHeight="1">
      <c r="A30922" s="16" t="s">
        <v>28273</v>
      </c>
      <c r="B30922" s="15" t="s">
        <v>28273</v>
      </c>
      <c r="C30922" s="16" t="s">
        <v>27788</v>
      </c>
      <c r="D30922" s="16" t="s">
        <v>27822</v>
      </c>
      <c r="E30922" s="2">
        <v>4461015</v>
      </c>
      <c r="F30922" s="4" t="e">
        <f>IF(B30922=#REF!,"",B30922)</f>
        <v>#REF!</v>
      </c>
    </row>
    <row r="30923" spans="1:6" ht="15.75" customHeight="1">
      <c r="A30923" s="16" t="s">
        <v>11002</v>
      </c>
      <c r="B30923" s="15" t="s">
        <v>11003</v>
      </c>
      <c r="C30923" s="16" t="s">
        <v>10178</v>
      </c>
      <c r="D30923" s="16" t="s">
        <v>10299</v>
      </c>
      <c r="E30923" s="2">
        <v>1273880</v>
      </c>
      <c r="F30923" s="4" t="e">
        <f>IF(B30923=#REF!,"",B30923)</f>
        <v>#REF!</v>
      </c>
    </row>
    <row r="30924" spans="1:6" ht="15.75" customHeight="1">
      <c r="A30924" s="16" t="s">
        <v>27420</v>
      </c>
      <c r="B30924" s="15" t="s">
        <v>27420</v>
      </c>
      <c r="C30924" s="16" t="s">
        <v>27234</v>
      </c>
      <c r="D30924" s="16" t="s">
        <v>27241</v>
      </c>
      <c r="E30924" s="2">
        <v>2652885</v>
      </c>
      <c r="F30924" s="4" t="e">
        <f>IF(B30924=#REF!,"",B30924)</f>
        <v>#REF!</v>
      </c>
    </row>
    <row r="30925" spans="1:6" ht="15.75" customHeight="1">
      <c r="A30925" s="16" t="s">
        <v>27419</v>
      </c>
      <c r="B30925" s="15" t="s">
        <v>27419</v>
      </c>
      <c r="C30925" s="16" t="s">
        <v>27234</v>
      </c>
      <c r="D30925" s="16" t="s">
        <v>27241</v>
      </c>
      <c r="E30925" s="2">
        <v>2652890</v>
      </c>
      <c r="F30925" s="4" t="e">
        <f>IF(B30925=#REF!,"",B30925)</f>
        <v>#REF!</v>
      </c>
    </row>
    <row r="30926" spans="1:6" ht="15.75" customHeight="1">
      <c r="A30926" s="15" t="s">
        <v>28272</v>
      </c>
      <c r="B30926" s="15" t="s">
        <v>28272</v>
      </c>
      <c r="C30926" s="15" t="s">
        <v>27788</v>
      </c>
      <c r="D30926" s="15" t="s">
        <v>27792</v>
      </c>
      <c r="E30926" s="2">
        <v>4681976</v>
      </c>
      <c r="F30926" s="4" t="e">
        <f>IF(B30926=#REF!,"",B30926)</f>
        <v>#REF!</v>
      </c>
    </row>
    <row r="30927" spans="1:6" ht="15.75" customHeight="1">
      <c r="A30927" s="16" t="s">
        <v>28270</v>
      </c>
      <c r="B30927" s="15" t="s">
        <v>28271</v>
      </c>
      <c r="C30927" s="16" t="s">
        <v>27788</v>
      </c>
      <c r="D30927" s="16" t="s">
        <v>5468</v>
      </c>
      <c r="E30927" s="2">
        <v>4151316</v>
      </c>
      <c r="F30927" s="4" t="e">
        <f>IF(B30927=#REF!,"",B30927)</f>
        <v>#REF!</v>
      </c>
    </row>
    <row r="30928" spans="1:6" ht="15.75" customHeight="1">
      <c r="A30928" s="15" t="s">
        <v>28269</v>
      </c>
      <c r="B30928" s="15" t="s">
        <v>28269</v>
      </c>
      <c r="C30928" s="15" t="s">
        <v>27788</v>
      </c>
      <c r="D30928" s="15" t="s">
        <v>27801</v>
      </c>
      <c r="E30928" s="2">
        <v>5337908</v>
      </c>
      <c r="F30928" s="4" t="e">
        <f>IF(B30928=#REF!,"",B30928)</f>
        <v>#REF!</v>
      </c>
    </row>
    <row r="30929" spans="1:6" ht="15.75" customHeight="1">
      <c r="A30929" s="15" t="s">
        <v>28268</v>
      </c>
      <c r="B30929" s="15" t="s">
        <v>28268</v>
      </c>
      <c r="C30929" s="15" t="s">
        <v>27788</v>
      </c>
      <c r="D30929" s="15" t="s">
        <v>27856</v>
      </c>
      <c r="E30929" s="2">
        <v>5772959</v>
      </c>
      <c r="F30929" s="4" t="e">
        <f>IF(B30929=#REF!,"",B30929)</f>
        <v>#REF!</v>
      </c>
    </row>
    <row r="30930" spans="1:6" ht="15.75" customHeight="1">
      <c r="A30930" s="15" t="s">
        <v>943</v>
      </c>
      <c r="B30930" s="15" t="s">
        <v>943</v>
      </c>
      <c r="C30930" s="15" t="s">
        <v>885</v>
      </c>
      <c r="D30930" s="15" t="s">
        <v>827</v>
      </c>
      <c r="E30930" s="2">
        <v>2171400</v>
      </c>
      <c r="F30930" s="4" t="e">
        <f>IF(B30930=#REF!,"",B30930)</f>
        <v>#REF!</v>
      </c>
    </row>
    <row r="30931" spans="1:6" ht="15.75" customHeight="1">
      <c r="A30931" s="16" t="s">
        <v>8266</v>
      </c>
      <c r="B30931" s="15" t="s">
        <v>8267</v>
      </c>
      <c r="C30931" s="16" t="s">
        <v>8028</v>
      </c>
      <c r="D30931" s="16" t="s">
        <v>8034</v>
      </c>
      <c r="E30931" s="2">
        <v>2939995</v>
      </c>
      <c r="F30931" s="4" t="str">
        <f>IF(B30931=B30930,"",B30931)</f>
        <v>Clausthal-Zellerfeld</v>
      </c>
    </row>
    <row r="30932" spans="1:6" ht="15.75" customHeight="1">
      <c r="A30932" s="16" t="str">
        <f ca="1">IFERROR(__xludf.DUMMYFUNCTION("GOOGLETRANSLATE(B25110,""en"",""pt"")"),"Cláudio")</f>
        <v>Cláudio</v>
      </c>
      <c r="B30932" s="20" t="s">
        <v>31680</v>
      </c>
      <c r="C30932" s="20" t="s">
        <v>1905</v>
      </c>
      <c r="D30932" s="20" t="s">
        <v>1917</v>
      </c>
      <c r="E30932" s="10">
        <v>3466062</v>
      </c>
      <c r="F30932" s="4" t="e">
        <f>IF(B30932=#REF!,"",B30932)</f>
        <v>#REF!</v>
      </c>
    </row>
    <row r="30933" spans="1:6" ht="15.75" customHeight="1">
      <c r="A30933" s="16" t="s">
        <v>28267</v>
      </c>
      <c r="B30933" s="15" t="s">
        <v>28267</v>
      </c>
      <c r="C30933" s="16" t="s">
        <v>27788</v>
      </c>
      <c r="D30933" s="16" t="s">
        <v>27869</v>
      </c>
      <c r="E30933" s="2">
        <v>4255836</v>
      </c>
      <c r="F30933" s="4" t="e">
        <f>IF(B30933=#REF!,"",B30933)</f>
        <v>#REF!</v>
      </c>
    </row>
    <row r="30934" spans="1:6" ht="15.75" customHeight="1">
      <c r="A30934" s="16" t="s">
        <v>28266</v>
      </c>
      <c r="B30934" s="15" t="s">
        <v>28266</v>
      </c>
      <c r="C30934" s="16" t="s">
        <v>27788</v>
      </c>
      <c r="D30934" s="16" t="s">
        <v>28040</v>
      </c>
      <c r="E30934" s="2">
        <v>4421935</v>
      </c>
      <c r="F30934" s="4" t="e">
        <f>IF(B30934=#REF!,"",B30934)</f>
        <v>#REF!</v>
      </c>
    </row>
    <row r="30935" spans="1:6" ht="15.75" customHeight="1">
      <c r="A30935" s="16" t="s">
        <v>4022</v>
      </c>
      <c r="B30935" s="15" t="s">
        <v>4022</v>
      </c>
      <c r="C30935" s="16" t="s">
        <v>3975</v>
      </c>
      <c r="D30935" s="16" t="s">
        <v>3980</v>
      </c>
      <c r="E30935" s="2">
        <v>5923101</v>
      </c>
      <c r="F30935" s="4" t="e">
        <f>IF(B30935=#REF!,"",B30935)</f>
        <v>#REF!</v>
      </c>
    </row>
    <row r="30936" spans="1:6" ht="15.75" customHeight="1">
      <c r="A30936" s="16" t="s">
        <v>28265</v>
      </c>
      <c r="B30936" s="15" t="s">
        <v>28265</v>
      </c>
      <c r="C30936" s="16" t="s">
        <v>27788</v>
      </c>
      <c r="D30936" s="16" t="s">
        <v>27797</v>
      </c>
      <c r="E30936" s="2">
        <v>4533580</v>
      </c>
      <c r="F30936" s="4" t="e">
        <f>IF(B30936=#REF!,"",B30936)</f>
        <v>#REF!</v>
      </c>
    </row>
    <row r="30937" spans="1:6" ht="15.75" customHeight="1">
      <c r="A30937" s="16" t="s">
        <v>28264</v>
      </c>
      <c r="B30937" s="15" t="s">
        <v>28264</v>
      </c>
      <c r="C30937" s="16" t="s">
        <v>27788</v>
      </c>
      <c r="D30937" s="16" t="s">
        <v>27801</v>
      </c>
      <c r="E30937" s="2">
        <v>5337696</v>
      </c>
      <c r="F30937" s="4" t="e">
        <f>IF(B30937=#REF!,"",B30937)</f>
        <v>#REF!</v>
      </c>
    </row>
    <row r="30938" spans="1:6" ht="15.75" customHeight="1">
      <c r="A30938" s="15" t="s">
        <v>7270</v>
      </c>
      <c r="B30938" s="15" t="s">
        <v>7270</v>
      </c>
      <c r="C30938" s="15" t="s">
        <v>7052</v>
      </c>
      <c r="D30938" s="15" t="s">
        <v>7058</v>
      </c>
      <c r="E30938" s="2">
        <v>3024783</v>
      </c>
      <c r="F30938" s="4" t="e">
        <f>IF(B30938=#REF!,"",B30938)</f>
        <v>#REF!</v>
      </c>
    </row>
    <row r="30939" spans="1:6" ht="15.75" customHeight="1">
      <c r="A30939" s="16" t="s">
        <v>27418</v>
      </c>
      <c r="B30939" s="15" t="s">
        <v>27418</v>
      </c>
      <c r="C30939" s="16" t="s">
        <v>27234</v>
      </c>
      <c r="D30939" s="16" t="s">
        <v>27241</v>
      </c>
      <c r="E30939" s="2">
        <v>2652974</v>
      </c>
      <c r="F30939" s="4" t="str">
        <f>IF(B30939=B30938,"",B30939)</f>
        <v>Clacton-on-Sea</v>
      </c>
    </row>
    <row r="30940" spans="1:6" ht="15.75" customHeight="1">
      <c r="A30940" s="15" t="s">
        <v>2330</v>
      </c>
      <c r="B30940" s="15" t="s">
        <v>2331</v>
      </c>
      <c r="C30940" s="15" t="s">
        <v>1905</v>
      </c>
      <c r="D30940" s="15" t="s">
        <v>1917</v>
      </c>
      <c r="E30940" s="2">
        <v>3466062</v>
      </c>
      <c r="F30940" s="4" t="e">
        <f>IF(B30940=#REF!,"",B30940)</f>
        <v>#REF!</v>
      </c>
    </row>
    <row r="30941" spans="1:6" ht="15.75" customHeight="1">
      <c r="A30941" s="15" t="s">
        <v>26431</v>
      </c>
      <c r="B30941" s="15" t="s">
        <v>26431</v>
      </c>
      <c r="C30941" s="15" t="s">
        <v>26201</v>
      </c>
      <c r="D30941" s="15" t="s">
        <v>26202</v>
      </c>
      <c r="E30941" s="2">
        <v>318253</v>
      </c>
      <c r="F30941" s="4" t="e">
        <f>IF(B30941=#REF!,"",B30941)</f>
        <v>#REF!</v>
      </c>
    </row>
    <row r="30942" spans="1:6" ht="15.75" customHeight="1">
      <c r="A30942" s="16" t="s">
        <v>15090</v>
      </c>
      <c r="B30942" s="15" t="s">
        <v>15090</v>
      </c>
      <c r="C30942" s="16" t="s">
        <v>14891</v>
      </c>
      <c r="D30942" s="16" t="s">
        <v>14904</v>
      </c>
      <c r="E30942" s="2">
        <v>3178587</v>
      </c>
      <c r="F30942" s="4" t="e">
        <f>IF(B30942=#REF!,"",B30942)</f>
        <v>#REF!</v>
      </c>
    </row>
    <row r="30943" spans="1:6" ht="15.75" customHeight="1">
      <c r="A30943" s="16" t="s">
        <v>15089</v>
      </c>
      <c r="B30943" s="15" t="s">
        <v>15089</v>
      </c>
      <c r="C30943" s="16" t="s">
        <v>14891</v>
      </c>
      <c r="D30943" s="16" t="s">
        <v>14931</v>
      </c>
      <c r="E30943" s="2">
        <v>3170102</v>
      </c>
      <c r="F30943" s="4" t="e">
        <f>IF(B30943=#REF!,"",B30943)</f>
        <v>#REF!</v>
      </c>
    </row>
    <row r="30944" spans="1:6" ht="15.75" customHeight="1">
      <c r="A30944" s="16" t="s">
        <v>24413</v>
      </c>
      <c r="B30944" s="15" t="s">
        <v>24413</v>
      </c>
      <c r="C30944" s="16" t="s">
        <v>24200</v>
      </c>
      <c r="D30944" s="16" t="s">
        <v>24277</v>
      </c>
      <c r="E30944" s="2">
        <v>6544106</v>
      </c>
      <c r="F30944" s="4" t="e">
        <f>IF(B30944=#REF!,"",B30944)</f>
        <v>#REF!</v>
      </c>
    </row>
    <row r="30945" spans="1:6" ht="15.75" customHeight="1">
      <c r="A30945" s="16" t="s">
        <v>24412</v>
      </c>
      <c r="B30945" s="15" t="s">
        <v>24412</v>
      </c>
      <c r="C30945" s="16" t="s">
        <v>24200</v>
      </c>
      <c r="D30945" s="16" t="s">
        <v>24236</v>
      </c>
      <c r="E30945" s="2">
        <v>3124967</v>
      </c>
      <c r="F30945" s="4" t="e">
        <f>IF(B30945=#REF!,"",B30945)</f>
        <v>#REF!</v>
      </c>
    </row>
    <row r="30946" spans="1:6" ht="15.75" customHeight="1">
      <c r="A30946" s="16" t="s">
        <v>9722</v>
      </c>
      <c r="B30946" s="15" t="s">
        <v>9722</v>
      </c>
      <c r="C30946" s="16" t="s">
        <v>9700</v>
      </c>
      <c r="D30946" s="16" t="s">
        <v>9701</v>
      </c>
      <c r="E30946" s="2">
        <v>3598128</v>
      </c>
      <c r="F30946" s="4" t="e">
        <f>IF(B30946=#REF!,"",B30946)</f>
        <v>#REF!</v>
      </c>
    </row>
    <row r="30947" spans="1:6" ht="15.75" customHeight="1">
      <c r="A30947" s="16" t="s">
        <v>17876</v>
      </c>
      <c r="B30947" s="15" t="s">
        <v>17876</v>
      </c>
      <c r="C30947" s="16" t="s">
        <v>17707</v>
      </c>
      <c r="D30947" s="16" t="s">
        <v>17740</v>
      </c>
      <c r="E30947" s="2">
        <v>3530580</v>
      </c>
      <c r="F30947" s="4" t="e">
        <f>IF(B30947=#REF!,"",B30947)</f>
        <v>#REF!</v>
      </c>
    </row>
    <row r="30948" spans="1:6" ht="15.75" customHeight="1">
      <c r="A30948" s="16" t="s">
        <v>17875</v>
      </c>
      <c r="B30948" s="15" t="s">
        <v>17875</v>
      </c>
      <c r="C30948" s="16" t="s">
        <v>17707</v>
      </c>
      <c r="D30948" s="16" t="s">
        <v>17802</v>
      </c>
      <c r="E30948" s="2">
        <v>3530582</v>
      </c>
      <c r="F30948" s="4" t="str">
        <f>IF(B30948=B30947,"",B30948)</f>
        <v>Ciudad Valles</v>
      </c>
    </row>
    <row r="30949" spans="1:6" ht="15.75" customHeight="1">
      <c r="A30949" s="16" t="str">
        <f ca="1">IFERROR(__xludf.DUMMYFUNCTION("GOOGLETRANSLATE(B37054,""en"",""pt"")"),"Ciudad Serdán")</f>
        <v>Ciudad Serdán</v>
      </c>
      <c r="B30949" s="20" t="s">
        <v>34708</v>
      </c>
      <c r="C30949" s="20" t="s">
        <v>17707</v>
      </c>
      <c r="D30949" s="20" t="s">
        <v>17717</v>
      </c>
      <c r="E30949" s="10">
        <v>3530584</v>
      </c>
      <c r="F30949" s="4" t="str">
        <f>IF(B30949=B30948,"",B30949)</f>
        <v>Ciudad Serdán</v>
      </c>
    </row>
    <row r="30950" spans="1:6" ht="15.75" customHeight="1">
      <c r="A30950" s="16" t="s">
        <v>17873</v>
      </c>
      <c r="B30950" s="15" t="s">
        <v>17874</v>
      </c>
      <c r="C30950" s="16" t="s">
        <v>17707</v>
      </c>
      <c r="D30950" s="16" t="s">
        <v>17717</v>
      </c>
      <c r="E30950" s="2">
        <v>3530584</v>
      </c>
      <c r="F30950" s="4" t="e">
        <f>IF(B30950=#REF!,"",B30950)</f>
        <v>#REF!</v>
      </c>
    </row>
    <row r="30951" spans="1:6" ht="15.75" customHeight="1">
      <c r="A30951" s="16" t="s">
        <v>19223</v>
      </c>
      <c r="B30951" s="15" t="s">
        <v>19223</v>
      </c>
      <c r="C30951" s="16" t="s">
        <v>19217</v>
      </c>
      <c r="D30951" s="16" t="s">
        <v>19224</v>
      </c>
      <c r="E30951" s="2">
        <v>3828262</v>
      </c>
      <c r="F30951" s="4" t="e">
        <f>IF(B30951=#REF!,"",B30951)</f>
        <v>#REF!</v>
      </c>
    </row>
    <row r="30952" spans="1:6" ht="15.75" customHeight="1">
      <c r="A30952" s="16" t="s">
        <v>17872</v>
      </c>
      <c r="B30952" s="15" t="s">
        <v>17872</v>
      </c>
      <c r="C30952" s="16" t="s">
        <v>17707</v>
      </c>
      <c r="D30952" s="16" t="s">
        <v>17729</v>
      </c>
      <c r="E30952" s="2">
        <v>3530587</v>
      </c>
      <c r="F30952" s="4" t="e">
        <f>IF(B30952=#REF!,"",B30952)</f>
        <v>#REF!</v>
      </c>
    </row>
    <row r="30953" spans="1:6" ht="15.75" customHeight="1">
      <c r="A30953" s="16" t="s">
        <v>17871</v>
      </c>
      <c r="B30953" s="15" t="s">
        <v>17871</v>
      </c>
      <c r="C30953" s="16" t="s">
        <v>17707</v>
      </c>
      <c r="D30953" s="16" t="s">
        <v>17738</v>
      </c>
      <c r="E30953" s="2">
        <v>3988333</v>
      </c>
      <c r="F30953" s="4" t="e">
        <f>IF(B30953=#REF!,"",B30953)</f>
        <v>#REF!</v>
      </c>
    </row>
    <row r="30954" spans="1:6" ht="15.75" customHeight="1">
      <c r="A30954" s="16" t="s">
        <v>24411</v>
      </c>
      <c r="B30954" s="15" t="s">
        <v>24411</v>
      </c>
      <c r="C30954" s="16" t="s">
        <v>24200</v>
      </c>
      <c r="D30954" s="16" t="s">
        <v>24218</v>
      </c>
      <c r="E30954" s="2">
        <v>2519402</v>
      </c>
      <c r="F30954" s="4" t="str">
        <f>IF(B30954=B30953,"",B30954)</f>
        <v>Ciudad Real</v>
      </c>
    </row>
    <row r="30955" spans="1:6" ht="15.75" customHeight="1">
      <c r="A30955" s="16" t="str">
        <f ca="1">IFERROR(__xludf.DUMMYFUNCTION("GOOGLETRANSLATE(B37313,""en"",""pt"")"),"Ciudad Obregón")</f>
        <v>Ciudad Obregón</v>
      </c>
      <c r="B30955" s="20" t="s">
        <v>34771</v>
      </c>
      <c r="C30955" s="20" t="s">
        <v>17707</v>
      </c>
      <c r="D30955" s="20" t="s">
        <v>17732</v>
      </c>
      <c r="E30955" s="10">
        <v>4013704</v>
      </c>
      <c r="F30955" s="4" t="str">
        <f>IF(B30955=B30954,"",B30955)</f>
        <v>Ciudad Obregón</v>
      </c>
    </row>
    <row r="30956" spans="1:6" ht="15.75" customHeight="1">
      <c r="A30956" s="16" t="s">
        <v>17869</v>
      </c>
      <c r="B30956" s="15" t="s">
        <v>17870</v>
      </c>
      <c r="C30956" s="16" t="s">
        <v>17707</v>
      </c>
      <c r="D30956" s="16" t="s">
        <v>17732</v>
      </c>
      <c r="E30956" s="2">
        <v>4013704</v>
      </c>
      <c r="F30956" s="4" t="e">
        <f>IF(B30956=#REF!,"",B30956)</f>
        <v>#REF!</v>
      </c>
    </row>
    <row r="30957" spans="1:6" ht="15.75" customHeight="1">
      <c r="A30957" s="16" t="s">
        <v>6315</v>
      </c>
      <c r="B30957" s="15" t="s">
        <v>6315</v>
      </c>
      <c r="C30957" s="16" t="s">
        <v>6303</v>
      </c>
      <c r="D30957" s="16" t="s">
        <v>6311</v>
      </c>
      <c r="E30957" s="2">
        <v>3509578</v>
      </c>
      <c r="F30957" s="4" t="e">
        <f>IF(B30957=#REF!,"",B30957)</f>
        <v>#REF!</v>
      </c>
    </row>
    <row r="30958" spans="1:6" ht="15.75" customHeight="1">
      <c r="A30958" s="16" t="s">
        <v>17868</v>
      </c>
      <c r="B30958" s="15" t="s">
        <v>17868</v>
      </c>
      <c r="C30958" s="16" t="s">
        <v>17707</v>
      </c>
      <c r="D30958" s="16" t="s">
        <v>17736</v>
      </c>
      <c r="E30958" s="2">
        <v>3530589</v>
      </c>
      <c r="F30958" s="4" t="str">
        <f>IF(B30958=B30957,"",B30958)</f>
        <v>Ciudad Nezahualcoyotl</v>
      </c>
    </row>
    <row r="30959" spans="1:6" ht="15.75" customHeight="1">
      <c r="A30959" s="16" t="str">
        <f ca="1">IFERROR(__xludf.DUMMYFUNCTION("GOOGLETRANSLATE(B37057,""en"",""pt"")"),"Ciudad Miguel Alemán")</f>
        <v>Ciudad Miguel Alemán</v>
      </c>
      <c r="B30959" s="20" t="s">
        <v>34709</v>
      </c>
      <c r="C30959" s="20" t="s">
        <v>17707</v>
      </c>
      <c r="D30959" s="20" t="s">
        <v>17740</v>
      </c>
      <c r="E30959" s="10">
        <v>3530590</v>
      </c>
      <c r="F30959" s="4" t="str">
        <f>IF(B30959=B30958,"",B30959)</f>
        <v>Ciudad Miguel Alemán</v>
      </c>
    </row>
    <row r="30960" spans="1:6" ht="15.75" customHeight="1">
      <c r="A30960" s="16" t="s">
        <v>17866</v>
      </c>
      <c r="B30960" s="15" t="s">
        <v>17867</v>
      </c>
      <c r="C30960" s="16" t="s">
        <v>17707</v>
      </c>
      <c r="D30960" s="16" t="s">
        <v>17740</v>
      </c>
      <c r="E30960" s="2">
        <v>3530590</v>
      </c>
      <c r="F30960" s="4" t="e">
        <f>IF(B30960=#REF!,"",B30960)</f>
        <v>#REF!</v>
      </c>
    </row>
    <row r="30961" spans="1:6" ht="15.75" customHeight="1">
      <c r="A30961" s="16" t="s">
        <v>17865</v>
      </c>
      <c r="B30961" s="15" t="s">
        <v>17865</v>
      </c>
      <c r="C30961" s="16" t="s">
        <v>17707</v>
      </c>
      <c r="D30961" s="16" t="s">
        <v>17708</v>
      </c>
      <c r="E30961" s="2">
        <v>3530592</v>
      </c>
      <c r="F30961" s="4" t="e">
        <f>IF(B30961=#REF!,"",B30961)</f>
        <v>#REF!</v>
      </c>
    </row>
    <row r="30962" spans="1:6" ht="15.75" customHeight="1">
      <c r="A30962" s="16" t="s">
        <v>17864</v>
      </c>
      <c r="B30962" s="15" t="s">
        <v>17864</v>
      </c>
      <c r="C30962" s="16" t="s">
        <v>17707</v>
      </c>
      <c r="D30962" s="16" t="s">
        <v>17740</v>
      </c>
      <c r="E30962" s="2">
        <v>3528756</v>
      </c>
      <c r="F30962" s="4" t="e">
        <f>IF(B30962=#REF!,"",B30962)</f>
        <v>#REF!</v>
      </c>
    </row>
    <row r="30963" spans="1:6" ht="15.75" customHeight="1">
      <c r="A30963" s="16" t="s">
        <v>17863</v>
      </c>
      <c r="B30963" s="15" t="s">
        <v>17863</v>
      </c>
      <c r="C30963" s="16" t="s">
        <v>17707</v>
      </c>
      <c r="D30963" s="16" t="s">
        <v>17740</v>
      </c>
      <c r="E30963" s="2">
        <v>3530594</v>
      </c>
      <c r="F30963" s="4" t="str">
        <f>IF(B30963=B30962,"",B30963)</f>
        <v>Ciudad Madero</v>
      </c>
    </row>
    <row r="30964" spans="1:6" ht="15.75" customHeight="1">
      <c r="A30964" s="16" t="str">
        <f ca="1">IFERROR(__xludf.DUMMYFUNCTION("GOOGLETRANSLATE(B37092,""en"",""pt"")"),"Ciudad lópez mateos")</f>
        <v>Ciudad lópez mateos</v>
      </c>
      <c r="B30964" s="20" t="s">
        <v>34716</v>
      </c>
      <c r="C30964" s="20" t="s">
        <v>17707</v>
      </c>
      <c r="D30964" s="20" t="s">
        <v>20902</v>
      </c>
      <c r="E30964" s="10">
        <v>3532624</v>
      </c>
      <c r="F30964" s="4" t="e">
        <f>IF(B30964=#REF!,"",B30964)</f>
        <v>#REF!</v>
      </c>
    </row>
    <row r="30965" spans="1:6" ht="15.75" customHeight="1">
      <c r="A30965" s="16" t="s">
        <v>24409</v>
      </c>
      <c r="B30965" s="15" t="s">
        <v>24410</v>
      </c>
      <c r="C30965" s="16" t="s">
        <v>24200</v>
      </c>
      <c r="D30965" s="16" t="s">
        <v>5513</v>
      </c>
      <c r="E30965" s="2">
        <v>3124964</v>
      </c>
      <c r="F30965" s="4" t="e">
        <f>IF(B30965=#REF!,"",B30965)</f>
        <v>#REF!</v>
      </c>
    </row>
    <row r="30966" spans="1:6" ht="15.75" customHeight="1">
      <c r="A30966" s="16" t="s">
        <v>17862</v>
      </c>
      <c r="B30966" s="15" t="s">
        <v>17862</v>
      </c>
      <c r="C30966" s="16" t="s">
        <v>17707</v>
      </c>
      <c r="D30966" s="16" t="s">
        <v>17738</v>
      </c>
      <c r="E30966" s="2">
        <v>4013706</v>
      </c>
      <c r="F30966" s="4" t="str">
        <f>IF(B30966=B30965,"",B30966)</f>
        <v>Ciudad Lerdo</v>
      </c>
    </row>
    <row r="30967" spans="1:6" ht="15.75" customHeight="1">
      <c r="A30967" s="16" t="str">
        <f ca="1">IFERROR(__xludf.DUMMYFUNCTION("GOOGLETRANSLATE(B37353,""en"",""pt"")"),"Ciudad Lázaro Cárdenas")</f>
        <v>Ciudad Lázaro Cárdenas</v>
      </c>
      <c r="B30967" s="20" t="s">
        <v>34785</v>
      </c>
      <c r="C30967" s="20" t="s">
        <v>17707</v>
      </c>
      <c r="D30967" s="20" t="s">
        <v>34727</v>
      </c>
      <c r="E30967" s="10">
        <v>4026082</v>
      </c>
      <c r="F30967" s="4" t="str">
        <f>IF(B30967=B30966,"",B30967)</f>
        <v>Ciudad Lázaro Cárdenas</v>
      </c>
    </row>
    <row r="30968" spans="1:6" ht="15.75" customHeight="1">
      <c r="A30968" s="16" t="s">
        <v>17860</v>
      </c>
      <c r="B30968" s="15" t="s">
        <v>17861</v>
      </c>
      <c r="C30968" s="16" t="s">
        <v>17707</v>
      </c>
      <c r="D30968" s="16" t="s">
        <v>17736</v>
      </c>
      <c r="E30968" s="2">
        <v>3532624</v>
      </c>
      <c r="F30968" s="4" t="str">
        <f>IF(B30968=B30967,"",B30968)</f>
        <v>Ciudad LÃ³pez Mateos</v>
      </c>
    </row>
    <row r="30969" spans="1:6" ht="15.75" customHeight="1">
      <c r="A30969" s="16" t="s">
        <v>17858</v>
      </c>
      <c r="B30969" s="15" t="s">
        <v>17859</v>
      </c>
      <c r="C30969" s="16" t="s">
        <v>17707</v>
      </c>
      <c r="D30969" s="16" t="s">
        <v>17761</v>
      </c>
      <c r="E30969" s="2">
        <v>4026082</v>
      </c>
      <c r="F30969" s="4" t="str">
        <f>IF(B30969=B30968,"",B30969)</f>
        <v>Ciudad LÃ¡zaro CÃ¡rdenas</v>
      </c>
    </row>
    <row r="30970" spans="1:6" ht="15.75" customHeight="1">
      <c r="A30970" s="16" t="str">
        <f ca="1">IFERROR(__xludf.DUMMYFUNCTION("GOOGLETRANSLATE(B37315,""en"",""pt"")"),"Ciudad Juárez")</f>
        <v>Ciudad Juárez</v>
      </c>
      <c r="B30970" s="20" t="s">
        <v>34772</v>
      </c>
      <c r="C30970" s="20" t="s">
        <v>17707</v>
      </c>
      <c r="D30970" s="20" t="s">
        <v>17826</v>
      </c>
      <c r="E30970" s="10">
        <v>4013708</v>
      </c>
      <c r="F30970" s="4" t="str">
        <f>IF(B30970=B30969,"",B30970)</f>
        <v>Ciudad Juárez</v>
      </c>
    </row>
    <row r="30971" spans="1:6" ht="15.75" customHeight="1">
      <c r="A30971" s="16" t="s">
        <v>17856</v>
      </c>
      <c r="B30971" s="15" t="s">
        <v>17857</v>
      </c>
      <c r="C30971" s="16" t="s">
        <v>17707</v>
      </c>
      <c r="D30971" s="16" t="s">
        <v>17826</v>
      </c>
      <c r="E30971" s="2">
        <v>4013708</v>
      </c>
      <c r="F30971" s="4" t="e">
        <f>IF(B30971=#REF!,"",B30971)</f>
        <v>#REF!</v>
      </c>
    </row>
    <row r="30972" spans="1:6" ht="15.75" customHeight="1">
      <c r="A30972" s="16" t="s">
        <v>17855</v>
      </c>
      <c r="B30972" s="15" t="s">
        <v>17855</v>
      </c>
      <c r="C30972" s="16" t="s">
        <v>17707</v>
      </c>
      <c r="D30972" s="16" t="s">
        <v>17761</v>
      </c>
      <c r="E30972" s="2">
        <v>4013712</v>
      </c>
      <c r="F30972" s="4" t="str">
        <f>IF(B30972=B30971,"",B30972)</f>
        <v>Ciudad Hidalgo</v>
      </c>
    </row>
    <row r="30973" spans="1:6" ht="15.75" customHeight="1">
      <c r="A30973" s="16" t="str">
        <f ca="1">IFERROR(__xludf.DUMMYFUNCTION("GOOGLETRANSLATE(B37317,""en"",""pt"")"),"Ciudad Guzmán")</f>
        <v>Ciudad Guzmán</v>
      </c>
      <c r="B30973" s="20" t="s">
        <v>34773</v>
      </c>
      <c r="C30973" s="20" t="s">
        <v>17707</v>
      </c>
      <c r="D30973" s="20" t="s">
        <v>17746</v>
      </c>
      <c r="E30973" s="10">
        <v>4013714</v>
      </c>
      <c r="F30973" s="4" t="str">
        <f>IF(B30973=B30972,"",B30973)</f>
        <v>Ciudad Guzmán</v>
      </c>
    </row>
    <row r="30974" spans="1:6" ht="15.75" customHeight="1">
      <c r="A30974" s="16" t="s">
        <v>17853</v>
      </c>
      <c r="B30974" s="15" t="s">
        <v>17854</v>
      </c>
      <c r="C30974" s="16" t="s">
        <v>17707</v>
      </c>
      <c r="D30974" s="16" t="s">
        <v>17746</v>
      </c>
      <c r="E30974" s="2">
        <v>4013714</v>
      </c>
      <c r="F30974" s="4" t="e">
        <f>IF(B30974=#REF!,"",B30974)</f>
        <v>#REF!</v>
      </c>
    </row>
    <row r="30975" spans="1:6" ht="15.75" customHeight="1">
      <c r="A30975" s="16" t="s">
        <v>30677</v>
      </c>
      <c r="B30975" s="15" t="s">
        <v>30677</v>
      </c>
      <c r="C30975" s="16" t="s">
        <v>5923</v>
      </c>
      <c r="D30975" s="16" t="s">
        <v>5373</v>
      </c>
      <c r="E30975" s="2">
        <v>3645528</v>
      </c>
      <c r="F30975" s="4" t="e">
        <f>IF(B30975=#REF!,"",B30975)</f>
        <v>#REF!</v>
      </c>
    </row>
    <row r="30976" spans="1:6" ht="15.75" customHeight="1">
      <c r="A30976" s="16" t="s">
        <v>17852</v>
      </c>
      <c r="B30976" s="15" t="s">
        <v>17852</v>
      </c>
      <c r="C30976" s="16" t="s">
        <v>17707</v>
      </c>
      <c r="D30976" s="16" t="s">
        <v>17738</v>
      </c>
      <c r="E30976" s="2">
        <v>3980180</v>
      </c>
      <c r="F30976" s="4" t="str">
        <f>IF(B30976=B30975,"",B30976)</f>
        <v>Ciudad Frontera</v>
      </c>
    </row>
    <row r="30977" spans="1:6" ht="15.75" customHeight="1">
      <c r="A30977" s="16" t="str">
        <f ca="1">IFERROR(__xludf.DUMMYFUNCTION("GOOGLETRANSLATE(B37060,""en"",""pt"")"),"Ciudad Fernández")</f>
        <v>Ciudad Fernández</v>
      </c>
      <c r="B30977" s="20" t="s">
        <v>34710</v>
      </c>
      <c r="C30977" s="20" t="s">
        <v>17707</v>
      </c>
      <c r="D30977" s="20" t="s">
        <v>34674</v>
      </c>
      <c r="E30977" s="10">
        <v>3530596</v>
      </c>
      <c r="F30977" s="4" t="str">
        <f>IF(B30977=B30976,"",B30977)</f>
        <v>Ciudad Fernández</v>
      </c>
    </row>
    <row r="30978" spans="1:6" ht="15.75" customHeight="1">
      <c r="A30978" s="16" t="s">
        <v>17850</v>
      </c>
      <c r="B30978" s="15" t="s">
        <v>17851</v>
      </c>
      <c r="C30978" s="16" t="s">
        <v>17707</v>
      </c>
      <c r="D30978" s="16" t="s">
        <v>17802</v>
      </c>
      <c r="E30978" s="2">
        <v>3530596</v>
      </c>
      <c r="F30978" s="4" t="e">
        <f>IF(B30978=#REF!,"",B30978)</f>
        <v>#REF!</v>
      </c>
    </row>
    <row r="30979" spans="1:6" ht="15.75" customHeight="1">
      <c r="A30979" s="16" t="s">
        <v>17849</v>
      </c>
      <c r="B30979" s="15" t="s">
        <v>17849</v>
      </c>
      <c r="C30979" s="16" t="s">
        <v>17707</v>
      </c>
      <c r="D30979" s="16" t="s">
        <v>17826</v>
      </c>
      <c r="E30979" s="2">
        <v>4013720</v>
      </c>
      <c r="F30979" s="4" t="e">
        <f>IF(B30979=#REF!,"",B30979)</f>
        <v>#REF!</v>
      </c>
    </row>
    <row r="30980" spans="1:6" ht="15.75" customHeight="1">
      <c r="A30980" s="16" t="s">
        <v>20443</v>
      </c>
      <c r="B30980" s="15" t="s">
        <v>20443</v>
      </c>
      <c r="C30980" s="16" t="s">
        <v>20433</v>
      </c>
      <c r="D30980" s="16" t="s">
        <v>20444</v>
      </c>
      <c r="E30980" s="2">
        <v>3439101</v>
      </c>
      <c r="F30980" s="4" t="e">
        <f>IF(B30980=#REF!,"",B30980)</f>
        <v>#REF!</v>
      </c>
    </row>
    <row r="30981" spans="1:6" ht="15.75" customHeight="1">
      <c r="A30981" s="16" t="s">
        <v>17848</v>
      </c>
      <c r="B30981" s="15" t="s">
        <v>17848</v>
      </c>
      <c r="C30981" s="16" t="s">
        <v>17707</v>
      </c>
      <c r="D30981" s="16" t="s">
        <v>17794</v>
      </c>
      <c r="E30981" s="2">
        <v>3530599</v>
      </c>
      <c r="F30981" s="4" t="str">
        <f>IF(B30981=B30980,"",B30981)</f>
        <v>Ciudad del Carmen</v>
      </c>
    </row>
    <row r="30982" spans="1:6" ht="15.75" customHeight="1">
      <c r="A30982" s="16" t="str">
        <f ca="1">IFERROR(__xludf.DUMMYFUNCTION("GOOGLETRANSLATE(B37154,""en"",""pt"")"),"Ciudad de Villa de Álvarez")</f>
        <v>Ciudad de Villa de Álvarez</v>
      </c>
      <c r="B30982" s="20" t="s">
        <v>34732</v>
      </c>
      <c r="C30982" s="20" t="s">
        <v>17707</v>
      </c>
      <c r="D30982" s="20" t="s">
        <v>5676</v>
      </c>
      <c r="E30982" s="10">
        <v>3980194</v>
      </c>
      <c r="F30982" s="4" t="str">
        <f>IF(B30982=B30981,"",B30982)</f>
        <v>Ciudad de Villa de Álvarez</v>
      </c>
    </row>
    <row r="30983" spans="1:6" ht="15.75" customHeight="1">
      <c r="A30983" s="16" t="s">
        <v>17846</v>
      </c>
      <c r="B30983" s="15" t="s">
        <v>17847</v>
      </c>
      <c r="C30983" s="16" t="s">
        <v>17707</v>
      </c>
      <c r="D30983" s="16" t="s">
        <v>5676</v>
      </c>
      <c r="E30983" s="2">
        <v>3980194</v>
      </c>
      <c r="F30983" s="4" t="e">
        <f>IF(B30983=#REF!,"",B30983)</f>
        <v>#REF!</v>
      </c>
    </row>
    <row r="30984" spans="1:6" ht="15.75" customHeight="1">
      <c r="A30984" s="16" t="s">
        <v>17845</v>
      </c>
      <c r="B30984" s="15" t="s">
        <v>17845</v>
      </c>
      <c r="C30984" s="16" t="s">
        <v>17707</v>
      </c>
      <c r="D30984" s="16" t="s">
        <v>17723</v>
      </c>
      <c r="E30984" s="2">
        <v>8858115</v>
      </c>
      <c r="F30984" s="4" t="str">
        <f>IF(B30984=B30983,"",B30984)</f>
        <v>Ciudad de Huitzuco</v>
      </c>
    </row>
    <row r="30985" spans="1:6" ht="15.75" customHeight="1">
      <c r="A30985" s="16" t="str">
        <f ca="1">IFERROR(__xludf.DUMMYFUNCTION("GOOGLETRANSLATE(B37022,""en"",""pt"")"),"Ciudad de Huajuapan de León")</f>
        <v>Ciudad de Huajuapan de León</v>
      </c>
      <c r="B30985" s="20" t="s">
        <v>34701</v>
      </c>
      <c r="C30985" s="20" t="s">
        <v>17707</v>
      </c>
      <c r="D30985" s="20" t="s">
        <v>17844</v>
      </c>
      <c r="E30985" s="10">
        <v>3527023</v>
      </c>
      <c r="F30985" s="4" t="str">
        <f>IF(B30985=B30984,"",B30985)</f>
        <v>Ciudad de Huajuapan de León</v>
      </c>
    </row>
    <row r="30986" spans="1:6" ht="15.75" customHeight="1">
      <c r="A30986" s="16" t="s">
        <v>17842</v>
      </c>
      <c r="B30986" s="15" t="s">
        <v>17843</v>
      </c>
      <c r="C30986" s="16" t="s">
        <v>17707</v>
      </c>
      <c r="D30986" s="16" t="s">
        <v>17844</v>
      </c>
      <c r="E30986" s="2">
        <v>3527023</v>
      </c>
      <c r="F30986" s="4" t="str">
        <f>IF(B30986=B30985,"",B30986)</f>
        <v>Ciudad de Huajuapan de LeÃ³n</v>
      </c>
    </row>
    <row r="30987" spans="1:6" ht="15.75" customHeight="1">
      <c r="A30987" s="16" t="str">
        <f ca="1">IFERROR(__xludf.DUMMYFUNCTION("GOOGLETRANSLATE(B37319,""en"",""pt"")"),"Ciudad Constitución")</f>
        <v>Ciudad Constitución</v>
      </c>
      <c r="B30987" s="20" t="s">
        <v>34774</v>
      </c>
      <c r="C30987" s="20" t="s">
        <v>17707</v>
      </c>
      <c r="D30987" s="20" t="s">
        <v>17790</v>
      </c>
      <c r="E30987" s="10">
        <v>4013723</v>
      </c>
      <c r="F30987" s="4" t="str">
        <f>IF(B30987=B30986,"",B30987)</f>
        <v>Ciudad Constitución</v>
      </c>
    </row>
    <row r="30988" spans="1:6" ht="15.75" customHeight="1">
      <c r="A30988" s="16" t="s">
        <v>17840</v>
      </c>
      <c r="B30988" s="15" t="s">
        <v>17841</v>
      </c>
      <c r="C30988" s="16" t="s">
        <v>17707</v>
      </c>
      <c r="D30988" s="16" t="s">
        <v>17790</v>
      </c>
      <c r="E30988" s="2">
        <v>4013723</v>
      </c>
      <c r="F30988" s="4" t="e">
        <f>IF(B30988=#REF!,"",B30988)</f>
        <v>#REF!</v>
      </c>
    </row>
    <row r="30989" spans="1:6" ht="15.75" customHeight="1">
      <c r="A30989" s="16" t="s">
        <v>9909</v>
      </c>
      <c r="B30989" s="15" t="s">
        <v>9909</v>
      </c>
      <c r="C30989" s="16" t="s">
        <v>9907</v>
      </c>
      <c r="D30989" s="16" t="s">
        <v>9910</v>
      </c>
      <c r="E30989" s="2">
        <v>3613528</v>
      </c>
      <c r="F30989" s="4" t="e">
        <f>IF(B30989=#REF!,"",B30989)</f>
        <v>#REF!</v>
      </c>
    </row>
    <row r="30990" spans="1:6" ht="15.75" customHeight="1">
      <c r="A30990" s="16" t="s">
        <v>17839</v>
      </c>
      <c r="B30990" s="15" t="s">
        <v>17839</v>
      </c>
      <c r="C30990" s="16" t="s">
        <v>17707</v>
      </c>
      <c r="D30990" s="16" t="s">
        <v>17826</v>
      </c>
      <c r="E30990" s="2">
        <v>4013724</v>
      </c>
      <c r="F30990" s="4" t="e">
        <f>IF(B30990=#REF!,"",B30990)</f>
        <v>#REF!</v>
      </c>
    </row>
    <row r="30991" spans="1:6" ht="15.75" customHeight="1">
      <c r="A30991" s="16" t="str">
        <f ca="1">IFERROR(__xludf.DUMMYFUNCTION("GOOGLETRANSLATE(B27056,""en"",""pt"")"),"Ciudad Bolívar")</f>
        <v>Ciudad Bolívar</v>
      </c>
      <c r="B30991" s="20" t="s">
        <v>31892</v>
      </c>
      <c r="C30991" s="20" t="s">
        <v>5348</v>
      </c>
      <c r="D30991" s="20" t="s">
        <v>5362</v>
      </c>
      <c r="E30991" s="10">
        <v>3792376</v>
      </c>
      <c r="F30991" s="4" t="e">
        <f>IF(B30991=#REF!,"",B30991)</f>
        <v>#REF!</v>
      </c>
    </row>
    <row r="30992" spans="1:6" ht="15.75" customHeight="1">
      <c r="A30992" s="16" t="s">
        <v>5441</v>
      </c>
      <c r="B30992" s="15" t="s">
        <v>5442</v>
      </c>
      <c r="C30992" s="16" t="s">
        <v>5348</v>
      </c>
      <c r="D30992" s="16" t="s">
        <v>5362</v>
      </c>
      <c r="E30992" s="2">
        <v>3792376</v>
      </c>
      <c r="F30992" s="4" t="str">
        <f>IF(B30992=B30991,"",B30992)</f>
        <v>Ciudad BolÃ­var</v>
      </c>
    </row>
    <row r="30993" spans="1:6" ht="15.75" customHeight="1">
      <c r="A30993" s="16" t="str">
        <f ca="1">IFERROR(__xludf.DUMMYFUNCTION("GOOGLETRANSLATE(B37321,""en"",""pt"")"),"Ciudad Anáhuac")</f>
        <v>Ciudad Anáhuac</v>
      </c>
      <c r="B30993" s="20" t="s">
        <v>34775</v>
      </c>
      <c r="C30993" s="20" t="s">
        <v>17707</v>
      </c>
      <c r="D30993" s="20" t="s">
        <v>34689</v>
      </c>
      <c r="E30993" s="10">
        <v>4013726</v>
      </c>
      <c r="F30993" s="4" t="str">
        <f>IF(B30993=B30992,"",B30993)</f>
        <v>Ciudad Anáhuac</v>
      </c>
    </row>
    <row r="30994" spans="1:6" ht="15.75" customHeight="1">
      <c r="A30994" s="16" t="s">
        <v>17837</v>
      </c>
      <c r="B30994" s="15" t="s">
        <v>17838</v>
      </c>
      <c r="C30994" s="16" t="s">
        <v>17707</v>
      </c>
      <c r="D30994" s="16" t="s">
        <v>17739</v>
      </c>
      <c r="E30994" s="2">
        <v>4013726</v>
      </c>
      <c r="F30994" s="4" t="e">
        <f>IF(B30994=#REF!,"",B30994)</f>
        <v>#REF!</v>
      </c>
    </row>
    <row r="30995" spans="1:6" ht="15.75" customHeight="1">
      <c r="A30995" s="16" t="s">
        <v>17836</v>
      </c>
      <c r="B30995" s="15" t="s">
        <v>17836</v>
      </c>
      <c r="C30995" s="16" t="s">
        <v>17707</v>
      </c>
      <c r="D30995" s="16" t="s">
        <v>17723</v>
      </c>
      <c r="E30995" s="2">
        <v>4013727</v>
      </c>
      <c r="F30995" s="4" t="str">
        <f>IF(B30995=B30994,"",B30995)</f>
        <v>Ciudad Altamirano</v>
      </c>
    </row>
    <row r="30996" spans="1:6" ht="15.75" customHeight="1">
      <c r="A30996" s="16" t="str">
        <f ca="1">IFERROR(__xludf.DUMMYFUNCTION("GOOGLETRANSLATE(B37323,""en"",""pt"")"),"Ciudad Acuña")</f>
        <v>Ciudad Acuña</v>
      </c>
      <c r="B30996" s="20" t="s">
        <v>34776</v>
      </c>
      <c r="C30996" s="20" t="s">
        <v>17707</v>
      </c>
      <c r="D30996" s="20" t="s">
        <v>17738</v>
      </c>
      <c r="E30996" s="10">
        <v>4013728</v>
      </c>
      <c r="F30996" s="4" t="str">
        <f>IF(B30996=B30995,"",B30996)</f>
        <v>Ciudad Acuña</v>
      </c>
    </row>
    <row r="30997" spans="1:6" ht="15.75" customHeight="1">
      <c r="A30997" s="16" t="s">
        <v>17834</v>
      </c>
      <c r="B30997" s="15" t="s">
        <v>17835</v>
      </c>
      <c r="C30997" s="16" t="s">
        <v>17707</v>
      </c>
      <c r="D30997" s="16" t="s">
        <v>17738</v>
      </c>
      <c r="E30997" s="2">
        <v>4013728</v>
      </c>
      <c r="F30997" s="4" t="e">
        <f>IF(B30997=#REF!,"",B30997)</f>
        <v>#REF!</v>
      </c>
    </row>
    <row r="30998" spans="1:6" ht="15.75" customHeight="1">
      <c r="A30998" s="16" t="s">
        <v>28262</v>
      </c>
      <c r="B30998" s="15" t="s">
        <v>28263</v>
      </c>
      <c r="C30998" s="16" t="s">
        <v>27788</v>
      </c>
      <c r="D30998" s="16" t="s">
        <v>27733</v>
      </c>
      <c r="E30998" s="2">
        <v>7174365</v>
      </c>
      <c r="F30998" s="4" t="e">
        <f>IF(B30998=#REF!,"",B30998)</f>
        <v>#REF!</v>
      </c>
    </row>
    <row r="30999" spans="1:6" ht="15.75" customHeight="1">
      <c r="A30999" s="16" t="s">
        <v>941</v>
      </c>
      <c r="B30999" s="15" t="s">
        <v>942</v>
      </c>
      <c r="C30999" s="16" t="s">
        <v>885</v>
      </c>
      <c r="D30999" s="16" t="s">
        <v>891</v>
      </c>
      <c r="E30999" s="2">
        <v>7302259</v>
      </c>
      <c r="F30999" s="4" t="e">
        <f>IF(B30999=#REF!,"",B30999)</f>
        <v>#REF!</v>
      </c>
    </row>
    <row r="31000" spans="1:6" ht="15.75" customHeight="1">
      <c r="A31000" s="16" t="s">
        <v>28260</v>
      </c>
      <c r="B31000" s="15" t="s">
        <v>28261</v>
      </c>
      <c r="C31000" s="16" t="s">
        <v>27788</v>
      </c>
      <c r="D31000" s="16" t="s">
        <v>27876</v>
      </c>
      <c r="E31000" s="2">
        <v>7160204</v>
      </c>
      <c r="F31000" s="4" t="e">
        <f>IF(B31000=#REF!,"",B31000)</f>
        <v>#REF!</v>
      </c>
    </row>
    <row r="31001" spans="1:6" ht="15.75" customHeight="1">
      <c r="A31001" s="16" t="s">
        <v>27416</v>
      </c>
      <c r="B31001" s="15" t="s">
        <v>27417</v>
      </c>
      <c r="C31001" s="16" t="s">
        <v>27234</v>
      </c>
      <c r="D31001" s="16" t="s">
        <v>27241</v>
      </c>
      <c r="E31001" s="2">
        <v>2643741</v>
      </c>
      <c r="F31001" s="4" t="e">
        <f>IF(B31001=#REF!,"",B31001)</f>
        <v>#REF!</v>
      </c>
    </row>
    <row r="31002" spans="1:6" ht="15.75" customHeight="1">
      <c r="A31002" s="16" t="s">
        <v>20741</v>
      </c>
      <c r="B31002" s="15" t="s">
        <v>20742</v>
      </c>
      <c r="C31002" s="16" t="s">
        <v>20598</v>
      </c>
      <c r="D31002" s="16" t="s">
        <v>20683</v>
      </c>
      <c r="E31002" s="2">
        <v>1710519</v>
      </c>
      <c r="F31002" s="4" t="e">
        <f>IF(B31002=#REF!,"",B31002)</f>
        <v>#REF!</v>
      </c>
    </row>
    <row r="31003" spans="1:6" ht="15.75" customHeight="1">
      <c r="A31003" s="16" t="s">
        <v>13895</v>
      </c>
      <c r="B31003" s="15" t="s">
        <v>13896</v>
      </c>
      <c r="C31003" s="16" t="s">
        <v>13800</v>
      </c>
      <c r="D31003" s="16" t="s">
        <v>13823</v>
      </c>
      <c r="E31003" s="2">
        <v>8224624</v>
      </c>
      <c r="F31003" s="4" t="e">
        <f>IF(B31003=#REF!,"",B31003)</f>
        <v>#REF!</v>
      </c>
    </row>
    <row r="31004" spans="1:6" ht="15.75" customHeight="1">
      <c r="A31004" s="16" t="s">
        <v>24407</v>
      </c>
      <c r="B31004" s="15" t="s">
        <v>24408</v>
      </c>
      <c r="C31004" s="16" t="s">
        <v>24200</v>
      </c>
      <c r="D31004" s="16" t="s">
        <v>5513</v>
      </c>
      <c r="E31004" s="2">
        <v>6544494</v>
      </c>
      <c r="F31004" s="4" t="str">
        <f>IF(B31004=B31003,"",B31004)</f>
        <v>City Center</v>
      </c>
    </row>
    <row r="31005" spans="1:6" ht="15.75" customHeight="1">
      <c r="A31005" s="16" t="s">
        <v>15087</v>
      </c>
      <c r="B31005" s="15" t="s">
        <v>15088</v>
      </c>
      <c r="C31005" s="16" t="s">
        <v>14891</v>
      </c>
      <c r="D31005" s="16" t="s">
        <v>14969</v>
      </c>
      <c r="E31005" s="2">
        <v>3178619</v>
      </c>
      <c r="F31005" s="4" t="str">
        <f>IF(B31005=B31004,"",B31005)</f>
        <v>CittÃ  di Castello</v>
      </c>
    </row>
    <row r="31006" spans="1:6" ht="15.75" customHeight="1">
      <c r="A31006" s="16" t="str">
        <f ca="1">IFERROR(__xludf.DUMMYFUNCTION("GOOGLETRANSLATE(B34966,""en"",""pt"")"),"Città di Castello")</f>
        <v>Città di Castello</v>
      </c>
      <c r="B31006" s="20" t="s">
        <v>34273</v>
      </c>
      <c r="C31006" s="20" t="s">
        <v>14891</v>
      </c>
      <c r="D31006" s="20" t="s">
        <v>14969</v>
      </c>
      <c r="E31006" s="10">
        <v>3178619</v>
      </c>
      <c r="F31006" s="4" t="e">
        <f>IF(B31006=#REF!,"",B31006)</f>
        <v>#REF!</v>
      </c>
    </row>
    <row r="31007" spans="1:6" ht="15.75" customHeight="1">
      <c r="A31007" s="16" t="s">
        <v>28258</v>
      </c>
      <c r="B31007" s="15" t="s">
        <v>28259</v>
      </c>
      <c r="C31007" s="16" t="s">
        <v>27788</v>
      </c>
      <c r="D31007" s="16" t="s">
        <v>5468</v>
      </c>
      <c r="E31007" s="2">
        <v>4151157</v>
      </c>
      <c r="F31007" s="4" t="e">
        <f>IF(B31007=#REF!,"",B31007)</f>
        <v>#REF!</v>
      </c>
    </row>
    <row r="31008" spans="1:6" ht="15.75" customHeight="1">
      <c r="A31008" s="16" t="s">
        <v>28256</v>
      </c>
      <c r="B31008" s="15" t="s">
        <v>28257</v>
      </c>
      <c r="C31008" s="16" t="s">
        <v>27788</v>
      </c>
      <c r="D31008" s="16" t="s">
        <v>27801</v>
      </c>
      <c r="E31008" s="2">
        <v>5337561</v>
      </c>
      <c r="F31008" s="4" t="e">
        <f>IF(B31008=#REF!,"",B31008)</f>
        <v>#REF!</v>
      </c>
    </row>
    <row r="31009" spans="1:6" ht="15.75" customHeight="1">
      <c r="A31009" s="15" t="s">
        <v>13893</v>
      </c>
      <c r="B31009" s="15" t="s">
        <v>13894</v>
      </c>
      <c r="C31009" s="15" t="s">
        <v>13800</v>
      </c>
      <c r="D31009" s="15" t="s">
        <v>13811</v>
      </c>
      <c r="E31009" s="2">
        <v>1646034</v>
      </c>
      <c r="F31009" s="4" t="e">
        <f>IF(B31009=#REF!,"",B31009)</f>
        <v>#REF!</v>
      </c>
    </row>
    <row r="31010" spans="1:6" ht="15.75" customHeight="1">
      <c r="A31010" s="16" t="s">
        <v>15085</v>
      </c>
      <c r="B31010" s="15" t="s">
        <v>15086</v>
      </c>
      <c r="C31010" s="16" t="s">
        <v>14891</v>
      </c>
      <c r="D31010" s="16" t="s">
        <v>14904</v>
      </c>
      <c r="E31010" s="2">
        <v>3178631</v>
      </c>
      <c r="F31010" s="4" t="str">
        <f>IF(B31010=B31009,"",B31010)</f>
        <v>Cisterna di Latina</v>
      </c>
    </row>
    <row r="31011" spans="1:6" ht="15.75" customHeight="1">
      <c r="A31011" s="15" t="s">
        <v>21894</v>
      </c>
      <c r="B31011" s="15" t="s">
        <v>21895</v>
      </c>
      <c r="C31011" s="15" t="s">
        <v>21824</v>
      </c>
      <c r="D31011" s="15" t="s">
        <v>21896</v>
      </c>
      <c r="E31011" s="2">
        <v>681502</v>
      </c>
      <c r="F31011" s="4" t="str">
        <f>IF(B31011=B31010,"",B31011)</f>
        <v>CisnÄƒdie</v>
      </c>
    </row>
    <row r="31012" spans="1:6" ht="15.75" customHeight="1">
      <c r="A31012" s="16" t="str">
        <f ca="1">IFERROR(__xludf.DUMMYFUNCTION("GOOGLETRANSLATE(B39812,""en"",""pt"")"),"Cisnădie")</f>
        <v>Cisnădie</v>
      </c>
      <c r="B31012" s="20" t="s">
        <v>35393</v>
      </c>
      <c r="C31012" s="20" t="s">
        <v>21824</v>
      </c>
      <c r="D31012" s="20" t="s">
        <v>21896</v>
      </c>
      <c r="E31012" s="10">
        <v>681502</v>
      </c>
      <c r="F31012" s="4" t="e">
        <f>IF(B31012=#REF!,"",B31012)</f>
        <v>#REF!</v>
      </c>
    </row>
    <row r="31013" spans="1:6" ht="15.75" customHeight="1">
      <c r="A31013" s="16" t="s">
        <v>5818</v>
      </c>
      <c r="B31013" s="15" t="s">
        <v>5818</v>
      </c>
      <c r="C31013" s="16" t="s">
        <v>5764</v>
      </c>
      <c r="D31013" s="16" t="s">
        <v>5785</v>
      </c>
      <c r="E31013" s="2">
        <v>3564084</v>
      </c>
      <c r="F31013" s="4" t="str">
        <f>IF(B31013=B31012,"",B31013)</f>
        <v>Ciro Redondo</v>
      </c>
    </row>
    <row r="31014" spans="1:6" ht="15.75" customHeight="1">
      <c r="A31014" s="16" t="str">
        <f ca="1">IFERROR(__xludf.DUMMYFUNCTION("GOOGLETRANSLATE(B34968,""en"",""pt"")"),"Ciriè")</f>
        <v>Ciriè</v>
      </c>
      <c r="B31014" s="20" t="s">
        <v>34274</v>
      </c>
      <c r="C31014" s="20" t="s">
        <v>14891</v>
      </c>
      <c r="D31014" s="20" t="s">
        <v>14911</v>
      </c>
      <c r="E31014" s="10">
        <v>3178650</v>
      </c>
      <c r="F31014" s="4" t="str">
        <f>IF(B31014=B31013,"",B31014)</f>
        <v>Ciriè</v>
      </c>
    </row>
    <row r="31015" spans="1:6" ht="15.75" customHeight="1">
      <c r="A31015" s="15" t="s">
        <v>15083</v>
      </c>
      <c r="B31015" s="15" t="s">
        <v>15084</v>
      </c>
      <c r="C31015" s="15" t="s">
        <v>14891</v>
      </c>
      <c r="D31015" s="15" t="s">
        <v>14911</v>
      </c>
      <c r="E31015" s="2">
        <v>3178650</v>
      </c>
      <c r="F31015" s="4" t="e">
        <f>IF(B31015=#REF!,"",B31015)</f>
        <v>#REF!</v>
      </c>
    </row>
    <row r="31016" spans="1:6" ht="15.75" customHeight="1">
      <c r="A31016" s="16" t="s">
        <v>27415</v>
      </c>
      <c r="B31016" s="15" t="s">
        <v>27415</v>
      </c>
      <c r="C31016" s="16" t="s">
        <v>27234</v>
      </c>
      <c r="D31016" s="16" t="s">
        <v>27241</v>
      </c>
      <c r="E31016" s="2">
        <v>2652995</v>
      </c>
      <c r="F31016" s="4" t="e">
        <f>IF(B31016=#REF!,"",B31016)</f>
        <v>#REF!</v>
      </c>
    </row>
    <row r="31017" spans="1:6" ht="15.75" customHeight="1">
      <c r="A31017" s="15" t="s">
        <v>13892</v>
      </c>
      <c r="B31017" s="15" t="s">
        <v>13892</v>
      </c>
      <c r="C31017" s="15" t="s">
        <v>13800</v>
      </c>
      <c r="D31017" s="15" t="s">
        <v>13811</v>
      </c>
      <c r="E31017" s="2">
        <v>1646170</v>
      </c>
      <c r="F31017" s="4" t="e">
        <f>IF(B31017=#REF!,"",B31017)</f>
        <v>#REF!</v>
      </c>
    </row>
    <row r="31018" spans="1:6" ht="15.75" customHeight="1">
      <c r="A31018" s="15" t="s">
        <v>5440</v>
      </c>
      <c r="B31018" s="15" t="s">
        <v>5440</v>
      </c>
      <c r="C31018" s="15" t="s">
        <v>5348</v>
      </c>
      <c r="D31018" s="15" t="s">
        <v>5375</v>
      </c>
      <c r="E31018" s="2">
        <v>3686233</v>
      </c>
      <c r="F31018" s="4" t="e">
        <f>IF(B31018=#REF!,"",B31018)</f>
        <v>#REF!</v>
      </c>
    </row>
    <row r="31019" spans="1:6" ht="15.75" customHeight="1">
      <c r="A31019" s="16" t="s">
        <v>13890</v>
      </c>
      <c r="B31019" s="15" t="s">
        <v>13891</v>
      </c>
      <c r="C31019" s="16" t="s">
        <v>13800</v>
      </c>
      <c r="D31019" s="16" t="s">
        <v>13811</v>
      </c>
      <c r="E31019" s="2">
        <v>1964032</v>
      </c>
      <c r="F31019" s="4" t="e">
        <f>IF(B31019=#REF!,"",B31019)</f>
        <v>#REF!</v>
      </c>
    </row>
    <row r="31020" spans="1:6" ht="15.75" customHeight="1">
      <c r="A31020" s="15" t="s">
        <v>13889</v>
      </c>
      <c r="B31020" s="15" t="s">
        <v>13889</v>
      </c>
      <c r="C31020" s="15" t="s">
        <v>13800</v>
      </c>
      <c r="D31020" s="15" t="s">
        <v>13811</v>
      </c>
      <c r="E31020" s="2">
        <v>1646194</v>
      </c>
      <c r="F31020" s="4" t="e">
        <f>IF(B31020=#REF!,"",B31020)</f>
        <v>#REF!</v>
      </c>
    </row>
    <row r="31021" spans="1:6" ht="15.75" customHeight="1">
      <c r="A31021" s="15" t="s">
        <v>618</v>
      </c>
      <c r="B31021" s="15" t="s">
        <v>618</v>
      </c>
      <c r="C31021" s="15" t="s">
        <v>558</v>
      </c>
      <c r="D31021" s="15" t="s">
        <v>571</v>
      </c>
      <c r="E31021" s="2">
        <v>3861056</v>
      </c>
      <c r="F31021" s="4" t="e">
        <f>IF(B31021=#REF!,"",B31021)</f>
        <v>#REF!</v>
      </c>
    </row>
    <row r="31022" spans="1:6" ht="15.75" customHeight="1">
      <c r="A31022" s="16" t="s">
        <v>17833</v>
      </c>
      <c r="B31022" s="15" t="s">
        <v>17833</v>
      </c>
      <c r="C31022" s="16" t="s">
        <v>17707</v>
      </c>
      <c r="D31022" s="16" t="s">
        <v>17770</v>
      </c>
      <c r="E31022" s="2">
        <v>3530617</v>
      </c>
      <c r="F31022" s="4" t="e">
        <f>IF(B31022=#REF!,"",B31022)</f>
        <v>#REF!</v>
      </c>
    </row>
    <row r="31023" spans="1:6" ht="15.75" customHeight="1">
      <c r="A31023" s="16" t="s">
        <v>15082</v>
      </c>
      <c r="B31023" s="15" t="s">
        <v>15082</v>
      </c>
      <c r="C31023" s="16" t="s">
        <v>14891</v>
      </c>
      <c r="D31023" s="16" t="s">
        <v>14894</v>
      </c>
      <c r="E31023" s="2">
        <v>3178671</v>
      </c>
      <c r="F31023" s="4" t="str">
        <f>IF(B31023=B31022,"",B31023)</f>
        <v>Cinisello Balsamo</v>
      </c>
    </row>
    <row r="31024" spans="1:6" ht="15.75" customHeight="1">
      <c r="A31024" s="16" t="str">
        <f ca="1">IFERROR(__xludf.DUMMYFUNCTION("GOOGLETRANSLATE(B42030,""en"",""pt"")"),"Çine")</f>
        <v>Çine</v>
      </c>
      <c r="B31024" s="20" t="s">
        <v>35889</v>
      </c>
      <c r="C31024" s="20" t="s">
        <v>26201</v>
      </c>
      <c r="D31024" s="20" t="s">
        <v>35816</v>
      </c>
      <c r="E31024" s="10">
        <v>318372</v>
      </c>
      <c r="F31024" s="4" t="e">
        <f>IF(B31024=#REF!,"",B31024)</f>
        <v>#REF!</v>
      </c>
    </row>
    <row r="31025" spans="1:6" ht="15.75" customHeight="1">
      <c r="A31025" s="16" t="s">
        <v>617</v>
      </c>
      <c r="B31025" s="15" t="s">
        <v>617</v>
      </c>
      <c r="C31025" s="16" t="s">
        <v>558</v>
      </c>
      <c r="D31025" s="16" t="s">
        <v>571</v>
      </c>
      <c r="E31025" s="2">
        <v>3861061</v>
      </c>
      <c r="F31025" s="4" t="e">
        <f>IF(B31025=#REF!,"",B31025)</f>
        <v>#REF!</v>
      </c>
    </row>
    <row r="31026" spans="1:6" ht="15.75" customHeight="1">
      <c r="A31026" s="16" t="s">
        <v>28255</v>
      </c>
      <c r="B31026" s="15" t="s">
        <v>28255</v>
      </c>
      <c r="C31026" s="16" t="s">
        <v>27788</v>
      </c>
      <c r="D31026" s="16" t="s">
        <v>27792</v>
      </c>
      <c r="E31026" s="2">
        <v>4681485</v>
      </c>
      <c r="F31026" s="4" t="e">
        <f>IF(B31026=#REF!,"",B31026)</f>
        <v>#REF!</v>
      </c>
    </row>
    <row r="31027" spans="1:6" ht="15.75" customHeight="1">
      <c r="A31027" s="16" t="s">
        <v>28254</v>
      </c>
      <c r="B31027" s="15" t="s">
        <v>28254</v>
      </c>
      <c r="C31027" s="16" t="s">
        <v>27788</v>
      </c>
      <c r="D31027" s="16" t="s">
        <v>27813</v>
      </c>
      <c r="E31027" s="2">
        <v>4508722</v>
      </c>
      <c r="F31027" s="4" t="e">
        <f>IF(B31027=#REF!,"",B31027)</f>
        <v>#REF!</v>
      </c>
    </row>
    <row r="31028" spans="1:6" ht="15.75" customHeight="1">
      <c r="A31028" s="15" t="s">
        <v>26429</v>
      </c>
      <c r="B31028" s="15" t="s">
        <v>26429</v>
      </c>
      <c r="C31028" s="15" t="s">
        <v>26201</v>
      </c>
      <c r="D31028" s="15" t="s">
        <v>26430</v>
      </c>
      <c r="E31028" s="2">
        <v>298230</v>
      </c>
      <c r="F31028" s="4" t="e">
        <f>IF(B31028=#REF!,"",B31028)</f>
        <v>#REF!</v>
      </c>
    </row>
    <row r="31029" spans="1:6" ht="15.75" customHeight="1">
      <c r="A31029" s="16" t="s">
        <v>28253</v>
      </c>
      <c r="B31029" s="15" t="s">
        <v>28253</v>
      </c>
      <c r="C31029" s="16" t="s">
        <v>27788</v>
      </c>
      <c r="D31029" s="16" t="s">
        <v>2341</v>
      </c>
      <c r="E31029" s="2">
        <v>5417041</v>
      </c>
      <c r="F31029" s="4" t="e">
        <f>IF(B31029=#REF!,"",B31029)</f>
        <v>#REF!</v>
      </c>
    </row>
    <row r="31030" spans="1:6" ht="15.75" customHeight="1">
      <c r="A31030" s="15" t="s">
        <v>13888</v>
      </c>
      <c r="B31030" s="15" t="s">
        <v>13888</v>
      </c>
      <c r="C31030" s="15" t="s">
        <v>13800</v>
      </c>
      <c r="D31030" s="15" t="s">
        <v>13811</v>
      </c>
      <c r="E31030" s="2">
        <v>1646448</v>
      </c>
      <c r="F31030" s="4" t="e">
        <f>IF(B31030=#REF!,"",B31030)</f>
        <v>#REF!</v>
      </c>
    </row>
    <row r="31031" spans="1:6" ht="15.75" customHeight="1">
      <c r="A31031" s="15" t="s">
        <v>13887</v>
      </c>
      <c r="B31031" s="15" t="s">
        <v>13887</v>
      </c>
      <c r="C31031" s="15" t="s">
        <v>13800</v>
      </c>
      <c r="D31031" s="15" t="s">
        <v>13811</v>
      </c>
      <c r="E31031" s="2">
        <v>1646492</v>
      </c>
      <c r="F31031" s="4" t="e">
        <f>IF(B31031=#REF!,"",B31031)</f>
        <v>#REF!</v>
      </c>
    </row>
    <row r="31032" spans="1:6" ht="15.75" customHeight="1">
      <c r="A31032" s="15" t="s">
        <v>13886</v>
      </c>
      <c r="B31032" s="15" t="s">
        <v>13886</v>
      </c>
      <c r="C31032" s="15" t="s">
        <v>13800</v>
      </c>
      <c r="D31032" s="15" t="s">
        <v>13811</v>
      </c>
      <c r="E31032" s="2">
        <v>1646494</v>
      </c>
      <c r="F31032" s="4" t="e">
        <f>IF(B31032=#REF!,"",B31032)</f>
        <v>#REF!</v>
      </c>
    </row>
    <row r="31033" spans="1:6" ht="15.75" customHeight="1">
      <c r="A31033" s="15" t="s">
        <v>13885</v>
      </c>
      <c r="B31033" s="15" t="s">
        <v>13885</v>
      </c>
      <c r="C31033" s="15" t="s">
        <v>13800</v>
      </c>
      <c r="D31033" s="15" t="s">
        <v>13811</v>
      </c>
      <c r="E31033" s="2">
        <v>1985663</v>
      </c>
      <c r="F31033" s="4" t="e">
        <f>IF(B31033=#REF!,"",B31033)</f>
        <v>#REF!</v>
      </c>
    </row>
    <row r="31034" spans="1:6" ht="15.75" customHeight="1">
      <c r="A31034" s="15" t="s">
        <v>13884</v>
      </c>
      <c r="B31034" s="15" t="s">
        <v>13884</v>
      </c>
      <c r="C31034" s="15" t="s">
        <v>13800</v>
      </c>
      <c r="D31034" s="15" t="s">
        <v>13811</v>
      </c>
      <c r="E31034" s="2">
        <v>1646678</v>
      </c>
      <c r="F31034" s="4" t="e">
        <f>IF(B31034=#REF!,"",B31034)</f>
        <v>#REF!</v>
      </c>
    </row>
    <row r="31035" spans="1:6" ht="15.75" customHeight="1">
      <c r="A31035" s="15" t="s">
        <v>13883</v>
      </c>
      <c r="B31035" s="15" t="s">
        <v>13883</v>
      </c>
      <c r="C31035" s="15" t="s">
        <v>13800</v>
      </c>
      <c r="D31035" s="15" t="s">
        <v>13811</v>
      </c>
      <c r="E31035" s="2">
        <v>1646698</v>
      </c>
      <c r="F31035" s="4" t="str">
        <f>IF(B31035=B31034,"",B31035)</f>
        <v>Cikampek</v>
      </c>
    </row>
    <row r="31036" spans="1:6" ht="15.75" customHeight="1">
      <c r="A31036" s="16" t="str">
        <f ca="1">IFERROR(__xludf.DUMMYFUNCTION("GOOGLETRANSLATE(B37139,""en"",""pt"")"),"Cihuatlán")</f>
        <v>Cihuatlán</v>
      </c>
      <c r="B31036" s="20" t="s">
        <v>34726</v>
      </c>
      <c r="C31036" s="20" t="s">
        <v>17707</v>
      </c>
      <c r="D31036" s="20" t="s">
        <v>17746</v>
      </c>
      <c r="E31036" s="10">
        <v>3976999</v>
      </c>
      <c r="F31036" s="4" t="str">
        <f>IF(B31036=B31035,"",B31036)</f>
        <v>Cihuatlán</v>
      </c>
    </row>
    <row r="31037" spans="1:6" ht="15.75" customHeight="1">
      <c r="A31037" s="16" t="s">
        <v>17831</v>
      </c>
      <c r="B31037" s="15" t="s">
        <v>17832</v>
      </c>
      <c r="C31037" s="16" t="s">
        <v>17707</v>
      </c>
      <c r="D31037" s="16" t="s">
        <v>17746</v>
      </c>
      <c r="E31037" s="2">
        <v>3976999</v>
      </c>
      <c r="F31037" s="4" t="e">
        <f>IF(B31037=#REF!,"",B31037)</f>
        <v>#REF!</v>
      </c>
    </row>
    <row r="31038" spans="1:6" ht="15.75" customHeight="1">
      <c r="A31038" s="15" t="s">
        <v>5817</v>
      </c>
      <c r="B31038" s="15" t="s">
        <v>5817</v>
      </c>
      <c r="C31038" s="15" t="s">
        <v>5764</v>
      </c>
      <c r="D31038" s="15" t="s">
        <v>5803</v>
      </c>
      <c r="E31038" s="2">
        <v>3564114</v>
      </c>
      <c r="F31038" s="4" t="e">
        <f>IF(B31038=#REF!,"",B31038)</f>
        <v>#REF!</v>
      </c>
    </row>
    <row r="31039" spans="1:6" ht="15.75" customHeight="1">
      <c r="A31039" s="15" t="s">
        <v>24406</v>
      </c>
      <c r="B31039" s="15" t="s">
        <v>24406</v>
      </c>
      <c r="C31039" s="15" t="s">
        <v>24200</v>
      </c>
      <c r="D31039" s="15" t="s">
        <v>20912</v>
      </c>
      <c r="E31039" s="2">
        <v>2519425</v>
      </c>
      <c r="F31039" s="4" t="e">
        <f>IF(B31039=#REF!,"",B31039)</f>
        <v>#REF!</v>
      </c>
    </row>
    <row r="31040" spans="1:6" ht="15.75" customHeight="1">
      <c r="A31040" s="15" t="s">
        <v>21191</v>
      </c>
      <c r="B31040" s="15" t="s">
        <v>21191</v>
      </c>
      <c r="C31040" s="15" t="s">
        <v>21064</v>
      </c>
      <c r="D31040" s="15" t="s">
        <v>21073</v>
      </c>
      <c r="E31040" s="2">
        <v>3101321</v>
      </c>
      <c r="F31040" s="4" t="e">
        <f>IF(B31040=#REF!,"",B31040)</f>
        <v>#REF!</v>
      </c>
    </row>
    <row r="31041" spans="1:6" ht="15.75" customHeight="1">
      <c r="A31041" s="16" t="s">
        <v>5765</v>
      </c>
      <c r="B31041" s="15" t="s">
        <v>5765</v>
      </c>
      <c r="C31041" s="16" t="s">
        <v>5764</v>
      </c>
      <c r="D31041" s="16" t="s">
        <v>5765</v>
      </c>
      <c r="E31041" s="2">
        <v>3564124</v>
      </c>
      <c r="F31041" s="4" t="str">
        <f>IF(B31041=B31040,"",B31041)</f>
        <v>Cienfuegos</v>
      </c>
    </row>
    <row r="31042" spans="1:6" ht="15.75" customHeight="1">
      <c r="A31042" s="16" t="str">
        <f ca="1">IFERROR(__xludf.DUMMYFUNCTION("GOOGLETRANSLATE(B27004,""en"",""pt"")"),"Ciénaga de Oro")</f>
        <v>Ciénaga de Oro</v>
      </c>
      <c r="B31042" s="20" t="s">
        <v>31878</v>
      </c>
      <c r="C31042" s="20" t="s">
        <v>5348</v>
      </c>
      <c r="D31042" s="20" t="s">
        <v>31214</v>
      </c>
      <c r="E31042" s="10">
        <v>3686272</v>
      </c>
      <c r="F31042" s="4" t="str">
        <f>IF(B31042=B31041,"",B31042)</f>
        <v>Ciénaga de Oro</v>
      </c>
    </row>
    <row r="31043" spans="1:6" ht="15.75" customHeight="1">
      <c r="A31043" s="16" t="str">
        <f ca="1">IFERROR(__xludf.DUMMYFUNCTION("GOOGLETRANSLATE(B27005,""en"",""pt"")"),"Ciénaga")</f>
        <v>Ciénaga</v>
      </c>
      <c r="B31043" s="20" t="s">
        <v>31879</v>
      </c>
      <c r="C31043" s="20" t="s">
        <v>5348</v>
      </c>
      <c r="D31043" s="20" t="s">
        <v>5368</v>
      </c>
      <c r="E31043" s="10">
        <v>3686279</v>
      </c>
      <c r="F31043" s="4" t="e">
        <f>IF(B31043=#REF!,"",B31043)</f>
        <v>#REF!</v>
      </c>
    </row>
    <row r="31044" spans="1:6" ht="15.75" customHeight="1">
      <c r="A31044" s="16" t="s">
        <v>24405</v>
      </c>
      <c r="B31044" s="15" t="s">
        <v>24405</v>
      </c>
      <c r="C31044" s="16" t="s">
        <v>24200</v>
      </c>
      <c r="D31044" s="16" t="s">
        <v>5513</v>
      </c>
      <c r="E31044" s="2">
        <v>3125082</v>
      </c>
      <c r="F31044" s="4" t="str">
        <f>IF(B31044=B31043,"",B31044)</f>
        <v>Ciempozuelos</v>
      </c>
    </row>
    <row r="31045" spans="1:6" ht="15.75" customHeight="1">
      <c r="A31045" s="16" t="str">
        <f ca="1">IFERROR(__xludf.DUMMYFUNCTION("GOOGLETRANSLATE(B27194,""en"",""pt"")"),"Ciego de Ávila")</f>
        <v>Ciego de Ávila</v>
      </c>
      <c r="B31045" s="20" t="s">
        <v>31905</v>
      </c>
      <c r="C31045" s="20" t="s">
        <v>5764</v>
      </c>
      <c r="D31045" s="20" t="s">
        <v>31905</v>
      </c>
      <c r="E31045" s="10">
        <v>3564178</v>
      </c>
      <c r="F31045" s="4" t="str">
        <f>IF(B31045=B31044,"",B31045)</f>
        <v>Ciego de Ávila</v>
      </c>
    </row>
    <row r="31046" spans="1:6" ht="15.75" customHeight="1">
      <c r="A31046" s="16" t="s">
        <v>5816</v>
      </c>
      <c r="B31046" s="15" t="s">
        <v>5785</v>
      </c>
      <c r="C31046" s="16" t="s">
        <v>5764</v>
      </c>
      <c r="D31046" s="16" t="s">
        <v>5785</v>
      </c>
      <c r="E31046" s="2">
        <v>3564178</v>
      </c>
      <c r="F31046" s="4" t="str">
        <f>IF(B31046=B31045,"",B31046)</f>
        <v>Ciego de Ãvila</v>
      </c>
    </row>
    <row r="31047" spans="1:6" ht="15.75" customHeight="1">
      <c r="A31047" s="16" t="str">
        <f ca="1">IFERROR(__xludf.DUMMYFUNCTION("GOOGLETRANSLATE(B39285,""en"",""pt"")"),"Ciechanów")</f>
        <v>Ciechanów</v>
      </c>
      <c r="B31047" s="20" t="s">
        <v>35128</v>
      </c>
      <c r="C31047" s="20" t="s">
        <v>21064</v>
      </c>
      <c r="D31047" s="20" t="s">
        <v>21070</v>
      </c>
      <c r="E31047" s="10">
        <v>774208</v>
      </c>
      <c r="F31047" s="4" t="str">
        <f>IF(B31047=B31046,"",B31047)</f>
        <v>Ciechanów</v>
      </c>
    </row>
    <row r="31048" spans="1:6" ht="15.75" customHeight="1">
      <c r="A31048" s="16" t="s">
        <v>21189</v>
      </c>
      <c r="B31048" s="15" t="s">
        <v>21190</v>
      </c>
      <c r="C31048" s="16" t="s">
        <v>21064</v>
      </c>
      <c r="D31048" s="16" t="s">
        <v>21070</v>
      </c>
      <c r="E31048" s="2">
        <v>774208</v>
      </c>
      <c r="F31048" s="4" t="e">
        <f>IF(B31048=#REF!,"",B31048)</f>
        <v>#REF!</v>
      </c>
    </row>
    <row r="31049" spans="1:6" ht="15.75" customHeight="1">
      <c r="A31049" s="15" t="s">
        <v>13882</v>
      </c>
      <c r="B31049" s="15" t="s">
        <v>13882</v>
      </c>
      <c r="C31049" s="15" t="s">
        <v>13800</v>
      </c>
      <c r="D31049" s="15" t="s">
        <v>13811</v>
      </c>
      <c r="E31049" s="2">
        <v>1646893</v>
      </c>
      <c r="F31049" s="4" t="str">
        <f>IF(B31049=B31048,"",B31049)</f>
        <v>Cicurug</v>
      </c>
    </row>
    <row r="31050" spans="1:6" ht="15.75" customHeight="1">
      <c r="A31050" s="16" t="str">
        <f ca="1">IFERROR(__xludf.DUMMYFUNCTION("GOOGLETRANSLATE(B25111,""en"",""pt"")"),"Cícero Dantas")</f>
        <v>Cícero Dantas</v>
      </c>
      <c r="B31050" s="20" t="s">
        <v>31681</v>
      </c>
      <c r="C31050" s="20" t="s">
        <v>1905</v>
      </c>
      <c r="D31050" s="20" t="s">
        <v>1947</v>
      </c>
      <c r="E31050" s="10">
        <v>3466171</v>
      </c>
      <c r="F31050" s="4" t="e">
        <f>IF(B31050=#REF!,"",B31050)</f>
        <v>#REF!</v>
      </c>
    </row>
    <row r="31051" spans="1:6" ht="15.75" customHeight="1">
      <c r="A31051" s="15" t="s">
        <v>28251</v>
      </c>
      <c r="B31051" s="15" t="s">
        <v>28252</v>
      </c>
      <c r="C31051" s="15" t="s">
        <v>27788</v>
      </c>
      <c r="D31051" s="15" t="s">
        <v>27799</v>
      </c>
      <c r="E31051" s="2">
        <v>4888015</v>
      </c>
      <c r="F31051" s="4" t="e">
        <f>IF(B31051=#REF!,"",B31051)</f>
        <v>#REF!</v>
      </c>
    </row>
    <row r="31052" spans="1:6" ht="15.75" customHeight="1">
      <c r="A31052" s="15" t="s">
        <v>28250</v>
      </c>
      <c r="B31052" s="15" t="s">
        <v>28250</v>
      </c>
      <c r="C31052" s="15" t="s">
        <v>27788</v>
      </c>
      <c r="D31052" s="15" t="s">
        <v>27792</v>
      </c>
      <c r="E31052" s="2">
        <v>4681462</v>
      </c>
      <c r="F31052" s="4" t="e">
        <f>IF(B31052=#REF!,"",B31052)</f>
        <v>#REF!</v>
      </c>
    </row>
    <row r="31053" spans="1:6" ht="15.75" customHeight="1">
      <c r="A31053" s="15" t="s">
        <v>13881</v>
      </c>
      <c r="B31053" s="15" t="s">
        <v>13881</v>
      </c>
      <c r="C31053" s="15" t="s">
        <v>13800</v>
      </c>
      <c r="D31053" s="15" t="s">
        <v>13811</v>
      </c>
      <c r="E31053" s="2">
        <v>1647003</v>
      </c>
      <c r="F31053" s="4" t="e">
        <f>IF(B31053=#REF!,"",B31053)</f>
        <v>#REF!</v>
      </c>
    </row>
    <row r="31054" spans="1:6" ht="15.75" customHeight="1">
      <c r="A31054" s="15" t="s">
        <v>2329</v>
      </c>
      <c r="B31054" s="15" t="s">
        <v>2329</v>
      </c>
      <c r="C31054" s="15" t="s">
        <v>1905</v>
      </c>
      <c r="D31054" s="15" t="s">
        <v>728</v>
      </c>
      <c r="E31054" s="2">
        <v>3466174</v>
      </c>
      <c r="F31054" s="4" t="e">
        <f>IF(B31054=#REF!,"",B31054)</f>
        <v>#REF!</v>
      </c>
    </row>
    <row r="31055" spans="1:6" ht="15.75" customHeight="1">
      <c r="A31055" s="15" t="s">
        <v>15081</v>
      </c>
      <c r="B31055" s="15" t="s">
        <v>15081</v>
      </c>
      <c r="C31055" s="15" t="s">
        <v>14891</v>
      </c>
      <c r="D31055" s="15" t="s">
        <v>14904</v>
      </c>
      <c r="E31055" s="2">
        <v>3178738</v>
      </c>
      <c r="F31055" s="4" t="e">
        <f>IF(B31055=#REF!,"",B31055)</f>
        <v>#REF!</v>
      </c>
    </row>
    <row r="31056" spans="1:6" ht="15.75" customHeight="1">
      <c r="A31056" s="15" t="s">
        <v>13880</v>
      </c>
      <c r="B31056" s="15" t="s">
        <v>13880</v>
      </c>
      <c r="C31056" s="15" t="s">
        <v>13800</v>
      </c>
      <c r="D31056" s="15" t="s">
        <v>13811</v>
      </c>
      <c r="E31056" s="2">
        <v>1647383</v>
      </c>
      <c r="F31056" s="4" t="e">
        <f>IF(B31056=#REF!,"",B31056)</f>
        <v>#REF!</v>
      </c>
    </row>
    <row r="31057" spans="1:6" ht="15.75" customHeight="1">
      <c r="A31057" s="15" t="s">
        <v>13879</v>
      </c>
      <c r="B31057" s="15" t="s">
        <v>13879</v>
      </c>
      <c r="C31057" s="15" t="s">
        <v>13800</v>
      </c>
      <c r="D31057" s="15" t="s">
        <v>13811</v>
      </c>
      <c r="E31057" s="2">
        <v>1647149</v>
      </c>
      <c r="F31057" s="4" t="str">
        <f>IF(B31057=B31056,"",B31057)</f>
        <v>Ciamis</v>
      </c>
    </row>
    <row r="31058" spans="1:6" ht="15.75" customHeight="1">
      <c r="A31058" s="16" t="s">
        <v>5438</v>
      </c>
      <c r="B31058" s="15" t="s">
        <v>5439</v>
      </c>
      <c r="C31058" s="16" t="s">
        <v>5348</v>
      </c>
      <c r="D31058" s="16" t="s">
        <v>591</v>
      </c>
      <c r="E31058" s="2">
        <v>3686272</v>
      </c>
      <c r="F31058" s="4" t="str">
        <f>IF(B31058=B31057,"",B31058)</f>
        <v>CiÃ©naga de Oro</v>
      </c>
    </row>
    <row r="31059" spans="1:6" ht="15.75" customHeight="1">
      <c r="A31059" s="16" t="s">
        <v>5436</v>
      </c>
      <c r="B31059" s="15" t="s">
        <v>5437</v>
      </c>
      <c r="C31059" s="16" t="s">
        <v>5348</v>
      </c>
      <c r="D31059" s="16" t="s">
        <v>5368</v>
      </c>
      <c r="E31059" s="2">
        <v>3686279</v>
      </c>
      <c r="F31059" s="4" t="e">
        <f>IF(B31059=#REF!,"",B31059)</f>
        <v>#REF!</v>
      </c>
    </row>
    <row r="31060" spans="1:6" ht="15.75" customHeight="1">
      <c r="A31060" s="15" t="s">
        <v>4600</v>
      </c>
      <c r="B31060" s="15" t="s">
        <v>4600</v>
      </c>
      <c r="C31060" s="15" t="s">
        <v>4487</v>
      </c>
      <c r="D31060" s="15" t="s">
        <v>4501</v>
      </c>
      <c r="E31060" s="2">
        <v>1814757</v>
      </c>
      <c r="F31060" s="4" t="e">
        <f>IF(B31060=#REF!,"",B31060)</f>
        <v>#REF!</v>
      </c>
    </row>
    <row r="31061" spans="1:6" ht="15.75" customHeight="1">
      <c r="A31061" s="16" t="s">
        <v>30529</v>
      </c>
      <c r="B31061" s="15" t="s">
        <v>30529</v>
      </c>
      <c r="C31061" s="16" t="s">
        <v>30502</v>
      </c>
      <c r="D31061" s="16" t="s">
        <v>30528</v>
      </c>
      <c r="E31061" s="2">
        <v>1514192</v>
      </c>
      <c r="F31061" s="4" t="e">
        <f>IF(B31061=#REF!,"",B31061)</f>
        <v>#REF!</v>
      </c>
    </row>
    <row r="31062" spans="1:6" ht="15.75" customHeight="1">
      <c r="A31062" s="15" t="s">
        <v>22317</v>
      </c>
      <c r="B31062" s="15" t="s">
        <v>22317</v>
      </c>
      <c r="C31062" s="15" t="s">
        <v>22070</v>
      </c>
      <c r="D31062" s="15" t="s">
        <v>22115</v>
      </c>
      <c r="E31062" s="2">
        <v>567434</v>
      </c>
      <c r="F31062" s="4" t="str">
        <f>IF(B31062=B31061,"",B31062)</f>
        <v>Chusovoy</v>
      </c>
    </row>
    <row r="31063" spans="1:6" ht="15.75" customHeight="1">
      <c r="A31063" s="16" t="str">
        <f ca="1">IFERROR(__xludf.DUMMYFUNCTION("GOOGLETRANSLATE(B33678,""en"",""pt"")"),"Chūru")</f>
        <v>Chūru</v>
      </c>
      <c r="B31063" s="20" t="s">
        <v>33805</v>
      </c>
      <c r="C31063" s="20" t="s">
        <v>10178</v>
      </c>
      <c r="D31063" s="20" t="s">
        <v>10179</v>
      </c>
      <c r="E31063" s="10">
        <v>1273892</v>
      </c>
      <c r="F31063" s="4" t="str">
        <f>IF(B31063=B31062,"",B31063)</f>
        <v>Chūru</v>
      </c>
    </row>
    <row r="31064" spans="1:6" ht="15.75" customHeight="1">
      <c r="A31064" s="16" t="str">
        <f ca="1">IFERROR(__xludf.DUMMYFUNCTION("GOOGLETRANSLATE(B33679,""en"",""pt"")"),"Churāchāndpur")</f>
        <v>Churāchāndpur</v>
      </c>
      <c r="B31064" s="20" t="s">
        <v>33806</v>
      </c>
      <c r="C31064" s="20" t="s">
        <v>10178</v>
      </c>
      <c r="D31064" s="20" t="s">
        <v>11001</v>
      </c>
      <c r="E31064" s="10">
        <v>1273909</v>
      </c>
      <c r="F31064" s="4" t="str">
        <f>IF(B31064=B31063,"",B31064)</f>
        <v>Churāchāndpur</v>
      </c>
    </row>
    <row r="31065" spans="1:6" ht="15.75" customHeight="1">
      <c r="A31065" s="16" t="s">
        <v>10999</v>
      </c>
      <c r="B31065" s="15" t="s">
        <v>11000</v>
      </c>
      <c r="C31065" s="16" t="s">
        <v>10178</v>
      </c>
      <c r="D31065" s="16" t="s">
        <v>11001</v>
      </c>
      <c r="E31065" s="2">
        <v>1273909</v>
      </c>
      <c r="F31065" s="4" t="e">
        <f>IF(B31065=#REF!,"",B31065)</f>
        <v>#REF!</v>
      </c>
    </row>
    <row r="31066" spans="1:6" ht="15.75" customHeight="1">
      <c r="A31066" s="15" t="s">
        <v>25254</v>
      </c>
      <c r="B31066" s="15" t="s">
        <v>25254</v>
      </c>
      <c r="C31066" s="15" t="s">
        <v>25237</v>
      </c>
      <c r="D31066" s="15" t="s">
        <v>25255</v>
      </c>
      <c r="E31066" s="2">
        <v>2661169</v>
      </c>
      <c r="F31066" s="4" t="e">
        <f>IF(B31066=#REF!,"",B31066)</f>
        <v>#REF!</v>
      </c>
    </row>
    <row r="31067" spans="1:6" ht="15.75" customHeight="1">
      <c r="A31067" s="15" t="s">
        <v>22316</v>
      </c>
      <c r="B31067" s="15" t="s">
        <v>22316</v>
      </c>
      <c r="C31067" s="15" t="s">
        <v>22070</v>
      </c>
      <c r="D31067" s="15" t="s">
        <v>22135</v>
      </c>
      <c r="E31067" s="2">
        <v>1507636</v>
      </c>
      <c r="F31067" s="4" t="str">
        <f>IF(B31067=B31066,"",B31067)</f>
        <v>Chunskiy</v>
      </c>
    </row>
    <row r="31068" spans="1:6" ht="15.75" customHeight="1">
      <c r="A31068" s="16" t="str">
        <f ca="1">IFERROR(__xludf.DUMMYFUNCTION("GOOGLETRANSLATE(B39130,""en"",""pt"")"),"Chūniān")</f>
        <v>Chūniān</v>
      </c>
      <c r="B31068" s="20" t="s">
        <v>35036</v>
      </c>
      <c r="C31068" s="20" t="s">
        <v>19808</v>
      </c>
      <c r="D31068" s="20" t="s">
        <v>10184</v>
      </c>
      <c r="E31068" s="10">
        <v>1180942</v>
      </c>
      <c r="F31068" s="4" t="e">
        <f>IF(B31068=#REF!,"",B31068)</f>
        <v>#REF!</v>
      </c>
    </row>
    <row r="31069" spans="1:6" ht="15.75" customHeight="1">
      <c r="A31069" s="16" t="s">
        <v>19609</v>
      </c>
      <c r="B31069" s="15" t="s">
        <v>19609</v>
      </c>
      <c r="C31069" s="16" t="s">
        <v>19589</v>
      </c>
      <c r="D31069" s="16" t="s">
        <v>19610</v>
      </c>
      <c r="E31069" s="2">
        <v>1877872</v>
      </c>
      <c r="F31069" s="4" t="e">
        <f>IF(B31069=#REF!,"",B31069)</f>
        <v>#REF!</v>
      </c>
    </row>
    <row r="31070" spans="1:6" ht="15.75" customHeight="1">
      <c r="A31070" s="16" t="s">
        <v>24053</v>
      </c>
      <c r="B31070" s="15" t="s">
        <v>24053</v>
      </c>
      <c r="C31070" s="16" t="s">
        <v>24024</v>
      </c>
      <c r="D31070" s="16" t="s">
        <v>24054</v>
      </c>
      <c r="E31070" s="2">
        <v>1845136</v>
      </c>
      <c r="F31070" s="4" t="str">
        <f>IF(B31070=B31069,"",B31070)</f>
        <v>Chuncheon</v>
      </c>
    </row>
    <row r="31071" spans="1:6" ht="15.75" customHeight="1">
      <c r="A31071" s="16" t="str">
        <f ca="1">IFERROR(__xludf.DUMMYFUNCTION("GOOGLETRANSLATE(B33680,""en"",""pt"")"),"Chunār")</f>
        <v>Chunār</v>
      </c>
      <c r="B31071" s="20" t="s">
        <v>33807</v>
      </c>
      <c r="C31071" s="20" t="s">
        <v>10178</v>
      </c>
      <c r="D31071" s="20" t="s">
        <v>10193</v>
      </c>
      <c r="E31071" s="10">
        <v>1273923</v>
      </c>
      <c r="F31071" s="4" t="str">
        <f>IF(B31071=B31070,"",B31071)</f>
        <v>Chunār</v>
      </c>
    </row>
    <row r="31072" spans="1:6" ht="15.75" customHeight="1">
      <c r="A31072" s="15" t="s">
        <v>10997</v>
      </c>
      <c r="B31072" s="15" t="s">
        <v>10998</v>
      </c>
      <c r="C31072" s="15" t="s">
        <v>10178</v>
      </c>
      <c r="D31072" s="15" t="s">
        <v>10193</v>
      </c>
      <c r="E31072" s="2">
        <v>1273923</v>
      </c>
      <c r="F31072" s="4" t="e">
        <f>IF(B31072=#REF!,"",B31072)</f>
        <v>#REF!</v>
      </c>
    </row>
    <row r="31073" spans="1:6" ht="15.75" customHeight="1">
      <c r="A31073" s="16" t="s">
        <v>25869</v>
      </c>
      <c r="B31073" s="15" t="s">
        <v>25869</v>
      </c>
      <c r="C31073" s="16" t="s">
        <v>25771</v>
      </c>
      <c r="D31073" s="16" t="s">
        <v>25869</v>
      </c>
      <c r="E31073" s="2">
        <v>1153557</v>
      </c>
      <c r="F31073" s="4" t="e">
        <f>IF(B31073=#REF!,"",B31073)</f>
        <v>#REF!</v>
      </c>
    </row>
    <row r="31074" spans="1:6" ht="15.75" customHeight="1">
      <c r="A31074" s="16" t="s">
        <v>25867</v>
      </c>
      <c r="B31074" s="15" t="s">
        <v>25868</v>
      </c>
      <c r="C31074" s="16" t="s">
        <v>25771</v>
      </c>
      <c r="D31074" s="16" t="s">
        <v>25808</v>
      </c>
      <c r="E31074" s="2">
        <v>1611026</v>
      </c>
      <c r="F31074" s="4" t="e">
        <f>IF(B31074=#REF!,"",B31074)</f>
        <v>#REF!</v>
      </c>
    </row>
    <row r="31075" spans="1:6" ht="15.75" customHeight="1">
      <c r="A31075" s="16" t="s">
        <v>20503</v>
      </c>
      <c r="B31075" s="15" t="s">
        <v>20503</v>
      </c>
      <c r="C31075" s="16" t="s">
        <v>20470</v>
      </c>
      <c r="D31075" s="16" t="s">
        <v>20486</v>
      </c>
      <c r="E31075" s="2">
        <v>3698105</v>
      </c>
      <c r="F31075" s="4" t="e">
        <f>IF(B31075=#REF!,"",B31075)</f>
        <v>#REF!</v>
      </c>
    </row>
    <row r="31076" spans="1:6" ht="15.75" customHeight="1">
      <c r="A31076" s="16" t="s">
        <v>28249</v>
      </c>
      <c r="B31076" s="15" t="s">
        <v>28249</v>
      </c>
      <c r="C31076" s="16" t="s">
        <v>27788</v>
      </c>
      <c r="D31076" s="16" t="s">
        <v>27801</v>
      </c>
      <c r="E31076" s="2">
        <v>5336899</v>
      </c>
      <c r="F31076" s="4" t="e">
        <f>IF(B31076=#REF!,"",B31076)</f>
        <v>#REF!</v>
      </c>
    </row>
    <row r="31077" spans="1:6" ht="15.75" customHeight="1">
      <c r="A31077" s="15" t="s">
        <v>26932</v>
      </c>
      <c r="B31077" s="15" t="s">
        <v>26932</v>
      </c>
      <c r="C31077" s="15" t="s">
        <v>26870</v>
      </c>
      <c r="D31077" s="15" t="s">
        <v>26893</v>
      </c>
      <c r="E31077" s="2">
        <v>710374</v>
      </c>
      <c r="F31077" s="4" t="str">
        <f>IF(B31077=B31076,"",B31077)</f>
        <v>Chuhuyiv</v>
      </c>
    </row>
    <row r="31078" spans="1:6" ht="15.75" customHeight="1">
      <c r="A31078" s="16" t="str">
        <f ca="1">IFERROR(__xludf.DUMMYFUNCTION("GOOGLETRANSLATE(B39131,""en"",""pt"")"),"Chūhar Kāna")</f>
        <v>Chūhar Kāna</v>
      </c>
      <c r="B31078" s="20" t="s">
        <v>35037</v>
      </c>
      <c r="C31078" s="20" t="s">
        <v>19808</v>
      </c>
      <c r="D31078" s="20" t="s">
        <v>10184</v>
      </c>
      <c r="E31078" s="10">
        <v>1180983</v>
      </c>
      <c r="F31078" s="4" t="str">
        <f>IF(B31078=B31077,"",B31078)</f>
        <v>Chūhar Kāna</v>
      </c>
    </row>
    <row r="31079" spans="1:6" ht="15.75" customHeight="1">
      <c r="A31079" s="16" t="str">
        <f ca="1">IFERROR(__xludf.DUMMYFUNCTION("GOOGLETRANSLATE(B38863,""en"",""pt"")"),"Chuhar Jamāli")</f>
        <v>Chuhar Jamāli</v>
      </c>
      <c r="B31079" s="20" t="s">
        <v>34889</v>
      </c>
      <c r="C31079" s="20" t="s">
        <v>19808</v>
      </c>
      <c r="D31079" s="20" t="s">
        <v>19823</v>
      </c>
      <c r="E31079" s="10">
        <v>1108161</v>
      </c>
      <c r="F31079" s="4" t="str">
        <f>IF(B31079=B31078,"",B31079)</f>
        <v>Chuhar Jamāli</v>
      </c>
    </row>
    <row r="31080" spans="1:6" ht="15.75" customHeight="1">
      <c r="A31080" s="16" t="s">
        <v>19872</v>
      </c>
      <c r="B31080" s="15" t="s">
        <v>19873</v>
      </c>
      <c r="C31080" s="16" t="s">
        <v>19808</v>
      </c>
      <c r="D31080" s="16" t="s">
        <v>19823</v>
      </c>
      <c r="E31080" s="2">
        <v>1108161</v>
      </c>
      <c r="F31080" s="4" t="e">
        <f>IF(B31080=#REF!,"",B31080)</f>
        <v>#REF!</v>
      </c>
    </row>
    <row r="31081" spans="1:6" ht="15.75" customHeight="1">
      <c r="A31081" s="15" t="s">
        <v>22315</v>
      </c>
      <c r="B31081" s="15" t="s">
        <v>22315</v>
      </c>
      <c r="C31081" s="15" t="s">
        <v>22070</v>
      </c>
      <c r="D31081" s="15" t="s">
        <v>22263</v>
      </c>
      <c r="E31081" s="2">
        <v>567774</v>
      </c>
      <c r="F31081" s="4" t="e">
        <f>IF(B31081=#REF!,"",B31081)</f>
        <v>#REF!</v>
      </c>
    </row>
    <row r="31082" spans="1:6" ht="15.75" customHeight="1">
      <c r="A31082" s="15" t="s">
        <v>25531</v>
      </c>
      <c r="B31082" s="15" t="s">
        <v>25531</v>
      </c>
      <c r="C31082" s="15" t="s">
        <v>25527</v>
      </c>
      <c r="D31082" s="15" t="s">
        <v>25532</v>
      </c>
      <c r="E31082" s="2">
        <v>1221997</v>
      </c>
      <c r="F31082" s="4" t="e">
        <f>IF(B31082=#REF!,"",B31082)</f>
        <v>#REF!</v>
      </c>
    </row>
    <row r="31083" spans="1:6" ht="15.75" customHeight="1">
      <c r="A31083" s="15" t="s">
        <v>16706</v>
      </c>
      <c r="B31083" s="15" t="s">
        <v>16706</v>
      </c>
      <c r="C31083" s="15" t="s">
        <v>16671</v>
      </c>
      <c r="D31083" s="15" t="s">
        <v>16707</v>
      </c>
      <c r="E31083" s="2">
        <v>1519030</v>
      </c>
      <c r="F31083" s="4" t="str">
        <f>IF(B31083=B31082,"",B31083)</f>
        <v>Chu</v>
      </c>
    </row>
    <row r="31084" spans="1:6" ht="15.75" customHeight="1">
      <c r="A31084" s="16" t="str">
        <f ca="1">IFERROR(__xludf.DUMMYFUNCTION("GOOGLETRANSLATE(B39474,""en"",""pt"")"),"Chrzanów")</f>
        <v>Chrzanów</v>
      </c>
      <c r="B31084" s="20" t="s">
        <v>35237</v>
      </c>
      <c r="C31084" s="20" t="s">
        <v>21064</v>
      </c>
      <c r="D31084" s="20" t="s">
        <v>21108</v>
      </c>
      <c r="E31084" s="10">
        <v>3101547</v>
      </c>
      <c r="F31084" s="4" t="str">
        <f>IF(B31084=B31083,"",B31084)</f>
        <v>Chrzanów</v>
      </c>
    </row>
    <row r="31085" spans="1:6" ht="15.75" customHeight="1">
      <c r="A31085" s="16" t="s">
        <v>21187</v>
      </c>
      <c r="B31085" s="15" t="s">
        <v>21188</v>
      </c>
      <c r="C31085" s="16" t="s">
        <v>21064</v>
      </c>
      <c r="D31085" s="16" t="s">
        <v>21108</v>
      </c>
      <c r="E31085" s="2">
        <v>3101547</v>
      </c>
      <c r="F31085" s="4" t="e">
        <f>IF(B31085=#REF!,"",B31085)</f>
        <v>#REF!</v>
      </c>
    </row>
    <row r="31086" spans="1:6" ht="15.75" customHeight="1">
      <c r="A31086" s="15" t="s">
        <v>6000</v>
      </c>
      <c r="B31086" s="15" t="s">
        <v>6000</v>
      </c>
      <c r="C31086" s="15" t="s">
        <v>5947</v>
      </c>
      <c r="D31086" s="15" t="s">
        <v>5965</v>
      </c>
      <c r="E31086" s="2">
        <v>3077539</v>
      </c>
      <c r="F31086" s="4" t="e">
        <f>IF(B31086=#REF!,"",B31086)</f>
        <v>#REF!</v>
      </c>
    </row>
    <row r="31087" spans="1:6" ht="15.75" customHeight="1">
      <c r="A31087" s="16" t="s">
        <v>23874</v>
      </c>
      <c r="B31087" s="15" t="s">
        <v>23874</v>
      </c>
      <c r="C31087" s="16" t="s">
        <v>23842</v>
      </c>
      <c r="D31087" s="16" t="s">
        <v>23860</v>
      </c>
      <c r="E31087" s="2">
        <v>1013550</v>
      </c>
      <c r="F31087" s="4" t="e">
        <f>IF(B31087=#REF!,"",B31087)</f>
        <v>#REF!</v>
      </c>
    </row>
    <row r="31088" spans="1:6" ht="15.75" customHeight="1">
      <c r="A31088" s="16" t="s">
        <v>19175</v>
      </c>
      <c r="B31088" s="15" t="s">
        <v>19175</v>
      </c>
      <c r="C31088" s="16" t="s">
        <v>19169</v>
      </c>
      <c r="D31088" s="16" t="s">
        <v>19170</v>
      </c>
      <c r="E31088" s="2">
        <v>2192362</v>
      </c>
      <c r="F31088" s="4" t="e">
        <f>IF(B31088=#REF!,"",B31088)</f>
        <v>#REF!</v>
      </c>
    </row>
    <row r="31089" spans="1:6" ht="15.75" customHeight="1">
      <c r="A31089" s="16" t="s">
        <v>28248</v>
      </c>
      <c r="B31089" s="15" t="s">
        <v>28248</v>
      </c>
      <c r="C31089" s="16" t="s">
        <v>27788</v>
      </c>
      <c r="D31089" s="16" t="s">
        <v>27801</v>
      </c>
      <c r="E31089" s="2">
        <v>5336667</v>
      </c>
      <c r="F31089" s="4" t="e">
        <f>IF(B31089=#REF!,"",B31089)</f>
        <v>#REF!</v>
      </c>
    </row>
    <row r="31090" spans="1:6" ht="15.75" customHeight="1">
      <c r="A31090" s="15" t="s">
        <v>10996</v>
      </c>
      <c r="B31090" s="15" t="s">
        <v>10996</v>
      </c>
      <c r="C31090" s="15" t="s">
        <v>10178</v>
      </c>
      <c r="D31090" s="15" t="s">
        <v>10209</v>
      </c>
      <c r="E31090" s="2">
        <v>1273960</v>
      </c>
      <c r="F31090" s="4" t="e">
        <f>IF(B31090=#REF!,"",B31090)</f>
        <v>#REF!</v>
      </c>
    </row>
    <row r="31091" spans="1:6" ht="15.75" customHeight="1">
      <c r="A31091" s="16" t="s">
        <v>21186</v>
      </c>
      <c r="B31091" s="15" t="s">
        <v>21186</v>
      </c>
      <c r="C31091" s="16" t="s">
        <v>21064</v>
      </c>
      <c r="D31091" s="16" t="s">
        <v>21121</v>
      </c>
      <c r="E31091" s="2">
        <v>3101613</v>
      </c>
      <c r="F31091" s="4" t="e">
        <f>IF(B31091=#REF!,"",B31091)</f>
        <v>#REF!</v>
      </c>
    </row>
    <row r="31092" spans="1:6" ht="15.75" customHeight="1">
      <c r="A31092" s="15" t="s">
        <v>20502</v>
      </c>
      <c r="B31092" s="15" t="s">
        <v>20502</v>
      </c>
      <c r="C31092" s="15" t="s">
        <v>20470</v>
      </c>
      <c r="D31092" s="15" t="s">
        <v>20479</v>
      </c>
      <c r="E31092" s="2">
        <v>3943423</v>
      </c>
      <c r="F31092" s="4" t="str">
        <f>IF(B31092=B31091,"",B31092)</f>
        <v>Chosica</v>
      </c>
    </row>
    <row r="31093" spans="1:6" ht="15.75" customHeight="1">
      <c r="A31093" s="16" t="str">
        <f ca="1">IFERROR(__xludf.DUMMYFUNCTION("GOOGLETRANSLATE(B39476,""en"",""pt"")"),"Chorzów")</f>
        <v>Chorzów</v>
      </c>
      <c r="B31093" s="20" t="s">
        <v>35238</v>
      </c>
      <c r="C31093" s="20" t="s">
        <v>21064</v>
      </c>
      <c r="D31093" s="20" t="s">
        <v>21073</v>
      </c>
      <c r="E31093" s="10">
        <v>3101619</v>
      </c>
      <c r="F31093" s="4" t="str">
        <f>IF(B31093=B31092,"",B31093)</f>
        <v>Chorzów</v>
      </c>
    </row>
    <row r="31094" spans="1:6" ht="15.75" customHeight="1">
      <c r="A31094" s="15" t="s">
        <v>21184</v>
      </c>
      <c r="B31094" s="15" t="s">
        <v>21185</v>
      </c>
      <c r="C31094" s="15" t="s">
        <v>21064</v>
      </c>
      <c r="D31094" s="15" t="s">
        <v>21073</v>
      </c>
      <c r="E31094" s="2">
        <v>3101619</v>
      </c>
      <c r="F31094" s="4" t="e">
        <f>IF(B31094=#REF!,"",B31094)</f>
        <v>#REF!</v>
      </c>
    </row>
    <row r="31095" spans="1:6" ht="15.75" customHeight="1">
      <c r="A31095" s="15" t="s">
        <v>30527</v>
      </c>
      <c r="B31095" s="15" t="s">
        <v>30527</v>
      </c>
      <c r="C31095" s="15" t="s">
        <v>30502</v>
      </c>
      <c r="D31095" s="15" t="s">
        <v>30528</v>
      </c>
      <c r="E31095" s="2">
        <v>1514258</v>
      </c>
      <c r="F31095" s="4" t="e">
        <f>IF(B31095=#REF!,"",B31095)</f>
        <v>#REF!</v>
      </c>
    </row>
    <row r="31096" spans="1:6" ht="15.75" customHeight="1">
      <c r="A31096" s="15" t="s">
        <v>26930</v>
      </c>
      <c r="B31096" s="15" t="s">
        <v>26930</v>
      </c>
      <c r="C31096" s="15" t="s">
        <v>26870</v>
      </c>
      <c r="D31096" s="15" t="s">
        <v>26931</v>
      </c>
      <c r="E31096" s="2">
        <v>710400</v>
      </c>
      <c r="F31096" s="4" t="e">
        <f>IF(B31096=#REF!,"",B31096)</f>
        <v>#REF!</v>
      </c>
    </row>
    <row r="31097" spans="1:6" ht="15.75" customHeight="1">
      <c r="A31097" s="15" t="s">
        <v>27414</v>
      </c>
      <c r="B31097" s="15" t="s">
        <v>27414</v>
      </c>
      <c r="C31097" s="15" t="s">
        <v>27234</v>
      </c>
      <c r="D31097" s="15" t="s">
        <v>27241</v>
      </c>
      <c r="E31097" s="2">
        <v>2653086</v>
      </c>
      <c r="F31097" s="4" t="e">
        <f>IF(B31097=#REF!,"",B31097)</f>
        <v>#REF!</v>
      </c>
    </row>
    <row r="31098" spans="1:6" ht="15.75" customHeight="1">
      <c r="A31098" s="15" t="s">
        <v>313</v>
      </c>
      <c r="B31098" s="15" t="s">
        <v>313</v>
      </c>
      <c r="C31098" s="15" t="s">
        <v>153</v>
      </c>
      <c r="D31098" s="15" t="s">
        <v>189</v>
      </c>
      <c r="E31098" s="2">
        <v>2501289</v>
      </c>
      <c r="F31098" s="4" t="e">
        <f>IF(B31098=#REF!,"",B31098)</f>
        <v>#REF!</v>
      </c>
    </row>
    <row r="31099" spans="1:6" ht="15.75" customHeight="1">
      <c r="A31099" s="15" t="s">
        <v>19870</v>
      </c>
      <c r="B31099" s="15" t="s">
        <v>19871</v>
      </c>
      <c r="C31099" s="15" t="s">
        <v>19808</v>
      </c>
      <c r="D31099" s="15" t="s">
        <v>19823</v>
      </c>
      <c r="E31099" s="2">
        <v>1181022</v>
      </c>
      <c r="F31099" s="4" t="e">
        <f>IF(B31099=#REF!,"",B31099)</f>
        <v>#REF!</v>
      </c>
    </row>
    <row r="31100" spans="1:6" ht="15.75" customHeight="1">
      <c r="A31100" s="15" t="s">
        <v>10995</v>
      </c>
      <c r="B31100" s="15" t="s">
        <v>10995</v>
      </c>
      <c r="C31100" s="15" t="s">
        <v>10178</v>
      </c>
      <c r="D31100" s="15" t="s">
        <v>10214</v>
      </c>
      <c r="E31100" s="2">
        <v>1273992</v>
      </c>
      <c r="F31100" s="4" t="e">
        <f>IF(B31100=#REF!,"",B31100)</f>
        <v>#REF!</v>
      </c>
    </row>
    <row r="31101" spans="1:6" ht="15.75" customHeight="1">
      <c r="A31101" s="16" t="s">
        <v>4599</v>
      </c>
      <c r="B31101" s="15" t="s">
        <v>4599</v>
      </c>
      <c r="C31101" s="16" t="s">
        <v>4487</v>
      </c>
      <c r="D31101" s="16" t="s">
        <v>4540</v>
      </c>
      <c r="E31101" s="2">
        <v>1814906</v>
      </c>
      <c r="F31101" s="4" t="e">
        <f>IF(B31101=#REF!,"",B31101)</f>
        <v>#REF!</v>
      </c>
    </row>
    <row r="31102" spans="1:6" ht="15.75" customHeight="1">
      <c r="A31102" s="16" t="s">
        <v>20501</v>
      </c>
      <c r="B31102" s="15" t="s">
        <v>20501</v>
      </c>
      <c r="C31102" s="16" t="s">
        <v>20470</v>
      </c>
      <c r="D31102" s="16" t="s">
        <v>20495</v>
      </c>
      <c r="E31102" s="2">
        <v>3698176</v>
      </c>
      <c r="F31102" s="4" t="e">
        <f>IF(B31102=#REF!,"",B31102)</f>
        <v>#REF!</v>
      </c>
    </row>
    <row r="31103" spans="1:6" ht="15.75" customHeight="1">
      <c r="A31103" s="16" t="s">
        <v>4597</v>
      </c>
      <c r="B31103" s="15" t="s">
        <v>4598</v>
      </c>
      <c r="C31103" s="16" t="s">
        <v>4487</v>
      </c>
      <c r="D31103" s="16" t="s">
        <v>4588</v>
      </c>
      <c r="E31103" s="2">
        <v>1814919</v>
      </c>
      <c r="F31103" s="4" t="str">
        <f>IF(B31103=B31102,"",B31103)</f>
        <v>Chonglong</v>
      </c>
    </row>
    <row r="31104" spans="1:6" ht="15.75" customHeight="1">
      <c r="A31104" s="16" t="str">
        <f ca="1">IFERROR(__xludf.DUMMYFUNCTION("GOOGLETRANSLATE(B36017,""en"",""pt"")"),"Chŏngju")</f>
        <v>Chŏngju</v>
      </c>
      <c r="B31104" s="20" t="s">
        <v>34452</v>
      </c>
      <c r="C31104" s="20" t="s">
        <v>19589</v>
      </c>
      <c r="D31104" s="20" t="s">
        <v>34443</v>
      </c>
      <c r="E31104" s="10">
        <v>1878389</v>
      </c>
      <c r="F31104" s="4" t="e">
        <f>IF(B31104=#REF!,"",B31104)</f>
        <v>#REF!</v>
      </c>
    </row>
    <row r="31105" spans="1:6" ht="15.75" customHeight="1">
      <c r="A31105" s="15" t="s">
        <v>19608</v>
      </c>
      <c r="B31105" s="15" t="s">
        <v>19608</v>
      </c>
      <c r="C31105" s="15" t="s">
        <v>19589</v>
      </c>
      <c r="D31105" s="15" t="s">
        <v>19599</v>
      </c>
      <c r="E31105" s="2">
        <v>2044757</v>
      </c>
      <c r="F31105" s="4" t="e">
        <f>IF(B31105=#REF!,"",B31105)</f>
        <v>#REF!</v>
      </c>
    </row>
    <row r="31106" spans="1:6" ht="15.75" customHeight="1">
      <c r="A31106" s="15" t="s">
        <v>6421</v>
      </c>
      <c r="B31106" s="15" t="s">
        <v>6421</v>
      </c>
      <c r="C31106" s="15" t="s">
        <v>6398</v>
      </c>
      <c r="D31106" s="15" t="s">
        <v>6408</v>
      </c>
      <c r="E31106" s="2">
        <v>3659139</v>
      </c>
      <c r="F31106" s="4" t="e">
        <f>IF(B31106=#REF!,"",B31106)</f>
        <v>#REF!</v>
      </c>
    </row>
    <row r="31107" spans="1:6" ht="15.75" customHeight="1">
      <c r="A31107" s="16" t="s">
        <v>25865</v>
      </c>
      <c r="B31107" s="15" t="s">
        <v>25865</v>
      </c>
      <c r="C31107" s="16" t="s">
        <v>25771</v>
      </c>
      <c r="D31107" s="16" t="s">
        <v>25866</v>
      </c>
      <c r="E31107" s="2">
        <v>1611106</v>
      </c>
      <c r="F31107" s="4" t="e">
        <f>IF(B31107=#REF!,"",B31107)</f>
        <v>#REF!</v>
      </c>
    </row>
    <row r="31108" spans="1:6" ht="15.75" customHeight="1">
      <c r="A31108" s="15" t="s">
        <v>25780</v>
      </c>
      <c r="B31108" s="15" t="s">
        <v>25780</v>
      </c>
      <c r="C31108" s="15" t="s">
        <v>25771</v>
      </c>
      <c r="D31108" s="15" t="s">
        <v>25780</v>
      </c>
      <c r="E31108" s="2">
        <v>1611110</v>
      </c>
      <c r="F31108" s="4" t="e">
        <f>IF(B31108=#REF!,"",B31108)</f>
        <v>#REF!</v>
      </c>
    </row>
    <row r="31109" spans="1:6" ht="15.75" customHeight="1">
      <c r="A31109" s="16" t="s">
        <v>5999</v>
      </c>
      <c r="B31109" s="15" t="s">
        <v>5999</v>
      </c>
      <c r="C31109" s="16" t="s">
        <v>5947</v>
      </c>
      <c r="D31109" s="16" t="s">
        <v>5956</v>
      </c>
      <c r="E31109" s="2">
        <v>3077685</v>
      </c>
      <c r="F31109" s="4" t="e">
        <f>IF(B31109=#REF!,"",B31109)</f>
        <v>#REF!</v>
      </c>
    </row>
    <row r="31110" spans="1:6" ht="15.75" customHeight="1">
      <c r="A31110" s="15" t="s">
        <v>31042</v>
      </c>
      <c r="B31110" s="15" t="s">
        <v>31042</v>
      </c>
      <c r="C31110" s="15" t="s">
        <v>31038</v>
      </c>
      <c r="D31110" s="15" t="s">
        <v>1884</v>
      </c>
      <c r="E31110" s="2">
        <v>917748</v>
      </c>
      <c r="F31110" s="4" t="e">
        <f>IF(B31110=#REF!,"",B31110)</f>
        <v>#REF!</v>
      </c>
    </row>
    <row r="31111" spans="1:6" ht="15.75" customHeight="1">
      <c r="A31111" s="16" t="s">
        <v>25864</v>
      </c>
      <c r="B31111" s="15" t="s">
        <v>25864</v>
      </c>
      <c r="C31111" s="16" t="s">
        <v>25771</v>
      </c>
      <c r="D31111" s="16" t="s">
        <v>25811</v>
      </c>
      <c r="E31111" s="2">
        <v>1153646</v>
      </c>
      <c r="F31111" s="4" t="e">
        <f>IF(B31111=#REF!,"",B31111)</f>
        <v>#REF!</v>
      </c>
    </row>
    <row r="31112" spans="1:6" ht="15.75" customHeight="1">
      <c r="A31112" s="15" t="s">
        <v>17830</v>
      </c>
      <c r="B31112" s="15" t="s">
        <v>17830</v>
      </c>
      <c r="C31112" s="15" t="s">
        <v>17707</v>
      </c>
      <c r="D31112" s="15" t="s">
        <v>17717</v>
      </c>
      <c r="E31112" s="2">
        <v>3530757</v>
      </c>
      <c r="F31112" s="4" t="e">
        <f>IF(B31112=#REF!,"",B31112)</f>
        <v>#REF!</v>
      </c>
    </row>
    <row r="31113" spans="1:6" ht="15.75" customHeight="1">
      <c r="A31113" s="16" t="s">
        <v>16931</v>
      </c>
      <c r="B31113" s="15" t="s">
        <v>16932</v>
      </c>
      <c r="C31113" s="16" t="s">
        <v>16924</v>
      </c>
      <c r="D31113" s="16" t="s">
        <v>16927</v>
      </c>
      <c r="E31113" s="2">
        <v>1528512</v>
      </c>
      <c r="F31113" s="4" t="e">
        <f>IF(B31113=#REF!,"",B31113)</f>
        <v>#REF!</v>
      </c>
    </row>
    <row r="31114" spans="1:6" ht="15.75" customHeight="1">
      <c r="A31114" s="15" t="s">
        <v>9906</v>
      </c>
      <c r="B31114" s="15" t="s">
        <v>9906</v>
      </c>
      <c r="C31114" s="15" t="s">
        <v>9907</v>
      </c>
      <c r="D31114" s="15" t="s">
        <v>9908</v>
      </c>
      <c r="E31114" s="2">
        <v>3613533</v>
      </c>
      <c r="F31114" s="4" t="e">
        <f>IF(B31114=#REF!,"",B31114)</f>
        <v>#REF!</v>
      </c>
    </row>
    <row r="31115" spans="1:6" ht="15.75" customHeight="1">
      <c r="A31115" s="15" t="s">
        <v>7268</v>
      </c>
      <c r="B31115" s="15" t="s">
        <v>7269</v>
      </c>
      <c r="C31115" s="15" t="s">
        <v>7052</v>
      </c>
      <c r="D31115" s="15" t="s">
        <v>7102</v>
      </c>
      <c r="E31115" s="2">
        <v>3025053</v>
      </c>
      <c r="F31115" s="4" t="str">
        <f>IF(B31115=B31114,"",B31115)</f>
        <v>Cholet</v>
      </c>
    </row>
    <row r="31116" spans="1:6" ht="15.75" customHeight="1">
      <c r="A31116" s="16" t="str">
        <f ca="1">IFERROR(__xludf.DUMMYFUNCTION("GOOGLETRANSLATE(B30991,""en"",""pt"")"),"Cholargós")</f>
        <v>Cholargós</v>
      </c>
      <c r="B31116" s="20" t="s">
        <v>32701</v>
      </c>
      <c r="C31116" s="20" t="s">
        <v>9441</v>
      </c>
      <c r="D31116" s="20" t="s">
        <v>9445</v>
      </c>
      <c r="E31116" s="10">
        <v>259949</v>
      </c>
      <c r="F31116" s="4" t="str">
        <f>IF(B31116=B31115,"",B31116)</f>
        <v>Cholargós</v>
      </c>
    </row>
    <row r="31117" spans="1:6" ht="15.75" customHeight="1">
      <c r="A31117" s="15" t="s">
        <v>9497</v>
      </c>
      <c r="B31117" s="15" t="s">
        <v>9498</v>
      </c>
      <c r="C31117" s="15" t="s">
        <v>9441</v>
      </c>
      <c r="D31117" s="15" t="s">
        <v>9445</v>
      </c>
      <c r="E31117" s="2">
        <v>259949</v>
      </c>
      <c r="F31117" s="4" t="str">
        <f>IF(B31117=B31116,"",B31117)</f>
        <v>CholargÃ³s</v>
      </c>
    </row>
    <row r="31118" spans="1:6" ht="15.75" customHeight="1">
      <c r="A31118" s="16" t="str">
        <f ca="1">IFERROR(__xludf.DUMMYFUNCTION("GOOGLETRANSLATE(B37559,""en"",""pt"")"),"Chokwé")</f>
        <v>Chokwé</v>
      </c>
      <c r="B31118" s="20" t="s">
        <v>18664</v>
      </c>
      <c r="C31118" s="20" t="s">
        <v>18655</v>
      </c>
      <c r="D31118" s="20" t="s">
        <v>18661</v>
      </c>
      <c r="E31118" s="10">
        <v>1048364</v>
      </c>
      <c r="F31118" s="4" t="str">
        <f>IF(B31118=B31117,"",B31118)</f>
        <v>Chokwé</v>
      </c>
    </row>
    <row r="31119" spans="1:6" ht="15.75" customHeight="1">
      <c r="A31119" s="15" t="s">
        <v>18664</v>
      </c>
      <c r="B31119" s="15" t="s">
        <v>18665</v>
      </c>
      <c r="C31119" s="15" t="s">
        <v>18655</v>
      </c>
      <c r="D31119" s="15" t="s">
        <v>18661</v>
      </c>
      <c r="E31119" s="2">
        <v>1048364</v>
      </c>
      <c r="F31119" s="4" t="e">
        <f>IF(B31119=#REF!,"",B31119)</f>
        <v>#REF!</v>
      </c>
    </row>
    <row r="31120" spans="1:6" ht="15.75" customHeight="1">
      <c r="A31120" s="16" t="s">
        <v>25863</v>
      </c>
      <c r="B31120" s="15" t="s">
        <v>25863</v>
      </c>
      <c r="C31120" s="16" t="s">
        <v>25771</v>
      </c>
      <c r="D31120" s="16" t="s">
        <v>25774</v>
      </c>
      <c r="E31120" s="2">
        <v>1611135</v>
      </c>
      <c r="F31120" s="4" t="e">
        <f>IF(B31120=#REF!,"",B31120)</f>
        <v>#REF!</v>
      </c>
    </row>
    <row r="31121" spans="1:6" ht="15.75" customHeight="1">
      <c r="A31121" s="15" t="s">
        <v>21183</v>
      </c>
      <c r="B31121" s="15" t="s">
        <v>21183</v>
      </c>
      <c r="C31121" s="15" t="s">
        <v>21064</v>
      </c>
      <c r="D31121" s="15" t="s">
        <v>21173</v>
      </c>
      <c r="E31121" s="2">
        <v>3101672</v>
      </c>
      <c r="F31121" s="4" t="e">
        <f>IF(B31121=#REF!,"",B31121)</f>
        <v>#REF!</v>
      </c>
    </row>
    <row r="31122" spans="1:6" ht="15.75" customHeight="1">
      <c r="A31122" s="16" t="s">
        <v>7267</v>
      </c>
      <c r="B31122" s="15" t="s">
        <v>7267</v>
      </c>
      <c r="C31122" s="16" t="s">
        <v>7052</v>
      </c>
      <c r="D31122" s="16" t="s">
        <v>7058</v>
      </c>
      <c r="E31122" s="2">
        <v>3025055</v>
      </c>
      <c r="F31122" s="4" t="str">
        <f>IF(B31122=B31121,"",B31122)</f>
        <v>Choisy-le-Roi</v>
      </c>
    </row>
    <row r="31123" spans="1:6" ht="15.75" customHeight="1">
      <c r="A31123" s="16" t="str">
        <f ca="1">IFERROR(__xludf.DUMMYFUNCTION("GOOGLETRANSLATE(B35661,""en"",""pt"")"),"Chōfugaoka")</f>
        <v>Chōfugaoka</v>
      </c>
      <c r="B31123" s="20" t="s">
        <v>34390</v>
      </c>
      <c r="C31123" s="20" t="s">
        <v>15704</v>
      </c>
      <c r="D31123" s="20" t="s">
        <v>15776</v>
      </c>
      <c r="E31123" s="10">
        <v>1864518</v>
      </c>
      <c r="F31123" s="4" t="str">
        <f>IF(B31123=B31122,"",B31123)</f>
        <v>Chōfugaoka</v>
      </c>
    </row>
    <row r="31124" spans="1:6" ht="15.75" customHeight="1">
      <c r="A31124" s="16" t="str">
        <f ca="1">IFERROR(__xludf.DUMMYFUNCTION("GOOGLETRANSLATE(B39478,""en"",""pt"")"),"Chodzież")</f>
        <v>Chodzież</v>
      </c>
      <c r="B31124" s="20" t="s">
        <v>35239</v>
      </c>
      <c r="C31124" s="20" t="s">
        <v>21064</v>
      </c>
      <c r="D31124" s="20" t="s">
        <v>21112</v>
      </c>
      <c r="E31124" s="10">
        <v>3101680</v>
      </c>
      <c r="F31124" s="4" t="str">
        <f>IF(B31124=B31123,"",B31124)</f>
        <v>Chodzież</v>
      </c>
    </row>
    <row r="31125" spans="1:6" ht="15.75" customHeight="1">
      <c r="A31125" s="16" t="s">
        <v>21181</v>
      </c>
      <c r="B31125" s="15" t="s">
        <v>21182</v>
      </c>
      <c r="C31125" s="16" t="s">
        <v>21064</v>
      </c>
      <c r="D31125" s="16" t="s">
        <v>21112</v>
      </c>
      <c r="E31125" s="2">
        <v>3101680</v>
      </c>
      <c r="F31125" s="4" t="e">
        <f>IF(B31125=#REF!,"",B31125)</f>
        <v>#REF!</v>
      </c>
    </row>
    <row r="31126" spans="1:6" ht="15.75" customHeight="1">
      <c r="A31126" s="16" t="s">
        <v>10994</v>
      </c>
      <c r="B31126" s="15" t="s">
        <v>10994</v>
      </c>
      <c r="C31126" s="16" t="s">
        <v>10178</v>
      </c>
      <c r="D31126" s="16" t="s">
        <v>10190</v>
      </c>
      <c r="E31126" s="2">
        <v>1274020</v>
      </c>
      <c r="F31126" s="4" t="e">
        <f>IF(B31126=#REF!,"",B31126)</f>
        <v>#REF!</v>
      </c>
    </row>
    <row r="31127" spans="1:6" ht="15.75" customHeight="1">
      <c r="A31127" s="15" t="s">
        <v>20500</v>
      </c>
      <c r="B31127" s="15" t="s">
        <v>20500</v>
      </c>
      <c r="C31127" s="15" t="s">
        <v>20470</v>
      </c>
      <c r="D31127" s="15" t="s">
        <v>6435</v>
      </c>
      <c r="E31127" s="2">
        <v>3698194</v>
      </c>
      <c r="F31127" s="4" t="str">
        <f>IF(B31127=B31126,"",B31127)</f>
        <v>Chocope</v>
      </c>
    </row>
    <row r="31128" spans="1:6" ht="15.75" customHeight="1">
      <c r="A31128" s="16" t="str">
        <f ca="1">IFERROR(__xludf.DUMMYFUNCTION("GOOGLETRANSLATE(B39133,""en"",""pt"")"),"Choa disse ān shāh")</f>
        <v>Choa disse ān shāh</v>
      </c>
      <c r="B31128" s="20" t="s">
        <v>35038</v>
      </c>
      <c r="C31128" s="20" t="s">
        <v>19808</v>
      </c>
      <c r="D31128" s="20" t="s">
        <v>10184</v>
      </c>
      <c r="E31128" s="10">
        <v>1181053</v>
      </c>
      <c r="F31128" s="4" t="str">
        <f>IF(B31128=B31127,"",B31128)</f>
        <v>Choa Saidān Shāh</v>
      </c>
    </row>
    <row r="31129" spans="1:6" ht="15.75" customHeight="1">
      <c r="A31129" s="16" t="s">
        <v>19868</v>
      </c>
      <c r="B31129" s="15" t="s">
        <v>19869</v>
      </c>
      <c r="C31129" s="16" t="s">
        <v>19808</v>
      </c>
      <c r="D31129" s="16" t="s">
        <v>10184</v>
      </c>
      <c r="E31129" s="2">
        <v>1181053</v>
      </c>
      <c r="F31129" s="4" t="e">
        <f>IF(B31129=#REF!,"",B31129)</f>
        <v>#REF!</v>
      </c>
    </row>
    <row r="31130" spans="1:6" ht="15.75" customHeight="1">
      <c r="A31130" s="15" t="s">
        <v>30834</v>
      </c>
      <c r="B31130" s="15" t="s">
        <v>30834</v>
      </c>
      <c r="C31130" s="15" t="s">
        <v>30784</v>
      </c>
      <c r="D31130" s="15" t="s">
        <v>30835</v>
      </c>
      <c r="E31130" s="2">
        <v>1585660</v>
      </c>
      <c r="F31130" s="4" t="e">
        <f>IF(B31130=#REF!,"",B31130)</f>
        <v>#REF!</v>
      </c>
    </row>
    <row r="31131" spans="1:6" ht="15.75" customHeight="1">
      <c r="A31131" s="15" t="s">
        <v>215</v>
      </c>
      <c r="B31131" s="15" t="s">
        <v>215</v>
      </c>
      <c r="C31131" s="15" t="s">
        <v>153</v>
      </c>
      <c r="D31131" s="15" t="s">
        <v>215</v>
      </c>
      <c r="E31131" s="2">
        <v>2498611</v>
      </c>
      <c r="F31131" s="4" t="e">
        <f>IF(B31131=#REF!,"",B31131)</f>
        <v>#REF!</v>
      </c>
    </row>
    <row r="31132" spans="1:6" ht="15.75" customHeight="1">
      <c r="A31132" s="15" t="s">
        <v>25529</v>
      </c>
      <c r="B31132" s="15" t="s">
        <v>25529</v>
      </c>
      <c r="C31132" s="15" t="s">
        <v>25527</v>
      </c>
      <c r="D31132" s="15" t="s">
        <v>25530</v>
      </c>
      <c r="E31132" s="2">
        <v>1538311</v>
      </c>
      <c r="F31132" s="4" t="e">
        <f>IF(B31132=#REF!,"",B31132)</f>
        <v>#REF!</v>
      </c>
    </row>
    <row r="31133" spans="1:6" ht="15.75" customHeight="1">
      <c r="A31133" s="15" t="s">
        <v>4596</v>
      </c>
      <c r="B31133" s="15" t="s">
        <v>4596</v>
      </c>
      <c r="C31133" s="15" t="s">
        <v>4487</v>
      </c>
      <c r="D31133" s="15" t="s">
        <v>4501</v>
      </c>
      <c r="E31133" s="2">
        <v>1814934</v>
      </c>
      <c r="F31133" s="4" t="e">
        <f>IF(B31133=#REF!,"",B31133)</f>
        <v>#REF!</v>
      </c>
    </row>
    <row r="31134" spans="1:6" ht="15.75" customHeight="1">
      <c r="A31134" s="15" t="s">
        <v>616</v>
      </c>
      <c r="B31134" s="15" t="s">
        <v>616</v>
      </c>
      <c r="C31134" s="15" t="s">
        <v>558</v>
      </c>
      <c r="D31134" s="15" t="s">
        <v>562</v>
      </c>
      <c r="E31134" s="2">
        <v>3861344</v>
      </c>
      <c r="F31134" s="4" t="e">
        <f>IF(B31134=#REF!,"",B31134)</f>
        <v>#REF!</v>
      </c>
    </row>
    <row r="31135" spans="1:6" ht="15.75" customHeight="1">
      <c r="A31135" s="15" t="s">
        <v>15080</v>
      </c>
      <c r="B31135" s="15" t="s">
        <v>15080</v>
      </c>
      <c r="C31135" s="15" t="s">
        <v>14891</v>
      </c>
      <c r="D31135" s="15" t="s">
        <v>14911</v>
      </c>
      <c r="E31135" s="2">
        <v>3178745</v>
      </c>
      <c r="F31135" s="4" t="e">
        <f>IF(B31135=#REF!,"",B31135)</f>
        <v>#REF!</v>
      </c>
    </row>
    <row r="31136" spans="1:6" ht="15.75" customHeight="1">
      <c r="A31136" s="15" t="s">
        <v>30675</v>
      </c>
      <c r="B31136" s="15" t="s">
        <v>30675</v>
      </c>
      <c r="C31136" s="15" t="s">
        <v>5923</v>
      </c>
      <c r="D31136" s="15" t="s">
        <v>30676</v>
      </c>
      <c r="E31136" s="2">
        <v>3645671</v>
      </c>
      <c r="F31136" s="4" t="e">
        <f>IF(B31136=#REF!,"",B31136)</f>
        <v>#REF!</v>
      </c>
    </row>
    <row r="31137" spans="1:6" ht="15.75" customHeight="1">
      <c r="A31137" s="16" t="s">
        <v>31084</v>
      </c>
      <c r="B31137" s="15" t="s">
        <v>31084</v>
      </c>
      <c r="C31137" s="16" t="s">
        <v>31072</v>
      </c>
      <c r="D31137" s="16" t="s">
        <v>31085</v>
      </c>
      <c r="E31137" s="2">
        <v>1106542</v>
      </c>
      <c r="F31137" s="4" t="str">
        <f>IF(B31137=B31136,"",B31137)</f>
        <v>Chitungwiza</v>
      </c>
    </row>
    <row r="31138" spans="1:6" ht="15.75" customHeight="1">
      <c r="A31138" s="16" t="str">
        <f ca="1">IFERROR(__xludf.DUMMYFUNCTION("GOOGLETRANSLATE(B33685,""en"",""pt"")"),"Chittūr")</f>
        <v>Chittūr</v>
      </c>
      <c r="B31138" s="20" t="s">
        <v>33808</v>
      </c>
      <c r="C31138" s="20" t="s">
        <v>10178</v>
      </c>
      <c r="D31138" s="20" t="s">
        <v>10246</v>
      </c>
      <c r="E31138" s="10">
        <v>1274032</v>
      </c>
      <c r="F31138" s="4" t="e">
        <f>IF(B31138=#REF!,"",B31138)</f>
        <v>#REF!</v>
      </c>
    </row>
    <row r="31139" spans="1:6" ht="15.75" customHeight="1">
      <c r="A31139" s="16" t="s">
        <v>10993</v>
      </c>
      <c r="B31139" s="15" t="s">
        <v>10993</v>
      </c>
      <c r="C31139" s="16" t="s">
        <v>10178</v>
      </c>
      <c r="D31139" s="16" t="s">
        <v>10179</v>
      </c>
      <c r="E31139" s="2">
        <v>1274040</v>
      </c>
      <c r="F31139" s="4" t="e">
        <f>IF(B31139=#REF!,"",B31139)</f>
        <v>#REF!</v>
      </c>
    </row>
    <row r="31140" spans="1:6" ht="15.75" customHeight="1">
      <c r="A31140" s="16" t="s">
        <v>10992</v>
      </c>
      <c r="B31140" s="15" t="s">
        <v>10992</v>
      </c>
      <c r="C31140" s="16" t="s">
        <v>10178</v>
      </c>
      <c r="D31140" s="16" t="s">
        <v>10201</v>
      </c>
      <c r="E31140" s="2">
        <v>1274043</v>
      </c>
      <c r="F31140" s="4" t="e">
        <f>IF(B31140=#REF!,"",B31140)</f>
        <v>#REF!</v>
      </c>
    </row>
    <row r="31141" spans="1:6" ht="15.75" customHeight="1">
      <c r="A31141" s="16" t="s">
        <v>1302</v>
      </c>
      <c r="B31141" s="15" t="s">
        <v>1302</v>
      </c>
      <c r="C31141" s="16" t="s">
        <v>1296</v>
      </c>
      <c r="D31141" s="16" t="s">
        <v>1302</v>
      </c>
      <c r="E31141" s="2">
        <v>1205733</v>
      </c>
      <c r="F31141" s="4" t="str">
        <f>IF(B31141=B31140,"",B31141)</f>
        <v>Chittagong</v>
      </c>
    </row>
    <row r="31142" spans="1:6" ht="15.75" customHeight="1">
      <c r="A31142" s="15" t="s">
        <v>10990</v>
      </c>
      <c r="B31142" s="15" t="s">
        <v>10991</v>
      </c>
      <c r="C31142" s="15" t="s">
        <v>10178</v>
      </c>
      <c r="D31142" s="15" t="s">
        <v>10246</v>
      </c>
      <c r="E31142" s="2">
        <v>1274032</v>
      </c>
      <c r="F31142" s="4" t="str">
        <f>IF(B31142=B31141,"",B31142)</f>
        <v>ChittÅ«r</v>
      </c>
    </row>
    <row r="31143" spans="1:6" ht="15.75" customHeight="1">
      <c r="A31143" s="16" t="str">
        <f ca="1">IFERROR(__xludf.DUMMYFUNCTION("GOOGLETRANSLATE(B38293,""en"",""pt"")"),"Chitré")</f>
        <v>Chitré</v>
      </c>
      <c r="B31143" s="20" t="s">
        <v>34864</v>
      </c>
      <c r="C31143" s="20" t="s">
        <v>20370</v>
      </c>
      <c r="D31143" s="20" t="s">
        <v>20385</v>
      </c>
      <c r="E31143" s="10">
        <v>3712384</v>
      </c>
      <c r="F31143" s="4" t="e">
        <f>IF(B31143=#REF!,"",B31143)</f>
        <v>#REF!</v>
      </c>
    </row>
    <row r="31144" spans="1:6" ht="15.75" customHeight="1">
      <c r="A31144" s="16" t="s">
        <v>10989</v>
      </c>
      <c r="B31144" s="15" t="s">
        <v>10989</v>
      </c>
      <c r="C31144" s="16" t="s">
        <v>10178</v>
      </c>
      <c r="D31144" s="16" t="s">
        <v>10252</v>
      </c>
      <c r="E31144" s="2">
        <v>1274056</v>
      </c>
      <c r="F31144" s="4" t="str">
        <f>IF(B31144=B31143,"",B31144)</f>
        <v>Chitradurga</v>
      </c>
    </row>
    <row r="31145" spans="1:6" ht="15.75" customHeight="1">
      <c r="A31145" s="15" t="s">
        <v>20383</v>
      </c>
      <c r="B31145" s="15" t="s">
        <v>20384</v>
      </c>
      <c r="C31145" s="15" t="s">
        <v>20370</v>
      </c>
      <c r="D31145" s="15" t="s">
        <v>20385</v>
      </c>
      <c r="E31145" s="2">
        <v>3712384</v>
      </c>
      <c r="F31145" s="4" t="e">
        <f>IF(B31145=#REF!,"",B31145)</f>
        <v>#REF!</v>
      </c>
    </row>
    <row r="31146" spans="1:6" ht="15.75" customHeight="1">
      <c r="A31146" s="15" t="s">
        <v>15848</v>
      </c>
      <c r="B31146" s="15" t="s">
        <v>15849</v>
      </c>
      <c r="C31146" s="15" t="s">
        <v>15704</v>
      </c>
      <c r="D31146" s="15" t="s">
        <v>15705</v>
      </c>
      <c r="E31146" s="2">
        <v>2130452</v>
      </c>
      <c r="F31146" s="4" t="str">
        <f>IF(B31146=B31145,"",B31146)</f>
        <v>Chitose</v>
      </c>
    </row>
    <row r="31147" spans="1:6" ht="15.75" customHeight="1">
      <c r="A31147" s="16" t="str">
        <f ca="1">IFERROR(__xludf.DUMMYFUNCTION("GOOGLETRANSLATE(B33689,""en"",""pt"")"),"Chītāpur")</f>
        <v>Chītāpur</v>
      </c>
      <c r="B31147" s="20" t="s">
        <v>33809</v>
      </c>
      <c r="C31147" s="20" t="s">
        <v>10178</v>
      </c>
      <c r="D31147" s="20" t="s">
        <v>10252</v>
      </c>
      <c r="E31147" s="10">
        <v>1274077</v>
      </c>
      <c r="F31147" s="4" t="e">
        <f>IF(B31147=#REF!,"",B31147)</f>
        <v>#REF!</v>
      </c>
    </row>
    <row r="31148" spans="1:6" ht="15.75" customHeight="1">
      <c r="A31148" s="15" t="s">
        <v>22314</v>
      </c>
      <c r="B31148" s="15" t="s">
        <v>22314</v>
      </c>
      <c r="C31148" s="15" t="s">
        <v>22070</v>
      </c>
      <c r="D31148" s="15" t="s">
        <v>22267</v>
      </c>
      <c r="E31148" s="2">
        <v>2025339</v>
      </c>
      <c r="F31148" s="4" t="str">
        <f>IF(B31148=B31147,"",B31148)</f>
        <v>Chita</v>
      </c>
    </row>
    <row r="31149" spans="1:6" ht="15.75" customHeight="1">
      <c r="A31149" s="16" t="s">
        <v>22312</v>
      </c>
      <c r="B31149" s="15" t="s">
        <v>22313</v>
      </c>
      <c r="C31149" s="16" t="s">
        <v>22070</v>
      </c>
      <c r="D31149" s="16" t="s">
        <v>22090</v>
      </c>
      <c r="E31149" s="2">
        <v>567990</v>
      </c>
      <c r="F31149" s="4" t="str">
        <f>IF(B31149=B31148,"",B31149)</f>
        <v>Chistopolâ€™</v>
      </c>
    </row>
    <row r="31150" spans="1:6" ht="15.75" customHeight="1">
      <c r="A31150" s="16" t="str">
        <f ca="1">IFERROR(__xludf.DUMMYFUNCTION("GOOGLETRANSLATE(B40586,""en"",""pt"")"),"Chistopol '")</f>
        <v>Chistopol '</v>
      </c>
      <c r="B31150" s="20" t="s">
        <v>35517</v>
      </c>
      <c r="C31150" s="20" t="s">
        <v>22070</v>
      </c>
      <c r="D31150" s="20" t="s">
        <v>22090</v>
      </c>
      <c r="E31150" s="10">
        <v>567990</v>
      </c>
      <c r="F31150" s="4" t="e">
        <f>IF(B31150=#REF!,"",B31150)</f>
        <v>#REF!</v>
      </c>
    </row>
    <row r="31151" spans="1:6" ht="15.75" customHeight="1">
      <c r="A31151" s="16" t="s">
        <v>27413</v>
      </c>
      <c r="B31151" s="15" t="s">
        <v>27413</v>
      </c>
      <c r="C31151" s="16" t="s">
        <v>27234</v>
      </c>
      <c r="D31151" s="16" t="s">
        <v>27241</v>
      </c>
      <c r="E31151" s="2">
        <v>2653123</v>
      </c>
      <c r="F31151" s="4" t="str">
        <f>IF(B31151=B31150,"",B31151)</f>
        <v>Chislehurst</v>
      </c>
    </row>
    <row r="31152" spans="1:6" ht="15.75" customHeight="1">
      <c r="A31152" s="16" t="str">
        <f ca="1">IFERROR(__xludf.DUMMYFUNCTION("GOOGLETRANSLATE(B36541,""en"",""pt"")"),"Chişinău")</f>
        <v>Chişinău</v>
      </c>
      <c r="B31152" s="20" t="s">
        <v>34609</v>
      </c>
      <c r="C31152" s="20" t="s">
        <v>18455</v>
      </c>
      <c r="D31152" s="20" t="s">
        <v>34609</v>
      </c>
      <c r="E31152" s="10">
        <v>618426</v>
      </c>
      <c r="F31152" s="4" t="str">
        <f>IF(B31152=B31151,"",B31152)</f>
        <v>Chişinău</v>
      </c>
    </row>
    <row r="31153" spans="1:6" ht="15.75" customHeight="1">
      <c r="A31153" s="16" t="str">
        <f ca="1">IFERROR(__xludf.DUMMYFUNCTION("GOOGLETRANSLATE(B39134,""en"",""pt"")"),"Chishtiān mandi")</f>
        <v>Chishtiān mandi</v>
      </c>
      <c r="B31153" s="20" t="s">
        <v>35039</v>
      </c>
      <c r="C31153" s="20" t="s">
        <v>19808</v>
      </c>
      <c r="D31153" s="20" t="s">
        <v>10184</v>
      </c>
      <c r="E31153" s="10">
        <v>1181073</v>
      </c>
      <c r="F31153" s="4" t="str">
        <f>IF(B31153=B31152,"",B31153)</f>
        <v>Chishtiān Mandi</v>
      </c>
    </row>
    <row r="31154" spans="1:6" ht="15.75" customHeight="1">
      <c r="A31154" s="16" t="s">
        <v>19866</v>
      </c>
      <c r="B31154" s="15" t="s">
        <v>19867</v>
      </c>
      <c r="C31154" s="16" t="s">
        <v>19808</v>
      </c>
      <c r="D31154" s="16" t="s">
        <v>10184</v>
      </c>
      <c r="E31154" s="2">
        <v>1181073</v>
      </c>
      <c r="F31154" s="4" t="e">
        <f>IF(B31154=#REF!,"",B31154)</f>
        <v>#REF!</v>
      </c>
    </row>
    <row r="31155" spans="1:6" ht="15.75" customHeight="1">
      <c r="A31155" s="15" t="s">
        <v>22311</v>
      </c>
      <c r="B31155" s="15" t="s">
        <v>22311</v>
      </c>
      <c r="C31155" s="15" t="s">
        <v>22070</v>
      </c>
      <c r="D31155" s="15" t="s">
        <v>22088</v>
      </c>
      <c r="E31155" s="2">
        <v>568012</v>
      </c>
      <c r="F31155" s="4" t="e">
        <f>IF(B31155=#REF!,"",B31155)</f>
        <v>#REF!</v>
      </c>
    </row>
    <row r="31156" spans="1:6" ht="15.75" customHeight="1">
      <c r="A31156" s="15" t="s">
        <v>9720</v>
      </c>
      <c r="B31156" s="15" t="s">
        <v>9720</v>
      </c>
      <c r="C31156" s="15" t="s">
        <v>9700</v>
      </c>
      <c r="D31156" s="15" t="s">
        <v>9721</v>
      </c>
      <c r="E31156" s="2">
        <v>3598415</v>
      </c>
      <c r="F31156" s="4" t="str">
        <f>IF(B31156=B31155,"",B31156)</f>
        <v>Chisec</v>
      </c>
    </row>
    <row r="31157" spans="1:6" ht="15.75" customHeight="1">
      <c r="A31157" s="16" t="str">
        <f ca="1">IFERROR(__xludf.DUMMYFUNCTION("GOOGLETRANSLATE(B35662,""en"",""pt"")"),"Chiryū")</f>
        <v>Chiryū</v>
      </c>
      <c r="B31157" s="20" t="s">
        <v>34391</v>
      </c>
      <c r="C31157" s="20" t="s">
        <v>15704</v>
      </c>
      <c r="D31157" s="20" t="s">
        <v>15729</v>
      </c>
      <c r="E31157" s="10">
        <v>1864549</v>
      </c>
      <c r="F31157" s="4" t="str">
        <f>IF(B31157=B31156,"",B31157)</f>
        <v>Chiryū</v>
      </c>
    </row>
    <row r="31158" spans="1:6" ht="15.75" customHeight="1">
      <c r="A31158" s="15" t="s">
        <v>15846</v>
      </c>
      <c r="B31158" s="15" t="s">
        <v>15847</v>
      </c>
      <c r="C31158" s="15" t="s">
        <v>15704</v>
      </c>
      <c r="D31158" s="15" t="s">
        <v>15729</v>
      </c>
      <c r="E31158" s="2">
        <v>1864549</v>
      </c>
      <c r="F31158" s="4" t="e">
        <f>IF(B31158=#REF!,"",B31158)</f>
        <v>#REF!</v>
      </c>
    </row>
    <row r="31159" spans="1:6" ht="15.75" customHeight="1">
      <c r="A31159" s="15" t="s">
        <v>3712</v>
      </c>
      <c r="B31159" s="15" t="s">
        <v>3712</v>
      </c>
      <c r="C31159" s="15" t="s">
        <v>3701</v>
      </c>
      <c r="D31159" s="15" t="s">
        <v>3713</v>
      </c>
      <c r="E31159" s="2">
        <v>732452</v>
      </c>
      <c r="F31159" s="4" t="e">
        <f>IF(B31159=#REF!,"",B31159)</f>
        <v>#REF!</v>
      </c>
    </row>
    <row r="31160" spans="1:6" ht="15.75" customHeight="1">
      <c r="A31160" s="15" t="s">
        <v>30526</v>
      </c>
      <c r="B31160" s="15" t="s">
        <v>30526</v>
      </c>
      <c r="C31160" s="15" t="s">
        <v>30502</v>
      </c>
      <c r="D31160" s="15" t="s">
        <v>30515</v>
      </c>
      <c r="E31160" s="2">
        <v>1217540</v>
      </c>
      <c r="F31160" s="4" t="str">
        <f>IF(B31160=B31159,"",B31160)</f>
        <v>Chiroqchi</v>
      </c>
    </row>
    <row r="31161" spans="1:6" ht="15.75" customHeight="1">
      <c r="A31161" s="16" t="s">
        <v>5434</v>
      </c>
      <c r="B31161" s="15" t="s">
        <v>5435</v>
      </c>
      <c r="C31161" s="16" t="s">
        <v>5348</v>
      </c>
      <c r="D31161" s="16" t="s">
        <v>5351</v>
      </c>
      <c r="E31161" s="2">
        <v>3686479</v>
      </c>
      <c r="F31161" s="4" t="str">
        <f>IF(B31161=B31160,"",B31161)</f>
        <v>ChiriguanÃ¡</v>
      </c>
    </row>
    <row r="31162" spans="1:6" ht="15.75" customHeight="1">
      <c r="A31162" s="16" t="str">
        <f ca="1">IFERROR(__xludf.DUMMYFUNCTION("GOOGLETRANSLATE(B27006,""en"",""pt"")"),"Chiriguaná")</f>
        <v>Chiriguaná</v>
      </c>
      <c r="B31162" s="20" t="s">
        <v>5434</v>
      </c>
      <c r="C31162" s="20" t="s">
        <v>5348</v>
      </c>
      <c r="D31162" s="20" t="s">
        <v>5351</v>
      </c>
      <c r="E31162" s="10">
        <v>3686479</v>
      </c>
      <c r="F31162" s="4" t="e">
        <f>IF(B31162=#REF!,"",B31162)</f>
        <v>#REF!</v>
      </c>
    </row>
    <row r="31163" spans="1:6" ht="15.75" customHeight="1">
      <c r="A31163" s="15" t="s">
        <v>31082</v>
      </c>
      <c r="B31163" s="15" t="s">
        <v>31082</v>
      </c>
      <c r="C31163" s="15" t="s">
        <v>31072</v>
      </c>
      <c r="D31163" s="15" t="s">
        <v>31083</v>
      </c>
      <c r="E31163" s="2">
        <v>893485</v>
      </c>
      <c r="F31163" s="4" t="e">
        <f>IF(B31163=#REF!,"",B31163)</f>
        <v>#REF!</v>
      </c>
    </row>
    <row r="31164" spans="1:6" ht="15.75" customHeight="1">
      <c r="A31164" s="15" t="s">
        <v>30525</v>
      </c>
      <c r="B31164" s="15" t="s">
        <v>30525</v>
      </c>
      <c r="C31164" s="15" t="s">
        <v>30502</v>
      </c>
      <c r="D31164" s="15" t="s">
        <v>30504</v>
      </c>
      <c r="E31164" s="2">
        <v>1514210</v>
      </c>
      <c r="F31164" s="4" t="str">
        <f>IF(B31164=B31163,"",B31164)</f>
        <v>Chirchiq</v>
      </c>
    </row>
    <row r="31165" spans="1:6" ht="15.75" customHeight="1">
      <c r="A31165" s="16" t="str">
        <f ca="1">IFERROR(__xludf.DUMMYFUNCTION("GOOGLETRANSLATE(B33691,""en"",""pt"")"),"Chīrāla")</f>
        <v>Chīrāla</v>
      </c>
      <c r="B31165" s="20" t="s">
        <v>33810</v>
      </c>
      <c r="C31165" s="20" t="s">
        <v>10178</v>
      </c>
      <c r="D31165" s="20" t="s">
        <v>10190</v>
      </c>
      <c r="E31165" s="10">
        <v>1274106</v>
      </c>
      <c r="F31165" s="4" t="str">
        <f>IF(B31165=B31164,"",B31165)</f>
        <v>Chīrāla</v>
      </c>
    </row>
    <row r="31166" spans="1:6" ht="15.75" customHeight="1">
      <c r="A31166" s="16" t="s">
        <v>5431</v>
      </c>
      <c r="B31166" s="15" t="s">
        <v>5432</v>
      </c>
      <c r="C31166" s="16" t="s">
        <v>5348</v>
      </c>
      <c r="D31166" s="16" t="s">
        <v>5433</v>
      </c>
      <c r="E31166" s="2">
        <v>3686513</v>
      </c>
      <c r="F31166" s="4" t="str">
        <f>IF(B31166=B31165,"",B31166)</f>
        <v>ChiquinquirÃ¡</v>
      </c>
    </row>
    <row r="31167" spans="1:6" ht="15.75" customHeight="1">
      <c r="A31167" s="16" t="str">
        <f ca="1">IFERROR(__xludf.DUMMYFUNCTION("GOOGLETRANSLATE(B27007,""en"",""pt"")"),"Chiquinquirá")</f>
        <v>Chiquinquirá</v>
      </c>
      <c r="B31167" s="20" t="s">
        <v>5431</v>
      </c>
      <c r="C31167" s="20" t="s">
        <v>5348</v>
      </c>
      <c r="D31167" s="20" t="s">
        <v>31839</v>
      </c>
      <c r="E31167" s="10">
        <v>3686513</v>
      </c>
      <c r="F31167" s="4" t="e">
        <f>IF(B31167=#REF!,"",B31167)</f>
        <v>#REF!</v>
      </c>
    </row>
    <row r="31168" spans="1:6" ht="15.75" customHeight="1">
      <c r="A31168" s="16" t="s">
        <v>9719</v>
      </c>
      <c r="B31168" s="15" t="s">
        <v>9719</v>
      </c>
      <c r="C31168" s="16" t="s">
        <v>9700</v>
      </c>
      <c r="D31168" s="16" t="s">
        <v>9719</v>
      </c>
      <c r="E31168" s="2">
        <v>3598465</v>
      </c>
      <c r="F31168" s="4" t="str">
        <f>IF(B31168=B31167,"",B31168)</f>
        <v>Chiquimula</v>
      </c>
    </row>
    <row r="31169" spans="1:6" ht="15.75" customHeight="1">
      <c r="A31169" s="16" t="str">
        <f ca="1">IFERROR(__xludf.DUMMYFUNCTION("GOOGLETRANSLATE(B33692,""en"",""pt"")"),"Chīpurupalle")</f>
        <v>Chīpurupalle</v>
      </c>
      <c r="B31169" s="20" t="s">
        <v>33811</v>
      </c>
      <c r="C31169" s="20" t="s">
        <v>10178</v>
      </c>
      <c r="D31169" s="20" t="s">
        <v>10190</v>
      </c>
      <c r="E31169" s="10">
        <v>1274116</v>
      </c>
      <c r="F31169" s="4" t="e">
        <f>IF(B31169=#REF!,"",B31169)</f>
        <v>#REF!</v>
      </c>
    </row>
    <row r="31170" spans="1:6" ht="15.75" customHeight="1">
      <c r="A31170" s="16" t="s">
        <v>27411</v>
      </c>
      <c r="B31170" s="15" t="s">
        <v>27412</v>
      </c>
      <c r="C31170" s="16" t="s">
        <v>27234</v>
      </c>
      <c r="D31170" s="16" t="s">
        <v>27241</v>
      </c>
      <c r="E31170" s="2">
        <v>2653137</v>
      </c>
      <c r="F31170" s="4" t="e">
        <f>IF(B31170=#REF!,"",B31170)</f>
        <v>#REF!</v>
      </c>
    </row>
    <row r="31171" spans="1:6" ht="15.75" customHeight="1">
      <c r="A31171" s="16" t="s">
        <v>27410</v>
      </c>
      <c r="B31171" s="15" t="s">
        <v>27410</v>
      </c>
      <c r="C31171" s="16" t="s">
        <v>27234</v>
      </c>
      <c r="D31171" s="16" t="s">
        <v>27241</v>
      </c>
      <c r="E31171" s="2">
        <v>2653144</v>
      </c>
      <c r="F31171" s="4" t="str">
        <f>IF(B31171=B31170,"",B31171)</f>
        <v>Chippenham</v>
      </c>
    </row>
    <row r="31172" spans="1:6" ht="15.75" customHeight="1">
      <c r="A31172" s="16" t="str">
        <f ca="1">IFERROR(__xludf.DUMMYFUNCTION("GOOGLETRANSLATE(B33693,""en"",""pt"")"),"Chiplūn")</f>
        <v>Chiplūn</v>
      </c>
      <c r="B31172" s="20" t="s">
        <v>33812</v>
      </c>
      <c r="C31172" s="20" t="s">
        <v>10178</v>
      </c>
      <c r="D31172" s="20" t="s">
        <v>10214</v>
      </c>
      <c r="E31172" s="10">
        <v>1274119</v>
      </c>
      <c r="F31172" s="4" t="str">
        <f>IF(B31172=B31171,"",B31172)</f>
        <v>Chiplūn</v>
      </c>
    </row>
    <row r="31173" spans="1:6" ht="15.75" customHeight="1">
      <c r="A31173" s="15" t="s">
        <v>10987</v>
      </c>
      <c r="B31173" s="15" t="s">
        <v>10988</v>
      </c>
      <c r="C31173" s="15" t="s">
        <v>10178</v>
      </c>
      <c r="D31173" s="15" t="s">
        <v>10214</v>
      </c>
      <c r="E31173" s="2">
        <v>1274119</v>
      </c>
      <c r="F31173" s="4" t="e">
        <f>IF(B31173=#REF!,"",B31173)</f>
        <v>#REF!</v>
      </c>
    </row>
    <row r="31174" spans="1:6" ht="15.75" customHeight="1">
      <c r="A31174" s="15" t="s">
        <v>24404</v>
      </c>
      <c r="B31174" s="15" t="s">
        <v>24404</v>
      </c>
      <c r="C31174" s="15" t="s">
        <v>24200</v>
      </c>
      <c r="D31174" s="15" t="s">
        <v>24205</v>
      </c>
      <c r="E31174" s="2">
        <v>2519477</v>
      </c>
      <c r="F31174" s="4" t="e">
        <f>IF(B31174=#REF!,"",B31174)</f>
        <v>#REF!</v>
      </c>
    </row>
    <row r="31175" spans="1:6" ht="15.75" customHeight="1">
      <c r="A31175" s="15" t="s">
        <v>31080</v>
      </c>
      <c r="B31175" s="15" t="s">
        <v>31080</v>
      </c>
      <c r="C31175" s="15" t="s">
        <v>31072</v>
      </c>
      <c r="D31175" s="15" t="s">
        <v>31081</v>
      </c>
      <c r="E31175" s="2">
        <v>893549</v>
      </c>
      <c r="F31175" s="4" t="e">
        <f>IF(B31175=#REF!,"",B31175)</f>
        <v>#REF!</v>
      </c>
    </row>
    <row r="31176" spans="1:6" ht="15.75" customHeight="1">
      <c r="A31176" s="15" t="s">
        <v>31041</v>
      </c>
      <c r="B31176" s="15" t="s">
        <v>31041</v>
      </c>
      <c r="C31176" s="15" t="s">
        <v>31038</v>
      </c>
      <c r="D31176" s="15" t="s">
        <v>9366</v>
      </c>
      <c r="E31176" s="2">
        <v>918702</v>
      </c>
      <c r="F31176" s="4" t="e">
        <f>IF(B31176=#REF!,"",B31176)</f>
        <v>#REF!</v>
      </c>
    </row>
    <row r="31177" spans="1:6" ht="15.75" customHeight="1">
      <c r="A31177" s="15" t="s">
        <v>9494</v>
      </c>
      <c r="B31177" s="15" t="s">
        <v>9495</v>
      </c>
      <c r="C31177" s="15" t="s">
        <v>9441</v>
      </c>
      <c r="D31177" s="15" t="s">
        <v>9496</v>
      </c>
      <c r="E31177" s="2">
        <v>259973</v>
      </c>
      <c r="F31177" s="4" t="e">
        <f>IF(B31177=#REF!,"",B31177)</f>
        <v>#REF!</v>
      </c>
    </row>
    <row r="31178" spans="1:6" ht="15.75" customHeight="1">
      <c r="A31178" s="15" t="s">
        <v>15079</v>
      </c>
      <c r="B31178" s="15" t="s">
        <v>15079</v>
      </c>
      <c r="C31178" s="15" t="s">
        <v>14891</v>
      </c>
      <c r="D31178" s="15" t="s">
        <v>14892</v>
      </c>
      <c r="E31178" s="2">
        <v>3178784</v>
      </c>
      <c r="F31178" s="4" t="str">
        <f>IF(B31178=B31177,"",B31178)</f>
        <v>Chioggia</v>
      </c>
    </row>
    <row r="31179" spans="1:6" ht="15.75" customHeight="1">
      <c r="A31179" s="16" t="str">
        <f ca="1">IFERROR(__xludf.DUMMYFUNCTION("GOOGLETRANSLATE(B27008,""en"",""pt"")"),"Chinú")</f>
        <v>Chinú</v>
      </c>
      <c r="B31179" s="20" t="s">
        <v>31880</v>
      </c>
      <c r="C31179" s="20" t="s">
        <v>5348</v>
      </c>
      <c r="D31179" s="20" t="s">
        <v>31214</v>
      </c>
      <c r="E31179" s="10">
        <v>3686540</v>
      </c>
      <c r="F31179" s="4" t="str">
        <f>IF(B31179=B31178,"",B31179)</f>
        <v>Chinú</v>
      </c>
    </row>
    <row r="31180" spans="1:6" ht="15.75" customHeight="1">
      <c r="A31180" s="16" t="str">
        <f ca="1">IFERROR(__xludf.DUMMYFUNCTION("GOOGLETRANSLATE(B33694,""en"",""pt"")"),"Chintāmani")</f>
        <v>Chintāmani</v>
      </c>
      <c r="B31180" s="20" t="s">
        <v>33813</v>
      </c>
      <c r="C31180" s="20" t="s">
        <v>10178</v>
      </c>
      <c r="D31180" s="20" t="s">
        <v>10252</v>
      </c>
      <c r="E31180" s="10">
        <v>1274129</v>
      </c>
      <c r="F31180" s="4" t="str">
        <f>IF(B31180=B31179,"",B31180)</f>
        <v>Chintāmani</v>
      </c>
    </row>
    <row r="31181" spans="1:6" ht="15.75" customHeight="1">
      <c r="A31181" s="16" t="s">
        <v>10985</v>
      </c>
      <c r="B31181" s="15" t="s">
        <v>10986</v>
      </c>
      <c r="C31181" s="16" t="s">
        <v>10178</v>
      </c>
      <c r="D31181" s="16" t="s">
        <v>10252</v>
      </c>
      <c r="E31181" s="2">
        <v>1274129</v>
      </c>
      <c r="F31181" s="4" t="e">
        <f>IF(B31181=#REF!,"",B31181)</f>
        <v>#REF!</v>
      </c>
    </row>
    <row r="31182" spans="1:6" ht="15.75" customHeight="1">
      <c r="A31182" s="15" t="s">
        <v>30524</v>
      </c>
      <c r="B31182" s="15" t="s">
        <v>30524</v>
      </c>
      <c r="C31182" s="15" t="s">
        <v>30502</v>
      </c>
      <c r="D31182" s="15" t="s">
        <v>30504</v>
      </c>
      <c r="E31182" s="2">
        <v>1514215</v>
      </c>
      <c r="F31182" s="4" t="e">
        <f>IF(B31182=#REF!,"",B31182)</f>
        <v>#REF!</v>
      </c>
    </row>
    <row r="31183" spans="1:6" ht="15.75" customHeight="1">
      <c r="A31183" s="16" t="s">
        <v>28246</v>
      </c>
      <c r="B31183" s="15" t="s">
        <v>28247</v>
      </c>
      <c r="C31183" s="16" t="s">
        <v>27788</v>
      </c>
      <c r="D31183" s="16" t="s">
        <v>27801</v>
      </c>
      <c r="E31183" s="2">
        <v>5336545</v>
      </c>
      <c r="F31183" s="4" t="e">
        <f>IF(B31183=#REF!,"",B31183)</f>
        <v>#REF!</v>
      </c>
    </row>
    <row r="31184" spans="1:6" ht="15.75" customHeight="1">
      <c r="A31184" s="15" t="s">
        <v>15845</v>
      </c>
      <c r="B31184" s="15" t="s">
        <v>15845</v>
      </c>
      <c r="C31184" s="15" t="s">
        <v>15704</v>
      </c>
      <c r="D31184" s="15" t="s">
        <v>15769</v>
      </c>
      <c r="E31184" s="2">
        <v>1864557</v>
      </c>
      <c r="F31184" s="4" t="str">
        <f>IF(B31184=B31183,"",B31184)</f>
        <v>Chino</v>
      </c>
    </row>
    <row r="31185" spans="1:6" ht="15.75" customHeight="1">
      <c r="A31185" s="16" t="str">
        <f ca="1">IFERROR(__xludf.DUMMYFUNCTION("GOOGLETRANSLATE(B33696,""en"",""pt"")"),"Chinnamanūr")</f>
        <v>Chinnamanūr</v>
      </c>
      <c r="B31185" s="20" t="s">
        <v>33814</v>
      </c>
      <c r="C31185" s="20" t="s">
        <v>10178</v>
      </c>
      <c r="D31185" s="20" t="s">
        <v>10196</v>
      </c>
      <c r="E31185" s="10">
        <v>1274151</v>
      </c>
      <c r="F31185" s="4" t="str">
        <f>IF(B31185=B31184,"",B31185)</f>
        <v>Chinnamanūr</v>
      </c>
    </row>
    <row r="31186" spans="1:6" ht="15.75" customHeight="1">
      <c r="A31186" s="16" t="s">
        <v>10983</v>
      </c>
      <c r="B31186" s="15" t="s">
        <v>10984</v>
      </c>
      <c r="C31186" s="16" t="s">
        <v>10178</v>
      </c>
      <c r="D31186" s="16" t="s">
        <v>10196</v>
      </c>
      <c r="E31186" s="2">
        <v>1274151</v>
      </c>
      <c r="F31186" s="4" t="e">
        <f>IF(B31186=#REF!,"",B31186)</f>
        <v>#REF!</v>
      </c>
    </row>
    <row r="31187" spans="1:6" ht="15.75" customHeight="1">
      <c r="A31187" s="16" t="s">
        <v>10982</v>
      </c>
      <c r="B31187" s="15" t="s">
        <v>10982</v>
      </c>
      <c r="C31187" s="16" t="s">
        <v>10178</v>
      </c>
      <c r="D31187" s="16" t="s">
        <v>10190</v>
      </c>
      <c r="E31187" s="2">
        <v>7302830</v>
      </c>
      <c r="F31187" s="4" t="e">
        <f>IF(B31187=#REF!,"",B31187)</f>
        <v>#REF!</v>
      </c>
    </row>
    <row r="31188" spans="1:6" ht="15.75" customHeight="1">
      <c r="A31188" s="16" t="s">
        <v>10981</v>
      </c>
      <c r="B31188" s="15" t="s">
        <v>10981</v>
      </c>
      <c r="C31188" s="16" t="s">
        <v>10178</v>
      </c>
      <c r="D31188" s="16" t="s">
        <v>10196</v>
      </c>
      <c r="E31188" s="2">
        <v>1274146</v>
      </c>
      <c r="F31188" s="4" t="e">
        <f>IF(B31188=#REF!,"",B31188)</f>
        <v>#REF!</v>
      </c>
    </row>
    <row r="31189" spans="1:6" ht="15.75" customHeight="1">
      <c r="A31189" s="15" t="s">
        <v>24052</v>
      </c>
      <c r="B31189" s="15" t="s">
        <v>24052</v>
      </c>
      <c r="C31189" s="15" t="s">
        <v>24024</v>
      </c>
      <c r="D31189" s="15" t="s">
        <v>24040</v>
      </c>
      <c r="E31189" s="2">
        <v>1846052</v>
      </c>
      <c r="F31189" s="4" t="e">
        <f>IF(B31189=#REF!,"",B31189)</f>
        <v>#REF!</v>
      </c>
    </row>
    <row r="31190" spans="1:6" ht="15.75" customHeight="1">
      <c r="A31190" s="15" t="s">
        <v>19865</v>
      </c>
      <c r="B31190" s="15" t="s">
        <v>19865</v>
      </c>
      <c r="C31190" s="15" t="s">
        <v>19808</v>
      </c>
      <c r="D31190" s="15" t="s">
        <v>10184</v>
      </c>
      <c r="E31190" s="2">
        <v>1181096</v>
      </c>
      <c r="F31190" s="4" t="e">
        <f>IF(B31190=#REF!,"",B31190)</f>
        <v>#REF!</v>
      </c>
    </row>
    <row r="31191" spans="1:6" ht="15.75" customHeight="1">
      <c r="A31191" s="15" t="s">
        <v>31079</v>
      </c>
      <c r="B31191" s="15" t="s">
        <v>31079</v>
      </c>
      <c r="C31191" s="15" t="s">
        <v>31072</v>
      </c>
      <c r="D31191" s="15" t="s">
        <v>31078</v>
      </c>
      <c r="E31191" s="2">
        <v>893697</v>
      </c>
      <c r="F31191" s="4" t="e">
        <f>IF(B31191=#REF!,"",B31191)</f>
        <v>#REF!</v>
      </c>
    </row>
    <row r="31192" spans="1:6" ht="15.75" customHeight="1">
      <c r="A31192" s="15" t="s">
        <v>31040</v>
      </c>
      <c r="B31192" s="15" t="s">
        <v>31040</v>
      </c>
      <c r="C31192" s="15" t="s">
        <v>31038</v>
      </c>
      <c r="D31192" s="15" t="s">
        <v>31039</v>
      </c>
      <c r="E31192" s="2">
        <v>919009</v>
      </c>
      <c r="F31192" s="4" t="str">
        <f>IF(B31192=B31191,"",B31192)</f>
        <v>Chingola</v>
      </c>
    </row>
    <row r="31193" spans="1:6" ht="15.75" customHeight="1">
      <c r="A31193" s="16" t="str">
        <f ca="1">IFERROR(__xludf.DUMMYFUNCTION("GOOGLETRANSLATE(B36138,""en"",""pt"")"),"Chinch'ŏn")</f>
        <v>Chinch'ŏn</v>
      </c>
      <c r="B31193" s="20" t="s">
        <v>34474</v>
      </c>
      <c r="C31193" s="20" t="s">
        <v>24024</v>
      </c>
      <c r="D31193" s="20" t="s">
        <v>24047</v>
      </c>
      <c r="E31193" s="10">
        <v>1846095</v>
      </c>
      <c r="F31193" s="4" t="e">
        <f>IF(B31193=#REF!,"",B31193)</f>
        <v>#REF!</v>
      </c>
    </row>
    <row r="31194" spans="1:6" ht="15.75" customHeight="1">
      <c r="A31194" s="15" t="s">
        <v>10980</v>
      </c>
      <c r="B31194" s="15" t="s">
        <v>10980</v>
      </c>
      <c r="C31194" s="15" t="s">
        <v>10178</v>
      </c>
      <c r="D31194" s="15" t="s">
        <v>10252</v>
      </c>
      <c r="E31194" s="2">
        <v>1274169</v>
      </c>
      <c r="F31194" s="4" t="str">
        <f>IF(B31194=B31193,"",B31194)</f>
        <v>Chincholi</v>
      </c>
    </row>
    <row r="31195" spans="1:6" ht="15.75" customHeight="1">
      <c r="A31195" s="15" t="s">
        <v>5429</v>
      </c>
      <c r="B31195" s="15" t="s">
        <v>5430</v>
      </c>
      <c r="C31195" s="15" t="s">
        <v>5348</v>
      </c>
      <c r="D31195" s="15" t="s">
        <v>5353</v>
      </c>
      <c r="E31195" s="2">
        <v>3686561</v>
      </c>
      <c r="F31195" s="4" t="str">
        <f>IF(B31195=B31194,"",B31195)</f>
        <v>ChinchinÃ¡</v>
      </c>
    </row>
    <row r="31196" spans="1:6" ht="15.75" customHeight="1">
      <c r="A31196" s="16" t="str">
        <f ca="1">IFERROR(__xludf.DUMMYFUNCTION("GOOGLETRANSLATE(B27009,""en"",""pt"")"),"Chinchiná")</f>
        <v>Chinchiná</v>
      </c>
      <c r="B31196" s="20" t="s">
        <v>31881</v>
      </c>
      <c r="C31196" s="20" t="s">
        <v>5348</v>
      </c>
      <c r="D31196" s="20" t="s">
        <v>5353</v>
      </c>
      <c r="E31196" s="10">
        <v>3686561</v>
      </c>
      <c r="F31196" s="4" t="str">
        <f>IF(B31196=B31195,"",B31196)</f>
        <v>Chinchiná</v>
      </c>
    </row>
    <row r="31197" spans="1:6" ht="15.75" customHeight="1">
      <c r="A31197" s="16" t="s">
        <v>24050</v>
      </c>
      <c r="B31197" s="15" t="s">
        <v>24051</v>
      </c>
      <c r="C31197" s="16" t="s">
        <v>24024</v>
      </c>
      <c r="D31197" s="16" t="s">
        <v>24047</v>
      </c>
      <c r="E31197" s="2">
        <v>1846095</v>
      </c>
      <c r="F31197" s="4" t="e">
        <f>IF(B31197=#REF!,"",B31197)</f>
        <v>#REF!</v>
      </c>
    </row>
    <row r="31198" spans="1:6" ht="15.75" customHeight="1">
      <c r="A31198" s="16" t="s">
        <v>20498</v>
      </c>
      <c r="B31198" s="15" t="s">
        <v>20498</v>
      </c>
      <c r="C31198" s="16" t="s">
        <v>20470</v>
      </c>
      <c r="D31198" s="16" t="s">
        <v>20499</v>
      </c>
      <c r="E31198" s="2">
        <v>3943789</v>
      </c>
      <c r="F31198" s="4" t="e">
        <f>IF(B31198=#REF!,"",B31198)</f>
        <v>#REF!</v>
      </c>
    </row>
    <row r="31199" spans="1:6" ht="15.75" customHeight="1">
      <c r="A31199" s="15" t="s">
        <v>9718</v>
      </c>
      <c r="B31199" s="15" t="s">
        <v>9718</v>
      </c>
      <c r="C31199" s="15" t="s">
        <v>9700</v>
      </c>
      <c r="D31199" s="15" t="s">
        <v>9700</v>
      </c>
      <c r="E31199" s="2">
        <v>3598529</v>
      </c>
      <c r="F31199" s="4" t="str">
        <f>IF(B31199=B31198,"",B31199)</f>
        <v>Chinautla</v>
      </c>
    </row>
    <row r="31200" spans="1:6" ht="15.75" customHeight="1">
      <c r="A31200" s="15" t="s">
        <v>5427</v>
      </c>
      <c r="B31200" s="15" t="s">
        <v>5428</v>
      </c>
      <c r="C31200" s="15" t="s">
        <v>5348</v>
      </c>
      <c r="D31200" s="15" t="s">
        <v>591</v>
      </c>
      <c r="E31200" s="2">
        <v>3686540</v>
      </c>
      <c r="F31200" s="4" t="e">
        <f>IF(B31200=#REF!,"",B31200)</f>
        <v>#REF!</v>
      </c>
    </row>
    <row r="31201" spans="1:6" ht="15.75" customHeight="1">
      <c r="A31201" s="16" t="s">
        <v>19222</v>
      </c>
      <c r="B31201" s="15" t="s">
        <v>19222</v>
      </c>
      <c r="C31201" s="16" t="s">
        <v>19217</v>
      </c>
      <c r="D31201" s="16" t="s">
        <v>19222</v>
      </c>
      <c r="E31201" s="2">
        <v>3620381</v>
      </c>
      <c r="F31201" s="4" t="e">
        <f>IF(B31201=#REF!,"",B31201)</f>
        <v>#REF!</v>
      </c>
    </row>
    <row r="31202" spans="1:6" ht="15.75" customHeight="1">
      <c r="A31202" s="15" t="s">
        <v>18662</v>
      </c>
      <c r="B31202" s="15" t="s">
        <v>18662</v>
      </c>
      <c r="C31202" s="15" t="s">
        <v>18655</v>
      </c>
      <c r="D31202" s="15" t="s">
        <v>18663</v>
      </c>
      <c r="E31202" s="2">
        <v>1049261</v>
      </c>
      <c r="F31202" s="4" t="e">
        <f>IF(B31202=#REF!,"",B31202)</f>
        <v>#REF!</v>
      </c>
    </row>
    <row r="31203" spans="1:6" ht="15.75" customHeight="1">
      <c r="A31203" s="16" t="s">
        <v>5425</v>
      </c>
      <c r="B31203" s="15" t="s">
        <v>5426</v>
      </c>
      <c r="C31203" s="16" t="s">
        <v>5348</v>
      </c>
      <c r="D31203" s="16" t="s">
        <v>5351</v>
      </c>
      <c r="E31203" s="2">
        <v>3686585</v>
      </c>
      <c r="F31203" s="4" t="e">
        <f>IF(B31203=#REF!,"",B31203)</f>
        <v>#REF!</v>
      </c>
    </row>
    <row r="31204" spans="1:6" ht="15.75" customHeight="1">
      <c r="A31204" s="15" t="s">
        <v>20496</v>
      </c>
      <c r="B31204" s="15" t="s">
        <v>20496</v>
      </c>
      <c r="C31204" s="15" t="s">
        <v>20470</v>
      </c>
      <c r="D31204" s="15" t="s">
        <v>20497</v>
      </c>
      <c r="E31204" s="2">
        <v>3698304</v>
      </c>
      <c r="F31204" s="4" t="e">
        <f>IF(B31204=#REF!,"",B31204)</f>
        <v>#REF!</v>
      </c>
    </row>
    <row r="31205" spans="1:6" ht="15.75" customHeight="1">
      <c r="A31205" s="15" t="s">
        <v>615</v>
      </c>
      <c r="B31205" s="15" t="s">
        <v>615</v>
      </c>
      <c r="C31205" s="15" t="s">
        <v>558</v>
      </c>
      <c r="D31205" s="15" t="s">
        <v>568</v>
      </c>
      <c r="E31205" s="2">
        <v>3861416</v>
      </c>
      <c r="F31205" s="4" t="e">
        <f>IF(B31205=#REF!,"",B31205)</f>
        <v>#REF!</v>
      </c>
    </row>
    <row r="31206" spans="1:6" ht="15.75" customHeight="1">
      <c r="A31206" s="16" t="s">
        <v>4378</v>
      </c>
      <c r="B31206" s="15" t="s">
        <v>4378</v>
      </c>
      <c r="C31206" s="16" t="s">
        <v>4355</v>
      </c>
      <c r="D31206" s="16" t="s">
        <v>4379</v>
      </c>
      <c r="E31206" s="2">
        <v>3895061</v>
      </c>
      <c r="F31206" s="4" t="e">
        <f>IF(B31206=#REF!,"",B31206)</f>
        <v>#REF!</v>
      </c>
    </row>
    <row r="31207" spans="1:6" ht="15.75" customHeight="1">
      <c r="A31207" s="16" t="s">
        <v>9717</v>
      </c>
      <c r="B31207" s="15" t="s">
        <v>9717</v>
      </c>
      <c r="C31207" s="16" t="s">
        <v>9700</v>
      </c>
      <c r="D31207" s="16" t="s">
        <v>9717</v>
      </c>
      <c r="E31207" s="2">
        <v>3598572</v>
      </c>
      <c r="F31207" s="4" t="e">
        <f>IF(B31207=#REF!,"",B31207)</f>
        <v>#REF!</v>
      </c>
    </row>
    <row r="31208" spans="1:6" ht="15.75" customHeight="1">
      <c r="A31208" s="15" t="s">
        <v>25588</v>
      </c>
      <c r="B31208" s="15" t="s">
        <v>25588</v>
      </c>
      <c r="C31208" s="15" t="s">
        <v>25560</v>
      </c>
      <c r="D31208" s="15" t="s">
        <v>25589</v>
      </c>
      <c r="E31208" s="2">
        <v>160464</v>
      </c>
      <c r="F31208" s="4" t="e">
        <f>IF(B31208=#REF!,"",B31208)</f>
        <v>#REF!</v>
      </c>
    </row>
    <row r="31209" spans="1:6" ht="15.75" customHeight="1">
      <c r="A31209" s="16" t="s">
        <v>17828</v>
      </c>
      <c r="B31209" s="15" t="s">
        <v>17829</v>
      </c>
      <c r="C31209" s="16" t="s">
        <v>17707</v>
      </c>
      <c r="D31209" s="16" t="s">
        <v>17723</v>
      </c>
      <c r="E31209" s="2">
        <v>3530870</v>
      </c>
      <c r="F31209" s="4" t="str">
        <f>IF(B31209=B31208,"",B31209)</f>
        <v>Chilpancingo de los Bravos</v>
      </c>
    </row>
    <row r="31210" spans="1:6" ht="15.75" customHeight="1">
      <c r="A31210" s="16" t="str">
        <f ca="1">IFERROR(__xludf.DUMMYFUNCTION("GOOGLETRANSLATE(B23739,""en"",""pt"")"),"Chilmāri")</f>
        <v>Chilmāri</v>
      </c>
      <c r="B31210" s="20" t="s">
        <v>31277</v>
      </c>
      <c r="C31210" s="20" t="s">
        <v>1296</v>
      </c>
      <c r="D31210" s="20" t="s">
        <v>1304</v>
      </c>
      <c r="E31210" s="10">
        <v>1185247</v>
      </c>
      <c r="F31210" s="4" t="str">
        <f>IF(B31210=B31209,"",B31210)</f>
        <v>Chilmāri</v>
      </c>
    </row>
    <row r="31211" spans="1:6" ht="15.75" customHeight="1">
      <c r="A31211" s="15" t="s">
        <v>1330</v>
      </c>
      <c r="B31211" s="15" t="s">
        <v>1331</v>
      </c>
      <c r="C31211" s="15" t="s">
        <v>1296</v>
      </c>
      <c r="D31211" s="15" t="s">
        <v>1304</v>
      </c>
      <c r="E31211" s="2">
        <v>1185247</v>
      </c>
      <c r="F31211" s="4" t="e">
        <f>IF(B31211=#REF!,"",B31211)</f>
        <v>#REF!</v>
      </c>
    </row>
    <row r="31212" spans="1:6" ht="15.75" customHeight="1">
      <c r="A31212" s="16" t="s">
        <v>7265</v>
      </c>
      <c r="B31212" s="15" t="s">
        <v>7266</v>
      </c>
      <c r="C31212" s="16" t="s">
        <v>7052</v>
      </c>
      <c r="D31212" s="16" t="s">
        <v>7058</v>
      </c>
      <c r="E31212" s="2">
        <v>3025144</v>
      </c>
      <c r="F31212" s="4" t="str">
        <f>IF(B31212=B31211,"",B31212)</f>
        <v>Chilly-Mazarin</v>
      </c>
    </row>
    <row r="31213" spans="1:6" ht="15.75" customHeight="1">
      <c r="A31213" s="16" t="str">
        <f ca="1">IFERROR(__xludf.DUMMYFUNCTION("GOOGLETRANSLATE(B33698,""en"",""pt"")"),"Chillupār")</f>
        <v>Chillupār</v>
      </c>
      <c r="B31213" s="20" t="s">
        <v>33815</v>
      </c>
      <c r="C31213" s="20" t="s">
        <v>10178</v>
      </c>
      <c r="D31213" s="20" t="s">
        <v>10193</v>
      </c>
      <c r="E31213" s="10">
        <v>1274195</v>
      </c>
      <c r="F31213" s="4" t="str">
        <f>IF(B31213=B31212,"",B31213)</f>
        <v>Chillupār</v>
      </c>
    </row>
    <row r="31214" spans="1:6" ht="15.75" customHeight="1">
      <c r="A31214" s="15" t="s">
        <v>10978</v>
      </c>
      <c r="B31214" s="15" t="s">
        <v>10979</v>
      </c>
      <c r="C31214" s="15" t="s">
        <v>10178</v>
      </c>
      <c r="D31214" s="15" t="s">
        <v>10193</v>
      </c>
      <c r="E31214" s="2">
        <v>1274195</v>
      </c>
      <c r="F31214" s="4" t="e">
        <f>IF(B31214=#REF!,"",B31214)</f>
        <v>#REF!</v>
      </c>
    </row>
    <row r="31215" spans="1:6" ht="15.75" customHeight="1">
      <c r="A31215" s="15" t="s">
        <v>28245</v>
      </c>
      <c r="B31215" s="15" t="s">
        <v>28245</v>
      </c>
      <c r="C31215" s="15" t="s">
        <v>27788</v>
      </c>
      <c r="D31215" s="15" t="s">
        <v>17061</v>
      </c>
      <c r="E31215" s="2">
        <v>4351383</v>
      </c>
      <c r="F31215" s="4" t="e">
        <f>IF(B31215=#REF!,"",B31215)</f>
        <v>#REF!</v>
      </c>
    </row>
    <row r="31216" spans="1:6" ht="15.75" customHeight="1">
      <c r="A31216" s="16" t="s">
        <v>4021</v>
      </c>
      <c r="B31216" s="15" t="s">
        <v>4021</v>
      </c>
      <c r="C31216" s="16" t="s">
        <v>3975</v>
      </c>
      <c r="D31216" s="16" t="s">
        <v>3976</v>
      </c>
      <c r="E31216" s="2">
        <v>5921356</v>
      </c>
      <c r="F31216" s="4" t="str">
        <f>IF(B31216=B31215,"",B31216)</f>
        <v>Chilliwack</v>
      </c>
    </row>
    <row r="31217" spans="1:6" ht="15.75" customHeight="1">
      <c r="A31217" s="16" t="str">
        <f ca="1">IFERROR(__xludf.DUMMYFUNCTION("GOOGLETRANSLATE(B25962,""en"",""pt"")"),"Chillán")</f>
        <v>Chillán</v>
      </c>
      <c r="B31217" s="20" t="s">
        <v>31811</v>
      </c>
      <c r="C31217" s="20" t="s">
        <v>4355</v>
      </c>
      <c r="D31217" s="20" t="s">
        <v>31796</v>
      </c>
      <c r="E31217" s="10">
        <v>3895088</v>
      </c>
      <c r="F31217" s="4" t="str">
        <f>IF(B31217=B31216,"",B31217)</f>
        <v>Chillán</v>
      </c>
    </row>
    <row r="31218" spans="1:6" ht="15.75" customHeight="1">
      <c r="A31218" s="15" t="s">
        <v>4376</v>
      </c>
      <c r="B31218" s="15" t="s">
        <v>4377</v>
      </c>
      <c r="C31218" s="15" t="s">
        <v>4355</v>
      </c>
      <c r="D31218" s="15" t="s">
        <v>4361</v>
      </c>
      <c r="E31218" s="2">
        <v>3895088</v>
      </c>
      <c r="F31218" s="4" t="e">
        <f>IF(B31218=#REF!,"",B31218)</f>
        <v>#REF!</v>
      </c>
    </row>
    <row r="31219" spans="1:6" ht="15.75" customHeight="1">
      <c r="A31219" s="16" t="s">
        <v>31037</v>
      </c>
      <c r="B31219" s="15" t="s">
        <v>31037</v>
      </c>
      <c r="C31219" s="16" t="s">
        <v>31038</v>
      </c>
      <c r="D31219" s="16" t="s">
        <v>31039</v>
      </c>
      <c r="E31219" s="2">
        <v>919544</v>
      </c>
      <c r="F31219" s="4" t="e">
        <f>IF(B31219=#REF!,"",B31219)</f>
        <v>#REF!</v>
      </c>
    </row>
    <row r="31220" spans="1:6" ht="15.75" customHeight="1">
      <c r="A31220" s="15" t="s">
        <v>20382</v>
      </c>
      <c r="B31220" s="15" t="s">
        <v>20382</v>
      </c>
      <c r="C31220" s="15" t="s">
        <v>20370</v>
      </c>
      <c r="D31220" s="15" t="s">
        <v>20374</v>
      </c>
      <c r="E31220" s="2">
        <v>3712455</v>
      </c>
      <c r="F31220" s="4" t="e">
        <f>IF(B31220=#REF!,"",B31220)</f>
        <v>#REF!</v>
      </c>
    </row>
    <row r="31221" spans="1:6" ht="15.75" customHeight="1">
      <c r="A31221" s="15" t="s">
        <v>613</v>
      </c>
      <c r="B31221" s="15" t="s">
        <v>613</v>
      </c>
      <c r="C31221" s="15" t="s">
        <v>558</v>
      </c>
      <c r="D31221" s="15" t="s">
        <v>614</v>
      </c>
      <c r="E31221" s="2">
        <v>3861445</v>
      </c>
      <c r="F31221" s="4" t="e">
        <f>IF(B31221=#REF!,"",B31221)</f>
        <v>#REF!</v>
      </c>
    </row>
    <row r="31222" spans="1:6" ht="15.75" customHeight="1">
      <c r="A31222" s="15" t="s">
        <v>24934</v>
      </c>
      <c r="B31222" s="15" t="s">
        <v>24934</v>
      </c>
      <c r="C31222" s="15" t="s">
        <v>24924</v>
      </c>
      <c r="D31222" s="15" t="s">
        <v>24935</v>
      </c>
      <c r="E31222" s="2">
        <v>1249145</v>
      </c>
      <c r="F31222" s="4" t="e">
        <f>IF(B31222=#REF!,"",B31222)</f>
        <v>#REF!</v>
      </c>
    </row>
    <row r="31223" spans="1:6" ht="15.75" customHeight="1">
      <c r="A31223" s="16" t="s">
        <v>17827</v>
      </c>
      <c r="B31223" s="15" t="s">
        <v>17827</v>
      </c>
      <c r="C31223" s="16" t="s">
        <v>17707</v>
      </c>
      <c r="D31223" s="16" t="s">
        <v>17723</v>
      </c>
      <c r="E31223" s="2">
        <v>3530886</v>
      </c>
      <c r="F31223" s="4" t="str">
        <f>IF(B31223=B31222,"",B31223)</f>
        <v>Chilapa de Alvarez</v>
      </c>
    </row>
    <row r="31224" spans="1:6" ht="15.75" customHeight="1">
      <c r="A31224" s="16" t="str">
        <f ca="1">IFERROR(__xludf.DUMMYFUNCTION("GOOGLETRANSLATE(B33699,""en"",""pt"")"),"Chilakalūrupet")</f>
        <v>Chilakalūrupet</v>
      </c>
      <c r="B31224" s="20" t="s">
        <v>33816</v>
      </c>
      <c r="C31224" s="20" t="s">
        <v>10178</v>
      </c>
      <c r="D31224" s="20" t="s">
        <v>10190</v>
      </c>
      <c r="E31224" s="10">
        <v>1274213</v>
      </c>
      <c r="F31224" s="4" t="str">
        <f>IF(B31224=B31223,"",B31224)</f>
        <v>Chilakalūrupet</v>
      </c>
    </row>
    <row r="31225" spans="1:6" ht="15.75" customHeight="1">
      <c r="A31225" s="16" t="s">
        <v>10976</v>
      </c>
      <c r="B31225" s="15" t="s">
        <v>10977</v>
      </c>
      <c r="C31225" s="16" t="s">
        <v>10178</v>
      </c>
      <c r="D31225" s="16" t="s">
        <v>10190</v>
      </c>
      <c r="E31225" s="2">
        <v>1274213</v>
      </c>
      <c r="F31225" s="4" t="e">
        <f>IF(B31225=#REF!,"",B31225)</f>
        <v>#REF!</v>
      </c>
    </row>
    <row r="31226" spans="1:6" ht="15.75" customHeight="1">
      <c r="A31226" s="16" t="s">
        <v>15844</v>
      </c>
      <c r="B31226" s="15" t="s">
        <v>15844</v>
      </c>
      <c r="C31226" s="16" t="s">
        <v>15704</v>
      </c>
      <c r="D31226" s="16" t="s">
        <v>15722</v>
      </c>
      <c r="E31226" s="2">
        <v>1864572</v>
      </c>
      <c r="F31226" s="4" t="e">
        <f>IF(B31226=#REF!,"",B31226)</f>
        <v>#REF!</v>
      </c>
    </row>
    <row r="31227" spans="1:6" ht="15.75" customHeight="1">
      <c r="A31227" s="15" t="s">
        <v>10975</v>
      </c>
      <c r="B31227" s="15" t="s">
        <v>10975</v>
      </c>
      <c r="C31227" s="15" t="s">
        <v>10178</v>
      </c>
      <c r="D31227" s="15" t="s">
        <v>10252</v>
      </c>
      <c r="E31227" s="2">
        <v>1274218</v>
      </c>
      <c r="F31227" s="4" t="str">
        <f>IF(B31227=B31226,"",B31227)</f>
        <v>Chikodi</v>
      </c>
    </row>
    <row r="31228" spans="1:6" ht="15.75" customHeight="1">
      <c r="A31228" s="16" t="str">
        <f ca="1">IFERROR(__xludf.DUMMYFUNCTION("GOOGLETRANSLATE(B33701,""en"",""pt"")"),"Chiknāyakanhalli")</f>
        <v>Chiknāyakanhalli</v>
      </c>
      <c r="B31228" s="20" t="s">
        <v>33817</v>
      </c>
      <c r="C31228" s="20" t="s">
        <v>10178</v>
      </c>
      <c r="D31228" s="20" t="s">
        <v>10252</v>
      </c>
      <c r="E31228" s="10">
        <v>1274219</v>
      </c>
      <c r="F31228" s="4" t="str">
        <f>IF(B31228=B31227,"",B31228)</f>
        <v>Chiknāyakanhalli</v>
      </c>
    </row>
    <row r="31229" spans="1:6" ht="15.75" customHeight="1">
      <c r="A31229" s="16" t="s">
        <v>10973</v>
      </c>
      <c r="B31229" s="15" t="s">
        <v>10974</v>
      </c>
      <c r="C31229" s="16" t="s">
        <v>10178</v>
      </c>
      <c r="D31229" s="16" t="s">
        <v>10252</v>
      </c>
      <c r="E31229" s="2">
        <v>1274219</v>
      </c>
      <c r="F31229" s="4" t="str">
        <f>IF(B31229=B31228,"",B31229)</f>
        <v>ChiknÄyakanhalli</v>
      </c>
    </row>
    <row r="31230" spans="1:6" ht="15.75" customHeight="1">
      <c r="A31230" s="16" t="str">
        <f ca="1">IFERROR(__xludf.DUMMYFUNCTION("GOOGLETRANSLATE(B33702,""en"",""pt"")"),"Chikmagalūr")</f>
        <v>Chikmagalūr</v>
      </c>
      <c r="B31230" s="20" t="s">
        <v>33818</v>
      </c>
      <c r="C31230" s="20" t="s">
        <v>10178</v>
      </c>
      <c r="D31230" s="20" t="s">
        <v>10252</v>
      </c>
      <c r="E31230" s="10">
        <v>1274220</v>
      </c>
      <c r="F31230" s="4" t="str">
        <f>IF(B31230=B31229,"",B31230)</f>
        <v>Chikmagalūr</v>
      </c>
    </row>
    <row r="31231" spans="1:6" ht="15.75" customHeight="1">
      <c r="A31231" s="16" t="s">
        <v>10971</v>
      </c>
      <c r="B31231" s="15" t="s">
        <v>10972</v>
      </c>
      <c r="C31231" s="16" t="s">
        <v>10178</v>
      </c>
      <c r="D31231" s="16" t="s">
        <v>10252</v>
      </c>
      <c r="E31231" s="2">
        <v>1274220</v>
      </c>
      <c r="F31231" s="4" t="e">
        <f>IF(B31231=#REF!,"",B31231)</f>
        <v>#REF!</v>
      </c>
    </row>
    <row r="31232" spans="1:6" ht="15.75" customHeight="1">
      <c r="A31232" s="15" t="s">
        <v>10970</v>
      </c>
      <c r="B31232" s="15" t="s">
        <v>10970</v>
      </c>
      <c r="C31232" s="15" t="s">
        <v>10178</v>
      </c>
      <c r="D31232" s="15" t="s">
        <v>10214</v>
      </c>
      <c r="E31232" s="2">
        <v>1274237</v>
      </c>
      <c r="F31232" s="4" t="str">
        <f>IF(B31232=B31231,"",B31232)</f>
        <v>Chikhli</v>
      </c>
    </row>
    <row r="31233" spans="1:6" ht="15.75" customHeight="1">
      <c r="A31233" s="16" t="str">
        <f ca="1">IFERROR(__xludf.DUMMYFUNCTION("GOOGLETRANSLATE(B33704,""en"",""pt"")"),"Chik Ballāpur")</f>
        <v>Chik Ballāpur</v>
      </c>
      <c r="B31233" s="20" t="s">
        <v>33819</v>
      </c>
      <c r="C31233" s="20" t="s">
        <v>10178</v>
      </c>
      <c r="D31233" s="20" t="s">
        <v>10252</v>
      </c>
      <c r="E31233" s="10">
        <v>1274243</v>
      </c>
      <c r="F31233" s="4" t="str">
        <f>IF(B31233=B31232,"",B31233)</f>
        <v>Chik Ballāpur</v>
      </c>
    </row>
    <row r="31234" spans="1:6" ht="15.75" customHeight="1">
      <c r="A31234" s="16" t="s">
        <v>10968</v>
      </c>
      <c r="B31234" s="15" t="s">
        <v>10969</v>
      </c>
      <c r="C31234" s="16" t="s">
        <v>10178</v>
      </c>
      <c r="D31234" s="16" t="s">
        <v>10252</v>
      </c>
      <c r="E31234" s="2">
        <v>1274243</v>
      </c>
      <c r="F31234" s="4" t="e">
        <f>IF(B31234=#REF!,"",B31234)</f>
        <v>#REF!</v>
      </c>
    </row>
    <row r="31235" spans="1:6" ht="15.75" customHeight="1">
      <c r="A31235" s="16" t="s">
        <v>17826</v>
      </c>
      <c r="B31235" s="15" t="s">
        <v>17826</v>
      </c>
      <c r="C31235" s="16" t="s">
        <v>17707</v>
      </c>
      <c r="D31235" s="16" t="s">
        <v>17826</v>
      </c>
      <c r="E31235" s="2">
        <v>4014338</v>
      </c>
      <c r="F31235" s="4" t="e">
        <f>IF(B31235=#REF!,"",B31235)</f>
        <v>#REF!</v>
      </c>
    </row>
    <row r="31236" spans="1:6" ht="15.75" customHeight="1">
      <c r="A31236" s="16" t="s">
        <v>4375</v>
      </c>
      <c r="B31236" s="15" t="s">
        <v>4375</v>
      </c>
      <c r="C31236" s="16" t="s">
        <v>4355</v>
      </c>
      <c r="D31236" s="16" t="s">
        <v>4361</v>
      </c>
      <c r="E31236" s="2">
        <v>3895138</v>
      </c>
      <c r="F31236" s="4" t="str">
        <f>IF(B31236=B31235,"",B31236)</f>
        <v>Chiguayante</v>
      </c>
    </row>
    <row r="31237" spans="1:6" ht="15.75" customHeight="1">
      <c r="A31237" s="16" t="str">
        <f ca="1">IFERROR(__xludf.DUMMYFUNCTION("GOOGLETRANSLATE(B27011,""en"",""pt"")"),"Chigorodó")</f>
        <v>Chigorodó</v>
      </c>
      <c r="B31237" s="20" t="s">
        <v>31882</v>
      </c>
      <c r="C31237" s="20" t="s">
        <v>5348</v>
      </c>
      <c r="D31237" s="20" t="s">
        <v>5362</v>
      </c>
      <c r="E31237" s="10">
        <v>3686636</v>
      </c>
      <c r="F31237" s="4" t="str">
        <f>IF(B31237=B31236,"",B31237)</f>
        <v>Chigorodó</v>
      </c>
    </row>
    <row r="31238" spans="1:6" ht="15.75" customHeight="1">
      <c r="A31238" s="16" t="s">
        <v>5423</v>
      </c>
      <c r="B31238" s="15" t="s">
        <v>5424</v>
      </c>
      <c r="C31238" s="16" t="s">
        <v>5348</v>
      </c>
      <c r="D31238" s="16" t="s">
        <v>5362</v>
      </c>
      <c r="E31238" s="2">
        <v>3686636</v>
      </c>
      <c r="F31238" s="4" t="e">
        <f>IF(B31238=#REF!,"",B31238)</f>
        <v>#REF!</v>
      </c>
    </row>
    <row r="31239" spans="1:6" ht="15.75" customHeight="1">
      <c r="A31239" s="16" t="s">
        <v>17825</v>
      </c>
      <c r="B31239" s="15" t="s">
        <v>17825</v>
      </c>
      <c r="C31239" s="16" t="s">
        <v>17707</v>
      </c>
      <c r="D31239" s="16" t="s">
        <v>17717</v>
      </c>
      <c r="E31239" s="2">
        <v>3530908</v>
      </c>
      <c r="F31239" s="4" t="e">
        <f>IF(B31239=#REF!,"",B31239)</f>
        <v>#REF!</v>
      </c>
    </row>
    <row r="31240" spans="1:6" ht="15.75" customHeight="1">
      <c r="A31240" s="15" t="s">
        <v>15843</v>
      </c>
      <c r="B31240" s="15" t="s">
        <v>15843</v>
      </c>
      <c r="C31240" s="15" t="s">
        <v>15704</v>
      </c>
      <c r="D31240" s="15" t="s">
        <v>15755</v>
      </c>
      <c r="E31240" s="2">
        <v>1864624</v>
      </c>
      <c r="F31240" s="4" t="e">
        <f>IF(B31240=#REF!,"",B31240)</f>
        <v>#REF!</v>
      </c>
    </row>
    <row r="31241" spans="1:6" ht="15.75" customHeight="1">
      <c r="A31241" s="15" t="s">
        <v>311</v>
      </c>
      <c r="B31241" s="15" t="s">
        <v>312</v>
      </c>
      <c r="C31241" s="15" t="s">
        <v>153</v>
      </c>
      <c r="D31241" s="15" t="s">
        <v>250</v>
      </c>
      <c r="E31241" s="2">
        <v>2501323</v>
      </c>
      <c r="F31241" s="4" t="e">
        <f>IF(B31241=#REF!,"",B31241)</f>
        <v>#REF!</v>
      </c>
    </row>
    <row r="31242" spans="1:6" ht="15.75" customHeight="1">
      <c r="A31242" s="15" t="s">
        <v>4595</v>
      </c>
      <c r="B31242" s="15" t="s">
        <v>4595</v>
      </c>
      <c r="C31242" s="15" t="s">
        <v>4487</v>
      </c>
      <c r="D31242" s="15" t="s">
        <v>4533</v>
      </c>
      <c r="E31242" s="2">
        <v>2038067</v>
      </c>
      <c r="F31242" s="4" t="e">
        <f>IF(B31242=#REF!,"",B31242)</f>
        <v>#REF!</v>
      </c>
    </row>
    <row r="31243" spans="1:6" ht="15.75" customHeight="1">
      <c r="A31243" s="15" t="s">
        <v>15078</v>
      </c>
      <c r="B31243" s="15" t="s">
        <v>15078</v>
      </c>
      <c r="C31243" s="15" t="s">
        <v>14891</v>
      </c>
      <c r="D31243" s="15" t="s">
        <v>14957</v>
      </c>
      <c r="E31243" s="2">
        <v>3178796</v>
      </c>
      <c r="F31243" s="4" t="e">
        <f>IF(B31243=#REF!,"",B31243)</f>
        <v>#REF!</v>
      </c>
    </row>
    <row r="31244" spans="1:6" ht="15.75" customHeight="1">
      <c r="A31244" s="15" t="s">
        <v>15077</v>
      </c>
      <c r="B31244" s="15" t="s">
        <v>15077</v>
      </c>
      <c r="C31244" s="15" t="s">
        <v>14891</v>
      </c>
      <c r="D31244" s="15" t="s">
        <v>14911</v>
      </c>
      <c r="E31244" s="2">
        <v>3178818</v>
      </c>
      <c r="F31244" s="4" t="e">
        <f>IF(B31244=#REF!,"",B31244)</f>
        <v>#REF!</v>
      </c>
    </row>
    <row r="31245" spans="1:6" ht="15.75" customHeight="1">
      <c r="A31245" s="15" t="s">
        <v>10967</v>
      </c>
      <c r="B31245" s="15" t="s">
        <v>10967</v>
      </c>
      <c r="C31245" s="15" t="s">
        <v>10178</v>
      </c>
      <c r="D31245" s="15" t="s">
        <v>10179</v>
      </c>
      <c r="E31245" s="2">
        <v>1274102</v>
      </c>
      <c r="F31245" s="4" t="e">
        <f>IF(B31245=#REF!,"",B31245)</f>
        <v>#REF!</v>
      </c>
    </row>
    <row r="31246" spans="1:6" ht="15.75" customHeight="1">
      <c r="A31246" s="16" t="s">
        <v>10966</v>
      </c>
      <c r="B31246" s="15" t="s">
        <v>10966</v>
      </c>
      <c r="C31246" s="16" t="s">
        <v>10178</v>
      </c>
      <c r="D31246" s="16" t="s">
        <v>10196</v>
      </c>
      <c r="E31246" s="2">
        <v>1274256</v>
      </c>
      <c r="F31246" s="4" t="e">
        <f>IF(B31246=#REF!,"",B31246)</f>
        <v>#REF!</v>
      </c>
    </row>
    <row r="31247" spans="1:6" ht="15.75" customHeight="1">
      <c r="A31247" s="16" t="s">
        <v>4374</v>
      </c>
      <c r="B31247" s="15" t="s">
        <v>4374</v>
      </c>
      <c r="C31247" s="16" t="s">
        <v>4355</v>
      </c>
      <c r="D31247" s="16" t="s">
        <v>4366</v>
      </c>
      <c r="E31247" s="2">
        <v>3895165</v>
      </c>
      <c r="F31247" s="4" t="e">
        <f>IF(B31247=#REF!,"",B31247)</f>
        <v>#REF!</v>
      </c>
    </row>
    <row r="31248" spans="1:6" ht="15.75" customHeight="1">
      <c r="A31248" s="15" t="s">
        <v>28244</v>
      </c>
      <c r="B31248" s="15" t="s">
        <v>28244</v>
      </c>
      <c r="C31248" s="15" t="s">
        <v>27788</v>
      </c>
      <c r="D31248" s="15" t="s">
        <v>27794</v>
      </c>
      <c r="E31248" s="2">
        <v>4933002</v>
      </c>
      <c r="F31248" s="4" t="e">
        <f>IF(B31248=#REF!,"",B31248)</f>
        <v>#REF!</v>
      </c>
    </row>
    <row r="31249" spans="1:6" ht="15.75" customHeight="1">
      <c r="A31249" s="16" t="s">
        <v>17824</v>
      </c>
      <c r="B31249" s="15" t="s">
        <v>17824</v>
      </c>
      <c r="C31249" s="16" t="s">
        <v>17707</v>
      </c>
      <c r="D31249" s="16" t="s">
        <v>17736</v>
      </c>
      <c r="E31249" s="2">
        <v>3530932</v>
      </c>
      <c r="F31249" s="4" t="e">
        <f>IF(B31249=#REF!,"",B31249)</f>
        <v>#REF!</v>
      </c>
    </row>
    <row r="31250" spans="1:6" ht="15.75" customHeight="1">
      <c r="A31250" s="15" t="s">
        <v>28243</v>
      </c>
      <c r="B31250" s="15" t="s">
        <v>28243</v>
      </c>
      <c r="C31250" s="15" t="s">
        <v>27788</v>
      </c>
      <c r="D31250" s="15" t="s">
        <v>27801</v>
      </c>
      <c r="E31250" s="2">
        <v>5336269</v>
      </c>
      <c r="F31250" s="4" t="e">
        <f>IF(B31250=#REF!,"",B31250)</f>
        <v>#REF!</v>
      </c>
    </row>
    <row r="31251" spans="1:6" ht="15.75" customHeight="1">
      <c r="A31251" s="15" t="s">
        <v>20494</v>
      </c>
      <c r="B31251" s="15" t="s">
        <v>20494</v>
      </c>
      <c r="C31251" s="15" t="s">
        <v>20470</v>
      </c>
      <c r="D31251" s="15" t="s">
        <v>20495</v>
      </c>
      <c r="E31251" s="2">
        <v>3698350</v>
      </c>
      <c r="F31251" s="4" t="e">
        <f>IF(B31251=#REF!,"",B31251)</f>
        <v>#REF!</v>
      </c>
    </row>
    <row r="31252" spans="1:6" ht="15.75" customHeight="1">
      <c r="A31252" s="16" t="s">
        <v>24403</v>
      </c>
      <c r="B31252" s="15" t="s">
        <v>24403</v>
      </c>
      <c r="C31252" s="16" t="s">
        <v>24200</v>
      </c>
      <c r="D31252" s="16" t="s">
        <v>24205</v>
      </c>
      <c r="E31252" s="2">
        <v>2519513</v>
      </c>
      <c r="F31252" s="4" t="e">
        <f>IF(B31252=#REF!,"",B31252)</f>
        <v>#REF!</v>
      </c>
    </row>
    <row r="31253" spans="1:6" ht="15.75" customHeight="1">
      <c r="A31253" s="16" t="s">
        <v>28242</v>
      </c>
      <c r="B31253" s="15" t="s">
        <v>28242</v>
      </c>
      <c r="C31253" s="16" t="s">
        <v>27788</v>
      </c>
      <c r="D31253" s="16" t="s">
        <v>27797</v>
      </c>
      <c r="E31253" s="2">
        <v>4533029</v>
      </c>
      <c r="F31253" s="4" t="e">
        <f>IF(B31253=#REF!,"",B31253)</f>
        <v>#REF!</v>
      </c>
    </row>
    <row r="31254" spans="1:6" ht="15.75" customHeight="1">
      <c r="A31254" s="15" t="s">
        <v>10965</v>
      </c>
      <c r="B31254" s="15" t="s">
        <v>10965</v>
      </c>
      <c r="C31254" s="15" t="s">
        <v>10178</v>
      </c>
      <c r="D31254" s="15" t="s">
        <v>10214</v>
      </c>
      <c r="E31254" s="2">
        <v>1274265</v>
      </c>
      <c r="F31254" s="4" t="e">
        <f>IF(B31254=#REF!,"",B31254)</f>
        <v>#REF!</v>
      </c>
    </row>
    <row r="31255" spans="1:6" ht="15.75" customHeight="1">
      <c r="A31255" s="16" t="s">
        <v>19221</v>
      </c>
      <c r="B31255" s="15" t="s">
        <v>19221</v>
      </c>
      <c r="C31255" s="16" t="s">
        <v>19217</v>
      </c>
      <c r="D31255" s="16" t="s">
        <v>19222</v>
      </c>
      <c r="E31255" s="2">
        <v>3620390</v>
      </c>
      <c r="F31255" s="4" t="e">
        <f>IF(B31255=#REF!,"",B31255)</f>
        <v>#REF!</v>
      </c>
    </row>
    <row r="31256" spans="1:6" ht="15.75" customHeight="1">
      <c r="A31256" s="16" t="s">
        <v>9715</v>
      </c>
      <c r="B31256" s="15" t="s">
        <v>9715</v>
      </c>
      <c r="C31256" s="16" t="s">
        <v>9700</v>
      </c>
      <c r="D31256" s="16" t="s">
        <v>9716</v>
      </c>
      <c r="E31256" s="2">
        <v>3598655</v>
      </c>
      <c r="F31256" s="4" t="e">
        <f>IF(B31256=#REF!,"",B31256)</f>
        <v>#REF!</v>
      </c>
    </row>
    <row r="31257" spans="1:6" ht="15.75" customHeight="1">
      <c r="A31257" s="15" t="s">
        <v>15842</v>
      </c>
      <c r="B31257" s="15" t="s">
        <v>15842</v>
      </c>
      <c r="C31257" s="15" t="s">
        <v>15704</v>
      </c>
      <c r="D31257" s="15" t="s">
        <v>15710</v>
      </c>
      <c r="E31257" s="2">
        <v>1864637</v>
      </c>
      <c r="F31257" s="4" t="e">
        <f>IF(B31257=#REF!,"",B31257)</f>
        <v>#REF!</v>
      </c>
    </row>
    <row r="31258" spans="1:6" ht="15.75" customHeight="1">
      <c r="A31258" s="16" t="s">
        <v>27409</v>
      </c>
      <c r="B31258" s="15" t="s">
        <v>27409</v>
      </c>
      <c r="C31258" s="16" t="s">
        <v>27234</v>
      </c>
      <c r="D31258" s="16" t="s">
        <v>27241</v>
      </c>
      <c r="E31258" s="2">
        <v>2653192</v>
      </c>
      <c r="F31258" s="4" t="str">
        <f>IF(B31258=B31257,"",B31258)</f>
        <v>Chichester</v>
      </c>
    </row>
    <row r="31259" spans="1:6" ht="15.75" customHeight="1">
      <c r="A31259" s="16" t="str">
        <f ca="1">IFERROR(__xludf.DUMMYFUNCTION("GOOGLETRANSLATE(B37070,""en"",""pt"")"),"Chichen Itza")</f>
        <v>Chichen Itza</v>
      </c>
      <c r="B31259" s="20" t="s">
        <v>34711</v>
      </c>
      <c r="C31259" s="20" t="s">
        <v>17707</v>
      </c>
      <c r="D31259" s="20" t="s">
        <v>34661</v>
      </c>
      <c r="E31259" s="10">
        <v>3530978</v>
      </c>
      <c r="F31259" s="4" t="str">
        <f>IF(B31259=B31258,"",B31259)</f>
        <v>Chichén-Itzá</v>
      </c>
    </row>
    <row r="31260" spans="1:6" ht="15.75" customHeight="1">
      <c r="A31260" s="16" t="str">
        <f ca="1">IFERROR(__xludf.DUMMYFUNCTION("GOOGLETRANSLATE(B39136,""en"",""pt"")"),"Chīchāwatni")</f>
        <v>Chīchāwatni</v>
      </c>
      <c r="B31260" s="20" t="s">
        <v>35040</v>
      </c>
      <c r="C31260" s="20" t="s">
        <v>19808</v>
      </c>
      <c r="D31260" s="20" t="s">
        <v>10184</v>
      </c>
      <c r="E31260" s="10">
        <v>1181163</v>
      </c>
      <c r="F31260" s="4" t="str">
        <f>IF(B31260=B31259,"",B31260)</f>
        <v>Chīchāwatni</v>
      </c>
    </row>
    <row r="31261" spans="1:6" ht="15.75" customHeight="1">
      <c r="A31261" s="16" t="s">
        <v>17821</v>
      </c>
      <c r="B31261" s="15" t="s">
        <v>17822</v>
      </c>
      <c r="C31261" s="16" t="s">
        <v>17707</v>
      </c>
      <c r="D31261" s="16" t="s">
        <v>17823</v>
      </c>
      <c r="E31261" s="2">
        <v>3530978</v>
      </c>
      <c r="F31261" s="4" t="e">
        <f>IF(B31261=#REF!,"",B31261)</f>
        <v>#REF!</v>
      </c>
    </row>
    <row r="31262" spans="1:6" ht="15.75" customHeight="1">
      <c r="A31262" s="16" t="s">
        <v>28241</v>
      </c>
      <c r="B31262" s="15" t="s">
        <v>28241</v>
      </c>
      <c r="C31262" s="16" t="s">
        <v>27788</v>
      </c>
      <c r="D31262" s="16" t="s">
        <v>27799</v>
      </c>
      <c r="E31262" s="2">
        <v>4887442</v>
      </c>
      <c r="F31262" s="4" t="e">
        <f>IF(B31262=#REF!,"",B31262)</f>
        <v>#REF!</v>
      </c>
    </row>
    <row r="31263" spans="1:6" ht="15.75" customHeight="1">
      <c r="A31263" s="15" t="s">
        <v>28240</v>
      </c>
      <c r="B31263" s="15" t="s">
        <v>28240</v>
      </c>
      <c r="C31263" s="15" t="s">
        <v>27788</v>
      </c>
      <c r="D31263" s="15" t="s">
        <v>27799</v>
      </c>
      <c r="E31263" s="2">
        <v>4887398</v>
      </c>
      <c r="F31263" s="4" t="e">
        <f>IF(B31263=#REF!,"",B31263)</f>
        <v>#REF!</v>
      </c>
    </row>
    <row r="31264" spans="1:6" ht="15.75" customHeight="1">
      <c r="A31264" s="15" t="s">
        <v>10964</v>
      </c>
      <c r="B31264" s="15" t="s">
        <v>10964</v>
      </c>
      <c r="C31264" s="15" t="s">
        <v>10178</v>
      </c>
      <c r="D31264" s="15" t="s">
        <v>10190</v>
      </c>
      <c r="E31264" s="2">
        <v>1255647</v>
      </c>
      <c r="F31264" s="4" t="e">
        <f>IF(B31264=#REF!,"",B31264)</f>
        <v>#REF!</v>
      </c>
    </row>
    <row r="31265" spans="1:6" ht="15.75" customHeight="1">
      <c r="A31265" s="15" t="s">
        <v>9713</v>
      </c>
      <c r="B31265" s="15" t="s">
        <v>9713</v>
      </c>
      <c r="C31265" s="15" t="s">
        <v>9700</v>
      </c>
      <c r="D31265" s="15" t="s">
        <v>9714</v>
      </c>
      <c r="E31265" s="2">
        <v>3598678</v>
      </c>
      <c r="F31265" s="4" t="e">
        <f>IF(B31265=#REF!,"",B31265)</f>
        <v>#REF!</v>
      </c>
    </row>
    <row r="31266" spans="1:6" ht="15.75" customHeight="1">
      <c r="A31266" s="15" t="s">
        <v>18659</v>
      </c>
      <c r="B31266" s="15" t="s">
        <v>18660</v>
      </c>
      <c r="C31266" s="15" t="s">
        <v>18655</v>
      </c>
      <c r="D31266" s="15" t="s">
        <v>18661</v>
      </c>
      <c r="E31266" s="2">
        <v>1049861</v>
      </c>
      <c r="F31266" s="4" t="e">
        <f>IF(B31266=#REF!,"",B31266)</f>
        <v>#REF!</v>
      </c>
    </row>
    <row r="31267" spans="1:6" ht="15.75" customHeight="1">
      <c r="A31267" s="15" t="s">
        <v>15707</v>
      </c>
      <c r="B31267" s="15" t="s">
        <v>15707</v>
      </c>
      <c r="C31267" s="15" t="s">
        <v>15704</v>
      </c>
      <c r="D31267" s="15" t="s">
        <v>15707</v>
      </c>
      <c r="E31267" s="2">
        <v>2113015</v>
      </c>
      <c r="F31267" s="4" t="str">
        <f>IF(B31267=B31266,"",B31267)</f>
        <v>Chiba</v>
      </c>
    </row>
    <row r="31268" spans="1:6" ht="15.75" customHeight="1">
      <c r="A31268" s="16" t="s">
        <v>18465</v>
      </c>
      <c r="B31268" s="15" t="s">
        <v>18466</v>
      </c>
      <c r="C31268" s="16" t="s">
        <v>18455</v>
      </c>
      <c r="D31268" s="16" t="s">
        <v>18466</v>
      </c>
      <c r="E31268" s="2">
        <v>618426</v>
      </c>
      <c r="F31268" s="4" t="e">
        <f>IF(B31268=#REF!,"",B31268)</f>
        <v>#REF!</v>
      </c>
    </row>
    <row r="31269" spans="1:6" ht="15.75" customHeight="1">
      <c r="A31269" s="15" t="s">
        <v>15076</v>
      </c>
      <c r="B31269" s="15" t="s">
        <v>15076</v>
      </c>
      <c r="C31269" s="15" t="s">
        <v>14891</v>
      </c>
      <c r="D31269" s="15" t="s">
        <v>14920</v>
      </c>
      <c r="E31269" s="2">
        <v>3178832</v>
      </c>
      <c r="F31269" s="4" t="e">
        <f>IF(B31269=#REF!,"",B31269)</f>
        <v>#REF!</v>
      </c>
    </row>
    <row r="31270" spans="1:6" ht="15.75" customHeight="1">
      <c r="A31270" s="15" t="s">
        <v>17820</v>
      </c>
      <c r="B31270" s="15" t="s">
        <v>17820</v>
      </c>
      <c r="C31270" s="15" t="s">
        <v>17707</v>
      </c>
      <c r="D31270" s="15" t="s">
        <v>17736</v>
      </c>
      <c r="E31270" s="2">
        <v>3531007</v>
      </c>
      <c r="F31270" s="4" t="e">
        <f>IF(B31270=#REF!,"",B31270)</f>
        <v>#REF!</v>
      </c>
    </row>
    <row r="31271" spans="1:6" ht="15.75" customHeight="1">
      <c r="A31271" s="16" t="s">
        <v>17819</v>
      </c>
      <c r="B31271" s="15" t="s">
        <v>17819</v>
      </c>
      <c r="C31271" s="16" t="s">
        <v>17707</v>
      </c>
      <c r="D31271" s="16" t="s">
        <v>17763</v>
      </c>
      <c r="E31271" s="2">
        <v>3517742</v>
      </c>
      <c r="F31271" s="4" t="e">
        <f>IF(B31271=#REF!,"",B31271)</f>
        <v>#REF!</v>
      </c>
    </row>
    <row r="31272" spans="1:6" ht="15.75" customHeight="1">
      <c r="A31272" s="15" t="s">
        <v>15075</v>
      </c>
      <c r="B31272" s="15" t="s">
        <v>15075</v>
      </c>
      <c r="C31272" s="15" t="s">
        <v>14891</v>
      </c>
      <c r="D31272" s="15" t="s">
        <v>14894</v>
      </c>
      <c r="E31272" s="2">
        <v>3178850</v>
      </c>
      <c r="F31272" s="4" t="e">
        <f>IF(B31272=#REF!,"",B31272)</f>
        <v>#REF!</v>
      </c>
    </row>
    <row r="31273" spans="1:6" ht="15.75" customHeight="1">
      <c r="A31273" s="16" t="s">
        <v>17818</v>
      </c>
      <c r="B31273" s="15" t="s">
        <v>17818</v>
      </c>
      <c r="C31273" s="16" t="s">
        <v>17707</v>
      </c>
      <c r="D31273" s="16" t="s">
        <v>17770</v>
      </c>
      <c r="E31273" s="2">
        <v>3531013</v>
      </c>
      <c r="F31273" s="4" t="e">
        <f>IF(B31273=#REF!,"",B31273)</f>
        <v>#REF!</v>
      </c>
    </row>
    <row r="31274" spans="1:6" ht="15.75" customHeight="1">
      <c r="A31274" s="16" t="s">
        <v>25862</v>
      </c>
      <c r="B31274" s="15" t="s">
        <v>25862</v>
      </c>
      <c r="C31274" s="16" t="s">
        <v>25771</v>
      </c>
      <c r="D31274" s="16" t="s">
        <v>25862</v>
      </c>
      <c r="E31274" s="2">
        <v>1153669</v>
      </c>
      <c r="F31274" s="4" t="e">
        <f>IF(B31274=#REF!,"",B31274)</f>
        <v>#REF!</v>
      </c>
    </row>
    <row r="31275" spans="1:6" ht="15.75" customHeight="1">
      <c r="A31275" s="16" t="s">
        <v>25861</v>
      </c>
      <c r="B31275" s="15" t="s">
        <v>25861</v>
      </c>
      <c r="C31275" s="16" t="s">
        <v>25771</v>
      </c>
      <c r="D31275" s="16" t="s">
        <v>25861</v>
      </c>
      <c r="E31275" s="2">
        <v>1153671</v>
      </c>
      <c r="F31275" s="4" t="str">
        <f>IF(B31275=B31274,"",B31275)</f>
        <v>Chiang Mai</v>
      </c>
    </row>
    <row r="31276" spans="1:6" ht="15.75" customHeight="1">
      <c r="A31276" s="16" t="str">
        <f ca="1">IFERROR(__xludf.DUMMYFUNCTION("GOOGLETRANSLATE(B27012,""en"",""pt"")"),"Chía")</f>
        <v>Chía</v>
      </c>
      <c r="B31276" s="20" t="s">
        <v>31883</v>
      </c>
      <c r="C31276" s="20" t="s">
        <v>5348</v>
      </c>
      <c r="D31276" s="20" t="s">
        <v>5400</v>
      </c>
      <c r="E31276" s="10">
        <v>3686675</v>
      </c>
      <c r="F31276" s="4" t="str">
        <f>IF(B31276=B31275,"",B31276)</f>
        <v>Chía</v>
      </c>
    </row>
    <row r="31277" spans="1:6" ht="15.75" customHeight="1">
      <c r="A31277" s="16" t="str">
        <f ca="1">IFERROR(__xludf.DUMMYFUNCTION("GOOGLETRANSLATE(B33707,""en"",""pt"")"),"Chhoti Sādri")</f>
        <v>Chhoti Sādri</v>
      </c>
      <c r="B31277" s="20" t="s">
        <v>33820</v>
      </c>
      <c r="C31277" s="20" t="s">
        <v>10178</v>
      </c>
      <c r="D31277" s="20" t="s">
        <v>10179</v>
      </c>
      <c r="E31277" s="10">
        <v>1274284</v>
      </c>
      <c r="F31277" s="4" t="str">
        <f>IF(B31277=B31276,"",B31277)</f>
        <v>Chhoti Sādri</v>
      </c>
    </row>
    <row r="31278" spans="1:6" ht="15.75" customHeight="1">
      <c r="A31278" s="16" t="s">
        <v>10962</v>
      </c>
      <c r="B31278" s="15" t="s">
        <v>10963</v>
      </c>
      <c r="C31278" s="16" t="s">
        <v>10178</v>
      </c>
      <c r="D31278" s="16" t="s">
        <v>10179</v>
      </c>
      <c r="E31278" s="2">
        <v>1274284</v>
      </c>
      <c r="F31278" s="4" t="e">
        <f>IF(B31278=#REF!,"",B31278)</f>
        <v>#REF!</v>
      </c>
    </row>
    <row r="31279" spans="1:6" ht="15.75" customHeight="1">
      <c r="A31279" s="16" t="s">
        <v>10961</v>
      </c>
      <c r="B31279" s="15" t="s">
        <v>10961</v>
      </c>
      <c r="C31279" s="16" t="s">
        <v>10178</v>
      </c>
      <c r="D31279" s="16" t="s">
        <v>10209</v>
      </c>
      <c r="E31279" s="2">
        <v>1274285</v>
      </c>
      <c r="F31279" s="4" t="str">
        <f>IF(B31279=B31278,"",B31279)</f>
        <v>Chhota Udepur</v>
      </c>
    </row>
    <row r="31280" spans="1:6" ht="15.75" customHeight="1">
      <c r="A31280" s="16" t="str">
        <f ca="1">IFERROR(__xludf.DUMMYFUNCTION("GOOGLETRANSLATE(B33709,""en"",""pt"")"),"Chhindwāra")</f>
        <v>Chhindwāra</v>
      </c>
      <c r="B31280" s="20" t="s">
        <v>33821</v>
      </c>
      <c r="C31280" s="20" t="s">
        <v>10178</v>
      </c>
      <c r="D31280" s="20" t="s">
        <v>10219</v>
      </c>
      <c r="E31280" s="10">
        <v>1274304</v>
      </c>
      <c r="F31280" s="4" t="str">
        <f>IF(B31280=B31279,"",B31280)</f>
        <v>Chhindwāra</v>
      </c>
    </row>
    <row r="31281" spans="1:6" ht="15.75" customHeight="1">
      <c r="A31281" s="16" t="s">
        <v>10959</v>
      </c>
      <c r="B31281" s="15" t="s">
        <v>10960</v>
      </c>
      <c r="C31281" s="16" t="s">
        <v>10178</v>
      </c>
      <c r="D31281" s="16" t="s">
        <v>10219</v>
      </c>
      <c r="E31281" s="2">
        <v>1274304</v>
      </c>
      <c r="F31281" s="4" t="str">
        <f>IF(B31281=B31280,"",B31281)</f>
        <v>ChhindwÄra</v>
      </c>
    </row>
    <row r="31282" spans="1:6" ht="15.75" customHeight="1">
      <c r="A31282" s="16" t="str">
        <f ca="1">IFERROR(__xludf.DUMMYFUNCTION("GOOGLETRANSLATE(B33710,""en"",""pt"")"),"Chhibrāmau")</f>
        <v>Chhibrāmau</v>
      </c>
      <c r="B31282" s="20" t="s">
        <v>33822</v>
      </c>
      <c r="C31282" s="20" t="s">
        <v>10178</v>
      </c>
      <c r="D31282" s="20" t="s">
        <v>10193</v>
      </c>
      <c r="E31282" s="10">
        <v>1274315</v>
      </c>
      <c r="F31282" s="4" t="str">
        <f>IF(B31282=B31281,"",B31282)</f>
        <v>Chhibrāmau</v>
      </c>
    </row>
    <row r="31283" spans="1:6" ht="15.75" customHeight="1">
      <c r="A31283" s="16" t="s">
        <v>10957</v>
      </c>
      <c r="B31283" s="15" t="s">
        <v>10958</v>
      </c>
      <c r="C31283" s="16" t="s">
        <v>10178</v>
      </c>
      <c r="D31283" s="16" t="s">
        <v>10193</v>
      </c>
      <c r="E31283" s="2">
        <v>1274315</v>
      </c>
      <c r="F31283" s="4" t="e">
        <f>IF(B31283=#REF!,"",B31283)</f>
        <v>#REF!</v>
      </c>
    </row>
    <row r="31284" spans="1:6" ht="15.75" customHeight="1">
      <c r="A31284" s="16" t="s">
        <v>10956</v>
      </c>
      <c r="B31284" s="15" t="s">
        <v>10956</v>
      </c>
      <c r="C31284" s="16" t="s">
        <v>10178</v>
      </c>
      <c r="D31284" s="16" t="s">
        <v>10219</v>
      </c>
      <c r="E31284" s="2">
        <v>1274337</v>
      </c>
      <c r="F31284" s="4" t="str">
        <f>IF(B31284=B31283,"",B31284)</f>
        <v>Chhatarpur</v>
      </c>
    </row>
    <row r="31285" spans="1:6" ht="15.75" customHeight="1">
      <c r="A31285" s="16" t="str">
        <f ca="1">IFERROR(__xludf.DUMMYFUNCTION("GOOGLETRANSLATE(B33712,""en"",""pt"")"),"Chhātāpur")</f>
        <v>Chhātāpur</v>
      </c>
      <c r="B31285" s="20" t="s">
        <v>33823</v>
      </c>
      <c r="C31285" s="20" t="s">
        <v>10178</v>
      </c>
      <c r="D31285" s="20" t="s">
        <v>10317</v>
      </c>
      <c r="E31285" s="10">
        <v>1274342</v>
      </c>
      <c r="F31285" s="4" t="str">
        <f>IF(B31285=B31284,"",B31285)</f>
        <v>Chhātāpur</v>
      </c>
    </row>
    <row r="31286" spans="1:6" ht="15.75" customHeight="1">
      <c r="A31286" s="16" t="str">
        <f ca="1">IFERROR(__xludf.DUMMYFUNCTION("GOOGLETRANSLATE(B23743,""en"",""pt"")"),"Chhātak")</f>
        <v>Chhātak</v>
      </c>
      <c r="B31286" s="20" t="s">
        <v>31280</v>
      </c>
      <c r="C31286" s="20" t="s">
        <v>1296</v>
      </c>
      <c r="D31286" s="20" t="s">
        <v>1306</v>
      </c>
      <c r="E31286" s="10">
        <v>1185254</v>
      </c>
      <c r="F31286" s="4" t="str">
        <f>IF(B31286=B31285,"",B31286)</f>
        <v>Chhātak</v>
      </c>
    </row>
    <row r="31287" spans="1:6" ht="15.75" customHeight="1">
      <c r="A31287" s="16" t="str">
        <f ca="1">IFERROR(__xludf.DUMMYFUNCTION("GOOGLETRANSLATE(B33713,""en"",""pt"")"),"Chhāta")</f>
        <v>Chhāta</v>
      </c>
      <c r="B31287" s="20" t="s">
        <v>33824</v>
      </c>
      <c r="C31287" s="20" t="s">
        <v>10178</v>
      </c>
      <c r="D31287" s="20" t="s">
        <v>10193</v>
      </c>
      <c r="E31287" s="10">
        <v>1274343</v>
      </c>
      <c r="F31287" s="4" t="e">
        <f>IF(B31287=#REF!,"",B31287)</f>
        <v>#REF!</v>
      </c>
    </row>
    <row r="31288" spans="1:6" ht="15.75" customHeight="1">
      <c r="A31288" s="15" t="s">
        <v>10955</v>
      </c>
      <c r="B31288" s="15" t="s">
        <v>10955</v>
      </c>
      <c r="C31288" s="15" t="s">
        <v>10178</v>
      </c>
      <c r="D31288" s="15" t="s">
        <v>10193</v>
      </c>
      <c r="E31288" s="2">
        <v>1274346</v>
      </c>
      <c r="F31288" s="4" t="e">
        <f>IF(B31288=#REF!,"",B31288)</f>
        <v>#REF!</v>
      </c>
    </row>
    <row r="31289" spans="1:6" ht="15.75" customHeight="1">
      <c r="A31289" s="16" t="s">
        <v>10954</v>
      </c>
      <c r="B31289" s="15" t="s">
        <v>10954</v>
      </c>
      <c r="C31289" s="16" t="s">
        <v>10178</v>
      </c>
      <c r="D31289" s="16" t="s">
        <v>10193</v>
      </c>
      <c r="E31289" s="2">
        <v>1274351</v>
      </c>
      <c r="F31289" s="4" t="str">
        <f>IF(B31289=B31288,"",B31289)</f>
        <v>Chhaprauli</v>
      </c>
    </row>
    <row r="31290" spans="1:6" ht="15.75" customHeight="1">
      <c r="A31290" s="16" t="str">
        <f ca="1">IFERROR(__xludf.DUMMYFUNCTION("GOOGLETRANSLATE(B33717,""en"",""pt"")"),"Chhāpar")</f>
        <v>Chhāpar</v>
      </c>
      <c r="B31290" s="20" t="s">
        <v>33826</v>
      </c>
      <c r="C31290" s="20" t="s">
        <v>10178</v>
      </c>
      <c r="D31290" s="20" t="s">
        <v>10179</v>
      </c>
      <c r="E31290" s="10">
        <v>1274359</v>
      </c>
      <c r="F31290" s="4" t="e">
        <f>IF(B31290=#REF!,"",B31290)</f>
        <v>#REF!</v>
      </c>
    </row>
    <row r="31291" spans="1:6" ht="15.75" customHeight="1">
      <c r="A31291" s="15" t="s">
        <v>10953</v>
      </c>
      <c r="B31291" s="15" t="s">
        <v>10953</v>
      </c>
      <c r="C31291" s="15" t="s">
        <v>10178</v>
      </c>
      <c r="D31291" s="15" t="s">
        <v>10209</v>
      </c>
      <c r="E31291" s="2">
        <v>1274369</v>
      </c>
      <c r="F31291" s="4" t="str">
        <f>IF(B31291=B31290,"",B31291)</f>
        <v>Chhala</v>
      </c>
    </row>
    <row r="31292" spans="1:6" ht="15.75" customHeight="1">
      <c r="A31292" s="16" t="str">
        <f ca="1">IFERROR(__xludf.DUMMYFUNCTION("GOOGLETRANSLATE(B23740,""en"",""pt"")"),"Chhāgalnāiya")</f>
        <v>Chhāgalnāiya</v>
      </c>
      <c r="B31292" s="20" t="s">
        <v>31278</v>
      </c>
      <c r="C31292" s="20" t="s">
        <v>1296</v>
      </c>
      <c r="D31292" s="20" t="s">
        <v>1302</v>
      </c>
      <c r="E31292" s="10">
        <v>1185249</v>
      </c>
      <c r="F31292" s="4" t="e">
        <f>IF(B31292=#REF!,"",B31292)</f>
        <v>#REF!</v>
      </c>
    </row>
    <row r="31293" spans="1:6" ht="15.75" customHeight="1">
      <c r="A31293" s="15" t="s">
        <v>10952</v>
      </c>
      <c r="B31293" s="15" t="s">
        <v>10952</v>
      </c>
      <c r="C31293" s="15" t="s">
        <v>10178</v>
      </c>
      <c r="D31293" s="15" t="s">
        <v>10179</v>
      </c>
      <c r="E31293" s="2">
        <v>1274381</v>
      </c>
      <c r="F31293" s="4" t="str">
        <f>IF(B31293=B31292,"",B31293)</f>
        <v>Chhabra</v>
      </c>
    </row>
    <row r="31294" spans="1:6" ht="15.75" customHeight="1">
      <c r="A31294" s="15" t="s">
        <v>1328</v>
      </c>
      <c r="B31294" s="15" t="s">
        <v>1329</v>
      </c>
      <c r="C31294" s="15" t="s">
        <v>1296</v>
      </c>
      <c r="D31294" s="15" t="s">
        <v>1306</v>
      </c>
      <c r="E31294" s="2">
        <v>1185254</v>
      </c>
      <c r="F31294" s="4" t="str">
        <f>IF(B31294=B31293,"",B31294)</f>
        <v>ChhÄtak</v>
      </c>
    </row>
    <row r="31295" spans="1:6" ht="15.75" customHeight="1">
      <c r="A31295" s="16" t="s">
        <v>10950</v>
      </c>
      <c r="B31295" s="15" t="s">
        <v>10951</v>
      </c>
      <c r="C31295" s="16" t="s">
        <v>10178</v>
      </c>
      <c r="D31295" s="16" t="s">
        <v>10317</v>
      </c>
      <c r="E31295" s="2">
        <v>1274342</v>
      </c>
      <c r="F31295" s="4" t="str">
        <f>IF(B31295=B31294,"",B31295)</f>
        <v>ChhÄtÄpur</v>
      </c>
    </row>
    <row r="31296" spans="1:6" ht="15.75" customHeight="1">
      <c r="A31296" s="15" t="s">
        <v>10948</v>
      </c>
      <c r="B31296" s="15" t="s">
        <v>10949</v>
      </c>
      <c r="C31296" s="15" t="s">
        <v>10178</v>
      </c>
      <c r="D31296" s="15" t="s">
        <v>10193</v>
      </c>
      <c r="E31296" s="2">
        <v>1274343</v>
      </c>
      <c r="F31296" s="4" t="str">
        <f>IF(B31296=B31295,"",B31296)</f>
        <v>ChhÄta</v>
      </c>
    </row>
    <row r="31297" spans="1:6" ht="15.75" customHeight="1">
      <c r="A31297" s="15" t="s">
        <v>10946</v>
      </c>
      <c r="B31297" s="15" t="s">
        <v>10947</v>
      </c>
      <c r="C31297" s="15" t="s">
        <v>10178</v>
      </c>
      <c r="D31297" s="15" t="s">
        <v>10179</v>
      </c>
      <c r="E31297" s="2">
        <v>1274359</v>
      </c>
      <c r="F31297" s="4" t="str">
        <f>IF(B31297=B31296,"",B31297)</f>
        <v>ChhÄpar</v>
      </c>
    </row>
    <row r="31298" spans="1:6" ht="15.75" customHeight="1">
      <c r="A31298" s="16" t="s">
        <v>1326</v>
      </c>
      <c r="B31298" s="15" t="s">
        <v>1327</v>
      </c>
      <c r="C31298" s="16" t="s">
        <v>1296</v>
      </c>
      <c r="D31298" s="16" t="s">
        <v>1302</v>
      </c>
      <c r="E31298" s="2">
        <v>1185249</v>
      </c>
      <c r="F31298" s="4" t="e">
        <f>IF(B31298=#REF!,"",B31298)</f>
        <v>#REF!</v>
      </c>
    </row>
    <row r="31299" spans="1:6" ht="15.75" customHeight="1">
      <c r="A31299" s="15" t="s">
        <v>10945</v>
      </c>
      <c r="B31299" s="15" t="s">
        <v>10945</v>
      </c>
      <c r="C31299" s="15" t="s">
        <v>10178</v>
      </c>
      <c r="D31299" s="15" t="s">
        <v>10196</v>
      </c>
      <c r="E31299" s="2">
        <v>1254322</v>
      </c>
      <c r="F31299" s="4" t="e">
        <f>IF(B31299=#REF!,"",B31299)</f>
        <v>#REF!</v>
      </c>
    </row>
    <row r="31300" spans="1:6" ht="15.75" customHeight="1">
      <c r="A31300" s="16" t="s">
        <v>28239</v>
      </c>
      <c r="B31300" s="15" t="s">
        <v>28239</v>
      </c>
      <c r="C31300" s="16" t="s">
        <v>27788</v>
      </c>
      <c r="D31300" s="16" t="s">
        <v>28189</v>
      </c>
      <c r="E31300" s="2">
        <v>5821086</v>
      </c>
      <c r="F31300" s="4" t="e">
        <f>IF(B31300=#REF!,"",B31300)</f>
        <v>#REF!</v>
      </c>
    </row>
    <row r="31301" spans="1:6" ht="15.75" customHeight="1">
      <c r="A31301" s="16" t="s">
        <v>7263</v>
      </c>
      <c r="B31301" s="15" t="s">
        <v>7264</v>
      </c>
      <c r="C31301" s="16" t="s">
        <v>7052</v>
      </c>
      <c r="D31301" s="16" t="s">
        <v>7058</v>
      </c>
      <c r="E31301" s="2">
        <v>3025314</v>
      </c>
      <c r="F31301" s="4" t="e">
        <f>IF(B31301=#REF!,"",B31301)</f>
        <v>#REF!</v>
      </c>
    </row>
    <row r="31302" spans="1:6" ht="15.75" customHeight="1">
      <c r="A31302" s="15" t="s">
        <v>17817</v>
      </c>
      <c r="B31302" s="15" t="s">
        <v>17817</v>
      </c>
      <c r="C31302" s="15" t="s">
        <v>17707</v>
      </c>
      <c r="D31302" s="15" t="s">
        <v>17799</v>
      </c>
      <c r="E31302" s="2">
        <v>3531023</v>
      </c>
      <c r="F31302" s="4" t="str">
        <f>IF(B31302=B31301,"",B31302)</f>
        <v>Chetumal</v>
      </c>
    </row>
    <row r="31303" spans="1:6" ht="15.75" customHeight="1">
      <c r="A31303" s="16" t="str">
        <f ca="1">IFERROR(__xludf.DUMMYFUNCTION("GOOGLETRANSLATE(B33720,""en"",""pt"")"),"Chettipālaiyam")</f>
        <v>Chettipālaiyam</v>
      </c>
      <c r="B31303" s="20" t="s">
        <v>33827</v>
      </c>
      <c r="C31303" s="20" t="s">
        <v>10178</v>
      </c>
      <c r="D31303" s="20" t="s">
        <v>10196</v>
      </c>
      <c r="E31303" s="10">
        <v>1274389</v>
      </c>
      <c r="F31303" s="4" t="str">
        <f>IF(B31303=B31302,"",B31303)</f>
        <v>Chettipālaiyam</v>
      </c>
    </row>
    <row r="31304" spans="1:6" ht="15.75" customHeight="1">
      <c r="A31304" s="16" t="s">
        <v>10943</v>
      </c>
      <c r="B31304" s="15" t="s">
        <v>10944</v>
      </c>
      <c r="C31304" s="16" t="s">
        <v>10178</v>
      </c>
      <c r="D31304" s="16" t="s">
        <v>10196</v>
      </c>
      <c r="E31304" s="2">
        <v>1274389</v>
      </c>
      <c r="F31304" s="4" t="e">
        <f>IF(B31304=#REF!,"",B31304)</f>
        <v>#REF!</v>
      </c>
    </row>
    <row r="31305" spans="1:6" ht="15.75" customHeight="1">
      <c r="A31305" s="15" t="s">
        <v>10942</v>
      </c>
      <c r="B31305" s="15" t="s">
        <v>10942</v>
      </c>
      <c r="C31305" s="15" t="s">
        <v>10178</v>
      </c>
      <c r="D31305" s="15" t="s">
        <v>10196</v>
      </c>
      <c r="E31305" s="2">
        <v>1274394</v>
      </c>
      <c r="F31305" s="4" t="e">
        <f>IF(B31305=#REF!,"",B31305)</f>
        <v>#REF!</v>
      </c>
    </row>
    <row r="31306" spans="1:6" ht="15.75" customHeight="1">
      <c r="A31306" s="16" t="s">
        <v>310</v>
      </c>
      <c r="B31306" s="15" t="s">
        <v>310</v>
      </c>
      <c r="C31306" s="16" t="s">
        <v>153</v>
      </c>
      <c r="D31306" s="16" t="s">
        <v>253</v>
      </c>
      <c r="E31306" s="2">
        <v>2501362</v>
      </c>
      <c r="F31306" s="4" t="e">
        <f>IF(B31306=#REF!,"",B31306)</f>
        <v>#REF!</v>
      </c>
    </row>
    <row r="31307" spans="1:6" ht="15.75" customHeight="1">
      <c r="A31307" s="16" t="s">
        <v>27407</v>
      </c>
      <c r="B31307" s="15" t="s">
        <v>27408</v>
      </c>
      <c r="C31307" s="16" t="s">
        <v>27234</v>
      </c>
      <c r="D31307" s="16" t="s">
        <v>27241</v>
      </c>
      <c r="E31307" s="2">
        <v>2653224</v>
      </c>
      <c r="F31307" s="4" t="e">
        <f>IF(B31307=#REF!,"",B31307)</f>
        <v>#REF!</v>
      </c>
    </row>
    <row r="31308" spans="1:6" ht="15.75" customHeight="1">
      <c r="A31308" s="16" t="s">
        <v>27406</v>
      </c>
      <c r="B31308" s="15" t="s">
        <v>27406</v>
      </c>
      <c r="C31308" s="16" t="s">
        <v>27234</v>
      </c>
      <c r="D31308" s="16" t="s">
        <v>27241</v>
      </c>
      <c r="E31308" s="2">
        <v>2653225</v>
      </c>
      <c r="F31308" s="4" t="e">
        <f>IF(B31308=#REF!,"",B31308)</f>
        <v>#REF!</v>
      </c>
    </row>
    <row r="31309" spans="1:6" ht="15.75" customHeight="1">
      <c r="A31309" s="15" t="s">
        <v>27405</v>
      </c>
      <c r="B31309" s="15" t="s">
        <v>27405</v>
      </c>
      <c r="C31309" s="15" t="s">
        <v>27234</v>
      </c>
      <c r="D31309" s="15" t="s">
        <v>27241</v>
      </c>
      <c r="E31309" s="2">
        <v>2653228</v>
      </c>
      <c r="F31309" s="4" t="e">
        <f>IF(B31309=#REF!,"",B31309)</f>
        <v>#REF!</v>
      </c>
    </row>
    <row r="31310" spans="1:6" ht="15.75" customHeight="1">
      <c r="A31310" s="16" t="s">
        <v>27404</v>
      </c>
      <c r="B31310" s="15" t="s">
        <v>27404</v>
      </c>
      <c r="C31310" s="16" t="s">
        <v>27234</v>
      </c>
      <c r="D31310" s="16" t="s">
        <v>27241</v>
      </c>
      <c r="E31310" s="2">
        <v>2653229</v>
      </c>
      <c r="F31310" s="4" t="e">
        <f>IF(B31310=#REF!,"",B31310)</f>
        <v>#REF!</v>
      </c>
    </row>
    <row r="31311" spans="1:6" ht="15.75" customHeight="1">
      <c r="A31311" s="15" t="s">
        <v>27403</v>
      </c>
      <c r="B31311" s="15" t="s">
        <v>27403</v>
      </c>
      <c r="C31311" s="15" t="s">
        <v>27234</v>
      </c>
      <c r="D31311" s="15" t="s">
        <v>27241</v>
      </c>
      <c r="E31311" s="2">
        <v>2653232</v>
      </c>
      <c r="F31311" s="4" t="e">
        <f>IF(B31311=#REF!,"",B31311)</f>
        <v>#REF!</v>
      </c>
    </row>
    <row r="31312" spans="1:6" ht="15.75" customHeight="1">
      <c r="A31312" s="15" t="s">
        <v>28238</v>
      </c>
      <c r="B31312" s="15" t="s">
        <v>28238</v>
      </c>
      <c r="C31312" s="15" t="s">
        <v>27788</v>
      </c>
      <c r="D31312" s="15" t="s">
        <v>27876</v>
      </c>
      <c r="E31312" s="2">
        <v>5283837</v>
      </c>
      <c r="F31312" s="4" t="e">
        <f>IF(B31312=#REF!,"",B31312)</f>
        <v>#REF!</v>
      </c>
    </row>
    <row r="31313" spans="1:6" ht="15.75" customHeight="1">
      <c r="A31313" s="15" t="s">
        <v>27402</v>
      </c>
      <c r="B31313" s="15" t="s">
        <v>27402</v>
      </c>
      <c r="C31313" s="15" t="s">
        <v>27234</v>
      </c>
      <c r="D31313" s="15" t="s">
        <v>27241</v>
      </c>
      <c r="E31313" s="2">
        <v>2653235</v>
      </c>
      <c r="F31313" s="4" t="str">
        <f>IF(B31313=B31312,"",B31313)</f>
        <v>Chesham</v>
      </c>
    </row>
    <row r="31314" spans="1:6" ht="15.75" customHeight="1">
      <c r="A31314" s="16" t="s">
        <v>26928</v>
      </c>
      <c r="B31314" s="15" t="s">
        <v>26929</v>
      </c>
      <c r="C31314" s="16" t="s">
        <v>26870</v>
      </c>
      <c r="D31314" s="16" t="s">
        <v>26871</v>
      </c>
      <c r="E31314" s="2">
        <v>710548</v>
      </c>
      <c r="F31314" s="4" t="str">
        <f>IF(B31314=B31313,"",B31314)</f>
        <v>Chervonopartyzansâ€™k</v>
      </c>
    </row>
    <row r="31315" spans="1:6" ht="15.75" customHeight="1">
      <c r="A31315" s="16" t="str">
        <f ca="1">IFERROR(__xludf.DUMMYFUNCTION("GOOGLETRANSLATE(B42680,""en"",""pt"")"),"Celavonopartyzans")</f>
        <v>Celavonopartyzans</v>
      </c>
      <c r="B31315" s="20" t="s">
        <v>36041</v>
      </c>
      <c r="C31315" s="20" t="s">
        <v>26870</v>
      </c>
      <c r="D31315" s="20" t="s">
        <v>26871</v>
      </c>
      <c r="E31315" s="10">
        <v>710548</v>
      </c>
      <c r="F31315" s="4" t="e">
        <f>IF(B31315=#REF!,"",B31315)</f>
        <v>#REF!</v>
      </c>
    </row>
    <row r="31316" spans="1:6" ht="15.75" customHeight="1">
      <c r="A31316" s="16" t="s">
        <v>26927</v>
      </c>
      <c r="B31316" s="15" t="s">
        <v>26927</v>
      </c>
      <c r="C31316" s="16" t="s">
        <v>26870</v>
      </c>
      <c r="D31316" s="16" t="s">
        <v>26916</v>
      </c>
      <c r="E31316" s="2">
        <v>710554</v>
      </c>
      <c r="F31316" s="4" t="e">
        <f>IF(B31316=#REF!,"",B31316)</f>
        <v>#REF!</v>
      </c>
    </row>
    <row r="31317" spans="1:6" ht="15.75" customHeight="1">
      <c r="A31317" s="16" t="s">
        <v>3710</v>
      </c>
      <c r="B31317" s="15" t="s">
        <v>3710</v>
      </c>
      <c r="C31317" s="16" t="s">
        <v>3701</v>
      </c>
      <c r="D31317" s="16" t="s">
        <v>3711</v>
      </c>
      <c r="E31317" s="2">
        <v>732491</v>
      </c>
      <c r="F31317" s="4" t="e">
        <f>IF(B31317=#REF!,"",B31317)</f>
        <v>#REF!</v>
      </c>
    </row>
    <row r="31318" spans="1:6" ht="15.75" customHeight="1">
      <c r="A31318" s="15" t="s">
        <v>10941</v>
      </c>
      <c r="B31318" s="15" t="s">
        <v>10941</v>
      </c>
      <c r="C31318" s="15" t="s">
        <v>10178</v>
      </c>
      <c r="D31318" s="15" t="s">
        <v>10246</v>
      </c>
      <c r="E31318" s="2">
        <v>10792588</v>
      </c>
      <c r="F31318" s="4" t="e">
        <f>IF(B31318=#REF!,"",B31318)</f>
        <v>#REF!</v>
      </c>
    </row>
    <row r="31319" spans="1:6" ht="15.75" customHeight="1">
      <c r="A31319" s="16" t="s">
        <v>22309</v>
      </c>
      <c r="B31319" s="15" t="s">
        <v>22310</v>
      </c>
      <c r="C31319" s="16" t="s">
        <v>22070</v>
      </c>
      <c r="D31319" s="16" t="s">
        <v>22127</v>
      </c>
      <c r="E31319" s="2">
        <v>6418146</v>
      </c>
      <c r="F31319" s="4" t="e">
        <f>IF(B31319=#REF!,"",B31319)</f>
        <v>#REF!</v>
      </c>
    </row>
    <row r="31320" spans="1:6" ht="15.75" customHeight="1">
      <c r="A31320" s="16" t="s">
        <v>28237</v>
      </c>
      <c r="B31320" s="15" t="s">
        <v>28237</v>
      </c>
      <c r="C31320" s="16" t="s">
        <v>27788</v>
      </c>
      <c r="D31320" s="16" t="s">
        <v>27905</v>
      </c>
      <c r="E31320" s="2">
        <v>4501198</v>
      </c>
      <c r="F31320" s="4" t="e">
        <f>IF(B31320=#REF!,"",B31320)</f>
        <v>#REF!</v>
      </c>
    </row>
    <row r="31321" spans="1:6" ht="15.75" customHeight="1">
      <c r="A31321" s="16" t="s">
        <v>10939</v>
      </c>
      <c r="B31321" s="15" t="s">
        <v>10940</v>
      </c>
      <c r="C31321" s="16" t="s">
        <v>10178</v>
      </c>
      <c r="D31321" s="16" t="s">
        <v>10246</v>
      </c>
      <c r="E31321" s="2">
        <v>8504418</v>
      </c>
      <c r="F31321" s="4" t="e">
        <f>IF(B31321=#REF!,"",B31321)</f>
        <v>#REF!</v>
      </c>
    </row>
    <row r="31322" spans="1:6" ht="15.75" customHeight="1">
      <c r="A31322" s="16" t="s">
        <v>22308</v>
      </c>
      <c r="B31322" s="15" t="s">
        <v>22308</v>
      </c>
      <c r="C31322" s="16" t="s">
        <v>22070</v>
      </c>
      <c r="D31322" s="16" t="s">
        <v>22120</v>
      </c>
      <c r="E31322" s="2">
        <v>568587</v>
      </c>
      <c r="F31322" s="4" t="e">
        <f>IF(B31322=#REF!,"",B31322)</f>
        <v>#REF!</v>
      </c>
    </row>
    <row r="31323" spans="1:6" ht="15.75" customHeight="1">
      <c r="A31323" s="16" t="s">
        <v>22307</v>
      </c>
      <c r="B31323" s="15" t="s">
        <v>22307</v>
      </c>
      <c r="C31323" s="16" t="s">
        <v>22070</v>
      </c>
      <c r="D31323" s="16" t="s">
        <v>22191</v>
      </c>
      <c r="E31323" s="2">
        <v>568595</v>
      </c>
      <c r="F31323" s="4" t="e">
        <f>IF(B31323=#REF!,"",B31323)</f>
        <v>#REF!</v>
      </c>
    </row>
    <row r="31324" spans="1:6" ht="15.75" customHeight="1">
      <c r="A31324" s="16" t="s">
        <v>22306</v>
      </c>
      <c r="B31324" s="15" t="s">
        <v>22306</v>
      </c>
      <c r="C31324" s="16" t="s">
        <v>22070</v>
      </c>
      <c r="D31324" s="16" t="s">
        <v>22115</v>
      </c>
      <c r="E31324" s="2">
        <v>568608</v>
      </c>
      <c r="F31324" s="4" t="e">
        <f>IF(B31324=#REF!,"",B31324)</f>
        <v>#REF!</v>
      </c>
    </row>
    <row r="31325" spans="1:6" ht="15.75" customHeight="1">
      <c r="A31325" s="16" t="s">
        <v>22305</v>
      </c>
      <c r="B31325" s="15" t="s">
        <v>22305</v>
      </c>
      <c r="C31325" s="16" t="s">
        <v>22070</v>
      </c>
      <c r="D31325" s="16" t="s">
        <v>22071</v>
      </c>
      <c r="E31325" s="2">
        <v>1508054</v>
      </c>
      <c r="F31325" s="4" t="e">
        <f>IF(B31325=#REF!,"",B31325)</f>
        <v>#REF!</v>
      </c>
    </row>
    <row r="31326" spans="1:6" ht="15.75" customHeight="1">
      <c r="A31326" s="16" t="s">
        <v>22304</v>
      </c>
      <c r="B31326" s="15" t="s">
        <v>22304</v>
      </c>
      <c r="C31326" s="16" t="s">
        <v>22070</v>
      </c>
      <c r="D31326" s="16" t="s">
        <v>22119</v>
      </c>
      <c r="E31326" s="2">
        <v>568808</v>
      </c>
      <c r="F31326" s="4" t="e">
        <f>IF(B31326=#REF!,"",B31326)</f>
        <v>#REF!</v>
      </c>
    </row>
    <row r="31327" spans="1:6" ht="15.75" customHeight="1">
      <c r="A31327" s="16" t="s">
        <v>26926</v>
      </c>
      <c r="B31327" s="15" t="s">
        <v>26926</v>
      </c>
      <c r="C31327" s="16" t="s">
        <v>26870</v>
      </c>
      <c r="D31327" s="16" t="s">
        <v>26926</v>
      </c>
      <c r="E31327" s="2">
        <v>710719</v>
      </c>
      <c r="F31327" s="4" t="e">
        <f>IF(B31327=#REF!,"",B31327)</f>
        <v>#REF!</v>
      </c>
    </row>
    <row r="31328" spans="1:6" ht="15.75" customHeight="1">
      <c r="A31328" s="15" t="s">
        <v>26889</v>
      </c>
      <c r="B31328" s="15" t="s">
        <v>26889</v>
      </c>
      <c r="C31328" s="15" t="s">
        <v>26870</v>
      </c>
      <c r="D31328" s="15" t="s">
        <v>26889</v>
      </c>
      <c r="E31328" s="2">
        <v>710735</v>
      </c>
      <c r="F31328" s="4" t="e">
        <f>IF(B31328=#REF!,"",B31328)</f>
        <v>#REF!</v>
      </c>
    </row>
    <row r="31329" spans="1:6" ht="15.75" customHeight="1">
      <c r="A31329" s="16" t="s">
        <v>22303</v>
      </c>
      <c r="B31329" s="15" t="s">
        <v>22303</v>
      </c>
      <c r="C31329" s="16" t="s">
        <v>22070</v>
      </c>
      <c r="D31329" s="16" t="s">
        <v>22094</v>
      </c>
      <c r="E31329" s="2">
        <v>8504946</v>
      </c>
      <c r="F31329" s="4" t="e">
        <f>IF(B31329=#REF!,"",B31329)</f>
        <v>#REF!</v>
      </c>
    </row>
    <row r="31330" spans="1:6" ht="15.75" customHeight="1">
      <c r="A31330" s="16" t="s">
        <v>22301</v>
      </c>
      <c r="B31330" s="15" t="s">
        <v>22301</v>
      </c>
      <c r="C31330" s="16" t="s">
        <v>22070</v>
      </c>
      <c r="D31330" s="16" t="s">
        <v>22302</v>
      </c>
      <c r="E31330" s="2">
        <v>569154</v>
      </c>
      <c r="F31330" s="4" t="e">
        <f>IF(B31330=#REF!,"",B31330)</f>
        <v>#REF!</v>
      </c>
    </row>
    <row r="31331" spans="1:6" ht="15.75" customHeight="1">
      <c r="A31331" s="15" t="s">
        <v>26925</v>
      </c>
      <c r="B31331" s="15" t="s">
        <v>26925</v>
      </c>
      <c r="C31331" s="15" t="s">
        <v>26870</v>
      </c>
      <c r="D31331" s="15" t="s">
        <v>26925</v>
      </c>
      <c r="E31331" s="2">
        <v>710791</v>
      </c>
      <c r="F31331" s="4" t="e">
        <f>IF(B31331=#REF!,"",B31331)</f>
        <v>#REF!</v>
      </c>
    </row>
    <row r="31332" spans="1:6" ht="15.75" customHeight="1">
      <c r="A31332" s="15" t="s">
        <v>309</v>
      </c>
      <c r="B31332" s="15" t="s">
        <v>309</v>
      </c>
      <c r="C31332" s="15" t="s">
        <v>153</v>
      </c>
      <c r="D31332" s="15" t="s">
        <v>264</v>
      </c>
      <c r="E31332" s="2">
        <v>2501404</v>
      </c>
      <c r="F31332" s="4" t="e">
        <f>IF(B31332=#REF!,"",B31332)</f>
        <v>#REF!</v>
      </c>
    </row>
    <row r="31333" spans="1:6" ht="15.75" customHeight="1">
      <c r="A31333" s="16" t="s">
        <v>22299</v>
      </c>
      <c r="B31333" s="15" t="s">
        <v>22299</v>
      </c>
      <c r="C31333" s="16" t="s">
        <v>22070</v>
      </c>
      <c r="D31333" s="16" t="s">
        <v>22300</v>
      </c>
      <c r="E31333" s="2">
        <v>569223</v>
      </c>
      <c r="F31333" s="4" t="e">
        <f>IF(B31333=#REF!,"",B31333)</f>
        <v>#REF!</v>
      </c>
    </row>
    <row r="31334" spans="1:6" ht="15.75" customHeight="1">
      <c r="A31334" s="16" t="s">
        <v>22298</v>
      </c>
      <c r="B31334" s="15" t="s">
        <v>22298</v>
      </c>
      <c r="C31334" s="16" t="s">
        <v>22070</v>
      </c>
      <c r="D31334" s="16" t="s">
        <v>22092</v>
      </c>
      <c r="E31334" s="2">
        <v>1508161</v>
      </c>
      <c r="F31334" s="4" t="str">
        <f>IF(B31334=B31333,"",B31334)</f>
        <v>Cherepanovo</v>
      </c>
    </row>
    <row r="31335" spans="1:6" ht="15.75" customHeight="1">
      <c r="A31335" s="16" t="str">
        <f ca="1">IFERROR(__xludf.DUMMYFUNCTION("GOOGLETRANSLATE(B40594,""en"",""pt"")"),"Cherëmushki")</f>
        <v>Cherëmushki</v>
      </c>
      <c r="B31335" s="20" t="s">
        <v>35518</v>
      </c>
      <c r="C31335" s="20" t="s">
        <v>22070</v>
      </c>
      <c r="D31335" s="20" t="s">
        <v>22119</v>
      </c>
      <c r="E31335" s="10">
        <v>569273</v>
      </c>
      <c r="F31335" s="4" t="e">
        <f>IF(B31335=#REF!,"",B31335)</f>
        <v>#REF!</v>
      </c>
    </row>
    <row r="31336" spans="1:6" ht="15.75" customHeight="1">
      <c r="A31336" s="16" t="s">
        <v>22297</v>
      </c>
      <c r="B31336" s="15" t="s">
        <v>22297</v>
      </c>
      <c r="C31336" s="16" t="s">
        <v>22070</v>
      </c>
      <c r="D31336" s="16" t="s">
        <v>22135</v>
      </c>
      <c r="E31336" s="2">
        <v>2025527</v>
      </c>
      <c r="F31336" s="4" t="e">
        <f>IF(B31336=#REF!,"",B31336)</f>
        <v>#REF!</v>
      </c>
    </row>
    <row r="31337" spans="1:6" ht="15.75" customHeight="1">
      <c r="A31337" s="16" t="s">
        <v>7262</v>
      </c>
      <c r="B31337" s="15" t="s">
        <v>7262</v>
      </c>
      <c r="C31337" s="16" t="s">
        <v>7052</v>
      </c>
      <c r="D31337" s="16" t="s">
        <v>7068</v>
      </c>
      <c r="E31337" s="2">
        <v>3025466</v>
      </c>
      <c r="F31337" s="4" t="e">
        <f>IF(B31337=#REF!,"",B31337)</f>
        <v>#REF!</v>
      </c>
    </row>
    <row r="31338" spans="1:6" ht="15.75" customHeight="1">
      <c r="A31338" s="15" t="s">
        <v>308</v>
      </c>
      <c r="B31338" s="15" t="s">
        <v>308</v>
      </c>
      <c r="C31338" s="15" t="s">
        <v>153</v>
      </c>
      <c r="D31338" s="15" t="s">
        <v>160</v>
      </c>
      <c r="E31338" s="2">
        <v>2501465</v>
      </c>
      <c r="F31338" s="4" t="str">
        <f>IF(B31338=B31337,"",B31338)</f>
        <v>Cheraga</v>
      </c>
    </row>
    <row r="31339" spans="1:6" ht="15.75" customHeight="1">
      <c r="A31339" s="16" t="s">
        <v>22295</v>
      </c>
      <c r="B31339" s="15" t="s">
        <v>22296</v>
      </c>
      <c r="C31339" s="16" t="s">
        <v>22070</v>
      </c>
      <c r="D31339" s="16" t="s">
        <v>22119</v>
      </c>
      <c r="E31339" s="2">
        <v>569273</v>
      </c>
      <c r="F31339" s="4" t="e">
        <f>IF(B31339=#REF!,"",B31339)</f>
        <v>#REF!</v>
      </c>
    </row>
    <row r="31340" spans="1:6" ht="15.75" customHeight="1">
      <c r="A31340" s="15" t="s">
        <v>20381</v>
      </c>
      <c r="B31340" s="15" t="s">
        <v>20381</v>
      </c>
      <c r="C31340" s="15" t="s">
        <v>20370</v>
      </c>
      <c r="D31340" s="15" t="s">
        <v>20374</v>
      </c>
      <c r="E31340" s="2">
        <v>3712505</v>
      </c>
      <c r="F31340" s="4" t="str">
        <f>IF(B31340=B31339,"",B31340)</f>
        <v>Chepo</v>
      </c>
    </row>
    <row r="31341" spans="1:6" ht="15.75" customHeight="1">
      <c r="A31341" s="16" t="str">
        <f ca="1">IFERROR(__xludf.DUMMYFUNCTION("GOOGLETRANSLATE(B38346,""en"",""pt"")"),"Chepén")</f>
        <v>Chepén</v>
      </c>
      <c r="B31341" s="20" t="s">
        <v>34876</v>
      </c>
      <c r="C31341" s="20" t="s">
        <v>20470</v>
      </c>
      <c r="D31341" s="20" t="s">
        <v>6435</v>
      </c>
      <c r="E31341" s="10">
        <v>3698390</v>
      </c>
      <c r="F31341" s="4" t="str">
        <f>IF(B31341=B31340,"",B31341)</f>
        <v>Chepén</v>
      </c>
    </row>
    <row r="31342" spans="1:6" ht="15.75" customHeight="1">
      <c r="A31342" s="15" t="s">
        <v>20492</v>
      </c>
      <c r="B31342" s="15" t="s">
        <v>20493</v>
      </c>
      <c r="C31342" s="15" t="s">
        <v>20470</v>
      </c>
      <c r="D31342" s="15" t="s">
        <v>6435</v>
      </c>
      <c r="E31342" s="2">
        <v>3698390</v>
      </c>
      <c r="F31342" s="4" t="e">
        <f>IF(B31342=#REF!,"",B31342)</f>
        <v>#REF!</v>
      </c>
    </row>
    <row r="31343" spans="1:6" ht="15.75" customHeight="1">
      <c r="A31343" s="16" t="s">
        <v>24048</v>
      </c>
      <c r="B31343" s="15" t="s">
        <v>24049</v>
      </c>
      <c r="C31343" s="16" t="s">
        <v>24024</v>
      </c>
      <c r="D31343" s="16" t="s">
        <v>24025</v>
      </c>
      <c r="E31343" s="2">
        <v>1845519</v>
      </c>
      <c r="F31343" s="4" t="e">
        <f>IF(B31343=#REF!,"",B31343)</f>
        <v>#REF!</v>
      </c>
    </row>
    <row r="31344" spans="1:6" ht="15.75" customHeight="1">
      <c r="A31344" s="16" t="s">
        <v>24045</v>
      </c>
      <c r="B31344" s="15" t="s">
        <v>24046</v>
      </c>
      <c r="C31344" s="16" t="s">
        <v>24024</v>
      </c>
      <c r="D31344" s="16" t="s">
        <v>24047</v>
      </c>
      <c r="E31344" s="2">
        <v>1845604</v>
      </c>
      <c r="F31344" s="4" t="e">
        <f>IF(B31344=#REF!,"",B31344)</f>
        <v>#REF!</v>
      </c>
    </row>
    <row r="31345" spans="1:6" ht="15.75" customHeight="1">
      <c r="A31345" s="15" t="s">
        <v>24044</v>
      </c>
      <c r="B31345" s="15" t="s">
        <v>24044</v>
      </c>
      <c r="C31345" s="15" t="s">
        <v>24024</v>
      </c>
      <c r="D31345" s="15" t="s">
        <v>24033</v>
      </c>
      <c r="E31345" s="2">
        <v>1845759</v>
      </c>
      <c r="F31345" s="4" t="e">
        <f>IF(B31345=#REF!,"",B31345)</f>
        <v>#REF!</v>
      </c>
    </row>
    <row r="31346" spans="1:6" ht="15.75" customHeight="1">
      <c r="A31346" s="16" t="s">
        <v>4594</v>
      </c>
      <c r="B31346" s="15" t="s">
        <v>4594</v>
      </c>
      <c r="C31346" s="16" t="s">
        <v>4487</v>
      </c>
      <c r="D31346" s="16" t="s">
        <v>4495</v>
      </c>
      <c r="E31346" s="2">
        <v>1815059</v>
      </c>
      <c r="F31346" s="4" t="str">
        <f>IF(B31346=B31345,"",B31346)</f>
        <v>Chenzhou</v>
      </c>
    </row>
    <row r="31347" spans="1:6" ht="15.75" customHeight="1">
      <c r="A31347" s="16" t="str">
        <f ca="1">IFERROR(__xludf.DUMMYFUNCTION("GOOGLETRANSLATE(B30150,""en"",""pt"")"),"Chenôve")</f>
        <v>Chenôve</v>
      </c>
      <c r="B31347" s="20" t="s">
        <v>32621</v>
      </c>
      <c r="C31347" s="20" t="s">
        <v>7052</v>
      </c>
      <c r="D31347" s="20" t="s">
        <v>32540</v>
      </c>
      <c r="E31347" s="10">
        <v>3025496</v>
      </c>
      <c r="F31347" s="4" t="e">
        <f>IF(B31347=#REF!,"",B31347)</f>
        <v>#REF!</v>
      </c>
    </row>
    <row r="31348" spans="1:6" ht="15.75" customHeight="1">
      <c r="A31348" s="16" t="s">
        <v>10938</v>
      </c>
      <c r="B31348" s="15" t="s">
        <v>10938</v>
      </c>
      <c r="C31348" s="16" t="s">
        <v>10178</v>
      </c>
      <c r="D31348" s="16" t="s">
        <v>10196</v>
      </c>
      <c r="E31348" s="2">
        <v>1274422</v>
      </c>
      <c r="F31348" s="4" t="str">
        <f>IF(B31348=B31347,"",B31348)</f>
        <v>Chennimalai</v>
      </c>
    </row>
    <row r="31349" spans="1:6" ht="15.75" customHeight="1">
      <c r="A31349" s="16" t="str">
        <f ca="1">IFERROR(__xludf.DUMMYFUNCTION("GOOGLETRANSLATE(B30151,""en"",""pt"")"),"Chennevières-sur-Marne")</f>
        <v>Chennevières-sur-Marne</v>
      </c>
      <c r="B31349" s="20" t="s">
        <v>32622</v>
      </c>
      <c r="C31349" s="20" t="s">
        <v>7052</v>
      </c>
      <c r="D31349" s="20" t="s">
        <v>32531</v>
      </c>
      <c r="E31349" s="10">
        <v>3025509</v>
      </c>
      <c r="F31349" s="4" t="str">
        <f>IF(B31349=B31348,"",B31349)</f>
        <v>Chennevières-sur-Marne</v>
      </c>
    </row>
    <row r="31350" spans="1:6" ht="15.75" customHeight="1">
      <c r="A31350" s="16" t="s">
        <v>7260</v>
      </c>
      <c r="B31350" s="15" t="s">
        <v>7261</v>
      </c>
      <c r="C31350" s="16" t="s">
        <v>7052</v>
      </c>
      <c r="D31350" s="16" t="s">
        <v>7058</v>
      </c>
      <c r="E31350" s="2">
        <v>3025509</v>
      </c>
      <c r="F31350" s="4" t="e">
        <f>IF(B31350=#REF!,"",B31350)</f>
        <v>#REF!</v>
      </c>
    </row>
    <row r="31351" spans="1:6" ht="15.75" customHeight="1">
      <c r="A31351" s="15" t="s">
        <v>10937</v>
      </c>
      <c r="B31351" s="15" t="s">
        <v>10937</v>
      </c>
      <c r="C31351" s="15" t="s">
        <v>10178</v>
      </c>
      <c r="D31351" s="15" t="s">
        <v>10196</v>
      </c>
      <c r="E31351" s="2">
        <v>1264527</v>
      </c>
      <c r="F31351" s="4" t="e">
        <f>IF(B31351=#REF!,"",B31351)</f>
        <v>#REF!</v>
      </c>
    </row>
    <row r="31352" spans="1:6" ht="15.75" customHeight="1">
      <c r="A31352" s="16" t="s">
        <v>4593</v>
      </c>
      <c r="B31352" s="15" t="s">
        <v>4593</v>
      </c>
      <c r="C31352" s="16" t="s">
        <v>4487</v>
      </c>
      <c r="D31352" s="16" t="s">
        <v>4488</v>
      </c>
      <c r="E31352" s="2">
        <v>2038080</v>
      </c>
      <c r="F31352" s="4" t="e">
        <f>IF(B31352=#REF!,"",B31352)</f>
        <v>#REF!</v>
      </c>
    </row>
    <row r="31353" spans="1:6" ht="15.75" customHeight="1">
      <c r="A31353" s="16" t="s">
        <v>4592</v>
      </c>
      <c r="B31353" s="15" t="s">
        <v>4592</v>
      </c>
      <c r="C31353" s="16" t="s">
        <v>4487</v>
      </c>
      <c r="D31353" s="16" t="s">
        <v>4499</v>
      </c>
      <c r="E31353" s="2">
        <v>1786640</v>
      </c>
      <c r="F31353" s="4" t="e">
        <f>IF(B31353=#REF!,"",B31353)</f>
        <v>#REF!</v>
      </c>
    </row>
    <row r="31354" spans="1:6" ht="15.75" customHeight="1">
      <c r="A31354" s="16" t="s">
        <v>4590</v>
      </c>
      <c r="B31354" s="15" t="s">
        <v>4590</v>
      </c>
      <c r="C31354" s="16" t="s">
        <v>4487</v>
      </c>
      <c r="D31354" s="16" t="s">
        <v>4591</v>
      </c>
      <c r="E31354" s="2">
        <v>1808872</v>
      </c>
      <c r="F31354" s="4" t="e">
        <f>IF(B31354=#REF!,"",B31354)</f>
        <v>#REF!</v>
      </c>
    </row>
    <row r="31355" spans="1:6" ht="15.75" customHeight="1">
      <c r="A31355" s="16" t="s">
        <v>4589</v>
      </c>
      <c r="B31355" s="15" t="s">
        <v>4589</v>
      </c>
      <c r="C31355" s="16" t="s">
        <v>4487</v>
      </c>
      <c r="D31355" s="16" t="s">
        <v>4492</v>
      </c>
      <c r="E31355" s="2">
        <v>1815302</v>
      </c>
      <c r="F31355" s="4" t="e">
        <f>IF(B31355=#REF!,"",B31355)</f>
        <v>#REF!</v>
      </c>
    </row>
    <row r="31356" spans="1:6" ht="15.75" customHeight="1">
      <c r="A31356" s="15" t="s">
        <v>4587</v>
      </c>
      <c r="B31356" s="15" t="s">
        <v>4587</v>
      </c>
      <c r="C31356" s="15" t="s">
        <v>4487</v>
      </c>
      <c r="D31356" s="15" t="s">
        <v>4588</v>
      </c>
      <c r="E31356" s="2">
        <v>1815286</v>
      </c>
      <c r="F31356" s="4" t="e">
        <f>IF(B31356=#REF!,"",B31356)</f>
        <v>#REF!</v>
      </c>
    </row>
    <row r="31357" spans="1:6" ht="15.75" customHeight="1">
      <c r="A31357" s="15" t="s">
        <v>4586</v>
      </c>
      <c r="B31357" s="15" t="s">
        <v>4586</v>
      </c>
      <c r="C31357" s="15" t="s">
        <v>4487</v>
      </c>
      <c r="D31357" s="15" t="s">
        <v>4529</v>
      </c>
      <c r="E31357" s="2">
        <v>2038087</v>
      </c>
      <c r="F31357" s="4" t="str">
        <f>IF(B31357=B31356,"",B31357)</f>
        <v>Chengde</v>
      </c>
    </row>
    <row r="31358" spans="1:6" ht="15.75" customHeight="1">
      <c r="A31358" s="16" t="str">
        <f ca="1">IFERROR(__xludf.DUMMYFUNCTION("GOOGLETRANSLATE(B33723,""en"",""pt"")"),"Chengannūr")</f>
        <v>Chengannūr</v>
      </c>
      <c r="B31358" s="20" t="s">
        <v>33828</v>
      </c>
      <c r="C31358" s="20" t="s">
        <v>10178</v>
      </c>
      <c r="D31358" s="20" t="s">
        <v>10246</v>
      </c>
      <c r="E31358" s="10">
        <v>1274428</v>
      </c>
      <c r="F31358" s="4" t="str">
        <f>IF(B31358=B31357,"",B31358)</f>
        <v>Chengannūr</v>
      </c>
    </row>
    <row r="31359" spans="1:6" ht="15.75" customHeight="1">
      <c r="A31359" s="16" t="s">
        <v>10935</v>
      </c>
      <c r="B31359" s="15" t="s">
        <v>10936</v>
      </c>
      <c r="C31359" s="16" t="s">
        <v>10178</v>
      </c>
      <c r="D31359" s="16" t="s">
        <v>10246</v>
      </c>
      <c r="E31359" s="2">
        <v>1274428</v>
      </c>
      <c r="F31359" s="4" t="e">
        <f>IF(B31359=#REF!,"",B31359)</f>
        <v>#REF!</v>
      </c>
    </row>
    <row r="31360" spans="1:6" ht="15.75" customHeight="1">
      <c r="A31360" s="15" t="s">
        <v>10934</v>
      </c>
      <c r="B31360" s="15" t="s">
        <v>10934</v>
      </c>
      <c r="C31360" s="15" t="s">
        <v>10178</v>
      </c>
      <c r="D31360" s="15" t="s">
        <v>10196</v>
      </c>
      <c r="E31360" s="2">
        <v>1274429</v>
      </c>
      <c r="F31360" s="4" t="e">
        <f>IF(B31360=#REF!,"",B31360)</f>
        <v>#REF!</v>
      </c>
    </row>
    <row r="31361" spans="1:6" ht="15.75" customHeight="1">
      <c r="A31361" s="16" t="s">
        <v>10933</v>
      </c>
      <c r="B31361" s="15" t="s">
        <v>10933</v>
      </c>
      <c r="C31361" s="16" t="s">
        <v>10178</v>
      </c>
      <c r="D31361" s="16" t="s">
        <v>10196</v>
      </c>
      <c r="E31361" s="2">
        <v>1274430</v>
      </c>
      <c r="F31361" s="4" t="str">
        <f>IF(B31361=B31360,"",B31361)</f>
        <v>Chengalpattu</v>
      </c>
    </row>
    <row r="31362" spans="1:6" ht="15.75" customHeight="1">
      <c r="A31362" s="16" t="str">
        <f ca="1">IFERROR(__xludf.DUMMYFUNCTION("GOOGLETRANSLATE(B34467,""en"",""pt"")"),"Chenārān")</f>
        <v>Chenārān</v>
      </c>
      <c r="B31362" s="20" t="s">
        <v>34214</v>
      </c>
      <c r="C31362" s="20" t="s">
        <v>14240</v>
      </c>
      <c r="D31362" s="20" t="s">
        <v>14351</v>
      </c>
      <c r="E31362" s="10">
        <v>138742</v>
      </c>
      <c r="F31362" s="4" t="str">
        <f>IF(B31362=B31361,"",B31362)</f>
        <v>Chenārān</v>
      </c>
    </row>
    <row r="31363" spans="1:6" ht="15.75" customHeight="1">
      <c r="A31363" s="16" t="s">
        <v>14349</v>
      </c>
      <c r="B31363" s="15" t="s">
        <v>14350</v>
      </c>
      <c r="C31363" s="16" t="s">
        <v>14240</v>
      </c>
      <c r="D31363" s="16" t="s">
        <v>14351</v>
      </c>
      <c r="E31363" s="2">
        <v>138742</v>
      </c>
      <c r="F31363" s="4" t="str">
        <f>IF(B31363=B31362,"",B31363)</f>
        <v>ChenÄrÄn</v>
      </c>
    </row>
    <row r="31364" spans="1:6" ht="15.75" customHeight="1">
      <c r="A31364" s="15" t="s">
        <v>7258</v>
      </c>
      <c r="B31364" s="15" t="s">
        <v>7259</v>
      </c>
      <c r="C31364" s="15" t="s">
        <v>7052</v>
      </c>
      <c r="D31364" s="15" t="s">
        <v>7128</v>
      </c>
      <c r="E31364" s="2">
        <v>3025496</v>
      </c>
      <c r="F31364" s="4" t="e">
        <f>IF(B31364=#REF!,"",B31364)</f>
        <v>#REF!</v>
      </c>
    </row>
    <row r="31365" spans="1:6" ht="15.75" customHeight="1">
      <c r="A31365" s="15" t="s">
        <v>8265</v>
      </c>
      <c r="B31365" s="15" t="s">
        <v>8265</v>
      </c>
      <c r="C31365" s="15" t="s">
        <v>8028</v>
      </c>
      <c r="D31365" s="15" t="s">
        <v>8072</v>
      </c>
      <c r="E31365" s="2">
        <v>2940132</v>
      </c>
      <c r="F31365" s="4" t="e">
        <f>IF(B31365=#REF!,"",B31365)</f>
        <v>#REF!</v>
      </c>
    </row>
    <row r="31366" spans="1:6" ht="15.75" customHeight="1">
      <c r="A31366" s="16" t="s">
        <v>10931</v>
      </c>
      <c r="B31366" s="15" t="s">
        <v>10932</v>
      </c>
      <c r="C31366" s="16" t="s">
        <v>10178</v>
      </c>
      <c r="D31366" s="16" t="s">
        <v>10190</v>
      </c>
      <c r="E31366" s="2">
        <v>7302808</v>
      </c>
      <c r="F31366" s="4" t="e">
        <f>IF(B31366=#REF!,"",B31366)</f>
        <v>#REF!</v>
      </c>
    </row>
    <row r="31367" spans="1:6" ht="15.75" customHeight="1">
      <c r="A31367" s="15" t="s">
        <v>307</v>
      </c>
      <c r="B31367" s="15" t="s">
        <v>307</v>
      </c>
      <c r="C31367" s="15" t="s">
        <v>153</v>
      </c>
      <c r="D31367" s="15" t="s">
        <v>172</v>
      </c>
      <c r="E31367" s="2">
        <v>2501508</v>
      </c>
      <c r="F31367" s="4" t="e">
        <f>IF(B31367=#REF!,"",B31367)</f>
        <v>#REF!</v>
      </c>
    </row>
    <row r="31368" spans="1:6" ht="15.75" customHeight="1">
      <c r="A31368" s="16" t="s">
        <v>22166</v>
      </c>
      <c r="B31368" s="15" t="s">
        <v>22166</v>
      </c>
      <c r="C31368" s="16" t="s">
        <v>22070</v>
      </c>
      <c r="D31368" s="16" t="s">
        <v>22166</v>
      </c>
      <c r="E31368" s="2">
        <v>1508291</v>
      </c>
      <c r="F31368" s="4" t="e">
        <f>IF(B31368=#REF!,"",B31368)</f>
        <v>#REF!</v>
      </c>
    </row>
    <row r="31369" spans="1:6" ht="15.75" customHeight="1">
      <c r="A31369" s="16" t="s">
        <v>940</v>
      </c>
      <c r="B31369" s="15" t="s">
        <v>940</v>
      </c>
      <c r="C31369" s="16" t="s">
        <v>885</v>
      </c>
      <c r="D31369" s="16" t="s">
        <v>827</v>
      </c>
      <c r="E31369" s="2">
        <v>2207618</v>
      </c>
      <c r="F31369" s="4" t="e">
        <f>IF(B31369=#REF!,"",B31369)</f>
        <v>#REF!</v>
      </c>
    </row>
    <row r="31370" spans="1:6" ht="15.75" customHeight="1">
      <c r="A31370" s="15" t="s">
        <v>27401</v>
      </c>
      <c r="B31370" s="15" t="s">
        <v>27401</v>
      </c>
      <c r="C31370" s="15" t="s">
        <v>27234</v>
      </c>
      <c r="D31370" s="15" t="s">
        <v>27241</v>
      </c>
      <c r="E31370" s="2">
        <v>2653265</v>
      </c>
      <c r="F31370" s="4" t="str">
        <f>IF(B31370=B31369,"",B31370)</f>
        <v>Chelsea</v>
      </c>
    </row>
    <row r="31371" spans="1:6" ht="15.75" customHeight="1">
      <c r="A31371" s="16" t="str">
        <f ca="1">IFERROR(__xludf.DUMMYFUNCTION("GOOGLETRANSLATE(B39479,""en"",""pt"")"),"Chełmża")</f>
        <v>Chełmża</v>
      </c>
      <c r="B31371" s="20" t="s">
        <v>35240</v>
      </c>
      <c r="C31371" s="20" t="s">
        <v>21064</v>
      </c>
      <c r="D31371" s="20" t="s">
        <v>21125</v>
      </c>
      <c r="E31371" s="10">
        <v>3101787</v>
      </c>
      <c r="F31371" s="4" t="e">
        <f>IF(B31371=#REF!,"",B31371)</f>
        <v>#REF!</v>
      </c>
    </row>
    <row r="31372" spans="1:6" ht="15.75" customHeight="1">
      <c r="A31372" s="16" t="s">
        <v>27400</v>
      </c>
      <c r="B31372" s="15" t="s">
        <v>27400</v>
      </c>
      <c r="C31372" s="16" t="s">
        <v>27234</v>
      </c>
      <c r="D31372" s="16" t="s">
        <v>27241</v>
      </c>
      <c r="E31372" s="2">
        <v>2653266</v>
      </c>
      <c r="F31372" s="4" t="str">
        <f>IF(B31372=B31371,"",B31372)</f>
        <v>Chelmsford</v>
      </c>
    </row>
    <row r="31373" spans="1:6" ht="15.75" customHeight="1">
      <c r="A31373" s="16" t="str">
        <f ca="1">IFERROR(__xludf.DUMMYFUNCTION("GOOGLETRANSLATE(B39480,""en"",""pt"")"),"Chełmno")</f>
        <v>Chełmno</v>
      </c>
      <c r="B31373" s="20" t="s">
        <v>35241</v>
      </c>
      <c r="C31373" s="20" t="s">
        <v>21064</v>
      </c>
      <c r="D31373" s="20" t="s">
        <v>21125</v>
      </c>
      <c r="E31373" s="10">
        <v>3101795</v>
      </c>
      <c r="F31373" s="4" t="str">
        <f>IF(B31373=B31372,"",B31373)</f>
        <v>Chełmno</v>
      </c>
    </row>
    <row r="31374" spans="1:6" ht="15.75" customHeight="1">
      <c r="A31374" s="16" t="str">
        <f ca="1">IFERROR(__xludf.DUMMYFUNCTION("GOOGLETRANSLATE(B39286,""en"",""pt"")"),"Chełm")</f>
        <v>Chełm</v>
      </c>
      <c r="B31374" s="20" t="s">
        <v>35129</v>
      </c>
      <c r="C31374" s="20" t="s">
        <v>21064</v>
      </c>
      <c r="D31374" s="20" t="s">
        <v>21091</v>
      </c>
      <c r="E31374" s="10">
        <v>774558</v>
      </c>
      <c r="F31374" s="4" t="e">
        <f>IF(B31374=#REF!,"",B31374)</f>
        <v>#REF!</v>
      </c>
    </row>
    <row r="31375" spans="1:6" ht="15.75" customHeight="1">
      <c r="A31375" s="15" t="s">
        <v>7256</v>
      </c>
      <c r="B31375" s="15" t="s">
        <v>7257</v>
      </c>
      <c r="C31375" s="15" t="s">
        <v>7052</v>
      </c>
      <c r="D31375" s="15" t="s">
        <v>7058</v>
      </c>
      <c r="E31375" s="2">
        <v>3025622</v>
      </c>
      <c r="F31375" s="4" t="str">
        <f>IF(B31375=B31374,"",B31375)</f>
        <v>Chelles</v>
      </c>
    </row>
    <row r="31376" spans="1:6" ht="15.75" customHeight="1">
      <c r="A31376" s="16" t="str">
        <f ca="1">IFERROR(__xludf.DUMMYFUNCTION("GOOGLETRANSLATE(B28661,""en"",""pt"")"),"Chelghoum El Aïd")</f>
        <v>Chelghoum El Aïd</v>
      </c>
      <c r="B31376" s="20" t="s">
        <v>32206</v>
      </c>
      <c r="C31376" s="20" t="s">
        <v>153</v>
      </c>
      <c r="D31376" s="20" t="s">
        <v>306</v>
      </c>
      <c r="E31376" s="10">
        <v>2501541</v>
      </c>
      <c r="F31376" s="4" t="str">
        <f>IF(B31376=B31375,"",B31376)</f>
        <v>Chelghoum el Aïd</v>
      </c>
    </row>
    <row r="31377" spans="1:6" ht="15.75" customHeight="1">
      <c r="A31377" s="16" t="s">
        <v>304</v>
      </c>
      <c r="B31377" s="15" t="s">
        <v>305</v>
      </c>
      <c r="C31377" s="16" t="s">
        <v>153</v>
      </c>
      <c r="D31377" s="16" t="s">
        <v>306</v>
      </c>
      <c r="E31377" s="2">
        <v>2501541</v>
      </c>
      <c r="F31377" s="4" t="e">
        <f>IF(B31377=#REF!,"",B31377)</f>
        <v>#REF!</v>
      </c>
    </row>
    <row r="31378" spans="1:6" ht="15.75" customHeight="1">
      <c r="A31378" s="15" t="s">
        <v>30523</v>
      </c>
      <c r="B31378" s="15" t="s">
        <v>30523</v>
      </c>
      <c r="C31378" s="15" t="s">
        <v>30502</v>
      </c>
      <c r="D31378" s="15" t="s">
        <v>30522</v>
      </c>
      <c r="E31378" s="2">
        <v>1217569</v>
      </c>
      <c r="F31378" s="4" t="e">
        <f>IF(B31378=#REF!,"",B31378)</f>
        <v>#REF!</v>
      </c>
    </row>
    <row r="31379" spans="1:6" ht="15.75" customHeight="1">
      <c r="A31379" s="15" t="s">
        <v>22294</v>
      </c>
      <c r="B31379" s="15" t="s">
        <v>22294</v>
      </c>
      <c r="C31379" s="15" t="s">
        <v>22070</v>
      </c>
      <c r="D31379" s="15" t="s">
        <v>22119</v>
      </c>
      <c r="E31379" s="2">
        <v>569591</v>
      </c>
      <c r="F31379" s="4" t="e">
        <f>IF(B31379=#REF!,"",B31379)</f>
        <v>#REF!</v>
      </c>
    </row>
    <row r="31380" spans="1:6" ht="15.75" customHeight="1">
      <c r="A31380" s="15" t="s">
        <v>31077</v>
      </c>
      <c r="B31380" s="15" t="s">
        <v>31077</v>
      </c>
      <c r="C31380" s="15" t="s">
        <v>31072</v>
      </c>
      <c r="D31380" s="15" t="s">
        <v>31078</v>
      </c>
      <c r="E31380" s="2">
        <v>894239</v>
      </c>
      <c r="F31380" s="4" t="e">
        <f>IF(B31380=#REF!,"",B31380)</f>
        <v>#REF!</v>
      </c>
    </row>
    <row r="31381" spans="1:6" ht="15.75" customHeight="1">
      <c r="A31381" s="15" t="s">
        <v>22293</v>
      </c>
      <c r="B31381" s="15" t="s">
        <v>22293</v>
      </c>
      <c r="C31381" s="15" t="s">
        <v>22070</v>
      </c>
      <c r="D31381" s="15" t="s">
        <v>22182</v>
      </c>
      <c r="E31381" s="2">
        <v>569639</v>
      </c>
      <c r="F31381" s="4" t="e">
        <f>IF(B31381=#REF!,"",B31381)</f>
        <v>#REF!</v>
      </c>
    </row>
    <row r="31382" spans="1:6" ht="15.75" customHeight="1">
      <c r="A31382" s="16" t="s">
        <v>18573</v>
      </c>
      <c r="B31382" s="15" t="s">
        <v>18573</v>
      </c>
      <c r="C31382" s="16" t="s">
        <v>18551</v>
      </c>
      <c r="D31382" s="16" t="s">
        <v>18559</v>
      </c>
      <c r="E31382" s="2">
        <v>2553455</v>
      </c>
      <c r="F31382" s="4" t="e">
        <f>IF(B31382=#REF!,"",B31382)</f>
        <v>#REF!</v>
      </c>
    </row>
    <row r="31383" spans="1:6" ht="15.75" customHeight="1">
      <c r="A31383" s="16" t="s">
        <v>28236</v>
      </c>
      <c r="B31383" s="15" t="s">
        <v>28236</v>
      </c>
      <c r="C31383" s="16" t="s">
        <v>27788</v>
      </c>
      <c r="D31383" s="16" t="s">
        <v>27819</v>
      </c>
      <c r="E31383" s="2">
        <v>5112375</v>
      </c>
      <c r="F31383" s="4" t="e">
        <f>IF(B31383=#REF!,"",B31383)</f>
        <v>#REF!</v>
      </c>
    </row>
    <row r="31384" spans="1:6" ht="15.75" customHeight="1">
      <c r="A31384" s="16" t="s">
        <v>22292</v>
      </c>
      <c r="B31384" s="15" t="s">
        <v>22292</v>
      </c>
      <c r="C31384" s="16" t="s">
        <v>22070</v>
      </c>
      <c r="D31384" s="16" t="s">
        <v>22109</v>
      </c>
      <c r="E31384" s="2">
        <v>569696</v>
      </c>
      <c r="F31384" s="4" t="e">
        <f>IF(B31384=#REF!,"",B31384)</f>
        <v>#REF!</v>
      </c>
    </row>
    <row r="31385" spans="1:6" ht="15.75" customHeight="1">
      <c r="A31385" s="15" t="s">
        <v>303</v>
      </c>
      <c r="B31385" s="15" t="s">
        <v>303</v>
      </c>
      <c r="C31385" s="15" t="s">
        <v>153</v>
      </c>
      <c r="D31385" s="15" t="s">
        <v>250</v>
      </c>
      <c r="E31385" s="2">
        <v>2501680</v>
      </c>
      <c r="F31385" s="4" t="e">
        <f>IF(B31385=#REF!,"",B31385)</f>
        <v>#REF!</v>
      </c>
    </row>
    <row r="31386" spans="1:6" ht="15.75" customHeight="1">
      <c r="A31386" s="15" t="s">
        <v>26112</v>
      </c>
      <c r="B31386" s="15" t="s">
        <v>26112</v>
      </c>
      <c r="C31386" s="15" t="s">
        <v>26090</v>
      </c>
      <c r="D31386" s="15" t="s">
        <v>26113</v>
      </c>
      <c r="E31386" s="2">
        <v>2473229</v>
      </c>
      <c r="F31386" s="4" t="str">
        <f>IF(B31386=B31385,"",B31386)</f>
        <v>Chebba</v>
      </c>
    </row>
    <row r="31387" spans="1:6" ht="15.75" customHeight="1">
      <c r="A31387" s="16" t="s">
        <v>22290</v>
      </c>
      <c r="B31387" s="15" t="s">
        <v>22291</v>
      </c>
      <c r="C31387" s="16" t="s">
        <v>22070</v>
      </c>
      <c r="D31387" s="16" t="s">
        <v>22166</v>
      </c>
      <c r="E31387" s="2">
        <v>1508350</v>
      </c>
      <c r="F31387" s="4" t="str">
        <f>IF(B31387=B31386,"",B31387)</f>
        <v>Chebarkulâ€™</v>
      </c>
    </row>
    <row r="31388" spans="1:6" ht="15.75" customHeight="1">
      <c r="A31388" s="16" t="str">
        <f ca="1">IFERROR(__xludf.DUMMYFUNCTION("GOOGLETRANSLATE(B40855,""en"",""pt"")"),"Chebarkul '")</f>
        <v>Chebarkul '</v>
      </c>
      <c r="B31388" s="20" t="s">
        <v>35548</v>
      </c>
      <c r="C31388" s="20" t="s">
        <v>22070</v>
      </c>
      <c r="D31388" s="20" t="s">
        <v>22166</v>
      </c>
      <c r="E31388" s="10">
        <v>1508350</v>
      </c>
      <c r="F31388" s="4" t="e">
        <f>IF(B31388=#REF!,"",B31388)</f>
        <v>#REF!</v>
      </c>
    </row>
    <row r="31389" spans="1:6" ht="15.75" customHeight="1">
      <c r="A31389" s="15" t="s">
        <v>5997</v>
      </c>
      <c r="B31389" s="15" t="s">
        <v>5997</v>
      </c>
      <c r="C31389" s="15" t="s">
        <v>5947</v>
      </c>
      <c r="D31389" s="15" t="s">
        <v>5998</v>
      </c>
      <c r="E31389" s="2">
        <v>3077835</v>
      </c>
      <c r="F31389" s="4" t="e">
        <f>IF(B31389=#REF!,"",B31389)</f>
        <v>#REF!</v>
      </c>
    </row>
    <row r="31390" spans="1:6" ht="15.75" customHeight="1">
      <c r="A31390" s="16" t="s">
        <v>27398</v>
      </c>
      <c r="B31390" s="15" t="s">
        <v>27399</v>
      </c>
      <c r="C31390" s="16" t="s">
        <v>27234</v>
      </c>
      <c r="D31390" s="16" t="s">
        <v>27241</v>
      </c>
      <c r="E31390" s="2">
        <v>2653290</v>
      </c>
      <c r="F31390" s="4" t="str">
        <f>IF(B31390=B31389,"",B31390)</f>
        <v>Cheadle Hulme</v>
      </c>
    </row>
    <row r="31391" spans="1:6" ht="15.75" customHeight="1">
      <c r="A31391" s="15" t="s">
        <v>21179</v>
      </c>
      <c r="B31391" s="15" t="s">
        <v>21180</v>
      </c>
      <c r="C31391" s="15" t="s">
        <v>21064</v>
      </c>
      <c r="D31391" s="15" t="s">
        <v>21125</v>
      </c>
      <c r="E31391" s="2">
        <v>3101795</v>
      </c>
      <c r="F31391" s="4" t="str">
        <f>IF(B31391=B31390,"",B31391)</f>
        <v>CheÅ‚mno</v>
      </c>
    </row>
    <row r="31392" spans="1:6" ht="15.75" customHeight="1">
      <c r="A31392" s="16" t="s">
        <v>21177</v>
      </c>
      <c r="B31392" s="15" t="s">
        <v>21178</v>
      </c>
      <c r="C31392" s="16" t="s">
        <v>21064</v>
      </c>
      <c r="D31392" s="16" t="s">
        <v>21125</v>
      </c>
      <c r="E31392" s="2">
        <v>3101787</v>
      </c>
      <c r="F31392" s="4" t="str">
        <f>IF(B31392=B31391,"",B31392)</f>
        <v>CheÅ‚mÅ¼a</v>
      </c>
    </row>
    <row r="31393" spans="1:6" ht="15.75" customHeight="1">
      <c r="A31393" s="15" t="s">
        <v>21175</v>
      </c>
      <c r="B31393" s="15" t="s">
        <v>21176</v>
      </c>
      <c r="C31393" s="15" t="s">
        <v>21064</v>
      </c>
      <c r="D31393" s="15" t="s">
        <v>21091</v>
      </c>
      <c r="E31393" s="2">
        <v>774558</v>
      </c>
      <c r="F31393" s="4" t="e">
        <f>IF(B31393=#REF!,"",B31393)</f>
        <v>#REF!</v>
      </c>
    </row>
    <row r="31394" spans="1:6" ht="15.75" customHeight="1">
      <c r="A31394" s="16" t="s">
        <v>22289</v>
      </c>
      <c r="B31394" s="15" t="s">
        <v>22289</v>
      </c>
      <c r="C31394" s="16" t="s">
        <v>22070</v>
      </c>
      <c r="D31394" s="16" t="s">
        <v>22115</v>
      </c>
      <c r="E31394" s="2">
        <v>569742</v>
      </c>
      <c r="F31394" s="4" t="e">
        <f>IF(B31394=#REF!,"",B31394)</f>
        <v>#REF!</v>
      </c>
    </row>
    <row r="31395" spans="1:6" ht="15.75" customHeight="1">
      <c r="A31395" s="16" t="s">
        <v>19864</v>
      </c>
      <c r="B31395" s="15" t="s">
        <v>19864</v>
      </c>
      <c r="C31395" s="16" t="s">
        <v>19808</v>
      </c>
      <c r="D31395" s="16" t="s">
        <v>10184</v>
      </c>
      <c r="E31395" s="2">
        <v>1181352</v>
      </c>
      <c r="F31395" s="4" t="e">
        <f>IF(B31395=#REF!,"",B31395)</f>
        <v>#REF!</v>
      </c>
    </row>
    <row r="31396" spans="1:6" ht="15.75" customHeight="1">
      <c r="A31396" s="15" t="s">
        <v>7255</v>
      </c>
      <c r="B31396" s="15" t="s">
        <v>7255</v>
      </c>
      <c r="C31396" s="15" t="s">
        <v>7052</v>
      </c>
      <c r="D31396" s="15" t="s">
        <v>7058</v>
      </c>
      <c r="E31396" s="2">
        <v>3025715</v>
      </c>
      <c r="F31396" s="4" t="str">
        <f>IF(B31396=B31395,"",B31396)</f>
        <v>Chaville</v>
      </c>
    </row>
    <row r="31397" spans="1:6" ht="15.75" customHeight="1">
      <c r="A31397" s="16" t="str">
        <f ca="1">IFERROR(__xludf.DUMMYFUNCTION("GOOGLETRANSLATE(B33726,""en"",""pt"")"),"Chāvakkād")</f>
        <v>Chāvakkād</v>
      </c>
      <c r="B31397" s="20" t="s">
        <v>33829</v>
      </c>
      <c r="C31397" s="20" t="s">
        <v>10178</v>
      </c>
      <c r="D31397" s="20" t="s">
        <v>10246</v>
      </c>
      <c r="E31397" s="10">
        <v>1274468</v>
      </c>
      <c r="F31397" s="4" t="e">
        <f>IF(B31397=#REF!,"",B31397)</f>
        <v>#REF!</v>
      </c>
    </row>
    <row r="31398" spans="1:6" ht="15.75" customHeight="1">
      <c r="A31398" s="16" t="s">
        <v>20491</v>
      </c>
      <c r="B31398" s="15" t="s">
        <v>20491</v>
      </c>
      <c r="C31398" s="16" t="s">
        <v>20470</v>
      </c>
      <c r="D31398" s="16" t="s">
        <v>20488</v>
      </c>
      <c r="E31398" s="2">
        <v>3944179</v>
      </c>
      <c r="F31398" s="4" t="e">
        <f>IF(B31398=#REF!,"",B31398)</f>
        <v>#REF!</v>
      </c>
    </row>
    <row r="31399" spans="1:6" ht="15.75" customHeight="1">
      <c r="A31399" s="16" t="s">
        <v>7254</v>
      </c>
      <c r="B31399" s="15" t="s">
        <v>7254</v>
      </c>
      <c r="C31399" s="16" t="s">
        <v>7052</v>
      </c>
      <c r="D31399" s="16" t="s">
        <v>7061</v>
      </c>
      <c r="E31399" s="2">
        <v>3025892</v>
      </c>
      <c r="F31399" s="4" t="e">
        <f>IF(B31399=#REF!,"",B31399)</f>
        <v>#REF!</v>
      </c>
    </row>
    <row r="31400" spans="1:6" ht="15.75" customHeight="1">
      <c r="A31400" s="15" t="s">
        <v>18701</v>
      </c>
      <c r="B31400" s="15" t="s">
        <v>18701</v>
      </c>
      <c r="C31400" s="15" t="s">
        <v>18696</v>
      </c>
      <c r="D31400" s="15" t="s">
        <v>18702</v>
      </c>
      <c r="E31400" s="2">
        <v>1327659</v>
      </c>
      <c r="F31400" s="4" t="e">
        <f>IF(B31400=#REF!,"",B31400)</f>
        <v>#REF!</v>
      </c>
    </row>
    <row r="31401" spans="1:6" ht="15.75" customHeight="1">
      <c r="A31401" s="16" t="s">
        <v>1552</v>
      </c>
      <c r="B31401" s="15" t="s">
        <v>1552</v>
      </c>
      <c r="C31401" s="16" t="s">
        <v>1512</v>
      </c>
      <c r="D31401" s="16" t="s">
        <v>1518</v>
      </c>
      <c r="E31401" s="2">
        <v>2800438</v>
      </c>
      <c r="F31401" s="4" t="e">
        <f>IF(B31401=#REF!,"",B31401)</f>
        <v>#REF!</v>
      </c>
    </row>
    <row r="31402" spans="1:6" ht="15.75" customHeight="1">
      <c r="A31402" s="16" t="s">
        <v>28235</v>
      </c>
      <c r="B31402" s="15" t="s">
        <v>28235</v>
      </c>
      <c r="C31402" s="16" t="s">
        <v>27788</v>
      </c>
      <c r="D31402" s="16" t="s">
        <v>27957</v>
      </c>
      <c r="E31402" s="2">
        <v>4612862</v>
      </c>
      <c r="F31402" s="4" t="e">
        <f>IF(B31402=#REF!,"",B31402)</f>
        <v>#REF!</v>
      </c>
    </row>
    <row r="31403" spans="1:6" ht="15.75" customHeight="1">
      <c r="A31403" s="16" t="s">
        <v>28234</v>
      </c>
      <c r="B31403" s="15" t="s">
        <v>28234</v>
      </c>
      <c r="C31403" s="16" t="s">
        <v>27788</v>
      </c>
      <c r="D31403" s="16" t="s">
        <v>27801</v>
      </c>
      <c r="E31403" s="2">
        <v>5336054</v>
      </c>
      <c r="F31403" s="4" t="e">
        <f>IF(B31403=#REF!,"",B31403)</f>
        <v>#REF!</v>
      </c>
    </row>
    <row r="31404" spans="1:6" ht="15.75" customHeight="1">
      <c r="A31404" s="16" t="s">
        <v>10930</v>
      </c>
      <c r="B31404" s="15" t="s">
        <v>10930</v>
      </c>
      <c r="C31404" s="16" t="s">
        <v>10178</v>
      </c>
      <c r="D31404" s="16" t="s">
        <v>10229</v>
      </c>
      <c r="E31404" s="2">
        <v>1274533</v>
      </c>
      <c r="F31404" s="4" t="e">
        <f>IF(B31404=#REF!,"",B31404)</f>
        <v>#REF!</v>
      </c>
    </row>
    <row r="31405" spans="1:6" ht="15.75" customHeight="1">
      <c r="A31405" s="15" t="s">
        <v>10929</v>
      </c>
      <c r="B31405" s="15" t="s">
        <v>10929</v>
      </c>
      <c r="C31405" s="15" t="s">
        <v>10178</v>
      </c>
      <c r="D31405" s="15" t="s">
        <v>10430</v>
      </c>
      <c r="E31405" s="2">
        <v>1274536</v>
      </c>
      <c r="F31405" s="4" t="e">
        <f>IF(B31405=#REF!,"",B31405)</f>
        <v>#REF!</v>
      </c>
    </row>
    <row r="31406" spans="1:6" ht="15.75" customHeight="1">
      <c r="A31406" s="15" t="s">
        <v>7253</v>
      </c>
      <c r="B31406" s="15" t="s">
        <v>7253</v>
      </c>
      <c r="C31406" s="15" t="s">
        <v>7052</v>
      </c>
      <c r="D31406" s="15" t="s">
        <v>7058</v>
      </c>
      <c r="E31406" s="2">
        <v>3026033</v>
      </c>
      <c r="F31406" s="4" t="e">
        <f>IF(B31406=#REF!,"",B31406)</f>
        <v>#REF!</v>
      </c>
    </row>
    <row r="31407" spans="1:6" ht="15.75" customHeight="1">
      <c r="A31407" s="15" t="s">
        <v>25587</v>
      </c>
      <c r="B31407" s="15" t="s">
        <v>25587</v>
      </c>
      <c r="C31407" s="15" t="s">
        <v>25560</v>
      </c>
      <c r="D31407" s="15" t="s">
        <v>25578</v>
      </c>
      <c r="E31407" s="2">
        <v>160552</v>
      </c>
      <c r="F31407" s="4" t="str">
        <f>IF(B31407=B31406,"",B31407)</f>
        <v>Chato</v>
      </c>
    </row>
    <row r="31408" spans="1:6" ht="15.75" customHeight="1">
      <c r="A31408" s="16" t="str">
        <f ca="1">IFERROR(__xludf.DUMMYFUNCTION("GOOGLETRANSLATE(B30156,""en"",""pt"")"),"Châtillon")</f>
        <v>Châtillon</v>
      </c>
      <c r="B31408" s="20" t="s">
        <v>32623</v>
      </c>
      <c r="C31408" s="20" t="s">
        <v>7052</v>
      </c>
      <c r="D31408" s="20" t="s">
        <v>32531</v>
      </c>
      <c r="E31408" s="10">
        <v>3026083</v>
      </c>
      <c r="F31408" s="4" t="e">
        <f>IF(B31408=#REF!,"",B31408)</f>
        <v>#REF!</v>
      </c>
    </row>
    <row r="31409" spans="1:6" ht="15.75" customHeight="1">
      <c r="A31409" s="15" t="s">
        <v>27397</v>
      </c>
      <c r="B31409" s="15" t="s">
        <v>27397</v>
      </c>
      <c r="C31409" s="15" t="s">
        <v>27234</v>
      </c>
      <c r="D31409" s="15" t="s">
        <v>27241</v>
      </c>
      <c r="E31409" s="2">
        <v>2653305</v>
      </c>
      <c r="F31409" s="4" t="str">
        <f>IF(B31409=B31408,"",B31409)</f>
        <v>Chatham</v>
      </c>
    </row>
    <row r="31410" spans="1:6" ht="15.75" customHeight="1">
      <c r="A31410" s="16" t="str">
        <f ca="1">IFERROR(__xludf.DUMMYFUNCTION("GOOGLETRANSLATE(B30157,""en"",""pt"")"),"Châtenay-Malabry")</f>
        <v>Châtenay-Malabry</v>
      </c>
      <c r="B31410" s="20" t="s">
        <v>32624</v>
      </c>
      <c r="C31410" s="20" t="s">
        <v>7052</v>
      </c>
      <c r="D31410" s="20" t="s">
        <v>32531</v>
      </c>
      <c r="E31410" s="10">
        <v>3026108</v>
      </c>
      <c r="F31410" s="4" t="str">
        <f>IF(B31410=B31409,"",B31410)</f>
        <v>Châtenay-Malabry</v>
      </c>
    </row>
    <row r="31411" spans="1:6" ht="15.75" customHeight="1">
      <c r="A31411" s="16" t="str">
        <f ca="1">IFERROR(__xludf.DUMMYFUNCTION("GOOGLETRANSLATE(B30158,""en"",""pt"")"),"Châtelleult")</f>
        <v>Châtelleult</v>
      </c>
      <c r="B31411" s="20" t="s">
        <v>32625</v>
      </c>
      <c r="C31411" s="20" t="s">
        <v>7052</v>
      </c>
      <c r="D31411" s="20" t="s">
        <v>7084</v>
      </c>
      <c r="E31411" s="10">
        <v>3026141</v>
      </c>
      <c r="F31411" s="4" t="str">
        <f>IF(B31411=B31410,"",B31411)</f>
        <v>Châtellerault</v>
      </c>
    </row>
    <row r="31412" spans="1:6" ht="15.75" customHeight="1">
      <c r="A31412" s="16" t="str">
        <f ca="1">IFERROR(__xludf.DUMMYFUNCTION("GOOGLETRANSLATE(B23946,""en"",""pt"")"),"Châtelet")</f>
        <v>Châtelet</v>
      </c>
      <c r="B31412" s="20" t="s">
        <v>31314</v>
      </c>
      <c r="C31412" s="20" t="s">
        <v>1512</v>
      </c>
      <c r="D31412" s="20" t="s">
        <v>1518</v>
      </c>
      <c r="E31412" s="10">
        <v>2800448</v>
      </c>
      <c r="F31412" s="4" t="str">
        <f>IF(B31412=B31411,"",B31412)</f>
        <v>Châtelet</v>
      </c>
    </row>
    <row r="31413" spans="1:6" ht="15.75" customHeight="1">
      <c r="A31413" s="16" t="str">
        <f ca="1">IFERROR(__xludf.DUMMYFUNCTION("GOOGLETRANSLATE(B30159,""en"",""pt"")"),"Château-Thierry")</f>
        <v>Château-Thierry</v>
      </c>
      <c r="B31413" s="20" t="s">
        <v>32626</v>
      </c>
      <c r="C31413" s="20" t="s">
        <v>7052</v>
      </c>
      <c r="D31413" s="20" t="s">
        <v>7078</v>
      </c>
      <c r="E31413" s="10">
        <v>3026194</v>
      </c>
      <c r="F31413" s="4" t="str">
        <f>IF(B31413=B31412,"",B31413)</f>
        <v>Château-Thierry</v>
      </c>
    </row>
    <row r="31414" spans="1:6" ht="15.75" customHeight="1">
      <c r="A31414" s="16" t="str">
        <f ca="1">IFERROR(__xludf.DUMMYFUNCTION("GOOGLETRANSLATE(B30160,""en"",""pt"")"),"Châteauroux")</f>
        <v>Châteauroux</v>
      </c>
      <c r="B31414" s="20" t="s">
        <v>32627</v>
      </c>
      <c r="C31414" s="20" t="s">
        <v>7052</v>
      </c>
      <c r="D31414" s="20" t="s">
        <v>3813</v>
      </c>
      <c r="E31414" s="10">
        <v>3026204</v>
      </c>
      <c r="F31414" s="4" t="str">
        <f>IF(B31414=B31413,"",B31414)</f>
        <v>Châteauroux</v>
      </c>
    </row>
    <row r="31415" spans="1:6" ht="15.75" customHeight="1">
      <c r="A31415" s="16" t="str">
        <f ca="1">IFERROR(__xludf.DUMMYFUNCTION("GOOGLETRANSLATE(B25452,""en"",""pt"")"),"Châteauguay")</f>
        <v>Châteauguay</v>
      </c>
      <c r="B31415" s="20" t="s">
        <v>31752</v>
      </c>
      <c r="C31415" s="20" t="s">
        <v>3975</v>
      </c>
      <c r="D31415" s="20" t="s">
        <v>3982</v>
      </c>
      <c r="E31415" s="10">
        <v>5920433</v>
      </c>
      <c r="F31415" s="4" t="str">
        <f>IF(B31415=B31414,"",B31415)</f>
        <v>Châteauguay</v>
      </c>
    </row>
    <row r="31416" spans="1:6" ht="15.75" customHeight="1">
      <c r="A31416" s="16" t="str">
        <f ca="1">IFERROR(__xludf.DUMMYFUNCTION("GOOGLETRANSLATE(B30161,""en"",""pt"")"),"Châteaudun")</f>
        <v>Châteaudun</v>
      </c>
      <c r="B31416" s="20" t="s">
        <v>32628</v>
      </c>
      <c r="C31416" s="20" t="s">
        <v>7052</v>
      </c>
      <c r="D31416" s="20" t="s">
        <v>3813</v>
      </c>
      <c r="E31416" s="10">
        <v>3026285</v>
      </c>
      <c r="F31416" s="4" t="e">
        <f>IF(B31416=#REF!,"",B31416)</f>
        <v>#REF!</v>
      </c>
    </row>
    <row r="31417" spans="1:6" ht="15.75" customHeight="1">
      <c r="A31417" s="15" t="s">
        <v>15840</v>
      </c>
      <c r="B31417" s="15" t="s">
        <v>15840</v>
      </c>
      <c r="C31417" s="15" t="s">
        <v>15704</v>
      </c>
      <c r="D31417" s="15" t="s">
        <v>15841</v>
      </c>
      <c r="E31417" s="2">
        <v>1864652</v>
      </c>
      <c r="F31417" s="4" t="e">
        <f>IF(B31417=#REF!,"",B31417)</f>
        <v>#REF!</v>
      </c>
    </row>
    <row r="31418" spans="1:6" ht="15.75" customHeight="1">
      <c r="A31418" s="16" t="s">
        <v>1551</v>
      </c>
      <c r="B31418" s="15" t="s">
        <v>1551</v>
      </c>
      <c r="C31418" s="16" t="s">
        <v>1512</v>
      </c>
      <c r="D31418" s="16" t="s">
        <v>1518</v>
      </c>
      <c r="E31418" s="2">
        <v>2800461</v>
      </c>
      <c r="F31418" s="4" t="e">
        <f>IF(B31418=#REF!,"",B31418)</f>
        <v>#REF!</v>
      </c>
    </row>
    <row r="31419" spans="1:6" ht="15.75" customHeight="1">
      <c r="A31419" s="15" t="s">
        <v>28233</v>
      </c>
      <c r="B31419" s="15" t="s">
        <v>28233</v>
      </c>
      <c r="C31419" s="15" t="s">
        <v>27788</v>
      </c>
      <c r="D31419" s="15" t="s">
        <v>27824</v>
      </c>
      <c r="E31419" s="2">
        <v>5020938</v>
      </c>
      <c r="F31419" s="4" t="str">
        <f>IF(B31419=B31418,"",B31419)</f>
        <v>Chaska</v>
      </c>
    </row>
    <row r="31420" spans="1:6" ht="15.75" customHeight="1">
      <c r="A31420" s="16" t="str">
        <f ca="1">IFERROR(__xludf.DUMMYFUNCTION("GOOGLETRANSLATE(B33730,""en"",""pt"")"),"Chās")</f>
        <v>Chās</v>
      </c>
      <c r="B31420" s="20" t="s">
        <v>33830</v>
      </c>
      <c r="C31420" s="20" t="s">
        <v>10178</v>
      </c>
      <c r="D31420" s="20" t="s">
        <v>10430</v>
      </c>
      <c r="E31420" s="10">
        <v>1274553</v>
      </c>
      <c r="F31420" s="4" t="e">
        <f>IF(B31420=#REF!,"",B31420)</f>
        <v>#REF!</v>
      </c>
    </row>
    <row r="31421" spans="1:6" ht="15.75" customHeight="1">
      <c r="A31421" s="15" t="s">
        <v>7252</v>
      </c>
      <c r="B31421" s="15" t="s">
        <v>7252</v>
      </c>
      <c r="C31421" s="15" t="s">
        <v>7052</v>
      </c>
      <c r="D31421" s="15" t="s">
        <v>3813</v>
      </c>
      <c r="E31421" s="2">
        <v>3026467</v>
      </c>
      <c r="F31421" s="4" t="str">
        <f>IF(B31421=B31420,"",B31421)</f>
        <v>Chartres</v>
      </c>
    </row>
    <row r="31422" spans="1:6" ht="15.75" customHeight="1">
      <c r="A31422" s="16" t="str">
        <f ca="1">IFERROR(__xludf.DUMMYFUNCTION("GOOGLETRANSLATE(B33731,""en"",""pt"")"),"Charthāwal")</f>
        <v>Charthāwal</v>
      </c>
      <c r="B31422" s="20" t="s">
        <v>33831</v>
      </c>
      <c r="C31422" s="20" t="s">
        <v>10178</v>
      </c>
      <c r="D31422" s="20" t="s">
        <v>10193</v>
      </c>
      <c r="E31422" s="10">
        <v>1274560</v>
      </c>
      <c r="F31422" s="4" t="str">
        <f>IF(B31422=B31421,"",B31422)</f>
        <v>Charthāwal</v>
      </c>
    </row>
    <row r="31423" spans="1:6" ht="15.75" customHeight="1">
      <c r="A31423" s="16" t="s">
        <v>10927</v>
      </c>
      <c r="B31423" s="15" t="s">
        <v>10928</v>
      </c>
      <c r="C31423" s="16" t="s">
        <v>10178</v>
      </c>
      <c r="D31423" s="16" t="s">
        <v>10193</v>
      </c>
      <c r="E31423" s="2">
        <v>1274560</v>
      </c>
      <c r="F31423" s="4" t="e">
        <f>IF(B31423=#REF!,"",B31423)</f>
        <v>#REF!</v>
      </c>
    </row>
    <row r="31424" spans="1:6" ht="15.75" customHeight="1">
      <c r="A31424" s="16" t="s">
        <v>19863</v>
      </c>
      <c r="B31424" s="15" t="s">
        <v>19863</v>
      </c>
      <c r="C31424" s="16" t="s">
        <v>19808</v>
      </c>
      <c r="D31424" s="16" t="s">
        <v>19811</v>
      </c>
      <c r="E31424" s="2">
        <v>1181439</v>
      </c>
      <c r="F31424" s="4" t="e">
        <f>IF(B31424=#REF!,"",B31424)</f>
        <v>#REF!</v>
      </c>
    </row>
    <row r="31425" spans="1:6" ht="15.75" customHeight="1">
      <c r="A31425" s="16" t="s">
        <v>2328</v>
      </c>
      <c r="B31425" s="15" t="s">
        <v>2328</v>
      </c>
      <c r="C31425" s="16" t="s">
        <v>1905</v>
      </c>
      <c r="D31425" s="16" t="s">
        <v>1951</v>
      </c>
      <c r="E31425" s="2">
        <v>3466261</v>
      </c>
      <c r="F31425" s="4" t="e">
        <f>IF(B31425=#REF!,"",B31425)</f>
        <v>#REF!</v>
      </c>
    </row>
    <row r="31426" spans="1:6" ht="15.75" customHeight="1">
      <c r="A31426" s="15" t="s">
        <v>21649</v>
      </c>
      <c r="B31426" s="15" t="s">
        <v>21649</v>
      </c>
      <c r="C31426" s="15" t="s">
        <v>21606</v>
      </c>
      <c r="D31426" s="15" t="s">
        <v>21620</v>
      </c>
      <c r="E31426" s="2">
        <v>2269282</v>
      </c>
      <c r="F31426" s="4" t="e">
        <f>IF(B31426=#REF!,"",B31426)</f>
        <v>#REF!</v>
      </c>
    </row>
    <row r="31427" spans="1:6" ht="15.75" customHeight="1">
      <c r="A31427" s="16" t="s">
        <v>4019</v>
      </c>
      <c r="B31427" s="15" t="s">
        <v>4019</v>
      </c>
      <c r="C31427" s="16" t="s">
        <v>3975</v>
      </c>
      <c r="D31427" s="16" t="s">
        <v>4020</v>
      </c>
      <c r="E31427" s="2">
        <v>5920288</v>
      </c>
      <c r="F31427" s="4" t="e">
        <f>IF(B31427=#REF!,"",B31427)</f>
        <v>#REF!</v>
      </c>
    </row>
    <row r="31428" spans="1:6" ht="15.75" customHeight="1">
      <c r="A31428" s="16" t="s">
        <v>6221</v>
      </c>
      <c r="B31428" s="15" t="s">
        <v>6221</v>
      </c>
      <c r="C31428" s="16" t="s">
        <v>6209</v>
      </c>
      <c r="D31428" s="16" t="s">
        <v>6216</v>
      </c>
      <c r="E31428" s="2">
        <v>2623188</v>
      </c>
      <c r="F31428" s="4" t="e">
        <f>IF(B31428=#REF!,"",B31428)</f>
        <v>#REF!</v>
      </c>
    </row>
    <row r="31429" spans="1:6" ht="15.75" customHeight="1">
      <c r="A31429" s="16" t="s">
        <v>8263</v>
      </c>
      <c r="B31429" s="15" t="s">
        <v>8264</v>
      </c>
      <c r="C31429" s="16" t="s">
        <v>8028</v>
      </c>
      <c r="D31429" s="16" t="s">
        <v>8036</v>
      </c>
      <c r="E31429" s="2">
        <v>6545288</v>
      </c>
      <c r="F31429" s="4" t="e">
        <f>IF(B31429=#REF!,"",B31429)</f>
        <v>#REF!</v>
      </c>
    </row>
    <row r="31430" spans="1:6" ht="15.75" customHeight="1">
      <c r="A31430" s="16" t="s">
        <v>8262</v>
      </c>
      <c r="B31430" s="15" t="s">
        <v>8262</v>
      </c>
      <c r="C31430" s="16" t="s">
        <v>8028</v>
      </c>
      <c r="D31430" s="16" t="s">
        <v>8036</v>
      </c>
      <c r="E31430" s="2">
        <v>2940187</v>
      </c>
      <c r="F31430" s="4" t="e">
        <f>IF(B31430=#REF!,"",B31430)</f>
        <v>#REF!</v>
      </c>
    </row>
    <row r="31431" spans="1:6" ht="15.75" customHeight="1">
      <c r="A31431" s="16" t="s">
        <v>26814</v>
      </c>
      <c r="B31431" s="15" t="s">
        <v>26814</v>
      </c>
      <c r="C31431" s="16" t="s">
        <v>26815</v>
      </c>
      <c r="D31431" s="16" t="s">
        <v>26816</v>
      </c>
      <c r="E31431" s="2">
        <v>4795467</v>
      </c>
      <c r="F31431" s="4" t="e">
        <f>IF(B31431=#REF!,"",B31431)</f>
        <v>#REF!</v>
      </c>
    </row>
    <row r="31432" spans="1:6" ht="15.75" customHeight="1">
      <c r="A31432" s="15" t="s">
        <v>28232</v>
      </c>
      <c r="B31432" s="15" t="s">
        <v>28232</v>
      </c>
      <c r="C31432" s="15" t="s">
        <v>27788</v>
      </c>
      <c r="D31432" s="15" t="s">
        <v>27822</v>
      </c>
      <c r="E31432" s="2">
        <v>4460243</v>
      </c>
      <c r="F31432" s="4" t="str">
        <f>IF(B31432=B31431,"",B31432)</f>
        <v>Charlotte</v>
      </c>
    </row>
    <row r="31433" spans="1:6" ht="15.75" customHeight="1">
      <c r="A31433" s="16" t="str">
        <f ca="1">IFERROR(__xludf.DUMMYFUNCTION("GOOGLETRANSLATE(B30163,""en"",""pt"")"),"Charleville-Mézières")</f>
        <v>Charleville-Mézières</v>
      </c>
      <c r="B31433" s="20" t="s">
        <v>32629</v>
      </c>
      <c r="C31433" s="20" t="s">
        <v>7052</v>
      </c>
      <c r="D31433" s="20" t="s">
        <v>7061</v>
      </c>
      <c r="E31433" s="10">
        <v>3026613</v>
      </c>
      <c r="F31433" s="4" t="str">
        <f>IF(B31433=B31432,"",B31433)</f>
        <v>Charleville-Mézières</v>
      </c>
    </row>
    <row r="31434" spans="1:6" ht="15.75" customHeight="1">
      <c r="A31434" s="16" t="s">
        <v>7250</v>
      </c>
      <c r="B31434" s="15" t="s">
        <v>7251</v>
      </c>
      <c r="C31434" s="16" t="s">
        <v>7052</v>
      </c>
      <c r="D31434" s="16" t="s">
        <v>7061</v>
      </c>
      <c r="E31434" s="2">
        <v>3026613</v>
      </c>
      <c r="F31434" s="4" t="e">
        <f>IF(B31434=#REF!,"",B31434)</f>
        <v>#REF!</v>
      </c>
    </row>
    <row r="31435" spans="1:6" ht="15.75" customHeight="1">
      <c r="A31435" s="16" t="s">
        <v>28230</v>
      </c>
      <c r="B31435" s="15" t="s">
        <v>28231</v>
      </c>
      <c r="C31435" s="16" t="s">
        <v>27788</v>
      </c>
      <c r="D31435" s="16" t="s">
        <v>27799</v>
      </c>
      <c r="E31435" s="2">
        <v>4235668</v>
      </c>
      <c r="F31435" s="4" t="e">
        <f>IF(B31435=#REF!,"",B31435)</f>
        <v>#REF!</v>
      </c>
    </row>
    <row r="31436" spans="1:6" ht="15.75" customHeight="1">
      <c r="A31436" s="15" t="s">
        <v>1550</v>
      </c>
      <c r="B31436" s="15" t="s">
        <v>1550</v>
      </c>
      <c r="C31436" s="15" t="s">
        <v>1512</v>
      </c>
      <c r="D31436" s="15" t="s">
        <v>1518</v>
      </c>
      <c r="E31436" s="2">
        <v>2800481</v>
      </c>
      <c r="F31436" s="4" t="str">
        <f>IF(B31436=B31435,"",B31436)</f>
        <v>Charleroi</v>
      </c>
    </row>
    <row r="31437" spans="1:6" ht="15.75" customHeight="1">
      <c r="A31437" s="16" t="str">
        <f ca="1">IFERROR(__xludf.DUMMYFUNCTION("GOOGLETRANSLATE(B33732,""en"",""pt"")"),"Charkhi Dādri")</f>
        <v>Charkhi Dādri</v>
      </c>
      <c r="B31437" s="20" t="s">
        <v>33832</v>
      </c>
      <c r="C31437" s="20" t="s">
        <v>10178</v>
      </c>
      <c r="D31437" s="20" t="s">
        <v>10224</v>
      </c>
      <c r="E31437" s="10">
        <v>1274571</v>
      </c>
      <c r="F31437" s="4" t="str">
        <f>IF(B31437=B31436,"",B31437)</f>
        <v>Charkhi Dādri</v>
      </c>
    </row>
    <row r="31438" spans="1:6" ht="15.75" customHeight="1">
      <c r="A31438" s="16" t="s">
        <v>10925</v>
      </c>
      <c r="B31438" s="15" t="s">
        <v>10926</v>
      </c>
      <c r="C31438" s="16" t="s">
        <v>10178</v>
      </c>
      <c r="D31438" s="16" t="s">
        <v>10224</v>
      </c>
      <c r="E31438" s="2">
        <v>1274571</v>
      </c>
      <c r="F31438" s="4" t="str">
        <f>IF(B31438=B31437,"",B31438)</f>
        <v>Charkhi DÄdri</v>
      </c>
    </row>
    <row r="31439" spans="1:6" ht="15.75" customHeight="1">
      <c r="A31439" s="16" t="str">
        <f ca="1">IFERROR(__xludf.DUMMYFUNCTION("GOOGLETRANSLATE(B33733,""en"",""pt"")"),"Charkhāri")</f>
        <v>Charkhāri</v>
      </c>
      <c r="B31439" s="20" t="s">
        <v>33833</v>
      </c>
      <c r="C31439" s="20" t="s">
        <v>10178</v>
      </c>
      <c r="D31439" s="20" t="s">
        <v>10193</v>
      </c>
      <c r="E31439" s="10">
        <v>1274574</v>
      </c>
      <c r="F31439" s="4" t="str">
        <f>IF(B31439=B31438,"",B31439)</f>
        <v>Charkhāri</v>
      </c>
    </row>
    <row r="31440" spans="1:6" ht="15.75" customHeight="1">
      <c r="A31440" s="16" t="s">
        <v>10923</v>
      </c>
      <c r="B31440" s="15" t="s">
        <v>10924</v>
      </c>
      <c r="C31440" s="16" t="s">
        <v>10178</v>
      </c>
      <c r="D31440" s="16" t="s">
        <v>10193</v>
      </c>
      <c r="E31440" s="2">
        <v>1274574</v>
      </c>
      <c r="F31440" s="4" t="e">
        <f>IF(B31440=#REF!,"",B31440)</f>
        <v>#REF!</v>
      </c>
    </row>
    <row r="31441" spans="1:6" ht="15.75" customHeight="1">
      <c r="A31441" s="15" t="s">
        <v>34</v>
      </c>
      <c r="B31441" s="15" t="s">
        <v>34</v>
      </c>
      <c r="C31441" s="15" t="s">
        <v>8</v>
      </c>
      <c r="D31441" s="15" t="s">
        <v>35</v>
      </c>
      <c r="E31441" s="2">
        <v>1145352</v>
      </c>
      <c r="F31441" s="4" t="e">
        <f>IF(B31441=#REF!,"",B31441)</f>
        <v>#REF!</v>
      </c>
    </row>
    <row r="31442" spans="1:6" ht="15.75" customHeight="1">
      <c r="A31442" s="16" t="s">
        <v>7249</v>
      </c>
      <c r="B31442" s="15" t="s">
        <v>7249</v>
      </c>
      <c r="C31442" s="16" t="s">
        <v>7052</v>
      </c>
      <c r="D31442" s="16" t="s">
        <v>7058</v>
      </c>
      <c r="E31442" s="2">
        <v>3026637</v>
      </c>
      <c r="F31442" s="4" t="e">
        <f>IF(B31442=#REF!,"",B31442)</f>
        <v>#REF!</v>
      </c>
    </row>
    <row r="31443" spans="1:6" ht="15.75" customHeight="1">
      <c r="A31443" s="15" t="s">
        <v>302</v>
      </c>
      <c r="B31443" s="15" t="s">
        <v>302</v>
      </c>
      <c r="C31443" s="15" t="s">
        <v>153</v>
      </c>
      <c r="D31443" s="15" t="s">
        <v>166</v>
      </c>
      <c r="E31443" s="2">
        <v>2501767</v>
      </c>
      <c r="F31443" s="4" t="e">
        <f>IF(B31443=#REF!,"",B31443)</f>
        <v>#REF!</v>
      </c>
    </row>
    <row r="31444" spans="1:6" ht="15.75" customHeight="1">
      <c r="A31444" s="15" t="s">
        <v>612</v>
      </c>
      <c r="B31444" s="15" t="s">
        <v>612</v>
      </c>
      <c r="C31444" s="15" t="s">
        <v>558</v>
      </c>
      <c r="D31444" s="15" t="s">
        <v>586</v>
      </c>
      <c r="E31444" s="2">
        <v>3861678</v>
      </c>
      <c r="F31444" s="4" t="e">
        <f>IF(B31444=#REF!,"",B31444)</f>
        <v>#REF!</v>
      </c>
    </row>
    <row r="31445" spans="1:6" ht="15.75" customHeight="1">
      <c r="A31445" s="16" t="s">
        <v>30674</v>
      </c>
      <c r="B31445" s="15" t="s">
        <v>30674</v>
      </c>
      <c r="C31445" s="16" t="s">
        <v>5923</v>
      </c>
      <c r="D31445" s="16" t="s">
        <v>30647</v>
      </c>
      <c r="E31445" s="2">
        <v>3645854</v>
      </c>
      <c r="F31445" s="4" t="str">
        <f>IF(B31445=B31444,"",B31445)</f>
        <v>Charallave</v>
      </c>
    </row>
    <row r="31446" spans="1:6" ht="15.75" customHeight="1">
      <c r="A31446" s="16" t="str">
        <f ca="1">IFERROR(__xludf.DUMMYFUNCTION("GOOGLETRANSLATE(B23768,""en"",""pt"")"),"Char Bhadrāsan")</f>
        <v>Char Bhadrāsan</v>
      </c>
      <c r="B31446" s="20" t="s">
        <v>31297</v>
      </c>
      <c r="C31446" s="20" t="s">
        <v>1296</v>
      </c>
      <c r="D31446" s="20" t="s">
        <v>1297</v>
      </c>
      <c r="E31446" s="10">
        <v>1207047</v>
      </c>
      <c r="F31446" s="4" t="str">
        <f>IF(B31446=B31445,"",B31446)</f>
        <v>Char Bhadrāsan</v>
      </c>
    </row>
    <row r="31447" spans="1:6" ht="15.75" customHeight="1">
      <c r="A31447" s="16" t="s">
        <v>1324</v>
      </c>
      <c r="B31447" s="15" t="s">
        <v>1325</v>
      </c>
      <c r="C31447" s="16" t="s">
        <v>1296</v>
      </c>
      <c r="D31447" s="16" t="s">
        <v>1297</v>
      </c>
      <c r="E31447" s="2">
        <v>1207047</v>
      </c>
      <c r="F31447" s="4" t="str">
        <f>IF(B31447=B31446,"",B31447)</f>
        <v>Char BhadrÄsan</v>
      </c>
    </row>
    <row r="31448" spans="1:6" ht="15.75" customHeight="1">
      <c r="A31448" s="16" t="str">
        <f ca="1">IFERROR(__xludf.DUMMYFUNCTION("GOOGLETRANSLATE(B33716,""en"",""pt"")"),"Chāpra")</f>
        <v>Chāpra</v>
      </c>
      <c r="B31448" s="20" t="s">
        <v>33825</v>
      </c>
      <c r="C31448" s="20" t="s">
        <v>10178</v>
      </c>
      <c r="D31448" s="20" t="s">
        <v>10317</v>
      </c>
      <c r="E31448" s="10">
        <v>1274353</v>
      </c>
      <c r="F31448" s="4" t="e">
        <f>IF(B31448=#REF!,"",B31448)</f>
        <v>#REF!</v>
      </c>
    </row>
    <row r="31449" spans="1:6" ht="15.75" customHeight="1">
      <c r="A31449" s="16" t="s">
        <v>27396</v>
      </c>
      <c r="B31449" s="15" t="s">
        <v>27396</v>
      </c>
      <c r="C31449" s="16" t="s">
        <v>27234</v>
      </c>
      <c r="D31449" s="16" t="s">
        <v>27241</v>
      </c>
      <c r="E31449" s="2">
        <v>2653353</v>
      </c>
      <c r="F31449" s="4" t="e">
        <f>IF(B31449=#REF!,"",B31449)</f>
        <v>#REF!</v>
      </c>
    </row>
    <row r="31450" spans="1:6" ht="15.75" customHeight="1">
      <c r="A31450" s="16" t="s">
        <v>28229</v>
      </c>
      <c r="B31450" s="15" t="s">
        <v>28229</v>
      </c>
      <c r="C31450" s="16" t="s">
        <v>27788</v>
      </c>
      <c r="D31450" s="16" t="s">
        <v>27822</v>
      </c>
      <c r="E31450" s="2">
        <v>4460162</v>
      </c>
      <c r="F31450" s="4" t="e">
        <f>IF(B31450=#REF!,"",B31450)</f>
        <v>#REF!</v>
      </c>
    </row>
    <row r="31451" spans="1:6" ht="15.75" customHeight="1">
      <c r="A31451" s="16" t="s">
        <v>27395</v>
      </c>
      <c r="B31451" s="15" t="s">
        <v>27395</v>
      </c>
      <c r="C31451" s="16" t="s">
        <v>27234</v>
      </c>
      <c r="D31451" s="16" t="s">
        <v>27241</v>
      </c>
      <c r="E31451" s="2">
        <v>6695247</v>
      </c>
      <c r="F31451" s="4" t="str">
        <f>IF(B31451=B31450,"",B31451)</f>
        <v>Chapel Allerton</v>
      </c>
    </row>
    <row r="31452" spans="1:6" ht="15.75" customHeight="1">
      <c r="A31452" s="16" t="str">
        <f ca="1">IFERROR(__xludf.DUMMYFUNCTION("GOOGLETRANSLATE(B25114,""en"",""pt"")"),"Chapecó")</f>
        <v>Chapecó</v>
      </c>
      <c r="B31452" s="20" t="s">
        <v>31682</v>
      </c>
      <c r="C31452" s="20" t="s">
        <v>1905</v>
      </c>
      <c r="D31452" s="20" t="s">
        <v>2020</v>
      </c>
      <c r="E31452" s="10">
        <v>3466296</v>
      </c>
      <c r="F31452" s="4" t="str">
        <f>IF(B31452=B31451,"",B31452)</f>
        <v>Chapecó</v>
      </c>
    </row>
    <row r="31453" spans="1:6" ht="15.75" customHeight="1">
      <c r="A31453" s="15" t="s">
        <v>2326</v>
      </c>
      <c r="B31453" s="15" t="s">
        <v>2327</v>
      </c>
      <c r="C31453" s="15" t="s">
        <v>1905</v>
      </c>
      <c r="D31453" s="15" t="s">
        <v>2020</v>
      </c>
      <c r="E31453" s="2">
        <v>3466296</v>
      </c>
      <c r="F31453" s="4" t="e">
        <f>IF(B31453=#REF!,"",B31453)</f>
        <v>#REF!</v>
      </c>
    </row>
    <row r="31454" spans="1:6" ht="15.75" customHeight="1">
      <c r="A31454" s="16" t="s">
        <v>22288</v>
      </c>
      <c r="B31454" s="15" t="s">
        <v>22288</v>
      </c>
      <c r="C31454" s="16" t="s">
        <v>22070</v>
      </c>
      <c r="D31454" s="16" t="s">
        <v>22227</v>
      </c>
      <c r="E31454" s="2">
        <v>569955</v>
      </c>
      <c r="F31454" s="4" t="e">
        <f>IF(B31454=#REF!,"",B31454)</f>
        <v>#REF!</v>
      </c>
    </row>
    <row r="31455" spans="1:6" ht="15.75" customHeight="1">
      <c r="A31455" s="15" t="s">
        <v>5421</v>
      </c>
      <c r="B31455" s="15" t="s">
        <v>5421</v>
      </c>
      <c r="C31455" s="15" t="s">
        <v>5348</v>
      </c>
      <c r="D31455" s="15" t="s">
        <v>5422</v>
      </c>
      <c r="E31455" s="2">
        <v>3686793</v>
      </c>
      <c r="F31455" s="4" t="str">
        <f>IF(B31455=B31454,"",B31455)</f>
        <v>Chaparral</v>
      </c>
    </row>
    <row r="31456" spans="1:6" ht="15.75" customHeight="1">
      <c r="A31456" s="16" t="str">
        <f ca="1">IFERROR(__xludf.DUMMYFUNCTION("GOOGLETRANSLATE(B33734,""en"",""pt"")"),"Chāpar")</f>
        <v>Chāpar</v>
      </c>
      <c r="B31456" s="20" t="s">
        <v>33834</v>
      </c>
      <c r="C31456" s="20" t="s">
        <v>10178</v>
      </c>
      <c r="D31456" s="20" t="s">
        <v>10239</v>
      </c>
      <c r="E31456" s="10">
        <v>1274618</v>
      </c>
      <c r="F31456" s="4" t="e">
        <f>IF(B31456=#REF!,"",B31456)</f>
        <v>#REF!</v>
      </c>
    </row>
    <row r="31457" spans="1:6" ht="15.75" customHeight="1">
      <c r="A31457" s="15" t="s">
        <v>17816</v>
      </c>
      <c r="B31457" s="15" t="s">
        <v>17816</v>
      </c>
      <c r="C31457" s="15" t="s">
        <v>17707</v>
      </c>
      <c r="D31457" s="15" t="s">
        <v>17746</v>
      </c>
      <c r="E31457" s="2">
        <v>4014553</v>
      </c>
      <c r="F31457" s="4" t="e">
        <f>IF(B31457=#REF!,"",B31457)</f>
        <v>#REF!</v>
      </c>
    </row>
    <row r="31458" spans="1:6" ht="15.75" customHeight="1">
      <c r="A31458" s="16" t="s">
        <v>2325</v>
      </c>
      <c r="B31458" s="15" t="s">
        <v>2325</v>
      </c>
      <c r="C31458" s="16" t="s">
        <v>1905</v>
      </c>
      <c r="D31458" s="16" t="s">
        <v>2024</v>
      </c>
      <c r="E31458" s="2">
        <v>3402229</v>
      </c>
      <c r="F31458" s="4" t="e">
        <f>IF(B31458=#REF!,"",B31458)</f>
        <v>#REF!</v>
      </c>
    </row>
    <row r="31459" spans="1:6" ht="15.75" customHeight="1">
      <c r="A31459" s="16" t="s">
        <v>4585</v>
      </c>
      <c r="B31459" s="15" t="s">
        <v>4585</v>
      </c>
      <c r="C31459" s="16" t="s">
        <v>4487</v>
      </c>
      <c r="D31459" s="16" t="s">
        <v>4492</v>
      </c>
      <c r="E31459" s="2">
        <v>1815395</v>
      </c>
      <c r="F31459" s="4" t="e">
        <f>IF(B31459=#REF!,"",B31459)</f>
        <v>#REF!</v>
      </c>
    </row>
    <row r="31460" spans="1:6" ht="15.75" customHeight="1">
      <c r="A31460" s="15" t="s">
        <v>4584</v>
      </c>
      <c r="B31460" s="15" t="s">
        <v>4584</v>
      </c>
      <c r="C31460" s="15" t="s">
        <v>4487</v>
      </c>
      <c r="D31460" s="15" t="s">
        <v>4518</v>
      </c>
      <c r="E31460" s="2">
        <v>2038118</v>
      </c>
      <c r="F31460" s="4" t="e">
        <f>IF(B31460=#REF!,"",B31460)</f>
        <v>#REF!</v>
      </c>
    </row>
    <row r="31461" spans="1:6" ht="15.75" customHeight="1">
      <c r="A31461" s="15" t="s">
        <v>4583</v>
      </c>
      <c r="B31461" s="15" t="s">
        <v>4583</v>
      </c>
      <c r="C31461" s="15" t="s">
        <v>4487</v>
      </c>
      <c r="D31461" s="15" t="s">
        <v>4501</v>
      </c>
      <c r="E31461" s="2">
        <v>1815427</v>
      </c>
      <c r="F31461" s="4" t="e">
        <f>IF(B31461=#REF!,"",B31461)</f>
        <v>#REF!</v>
      </c>
    </row>
    <row r="31462" spans="1:6" ht="15.75" customHeight="1">
      <c r="A31462" s="16" t="s">
        <v>25860</v>
      </c>
      <c r="B31462" s="15" t="s">
        <v>25860</v>
      </c>
      <c r="C31462" s="16" t="s">
        <v>25771</v>
      </c>
      <c r="D31462" s="16" t="s">
        <v>25860</v>
      </c>
      <c r="E31462" s="2">
        <v>1611269</v>
      </c>
      <c r="F31462" s="4" t="e">
        <f>IF(B31462=#REF!,"",B31462)</f>
        <v>#REF!</v>
      </c>
    </row>
    <row r="31463" spans="1:6" ht="15.75" customHeight="1">
      <c r="A31463" s="16" t="s">
        <v>28227</v>
      </c>
      <c r="B31463" s="15" t="s">
        <v>28228</v>
      </c>
      <c r="C31463" s="16" t="s">
        <v>27788</v>
      </c>
      <c r="D31463" s="16" t="s">
        <v>27792</v>
      </c>
      <c r="E31463" s="2">
        <v>4680388</v>
      </c>
      <c r="F31463" s="4" t="str">
        <f>IF(B31463=B31462,"",B31463)</f>
        <v>Channelview</v>
      </c>
    </row>
    <row r="31464" spans="1:6" ht="15.75" customHeight="1">
      <c r="A31464" s="16" t="str">
        <f ca="1">IFERROR(__xludf.DUMMYFUNCTION("GOOGLETRANSLATE(B33735,""en"",""pt"")"),"Channarāyapatna")</f>
        <v>Channarāyapatna</v>
      </c>
      <c r="B31464" s="20" t="s">
        <v>33835</v>
      </c>
      <c r="C31464" s="20" t="s">
        <v>10178</v>
      </c>
      <c r="D31464" s="20" t="s">
        <v>10252</v>
      </c>
      <c r="E31464" s="10">
        <v>1274640</v>
      </c>
      <c r="F31464" s="4" t="str">
        <f>IF(B31464=B31463,"",B31464)</f>
        <v>Channarāyapatna</v>
      </c>
    </row>
    <row r="31465" spans="1:6" ht="15.75" customHeight="1">
      <c r="A31465" s="16" t="s">
        <v>10921</v>
      </c>
      <c r="B31465" s="15" t="s">
        <v>10922</v>
      </c>
      <c r="C31465" s="16" t="s">
        <v>10178</v>
      </c>
      <c r="D31465" s="16" t="s">
        <v>10252</v>
      </c>
      <c r="E31465" s="2">
        <v>1274640</v>
      </c>
      <c r="F31465" s="4" t="e">
        <f>IF(B31465=#REF!,"",B31465)</f>
        <v>#REF!</v>
      </c>
    </row>
    <row r="31466" spans="1:6" ht="15.75" customHeight="1">
      <c r="A31466" s="16" t="s">
        <v>10920</v>
      </c>
      <c r="B31466" s="15" t="s">
        <v>10920</v>
      </c>
      <c r="C31466" s="16" t="s">
        <v>10178</v>
      </c>
      <c r="D31466" s="16" t="s">
        <v>10252</v>
      </c>
      <c r="E31466" s="2">
        <v>1274641</v>
      </c>
      <c r="F31466" s="4" t="e">
        <f>IF(B31466=#REF!,"",B31466)</f>
        <v>#REF!</v>
      </c>
    </row>
    <row r="31467" spans="1:6" ht="15.75" customHeight="1">
      <c r="A31467" s="16" t="s">
        <v>10919</v>
      </c>
      <c r="B31467" s="15" t="s">
        <v>10919</v>
      </c>
      <c r="C31467" s="16" t="s">
        <v>10178</v>
      </c>
      <c r="D31467" s="16" t="s">
        <v>10252</v>
      </c>
      <c r="E31467" s="2">
        <v>1274642</v>
      </c>
      <c r="F31467" s="4" t="e">
        <f>IF(B31467=#REF!,"",B31467)</f>
        <v>#REF!</v>
      </c>
    </row>
    <row r="31468" spans="1:6" ht="15.75" customHeight="1">
      <c r="A31468" s="15" t="s">
        <v>25585</v>
      </c>
      <c r="B31468" s="15" t="s">
        <v>25585</v>
      </c>
      <c r="C31468" s="15" t="s">
        <v>25560</v>
      </c>
      <c r="D31468" s="15" t="s">
        <v>25586</v>
      </c>
      <c r="E31468" s="2">
        <v>160592</v>
      </c>
      <c r="F31468" s="4" t="str">
        <f>IF(B31468=B31467,"",B31468)</f>
        <v>Chanika</v>
      </c>
    </row>
    <row r="31469" spans="1:6" ht="15.75" customHeight="1">
      <c r="A31469" s="15" t="s">
        <v>9491</v>
      </c>
      <c r="B31469" s="15" t="s">
        <v>9492</v>
      </c>
      <c r="C31469" s="15" t="s">
        <v>9441</v>
      </c>
      <c r="D31469" s="15" t="s">
        <v>9493</v>
      </c>
      <c r="E31469" s="2">
        <v>260114</v>
      </c>
      <c r="F31469" s="4" t="str">
        <f>IF(B31469=B31468,"",B31469)</f>
        <v>ChaniÃ¡</v>
      </c>
    </row>
    <row r="31470" spans="1:6" ht="15.75" customHeight="1">
      <c r="A31470" s="16" t="str">
        <f ca="1">IFERROR(__xludf.DUMMYFUNCTION("GOOGLETRANSLATE(B30993,""en"",""pt"")"),"Chaniá")</f>
        <v>Chaniá</v>
      </c>
      <c r="B31470" s="20" t="s">
        <v>32702</v>
      </c>
      <c r="C31470" s="20" t="s">
        <v>9441</v>
      </c>
      <c r="D31470" s="20" t="s">
        <v>9493</v>
      </c>
      <c r="E31470" s="10">
        <v>260114</v>
      </c>
      <c r="F31470" s="4" t="e">
        <f>IF(B31470=#REF!,"",B31470)</f>
        <v>#REF!</v>
      </c>
    </row>
    <row r="31471" spans="1:6" ht="15.75" customHeight="1">
      <c r="A31471" s="16" t="s">
        <v>28226</v>
      </c>
      <c r="B31471" s="15" t="s">
        <v>28226</v>
      </c>
      <c r="C31471" s="16" t="s">
        <v>27788</v>
      </c>
      <c r="D31471" s="16" t="s">
        <v>27824</v>
      </c>
      <c r="E31471" s="2">
        <v>5020881</v>
      </c>
      <c r="F31471" s="4" t="e">
        <f>IF(B31471=#REF!,"",B31471)</f>
        <v>#REF!</v>
      </c>
    </row>
    <row r="31472" spans="1:6" ht="15.75" customHeight="1">
      <c r="A31472" s="16" t="s">
        <v>4582</v>
      </c>
      <c r="B31472" s="15" t="s">
        <v>4582</v>
      </c>
      <c r="C31472" s="16" t="s">
        <v>4487</v>
      </c>
      <c r="D31472" s="16" t="s">
        <v>4535</v>
      </c>
      <c r="E31472" s="2">
        <v>1815456</v>
      </c>
      <c r="F31472" s="4" t="e">
        <f>IF(B31472=#REF!,"",B31472)</f>
        <v>#REF!</v>
      </c>
    </row>
    <row r="31473" spans="1:6" ht="15.75" customHeight="1">
      <c r="A31473" s="15" t="s">
        <v>4580</v>
      </c>
      <c r="B31473" s="15" t="s">
        <v>4580</v>
      </c>
      <c r="C31473" s="15" t="s">
        <v>4487</v>
      </c>
      <c r="D31473" s="15" t="s">
        <v>4581</v>
      </c>
      <c r="E31473" s="2">
        <v>1815463</v>
      </c>
      <c r="F31473" s="4" t="str">
        <f>IF(B31473=B31472,"",B31473)</f>
        <v>Changzhi</v>
      </c>
    </row>
    <row r="31474" spans="1:6" ht="15.75" customHeight="1">
      <c r="A31474" s="16" t="str">
        <f ca="1">IFERROR(__xludf.DUMMYFUNCTION("GOOGLETRANSLATE(B36018,""en"",""pt"")"),"Changyŏn")</f>
        <v>Changyŏn</v>
      </c>
      <c r="B31474" s="20" t="s">
        <v>34453</v>
      </c>
      <c r="C31474" s="20" t="s">
        <v>19589</v>
      </c>
      <c r="D31474" s="20" t="s">
        <v>19601</v>
      </c>
      <c r="E31474" s="10">
        <v>1879029</v>
      </c>
      <c r="F31474" s="4" t="str">
        <f>IF(B31474=B31473,"",B31474)</f>
        <v>Changyŏn</v>
      </c>
    </row>
    <row r="31475" spans="1:6" ht="15.75" customHeight="1">
      <c r="A31475" s="16" t="s">
        <v>19606</v>
      </c>
      <c r="B31475" s="15" t="s">
        <v>19607</v>
      </c>
      <c r="C31475" s="16" t="s">
        <v>19589</v>
      </c>
      <c r="D31475" s="16" t="s">
        <v>19601</v>
      </c>
      <c r="E31475" s="2">
        <v>1879029</v>
      </c>
      <c r="F31475" s="4" t="e">
        <f>IF(B31475=#REF!,"",B31475)</f>
        <v>#REF!</v>
      </c>
    </row>
    <row r="31476" spans="1:6" ht="15.75" customHeight="1">
      <c r="A31476" s="16" t="s">
        <v>24043</v>
      </c>
      <c r="B31476" s="15" t="s">
        <v>24043</v>
      </c>
      <c r="C31476" s="16" t="s">
        <v>24024</v>
      </c>
      <c r="D31476" s="16" t="s">
        <v>24040</v>
      </c>
      <c r="E31476" s="2">
        <v>1846326</v>
      </c>
      <c r="F31476" s="4" t="e">
        <f>IF(B31476=#REF!,"",B31476)</f>
        <v>#REF!</v>
      </c>
    </row>
    <row r="31477" spans="1:6" ht="15.75" customHeight="1">
      <c r="A31477" s="16" t="s">
        <v>20379</v>
      </c>
      <c r="B31477" s="15" t="s">
        <v>20379</v>
      </c>
      <c r="C31477" s="16" t="s">
        <v>20370</v>
      </c>
      <c r="D31477" s="16" t="s">
        <v>20380</v>
      </c>
      <c r="E31477" s="2">
        <v>3712560</v>
      </c>
      <c r="F31477" s="4" t="e">
        <f>IF(B31477=#REF!,"",B31477)</f>
        <v>#REF!</v>
      </c>
    </row>
    <row r="31478" spans="1:6" ht="15.75" customHeight="1">
      <c r="A31478" s="15" t="s">
        <v>4579</v>
      </c>
      <c r="B31478" s="15" t="s">
        <v>4579</v>
      </c>
      <c r="C31478" s="15" t="s">
        <v>4487</v>
      </c>
      <c r="D31478" s="15" t="s">
        <v>4505</v>
      </c>
      <c r="E31478" s="2">
        <v>2038139</v>
      </c>
      <c r="F31478" s="4" t="e">
        <f>IF(B31478=#REF!,"",B31478)</f>
        <v>#REF!</v>
      </c>
    </row>
    <row r="31479" spans="1:6" ht="15.75" customHeight="1">
      <c r="A31479" s="15" t="s">
        <v>24041</v>
      </c>
      <c r="B31479" s="15" t="s">
        <v>24041</v>
      </c>
      <c r="C31479" s="15" t="s">
        <v>24024</v>
      </c>
      <c r="D31479" s="15" t="s">
        <v>24042</v>
      </c>
      <c r="E31479" s="2">
        <v>1846355</v>
      </c>
      <c r="F31479" s="4" t="e">
        <f>IF(B31479=#REF!,"",B31479)</f>
        <v>#REF!</v>
      </c>
    </row>
    <row r="31480" spans="1:6" ht="15.75" customHeight="1">
      <c r="A31480" s="16" t="s">
        <v>4577</v>
      </c>
      <c r="B31480" s="15" t="s">
        <v>4578</v>
      </c>
      <c r="C31480" s="16" t="s">
        <v>4487</v>
      </c>
      <c r="D31480" s="16" t="s">
        <v>4535</v>
      </c>
      <c r="E31480" s="2">
        <v>7283386</v>
      </c>
      <c r="F31480" s="4" t="e">
        <f>IF(B31480=#REF!,"",B31480)</f>
        <v>#REF!</v>
      </c>
    </row>
    <row r="31481" spans="1:6" ht="15.75" customHeight="1">
      <c r="A31481" s="15" t="s">
        <v>4576</v>
      </c>
      <c r="B31481" s="15" t="s">
        <v>4576</v>
      </c>
      <c r="C31481" s="15" t="s">
        <v>4487</v>
      </c>
      <c r="D31481" s="15" t="s">
        <v>4495</v>
      </c>
      <c r="E31481" s="2">
        <v>1815577</v>
      </c>
      <c r="F31481" s="4" t="e">
        <f>IF(B31481=#REF!,"",B31481)</f>
        <v>#REF!</v>
      </c>
    </row>
    <row r="31482" spans="1:6" ht="15.75" customHeight="1">
      <c r="A31482" s="16" t="s">
        <v>4575</v>
      </c>
      <c r="B31482" s="15" t="s">
        <v>4575</v>
      </c>
      <c r="C31482" s="16" t="s">
        <v>4487</v>
      </c>
      <c r="D31482" s="16" t="s">
        <v>4503</v>
      </c>
      <c r="E31482" s="2">
        <v>1815585</v>
      </c>
      <c r="F31482" s="4" t="e">
        <f>IF(B31482=#REF!,"",B31482)</f>
        <v>#REF!</v>
      </c>
    </row>
    <row r="31483" spans="1:6" ht="15.75" customHeight="1">
      <c r="A31483" s="15" t="s">
        <v>4573</v>
      </c>
      <c r="B31483" s="15" t="s">
        <v>4574</v>
      </c>
      <c r="C31483" s="15" t="s">
        <v>4487</v>
      </c>
      <c r="D31483" s="15" t="s">
        <v>4546</v>
      </c>
      <c r="E31483" s="2">
        <v>2038154</v>
      </c>
      <c r="F31483" s="4" t="e">
        <f>IF(B31483=#REF!,"",B31483)</f>
        <v>#REF!</v>
      </c>
    </row>
    <row r="31484" spans="1:6" ht="15.75" customHeight="1">
      <c r="A31484" s="16" t="s">
        <v>24039</v>
      </c>
      <c r="B31484" s="15" t="s">
        <v>24039</v>
      </c>
      <c r="C31484" s="16" t="s">
        <v>24024</v>
      </c>
      <c r="D31484" s="16" t="s">
        <v>24040</v>
      </c>
      <c r="E31484" s="2">
        <v>6903078</v>
      </c>
      <c r="F31484" s="4" t="e">
        <f>IF(B31484=#REF!,"",B31484)</f>
        <v>#REF!</v>
      </c>
    </row>
    <row r="31485" spans="1:6" ht="15.75" customHeight="1">
      <c r="A31485" s="15" t="s">
        <v>4571</v>
      </c>
      <c r="B31485" s="15" t="s">
        <v>4572</v>
      </c>
      <c r="C31485" s="15" t="s">
        <v>4487</v>
      </c>
      <c r="D31485" s="15" t="s">
        <v>4518</v>
      </c>
      <c r="E31485" s="2">
        <v>2038158</v>
      </c>
      <c r="F31485" s="4" t="e">
        <f>IF(B31485=#REF!,"",B31485)</f>
        <v>#REF!</v>
      </c>
    </row>
    <row r="31486" spans="1:6" ht="15.75" customHeight="1">
      <c r="A31486" s="15" t="s">
        <v>4570</v>
      </c>
      <c r="B31486" s="15" t="s">
        <v>4570</v>
      </c>
      <c r="C31486" s="15" t="s">
        <v>4487</v>
      </c>
      <c r="D31486" s="15" t="s">
        <v>4529</v>
      </c>
      <c r="E31486" s="2">
        <v>1815656</v>
      </c>
      <c r="F31486" s="4" t="e">
        <f>IF(B31486=#REF!,"",B31486)</f>
        <v>#REF!</v>
      </c>
    </row>
    <row r="31487" spans="1:6" ht="15.75" customHeight="1">
      <c r="A31487" s="16" t="s">
        <v>4568</v>
      </c>
      <c r="B31487" s="15" t="s">
        <v>4568</v>
      </c>
      <c r="C31487" s="16" t="s">
        <v>4487</v>
      </c>
      <c r="D31487" s="16" t="s">
        <v>4569</v>
      </c>
      <c r="E31487" s="2">
        <v>1815667</v>
      </c>
      <c r="F31487" s="4" t="e">
        <f>IF(B31487=#REF!,"",B31487)</f>
        <v>#REF!</v>
      </c>
    </row>
    <row r="31488" spans="1:6" ht="15.75" customHeight="1">
      <c r="A31488" s="15" t="s">
        <v>4567</v>
      </c>
      <c r="B31488" s="15" t="s">
        <v>4567</v>
      </c>
      <c r="C31488" s="15" t="s">
        <v>4487</v>
      </c>
      <c r="D31488" s="15" t="s">
        <v>4490</v>
      </c>
      <c r="E31488" s="2">
        <v>1529569</v>
      </c>
      <c r="F31488" s="4" t="e">
        <f>IF(B31488=#REF!,"",B31488)</f>
        <v>#REF!</v>
      </c>
    </row>
    <row r="31489" spans="1:6" ht="15.75" customHeight="1">
      <c r="A31489" s="15" t="s">
        <v>4566</v>
      </c>
      <c r="B31489" s="15" t="s">
        <v>4566</v>
      </c>
      <c r="C31489" s="15" t="s">
        <v>4487</v>
      </c>
      <c r="D31489" s="15" t="s">
        <v>4495</v>
      </c>
      <c r="E31489" s="2">
        <v>1791121</v>
      </c>
      <c r="F31489" s="4" t="e">
        <f>IF(B31489=#REF!,"",B31489)</f>
        <v>#REF!</v>
      </c>
    </row>
    <row r="31490" spans="1:6" ht="15.75" customHeight="1">
      <c r="A31490" s="16" t="s">
        <v>4565</v>
      </c>
      <c r="B31490" s="15" t="s">
        <v>4565</v>
      </c>
      <c r="C31490" s="16" t="s">
        <v>4487</v>
      </c>
      <c r="D31490" s="16" t="s">
        <v>4518</v>
      </c>
      <c r="E31490" s="2">
        <v>2038180</v>
      </c>
      <c r="F31490" s="4" t="str">
        <f>IF(B31490=B31489,"",B31490)</f>
        <v>Changchun</v>
      </c>
    </row>
    <row r="31491" spans="1:6" ht="15.75" customHeight="1">
      <c r="A31491" s="16" t="str">
        <f ca="1">IFERROR(__xludf.DUMMYFUNCTION("GOOGLETRANSLATE(B33738,""en"",""pt"")"),"Changanācheri")</f>
        <v>Changanācheri</v>
      </c>
      <c r="B31491" s="20" t="s">
        <v>33836</v>
      </c>
      <c r="C31491" s="20" t="s">
        <v>10178</v>
      </c>
      <c r="D31491" s="20" t="s">
        <v>10246</v>
      </c>
      <c r="E31491" s="10">
        <v>1274664</v>
      </c>
      <c r="F31491" s="4" t="str">
        <f>IF(B31491=B31490,"",B31491)</f>
        <v>Changanācheri</v>
      </c>
    </row>
    <row r="31492" spans="1:6" ht="15.75" customHeight="1">
      <c r="A31492" s="16" t="s">
        <v>10917</v>
      </c>
      <c r="B31492" s="15" t="s">
        <v>10918</v>
      </c>
      <c r="C31492" s="16" t="s">
        <v>10178</v>
      </c>
      <c r="D31492" s="16" t="s">
        <v>10246</v>
      </c>
      <c r="E31492" s="2">
        <v>1274664</v>
      </c>
      <c r="F31492" s="4" t="str">
        <f>IF(B31492=B31491,"",B31492)</f>
        <v>ChanganÄcheri</v>
      </c>
    </row>
    <row r="31493" spans="1:6" ht="15.75" customHeight="1">
      <c r="A31493" s="16" t="str">
        <f ca="1">IFERROR(__xludf.DUMMYFUNCTION("GOOGLETRANSLATE(B33740,""en"",""pt"")"),"Chāndūr bāzār")</f>
        <v>Chāndūr bāzār</v>
      </c>
      <c r="B31493" s="20" t="s">
        <v>33838</v>
      </c>
      <c r="C31493" s="20" t="s">
        <v>10178</v>
      </c>
      <c r="D31493" s="20" t="s">
        <v>10214</v>
      </c>
      <c r="E31493" s="10">
        <v>1274674</v>
      </c>
      <c r="F31493" s="4" t="str">
        <f>IF(B31493=B31492,"",B31493)</f>
        <v>Chāndūr Bāzār</v>
      </c>
    </row>
    <row r="31494" spans="1:6" ht="15.75" customHeight="1">
      <c r="A31494" s="16" t="str">
        <f ca="1">IFERROR(__xludf.DUMMYFUNCTION("GOOGLETRANSLATE(B33741,""en"",""pt"")"),"Chāndūr")</f>
        <v>Chāndūr</v>
      </c>
      <c r="B31494" s="20" t="s">
        <v>33839</v>
      </c>
      <c r="C31494" s="20" t="s">
        <v>10178</v>
      </c>
      <c r="D31494" s="20" t="s">
        <v>10214</v>
      </c>
      <c r="E31494" s="10">
        <v>1274675</v>
      </c>
      <c r="F31494" s="4" t="str">
        <f>IF(B31494=B31493,"",B31494)</f>
        <v>Chāndūr</v>
      </c>
    </row>
    <row r="31495" spans="1:6" ht="15.75" customHeight="1">
      <c r="A31495" s="16" t="str">
        <f ca="1">IFERROR(__xludf.DUMMYFUNCTION("GOOGLETRANSLATE(B33742,""en"",""pt"")"),"Chāndur")</f>
        <v>Chāndur</v>
      </c>
      <c r="B31495" s="20" t="s">
        <v>33840</v>
      </c>
      <c r="C31495" s="20" t="s">
        <v>10178</v>
      </c>
      <c r="D31495" s="20" t="s">
        <v>10214</v>
      </c>
      <c r="E31495" s="10">
        <v>1274676</v>
      </c>
      <c r="F31495" s="4" t="e">
        <f>IF(B31495=#REF!,"",B31495)</f>
        <v>#REF!</v>
      </c>
    </row>
    <row r="31496" spans="1:6" ht="15.75" customHeight="1">
      <c r="A31496" s="16" t="s">
        <v>10916</v>
      </c>
      <c r="B31496" s="15" t="s">
        <v>10916</v>
      </c>
      <c r="C31496" s="16" t="s">
        <v>10178</v>
      </c>
      <c r="D31496" s="16" t="s">
        <v>10193</v>
      </c>
      <c r="E31496" s="2">
        <v>1274767</v>
      </c>
      <c r="F31496" s="4" t="e">
        <f>IF(B31496=#REF!,"",B31496)</f>
        <v>#REF!</v>
      </c>
    </row>
    <row r="31497" spans="1:6" ht="15.75" customHeight="1">
      <c r="A31497" s="16" t="s">
        <v>10915</v>
      </c>
      <c r="B31497" s="15" t="s">
        <v>10915</v>
      </c>
      <c r="C31497" s="16" t="s">
        <v>10178</v>
      </c>
      <c r="D31497" s="16" t="s">
        <v>10201</v>
      </c>
      <c r="E31497" s="2">
        <v>1274699</v>
      </c>
      <c r="F31497" s="4" t="str">
        <f>IF(B31497=B31496,"",B31497)</f>
        <v>Chandrakona</v>
      </c>
    </row>
    <row r="31498" spans="1:6" ht="15.75" customHeight="1">
      <c r="A31498" s="16" t="str">
        <f ca="1">IFERROR(__xludf.DUMMYFUNCTION("GOOGLETRANSLATE(B33745,""en"",""pt"")"),"Chāndpur")</f>
        <v>Chāndpur</v>
      </c>
      <c r="B31498" s="20" t="s">
        <v>33842</v>
      </c>
      <c r="C31498" s="20" t="s">
        <v>10178</v>
      </c>
      <c r="D31498" s="20" t="s">
        <v>10193</v>
      </c>
      <c r="E31498" s="10">
        <v>1274714</v>
      </c>
      <c r="F31498" s="4" t="str">
        <f>IF(B31498=B31497,"",B31498)</f>
        <v>Chāndpur</v>
      </c>
    </row>
    <row r="31499" spans="1:6" ht="15.75" customHeight="1">
      <c r="A31499" s="16" t="str">
        <f ca="1">IFERROR(__xludf.DUMMYFUNCTION("GOOGLETRANSLATE(B33739,""en"",""pt"")"),"Chāndor")</f>
        <v>Chāndor</v>
      </c>
      <c r="B31499" s="20" t="s">
        <v>33837</v>
      </c>
      <c r="C31499" s="20" t="s">
        <v>10178</v>
      </c>
      <c r="D31499" s="20" t="s">
        <v>10214</v>
      </c>
      <c r="E31499" s="10">
        <v>1274673</v>
      </c>
      <c r="F31499" s="4" t="e">
        <f>IF(B31499=#REF!,"",B31499)</f>
        <v>#REF!</v>
      </c>
    </row>
    <row r="31500" spans="1:6" ht="15.75" customHeight="1">
      <c r="A31500" s="15" t="s">
        <v>28225</v>
      </c>
      <c r="B31500" s="15" t="s">
        <v>28225</v>
      </c>
      <c r="C31500" s="15" t="s">
        <v>27788</v>
      </c>
      <c r="D31500" s="15" t="s">
        <v>27880</v>
      </c>
      <c r="E31500" s="2">
        <v>5289282</v>
      </c>
      <c r="F31500" s="4" t="e">
        <f>IF(B31500=#REF!,"",B31500)</f>
        <v>#REF!</v>
      </c>
    </row>
    <row r="31501" spans="1:6" ht="15.75" customHeight="1">
      <c r="A31501" s="16" t="s">
        <v>10914</v>
      </c>
      <c r="B31501" s="15" t="s">
        <v>10914</v>
      </c>
      <c r="C31501" s="16" t="s">
        <v>10178</v>
      </c>
      <c r="D31501" s="16" t="s">
        <v>10914</v>
      </c>
      <c r="E31501" s="2">
        <v>1274746</v>
      </c>
      <c r="F31501" s="4" t="e">
        <f>IF(B31501=#REF!,"",B31501)</f>
        <v>#REF!</v>
      </c>
    </row>
    <row r="31502" spans="1:6" ht="15.75" customHeight="1">
      <c r="A31502" s="15" t="s">
        <v>10913</v>
      </c>
      <c r="B31502" s="15" t="s">
        <v>10913</v>
      </c>
      <c r="C31502" s="15" t="s">
        <v>10178</v>
      </c>
      <c r="D31502" s="15" t="s">
        <v>10219</v>
      </c>
      <c r="E31502" s="2">
        <v>1274755</v>
      </c>
      <c r="F31502" s="4" t="e">
        <f>IF(B31502=#REF!,"",B31502)</f>
        <v>#REF!</v>
      </c>
    </row>
    <row r="31503" spans="1:6" ht="15.75" customHeight="1">
      <c r="A31503" s="16" t="s">
        <v>10912</v>
      </c>
      <c r="B31503" s="15" t="s">
        <v>10912</v>
      </c>
      <c r="C31503" s="16" t="s">
        <v>10178</v>
      </c>
      <c r="D31503" s="16" t="s">
        <v>10193</v>
      </c>
      <c r="E31503" s="2">
        <v>1274770</v>
      </c>
      <c r="F31503" s="4" t="e">
        <f>IF(B31503=#REF!,"",B31503)</f>
        <v>#REF!</v>
      </c>
    </row>
    <row r="31504" spans="1:6" ht="15.75" customHeight="1">
      <c r="A31504" s="16" t="s">
        <v>10911</v>
      </c>
      <c r="B31504" s="15" t="s">
        <v>10911</v>
      </c>
      <c r="C31504" s="16" t="s">
        <v>10178</v>
      </c>
      <c r="D31504" s="16" t="s">
        <v>10201</v>
      </c>
      <c r="E31504" s="2">
        <v>1274784</v>
      </c>
      <c r="F31504" s="4" t="str">
        <f>IF(B31504=B31503,"",B31504)</f>
        <v>Chandannagar</v>
      </c>
    </row>
    <row r="31505" spans="1:6" ht="15.75" customHeight="1">
      <c r="A31505" s="16" t="str">
        <f ca="1">IFERROR(__xludf.DUMMYFUNCTION("GOOGLETRANSLATE(B33743,""en"",""pt"")"),"Chānda")</f>
        <v>Chānda</v>
      </c>
      <c r="B31505" s="20" t="s">
        <v>33841</v>
      </c>
      <c r="C31505" s="20" t="s">
        <v>10178</v>
      </c>
      <c r="D31505" s="20" t="s">
        <v>10214</v>
      </c>
      <c r="E31505" s="10">
        <v>1274693</v>
      </c>
      <c r="F31505" s="4" t="e">
        <f>IF(B31505=#REF!,"",B31505)</f>
        <v>#REF!</v>
      </c>
    </row>
    <row r="31506" spans="1:6" ht="15.75" customHeight="1">
      <c r="A31506" s="15" t="s">
        <v>20490</v>
      </c>
      <c r="B31506" s="15" t="s">
        <v>20490</v>
      </c>
      <c r="C31506" s="15" t="s">
        <v>20470</v>
      </c>
      <c r="D31506" s="15" t="s">
        <v>20479</v>
      </c>
      <c r="E31506" s="2">
        <v>3944399</v>
      </c>
      <c r="F31506" s="4" t="str">
        <f>IF(B31506=B31505,"",B31506)</f>
        <v>Chancay</v>
      </c>
    </row>
    <row r="31507" spans="1:6" ht="15.75" customHeight="1">
      <c r="A31507" s="16" t="str">
        <f ca="1">IFERROR(__xludf.DUMMYFUNCTION("GOOGLETRANSLATE(B33751,""en"",""pt"")"),"Chānasma")</f>
        <v>Chānasma</v>
      </c>
      <c r="B31507" s="20" t="s">
        <v>33843</v>
      </c>
      <c r="C31507" s="20" t="s">
        <v>10178</v>
      </c>
      <c r="D31507" s="20" t="s">
        <v>10209</v>
      </c>
      <c r="E31507" s="10">
        <v>1274807</v>
      </c>
      <c r="F31507" s="4" t="e">
        <f>IF(B31507=#REF!,"",B31507)</f>
        <v>#REF!</v>
      </c>
    </row>
    <row r="31508" spans="1:6" ht="15.75" customHeight="1">
      <c r="A31508" s="16" t="s">
        <v>10910</v>
      </c>
      <c r="B31508" s="15" t="s">
        <v>10910</v>
      </c>
      <c r="C31508" s="16" t="s">
        <v>10178</v>
      </c>
      <c r="D31508" s="16" t="s">
        <v>10252</v>
      </c>
      <c r="E31508" s="2">
        <v>1274821</v>
      </c>
      <c r="F31508" s="4" t="e">
        <f>IF(B31508=#REF!,"",B31508)</f>
        <v>#REF!</v>
      </c>
    </row>
    <row r="31509" spans="1:6" ht="15.75" customHeight="1">
      <c r="A31509" s="16" t="s">
        <v>7248</v>
      </c>
      <c r="B31509" s="15" t="s">
        <v>7248</v>
      </c>
      <c r="C31509" s="16" t="s">
        <v>7052</v>
      </c>
      <c r="D31509" s="16" t="s">
        <v>7058</v>
      </c>
      <c r="E31509" s="2">
        <v>3027014</v>
      </c>
      <c r="F31509" s="4" t="str">
        <f>IF(B31509=B31508,"",B31509)</f>
        <v>Champs-sur-Marne</v>
      </c>
    </row>
    <row r="31510" spans="1:6" ht="15.75" customHeight="1">
      <c r="A31510" s="16" t="str">
        <f ca="1">IFERROR(__xludf.DUMMYFUNCTION("GOOGLETRANSLATE(B37074,""en"",""pt"")"),"Champotón")</f>
        <v>Champotón</v>
      </c>
      <c r="B31510" s="20" t="s">
        <v>34712</v>
      </c>
      <c r="C31510" s="20" t="s">
        <v>17707</v>
      </c>
      <c r="D31510" s="20" t="s">
        <v>17794</v>
      </c>
      <c r="E31510" s="10">
        <v>3531177</v>
      </c>
      <c r="F31510" s="4" t="str">
        <f>IF(B31510=B31509,"",B31510)</f>
        <v>Champotón</v>
      </c>
    </row>
    <row r="31511" spans="1:6" ht="15.75" customHeight="1">
      <c r="A31511" s="16" t="s">
        <v>17814</v>
      </c>
      <c r="B31511" s="15" t="s">
        <v>17815</v>
      </c>
      <c r="C31511" s="16" t="s">
        <v>17707</v>
      </c>
      <c r="D31511" s="16" t="s">
        <v>17794</v>
      </c>
      <c r="E31511" s="2">
        <v>3531177</v>
      </c>
      <c r="F31511" s="4" t="e">
        <f>IF(B31511=#REF!,"",B31511)</f>
        <v>#REF!</v>
      </c>
    </row>
    <row r="31512" spans="1:6" ht="15.75" customHeight="1">
      <c r="A31512" s="15" t="s">
        <v>28224</v>
      </c>
      <c r="B31512" s="15" t="s">
        <v>28224</v>
      </c>
      <c r="C31512" s="15" t="s">
        <v>27788</v>
      </c>
      <c r="D31512" s="15" t="s">
        <v>27824</v>
      </c>
      <c r="E31512" s="2">
        <v>5020859</v>
      </c>
      <c r="F31512" s="4" t="e">
        <f>IF(B31512=#REF!,"",B31512)</f>
        <v>#REF!</v>
      </c>
    </row>
    <row r="31513" spans="1:6" ht="15.75" customHeight="1">
      <c r="A31513" s="16" t="s">
        <v>7247</v>
      </c>
      <c r="B31513" s="15" t="s">
        <v>7247</v>
      </c>
      <c r="C31513" s="16" t="s">
        <v>7052</v>
      </c>
      <c r="D31513" s="16" t="s">
        <v>7058</v>
      </c>
      <c r="E31513" s="2">
        <v>3027105</v>
      </c>
      <c r="F31513" s="4" t="e">
        <f>IF(B31513=#REF!,"",B31513)</f>
        <v>#REF!</v>
      </c>
    </row>
    <row r="31514" spans="1:6" ht="15.75" customHeight="1">
      <c r="A31514" s="16" t="s">
        <v>28223</v>
      </c>
      <c r="B31514" s="15" t="s">
        <v>28223</v>
      </c>
      <c r="C31514" s="16" t="s">
        <v>27788</v>
      </c>
      <c r="D31514" s="16" t="s">
        <v>27799</v>
      </c>
      <c r="E31514" s="2">
        <v>4887158</v>
      </c>
      <c r="F31514" s="4" t="str">
        <f>IF(B31514=B31513,"",B31514)</f>
        <v>Champaign</v>
      </c>
    </row>
    <row r="31515" spans="1:6" ht="15.75" customHeight="1">
      <c r="A31515" s="16" t="str">
        <f ca="1">IFERROR(__xludf.DUMMYFUNCTION("GOOGLETRANSLATE(B33753,""en"",""pt"")"),"Chāmpa")</f>
        <v>Chāmpa</v>
      </c>
      <c r="B31515" s="20" t="s">
        <v>33844</v>
      </c>
      <c r="C31515" s="20" t="s">
        <v>10178</v>
      </c>
      <c r="D31515" s="20" t="s">
        <v>10272</v>
      </c>
      <c r="E31515" s="10">
        <v>1274837</v>
      </c>
      <c r="F31515" s="4" t="e">
        <f>IF(B31515=#REF!,"",B31515)</f>
        <v>#REF!</v>
      </c>
    </row>
    <row r="31516" spans="1:6" ht="15.75" customHeight="1">
      <c r="A31516" s="15" t="s">
        <v>4018</v>
      </c>
      <c r="B31516" s="15" t="s">
        <v>4018</v>
      </c>
      <c r="C31516" s="15" t="s">
        <v>3975</v>
      </c>
      <c r="D31516" s="15" t="s">
        <v>3982</v>
      </c>
      <c r="E31516" s="2">
        <v>5919566</v>
      </c>
      <c r="F31516" s="4" t="str">
        <f>IF(B31516=B31515,"",B31516)</f>
        <v>Chambly</v>
      </c>
    </row>
    <row r="31517" spans="1:6" ht="15.75" customHeight="1">
      <c r="A31517" s="16" t="str">
        <f ca="1">IFERROR(__xludf.DUMMYFUNCTION("GOOGLETRANSLATE(B30167,""en"",""pt"")"),"Chambéry")</f>
        <v>Chambéry</v>
      </c>
      <c r="B31517" s="20" t="s">
        <v>32630</v>
      </c>
      <c r="C31517" s="20" t="s">
        <v>7052</v>
      </c>
      <c r="D31517" s="20" t="s">
        <v>32532</v>
      </c>
      <c r="E31517" s="10">
        <v>3027422</v>
      </c>
      <c r="F31517" s="4" t="e">
        <f>IF(B31517=#REF!,"",B31517)</f>
        <v>#REF!</v>
      </c>
    </row>
    <row r="31518" spans="1:6" ht="15.75" customHeight="1">
      <c r="A31518" s="16" t="s">
        <v>28222</v>
      </c>
      <c r="B31518" s="15" t="s">
        <v>28222</v>
      </c>
      <c r="C31518" s="16" t="s">
        <v>27788</v>
      </c>
      <c r="D31518" s="16" t="s">
        <v>27836</v>
      </c>
      <c r="E31518" s="2">
        <v>4557109</v>
      </c>
      <c r="F31518" s="4" t="str">
        <f>IF(B31518=B31517,"",B31518)</f>
        <v>Chambersburg</v>
      </c>
    </row>
    <row r="31519" spans="1:6" ht="15.75" customHeight="1">
      <c r="A31519" s="16" t="str">
        <f ca="1">IFERROR(__xludf.DUMMYFUNCTION("GOOGLETRANSLATE(B29495,""en"",""pt"")"),"Chamberí")</f>
        <v>Chamberí</v>
      </c>
      <c r="B31519" s="20" t="s">
        <v>32480</v>
      </c>
      <c r="C31519" s="20" t="s">
        <v>24200</v>
      </c>
      <c r="D31519" s="20" t="s">
        <v>5513</v>
      </c>
      <c r="E31519" s="10">
        <v>6544492</v>
      </c>
      <c r="F31519" s="4" t="str">
        <f>IF(B31519=B31518,"",B31519)</f>
        <v>Chamberí</v>
      </c>
    </row>
    <row r="31520" spans="1:6" ht="15.75" customHeight="1">
      <c r="A31520" s="15" t="s">
        <v>24401</v>
      </c>
      <c r="B31520" s="15" t="s">
        <v>24402</v>
      </c>
      <c r="C31520" s="15" t="s">
        <v>24200</v>
      </c>
      <c r="D31520" s="15" t="s">
        <v>5513</v>
      </c>
      <c r="E31520" s="2">
        <v>6544492</v>
      </c>
      <c r="F31520" s="4" t="e">
        <f>IF(B31520=#REF!,"",B31520)</f>
        <v>#REF!</v>
      </c>
    </row>
    <row r="31521" spans="1:6" ht="15.75" customHeight="1">
      <c r="A31521" s="15" t="s">
        <v>5815</v>
      </c>
      <c r="B31521" s="15" t="s">
        <v>5815</v>
      </c>
      <c r="C31521" s="15" t="s">
        <v>5764</v>
      </c>
      <c r="D31521" s="15" t="s">
        <v>5785</v>
      </c>
      <c r="E31521" s="2">
        <v>3564394</v>
      </c>
      <c r="F31521" s="4" t="str">
        <f>IF(B31521=B31520,"",B31521)</f>
        <v>Chambas</v>
      </c>
    </row>
    <row r="31522" spans="1:6" ht="15.75" customHeight="1">
      <c r="A31522" s="16" t="s">
        <v>7245</v>
      </c>
      <c r="B31522" s="15" t="s">
        <v>7246</v>
      </c>
      <c r="C31522" s="16" t="s">
        <v>7052</v>
      </c>
      <c r="D31522" s="16" t="s">
        <v>7053</v>
      </c>
      <c r="E31522" s="2">
        <v>3027422</v>
      </c>
      <c r="F31522" s="4" t="e">
        <f>IF(B31522=#REF!,"",B31522)</f>
        <v>#REF!</v>
      </c>
    </row>
    <row r="31523" spans="1:6" ht="15.75" customHeight="1">
      <c r="A31523" s="15" t="s">
        <v>10909</v>
      </c>
      <c r="B31523" s="15" t="s">
        <v>10909</v>
      </c>
      <c r="C31523" s="15" t="s">
        <v>10178</v>
      </c>
      <c r="D31523" s="15" t="s">
        <v>10538</v>
      </c>
      <c r="E31523" s="2">
        <v>1274848</v>
      </c>
      <c r="F31523" s="4" t="str">
        <f>IF(B31523=B31522,"",B31523)</f>
        <v>Chamba</v>
      </c>
    </row>
    <row r="31524" spans="1:6" ht="15.75" customHeight="1">
      <c r="A31524" s="16" t="str">
        <f ca="1">IFERROR(__xludf.DUMMYFUNCTION("GOOGLETRANSLATE(B29426,""en"",""pt"")"),"Chamartín")</f>
        <v>Chamartín</v>
      </c>
      <c r="B31524" s="20" t="s">
        <v>32464</v>
      </c>
      <c r="C31524" s="20" t="s">
        <v>24200</v>
      </c>
      <c r="D31524" s="20" t="s">
        <v>5513</v>
      </c>
      <c r="E31524" s="10">
        <v>3125239</v>
      </c>
      <c r="F31524" s="4" t="str">
        <f>IF(B31524=B31523,"",B31524)</f>
        <v>Chamartín</v>
      </c>
    </row>
    <row r="31525" spans="1:6" ht="15.75" customHeight="1">
      <c r="A31525" s="16" t="s">
        <v>24399</v>
      </c>
      <c r="B31525" s="15" t="s">
        <v>24400</v>
      </c>
      <c r="C31525" s="16" t="s">
        <v>24200</v>
      </c>
      <c r="D31525" s="16" t="s">
        <v>5513</v>
      </c>
      <c r="E31525" s="2">
        <v>3125239</v>
      </c>
      <c r="F31525" s="4" t="e">
        <f>IF(B31525=#REF!,"",B31525)</f>
        <v>#REF!</v>
      </c>
    </row>
    <row r="31526" spans="1:6" ht="15.75" customHeight="1">
      <c r="A31526" s="15" t="s">
        <v>19862</v>
      </c>
      <c r="B31526" s="15" t="s">
        <v>19862</v>
      </c>
      <c r="C31526" s="15" t="s">
        <v>19808</v>
      </c>
      <c r="D31526" s="15" t="s">
        <v>19833</v>
      </c>
      <c r="E31526" s="2">
        <v>1181611</v>
      </c>
      <c r="F31526" s="4" t="str">
        <f>IF(B31526=B31525,"",B31526)</f>
        <v>Chaman</v>
      </c>
    </row>
    <row r="31527" spans="1:6" ht="15.75" customHeight="1">
      <c r="A31527" s="16" t="str">
        <f ca="1">IFERROR(__xludf.DUMMYFUNCTION("GOOGLETRANSLATE(B30168,""en"",""pt"")"),"Chamalières")</f>
        <v>Chamalières</v>
      </c>
      <c r="B31527" s="20" t="s">
        <v>32631</v>
      </c>
      <c r="C31527" s="20" t="s">
        <v>7052</v>
      </c>
      <c r="D31527" s="20" t="s">
        <v>32532</v>
      </c>
      <c r="E31527" s="10">
        <v>3027453</v>
      </c>
      <c r="F31527" s="4" t="str">
        <f>IF(B31527=B31526,"",B31527)</f>
        <v>Chamalières</v>
      </c>
    </row>
    <row r="31528" spans="1:6" ht="15.75" customHeight="1">
      <c r="A31528" s="16" t="s">
        <v>7243</v>
      </c>
      <c r="B31528" s="15" t="s">
        <v>7244</v>
      </c>
      <c r="C31528" s="16" t="s">
        <v>7052</v>
      </c>
      <c r="D31528" s="16" t="s">
        <v>7053</v>
      </c>
      <c r="E31528" s="2">
        <v>3027453</v>
      </c>
      <c r="F31528" s="4" t="e">
        <f>IF(B31528=#REF!,"",B31528)</f>
        <v>#REF!</v>
      </c>
    </row>
    <row r="31529" spans="1:6" ht="15.75" customHeight="1">
      <c r="A31529" s="15" t="s">
        <v>8261</v>
      </c>
      <c r="B31529" s="15" t="s">
        <v>8261</v>
      </c>
      <c r="C31529" s="15" t="s">
        <v>8028</v>
      </c>
      <c r="D31529" s="15" t="s">
        <v>8044</v>
      </c>
      <c r="E31529" s="2">
        <v>2940204</v>
      </c>
      <c r="F31529" s="4" t="str">
        <f>IF(B31529=B31528,"",B31529)</f>
        <v>Cham</v>
      </c>
    </row>
    <row r="31530" spans="1:6" ht="15.75" customHeight="1">
      <c r="A31530" s="16" t="str">
        <f ca="1">IFERROR(__xludf.DUMMYFUNCTION("GOOGLETRANSLATE(B34468,""en"",""pt"")"),"Chālūs")</f>
        <v>Chālūs</v>
      </c>
      <c r="B31530" s="20" t="s">
        <v>34215</v>
      </c>
      <c r="C31530" s="20" t="s">
        <v>14240</v>
      </c>
      <c r="D31530" s="20" t="s">
        <v>34132</v>
      </c>
      <c r="E31530" s="10">
        <v>139223</v>
      </c>
      <c r="F31530" s="4" t="str">
        <f>IF(B31530=B31529,"",B31530)</f>
        <v>Chālūs</v>
      </c>
    </row>
    <row r="31531" spans="1:6" ht="15.75" customHeight="1">
      <c r="A31531" s="16" t="str">
        <f ca="1">IFERROR(__xludf.DUMMYFUNCTION("GOOGLETRANSLATE(B30169,""en"",""pt"")"),"Chalon-sur-Saône")</f>
        <v>Chalon-sur-Saône</v>
      </c>
      <c r="B31531" s="20" t="s">
        <v>32632</v>
      </c>
      <c r="C31531" s="20" t="s">
        <v>7052</v>
      </c>
      <c r="D31531" s="20" t="s">
        <v>32540</v>
      </c>
      <c r="E31531" s="10">
        <v>3027484</v>
      </c>
      <c r="F31531" s="4" t="str">
        <f>IF(B31531=B31530,"",B31531)</f>
        <v>Chalon-sur-Saône</v>
      </c>
    </row>
    <row r="31532" spans="1:6" ht="15.75" customHeight="1">
      <c r="A31532" s="16" t="s">
        <v>7241</v>
      </c>
      <c r="B31532" s="15" t="s">
        <v>7242</v>
      </c>
      <c r="C31532" s="16" t="s">
        <v>7052</v>
      </c>
      <c r="D31532" s="16" t="s">
        <v>7128</v>
      </c>
      <c r="E31532" s="2">
        <v>3027484</v>
      </c>
      <c r="F31532" s="4" t="str">
        <f>IF(B31532=B31531,"",B31532)</f>
        <v>Chalon-sur-SaÃ´ne</v>
      </c>
    </row>
    <row r="31533" spans="1:6" ht="15.75" customHeight="1">
      <c r="A31533" s="16" t="str">
        <f ca="1">IFERROR(__xludf.DUMMYFUNCTION("GOOGLETRANSLATE(B30170,""en"",""pt"")"),"Châlons-en-Champagne")</f>
        <v>Châlons-en-Champagne</v>
      </c>
      <c r="B31533" s="20" t="s">
        <v>32633</v>
      </c>
      <c r="C31533" s="20" t="s">
        <v>7052</v>
      </c>
      <c r="D31533" s="20" t="s">
        <v>7061</v>
      </c>
      <c r="E31533" s="10">
        <v>3027487</v>
      </c>
      <c r="F31533" s="4" t="e">
        <f>IF(B31533=#REF!,"",B31533)</f>
        <v>#REF!</v>
      </c>
    </row>
    <row r="31534" spans="1:6" ht="15.75" customHeight="1">
      <c r="A31534" s="16" t="s">
        <v>28221</v>
      </c>
      <c r="B31534" s="15" t="s">
        <v>28221</v>
      </c>
      <c r="C31534" s="16" t="s">
        <v>27788</v>
      </c>
      <c r="D31534" s="16" t="s">
        <v>27827</v>
      </c>
      <c r="E31534" s="2">
        <v>4319518</v>
      </c>
      <c r="F31534" s="4" t="e">
        <f>IF(B31534=#REF!,"",B31534)</f>
        <v>#REF!</v>
      </c>
    </row>
    <row r="31535" spans="1:6" ht="15.75" customHeight="1">
      <c r="A31535" s="16" t="s">
        <v>10908</v>
      </c>
      <c r="B31535" s="15" t="s">
        <v>10908</v>
      </c>
      <c r="C31535" s="16" t="s">
        <v>10178</v>
      </c>
      <c r="D31535" s="16" t="s">
        <v>10190</v>
      </c>
      <c r="E31535" s="2">
        <v>1274861</v>
      </c>
      <c r="F31535" s="4" t="e">
        <f>IF(B31535=#REF!,"",B31535)</f>
        <v>#REF!</v>
      </c>
    </row>
    <row r="31536" spans="1:6" ht="15.75" customHeight="1">
      <c r="A31536" s="15" t="s">
        <v>7240</v>
      </c>
      <c r="B31536" s="15" t="s">
        <v>7240</v>
      </c>
      <c r="C31536" s="15" t="s">
        <v>7052</v>
      </c>
      <c r="D31536" s="15" t="s">
        <v>7102</v>
      </c>
      <c r="E31536" s="2">
        <v>3027513</v>
      </c>
      <c r="F31536" s="4" t="e">
        <f>IF(B31536=#REF!,"",B31536)</f>
        <v>#REF!</v>
      </c>
    </row>
    <row r="31537" spans="1:6" ht="15.75" customHeight="1">
      <c r="A31537" s="16" t="s">
        <v>10907</v>
      </c>
      <c r="B31537" s="15" t="s">
        <v>10907</v>
      </c>
      <c r="C31537" s="16" t="s">
        <v>10178</v>
      </c>
      <c r="D31537" s="16" t="s">
        <v>10252</v>
      </c>
      <c r="E31537" s="2">
        <v>1274862</v>
      </c>
      <c r="F31537" s="4" t="str">
        <f>IF(B31537=B31536,"",B31537)</f>
        <v>Challakere</v>
      </c>
    </row>
    <row r="31538" spans="1:6" ht="15.75" customHeight="1">
      <c r="A31538" s="16" t="str">
        <f ca="1">IFERROR(__xludf.DUMMYFUNCTION("GOOGLETRANSLATE(B30994,""en"",""pt"")"),"Chalkída")</f>
        <v>Chalkída</v>
      </c>
      <c r="B31538" s="20" t="s">
        <v>32703</v>
      </c>
      <c r="C31538" s="20" t="s">
        <v>9441</v>
      </c>
      <c r="D31538" s="20" t="s">
        <v>9490</v>
      </c>
      <c r="E31538" s="10">
        <v>260133</v>
      </c>
      <c r="F31538" s="4" t="str">
        <f>IF(B31538=B31537,"",B31538)</f>
        <v>Chalkída</v>
      </c>
    </row>
    <row r="31539" spans="1:6" ht="15.75" customHeight="1">
      <c r="A31539" s="15" t="s">
        <v>9488</v>
      </c>
      <c r="B31539" s="15" t="s">
        <v>9489</v>
      </c>
      <c r="C31539" s="15" t="s">
        <v>9441</v>
      </c>
      <c r="D31539" s="15" t="s">
        <v>9490</v>
      </c>
      <c r="E31539" s="2">
        <v>260133</v>
      </c>
      <c r="F31539" s="4" t="str">
        <f>IF(B31539=B31538,"",B31539)</f>
        <v>ChalkÃ­da</v>
      </c>
    </row>
    <row r="31540" spans="1:6" ht="15.75" customHeight="1">
      <c r="A31540" s="16" t="str">
        <f ca="1">IFERROR(__xludf.DUMMYFUNCTION("GOOGLETRANSLATE(B33757,""en"",""pt"")"),"Chālisgaon")</f>
        <v>Chālisgaon</v>
      </c>
      <c r="B31540" s="20" t="s">
        <v>33845</v>
      </c>
      <c r="C31540" s="20" t="s">
        <v>10178</v>
      </c>
      <c r="D31540" s="20" t="s">
        <v>10214</v>
      </c>
      <c r="E31540" s="10">
        <v>1274868</v>
      </c>
      <c r="F31540" s="4" t="e">
        <f>IF(B31540=#REF!,"",B31540)</f>
        <v>#REF!</v>
      </c>
    </row>
    <row r="31541" spans="1:6" ht="15.75" customHeight="1">
      <c r="A31541" s="15" t="s">
        <v>25584</v>
      </c>
      <c r="B31541" s="15" t="s">
        <v>25584</v>
      </c>
      <c r="C31541" s="15" t="s">
        <v>25560</v>
      </c>
      <c r="D31541" s="15" t="s">
        <v>25564</v>
      </c>
      <c r="E31541" s="2">
        <v>160660</v>
      </c>
      <c r="F31541" s="4" t="e">
        <f>IF(B31541=#REF!,"",B31541)</f>
        <v>#REF!</v>
      </c>
    </row>
    <row r="31542" spans="1:6" ht="15.75" customHeight="1">
      <c r="A31542" s="16" t="s">
        <v>27394</v>
      </c>
      <c r="B31542" s="15" t="s">
        <v>27394</v>
      </c>
      <c r="C31542" s="16" t="s">
        <v>27234</v>
      </c>
      <c r="D31542" s="16" t="s">
        <v>27241</v>
      </c>
      <c r="E31542" s="2">
        <v>2653393</v>
      </c>
      <c r="F31542" s="4" t="str">
        <f>IF(B31542=B31541,"",B31542)</f>
        <v>Chalfont Saint Peter</v>
      </c>
    </row>
    <row r="31543" spans="1:6" ht="15.75" customHeight="1">
      <c r="A31543" s="16" t="str">
        <f ca="1">IFERROR(__xludf.DUMMYFUNCTION("GOOGLETRANSLATE(B37075,""en"",""pt"")"),"Chalco de Díaz Covarrubias")</f>
        <v>Chalco de Díaz Covarrubias</v>
      </c>
      <c r="B31543" s="20" t="s">
        <v>34713</v>
      </c>
      <c r="C31543" s="20" t="s">
        <v>17707</v>
      </c>
      <c r="D31543" s="20" t="s">
        <v>20902</v>
      </c>
      <c r="E31543" s="10">
        <v>3531200</v>
      </c>
      <c r="F31543" s="4" t="str">
        <f>IF(B31543=B31542,"",B31543)</f>
        <v>Chalco de Díaz Covarrubias</v>
      </c>
    </row>
    <row r="31544" spans="1:6" ht="15.75" customHeight="1">
      <c r="A31544" s="16" t="s">
        <v>17812</v>
      </c>
      <c r="B31544" s="15" t="s">
        <v>17813</v>
      </c>
      <c r="C31544" s="16" t="s">
        <v>17707</v>
      </c>
      <c r="D31544" s="16" t="s">
        <v>17736</v>
      </c>
      <c r="E31544" s="2">
        <v>3531200</v>
      </c>
      <c r="F31544" s="4" t="e">
        <f>IF(B31544=#REF!,"",B31544)</f>
        <v>#REF!</v>
      </c>
    </row>
    <row r="31545" spans="1:6" ht="15.75" customHeight="1">
      <c r="A31545" s="16" t="s">
        <v>6737</v>
      </c>
      <c r="B31545" s="15" t="s">
        <v>6737</v>
      </c>
      <c r="C31545" s="16" t="s">
        <v>6727</v>
      </c>
      <c r="D31545" s="16" t="s">
        <v>6738</v>
      </c>
      <c r="E31545" s="2">
        <v>3587086</v>
      </c>
      <c r="F31545" s="4" t="e">
        <f>IF(B31545=#REF!,"",B31545)</f>
        <v>#REF!</v>
      </c>
    </row>
    <row r="31546" spans="1:6" ht="15.75" customHeight="1">
      <c r="A31546" s="16" t="s">
        <v>6736</v>
      </c>
      <c r="B31546" s="15" t="s">
        <v>6736</v>
      </c>
      <c r="C31546" s="16" t="s">
        <v>6727</v>
      </c>
      <c r="D31546" s="16" t="s">
        <v>6736</v>
      </c>
      <c r="E31546" s="2">
        <v>3587091</v>
      </c>
      <c r="F31546" s="4" t="str">
        <f>IF(B31546=B31545,"",B31546)</f>
        <v>Chalatenango</v>
      </c>
    </row>
    <row r="31547" spans="1:6" ht="15.75" customHeight="1">
      <c r="A31547" s="16" t="str">
        <f ca="1">IFERROR(__xludf.DUMMYFUNCTION("GOOGLETRANSLATE(B33758,""en"",""pt"")"),"Chalāla")</f>
        <v>Chalāla</v>
      </c>
      <c r="B31547" s="20" t="s">
        <v>33846</v>
      </c>
      <c r="C31547" s="20" t="s">
        <v>10178</v>
      </c>
      <c r="D31547" s="20" t="s">
        <v>10209</v>
      </c>
      <c r="E31547" s="10">
        <v>1274874</v>
      </c>
      <c r="F31547" s="4" t="str">
        <f>IF(B31547=B31546,"",B31547)</f>
        <v>Chalāla</v>
      </c>
    </row>
    <row r="31548" spans="1:6" ht="15.75" customHeight="1">
      <c r="A31548" s="15" t="s">
        <v>10905</v>
      </c>
      <c r="B31548" s="15" t="s">
        <v>10906</v>
      </c>
      <c r="C31548" s="15" t="s">
        <v>10178</v>
      </c>
      <c r="D31548" s="15" t="s">
        <v>10209</v>
      </c>
      <c r="E31548" s="2">
        <v>1274874</v>
      </c>
      <c r="F31548" s="4" t="e">
        <f>IF(B31548=#REF!,"",B31548)</f>
        <v>#REF!</v>
      </c>
    </row>
    <row r="31549" spans="1:6" ht="15.75" customHeight="1">
      <c r="A31549" s="15" t="s">
        <v>25582</v>
      </c>
      <c r="B31549" s="15" t="s">
        <v>25582</v>
      </c>
      <c r="C31549" s="15" t="s">
        <v>25560</v>
      </c>
      <c r="D31549" s="15" t="s">
        <v>25583</v>
      </c>
      <c r="E31549" s="2">
        <v>160670</v>
      </c>
      <c r="F31549" s="4" t="str">
        <f>IF(B31549=B31548,"",B31549)</f>
        <v>Chala</v>
      </c>
    </row>
    <row r="31550" spans="1:6" ht="15.75" customHeight="1">
      <c r="A31550" s="16" t="str">
        <f ca="1">IFERROR(__xludf.DUMMYFUNCTION("GOOGLETRANSLATE(B39140,""en"",""pt"")"),"Chakwāl")</f>
        <v>Chakwāl</v>
      </c>
      <c r="B31550" s="20" t="s">
        <v>35041</v>
      </c>
      <c r="C31550" s="20" t="s">
        <v>19808</v>
      </c>
      <c r="D31550" s="20" t="s">
        <v>10184</v>
      </c>
      <c r="E31550" s="10">
        <v>1181636</v>
      </c>
      <c r="F31550" s="4" t="str">
        <f>IF(B31550=B31549,"",B31550)</f>
        <v>Chakwāl</v>
      </c>
    </row>
    <row r="31551" spans="1:6" ht="15.75" customHeight="1">
      <c r="A31551" s="15" t="s">
        <v>19860</v>
      </c>
      <c r="B31551" s="15" t="s">
        <v>19861</v>
      </c>
      <c r="C31551" s="15" t="s">
        <v>19808</v>
      </c>
      <c r="D31551" s="15" t="s">
        <v>10184</v>
      </c>
      <c r="E31551" s="2">
        <v>1181636</v>
      </c>
      <c r="F31551" s="4" t="e">
        <f>IF(B31551=#REF!,"",B31551)</f>
        <v>#REF!</v>
      </c>
    </row>
    <row r="31552" spans="1:6" ht="15.75" customHeight="1">
      <c r="A31552" s="15" t="s">
        <v>10904</v>
      </c>
      <c r="B31552" s="15" t="s">
        <v>10904</v>
      </c>
      <c r="C31552" s="15" t="s">
        <v>10178</v>
      </c>
      <c r="D31552" s="15" t="s">
        <v>10179</v>
      </c>
      <c r="E31552" s="2">
        <v>1274532</v>
      </c>
      <c r="F31552" s="4" t="e">
        <f>IF(B31552=#REF!,"",B31552)</f>
        <v>#REF!</v>
      </c>
    </row>
    <row r="31553" spans="1:6" ht="15.75" customHeight="1">
      <c r="A31553" s="16" t="s">
        <v>10903</v>
      </c>
      <c r="B31553" s="15" t="s">
        <v>10903</v>
      </c>
      <c r="C31553" s="16" t="s">
        <v>10178</v>
      </c>
      <c r="D31553" s="16" t="s">
        <v>10430</v>
      </c>
      <c r="E31553" s="2">
        <v>1274890</v>
      </c>
      <c r="F31553" s="4" t="str">
        <f>IF(B31553=B31552,"",B31553)</f>
        <v>Chakradharpur</v>
      </c>
    </row>
    <row r="31554" spans="1:6" ht="15.75" customHeight="1">
      <c r="A31554" s="16" t="str">
        <f ca="1">IFERROR(__xludf.DUMMYFUNCTION("GOOGLETRANSLATE(B33760,""en"",""pt"")"),"Chaklāsi")</f>
        <v>Chaklāsi</v>
      </c>
      <c r="B31554" s="20" t="s">
        <v>33847</v>
      </c>
      <c r="C31554" s="20" t="s">
        <v>10178</v>
      </c>
      <c r="D31554" s="20" t="s">
        <v>10209</v>
      </c>
      <c r="E31554" s="10">
        <v>1274896</v>
      </c>
      <c r="F31554" s="4" t="str">
        <f>IF(B31554=B31553,"",B31554)</f>
        <v>Chaklāsi</v>
      </c>
    </row>
    <row r="31555" spans="1:6" ht="15.75" customHeight="1">
      <c r="A31555" s="15" t="s">
        <v>10901</v>
      </c>
      <c r="B31555" s="15" t="s">
        <v>10902</v>
      </c>
      <c r="C31555" s="15" t="s">
        <v>10178</v>
      </c>
      <c r="D31555" s="15" t="s">
        <v>10209</v>
      </c>
      <c r="E31555" s="2">
        <v>1274896</v>
      </c>
      <c r="F31555" s="4" t="str">
        <f>IF(B31555=B31554,"",B31555)</f>
        <v>ChaklÄsi</v>
      </c>
    </row>
    <row r="31556" spans="1:6" ht="15.75" customHeight="1">
      <c r="A31556" s="16" t="str">
        <f ca="1">IFERROR(__xludf.DUMMYFUNCTION("GOOGLETRANSLATE(B33761,""en"",""pt"")"),"Chākia")</f>
        <v>Chākia</v>
      </c>
      <c r="B31556" s="20" t="s">
        <v>33848</v>
      </c>
      <c r="C31556" s="20" t="s">
        <v>10178</v>
      </c>
      <c r="D31556" s="20" t="s">
        <v>10317</v>
      </c>
      <c r="E31556" s="10">
        <v>1274899</v>
      </c>
      <c r="F31556" s="4" t="e">
        <f>IF(B31556=#REF!,"",B31556)</f>
        <v>#REF!</v>
      </c>
    </row>
    <row r="31557" spans="1:6" ht="15.75" customHeight="1">
      <c r="A31557" s="16" t="s">
        <v>25580</v>
      </c>
      <c r="B31557" s="15" t="s">
        <v>25580</v>
      </c>
      <c r="C31557" s="16" t="s">
        <v>25560</v>
      </c>
      <c r="D31557" s="16" t="s">
        <v>25581</v>
      </c>
      <c r="E31557" s="2">
        <v>160677</v>
      </c>
      <c r="F31557" s="4" t="e">
        <f>IF(B31557=#REF!,"",B31557)</f>
        <v>#REF!</v>
      </c>
    </row>
    <row r="31558" spans="1:6" ht="15.75" customHeight="1">
      <c r="A31558" s="16" t="s">
        <v>10900</v>
      </c>
      <c r="B31558" s="15" t="s">
        <v>10900</v>
      </c>
      <c r="C31558" s="16" t="s">
        <v>10178</v>
      </c>
      <c r="D31558" s="16" t="s">
        <v>10201</v>
      </c>
      <c r="E31558" s="2">
        <v>1348753</v>
      </c>
      <c r="F31558" s="4" t="str">
        <f>IF(B31558=B31557,"",B31558)</f>
        <v>Chakapara</v>
      </c>
    </row>
    <row r="31559" spans="1:6" ht="15.75" customHeight="1">
      <c r="A31559" s="16" t="str">
        <f ca="1">IFERROR(__xludf.DUMMYFUNCTION("GOOGLETRANSLATE(B33762,""en"",""pt"")"),"Chākan")</f>
        <v>Chākan</v>
      </c>
      <c r="B31559" s="20" t="s">
        <v>33849</v>
      </c>
      <c r="C31559" s="20" t="s">
        <v>10178</v>
      </c>
      <c r="D31559" s="20" t="s">
        <v>10214</v>
      </c>
      <c r="E31559" s="10">
        <v>1274914</v>
      </c>
      <c r="F31559" s="4" t="e">
        <f>IF(B31559=#REF!,"",B31559)</f>
        <v>#REF!</v>
      </c>
    </row>
    <row r="31560" spans="1:6" ht="15.75" customHeight="1">
      <c r="A31560" s="16" t="s">
        <v>19858</v>
      </c>
      <c r="B31560" s="15" t="s">
        <v>19859</v>
      </c>
      <c r="C31560" s="16" t="s">
        <v>19808</v>
      </c>
      <c r="D31560" s="16" t="s">
        <v>10184</v>
      </c>
      <c r="E31560" s="2">
        <v>1179305</v>
      </c>
      <c r="F31560" s="4" t="str">
        <f>IF(B31560=B31559,"",B31560)</f>
        <v>Chak Two Hundred Forty-Nine TDA</v>
      </c>
    </row>
    <row r="31561" spans="1:6" ht="15.75" customHeight="1">
      <c r="A31561" s="16" t="str">
        <f ca="1">IFERROR(__xludf.DUMMYFUNCTION("GOOGLETRANSLATE(B39141,""en"",""pt"")"),"Chak āzam Saffo")</f>
        <v>Chak āzam Saffo</v>
      </c>
      <c r="B31561" s="20" t="s">
        <v>35042</v>
      </c>
      <c r="C31561" s="20" t="s">
        <v>19808</v>
      </c>
      <c r="D31561" s="20" t="s">
        <v>10184</v>
      </c>
      <c r="E31561" s="10">
        <v>1181887</v>
      </c>
      <c r="F31561" s="4" t="str">
        <f>IF(B31561=B31560,"",B31561)</f>
        <v>Chak Āzam Saffo</v>
      </c>
    </row>
    <row r="31562" spans="1:6" ht="15.75" customHeight="1">
      <c r="A31562" s="16" t="s">
        <v>19856</v>
      </c>
      <c r="B31562" s="15" t="s">
        <v>19857</v>
      </c>
      <c r="C31562" s="16" t="s">
        <v>19808</v>
      </c>
      <c r="D31562" s="16" t="s">
        <v>10184</v>
      </c>
      <c r="E31562" s="2">
        <v>1181887</v>
      </c>
      <c r="F31562" s="4" t="str">
        <f>IF(B31562=B31561,"",B31562)</f>
        <v>Chak Ä€zam Saffo</v>
      </c>
    </row>
    <row r="31563" spans="1:6" ht="15.75" customHeight="1">
      <c r="A31563" s="16" t="str">
        <f ca="1">IFERROR(__xludf.DUMMYFUNCTION("GOOGLETRANSLATE(B23225,""en"",""pt"")"),"Chajarí")</f>
        <v>Chajarí</v>
      </c>
      <c r="B31563" s="20" t="s">
        <v>31175</v>
      </c>
      <c r="C31563" s="20" t="s">
        <v>558</v>
      </c>
      <c r="D31563" s="20" t="s">
        <v>611</v>
      </c>
      <c r="E31563" s="10">
        <v>3435486</v>
      </c>
      <c r="F31563" s="4" t="str">
        <f>IF(B31563=B31562,"",B31563)</f>
        <v>Chajarí</v>
      </c>
    </row>
    <row r="31564" spans="1:6" ht="15.75" customHeight="1">
      <c r="A31564" s="15" t="s">
        <v>609</v>
      </c>
      <c r="B31564" s="15" t="s">
        <v>610</v>
      </c>
      <c r="C31564" s="15" t="s">
        <v>558</v>
      </c>
      <c r="D31564" s="15" t="s">
        <v>611</v>
      </c>
      <c r="E31564" s="2">
        <v>3435486</v>
      </c>
      <c r="F31564" s="4" t="e">
        <f>IF(B31564=#REF!,"",B31564)</f>
        <v>#REF!</v>
      </c>
    </row>
    <row r="31565" spans="1:6" ht="15.75" customHeight="1">
      <c r="A31565" s="16" t="s">
        <v>25859</v>
      </c>
      <c r="B31565" s="15" t="s">
        <v>25859</v>
      </c>
      <c r="C31565" s="16" t="s">
        <v>25771</v>
      </c>
      <c r="D31565" s="16" t="s">
        <v>25859</v>
      </c>
      <c r="E31565" s="2">
        <v>1611407</v>
      </c>
      <c r="F31565" s="4" t="e">
        <f>IF(B31565=#REF!,"",B31565)</f>
        <v>#REF!</v>
      </c>
    </row>
    <row r="31566" spans="1:6" ht="15.75" customHeight="1">
      <c r="A31566" s="15" t="s">
        <v>4564</v>
      </c>
      <c r="B31566" s="15" t="s">
        <v>4564</v>
      </c>
      <c r="C31566" s="15" t="s">
        <v>4487</v>
      </c>
      <c r="D31566" s="15" t="s">
        <v>4488</v>
      </c>
      <c r="E31566" s="2">
        <v>2038198</v>
      </c>
      <c r="F31566" s="4" t="str">
        <f>IF(B31566=B31565,"",B31566)</f>
        <v>Chaihe</v>
      </c>
    </row>
    <row r="31567" spans="1:6" ht="15.75" customHeight="1">
      <c r="A31567" s="16" t="str">
        <f ca="1">IFERROR(__xludf.DUMMYFUNCTION("GOOGLETRANSLATE(B30996,""en"",""pt"")"),"Chaïdári")</f>
        <v>Chaïdári</v>
      </c>
      <c r="B31567" s="20" t="s">
        <v>32704</v>
      </c>
      <c r="C31567" s="20" t="s">
        <v>9441</v>
      </c>
      <c r="D31567" s="20" t="s">
        <v>9445</v>
      </c>
      <c r="E31567" s="10">
        <v>260183</v>
      </c>
      <c r="F31567" s="4" t="str">
        <f>IF(B31567=B31566,"",B31567)</f>
        <v>Chaïdári</v>
      </c>
    </row>
    <row r="31568" spans="1:6" ht="15.75" customHeight="1">
      <c r="A31568" s="16" t="str">
        <f ca="1">IFERROR(__xludf.DUMMYFUNCTION("GOOGLETRANSLATE(B33763,""en"",""pt"")"),"Chāībāsa")</f>
        <v>Chāībāsa</v>
      </c>
      <c r="B31568" s="20" t="s">
        <v>33850</v>
      </c>
      <c r="C31568" s="20" t="s">
        <v>10178</v>
      </c>
      <c r="D31568" s="20" t="s">
        <v>10430</v>
      </c>
      <c r="E31568" s="10">
        <v>1274928</v>
      </c>
      <c r="F31568" s="4" t="e">
        <f>IF(B31568=#REF!,"",B31568)</f>
        <v>#REF!</v>
      </c>
    </row>
    <row r="31569" spans="1:6" ht="15.75" customHeight="1">
      <c r="A31569" s="15" t="s">
        <v>25858</v>
      </c>
      <c r="B31569" s="15" t="s">
        <v>25858</v>
      </c>
      <c r="C31569" s="15" t="s">
        <v>25771</v>
      </c>
      <c r="D31569" s="15" t="s">
        <v>25858</v>
      </c>
      <c r="E31569" s="2">
        <v>1611416</v>
      </c>
      <c r="F31569" s="4" t="e">
        <f>IF(B31569=#REF!,"",B31569)</f>
        <v>#REF!</v>
      </c>
    </row>
    <row r="31570" spans="1:6" ht="15.75" customHeight="1">
      <c r="A31570" s="16" t="s">
        <v>25856</v>
      </c>
      <c r="B31570" s="15" t="s">
        <v>25856</v>
      </c>
      <c r="C31570" s="16" t="s">
        <v>25771</v>
      </c>
      <c r="D31570" s="16" t="s">
        <v>25857</v>
      </c>
      <c r="E31570" s="2">
        <v>1611424</v>
      </c>
      <c r="F31570" s="4" t="e">
        <f>IF(B31570=#REF!,"",B31570)</f>
        <v>#REF!</v>
      </c>
    </row>
    <row r="31571" spans="1:6" ht="15.75" customHeight="1">
      <c r="A31571" s="16" t="s">
        <v>26072</v>
      </c>
      <c r="B31571" s="15" t="s">
        <v>26072</v>
      </c>
      <c r="C31571" s="16" t="s">
        <v>26070</v>
      </c>
      <c r="D31571" s="16" t="s">
        <v>26072</v>
      </c>
      <c r="E31571" s="2">
        <v>3574810</v>
      </c>
      <c r="F31571" s="4" t="str">
        <f>IF(B31571=B31570,"",B31571)</f>
        <v>Chaguanas</v>
      </c>
    </row>
    <row r="31572" spans="1:6" ht="15.75" customHeight="1">
      <c r="A31572" s="16" t="str">
        <f ca="1">IFERROR(__xludf.DUMMYFUNCTION("GOOGLETRANSLATE(B36019,""en"",""pt"")"),"Chaeryŏng-ŭp")</f>
        <v>Chaeryŏng-ŭp</v>
      </c>
      <c r="B31572" s="20" t="s">
        <v>34454</v>
      </c>
      <c r="C31572" s="20" t="s">
        <v>19589</v>
      </c>
      <c r="D31572" s="20" t="s">
        <v>19601</v>
      </c>
      <c r="E31572" s="10">
        <v>1879487</v>
      </c>
      <c r="F31572" s="4" t="str">
        <f>IF(B31572=B31571,"",B31572)</f>
        <v>Chaeryŏng-ŭp</v>
      </c>
    </row>
    <row r="31573" spans="1:6" ht="15.75" customHeight="1">
      <c r="A31573" s="16" t="s">
        <v>19604</v>
      </c>
      <c r="B31573" s="15" t="s">
        <v>19605</v>
      </c>
      <c r="C31573" s="16" t="s">
        <v>19589</v>
      </c>
      <c r="D31573" s="16" t="s">
        <v>19601</v>
      </c>
      <c r="E31573" s="2">
        <v>1879487</v>
      </c>
      <c r="F31573" s="4" t="e">
        <f>IF(B31573=#REF!,"",B31573)</f>
        <v>#REF!</v>
      </c>
    </row>
    <row r="31574" spans="1:6" ht="15.75" customHeight="1">
      <c r="A31574" s="16" t="s">
        <v>25840</v>
      </c>
      <c r="B31574" s="15" t="s">
        <v>25840</v>
      </c>
      <c r="C31574" s="16" t="s">
        <v>25771</v>
      </c>
      <c r="D31574" s="16" t="s">
        <v>25840</v>
      </c>
      <c r="E31574" s="2">
        <v>1611439</v>
      </c>
      <c r="F31574" s="4" t="e">
        <f>IF(B31574=#REF!,"",B31574)</f>
        <v>#REF!</v>
      </c>
    </row>
    <row r="31575" spans="1:6" ht="15.75" customHeight="1">
      <c r="A31575" s="16" t="s">
        <v>20489</v>
      </c>
      <c r="B31575" s="15" t="s">
        <v>20489</v>
      </c>
      <c r="C31575" s="16" t="s">
        <v>20470</v>
      </c>
      <c r="D31575" s="16" t="s">
        <v>2287</v>
      </c>
      <c r="E31575" s="2">
        <v>3698540</v>
      </c>
      <c r="F31575" s="4" t="e">
        <f>IF(B31575=#REF!,"",B31575)</f>
        <v>#REF!</v>
      </c>
    </row>
    <row r="31576" spans="1:6" ht="15.75" customHeight="1">
      <c r="A31576" s="15" t="s">
        <v>5673</v>
      </c>
      <c r="B31576" s="15" t="s">
        <v>5673</v>
      </c>
      <c r="C31576" s="15" t="s">
        <v>5665</v>
      </c>
      <c r="D31576" s="15" t="s">
        <v>5674</v>
      </c>
      <c r="E31576" s="2">
        <v>3624288</v>
      </c>
      <c r="F31576" s="4" t="e">
        <f>IF(B31576=#REF!,"",B31576)</f>
        <v>#REF!</v>
      </c>
    </row>
    <row r="31577" spans="1:6" ht="15.75" customHeight="1">
      <c r="A31577" s="15" t="s">
        <v>30673</v>
      </c>
      <c r="B31577" s="15" t="s">
        <v>30673</v>
      </c>
      <c r="C31577" s="15" t="s">
        <v>5923</v>
      </c>
      <c r="D31577" s="15" t="s">
        <v>30647</v>
      </c>
      <c r="E31577" s="2">
        <v>3645981</v>
      </c>
      <c r="F31577" s="4" t="e">
        <f>IF(B31577=#REF!,"",B31577)</f>
        <v>#REF!</v>
      </c>
    </row>
    <row r="31578" spans="1:6" ht="15.75" customHeight="1">
      <c r="A31578" s="16" t="s">
        <v>608</v>
      </c>
      <c r="B31578" s="15" t="s">
        <v>608</v>
      </c>
      <c r="C31578" s="16" t="s">
        <v>558</v>
      </c>
      <c r="D31578" s="16" t="s">
        <v>562</v>
      </c>
      <c r="E31578" s="2">
        <v>3861953</v>
      </c>
      <c r="F31578" s="4" t="e">
        <f>IF(B31578=#REF!,"",B31578)</f>
        <v>#REF!</v>
      </c>
    </row>
    <row r="31579" spans="1:6" ht="15.75" customHeight="1">
      <c r="A31579" s="16" t="s">
        <v>300</v>
      </c>
      <c r="B31579" s="15" t="s">
        <v>301</v>
      </c>
      <c r="C31579" s="16" t="s">
        <v>153</v>
      </c>
      <c r="D31579" s="16" t="s">
        <v>229</v>
      </c>
      <c r="E31579" s="2">
        <v>2501873</v>
      </c>
      <c r="F31579" s="4" t="e">
        <f>IF(B31579=#REF!,"",B31579)</f>
        <v>#REF!</v>
      </c>
    </row>
    <row r="31580" spans="1:6" ht="15.75" customHeight="1">
      <c r="A31580" s="15" t="s">
        <v>14348</v>
      </c>
      <c r="B31580" s="15" t="s">
        <v>14348</v>
      </c>
      <c r="C31580" s="15" t="s">
        <v>14240</v>
      </c>
      <c r="D31580" s="15" t="s">
        <v>14266</v>
      </c>
      <c r="E31580" s="2">
        <v>1161724</v>
      </c>
      <c r="F31580" s="4" t="e">
        <f>IF(B31580=#REF!,"",B31580)</f>
        <v>#REF!</v>
      </c>
    </row>
    <row r="31581" spans="1:6" ht="15.75" customHeight="1">
      <c r="A31581" s="15" t="s">
        <v>25854</v>
      </c>
      <c r="B31581" s="15" t="s">
        <v>25854</v>
      </c>
      <c r="C31581" s="15" t="s">
        <v>25771</v>
      </c>
      <c r="D31581" s="15" t="s">
        <v>25855</v>
      </c>
      <c r="E31581" s="2">
        <v>1153807</v>
      </c>
      <c r="F31581" s="4" t="str">
        <f>IF(B31581=B31580,"",B31581)</f>
        <v>Cha-am</v>
      </c>
    </row>
    <row r="31582" spans="1:6" ht="15.75" customHeight="1">
      <c r="A31582" s="15" t="s">
        <v>9486</v>
      </c>
      <c r="B31582" s="15" t="s">
        <v>9487</v>
      </c>
      <c r="C31582" s="15" t="s">
        <v>9441</v>
      </c>
      <c r="D31582" s="15" t="s">
        <v>9445</v>
      </c>
      <c r="E31582" s="2">
        <v>260183</v>
      </c>
      <c r="F31582" s="4" t="str">
        <f>IF(B31582=B31581,"",B31582)</f>
        <v>ChaÃ¯dÃ¡ri</v>
      </c>
    </row>
    <row r="31583" spans="1:6" ht="15.75" customHeight="1">
      <c r="A31583" s="15" t="s">
        <v>5419</v>
      </c>
      <c r="B31583" s="15" t="s">
        <v>5420</v>
      </c>
      <c r="C31583" s="15" t="s">
        <v>5348</v>
      </c>
      <c r="D31583" s="15" t="s">
        <v>5400</v>
      </c>
      <c r="E31583" s="2">
        <v>3686675</v>
      </c>
      <c r="F31583" s="4" t="str">
        <f>IF(B31583=B31582,"",B31583)</f>
        <v>ChÃ­a</v>
      </c>
    </row>
    <row r="31584" spans="1:6" ht="15.75" customHeight="1">
      <c r="A31584" s="16" t="s">
        <v>10898</v>
      </c>
      <c r="B31584" s="15" t="s">
        <v>10899</v>
      </c>
      <c r="C31584" s="16" t="s">
        <v>10178</v>
      </c>
      <c r="D31584" s="16" t="s">
        <v>10246</v>
      </c>
      <c r="E31584" s="2">
        <v>1274468</v>
      </c>
      <c r="F31584" s="4" t="str">
        <f>IF(B31584=B31583,"",B31584)</f>
        <v>ChÄvakkÄd</v>
      </c>
    </row>
    <row r="31585" spans="1:6" ht="15.75" customHeight="1">
      <c r="A31585" s="15" t="s">
        <v>10896</v>
      </c>
      <c r="B31585" s="15" t="s">
        <v>10897</v>
      </c>
      <c r="C31585" s="15" t="s">
        <v>10178</v>
      </c>
      <c r="D31585" s="15" t="s">
        <v>10430</v>
      </c>
      <c r="E31585" s="2">
        <v>1274553</v>
      </c>
      <c r="F31585" s="4" t="str">
        <f>IF(B31585=B31584,"",B31585)</f>
        <v>ChÄs</v>
      </c>
    </row>
    <row r="31586" spans="1:6" ht="15.75" customHeight="1">
      <c r="A31586" s="15" t="s">
        <v>10894</v>
      </c>
      <c r="B31586" s="15" t="s">
        <v>10895</v>
      </c>
      <c r="C31586" s="15" t="s">
        <v>10178</v>
      </c>
      <c r="D31586" s="15" t="s">
        <v>10317</v>
      </c>
      <c r="E31586" s="2">
        <v>1274353</v>
      </c>
      <c r="F31586" s="4" t="str">
        <f>IF(B31586=B31585,"",B31586)</f>
        <v>ChÄpra</v>
      </c>
    </row>
    <row r="31587" spans="1:6" ht="15.75" customHeight="1">
      <c r="A31587" s="15" t="s">
        <v>10892</v>
      </c>
      <c r="B31587" s="15" t="s">
        <v>10893</v>
      </c>
      <c r="C31587" s="15" t="s">
        <v>10178</v>
      </c>
      <c r="D31587" s="15" t="s">
        <v>10239</v>
      </c>
      <c r="E31587" s="2">
        <v>1274618</v>
      </c>
      <c r="F31587" s="4" t="str">
        <f>IF(B31587=B31586,"",B31587)</f>
        <v>ChÄpar</v>
      </c>
    </row>
    <row r="31588" spans="1:6" ht="15.75" customHeight="1">
      <c r="A31588" s="15" t="s">
        <v>19602</v>
      </c>
      <c r="B31588" s="15" t="s">
        <v>19603</v>
      </c>
      <c r="C31588" s="15" t="s">
        <v>19589</v>
      </c>
      <c r="D31588" s="15" t="s">
        <v>19590</v>
      </c>
      <c r="E31588" s="2">
        <v>1878389</v>
      </c>
      <c r="F31588" s="4" t="str">
        <f>IF(B31588=B31587,"",B31588)</f>
        <v>ChÅngju</v>
      </c>
    </row>
    <row r="31589" spans="1:6" ht="15.75" customHeight="1">
      <c r="A31589" s="15" t="s">
        <v>10890</v>
      </c>
      <c r="B31589" s="15" t="s">
        <v>10891</v>
      </c>
      <c r="C31589" s="15" t="s">
        <v>10178</v>
      </c>
      <c r="D31589" s="15" t="s">
        <v>10214</v>
      </c>
      <c r="E31589" s="2">
        <v>1274676</v>
      </c>
      <c r="F31589" s="4" t="str">
        <f>IF(B31589=B31588,"",B31589)</f>
        <v>ChÄndur</v>
      </c>
    </row>
    <row r="31590" spans="1:6" ht="15.75" customHeight="1">
      <c r="A31590" s="16" t="s">
        <v>10888</v>
      </c>
      <c r="B31590" s="15" t="s">
        <v>10889</v>
      </c>
      <c r="C31590" s="16" t="s">
        <v>10178</v>
      </c>
      <c r="D31590" s="16" t="s">
        <v>10193</v>
      </c>
      <c r="E31590" s="2">
        <v>1274714</v>
      </c>
      <c r="F31590" s="4" t="str">
        <f>IF(B31590=B31589,"",B31590)</f>
        <v>ChÄndpur</v>
      </c>
    </row>
    <row r="31591" spans="1:6" ht="15.75" customHeight="1">
      <c r="A31591" s="15" t="s">
        <v>10886</v>
      </c>
      <c r="B31591" s="15" t="s">
        <v>10887</v>
      </c>
      <c r="C31591" s="15" t="s">
        <v>10178</v>
      </c>
      <c r="D31591" s="15" t="s">
        <v>10214</v>
      </c>
      <c r="E31591" s="2">
        <v>1274673</v>
      </c>
      <c r="F31591" s="4" t="str">
        <f>IF(B31591=B31590,"",B31591)</f>
        <v>ChÄndor</v>
      </c>
    </row>
    <row r="31592" spans="1:6" ht="15.75" customHeight="1">
      <c r="A31592" s="16" t="s">
        <v>10884</v>
      </c>
      <c r="B31592" s="15" t="s">
        <v>10885</v>
      </c>
      <c r="C31592" s="16" t="s">
        <v>10178</v>
      </c>
      <c r="D31592" s="16" t="s">
        <v>10214</v>
      </c>
      <c r="E31592" s="2">
        <v>1274674</v>
      </c>
      <c r="F31592" s="4" t="str">
        <f>IF(B31592=B31591,"",B31592)</f>
        <v>ChÄndÅ«r BÄzÄr</v>
      </c>
    </row>
    <row r="31593" spans="1:6" ht="15.75" customHeight="1">
      <c r="A31593" s="16" t="s">
        <v>10882</v>
      </c>
      <c r="B31593" s="15" t="s">
        <v>10883</v>
      </c>
      <c r="C31593" s="16" t="s">
        <v>10178</v>
      </c>
      <c r="D31593" s="16" t="s">
        <v>10214</v>
      </c>
      <c r="E31593" s="2">
        <v>1274675</v>
      </c>
      <c r="F31593" s="4" t="str">
        <f>IF(B31593=B31592,"",B31593)</f>
        <v>ChÄndÅ«r</v>
      </c>
    </row>
    <row r="31594" spans="1:6" ht="15.75" customHeight="1">
      <c r="A31594" s="15" t="s">
        <v>10880</v>
      </c>
      <c r="B31594" s="15" t="s">
        <v>10881</v>
      </c>
      <c r="C31594" s="15" t="s">
        <v>10178</v>
      </c>
      <c r="D31594" s="15" t="s">
        <v>10214</v>
      </c>
      <c r="E31594" s="2">
        <v>1274693</v>
      </c>
      <c r="F31594" s="4" t="str">
        <f>IF(B31594=B31593,"",B31594)</f>
        <v>ChÄnda</v>
      </c>
    </row>
    <row r="31595" spans="1:6" ht="15.75" customHeight="1">
      <c r="A31595" s="16" t="s">
        <v>10878</v>
      </c>
      <c r="B31595" s="15" t="s">
        <v>10879</v>
      </c>
      <c r="C31595" s="16" t="s">
        <v>10178</v>
      </c>
      <c r="D31595" s="16" t="s">
        <v>10209</v>
      </c>
      <c r="E31595" s="2">
        <v>1274807</v>
      </c>
      <c r="F31595" s="4" t="str">
        <f>IF(B31595=B31594,"",B31595)</f>
        <v>ChÄnasma</v>
      </c>
    </row>
    <row r="31596" spans="1:6" ht="15.75" customHeight="1">
      <c r="A31596" s="15" t="s">
        <v>10876</v>
      </c>
      <c r="B31596" s="15" t="s">
        <v>10877</v>
      </c>
      <c r="C31596" s="15" t="s">
        <v>10178</v>
      </c>
      <c r="D31596" s="15" t="s">
        <v>10272</v>
      </c>
      <c r="E31596" s="2">
        <v>1274837</v>
      </c>
      <c r="F31596" s="4" t="str">
        <f>IF(B31596=B31595,"",B31596)</f>
        <v>ChÄmpa</v>
      </c>
    </row>
    <row r="31597" spans="1:6" ht="15.75" customHeight="1">
      <c r="A31597" s="16" t="s">
        <v>10874</v>
      </c>
      <c r="B31597" s="15" t="s">
        <v>10875</v>
      </c>
      <c r="C31597" s="16" t="s">
        <v>10178</v>
      </c>
      <c r="D31597" s="16" t="s">
        <v>10214</v>
      </c>
      <c r="E31597" s="2">
        <v>1274868</v>
      </c>
      <c r="F31597" s="4" t="str">
        <f>IF(B31597=B31596,"",B31597)</f>
        <v>ChÄlisgaon</v>
      </c>
    </row>
    <row r="31598" spans="1:6" ht="15.75" customHeight="1">
      <c r="A31598" s="15" t="s">
        <v>14346</v>
      </c>
      <c r="B31598" s="15" t="s">
        <v>14347</v>
      </c>
      <c r="C31598" s="15" t="s">
        <v>14240</v>
      </c>
      <c r="D31598" s="15" t="s">
        <v>14253</v>
      </c>
      <c r="E31598" s="2">
        <v>139223</v>
      </c>
      <c r="F31598" s="4" t="str">
        <f>IF(B31598=B31597,"",B31598)</f>
        <v>ChÄlÅ«s</v>
      </c>
    </row>
    <row r="31599" spans="1:6" ht="15.75" customHeight="1">
      <c r="A31599" s="15" t="s">
        <v>10872</v>
      </c>
      <c r="B31599" s="15" t="s">
        <v>10873</v>
      </c>
      <c r="C31599" s="15" t="s">
        <v>10178</v>
      </c>
      <c r="D31599" s="15" t="s">
        <v>10317</v>
      </c>
      <c r="E31599" s="2">
        <v>1274899</v>
      </c>
      <c r="F31599" s="4" t="str">
        <f>IF(B31599=B31598,"",B31599)</f>
        <v>ChÄkia</v>
      </c>
    </row>
    <row r="31600" spans="1:6" ht="15.75" customHeight="1">
      <c r="A31600" s="15" t="s">
        <v>10870</v>
      </c>
      <c r="B31600" s="15" t="s">
        <v>10871</v>
      </c>
      <c r="C31600" s="15" t="s">
        <v>10178</v>
      </c>
      <c r="D31600" s="15" t="s">
        <v>10214</v>
      </c>
      <c r="E31600" s="2">
        <v>1274914</v>
      </c>
      <c r="F31600" s="4" t="str">
        <f>IF(B31600=B31599,"",B31600)</f>
        <v>ChÄkan</v>
      </c>
    </row>
    <row r="31601" spans="1:6" ht="15.75" customHeight="1">
      <c r="A31601" s="16" t="s">
        <v>15838</v>
      </c>
      <c r="B31601" s="15" t="s">
        <v>15839</v>
      </c>
      <c r="C31601" s="16" t="s">
        <v>15704</v>
      </c>
      <c r="D31601" s="16" t="s">
        <v>15776</v>
      </c>
      <c r="E31601" s="2">
        <v>1864518</v>
      </c>
      <c r="F31601" s="4" t="str">
        <f>IF(B31601=B31600,"",B31601)</f>
        <v>ChÅfugaoka</v>
      </c>
    </row>
    <row r="31602" spans="1:6" ht="15.75" customHeight="1">
      <c r="A31602" s="16" t="s">
        <v>10868</v>
      </c>
      <c r="B31602" s="15" t="s">
        <v>10869</v>
      </c>
      <c r="C31602" s="16" t="s">
        <v>10178</v>
      </c>
      <c r="D31602" s="16" t="s">
        <v>10430</v>
      </c>
      <c r="E31602" s="2">
        <v>1274928</v>
      </c>
      <c r="F31602" s="4" t="str">
        <f>IF(B31602=B31601,"",B31602)</f>
        <v>ChÄÄ«bÄsa</v>
      </c>
    </row>
    <row r="31603" spans="1:6" ht="15.75" customHeight="1">
      <c r="A31603" s="16" t="s">
        <v>10866</v>
      </c>
      <c r="B31603" s="15" t="s">
        <v>10867</v>
      </c>
      <c r="C31603" s="16" t="s">
        <v>10178</v>
      </c>
      <c r="D31603" s="16" t="s">
        <v>10252</v>
      </c>
      <c r="E31603" s="2">
        <v>1274077</v>
      </c>
      <c r="F31603" s="4" t="str">
        <f>IF(B31603=B31602,"",B31603)</f>
        <v>ChÄ«tÄpur</v>
      </c>
    </row>
    <row r="31604" spans="1:6" ht="15.75" customHeight="1">
      <c r="A31604" s="15" t="s">
        <v>10864</v>
      </c>
      <c r="B31604" s="15" t="s">
        <v>10865</v>
      </c>
      <c r="C31604" s="15" t="s">
        <v>10178</v>
      </c>
      <c r="D31604" s="15" t="s">
        <v>10179</v>
      </c>
      <c r="E31604" s="2">
        <v>1273892</v>
      </c>
      <c r="F31604" s="4" t="str">
        <f>IF(B31604=B31603,"",B31604)</f>
        <v>ChÅ«ru</v>
      </c>
    </row>
    <row r="31605" spans="1:6" ht="15.75" customHeight="1">
      <c r="A31605" s="16" t="s">
        <v>10862</v>
      </c>
      <c r="B31605" s="15" t="s">
        <v>10863</v>
      </c>
      <c r="C31605" s="16" t="s">
        <v>10178</v>
      </c>
      <c r="D31605" s="16" t="s">
        <v>10190</v>
      </c>
      <c r="E31605" s="2">
        <v>1274106</v>
      </c>
      <c r="F31605" s="4" t="str">
        <f>IF(B31605=B31604,"",B31605)</f>
        <v>ChÄ«rÄla</v>
      </c>
    </row>
    <row r="31606" spans="1:6" ht="15.75" customHeight="1">
      <c r="A31606" s="16" t="s">
        <v>10860</v>
      </c>
      <c r="B31606" s="15" t="s">
        <v>10861</v>
      </c>
      <c r="C31606" s="16" t="s">
        <v>10178</v>
      </c>
      <c r="D31606" s="16" t="s">
        <v>10190</v>
      </c>
      <c r="E31606" s="2">
        <v>1274116</v>
      </c>
      <c r="F31606" s="4" t="str">
        <f>IF(B31606=B31605,"",B31606)</f>
        <v>ChÄ«purupalle</v>
      </c>
    </row>
    <row r="31607" spans="1:6" ht="15.75" customHeight="1">
      <c r="A31607" s="16" t="s">
        <v>19854</v>
      </c>
      <c r="B31607" s="15" t="s">
        <v>19855</v>
      </c>
      <c r="C31607" s="16" t="s">
        <v>19808</v>
      </c>
      <c r="D31607" s="16" t="s">
        <v>10184</v>
      </c>
      <c r="E31607" s="2">
        <v>1180942</v>
      </c>
      <c r="F31607" s="4" t="str">
        <f>IF(B31607=B31606,"",B31607)</f>
        <v>ChÅ«niÄn</v>
      </c>
    </row>
    <row r="31608" spans="1:6" ht="15.75" customHeight="1">
      <c r="A31608" s="16" t="s">
        <v>19852</v>
      </c>
      <c r="B31608" s="15" t="s">
        <v>19853</v>
      </c>
      <c r="C31608" s="16" t="s">
        <v>19808</v>
      </c>
      <c r="D31608" s="16" t="s">
        <v>10184</v>
      </c>
      <c r="E31608" s="2">
        <v>1180983</v>
      </c>
      <c r="F31608" s="4" t="str">
        <f>IF(B31608=B31607,"",B31608)</f>
        <v>ChÅ«har KÄna</v>
      </c>
    </row>
    <row r="31609" spans="1:6" ht="15.75" customHeight="1">
      <c r="A31609" s="16" t="s">
        <v>19850</v>
      </c>
      <c r="B31609" s="15" t="s">
        <v>19851</v>
      </c>
      <c r="C31609" s="16" t="s">
        <v>19808</v>
      </c>
      <c r="D31609" s="16" t="s">
        <v>10184</v>
      </c>
      <c r="E31609" s="2">
        <v>1181163</v>
      </c>
      <c r="F31609" s="4" t="str">
        <f>IF(B31609=B31608,"",B31609)</f>
        <v>ChÄ«chÄwatni</v>
      </c>
    </row>
    <row r="31610" spans="1:6" ht="15.75" customHeight="1">
      <c r="A31610" s="16" t="s">
        <v>2323</v>
      </c>
      <c r="B31610" s="15" t="s">
        <v>2324</v>
      </c>
      <c r="C31610" s="16" t="s">
        <v>1905</v>
      </c>
      <c r="D31610" s="16" t="s">
        <v>1909</v>
      </c>
      <c r="E31610" s="2">
        <v>3402271</v>
      </c>
      <c r="F31610" s="4" t="str">
        <f>IF(B31610=B31609,"",B31610)</f>
        <v>ChÃ£ Grande</v>
      </c>
    </row>
    <row r="31611" spans="1:6" ht="15.75" customHeight="1">
      <c r="A31611" s="15" t="s">
        <v>7238</v>
      </c>
      <c r="B31611" s="15" t="s">
        <v>7239</v>
      </c>
      <c r="C31611" s="15" t="s">
        <v>7052</v>
      </c>
      <c r="D31611" s="15" t="s">
        <v>7058</v>
      </c>
      <c r="E31611" s="2">
        <v>3026083</v>
      </c>
      <c r="F31611" s="4" t="str">
        <f>IF(B31611=B31610,"",B31611)</f>
        <v>ChÃ¢tillon</v>
      </c>
    </row>
    <row r="31612" spans="1:6" ht="15.75" customHeight="1">
      <c r="A31612" s="16" t="s">
        <v>7236</v>
      </c>
      <c r="B31612" s="15" t="s">
        <v>7237</v>
      </c>
      <c r="C31612" s="16" t="s">
        <v>7052</v>
      </c>
      <c r="D31612" s="16" t="s">
        <v>7058</v>
      </c>
      <c r="E31612" s="2">
        <v>3026108</v>
      </c>
      <c r="F31612" s="4" t="str">
        <f>IF(B31612=B31611,"",B31612)</f>
        <v>ChÃ¢tenay-Malabry</v>
      </c>
    </row>
    <row r="31613" spans="1:6" ht="15.75" customHeight="1">
      <c r="A31613" s="16" t="s">
        <v>7234</v>
      </c>
      <c r="B31613" s="15" t="s">
        <v>7235</v>
      </c>
      <c r="C31613" s="16" t="s">
        <v>7052</v>
      </c>
      <c r="D31613" s="16" t="s">
        <v>7084</v>
      </c>
      <c r="E31613" s="2">
        <v>3026141</v>
      </c>
      <c r="F31613" s="4" t="str">
        <f>IF(B31613=B31612,"",B31613)</f>
        <v>ChÃ¢tellerault</v>
      </c>
    </row>
    <row r="31614" spans="1:6" ht="15.75" customHeight="1">
      <c r="A31614" s="15" t="s">
        <v>1548</v>
      </c>
      <c r="B31614" s="15" t="s">
        <v>1549</v>
      </c>
      <c r="C31614" s="15" t="s">
        <v>1512</v>
      </c>
      <c r="D31614" s="15" t="s">
        <v>1518</v>
      </c>
      <c r="E31614" s="2">
        <v>2800448</v>
      </c>
      <c r="F31614" s="4" t="str">
        <f>IF(B31614=B31613,"",B31614)</f>
        <v>ChÃ¢telet</v>
      </c>
    </row>
    <row r="31615" spans="1:6" ht="15.75" customHeight="1">
      <c r="A31615" s="16" t="s">
        <v>7232</v>
      </c>
      <c r="B31615" s="15" t="s">
        <v>7233</v>
      </c>
      <c r="C31615" s="16" t="s">
        <v>7052</v>
      </c>
      <c r="D31615" s="16" t="s">
        <v>7078</v>
      </c>
      <c r="E31615" s="2">
        <v>3026194</v>
      </c>
      <c r="F31615" s="4" t="str">
        <f>IF(B31615=B31614,"",B31615)</f>
        <v>ChÃ¢teau-Thierry</v>
      </c>
    </row>
    <row r="31616" spans="1:6" ht="15.75" customHeight="1">
      <c r="A31616" s="16" t="s">
        <v>7230</v>
      </c>
      <c r="B31616" s="15" t="s">
        <v>7231</v>
      </c>
      <c r="C31616" s="16" t="s">
        <v>7052</v>
      </c>
      <c r="D31616" s="16" t="s">
        <v>3813</v>
      </c>
      <c r="E31616" s="2">
        <v>3026204</v>
      </c>
      <c r="F31616" s="4" t="str">
        <f>IF(B31616=B31615,"",B31616)</f>
        <v>ChÃ¢teauroux</v>
      </c>
    </row>
    <row r="31617" spans="1:6" ht="15.75" customHeight="1">
      <c r="A31617" s="16" t="s">
        <v>4016</v>
      </c>
      <c r="B31617" s="15" t="s">
        <v>4017</v>
      </c>
      <c r="C31617" s="16" t="s">
        <v>3975</v>
      </c>
      <c r="D31617" s="16" t="s">
        <v>3982</v>
      </c>
      <c r="E31617" s="2">
        <v>5920433</v>
      </c>
      <c r="F31617" s="4" t="str">
        <f>IF(B31617=B31616,"",B31617)</f>
        <v>ChÃ¢teauguay</v>
      </c>
    </row>
    <row r="31618" spans="1:6" ht="15.75" customHeight="1">
      <c r="A31618" s="16" t="s">
        <v>7228</v>
      </c>
      <c r="B31618" s="15" t="s">
        <v>7229</v>
      </c>
      <c r="C31618" s="16" t="s">
        <v>7052</v>
      </c>
      <c r="D31618" s="16" t="s">
        <v>3813</v>
      </c>
      <c r="E31618" s="2">
        <v>3026285</v>
      </c>
      <c r="F31618" s="4" t="str">
        <f>IF(B31618=B31617,"",B31618)</f>
        <v>ChÃ¢teaudun</v>
      </c>
    </row>
    <row r="31619" spans="1:6" ht="15.75" customHeight="1">
      <c r="A31619" s="16" t="s">
        <v>7226</v>
      </c>
      <c r="B31619" s="15" t="s">
        <v>7227</v>
      </c>
      <c r="C31619" s="16" t="s">
        <v>7052</v>
      </c>
      <c r="D31619" s="16" t="s">
        <v>7061</v>
      </c>
      <c r="E31619" s="2">
        <v>3027487</v>
      </c>
      <c r="F31619" s="4" t="str">
        <f>IF(B31619=B31618,"",B31619)</f>
        <v>ChÃ¢lons-en-Champagne</v>
      </c>
    </row>
    <row r="31620" spans="1:6" ht="15.75" customHeight="1">
      <c r="A31620" s="16" t="str">
        <f ca="1">IFERROR(__xludf.DUMMYFUNCTION("GOOGLETRANSLATE(B24349,""en"",""pt"")"),"Chã Grande")</f>
        <v>Chã Grande</v>
      </c>
      <c r="B31620" s="20" t="s">
        <v>2323</v>
      </c>
      <c r="C31620" s="20" t="s">
        <v>1905</v>
      </c>
      <c r="D31620" s="20" t="s">
        <v>1909</v>
      </c>
      <c r="E31620" s="10">
        <v>3402271</v>
      </c>
      <c r="F31620" s="4" t="str">
        <f>IF(B31620=B31619,"",B31620)</f>
        <v>Chã Grande</v>
      </c>
    </row>
    <row r="31621" spans="1:6" ht="15.75" customHeight="1">
      <c r="A31621" s="16" t="str">
        <f ca="1">IFERROR(__xludf.DUMMYFUNCTION("GOOGLETRANSLATE(B42031,""en"",""pt"")"),"Ceilão")</f>
        <v>Ceilão</v>
      </c>
      <c r="B31621" s="20" t="s">
        <v>35890</v>
      </c>
      <c r="C31621" s="20" t="s">
        <v>26201</v>
      </c>
      <c r="D31621" s="20" t="s">
        <v>35822</v>
      </c>
      <c r="E31621" s="10">
        <v>318668</v>
      </c>
      <c r="F31621" s="4" t="str">
        <f>IF(B31621=B31620,"",B31621)</f>
        <v>Ceylanpınar</v>
      </c>
    </row>
    <row r="31622" spans="1:6" ht="15.75" customHeight="1">
      <c r="A31622" s="16" t="s">
        <v>26427</v>
      </c>
      <c r="B31622" s="15" t="s">
        <v>26428</v>
      </c>
      <c r="C31622" s="16" t="s">
        <v>26201</v>
      </c>
      <c r="D31622" s="16" t="s">
        <v>26289</v>
      </c>
      <c r="E31622" s="2">
        <v>318668</v>
      </c>
      <c r="F31622" s="4" t="e">
        <f>IF(B31622=#REF!,"",B31622)</f>
        <v>#REF!</v>
      </c>
    </row>
    <row r="31623" spans="1:6" ht="15.75" customHeight="1">
      <c r="A31623" s="15" t="s">
        <v>26426</v>
      </c>
      <c r="B31623" s="15" t="s">
        <v>26426</v>
      </c>
      <c r="C31623" s="15" t="s">
        <v>26201</v>
      </c>
      <c r="D31623" s="15" t="s">
        <v>26273</v>
      </c>
      <c r="E31623" s="2">
        <v>318675</v>
      </c>
      <c r="F31623" s="4" t="e">
        <f>IF(B31623=#REF!,"",B31623)</f>
        <v>#REF!</v>
      </c>
    </row>
    <row r="31624" spans="1:6" ht="15.75" customHeight="1">
      <c r="A31624" s="15" t="s">
        <v>24397</v>
      </c>
      <c r="B31624" s="15" t="s">
        <v>24398</v>
      </c>
      <c r="C31624" s="15" t="s">
        <v>24200</v>
      </c>
      <c r="D31624" s="15" t="s">
        <v>24398</v>
      </c>
      <c r="E31624" s="2">
        <v>6362987</v>
      </c>
      <c r="F31624" s="4" t="e">
        <f>IF(B31624=#REF!,"",B31624)</f>
        <v>#REF!</v>
      </c>
    </row>
    <row r="31625" spans="1:6" ht="15.75" customHeight="1">
      <c r="A31625" s="15" t="s">
        <v>18537</v>
      </c>
      <c r="B31625" s="15" t="s">
        <v>18537</v>
      </c>
      <c r="C31625" s="15" t="s">
        <v>2921</v>
      </c>
      <c r="D31625" s="15" t="s">
        <v>18537</v>
      </c>
      <c r="E31625" s="2">
        <v>3202641</v>
      </c>
      <c r="F31625" s="4" t="e">
        <f>IF(B31625=#REF!,"",B31625)</f>
        <v>#REF!</v>
      </c>
    </row>
    <row r="31626" spans="1:6" ht="15.75" customHeight="1">
      <c r="A31626" s="15" t="s">
        <v>7225</v>
      </c>
      <c r="B31626" s="15" t="s">
        <v>7225</v>
      </c>
      <c r="C31626" s="15" t="s">
        <v>7052</v>
      </c>
      <c r="D31626" s="15" t="s">
        <v>7084</v>
      </c>
      <c r="E31626" s="2">
        <v>3027763</v>
      </c>
      <c r="F31626" s="4" t="str">
        <f>IF(B31626=B31625,"",B31626)</f>
        <v>Cestas</v>
      </c>
    </row>
    <row r="31627" spans="1:6" ht="15.75" customHeight="1">
      <c r="A31627" s="16" t="str">
        <f ca="1">IFERROR(__xludf.DUMMYFUNCTION("GOOGLETRANSLATE(B30173,""en"",""pt"")"),"Cesson-Sévigné")</f>
        <v>Cesson-Sévigné</v>
      </c>
      <c r="B31627" s="20" t="s">
        <v>32634</v>
      </c>
      <c r="C31627" s="20" t="s">
        <v>7052</v>
      </c>
      <c r="D31627" s="20" t="s">
        <v>7190</v>
      </c>
      <c r="E31627" s="10">
        <v>3027767</v>
      </c>
      <c r="F31627" s="4" t="str">
        <f>IF(B31627=B31626,"",B31627)</f>
        <v>Cesson-Sévigné</v>
      </c>
    </row>
    <row r="31628" spans="1:6" ht="15.75" customHeight="1">
      <c r="A31628" s="16" t="s">
        <v>7223</v>
      </c>
      <c r="B31628" s="15" t="s">
        <v>7224</v>
      </c>
      <c r="C31628" s="16" t="s">
        <v>7052</v>
      </c>
      <c r="D31628" s="16" t="s">
        <v>7190</v>
      </c>
      <c r="E31628" s="2">
        <v>3027767</v>
      </c>
      <c r="F31628" s="4" t="e">
        <f>IF(B31628=#REF!,"",B31628)</f>
        <v>#REF!</v>
      </c>
    </row>
    <row r="31629" spans="1:6" ht="15.75" customHeight="1">
      <c r="A31629" s="15" t="s">
        <v>939</v>
      </c>
      <c r="B31629" s="15" t="s">
        <v>939</v>
      </c>
      <c r="C31629" s="15" t="s">
        <v>885</v>
      </c>
      <c r="D31629" s="15" t="s">
        <v>891</v>
      </c>
      <c r="E31629" s="2">
        <v>2171845</v>
      </c>
      <c r="F31629" s="4" t="str">
        <f>IF(B31629=B31628,"",B31629)</f>
        <v>Cessnock</v>
      </c>
    </row>
    <row r="31630" spans="1:6" ht="15.75" customHeight="1">
      <c r="A31630" s="16" t="str">
        <f ca="1">IFERROR(__xludf.DUMMYFUNCTION("GOOGLETRANSLATE(B42033,""en"",""pt"")"),"Çeşme")</f>
        <v>Çeşme</v>
      </c>
      <c r="B31630" s="20" t="s">
        <v>35891</v>
      </c>
      <c r="C31630" s="20" t="s">
        <v>26201</v>
      </c>
      <c r="D31630" s="20" t="s">
        <v>35825</v>
      </c>
      <c r="E31630" s="10">
        <v>318755</v>
      </c>
      <c r="F31630" s="4" t="str">
        <f>IF(B31630=B31629,"",B31630)</f>
        <v>Çeşme</v>
      </c>
    </row>
    <row r="31631" spans="1:6" ht="15.75" customHeight="1">
      <c r="A31631" s="16" t="str">
        <f ca="1">IFERROR(__xludf.DUMMYFUNCTION("GOOGLETRANSLATE(B27326,""en"",""pt"")"),"Český těšín")</f>
        <v>Český těšín</v>
      </c>
      <c r="B31631" s="20" t="s">
        <v>31994</v>
      </c>
      <c r="C31631" s="20" t="s">
        <v>5947</v>
      </c>
      <c r="D31631" s="20" t="s">
        <v>31952</v>
      </c>
      <c r="E31631" s="10">
        <v>3077882</v>
      </c>
      <c r="F31631" s="4" t="str">
        <f>IF(B31631=B31630,"",B31631)</f>
        <v>Český Těšín</v>
      </c>
    </row>
    <row r="31632" spans="1:6" ht="15.75" customHeight="1">
      <c r="A31632" s="16" t="str">
        <f ca="1">IFERROR(__xludf.DUMMYFUNCTION("GOOGLETRANSLATE(B27327,""en"",""pt"")"),"České Budějovice")</f>
        <v>České Budějovice</v>
      </c>
      <c r="B31632" s="20" t="s">
        <v>31995</v>
      </c>
      <c r="C31632" s="20" t="s">
        <v>5947</v>
      </c>
      <c r="D31632" s="20" t="s">
        <v>31955</v>
      </c>
      <c r="E31632" s="10">
        <v>3077916</v>
      </c>
      <c r="F31632" s="4" t="str">
        <f>IF(B31632=B31631,"",B31632)</f>
        <v>České Budějovice</v>
      </c>
    </row>
    <row r="31633" spans="1:6" ht="15.75" customHeight="1">
      <c r="A31633" s="16" t="str">
        <f ca="1">IFERROR(__xludf.DUMMYFUNCTION("GOOGLETRANSLATE(B27328,""en"",""pt"")"),"Česká Třebová")</f>
        <v>Česká Třebová</v>
      </c>
      <c r="B31633" s="20" t="s">
        <v>31996</v>
      </c>
      <c r="C31633" s="20" t="s">
        <v>5947</v>
      </c>
      <c r="D31633" s="20" t="s">
        <v>31947</v>
      </c>
      <c r="E31633" s="10">
        <v>3077920</v>
      </c>
      <c r="F31633" s="4" t="str">
        <f>IF(B31633=B31632,"",B31633)</f>
        <v>Česká Třebová</v>
      </c>
    </row>
    <row r="31634" spans="1:6" ht="15.75" customHeight="1">
      <c r="A31634" s="16" t="str">
        <f ca="1">IFERROR(__xludf.DUMMYFUNCTION("GOOGLETRANSLATE(B27329,""en"",""pt"")"),"Česká lípa")</f>
        <v>Česká lípa</v>
      </c>
      <c r="B31634" s="20" t="s">
        <v>31997</v>
      </c>
      <c r="C31634" s="20" t="s">
        <v>5947</v>
      </c>
      <c r="D31634" s="20" t="s">
        <v>31976</v>
      </c>
      <c r="E31634" s="10">
        <v>3077929</v>
      </c>
      <c r="F31634" s="4" t="str">
        <f>IF(B31634=B31633,"",B31634)</f>
        <v>Česká Lípa</v>
      </c>
    </row>
    <row r="31635" spans="1:6" ht="15.75" customHeight="1">
      <c r="A31635" s="16" t="str">
        <f ca="1">IFERROR(__xludf.DUMMYFUNCTION("GOOGLETRANSLATE(B36411,""en"",""pt"")"),"Cēsis")</f>
        <v>Cēsis</v>
      </c>
      <c r="B31635" s="20" t="s">
        <v>34550</v>
      </c>
      <c r="C31635" s="20" t="s">
        <v>16982</v>
      </c>
      <c r="D31635" s="20" t="s">
        <v>34551</v>
      </c>
      <c r="E31635" s="10">
        <v>460570</v>
      </c>
      <c r="F31635" s="4" t="e">
        <f>IF(B31635=#REF!,"",B31635)</f>
        <v>#REF!</v>
      </c>
    </row>
    <row r="31636" spans="1:6" ht="15.75" customHeight="1">
      <c r="A31636" s="16" t="s">
        <v>15074</v>
      </c>
      <c r="B31636" s="15" t="s">
        <v>15074</v>
      </c>
      <c r="C31636" s="16" t="s">
        <v>14891</v>
      </c>
      <c r="D31636" s="16" t="s">
        <v>14973</v>
      </c>
      <c r="E31636" s="2">
        <v>3178956</v>
      </c>
      <c r="F31636" s="4" t="e">
        <f>IF(B31636=#REF!,"",B31636)</f>
        <v>#REF!</v>
      </c>
    </row>
    <row r="31637" spans="1:6" ht="15.75" customHeight="1">
      <c r="A31637" s="15" t="s">
        <v>15073</v>
      </c>
      <c r="B31637" s="15" t="s">
        <v>15073</v>
      </c>
      <c r="C31637" s="15" t="s">
        <v>14891</v>
      </c>
      <c r="D31637" s="15" t="s">
        <v>14973</v>
      </c>
      <c r="E31637" s="2">
        <v>3178957</v>
      </c>
      <c r="F31637" s="4" t="e">
        <f>IF(B31637=#REF!,"",B31637)</f>
        <v>#REF!</v>
      </c>
    </row>
    <row r="31638" spans="1:6" ht="15.75" customHeight="1">
      <c r="A31638" s="16" t="s">
        <v>15072</v>
      </c>
      <c r="B31638" s="15" t="s">
        <v>15072</v>
      </c>
      <c r="C31638" s="16" t="s">
        <v>14891</v>
      </c>
      <c r="D31638" s="16" t="s">
        <v>14894</v>
      </c>
      <c r="E31638" s="2">
        <v>3178972</v>
      </c>
      <c r="F31638" s="4" t="e">
        <f>IF(B31638=#REF!,"",B31638)</f>
        <v>#REF!</v>
      </c>
    </row>
    <row r="31639" spans="1:6" ht="15.75" customHeight="1">
      <c r="A31639" s="16" t="s">
        <v>15071</v>
      </c>
      <c r="B31639" s="15" t="s">
        <v>15071</v>
      </c>
      <c r="C31639" s="16" t="s">
        <v>14891</v>
      </c>
      <c r="D31639" s="16" t="s">
        <v>14894</v>
      </c>
      <c r="E31639" s="2">
        <v>6534280</v>
      </c>
      <c r="F31639" s="4" t="e">
        <f>IF(B31639=#REF!,"",B31639)</f>
        <v>#REF!</v>
      </c>
    </row>
    <row r="31640" spans="1:6" ht="15.75" customHeight="1">
      <c r="A31640" s="15" t="s">
        <v>15070</v>
      </c>
      <c r="B31640" s="15" t="s">
        <v>15070</v>
      </c>
      <c r="C31640" s="15" t="s">
        <v>14891</v>
      </c>
      <c r="D31640" s="15" t="s">
        <v>14973</v>
      </c>
      <c r="E31640" s="2">
        <v>3178998</v>
      </c>
      <c r="F31640" s="4" t="e">
        <f>IF(B31640=#REF!,"",B31640)</f>
        <v>#REF!</v>
      </c>
    </row>
    <row r="31641" spans="1:6" ht="15.75" customHeight="1">
      <c r="A31641" s="15" t="s">
        <v>15069</v>
      </c>
      <c r="B31641" s="15" t="s">
        <v>15069</v>
      </c>
      <c r="C31641" s="15" t="s">
        <v>14891</v>
      </c>
      <c r="D31641" s="15" t="s">
        <v>14904</v>
      </c>
      <c r="E31641" s="2">
        <v>3178999</v>
      </c>
      <c r="F31641" s="4" t="e">
        <f>IF(B31641=#REF!,"",B31641)</f>
        <v>#REF!</v>
      </c>
    </row>
    <row r="31642" spans="1:6" ht="15.75" customHeight="1">
      <c r="A31642" s="16" t="s">
        <v>20487</v>
      </c>
      <c r="B31642" s="15" t="s">
        <v>20487</v>
      </c>
      <c r="C31642" s="16" t="s">
        <v>20470</v>
      </c>
      <c r="D31642" s="16" t="s">
        <v>20488</v>
      </c>
      <c r="E31642" s="2">
        <v>3944797</v>
      </c>
      <c r="F31642" s="4" t="e">
        <f>IF(B31642=#REF!,"",B31642)</f>
        <v>#REF!</v>
      </c>
    </row>
    <row r="31643" spans="1:6" ht="15.75" customHeight="1">
      <c r="A31643" s="16" t="s">
        <v>17811</v>
      </c>
      <c r="B31643" s="15" t="s">
        <v>17811</v>
      </c>
      <c r="C31643" s="16" t="s">
        <v>17707</v>
      </c>
      <c r="D31643" s="16" t="s">
        <v>17708</v>
      </c>
      <c r="E31643" s="2">
        <v>3531321</v>
      </c>
      <c r="F31643" s="4" t="e">
        <f>IF(B31643=#REF!,"",B31643)</f>
        <v>#REF!</v>
      </c>
    </row>
    <row r="31644" spans="1:6" ht="15.75" customHeight="1">
      <c r="A31644" s="15" t="s">
        <v>5814</v>
      </c>
      <c r="B31644" s="15" t="s">
        <v>5814</v>
      </c>
      <c r="C31644" s="15" t="s">
        <v>5764</v>
      </c>
      <c r="D31644" s="15" t="s">
        <v>5768</v>
      </c>
      <c r="E31644" s="2">
        <v>3564436</v>
      </c>
      <c r="F31644" s="4" t="e">
        <f>IF(B31644=#REF!,"",B31644)</f>
        <v>#REF!</v>
      </c>
    </row>
    <row r="31645" spans="1:6" ht="15.75" customHeight="1">
      <c r="A31645" s="15" t="s">
        <v>28220</v>
      </c>
      <c r="B31645" s="15" t="s">
        <v>28220</v>
      </c>
      <c r="C31645" s="15" t="s">
        <v>27788</v>
      </c>
      <c r="D31645" s="15" t="s">
        <v>27801</v>
      </c>
      <c r="E31645" s="2">
        <v>5335663</v>
      </c>
      <c r="F31645" s="4" t="e">
        <f>IF(B31645=#REF!,"",B31645)</f>
        <v>#REF!</v>
      </c>
    </row>
    <row r="31646" spans="1:6" ht="15.75" customHeight="1">
      <c r="A31646" s="15" t="s">
        <v>2322</v>
      </c>
      <c r="B31646" s="15" t="s">
        <v>2322</v>
      </c>
      <c r="C31646" s="15" t="s">
        <v>1905</v>
      </c>
      <c r="D31646" s="15" t="s">
        <v>1914</v>
      </c>
      <c r="E31646" s="2">
        <v>3466429</v>
      </c>
      <c r="F31646" s="4" t="str">
        <f>IF(B31646=B31645,"",B31646)</f>
        <v>Cerquilho</v>
      </c>
    </row>
    <row r="31647" spans="1:6" ht="15.75" customHeight="1">
      <c r="A31647" s="16" t="str">
        <f ca="1">IFERROR(__xludf.DUMMYFUNCTION("GOOGLETRANSLATE(B27341,""en"",""pt"")"),"Černý mais")</f>
        <v>Černý mais</v>
      </c>
      <c r="B31647" s="20" t="s">
        <v>32006</v>
      </c>
      <c r="C31647" s="20" t="s">
        <v>5947</v>
      </c>
      <c r="D31647" s="20" t="s">
        <v>5959</v>
      </c>
      <c r="E31647" s="10">
        <v>6269470</v>
      </c>
      <c r="F31647" s="4" t="e">
        <f>IF(B31647=#REF!,"",B31647)</f>
        <v>#REF!</v>
      </c>
    </row>
    <row r="31648" spans="1:6" ht="15.75" customHeight="1">
      <c r="A31648" s="16" t="s">
        <v>15067</v>
      </c>
      <c r="B31648" s="15" t="s">
        <v>15068</v>
      </c>
      <c r="C31648" s="16" t="s">
        <v>14891</v>
      </c>
      <c r="D31648" s="16" t="s">
        <v>14894</v>
      </c>
      <c r="E31648" s="2">
        <v>3179066</v>
      </c>
      <c r="F31648" s="4" t="str">
        <f>IF(B31648=B31647,"",B31648)</f>
        <v>Cernusco sul Naviglio</v>
      </c>
    </row>
    <row r="31649" spans="1:6" ht="15.75" customHeight="1">
      <c r="A31649" s="16" t="s">
        <v>21891</v>
      </c>
      <c r="B31649" s="15" t="s">
        <v>21892</v>
      </c>
      <c r="C31649" s="16" t="s">
        <v>21824</v>
      </c>
      <c r="D31649" s="16" t="s">
        <v>21893</v>
      </c>
      <c r="E31649" s="2">
        <v>682321</v>
      </c>
      <c r="F31649" s="4" t="str">
        <f>IF(B31649=B31648,"",B31649)</f>
        <v>CernavodÄƒ</v>
      </c>
    </row>
    <row r="31650" spans="1:6" ht="15.75" customHeight="1">
      <c r="A31650" s="16" t="str">
        <f ca="1">IFERROR(__xludf.DUMMYFUNCTION("GOOGLETRANSLATE(B39816,""en"",""pt"")"),"Cernavodă")</f>
        <v>Cernavodă</v>
      </c>
      <c r="B31650" s="20" t="s">
        <v>35397</v>
      </c>
      <c r="C31650" s="20" t="s">
        <v>21824</v>
      </c>
      <c r="D31650" s="20" t="s">
        <v>35374</v>
      </c>
      <c r="E31650" s="10">
        <v>682321</v>
      </c>
      <c r="F31650" s="4" t="str">
        <f>IF(B31650=B31649,"",B31650)</f>
        <v>Cernavodă</v>
      </c>
    </row>
    <row r="31651" spans="1:6" ht="15.75" customHeight="1">
      <c r="A31651" s="16" t="str">
        <f ca="1">IFERROR(__xludf.DUMMYFUNCTION("GOOGLETRANSLATE(B42034,""en"",""pt"")"),"Çermik")</f>
        <v>Çermik</v>
      </c>
      <c r="B31651" s="20" t="s">
        <v>35892</v>
      </c>
      <c r="C31651" s="20" t="s">
        <v>26201</v>
      </c>
      <c r="D31651" s="20" t="s">
        <v>35835</v>
      </c>
      <c r="E31651" s="10">
        <v>318766</v>
      </c>
      <c r="F31651" s="4" t="str">
        <f>IF(B31651=B31650,"",B31651)</f>
        <v>Çermik</v>
      </c>
    </row>
    <row r="31652" spans="1:6" ht="15.75" customHeight="1">
      <c r="A31652" s="16" t="str">
        <f ca="1">IFERROR(__xludf.DUMMYFUNCTION("GOOGLETRANSLATE(B42194,""en"",""pt"")"),"Çerkezköy")</f>
        <v>Çerkezköy</v>
      </c>
      <c r="B31652" s="20" t="s">
        <v>35952</v>
      </c>
      <c r="C31652" s="20" t="s">
        <v>26201</v>
      </c>
      <c r="D31652" s="20" t="s">
        <v>35918</v>
      </c>
      <c r="E31652" s="10">
        <v>749274</v>
      </c>
      <c r="F31652" s="4" t="str">
        <f>IF(B31652=B31651,"",B31652)</f>
        <v>Çerkezköy</v>
      </c>
    </row>
    <row r="31653" spans="1:6" ht="15.75" customHeight="1">
      <c r="A31653" s="16" t="str">
        <f ca="1">IFERROR(__xludf.DUMMYFUNCTION("GOOGLETRANSLATE(B42195,""en"",""pt"")"),"Çerkeş")</f>
        <v>Çerkeş</v>
      </c>
      <c r="B31653" s="20" t="s">
        <v>35953</v>
      </c>
      <c r="C31653" s="20" t="s">
        <v>26201</v>
      </c>
      <c r="D31653" s="20" t="s">
        <v>35954</v>
      </c>
      <c r="E31653" s="10">
        <v>749279</v>
      </c>
      <c r="F31653" s="4" t="e">
        <f>IF(B31653=#REF!,"",B31653)</f>
        <v>#REF!</v>
      </c>
    </row>
    <row r="31654" spans="1:6" ht="15.75" customHeight="1">
      <c r="A31654" s="15" t="s">
        <v>15066</v>
      </c>
      <c r="B31654" s="15" t="s">
        <v>15066</v>
      </c>
      <c r="C31654" s="15" t="s">
        <v>14891</v>
      </c>
      <c r="D31654" s="15" t="s">
        <v>14908</v>
      </c>
      <c r="E31654" s="2">
        <v>3179075</v>
      </c>
      <c r="F31654" s="4" t="e">
        <f>IF(B31654=#REF!,"",B31654)</f>
        <v>#REF!</v>
      </c>
    </row>
    <row r="31655" spans="1:6" ht="15.75" customHeight="1">
      <c r="A31655" s="16" t="s">
        <v>7222</v>
      </c>
      <c r="B31655" s="15" t="s">
        <v>7222</v>
      </c>
      <c r="C31655" s="16" t="s">
        <v>7052</v>
      </c>
      <c r="D31655" s="16" t="s">
        <v>7058</v>
      </c>
      <c r="E31655" s="2">
        <v>8555643</v>
      </c>
      <c r="F31655" s="4" t="e">
        <f>IF(B31655=#REF!,"",B31655)</f>
        <v>#REF!</v>
      </c>
    </row>
    <row r="31656" spans="1:6" ht="15.75" customHeight="1">
      <c r="A31656" s="15" t="s">
        <v>7221</v>
      </c>
      <c r="B31656" s="15" t="s">
        <v>7221</v>
      </c>
      <c r="C31656" s="15" t="s">
        <v>7052</v>
      </c>
      <c r="D31656" s="15" t="s">
        <v>7058</v>
      </c>
      <c r="E31656" s="2">
        <v>3027883</v>
      </c>
      <c r="F31656" s="4" t="str">
        <f>IF(B31656=B31655,"",B31656)</f>
        <v>Cergy</v>
      </c>
    </row>
    <row r="31657" spans="1:6" ht="15.75" customHeight="1">
      <c r="A31657" s="16" t="str">
        <f ca="1">IFERROR(__xludf.DUMMYFUNCTION("GOOGLETRANSLATE(B27014,""en"",""pt"")"),"CERETÉ")</f>
        <v>CERETÉ</v>
      </c>
      <c r="B31657" s="20" t="s">
        <v>31884</v>
      </c>
      <c r="C31657" s="20" t="s">
        <v>5348</v>
      </c>
      <c r="D31657" s="20" t="s">
        <v>31214</v>
      </c>
      <c r="E31657" s="10">
        <v>3686922</v>
      </c>
      <c r="F31657" s="4" t="str">
        <f>IF(B31657=B31656,"",B31657)</f>
        <v>Cereté</v>
      </c>
    </row>
    <row r="31658" spans="1:6" ht="15.75" customHeight="1">
      <c r="A31658" s="16" t="s">
        <v>5417</v>
      </c>
      <c r="B31658" s="15" t="s">
        <v>5418</v>
      </c>
      <c r="C31658" s="16" t="s">
        <v>5348</v>
      </c>
      <c r="D31658" s="16" t="s">
        <v>591</v>
      </c>
      <c r="E31658" s="2">
        <v>3686922</v>
      </c>
      <c r="F31658" s="4" t="e">
        <f>IF(B31658=#REF!,"",B31658)</f>
        <v>#REF!</v>
      </c>
    </row>
    <row r="31659" spans="1:6" ht="15.75" customHeight="1">
      <c r="A31659" s="15" t="s">
        <v>2321</v>
      </c>
      <c r="B31659" s="15" t="s">
        <v>2321</v>
      </c>
      <c r="C31659" s="15" t="s">
        <v>1905</v>
      </c>
      <c r="D31659" s="15" t="s">
        <v>1969</v>
      </c>
      <c r="E31659" s="2">
        <v>3466436</v>
      </c>
      <c r="F31659" s="4" t="str">
        <f>IF(B31659=B31658,"",B31659)</f>
        <v>Ceres</v>
      </c>
    </row>
    <row r="31660" spans="1:6" ht="15.75" customHeight="1">
      <c r="A31660" s="16" t="str">
        <f ca="1">IFERROR(__xludf.DUMMYFUNCTION("GOOGLETRANSLATE(B29276,""en"",""pt"")"),"Cerdanyola del Vallès")</f>
        <v>Cerdanyola del Vallès</v>
      </c>
      <c r="B31660" s="20" t="s">
        <v>32425</v>
      </c>
      <c r="C31660" s="20" t="s">
        <v>24200</v>
      </c>
      <c r="D31660" s="20" t="s">
        <v>24277</v>
      </c>
      <c r="E31660" s="10">
        <v>3109402</v>
      </c>
      <c r="F31660" s="4" t="str">
        <f>IF(B31660=B31659,"",B31660)</f>
        <v>Cerdanyola del Vallès</v>
      </c>
    </row>
    <row r="31661" spans="1:6" ht="15.75" customHeight="1">
      <c r="A31661" s="16" t="s">
        <v>24395</v>
      </c>
      <c r="B31661" s="15" t="s">
        <v>24396</v>
      </c>
      <c r="C31661" s="16" t="s">
        <v>24200</v>
      </c>
      <c r="D31661" s="16" t="s">
        <v>24277</v>
      </c>
      <c r="E31661" s="2">
        <v>3109402</v>
      </c>
      <c r="F31661" s="4" t="e">
        <f>IF(B31661=#REF!,"",B31661)</f>
        <v>#REF!</v>
      </c>
    </row>
    <row r="31662" spans="1:6" ht="15.75" customHeight="1">
      <c r="A31662" s="15" t="s">
        <v>15065</v>
      </c>
      <c r="B31662" s="15" t="s">
        <v>15065</v>
      </c>
      <c r="C31662" s="15" t="s">
        <v>14891</v>
      </c>
      <c r="D31662" s="15" t="s">
        <v>14896</v>
      </c>
      <c r="E31662" s="2">
        <v>3179109</v>
      </c>
      <c r="F31662" s="4" t="e">
        <f>IF(B31662=#REF!,"",B31662)</f>
        <v>#REF!</v>
      </c>
    </row>
    <row r="31663" spans="1:6" ht="15.75" customHeight="1">
      <c r="A31663" s="15" t="s">
        <v>13877</v>
      </c>
      <c r="B31663" s="15" t="s">
        <v>13878</v>
      </c>
      <c r="C31663" s="15" t="s">
        <v>13800</v>
      </c>
      <c r="D31663" s="15" t="s">
        <v>13803</v>
      </c>
      <c r="E31663" s="2">
        <v>1647179</v>
      </c>
      <c r="F31663" s="4" t="e">
        <f>IF(B31663=#REF!,"",B31663)</f>
        <v>#REF!</v>
      </c>
    </row>
    <row r="31664" spans="1:6" ht="15.75" customHeight="1">
      <c r="A31664" s="15" t="s">
        <v>13876</v>
      </c>
      <c r="B31664" s="15" t="s">
        <v>13876</v>
      </c>
      <c r="C31664" s="15" t="s">
        <v>13800</v>
      </c>
      <c r="D31664" s="15" t="s">
        <v>13803</v>
      </c>
      <c r="E31664" s="2">
        <v>1647187</v>
      </c>
      <c r="F31664" s="4" t="e">
        <f>IF(B31664=#REF!,"",B31664)</f>
        <v>#REF!</v>
      </c>
    </row>
    <row r="31665" spans="1:6" ht="15.75" customHeight="1">
      <c r="A31665" s="16" t="s">
        <v>23872</v>
      </c>
      <c r="B31665" s="15" t="s">
        <v>23873</v>
      </c>
      <c r="C31665" s="16" t="s">
        <v>23842</v>
      </c>
      <c r="D31665" s="16" t="s">
        <v>23855</v>
      </c>
      <c r="E31665" s="2">
        <v>1105777</v>
      </c>
      <c r="F31665" s="4" t="e">
        <f>IF(B31665=#REF!,"",B31665)</f>
        <v>#REF!</v>
      </c>
    </row>
    <row r="31666" spans="1:6" ht="15.75" customHeight="1">
      <c r="A31666" s="16" t="s">
        <v>5813</v>
      </c>
      <c r="B31666" s="15" t="s">
        <v>5813</v>
      </c>
      <c r="C31666" s="16" t="s">
        <v>5764</v>
      </c>
      <c r="D31666" s="16" t="s">
        <v>5768</v>
      </c>
      <c r="E31666" s="2">
        <v>3746183</v>
      </c>
      <c r="F31666" s="4" t="e">
        <f>IF(B31666=#REF!,"",B31666)</f>
        <v>#REF!</v>
      </c>
    </row>
    <row r="31667" spans="1:6" ht="15.75" customHeight="1">
      <c r="A31667" s="16" t="s">
        <v>17809</v>
      </c>
      <c r="B31667" s="15" t="s">
        <v>17810</v>
      </c>
      <c r="C31667" s="16" t="s">
        <v>17707</v>
      </c>
      <c r="D31667" s="16" t="s">
        <v>17713</v>
      </c>
      <c r="E31667" s="2">
        <v>8858096</v>
      </c>
      <c r="F31667" s="4" t="e">
        <f>IF(B31667=#REF!,"",B31667)</f>
        <v>#REF!</v>
      </c>
    </row>
    <row r="31668" spans="1:6" ht="15.75" customHeight="1">
      <c r="A31668" s="16" t="s">
        <v>17680</v>
      </c>
      <c r="B31668" s="15" t="s">
        <v>17681</v>
      </c>
      <c r="C31668" s="16" t="s">
        <v>17678</v>
      </c>
      <c r="D31668" s="16" t="s">
        <v>17679</v>
      </c>
      <c r="E31668" s="2">
        <v>934631</v>
      </c>
      <c r="F31668" s="4" t="e">
        <f>IF(B31668=#REF!,"",B31668)</f>
        <v>#REF!</v>
      </c>
    </row>
    <row r="31669" spans="1:6" ht="15.75" customHeight="1">
      <c r="A31669" s="16" t="s">
        <v>22287</v>
      </c>
      <c r="B31669" s="15" t="s">
        <v>22287</v>
      </c>
      <c r="C31669" s="16" t="s">
        <v>22070</v>
      </c>
      <c r="D31669" s="16" t="s">
        <v>22084</v>
      </c>
      <c r="E31669" s="2">
        <v>8504960</v>
      </c>
      <c r="F31669" s="4" t="e">
        <f>IF(B31669=#REF!,"",B31669)</f>
        <v>#REF!</v>
      </c>
    </row>
    <row r="31670" spans="1:6" ht="15.75" customHeight="1">
      <c r="A31670" s="15" t="s">
        <v>28219</v>
      </c>
      <c r="B31670" s="15" t="s">
        <v>28219</v>
      </c>
      <c r="C31670" s="15" t="s">
        <v>27788</v>
      </c>
      <c r="D31670" s="15" t="s">
        <v>27733</v>
      </c>
      <c r="E31670" s="2">
        <v>5789683</v>
      </c>
      <c r="F31670" s="4" t="e">
        <f>IF(B31670=#REF!,"",B31670)</f>
        <v>#REF!</v>
      </c>
    </row>
    <row r="31671" spans="1:6" ht="15.75" customHeight="1">
      <c r="A31671" s="16" t="s">
        <v>28210</v>
      </c>
      <c r="B31671" s="15" t="s">
        <v>28218</v>
      </c>
      <c r="C31671" s="16" t="s">
        <v>27788</v>
      </c>
      <c r="D31671" s="16" t="s">
        <v>27820</v>
      </c>
      <c r="E31671" s="2">
        <v>5718601</v>
      </c>
      <c r="F31671" s="4" t="e">
        <f>IF(B31671=#REF!,"",B31671)</f>
        <v>#REF!</v>
      </c>
    </row>
    <row r="31672" spans="1:6" ht="15.75" customHeight="1">
      <c r="A31672" s="16" t="s">
        <v>28216</v>
      </c>
      <c r="B31672" s="15" t="s">
        <v>28217</v>
      </c>
      <c r="C31672" s="16" t="s">
        <v>27788</v>
      </c>
      <c r="D31672" s="16" t="s">
        <v>27819</v>
      </c>
      <c r="E31672" s="2">
        <v>5112078</v>
      </c>
      <c r="F31672" s="4" t="e">
        <f>IF(B31672=#REF!,"",B31672)</f>
        <v>#REF!</v>
      </c>
    </row>
    <row r="31673" spans="1:6" ht="15.75" customHeight="1">
      <c r="A31673" s="16" t="s">
        <v>28215</v>
      </c>
      <c r="B31673" s="15" t="s">
        <v>28215</v>
      </c>
      <c r="C31673" s="16" t="s">
        <v>27788</v>
      </c>
      <c r="D31673" s="16" t="s">
        <v>27951</v>
      </c>
      <c r="E31673" s="2">
        <v>5221341</v>
      </c>
      <c r="F31673" s="4" t="e">
        <f>IF(B31673=#REF!,"",B31673)</f>
        <v>#REF!</v>
      </c>
    </row>
    <row r="31674" spans="1:6" ht="15.75" customHeight="1">
      <c r="A31674" s="15" t="s">
        <v>1886</v>
      </c>
      <c r="B31674" s="15" t="s">
        <v>1886</v>
      </c>
      <c r="C31674" s="15" t="s">
        <v>27788</v>
      </c>
      <c r="D31674" s="15" t="s">
        <v>27827</v>
      </c>
      <c r="E31674" s="2">
        <v>4319435</v>
      </c>
      <c r="F31674" s="4" t="e">
        <f>IF(B31674=#REF!,"",B31674)</f>
        <v>#REF!</v>
      </c>
    </row>
    <row r="31675" spans="1:6" ht="15.75" customHeight="1">
      <c r="A31675" s="15" t="s">
        <v>15063</v>
      </c>
      <c r="B31675" s="15" t="s">
        <v>15064</v>
      </c>
      <c r="C31675" s="15" t="s">
        <v>14891</v>
      </c>
      <c r="D31675" s="15" t="s">
        <v>14973</v>
      </c>
      <c r="E31675" s="2">
        <v>3179162</v>
      </c>
      <c r="F31675" s="4" t="e">
        <f>IF(B31675=#REF!,"",B31675)</f>
        <v>#REF!</v>
      </c>
    </row>
    <row r="31676" spans="1:6" ht="15.75" customHeight="1">
      <c r="A31676" s="16" t="s">
        <v>28214</v>
      </c>
      <c r="B31676" s="15" t="s">
        <v>28214</v>
      </c>
      <c r="C31676" s="16" t="s">
        <v>27788</v>
      </c>
      <c r="D31676" s="16" t="s">
        <v>27813</v>
      </c>
      <c r="E31676" s="2">
        <v>4508204</v>
      </c>
      <c r="F31676" s="4" t="e">
        <f>IF(B31676=#REF!,"",B31676)</f>
        <v>#REF!</v>
      </c>
    </row>
    <row r="31677" spans="1:6" ht="15.75" customHeight="1">
      <c r="A31677" s="16" t="s">
        <v>28212</v>
      </c>
      <c r="B31677" s="15" t="s">
        <v>28213</v>
      </c>
      <c r="C31677" s="16" t="s">
        <v>27788</v>
      </c>
      <c r="D31677" s="16" t="s">
        <v>27819</v>
      </c>
      <c r="E31677" s="2">
        <v>5112035</v>
      </c>
      <c r="F31677" s="4" t="e">
        <f>IF(B31677=#REF!,"",B31677)</f>
        <v>#REF!</v>
      </c>
    </row>
    <row r="31678" spans="1:6" ht="15.75" customHeight="1">
      <c r="A31678" s="16" t="s">
        <v>28210</v>
      </c>
      <c r="B31678" s="15" t="s">
        <v>28211</v>
      </c>
      <c r="C31678" s="16" t="s">
        <v>27788</v>
      </c>
      <c r="D31678" s="16" t="s">
        <v>28023</v>
      </c>
      <c r="E31678" s="2">
        <v>4054378</v>
      </c>
      <c r="F31678" s="4" t="e">
        <f>IF(B31678=#REF!,"",B31678)</f>
        <v>#REF!</v>
      </c>
    </row>
    <row r="31679" spans="1:6" ht="15.75" customHeight="1">
      <c r="A31679" s="16" t="s">
        <v>28208</v>
      </c>
      <c r="B31679" s="15" t="s">
        <v>28209</v>
      </c>
      <c r="C31679" s="16" t="s">
        <v>27788</v>
      </c>
      <c r="D31679" s="16" t="s">
        <v>2341</v>
      </c>
      <c r="E31679" s="2">
        <v>5416541</v>
      </c>
      <c r="F31679" s="4" t="e">
        <f>IF(B31679=#REF!,"",B31679)</f>
        <v>#REF!</v>
      </c>
    </row>
    <row r="31680" spans="1:6" ht="15.75" customHeight="1">
      <c r="A31680" s="16" t="s">
        <v>606</v>
      </c>
      <c r="B31680" s="15" t="s">
        <v>606</v>
      </c>
      <c r="C31680" s="16" t="s">
        <v>558</v>
      </c>
      <c r="D31680" s="16" t="s">
        <v>607</v>
      </c>
      <c r="E31680" s="2">
        <v>3862144</v>
      </c>
      <c r="F31680" s="4" t="str">
        <f>IF(B31680=B31679,"",B31680)</f>
        <v>Centenario</v>
      </c>
    </row>
    <row r="31681" spans="1:6" ht="15.75" customHeight="1">
      <c r="A31681" s="16" t="str">
        <f ca="1">IFERROR(__xludf.DUMMYFUNCTION("GOOGLETRANSLATE(B36677,""en"",""pt"")"),"Center Župa")</f>
        <v>Center Župa</v>
      </c>
      <c r="B31681" s="20" t="s">
        <v>34633</v>
      </c>
      <c r="C31681" s="20" t="s">
        <v>17221</v>
      </c>
      <c r="D31681" s="20" t="s">
        <v>34633</v>
      </c>
      <c r="E31681" s="10">
        <v>7886881</v>
      </c>
      <c r="F31681" s="4" t="str">
        <f>IF(B31681=B31680,"",B31681)</f>
        <v>Centar Župa</v>
      </c>
    </row>
    <row r="31682" spans="1:6" ht="15.75" customHeight="1">
      <c r="A31682" s="16" t="s">
        <v>17230</v>
      </c>
      <c r="B31682" s="15" t="s">
        <v>17231</v>
      </c>
      <c r="C31682" s="16" t="s">
        <v>17221</v>
      </c>
      <c r="D31682" s="16" t="s">
        <v>17231</v>
      </c>
      <c r="E31682" s="2">
        <v>7886881</v>
      </c>
      <c r="F31682" s="4" t="e">
        <f>IF(B31682=#REF!,"",B31682)</f>
        <v>#REF!</v>
      </c>
    </row>
    <row r="31683" spans="1:6" ht="15.75" customHeight="1">
      <c r="A31683" s="15" t="s">
        <v>7220</v>
      </c>
      <c r="B31683" s="15" t="s">
        <v>7220</v>
      </c>
      <c r="C31683" s="15" t="s">
        <v>7052</v>
      </c>
      <c r="D31683" s="15" t="s">
        <v>7084</v>
      </c>
      <c r="E31683" s="2">
        <v>3027950</v>
      </c>
      <c r="F31683" s="4" t="e">
        <f>IF(B31683=#REF!,"",B31683)</f>
        <v>#REF!</v>
      </c>
    </row>
    <row r="31684" spans="1:6" ht="15.75" customHeight="1">
      <c r="A31684" s="16" t="s">
        <v>2320</v>
      </c>
      <c r="B31684" s="15" t="s">
        <v>2320</v>
      </c>
      <c r="C31684" s="16" t="s">
        <v>1905</v>
      </c>
      <c r="D31684" s="16" t="s">
        <v>2020</v>
      </c>
      <c r="E31684" s="2">
        <v>3466481</v>
      </c>
      <c r="F31684" s="4" t="e">
        <f>IF(B31684=#REF!,"",B31684)</f>
        <v>#REF!</v>
      </c>
    </row>
    <row r="31685" spans="1:6" ht="15.75" customHeight="1">
      <c r="A31685" s="15" t="s">
        <v>8260</v>
      </c>
      <c r="B31685" s="15" t="s">
        <v>8260</v>
      </c>
      <c r="C31685" s="15" t="s">
        <v>8028</v>
      </c>
      <c r="D31685" s="15" t="s">
        <v>8034</v>
      </c>
      <c r="E31685" s="2">
        <v>2940213</v>
      </c>
      <c r="F31685" s="4" t="e">
        <f>IF(B31685=#REF!,"",B31685)</f>
        <v>#REF!</v>
      </c>
    </row>
    <row r="31686" spans="1:6" ht="15.75" customHeight="1">
      <c r="A31686" s="15" t="s">
        <v>23785</v>
      </c>
      <c r="B31686" s="15" t="s">
        <v>23785</v>
      </c>
      <c r="C31686" s="15" t="s">
        <v>23786</v>
      </c>
      <c r="D31686" s="15" t="s">
        <v>23785</v>
      </c>
      <c r="E31686" s="2">
        <v>3202781</v>
      </c>
      <c r="F31686" s="4" t="e">
        <f>IF(B31686=#REF!,"",B31686)</f>
        <v>#REF!</v>
      </c>
    </row>
    <row r="31687" spans="1:6" ht="15.75" customHeight="1">
      <c r="A31687" s="15" t="s">
        <v>14734</v>
      </c>
      <c r="B31687" s="15" t="s">
        <v>14734</v>
      </c>
      <c r="C31687" s="15" t="s">
        <v>14728</v>
      </c>
      <c r="D31687" s="15" t="s">
        <v>14729</v>
      </c>
      <c r="E31687" s="2">
        <v>2965529</v>
      </c>
      <c r="F31687" s="4" t="e">
        <f>IF(B31687=#REF!,"",B31687)</f>
        <v>#REF!</v>
      </c>
    </row>
    <row r="31688" spans="1:6" ht="15.75" customHeight="1">
      <c r="A31688" s="15" t="s">
        <v>17808</v>
      </c>
      <c r="B31688" s="15" t="s">
        <v>17808</v>
      </c>
      <c r="C31688" s="15" t="s">
        <v>17707</v>
      </c>
      <c r="D31688" s="15" t="s">
        <v>17713</v>
      </c>
      <c r="E31688" s="2">
        <v>4014875</v>
      </c>
      <c r="F31688" s="4" t="str">
        <f>IF(B31688=B31687,"",B31688)</f>
        <v>Celaya</v>
      </c>
    </row>
    <row r="31689" spans="1:6" ht="15.75" customHeight="1">
      <c r="A31689" s="16" t="str">
        <f ca="1">IFERROR(__xludf.DUMMYFUNCTION("GOOGLETRANSLATE(B29146,""en"",""pt"")"),"Cehegín")</f>
        <v>Cehegín</v>
      </c>
      <c r="B31689" s="20" t="s">
        <v>32388</v>
      </c>
      <c r="C31689" s="20" t="s">
        <v>24200</v>
      </c>
      <c r="D31689" s="20" t="s">
        <v>20912</v>
      </c>
      <c r="E31689" s="10">
        <v>2519651</v>
      </c>
      <c r="F31689" s="4" t="str">
        <f>IF(B31689=B31688,"",B31689)</f>
        <v>Cehegín</v>
      </c>
    </row>
    <row r="31690" spans="1:6" ht="15.75" customHeight="1">
      <c r="A31690" s="15" t="s">
        <v>24393</v>
      </c>
      <c r="B31690" s="15" t="s">
        <v>24394</v>
      </c>
      <c r="C31690" s="15" t="s">
        <v>24200</v>
      </c>
      <c r="D31690" s="15" t="s">
        <v>20912</v>
      </c>
      <c r="E31690" s="2">
        <v>2519651</v>
      </c>
      <c r="F31690" s="4" t="e">
        <f>IF(B31690=#REF!,"",B31690)</f>
        <v>#REF!</v>
      </c>
    </row>
    <row r="31691" spans="1:6" ht="15.75" customHeight="1">
      <c r="A31691" s="16" t="s">
        <v>15061</v>
      </c>
      <c r="B31691" s="15" t="s">
        <v>15062</v>
      </c>
      <c r="C31691" s="16" t="s">
        <v>14891</v>
      </c>
      <c r="D31691" s="16" t="s">
        <v>14908</v>
      </c>
      <c r="E31691" s="2">
        <v>3179218</v>
      </c>
      <c r="F31691" s="4" t="str">
        <f>IF(B31691=B31690,"",B31691)</f>
        <v>Ceglie Messapica</v>
      </c>
    </row>
    <row r="31692" spans="1:6" ht="15.75" customHeight="1">
      <c r="A31692" s="16" t="str">
        <f ca="1">IFERROR(__xludf.DUMMYFUNCTION("GOOGLETRANSLATE(B31324,""en"",""pt"")"),"Cegléd")</f>
        <v>Cegléd</v>
      </c>
      <c r="B31692" s="20" t="s">
        <v>32887</v>
      </c>
      <c r="C31692" s="20" t="s">
        <v>9955</v>
      </c>
      <c r="D31692" s="20" t="s">
        <v>9959</v>
      </c>
      <c r="E31692" s="10">
        <v>3054543</v>
      </c>
      <c r="F31692" s="4" t="str">
        <f>IF(B31692=B31691,"",B31692)</f>
        <v>Cegléd</v>
      </c>
    </row>
    <row r="31693" spans="1:6" ht="15.75" customHeight="1">
      <c r="A31693" s="15" t="s">
        <v>10026</v>
      </c>
      <c r="B31693" s="15" t="s">
        <v>10027</v>
      </c>
      <c r="C31693" s="15" t="s">
        <v>9955</v>
      </c>
      <c r="D31693" s="15" t="s">
        <v>9959</v>
      </c>
      <c r="E31693" s="2">
        <v>3054543</v>
      </c>
      <c r="F31693" s="4" t="e">
        <f>IF(B31693=#REF!,"",B31693)</f>
        <v>#REF!</v>
      </c>
    </row>
    <row r="31694" spans="1:6" ht="15.75" customHeight="1">
      <c r="A31694" s="16" t="s">
        <v>23817</v>
      </c>
      <c r="B31694" s="15" t="s">
        <v>23817</v>
      </c>
      <c r="C31694" s="16" t="s">
        <v>23800</v>
      </c>
      <c r="D31694" s="16" t="s">
        <v>23818</v>
      </c>
      <c r="E31694" s="2">
        <v>62691</v>
      </c>
      <c r="F31694" s="4" t="e">
        <f>IF(B31694=#REF!,"",B31694)</f>
        <v>#REF!</v>
      </c>
    </row>
    <row r="31695" spans="1:6" ht="15.75" customHeight="1">
      <c r="A31695" s="16" t="s">
        <v>23815</v>
      </c>
      <c r="B31695" s="15" t="s">
        <v>23815</v>
      </c>
      <c r="C31695" s="16" t="s">
        <v>23800</v>
      </c>
      <c r="D31695" s="16" t="s">
        <v>23816</v>
      </c>
      <c r="E31695" s="2">
        <v>62788</v>
      </c>
      <c r="F31695" s="4" t="e">
        <f>IF(B31695=#REF!,"",B31695)</f>
        <v>#REF!</v>
      </c>
    </row>
    <row r="31696" spans="1:6" ht="15.75" customHeight="1">
      <c r="A31696" s="16" t="s">
        <v>28207</v>
      </c>
      <c r="B31696" s="15" t="s">
        <v>28207</v>
      </c>
      <c r="C31696" s="16" t="s">
        <v>27788</v>
      </c>
      <c r="D31696" s="16" t="s">
        <v>27859</v>
      </c>
      <c r="E31696" s="2">
        <v>4850751</v>
      </c>
      <c r="F31696" s="4" t="e">
        <f>IF(B31696=#REF!,"",B31696)</f>
        <v>#REF!</v>
      </c>
    </row>
    <row r="31697" spans="1:6" ht="15.75" customHeight="1">
      <c r="A31697" s="16" t="s">
        <v>28205</v>
      </c>
      <c r="B31697" s="15" t="s">
        <v>28206</v>
      </c>
      <c r="C31697" s="16" t="s">
        <v>27788</v>
      </c>
      <c r="D31697" s="16" t="s">
        <v>27792</v>
      </c>
      <c r="E31697" s="2">
        <v>4679867</v>
      </c>
      <c r="F31697" s="4" t="e">
        <f>IF(B31697=#REF!,"",B31697)</f>
        <v>#REF!</v>
      </c>
    </row>
    <row r="31698" spans="1:6" ht="15.75" customHeight="1">
      <c r="A31698" s="15" t="s">
        <v>28204</v>
      </c>
      <c r="B31698" s="15" t="s">
        <v>28204</v>
      </c>
      <c r="C31698" s="15" t="s">
        <v>27788</v>
      </c>
      <c r="D31698" s="15" t="s">
        <v>27792</v>
      </c>
      <c r="E31698" s="2">
        <v>4679803</v>
      </c>
      <c r="F31698" s="4" t="e">
        <f>IF(B31698=#REF!,"",B31698)</f>
        <v>#REF!</v>
      </c>
    </row>
    <row r="31699" spans="1:6" ht="15.75" customHeight="1">
      <c r="A31699" s="16" t="s">
        <v>28203</v>
      </c>
      <c r="B31699" s="15" t="s">
        <v>28203</v>
      </c>
      <c r="C31699" s="16" t="s">
        <v>27788</v>
      </c>
      <c r="D31699" s="16" t="s">
        <v>27859</v>
      </c>
      <c r="E31699" s="2">
        <v>4850699</v>
      </c>
      <c r="F31699" s="4" t="e">
        <f>IF(B31699=#REF!,"",B31699)</f>
        <v>#REF!</v>
      </c>
    </row>
    <row r="31700" spans="1:6" ht="15.75" customHeight="1">
      <c r="A31700" s="16" t="s">
        <v>28201</v>
      </c>
      <c r="B31700" s="15" t="s">
        <v>28202</v>
      </c>
      <c r="C31700" s="16" t="s">
        <v>27788</v>
      </c>
      <c r="D31700" s="16" t="s">
        <v>27856</v>
      </c>
      <c r="E31700" s="2">
        <v>5536630</v>
      </c>
      <c r="F31700" s="4" t="e">
        <f>IF(B31700=#REF!,"",B31700)</f>
        <v>#REF!</v>
      </c>
    </row>
    <row r="31701" spans="1:6" ht="15.75" customHeight="1">
      <c r="A31701" s="15" t="s">
        <v>15060</v>
      </c>
      <c r="B31701" s="15" t="s">
        <v>15060</v>
      </c>
      <c r="C31701" s="15" t="s">
        <v>14891</v>
      </c>
      <c r="D31701" s="15" t="s">
        <v>14943</v>
      </c>
      <c r="E31701" s="2">
        <v>3179235</v>
      </c>
      <c r="F31701" s="4" t="e">
        <f>IF(B31701=#REF!,"",B31701)</f>
        <v>#REF!</v>
      </c>
    </row>
    <row r="31702" spans="1:6" ht="15.75" customHeight="1">
      <c r="A31702" s="16" t="s">
        <v>20739</v>
      </c>
      <c r="B31702" s="15" t="s">
        <v>20740</v>
      </c>
      <c r="C31702" s="16" t="s">
        <v>20598</v>
      </c>
      <c r="D31702" s="16" t="s">
        <v>20622</v>
      </c>
      <c r="E31702" s="2">
        <v>1717512</v>
      </c>
      <c r="F31702" s="4" t="str">
        <f>IF(B31702=B31701,"",B31702)</f>
        <v>Cebu City</v>
      </c>
    </row>
    <row r="31703" spans="1:6" ht="15.75" customHeight="1">
      <c r="A31703" s="15" t="s">
        <v>2318</v>
      </c>
      <c r="B31703" s="15" t="s">
        <v>2319</v>
      </c>
      <c r="C31703" s="15" t="s">
        <v>1905</v>
      </c>
      <c r="D31703" s="15" t="s">
        <v>1922</v>
      </c>
      <c r="E31703" s="2">
        <v>3402360</v>
      </c>
      <c r="F31703" s="4" t="str">
        <f>IF(B31703=B31702,"",B31703)</f>
        <v>CearÃ¡ Mirim</v>
      </c>
    </row>
    <row r="31704" spans="1:6" ht="15.75" customHeight="1">
      <c r="A31704" s="16" t="str">
        <f ca="1">IFERROR(__xludf.DUMMYFUNCTION("GOOGLETRANSLATE(B24350,""en"",""pt"")"),"Ceará Mirim")</f>
        <v>Ceará Mirim</v>
      </c>
      <c r="B31704" s="20" t="s">
        <v>31408</v>
      </c>
      <c r="C31704" s="20" t="s">
        <v>1905</v>
      </c>
      <c r="D31704" s="20" t="s">
        <v>1922</v>
      </c>
      <c r="E31704" s="10">
        <v>3402360</v>
      </c>
      <c r="F31704" s="4" t="str">
        <f>IF(B31704=B31703,"",B31704)</f>
        <v>Ceará Mirim</v>
      </c>
    </row>
    <row r="31705" spans="1:6" ht="15.75" customHeight="1">
      <c r="A31705" s="16" t="str">
        <f ca="1">IFERROR(__xludf.DUMMYFUNCTION("GOOGLETRANSLATE(B36542,""en"",""pt"")"),"Ceadîr-lunga")</f>
        <v>Ceadîr-lunga</v>
      </c>
      <c r="B31705" s="20" t="s">
        <v>34610</v>
      </c>
      <c r="C31705" s="20" t="s">
        <v>18455</v>
      </c>
      <c r="D31705" s="20" t="s">
        <v>34608</v>
      </c>
      <c r="E31705" s="10">
        <v>618450</v>
      </c>
      <c r="F31705" s="4" t="str">
        <f>IF(B31705=B31704,"",B31705)</f>
        <v>Ceadîr-Lunga</v>
      </c>
    </row>
    <row r="31706" spans="1:6" ht="15.75" customHeight="1">
      <c r="A31706" s="16" t="s">
        <v>18462</v>
      </c>
      <c r="B31706" s="15" t="s">
        <v>18463</v>
      </c>
      <c r="C31706" s="16" t="s">
        <v>18455</v>
      </c>
      <c r="D31706" s="16" t="s">
        <v>18464</v>
      </c>
      <c r="E31706" s="2">
        <v>618450</v>
      </c>
      <c r="F31706" s="4" t="e">
        <f>IF(B31706=#REF!,"",B31706)</f>
        <v>#REF!</v>
      </c>
    </row>
    <row r="31707" spans="1:6" ht="15.75" customHeight="1">
      <c r="A31707" s="15" t="s">
        <v>1855</v>
      </c>
      <c r="B31707" s="15" t="s">
        <v>1855</v>
      </c>
      <c r="C31707" s="15" t="s">
        <v>1845</v>
      </c>
      <c r="D31707" s="15" t="s">
        <v>1849</v>
      </c>
      <c r="E31707" s="2">
        <v>3202822</v>
      </c>
      <c r="F31707" s="4" t="e">
        <f>IF(B31707=#REF!,"",B31707)</f>
        <v>#REF!</v>
      </c>
    </row>
    <row r="31708" spans="1:6" ht="15.75" customHeight="1">
      <c r="A31708" s="15" t="s">
        <v>21760</v>
      </c>
      <c r="B31708" s="15" t="s">
        <v>21760</v>
      </c>
      <c r="C31708" s="15" t="s">
        <v>747</v>
      </c>
      <c r="D31708" s="15" t="s">
        <v>21760</v>
      </c>
      <c r="E31708" s="2">
        <v>4563308</v>
      </c>
      <c r="F31708" s="4" t="e">
        <f>IF(B31708=#REF!,"",B31708)</f>
        <v>#REF!</v>
      </c>
    </row>
    <row r="31709" spans="1:6" ht="15.75" customHeight="1">
      <c r="A31709" s="16" t="s">
        <v>7940</v>
      </c>
      <c r="B31709" s="15" t="s">
        <v>7941</v>
      </c>
      <c r="C31709" s="16" t="s">
        <v>7942</v>
      </c>
      <c r="D31709" s="16" t="s">
        <v>7943</v>
      </c>
      <c r="E31709" s="2">
        <v>3382160</v>
      </c>
      <c r="F31709" s="4" t="str">
        <f>IF(B31709=B31708,"",B31709)</f>
        <v>Cayenne</v>
      </c>
    </row>
    <row r="31710" spans="1:6" ht="15.75" customHeight="1">
      <c r="A31710" s="16" t="str">
        <f ca="1">IFERROR(__xludf.DUMMYFUNCTION("GOOGLETRANSLATE(B42196,""en"",""pt"")"),"Çayeli")</f>
        <v>Çayeli</v>
      </c>
      <c r="B31710" s="20" t="s">
        <v>35955</v>
      </c>
      <c r="C31710" s="20" t="s">
        <v>26201</v>
      </c>
      <c r="D31710" s="20" t="s">
        <v>26243</v>
      </c>
      <c r="E31710" s="10">
        <v>749502</v>
      </c>
      <c r="F31710" s="4" t="str">
        <f>IF(B31710=B31709,"",B31710)</f>
        <v>Çayeli</v>
      </c>
    </row>
    <row r="31711" spans="1:6" ht="15.75" customHeight="1">
      <c r="A31711" s="16" t="str">
        <f ca="1">IFERROR(__xludf.DUMMYFUNCTION("GOOGLETRANSLATE(B42197,""en"",""pt"")"),"Çaycuma")</f>
        <v>Çaycuma</v>
      </c>
      <c r="B31711" s="20" t="s">
        <v>35956</v>
      </c>
      <c r="C31711" s="20" t="s">
        <v>26201</v>
      </c>
      <c r="D31711" s="20" t="s">
        <v>26240</v>
      </c>
      <c r="E31711" s="10">
        <v>749508</v>
      </c>
      <c r="F31711" s="4" t="e">
        <f>IF(B31711=#REF!,"",B31711)</f>
        <v>#REF!</v>
      </c>
    </row>
    <row r="31712" spans="1:6" ht="15.75" customHeight="1">
      <c r="A31712" s="15" t="s">
        <v>6419</v>
      </c>
      <c r="B31712" s="15" t="s">
        <v>6419</v>
      </c>
      <c r="C31712" s="15" t="s">
        <v>6398</v>
      </c>
      <c r="D31712" s="15" t="s">
        <v>6420</v>
      </c>
      <c r="E31712" s="2">
        <v>3659578</v>
      </c>
      <c r="F31712" s="4" t="str">
        <f>IF(B31712=B31711,"",B31712)</f>
        <v>Cayambe</v>
      </c>
    </row>
    <row r="31713" spans="1:6" ht="15.75" customHeight="1">
      <c r="A31713" s="16" t="str">
        <f ca="1">IFERROR(__xludf.DUMMYFUNCTION("GOOGLETRANSLATE(B42035,""en"",""pt"")"),"Çay")</f>
        <v>Çay</v>
      </c>
      <c r="B31713" s="20" t="s">
        <v>35893</v>
      </c>
      <c r="C31713" s="20" t="s">
        <v>26201</v>
      </c>
      <c r="D31713" s="20" t="s">
        <v>26237</v>
      </c>
      <c r="E31713" s="10">
        <v>319104</v>
      </c>
      <c r="F31713" s="4" t="e">
        <f>IF(B31713=#REF!,"",B31713)</f>
        <v>#REF!</v>
      </c>
    </row>
    <row r="31714" spans="1:6" ht="15.75" customHeight="1">
      <c r="A31714" s="15" t="s">
        <v>518</v>
      </c>
      <c r="B31714" s="15" t="s">
        <v>518</v>
      </c>
      <c r="C31714" s="15" t="s">
        <v>507</v>
      </c>
      <c r="D31714" s="15" t="s">
        <v>519</v>
      </c>
      <c r="E31714" s="2">
        <v>2242001</v>
      </c>
      <c r="F31714" s="4" t="e">
        <f>IF(B31714=#REF!,"",B31714)</f>
        <v>#REF!</v>
      </c>
    </row>
    <row r="31715" spans="1:6" ht="15.75" customHeight="1">
      <c r="A31715" s="16" t="s">
        <v>2316</v>
      </c>
      <c r="B31715" s="15" t="s">
        <v>2317</v>
      </c>
      <c r="C31715" s="16" t="s">
        <v>1905</v>
      </c>
      <c r="D31715" s="16" t="s">
        <v>1951</v>
      </c>
      <c r="E31715" s="2">
        <v>3466537</v>
      </c>
      <c r="F31715" s="4" t="e">
        <f>IF(B31715=#REF!,"",B31715)</f>
        <v>#REF!</v>
      </c>
    </row>
    <row r="31716" spans="1:6" ht="15.75" customHeight="1">
      <c r="A31716" s="15" t="s">
        <v>2315</v>
      </c>
      <c r="B31716" s="15" t="s">
        <v>2315</v>
      </c>
      <c r="C31716" s="15" t="s">
        <v>1905</v>
      </c>
      <c r="D31716" s="15" t="s">
        <v>2024</v>
      </c>
      <c r="E31716" s="2">
        <v>3402383</v>
      </c>
      <c r="F31716" s="4" t="e">
        <f>IF(B31716=#REF!,"",B31716)</f>
        <v>#REF!</v>
      </c>
    </row>
    <row r="31717" spans="1:6" ht="15.75" customHeight="1">
      <c r="A31717" s="15" t="s">
        <v>2314</v>
      </c>
      <c r="B31717" s="15" t="s">
        <v>2314</v>
      </c>
      <c r="C31717" s="15" t="s">
        <v>1905</v>
      </c>
      <c r="D31717" s="15" t="s">
        <v>1917</v>
      </c>
      <c r="E31717" s="2">
        <v>3466547</v>
      </c>
      <c r="F31717" s="4" t="e">
        <f>IF(B31717=#REF!,"",B31717)</f>
        <v>#REF!</v>
      </c>
    </row>
    <row r="31718" spans="1:6" ht="15.75" customHeight="1">
      <c r="A31718" s="16" t="s">
        <v>20737</v>
      </c>
      <c r="B31718" s="15" t="s">
        <v>20738</v>
      </c>
      <c r="C31718" s="16" t="s">
        <v>20598</v>
      </c>
      <c r="D31718" s="16" t="s">
        <v>20608</v>
      </c>
      <c r="E31718" s="2">
        <v>1717641</v>
      </c>
      <c r="F31718" s="4" t="e">
        <f>IF(B31718=#REF!,"",B31718)</f>
        <v>#REF!</v>
      </c>
    </row>
    <row r="31719" spans="1:6" ht="15.75" customHeight="1">
      <c r="A31719" s="15" t="s">
        <v>7219</v>
      </c>
      <c r="B31719" s="15" t="s">
        <v>7219</v>
      </c>
      <c r="C31719" s="15" t="s">
        <v>7052</v>
      </c>
      <c r="D31719" s="15" t="s">
        <v>7087</v>
      </c>
      <c r="E31719" s="2">
        <v>3028134</v>
      </c>
      <c r="F31719" s="4" t="str">
        <f>IF(B31719=B31718,"",B31719)</f>
        <v>Cavaillon</v>
      </c>
    </row>
    <row r="31720" spans="1:6" ht="15.75" customHeight="1">
      <c r="A31720" s="16" t="str">
        <f ca="1">IFERROR(__xludf.DUMMYFUNCTION("GOOGLETRANSLATE(B34988,""en"",""pt"")"),"Cava Dè Tirreni")</f>
        <v>Cava Dè Tirreni</v>
      </c>
      <c r="B31720" s="20" t="s">
        <v>34275</v>
      </c>
      <c r="C31720" s="20" t="s">
        <v>14891</v>
      </c>
      <c r="D31720" s="20" t="s">
        <v>14896</v>
      </c>
      <c r="E31720" s="10">
        <v>3179337</v>
      </c>
      <c r="F31720" s="4" t="str">
        <f>IF(B31720=B31719,"",B31720)</f>
        <v>Cava Dè Tirreni</v>
      </c>
    </row>
    <row r="31721" spans="1:6" ht="15.75" customHeight="1">
      <c r="A31721" s="16" t="s">
        <v>15058</v>
      </c>
      <c r="B31721" s="15" t="s">
        <v>15059</v>
      </c>
      <c r="C31721" s="16" t="s">
        <v>14891</v>
      </c>
      <c r="D31721" s="16" t="s">
        <v>14896</v>
      </c>
      <c r="E31721" s="2">
        <v>3179337</v>
      </c>
      <c r="F31721" s="4" t="e">
        <f>IF(B31721=#REF!,"",B31721)</f>
        <v>#REF!</v>
      </c>
    </row>
    <row r="31722" spans="1:6" ht="15.75" customHeight="1">
      <c r="A31722" s="16" t="s">
        <v>5811</v>
      </c>
      <c r="B31722" s="15" t="s">
        <v>5812</v>
      </c>
      <c r="C31722" s="16" t="s">
        <v>5764</v>
      </c>
      <c r="D31722" s="16" t="s">
        <v>5788</v>
      </c>
      <c r="E31722" s="2">
        <v>3564885</v>
      </c>
      <c r="F31722" s="4" t="str">
        <f>IF(B31722=B31721,"",B31722)</f>
        <v>Cauto Cristo</v>
      </c>
    </row>
    <row r="31723" spans="1:6" ht="15.75" customHeight="1">
      <c r="A31723" s="16" t="str">
        <f ca="1">IFERROR(__xludf.DUMMYFUNCTION("GOOGLETRANSLATE(B36536,""en"",""pt"")"),"Căuşeni")</f>
        <v>Căuşeni</v>
      </c>
      <c r="B31723" s="20" t="s">
        <v>34604</v>
      </c>
      <c r="C31723" s="20" t="s">
        <v>18455</v>
      </c>
      <c r="D31723" s="20" t="s">
        <v>34604</v>
      </c>
      <c r="E31723" s="10">
        <v>618120</v>
      </c>
      <c r="F31723" s="4" t="e">
        <f>IF(B31723=#REF!,"",B31723)</f>
        <v>#REF!</v>
      </c>
    </row>
    <row r="31724" spans="1:6" ht="15.75" customHeight="1">
      <c r="A31724" s="16" t="s">
        <v>4372</v>
      </c>
      <c r="B31724" s="15" t="s">
        <v>4372</v>
      </c>
      <c r="C31724" s="16" t="s">
        <v>4355</v>
      </c>
      <c r="D31724" s="16" t="s">
        <v>4373</v>
      </c>
      <c r="E31724" s="2">
        <v>3896105</v>
      </c>
      <c r="F31724" s="4" t="e">
        <f>IF(B31724=#REF!,"",B31724)</f>
        <v>#REF!</v>
      </c>
    </row>
    <row r="31725" spans="1:6" ht="15.75" customHeight="1">
      <c r="A31725" s="15" t="s">
        <v>604</v>
      </c>
      <c r="B31725" s="15" t="s">
        <v>605</v>
      </c>
      <c r="C31725" s="15" t="s">
        <v>558</v>
      </c>
      <c r="D31725" s="15" t="s">
        <v>568</v>
      </c>
      <c r="E31725" s="2">
        <v>3862240</v>
      </c>
      <c r="F31725" s="4" t="e">
        <f>IF(B31725=#REF!,"",B31725)</f>
        <v>#REF!</v>
      </c>
    </row>
    <row r="31726" spans="1:6" ht="15.75" customHeight="1">
      <c r="A31726" s="16" t="s">
        <v>5415</v>
      </c>
      <c r="B31726" s="15" t="s">
        <v>5416</v>
      </c>
      <c r="C31726" s="16" t="s">
        <v>5348</v>
      </c>
      <c r="D31726" s="16" t="s">
        <v>5362</v>
      </c>
      <c r="E31726" s="2">
        <v>3687025</v>
      </c>
      <c r="F31726" s="4" t="e">
        <f>IF(B31726=#REF!,"",B31726)</f>
        <v>#REF!</v>
      </c>
    </row>
    <row r="31727" spans="1:6" ht="15.75" customHeight="1">
      <c r="A31727" s="15" t="s">
        <v>2313</v>
      </c>
      <c r="B31727" s="15" t="s">
        <v>2313</v>
      </c>
      <c r="C31727" s="15" t="s">
        <v>1905</v>
      </c>
      <c r="D31727" s="15" t="s">
        <v>1930</v>
      </c>
      <c r="E31727" s="2">
        <v>3402429</v>
      </c>
      <c r="F31727" s="4" t="str">
        <f>IF(B31727=B31726,"",B31727)</f>
        <v>Caucaia</v>
      </c>
    </row>
    <row r="31728" spans="1:6" ht="15.75" customHeight="1">
      <c r="A31728" s="16" t="str">
        <f ca="1">IFERROR(__xludf.DUMMYFUNCTION("GOOGLETRANSLATE(B45679,""en"",""pt"")"),"Caucagüito")</f>
        <v>Caucagüito</v>
      </c>
      <c r="B31728" s="20" t="s">
        <v>36099</v>
      </c>
      <c r="C31728" s="20" t="s">
        <v>5923</v>
      </c>
      <c r="D31728" s="20" t="s">
        <v>30647</v>
      </c>
      <c r="E31728" s="10">
        <v>3646169</v>
      </c>
      <c r="F31728" s="4" t="e">
        <f>IF(B31728=#REF!,"",B31728)</f>
        <v>#REF!</v>
      </c>
    </row>
    <row r="31729" spans="1:6" ht="15.75" customHeight="1">
      <c r="A31729" s="16" t="s">
        <v>30671</v>
      </c>
      <c r="B31729" s="15" t="s">
        <v>30672</v>
      </c>
      <c r="C31729" s="16" t="s">
        <v>5923</v>
      </c>
      <c r="D31729" s="16" t="s">
        <v>30647</v>
      </c>
      <c r="E31729" s="2">
        <v>3803515</v>
      </c>
      <c r="F31729" s="4" t="str">
        <f>IF(B31729=B31728,"",B31729)</f>
        <v>Caucaguita</v>
      </c>
    </row>
    <row r="31730" spans="1:6" ht="15.75" customHeight="1">
      <c r="A31730" s="16" t="s">
        <v>30669</v>
      </c>
      <c r="B31730" s="15" t="s">
        <v>30670</v>
      </c>
      <c r="C31730" s="16" t="s">
        <v>5923</v>
      </c>
      <c r="D31730" s="16" t="s">
        <v>30647</v>
      </c>
      <c r="E31730" s="2">
        <v>3646169</v>
      </c>
      <c r="F31730" s="4" t="e">
        <f>IF(B31730=#REF!,"",B31730)</f>
        <v>#REF!</v>
      </c>
    </row>
    <row r="31731" spans="1:6" ht="15.75" customHeight="1">
      <c r="A31731" s="16" t="s">
        <v>517</v>
      </c>
      <c r="B31731" s="15" t="s">
        <v>517</v>
      </c>
      <c r="C31731" s="16" t="s">
        <v>507</v>
      </c>
      <c r="D31731" s="16" t="s">
        <v>506</v>
      </c>
      <c r="E31731" s="2">
        <v>3350246</v>
      </c>
      <c r="F31731" s="4" t="e">
        <f>IF(B31731=#REF!,"",B31731)</f>
        <v>#REF!</v>
      </c>
    </row>
    <row r="31732" spans="1:6" ht="15.75" customHeight="1">
      <c r="A31732" s="15" t="s">
        <v>2312</v>
      </c>
      <c r="B31732" s="15" t="s">
        <v>2312</v>
      </c>
      <c r="C31732" s="15" t="s">
        <v>1905</v>
      </c>
      <c r="D31732" s="15" t="s">
        <v>1947</v>
      </c>
      <c r="E31732" s="2">
        <v>3466641</v>
      </c>
      <c r="F31732" s="4" t="e">
        <f>IF(B31732=#REF!,"",B31732)</f>
        <v>#REF!</v>
      </c>
    </row>
    <row r="31733" spans="1:6" ht="15.75" customHeight="1">
      <c r="A31733" s="15" t="s">
        <v>15057</v>
      </c>
      <c r="B31733" s="15" t="s">
        <v>15057</v>
      </c>
      <c r="C31733" s="15" t="s">
        <v>14891</v>
      </c>
      <c r="D31733" s="15" t="s">
        <v>14973</v>
      </c>
      <c r="E31733" s="2">
        <v>3179347</v>
      </c>
      <c r="F31733" s="4" t="e">
        <f>IF(B31733=#REF!,"",B31733)</f>
        <v>#REF!</v>
      </c>
    </row>
    <row r="31734" spans="1:6" ht="15.75" customHeight="1">
      <c r="A31734" s="15" t="s">
        <v>603</v>
      </c>
      <c r="B31734" s="15" t="s">
        <v>603</v>
      </c>
      <c r="C31734" s="15" t="s">
        <v>558</v>
      </c>
      <c r="D31734" s="15" t="s">
        <v>571</v>
      </c>
      <c r="E31734" s="2">
        <v>3862254</v>
      </c>
      <c r="F31734" s="4" t="e">
        <f>IF(B31734=#REF!,"",B31734)</f>
        <v>#REF!</v>
      </c>
    </row>
    <row r="31735" spans="1:6" ht="15.75" customHeight="1">
      <c r="A31735" s="16" t="s">
        <v>28200</v>
      </c>
      <c r="B31735" s="15" t="s">
        <v>28200</v>
      </c>
      <c r="C31735" s="16" t="s">
        <v>27788</v>
      </c>
      <c r="D31735" s="16" t="s">
        <v>17061</v>
      </c>
      <c r="E31735" s="2">
        <v>4350635</v>
      </c>
      <c r="F31735" s="4" t="str">
        <f>IF(B31735=B31734,"",B31735)</f>
        <v>Catonsville</v>
      </c>
    </row>
    <row r="31736" spans="1:6" ht="15.75" customHeight="1">
      <c r="A31736" s="16" t="str">
        <f ca="1">IFERROR(__xludf.DUMMYFUNCTION("GOOGLETRANSLATE(B24353,""en"",""pt"")"),"Catolé do Rocha")</f>
        <v>Catolé do Rocha</v>
      </c>
      <c r="B31736" s="20" t="s">
        <v>31409</v>
      </c>
      <c r="C31736" s="20" t="s">
        <v>1905</v>
      </c>
      <c r="D31736" s="20" t="s">
        <v>31343</v>
      </c>
      <c r="E31736" s="10">
        <v>3402465</v>
      </c>
      <c r="F31736" s="4" t="str">
        <f>IF(B31736=B31735,"",B31736)</f>
        <v>Catolé do Rocha</v>
      </c>
    </row>
    <row r="31737" spans="1:6" ht="15.75" customHeight="1">
      <c r="A31737" s="16" t="s">
        <v>2310</v>
      </c>
      <c r="B31737" s="15" t="s">
        <v>2311</v>
      </c>
      <c r="C31737" s="16" t="s">
        <v>1905</v>
      </c>
      <c r="D31737" s="16" t="s">
        <v>1944</v>
      </c>
      <c r="E31737" s="2">
        <v>3402465</v>
      </c>
      <c r="F31737" s="4" t="str">
        <f>IF(B31737=B31736,"",B31737)</f>
        <v>CatolÃ© do Rocha</v>
      </c>
    </row>
    <row r="31738" spans="1:6" ht="15.75" customHeight="1">
      <c r="A31738" s="15" t="s">
        <v>20377</v>
      </c>
      <c r="B31738" s="15" t="s">
        <v>20378</v>
      </c>
      <c r="C31738" s="15" t="s">
        <v>20370</v>
      </c>
      <c r="D31738" s="15" t="s">
        <v>5820</v>
      </c>
      <c r="E31738" s="2">
        <v>3712884</v>
      </c>
      <c r="F31738" s="4" t="str">
        <f>IF(B31738=B31737,"",B31738)</f>
        <v>CativÃ¡</v>
      </c>
    </row>
    <row r="31739" spans="1:6" ht="15.75" customHeight="1">
      <c r="A31739" s="16" t="str">
        <f ca="1">IFERROR(__xludf.DUMMYFUNCTION("GOOGLETRANSLATE(B38297,""en"",""pt"")"),"Cativá")</f>
        <v>Cativá</v>
      </c>
      <c r="B31739" s="20" t="s">
        <v>34865</v>
      </c>
      <c r="C31739" s="20" t="s">
        <v>20370</v>
      </c>
      <c r="D31739" s="20" t="s">
        <v>31924</v>
      </c>
      <c r="E31739" s="10">
        <v>3712884</v>
      </c>
      <c r="F31739" s="4" t="e">
        <f>IF(B31739=#REF!,"",B31739)</f>
        <v>#REF!</v>
      </c>
    </row>
    <row r="31740" spans="1:6" ht="15.75" customHeight="1">
      <c r="A31740" s="16" t="s">
        <v>30667</v>
      </c>
      <c r="B31740" s="15" t="s">
        <v>30668</v>
      </c>
      <c r="C31740" s="16" t="s">
        <v>5923</v>
      </c>
      <c r="D31740" s="16" t="s">
        <v>30660</v>
      </c>
      <c r="E31740" s="2">
        <v>3646190</v>
      </c>
      <c r="F31740" s="4" t="e">
        <f>IF(B31740=#REF!,"",B31740)</f>
        <v>#REF!</v>
      </c>
    </row>
    <row r="31741" spans="1:6" ht="15.75" customHeight="1">
      <c r="A31741" s="16" t="s">
        <v>28198</v>
      </c>
      <c r="B31741" s="15" t="s">
        <v>28199</v>
      </c>
      <c r="C31741" s="16" t="s">
        <v>27788</v>
      </c>
      <c r="D31741" s="16" t="s">
        <v>27801</v>
      </c>
      <c r="E31741" s="2">
        <v>5335006</v>
      </c>
      <c r="F31741" s="4" t="e">
        <f>IF(B31741=#REF!,"",B31741)</f>
        <v>#REF!</v>
      </c>
    </row>
    <row r="31742" spans="1:6" ht="15.75" customHeight="1">
      <c r="A31742" s="15" t="s">
        <v>27393</v>
      </c>
      <c r="B31742" s="15" t="s">
        <v>27393</v>
      </c>
      <c r="C31742" s="15" t="s">
        <v>27234</v>
      </c>
      <c r="D31742" s="15" t="s">
        <v>27241</v>
      </c>
      <c r="E31742" s="2">
        <v>2653520</v>
      </c>
      <c r="F31742" s="4" t="e">
        <f>IF(B31742=#REF!,"",B31742)</f>
        <v>#REF!</v>
      </c>
    </row>
    <row r="31743" spans="1:6" ht="15.75" customHeight="1">
      <c r="A31743" s="15" t="s">
        <v>2308</v>
      </c>
      <c r="B31743" s="15" t="s">
        <v>2309</v>
      </c>
      <c r="C31743" s="15" t="s">
        <v>1905</v>
      </c>
      <c r="D31743" s="15" t="s">
        <v>1909</v>
      </c>
      <c r="E31743" s="2">
        <v>3402528</v>
      </c>
      <c r="F31743" s="4" t="e">
        <f>IF(B31743=#REF!,"",B31743)</f>
        <v>#REF!</v>
      </c>
    </row>
    <row r="31744" spans="1:6" ht="15.75" customHeight="1">
      <c r="A31744" s="16" t="s">
        <v>17807</v>
      </c>
      <c r="B31744" s="15" t="s">
        <v>17807</v>
      </c>
      <c r="C31744" s="16" t="s">
        <v>17707</v>
      </c>
      <c r="D31744" s="16" t="s">
        <v>17708</v>
      </c>
      <c r="E31744" s="2">
        <v>3531416</v>
      </c>
      <c r="F31744" s="4" t="e">
        <f>IF(B31744=#REF!,"",B31744)</f>
        <v>#REF!</v>
      </c>
    </row>
    <row r="31745" spans="1:6" ht="15.75" customHeight="1">
      <c r="A31745" s="16" t="s">
        <v>20736</v>
      </c>
      <c r="B31745" s="15" t="s">
        <v>20736</v>
      </c>
      <c r="C31745" s="16" t="s">
        <v>20598</v>
      </c>
      <c r="D31745" s="16" t="s">
        <v>20601</v>
      </c>
      <c r="E31745" s="2">
        <v>1717911</v>
      </c>
      <c r="F31745" s="4" t="e">
        <f>IF(B31745=#REF!,"",B31745)</f>
        <v>#REF!</v>
      </c>
    </row>
    <row r="31746" spans="1:6" ht="15.75" customHeight="1">
      <c r="A31746" s="15" t="s">
        <v>24392</v>
      </c>
      <c r="B31746" s="15" t="s">
        <v>24392</v>
      </c>
      <c r="C31746" s="15" t="s">
        <v>24200</v>
      </c>
      <c r="D31746" s="15" t="s">
        <v>21053</v>
      </c>
      <c r="E31746" s="2">
        <v>2519690</v>
      </c>
      <c r="F31746" s="4" t="e">
        <f>IF(B31746=#REF!,"",B31746)</f>
        <v>#REF!</v>
      </c>
    </row>
    <row r="31747" spans="1:6" ht="15.75" customHeight="1">
      <c r="A31747" s="15" t="s">
        <v>20735</v>
      </c>
      <c r="B31747" s="15" t="s">
        <v>20735</v>
      </c>
      <c r="C31747" s="15" t="s">
        <v>20598</v>
      </c>
      <c r="D31747" s="15" t="s">
        <v>20601</v>
      </c>
      <c r="E31747" s="2">
        <v>1717926</v>
      </c>
      <c r="F31747" s="4" t="e">
        <f>IF(B31747=#REF!,"",B31747)</f>
        <v>#REF!</v>
      </c>
    </row>
    <row r="31748" spans="1:6" ht="15.75" customHeight="1">
      <c r="A31748" s="16" t="s">
        <v>15056</v>
      </c>
      <c r="B31748" s="15" t="s">
        <v>15056</v>
      </c>
      <c r="C31748" s="16" t="s">
        <v>14891</v>
      </c>
      <c r="D31748" s="16" t="s">
        <v>14929</v>
      </c>
      <c r="E31748" s="2">
        <v>2525059</v>
      </c>
      <c r="F31748" s="4" t="str">
        <f>IF(B31748=B31747,"",B31748)</f>
        <v>Catanzaro</v>
      </c>
    </row>
    <row r="31749" spans="1:6" ht="15.75" customHeight="1">
      <c r="A31749" s="16" t="str">
        <f ca="1">IFERROR(__xludf.DUMMYFUNCTION("GOOGLETRANSLATE(B39511,""en"",""pt"")"),"Cataño")</f>
        <v>Cataño</v>
      </c>
      <c r="B31749" s="20" t="s">
        <v>35255</v>
      </c>
      <c r="C31749" s="20" t="s">
        <v>747</v>
      </c>
      <c r="D31749" s="20" t="s">
        <v>21759</v>
      </c>
      <c r="E31749" s="10">
        <v>4563298</v>
      </c>
      <c r="F31749" s="4" t="e">
        <f>IF(B31749=#REF!,"",B31749)</f>
        <v>#REF!</v>
      </c>
    </row>
    <row r="31750" spans="1:6" ht="15.75" customHeight="1">
      <c r="A31750" s="15" t="s">
        <v>15055</v>
      </c>
      <c r="B31750" s="15" t="s">
        <v>15055</v>
      </c>
      <c r="C31750" s="15" t="s">
        <v>14891</v>
      </c>
      <c r="D31750" s="15" t="s">
        <v>14899</v>
      </c>
      <c r="E31750" s="2">
        <v>2525068</v>
      </c>
      <c r="F31750" s="4" t="e">
        <f>IF(B31750=#REF!,"",B31750)</f>
        <v>#REF!</v>
      </c>
    </row>
    <row r="31751" spans="1:6" ht="15.75" customHeight="1">
      <c r="A31751" s="16" t="s">
        <v>2307</v>
      </c>
      <c r="B31751" s="15" t="s">
        <v>2307</v>
      </c>
      <c r="C31751" s="16" t="s">
        <v>1905</v>
      </c>
      <c r="D31751" s="16" t="s">
        <v>1914</v>
      </c>
      <c r="E31751" s="2">
        <v>3466692</v>
      </c>
      <c r="F31751" s="4" t="e">
        <f>IF(B31751=#REF!,"",B31751)</f>
        <v>#REF!</v>
      </c>
    </row>
    <row r="31752" spans="1:6" ht="15.75" customHeight="1">
      <c r="A31752" s="16" t="s">
        <v>20734</v>
      </c>
      <c r="B31752" s="15" t="s">
        <v>20734</v>
      </c>
      <c r="C31752" s="16" t="s">
        <v>20598</v>
      </c>
      <c r="D31752" s="16" t="s">
        <v>20608</v>
      </c>
      <c r="E31752" s="2">
        <v>1717960</v>
      </c>
      <c r="F31752" s="4" t="e">
        <f>IF(B31752=#REF!,"",B31752)</f>
        <v>#REF!</v>
      </c>
    </row>
    <row r="31753" spans="1:6" ht="15.75" customHeight="1">
      <c r="A31753" s="16" t="s">
        <v>6418</v>
      </c>
      <c r="B31753" s="15" t="s">
        <v>6418</v>
      </c>
      <c r="C31753" s="16" t="s">
        <v>6398</v>
      </c>
      <c r="D31753" s="16" t="s">
        <v>6417</v>
      </c>
      <c r="E31753" s="2">
        <v>3659599</v>
      </c>
      <c r="F31753" s="4" t="e">
        <f>IF(B31753=#REF!,"",B31753)</f>
        <v>#REF!</v>
      </c>
    </row>
    <row r="31754" spans="1:6" ht="15.75" customHeight="1">
      <c r="A31754" s="16" t="s">
        <v>28196</v>
      </c>
      <c r="B31754" s="15" t="s">
        <v>28197</v>
      </c>
      <c r="C31754" s="16" t="s">
        <v>27788</v>
      </c>
      <c r="D31754" s="16" t="s">
        <v>27880</v>
      </c>
      <c r="E31754" s="2">
        <v>5288786</v>
      </c>
      <c r="F31754" s="4" t="str">
        <f>IF(B31754=B31753,"",B31754)</f>
        <v>Catalina Foothills</v>
      </c>
    </row>
    <row r="31755" spans="1:6" ht="15.75" customHeight="1">
      <c r="A31755" s="16" t="str">
        <f ca="1">IFERROR(__xludf.DUMMYFUNCTION("GOOGLETRANSLATE(B42198,""en"",""pt"")"),"Çatalca")</f>
        <v>Çatalca</v>
      </c>
      <c r="B31755" s="20" t="s">
        <v>35957</v>
      </c>
      <c r="C31755" s="20" t="s">
        <v>26201</v>
      </c>
      <c r="D31755" s="20" t="s">
        <v>26211</v>
      </c>
      <c r="E31755" s="10">
        <v>749644</v>
      </c>
      <c r="F31755" s="4" t="str">
        <f>IF(B31755=B31754,"",B31755)</f>
        <v>Çatalca</v>
      </c>
    </row>
    <row r="31756" spans="1:6" ht="15.75" customHeight="1">
      <c r="A31756" s="16" t="str">
        <f ca="1">IFERROR(__xludf.DUMMYFUNCTION("GOOGLETRANSLATE(B25122,""en"",""pt"")"),"Catalão")</f>
        <v>Catalão</v>
      </c>
      <c r="B31756" s="20" t="s">
        <v>31683</v>
      </c>
      <c r="C31756" s="20" t="s">
        <v>1905</v>
      </c>
      <c r="D31756" s="20" t="s">
        <v>31436</v>
      </c>
      <c r="E31756" s="10">
        <v>3466696</v>
      </c>
      <c r="F31756" s="4" t="str">
        <f>IF(B31756=B31755,"",B31756)</f>
        <v>Catalão</v>
      </c>
    </row>
    <row r="31757" spans="1:6" ht="15.75" customHeight="1">
      <c r="A31757" s="15" t="s">
        <v>2305</v>
      </c>
      <c r="B31757" s="15" t="s">
        <v>2306</v>
      </c>
      <c r="C31757" s="15" t="s">
        <v>1905</v>
      </c>
      <c r="D31757" s="15" t="s">
        <v>1969</v>
      </c>
      <c r="E31757" s="2">
        <v>3466696</v>
      </c>
      <c r="F31757" s="4" t="e">
        <f>IF(B31757=#REF!,"",B31757)</f>
        <v>#REF!</v>
      </c>
    </row>
    <row r="31758" spans="1:6" ht="15.75" customHeight="1">
      <c r="A31758" s="16" t="s">
        <v>2304</v>
      </c>
      <c r="B31758" s="15" t="s">
        <v>2304</v>
      </c>
      <c r="C31758" s="16" t="s">
        <v>1905</v>
      </c>
      <c r="D31758" s="16" t="s">
        <v>1917</v>
      </c>
      <c r="E31758" s="2">
        <v>3466698</v>
      </c>
      <c r="F31758" s="4" t="e">
        <f>IF(B31758=#REF!,"",B31758)</f>
        <v>#REF!</v>
      </c>
    </row>
    <row r="31759" spans="1:6" ht="15.75" customHeight="1">
      <c r="A31759" s="15" t="s">
        <v>20485</v>
      </c>
      <c r="B31759" s="15" t="s">
        <v>20485</v>
      </c>
      <c r="C31759" s="15" t="s">
        <v>20470</v>
      </c>
      <c r="D31759" s="15" t="s">
        <v>20486</v>
      </c>
      <c r="E31759" s="2">
        <v>3698658</v>
      </c>
      <c r="F31759" s="4" t="e">
        <f>IF(B31759=#REF!,"",B31759)</f>
        <v>#REF!</v>
      </c>
    </row>
    <row r="31760" spans="1:6" ht="15.75" customHeight="1">
      <c r="A31760" s="15" t="s">
        <v>516</v>
      </c>
      <c r="B31760" s="15" t="s">
        <v>516</v>
      </c>
      <c r="C31760" s="15" t="s">
        <v>507</v>
      </c>
      <c r="D31760" s="15" t="s">
        <v>515</v>
      </c>
      <c r="E31760" s="2">
        <v>3350372</v>
      </c>
      <c r="F31760" s="4" t="str">
        <f>IF(B31760=B31759,"",B31760)</f>
        <v>Catabola</v>
      </c>
    </row>
    <row r="31761" spans="1:6" ht="15.75" customHeight="1">
      <c r="A31761" s="15" t="s">
        <v>21757</v>
      </c>
      <c r="B31761" s="15" t="s">
        <v>21758</v>
      </c>
      <c r="C31761" s="15" t="s">
        <v>747</v>
      </c>
      <c r="D31761" s="15" t="s">
        <v>21759</v>
      </c>
      <c r="E31761" s="2">
        <v>4563298</v>
      </c>
      <c r="F31761" s="4" t="str">
        <f>IF(B31761=B31760,"",B31761)</f>
        <v>CataÃ±o</v>
      </c>
    </row>
    <row r="31762" spans="1:6" ht="15.75" customHeight="1">
      <c r="A31762" s="16" t="str">
        <f ca="1">IFERROR(__xludf.DUMMYFUNCTION("GOOGLETRANSLATE(B45773,""en"",""pt"")"),"Cát bà")</f>
        <v>Cát bà</v>
      </c>
      <c r="B31762" s="20" t="s">
        <v>36182</v>
      </c>
      <c r="C31762" s="20" t="s">
        <v>30784</v>
      </c>
      <c r="D31762" s="20" t="s">
        <v>36171</v>
      </c>
      <c r="E31762" s="10">
        <v>1586052</v>
      </c>
      <c r="F31762" s="4" t="e">
        <f>IF(B31762=#REF!,"",B31762)</f>
        <v>#REF!</v>
      </c>
    </row>
    <row r="31763" spans="1:6" ht="15.75" customHeight="1">
      <c r="A31763" s="16" t="s">
        <v>15054</v>
      </c>
      <c r="B31763" s="15" t="s">
        <v>15054</v>
      </c>
      <c r="C31763" s="16" t="s">
        <v>14891</v>
      </c>
      <c r="D31763" s="16" t="s">
        <v>14929</v>
      </c>
      <c r="E31763" s="2">
        <v>2525070</v>
      </c>
      <c r="F31763" s="4" t="e">
        <f>IF(B31763=#REF!,"",B31763)</f>
        <v>#REF!</v>
      </c>
    </row>
    <row r="31764" spans="1:6" ht="15.75" customHeight="1">
      <c r="A31764" s="16" t="s">
        <v>24390</v>
      </c>
      <c r="B31764" s="15" t="s">
        <v>24391</v>
      </c>
      <c r="C31764" s="16" t="s">
        <v>24200</v>
      </c>
      <c r="D31764" s="16" t="s">
        <v>24367</v>
      </c>
      <c r="E31764" s="2">
        <v>3125621</v>
      </c>
      <c r="F31764" s="4" t="e">
        <f>IF(B31764=#REF!,"",B31764)</f>
        <v>#REF!</v>
      </c>
    </row>
    <row r="31765" spans="1:6" ht="15.75" customHeight="1">
      <c r="A31765" s="16" t="s">
        <v>8259</v>
      </c>
      <c r="B31765" s="15" t="s">
        <v>8259</v>
      </c>
      <c r="C31765" s="16" t="s">
        <v>8028</v>
      </c>
      <c r="D31765" s="16" t="s">
        <v>8029</v>
      </c>
      <c r="E31765" s="2">
        <v>2940231</v>
      </c>
      <c r="F31765" s="4" t="e">
        <f>IF(B31765=#REF!,"",B31765)</f>
        <v>#REF!</v>
      </c>
    </row>
    <row r="31766" spans="1:6" ht="15.75" customHeight="1">
      <c r="A31766" s="16" t="s">
        <v>28194</v>
      </c>
      <c r="B31766" s="15" t="s">
        <v>28195</v>
      </c>
      <c r="C31766" s="16" t="s">
        <v>27788</v>
      </c>
      <c r="D31766" s="16" t="s">
        <v>27801</v>
      </c>
      <c r="E31766" s="2">
        <v>5334928</v>
      </c>
      <c r="F31766" s="4" t="e">
        <f>IF(B31766=#REF!,"",B31766)</f>
        <v>#REF!</v>
      </c>
    </row>
    <row r="31767" spans="1:6" ht="15.75" customHeight="1">
      <c r="A31767" s="15" t="s">
        <v>2303</v>
      </c>
      <c r="B31767" s="15" t="s">
        <v>2303</v>
      </c>
      <c r="C31767" s="15" t="s">
        <v>1905</v>
      </c>
      <c r="D31767" s="15" t="s">
        <v>728</v>
      </c>
      <c r="E31767" s="2">
        <v>3466704</v>
      </c>
      <c r="F31767" s="4" t="e">
        <f>IF(B31767=#REF!,"",B31767)</f>
        <v>#REF!</v>
      </c>
    </row>
    <row r="31768" spans="1:6" ht="15.75" customHeight="1">
      <c r="A31768" s="15" t="s">
        <v>23433</v>
      </c>
      <c r="B31768" s="15" t="s">
        <v>23433</v>
      </c>
      <c r="C31768" s="15" t="s">
        <v>23434</v>
      </c>
      <c r="D31768" s="15" t="s">
        <v>23435</v>
      </c>
      <c r="E31768" s="2">
        <v>3576812</v>
      </c>
      <c r="F31768" s="4" t="e">
        <f>IF(B31768=#REF!,"",B31768)</f>
        <v>#REF!</v>
      </c>
    </row>
    <row r="31769" spans="1:6" ht="15.75" customHeight="1">
      <c r="A31769" s="16" t="s">
        <v>18926</v>
      </c>
      <c r="B31769" s="15" t="s">
        <v>18926</v>
      </c>
      <c r="C31769" s="16" t="s">
        <v>18862</v>
      </c>
      <c r="D31769" s="16" t="s">
        <v>18863</v>
      </c>
      <c r="E31769" s="2">
        <v>2757991</v>
      </c>
      <c r="F31769" s="4" t="e">
        <f>IF(B31769=#REF!,"",B31769)</f>
        <v>#REF!</v>
      </c>
    </row>
    <row r="31770" spans="1:6" ht="15.75" customHeight="1">
      <c r="A31770" s="15" t="s">
        <v>7218</v>
      </c>
      <c r="B31770" s="15" t="s">
        <v>7218</v>
      </c>
      <c r="C31770" s="15" t="s">
        <v>7052</v>
      </c>
      <c r="D31770" s="15" t="s">
        <v>7082</v>
      </c>
      <c r="E31770" s="2">
        <v>3028263</v>
      </c>
      <c r="F31770" s="4" t="e">
        <f>IF(B31770=#REF!,"",B31770)</f>
        <v>#REF!</v>
      </c>
    </row>
    <row r="31771" spans="1:6" ht="15.75" customHeight="1">
      <c r="A31771" s="16" t="s">
        <v>28193</v>
      </c>
      <c r="B31771" s="15" t="s">
        <v>28193</v>
      </c>
      <c r="C31771" s="16" t="s">
        <v>27788</v>
      </c>
      <c r="D31771" s="16" t="s">
        <v>2341</v>
      </c>
      <c r="E31771" s="2">
        <v>5416357</v>
      </c>
      <c r="F31771" s="4" t="e">
        <f>IF(B31771=#REF!,"",B31771)</f>
        <v>#REF!</v>
      </c>
    </row>
    <row r="31772" spans="1:6" ht="15.75" customHeight="1">
      <c r="A31772" s="16" t="s">
        <v>27392</v>
      </c>
      <c r="B31772" s="15" t="s">
        <v>27392</v>
      </c>
      <c r="C31772" s="16" t="s">
        <v>27234</v>
      </c>
      <c r="D31772" s="16" t="s">
        <v>27259</v>
      </c>
      <c r="E31772" s="2">
        <v>2653558</v>
      </c>
      <c r="F31772" s="4" t="e">
        <f>IF(B31772=#REF!,"",B31772)</f>
        <v>#REF!</v>
      </c>
    </row>
    <row r="31773" spans="1:6" ht="15.75" customHeight="1">
      <c r="A31773" s="16" t="s">
        <v>27391</v>
      </c>
      <c r="B31773" s="15" t="s">
        <v>27391</v>
      </c>
      <c r="C31773" s="16" t="s">
        <v>27234</v>
      </c>
      <c r="D31773" s="16" t="s">
        <v>27241</v>
      </c>
      <c r="E31773" s="2">
        <v>2653584</v>
      </c>
      <c r="F31773" s="4" t="e">
        <f>IF(B31773=#REF!,"",B31773)</f>
        <v>#REF!</v>
      </c>
    </row>
    <row r="31774" spans="1:6" ht="15.75" customHeight="1">
      <c r="A31774" s="16" t="s">
        <v>28192</v>
      </c>
      <c r="B31774" s="15" t="s">
        <v>28192</v>
      </c>
      <c r="C31774" s="16" t="s">
        <v>27788</v>
      </c>
      <c r="D31774" s="16" t="s">
        <v>2341</v>
      </c>
      <c r="E31774" s="2">
        <v>5416329</v>
      </c>
      <c r="F31774" s="4" t="e">
        <f>IF(B31774=#REF!,"",B31774)</f>
        <v>#REF!</v>
      </c>
    </row>
    <row r="31775" spans="1:6" ht="15.75" customHeight="1">
      <c r="A31775" s="16" t="s">
        <v>938</v>
      </c>
      <c r="B31775" s="15" t="s">
        <v>938</v>
      </c>
      <c r="C31775" s="16" t="s">
        <v>885</v>
      </c>
      <c r="D31775" s="16" t="s">
        <v>891</v>
      </c>
      <c r="E31775" s="2">
        <v>2172111</v>
      </c>
      <c r="F31775" s="4" t="e">
        <f>IF(B31775=#REF!,"",B31775)</f>
        <v>#REF!</v>
      </c>
    </row>
    <row r="31776" spans="1:6" ht="15.75" customHeight="1">
      <c r="A31776" s="16" t="s">
        <v>20733</v>
      </c>
      <c r="B31776" s="15" t="s">
        <v>20733</v>
      </c>
      <c r="C31776" s="16" t="s">
        <v>20598</v>
      </c>
      <c r="D31776" s="16" t="s">
        <v>20599</v>
      </c>
      <c r="E31776" s="2">
        <v>1718078</v>
      </c>
      <c r="F31776" s="4" t="e">
        <f>IF(B31776=#REF!,"",B31776)</f>
        <v>#REF!</v>
      </c>
    </row>
    <row r="31777" spans="1:6" ht="15.75" customHeight="1">
      <c r="A31777" s="16" t="s">
        <v>24389</v>
      </c>
      <c r="B31777" s="15" t="s">
        <v>24389</v>
      </c>
      <c r="C31777" s="16" t="s">
        <v>24200</v>
      </c>
      <c r="D31777" s="16" t="s">
        <v>24205</v>
      </c>
      <c r="E31777" s="2">
        <v>2519738</v>
      </c>
      <c r="F31777" s="4" t="e">
        <f>IF(B31777=#REF!,"",B31777)</f>
        <v>#REF!</v>
      </c>
    </row>
    <row r="31778" spans="1:6" ht="15.75" customHeight="1">
      <c r="A31778" s="16" t="s">
        <v>15052</v>
      </c>
      <c r="B31778" s="15" t="s">
        <v>15053</v>
      </c>
      <c r="C31778" s="16" t="s">
        <v>14891</v>
      </c>
      <c r="D31778" s="16" t="s">
        <v>14894</v>
      </c>
      <c r="E31778" s="2">
        <v>3179415</v>
      </c>
      <c r="F31778" s="4" t="e">
        <f>IF(B31778=#REF!,"",B31778)</f>
        <v>#REF!</v>
      </c>
    </row>
    <row r="31779" spans="1:6" ht="15.75" customHeight="1">
      <c r="A31779" s="16" t="s">
        <v>15051</v>
      </c>
      <c r="B31779" s="15" t="s">
        <v>15051</v>
      </c>
      <c r="C31779" s="16" t="s">
        <v>14891</v>
      </c>
      <c r="D31779" s="16" t="s">
        <v>14899</v>
      </c>
      <c r="E31779" s="2">
        <v>2525083</v>
      </c>
      <c r="F31779" s="4" t="e">
        <f>IF(B31779=#REF!,"",B31779)</f>
        <v>#REF!</v>
      </c>
    </row>
    <row r="31780" spans="1:6" ht="15.75" customHeight="1">
      <c r="A31780" s="16" t="s">
        <v>21648</v>
      </c>
      <c r="B31780" s="15" t="s">
        <v>21648</v>
      </c>
      <c r="C31780" s="16" t="s">
        <v>21606</v>
      </c>
      <c r="D31780" s="16" t="s">
        <v>21648</v>
      </c>
      <c r="E31780" s="2">
        <v>2269514</v>
      </c>
      <c r="F31780" s="4" t="e">
        <f>IF(B31780=#REF!,"",B31780)</f>
        <v>#REF!</v>
      </c>
    </row>
    <row r="31781" spans="1:6" ht="15.75" customHeight="1">
      <c r="A31781" s="15" t="s">
        <v>2302</v>
      </c>
      <c r="B31781" s="15" t="s">
        <v>2302</v>
      </c>
      <c r="C31781" s="15" t="s">
        <v>1905</v>
      </c>
      <c r="D31781" s="15" t="s">
        <v>1949</v>
      </c>
      <c r="E31781" s="2">
        <v>3466723</v>
      </c>
      <c r="F31781" s="4" t="e">
        <f>IF(B31781=#REF!,"",B31781)</f>
        <v>#REF!</v>
      </c>
    </row>
    <row r="31782" spans="1:6" ht="15.75" customHeight="1">
      <c r="A31782" s="16" t="s">
        <v>7217</v>
      </c>
      <c r="B31782" s="15" t="s">
        <v>7217</v>
      </c>
      <c r="C31782" s="16" t="s">
        <v>7052</v>
      </c>
      <c r="D31782" s="16" t="s">
        <v>7082</v>
      </c>
      <c r="E31782" s="2">
        <v>3028337</v>
      </c>
      <c r="F31782" s="4" t="str">
        <f>IF(B31782=B31781,"",B31782)</f>
        <v>Castelnau-le-Lez</v>
      </c>
    </row>
    <row r="31783" spans="1:6" ht="15.75" customHeight="1">
      <c r="A31783" s="16" t="str">
        <f ca="1">IFERROR(__xludf.DUMMYFUNCTION("GOOGLETRANSLATE(B29149,""en"",""pt"")"),"Castelló de la plana")</f>
        <v>Castelló de la plana</v>
      </c>
      <c r="B31783" s="20" t="s">
        <v>32389</v>
      </c>
      <c r="C31783" s="20" t="s">
        <v>24200</v>
      </c>
      <c r="D31783" s="20" t="s">
        <v>21053</v>
      </c>
      <c r="E31783" s="10">
        <v>2519752</v>
      </c>
      <c r="F31783" s="4" t="e">
        <f>IF(B31783=#REF!,"",B31783)</f>
        <v>#REF!</v>
      </c>
    </row>
    <row r="31784" spans="1:6" ht="15.75" customHeight="1">
      <c r="A31784" s="15" t="s">
        <v>602</v>
      </c>
      <c r="B31784" s="15" t="s">
        <v>602</v>
      </c>
      <c r="C31784" s="15" t="s">
        <v>558</v>
      </c>
      <c r="D31784" s="15" t="s">
        <v>586</v>
      </c>
      <c r="E31784" s="2">
        <v>3862320</v>
      </c>
      <c r="F31784" s="4" t="e">
        <f>IF(B31784=#REF!,"",B31784)</f>
        <v>#REF!</v>
      </c>
    </row>
    <row r="31785" spans="1:6" ht="15.75" customHeight="1">
      <c r="A31785" s="16" t="s">
        <v>24388</v>
      </c>
      <c r="B31785" s="15" t="s">
        <v>24388</v>
      </c>
      <c r="C31785" s="16" t="s">
        <v>24200</v>
      </c>
      <c r="D31785" s="16" t="s">
        <v>24277</v>
      </c>
      <c r="E31785" s="2">
        <v>3125897</v>
      </c>
      <c r="F31785" s="4" t="str">
        <f>IF(B31785=B31784,"",B31785)</f>
        <v>Castelldefels</v>
      </c>
    </row>
    <row r="31786" spans="1:6" ht="15.75" customHeight="1">
      <c r="A31786" s="16" t="str">
        <f ca="1">IFERROR(__xludf.DUMMYFUNCTION("GOOGLETRANSLATE(B29429,""en"",""pt"")"),"Castellar del Vallès")</f>
        <v>Castellar del Vallès</v>
      </c>
      <c r="B31786" s="20" t="s">
        <v>32465</v>
      </c>
      <c r="C31786" s="20" t="s">
        <v>24200</v>
      </c>
      <c r="D31786" s="20" t="s">
        <v>24277</v>
      </c>
      <c r="E31786" s="10">
        <v>3125915</v>
      </c>
      <c r="F31786" s="4" t="str">
        <f>IF(B31786=B31785,"",B31786)</f>
        <v>Castellar del Vallès</v>
      </c>
    </row>
    <row r="31787" spans="1:6" ht="15.75" customHeight="1">
      <c r="A31787" s="16" t="s">
        <v>24386</v>
      </c>
      <c r="B31787" s="15" t="s">
        <v>24387</v>
      </c>
      <c r="C31787" s="16" t="s">
        <v>24200</v>
      </c>
      <c r="D31787" s="16" t="s">
        <v>24277</v>
      </c>
      <c r="E31787" s="2">
        <v>3125915</v>
      </c>
      <c r="F31787" s="4" t="e">
        <f>IF(B31787=#REF!,"",B31787)</f>
        <v>#REF!</v>
      </c>
    </row>
    <row r="31788" spans="1:6" ht="15.75" customHeight="1">
      <c r="A31788" s="16" t="s">
        <v>15049</v>
      </c>
      <c r="B31788" s="15" t="s">
        <v>15050</v>
      </c>
      <c r="C31788" s="16" t="s">
        <v>14891</v>
      </c>
      <c r="D31788" s="16" t="s">
        <v>14896</v>
      </c>
      <c r="E31788" s="2">
        <v>3179661</v>
      </c>
      <c r="F31788" s="4" t="str">
        <f>IF(B31788=B31787,"",B31788)</f>
        <v>Castellammare di Stabia</v>
      </c>
    </row>
    <row r="31789" spans="1:6" ht="15.75" customHeight="1">
      <c r="A31789" s="16" t="s">
        <v>24384</v>
      </c>
      <c r="B31789" s="15" t="s">
        <v>24385</v>
      </c>
      <c r="C31789" s="16" t="s">
        <v>24200</v>
      </c>
      <c r="D31789" s="16" t="s">
        <v>21053</v>
      </c>
      <c r="E31789" s="2">
        <v>2519752</v>
      </c>
      <c r="F31789" s="4" t="e">
        <f>IF(B31789=#REF!,"",B31789)</f>
        <v>#REF!</v>
      </c>
    </row>
    <row r="31790" spans="1:6" ht="15.75" customHeight="1">
      <c r="A31790" s="16" t="s">
        <v>15048</v>
      </c>
      <c r="B31790" s="15" t="s">
        <v>15048</v>
      </c>
      <c r="C31790" s="16" t="s">
        <v>14891</v>
      </c>
      <c r="D31790" s="16" t="s">
        <v>14892</v>
      </c>
      <c r="E31790" s="2">
        <v>3179684</v>
      </c>
      <c r="F31790" s="4" t="e">
        <f>IF(B31790=#REF!,"",B31790)</f>
        <v>#REF!</v>
      </c>
    </row>
    <row r="31791" spans="1:6" ht="15.75" customHeight="1">
      <c r="A31791" s="16" t="s">
        <v>15047</v>
      </c>
      <c r="B31791" s="15" t="s">
        <v>15047</v>
      </c>
      <c r="C31791" s="16" t="s">
        <v>14891</v>
      </c>
      <c r="D31791" s="16" t="s">
        <v>14973</v>
      </c>
      <c r="E31791" s="2">
        <v>3179686</v>
      </c>
      <c r="F31791" s="4" t="e">
        <f>IF(B31791=#REF!,"",B31791)</f>
        <v>#REF!</v>
      </c>
    </row>
    <row r="31792" spans="1:6" ht="15.75" customHeight="1">
      <c r="A31792" s="16" t="s">
        <v>15046</v>
      </c>
      <c r="B31792" s="15" t="s">
        <v>15046</v>
      </c>
      <c r="C31792" s="16" t="s">
        <v>14891</v>
      </c>
      <c r="D31792" s="16" t="s">
        <v>14896</v>
      </c>
      <c r="E31792" s="2">
        <v>3179443</v>
      </c>
      <c r="F31792" s="4" t="e">
        <f>IF(B31792=#REF!,"",B31792)</f>
        <v>#REF!</v>
      </c>
    </row>
    <row r="31793" spans="1:6" ht="15.75" customHeight="1">
      <c r="A31793" s="16" t="s">
        <v>15045</v>
      </c>
      <c r="B31793" s="15" t="s">
        <v>15045</v>
      </c>
      <c r="C31793" s="16" t="s">
        <v>14891</v>
      </c>
      <c r="D31793" s="16" t="s">
        <v>14973</v>
      </c>
      <c r="E31793" s="2">
        <v>3179560</v>
      </c>
      <c r="F31793" s="4" t="str">
        <f>IF(B31793=B31792,"",B31793)</f>
        <v>Castel Maggiore</v>
      </c>
    </row>
    <row r="31794" spans="1:6" ht="15.75" customHeight="1">
      <c r="A31794" s="16" t="str">
        <f ca="1">IFERROR(__xludf.DUMMYFUNCTION("GOOGLETRANSLATE(B37327,""en"",""pt"")"),"Castaños")</f>
        <v>Castaños</v>
      </c>
      <c r="B31794" s="20" t="s">
        <v>34777</v>
      </c>
      <c r="C31794" s="20" t="s">
        <v>17707</v>
      </c>
      <c r="D31794" s="20" t="s">
        <v>17738</v>
      </c>
      <c r="E31794" s="10">
        <v>4015022</v>
      </c>
      <c r="F31794" s="4" t="e">
        <f>IF(B31794=#REF!,"",B31794)</f>
        <v>#REF!</v>
      </c>
    </row>
    <row r="31795" spans="1:6" ht="15.75" customHeight="1">
      <c r="A31795" s="15" t="s">
        <v>2301</v>
      </c>
      <c r="B31795" s="15" t="s">
        <v>2301</v>
      </c>
      <c r="C31795" s="15" t="s">
        <v>1905</v>
      </c>
      <c r="D31795" s="15" t="s">
        <v>1906</v>
      </c>
      <c r="E31795" s="2">
        <v>3402591</v>
      </c>
      <c r="F31795" s="4" t="e">
        <f>IF(B31795=#REF!,"",B31795)</f>
        <v>#REF!</v>
      </c>
    </row>
    <row r="31796" spans="1:6" ht="15.75" customHeight="1">
      <c r="A31796" s="15" t="s">
        <v>28191</v>
      </c>
      <c r="B31796" s="15" t="s">
        <v>28191</v>
      </c>
      <c r="C31796" s="15" t="s">
        <v>27788</v>
      </c>
      <c r="D31796" s="15" t="s">
        <v>27801</v>
      </c>
      <c r="E31796" s="2">
        <v>5334799</v>
      </c>
      <c r="F31796" s="4" t="str">
        <f>IF(B31796=B31795,"",B31796)</f>
        <v>Castaic</v>
      </c>
    </row>
    <row r="31797" spans="1:6" ht="15.75" customHeight="1">
      <c r="A31797" s="16" t="s">
        <v>17805</v>
      </c>
      <c r="B31797" s="15" t="s">
        <v>17806</v>
      </c>
      <c r="C31797" s="16" t="s">
        <v>17707</v>
      </c>
      <c r="D31797" s="16" t="s">
        <v>17738</v>
      </c>
      <c r="E31797" s="2">
        <v>4015022</v>
      </c>
      <c r="F31797" s="4" t="e">
        <f>IF(B31797=#REF!,"",B31797)</f>
        <v>#REF!</v>
      </c>
    </row>
    <row r="31798" spans="1:6" ht="15.75" customHeight="1">
      <c r="A31798" s="15" t="s">
        <v>15044</v>
      </c>
      <c r="B31798" s="15" t="s">
        <v>15044</v>
      </c>
      <c r="C31798" s="15" t="s">
        <v>14891</v>
      </c>
      <c r="D31798" s="15" t="s">
        <v>14904</v>
      </c>
      <c r="E31798" s="2">
        <v>3179781</v>
      </c>
      <c r="F31798" s="4" t="str">
        <f>IF(B31798=B31797,"",B31798)</f>
        <v>Cassino</v>
      </c>
    </row>
    <row r="31799" spans="1:6" ht="15.75" customHeight="1">
      <c r="A31799" s="16" t="str">
        <f ca="1">IFERROR(__xludf.DUMMYFUNCTION("GOOGLETRANSLATE(B25126,""en"",""pt"")"),"CassilânDia")</f>
        <v>CassilânDia</v>
      </c>
      <c r="B31799" s="20" t="s">
        <v>31684</v>
      </c>
      <c r="C31799" s="20" t="s">
        <v>1905</v>
      </c>
      <c r="D31799" s="20" t="s">
        <v>1973</v>
      </c>
      <c r="E31799" s="10">
        <v>3466750</v>
      </c>
      <c r="F31799" s="4" t="str">
        <f>IF(B31799=B31798,"",B31799)</f>
        <v>Cassilândia</v>
      </c>
    </row>
    <row r="31800" spans="1:6" ht="15.75" customHeight="1">
      <c r="A31800" s="15" t="s">
        <v>2299</v>
      </c>
      <c r="B31800" s="15" t="s">
        <v>2300</v>
      </c>
      <c r="C31800" s="15" t="s">
        <v>1905</v>
      </c>
      <c r="D31800" s="15" t="s">
        <v>1973</v>
      </c>
      <c r="E31800" s="2">
        <v>3466750</v>
      </c>
      <c r="F31800" s="4" t="e">
        <f>IF(B31800=#REF!,"",B31800)</f>
        <v>#REF!</v>
      </c>
    </row>
    <row r="31801" spans="1:6" ht="15.75" customHeight="1">
      <c r="A31801" s="16" t="s">
        <v>28190</v>
      </c>
      <c r="B31801" s="15" t="s">
        <v>28190</v>
      </c>
      <c r="C31801" s="16" t="s">
        <v>27788</v>
      </c>
      <c r="D31801" s="16" t="s">
        <v>5468</v>
      </c>
      <c r="E31801" s="2">
        <v>4150190</v>
      </c>
      <c r="F31801" s="4" t="e">
        <f>IF(B31801=#REF!,"",B31801)</f>
        <v>#REF!</v>
      </c>
    </row>
    <row r="31802" spans="1:6" ht="15.75" customHeight="1">
      <c r="A31802" s="16" t="s">
        <v>15043</v>
      </c>
      <c r="B31802" s="15" t="s">
        <v>15043</v>
      </c>
      <c r="C31802" s="16" t="s">
        <v>14891</v>
      </c>
      <c r="D31802" s="16" t="s">
        <v>14894</v>
      </c>
      <c r="E31802" s="2">
        <v>6534235</v>
      </c>
      <c r="F31802" s="4" t="e">
        <f>IF(B31802=#REF!,"",B31802)</f>
        <v>#REF!</v>
      </c>
    </row>
    <row r="31803" spans="1:6" ht="15.75" customHeight="1">
      <c r="A31803" s="16" t="s">
        <v>15041</v>
      </c>
      <c r="B31803" s="15" t="s">
        <v>15042</v>
      </c>
      <c r="C31803" s="16" t="s">
        <v>14891</v>
      </c>
      <c r="D31803" s="16" t="s">
        <v>14894</v>
      </c>
      <c r="E31803" s="2">
        <v>3179795</v>
      </c>
      <c r="F31803" s="4" t="e">
        <f>IF(B31803=#REF!,"",B31803)</f>
        <v>#REF!</v>
      </c>
    </row>
    <row r="31804" spans="1:6" ht="15.75" customHeight="1">
      <c r="A31804" s="15" t="s">
        <v>28188</v>
      </c>
      <c r="B31804" s="15" t="s">
        <v>28188</v>
      </c>
      <c r="C31804" s="15" t="s">
        <v>27788</v>
      </c>
      <c r="D31804" s="15" t="s">
        <v>28189</v>
      </c>
      <c r="E31804" s="2">
        <v>5820705</v>
      </c>
      <c r="F31804" s="4" t="e">
        <f>IF(B31804=#REF!,"",B31804)</f>
        <v>#REF!</v>
      </c>
    </row>
    <row r="31805" spans="1:6" ht="15.75" customHeight="1">
      <c r="A31805" s="15" t="s">
        <v>15040</v>
      </c>
      <c r="B31805" s="15" t="s">
        <v>15040</v>
      </c>
      <c r="C31805" s="15" t="s">
        <v>14891</v>
      </c>
      <c r="D31805" s="15" t="s">
        <v>14896</v>
      </c>
      <c r="E31805" s="2">
        <v>3179806</v>
      </c>
      <c r="F31805" s="4" t="e">
        <f>IF(B31805=#REF!,"",B31805)</f>
        <v>#REF!</v>
      </c>
    </row>
    <row r="31806" spans="1:6" ht="15.75" customHeight="1">
      <c r="A31806" s="16" t="s">
        <v>2298</v>
      </c>
      <c r="B31806" s="15" t="s">
        <v>2298</v>
      </c>
      <c r="C31806" s="16" t="s">
        <v>1905</v>
      </c>
      <c r="D31806" s="16" t="s">
        <v>1978</v>
      </c>
      <c r="E31806" s="2">
        <v>3466763</v>
      </c>
      <c r="F31806" s="4" t="e">
        <f>IF(B31806=#REF!,"",B31806)</f>
        <v>#REF!</v>
      </c>
    </row>
    <row r="31807" spans="1:6" ht="15.75" customHeight="1">
      <c r="A31807" s="15" t="s">
        <v>601</v>
      </c>
      <c r="B31807" s="15" t="s">
        <v>601</v>
      </c>
      <c r="C31807" s="15" t="s">
        <v>558</v>
      </c>
      <c r="D31807" s="15" t="s">
        <v>579</v>
      </c>
      <c r="E31807" s="2">
        <v>3862351</v>
      </c>
      <c r="F31807" s="4" t="e">
        <f>IF(B31807=#REF!,"",B31807)</f>
        <v>#REF!</v>
      </c>
    </row>
    <row r="31808" spans="1:6" ht="15.75" customHeight="1">
      <c r="A31808" s="15" t="s">
        <v>15039</v>
      </c>
      <c r="B31808" s="15" t="s">
        <v>15039</v>
      </c>
      <c r="C31808" s="15" t="s">
        <v>14891</v>
      </c>
      <c r="D31808" s="15" t="s">
        <v>14896</v>
      </c>
      <c r="E31808" s="2">
        <v>3179866</v>
      </c>
      <c r="F31808" s="4" t="e">
        <f>IF(B31808=#REF!,"",B31808)</f>
        <v>#REF!</v>
      </c>
    </row>
    <row r="31809" spans="1:6" ht="15.75" customHeight="1">
      <c r="A31809" s="15" t="s">
        <v>15038</v>
      </c>
      <c r="B31809" s="15" t="s">
        <v>15038</v>
      </c>
      <c r="C31809" s="15" t="s">
        <v>14891</v>
      </c>
      <c r="D31809" s="15" t="s">
        <v>14943</v>
      </c>
      <c r="E31809" s="2">
        <v>3179977</v>
      </c>
      <c r="F31809" s="4" t="e">
        <f>IF(B31809=#REF!,"",B31809)</f>
        <v>#REF!</v>
      </c>
    </row>
    <row r="31810" spans="1:6" ht="15.75" customHeight="1">
      <c r="A31810" s="15" t="s">
        <v>2297</v>
      </c>
      <c r="B31810" s="15" t="s">
        <v>2297</v>
      </c>
      <c r="C31810" s="15" t="s">
        <v>1905</v>
      </c>
      <c r="D31810" s="15" t="s">
        <v>1930</v>
      </c>
      <c r="E31810" s="2">
        <v>3402613</v>
      </c>
      <c r="F31810" s="4" t="e">
        <f>IF(B31810=#REF!,"",B31810)</f>
        <v>#REF!</v>
      </c>
    </row>
    <row r="31811" spans="1:6" ht="15.75" customHeight="1">
      <c r="A31811" s="15" t="s">
        <v>21647</v>
      </c>
      <c r="B31811" s="15" t="s">
        <v>21647</v>
      </c>
      <c r="C31811" s="15" t="s">
        <v>21606</v>
      </c>
      <c r="D31811" s="15" t="s">
        <v>21616</v>
      </c>
      <c r="E31811" s="2">
        <v>2269594</v>
      </c>
      <c r="F31811" s="4" t="e">
        <f>IF(B31811=#REF!,"",B31811)</f>
        <v>#REF!</v>
      </c>
    </row>
    <row r="31812" spans="1:6" ht="15.75" customHeight="1">
      <c r="A31812" s="16" t="s">
        <v>15037</v>
      </c>
      <c r="B31812" s="15" t="s">
        <v>15037</v>
      </c>
      <c r="C31812" s="16" t="s">
        <v>14891</v>
      </c>
      <c r="D31812" s="16" t="s">
        <v>14896</v>
      </c>
      <c r="E31812" s="2">
        <v>6534267</v>
      </c>
      <c r="F31812" s="4" t="e">
        <f>IF(B31812=#REF!,"",B31812)</f>
        <v>#REF!</v>
      </c>
    </row>
    <row r="31813" spans="1:6" ht="15.75" customHeight="1">
      <c r="A31813" s="16" t="s">
        <v>28187</v>
      </c>
      <c r="B31813" s="15" t="s">
        <v>28187</v>
      </c>
      <c r="C31813" s="16" t="s">
        <v>27788</v>
      </c>
      <c r="D31813" s="16" t="s">
        <v>27880</v>
      </c>
      <c r="E31813" s="2">
        <v>5288661</v>
      </c>
      <c r="F31813" s="4" t="e">
        <f>IF(B31813=#REF!,"",B31813)</f>
        <v>#REF!</v>
      </c>
    </row>
    <row r="31814" spans="1:6" ht="15.75" customHeight="1">
      <c r="A31814" s="15" t="s">
        <v>15036</v>
      </c>
      <c r="B31814" s="15" t="s">
        <v>15036</v>
      </c>
      <c r="C31814" s="15" t="s">
        <v>14891</v>
      </c>
      <c r="D31814" s="15" t="s">
        <v>14908</v>
      </c>
      <c r="E31814" s="2">
        <v>2525207</v>
      </c>
      <c r="F31814" s="4" t="e">
        <f>IF(B31814=#REF!,"",B31814)</f>
        <v>#REF!</v>
      </c>
    </row>
    <row r="31815" spans="1:6" ht="15.75" customHeight="1">
      <c r="A31815" s="16" t="s">
        <v>15035</v>
      </c>
      <c r="B31815" s="15" t="s">
        <v>15035</v>
      </c>
      <c r="C31815" s="16" t="s">
        <v>14891</v>
      </c>
      <c r="D31815" s="16" t="s">
        <v>14908</v>
      </c>
      <c r="E31815" s="2">
        <v>3180133</v>
      </c>
      <c r="F31815" s="4" t="e">
        <f>IF(B31815=#REF!,"",B31815)</f>
        <v>#REF!</v>
      </c>
    </row>
    <row r="31816" spans="1:6" ht="15.75" customHeight="1">
      <c r="A31816" s="16" t="s">
        <v>15034</v>
      </c>
      <c r="B31816" s="15" t="s">
        <v>15034</v>
      </c>
      <c r="C31816" s="16" t="s">
        <v>14891</v>
      </c>
      <c r="D31816" s="16" t="s">
        <v>14896</v>
      </c>
      <c r="E31816" s="2">
        <v>3180172</v>
      </c>
      <c r="F31816" s="4" t="e">
        <f>IF(B31816=#REF!,"",B31816)</f>
        <v>#REF!</v>
      </c>
    </row>
    <row r="31817" spans="1:6" ht="15.75" customHeight="1">
      <c r="A31817" s="16" t="s">
        <v>15033</v>
      </c>
      <c r="B31817" s="15" t="s">
        <v>15033</v>
      </c>
      <c r="C31817" s="16" t="s">
        <v>14891</v>
      </c>
      <c r="D31817" s="16" t="s">
        <v>14973</v>
      </c>
      <c r="E31817" s="2">
        <v>3180224</v>
      </c>
      <c r="F31817" s="4" t="e">
        <f>IF(B31817=#REF!,"",B31817)</f>
        <v>#REF!</v>
      </c>
    </row>
    <row r="31818" spans="1:6" ht="15.75" customHeight="1">
      <c r="A31818" s="16" t="s">
        <v>15032</v>
      </c>
      <c r="B31818" s="15" t="s">
        <v>15032</v>
      </c>
      <c r="C31818" s="16" t="s">
        <v>14891</v>
      </c>
      <c r="D31818" s="16" t="s">
        <v>14911</v>
      </c>
      <c r="E31818" s="2">
        <v>3180208</v>
      </c>
      <c r="F31818" s="4" t="e">
        <f>IF(B31818=#REF!,"",B31818)</f>
        <v>#REF!</v>
      </c>
    </row>
    <row r="31819" spans="1:6" ht="15.75" customHeight="1">
      <c r="A31819" s="16" t="s">
        <v>15030</v>
      </c>
      <c r="B31819" s="15" t="s">
        <v>15031</v>
      </c>
      <c r="C31819" s="16" t="s">
        <v>14891</v>
      </c>
      <c r="D31819" s="16" t="s">
        <v>14896</v>
      </c>
      <c r="E31819" s="2">
        <v>3180240</v>
      </c>
      <c r="F31819" s="4" t="e">
        <f>IF(B31819=#REF!,"",B31819)</f>
        <v>#REF!</v>
      </c>
    </row>
    <row r="31820" spans="1:6" ht="15.75" customHeight="1">
      <c r="A31820" s="16" t="s">
        <v>18571</v>
      </c>
      <c r="B31820" s="15" t="s">
        <v>18571</v>
      </c>
      <c r="C31820" s="16" t="s">
        <v>18551</v>
      </c>
      <c r="D31820" s="16" t="s">
        <v>18572</v>
      </c>
      <c r="E31820" s="2">
        <v>2553604</v>
      </c>
      <c r="F31820" s="4" t="e">
        <f>IF(B31820=#REF!,"",B31820)</f>
        <v>#REF!</v>
      </c>
    </row>
    <row r="31821" spans="1:6" ht="15.75" customHeight="1">
      <c r="A31821" s="16" t="s">
        <v>15029</v>
      </c>
      <c r="B31821" s="15" t="s">
        <v>15029</v>
      </c>
      <c r="C31821" s="16" t="s">
        <v>14891</v>
      </c>
      <c r="D31821" s="16" t="s">
        <v>14899</v>
      </c>
      <c r="E31821" s="2">
        <v>8948706</v>
      </c>
      <c r="F31821" s="4" t="e">
        <f>IF(B31821=#REF!,"",B31821)</f>
        <v>#REF!</v>
      </c>
    </row>
    <row r="31822" spans="1:6" ht="15.75" customHeight="1">
      <c r="A31822" s="16" t="s">
        <v>28186</v>
      </c>
      <c r="B31822" s="15" t="s">
        <v>28186</v>
      </c>
      <c r="C31822" s="16" t="s">
        <v>27788</v>
      </c>
      <c r="D31822" s="16" t="s">
        <v>27880</v>
      </c>
      <c r="E31822" s="2">
        <v>5288636</v>
      </c>
      <c r="F31822" s="4" t="e">
        <f>IF(B31822=#REF!,"",B31822)</f>
        <v>#REF!</v>
      </c>
    </row>
    <row r="31823" spans="1:6" ht="15.75" customHeight="1">
      <c r="A31823" s="16" t="s">
        <v>28184</v>
      </c>
      <c r="B31823" s="15" t="s">
        <v>28185</v>
      </c>
      <c r="C31823" s="16" t="s">
        <v>27788</v>
      </c>
      <c r="D31823" s="16" t="s">
        <v>27801</v>
      </c>
      <c r="E31823" s="2">
        <v>7261029</v>
      </c>
      <c r="F31823" s="4" t="e">
        <f>IF(B31823=#REF!,"",B31823)</f>
        <v>#REF!</v>
      </c>
    </row>
    <row r="31824" spans="1:6" ht="15.75" customHeight="1">
      <c r="A31824" s="16" t="s">
        <v>2296</v>
      </c>
      <c r="B31824" s="15" t="s">
        <v>2296</v>
      </c>
      <c r="C31824" s="16" t="s">
        <v>1905</v>
      </c>
      <c r="D31824" s="16" t="s">
        <v>1914</v>
      </c>
      <c r="E31824" s="2">
        <v>3466824</v>
      </c>
      <c r="F31824" s="4" t="e">
        <f>IF(B31824=#REF!,"",B31824)</f>
        <v>#REF!</v>
      </c>
    </row>
    <row r="31825" spans="1:6" ht="15.75" customHeight="1">
      <c r="A31825" s="16" t="s">
        <v>17804</v>
      </c>
      <c r="B31825" s="15" t="s">
        <v>17804</v>
      </c>
      <c r="C31825" s="16" t="s">
        <v>17707</v>
      </c>
      <c r="D31825" s="16" t="s">
        <v>17717</v>
      </c>
      <c r="E31825" s="2">
        <v>8858116</v>
      </c>
      <c r="F31825" s="4" t="e">
        <f>IF(B31825=#REF!,"",B31825)</f>
        <v>#REF!</v>
      </c>
    </row>
    <row r="31826" spans="1:6" ht="15.75" customHeight="1">
      <c r="A31826" s="15" t="s">
        <v>28183</v>
      </c>
      <c r="B31826" s="15" t="s">
        <v>28183</v>
      </c>
      <c r="C31826" s="15" t="s">
        <v>27788</v>
      </c>
      <c r="D31826" s="15" t="s">
        <v>27822</v>
      </c>
      <c r="E31826" s="2">
        <v>4459467</v>
      </c>
      <c r="F31826" s="4" t="e">
        <f>IF(B31826=#REF!,"",B31826)</f>
        <v>#REF!</v>
      </c>
    </row>
    <row r="31827" spans="1:6" ht="15.75" customHeight="1">
      <c r="A31827" s="15" t="s">
        <v>7216</v>
      </c>
      <c r="B31827" s="15" t="s">
        <v>7216</v>
      </c>
      <c r="C31827" s="15" t="s">
        <v>7052</v>
      </c>
      <c r="D31827" s="15" t="s">
        <v>7078</v>
      </c>
      <c r="E31827" s="2">
        <v>3028486</v>
      </c>
      <c r="F31827" s="4" t="str">
        <f>IF(B31827=B31826,"",B31827)</f>
        <v>Carvin</v>
      </c>
    </row>
    <row r="31828" spans="1:6" ht="15.75" customHeight="1">
      <c r="A31828" s="16" t="str">
        <f ca="1">IFERROR(__xludf.DUMMYFUNCTION("GOOGLETRANSLATE(B45681,""en"",""pt"")"),"Carúpano")</f>
        <v>Carúpano</v>
      </c>
      <c r="B31828" s="20" t="s">
        <v>36100</v>
      </c>
      <c r="C31828" s="20" t="s">
        <v>5923</v>
      </c>
      <c r="D31828" s="20" t="s">
        <v>1829</v>
      </c>
      <c r="E31828" s="10">
        <v>3646382</v>
      </c>
      <c r="F31828" s="4" t="e">
        <f>IF(B31828=#REF!,"",B31828)</f>
        <v>#REF!</v>
      </c>
    </row>
    <row r="31829" spans="1:6" ht="15.75" customHeight="1">
      <c r="A31829" s="15" t="s">
        <v>2295</v>
      </c>
      <c r="B31829" s="15" t="s">
        <v>2295</v>
      </c>
      <c r="C31829" s="15" t="s">
        <v>1905</v>
      </c>
      <c r="D31829" s="15" t="s">
        <v>1909</v>
      </c>
      <c r="E31829" s="2">
        <v>3402655</v>
      </c>
      <c r="F31829" s="4" t="e">
        <f>IF(B31829=#REF!,"",B31829)</f>
        <v>#REF!</v>
      </c>
    </row>
    <row r="31830" spans="1:6" ht="15.75" customHeight="1">
      <c r="A31830" s="15" t="s">
        <v>5414</v>
      </c>
      <c r="B31830" s="15" t="s">
        <v>26111</v>
      </c>
      <c r="C31830" s="15" t="s">
        <v>26090</v>
      </c>
      <c r="D31830" s="15" t="s">
        <v>26094</v>
      </c>
      <c r="E31830" s="2">
        <v>2468245</v>
      </c>
      <c r="F31830" s="4" t="e">
        <f>IF(B31830=#REF!,"",B31830)</f>
        <v>#REF!</v>
      </c>
    </row>
    <row r="31831" spans="1:6" ht="15.75" customHeight="1">
      <c r="A31831" s="16" t="s">
        <v>28182</v>
      </c>
      <c r="B31831" s="15" t="s">
        <v>28182</v>
      </c>
      <c r="C31831" s="16" t="s">
        <v>27788</v>
      </c>
      <c r="D31831" s="16" t="s">
        <v>7988</v>
      </c>
      <c r="E31831" s="2">
        <v>4186531</v>
      </c>
      <c r="F31831" s="4" t="e">
        <f>IF(B31831=#REF!,"",B31831)</f>
        <v>#REF!</v>
      </c>
    </row>
    <row r="31832" spans="1:6" ht="15.75" customHeight="1">
      <c r="A31832" s="15" t="s">
        <v>28181</v>
      </c>
      <c r="B31832" s="15" t="s">
        <v>28181</v>
      </c>
      <c r="C31832" s="15" t="s">
        <v>27788</v>
      </c>
      <c r="D31832" s="15" t="s">
        <v>27905</v>
      </c>
      <c r="E31832" s="2">
        <v>5096316</v>
      </c>
      <c r="F31832" s="4" t="e">
        <f>IF(B31832=#REF!,"",B31832)</f>
        <v>#REF!</v>
      </c>
    </row>
    <row r="31833" spans="1:6" ht="15.75" customHeight="1">
      <c r="A31833" s="15" t="s">
        <v>24383</v>
      </c>
      <c r="B31833" s="15" t="s">
        <v>24383</v>
      </c>
      <c r="C31833" s="15" t="s">
        <v>24200</v>
      </c>
      <c r="D31833" s="15" t="s">
        <v>24205</v>
      </c>
      <c r="E31833" s="2">
        <v>2520052</v>
      </c>
      <c r="F31833" s="4" t="str">
        <f>IF(B31833=B31832,"",B31833)</f>
        <v>Cartaya</v>
      </c>
    </row>
    <row r="31834" spans="1:6" ht="15.75" customHeight="1">
      <c r="A31834" s="16" t="str">
        <f ca="1">IFERROR(__xludf.DUMMYFUNCTION("GOOGLETRANSLATE(B29151,""en"",""pt"")"),"Cártama")</f>
        <v>Cártama</v>
      </c>
      <c r="B31834" s="20" t="s">
        <v>32390</v>
      </c>
      <c r="C31834" s="20" t="s">
        <v>24200</v>
      </c>
      <c r="D31834" s="20" t="s">
        <v>24205</v>
      </c>
      <c r="E31834" s="10">
        <v>2520055</v>
      </c>
      <c r="F31834" s="4" t="e">
        <f>IF(B31834=#REF!,"",B31834)</f>
        <v>#REF!</v>
      </c>
    </row>
    <row r="31835" spans="1:6" ht="15.75" customHeight="1">
      <c r="A31835" s="15" t="s">
        <v>5414</v>
      </c>
      <c r="B31835" s="15" t="s">
        <v>5414</v>
      </c>
      <c r="C31835" s="15" t="s">
        <v>5348</v>
      </c>
      <c r="D31835" s="15" t="s">
        <v>5360</v>
      </c>
      <c r="E31835" s="2">
        <v>3687230</v>
      </c>
      <c r="F31835" s="4" t="e">
        <f>IF(B31835=#REF!,"",B31835)</f>
        <v>#REF!</v>
      </c>
    </row>
    <row r="31836" spans="1:6" ht="15.75" customHeight="1">
      <c r="A31836" s="16" t="s">
        <v>4371</v>
      </c>
      <c r="B31836" s="15" t="s">
        <v>4371</v>
      </c>
      <c r="C31836" s="16" t="s">
        <v>4355</v>
      </c>
      <c r="D31836" s="16" t="s">
        <v>3642</v>
      </c>
      <c r="E31836" s="2">
        <v>3896433</v>
      </c>
      <c r="F31836" s="4" t="e">
        <f>IF(B31836=#REF!,"",B31836)</f>
        <v>#REF!</v>
      </c>
    </row>
    <row r="31837" spans="1:6" ht="15.75" customHeight="1">
      <c r="A31837" s="16" t="s">
        <v>28180</v>
      </c>
      <c r="B31837" s="15" t="s">
        <v>28180</v>
      </c>
      <c r="C31837" s="16" t="s">
        <v>27788</v>
      </c>
      <c r="D31837" s="16" t="s">
        <v>28073</v>
      </c>
      <c r="E31837" s="2">
        <v>5501344</v>
      </c>
      <c r="F31837" s="4" t="e">
        <f>IF(B31837=#REF!,"",B31837)</f>
        <v>#REF!</v>
      </c>
    </row>
    <row r="31838" spans="1:6" ht="15.75" customHeight="1">
      <c r="A31838" s="15" t="s">
        <v>28179</v>
      </c>
      <c r="B31838" s="15" t="s">
        <v>28179</v>
      </c>
      <c r="C31838" s="15" t="s">
        <v>27788</v>
      </c>
      <c r="D31838" s="15" t="s">
        <v>27801</v>
      </c>
      <c r="E31838" s="2">
        <v>5334519</v>
      </c>
      <c r="F31838" s="4" t="e">
        <f>IF(B31838=#REF!,"",B31838)</f>
        <v>#REF!</v>
      </c>
    </row>
    <row r="31839" spans="1:6" ht="15.75" customHeight="1">
      <c r="A31839" s="16" t="s">
        <v>27390</v>
      </c>
      <c r="B31839" s="15" t="s">
        <v>27390</v>
      </c>
      <c r="C31839" s="16" t="s">
        <v>27234</v>
      </c>
      <c r="D31839" s="16" t="s">
        <v>27241</v>
      </c>
      <c r="E31839" s="2">
        <v>2653646</v>
      </c>
      <c r="F31839" s="4" t="str">
        <f>IF(B31839=B31838,"",B31839)</f>
        <v>Carshalton</v>
      </c>
    </row>
    <row r="31840" spans="1:6" ht="15.75" customHeight="1">
      <c r="A31840" s="16" t="str">
        <f ca="1">IFERROR(__xludf.DUMMYFUNCTION("GOOGLETRANSLATE(B42199,""en"",""pt"")"),"Çarşamba")</f>
        <v>Çarşamba</v>
      </c>
      <c r="B31840" s="20" t="s">
        <v>35958</v>
      </c>
      <c r="C31840" s="20" t="s">
        <v>26201</v>
      </c>
      <c r="D31840" s="20" t="s">
        <v>26232</v>
      </c>
      <c r="E31840" s="10">
        <v>749704</v>
      </c>
      <c r="F31840" s="4" t="e">
        <f>IF(B31840=#REF!,"",B31840)</f>
        <v>#REF!</v>
      </c>
    </row>
    <row r="31841" spans="1:6" ht="15.75" customHeight="1">
      <c r="A31841" s="16" t="s">
        <v>937</v>
      </c>
      <c r="B31841" s="15" t="s">
        <v>937</v>
      </c>
      <c r="C31841" s="16" t="s">
        <v>885</v>
      </c>
      <c r="D31841" s="16" t="s">
        <v>827</v>
      </c>
      <c r="E31841" s="2">
        <v>2172191</v>
      </c>
      <c r="F31841" s="4" t="e">
        <f>IF(B31841=#REF!,"",B31841)</f>
        <v>#REF!</v>
      </c>
    </row>
    <row r="31842" spans="1:6" ht="15.75" customHeight="1">
      <c r="A31842" s="16" t="s">
        <v>28177</v>
      </c>
      <c r="B31842" s="15" t="s">
        <v>28178</v>
      </c>
      <c r="C31842" s="16" t="s">
        <v>27788</v>
      </c>
      <c r="D31842" s="16" t="s">
        <v>5468</v>
      </c>
      <c r="E31842" s="2">
        <v>4150118</v>
      </c>
      <c r="F31842" s="4" t="e">
        <f>IF(B31842=#REF!,"",B31842)</f>
        <v>#REF!</v>
      </c>
    </row>
    <row r="31843" spans="1:6" ht="15.75" customHeight="1">
      <c r="A31843" s="16" t="s">
        <v>28176</v>
      </c>
      <c r="B31843" s="15" t="s">
        <v>28176</v>
      </c>
      <c r="C31843" s="16" t="s">
        <v>27788</v>
      </c>
      <c r="D31843" s="16" t="s">
        <v>5468</v>
      </c>
      <c r="E31843" s="2">
        <v>4150115</v>
      </c>
      <c r="F31843" s="4" t="e">
        <f>IF(B31843=#REF!,"",B31843)</f>
        <v>#REF!</v>
      </c>
    </row>
    <row r="31844" spans="1:6" ht="15.75" customHeight="1">
      <c r="A31844" s="16" t="s">
        <v>28175</v>
      </c>
      <c r="B31844" s="15" t="s">
        <v>28175</v>
      </c>
      <c r="C31844" s="16" t="s">
        <v>27788</v>
      </c>
      <c r="D31844" s="16" t="s">
        <v>7988</v>
      </c>
      <c r="E31844" s="2">
        <v>4186416</v>
      </c>
      <c r="F31844" s="4" t="e">
        <f>IF(B31844=#REF!,"",B31844)</f>
        <v>#REF!</v>
      </c>
    </row>
    <row r="31845" spans="1:6" ht="15.75" customHeight="1">
      <c r="A31845" s="15" t="s">
        <v>30666</v>
      </c>
      <c r="B31845" s="15" t="s">
        <v>30666</v>
      </c>
      <c r="C31845" s="15" t="s">
        <v>5923</v>
      </c>
      <c r="D31845" s="15" t="s">
        <v>30647</v>
      </c>
      <c r="E31845" s="2">
        <v>3646451</v>
      </c>
      <c r="F31845" s="4" t="str">
        <f>IF(B31845=B31844,"",B31845)</f>
        <v>Carrizal</v>
      </c>
    </row>
    <row r="31846" spans="1:6" ht="15.75" customHeight="1">
      <c r="A31846" s="16" t="str">
        <f ca="1">IFERROR(__xludf.DUMMYFUNCTION("GOOGLETRANSLATE(B30180,""en"",""pt"")"),"Carrières-Sousy-Poissy")</f>
        <v>Carrières-Sousy-Poissy</v>
      </c>
      <c r="B31846" s="20" t="s">
        <v>32635</v>
      </c>
      <c r="C31846" s="20" t="s">
        <v>7052</v>
      </c>
      <c r="D31846" s="20" t="s">
        <v>32531</v>
      </c>
      <c r="E31846" s="10">
        <v>3028521</v>
      </c>
      <c r="F31846" s="4" t="e">
        <f>IF(B31846=#REF!,"",B31846)</f>
        <v>#REF!</v>
      </c>
    </row>
    <row r="31847" spans="1:6" ht="15.75" customHeight="1">
      <c r="A31847" s="16" t="s">
        <v>27389</v>
      </c>
      <c r="B31847" s="15" t="s">
        <v>27389</v>
      </c>
      <c r="C31847" s="16" t="s">
        <v>27234</v>
      </c>
      <c r="D31847" s="16" t="s">
        <v>27259</v>
      </c>
      <c r="E31847" s="2">
        <v>2653680</v>
      </c>
      <c r="F31847" s="4" t="str">
        <f>IF(B31847=B31846,"",B31847)</f>
        <v>Carrickfergus</v>
      </c>
    </row>
    <row r="31848" spans="1:6" ht="15.75" customHeight="1">
      <c r="A31848" s="16" t="s">
        <v>7214</v>
      </c>
      <c r="B31848" s="15" t="s">
        <v>7215</v>
      </c>
      <c r="C31848" s="16" t="s">
        <v>7052</v>
      </c>
      <c r="D31848" s="16" t="s">
        <v>7058</v>
      </c>
      <c r="E31848" s="2">
        <v>3028521</v>
      </c>
      <c r="F31848" s="4" t="e">
        <f>IF(B31848=#REF!,"",B31848)</f>
        <v>#REF!</v>
      </c>
    </row>
    <row r="31849" spans="1:6" ht="15.75" customHeight="1">
      <c r="A31849" s="15" t="s">
        <v>9865</v>
      </c>
      <c r="B31849" s="15" t="s">
        <v>9865</v>
      </c>
      <c r="C31849" s="15" t="s">
        <v>9866</v>
      </c>
      <c r="D31849" s="15" t="s">
        <v>9867</v>
      </c>
      <c r="E31849" s="2">
        <v>3728338</v>
      </c>
      <c r="F31849" s="4" t="e">
        <f>IF(B31849=#REF!,"",B31849)</f>
        <v>#REF!</v>
      </c>
    </row>
    <row r="31850" spans="1:6" ht="15.75" customHeight="1">
      <c r="A31850" s="15" t="s">
        <v>28174</v>
      </c>
      <c r="B31850" s="15" t="s">
        <v>28174</v>
      </c>
      <c r="C31850" s="15" t="s">
        <v>27788</v>
      </c>
      <c r="D31850" s="15" t="s">
        <v>27822</v>
      </c>
      <c r="E31850" s="2">
        <v>4459343</v>
      </c>
      <c r="F31850" s="4" t="e">
        <f>IF(B31850=#REF!,"",B31850)</f>
        <v>#REF!</v>
      </c>
    </row>
    <row r="31851" spans="1:6" ht="15.75" customHeight="1">
      <c r="A31851" s="15" t="s">
        <v>15028</v>
      </c>
      <c r="B31851" s="15" t="s">
        <v>15028</v>
      </c>
      <c r="C31851" s="15" t="s">
        <v>14891</v>
      </c>
      <c r="D31851" s="15" t="s">
        <v>14943</v>
      </c>
      <c r="E31851" s="2">
        <v>3180423</v>
      </c>
      <c r="F31851" s="4" t="e">
        <f>IF(B31851=#REF!,"",B31851)</f>
        <v>#REF!</v>
      </c>
    </row>
    <row r="31852" spans="1:6" ht="15.75" customHeight="1">
      <c r="A31852" s="16" t="s">
        <v>7213</v>
      </c>
      <c r="B31852" s="15" t="s">
        <v>7213</v>
      </c>
      <c r="C31852" s="16" t="s">
        <v>7052</v>
      </c>
      <c r="D31852" s="16" t="s">
        <v>7102</v>
      </c>
      <c r="E31852" s="2">
        <v>3028535</v>
      </c>
      <c r="F31852" s="4" t="e">
        <f>IF(B31852=#REF!,"",B31852)</f>
        <v>#REF!</v>
      </c>
    </row>
    <row r="31853" spans="1:6" ht="15.75" customHeight="1">
      <c r="A31853" s="15" t="s">
        <v>2294</v>
      </c>
      <c r="B31853" s="15" t="s">
        <v>2294</v>
      </c>
      <c r="C31853" s="15" t="s">
        <v>1905</v>
      </c>
      <c r="D31853" s="15" t="s">
        <v>1909</v>
      </c>
      <c r="E31853" s="2">
        <v>3402721</v>
      </c>
      <c r="F31853" s="4" t="e">
        <f>IF(B31853=#REF!,"",B31853)</f>
        <v>#REF!</v>
      </c>
    </row>
    <row r="31854" spans="1:6" ht="15.75" customHeight="1">
      <c r="A31854" s="16" t="s">
        <v>15027</v>
      </c>
      <c r="B31854" s="15" t="s">
        <v>15027</v>
      </c>
      <c r="C31854" s="16" t="s">
        <v>14891</v>
      </c>
      <c r="D31854" s="16" t="s">
        <v>14973</v>
      </c>
      <c r="E31854" s="2">
        <v>3180445</v>
      </c>
      <c r="F31854" s="4" t="e">
        <f>IF(B31854=#REF!,"",B31854)</f>
        <v>#REF!</v>
      </c>
    </row>
    <row r="31855" spans="1:6" ht="15.75" customHeight="1">
      <c r="A31855" s="16" t="s">
        <v>7212</v>
      </c>
      <c r="B31855" s="15" t="s">
        <v>7212</v>
      </c>
      <c r="C31855" s="16" t="s">
        <v>7052</v>
      </c>
      <c r="D31855" s="16" t="s">
        <v>7087</v>
      </c>
      <c r="E31855" s="2">
        <v>3028542</v>
      </c>
      <c r="F31855" s="4" t="e">
        <f>IF(B31855=#REF!,"",B31855)</f>
        <v>#REF!</v>
      </c>
    </row>
    <row r="31856" spans="1:6" ht="15.75" customHeight="1">
      <c r="A31856" s="16" t="s">
        <v>28173</v>
      </c>
      <c r="B31856" s="15" t="s">
        <v>28173</v>
      </c>
      <c r="C31856" s="16" t="s">
        <v>27788</v>
      </c>
      <c r="D31856" s="16" t="s">
        <v>27799</v>
      </c>
      <c r="E31856" s="2">
        <v>4886676</v>
      </c>
      <c r="F31856" s="4" t="e">
        <f>IF(B31856=#REF!,"",B31856)</f>
        <v>#REF!</v>
      </c>
    </row>
    <row r="31857" spans="1:6" ht="15.75" customHeight="1">
      <c r="A31857" s="15" t="s">
        <v>25252</v>
      </c>
      <c r="B31857" s="15" t="s">
        <v>25252</v>
      </c>
      <c r="C31857" s="15" t="s">
        <v>25237</v>
      </c>
      <c r="D31857" s="15" t="s">
        <v>25253</v>
      </c>
      <c r="E31857" s="2">
        <v>2661265</v>
      </c>
      <c r="F31857" s="4" t="e">
        <f>IF(B31857=#REF!,"",B31857)</f>
        <v>#REF!</v>
      </c>
    </row>
    <row r="31858" spans="1:6" ht="15.75" customHeight="1">
      <c r="A31858" s="15" t="s">
        <v>30665</v>
      </c>
      <c r="B31858" s="15" t="s">
        <v>30665</v>
      </c>
      <c r="C31858" s="15" t="s">
        <v>5923</v>
      </c>
      <c r="D31858" s="15" t="s">
        <v>1011</v>
      </c>
      <c r="E31858" s="2">
        <v>3646487</v>
      </c>
      <c r="F31858" s="4" t="e">
        <f>IF(B31858=#REF!,"",B31858)</f>
        <v>#REF!</v>
      </c>
    </row>
    <row r="31859" spans="1:6" ht="15.75" customHeight="1">
      <c r="A31859" s="16" t="s">
        <v>15025</v>
      </c>
      <c r="B31859" s="15" t="s">
        <v>15026</v>
      </c>
      <c r="C31859" s="16" t="s">
        <v>14891</v>
      </c>
      <c r="D31859" s="16" t="s">
        <v>14894</v>
      </c>
      <c r="E31859" s="2">
        <v>6534234</v>
      </c>
      <c r="F31859" s="4" t="e">
        <f>IF(B31859=#REF!,"",B31859)</f>
        <v>#REF!</v>
      </c>
    </row>
    <row r="31860" spans="1:6" ht="15.75" customHeight="1">
      <c r="A31860" s="15" t="s">
        <v>2293</v>
      </c>
      <c r="B31860" s="15" t="s">
        <v>2293</v>
      </c>
      <c r="C31860" s="15" t="s">
        <v>1905</v>
      </c>
      <c r="D31860" s="15" t="s">
        <v>2024</v>
      </c>
      <c r="E31860" s="2">
        <v>3402724</v>
      </c>
      <c r="F31860" s="4" t="e">
        <f>IF(B31860=#REF!,"",B31860)</f>
        <v>#REF!</v>
      </c>
    </row>
    <row r="31861" spans="1:6" ht="15.75" customHeight="1">
      <c r="A31861" s="16" t="s">
        <v>28172</v>
      </c>
      <c r="B31861" s="15" t="s">
        <v>28172</v>
      </c>
      <c r="C31861" s="16" t="s">
        <v>27788</v>
      </c>
      <c r="D31861" s="16" t="s">
        <v>27799</v>
      </c>
      <c r="E31861" s="2">
        <v>4886662</v>
      </c>
      <c r="F31861" s="4" t="e">
        <f>IF(B31861=#REF!,"",B31861)</f>
        <v>#REF!</v>
      </c>
    </row>
    <row r="31862" spans="1:6" ht="15.75" customHeight="1">
      <c r="A31862" s="15" t="s">
        <v>28171</v>
      </c>
      <c r="B31862" s="15" t="s">
        <v>28171</v>
      </c>
      <c r="C31862" s="15" t="s">
        <v>27788</v>
      </c>
      <c r="D31862" s="15" t="s">
        <v>5468</v>
      </c>
      <c r="E31862" s="2">
        <v>4150066</v>
      </c>
      <c r="F31862" s="4" t="e">
        <f>IF(B31862=#REF!,"",B31862)</f>
        <v>#REF!</v>
      </c>
    </row>
    <row r="31863" spans="1:6" ht="15.75" customHeight="1">
      <c r="A31863" s="15" t="s">
        <v>4287</v>
      </c>
      <c r="B31863" s="15" t="s">
        <v>4287</v>
      </c>
      <c r="C31863" s="15" t="s">
        <v>4264</v>
      </c>
      <c r="D31863" s="15" t="s">
        <v>4275</v>
      </c>
      <c r="E31863" s="2">
        <v>2387495</v>
      </c>
      <c r="F31863" s="4" t="e">
        <f>IF(B31863=#REF!,"",B31863)</f>
        <v>#REF!</v>
      </c>
    </row>
    <row r="31864" spans="1:6" ht="15.75" customHeight="1">
      <c r="A31864" s="15" t="s">
        <v>28170</v>
      </c>
      <c r="B31864" s="15" t="s">
        <v>28170</v>
      </c>
      <c r="C31864" s="15" t="s">
        <v>27788</v>
      </c>
      <c r="D31864" s="15" t="s">
        <v>17061</v>
      </c>
      <c r="E31864" s="2">
        <v>4350413</v>
      </c>
      <c r="F31864" s="4" t="e">
        <f>IF(B31864=#REF!,"",B31864)</f>
        <v>#REF!</v>
      </c>
    </row>
    <row r="31865" spans="1:6" ht="15.75" customHeight="1">
      <c r="A31865" s="15" t="s">
        <v>936</v>
      </c>
      <c r="B31865" s="15" t="s">
        <v>936</v>
      </c>
      <c r="C31865" s="15" t="s">
        <v>885</v>
      </c>
      <c r="D31865" s="15" t="s">
        <v>827</v>
      </c>
      <c r="E31865" s="2">
        <v>2172264</v>
      </c>
      <c r="F31865" s="4" t="e">
        <f>IF(B31865=#REF!,"",B31865)</f>
        <v>#REF!</v>
      </c>
    </row>
    <row r="31866" spans="1:6" ht="15.75" customHeight="1">
      <c r="A31866" s="16" t="s">
        <v>21645</v>
      </c>
      <c r="B31866" s="15" t="s">
        <v>21646</v>
      </c>
      <c r="C31866" s="16" t="s">
        <v>21606</v>
      </c>
      <c r="D31866" s="16" t="s">
        <v>21616</v>
      </c>
      <c r="E31866" s="2">
        <v>2270157</v>
      </c>
      <c r="F31866" s="4" t="e">
        <f>IF(B31866=#REF!,"",B31866)</f>
        <v>#REF!</v>
      </c>
    </row>
    <row r="31867" spans="1:6" ht="15.75" customHeight="1">
      <c r="A31867" s="15" t="s">
        <v>20732</v>
      </c>
      <c r="B31867" s="15" t="s">
        <v>20732</v>
      </c>
      <c r="C31867" s="15" t="s">
        <v>20598</v>
      </c>
      <c r="D31867" s="15" t="s">
        <v>20608</v>
      </c>
      <c r="E31867" s="2">
        <v>1718306</v>
      </c>
      <c r="F31867" s="4" t="str">
        <f>IF(B31867=B31866,"",B31867)</f>
        <v>Carmona</v>
      </c>
    </row>
    <row r="31868" spans="1:6" ht="15.75" customHeight="1">
      <c r="A31868" s="16" t="str">
        <f ca="1">IFERROR(__xludf.DUMMYFUNCTION("GOOGLETRANSLATE(B25130,""en"",""pt"")"),"Carmo do Paranaíba")</f>
        <v>Carmo do Paranaíba</v>
      </c>
      <c r="B31868" s="20" t="s">
        <v>31685</v>
      </c>
      <c r="C31868" s="20" t="s">
        <v>1905</v>
      </c>
      <c r="D31868" s="20" t="s">
        <v>1917</v>
      </c>
      <c r="E31868" s="10">
        <v>3466902</v>
      </c>
      <c r="F31868" s="4" t="str">
        <f>IF(B31868=B31867,"",B31868)</f>
        <v>Carmo do Paranaíba</v>
      </c>
    </row>
    <row r="31869" spans="1:6" ht="15.75" customHeight="1">
      <c r="A31869" s="16" t="s">
        <v>2291</v>
      </c>
      <c r="B31869" s="15" t="s">
        <v>2292</v>
      </c>
      <c r="C31869" s="16" t="s">
        <v>1905</v>
      </c>
      <c r="D31869" s="16" t="s">
        <v>1917</v>
      </c>
      <c r="E31869" s="2">
        <v>3466902</v>
      </c>
      <c r="F31869" s="4" t="e">
        <f>IF(B31869=#REF!,"",B31869)</f>
        <v>#REF!</v>
      </c>
    </row>
    <row r="31870" spans="1:6" ht="15.75" customHeight="1">
      <c r="A31870" s="16" t="s">
        <v>2290</v>
      </c>
      <c r="B31870" s="15" t="s">
        <v>2290</v>
      </c>
      <c r="C31870" s="16" t="s">
        <v>1905</v>
      </c>
      <c r="D31870" s="16" t="s">
        <v>1917</v>
      </c>
      <c r="E31870" s="2">
        <v>3466903</v>
      </c>
      <c r="F31870" s="4" t="e">
        <f>IF(B31870=#REF!,"",B31870)</f>
        <v>#REF!</v>
      </c>
    </row>
    <row r="31871" spans="1:6" ht="15.75" customHeight="1">
      <c r="A31871" s="16" t="s">
        <v>28169</v>
      </c>
      <c r="B31871" s="15" t="s">
        <v>28169</v>
      </c>
      <c r="C31871" s="16" t="s">
        <v>27788</v>
      </c>
      <c r="D31871" s="16" t="s">
        <v>27801</v>
      </c>
      <c r="E31871" s="2">
        <v>5334336</v>
      </c>
      <c r="F31871" s="4" t="e">
        <f>IF(B31871=#REF!,"",B31871)</f>
        <v>#REF!</v>
      </c>
    </row>
    <row r="31872" spans="1:6" ht="15.75" customHeight="1">
      <c r="A31872" s="16" t="s">
        <v>5413</v>
      </c>
      <c r="B31872" s="15" t="s">
        <v>5413</v>
      </c>
      <c r="C31872" s="16" t="s">
        <v>5348</v>
      </c>
      <c r="D31872" s="16" t="s">
        <v>5362</v>
      </c>
      <c r="E31872" s="2">
        <v>3687318</v>
      </c>
      <c r="F31872" s="4" t="e">
        <f>IF(B31872=#REF!,"",B31872)</f>
        <v>#REF!</v>
      </c>
    </row>
    <row r="31873" spans="1:6" ht="15.75" customHeight="1">
      <c r="A31873" s="15" t="s">
        <v>30474</v>
      </c>
      <c r="B31873" s="15" t="s">
        <v>30474</v>
      </c>
      <c r="C31873" s="15" t="s">
        <v>30472</v>
      </c>
      <c r="D31873" s="15" t="s">
        <v>28301</v>
      </c>
      <c r="E31873" s="2">
        <v>3443341</v>
      </c>
      <c r="F31873" s="4" t="e">
        <f>IF(B31873=#REF!,"",B31873)</f>
        <v>#REF!</v>
      </c>
    </row>
    <row r="31874" spans="1:6" ht="15.75" customHeight="1">
      <c r="A31874" s="15" t="s">
        <v>28168</v>
      </c>
      <c r="B31874" s="15" t="s">
        <v>28168</v>
      </c>
      <c r="C31874" s="15" t="s">
        <v>27788</v>
      </c>
      <c r="D31874" s="15" t="s">
        <v>27869</v>
      </c>
      <c r="E31874" s="2">
        <v>4255466</v>
      </c>
      <c r="F31874" s="4" t="e">
        <f>IF(B31874=#REF!,"",B31874)</f>
        <v>#REF!</v>
      </c>
    </row>
    <row r="31875" spans="1:6" ht="15.75" customHeight="1">
      <c r="A31875" s="16" t="s">
        <v>27388</v>
      </c>
      <c r="B31875" s="15" t="s">
        <v>27388</v>
      </c>
      <c r="C31875" s="16" t="s">
        <v>27234</v>
      </c>
      <c r="D31875" s="16" t="s">
        <v>27235</v>
      </c>
      <c r="E31875" s="2">
        <v>2653755</v>
      </c>
      <c r="F31875" s="4" t="e">
        <f>IF(B31875=#REF!,"",B31875)</f>
        <v>#REF!</v>
      </c>
    </row>
    <row r="31876" spans="1:6" ht="15.75" customHeight="1">
      <c r="A31876" s="16" t="s">
        <v>15024</v>
      </c>
      <c r="B31876" s="15" t="s">
        <v>15024</v>
      </c>
      <c r="C31876" s="16" t="s">
        <v>14891</v>
      </c>
      <c r="D31876" s="16" t="s">
        <v>14911</v>
      </c>
      <c r="E31876" s="2">
        <v>3180496</v>
      </c>
      <c r="F31876" s="4" t="e">
        <f>IF(B31876=#REF!,"",B31876)</f>
        <v>#REF!</v>
      </c>
    </row>
    <row r="31877" spans="1:6" ht="15.75" customHeight="1">
      <c r="A31877" s="15" t="s">
        <v>28167</v>
      </c>
      <c r="B31877" s="15" t="s">
        <v>28167</v>
      </c>
      <c r="C31877" s="15" t="s">
        <v>27788</v>
      </c>
      <c r="D31877" s="15" t="s">
        <v>27801</v>
      </c>
      <c r="E31877" s="2">
        <v>5334223</v>
      </c>
      <c r="F31877" s="4" t="e">
        <f>IF(B31877=#REF!,"",B31877)</f>
        <v>#REF!</v>
      </c>
    </row>
    <row r="31878" spans="1:6" ht="15.75" customHeight="1">
      <c r="A31878" s="15" t="s">
        <v>14733</v>
      </c>
      <c r="B31878" s="15" t="s">
        <v>14733</v>
      </c>
      <c r="C31878" s="15" t="s">
        <v>14728</v>
      </c>
      <c r="D31878" s="15" t="s">
        <v>14729</v>
      </c>
      <c r="E31878" s="2">
        <v>2965768</v>
      </c>
      <c r="F31878" s="4" t="e">
        <f>IF(B31878=#REF!,"",B31878)</f>
        <v>#REF!</v>
      </c>
    </row>
    <row r="31879" spans="1:6" ht="15.75" customHeight="1">
      <c r="A31879" s="16" t="s">
        <v>2289</v>
      </c>
      <c r="B31879" s="15" t="s">
        <v>2289</v>
      </c>
      <c r="C31879" s="16" t="s">
        <v>1905</v>
      </c>
      <c r="D31879" s="16" t="s">
        <v>1951</v>
      </c>
      <c r="E31879" s="2">
        <v>3466933</v>
      </c>
      <c r="F31879" s="4" t="e">
        <f>IF(B31879=#REF!,"",B31879)</f>
        <v>#REF!</v>
      </c>
    </row>
    <row r="31880" spans="1:6" ht="15.75" customHeight="1">
      <c r="A31880" s="16" t="s">
        <v>17803</v>
      </c>
      <c r="B31880" s="15" t="s">
        <v>17803</v>
      </c>
      <c r="C31880" s="16" t="s">
        <v>17707</v>
      </c>
      <c r="D31880" s="16" t="s">
        <v>17708</v>
      </c>
      <c r="E31880" s="2">
        <v>3531556</v>
      </c>
      <c r="F31880" s="4" t="e">
        <f>IF(B31880=#REF!,"",B31880)</f>
        <v>#REF!</v>
      </c>
    </row>
    <row r="31881" spans="1:6" ht="15.75" customHeight="1">
      <c r="A31881" s="15" t="s">
        <v>27387</v>
      </c>
      <c r="B31881" s="15" t="s">
        <v>27387</v>
      </c>
      <c r="C31881" s="15" t="s">
        <v>27234</v>
      </c>
      <c r="D31881" s="15" t="s">
        <v>27241</v>
      </c>
      <c r="E31881" s="2">
        <v>2653775</v>
      </c>
      <c r="F31881" s="4" t="e">
        <f>IF(B31881=#REF!,"",B31881)</f>
        <v>#REF!</v>
      </c>
    </row>
    <row r="31882" spans="1:6" ht="15.75" customHeight="1">
      <c r="A31882" s="16" t="s">
        <v>935</v>
      </c>
      <c r="B31882" s="15" t="s">
        <v>935</v>
      </c>
      <c r="C31882" s="16" t="s">
        <v>885</v>
      </c>
      <c r="D31882" s="16" t="s">
        <v>891</v>
      </c>
      <c r="E31882" s="2">
        <v>2172303</v>
      </c>
      <c r="F31882" s="4" t="e">
        <f>IF(B31882=#REF!,"",B31882)</f>
        <v>#REF!</v>
      </c>
    </row>
    <row r="31883" spans="1:6" ht="15.75" customHeight="1">
      <c r="A31883" s="16" t="s">
        <v>23871</v>
      </c>
      <c r="B31883" s="15" t="s">
        <v>23871</v>
      </c>
      <c r="C31883" s="16" t="s">
        <v>23842</v>
      </c>
      <c r="D31883" s="16" t="s">
        <v>23855</v>
      </c>
      <c r="E31883" s="2">
        <v>1014073</v>
      </c>
      <c r="F31883" s="4" t="e">
        <f>IF(B31883=#REF!,"",B31883)</f>
        <v>#REF!</v>
      </c>
    </row>
    <row r="31884" spans="1:6" ht="15.75" customHeight="1">
      <c r="A31884" s="15" t="s">
        <v>24382</v>
      </c>
      <c r="B31884" s="15" t="s">
        <v>24382</v>
      </c>
      <c r="C31884" s="15" t="s">
        <v>24200</v>
      </c>
      <c r="D31884" s="15" t="s">
        <v>21053</v>
      </c>
      <c r="E31884" s="2">
        <v>2520121</v>
      </c>
      <c r="F31884" s="4" t="e">
        <f>IF(B31884=#REF!,"",B31884)</f>
        <v>#REF!</v>
      </c>
    </row>
    <row r="31885" spans="1:6" ht="15.75" customHeight="1">
      <c r="A31885" s="15" t="s">
        <v>15023</v>
      </c>
      <c r="B31885" s="15" t="s">
        <v>15023</v>
      </c>
      <c r="C31885" s="15" t="s">
        <v>14891</v>
      </c>
      <c r="D31885" s="15" t="s">
        <v>14899</v>
      </c>
      <c r="E31885" s="2">
        <v>2525350</v>
      </c>
      <c r="F31885" s="4" t="e">
        <f>IF(B31885=#REF!,"",B31885)</f>
        <v>#REF!</v>
      </c>
    </row>
    <row r="31886" spans="1:6" ht="15.75" customHeight="1">
      <c r="A31886" s="15" t="s">
        <v>13875</v>
      </c>
      <c r="B31886" s="15" t="s">
        <v>13875</v>
      </c>
      <c r="C31886" s="15" t="s">
        <v>13800</v>
      </c>
      <c r="D31886" s="15" t="s">
        <v>13811</v>
      </c>
      <c r="E31886" s="2">
        <v>1647298</v>
      </c>
      <c r="F31886" s="4" t="e">
        <f>IF(B31886=#REF!,"",B31886)</f>
        <v>#REF!</v>
      </c>
    </row>
    <row r="31887" spans="1:6" ht="15.75" customHeight="1">
      <c r="A31887" s="16" t="s">
        <v>934</v>
      </c>
      <c r="B31887" s="15" t="s">
        <v>934</v>
      </c>
      <c r="C31887" s="16" t="s">
        <v>885</v>
      </c>
      <c r="D31887" s="16" t="s">
        <v>891</v>
      </c>
      <c r="E31887" s="2">
        <v>2172311</v>
      </c>
      <c r="F31887" s="4" t="e">
        <f>IF(B31887=#REF!,"",B31887)</f>
        <v>#REF!</v>
      </c>
    </row>
    <row r="31888" spans="1:6" ht="15.75" customHeight="1">
      <c r="A31888" s="15" t="s">
        <v>933</v>
      </c>
      <c r="B31888" s="15" t="s">
        <v>933</v>
      </c>
      <c r="C31888" s="15" t="s">
        <v>885</v>
      </c>
      <c r="D31888" s="15" t="s">
        <v>910</v>
      </c>
      <c r="E31888" s="2">
        <v>7281839</v>
      </c>
      <c r="F31888" s="4" t="e">
        <f>IF(B31888=#REF!,"",B31888)</f>
        <v>#REF!</v>
      </c>
    </row>
    <row r="31889" spans="1:6" ht="15.75" customHeight="1">
      <c r="A31889" s="15" t="s">
        <v>20731</v>
      </c>
      <c r="B31889" s="15" t="s">
        <v>20731</v>
      </c>
      <c r="C31889" s="15" t="s">
        <v>20598</v>
      </c>
      <c r="D31889" s="15" t="s">
        <v>20601</v>
      </c>
      <c r="E31889" s="2">
        <v>1718393</v>
      </c>
      <c r="F31889" s="4" t="e">
        <f>IF(B31889=#REF!,"",B31889)</f>
        <v>#REF!</v>
      </c>
    </row>
    <row r="31890" spans="1:6" ht="15.75" customHeight="1">
      <c r="A31890" s="16" t="s">
        <v>6416</v>
      </c>
      <c r="B31890" s="15" t="s">
        <v>6416</v>
      </c>
      <c r="C31890" s="16" t="s">
        <v>6398</v>
      </c>
      <c r="D31890" s="16" t="s">
        <v>6417</v>
      </c>
      <c r="E31890" s="2">
        <v>3659711</v>
      </c>
      <c r="F31890" s="4" t="e">
        <f>IF(B31890=#REF!,"",B31890)</f>
        <v>#REF!</v>
      </c>
    </row>
    <row r="31891" spans="1:6" ht="15.75" customHeight="1">
      <c r="A31891" s="15" t="s">
        <v>5411</v>
      </c>
      <c r="B31891" s="15" t="s">
        <v>5412</v>
      </c>
      <c r="C31891" s="15" t="s">
        <v>5348</v>
      </c>
      <c r="D31891" s="15" t="s">
        <v>5362</v>
      </c>
      <c r="E31891" s="2">
        <v>3792375</v>
      </c>
      <c r="F31891" s="4" t="e">
        <f>IF(B31891=#REF!,"",B31891)</f>
        <v>#REF!</v>
      </c>
    </row>
    <row r="31892" spans="1:6" ht="15.75" customHeight="1">
      <c r="A31892" s="15" t="s">
        <v>21890</v>
      </c>
      <c r="B31892" s="15" t="s">
        <v>21890</v>
      </c>
      <c r="C31892" s="15" t="s">
        <v>21824</v>
      </c>
      <c r="D31892" s="15" t="s">
        <v>21846</v>
      </c>
      <c r="E31892" s="2">
        <v>682685</v>
      </c>
      <c r="F31892" s="4" t="e">
        <f>IF(B31892=#REF!,"",B31892)</f>
        <v>#REF!</v>
      </c>
    </row>
    <row r="31893" spans="1:6" ht="15.75" customHeight="1">
      <c r="A31893" s="15" t="s">
        <v>20730</v>
      </c>
      <c r="B31893" s="15" t="s">
        <v>20730</v>
      </c>
      <c r="C31893" s="15" t="s">
        <v>20598</v>
      </c>
      <c r="D31893" s="15" t="s">
        <v>20608</v>
      </c>
      <c r="E31893" s="2">
        <v>1718426</v>
      </c>
      <c r="F31893" s="4" t="e">
        <f>IF(B31893=#REF!,"",B31893)</f>
        <v>#REF!</v>
      </c>
    </row>
    <row r="31894" spans="1:6" ht="15.75" customHeight="1">
      <c r="A31894" s="15" t="s">
        <v>15022</v>
      </c>
      <c r="B31894" s="15" t="s">
        <v>15022</v>
      </c>
      <c r="C31894" s="15" t="s">
        <v>14891</v>
      </c>
      <c r="D31894" s="15" t="s">
        <v>14896</v>
      </c>
      <c r="E31894" s="2">
        <v>3180541</v>
      </c>
      <c r="F31894" s="4" t="e">
        <f>IF(B31894=#REF!,"",B31894)</f>
        <v>#REF!</v>
      </c>
    </row>
    <row r="31895" spans="1:6" ht="15.75" customHeight="1">
      <c r="A31895" s="15" t="s">
        <v>27386</v>
      </c>
      <c r="B31895" s="15" t="s">
        <v>27386</v>
      </c>
      <c r="C31895" s="15" t="s">
        <v>27234</v>
      </c>
      <c r="D31895" s="15" t="s">
        <v>27235</v>
      </c>
      <c r="E31895" s="2">
        <v>2653822</v>
      </c>
      <c r="F31895" s="4" t="e">
        <f>IF(B31895=#REF!,"",B31895)</f>
        <v>#REF!</v>
      </c>
    </row>
    <row r="31896" spans="1:6" ht="15.75" customHeight="1">
      <c r="A31896" s="16" t="str">
        <f ca="1">IFERROR(__xludf.DUMMYFUNCTION("GOOGLETRANSLATE(B27198,""en"",""pt"")"),"Cárdenas")</f>
        <v>Cárdenas</v>
      </c>
      <c r="B31896" s="20" t="s">
        <v>31925</v>
      </c>
      <c r="C31896" s="20" t="s">
        <v>5764</v>
      </c>
      <c r="D31896" s="20" t="s">
        <v>5796</v>
      </c>
      <c r="E31896" s="10">
        <v>3565432</v>
      </c>
      <c r="F31896" s="4" t="e">
        <f>IF(B31896=#REF!,"",B31896)</f>
        <v>#REF!</v>
      </c>
    </row>
    <row r="31897" spans="1:6" ht="15.75" customHeight="1">
      <c r="A31897" s="15" t="s">
        <v>17801</v>
      </c>
      <c r="B31897" s="15" t="s">
        <v>17801</v>
      </c>
      <c r="C31897" s="15" t="s">
        <v>17707</v>
      </c>
      <c r="D31897" s="15" t="s">
        <v>17802</v>
      </c>
      <c r="E31897" s="2">
        <v>3531574</v>
      </c>
      <c r="F31897" s="4" t="e">
        <f>IF(B31897=#REF!,"",B31897)</f>
        <v>#REF!</v>
      </c>
    </row>
    <row r="31898" spans="1:6" ht="15.75" customHeight="1">
      <c r="A31898" s="15" t="s">
        <v>24381</v>
      </c>
      <c r="B31898" s="15" t="s">
        <v>24381</v>
      </c>
      <c r="C31898" s="15" t="s">
        <v>24200</v>
      </c>
      <c r="D31898" s="15" t="s">
        <v>24277</v>
      </c>
      <c r="E31898" s="2">
        <v>3126317</v>
      </c>
      <c r="F31898" s="4" t="e">
        <f>IF(B31898=#REF!,"",B31898)</f>
        <v>#REF!</v>
      </c>
    </row>
    <row r="31899" spans="1:6" ht="15.75" customHeight="1">
      <c r="A31899" s="16" t="s">
        <v>21644</v>
      </c>
      <c r="B31899" s="15" t="s">
        <v>21644</v>
      </c>
      <c r="C31899" s="16" t="s">
        <v>21606</v>
      </c>
      <c r="D31899" s="16" t="s">
        <v>21616</v>
      </c>
      <c r="E31899" s="2">
        <v>2270184</v>
      </c>
      <c r="F31899" s="4" t="e">
        <f>IF(B31899=#REF!,"",B31899)</f>
        <v>#REF!</v>
      </c>
    </row>
    <row r="31900" spans="1:6" ht="15.75" customHeight="1">
      <c r="A31900" s="16" t="s">
        <v>7211</v>
      </c>
      <c r="B31900" s="15" t="s">
        <v>7211</v>
      </c>
      <c r="C31900" s="16" t="s">
        <v>7052</v>
      </c>
      <c r="D31900" s="16" t="s">
        <v>7082</v>
      </c>
      <c r="E31900" s="2">
        <v>3028641</v>
      </c>
      <c r="F31900" s="4" t="str">
        <f>IF(B31900=B31899,"",B31900)</f>
        <v>Carcassonne</v>
      </c>
    </row>
    <row r="31901" spans="1:6" ht="15.75" customHeight="1">
      <c r="A31901" s="16" t="str">
        <f ca="1">IFERROR(__xludf.DUMMYFUNCTION("GOOGLETRANSLATE(B23352,""en"",""pt"")"),"Carcarañá")</f>
        <v>Carcarañá</v>
      </c>
      <c r="B31901" s="20" t="s">
        <v>31215</v>
      </c>
      <c r="C31901" s="20" t="s">
        <v>558</v>
      </c>
      <c r="D31901" s="20" t="s">
        <v>579</v>
      </c>
      <c r="E31901" s="10">
        <v>3862655</v>
      </c>
      <c r="F31901" s="4" t="str">
        <f>IF(B31901=B31900,"",B31901)</f>
        <v>Carcarañá</v>
      </c>
    </row>
    <row r="31902" spans="1:6" ht="15.75" customHeight="1">
      <c r="A31902" s="15" t="s">
        <v>599</v>
      </c>
      <c r="B31902" s="15" t="s">
        <v>600</v>
      </c>
      <c r="C31902" s="15" t="s">
        <v>558</v>
      </c>
      <c r="D31902" s="15" t="s">
        <v>579</v>
      </c>
      <c r="E31902" s="2">
        <v>3862655</v>
      </c>
      <c r="F31902" s="4" t="e">
        <f>IF(B31902=#REF!,"",B31902)</f>
        <v>#REF!</v>
      </c>
    </row>
    <row r="31903" spans="1:6" ht="15.75" customHeight="1">
      <c r="A31903" s="15" t="s">
        <v>20729</v>
      </c>
      <c r="B31903" s="15" t="s">
        <v>20729</v>
      </c>
      <c r="C31903" s="15" t="s">
        <v>20598</v>
      </c>
      <c r="D31903" s="15" t="s">
        <v>20622</v>
      </c>
      <c r="E31903" s="2">
        <v>1718436</v>
      </c>
      <c r="F31903" s="4" t="e">
        <f>IF(B31903=#REF!,"",B31903)</f>
        <v>#REF!</v>
      </c>
    </row>
    <row r="31904" spans="1:6" ht="15.75" customHeight="1">
      <c r="A31904" s="16" t="s">
        <v>24380</v>
      </c>
      <c r="B31904" s="15" t="s">
        <v>24380</v>
      </c>
      <c r="C31904" s="16" t="s">
        <v>24200</v>
      </c>
      <c r="D31904" s="16" t="s">
        <v>21053</v>
      </c>
      <c r="E31904" s="2">
        <v>2520150</v>
      </c>
      <c r="F31904" s="4" t="e">
        <f>IF(B31904=#REF!,"",B31904)</f>
        <v>#REF!</v>
      </c>
    </row>
    <row r="31905" spans="1:6" ht="15.75" customHeight="1">
      <c r="A31905" s="15" t="s">
        <v>15021</v>
      </c>
      <c r="B31905" s="15" t="s">
        <v>15021</v>
      </c>
      <c r="C31905" s="15" t="s">
        <v>14891</v>
      </c>
      <c r="D31905" s="15" t="s">
        <v>14925</v>
      </c>
      <c r="E31905" s="2">
        <v>2525362</v>
      </c>
      <c r="F31905" s="4" t="e">
        <f>IF(B31905=#REF!,"",B31905)</f>
        <v>#REF!</v>
      </c>
    </row>
    <row r="31906" spans="1:6" ht="15.75" customHeight="1">
      <c r="A31906" s="16" t="s">
        <v>28166</v>
      </c>
      <c r="B31906" s="15" t="s">
        <v>28166</v>
      </c>
      <c r="C31906" s="16" t="s">
        <v>27788</v>
      </c>
      <c r="D31906" s="16" t="s">
        <v>27799</v>
      </c>
      <c r="E31906" s="2">
        <v>4235193</v>
      </c>
      <c r="F31906" s="4" t="e">
        <f>IF(B31906=#REF!,"",B31906)</f>
        <v>#REF!</v>
      </c>
    </row>
    <row r="31907" spans="1:6" ht="15.75" customHeight="1">
      <c r="A31907" s="15" t="s">
        <v>24379</v>
      </c>
      <c r="B31907" s="15" t="s">
        <v>24379</v>
      </c>
      <c r="C31907" s="15" t="s">
        <v>24200</v>
      </c>
      <c r="D31907" s="15" t="s">
        <v>24201</v>
      </c>
      <c r="E31907" s="2">
        <v>3126369</v>
      </c>
      <c r="F31907" s="4" t="e">
        <f>IF(B31907=#REF!,"",B31907)</f>
        <v>#REF!</v>
      </c>
    </row>
    <row r="31908" spans="1:6" ht="15.75" customHeight="1">
      <c r="A31908" s="16" t="s">
        <v>2288</v>
      </c>
      <c r="B31908" s="15" t="s">
        <v>2288</v>
      </c>
      <c r="C31908" s="16" t="s">
        <v>1905</v>
      </c>
      <c r="D31908" s="16" t="s">
        <v>1951</v>
      </c>
      <c r="E31908" s="2">
        <v>3466978</v>
      </c>
      <c r="F31908" s="4" t="e">
        <f>IF(B31908=#REF!,"",B31908)</f>
        <v>#REF!</v>
      </c>
    </row>
    <row r="31909" spans="1:6" ht="15.75" customHeight="1">
      <c r="A31909" s="15" t="s">
        <v>24378</v>
      </c>
      <c r="B31909" s="15" t="s">
        <v>24378</v>
      </c>
      <c r="C31909" s="15" t="s">
        <v>24200</v>
      </c>
      <c r="D31909" s="15" t="s">
        <v>20912</v>
      </c>
      <c r="E31909" s="2">
        <v>2520171</v>
      </c>
      <c r="F31909" s="4" t="e">
        <f>IF(B31909=#REF!,"",B31909)</f>
        <v>#REF!</v>
      </c>
    </row>
    <row r="31910" spans="1:6" ht="15.75" customHeight="1">
      <c r="A31910" s="16" t="s">
        <v>2285</v>
      </c>
      <c r="B31910" s="15" t="s">
        <v>2286</v>
      </c>
      <c r="C31910" s="16" t="s">
        <v>1905</v>
      </c>
      <c r="D31910" s="16" t="s">
        <v>2287</v>
      </c>
      <c r="E31910" s="2">
        <v>3664659</v>
      </c>
      <c r="F31910" s="4" t="e">
        <f>IF(B31910=#REF!,"",B31910)</f>
        <v>#REF!</v>
      </c>
    </row>
    <row r="31911" spans="1:6" ht="15.75" customHeight="1">
      <c r="A31911" s="15" t="s">
        <v>2284</v>
      </c>
      <c r="B31911" s="15" t="s">
        <v>2284</v>
      </c>
      <c r="C31911" s="15" t="s">
        <v>1905</v>
      </c>
      <c r="D31911" s="15" t="s">
        <v>1917</v>
      </c>
      <c r="E31911" s="2">
        <v>3466988</v>
      </c>
      <c r="F31911" s="4" t="e">
        <f>IF(B31911=#REF!,"",B31911)</f>
        <v>#REF!</v>
      </c>
    </row>
    <row r="31912" spans="1:6" ht="15.75" customHeight="1">
      <c r="A31912" s="16" t="s">
        <v>15020</v>
      </c>
      <c r="B31912" s="15" t="s">
        <v>15020</v>
      </c>
      <c r="C31912" s="16" t="s">
        <v>14891</v>
      </c>
      <c r="D31912" s="16" t="s">
        <v>14894</v>
      </c>
      <c r="E31912" s="2">
        <v>3180581</v>
      </c>
      <c r="F31912" s="4" t="str">
        <f>IF(B31912=B31911,"",B31912)</f>
        <v>Carate Brianza</v>
      </c>
    </row>
    <row r="31913" spans="1:6" ht="15.75" customHeight="1">
      <c r="A31913" s="16" t="str">
        <f ca="1">IFERROR(__xludf.DUMMYFUNCTION("GOOGLETRANSLATE(B25135,""en"",""pt"")"),"Carapicuíba")</f>
        <v>Carapicuíba</v>
      </c>
      <c r="B31913" s="20" t="s">
        <v>31686</v>
      </c>
      <c r="C31913" s="20" t="s">
        <v>1905</v>
      </c>
      <c r="D31913" s="20" t="s">
        <v>3354</v>
      </c>
      <c r="E31913" s="10">
        <v>3466998</v>
      </c>
      <c r="F31913" s="4" t="str">
        <f>IF(B31913=B31912,"",B31913)</f>
        <v>Carapicuíba</v>
      </c>
    </row>
    <row r="31914" spans="1:6" ht="15.75" customHeight="1">
      <c r="A31914" s="16" t="s">
        <v>2282</v>
      </c>
      <c r="B31914" s="15" t="s">
        <v>2283</v>
      </c>
      <c r="C31914" s="16" t="s">
        <v>1905</v>
      </c>
      <c r="D31914" s="16" t="s">
        <v>1914</v>
      </c>
      <c r="E31914" s="2">
        <v>3466998</v>
      </c>
      <c r="F31914" s="4" t="str">
        <f>IF(B31914=B31913,"",B31914)</f>
        <v>CarapicuÃ­ba</v>
      </c>
    </row>
    <row r="31915" spans="1:6" ht="15.75" customHeight="1">
      <c r="A31915" s="16" t="s">
        <v>30663</v>
      </c>
      <c r="B31915" s="15" t="s">
        <v>30664</v>
      </c>
      <c r="C31915" s="16" t="s">
        <v>5923</v>
      </c>
      <c r="D31915" s="16" t="s">
        <v>1829</v>
      </c>
      <c r="E31915" s="2">
        <v>3646382</v>
      </c>
      <c r="F31915" s="4" t="str">
        <f>IF(B31915=B31914,"",B31915)</f>
        <v>CarÃºpano</v>
      </c>
    </row>
    <row r="31916" spans="1:6" ht="15.75" customHeight="1">
      <c r="A31916" s="16" t="str">
        <f ca="1">IFERROR(__xludf.DUMMYFUNCTION("GOOGLETRANSLATE(B39818,""en"",""pt"")"),"Caransebeş")</f>
        <v>Caransebeş</v>
      </c>
      <c r="B31916" s="20" t="s">
        <v>35398</v>
      </c>
      <c r="C31916" s="20" t="s">
        <v>21824</v>
      </c>
      <c r="D31916" s="20" t="s">
        <v>35361</v>
      </c>
      <c r="E31916" s="10">
        <v>682729</v>
      </c>
      <c r="F31916" s="4" t="str">
        <f>IF(B31916=B31915,"",B31916)</f>
        <v>Caransebeş</v>
      </c>
    </row>
    <row r="31917" spans="1:6" ht="15.75" customHeight="1">
      <c r="A31917" s="16" t="s">
        <v>21888</v>
      </c>
      <c r="B31917" s="15" t="s">
        <v>21889</v>
      </c>
      <c r="C31917" s="16" t="s">
        <v>21824</v>
      </c>
      <c r="D31917" s="16" t="s">
        <v>21857</v>
      </c>
      <c r="E31917" s="2">
        <v>682729</v>
      </c>
      <c r="F31917" s="4" t="e">
        <f>IF(B31917=#REF!,"",B31917)</f>
        <v>#REF!</v>
      </c>
    </row>
    <row r="31918" spans="1:6" ht="15.75" customHeight="1">
      <c r="A31918" s="16" t="s">
        <v>2281</v>
      </c>
      <c r="B31918" s="15" t="s">
        <v>2281</v>
      </c>
      <c r="C31918" s="16" t="s">
        <v>1905</v>
      </c>
      <c r="D31918" s="16" t="s">
        <v>1917</v>
      </c>
      <c r="E31918" s="2">
        <v>3467012</v>
      </c>
      <c r="F31918" s="4" t="str">
        <f>IF(B31918=B31917,"",B31918)</f>
        <v>Carangola</v>
      </c>
    </row>
    <row r="31919" spans="1:6" ht="15.75" customHeight="1">
      <c r="A31919" s="16" t="str">
        <f ca="1">IFERROR(__xludf.DUMMYFUNCTION("GOOGLETRANSLATE(B25137,""en"",""pt"")"),"Carandaí")</f>
        <v>Carandaí</v>
      </c>
      <c r="B31919" s="20" t="s">
        <v>31687</v>
      </c>
      <c r="C31919" s="20" t="s">
        <v>1905</v>
      </c>
      <c r="D31919" s="20" t="s">
        <v>1917</v>
      </c>
      <c r="E31919" s="10">
        <v>3467026</v>
      </c>
      <c r="F31919" s="4" t="str">
        <f>IF(B31919=B31918,"",B31919)</f>
        <v>Carandaí</v>
      </c>
    </row>
    <row r="31920" spans="1:6" ht="15.75" customHeight="1">
      <c r="A31920" s="15" t="s">
        <v>2279</v>
      </c>
      <c r="B31920" s="15" t="s">
        <v>2280</v>
      </c>
      <c r="C31920" s="15" t="s">
        <v>1905</v>
      </c>
      <c r="D31920" s="15" t="s">
        <v>1917</v>
      </c>
      <c r="E31920" s="2">
        <v>3467026</v>
      </c>
      <c r="F31920" s="4" t="e">
        <f>IF(B31920=#REF!,"",B31920)</f>
        <v>#REF!</v>
      </c>
    </row>
    <row r="31921" spans="1:6" ht="15.75" customHeight="1">
      <c r="A31921" s="16" t="s">
        <v>2277</v>
      </c>
      <c r="B31921" s="15" t="s">
        <v>2278</v>
      </c>
      <c r="C31921" s="16" t="s">
        <v>1905</v>
      </c>
      <c r="D31921" s="16" t="s">
        <v>1914</v>
      </c>
      <c r="E31921" s="2">
        <v>3467081</v>
      </c>
      <c r="F31921" s="4" t="e">
        <f>IF(B31921=#REF!,"",B31921)</f>
        <v>#REF!</v>
      </c>
    </row>
    <row r="31922" spans="1:6" ht="15.75" customHeight="1">
      <c r="A31922" s="15" t="s">
        <v>30661</v>
      </c>
      <c r="B31922" s="15" t="s">
        <v>30661</v>
      </c>
      <c r="C31922" s="15" t="s">
        <v>5923</v>
      </c>
      <c r="D31922" s="15" t="s">
        <v>30662</v>
      </c>
      <c r="E31922" s="2">
        <v>3646738</v>
      </c>
      <c r="F31922" s="4" t="e">
        <f>IF(B31922=#REF!,"",B31922)</f>
        <v>#REF!</v>
      </c>
    </row>
    <row r="31923" spans="1:6" ht="15.75" customHeight="1">
      <c r="A31923" s="15" t="s">
        <v>21887</v>
      </c>
      <c r="B31923" s="15" t="s">
        <v>21887</v>
      </c>
      <c r="C31923" s="15" t="s">
        <v>21824</v>
      </c>
      <c r="D31923" s="15" t="s">
        <v>21850</v>
      </c>
      <c r="E31923" s="2">
        <v>682747</v>
      </c>
      <c r="F31923" s="4" t="e">
        <f>IF(B31923=#REF!,"",B31923)</f>
        <v>#REF!</v>
      </c>
    </row>
    <row r="31924" spans="1:6" ht="15.75" customHeight="1">
      <c r="A31924" s="16" t="s">
        <v>24377</v>
      </c>
      <c r="B31924" s="15" t="s">
        <v>24377</v>
      </c>
      <c r="C31924" s="16" t="s">
        <v>24200</v>
      </c>
      <c r="D31924" s="16" t="s">
        <v>5513</v>
      </c>
      <c r="E31924" s="2">
        <v>6544493</v>
      </c>
      <c r="F31924" s="4" t="e">
        <f>IF(B31924=#REF!,"",B31924)</f>
        <v>#REF!</v>
      </c>
    </row>
    <row r="31925" spans="1:6" ht="15.75" customHeight="1">
      <c r="A31925" s="16" t="s">
        <v>30658</v>
      </c>
      <c r="B31925" s="15" t="s">
        <v>30659</v>
      </c>
      <c r="C31925" s="16" t="s">
        <v>5923</v>
      </c>
      <c r="D31925" s="16" t="s">
        <v>30660</v>
      </c>
      <c r="E31925" s="2">
        <v>3646767</v>
      </c>
      <c r="F31925" s="4" t="e">
        <f>IF(B31925=#REF!,"",B31925)</f>
        <v>#REF!</v>
      </c>
    </row>
    <row r="31926" spans="1:6" ht="15.75" customHeight="1">
      <c r="A31926" s="16" t="s">
        <v>17800</v>
      </c>
      <c r="B31926" s="15" t="s">
        <v>17800</v>
      </c>
      <c r="C31926" s="16" t="s">
        <v>17707</v>
      </c>
      <c r="D31926" s="16" t="s">
        <v>17780</v>
      </c>
      <c r="E31926" s="2">
        <v>3531598</v>
      </c>
      <c r="F31926" s="4" t="e">
        <f>IF(B31926=#REF!,"",B31926)</f>
        <v>#REF!</v>
      </c>
    </row>
    <row r="31927" spans="1:6" ht="15.75" customHeight="1">
      <c r="A31927" s="15" t="s">
        <v>15019</v>
      </c>
      <c r="B31927" s="15" t="s">
        <v>15019</v>
      </c>
      <c r="C31927" s="15" t="s">
        <v>14891</v>
      </c>
      <c r="D31927" s="15" t="s">
        <v>14896</v>
      </c>
      <c r="E31927" s="2">
        <v>3180601</v>
      </c>
      <c r="F31927" s="4" t="e">
        <f>IF(B31927=#REF!,"",B31927)</f>
        <v>#REF!</v>
      </c>
    </row>
    <row r="31928" spans="1:6" ht="15.75" customHeight="1">
      <c r="A31928" s="15" t="s">
        <v>2276</v>
      </c>
      <c r="B31928" s="15" t="s">
        <v>2276</v>
      </c>
      <c r="C31928" s="15" t="s">
        <v>1905</v>
      </c>
      <c r="D31928" s="15" t="s">
        <v>1914</v>
      </c>
      <c r="E31928" s="2">
        <v>3467197</v>
      </c>
      <c r="F31928" s="4" t="str">
        <f>IF(B31928=B31927,"",B31928)</f>
        <v>Capivari</v>
      </c>
    </row>
    <row r="31929" spans="1:6" ht="15.75" customHeight="1">
      <c r="A31929" s="16" t="str">
        <f ca="1">IFERROR(__xludf.DUMMYFUNCTION("GOOGLETRANSLATE(B24360,""en"",""pt"")"),"Capitão Poço")</f>
        <v>Capitão Poço</v>
      </c>
      <c r="B31929" s="20" t="s">
        <v>31410</v>
      </c>
      <c r="C31929" s="20" t="s">
        <v>1905</v>
      </c>
      <c r="D31929" s="20" t="s">
        <v>31342</v>
      </c>
      <c r="E31929" s="10">
        <v>3403127</v>
      </c>
      <c r="F31929" s="4" t="str">
        <f>IF(B31929=B31928,"",B31929)</f>
        <v>Capitão Poço</v>
      </c>
    </row>
    <row r="31930" spans="1:6" ht="15.75" customHeight="1">
      <c r="A31930" s="16" t="str">
        <f ca="1">IFERROR(__xludf.DUMMYFUNCTION("GOOGLETRANSLATE(B23353,""en"",""pt"")"),"Capitán Bermúdez")</f>
        <v>Capitán Bermúdez</v>
      </c>
      <c r="B31930" s="20" t="s">
        <v>31216</v>
      </c>
      <c r="C31930" s="20" t="s">
        <v>558</v>
      </c>
      <c r="D31930" s="20" t="s">
        <v>579</v>
      </c>
      <c r="E31930" s="10">
        <v>3862738</v>
      </c>
      <c r="F31930" s="4" t="str">
        <f>IF(B31930=B31929,"",B31930)</f>
        <v>Capitán Bermúdez</v>
      </c>
    </row>
    <row r="31931" spans="1:6" ht="15.75" customHeight="1">
      <c r="A31931" s="16" t="s">
        <v>2274</v>
      </c>
      <c r="B31931" s="15" t="s">
        <v>2275</v>
      </c>
      <c r="C31931" s="16" t="s">
        <v>1905</v>
      </c>
      <c r="D31931" s="16" t="s">
        <v>1906</v>
      </c>
      <c r="E31931" s="2">
        <v>3403127</v>
      </c>
      <c r="F31931" s="4" t="str">
        <f>IF(B31931=B31930,"",B31931)</f>
        <v>CapitÃ£o PoÃ§o</v>
      </c>
    </row>
    <row r="31932" spans="1:6" ht="15.75" customHeight="1">
      <c r="A31932" s="16" t="s">
        <v>597</v>
      </c>
      <c r="B31932" s="15" t="s">
        <v>598</v>
      </c>
      <c r="C31932" s="16" t="s">
        <v>558</v>
      </c>
      <c r="D31932" s="16" t="s">
        <v>579</v>
      </c>
      <c r="E31932" s="2">
        <v>3862738</v>
      </c>
      <c r="F31932" s="4" t="e">
        <f>IF(B31932=#REF!,"",B31932)</f>
        <v>#REF!</v>
      </c>
    </row>
    <row r="31933" spans="1:6" ht="15.75" customHeight="1">
      <c r="A31933" s="15" t="s">
        <v>2273</v>
      </c>
      <c r="B31933" s="15" t="s">
        <v>2273</v>
      </c>
      <c r="C31933" s="15" t="s">
        <v>1905</v>
      </c>
      <c r="D31933" s="15" t="s">
        <v>2020</v>
      </c>
      <c r="E31933" s="2">
        <v>3467261</v>
      </c>
      <c r="F31933" s="4" t="e">
        <f>IF(B31933=#REF!,"",B31933)</f>
        <v>#REF!</v>
      </c>
    </row>
    <row r="31934" spans="1:6" ht="15.75" customHeight="1">
      <c r="A31934" s="16" t="s">
        <v>2272</v>
      </c>
      <c r="B31934" s="15" t="s">
        <v>2272</v>
      </c>
      <c r="C31934" s="16" t="s">
        <v>1905</v>
      </c>
      <c r="D31934" s="16" t="s">
        <v>1947</v>
      </c>
      <c r="E31934" s="2">
        <v>3467272</v>
      </c>
      <c r="F31934" s="4" t="str">
        <f>IF(B31934=B31933,"",B31934)</f>
        <v>Capim Grosso</v>
      </c>
    </row>
    <row r="31935" spans="1:6" ht="15.75" customHeight="1">
      <c r="A31935" s="15" t="s">
        <v>20441</v>
      </c>
      <c r="B31935" s="15" t="s">
        <v>20442</v>
      </c>
      <c r="C31935" s="15" t="s">
        <v>20433</v>
      </c>
      <c r="D31935" s="15" t="s">
        <v>1886</v>
      </c>
      <c r="E31935" s="2">
        <v>3439214</v>
      </c>
      <c r="F31935" s="4" t="str">
        <f>IF(B31935=B31934,"",B31935)</f>
        <v>CapiatÃ¡</v>
      </c>
    </row>
    <row r="31936" spans="1:6" ht="15.75" customHeight="1">
      <c r="A31936" s="16" t="str">
        <f ca="1">IFERROR(__xludf.DUMMYFUNCTION("GOOGLETRANSLATE(B39698,""en"",""pt"")"),"CAIATÁ")</f>
        <v>CAIATÁ</v>
      </c>
      <c r="B31936" s="20" t="s">
        <v>35320</v>
      </c>
      <c r="C31936" s="20" t="s">
        <v>20433</v>
      </c>
      <c r="D31936" s="20" t="s">
        <v>1886</v>
      </c>
      <c r="E31936" s="10">
        <v>3439214</v>
      </c>
      <c r="F31936" s="4" t="e">
        <f>IF(B31936=#REF!,"",B31936)</f>
        <v>#REF!</v>
      </c>
    </row>
    <row r="31937" spans="1:6" ht="15.75" customHeight="1">
      <c r="A31937" s="16" t="s">
        <v>9673</v>
      </c>
      <c r="B31937" s="15" t="s">
        <v>9673</v>
      </c>
      <c r="C31937" s="16" t="s">
        <v>9670</v>
      </c>
      <c r="D31937" s="16" t="s">
        <v>9670</v>
      </c>
      <c r="E31937" s="2">
        <v>3579585</v>
      </c>
      <c r="F31937" s="4" t="e">
        <f>IF(B31937=#REF!,"",B31937)</f>
        <v>#REF!</v>
      </c>
    </row>
    <row r="31938" spans="1:6" ht="15.75" customHeight="1">
      <c r="A31938" s="16" t="s">
        <v>18924</v>
      </c>
      <c r="B31938" s="15" t="s">
        <v>18925</v>
      </c>
      <c r="C31938" s="16" t="s">
        <v>18862</v>
      </c>
      <c r="D31938" s="16" t="s">
        <v>18868</v>
      </c>
      <c r="E31938" s="2">
        <v>2758012</v>
      </c>
      <c r="F31938" s="4" t="e">
        <f>IF(B31938=#REF!,"",B31938)</f>
        <v>#REF!</v>
      </c>
    </row>
    <row r="31939" spans="1:6" ht="15.75" customHeight="1">
      <c r="A31939" s="16" t="s">
        <v>2271</v>
      </c>
      <c r="B31939" s="15" t="s">
        <v>2271</v>
      </c>
      <c r="C31939" s="16" t="s">
        <v>1905</v>
      </c>
      <c r="D31939" s="16" t="s">
        <v>1917</v>
      </c>
      <c r="E31939" s="2">
        <v>3467305</v>
      </c>
      <c r="F31939" s="4" t="e">
        <f>IF(B31939=#REF!,"",B31939)</f>
        <v>#REF!</v>
      </c>
    </row>
    <row r="31940" spans="1:6" ht="15.75" customHeight="1">
      <c r="A31940" s="15" t="s">
        <v>2270</v>
      </c>
      <c r="B31940" s="15" t="s">
        <v>2270</v>
      </c>
      <c r="C31940" s="15" t="s">
        <v>1905</v>
      </c>
      <c r="D31940" s="15" t="s">
        <v>2002</v>
      </c>
      <c r="E31940" s="2">
        <v>3467319</v>
      </c>
      <c r="F31940" s="4" t="e">
        <f>IF(B31940=#REF!,"",B31940)</f>
        <v>#REF!</v>
      </c>
    </row>
    <row r="31941" spans="1:6" ht="15.75" customHeight="1">
      <c r="A31941" s="16" t="s">
        <v>23869</v>
      </c>
      <c r="B31941" s="15" t="s">
        <v>23870</v>
      </c>
      <c r="C31941" s="16" t="s">
        <v>23842</v>
      </c>
      <c r="D31941" s="16" t="s">
        <v>23847</v>
      </c>
      <c r="E31941" s="2">
        <v>3369157</v>
      </c>
      <c r="F31941" s="4" t="e">
        <f>IF(B31941=#REF!,"",B31941)</f>
        <v>#REF!</v>
      </c>
    </row>
    <row r="31942" spans="1:6" ht="15.75" customHeight="1">
      <c r="A31942" s="16" t="s">
        <v>28165</v>
      </c>
      <c r="B31942" s="15" t="s">
        <v>28165</v>
      </c>
      <c r="C31942" s="16" t="s">
        <v>27788</v>
      </c>
      <c r="D31942" s="16" t="s">
        <v>27806</v>
      </c>
      <c r="E31942" s="2">
        <v>4379966</v>
      </c>
      <c r="F31942" s="4" t="e">
        <f>IF(B31942=#REF!,"",B31942)</f>
        <v>#REF!</v>
      </c>
    </row>
    <row r="31943" spans="1:6" ht="15.75" customHeight="1">
      <c r="A31943" s="16" t="s">
        <v>28164</v>
      </c>
      <c r="B31943" s="15" t="s">
        <v>28164</v>
      </c>
      <c r="C31943" s="16" t="s">
        <v>27788</v>
      </c>
      <c r="D31943" s="16" t="s">
        <v>5468</v>
      </c>
      <c r="E31943" s="2">
        <v>4149962</v>
      </c>
      <c r="F31943" s="4" t="e">
        <f>IF(B31943=#REF!,"",B31943)</f>
        <v>#REF!</v>
      </c>
    </row>
    <row r="31944" spans="1:6" ht="15.75" customHeight="1">
      <c r="A31944" s="16" t="s">
        <v>9386</v>
      </c>
      <c r="B31944" s="15" t="s">
        <v>9387</v>
      </c>
      <c r="C31944" s="16" t="s">
        <v>9365</v>
      </c>
      <c r="D31944" s="16" t="s">
        <v>1886</v>
      </c>
      <c r="E31944" s="2">
        <v>2302357</v>
      </c>
      <c r="F31944" s="4" t="e">
        <f>IF(B31944=#REF!,"",B31944)</f>
        <v>#REF!</v>
      </c>
    </row>
    <row r="31945" spans="1:6" ht="15.75" customHeight="1">
      <c r="A31945" s="15" t="s">
        <v>20728</v>
      </c>
      <c r="B31945" s="15" t="s">
        <v>20728</v>
      </c>
      <c r="C31945" s="15" t="s">
        <v>20598</v>
      </c>
      <c r="D31945" s="15" t="s">
        <v>20599</v>
      </c>
      <c r="E31945" s="2">
        <v>1718722</v>
      </c>
      <c r="F31945" s="4" t="e">
        <f>IF(B31945=#REF!,"",B31945)</f>
        <v>#REF!</v>
      </c>
    </row>
    <row r="31946" spans="1:6" ht="15.75" customHeight="1">
      <c r="A31946" s="15" t="s">
        <v>21643</v>
      </c>
      <c r="B31946" s="15" t="s">
        <v>21643</v>
      </c>
      <c r="C31946" s="15" t="s">
        <v>21606</v>
      </c>
      <c r="D31946" s="15" t="s">
        <v>21620</v>
      </c>
      <c r="E31946" s="2">
        <v>2270229</v>
      </c>
      <c r="F31946" s="4" t="str">
        <f>IF(B31946=B31945,"",B31946)</f>
        <v>Caparica</v>
      </c>
    </row>
    <row r="31947" spans="1:6" ht="15.75" customHeight="1">
      <c r="A31947" s="16" t="str">
        <f ca="1">IFERROR(__xludf.DUMMYFUNCTION("GOOGLETRANSLATE(B25144,""en"",""pt"")"),"Capão da Canoa")</f>
        <v>Capão da Canoa</v>
      </c>
      <c r="B31947" s="20" t="s">
        <v>31688</v>
      </c>
      <c r="C31947" s="20" t="s">
        <v>1905</v>
      </c>
      <c r="D31947" s="20" t="s">
        <v>1951</v>
      </c>
      <c r="E31947" s="10">
        <v>3467362</v>
      </c>
      <c r="F31947" s="4" t="str">
        <f>IF(B31947=B31946,"",B31947)</f>
        <v>Capão da Canoa</v>
      </c>
    </row>
    <row r="31948" spans="1:6" ht="15.75" customHeight="1">
      <c r="A31948" s="16" t="str">
        <f ca="1">IFERROR(__xludf.DUMMYFUNCTION("GOOGLETRANSLATE(B25145,""en"",""pt"")"),"Capâo Bonito")</f>
        <v>Capâo Bonito</v>
      </c>
      <c r="B31948" s="20" t="s">
        <v>31689</v>
      </c>
      <c r="C31948" s="20" t="s">
        <v>1905</v>
      </c>
      <c r="D31948" s="20" t="s">
        <v>3354</v>
      </c>
      <c r="E31948" s="10">
        <v>3467371</v>
      </c>
      <c r="F31948" s="4" t="e">
        <f>IF(B31948=#REF!,"",B31948)</f>
        <v>#REF!</v>
      </c>
    </row>
    <row r="31949" spans="1:6" ht="15.75" customHeight="1">
      <c r="A31949" s="16" t="s">
        <v>15018</v>
      </c>
      <c r="B31949" s="15" t="s">
        <v>15018</v>
      </c>
      <c r="C31949" s="16" t="s">
        <v>14891</v>
      </c>
      <c r="D31949" s="16" t="s">
        <v>14943</v>
      </c>
      <c r="E31949" s="2">
        <v>3180733</v>
      </c>
      <c r="F31949" s="4" t="e">
        <f>IF(B31949=#REF!,"",B31949)</f>
        <v>#REF!</v>
      </c>
    </row>
    <row r="31950" spans="1:6" ht="15.75" customHeight="1">
      <c r="A31950" s="16" t="s">
        <v>2269</v>
      </c>
      <c r="B31950" s="15" t="s">
        <v>2269</v>
      </c>
      <c r="C31950" s="16" t="s">
        <v>1905</v>
      </c>
      <c r="D31950" s="16" t="s">
        <v>1906</v>
      </c>
      <c r="E31950" s="2">
        <v>3403208</v>
      </c>
      <c r="F31950" s="4" t="str">
        <f>IF(B31950=B31949,"",B31950)</f>
        <v>Capanema</v>
      </c>
    </row>
    <row r="31951" spans="1:6" ht="15.75" customHeight="1">
      <c r="A31951" s="16" t="s">
        <v>2267</v>
      </c>
      <c r="B31951" s="15" t="s">
        <v>2268</v>
      </c>
      <c r="C31951" s="16" t="s">
        <v>1905</v>
      </c>
      <c r="D31951" s="16" t="s">
        <v>1951</v>
      </c>
      <c r="E31951" s="2">
        <v>3467362</v>
      </c>
      <c r="F31951" s="4" t="str">
        <f>IF(B31951=B31950,"",B31951)</f>
        <v>CapÃ£o da Canoa</v>
      </c>
    </row>
    <row r="31952" spans="1:6" ht="15.75" customHeight="1">
      <c r="A31952" s="16" t="s">
        <v>2265</v>
      </c>
      <c r="B31952" s="15" t="s">
        <v>2266</v>
      </c>
      <c r="C31952" s="16" t="s">
        <v>1905</v>
      </c>
      <c r="D31952" s="16" t="s">
        <v>1914</v>
      </c>
      <c r="E31952" s="2">
        <v>3467371</v>
      </c>
      <c r="F31952" s="4" t="e">
        <f>IF(B31952=#REF!,"",B31952)</f>
        <v>#REF!</v>
      </c>
    </row>
    <row r="31953" spans="1:6" ht="15.75" customHeight="1">
      <c r="A31953" s="15" t="s">
        <v>4563</v>
      </c>
      <c r="B31953" s="15" t="s">
        <v>4563</v>
      </c>
      <c r="C31953" s="15" t="s">
        <v>4487</v>
      </c>
      <c r="D31953" s="15" t="s">
        <v>4499</v>
      </c>
      <c r="E31953" s="2">
        <v>1816026</v>
      </c>
      <c r="F31953" s="4" t="str">
        <f>IF(B31953=B31952,"",B31953)</f>
        <v>Caohe</v>
      </c>
    </row>
    <row r="31954" spans="1:6" ht="15.75" customHeight="1">
      <c r="A31954" s="15" t="s">
        <v>5408</v>
      </c>
      <c r="B31954" s="15" t="s">
        <v>5409</v>
      </c>
      <c r="C31954" s="15" t="s">
        <v>5348</v>
      </c>
      <c r="D31954" s="15" t="s">
        <v>5410</v>
      </c>
      <c r="E31954" s="2">
        <v>3685533</v>
      </c>
      <c r="F31954" s="4" t="str">
        <f>IF(B31954=B31953,"",B31954)</f>
        <v>CÃºcuta</v>
      </c>
    </row>
    <row r="31955" spans="1:6" ht="15.75" customHeight="1">
      <c r="A31955" s="15" t="s">
        <v>30656</v>
      </c>
      <c r="B31955" s="15" t="s">
        <v>30657</v>
      </c>
      <c r="C31955" s="15" t="s">
        <v>5923</v>
      </c>
      <c r="D31955" s="15" t="s">
        <v>30647</v>
      </c>
      <c r="E31955" s="2">
        <v>3644918</v>
      </c>
      <c r="F31955" s="4" t="str">
        <f>IF(B31955=B31954,"",B31955)</f>
        <v>CÃºa</v>
      </c>
    </row>
    <row r="31956" spans="1:6" ht="15.75" customHeight="1">
      <c r="A31956" s="16" t="s">
        <v>30831</v>
      </c>
      <c r="B31956" s="15" t="s">
        <v>30832</v>
      </c>
      <c r="C31956" s="16" t="s">
        <v>30784</v>
      </c>
      <c r="D31956" s="16" t="s">
        <v>30833</v>
      </c>
      <c r="E31956" s="2">
        <v>1586357</v>
      </c>
      <c r="F31956" s="4" t="str">
        <f>IF(B31956=B31955,"",B31956)</f>
        <v>Cáº©m Pháº£ Mines</v>
      </c>
    </row>
    <row r="31957" spans="1:6" ht="15.75" customHeight="1">
      <c r="A31957" s="16" t="s">
        <v>30829</v>
      </c>
      <c r="B31957" s="15" t="s">
        <v>30830</v>
      </c>
      <c r="C31957" s="16" t="s">
        <v>30784</v>
      </c>
      <c r="D31957" s="16" t="s">
        <v>30830</v>
      </c>
      <c r="E31957" s="2">
        <v>1586203</v>
      </c>
      <c r="F31957" s="4" t="str">
        <f>IF(B31957=B31956,"",B31957)</f>
        <v>Cáº§n ThÆ¡</v>
      </c>
    </row>
    <row r="31958" spans="1:6" ht="15.75" customHeight="1">
      <c r="A31958" s="16" t="s">
        <v>30826</v>
      </c>
      <c r="B31958" s="15" t="s">
        <v>30827</v>
      </c>
      <c r="C31958" s="16" t="s">
        <v>30784</v>
      </c>
      <c r="D31958" s="16" t="s">
        <v>30828</v>
      </c>
      <c r="E31958" s="2">
        <v>1586296</v>
      </c>
      <c r="F31958" s="4" t="str">
        <f>IF(B31958=B31957,"",B31958)</f>
        <v>Cáº§n Giuá»™c</v>
      </c>
    </row>
    <row r="31959" spans="1:6" ht="15.75" customHeight="1">
      <c r="A31959" s="16" t="s">
        <v>30824</v>
      </c>
      <c r="B31959" s="15" t="s">
        <v>30825</v>
      </c>
      <c r="C31959" s="16" t="s">
        <v>30784</v>
      </c>
      <c r="D31959" s="16" t="s">
        <v>30817</v>
      </c>
      <c r="E31959" s="2">
        <v>1586288</v>
      </c>
      <c r="F31959" s="4" t="str">
        <f>IF(B31959=B31958,"",B31959)</f>
        <v>Cáº§n Giá»</v>
      </c>
    </row>
    <row r="31960" spans="1:6" ht="15.75" customHeight="1">
      <c r="A31960" s="16" t="str">
        <f ca="1">IFERROR(__xludf.DUMMYFUNCTION("GOOGLETRANSLATE(B45774,""en"",""pt"")"),"Cao Lãnh")</f>
        <v>Cao Lãnh</v>
      </c>
      <c r="B31960" s="20" t="s">
        <v>36183</v>
      </c>
      <c r="C31960" s="20" t="s">
        <v>30784</v>
      </c>
      <c r="D31960" s="20" t="s">
        <v>36139</v>
      </c>
      <c r="E31960" s="10">
        <v>1586151</v>
      </c>
      <c r="F31960" s="4" t="str">
        <f>IF(B31960=B31959,"",B31960)</f>
        <v>Cao Lãnh</v>
      </c>
    </row>
    <row r="31961" spans="1:6" ht="15.75" customHeight="1">
      <c r="A31961" s="16" t="s">
        <v>30821</v>
      </c>
      <c r="B31961" s="15" t="s">
        <v>30822</v>
      </c>
      <c r="C31961" s="16" t="s">
        <v>30784</v>
      </c>
      <c r="D31961" s="16" t="s">
        <v>30823</v>
      </c>
      <c r="E31961" s="2">
        <v>1586151</v>
      </c>
      <c r="F31961" s="4" t="e">
        <f>IF(B31961=#REF!,"",B31961)</f>
        <v>#REF!</v>
      </c>
    </row>
    <row r="31962" spans="1:6" ht="15.75" customHeight="1">
      <c r="A31962" s="16" t="s">
        <v>28162</v>
      </c>
      <c r="B31962" s="15" t="s">
        <v>28163</v>
      </c>
      <c r="C31962" s="16" t="s">
        <v>27788</v>
      </c>
      <c r="D31962" s="16" t="s">
        <v>27792</v>
      </c>
      <c r="E31962" s="2">
        <v>4678901</v>
      </c>
      <c r="F31962" s="4" t="str">
        <f>IF(B31962=B31961,"",B31962)</f>
        <v>Canyon Lake</v>
      </c>
    </row>
    <row r="31963" spans="1:6" ht="15.75" customHeight="1">
      <c r="A31963" s="16" t="str">
        <f ca="1">IFERROR(__xludf.DUMMYFUNCTION("GOOGLETRANSLATE(B35013,""en"",""pt"")"),"Cantù")</f>
        <v>Cantù</v>
      </c>
      <c r="B31963" s="20" t="s">
        <v>34276</v>
      </c>
      <c r="C31963" s="20" t="s">
        <v>14891</v>
      </c>
      <c r="D31963" s="20" t="s">
        <v>14894</v>
      </c>
      <c r="E31963" s="10">
        <v>3180758</v>
      </c>
      <c r="F31963" s="4" t="e">
        <f>IF(B31963=#REF!,"",B31963)</f>
        <v>#REF!</v>
      </c>
    </row>
    <row r="31964" spans="1:6" ht="15.75" customHeight="1">
      <c r="A31964" s="16" t="s">
        <v>28160</v>
      </c>
      <c r="B31964" s="15" t="s">
        <v>28161</v>
      </c>
      <c r="C31964" s="16" t="s">
        <v>27788</v>
      </c>
      <c r="D31964" s="16" t="s">
        <v>5468</v>
      </c>
      <c r="E31964" s="2">
        <v>4149956</v>
      </c>
      <c r="F31964" s="4" t="e">
        <f>IF(B31964=#REF!,"",B31964)</f>
        <v>#REF!</v>
      </c>
    </row>
    <row r="31965" spans="1:6" ht="15.75" customHeight="1">
      <c r="A31965" s="15" t="s">
        <v>15016</v>
      </c>
      <c r="B31965" s="15" t="s">
        <v>28159</v>
      </c>
      <c r="C31965" s="15" t="s">
        <v>27788</v>
      </c>
      <c r="D31965" s="15" t="s">
        <v>7988</v>
      </c>
      <c r="E31965" s="2">
        <v>4186213</v>
      </c>
      <c r="F31965" s="4" t="e">
        <f>IF(B31965=#REF!,"",B31965)</f>
        <v>#REF!</v>
      </c>
    </row>
    <row r="31966" spans="1:6" ht="15.75" customHeight="1">
      <c r="A31966" s="16" t="s">
        <v>19170</v>
      </c>
      <c r="B31966" s="15" t="s">
        <v>19170</v>
      </c>
      <c r="C31966" s="16" t="s">
        <v>27234</v>
      </c>
      <c r="D31966" s="16" t="s">
        <v>27241</v>
      </c>
      <c r="E31966" s="2">
        <v>2653877</v>
      </c>
      <c r="F31966" s="4" t="e">
        <f>IF(B31966=#REF!,"",B31966)</f>
        <v>#REF!</v>
      </c>
    </row>
    <row r="31967" spans="1:6" ht="15.75" customHeight="1">
      <c r="A31967" s="15" t="s">
        <v>7210</v>
      </c>
      <c r="B31967" s="15" t="s">
        <v>7210</v>
      </c>
      <c r="C31967" s="15" t="s">
        <v>7052</v>
      </c>
      <c r="D31967" s="15" t="s">
        <v>7068</v>
      </c>
      <c r="E31967" s="2">
        <v>3028779</v>
      </c>
      <c r="F31967" s="4" t="e">
        <f>IF(B31967=#REF!,"",B31967)</f>
        <v>#REF!</v>
      </c>
    </row>
    <row r="31968" spans="1:6" ht="15.75" customHeight="1">
      <c r="A31968" s="15" t="s">
        <v>9710</v>
      </c>
      <c r="B31968" s="15" t="s">
        <v>9711</v>
      </c>
      <c r="C31968" s="15" t="s">
        <v>9700</v>
      </c>
      <c r="D31968" s="15" t="s">
        <v>9712</v>
      </c>
      <c r="E31968" s="2">
        <v>3599069</v>
      </c>
      <c r="F31968" s="4" t="e">
        <f>IF(B31968=#REF!,"",B31968)</f>
        <v>#REF!</v>
      </c>
    </row>
    <row r="31969" spans="1:6" ht="15.75" customHeight="1">
      <c r="A31969" s="15" t="s">
        <v>30654</v>
      </c>
      <c r="B31969" s="15" t="s">
        <v>30655</v>
      </c>
      <c r="C31969" s="15" t="s">
        <v>5923</v>
      </c>
      <c r="D31969" s="15" t="s">
        <v>30641</v>
      </c>
      <c r="E31969" s="2">
        <v>3646869</v>
      </c>
      <c r="F31969" s="4" t="str">
        <f>IF(B31969=B31968,"",B31969)</f>
        <v>Cantaura</v>
      </c>
    </row>
    <row r="31970" spans="1:6" ht="15.75" customHeight="1">
      <c r="A31970" s="15" t="s">
        <v>15016</v>
      </c>
      <c r="B31970" s="15" t="s">
        <v>15017</v>
      </c>
      <c r="C31970" s="15" t="s">
        <v>14891</v>
      </c>
      <c r="D31970" s="15" t="s">
        <v>14894</v>
      </c>
      <c r="E31970" s="2">
        <v>3180758</v>
      </c>
      <c r="F31970" s="4" t="e">
        <f>IF(B31970=#REF!,"",B31970)</f>
        <v>#REF!</v>
      </c>
    </row>
    <row r="31971" spans="1:6" ht="15.75" customHeight="1">
      <c r="A31971" s="16" t="s">
        <v>24376</v>
      </c>
      <c r="B31971" s="15" t="s">
        <v>24376</v>
      </c>
      <c r="C31971" s="16" t="s">
        <v>24200</v>
      </c>
      <c r="D31971" s="16" t="s">
        <v>24277</v>
      </c>
      <c r="E31971" s="2">
        <v>3126534</v>
      </c>
      <c r="F31971" s="4" t="e">
        <f>IF(B31971=#REF!,"",B31971)</f>
        <v>#REF!</v>
      </c>
    </row>
    <row r="31972" spans="1:6" ht="15.75" customHeight="1">
      <c r="A31972" s="16" t="s">
        <v>15015</v>
      </c>
      <c r="B31972" s="15" t="s">
        <v>15015</v>
      </c>
      <c r="C31972" s="16" t="s">
        <v>14891</v>
      </c>
      <c r="D31972" s="16" t="s">
        <v>14908</v>
      </c>
      <c r="E31972" s="2">
        <v>3180792</v>
      </c>
      <c r="F31972" s="4" t="str">
        <f>IF(B31972=B31971,"",B31972)</f>
        <v>Canosa di Puglia</v>
      </c>
    </row>
    <row r="31973" spans="1:6" ht="15.75" customHeight="1">
      <c r="A31973" s="16" t="str">
        <f ca="1">IFERROR(__xludf.DUMMYFUNCTION("GOOGLETRANSLATE(B45092,""en"",""pt"")"),"Cañon City")</f>
        <v>Cañon City</v>
      </c>
      <c r="B31973" s="20" t="s">
        <v>36051</v>
      </c>
      <c r="C31973" s="20" t="s">
        <v>27788</v>
      </c>
      <c r="D31973" s="20" t="s">
        <v>2341</v>
      </c>
      <c r="E31973" s="10">
        <v>5416005</v>
      </c>
      <c r="F31973" s="4" t="e">
        <f>IF(B31973=#REF!,"",B31973)</f>
        <v>#REF!</v>
      </c>
    </row>
    <row r="31974" spans="1:6" ht="15.75" customHeight="1">
      <c r="A31974" s="16" t="s">
        <v>2263</v>
      </c>
      <c r="B31974" s="15" t="s">
        <v>2264</v>
      </c>
      <c r="C31974" s="16" t="s">
        <v>1905</v>
      </c>
      <c r="D31974" s="16" t="s">
        <v>2020</v>
      </c>
      <c r="E31974" s="2">
        <v>3467452</v>
      </c>
      <c r="F31974" s="4" t="e">
        <f>IF(B31974=#REF!,"",B31974)</f>
        <v>#REF!</v>
      </c>
    </row>
    <row r="31975" spans="1:6" ht="15.75" customHeight="1">
      <c r="A31975" s="16" t="s">
        <v>28157</v>
      </c>
      <c r="B31975" s="15" t="s">
        <v>28158</v>
      </c>
      <c r="C31975" s="16" t="s">
        <v>27788</v>
      </c>
      <c r="D31975" s="16" t="s">
        <v>27801</v>
      </c>
      <c r="E31975" s="2">
        <v>5333913</v>
      </c>
      <c r="F31975" s="4" t="e">
        <f>IF(B31975=#REF!,"",B31975)</f>
        <v>#REF!</v>
      </c>
    </row>
    <row r="31976" spans="1:6" ht="15.75" customHeight="1">
      <c r="A31976" s="15" t="s">
        <v>2262</v>
      </c>
      <c r="B31976" s="15" t="s">
        <v>2262</v>
      </c>
      <c r="C31976" s="15" t="s">
        <v>1905</v>
      </c>
      <c r="D31976" s="15" t="s">
        <v>1951</v>
      </c>
      <c r="E31976" s="2">
        <v>3467467</v>
      </c>
      <c r="F31976" s="4" t="e">
        <f>IF(B31976=#REF!,"",B31976)</f>
        <v>#REF!</v>
      </c>
    </row>
    <row r="31977" spans="1:6" ht="15.75" customHeight="1">
      <c r="A31977" s="15" t="s">
        <v>27385</v>
      </c>
      <c r="B31977" s="15" t="s">
        <v>27385</v>
      </c>
      <c r="C31977" s="15" t="s">
        <v>27234</v>
      </c>
      <c r="D31977" s="15" t="s">
        <v>27241</v>
      </c>
      <c r="E31977" s="2">
        <v>2653883</v>
      </c>
      <c r="F31977" s="4" t="e">
        <f>IF(B31977=#REF!,"",B31977)</f>
        <v>#REF!</v>
      </c>
    </row>
    <row r="31978" spans="1:6" ht="15.75" customHeight="1">
      <c r="A31978" s="16" t="s">
        <v>932</v>
      </c>
      <c r="B31978" s="15" t="s">
        <v>932</v>
      </c>
      <c r="C31978" s="16" t="s">
        <v>885</v>
      </c>
      <c r="D31978" s="16" t="s">
        <v>889</v>
      </c>
      <c r="E31978" s="2">
        <v>7302631</v>
      </c>
      <c r="F31978" s="4" t="e">
        <f>IF(B31978=#REF!,"",B31978)</f>
        <v>#REF!</v>
      </c>
    </row>
    <row r="31979" spans="1:6" ht="15.75" customHeight="1">
      <c r="A31979" s="16" t="s">
        <v>10858</v>
      </c>
      <c r="B31979" s="15" t="s">
        <v>10859</v>
      </c>
      <c r="C31979" s="16" t="s">
        <v>10178</v>
      </c>
      <c r="D31979" s="16" t="s">
        <v>10201</v>
      </c>
      <c r="E31979" s="2">
        <v>1274984</v>
      </c>
      <c r="F31979" s="4" t="e">
        <f>IF(B31979=#REF!,"",B31979)</f>
        <v>#REF!</v>
      </c>
    </row>
    <row r="31980" spans="1:6" ht="15.75" customHeight="1">
      <c r="A31980" s="15" t="s">
        <v>7209</v>
      </c>
      <c r="B31980" s="15" t="s">
        <v>7209</v>
      </c>
      <c r="C31980" s="15" t="s">
        <v>7052</v>
      </c>
      <c r="D31980" s="15" t="s">
        <v>7087</v>
      </c>
      <c r="E31980" s="2">
        <v>3028808</v>
      </c>
      <c r="F31980" s="4" t="e">
        <f>IF(B31980=#REF!,"",B31980)</f>
        <v>#REF!</v>
      </c>
    </row>
    <row r="31981" spans="1:6" ht="15.75" customHeight="1">
      <c r="A31981" s="16" t="s">
        <v>10857</v>
      </c>
      <c r="B31981" s="15" t="s">
        <v>10857</v>
      </c>
      <c r="C31981" s="16" t="s">
        <v>10178</v>
      </c>
      <c r="D31981" s="16" t="s">
        <v>10246</v>
      </c>
      <c r="E31981" s="2">
        <v>1274987</v>
      </c>
      <c r="F31981" s="4" t="e">
        <f>IF(B31981=#REF!,"",B31981)</f>
        <v>#REF!</v>
      </c>
    </row>
    <row r="31982" spans="1:6" ht="15.75" customHeight="1">
      <c r="A31982" s="15" t="s">
        <v>20727</v>
      </c>
      <c r="B31982" s="15" t="s">
        <v>20727</v>
      </c>
      <c r="C31982" s="15" t="s">
        <v>20598</v>
      </c>
      <c r="D31982" s="15" t="s">
        <v>20622</v>
      </c>
      <c r="E31982" s="2">
        <v>1719053</v>
      </c>
      <c r="F31982" s="4" t="str">
        <f>IF(B31982=B31981,"",B31982)</f>
        <v>Canlaon</v>
      </c>
    </row>
    <row r="31983" spans="1:6" ht="15.75" customHeight="1">
      <c r="A31983" s="16" t="str">
        <f ca="1">IFERROR(__xludf.DUMMYFUNCTION("GOOGLETRANSLATE(B42239,""en"",""pt"")"),"Çankaya")</f>
        <v>Çankaya</v>
      </c>
      <c r="B31983" s="20" t="s">
        <v>35978</v>
      </c>
      <c r="C31983" s="20" t="s">
        <v>26201</v>
      </c>
      <c r="D31983" s="20" t="s">
        <v>26229</v>
      </c>
      <c r="E31983" s="10">
        <v>6955677</v>
      </c>
      <c r="F31983" s="4" t="str">
        <f>IF(B31983=B31982,"",B31983)</f>
        <v>Çankaya</v>
      </c>
    </row>
    <row r="31984" spans="1:6" ht="15.75" customHeight="1">
      <c r="A31984" s="16" t="str">
        <f ca="1">IFERROR(__xludf.DUMMYFUNCTION("GOOGLETRANSLATE(B24362,""en"",""pt"")"),"CanIndé")</f>
        <v>CanIndé</v>
      </c>
      <c r="B31984" s="20" t="s">
        <v>31411</v>
      </c>
      <c r="C31984" s="20" t="s">
        <v>1905</v>
      </c>
      <c r="D31984" s="20" t="s">
        <v>31345</v>
      </c>
      <c r="E31984" s="10">
        <v>3403353</v>
      </c>
      <c r="F31984" s="4" t="str">
        <f>IF(B31984=B31983,"",B31984)</f>
        <v>Canindé</v>
      </c>
    </row>
    <row r="31985" spans="1:6" ht="15.75" customHeight="1">
      <c r="A31985" s="16" t="s">
        <v>2260</v>
      </c>
      <c r="B31985" s="15" t="s">
        <v>2261</v>
      </c>
      <c r="C31985" s="16" t="s">
        <v>1905</v>
      </c>
      <c r="D31985" s="16" t="s">
        <v>1930</v>
      </c>
      <c r="E31985" s="2">
        <v>3403353</v>
      </c>
      <c r="F31985" s="4" t="e">
        <f>IF(B31985=#REF!,"",B31985)</f>
        <v>#REF!</v>
      </c>
    </row>
    <row r="31986" spans="1:6" ht="15.75" customHeight="1">
      <c r="A31986" s="15" t="s">
        <v>21642</v>
      </c>
      <c r="B31986" s="15" t="s">
        <v>21642</v>
      </c>
      <c r="C31986" s="15" t="s">
        <v>21606</v>
      </c>
      <c r="D31986" s="15" t="s">
        <v>21609</v>
      </c>
      <c r="E31986" s="2">
        <v>2741551</v>
      </c>
      <c r="F31986" s="4" t="str">
        <f>IF(B31986=B31985,"",B31986)</f>
        <v>Canidelo</v>
      </c>
    </row>
    <row r="31987" spans="1:6" ht="15.75" customHeight="1">
      <c r="A31987" s="16" t="str">
        <f ca="1">IFERROR(__xludf.DUMMYFUNCTION("GOOGLETRANSLATE(B34605,""en"",""pt"")"),"Canicattì")</f>
        <v>Canicattì</v>
      </c>
      <c r="B31987" s="20" t="s">
        <v>34267</v>
      </c>
      <c r="C31987" s="20" t="s">
        <v>14891</v>
      </c>
      <c r="D31987" s="20" t="s">
        <v>14899</v>
      </c>
      <c r="E31987" s="10">
        <v>2525405</v>
      </c>
      <c r="F31987" s="4" t="str">
        <f>IF(B31987=B31986,"",B31987)</f>
        <v>Canicattì</v>
      </c>
    </row>
    <row r="31988" spans="1:6" ht="15.75" customHeight="1">
      <c r="A31988" s="15" t="s">
        <v>15013</v>
      </c>
      <c r="B31988" s="15" t="s">
        <v>15014</v>
      </c>
      <c r="C31988" s="15" t="s">
        <v>14891</v>
      </c>
      <c r="D31988" s="15" t="s">
        <v>14899</v>
      </c>
      <c r="E31988" s="2">
        <v>2525405</v>
      </c>
      <c r="F31988" s="4" t="e">
        <f>IF(B31988=#REF!,"",B31988)</f>
        <v>#REF!</v>
      </c>
    </row>
    <row r="31989" spans="1:6" ht="15.75" customHeight="1">
      <c r="A31989" s="15" t="s">
        <v>4562</v>
      </c>
      <c r="B31989" s="15" t="s">
        <v>4562</v>
      </c>
      <c r="C31989" s="15" t="s">
        <v>4487</v>
      </c>
      <c r="D31989" s="15" t="s">
        <v>4529</v>
      </c>
      <c r="E31989" s="2">
        <v>1816080</v>
      </c>
      <c r="F31989" s="4" t="str">
        <f>IF(B31989=B31988,"",B31989)</f>
        <v>Cangzhou</v>
      </c>
    </row>
    <row r="31990" spans="1:6" ht="15.75" customHeight="1">
      <c r="A31990" s="16" t="str">
        <f ca="1">IFERROR(__xludf.DUMMYFUNCTION("GOOGLETRANSLATE(B25148,""en"",""pt"")"),"Canguçu")</f>
        <v>Canguçu</v>
      </c>
      <c r="B31990" s="20" t="s">
        <v>31690</v>
      </c>
      <c r="C31990" s="20" t="s">
        <v>1905</v>
      </c>
      <c r="D31990" s="20" t="s">
        <v>1951</v>
      </c>
      <c r="E31990" s="10">
        <v>3467512</v>
      </c>
      <c r="F31990" s="4" t="e">
        <f>IF(B31990=#REF!,"",B31990)</f>
        <v>#REF!</v>
      </c>
    </row>
    <row r="31991" spans="1:6" ht="15.75" customHeight="1">
      <c r="A31991" s="16" t="s">
        <v>2259</v>
      </c>
      <c r="B31991" s="15" t="s">
        <v>2259</v>
      </c>
      <c r="C31991" s="16" t="s">
        <v>1905</v>
      </c>
      <c r="D31991" s="16" t="s">
        <v>1922</v>
      </c>
      <c r="E31991" s="2">
        <v>3403362</v>
      </c>
      <c r="F31991" s="4" t="str">
        <f>IF(B31991=B31990,"",B31991)</f>
        <v>Canguaretama</v>
      </c>
    </row>
    <row r="31992" spans="1:6" ht="15.75" customHeight="1">
      <c r="A31992" s="16" t="s">
        <v>2257</v>
      </c>
      <c r="B31992" s="15" t="s">
        <v>2258</v>
      </c>
      <c r="C31992" s="16" t="s">
        <v>1905</v>
      </c>
      <c r="D31992" s="16" t="s">
        <v>1951</v>
      </c>
      <c r="E31992" s="2">
        <v>3467512</v>
      </c>
      <c r="F31992" s="4" t="e">
        <f>IF(B31992=#REF!,"",B31992)</f>
        <v>#REF!</v>
      </c>
    </row>
    <row r="31993" spans="1:6" ht="15.75" customHeight="1">
      <c r="A31993" s="16" t="s">
        <v>24374</v>
      </c>
      <c r="B31993" s="15" t="s">
        <v>24375</v>
      </c>
      <c r="C31993" s="16" t="s">
        <v>24200</v>
      </c>
      <c r="D31993" s="16" t="s">
        <v>24201</v>
      </c>
      <c r="E31993" s="2">
        <v>3126577</v>
      </c>
      <c r="F31993" s="4" t="str">
        <f>IF(B31993=B31992,"",B31993)</f>
        <v>Cangas do Morrazo</v>
      </c>
    </row>
    <row r="31994" spans="1:6" ht="15.75" customHeight="1">
      <c r="A31994" s="16" t="str">
        <f ca="1">IFERROR(__xludf.DUMMYFUNCTION("GOOGLETRANSLATE(B25968,""en"",""pt"")"),"Cañete")</f>
        <v>Cañete</v>
      </c>
      <c r="B31994" s="20" t="s">
        <v>31812</v>
      </c>
      <c r="C31994" s="20" t="s">
        <v>4355</v>
      </c>
      <c r="D31994" s="20" t="s">
        <v>31796</v>
      </c>
      <c r="E31994" s="10">
        <v>3896924</v>
      </c>
      <c r="F31994" s="4" t="e">
        <f>IF(B31994=#REF!,"",B31994)</f>
        <v>#REF!</v>
      </c>
    </row>
    <row r="31995" spans="1:6" ht="15.75" customHeight="1">
      <c r="A31995" s="16" t="s">
        <v>30473</v>
      </c>
      <c r="B31995" s="15" t="s">
        <v>30473</v>
      </c>
      <c r="C31995" s="16" t="s">
        <v>30472</v>
      </c>
      <c r="D31995" s="16" t="s">
        <v>30473</v>
      </c>
      <c r="E31995" s="2">
        <v>3443413</v>
      </c>
      <c r="F31995" s="4" t="e">
        <f>IF(B31995=#REF!,"",B31995)</f>
        <v>#REF!</v>
      </c>
    </row>
    <row r="31996" spans="1:6" ht="15.75" customHeight="1">
      <c r="A31996" s="15" t="s">
        <v>2256</v>
      </c>
      <c r="B31996" s="15" t="s">
        <v>2256</v>
      </c>
      <c r="C31996" s="15" t="s">
        <v>1905</v>
      </c>
      <c r="D31996" s="15" t="s">
        <v>1951</v>
      </c>
      <c r="E31996" s="2">
        <v>3467530</v>
      </c>
      <c r="F31996" s="4" t="e">
        <f>IF(B31996=#REF!,"",B31996)</f>
        <v>#REF!</v>
      </c>
    </row>
    <row r="31997" spans="1:6" ht="15.75" customHeight="1">
      <c r="A31997" s="16" t="s">
        <v>28155</v>
      </c>
      <c r="B31997" s="15" t="s">
        <v>28156</v>
      </c>
      <c r="C31997" s="16" t="s">
        <v>27788</v>
      </c>
      <c r="D31997" s="16" t="s">
        <v>7988</v>
      </c>
      <c r="E31997" s="2">
        <v>7260019</v>
      </c>
      <c r="F31997" s="4" t="str">
        <f>IF(B31997=B31996,"",B31997)</f>
        <v>Candler-McAfee</v>
      </c>
    </row>
    <row r="31998" spans="1:6" ht="15.75" customHeight="1">
      <c r="A31998" s="16" t="str">
        <f ca="1">IFERROR(__xludf.DUMMYFUNCTION("GOOGLETRANSLATE(B25150,""en"",""pt"")"),"Cândido Mota")</f>
        <v>Cândido Mota</v>
      </c>
      <c r="B31998" s="20" t="s">
        <v>31691</v>
      </c>
      <c r="C31998" s="20" t="s">
        <v>1905</v>
      </c>
      <c r="D31998" s="20" t="s">
        <v>3354</v>
      </c>
      <c r="E31998" s="10">
        <v>3467542</v>
      </c>
      <c r="F31998" s="4" t="e">
        <f>IF(B31998=#REF!,"",B31998)</f>
        <v>#REF!</v>
      </c>
    </row>
    <row r="31999" spans="1:6" ht="15.75" customHeight="1">
      <c r="A31999" s="15" t="s">
        <v>4015</v>
      </c>
      <c r="B31999" s="15" t="s">
        <v>4015</v>
      </c>
      <c r="C31999" s="15" t="s">
        <v>3975</v>
      </c>
      <c r="D31999" s="15" t="s">
        <v>3982</v>
      </c>
      <c r="E31999" s="2">
        <v>5914826</v>
      </c>
      <c r="F31999" s="4" t="e">
        <f>IF(B31999=#REF!,"",B31999)</f>
        <v>#REF!</v>
      </c>
    </row>
    <row r="32000" spans="1:6" ht="15.75" customHeight="1">
      <c r="A32000" s="16" t="s">
        <v>13874</v>
      </c>
      <c r="B32000" s="15" t="s">
        <v>13874</v>
      </c>
      <c r="C32000" s="16" t="s">
        <v>13800</v>
      </c>
      <c r="D32000" s="16" t="s">
        <v>13803</v>
      </c>
      <c r="E32000" s="2">
        <v>1630681</v>
      </c>
      <c r="F32000" s="4" t="str">
        <f>IF(B32000=B31999,"",B32000)</f>
        <v>Candi Prambanan</v>
      </c>
    </row>
    <row r="32001" spans="1:6" ht="15.75" customHeight="1">
      <c r="A32001" s="16" t="str">
        <f ca="1">IFERROR(__xludf.DUMMYFUNCTION("GOOGLETRANSLATE(B25151,""en"",""pt"")"),"Candelália")</f>
        <v>Candelália</v>
      </c>
      <c r="B32001" s="20" t="s">
        <v>31692</v>
      </c>
      <c r="C32001" s="20" t="s">
        <v>1905</v>
      </c>
      <c r="D32001" s="20" t="s">
        <v>1951</v>
      </c>
      <c r="E32001" s="10">
        <v>3467550</v>
      </c>
      <c r="F32001" s="4" t="e">
        <f>IF(B32001=#REF!,"",B32001)</f>
        <v>#REF!</v>
      </c>
    </row>
    <row r="32002" spans="1:6" ht="15.75" customHeight="1">
      <c r="A32002" s="16" t="s">
        <v>5407</v>
      </c>
      <c r="B32002" s="15" t="s">
        <v>5407</v>
      </c>
      <c r="C32002" s="16" t="s">
        <v>5348</v>
      </c>
      <c r="D32002" s="16" t="s">
        <v>5360</v>
      </c>
      <c r="E32002" s="2">
        <v>3687644</v>
      </c>
      <c r="F32002" s="4" t="str">
        <f>IF(B32002=B32001,"",B32002)</f>
        <v>Candelaria</v>
      </c>
    </row>
    <row r="32003" spans="1:6" ht="15.75" customHeight="1">
      <c r="A32003" s="15" t="s">
        <v>2254</v>
      </c>
      <c r="B32003" s="15" t="s">
        <v>2255</v>
      </c>
      <c r="C32003" s="15" t="s">
        <v>1905</v>
      </c>
      <c r="D32003" s="15" t="s">
        <v>1951</v>
      </c>
      <c r="E32003" s="2">
        <v>3467550</v>
      </c>
      <c r="F32003" s="4" t="e">
        <f>IF(B32003=#REF!,"",B32003)</f>
        <v>#REF!</v>
      </c>
    </row>
    <row r="32004" spans="1:6" ht="15.75" customHeight="1">
      <c r="A32004" s="15" t="s">
        <v>20726</v>
      </c>
      <c r="B32004" s="15" t="s">
        <v>20726</v>
      </c>
      <c r="C32004" s="15" t="s">
        <v>20598</v>
      </c>
      <c r="D32004" s="15" t="s">
        <v>20599</v>
      </c>
      <c r="E32004" s="2">
        <v>1719329</v>
      </c>
      <c r="F32004" s="4" t="str">
        <f>IF(B32004=B32003,"",B32004)</f>
        <v>Candaba</v>
      </c>
    </row>
    <row r="32005" spans="1:6" ht="15.75" customHeight="1">
      <c r="A32005" s="16" t="str">
        <f ca="1">IFERROR(__xludf.DUMMYFUNCTION("GOOGLETRANSLATE(B37082,""en"",""pt"")"),"Cancún")</f>
        <v>Cancún</v>
      </c>
      <c r="B32005" s="20" t="s">
        <v>34714</v>
      </c>
      <c r="C32005" s="20" t="s">
        <v>17707</v>
      </c>
      <c r="D32005" s="20" t="s">
        <v>17799</v>
      </c>
      <c r="E32005" s="10">
        <v>3531673</v>
      </c>
      <c r="F32005" s="4" t="str">
        <f>IF(B32005=B32004,"",B32005)</f>
        <v>Cancún</v>
      </c>
    </row>
    <row r="32006" spans="1:6" ht="15.75" customHeight="1">
      <c r="A32006" s="15" t="s">
        <v>17797</v>
      </c>
      <c r="B32006" s="15" t="s">
        <v>17798</v>
      </c>
      <c r="C32006" s="15" t="s">
        <v>17707</v>
      </c>
      <c r="D32006" s="15" t="s">
        <v>17799</v>
      </c>
      <c r="E32006" s="2">
        <v>3531673</v>
      </c>
      <c r="F32006" s="4" t="e">
        <f>IF(B32006=#REF!,"",B32006)</f>
        <v>#REF!</v>
      </c>
    </row>
    <row r="32007" spans="1:6" ht="15.75" customHeight="1">
      <c r="A32007" s="15" t="s">
        <v>28154</v>
      </c>
      <c r="B32007" s="15" t="s">
        <v>28154</v>
      </c>
      <c r="C32007" s="15" t="s">
        <v>27788</v>
      </c>
      <c r="D32007" s="15" t="s">
        <v>27820</v>
      </c>
      <c r="E32007" s="2">
        <v>5717758</v>
      </c>
      <c r="F32007" s="4" t="e">
        <f>IF(B32007=#REF!,"",B32007)</f>
        <v>#REF!</v>
      </c>
    </row>
    <row r="32008" spans="1:6" ht="15.75" customHeight="1">
      <c r="A32008" s="15" t="s">
        <v>930</v>
      </c>
      <c r="B32008" s="15" t="s">
        <v>930</v>
      </c>
      <c r="C32008" s="15" t="s">
        <v>885</v>
      </c>
      <c r="D32008" s="15" t="s">
        <v>931</v>
      </c>
      <c r="E32008" s="2">
        <v>2172517</v>
      </c>
      <c r="F32008" s="4" t="e">
        <f>IF(B32008=#REF!,"",B32008)</f>
        <v>#REF!</v>
      </c>
    </row>
    <row r="32009" spans="1:6" ht="15.75" customHeight="1">
      <c r="A32009" s="16" t="s">
        <v>2253</v>
      </c>
      <c r="B32009" s="15" t="s">
        <v>2253</v>
      </c>
      <c r="C32009" s="16" t="s">
        <v>1905</v>
      </c>
      <c r="D32009" s="16" t="s">
        <v>1947</v>
      </c>
      <c r="E32009" s="2">
        <v>3467577</v>
      </c>
      <c r="F32009" s="4" t="str">
        <f>IF(B32009=B32008,"",B32009)</f>
        <v>Canavieiras</v>
      </c>
    </row>
    <row r="32010" spans="1:6" ht="15.75" customHeight="1">
      <c r="A32010" s="16" t="str">
        <f ca="1">IFERROR(__xludf.DUMMYFUNCTION("GOOGLETRANSLATE(B27097,""en"",""pt"")"),"Cañas")</f>
        <v>Cañas</v>
      </c>
      <c r="B32010" s="20" t="s">
        <v>31899</v>
      </c>
      <c r="C32010" s="20" t="s">
        <v>5665</v>
      </c>
      <c r="D32010" s="20" t="s">
        <v>5671</v>
      </c>
      <c r="E32010" s="10">
        <v>3624468</v>
      </c>
      <c r="F32010" s="4" t="e">
        <f>IF(B32010=#REF!,"",B32010)</f>
        <v>#REF!</v>
      </c>
    </row>
    <row r="32011" spans="1:6" ht="15.75" customHeight="1">
      <c r="A32011" s="16" t="s">
        <v>27384</v>
      </c>
      <c r="B32011" s="15" t="s">
        <v>27384</v>
      </c>
      <c r="C32011" s="16" t="s">
        <v>27234</v>
      </c>
      <c r="D32011" s="16" t="s">
        <v>27241</v>
      </c>
      <c r="E32011" s="2">
        <v>6692280</v>
      </c>
      <c r="F32011" s="4" t="e">
        <f>IF(B32011=#REF!,"",B32011)</f>
        <v>#REF!</v>
      </c>
    </row>
    <row r="32012" spans="1:6" ht="15.75" customHeight="1">
      <c r="A32012" s="16" t="s">
        <v>17795</v>
      </c>
      <c r="B32012" s="15" t="s">
        <v>17796</v>
      </c>
      <c r="C32012" s="16" t="s">
        <v>17707</v>
      </c>
      <c r="D32012" s="16" t="s">
        <v>17732</v>
      </c>
      <c r="E32012" s="2">
        <v>4015700</v>
      </c>
      <c r="F32012" s="4" t="str">
        <f>IF(B32012=B32011,"",B32012)</f>
        <v>Cananea</v>
      </c>
    </row>
    <row r="32013" spans="1:6" ht="15.75" customHeight="1">
      <c r="A32013" s="16" t="str">
        <f ca="1">IFERROR(__xludf.DUMMYFUNCTION("GOOGLETRANSLATE(B42201,""en"",""pt"")"),"Çanakkale")</f>
        <v>Çanakkale</v>
      </c>
      <c r="B32013" s="20" t="s">
        <v>35959</v>
      </c>
      <c r="C32013" s="20" t="s">
        <v>26201</v>
      </c>
      <c r="D32013" s="20" t="s">
        <v>35876</v>
      </c>
      <c r="E32013" s="10">
        <v>749780</v>
      </c>
      <c r="F32013" s="4" t="str">
        <f>IF(B32013=B32012,"",B32013)</f>
        <v>Çanakkale</v>
      </c>
    </row>
    <row r="32014" spans="1:6" ht="15.75" customHeight="1">
      <c r="A32014" s="16" t="str">
        <f ca="1">IFERROR(__xludf.DUMMYFUNCTION("GOOGLETRANSLATE(B23354,""en"",""pt"")"),"Cañada de Gómez")</f>
        <v>Cañada de Gómez</v>
      </c>
      <c r="B32014" s="20" t="s">
        <v>31217</v>
      </c>
      <c r="C32014" s="20" t="s">
        <v>558</v>
      </c>
      <c r="D32014" s="20" t="s">
        <v>579</v>
      </c>
      <c r="E32014" s="10">
        <v>3862981</v>
      </c>
      <c r="F32014" s="4" t="str">
        <f>IF(B32014=B32013,"",B32014)</f>
        <v>Cañada de Gómez</v>
      </c>
    </row>
    <row r="32015" spans="1:6" ht="15.75" customHeight="1">
      <c r="A32015" s="16" t="str">
        <f ca="1">IFERROR(__xludf.DUMMYFUNCTION("GOOGLETRANSLATE(B45776,""en"",""pt"")"),"Cần thơ")</f>
        <v>Cần thơ</v>
      </c>
      <c r="B32015" s="20" t="s">
        <v>36186</v>
      </c>
      <c r="C32015" s="20" t="s">
        <v>30784</v>
      </c>
      <c r="D32015" s="20" t="s">
        <v>36186</v>
      </c>
      <c r="E32015" s="10">
        <v>1586203</v>
      </c>
      <c r="F32015" s="4" t="str">
        <f>IF(B32015=B32014,"",B32015)</f>
        <v>Cần Thơ</v>
      </c>
    </row>
    <row r="32016" spans="1:6" ht="15.75" customHeight="1">
      <c r="A32016" s="16" t="str">
        <f ca="1">IFERROR(__xludf.DUMMYFUNCTION("GOOGLETRANSLATE(B45778,""en"",""pt"")"),"Cần giuộc")</f>
        <v>Cần giuộc</v>
      </c>
      <c r="B32016" s="20" t="s">
        <v>36188</v>
      </c>
      <c r="C32016" s="20" t="s">
        <v>30784</v>
      </c>
      <c r="D32016" s="20" t="s">
        <v>30828</v>
      </c>
      <c r="E32016" s="10">
        <v>1586296</v>
      </c>
      <c r="F32016" s="4" t="str">
        <f>IF(B32016=B32015,"",B32016)</f>
        <v>Cần Giuộc</v>
      </c>
    </row>
    <row r="32017" spans="1:6" ht="15.75" customHeight="1">
      <c r="A32017" s="16" t="str">
        <f ca="1">IFERROR(__xludf.DUMMYFUNCTION("GOOGLETRANSLATE(B45777,""en"",""pt"")"),"Cần giờ")</f>
        <v>Cần giờ</v>
      </c>
      <c r="B32017" s="20" t="s">
        <v>36187</v>
      </c>
      <c r="C32017" s="20" t="s">
        <v>30784</v>
      </c>
      <c r="D32017" s="20" t="s">
        <v>30817</v>
      </c>
      <c r="E32017" s="10">
        <v>1586288</v>
      </c>
      <c r="F32017" s="4" t="str">
        <f>IF(B32017=B32016,"",B32017)</f>
        <v>Cần Giờ</v>
      </c>
    </row>
    <row r="32018" spans="1:6" ht="15.75" customHeight="1">
      <c r="A32018" s="16" t="str">
        <f ca="1">IFERROR(__xludf.DUMMYFUNCTION("GOOGLETRANSLATE(B42202,""en"",""pt"")"),"Pode")</f>
        <v>Pode</v>
      </c>
      <c r="B32018" s="20" t="s">
        <v>35960</v>
      </c>
      <c r="C32018" s="20" t="s">
        <v>26201</v>
      </c>
      <c r="D32018" s="20" t="s">
        <v>35876</v>
      </c>
      <c r="E32018" s="10">
        <v>749795</v>
      </c>
      <c r="F32018" s="4" t="e">
        <f>IF(B32018=#REF!,"",B32018)</f>
        <v>#REF!</v>
      </c>
    </row>
    <row r="32019" spans="1:6" ht="15.75" customHeight="1">
      <c r="A32019" s="15" t="s">
        <v>4014</v>
      </c>
      <c r="B32019" s="15" t="s">
        <v>4014</v>
      </c>
      <c r="C32019" s="15" t="s">
        <v>3975</v>
      </c>
      <c r="D32019" s="15" t="s">
        <v>3978</v>
      </c>
      <c r="E32019" s="2">
        <v>5914653</v>
      </c>
      <c r="F32019" s="4" t="str">
        <f>IF(B32019=B32018,"",B32019)</f>
        <v>Camrose</v>
      </c>
    </row>
    <row r="32020" spans="1:6" ht="15.75" customHeight="1">
      <c r="A32020" s="16" t="str">
        <f ca="1">IFERROR(__xludf.DUMMYFUNCTION("GOOGLETRANSLATE(B39813,""en"",""pt"")"),"Câmpulung Mollovesc")</f>
        <v>Câmpulung Mollovesc</v>
      </c>
      <c r="B32020" s="20" t="s">
        <v>35394</v>
      </c>
      <c r="C32020" s="20" t="s">
        <v>21824</v>
      </c>
      <c r="D32020" s="20" t="s">
        <v>21885</v>
      </c>
      <c r="E32020" s="10">
        <v>681845</v>
      </c>
      <c r="F32020" s="4" t="e">
        <f>IF(B32020=#REF!,"",B32020)</f>
        <v>#REF!</v>
      </c>
    </row>
    <row r="32021" spans="1:6" ht="15.75" customHeight="1">
      <c r="A32021" s="16" t="s">
        <v>2251</v>
      </c>
      <c r="B32021" s="15" t="s">
        <v>2252</v>
      </c>
      <c r="C32021" s="16" t="s">
        <v>1905</v>
      </c>
      <c r="D32021" s="16" t="s">
        <v>1930</v>
      </c>
      <c r="E32021" s="2">
        <v>3403534</v>
      </c>
      <c r="F32021" s="4" t="e">
        <f>IF(B32021=#REF!,"",B32021)</f>
        <v>#REF!</v>
      </c>
    </row>
    <row r="32022" spans="1:6" ht="15.75" customHeight="1">
      <c r="A32022" s="16" t="s">
        <v>2250</v>
      </c>
      <c r="B32022" s="15" t="s">
        <v>2250</v>
      </c>
      <c r="C32022" s="16" t="s">
        <v>1905</v>
      </c>
      <c r="D32022" s="16" t="s">
        <v>2020</v>
      </c>
      <c r="E32022" s="2">
        <v>3467677</v>
      </c>
      <c r="F32022" s="4" t="e">
        <f>IF(B32022=#REF!,"",B32022)</f>
        <v>#REF!</v>
      </c>
    </row>
    <row r="32023" spans="1:6" ht="15.75" customHeight="1">
      <c r="A32023" s="16" t="s">
        <v>2249</v>
      </c>
      <c r="B32023" s="15" t="s">
        <v>2249</v>
      </c>
      <c r="C32023" s="16" t="s">
        <v>1905</v>
      </c>
      <c r="D32023" s="16" t="s">
        <v>1917</v>
      </c>
      <c r="E32023" s="2">
        <v>3467680</v>
      </c>
      <c r="F32023" s="4" t="str">
        <f>IF(B32023=B32022,"",B32023)</f>
        <v>Campos Gerais</v>
      </c>
    </row>
    <row r="32024" spans="1:6" ht="15.75" customHeight="1">
      <c r="A32024" s="16" t="str">
        <f ca="1">IFERROR(__xludf.DUMMYFUNCTION("GOOGLETRANSLATE(B25156,""en"",""pt"")"),"Campos do Jordão")</f>
        <v>Campos do Jordão</v>
      </c>
      <c r="B32024" s="20" t="s">
        <v>31693</v>
      </c>
      <c r="C32024" s="20" t="s">
        <v>1905</v>
      </c>
      <c r="D32024" s="20" t="s">
        <v>3354</v>
      </c>
      <c r="E32024" s="10">
        <v>3467684</v>
      </c>
      <c r="F32024" s="4" t="str">
        <f>IF(B32024=B32023,"",B32024)</f>
        <v>Campos do Jordão</v>
      </c>
    </row>
    <row r="32025" spans="1:6" ht="15.75" customHeight="1">
      <c r="A32025" s="16" t="s">
        <v>2247</v>
      </c>
      <c r="B32025" s="15" t="s">
        <v>2248</v>
      </c>
      <c r="C32025" s="16" t="s">
        <v>1905</v>
      </c>
      <c r="D32025" s="16" t="s">
        <v>1914</v>
      </c>
      <c r="E32025" s="2">
        <v>3467684</v>
      </c>
      <c r="F32025" s="4" t="e">
        <f>IF(B32025=#REF!,"",B32025)</f>
        <v>#REF!</v>
      </c>
    </row>
    <row r="32026" spans="1:6" ht="15.75" customHeight="1">
      <c r="A32026" s="16" t="s">
        <v>2246</v>
      </c>
      <c r="B32026" s="15" t="s">
        <v>2246</v>
      </c>
      <c r="C32026" s="16" t="s">
        <v>1905</v>
      </c>
      <c r="D32026" s="16" t="s">
        <v>1969</v>
      </c>
      <c r="E32026" s="2">
        <v>3467687</v>
      </c>
      <c r="F32026" s="4" t="e">
        <f>IF(B32026=#REF!,"",B32026)</f>
        <v>#REF!</v>
      </c>
    </row>
    <row r="32027" spans="1:6" ht="15.75" customHeight="1">
      <c r="A32027" s="15" t="s">
        <v>2245</v>
      </c>
      <c r="B32027" s="15" t="s">
        <v>2245</v>
      </c>
      <c r="C32027" s="15" t="s">
        <v>1905</v>
      </c>
      <c r="D32027" s="15" t="s">
        <v>1978</v>
      </c>
      <c r="E32027" s="2">
        <v>3467693</v>
      </c>
      <c r="F32027" s="4" t="e">
        <f>IF(B32027=#REF!,"",B32027)</f>
        <v>#REF!</v>
      </c>
    </row>
    <row r="32028" spans="1:6" ht="15.75" customHeight="1">
      <c r="A32028" s="16" t="s">
        <v>15011</v>
      </c>
      <c r="B32028" s="15" t="s">
        <v>15011</v>
      </c>
      <c r="C32028" s="16" t="s">
        <v>14891</v>
      </c>
      <c r="D32028" s="16" t="s">
        <v>15012</v>
      </c>
      <c r="E32028" s="2">
        <v>3180991</v>
      </c>
      <c r="F32028" s="4" t="e">
        <f>IF(B32028=#REF!,"",B32028)</f>
        <v>#REF!</v>
      </c>
    </row>
    <row r="32029" spans="1:6" ht="15.75" customHeight="1">
      <c r="A32029" s="16" t="s">
        <v>5405</v>
      </c>
      <c r="B32029" s="15" t="s">
        <v>5405</v>
      </c>
      <c r="C32029" s="16" t="s">
        <v>5348</v>
      </c>
      <c r="D32029" s="16" t="s">
        <v>5406</v>
      </c>
      <c r="E32029" s="2">
        <v>3687806</v>
      </c>
      <c r="F32029" s="4" t="e">
        <f>IF(B32029=#REF!,"",B32029)</f>
        <v>#REF!</v>
      </c>
    </row>
    <row r="32030" spans="1:6" ht="15.75" customHeight="1">
      <c r="A32030" s="16" t="s">
        <v>2244</v>
      </c>
      <c r="B32030" s="15" t="s">
        <v>2244</v>
      </c>
      <c r="C32030" s="16" t="s">
        <v>1905</v>
      </c>
      <c r="D32030" s="16" t="s">
        <v>1973</v>
      </c>
      <c r="E32030" s="2">
        <v>3467673</v>
      </c>
      <c r="F32030" s="4" t="str">
        <f>IF(B32030=B32029,"",B32030)</f>
        <v>Campo Verde</v>
      </c>
    </row>
    <row r="32031" spans="1:6" ht="15.75" customHeight="1">
      <c r="A32031" s="16" t="str">
        <f ca="1">IFERROR(__xludf.DUMMYFUNCTION("GOOGLETRANSLATE(B25159,""en"",""pt"")"),"Campo Mourão")</f>
        <v>Campo Mourão</v>
      </c>
      <c r="B32031" s="20" t="s">
        <v>31694</v>
      </c>
      <c r="C32031" s="20" t="s">
        <v>1905</v>
      </c>
      <c r="D32031" s="20" t="s">
        <v>727</v>
      </c>
      <c r="E32031" s="10">
        <v>3467717</v>
      </c>
      <c r="F32031" s="4" t="str">
        <f>IF(B32031=B32030,"",B32031)</f>
        <v>Campo Mourão</v>
      </c>
    </row>
    <row r="32032" spans="1:6" ht="15.75" customHeight="1">
      <c r="A32032" s="16" t="s">
        <v>2242</v>
      </c>
      <c r="B32032" s="15" t="s">
        <v>2243</v>
      </c>
      <c r="C32032" s="16" t="s">
        <v>1905</v>
      </c>
      <c r="D32032" s="16" t="s">
        <v>728</v>
      </c>
      <c r="E32032" s="2">
        <v>3467717</v>
      </c>
      <c r="F32032" s="4" t="e">
        <f>IF(B32032=#REF!,"",B32032)</f>
        <v>#REF!</v>
      </c>
    </row>
    <row r="32033" spans="1:6" ht="15.75" customHeight="1">
      <c r="A32033" s="16" t="s">
        <v>2241</v>
      </c>
      <c r="B32033" s="15" t="s">
        <v>2241</v>
      </c>
      <c r="C32033" s="16" t="s">
        <v>1905</v>
      </c>
      <c r="D32033" s="16" t="s">
        <v>1960</v>
      </c>
      <c r="E32033" s="2">
        <v>3403566</v>
      </c>
      <c r="F32033" s="4" t="e">
        <f>IF(B32033=#REF!,"",B32033)</f>
        <v>#REF!</v>
      </c>
    </row>
    <row r="32034" spans="1:6" ht="15.75" customHeight="1">
      <c r="A32034" s="16" t="s">
        <v>2240</v>
      </c>
      <c r="B32034" s="15" t="s">
        <v>2240</v>
      </c>
      <c r="C32034" s="16" t="s">
        <v>1905</v>
      </c>
      <c r="D32034" s="16" t="s">
        <v>728</v>
      </c>
      <c r="E32034" s="2">
        <v>3467736</v>
      </c>
      <c r="F32034" s="4" t="e">
        <f>IF(B32034=#REF!,"",B32034)</f>
        <v>#REF!</v>
      </c>
    </row>
    <row r="32035" spans="1:6" ht="15.75" customHeight="1">
      <c r="A32035" s="16" t="s">
        <v>2239</v>
      </c>
      <c r="B32035" s="15" t="s">
        <v>2239</v>
      </c>
      <c r="C32035" s="16" t="s">
        <v>1905</v>
      </c>
      <c r="D32035" s="16" t="s">
        <v>1973</v>
      </c>
      <c r="E32035" s="2">
        <v>3467747</v>
      </c>
      <c r="F32035" s="4" t="e">
        <f>IF(B32035=#REF!,"",B32035)</f>
        <v>#REF!</v>
      </c>
    </row>
    <row r="32036" spans="1:6" ht="15.75" customHeight="1">
      <c r="A32036" s="16" t="s">
        <v>2238</v>
      </c>
      <c r="B32036" s="15" t="s">
        <v>2238</v>
      </c>
      <c r="C32036" s="16" t="s">
        <v>1905</v>
      </c>
      <c r="D32036" s="16" t="s">
        <v>1947</v>
      </c>
      <c r="E32036" s="2">
        <v>3467760</v>
      </c>
      <c r="F32036" s="4" t="e">
        <f>IF(B32036=#REF!,"",B32036)</f>
        <v>#REF!</v>
      </c>
    </row>
    <row r="32037" spans="1:6" ht="15.75" customHeight="1">
      <c r="A32037" s="16" t="s">
        <v>5404</v>
      </c>
      <c r="B32037" s="15" t="s">
        <v>5404</v>
      </c>
      <c r="C32037" s="16" t="s">
        <v>5348</v>
      </c>
      <c r="D32037" s="16" t="s">
        <v>5378</v>
      </c>
      <c r="E32037" s="2">
        <v>3687758</v>
      </c>
      <c r="F32037" s="4" t="e">
        <f>IF(B32037=#REF!,"",B32037)</f>
        <v>#REF!</v>
      </c>
    </row>
    <row r="32038" spans="1:6" ht="15.75" customHeight="1">
      <c r="A32038" s="16" t="s">
        <v>24373</v>
      </c>
      <c r="B32038" s="15" t="s">
        <v>24373</v>
      </c>
      <c r="C32038" s="16" t="s">
        <v>24200</v>
      </c>
      <c r="D32038" s="16" t="s">
        <v>24218</v>
      </c>
      <c r="E32038" s="2">
        <v>2520413</v>
      </c>
      <c r="F32038" s="4" t="e">
        <f>IF(B32038=#REF!,"",B32038)</f>
        <v>#REF!</v>
      </c>
    </row>
    <row r="32039" spans="1:6" ht="15.75" customHeight="1">
      <c r="A32039" s="16" t="s">
        <v>2237</v>
      </c>
      <c r="B32039" s="15" t="s">
        <v>2237</v>
      </c>
      <c r="C32039" s="16" t="s">
        <v>1905</v>
      </c>
      <c r="D32039" s="16" t="s">
        <v>1917</v>
      </c>
      <c r="E32039" s="2">
        <v>3467796</v>
      </c>
      <c r="F32039" s="4" t="e">
        <f>IF(B32039=#REF!,"",B32039)</f>
        <v>#REF!</v>
      </c>
    </row>
    <row r="32040" spans="1:6" ht="15.75" customHeight="1">
      <c r="A32040" s="16" t="s">
        <v>2236</v>
      </c>
      <c r="B32040" s="15" t="s">
        <v>2236</v>
      </c>
      <c r="C32040" s="16" t="s">
        <v>1905</v>
      </c>
      <c r="D32040" s="16" t="s">
        <v>2015</v>
      </c>
      <c r="E32040" s="2">
        <v>3403611</v>
      </c>
      <c r="F32040" s="4" t="e">
        <f>IF(B32040=#REF!,"",B32040)</f>
        <v>#REF!</v>
      </c>
    </row>
    <row r="32041" spans="1:6" ht="15.75" customHeight="1">
      <c r="A32041" s="15" t="s">
        <v>2235</v>
      </c>
      <c r="B32041" s="15" t="s">
        <v>2235</v>
      </c>
      <c r="C32041" s="15" t="s">
        <v>1905</v>
      </c>
      <c r="D32041" s="15" t="s">
        <v>1914</v>
      </c>
      <c r="E32041" s="2">
        <v>3467865</v>
      </c>
      <c r="F32041" s="4" t="e">
        <f>IF(B32041=#REF!,"",B32041)</f>
        <v>#REF!</v>
      </c>
    </row>
    <row r="32042" spans="1:6" ht="15.75" customHeight="1">
      <c r="A32042" s="16" t="s">
        <v>2234</v>
      </c>
      <c r="B32042" s="15" t="s">
        <v>2234</v>
      </c>
      <c r="C32042" s="16" t="s">
        <v>1905</v>
      </c>
      <c r="D32042" s="16" t="s">
        <v>728</v>
      </c>
      <c r="E32042" s="2">
        <v>3467877</v>
      </c>
      <c r="F32042" s="4" t="e">
        <f>IF(B32042=#REF!,"",B32042)</f>
        <v>#REF!</v>
      </c>
    </row>
    <row r="32043" spans="1:6" ht="15.75" customHeight="1">
      <c r="A32043" s="16" t="s">
        <v>2233</v>
      </c>
      <c r="B32043" s="15" t="s">
        <v>2233</v>
      </c>
      <c r="C32043" s="16" t="s">
        <v>1905</v>
      </c>
      <c r="D32043" s="16" t="s">
        <v>1944</v>
      </c>
      <c r="E32043" s="2">
        <v>3403642</v>
      </c>
      <c r="F32043" s="4" t="str">
        <f>IF(B32043=B32042,"",B32043)</f>
        <v>Campina Grande</v>
      </c>
    </row>
    <row r="32044" spans="1:6" ht="15.75" customHeight="1">
      <c r="A32044" s="16" t="str">
        <f ca="1">IFERROR(__xludf.DUMMYFUNCTION("GOOGLETRANSLATE(B39814,""en"",""pt"")"),"Câmpina")</f>
        <v>Câmpina</v>
      </c>
      <c r="B32044" s="20" t="s">
        <v>35395</v>
      </c>
      <c r="C32044" s="20" t="s">
        <v>21824</v>
      </c>
      <c r="D32044" s="20" t="s">
        <v>21840</v>
      </c>
      <c r="E32044" s="10">
        <v>681862</v>
      </c>
      <c r="F32044" s="4" t="str">
        <f>IF(B32044=B32043,"",B32044)</f>
        <v>Câmpina</v>
      </c>
    </row>
    <row r="32045" spans="1:6" ht="15.75" customHeight="1">
      <c r="A32045" s="16" t="str">
        <f ca="1">IFERROR(__xludf.DUMMYFUNCTION("GOOGLETRANSLATE(B29159,""en"",""pt"")"),"Campiña")</f>
        <v>Campiña</v>
      </c>
      <c r="B32045" s="20" t="s">
        <v>32391</v>
      </c>
      <c r="C32045" s="20" t="s">
        <v>24200</v>
      </c>
      <c r="D32045" s="20" t="s">
        <v>24205</v>
      </c>
      <c r="E32045" s="10">
        <v>2520425</v>
      </c>
      <c r="F32045" s="4" t="str">
        <f>IF(B32045=B32044,"",B32045)</f>
        <v>Campiña</v>
      </c>
    </row>
    <row r="32046" spans="1:6" ht="15.75" customHeight="1">
      <c r="A32046" s="16" t="s">
        <v>24371</v>
      </c>
      <c r="B32046" s="15" t="s">
        <v>24372</v>
      </c>
      <c r="C32046" s="16" t="s">
        <v>24200</v>
      </c>
      <c r="D32046" s="16" t="s">
        <v>24205</v>
      </c>
      <c r="E32046" s="2">
        <v>2520425</v>
      </c>
      <c r="F32046" s="4" t="str">
        <f>IF(B32046=B32045,"",B32046)</f>
        <v>CampiÃ±a</v>
      </c>
    </row>
    <row r="32047" spans="1:6" ht="15.75" customHeight="1">
      <c r="A32047" s="16" t="str">
        <f ca="1">IFERROR(__xludf.DUMMYFUNCTION("GOOGLETRANSLATE(B39815,""en"",""pt"")"),"Câmpia turzii")</f>
        <v>Câmpia turzii</v>
      </c>
      <c r="B32047" s="20" t="s">
        <v>35396</v>
      </c>
      <c r="C32047" s="20" t="s">
        <v>21824</v>
      </c>
      <c r="D32047" s="20" t="s">
        <v>21880</v>
      </c>
      <c r="E32047" s="10">
        <v>681865</v>
      </c>
      <c r="F32047" s="4" t="e">
        <f>IF(B32047=#REF!,"",B32047)</f>
        <v>#REF!</v>
      </c>
    </row>
    <row r="32048" spans="1:6" ht="15.75" customHeight="1">
      <c r="A32048" s="16" t="s">
        <v>15010</v>
      </c>
      <c r="B32048" s="15" t="s">
        <v>15010</v>
      </c>
      <c r="C32048" s="16" t="s">
        <v>14891</v>
      </c>
      <c r="D32048" s="16" t="s">
        <v>14943</v>
      </c>
      <c r="E32048" s="2">
        <v>3181018</v>
      </c>
      <c r="F32048" s="4" t="e">
        <f>IF(B32048=#REF!,"",B32048)</f>
        <v>#REF!</v>
      </c>
    </row>
    <row r="32049" spans="1:6" ht="15.75" customHeight="1">
      <c r="A32049" s="16" t="s">
        <v>5809</v>
      </c>
      <c r="B32049" s="15" t="s">
        <v>5810</v>
      </c>
      <c r="C32049" s="16" t="s">
        <v>5764</v>
      </c>
      <c r="D32049" s="16" t="s">
        <v>5788</v>
      </c>
      <c r="E32049" s="2">
        <v>3565951</v>
      </c>
      <c r="F32049" s="4" t="e">
        <f>IF(B32049=#REF!,"",B32049)</f>
        <v>#REF!</v>
      </c>
    </row>
    <row r="32050" spans="1:6" ht="15.75" customHeight="1">
      <c r="A32050" s="16" t="s">
        <v>17794</v>
      </c>
      <c r="B32050" s="15" t="s">
        <v>17794</v>
      </c>
      <c r="C32050" s="16" t="s">
        <v>17707</v>
      </c>
      <c r="D32050" s="16" t="s">
        <v>17794</v>
      </c>
      <c r="E32050" s="2">
        <v>3531732</v>
      </c>
      <c r="F32050" s="4" t="e">
        <f>IF(B32050=#REF!,"",B32050)</f>
        <v>#REF!</v>
      </c>
    </row>
    <row r="32051" spans="1:6" ht="15.75" customHeight="1">
      <c r="A32051" s="16" t="s">
        <v>4012</v>
      </c>
      <c r="B32051" s="15" t="s">
        <v>4013</v>
      </c>
      <c r="C32051" s="16" t="s">
        <v>3975</v>
      </c>
      <c r="D32051" s="16" t="s">
        <v>3976</v>
      </c>
      <c r="E32051" s="2">
        <v>5914132</v>
      </c>
      <c r="F32051" s="4" t="e">
        <f>IF(B32051=#REF!,"",B32051)</f>
        <v>#REF!</v>
      </c>
    </row>
    <row r="32052" spans="1:6" ht="15.75" customHeight="1">
      <c r="A32052" s="15" t="s">
        <v>28153</v>
      </c>
      <c r="B32052" s="15" t="s">
        <v>28153</v>
      </c>
      <c r="C32052" s="15" t="s">
        <v>27788</v>
      </c>
      <c r="D32052" s="15" t="s">
        <v>27801</v>
      </c>
      <c r="E32052" s="2">
        <v>5333689</v>
      </c>
      <c r="F32052" s="4" t="e">
        <f>IF(B32052=#REF!,"",B32052)</f>
        <v>#REF!</v>
      </c>
    </row>
    <row r="32053" spans="1:6" ht="15.75" customHeight="1">
      <c r="A32053" s="15" t="s">
        <v>596</v>
      </c>
      <c r="B32053" s="15" t="s">
        <v>596</v>
      </c>
      <c r="C32053" s="15" t="s">
        <v>558</v>
      </c>
      <c r="D32053" s="15" t="s">
        <v>562</v>
      </c>
      <c r="E32053" s="2">
        <v>3435810</v>
      </c>
      <c r="F32053" s="4" t="e">
        <f>IF(B32053=#REF!,"",B32053)</f>
        <v>#REF!</v>
      </c>
    </row>
    <row r="32054" spans="1:6" ht="15.75" customHeight="1">
      <c r="A32054" s="16" t="s">
        <v>28152</v>
      </c>
      <c r="B32054" s="15" t="s">
        <v>28152</v>
      </c>
      <c r="C32054" s="16" t="s">
        <v>27788</v>
      </c>
      <c r="D32054" s="16" t="s">
        <v>17061</v>
      </c>
      <c r="E32054" s="2">
        <v>4350288</v>
      </c>
      <c r="F32054" s="4" t="e">
        <f>IF(B32054=#REF!,"",B32054)</f>
        <v>#REF!</v>
      </c>
    </row>
    <row r="32055" spans="1:6" ht="15.75" customHeight="1">
      <c r="A32055" s="15" t="s">
        <v>2232</v>
      </c>
      <c r="B32055" s="15" t="s">
        <v>2232</v>
      </c>
      <c r="C32055" s="15" t="s">
        <v>1905</v>
      </c>
      <c r="D32055" s="15" t="s">
        <v>1930</v>
      </c>
      <c r="E32055" s="2">
        <v>3403687</v>
      </c>
      <c r="F32055" s="4" t="e">
        <f>IF(B32055=#REF!,"",B32055)</f>
        <v>#REF!</v>
      </c>
    </row>
    <row r="32056" spans="1:6" ht="15.75" customHeight="1">
      <c r="A32056" s="15" t="s">
        <v>19220</v>
      </c>
      <c r="B32056" s="15" t="s">
        <v>19220</v>
      </c>
      <c r="C32056" s="15" t="s">
        <v>19217</v>
      </c>
      <c r="D32056" s="15" t="s">
        <v>19219</v>
      </c>
      <c r="E32056" s="2">
        <v>3620544</v>
      </c>
      <c r="F32056" s="4" t="e">
        <f>IF(B32056=#REF!,"",B32056)</f>
        <v>#REF!</v>
      </c>
    </row>
    <row r="32057" spans="1:6" ht="15.75" customHeight="1">
      <c r="A32057" s="15" t="s">
        <v>1805</v>
      </c>
      <c r="B32057" s="15" t="s">
        <v>1805</v>
      </c>
      <c r="C32057" s="15" t="s">
        <v>1806</v>
      </c>
      <c r="D32057" s="15" t="s">
        <v>595</v>
      </c>
      <c r="E32057" s="2">
        <v>3922414</v>
      </c>
      <c r="F32057" s="4" t="e">
        <f>IF(B32057=#REF!,"",B32057)</f>
        <v>#REF!</v>
      </c>
    </row>
    <row r="32058" spans="1:6" ht="15.75" customHeight="1">
      <c r="A32058" s="15" t="s">
        <v>20725</v>
      </c>
      <c r="B32058" s="15" t="s">
        <v>20725</v>
      </c>
      <c r="C32058" s="15" t="s">
        <v>20598</v>
      </c>
      <c r="D32058" s="15" t="s">
        <v>20599</v>
      </c>
      <c r="E32058" s="2">
        <v>1719683</v>
      </c>
      <c r="F32058" s="4" t="str">
        <f>IF(B32058=B32057,"",B32058)</f>
        <v>Camiling</v>
      </c>
    </row>
    <row r="32059" spans="1:6" ht="15.75" customHeight="1">
      <c r="A32059" s="15" t="s">
        <v>2230</v>
      </c>
      <c r="B32059" s="15" t="s">
        <v>2231</v>
      </c>
      <c r="C32059" s="15" t="s">
        <v>1905</v>
      </c>
      <c r="D32059" s="15" t="s">
        <v>1906</v>
      </c>
      <c r="E32059" s="2">
        <v>3403697</v>
      </c>
      <c r="F32059" s="4" t="str">
        <f>IF(B32059=B32058,"",B32059)</f>
        <v>CametÃ¡</v>
      </c>
    </row>
    <row r="32060" spans="1:6" ht="15.75" customHeight="1">
      <c r="A32060" s="16" t="str">
        <f ca="1">IFERROR(__xludf.DUMMYFUNCTION("GOOGLETRANSLATE(B24369,""en"",""pt"")"),"CAMETÁ")</f>
        <v>CAMETÁ</v>
      </c>
      <c r="B32060" s="20" t="s">
        <v>31412</v>
      </c>
      <c r="C32060" s="20" t="s">
        <v>1905</v>
      </c>
      <c r="D32060" s="20" t="s">
        <v>31342</v>
      </c>
      <c r="E32060" s="10">
        <v>3403697</v>
      </c>
      <c r="F32060" s="4" t="e">
        <f>IF(B32060=#REF!,"",B32060)</f>
        <v>#REF!</v>
      </c>
    </row>
    <row r="32061" spans="1:6" ht="15.75" customHeight="1">
      <c r="A32061" s="16" t="s">
        <v>28150</v>
      </c>
      <c r="B32061" s="15" t="s">
        <v>28151</v>
      </c>
      <c r="C32061" s="16" t="s">
        <v>27788</v>
      </c>
      <c r="D32061" s="16" t="s">
        <v>27801</v>
      </c>
      <c r="E32061" s="2">
        <v>5333282</v>
      </c>
      <c r="F32061" s="4" t="e">
        <f>IF(B32061=#REF!,"",B32061)</f>
        <v>#REF!</v>
      </c>
    </row>
    <row r="32062" spans="1:6" ht="15.75" customHeight="1">
      <c r="A32062" s="16" t="s">
        <v>27382</v>
      </c>
      <c r="B32062" s="15" t="s">
        <v>27383</v>
      </c>
      <c r="C32062" s="16" t="s">
        <v>27234</v>
      </c>
      <c r="D32062" s="16" t="s">
        <v>27241</v>
      </c>
      <c r="E32062" s="2">
        <v>3345437</v>
      </c>
      <c r="F32062" s="4" t="e">
        <f>IF(B32062=#REF!,"",B32062)</f>
        <v>#REF!</v>
      </c>
    </row>
    <row r="32063" spans="1:6" ht="15.75" customHeight="1">
      <c r="A32063" s="15" t="s">
        <v>28149</v>
      </c>
      <c r="B32063" s="15" t="s">
        <v>28149</v>
      </c>
      <c r="C32063" s="15" t="s">
        <v>27788</v>
      </c>
      <c r="D32063" s="15" t="s">
        <v>27905</v>
      </c>
      <c r="E32063" s="2">
        <v>4501018</v>
      </c>
      <c r="F32063" s="4" t="str">
        <f>IF(B32063=B32062,"",B32063)</f>
        <v>Camden</v>
      </c>
    </row>
    <row r="32064" spans="1:6" ht="15.75" customHeight="1">
      <c r="A32064" s="16" t="str">
        <f ca="1">IFERROR(__xludf.DUMMYFUNCTION("GOOGLETRANSLATE(B25166,""en"",""pt"")"),"Cambuí")</f>
        <v>Cambuí</v>
      </c>
      <c r="B32064" s="20" t="s">
        <v>31695</v>
      </c>
      <c r="C32064" s="20" t="s">
        <v>1905</v>
      </c>
      <c r="D32064" s="20" t="s">
        <v>1917</v>
      </c>
      <c r="E32064" s="10">
        <v>3467956</v>
      </c>
      <c r="F32064" s="4" t="str">
        <f>IF(B32064=B32063,"",B32064)</f>
        <v>Cambuí</v>
      </c>
    </row>
    <row r="32065" spans="1:6" ht="15.75" customHeight="1">
      <c r="A32065" s="15" t="s">
        <v>2228</v>
      </c>
      <c r="B32065" s="15" t="s">
        <v>2229</v>
      </c>
      <c r="C32065" s="15" t="s">
        <v>1905</v>
      </c>
      <c r="D32065" s="15" t="s">
        <v>1917</v>
      </c>
      <c r="E32065" s="2">
        <v>3467956</v>
      </c>
      <c r="F32065" s="4" t="e">
        <f>IF(B32065=#REF!,"",B32065)</f>
        <v>#REF!</v>
      </c>
    </row>
    <row r="32066" spans="1:6" ht="15.75" customHeight="1">
      <c r="A32066" s="15" t="s">
        <v>24370</v>
      </c>
      <c r="B32066" s="15" t="s">
        <v>24370</v>
      </c>
      <c r="C32066" s="15" t="s">
        <v>24200</v>
      </c>
      <c r="D32066" s="15" t="s">
        <v>24277</v>
      </c>
      <c r="E32066" s="2">
        <v>3126888</v>
      </c>
      <c r="F32066" s="4" t="e">
        <f>IF(B32066=#REF!,"",B32066)</f>
        <v>#REF!</v>
      </c>
    </row>
    <row r="32067" spans="1:6" ht="15.75" customHeight="1">
      <c r="A32067" s="16" t="s">
        <v>4011</v>
      </c>
      <c r="B32067" s="15" t="s">
        <v>4011</v>
      </c>
      <c r="C32067" s="16" t="s">
        <v>3975</v>
      </c>
      <c r="D32067" s="16" t="s">
        <v>3980</v>
      </c>
      <c r="E32067" s="2">
        <v>5913695</v>
      </c>
      <c r="F32067" s="4" t="e">
        <f>IF(B32067=#REF!,"",B32067)</f>
        <v>#REF!</v>
      </c>
    </row>
    <row r="32068" spans="1:6" ht="15.75" customHeight="1">
      <c r="A32068" s="15" t="s">
        <v>24369</v>
      </c>
      <c r="B32068" s="15" t="s">
        <v>24369</v>
      </c>
      <c r="C32068" s="15" t="s">
        <v>24200</v>
      </c>
      <c r="D32068" s="15" t="s">
        <v>24201</v>
      </c>
      <c r="E32068" s="2">
        <v>3126890</v>
      </c>
      <c r="F32068" s="4" t="e">
        <f>IF(B32068=#REF!,"",B32068)</f>
        <v>#REF!</v>
      </c>
    </row>
    <row r="32069" spans="1:6" ht="15.75" customHeight="1">
      <c r="A32069" s="15" t="s">
        <v>7208</v>
      </c>
      <c r="B32069" s="15" t="s">
        <v>7208</v>
      </c>
      <c r="C32069" s="15" t="s">
        <v>7052</v>
      </c>
      <c r="D32069" s="15" t="s">
        <v>7078</v>
      </c>
      <c r="E32069" s="2">
        <v>3029030</v>
      </c>
      <c r="F32069" s="4" t="e">
        <f>IF(B32069=#REF!,"",B32069)</f>
        <v>#REF!</v>
      </c>
    </row>
    <row r="32070" spans="1:6" ht="15.75" customHeight="1">
      <c r="A32070" s="16" t="s">
        <v>27381</v>
      </c>
      <c r="B32070" s="15" t="s">
        <v>27381</v>
      </c>
      <c r="C32070" s="16" t="s">
        <v>27234</v>
      </c>
      <c r="D32070" s="16" t="s">
        <v>27241</v>
      </c>
      <c r="E32070" s="2">
        <v>2653945</v>
      </c>
      <c r="F32070" s="4" t="e">
        <f>IF(B32070=#REF!,"",B32070)</f>
        <v>#REF!</v>
      </c>
    </row>
    <row r="32071" spans="1:6" ht="15.75" customHeight="1">
      <c r="A32071" s="16" t="s">
        <v>929</v>
      </c>
      <c r="B32071" s="15" t="s">
        <v>929</v>
      </c>
      <c r="C32071" s="16" t="s">
        <v>885</v>
      </c>
      <c r="D32071" s="16" t="s">
        <v>827</v>
      </c>
      <c r="E32071" s="2">
        <v>2172686</v>
      </c>
      <c r="F32071" s="4" t="e">
        <f>IF(B32071=#REF!,"",B32071)</f>
        <v>#REF!</v>
      </c>
    </row>
    <row r="32072" spans="1:6" ht="15.75" customHeight="1">
      <c r="A32072" s="16" t="s">
        <v>27380</v>
      </c>
      <c r="B32072" s="15" t="s">
        <v>27380</v>
      </c>
      <c r="C32072" s="16" t="s">
        <v>27234</v>
      </c>
      <c r="D32072" s="16" t="s">
        <v>27241</v>
      </c>
      <c r="E32072" s="2">
        <v>2653947</v>
      </c>
      <c r="F32072" s="4" t="e">
        <f>IF(B32072=#REF!,"",B32072)</f>
        <v>#REF!</v>
      </c>
    </row>
    <row r="32073" spans="1:6" ht="15.75" customHeight="1">
      <c r="A32073" s="16" t="s">
        <v>2226</v>
      </c>
      <c r="B32073" s="15" t="s">
        <v>2227</v>
      </c>
      <c r="C32073" s="16" t="s">
        <v>1905</v>
      </c>
      <c r="D32073" s="16" t="s">
        <v>1930</v>
      </c>
      <c r="E32073" s="2">
        <v>6693804</v>
      </c>
      <c r="F32073" s="4" t="str">
        <f>IF(B32073=B32072,"",B32073)</f>
        <v>Cambebba</v>
      </c>
    </row>
    <row r="32074" spans="1:6" ht="15.75" customHeight="1">
      <c r="A32074" s="16" t="str">
        <f ca="1">IFERROR(__xludf.DUMMYFUNCTION("GOOGLETRANSLATE(B25167,""en"",""pt"")"),"Cambé")</f>
        <v>Cambé</v>
      </c>
      <c r="B32074" s="20" t="s">
        <v>31696</v>
      </c>
      <c r="C32074" s="20" t="s">
        <v>1905</v>
      </c>
      <c r="D32074" s="20" t="s">
        <v>727</v>
      </c>
      <c r="E32074" s="10">
        <v>3467978</v>
      </c>
      <c r="F32074" s="4" t="str">
        <f>IF(B32074=B32073,"",B32074)</f>
        <v>Cambé</v>
      </c>
    </row>
    <row r="32075" spans="1:6" ht="15.75" customHeight="1">
      <c r="A32075" s="15" t="s">
        <v>2224</v>
      </c>
      <c r="B32075" s="15" t="s">
        <v>2225</v>
      </c>
      <c r="C32075" s="15" t="s">
        <v>1905</v>
      </c>
      <c r="D32075" s="15" t="s">
        <v>728</v>
      </c>
      <c r="E32075" s="2">
        <v>3467985</v>
      </c>
      <c r="F32075" s="4" t="str">
        <f>IF(B32075=B32074,"",B32075)</f>
        <v>CambarÃ¡</v>
      </c>
    </row>
    <row r="32076" spans="1:6" ht="15.75" customHeight="1">
      <c r="A32076" s="16" t="str">
        <f ca="1">IFERROR(__xludf.DUMMYFUNCTION("GOOGLETRANSLATE(B25168,""en"",""pt"")"),"Cambará")</f>
        <v>Cambará</v>
      </c>
      <c r="B32076" s="20" t="s">
        <v>2224</v>
      </c>
      <c r="C32076" s="20" t="s">
        <v>1905</v>
      </c>
      <c r="D32076" s="20" t="s">
        <v>727</v>
      </c>
      <c r="E32076" s="10">
        <v>3467985</v>
      </c>
      <c r="F32076" s="4" t="str">
        <f>IF(B32076=B32075,"",B32076)</f>
        <v>Cambará</v>
      </c>
    </row>
    <row r="32077" spans="1:6" ht="15.75" customHeight="1">
      <c r="A32077" s="15" t="s">
        <v>2222</v>
      </c>
      <c r="B32077" s="15" t="s">
        <v>2223</v>
      </c>
      <c r="C32077" s="15" t="s">
        <v>1905</v>
      </c>
      <c r="D32077" s="15" t="s">
        <v>728</v>
      </c>
      <c r="E32077" s="2">
        <v>3467978</v>
      </c>
      <c r="F32077" s="4" t="e">
        <f>IF(B32077=#REF!,"",B32077)</f>
        <v>#REF!</v>
      </c>
    </row>
    <row r="32078" spans="1:6" ht="15.75" customHeight="1">
      <c r="A32078" s="16" t="s">
        <v>9828</v>
      </c>
      <c r="B32078" s="15" t="s">
        <v>9828</v>
      </c>
      <c r="C32078" s="16" t="s">
        <v>9826</v>
      </c>
      <c r="D32078" s="16" t="s">
        <v>9829</v>
      </c>
      <c r="E32078" s="2">
        <v>2422488</v>
      </c>
      <c r="F32078" s="4" t="e">
        <f>IF(B32078=#REF!,"",B32078)</f>
        <v>#REF!</v>
      </c>
    </row>
    <row r="32079" spans="1:6" ht="15.75" customHeight="1">
      <c r="A32079" s="15" t="s">
        <v>24368</v>
      </c>
      <c r="B32079" s="15" t="s">
        <v>24368</v>
      </c>
      <c r="C32079" s="15" t="s">
        <v>24200</v>
      </c>
      <c r="D32079" s="15" t="s">
        <v>24205</v>
      </c>
      <c r="E32079" s="2">
        <v>2520477</v>
      </c>
      <c r="F32079" s="4" t="e">
        <f>IF(B32079=#REF!,"",B32079)</f>
        <v>#REF!</v>
      </c>
    </row>
    <row r="32080" spans="1:6" ht="15.75" customHeight="1">
      <c r="A32080" s="15" t="s">
        <v>28148</v>
      </c>
      <c r="B32080" s="15" t="s">
        <v>28148</v>
      </c>
      <c r="C32080" s="15" t="s">
        <v>27788</v>
      </c>
      <c r="D32080" s="15" t="s">
        <v>27801</v>
      </c>
      <c r="E32080" s="2">
        <v>5333180</v>
      </c>
      <c r="F32080" s="4" t="e">
        <f>IF(B32080=#REF!,"",B32080)</f>
        <v>#REF!</v>
      </c>
    </row>
    <row r="32081" spans="1:6" ht="15.75" customHeight="1">
      <c r="A32081" s="15" t="s">
        <v>24366</v>
      </c>
      <c r="B32081" s="15" t="s">
        <v>24366</v>
      </c>
      <c r="C32081" s="15" t="s">
        <v>24200</v>
      </c>
      <c r="D32081" s="15" t="s">
        <v>24367</v>
      </c>
      <c r="E32081" s="2">
        <v>3126917</v>
      </c>
      <c r="F32081" s="4" t="e">
        <f>IF(B32081=#REF!,"",B32081)</f>
        <v>#REF!</v>
      </c>
    </row>
    <row r="32082" spans="1:6" ht="15.75" customHeight="1">
      <c r="A32082" s="15" t="s">
        <v>21640</v>
      </c>
      <c r="B32082" s="15" t="s">
        <v>21641</v>
      </c>
      <c r="C32082" s="15" t="s">
        <v>21606</v>
      </c>
      <c r="D32082" s="15" t="s">
        <v>21616</v>
      </c>
      <c r="E32082" s="2">
        <v>2270377</v>
      </c>
      <c r="F32082" s="4" t="str">
        <f>IF(B32082=B32081,"",B32082)</f>
        <v>Camarate</v>
      </c>
    </row>
    <row r="32083" spans="1:6" ht="15.75" customHeight="1">
      <c r="A32083" s="16" t="str">
        <f ca="1">IFERROR(__xludf.DUMMYFUNCTION("GOOGLETRANSLATE(B39618,""en"",""pt"")"),"Câmara de Lobos")</f>
        <v>Câmara de Lobos</v>
      </c>
      <c r="B32083" s="20" t="s">
        <v>35298</v>
      </c>
      <c r="C32083" s="20" t="s">
        <v>21606</v>
      </c>
      <c r="D32083" s="20" t="s">
        <v>21635</v>
      </c>
      <c r="E32083" s="10">
        <v>2270380</v>
      </c>
      <c r="F32083" s="4" t="str">
        <f>IF(B32083=B32082,"",B32083)</f>
        <v>Câmara de Lobos</v>
      </c>
    </row>
    <row r="32084" spans="1:6" ht="15.75" customHeight="1">
      <c r="A32084" s="15" t="s">
        <v>2220</v>
      </c>
      <c r="B32084" s="15" t="s">
        <v>2221</v>
      </c>
      <c r="C32084" s="15" t="s">
        <v>1905</v>
      </c>
      <c r="D32084" s="15" t="s">
        <v>1951</v>
      </c>
      <c r="E32084" s="2">
        <v>3468014</v>
      </c>
      <c r="F32084" s="4" t="str">
        <f>IF(B32084=B32083,"",B32084)</f>
        <v>CamaquÃ£</v>
      </c>
    </row>
    <row r="32085" spans="1:6" ht="15.75" customHeight="1">
      <c r="A32085" s="16" t="str">
        <f ca="1">IFERROR(__xludf.DUMMYFUNCTION("GOOGLETRANSLATE(B25169,""en"",""pt"")"),"Camaquã")</f>
        <v>Camaquã</v>
      </c>
      <c r="B32085" s="20" t="s">
        <v>2220</v>
      </c>
      <c r="C32085" s="20" t="s">
        <v>1905</v>
      </c>
      <c r="D32085" s="20" t="s">
        <v>1951</v>
      </c>
      <c r="E32085" s="10">
        <v>3468014</v>
      </c>
      <c r="F32085" s="4" t="e">
        <f>IF(B32085=#REF!,"",B32085)</f>
        <v>#REF!</v>
      </c>
    </row>
    <row r="32086" spans="1:6" ht="15.75" customHeight="1">
      <c r="A32086" s="16" t="s">
        <v>2219</v>
      </c>
      <c r="B32086" s="15" t="s">
        <v>2219</v>
      </c>
      <c r="C32086" s="16" t="s">
        <v>1905</v>
      </c>
      <c r="D32086" s="16" t="s">
        <v>1917</v>
      </c>
      <c r="E32086" s="2">
        <v>3468023</v>
      </c>
      <c r="F32086" s="4" t="str">
        <f>IF(B32086=B32085,"",B32086)</f>
        <v>Camanducaia</v>
      </c>
    </row>
    <row r="32087" spans="1:6" ht="15.75" customHeight="1">
      <c r="A32087" s="15" t="s">
        <v>20483</v>
      </c>
      <c r="B32087" s="15" t="s">
        <v>20484</v>
      </c>
      <c r="C32087" s="15" t="s">
        <v>20470</v>
      </c>
      <c r="D32087" s="15" t="s">
        <v>20473</v>
      </c>
      <c r="E32087" s="2">
        <v>3945985</v>
      </c>
      <c r="F32087" s="4" t="str">
        <f>IF(B32087=B32086,"",B32087)</f>
        <v>CamanÃ¡</v>
      </c>
    </row>
    <row r="32088" spans="1:6" ht="15.75" customHeight="1">
      <c r="A32088" s="16" t="str">
        <f ca="1">IFERROR(__xludf.DUMMYFUNCTION("GOOGLETRANSLATE(B38399,""en"",""pt"")"),"Camaná")</f>
        <v>Camaná</v>
      </c>
      <c r="B32088" s="20" t="s">
        <v>20483</v>
      </c>
      <c r="C32088" s="20" t="s">
        <v>20470</v>
      </c>
      <c r="D32088" s="20" t="s">
        <v>20473</v>
      </c>
      <c r="E32088" s="10">
        <v>3945985</v>
      </c>
      <c r="F32088" s="4" t="str">
        <f>IF(B32088=B32087,"",B32088)</f>
        <v>Camaná</v>
      </c>
    </row>
    <row r="32089" spans="1:6" ht="15.75" customHeight="1">
      <c r="A32089" s="16" t="str">
        <f ca="1">IFERROR(__xludf.DUMMYFUNCTION("GOOGLETRANSLATE(B27200,""en"",""pt"")"),"Camajuaní")</f>
        <v>Camajuaní</v>
      </c>
      <c r="B32089" s="20" t="s">
        <v>31926</v>
      </c>
      <c r="C32089" s="20" t="s">
        <v>5764</v>
      </c>
      <c r="D32089" s="20" t="s">
        <v>5803</v>
      </c>
      <c r="E32089" s="10">
        <v>3566054</v>
      </c>
      <c r="F32089" s="4" t="str">
        <f>IF(B32089=B32088,"",B32089)</f>
        <v>Camajuaní</v>
      </c>
    </row>
    <row r="32090" spans="1:6" ht="15.75" customHeight="1">
      <c r="A32090" s="16" t="s">
        <v>5807</v>
      </c>
      <c r="B32090" s="15" t="s">
        <v>5808</v>
      </c>
      <c r="C32090" s="16" t="s">
        <v>5764</v>
      </c>
      <c r="D32090" s="16" t="s">
        <v>5803</v>
      </c>
      <c r="E32090" s="2">
        <v>3566054</v>
      </c>
      <c r="F32090" s="4" t="e">
        <f>IF(B32090=#REF!,"",B32090)</f>
        <v>#REF!</v>
      </c>
    </row>
    <row r="32091" spans="1:6" ht="15.75" customHeight="1">
      <c r="A32091" s="15" t="s">
        <v>15009</v>
      </c>
      <c r="B32091" s="15" t="s">
        <v>15009</v>
      </c>
      <c r="C32091" s="15" t="s">
        <v>14891</v>
      </c>
      <c r="D32091" s="15" t="s">
        <v>14943</v>
      </c>
      <c r="E32091" s="2">
        <v>3181125</v>
      </c>
      <c r="F32091" s="4" t="str">
        <f>IF(B32091=B32090,"",B32091)</f>
        <v>Camaiore</v>
      </c>
    </row>
    <row r="32092" spans="1:6" ht="15.75" customHeight="1">
      <c r="A32092" s="16" t="str">
        <f ca="1">IFERROR(__xludf.DUMMYFUNCTION("GOOGLETRANSLATE(B27201,""en"",""pt"")"),"Camagüey")</f>
        <v>Camagüey</v>
      </c>
      <c r="B32092" s="20" t="s">
        <v>31904</v>
      </c>
      <c r="C32092" s="20" t="s">
        <v>5764</v>
      </c>
      <c r="D32092" s="20" t="s">
        <v>31904</v>
      </c>
      <c r="E32092" s="10">
        <v>3566067</v>
      </c>
      <c r="F32092" s="4" t="str">
        <f>IF(B32092=B32091,"",B32092)</f>
        <v>Camagüey</v>
      </c>
    </row>
    <row r="32093" spans="1:6" ht="15.75" customHeight="1">
      <c r="A32093" s="16" t="s">
        <v>5805</v>
      </c>
      <c r="B32093" s="15" t="s">
        <v>5806</v>
      </c>
      <c r="C32093" s="16" t="s">
        <v>5764</v>
      </c>
      <c r="D32093" s="16" t="s">
        <v>5806</v>
      </c>
      <c r="E32093" s="2">
        <v>3566067</v>
      </c>
      <c r="F32093" s="4" t="e">
        <f>IF(B32093=#REF!,"",B32093)</f>
        <v>#REF!</v>
      </c>
    </row>
    <row r="32094" spans="1:6" ht="15.75" customHeight="1">
      <c r="A32094" s="16" t="s">
        <v>514</v>
      </c>
      <c r="B32094" s="15" t="s">
        <v>514</v>
      </c>
      <c r="C32094" s="16" t="s">
        <v>507</v>
      </c>
      <c r="D32094" s="16" t="s">
        <v>515</v>
      </c>
      <c r="E32094" s="2">
        <v>3351014</v>
      </c>
      <c r="F32094" s="4" t="str">
        <f>IF(B32094=B32093,"",B32094)</f>
        <v>Camacupa</v>
      </c>
    </row>
    <row r="32095" spans="1:6" ht="15.75" customHeight="1">
      <c r="A32095" s="16" t="str">
        <f ca="1">IFERROR(__xludf.DUMMYFUNCTION("GOOGLETRANSLATE(B25171,""en"",""pt"")"),"Camaçari")</f>
        <v>Camaçari</v>
      </c>
      <c r="B32095" s="20" t="s">
        <v>31697</v>
      </c>
      <c r="C32095" s="20" t="s">
        <v>1905</v>
      </c>
      <c r="D32095" s="20" t="s">
        <v>1947</v>
      </c>
      <c r="E32095" s="10">
        <v>3468031</v>
      </c>
      <c r="F32095" s="4" t="str">
        <f>IF(B32095=B32094,"",B32095)</f>
        <v>Camaçari</v>
      </c>
    </row>
    <row r="32096" spans="1:6" ht="15.75" customHeight="1">
      <c r="A32096" s="16" t="s">
        <v>2217</v>
      </c>
      <c r="B32096" s="15" t="s">
        <v>2218</v>
      </c>
      <c r="C32096" s="16" t="s">
        <v>1905</v>
      </c>
      <c r="D32096" s="16" t="s">
        <v>1947</v>
      </c>
      <c r="E32096" s="2">
        <v>3468031</v>
      </c>
      <c r="F32096" s="4" t="e">
        <f>IF(B32096=#REF!,"",B32096)</f>
        <v>#REF!</v>
      </c>
    </row>
    <row r="32097" spans="1:6" ht="15.75" customHeight="1">
      <c r="A32097" s="16" t="s">
        <v>30818</v>
      </c>
      <c r="B32097" s="15" t="s">
        <v>30819</v>
      </c>
      <c r="C32097" s="16" t="s">
        <v>30784</v>
      </c>
      <c r="D32097" s="16" t="s">
        <v>30820</v>
      </c>
      <c r="E32097" s="2">
        <v>1586350</v>
      </c>
      <c r="F32097" s="4" t="str">
        <f>IF(B32097=B32096,"",B32097)</f>
        <v>Cam Ranh</v>
      </c>
    </row>
    <row r="32098" spans="1:6" ht="15.75" customHeight="1">
      <c r="A32098" s="16" t="str">
        <f ca="1">IFERROR(__xludf.DUMMYFUNCTION("GOOGLETRANSLATE(B45780,""en"",""pt"")"),"Cẩm phả minas")</f>
        <v>Cẩm phả minas</v>
      </c>
      <c r="B32098" s="20" t="s">
        <v>36189</v>
      </c>
      <c r="C32098" s="20" t="s">
        <v>30784</v>
      </c>
      <c r="D32098" s="20" t="s">
        <v>36115</v>
      </c>
      <c r="E32098" s="10">
        <v>1586357</v>
      </c>
      <c r="F32098" s="4" t="e">
        <f>IF(B32098=#REF!,"",B32098)</f>
        <v>#REF!</v>
      </c>
    </row>
    <row r="32099" spans="1:6" ht="15.75" customHeight="1">
      <c r="A32099" s="15" t="s">
        <v>8258</v>
      </c>
      <c r="B32099" s="15" t="s">
        <v>8258</v>
      </c>
      <c r="C32099" s="15" t="s">
        <v>8028</v>
      </c>
      <c r="D32099" s="15" t="s">
        <v>8031</v>
      </c>
      <c r="E32099" s="2">
        <v>2940383</v>
      </c>
      <c r="F32099" s="4" t="e">
        <f>IF(B32099=#REF!,"",B32099)</f>
        <v>#REF!</v>
      </c>
    </row>
    <row r="32100" spans="1:6" ht="15.75" customHeight="1">
      <c r="A32100" s="15" t="s">
        <v>17793</v>
      </c>
      <c r="B32100" s="15" t="s">
        <v>17793</v>
      </c>
      <c r="C32100" s="15" t="s">
        <v>17707</v>
      </c>
      <c r="D32100" s="15" t="s">
        <v>17733</v>
      </c>
      <c r="E32100" s="2">
        <v>4016086</v>
      </c>
      <c r="F32100" s="4" t="str">
        <f>IF(B32100=B32099,"",B32100)</f>
        <v>Calvillo</v>
      </c>
    </row>
    <row r="32101" spans="1:6" ht="15.75" customHeight="1">
      <c r="A32101" s="15" t="s">
        <v>24364</v>
      </c>
      <c r="B32101" s="15" t="s">
        <v>24365</v>
      </c>
      <c r="C32101" s="15" t="s">
        <v>24200</v>
      </c>
      <c r="D32101" s="15" t="s">
        <v>24236</v>
      </c>
      <c r="E32101" s="2">
        <v>2520493</v>
      </c>
      <c r="F32101" s="4" t="str">
        <f>IF(B32101=B32100,"",B32101)</f>
        <v>CalviÃ </v>
      </c>
    </row>
    <row r="32102" spans="1:6" ht="15.75" customHeight="1">
      <c r="A32102" s="16" t="str">
        <f ca="1">IFERROR(__xludf.DUMMYFUNCTION("GOOGLETRANSLATE(B29162,""en"",""pt"")"),"Calvià")</f>
        <v>Calvià</v>
      </c>
      <c r="B32102" s="20" t="s">
        <v>32392</v>
      </c>
      <c r="C32102" s="20" t="s">
        <v>24200</v>
      </c>
      <c r="D32102" s="20" t="s">
        <v>24236</v>
      </c>
      <c r="E32102" s="10">
        <v>2520493</v>
      </c>
      <c r="F32102" s="4" t="e">
        <f>IF(B32102=#REF!,"",B32102)</f>
        <v>#REF!</v>
      </c>
    </row>
    <row r="32103" spans="1:6" ht="15.75" customHeight="1">
      <c r="A32103" s="15" t="s">
        <v>28147</v>
      </c>
      <c r="B32103" s="15" t="s">
        <v>28147</v>
      </c>
      <c r="C32103" s="15" t="s">
        <v>27788</v>
      </c>
      <c r="D32103" s="15" t="s">
        <v>17061</v>
      </c>
      <c r="E32103" s="2">
        <v>4350160</v>
      </c>
      <c r="F32103" s="4" t="e">
        <f>IF(B32103=#REF!,"",B32103)</f>
        <v>#REF!</v>
      </c>
    </row>
    <row r="32104" spans="1:6" ht="15.75" customHeight="1">
      <c r="A32104" s="16" t="s">
        <v>512</v>
      </c>
      <c r="B32104" s="15" t="s">
        <v>512</v>
      </c>
      <c r="C32104" s="16" t="s">
        <v>507</v>
      </c>
      <c r="D32104" s="16" t="s">
        <v>513</v>
      </c>
      <c r="E32104" s="2">
        <v>3351024</v>
      </c>
      <c r="F32104" s="4" t="e">
        <f>IF(B32104=#REF!,"",B32104)</f>
        <v>#REF!</v>
      </c>
    </row>
    <row r="32105" spans="1:6" ht="15.75" customHeight="1">
      <c r="A32105" s="15" t="s">
        <v>20724</v>
      </c>
      <c r="B32105" s="15" t="s">
        <v>20724</v>
      </c>
      <c r="C32105" s="15" t="s">
        <v>20598</v>
      </c>
      <c r="D32105" s="15" t="s">
        <v>20599</v>
      </c>
      <c r="E32105" s="2">
        <v>1720034</v>
      </c>
      <c r="F32105" s="4" t="e">
        <f>IF(B32105=#REF!,"",B32105)</f>
        <v>#REF!</v>
      </c>
    </row>
    <row r="32106" spans="1:6" ht="15.75" customHeight="1">
      <c r="A32106" s="16" t="s">
        <v>20722</v>
      </c>
      <c r="B32106" s="15" t="s">
        <v>20722</v>
      </c>
      <c r="C32106" s="16" t="s">
        <v>20598</v>
      </c>
      <c r="D32106" s="16" t="s">
        <v>20723</v>
      </c>
      <c r="E32106" s="2">
        <v>1720052</v>
      </c>
      <c r="F32106" s="4" t="e">
        <f>IF(B32106=#REF!,"",B32106)</f>
        <v>#REF!</v>
      </c>
    </row>
    <row r="32107" spans="1:6" ht="15.75" customHeight="1">
      <c r="A32107" s="16" t="s">
        <v>28145</v>
      </c>
      <c r="B32107" s="15" t="s">
        <v>28146</v>
      </c>
      <c r="C32107" s="16" t="s">
        <v>27788</v>
      </c>
      <c r="D32107" s="16" t="s">
        <v>27799</v>
      </c>
      <c r="E32107" s="2">
        <v>4886255</v>
      </c>
      <c r="F32107" s="4" t="e">
        <f>IF(B32107=#REF!,"",B32107)</f>
        <v>#REF!</v>
      </c>
    </row>
    <row r="32108" spans="1:6" ht="15.75" customHeight="1">
      <c r="A32108" s="16" t="s">
        <v>7207</v>
      </c>
      <c r="B32108" s="15" t="s">
        <v>7207</v>
      </c>
      <c r="C32108" s="16" t="s">
        <v>7052</v>
      </c>
      <c r="D32108" s="16" t="s">
        <v>7053</v>
      </c>
      <c r="E32108" s="2">
        <v>3029096</v>
      </c>
      <c r="F32108" s="4" t="e">
        <f>IF(B32108=#REF!,"",B32108)</f>
        <v>#REF!</v>
      </c>
    </row>
    <row r="32109" spans="1:6" ht="15.75" customHeight="1">
      <c r="A32109" s="16" t="s">
        <v>15008</v>
      </c>
      <c r="B32109" s="15" t="s">
        <v>15008</v>
      </c>
      <c r="C32109" s="16" t="s">
        <v>14891</v>
      </c>
      <c r="D32109" s="16" t="s">
        <v>14899</v>
      </c>
      <c r="E32109" s="2">
        <v>2525448</v>
      </c>
      <c r="F32109" s="4" t="e">
        <f>IF(B32109=#REF!,"",B32109)</f>
        <v>#REF!</v>
      </c>
    </row>
    <row r="32110" spans="1:6" ht="15.75" customHeight="1">
      <c r="A32110" s="16" t="s">
        <v>15007</v>
      </c>
      <c r="B32110" s="15" t="s">
        <v>15007</v>
      </c>
      <c r="C32110" s="16" t="s">
        <v>14891</v>
      </c>
      <c r="D32110" s="16" t="s">
        <v>14899</v>
      </c>
      <c r="E32110" s="2">
        <v>2525450</v>
      </c>
      <c r="F32110" s="4" t="e">
        <f>IF(B32110=#REF!,"",B32110)</f>
        <v>#REF!</v>
      </c>
    </row>
    <row r="32111" spans="1:6" ht="15.75" customHeight="1">
      <c r="A32111" s="16" t="s">
        <v>17792</v>
      </c>
      <c r="B32111" s="15" t="s">
        <v>17792</v>
      </c>
      <c r="C32111" s="16" t="s">
        <v>17707</v>
      </c>
      <c r="D32111" s="16" t="s">
        <v>17729</v>
      </c>
      <c r="E32111" s="2">
        <v>3531784</v>
      </c>
      <c r="F32111" s="4" t="e">
        <f>IF(B32111=#REF!,"",B32111)</f>
        <v>#REF!</v>
      </c>
    </row>
    <row r="32112" spans="1:6" ht="15.75" customHeight="1">
      <c r="A32112" s="15" t="s">
        <v>24363</v>
      </c>
      <c r="B32112" s="15" t="s">
        <v>24363</v>
      </c>
      <c r="C32112" s="15" t="s">
        <v>24200</v>
      </c>
      <c r="D32112" s="15" t="s">
        <v>21053</v>
      </c>
      <c r="E32112" s="2">
        <v>2520496</v>
      </c>
      <c r="F32112" s="4" t="e">
        <f>IF(B32112=#REF!,"",B32112)</f>
        <v>#REF!</v>
      </c>
    </row>
    <row r="32113" spans="1:6" ht="15.75" customHeight="1">
      <c r="A32113" s="16" t="s">
        <v>928</v>
      </c>
      <c r="B32113" s="15" t="s">
        <v>928</v>
      </c>
      <c r="C32113" s="16" t="s">
        <v>885</v>
      </c>
      <c r="D32113" s="16" t="s">
        <v>910</v>
      </c>
      <c r="E32113" s="2">
        <v>2172710</v>
      </c>
      <c r="F32113" s="4" t="e">
        <f>IF(B32113=#REF!,"",B32113)</f>
        <v>#REF!</v>
      </c>
    </row>
    <row r="32114" spans="1:6" ht="15.75" customHeight="1">
      <c r="A32114" s="16" t="s">
        <v>24362</v>
      </c>
      <c r="B32114" s="15" t="s">
        <v>24362</v>
      </c>
      <c r="C32114" s="16" t="s">
        <v>24200</v>
      </c>
      <c r="D32114" s="16" t="s">
        <v>21053</v>
      </c>
      <c r="E32114" s="2">
        <v>2520502</v>
      </c>
      <c r="F32114" s="4" t="e">
        <f>IF(B32114=#REF!,"",B32114)</f>
        <v>#REF!</v>
      </c>
    </row>
    <row r="32115" spans="1:6" ht="15.75" customHeight="1">
      <c r="A32115" s="16" t="s">
        <v>5672</v>
      </c>
      <c r="B32115" s="15" t="s">
        <v>5672</v>
      </c>
      <c r="C32115" s="16" t="s">
        <v>5665</v>
      </c>
      <c r="D32115" s="16" t="s">
        <v>5668</v>
      </c>
      <c r="E32115" s="2">
        <v>3624509</v>
      </c>
      <c r="F32115" s="4" t="e">
        <f>IF(B32115=#REF!,"",B32115)</f>
        <v>#REF!</v>
      </c>
    </row>
    <row r="32116" spans="1:6" ht="15.75" customHeight="1">
      <c r="A32116" s="15" t="s">
        <v>20482</v>
      </c>
      <c r="B32116" s="15" t="s">
        <v>20482</v>
      </c>
      <c r="C32116" s="15" t="s">
        <v>20470</v>
      </c>
      <c r="D32116" s="15" t="s">
        <v>20482</v>
      </c>
      <c r="E32116" s="2">
        <v>3946083</v>
      </c>
      <c r="F32116" s="4" t="e">
        <f>IF(B32116=#REF!,"",B32116)</f>
        <v>#REF!</v>
      </c>
    </row>
    <row r="32117" spans="1:6" ht="15.75" customHeight="1">
      <c r="A32117" s="15" t="s">
        <v>5804</v>
      </c>
      <c r="B32117" s="15" t="s">
        <v>5804</v>
      </c>
      <c r="C32117" s="15" t="s">
        <v>5764</v>
      </c>
      <c r="D32117" s="15" t="s">
        <v>5796</v>
      </c>
      <c r="E32117" s="2">
        <v>3566134</v>
      </c>
      <c r="F32117" s="4" t="e">
        <f>IF(B32117=#REF!,"",B32117)</f>
        <v>#REF!</v>
      </c>
    </row>
    <row r="32118" spans="1:6" ht="15.75" customHeight="1">
      <c r="A32118" s="15" t="s">
        <v>5403</v>
      </c>
      <c r="B32118" s="15" t="s">
        <v>5403</v>
      </c>
      <c r="C32118" s="15" t="s">
        <v>5348</v>
      </c>
      <c r="D32118" s="15" t="s">
        <v>5360</v>
      </c>
      <c r="E32118" s="2">
        <v>3687925</v>
      </c>
      <c r="F32118" s="4" t="e">
        <f>IF(B32118=#REF!,"",B32118)</f>
        <v>#REF!</v>
      </c>
    </row>
    <row r="32119" spans="1:6" ht="15.75" customHeight="1">
      <c r="A32119" s="15" t="s">
        <v>28144</v>
      </c>
      <c r="B32119" s="15" t="s">
        <v>28144</v>
      </c>
      <c r="C32119" s="15" t="s">
        <v>27788</v>
      </c>
      <c r="D32119" s="15" t="s">
        <v>7988</v>
      </c>
      <c r="E32119" s="2">
        <v>4185657</v>
      </c>
      <c r="F32119" s="4" t="e">
        <f>IF(B32119=#REF!,"",B32119)</f>
        <v>#REF!</v>
      </c>
    </row>
    <row r="32120" spans="1:6" ht="15.75" customHeight="1">
      <c r="A32120" s="15" t="s">
        <v>4010</v>
      </c>
      <c r="B32120" s="15" t="s">
        <v>4010</v>
      </c>
      <c r="C32120" s="15" t="s">
        <v>3975</v>
      </c>
      <c r="D32120" s="15" t="s">
        <v>3978</v>
      </c>
      <c r="E32120" s="2">
        <v>5913490</v>
      </c>
      <c r="F32120" s="4" t="e">
        <f>IF(B32120=#REF!,"",B32120)</f>
        <v>#REF!</v>
      </c>
    </row>
    <row r="32121" spans="1:6" ht="15.75" customHeight="1">
      <c r="A32121" s="15" t="s">
        <v>28143</v>
      </c>
      <c r="B32121" s="15" t="s">
        <v>28143</v>
      </c>
      <c r="C32121" s="15" t="s">
        <v>27788</v>
      </c>
      <c r="D32121" s="15" t="s">
        <v>27801</v>
      </c>
      <c r="E32121" s="2">
        <v>5332698</v>
      </c>
      <c r="F32121" s="4" t="e">
        <f>IF(B32121=#REF!,"",B32121)</f>
        <v>#REF!</v>
      </c>
    </row>
    <row r="32122" spans="1:6" ht="15.75" customHeight="1">
      <c r="A32122" s="16" t="s">
        <v>594</v>
      </c>
      <c r="B32122" s="15" t="s">
        <v>594</v>
      </c>
      <c r="C32122" s="16" t="s">
        <v>558</v>
      </c>
      <c r="D32122" s="16" t="s">
        <v>595</v>
      </c>
      <c r="E32122" s="2">
        <v>3863379</v>
      </c>
      <c r="F32122" s="4" t="e">
        <f>IF(B32122=#REF!,"",B32122)</f>
        <v>#REF!</v>
      </c>
    </row>
    <row r="32123" spans="1:6" ht="15.75" customHeight="1">
      <c r="A32123" s="15" t="s">
        <v>24361</v>
      </c>
      <c r="B32123" s="15" t="s">
        <v>24361</v>
      </c>
      <c r="C32123" s="15" t="s">
        <v>24200</v>
      </c>
      <c r="D32123" s="15" t="s">
        <v>24277</v>
      </c>
      <c r="E32123" s="2">
        <v>3127007</v>
      </c>
      <c r="F32123" s="4" t="e">
        <f>IF(B32123=#REF!,"",B32123)</f>
        <v>#REF!</v>
      </c>
    </row>
    <row r="32124" spans="1:6" ht="15.75" customHeight="1">
      <c r="A32124" s="16" t="s">
        <v>28141</v>
      </c>
      <c r="B32124" s="15" t="s">
        <v>28142</v>
      </c>
      <c r="C32124" s="16" t="s">
        <v>27788</v>
      </c>
      <c r="D32124" s="16" t="s">
        <v>27890</v>
      </c>
      <c r="E32124" s="2">
        <v>5247415</v>
      </c>
      <c r="F32124" s="4" t="e">
        <f>IF(B32124=#REF!,"",B32124)</f>
        <v>#REF!</v>
      </c>
    </row>
    <row r="32125" spans="1:6" ht="15.75" customHeight="1">
      <c r="A32125" s="15" t="s">
        <v>28140</v>
      </c>
      <c r="B32125" s="15" t="s">
        <v>28140</v>
      </c>
      <c r="C32125" s="15" t="s">
        <v>27788</v>
      </c>
      <c r="D32125" s="15" t="s">
        <v>28059</v>
      </c>
      <c r="E32125" s="2">
        <v>5587698</v>
      </c>
      <c r="F32125" s="4" t="e">
        <f>IF(B32125=#REF!,"",B32125)</f>
        <v>#REF!</v>
      </c>
    </row>
    <row r="32126" spans="1:6" ht="15.75" customHeight="1">
      <c r="A32126" s="16" t="s">
        <v>24360</v>
      </c>
      <c r="B32126" s="15" t="s">
        <v>24360</v>
      </c>
      <c r="C32126" s="16" t="s">
        <v>24200</v>
      </c>
      <c r="D32126" s="16" t="s">
        <v>24277</v>
      </c>
      <c r="E32126" s="2">
        <v>3127035</v>
      </c>
      <c r="F32126" s="4" t="e">
        <f>IF(B32126=#REF!,"",B32126)</f>
        <v>#REF!</v>
      </c>
    </row>
    <row r="32127" spans="1:6" ht="15.75" customHeight="1">
      <c r="A32127" s="16" t="s">
        <v>2216</v>
      </c>
      <c r="B32127" s="15" t="s">
        <v>2216</v>
      </c>
      <c r="C32127" s="16" t="s">
        <v>1905</v>
      </c>
      <c r="D32127" s="16" t="s">
        <v>1969</v>
      </c>
      <c r="E32127" s="2">
        <v>3468100</v>
      </c>
      <c r="F32127" s="4" t="e">
        <f>IF(B32127=#REF!,"",B32127)</f>
        <v>#REF!</v>
      </c>
    </row>
    <row r="32128" spans="1:6" ht="15.75" customHeight="1">
      <c r="A32128" s="16" t="s">
        <v>21638</v>
      </c>
      <c r="B32128" s="15" t="s">
        <v>21638</v>
      </c>
      <c r="C32128" s="16" t="s">
        <v>21606</v>
      </c>
      <c r="D32128" s="16" t="s">
        <v>21639</v>
      </c>
      <c r="E32128" s="2">
        <v>2270437</v>
      </c>
      <c r="F32128" s="4" t="e">
        <f>IF(B32128=#REF!,"",B32128)</f>
        <v>#REF!</v>
      </c>
    </row>
    <row r="32129" spans="1:6" ht="15.75" customHeight="1">
      <c r="A32129" s="15" t="s">
        <v>5353</v>
      </c>
      <c r="B32129" s="15" t="s">
        <v>5353</v>
      </c>
      <c r="C32129" s="15" t="s">
        <v>5348</v>
      </c>
      <c r="D32129" s="15" t="s">
        <v>5362</v>
      </c>
      <c r="E32129" s="2">
        <v>3687952</v>
      </c>
      <c r="F32129" s="4" t="e">
        <f>IF(B32129=#REF!,"",B32129)</f>
        <v>#REF!</v>
      </c>
    </row>
    <row r="32130" spans="1:6" ht="15.75" customHeight="1">
      <c r="A32130" s="15" t="s">
        <v>6414</v>
      </c>
      <c r="B32130" s="15" t="s">
        <v>6415</v>
      </c>
      <c r="C32130" s="15" t="s">
        <v>6398</v>
      </c>
      <c r="D32130" s="15" t="s">
        <v>6408</v>
      </c>
      <c r="E32130" s="2">
        <v>3659926</v>
      </c>
      <c r="F32130" s="4" t="e">
        <f>IF(B32130=#REF!,"",B32130)</f>
        <v>#REF!</v>
      </c>
    </row>
    <row r="32131" spans="1:6" ht="15.75" customHeight="1">
      <c r="A32131" s="16" t="s">
        <v>20720</v>
      </c>
      <c r="B32131" s="15" t="s">
        <v>20721</v>
      </c>
      <c r="C32131" s="16" t="s">
        <v>20598</v>
      </c>
      <c r="D32131" s="16" t="s">
        <v>20601</v>
      </c>
      <c r="E32131" s="2">
        <v>1720402</v>
      </c>
      <c r="F32131" s="4" t="e">
        <f>IF(B32131=#REF!,"",B32131)</f>
        <v>#REF!</v>
      </c>
    </row>
    <row r="32132" spans="1:6" ht="15.75" customHeight="1">
      <c r="A32132" s="15" t="s">
        <v>20719</v>
      </c>
      <c r="B32132" s="15" t="s">
        <v>20719</v>
      </c>
      <c r="C32132" s="15" t="s">
        <v>20598</v>
      </c>
      <c r="D32132" s="15" t="s">
        <v>20608</v>
      </c>
      <c r="E32132" s="2">
        <v>1720464</v>
      </c>
      <c r="F32132" s="4" t="e">
        <f>IF(B32132=#REF!,"",B32132)</f>
        <v>#REF!</v>
      </c>
    </row>
    <row r="32133" spans="1:6" ht="15.75" customHeight="1">
      <c r="A32133" s="15" t="s">
        <v>20718</v>
      </c>
      <c r="B32133" s="15" t="s">
        <v>20718</v>
      </c>
      <c r="C32133" s="15" t="s">
        <v>20598</v>
      </c>
      <c r="D32133" s="15" t="s">
        <v>20608</v>
      </c>
      <c r="E32133" s="2">
        <v>1720472</v>
      </c>
      <c r="F32133" s="4" t="e">
        <f>IF(B32133=#REF!,"",B32133)</f>
        <v>#REF!</v>
      </c>
    </row>
    <row r="32134" spans="1:6" ht="15.75" customHeight="1">
      <c r="A32134" s="16" t="s">
        <v>24359</v>
      </c>
      <c r="B32134" s="15" t="s">
        <v>24359</v>
      </c>
      <c r="C32134" s="16" t="s">
        <v>24200</v>
      </c>
      <c r="D32134" s="16" t="s">
        <v>24226</v>
      </c>
      <c r="E32134" s="2">
        <v>3127047</v>
      </c>
      <c r="F32134" s="4" t="e">
        <f>IF(B32134=#REF!,"",B32134)</f>
        <v>#REF!</v>
      </c>
    </row>
    <row r="32135" spans="1:6" ht="15.75" customHeight="1">
      <c r="A32135" s="15" t="s">
        <v>20717</v>
      </c>
      <c r="B32135" s="15" t="s">
        <v>20717</v>
      </c>
      <c r="C32135" s="15" t="s">
        <v>20598</v>
      </c>
      <c r="D32135" s="15" t="s">
        <v>20608</v>
      </c>
      <c r="E32135" s="2">
        <v>1720499</v>
      </c>
      <c r="F32135" s="4" t="e">
        <f>IF(B32135=#REF!,"",B32135)</f>
        <v>#REF!</v>
      </c>
    </row>
    <row r="32136" spans="1:6" ht="15.75" customHeight="1">
      <c r="A32136" s="15" t="s">
        <v>20716</v>
      </c>
      <c r="B32136" s="15" t="s">
        <v>20716</v>
      </c>
      <c r="C32136" s="15" t="s">
        <v>20598</v>
      </c>
      <c r="D32136" s="15" t="s">
        <v>20603</v>
      </c>
      <c r="E32136" s="2">
        <v>1720508</v>
      </c>
      <c r="F32136" s="4" t="str">
        <f>IF(B32136=B32135,"",B32136)</f>
        <v>Calasiao</v>
      </c>
    </row>
    <row r="32137" spans="1:6" ht="15.75" customHeight="1">
      <c r="A32137" s="15" t="s">
        <v>5401</v>
      </c>
      <c r="B32137" s="15" t="s">
        <v>5402</v>
      </c>
      <c r="C32137" s="15" t="s">
        <v>5348</v>
      </c>
      <c r="D32137" s="15" t="s">
        <v>5375</v>
      </c>
      <c r="E32137" s="2">
        <v>3687964</v>
      </c>
      <c r="F32137" s="4" t="str">
        <f>IF(B32137=B32136,"",B32137)</f>
        <v>CalarcÃ¡</v>
      </c>
    </row>
    <row r="32138" spans="1:6" ht="15.75" customHeight="1">
      <c r="A32138" s="16" t="str">
        <f ca="1">IFERROR(__xludf.DUMMYFUNCTION("GOOGLETRANSLATE(B27024,""en"",""pt"")"),"Calarcá")</f>
        <v>Calarcá</v>
      </c>
      <c r="B32138" s="20" t="s">
        <v>5401</v>
      </c>
      <c r="C32138" s="20" t="s">
        <v>5348</v>
      </c>
      <c r="D32138" s="20" t="s">
        <v>31851</v>
      </c>
      <c r="E32138" s="10">
        <v>3687964</v>
      </c>
      <c r="F32138" s="4" t="e">
        <f>IF(B32138=#REF!,"",B32138)</f>
        <v>#REF!</v>
      </c>
    </row>
    <row r="32139" spans="1:6" ht="15.75" customHeight="1">
      <c r="A32139" s="15" t="s">
        <v>20713</v>
      </c>
      <c r="B32139" s="15" t="s">
        <v>20714</v>
      </c>
      <c r="C32139" s="15" t="s">
        <v>20598</v>
      </c>
      <c r="D32139" s="15" t="s">
        <v>20715</v>
      </c>
      <c r="E32139" s="2">
        <v>1720561</v>
      </c>
      <c r="F32139" s="4" t="e">
        <f>IF(B32139=#REF!,"",B32139)</f>
        <v>#REF!</v>
      </c>
    </row>
    <row r="32140" spans="1:6" ht="15.75" customHeight="1">
      <c r="A32140" s="16" t="s">
        <v>10855</v>
      </c>
      <c r="B32140" s="15" t="s">
        <v>10855</v>
      </c>
      <c r="C32140" s="16" t="s">
        <v>10178</v>
      </c>
      <c r="D32140" s="16" t="s">
        <v>10856</v>
      </c>
      <c r="E32140" s="2">
        <v>1273858</v>
      </c>
      <c r="F32140" s="4" t="e">
        <f>IF(B32140=#REF!,"",B32140)</f>
        <v>#REF!</v>
      </c>
    </row>
    <row r="32141" spans="1:6" ht="15.75" customHeight="1">
      <c r="A32141" s="15" t="s">
        <v>20712</v>
      </c>
      <c r="B32141" s="15" t="s">
        <v>20712</v>
      </c>
      <c r="C32141" s="15" t="s">
        <v>20598</v>
      </c>
      <c r="D32141" s="15" t="s">
        <v>20608</v>
      </c>
      <c r="E32141" s="2">
        <v>1720681</v>
      </c>
      <c r="F32141" s="4" t="e">
        <f>IF(B32141=#REF!,"",B32141)</f>
        <v>#REF!</v>
      </c>
    </row>
    <row r="32142" spans="1:6" ht="15.75" customHeight="1">
      <c r="A32142" s="15" t="s">
        <v>4370</v>
      </c>
      <c r="B32142" s="15" t="s">
        <v>4370</v>
      </c>
      <c r="C32142" s="15" t="s">
        <v>4355</v>
      </c>
      <c r="D32142" s="15" t="s">
        <v>4359</v>
      </c>
      <c r="E32142" s="2">
        <v>3897347</v>
      </c>
      <c r="F32142" s="4" t="e">
        <f>IF(B32142=#REF!,"",B32142)</f>
        <v>#REF!</v>
      </c>
    </row>
    <row r="32143" spans="1:6" ht="15.75" customHeight="1">
      <c r="A32143" s="15" t="s">
        <v>7206</v>
      </c>
      <c r="B32143" s="15" t="s">
        <v>7206</v>
      </c>
      <c r="C32143" s="15" t="s">
        <v>7052</v>
      </c>
      <c r="D32143" s="15" t="s">
        <v>7078</v>
      </c>
      <c r="E32143" s="2">
        <v>3029162</v>
      </c>
      <c r="F32143" s="4" t="e">
        <f>IF(B32143=#REF!,"",B32143)</f>
        <v>#REF!</v>
      </c>
    </row>
    <row r="32144" spans="1:6" ht="15.75" customHeight="1">
      <c r="A32144" s="15" t="s">
        <v>24358</v>
      </c>
      <c r="B32144" s="15" t="s">
        <v>24358</v>
      </c>
      <c r="C32144" s="15" t="s">
        <v>24200</v>
      </c>
      <c r="D32144" s="15" t="s">
        <v>614</v>
      </c>
      <c r="E32144" s="2">
        <v>3127065</v>
      </c>
      <c r="F32144" s="4" t="e">
        <f>IF(B32144=#REF!,"",B32144)</f>
        <v>#REF!</v>
      </c>
    </row>
    <row r="32145" spans="1:6" ht="15.75" customHeight="1">
      <c r="A32145" s="15" t="s">
        <v>24357</v>
      </c>
      <c r="B32145" s="15" t="s">
        <v>24357</v>
      </c>
      <c r="C32145" s="15" t="s">
        <v>24200</v>
      </c>
      <c r="D32145" s="15" t="s">
        <v>24277</v>
      </c>
      <c r="E32145" s="2">
        <v>3127066</v>
      </c>
      <c r="F32145" s="4" t="e">
        <f>IF(B32145=#REF!,"",B32145)</f>
        <v>#REF!</v>
      </c>
    </row>
    <row r="32146" spans="1:6" ht="15.75" customHeight="1">
      <c r="A32146" s="15" t="s">
        <v>21886</v>
      </c>
      <c r="B32146" s="15" t="s">
        <v>21886</v>
      </c>
      <c r="C32146" s="15" t="s">
        <v>21824</v>
      </c>
      <c r="D32146" s="15" t="s">
        <v>21843</v>
      </c>
      <c r="E32146" s="2">
        <v>683034</v>
      </c>
      <c r="F32146" s="4" t="e">
        <f>IF(B32146=#REF!,"",B32146)</f>
        <v>#REF!</v>
      </c>
    </row>
    <row r="32147" spans="1:6" ht="15.75" customHeight="1">
      <c r="A32147" s="15" t="s">
        <v>20711</v>
      </c>
      <c r="B32147" s="15" t="s">
        <v>20711</v>
      </c>
      <c r="C32147" s="15" t="s">
        <v>20598</v>
      </c>
      <c r="D32147" s="15" t="s">
        <v>20608</v>
      </c>
      <c r="E32147" s="2">
        <v>1720751</v>
      </c>
      <c r="F32147" s="4" t="e">
        <f>IF(B32147=#REF!,"",B32147)</f>
        <v>#REF!</v>
      </c>
    </row>
    <row r="32148" spans="1:6" ht="15.75" customHeight="1">
      <c r="A32148" s="15" t="s">
        <v>30653</v>
      </c>
      <c r="B32148" s="15" t="s">
        <v>30653</v>
      </c>
      <c r="C32148" s="15" t="s">
        <v>5923</v>
      </c>
      <c r="D32148" s="15" t="s">
        <v>30637</v>
      </c>
      <c r="E32148" s="2">
        <v>3647444</v>
      </c>
      <c r="F32148" s="4" t="e">
        <f>IF(B32148=#REF!,"",B32148)</f>
        <v>#REF!</v>
      </c>
    </row>
    <row r="32149" spans="1:6" ht="15.75" customHeight="1">
      <c r="A32149" s="15" t="s">
        <v>28139</v>
      </c>
      <c r="B32149" s="15" t="s">
        <v>28139</v>
      </c>
      <c r="C32149" s="15" t="s">
        <v>27788</v>
      </c>
      <c r="D32149" s="15" t="s">
        <v>27801</v>
      </c>
      <c r="E32149" s="2">
        <v>5332593</v>
      </c>
      <c r="F32149" s="4" t="e">
        <f>IF(B32149=#REF!,"",B32149)</f>
        <v>#REF!</v>
      </c>
    </row>
    <row r="32150" spans="1:6" ht="15.75" customHeight="1">
      <c r="A32150" s="15" t="s">
        <v>19361</v>
      </c>
      <c r="B32150" s="15" t="s">
        <v>19361</v>
      </c>
      <c r="C32150" s="15" t="s">
        <v>19294</v>
      </c>
      <c r="D32150" s="15" t="s">
        <v>19362</v>
      </c>
      <c r="E32150" s="2">
        <v>2346229</v>
      </c>
      <c r="F32150" s="4" t="e">
        <f>IF(B32150=#REF!,"",B32150)</f>
        <v>#REF!</v>
      </c>
    </row>
    <row r="32151" spans="1:6" ht="15.75" customHeight="1">
      <c r="A32151" s="16" t="s">
        <v>20710</v>
      </c>
      <c r="B32151" s="15" t="s">
        <v>20710</v>
      </c>
      <c r="C32151" s="16" t="s">
        <v>20598</v>
      </c>
      <c r="D32151" s="16" t="s">
        <v>20634</v>
      </c>
      <c r="E32151" s="2">
        <v>1720793</v>
      </c>
      <c r="F32151" s="4" t="str">
        <f>IF(B32151=B32150,"",B32151)</f>
        <v>Calabanga</v>
      </c>
    </row>
    <row r="32152" spans="1:6" ht="15.75" customHeight="1">
      <c r="A32152" s="16" t="str">
        <f ca="1">IFERROR(__xludf.DUMMYFUNCTION("GOOGLETRANSLATE(B31209,""en"",""pt"")"),"Čakovec")</f>
        <v>Čakovec</v>
      </c>
      <c r="B32152" s="20" t="s">
        <v>32813</v>
      </c>
      <c r="C32152" s="20" t="s">
        <v>5711</v>
      </c>
      <c r="D32152" s="20" t="s">
        <v>32814</v>
      </c>
      <c r="E32152" s="10">
        <v>3202888</v>
      </c>
      <c r="F32152" s="4" t="e">
        <f>IF(B32152=#REF!,"",B32152)</f>
        <v>#REF!</v>
      </c>
    </row>
    <row r="32153" spans="1:6" ht="15.75" customHeight="1">
      <c r="A32153" s="15" t="s">
        <v>2215</v>
      </c>
      <c r="B32153" s="15" t="s">
        <v>2215</v>
      </c>
      <c r="C32153" s="15" t="s">
        <v>1905</v>
      </c>
      <c r="D32153" s="15" t="s">
        <v>1914</v>
      </c>
      <c r="E32153" s="2">
        <v>3468121</v>
      </c>
      <c r="F32153" s="4" t="e">
        <f>IF(B32153=#REF!,"",B32153)</f>
        <v>#REF!</v>
      </c>
    </row>
    <row r="32154" spans="1:6" ht="15.75" customHeight="1">
      <c r="A32154" s="15" t="s">
        <v>2213</v>
      </c>
      <c r="B32154" s="15" t="s">
        <v>2214</v>
      </c>
      <c r="C32154" s="15" t="s">
        <v>1905</v>
      </c>
      <c r="D32154" s="15" t="s">
        <v>2015</v>
      </c>
      <c r="E32154" s="2">
        <v>3403941</v>
      </c>
      <c r="F32154" s="4" t="str">
        <f>IF(B32154=B32153,"",B32154)</f>
        <v>Cajueiro</v>
      </c>
    </row>
    <row r="32155" spans="1:6" ht="15.75" customHeight="1">
      <c r="A32155" s="15" t="s">
        <v>5398</v>
      </c>
      <c r="B32155" s="15" t="s">
        <v>5399</v>
      </c>
      <c r="C32155" s="15" t="s">
        <v>5348</v>
      </c>
      <c r="D32155" s="15" t="s">
        <v>5400</v>
      </c>
      <c r="E32155" s="2">
        <v>3688006</v>
      </c>
      <c r="F32155" s="4" t="str">
        <f>IF(B32155=B32154,"",B32155)</f>
        <v>CajicÃ¡</v>
      </c>
    </row>
    <row r="32156" spans="1:6" ht="15.75" customHeight="1">
      <c r="A32156" s="16" t="str">
        <f ca="1">IFERROR(__xludf.DUMMYFUNCTION("GOOGLETRANSLATE(B27025,""en"",""pt"")"),"Cajicá")</f>
        <v>Cajicá</v>
      </c>
      <c r="B32156" s="20" t="s">
        <v>31885</v>
      </c>
      <c r="C32156" s="20" t="s">
        <v>5348</v>
      </c>
      <c r="D32156" s="20" t="s">
        <v>5400</v>
      </c>
      <c r="E32156" s="10">
        <v>3688006</v>
      </c>
      <c r="F32156" s="4" t="e">
        <f>IF(B32156=#REF!,"",B32156)</f>
        <v>#REF!</v>
      </c>
    </row>
    <row r="32157" spans="1:6" ht="15.75" customHeight="1">
      <c r="A32157" s="16" t="s">
        <v>2211</v>
      </c>
      <c r="B32157" s="15" t="s">
        <v>2212</v>
      </c>
      <c r="C32157" s="16" t="s">
        <v>1905</v>
      </c>
      <c r="D32157" s="16" t="s">
        <v>1944</v>
      </c>
      <c r="E32157" s="2">
        <v>3404020</v>
      </c>
      <c r="F32157" s="4" t="e">
        <f>IF(B32157=#REF!,"",B32157)</f>
        <v>#REF!</v>
      </c>
    </row>
    <row r="32158" spans="1:6" ht="15.75" customHeight="1">
      <c r="A32158" s="15" t="s">
        <v>2210</v>
      </c>
      <c r="B32158" s="15" t="s">
        <v>2210</v>
      </c>
      <c r="C32158" s="15" t="s">
        <v>1905</v>
      </c>
      <c r="D32158" s="15" t="s">
        <v>1914</v>
      </c>
      <c r="E32158" s="2">
        <v>3468157</v>
      </c>
      <c r="F32158" s="4" t="e">
        <f>IF(B32158=#REF!,"",B32158)</f>
        <v>#REF!</v>
      </c>
    </row>
    <row r="32159" spans="1:6" ht="15.75" customHeight="1">
      <c r="A32159" s="16" t="s">
        <v>20481</v>
      </c>
      <c r="B32159" s="15" t="s">
        <v>20481</v>
      </c>
      <c r="C32159" s="16" t="s">
        <v>20470</v>
      </c>
      <c r="D32159" s="16" t="s">
        <v>20481</v>
      </c>
      <c r="E32159" s="2">
        <v>3699088</v>
      </c>
      <c r="F32159" s="4" t="e">
        <f>IF(B32159=#REF!,"",B32159)</f>
        <v>#REF!</v>
      </c>
    </row>
    <row r="32160" spans="1:6" ht="15.75" customHeight="1">
      <c r="A32160" s="15" t="s">
        <v>2209</v>
      </c>
      <c r="B32160" s="15" t="s">
        <v>2209</v>
      </c>
      <c r="C32160" s="15" t="s">
        <v>1905</v>
      </c>
      <c r="D32160" s="15" t="s">
        <v>1914</v>
      </c>
      <c r="E32160" s="2">
        <v>3468158</v>
      </c>
      <c r="F32160" s="4" t="e">
        <f>IF(B32160=#REF!,"",B32160)</f>
        <v>#REF!</v>
      </c>
    </row>
    <row r="32161" spans="1:6" ht="15.75" customHeight="1">
      <c r="A32161" s="15" t="s">
        <v>15006</v>
      </c>
      <c r="B32161" s="15" t="s">
        <v>15006</v>
      </c>
      <c r="C32161" s="15" t="s">
        <v>14891</v>
      </c>
      <c r="D32161" s="15" t="s">
        <v>14896</v>
      </c>
      <c r="E32161" s="2">
        <v>3181258</v>
      </c>
      <c r="F32161" s="4" t="e">
        <f>IF(B32161=#REF!,"",B32161)</f>
        <v>#REF!</v>
      </c>
    </row>
    <row r="32162" spans="1:6" ht="15.75" customHeight="1">
      <c r="A32162" s="15" t="s">
        <v>6621</v>
      </c>
      <c r="B32162" s="15" t="s">
        <v>6621</v>
      </c>
      <c r="C32162" s="15" t="s">
        <v>6495</v>
      </c>
      <c r="D32162" s="15" t="s">
        <v>6496</v>
      </c>
      <c r="E32162" s="2">
        <v>360630</v>
      </c>
      <c r="F32162" s="4" t="e">
        <f>IF(B32162=#REF!,"",B32162)</f>
        <v>#REF!</v>
      </c>
    </row>
    <row r="32163" spans="1:6" ht="15.75" customHeight="1">
      <c r="A32163" s="15" t="s">
        <v>927</v>
      </c>
      <c r="B32163" s="15" t="s">
        <v>927</v>
      </c>
      <c r="C32163" s="15" t="s">
        <v>885</v>
      </c>
      <c r="D32163" s="15" t="s">
        <v>910</v>
      </c>
      <c r="E32163" s="2">
        <v>2172797</v>
      </c>
      <c r="F32163" s="4" t="str">
        <f>IF(B32163=B32162,"",B32163)</f>
        <v>Cairns</v>
      </c>
    </row>
    <row r="32164" spans="1:6" ht="15.75" customHeight="1">
      <c r="A32164" s="16" t="str">
        <f ca="1">IFERROR(__xludf.DUMMYFUNCTION("GOOGLETRANSLATE(B36674,""en"",""pt"")"),"Čir")</f>
        <v>Čir</v>
      </c>
      <c r="B32164" s="20" t="s">
        <v>34632</v>
      </c>
      <c r="C32164" s="20" t="s">
        <v>17221</v>
      </c>
      <c r="D32164" s="20" t="s">
        <v>34632</v>
      </c>
      <c r="E32164" s="10">
        <v>833262</v>
      </c>
      <c r="F32164" s="4" t="e">
        <f>IF(B32164=#REF!,"",B32164)</f>
        <v>#REF!</v>
      </c>
    </row>
    <row r="32165" spans="1:6" ht="15.75" customHeight="1">
      <c r="A32165" s="15" t="s">
        <v>20709</v>
      </c>
      <c r="B32165" s="15" t="s">
        <v>20709</v>
      </c>
      <c r="C32165" s="15" t="s">
        <v>20598</v>
      </c>
      <c r="D32165" s="15" t="s">
        <v>20608</v>
      </c>
      <c r="E32165" s="2">
        <v>1720840</v>
      </c>
      <c r="F32165" s="4" t="e">
        <f>IF(B32165=#REF!,"",B32165)</f>
        <v>#REF!</v>
      </c>
    </row>
    <row r="32166" spans="1:6" ht="15.75" customHeight="1">
      <c r="A32166" s="15" t="s">
        <v>2207</v>
      </c>
      <c r="B32166" s="15" t="s">
        <v>2208</v>
      </c>
      <c r="C32166" s="15" t="s">
        <v>1905</v>
      </c>
      <c r="D32166" s="15" t="s">
        <v>1914</v>
      </c>
      <c r="E32166" s="2">
        <v>3468215</v>
      </c>
      <c r="F32166" s="4" t="e">
        <f>IF(B32166=#REF!,"",B32166)</f>
        <v>#REF!</v>
      </c>
    </row>
    <row r="32167" spans="1:6" ht="15.75" customHeight="1">
      <c r="A32167" s="15" t="s">
        <v>4560</v>
      </c>
      <c r="B32167" s="15" t="s">
        <v>4561</v>
      </c>
      <c r="C32167" s="15" t="s">
        <v>4487</v>
      </c>
      <c r="D32167" s="15" t="s">
        <v>4499</v>
      </c>
      <c r="E32167" s="2">
        <v>1816176</v>
      </c>
      <c r="F32167" s="4" t="str">
        <f>IF(B32167=B32166,"",B32167)</f>
        <v>Caidian</v>
      </c>
    </row>
    <row r="32168" spans="1:6" ht="15.75" customHeight="1">
      <c r="A32168" s="16" t="str">
        <f ca="1">IFERROR(__xludf.DUMMYFUNCTION("GOOGLETRANSLATE(B24372,""en"",""pt"")"),"Caicó")</f>
        <v>Caicó</v>
      </c>
      <c r="B32168" s="20" t="s">
        <v>31413</v>
      </c>
      <c r="C32168" s="20" t="s">
        <v>1905</v>
      </c>
      <c r="D32168" s="20" t="s">
        <v>1922</v>
      </c>
      <c r="E32168" s="10">
        <v>3404117</v>
      </c>
      <c r="F32168" s="4" t="e">
        <f>IF(B32168=#REF!,"",B32168)</f>
        <v>#REF!</v>
      </c>
    </row>
    <row r="32169" spans="1:6" ht="15.75" customHeight="1">
      <c r="A32169" s="16" t="s">
        <v>5397</v>
      </c>
      <c r="B32169" s="15" t="s">
        <v>5397</v>
      </c>
      <c r="C32169" s="16" t="s">
        <v>5348</v>
      </c>
      <c r="D32169" s="16" t="s">
        <v>5360</v>
      </c>
      <c r="E32169" s="2">
        <v>3688071</v>
      </c>
      <c r="F32169" s="4" t="str">
        <f>IF(B32169=B32168,"",B32169)</f>
        <v>Caicedonia</v>
      </c>
    </row>
    <row r="32170" spans="1:6" ht="15.75" customHeight="1">
      <c r="A32170" s="15" t="s">
        <v>2205</v>
      </c>
      <c r="B32170" s="15" t="s">
        <v>2206</v>
      </c>
      <c r="C32170" s="15" t="s">
        <v>1905</v>
      </c>
      <c r="D32170" s="15" t="s">
        <v>1922</v>
      </c>
      <c r="E32170" s="2">
        <v>3404117</v>
      </c>
      <c r="F32170" s="4" t="str">
        <f>IF(B32170=B32169,"",B32170)</f>
        <v>CaicÃ³</v>
      </c>
    </row>
    <row r="32171" spans="1:6" ht="15.75" customHeight="1">
      <c r="A32171" s="16" t="str">
        <f ca="1">IFERROR(__xludf.DUMMYFUNCTION("GOOGLETRANSLATE(B27203,""en"",""pt"")"),"CAIBARIÉN")</f>
        <v>CAIBARIÉN</v>
      </c>
      <c r="B32171" s="20" t="s">
        <v>31927</v>
      </c>
      <c r="C32171" s="20" t="s">
        <v>5764</v>
      </c>
      <c r="D32171" s="20" t="s">
        <v>5803</v>
      </c>
      <c r="E32171" s="10">
        <v>3566356</v>
      </c>
      <c r="F32171" s="4" t="str">
        <f>IF(B32171=B32170,"",B32171)</f>
        <v>Caibarién</v>
      </c>
    </row>
    <row r="32172" spans="1:6" ht="15.75" customHeight="1">
      <c r="A32172" s="16" t="s">
        <v>5801</v>
      </c>
      <c r="B32172" s="15" t="s">
        <v>5802</v>
      </c>
      <c r="C32172" s="16" t="s">
        <v>5764</v>
      </c>
      <c r="D32172" s="16" t="s">
        <v>5803</v>
      </c>
      <c r="E32172" s="2">
        <v>3566356</v>
      </c>
      <c r="F32172" s="4" t="e">
        <f>IF(B32172=#REF!,"",B32172)</f>
        <v>#REF!</v>
      </c>
    </row>
    <row r="32173" spans="1:6" ht="15.75" customHeight="1">
      <c r="A32173" s="15" t="s">
        <v>18461</v>
      </c>
      <c r="B32173" s="15" t="s">
        <v>18461</v>
      </c>
      <c r="C32173" s="15" t="s">
        <v>18455</v>
      </c>
      <c r="D32173" s="15" t="s">
        <v>18461</v>
      </c>
      <c r="E32173" s="2">
        <v>618456</v>
      </c>
      <c r="F32173" s="4" t="e">
        <f>IF(B32173=#REF!,"",B32173)</f>
        <v>#REF!</v>
      </c>
    </row>
    <row r="32174" spans="1:6" ht="15.75" customHeight="1">
      <c r="A32174" s="15" t="s">
        <v>7205</v>
      </c>
      <c r="B32174" s="15" t="s">
        <v>7205</v>
      </c>
      <c r="C32174" s="15" t="s">
        <v>7052</v>
      </c>
      <c r="D32174" s="15" t="s">
        <v>7082</v>
      </c>
      <c r="E32174" s="2">
        <v>3029213</v>
      </c>
      <c r="F32174" s="4" t="e">
        <f>IF(B32174=#REF!,"",B32174)</f>
        <v>#REF!</v>
      </c>
    </row>
    <row r="32175" spans="1:6" ht="15.75" customHeight="1">
      <c r="A32175" s="15" t="s">
        <v>28138</v>
      </c>
      <c r="B32175" s="15" t="s">
        <v>28138</v>
      </c>
      <c r="C32175" s="15" t="s">
        <v>27788</v>
      </c>
      <c r="D32175" s="15" t="s">
        <v>27799</v>
      </c>
      <c r="E32175" s="2">
        <v>4234969</v>
      </c>
      <c r="F32175" s="4" t="e">
        <f>IF(B32175=#REF!,"",B32175)</f>
        <v>#REF!</v>
      </c>
    </row>
    <row r="32176" spans="1:6" ht="15.75" customHeight="1">
      <c r="A32176" s="15" t="s">
        <v>21754</v>
      </c>
      <c r="B32176" s="15" t="s">
        <v>21755</v>
      </c>
      <c r="C32176" s="15" t="s">
        <v>747</v>
      </c>
      <c r="D32176" s="15" t="s">
        <v>21755</v>
      </c>
      <c r="E32176" s="2">
        <v>4563008</v>
      </c>
      <c r="F32176" s="4" t="e">
        <f>IF(B32176=#REF!,"",B32176)</f>
        <v>#REF!</v>
      </c>
    </row>
    <row r="32177" spans="1:6" ht="15.75" customHeight="1">
      <c r="A32177" s="15" t="s">
        <v>30650</v>
      </c>
      <c r="B32177" s="15" t="s">
        <v>30651</v>
      </c>
      <c r="C32177" s="15" t="s">
        <v>5923</v>
      </c>
      <c r="D32177" s="15" t="s">
        <v>30652</v>
      </c>
      <c r="E32177" s="2">
        <v>3647549</v>
      </c>
      <c r="F32177" s="4" t="e">
        <f>IF(B32177=#REF!,"",B32177)</f>
        <v>#REF!</v>
      </c>
    </row>
    <row r="32178" spans="1:6" ht="15.75" customHeight="1">
      <c r="A32178" s="16" t="s">
        <v>7204</v>
      </c>
      <c r="B32178" s="15" t="s">
        <v>7204</v>
      </c>
      <c r="C32178" s="16" t="s">
        <v>7052</v>
      </c>
      <c r="D32178" s="16" t="s">
        <v>7087</v>
      </c>
      <c r="E32178" s="2">
        <v>3029227</v>
      </c>
      <c r="F32178" s="4" t="e">
        <f>IF(B32178=#REF!,"",B32178)</f>
        <v>#REF!</v>
      </c>
    </row>
    <row r="32179" spans="1:6" ht="15.75" customHeight="1">
      <c r="A32179" s="15" t="s">
        <v>15005</v>
      </c>
      <c r="B32179" s="15" t="s">
        <v>15005</v>
      </c>
      <c r="C32179" s="15" t="s">
        <v>14891</v>
      </c>
      <c r="D32179" s="15" t="s">
        <v>14925</v>
      </c>
      <c r="E32179" s="2">
        <v>2525473</v>
      </c>
      <c r="F32179" s="4" t="str">
        <f>IF(B32179=B32178,"",B32179)</f>
        <v>Cagliari</v>
      </c>
    </row>
    <row r="32180" spans="1:6" ht="15.75" customHeight="1">
      <c r="A32180" s="16" t="str">
        <f ca="1">IFERROR(__xludf.DUMMYFUNCTION("GOOGLETRANSLATE(B42036,""en"",""pt"")"),"ÇAğlayancerit")</f>
        <v>ÇAğlayancerit</v>
      </c>
      <c r="B32180" s="20" t="s">
        <v>35894</v>
      </c>
      <c r="C32180" s="20" t="s">
        <v>26201</v>
      </c>
      <c r="D32180" s="20" t="s">
        <v>35847</v>
      </c>
      <c r="E32180" s="10">
        <v>320004</v>
      </c>
      <c r="F32180" s="4" t="e">
        <f>IF(B32180=#REF!,"",B32180)</f>
        <v>#REF!</v>
      </c>
    </row>
    <row r="32181" spans="1:6" ht="15.75" customHeight="1">
      <c r="A32181" s="16" t="s">
        <v>20708</v>
      </c>
      <c r="B32181" s="15" t="s">
        <v>20708</v>
      </c>
      <c r="C32181" s="16" t="s">
        <v>20598</v>
      </c>
      <c r="D32181" s="16" t="s">
        <v>20687</v>
      </c>
      <c r="E32181" s="2">
        <v>1721080</v>
      </c>
      <c r="F32181" s="4" t="str">
        <f>IF(B32181=B32180,"",B32181)</f>
        <v>Cagayan de Oro</v>
      </c>
    </row>
    <row r="32182" spans="1:6" ht="15.75" customHeight="1">
      <c r="A32182" s="15" t="s">
        <v>18459</v>
      </c>
      <c r="B32182" s="15" t="s">
        <v>18460</v>
      </c>
      <c r="C32182" s="15" t="s">
        <v>18455</v>
      </c>
      <c r="D32182" s="15" t="s">
        <v>18460</v>
      </c>
      <c r="E32182" s="2">
        <v>618120</v>
      </c>
      <c r="F32182" s="4" t="str">
        <f>IF(B32182=B32181,"",B32182)</f>
        <v>CÄƒuÅŸeni</v>
      </c>
    </row>
    <row r="32183" spans="1:6" ht="15.75" customHeight="1">
      <c r="A32183" s="16" t="str">
        <f ca="1">IFERROR(__xludf.DUMMYFUNCTION("GOOGLETRANSLATE(B25177,""en"",""pt"")"),"Caetité")</f>
        <v>Caetité</v>
      </c>
      <c r="B32183" s="20" t="s">
        <v>2203</v>
      </c>
      <c r="C32183" s="20" t="s">
        <v>1905</v>
      </c>
      <c r="D32183" s="20" t="s">
        <v>1947</v>
      </c>
      <c r="E32183" s="10">
        <v>3468317</v>
      </c>
      <c r="F32183" s="4" t="str">
        <f>IF(B32183=B32182,"",B32183)</f>
        <v>Caetité</v>
      </c>
    </row>
    <row r="32184" spans="1:6" ht="15.75" customHeight="1">
      <c r="A32184" s="15" t="s">
        <v>2203</v>
      </c>
      <c r="B32184" s="15" t="s">
        <v>2204</v>
      </c>
      <c r="C32184" s="15" t="s">
        <v>1905</v>
      </c>
      <c r="D32184" s="15" t="s">
        <v>1947</v>
      </c>
      <c r="E32184" s="2">
        <v>3468317</v>
      </c>
      <c r="F32184" s="4" t="str">
        <f>IF(B32184=B32183,"",B32184)</f>
        <v>CaetitÃ©</v>
      </c>
    </row>
    <row r="32185" spans="1:6" ht="15.75" customHeight="1">
      <c r="A32185" s="16" t="str">
        <f ca="1">IFERROR(__xludf.DUMMYFUNCTION("GOOGLETRANSLATE(B25178,""en"",""pt"")"),"Caeté")</f>
        <v>Caeté</v>
      </c>
      <c r="B32185" s="20" t="s">
        <v>2201</v>
      </c>
      <c r="C32185" s="20" t="s">
        <v>1905</v>
      </c>
      <c r="D32185" s="20" t="s">
        <v>1917</v>
      </c>
      <c r="E32185" s="10">
        <v>3468327</v>
      </c>
      <c r="F32185" s="4" t="str">
        <f>IF(B32185=B32184,"",B32185)</f>
        <v>Caeté</v>
      </c>
    </row>
    <row r="32186" spans="1:6" ht="15.75" customHeight="1">
      <c r="A32186" s="15" t="s">
        <v>2201</v>
      </c>
      <c r="B32186" s="15" t="s">
        <v>2202</v>
      </c>
      <c r="C32186" s="15" t="s">
        <v>1905</v>
      </c>
      <c r="D32186" s="15" t="s">
        <v>1917</v>
      </c>
      <c r="E32186" s="2">
        <v>3468327</v>
      </c>
      <c r="F32186" s="4" t="e">
        <f>IF(B32186=#REF!,"",B32186)</f>
        <v>#REF!</v>
      </c>
    </row>
    <row r="32187" spans="1:6" ht="15.75" customHeight="1">
      <c r="A32187" s="16" t="s">
        <v>27379</v>
      </c>
      <c r="B32187" s="15" t="s">
        <v>27379</v>
      </c>
      <c r="C32187" s="16" t="s">
        <v>27234</v>
      </c>
      <c r="D32187" s="16" t="s">
        <v>27235</v>
      </c>
      <c r="E32187" s="2">
        <v>2654089</v>
      </c>
      <c r="F32187" s="4" t="e">
        <f>IF(B32187=#REF!,"",B32187)</f>
        <v>#REF!</v>
      </c>
    </row>
    <row r="32188" spans="1:6" ht="15.75" customHeight="1">
      <c r="A32188" s="15" t="s">
        <v>7203</v>
      </c>
      <c r="B32188" s="15" t="s">
        <v>7203</v>
      </c>
      <c r="C32188" s="15" t="s">
        <v>7052</v>
      </c>
      <c r="D32188" s="15" t="s">
        <v>7068</v>
      </c>
      <c r="E32188" s="2">
        <v>3029241</v>
      </c>
      <c r="F32188" s="4" t="e">
        <f>IF(B32188=#REF!,"",B32188)</f>
        <v>#REF!</v>
      </c>
    </row>
    <row r="32189" spans="1:6" ht="15.75" customHeight="1">
      <c r="A32189" s="15" t="s">
        <v>20706</v>
      </c>
      <c r="B32189" s="15" t="s">
        <v>20707</v>
      </c>
      <c r="C32189" s="15" t="s">
        <v>20598</v>
      </c>
      <c r="D32189" s="15" t="s">
        <v>20627</v>
      </c>
      <c r="E32189" s="2">
        <v>1721168</v>
      </c>
      <c r="F32189" s="4" t="e">
        <f>IF(B32189=#REF!,"",B32189)</f>
        <v>#REF!</v>
      </c>
    </row>
    <row r="32190" spans="1:6" ht="15.75" customHeight="1">
      <c r="A32190" s="16" t="s">
        <v>17791</v>
      </c>
      <c r="B32190" s="15" t="s">
        <v>17791</v>
      </c>
      <c r="C32190" s="16" t="s">
        <v>17707</v>
      </c>
      <c r="D32190" s="16" t="s">
        <v>17739</v>
      </c>
      <c r="E32190" s="2">
        <v>3531865</v>
      </c>
      <c r="F32190" s="4" t="str">
        <f>IF(B32190=B32189,"",B32190)</f>
        <v>Cadereyta</v>
      </c>
    </row>
    <row r="32191" spans="1:6" ht="15.75" customHeight="1">
      <c r="A32191" s="16" t="str">
        <f ca="1">IFERROR(__xludf.DUMMYFUNCTION("GOOGLETRANSLATE(B41268,""en"",""pt"")"),"Čadca")</f>
        <v>Čadca</v>
      </c>
      <c r="B32191" s="20" t="s">
        <v>35699</v>
      </c>
      <c r="C32191" s="20" t="s">
        <v>23694</v>
      </c>
      <c r="D32191" s="20" t="s">
        <v>35678</v>
      </c>
      <c r="E32191" s="10">
        <v>3060835</v>
      </c>
      <c r="F32191" s="4" t="e">
        <f>IF(B32191=#REF!,"",B32191)</f>
        <v>#REF!</v>
      </c>
    </row>
    <row r="32192" spans="1:6" ht="15.75" customHeight="1">
      <c r="A32192" s="15" t="s">
        <v>5800</v>
      </c>
      <c r="B32192" s="15" t="s">
        <v>5800</v>
      </c>
      <c r="C32192" s="15" t="s">
        <v>5764</v>
      </c>
      <c r="D32192" s="15" t="s">
        <v>5777</v>
      </c>
      <c r="E32192" s="2">
        <v>3566429</v>
      </c>
      <c r="F32192" s="4" t="e">
        <f>IF(B32192=#REF!,"",B32192)</f>
        <v>#REF!</v>
      </c>
    </row>
    <row r="32193" spans="1:6" ht="15.75" customHeight="1">
      <c r="A32193" s="15" t="s">
        <v>2200</v>
      </c>
      <c r="B32193" s="15" t="s">
        <v>2200</v>
      </c>
      <c r="C32193" s="15" t="s">
        <v>1905</v>
      </c>
      <c r="D32193" s="15" t="s">
        <v>2038</v>
      </c>
      <c r="E32193" s="2">
        <v>3925212</v>
      </c>
      <c r="F32193" s="4" t="e">
        <f>IF(B32193=#REF!,"",B32193)</f>
        <v>#REF!</v>
      </c>
    </row>
    <row r="32194" spans="1:6" ht="15.75" customHeight="1">
      <c r="A32194" s="16" t="s">
        <v>2198</v>
      </c>
      <c r="B32194" s="15" t="s">
        <v>2199</v>
      </c>
      <c r="C32194" s="16" t="s">
        <v>1905</v>
      </c>
      <c r="D32194" s="16" t="s">
        <v>1949</v>
      </c>
      <c r="E32194" s="2">
        <v>3468376</v>
      </c>
      <c r="F32194" s="4" t="e">
        <f>IF(B32194=#REF!,"",B32194)</f>
        <v>#REF!</v>
      </c>
    </row>
    <row r="32195" spans="1:6" ht="15.75" customHeight="1">
      <c r="A32195" s="16" t="s">
        <v>2196</v>
      </c>
      <c r="B32195" s="15" t="s">
        <v>2197</v>
      </c>
      <c r="C32195" s="16" t="s">
        <v>1905</v>
      </c>
      <c r="D32195" s="16" t="s">
        <v>1951</v>
      </c>
      <c r="E32195" s="2">
        <v>3468403</v>
      </c>
      <c r="F32195" s="4" t="e">
        <f>IF(B32195=#REF!,"",B32195)</f>
        <v>#REF!</v>
      </c>
    </row>
    <row r="32196" spans="1:6" ht="15.75" customHeight="1">
      <c r="A32196" s="16" t="s">
        <v>2194</v>
      </c>
      <c r="B32196" s="15" t="s">
        <v>2195</v>
      </c>
      <c r="C32196" s="16" t="s">
        <v>1905</v>
      </c>
      <c r="D32196" s="16" t="s">
        <v>1978</v>
      </c>
      <c r="E32196" s="2">
        <v>3468425</v>
      </c>
      <c r="F32196" s="4" t="e">
        <f>IF(B32196=#REF!,"",B32196)</f>
        <v>#REF!</v>
      </c>
    </row>
    <row r="32197" spans="1:6" ht="15.75" customHeight="1">
      <c r="A32197" s="16" t="s">
        <v>2192</v>
      </c>
      <c r="B32197" s="15" t="s">
        <v>2193</v>
      </c>
      <c r="C32197" s="16" t="s">
        <v>1905</v>
      </c>
      <c r="D32197" s="16" t="s">
        <v>1951</v>
      </c>
      <c r="E32197" s="2">
        <v>3468436</v>
      </c>
      <c r="F32197" s="4" t="e">
        <f>IF(B32197=#REF!,"",B32197)</f>
        <v>#REF!</v>
      </c>
    </row>
    <row r="32198" spans="1:6" ht="15.75" customHeight="1">
      <c r="A32198" s="16" t="s">
        <v>2191</v>
      </c>
      <c r="B32198" s="15" t="s">
        <v>2191</v>
      </c>
      <c r="C32198" s="16" t="s">
        <v>1905</v>
      </c>
      <c r="D32198" s="16" t="s">
        <v>1947</v>
      </c>
      <c r="E32198" s="2">
        <v>3468535</v>
      </c>
      <c r="F32198" s="4" t="e">
        <f>IF(B32198=#REF!,"",B32198)</f>
        <v>#REF!</v>
      </c>
    </row>
    <row r="32199" spans="1:6" ht="15.75" customHeight="1">
      <c r="A32199" s="15" t="s">
        <v>7202</v>
      </c>
      <c r="B32199" s="15" t="s">
        <v>7202</v>
      </c>
      <c r="C32199" s="15" t="s">
        <v>7052</v>
      </c>
      <c r="D32199" s="15" t="s">
        <v>7058</v>
      </c>
      <c r="E32199" s="2">
        <v>3029276</v>
      </c>
      <c r="F32199" s="4" t="str">
        <f>IF(B32199=B32198,"",B32199)</f>
        <v>Cachan</v>
      </c>
    </row>
    <row r="32200" spans="1:6" ht="15.75" customHeight="1">
      <c r="A32200" s="16" t="s">
        <v>2189</v>
      </c>
      <c r="B32200" s="15" t="s">
        <v>2190</v>
      </c>
      <c r="C32200" s="16" t="s">
        <v>1905</v>
      </c>
      <c r="D32200" s="16" t="s">
        <v>1947</v>
      </c>
      <c r="E32200" s="2">
        <v>3466171</v>
      </c>
      <c r="F32200" s="4" t="str">
        <f>IF(B32200=B32199,"",B32200)</f>
        <v>CÃ­cero Dantas</v>
      </c>
    </row>
    <row r="32201" spans="1:6" ht="15.75" customHeight="1">
      <c r="A32201" s="16" t="str">
        <f ca="1">IFERROR(__xludf.DUMMYFUNCTION("GOOGLETRANSLATE(B29166,""en"",""pt"")"),"Cáceres")</f>
        <v>Cáceres</v>
      </c>
      <c r="B32201" s="20" t="s">
        <v>32393</v>
      </c>
      <c r="C32201" s="20" t="s">
        <v>24200</v>
      </c>
      <c r="D32201" s="20" t="s">
        <v>24262</v>
      </c>
      <c r="E32201" s="10">
        <v>2520611</v>
      </c>
      <c r="F32201" s="4" t="str">
        <f>IF(B32201=B32200,"",B32201)</f>
        <v>Cáceres</v>
      </c>
    </row>
    <row r="32202" spans="1:6" ht="15.75" customHeight="1">
      <c r="A32202" s="16" t="str">
        <f ca="1">IFERROR(__xludf.DUMMYFUNCTION("GOOGLETRANSLATE(B39620,""en"",""pt"")"),"Cacém")</f>
        <v>Cacém</v>
      </c>
      <c r="B32202" s="20" t="s">
        <v>35299</v>
      </c>
      <c r="C32202" s="20" t="s">
        <v>21606</v>
      </c>
      <c r="D32202" s="20" t="s">
        <v>21616</v>
      </c>
      <c r="E32202" s="10">
        <v>2270503</v>
      </c>
      <c r="F32202" s="4" t="str">
        <f>IF(B32202=B32201,"",B32202)</f>
        <v>Cacém</v>
      </c>
    </row>
    <row r="32203" spans="1:6" ht="15.75" customHeight="1">
      <c r="A32203" s="16" t="str">
        <f ca="1">IFERROR(__xludf.DUMMYFUNCTION("GOOGLETRANSLATE(B25184,""en"",""pt"")"),"Caçapava do sul")</f>
        <v>Caçapava do sul</v>
      </c>
      <c r="B32203" s="20" t="s">
        <v>31698</v>
      </c>
      <c r="C32203" s="20" t="s">
        <v>1905</v>
      </c>
      <c r="D32203" s="20" t="s">
        <v>1951</v>
      </c>
      <c r="E32203" s="10">
        <v>3468560</v>
      </c>
      <c r="F32203" s="4" t="str">
        <f>IF(B32203=B32202,"",B32203)</f>
        <v>Caçapava do Sul</v>
      </c>
    </row>
    <row r="32204" spans="1:6" ht="15.75" customHeight="1">
      <c r="A32204" s="16" t="str">
        <f ca="1">IFERROR(__xludf.DUMMYFUNCTION("GOOGLETRANSLATE(B25185,""en"",""pt"")"),"Caçapava")</f>
        <v>Caçapava</v>
      </c>
      <c r="B32204" s="20" t="s">
        <v>31699</v>
      </c>
      <c r="C32204" s="20" t="s">
        <v>1905</v>
      </c>
      <c r="D32204" s="20" t="s">
        <v>3354</v>
      </c>
      <c r="E32204" s="10">
        <v>3468562</v>
      </c>
      <c r="F32204" s="4" t="str">
        <f>IF(B32204=B32203,"",B32204)</f>
        <v>Caçapava</v>
      </c>
    </row>
    <row r="32205" spans="1:6" ht="15.75" customHeight="1">
      <c r="A32205" s="16" t="str">
        <f ca="1">IFERROR(__xludf.DUMMYFUNCTION("GOOGLETRANSLATE(B39887,""en"",""pt"")"),"Čačak")</f>
        <v>Čačak</v>
      </c>
      <c r="B32205" s="20" t="s">
        <v>35421</v>
      </c>
      <c r="C32205" s="20" t="s">
        <v>23602</v>
      </c>
      <c r="D32205" s="20" t="s">
        <v>23603</v>
      </c>
      <c r="E32205" s="10">
        <v>792078</v>
      </c>
      <c r="F32205" s="4" t="str">
        <f>IF(B32205=B32204,"",B32205)</f>
        <v>Čačak</v>
      </c>
    </row>
    <row r="32206" spans="1:6" ht="15.75" customHeight="1">
      <c r="A32206" s="16" t="str">
        <f ca="1">IFERROR(__xludf.DUMMYFUNCTION("GOOGLETRANSLATE(B25186,""en"",""pt"")"),"Caçador")</f>
        <v>Caçador</v>
      </c>
      <c r="B32206" s="20" t="s">
        <v>31700</v>
      </c>
      <c r="C32206" s="20" t="s">
        <v>1905</v>
      </c>
      <c r="D32206" s="20" t="s">
        <v>2020</v>
      </c>
      <c r="E32206" s="10">
        <v>3468570</v>
      </c>
      <c r="F32206" s="4" t="str">
        <f>IF(B32206=B32205,"",B32206)</f>
        <v>Caçador</v>
      </c>
    </row>
    <row r="32207" spans="1:6" ht="15.75" customHeight="1">
      <c r="A32207" s="15" t="s">
        <v>21636</v>
      </c>
      <c r="B32207" s="15" t="s">
        <v>21637</v>
      </c>
      <c r="C32207" s="15" t="s">
        <v>21606</v>
      </c>
      <c r="D32207" s="15" t="s">
        <v>21616</v>
      </c>
      <c r="E32207" s="2">
        <v>2270503</v>
      </c>
      <c r="F32207" s="4" t="str">
        <f>IF(B32207=B32206,"",B32207)</f>
        <v>CacÃ©m</v>
      </c>
    </row>
    <row r="32208" spans="1:6" ht="15.75" customHeight="1">
      <c r="A32208" s="16" t="str">
        <f ca="1">IFERROR(__xludf.DUMMYFUNCTION("GOOGLETRANSLATE(B24373,""en"",""pt"")"),"Cabrobó")</f>
        <v>Cabrobó</v>
      </c>
      <c r="B32208" s="20" t="s">
        <v>31414</v>
      </c>
      <c r="C32208" s="20" t="s">
        <v>1905</v>
      </c>
      <c r="D32208" s="20" t="s">
        <v>1909</v>
      </c>
      <c r="E32208" s="10">
        <v>3404513</v>
      </c>
      <c r="F32208" s="4" t="str">
        <f>IF(B32208=B32207,"",B32208)</f>
        <v>Cabrobó</v>
      </c>
    </row>
    <row r="32209" spans="1:6" ht="15.75" customHeight="1">
      <c r="A32209" s="15" t="s">
        <v>2187</v>
      </c>
      <c r="B32209" s="15" t="s">
        <v>2188</v>
      </c>
      <c r="C32209" s="15" t="s">
        <v>1905</v>
      </c>
      <c r="D32209" s="15" t="s">
        <v>1909</v>
      </c>
      <c r="E32209" s="2">
        <v>3404513</v>
      </c>
      <c r="F32209" s="4" t="str">
        <f>IF(B32209=B32208,"",B32209)</f>
        <v>CabrobÃ³</v>
      </c>
    </row>
    <row r="32210" spans="1:6" ht="15.75" customHeight="1">
      <c r="A32210" s="16" t="str">
        <f ca="1">IFERROR(__xludf.DUMMYFUNCTION("GOOGLETRANSLATE(B25187,""en"",""pt"")"),"Cabreúva")</f>
        <v>Cabreúva</v>
      </c>
      <c r="B32210" s="20" t="s">
        <v>31701</v>
      </c>
      <c r="C32210" s="20" t="s">
        <v>1905</v>
      </c>
      <c r="D32210" s="20" t="s">
        <v>3354</v>
      </c>
      <c r="E32210" s="10">
        <v>3468592</v>
      </c>
      <c r="F32210" s="4" t="e">
        <f>IF(B32210=#REF!,"",B32210)</f>
        <v>#REF!</v>
      </c>
    </row>
    <row r="32211" spans="1:6" ht="15.75" customHeight="1">
      <c r="A32211" s="15" t="s">
        <v>4369</v>
      </c>
      <c r="B32211" s="15" t="s">
        <v>4369</v>
      </c>
      <c r="C32211" s="15" t="s">
        <v>4355</v>
      </c>
      <c r="D32211" s="15" t="s">
        <v>4361</v>
      </c>
      <c r="E32211" s="2">
        <v>3897557</v>
      </c>
      <c r="F32211" s="4" t="str">
        <f>IF(B32211=B32210,"",B32211)</f>
        <v>Cabrero</v>
      </c>
    </row>
    <row r="32212" spans="1:6" ht="15.75" customHeight="1">
      <c r="A32212" s="15" t="s">
        <v>2185</v>
      </c>
      <c r="B32212" s="15" t="s">
        <v>2186</v>
      </c>
      <c r="C32212" s="15" t="s">
        <v>1905</v>
      </c>
      <c r="D32212" s="15" t="s">
        <v>1914</v>
      </c>
      <c r="E32212" s="2">
        <v>3468592</v>
      </c>
      <c r="F32212" s="4" t="e">
        <f>IF(B32212=#REF!,"",B32212)</f>
        <v>#REF!</v>
      </c>
    </row>
    <row r="32213" spans="1:6" ht="15.75" customHeight="1">
      <c r="A32213" s="15" t="s">
        <v>24355</v>
      </c>
      <c r="B32213" s="15" t="s">
        <v>24356</v>
      </c>
      <c r="C32213" s="15" t="s">
        <v>24200</v>
      </c>
      <c r="D32213" s="15" t="s">
        <v>24205</v>
      </c>
      <c r="E32213" s="2">
        <v>2520645</v>
      </c>
      <c r="F32213" s="4" t="e">
        <f>IF(B32213=#REF!,"",B32213)</f>
        <v>#REF!</v>
      </c>
    </row>
    <row r="32214" spans="1:6" ht="15.75" customHeight="1">
      <c r="A32214" s="15" t="s">
        <v>28137</v>
      </c>
      <c r="B32214" s="15" t="s">
        <v>28137</v>
      </c>
      <c r="C32214" s="15" t="s">
        <v>27788</v>
      </c>
      <c r="D32214" s="15" t="s">
        <v>27991</v>
      </c>
      <c r="E32214" s="2">
        <v>4103957</v>
      </c>
      <c r="F32214" s="4" t="e">
        <f>IF(B32214=#REF!,"",B32214)</f>
        <v>#REF!</v>
      </c>
    </row>
    <row r="32215" spans="1:6" ht="15.75" customHeight="1">
      <c r="A32215" s="16" t="s">
        <v>926</v>
      </c>
      <c r="B32215" s="15" t="s">
        <v>926</v>
      </c>
      <c r="C32215" s="16" t="s">
        <v>885</v>
      </c>
      <c r="D32215" s="16" t="s">
        <v>910</v>
      </c>
      <c r="E32215" s="2">
        <v>2172832</v>
      </c>
      <c r="F32215" s="4" t="e">
        <f>IF(B32215=#REF!,"",B32215)</f>
        <v>#REF!</v>
      </c>
    </row>
    <row r="32216" spans="1:6" ht="15.75" customHeight="1">
      <c r="A32216" s="16" t="s">
        <v>17789</v>
      </c>
      <c r="B32216" s="15" t="s">
        <v>17789</v>
      </c>
      <c r="C32216" s="16" t="s">
        <v>17707</v>
      </c>
      <c r="D32216" s="16" t="s">
        <v>17790</v>
      </c>
      <c r="E32216" s="2">
        <v>3985710</v>
      </c>
      <c r="F32216" s="4" t="e">
        <f>IF(B32216=#REF!,"",B32216)</f>
        <v>#REF!</v>
      </c>
    </row>
    <row r="32217" spans="1:6" ht="15.75" customHeight="1">
      <c r="A32217" s="15" t="s">
        <v>2184</v>
      </c>
      <c r="B32217" s="15" t="s">
        <v>2184</v>
      </c>
      <c r="C32217" s="15" t="s">
        <v>1905</v>
      </c>
      <c r="D32217" s="15" t="s">
        <v>1978</v>
      </c>
      <c r="E32217" s="2">
        <v>3468615</v>
      </c>
      <c r="F32217" s="4" t="e">
        <f>IF(B32217=#REF!,"",B32217)</f>
        <v>#REF!</v>
      </c>
    </row>
    <row r="32218" spans="1:6" ht="15.75" customHeight="1">
      <c r="A32218" s="15" t="s">
        <v>2183</v>
      </c>
      <c r="B32218" s="15" t="s">
        <v>2183</v>
      </c>
      <c r="C32218" s="15" t="s">
        <v>1905</v>
      </c>
      <c r="D32218" s="15" t="s">
        <v>1909</v>
      </c>
      <c r="E32218" s="2">
        <v>3404545</v>
      </c>
      <c r="F32218" s="4" t="e">
        <f>IF(B32218=#REF!,"",B32218)</f>
        <v>#REF!</v>
      </c>
    </row>
    <row r="32219" spans="1:6" ht="15.75" customHeight="1">
      <c r="A32219" s="15" t="s">
        <v>511</v>
      </c>
      <c r="B32219" s="15" t="s">
        <v>511</v>
      </c>
      <c r="C32219" s="15" t="s">
        <v>507</v>
      </c>
      <c r="D32219" s="15" t="s">
        <v>511</v>
      </c>
      <c r="E32219" s="2">
        <v>2243271</v>
      </c>
      <c r="F32219" s="4" t="e">
        <f>IF(B32219=#REF!,"",B32219)</f>
        <v>#REF!</v>
      </c>
    </row>
    <row r="32220" spans="1:6" ht="15.75" customHeight="1">
      <c r="A32220" s="15" t="s">
        <v>30648</v>
      </c>
      <c r="B32220" s="15" t="s">
        <v>30648</v>
      </c>
      <c r="C32220" s="15" t="s">
        <v>5923</v>
      </c>
      <c r="D32220" s="15" t="s">
        <v>30649</v>
      </c>
      <c r="E32220" s="2">
        <v>3647651</v>
      </c>
      <c r="F32220" s="4" t="e">
        <f>IF(B32220=#REF!,"",B32220)</f>
        <v>#REF!</v>
      </c>
    </row>
    <row r="32221" spans="1:6" ht="15.75" customHeight="1">
      <c r="A32221" s="15" t="s">
        <v>20705</v>
      </c>
      <c r="B32221" s="15" t="s">
        <v>20705</v>
      </c>
      <c r="C32221" s="15" t="s">
        <v>20598</v>
      </c>
      <c r="D32221" s="15" t="s">
        <v>20599</v>
      </c>
      <c r="E32221" s="2">
        <v>1721636</v>
      </c>
      <c r="F32221" s="4" t="e">
        <f>IF(B32221=#REF!,"",B32221)</f>
        <v>#REF!</v>
      </c>
    </row>
    <row r="32222" spans="1:6" ht="15.75" customHeight="1">
      <c r="A32222" s="15" t="s">
        <v>2182</v>
      </c>
      <c r="B32222" s="15" t="s">
        <v>2182</v>
      </c>
      <c r="C32222" s="15" t="s">
        <v>1905</v>
      </c>
      <c r="D32222" s="15" t="s">
        <v>1944</v>
      </c>
      <c r="E32222" s="2">
        <v>3404558</v>
      </c>
      <c r="F32222" s="4" t="e">
        <f>IF(B32222=#REF!,"",B32222)</f>
        <v>#REF!</v>
      </c>
    </row>
    <row r="32223" spans="1:6" ht="15.75" customHeight="1">
      <c r="A32223" s="16" t="s">
        <v>20704</v>
      </c>
      <c r="B32223" s="15" t="s">
        <v>20704</v>
      </c>
      <c r="C32223" s="16" t="s">
        <v>20598</v>
      </c>
      <c r="D32223" s="16" t="s">
        <v>20658</v>
      </c>
      <c r="E32223" s="2">
        <v>1721695</v>
      </c>
      <c r="F32223" s="4" t="e">
        <f>IF(B32223=#REF!,"",B32223)</f>
        <v>#REF!</v>
      </c>
    </row>
    <row r="32224" spans="1:6" ht="15.75" customHeight="1">
      <c r="A32224" s="16" t="s">
        <v>20702</v>
      </c>
      <c r="B32224" s="15" t="s">
        <v>20703</v>
      </c>
      <c r="C32224" s="16" t="s">
        <v>20598</v>
      </c>
      <c r="D32224" s="16" t="s">
        <v>20599</v>
      </c>
      <c r="E32224" s="2">
        <v>1721906</v>
      </c>
      <c r="F32224" s="4" t="str">
        <f>IF(B32224=B32223,"",B32224)</f>
        <v>Cabanatuan City</v>
      </c>
    </row>
    <row r="32225" spans="1:6" ht="15.75" customHeight="1">
      <c r="A32225" s="16" t="str">
        <f ca="1">IFERROR(__xludf.DUMMYFUNCTION("GOOGLETRANSLATE(B27205,""en"",""pt"")"),"Cabaiguán")</f>
        <v>Cabaiguán</v>
      </c>
      <c r="B32225" s="20" t="s">
        <v>31928</v>
      </c>
      <c r="C32225" s="20" t="s">
        <v>5764</v>
      </c>
      <c r="D32225" s="20" t="s">
        <v>31901</v>
      </c>
      <c r="E32225" s="10">
        <v>3566603</v>
      </c>
      <c r="F32225" s="4" t="str">
        <f>IF(B32225=B32224,"",B32225)</f>
        <v>Cabaiguán</v>
      </c>
    </row>
    <row r="32226" spans="1:6" ht="15.75" customHeight="1">
      <c r="A32226" s="15" t="s">
        <v>5797</v>
      </c>
      <c r="B32226" s="15" t="s">
        <v>5798</v>
      </c>
      <c r="C32226" s="15" t="s">
        <v>5764</v>
      </c>
      <c r="D32226" s="15" t="s">
        <v>5799</v>
      </c>
      <c r="E32226" s="2">
        <v>3566603</v>
      </c>
      <c r="F32226" s="4" t="e">
        <f>IF(B32226=#REF!,"",B32226)</f>
        <v>#REF!</v>
      </c>
    </row>
    <row r="32227" spans="1:6" ht="15.75" customHeight="1">
      <c r="A32227" s="15" t="s">
        <v>20701</v>
      </c>
      <c r="B32227" s="15" t="s">
        <v>20701</v>
      </c>
      <c r="C32227" s="15" t="s">
        <v>20598</v>
      </c>
      <c r="D32227" s="15" t="s">
        <v>20611</v>
      </c>
      <c r="E32227" s="2">
        <v>1722005</v>
      </c>
      <c r="F32227" s="4" t="e">
        <f>IF(B32227=#REF!,"",B32227)</f>
        <v>#REF!</v>
      </c>
    </row>
    <row r="32228" spans="1:6" ht="15.75" customHeight="1">
      <c r="A32228" s="16" t="s">
        <v>20700</v>
      </c>
      <c r="B32228" s="15" t="s">
        <v>20700</v>
      </c>
      <c r="C32228" s="16" t="s">
        <v>20598</v>
      </c>
      <c r="D32228" s="16" t="s">
        <v>20647</v>
      </c>
      <c r="E32228" s="2">
        <v>1722032</v>
      </c>
      <c r="F32228" s="4" t="str">
        <f>IF(B32228=B32227,"",B32228)</f>
        <v>Cabadbaran</v>
      </c>
    </row>
    <row r="32229" spans="1:6" ht="15.75" customHeight="1">
      <c r="A32229" s="15" t="s">
        <v>20439</v>
      </c>
      <c r="B32229" s="15" t="s">
        <v>20440</v>
      </c>
      <c r="C32229" s="15" t="s">
        <v>20433</v>
      </c>
      <c r="D32229" s="15" t="s">
        <v>20440</v>
      </c>
      <c r="E32229" s="2">
        <v>3439297</v>
      </c>
      <c r="F32229" s="4" t="str">
        <f>IF(B32229=B32228,"",B32229)</f>
        <v>CaazapÃ¡</v>
      </c>
    </row>
    <row r="32230" spans="1:6" ht="15.75" customHeight="1">
      <c r="A32230" s="16" t="str">
        <f ca="1">IFERROR(__xludf.DUMMYFUNCTION("GOOGLETRANSLATE(B39699,""en"",""pt"")"),"Caazapá")</f>
        <v>Caazapá</v>
      </c>
      <c r="B32230" s="20" t="s">
        <v>20439</v>
      </c>
      <c r="C32230" s="20" t="s">
        <v>20433</v>
      </c>
      <c r="D32230" s="20" t="s">
        <v>20439</v>
      </c>
      <c r="E32230" s="10">
        <v>3439297</v>
      </c>
      <c r="F32230" s="4" t="str">
        <f>IF(B32230=B32229,"",B32230)</f>
        <v>Caazapá</v>
      </c>
    </row>
    <row r="32231" spans="1:6" ht="15.75" customHeight="1">
      <c r="A32231" s="16" t="str">
        <f ca="1">IFERROR(__xludf.DUMMYFUNCTION("GOOGLETRANSLATE(B23166,""en"",""pt"")"),"Caála")</f>
        <v>Caála</v>
      </c>
      <c r="B32231" s="20" t="s">
        <v>31163</v>
      </c>
      <c r="C32231" s="20" t="s">
        <v>507</v>
      </c>
      <c r="D32231" s="20" t="s">
        <v>510</v>
      </c>
      <c r="E32231" s="10">
        <v>3351500</v>
      </c>
      <c r="F32231" s="4" t="str">
        <f>IF(B32231=B32230,"",B32231)</f>
        <v>Caála</v>
      </c>
    </row>
    <row r="32232" spans="1:6" ht="15.75" customHeight="1">
      <c r="A32232" s="16" t="str">
        <f ca="1">IFERROR(__xludf.DUMMYFUNCTION("GOOGLETRANSLATE(B39700,""en"",""pt"")"),"Caaguazú")</f>
        <v>Caaguazú</v>
      </c>
      <c r="B32232" s="20" t="s">
        <v>35319</v>
      </c>
      <c r="C32232" s="20" t="s">
        <v>20433</v>
      </c>
      <c r="D32232" s="20" t="s">
        <v>35319</v>
      </c>
      <c r="E32232" s="10">
        <v>3439317</v>
      </c>
      <c r="F32232" s="4" t="str">
        <f>IF(B32232=B32231,"",B32232)</f>
        <v>Caaguazú</v>
      </c>
    </row>
    <row r="32233" spans="1:6" ht="15.75" customHeight="1">
      <c r="A32233" s="15" t="s">
        <v>20437</v>
      </c>
      <c r="B32233" s="15" t="s">
        <v>20438</v>
      </c>
      <c r="C32233" s="15" t="s">
        <v>20433</v>
      </c>
      <c r="D32233" s="15" t="s">
        <v>20438</v>
      </c>
      <c r="E32233" s="2">
        <v>3439317</v>
      </c>
      <c r="F32233" s="4" t="str">
        <f>IF(B32233=B32232,"",B32233)</f>
        <v>CaaguazÃº</v>
      </c>
    </row>
    <row r="32234" spans="1:6" ht="15.75" customHeight="1">
      <c r="A32234" s="16" t="str">
        <f ca="1">IFERROR(__xludf.DUMMYFUNCTION("GOOGLETRANSLATE(B39701,""en"",""pt"")"),"Caacupé")</f>
        <v>Caacupé</v>
      </c>
      <c r="B32234" s="20" t="s">
        <v>35321</v>
      </c>
      <c r="C32234" s="20" t="s">
        <v>20433</v>
      </c>
      <c r="D32234" s="20" t="s">
        <v>20436</v>
      </c>
      <c r="E32234" s="10">
        <v>3439320</v>
      </c>
      <c r="F32234" s="4" t="str">
        <f>IF(B32234=B32233,"",B32234)</f>
        <v>Caacupé</v>
      </c>
    </row>
    <row r="32235" spans="1:6" ht="15.75" customHeight="1">
      <c r="A32235" s="16" t="s">
        <v>20434</v>
      </c>
      <c r="B32235" s="15" t="s">
        <v>20435</v>
      </c>
      <c r="C32235" s="16" t="s">
        <v>20433</v>
      </c>
      <c r="D32235" s="16" t="s">
        <v>20436</v>
      </c>
      <c r="E32235" s="2">
        <v>3439320</v>
      </c>
      <c r="F32235" s="4" t="str">
        <f>IF(B32235=B32234,"",B32235)</f>
        <v>CaacupÃ©</v>
      </c>
    </row>
    <row r="32236" spans="1:6" ht="15.75" customHeight="1">
      <c r="A32236" s="16" t="s">
        <v>2180</v>
      </c>
      <c r="B32236" s="15" t="s">
        <v>2181</v>
      </c>
      <c r="C32236" s="16" t="s">
        <v>1905</v>
      </c>
      <c r="D32236" s="16" t="s">
        <v>1951</v>
      </c>
      <c r="E32236" s="2">
        <v>3468560</v>
      </c>
      <c r="F32236" s="4" t="str">
        <f>IF(B32236=B32235,"",B32236)</f>
        <v>CaÃ§apava do Sul</v>
      </c>
    </row>
    <row r="32237" spans="1:6" ht="15.75" customHeight="1">
      <c r="A32237" s="16" t="s">
        <v>2178</v>
      </c>
      <c r="B32237" s="15" t="s">
        <v>2179</v>
      </c>
      <c r="C32237" s="16" t="s">
        <v>1905</v>
      </c>
      <c r="D32237" s="16" t="s">
        <v>1914</v>
      </c>
      <c r="E32237" s="2">
        <v>3468562</v>
      </c>
      <c r="F32237" s="4" t="str">
        <f>IF(B32237=B32236,"",B32237)</f>
        <v>CaÃ§apava</v>
      </c>
    </row>
    <row r="32238" spans="1:6" ht="15.75" customHeight="1">
      <c r="A32238" s="15" t="s">
        <v>2176</v>
      </c>
      <c r="B32238" s="15" t="s">
        <v>2177</v>
      </c>
      <c r="C32238" s="15" t="s">
        <v>1905</v>
      </c>
      <c r="D32238" s="15" t="s">
        <v>2020</v>
      </c>
      <c r="E32238" s="2">
        <v>3468570</v>
      </c>
      <c r="F32238" s="4" t="str">
        <f>IF(B32238=B32237,"",B32238)</f>
        <v>CaÃ§ador</v>
      </c>
    </row>
    <row r="32239" spans="1:6" ht="15.75" customHeight="1">
      <c r="A32239" s="16" t="s">
        <v>28135</v>
      </c>
      <c r="B32239" s="15" t="s">
        <v>28136</v>
      </c>
      <c r="C32239" s="16" t="s">
        <v>27788</v>
      </c>
      <c r="D32239" s="16" t="s">
        <v>2341</v>
      </c>
      <c r="E32239" s="2">
        <v>5416005</v>
      </c>
      <c r="F32239" s="4" t="str">
        <f>IF(B32239=B32238,"",B32239)</f>
        <v>CaÃ±on City</v>
      </c>
    </row>
    <row r="32240" spans="1:6" ht="15.75" customHeight="1">
      <c r="A32240" s="15" t="s">
        <v>4367</v>
      </c>
      <c r="B32240" s="15" t="s">
        <v>4368</v>
      </c>
      <c r="C32240" s="15" t="s">
        <v>4355</v>
      </c>
      <c r="D32240" s="15" t="s">
        <v>4361</v>
      </c>
      <c r="E32240" s="2">
        <v>3896924</v>
      </c>
      <c r="F32240" s="4" t="str">
        <f>IF(B32240=B32239,"",B32240)</f>
        <v>CaÃ±ete</v>
      </c>
    </row>
    <row r="32241" spans="1:6" ht="15.75" customHeight="1">
      <c r="A32241" s="16" t="s">
        <v>5669</v>
      </c>
      <c r="B32241" s="15" t="s">
        <v>5670</v>
      </c>
      <c r="C32241" s="16" t="s">
        <v>5665</v>
      </c>
      <c r="D32241" s="16" t="s">
        <v>5671</v>
      </c>
      <c r="E32241" s="2">
        <v>3624468</v>
      </c>
      <c r="F32241" s="4" t="str">
        <f>IF(B32241=B32240,"",B32241)</f>
        <v>CaÃ±as</v>
      </c>
    </row>
    <row r="32242" spans="1:6" ht="15.75" customHeight="1">
      <c r="A32242" s="16" t="s">
        <v>592</v>
      </c>
      <c r="B32242" s="15" t="s">
        <v>593</v>
      </c>
      <c r="C32242" s="16" t="s">
        <v>558</v>
      </c>
      <c r="D32242" s="16" t="s">
        <v>579</v>
      </c>
      <c r="E32242" s="2">
        <v>3862981</v>
      </c>
      <c r="F32242" s="4" t="str">
        <f>IF(B32242=B32241,"",B32242)</f>
        <v>CaÃ±ada de GÃ³mez</v>
      </c>
    </row>
    <row r="32243" spans="1:6" ht="15.75" customHeight="1">
      <c r="A32243" s="15" t="s">
        <v>508</v>
      </c>
      <c r="B32243" s="15" t="s">
        <v>509</v>
      </c>
      <c r="C32243" s="15" t="s">
        <v>507</v>
      </c>
      <c r="D32243" s="15" t="s">
        <v>510</v>
      </c>
      <c r="E32243" s="2">
        <v>3351500</v>
      </c>
      <c r="F32243" s="4" t="e">
        <f>IF(B32243=#REF!,"",B32243)</f>
        <v>#REF!</v>
      </c>
    </row>
    <row r="32244" spans="1:6" ht="15.75" customHeight="1">
      <c r="A32244" s="15" t="s">
        <v>590</v>
      </c>
      <c r="B32244" s="15" t="s">
        <v>591</v>
      </c>
      <c r="C32244" s="15" t="s">
        <v>558</v>
      </c>
      <c r="D32244" s="15" t="s">
        <v>573</v>
      </c>
      <c r="E32244" s="2">
        <v>3860259</v>
      </c>
      <c r="F32244" s="4" t="str">
        <f>IF(B32244=B32243,"",B32244)</f>
        <v>CÃ³rdoba</v>
      </c>
    </row>
    <row r="32245" spans="1:6" ht="15.75" customHeight="1">
      <c r="A32245" s="15" t="s">
        <v>30815</v>
      </c>
      <c r="B32245" s="15" t="s">
        <v>30816</v>
      </c>
      <c r="C32245" s="15" t="s">
        <v>30784</v>
      </c>
      <c r="D32245" s="15" t="s">
        <v>30817</v>
      </c>
      <c r="E32245" s="2">
        <v>1584661</v>
      </c>
      <c r="F32245" s="4" t="str">
        <f>IF(B32245=B32244,"",B32245)</f>
        <v>Cá»§ Chi</v>
      </c>
    </row>
    <row r="32246" spans="1:6" ht="15.75" customHeight="1">
      <c r="A32246" s="16" t="s">
        <v>2174</v>
      </c>
      <c r="B32246" s="15" t="s">
        <v>2175</v>
      </c>
      <c r="C32246" s="16" t="s">
        <v>1905</v>
      </c>
      <c r="D32246" s="16" t="s">
        <v>1914</v>
      </c>
      <c r="E32246" s="2">
        <v>3467542</v>
      </c>
      <c r="F32246" s="4" t="str">
        <f>IF(B32246=B32245,"",B32246)</f>
        <v>CÃ¢ndido Mota</v>
      </c>
    </row>
    <row r="32247" spans="1:6" ht="15.75" customHeight="1">
      <c r="A32247" s="16" t="s">
        <v>21883</v>
      </c>
      <c r="B32247" s="15" t="s">
        <v>21884</v>
      </c>
      <c r="C32247" s="16" t="s">
        <v>21824</v>
      </c>
      <c r="D32247" s="16" t="s">
        <v>21885</v>
      </c>
      <c r="E32247" s="2">
        <v>681845</v>
      </c>
      <c r="F32247" s="4" t="str">
        <f>IF(B32247=B32246,"",B32247)</f>
        <v>CÃ¢mpulung Moldovenesc</v>
      </c>
    </row>
    <row r="32248" spans="1:6" ht="15.75" customHeight="1">
      <c r="A32248" s="15" t="s">
        <v>21881</v>
      </c>
      <c r="B32248" s="15" t="s">
        <v>21882</v>
      </c>
      <c r="C32248" s="15" t="s">
        <v>21824</v>
      </c>
      <c r="D32248" s="15" t="s">
        <v>21840</v>
      </c>
      <c r="E32248" s="2">
        <v>681862</v>
      </c>
      <c r="F32248" s="4" t="str">
        <f>IF(B32248=B32247,"",B32248)</f>
        <v>CÃ¢mpina</v>
      </c>
    </row>
    <row r="32249" spans="1:6" ht="15.75" customHeight="1">
      <c r="A32249" s="16" t="s">
        <v>21878</v>
      </c>
      <c r="B32249" s="15" t="s">
        <v>21879</v>
      </c>
      <c r="C32249" s="16" t="s">
        <v>21824</v>
      </c>
      <c r="D32249" s="16" t="s">
        <v>21880</v>
      </c>
      <c r="E32249" s="2">
        <v>681865</v>
      </c>
      <c r="F32249" s="4" t="str">
        <f>IF(B32249=B32248,"",B32249)</f>
        <v>CÃ¢mpia Turzii</v>
      </c>
    </row>
    <row r="32250" spans="1:6" ht="15.75" customHeight="1">
      <c r="A32250" s="16" t="s">
        <v>21633</v>
      </c>
      <c r="B32250" s="15" t="s">
        <v>21634</v>
      </c>
      <c r="C32250" s="16" t="s">
        <v>21606</v>
      </c>
      <c r="D32250" s="16" t="s">
        <v>21635</v>
      </c>
      <c r="E32250" s="2">
        <v>2270380</v>
      </c>
      <c r="F32250" s="4" t="str">
        <f>IF(B32250=B32249,"",B32250)</f>
        <v>CÃ¢mara de Lobos</v>
      </c>
    </row>
    <row r="32251" spans="1:6" ht="15.75" customHeight="1">
      <c r="A32251" s="15" t="s">
        <v>16980</v>
      </c>
      <c r="B32251" s="15" t="s">
        <v>16981</v>
      </c>
      <c r="C32251" s="15" t="s">
        <v>16982</v>
      </c>
      <c r="D32251" s="15" t="s">
        <v>16983</v>
      </c>
      <c r="E32251" s="2">
        <v>460570</v>
      </c>
      <c r="F32251" s="4" t="str">
        <f>IF(B32251=B32250,"",B32251)</f>
        <v>CÄ“sis</v>
      </c>
    </row>
    <row r="32252" spans="1:6" ht="15.75" customHeight="1">
      <c r="A32252" s="16" t="s">
        <v>4008</v>
      </c>
      <c r="B32252" s="15" t="s">
        <v>4009</v>
      </c>
      <c r="C32252" s="16" t="s">
        <v>3975</v>
      </c>
      <c r="D32252" s="16" t="s">
        <v>3982</v>
      </c>
      <c r="E32252" s="2">
        <v>5928488</v>
      </c>
      <c r="F32252" s="4" t="str">
        <f>IF(B32252=B32251,"",B32252)</f>
        <v>CÃ´te-Saint-Luc</v>
      </c>
    </row>
    <row r="32253" spans="1:6" ht="15.75" customHeight="1">
      <c r="A32253" s="15" t="s">
        <v>30812</v>
      </c>
      <c r="B32253" s="15" t="s">
        <v>30813</v>
      </c>
      <c r="C32253" s="15" t="s">
        <v>30784</v>
      </c>
      <c r="D32253" s="15" t="s">
        <v>30814</v>
      </c>
      <c r="E32253" s="2">
        <v>1586052</v>
      </c>
      <c r="F32253" s="4" t="str">
        <f>IF(B32253=B32252,"",B32253)</f>
        <v>CÃ¡t BÃ </v>
      </c>
    </row>
    <row r="32254" spans="1:6" ht="15.75" customHeight="1">
      <c r="A32254" s="15" t="s">
        <v>24353</v>
      </c>
      <c r="B32254" s="15" t="s">
        <v>24354</v>
      </c>
      <c r="C32254" s="15" t="s">
        <v>24200</v>
      </c>
      <c r="D32254" s="15" t="s">
        <v>24205</v>
      </c>
      <c r="E32254" s="2">
        <v>2520055</v>
      </c>
      <c r="F32254" s="4" t="e">
        <f>IF(B32254=#REF!,"",B32254)</f>
        <v>#REF!</v>
      </c>
    </row>
    <row r="32255" spans="1:6" ht="15.75" customHeight="1">
      <c r="A32255" s="15" t="s">
        <v>5794</v>
      </c>
      <c r="B32255" s="15" t="s">
        <v>5795</v>
      </c>
      <c r="C32255" s="15" t="s">
        <v>5764</v>
      </c>
      <c r="D32255" s="15" t="s">
        <v>5796</v>
      </c>
      <c r="E32255" s="2">
        <v>3565432</v>
      </c>
      <c r="F32255" s="4" t="str">
        <f>IF(B32255=B32254,"",B32255)</f>
        <v>CÃ¡rdenas</v>
      </c>
    </row>
    <row r="32256" spans="1:6" ht="15.75" customHeight="1">
      <c r="A32256" s="15" t="s">
        <v>5794</v>
      </c>
      <c r="B32256" s="15" t="s">
        <v>24352</v>
      </c>
      <c r="C32256" s="15" t="s">
        <v>24200</v>
      </c>
      <c r="D32256" s="15" t="s">
        <v>24262</v>
      </c>
      <c r="E32256" s="2">
        <v>2520611</v>
      </c>
      <c r="F32256" s="4" t="str">
        <f>IF(B32256=B32255,"",B32256)</f>
        <v>CÃ¡ceres</v>
      </c>
    </row>
    <row r="32257" spans="1:6" ht="15.75" customHeight="1">
      <c r="A32257" s="15" t="s">
        <v>30810</v>
      </c>
      <c r="B32257" s="15" t="s">
        <v>30811</v>
      </c>
      <c r="C32257" s="15" t="s">
        <v>30784</v>
      </c>
      <c r="D32257" s="15" t="s">
        <v>30811</v>
      </c>
      <c r="E32257" s="2">
        <v>1586443</v>
      </c>
      <c r="F32257" s="4" t="str">
        <f>IF(B32257=B32256,"",B32257)</f>
        <v>CÃ  Mau</v>
      </c>
    </row>
    <row r="32258" spans="1:6" ht="15.75" customHeight="1">
      <c r="A32258" s="16" t="str">
        <f ca="1">IFERROR(__xludf.DUMMYFUNCTION("GOOGLETRANSLATE(B45781,""en"",""pt"")"),"Cà Mau")</f>
        <v>Cà Mau</v>
      </c>
      <c r="B32258" s="20" t="s">
        <v>36190</v>
      </c>
      <c r="C32258" s="20" t="s">
        <v>30784</v>
      </c>
      <c r="D32258" s="20" t="s">
        <v>36190</v>
      </c>
      <c r="E32258" s="10">
        <v>1586443</v>
      </c>
      <c r="F32258" s="4" t="e">
        <f>IF(B32258=#REF!,"",B32258)</f>
        <v>#REF!</v>
      </c>
    </row>
    <row r="32259" spans="1:6" ht="15.75" customHeight="1">
      <c r="A32259" s="15" t="s">
        <v>23415</v>
      </c>
      <c r="B32259" s="15" t="s">
        <v>23415</v>
      </c>
      <c r="C32259" s="15" t="s">
        <v>23413</v>
      </c>
      <c r="D32259" s="15" t="s">
        <v>20426</v>
      </c>
      <c r="E32259" s="2">
        <v>203104</v>
      </c>
      <c r="F32259" s="4" t="str">
        <f>IF(B32259=B32258,"",B32259)</f>
        <v>Byumba</v>
      </c>
    </row>
    <row r="32260" spans="1:6" ht="15.75" customHeight="1">
      <c r="A32260" s="16" t="str">
        <f ca="1">IFERROR(__xludf.DUMMYFUNCTION("GOOGLETRANSLATE(B39481,""en"",""pt"")"),"Bytów")</f>
        <v>Bytów</v>
      </c>
      <c r="B32260" s="20" t="s">
        <v>35242</v>
      </c>
      <c r="C32260" s="20" t="s">
        <v>21064</v>
      </c>
      <c r="D32260" s="20" t="s">
        <v>21173</v>
      </c>
      <c r="E32260" s="10">
        <v>3101943</v>
      </c>
      <c r="F32260" s="4" t="e">
        <f>IF(B32260=#REF!,"",B32260)</f>
        <v>#REF!</v>
      </c>
    </row>
    <row r="32261" spans="1:6" ht="15.75" customHeight="1">
      <c r="A32261" s="15" t="s">
        <v>21174</v>
      </c>
      <c r="B32261" s="15" t="s">
        <v>21174</v>
      </c>
      <c r="C32261" s="15" t="s">
        <v>21064</v>
      </c>
      <c r="D32261" s="15" t="s">
        <v>21073</v>
      </c>
      <c r="E32261" s="2">
        <v>3101950</v>
      </c>
      <c r="F32261" s="4" t="str">
        <f>IF(B32261=B32260,"",B32261)</f>
        <v>Bytom</v>
      </c>
    </row>
    <row r="32262" spans="1:6" ht="15.75" customHeight="1">
      <c r="A32262" s="15" t="s">
        <v>21171</v>
      </c>
      <c r="B32262" s="15" t="s">
        <v>21172</v>
      </c>
      <c r="C32262" s="15" t="s">
        <v>21064</v>
      </c>
      <c r="D32262" s="15" t="s">
        <v>21173</v>
      </c>
      <c r="E32262" s="2">
        <v>3101943</v>
      </c>
      <c r="F32262" s="4" t="e">
        <f>IF(B32262=#REF!,"",B32262)</f>
        <v>#REF!</v>
      </c>
    </row>
    <row r="32263" spans="1:6" ht="15.75" customHeight="1">
      <c r="A32263" s="15" t="s">
        <v>10854</v>
      </c>
      <c r="B32263" s="15" t="s">
        <v>10854</v>
      </c>
      <c r="C32263" s="15" t="s">
        <v>10178</v>
      </c>
      <c r="D32263" s="15" t="s">
        <v>10252</v>
      </c>
      <c r="E32263" s="2">
        <v>1277759</v>
      </c>
      <c r="F32263" s="4" t="e">
        <f>IF(B32263=#REF!,"",B32263)</f>
        <v>#REF!</v>
      </c>
    </row>
    <row r="32264" spans="1:6" ht="15.75" customHeight="1">
      <c r="A32264" s="15" t="s">
        <v>1459</v>
      </c>
      <c r="B32264" s="15" t="s">
        <v>1459</v>
      </c>
      <c r="C32264" s="15" t="s">
        <v>1453</v>
      </c>
      <c r="D32264" s="15" t="s">
        <v>1454</v>
      </c>
      <c r="E32264" s="2">
        <v>629447</v>
      </c>
      <c r="F32264" s="4" t="e">
        <f>IF(B32264=#REF!,"",B32264)</f>
        <v>#REF!</v>
      </c>
    </row>
    <row r="32265" spans="1:6" ht="15.75" customHeight="1">
      <c r="A32265" s="16" t="s">
        <v>21170</v>
      </c>
      <c r="B32265" s="15" t="s">
        <v>21170</v>
      </c>
      <c r="C32265" s="16" t="s">
        <v>21064</v>
      </c>
      <c r="D32265" s="16" t="s">
        <v>21125</v>
      </c>
      <c r="E32265" s="2">
        <v>3102014</v>
      </c>
      <c r="F32265" s="4" t="e">
        <f>IF(B32265=#REF!,"",B32265)</f>
        <v>#REF!</v>
      </c>
    </row>
    <row r="32266" spans="1:6" ht="15.75" customHeight="1">
      <c r="A32266" s="15" t="s">
        <v>1458</v>
      </c>
      <c r="B32266" s="15" t="s">
        <v>1458</v>
      </c>
      <c r="C32266" s="15" t="s">
        <v>1453</v>
      </c>
      <c r="D32266" s="15" t="s">
        <v>1457</v>
      </c>
      <c r="E32266" s="2">
        <v>629454</v>
      </c>
      <c r="F32266" s="4" t="str">
        <f>IF(B32266=B32265,"",B32266)</f>
        <v>Byaroza</v>
      </c>
    </row>
    <row r="32267" spans="1:6" ht="15.75" customHeight="1">
      <c r="A32267" s="16" t="str">
        <f ca="1">IFERROR(__xludf.DUMMYFUNCTION("GOOGLETRANSLATE(B33767,""en"",""pt"")"),"Byādgi")</f>
        <v>Byādgi</v>
      </c>
      <c r="B32267" s="20" t="s">
        <v>33851</v>
      </c>
      <c r="C32267" s="20" t="s">
        <v>10178</v>
      </c>
      <c r="D32267" s="20" t="s">
        <v>10252</v>
      </c>
      <c r="E32267" s="10">
        <v>1275016</v>
      </c>
      <c r="F32267" s="4" t="str">
        <f>IF(B32267=B32266,"",B32267)</f>
        <v>Byādgi</v>
      </c>
    </row>
    <row r="32268" spans="1:6" ht="15.75" customHeight="1">
      <c r="A32268" s="15" t="s">
        <v>10852</v>
      </c>
      <c r="B32268" s="15" t="s">
        <v>10853</v>
      </c>
      <c r="C32268" s="15" t="s">
        <v>10178</v>
      </c>
      <c r="D32268" s="15" t="s">
        <v>10252</v>
      </c>
      <c r="E32268" s="2">
        <v>1275016</v>
      </c>
      <c r="F32268" s="4" t="e">
        <f>IF(B32268=#REF!,"",B32268)</f>
        <v>#REF!</v>
      </c>
    </row>
    <row r="32269" spans="1:6" ht="15.75" customHeight="1">
      <c r="A32269" s="16" t="s">
        <v>26828</v>
      </c>
      <c r="B32269" s="15" t="s">
        <v>26828</v>
      </c>
      <c r="C32269" s="16" t="s">
        <v>26820</v>
      </c>
      <c r="D32269" s="16" t="s">
        <v>18803</v>
      </c>
      <c r="E32269" s="2">
        <v>233730</v>
      </c>
      <c r="F32269" s="4" t="e">
        <f>IF(B32269=#REF!,"",B32269)</f>
        <v>#REF!</v>
      </c>
    </row>
    <row r="32270" spans="1:6" ht="15.75" customHeight="1">
      <c r="A32270" s="15" t="s">
        <v>22286</v>
      </c>
      <c r="B32270" s="15" t="s">
        <v>22286</v>
      </c>
      <c r="C32270" s="15" t="s">
        <v>22070</v>
      </c>
      <c r="D32270" s="15" t="s">
        <v>22075</v>
      </c>
      <c r="E32270" s="2">
        <v>570427</v>
      </c>
      <c r="F32270" s="4" t="e">
        <f>IF(B32270=#REF!,"",B32270)</f>
        <v>#REF!</v>
      </c>
    </row>
    <row r="32271" spans="1:6" ht="15.75" customHeight="1">
      <c r="A32271" s="15" t="s">
        <v>1194</v>
      </c>
      <c r="B32271" s="15" t="s">
        <v>1194</v>
      </c>
      <c r="C32271" s="15" t="s">
        <v>1170</v>
      </c>
      <c r="D32271" s="15" t="s">
        <v>1181</v>
      </c>
      <c r="E32271" s="2">
        <v>586925</v>
      </c>
      <c r="F32271" s="4" t="e">
        <f>IF(B32271=#REF!,"",B32271)</f>
        <v>#REF!</v>
      </c>
    </row>
    <row r="32272" spans="1:6" ht="15.75" customHeight="1">
      <c r="A32272" s="15" t="s">
        <v>15837</v>
      </c>
      <c r="B32272" s="15" t="s">
        <v>15837</v>
      </c>
      <c r="C32272" s="15" t="s">
        <v>15704</v>
      </c>
      <c r="D32272" s="15" t="s">
        <v>15722</v>
      </c>
      <c r="E32272" s="2">
        <v>8198709</v>
      </c>
      <c r="F32272" s="4" t="str">
        <f>IF(B32272=B32271,"",B32272)</f>
        <v>Buzen</v>
      </c>
    </row>
    <row r="32273" spans="1:6" ht="15.75" customHeight="1">
      <c r="A32273" s="16" t="str">
        <f ca="1">IFERROR(__xludf.DUMMYFUNCTION("GOOGLETRANSLATE(B39821,""en"",""pt"")"),"Buzău")</f>
        <v>Buzău</v>
      </c>
      <c r="B32273" s="20" t="s">
        <v>35359</v>
      </c>
      <c r="C32273" s="20" t="s">
        <v>21824</v>
      </c>
      <c r="D32273" s="20" t="s">
        <v>35359</v>
      </c>
      <c r="E32273" s="10">
        <v>683123</v>
      </c>
      <c r="F32273" s="4" t="str">
        <f>IF(B32273=B32272,"",B32273)</f>
        <v>Buzău</v>
      </c>
    </row>
    <row r="32274" spans="1:6" ht="15.75" customHeight="1">
      <c r="A32274" s="15" t="s">
        <v>21876</v>
      </c>
      <c r="B32274" s="15" t="s">
        <v>21877</v>
      </c>
      <c r="C32274" s="15" t="s">
        <v>21824</v>
      </c>
      <c r="D32274" s="15" t="s">
        <v>21877</v>
      </c>
      <c r="E32274" s="2">
        <v>683123</v>
      </c>
      <c r="F32274" s="4" t="str">
        <f>IF(B32274=B32273,"",B32274)</f>
        <v>BuzÄƒu</v>
      </c>
    </row>
    <row r="32275" spans="1:6" ht="15.75" customHeight="1">
      <c r="A32275" s="16" t="str">
        <f ca="1">IFERROR(__xludf.DUMMYFUNCTION("GOOGLETRANSLATE(B42238,""en"",""pt"")"),"Büyükçekmece")</f>
        <v>Büyükçekmece</v>
      </c>
      <c r="B32275" s="20" t="s">
        <v>35977</v>
      </c>
      <c r="C32275" s="20" t="s">
        <v>26201</v>
      </c>
      <c r="D32275" s="20" t="s">
        <v>26211</v>
      </c>
      <c r="E32275" s="10">
        <v>6947641</v>
      </c>
      <c r="F32275" s="4" t="e">
        <f>IF(B32275=#REF!,"",B32275)</f>
        <v>#REF!</v>
      </c>
    </row>
    <row r="32276" spans="1:6" ht="15.75" customHeight="1">
      <c r="A32276" s="15" t="s">
        <v>22285</v>
      </c>
      <c r="B32276" s="15" t="s">
        <v>22285</v>
      </c>
      <c r="C32276" s="15" t="s">
        <v>22070</v>
      </c>
      <c r="D32276" s="15" t="s">
        <v>22208</v>
      </c>
      <c r="E32276" s="2">
        <v>570479</v>
      </c>
      <c r="F32276" s="4" t="e">
        <f>IF(B32276=#REF!,"",B32276)</f>
        <v>#REF!</v>
      </c>
    </row>
    <row r="32277" spans="1:6" ht="15.75" customHeight="1">
      <c r="A32277" s="15" t="s">
        <v>22282</v>
      </c>
      <c r="B32277" s="15" t="s">
        <v>22283</v>
      </c>
      <c r="C32277" s="15" t="s">
        <v>22070</v>
      </c>
      <c r="D32277" s="15" t="s">
        <v>22284</v>
      </c>
      <c r="E32277" s="2">
        <v>570508</v>
      </c>
      <c r="F32277" s="4" t="e">
        <f>IF(B32277=#REF!,"",B32277)</f>
        <v>#REF!</v>
      </c>
    </row>
    <row r="32278" spans="1:6" ht="15.75" customHeight="1">
      <c r="A32278" s="15" t="s">
        <v>27378</v>
      </c>
      <c r="B32278" s="15" t="s">
        <v>27378</v>
      </c>
      <c r="C32278" s="15" t="s">
        <v>27234</v>
      </c>
      <c r="D32278" s="15" t="s">
        <v>27241</v>
      </c>
      <c r="E32278" s="2">
        <v>2654141</v>
      </c>
      <c r="F32278" s="4" t="e">
        <f>IF(B32278=#REF!,"",B32278)</f>
        <v>#REF!</v>
      </c>
    </row>
    <row r="32279" spans="1:6" ht="15.75" customHeight="1">
      <c r="A32279" s="16" t="s">
        <v>8257</v>
      </c>
      <c r="B32279" s="15" t="s">
        <v>8257</v>
      </c>
      <c r="C32279" s="16" t="s">
        <v>8028</v>
      </c>
      <c r="D32279" s="16" t="s">
        <v>8034</v>
      </c>
      <c r="E32279" s="2">
        <v>2940451</v>
      </c>
      <c r="F32279" s="4" t="e">
        <f>IF(B32279=#REF!,"",B32279)</f>
        <v>#REF!</v>
      </c>
    </row>
    <row r="32280" spans="1:6" ht="15.75" customHeight="1">
      <c r="A32280" s="15" t="s">
        <v>10850</v>
      </c>
      <c r="B32280" s="15" t="s">
        <v>10851</v>
      </c>
      <c r="C32280" s="15" t="s">
        <v>10178</v>
      </c>
      <c r="D32280" s="15" t="s">
        <v>10317</v>
      </c>
      <c r="E32280" s="2">
        <v>1275019</v>
      </c>
      <c r="F32280" s="4" t="e">
        <f>IF(B32280=#REF!,"",B32280)</f>
        <v>#REF!</v>
      </c>
    </row>
    <row r="32281" spans="1:6" ht="15.75" customHeight="1">
      <c r="A32281" s="15" t="s">
        <v>26827</v>
      </c>
      <c r="B32281" s="15" t="s">
        <v>26827</v>
      </c>
      <c r="C32281" s="15" t="s">
        <v>26820</v>
      </c>
      <c r="D32281" s="15" t="s">
        <v>18807</v>
      </c>
      <c r="E32281" s="2">
        <v>233886</v>
      </c>
      <c r="F32281" s="4" t="e">
        <f>IF(B32281=#REF!,"",B32281)</f>
        <v>#REF!</v>
      </c>
    </row>
    <row r="32282" spans="1:6" ht="15.75" customHeight="1">
      <c r="A32282" s="16" t="s">
        <v>23814</v>
      </c>
      <c r="B32282" s="15" t="s">
        <v>23814</v>
      </c>
      <c r="C32282" s="16" t="s">
        <v>23800</v>
      </c>
      <c r="D32282" s="16" t="s">
        <v>20668</v>
      </c>
      <c r="E32282" s="2">
        <v>63571</v>
      </c>
      <c r="F32282" s="4" t="e">
        <f>IF(B32282=#REF!,"",B32282)</f>
        <v>#REF!</v>
      </c>
    </row>
    <row r="32283" spans="1:6" ht="15.75" customHeight="1">
      <c r="A32283" s="16" t="s">
        <v>23813</v>
      </c>
      <c r="B32283" s="15" t="s">
        <v>23813</v>
      </c>
      <c r="C32283" s="16" t="s">
        <v>23800</v>
      </c>
      <c r="D32283" s="16" t="s">
        <v>23806</v>
      </c>
      <c r="E32283" s="2">
        <v>63689</v>
      </c>
      <c r="F32283" s="4" t="e">
        <f>IF(B32283=#REF!,"",B32283)</f>
        <v>#REF!</v>
      </c>
    </row>
    <row r="32284" spans="1:6" ht="15.75" customHeight="1">
      <c r="A32284" s="15" t="s">
        <v>8256</v>
      </c>
      <c r="B32284" s="15" t="s">
        <v>8256</v>
      </c>
      <c r="C32284" s="15" t="s">
        <v>8028</v>
      </c>
      <c r="D32284" s="15" t="s">
        <v>8050</v>
      </c>
      <c r="E32284" s="2">
        <v>2940512</v>
      </c>
      <c r="F32284" s="4" t="str">
        <f>IF(B32284=B32283,"",B32284)</f>
        <v>Butzbach</v>
      </c>
    </row>
    <row r="32285" spans="1:6" ht="15.75" customHeight="1">
      <c r="A32285" s="16" t="str">
        <f ca="1">IFERROR(__xludf.DUMMYFUNCTION("GOOGLETRANSLATE(B38204,""en"",""pt"")"),"Butwāl")</f>
        <v>Butwāl</v>
      </c>
      <c r="B32285" s="20" t="s">
        <v>34836</v>
      </c>
      <c r="C32285" s="20" t="s">
        <v>18800</v>
      </c>
      <c r="D32285" s="20" t="s">
        <v>18803</v>
      </c>
      <c r="E32285" s="10">
        <v>1283562</v>
      </c>
      <c r="F32285" s="4" t="str">
        <f>IF(B32285=B32284,"",B32285)</f>
        <v>Butwāl</v>
      </c>
    </row>
    <row r="32286" spans="1:6" ht="15.75" customHeight="1">
      <c r="A32286" s="15" t="s">
        <v>18814</v>
      </c>
      <c r="B32286" s="15" t="s">
        <v>18815</v>
      </c>
      <c r="C32286" s="15" t="s">
        <v>18800</v>
      </c>
      <c r="D32286" s="15" t="s">
        <v>18803</v>
      </c>
      <c r="E32286" s="2">
        <v>1283562</v>
      </c>
      <c r="F32286" s="4" t="e">
        <f>IF(B32286=#REF!,"",B32286)</f>
        <v>#REF!</v>
      </c>
    </row>
    <row r="32287" spans="1:6" ht="15.75" customHeight="1">
      <c r="A32287" s="16" t="s">
        <v>22281</v>
      </c>
      <c r="B32287" s="15" t="s">
        <v>22281</v>
      </c>
      <c r="C32287" s="16" t="s">
        <v>22070</v>
      </c>
      <c r="D32287" s="16" t="s">
        <v>22137</v>
      </c>
      <c r="E32287" s="2">
        <v>570563</v>
      </c>
      <c r="F32287" s="4" t="e">
        <f>IF(B32287=#REF!,"",B32287)</f>
        <v>#REF!</v>
      </c>
    </row>
    <row r="32288" spans="1:6" ht="15.75" customHeight="1">
      <c r="A32288" s="15" t="s">
        <v>20699</v>
      </c>
      <c r="B32288" s="15" t="s">
        <v>20699</v>
      </c>
      <c r="C32288" s="15" t="s">
        <v>20598</v>
      </c>
      <c r="D32288" s="15" t="s">
        <v>20647</v>
      </c>
      <c r="E32288" s="2">
        <v>1722186</v>
      </c>
      <c r="F32288" s="4" t="e">
        <f>IF(B32288=#REF!,"",B32288)</f>
        <v>#REF!</v>
      </c>
    </row>
    <row r="32289" spans="1:6" ht="15.75" customHeight="1">
      <c r="A32289" s="16" t="s">
        <v>28134</v>
      </c>
      <c r="B32289" s="15" t="s">
        <v>28134</v>
      </c>
      <c r="C32289" s="16" t="s">
        <v>27788</v>
      </c>
      <c r="D32289" s="16" t="s">
        <v>3706</v>
      </c>
      <c r="E32289" s="2">
        <v>7172886</v>
      </c>
      <c r="F32289" s="4" t="e">
        <f>IF(B32289=#REF!,"",B32289)</f>
        <v>#REF!</v>
      </c>
    </row>
    <row r="32290" spans="1:6" ht="15.75" customHeight="1">
      <c r="A32290" s="16" t="s">
        <v>17463</v>
      </c>
      <c r="B32290" s="15" t="s">
        <v>17463</v>
      </c>
      <c r="C32290" s="16" t="s">
        <v>17432</v>
      </c>
      <c r="D32290" s="16" t="s">
        <v>17461</v>
      </c>
      <c r="E32290" s="2">
        <v>1735076</v>
      </c>
      <c r="F32290" s="4" t="e">
        <f>IF(B32290=#REF!,"",B32290)</f>
        <v>#REF!</v>
      </c>
    </row>
    <row r="32291" spans="1:6" ht="15.75" customHeight="1">
      <c r="A32291" s="15" t="s">
        <v>28133</v>
      </c>
      <c r="B32291" s="15" t="s">
        <v>28133</v>
      </c>
      <c r="C32291" s="15" t="s">
        <v>27788</v>
      </c>
      <c r="D32291" s="15" t="s">
        <v>3706</v>
      </c>
      <c r="E32291" s="2">
        <v>5642934</v>
      </c>
      <c r="F32291" s="4" t="e">
        <f>IF(B32291=#REF!,"",B32291)</f>
        <v>#REF!</v>
      </c>
    </row>
    <row r="32292" spans="1:6" ht="15.75" customHeight="1">
      <c r="A32292" s="15" t="s">
        <v>25579</v>
      </c>
      <c r="B32292" s="15" t="s">
        <v>25579</v>
      </c>
      <c r="C32292" s="15" t="s">
        <v>25560</v>
      </c>
      <c r="D32292" s="15" t="s">
        <v>25574</v>
      </c>
      <c r="E32292" s="2">
        <v>160798</v>
      </c>
      <c r="F32292" s="4" t="str">
        <f>IF(B32292=B32291,"",B32292)</f>
        <v>Butiama</v>
      </c>
    </row>
    <row r="32293" spans="1:6" ht="15.75" customHeight="1">
      <c r="A32293" s="15" t="s">
        <v>2172</v>
      </c>
      <c r="B32293" s="15" t="s">
        <v>2173</v>
      </c>
      <c r="C32293" s="15" t="s">
        <v>1905</v>
      </c>
      <c r="D32293" s="15" t="s">
        <v>1951</v>
      </c>
      <c r="E32293" s="2">
        <v>3468704</v>
      </c>
      <c r="F32293" s="4" t="str">
        <f>IF(B32293=B32292,"",B32293)</f>
        <v>ButiÃ¡</v>
      </c>
    </row>
    <row r="32294" spans="1:6" ht="15.75" customHeight="1">
      <c r="A32294" s="16" t="str">
        <f ca="1">IFERROR(__xludf.DUMMYFUNCTION("GOOGLETRANSLATE(B25189,""en"",""pt"")"),"Butiá")</f>
        <v>Butiá</v>
      </c>
      <c r="B32294" s="20" t="s">
        <v>31702</v>
      </c>
      <c r="C32294" s="20" t="s">
        <v>1905</v>
      </c>
      <c r="D32294" s="20" t="s">
        <v>1951</v>
      </c>
      <c r="E32294" s="10">
        <v>3468704</v>
      </c>
      <c r="F32294" s="4" t="e">
        <f>IF(B32294=#REF!,"",B32294)</f>
        <v>#REF!</v>
      </c>
    </row>
    <row r="32295" spans="1:6" ht="15.75" customHeight="1">
      <c r="A32295" s="16" t="s">
        <v>17038</v>
      </c>
      <c r="B32295" s="15" t="s">
        <v>17038</v>
      </c>
      <c r="C32295" s="16" t="s">
        <v>17039</v>
      </c>
      <c r="D32295" s="16" t="s">
        <v>17038</v>
      </c>
      <c r="E32295" s="2">
        <v>932886</v>
      </c>
      <c r="F32295" s="4" t="e">
        <f>IF(B32295=#REF!,"",B32295)</f>
        <v>#REF!</v>
      </c>
    </row>
    <row r="32296" spans="1:6" ht="15.75" customHeight="1">
      <c r="A32296" s="15" t="s">
        <v>6146</v>
      </c>
      <c r="B32296" s="15" t="s">
        <v>6146</v>
      </c>
      <c r="C32296" s="15" t="s">
        <v>6127</v>
      </c>
      <c r="D32296" s="15" t="s">
        <v>6132</v>
      </c>
      <c r="E32296" s="2">
        <v>217562</v>
      </c>
      <c r="F32296" s="4" t="e">
        <f>IF(B32296=#REF!,"",B32296)</f>
        <v>#REF!</v>
      </c>
    </row>
    <row r="32297" spans="1:6" ht="15.75" customHeight="1">
      <c r="A32297" s="15" t="s">
        <v>17229</v>
      </c>
      <c r="B32297" s="15" t="s">
        <v>17229</v>
      </c>
      <c r="C32297" s="15" t="s">
        <v>17221</v>
      </c>
      <c r="D32297" s="15" t="s">
        <v>17229</v>
      </c>
      <c r="E32297" s="2">
        <v>833260</v>
      </c>
      <c r="F32297" s="4" t="e">
        <f>IF(B32297=#REF!,"",B32297)</f>
        <v>#REF!</v>
      </c>
    </row>
    <row r="32298" spans="1:6" ht="15.75" customHeight="1">
      <c r="A32298" s="15" t="s">
        <v>23411</v>
      </c>
      <c r="B32298" s="15" t="s">
        <v>23412</v>
      </c>
      <c r="C32298" s="15" t="s">
        <v>23413</v>
      </c>
      <c r="D32298" s="15" t="s">
        <v>23414</v>
      </c>
      <c r="E32298" s="2">
        <v>203112</v>
      </c>
      <c r="F32298" s="4" t="str">
        <f>IF(B32298=B32297,"",B32298)</f>
        <v>Butare</v>
      </c>
    </row>
    <row r="32299" spans="1:6" ht="15.75" customHeight="1">
      <c r="A32299" s="16" t="str">
        <f ca="1">IFERROR(__xludf.DUMMYFUNCTION("GOOGLETRANSLATE(B29572,""en"",""pt"")"),"Butajīra")</f>
        <v>Butajīra</v>
      </c>
      <c r="B32299" s="20" t="s">
        <v>32506</v>
      </c>
      <c r="C32299" s="20" t="s">
        <v>6807</v>
      </c>
      <c r="D32299" s="20" t="s">
        <v>6817</v>
      </c>
      <c r="E32299" s="10">
        <v>341297</v>
      </c>
      <c r="F32299" s="4" t="str">
        <f>IF(B32299=B32298,"",B32299)</f>
        <v>Butajīra</v>
      </c>
    </row>
    <row r="32300" spans="1:6" ht="15.75" customHeight="1">
      <c r="A32300" s="16" t="s">
        <v>6851</v>
      </c>
      <c r="B32300" s="15" t="s">
        <v>6852</v>
      </c>
      <c r="C32300" s="16" t="s">
        <v>6807</v>
      </c>
      <c r="D32300" s="16" t="s">
        <v>6817</v>
      </c>
      <c r="E32300" s="2">
        <v>341297</v>
      </c>
      <c r="F32300" s="4" t="e">
        <f>IF(B32300=#REF!,"",B32300)</f>
        <v>#REF!</v>
      </c>
    </row>
    <row r="32301" spans="1:6" ht="15.75" customHeight="1">
      <c r="A32301" s="15" t="s">
        <v>6145</v>
      </c>
      <c r="B32301" s="15" t="s">
        <v>6145</v>
      </c>
      <c r="C32301" s="15" t="s">
        <v>6127</v>
      </c>
      <c r="D32301" s="15" t="s">
        <v>6128</v>
      </c>
      <c r="E32301" s="2">
        <v>217570</v>
      </c>
      <c r="F32301" s="4" t="e">
        <f>IF(B32301=#REF!,"",B32301)</f>
        <v>#REF!</v>
      </c>
    </row>
    <row r="32302" spans="1:6" ht="15.75" customHeight="1">
      <c r="A32302" s="15" t="s">
        <v>20698</v>
      </c>
      <c r="B32302" s="15" t="s">
        <v>20698</v>
      </c>
      <c r="C32302" s="15" t="s">
        <v>20598</v>
      </c>
      <c r="D32302" s="15" t="s">
        <v>20599</v>
      </c>
      <c r="E32302" s="2">
        <v>1722267</v>
      </c>
      <c r="F32302" s="4" t="e">
        <f>IF(B32302=#REF!,"",B32302)</f>
        <v>#REF!</v>
      </c>
    </row>
    <row r="32303" spans="1:6" ht="15.75" customHeight="1">
      <c r="A32303" s="16" t="s">
        <v>15004</v>
      </c>
      <c r="B32303" s="15" t="s">
        <v>15004</v>
      </c>
      <c r="C32303" s="16" t="s">
        <v>14891</v>
      </c>
      <c r="D32303" s="16" t="s">
        <v>14894</v>
      </c>
      <c r="E32303" s="2">
        <v>3181355</v>
      </c>
      <c r="F32303" s="4" t="e">
        <f>IF(B32303=#REF!,"",B32303)</f>
        <v>#REF!</v>
      </c>
    </row>
    <row r="32304" spans="1:6" ht="15.75" customHeight="1">
      <c r="A32304" s="15" t="s">
        <v>18923</v>
      </c>
      <c r="B32304" s="15" t="s">
        <v>18923</v>
      </c>
      <c r="C32304" s="15" t="s">
        <v>18862</v>
      </c>
      <c r="D32304" s="15" t="s">
        <v>18863</v>
      </c>
      <c r="E32304" s="2">
        <v>2758064</v>
      </c>
      <c r="F32304" s="4" t="e">
        <f>IF(B32304=#REF!,"",B32304)</f>
        <v>#REF!</v>
      </c>
    </row>
    <row r="32305" spans="1:6" ht="15.75" customHeight="1">
      <c r="A32305" s="16" t="s">
        <v>15002</v>
      </c>
      <c r="B32305" s="15" t="s">
        <v>15003</v>
      </c>
      <c r="C32305" s="16" t="s">
        <v>14891</v>
      </c>
      <c r="D32305" s="16" t="s">
        <v>14892</v>
      </c>
      <c r="E32305" s="2">
        <v>3181359</v>
      </c>
      <c r="F32305" s="4" t="e">
        <f>IF(B32305=#REF!,"",B32305)</f>
        <v>#REF!</v>
      </c>
    </row>
    <row r="32306" spans="1:6" ht="15.75" customHeight="1">
      <c r="A32306" s="15" t="s">
        <v>925</v>
      </c>
      <c r="B32306" s="15" t="s">
        <v>925</v>
      </c>
      <c r="C32306" s="15" t="s">
        <v>885</v>
      </c>
      <c r="D32306" s="15" t="s">
        <v>889</v>
      </c>
      <c r="E32306" s="2">
        <v>2075265</v>
      </c>
      <c r="F32306" s="4" t="str">
        <f>IF(B32306=B32305,"",B32306)</f>
        <v>Busselton</v>
      </c>
    </row>
    <row r="32307" spans="1:6" ht="15.75" customHeight="1">
      <c r="A32307" s="16" t="str">
        <f ca="1">IFERROR(__xludf.DUMMYFUNCTION("GOOGLETRANSLATE(B39287,""en"",""pt"")"),"Busko-Zdrój")</f>
        <v>Busko-Zdrój</v>
      </c>
      <c r="B32307" s="20" t="s">
        <v>35130</v>
      </c>
      <c r="C32307" s="20" t="s">
        <v>21064</v>
      </c>
      <c r="D32307" s="20" t="s">
        <v>35079</v>
      </c>
      <c r="E32307" s="10">
        <v>774747</v>
      </c>
      <c r="F32307" s="4" t="str">
        <f>IF(B32307=B32306,"",B32307)</f>
        <v>Busko-Zdrój</v>
      </c>
    </row>
    <row r="32308" spans="1:6" ht="15.75" customHeight="1">
      <c r="A32308" s="16" t="s">
        <v>21167</v>
      </c>
      <c r="B32308" s="15" t="s">
        <v>21168</v>
      </c>
      <c r="C32308" s="16" t="s">
        <v>21064</v>
      </c>
      <c r="D32308" s="16" t="s">
        <v>21169</v>
      </c>
      <c r="E32308" s="2">
        <v>774747</v>
      </c>
      <c r="F32308" s="4" t="e">
        <f>IF(B32308=#REF!,"",B32308)</f>
        <v>#REF!</v>
      </c>
    </row>
    <row r="32309" spans="1:6" ht="15.75" customHeight="1">
      <c r="A32309" s="15" t="s">
        <v>22280</v>
      </c>
      <c r="B32309" s="15" t="s">
        <v>22280</v>
      </c>
      <c r="C32309" s="15" t="s">
        <v>22070</v>
      </c>
      <c r="D32309" s="15" t="s">
        <v>22127</v>
      </c>
      <c r="E32309" s="2">
        <v>570636</v>
      </c>
      <c r="F32309" s="4" t="e">
        <f>IF(B32309=#REF!,"",B32309)</f>
        <v>#REF!</v>
      </c>
    </row>
    <row r="32310" spans="1:6" ht="15.75" customHeight="1">
      <c r="A32310" s="15" t="s">
        <v>6144</v>
      </c>
      <c r="B32310" s="15" t="s">
        <v>6144</v>
      </c>
      <c r="C32310" s="15" t="s">
        <v>6127</v>
      </c>
      <c r="D32310" s="15" t="s">
        <v>6134</v>
      </c>
      <c r="E32310" s="2">
        <v>217637</v>
      </c>
      <c r="F32310" s="4" t="e">
        <f>IF(B32310=#REF!,"",B32310)</f>
        <v>#REF!</v>
      </c>
    </row>
    <row r="32311" spans="1:6" ht="15.75" customHeight="1">
      <c r="A32311" s="15" t="s">
        <v>16784</v>
      </c>
      <c r="B32311" s="15" t="s">
        <v>16784</v>
      </c>
      <c r="C32311" s="15" t="s">
        <v>16781</v>
      </c>
      <c r="D32311" s="15" t="s">
        <v>16784</v>
      </c>
      <c r="E32311" s="2">
        <v>199989</v>
      </c>
      <c r="F32311" s="4" t="e">
        <f>IF(B32311=#REF!,"",B32311)</f>
        <v>#REF!</v>
      </c>
    </row>
    <row r="32312" spans="1:6" ht="15.75" customHeight="1">
      <c r="A32312" s="15" t="s">
        <v>27377</v>
      </c>
      <c r="B32312" s="15" t="s">
        <v>27377</v>
      </c>
      <c r="C32312" s="15" t="s">
        <v>27234</v>
      </c>
      <c r="D32312" s="15" t="s">
        <v>27241</v>
      </c>
      <c r="E32312" s="2">
        <v>2654179</v>
      </c>
      <c r="F32312" s="4" t="str">
        <f>IF(B32312=B32311,"",B32312)</f>
        <v>Bushey</v>
      </c>
    </row>
    <row r="32313" spans="1:6" ht="15.75" customHeight="1">
      <c r="A32313" s="16" t="str">
        <f ca="1">IFERROR(__xludf.DUMMYFUNCTION("GOOGLETRANSLATE(B28881,""en"",""pt"")"),"Arbusto")</f>
        <v>Arbusto</v>
      </c>
      <c r="B32313" s="20" t="s">
        <v>32305</v>
      </c>
      <c r="C32313" s="20" t="s">
        <v>6495</v>
      </c>
      <c r="D32313" s="20" t="s">
        <v>32256</v>
      </c>
      <c r="E32313" s="10">
        <v>358600</v>
      </c>
      <c r="F32313" s="4" t="e">
        <f>IF(B32313=#REF!,"",B32313)</f>
        <v>#REF!</v>
      </c>
    </row>
    <row r="32314" spans="1:6" ht="15.75" customHeight="1">
      <c r="A32314" s="16" t="s">
        <v>25576</v>
      </c>
      <c r="B32314" s="15" t="s">
        <v>25577</v>
      </c>
      <c r="C32314" s="16" t="s">
        <v>25560</v>
      </c>
      <c r="D32314" s="16" t="s">
        <v>25578</v>
      </c>
      <c r="E32314" s="2">
        <v>160833</v>
      </c>
      <c r="F32314" s="4" t="e">
        <f>IF(B32314=#REF!,"",B32314)</f>
        <v>#REF!</v>
      </c>
    </row>
    <row r="32315" spans="1:6" ht="15.75" customHeight="1">
      <c r="A32315" s="16" t="s">
        <v>26825</v>
      </c>
      <c r="B32315" s="15" t="s">
        <v>26826</v>
      </c>
      <c r="C32315" s="16" t="s">
        <v>26820</v>
      </c>
      <c r="D32315" s="16" t="s">
        <v>18807</v>
      </c>
      <c r="E32315" s="2">
        <v>234092</v>
      </c>
      <c r="F32315" s="4" t="e">
        <f>IF(B32315=#REF!,"",B32315)</f>
        <v>#REF!</v>
      </c>
    </row>
    <row r="32316" spans="1:6" ht="15.75" customHeight="1">
      <c r="A32316" s="15" t="s">
        <v>24038</v>
      </c>
      <c r="B32316" s="15" t="s">
        <v>24038</v>
      </c>
      <c r="C32316" s="15" t="s">
        <v>24024</v>
      </c>
      <c r="D32316" s="15" t="s">
        <v>24038</v>
      </c>
      <c r="E32316" s="2">
        <v>1838524</v>
      </c>
      <c r="F32316" s="4" t="e">
        <f>IF(B32316=#REF!,"",B32316)</f>
        <v>#REF!</v>
      </c>
    </row>
    <row r="32317" spans="1:6" ht="15.75" customHeight="1">
      <c r="A32317" s="16" t="s">
        <v>27376</v>
      </c>
      <c r="B32317" s="15" t="s">
        <v>27376</v>
      </c>
      <c r="C32317" s="16" t="s">
        <v>27234</v>
      </c>
      <c r="D32317" s="16" t="s">
        <v>27241</v>
      </c>
      <c r="E32317" s="2">
        <v>2654186</v>
      </c>
      <c r="F32317" s="4" t="e">
        <f>IF(B32317=#REF!,"",B32317)</f>
        <v>#REF!</v>
      </c>
    </row>
    <row r="32318" spans="1:6" ht="15.75" customHeight="1">
      <c r="A32318" s="15" t="s">
        <v>27374</v>
      </c>
      <c r="B32318" s="15" t="s">
        <v>27375</v>
      </c>
      <c r="C32318" s="15" t="s">
        <v>27234</v>
      </c>
      <c r="D32318" s="15" t="s">
        <v>27241</v>
      </c>
      <c r="E32318" s="2">
        <v>2654187</v>
      </c>
      <c r="F32318" s="4" t="e">
        <f>IF(B32318=#REF!,"",B32318)</f>
        <v>#REF!</v>
      </c>
    </row>
    <row r="32319" spans="1:6" ht="15.75" customHeight="1">
      <c r="A32319" s="15" t="s">
        <v>19360</v>
      </c>
      <c r="B32319" s="15" t="s">
        <v>19360</v>
      </c>
      <c r="C32319" s="15" t="s">
        <v>19294</v>
      </c>
      <c r="D32319" s="15" t="s">
        <v>4039</v>
      </c>
      <c r="E32319" s="2">
        <v>2346317</v>
      </c>
      <c r="F32319" s="4" t="e">
        <f>IF(B32319=#REF!,"",B32319)</f>
        <v>#REF!</v>
      </c>
    </row>
    <row r="32320" spans="1:6" ht="15.75" customHeight="1">
      <c r="A32320" s="15" t="s">
        <v>3827</v>
      </c>
      <c r="B32320" s="15" t="s">
        <v>3827</v>
      </c>
      <c r="C32320" s="15" t="s">
        <v>3825</v>
      </c>
      <c r="D32320" s="15" t="s">
        <v>3827</v>
      </c>
      <c r="E32320" s="2">
        <v>423328</v>
      </c>
      <c r="F32320" s="4" t="e">
        <f>IF(B32320=#REF!,"",B32320)</f>
        <v>#REF!</v>
      </c>
    </row>
    <row r="32321" spans="1:6" ht="15.75" customHeight="1">
      <c r="A32321" s="15" t="s">
        <v>16704</v>
      </c>
      <c r="B32321" s="15" t="s">
        <v>16704</v>
      </c>
      <c r="C32321" s="15" t="s">
        <v>16671</v>
      </c>
      <c r="D32321" s="15" t="s">
        <v>16705</v>
      </c>
      <c r="E32321" s="2">
        <v>1524958</v>
      </c>
      <c r="F32321" s="4" t="e">
        <f>IF(B32321=#REF!,"",B32321)</f>
        <v>#REF!</v>
      </c>
    </row>
    <row r="32322" spans="1:6" ht="15.75" customHeight="1">
      <c r="A32322" s="16" t="s">
        <v>27372</v>
      </c>
      <c r="B32322" s="15" t="s">
        <v>27373</v>
      </c>
      <c r="C32322" s="16" t="s">
        <v>27234</v>
      </c>
      <c r="D32322" s="16" t="s">
        <v>27241</v>
      </c>
      <c r="E32322" s="2">
        <v>2654200</v>
      </c>
      <c r="F32322" s="4" t="e">
        <f>IF(B32322=#REF!,"",B32322)</f>
        <v>#REF!</v>
      </c>
    </row>
    <row r="32323" spans="1:6" ht="15.75" customHeight="1">
      <c r="A32323" s="15" t="s">
        <v>28132</v>
      </c>
      <c r="B32323" s="15" t="s">
        <v>28132</v>
      </c>
      <c r="C32323" s="15" t="s">
        <v>27788</v>
      </c>
      <c r="D32323" s="15" t="s">
        <v>27804</v>
      </c>
      <c r="E32323" s="2">
        <v>4987482</v>
      </c>
      <c r="F32323" s="4" t="str">
        <f>IF(B32323=B32322,"",B32323)</f>
        <v>Burton</v>
      </c>
    </row>
    <row r="32324" spans="1:6" ht="15.75" customHeight="1">
      <c r="A32324" s="16" t="str">
        <f ca="1">IFERROR(__xludf.DUMMYFUNCTION("GOOGLETRANSLATE(B28204,""en"",""pt"")"),"Bürstadt")</f>
        <v>Bürstadt</v>
      </c>
      <c r="B32324" s="20" t="s">
        <v>32119</v>
      </c>
      <c r="C32324" s="20" t="s">
        <v>8028</v>
      </c>
      <c r="D32324" s="20" t="s">
        <v>8050</v>
      </c>
      <c r="E32324" s="10">
        <v>2940938</v>
      </c>
      <c r="F32324" s="4" t="e">
        <f>IF(B32324=#REF!,"",B32324)</f>
        <v>#REF!</v>
      </c>
    </row>
    <row r="32325" spans="1:6" ht="15.75" customHeight="1">
      <c r="A32325" s="16" t="s">
        <v>8255</v>
      </c>
      <c r="B32325" s="15" t="s">
        <v>8255</v>
      </c>
      <c r="C32325" s="16" t="s">
        <v>8028</v>
      </c>
      <c r="D32325" s="16" t="s">
        <v>8029</v>
      </c>
      <c r="E32325" s="2">
        <v>2940942</v>
      </c>
      <c r="F32325" s="4" t="e">
        <f>IF(B32325=#REF!,"",B32325)</f>
        <v>#REF!</v>
      </c>
    </row>
    <row r="32326" spans="1:6" ht="15.75" customHeight="1">
      <c r="A32326" s="15" t="s">
        <v>26205</v>
      </c>
      <c r="B32326" s="15" t="s">
        <v>26205</v>
      </c>
      <c r="C32326" s="15" t="s">
        <v>26201</v>
      </c>
      <c r="D32326" s="15" t="s">
        <v>26205</v>
      </c>
      <c r="E32326" s="2">
        <v>750269</v>
      </c>
      <c r="F32326" s="4" t="e">
        <f>IF(B32326=#REF!,"",B32326)</f>
        <v>#REF!</v>
      </c>
    </row>
    <row r="32327" spans="1:6" ht="15.75" customHeight="1">
      <c r="A32327" s="15" t="s">
        <v>24351</v>
      </c>
      <c r="B32327" s="15" t="s">
        <v>24351</v>
      </c>
      <c r="C32327" s="15" t="s">
        <v>24200</v>
      </c>
      <c r="D32327" s="15" t="s">
        <v>21053</v>
      </c>
      <c r="E32327" s="2">
        <v>2520709</v>
      </c>
      <c r="F32327" s="4" t="e">
        <f>IF(B32327=#REF!,"",B32327)</f>
        <v>#REF!</v>
      </c>
    </row>
    <row r="32328" spans="1:6" ht="15.75" customHeight="1">
      <c r="A32328" s="15" t="s">
        <v>114</v>
      </c>
      <c r="B32328" s="15" t="s">
        <v>114</v>
      </c>
      <c r="C32328" s="15" t="s">
        <v>113</v>
      </c>
      <c r="D32328" s="15" t="s">
        <v>115</v>
      </c>
      <c r="E32328" s="2">
        <v>783493</v>
      </c>
      <c r="F32328" s="4" t="e">
        <f>IF(B32328=#REF!,"",B32328)</f>
        <v>#REF!</v>
      </c>
    </row>
    <row r="32329" spans="1:6" ht="15.75" customHeight="1">
      <c r="A32329" s="16" t="s">
        <v>27371</v>
      </c>
      <c r="B32329" s="15" t="s">
        <v>27371</v>
      </c>
      <c r="C32329" s="16" t="s">
        <v>27234</v>
      </c>
      <c r="D32329" s="16" t="s">
        <v>27241</v>
      </c>
      <c r="E32329" s="2">
        <v>2654252</v>
      </c>
      <c r="F32329" s="4" t="e">
        <f>IF(B32329=#REF!,"",B32329)</f>
        <v>#REF!</v>
      </c>
    </row>
    <row r="32330" spans="1:6" ht="15.75" customHeight="1">
      <c r="A32330" s="15" t="s">
        <v>28131</v>
      </c>
      <c r="B32330" s="15" t="s">
        <v>28131</v>
      </c>
      <c r="C32330" s="15" t="s">
        <v>27788</v>
      </c>
      <c r="D32330" s="15" t="s">
        <v>27824</v>
      </c>
      <c r="E32330" s="2">
        <v>5019767</v>
      </c>
      <c r="F32330" s="4" t="e">
        <f>IF(B32330=#REF!,"",B32330)</f>
        <v>#REF!</v>
      </c>
    </row>
    <row r="32331" spans="1:6" ht="15.75" customHeight="1">
      <c r="A32331" s="15" t="s">
        <v>27370</v>
      </c>
      <c r="B32331" s="15" t="s">
        <v>27370</v>
      </c>
      <c r="C32331" s="15" t="s">
        <v>27234</v>
      </c>
      <c r="D32331" s="15" t="s">
        <v>27241</v>
      </c>
      <c r="E32331" s="2">
        <v>2654264</v>
      </c>
      <c r="F32331" s="4" t="e">
        <f>IF(B32331=#REF!,"",B32331)</f>
        <v>#REF!</v>
      </c>
    </row>
    <row r="32332" spans="1:6" ht="15.75" customHeight="1">
      <c r="A32332" s="15" t="s">
        <v>923</v>
      </c>
      <c r="B32332" s="15" t="s">
        <v>923</v>
      </c>
      <c r="C32332" s="15" t="s">
        <v>885</v>
      </c>
      <c r="D32332" s="15" t="s">
        <v>924</v>
      </c>
      <c r="E32332" s="2">
        <v>2173125</v>
      </c>
      <c r="F32332" s="4" t="e">
        <f>IF(B32332=#REF!,"",B32332)</f>
        <v>#REF!</v>
      </c>
    </row>
    <row r="32333" spans="1:6" ht="15.75" customHeight="1">
      <c r="A32333" s="16" t="s">
        <v>27369</v>
      </c>
      <c r="B32333" s="15" t="s">
        <v>27369</v>
      </c>
      <c r="C32333" s="16" t="s">
        <v>27234</v>
      </c>
      <c r="D32333" s="16" t="s">
        <v>27241</v>
      </c>
      <c r="E32333" s="2">
        <v>2654269</v>
      </c>
      <c r="F32333" s="4" t="e">
        <f>IF(B32333=#REF!,"",B32333)</f>
        <v>#REF!</v>
      </c>
    </row>
    <row r="32334" spans="1:6" ht="15.75" customHeight="1">
      <c r="A32334" s="15" t="s">
        <v>4007</v>
      </c>
      <c r="B32334" s="15" t="s">
        <v>4007</v>
      </c>
      <c r="C32334" s="15" t="s">
        <v>3975</v>
      </c>
      <c r="D32334" s="15" t="s">
        <v>3976</v>
      </c>
      <c r="E32334" s="2">
        <v>5911606</v>
      </c>
      <c r="F32334" s="4" t="e">
        <f>IF(B32334=#REF!,"",B32334)</f>
        <v>#REF!</v>
      </c>
    </row>
    <row r="32335" spans="1:6" ht="15.75" customHeight="1">
      <c r="A32335" s="16" t="s">
        <v>4006</v>
      </c>
      <c r="B32335" s="15" t="s">
        <v>4006</v>
      </c>
      <c r="C32335" s="16" t="s">
        <v>3975</v>
      </c>
      <c r="D32335" s="16" t="s">
        <v>3980</v>
      </c>
      <c r="E32335" s="2">
        <v>5911592</v>
      </c>
      <c r="F32335" s="4" t="e">
        <f>IF(B32335=#REF!,"",B32335)</f>
        <v>#REF!</v>
      </c>
    </row>
    <row r="32336" spans="1:6" ht="15.75" customHeight="1">
      <c r="A32336" s="16" t="s">
        <v>28129</v>
      </c>
      <c r="B32336" s="15" t="s">
        <v>28129</v>
      </c>
      <c r="C32336" s="16" t="s">
        <v>27788</v>
      </c>
      <c r="D32336" s="16" t="s">
        <v>27801</v>
      </c>
      <c r="E32336" s="2">
        <v>5331920</v>
      </c>
      <c r="F32336" s="4" t="e">
        <f>IF(B32336=#REF!,"",B32336)</f>
        <v>#REF!</v>
      </c>
    </row>
    <row r="32337" spans="1:6" ht="15.75" customHeight="1">
      <c r="A32337" s="15" t="s">
        <v>28128</v>
      </c>
      <c r="B32337" s="15" t="s">
        <v>28128</v>
      </c>
      <c r="C32337" s="15" t="s">
        <v>27788</v>
      </c>
      <c r="D32337" s="15" t="s">
        <v>27792</v>
      </c>
      <c r="E32337" s="2">
        <v>4677551</v>
      </c>
      <c r="F32337" s="4" t="e">
        <f>IF(B32337=#REF!,"",B32337)</f>
        <v>#REF!</v>
      </c>
    </row>
    <row r="32338" spans="1:6" ht="15.75" customHeight="1">
      <c r="A32338" s="15" t="s">
        <v>24350</v>
      </c>
      <c r="B32338" s="15" t="s">
        <v>24350</v>
      </c>
      <c r="C32338" s="15" t="s">
        <v>24200</v>
      </c>
      <c r="D32338" s="15" t="s">
        <v>24320</v>
      </c>
      <c r="E32338" s="2">
        <v>3127451</v>
      </c>
      <c r="F32338" s="4" t="e">
        <f>IF(B32338=#REF!,"",B32338)</f>
        <v>#REF!</v>
      </c>
    </row>
    <row r="32339" spans="1:6" ht="15.75" customHeight="1">
      <c r="A32339" s="15" t="s">
        <v>10849</v>
      </c>
      <c r="B32339" s="15" t="s">
        <v>10849</v>
      </c>
      <c r="C32339" s="15" t="s">
        <v>10178</v>
      </c>
      <c r="D32339" s="15" t="s">
        <v>10229</v>
      </c>
      <c r="E32339" s="2">
        <v>1275050</v>
      </c>
      <c r="F32339" s="4" t="e">
        <f>IF(B32339=#REF!,"",B32339)</f>
        <v>#REF!</v>
      </c>
    </row>
    <row r="32340" spans="1:6" ht="15.75" customHeight="1">
      <c r="A32340" s="15" t="s">
        <v>24349</v>
      </c>
      <c r="B32340" s="15" t="s">
        <v>24349</v>
      </c>
      <c r="C32340" s="15" t="s">
        <v>24200</v>
      </c>
      <c r="D32340" s="15" t="s">
        <v>21053</v>
      </c>
      <c r="E32340" s="2">
        <v>2520712</v>
      </c>
      <c r="F32340" s="4" t="e">
        <f>IF(B32340=#REF!,"",B32340)</f>
        <v>#REF!</v>
      </c>
    </row>
    <row r="32341" spans="1:6" ht="15.75" customHeight="1">
      <c r="A32341" s="16" t="s">
        <v>2171</v>
      </c>
      <c r="B32341" s="15" t="s">
        <v>2171</v>
      </c>
      <c r="C32341" s="16" t="s">
        <v>1905</v>
      </c>
      <c r="D32341" s="16" t="s">
        <v>1917</v>
      </c>
      <c r="E32341" s="2">
        <v>3468720</v>
      </c>
      <c r="F32341" s="4" t="e">
        <f>IF(B32341=#REF!,"",B32341)</f>
        <v>#REF!</v>
      </c>
    </row>
    <row r="32342" spans="1:6" ht="15.75" customHeight="1">
      <c r="A32342" s="15" t="s">
        <v>2169</v>
      </c>
      <c r="B32342" s="15" t="s">
        <v>2170</v>
      </c>
      <c r="C32342" s="15" t="s">
        <v>1905</v>
      </c>
      <c r="D32342" s="15" t="s">
        <v>1917</v>
      </c>
      <c r="E32342" s="2">
        <v>3468732</v>
      </c>
      <c r="F32342" s="4" t="e">
        <f>IF(B32342=#REF!,"",B32342)</f>
        <v>#REF!</v>
      </c>
    </row>
    <row r="32343" spans="1:6" ht="15.75" customHeight="1">
      <c r="A32343" s="16" t="s">
        <v>2168</v>
      </c>
      <c r="B32343" s="15" t="s">
        <v>2168</v>
      </c>
      <c r="C32343" s="16" t="s">
        <v>1905</v>
      </c>
      <c r="D32343" s="16" t="s">
        <v>2024</v>
      </c>
      <c r="E32343" s="2">
        <v>3404722</v>
      </c>
      <c r="F32343" s="4" t="e">
        <f>IF(B32343=#REF!,"",B32343)</f>
        <v>#REF!</v>
      </c>
    </row>
    <row r="32344" spans="1:6" ht="15.75" customHeight="1">
      <c r="A32344" s="15" t="s">
        <v>25853</v>
      </c>
      <c r="B32344" s="15" t="s">
        <v>25853</v>
      </c>
      <c r="C32344" s="15" t="s">
        <v>25771</v>
      </c>
      <c r="D32344" s="15" t="s">
        <v>25853</v>
      </c>
      <c r="E32344" s="2">
        <v>1611453</v>
      </c>
      <c r="F32344" s="4" t="e">
        <f>IF(B32344=#REF!,"",B32344)</f>
        <v>#REF!</v>
      </c>
    </row>
    <row r="32345" spans="1:6" ht="15.75" customHeight="1">
      <c r="A32345" s="15" t="s">
        <v>28127</v>
      </c>
      <c r="B32345" s="15" t="s">
        <v>28127</v>
      </c>
      <c r="C32345" s="15" t="s">
        <v>27788</v>
      </c>
      <c r="D32345" s="15" t="s">
        <v>27733</v>
      </c>
      <c r="E32345" s="2">
        <v>5788516</v>
      </c>
      <c r="F32345" s="4" t="e">
        <f>IF(B32345=#REF!,"",B32345)</f>
        <v>#REF!</v>
      </c>
    </row>
    <row r="32346" spans="1:6" ht="15.75" customHeight="1">
      <c r="A32346" s="15" t="s">
        <v>2167</v>
      </c>
      <c r="B32346" s="15" t="s">
        <v>2167</v>
      </c>
      <c r="C32346" s="15" t="s">
        <v>1905</v>
      </c>
      <c r="D32346" s="15" t="s">
        <v>1914</v>
      </c>
      <c r="E32346" s="2">
        <v>3468802</v>
      </c>
      <c r="F32346" s="4" t="e">
        <f>IF(B32346=#REF!,"",B32346)</f>
        <v>#REF!</v>
      </c>
    </row>
    <row r="32347" spans="1:6" ht="15.75" customHeight="1">
      <c r="A32347" s="15" t="s">
        <v>10848</v>
      </c>
      <c r="B32347" s="15" t="s">
        <v>10848</v>
      </c>
      <c r="C32347" s="15" t="s">
        <v>10178</v>
      </c>
      <c r="D32347" s="15" t="s">
        <v>10219</v>
      </c>
      <c r="E32347" s="2">
        <v>1275066</v>
      </c>
      <c r="F32347" s="4" t="str">
        <f>IF(B32347=B32346,"",B32347)</f>
        <v>Burhar</v>
      </c>
    </row>
    <row r="32348" spans="1:6" ht="15.75" customHeight="1">
      <c r="A32348" s="16" t="str">
        <f ca="1">IFERROR(__xludf.DUMMYFUNCTION("GOOGLETRANSLATE(B23770,""en"",""pt"")"),"Burhānuddin")</f>
        <v>Burhānuddin</v>
      </c>
      <c r="B32348" s="20" t="s">
        <v>31298</v>
      </c>
      <c r="C32348" s="20" t="s">
        <v>1296</v>
      </c>
      <c r="D32348" s="20" t="s">
        <v>31265</v>
      </c>
      <c r="E32348" s="10">
        <v>1210565</v>
      </c>
      <c r="F32348" s="4" t="str">
        <f>IF(B32348=B32347,"",B32348)</f>
        <v>Burhānuddin</v>
      </c>
    </row>
    <row r="32349" spans="1:6" ht="15.75" customHeight="1">
      <c r="A32349" s="16" t="str">
        <f ca="1">IFERROR(__xludf.DUMMYFUNCTION("GOOGLETRANSLATE(B33771,""en"",""pt"")"),"Burhānpur")</f>
        <v>Burhānpur</v>
      </c>
      <c r="B32349" s="20" t="s">
        <v>33852</v>
      </c>
      <c r="C32349" s="20" t="s">
        <v>10178</v>
      </c>
      <c r="D32349" s="20" t="s">
        <v>10219</v>
      </c>
      <c r="E32349" s="10">
        <v>1275068</v>
      </c>
      <c r="F32349" s="4" t="e">
        <f>IF(B32349=#REF!,"",B32349)</f>
        <v>#REF!</v>
      </c>
    </row>
    <row r="32350" spans="1:6" ht="15.75" customHeight="1">
      <c r="A32350" s="16" t="s">
        <v>26425</v>
      </c>
      <c r="B32350" s="15" t="s">
        <v>26425</v>
      </c>
      <c r="C32350" s="16" t="s">
        <v>26201</v>
      </c>
      <c r="D32350" s="16" t="s">
        <v>26340</v>
      </c>
      <c r="E32350" s="2">
        <v>320369</v>
      </c>
      <c r="F32350" s="4" t="str">
        <f>IF(B32350=B32349,"",B32350)</f>
        <v>Burhaniye</v>
      </c>
    </row>
    <row r="32351" spans="1:6" ht="15.75" customHeight="1">
      <c r="A32351" s="16" t="s">
        <v>1322</v>
      </c>
      <c r="B32351" s="15" t="s">
        <v>1323</v>
      </c>
      <c r="C32351" s="16" t="s">
        <v>1296</v>
      </c>
      <c r="D32351" s="16" t="s">
        <v>1308</v>
      </c>
      <c r="E32351" s="2">
        <v>1210565</v>
      </c>
      <c r="F32351" s="4" t="str">
        <f>IF(B32351=B32350,"",B32351)</f>
        <v>BurhÄnuddin</v>
      </c>
    </row>
    <row r="32352" spans="1:6" ht="15.75" customHeight="1">
      <c r="A32352" s="16" t="s">
        <v>10846</v>
      </c>
      <c r="B32352" s="15" t="s">
        <v>10847</v>
      </c>
      <c r="C32352" s="16" t="s">
        <v>10178</v>
      </c>
      <c r="D32352" s="16" t="s">
        <v>10219</v>
      </c>
      <c r="E32352" s="2">
        <v>1275068</v>
      </c>
      <c r="F32352" s="4" t="e">
        <f>IF(B32352=#REF!,"",B32352)</f>
        <v>#REF!</v>
      </c>
    </row>
    <row r="32353" spans="1:6" ht="15.75" customHeight="1">
      <c r="A32353" s="15" t="s">
        <v>20697</v>
      </c>
      <c r="B32353" s="15" t="s">
        <v>20697</v>
      </c>
      <c r="C32353" s="15" t="s">
        <v>20598</v>
      </c>
      <c r="D32353" s="15" t="s">
        <v>20599</v>
      </c>
      <c r="E32353" s="2">
        <v>1722433</v>
      </c>
      <c r="F32353" s="4" t="e">
        <f>IF(B32353=#REF!,"",B32353)</f>
        <v>#REF!</v>
      </c>
    </row>
    <row r="32354" spans="1:6" ht="15.75" customHeight="1">
      <c r="A32354" s="16" t="s">
        <v>8254</v>
      </c>
      <c r="B32354" s="15" t="s">
        <v>8254</v>
      </c>
      <c r="C32354" s="16" t="s">
        <v>8028</v>
      </c>
      <c r="D32354" s="16" t="s">
        <v>8044</v>
      </c>
      <c r="E32354" s="2">
        <v>2941279</v>
      </c>
      <c r="F32354" s="4" t="e">
        <f>IF(B32354=#REF!,"",B32354)</f>
        <v>#REF!</v>
      </c>
    </row>
    <row r="32355" spans="1:6" ht="15.75" customHeight="1">
      <c r="A32355" s="16" t="s">
        <v>27368</v>
      </c>
      <c r="B32355" s="15" t="s">
        <v>27368</v>
      </c>
      <c r="C32355" s="16" t="s">
        <v>27234</v>
      </c>
      <c r="D32355" s="16" t="s">
        <v>27241</v>
      </c>
      <c r="E32355" s="2">
        <v>2654308</v>
      </c>
      <c r="F32355" s="4" t="e">
        <f>IF(B32355=#REF!,"",B32355)</f>
        <v>#REF!</v>
      </c>
    </row>
    <row r="32356" spans="1:6" ht="15.75" customHeight="1">
      <c r="A32356" s="15" t="s">
        <v>8253</v>
      </c>
      <c r="B32356" s="15" t="s">
        <v>8253</v>
      </c>
      <c r="C32356" s="15" t="s">
        <v>8028</v>
      </c>
      <c r="D32356" s="15" t="s">
        <v>8034</v>
      </c>
      <c r="E32356" s="2">
        <v>2941405</v>
      </c>
      <c r="F32356" s="4" t="e">
        <f>IF(B32356=#REF!,"",B32356)</f>
        <v>#REF!</v>
      </c>
    </row>
    <row r="32357" spans="1:6" ht="15.75" customHeight="1">
      <c r="A32357" s="15" t="s">
        <v>3704</v>
      </c>
      <c r="B32357" s="15" t="s">
        <v>3704</v>
      </c>
      <c r="C32357" s="15" t="s">
        <v>3701</v>
      </c>
      <c r="D32357" s="15" t="s">
        <v>3704</v>
      </c>
      <c r="E32357" s="2">
        <v>732770</v>
      </c>
      <c r="F32357" s="4" t="e">
        <f>IF(B32357=#REF!,"",B32357)</f>
        <v>#REF!</v>
      </c>
    </row>
    <row r="32358" spans="1:6" ht="15.75" customHeight="1">
      <c r="A32358" s="16" t="s">
        <v>8252</v>
      </c>
      <c r="B32358" s="15" t="s">
        <v>8252</v>
      </c>
      <c r="C32358" s="16" t="s">
        <v>8028</v>
      </c>
      <c r="D32358" s="16" t="s">
        <v>8044</v>
      </c>
      <c r="E32358" s="2">
        <v>8378906</v>
      </c>
      <c r="F32358" s="4" t="e">
        <f>IF(B32358=#REF!,"",B32358)</f>
        <v>#REF!</v>
      </c>
    </row>
    <row r="32359" spans="1:6" ht="15.75" customHeight="1">
      <c r="A32359" s="16" t="s">
        <v>8250</v>
      </c>
      <c r="B32359" s="15" t="s">
        <v>8251</v>
      </c>
      <c r="C32359" s="16" t="s">
        <v>8028</v>
      </c>
      <c r="D32359" s="16" t="s">
        <v>8085</v>
      </c>
      <c r="E32359" s="2">
        <v>2941501</v>
      </c>
      <c r="F32359" s="4" t="str">
        <f>IF(B32359=B32358,"",B32359)</f>
        <v>Burg bei Magdeburg</v>
      </c>
    </row>
    <row r="32360" spans="1:6" ht="15.75" customHeight="1">
      <c r="A32360" s="16" t="str">
        <f ca="1">IFERROR(__xludf.DUMMYFUNCTION("GOOGLETRANSLATE(B39142,""en"",""pt"")"),"Būrewāla")</f>
        <v>Būrewāla</v>
      </c>
      <c r="B32360" s="20" t="s">
        <v>35043</v>
      </c>
      <c r="C32360" s="20" t="s">
        <v>19808</v>
      </c>
      <c r="D32360" s="20" t="s">
        <v>10184</v>
      </c>
      <c r="E32360" s="10">
        <v>1182092</v>
      </c>
      <c r="F32360" s="4" t="str">
        <f>IF(B32360=B32359,"",B32360)</f>
        <v>Būrewāla</v>
      </c>
    </row>
    <row r="32361" spans="1:6" ht="15.75" customHeight="1">
      <c r="A32361" s="16" t="str">
        <f ca="1">IFERROR(__xludf.DUMMYFUNCTION("GOOGLETRANSLATE(B28209,""en"",""pt"")"),"Büren")</f>
        <v>Büren</v>
      </c>
      <c r="B32361" s="20" t="s">
        <v>32120</v>
      </c>
      <c r="C32361" s="20" t="s">
        <v>8028</v>
      </c>
      <c r="D32361" s="20" t="s">
        <v>8029</v>
      </c>
      <c r="E32361" s="10">
        <v>2941570</v>
      </c>
      <c r="F32361" s="4" t="str">
        <f>IF(B32361=B32360,"",B32361)</f>
        <v>Büren</v>
      </c>
    </row>
    <row r="32362" spans="1:6" ht="15.75" customHeight="1">
      <c r="A32362" s="16" t="str">
        <f ca="1">IFERROR(__xludf.DUMMYFUNCTION("GOOGLETRANSLATE(B29573,""en"",""pt"")"),"Burē")</f>
        <v>Burē</v>
      </c>
      <c r="B32362" s="20" t="s">
        <v>32507</v>
      </c>
      <c r="C32362" s="20" t="s">
        <v>6807</v>
      </c>
      <c r="D32362" s="20" t="s">
        <v>6811</v>
      </c>
      <c r="E32362" s="10">
        <v>341397</v>
      </c>
      <c r="F32362" s="4" t="e">
        <f>IF(B32362=#REF!,"",B32362)</f>
        <v>#REF!</v>
      </c>
    </row>
    <row r="32363" spans="1:6" ht="15.75" customHeight="1">
      <c r="A32363" s="15" t="s">
        <v>26420</v>
      </c>
      <c r="B32363" s="15" t="s">
        <v>26420</v>
      </c>
      <c r="C32363" s="15" t="s">
        <v>26201</v>
      </c>
      <c r="D32363" s="15" t="s">
        <v>26420</v>
      </c>
      <c r="E32363" s="2">
        <v>320392</v>
      </c>
      <c r="F32363" s="4" t="e">
        <f>IF(B32363=#REF!,"",B32363)</f>
        <v>#REF!</v>
      </c>
    </row>
    <row r="32364" spans="1:6" ht="15.75" customHeight="1">
      <c r="A32364" s="15" t="s">
        <v>28126</v>
      </c>
      <c r="B32364" s="15" t="s">
        <v>28126</v>
      </c>
      <c r="C32364" s="15" t="s">
        <v>27788</v>
      </c>
      <c r="D32364" s="15" t="s">
        <v>27799</v>
      </c>
      <c r="E32364" s="2">
        <v>4885983</v>
      </c>
      <c r="F32364" s="4" t="e">
        <f>IF(B32364=#REF!,"",B32364)</f>
        <v>#REF!</v>
      </c>
    </row>
    <row r="32365" spans="1:6" ht="15.75" customHeight="1">
      <c r="A32365" s="15" t="s">
        <v>23522</v>
      </c>
      <c r="B32365" s="15" t="s">
        <v>23522</v>
      </c>
      <c r="C32365" s="15" t="s">
        <v>23454</v>
      </c>
      <c r="D32365" s="15" t="s">
        <v>23485</v>
      </c>
      <c r="E32365" s="2">
        <v>107304</v>
      </c>
      <c r="F32365" s="4" t="e">
        <f>IF(B32365=#REF!,"",B32365)</f>
        <v>#REF!</v>
      </c>
    </row>
    <row r="32366" spans="1:6" ht="15.75" customHeight="1">
      <c r="A32366" s="15" t="s">
        <v>23811</v>
      </c>
      <c r="B32366" s="15" t="s">
        <v>23811</v>
      </c>
      <c r="C32366" s="15" t="s">
        <v>23800</v>
      </c>
      <c r="D32366" s="15" t="s">
        <v>23812</v>
      </c>
      <c r="E32366" s="2">
        <v>63795</v>
      </c>
      <c r="F32366" s="4" t="str">
        <f>IF(B32366=B32365,"",B32366)</f>
        <v>Burao</v>
      </c>
    </row>
    <row r="32367" spans="1:6" ht="15.75" customHeight="1">
      <c r="A32367" s="15" t="s">
        <v>6849</v>
      </c>
      <c r="B32367" s="15" t="s">
        <v>6850</v>
      </c>
      <c r="C32367" s="15" t="s">
        <v>6807</v>
      </c>
      <c r="D32367" s="15" t="s">
        <v>6811</v>
      </c>
      <c r="E32367" s="2">
        <v>341397</v>
      </c>
      <c r="F32367" s="4" t="str">
        <f>IF(B32367=B32366,"",B32367)</f>
        <v>BurÄ“</v>
      </c>
    </row>
    <row r="32368" spans="1:6" ht="15.75" customHeight="1">
      <c r="A32368" s="16" t="str">
        <f ca="1">IFERROR(__xludf.DUMMYFUNCTION("GOOGLETRANSLATE(B28883,""en"",""pt"")"),"Būr Safājah")</f>
        <v>Būr Safājah</v>
      </c>
      <c r="B32368" s="20" t="s">
        <v>32307</v>
      </c>
      <c r="C32368" s="20" t="s">
        <v>6495</v>
      </c>
      <c r="D32368" s="20" t="s">
        <v>6584</v>
      </c>
      <c r="E32368" s="10">
        <v>358620</v>
      </c>
      <c r="F32368" s="4" t="str">
        <f>IF(B32368=B32367,"",B32368)</f>
        <v>Būr Safājah</v>
      </c>
    </row>
    <row r="32369" spans="1:6" ht="15.75" customHeight="1">
      <c r="A32369" s="16" t="str">
        <f ca="1">IFERROR(__xludf.DUMMYFUNCTION("GOOGLETRANSLATE(B45782,""en"",""pt"")"),"Buôn Ma Thuột")</f>
        <v>Buôn Ma Thuột</v>
      </c>
      <c r="B32369" s="20" t="s">
        <v>36191</v>
      </c>
      <c r="C32369" s="20" t="s">
        <v>30784</v>
      </c>
      <c r="D32369" s="20" t="s">
        <v>36192</v>
      </c>
      <c r="E32369" s="10">
        <v>1586896</v>
      </c>
      <c r="F32369" s="4" t="e">
        <f>IF(B32369=#REF!,"",B32369)</f>
        <v>#REF!</v>
      </c>
    </row>
    <row r="32370" spans="1:6" ht="15.75" customHeight="1">
      <c r="A32370" s="16" t="s">
        <v>18922</v>
      </c>
      <c r="B32370" s="15" t="s">
        <v>18922</v>
      </c>
      <c r="C32370" s="16" t="s">
        <v>18862</v>
      </c>
      <c r="D32370" s="16" t="s">
        <v>18877</v>
      </c>
      <c r="E32370" s="2">
        <v>2758104</v>
      </c>
      <c r="F32370" s="4" t="e">
        <f>IF(B32370=#REF!,"",B32370)</f>
        <v>#REF!</v>
      </c>
    </row>
    <row r="32371" spans="1:6" ht="15.75" customHeight="1">
      <c r="A32371" s="15" t="s">
        <v>6143</v>
      </c>
      <c r="B32371" s="15" t="s">
        <v>6143</v>
      </c>
      <c r="C32371" s="15" t="s">
        <v>6127</v>
      </c>
      <c r="D32371" s="15" t="s">
        <v>6128</v>
      </c>
      <c r="E32371" s="2">
        <v>217695</v>
      </c>
      <c r="F32371" s="4" t="e">
        <f>IF(B32371=#REF!,"",B32371)</f>
        <v>#REF!</v>
      </c>
    </row>
    <row r="32372" spans="1:6" ht="15.75" customHeight="1">
      <c r="A32372" s="15" t="s">
        <v>25575</v>
      </c>
      <c r="B32372" s="15" t="s">
        <v>25575</v>
      </c>
      <c r="C32372" s="15" t="s">
        <v>25560</v>
      </c>
      <c r="D32372" s="15" t="s">
        <v>25564</v>
      </c>
      <c r="E32372" s="2">
        <v>160877</v>
      </c>
      <c r="F32372" s="4" t="e">
        <f>IF(B32372=#REF!,"",B32372)</f>
        <v>#REF!</v>
      </c>
    </row>
    <row r="32373" spans="1:6" ht="15.75" customHeight="1">
      <c r="A32373" s="16" t="s">
        <v>15835</v>
      </c>
      <c r="B32373" s="15" t="s">
        <v>15836</v>
      </c>
      <c r="C32373" s="16" t="s">
        <v>15704</v>
      </c>
      <c r="D32373" s="16" t="s">
        <v>15758</v>
      </c>
      <c r="E32373" s="2">
        <v>1851170</v>
      </c>
      <c r="F32373" s="4" t="e">
        <f>IF(B32373=#REF!,"",B32373)</f>
        <v>#REF!</v>
      </c>
    </row>
    <row r="32374" spans="1:6" ht="15.75" customHeight="1">
      <c r="A32374" s="15" t="s">
        <v>16783</v>
      </c>
      <c r="B32374" s="15" t="s">
        <v>16783</v>
      </c>
      <c r="C32374" s="15" t="s">
        <v>16781</v>
      </c>
      <c r="D32374" s="15" t="s">
        <v>16783</v>
      </c>
      <c r="E32374" s="2">
        <v>200067</v>
      </c>
      <c r="F32374" s="4" t="str">
        <f>IF(B32374=B32373,"",B32374)</f>
        <v>Bungoma</v>
      </c>
    </row>
    <row r="32375" spans="1:6" ht="15.75" customHeight="1">
      <c r="A32375" s="16" t="str">
        <f ca="1">IFERROR(__xludf.DUMMYFUNCTION("GOOGLETRANSLATE(B33772,""en"",""pt"")"),"Būndu")</f>
        <v>Būndu</v>
      </c>
      <c r="B32375" s="20" t="s">
        <v>33853</v>
      </c>
      <c r="C32375" s="20" t="s">
        <v>10178</v>
      </c>
      <c r="D32375" s="20" t="s">
        <v>10430</v>
      </c>
      <c r="E32375" s="10">
        <v>1275097</v>
      </c>
      <c r="F32375" s="4" t="e">
        <f>IF(B32375=#REF!,"",B32375)</f>
        <v>#REF!</v>
      </c>
    </row>
    <row r="32376" spans="1:6" ht="15.75" customHeight="1">
      <c r="A32376" s="16" t="s">
        <v>921</v>
      </c>
      <c r="B32376" s="15" t="s">
        <v>922</v>
      </c>
      <c r="C32376" s="16" t="s">
        <v>885</v>
      </c>
      <c r="D32376" s="16" t="s">
        <v>827</v>
      </c>
      <c r="E32376" s="2">
        <v>8349381</v>
      </c>
      <c r="F32376" s="4" t="e">
        <f>IF(B32376=#REF!,"",B32376)</f>
        <v>#REF!</v>
      </c>
    </row>
    <row r="32377" spans="1:6" ht="15.75" customHeight="1">
      <c r="A32377" s="16" t="s">
        <v>26824</v>
      </c>
      <c r="B32377" s="15" t="s">
        <v>26824</v>
      </c>
      <c r="C32377" s="16" t="s">
        <v>26820</v>
      </c>
      <c r="D32377" s="16" t="s">
        <v>18803</v>
      </c>
      <c r="E32377" s="2">
        <v>234178</v>
      </c>
      <c r="F32377" s="4" t="str">
        <f>IF(B32377=B32376,"",B32377)</f>
        <v>Bundibugyo</v>
      </c>
    </row>
    <row r="32378" spans="1:6" ht="15.75" customHeight="1">
      <c r="A32378" s="16" t="str">
        <f ca="1">IFERROR(__xludf.DUMMYFUNCTION("GOOGLETRANSLATE(B33773,""en"",""pt"")"),"Būndi")</f>
        <v>Būndi</v>
      </c>
      <c r="B32378" s="20" t="s">
        <v>33854</v>
      </c>
      <c r="C32378" s="20" t="s">
        <v>10178</v>
      </c>
      <c r="D32378" s="20" t="s">
        <v>10179</v>
      </c>
      <c r="E32378" s="10">
        <v>1275103</v>
      </c>
      <c r="F32378" s="4" t="str">
        <f>IF(B32378=B32377,"",B32378)</f>
        <v>Būndi</v>
      </c>
    </row>
    <row r="32379" spans="1:6" ht="15.75" customHeight="1">
      <c r="A32379" s="16" t="str">
        <f ca="1">IFERROR(__xludf.DUMMYFUNCTION("GOOGLETRANSLATE(B28210,""en"",""pt"")"),"Bünde")</f>
        <v>Bünde</v>
      </c>
      <c r="B32379" s="20" t="s">
        <v>32121</v>
      </c>
      <c r="C32379" s="20" t="s">
        <v>8028</v>
      </c>
      <c r="D32379" s="20" t="s">
        <v>8029</v>
      </c>
      <c r="E32379" s="10">
        <v>2941694</v>
      </c>
      <c r="F32379" s="4" t="e">
        <f>IF(B32379=#REF!,"",B32379)</f>
        <v>#REF!</v>
      </c>
    </row>
    <row r="32380" spans="1:6" ht="15.75" customHeight="1">
      <c r="A32380" s="16" t="s">
        <v>920</v>
      </c>
      <c r="B32380" s="15" t="s">
        <v>920</v>
      </c>
      <c r="C32380" s="16" t="s">
        <v>885</v>
      </c>
      <c r="D32380" s="16" t="s">
        <v>910</v>
      </c>
      <c r="E32380" s="2">
        <v>2173323</v>
      </c>
      <c r="F32380" s="4" t="e">
        <f>IF(B32380=#REF!,"",B32380)</f>
        <v>#REF!</v>
      </c>
    </row>
    <row r="32381" spans="1:6" ht="15.75" customHeight="1">
      <c r="A32381" s="15" t="s">
        <v>25573</v>
      </c>
      <c r="B32381" s="15" t="s">
        <v>25573</v>
      </c>
      <c r="C32381" s="15" t="s">
        <v>25560</v>
      </c>
      <c r="D32381" s="15" t="s">
        <v>25574</v>
      </c>
      <c r="E32381" s="2">
        <v>160892</v>
      </c>
      <c r="F32381" s="4" t="e">
        <f>IF(B32381=#REF!,"",B32381)</f>
        <v>#REF!</v>
      </c>
    </row>
    <row r="32382" spans="1:6" ht="15.75" customHeight="1">
      <c r="A32382" s="15" t="s">
        <v>919</v>
      </c>
      <c r="B32382" s="15" t="s">
        <v>919</v>
      </c>
      <c r="C32382" s="15" t="s">
        <v>885</v>
      </c>
      <c r="D32382" s="15" t="s">
        <v>889</v>
      </c>
      <c r="E32382" s="2">
        <v>2075432</v>
      </c>
      <c r="F32382" s="4" t="e">
        <f>IF(B32382=#REF!,"",B32382)</f>
        <v>#REF!</v>
      </c>
    </row>
    <row r="32383" spans="1:6" ht="15.75" customHeight="1">
      <c r="A32383" s="15" t="s">
        <v>20696</v>
      </c>
      <c r="B32383" s="15" t="s">
        <v>20696</v>
      </c>
      <c r="C32383" s="15" t="s">
        <v>20598</v>
      </c>
      <c r="D32383" s="15" t="s">
        <v>20647</v>
      </c>
      <c r="E32383" s="2">
        <v>1722731</v>
      </c>
      <c r="F32383" s="4" t="e">
        <f>IF(B32383=#REF!,"",B32383)</f>
        <v>#REF!</v>
      </c>
    </row>
    <row r="32384" spans="1:6" ht="15.75" customHeight="1">
      <c r="A32384" s="15" t="s">
        <v>6142</v>
      </c>
      <c r="B32384" s="15" t="s">
        <v>6142</v>
      </c>
      <c r="C32384" s="15" t="s">
        <v>6127</v>
      </c>
      <c r="D32384" s="15" t="s">
        <v>6134</v>
      </c>
      <c r="E32384" s="2">
        <v>217745</v>
      </c>
      <c r="F32384" s="4" t="e">
        <f>IF(B32384=#REF!,"",B32384)</f>
        <v>#REF!</v>
      </c>
    </row>
    <row r="32385" spans="1:6" ht="15.75" customHeight="1">
      <c r="A32385" s="15" t="s">
        <v>6141</v>
      </c>
      <c r="B32385" s="15" t="s">
        <v>6141</v>
      </c>
      <c r="C32385" s="15" t="s">
        <v>6127</v>
      </c>
      <c r="D32385" s="15" t="s">
        <v>6129</v>
      </c>
      <c r="E32385" s="2">
        <v>2316259</v>
      </c>
      <c r="F32385" s="4" t="str">
        <f>IF(B32385=B32384,"",B32385)</f>
        <v>Bulungu</v>
      </c>
    </row>
    <row r="32386" spans="1:6" ht="15.75" customHeight="1">
      <c r="A32386" s="16" t="s">
        <v>30520</v>
      </c>
      <c r="B32386" s="15" t="s">
        <v>30521</v>
      </c>
      <c r="C32386" s="16" t="s">
        <v>30502</v>
      </c>
      <c r="D32386" s="16" t="s">
        <v>30522</v>
      </c>
      <c r="E32386" s="2">
        <v>1217658</v>
      </c>
      <c r="F32386" s="4" t="str">
        <f>IF(B32386=B32385,"",B32386)</f>
        <v>Bulungâ€™ur</v>
      </c>
    </row>
    <row r="32387" spans="1:6" ht="15.75" customHeight="1">
      <c r="A32387" s="16" t="str">
        <f ca="1">IFERROR(__xludf.DUMMYFUNCTION("GOOGLETRANSLATE(B45522,""en"",""pt"")"),"Bulung'ur")</f>
        <v>Bulung'ur</v>
      </c>
      <c r="B32387" s="20" t="s">
        <v>36065</v>
      </c>
      <c r="C32387" s="20" t="s">
        <v>30502</v>
      </c>
      <c r="D32387" s="20" t="s">
        <v>30522</v>
      </c>
      <c r="E32387" s="10">
        <v>1217658</v>
      </c>
      <c r="F32387" s="4" t="e">
        <f>IF(B32387=#REF!,"",B32387)</f>
        <v>#REF!</v>
      </c>
    </row>
    <row r="32388" spans="1:6" ht="15.75" customHeight="1">
      <c r="A32388" s="15" t="s">
        <v>20695</v>
      </c>
      <c r="B32388" s="15" t="s">
        <v>20695</v>
      </c>
      <c r="C32388" s="15" t="s">
        <v>20598</v>
      </c>
      <c r="D32388" s="15" t="s">
        <v>20683</v>
      </c>
      <c r="E32388" s="2">
        <v>1722818</v>
      </c>
      <c r="F32388" s="4" t="e">
        <f>IF(B32388=#REF!,"",B32388)</f>
        <v>#REF!</v>
      </c>
    </row>
    <row r="32389" spans="1:6" ht="15.75" customHeight="1">
      <c r="A32389" s="15" t="s">
        <v>20408</v>
      </c>
      <c r="B32389" s="15" t="s">
        <v>20408</v>
      </c>
      <c r="C32389" s="15" t="s">
        <v>20406</v>
      </c>
      <c r="D32389" s="15" t="s">
        <v>20409</v>
      </c>
      <c r="E32389" s="2">
        <v>2098869</v>
      </c>
      <c r="F32389" s="4" t="e">
        <f>IF(B32389=#REF!,"",B32389)</f>
        <v>#REF!</v>
      </c>
    </row>
    <row r="32390" spans="1:6" ht="15.75" customHeight="1">
      <c r="A32390" s="16" t="s">
        <v>28125</v>
      </c>
      <c r="B32390" s="15" t="s">
        <v>28125</v>
      </c>
      <c r="C32390" s="16" t="s">
        <v>27788</v>
      </c>
      <c r="D32390" s="16" t="s">
        <v>27880</v>
      </c>
      <c r="E32390" s="2">
        <v>5287565</v>
      </c>
      <c r="F32390" s="4" t="e">
        <f>IF(B32390=#REF!,"",B32390)</f>
        <v>#REF!</v>
      </c>
    </row>
    <row r="32391" spans="1:6" ht="15.75" customHeight="1">
      <c r="A32391" s="15" t="s">
        <v>18505</v>
      </c>
      <c r="B32391" s="15" t="s">
        <v>18505</v>
      </c>
      <c r="C32391" s="15" t="s">
        <v>18496</v>
      </c>
      <c r="D32391" s="15" t="s">
        <v>18505</v>
      </c>
      <c r="E32391" s="2">
        <v>2032201</v>
      </c>
      <c r="F32391" s="4" t="str">
        <f>IF(B32391=B32390,"",B32391)</f>
        <v>Bulgan</v>
      </c>
    </row>
    <row r="32392" spans="1:6" ht="15.75" customHeight="1">
      <c r="A32392" s="16" t="str">
        <f ca="1">IFERROR(__xludf.DUMMYFUNCTION("GOOGLETRANSLATE(B33774,""en"",""pt"")"),"Buldāna")</f>
        <v>Buldāna</v>
      </c>
      <c r="B32392" s="20" t="s">
        <v>33855</v>
      </c>
      <c r="C32392" s="20" t="s">
        <v>10178</v>
      </c>
      <c r="D32392" s="20" t="s">
        <v>10214</v>
      </c>
      <c r="E32392" s="10">
        <v>1275117</v>
      </c>
      <c r="F32392" s="4" t="str">
        <f>IF(B32392=B32391,"",B32392)</f>
        <v>Buldāna</v>
      </c>
    </row>
    <row r="32393" spans="1:6" ht="15.75" customHeight="1">
      <c r="A32393" s="15" t="s">
        <v>10844</v>
      </c>
      <c r="B32393" s="15" t="s">
        <v>10845</v>
      </c>
      <c r="C32393" s="15" t="s">
        <v>10178</v>
      </c>
      <c r="D32393" s="15" t="s">
        <v>10214</v>
      </c>
      <c r="E32393" s="2">
        <v>1275117</v>
      </c>
      <c r="F32393" s="4" t="e">
        <f>IF(B32393=#REF!,"",B32393)</f>
        <v>#REF!</v>
      </c>
    </row>
    <row r="32394" spans="1:6" ht="15.75" customHeight="1">
      <c r="A32394" s="15" t="s">
        <v>31076</v>
      </c>
      <c r="B32394" s="15" t="s">
        <v>31076</v>
      </c>
      <c r="C32394" s="15" t="s">
        <v>31072</v>
      </c>
      <c r="D32394" s="15" t="s">
        <v>31076</v>
      </c>
      <c r="E32394" s="2">
        <v>894701</v>
      </c>
      <c r="F32394" s="4" t="e">
        <f>IF(B32394=#REF!,"",B32394)</f>
        <v>#REF!</v>
      </c>
    </row>
    <row r="32395" spans="1:6" ht="15.75" customHeight="1">
      <c r="A32395" s="15" t="s">
        <v>20694</v>
      </c>
      <c r="B32395" s="15" t="s">
        <v>20694</v>
      </c>
      <c r="C32395" s="15" t="s">
        <v>20598</v>
      </c>
      <c r="D32395" s="15" t="s">
        <v>20599</v>
      </c>
      <c r="E32395" s="2">
        <v>1722930</v>
      </c>
      <c r="F32395" s="4" t="str">
        <f>IF(B32395=B32394,"",B32395)</f>
        <v>Bulaon</v>
      </c>
    </row>
    <row r="32396" spans="1:6" ht="15.75" customHeight="1">
      <c r="A32396" s="16" t="str">
        <f ca="1">IFERROR(__xludf.DUMMYFUNCTION("GOOGLETRANSLATE(B42039,""en"",""pt"")"),"Bulanık")</f>
        <v>Bulanık</v>
      </c>
      <c r="B32396" s="20" t="s">
        <v>35895</v>
      </c>
      <c r="C32396" s="20" t="s">
        <v>26201</v>
      </c>
      <c r="D32396" s="20" t="s">
        <v>35823</v>
      </c>
      <c r="E32396" s="10">
        <v>320448</v>
      </c>
      <c r="F32396" s="4" t="e">
        <f>IF(B32396=#REF!,"",B32396)</f>
        <v>#REF!</v>
      </c>
    </row>
    <row r="32397" spans="1:6" ht="15.75" customHeight="1">
      <c r="A32397" s="16" t="s">
        <v>10843</v>
      </c>
      <c r="B32397" s="15" t="s">
        <v>10843</v>
      </c>
      <c r="C32397" s="16" t="s">
        <v>10178</v>
      </c>
      <c r="D32397" s="16" t="s">
        <v>10193</v>
      </c>
      <c r="E32397" s="2">
        <v>1275120</v>
      </c>
      <c r="F32397" s="4" t="e">
        <f>IF(B32397=#REF!,"",B32397)</f>
        <v>#REF!</v>
      </c>
    </row>
    <row r="32398" spans="1:6" ht="15.75" customHeight="1">
      <c r="A32398" s="15" t="s">
        <v>26424</v>
      </c>
      <c r="B32398" s="15" t="s">
        <v>26424</v>
      </c>
      <c r="C32398" s="15" t="s">
        <v>26201</v>
      </c>
      <c r="D32398" s="15" t="s">
        <v>26350</v>
      </c>
      <c r="E32398" s="2">
        <v>750317</v>
      </c>
      <c r="F32398" s="4" t="str">
        <f>IF(B32398=B32397,"",B32398)</f>
        <v>Bulancak</v>
      </c>
    </row>
    <row r="32399" spans="1:6" ht="15.75" customHeight="1">
      <c r="A32399" s="16" t="s">
        <v>26421</v>
      </c>
      <c r="B32399" s="15" t="s">
        <v>26422</v>
      </c>
      <c r="C32399" s="16" t="s">
        <v>26201</v>
      </c>
      <c r="D32399" s="16" t="s">
        <v>26423</v>
      </c>
      <c r="E32399" s="2">
        <v>320448</v>
      </c>
      <c r="F32399" s="4" t="e">
        <f>IF(B32399=#REF!,"",B32399)</f>
        <v>#REF!</v>
      </c>
    </row>
    <row r="32400" spans="1:6" ht="15.75" customHeight="1">
      <c r="A32400" s="15" t="s">
        <v>20693</v>
      </c>
      <c r="B32400" s="15" t="s">
        <v>20693</v>
      </c>
      <c r="C32400" s="15" t="s">
        <v>20598</v>
      </c>
      <c r="D32400" s="15" t="s">
        <v>20634</v>
      </c>
      <c r="E32400" s="2">
        <v>1722985</v>
      </c>
      <c r="F32400" s="4" t="e">
        <f>IF(B32400=#REF!,"",B32400)</f>
        <v>#REF!</v>
      </c>
    </row>
    <row r="32401" spans="1:6" ht="15.75" customHeight="1">
      <c r="A32401" s="16" t="s">
        <v>13873</v>
      </c>
      <c r="B32401" s="15" t="s">
        <v>13873</v>
      </c>
      <c r="C32401" s="16" t="s">
        <v>13800</v>
      </c>
      <c r="D32401" s="16" t="s">
        <v>13803</v>
      </c>
      <c r="E32401" s="2">
        <v>1647834</v>
      </c>
      <c r="F32401" s="4" t="e">
        <f>IF(B32401=#REF!,"",B32401)</f>
        <v>#REF!</v>
      </c>
    </row>
    <row r="32402" spans="1:6" ht="15.75" customHeight="1">
      <c r="A32402" s="15" t="s">
        <v>20692</v>
      </c>
      <c r="B32402" s="15" t="s">
        <v>20692</v>
      </c>
      <c r="C32402" s="15" t="s">
        <v>20598</v>
      </c>
      <c r="D32402" s="15" t="s">
        <v>20599</v>
      </c>
      <c r="E32402" s="2">
        <v>1723066</v>
      </c>
      <c r="F32402" s="4" t="e">
        <f>IF(B32402=#REF!,"",B32402)</f>
        <v>#REF!</v>
      </c>
    </row>
    <row r="32403" spans="1:6" ht="15.75" customHeight="1">
      <c r="A32403" s="15" t="s">
        <v>19359</v>
      </c>
      <c r="B32403" s="15" t="s">
        <v>19359</v>
      </c>
      <c r="C32403" s="15" t="s">
        <v>19294</v>
      </c>
      <c r="D32403" s="15" t="s">
        <v>1771</v>
      </c>
      <c r="E32403" s="2">
        <v>2346561</v>
      </c>
      <c r="F32403" s="4" t="e">
        <f>IF(B32403=#REF!,"",B32403)</f>
        <v>#REF!</v>
      </c>
    </row>
    <row r="32404" spans="1:6" ht="15.75" customHeight="1">
      <c r="A32404" s="15" t="s">
        <v>25572</v>
      </c>
      <c r="B32404" s="15" t="s">
        <v>25572</v>
      </c>
      <c r="C32404" s="15" t="s">
        <v>25560</v>
      </c>
      <c r="D32404" s="15" t="s">
        <v>25570</v>
      </c>
      <c r="E32404" s="2">
        <v>160961</v>
      </c>
      <c r="F32404" s="4" t="e">
        <f>IF(B32404=#REF!,"",B32404)</f>
        <v>#REF!</v>
      </c>
    </row>
    <row r="32405" spans="1:6" ht="15.75" customHeight="1">
      <c r="A32405" s="16" t="s">
        <v>13871</v>
      </c>
      <c r="B32405" s="15" t="s">
        <v>13871</v>
      </c>
      <c r="C32405" s="16" t="s">
        <v>13800</v>
      </c>
      <c r="D32405" s="16" t="s">
        <v>13872</v>
      </c>
      <c r="E32405" s="2">
        <v>1647866</v>
      </c>
      <c r="F32405" s="4" t="e">
        <f>IF(B32405=#REF!,"",B32405)</f>
        <v>#REF!</v>
      </c>
    </row>
    <row r="32406" spans="1:6" ht="15.75" customHeight="1">
      <c r="A32406" s="16" t="s">
        <v>17462</v>
      </c>
      <c r="B32406" s="15" t="s">
        <v>17462</v>
      </c>
      <c r="C32406" s="16" t="s">
        <v>17432</v>
      </c>
      <c r="D32406" s="16" t="s">
        <v>17433</v>
      </c>
      <c r="E32406" s="2">
        <v>1778290</v>
      </c>
      <c r="F32406" s="4" t="e">
        <f>IF(B32406=#REF!,"",B32406)</f>
        <v>#REF!</v>
      </c>
    </row>
    <row r="32407" spans="1:6" ht="15.75" customHeight="1">
      <c r="A32407" s="16" t="s">
        <v>17460</v>
      </c>
      <c r="B32407" s="15" t="s">
        <v>17460</v>
      </c>
      <c r="C32407" s="16" t="s">
        <v>17432</v>
      </c>
      <c r="D32407" s="16" t="s">
        <v>17461</v>
      </c>
      <c r="E32407" s="2">
        <v>1735079</v>
      </c>
      <c r="F32407" s="4" t="e">
        <f>IF(B32407=#REF!,"",B32407)</f>
        <v>#REF!</v>
      </c>
    </row>
    <row r="32408" spans="1:6" ht="15.75" customHeight="1">
      <c r="A32408" s="15" t="s">
        <v>30519</v>
      </c>
      <c r="B32408" s="15" t="s">
        <v>30519</v>
      </c>
      <c r="C32408" s="15" t="s">
        <v>30502</v>
      </c>
      <c r="D32408" s="15" t="s">
        <v>30519</v>
      </c>
      <c r="E32408" s="2">
        <v>1217662</v>
      </c>
      <c r="F32408" s="4" t="e">
        <f>IF(B32408=#REF!,"",B32408)</f>
        <v>#REF!</v>
      </c>
    </row>
    <row r="32409" spans="1:6" ht="15.75" customHeight="1">
      <c r="A32409" s="15" t="s">
        <v>6139</v>
      </c>
      <c r="B32409" s="15" t="s">
        <v>6139</v>
      </c>
      <c r="C32409" s="15" t="s">
        <v>6127</v>
      </c>
      <c r="D32409" s="15" t="s">
        <v>6140</v>
      </c>
      <c r="E32409" s="2">
        <v>217831</v>
      </c>
      <c r="F32409" s="4" t="str">
        <f>IF(B32409=B32408,"",B32409)</f>
        <v>Bukavu</v>
      </c>
    </row>
    <row r="32410" spans="1:6" ht="15.75" customHeight="1">
      <c r="A32410" s="16" t="str">
        <f ca="1">IFERROR(__xludf.DUMMYFUNCTION("GOOGLETRANSLATE(B34470,""en"",""pt"")"),"Būkān")</f>
        <v>Būkān</v>
      </c>
      <c r="B32410" s="20" t="s">
        <v>34217</v>
      </c>
      <c r="C32410" s="20" t="s">
        <v>14240</v>
      </c>
      <c r="D32410" s="20" t="s">
        <v>34137</v>
      </c>
      <c r="E32410" s="10">
        <v>139889</v>
      </c>
      <c r="F32410" s="4" t="e">
        <f>IF(B32410=#REF!,"",B32410)</f>
        <v>#REF!</v>
      </c>
    </row>
    <row r="32411" spans="1:6" ht="15.75" customHeight="1">
      <c r="A32411" s="15" t="s">
        <v>6137</v>
      </c>
      <c r="B32411" s="15" t="s">
        <v>6137</v>
      </c>
      <c r="C32411" s="15" t="s">
        <v>6127</v>
      </c>
      <c r="D32411" s="15" t="s">
        <v>6138</v>
      </c>
      <c r="E32411" s="2">
        <v>217834</v>
      </c>
      <c r="F32411" s="4" t="str">
        <f>IF(B32411=B32410,"",B32411)</f>
        <v>Bukama</v>
      </c>
    </row>
    <row r="32412" spans="1:6" ht="15.75" customHeight="1">
      <c r="A32412" s="16" t="str">
        <f ca="1">IFERROR(__xludf.DUMMYFUNCTION("GOOGLETRANSLATE(B45586,""en"",""pt"")"),"Bŭka")</f>
        <v>Bŭka</v>
      </c>
      <c r="B32412" s="20" t="s">
        <v>36079</v>
      </c>
      <c r="C32412" s="20" t="s">
        <v>30502</v>
      </c>
      <c r="D32412" s="20" t="s">
        <v>30504</v>
      </c>
      <c r="E32412" s="10">
        <v>1514330</v>
      </c>
      <c r="F32412" s="4" t="e">
        <f>IF(B32412=#REF!,"",B32412)</f>
        <v>#REF!</v>
      </c>
    </row>
    <row r="32413" spans="1:6" ht="15.75" customHeight="1">
      <c r="A32413" s="16" t="s">
        <v>3824</v>
      </c>
      <c r="B32413" s="15" t="s">
        <v>3824</v>
      </c>
      <c r="C32413" s="16" t="s">
        <v>3825</v>
      </c>
      <c r="D32413" s="16" t="s">
        <v>3826</v>
      </c>
      <c r="E32413" s="2">
        <v>425378</v>
      </c>
      <c r="F32413" s="4" t="str">
        <f>IF(B32413=B32412,"",B32413)</f>
        <v>Bujumbura</v>
      </c>
    </row>
    <row r="32414" spans="1:6" ht="15.75" customHeight="1">
      <c r="A32414" s="16" t="str">
        <f ca="1">IFERROR(__xludf.DUMMYFUNCTION("GOOGLETRANSLATE(B24377,""en"",""pt"")"),"Buíque")</f>
        <v>Buíque</v>
      </c>
      <c r="B32414" s="20" t="s">
        <v>31415</v>
      </c>
      <c r="C32414" s="20" t="s">
        <v>1905</v>
      </c>
      <c r="D32414" s="20" t="s">
        <v>1909</v>
      </c>
      <c r="E32414" s="10">
        <v>3404766</v>
      </c>
      <c r="F32414" s="4" t="e">
        <f>IF(B32414=#REF!,"",B32414)</f>
        <v>#REF!</v>
      </c>
    </row>
    <row r="32415" spans="1:6" ht="15.75" customHeight="1">
      <c r="A32415" s="15" t="s">
        <v>22279</v>
      </c>
      <c r="B32415" s="15" t="s">
        <v>22279</v>
      </c>
      <c r="C32415" s="15" t="s">
        <v>22070</v>
      </c>
      <c r="D32415" s="15" t="s">
        <v>22090</v>
      </c>
      <c r="E32415" s="2">
        <v>571155</v>
      </c>
      <c r="F32415" s="4" t="e">
        <f>IF(B32415=#REF!,"",B32415)</f>
        <v>#REF!</v>
      </c>
    </row>
    <row r="32416" spans="1:6" ht="15.75" customHeight="1">
      <c r="A32416" s="15" t="s">
        <v>4365</v>
      </c>
      <c r="B32416" s="15" t="s">
        <v>4365</v>
      </c>
      <c r="C32416" s="15" t="s">
        <v>4355</v>
      </c>
      <c r="D32416" s="15" t="s">
        <v>4366</v>
      </c>
      <c r="E32416" s="2">
        <v>3897774</v>
      </c>
      <c r="F32416" s="4" t="str">
        <f>IF(B32416=B32415,"",B32416)</f>
        <v>Buin</v>
      </c>
    </row>
    <row r="32417" spans="1:6" ht="15.75" customHeight="1">
      <c r="A32417" s="16" t="str">
        <f ca="1">IFERROR(__xludf.DUMMYFUNCTION("GOOGLETRANSLATE(B39822,""en"",""pt"")"),"Buhuşi")</f>
        <v>Buhuşi</v>
      </c>
      <c r="B32417" s="20" t="s">
        <v>35399</v>
      </c>
      <c r="C32417" s="20" t="s">
        <v>21824</v>
      </c>
      <c r="D32417" s="20" t="s">
        <v>35376</v>
      </c>
      <c r="E32417" s="10">
        <v>683365</v>
      </c>
      <c r="F32417" s="4" t="str">
        <f>IF(B32417=B32416,"",B32417)</f>
        <v>Buhuşi</v>
      </c>
    </row>
    <row r="32418" spans="1:6" ht="15.75" customHeight="1">
      <c r="A32418" s="15" t="s">
        <v>21874</v>
      </c>
      <c r="B32418" s="15" t="s">
        <v>21875</v>
      </c>
      <c r="C32418" s="15" t="s">
        <v>21824</v>
      </c>
      <c r="D32418" s="15" t="s">
        <v>21837</v>
      </c>
      <c r="E32418" s="2">
        <v>683365</v>
      </c>
      <c r="F32418" s="4" t="str">
        <f>IF(B32418=B32417,"",B32418)</f>
        <v>BuhuÅŸi</v>
      </c>
    </row>
    <row r="32419" spans="1:6" ht="15.75" customHeight="1">
      <c r="A32419" s="16" t="str">
        <f ca="1">IFERROR(__xludf.DUMMYFUNCTION("GOOGLETRANSLATE(B28211,""en"",""pt"")"),"Bühl")</f>
        <v>Bühl</v>
      </c>
      <c r="B32419" s="20" t="s">
        <v>32122</v>
      </c>
      <c r="C32419" s="20" t="s">
        <v>8028</v>
      </c>
      <c r="D32419" s="20" t="s">
        <v>32013</v>
      </c>
      <c r="E32419" s="10">
        <v>2941976</v>
      </c>
      <c r="F32419" s="4" t="e">
        <f>IF(B32419=#REF!,"",B32419)</f>
        <v>#REF!</v>
      </c>
    </row>
    <row r="32420" spans="1:6" ht="15.75" customHeight="1">
      <c r="A32420" s="15" t="s">
        <v>20691</v>
      </c>
      <c r="B32420" s="15" t="s">
        <v>20691</v>
      </c>
      <c r="C32420" s="15" t="s">
        <v>20598</v>
      </c>
      <c r="D32420" s="15" t="s">
        <v>20634</v>
      </c>
      <c r="E32420" s="2">
        <v>1723166</v>
      </c>
      <c r="F32420" s="4" t="e">
        <f>IF(B32420=#REF!,"",B32420)</f>
        <v>#REF!</v>
      </c>
    </row>
    <row r="32421" spans="1:6" ht="15.75" customHeight="1">
      <c r="A32421" s="15" t="s">
        <v>4559</v>
      </c>
      <c r="B32421" s="15" t="s">
        <v>4559</v>
      </c>
      <c r="C32421" s="15" t="s">
        <v>4487</v>
      </c>
      <c r="D32421" s="15" t="s">
        <v>4499</v>
      </c>
      <c r="E32421" s="2">
        <v>1816221</v>
      </c>
      <c r="F32421" s="4" t="e">
        <f>IF(B32421=#REF!,"",B32421)</f>
        <v>#REF!</v>
      </c>
    </row>
    <row r="32422" spans="1:6" ht="15.75" customHeight="1">
      <c r="A32422" s="16" t="s">
        <v>22278</v>
      </c>
      <c r="B32422" s="15" t="s">
        <v>22278</v>
      </c>
      <c r="C32422" s="16" t="s">
        <v>22070</v>
      </c>
      <c r="D32422" s="16" t="s">
        <v>22075</v>
      </c>
      <c r="E32422" s="2">
        <v>571159</v>
      </c>
      <c r="F32422" s="4" t="e">
        <f>IF(B32422=#REF!,"",B32422)</f>
        <v>#REF!</v>
      </c>
    </row>
    <row r="32423" spans="1:6" ht="15.75" customHeight="1">
      <c r="A32423" s="15" t="s">
        <v>19358</v>
      </c>
      <c r="B32423" s="15" t="s">
        <v>19358</v>
      </c>
      <c r="C32423" s="15" t="s">
        <v>19294</v>
      </c>
      <c r="D32423" s="15" t="s">
        <v>19357</v>
      </c>
      <c r="E32423" s="2">
        <v>2346615</v>
      </c>
      <c r="F32423" s="4" t="str">
        <f>IF(B32423=B32422,"",B32423)</f>
        <v>Buguma</v>
      </c>
    </row>
    <row r="32424" spans="1:6" ht="15.75" customHeight="1">
      <c r="A32424" s="15" t="s">
        <v>22276</v>
      </c>
      <c r="B32424" s="15" t="s">
        <v>22277</v>
      </c>
      <c r="C32424" s="15" t="s">
        <v>22070</v>
      </c>
      <c r="D32424" s="15" t="s">
        <v>22090</v>
      </c>
      <c r="E32424" s="2">
        <v>571170</v>
      </c>
      <c r="F32424" s="4" t="str">
        <f>IF(B32424=B32423,"",B32424)</f>
        <v>Bugulâ€™ma</v>
      </c>
    </row>
    <row r="32425" spans="1:6" ht="15.75" customHeight="1">
      <c r="A32425" s="16" t="str">
        <f ca="1">IFERROR(__xludf.DUMMYFUNCTION("GOOGLETRANSLATE(B40607,""en"",""pt"")"),"Bugul'ma")</f>
        <v>Bugul'ma</v>
      </c>
      <c r="B32425" s="20" t="s">
        <v>35519</v>
      </c>
      <c r="C32425" s="20" t="s">
        <v>22070</v>
      </c>
      <c r="D32425" s="20" t="s">
        <v>22090</v>
      </c>
      <c r="E32425" s="10">
        <v>571170</v>
      </c>
      <c r="F32425" s="4" t="e">
        <f>IF(B32425=#REF!,"",B32425)</f>
        <v>#REF!</v>
      </c>
    </row>
    <row r="32426" spans="1:6" ht="15.75" customHeight="1">
      <c r="A32426" s="15" t="s">
        <v>1854</v>
      </c>
      <c r="B32426" s="15" t="s">
        <v>1854</v>
      </c>
      <c r="C32426" s="15" t="s">
        <v>1845</v>
      </c>
      <c r="D32426" s="15" t="s">
        <v>1849</v>
      </c>
      <c r="E32426" s="2">
        <v>3203099</v>
      </c>
      <c r="F32426" s="4" t="e">
        <f>IF(B32426=#REF!,"",B32426)</f>
        <v>#REF!</v>
      </c>
    </row>
    <row r="32427" spans="1:6" ht="15.75" customHeight="1">
      <c r="A32427" s="15" t="s">
        <v>20690</v>
      </c>
      <c r="B32427" s="15" t="s">
        <v>20690</v>
      </c>
      <c r="C32427" s="15" t="s">
        <v>20598</v>
      </c>
      <c r="D32427" s="15" t="s">
        <v>20687</v>
      </c>
      <c r="E32427" s="2">
        <v>1723257</v>
      </c>
      <c r="F32427" s="4" t="e">
        <f>IF(B32427=#REF!,"",B32427)</f>
        <v>#REF!</v>
      </c>
    </row>
    <row r="32428" spans="1:6" ht="15.75" customHeight="1">
      <c r="A32428" s="15" t="s">
        <v>26823</v>
      </c>
      <c r="B32428" s="15" t="s">
        <v>26823</v>
      </c>
      <c r="C32428" s="15" t="s">
        <v>26820</v>
      </c>
      <c r="D32428" s="15" t="s">
        <v>18807</v>
      </c>
      <c r="E32428" s="2">
        <v>234565</v>
      </c>
      <c r="F32428" s="4" t="e">
        <f>IF(B32428=#REF!,"",B32428)</f>
        <v>#REF!</v>
      </c>
    </row>
    <row r="32429" spans="1:6" ht="15.75" customHeight="1">
      <c r="A32429" s="16" t="s">
        <v>25571</v>
      </c>
      <c r="B32429" s="15" t="s">
        <v>25571</v>
      </c>
      <c r="C32429" s="16" t="s">
        <v>25560</v>
      </c>
      <c r="D32429" s="16" t="s">
        <v>25570</v>
      </c>
      <c r="E32429" s="2">
        <v>161023</v>
      </c>
      <c r="F32429" s="4" t="e">
        <f>IF(B32429=#REF!,"",B32429)</f>
        <v>#REF!</v>
      </c>
    </row>
    <row r="32430" spans="1:6" ht="15.75" customHeight="1">
      <c r="A32430" s="15" t="s">
        <v>5395</v>
      </c>
      <c r="B32430" s="15" t="s">
        <v>5396</v>
      </c>
      <c r="C32430" s="15" t="s">
        <v>5348</v>
      </c>
      <c r="D32430" s="15" t="s">
        <v>5360</v>
      </c>
      <c r="E32430" s="2">
        <v>3688256</v>
      </c>
      <c r="F32430" s="4" t="e">
        <f>IF(B32430=#REF!,"",B32430)</f>
        <v>#REF!</v>
      </c>
    </row>
    <row r="32431" spans="1:6" ht="15.75" customHeight="1">
      <c r="A32431" s="15" t="s">
        <v>21872</v>
      </c>
      <c r="B32431" s="15" t="s">
        <v>21872</v>
      </c>
      <c r="C32431" s="15" t="s">
        <v>21824</v>
      </c>
      <c r="D32431" s="15" t="s">
        <v>21873</v>
      </c>
      <c r="E32431" s="2">
        <v>683394</v>
      </c>
      <c r="F32431" s="4" t="e">
        <f>IF(B32431=#REF!,"",B32431)</f>
        <v>#REF!</v>
      </c>
    </row>
    <row r="32432" spans="1:6" ht="15.75" customHeight="1">
      <c r="A32432" s="16" t="s">
        <v>28124</v>
      </c>
      <c r="B32432" s="15" t="s">
        <v>28124</v>
      </c>
      <c r="C32432" s="16" t="s">
        <v>27788</v>
      </c>
      <c r="D32432" s="16" t="s">
        <v>27799</v>
      </c>
      <c r="E32432" s="2">
        <v>4885955</v>
      </c>
      <c r="F32432" s="4" t="e">
        <f>IF(B32432=#REF!,"",B32432)</f>
        <v>#REF!</v>
      </c>
    </row>
    <row r="32433" spans="1:6" ht="15.75" customHeight="1">
      <c r="A32433" s="15" t="s">
        <v>28122</v>
      </c>
      <c r="B32433" s="15" t="s">
        <v>28123</v>
      </c>
      <c r="C32433" s="15" t="s">
        <v>27788</v>
      </c>
      <c r="D32433" s="15" t="s">
        <v>27824</v>
      </c>
      <c r="E32433" s="2">
        <v>5019588</v>
      </c>
      <c r="F32433" s="4" t="e">
        <f>IF(B32433=#REF!,"",B32433)</f>
        <v>#REF!</v>
      </c>
    </row>
    <row r="32434" spans="1:6" ht="15.75" customHeight="1">
      <c r="A32434" s="16" t="s">
        <v>2166</v>
      </c>
      <c r="B32434" s="15" t="s">
        <v>2166</v>
      </c>
      <c r="C32434" s="16" t="s">
        <v>1905</v>
      </c>
      <c r="D32434" s="16" t="s">
        <v>1947</v>
      </c>
      <c r="E32434" s="2">
        <v>3468858</v>
      </c>
      <c r="F32434" s="4" t="e">
        <f>IF(B32434=#REF!,"",B32434)</f>
        <v>#REF!</v>
      </c>
    </row>
    <row r="32435" spans="1:6" ht="15.75" customHeight="1">
      <c r="A32435" s="16" t="s">
        <v>562</v>
      </c>
      <c r="B32435" s="15" t="s">
        <v>562</v>
      </c>
      <c r="C32435" s="16" t="s">
        <v>558</v>
      </c>
      <c r="D32435" s="16" t="s">
        <v>589</v>
      </c>
      <c r="E32435" s="2">
        <v>3435910</v>
      </c>
      <c r="F32435" s="4" t="e">
        <f>IF(B32435=#REF!,"",B32435)</f>
        <v>#REF!</v>
      </c>
    </row>
    <row r="32436" spans="1:6" ht="15.75" customHeight="1">
      <c r="A32436" s="16" t="s">
        <v>17787</v>
      </c>
      <c r="B32436" s="15" t="s">
        <v>17787</v>
      </c>
      <c r="C32436" s="16" t="s">
        <v>17707</v>
      </c>
      <c r="D32436" s="16" t="s">
        <v>17736</v>
      </c>
      <c r="E32436" s="2">
        <v>3827606</v>
      </c>
      <c r="F32436" s="4" t="e">
        <f>IF(B32436=#REF!,"",B32436)</f>
        <v>#REF!</v>
      </c>
    </row>
    <row r="32437" spans="1:6" ht="15.75" customHeight="1">
      <c r="A32437" s="16" t="s">
        <v>28120</v>
      </c>
      <c r="B32437" s="15" t="s">
        <v>28121</v>
      </c>
      <c r="C32437" s="16" t="s">
        <v>27788</v>
      </c>
      <c r="D32437" s="16" t="s">
        <v>5468</v>
      </c>
      <c r="E32437" s="2">
        <v>4149269</v>
      </c>
      <c r="F32437" s="4" t="e">
        <f>IF(B32437=#REF!,"",B32437)</f>
        <v>#REF!</v>
      </c>
    </row>
    <row r="32438" spans="1:6" ht="15.75" customHeight="1">
      <c r="A32438" s="16" t="s">
        <v>5394</v>
      </c>
      <c r="B32438" s="15" t="s">
        <v>5394</v>
      </c>
      <c r="C32438" s="16" t="s">
        <v>5348</v>
      </c>
      <c r="D32438" s="16" t="s">
        <v>5360</v>
      </c>
      <c r="E32438" s="2">
        <v>3688451</v>
      </c>
      <c r="F32438" s="4" t="e">
        <f>IF(B32438=#REF!,"",B32438)</f>
        <v>#REF!</v>
      </c>
    </row>
    <row r="32439" spans="1:6" ht="15.75" customHeight="1">
      <c r="A32439" s="16" t="s">
        <v>28119</v>
      </c>
      <c r="B32439" s="15" t="s">
        <v>28119</v>
      </c>
      <c r="C32439" s="16" t="s">
        <v>27788</v>
      </c>
      <c r="D32439" s="16" t="s">
        <v>27801</v>
      </c>
      <c r="E32439" s="2">
        <v>5331575</v>
      </c>
      <c r="F32439" s="4" t="e">
        <f>IF(B32439=#REF!,"",B32439)</f>
        <v>#REF!</v>
      </c>
    </row>
    <row r="32440" spans="1:6" ht="15.75" customHeight="1">
      <c r="A32440" s="15" t="s">
        <v>3907</v>
      </c>
      <c r="B32440" s="15" t="s">
        <v>3907</v>
      </c>
      <c r="C32440" s="15" t="s">
        <v>3884</v>
      </c>
      <c r="D32440" s="15" t="s">
        <v>3898</v>
      </c>
      <c r="E32440" s="2">
        <v>2233410</v>
      </c>
      <c r="F32440" s="4" t="e">
        <f>IF(B32440=#REF!,"",B32440)</f>
        <v>#REF!</v>
      </c>
    </row>
    <row r="32441" spans="1:6" ht="15.75" customHeight="1">
      <c r="A32441" s="15" t="s">
        <v>18536</v>
      </c>
      <c r="B32441" s="15" t="s">
        <v>18536</v>
      </c>
      <c r="C32441" s="15" t="s">
        <v>2921</v>
      </c>
      <c r="D32441" s="15" t="s">
        <v>18536</v>
      </c>
      <c r="E32441" s="2">
        <v>3203106</v>
      </c>
      <c r="F32441" s="4" t="e">
        <f>IF(B32441=#REF!,"",B32441)</f>
        <v>#REF!</v>
      </c>
    </row>
    <row r="32442" spans="1:6" ht="15.75" customHeight="1">
      <c r="A32442" s="15" t="s">
        <v>13870</v>
      </c>
      <c r="B32442" s="15" t="s">
        <v>13870</v>
      </c>
      <c r="C32442" s="15" t="s">
        <v>13800</v>
      </c>
      <c r="D32442" s="15" t="s">
        <v>13816</v>
      </c>
      <c r="E32442" s="2">
        <v>1647936</v>
      </c>
      <c r="F32442" s="4" t="e">
        <f>IF(B32442=#REF!,"",B32442)</f>
        <v>#REF!</v>
      </c>
    </row>
    <row r="32443" spans="1:6" ht="15.75" customHeight="1">
      <c r="A32443" s="15" t="s">
        <v>20689</v>
      </c>
      <c r="B32443" s="15" t="s">
        <v>20689</v>
      </c>
      <c r="C32443" s="15" t="s">
        <v>20598</v>
      </c>
      <c r="D32443" s="15" t="s">
        <v>20683</v>
      </c>
      <c r="E32443" s="2">
        <v>1723510</v>
      </c>
      <c r="F32443" s="4" t="str">
        <f>IF(B32443=B32442,"",B32443)</f>
        <v>Budta</v>
      </c>
    </row>
    <row r="32444" spans="1:6" ht="15.75" customHeight="1">
      <c r="A32444" s="16" t="str">
        <f ca="1">IFERROR(__xludf.DUMMYFUNCTION("GOOGLETRANSLATE(B28212,""en"",""pt"")"),"Büdingen")</f>
        <v>Büdingen</v>
      </c>
      <c r="B32444" s="20" t="s">
        <v>8099</v>
      </c>
      <c r="C32444" s="20" t="s">
        <v>8028</v>
      </c>
      <c r="D32444" s="20" t="s">
        <v>8050</v>
      </c>
      <c r="E32444" s="10">
        <v>2942073</v>
      </c>
      <c r="F32444" s="4" t="str">
        <f>IF(B32444=B32443,"",B32444)</f>
        <v>Büdingen</v>
      </c>
    </row>
    <row r="32445" spans="1:6" ht="15.75" customHeight="1">
      <c r="A32445" s="16" t="str">
        <f ca="1">IFERROR(__xludf.DUMMYFUNCTION("GOOGLETRANSLATE(B33776,""en"",""pt"")"),"Budhlāda")</f>
        <v>Budhlāda</v>
      </c>
      <c r="B32445" s="20" t="s">
        <v>33856</v>
      </c>
      <c r="C32445" s="20" t="s">
        <v>10178</v>
      </c>
      <c r="D32445" s="20" t="s">
        <v>10184</v>
      </c>
      <c r="E32445" s="10">
        <v>1275147</v>
      </c>
      <c r="F32445" s="4" t="str">
        <f>IF(B32445=B32444,"",B32445)</f>
        <v>Budhlāda</v>
      </c>
    </row>
    <row r="32446" spans="1:6" ht="15.75" customHeight="1">
      <c r="A32446" s="16" t="s">
        <v>10841</v>
      </c>
      <c r="B32446" s="15" t="s">
        <v>10842</v>
      </c>
      <c r="C32446" s="16" t="s">
        <v>10178</v>
      </c>
      <c r="D32446" s="16" t="s">
        <v>10184</v>
      </c>
      <c r="E32446" s="2">
        <v>1275147</v>
      </c>
      <c r="F32446" s="4" t="str">
        <f>IF(B32446=B32445,"",B32446)</f>
        <v>BudhlÄda</v>
      </c>
    </row>
    <row r="32447" spans="1:6" ht="15.75" customHeight="1">
      <c r="A32447" s="16" t="str">
        <f ca="1">IFERROR(__xludf.DUMMYFUNCTION("GOOGLETRANSLATE(B33777,""en"",""pt"")"),"Budhāna")</f>
        <v>Budhāna</v>
      </c>
      <c r="B32447" s="20" t="s">
        <v>33857</v>
      </c>
      <c r="C32447" s="20" t="s">
        <v>10178</v>
      </c>
      <c r="D32447" s="20" t="s">
        <v>10193</v>
      </c>
      <c r="E32447" s="10">
        <v>1275152</v>
      </c>
      <c r="F32447" s="4" t="str">
        <f>IF(B32447=B32446,"",B32447)</f>
        <v>Budhāna</v>
      </c>
    </row>
    <row r="32448" spans="1:6" ht="15.75" customHeight="1">
      <c r="A32448" s="15" t="s">
        <v>10839</v>
      </c>
      <c r="B32448" s="15" t="s">
        <v>10840</v>
      </c>
      <c r="C32448" s="15" t="s">
        <v>10178</v>
      </c>
      <c r="D32448" s="15" t="s">
        <v>10193</v>
      </c>
      <c r="E32448" s="2">
        <v>1275152</v>
      </c>
      <c r="F32448" s="4" t="e">
        <f>IF(B32448=#REF!,"",B32448)</f>
        <v>#REF!</v>
      </c>
    </row>
    <row r="32449" spans="1:6" ht="15.75" customHeight="1">
      <c r="A32449" s="15" t="s">
        <v>918</v>
      </c>
      <c r="B32449" s="15" t="s">
        <v>918</v>
      </c>
      <c r="C32449" s="15" t="s">
        <v>885</v>
      </c>
      <c r="D32449" s="15" t="s">
        <v>910</v>
      </c>
      <c r="E32449" s="2">
        <v>2173605</v>
      </c>
      <c r="F32449" s="4" t="str">
        <f>IF(B32449=B32448,"",B32449)</f>
        <v>Buderim</v>
      </c>
    </row>
    <row r="32450" spans="1:6" ht="15.75" customHeight="1">
      <c r="A32450" s="16" t="str">
        <f ca="1">IFERROR(__xludf.DUMMYFUNCTION("GOOGLETRANSLATE(B40608,""en"",""pt"")"),"Budënnovsk")</f>
        <v>Budënnovsk</v>
      </c>
      <c r="B32450" s="20" t="s">
        <v>35520</v>
      </c>
      <c r="C32450" s="20" t="s">
        <v>22070</v>
      </c>
      <c r="D32450" s="20" t="s">
        <v>22117</v>
      </c>
      <c r="E32450" s="10">
        <v>571306</v>
      </c>
      <c r="F32450" s="4" t="e">
        <f>IF(B32450=#REF!,"",B32450)</f>
        <v>#REF!</v>
      </c>
    </row>
    <row r="32451" spans="1:6" ht="15.75" customHeight="1">
      <c r="A32451" s="16" t="s">
        <v>10838</v>
      </c>
      <c r="B32451" s="15" t="s">
        <v>10838</v>
      </c>
      <c r="C32451" s="16" t="s">
        <v>10178</v>
      </c>
      <c r="D32451" s="16" t="s">
        <v>10317</v>
      </c>
      <c r="E32451" s="2">
        <v>1275389</v>
      </c>
      <c r="F32451" s="4" t="e">
        <f>IF(B32451=#REF!,"",B32451)</f>
        <v>#REF!</v>
      </c>
    </row>
    <row r="32452" spans="1:6" ht="15.75" customHeight="1">
      <c r="A32452" s="15" t="s">
        <v>10837</v>
      </c>
      <c r="B32452" s="15" t="s">
        <v>10837</v>
      </c>
      <c r="C32452" s="15" t="s">
        <v>10178</v>
      </c>
      <c r="D32452" s="15" t="s">
        <v>10193</v>
      </c>
      <c r="E32452" s="2">
        <v>1275163</v>
      </c>
      <c r="F32452" s="4" t="str">
        <f>IF(B32452=B32451,"",B32452)</f>
        <v>Budaun</v>
      </c>
    </row>
    <row r="32453" spans="1:6" ht="15.75" customHeight="1">
      <c r="A32453" s="16" t="str">
        <f ca="1">IFERROR(__xludf.DUMMYFUNCTION("GOOGLETRANSLATE(B31344,""en"",""pt"")"),"Budapeste xxiii. Kerület")</f>
        <v>Budapeste xxiii. Kerület</v>
      </c>
      <c r="B32453" s="20" t="s">
        <v>32903</v>
      </c>
      <c r="C32453" s="20" t="s">
        <v>9955</v>
      </c>
      <c r="D32453" s="20" t="s">
        <v>9981</v>
      </c>
      <c r="E32453" s="10">
        <v>7284837</v>
      </c>
      <c r="F32453" s="4" t="str">
        <f>IF(B32453=B32452,"",B32453)</f>
        <v>Budapest XXIII. kerület</v>
      </c>
    </row>
    <row r="32454" spans="1:6" ht="15.75" customHeight="1">
      <c r="A32454" s="16" t="s">
        <v>10024</v>
      </c>
      <c r="B32454" s="15" t="s">
        <v>10025</v>
      </c>
      <c r="C32454" s="16" t="s">
        <v>9955</v>
      </c>
      <c r="D32454" s="16" t="s">
        <v>9981</v>
      </c>
      <c r="E32454" s="2">
        <v>7284837</v>
      </c>
      <c r="F32454" s="4" t="str">
        <f>IF(B32454=B32453,"",B32454)</f>
        <v>Budapest XXIII. kerÃ¼let</v>
      </c>
    </row>
    <row r="32455" spans="1:6" ht="15.75" customHeight="1">
      <c r="A32455" s="16" t="str">
        <f ca="1">IFERROR(__xludf.DUMMYFUNCTION("GOOGLETRANSLATE(B31345,""en"",""pt"")"),"Budapeste xxii. Kerület")</f>
        <v>Budapeste xxii. Kerület</v>
      </c>
      <c r="B32455" s="20" t="s">
        <v>32904</v>
      </c>
      <c r="C32455" s="20" t="s">
        <v>9955</v>
      </c>
      <c r="D32455" s="20" t="s">
        <v>9981</v>
      </c>
      <c r="E32455" s="10">
        <v>7284838</v>
      </c>
      <c r="F32455" s="4" t="str">
        <f>IF(B32455=B32454,"",B32455)</f>
        <v>Budapest XXII. kerület</v>
      </c>
    </row>
    <row r="32456" spans="1:6" ht="15.75" customHeight="1">
      <c r="A32456" s="16" t="s">
        <v>10022</v>
      </c>
      <c r="B32456" s="15" t="s">
        <v>10023</v>
      </c>
      <c r="C32456" s="16" t="s">
        <v>9955</v>
      </c>
      <c r="D32456" s="16" t="s">
        <v>9981</v>
      </c>
      <c r="E32456" s="2">
        <v>7284838</v>
      </c>
      <c r="F32456" s="4" t="str">
        <f>IF(B32456=B32455,"",B32456)</f>
        <v>Budapest XXII. kerÃ¼let</v>
      </c>
    </row>
    <row r="32457" spans="1:6" ht="15.75" customHeight="1">
      <c r="A32457" s="16" t="str">
        <f ca="1">IFERROR(__xludf.DUMMYFUNCTION("GOOGLETRANSLATE(B31346,""en"",""pt"")"),"Budapeste xxi. Kerület")</f>
        <v>Budapeste xxi. Kerület</v>
      </c>
      <c r="B32457" s="20" t="s">
        <v>32905</v>
      </c>
      <c r="C32457" s="20" t="s">
        <v>9955</v>
      </c>
      <c r="D32457" s="20" t="s">
        <v>9981</v>
      </c>
      <c r="E32457" s="10">
        <v>7284839</v>
      </c>
      <c r="F32457" s="4" t="str">
        <f>IF(B32457=B32456,"",B32457)</f>
        <v>Budapest XXI. kerület</v>
      </c>
    </row>
    <row r="32458" spans="1:6" ht="15.75" customHeight="1">
      <c r="A32458" s="16" t="s">
        <v>10020</v>
      </c>
      <c r="B32458" s="15" t="s">
        <v>10021</v>
      </c>
      <c r="C32458" s="16" t="s">
        <v>9955</v>
      </c>
      <c r="D32458" s="16" t="s">
        <v>9981</v>
      </c>
      <c r="E32458" s="2">
        <v>7284839</v>
      </c>
      <c r="F32458" s="4" t="str">
        <f>IF(B32458=B32457,"",B32458)</f>
        <v>Budapest XXI. kerÃ¼let</v>
      </c>
    </row>
    <row r="32459" spans="1:6" ht="15.75" customHeight="1">
      <c r="A32459" s="16" t="str">
        <f ca="1">IFERROR(__xludf.DUMMYFUNCTION("GOOGLETRANSLATE(B31347,""en"",""pt"")"),"Budapeste xx. Kerület")</f>
        <v>Budapeste xx. Kerület</v>
      </c>
      <c r="B32459" s="20" t="s">
        <v>32906</v>
      </c>
      <c r="C32459" s="20" t="s">
        <v>9955</v>
      </c>
      <c r="D32459" s="20" t="s">
        <v>9981</v>
      </c>
      <c r="E32459" s="10">
        <v>7284840</v>
      </c>
      <c r="F32459" s="4" t="str">
        <f>IF(B32459=B32458,"",B32459)</f>
        <v>Budapest XX. kerület</v>
      </c>
    </row>
    <row r="32460" spans="1:6" ht="15.75" customHeight="1">
      <c r="A32460" s="16" t="s">
        <v>10018</v>
      </c>
      <c r="B32460" s="15" t="s">
        <v>10019</v>
      </c>
      <c r="C32460" s="16" t="s">
        <v>9955</v>
      </c>
      <c r="D32460" s="16" t="s">
        <v>9981</v>
      </c>
      <c r="E32460" s="2">
        <v>7284840</v>
      </c>
      <c r="F32460" s="4" t="str">
        <f>IF(B32460=B32459,"",B32460)</f>
        <v>Budapest XX. kerÃ¼let</v>
      </c>
    </row>
    <row r="32461" spans="1:6" ht="15.75" customHeight="1">
      <c r="A32461" s="16" t="str">
        <f ca="1">IFERROR(__xludf.DUMMYFUNCTION("GOOGLETRANSLATE(B31343,""en"",""pt"")"),"Budapeste xviii. Kerület")</f>
        <v>Budapeste xviii. Kerület</v>
      </c>
      <c r="B32461" s="20" t="s">
        <v>32902</v>
      </c>
      <c r="C32461" s="20" t="s">
        <v>9955</v>
      </c>
      <c r="D32461" s="20" t="s">
        <v>9981</v>
      </c>
      <c r="E32461" s="10">
        <v>7284836</v>
      </c>
      <c r="F32461" s="4" t="str">
        <f>IF(B32461=B32460,"",B32461)</f>
        <v>Budapest XVIII. kerület</v>
      </c>
    </row>
    <row r="32462" spans="1:6" ht="15.75" customHeight="1">
      <c r="A32462" s="16" t="s">
        <v>10016</v>
      </c>
      <c r="B32462" s="15" t="s">
        <v>10017</v>
      </c>
      <c r="C32462" s="16" t="s">
        <v>9955</v>
      </c>
      <c r="D32462" s="16" t="s">
        <v>9981</v>
      </c>
      <c r="E32462" s="2">
        <v>7284836</v>
      </c>
      <c r="F32462" s="4" t="str">
        <f>IF(B32462=B32461,"",B32462)</f>
        <v>Budapest XVIII. kerÃ¼let</v>
      </c>
    </row>
    <row r="32463" spans="1:6" ht="15.75" customHeight="1">
      <c r="A32463" s="16" t="str">
        <f ca="1">IFERROR(__xludf.DUMMYFUNCTION("GOOGLETRANSLATE(B31348,""en"",""pt"")"),"Budapeste xvii. Kerület")</f>
        <v>Budapeste xvii. Kerület</v>
      </c>
      <c r="B32463" s="20" t="s">
        <v>32907</v>
      </c>
      <c r="C32463" s="20" t="s">
        <v>9955</v>
      </c>
      <c r="D32463" s="20" t="s">
        <v>9981</v>
      </c>
      <c r="E32463" s="10">
        <v>7284841</v>
      </c>
      <c r="F32463" s="4" t="str">
        <f>IF(B32463=B32462,"",B32463)</f>
        <v>Budapest XVII. kerület</v>
      </c>
    </row>
    <row r="32464" spans="1:6" ht="15.75" customHeight="1">
      <c r="A32464" s="16" t="s">
        <v>10014</v>
      </c>
      <c r="B32464" s="15" t="s">
        <v>10015</v>
      </c>
      <c r="C32464" s="16" t="s">
        <v>9955</v>
      </c>
      <c r="D32464" s="16" t="s">
        <v>9981</v>
      </c>
      <c r="E32464" s="2">
        <v>7284841</v>
      </c>
      <c r="F32464" s="4" t="str">
        <f>IF(B32464=B32463,"",B32464)</f>
        <v>Budapest XVII. kerÃ¼let</v>
      </c>
    </row>
    <row r="32465" spans="1:6" ht="15.75" customHeight="1">
      <c r="A32465" s="16" t="str">
        <f ca="1">IFERROR(__xludf.DUMMYFUNCTION("GOOGLETRANSLATE(B31340,""en"",""pt"")"),"Budapeste xvi. Kerület")</f>
        <v>Budapeste xvi. Kerület</v>
      </c>
      <c r="B32465" s="20" t="s">
        <v>32899</v>
      </c>
      <c r="C32465" s="20" t="s">
        <v>9955</v>
      </c>
      <c r="D32465" s="20" t="s">
        <v>9981</v>
      </c>
      <c r="E32465" s="10">
        <v>7284833</v>
      </c>
      <c r="F32465" s="4" t="str">
        <f>IF(B32465=B32464,"",B32465)</f>
        <v>Budapest XVI. kerület</v>
      </c>
    </row>
    <row r="32466" spans="1:6" ht="15.75" customHeight="1">
      <c r="A32466" s="16" t="s">
        <v>10012</v>
      </c>
      <c r="B32466" s="15" t="s">
        <v>10013</v>
      </c>
      <c r="C32466" s="16" t="s">
        <v>9955</v>
      </c>
      <c r="D32466" s="16" t="s">
        <v>9981</v>
      </c>
      <c r="E32466" s="2">
        <v>7284833</v>
      </c>
      <c r="F32466" s="4" t="str">
        <f>IF(B32466=B32465,"",B32466)</f>
        <v>Budapest XVI. kerÃ¼let</v>
      </c>
    </row>
    <row r="32467" spans="1:6" ht="15.75" customHeight="1">
      <c r="A32467" s="16" t="str">
        <f ca="1">IFERROR(__xludf.DUMMYFUNCTION("GOOGLETRANSLATE(B31339,""en"",""pt"")"),"Budapeste xv. Kerület")</f>
        <v>Budapeste xv. Kerület</v>
      </c>
      <c r="B32467" s="20" t="s">
        <v>32898</v>
      </c>
      <c r="C32467" s="20" t="s">
        <v>9955</v>
      </c>
      <c r="D32467" s="20" t="s">
        <v>9981</v>
      </c>
      <c r="E32467" s="10">
        <v>7284832</v>
      </c>
      <c r="F32467" s="4" t="str">
        <f>IF(B32467=B32466,"",B32467)</f>
        <v>Budapest XV. kerület</v>
      </c>
    </row>
    <row r="32468" spans="1:6" ht="15.75" customHeight="1">
      <c r="A32468" s="16" t="s">
        <v>10010</v>
      </c>
      <c r="B32468" s="15" t="s">
        <v>10011</v>
      </c>
      <c r="C32468" s="16" t="s">
        <v>9955</v>
      </c>
      <c r="D32468" s="16" t="s">
        <v>9981</v>
      </c>
      <c r="E32468" s="2">
        <v>7284832</v>
      </c>
      <c r="F32468" s="4" t="str">
        <f>IF(B32468=B32467,"",B32468)</f>
        <v>Budapest XV. kerÃ¼let</v>
      </c>
    </row>
    <row r="32469" spans="1:6" ht="15.75" customHeight="1">
      <c r="A32469" s="16" t="str">
        <f ca="1">IFERROR(__xludf.DUMMYFUNCTION("GOOGLETRANSLATE(B31342,""en"",""pt"")"),"Budapeste xix. Kerület")</f>
        <v>Budapeste xix. Kerület</v>
      </c>
      <c r="B32469" s="20" t="s">
        <v>32901</v>
      </c>
      <c r="C32469" s="20" t="s">
        <v>9955</v>
      </c>
      <c r="D32469" s="20" t="s">
        <v>9981</v>
      </c>
      <c r="E32469" s="10">
        <v>7284835</v>
      </c>
      <c r="F32469" s="4" t="str">
        <f>IF(B32469=B32468,"",B32469)</f>
        <v>Budapest XIX. kerület</v>
      </c>
    </row>
    <row r="32470" spans="1:6" ht="15.75" customHeight="1">
      <c r="A32470" s="16" t="s">
        <v>10008</v>
      </c>
      <c r="B32470" s="15" t="s">
        <v>10009</v>
      </c>
      <c r="C32470" s="16" t="s">
        <v>9955</v>
      </c>
      <c r="D32470" s="16" t="s">
        <v>9981</v>
      </c>
      <c r="E32470" s="2">
        <v>7284835</v>
      </c>
      <c r="F32470" s="4" t="str">
        <f>IF(B32470=B32469,"",B32470)</f>
        <v>Budapest XIX. kerÃ¼let</v>
      </c>
    </row>
    <row r="32471" spans="1:6" ht="15.75" customHeight="1">
      <c r="A32471" s="16" t="str">
        <f ca="1">IFERROR(__xludf.DUMMYFUNCTION("GOOGLETRANSLATE(B31336,""en"",""pt"")"),"Budapeste XIV. Kerület")</f>
        <v>Budapeste XIV. Kerület</v>
      </c>
      <c r="B32471" s="20" t="s">
        <v>32895</v>
      </c>
      <c r="C32471" s="20" t="s">
        <v>9955</v>
      </c>
      <c r="D32471" s="20" t="s">
        <v>9981</v>
      </c>
      <c r="E32471" s="10">
        <v>7284829</v>
      </c>
      <c r="F32471" s="4" t="str">
        <f>IF(B32471=B32470,"",B32471)</f>
        <v>Budapest XIV. kerület</v>
      </c>
    </row>
    <row r="32472" spans="1:6" ht="15.75" customHeight="1">
      <c r="A32472" s="16" t="s">
        <v>10006</v>
      </c>
      <c r="B32472" s="15" t="s">
        <v>10007</v>
      </c>
      <c r="C32472" s="16" t="s">
        <v>9955</v>
      </c>
      <c r="D32472" s="16" t="s">
        <v>9981</v>
      </c>
      <c r="E32472" s="2">
        <v>7284829</v>
      </c>
      <c r="F32472" s="4" t="str">
        <f>IF(B32472=B32471,"",B32472)</f>
        <v>Budapest XIV. kerÃ¼let</v>
      </c>
    </row>
    <row r="32473" spans="1:6" ht="15.75" customHeight="1">
      <c r="A32473" s="16" t="str">
        <f ca="1">IFERROR(__xludf.DUMMYFUNCTION("GOOGLETRANSLATE(B31337,""en"",""pt"")"),"Budapeste XIII. Kerület")</f>
        <v>Budapeste XIII. Kerület</v>
      </c>
      <c r="B32473" s="20" t="s">
        <v>32896</v>
      </c>
      <c r="C32473" s="20" t="s">
        <v>9955</v>
      </c>
      <c r="D32473" s="20" t="s">
        <v>9981</v>
      </c>
      <c r="E32473" s="10">
        <v>7284830</v>
      </c>
      <c r="F32473" s="4" t="str">
        <f>IF(B32473=B32472,"",B32473)</f>
        <v>Budapest XIII. kerület</v>
      </c>
    </row>
    <row r="32474" spans="1:6" ht="15.75" customHeight="1">
      <c r="A32474" s="16" t="s">
        <v>10004</v>
      </c>
      <c r="B32474" s="15" t="s">
        <v>10005</v>
      </c>
      <c r="C32474" s="16" t="s">
        <v>9955</v>
      </c>
      <c r="D32474" s="16" t="s">
        <v>9981</v>
      </c>
      <c r="E32474" s="2">
        <v>7284830</v>
      </c>
      <c r="F32474" s="4" t="str">
        <f>IF(B32474=B32473,"",B32474)</f>
        <v>Budapest XIII. kerÃ¼let</v>
      </c>
    </row>
    <row r="32475" spans="1:6" ht="15.75" customHeight="1">
      <c r="A32475" s="16" t="str">
        <f ca="1">IFERROR(__xludf.DUMMYFUNCTION("GOOGLETRANSLATE(B31330,""en"",""pt"")"),"Budapeste xii. Kerület")</f>
        <v>Budapeste xii. Kerület</v>
      </c>
      <c r="B32475" s="20" t="s">
        <v>32889</v>
      </c>
      <c r="C32475" s="20" t="s">
        <v>9955</v>
      </c>
      <c r="D32475" s="20" t="s">
        <v>9981</v>
      </c>
      <c r="E32475" s="10">
        <v>7284823</v>
      </c>
      <c r="F32475" s="4" t="str">
        <f>IF(B32475=B32474,"",B32475)</f>
        <v>Budapest XII. kerület</v>
      </c>
    </row>
    <row r="32476" spans="1:6" ht="15.75" customHeight="1">
      <c r="A32476" s="16" t="s">
        <v>10002</v>
      </c>
      <c r="B32476" s="15" t="s">
        <v>10003</v>
      </c>
      <c r="C32476" s="16" t="s">
        <v>9955</v>
      </c>
      <c r="D32476" s="16" t="s">
        <v>9981</v>
      </c>
      <c r="E32476" s="2">
        <v>7284823</v>
      </c>
      <c r="F32476" s="4" t="str">
        <f>IF(B32476=B32475,"",B32476)</f>
        <v>Budapest XII. kerÃ¼let</v>
      </c>
    </row>
    <row r="32477" spans="1:6" ht="15.75" customHeight="1">
      <c r="A32477" s="16" t="str">
        <f ca="1">IFERROR(__xludf.DUMMYFUNCTION("GOOGLETRANSLATE(B31331,""en"",""pt"")"),"Budapeste xi. Kerület")</f>
        <v>Budapeste xi. Kerület</v>
      </c>
      <c r="B32477" s="20" t="s">
        <v>32890</v>
      </c>
      <c r="C32477" s="20" t="s">
        <v>9955</v>
      </c>
      <c r="D32477" s="20" t="s">
        <v>9981</v>
      </c>
      <c r="E32477" s="10">
        <v>7284824</v>
      </c>
      <c r="F32477" s="4" t="str">
        <f>IF(B32477=B32476,"",B32477)</f>
        <v>Budapest XI. kerület</v>
      </c>
    </row>
    <row r="32478" spans="1:6" ht="15.75" customHeight="1">
      <c r="A32478" s="16" t="s">
        <v>10000</v>
      </c>
      <c r="B32478" s="15" t="s">
        <v>10001</v>
      </c>
      <c r="C32478" s="16" t="s">
        <v>9955</v>
      </c>
      <c r="D32478" s="16" t="s">
        <v>9981</v>
      </c>
      <c r="E32478" s="2">
        <v>7284824</v>
      </c>
      <c r="F32478" s="4" t="str">
        <f>IF(B32478=B32477,"",B32478)</f>
        <v>Budapest XI. kerÃ¼let</v>
      </c>
    </row>
    <row r="32479" spans="1:6" ht="15.75" customHeight="1">
      <c r="A32479" s="16" t="str">
        <f ca="1">IFERROR(__xludf.DUMMYFUNCTION("GOOGLETRANSLATE(B31341,""en"",""pt"")"),"Budapeste X. Kerület")</f>
        <v>Budapeste X. Kerület</v>
      </c>
      <c r="B32479" s="20" t="s">
        <v>32900</v>
      </c>
      <c r="C32479" s="20" t="s">
        <v>9955</v>
      </c>
      <c r="D32479" s="20" t="s">
        <v>9981</v>
      </c>
      <c r="E32479" s="10">
        <v>7284834</v>
      </c>
      <c r="F32479" s="4" t="str">
        <f>IF(B32479=B32478,"",B32479)</f>
        <v>Budapest X. kerület</v>
      </c>
    </row>
    <row r="32480" spans="1:6" ht="15.75" customHeight="1">
      <c r="A32480" s="16" t="s">
        <v>9998</v>
      </c>
      <c r="B32480" s="15" t="s">
        <v>9999</v>
      </c>
      <c r="C32480" s="16" t="s">
        <v>9955</v>
      </c>
      <c r="D32480" s="16" t="s">
        <v>9981</v>
      </c>
      <c r="E32480" s="2">
        <v>7284834</v>
      </c>
      <c r="F32480" s="4" t="str">
        <f>IF(B32480=B32479,"",B32480)</f>
        <v>Budapest X. kerÃ¼let</v>
      </c>
    </row>
    <row r="32481" spans="1:6" ht="15.75" customHeight="1">
      <c r="A32481" s="16" t="str">
        <f ca="1">IFERROR(__xludf.DUMMYFUNCTION("GOOGLETRANSLATE(B31333,""en"",""pt"")"),"Budapeste viii. Kerület")</f>
        <v>Budapeste viii. Kerület</v>
      </c>
      <c r="B32481" s="20" t="s">
        <v>32892</v>
      </c>
      <c r="C32481" s="20" t="s">
        <v>9955</v>
      </c>
      <c r="D32481" s="20" t="s">
        <v>9981</v>
      </c>
      <c r="E32481" s="10">
        <v>7284826</v>
      </c>
      <c r="F32481" s="4" t="str">
        <f>IF(B32481=B32480,"",B32481)</f>
        <v>Budapest VIII. kerület</v>
      </c>
    </row>
    <row r="32482" spans="1:6" ht="15.75" customHeight="1">
      <c r="A32482" s="16" t="s">
        <v>9996</v>
      </c>
      <c r="B32482" s="15" t="s">
        <v>9997</v>
      </c>
      <c r="C32482" s="16" t="s">
        <v>9955</v>
      </c>
      <c r="D32482" s="16" t="s">
        <v>9981</v>
      </c>
      <c r="E32482" s="2">
        <v>7284826</v>
      </c>
      <c r="F32482" s="4" t="str">
        <f>IF(B32482=B32481,"",B32482)</f>
        <v>Budapest VIII. kerÃ¼let</v>
      </c>
    </row>
    <row r="32483" spans="1:6" ht="15.75" customHeight="1">
      <c r="A32483" s="16" t="str">
        <f ca="1">IFERROR(__xludf.DUMMYFUNCTION("GOOGLETRANSLATE(B31334,""en"",""pt"")"),"Budapeste vii. Kerület")</f>
        <v>Budapeste vii. Kerület</v>
      </c>
      <c r="B32483" s="20" t="s">
        <v>32893</v>
      </c>
      <c r="C32483" s="20" t="s">
        <v>9955</v>
      </c>
      <c r="D32483" s="20" t="s">
        <v>9981</v>
      </c>
      <c r="E32483" s="10">
        <v>7284827</v>
      </c>
      <c r="F32483" s="4" t="str">
        <f>IF(B32483=B32482,"",B32483)</f>
        <v>Budapest VII. kerület</v>
      </c>
    </row>
    <row r="32484" spans="1:6" ht="15.75" customHeight="1">
      <c r="A32484" s="16" t="s">
        <v>9994</v>
      </c>
      <c r="B32484" s="15" t="s">
        <v>9995</v>
      </c>
      <c r="C32484" s="16" t="s">
        <v>9955</v>
      </c>
      <c r="D32484" s="16" t="s">
        <v>9981</v>
      </c>
      <c r="E32484" s="2">
        <v>7284827</v>
      </c>
      <c r="F32484" s="4" t="str">
        <f>IF(B32484=B32483,"",B32484)</f>
        <v>Budapest VII. kerÃ¼let</v>
      </c>
    </row>
    <row r="32485" spans="1:6" ht="15.75" customHeight="1">
      <c r="A32485" s="16" t="str">
        <f ca="1">IFERROR(__xludf.DUMMYFUNCTION("GOOGLETRANSLATE(B31335,""en"",""pt"")"),"Budapeste vi. Kerület")</f>
        <v>Budapeste vi. Kerület</v>
      </c>
      <c r="B32485" s="20" t="s">
        <v>32894</v>
      </c>
      <c r="C32485" s="20" t="s">
        <v>9955</v>
      </c>
      <c r="D32485" s="20" t="s">
        <v>9981</v>
      </c>
      <c r="E32485" s="10">
        <v>7284828</v>
      </c>
      <c r="F32485" s="4" t="str">
        <f>IF(B32485=B32484,"",B32485)</f>
        <v>Budapest VI. kerület</v>
      </c>
    </row>
    <row r="32486" spans="1:6" ht="15.75" customHeight="1">
      <c r="A32486" s="16" t="s">
        <v>9992</v>
      </c>
      <c r="B32486" s="15" t="s">
        <v>9993</v>
      </c>
      <c r="C32486" s="16" t="s">
        <v>9955</v>
      </c>
      <c r="D32486" s="16" t="s">
        <v>9981</v>
      </c>
      <c r="E32486" s="2">
        <v>7284828</v>
      </c>
      <c r="F32486" s="4" t="str">
        <f>IF(B32486=B32485,"",B32486)</f>
        <v>Budapest VI. kerÃ¼let</v>
      </c>
    </row>
    <row r="32487" spans="1:6" ht="15.75" customHeight="1">
      <c r="A32487" s="16" t="str">
        <f ca="1">IFERROR(__xludf.DUMMYFUNCTION("GOOGLETRANSLATE(B31332,""en"",""pt"")"),"Budapeste ix. Kerület")</f>
        <v>Budapeste ix. Kerület</v>
      </c>
      <c r="B32487" s="20" t="s">
        <v>32891</v>
      </c>
      <c r="C32487" s="20" t="s">
        <v>9955</v>
      </c>
      <c r="D32487" s="20" t="s">
        <v>9981</v>
      </c>
      <c r="E32487" s="10">
        <v>7284825</v>
      </c>
      <c r="F32487" s="4" t="str">
        <f>IF(B32487=B32486,"",B32487)</f>
        <v>Budapest IX. kerület</v>
      </c>
    </row>
    <row r="32488" spans="1:6" ht="15.75" customHeight="1">
      <c r="A32488" s="16" t="s">
        <v>9990</v>
      </c>
      <c r="B32488" s="15" t="s">
        <v>9991</v>
      </c>
      <c r="C32488" s="16" t="s">
        <v>9955</v>
      </c>
      <c r="D32488" s="16" t="s">
        <v>9981</v>
      </c>
      <c r="E32488" s="2">
        <v>7284825</v>
      </c>
      <c r="F32488" s="4" t="str">
        <f>IF(B32488=B32487,"",B32488)</f>
        <v>Budapest IX. kerÃ¼let</v>
      </c>
    </row>
    <row r="32489" spans="1:6" ht="15.75" customHeight="1">
      <c r="A32489" s="16" t="str">
        <f ca="1">IFERROR(__xludf.DUMMYFUNCTION("GOOGLETRANSLATE(B31338,""en"",""pt"")"),"Budapeste IV. Kerület")</f>
        <v>Budapeste IV. Kerület</v>
      </c>
      <c r="B32489" s="20" t="s">
        <v>32897</v>
      </c>
      <c r="C32489" s="20" t="s">
        <v>9955</v>
      </c>
      <c r="D32489" s="20" t="s">
        <v>9981</v>
      </c>
      <c r="E32489" s="10">
        <v>7284831</v>
      </c>
      <c r="F32489" s="4" t="str">
        <f>IF(B32489=B32488,"",B32489)</f>
        <v>Budapest IV. kerület</v>
      </c>
    </row>
    <row r="32490" spans="1:6" ht="15.75" customHeight="1">
      <c r="A32490" s="16" t="s">
        <v>9988</v>
      </c>
      <c r="B32490" s="15" t="s">
        <v>9989</v>
      </c>
      <c r="C32490" s="16" t="s">
        <v>9955</v>
      </c>
      <c r="D32490" s="16" t="s">
        <v>9981</v>
      </c>
      <c r="E32490" s="2">
        <v>7284831</v>
      </c>
      <c r="F32490" s="4" t="str">
        <f>IF(B32490=B32489,"",B32490)</f>
        <v>Budapest IV. kerÃ¼let</v>
      </c>
    </row>
    <row r="32491" spans="1:6" ht="15.75" customHeight="1">
      <c r="A32491" s="16" t="str">
        <f ca="1">IFERROR(__xludf.DUMMYFUNCTION("GOOGLETRANSLATE(B31349,""en"",""pt"")"),"Budapeste III. Kerület")</f>
        <v>Budapeste III. Kerület</v>
      </c>
      <c r="B32491" s="20" t="s">
        <v>32908</v>
      </c>
      <c r="C32491" s="20" t="s">
        <v>9955</v>
      </c>
      <c r="D32491" s="20" t="s">
        <v>9981</v>
      </c>
      <c r="E32491" s="10">
        <v>7284842</v>
      </c>
      <c r="F32491" s="4" t="str">
        <f>IF(B32491=B32490,"",B32491)</f>
        <v>Budapest III. kerület</v>
      </c>
    </row>
    <row r="32492" spans="1:6" ht="15.75" customHeight="1">
      <c r="A32492" s="16" t="s">
        <v>9986</v>
      </c>
      <c r="B32492" s="15" t="s">
        <v>9987</v>
      </c>
      <c r="C32492" s="16" t="s">
        <v>9955</v>
      </c>
      <c r="D32492" s="16" t="s">
        <v>9981</v>
      </c>
      <c r="E32492" s="2">
        <v>7284842</v>
      </c>
      <c r="F32492" s="4" t="str">
        <f>IF(B32492=B32491,"",B32492)</f>
        <v>Budapest III. kerÃ¼let</v>
      </c>
    </row>
    <row r="32493" spans="1:6" ht="15.75" customHeight="1">
      <c r="A32493" s="16" t="str">
        <f ca="1">IFERROR(__xludf.DUMMYFUNCTION("GOOGLETRANSLATE(B31350,""en"",""pt"")"),"Budapeste II. Kerület")</f>
        <v>Budapeste II. Kerület</v>
      </c>
      <c r="B32493" s="20" t="s">
        <v>32909</v>
      </c>
      <c r="C32493" s="20" t="s">
        <v>9955</v>
      </c>
      <c r="D32493" s="20" t="s">
        <v>9981</v>
      </c>
      <c r="E32493" s="10">
        <v>7284843</v>
      </c>
      <c r="F32493" s="4" t="str">
        <f>IF(B32493=B32492,"",B32493)</f>
        <v>Budapest II. kerület</v>
      </c>
    </row>
    <row r="32494" spans="1:6" ht="15.75" customHeight="1">
      <c r="A32494" s="16" t="s">
        <v>9984</v>
      </c>
      <c r="B32494" s="15" t="s">
        <v>9985</v>
      </c>
      <c r="C32494" s="16" t="s">
        <v>9955</v>
      </c>
      <c r="D32494" s="16" t="s">
        <v>9981</v>
      </c>
      <c r="E32494" s="2">
        <v>7284843</v>
      </c>
      <c r="F32494" s="4" t="str">
        <f>IF(B32494=B32493,"",B32494)</f>
        <v>Budapest II. kerÃ¼let</v>
      </c>
    </row>
    <row r="32495" spans="1:6" ht="15.75" customHeight="1">
      <c r="A32495" s="16" t="str">
        <f ca="1">IFERROR(__xludf.DUMMYFUNCTION("GOOGLETRANSLATE(B31351,""en"",""pt"")"),"Budapeste I. Kerület")</f>
        <v>Budapeste I. Kerület</v>
      </c>
      <c r="B32495" s="20" t="s">
        <v>32910</v>
      </c>
      <c r="C32495" s="20" t="s">
        <v>9955</v>
      </c>
      <c r="D32495" s="20" t="s">
        <v>9981</v>
      </c>
      <c r="E32495" s="10">
        <v>7284844</v>
      </c>
      <c r="F32495" s="4" t="str">
        <f>IF(B32495=B32494,"",B32495)</f>
        <v>Budapest I. kerület</v>
      </c>
    </row>
    <row r="32496" spans="1:6" ht="15.75" customHeight="1">
      <c r="A32496" s="16" t="s">
        <v>9982</v>
      </c>
      <c r="B32496" s="15" t="s">
        <v>9983</v>
      </c>
      <c r="C32496" s="16" t="s">
        <v>9955</v>
      </c>
      <c r="D32496" s="16" t="s">
        <v>9981</v>
      </c>
      <c r="E32496" s="2">
        <v>7284844</v>
      </c>
      <c r="F32496" s="4" t="e">
        <f>IF(B32496=#REF!,"",B32496)</f>
        <v>#REF!</v>
      </c>
    </row>
    <row r="32497" spans="1:6" ht="15.75" customHeight="1">
      <c r="A32497" s="16" t="s">
        <v>9980</v>
      </c>
      <c r="B32497" s="15" t="s">
        <v>9981</v>
      </c>
      <c r="C32497" s="16" t="s">
        <v>9955</v>
      </c>
      <c r="D32497" s="16" t="s">
        <v>9981</v>
      </c>
      <c r="E32497" s="2">
        <v>3054643</v>
      </c>
      <c r="F32497" s="4" t="str">
        <f>IF(B32497=B32496,"",B32497)</f>
        <v>Budapest</v>
      </c>
    </row>
    <row r="32498" spans="1:6" ht="15.75" customHeight="1">
      <c r="A32498" s="16" t="str">
        <f ca="1">IFERROR(__xludf.DUMMYFUNCTION("GOOGLETRANSLATE(B31326,""en"",""pt"")"),"Budaörs")</f>
        <v>Budaörs</v>
      </c>
      <c r="B32498" s="20" t="s">
        <v>32888</v>
      </c>
      <c r="C32498" s="20" t="s">
        <v>9955</v>
      </c>
      <c r="D32498" s="20" t="s">
        <v>9959</v>
      </c>
      <c r="E32498" s="10">
        <v>3054646</v>
      </c>
      <c r="F32498" s="4" t="str">
        <f>IF(B32498=B32497,"",B32498)</f>
        <v>Budaörs</v>
      </c>
    </row>
    <row r="32499" spans="1:6" ht="15.75" customHeight="1">
      <c r="A32499" s="15" t="s">
        <v>9978</v>
      </c>
      <c r="B32499" s="15" t="s">
        <v>9979</v>
      </c>
      <c r="C32499" s="15" t="s">
        <v>9955</v>
      </c>
      <c r="D32499" s="15" t="s">
        <v>9959</v>
      </c>
      <c r="E32499" s="2">
        <v>3054646</v>
      </c>
      <c r="F32499" s="4" t="str">
        <f>IF(B32499=B32498,"",B32499)</f>
        <v>BudaÃ¶rs</v>
      </c>
    </row>
    <row r="32500" spans="1:6" ht="15.75" customHeight="1">
      <c r="A32500" s="16" t="s">
        <v>22274</v>
      </c>
      <c r="B32500" s="15" t="s">
        <v>22275</v>
      </c>
      <c r="C32500" s="16" t="s">
        <v>22070</v>
      </c>
      <c r="D32500" s="16" t="s">
        <v>22117</v>
      </c>
      <c r="E32500" s="2">
        <v>571306</v>
      </c>
      <c r="F32500" s="4" t="e">
        <f>IF(B32500=#REF!,"",B32500)</f>
        <v>#REF!</v>
      </c>
    </row>
    <row r="32501" spans="1:6" ht="15.75" customHeight="1">
      <c r="A32501" s="15" t="s">
        <v>8249</v>
      </c>
      <c r="B32501" s="15" t="s">
        <v>8249</v>
      </c>
      <c r="C32501" s="15" t="s">
        <v>8028</v>
      </c>
      <c r="D32501" s="15" t="s">
        <v>8036</v>
      </c>
      <c r="E32501" s="2">
        <v>2942122</v>
      </c>
      <c r="F32501" s="4" t="e">
        <f>IF(B32501=#REF!,"",B32501)</f>
        <v>#REF!</v>
      </c>
    </row>
    <row r="32502" spans="1:6" ht="15.75" customHeight="1">
      <c r="A32502" s="15" t="s">
        <v>27367</v>
      </c>
      <c r="B32502" s="15" t="s">
        <v>27367</v>
      </c>
      <c r="C32502" s="15" t="s">
        <v>27234</v>
      </c>
      <c r="D32502" s="15" t="s">
        <v>27235</v>
      </c>
      <c r="E32502" s="2">
        <v>2654394</v>
      </c>
      <c r="F32502" s="4" t="e">
        <f>IF(B32502=#REF!,"",B32502)</f>
        <v>#REF!</v>
      </c>
    </row>
    <row r="32503" spans="1:6" ht="15.75" customHeight="1">
      <c r="A32503" s="16" t="s">
        <v>27366</v>
      </c>
      <c r="B32503" s="15" t="s">
        <v>27366</v>
      </c>
      <c r="C32503" s="16" t="s">
        <v>27234</v>
      </c>
      <c r="D32503" s="16" t="s">
        <v>27237</v>
      </c>
      <c r="E32503" s="2">
        <v>2654415</v>
      </c>
      <c r="F32503" s="4" t="e">
        <f>IF(B32503=#REF!,"",B32503)</f>
        <v>#REF!</v>
      </c>
    </row>
    <row r="32504" spans="1:6" ht="15.75" customHeight="1">
      <c r="A32504" s="15" t="s">
        <v>28118</v>
      </c>
      <c r="B32504" s="15" t="s">
        <v>28118</v>
      </c>
      <c r="C32504" s="15" t="s">
        <v>27788</v>
      </c>
      <c r="D32504" s="15" t="s">
        <v>27880</v>
      </c>
      <c r="E32504" s="2">
        <v>5287262</v>
      </c>
      <c r="F32504" s="4" t="str">
        <f>IF(B32504=B32503,"",B32504)</f>
        <v>Buckeye</v>
      </c>
    </row>
    <row r="32505" spans="1:6" ht="15.75" customHeight="1">
      <c r="A32505" s="16" t="str">
        <f ca="1">IFERROR(__xludf.DUMMYFUNCTION("GOOGLETRANSLATE(B28214,""en"",""pt"")"),"Bückeburg")</f>
        <v>Bückeburg</v>
      </c>
      <c r="B32505" s="20" t="s">
        <v>32123</v>
      </c>
      <c r="C32505" s="20" t="s">
        <v>8028</v>
      </c>
      <c r="D32505" s="20" t="s">
        <v>8034</v>
      </c>
      <c r="E32505" s="10">
        <v>2942159</v>
      </c>
      <c r="F32505" s="4" t="e">
        <f>IF(B32505=#REF!,"",B32505)</f>
        <v>#REF!</v>
      </c>
    </row>
    <row r="32506" spans="1:6" ht="15.75" customHeight="1">
      <c r="A32506" s="16" t="s">
        <v>8247</v>
      </c>
      <c r="B32506" s="15" t="s">
        <v>8248</v>
      </c>
      <c r="C32506" s="16" t="s">
        <v>8028</v>
      </c>
      <c r="D32506" s="16" t="s">
        <v>8034</v>
      </c>
      <c r="E32506" s="2">
        <v>2942323</v>
      </c>
      <c r="F32506" s="4" t="e">
        <f>IF(B32506=#REF!,"",B32506)</f>
        <v>#REF!</v>
      </c>
    </row>
    <row r="32507" spans="1:6" ht="15.75" customHeight="1">
      <c r="A32507" s="16" t="s">
        <v>24036</v>
      </c>
      <c r="B32507" s="15" t="s">
        <v>24037</v>
      </c>
      <c r="C32507" s="16" t="s">
        <v>24024</v>
      </c>
      <c r="D32507" s="16" t="s">
        <v>24028</v>
      </c>
      <c r="E32507" s="2">
        <v>1838716</v>
      </c>
      <c r="F32507" s="4" t="e">
        <f>IF(B32507=#REF!,"",B32507)</f>
        <v>#REF!</v>
      </c>
    </row>
    <row r="32508" spans="1:6" ht="15.75" customHeight="1">
      <c r="A32508" s="15" t="s">
        <v>8246</v>
      </c>
      <c r="B32508" s="15" t="s">
        <v>8246</v>
      </c>
      <c r="C32508" s="15" t="s">
        <v>8028</v>
      </c>
      <c r="D32508" s="15" t="s">
        <v>8031</v>
      </c>
      <c r="E32508" s="2">
        <v>2942634</v>
      </c>
      <c r="F32508" s="4" t="e">
        <f>IF(B32508=#REF!,"",B32508)</f>
        <v>#REF!</v>
      </c>
    </row>
    <row r="32509" spans="1:6" ht="15.75" customHeight="1">
      <c r="A32509" s="16" t="s">
        <v>21869</v>
      </c>
      <c r="B32509" s="15" t="s">
        <v>21870</v>
      </c>
      <c r="C32509" s="16" t="s">
        <v>21824</v>
      </c>
      <c r="D32509" s="16" t="s">
        <v>21871</v>
      </c>
      <c r="E32509" s="2">
        <v>683506</v>
      </c>
      <c r="F32509" s="4" t="e">
        <f>IF(B32509=#REF!,"",B32509)</f>
        <v>#REF!</v>
      </c>
    </row>
    <row r="32510" spans="1:6" ht="15.75" customHeight="1">
      <c r="A32510" s="16" t="s">
        <v>17053</v>
      </c>
      <c r="B32510" s="15" t="s">
        <v>17053</v>
      </c>
      <c r="C32510" s="16" t="s">
        <v>5687</v>
      </c>
      <c r="D32510" s="16" t="s">
        <v>17054</v>
      </c>
      <c r="E32510" s="2">
        <v>2278158</v>
      </c>
      <c r="F32510" s="4" t="e">
        <f>IF(B32510=#REF!,"",B32510)</f>
        <v>#REF!</v>
      </c>
    </row>
    <row r="32511" spans="1:6" ht="15.75" customHeight="1">
      <c r="A32511" s="15" t="s">
        <v>26923</v>
      </c>
      <c r="B32511" s="15" t="s">
        <v>26924</v>
      </c>
      <c r="C32511" s="15" t="s">
        <v>26870</v>
      </c>
      <c r="D32511" s="15" t="s">
        <v>26905</v>
      </c>
      <c r="E32511" s="2">
        <v>711350</v>
      </c>
      <c r="F32511" s="4" t="e">
        <f>IF(B32511=#REF!,"",B32511)</f>
        <v>#REF!</v>
      </c>
    </row>
    <row r="32512" spans="1:6" ht="15.75" customHeight="1">
      <c r="A32512" s="16" t="s">
        <v>5393</v>
      </c>
      <c r="B32512" s="15" t="s">
        <v>5393</v>
      </c>
      <c r="C32512" s="16" t="s">
        <v>5348</v>
      </c>
      <c r="D32512" s="16" t="s">
        <v>5380</v>
      </c>
      <c r="E32512" s="2">
        <v>3688465</v>
      </c>
      <c r="F32512" s="4" t="e">
        <f>IF(B32512=#REF!,"",B32512)</f>
        <v>#REF!</v>
      </c>
    </row>
    <row r="32513" spans="1:6" ht="15.75" customHeight="1">
      <c r="A32513" s="15" t="s">
        <v>26419</v>
      </c>
      <c r="B32513" s="15" t="s">
        <v>26419</v>
      </c>
      <c r="C32513" s="15" t="s">
        <v>26201</v>
      </c>
      <c r="D32513" s="15" t="s">
        <v>26420</v>
      </c>
      <c r="E32513" s="2">
        <v>320533</v>
      </c>
      <c r="F32513" s="4" t="e">
        <f>IF(B32513=#REF!,"",B32513)</f>
        <v>#REF!</v>
      </c>
    </row>
    <row r="32514" spans="1:6" ht="15.75" customHeight="1">
      <c r="A32514" s="15" t="s">
        <v>13869</v>
      </c>
      <c r="B32514" s="15" t="s">
        <v>13869</v>
      </c>
      <c r="C32514" s="15" t="s">
        <v>13800</v>
      </c>
      <c r="D32514" s="15" t="s">
        <v>13803</v>
      </c>
      <c r="E32514" s="2">
        <v>1647991</v>
      </c>
      <c r="F32514" s="4" t="str">
        <f>IF(B32514=B32513,"",B32514)</f>
        <v>Buaran</v>
      </c>
    </row>
    <row r="32515" spans="1:6" ht="15.75" customHeight="1">
      <c r="A32515" s="15" t="s">
        <v>2164</v>
      </c>
      <c r="B32515" s="15" t="s">
        <v>2165</v>
      </c>
      <c r="C32515" s="15" t="s">
        <v>1905</v>
      </c>
      <c r="D32515" s="15" t="s">
        <v>1909</v>
      </c>
      <c r="E32515" s="2">
        <v>3404766</v>
      </c>
      <c r="F32515" s="4" t="str">
        <f>IF(B32515=B32514,"",B32515)</f>
        <v>BuÃ­que</v>
      </c>
    </row>
    <row r="32516" spans="1:6" ht="15.75" customHeight="1">
      <c r="A32516" s="16" t="s">
        <v>30807</v>
      </c>
      <c r="B32516" s="15" t="s">
        <v>30808</v>
      </c>
      <c r="C32516" s="16" t="s">
        <v>30784</v>
      </c>
      <c r="D32516" s="16" t="s">
        <v>30809</v>
      </c>
      <c r="E32516" s="2">
        <v>1586896</v>
      </c>
      <c r="F32516" s="4" t="e">
        <f>IF(B32516=#REF!,"",B32516)</f>
        <v>#REF!</v>
      </c>
    </row>
    <row r="32517" spans="1:6" ht="15.75" customHeight="1">
      <c r="A32517" s="15" t="s">
        <v>25852</v>
      </c>
      <c r="B32517" s="15" t="s">
        <v>25852</v>
      </c>
      <c r="C32517" s="15" t="s">
        <v>25771</v>
      </c>
      <c r="D32517" s="15" t="s">
        <v>25774</v>
      </c>
      <c r="E32517" s="2">
        <v>1611492</v>
      </c>
      <c r="F32517" s="4" t="e">
        <f>IF(B32517=#REF!,"",B32517)</f>
        <v>#REF!</v>
      </c>
    </row>
    <row r="32518" spans="1:6" ht="15.75" customHeight="1">
      <c r="A32518" s="15" t="s">
        <v>21166</v>
      </c>
      <c r="B32518" s="15" t="s">
        <v>21166</v>
      </c>
      <c r="C32518" s="15" t="s">
        <v>21064</v>
      </c>
      <c r="D32518" s="15" t="s">
        <v>21108</v>
      </c>
      <c r="E32518" s="2">
        <v>775183</v>
      </c>
      <c r="F32518" s="4" t="e">
        <f>IF(B32518=#REF!,"",B32518)</f>
        <v>#REF!</v>
      </c>
    </row>
    <row r="32519" spans="1:6" ht="15.75" customHeight="1">
      <c r="A32519" s="15" t="s">
        <v>21164</v>
      </c>
      <c r="B32519" s="15" t="s">
        <v>21164</v>
      </c>
      <c r="C32519" s="15" t="s">
        <v>21064</v>
      </c>
      <c r="D32519" s="15" t="s">
        <v>21165</v>
      </c>
      <c r="E32519" s="2">
        <v>3102459</v>
      </c>
      <c r="F32519" s="4" t="e">
        <f>IF(B32519=#REF!,"",B32519)</f>
        <v>#REF!</v>
      </c>
    </row>
    <row r="32520" spans="1:6" ht="15.75" customHeight="1">
      <c r="A32520" s="16" t="s">
        <v>22273</v>
      </c>
      <c r="B32520" s="15" t="s">
        <v>22273</v>
      </c>
      <c r="C32520" s="16" t="s">
        <v>22070</v>
      </c>
      <c r="D32520" s="16" t="s">
        <v>22077</v>
      </c>
      <c r="E32520" s="2">
        <v>571420</v>
      </c>
      <c r="F32520" s="4" t="e">
        <f>IF(B32520=#REF!,"",B32520)</f>
        <v>#REF!</v>
      </c>
    </row>
    <row r="32521" spans="1:6" ht="15.75" customHeight="1">
      <c r="A32521" s="16" t="s">
        <v>7201</v>
      </c>
      <c r="B32521" s="15" t="s">
        <v>7201</v>
      </c>
      <c r="C32521" s="16" t="s">
        <v>7052</v>
      </c>
      <c r="D32521" s="16" t="s">
        <v>7058</v>
      </c>
      <c r="E32521" s="2">
        <v>3029706</v>
      </c>
      <c r="F32521" s="4" t="e">
        <f>IF(B32521=#REF!,"",B32521)</f>
        <v>#REF!</v>
      </c>
    </row>
    <row r="32522" spans="1:6" ht="15.75" customHeight="1">
      <c r="A32522" s="16" t="s">
        <v>28117</v>
      </c>
      <c r="B32522" s="15" t="s">
        <v>28117</v>
      </c>
      <c r="C32522" s="16" t="s">
        <v>27788</v>
      </c>
      <c r="D32522" s="16" t="s">
        <v>27733</v>
      </c>
      <c r="E32522" s="2">
        <v>7260966</v>
      </c>
      <c r="F32522" s="4" t="e">
        <f>IF(B32522=#REF!,"",B32522)</f>
        <v>#REF!</v>
      </c>
    </row>
    <row r="32523" spans="1:6" ht="15.75" customHeight="1">
      <c r="A32523" s="15" t="s">
        <v>27364</v>
      </c>
      <c r="B32523" s="15" t="s">
        <v>27365</v>
      </c>
      <c r="C32523" s="15" t="s">
        <v>27234</v>
      </c>
      <c r="D32523" s="15" t="s">
        <v>27235</v>
      </c>
      <c r="E32523" s="2">
        <v>2654450</v>
      </c>
      <c r="F32523" s="4" t="e">
        <f>IF(B32523=#REF!,"",B32523)</f>
        <v>#REF!</v>
      </c>
    </row>
    <row r="32524" spans="1:6" ht="15.75" customHeight="1">
      <c r="A32524" s="15" t="s">
        <v>28116</v>
      </c>
      <c r="B32524" s="15" t="s">
        <v>28116</v>
      </c>
      <c r="C32524" s="15" t="s">
        <v>27788</v>
      </c>
      <c r="D32524" s="15" t="s">
        <v>27991</v>
      </c>
      <c r="E32524" s="2">
        <v>4103448</v>
      </c>
      <c r="F32524" s="4" t="e">
        <f>IF(B32524=#REF!,"",B32524)</f>
        <v>#REF!</v>
      </c>
    </row>
    <row r="32525" spans="1:6" ht="15.75" customHeight="1">
      <c r="A32525" s="15" t="s">
        <v>22271</v>
      </c>
      <c r="B32525" s="15" t="s">
        <v>22271</v>
      </c>
      <c r="C32525" s="15" t="s">
        <v>22070</v>
      </c>
      <c r="D32525" s="15" t="s">
        <v>22272</v>
      </c>
      <c r="E32525" s="2">
        <v>571476</v>
      </c>
      <c r="F32525" s="4" t="e">
        <f>IF(B32525=#REF!,"",B32525)</f>
        <v>#REF!</v>
      </c>
    </row>
    <row r="32526" spans="1:6" ht="15.75" customHeight="1">
      <c r="A32526" s="15" t="s">
        <v>26922</v>
      </c>
      <c r="B32526" s="15" t="s">
        <v>26922</v>
      </c>
      <c r="C32526" s="15" t="s">
        <v>26870</v>
      </c>
      <c r="D32526" s="15" t="s">
        <v>26871</v>
      </c>
      <c r="E32526" s="2">
        <v>711369</v>
      </c>
      <c r="F32526" s="4" t="e">
        <f>IF(B32526=#REF!,"",B32526)</f>
        <v>#REF!</v>
      </c>
    </row>
    <row r="32527" spans="1:6" ht="15.75" customHeight="1">
      <c r="A32527" s="15" t="s">
        <v>28115</v>
      </c>
      <c r="B32527" s="15" t="s">
        <v>28115</v>
      </c>
      <c r="C32527" s="15" t="s">
        <v>27788</v>
      </c>
      <c r="D32527" s="15" t="s">
        <v>27792</v>
      </c>
      <c r="E32527" s="2">
        <v>4677008</v>
      </c>
      <c r="F32527" s="4" t="e">
        <f>IF(B32527=#REF!,"",B32527)</f>
        <v>#REF!</v>
      </c>
    </row>
    <row r="32528" spans="1:6" ht="15.75" customHeight="1">
      <c r="A32528" s="15" t="s">
        <v>17228</v>
      </c>
      <c r="B32528" s="15" t="s">
        <v>17228</v>
      </c>
      <c r="C32528" s="15" t="s">
        <v>17221</v>
      </c>
      <c r="D32528" s="15" t="s">
        <v>17228</v>
      </c>
      <c r="E32528" s="2">
        <v>792227</v>
      </c>
      <c r="F32528" s="4" t="str">
        <f>IF(B32528=B32527,"",B32528)</f>
        <v>Brvenica</v>
      </c>
    </row>
    <row r="32529" spans="1:6" ht="15.75" customHeight="1">
      <c r="A32529" s="15" t="s">
        <v>1544</v>
      </c>
      <c r="B32529" s="22" t="s">
        <v>1547</v>
      </c>
      <c r="C32529" s="15" t="s">
        <v>1512</v>
      </c>
      <c r="D32529" s="15" t="s">
        <v>1546</v>
      </c>
      <c r="E32529" s="2">
        <v>2800866</v>
      </c>
      <c r="F32529" s="4" t="e">
        <f>IF(B32529=#REF!,"",B32529)</f>
        <v>#REF!</v>
      </c>
    </row>
    <row r="32530" spans="1:6" ht="15.75" customHeight="1">
      <c r="A32530" s="15" t="s">
        <v>1544</v>
      </c>
      <c r="B32530" s="15" t="s">
        <v>1545</v>
      </c>
      <c r="C32530" s="15" t="s">
        <v>1512</v>
      </c>
      <c r="D32530" s="15" t="s">
        <v>1546</v>
      </c>
      <c r="E32530" s="2">
        <v>2800866</v>
      </c>
      <c r="F32530" s="4" t="e">
        <f>IF(B32530=#REF!,"",B32530)</f>
        <v>#REF!</v>
      </c>
    </row>
    <row r="32531" spans="1:6" ht="15.75" customHeight="1">
      <c r="A32531" s="15" t="s">
        <v>2162</v>
      </c>
      <c r="B32531" s="15" t="s">
        <v>2163</v>
      </c>
      <c r="C32531" s="15" t="s">
        <v>1905</v>
      </c>
      <c r="D32531" s="15" t="s">
        <v>2020</v>
      </c>
      <c r="E32531" s="2">
        <v>3468879</v>
      </c>
      <c r="F32531" s="4" t="e">
        <f>IF(B32531=#REF!,"",B32531)</f>
        <v>#REF!</v>
      </c>
    </row>
    <row r="32532" spans="1:6" ht="15.75" customHeight="1">
      <c r="A32532" s="16" t="s">
        <v>28114</v>
      </c>
      <c r="B32532" s="15" t="s">
        <v>28114</v>
      </c>
      <c r="C32532" s="16" t="s">
        <v>27788</v>
      </c>
      <c r="D32532" s="16" t="s">
        <v>27792</v>
      </c>
      <c r="E32532" s="2">
        <v>4676920</v>
      </c>
      <c r="F32532" s="4" t="e">
        <f>IF(B32532=#REF!,"",B32532)</f>
        <v>#REF!</v>
      </c>
    </row>
    <row r="32533" spans="1:6" ht="15.75" customHeight="1">
      <c r="A32533" s="16" t="s">
        <v>15001</v>
      </c>
      <c r="B32533" s="15" t="s">
        <v>15001</v>
      </c>
      <c r="C32533" s="16" t="s">
        <v>14891</v>
      </c>
      <c r="D32533" s="16" t="s">
        <v>14896</v>
      </c>
      <c r="E32533" s="2">
        <v>3181471</v>
      </c>
      <c r="F32533" s="4" t="str">
        <f>IF(B32533=B32532,"",B32533)</f>
        <v>Brusciano</v>
      </c>
    </row>
    <row r="32534" spans="1:6" ht="15.75" customHeight="1">
      <c r="A32534" s="16" t="str">
        <f ca="1">IFERROR(__xludf.DUMMYFUNCTION("GOOGLETRANSLATE(B27330,""en"",""pt"")"),"Bruntál")</f>
        <v>Bruntál</v>
      </c>
      <c r="B32534" s="20" t="s">
        <v>31998</v>
      </c>
      <c r="C32534" s="20" t="s">
        <v>5947</v>
      </c>
      <c r="D32534" s="20" t="s">
        <v>31952</v>
      </c>
      <c r="E32534" s="10">
        <v>3078545</v>
      </c>
      <c r="F32534" s="4" t="str">
        <f>IF(B32534=B32533,"",B32534)</f>
        <v>Bruntál</v>
      </c>
    </row>
    <row r="32535" spans="1:6" ht="15.75" customHeight="1">
      <c r="A32535" s="15" t="s">
        <v>5995</v>
      </c>
      <c r="B32535" s="15" t="s">
        <v>5996</v>
      </c>
      <c r="C32535" s="15" t="s">
        <v>5947</v>
      </c>
      <c r="D32535" s="15" t="s">
        <v>5971</v>
      </c>
      <c r="E32535" s="2">
        <v>3078545</v>
      </c>
      <c r="F32535" s="4" t="e">
        <f>IF(B32535=#REF!,"",B32535)</f>
        <v>#REF!</v>
      </c>
    </row>
    <row r="32536" spans="1:6" ht="15.75" customHeight="1">
      <c r="A32536" s="16" t="s">
        <v>917</v>
      </c>
      <c r="B32536" s="15" t="s">
        <v>917</v>
      </c>
      <c r="C32536" s="16" t="s">
        <v>885</v>
      </c>
      <c r="D32536" s="16" t="s">
        <v>827</v>
      </c>
      <c r="E32536" s="2">
        <v>2173741</v>
      </c>
      <c r="F32536" s="4" t="e">
        <f>IF(B32536=#REF!,"",B32536)</f>
        <v>#REF!</v>
      </c>
    </row>
    <row r="32537" spans="1:6" ht="15.75" customHeight="1">
      <c r="A32537" s="16" t="s">
        <v>18921</v>
      </c>
      <c r="B32537" s="15" t="s">
        <v>18921</v>
      </c>
      <c r="C32537" s="16" t="s">
        <v>18862</v>
      </c>
      <c r="D32537" s="16" t="s">
        <v>18893</v>
      </c>
      <c r="E32537" s="2">
        <v>2758174</v>
      </c>
      <c r="F32537" s="4" t="e">
        <f>IF(B32537=#REF!,"",B32537)</f>
        <v>#REF!</v>
      </c>
    </row>
    <row r="32538" spans="1:6" ht="15.75" customHeight="1">
      <c r="A32538" s="15" t="s">
        <v>7200</v>
      </c>
      <c r="B32538" s="15" t="s">
        <v>7200</v>
      </c>
      <c r="C32538" s="15" t="s">
        <v>7052</v>
      </c>
      <c r="D32538" s="15" t="s">
        <v>7058</v>
      </c>
      <c r="E32538" s="2">
        <v>3029748</v>
      </c>
      <c r="F32538" s="4" t="e">
        <f>IF(B32538=#REF!,"",B32538)</f>
        <v>#REF!</v>
      </c>
    </row>
    <row r="32539" spans="1:6" ht="15.75" customHeight="1">
      <c r="A32539" s="16" t="s">
        <v>18920</v>
      </c>
      <c r="B32539" s="15" t="s">
        <v>18920</v>
      </c>
      <c r="C32539" s="16" t="s">
        <v>18862</v>
      </c>
      <c r="D32539" s="16" t="s">
        <v>18865</v>
      </c>
      <c r="E32539" s="2">
        <v>2758177</v>
      </c>
      <c r="F32539" s="4" t="e">
        <f>IF(B32539=#REF!,"",B32539)</f>
        <v>#REF!</v>
      </c>
    </row>
    <row r="32540" spans="1:6" ht="15.75" customHeight="1">
      <c r="A32540" s="15" t="s">
        <v>2161</v>
      </c>
      <c r="B32540" s="15" t="s">
        <v>2161</v>
      </c>
      <c r="C32540" s="15" t="s">
        <v>1905</v>
      </c>
      <c r="D32540" s="15" t="s">
        <v>1947</v>
      </c>
      <c r="E32540" s="2">
        <v>3468893</v>
      </c>
      <c r="F32540" s="4" t="e">
        <f>IF(B32540=#REF!,"",B32540)</f>
        <v>#REF!</v>
      </c>
    </row>
    <row r="32541" spans="1:6" ht="15.75" customHeight="1">
      <c r="A32541" s="16" t="s">
        <v>2160</v>
      </c>
      <c r="B32541" s="15" t="s">
        <v>2160</v>
      </c>
      <c r="C32541" s="16" t="s">
        <v>1905</v>
      </c>
      <c r="D32541" s="16" t="s">
        <v>1917</v>
      </c>
      <c r="E32541" s="2">
        <v>3468894</v>
      </c>
      <c r="F32541" s="4" t="str">
        <f>IF(B32541=B32540,"",B32541)</f>
        <v>Brumadinho</v>
      </c>
    </row>
    <row r="32542" spans="1:6" ht="15.75" customHeight="1">
      <c r="A32542" s="16" t="str">
        <f ca="1">IFERROR(__xludf.DUMMYFUNCTION("GOOGLETRANSLATE(B28218,""en"",""pt"")"),"Brühl")</f>
        <v>Brühl</v>
      </c>
      <c r="B32542" s="20" t="s">
        <v>32125</v>
      </c>
      <c r="C32542" s="20" t="s">
        <v>8028</v>
      </c>
      <c r="D32542" s="20" t="s">
        <v>8029</v>
      </c>
      <c r="E32542" s="10">
        <v>2943320</v>
      </c>
      <c r="F32542" s="4" t="e">
        <f>IF(B32542=#REF!,"",B32542)</f>
        <v>#REF!</v>
      </c>
    </row>
    <row r="32543" spans="1:6" ht="15.75" customHeight="1">
      <c r="A32543" s="16" t="s">
        <v>14999</v>
      </c>
      <c r="B32543" s="15" t="s">
        <v>15000</v>
      </c>
      <c r="C32543" s="16" t="s">
        <v>14891</v>
      </c>
      <c r="D32543" s="16" t="s">
        <v>14894</v>
      </c>
      <c r="E32543" s="2">
        <v>3181495</v>
      </c>
      <c r="F32543" s="4" t="str">
        <f>IF(B32543=B32542,"",B32543)</f>
        <v>Brugherio</v>
      </c>
    </row>
    <row r="32544" spans="1:6" ht="15.75" customHeight="1">
      <c r="A32544" s="16" t="str">
        <f ca="1">IFERROR(__xludf.DUMMYFUNCTION("GOOGLETRANSLATE(B28219,""en"",""pt"")"),"Brüggen")</f>
        <v>Brüggen</v>
      </c>
      <c r="B32544" s="20" t="s">
        <v>32126</v>
      </c>
      <c r="C32544" s="20" t="s">
        <v>8028</v>
      </c>
      <c r="D32544" s="20" t="s">
        <v>8029</v>
      </c>
      <c r="E32544" s="10">
        <v>2943336</v>
      </c>
      <c r="F32544" s="4" t="e">
        <f>IF(B32544=#REF!,"",B32544)</f>
        <v>#REF!</v>
      </c>
    </row>
    <row r="32545" spans="1:6" ht="15.75" customHeight="1">
      <c r="A32545" s="15" t="s">
        <v>1543</v>
      </c>
      <c r="B32545" s="15" t="s">
        <v>1543</v>
      </c>
      <c r="C32545" s="15" t="s">
        <v>1512</v>
      </c>
      <c r="D32545" s="15" t="s">
        <v>1513</v>
      </c>
      <c r="E32545" s="2">
        <v>2800931</v>
      </c>
      <c r="F32545" s="4" t="str">
        <f>IF(B32545=B32544,"",B32545)</f>
        <v>Brugge</v>
      </c>
    </row>
    <row r="32546" spans="1:6" ht="15.75" customHeight="1">
      <c r="A32546" s="16" t="str">
        <f ca="1">IFERROR(__xludf.DUMMYFUNCTION("GOOGLETRANSLATE(B28220,""en"",""pt"")"),"Bruckmühl")</f>
        <v>Bruckmühl</v>
      </c>
      <c r="B32546" s="20" t="s">
        <v>32127</v>
      </c>
      <c r="C32546" s="20" t="s">
        <v>8028</v>
      </c>
      <c r="D32546" s="20" t="s">
        <v>8044</v>
      </c>
      <c r="E32546" s="10">
        <v>2943408</v>
      </c>
      <c r="F32546" s="4" t="str">
        <f>IF(B32546=B32545,"",B32546)</f>
        <v>Bruckmühl</v>
      </c>
    </row>
    <row r="32547" spans="1:6" ht="15.75" customHeight="1">
      <c r="A32547" s="16" t="s">
        <v>8244</v>
      </c>
      <c r="B32547" s="15" t="s">
        <v>8245</v>
      </c>
      <c r="C32547" s="16" t="s">
        <v>8028</v>
      </c>
      <c r="D32547" s="16" t="s">
        <v>8044</v>
      </c>
      <c r="E32547" s="2">
        <v>2943408</v>
      </c>
      <c r="F32547" s="4" t="e">
        <f>IF(B32547=#REF!,"",B32547)</f>
        <v>#REF!</v>
      </c>
    </row>
    <row r="32548" spans="1:6" ht="15.75" customHeight="1">
      <c r="A32548" s="15" t="s">
        <v>8243</v>
      </c>
      <c r="B32548" s="15" t="s">
        <v>8243</v>
      </c>
      <c r="C32548" s="15" t="s">
        <v>8028</v>
      </c>
      <c r="D32548" s="15" t="s">
        <v>8031</v>
      </c>
      <c r="E32548" s="2">
        <v>2943560</v>
      </c>
      <c r="F32548" s="4" t="str">
        <f>IF(B32548=B32547,"",B32548)</f>
        <v>Bruchsal</v>
      </c>
    </row>
    <row r="32549" spans="1:6" ht="15.75" customHeight="1">
      <c r="A32549" s="16" t="str">
        <f ca="1">IFERROR(__xludf.DUMMYFUNCTION("GOOGLETRANSLATE(B28222,""en"",""pt"")"),"Bruchköbel")</f>
        <v>Bruchköbel</v>
      </c>
      <c r="B32549" s="20" t="s">
        <v>32128</v>
      </c>
      <c r="C32549" s="20" t="s">
        <v>8028</v>
      </c>
      <c r="D32549" s="20" t="s">
        <v>8050</v>
      </c>
      <c r="E32549" s="10">
        <v>2943573</v>
      </c>
      <c r="F32549" s="4" t="str">
        <f>IF(B32549=B32548,"",B32549)</f>
        <v>Bruchköbel</v>
      </c>
    </row>
    <row r="32550" spans="1:6" ht="15.75" customHeight="1">
      <c r="A32550" s="16" t="s">
        <v>8241</v>
      </c>
      <c r="B32550" s="15" t="s">
        <v>8242</v>
      </c>
      <c r="C32550" s="16" t="s">
        <v>8028</v>
      </c>
      <c r="D32550" s="16" t="s">
        <v>8050</v>
      </c>
      <c r="E32550" s="2">
        <v>2943573</v>
      </c>
      <c r="F32550" s="4" t="str">
        <f>IF(B32550=B32549,"",B32550)</f>
        <v>BruchkÃ¶bel</v>
      </c>
    </row>
    <row r="32551" spans="1:6" ht="15.75" customHeight="1">
      <c r="A32551" s="16" t="str">
        <f ca="1">IFERROR(__xludf.DUMMYFUNCTION("GOOGLETRANSLATE(B30195,""en"",""pt"")"),"Bruay-La-Buissière")</f>
        <v>Bruay-La-Buissière</v>
      </c>
      <c r="B32551" s="20" t="s">
        <v>32636</v>
      </c>
      <c r="C32551" s="20" t="s">
        <v>7052</v>
      </c>
      <c r="D32551" s="20" t="s">
        <v>7078</v>
      </c>
      <c r="E32551" s="10">
        <v>3029825</v>
      </c>
      <c r="F32551" s="4" t="str">
        <f>IF(B32551=B32550,"",B32551)</f>
        <v>Bruay-la-Buissière</v>
      </c>
    </row>
    <row r="32552" spans="1:6" ht="15.75" customHeight="1">
      <c r="A32552" s="16" t="s">
        <v>7198</v>
      </c>
      <c r="B32552" s="15" t="s">
        <v>7199</v>
      </c>
      <c r="C32552" s="16" t="s">
        <v>7052</v>
      </c>
      <c r="D32552" s="16" t="s">
        <v>7078</v>
      </c>
      <c r="E32552" s="2">
        <v>3029825</v>
      </c>
      <c r="F32552" s="4" t="e">
        <f>IF(B32552=#REF!,"",B32552)</f>
        <v>#REF!</v>
      </c>
    </row>
    <row r="32553" spans="1:6" ht="15.75" customHeight="1">
      <c r="A32553" s="16" t="s">
        <v>28113</v>
      </c>
      <c r="B32553" s="15" t="s">
        <v>28113</v>
      </c>
      <c r="C32553" s="16" t="s">
        <v>27788</v>
      </c>
      <c r="D32553" s="16" t="s">
        <v>27792</v>
      </c>
      <c r="E32553" s="2">
        <v>4676798</v>
      </c>
      <c r="F32553" s="4" t="e">
        <f>IF(B32553=#REF!,"",B32553)</f>
        <v>#REF!</v>
      </c>
    </row>
    <row r="32554" spans="1:6" ht="15.75" customHeight="1">
      <c r="A32554" s="16" t="s">
        <v>28112</v>
      </c>
      <c r="B32554" s="15" t="s">
        <v>28112</v>
      </c>
      <c r="C32554" s="16" t="s">
        <v>27788</v>
      </c>
      <c r="D32554" s="16" t="s">
        <v>5468</v>
      </c>
      <c r="E32554" s="2">
        <v>4149077</v>
      </c>
      <c r="F32554" s="4" t="e">
        <f>IF(B32554=#REF!,"",B32554)</f>
        <v>#REF!</v>
      </c>
    </row>
    <row r="32555" spans="1:6" ht="15.75" customHeight="1">
      <c r="A32555" s="16" t="s">
        <v>28111</v>
      </c>
      <c r="B32555" s="15" t="s">
        <v>28111</v>
      </c>
      <c r="C32555" s="16" t="s">
        <v>27788</v>
      </c>
      <c r="D32555" s="16" t="s">
        <v>27869</v>
      </c>
      <c r="E32555" s="2">
        <v>4255056</v>
      </c>
      <c r="F32555" s="4" t="e">
        <f>IF(B32555=#REF!,"",B32555)</f>
        <v>#REF!</v>
      </c>
    </row>
    <row r="32556" spans="1:6" ht="15.75" customHeight="1">
      <c r="A32556" s="16" t="s">
        <v>27363</v>
      </c>
      <c r="B32556" s="15" t="s">
        <v>27363</v>
      </c>
      <c r="C32556" s="16" t="s">
        <v>27234</v>
      </c>
      <c r="D32556" s="16" t="s">
        <v>27241</v>
      </c>
      <c r="E32556" s="2">
        <v>2654490</v>
      </c>
      <c r="F32556" s="4" t="e">
        <f>IF(B32556=#REF!,"",B32556)</f>
        <v>#REF!</v>
      </c>
    </row>
    <row r="32557" spans="1:6" ht="15.75" customHeight="1">
      <c r="A32557" s="15" t="s">
        <v>26921</v>
      </c>
      <c r="B32557" s="15" t="s">
        <v>26921</v>
      </c>
      <c r="C32557" s="15" t="s">
        <v>26870</v>
      </c>
      <c r="D32557" s="15" t="s">
        <v>26905</v>
      </c>
      <c r="E32557" s="2">
        <v>711390</v>
      </c>
      <c r="F32557" s="4" t="e">
        <f>IF(B32557=#REF!,"",B32557)</f>
        <v>#REF!</v>
      </c>
    </row>
    <row r="32558" spans="1:6" ht="15.75" customHeight="1">
      <c r="A32558" s="15" t="s">
        <v>2159</v>
      </c>
      <c r="B32558" s="15" t="s">
        <v>2159</v>
      </c>
      <c r="C32558" s="15" t="s">
        <v>1905</v>
      </c>
      <c r="D32558" s="15" t="s">
        <v>1914</v>
      </c>
      <c r="E32558" s="2">
        <v>3468899</v>
      </c>
      <c r="F32558" s="4" t="e">
        <f>IF(B32558=#REF!,"",B32558)</f>
        <v>#REF!</v>
      </c>
    </row>
    <row r="32559" spans="1:6" ht="15.75" customHeight="1">
      <c r="A32559" s="16" t="s">
        <v>4004</v>
      </c>
      <c r="B32559" s="15" t="s">
        <v>4005</v>
      </c>
      <c r="C32559" s="16" t="s">
        <v>3975</v>
      </c>
      <c r="D32559" s="16" t="s">
        <v>3982</v>
      </c>
      <c r="E32559" s="2">
        <v>5909629</v>
      </c>
      <c r="F32559" s="4" t="e">
        <f>IF(B32559=#REF!,"",B32559)</f>
        <v>#REF!</v>
      </c>
    </row>
    <row r="32560" spans="1:6" ht="15.75" customHeight="1">
      <c r="A32560" s="16" t="s">
        <v>28110</v>
      </c>
      <c r="B32560" s="15" t="s">
        <v>28110</v>
      </c>
      <c r="C32560" s="16" t="s">
        <v>27788</v>
      </c>
      <c r="D32560" s="16" t="s">
        <v>2341</v>
      </c>
      <c r="E32560" s="2">
        <v>5415035</v>
      </c>
      <c r="F32560" s="4" t="e">
        <f>IF(B32560=#REF!,"",B32560)</f>
        <v>#REF!</v>
      </c>
    </row>
    <row r="32561" spans="1:6" ht="15.75" customHeight="1">
      <c r="A32561" s="16" t="s">
        <v>28109</v>
      </c>
      <c r="B32561" s="15" t="s">
        <v>28109</v>
      </c>
      <c r="C32561" s="16" t="s">
        <v>27788</v>
      </c>
      <c r="D32561" s="16" t="s">
        <v>27824</v>
      </c>
      <c r="E32561" s="2">
        <v>5019335</v>
      </c>
      <c r="F32561" s="4" t="e">
        <f>IF(B32561=#REF!,"",B32561)</f>
        <v>#REF!</v>
      </c>
    </row>
    <row r="32562" spans="1:6" ht="15.75" customHeight="1">
      <c r="A32562" s="16" t="s">
        <v>28108</v>
      </c>
      <c r="B32562" s="15" t="s">
        <v>28108</v>
      </c>
      <c r="C32562" s="16" t="s">
        <v>27788</v>
      </c>
      <c r="D32562" s="16" t="s">
        <v>27824</v>
      </c>
      <c r="E32562" s="2">
        <v>5019330</v>
      </c>
      <c r="F32562" s="4" t="e">
        <f>IF(B32562=#REF!,"",B32562)</f>
        <v>#REF!</v>
      </c>
    </row>
    <row r="32563" spans="1:6" ht="15.75" customHeight="1">
      <c r="A32563" s="15" t="s">
        <v>28107</v>
      </c>
      <c r="B32563" s="15" t="s">
        <v>28107</v>
      </c>
      <c r="C32563" s="15" t="s">
        <v>27788</v>
      </c>
      <c r="D32563" s="15" t="s">
        <v>27819</v>
      </c>
      <c r="E32563" s="2">
        <v>5110302</v>
      </c>
      <c r="F32563" s="4" t="e">
        <f>IF(B32563=#REF!,"",B32563)</f>
        <v>#REF!</v>
      </c>
    </row>
    <row r="32564" spans="1:6" ht="15.75" customHeight="1">
      <c r="A32564" s="15" t="s">
        <v>28106</v>
      </c>
      <c r="B32564" s="15" t="s">
        <v>28106</v>
      </c>
      <c r="C32564" s="15" t="s">
        <v>27788</v>
      </c>
      <c r="D32564" s="15" t="s">
        <v>27794</v>
      </c>
      <c r="E32564" s="2">
        <v>4931482</v>
      </c>
      <c r="F32564" s="4" t="e">
        <f>IF(B32564=#REF!,"",B32564)</f>
        <v>#REF!</v>
      </c>
    </row>
    <row r="32565" spans="1:6" ht="15.75" customHeight="1">
      <c r="A32565" s="16" t="s">
        <v>28105</v>
      </c>
      <c r="B32565" s="15" t="s">
        <v>28105</v>
      </c>
      <c r="C32565" s="16" t="s">
        <v>27788</v>
      </c>
      <c r="D32565" s="16" t="s">
        <v>27790</v>
      </c>
      <c r="E32565" s="2">
        <v>5226534</v>
      </c>
      <c r="F32565" s="4" t="e">
        <f>IF(B32565=#REF!,"",B32565)</f>
        <v>#REF!</v>
      </c>
    </row>
    <row r="32566" spans="1:6" ht="15.75" customHeight="1">
      <c r="A32566" s="16" t="s">
        <v>28104</v>
      </c>
      <c r="B32566" s="15" t="s">
        <v>28104</v>
      </c>
      <c r="C32566" s="16" t="s">
        <v>27788</v>
      </c>
      <c r="D32566" s="16" t="s">
        <v>7988</v>
      </c>
      <c r="E32566" s="2">
        <v>4184530</v>
      </c>
      <c r="F32566" s="4" t="e">
        <f>IF(B32566=#REF!,"",B32566)</f>
        <v>#REF!</v>
      </c>
    </row>
    <row r="32567" spans="1:6" ht="15.75" customHeight="1">
      <c r="A32567" s="16" t="s">
        <v>28103</v>
      </c>
      <c r="B32567" s="15" t="s">
        <v>28103</v>
      </c>
      <c r="C32567" s="16" t="s">
        <v>27788</v>
      </c>
      <c r="D32567" s="16" t="s">
        <v>27799</v>
      </c>
      <c r="E32567" s="2">
        <v>4885689</v>
      </c>
      <c r="F32567" s="4" t="e">
        <f>IF(B32567=#REF!,"",B32567)</f>
        <v>#REF!</v>
      </c>
    </row>
    <row r="32568" spans="1:6" ht="15.75" customHeight="1">
      <c r="A32568" s="16" t="s">
        <v>28102</v>
      </c>
      <c r="B32568" s="15" t="s">
        <v>28102</v>
      </c>
      <c r="C32568" s="16" t="s">
        <v>27788</v>
      </c>
      <c r="D32568" s="16" t="s">
        <v>27813</v>
      </c>
      <c r="E32568" s="2">
        <v>5148326</v>
      </c>
      <c r="F32568" s="4" t="e">
        <f>IF(B32568=#REF!,"",B32568)</f>
        <v>#REF!</v>
      </c>
    </row>
    <row r="32569" spans="1:6" ht="15.75" customHeight="1">
      <c r="A32569" s="15" t="s">
        <v>14998</v>
      </c>
      <c r="B32569" s="15" t="s">
        <v>14998</v>
      </c>
      <c r="C32569" s="15" t="s">
        <v>14891</v>
      </c>
      <c r="D32569" s="15" t="s">
        <v>14899</v>
      </c>
      <c r="E32569" s="2">
        <v>2525498</v>
      </c>
      <c r="F32569" s="4" t="e">
        <f>IF(B32569=#REF!,"",B32569)</f>
        <v>#REF!</v>
      </c>
    </row>
    <row r="32570" spans="1:6" ht="15.75" customHeight="1">
      <c r="A32570" s="15" t="s">
        <v>22270</v>
      </c>
      <c r="B32570" s="15" t="s">
        <v>22270</v>
      </c>
      <c r="C32570" s="15" t="s">
        <v>22070</v>
      </c>
      <c r="D32570" s="15" t="s">
        <v>22119</v>
      </c>
      <c r="E32570" s="2">
        <v>571557</v>
      </c>
      <c r="F32570" s="4" t="e">
        <f>IF(B32570=#REF!,"",B32570)</f>
        <v>#REF!</v>
      </c>
    </row>
    <row r="32571" spans="1:6" ht="15.75" customHeight="1">
      <c r="A32571" s="16" t="s">
        <v>23867</v>
      </c>
      <c r="B32571" s="15" t="s">
        <v>23868</v>
      </c>
      <c r="C32571" s="16" t="s">
        <v>23842</v>
      </c>
      <c r="D32571" s="16" t="s">
        <v>23855</v>
      </c>
      <c r="E32571" s="2">
        <v>1015504</v>
      </c>
      <c r="F32571" s="4" t="e">
        <f>IF(B32571=#REF!,"",B32571)</f>
        <v>#REF!</v>
      </c>
    </row>
    <row r="32572" spans="1:6" ht="15.75" customHeight="1">
      <c r="A32572" s="15" t="s">
        <v>7197</v>
      </c>
      <c r="B32572" s="15" t="s">
        <v>7197</v>
      </c>
      <c r="C32572" s="15" t="s">
        <v>7052</v>
      </c>
      <c r="D32572" s="15" t="s">
        <v>7053</v>
      </c>
      <c r="E32572" s="2">
        <v>3029931</v>
      </c>
      <c r="F32572" s="4" t="e">
        <f>IF(B32572=#REF!,"",B32572)</f>
        <v>#REF!</v>
      </c>
    </row>
    <row r="32573" spans="1:6" ht="15.75" customHeight="1">
      <c r="A32573" s="16" t="s">
        <v>27362</v>
      </c>
      <c r="B32573" s="15" t="s">
        <v>27362</v>
      </c>
      <c r="C32573" s="16" t="s">
        <v>27234</v>
      </c>
      <c r="D32573" s="16" t="s">
        <v>27241</v>
      </c>
      <c r="E32573" s="2">
        <v>2654579</v>
      </c>
      <c r="F32573" s="4" t="e">
        <f>IF(B32573=#REF!,"",B32573)</f>
        <v>#REF!</v>
      </c>
    </row>
    <row r="32574" spans="1:6" ht="15.75" customHeight="1">
      <c r="A32574" s="15" t="s">
        <v>25108</v>
      </c>
      <c r="B32574" s="15" t="s">
        <v>25108</v>
      </c>
      <c r="C32574" s="15" t="s">
        <v>25077</v>
      </c>
      <c r="D32574" s="15" t="s">
        <v>25081</v>
      </c>
      <c r="E32574" s="2">
        <v>2719111</v>
      </c>
      <c r="F32574" s="4" t="e">
        <f>IF(B32574=#REF!,"",B32574)</f>
        <v>#REF!</v>
      </c>
    </row>
    <row r="32575" spans="1:6" ht="15.75" customHeight="1">
      <c r="A32575" s="16" t="s">
        <v>915</v>
      </c>
      <c r="B32575" s="15" t="s">
        <v>916</v>
      </c>
      <c r="C32575" s="16" t="s">
        <v>885</v>
      </c>
      <c r="D32575" s="16" t="s">
        <v>891</v>
      </c>
      <c r="E32575" s="2">
        <v>2173911</v>
      </c>
      <c r="F32575" s="4" t="e">
        <f>IF(B32575=#REF!,"",B32575)</f>
        <v>#REF!</v>
      </c>
    </row>
    <row r="32576" spans="1:6" ht="15.75" customHeight="1">
      <c r="A32576" s="16" t="s">
        <v>28100</v>
      </c>
      <c r="B32576" s="15" t="s">
        <v>28101</v>
      </c>
      <c r="C32576" s="16" t="s">
        <v>27788</v>
      </c>
      <c r="D32576" s="16" t="s">
        <v>27797</v>
      </c>
      <c r="E32576" s="2">
        <v>4531405</v>
      </c>
      <c r="F32576" s="4" t="e">
        <f>IF(B32576=#REF!,"",B32576)</f>
        <v>#REF!</v>
      </c>
    </row>
    <row r="32577" spans="1:6" ht="15.75" customHeight="1">
      <c r="A32577" s="16" t="s">
        <v>18919</v>
      </c>
      <c r="B32577" s="15" t="s">
        <v>18919</v>
      </c>
      <c r="C32577" s="16" t="s">
        <v>18862</v>
      </c>
      <c r="D32577" s="16" t="s">
        <v>18863</v>
      </c>
      <c r="E32577" s="2">
        <v>2758245</v>
      </c>
      <c r="F32577" s="4" t="e">
        <f>IF(B32577=#REF!,"",B32577)</f>
        <v>#REF!</v>
      </c>
    </row>
    <row r="32578" spans="1:6" ht="15.75" customHeight="1">
      <c r="A32578" s="16" t="s">
        <v>18917</v>
      </c>
      <c r="B32578" s="15" t="s">
        <v>18918</v>
      </c>
      <c r="C32578" s="16" t="s">
        <v>18862</v>
      </c>
      <c r="D32578" s="16" t="s">
        <v>18863</v>
      </c>
      <c r="E32578" s="2">
        <v>2758258</v>
      </c>
      <c r="F32578" s="4" t="e">
        <f>IF(B32578=#REF!,"",B32578)</f>
        <v>#REF!</v>
      </c>
    </row>
    <row r="32579" spans="1:6" ht="15.75" customHeight="1">
      <c r="A32579" s="15" t="s">
        <v>26920</v>
      </c>
      <c r="B32579" s="15" t="s">
        <v>26920</v>
      </c>
      <c r="C32579" s="15" t="s">
        <v>26870</v>
      </c>
      <c r="D32579" s="15" t="s">
        <v>26916</v>
      </c>
      <c r="E32579" s="2">
        <v>711416</v>
      </c>
      <c r="F32579" s="4" t="str">
        <f>IF(B32579=B32578,"",B32579)</f>
        <v>Brody</v>
      </c>
    </row>
    <row r="32580" spans="1:6" ht="15.75" customHeight="1">
      <c r="A32580" s="16" t="str">
        <f ca="1">IFERROR(__xludf.DUMMYFUNCTION("GOOGLETRANSLATE(B25198,""en"",""pt"")"),"Brodósqui")</f>
        <v>Brodósqui</v>
      </c>
      <c r="B32580" s="20" t="s">
        <v>31703</v>
      </c>
      <c r="C32580" s="20" t="s">
        <v>1905</v>
      </c>
      <c r="D32580" s="20" t="s">
        <v>3354</v>
      </c>
      <c r="E32580" s="10">
        <v>3468902</v>
      </c>
      <c r="F32580" s="4" t="e">
        <f>IF(B32580=#REF!,"",B32580)</f>
        <v>#REF!</v>
      </c>
    </row>
    <row r="32581" spans="1:6" ht="15.75" customHeight="1">
      <c r="A32581" s="15" t="s">
        <v>21163</v>
      </c>
      <c r="B32581" s="15" t="s">
        <v>21163</v>
      </c>
      <c r="C32581" s="15" t="s">
        <v>21064</v>
      </c>
      <c r="D32581" s="15" t="s">
        <v>21125</v>
      </c>
      <c r="E32581" s="2">
        <v>3102627</v>
      </c>
      <c r="F32581" s="4" t="str">
        <f>IF(B32581=B32580,"",B32581)</f>
        <v>Brodnica</v>
      </c>
    </row>
    <row r="32582" spans="1:6" ht="15.75" customHeight="1">
      <c r="A32582" s="16" t="s">
        <v>2157</v>
      </c>
      <c r="B32582" s="15" t="s">
        <v>2158</v>
      </c>
      <c r="C32582" s="16" t="s">
        <v>1905</v>
      </c>
      <c r="D32582" s="16" t="s">
        <v>1914</v>
      </c>
      <c r="E32582" s="2">
        <v>3468902</v>
      </c>
      <c r="F32582" s="4" t="e">
        <f>IF(B32582=#REF!,"",B32582)</f>
        <v>#REF!</v>
      </c>
    </row>
    <row r="32583" spans="1:6" ht="15.75" customHeight="1">
      <c r="A32583" s="15" t="s">
        <v>4003</v>
      </c>
      <c r="B32583" s="15" t="s">
        <v>4003</v>
      </c>
      <c r="C32583" s="15" t="s">
        <v>3975</v>
      </c>
      <c r="D32583" s="15" t="s">
        <v>3980</v>
      </c>
      <c r="E32583" s="2">
        <v>5909294</v>
      </c>
      <c r="F32583" s="4" t="e">
        <f>IF(B32583=#REF!,"",B32583)</f>
        <v>#REF!</v>
      </c>
    </row>
    <row r="32584" spans="1:6" ht="15.75" customHeight="1">
      <c r="A32584" s="15" t="s">
        <v>28099</v>
      </c>
      <c r="B32584" s="15" t="s">
        <v>28099</v>
      </c>
      <c r="C32584" s="15" t="s">
        <v>27788</v>
      </c>
      <c r="D32584" s="15" t="s">
        <v>27794</v>
      </c>
      <c r="E32584" s="2">
        <v>4931429</v>
      </c>
      <c r="F32584" s="4" t="e">
        <f>IF(B32584=#REF!,"",B32584)</f>
        <v>#REF!</v>
      </c>
    </row>
    <row r="32585" spans="1:6" ht="15.75" customHeight="1">
      <c r="A32585" s="16" t="s">
        <v>28098</v>
      </c>
      <c r="B32585" s="15" t="s">
        <v>28098</v>
      </c>
      <c r="C32585" s="16" t="s">
        <v>27788</v>
      </c>
      <c r="D32585" s="16" t="s">
        <v>27813</v>
      </c>
      <c r="E32585" s="2">
        <v>5148273</v>
      </c>
      <c r="F32585" s="4" t="e">
        <f>IF(B32585=#REF!,"",B32585)</f>
        <v>#REF!</v>
      </c>
    </row>
    <row r="32586" spans="1:6" ht="15.75" customHeight="1">
      <c r="A32586" s="16" t="s">
        <v>27361</v>
      </c>
      <c r="B32586" s="15" t="s">
        <v>27361</v>
      </c>
      <c r="C32586" s="16" t="s">
        <v>27234</v>
      </c>
      <c r="D32586" s="16" t="s">
        <v>27241</v>
      </c>
      <c r="E32586" s="2">
        <v>2654635</v>
      </c>
      <c r="F32586" s="4" t="e">
        <f>IF(B32586=#REF!,"",B32586)</f>
        <v>#REF!</v>
      </c>
    </row>
    <row r="32587" spans="1:6" ht="15.75" customHeight="1">
      <c r="A32587" s="16" t="s">
        <v>28097</v>
      </c>
      <c r="B32587" s="15" t="s">
        <v>28097</v>
      </c>
      <c r="C32587" s="16" t="s">
        <v>27788</v>
      </c>
      <c r="D32587" s="16" t="s">
        <v>27869</v>
      </c>
      <c r="E32587" s="2">
        <v>4254957</v>
      </c>
      <c r="F32587" s="4" t="e">
        <f>IF(B32587=#REF!,"",B32587)</f>
        <v>#REF!</v>
      </c>
    </row>
    <row r="32588" spans="1:6" ht="15.75" customHeight="1">
      <c r="A32588" s="15" t="s">
        <v>5994</v>
      </c>
      <c r="B32588" s="15" t="s">
        <v>5994</v>
      </c>
      <c r="C32588" s="15" t="s">
        <v>5947</v>
      </c>
      <c r="D32588" s="15" t="s">
        <v>5982</v>
      </c>
      <c r="E32588" s="2">
        <v>3078610</v>
      </c>
      <c r="F32588" s="4" t="e">
        <f>IF(B32588=#REF!,"",B32588)</f>
        <v>#REF!</v>
      </c>
    </row>
    <row r="32589" spans="1:6" ht="15.75" customHeight="1">
      <c r="A32589" s="15" t="s">
        <v>27360</v>
      </c>
      <c r="B32589" s="15" t="s">
        <v>27360</v>
      </c>
      <c r="C32589" s="15" t="s">
        <v>27234</v>
      </c>
      <c r="D32589" s="15" t="s">
        <v>27241</v>
      </c>
      <c r="E32589" s="2">
        <v>6690877</v>
      </c>
      <c r="F32589" s="4" t="e">
        <f>IF(B32589=#REF!,"",B32589)</f>
        <v>#REF!</v>
      </c>
    </row>
    <row r="32590" spans="1:6" ht="15.75" customHeight="1">
      <c r="A32590" s="15" t="s">
        <v>27359</v>
      </c>
      <c r="B32590" s="15" t="s">
        <v>27359</v>
      </c>
      <c r="C32590" s="15" t="s">
        <v>27234</v>
      </c>
      <c r="D32590" s="15" t="s">
        <v>27241</v>
      </c>
      <c r="E32590" s="2">
        <v>2654663</v>
      </c>
      <c r="F32590" s="4" t="e">
        <f>IF(B32590=#REF!,"",B32590)</f>
        <v>#REF!</v>
      </c>
    </row>
    <row r="32591" spans="1:6" ht="15.75" customHeight="1">
      <c r="A32591" s="16" t="s">
        <v>7195</v>
      </c>
      <c r="B32591" s="15" t="s">
        <v>7196</v>
      </c>
      <c r="C32591" s="16" t="s">
        <v>7052</v>
      </c>
      <c r="D32591" s="16" t="s">
        <v>7084</v>
      </c>
      <c r="E32591" s="2">
        <v>3029974</v>
      </c>
      <c r="F32591" s="4" t="e">
        <f>IF(B32591=#REF!,"",B32591)</f>
        <v>#REF!</v>
      </c>
    </row>
    <row r="32592" spans="1:6" ht="15.75" customHeight="1">
      <c r="A32592" s="15" t="s">
        <v>8240</v>
      </c>
      <c r="B32592" s="15" t="s">
        <v>8240</v>
      </c>
      <c r="C32592" s="15" t="s">
        <v>8028</v>
      </c>
      <c r="D32592" s="15" t="s">
        <v>8036</v>
      </c>
      <c r="E32592" s="2">
        <v>2944027</v>
      </c>
      <c r="F32592" s="4" t="e">
        <f>IF(B32592=#REF!,"",B32592)</f>
        <v>#REF!</v>
      </c>
    </row>
    <row r="32593" spans="1:6" ht="15.75" customHeight="1">
      <c r="A32593" s="16" t="s">
        <v>23865</v>
      </c>
      <c r="B32593" s="15" t="s">
        <v>23866</v>
      </c>
      <c r="C32593" s="16" t="s">
        <v>23842</v>
      </c>
      <c r="D32593" s="16" t="s">
        <v>23860</v>
      </c>
      <c r="E32593" s="2">
        <v>1015621</v>
      </c>
      <c r="F32593" s="4" t="e">
        <f>IF(B32593=#REF!,"",B32593)</f>
        <v>#REF!</v>
      </c>
    </row>
    <row r="32594" spans="1:6" ht="15.75" customHeight="1">
      <c r="A32594" s="16" t="s">
        <v>27357</v>
      </c>
      <c r="B32594" s="15" t="s">
        <v>27358</v>
      </c>
      <c r="C32594" s="16" t="s">
        <v>27234</v>
      </c>
      <c r="D32594" s="16" t="s">
        <v>27235</v>
      </c>
      <c r="E32594" s="2">
        <v>2654668</v>
      </c>
      <c r="F32594" s="4" t="e">
        <f>IF(B32594=#REF!,"",B32594)</f>
        <v>#REF!</v>
      </c>
    </row>
    <row r="32595" spans="1:6" ht="15.75" customHeight="1">
      <c r="A32595" s="15" t="s">
        <v>27356</v>
      </c>
      <c r="B32595" s="15" t="s">
        <v>27356</v>
      </c>
      <c r="C32595" s="15" t="s">
        <v>27234</v>
      </c>
      <c r="D32595" s="15" t="s">
        <v>27241</v>
      </c>
      <c r="E32595" s="2">
        <v>2654675</v>
      </c>
      <c r="F32595" s="4" t="e">
        <f>IF(B32595=#REF!,"",B32595)</f>
        <v>#REF!</v>
      </c>
    </row>
    <row r="32596" spans="1:6" ht="15.75" customHeight="1">
      <c r="A32596" s="15" t="s">
        <v>914</v>
      </c>
      <c r="B32596" s="15" t="s">
        <v>914</v>
      </c>
      <c r="C32596" s="15" t="s">
        <v>885</v>
      </c>
      <c r="D32596" s="15" t="s">
        <v>910</v>
      </c>
      <c r="E32596" s="2">
        <v>2174003</v>
      </c>
      <c r="F32596" s="4" t="e">
        <f>IF(B32596=#REF!,"",B32596)</f>
        <v>#REF!</v>
      </c>
    </row>
    <row r="32597" spans="1:6" ht="15.75" customHeight="1">
      <c r="A32597" s="15" t="s">
        <v>14997</v>
      </c>
      <c r="B32597" s="15" t="s">
        <v>14997</v>
      </c>
      <c r="C32597" s="15" t="s">
        <v>14891</v>
      </c>
      <c r="D32597" s="15" t="s">
        <v>14908</v>
      </c>
      <c r="E32597" s="2">
        <v>3181528</v>
      </c>
      <c r="F32597" s="4" t="e">
        <f>IF(B32597=#REF!,"",B32597)</f>
        <v>#REF!</v>
      </c>
    </row>
    <row r="32598" spans="1:6" ht="15.75" customHeight="1">
      <c r="A32598" s="15" t="s">
        <v>8239</v>
      </c>
      <c r="B32598" s="15" t="s">
        <v>8239</v>
      </c>
      <c r="C32598" s="15" t="s">
        <v>8028</v>
      </c>
      <c r="D32598" s="15" t="s">
        <v>8029</v>
      </c>
      <c r="E32598" s="2">
        <v>2944079</v>
      </c>
      <c r="F32598" s="4" t="e">
        <f>IF(B32598=#REF!,"",B32598)</f>
        <v>#REF!</v>
      </c>
    </row>
    <row r="32599" spans="1:6" ht="15.75" customHeight="1">
      <c r="A32599" s="15" t="s">
        <v>7982</v>
      </c>
      <c r="B32599" s="15" t="s">
        <v>7982</v>
      </c>
      <c r="C32599" s="15" t="s">
        <v>7980</v>
      </c>
      <c r="D32599" s="15" t="s">
        <v>6944</v>
      </c>
      <c r="E32599" s="2">
        <v>2413753</v>
      </c>
      <c r="F32599" s="4" t="e">
        <f>IF(B32599=#REF!,"",B32599)</f>
        <v>#REF!</v>
      </c>
    </row>
    <row r="32600" spans="1:6" ht="15.75" customHeight="1">
      <c r="A32600" s="15" t="s">
        <v>7193</v>
      </c>
      <c r="B32600" s="15" t="s">
        <v>7194</v>
      </c>
      <c r="C32600" s="15" t="s">
        <v>7052</v>
      </c>
      <c r="D32600" s="15" t="s">
        <v>7087</v>
      </c>
      <c r="E32600" s="2">
        <v>3030057</v>
      </c>
      <c r="F32600" s="4" t="e">
        <f>IF(B32600=#REF!,"",B32600)</f>
        <v>#REF!</v>
      </c>
    </row>
    <row r="32601" spans="1:6" ht="15.75" customHeight="1">
      <c r="A32601" s="16" t="s">
        <v>913</v>
      </c>
      <c r="B32601" s="15" t="s">
        <v>913</v>
      </c>
      <c r="C32601" s="16" t="s">
        <v>885</v>
      </c>
      <c r="D32601" s="16" t="s">
        <v>827</v>
      </c>
      <c r="E32601" s="2">
        <v>7932646</v>
      </c>
      <c r="F32601" s="4" t="e">
        <f>IF(B32601=#REF!,"",B32601)</f>
        <v>#REF!</v>
      </c>
    </row>
    <row r="32602" spans="1:6" ht="15.75" customHeight="1">
      <c r="A32602" s="15" t="s">
        <v>27355</v>
      </c>
      <c r="B32602" s="15" t="s">
        <v>27355</v>
      </c>
      <c r="C32602" s="15" t="s">
        <v>27234</v>
      </c>
      <c r="D32602" s="15" t="s">
        <v>27241</v>
      </c>
      <c r="E32602" s="2">
        <v>2654710</v>
      </c>
      <c r="F32602" s="4" t="e">
        <f>IF(B32602=#REF!,"",B32602)</f>
        <v>#REF!</v>
      </c>
    </row>
    <row r="32603" spans="1:6" ht="15.75" customHeight="1">
      <c r="A32603" s="16" t="s">
        <v>27354</v>
      </c>
      <c r="B32603" s="15" t="s">
        <v>27354</v>
      </c>
      <c r="C32603" s="16" t="s">
        <v>27234</v>
      </c>
      <c r="D32603" s="16" t="s">
        <v>27241</v>
      </c>
      <c r="E32603" s="2">
        <v>2654715</v>
      </c>
      <c r="F32603" s="4" t="e">
        <f>IF(B32603=#REF!,"",B32603)</f>
        <v>#REF!</v>
      </c>
    </row>
    <row r="32604" spans="1:6" ht="15.75" customHeight="1">
      <c r="A32604" s="16" t="s">
        <v>28095</v>
      </c>
      <c r="B32604" s="15" t="s">
        <v>28096</v>
      </c>
      <c r="C32604" s="16" t="s">
        <v>27788</v>
      </c>
      <c r="D32604" s="16" t="s">
        <v>27856</v>
      </c>
      <c r="E32604" s="2">
        <v>5771960</v>
      </c>
      <c r="F32604" s="4" t="e">
        <f>IF(B32604=#REF!,"",B32604)</f>
        <v>#REF!</v>
      </c>
    </row>
    <row r="32605" spans="1:6" ht="15.75" customHeight="1">
      <c r="A32605" s="16" t="s">
        <v>27353</v>
      </c>
      <c r="B32605" s="15" t="s">
        <v>27353</v>
      </c>
      <c r="C32605" s="16" t="s">
        <v>27234</v>
      </c>
      <c r="D32605" s="16" t="s">
        <v>27241</v>
      </c>
      <c r="E32605" s="2">
        <v>2654724</v>
      </c>
      <c r="F32605" s="4" t="e">
        <f>IF(B32605=#REF!,"",B32605)</f>
        <v>#REF!</v>
      </c>
    </row>
    <row r="32606" spans="1:6" ht="15.75" customHeight="1">
      <c r="A32606" s="16" t="s">
        <v>7191</v>
      </c>
      <c r="B32606" s="15" t="s">
        <v>7192</v>
      </c>
      <c r="C32606" s="16" t="s">
        <v>7052</v>
      </c>
      <c r="D32606" s="16" t="s">
        <v>7058</v>
      </c>
      <c r="E32606" s="2">
        <v>3030101</v>
      </c>
      <c r="F32606" s="4" t="e">
        <f>IF(B32606=#REF!,"",B32606)</f>
        <v>#REF!</v>
      </c>
    </row>
    <row r="32607" spans="1:6" ht="15.75" customHeight="1">
      <c r="A32607" s="16" t="s">
        <v>27352</v>
      </c>
      <c r="B32607" s="15" t="s">
        <v>27352</v>
      </c>
      <c r="C32607" s="16" t="s">
        <v>27234</v>
      </c>
      <c r="D32607" s="16" t="s">
        <v>27241</v>
      </c>
      <c r="E32607" s="2">
        <v>2654728</v>
      </c>
      <c r="F32607" s="4" t="e">
        <f>IF(B32607=#REF!,"",B32607)</f>
        <v>#REF!</v>
      </c>
    </row>
    <row r="32608" spans="1:6" ht="15.75" customHeight="1">
      <c r="A32608" s="16" t="s">
        <v>27351</v>
      </c>
      <c r="B32608" s="15" t="s">
        <v>27351</v>
      </c>
      <c r="C32608" s="16" t="s">
        <v>27234</v>
      </c>
      <c r="D32608" s="16" t="s">
        <v>27241</v>
      </c>
      <c r="E32608" s="2">
        <v>2654730</v>
      </c>
      <c r="F32608" s="4" t="e">
        <f>IF(B32608=#REF!,"",B32608)</f>
        <v>#REF!</v>
      </c>
    </row>
    <row r="32609" spans="1:6" ht="15.75" customHeight="1">
      <c r="A32609" s="16" t="s">
        <v>28094</v>
      </c>
      <c r="B32609" s="15" t="s">
        <v>28094</v>
      </c>
      <c r="C32609" s="16" t="s">
        <v>27788</v>
      </c>
      <c r="D32609" s="16" t="s">
        <v>27905</v>
      </c>
      <c r="E32609" s="2">
        <v>8299576</v>
      </c>
      <c r="F32609" s="4" t="e">
        <f>IF(B32609=#REF!,"",B32609)</f>
        <v>#REF!</v>
      </c>
    </row>
    <row r="32610" spans="1:6" ht="15.75" customHeight="1">
      <c r="A32610" s="16" t="s">
        <v>28093</v>
      </c>
      <c r="B32610" s="15" t="s">
        <v>28093</v>
      </c>
      <c r="C32610" s="16" t="s">
        <v>27788</v>
      </c>
      <c r="D32610" s="16" t="s">
        <v>27799</v>
      </c>
      <c r="E32610" s="2">
        <v>4885573</v>
      </c>
      <c r="F32610" s="4" t="e">
        <f>IF(B32610=#REF!,"",B32610)</f>
        <v>#REF!</v>
      </c>
    </row>
    <row r="32611" spans="1:6" ht="15.75" customHeight="1">
      <c r="A32611" s="16" t="s">
        <v>1449</v>
      </c>
      <c r="B32611" s="15" t="s">
        <v>1449</v>
      </c>
      <c r="C32611" s="16" t="s">
        <v>1450</v>
      </c>
      <c r="D32611" s="16" t="s">
        <v>1451</v>
      </c>
      <c r="E32611" s="2">
        <v>3374036</v>
      </c>
      <c r="F32611" s="4" t="e">
        <f>IF(B32611=#REF!,"",B32611)</f>
        <v>#REF!</v>
      </c>
    </row>
    <row r="32612" spans="1:6" ht="15.75" customHeight="1">
      <c r="A32612" s="15" t="s">
        <v>28092</v>
      </c>
      <c r="B32612" s="15" t="s">
        <v>28092</v>
      </c>
      <c r="C32612" s="15" t="s">
        <v>27788</v>
      </c>
      <c r="D32612" s="15" t="s">
        <v>27905</v>
      </c>
      <c r="E32612" s="2">
        <v>4500942</v>
      </c>
      <c r="F32612" s="4" t="e">
        <f>IF(B32612=#REF!,"",B32612)</f>
        <v>#REF!</v>
      </c>
    </row>
    <row r="32613" spans="1:6" ht="15.75" customHeight="1">
      <c r="A32613" s="16" t="s">
        <v>28091</v>
      </c>
      <c r="B32613" s="15" t="s">
        <v>28091</v>
      </c>
      <c r="C32613" s="16" t="s">
        <v>27788</v>
      </c>
      <c r="D32613" s="16" t="s">
        <v>27876</v>
      </c>
      <c r="E32613" s="2">
        <v>5282804</v>
      </c>
      <c r="F32613" s="4" t="e">
        <f>IF(B32613=#REF!,"",B32613)</f>
        <v>#REF!</v>
      </c>
    </row>
    <row r="32614" spans="1:6" ht="15.75" customHeight="1">
      <c r="A32614" s="15" t="s">
        <v>27350</v>
      </c>
      <c r="B32614" s="15" t="s">
        <v>27350</v>
      </c>
      <c r="C32614" s="15" t="s">
        <v>27234</v>
      </c>
      <c r="D32614" s="15" t="s">
        <v>27235</v>
      </c>
      <c r="E32614" s="2">
        <v>2654755</v>
      </c>
      <c r="F32614" s="4" t="e">
        <f>IF(B32614=#REF!,"",B32614)</f>
        <v>#REF!</v>
      </c>
    </row>
    <row r="32615" spans="1:6" ht="15.75" customHeight="1">
      <c r="A32615" s="15" t="s">
        <v>4285</v>
      </c>
      <c r="B32615" s="15" t="s">
        <v>4285</v>
      </c>
      <c r="C32615" s="15" t="s">
        <v>4264</v>
      </c>
      <c r="D32615" s="15" t="s">
        <v>4286</v>
      </c>
      <c r="E32615" s="2">
        <v>239899</v>
      </c>
      <c r="F32615" s="4" t="e">
        <f>IF(B32615=#REF!,"",B32615)</f>
        <v>#REF!</v>
      </c>
    </row>
    <row r="32616" spans="1:6" ht="15.75" customHeight="1">
      <c r="A32616" s="15" t="s">
        <v>23709</v>
      </c>
      <c r="B32616" s="15" t="s">
        <v>23709</v>
      </c>
      <c r="C32616" s="15" t="s">
        <v>23694</v>
      </c>
      <c r="D32616" s="15" t="s">
        <v>23695</v>
      </c>
      <c r="E32616" s="2">
        <v>3060950</v>
      </c>
      <c r="F32616" s="4" t="e">
        <f>IF(B32616=#REF!,"",B32616)</f>
        <v>#REF!</v>
      </c>
    </row>
    <row r="32617" spans="1:6" ht="15.75" customHeight="1">
      <c r="A32617" s="15" t="s">
        <v>298</v>
      </c>
      <c r="B32617" s="15" t="s">
        <v>298</v>
      </c>
      <c r="C32617" s="15" t="s">
        <v>153</v>
      </c>
      <c r="D32617" s="15" t="s">
        <v>299</v>
      </c>
      <c r="E32617" s="2">
        <v>2502034</v>
      </c>
      <c r="F32617" s="4" t="e">
        <f>IF(B32617=#REF!,"",B32617)</f>
        <v>#REF!</v>
      </c>
    </row>
    <row r="32618" spans="1:6" ht="15.75" customHeight="1">
      <c r="A32618" s="15" t="s">
        <v>2156</v>
      </c>
      <c r="B32618" s="15" t="s">
        <v>2156</v>
      </c>
      <c r="C32618" s="15" t="s">
        <v>1905</v>
      </c>
      <c r="D32618" s="15" t="s">
        <v>1906</v>
      </c>
      <c r="E32618" s="2">
        <v>3404817</v>
      </c>
      <c r="F32618" s="4" t="e">
        <f>IF(B32618=#REF!,"",B32618)</f>
        <v>#REF!</v>
      </c>
    </row>
    <row r="32619" spans="1:6" ht="15.75" customHeight="1">
      <c r="A32619" s="15" t="s">
        <v>8238</v>
      </c>
      <c r="B32619" s="15" t="s">
        <v>8238</v>
      </c>
      <c r="C32619" s="15" t="s">
        <v>8028</v>
      </c>
      <c r="D32619" s="15" t="s">
        <v>8031</v>
      </c>
      <c r="E32619" s="2">
        <v>2944200</v>
      </c>
      <c r="F32619" s="4" t="str">
        <f>IF(B32619=B32618,"",B32619)</f>
        <v>Bretten</v>
      </c>
    </row>
    <row r="32620" spans="1:6" ht="15.75" customHeight="1">
      <c r="A32620" s="16" t="str">
        <f ca="1">IFERROR(__xludf.DUMMYFUNCTION("GOOGLETRANSLATE(B30200,""en"",""pt"")"),"BRÉTIGNY-SUR-MORGE")</f>
        <v>BRÉTIGNY-SUR-MORGE</v>
      </c>
      <c r="B32620" s="20" t="s">
        <v>32637</v>
      </c>
      <c r="C32620" s="20" t="s">
        <v>7052</v>
      </c>
      <c r="D32620" s="20" t="s">
        <v>32531</v>
      </c>
      <c r="E32620" s="10">
        <v>3030257</v>
      </c>
      <c r="F32620" s="4" t="e">
        <f>IF(B32620=#REF!,"",B32620)</f>
        <v>#REF!</v>
      </c>
    </row>
    <row r="32621" spans="1:6" ht="15.75" customHeight="1">
      <c r="A32621" s="15" t="s">
        <v>1457</v>
      </c>
      <c r="B32621" s="15" t="s">
        <v>1457</v>
      </c>
      <c r="C32621" s="15" t="s">
        <v>1453</v>
      </c>
      <c r="D32621" s="15" t="s">
        <v>1457</v>
      </c>
      <c r="E32621" s="2">
        <v>629634</v>
      </c>
      <c r="F32621" s="4" t="e">
        <f>IF(B32621=#REF!,"",B32621)</f>
        <v>#REF!</v>
      </c>
    </row>
    <row r="32622" spans="1:6" ht="15.75" customHeight="1">
      <c r="A32622" s="15" t="s">
        <v>7189</v>
      </c>
      <c r="B32622" s="15" t="s">
        <v>7189</v>
      </c>
      <c r="C32622" s="15" t="s">
        <v>7052</v>
      </c>
      <c r="D32622" s="15" t="s">
        <v>7084</v>
      </c>
      <c r="E32622" s="2">
        <v>3030303</v>
      </c>
      <c r="F32622" s="4" t="e">
        <f>IF(B32622=#REF!,"",B32622)</f>
        <v>#REF!</v>
      </c>
    </row>
    <row r="32623" spans="1:6" ht="15.75" customHeight="1">
      <c r="A32623" s="15" t="s">
        <v>14995</v>
      </c>
      <c r="B32623" s="15" t="s">
        <v>14996</v>
      </c>
      <c r="C32623" s="15" t="s">
        <v>14891</v>
      </c>
      <c r="D32623" s="15" t="s">
        <v>14894</v>
      </c>
      <c r="E32623" s="2">
        <v>3181548</v>
      </c>
      <c r="F32623" s="4" t="e">
        <f>IF(B32623=#REF!,"",B32623)</f>
        <v>#REF!</v>
      </c>
    </row>
    <row r="32624" spans="1:6" ht="15.75" customHeight="1">
      <c r="A32624" s="16" t="s">
        <v>14994</v>
      </c>
      <c r="B32624" s="15" t="s">
        <v>14994</v>
      </c>
      <c r="C32624" s="16" t="s">
        <v>14891</v>
      </c>
      <c r="D32624" s="16" t="s">
        <v>14986</v>
      </c>
      <c r="E32624" s="2">
        <v>3181550</v>
      </c>
      <c r="F32624" s="4" t="e">
        <f>IF(B32624=#REF!,"",B32624)</f>
        <v>#REF!</v>
      </c>
    </row>
    <row r="32625" spans="1:6" ht="15.75" customHeight="1">
      <c r="A32625" s="15" t="s">
        <v>14993</v>
      </c>
      <c r="B32625" s="15" t="s">
        <v>14993</v>
      </c>
      <c r="C32625" s="15" t="s">
        <v>14891</v>
      </c>
      <c r="D32625" s="15" t="s">
        <v>14894</v>
      </c>
      <c r="E32625" s="2">
        <v>3181554</v>
      </c>
      <c r="F32625" s="4" t="e">
        <f>IF(B32625=#REF!,"",B32625)</f>
        <v>#REF!</v>
      </c>
    </row>
    <row r="32626" spans="1:6" ht="15.75" customHeight="1">
      <c r="A32626" s="16" t="s">
        <v>28090</v>
      </c>
      <c r="B32626" s="15" t="s">
        <v>28090</v>
      </c>
      <c r="C32626" s="16" t="s">
        <v>27788</v>
      </c>
      <c r="D32626" s="16" t="s">
        <v>27957</v>
      </c>
      <c r="E32626" s="2">
        <v>4608418</v>
      </c>
      <c r="F32626" s="4" t="e">
        <f>IF(B32626=#REF!,"",B32626)</f>
        <v>#REF!</v>
      </c>
    </row>
    <row r="32627" spans="1:6" ht="15.75" customHeight="1">
      <c r="A32627" s="16" t="s">
        <v>27349</v>
      </c>
      <c r="B32627" s="15" t="s">
        <v>27349</v>
      </c>
      <c r="C32627" s="16" t="s">
        <v>27234</v>
      </c>
      <c r="D32627" s="16" t="s">
        <v>27241</v>
      </c>
      <c r="E32627" s="2">
        <v>2654782</v>
      </c>
      <c r="F32627" s="4" t="e">
        <f>IF(B32627=#REF!,"",B32627)</f>
        <v>#REF!</v>
      </c>
    </row>
    <row r="32628" spans="1:6" ht="15.75" customHeight="1">
      <c r="A32628" s="15" t="s">
        <v>28089</v>
      </c>
      <c r="B32628" s="15" t="s">
        <v>28089</v>
      </c>
      <c r="C32628" s="15" t="s">
        <v>27788</v>
      </c>
      <c r="D32628" s="15" t="s">
        <v>5468</v>
      </c>
      <c r="E32628" s="2">
        <v>4148803</v>
      </c>
      <c r="F32628" s="4" t="e">
        <f>IF(B32628=#REF!,"",B32628)</f>
        <v>#REF!</v>
      </c>
    </row>
    <row r="32629" spans="1:6" ht="15.75" customHeight="1">
      <c r="A32629" s="15" t="s">
        <v>28088</v>
      </c>
      <c r="B32629" s="15" t="s">
        <v>28088</v>
      </c>
      <c r="C32629" s="15" t="s">
        <v>27788</v>
      </c>
      <c r="D32629" s="15" t="s">
        <v>27792</v>
      </c>
      <c r="E32629" s="2">
        <v>4676206</v>
      </c>
      <c r="F32629" s="4" t="str">
        <f>IF(B32629=B32628,"",B32629)</f>
        <v>Brenham</v>
      </c>
    </row>
    <row r="32630" spans="1:6" ht="15.75" customHeight="1">
      <c r="A32630" s="16" t="str">
        <f ca="1">IFERROR(__xludf.DUMMYFUNCTION("GOOGLETRANSLATE(B28226,""en"",""pt"")"),"Bremervörde")</f>
        <v>Bremervörde</v>
      </c>
      <c r="B32630" s="20" t="s">
        <v>32129</v>
      </c>
      <c r="C32630" s="20" t="s">
        <v>8028</v>
      </c>
      <c r="D32630" s="20" t="s">
        <v>8034</v>
      </c>
      <c r="E32630" s="10">
        <v>2944354</v>
      </c>
      <c r="F32630" s="4" t="str">
        <f>IF(B32630=B32629,"",B32630)</f>
        <v>Bremervörde</v>
      </c>
    </row>
    <row r="32631" spans="1:6" ht="15.75" customHeight="1">
      <c r="A32631" s="16" t="s">
        <v>8236</v>
      </c>
      <c r="B32631" s="15" t="s">
        <v>8237</v>
      </c>
      <c r="C32631" s="16" t="s">
        <v>8028</v>
      </c>
      <c r="D32631" s="16" t="s">
        <v>8034</v>
      </c>
      <c r="E32631" s="2">
        <v>2944354</v>
      </c>
      <c r="F32631" s="4" t="e">
        <f>IF(B32631=#REF!,"",B32631)</f>
        <v>#REF!</v>
      </c>
    </row>
    <row r="32632" spans="1:6" ht="15.75" customHeight="1">
      <c r="A32632" s="16" t="s">
        <v>28087</v>
      </c>
      <c r="B32632" s="15" t="s">
        <v>28087</v>
      </c>
      <c r="C32632" s="16" t="s">
        <v>27788</v>
      </c>
      <c r="D32632" s="16" t="s">
        <v>27733</v>
      </c>
      <c r="E32632" s="2">
        <v>5788054</v>
      </c>
      <c r="F32632" s="4" t="e">
        <f>IF(B32632=#REF!,"",B32632)</f>
        <v>#REF!</v>
      </c>
    </row>
    <row r="32633" spans="1:6" ht="15.75" customHeight="1">
      <c r="A32633" s="16" t="s">
        <v>8235</v>
      </c>
      <c r="B32633" s="15" t="s">
        <v>8235</v>
      </c>
      <c r="C32633" s="16" t="s">
        <v>8028</v>
      </c>
      <c r="D32633" s="16" t="s">
        <v>8234</v>
      </c>
      <c r="E32633" s="2">
        <v>2944368</v>
      </c>
      <c r="F32633" s="4" t="e">
        <f>IF(B32633=#REF!,"",B32633)</f>
        <v>#REF!</v>
      </c>
    </row>
    <row r="32634" spans="1:6" ht="15.75" customHeight="1">
      <c r="A32634" s="15" t="s">
        <v>8234</v>
      </c>
      <c r="B32634" s="15" t="s">
        <v>8234</v>
      </c>
      <c r="C32634" s="15" t="s">
        <v>8028</v>
      </c>
      <c r="D32634" s="15" t="s">
        <v>8234</v>
      </c>
      <c r="E32634" s="2">
        <v>2944388</v>
      </c>
      <c r="F32634" s="4" t="e">
        <f>IF(B32634=#REF!,"",B32634)</f>
        <v>#REF!</v>
      </c>
    </row>
    <row r="32635" spans="1:6" ht="15.75" customHeight="1">
      <c r="A32635" s="16" t="s">
        <v>2155</v>
      </c>
      <c r="B32635" s="15" t="s">
        <v>2155</v>
      </c>
      <c r="C32635" s="16" t="s">
        <v>1905</v>
      </c>
      <c r="D32635" s="16" t="s">
        <v>1930</v>
      </c>
      <c r="E32635" s="2">
        <v>3404833</v>
      </c>
      <c r="F32635" s="4" t="e">
        <f>IF(B32635=#REF!,"",B32635)</f>
        <v>#REF!</v>
      </c>
    </row>
    <row r="32636" spans="1:6" ht="15.75" customHeight="1">
      <c r="A32636" s="16" t="s">
        <v>2154</v>
      </c>
      <c r="B32636" s="15" t="s">
        <v>2154</v>
      </c>
      <c r="C32636" s="16" t="s">
        <v>1905</v>
      </c>
      <c r="D32636" s="16" t="s">
        <v>1909</v>
      </c>
      <c r="E32636" s="2">
        <v>3404862</v>
      </c>
      <c r="F32636" s="4" t="e">
        <f>IF(B32636=#REF!,"",B32636)</f>
        <v>#REF!</v>
      </c>
    </row>
    <row r="32637" spans="1:6" ht="15.75" customHeight="1">
      <c r="A32637" s="15" t="s">
        <v>1125</v>
      </c>
      <c r="B32637" s="15" t="s">
        <v>1125</v>
      </c>
      <c r="C32637" s="15" t="s">
        <v>1117</v>
      </c>
      <c r="D32637" s="15" t="s">
        <v>1126</v>
      </c>
      <c r="E32637" s="2">
        <v>2781503</v>
      </c>
      <c r="F32637" s="4" t="e">
        <f>IF(B32637=#REF!,"",B32637)</f>
        <v>#REF!</v>
      </c>
    </row>
    <row r="32638" spans="1:6" ht="15.75" customHeight="1">
      <c r="A32638" s="15" t="s">
        <v>27348</v>
      </c>
      <c r="B32638" s="15" t="s">
        <v>27348</v>
      </c>
      <c r="C32638" s="15" t="s">
        <v>27234</v>
      </c>
      <c r="D32638" s="15" t="s">
        <v>27241</v>
      </c>
      <c r="E32638" s="2">
        <v>2654814</v>
      </c>
      <c r="F32638" s="4" t="e">
        <f>IF(B32638=#REF!,"",B32638)</f>
        <v>#REF!</v>
      </c>
    </row>
    <row r="32639" spans="1:6" ht="15.75" customHeight="1">
      <c r="A32639" s="15" t="s">
        <v>18916</v>
      </c>
      <c r="B32639" s="15" t="s">
        <v>18916</v>
      </c>
      <c r="C32639" s="15" t="s">
        <v>18862</v>
      </c>
      <c r="D32639" s="15" t="s">
        <v>18888</v>
      </c>
      <c r="E32639" s="2">
        <v>2758401</v>
      </c>
      <c r="F32639" s="4" t="str">
        <f>IF(B32639=B32638,"",B32639)</f>
        <v>Breda</v>
      </c>
    </row>
    <row r="32640" spans="1:6" ht="15.75" customHeight="1">
      <c r="A32640" s="16" t="str">
        <f ca="1">IFERROR(__xludf.DUMMYFUNCTION("GOOGLETRANSLATE(B27332,""en"",""pt"")"),"Břeclav")</f>
        <v>Břeclav</v>
      </c>
      <c r="B32640" s="20" t="s">
        <v>31999</v>
      </c>
      <c r="C32640" s="20" t="s">
        <v>5947</v>
      </c>
      <c r="D32640" s="20" t="s">
        <v>5982</v>
      </c>
      <c r="E32640" s="10">
        <v>3078773</v>
      </c>
      <c r="F32640" s="4" t="e">
        <f>IF(B32640=#REF!,"",B32640)</f>
        <v>#REF!</v>
      </c>
    </row>
    <row r="32641" spans="1:6" ht="15.75" customHeight="1">
      <c r="A32641" s="15" t="s">
        <v>1542</v>
      </c>
      <c r="B32641" s="15" t="s">
        <v>1542</v>
      </c>
      <c r="C32641" s="15" t="s">
        <v>1512</v>
      </c>
      <c r="D32641" s="15" t="s">
        <v>1513</v>
      </c>
      <c r="E32641" s="2">
        <v>2801106</v>
      </c>
      <c r="F32641" s="4" t="e">
        <f>IF(B32641=#REF!,"",B32641)</f>
        <v>#REF!</v>
      </c>
    </row>
    <row r="32642" spans="1:6" ht="15.75" customHeight="1">
      <c r="A32642" s="15" t="s">
        <v>21868</v>
      </c>
      <c r="B32642" s="15" t="s">
        <v>21868</v>
      </c>
      <c r="C32642" s="15" t="s">
        <v>21824</v>
      </c>
      <c r="D32642" s="15" t="s">
        <v>21840</v>
      </c>
      <c r="E32642" s="2">
        <v>683760</v>
      </c>
      <c r="F32642" s="4" t="e">
        <f>IF(B32642=#REF!,"",B32642)</f>
        <v>#REF!</v>
      </c>
    </row>
    <row r="32643" spans="1:6" ht="15.75" customHeight="1">
      <c r="A32643" s="15" t="s">
        <v>28086</v>
      </c>
      <c r="B32643" s="15" t="s">
        <v>28086</v>
      </c>
      <c r="C32643" s="15" t="s">
        <v>27788</v>
      </c>
      <c r="D32643" s="15" t="s">
        <v>27801</v>
      </c>
      <c r="E32643" s="2">
        <v>5330582</v>
      </c>
      <c r="F32643" s="4" t="str">
        <f>IF(B32643=B32642,"",B32643)</f>
        <v>Brea</v>
      </c>
    </row>
    <row r="32644" spans="1:6" ht="15.75" customHeight="1">
      <c r="A32644" s="16" t="str">
        <f ca="1">IFERROR(__xludf.DUMMYFUNCTION("GOOGLETRANSLATE(B23686,""en"",""pt"")"),"Brčko")</f>
        <v>Brčko</v>
      </c>
      <c r="B32644" s="20" t="s">
        <v>31253</v>
      </c>
      <c r="C32644" s="20" t="s">
        <v>1845</v>
      </c>
      <c r="D32644" s="20" t="s">
        <v>31253</v>
      </c>
      <c r="E32644" s="10">
        <v>3203521</v>
      </c>
      <c r="F32644" s="4" t="e">
        <f>IF(B32644=#REF!,"",B32644)</f>
        <v>#REF!</v>
      </c>
    </row>
    <row r="32645" spans="1:6" ht="15.75" customHeight="1">
      <c r="A32645" s="16" t="s">
        <v>21787</v>
      </c>
      <c r="B32645" s="15" t="s">
        <v>21787</v>
      </c>
      <c r="C32645" s="16" t="s">
        <v>21788</v>
      </c>
      <c r="D32645" s="16" t="s">
        <v>21787</v>
      </c>
      <c r="E32645" s="2">
        <v>2260535</v>
      </c>
      <c r="F32645" s="4" t="e">
        <f>IF(B32645=#REF!,"",B32645)</f>
        <v>#REF!</v>
      </c>
    </row>
    <row r="32646" spans="1:6" ht="15.75" customHeight="1">
      <c r="A32646" s="15" t="s">
        <v>28085</v>
      </c>
      <c r="B32646" s="15" t="s">
        <v>28085</v>
      </c>
      <c r="C32646" s="15" t="s">
        <v>27788</v>
      </c>
      <c r="D32646" s="15" t="s">
        <v>27801</v>
      </c>
      <c r="E32646" s="2">
        <v>5330567</v>
      </c>
      <c r="F32646" s="4" t="e">
        <f>IF(B32646=#REF!,"",B32646)</f>
        <v>#REF!</v>
      </c>
    </row>
    <row r="32647" spans="1:6" ht="15.75" customHeight="1">
      <c r="A32647" s="16" t="s">
        <v>8233</v>
      </c>
      <c r="B32647" s="15" t="s">
        <v>8233</v>
      </c>
      <c r="C32647" s="16" t="s">
        <v>8028</v>
      </c>
      <c r="D32647" s="16" t="s">
        <v>8034</v>
      </c>
      <c r="E32647" s="2">
        <v>2945024</v>
      </c>
      <c r="F32647" s="4" t="e">
        <f>IF(B32647=#REF!,"",B32647)</f>
        <v>#REF!</v>
      </c>
    </row>
    <row r="32648" spans="1:6" ht="15.75" customHeight="1">
      <c r="A32648" s="16" t="s">
        <v>1122</v>
      </c>
      <c r="B32648" s="15" t="s">
        <v>1123</v>
      </c>
      <c r="C32648" s="16" t="s">
        <v>1117</v>
      </c>
      <c r="D32648" s="16" t="s">
        <v>1124</v>
      </c>
      <c r="E32648" s="2">
        <v>2781520</v>
      </c>
      <c r="F32648" s="4" t="e">
        <f>IF(B32648=#REF!,"",B32648)</f>
        <v>#REF!</v>
      </c>
    </row>
    <row r="32649" spans="1:6" ht="15.75" customHeight="1">
      <c r="A32649" s="15" t="s">
        <v>22269</v>
      </c>
      <c r="B32649" s="15" t="s">
        <v>22269</v>
      </c>
      <c r="C32649" s="15" t="s">
        <v>22070</v>
      </c>
      <c r="D32649" s="15" t="s">
        <v>22135</v>
      </c>
      <c r="E32649" s="2">
        <v>2051523</v>
      </c>
      <c r="F32649" s="4" t="e">
        <f>IF(B32649=#REF!,"",B32649)</f>
        <v>#REF!</v>
      </c>
    </row>
    <row r="32650" spans="1:6" ht="15.75" customHeight="1">
      <c r="A32650" s="15" t="s">
        <v>23707</v>
      </c>
      <c r="B32650" s="15" t="s">
        <v>23707</v>
      </c>
      <c r="C32650" s="15" t="s">
        <v>23694</v>
      </c>
      <c r="D32650" s="15" t="s">
        <v>23708</v>
      </c>
      <c r="E32650" s="2">
        <v>3060972</v>
      </c>
      <c r="F32650" s="4" t="e">
        <f>IF(B32650=#REF!,"",B32650)</f>
        <v>#REF!</v>
      </c>
    </row>
    <row r="32651" spans="1:6" ht="15.75" customHeight="1">
      <c r="A32651" s="16" t="s">
        <v>22268</v>
      </c>
      <c r="B32651" s="15" t="s">
        <v>22268</v>
      </c>
      <c r="C32651" s="16" t="s">
        <v>22070</v>
      </c>
      <c r="D32651" s="16" t="s">
        <v>22127</v>
      </c>
      <c r="E32651" s="2">
        <v>571741</v>
      </c>
      <c r="F32651" s="4" t="e">
        <f>IF(B32651=#REF!,"",B32651)</f>
        <v>#REF!</v>
      </c>
    </row>
    <row r="32652" spans="1:6" ht="15.75" customHeight="1">
      <c r="A32652" s="16" t="s">
        <v>1541</v>
      </c>
      <c r="B32652" s="15" t="s">
        <v>1541</v>
      </c>
      <c r="C32652" s="16" t="s">
        <v>1512</v>
      </c>
      <c r="D32652" s="16" t="s">
        <v>1513</v>
      </c>
      <c r="E32652" s="2">
        <v>2801117</v>
      </c>
      <c r="F32652" s="4" t="str">
        <f>IF(B32652=B32651,"",B32652)</f>
        <v>Brasschaat</v>
      </c>
    </row>
    <row r="32653" spans="1:6" ht="15.75" customHeight="1">
      <c r="A32653" s="16" t="str">
        <f ca="1">IFERROR(__xludf.DUMMYFUNCTION("GOOGLETRANSLATE(B39826,""en"",""pt"")"),"Braşov")</f>
        <v>Braşov</v>
      </c>
      <c r="B32653" s="20" t="s">
        <v>35330</v>
      </c>
      <c r="C32653" s="20" t="s">
        <v>21824</v>
      </c>
      <c r="D32653" s="20" t="s">
        <v>35330</v>
      </c>
      <c r="E32653" s="10">
        <v>683844</v>
      </c>
      <c r="F32653" s="4" t="str">
        <f>IF(B32653=B32652,"",B32653)</f>
        <v>Braşov</v>
      </c>
    </row>
    <row r="32654" spans="1:6" ht="15.75" customHeight="1">
      <c r="A32654" s="16" t="str">
        <f ca="1">IFERROR(__xludf.DUMMYFUNCTION("GOOGLETRANSLATE(B25199,""en"",""pt"")"),"Brasília")</f>
        <v>Brasília</v>
      </c>
      <c r="B32654" s="20" t="s">
        <v>31704</v>
      </c>
      <c r="C32654" s="20" t="s">
        <v>1905</v>
      </c>
      <c r="D32654" s="20" t="s">
        <v>2153</v>
      </c>
      <c r="E32654" s="10">
        <v>3469058</v>
      </c>
      <c r="F32654" s="4" t="str">
        <f>IF(B32654=B32653,"",B32654)</f>
        <v>Brasília</v>
      </c>
    </row>
    <row r="32655" spans="1:6" ht="15.75" customHeight="1">
      <c r="A32655" s="15" t="s">
        <v>2151</v>
      </c>
      <c r="B32655" s="15" t="s">
        <v>2152</v>
      </c>
      <c r="C32655" s="15" t="s">
        <v>1905</v>
      </c>
      <c r="D32655" s="15" t="s">
        <v>2153</v>
      </c>
      <c r="E32655" s="2">
        <v>3469058</v>
      </c>
      <c r="F32655" s="4" t="e">
        <f>IF(B32655=#REF!,"",B32655)</f>
        <v>#REF!</v>
      </c>
    </row>
    <row r="32656" spans="1:6" ht="15.75" customHeight="1">
      <c r="A32656" s="15" t="s">
        <v>4002</v>
      </c>
      <c r="B32656" s="15" t="s">
        <v>4002</v>
      </c>
      <c r="C32656" s="15" t="s">
        <v>3975</v>
      </c>
      <c r="D32656" s="15" t="s">
        <v>3980</v>
      </c>
      <c r="E32656" s="2">
        <v>5907990</v>
      </c>
      <c r="F32656" s="4" t="e">
        <f>IF(B32656=#REF!,"",B32656)</f>
        <v>#REF!</v>
      </c>
    </row>
    <row r="32657" spans="1:6" ht="15.75" customHeight="1">
      <c r="A32657" s="15" t="s">
        <v>4001</v>
      </c>
      <c r="B32657" s="15" t="s">
        <v>4001</v>
      </c>
      <c r="C32657" s="15" t="s">
        <v>3975</v>
      </c>
      <c r="D32657" s="15" t="s">
        <v>3980</v>
      </c>
      <c r="E32657" s="2">
        <v>5907983</v>
      </c>
      <c r="F32657" s="4" t="str">
        <f>IF(B32657=B32656,"",B32657)</f>
        <v>Brant</v>
      </c>
    </row>
    <row r="32658" spans="1:6" ht="15.75" customHeight="1">
      <c r="A32658" s="16" t="str">
        <f ca="1">IFERROR(__xludf.DUMMYFUNCTION("GOOGLETRANSLATE(B27333,""en"",""pt"")"),"Braník")</f>
        <v>Braník</v>
      </c>
      <c r="B32658" s="20" t="s">
        <v>32000</v>
      </c>
      <c r="C32658" s="20" t="s">
        <v>5947</v>
      </c>
      <c r="D32658" s="20" t="s">
        <v>5959</v>
      </c>
      <c r="E32658" s="10">
        <v>3078833</v>
      </c>
      <c r="F32658" s="4" t="e">
        <f>IF(B32658=#REF!,"",B32658)</f>
        <v>#REF!</v>
      </c>
    </row>
    <row r="32659" spans="1:6" ht="15.75" customHeight="1">
      <c r="A32659" s="15" t="s">
        <v>21162</v>
      </c>
      <c r="B32659" s="15" t="s">
        <v>21162</v>
      </c>
      <c r="C32659" s="15" t="s">
        <v>21064</v>
      </c>
      <c r="D32659" s="15" t="s">
        <v>21131</v>
      </c>
      <c r="E32659" s="2">
        <v>3102677</v>
      </c>
      <c r="F32659" s="4" t="e">
        <f>IF(B32659=#REF!,"",B32659)</f>
        <v>#REF!</v>
      </c>
    </row>
    <row r="32660" spans="1:6" ht="15.75" customHeight="1">
      <c r="A32660" s="15" t="s">
        <v>28084</v>
      </c>
      <c r="B32660" s="15" t="s">
        <v>28084</v>
      </c>
      <c r="C32660" s="15" t="s">
        <v>27788</v>
      </c>
      <c r="D32660" s="15" t="s">
        <v>27876</v>
      </c>
      <c r="E32660" s="2">
        <v>5283054</v>
      </c>
      <c r="F32660" s="4" t="str">
        <f>IF(B32660=B32659,"",B32660)</f>
        <v>Branford</v>
      </c>
    </row>
    <row r="32661" spans="1:6" ht="15.75" customHeight="1">
      <c r="A32661" s="16" t="str">
        <f ca="1">IFERROR(__xludf.DUMMYFUNCTION("GOOGLETRANSLATE(B27334,""en"",""pt"")"),"Brandýs Nad Labem-Stará Boleslav")</f>
        <v>Brandýs Nad Labem-Stará Boleslav</v>
      </c>
      <c r="B32661" s="20" t="s">
        <v>32001</v>
      </c>
      <c r="C32661" s="20" t="s">
        <v>5947</v>
      </c>
      <c r="D32661" s="20" t="s">
        <v>5985</v>
      </c>
      <c r="E32661" s="10">
        <v>3078837</v>
      </c>
      <c r="F32661" s="4" t="e">
        <f>IF(B32661=#REF!,"",B32661)</f>
        <v>#REF!</v>
      </c>
    </row>
    <row r="32662" spans="1:6" ht="15.75" customHeight="1">
      <c r="A32662" s="15" t="s">
        <v>3999</v>
      </c>
      <c r="B32662" s="15" t="s">
        <v>3999</v>
      </c>
      <c r="C32662" s="15" t="s">
        <v>3975</v>
      </c>
      <c r="D32662" s="15" t="s">
        <v>4000</v>
      </c>
      <c r="E32662" s="2">
        <v>5907896</v>
      </c>
      <c r="F32662" s="4" t="str">
        <f>IF(B32662=B32661,"",B32662)</f>
        <v>Brandon</v>
      </c>
    </row>
    <row r="32663" spans="1:6" ht="15.75" customHeight="1">
      <c r="A32663" s="16" t="str">
        <f ca="1">IFERROR(__xludf.DUMMYFUNCTION("GOOGLETRANSLATE(B28230,""en"",""pt"")"),"Brandenburg e Der Havel")</f>
        <v>Brandenburg e Der Havel</v>
      </c>
      <c r="B32663" s="20" t="s">
        <v>32130</v>
      </c>
      <c r="C32663" s="20" t="s">
        <v>8028</v>
      </c>
      <c r="D32663" s="20" t="s">
        <v>8070</v>
      </c>
      <c r="E32663" s="10">
        <v>2945358</v>
      </c>
      <c r="F32663" s="4" t="str">
        <f>IF(B32663=B32662,"",B32663)</f>
        <v>Brandenburg an der Havel</v>
      </c>
    </row>
    <row r="32664" spans="1:6" ht="15.75" customHeight="1">
      <c r="A32664" s="16" t="s">
        <v>8070</v>
      </c>
      <c r="B32664" s="15" t="s">
        <v>8070</v>
      </c>
      <c r="C32664" s="16" t="s">
        <v>8028</v>
      </c>
      <c r="D32664" s="16" t="s">
        <v>8070</v>
      </c>
      <c r="E32664" s="2">
        <v>2945358</v>
      </c>
      <c r="F32664" s="4" t="str">
        <f>IF(B32664=B32663,"",B32664)</f>
        <v>Brandenburg</v>
      </c>
    </row>
    <row r="32665" spans="1:6" ht="15.75" customHeight="1">
      <c r="A32665" s="16" t="s">
        <v>5992</v>
      </c>
      <c r="B32665" s="15" t="s">
        <v>5993</v>
      </c>
      <c r="C32665" s="16" t="s">
        <v>5947</v>
      </c>
      <c r="D32665" s="16" t="s">
        <v>5985</v>
      </c>
      <c r="E32665" s="2">
        <v>3078837</v>
      </c>
      <c r="F32665" s="4" t="str">
        <f>IF(B32665=B32664,"",B32665)</f>
        <v>BrandÃ½s nad Labem-StarÃ¡ Boleslav</v>
      </c>
    </row>
    <row r="32666" spans="1:6" ht="15.75" customHeight="1">
      <c r="A32666" s="15" t="s">
        <v>5990</v>
      </c>
      <c r="B32666" s="15" t="s">
        <v>5991</v>
      </c>
      <c r="C32666" s="15" t="s">
        <v>5947</v>
      </c>
      <c r="D32666" s="15" t="s">
        <v>5959</v>
      </c>
      <c r="E32666" s="2">
        <v>3078833</v>
      </c>
      <c r="F32666" s="4" t="e">
        <f>IF(B32666=#REF!,"",B32666)</f>
        <v>#REF!</v>
      </c>
    </row>
    <row r="32667" spans="1:6" ht="15.75" customHeight="1">
      <c r="A32667" s="15" t="s">
        <v>8232</v>
      </c>
      <c r="B32667" s="15" t="s">
        <v>8232</v>
      </c>
      <c r="C32667" s="15" t="s">
        <v>8028</v>
      </c>
      <c r="D32667" s="15" t="s">
        <v>8034</v>
      </c>
      <c r="E32667" s="2">
        <v>2945474</v>
      </c>
      <c r="F32667" s="4" t="e">
        <f>IF(B32667=#REF!,"",B32667)</f>
        <v>#REF!</v>
      </c>
    </row>
    <row r="32668" spans="1:6" ht="15.75" customHeight="1">
      <c r="A32668" s="16" t="s">
        <v>3998</v>
      </c>
      <c r="B32668" s="15" t="s">
        <v>3998</v>
      </c>
      <c r="C32668" s="16" t="s">
        <v>3975</v>
      </c>
      <c r="D32668" s="16" t="s">
        <v>3980</v>
      </c>
      <c r="E32668" s="2">
        <v>5907364</v>
      </c>
      <c r="F32668" s="4" t="e">
        <f>IF(B32668=#REF!,"",B32668)</f>
        <v>#REF!</v>
      </c>
    </row>
    <row r="32669" spans="1:6" ht="15.75" customHeight="1">
      <c r="A32669" s="15" t="s">
        <v>27347</v>
      </c>
      <c r="B32669" s="15" t="s">
        <v>27347</v>
      </c>
      <c r="C32669" s="15" t="s">
        <v>27234</v>
      </c>
      <c r="D32669" s="15" t="s">
        <v>27241</v>
      </c>
      <c r="E32669" s="2">
        <v>2654927</v>
      </c>
      <c r="F32669" s="4" t="e">
        <f>IF(B32669=#REF!,"",B32669)</f>
        <v>#REF!</v>
      </c>
    </row>
    <row r="32670" spans="1:6" ht="15.75" customHeight="1">
      <c r="A32670" s="15" t="s">
        <v>23864</v>
      </c>
      <c r="B32670" s="15" t="s">
        <v>23864</v>
      </c>
      <c r="C32670" s="15" t="s">
        <v>23842</v>
      </c>
      <c r="D32670" s="15" t="s">
        <v>23855</v>
      </c>
      <c r="E32670" s="2">
        <v>1016181</v>
      </c>
      <c r="F32670" s="4" t="e">
        <f>IF(B32670=#REF!,"",B32670)</f>
        <v>#REF!</v>
      </c>
    </row>
    <row r="32671" spans="1:6" ht="15.75" customHeight="1">
      <c r="A32671" s="15" t="s">
        <v>8231</v>
      </c>
      <c r="B32671" s="15" t="s">
        <v>8231</v>
      </c>
      <c r="C32671" s="15" t="s">
        <v>8028</v>
      </c>
      <c r="D32671" s="15" t="s">
        <v>8029</v>
      </c>
      <c r="E32671" s="2">
        <v>2945542</v>
      </c>
      <c r="F32671" s="4" t="e">
        <f>IF(B32671=#REF!,"",B32671)</f>
        <v>#REF!</v>
      </c>
    </row>
    <row r="32672" spans="1:6" ht="15.75" customHeight="1">
      <c r="A32672" s="16" t="s">
        <v>8229</v>
      </c>
      <c r="B32672" s="15" t="s">
        <v>8230</v>
      </c>
      <c r="C32672" s="16" t="s">
        <v>8028</v>
      </c>
      <c r="D32672" s="16" t="s">
        <v>8034</v>
      </c>
      <c r="E32672" s="2">
        <v>2945545</v>
      </c>
      <c r="F32672" s="4" t="e">
        <f>IF(B32672=#REF!,"",B32672)</f>
        <v>#REF!</v>
      </c>
    </row>
    <row r="32673" spans="1:6" ht="15.75" customHeight="1">
      <c r="A32673" s="15" t="s">
        <v>17113</v>
      </c>
      <c r="B32673" s="15" t="s">
        <v>17113</v>
      </c>
      <c r="C32673" s="15" t="s">
        <v>17074</v>
      </c>
      <c r="D32673" s="15" t="s">
        <v>17114</v>
      </c>
      <c r="E32673" s="2">
        <v>2218478</v>
      </c>
      <c r="F32673" s="4" t="str">
        <f>IF(B32673=B32672,"",B32673)</f>
        <v>Brak</v>
      </c>
    </row>
    <row r="32674" spans="1:6" ht="15.75" customHeight="1">
      <c r="A32674" s="16" t="str">
        <f ca="1">IFERROR(__xludf.DUMMYFUNCTION("GOOGLETRANSLATE(B33779,""en"",""pt"")"),"Brājarājnagar")</f>
        <v>Brājarājnagar</v>
      </c>
      <c r="B32674" s="20" t="s">
        <v>33858</v>
      </c>
      <c r="C32674" s="20" t="s">
        <v>10178</v>
      </c>
      <c r="D32674" s="20" t="s">
        <v>10229</v>
      </c>
      <c r="E32674" s="10">
        <v>1275194</v>
      </c>
      <c r="F32674" s="4" t="e">
        <f>IF(B32674=#REF!,"",B32674)</f>
        <v>#REF!</v>
      </c>
    </row>
    <row r="32675" spans="1:6" ht="15.75" customHeight="1">
      <c r="A32675" s="15" t="s">
        <v>27346</v>
      </c>
      <c r="B32675" s="15" t="s">
        <v>27346</v>
      </c>
      <c r="C32675" s="15" t="s">
        <v>27234</v>
      </c>
      <c r="D32675" s="15" t="s">
        <v>27241</v>
      </c>
      <c r="E32675" s="2">
        <v>2654938</v>
      </c>
      <c r="F32675" s="4" t="e">
        <f>IF(B32675=#REF!,"",B32675)</f>
        <v>#REF!</v>
      </c>
    </row>
    <row r="32676" spans="1:6" ht="15.75" customHeight="1">
      <c r="A32676" s="16" t="s">
        <v>1539</v>
      </c>
      <c r="B32676" s="15" t="s">
        <v>1540</v>
      </c>
      <c r="C32676" s="16" t="s">
        <v>1512</v>
      </c>
      <c r="D32676" s="16" t="s">
        <v>1518</v>
      </c>
      <c r="E32676" s="2">
        <v>2801150</v>
      </c>
      <c r="F32676" s="4" t="e">
        <f>IF(B32676=#REF!,"",B32676)</f>
        <v>#REF!</v>
      </c>
    </row>
    <row r="32677" spans="1:6" ht="15.75" customHeight="1">
      <c r="A32677" s="16" t="s">
        <v>1537</v>
      </c>
      <c r="B32677" s="15" t="s">
        <v>1538</v>
      </c>
      <c r="C32677" s="16" t="s">
        <v>1512</v>
      </c>
      <c r="D32677" s="16" t="s">
        <v>1518</v>
      </c>
      <c r="E32677" s="2">
        <v>2801154</v>
      </c>
      <c r="F32677" s="4" t="str">
        <f>IF(B32677=B32676,"",B32677)</f>
        <v>Braine-l'Alleud</v>
      </c>
    </row>
    <row r="32678" spans="1:6" ht="15.75" customHeight="1">
      <c r="A32678" s="16" t="str">
        <f ca="1">IFERROR(__xludf.DUMMYFUNCTION("GOOGLETRANSLATE(B39827,""en"",""pt"")"),"Brăila")</f>
        <v>Brăila</v>
      </c>
      <c r="B32678" s="20" t="s">
        <v>35401</v>
      </c>
      <c r="C32678" s="20" t="s">
        <v>21824</v>
      </c>
      <c r="D32678" s="20" t="s">
        <v>35401</v>
      </c>
      <c r="E32678" s="10">
        <v>683902</v>
      </c>
      <c r="F32678" s="4" t="e">
        <f>IF(B32678=#REF!,"",B32678)</f>
        <v>#REF!</v>
      </c>
    </row>
    <row r="32679" spans="1:6" ht="15.75" customHeight="1">
      <c r="A32679" s="16" t="s">
        <v>10836</v>
      </c>
      <c r="B32679" s="15" t="s">
        <v>10836</v>
      </c>
      <c r="C32679" s="16" t="s">
        <v>10178</v>
      </c>
      <c r="D32679" s="16" t="s">
        <v>10229</v>
      </c>
      <c r="E32679" s="2">
        <v>1275198</v>
      </c>
      <c r="F32679" s="4" t="str">
        <f>IF(B32679=B32678,"",B32679)</f>
        <v>Brahmapur</v>
      </c>
    </row>
    <row r="32680" spans="1:6" ht="15.75" customHeight="1">
      <c r="A32680" s="16" t="str">
        <f ca="1">IFERROR(__xludf.DUMMYFUNCTION("GOOGLETRANSLATE(B25200,""en"",""pt"")"),"Bragança Paulista")</f>
        <v>Bragança Paulista</v>
      </c>
      <c r="B32680" s="20" t="s">
        <v>31705</v>
      </c>
      <c r="C32680" s="20" t="s">
        <v>1905</v>
      </c>
      <c r="D32680" s="20" t="s">
        <v>3354</v>
      </c>
      <c r="E32680" s="10">
        <v>3469092</v>
      </c>
      <c r="F32680" s="4" t="e">
        <f>IF(B32680=#REF!,"",B32680)</f>
        <v>#REF!</v>
      </c>
    </row>
    <row r="32681" spans="1:6" ht="15.75" customHeight="1">
      <c r="A32681" s="16" t="str">
        <f ca="1">IFERROR(__xludf.DUMMYFUNCTION("GOOGLETRANSLATE(B24381,""en"",""pt"")"),"Bragança")</f>
        <v>Bragança</v>
      </c>
      <c r="B32681" s="20" t="s">
        <v>31416</v>
      </c>
      <c r="C32681" s="20" t="s">
        <v>1905</v>
      </c>
      <c r="D32681" s="20" t="s">
        <v>31342</v>
      </c>
      <c r="E32681" s="10">
        <v>3405006</v>
      </c>
      <c r="F32681" s="4" t="str">
        <f>IF(B32681=B32680,"",B32681)</f>
        <v>Bragança</v>
      </c>
    </row>
    <row r="32682" spans="1:6" ht="15.75" customHeight="1">
      <c r="A32682" s="16" t="s">
        <v>2149</v>
      </c>
      <c r="B32682" s="15" t="s">
        <v>2150</v>
      </c>
      <c r="C32682" s="16" t="s">
        <v>1905</v>
      </c>
      <c r="D32682" s="16" t="s">
        <v>1914</v>
      </c>
      <c r="E32682" s="2">
        <v>3469092</v>
      </c>
      <c r="F32682" s="4" t="e">
        <f>IF(B32682=#REF!,"",B32682)</f>
        <v>#REF!</v>
      </c>
    </row>
    <row r="32683" spans="1:6" ht="15.75" customHeight="1">
      <c r="A32683" s="16" t="s">
        <v>2147</v>
      </c>
      <c r="B32683" s="15" t="s">
        <v>2148</v>
      </c>
      <c r="C32683" s="16" t="s">
        <v>1905</v>
      </c>
      <c r="D32683" s="16" t="s">
        <v>1906</v>
      </c>
      <c r="E32683" s="2">
        <v>3405006</v>
      </c>
      <c r="F32683" s="4" t="e">
        <f>IF(B32683=#REF!,"",B32683)</f>
        <v>#REF!</v>
      </c>
    </row>
    <row r="32684" spans="1:6" ht="15.75" customHeight="1">
      <c r="A32684" s="15" t="s">
        <v>21626</v>
      </c>
      <c r="B32684" s="15" t="s">
        <v>21626</v>
      </c>
      <c r="C32684" s="15" t="s">
        <v>21606</v>
      </c>
      <c r="D32684" s="15" t="s">
        <v>21626</v>
      </c>
      <c r="E32684" s="2">
        <v>2742032</v>
      </c>
      <c r="F32684" s="4" t="str">
        <f>IF(B32684=B32683,"",B32684)</f>
        <v>Braga</v>
      </c>
    </row>
    <row r="32685" spans="1:6" ht="15.75" customHeight="1">
      <c r="A32685" s="15" t="s">
        <v>21866</v>
      </c>
      <c r="B32685" s="15" t="s">
        <v>21867</v>
      </c>
      <c r="C32685" s="15" t="s">
        <v>21824</v>
      </c>
      <c r="D32685" s="15" t="s">
        <v>21867</v>
      </c>
      <c r="E32685" s="2">
        <v>683902</v>
      </c>
      <c r="F32685" s="4" t="e">
        <f>IF(B32685=#REF!,"",B32685)</f>
        <v>#REF!</v>
      </c>
    </row>
    <row r="32686" spans="1:6" ht="15.75" customHeight="1">
      <c r="A32686" s="15" t="s">
        <v>28083</v>
      </c>
      <c r="B32686" s="15" t="s">
        <v>28083</v>
      </c>
      <c r="C32686" s="15" t="s">
        <v>27788</v>
      </c>
      <c r="D32686" s="15" t="s">
        <v>27799</v>
      </c>
      <c r="E32686" s="2">
        <v>4885418</v>
      </c>
      <c r="F32686" s="4" t="e">
        <f>IF(B32686=#REF!,"",B32686)</f>
        <v>#REF!</v>
      </c>
    </row>
    <row r="32687" spans="1:6" ht="15.75" customHeight="1">
      <c r="A32687" s="16" t="s">
        <v>3997</v>
      </c>
      <c r="B32687" s="15" t="s">
        <v>3997</v>
      </c>
      <c r="C32687" s="16" t="s">
        <v>3975</v>
      </c>
      <c r="D32687" s="16" t="s">
        <v>3980</v>
      </c>
      <c r="E32687" s="2">
        <v>5907180</v>
      </c>
      <c r="F32687" s="4" t="e">
        <f>IF(B32687=#REF!,"",B32687)</f>
        <v>#REF!</v>
      </c>
    </row>
    <row r="32688" spans="1:6" ht="15.75" customHeight="1">
      <c r="A32688" s="15" t="s">
        <v>27345</v>
      </c>
      <c r="B32688" s="15" t="s">
        <v>27345</v>
      </c>
      <c r="C32688" s="15" t="s">
        <v>27234</v>
      </c>
      <c r="D32688" s="15" t="s">
        <v>27241</v>
      </c>
      <c r="E32688" s="2">
        <v>2654993</v>
      </c>
      <c r="F32688" s="4" t="e">
        <f>IF(B32688=#REF!,"",B32688)</f>
        <v>#REF!</v>
      </c>
    </row>
    <row r="32689" spans="1:6" ht="15.75" customHeight="1">
      <c r="A32689" s="15" t="s">
        <v>18545</v>
      </c>
      <c r="B32689" s="15" t="s">
        <v>18545</v>
      </c>
      <c r="C32689" s="15" t="s">
        <v>18546</v>
      </c>
      <c r="D32689" s="15" t="s">
        <v>18547</v>
      </c>
      <c r="E32689" s="2">
        <v>7266440</v>
      </c>
      <c r="F32689" s="4" t="e">
        <f>IF(B32689=#REF!,"",B32689)</f>
        <v>#REF!</v>
      </c>
    </row>
    <row r="32690" spans="1:6" ht="15.75" customHeight="1">
      <c r="A32690" s="16" t="s">
        <v>28082</v>
      </c>
      <c r="B32690" s="15" t="s">
        <v>28082</v>
      </c>
      <c r="C32690" s="16" t="s">
        <v>27788</v>
      </c>
      <c r="D32690" s="16" t="s">
        <v>5468</v>
      </c>
      <c r="E32690" s="2">
        <v>4148708</v>
      </c>
      <c r="F32690" s="4" t="e">
        <f>IF(B32690=#REF!,"",B32690)</f>
        <v>#REF!</v>
      </c>
    </row>
    <row r="32691" spans="1:6" ht="15.75" customHeight="1">
      <c r="A32691" s="15" t="s">
        <v>21864</v>
      </c>
      <c r="B32691" s="15" t="s">
        <v>21864</v>
      </c>
      <c r="C32691" s="15" t="s">
        <v>21824</v>
      </c>
      <c r="D32691" s="15" t="s">
        <v>21865</v>
      </c>
      <c r="E32691" s="2">
        <v>683974</v>
      </c>
      <c r="F32691" s="4" t="str">
        <f>IF(B32691=B32690,"",B32691)</f>
        <v>Brad</v>
      </c>
    </row>
    <row r="32692" spans="1:6" ht="15.75" customHeight="1">
      <c r="A32692" s="16" t="str">
        <f ca="1">IFERROR(__xludf.DUMMYFUNCTION("GOOGLETRANSLATE(B25201,""en"",""pt"")"),"Braço do Norte")</f>
        <v>Braço do Norte</v>
      </c>
      <c r="B32692" s="20" t="s">
        <v>31706</v>
      </c>
      <c r="C32692" s="20" t="s">
        <v>1905</v>
      </c>
      <c r="D32692" s="20" t="s">
        <v>2020</v>
      </c>
      <c r="E32692" s="10">
        <v>3469115</v>
      </c>
      <c r="F32692" s="4" t="e">
        <f>IF(B32692=#REF!,"",B32692)</f>
        <v>#REF!</v>
      </c>
    </row>
    <row r="32693" spans="1:6" ht="15.75" customHeight="1">
      <c r="A32693" s="15" t="s">
        <v>27344</v>
      </c>
      <c r="B32693" s="15" t="s">
        <v>27344</v>
      </c>
      <c r="C32693" s="15" t="s">
        <v>27234</v>
      </c>
      <c r="D32693" s="15" t="s">
        <v>27241</v>
      </c>
      <c r="E32693" s="2">
        <v>2655009</v>
      </c>
      <c r="F32693" s="4" t="e">
        <f>IF(B32693=#REF!,"",B32693)</f>
        <v>#REF!</v>
      </c>
    </row>
    <row r="32694" spans="1:6" ht="15.75" customHeight="1">
      <c r="A32694" s="16" t="s">
        <v>8228</v>
      </c>
      <c r="B32694" s="15" t="s">
        <v>8228</v>
      </c>
      <c r="C32694" s="16" t="s">
        <v>8028</v>
      </c>
      <c r="D32694" s="16" t="s">
        <v>8031</v>
      </c>
      <c r="E32694" s="2">
        <v>2945591</v>
      </c>
      <c r="F32694" s="4" t="e">
        <f>IF(B32694=#REF!,"",B32694)</f>
        <v>#REF!</v>
      </c>
    </row>
    <row r="32695" spans="1:6" ht="15.75" customHeight="1">
      <c r="A32695" s="16" t="s">
        <v>912</v>
      </c>
      <c r="B32695" s="15" t="s">
        <v>912</v>
      </c>
      <c r="C32695" s="16" t="s">
        <v>885</v>
      </c>
      <c r="D32695" s="16" t="s">
        <v>910</v>
      </c>
      <c r="E32695" s="2">
        <v>6943558</v>
      </c>
      <c r="F32695" s="4" t="str">
        <f>IF(B32695=B32694,"",B32695)</f>
        <v>Bracken Ridge</v>
      </c>
    </row>
    <row r="32696" spans="1:6" ht="15.75" customHeight="1">
      <c r="A32696" s="15" t="s">
        <v>25099</v>
      </c>
      <c r="B32696" s="15" t="s">
        <v>25099</v>
      </c>
      <c r="C32696" s="15" t="s">
        <v>25077</v>
      </c>
      <c r="D32696" s="15" t="s">
        <v>25100</v>
      </c>
      <c r="E32696" s="2">
        <v>6957898</v>
      </c>
      <c r="F32696" s="4" t="str">
        <f>IF(B32696=B32695,"",B32696)</f>
        <v>Bräcke</v>
      </c>
    </row>
    <row r="32697" spans="1:6" ht="15.75" customHeight="1">
      <c r="A32697" s="15" t="s">
        <v>21862</v>
      </c>
      <c r="B32697" s="15" t="s">
        <v>21863</v>
      </c>
      <c r="C32697" s="15" t="s">
        <v>21824</v>
      </c>
      <c r="D32697" s="15" t="s">
        <v>21863</v>
      </c>
      <c r="E32697" s="2">
        <v>683844</v>
      </c>
      <c r="F32697" s="4" t="str">
        <f>IF(B32697=B32696,"",B32697)</f>
        <v>BraÅŸov</v>
      </c>
    </row>
    <row r="32698" spans="1:6" ht="15.75" customHeight="1">
      <c r="A32698" s="16" t="s">
        <v>2145</v>
      </c>
      <c r="B32698" s="15" t="s">
        <v>2146</v>
      </c>
      <c r="C32698" s="16" t="s">
        <v>1905</v>
      </c>
      <c r="D32698" s="16" t="s">
        <v>2020</v>
      </c>
      <c r="E32698" s="2">
        <v>3469115</v>
      </c>
      <c r="F32698" s="4" t="str">
        <f>IF(B32698=B32697,"",B32698)</f>
        <v>BraÃ§o do Norte</v>
      </c>
    </row>
    <row r="32699" spans="1:6" ht="15.75" customHeight="1">
      <c r="A32699" s="15" t="s">
        <v>8226</v>
      </c>
      <c r="B32699" s="15" t="s">
        <v>8227</v>
      </c>
      <c r="C32699" s="15" t="s">
        <v>8028</v>
      </c>
      <c r="D32699" s="15" t="s">
        <v>8029</v>
      </c>
      <c r="E32699" s="2">
        <v>2943320</v>
      </c>
      <c r="F32699" s="4" t="str">
        <f>IF(B32699=B32698,"",B32699)</f>
        <v>BrÃ¼hl</v>
      </c>
    </row>
    <row r="32700" spans="1:6" ht="15.75" customHeight="1">
      <c r="A32700" s="16" t="s">
        <v>8224</v>
      </c>
      <c r="B32700" s="15" t="s">
        <v>8225</v>
      </c>
      <c r="C32700" s="16" t="s">
        <v>8028</v>
      </c>
      <c r="D32700" s="16" t="s">
        <v>8029</v>
      </c>
      <c r="E32700" s="2">
        <v>2943336</v>
      </c>
      <c r="F32700" s="4" t="str">
        <f>IF(B32700=B32699,"",B32700)</f>
        <v>BrÃ¼ggen</v>
      </c>
    </row>
    <row r="32701" spans="1:6" ht="15.75" customHeight="1">
      <c r="A32701" s="15" t="s">
        <v>1852</v>
      </c>
      <c r="B32701" s="15" t="s">
        <v>1853</v>
      </c>
      <c r="C32701" s="15" t="s">
        <v>1845</v>
      </c>
      <c r="D32701" s="15" t="s">
        <v>1853</v>
      </c>
      <c r="E32701" s="2">
        <v>3203521</v>
      </c>
      <c r="F32701" s="4" t="str">
        <f>IF(B32701=B32700,"",B32701)</f>
        <v>BrÄko</v>
      </c>
    </row>
    <row r="32702" spans="1:6" ht="15.75" customHeight="1">
      <c r="A32702" s="16" t="s">
        <v>10834</v>
      </c>
      <c r="B32702" s="15" t="s">
        <v>10835</v>
      </c>
      <c r="C32702" s="16" t="s">
        <v>10178</v>
      </c>
      <c r="D32702" s="16" t="s">
        <v>10229</v>
      </c>
      <c r="E32702" s="2">
        <v>1275194</v>
      </c>
      <c r="F32702" s="4" t="str">
        <f>IF(B32702=B32701,"",B32702)</f>
        <v>BrÄjarÄjnagar</v>
      </c>
    </row>
    <row r="32703" spans="1:6" ht="15.75" customHeight="1">
      <c r="A32703" s="16" t="s">
        <v>7187</v>
      </c>
      <c r="B32703" s="15" t="s">
        <v>7188</v>
      </c>
      <c r="C32703" s="16" t="s">
        <v>7052</v>
      </c>
      <c r="D32703" s="16" t="s">
        <v>7058</v>
      </c>
      <c r="E32703" s="2">
        <v>3030257</v>
      </c>
      <c r="F32703" s="4" t="e">
        <f>IF(B32703=#REF!,"",B32703)</f>
        <v>#REF!</v>
      </c>
    </row>
    <row r="32704" spans="1:6" ht="15.75" customHeight="1">
      <c r="A32704" s="15" t="s">
        <v>14991</v>
      </c>
      <c r="B32704" s="15" t="s">
        <v>14992</v>
      </c>
      <c r="C32704" s="15" t="s">
        <v>14891</v>
      </c>
      <c r="D32704" s="15" t="s">
        <v>14911</v>
      </c>
      <c r="E32704" s="2">
        <v>3181631</v>
      </c>
      <c r="F32704" s="4" t="str">
        <f>IF(B32704=B32703,"",B32704)</f>
        <v>Bra</v>
      </c>
    </row>
    <row r="32705" spans="1:6" ht="15.75" customHeight="1">
      <c r="A32705" s="16" t="str">
        <f ca="1">IFERROR(__xludf.DUMMYFUNCTION("GOOGLETRANSLATE(B42041,""en"",""pt"")"),"BOZYAZI")</f>
        <v>BOZYAZI</v>
      </c>
      <c r="B32705" s="20" t="s">
        <v>35896</v>
      </c>
      <c r="C32705" s="20" t="s">
        <v>26201</v>
      </c>
      <c r="D32705" s="20" t="s">
        <v>26315</v>
      </c>
      <c r="E32705" s="10">
        <v>320552</v>
      </c>
      <c r="F32705" s="4" t="str">
        <f>IF(B32705=B32704,"",B32705)</f>
        <v>Bozyazı</v>
      </c>
    </row>
    <row r="32706" spans="1:6" ht="15.75" customHeight="1">
      <c r="A32706" s="16" t="s">
        <v>26417</v>
      </c>
      <c r="B32706" s="15" t="s">
        <v>26418</v>
      </c>
      <c r="C32706" s="16" t="s">
        <v>26201</v>
      </c>
      <c r="D32706" s="16" t="s">
        <v>26315</v>
      </c>
      <c r="E32706" s="2">
        <v>320552</v>
      </c>
      <c r="F32706" s="4" t="str">
        <f>IF(B32706=B32705,"",B32706)</f>
        <v>BozyazÄ±</v>
      </c>
    </row>
    <row r="32707" spans="1:6" ht="15.75" customHeight="1">
      <c r="A32707" s="16" t="str">
        <f ca="1">IFERROR(__xludf.DUMMYFUNCTION("GOOGLETRANSLATE(B42042,""en"",""pt"")"),"Bozüyük")</f>
        <v>Bozüyük</v>
      </c>
      <c r="B32707" s="20" t="s">
        <v>35897</v>
      </c>
      <c r="C32707" s="20" t="s">
        <v>26201</v>
      </c>
      <c r="D32707" s="20" t="s">
        <v>26403</v>
      </c>
      <c r="E32707" s="10">
        <v>320557</v>
      </c>
      <c r="F32707" s="4" t="e">
        <f>IF(B32707=#REF!,"",B32707)</f>
        <v>#REF!</v>
      </c>
    </row>
    <row r="32708" spans="1:6" ht="15.75" customHeight="1">
      <c r="A32708" s="15" t="s">
        <v>26416</v>
      </c>
      <c r="B32708" s="15" t="s">
        <v>26416</v>
      </c>
      <c r="C32708" s="15" t="s">
        <v>26201</v>
      </c>
      <c r="D32708" s="15" t="s">
        <v>26289</v>
      </c>
      <c r="E32708" s="2">
        <v>320581</v>
      </c>
      <c r="F32708" s="4" t="e">
        <f>IF(B32708=#REF!,"",B32708)</f>
        <v>#REF!</v>
      </c>
    </row>
    <row r="32709" spans="1:6" ht="15.75" customHeight="1">
      <c r="A32709" s="15" t="s">
        <v>4283</v>
      </c>
      <c r="B32709" s="15" t="s">
        <v>4283</v>
      </c>
      <c r="C32709" s="15" t="s">
        <v>4264</v>
      </c>
      <c r="D32709" s="15" t="s">
        <v>4284</v>
      </c>
      <c r="E32709" s="2">
        <v>2387546</v>
      </c>
      <c r="F32709" s="4" t="e">
        <f>IF(B32709=#REF!,"",B32709)</f>
        <v>#REF!</v>
      </c>
    </row>
    <row r="32710" spans="1:6" ht="15.75" customHeight="1">
      <c r="A32710" s="15" t="s">
        <v>4558</v>
      </c>
      <c r="B32710" s="15" t="s">
        <v>4558</v>
      </c>
      <c r="C32710" s="15" t="s">
        <v>4487</v>
      </c>
      <c r="D32710" s="15" t="s">
        <v>4501</v>
      </c>
      <c r="E32710" s="2">
        <v>1816234</v>
      </c>
      <c r="F32710" s="4" t="e">
        <f>IF(B32710=#REF!,"",B32710)</f>
        <v>#REF!</v>
      </c>
    </row>
    <row r="32711" spans="1:6" ht="15.75" customHeight="1">
      <c r="A32711" s="15" t="s">
        <v>28081</v>
      </c>
      <c r="B32711" s="15" t="s">
        <v>28081</v>
      </c>
      <c r="C32711" s="15" t="s">
        <v>27788</v>
      </c>
      <c r="D32711" s="15" t="s">
        <v>3706</v>
      </c>
      <c r="E32711" s="2">
        <v>5641727</v>
      </c>
      <c r="F32711" s="4" t="str">
        <f>IF(B32711=B32710,"",B32711)</f>
        <v>Bozeman</v>
      </c>
    </row>
    <row r="32712" spans="1:6" ht="15.75" customHeight="1">
      <c r="A32712" s="15" t="s">
        <v>26414</v>
      </c>
      <c r="B32712" s="15" t="s">
        <v>26415</v>
      </c>
      <c r="C32712" s="15" t="s">
        <v>26201</v>
      </c>
      <c r="D32712" s="15" t="s">
        <v>26403</v>
      </c>
      <c r="E32712" s="2">
        <v>320557</v>
      </c>
      <c r="F32712" s="4" t="e">
        <f>IF(B32712=#REF!,"",B32712)</f>
        <v>#REF!</v>
      </c>
    </row>
    <row r="32713" spans="1:6" ht="15.75" customHeight="1">
      <c r="A32713" s="16" t="s">
        <v>30516</v>
      </c>
      <c r="B32713" s="15" t="s">
        <v>30517</v>
      </c>
      <c r="C32713" s="16" t="s">
        <v>30502</v>
      </c>
      <c r="D32713" s="16" t="s">
        <v>30518</v>
      </c>
      <c r="E32713" s="2">
        <v>1217734</v>
      </c>
      <c r="F32713" s="4" t="e">
        <f>IF(B32713=#REF!,"",B32713)</f>
        <v>#REF!</v>
      </c>
    </row>
    <row r="32714" spans="1:6" ht="15.75" customHeight="1">
      <c r="A32714" s="16" t="s">
        <v>13868</v>
      </c>
      <c r="B32714" s="15" t="s">
        <v>13868</v>
      </c>
      <c r="C32714" s="16" t="s">
        <v>13800</v>
      </c>
      <c r="D32714" s="16" t="s">
        <v>13816</v>
      </c>
      <c r="E32714" s="2">
        <v>1648082</v>
      </c>
      <c r="F32714" s="4" t="e">
        <f>IF(B32714=#REF!,"",B32714)</f>
        <v>#REF!</v>
      </c>
    </row>
    <row r="32715" spans="1:6" ht="15.75" customHeight="1">
      <c r="A32715" s="15" t="s">
        <v>13867</v>
      </c>
      <c r="B32715" s="15" t="s">
        <v>13867</v>
      </c>
      <c r="C32715" s="15" t="s">
        <v>13800</v>
      </c>
      <c r="D32715" s="15" t="s">
        <v>13803</v>
      </c>
      <c r="E32715" s="2">
        <v>1648084</v>
      </c>
      <c r="F32715" s="4" t="e">
        <f>IF(B32715=#REF!,"",B32715)</f>
        <v>#REF!</v>
      </c>
    </row>
    <row r="32716" spans="1:6" ht="15.75" customHeight="1">
      <c r="A32716" s="16" t="s">
        <v>28080</v>
      </c>
      <c r="B32716" s="15" t="s">
        <v>28080</v>
      </c>
      <c r="C32716" s="16" t="s">
        <v>27788</v>
      </c>
      <c r="D32716" s="16" t="s">
        <v>5468</v>
      </c>
      <c r="E32716" s="2">
        <v>4148677</v>
      </c>
      <c r="F32716" s="4" t="e">
        <f>IF(B32716=#REF!,"",B32716)</f>
        <v>#REF!</v>
      </c>
    </row>
    <row r="32717" spans="1:6" ht="15.75" customHeight="1">
      <c r="A32717" s="16" t="s">
        <v>28079</v>
      </c>
      <c r="B32717" s="15" t="s">
        <v>28079</v>
      </c>
      <c r="C32717" s="16" t="s">
        <v>27788</v>
      </c>
      <c r="D32717" s="16" t="s">
        <v>27801</v>
      </c>
      <c r="E32717" s="2">
        <v>5330413</v>
      </c>
      <c r="F32717" s="4" t="e">
        <f>IF(B32717=#REF!,"",B32717)</f>
        <v>#REF!</v>
      </c>
    </row>
    <row r="32718" spans="1:6" ht="15.75" customHeight="1">
      <c r="A32718" s="15" t="s">
        <v>5793</v>
      </c>
      <c r="B32718" s="15" t="s">
        <v>5793</v>
      </c>
      <c r="C32718" s="15" t="s">
        <v>5764</v>
      </c>
      <c r="D32718" s="15" t="s">
        <v>5768</v>
      </c>
      <c r="E32718" s="2">
        <v>6956647</v>
      </c>
      <c r="F32718" s="4" t="e">
        <f>IF(B32718=#REF!,"",B32718)</f>
        <v>#REF!</v>
      </c>
    </row>
    <row r="32719" spans="1:6" ht="15.75" customHeight="1">
      <c r="A32719" s="15" t="s">
        <v>26919</v>
      </c>
      <c r="B32719" s="15" t="s">
        <v>26919</v>
      </c>
      <c r="C32719" s="15" t="s">
        <v>26870</v>
      </c>
      <c r="D32719" s="15" t="s">
        <v>26905</v>
      </c>
      <c r="E32719" s="2">
        <v>711515</v>
      </c>
      <c r="F32719" s="4" t="e">
        <f>IF(B32719=#REF!,"",B32719)</f>
        <v>#REF!</v>
      </c>
    </row>
    <row r="32720" spans="1:6" ht="15.75" customHeight="1">
      <c r="A32720" s="15" t="s">
        <v>26413</v>
      </c>
      <c r="B32720" s="15" t="s">
        <v>26413</v>
      </c>
      <c r="C32720" s="15" t="s">
        <v>26201</v>
      </c>
      <c r="D32720" s="15" t="s">
        <v>3489</v>
      </c>
      <c r="E32720" s="2">
        <v>750468</v>
      </c>
      <c r="F32720" s="4" t="e">
        <f>IF(B32720=#REF!,"",B32720)</f>
        <v>#REF!</v>
      </c>
    </row>
    <row r="32721" spans="1:6" ht="15.75" customHeight="1">
      <c r="A32721" s="15" t="s">
        <v>18915</v>
      </c>
      <c r="B32721" s="15" t="s">
        <v>18915</v>
      </c>
      <c r="C32721" s="15" t="s">
        <v>18862</v>
      </c>
      <c r="D32721" s="15" t="s">
        <v>18888</v>
      </c>
      <c r="E32721" s="2">
        <v>2758460</v>
      </c>
      <c r="F32721" s="4" t="e">
        <f>IF(B32721=#REF!,"",B32721)</f>
        <v>#REF!</v>
      </c>
    </row>
    <row r="32722" spans="1:6" ht="15.75" customHeight="1">
      <c r="A32722" s="16" t="s">
        <v>27343</v>
      </c>
      <c r="B32722" s="15" t="s">
        <v>27343</v>
      </c>
      <c r="C32722" s="16" t="s">
        <v>27234</v>
      </c>
      <c r="D32722" s="16" t="s">
        <v>27241</v>
      </c>
      <c r="E32722" s="2">
        <v>6620355</v>
      </c>
      <c r="F32722" s="4" t="e">
        <f>IF(B32722=#REF!,"",B32722)</f>
        <v>#REF!</v>
      </c>
    </row>
    <row r="32723" spans="1:6" ht="15.75" customHeight="1">
      <c r="A32723" s="16" t="s">
        <v>28078</v>
      </c>
      <c r="B32723" s="15" t="s">
        <v>28078</v>
      </c>
      <c r="C32723" s="16" t="s">
        <v>27788</v>
      </c>
      <c r="D32723" s="16" t="s">
        <v>27909</v>
      </c>
      <c r="E32723" s="2">
        <v>4285268</v>
      </c>
      <c r="F32723" s="4" t="e">
        <f>IF(B32723=#REF!,"",B32723)</f>
        <v>#REF!</v>
      </c>
    </row>
    <row r="32724" spans="1:6" ht="15.75" customHeight="1">
      <c r="A32724" s="15" t="s">
        <v>28077</v>
      </c>
      <c r="B32724" s="15" t="s">
        <v>28077</v>
      </c>
      <c r="C32724" s="15" t="s">
        <v>27788</v>
      </c>
      <c r="D32724" s="15" t="s">
        <v>17061</v>
      </c>
      <c r="E32724" s="2">
        <v>4349159</v>
      </c>
      <c r="F32724" s="4" t="e">
        <f>IF(B32724=#REF!,"",B32724)</f>
        <v>#REF!</v>
      </c>
    </row>
    <row r="32725" spans="1:6" ht="15.75" customHeight="1">
      <c r="A32725" s="16" t="s">
        <v>14990</v>
      </c>
      <c r="B32725" s="15" t="s">
        <v>14990</v>
      </c>
      <c r="C32725" s="16" t="s">
        <v>14891</v>
      </c>
      <c r="D32725" s="16" t="s">
        <v>14894</v>
      </c>
      <c r="E32725" s="2">
        <v>3181641</v>
      </c>
      <c r="F32725" s="4" t="e">
        <f>IF(B32725=#REF!,"",B32725)</f>
        <v>#REF!</v>
      </c>
    </row>
    <row r="32726" spans="1:6" ht="15.75" customHeight="1">
      <c r="A32726" s="15" t="s">
        <v>18570</v>
      </c>
      <c r="B32726" s="15" t="s">
        <v>18570</v>
      </c>
      <c r="C32726" s="15" t="s">
        <v>18551</v>
      </c>
      <c r="D32726" s="15" t="s">
        <v>18568</v>
      </c>
      <c r="E32726" s="2">
        <v>2553751</v>
      </c>
      <c r="F32726" s="4" t="e">
        <f>IF(B32726=#REF!,"",B32726)</f>
        <v>#REF!</v>
      </c>
    </row>
    <row r="32727" spans="1:6" ht="15.75" customHeight="1">
      <c r="A32727" s="15" t="s">
        <v>1536</v>
      </c>
      <c r="B32727" s="15" t="s">
        <v>1536</v>
      </c>
      <c r="C32727" s="15" t="s">
        <v>1512</v>
      </c>
      <c r="D32727" s="15" t="s">
        <v>1518</v>
      </c>
      <c r="E32727" s="2">
        <v>2801226</v>
      </c>
      <c r="F32727" s="4" t="str">
        <f>IF(B32727=B32726,"",B32727)</f>
        <v>Boussu</v>
      </c>
    </row>
    <row r="32728" spans="1:6" ht="15.75" customHeight="1">
      <c r="A32728" s="16" t="str">
        <f ca="1">IFERROR(__xludf.DUMMYFUNCTION("GOOGLETRANSLATE(B24001,""en"",""pt"")"),"Boussé")</f>
        <v>Boussé</v>
      </c>
      <c r="B32728" s="20" t="s">
        <v>3775</v>
      </c>
      <c r="C32728" s="20" t="s">
        <v>3768</v>
      </c>
      <c r="D32728" s="20" t="s">
        <v>3777</v>
      </c>
      <c r="E32728" s="10">
        <v>2361845</v>
      </c>
      <c r="F32728" s="4" t="str">
        <f>IF(B32728=B32727,"",B32728)</f>
        <v>Boussé</v>
      </c>
    </row>
    <row r="32729" spans="1:6" ht="15.75" customHeight="1">
      <c r="A32729" s="15" t="s">
        <v>3775</v>
      </c>
      <c r="B32729" s="15" t="s">
        <v>3776</v>
      </c>
      <c r="C32729" s="15" t="s">
        <v>3768</v>
      </c>
      <c r="D32729" s="15" t="s">
        <v>3777</v>
      </c>
      <c r="E32729" s="2">
        <v>2361845</v>
      </c>
      <c r="F32729" s="4" t="e">
        <f>IF(B32729=#REF!,"",B32729)</f>
        <v>#REF!</v>
      </c>
    </row>
    <row r="32730" spans="1:6" ht="15.75" customHeight="1">
      <c r="A32730" s="16" t="s">
        <v>27342</v>
      </c>
      <c r="B32730" s="15" t="s">
        <v>27342</v>
      </c>
      <c r="C32730" s="16" t="s">
        <v>27234</v>
      </c>
      <c r="D32730" s="16" t="s">
        <v>27241</v>
      </c>
      <c r="E32730" s="2">
        <v>2655095</v>
      </c>
      <c r="F32730" s="4" t="e">
        <f>IF(B32730=#REF!,"",B32730)</f>
        <v>#REF!</v>
      </c>
    </row>
    <row r="32731" spans="1:6" ht="15.75" customHeight="1">
      <c r="A32731" s="16" t="s">
        <v>7186</v>
      </c>
      <c r="B32731" s="15" t="s">
        <v>7186</v>
      </c>
      <c r="C32731" s="16" t="s">
        <v>7052</v>
      </c>
      <c r="D32731" s="16" t="s">
        <v>7053</v>
      </c>
      <c r="E32731" s="2">
        <v>6615539</v>
      </c>
      <c r="F32731" s="4" t="e">
        <f>IF(B32731=#REF!,"",B32731)</f>
        <v>#REF!</v>
      </c>
    </row>
    <row r="32732" spans="1:6" ht="15.75" customHeight="1">
      <c r="A32732" s="15" t="s">
        <v>7185</v>
      </c>
      <c r="B32732" s="15" t="s">
        <v>7185</v>
      </c>
      <c r="C32732" s="15" t="s">
        <v>7052</v>
      </c>
      <c r="D32732" s="15" t="s">
        <v>7053</v>
      </c>
      <c r="E32732" s="2">
        <v>3030960</v>
      </c>
      <c r="F32732" s="4" t="str">
        <f>IF(B32732=B32731,"",B32732)</f>
        <v>Bourgoin</v>
      </c>
    </row>
    <row r="32733" spans="1:6" ht="15.75" customHeight="1">
      <c r="A32733" s="16" t="str">
        <f ca="1">IFERROR(__xludf.DUMMYFUNCTION("GOOGLETRANSLATE(B30204,""en"",""pt"")"),"Valência de Bourg-Lès")</f>
        <v>Valência de Bourg-Lès</v>
      </c>
      <c r="B32733" s="20" t="s">
        <v>32638</v>
      </c>
      <c r="C32733" s="20" t="s">
        <v>7052</v>
      </c>
      <c r="D32733" s="20" t="s">
        <v>32532</v>
      </c>
      <c r="E32733" s="10">
        <v>3030985</v>
      </c>
      <c r="F32733" s="4" t="e">
        <f>IF(B32733=#REF!,"",B32733)</f>
        <v>#REF!</v>
      </c>
    </row>
    <row r="32734" spans="1:6" ht="15.75" customHeight="1">
      <c r="A32734" s="16" t="s">
        <v>7183</v>
      </c>
      <c r="B32734" s="15" t="s">
        <v>7184</v>
      </c>
      <c r="C32734" s="16" t="s">
        <v>7052</v>
      </c>
      <c r="D32734" s="16" t="s">
        <v>7058</v>
      </c>
      <c r="E32734" s="2">
        <v>3030990</v>
      </c>
      <c r="F32734" s="4" t="str">
        <f>IF(B32734=B32733,"",B32734)</f>
        <v>Bourg-la-Reine</v>
      </c>
    </row>
    <row r="32735" spans="1:6" ht="15.75" customHeight="1">
      <c r="A32735" s="16" t="s">
        <v>7181</v>
      </c>
      <c r="B32735" s="15" t="s">
        <v>7182</v>
      </c>
      <c r="C32735" s="16" t="s">
        <v>7052</v>
      </c>
      <c r="D32735" s="16" t="s">
        <v>7053</v>
      </c>
      <c r="E32735" s="2">
        <v>3030985</v>
      </c>
      <c r="F32735" s="4" t="e">
        <f>IF(B32735=#REF!,"",B32735)</f>
        <v>#REF!</v>
      </c>
    </row>
    <row r="32736" spans="1:6" ht="15.75" customHeight="1">
      <c r="A32736" s="15" t="s">
        <v>7180</v>
      </c>
      <c r="B32736" s="15" t="s">
        <v>7180</v>
      </c>
      <c r="C32736" s="15" t="s">
        <v>7052</v>
      </c>
      <c r="D32736" s="15" t="s">
        <v>3813</v>
      </c>
      <c r="E32736" s="2">
        <v>3031005</v>
      </c>
      <c r="F32736" s="4" t="e">
        <f>IF(B32736=#REF!,"",B32736)</f>
        <v>#REF!</v>
      </c>
    </row>
    <row r="32737" spans="1:6" ht="15.75" customHeight="1">
      <c r="A32737" s="16" t="s">
        <v>7179</v>
      </c>
      <c r="B32737" s="15" t="s">
        <v>7179</v>
      </c>
      <c r="C32737" s="16" t="s">
        <v>7052</v>
      </c>
      <c r="D32737" s="16" t="s">
        <v>7053</v>
      </c>
      <c r="E32737" s="2">
        <v>3031009</v>
      </c>
      <c r="F32737" s="4" t="e">
        <f>IF(B32737=#REF!,"",B32737)</f>
        <v>#REF!</v>
      </c>
    </row>
    <row r="32738" spans="1:6" ht="15.75" customHeight="1">
      <c r="A32738" s="16" t="s">
        <v>28076</v>
      </c>
      <c r="B32738" s="15" t="s">
        <v>28076</v>
      </c>
      <c r="C32738" s="16" t="s">
        <v>27788</v>
      </c>
      <c r="D32738" s="16" t="s">
        <v>27799</v>
      </c>
      <c r="E32738" s="2">
        <v>4885342</v>
      </c>
      <c r="F32738" s="4" t="e">
        <f>IF(B32738=#REF!,"",B32738)</f>
        <v>#REF!</v>
      </c>
    </row>
    <row r="32739" spans="1:6" ht="15.75" customHeight="1">
      <c r="A32739" s="16" t="s">
        <v>28074</v>
      </c>
      <c r="B32739" s="15" t="s">
        <v>28075</v>
      </c>
      <c r="C32739" s="16" t="s">
        <v>27788</v>
      </c>
      <c r="D32739" s="16" t="s">
        <v>27856</v>
      </c>
      <c r="E32739" s="2">
        <v>5771826</v>
      </c>
      <c r="F32739" s="4" t="e">
        <f>IF(B32739=#REF!,"",B32739)</f>
        <v>#REF!</v>
      </c>
    </row>
    <row r="32740" spans="1:6" ht="15.75" customHeight="1">
      <c r="A32740" s="15" t="s">
        <v>15626</v>
      </c>
      <c r="B32740" s="15" t="s">
        <v>15626</v>
      </c>
      <c r="C32740" s="15" t="s">
        <v>15586</v>
      </c>
      <c r="D32740" s="15" t="s">
        <v>15627</v>
      </c>
      <c r="E32740" s="2">
        <v>2290836</v>
      </c>
      <c r="F32740" s="4" t="e">
        <f>IF(B32740=#REF!,"",B32740)</f>
        <v>#REF!</v>
      </c>
    </row>
    <row r="32741" spans="1:6" ht="15.75" customHeight="1">
      <c r="A32741" s="15" t="s">
        <v>15625</v>
      </c>
      <c r="B32741" s="15" t="s">
        <v>15625</v>
      </c>
      <c r="C32741" s="15" t="s">
        <v>15586</v>
      </c>
      <c r="D32741" s="15" t="s">
        <v>15617</v>
      </c>
      <c r="E32741" s="2">
        <v>2290849</v>
      </c>
      <c r="F32741" s="4" t="e">
        <f>IF(B32741=#REF!,"",B32741)</f>
        <v>#REF!</v>
      </c>
    </row>
    <row r="32742" spans="1:6" ht="15.75" customHeight="1">
      <c r="A32742" s="16" t="s">
        <v>297</v>
      </c>
      <c r="B32742" s="15" t="s">
        <v>297</v>
      </c>
      <c r="C32742" s="16" t="s">
        <v>153</v>
      </c>
      <c r="D32742" s="16" t="s">
        <v>229</v>
      </c>
      <c r="E32742" s="2">
        <v>2474141</v>
      </c>
      <c r="F32742" s="4" t="e">
        <f>IF(B32742=#REF!,"",B32742)</f>
        <v>#REF!</v>
      </c>
    </row>
    <row r="32743" spans="1:6" ht="15.75" customHeight="1">
      <c r="A32743" s="16" t="s">
        <v>295</v>
      </c>
      <c r="B32743" s="15" t="s">
        <v>295</v>
      </c>
      <c r="C32743" s="16" t="s">
        <v>153</v>
      </c>
      <c r="D32743" s="16" t="s">
        <v>296</v>
      </c>
      <c r="E32743" s="2">
        <v>2502686</v>
      </c>
      <c r="F32743" s="4" t="e">
        <f>IF(B32743=#REF!,"",B32743)</f>
        <v>#REF!</v>
      </c>
    </row>
    <row r="32744" spans="1:6" ht="15.75" customHeight="1">
      <c r="A32744" s="15" t="s">
        <v>3773</v>
      </c>
      <c r="B32744" s="15" t="s">
        <v>3773</v>
      </c>
      <c r="C32744" s="15" t="s">
        <v>3768</v>
      </c>
      <c r="D32744" s="15" t="s">
        <v>3774</v>
      </c>
      <c r="E32744" s="2">
        <v>2361946</v>
      </c>
      <c r="F32744" s="4" t="e">
        <f>IF(B32744=#REF!,"",B32744)</f>
        <v>#REF!</v>
      </c>
    </row>
    <row r="32745" spans="1:6" ht="15.75" customHeight="1">
      <c r="A32745" s="16" t="s">
        <v>7178</v>
      </c>
      <c r="B32745" s="15" t="s">
        <v>7178</v>
      </c>
      <c r="C32745" s="16" t="s">
        <v>7052</v>
      </c>
      <c r="D32745" s="16" t="s">
        <v>7078</v>
      </c>
      <c r="E32745" s="2">
        <v>3031133</v>
      </c>
      <c r="F32745" s="4" t="e">
        <f>IF(B32745=#REF!,"",B32745)</f>
        <v>#REF!</v>
      </c>
    </row>
    <row r="32746" spans="1:6" ht="15.75" customHeight="1">
      <c r="A32746" s="16" t="s">
        <v>7177</v>
      </c>
      <c r="B32746" s="15" t="s">
        <v>7177</v>
      </c>
      <c r="C32746" s="16" t="s">
        <v>7052</v>
      </c>
      <c r="D32746" s="16" t="s">
        <v>7058</v>
      </c>
      <c r="E32746" s="2">
        <v>3031137</v>
      </c>
      <c r="F32746" s="4" t="e">
        <f>IF(B32746=#REF!,"",B32746)</f>
        <v>#REF!</v>
      </c>
    </row>
    <row r="32747" spans="1:6" ht="15.75" customHeight="1">
      <c r="A32747" s="16" t="s">
        <v>28071</v>
      </c>
      <c r="B32747" s="15" t="s">
        <v>28072</v>
      </c>
      <c r="C32747" s="16" t="s">
        <v>27788</v>
      </c>
      <c r="D32747" s="16" t="s">
        <v>28073</v>
      </c>
      <c r="E32747" s="2">
        <v>5500539</v>
      </c>
      <c r="F32747" s="4" t="e">
        <f>IF(B32747=#REF!,"",B32747)</f>
        <v>#REF!</v>
      </c>
    </row>
    <row r="32748" spans="1:6" ht="15.75" customHeight="1">
      <c r="A32748" s="16" t="s">
        <v>28069</v>
      </c>
      <c r="B32748" s="15" t="s">
        <v>28070</v>
      </c>
      <c r="C32748" s="16" t="s">
        <v>27788</v>
      </c>
      <c r="D32748" s="16" t="s">
        <v>2341</v>
      </c>
      <c r="E32748" s="2">
        <v>5574991</v>
      </c>
      <c r="F32748" s="4" t="e">
        <f>IF(B32748=#REF!,"",B32748)</f>
        <v>#REF!</v>
      </c>
    </row>
    <row r="32749" spans="1:6" ht="15.75" customHeight="1">
      <c r="A32749" s="15" t="s">
        <v>294</v>
      </c>
      <c r="B32749" s="15" t="s">
        <v>294</v>
      </c>
      <c r="C32749" s="15" t="s">
        <v>153</v>
      </c>
      <c r="D32749" s="15" t="s">
        <v>215</v>
      </c>
      <c r="E32749" s="2">
        <v>2502924</v>
      </c>
      <c r="F32749" s="4" t="e">
        <f>IF(B32749=#REF!,"",B32749)</f>
        <v>#REF!</v>
      </c>
    </row>
    <row r="32750" spans="1:6" ht="15.75" customHeight="1">
      <c r="A32750" s="15" t="s">
        <v>18569</v>
      </c>
      <c r="B32750" s="15" t="s">
        <v>18569</v>
      </c>
      <c r="C32750" s="15" t="s">
        <v>18551</v>
      </c>
      <c r="D32750" s="15" t="s">
        <v>18568</v>
      </c>
      <c r="E32750" s="2">
        <v>6546693</v>
      </c>
      <c r="F32750" s="4" t="str">
        <f>IF(B32750=B32749,"",B32750)</f>
        <v>Boujniba</v>
      </c>
    </row>
    <row r="32751" spans="1:6" ht="15.75" customHeight="1">
      <c r="A32751" s="16" t="str">
        <f ca="1">IFERROR(__xludf.DUMMYFUNCTION("GOOGLETRANSLATE(B28670,""en"",""pt"")"),"Bouïra")</f>
        <v>Bouïra</v>
      </c>
      <c r="B32751" s="20" t="s">
        <v>32208</v>
      </c>
      <c r="C32751" s="20" t="s">
        <v>153</v>
      </c>
      <c r="D32751" s="20" t="s">
        <v>189</v>
      </c>
      <c r="E32751" s="10">
        <v>2502958</v>
      </c>
      <c r="F32751" s="4" t="e">
        <f>IF(B32751=#REF!,"",B32751)</f>
        <v>#REF!</v>
      </c>
    </row>
    <row r="32752" spans="1:6" ht="15.75" customHeight="1">
      <c r="A32752" s="15" t="s">
        <v>293</v>
      </c>
      <c r="B32752" s="15" t="s">
        <v>293</v>
      </c>
      <c r="C32752" s="15" t="s">
        <v>153</v>
      </c>
      <c r="D32752" s="15" t="s">
        <v>250</v>
      </c>
      <c r="E32752" s="2">
        <v>2502962</v>
      </c>
      <c r="F32752" s="4" t="e">
        <f>IF(B32752=#REF!,"",B32752)</f>
        <v>#REF!</v>
      </c>
    </row>
    <row r="32753" spans="1:6" ht="15.75" customHeight="1">
      <c r="A32753" s="16" t="s">
        <v>7176</v>
      </c>
      <c r="B32753" s="15" t="s">
        <v>7176</v>
      </c>
      <c r="C32753" s="16" t="s">
        <v>7052</v>
      </c>
      <c r="D32753" s="16" t="s">
        <v>7102</v>
      </c>
      <c r="E32753" s="2">
        <v>3031268</v>
      </c>
      <c r="F32753" s="4" t="e">
        <f>IF(B32753=#REF!,"",B32753)</f>
        <v>#REF!</v>
      </c>
    </row>
    <row r="32754" spans="1:6" ht="15.75" customHeight="1">
      <c r="A32754" s="15" t="s">
        <v>17601</v>
      </c>
      <c r="B32754" s="15" t="s">
        <v>17601</v>
      </c>
      <c r="C32754" s="15" t="s">
        <v>17596</v>
      </c>
      <c r="D32754" s="15" t="s">
        <v>17602</v>
      </c>
      <c r="E32754" s="2">
        <v>2459775</v>
      </c>
      <c r="F32754" s="4" t="e">
        <f>IF(B32754=#REF!,"",B32754)</f>
        <v>#REF!</v>
      </c>
    </row>
    <row r="32755" spans="1:6" ht="15.75" customHeight="1">
      <c r="A32755" s="15" t="s">
        <v>292</v>
      </c>
      <c r="B32755" s="15" t="s">
        <v>292</v>
      </c>
      <c r="C32755" s="15" t="s">
        <v>153</v>
      </c>
      <c r="D32755" s="15" t="s">
        <v>250</v>
      </c>
      <c r="E32755" s="2">
        <v>2503147</v>
      </c>
      <c r="F32755" s="4" t="e">
        <f>IF(B32755=#REF!,"",B32755)</f>
        <v>#REF!</v>
      </c>
    </row>
    <row r="32756" spans="1:6" ht="15.75" customHeight="1">
      <c r="A32756" s="15" t="s">
        <v>21632</v>
      </c>
      <c r="B32756" s="15" t="s">
        <v>21632</v>
      </c>
      <c r="C32756" s="15" t="s">
        <v>21606</v>
      </c>
      <c r="D32756" s="15" t="s">
        <v>21609</v>
      </c>
      <c r="E32756" s="2">
        <v>2742051</v>
      </c>
      <c r="F32756" s="4" t="e">
        <f>IF(B32756=#REF!,"",B32756)</f>
        <v>#REF!</v>
      </c>
    </row>
    <row r="32757" spans="1:6" ht="15.75" customHeight="1">
      <c r="A32757" s="15" t="s">
        <v>291</v>
      </c>
      <c r="B32757" s="15" t="s">
        <v>291</v>
      </c>
      <c r="C32757" s="15" t="s">
        <v>153</v>
      </c>
      <c r="D32757" s="15" t="s">
        <v>183</v>
      </c>
      <c r="E32757" s="2">
        <v>2503156</v>
      </c>
      <c r="F32757" s="4" t="e">
        <f>IF(B32757=#REF!,"",B32757)</f>
        <v>#REF!</v>
      </c>
    </row>
    <row r="32758" spans="1:6" ht="15.75" customHeight="1">
      <c r="A32758" s="15" t="s">
        <v>290</v>
      </c>
      <c r="B32758" s="15" t="s">
        <v>290</v>
      </c>
      <c r="C32758" s="15" t="s">
        <v>153</v>
      </c>
      <c r="D32758" s="15" t="s">
        <v>250</v>
      </c>
      <c r="E32758" s="2">
        <v>2503181</v>
      </c>
      <c r="F32758" s="4" t="e">
        <f>IF(B32758=#REF!,"",B32758)</f>
        <v>#REF!</v>
      </c>
    </row>
    <row r="32759" spans="1:6" ht="15.75" customHeight="1">
      <c r="A32759" s="16" t="s">
        <v>289</v>
      </c>
      <c r="B32759" s="15" t="s">
        <v>289</v>
      </c>
      <c r="C32759" s="16" t="s">
        <v>153</v>
      </c>
      <c r="D32759" s="16" t="s">
        <v>229</v>
      </c>
      <c r="E32759" s="2">
        <v>2503229</v>
      </c>
      <c r="F32759" s="4" t="e">
        <f>IF(B32759=#REF!,"",B32759)</f>
        <v>#REF!</v>
      </c>
    </row>
    <row r="32760" spans="1:6" ht="15.75" customHeight="1">
      <c r="A32760" s="15" t="s">
        <v>288</v>
      </c>
      <c r="B32760" s="15" t="s">
        <v>288</v>
      </c>
      <c r="C32760" s="15" t="s">
        <v>153</v>
      </c>
      <c r="D32760" s="15" t="s">
        <v>172</v>
      </c>
      <c r="E32760" s="2">
        <v>2503237</v>
      </c>
      <c r="F32760" s="4" t="e">
        <f>IF(B32760=#REF!,"",B32760)</f>
        <v>#REF!</v>
      </c>
    </row>
    <row r="32761" spans="1:6" ht="15.75" customHeight="1">
      <c r="A32761" s="16" t="s">
        <v>3996</v>
      </c>
      <c r="B32761" s="15" t="s">
        <v>3996</v>
      </c>
      <c r="C32761" s="16" t="s">
        <v>3975</v>
      </c>
      <c r="D32761" s="16" t="s">
        <v>3982</v>
      </c>
      <c r="E32761" s="2">
        <v>5906267</v>
      </c>
      <c r="F32761" s="4" t="e">
        <f>IF(B32761=#REF!,"",B32761)</f>
        <v>#REF!</v>
      </c>
    </row>
    <row r="32762" spans="1:6" ht="15.75" customHeight="1">
      <c r="A32762" s="15" t="s">
        <v>4281</v>
      </c>
      <c r="B32762" s="15" t="s">
        <v>4281</v>
      </c>
      <c r="C32762" s="15" t="s">
        <v>4264</v>
      </c>
      <c r="D32762" s="15" t="s">
        <v>4282</v>
      </c>
      <c r="E32762" s="2">
        <v>2387926</v>
      </c>
      <c r="F32762" s="4" t="str">
        <f>IF(B32762=B32761,"",B32762)</f>
        <v>Bouar</v>
      </c>
    </row>
    <row r="32763" spans="1:6" ht="15.75" customHeight="1">
      <c r="A32763" s="16" t="str">
        <f ca="1">IFERROR(__xludf.DUMMYFUNCTION("GOOGLETRANSLATE(B25860,""en"",""pt"")"),"Bouaké")</f>
        <v>Bouaké</v>
      </c>
      <c r="B32763" s="20" t="s">
        <v>15623</v>
      </c>
      <c r="C32763" s="20" t="s">
        <v>15586</v>
      </c>
      <c r="D32763" s="20" t="s">
        <v>31784</v>
      </c>
      <c r="E32763" s="10">
        <v>2290956</v>
      </c>
      <c r="F32763" s="4" t="str">
        <f>IF(B32763=B32762,"",B32763)</f>
        <v>Bouaké</v>
      </c>
    </row>
    <row r="32764" spans="1:6" ht="15.75" customHeight="1">
      <c r="A32764" s="15" t="s">
        <v>15623</v>
      </c>
      <c r="B32764" s="15" t="s">
        <v>15624</v>
      </c>
      <c r="C32764" s="15" t="s">
        <v>15586</v>
      </c>
      <c r="D32764" s="15" t="s">
        <v>15610</v>
      </c>
      <c r="E32764" s="2">
        <v>2290956</v>
      </c>
      <c r="F32764" s="4" t="str">
        <f>IF(B32764=B32763,"",B32764)</f>
        <v>BouakÃ©</v>
      </c>
    </row>
    <row r="32765" spans="1:6" ht="15.75" customHeight="1">
      <c r="A32765" s="16" t="str">
        <f ca="1">IFERROR(__xludf.DUMMYFUNCTION("GOOGLETRANSLATE(B25861,""en"",""pt"")"),"Bouaflé")</f>
        <v>Bouaflé</v>
      </c>
      <c r="B32765" s="20" t="s">
        <v>15620</v>
      </c>
      <c r="C32765" s="20" t="s">
        <v>15586</v>
      </c>
      <c r="D32765" s="20" t="s">
        <v>31782</v>
      </c>
      <c r="E32765" s="10">
        <v>2290964</v>
      </c>
      <c r="F32765" s="4" t="str">
        <f>IF(B32765=B32764,"",B32765)</f>
        <v>Bouaflé</v>
      </c>
    </row>
    <row r="32766" spans="1:6" ht="15.75" customHeight="1">
      <c r="A32766" s="15" t="s">
        <v>15620</v>
      </c>
      <c r="B32766" s="15" t="s">
        <v>15621</v>
      </c>
      <c r="C32766" s="15" t="s">
        <v>15586</v>
      </c>
      <c r="D32766" s="15" t="s">
        <v>15622</v>
      </c>
      <c r="E32766" s="2">
        <v>2290964</v>
      </c>
      <c r="F32766" s="4" t="str">
        <f>IF(B32766=B32765,"",B32766)</f>
        <v>BouaflÃ©</v>
      </c>
    </row>
    <row r="32767" spans="1:6" ht="15.75" customHeight="1">
      <c r="A32767" s="15" t="s">
        <v>286</v>
      </c>
      <c r="B32767" s="15" t="s">
        <v>287</v>
      </c>
      <c r="C32767" s="15" t="s">
        <v>153</v>
      </c>
      <c r="D32767" s="15" t="s">
        <v>189</v>
      </c>
      <c r="E32767" s="2">
        <v>2502958</v>
      </c>
      <c r="F32767" s="4" t="e">
        <f>IF(B32767=#REF!,"",B32767)</f>
        <v>#REF!</v>
      </c>
    </row>
    <row r="32768" spans="1:6" ht="15.75" customHeight="1">
      <c r="A32768" s="15" t="s">
        <v>284</v>
      </c>
      <c r="B32768" s="15" t="s">
        <v>285</v>
      </c>
      <c r="C32768" s="15" t="s">
        <v>153</v>
      </c>
      <c r="D32768" s="15" t="s">
        <v>177</v>
      </c>
      <c r="E32768" s="2">
        <v>2502239</v>
      </c>
      <c r="F32768" s="4" t="str">
        <f>IF(B32768=B32767,"",B32768)</f>
        <v>Bou Tlelis</v>
      </c>
    </row>
    <row r="32769" spans="1:6" ht="15.75" customHeight="1">
      <c r="A32769" s="16" t="str">
        <f ca="1">IFERROR(__xludf.DUMMYFUNCTION("GOOGLETRANSLATE(B28669,""en"",""pt"")"),"Bou Ismaïl")</f>
        <v>Bou Ismaïl</v>
      </c>
      <c r="B32769" s="20" t="s">
        <v>32207</v>
      </c>
      <c r="C32769" s="20" t="s">
        <v>153</v>
      </c>
      <c r="D32769" s="20" t="s">
        <v>160</v>
      </c>
      <c r="E32769" s="10">
        <v>2502939</v>
      </c>
      <c r="F32769" s="4" t="str">
        <f>IF(B32769=B32768,"",B32769)</f>
        <v>Bou Ismaïl</v>
      </c>
    </row>
    <row r="32770" spans="1:6" ht="15.75" customHeight="1">
      <c r="A32770" s="16" t="s">
        <v>282</v>
      </c>
      <c r="B32770" s="15" t="s">
        <v>283</v>
      </c>
      <c r="C32770" s="16" t="s">
        <v>153</v>
      </c>
      <c r="D32770" s="16" t="s">
        <v>160</v>
      </c>
      <c r="E32770" s="2">
        <v>2502939</v>
      </c>
      <c r="F32770" s="4" t="e">
        <f>IF(B32770=#REF!,"",B32770)</f>
        <v>#REF!</v>
      </c>
    </row>
    <row r="32771" spans="1:6" ht="15.75" customHeight="1">
      <c r="A32771" s="16" t="s">
        <v>279</v>
      </c>
      <c r="B32771" s="15" t="s">
        <v>280</v>
      </c>
      <c r="C32771" s="16" t="s">
        <v>153</v>
      </c>
      <c r="D32771" s="16" t="s">
        <v>281</v>
      </c>
      <c r="E32771" s="2">
        <v>2503033</v>
      </c>
      <c r="F32771" s="4" t="str">
        <f>IF(B32771=B32770,"",B32771)</f>
        <v>Bou Hanifia el Hamamat</v>
      </c>
    </row>
    <row r="32772" spans="1:6" ht="15.75" customHeight="1">
      <c r="A32772" s="16" t="str">
        <f ca="1">IFERROR(__xludf.DUMMYFUNCTION("GOOGLETRANSLATE(B28678,""en"",""pt"")"),"Boû Arfa")</f>
        <v>Boû Arfa</v>
      </c>
      <c r="B32772" s="20" t="s">
        <v>32209</v>
      </c>
      <c r="C32772" s="20" t="s">
        <v>153</v>
      </c>
      <c r="D32772" s="20" t="s">
        <v>250</v>
      </c>
      <c r="E32772" s="10">
        <v>2503468</v>
      </c>
      <c r="F32772" s="4" t="e">
        <f>IF(B32772=#REF!,"",B32772)</f>
        <v>#REF!</v>
      </c>
    </row>
    <row r="32773" spans="1:6" ht="15.75" customHeight="1">
      <c r="A32773" s="16" t="s">
        <v>2143</v>
      </c>
      <c r="B32773" s="15" t="s">
        <v>2144</v>
      </c>
      <c r="C32773" s="16" t="s">
        <v>1905</v>
      </c>
      <c r="D32773" s="16" t="s">
        <v>1914</v>
      </c>
      <c r="E32773" s="2">
        <v>3469136</v>
      </c>
      <c r="F32773" s="4" t="e">
        <f>IF(B32773=#REF!,"",B32773)</f>
        <v>#REF!</v>
      </c>
    </row>
    <row r="32774" spans="1:6" ht="15.75" customHeight="1">
      <c r="A32774" s="15" t="s">
        <v>8223</v>
      </c>
      <c r="B32774" s="15" t="s">
        <v>8223</v>
      </c>
      <c r="C32774" s="15" t="s">
        <v>8028</v>
      </c>
      <c r="D32774" s="15" t="s">
        <v>8029</v>
      </c>
      <c r="E32774" s="2">
        <v>2945756</v>
      </c>
      <c r="F32774" s="4" t="e">
        <f>IF(B32774=#REF!,"",B32774)</f>
        <v>#REF!</v>
      </c>
    </row>
    <row r="32775" spans="1:6" ht="15.75" customHeight="1">
      <c r="A32775" s="16" t="s">
        <v>23863</v>
      </c>
      <c r="B32775" s="15" t="s">
        <v>23863</v>
      </c>
      <c r="C32775" s="16" t="s">
        <v>23842</v>
      </c>
      <c r="D32775" s="16" t="s">
        <v>23845</v>
      </c>
      <c r="E32775" s="2">
        <v>1016670</v>
      </c>
      <c r="F32775" s="4" t="e">
        <f>IF(B32775=#REF!,"",B32775)</f>
        <v>#REF!</v>
      </c>
    </row>
    <row r="32776" spans="1:6" ht="15.75" customHeight="1">
      <c r="A32776" s="15" t="s">
        <v>4557</v>
      </c>
      <c r="B32776" s="15" t="s">
        <v>4557</v>
      </c>
      <c r="C32776" s="15" t="s">
        <v>4487</v>
      </c>
      <c r="D32776" s="15" t="s">
        <v>4529</v>
      </c>
      <c r="E32776" s="2">
        <v>1816256</v>
      </c>
      <c r="F32776" s="4" t="str">
        <f>IF(B32776=B32775,"",B32776)</f>
        <v>Botou</v>
      </c>
    </row>
    <row r="32777" spans="1:6" ht="15.75" customHeight="1">
      <c r="A32777" s="16" t="str">
        <f ca="1">IFERROR(__xludf.DUMMYFUNCTION("GOOGLETRANSLATE(B39829,""en"",""pt"")"),"BOTOşani")</f>
        <v>BOTOşani</v>
      </c>
      <c r="B32777" s="20" t="s">
        <v>35389</v>
      </c>
      <c r="C32777" s="20" t="s">
        <v>21824</v>
      </c>
      <c r="D32777" s="20" t="s">
        <v>35389</v>
      </c>
      <c r="E32777" s="10">
        <v>684039</v>
      </c>
      <c r="F32777" s="4" t="e">
        <f>IF(B32777=#REF!,"",B32777)</f>
        <v>#REF!</v>
      </c>
    </row>
    <row r="32778" spans="1:6" ht="15.75" customHeight="1">
      <c r="A32778" s="15" t="s">
        <v>20688</v>
      </c>
      <c r="B32778" s="15" t="s">
        <v>20688</v>
      </c>
      <c r="C32778" s="15" t="s">
        <v>20598</v>
      </c>
      <c r="D32778" s="15" t="s">
        <v>20599</v>
      </c>
      <c r="E32778" s="2">
        <v>1723822</v>
      </c>
      <c r="F32778" s="4" t="str">
        <f>IF(B32778=B32777,"",B32778)</f>
        <v>Botolan</v>
      </c>
    </row>
    <row r="32779" spans="1:6" ht="15.75" customHeight="1">
      <c r="A32779" s="16" t="s">
        <v>21860</v>
      </c>
      <c r="B32779" s="15" t="s">
        <v>21861</v>
      </c>
      <c r="C32779" s="16" t="s">
        <v>21824</v>
      </c>
      <c r="D32779" s="16" t="s">
        <v>21861</v>
      </c>
      <c r="E32779" s="2">
        <v>684039</v>
      </c>
      <c r="F32779" s="4" t="e">
        <f>IF(B32779=#REF!,"",B32779)</f>
        <v>#REF!</v>
      </c>
    </row>
    <row r="32780" spans="1:6" ht="15.75" customHeight="1">
      <c r="A32780" s="15" t="s">
        <v>28068</v>
      </c>
      <c r="B32780" s="15" t="s">
        <v>28068</v>
      </c>
      <c r="C32780" s="15" t="s">
        <v>27788</v>
      </c>
      <c r="D32780" s="15" t="s">
        <v>27733</v>
      </c>
      <c r="E32780" s="2">
        <v>5787829</v>
      </c>
      <c r="F32780" s="4" t="e">
        <f>IF(B32780=#REF!,"",B32780)</f>
        <v>#REF!</v>
      </c>
    </row>
    <row r="32781" spans="1:6" ht="15.75" customHeight="1">
      <c r="A32781" s="16" t="s">
        <v>23862</v>
      </c>
      <c r="B32781" s="15" t="s">
        <v>23862</v>
      </c>
      <c r="C32781" s="16" t="s">
        <v>23842</v>
      </c>
      <c r="D32781" s="16" t="s">
        <v>23845</v>
      </c>
      <c r="E32781" s="2">
        <v>1016698</v>
      </c>
      <c r="F32781" s="4" t="e">
        <f>IF(B32781=#REF!,"",B32781)</f>
        <v>#REF!</v>
      </c>
    </row>
    <row r="32782" spans="1:6" ht="15.75" customHeight="1">
      <c r="A32782" s="16" t="s">
        <v>3708</v>
      </c>
      <c r="B32782" s="15" t="s">
        <v>3708</v>
      </c>
      <c r="C32782" s="16" t="s">
        <v>3701</v>
      </c>
      <c r="D32782" s="16" t="s">
        <v>3709</v>
      </c>
      <c r="E32782" s="2">
        <v>733014</v>
      </c>
      <c r="F32782" s="4" t="str">
        <f>IF(B32782=B32781,"",B32782)</f>
        <v>Botevgrad</v>
      </c>
    </row>
    <row r="32783" spans="1:6" ht="15.75" customHeight="1">
      <c r="A32783" s="16" t="str">
        <f ca="1">IFERROR(__xludf.DUMMYFUNCTION("GOOGLETRANSLATE(B33781,""en"",""pt"")"),"Botād")</f>
        <v>Botād</v>
      </c>
      <c r="B32783" s="20" t="s">
        <v>33859</v>
      </c>
      <c r="C32783" s="20" t="s">
        <v>10178</v>
      </c>
      <c r="D32783" s="20" t="s">
        <v>10209</v>
      </c>
      <c r="E32783" s="10">
        <v>1275218</v>
      </c>
      <c r="F32783" s="4" t="str">
        <f>IF(B32783=B32782,"",B32783)</f>
        <v>Botād</v>
      </c>
    </row>
    <row r="32784" spans="1:6" ht="15.75" customHeight="1">
      <c r="A32784" s="15" t="s">
        <v>10832</v>
      </c>
      <c r="B32784" s="15" t="s">
        <v>10833</v>
      </c>
      <c r="C32784" s="15" t="s">
        <v>10178</v>
      </c>
      <c r="D32784" s="15" t="s">
        <v>10209</v>
      </c>
      <c r="E32784" s="2">
        <v>1275218</v>
      </c>
      <c r="F32784" s="4" t="e">
        <f>IF(B32784=#REF!,"",B32784)</f>
        <v>#REF!</v>
      </c>
    </row>
    <row r="32785" spans="1:6" ht="15.75" customHeight="1">
      <c r="A32785" s="15" t="s">
        <v>28067</v>
      </c>
      <c r="B32785" s="15" t="s">
        <v>28067</v>
      </c>
      <c r="C32785" s="15" t="s">
        <v>27788</v>
      </c>
      <c r="D32785" s="15" t="s">
        <v>27801</v>
      </c>
      <c r="E32785" s="2">
        <v>5330167</v>
      </c>
      <c r="F32785" s="4" t="e">
        <f>IF(B32785=#REF!,"",B32785)</f>
        <v>#REF!</v>
      </c>
    </row>
    <row r="32786" spans="1:6" ht="15.75" customHeight="1">
      <c r="A32786" s="15" t="s">
        <v>27341</v>
      </c>
      <c r="B32786" s="15" t="s">
        <v>27341</v>
      </c>
      <c r="C32786" s="15" t="s">
        <v>27234</v>
      </c>
      <c r="D32786" s="15" t="s">
        <v>27241</v>
      </c>
      <c r="E32786" s="2">
        <v>2655138</v>
      </c>
      <c r="F32786" s="4" t="e">
        <f>IF(B32786=#REF!,"",B32786)</f>
        <v>#REF!</v>
      </c>
    </row>
    <row r="32787" spans="1:6" ht="15.75" customHeight="1">
      <c r="A32787" s="16" t="s">
        <v>28066</v>
      </c>
      <c r="B32787" s="15" t="s">
        <v>28066</v>
      </c>
      <c r="C32787" s="16" t="s">
        <v>27788</v>
      </c>
      <c r="D32787" s="16" t="s">
        <v>27827</v>
      </c>
      <c r="E32787" s="2">
        <v>4317639</v>
      </c>
      <c r="F32787" s="4" t="e">
        <f>IF(B32787=#REF!,"",B32787)</f>
        <v>#REF!</v>
      </c>
    </row>
    <row r="32788" spans="1:6" ht="15.75" customHeight="1">
      <c r="A32788" s="16" t="s">
        <v>4280</v>
      </c>
      <c r="B32788" s="15" t="s">
        <v>4280</v>
      </c>
      <c r="C32788" s="16" t="s">
        <v>4264</v>
      </c>
      <c r="D32788" s="16" t="s">
        <v>4272</v>
      </c>
      <c r="E32788" s="2">
        <v>2388036</v>
      </c>
      <c r="F32788" s="4" t="e">
        <f>IF(B32788=#REF!,"",B32788)</f>
        <v>#REF!</v>
      </c>
    </row>
    <row r="32789" spans="1:6" ht="15.75" customHeight="1">
      <c r="A32789" s="15" t="s">
        <v>18914</v>
      </c>
      <c r="B32789" s="15" t="s">
        <v>18914</v>
      </c>
      <c r="C32789" s="15" t="s">
        <v>18862</v>
      </c>
      <c r="D32789" s="15" t="s">
        <v>18868</v>
      </c>
      <c r="E32789" s="2">
        <v>2758547</v>
      </c>
      <c r="F32789" s="4" t="e">
        <f>IF(B32789=#REF!,"",B32789)</f>
        <v>#REF!</v>
      </c>
    </row>
    <row r="32790" spans="1:6" ht="15.75" customHeight="1">
      <c r="A32790" s="16" t="s">
        <v>25525</v>
      </c>
      <c r="B32790" s="15" t="s">
        <v>25526</v>
      </c>
      <c r="C32790" s="16" t="s">
        <v>25527</v>
      </c>
      <c r="D32790" s="16" t="s">
        <v>25528</v>
      </c>
      <c r="E32790" s="2">
        <v>1222107</v>
      </c>
      <c r="F32790" s="4" t="e">
        <f>IF(B32790=#REF!,"",B32790)</f>
        <v>#REF!</v>
      </c>
    </row>
    <row r="32791" spans="1:6" ht="15.75" customHeight="1">
      <c r="A32791" s="15" t="s">
        <v>4556</v>
      </c>
      <c r="B32791" s="15" t="s">
        <v>4556</v>
      </c>
      <c r="C32791" s="15" t="s">
        <v>4487</v>
      </c>
      <c r="D32791" s="15" t="s">
        <v>4503</v>
      </c>
      <c r="E32791" s="2">
        <v>1816265</v>
      </c>
      <c r="F32791" s="4" t="e">
        <f>IF(B32791=#REF!,"",B32791)</f>
        <v>#REF!</v>
      </c>
    </row>
    <row r="32792" spans="1:6" ht="15.75" customHeight="1">
      <c r="A32792" s="16" t="s">
        <v>14989</v>
      </c>
      <c r="B32792" s="15" t="s">
        <v>14989</v>
      </c>
      <c r="C32792" s="16" t="s">
        <v>14891</v>
      </c>
      <c r="D32792" s="16" t="s">
        <v>14896</v>
      </c>
      <c r="E32792" s="2">
        <v>3181683</v>
      </c>
      <c r="F32792" s="4" t="e">
        <f>IF(B32792=#REF!,"",B32792)</f>
        <v>#REF!</v>
      </c>
    </row>
    <row r="32793" spans="1:6" ht="15.75" customHeight="1">
      <c r="A32793" s="15" t="s">
        <v>23809</v>
      </c>
      <c r="B32793" s="15" t="s">
        <v>23810</v>
      </c>
      <c r="C32793" s="15" t="s">
        <v>23800</v>
      </c>
      <c r="D32793" s="15" t="s">
        <v>14964</v>
      </c>
      <c r="E32793" s="2">
        <v>64013</v>
      </c>
      <c r="F32793" s="4" t="e">
        <f>IF(B32793=#REF!,"",B32793)</f>
        <v>#REF!</v>
      </c>
    </row>
    <row r="32794" spans="1:6" ht="15.75" customHeight="1">
      <c r="A32794" s="16" t="s">
        <v>1851</v>
      </c>
      <c r="B32794" s="15" t="s">
        <v>1851</v>
      </c>
      <c r="C32794" s="16" t="s">
        <v>1845</v>
      </c>
      <c r="D32794" s="16" t="s">
        <v>1849</v>
      </c>
      <c r="E32794" s="2">
        <v>3203653</v>
      </c>
      <c r="F32794" s="4" t="e">
        <f>IF(B32794=#REF!,"",B32794)</f>
        <v>#REF!</v>
      </c>
    </row>
    <row r="32795" spans="1:6" ht="15.75" customHeight="1">
      <c r="A32795" s="15" t="s">
        <v>22266</v>
      </c>
      <c r="B32795" s="15" t="s">
        <v>22266</v>
      </c>
      <c r="C32795" s="15" t="s">
        <v>22070</v>
      </c>
      <c r="D32795" s="15" t="s">
        <v>22267</v>
      </c>
      <c r="E32795" s="2">
        <v>2026126</v>
      </c>
      <c r="F32795" s="4" t="str">
        <f>IF(B32795=B32794,"",B32795)</f>
        <v>Borzya</v>
      </c>
    </row>
    <row r="32796" spans="1:6" ht="15.75" customHeight="1">
      <c r="A32796" s="16" t="s">
        <v>26917</v>
      </c>
      <c r="B32796" s="15" t="s">
        <v>26918</v>
      </c>
      <c r="C32796" s="16" t="s">
        <v>26870</v>
      </c>
      <c r="D32796" s="16" t="s">
        <v>26905</v>
      </c>
      <c r="E32796" s="2">
        <v>711660</v>
      </c>
      <c r="F32796" s="4" t="str">
        <f>IF(B32796=B32795,"",B32796)</f>
        <v>Boryspilâ€™</v>
      </c>
    </row>
    <row r="32797" spans="1:6" ht="15.75" customHeight="1">
      <c r="A32797" s="16" t="str">
        <f ca="1">IFERROR(__xludf.DUMMYFUNCTION("GOOGLETRANSLATE(B42690,""en"",""pt"")"),"Boryspil '")</f>
        <v>Boryspil '</v>
      </c>
      <c r="B32797" s="20" t="s">
        <v>36042</v>
      </c>
      <c r="C32797" s="20" t="s">
        <v>26870</v>
      </c>
      <c r="D32797" s="20" t="s">
        <v>26905</v>
      </c>
      <c r="E32797" s="10">
        <v>711660</v>
      </c>
      <c r="F32797" s="4" t="e">
        <f>IF(B32797=#REF!,"",B32797)</f>
        <v>#REF!</v>
      </c>
    </row>
    <row r="32798" spans="1:6" ht="15.75" customHeight="1">
      <c r="A32798" s="15" t="s">
        <v>26915</v>
      </c>
      <c r="B32798" s="15" t="s">
        <v>26915</v>
      </c>
      <c r="C32798" s="15" t="s">
        <v>26870</v>
      </c>
      <c r="D32798" s="15" t="s">
        <v>26916</v>
      </c>
      <c r="E32798" s="2">
        <v>711669</v>
      </c>
      <c r="F32798" s="4" t="str">
        <f>IF(B32798=B32797,"",B32798)</f>
        <v>Boryslav</v>
      </c>
    </row>
    <row r="32799" spans="1:6" ht="15.75" customHeight="1">
      <c r="A32799" s="16" t="str">
        <f ca="1">IFERROR(__xludf.DUMMYFUNCTION("GOOGLETRANSLATE(B34471,""en"",""pt"")"),"Borūjerd")</f>
        <v>Borūjerd</v>
      </c>
      <c r="B32799" s="20" t="s">
        <v>34218</v>
      </c>
      <c r="C32799" s="20" t="s">
        <v>14240</v>
      </c>
      <c r="D32799" s="20" t="s">
        <v>34122</v>
      </c>
      <c r="E32799" s="10">
        <v>140044</v>
      </c>
      <c r="F32799" s="4" t="str">
        <f>IF(B32799=B32798,"",B32799)</f>
        <v>Borūjerd</v>
      </c>
    </row>
    <row r="32800" spans="1:6" ht="15.75" customHeight="1">
      <c r="A32800" s="16" t="str">
        <f ca="1">IFERROR(__xludf.DUMMYFUNCTION("GOOGLETRANSLATE(B34472,""en"",""pt"")"),"Borūjen")</f>
        <v>Borūjen</v>
      </c>
      <c r="B32800" s="20" t="s">
        <v>34219</v>
      </c>
      <c r="C32800" s="20" t="s">
        <v>14240</v>
      </c>
      <c r="D32800" s="20" t="s">
        <v>34142</v>
      </c>
      <c r="E32800" s="10">
        <v>140046</v>
      </c>
      <c r="F32800" s="4" t="e">
        <f>IF(B32800=#REF!,"",B32800)</f>
        <v>#REF!</v>
      </c>
    </row>
    <row r="32801" spans="1:6" ht="15.75" customHeight="1">
      <c r="A32801" s="15" t="s">
        <v>18912</v>
      </c>
      <c r="B32801" s="15" t="s">
        <v>18912</v>
      </c>
      <c r="C32801" s="15" t="s">
        <v>18862</v>
      </c>
      <c r="D32801" s="15" t="s">
        <v>18913</v>
      </c>
      <c r="E32801" s="2">
        <v>2758587</v>
      </c>
      <c r="F32801" s="4" t="e">
        <f>IF(B32801=#REF!,"",B32801)</f>
        <v>#REF!</v>
      </c>
    </row>
    <row r="32802" spans="1:6" ht="15.75" customHeight="1">
      <c r="A32802" s="15" t="s">
        <v>10831</v>
      </c>
      <c r="B32802" s="15" t="s">
        <v>10831</v>
      </c>
      <c r="C32802" s="15" t="s">
        <v>10178</v>
      </c>
      <c r="D32802" s="15" t="s">
        <v>10209</v>
      </c>
      <c r="E32802" s="2">
        <v>1275230</v>
      </c>
      <c r="F32802" s="4" t="str">
        <f>IF(B32802=B32801,"",B32802)</f>
        <v>Borsad</v>
      </c>
    </row>
    <row r="32803" spans="1:6" ht="15.75" customHeight="1">
      <c r="A32803" s="16" t="str">
        <f ca="1">IFERROR(__xludf.DUMMYFUNCTION("GOOGLETRANSLATE(B39830,""en"",""pt"")"),"Borşa")</f>
        <v>Borşa</v>
      </c>
      <c r="B32803" s="20" t="s">
        <v>35402</v>
      </c>
      <c r="C32803" s="20" t="s">
        <v>21824</v>
      </c>
      <c r="D32803" s="20" t="s">
        <v>35334</v>
      </c>
      <c r="E32803" s="10">
        <v>684156</v>
      </c>
      <c r="F32803" s="4" t="e">
        <f>IF(B32803=#REF!,"",B32803)</f>
        <v>#REF!</v>
      </c>
    </row>
    <row r="32804" spans="1:6" ht="15.75" customHeight="1">
      <c r="A32804" s="15" t="s">
        <v>22264</v>
      </c>
      <c r="B32804" s="15" t="s">
        <v>22264</v>
      </c>
      <c r="C32804" s="15" t="s">
        <v>22070</v>
      </c>
      <c r="D32804" s="15" t="s">
        <v>22265</v>
      </c>
      <c r="E32804" s="2">
        <v>1508879</v>
      </c>
      <c r="F32804" s="4" t="e">
        <f>IF(B32804=#REF!,"",B32804)</f>
        <v>#REF!</v>
      </c>
    </row>
    <row r="32805" spans="1:6" ht="15.75" customHeight="1">
      <c r="A32805" s="15" t="s">
        <v>22262</v>
      </c>
      <c r="B32805" s="15" t="s">
        <v>22262</v>
      </c>
      <c r="C32805" s="15" t="s">
        <v>22070</v>
      </c>
      <c r="D32805" s="15" t="s">
        <v>22263</v>
      </c>
      <c r="E32805" s="2">
        <v>572154</v>
      </c>
      <c r="F32805" s="4" t="e">
        <f>IF(B32805=#REF!,"",B32805)</f>
        <v>#REF!</v>
      </c>
    </row>
    <row r="32806" spans="1:6" ht="15.75" customHeight="1">
      <c r="A32806" s="16" t="s">
        <v>28065</v>
      </c>
      <c r="B32806" s="15" t="s">
        <v>28065</v>
      </c>
      <c r="C32806" s="16" t="s">
        <v>27788</v>
      </c>
      <c r="D32806" s="16" t="s">
        <v>27819</v>
      </c>
      <c r="E32806" s="2">
        <v>5133273</v>
      </c>
      <c r="F32806" s="4" t="e">
        <f>IF(B32806=#REF!,"",B32806)</f>
        <v>#REF!</v>
      </c>
    </row>
    <row r="32807" spans="1:6" ht="15.75" customHeight="1">
      <c r="A32807" s="15" t="s">
        <v>20685</v>
      </c>
      <c r="B32807" s="15" t="s">
        <v>20686</v>
      </c>
      <c r="C32807" s="15" t="s">
        <v>20598</v>
      </c>
      <c r="D32807" s="15" t="s">
        <v>20687</v>
      </c>
      <c r="E32807" s="2">
        <v>1722356</v>
      </c>
      <c r="F32807" s="4" t="e">
        <f>IF(B32807=#REF!,"",B32807)</f>
        <v>#REF!</v>
      </c>
    </row>
    <row r="32808" spans="1:6" ht="15.75" customHeight="1">
      <c r="A32808" s="15" t="s">
        <v>911</v>
      </c>
      <c r="B32808" s="15" t="s">
        <v>911</v>
      </c>
      <c r="C32808" s="15" t="s">
        <v>885</v>
      </c>
      <c r="D32808" s="15" t="s">
        <v>827</v>
      </c>
      <c r="E32808" s="2">
        <v>2174580</v>
      </c>
      <c r="F32808" s="4" t="e">
        <f>IF(B32808=#REF!,"",B32808)</f>
        <v>#REF!</v>
      </c>
    </row>
    <row r="32809" spans="1:6" ht="15.75" customHeight="1">
      <c r="A32809" s="15" t="s">
        <v>20684</v>
      </c>
      <c r="B32809" s="15" t="s">
        <v>20684</v>
      </c>
      <c r="C32809" s="15" t="s">
        <v>20598</v>
      </c>
      <c r="D32809" s="15" t="s">
        <v>20601</v>
      </c>
      <c r="E32809" s="2">
        <v>1723893</v>
      </c>
      <c r="F32809" s="4" t="e">
        <f>IF(B32809=#REF!,"",B32809)</f>
        <v>#REF!</v>
      </c>
    </row>
    <row r="32810" spans="1:6" ht="15.75" customHeight="1">
      <c r="A32810" s="15" t="s">
        <v>22261</v>
      </c>
      <c r="B32810" s="15" t="s">
        <v>22261</v>
      </c>
      <c r="C32810" s="15" t="s">
        <v>22070</v>
      </c>
      <c r="D32810" s="15" t="s">
        <v>22079</v>
      </c>
      <c r="E32810" s="2">
        <v>1508943</v>
      </c>
      <c r="F32810" s="4" t="e">
        <f>IF(B32810=#REF!,"",B32810)</f>
        <v>#REF!</v>
      </c>
    </row>
    <row r="32811" spans="1:6" ht="15.75" customHeight="1">
      <c r="A32811" s="16" t="s">
        <v>8222</v>
      </c>
      <c r="B32811" s="15" t="s">
        <v>8222</v>
      </c>
      <c r="C32811" s="16" t="s">
        <v>8028</v>
      </c>
      <c r="D32811" s="16" t="s">
        <v>8029</v>
      </c>
      <c r="E32811" s="2">
        <v>2946111</v>
      </c>
      <c r="F32811" s="4" t="e">
        <f>IF(B32811=#REF!,"",B32811)</f>
        <v>#REF!</v>
      </c>
    </row>
    <row r="32812" spans="1:6" ht="15.75" customHeight="1">
      <c r="A32812" s="15" t="s">
        <v>1535</v>
      </c>
      <c r="B32812" s="15" t="s">
        <v>1535</v>
      </c>
      <c r="C32812" s="15" t="s">
        <v>1512</v>
      </c>
      <c r="D32812" s="15" t="s">
        <v>1513</v>
      </c>
      <c r="E32812" s="2">
        <v>2801447</v>
      </c>
      <c r="F32812" s="4" t="e">
        <f>IF(B32812=#REF!,"",B32812)</f>
        <v>#REF!</v>
      </c>
    </row>
    <row r="32813" spans="1:6" ht="15.75" customHeight="1">
      <c r="A32813" s="15" t="s">
        <v>18910</v>
      </c>
      <c r="B32813" s="15" t="s">
        <v>18911</v>
      </c>
      <c r="C32813" s="15" t="s">
        <v>18862</v>
      </c>
      <c r="D32813" s="15" t="s">
        <v>18871</v>
      </c>
      <c r="E32813" s="2">
        <v>2758598</v>
      </c>
      <c r="F32813" s="4" t="e">
        <f>IF(B32813=#REF!,"",B32813)</f>
        <v>#REF!</v>
      </c>
    </row>
    <row r="32814" spans="1:6" ht="15.75" customHeight="1">
      <c r="A32814" s="15" t="s">
        <v>8221</v>
      </c>
      <c r="B32814" s="15" t="s">
        <v>8221</v>
      </c>
      <c r="C32814" s="15" t="s">
        <v>8028</v>
      </c>
      <c r="D32814" s="15" t="s">
        <v>8072</v>
      </c>
      <c r="E32814" s="2">
        <v>2946172</v>
      </c>
      <c r="F32814" s="4" t="e">
        <f>IF(B32814=#REF!,"",B32814)</f>
        <v>#REF!</v>
      </c>
    </row>
    <row r="32815" spans="1:6" ht="15.75" customHeight="1">
      <c r="A32815" s="15" t="s">
        <v>18908</v>
      </c>
      <c r="B32815" s="15" t="s">
        <v>18909</v>
      </c>
      <c r="C32815" s="15" t="s">
        <v>18862</v>
      </c>
      <c r="D32815" s="15" t="s">
        <v>18893</v>
      </c>
      <c r="E32815" s="2">
        <v>2758602</v>
      </c>
      <c r="F32815" s="4" t="e">
        <f>IF(B32815=#REF!,"",B32815)</f>
        <v>#REF!</v>
      </c>
    </row>
    <row r="32816" spans="1:6" ht="15.75" customHeight="1">
      <c r="A32816" s="15" t="s">
        <v>24348</v>
      </c>
      <c r="B32816" s="15" t="s">
        <v>24348</v>
      </c>
      <c r="C32816" s="15" t="s">
        <v>24200</v>
      </c>
      <c r="D32816" s="15" t="s">
        <v>24205</v>
      </c>
      <c r="E32816" s="2">
        <v>2520833</v>
      </c>
      <c r="F32816" s="4" t="str">
        <f>IF(B32816=B32815,"",B32816)</f>
        <v>Bormujos</v>
      </c>
    </row>
    <row r="32817" spans="1:6" ht="15.75" customHeight="1">
      <c r="A32817" s="16" t="str">
        <f ca="1">IFERROR(__xludf.DUMMYFUNCTION("GOOGLETRANSLATE(B41201,""en"",""pt"")"),"Borlänge")</f>
        <v>Borlänge</v>
      </c>
      <c r="B32817" s="20" t="s">
        <v>25105</v>
      </c>
      <c r="C32817" s="20" t="s">
        <v>25077</v>
      </c>
      <c r="D32817" s="20" t="s">
        <v>25107</v>
      </c>
      <c r="E32817" s="10">
        <v>2720383</v>
      </c>
      <c r="F32817" s="4" t="str">
        <f>IF(B32817=B32816,"",B32817)</f>
        <v>Borlänge</v>
      </c>
    </row>
    <row r="32818" spans="1:6" ht="15.75" customHeight="1">
      <c r="A32818" s="15" t="s">
        <v>25105</v>
      </c>
      <c r="B32818" s="15" t="s">
        <v>25106</v>
      </c>
      <c r="C32818" s="15" t="s">
        <v>25077</v>
      </c>
      <c r="D32818" s="15" t="s">
        <v>25107</v>
      </c>
      <c r="E32818" s="2">
        <v>2720383</v>
      </c>
      <c r="F32818" s="4" t="e">
        <f>IF(B32818=#REF!,"",B32818)</f>
        <v>#REF!</v>
      </c>
    </row>
    <row r="32819" spans="1:6" ht="15.75" customHeight="1">
      <c r="A32819" s="15" t="s">
        <v>8220</v>
      </c>
      <c r="B32819" s="15" t="s">
        <v>8220</v>
      </c>
      <c r="C32819" s="15" t="s">
        <v>8028</v>
      </c>
      <c r="D32819" s="15" t="s">
        <v>8029</v>
      </c>
      <c r="E32819" s="2">
        <v>2946228</v>
      </c>
      <c r="F32819" s="4" t="e">
        <f>IF(B32819=#REF!,"",B32819)</f>
        <v>#REF!</v>
      </c>
    </row>
    <row r="32820" spans="1:6" ht="15.75" customHeight="1">
      <c r="A32820" s="15" t="s">
        <v>10830</v>
      </c>
      <c r="B32820" s="15" t="s">
        <v>10830</v>
      </c>
      <c r="C32820" s="15" t="s">
        <v>10178</v>
      </c>
      <c r="D32820" s="15" t="s">
        <v>10214</v>
      </c>
      <c r="E32820" s="2">
        <v>1275248</v>
      </c>
      <c r="F32820" s="4" t="e">
        <f>IF(B32820=#REF!,"",B32820)</f>
        <v>#REF!</v>
      </c>
    </row>
    <row r="32821" spans="1:6" ht="15.75" customHeight="1">
      <c r="A32821" s="16" t="s">
        <v>22260</v>
      </c>
      <c r="B32821" s="15" t="s">
        <v>22260</v>
      </c>
      <c r="C32821" s="16" t="s">
        <v>22070</v>
      </c>
      <c r="D32821" s="16" t="s">
        <v>22137</v>
      </c>
      <c r="E32821" s="2">
        <v>572525</v>
      </c>
      <c r="F32821" s="4" t="e">
        <f>IF(B32821=#REF!,"",B32821)</f>
        <v>#REF!</v>
      </c>
    </row>
    <row r="32822" spans="1:6" ht="15.75" customHeight="1">
      <c r="A32822" s="16" t="s">
        <v>14987</v>
      </c>
      <c r="B32822" s="15" t="s">
        <v>14988</v>
      </c>
      <c r="C32822" s="16" t="s">
        <v>14891</v>
      </c>
      <c r="D32822" s="16" t="s">
        <v>14911</v>
      </c>
      <c r="E32822" s="2">
        <v>3181790</v>
      </c>
      <c r="F32822" s="4" t="e">
        <f>IF(B32822=#REF!,"",B32822)</f>
        <v>#REF!</v>
      </c>
    </row>
    <row r="32823" spans="1:6" ht="15.75" customHeight="1">
      <c r="A32823" s="15" t="s">
        <v>18907</v>
      </c>
      <c r="B32823" s="15" t="s">
        <v>18907</v>
      </c>
      <c r="C32823" s="15" t="s">
        <v>18862</v>
      </c>
      <c r="D32823" s="15" t="s">
        <v>18883</v>
      </c>
      <c r="E32823" s="2">
        <v>2758621</v>
      </c>
      <c r="F32823" s="4" t="e">
        <f>IF(B32823=#REF!,"",B32823)</f>
        <v>#REF!</v>
      </c>
    </row>
    <row r="32824" spans="1:6" ht="15.75" customHeight="1">
      <c r="A32824" s="16" t="s">
        <v>27340</v>
      </c>
      <c r="B32824" s="15" t="s">
        <v>27340</v>
      </c>
      <c r="C32824" s="16" t="s">
        <v>27234</v>
      </c>
      <c r="D32824" s="16" t="s">
        <v>27241</v>
      </c>
      <c r="E32824" s="2">
        <v>2655186</v>
      </c>
      <c r="F32824" s="4" t="e">
        <f>IF(B32824=#REF!,"",B32824)</f>
        <v>#REF!</v>
      </c>
    </row>
    <row r="32825" spans="1:6" ht="15.75" customHeight="1">
      <c r="A32825" s="16" t="s">
        <v>278</v>
      </c>
      <c r="B32825" s="15" t="s">
        <v>278</v>
      </c>
      <c r="C32825" s="16" t="s">
        <v>153</v>
      </c>
      <c r="D32825" s="16" t="s">
        <v>274</v>
      </c>
      <c r="E32825" s="2">
        <v>2503620</v>
      </c>
      <c r="F32825" s="4" t="e">
        <f>IF(B32825=#REF!,"",B32825)</f>
        <v>#REF!</v>
      </c>
    </row>
    <row r="32826" spans="1:6" ht="15.75" customHeight="1">
      <c r="A32826" s="16" t="s">
        <v>277</v>
      </c>
      <c r="B32826" s="15" t="s">
        <v>277</v>
      </c>
      <c r="C32826" s="16" t="s">
        <v>153</v>
      </c>
      <c r="D32826" s="16" t="s">
        <v>274</v>
      </c>
      <c r="E32826" s="2">
        <v>2503654</v>
      </c>
      <c r="F32826" s="4" t="e">
        <f>IF(B32826=#REF!,"",B32826)</f>
        <v>#REF!</v>
      </c>
    </row>
    <row r="32827" spans="1:6" ht="15.75" customHeight="1">
      <c r="A32827" s="16" t="s">
        <v>275</v>
      </c>
      <c r="B32827" s="15" t="s">
        <v>276</v>
      </c>
      <c r="C32827" s="16" t="s">
        <v>153</v>
      </c>
      <c r="D32827" s="16" t="s">
        <v>207</v>
      </c>
      <c r="E32827" s="2">
        <v>2503661</v>
      </c>
      <c r="F32827" s="4" t="e">
        <f>IF(B32827=#REF!,"",B32827)</f>
        <v>#REF!</v>
      </c>
    </row>
    <row r="32828" spans="1:6" ht="15.75" customHeight="1">
      <c r="A32828" s="16" t="s">
        <v>273</v>
      </c>
      <c r="B32828" s="15" t="s">
        <v>273</v>
      </c>
      <c r="C32828" s="16" t="s">
        <v>153</v>
      </c>
      <c r="D32828" s="16" t="s">
        <v>274</v>
      </c>
      <c r="E32828" s="2">
        <v>2503701</v>
      </c>
      <c r="F32828" s="4" t="e">
        <f>IF(B32828=#REF!,"",B32828)</f>
        <v>#REF!</v>
      </c>
    </row>
    <row r="32829" spans="1:6" ht="15.75" customHeight="1">
      <c r="A32829" s="15" t="s">
        <v>7175</v>
      </c>
      <c r="B32829" s="15" t="s">
        <v>7175</v>
      </c>
      <c r="C32829" s="15" t="s">
        <v>7052</v>
      </c>
      <c r="D32829" s="15" t="s">
        <v>7084</v>
      </c>
      <c r="E32829" s="2">
        <v>3031582</v>
      </c>
      <c r="F32829" s="4" t="str">
        <f>IF(B32829=B32828,"",B32829)</f>
        <v>Bordeaux</v>
      </c>
    </row>
    <row r="32830" spans="1:6" ht="15.75" customHeight="1">
      <c r="A32830" s="16" t="str">
        <f ca="1">IFERROR(__xludf.DUMMYFUNCTION("GOOGLETRANSLATE(B34473,""en"",""pt"")"),"Borāzjān")</f>
        <v>Borāzjān</v>
      </c>
      <c r="B32830" s="20" t="s">
        <v>34220</v>
      </c>
      <c r="C32830" s="20" t="s">
        <v>14240</v>
      </c>
      <c r="D32830" s="20" t="s">
        <v>14325</v>
      </c>
      <c r="E32830" s="10">
        <v>140097</v>
      </c>
      <c r="F32830" s="4" t="str">
        <f>IF(B32830=B32829,"",B32830)</f>
        <v>Borāzjān</v>
      </c>
    </row>
    <row r="32831" spans="1:6" ht="15.75" customHeight="1">
      <c r="A32831" s="15" t="s">
        <v>21858</v>
      </c>
      <c r="B32831" s="15" t="s">
        <v>21859</v>
      </c>
      <c r="C32831" s="15" t="s">
        <v>21824</v>
      </c>
      <c r="D32831" s="15" t="s">
        <v>21845</v>
      </c>
      <c r="E32831" s="2">
        <v>684156</v>
      </c>
      <c r="F32831" s="4" t="str">
        <f>IF(B32831=B32830,"",B32831)</f>
        <v>BorÅŸa</v>
      </c>
    </row>
    <row r="32832" spans="1:6" ht="15.75" customHeight="1">
      <c r="A32832" s="16" t="str">
        <f ca="1">IFERROR(__xludf.DUMMYFUNCTION("GOOGLETRANSLATE(B41202,""en"",""pt"")"),"Borås")</f>
        <v>Borås</v>
      </c>
      <c r="B32832" s="20" t="s">
        <v>35660</v>
      </c>
      <c r="C32832" s="20" t="s">
        <v>25077</v>
      </c>
      <c r="D32832" s="20" t="s">
        <v>35628</v>
      </c>
      <c r="E32832" s="10">
        <v>2720501</v>
      </c>
      <c r="F32832" s="4" t="str">
        <f>IF(B32832=B32831,"",B32832)</f>
        <v>Borås</v>
      </c>
    </row>
    <row r="32833" spans="1:6" ht="15.75" customHeight="1">
      <c r="A32833" s="16" t="s">
        <v>14344</v>
      </c>
      <c r="B32833" s="15" t="s">
        <v>14345</v>
      </c>
      <c r="C32833" s="16" t="s">
        <v>14240</v>
      </c>
      <c r="D32833" s="16" t="s">
        <v>14325</v>
      </c>
      <c r="E32833" s="2">
        <v>140097</v>
      </c>
      <c r="F32833" s="4" t="str">
        <f>IF(B32833=B32832,"",B32833)</f>
        <v>BorÄzjÄn</v>
      </c>
    </row>
    <row r="32834" spans="1:6" ht="15.75" customHeight="1">
      <c r="A32834" s="16" t="s">
        <v>14342</v>
      </c>
      <c r="B32834" s="15" t="s">
        <v>14343</v>
      </c>
      <c r="C32834" s="16" t="s">
        <v>14240</v>
      </c>
      <c r="D32834" s="16" t="s">
        <v>14281</v>
      </c>
      <c r="E32834" s="2">
        <v>140044</v>
      </c>
      <c r="F32834" s="4" t="str">
        <f>IF(B32834=B32833,"",B32834)</f>
        <v>BorÅ«jerd</v>
      </c>
    </row>
    <row r="32835" spans="1:6" ht="15.75" customHeight="1">
      <c r="A32835" s="15" t="s">
        <v>14339</v>
      </c>
      <c r="B32835" s="15" t="s">
        <v>14340</v>
      </c>
      <c r="C32835" s="15" t="s">
        <v>14240</v>
      </c>
      <c r="D32835" s="15" t="s">
        <v>14341</v>
      </c>
      <c r="E32835" s="2">
        <v>140046</v>
      </c>
      <c r="F32835" s="4" t="str">
        <f>IF(B32835=B32834,"",B32835)</f>
        <v>BorÅ«jen</v>
      </c>
    </row>
    <row r="32836" spans="1:6" ht="15.75" customHeight="1">
      <c r="A32836" s="15" t="s">
        <v>25103</v>
      </c>
      <c r="B32836" s="15" t="s">
        <v>25104</v>
      </c>
      <c r="C32836" s="15" t="s">
        <v>25077</v>
      </c>
      <c r="D32836" s="15" t="s">
        <v>25086</v>
      </c>
      <c r="E32836" s="2">
        <v>2720501</v>
      </c>
      <c r="F32836" s="4" t="e">
        <f>IF(B32836=#REF!,"",B32836)</f>
        <v>#REF!</v>
      </c>
    </row>
    <row r="32837" spans="1:6" ht="15.75" customHeight="1">
      <c r="A32837" s="15" t="s">
        <v>22259</v>
      </c>
      <c r="B32837" s="15" t="s">
        <v>22259</v>
      </c>
      <c r="C32837" s="15" t="s">
        <v>22070</v>
      </c>
      <c r="D32837" s="15" t="s">
        <v>22161</v>
      </c>
      <c r="E32837" s="2">
        <v>572665</v>
      </c>
      <c r="F32837" s="4" t="e">
        <f>IF(B32837=#REF!,"",B32837)</f>
        <v>#REF!</v>
      </c>
    </row>
    <row r="32838" spans="1:6" ht="15.75" customHeight="1">
      <c r="A32838" s="15" t="s">
        <v>8219</v>
      </c>
      <c r="B32838" s="15" t="s">
        <v>8219</v>
      </c>
      <c r="C32838" s="15" t="s">
        <v>8028</v>
      </c>
      <c r="D32838" s="15" t="s">
        <v>8065</v>
      </c>
      <c r="E32838" s="2">
        <v>2946366</v>
      </c>
      <c r="F32838" s="4" t="e">
        <f>IF(B32838=#REF!,"",B32838)</f>
        <v>#REF!</v>
      </c>
    </row>
    <row r="32839" spans="1:6" ht="15.75" customHeight="1">
      <c r="A32839" s="15" t="s">
        <v>909</v>
      </c>
      <c r="B32839" s="15" t="s">
        <v>909</v>
      </c>
      <c r="C32839" s="15" t="s">
        <v>885</v>
      </c>
      <c r="D32839" s="15" t="s">
        <v>910</v>
      </c>
      <c r="E32839" s="2">
        <v>7932654</v>
      </c>
      <c r="F32839" s="4" t="e">
        <f>IF(B32839=#REF!,"",B32839)</f>
        <v>#REF!</v>
      </c>
    </row>
    <row r="32840" spans="1:6" ht="15.75" customHeight="1">
      <c r="A32840" s="15" t="s">
        <v>27338</v>
      </c>
      <c r="B32840" s="15" t="s">
        <v>27339</v>
      </c>
      <c r="C32840" s="15" t="s">
        <v>27234</v>
      </c>
      <c r="D32840" s="15" t="s">
        <v>27241</v>
      </c>
      <c r="E32840" s="2">
        <v>2655198</v>
      </c>
      <c r="F32840" s="4" t="e">
        <f>IF(B32840=#REF!,"",B32840)</f>
        <v>#REF!</v>
      </c>
    </row>
    <row r="32841" spans="1:6" ht="15.75" customHeight="1">
      <c r="A32841" s="15" t="s">
        <v>28064</v>
      </c>
      <c r="B32841" s="15" t="s">
        <v>28064</v>
      </c>
      <c r="C32841" s="15" t="s">
        <v>27788</v>
      </c>
      <c r="D32841" s="15" t="s">
        <v>27822</v>
      </c>
      <c r="E32841" s="2">
        <v>4456703</v>
      </c>
      <c r="F32841" s="4" t="e">
        <f>IF(B32841=#REF!,"",B32841)</f>
        <v>#REF!</v>
      </c>
    </row>
    <row r="32842" spans="1:6" ht="15.75" customHeight="1">
      <c r="A32842" s="15" t="s">
        <v>1533</v>
      </c>
      <c r="B32842" s="15" t="s">
        <v>1534</v>
      </c>
      <c r="C32842" s="15" t="s">
        <v>1512</v>
      </c>
      <c r="D32842" s="15" t="s">
        <v>1513</v>
      </c>
      <c r="E32842" s="2">
        <v>2801494</v>
      </c>
      <c r="F32842" s="4" t="e">
        <f>IF(B32842=#REF!,"",B32842)</f>
        <v>#REF!</v>
      </c>
    </row>
    <row r="32843" spans="1:6" ht="15.75" customHeight="1">
      <c r="A32843" s="15" t="s">
        <v>25101</v>
      </c>
      <c r="B32843" s="15" t="s">
        <v>25102</v>
      </c>
      <c r="C32843" s="15" t="s">
        <v>25077</v>
      </c>
      <c r="D32843" s="15" t="s">
        <v>25081</v>
      </c>
      <c r="E32843" s="2">
        <v>2721259</v>
      </c>
      <c r="F32843" s="4" t="e">
        <f>IF(B32843=#REF!,"",B32843)</f>
        <v>#REF!</v>
      </c>
    </row>
    <row r="32844" spans="1:6" ht="15.75" customHeight="1">
      <c r="A32844" s="15" t="s">
        <v>13866</v>
      </c>
      <c r="B32844" s="15" t="s">
        <v>13866</v>
      </c>
      <c r="C32844" s="15" t="s">
        <v>13800</v>
      </c>
      <c r="D32844" s="15" t="s">
        <v>13823</v>
      </c>
      <c r="E32844" s="2">
        <v>1648186</v>
      </c>
      <c r="F32844" s="4" t="e">
        <f>IF(B32844=#REF!,"",B32844)</f>
        <v>#REF!</v>
      </c>
    </row>
    <row r="32845" spans="1:6" ht="15.75" customHeight="1">
      <c r="A32845" s="15" t="s">
        <v>15619</v>
      </c>
      <c r="B32845" s="15" t="s">
        <v>15619</v>
      </c>
      <c r="C32845" s="15" t="s">
        <v>15586</v>
      </c>
      <c r="D32845" s="15" t="s">
        <v>15593</v>
      </c>
      <c r="E32845" s="2">
        <v>2291087</v>
      </c>
      <c r="F32845" s="4" t="e">
        <f>IF(B32845=#REF!,"",B32845)</f>
        <v>#REF!</v>
      </c>
    </row>
    <row r="32846" spans="1:6" ht="15.75" customHeight="1">
      <c r="A32846" s="15" t="s">
        <v>19356</v>
      </c>
      <c r="B32846" s="15" t="s">
        <v>19356</v>
      </c>
      <c r="C32846" s="15" t="s">
        <v>19294</v>
      </c>
      <c r="D32846" s="15" t="s">
        <v>19357</v>
      </c>
      <c r="E32846" s="2">
        <v>2346812</v>
      </c>
      <c r="F32846" s="4" t="e">
        <f>IF(B32846=#REF!,"",B32846)</f>
        <v>#REF!</v>
      </c>
    </row>
    <row r="32847" spans="1:6" ht="15.75" customHeight="1">
      <c r="A32847" s="16" t="s">
        <v>28062</v>
      </c>
      <c r="B32847" s="15" t="s">
        <v>28063</v>
      </c>
      <c r="C32847" s="16" t="s">
        <v>27788</v>
      </c>
      <c r="D32847" s="16" t="s">
        <v>27733</v>
      </c>
      <c r="E32847" s="2">
        <v>5787776</v>
      </c>
      <c r="F32847" s="4" t="e">
        <f>IF(B32847=#REF!,"",B32847)</f>
        <v>#REF!</v>
      </c>
    </row>
    <row r="32848" spans="1:6" ht="15.75" customHeight="1">
      <c r="A32848" s="16" t="s">
        <v>7174</v>
      </c>
      <c r="B32848" s="15" t="s">
        <v>7174</v>
      </c>
      <c r="C32848" s="16" t="s">
        <v>7052</v>
      </c>
      <c r="D32848" s="16" t="s">
        <v>7058</v>
      </c>
      <c r="E32848" s="2">
        <v>3031709</v>
      </c>
      <c r="F32848" s="4" t="e">
        <f>IF(B32848=#REF!,"",B32848)</f>
        <v>#REF!</v>
      </c>
    </row>
    <row r="32849" spans="1:6" ht="15.75" customHeight="1">
      <c r="A32849" s="15" t="s">
        <v>8218</v>
      </c>
      <c r="B32849" s="15" t="s">
        <v>8218</v>
      </c>
      <c r="C32849" s="15" t="s">
        <v>8028</v>
      </c>
      <c r="D32849" s="15" t="s">
        <v>8029</v>
      </c>
      <c r="E32849" s="2">
        <v>2946447</v>
      </c>
      <c r="F32849" s="4" t="e">
        <f>IF(B32849=#REF!,"",B32849)</f>
        <v>#REF!</v>
      </c>
    </row>
    <row r="32850" spans="1:6" ht="15.75" customHeight="1">
      <c r="A32850" s="16" t="s">
        <v>28061</v>
      </c>
      <c r="B32850" s="15" t="s">
        <v>28061</v>
      </c>
      <c r="C32850" s="16" t="s">
        <v>27788</v>
      </c>
      <c r="D32850" s="16" t="s">
        <v>5468</v>
      </c>
      <c r="E32850" s="2">
        <v>4148533</v>
      </c>
      <c r="F32850" s="4" t="e">
        <f>IF(B32850=#REF!,"",B32850)</f>
        <v>#REF!</v>
      </c>
    </row>
    <row r="32851" spans="1:6" ht="15.75" customHeight="1">
      <c r="A32851" s="16" t="s">
        <v>15618</v>
      </c>
      <c r="B32851" s="15" t="s">
        <v>15618</v>
      </c>
      <c r="C32851" s="16" t="s">
        <v>15586</v>
      </c>
      <c r="D32851" s="16" t="s">
        <v>15607</v>
      </c>
      <c r="E32851" s="2">
        <v>2291113</v>
      </c>
      <c r="F32851" s="4" t="e">
        <f>IF(B32851=#REF!,"",B32851)</f>
        <v>#REF!</v>
      </c>
    </row>
    <row r="32852" spans="1:6" ht="15.75" customHeight="1">
      <c r="A32852" s="15" t="s">
        <v>4317</v>
      </c>
      <c r="B32852" s="15" t="s">
        <v>4318</v>
      </c>
      <c r="C32852" s="15" t="s">
        <v>4305</v>
      </c>
      <c r="D32852" s="15" t="s">
        <v>4319</v>
      </c>
      <c r="E32852" s="2">
        <v>2434910</v>
      </c>
      <c r="F32852" s="4" t="e">
        <f>IF(B32852=#REF!,"",B32852)</f>
        <v>#REF!</v>
      </c>
    </row>
    <row r="32853" spans="1:6" ht="15.75" customHeight="1">
      <c r="A32853" s="15" t="s">
        <v>20682</v>
      </c>
      <c r="B32853" s="15" t="s">
        <v>20682</v>
      </c>
      <c r="C32853" s="15" t="s">
        <v>20598</v>
      </c>
      <c r="D32853" s="15" t="s">
        <v>20683</v>
      </c>
      <c r="E32853" s="2">
        <v>1724088</v>
      </c>
      <c r="F32853" s="4" t="e">
        <f>IF(B32853=#REF!,"",B32853)</f>
        <v>#REF!</v>
      </c>
    </row>
    <row r="32854" spans="1:6" ht="15.75" customHeight="1">
      <c r="A32854" s="16" t="s">
        <v>10829</v>
      </c>
      <c r="B32854" s="15" t="s">
        <v>10829</v>
      </c>
      <c r="C32854" s="16" t="s">
        <v>10178</v>
      </c>
      <c r="D32854" s="16" t="s">
        <v>10239</v>
      </c>
      <c r="E32854" s="2">
        <v>1275321</v>
      </c>
      <c r="F32854" s="4" t="e">
        <f>IF(B32854=#REF!,"",B32854)</f>
        <v>#REF!</v>
      </c>
    </row>
    <row r="32855" spans="1:6" ht="15.75" customHeight="1">
      <c r="A32855" s="16" t="s">
        <v>20681</v>
      </c>
      <c r="B32855" s="15" t="s">
        <v>20681</v>
      </c>
      <c r="C32855" s="16" t="s">
        <v>20598</v>
      </c>
      <c r="D32855" s="16" t="s">
        <v>20599</v>
      </c>
      <c r="E32855" s="2">
        <v>1724106</v>
      </c>
      <c r="F32855" s="4" t="e">
        <f>IF(B32855=#REF!,"",B32855)</f>
        <v>#REF!</v>
      </c>
    </row>
    <row r="32856" spans="1:6" ht="15.75" customHeight="1">
      <c r="A32856" s="15" t="s">
        <v>6848</v>
      </c>
      <c r="B32856" s="15" t="s">
        <v>6848</v>
      </c>
      <c r="C32856" s="15" t="s">
        <v>6807</v>
      </c>
      <c r="D32856" s="15" t="s">
        <v>6817</v>
      </c>
      <c r="E32856" s="2">
        <v>341742</v>
      </c>
      <c r="F32856" s="4" t="str">
        <f>IF(B32856=B32855,"",B32856)</f>
        <v>Bonga</v>
      </c>
    </row>
    <row r="32857" spans="1:6" ht="15.75" customHeight="1">
      <c r="A32857" s="16" t="str">
        <f ca="1">IFERROR(__xludf.DUMMYFUNCTION("GOOGLETRANSLATE(B28241,""en"",""pt"")"),"Bönen")</f>
        <v>Bönen</v>
      </c>
      <c r="B32857" s="20" t="s">
        <v>32131</v>
      </c>
      <c r="C32857" s="20" t="s">
        <v>8028</v>
      </c>
      <c r="D32857" s="20" t="s">
        <v>8029</v>
      </c>
      <c r="E32857" s="10">
        <v>2946478</v>
      </c>
      <c r="F32857" s="4" t="e">
        <f>IF(B32857=#REF!,"",B32857)</f>
        <v>#REF!</v>
      </c>
    </row>
    <row r="32858" spans="1:6" ht="15.75" customHeight="1">
      <c r="A32858" s="15" t="s">
        <v>7173</v>
      </c>
      <c r="B32858" s="15" t="s">
        <v>7173</v>
      </c>
      <c r="C32858" s="15" t="s">
        <v>7052</v>
      </c>
      <c r="D32858" s="15" t="s">
        <v>7058</v>
      </c>
      <c r="E32858" s="2">
        <v>3031815</v>
      </c>
      <c r="F32858" s="4" t="e">
        <f>IF(B32858=#REF!,"",B32858)</f>
        <v>#REF!</v>
      </c>
    </row>
    <row r="32859" spans="1:6" ht="15.75" customHeight="1">
      <c r="A32859" s="16" t="s">
        <v>13865</v>
      </c>
      <c r="B32859" s="15" t="s">
        <v>13865</v>
      </c>
      <c r="C32859" s="16" t="s">
        <v>13800</v>
      </c>
      <c r="D32859" s="16" t="s">
        <v>13816</v>
      </c>
      <c r="E32859" s="2">
        <v>1648266</v>
      </c>
      <c r="F32859" s="4" t="e">
        <f>IF(B32859=#REF!,"",B32859)</f>
        <v>#REF!</v>
      </c>
    </row>
    <row r="32860" spans="1:6" ht="15.75" customHeight="1">
      <c r="A32860" s="16" t="s">
        <v>15616</v>
      </c>
      <c r="B32860" s="15" t="s">
        <v>15616</v>
      </c>
      <c r="C32860" s="16" t="s">
        <v>15586</v>
      </c>
      <c r="D32860" s="16" t="s">
        <v>15617</v>
      </c>
      <c r="E32860" s="2">
        <v>2291136</v>
      </c>
      <c r="F32860" s="4" t="e">
        <f>IF(B32860=#REF!,"",B32860)</f>
        <v>#REF!</v>
      </c>
    </row>
    <row r="32861" spans="1:6" ht="15.75" customHeight="1">
      <c r="A32861" s="15" t="s">
        <v>6136</v>
      </c>
      <c r="B32861" s="15" t="s">
        <v>6136</v>
      </c>
      <c r="C32861" s="15" t="s">
        <v>6127</v>
      </c>
      <c r="D32861" s="15" t="s">
        <v>6128</v>
      </c>
      <c r="E32861" s="2">
        <v>218253</v>
      </c>
      <c r="F32861" s="4" t="e">
        <f>IF(B32861=#REF!,"",B32861)</f>
        <v>#REF!</v>
      </c>
    </row>
    <row r="32862" spans="1:6" ht="15.75" customHeight="1">
      <c r="A32862" s="15" t="s">
        <v>6313</v>
      </c>
      <c r="B32862" s="15" t="s">
        <v>6313</v>
      </c>
      <c r="C32862" s="15" t="s">
        <v>6303</v>
      </c>
      <c r="D32862" s="15" t="s">
        <v>6314</v>
      </c>
      <c r="E32862" s="2">
        <v>3511233</v>
      </c>
      <c r="F32862" s="4" t="str">
        <f>IF(B32862=B32861,"",B32862)</f>
        <v>Bonao</v>
      </c>
    </row>
    <row r="32863" spans="1:6" ht="15.75" customHeight="1">
      <c r="A32863" s="16" t="str">
        <f ca="1">IFERROR(__xludf.DUMMYFUNCTION("GOOGLETRANSLATE(B34477,""en"",""pt"")"),"Bonāb")</f>
        <v>Bonāb</v>
      </c>
      <c r="B32863" s="20" t="s">
        <v>34224</v>
      </c>
      <c r="C32863" s="20" t="s">
        <v>14240</v>
      </c>
      <c r="D32863" s="20" t="s">
        <v>14241</v>
      </c>
      <c r="E32863" s="10">
        <v>140889</v>
      </c>
      <c r="F32863" s="4" t="str">
        <f>IF(B32863=B32862,"",B32863)</f>
        <v>Bonāb</v>
      </c>
    </row>
    <row r="32864" spans="1:6" ht="15.75" customHeight="1">
      <c r="A32864" s="15" t="s">
        <v>14337</v>
      </c>
      <c r="B32864" s="15" t="s">
        <v>14338</v>
      </c>
      <c r="C32864" s="15" t="s">
        <v>14240</v>
      </c>
      <c r="D32864" s="15" t="s">
        <v>14241</v>
      </c>
      <c r="E32864" s="2">
        <v>140889</v>
      </c>
      <c r="F32864" s="4" t="e">
        <f>IF(B32864=#REF!,"",B32864)</f>
        <v>#REF!</v>
      </c>
    </row>
    <row r="32865" spans="1:6" ht="15.75" customHeight="1">
      <c r="A32865" s="16" t="s">
        <v>2142</v>
      </c>
      <c r="B32865" s="15" t="s">
        <v>2142</v>
      </c>
      <c r="C32865" s="16" t="s">
        <v>1905</v>
      </c>
      <c r="D32865" s="16" t="s">
        <v>1978</v>
      </c>
      <c r="E32865" s="2">
        <v>3469425</v>
      </c>
      <c r="F32865" s="4" t="e">
        <f>IF(B32865=#REF!,"",B32865)</f>
        <v>#REF!</v>
      </c>
    </row>
    <row r="32866" spans="1:6" ht="15.75" customHeight="1">
      <c r="A32866" s="16" t="s">
        <v>2141</v>
      </c>
      <c r="B32866" s="15" t="s">
        <v>2141</v>
      </c>
      <c r="C32866" s="16" t="s">
        <v>1905</v>
      </c>
      <c r="D32866" s="16" t="s">
        <v>1947</v>
      </c>
      <c r="E32866" s="2">
        <v>3469437</v>
      </c>
      <c r="F32866" s="4" t="e">
        <f>IF(B32866=#REF!,"",B32866)</f>
        <v>#REF!</v>
      </c>
    </row>
    <row r="32867" spans="1:6" ht="15.75" customHeight="1">
      <c r="A32867" s="16" t="s">
        <v>2140</v>
      </c>
      <c r="B32867" s="15" t="s">
        <v>2140</v>
      </c>
      <c r="C32867" s="16" t="s">
        <v>1905</v>
      </c>
      <c r="D32867" s="16" t="s">
        <v>1917</v>
      </c>
      <c r="E32867" s="2">
        <v>3469516</v>
      </c>
      <c r="F32867" s="4" t="e">
        <f>IF(B32867=#REF!,"",B32867)</f>
        <v>#REF!</v>
      </c>
    </row>
    <row r="32868" spans="1:6" ht="15.75" customHeight="1">
      <c r="A32868" s="16" t="s">
        <v>2139</v>
      </c>
      <c r="B32868" s="15" t="s">
        <v>2139</v>
      </c>
      <c r="C32868" s="16" t="s">
        <v>1905</v>
      </c>
      <c r="D32868" s="16" t="s">
        <v>1909</v>
      </c>
      <c r="E32868" s="2">
        <v>3405380</v>
      </c>
      <c r="F32868" s="4" t="e">
        <f>IF(B32868=#REF!,"",B32868)</f>
        <v>#REF!</v>
      </c>
    </row>
    <row r="32869" spans="1:6" ht="15.75" customHeight="1">
      <c r="A32869" s="15" t="s">
        <v>14985</v>
      </c>
      <c r="B32869" s="15" t="s">
        <v>14985</v>
      </c>
      <c r="C32869" s="15" t="s">
        <v>14891</v>
      </c>
      <c r="D32869" s="15" t="s">
        <v>14986</v>
      </c>
      <c r="E32869" s="2">
        <v>3181913</v>
      </c>
      <c r="F32869" s="4" t="e">
        <f>IF(B32869=#REF!,"",B32869)</f>
        <v>#REF!</v>
      </c>
    </row>
    <row r="32870" spans="1:6" ht="15.75" customHeight="1">
      <c r="A32870" s="15" t="s">
        <v>26411</v>
      </c>
      <c r="B32870" s="15" t="s">
        <v>26411</v>
      </c>
      <c r="C32870" s="15" t="s">
        <v>26201</v>
      </c>
      <c r="D32870" s="15" t="s">
        <v>26237</v>
      </c>
      <c r="E32870" s="2">
        <v>320879</v>
      </c>
      <c r="F32870" s="4" t="e">
        <f>IF(B32870=#REF!,"",B32870)</f>
        <v>#REF!</v>
      </c>
    </row>
    <row r="32871" spans="1:6" ht="15.75" customHeight="1">
      <c r="A32871" s="15" t="s">
        <v>26410</v>
      </c>
      <c r="B32871" s="15" t="s">
        <v>26410</v>
      </c>
      <c r="C32871" s="15" t="s">
        <v>26201</v>
      </c>
      <c r="D32871" s="15" t="s">
        <v>26410</v>
      </c>
      <c r="E32871" s="2">
        <v>750516</v>
      </c>
      <c r="F32871" s="4" t="e">
        <f>IF(B32871=#REF!,"",B32871)</f>
        <v>#REF!</v>
      </c>
    </row>
    <row r="32872" spans="1:6" ht="15.75" customHeight="1">
      <c r="A32872" s="15" t="s">
        <v>27337</v>
      </c>
      <c r="B32872" s="15" t="s">
        <v>27337</v>
      </c>
      <c r="C32872" s="15" t="s">
        <v>27234</v>
      </c>
      <c r="D32872" s="15" t="s">
        <v>27241</v>
      </c>
      <c r="E32872" s="2">
        <v>2655237</v>
      </c>
      <c r="F32872" s="4" t="e">
        <f>IF(B32872=#REF!,"",B32872)</f>
        <v>#REF!</v>
      </c>
    </row>
    <row r="32873" spans="1:6" ht="15.75" customHeight="1">
      <c r="A32873" s="15" t="s">
        <v>10828</v>
      </c>
      <c r="B32873" s="15" t="s">
        <v>10828</v>
      </c>
      <c r="C32873" s="15" t="s">
        <v>10178</v>
      </c>
      <c r="D32873" s="15" t="s">
        <v>10201</v>
      </c>
      <c r="E32873" s="2">
        <v>1275346</v>
      </c>
      <c r="F32873" s="4" t="e">
        <f>IF(B32873=#REF!,"",B32873)</f>
        <v>#REF!</v>
      </c>
    </row>
    <row r="32874" spans="1:6" ht="15.75" customHeight="1">
      <c r="A32874" s="16" t="s">
        <v>22258</v>
      </c>
      <c r="B32874" s="15" t="s">
        <v>22258</v>
      </c>
      <c r="C32874" s="16" t="s">
        <v>22070</v>
      </c>
      <c r="D32874" s="16" t="s">
        <v>22092</v>
      </c>
      <c r="E32874" s="2">
        <v>1509819</v>
      </c>
      <c r="F32874" s="4" t="e">
        <f>IF(B32874=#REF!,"",B32874)</f>
        <v>#REF!</v>
      </c>
    </row>
    <row r="32875" spans="1:6" ht="15.75" customHeight="1">
      <c r="A32875" s="15" t="s">
        <v>22256</v>
      </c>
      <c r="B32875" s="15" t="s">
        <v>22257</v>
      </c>
      <c r="C32875" s="15" t="s">
        <v>22070</v>
      </c>
      <c r="D32875" s="15" t="s">
        <v>22229</v>
      </c>
      <c r="E32875" s="2">
        <v>575349</v>
      </c>
      <c r="F32875" s="4" t="e">
        <f>IF(B32875=#REF!,"",B32875)</f>
        <v>#REF!</v>
      </c>
    </row>
    <row r="32876" spans="1:6" ht="15.75" customHeight="1">
      <c r="A32876" s="15" t="s">
        <v>14983</v>
      </c>
      <c r="B32876" s="15" t="s">
        <v>14984</v>
      </c>
      <c r="C32876" s="15" t="s">
        <v>14891</v>
      </c>
      <c r="D32876" s="15" t="s">
        <v>14973</v>
      </c>
      <c r="E32876" s="2">
        <v>3181928</v>
      </c>
      <c r="F32876" s="4" t="e">
        <f>IF(B32876=#REF!,"",B32876)</f>
        <v>#REF!</v>
      </c>
    </row>
    <row r="32877" spans="1:6" ht="15.75" customHeight="1">
      <c r="A32877" s="15" t="s">
        <v>6135</v>
      </c>
      <c r="B32877" s="15" t="s">
        <v>6135</v>
      </c>
      <c r="C32877" s="15" t="s">
        <v>6127</v>
      </c>
      <c r="D32877" s="15" t="s">
        <v>6129</v>
      </c>
      <c r="E32877" s="2">
        <v>2316748</v>
      </c>
      <c r="F32877" s="4" t="e">
        <f>IF(B32877=#REF!,"",B32877)</f>
        <v>#REF!</v>
      </c>
    </row>
    <row r="32878" spans="1:6" ht="15.75" customHeight="1">
      <c r="A32878" s="15" t="s">
        <v>14982</v>
      </c>
      <c r="B32878" s="15" t="s">
        <v>14982</v>
      </c>
      <c r="C32878" s="15" t="s">
        <v>14891</v>
      </c>
      <c r="D32878" s="15" t="s">
        <v>14894</v>
      </c>
      <c r="E32878" s="2">
        <v>3181931</v>
      </c>
      <c r="F32878" s="4" t="e">
        <f>IF(B32878=#REF!,"",B32878)</f>
        <v>#REF!</v>
      </c>
    </row>
    <row r="32879" spans="1:6" ht="15.75" customHeight="1">
      <c r="A32879" s="16" t="s">
        <v>28060</v>
      </c>
      <c r="B32879" s="15" t="s">
        <v>28060</v>
      </c>
      <c r="C32879" s="16" t="s">
        <v>27788</v>
      </c>
      <c r="D32879" s="16" t="s">
        <v>27799</v>
      </c>
      <c r="E32879" s="2">
        <v>4885265</v>
      </c>
      <c r="F32879" s="4" t="e">
        <f>IF(B32879=#REF!,"",B32879)</f>
        <v>#REF!</v>
      </c>
    </row>
    <row r="32880" spans="1:6" ht="15.75" customHeight="1">
      <c r="A32880" s="15" t="s">
        <v>4555</v>
      </c>
      <c r="B32880" s="15" t="s">
        <v>4555</v>
      </c>
      <c r="C32880" s="15" t="s">
        <v>4487</v>
      </c>
      <c r="D32880" s="15" t="s">
        <v>4488</v>
      </c>
      <c r="E32880" s="2">
        <v>2038274</v>
      </c>
      <c r="F32880" s="4" t="e">
        <f>IF(B32880=#REF!,"",B32880)</f>
        <v>#REF!</v>
      </c>
    </row>
    <row r="32881" spans="1:6" ht="15.75" customHeight="1">
      <c r="A32881" s="15" t="s">
        <v>26914</v>
      </c>
      <c r="B32881" s="15" t="s">
        <v>26914</v>
      </c>
      <c r="C32881" s="15" t="s">
        <v>26870</v>
      </c>
      <c r="D32881" s="15" t="s">
        <v>26884</v>
      </c>
      <c r="E32881" s="2">
        <v>711841</v>
      </c>
      <c r="F32881" s="4" t="e">
        <f>IF(B32881=#REF!,"",B32881)</f>
        <v>#REF!</v>
      </c>
    </row>
    <row r="32882" spans="1:6" ht="15.75" customHeight="1">
      <c r="A32882" s="16" t="s">
        <v>9385</v>
      </c>
      <c r="B32882" s="15" t="s">
        <v>9385</v>
      </c>
      <c r="C32882" s="16" t="s">
        <v>9365</v>
      </c>
      <c r="D32882" s="16" t="s">
        <v>9380</v>
      </c>
      <c r="E32882" s="2">
        <v>2302821</v>
      </c>
      <c r="F32882" s="4" t="str">
        <f>IF(B32882=B32881,"",B32882)</f>
        <v>Bolgatanga</v>
      </c>
    </row>
    <row r="32883" spans="1:6" ht="15.75" customHeight="1">
      <c r="A32883" s="16" t="str">
        <f ca="1">IFERROR(__xludf.DUMMYFUNCTION("GOOGLETRANSLATE(B39487,""en"",""pt"")"),"Bolesławiec")</f>
        <v>Bolesławiec</v>
      </c>
      <c r="B32883" s="20" t="s">
        <v>35243</v>
      </c>
      <c r="C32883" s="20" t="s">
        <v>21064</v>
      </c>
      <c r="D32883" s="20" t="s">
        <v>21118</v>
      </c>
      <c r="E32883" s="10">
        <v>3102987</v>
      </c>
      <c r="F32883" s="4" t="str">
        <f>IF(B32883=B32882,"",B32883)</f>
        <v>Bolesławiec</v>
      </c>
    </row>
    <row r="32884" spans="1:6" ht="15.75" customHeight="1">
      <c r="A32884" s="16" t="s">
        <v>21160</v>
      </c>
      <c r="B32884" s="15" t="s">
        <v>21161</v>
      </c>
      <c r="C32884" s="16" t="s">
        <v>21064</v>
      </c>
      <c r="D32884" s="16" t="s">
        <v>21118</v>
      </c>
      <c r="E32884" s="2">
        <v>3102987</v>
      </c>
      <c r="F32884" s="4" t="e">
        <f>IF(B32884=#REF!,"",B32884)</f>
        <v>#REF!</v>
      </c>
    </row>
    <row r="32885" spans="1:6" ht="15.75" customHeight="1">
      <c r="A32885" s="16" t="s">
        <v>26786</v>
      </c>
      <c r="B32885" s="15" t="s">
        <v>26786</v>
      </c>
      <c r="C32885" s="16" t="s">
        <v>26774</v>
      </c>
      <c r="D32885" s="16" t="s">
        <v>26787</v>
      </c>
      <c r="E32885" s="2">
        <v>601661</v>
      </c>
      <c r="F32885" s="4" t="str">
        <f>IF(B32885=B32884,"",B32885)</f>
        <v>Boldumsaz</v>
      </c>
    </row>
    <row r="32886" spans="1:6" ht="15.75" customHeight="1">
      <c r="A32886" s="16" t="s">
        <v>22254</v>
      </c>
      <c r="B32886" s="15" t="s">
        <v>22255</v>
      </c>
      <c r="C32886" s="16" t="s">
        <v>22070</v>
      </c>
      <c r="D32886" s="16" t="s">
        <v>22154</v>
      </c>
      <c r="E32886" s="2">
        <v>2026303</v>
      </c>
      <c r="F32886" s="4" t="str">
        <f>IF(B32886=B32885,"",B32886)</f>
        <v>Bolâ€™shoy Kamenâ€™</v>
      </c>
    </row>
    <row r="32887" spans="1:6" ht="15.75" customHeight="1">
      <c r="A32887" s="16" t="s">
        <v>22252</v>
      </c>
      <c r="B32887" s="15" t="s">
        <v>22253</v>
      </c>
      <c r="C32887" s="16" t="s">
        <v>22070</v>
      </c>
      <c r="D32887" s="16" t="s">
        <v>22119</v>
      </c>
      <c r="E32887" s="2">
        <v>574675</v>
      </c>
      <c r="F32887" s="4" t="str">
        <f>IF(B32887=B32886,"",B32887)</f>
        <v>Bolâ€™shaya Setunâ€™</v>
      </c>
    </row>
    <row r="32888" spans="1:6" ht="15.75" customHeight="1">
      <c r="A32888" s="16" t="str">
        <f ca="1">IFERROR(__xludf.DUMMYFUNCTION("GOOGLETRANSLATE(B40935,""en"",""pt"")"),"Bol'shoy Kamen '")</f>
        <v>Bol'shoy Kamen '</v>
      </c>
      <c r="B32888" s="20" t="s">
        <v>35561</v>
      </c>
      <c r="C32888" s="20" t="s">
        <v>22070</v>
      </c>
      <c r="D32888" s="20" t="s">
        <v>22154</v>
      </c>
      <c r="E32888" s="10">
        <v>2026303</v>
      </c>
      <c r="F32888" s="4" t="str">
        <f>IF(B32888=B32887,"",B32888)</f>
        <v>Bol’shoy Kamen’</v>
      </c>
    </row>
    <row r="32889" spans="1:6" ht="15.75" customHeight="1">
      <c r="A32889" s="16" t="str">
        <f ca="1">IFERROR(__xludf.DUMMYFUNCTION("GOOGLETRANSLATE(B40616,""en"",""pt"")"),"Bol'Shaya setun '")</f>
        <v>Bol'Shaya setun '</v>
      </c>
      <c r="B32889" s="20" t="s">
        <v>35521</v>
      </c>
      <c r="C32889" s="20" t="s">
        <v>22070</v>
      </c>
      <c r="D32889" s="20" t="s">
        <v>22119</v>
      </c>
      <c r="E32889" s="10">
        <v>574675</v>
      </c>
      <c r="F32889" s="4" t="e">
        <f>IF(B32889=#REF!,"",B32889)</f>
        <v>#REF!</v>
      </c>
    </row>
    <row r="32890" spans="1:6" ht="15.75" customHeight="1">
      <c r="A32890" s="16" t="s">
        <v>22251</v>
      </c>
      <c r="B32890" s="15" t="s">
        <v>22251</v>
      </c>
      <c r="C32890" s="16" t="s">
        <v>22070</v>
      </c>
      <c r="D32890" s="16" t="s">
        <v>22094</v>
      </c>
      <c r="E32890" s="2">
        <v>575410</v>
      </c>
      <c r="F32890" s="4" t="e">
        <f>IF(B32890=#REF!,"",B32890)</f>
        <v>#REF!</v>
      </c>
    </row>
    <row r="32891" spans="1:6" ht="15.75" customHeight="1">
      <c r="A32891" s="15" t="s">
        <v>23861</v>
      </c>
      <c r="B32891" s="15" t="s">
        <v>23861</v>
      </c>
      <c r="C32891" s="15" t="s">
        <v>23842</v>
      </c>
      <c r="D32891" s="15" t="s">
        <v>23855</v>
      </c>
      <c r="E32891" s="2">
        <v>1017780</v>
      </c>
      <c r="F32891" s="4" t="str">
        <f>IF(B32891=B32890,"",B32891)</f>
        <v>Boksburg</v>
      </c>
    </row>
    <row r="32892" spans="1:6" ht="15.75" customHeight="1">
      <c r="A32892" s="16" t="str">
        <f ca="1">IFERROR(__xludf.DUMMYFUNCTION("GOOGLETRANSLATE(B30939,""en"",""pt"")"),"Boké")</f>
        <v>Boké</v>
      </c>
      <c r="B32892" s="20" t="s">
        <v>9824</v>
      </c>
      <c r="C32892" s="20" t="s">
        <v>9826</v>
      </c>
      <c r="D32892" s="20" t="s">
        <v>9827</v>
      </c>
      <c r="E32892" s="10">
        <v>2422924</v>
      </c>
      <c r="F32892" s="4" t="str">
        <f>IF(B32892=B32891,"",B32892)</f>
        <v>Boké</v>
      </c>
    </row>
    <row r="32893" spans="1:6" ht="15.75" customHeight="1">
      <c r="A32893" s="16" t="str">
        <f ca="1">IFERROR(__xludf.DUMMYFUNCTION("GOOGLETRANSLATE(B33787,""en"",""pt"")"),"Bokāro")</f>
        <v>Bokāro</v>
      </c>
      <c r="B32893" s="20" t="s">
        <v>33860</v>
      </c>
      <c r="C32893" s="20" t="s">
        <v>10178</v>
      </c>
      <c r="D32893" s="20" t="s">
        <v>10430</v>
      </c>
      <c r="E32893" s="10">
        <v>1275362</v>
      </c>
      <c r="F32893" s="4" t="str">
        <f>IF(B32893=B32892,"",B32893)</f>
        <v>Bokāro</v>
      </c>
    </row>
    <row r="32894" spans="1:6" ht="15.75" customHeight="1">
      <c r="A32894" s="16" t="str">
        <f ca="1">IFERROR(__xludf.DUMMYFUNCTION("GOOGLETRANSLATE(B33788,""en"",""pt"")"),"Bokajān")</f>
        <v>Bokajān</v>
      </c>
      <c r="B32894" s="20" t="s">
        <v>33861</v>
      </c>
      <c r="C32894" s="20" t="s">
        <v>10178</v>
      </c>
      <c r="D32894" s="20" t="s">
        <v>10239</v>
      </c>
      <c r="E32894" s="10">
        <v>1275364</v>
      </c>
      <c r="F32894" s="4" t="str">
        <f>IF(B32894=B32893,"",B32894)</f>
        <v>Bokajān</v>
      </c>
    </row>
    <row r="32895" spans="1:6" ht="15.75" customHeight="1">
      <c r="A32895" s="15" t="s">
        <v>10826</v>
      </c>
      <c r="B32895" s="15" t="s">
        <v>10827</v>
      </c>
      <c r="C32895" s="15" t="s">
        <v>10178</v>
      </c>
      <c r="D32895" s="15" t="s">
        <v>10239</v>
      </c>
      <c r="E32895" s="2">
        <v>1275364</v>
      </c>
      <c r="F32895" s="4" t="str">
        <f>IF(B32895=B32894,"",B32895)</f>
        <v>BokajÄn</v>
      </c>
    </row>
    <row r="32896" spans="1:6" ht="15.75" customHeight="1">
      <c r="A32896" s="15" t="s">
        <v>10824</v>
      </c>
      <c r="B32896" s="15" t="s">
        <v>10825</v>
      </c>
      <c r="C32896" s="15" t="s">
        <v>10178</v>
      </c>
      <c r="D32896" s="15" t="s">
        <v>10430</v>
      </c>
      <c r="E32896" s="2">
        <v>1275362</v>
      </c>
      <c r="F32896" s="4" t="str">
        <f>IF(B32896=B32895,"",B32896)</f>
        <v>BokÄro</v>
      </c>
    </row>
    <row r="32897" spans="1:6" ht="15.75" customHeight="1">
      <c r="A32897" s="15" t="s">
        <v>9824</v>
      </c>
      <c r="B32897" s="15" t="s">
        <v>9825</v>
      </c>
      <c r="C32897" s="15" t="s">
        <v>9826</v>
      </c>
      <c r="D32897" s="15" t="s">
        <v>9827</v>
      </c>
      <c r="E32897" s="2">
        <v>2422924</v>
      </c>
      <c r="F32897" s="4" t="e">
        <f>IF(B32897=#REF!,"",B32897)</f>
        <v>#REF!</v>
      </c>
    </row>
    <row r="32898" spans="1:6" ht="15.75" customHeight="1">
      <c r="A32898" s="16" t="s">
        <v>13864</v>
      </c>
      <c r="B32898" s="15" t="s">
        <v>13864</v>
      </c>
      <c r="C32898" s="16" t="s">
        <v>13800</v>
      </c>
      <c r="D32898" s="16" t="s">
        <v>13816</v>
      </c>
      <c r="E32898" s="2">
        <v>1648451</v>
      </c>
      <c r="F32898" s="4" t="str">
        <f>IF(B32898=B32897,"",B32898)</f>
        <v>Bojonegoro</v>
      </c>
    </row>
    <row r="32899" spans="1:6" ht="15.75" customHeight="1">
      <c r="A32899" s="16" t="str">
        <f ca="1">IFERROR(__xludf.DUMMYFUNCTION("GOOGLETRANSLATE(B34474,""en"",""pt"")"),"Bojnūrd")</f>
        <v>Bojnūrd</v>
      </c>
      <c r="B32899" s="20" t="s">
        <v>34221</v>
      </c>
      <c r="C32899" s="20" t="s">
        <v>14240</v>
      </c>
      <c r="D32899" s="20" t="s">
        <v>34141</v>
      </c>
      <c r="E32899" s="10">
        <v>140380</v>
      </c>
      <c r="F32899" s="4" t="str">
        <f>IF(B32899=B32898,"",B32899)</f>
        <v>Bojnūrd</v>
      </c>
    </row>
    <row r="32900" spans="1:6" ht="15.75" customHeight="1">
      <c r="A32900" s="15" t="s">
        <v>14334</v>
      </c>
      <c r="B32900" s="15" t="s">
        <v>14335</v>
      </c>
      <c r="C32900" s="15" t="s">
        <v>14240</v>
      </c>
      <c r="D32900" s="15" t="s">
        <v>14336</v>
      </c>
      <c r="E32900" s="2">
        <v>140380</v>
      </c>
      <c r="F32900" s="4" t="e">
        <f>IF(B32900=#REF!,"",B32900)</f>
        <v>#REF!</v>
      </c>
    </row>
    <row r="32901" spans="1:6" ht="15.75" customHeight="1">
      <c r="A32901" s="15" t="s">
        <v>4554</v>
      </c>
      <c r="B32901" s="15" t="s">
        <v>4554</v>
      </c>
      <c r="C32901" s="15" t="s">
        <v>4487</v>
      </c>
      <c r="D32901" s="15" t="s">
        <v>4495</v>
      </c>
      <c r="E32901" s="2">
        <v>1929434</v>
      </c>
      <c r="F32901" s="4" t="e">
        <f>IF(B32901=#REF!,"",B32901)</f>
        <v>#REF!</v>
      </c>
    </row>
    <row r="32902" spans="1:6" ht="15.75" customHeight="1">
      <c r="A32902" s="15" t="s">
        <v>2138</v>
      </c>
      <c r="B32902" s="15" t="s">
        <v>2138</v>
      </c>
      <c r="C32902" s="15" t="s">
        <v>1905</v>
      </c>
      <c r="D32902" s="15" t="s">
        <v>1914</v>
      </c>
      <c r="E32902" s="2">
        <v>3469540</v>
      </c>
      <c r="F32902" s="4" t="str">
        <f>IF(B32902=B32901,"",B32902)</f>
        <v>Boituva</v>
      </c>
    </row>
    <row r="32903" spans="1:6" ht="15.75" customHeight="1">
      <c r="A32903" s="16" t="str">
        <f ca="1">IFERROR(__xludf.DUMMYFUNCTION("GOOGLETRANSLATE(B30214,""en"",""pt"")"),"Boissy-Saint-Léger")</f>
        <v>Boissy-Saint-Léger</v>
      </c>
      <c r="B32903" s="20" t="s">
        <v>32639</v>
      </c>
      <c r="C32903" s="20" t="s">
        <v>7052</v>
      </c>
      <c r="D32903" s="20" t="s">
        <v>32531</v>
      </c>
      <c r="E32903" s="10">
        <v>3031898</v>
      </c>
      <c r="F32903" s="4" t="str">
        <f>IF(B32903=B32902,"",B32903)</f>
        <v>Boissy-Saint-Léger</v>
      </c>
    </row>
    <row r="32904" spans="1:6" ht="15.75" customHeight="1">
      <c r="A32904" s="16" t="s">
        <v>7171</v>
      </c>
      <c r="B32904" s="15" t="s">
        <v>7172</v>
      </c>
      <c r="C32904" s="16" t="s">
        <v>7052</v>
      </c>
      <c r="D32904" s="16" t="s">
        <v>7058</v>
      </c>
      <c r="E32904" s="2">
        <v>3031898</v>
      </c>
      <c r="F32904" s="4" t="e">
        <f>IF(B32904=#REF!,"",B32904)</f>
        <v>#REF!</v>
      </c>
    </row>
    <row r="32905" spans="1:6" ht="15.75" customHeight="1">
      <c r="A32905" s="15" t="s">
        <v>28058</v>
      </c>
      <c r="B32905" s="15" t="s">
        <v>28058</v>
      </c>
      <c r="C32905" s="15" t="s">
        <v>27788</v>
      </c>
      <c r="D32905" s="15" t="s">
        <v>28059</v>
      </c>
      <c r="E32905" s="2">
        <v>5586437</v>
      </c>
      <c r="F32905" s="4" t="e">
        <f>IF(B32905=#REF!,"",B32905)</f>
        <v>#REF!</v>
      </c>
    </row>
    <row r="32906" spans="1:6" ht="15.75" customHeight="1">
      <c r="A32906" s="16" t="s">
        <v>7170</v>
      </c>
      <c r="B32906" s="15" t="s">
        <v>7170</v>
      </c>
      <c r="C32906" s="16" t="s">
        <v>7052</v>
      </c>
      <c r="D32906" s="16" t="s">
        <v>7058</v>
      </c>
      <c r="E32906" s="2">
        <v>3032070</v>
      </c>
      <c r="F32906" s="4" t="e">
        <f>IF(B32906=#REF!,"",B32906)</f>
        <v>#REF!</v>
      </c>
    </row>
    <row r="32907" spans="1:6" ht="15.75" customHeight="1">
      <c r="A32907" s="16" t="s">
        <v>3995</v>
      </c>
      <c r="B32907" s="15" t="s">
        <v>3995</v>
      </c>
      <c r="C32907" s="16" t="s">
        <v>3975</v>
      </c>
      <c r="D32907" s="16" t="s">
        <v>3982</v>
      </c>
      <c r="E32907" s="2">
        <v>5905132</v>
      </c>
      <c r="F32907" s="4" t="e">
        <f>IF(B32907=#REF!,"",B32907)</f>
        <v>#REF!</v>
      </c>
    </row>
    <row r="32908" spans="1:6" ht="15.75" customHeight="1">
      <c r="A32908" s="15" t="s">
        <v>10823</v>
      </c>
      <c r="B32908" s="15" t="s">
        <v>10823</v>
      </c>
      <c r="C32908" s="15" t="s">
        <v>10178</v>
      </c>
      <c r="D32908" s="15" t="s">
        <v>10214</v>
      </c>
      <c r="E32908" s="2">
        <v>1275368</v>
      </c>
      <c r="F32908" s="4" t="e">
        <f>IF(B32908=#REF!,"",B32908)</f>
        <v>#REF!</v>
      </c>
    </row>
    <row r="32909" spans="1:6" ht="15.75" customHeight="1">
      <c r="A32909" s="15" t="s">
        <v>24347</v>
      </c>
      <c r="B32909" s="15" t="s">
        <v>24347</v>
      </c>
      <c r="C32909" s="15" t="s">
        <v>24200</v>
      </c>
      <c r="D32909" s="15" t="s">
        <v>24201</v>
      </c>
      <c r="E32909" s="2">
        <v>3127889</v>
      </c>
      <c r="F32909" s="4" t="e">
        <f>IF(B32909=#REF!,"",B32909)</f>
        <v>#REF!</v>
      </c>
    </row>
    <row r="32910" spans="1:6" ht="15.75" customHeight="1">
      <c r="A32910" s="15" t="s">
        <v>26913</v>
      </c>
      <c r="B32910" s="15" t="s">
        <v>26913</v>
      </c>
      <c r="C32910" s="15" t="s">
        <v>26870</v>
      </c>
      <c r="D32910" s="15" t="s">
        <v>26905</v>
      </c>
      <c r="E32910" s="2">
        <v>711867</v>
      </c>
      <c r="F32910" s="4" t="str">
        <f>IF(B32910=B32909,"",B32910)</f>
        <v>Bohuslav</v>
      </c>
    </row>
    <row r="32911" spans="1:6" ht="15.75" customHeight="1">
      <c r="A32911" s="16" t="str">
        <f ca="1">IFERROR(__xludf.DUMMYFUNCTION("GOOGLETRANSLATE(B27335,""en"",""pt"")"),"Bohumín")</f>
        <v>Bohumín</v>
      </c>
      <c r="B32911" s="20" t="s">
        <v>32002</v>
      </c>
      <c r="C32911" s="20" t="s">
        <v>5947</v>
      </c>
      <c r="D32911" s="20" t="s">
        <v>31952</v>
      </c>
      <c r="E32911" s="10">
        <v>3079129</v>
      </c>
      <c r="F32911" s="4" t="str">
        <f>IF(B32911=B32910,"",B32911)</f>
        <v>Bohumín</v>
      </c>
    </row>
    <row r="32912" spans="1:6" ht="15.75" customHeight="1">
      <c r="A32912" s="15" t="s">
        <v>5988</v>
      </c>
      <c r="B32912" s="15" t="s">
        <v>5989</v>
      </c>
      <c r="C32912" s="15" t="s">
        <v>5947</v>
      </c>
      <c r="D32912" s="15" t="s">
        <v>5971</v>
      </c>
      <c r="E32912" s="2">
        <v>3079129</v>
      </c>
      <c r="F32912" s="4" t="e">
        <f>IF(B32912=#REF!,"",B32912)</f>
        <v>#REF!</v>
      </c>
    </row>
    <row r="32913" spans="1:6" ht="15.75" customHeight="1">
      <c r="A32913" s="16" t="s">
        <v>26912</v>
      </c>
      <c r="B32913" s="15" t="s">
        <v>26912</v>
      </c>
      <c r="C32913" s="16" t="s">
        <v>26870</v>
      </c>
      <c r="D32913" s="16" t="s">
        <v>26893</v>
      </c>
      <c r="E32913" s="2">
        <v>711894</v>
      </c>
      <c r="F32913" s="4" t="e">
        <f>IF(B32913=#REF!,"",B32913)</f>
        <v>#REF!</v>
      </c>
    </row>
    <row r="32914" spans="1:6" ht="15.75" customHeight="1">
      <c r="A32914" s="15" t="s">
        <v>1756</v>
      </c>
      <c r="B32914" s="15" t="s">
        <v>1756</v>
      </c>
      <c r="C32914" s="15" t="s">
        <v>1741</v>
      </c>
      <c r="D32914" s="15" t="s">
        <v>1742</v>
      </c>
      <c r="E32914" s="2">
        <v>2395049</v>
      </c>
      <c r="F32914" s="4" t="str">
        <f>IF(B32914=B32913,"",B32914)</f>
        <v>Bohicon</v>
      </c>
    </row>
    <row r="32915" spans="1:6" ht="15.75" customHeight="1">
      <c r="A32915" s="16" t="str">
        <f ca="1">IFERROR(__xludf.DUMMYFUNCTION("GOOGLETRANSLATE(B39488,""en"",""pt"")"),"Boguszów-Gorce")</f>
        <v>Boguszów-Gorce</v>
      </c>
      <c r="B32915" s="20" t="s">
        <v>35244</v>
      </c>
      <c r="C32915" s="20" t="s">
        <v>21064</v>
      </c>
      <c r="D32915" s="20" t="s">
        <v>21118</v>
      </c>
      <c r="E32915" s="10">
        <v>3103034</v>
      </c>
      <c r="F32915" s="4" t="str">
        <f>IF(B32915=B32914,"",B32915)</f>
        <v>Boguszów-Gorce</v>
      </c>
    </row>
    <row r="32916" spans="1:6" ht="15.75" customHeight="1">
      <c r="A32916" s="16" t="s">
        <v>21158</v>
      </c>
      <c r="B32916" s="15" t="s">
        <v>21159</v>
      </c>
      <c r="C32916" s="16" t="s">
        <v>21064</v>
      </c>
      <c r="D32916" s="16" t="s">
        <v>21118</v>
      </c>
      <c r="E32916" s="2">
        <v>3103034</v>
      </c>
      <c r="F32916" s="4" t="e">
        <f>IF(B32916=#REF!,"",B32916)</f>
        <v>#REF!</v>
      </c>
    </row>
    <row r="32917" spans="1:6" ht="15.75" customHeight="1">
      <c r="A32917" s="15" t="s">
        <v>22250</v>
      </c>
      <c r="B32917" s="15" t="s">
        <v>22250</v>
      </c>
      <c r="C32917" s="15" t="s">
        <v>22070</v>
      </c>
      <c r="D32917" s="15" t="s">
        <v>22137</v>
      </c>
      <c r="E32917" s="2">
        <v>575457</v>
      </c>
      <c r="F32917" s="4" t="e">
        <f>IF(B32917=#REF!,"",B32917)</f>
        <v>#REF!</v>
      </c>
    </row>
    <row r="32918" spans="1:6" ht="15.75" customHeight="1">
      <c r="A32918" s="15" t="s">
        <v>1321</v>
      </c>
      <c r="B32918" s="15" t="s">
        <v>1321</v>
      </c>
      <c r="C32918" s="15" t="s">
        <v>1296</v>
      </c>
      <c r="D32918" s="15" t="s">
        <v>1310</v>
      </c>
      <c r="E32918" s="2">
        <v>1337233</v>
      </c>
      <c r="F32918" s="4" t="e">
        <f>IF(B32918=#REF!,"",B32918)</f>
        <v>#REF!</v>
      </c>
    </row>
    <row r="32919" spans="1:6" ht="15.75" customHeight="1">
      <c r="A32919" s="16" t="s">
        <v>17226</v>
      </c>
      <c r="B32919" s="15" t="s">
        <v>17227</v>
      </c>
      <c r="C32919" s="16" t="s">
        <v>17221</v>
      </c>
      <c r="D32919" s="16" t="s">
        <v>17227</v>
      </c>
      <c r="E32919" s="2">
        <v>792501</v>
      </c>
      <c r="F32919" s="4" t="e">
        <f>IF(B32919=#REF!,"",B32919)</f>
        <v>#REF!</v>
      </c>
    </row>
    <row r="32920" spans="1:6" ht="15.75" customHeight="1">
      <c r="A32920" s="15" t="s">
        <v>22249</v>
      </c>
      <c r="B32920" s="15" t="s">
        <v>22249</v>
      </c>
      <c r="C32920" s="15" t="s">
        <v>22070</v>
      </c>
      <c r="D32920" s="15" t="s">
        <v>22079</v>
      </c>
      <c r="E32920" s="2">
        <v>1509852</v>
      </c>
      <c r="F32920" s="4" t="str">
        <f>IF(B32920=B32919,"",B32920)</f>
        <v>Bogotol</v>
      </c>
    </row>
    <row r="32921" spans="1:6" ht="15.75" customHeight="1">
      <c r="A32921" s="15" t="s">
        <v>5390</v>
      </c>
      <c r="B32921" s="15" t="s">
        <v>5391</v>
      </c>
      <c r="C32921" s="15" t="s">
        <v>5348</v>
      </c>
      <c r="D32921" s="15" t="s">
        <v>5392</v>
      </c>
      <c r="E32921" s="2">
        <v>3688689</v>
      </c>
      <c r="F32921" s="4" t="str">
        <f>IF(B32921=B32920,"",B32921)</f>
        <v>BogotÃ¡</v>
      </c>
    </row>
    <row r="32922" spans="1:6" ht="15.75" customHeight="1">
      <c r="A32922" s="16" t="str">
        <f ca="1">IFERROR(__xludf.DUMMYFUNCTION("GOOGLETRANSLATE(B27031,""en"",""pt"")"),"Bogotá")</f>
        <v>Bogotá</v>
      </c>
      <c r="B32922" s="20" t="s">
        <v>31886</v>
      </c>
      <c r="C32922" s="20" t="s">
        <v>5348</v>
      </c>
      <c r="D32922" s="20" t="s">
        <v>5392</v>
      </c>
      <c r="E32922" s="10">
        <v>3688689</v>
      </c>
      <c r="F32922" s="4" t="e">
        <f>IF(B32922=#REF!,"",B32922)</f>
        <v>#REF!</v>
      </c>
    </row>
    <row r="32923" spans="1:6" ht="15.75" customHeight="1">
      <c r="A32923" s="16" t="s">
        <v>22248</v>
      </c>
      <c r="B32923" s="15" t="s">
        <v>22248</v>
      </c>
      <c r="C32923" s="16" t="s">
        <v>22070</v>
      </c>
      <c r="D32923" s="16" t="s">
        <v>22119</v>
      </c>
      <c r="E32923" s="2">
        <v>575505</v>
      </c>
      <c r="F32923" s="4" t="e">
        <f>IF(B32923=#REF!,"",B32923)</f>
        <v>#REF!</v>
      </c>
    </row>
    <row r="32924" spans="1:6" ht="15.75" customHeight="1">
      <c r="A32924" s="16" t="s">
        <v>22247</v>
      </c>
      <c r="B32924" s="15" t="s">
        <v>22247</v>
      </c>
      <c r="C32924" s="16" t="s">
        <v>22070</v>
      </c>
      <c r="D32924" s="16" t="s">
        <v>22161</v>
      </c>
      <c r="E32924" s="2">
        <v>575560</v>
      </c>
      <c r="F32924" s="4" t="e">
        <f>IF(B32924=#REF!,"",B32924)</f>
        <v>#REF!</v>
      </c>
    </row>
    <row r="32925" spans="1:6" ht="15.75" customHeight="1">
      <c r="A32925" s="16" t="s">
        <v>22246</v>
      </c>
      <c r="B32925" s="15" t="s">
        <v>22246</v>
      </c>
      <c r="C32925" s="16" t="s">
        <v>22070</v>
      </c>
      <c r="D32925" s="16" t="s">
        <v>22122</v>
      </c>
      <c r="E32925" s="2">
        <v>575591</v>
      </c>
      <c r="F32925" s="4" t="e">
        <f>IF(B32925=#REF!,"",B32925)</f>
        <v>#REF!</v>
      </c>
    </row>
    <row r="32926" spans="1:6" ht="15.75" customHeight="1">
      <c r="A32926" s="15" t="s">
        <v>13862</v>
      </c>
      <c r="B32926" s="15" t="s">
        <v>13863</v>
      </c>
      <c r="C32926" s="15" t="s">
        <v>13800</v>
      </c>
      <c r="D32926" s="15" t="s">
        <v>13811</v>
      </c>
      <c r="E32926" s="2">
        <v>1648473</v>
      </c>
      <c r="F32926" s="4" t="e">
        <f>IF(B32926=#REF!,"",B32926)</f>
        <v>#REF!</v>
      </c>
    </row>
    <row r="32927" spans="1:6" ht="15.75" customHeight="1">
      <c r="A32927" s="15" t="s">
        <v>3905</v>
      </c>
      <c r="B32927" s="15" t="s">
        <v>3905</v>
      </c>
      <c r="C32927" s="15" t="s">
        <v>3884</v>
      </c>
      <c r="D32927" s="15" t="s">
        <v>3906</v>
      </c>
      <c r="E32927" s="2">
        <v>2233805</v>
      </c>
      <c r="F32927" s="4" t="e">
        <f>IF(B32927=#REF!,"",B32927)</f>
        <v>#REF!</v>
      </c>
    </row>
    <row r="32928" spans="1:6" ht="15.75" customHeight="1">
      <c r="A32928" s="16" t="s">
        <v>27336</v>
      </c>
      <c r="B32928" s="15" t="s">
        <v>27336</v>
      </c>
      <c r="C32928" s="16" t="s">
        <v>27234</v>
      </c>
      <c r="D32928" s="16" t="s">
        <v>27241</v>
      </c>
      <c r="E32928" s="2">
        <v>2655262</v>
      </c>
      <c r="F32928" s="4" t="e">
        <f>IF(B32928=#REF!,"",B32928)</f>
        <v>#REF!</v>
      </c>
    </row>
    <row r="32929" spans="1:6" ht="15.75" customHeight="1">
      <c r="A32929" s="15" t="s">
        <v>272</v>
      </c>
      <c r="B32929" s="15" t="s">
        <v>272</v>
      </c>
      <c r="C32929" s="15" t="s">
        <v>153</v>
      </c>
      <c r="D32929" s="15" t="s">
        <v>172</v>
      </c>
      <c r="E32929" s="2">
        <v>2503755</v>
      </c>
      <c r="F32929" s="4" t="e">
        <f>IF(B32929=#REF!,"",B32929)</f>
        <v>#REF!</v>
      </c>
    </row>
    <row r="32930" spans="1:6" ht="15.75" customHeight="1">
      <c r="A32930" s="16" t="s">
        <v>8217</v>
      </c>
      <c r="B32930" s="15" t="s">
        <v>8217</v>
      </c>
      <c r="C32930" s="16" t="s">
        <v>8028</v>
      </c>
      <c r="D32930" s="16" t="s">
        <v>8044</v>
      </c>
      <c r="E32930" s="2">
        <v>2947022</v>
      </c>
      <c r="F32930" s="4" t="e">
        <f>IF(B32930=#REF!,"",B32930)</f>
        <v>#REF!</v>
      </c>
    </row>
    <row r="32931" spans="1:6" ht="15.75" customHeight="1">
      <c r="A32931" s="16" t="s">
        <v>22245</v>
      </c>
      <c r="B32931" s="15" t="s">
        <v>22245</v>
      </c>
      <c r="C32931" s="16" t="s">
        <v>22070</v>
      </c>
      <c r="D32931" s="16" t="s">
        <v>22106</v>
      </c>
      <c r="E32931" s="2">
        <v>1509888</v>
      </c>
      <c r="F32931" s="4" t="e">
        <f>IF(B32931=#REF!,"",B32931)</f>
        <v>#REF!</v>
      </c>
    </row>
    <row r="32932" spans="1:6" ht="15.75" customHeight="1">
      <c r="A32932" s="16" t="s">
        <v>21156</v>
      </c>
      <c r="B32932" s="15" t="s">
        <v>21157</v>
      </c>
      <c r="C32932" s="16" t="s">
        <v>21064</v>
      </c>
      <c r="D32932" s="16" t="s">
        <v>21118</v>
      </c>
      <c r="E32932" s="2">
        <v>3103096</v>
      </c>
      <c r="F32932" s="4" t="e">
        <f>IF(B32932=#REF!,"",B32932)</f>
        <v>#REF!</v>
      </c>
    </row>
    <row r="32933" spans="1:6" ht="15.75" customHeight="1">
      <c r="A32933" s="15" t="s">
        <v>18699</v>
      </c>
      <c r="B32933" s="15" t="s">
        <v>18699</v>
      </c>
      <c r="C32933" s="15" t="s">
        <v>18696</v>
      </c>
      <c r="D32933" s="15" t="s">
        <v>18700</v>
      </c>
      <c r="E32933" s="2">
        <v>1328121</v>
      </c>
      <c r="F32933" s="4" t="e">
        <f>IF(B32933=#REF!,"",B32933)</f>
        <v>#REF!</v>
      </c>
    </row>
    <row r="32934" spans="1:6" ht="15.75" customHeight="1">
      <c r="A32934" s="15" t="s">
        <v>6133</v>
      </c>
      <c r="B32934" s="15" t="s">
        <v>6133</v>
      </c>
      <c r="C32934" s="15" t="s">
        <v>6127</v>
      </c>
      <c r="D32934" s="15" t="s">
        <v>6134</v>
      </c>
      <c r="E32934" s="2">
        <v>218680</v>
      </c>
      <c r="F32934" s="4" t="e">
        <f>IF(B32934=#REF!,"",B32934)</f>
        <v>#REF!</v>
      </c>
    </row>
    <row r="32935" spans="1:6" ht="15.75" customHeight="1">
      <c r="A32935" s="15" t="s">
        <v>26408</v>
      </c>
      <c r="B32935" s="15" t="s">
        <v>26408</v>
      </c>
      <c r="C32935" s="15" t="s">
        <v>26201</v>
      </c>
      <c r="D32935" s="15" t="s">
        <v>26409</v>
      </c>
      <c r="E32935" s="2">
        <v>320995</v>
      </c>
      <c r="F32935" s="4" t="str">
        <f>IF(B32935=B32934,"",B32935)</f>
        <v>Bodrum</v>
      </c>
    </row>
    <row r="32936" spans="1:6" ht="15.75" customHeight="1">
      <c r="A32936" s="16" t="str">
        <f ca="1">IFERROR(__xludf.DUMMYFUNCTION("GOOGLETRANSLATE(B38170,""en"",""pt"")"),"Bodø")</f>
        <v>Bodø</v>
      </c>
      <c r="B32936" s="20" t="s">
        <v>34819</v>
      </c>
      <c r="C32936" s="20" t="s">
        <v>19695</v>
      </c>
      <c r="D32936" s="20" t="s">
        <v>19705</v>
      </c>
      <c r="E32936" s="10">
        <v>3160881</v>
      </c>
      <c r="F32936" s="4" t="str">
        <f>IF(B32936=B32935,"",B32936)</f>
        <v>Bodø</v>
      </c>
    </row>
    <row r="32937" spans="1:6" ht="15.75" customHeight="1">
      <c r="A32937" s="16" t="str">
        <f ca="1">IFERROR(__xludf.DUMMYFUNCTION("GOOGLETRANSLATE(B29575,""en"",""pt"")"),"Bodītī")</f>
        <v>Bodītī</v>
      </c>
      <c r="B32937" s="20" t="s">
        <v>32508</v>
      </c>
      <c r="C32937" s="20" t="s">
        <v>6807</v>
      </c>
      <c r="D32937" s="20" t="s">
        <v>6817</v>
      </c>
      <c r="E32937" s="10">
        <v>341877</v>
      </c>
      <c r="F32937" s="4" t="str">
        <f>IF(B32937=B32936,"",B32937)</f>
        <v>Bodītī</v>
      </c>
    </row>
    <row r="32938" spans="1:6" ht="15.75" customHeight="1">
      <c r="A32938" s="16" t="str">
        <f ca="1">IFERROR(__xludf.DUMMYFUNCTION("GOOGLETRANSLATE(B33790,""en"",""pt"")"),"Bodināyakkanūr")</f>
        <v>Bodināyakkanūr</v>
      </c>
      <c r="B32938" s="20" t="s">
        <v>33862</v>
      </c>
      <c r="C32938" s="20" t="s">
        <v>10178</v>
      </c>
      <c r="D32938" s="20" t="s">
        <v>10196</v>
      </c>
      <c r="E32938" s="10">
        <v>1275388</v>
      </c>
      <c r="F32938" s="4" t="str">
        <f>IF(B32938=B32937,"",B32938)</f>
        <v>Bodināyakkanūr</v>
      </c>
    </row>
    <row r="32939" spans="1:6" ht="15.75" customHeight="1">
      <c r="A32939" s="16" t="s">
        <v>10821</v>
      </c>
      <c r="B32939" s="15" t="s">
        <v>10822</v>
      </c>
      <c r="C32939" s="16" t="s">
        <v>10178</v>
      </c>
      <c r="D32939" s="16" t="s">
        <v>10196</v>
      </c>
      <c r="E32939" s="2">
        <v>1275388</v>
      </c>
      <c r="F32939" s="4" t="e">
        <f>IF(B32939=#REF!,"",B32939)</f>
        <v>#REF!</v>
      </c>
    </row>
    <row r="32940" spans="1:6" ht="15.75" customHeight="1">
      <c r="A32940" s="15" t="s">
        <v>10820</v>
      </c>
      <c r="B32940" s="15" t="s">
        <v>10820</v>
      </c>
      <c r="C32940" s="15" t="s">
        <v>10178</v>
      </c>
      <c r="D32940" s="15" t="s">
        <v>10187</v>
      </c>
      <c r="E32940" s="2">
        <v>1275391</v>
      </c>
      <c r="F32940" s="4" t="e">
        <f>IF(B32940=#REF!,"",B32940)</f>
        <v>#REF!</v>
      </c>
    </row>
    <row r="32941" spans="1:6" ht="15.75" customHeight="1">
      <c r="A32941" s="15" t="s">
        <v>25097</v>
      </c>
      <c r="B32941" s="15" t="s">
        <v>25097</v>
      </c>
      <c r="C32941" s="15" t="s">
        <v>25077</v>
      </c>
      <c r="D32941" s="15" t="s">
        <v>25098</v>
      </c>
      <c r="E32941" s="2">
        <v>606531</v>
      </c>
      <c r="F32941" s="4" t="e">
        <f>IF(B32941=#REF!,"",B32941)</f>
        <v>#REF!</v>
      </c>
    </row>
    <row r="32942" spans="1:6" ht="15.75" customHeight="1">
      <c r="A32942" s="16" t="s">
        <v>18906</v>
      </c>
      <c r="B32942" s="15" t="s">
        <v>18906</v>
      </c>
      <c r="C32942" s="16" t="s">
        <v>18862</v>
      </c>
      <c r="D32942" s="16" t="s">
        <v>18868</v>
      </c>
      <c r="E32942" s="2">
        <v>2758765</v>
      </c>
      <c r="F32942" s="4" t="e">
        <f>IF(B32942=#REF!,"",B32942)</f>
        <v>#REF!</v>
      </c>
    </row>
    <row r="32943" spans="1:6" ht="15.75" customHeight="1">
      <c r="A32943" s="16" t="s">
        <v>19354</v>
      </c>
      <c r="B32943" s="15" t="s">
        <v>19354</v>
      </c>
      <c r="C32943" s="16" t="s">
        <v>19294</v>
      </c>
      <c r="D32943" s="16" t="s">
        <v>19355</v>
      </c>
      <c r="E32943" s="2">
        <v>2346951</v>
      </c>
      <c r="F32943" s="4" t="e">
        <f>IF(B32943=#REF!,"",B32943)</f>
        <v>#REF!</v>
      </c>
    </row>
    <row r="32944" spans="1:6" ht="15.75" customHeight="1">
      <c r="A32944" s="15" t="s">
        <v>22244</v>
      </c>
      <c r="B32944" s="15" t="s">
        <v>22244</v>
      </c>
      <c r="C32944" s="15" t="s">
        <v>22070</v>
      </c>
      <c r="D32944" s="15" t="s">
        <v>22135</v>
      </c>
      <c r="E32944" s="2">
        <v>2026583</v>
      </c>
      <c r="F32944" s="4" t="str">
        <f>IF(B32944=B32943,"",B32944)</f>
        <v>Bodaybo</v>
      </c>
    </row>
    <row r="32945" spans="1:6" ht="15.75" customHeight="1">
      <c r="A32945" s="16" t="s">
        <v>6846</v>
      </c>
      <c r="B32945" s="15" t="s">
        <v>6847</v>
      </c>
      <c r="C32945" s="16" t="s">
        <v>6807</v>
      </c>
      <c r="D32945" s="16" t="s">
        <v>6817</v>
      </c>
      <c r="E32945" s="2">
        <v>341877</v>
      </c>
      <c r="F32945" s="4" t="str">
        <f>IF(B32945=B32944,"",B32945)</f>
        <v>BodÄ«tÄ«</v>
      </c>
    </row>
    <row r="32946" spans="1:6" ht="15.75" customHeight="1">
      <c r="A32946" s="15" t="s">
        <v>19703</v>
      </c>
      <c r="B32946" s="15" t="s">
        <v>19704</v>
      </c>
      <c r="C32946" s="15" t="s">
        <v>19695</v>
      </c>
      <c r="D32946" s="15" t="s">
        <v>19705</v>
      </c>
      <c r="E32946" s="2">
        <v>3160881</v>
      </c>
      <c r="F32946" s="4" t="e">
        <f>IF(B32946=#REF!,"",B32946)</f>
        <v>#REF!</v>
      </c>
    </row>
    <row r="32947" spans="1:6" ht="15.75" customHeight="1">
      <c r="A32947" s="15" t="s">
        <v>4278</v>
      </c>
      <c r="B32947" s="15" t="s">
        <v>4278</v>
      </c>
      <c r="C32947" s="15" t="s">
        <v>4264</v>
      </c>
      <c r="D32947" s="15" t="s">
        <v>4279</v>
      </c>
      <c r="E32947" s="2">
        <v>2388614</v>
      </c>
      <c r="F32947" s="4" t="str">
        <f>IF(B32947=B32946,"",B32947)</f>
        <v>Boda</v>
      </c>
    </row>
    <row r="32948" spans="1:6" ht="15.75" customHeight="1">
      <c r="A32948" s="16" t="str">
        <f ca="1">IFERROR(__xludf.DUMMYFUNCTION("GOOGLETRANSLATE(B39831,""en"",""pt"")"),"Bocşa")</f>
        <v>Bocşa</v>
      </c>
      <c r="B32948" s="20" t="s">
        <v>35403</v>
      </c>
      <c r="C32948" s="20" t="s">
        <v>21824</v>
      </c>
      <c r="D32948" s="20" t="s">
        <v>35361</v>
      </c>
      <c r="E32948" s="10">
        <v>684490</v>
      </c>
      <c r="F32948" s="4" t="e">
        <f>IF(B32948=#REF!,"",B32948)</f>
        <v>#REF!</v>
      </c>
    </row>
    <row r="32949" spans="1:6" ht="15.75" customHeight="1">
      <c r="A32949" s="16" t="s">
        <v>8216</v>
      </c>
      <c r="B32949" s="15" t="s">
        <v>8216</v>
      </c>
      <c r="C32949" s="16" t="s">
        <v>8028</v>
      </c>
      <c r="D32949" s="16" t="s">
        <v>8029</v>
      </c>
      <c r="E32949" s="2">
        <v>6941055</v>
      </c>
      <c r="F32949" s="4" t="e">
        <f>IF(B32949=#REF!,"",B32949)</f>
        <v>#REF!</v>
      </c>
    </row>
    <row r="32950" spans="1:6" ht="15.75" customHeight="1">
      <c r="A32950" s="15" t="s">
        <v>8215</v>
      </c>
      <c r="B32950" s="15" t="s">
        <v>8215</v>
      </c>
      <c r="C32950" s="15" t="s">
        <v>8028</v>
      </c>
      <c r="D32950" s="15" t="s">
        <v>8029</v>
      </c>
      <c r="E32950" s="2">
        <v>2947416</v>
      </c>
      <c r="F32950" s="4" t="e">
        <f>IF(B32950=#REF!,"",B32950)</f>
        <v>#REF!</v>
      </c>
    </row>
    <row r="32951" spans="1:6" ht="15.75" customHeight="1">
      <c r="A32951" s="15" t="s">
        <v>8214</v>
      </c>
      <c r="B32951" s="15" t="s">
        <v>8214</v>
      </c>
      <c r="C32951" s="15" t="s">
        <v>8028</v>
      </c>
      <c r="D32951" s="15" t="s">
        <v>8029</v>
      </c>
      <c r="E32951" s="2">
        <v>2947421</v>
      </c>
      <c r="F32951" s="4" t="e">
        <f>IF(B32951=#REF!,"",B32951)</f>
        <v>#REF!</v>
      </c>
    </row>
    <row r="32952" spans="1:6" ht="15.75" customHeight="1">
      <c r="A32952" s="15" t="s">
        <v>21155</v>
      </c>
      <c r="B32952" s="15" t="s">
        <v>21155</v>
      </c>
      <c r="C32952" s="15" t="s">
        <v>21064</v>
      </c>
      <c r="D32952" s="15" t="s">
        <v>21108</v>
      </c>
      <c r="E32952" s="2">
        <v>775758</v>
      </c>
      <c r="F32952" s="4" t="str">
        <f>IF(B32952=B32951,"",B32952)</f>
        <v>Bochnia</v>
      </c>
    </row>
    <row r="32953" spans="1:6" ht="15.75" customHeight="1">
      <c r="A32953" s="15" t="s">
        <v>21855</v>
      </c>
      <c r="B32953" s="15" t="s">
        <v>21856</v>
      </c>
      <c r="C32953" s="15" t="s">
        <v>21824</v>
      </c>
      <c r="D32953" s="15" t="s">
        <v>21857</v>
      </c>
      <c r="E32953" s="2">
        <v>684490</v>
      </c>
      <c r="F32953" s="4" t="e">
        <f>IF(B32953=#REF!,"",B32953)</f>
        <v>#REF!</v>
      </c>
    </row>
    <row r="32954" spans="1:6" ht="15.75" customHeight="1">
      <c r="A32954" s="15" t="s">
        <v>20680</v>
      </c>
      <c r="B32954" s="15" t="s">
        <v>20680</v>
      </c>
      <c r="C32954" s="15" t="s">
        <v>20598</v>
      </c>
      <c r="D32954" s="15" t="s">
        <v>20599</v>
      </c>
      <c r="E32954" s="2">
        <v>1724489</v>
      </c>
      <c r="F32954" s="4" t="str">
        <f>IF(B32954=B32953,"",B32954)</f>
        <v>Bocaue</v>
      </c>
    </row>
    <row r="32955" spans="1:6" ht="15.75" customHeight="1">
      <c r="A32955" s="16" t="str">
        <f ca="1">IFERROR(__xludf.DUMMYFUNCTION("GOOGLETRANSLATE(B25207,""en"",""pt"")"),"Bocaiúva")</f>
        <v>Bocaiúva</v>
      </c>
      <c r="B32955" s="20" t="s">
        <v>31707</v>
      </c>
      <c r="C32955" s="20" t="s">
        <v>1905</v>
      </c>
      <c r="D32955" s="20" t="s">
        <v>1917</v>
      </c>
      <c r="E32955" s="10">
        <v>3469601</v>
      </c>
      <c r="F32955" s="4" t="str">
        <f>IF(B32955=B32954,"",B32955)</f>
        <v>Bocaiúva</v>
      </c>
    </row>
    <row r="32956" spans="1:6" ht="15.75" customHeight="1">
      <c r="A32956" s="16" t="s">
        <v>2136</v>
      </c>
      <c r="B32956" s="15" t="s">
        <v>2137</v>
      </c>
      <c r="C32956" s="16" t="s">
        <v>1905</v>
      </c>
      <c r="D32956" s="16" t="s">
        <v>1917</v>
      </c>
      <c r="E32956" s="2">
        <v>3469601</v>
      </c>
      <c r="F32956" s="4" t="e">
        <f>IF(B32956=#REF!,"",B32956)</f>
        <v>#REF!</v>
      </c>
    </row>
    <row r="32957" spans="1:6" ht="15.75" customHeight="1">
      <c r="A32957" s="16" t="s">
        <v>6411</v>
      </c>
      <c r="B32957" s="15" t="s">
        <v>6412</v>
      </c>
      <c r="C32957" s="16" t="s">
        <v>6398</v>
      </c>
      <c r="D32957" s="16" t="s">
        <v>6413</v>
      </c>
      <c r="E32957" s="2">
        <v>3660152</v>
      </c>
      <c r="F32957" s="4" t="e">
        <f>IF(B32957=#REF!,"",B32957)</f>
        <v>#REF!</v>
      </c>
    </row>
    <row r="32958" spans="1:6" ht="15.75" customHeight="1">
      <c r="A32958" s="16" t="s">
        <v>28057</v>
      </c>
      <c r="B32958" s="15" t="s">
        <v>28057</v>
      </c>
      <c r="C32958" s="16" t="s">
        <v>27788</v>
      </c>
      <c r="D32958" s="16" t="s">
        <v>5468</v>
      </c>
      <c r="E32958" s="2">
        <v>4148411</v>
      </c>
      <c r="F32958" s="4" t="e">
        <f>IF(B32958=#REF!,"",B32958)</f>
        <v>#REF!</v>
      </c>
    </row>
    <row r="32959" spans="1:6" ht="15.75" customHeight="1">
      <c r="A32959" s="16" t="s">
        <v>28055</v>
      </c>
      <c r="B32959" s="15" t="s">
        <v>28056</v>
      </c>
      <c r="C32959" s="16" t="s">
        <v>27788</v>
      </c>
      <c r="D32959" s="16" t="s">
        <v>5468</v>
      </c>
      <c r="E32959" s="2">
        <v>4148399</v>
      </c>
      <c r="F32959" s="4" t="e">
        <f>IF(B32959=#REF!,"",B32959)</f>
        <v>#REF!</v>
      </c>
    </row>
    <row r="32960" spans="1:6" ht="15.75" customHeight="1">
      <c r="A32960" s="16" t="s">
        <v>6312</v>
      </c>
      <c r="B32960" s="15" t="s">
        <v>6312</v>
      </c>
      <c r="C32960" s="16" t="s">
        <v>6303</v>
      </c>
      <c r="D32960" s="16" t="s">
        <v>5917</v>
      </c>
      <c r="E32960" s="2">
        <v>3511336</v>
      </c>
      <c r="F32960" s="4" t="e">
        <f>IF(B32960=#REF!,"",B32960)</f>
        <v>#REF!</v>
      </c>
    </row>
    <row r="32961" spans="1:6" ht="15.75" customHeight="1">
      <c r="A32961" s="15" t="s">
        <v>22243</v>
      </c>
      <c r="B32961" s="15" t="s">
        <v>22243</v>
      </c>
      <c r="C32961" s="15" t="s">
        <v>22070</v>
      </c>
      <c r="D32961" s="15" t="s">
        <v>22137</v>
      </c>
      <c r="E32961" s="2">
        <v>575948</v>
      </c>
      <c r="F32961" s="4" t="e">
        <f>IF(B32961=#REF!,"",B32961)</f>
        <v>#REF!</v>
      </c>
    </row>
    <row r="32962" spans="1:6" ht="15.75" customHeight="1">
      <c r="A32962" s="16" t="s">
        <v>3770</v>
      </c>
      <c r="B32962" s="15" t="s">
        <v>3771</v>
      </c>
      <c r="C32962" s="16" t="s">
        <v>3768</v>
      </c>
      <c r="D32962" s="16" t="s">
        <v>3772</v>
      </c>
      <c r="E32962" s="2">
        <v>2362344</v>
      </c>
      <c r="F32962" s="4" t="str">
        <f>IF(B32962=B32961,"",B32962)</f>
        <v>Bobo-Dioulasso</v>
      </c>
    </row>
    <row r="32963" spans="1:6" ht="15.75" customHeight="1">
      <c r="A32963" s="16" t="str">
        <f ca="1">IFERROR(__xludf.DUMMYFUNCTION("GOOGLETRANSLATE(B28245,""en"",""pt"")"),"Böblingen")</f>
        <v>Böblingen</v>
      </c>
      <c r="B32963" s="20" t="s">
        <v>32132</v>
      </c>
      <c r="C32963" s="20" t="s">
        <v>8028</v>
      </c>
      <c r="D32963" s="20" t="s">
        <v>32013</v>
      </c>
      <c r="E32963" s="10">
        <v>2947444</v>
      </c>
      <c r="F32963" s="4" t="e">
        <f>IF(B32963=#REF!,"",B32963)</f>
        <v>#REF!</v>
      </c>
    </row>
    <row r="32964" spans="1:6" ht="15.75" customHeight="1">
      <c r="A32964" s="15" t="s">
        <v>8213</v>
      </c>
      <c r="B32964" s="15" t="s">
        <v>8213</v>
      </c>
      <c r="C32964" s="15" t="s">
        <v>8028</v>
      </c>
      <c r="D32964" s="15" t="s">
        <v>8044</v>
      </c>
      <c r="E32964" s="2">
        <v>2947449</v>
      </c>
      <c r="F32964" s="4" t="e">
        <f>IF(B32964=#REF!,"",B32964)</f>
        <v>#REF!</v>
      </c>
    </row>
    <row r="32965" spans="1:6" ht="15.75" customHeight="1">
      <c r="A32965" s="15" t="s">
        <v>7169</v>
      </c>
      <c r="B32965" s="15" t="s">
        <v>7169</v>
      </c>
      <c r="C32965" s="15" t="s">
        <v>7052</v>
      </c>
      <c r="D32965" s="15" t="s">
        <v>7058</v>
      </c>
      <c r="E32965" s="2">
        <v>3032179</v>
      </c>
      <c r="F32965" s="4" t="e">
        <f>IF(B32965=#REF!,"",B32965)</f>
        <v>#REF!</v>
      </c>
    </row>
    <row r="32966" spans="1:6" ht="15.75" customHeight="1">
      <c r="A32966" s="15" t="s">
        <v>10819</v>
      </c>
      <c r="B32966" s="15" t="s">
        <v>10819</v>
      </c>
      <c r="C32966" s="15" t="s">
        <v>10178</v>
      </c>
      <c r="D32966" s="15" t="s">
        <v>10190</v>
      </c>
      <c r="E32966" s="2">
        <v>1275406</v>
      </c>
      <c r="F32966" s="4" t="e">
        <f>IF(B32966=#REF!,"",B32966)</f>
        <v>#REF!</v>
      </c>
    </row>
    <row r="32967" spans="1:6" ht="15.75" customHeight="1">
      <c r="A32967" s="16" t="s">
        <v>28054</v>
      </c>
      <c r="B32967" s="15" t="s">
        <v>28054</v>
      </c>
      <c r="C32967" s="16" t="s">
        <v>27788</v>
      </c>
      <c r="D32967" s="16" t="s">
        <v>27813</v>
      </c>
      <c r="E32967" s="2">
        <v>5147784</v>
      </c>
      <c r="F32967" s="4" t="e">
        <f>IF(B32967=#REF!,"",B32967)</f>
        <v>#REF!</v>
      </c>
    </row>
    <row r="32968" spans="1:6" ht="15.75" customHeight="1">
      <c r="A32968" s="16" t="s">
        <v>24346</v>
      </c>
      <c r="B32968" s="15" t="s">
        <v>24346</v>
      </c>
      <c r="C32968" s="16" t="s">
        <v>24200</v>
      </c>
      <c r="D32968" s="16" t="s">
        <v>5513</v>
      </c>
      <c r="E32968" s="2">
        <v>3127958</v>
      </c>
      <c r="F32968" s="4" t="e">
        <f>IF(B32968=#REF!,"",B32968)</f>
        <v>#REF!</v>
      </c>
    </row>
    <row r="32969" spans="1:6" ht="15.75" customHeight="1">
      <c r="A32969" s="15" t="s">
        <v>19219</v>
      </c>
      <c r="B32969" s="15" t="s">
        <v>19219</v>
      </c>
      <c r="C32969" s="15" t="s">
        <v>19217</v>
      </c>
      <c r="D32969" s="15" t="s">
        <v>19219</v>
      </c>
      <c r="E32969" s="2">
        <v>3620674</v>
      </c>
      <c r="F32969" s="4" t="str">
        <f>IF(B32969=B32968,"",B32969)</f>
        <v>Boaco</v>
      </c>
    </row>
    <row r="32970" spans="1:6" ht="15.75" customHeight="1">
      <c r="A32970" s="15" t="s">
        <v>270</v>
      </c>
      <c r="B32970" s="15" t="s">
        <v>271</v>
      </c>
      <c r="C32970" s="15" t="s">
        <v>153</v>
      </c>
      <c r="D32970" s="15" t="s">
        <v>250</v>
      </c>
      <c r="E32970" s="2">
        <v>2503468</v>
      </c>
      <c r="F32970" s="4" t="e">
        <f>IF(B32970=#REF!,"",B32970)</f>
        <v>#REF!</v>
      </c>
    </row>
    <row r="32971" spans="1:6" ht="15.75" customHeight="1">
      <c r="A32971" s="15" t="s">
        <v>2134</v>
      </c>
      <c r="B32971" s="15" t="s">
        <v>2134</v>
      </c>
      <c r="C32971" s="15" t="s">
        <v>1905</v>
      </c>
      <c r="D32971" s="15" t="s">
        <v>2135</v>
      </c>
      <c r="E32971" s="2">
        <v>3664980</v>
      </c>
      <c r="F32971" s="4" t="e">
        <f>IF(B32971=#REF!,"",B32971)</f>
        <v>#REF!</v>
      </c>
    </row>
    <row r="32972" spans="1:6" ht="15.75" customHeight="1">
      <c r="A32972" s="16" t="s">
        <v>2132</v>
      </c>
      <c r="B32972" s="15" t="s">
        <v>2133</v>
      </c>
      <c r="C32972" s="16" t="s">
        <v>1905</v>
      </c>
      <c r="D32972" s="16" t="s">
        <v>1930</v>
      </c>
      <c r="E32972" s="2">
        <v>3405616</v>
      </c>
      <c r="F32972" s="4" t="str">
        <f>IF(B32972=B32971,"",B32972)</f>
        <v>Boa Viagem</v>
      </c>
    </row>
    <row r="32973" spans="1:6" ht="15.75" customHeight="1">
      <c r="A32973" s="16" t="str">
        <f ca="1">IFERROR(__xludf.DUMMYFUNCTION("GOOGLETRANSLATE(B25208,""en"",""pt"")"),"Boa Esperança")</f>
        <v>Boa Esperança</v>
      </c>
      <c r="B32973" s="20" t="s">
        <v>31708</v>
      </c>
      <c r="C32973" s="20" t="s">
        <v>1905</v>
      </c>
      <c r="D32973" s="20" t="s">
        <v>1917</v>
      </c>
      <c r="E32973" s="10">
        <v>3469932</v>
      </c>
      <c r="F32973" s="4" t="str">
        <f>IF(B32973=B32972,"",B32973)</f>
        <v>Boa Esperança</v>
      </c>
    </row>
    <row r="32974" spans="1:6" ht="15.75" customHeight="1">
      <c r="A32974" s="16" t="s">
        <v>2130</v>
      </c>
      <c r="B32974" s="15" t="s">
        <v>2131</v>
      </c>
      <c r="C32974" s="16" t="s">
        <v>1905</v>
      </c>
      <c r="D32974" s="16" t="s">
        <v>1917</v>
      </c>
      <c r="E32974" s="2">
        <v>3469932</v>
      </c>
      <c r="F32974" s="4" t="e">
        <f>IF(B32974=#REF!,"",B32974)</f>
        <v>#REF!</v>
      </c>
    </row>
    <row r="32975" spans="1:6" ht="15.75" customHeight="1">
      <c r="A32975" s="15" t="s">
        <v>25850</v>
      </c>
      <c r="B32975" s="15" t="s">
        <v>25850</v>
      </c>
      <c r="C32975" s="15" t="s">
        <v>25771</v>
      </c>
      <c r="D32975" s="15" t="s">
        <v>25851</v>
      </c>
      <c r="E32975" s="2">
        <v>1153850</v>
      </c>
      <c r="F32975" s="4" t="e">
        <f>IF(B32975=#REF!,"",B32975)</f>
        <v>#REF!</v>
      </c>
    </row>
    <row r="32976" spans="1:6" ht="15.75" customHeight="1">
      <c r="A32976" s="15" t="s">
        <v>23675</v>
      </c>
      <c r="B32976" s="15" t="s">
        <v>23675</v>
      </c>
      <c r="C32976" s="15" t="s">
        <v>23676</v>
      </c>
      <c r="D32976" s="15" t="s">
        <v>23414</v>
      </c>
      <c r="E32976" s="2">
        <v>2410048</v>
      </c>
      <c r="F32976" s="4" t="e">
        <f>IF(B32976=#REF!,"",B32976)</f>
        <v>#REF!</v>
      </c>
    </row>
    <row r="32977" spans="1:6" ht="15.75" customHeight="1">
      <c r="A32977" s="16" t="s">
        <v>28053</v>
      </c>
      <c r="B32977" s="15" t="s">
        <v>28053</v>
      </c>
      <c r="C32977" s="16" t="s">
        <v>27788</v>
      </c>
      <c r="D32977" s="16" t="s">
        <v>27991</v>
      </c>
      <c r="E32977" s="2">
        <v>4102412</v>
      </c>
      <c r="F32977" s="4" t="e">
        <f>IF(B32977=#REF!,"",B32977)</f>
        <v>#REF!</v>
      </c>
    </row>
    <row r="32978" spans="1:6" ht="15.75" customHeight="1">
      <c r="A32978" s="15" t="s">
        <v>28052</v>
      </c>
      <c r="B32978" s="15" t="s">
        <v>28052</v>
      </c>
      <c r="C32978" s="15" t="s">
        <v>27788</v>
      </c>
      <c r="D32978" s="15" t="s">
        <v>27801</v>
      </c>
      <c r="E32978" s="2">
        <v>5329649</v>
      </c>
      <c r="F32978" s="4" t="e">
        <f>IF(B32978=#REF!,"",B32978)</f>
        <v>#REF!</v>
      </c>
    </row>
    <row r="32979" spans="1:6" ht="15.75" customHeight="1">
      <c r="A32979" s="15" t="s">
        <v>27335</v>
      </c>
      <c r="B32979" s="15" t="s">
        <v>27335</v>
      </c>
      <c r="C32979" s="15" t="s">
        <v>27234</v>
      </c>
      <c r="D32979" s="15" t="s">
        <v>27241</v>
      </c>
      <c r="E32979" s="2">
        <v>2655315</v>
      </c>
      <c r="F32979" s="4" t="e">
        <f>IF(B32979=#REF!,"",B32979)</f>
        <v>#REF!</v>
      </c>
    </row>
    <row r="32980" spans="1:6" ht="15.75" customHeight="1">
      <c r="A32980" s="16" t="s">
        <v>2129</v>
      </c>
      <c r="B32980" s="15" t="s">
        <v>2129</v>
      </c>
      <c r="C32980" s="16" t="s">
        <v>1905</v>
      </c>
      <c r="D32980" s="16" t="s">
        <v>2020</v>
      </c>
      <c r="E32980" s="2">
        <v>3469968</v>
      </c>
      <c r="F32980" s="4" t="e">
        <f>IF(B32980=#REF!,"",B32980)</f>
        <v>#REF!</v>
      </c>
    </row>
    <row r="32981" spans="1:6" ht="15.75" customHeight="1">
      <c r="A32981" s="15" t="s">
        <v>19216</v>
      </c>
      <c r="B32981" s="15" t="s">
        <v>19216</v>
      </c>
      <c r="C32981" s="15" t="s">
        <v>19217</v>
      </c>
      <c r="D32981" s="15" t="s">
        <v>19218</v>
      </c>
      <c r="E32981" s="2">
        <v>3620680</v>
      </c>
      <c r="F32981" s="4" t="e">
        <f>IF(B32981=#REF!,"",B32981)</f>
        <v>#REF!</v>
      </c>
    </row>
    <row r="32982" spans="1:6" ht="15.75" customHeight="1">
      <c r="A32982" s="16" t="s">
        <v>28051</v>
      </c>
      <c r="B32982" s="15" t="s">
        <v>28051</v>
      </c>
      <c r="C32982" s="16" t="s">
        <v>27788</v>
      </c>
      <c r="D32982" s="16" t="s">
        <v>27806</v>
      </c>
      <c r="E32982" s="2">
        <v>4377664</v>
      </c>
      <c r="F32982" s="4" t="e">
        <f>IF(B32982=#REF!,"",B32982)</f>
        <v>#REF!</v>
      </c>
    </row>
    <row r="32983" spans="1:6" ht="15.75" customHeight="1">
      <c r="A32983" s="15" t="s">
        <v>28049</v>
      </c>
      <c r="B32983" s="15" t="s">
        <v>28050</v>
      </c>
      <c r="C32983" s="15" t="s">
        <v>27788</v>
      </c>
      <c r="D32983" s="15" t="s">
        <v>27799</v>
      </c>
      <c r="E32983" s="2">
        <v>4885186</v>
      </c>
      <c r="F32983" s="4" t="e">
        <f>IF(B32983=#REF!,"",B32983)</f>
        <v>#REF!</v>
      </c>
    </row>
    <row r="32984" spans="1:6" ht="15.75" customHeight="1">
      <c r="A32984" s="15" t="s">
        <v>27334</v>
      </c>
      <c r="B32984" s="15" t="s">
        <v>27334</v>
      </c>
      <c r="C32984" s="15" t="s">
        <v>27234</v>
      </c>
      <c r="D32984" s="15" t="s">
        <v>27241</v>
      </c>
      <c r="E32984" s="2">
        <v>2655329</v>
      </c>
      <c r="F32984" s="4" t="e">
        <f>IF(B32984=#REF!,"",B32984)</f>
        <v>#REF!</v>
      </c>
    </row>
    <row r="32985" spans="1:6" ht="15.75" customHeight="1">
      <c r="A32985" s="15" t="s">
        <v>13861</v>
      </c>
      <c r="B32985" s="15" t="s">
        <v>13861</v>
      </c>
      <c r="C32985" s="15" t="s">
        <v>13800</v>
      </c>
      <c r="D32985" s="15" t="s">
        <v>13803</v>
      </c>
      <c r="E32985" s="2">
        <v>1648568</v>
      </c>
      <c r="F32985" s="4" t="e">
        <f>IF(B32985=#REF!,"",B32985)</f>
        <v>#REF!</v>
      </c>
    </row>
    <row r="32986" spans="1:6" ht="15.75" customHeight="1">
      <c r="A32986" s="16" t="s">
        <v>28048</v>
      </c>
      <c r="B32986" s="15" t="s">
        <v>28048</v>
      </c>
      <c r="C32986" s="16" t="s">
        <v>27788</v>
      </c>
      <c r="D32986" s="16" t="s">
        <v>27869</v>
      </c>
      <c r="E32986" s="2">
        <v>4254679</v>
      </c>
      <c r="F32986" s="4" t="e">
        <f>IF(B32986=#REF!,"",B32986)</f>
        <v>#REF!</v>
      </c>
    </row>
    <row r="32987" spans="1:6" ht="15.75" customHeight="1">
      <c r="A32987" s="16" t="s">
        <v>28047</v>
      </c>
      <c r="B32987" s="15" t="s">
        <v>28047</v>
      </c>
      <c r="C32987" s="16" t="s">
        <v>27788</v>
      </c>
      <c r="D32987" s="16" t="s">
        <v>5468</v>
      </c>
      <c r="E32987" s="2">
        <v>4148207</v>
      </c>
      <c r="F32987" s="4" t="e">
        <f>IF(B32987=#REF!,"",B32987)</f>
        <v>#REF!</v>
      </c>
    </row>
    <row r="32988" spans="1:6" ht="15.75" customHeight="1">
      <c r="A32988" s="16" t="s">
        <v>28046</v>
      </c>
      <c r="B32988" s="15" t="s">
        <v>28046</v>
      </c>
      <c r="C32988" s="16" t="s">
        <v>27788</v>
      </c>
      <c r="D32988" s="16" t="s">
        <v>27905</v>
      </c>
      <c r="E32988" s="2">
        <v>5095779</v>
      </c>
      <c r="F32988" s="4" t="e">
        <f>IF(B32988=#REF!,"",B32988)</f>
        <v>#REF!</v>
      </c>
    </row>
    <row r="32989" spans="1:6" ht="15.75" customHeight="1">
      <c r="A32989" s="15" t="s">
        <v>8212</v>
      </c>
      <c r="B32989" s="15" t="s">
        <v>8212</v>
      </c>
      <c r="C32989" s="15" t="s">
        <v>8028</v>
      </c>
      <c r="D32989" s="15" t="s">
        <v>8029</v>
      </c>
      <c r="E32989" s="2">
        <v>2947641</v>
      </c>
      <c r="F32989" s="4" t="e">
        <f>IF(B32989=#REF!,"",B32989)</f>
        <v>#REF!</v>
      </c>
    </row>
    <row r="32990" spans="1:6" ht="15.75" customHeight="1">
      <c r="A32990" s="15" t="s">
        <v>7168</v>
      </c>
      <c r="B32990" s="15" t="s">
        <v>7168</v>
      </c>
      <c r="C32990" s="15" t="s">
        <v>7052</v>
      </c>
      <c r="D32990" s="15" t="s">
        <v>3813</v>
      </c>
      <c r="E32990" s="2">
        <v>3032213</v>
      </c>
      <c r="F32990" s="4" t="e">
        <f>IF(B32990=#REF!,"",B32990)</f>
        <v>#REF!</v>
      </c>
    </row>
    <row r="32991" spans="1:6" ht="15.75" customHeight="1">
      <c r="A32991" s="15" t="s">
        <v>23859</v>
      </c>
      <c r="B32991" s="15" t="s">
        <v>23859</v>
      </c>
      <c r="C32991" s="15" t="s">
        <v>23842</v>
      </c>
      <c r="D32991" s="15" t="s">
        <v>23860</v>
      </c>
      <c r="E32991" s="2">
        <v>1018673</v>
      </c>
      <c r="F32991" s="4" t="e">
        <f>IF(B32991=#REF!,"",B32991)</f>
        <v>#REF!</v>
      </c>
    </row>
    <row r="32992" spans="1:6" ht="15.75" customHeight="1">
      <c r="A32992" s="16" t="s">
        <v>23858</v>
      </c>
      <c r="B32992" s="15" t="s">
        <v>23858</v>
      </c>
      <c r="C32992" s="16" t="s">
        <v>23842</v>
      </c>
      <c r="D32992" s="16" t="s">
        <v>23845</v>
      </c>
      <c r="E32992" s="2">
        <v>1018725</v>
      </c>
      <c r="F32992" s="4" t="e">
        <f>IF(B32992=#REF!,"",B32992)</f>
        <v>#REF!</v>
      </c>
    </row>
    <row r="32993" spans="1:6" ht="15.75" customHeight="1">
      <c r="A32993" s="16" t="s">
        <v>18905</v>
      </c>
      <c r="B32993" s="15" t="s">
        <v>18905</v>
      </c>
      <c r="C32993" s="16" t="s">
        <v>18862</v>
      </c>
      <c r="D32993" s="16" t="s">
        <v>18863</v>
      </c>
      <c r="E32993" s="2">
        <v>2758804</v>
      </c>
      <c r="F32993" s="4" t="e">
        <f>IF(B32993=#REF!,"",B32993)</f>
        <v>#REF!</v>
      </c>
    </row>
    <row r="32994" spans="1:6" ht="15.75" customHeight="1">
      <c r="A32994" s="15" t="s">
        <v>13860</v>
      </c>
      <c r="B32994" s="15" t="s">
        <v>13860</v>
      </c>
      <c r="C32994" s="15" t="s">
        <v>13800</v>
      </c>
      <c r="D32994" s="15" t="s">
        <v>13816</v>
      </c>
      <c r="E32994" s="2">
        <v>1648580</v>
      </c>
      <c r="F32994" s="4" t="e">
        <f>IF(B32994=#REF!,"",B32994)</f>
        <v>#REF!</v>
      </c>
    </row>
    <row r="32995" spans="1:6" ht="15.75" customHeight="1">
      <c r="A32995" s="16" t="s">
        <v>8211</v>
      </c>
      <c r="B32995" s="15" t="s">
        <v>8211</v>
      </c>
      <c r="C32995" s="16" t="s">
        <v>8028</v>
      </c>
      <c r="D32995" s="16" t="s">
        <v>8177</v>
      </c>
      <c r="E32995" s="2">
        <v>2947739</v>
      </c>
      <c r="F32995" s="4" t="e">
        <f>IF(B32995=#REF!,"",B32995)</f>
        <v>#REF!</v>
      </c>
    </row>
    <row r="32996" spans="1:6" ht="15.75" customHeight="1">
      <c r="A32996" s="15" t="s">
        <v>250</v>
      </c>
      <c r="B32996" s="15" t="s">
        <v>250</v>
      </c>
      <c r="C32996" s="15" t="s">
        <v>153</v>
      </c>
      <c r="D32996" s="15" t="s">
        <v>250</v>
      </c>
      <c r="E32996" s="2">
        <v>2503769</v>
      </c>
      <c r="F32996" s="4" t="e">
        <f>IF(B32996=#REF!,"",B32996)</f>
        <v>#REF!</v>
      </c>
    </row>
    <row r="32997" spans="1:6" ht="15.75" customHeight="1">
      <c r="A32997" s="15" t="s">
        <v>27333</v>
      </c>
      <c r="B32997" s="15" t="s">
        <v>27333</v>
      </c>
      <c r="C32997" s="15" t="s">
        <v>27234</v>
      </c>
      <c r="D32997" s="15" t="s">
        <v>27241</v>
      </c>
      <c r="E32997" s="2">
        <v>2655351</v>
      </c>
      <c r="F32997" s="4" t="e">
        <f>IF(B32997=#REF!,"",B32997)</f>
        <v>#REF!</v>
      </c>
    </row>
    <row r="32998" spans="1:6" ht="15.75" customHeight="1">
      <c r="A32998" s="15" t="s">
        <v>19172</v>
      </c>
      <c r="B32998" s="15" t="s">
        <v>19172</v>
      </c>
      <c r="C32998" s="15" t="s">
        <v>19169</v>
      </c>
      <c r="D32998" s="15" t="s">
        <v>19173</v>
      </c>
      <c r="E32998" s="2">
        <v>6243926</v>
      </c>
      <c r="F32998" s="4" t="e">
        <f>IF(B32998=#REF!,"",B32998)</f>
        <v>#REF!</v>
      </c>
    </row>
    <row r="32999" spans="1:6" ht="15.75" customHeight="1">
      <c r="A32999" s="15" t="s">
        <v>17412</v>
      </c>
      <c r="B32999" s="15" t="s">
        <v>17412</v>
      </c>
      <c r="C32999" s="15" t="s">
        <v>17410</v>
      </c>
      <c r="D32999" s="15" t="s">
        <v>17411</v>
      </c>
      <c r="E32999" s="2">
        <v>931755</v>
      </c>
      <c r="F32999" s="4" t="e">
        <f>IF(B32999=#REF!,"",B32999)</f>
        <v>#REF!</v>
      </c>
    </row>
    <row r="33000" spans="1:6" ht="15.75" customHeight="1">
      <c r="A33000" s="15" t="s">
        <v>5987</v>
      </c>
      <c r="B33000" s="15" t="s">
        <v>5987</v>
      </c>
      <c r="C33000" s="15" t="s">
        <v>5947</v>
      </c>
      <c r="D33000" s="15" t="s">
        <v>5982</v>
      </c>
      <c r="E33000" s="2">
        <v>3079273</v>
      </c>
      <c r="F33000" s="4" t="e">
        <f>IF(B33000=#REF!,"",B33000)</f>
        <v>#REF!</v>
      </c>
    </row>
    <row r="33001" spans="1:6" ht="15.75" customHeight="1">
      <c r="A33001" s="16" t="s">
        <v>7167</v>
      </c>
      <c r="B33001" s="15" t="s">
        <v>7167</v>
      </c>
      <c r="C33001" s="16" t="s">
        <v>7052</v>
      </c>
      <c r="D33001" s="16" t="s">
        <v>7084</v>
      </c>
      <c r="E33001" s="2">
        <v>3032340</v>
      </c>
      <c r="F33001" s="4" t="e">
        <f>IF(B33001=#REF!,"",B33001)</f>
        <v>#REF!</v>
      </c>
    </row>
    <row r="33002" spans="1:6" ht="15.75" customHeight="1">
      <c r="A33002" s="16" t="s">
        <v>8210</v>
      </c>
      <c r="B33002" s="15" t="s">
        <v>8210</v>
      </c>
      <c r="C33002" s="16" t="s">
        <v>8028</v>
      </c>
      <c r="D33002" s="16" t="s">
        <v>8085</v>
      </c>
      <c r="E33002" s="2">
        <v>2948071</v>
      </c>
      <c r="F33002" s="4" t="e">
        <f>IF(B33002=#REF!,"",B33002)</f>
        <v>#REF!</v>
      </c>
    </row>
    <row r="33003" spans="1:6" ht="15.75" customHeight="1">
      <c r="A33003" s="16" t="s">
        <v>1532</v>
      </c>
      <c r="B33003" s="15" t="s">
        <v>1532</v>
      </c>
      <c r="C33003" s="16" t="s">
        <v>1512</v>
      </c>
      <c r="D33003" s="16" t="s">
        <v>1513</v>
      </c>
      <c r="E33003" s="2">
        <v>2801858</v>
      </c>
      <c r="F33003" s="4" t="e">
        <f>IF(B33003=#REF!,"",B33003)</f>
        <v>#REF!</v>
      </c>
    </row>
    <row r="33004" spans="1:6" ht="15.75" customHeight="1">
      <c r="A33004" s="15" t="s">
        <v>24345</v>
      </c>
      <c r="B33004" s="15" t="s">
        <v>24345</v>
      </c>
      <c r="C33004" s="15" t="s">
        <v>24200</v>
      </c>
      <c r="D33004" s="15" t="s">
        <v>24277</v>
      </c>
      <c r="E33004" s="2">
        <v>3127978</v>
      </c>
      <c r="F33004" s="4" t="e">
        <f>IF(B33004=#REF!,"",B33004)</f>
        <v>#REF!</v>
      </c>
    </row>
    <row r="33005" spans="1:6" ht="15.75" customHeight="1">
      <c r="A33005" s="16" t="s">
        <v>14732</v>
      </c>
      <c r="B33005" s="15" t="s">
        <v>14732</v>
      </c>
      <c r="C33005" s="16" t="s">
        <v>14728</v>
      </c>
      <c r="D33005" s="16" t="s">
        <v>14729</v>
      </c>
      <c r="E33005" s="2">
        <v>2966110</v>
      </c>
      <c r="F33005" s="4" t="e">
        <f>IF(B33005=#REF!,"",B33005)</f>
        <v>#REF!</v>
      </c>
    </row>
    <row r="33006" spans="1:6" ht="15.75" customHeight="1">
      <c r="A33006" s="15" t="s">
        <v>21854</v>
      </c>
      <c r="B33006" s="15" t="s">
        <v>21854</v>
      </c>
      <c r="C33006" s="15" t="s">
        <v>21824</v>
      </c>
      <c r="D33006" s="15" t="s">
        <v>14917</v>
      </c>
      <c r="E33006" s="2">
        <v>684612</v>
      </c>
      <c r="F33006" s="4" t="e">
        <f>IF(B33006=#REF!,"",B33006)</f>
        <v>#REF!</v>
      </c>
    </row>
    <row r="33007" spans="1:6" ht="15.75" customHeight="1">
      <c r="A33007" s="15" t="s">
        <v>3994</v>
      </c>
      <c r="B33007" s="15" t="s">
        <v>3994</v>
      </c>
      <c r="C33007" s="15" t="s">
        <v>3975</v>
      </c>
      <c r="D33007" s="15" t="s">
        <v>3982</v>
      </c>
      <c r="E33007" s="2">
        <v>5903510</v>
      </c>
      <c r="F33007" s="4" t="e">
        <f>IF(B33007=#REF!,"",B33007)</f>
        <v>#REF!</v>
      </c>
    </row>
    <row r="33008" spans="1:6" ht="15.75" customHeight="1">
      <c r="A33008" s="15" t="s">
        <v>28045</v>
      </c>
      <c r="B33008" s="15" t="s">
        <v>28045</v>
      </c>
      <c r="C33008" s="15" t="s">
        <v>27788</v>
      </c>
      <c r="D33008" s="15" t="s">
        <v>27824</v>
      </c>
      <c r="E33008" s="2">
        <v>5018651</v>
      </c>
      <c r="F33008" s="4" t="e">
        <f>IF(B33008=#REF!,"",B33008)</f>
        <v>#REF!</v>
      </c>
    </row>
    <row r="33009" spans="1:6" ht="15.75" customHeight="1">
      <c r="A33009" s="16" t="s">
        <v>22242</v>
      </c>
      <c r="B33009" s="15" t="s">
        <v>22242</v>
      </c>
      <c r="C33009" s="16" t="s">
        <v>22070</v>
      </c>
      <c r="D33009" s="16" t="s">
        <v>22088</v>
      </c>
      <c r="E33009" s="2">
        <v>576116</v>
      </c>
      <c r="F33009" s="4" t="e">
        <f>IF(B33009=#REF!,"",B33009)</f>
        <v>#REF!</v>
      </c>
    </row>
    <row r="33010" spans="1:6" ht="15.75" customHeight="1">
      <c r="A33010" s="16" t="s">
        <v>3707</v>
      </c>
      <c r="B33010" s="15" t="s">
        <v>3707</v>
      </c>
      <c r="C33010" s="16" t="s">
        <v>3701</v>
      </c>
      <c r="D33010" s="16" t="s">
        <v>3707</v>
      </c>
      <c r="E33010" s="2">
        <v>733191</v>
      </c>
      <c r="F33010" s="4" t="e">
        <f>IF(B33010=#REF!,"",B33010)</f>
        <v>#REF!</v>
      </c>
    </row>
    <row r="33011" spans="1:6" ht="15.75" customHeight="1">
      <c r="A33011" s="16" t="s">
        <v>22241</v>
      </c>
      <c r="B33011" s="15" t="s">
        <v>22241</v>
      </c>
      <c r="C33011" s="16" t="s">
        <v>22070</v>
      </c>
      <c r="D33011" s="16" t="s">
        <v>22117</v>
      </c>
      <c r="E33011" s="2">
        <v>576172</v>
      </c>
      <c r="F33011" s="4" t="e">
        <f>IF(B33011=#REF!,"",B33011)</f>
        <v>#REF!</v>
      </c>
    </row>
    <row r="33012" spans="1:6" ht="15.75" customHeight="1">
      <c r="A33012" s="15" t="s">
        <v>7166</v>
      </c>
      <c r="B33012" s="15" t="s">
        <v>7166</v>
      </c>
      <c r="C33012" s="15" t="s">
        <v>7052</v>
      </c>
      <c r="D33012" s="15" t="s">
        <v>7082</v>
      </c>
      <c r="E33012" s="2">
        <v>3032469</v>
      </c>
      <c r="F33012" s="4" t="e">
        <f>IF(B33012=#REF!,"",B33012)</f>
        <v>#REF!</v>
      </c>
    </row>
    <row r="33013" spans="1:6" ht="15.75" customHeight="1">
      <c r="A33013" s="15" t="s">
        <v>18904</v>
      </c>
      <c r="B33013" s="15" t="s">
        <v>18904</v>
      </c>
      <c r="C33013" s="15" t="s">
        <v>18862</v>
      </c>
      <c r="D33013" s="15" t="s">
        <v>18888</v>
      </c>
      <c r="E33013" s="2">
        <v>2758878</v>
      </c>
      <c r="F33013" s="4" t="e">
        <f>IF(B33013=#REF!,"",B33013)</f>
        <v>#REF!</v>
      </c>
    </row>
    <row r="33014" spans="1:6" ht="15.75" customHeight="1">
      <c r="A33014" s="16" t="s">
        <v>27331</v>
      </c>
      <c r="B33014" s="15" t="s">
        <v>27332</v>
      </c>
      <c r="C33014" s="16" t="s">
        <v>27234</v>
      </c>
      <c r="D33014" s="16" t="s">
        <v>27235</v>
      </c>
      <c r="E33014" s="2">
        <v>3345317</v>
      </c>
      <c r="F33014" s="4" t="e">
        <f>IF(B33014=#REF!,"",B33014)</f>
        <v>#REF!</v>
      </c>
    </row>
    <row r="33015" spans="1:6" ht="15.75" customHeight="1">
      <c r="A33015" s="16" t="s">
        <v>908</v>
      </c>
      <c r="B33015" s="15" t="s">
        <v>908</v>
      </c>
      <c r="C33015" s="16" t="s">
        <v>885</v>
      </c>
      <c r="D33015" s="16" t="s">
        <v>891</v>
      </c>
      <c r="E33015" s="2">
        <v>2175411</v>
      </c>
      <c r="F33015" s="4" t="e">
        <f>IF(B33015=#REF!,"",B33015)</f>
        <v>#REF!</v>
      </c>
    </row>
    <row r="33016" spans="1:6" ht="15.75" customHeight="1">
      <c r="A33016" s="15" t="s">
        <v>27330</v>
      </c>
      <c r="B33016" s="15" t="s">
        <v>27330</v>
      </c>
      <c r="C33016" s="15" t="s">
        <v>27234</v>
      </c>
      <c r="D33016" s="15" t="s">
        <v>27241</v>
      </c>
      <c r="E33016" s="2">
        <v>2655459</v>
      </c>
      <c r="F33016" s="4" t="e">
        <f>IF(B33016=#REF!,"",B33016)</f>
        <v>#REF!</v>
      </c>
    </row>
    <row r="33017" spans="1:6" ht="15.75" customHeight="1">
      <c r="A33017" s="16" t="s">
        <v>27329</v>
      </c>
      <c r="B33017" s="15" t="s">
        <v>27329</v>
      </c>
      <c r="C33017" s="16" t="s">
        <v>27234</v>
      </c>
      <c r="D33017" s="16" t="s">
        <v>27241</v>
      </c>
      <c r="E33017" s="2">
        <v>6947041</v>
      </c>
      <c r="F33017" s="4" t="e">
        <f>IF(B33017=#REF!,"",B33017)</f>
        <v>#REF!</v>
      </c>
    </row>
    <row r="33018" spans="1:6" ht="15.75" customHeight="1">
      <c r="A33018" s="16" t="s">
        <v>27327</v>
      </c>
      <c r="B33018" s="15" t="s">
        <v>27328</v>
      </c>
      <c r="C33018" s="16" t="s">
        <v>27234</v>
      </c>
      <c r="D33018" s="16" t="s">
        <v>27241</v>
      </c>
      <c r="E33018" s="2">
        <v>2655524</v>
      </c>
      <c r="F33018" s="4" t="e">
        <f>IF(B33018=#REF!,"",B33018)</f>
        <v>#REF!</v>
      </c>
    </row>
    <row r="33019" spans="1:6" ht="15.75" customHeight="1">
      <c r="A33019" s="15" t="s">
        <v>5716</v>
      </c>
      <c r="B33019" s="15" t="s">
        <v>5716</v>
      </c>
      <c r="C33019" s="15" t="s">
        <v>5711</v>
      </c>
      <c r="D33019" s="15" t="s">
        <v>5717</v>
      </c>
      <c r="E33019" s="2">
        <v>3203982</v>
      </c>
      <c r="F33019" s="4" t="e">
        <f>IF(B33019=#REF!,"",B33019)</f>
        <v>#REF!</v>
      </c>
    </row>
    <row r="33020" spans="1:6" ht="15.75" customHeight="1">
      <c r="A33020" s="15" t="s">
        <v>26109</v>
      </c>
      <c r="B33020" s="15" t="s">
        <v>26109</v>
      </c>
      <c r="C33020" s="15" t="s">
        <v>26090</v>
      </c>
      <c r="D33020" s="15" t="s">
        <v>26110</v>
      </c>
      <c r="E33020" s="2">
        <v>2472706</v>
      </c>
      <c r="F33020" s="4" t="e">
        <f>IF(B33020=#REF!,"",B33020)</f>
        <v>#REF!</v>
      </c>
    </row>
    <row r="33021" spans="1:6" ht="15.75" customHeight="1">
      <c r="A33021" s="15" t="s">
        <v>22239</v>
      </c>
      <c r="B33021" s="15" t="s">
        <v>22240</v>
      </c>
      <c r="C33021" s="15" t="s">
        <v>22070</v>
      </c>
      <c r="D33021" s="15" t="s">
        <v>22124</v>
      </c>
      <c r="E33021" s="2">
        <v>1510018</v>
      </c>
      <c r="F33021" s="4" t="e">
        <f>IF(B33021=#REF!,"",B33021)</f>
        <v>#REF!</v>
      </c>
    </row>
    <row r="33022" spans="1:6" ht="15.75" customHeight="1">
      <c r="A33022" s="15" t="s">
        <v>28044</v>
      </c>
      <c r="B33022" s="15" t="s">
        <v>28044</v>
      </c>
      <c r="C33022" s="15" t="s">
        <v>27788</v>
      </c>
      <c r="D33022" s="15" t="s">
        <v>27797</v>
      </c>
      <c r="E33022" s="2">
        <v>4530801</v>
      </c>
      <c r="F33022" s="4" t="e">
        <f>IF(B33022=#REF!,"",B33022)</f>
        <v>#REF!</v>
      </c>
    </row>
    <row r="33023" spans="1:6" ht="15.75" customHeight="1">
      <c r="A33023" s="15" t="s">
        <v>19352</v>
      </c>
      <c r="B33023" s="15" t="s">
        <v>19353</v>
      </c>
      <c r="C33023" s="15" t="s">
        <v>19294</v>
      </c>
      <c r="D33023" s="15" t="s">
        <v>19338</v>
      </c>
      <c r="E33023" s="2">
        <v>2346995</v>
      </c>
      <c r="F33023" s="4" t="e">
        <f>IF(B33023=#REF!,"",B33023)</f>
        <v>#REF!</v>
      </c>
    </row>
    <row r="33024" spans="1:6" ht="15.75" customHeight="1">
      <c r="A33024" s="15" t="s">
        <v>13858</v>
      </c>
      <c r="B33024" s="15" t="s">
        <v>13858</v>
      </c>
      <c r="C33024" s="15" t="s">
        <v>13800</v>
      </c>
      <c r="D33024" s="15" t="s">
        <v>13859</v>
      </c>
      <c r="E33024" s="2">
        <v>1648636</v>
      </c>
      <c r="F33024" s="4" t="e">
        <f>IF(B33024=#REF!,"",B33024)</f>
        <v>#REF!</v>
      </c>
    </row>
    <row r="33025" spans="1:6" ht="15.75" customHeight="1">
      <c r="A33025" s="16" t="s">
        <v>8209</v>
      </c>
      <c r="B33025" s="15" t="s">
        <v>8209</v>
      </c>
      <c r="C33025" s="16" t="s">
        <v>8028</v>
      </c>
      <c r="D33025" s="16" t="s">
        <v>8072</v>
      </c>
      <c r="E33025" s="2">
        <v>2948164</v>
      </c>
      <c r="F33025" s="4" t="e">
        <f>IF(B33025=#REF!,"",B33025)</f>
        <v>#REF!</v>
      </c>
    </row>
    <row r="33026" spans="1:6" ht="15.75" customHeight="1">
      <c r="A33026" s="15" t="s">
        <v>14981</v>
      </c>
      <c r="B33026" s="15" t="s">
        <v>14981</v>
      </c>
      <c r="C33026" s="15" t="s">
        <v>14891</v>
      </c>
      <c r="D33026" s="15" t="s">
        <v>14908</v>
      </c>
      <c r="E33026" s="2">
        <v>3181995</v>
      </c>
      <c r="F33026" s="4" t="e">
        <f>IF(B33026=#REF!,"",B33026)</f>
        <v>#REF!</v>
      </c>
    </row>
    <row r="33027" spans="1:6" ht="15.75" customHeight="1">
      <c r="A33027" s="15" t="s">
        <v>17225</v>
      </c>
      <c r="B33027" s="15" t="s">
        <v>17225</v>
      </c>
      <c r="C33027" s="15" t="s">
        <v>17221</v>
      </c>
      <c r="D33027" s="15" t="s">
        <v>17225</v>
      </c>
      <c r="E33027" s="2">
        <v>792578</v>
      </c>
      <c r="F33027" s="4" t="e">
        <f>IF(B33027=#REF!,"",B33027)</f>
        <v>#REF!</v>
      </c>
    </row>
    <row r="33028" spans="1:6" ht="15.75" customHeight="1">
      <c r="A33028" s="15" t="s">
        <v>26280</v>
      </c>
      <c r="B33028" s="15" t="s">
        <v>26280</v>
      </c>
      <c r="C33028" s="15" t="s">
        <v>26201</v>
      </c>
      <c r="D33028" s="15" t="s">
        <v>26280</v>
      </c>
      <c r="E33028" s="2">
        <v>321025</v>
      </c>
      <c r="F33028" s="4" t="e">
        <f>IF(B33028=#REF!,"",B33028)</f>
        <v>#REF!</v>
      </c>
    </row>
    <row r="33029" spans="1:6" ht="15.75" customHeight="1">
      <c r="A33029" s="15" t="s">
        <v>4315</v>
      </c>
      <c r="B33029" s="15" t="s">
        <v>4315</v>
      </c>
      <c r="C33029" s="15" t="s">
        <v>4305</v>
      </c>
      <c r="D33029" s="15" t="s">
        <v>4316</v>
      </c>
      <c r="E33029" s="2">
        <v>2435124</v>
      </c>
      <c r="F33029" s="4" t="str">
        <f>IF(B33029=B33028,"",B33029)</f>
        <v>Bitkine</v>
      </c>
    </row>
    <row r="33030" spans="1:6" ht="15.75" customHeight="1">
      <c r="A33030" s="16" t="str">
        <f ca="1">IFERROR(__xludf.DUMMYFUNCTION("GOOGLETRANSLATE(B33794,""en"",""pt"")"),"Biswān")</f>
        <v>Biswān</v>
      </c>
      <c r="B33030" s="20" t="s">
        <v>33863</v>
      </c>
      <c r="C33030" s="20" t="s">
        <v>10178</v>
      </c>
      <c r="D33030" s="20" t="s">
        <v>10193</v>
      </c>
      <c r="E33030" s="10">
        <v>1275435</v>
      </c>
      <c r="F33030" s="4" t="str">
        <f>IF(B33030=B33029,"",B33030)</f>
        <v>Biswān</v>
      </c>
    </row>
    <row r="33031" spans="1:6" ht="15.75" customHeight="1">
      <c r="A33031" s="15" t="s">
        <v>10817</v>
      </c>
      <c r="B33031" s="15" t="s">
        <v>10818</v>
      </c>
      <c r="C33031" s="15" t="s">
        <v>10178</v>
      </c>
      <c r="D33031" s="15" t="s">
        <v>10193</v>
      </c>
      <c r="E33031" s="2">
        <v>1275435</v>
      </c>
      <c r="F33031" s="4" t="str">
        <f>IF(B33031=B33030,"",B33031)</f>
        <v>BiswÄn</v>
      </c>
    </row>
    <row r="33032" spans="1:6" ht="15.75" customHeight="1">
      <c r="A33032" s="16" t="str">
        <f ca="1">IFERROR(__xludf.DUMMYFUNCTION("GOOGLETRANSLATE(B39833,""en"",""pt"")"),"Bistriţa")</f>
        <v>Bistriţa</v>
      </c>
      <c r="B33032" s="20" t="s">
        <v>35404</v>
      </c>
      <c r="C33032" s="20" t="s">
        <v>21824</v>
      </c>
      <c r="D33032" s="20" t="s">
        <v>35405</v>
      </c>
      <c r="E33032" s="10">
        <v>684657</v>
      </c>
      <c r="F33032" s="4" t="str">
        <f>IF(B33032=B33031,"",B33032)</f>
        <v>Bistriţa</v>
      </c>
    </row>
    <row r="33033" spans="1:6" ht="15.75" customHeight="1">
      <c r="A33033" s="15" t="s">
        <v>21851</v>
      </c>
      <c r="B33033" s="15" t="s">
        <v>21852</v>
      </c>
      <c r="C33033" s="15" t="s">
        <v>21824</v>
      </c>
      <c r="D33033" s="15" t="s">
        <v>21853</v>
      </c>
      <c r="E33033" s="2">
        <v>684657</v>
      </c>
      <c r="F33033" s="4" t="str">
        <f>IF(B33033=B33032,"",B33033)</f>
        <v>BistriÅ£a</v>
      </c>
    </row>
    <row r="33034" spans="1:6" ht="15.75" customHeight="1">
      <c r="A33034" s="16" t="str">
        <f ca="1">IFERROR(__xludf.DUMMYFUNCTION("GOOGLETRANSLATE(B33795,""en"",""pt"")"),"Bissāu")</f>
        <v>Bissāu</v>
      </c>
      <c r="B33034" s="20" t="s">
        <v>33864</v>
      </c>
      <c r="C33034" s="20" t="s">
        <v>10178</v>
      </c>
      <c r="D33034" s="20" t="s">
        <v>10179</v>
      </c>
      <c r="E33034" s="10">
        <v>1275441</v>
      </c>
      <c r="F33034" s="4" t="e">
        <f>IF(B33034=#REF!,"",B33034)</f>
        <v>#REF!</v>
      </c>
    </row>
    <row r="33035" spans="1:6" ht="15.75" customHeight="1">
      <c r="A33035" s="15" t="s">
        <v>9856</v>
      </c>
      <c r="B33035" s="15" t="s">
        <v>9856</v>
      </c>
      <c r="C33035" s="15" t="s">
        <v>9855</v>
      </c>
      <c r="D33035" s="15" t="s">
        <v>9856</v>
      </c>
      <c r="E33035" s="2">
        <v>2374775</v>
      </c>
      <c r="F33035" s="4" t="str">
        <f>IF(B33035=B33034,"",B33035)</f>
        <v>Bissau</v>
      </c>
    </row>
    <row r="33036" spans="1:6" ht="15.75" customHeight="1">
      <c r="A33036" s="15" t="s">
        <v>10815</v>
      </c>
      <c r="B33036" s="15" t="s">
        <v>10816</v>
      </c>
      <c r="C33036" s="15" t="s">
        <v>10178</v>
      </c>
      <c r="D33036" s="15" t="s">
        <v>10179</v>
      </c>
      <c r="E33036" s="2">
        <v>1275441</v>
      </c>
      <c r="F33036" s="4" t="e">
        <f>IF(B33036=#REF!,"",B33036)</f>
        <v>#REF!</v>
      </c>
    </row>
    <row r="33037" spans="1:6" ht="15.75" customHeight="1">
      <c r="A33037" s="15" t="s">
        <v>26407</v>
      </c>
      <c r="B33037" s="15" t="s">
        <v>26407</v>
      </c>
      <c r="C33037" s="15" t="s">
        <v>26201</v>
      </c>
      <c r="D33037" s="15" t="s">
        <v>26254</v>
      </c>
      <c r="E33037" s="2">
        <v>321031</v>
      </c>
      <c r="F33037" s="4" t="e">
        <f>IF(B33037=#REF!,"",B33037)</f>
        <v>#REF!</v>
      </c>
    </row>
    <row r="33038" spans="1:6" ht="15.75" customHeight="1">
      <c r="A33038" s="15" t="s">
        <v>28042</v>
      </c>
      <c r="B33038" s="15" t="s">
        <v>28042</v>
      </c>
      <c r="C33038" s="15" t="s">
        <v>27788</v>
      </c>
      <c r="D33038" s="15" t="s">
        <v>28043</v>
      </c>
      <c r="E33038" s="2">
        <v>5688025</v>
      </c>
      <c r="F33038" s="4" t="e">
        <f>IF(B33038=#REF!,"",B33038)</f>
        <v>#REF!</v>
      </c>
    </row>
    <row r="33039" spans="1:6" ht="15.75" customHeight="1">
      <c r="A33039" s="15" t="s">
        <v>20679</v>
      </c>
      <c r="B33039" s="15" t="s">
        <v>20679</v>
      </c>
      <c r="C33039" s="15" t="s">
        <v>20598</v>
      </c>
      <c r="D33039" s="15" t="s">
        <v>20647</v>
      </c>
      <c r="E33039" s="2">
        <v>1724767</v>
      </c>
      <c r="F33039" s="4" t="e">
        <f>IF(B33039=#REF!,"",B33039)</f>
        <v>#REF!</v>
      </c>
    </row>
    <row r="33040" spans="1:6" ht="15.75" customHeight="1">
      <c r="A33040" s="15" t="s">
        <v>269</v>
      </c>
      <c r="B33040" s="15" t="s">
        <v>269</v>
      </c>
      <c r="C33040" s="15" t="s">
        <v>153</v>
      </c>
      <c r="D33040" s="15" t="s">
        <v>269</v>
      </c>
      <c r="E33040" s="2">
        <v>2503826</v>
      </c>
      <c r="F33040" s="4" t="e">
        <f>IF(B33040=#REF!,"",B33040)</f>
        <v>#REF!</v>
      </c>
    </row>
    <row r="33041" spans="1:6" ht="15.75" customHeight="1">
      <c r="A33041" s="16" t="s">
        <v>27326</v>
      </c>
      <c r="B33041" s="15" t="s">
        <v>27326</v>
      </c>
      <c r="C33041" s="16" t="s">
        <v>27234</v>
      </c>
      <c r="D33041" s="16" t="s">
        <v>27241</v>
      </c>
      <c r="E33041" s="2">
        <v>2655557</v>
      </c>
      <c r="F33041" s="4" t="e">
        <f>IF(B33041=#REF!,"",B33041)</f>
        <v>#REF!</v>
      </c>
    </row>
    <row r="33042" spans="1:6" ht="15.75" customHeight="1">
      <c r="A33042" s="16" t="s">
        <v>27324</v>
      </c>
      <c r="B33042" s="15" t="s">
        <v>27325</v>
      </c>
      <c r="C33042" s="16" t="s">
        <v>27234</v>
      </c>
      <c r="D33042" s="16" t="s">
        <v>27241</v>
      </c>
      <c r="E33042" s="2">
        <v>2655562</v>
      </c>
      <c r="F33042" s="4" t="e">
        <f>IF(B33042=#REF!,"",B33042)</f>
        <v>#REF!</v>
      </c>
    </row>
    <row r="33043" spans="1:6" ht="15.75" customHeight="1">
      <c r="A33043" s="16" t="s">
        <v>27323</v>
      </c>
      <c r="B33043" s="15" t="s">
        <v>27323</v>
      </c>
      <c r="C33043" s="16" t="s">
        <v>27234</v>
      </c>
      <c r="D33043" s="16" t="s">
        <v>27237</v>
      </c>
      <c r="E33043" s="2">
        <v>2655582</v>
      </c>
      <c r="F33043" s="4" t="e">
        <f>IF(B33043=#REF!,"",B33043)</f>
        <v>#REF!</v>
      </c>
    </row>
    <row r="33044" spans="1:6" ht="15.75" customHeight="1">
      <c r="A33044" s="16" t="s">
        <v>27321</v>
      </c>
      <c r="B33044" s="15" t="s">
        <v>27322</v>
      </c>
      <c r="C33044" s="16" t="s">
        <v>27234</v>
      </c>
      <c r="D33044" s="16" t="s">
        <v>27241</v>
      </c>
      <c r="E33044" s="2">
        <v>2655583</v>
      </c>
      <c r="F33044" s="4" t="e">
        <f>IF(B33044=#REF!,"",B33044)</f>
        <v>#REF!</v>
      </c>
    </row>
    <row r="33045" spans="1:6" ht="15.75" customHeight="1">
      <c r="A33045" s="15" t="s">
        <v>6845</v>
      </c>
      <c r="B33045" s="15" t="s">
        <v>6845</v>
      </c>
      <c r="C33045" s="15" t="s">
        <v>6807</v>
      </c>
      <c r="D33045" s="15" t="s">
        <v>6814</v>
      </c>
      <c r="E33045" s="2">
        <v>339666</v>
      </c>
      <c r="F33045" s="4" t="e">
        <f>IF(B33045=#REF!,"",B33045)</f>
        <v>#REF!</v>
      </c>
    </row>
    <row r="33046" spans="1:6" ht="15.75" customHeight="1">
      <c r="A33046" s="16" t="s">
        <v>10814</v>
      </c>
      <c r="B33046" s="15" t="s">
        <v>10814</v>
      </c>
      <c r="C33046" s="16" t="s">
        <v>10178</v>
      </c>
      <c r="D33046" s="16" t="s">
        <v>10201</v>
      </c>
      <c r="E33046" s="2">
        <v>1275462</v>
      </c>
      <c r="F33046" s="4" t="e">
        <f>IF(B33046=#REF!,"",B33046)</f>
        <v>#REF!</v>
      </c>
    </row>
    <row r="33047" spans="1:6" ht="15.75" customHeight="1">
      <c r="A33047" s="15" t="s">
        <v>16930</v>
      </c>
      <c r="B33047" s="15" t="s">
        <v>16930</v>
      </c>
      <c r="C33047" s="15" t="s">
        <v>16924</v>
      </c>
      <c r="D33047" s="15" t="s">
        <v>16930</v>
      </c>
      <c r="E33047" s="2">
        <v>1528675</v>
      </c>
      <c r="F33047" s="4" t="e">
        <f>IF(B33047=#REF!,"",B33047)</f>
        <v>#REF!</v>
      </c>
    </row>
    <row r="33048" spans="1:6" ht="15.75" customHeight="1">
      <c r="A33048" s="16" t="s">
        <v>7165</v>
      </c>
      <c r="B33048" s="15" t="s">
        <v>7165</v>
      </c>
      <c r="C33048" s="16" t="s">
        <v>7052</v>
      </c>
      <c r="D33048" s="16" t="s">
        <v>7061</v>
      </c>
      <c r="E33048" s="2">
        <v>3032551</v>
      </c>
      <c r="F33048" s="4" t="e">
        <f>IF(B33048=#REF!,"",B33048)</f>
        <v>#REF!</v>
      </c>
    </row>
    <row r="33049" spans="1:6" ht="15.75" customHeight="1">
      <c r="A33049" s="15" t="s">
        <v>14980</v>
      </c>
      <c r="B33049" s="15" t="s">
        <v>14980</v>
      </c>
      <c r="C33049" s="15" t="s">
        <v>14891</v>
      </c>
      <c r="D33049" s="15" t="s">
        <v>14908</v>
      </c>
      <c r="E33049" s="2">
        <v>3182007</v>
      </c>
      <c r="F33049" s="4" t="e">
        <f>IF(B33049=#REF!,"",B33049)</f>
        <v>#REF!</v>
      </c>
    </row>
    <row r="33050" spans="1:6" ht="15.75" customHeight="1">
      <c r="A33050" s="15" t="s">
        <v>10813</v>
      </c>
      <c r="B33050" s="15" t="s">
        <v>10813</v>
      </c>
      <c r="C33050" s="15" t="s">
        <v>10178</v>
      </c>
      <c r="D33050" s="15" t="s">
        <v>10193</v>
      </c>
      <c r="E33050" s="2">
        <v>1275476</v>
      </c>
      <c r="F33050" s="4" t="str">
        <f>IF(B33050=B33049,"",B33050)</f>
        <v>Bisauli</v>
      </c>
    </row>
    <row r="33051" spans="1:6" ht="15.75" customHeight="1">
      <c r="A33051" s="16" t="str">
        <f ca="1">IFERROR(__xludf.DUMMYFUNCTION("GOOGLETRANSLATE(B33798,""en"",""pt"")"),"Bīsalpur")</f>
        <v>Bīsalpur</v>
      </c>
      <c r="B33051" s="20" t="s">
        <v>33865</v>
      </c>
      <c r="C33051" s="20" t="s">
        <v>10178</v>
      </c>
      <c r="D33051" s="20" t="s">
        <v>10193</v>
      </c>
      <c r="E33051" s="10">
        <v>1275481</v>
      </c>
      <c r="F33051" s="4" t="str">
        <f>IF(B33051=B33050,"",B33051)</f>
        <v>Bīsalpur</v>
      </c>
    </row>
    <row r="33052" spans="1:6" ht="15.75" customHeight="1">
      <c r="A33052" s="16" t="str">
        <f ca="1">IFERROR(__xludf.DUMMYFUNCTION("GOOGLETRANSLATE(B40404,""en"",""pt"")"),"Biryulëvo Zapadnoye")</f>
        <v>Biryulëvo Zapadnoye</v>
      </c>
      <c r="B33052" s="20" t="s">
        <v>35499</v>
      </c>
      <c r="C33052" s="20" t="s">
        <v>22070</v>
      </c>
      <c r="D33052" s="20" t="s">
        <v>22119</v>
      </c>
      <c r="E33052" s="10">
        <v>541406</v>
      </c>
      <c r="F33052" s="4" t="str">
        <f>IF(B33052=B33051,"",B33052)</f>
        <v>Biryulëvo Zapadnoye</v>
      </c>
    </row>
    <row r="33053" spans="1:6" ht="15.75" customHeight="1">
      <c r="A33053" s="16" t="str">
        <f ca="1">IFERROR(__xludf.DUMMYFUNCTION("GOOGLETRANSLATE(B40626,""en"",""pt"")"),"Biryulëvo")</f>
        <v>Biryulëvo</v>
      </c>
      <c r="B33053" s="20" t="s">
        <v>35522</v>
      </c>
      <c r="C33053" s="20" t="s">
        <v>22070</v>
      </c>
      <c r="D33053" s="20" t="s">
        <v>22127</v>
      </c>
      <c r="E33053" s="10">
        <v>576279</v>
      </c>
      <c r="F33053" s="4" t="str">
        <f>IF(B33053=B33052,"",B33053)</f>
        <v>Biryulëvo</v>
      </c>
    </row>
    <row r="33054" spans="1:6" ht="15.75" customHeight="1">
      <c r="A33054" s="16" t="s">
        <v>22237</v>
      </c>
      <c r="B33054" s="15" t="s">
        <v>22238</v>
      </c>
      <c r="C33054" s="16" t="s">
        <v>22070</v>
      </c>
      <c r="D33054" s="16" t="s">
        <v>22119</v>
      </c>
      <c r="E33054" s="2">
        <v>541406</v>
      </c>
      <c r="F33054" s="4" t="str">
        <f>IF(B33054=B33053,"",B33054)</f>
        <v>BiryulÃ«vo Zapadnoye</v>
      </c>
    </row>
    <row r="33055" spans="1:6" ht="15.75" customHeight="1">
      <c r="A33055" s="16" t="s">
        <v>22235</v>
      </c>
      <c r="B33055" s="15" t="s">
        <v>22236</v>
      </c>
      <c r="C33055" s="16" t="s">
        <v>22070</v>
      </c>
      <c r="D33055" s="16" t="s">
        <v>22127</v>
      </c>
      <c r="E33055" s="2">
        <v>576279</v>
      </c>
      <c r="F33055" s="4" t="str">
        <f>IF(B33055=B33054,"",B33055)</f>
        <v>BiryulÃ«vo</v>
      </c>
    </row>
    <row r="33056" spans="1:6" ht="15.75" customHeight="1">
      <c r="A33056" s="16" t="str">
        <f ca="1">IFERROR(__xludf.DUMMYFUNCTION("GOOGLETRANSLATE(B33799,""en"",""pt"")"),"Birūr")</f>
        <v>Birūr</v>
      </c>
      <c r="B33056" s="20" t="s">
        <v>33866</v>
      </c>
      <c r="C33056" s="20" t="s">
        <v>10178</v>
      </c>
      <c r="D33056" s="20" t="s">
        <v>10252</v>
      </c>
      <c r="E33056" s="10">
        <v>1275488</v>
      </c>
      <c r="F33056" s="4" t="e">
        <f>IF(B33056=#REF!,"",B33056)</f>
        <v>#REF!</v>
      </c>
    </row>
    <row r="33057" spans="1:6" ht="15.75" customHeight="1">
      <c r="A33057" s="15" t="s">
        <v>22234</v>
      </c>
      <c r="B33057" s="15" t="s">
        <v>22234</v>
      </c>
      <c r="C33057" s="15" t="s">
        <v>22070</v>
      </c>
      <c r="D33057" s="15" t="s">
        <v>22088</v>
      </c>
      <c r="E33057" s="2">
        <v>576317</v>
      </c>
      <c r="F33057" s="4" t="str">
        <f>IF(B33057=B33056,"",B33057)</f>
        <v>Birsk</v>
      </c>
    </row>
    <row r="33058" spans="1:6" ht="15.75" customHeight="1">
      <c r="A33058" s="16" t="str">
        <f ca="1">IFERROR(__xludf.DUMMYFUNCTION("GOOGLETRANSLATE(B33800,""en"",""pt"")"),"Bīrpur")</f>
        <v>Bīrpur</v>
      </c>
      <c r="B33058" s="20" t="s">
        <v>33867</v>
      </c>
      <c r="C33058" s="20" t="s">
        <v>10178</v>
      </c>
      <c r="D33058" s="20" t="s">
        <v>10317</v>
      </c>
      <c r="E33058" s="10">
        <v>1275499</v>
      </c>
      <c r="F33058" s="4" t="e">
        <f>IF(B33058=#REF!,"",B33058)</f>
        <v>#REF!</v>
      </c>
    </row>
    <row r="33059" spans="1:6" ht="15.75" customHeight="1">
      <c r="A33059" s="15" t="s">
        <v>10812</v>
      </c>
      <c r="B33059" s="15" t="s">
        <v>10812</v>
      </c>
      <c r="C33059" s="15" t="s">
        <v>10178</v>
      </c>
      <c r="D33059" s="15" t="s">
        <v>10201</v>
      </c>
      <c r="E33059" s="2">
        <v>7284803</v>
      </c>
      <c r="F33059" s="4" t="e">
        <f>IF(B33059=#REF!,"",B33059)</f>
        <v>#REF!</v>
      </c>
    </row>
    <row r="33060" spans="1:6" ht="15.75" customHeight="1">
      <c r="A33060" s="16" t="s">
        <v>22232</v>
      </c>
      <c r="B33060" s="15" t="s">
        <v>22232</v>
      </c>
      <c r="C33060" s="16" t="s">
        <v>22070</v>
      </c>
      <c r="D33060" s="16" t="s">
        <v>22233</v>
      </c>
      <c r="E33060" s="2">
        <v>2026643</v>
      </c>
      <c r="F33060" s="4" t="e">
        <f>IF(B33060=#REF!,"",B33060)</f>
        <v>#REF!</v>
      </c>
    </row>
    <row r="33061" spans="1:6" ht="15.75" customHeight="1">
      <c r="A33061" s="16" t="s">
        <v>19350</v>
      </c>
      <c r="B33061" s="15" t="s">
        <v>19350</v>
      </c>
      <c r="C33061" s="16" t="s">
        <v>19294</v>
      </c>
      <c r="D33061" s="16" t="s">
        <v>19351</v>
      </c>
      <c r="E33061" s="2">
        <v>2347057</v>
      </c>
      <c r="F33061" s="4" t="e">
        <f>IF(B33061=#REF!,"",B33061)</f>
        <v>#REF!</v>
      </c>
    </row>
    <row r="33062" spans="1:6" ht="15.75" customHeight="1">
      <c r="A33062" s="16" t="s">
        <v>19349</v>
      </c>
      <c r="B33062" s="15" t="s">
        <v>19349</v>
      </c>
      <c r="C33062" s="16" t="s">
        <v>19294</v>
      </c>
      <c r="D33062" s="16" t="s">
        <v>19325</v>
      </c>
      <c r="E33062" s="2">
        <v>2347059</v>
      </c>
      <c r="F33062" s="4" t="e">
        <f>IF(B33062=#REF!,"",B33062)</f>
        <v>#REF!</v>
      </c>
    </row>
    <row r="33063" spans="1:6" ht="15.75" customHeight="1">
      <c r="A33063" s="16" t="s">
        <v>19264</v>
      </c>
      <c r="B33063" s="15" t="s">
        <v>19264</v>
      </c>
      <c r="C33063" s="16" t="s">
        <v>19259</v>
      </c>
      <c r="D33063" s="16" t="s">
        <v>19265</v>
      </c>
      <c r="E33063" s="2">
        <v>2437732</v>
      </c>
      <c r="F33063" s="4" t="e">
        <f>IF(B33063=#REF!,"",B33063)</f>
        <v>#REF!</v>
      </c>
    </row>
    <row r="33064" spans="1:6" ht="15.75" customHeight="1">
      <c r="A33064" s="16" t="s">
        <v>10811</v>
      </c>
      <c r="B33064" s="15" t="s">
        <v>10811</v>
      </c>
      <c r="C33064" s="16" t="s">
        <v>10178</v>
      </c>
      <c r="D33064" s="16" t="s">
        <v>10229</v>
      </c>
      <c r="E33064" s="2">
        <v>1275506</v>
      </c>
      <c r="F33064" s="4" t="e">
        <f>IF(B33064=#REF!,"",B33064)</f>
        <v>#REF!</v>
      </c>
    </row>
    <row r="33065" spans="1:6" ht="15.75" customHeight="1">
      <c r="A33065" s="16" t="s">
        <v>27320</v>
      </c>
      <c r="B33065" s="15" t="s">
        <v>27320</v>
      </c>
      <c r="C33065" s="16" t="s">
        <v>27234</v>
      </c>
      <c r="D33065" s="16" t="s">
        <v>27241</v>
      </c>
      <c r="E33065" s="2">
        <v>2655603</v>
      </c>
      <c r="F33065" s="4" t="e">
        <f>IF(B33065=#REF!,"",B33065)</f>
        <v>#REF!</v>
      </c>
    </row>
    <row r="33066" spans="1:6" ht="15.75" customHeight="1">
      <c r="A33066" s="15" t="s">
        <v>17623</v>
      </c>
      <c r="B33066" s="15" t="s">
        <v>17623</v>
      </c>
      <c r="C33066" s="15" t="s">
        <v>17621</v>
      </c>
      <c r="D33066" s="15" t="s">
        <v>17623</v>
      </c>
      <c r="E33066" s="2">
        <v>2563191</v>
      </c>
      <c r="F33066" s="4" t="e">
        <f>IF(B33066=#REF!,"",B33066)</f>
        <v>#REF!</v>
      </c>
    </row>
    <row r="33067" spans="1:6" ht="15.75" customHeight="1">
      <c r="A33067" s="16" t="s">
        <v>268</v>
      </c>
      <c r="B33067" s="15" t="s">
        <v>268</v>
      </c>
      <c r="C33067" s="16" t="s">
        <v>153</v>
      </c>
      <c r="D33067" s="16" t="s">
        <v>207</v>
      </c>
      <c r="E33067" s="2">
        <v>2503847</v>
      </c>
      <c r="F33067" s="4" t="str">
        <f>IF(B33067=B33066,"",B33067)</f>
        <v>Birkhadem</v>
      </c>
    </row>
    <row r="33068" spans="1:6" ht="15.75" customHeight="1">
      <c r="A33068" s="16" t="str">
        <f ca="1">IFERROR(__xludf.DUMMYFUNCTION("GOOGLETRANSLATE(B28446,""en"",""pt"")"),"Birkerød")</f>
        <v>Birkerød</v>
      </c>
      <c r="B33068" s="20" t="s">
        <v>32165</v>
      </c>
      <c r="C33068" s="20" t="s">
        <v>6209</v>
      </c>
      <c r="D33068" s="20" t="s">
        <v>6216</v>
      </c>
      <c r="E33068" s="10">
        <v>2624112</v>
      </c>
      <c r="F33068" s="4" t="str">
        <f>IF(B33068=B33067,"",B33068)</f>
        <v>Birkerød</v>
      </c>
    </row>
    <row r="33069" spans="1:6" ht="15.75" customHeight="1">
      <c r="A33069" s="15" t="s">
        <v>6219</v>
      </c>
      <c r="B33069" s="15" t="s">
        <v>6220</v>
      </c>
      <c r="C33069" s="15" t="s">
        <v>6209</v>
      </c>
      <c r="D33069" s="15" t="s">
        <v>6216</v>
      </c>
      <c r="E33069" s="2">
        <v>2624112</v>
      </c>
      <c r="F33069" s="4" t="e">
        <f>IF(B33069=#REF!,"",B33069)</f>
        <v>#REF!</v>
      </c>
    </row>
    <row r="33070" spans="1:6" ht="15.75" customHeight="1">
      <c r="A33070" s="16" t="s">
        <v>27319</v>
      </c>
      <c r="B33070" s="15" t="s">
        <v>27319</v>
      </c>
      <c r="C33070" s="16" t="s">
        <v>27234</v>
      </c>
      <c r="D33070" s="16" t="s">
        <v>27241</v>
      </c>
      <c r="E33070" s="2">
        <v>2655613</v>
      </c>
      <c r="F33070" s="4" t="str">
        <f>IF(B33070=B33069,"",B33070)</f>
        <v>Birkenhead</v>
      </c>
    </row>
    <row r="33071" spans="1:6" ht="15.75" customHeight="1">
      <c r="A33071" s="16" t="str">
        <f ca="1">IFERROR(__xludf.DUMMYFUNCTION("GOOGLETRANSLATE(B34475,""en"",""pt"")"),"Bīrjand")</f>
        <v>Bīrjand</v>
      </c>
      <c r="B33071" s="20" t="s">
        <v>34222</v>
      </c>
      <c r="C33071" s="20" t="s">
        <v>14240</v>
      </c>
      <c r="D33071" s="20" t="s">
        <v>34159</v>
      </c>
      <c r="E33071" s="10">
        <v>140463</v>
      </c>
      <c r="F33071" s="4" t="e">
        <f>IF(B33071=#REF!,"",B33071)</f>
        <v>#REF!</v>
      </c>
    </row>
    <row r="33072" spans="1:6" ht="15.75" customHeight="1">
      <c r="A33072" s="16" t="s">
        <v>2128</v>
      </c>
      <c r="B33072" s="15" t="s">
        <v>2128</v>
      </c>
      <c r="C33072" s="16" t="s">
        <v>1905</v>
      </c>
      <c r="D33072" s="16" t="s">
        <v>1914</v>
      </c>
      <c r="E33072" s="2">
        <v>3469984</v>
      </c>
      <c r="F33072" s="4" t="e">
        <f>IF(B33072=#REF!,"",B33072)</f>
        <v>#REF!</v>
      </c>
    </row>
    <row r="33073" spans="1:6" ht="15.75" customHeight="1">
      <c r="A33073" s="15" t="s">
        <v>267</v>
      </c>
      <c r="B33073" s="15" t="s">
        <v>267</v>
      </c>
      <c r="C33073" s="15" t="s">
        <v>153</v>
      </c>
      <c r="D33073" s="15" t="s">
        <v>166</v>
      </c>
      <c r="E33073" s="2">
        <v>2503852</v>
      </c>
      <c r="F33073" s="4" t="e">
        <f>IF(B33073=#REF!,"",B33073)</f>
        <v>#REF!</v>
      </c>
    </row>
    <row r="33074" spans="1:6" ht="15.75" customHeight="1">
      <c r="A33074" s="15" t="s">
        <v>2127</v>
      </c>
      <c r="B33074" s="15" t="s">
        <v>2127</v>
      </c>
      <c r="C33074" s="15" t="s">
        <v>1905</v>
      </c>
      <c r="D33074" s="15" t="s">
        <v>1914</v>
      </c>
      <c r="E33074" s="2">
        <v>3469989</v>
      </c>
      <c r="F33074" s="4" t="str">
        <f>IF(B33074=B33073,"",B33074)</f>
        <v>Birigui</v>
      </c>
    </row>
    <row r="33075" spans="1:6" ht="15.75" customHeight="1">
      <c r="A33075" s="16" t="str">
        <f ca="1">IFERROR(__xludf.DUMMYFUNCTION("GOOGLETRANSLATE(B38205,""en"",""pt"")"),"Bīrganj")</f>
        <v>Bīrganj</v>
      </c>
      <c r="B33075" s="20" t="s">
        <v>34837</v>
      </c>
      <c r="C33075" s="20" t="s">
        <v>18800</v>
      </c>
      <c r="D33075" s="20" t="s">
        <v>17414</v>
      </c>
      <c r="E33075" s="10">
        <v>1283581</v>
      </c>
      <c r="F33075" s="4" t="e">
        <f>IF(B33075=#REF!,"",B33075)</f>
        <v>#REF!</v>
      </c>
    </row>
    <row r="33076" spans="1:6" ht="15.75" customHeight="1">
      <c r="A33076" s="15" t="s">
        <v>13857</v>
      </c>
      <c r="B33076" s="15" t="s">
        <v>13857</v>
      </c>
      <c r="C33076" s="15" t="s">
        <v>13800</v>
      </c>
      <c r="D33076" s="15" t="s">
        <v>13828</v>
      </c>
      <c r="E33076" s="2">
        <v>1215350</v>
      </c>
      <c r="F33076" s="4" t="e">
        <f>IF(B33076=#REF!,"",B33076)</f>
        <v>#REF!</v>
      </c>
    </row>
    <row r="33077" spans="1:6" ht="15.75" customHeight="1">
      <c r="A33077" s="16" t="s">
        <v>18812</v>
      </c>
      <c r="B33077" s="15" t="s">
        <v>18812</v>
      </c>
      <c r="C33077" s="16" t="s">
        <v>18800</v>
      </c>
      <c r="D33077" s="16" t="s">
        <v>18813</v>
      </c>
      <c r="E33077" s="2">
        <v>6254843</v>
      </c>
      <c r="F33077" s="4" t="e">
        <f>IF(B33077=#REF!,"",B33077)</f>
        <v>#REF!</v>
      </c>
    </row>
    <row r="33078" spans="1:6" ht="15.75" customHeight="1">
      <c r="A33078" s="15" t="s">
        <v>26406</v>
      </c>
      <c r="B33078" s="15" t="s">
        <v>26406</v>
      </c>
      <c r="C33078" s="15" t="s">
        <v>26201</v>
      </c>
      <c r="D33078" s="15" t="s">
        <v>26289</v>
      </c>
      <c r="E33078" s="2">
        <v>321062</v>
      </c>
      <c r="F33078" s="4" t="str">
        <f>IF(B33078=B33077,"",B33078)</f>
        <v>Birecik</v>
      </c>
    </row>
    <row r="33079" spans="1:6" ht="15.75" customHeight="1">
      <c r="A33079" s="16" t="str">
        <f ca="1">IFERROR(__xludf.DUMMYFUNCTION("GOOGLETRANSLATE(B38206,""en"",""pt"")"),"Birātnagar")</f>
        <v>Birātnagar</v>
      </c>
      <c r="B33079" s="20" t="s">
        <v>34838</v>
      </c>
      <c r="C33079" s="20" t="s">
        <v>18800</v>
      </c>
      <c r="D33079" s="20" t="s">
        <v>18807</v>
      </c>
      <c r="E33079" s="10">
        <v>1283582</v>
      </c>
      <c r="F33079" s="4" t="str">
        <f>IF(B33079=B33078,"",B33079)</f>
        <v>Birātnagar</v>
      </c>
    </row>
    <row r="33080" spans="1:6" ht="15.75" customHeight="1">
      <c r="A33080" s="16" t="s">
        <v>18810</v>
      </c>
      <c r="B33080" s="15" t="s">
        <v>18811</v>
      </c>
      <c r="C33080" s="16" t="s">
        <v>18800</v>
      </c>
      <c r="D33080" s="16" t="s">
        <v>18807</v>
      </c>
      <c r="E33080" s="2">
        <v>1283582</v>
      </c>
      <c r="F33080" s="4" t="str">
        <f>IF(B33080=B33079,"",B33080)</f>
        <v>BirÄtnagar</v>
      </c>
    </row>
    <row r="33081" spans="1:6" ht="15.75" customHeight="1">
      <c r="A33081" s="15" t="s">
        <v>10809</v>
      </c>
      <c r="B33081" s="15" t="s">
        <v>10810</v>
      </c>
      <c r="C33081" s="15" t="s">
        <v>10178</v>
      </c>
      <c r="D33081" s="15" t="s">
        <v>10252</v>
      </c>
      <c r="E33081" s="2">
        <v>1275488</v>
      </c>
      <c r="F33081" s="4" t="e">
        <f>IF(B33081=#REF!,"",B33081)</f>
        <v>#REF!</v>
      </c>
    </row>
    <row r="33082" spans="1:6" ht="15.75" customHeight="1">
      <c r="A33082" s="15" t="s">
        <v>265</v>
      </c>
      <c r="B33082" s="15" t="s">
        <v>266</v>
      </c>
      <c r="C33082" s="15" t="s">
        <v>153</v>
      </c>
      <c r="D33082" s="15" t="s">
        <v>177</v>
      </c>
      <c r="E33082" s="2">
        <v>2503874</v>
      </c>
      <c r="F33082" s="4" t="e">
        <f>IF(B33082=#REF!,"",B33082)</f>
        <v>#REF!</v>
      </c>
    </row>
    <row r="33083" spans="1:6" ht="15.75" customHeight="1">
      <c r="A33083" s="16" t="s">
        <v>262</v>
      </c>
      <c r="B33083" s="15" t="s">
        <v>263</v>
      </c>
      <c r="C33083" s="16" t="s">
        <v>153</v>
      </c>
      <c r="D33083" s="16" t="s">
        <v>264</v>
      </c>
      <c r="E33083" s="2">
        <v>2503878</v>
      </c>
      <c r="F33083" s="4" t="e">
        <f>IF(B33083=#REF!,"",B33083)</f>
        <v>#REF!</v>
      </c>
    </row>
    <row r="33084" spans="1:6" ht="15.75" customHeight="1">
      <c r="A33084" s="15" t="s">
        <v>4553</v>
      </c>
      <c r="B33084" s="15" t="s">
        <v>4553</v>
      </c>
      <c r="C33084" s="15" t="s">
        <v>4487</v>
      </c>
      <c r="D33084" s="15" t="s">
        <v>4503</v>
      </c>
      <c r="E33084" s="2">
        <v>1816336</v>
      </c>
      <c r="F33084" s="4" t="e">
        <f>IF(B33084=#REF!,"",B33084)</f>
        <v>#REF!</v>
      </c>
    </row>
    <row r="33085" spans="1:6" ht="15.75" customHeight="1">
      <c r="A33085" s="15" t="s">
        <v>1193</v>
      </c>
      <c r="B33085" s="15" t="s">
        <v>1193</v>
      </c>
      <c r="C33085" s="15" t="s">
        <v>1170</v>
      </c>
      <c r="D33085" s="15" t="s">
        <v>1181</v>
      </c>
      <c r="E33085" s="2">
        <v>586968</v>
      </c>
      <c r="F33085" s="4" t="e">
        <f>IF(B33085=#REF!,"",B33085)</f>
        <v>#REF!</v>
      </c>
    </row>
    <row r="33086" spans="1:6" ht="15.75" customHeight="1">
      <c r="A33086" s="15" t="s">
        <v>17458</v>
      </c>
      <c r="B33086" s="15" t="s">
        <v>17458</v>
      </c>
      <c r="C33086" s="15" t="s">
        <v>17432</v>
      </c>
      <c r="D33086" s="15" t="s">
        <v>17459</v>
      </c>
      <c r="E33086" s="2">
        <v>1737486</v>
      </c>
      <c r="F33086" s="4" t="e">
        <f>IF(B33086=#REF!,"",B33086)</f>
        <v>#REF!</v>
      </c>
    </row>
    <row r="33087" spans="1:6" ht="15.75" customHeight="1">
      <c r="A33087" s="15" t="s">
        <v>20678</v>
      </c>
      <c r="B33087" s="15" t="s">
        <v>20678</v>
      </c>
      <c r="C33087" s="15" t="s">
        <v>20598</v>
      </c>
      <c r="D33087" s="15" t="s">
        <v>20627</v>
      </c>
      <c r="E33087" s="2">
        <v>1724933</v>
      </c>
      <c r="F33087" s="4" t="e">
        <f>IF(B33087=#REF!,"",B33087)</f>
        <v>#REF!</v>
      </c>
    </row>
    <row r="33088" spans="1:6" ht="15.75" customHeight="1">
      <c r="A33088" s="15" t="s">
        <v>25435</v>
      </c>
      <c r="B33088" s="15" t="s">
        <v>25435</v>
      </c>
      <c r="C33088" s="15" t="s">
        <v>25366</v>
      </c>
      <c r="D33088" s="15" t="s">
        <v>25392</v>
      </c>
      <c r="E33088" s="2">
        <v>171451</v>
      </c>
      <c r="F33088" s="4" t="e">
        <f>IF(B33088=#REF!,"",B33088)</f>
        <v>#REF!</v>
      </c>
    </row>
    <row r="33089" spans="1:6" ht="15.75" customHeight="1">
      <c r="A33089" s="15" t="s">
        <v>20677</v>
      </c>
      <c r="B33089" s="15" t="s">
        <v>20677</v>
      </c>
      <c r="C33089" s="15" t="s">
        <v>20598</v>
      </c>
      <c r="D33089" s="15" t="s">
        <v>20603</v>
      </c>
      <c r="E33089" s="2">
        <v>1724956</v>
      </c>
      <c r="F33089" s="4" t="e">
        <f>IF(B33089=#REF!,"",B33089)</f>
        <v>#REF!</v>
      </c>
    </row>
    <row r="33090" spans="1:6" ht="15.75" customHeight="1">
      <c r="A33090" s="15" t="s">
        <v>10808</v>
      </c>
      <c r="B33090" s="15" t="s">
        <v>10808</v>
      </c>
      <c r="C33090" s="15" t="s">
        <v>10178</v>
      </c>
      <c r="D33090" s="15" t="s">
        <v>10229</v>
      </c>
      <c r="E33090" s="2">
        <v>1275558</v>
      </c>
      <c r="F33090" s="4" t="e">
        <f>IF(B33090=#REF!,"",B33090)</f>
        <v>#REF!</v>
      </c>
    </row>
    <row r="33091" spans="1:6" ht="15.75" customHeight="1">
      <c r="A33091" s="15" t="s">
        <v>13856</v>
      </c>
      <c r="B33091" s="15" t="s">
        <v>13856</v>
      </c>
      <c r="C33091" s="15" t="s">
        <v>13800</v>
      </c>
      <c r="D33091" s="15" t="s">
        <v>13830</v>
      </c>
      <c r="E33091" s="2">
        <v>1215355</v>
      </c>
      <c r="F33091" s="4" t="e">
        <f>IF(B33091=#REF!,"",B33091)</f>
        <v>#REF!</v>
      </c>
    </row>
    <row r="33092" spans="1:6" ht="15.75" customHeight="1">
      <c r="A33092" s="15" t="s">
        <v>4552</v>
      </c>
      <c r="B33092" s="15" t="s">
        <v>4552</v>
      </c>
      <c r="C33092" s="15" t="s">
        <v>4487</v>
      </c>
      <c r="D33092" s="15" t="s">
        <v>4511</v>
      </c>
      <c r="E33092" s="2">
        <v>1793419</v>
      </c>
      <c r="F33092" s="4" t="str">
        <f>IF(B33092=B33091,"",B33092)</f>
        <v>Binhe</v>
      </c>
    </row>
    <row r="33093" spans="1:6" ht="15.75" customHeight="1">
      <c r="A33093" s="16" t="str">
        <f ca="1">IFERROR(__xludf.DUMMYFUNCTION("GOOGLETRANSLATE(B42050,""en"",""pt"")"),"Bingöl")</f>
        <v>Bingöl</v>
      </c>
      <c r="B33093" s="20" t="s">
        <v>35832</v>
      </c>
      <c r="C33093" s="20" t="s">
        <v>26201</v>
      </c>
      <c r="D33093" s="20" t="s">
        <v>35832</v>
      </c>
      <c r="E33093" s="10">
        <v>321082</v>
      </c>
      <c r="F33093" s="4" t="e">
        <f>IF(B33093=#REF!,"",B33093)</f>
        <v>#REF!</v>
      </c>
    </row>
    <row r="33094" spans="1:6" ht="15.75" customHeight="1">
      <c r="A33094" s="15" t="s">
        <v>27318</v>
      </c>
      <c r="B33094" s="15" t="s">
        <v>27318</v>
      </c>
      <c r="C33094" s="15" t="s">
        <v>27234</v>
      </c>
      <c r="D33094" s="15" t="s">
        <v>27241</v>
      </c>
      <c r="E33094" s="2">
        <v>2655642</v>
      </c>
      <c r="F33094" s="4" t="e">
        <f>IF(B33094=#REF!,"",B33094)</f>
        <v>#REF!</v>
      </c>
    </row>
    <row r="33095" spans="1:6" ht="15.75" customHeight="1">
      <c r="A33095" s="16" t="s">
        <v>28041</v>
      </c>
      <c r="B33095" s="15" t="s">
        <v>28041</v>
      </c>
      <c r="C33095" s="16" t="s">
        <v>27788</v>
      </c>
      <c r="D33095" s="16" t="s">
        <v>27819</v>
      </c>
      <c r="E33095" s="2">
        <v>5109177</v>
      </c>
      <c r="F33095" s="4" t="e">
        <f>IF(B33095=#REF!,"",B33095)</f>
        <v>#REF!</v>
      </c>
    </row>
    <row r="33096" spans="1:6" ht="15.75" customHeight="1">
      <c r="A33096" s="16" t="s">
        <v>15615</v>
      </c>
      <c r="B33096" s="15" t="s">
        <v>15615</v>
      </c>
      <c r="C33096" s="16" t="s">
        <v>15586</v>
      </c>
      <c r="D33096" s="16" t="s">
        <v>15589</v>
      </c>
      <c r="E33096" s="2">
        <v>2291580</v>
      </c>
      <c r="F33096" s="4" t="e">
        <f>IF(B33096=#REF!,"",B33096)</f>
        <v>#REF!</v>
      </c>
    </row>
    <row r="33097" spans="1:6" ht="15.75" customHeight="1">
      <c r="A33097" s="16" t="s">
        <v>8207</v>
      </c>
      <c r="B33097" s="15" t="s">
        <v>8208</v>
      </c>
      <c r="C33097" s="16" t="s">
        <v>8028</v>
      </c>
      <c r="D33097" s="16" t="s">
        <v>8065</v>
      </c>
      <c r="E33097" s="2">
        <v>2948825</v>
      </c>
      <c r="F33097" s="4" t="str">
        <f>IF(B33097=B33096,"",B33097)</f>
        <v>Bingen am Rhein</v>
      </c>
    </row>
    <row r="33098" spans="1:6" ht="15.75" customHeight="1">
      <c r="A33098" s="15" t="s">
        <v>26404</v>
      </c>
      <c r="B33098" s="15" t="s">
        <v>26405</v>
      </c>
      <c r="C33098" s="15" t="s">
        <v>26201</v>
      </c>
      <c r="D33098" s="15" t="s">
        <v>26405</v>
      </c>
      <c r="E33098" s="2">
        <v>321082</v>
      </c>
      <c r="F33098" s="4" t="e">
        <f>IF(B33098=#REF!,"",B33098)</f>
        <v>#REF!</v>
      </c>
    </row>
    <row r="33099" spans="1:6" ht="15.75" customHeight="1">
      <c r="A33099" s="15" t="s">
        <v>31074</v>
      </c>
      <c r="B33099" s="15" t="s">
        <v>31074</v>
      </c>
      <c r="C33099" s="15" t="s">
        <v>31072</v>
      </c>
      <c r="D33099" s="15" t="s">
        <v>31075</v>
      </c>
      <c r="E33099" s="2">
        <v>895061</v>
      </c>
      <c r="F33099" s="4" t="e">
        <f>IF(B33099=#REF!,"",B33099)</f>
        <v>#REF!</v>
      </c>
    </row>
    <row r="33100" spans="1:6" ht="15.75" customHeight="1">
      <c r="A33100" s="15" t="s">
        <v>10807</v>
      </c>
      <c r="B33100" s="15" t="s">
        <v>10807</v>
      </c>
      <c r="C33100" s="15" t="s">
        <v>10178</v>
      </c>
      <c r="D33100" s="15" t="s">
        <v>10193</v>
      </c>
      <c r="E33100" s="2">
        <v>1275572</v>
      </c>
      <c r="F33100" s="4" t="e">
        <f>IF(B33100=#REF!,"",B33100)</f>
        <v>#REF!</v>
      </c>
    </row>
    <row r="33101" spans="1:6" ht="15.75" customHeight="1">
      <c r="A33101" s="15" t="s">
        <v>1531</v>
      </c>
      <c r="B33101" s="15" t="s">
        <v>1531</v>
      </c>
      <c r="C33101" s="15" t="s">
        <v>1512</v>
      </c>
      <c r="D33101" s="15" t="s">
        <v>1518</v>
      </c>
      <c r="E33101" s="2">
        <v>2801922</v>
      </c>
      <c r="F33101" s="4" t="e">
        <f>IF(B33101=#REF!,"",B33101)</f>
        <v>#REF!</v>
      </c>
    </row>
    <row r="33102" spans="1:6" ht="15.75" customHeight="1">
      <c r="A33102" s="16" t="s">
        <v>20676</v>
      </c>
      <c r="B33102" s="15" t="s">
        <v>20676</v>
      </c>
      <c r="C33102" s="16" t="s">
        <v>20598</v>
      </c>
      <c r="D33102" s="16" t="s">
        <v>20608</v>
      </c>
      <c r="E33102" s="2">
        <v>1725094</v>
      </c>
      <c r="F33102" s="4" t="e">
        <f>IF(B33102=#REF!,"",B33102)</f>
        <v>#REF!</v>
      </c>
    </row>
    <row r="33103" spans="1:6" ht="15.75" customHeight="1">
      <c r="A33103" s="16" t="s">
        <v>20675</v>
      </c>
      <c r="B33103" s="15" t="s">
        <v>20675</v>
      </c>
      <c r="C33103" s="16" t="s">
        <v>20598</v>
      </c>
      <c r="D33103" s="16" t="s">
        <v>20627</v>
      </c>
      <c r="E33103" s="2">
        <v>1725157</v>
      </c>
      <c r="F33103" s="4" t="e">
        <f>IF(B33103=#REF!,"",B33103)</f>
        <v>#REF!</v>
      </c>
    </row>
    <row r="33104" spans="1:6" ht="15.75" customHeight="1">
      <c r="A33104" s="15" t="s">
        <v>4276</v>
      </c>
      <c r="B33104" s="15" t="s">
        <v>4276</v>
      </c>
      <c r="C33104" s="15" t="s">
        <v>4264</v>
      </c>
      <c r="D33104" s="15" t="s">
        <v>4277</v>
      </c>
      <c r="E33104" s="2">
        <v>2388873</v>
      </c>
      <c r="F33104" s="4" t="e">
        <f>IF(B33104=#REF!,"",B33104)</f>
        <v>#REF!</v>
      </c>
    </row>
    <row r="33105" spans="1:6" ht="15.75" customHeight="1">
      <c r="A33105" s="15" t="s">
        <v>13853</v>
      </c>
      <c r="B33105" s="15" t="s">
        <v>13854</v>
      </c>
      <c r="C33105" s="15" t="s">
        <v>13800</v>
      </c>
      <c r="D33105" s="15" t="s">
        <v>13855</v>
      </c>
      <c r="E33105" s="2">
        <v>1648759</v>
      </c>
      <c r="F33105" s="4" t="str">
        <f>IF(B33105=B33104,"",B33105)</f>
        <v>Bima</v>
      </c>
    </row>
    <row r="33106" spans="1:6" ht="15.75" customHeight="1">
      <c r="A33106" s="16" t="str">
        <f ca="1">IFERROR(__xludf.DUMMYFUNCTION("GOOGLETRANSLATE(B45783,""en"",""pt"")"),"Bỉm sơn")</f>
        <v>Bỉm sơn</v>
      </c>
      <c r="B33106" s="20" t="s">
        <v>36193</v>
      </c>
      <c r="C33106" s="20" t="s">
        <v>30784</v>
      </c>
      <c r="D33106" s="20" t="s">
        <v>36123</v>
      </c>
      <c r="E33106" s="10">
        <v>1587919</v>
      </c>
      <c r="F33106" s="4" t="e">
        <f>IF(B33106=#REF!,"",B33106)</f>
        <v>#REF!</v>
      </c>
    </row>
    <row r="33107" spans="1:6" ht="15.75" customHeight="1">
      <c r="A33107" s="15" t="s">
        <v>1530</v>
      </c>
      <c r="B33107" s="15" t="s">
        <v>1530</v>
      </c>
      <c r="C33107" s="15" t="s">
        <v>1512</v>
      </c>
      <c r="D33107" s="15" t="s">
        <v>1513</v>
      </c>
      <c r="E33107" s="2">
        <v>2801924</v>
      </c>
      <c r="F33107" s="4" t="e">
        <f>IF(B33107=#REF!,"",B33107)</f>
        <v>#REF!</v>
      </c>
    </row>
    <row r="33108" spans="1:6" ht="15.75" customHeight="1">
      <c r="A33108" s="15" t="s">
        <v>10806</v>
      </c>
      <c r="B33108" s="15" t="s">
        <v>10806</v>
      </c>
      <c r="C33108" s="15" t="s">
        <v>10178</v>
      </c>
      <c r="D33108" s="15" t="s">
        <v>10193</v>
      </c>
      <c r="E33108" s="2">
        <v>1275589</v>
      </c>
      <c r="F33108" s="4" t="e">
        <f>IF(B33108=#REF!,"",B33108)</f>
        <v>#REF!</v>
      </c>
    </row>
    <row r="33109" spans="1:6" ht="15.75" customHeight="1">
      <c r="A33109" s="15" t="s">
        <v>10805</v>
      </c>
      <c r="B33109" s="15" t="s">
        <v>10805</v>
      </c>
      <c r="C33109" s="15" t="s">
        <v>10178</v>
      </c>
      <c r="D33109" s="15" t="s">
        <v>10193</v>
      </c>
      <c r="E33109" s="2">
        <v>1275590</v>
      </c>
      <c r="F33109" s="4" t="e">
        <f>IF(B33109=#REF!,"",B33109)</f>
        <v>#REF!</v>
      </c>
    </row>
    <row r="33110" spans="1:6" ht="15.75" customHeight="1">
      <c r="A33110" s="15" t="s">
        <v>10804</v>
      </c>
      <c r="B33110" s="15" t="s">
        <v>10804</v>
      </c>
      <c r="C33110" s="15" t="s">
        <v>10178</v>
      </c>
      <c r="D33110" s="15" t="s">
        <v>10193</v>
      </c>
      <c r="E33110" s="2">
        <v>1275593</v>
      </c>
      <c r="F33110" s="4" t="str">
        <f>IF(B33110=B33109,"",B33110)</f>
        <v>Bilsanda</v>
      </c>
    </row>
    <row r="33111" spans="1:6" ht="15.75" customHeight="1">
      <c r="A33111" s="16" t="str">
        <f ca="1">IFERROR(__xludf.DUMMYFUNCTION("GOOGLETRANSLATE(B28884,""en"",""pt"")"),"Bilqās")</f>
        <v>Bilqās</v>
      </c>
      <c r="B33111" s="20" t="s">
        <v>32308</v>
      </c>
      <c r="C33111" s="20" t="s">
        <v>6495</v>
      </c>
      <c r="D33111" s="20" t="s">
        <v>32250</v>
      </c>
      <c r="E33111" s="10">
        <v>358821</v>
      </c>
      <c r="F33111" s="4" t="str">
        <f>IF(B33111=B33110,"",B33111)</f>
        <v>Bilqās</v>
      </c>
    </row>
    <row r="33112" spans="1:6" ht="15.75" customHeight="1">
      <c r="A33112" s="15" t="s">
        <v>6619</v>
      </c>
      <c r="B33112" s="15" t="s">
        <v>6620</v>
      </c>
      <c r="C33112" s="15" t="s">
        <v>6495</v>
      </c>
      <c r="D33112" s="15" t="s">
        <v>6508</v>
      </c>
      <c r="E33112" s="2">
        <v>358821</v>
      </c>
      <c r="F33112" s="4" t="e">
        <f>IF(B33112=#REF!,"",B33112)</f>
        <v>#REF!</v>
      </c>
    </row>
    <row r="33113" spans="1:6" ht="15.75" customHeight="1">
      <c r="A33113" s="15" t="s">
        <v>28039</v>
      </c>
      <c r="B33113" s="15" t="s">
        <v>28039</v>
      </c>
      <c r="C33113" s="15" t="s">
        <v>27788</v>
      </c>
      <c r="D33113" s="15" t="s">
        <v>28040</v>
      </c>
      <c r="E33113" s="2">
        <v>4418478</v>
      </c>
      <c r="F33113" s="4" t="e">
        <f>IF(B33113=#REF!,"",B33113)</f>
        <v>#REF!</v>
      </c>
    </row>
    <row r="33114" spans="1:6" ht="15.75" customHeight="1">
      <c r="A33114" s="15" t="s">
        <v>26910</v>
      </c>
      <c r="B33114" s="15" t="s">
        <v>26910</v>
      </c>
      <c r="C33114" s="15" t="s">
        <v>26870</v>
      </c>
      <c r="D33114" s="15" t="s">
        <v>26911</v>
      </c>
      <c r="E33114" s="2">
        <v>712559</v>
      </c>
      <c r="F33114" s="4" t="str">
        <f>IF(B33114=B33113,"",B33114)</f>
        <v>Bilopillya</v>
      </c>
    </row>
    <row r="33115" spans="1:6" ht="15.75" customHeight="1">
      <c r="A33115" s="15" t="s">
        <v>26908</v>
      </c>
      <c r="B33115" s="15" t="s">
        <v>26909</v>
      </c>
      <c r="C33115" s="15" t="s">
        <v>26870</v>
      </c>
      <c r="D33115" s="15" t="s">
        <v>26873</v>
      </c>
      <c r="E33115" s="2">
        <v>712587</v>
      </c>
      <c r="F33115" s="4" t="str">
        <f>IF(B33115=B33114,"",B33115)</f>
        <v>Bilohirsâ€™k</v>
      </c>
    </row>
    <row r="33116" spans="1:6" ht="15.75" customHeight="1">
      <c r="A33116" s="16" t="str">
        <f ca="1">IFERROR(__xludf.DUMMYFUNCTION("GOOGLETRANSLATE(B42702,""en"",""pt"")"),"Bilohirs'k")</f>
        <v>Bilohirs'k</v>
      </c>
      <c r="B33116" s="20" t="s">
        <v>36046</v>
      </c>
      <c r="C33116" s="20" t="s">
        <v>26870</v>
      </c>
      <c r="D33116" s="20" t="s">
        <v>26873</v>
      </c>
      <c r="E33116" s="10">
        <v>712587</v>
      </c>
      <c r="F33116" s="4" t="e">
        <f>IF(B33116=#REF!,"",B33116)</f>
        <v>#REF!</v>
      </c>
    </row>
    <row r="33117" spans="1:6" ht="15.75" customHeight="1">
      <c r="A33117" s="15" t="s">
        <v>19347</v>
      </c>
      <c r="B33117" s="15" t="s">
        <v>19347</v>
      </c>
      <c r="C33117" s="15" t="s">
        <v>19294</v>
      </c>
      <c r="D33117" s="15" t="s">
        <v>19348</v>
      </c>
      <c r="E33117" s="2">
        <v>2347155</v>
      </c>
      <c r="F33117" s="4" t="e">
        <f>IF(B33117=#REF!,"",B33117)</f>
        <v>#REF!</v>
      </c>
    </row>
    <row r="33118" spans="1:6" ht="15.75" customHeight="1">
      <c r="A33118" s="16" t="s">
        <v>28037</v>
      </c>
      <c r="B33118" s="15" t="s">
        <v>28038</v>
      </c>
      <c r="C33118" s="16" t="s">
        <v>27788</v>
      </c>
      <c r="D33118" s="16" t="s">
        <v>3706</v>
      </c>
      <c r="E33118" s="2">
        <v>5640350</v>
      </c>
      <c r="F33118" s="4" t="e">
        <f>IF(B33118=#REF!,"",B33118)</f>
        <v>#REF!</v>
      </c>
    </row>
    <row r="33119" spans="1:6" ht="15.75" customHeight="1">
      <c r="A33119" s="16" t="s">
        <v>27317</v>
      </c>
      <c r="B33119" s="15" t="s">
        <v>27317</v>
      </c>
      <c r="C33119" s="16" t="s">
        <v>27234</v>
      </c>
      <c r="D33119" s="16" t="s">
        <v>27241</v>
      </c>
      <c r="E33119" s="2">
        <v>2655664</v>
      </c>
      <c r="F33119" s="4" t="e">
        <f>IF(B33119=#REF!,"",B33119)</f>
        <v>#REF!</v>
      </c>
    </row>
    <row r="33120" spans="1:6" ht="15.75" customHeight="1">
      <c r="A33120" s="15" t="s">
        <v>27316</v>
      </c>
      <c r="B33120" s="15" t="s">
        <v>27316</v>
      </c>
      <c r="C33120" s="15" t="s">
        <v>27234</v>
      </c>
      <c r="D33120" s="15" t="s">
        <v>27241</v>
      </c>
      <c r="E33120" s="2">
        <v>2655672</v>
      </c>
      <c r="F33120" s="4" t="e">
        <f>IF(B33120=#REF!,"",B33120)</f>
        <v>#REF!</v>
      </c>
    </row>
    <row r="33121" spans="1:6" ht="15.75" customHeight="1">
      <c r="A33121" s="15" t="s">
        <v>28036</v>
      </c>
      <c r="B33121" s="15" t="s">
        <v>28036</v>
      </c>
      <c r="C33121" s="15" t="s">
        <v>27788</v>
      </c>
      <c r="D33121" s="15" t="s">
        <v>27794</v>
      </c>
      <c r="E33121" s="2">
        <v>4930577</v>
      </c>
      <c r="F33121" s="4" t="str">
        <f>IF(B33121=B33120,"",B33121)</f>
        <v>Billerica</v>
      </c>
    </row>
    <row r="33122" spans="1:6" ht="15.75" customHeight="1">
      <c r="A33122" s="16" t="str">
        <f ca="1">IFERROR(__xludf.DUMMYFUNCTION("GOOGLETRANSLATE(B27337,""en"",""pt"")"),"Bílina Kyselka")</f>
        <v>Bílina Kyselka</v>
      </c>
      <c r="B33122" s="20" t="s">
        <v>32003</v>
      </c>
      <c r="C33122" s="20" t="s">
        <v>5947</v>
      </c>
      <c r="D33122" s="20" t="s">
        <v>31942</v>
      </c>
      <c r="E33122" s="10">
        <v>3079346</v>
      </c>
      <c r="F33122" s="4" t="str">
        <f>IF(B33122=B33121,"",B33122)</f>
        <v>Bílina Kyselka</v>
      </c>
    </row>
    <row r="33123" spans="1:6" ht="15.75" customHeight="1">
      <c r="A33123" s="16" t="str">
        <f ca="1">IFERROR(__xludf.DUMMYFUNCTION("GOOGLETRANSLATE(B27338,""en"",""pt"")"),"Bílina")</f>
        <v>Bílina</v>
      </c>
      <c r="B33123" s="20" t="s">
        <v>32004</v>
      </c>
      <c r="C33123" s="20" t="s">
        <v>5947</v>
      </c>
      <c r="D33123" s="20" t="s">
        <v>31942</v>
      </c>
      <c r="E33123" s="10">
        <v>3079348</v>
      </c>
      <c r="F33123" s="4" t="e">
        <f>IF(B33123=#REF!,"",B33123)</f>
        <v>#REF!</v>
      </c>
    </row>
    <row r="33124" spans="1:6" ht="15.75" customHeight="1">
      <c r="A33124" s="15" t="s">
        <v>10803</v>
      </c>
      <c r="B33124" s="15" t="s">
        <v>10803</v>
      </c>
      <c r="C33124" s="15" t="s">
        <v>10178</v>
      </c>
      <c r="D33124" s="15" t="s">
        <v>10209</v>
      </c>
      <c r="E33124" s="2">
        <v>1275610</v>
      </c>
      <c r="F33124" s="4" t="e">
        <f>IF(B33124=#REF!,"",B33124)</f>
        <v>#REF!</v>
      </c>
    </row>
    <row r="33125" spans="1:6" ht="15.75" customHeight="1">
      <c r="A33125" s="16" t="s">
        <v>18457</v>
      </c>
      <c r="B33125" s="15" t="s">
        <v>18457</v>
      </c>
      <c r="C33125" s="16" t="s">
        <v>18455</v>
      </c>
      <c r="D33125" s="16" t="s">
        <v>18458</v>
      </c>
      <c r="E33125" s="2">
        <v>617345</v>
      </c>
      <c r="F33125" s="4" t="str">
        <f>IF(B33125=B33124,"",B33125)</f>
        <v>Bilicenii Vechi</v>
      </c>
    </row>
    <row r="33126" spans="1:6" ht="15.75" customHeight="1">
      <c r="A33126" s="16" t="s">
        <v>26906</v>
      </c>
      <c r="B33126" s="15" t="s">
        <v>26907</v>
      </c>
      <c r="C33126" s="16" t="s">
        <v>26870</v>
      </c>
      <c r="D33126" s="16" t="s">
        <v>26884</v>
      </c>
      <c r="E33126" s="2">
        <v>712160</v>
      </c>
      <c r="F33126" s="4" t="str">
        <f>IF(B33126=B33125,"",B33126)</f>
        <v>Bilhorod-Dnistrovsâ€™kyy</v>
      </c>
    </row>
    <row r="33127" spans="1:6" ht="15.75" customHeight="1">
      <c r="A33127" s="16" t="str">
        <f ca="1">IFERROR(__xludf.DUMMYFUNCTION("GOOGLETRANSLATE(B42695,""en"",""pt"")"),"Bilhorod-Dnistrovs'kyy")</f>
        <v>Bilhorod-Dnistrovs'kyy</v>
      </c>
      <c r="B33127" s="20" t="s">
        <v>36043</v>
      </c>
      <c r="C33127" s="20" t="s">
        <v>26870</v>
      </c>
      <c r="D33127" s="20" t="s">
        <v>26884</v>
      </c>
      <c r="E33127" s="10">
        <v>712160</v>
      </c>
      <c r="F33127" s="4" t="e">
        <f>IF(B33127=#REF!,"",B33127)</f>
        <v>#REF!</v>
      </c>
    </row>
    <row r="33128" spans="1:6" ht="15.75" customHeight="1">
      <c r="A33128" s="15" t="s">
        <v>10801</v>
      </c>
      <c r="B33128" s="15" t="s">
        <v>10802</v>
      </c>
      <c r="C33128" s="15" t="s">
        <v>10178</v>
      </c>
      <c r="D33128" s="15" t="s">
        <v>10193</v>
      </c>
      <c r="E33128" s="2">
        <v>1275614</v>
      </c>
      <c r="F33128" s="4" t="str">
        <f>IF(B33128=B33127,"",B33128)</f>
        <v>Bilhaur</v>
      </c>
    </row>
    <row r="33129" spans="1:6" ht="15.75" customHeight="1">
      <c r="A33129" s="16" t="str">
        <f ca="1">IFERROR(__xludf.DUMMYFUNCTION("GOOGLETRANSLATE(B33810,""en"",""pt"")"),"Bilgrām")</f>
        <v>Bilgrām</v>
      </c>
      <c r="B33129" s="20" t="s">
        <v>33869</v>
      </c>
      <c r="C33129" s="20" t="s">
        <v>10178</v>
      </c>
      <c r="D33129" s="20" t="s">
        <v>10193</v>
      </c>
      <c r="E33129" s="10">
        <v>1275618</v>
      </c>
      <c r="F33129" s="4" t="str">
        <f>IF(B33129=B33128,"",B33129)</f>
        <v>Bilgrām</v>
      </c>
    </row>
    <row r="33130" spans="1:6" ht="15.75" customHeight="1">
      <c r="A33130" s="15" t="s">
        <v>10799</v>
      </c>
      <c r="B33130" s="15" t="s">
        <v>10800</v>
      </c>
      <c r="C33130" s="15" t="s">
        <v>10178</v>
      </c>
      <c r="D33130" s="15" t="s">
        <v>10193</v>
      </c>
      <c r="E33130" s="2">
        <v>1275618</v>
      </c>
      <c r="F33130" s="4" t="str">
        <f>IF(B33130=B33129,"",B33130)</f>
        <v>BilgrÄm</v>
      </c>
    </row>
    <row r="33131" spans="1:6" ht="15.75" customHeight="1">
      <c r="A33131" s="16" t="str">
        <f ca="1">IFERROR(__xludf.DUMMYFUNCTION("GOOGLETRANSLATE(B39290,""en"",""pt"")"),"Biłgoraj")</f>
        <v>Biłgoraj</v>
      </c>
      <c r="B33131" s="20" t="s">
        <v>35131</v>
      </c>
      <c r="C33131" s="20" t="s">
        <v>21064</v>
      </c>
      <c r="D33131" s="20" t="s">
        <v>21091</v>
      </c>
      <c r="E33131" s="10">
        <v>775922</v>
      </c>
      <c r="F33131" s="4" t="e">
        <f>IF(B33131=#REF!,"",B33131)</f>
        <v>#REF!</v>
      </c>
    </row>
    <row r="33132" spans="1:6" ht="15.75" customHeight="1">
      <c r="A33132" s="15" t="s">
        <v>10798</v>
      </c>
      <c r="B33132" s="15" t="s">
        <v>10798</v>
      </c>
      <c r="C33132" s="15" t="s">
        <v>10178</v>
      </c>
      <c r="D33132" s="15" t="s">
        <v>10252</v>
      </c>
      <c r="E33132" s="2">
        <v>1275619</v>
      </c>
      <c r="F33132" s="4" t="e">
        <f>IF(B33132=#REF!,"",B33132)</f>
        <v>#REF!</v>
      </c>
    </row>
    <row r="33133" spans="1:6" ht="15.75" customHeight="1">
      <c r="A33133" s="15" t="s">
        <v>26402</v>
      </c>
      <c r="B33133" s="15" t="s">
        <v>26403</v>
      </c>
      <c r="C33133" s="15" t="s">
        <v>26201</v>
      </c>
      <c r="D33133" s="15" t="s">
        <v>26403</v>
      </c>
      <c r="E33133" s="2">
        <v>750598</v>
      </c>
      <c r="F33133" s="4" t="e">
        <f>IF(B33133=#REF!,"",B33133)</f>
        <v>#REF!</v>
      </c>
    </row>
    <row r="33134" spans="1:6" ht="15.75" customHeight="1">
      <c r="A33134" s="16" t="s">
        <v>8205</v>
      </c>
      <c r="B33134" s="15" t="s">
        <v>8206</v>
      </c>
      <c r="C33134" s="16" t="s">
        <v>8028</v>
      </c>
      <c r="D33134" s="16" t="s">
        <v>8029</v>
      </c>
      <c r="E33134" s="2">
        <v>6691078</v>
      </c>
      <c r="F33134" s="4" t="e">
        <f>IF(B33134=#REF!,"",B33134)</f>
        <v>#REF!</v>
      </c>
    </row>
    <row r="33135" spans="1:6" ht="15.75" customHeight="1">
      <c r="A33135" s="15" t="s">
        <v>6618</v>
      </c>
      <c r="B33135" s="15" t="s">
        <v>6618</v>
      </c>
      <c r="C33135" s="15" t="s">
        <v>6495</v>
      </c>
      <c r="D33135" s="15" t="s">
        <v>6128</v>
      </c>
      <c r="E33135" s="2">
        <v>358840</v>
      </c>
      <c r="F33135" s="4" t="e">
        <f>IF(B33135=#REF!,"",B33135)</f>
        <v>#REF!</v>
      </c>
    </row>
    <row r="33136" spans="1:6" ht="15.75" customHeight="1">
      <c r="A33136" s="15" t="s">
        <v>24344</v>
      </c>
      <c r="B33136" s="15" t="s">
        <v>24344</v>
      </c>
      <c r="C33136" s="15" t="s">
        <v>24200</v>
      </c>
      <c r="D33136" s="15" t="s">
        <v>24249</v>
      </c>
      <c r="E33136" s="2">
        <v>3128026</v>
      </c>
      <c r="F33136" s="4" t="str">
        <f>IF(B33136=B33135,"",B33136)</f>
        <v>Bilbao</v>
      </c>
    </row>
    <row r="33137" spans="1:6" ht="15.75" customHeight="1">
      <c r="A33137" s="16" t="str">
        <f ca="1">IFERROR(__xludf.DUMMYFUNCTION("GOOGLETRANSLATE(B33812,""en"",""pt"")"),"Bīlāspur")</f>
        <v>Bīlāspur</v>
      </c>
      <c r="B33137" s="20" t="s">
        <v>33870</v>
      </c>
      <c r="C33137" s="20" t="s">
        <v>10178</v>
      </c>
      <c r="D33137" s="20" t="s">
        <v>10193</v>
      </c>
      <c r="E33137" s="10">
        <v>1275634</v>
      </c>
      <c r="F33137" s="4" t="str">
        <f>IF(B33137=B33136,"",B33137)</f>
        <v>Bīlāspur</v>
      </c>
    </row>
    <row r="33138" spans="1:6" ht="15.75" customHeight="1">
      <c r="A33138" s="16" t="str">
        <f ca="1">IFERROR(__xludf.DUMMYFUNCTION("GOOGLETRANSLATE(B33813,""en"",""pt"")"),"Bilāspur")</f>
        <v>Bilāspur</v>
      </c>
      <c r="B33138" s="20" t="s">
        <v>33871</v>
      </c>
      <c r="C33138" s="20" t="s">
        <v>10178</v>
      </c>
      <c r="D33138" s="20" t="s">
        <v>10272</v>
      </c>
      <c r="E33138" s="10">
        <v>1275637</v>
      </c>
      <c r="F33138" s="4" t="str">
        <f>IF(B33138=B33137,"",B33138)</f>
        <v>Bilāspur</v>
      </c>
    </row>
    <row r="33139" spans="1:6" ht="15.75" customHeight="1">
      <c r="A33139" s="16" t="str">
        <f ca="1">IFERROR(__xludf.DUMMYFUNCTION("GOOGLETRANSLATE(B33814,""en"",""pt"")"),"Bilāsipāra")</f>
        <v>Bilāsipāra</v>
      </c>
      <c r="B33139" s="20" t="s">
        <v>33872</v>
      </c>
      <c r="C33139" s="20" t="s">
        <v>10178</v>
      </c>
      <c r="D33139" s="20" t="s">
        <v>10239</v>
      </c>
      <c r="E33139" s="10">
        <v>1275641</v>
      </c>
      <c r="F33139" s="4" t="str">
        <f>IF(B33139=B33138,"",B33139)</f>
        <v>Bilāsipāra</v>
      </c>
    </row>
    <row r="33140" spans="1:6" ht="15.75" customHeight="1">
      <c r="A33140" s="16" t="str">
        <f ca="1">IFERROR(__xludf.DUMMYFUNCTION("GOOGLETRANSLATE(B33815,""en"",""pt"")"),"Bilāri")</f>
        <v>Bilāri</v>
      </c>
      <c r="B33140" s="20" t="s">
        <v>33873</v>
      </c>
      <c r="C33140" s="20" t="s">
        <v>10178</v>
      </c>
      <c r="D33140" s="20" t="s">
        <v>10193</v>
      </c>
      <c r="E33140" s="10">
        <v>1275646</v>
      </c>
      <c r="F33140" s="4" t="str">
        <f>IF(B33140=B33139,"",B33140)</f>
        <v>Bilāri</v>
      </c>
    </row>
    <row r="33141" spans="1:6" ht="15.75" customHeight="1">
      <c r="A33141" s="16" t="str">
        <f ca="1">IFERROR(__xludf.DUMMYFUNCTION("GOOGLETRANSLATE(B33816,""en"",""pt"")"),"Bilāra")</f>
        <v>Bilāra</v>
      </c>
      <c r="B33141" s="20" t="s">
        <v>33874</v>
      </c>
      <c r="C33141" s="20" t="s">
        <v>10178</v>
      </c>
      <c r="D33141" s="20" t="s">
        <v>10179</v>
      </c>
      <c r="E33141" s="10">
        <v>1275647</v>
      </c>
      <c r="F33141" s="4" t="e">
        <f>IF(B33141=#REF!,"",B33141)</f>
        <v>#REF!</v>
      </c>
    </row>
    <row r="33142" spans="1:6" ht="15.75" customHeight="1">
      <c r="A33142" s="15" t="s">
        <v>1192</v>
      </c>
      <c r="B33142" s="15" t="s">
        <v>1192</v>
      </c>
      <c r="C33142" s="15" t="s">
        <v>1170</v>
      </c>
      <c r="D33142" s="15" t="s">
        <v>1181</v>
      </c>
      <c r="E33142" s="2">
        <v>587078</v>
      </c>
      <c r="F33142" s="4" t="str">
        <f>IF(B33142=B33141,"",B33142)</f>
        <v>Bilajari</v>
      </c>
    </row>
    <row r="33143" spans="1:6" ht="15.75" customHeight="1">
      <c r="A33143" s="15" t="s">
        <v>10796</v>
      </c>
      <c r="B33143" s="15" t="s">
        <v>10797</v>
      </c>
      <c r="C33143" s="15" t="s">
        <v>10178</v>
      </c>
      <c r="D33143" s="15" t="s">
        <v>10272</v>
      </c>
      <c r="E33143" s="2">
        <v>1275637</v>
      </c>
      <c r="F33143" s="4" t="str">
        <f>IF(B33143=B33142,"",B33143)</f>
        <v>BilÄspur</v>
      </c>
    </row>
    <row r="33144" spans="1:6" ht="15.75" customHeight="1">
      <c r="A33144" s="16" t="s">
        <v>10794</v>
      </c>
      <c r="B33144" s="15" t="s">
        <v>10795</v>
      </c>
      <c r="C33144" s="16" t="s">
        <v>10178</v>
      </c>
      <c r="D33144" s="16" t="s">
        <v>10239</v>
      </c>
      <c r="E33144" s="2">
        <v>1275641</v>
      </c>
      <c r="F33144" s="4" t="str">
        <f>IF(B33144=B33143,"",B33144)</f>
        <v>BilÄsipÄra</v>
      </c>
    </row>
    <row r="33145" spans="1:6" ht="15.75" customHeight="1">
      <c r="A33145" s="15" t="s">
        <v>10792</v>
      </c>
      <c r="B33145" s="15" t="s">
        <v>10793</v>
      </c>
      <c r="C33145" s="15" t="s">
        <v>10178</v>
      </c>
      <c r="D33145" s="15" t="s">
        <v>10193</v>
      </c>
      <c r="E33145" s="2">
        <v>1275646</v>
      </c>
      <c r="F33145" s="4" t="str">
        <f>IF(B33145=B33144,"",B33145)</f>
        <v>BilÄri</v>
      </c>
    </row>
    <row r="33146" spans="1:6" ht="15.75" customHeight="1">
      <c r="A33146" s="15" t="s">
        <v>10790</v>
      </c>
      <c r="B33146" s="15" t="s">
        <v>10791</v>
      </c>
      <c r="C33146" s="15" t="s">
        <v>10178</v>
      </c>
      <c r="D33146" s="15" t="s">
        <v>10179</v>
      </c>
      <c r="E33146" s="2">
        <v>1275647</v>
      </c>
      <c r="F33146" s="4" t="e">
        <f>IF(B33146=#REF!,"",B33146)</f>
        <v>#REF!</v>
      </c>
    </row>
    <row r="33147" spans="1:6" ht="15.75" customHeight="1">
      <c r="A33147" s="16" t="s">
        <v>26903</v>
      </c>
      <c r="B33147" s="15" t="s">
        <v>26904</v>
      </c>
      <c r="C33147" s="16" t="s">
        <v>26870</v>
      </c>
      <c r="D33147" s="16" t="s">
        <v>26905</v>
      </c>
      <c r="E33147" s="2">
        <v>712165</v>
      </c>
      <c r="F33147" s="4" t="e">
        <f>IF(B33147=#REF!,"",B33147)</f>
        <v>#REF!</v>
      </c>
    </row>
    <row r="33148" spans="1:6" ht="15.75" customHeight="1">
      <c r="A33148" s="16" t="s">
        <v>10789</v>
      </c>
      <c r="B33148" s="15" t="s">
        <v>10789</v>
      </c>
      <c r="C33148" s="16" t="s">
        <v>10178</v>
      </c>
      <c r="D33148" s="16" t="s">
        <v>10317</v>
      </c>
      <c r="E33148" s="2">
        <v>1275655</v>
      </c>
      <c r="F33148" s="4" t="e">
        <f>IF(B33148=#REF!,"",B33148)</f>
        <v>#REF!</v>
      </c>
    </row>
    <row r="33149" spans="1:6" ht="15.75" customHeight="1">
      <c r="A33149" s="15" t="s">
        <v>22231</v>
      </c>
      <c r="B33149" s="15" t="s">
        <v>22231</v>
      </c>
      <c r="C33149" s="15" t="s">
        <v>22070</v>
      </c>
      <c r="D33149" s="15" t="s">
        <v>22131</v>
      </c>
      <c r="E33149" s="2">
        <v>2026696</v>
      </c>
      <c r="F33149" s="4" t="str">
        <f>IF(B33149=B33148,"",B33149)</f>
        <v>Bikin</v>
      </c>
    </row>
    <row r="33150" spans="1:6" ht="15.75" customHeight="1">
      <c r="A33150" s="16" t="str">
        <f ca="1">IFERROR(__xludf.DUMMYFUNCTION("GOOGLETRANSLATE(B33818,""en"",""pt"")"),"Bīkaner")</f>
        <v>Bīkaner</v>
      </c>
      <c r="B33150" s="20" t="s">
        <v>33875</v>
      </c>
      <c r="C33150" s="20" t="s">
        <v>10178</v>
      </c>
      <c r="D33150" s="20" t="s">
        <v>10179</v>
      </c>
      <c r="E33150" s="10">
        <v>1275665</v>
      </c>
      <c r="F33150" s="4" t="e">
        <f>IF(B33150=#REF!,"",B33150)</f>
        <v>#REF!</v>
      </c>
    </row>
    <row r="33151" spans="1:6" ht="15.75" customHeight="1">
      <c r="A33151" s="15" t="s">
        <v>10788</v>
      </c>
      <c r="B33151" s="15" t="s">
        <v>10788</v>
      </c>
      <c r="C33151" s="15" t="s">
        <v>10178</v>
      </c>
      <c r="D33151" s="15" t="s">
        <v>10193</v>
      </c>
      <c r="E33151" s="2">
        <v>1275679</v>
      </c>
      <c r="F33151" s="4" t="e">
        <f>IF(B33151=#REF!,"",B33151)</f>
        <v>#REF!</v>
      </c>
    </row>
    <row r="33152" spans="1:6" ht="15.75" customHeight="1">
      <c r="A33152" s="15" t="s">
        <v>4551</v>
      </c>
      <c r="B33152" s="15" t="s">
        <v>4551</v>
      </c>
      <c r="C33152" s="15" t="s">
        <v>4487</v>
      </c>
      <c r="D33152" s="15" t="s">
        <v>4507</v>
      </c>
      <c r="E33152" s="2">
        <v>1816373</v>
      </c>
      <c r="F33152" s="4" t="e">
        <f>IF(B33152=#REF!,"",B33152)</f>
        <v>#REF!</v>
      </c>
    </row>
    <row r="33153" spans="1:6" ht="15.75" customHeight="1">
      <c r="A33153" s="16" t="s">
        <v>18535</v>
      </c>
      <c r="B33153" s="15" t="s">
        <v>18535</v>
      </c>
      <c r="C33153" s="16" t="s">
        <v>2921</v>
      </c>
      <c r="D33153" s="16" t="s">
        <v>18535</v>
      </c>
      <c r="E33153" s="2">
        <v>3204176</v>
      </c>
      <c r="F33153" s="4" t="e">
        <f>IF(B33153=#REF!,"",B33153)</f>
        <v>#REF!</v>
      </c>
    </row>
    <row r="33154" spans="1:6" ht="15.75" customHeight="1">
      <c r="A33154" s="15" t="s">
        <v>1850</v>
      </c>
      <c r="B33154" s="15" t="s">
        <v>1850</v>
      </c>
      <c r="C33154" s="15" t="s">
        <v>1845</v>
      </c>
      <c r="D33154" s="15" t="s">
        <v>1846</v>
      </c>
      <c r="E33154" s="2">
        <v>3204186</v>
      </c>
      <c r="F33154" s="4" t="str">
        <f>IF(B33154=B33153,"",B33154)</f>
        <v>Bijeljina</v>
      </c>
    </row>
    <row r="33155" spans="1:6" ht="15.75" customHeight="1">
      <c r="A33155" s="16" t="str">
        <f ca="1">IFERROR(__xludf.DUMMYFUNCTION("GOOGLETRANSLATE(B33820,""en"",""pt"")"),"Bijbiāra")</f>
        <v>Bijbiāra</v>
      </c>
      <c r="B33155" s="20" t="s">
        <v>33876</v>
      </c>
      <c r="C33155" s="20" t="s">
        <v>10178</v>
      </c>
      <c r="D33155" s="20" t="s">
        <v>10355</v>
      </c>
      <c r="E33155" s="10">
        <v>1275692</v>
      </c>
      <c r="F33155" s="4" t="str">
        <f>IF(B33155=B33154,"",B33155)</f>
        <v>Bijbiāra</v>
      </c>
    </row>
    <row r="33156" spans="1:6" ht="15.75" customHeight="1">
      <c r="A33156" s="15" t="s">
        <v>10786</v>
      </c>
      <c r="B33156" s="15" t="s">
        <v>10787</v>
      </c>
      <c r="C33156" s="15" t="s">
        <v>10178</v>
      </c>
      <c r="D33156" s="15" t="s">
        <v>10355</v>
      </c>
      <c r="E33156" s="2">
        <v>1275692</v>
      </c>
      <c r="F33156" s="4" t="str">
        <f>IF(B33156=B33155,"",B33156)</f>
        <v>BijbiÄra</v>
      </c>
    </row>
    <row r="33157" spans="1:6" ht="15.75" customHeight="1">
      <c r="A33157" s="16" t="str">
        <f ca="1">IFERROR(__xludf.DUMMYFUNCTION("GOOGLETRANSLATE(B33821,""en"",""pt"")"),"Bijāwar")</f>
        <v>Bijāwar</v>
      </c>
      <c r="B33157" s="20" t="s">
        <v>33877</v>
      </c>
      <c r="C33157" s="20" t="s">
        <v>10178</v>
      </c>
      <c r="D33157" s="20" t="s">
        <v>10219</v>
      </c>
      <c r="E33157" s="10">
        <v>1275694</v>
      </c>
      <c r="F33157" s="4" t="str">
        <f>IF(B33157=B33156,"",B33157)</f>
        <v>Bijāwar</v>
      </c>
    </row>
    <row r="33158" spans="1:6" ht="15.75" customHeight="1">
      <c r="A33158" s="16" t="str">
        <f ca="1">IFERROR(__xludf.DUMMYFUNCTION("GOOGLETRANSLATE(B34476,""en"",""pt"")"),"Bījār")</f>
        <v>Bījār</v>
      </c>
      <c r="B33158" s="20" t="s">
        <v>34223</v>
      </c>
      <c r="C33158" s="20" t="s">
        <v>14240</v>
      </c>
      <c r="D33158" s="20" t="s">
        <v>34147</v>
      </c>
      <c r="E33158" s="10">
        <v>140521</v>
      </c>
      <c r="F33158" s="4" t="e">
        <f>IF(B33158=#REF!,"",B33158)</f>
        <v>#REF!</v>
      </c>
    </row>
    <row r="33159" spans="1:6" ht="15.75" customHeight="1">
      <c r="A33159" s="15" t="s">
        <v>10785</v>
      </c>
      <c r="B33159" s="15" t="s">
        <v>10785</v>
      </c>
      <c r="C33159" s="15" t="s">
        <v>10178</v>
      </c>
      <c r="D33159" s="15" t="s">
        <v>10252</v>
      </c>
      <c r="E33159" s="2">
        <v>1275701</v>
      </c>
      <c r="F33159" s="4" t="str">
        <f>IF(B33159=B33158,"",B33159)</f>
        <v>Bijapur</v>
      </c>
    </row>
    <row r="33160" spans="1:6" ht="15.75" customHeight="1">
      <c r="A33160" s="16" t="s">
        <v>10783</v>
      </c>
      <c r="B33160" s="15" t="s">
        <v>10784</v>
      </c>
      <c r="C33160" s="16" t="s">
        <v>10178</v>
      </c>
      <c r="D33160" s="16" t="s">
        <v>10219</v>
      </c>
      <c r="E33160" s="2">
        <v>1275694</v>
      </c>
      <c r="F33160" s="4" t="e">
        <f>IF(B33160=#REF!,"",B33160)</f>
        <v>#REF!</v>
      </c>
    </row>
    <row r="33161" spans="1:6" ht="15.75" customHeight="1">
      <c r="A33161" s="15" t="s">
        <v>15834</v>
      </c>
      <c r="B33161" s="15" t="s">
        <v>15834</v>
      </c>
      <c r="C33161" s="15" t="s">
        <v>15704</v>
      </c>
      <c r="D33161" s="15" t="s">
        <v>15705</v>
      </c>
      <c r="E33161" s="2">
        <v>2127383</v>
      </c>
      <c r="F33161" s="4" t="str">
        <f>IF(B33161=B33160,"",B33161)</f>
        <v>Bihoro</v>
      </c>
    </row>
    <row r="33162" spans="1:6" ht="15.75" customHeight="1">
      <c r="A33162" s="16" t="str">
        <f ca="1">IFERROR(__xludf.DUMMYFUNCTION("GOOGLETRANSLATE(B33824,""en"",""pt"")"),"Bihārīganj")</f>
        <v>Bihārīganj</v>
      </c>
      <c r="B33162" s="20" t="s">
        <v>33879</v>
      </c>
      <c r="C33162" s="20" t="s">
        <v>10178</v>
      </c>
      <c r="D33162" s="20" t="s">
        <v>10317</v>
      </c>
      <c r="E33162" s="10">
        <v>1275719</v>
      </c>
      <c r="F33162" s="4" t="e">
        <f>IF(B33162=#REF!,"",B33162)</f>
        <v>#REF!</v>
      </c>
    </row>
    <row r="33163" spans="1:6" ht="15.75" customHeight="1">
      <c r="A33163" s="16" t="s">
        <v>25569</v>
      </c>
      <c r="B33163" s="15" t="s">
        <v>25569</v>
      </c>
      <c r="C33163" s="16" t="s">
        <v>25560</v>
      </c>
      <c r="D33163" s="16" t="s">
        <v>25570</v>
      </c>
      <c r="E33163" s="2">
        <v>161154</v>
      </c>
      <c r="F33163" s="4" t="str">
        <f>IF(B33163=B33162,"",B33163)</f>
        <v>Biharamulo</v>
      </c>
    </row>
    <row r="33164" spans="1:6" ht="15.75" customHeight="1">
      <c r="A33164" s="16" t="str">
        <f ca="1">IFERROR(__xludf.DUMMYFUNCTION("GOOGLETRANSLATE(B33823,""en"",""pt"")"),"Bihār")</f>
        <v>Bihār</v>
      </c>
      <c r="B33164" s="20" t="s">
        <v>33878</v>
      </c>
      <c r="C33164" s="20" t="s">
        <v>10178</v>
      </c>
      <c r="D33164" s="20" t="s">
        <v>10317</v>
      </c>
      <c r="E33164" s="10">
        <v>1275716</v>
      </c>
      <c r="F33164" s="4" t="str">
        <f>IF(B33164=B33163,"",B33164)</f>
        <v>Bihār</v>
      </c>
    </row>
    <row r="33165" spans="1:6" ht="15.75" customHeight="1">
      <c r="A33165" s="16" t="str">
        <f ca="1">IFERROR(__xludf.DUMMYFUNCTION("GOOGLETRANSLATE(B23689,""en"",""pt"")"),"Bihać")</f>
        <v>Bihać</v>
      </c>
      <c r="B33165" s="20" t="s">
        <v>31254</v>
      </c>
      <c r="C33165" s="20" t="s">
        <v>1845</v>
      </c>
      <c r="D33165" s="20" t="s">
        <v>1849</v>
      </c>
      <c r="E33165" s="10">
        <v>3204222</v>
      </c>
      <c r="F33165" s="4" t="str">
        <f>IF(B33165=B33164,"",B33165)</f>
        <v>Bihać</v>
      </c>
    </row>
    <row r="33166" spans="1:6" ht="15.75" customHeight="1">
      <c r="A33166" s="15" t="s">
        <v>1847</v>
      </c>
      <c r="B33166" s="15" t="s">
        <v>1848</v>
      </c>
      <c r="C33166" s="15" t="s">
        <v>1845</v>
      </c>
      <c r="D33166" s="15" t="s">
        <v>1849</v>
      </c>
      <c r="E33166" s="2">
        <v>3204222</v>
      </c>
      <c r="F33166" s="4" t="str">
        <f>IF(B33166=B33165,"",B33166)</f>
        <v>BihaÄ‡</v>
      </c>
    </row>
    <row r="33167" spans="1:6" ht="15.75" customHeight="1">
      <c r="A33167" s="16" t="s">
        <v>10781</v>
      </c>
      <c r="B33167" s="15" t="s">
        <v>10782</v>
      </c>
      <c r="C33167" s="16" t="s">
        <v>10178</v>
      </c>
      <c r="D33167" s="16" t="s">
        <v>10317</v>
      </c>
      <c r="E33167" s="2">
        <v>1275719</v>
      </c>
      <c r="F33167" s="4" t="str">
        <f>IF(B33167=B33166,"",B33167)</f>
        <v>BihÄrÄ«ganj</v>
      </c>
    </row>
    <row r="33168" spans="1:6" ht="15.75" customHeight="1">
      <c r="A33168" s="15" t="s">
        <v>10779</v>
      </c>
      <c r="B33168" s="15" t="s">
        <v>10780</v>
      </c>
      <c r="C33168" s="15" t="s">
        <v>10178</v>
      </c>
      <c r="D33168" s="15" t="s">
        <v>10317</v>
      </c>
      <c r="E33168" s="2">
        <v>1275716</v>
      </c>
      <c r="F33168" s="4" t="str">
        <f>IF(B33168=B33167,"",B33168)</f>
        <v>BihÄr</v>
      </c>
    </row>
    <row r="33169" spans="1:6" ht="15.75" customHeight="1">
      <c r="A33169" s="16" t="str">
        <f ca="1">IFERROR(__xludf.DUMMYFUNCTION("GOOGLETRANSLATE(B25212,""en"",""pt"")"),"Biguaçu")</f>
        <v>Biguaçu</v>
      </c>
      <c r="B33169" s="20" t="s">
        <v>31709</v>
      </c>
      <c r="C33169" s="20" t="s">
        <v>1905</v>
      </c>
      <c r="D33169" s="20" t="s">
        <v>2020</v>
      </c>
      <c r="E33169" s="10">
        <v>3470003</v>
      </c>
      <c r="F33169" s="4" t="str">
        <f>IF(B33169=B33168,"",B33169)</f>
        <v>Biguaçu</v>
      </c>
    </row>
    <row r="33170" spans="1:6" ht="15.75" customHeight="1">
      <c r="A33170" s="15" t="s">
        <v>2125</v>
      </c>
      <c r="B33170" s="15" t="s">
        <v>2126</v>
      </c>
      <c r="C33170" s="15" t="s">
        <v>1905</v>
      </c>
      <c r="D33170" s="15" t="s">
        <v>2020</v>
      </c>
      <c r="E33170" s="2">
        <v>3470003</v>
      </c>
      <c r="F33170" s="4" t="e">
        <f>IF(B33170=#REF!,"",B33170)</f>
        <v>#REF!</v>
      </c>
    </row>
    <row r="33171" spans="1:6" ht="15.75" customHeight="1">
      <c r="A33171" s="15" t="s">
        <v>23558</v>
      </c>
      <c r="B33171" s="15" t="s">
        <v>23558</v>
      </c>
      <c r="C33171" s="15" t="s">
        <v>23559</v>
      </c>
      <c r="D33171" s="15" t="s">
        <v>23560</v>
      </c>
      <c r="E33171" s="2">
        <v>2253901</v>
      </c>
      <c r="F33171" s="4" t="e">
        <f>IF(B33171=#REF!,"",B33171)</f>
        <v>#REF!</v>
      </c>
    </row>
    <row r="33172" spans="1:6" ht="15.75" customHeight="1">
      <c r="A33172" s="16" t="s">
        <v>20674</v>
      </c>
      <c r="B33172" s="15" t="s">
        <v>20674</v>
      </c>
      <c r="C33172" s="16" t="s">
        <v>20598</v>
      </c>
      <c r="D33172" s="16" t="s">
        <v>20608</v>
      </c>
      <c r="E33172" s="2">
        <v>1725359</v>
      </c>
      <c r="F33172" s="4" t="e">
        <f>IF(B33172=#REF!,"",B33172)</f>
        <v>#REF!</v>
      </c>
    </row>
    <row r="33173" spans="1:6" ht="15.75" customHeight="1">
      <c r="A33173" s="16" t="s">
        <v>27315</v>
      </c>
      <c r="B33173" s="15" t="s">
        <v>27315</v>
      </c>
      <c r="C33173" s="16" t="s">
        <v>27234</v>
      </c>
      <c r="D33173" s="16" t="s">
        <v>27241</v>
      </c>
      <c r="E33173" s="2">
        <v>2655689</v>
      </c>
      <c r="F33173" s="4" t="str">
        <f>IF(B33173=B33172,"",B33173)</f>
        <v>Biggleswade</v>
      </c>
    </row>
    <row r="33174" spans="1:6" ht="15.75" customHeight="1">
      <c r="A33174" s="16" t="str">
        <f ca="1">IFERROR(__xludf.DUMMYFUNCTION("GOOGLETRANSLATE(B42051,""en"",""pt"")"),"Bigadiç")</f>
        <v>Bigadiç</v>
      </c>
      <c r="B33174" s="20" t="s">
        <v>35898</v>
      </c>
      <c r="C33174" s="20" t="s">
        <v>26201</v>
      </c>
      <c r="D33174" s="20" t="s">
        <v>35830</v>
      </c>
      <c r="E33174" s="10">
        <v>321136</v>
      </c>
      <c r="F33174" s="4" t="str">
        <f>IF(B33174=B33173,"",B33174)</f>
        <v>Bigadiç</v>
      </c>
    </row>
    <row r="33175" spans="1:6" ht="15.75" customHeight="1">
      <c r="A33175" s="15" t="s">
        <v>26400</v>
      </c>
      <c r="B33175" s="15" t="s">
        <v>26401</v>
      </c>
      <c r="C33175" s="15" t="s">
        <v>26201</v>
      </c>
      <c r="D33175" s="15" t="s">
        <v>26340</v>
      </c>
      <c r="E33175" s="2">
        <v>321136</v>
      </c>
      <c r="F33175" s="4" t="e">
        <f>IF(B33175=#REF!,"",B33175)</f>
        <v>#REF!</v>
      </c>
    </row>
    <row r="33176" spans="1:6" ht="15.75" customHeight="1">
      <c r="A33176" s="15" t="s">
        <v>26398</v>
      </c>
      <c r="B33176" s="15" t="s">
        <v>26399</v>
      </c>
      <c r="C33176" s="15" t="s">
        <v>26201</v>
      </c>
      <c r="D33176" s="15" t="s">
        <v>26224</v>
      </c>
      <c r="E33176" s="2">
        <v>750605</v>
      </c>
      <c r="F33176" s="4" t="e">
        <f>IF(B33176=#REF!,"",B33176)</f>
        <v>#REF!</v>
      </c>
    </row>
    <row r="33177" spans="1:6" ht="15.75" customHeight="1">
      <c r="A33177" s="16" t="s">
        <v>28035</v>
      </c>
      <c r="B33177" s="15" t="s">
        <v>28035</v>
      </c>
      <c r="C33177" s="16" t="s">
        <v>27788</v>
      </c>
      <c r="D33177" s="16" t="s">
        <v>27792</v>
      </c>
      <c r="E33177" s="2">
        <v>5517061</v>
      </c>
      <c r="F33177" s="4" t="e">
        <f>IF(B33177=#REF!,"",B33177)</f>
        <v>#REF!</v>
      </c>
    </row>
    <row r="33178" spans="1:6" ht="15.75" customHeight="1">
      <c r="A33178" s="16" t="s">
        <v>8204</v>
      </c>
      <c r="B33178" s="15" t="s">
        <v>8204</v>
      </c>
      <c r="C33178" s="16" t="s">
        <v>8028</v>
      </c>
      <c r="D33178" s="16" t="s">
        <v>8031</v>
      </c>
      <c r="E33178" s="2">
        <v>2949012</v>
      </c>
      <c r="F33178" s="4" t="e">
        <f>IF(B33178=#REF!,"",B33178)</f>
        <v>#REF!</v>
      </c>
    </row>
    <row r="33179" spans="1:6" ht="15.75" customHeight="1">
      <c r="A33179" s="15" t="s">
        <v>8203</v>
      </c>
      <c r="B33179" s="15" t="s">
        <v>8203</v>
      </c>
      <c r="C33179" s="15" t="s">
        <v>8028</v>
      </c>
      <c r="D33179" s="15" t="s">
        <v>8036</v>
      </c>
      <c r="E33179" s="2">
        <v>2949073</v>
      </c>
      <c r="F33179" s="4" t="str">
        <f>IF(B33179=B33178,"",B33179)</f>
        <v>Biesdorf</v>
      </c>
    </row>
    <row r="33180" spans="1:6" ht="15.75" customHeight="1">
      <c r="A33180" s="16" t="str">
        <f ca="1">IFERROR(__xludf.DUMMYFUNCTION("GOOGLETRANSLATE(B39490,""en"",""pt"")"),"Bieruń")</f>
        <v>Bieruń</v>
      </c>
      <c r="B33180" s="20" t="s">
        <v>35245</v>
      </c>
      <c r="C33180" s="20" t="s">
        <v>21064</v>
      </c>
      <c r="D33180" s="20" t="s">
        <v>21073</v>
      </c>
      <c r="E33180" s="10">
        <v>3103365</v>
      </c>
      <c r="F33180" s="4" t="str">
        <f>IF(B33180=B33179,"",B33180)</f>
        <v>Bieruń</v>
      </c>
    </row>
    <row r="33181" spans="1:6" ht="15.75" customHeight="1">
      <c r="A33181" s="15" t="s">
        <v>21153</v>
      </c>
      <c r="B33181" s="15" t="s">
        <v>21154</v>
      </c>
      <c r="C33181" s="15" t="s">
        <v>21064</v>
      </c>
      <c r="D33181" s="15" t="s">
        <v>21073</v>
      </c>
      <c r="E33181" s="2">
        <v>3103365</v>
      </c>
      <c r="F33181" s="4" t="str">
        <f>IF(B33181=B33180,"",B33181)</f>
        <v>BieruÅ„</v>
      </c>
    </row>
    <row r="33182" spans="1:6" ht="15.75" customHeight="1">
      <c r="A33182" s="16" t="str">
        <f ca="1">IFERROR(__xludf.DUMMYFUNCTION("GOOGLETRANSLATE(B45784,""en"",""pt"")"),"Biên Hòa")</f>
        <v>Biên Hòa</v>
      </c>
      <c r="B33182" s="20" t="s">
        <v>36194</v>
      </c>
      <c r="C33182" s="20" t="s">
        <v>30784</v>
      </c>
      <c r="D33182" s="20" t="s">
        <v>36195</v>
      </c>
      <c r="E33182" s="10">
        <v>1587923</v>
      </c>
      <c r="F33182" s="4" t="e">
        <f>IF(B33182=#REF!,"",B33182)</f>
        <v>#REF!</v>
      </c>
    </row>
    <row r="33183" spans="1:6" ht="15.75" customHeight="1">
      <c r="A33183" s="16" t="s">
        <v>21151</v>
      </c>
      <c r="B33183" s="15" t="s">
        <v>21152</v>
      </c>
      <c r="C33183" s="16" t="s">
        <v>21064</v>
      </c>
      <c r="D33183" s="16" t="s">
        <v>21073</v>
      </c>
      <c r="E33183" s="2">
        <v>3103402</v>
      </c>
      <c r="F33183" s="4" t="e">
        <f>IF(B33183=#REF!,"",B33183)</f>
        <v>#REF!</v>
      </c>
    </row>
    <row r="33184" spans="1:6" ht="15.75" customHeight="1">
      <c r="A33184" s="16" t="s">
        <v>21150</v>
      </c>
      <c r="B33184" s="15" t="s">
        <v>21150</v>
      </c>
      <c r="C33184" s="16" t="s">
        <v>21064</v>
      </c>
      <c r="D33184" s="16" t="s">
        <v>21086</v>
      </c>
      <c r="E33184" s="2">
        <v>775986</v>
      </c>
      <c r="F33184" s="4" t="e">
        <f>IF(B33184=#REF!,"",B33184)</f>
        <v>#REF!</v>
      </c>
    </row>
    <row r="33185" spans="1:6" ht="15.75" customHeight="1">
      <c r="A33185" s="15" t="s">
        <v>14979</v>
      </c>
      <c r="B33185" s="15" t="s">
        <v>14979</v>
      </c>
      <c r="C33185" s="15" t="s">
        <v>14891</v>
      </c>
      <c r="D33185" s="15" t="s">
        <v>14911</v>
      </c>
      <c r="E33185" s="2">
        <v>3182043</v>
      </c>
      <c r="F33185" s="4" t="e">
        <f>IF(B33185=#REF!,"",B33185)</f>
        <v>#REF!</v>
      </c>
    </row>
    <row r="33186" spans="1:6" ht="15.75" customHeight="1">
      <c r="A33186" s="16" t="s">
        <v>8201</v>
      </c>
      <c r="B33186" s="15" t="s">
        <v>8202</v>
      </c>
      <c r="C33186" s="16" t="s">
        <v>8028</v>
      </c>
      <c r="D33186" s="16" t="s">
        <v>8029</v>
      </c>
      <c r="E33186" s="2">
        <v>2949186</v>
      </c>
      <c r="F33186" s="4" t="e">
        <f>IF(B33186=#REF!,"",B33186)</f>
        <v>#REF!</v>
      </c>
    </row>
    <row r="33187" spans="1:6" ht="15.75" customHeight="1">
      <c r="A33187" s="15" t="s">
        <v>21148</v>
      </c>
      <c r="B33187" s="15" t="s">
        <v>21149</v>
      </c>
      <c r="C33187" s="15" t="s">
        <v>21064</v>
      </c>
      <c r="D33187" s="15" t="s">
        <v>21118</v>
      </c>
      <c r="E33187" s="2">
        <v>3103476</v>
      </c>
      <c r="F33187" s="4" t="e">
        <f>IF(B33187=#REF!,"",B33187)</f>
        <v>#REF!</v>
      </c>
    </row>
    <row r="33188" spans="1:6" ht="15.75" customHeight="1">
      <c r="A33188" s="15" t="s">
        <v>21147</v>
      </c>
      <c r="B33188" s="15" t="s">
        <v>21147</v>
      </c>
      <c r="C33188" s="15" t="s">
        <v>21064</v>
      </c>
      <c r="D33188" s="15" t="s">
        <v>21070</v>
      </c>
      <c r="E33188" s="2">
        <v>776029</v>
      </c>
      <c r="F33188" s="4" t="e">
        <f>IF(B33188=#REF!,"",B33188)</f>
        <v>#REF!</v>
      </c>
    </row>
    <row r="33189" spans="1:6" ht="15.75" customHeight="1">
      <c r="A33189" s="16" t="s">
        <v>25251</v>
      </c>
      <c r="B33189" s="15" t="s">
        <v>25251</v>
      </c>
      <c r="C33189" s="16" t="s">
        <v>25237</v>
      </c>
      <c r="D33189" s="16" t="s">
        <v>25250</v>
      </c>
      <c r="E33189" s="2">
        <v>2661513</v>
      </c>
      <c r="F33189" s="4" t="e">
        <f>IF(B33189=#REF!,"",B33189)</f>
        <v>#REF!</v>
      </c>
    </row>
    <row r="33190" spans="1:6" ht="15.75" customHeight="1">
      <c r="A33190" s="15" t="s">
        <v>17457</v>
      </c>
      <c r="B33190" s="15" t="s">
        <v>17457</v>
      </c>
      <c r="C33190" s="15" t="s">
        <v>17432</v>
      </c>
      <c r="D33190" s="15" t="s">
        <v>17438</v>
      </c>
      <c r="E33190" s="2">
        <v>1735287</v>
      </c>
      <c r="F33190" s="4" t="str">
        <f>IF(B33190=B33189,"",B33190)</f>
        <v>Bidur</v>
      </c>
    </row>
    <row r="33191" spans="1:6" ht="15.75" customHeight="1">
      <c r="A33191" s="16" t="str">
        <f ca="1">IFERROR(__xludf.DUMMYFUNCTION("GOOGLETRANSLATE(B33825,""en"",""pt"")"),"Bidhūna")</f>
        <v>Bidhūna</v>
      </c>
      <c r="B33191" s="20" t="s">
        <v>33880</v>
      </c>
      <c r="C33191" s="20" t="s">
        <v>10178</v>
      </c>
      <c r="D33191" s="20" t="s">
        <v>10193</v>
      </c>
      <c r="E33191" s="10">
        <v>1275732</v>
      </c>
      <c r="F33191" s="4" t="str">
        <f>IF(B33191=B33190,"",B33191)</f>
        <v>Bidhūna</v>
      </c>
    </row>
    <row r="33192" spans="1:6" ht="15.75" customHeight="1">
      <c r="A33192" s="16" t="s">
        <v>10777</v>
      </c>
      <c r="B33192" s="15" t="s">
        <v>10778</v>
      </c>
      <c r="C33192" s="16" t="s">
        <v>10178</v>
      </c>
      <c r="D33192" s="16" t="s">
        <v>10193</v>
      </c>
      <c r="E33192" s="2">
        <v>1275732</v>
      </c>
      <c r="F33192" s="4" t="e">
        <f>IF(B33192=#REF!,"",B33192)</f>
        <v>#REF!</v>
      </c>
    </row>
    <row r="33193" spans="1:6" ht="15.75" customHeight="1">
      <c r="A33193" s="15" t="s">
        <v>27314</v>
      </c>
      <c r="B33193" s="15" t="s">
        <v>27314</v>
      </c>
      <c r="C33193" s="15" t="s">
        <v>27234</v>
      </c>
      <c r="D33193" s="15" t="s">
        <v>27241</v>
      </c>
      <c r="E33193" s="2">
        <v>2655707</v>
      </c>
      <c r="F33193" s="4" t="e">
        <f>IF(B33193=#REF!,"",B33193)</f>
        <v>#REF!</v>
      </c>
    </row>
    <row r="33194" spans="1:6" ht="15.75" customHeight="1">
      <c r="A33194" s="15" t="s">
        <v>27313</v>
      </c>
      <c r="B33194" s="15" t="s">
        <v>27313</v>
      </c>
      <c r="C33194" s="15" t="s">
        <v>27234</v>
      </c>
      <c r="D33194" s="15" t="s">
        <v>27241</v>
      </c>
      <c r="E33194" s="2">
        <v>2655708</v>
      </c>
      <c r="F33194" s="4" t="e">
        <f>IF(B33194=#REF!,"",B33194)</f>
        <v>#REF!</v>
      </c>
    </row>
    <row r="33195" spans="1:6" ht="15.75" customHeight="1">
      <c r="A33195" s="16" t="s">
        <v>28033</v>
      </c>
      <c r="B33195" s="15" t="s">
        <v>28034</v>
      </c>
      <c r="C33195" s="16" t="s">
        <v>27788</v>
      </c>
      <c r="D33195" s="16" t="s">
        <v>27920</v>
      </c>
      <c r="E33195" s="2">
        <v>4958141</v>
      </c>
      <c r="F33195" s="4" t="e">
        <f>IF(B33195=#REF!,"",B33195)</f>
        <v>#REF!</v>
      </c>
    </row>
    <row r="33196" spans="1:6" ht="15.75" customHeight="1">
      <c r="A33196" s="15" t="s">
        <v>19786</v>
      </c>
      <c r="B33196" s="15" t="s">
        <v>19786</v>
      </c>
      <c r="C33196" s="15" t="s">
        <v>19755</v>
      </c>
      <c r="D33196" s="15" t="s">
        <v>19759</v>
      </c>
      <c r="E33196" s="2">
        <v>288721</v>
      </c>
      <c r="F33196" s="4" t="str">
        <f>IF(B33196=B33195,"",B33196)</f>
        <v>Bidbid</v>
      </c>
    </row>
    <row r="33197" spans="1:6" ht="15.75" customHeight="1">
      <c r="A33197" s="16" t="str">
        <f ca="1">IFERROR(__xludf.DUMMYFUNCTION("GOOGLETRANSLATE(B33826,""en"",""pt"")"),"Bīdar")</f>
        <v>Bīdar</v>
      </c>
      <c r="B33197" s="20" t="s">
        <v>33881</v>
      </c>
      <c r="C33197" s="20" t="s">
        <v>10178</v>
      </c>
      <c r="D33197" s="20" t="s">
        <v>10252</v>
      </c>
      <c r="E33197" s="10">
        <v>1275738</v>
      </c>
      <c r="F33197" s="4" t="e">
        <f>IF(B33197=#REF!,"",B33197)</f>
        <v>#REF!</v>
      </c>
    </row>
    <row r="33198" spans="1:6" ht="15.75" customHeight="1">
      <c r="A33198" s="15" t="s">
        <v>19346</v>
      </c>
      <c r="B33198" s="15" t="s">
        <v>19346</v>
      </c>
      <c r="C33198" s="15" t="s">
        <v>19294</v>
      </c>
      <c r="D33198" s="15" t="s">
        <v>19259</v>
      </c>
      <c r="E33198" s="2">
        <v>2347209</v>
      </c>
      <c r="F33198" s="4" t="e">
        <f>IF(B33198=#REF!,"",B33198)</f>
        <v>#REF!</v>
      </c>
    </row>
    <row r="33199" spans="1:6" ht="15.75" customHeight="1">
      <c r="A33199" s="15" t="s">
        <v>6844</v>
      </c>
      <c r="B33199" s="15" t="s">
        <v>6844</v>
      </c>
      <c r="C33199" s="15" t="s">
        <v>6807</v>
      </c>
      <c r="D33199" s="15" t="s">
        <v>6811</v>
      </c>
      <c r="E33199" s="2">
        <v>342190</v>
      </c>
      <c r="F33199" s="4" t="e">
        <f>IF(B33199=#REF!,"",B33199)</f>
        <v>#REF!</v>
      </c>
    </row>
    <row r="33200" spans="1:6" ht="15.75" customHeight="1">
      <c r="A33200" s="15" t="s">
        <v>27312</v>
      </c>
      <c r="B33200" s="15" t="s">
        <v>27312</v>
      </c>
      <c r="C33200" s="15" t="s">
        <v>27234</v>
      </c>
      <c r="D33200" s="15" t="s">
        <v>27241</v>
      </c>
      <c r="E33200" s="2">
        <v>2655729</v>
      </c>
      <c r="F33200" s="4" t="e">
        <f>IF(B33200=#REF!,"",B33200)</f>
        <v>#REF!</v>
      </c>
    </row>
    <row r="33201" spans="1:6" ht="15.75" customHeight="1">
      <c r="A33201" s="15" t="s">
        <v>22230</v>
      </c>
      <c r="B33201" s="15" t="s">
        <v>22230</v>
      </c>
      <c r="C33201" s="15" t="s">
        <v>22070</v>
      </c>
      <c r="D33201" s="15" t="s">
        <v>22127</v>
      </c>
      <c r="E33201" s="2">
        <v>576432</v>
      </c>
      <c r="F33201" s="4" t="e">
        <f>IF(B33201=#REF!,"",B33201)</f>
        <v>#REF!</v>
      </c>
    </row>
    <row r="33202" spans="1:6" ht="15.75" customHeight="1">
      <c r="A33202" s="15" t="s">
        <v>9384</v>
      </c>
      <c r="B33202" s="15" t="s">
        <v>9384</v>
      </c>
      <c r="C33202" s="15" t="s">
        <v>9365</v>
      </c>
      <c r="D33202" s="15" t="s">
        <v>6944</v>
      </c>
      <c r="E33202" s="2">
        <v>2303060</v>
      </c>
      <c r="F33202" s="4" t="str">
        <f>IF(B33202=B33201,"",B33202)</f>
        <v>Bibiani</v>
      </c>
    </row>
    <row r="33203" spans="1:6" ht="15.75" customHeight="1">
      <c r="A33203" s="16" t="str">
        <f ca="1">IFERROR(__xludf.DUMMYFUNCTION("GOOGLETRANSLATE(B28255,""en"",""pt"")"),"Biberach e der Riß")</f>
        <v>Biberach e der Riß</v>
      </c>
      <c r="B33203" s="20" t="s">
        <v>32133</v>
      </c>
      <c r="C33203" s="20" t="s">
        <v>8028</v>
      </c>
      <c r="D33203" s="20" t="s">
        <v>32013</v>
      </c>
      <c r="E33203" s="10">
        <v>2949423</v>
      </c>
      <c r="F33203" s="4" t="str">
        <f>IF(B33203=B33202,"",B33203)</f>
        <v>Biberach an der Riß</v>
      </c>
    </row>
    <row r="33204" spans="1:6" ht="15.75" customHeight="1">
      <c r="A33204" s="16" t="s">
        <v>8199</v>
      </c>
      <c r="B33204" s="15" t="s">
        <v>8200</v>
      </c>
      <c r="C33204" s="16" t="s">
        <v>8028</v>
      </c>
      <c r="D33204" s="16" t="s">
        <v>8031</v>
      </c>
      <c r="E33204" s="2">
        <v>2949423</v>
      </c>
      <c r="F33204" s="4" t="e">
        <f>IF(B33204=#REF!,"",B33204)</f>
        <v>#REF!</v>
      </c>
    </row>
    <row r="33205" spans="1:6" ht="15.75" customHeight="1">
      <c r="A33205" s="15" t="s">
        <v>15833</v>
      </c>
      <c r="B33205" s="15" t="s">
        <v>15833</v>
      </c>
      <c r="C33205" s="15" t="s">
        <v>15704</v>
      </c>
      <c r="D33205" s="15" t="s">
        <v>15705</v>
      </c>
      <c r="E33205" s="2">
        <v>2130534</v>
      </c>
      <c r="F33205" s="4" t="e">
        <f>IF(B33205=#REF!,"",B33205)</f>
        <v>#REF!</v>
      </c>
    </row>
    <row r="33206" spans="1:6" ht="15.75" customHeight="1">
      <c r="A33206" s="15" t="s">
        <v>7164</v>
      </c>
      <c r="B33206" s="15" t="s">
        <v>7164</v>
      </c>
      <c r="C33206" s="15" t="s">
        <v>7052</v>
      </c>
      <c r="D33206" s="15" t="s">
        <v>7084</v>
      </c>
      <c r="E33206" s="2">
        <v>3032797</v>
      </c>
      <c r="F33206" s="4" t="e">
        <f>IF(B33206=#REF!,"",B33206)</f>
        <v>#REF!</v>
      </c>
    </row>
    <row r="33207" spans="1:6" ht="15.75" customHeight="1">
      <c r="A33207" s="15" t="s">
        <v>10776</v>
      </c>
      <c r="B33207" s="15" t="s">
        <v>10776</v>
      </c>
      <c r="C33207" s="15" t="s">
        <v>10178</v>
      </c>
      <c r="D33207" s="15" t="s">
        <v>10219</v>
      </c>
      <c r="E33207" s="2">
        <v>1275762</v>
      </c>
      <c r="F33207" s="4" t="e">
        <f>IF(B33207=#REF!,"",B33207)</f>
        <v>#REF!</v>
      </c>
    </row>
    <row r="33208" spans="1:6" ht="15.75" customHeight="1">
      <c r="A33208" s="16" t="s">
        <v>4550</v>
      </c>
      <c r="B33208" s="15" t="s">
        <v>4550</v>
      </c>
      <c r="C33208" s="16" t="s">
        <v>4487</v>
      </c>
      <c r="D33208" s="16" t="s">
        <v>4503</v>
      </c>
      <c r="E33208" s="2">
        <v>1816406</v>
      </c>
      <c r="F33208" s="4" t="e">
        <f>IF(B33208=#REF!,"",B33208)</f>
        <v>#REF!</v>
      </c>
    </row>
    <row r="33209" spans="1:6" ht="15.75" customHeight="1">
      <c r="A33209" s="16" t="s">
        <v>15614</v>
      </c>
      <c r="B33209" s="15" t="s">
        <v>15614</v>
      </c>
      <c r="C33209" s="16" t="s">
        <v>15586</v>
      </c>
      <c r="D33209" s="16" t="s">
        <v>15613</v>
      </c>
      <c r="E33209" s="2">
        <v>2291666</v>
      </c>
      <c r="F33209" s="4" t="e">
        <f>IF(B33209=#REF!,"",B33209)</f>
        <v>#REF!</v>
      </c>
    </row>
    <row r="33210" spans="1:6" ht="15.75" customHeight="1">
      <c r="A33210" s="16" t="s">
        <v>14978</v>
      </c>
      <c r="B33210" s="15" t="s">
        <v>14978</v>
      </c>
      <c r="C33210" s="16" t="s">
        <v>14891</v>
      </c>
      <c r="D33210" s="16" t="s">
        <v>14899</v>
      </c>
      <c r="E33210" s="2">
        <v>2525560</v>
      </c>
      <c r="F33210" s="4" t="str">
        <f>IF(B33210=B33209,"",B33210)</f>
        <v>Biancavilla</v>
      </c>
    </row>
    <row r="33211" spans="1:6" ht="15.75" customHeight="1">
      <c r="A33211" s="16" t="str">
        <f ca="1">IFERROR(__xludf.DUMMYFUNCTION("GOOGLETRANSLATE(B39293,""en"",""pt"")"),"Białystok")</f>
        <v>Białystok</v>
      </c>
      <c r="B33211" s="20" t="s">
        <v>35132</v>
      </c>
      <c r="C33211" s="20" t="s">
        <v>21064</v>
      </c>
      <c r="D33211" s="20" t="s">
        <v>21086</v>
      </c>
      <c r="E33211" s="10">
        <v>776069</v>
      </c>
      <c r="F33211" s="4" t="str">
        <f>IF(B33211=B33210,"",B33211)</f>
        <v>Białystok</v>
      </c>
    </row>
    <row r="33212" spans="1:6" ht="15.75" customHeight="1">
      <c r="A33212" s="16" t="str">
        <f ca="1">IFERROR(__xludf.DUMMYFUNCTION("GOOGLETRANSLATE(B39294,""en"",""pt"")"),"Białołeka")</f>
        <v>Białołeka</v>
      </c>
      <c r="B33212" s="20" t="s">
        <v>35133</v>
      </c>
      <c r="C33212" s="20" t="s">
        <v>21064</v>
      </c>
      <c r="D33212" s="20" t="s">
        <v>21070</v>
      </c>
      <c r="E33212" s="10">
        <v>776103</v>
      </c>
      <c r="F33212" s="4" t="str">
        <f>IF(B33212=B33211,"",B33212)</f>
        <v>Białołeka</v>
      </c>
    </row>
    <row r="33213" spans="1:6" ht="15.75" customHeight="1">
      <c r="A33213" s="16" t="str">
        <f ca="1">IFERROR(__xludf.DUMMYFUNCTION("GOOGLETRANSLATE(B39493,""en"",""pt"")"),"Białogard")</f>
        <v>Białogard</v>
      </c>
      <c r="B33213" s="20" t="s">
        <v>35246</v>
      </c>
      <c r="C33213" s="20" t="s">
        <v>21064</v>
      </c>
      <c r="D33213" s="20" t="s">
        <v>21121</v>
      </c>
      <c r="E33213" s="10">
        <v>3103556</v>
      </c>
      <c r="F33213" s="4" t="str">
        <f>IF(B33213=B33212,"",B33213)</f>
        <v>Białogard</v>
      </c>
    </row>
    <row r="33214" spans="1:6" ht="15.75" customHeight="1">
      <c r="A33214" s="16" t="str">
        <f ca="1">IFERROR(__xludf.DUMMYFUNCTION("GOOGLETRANSLATE(B39295,""en"",""pt"")"),"Biała Podlaska")</f>
        <v>Biała Podlaska</v>
      </c>
      <c r="B33214" s="20" t="s">
        <v>35134</v>
      </c>
      <c r="C33214" s="20" t="s">
        <v>21064</v>
      </c>
      <c r="D33214" s="20" t="s">
        <v>21091</v>
      </c>
      <c r="E33214" s="10">
        <v>776175</v>
      </c>
      <c r="F33214" s="4" t="str">
        <f>IF(B33214=B33213,"",B33214)</f>
        <v>Biała Podlaska</v>
      </c>
    </row>
    <row r="33215" spans="1:6" ht="15.75" customHeight="1">
      <c r="A33215" s="16" t="s">
        <v>30804</v>
      </c>
      <c r="B33215" s="15" t="s">
        <v>30805</v>
      </c>
      <c r="C33215" s="16" t="s">
        <v>30784</v>
      </c>
      <c r="D33215" s="16" t="s">
        <v>30806</v>
      </c>
      <c r="E33215" s="2">
        <v>1587923</v>
      </c>
      <c r="F33215" s="4" t="str">
        <f>IF(B33215=B33214,"",B33215)</f>
        <v>BiÃªn HÃ²a</v>
      </c>
    </row>
    <row r="33216" spans="1:6" ht="15.75" customHeight="1">
      <c r="A33216" s="16" t="s">
        <v>21145</v>
      </c>
      <c r="B33216" s="15" t="s">
        <v>21146</v>
      </c>
      <c r="C33216" s="16" t="s">
        <v>21064</v>
      </c>
      <c r="D33216" s="16" t="s">
        <v>21086</v>
      </c>
      <c r="E33216" s="2">
        <v>776069</v>
      </c>
      <c r="F33216" s="4" t="str">
        <f>IF(B33216=B33215,"",B33216)</f>
        <v>BiaÅ‚ystok</v>
      </c>
    </row>
    <row r="33217" spans="1:6" ht="15.75" customHeight="1">
      <c r="A33217" s="15" t="s">
        <v>21143</v>
      </c>
      <c r="B33217" s="15" t="s">
        <v>21144</v>
      </c>
      <c r="C33217" s="15" t="s">
        <v>21064</v>
      </c>
      <c r="D33217" s="15" t="s">
        <v>21121</v>
      </c>
      <c r="E33217" s="2">
        <v>3103556</v>
      </c>
      <c r="F33217" s="4" t="str">
        <f>IF(B33217=B33216,"",B33217)</f>
        <v>BiaÅ‚ogard</v>
      </c>
    </row>
    <row r="33218" spans="1:6" ht="15.75" customHeight="1">
      <c r="A33218" s="16" t="s">
        <v>21141</v>
      </c>
      <c r="B33218" s="15" t="s">
        <v>21142</v>
      </c>
      <c r="C33218" s="16" t="s">
        <v>21064</v>
      </c>
      <c r="D33218" s="16" t="s">
        <v>21070</v>
      </c>
      <c r="E33218" s="2">
        <v>776103</v>
      </c>
      <c r="F33218" s="4" t="str">
        <f>IF(B33218=B33217,"",B33218)</f>
        <v>BiaÅ‚oÅ‚eka</v>
      </c>
    </row>
    <row r="33219" spans="1:6" ht="15.75" customHeight="1">
      <c r="A33219" s="16" t="s">
        <v>21139</v>
      </c>
      <c r="B33219" s="15" t="s">
        <v>21140</v>
      </c>
      <c r="C33219" s="16" t="s">
        <v>21064</v>
      </c>
      <c r="D33219" s="16" t="s">
        <v>21091</v>
      </c>
      <c r="E33219" s="2">
        <v>776175</v>
      </c>
      <c r="F33219" s="4" t="str">
        <f>IF(B33219=B33218,"",B33219)</f>
        <v>BiaÅ‚a Podlaska</v>
      </c>
    </row>
    <row r="33220" spans="1:6" ht="15.75" customHeight="1">
      <c r="A33220" s="15" t="s">
        <v>21137</v>
      </c>
      <c r="B33220" s="15" t="s">
        <v>21138</v>
      </c>
      <c r="C33220" s="15" t="s">
        <v>21064</v>
      </c>
      <c r="D33220" s="15" t="s">
        <v>21091</v>
      </c>
      <c r="E33220" s="2">
        <v>775922</v>
      </c>
      <c r="F33220" s="4" t="e">
        <f>IF(B33220=#REF!,"",B33220)</f>
        <v>#REF!</v>
      </c>
    </row>
    <row r="33221" spans="1:6" ht="15.75" customHeight="1">
      <c r="A33221" s="16" t="s">
        <v>10775</v>
      </c>
      <c r="B33221" s="15" t="s">
        <v>10775</v>
      </c>
      <c r="C33221" s="16" t="s">
        <v>10178</v>
      </c>
      <c r="D33221" s="16" t="s">
        <v>10196</v>
      </c>
      <c r="E33221" s="2">
        <v>1275768</v>
      </c>
      <c r="F33221" s="4" t="str">
        <f>IF(B33221=B33220,"",B33221)</f>
        <v>Bhuvanagiri</v>
      </c>
    </row>
    <row r="33222" spans="1:6" ht="15.75" customHeight="1">
      <c r="A33222" s="16" t="str">
        <f ca="1">IFERROR(__xludf.DUMMYFUNCTION("GOOGLETRANSLATE(B33829,""en"",""pt"")"),"Bhusāval")</f>
        <v>Bhusāval</v>
      </c>
      <c r="B33222" s="20" t="s">
        <v>33882</v>
      </c>
      <c r="C33222" s="20" t="s">
        <v>10178</v>
      </c>
      <c r="D33222" s="20" t="s">
        <v>10214</v>
      </c>
      <c r="E33222" s="10">
        <v>1275778</v>
      </c>
      <c r="F33222" s="4" t="str">
        <f>IF(B33222=B33221,"",B33222)</f>
        <v>Bhusāval</v>
      </c>
    </row>
    <row r="33223" spans="1:6" ht="15.75" customHeight="1">
      <c r="A33223" s="15" t="s">
        <v>10773</v>
      </c>
      <c r="B33223" s="15" t="s">
        <v>10774</v>
      </c>
      <c r="C33223" s="15" t="s">
        <v>10178</v>
      </c>
      <c r="D33223" s="15" t="s">
        <v>10214</v>
      </c>
      <c r="E33223" s="2">
        <v>1275778</v>
      </c>
      <c r="F33223" s="4" t="str">
        <f>IF(B33223=B33222,"",B33223)</f>
        <v>BhusÄval</v>
      </c>
    </row>
    <row r="33224" spans="1:6" ht="15.75" customHeight="1">
      <c r="A33224" s="16" t="str">
        <f ca="1">IFERROR(__xludf.DUMMYFUNCTION("GOOGLETRANSLATE(B33830,""en"",""pt"")"),"Bhūm")</f>
        <v>Bhūm</v>
      </c>
      <c r="B33224" s="20" t="s">
        <v>33883</v>
      </c>
      <c r="C33224" s="20" t="s">
        <v>10178</v>
      </c>
      <c r="D33224" s="20" t="s">
        <v>10214</v>
      </c>
      <c r="E33224" s="10">
        <v>1275804</v>
      </c>
      <c r="F33224" s="4" t="e">
        <f>IF(B33224=#REF!,"",B33224)</f>
        <v>#REF!</v>
      </c>
    </row>
    <row r="33225" spans="1:6" ht="15.75" customHeight="1">
      <c r="A33225" s="15" t="s">
        <v>10772</v>
      </c>
      <c r="B33225" s="15" t="s">
        <v>10772</v>
      </c>
      <c r="C33225" s="15" t="s">
        <v>10178</v>
      </c>
      <c r="D33225" s="15" t="s">
        <v>10209</v>
      </c>
      <c r="E33225" s="2">
        <v>1275812</v>
      </c>
      <c r="F33225" s="4" t="e">
        <f>IF(B33225=#REF!,"",B33225)</f>
        <v>#REF!</v>
      </c>
    </row>
    <row r="33226" spans="1:6" ht="15.75" customHeight="1">
      <c r="A33226" s="16" t="s">
        <v>10771</v>
      </c>
      <c r="B33226" s="15" t="s">
        <v>10771</v>
      </c>
      <c r="C33226" s="16" t="s">
        <v>10178</v>
      </c>
      <c r="D33226" s="16" t="s">
        <v>10214</v>
      </c>
      <c r="E33226" s="2">
        <v>1275814</v>
      </c>
      <c r="F33226" s="4" t="e">
        <f>IF(B33226=#REF!,"",B33226)</f>
        <v>#REF!</v>
      </c>
    </row>
    <row r="33227" spans="1:6" ht="15.75" customHeight="1">
      <c r="A33227" s="16" t="s">
        <v>10770</v>
      </c>
      <c r="B33227" s="15" t="s">
        <v>10770</v>
      </c>
      <c r="C33227" s="16" t="s">
        <v>10178</v>
      </c>
      <c r="D33227" s="16" t="s">
        <v>10229</v>
      </c>
      <c r="E33227" s="2">
        <v>1275817</v>
      </c>
      <c r="F33227" s="4" t="e">
        <f>IF(B33227=#REF!,"",B33227)</f>
        <v>#REF!</v>
      </c>
    </row>
    <row r="33228" spans="1:6" ht="15.75" customHeight="1">
      <c r="A33228" s="15" t="s">
        <v>10769</v>
      </c>
      <c r="B33228" s="15" t="s">
        <v>10769</v>
      </c>
      <c r="C33228" s="15" t="s">
        <v>10178</v>
      </c>
      <c r="D33228" s="15" t="s">
        <v>10229</v>
      </c>
      <c r="E33228" s="2">
        <v>1275818</v>
      </c>
      <c r="F33228" s="4" t="e">
        <f>IF(B33228=#REF!,"",B33228)</f>
        <v>#REF!</v>
      </c>
    </row>
    <row r="33229" spans="1:6" ht="15.75" customHeight="1">
      <c r="A33229" s="15" t="s">
        <v>10768</v>
      </c>
      <c r="B33229" s="15" t="s">
        <v>10768</v>
      </c>
      <c r="C33229" s="15" t="s">
        <v>10178</v>
      </c>
      <c r="D33229" s="15" t="s">
        <v>10214</v>
      </c>
      <c r="E33229" s="2">
        <v>1275836</v>
      </c>
      <c r="F33229" s="4" t="str">
        <f>IF(B33229=B33228,"",B33229)</f>
        <v>Bhor</v>
      </c>
    </row>
    <row r="33230" spans="1:6" ht="15.75" customHeight="1">
      <c r="A33230" s="16" t="str">
        <f ca="1">IFERROR(__xludf.DUMMYFUNCTION("GOOGLETRANSLATE(B39143,""en"",""pt"")"),"Bhopālwāla")</f>
        <v>Bhopālwāla</v>
      </c>
      <c r="B33230" s="20" t="s">
        <v>35044</v>
      </c>
      <c r="C33230" s="20" t="s">
        <v>19808</v>
      </c>
      <c r="D33230" s="20" t="s">
        <v>10184</v>
      </c>
      <c r="E33230" s="10">
        <v>1182577</v>
      </c>
      <c r="F33230" s="4" t="e">
        <f>IF(B33230=#REF!,"",B33230)</f>
        <v>#REF!</v>
      </c>
    </row>
    <row r="33231" spans="1:6" ht="15.75" customHeight="1">
      <c r="A33231" s="15" t="s">
        <v>10767</v>
      </c>
      <c r="B33231" s="15" t="s">
        <v>10767</v>
      </c>
      <c r="C33231" s="15" t="s">
        <v>10178</v>
      </c>
      <c r="D33231" s="15" t="s">
        <v>10219</v>
      </c>
      <c r="E33231" s="2">
        <v>1275841</v>
      </c>
      <c r="F33231" s="4" t="str">
        <f>IF(B33231=B33230,"",B33231)</f>
        <v>Bhopal</v>
      </c>
    </row>
    <row r="33232" spans="1:6" ht="15.75" customHeight="1">
      <c r="A33232" s="16" t="s">
        <v>19848</v>
      </c>
      <c r="B33232" s="15" t="s">
        <v>19849</v>
      </c>
      <c r="C33232" s="16" t="s">
        <v>19808</v>
      </c>
      <c r="D33232" s="16" t="s">
        <v>10184</v>
      </c>
      <c r="E33232" s="2">
        <v>1182577</v>
      </c>
      <c r="F33232" s="4" t="str">
        <f>IF(B33232=B33231,"",B33232)</f>
        <v>BhopÄlwÄla</v>
      </c>
    </row>
    <row r="33233" spans="1:6" ht="15.75" customHeight="1">
      <c r="A33233" s="16" t="str">
        <f ca="1">IFERROR(__xludf.DUMMYFUNCTION("GOOGLETRANSLATE(B33837,""en"",""pt"")"),"Bhongīr")</f>
        <v>Bhongīr</v>
      </c>
      <c r="B33233" s="20" t="s">
        <v>33884</v>
      </c>
      <c r="C33233" s="20" t="s">
        <v>10178</v>
      </c>
      <c r="D33233" s="20" t="s">
        <v>10187</v>
      </c>
      <c r="E33233" s="10">
        <v>1275848</v>
      </c>
      <c r="F33233" s="4" t="e">
        <f>IF(B33233=#REF!,"",B33233)</f>
        <v>#REF!</v>
      </c>
    </row>
    <row r="33234" spans="1:6" ht="15.75" customHeight="1">
      <c r="A33234" s="16" t="s">
        <v>10766</v>
      </c>
      <c r="B33234" s="15" t="s">
        <v>10766</v>
      </c>
      <c r="C33234" s="16" t="s">
        <v>10178</v>
      </c>
      <c r="D33234" s="16" t="s">
        <v>10193</v>
      </c>
      <c r="E33234" s="2">
        <v>1275849</v>
      </c>
      <c r="F33234" s="4" t="str">
        <f>IF(B33234=B33233,"",B33234)</f>
        <v>Bhongaon</v>
      </c>
    </row>
    <row r="33235" spans="1:6" ht="15.75" customHeight="1">
      <c r="A33235" s="16" t="s">
        <v>10764</v>
      </c>
      <c r="B33235" s="15" t="s">
        <v>10765</v>
      </c>
      <c r="C33235" s="16" t="s">
        <v>10178</v>
      </c>
      <c r="D33235" s="16" t="s">
        <v>10187</v>
      </c>
      <c r="E33235" s="2">
        <v>1275848</v>
      </c>
      <c r="F33235" s="4" t="e">
        <f>IF(B33235=#REF!,"",B33235)</f>
        <v>#REF!</v>
      </c>
    </row>
    <row r="33236" spans="1:6" ht="15.75" customHeight="1">
      <c r="A33236" s="15" t="s">
        <v>1320</v>
      </c>
      <c r="B33236" s="15" t="s">
        <v>1320</v>
      </c>
      <c r="C33236" s="15" t="s">
        <v>1296</v>
      </c>
      <c r="D33236" s="15" t="s">
        <v>1308</v>
      </c>
      <c r="E33236" s="2">
        <v>1336136</v>
      </c>
      <c r="F33236" s="4" t="e">
        <f>IF(B33236=#REF!,"",B33236)</f>
        <v>#REF!</v>
      </c>
    </row>
    <row r="33237" spans="1:6" ht="15.75" customHeight="1">
      <c r="A33237" s="15" t="s">
        <v>10763</v>
      </c>
      <c r="B33237" s="15" t="s">
        <v>10763</v>
      </c>
      <c r="C33237" s="15" t="s">
        <v>10178</v>
      </c>
      <c r="D33237" s="15" t="s">
        <v>10184</v>
      </c>
      <c r="E33237" s="2">
        <v>1275882</v>
      </c>
      <c r="F33237" s="4" t="str">
        <f>IF(B33237=B33236,"",B33237)</f>
        <v>Bhogpur</v>
      </c>
    </row>
    <row r="33238" spans="1:6" ht="15.75" customHeight="1">
      <c r="A33238" s="16" t="str">
        <f ca="1">IFERROR(__xludf.DUMMYFUNCTION("GOOGLETRANSLATE(B33840,""en"",""pt"")"),"Bhiwāni")</f>
        <v>Bhiwāni</v>
      </c>
      <c r="B33238" s="20" t="s">
        <v>33885</v>
      </c>
      <c r="C33238" s="20" t="s">
        <v>10178</v>
      </c>
      <c r="D33238" s="20" t="s">
        <v>10224</v>
      </c>
      <c r="E33238" s="10">
        <v>1275899</v>
      </c>
      <c r="F33238" s="4" t="e">
        <f>IF(B33238=#REF!,"",B33238)</f>
        <v>#REF!</v>
      </c>
    </row>
    <row r="33239" spans="1:6" ht="15.75" customHeight="1">
      <c r="A33239" s="15" t="s">
        <v>10762</v>
      </c>
      <c r="B33239" s="15" t="s">
        <v>10762</v>
      </c>
      <c r="C33239" s="15" t="s">
        <v>10178</v>
      </c>
      <c r="D33239" s="15" t="s">
        <v>10214</v>
      </c>
      <c r="E33239" s="2">
        <v>1275901</v>
      </c>
      <c r="F33239" s="4" t="e">
        <f>IF(B33239=#REF!,"",B33239)</f>
        <v>#REF!</v>
      </c>
    </row>
    <row r="33240" spans="1:6" ht="15.75" customHeight="1">
      <c r="A33240" s="15" t="s">
        <v>10761</v>
      </c>
      <c r="B33240" s="15" t="s">
        <v>10761</v>
      </c>
      <c r="C33240" s="15" t="s">
        <v>10178</v>
      </c>
      <c r="D33240" s="15" t="s">
        <v>10179</v>
      </c>
      <c r="E33240" s="2">
        <v>7279747</v>
      </c>
      <c r="F33240" s="4" t="str">
        <f>IF(B33240=B33239,"",B33240)</f>
        <v>Bhiwadi</v>
      </c>
    </row>
    <row r="33241" spans="1:6" ht="15.75" customHeight="1">
      <c r="A33241" s="15" t="s">
        <v>10759</v>
      </c>
      <c r="B33241" s="15" t="s">
        <v>10760</v>
      </c>
      <c r="C33241" s="15" t="s">
        <v>10178</v>
      </c>
      <c r="D33241" s="15" t="s">
        <v>10224</v>
      </c>
      <c r="E33241" s="2">
        <v>1275899</v>
      </c>
      <c r="F33241" s="4" t="str">
        <f>IF(B33241=B33240,"",B33241)</f>
        <v>BhiwÄni</v>
      </c>
    </row>
    <row r="33242" spans="1:6" ht="15.75" customHeight="1">
      <c r="A33242" s="16" t="str">
        <f ca="1">IFERROR(__xludf.DUMMYFUNCTION("GOOGLETRANSLATE(B33842,""en"",""pt"")"),"Bhitarwār")</f>
        <v>Bhitarwār</v>
      </c>
      <c r="B33242" s="20" t="s">
        <v>33886</v>
      </c>
      <c r="C33242" s="20" t="s">
        <v>10178</v>
      </c>
      <c r="D33242" s="20" t="s">
        <v>10219</v>
      </c>
      <c r="E33242" s="10">
        <v>1275905</v>
      </c>
      <c r="F33242" s="4" t="str">
        <f>IF(B33242=B33241,"",B33242)</f>
        <v>Bhitarwār</v>
      </c>
    </row>
    <row r="33243" spans="1:6" ht="15.75" customHeight="1">
      <c r="A33243" s="16" t="s">
        <v>10757</v>
      </c>
      <c r="B33243" s="15" t="s">
        <v>10758</v>
      </c>
      <c r="C33243" s="16" t="s">
        <v>10178</v>
      </c>
      <c r="D33243" s="16" t="s">
        <v>10219</v>
      </c>
      <c r="E33243" s="2">
        <v>1275905</v>
      </c>
      <c r="F33243" s="4" t="str">
        <f>IF(B33243=B33242,"",B33243)</f>
        <v>BhitarwÄr</v>
      </c>
    </row>
    <row r="33244" spans="1:6" ht="15.75" customHeight="1">
      <c r="A33244" s="16" t="str">
        <f ca="1">IFERROR(__xludf.DUMMYFUNCTION("GOOGLETRANSLATE(B39144,""en"",""pt"")"),"Bhit shāh")</f>
        <v>Bhit shāh</v>
      </c>
      <c r="B33244" s="20" t="s">
        <v>35045</v>
      </c>
      <c r="C33244" s="20" t="s">
        <v>19808</v>
      </c>
      <c r="D33244" s="20" t="s">
        <v>19823</v>
      </c>
      <c r="E33244" s="10">
        <v>1182607</v>
      </c>
      <c r="F33244" s="4" t="str">
        <f>IF(B33244=B33243,"",B33244)</f>
        <v>Bhit Shāh</v>
      </c>
    </row>
    <row r="33245" spans="1:6" ht="15.75" customHeight="1">
      <c r="A33245" s="16" t="s">
        <v>19846</v>
      </c>
      <c r="B33245" s="15" t="s">
        <v>19847</v>
      </c>
      <c r="C33245" s="16" t="s">
        <v>19808</v>
      </c>
      <c r="D33245" s="16" t="s">
        <v>19823</v>
      </c>
      <c r="E33245" s="2">
        <v>1182607</v>
      </c>
      <c r="F33245" s="4" t="e">
        <f>IF(B33245=#REF!,"",B33245)</f>
        <v>#REF!</v>
      </c>
    </row>
    <row r="33246" spans="1:6" ht="15.75" customHeight="1">
      <c r="A33246" s="15" t="s">
        <v>23857</v>
      </c>
      <c r="B33246" s="15" t="s">
        <v>23857</v>
      </c>
      <c r="C33246" s="15" t="s">
        <v>23842</v>
      </c>
      <c r="D33246" s="15" t="s">
        <v>23843</v>
      </c>
      <c r="E33246" s="2">
        <v>1019330</v>
      </c>
      <c r="F33246" s="4" t="str">
        <f>IF(B33246=B33245,"",B33246)</f>
        <v>Bhisho</v>
      </c>
    </row>
    <row r="33247" spans="1:6" ht="15.75" customHeight="1">
      <c r="A33247" s="16" t="str">
        <f ca="1">IFERROR(__xludf.DUMMYFUNCTION("GOOGLETRANSLATE(B33843,""en"",""pt"")"),"Bhīnmāl")</f>
        <v>Bhīnmāl</v>
      </c>
      <c r="B33247" s="20" t="s">
        <v>33887</v>
      </c>
      <c r="C33247" s="20" t="s">
        <v>10178</v>
      </c>
      <c r="D33247" s="20" t="s">
        <v>10179</v>
      </c>
      <c r="E33247" s="10">
        <v>1275920</v>
      </c>
      <c r="F33247" s="4" t="e">
        <f>IF(B33247=#REF!,"",B33247)</f>
        <v>#REF!</v>
      </c>
    </row>
    <row r="33248" spans="1:6" ht="15.75" customHeight="1">
      <c r="A33248" s="15" t="s">
        <v>10756</v>
      </c>
      <c r="B33248" s="15" t="s">
        <v>10756</v>
      </c>
      <c r="C33248" s="15" t="s">
        <v>10178</v>
      </c>
      <c r="D33248" s="15" t="s">
        <v>10193</v>
      </c>
      <c r="E33248" s="2">
        <v>1275921</v>
      </c>
      <c r="F33248" s="4" t="str">
        <f>IF(B33248=B33247,"",B33248)</f>
        <v>Bhinga</v>
      </c>
    </row>
    <row r="33249" spans="1:6" ht="15.75" customHeight="1">
      <c r="A33249" s="16" t="str">
        <f ca="1">IFERROR(__xludf.DUMMYFUNCTION("GOOGLETRANSLATE(B33845,""en"",""pt"")"),"Bhindār")</f>
        <v>Bhindār</v>
      </c>
      <c r="B33249" s="20" t="s">
        <v>33888</v>
      </c>
      <c r="C33249" s="20" t="s">
        <v>10178</v>
      </c>
      <c r="D33249" s="20" t="s">
        <v>10179</v>
      </c>
      <c r="E33249" s="10">
        <v>1275925</v>
      </c>
      <c r="F33249" s="4" t="str">
        <f>IF(B33249=B33248,"",B33249)</f>
        <v>Bhindār</v>
      </c>
    </row>
    <row r="33250" spans="1:6" ht="15.75" customHeight="1">
      <c r="A33250" s="15" t="s">
        <v>10754</v>
      </c>
      <c r="B33250" s="15" t="s">
        <v>10755</v>
      </c>
      <c r="C33250" s="15" t="s">
        <v>10178</v>
      </c>
      <c r="D33250" s="15" t="s">
        <v>10179</v>
      </c>
      <c r="E33250" s="2">
        <v>1275925</v>
      </c>
      <c r="F33250" s="4" t="e">
        <f>IF(B33250=#REF!,"",B33250)</f>
        <v>#REF!</v>
      </c>
    </row>
    <row r="33251" spans="1:6" ht="15.75" customHeight="1">
      <c r="A33251" s="15" t="s">
        <v>10753</v>
      </c>
      <c r="B33251" s="15" t="s">
        <v>10753</v>
      </c>
      <c r="C33251" s="15" t="s">
        <v>10178</v>
      </c>
      <c r="D33251" s="15" t="s">
        <v>10219</v>
      </c>
      <c r="E33251" s="2">
        <v>1275926</v>
      </c>
      <c r="F33251" s="4" t="str">
        <f>IF(B33251=B33250,"",B33251)</f>
        <v>Bhind</v>
      </c>
    </row>
    <row r="33252" spans="1:6" ht="15.75" customHeight="1">
      <c r="A33252" s="16" t="str">
        <f ca="1">IFERROR(__xludf.DUMMYFUNCTION("GOOGLETRANSLATE(B33847,""en"",""pt"")"),"Bhīmunipatnam")</f>
        <v>Bhīmunipatnam</v>
      </c>
      <c r="B33252" s="20" t="s">
        <v>33889</v>
      </c>
      <c r="C33252" s="20" t="s">
        <v>10178</v>
      </c>
      <c r="D33252" s="20" t="s">
        <v>10190</v>
      </c>
      <c r="E33252" s="10">
        <v>1275930</v>
      </c>
      <c r="F33252" s="4" t="e">
        <f>IF(B33252=#REF!,"",B33252)</f>
        <v>#REF!</v>
      </c>
    </row>
    <row r="33253" spans="1:6" ht="15.75" customHeight="1">
      <c r="A33253" s="15" t="s">
        <v>19844</v>
      </c>
      <c r="B33253" s="15" t="s">
        <v>19844</v>
      </c>
      <c r="C33253" s="15" t="s">
        <v>19808</v>
      </c>
      <c r="D33253" s="15" t="s">
        <v>19845</v>
      </c>
      <c r="E33253" s="2">
        <v>1182637</v>
      </c>
      <c r="F33253" s="4" t="str">
        <f>IF(B33253=B33252,"",B33253)</f>
        <v>Bhimbar</v>
      </c>
    </row>
    <row r="33254" spans="1:6" ht="15.75" customHeight="1">
      <c r="A33254" s="16" t="str">
        <f ca="1">IFERROR(__xludf.DUMMYFUNCTION("GOOGLETRANSLATE(B33848,""en"",""pt"")"),"Bhīmavaram")</f>
        <v>Bhīmavaram</v>
      </c>
      <c r="B33254" s="20" t="s">
        <v>33890</v>
      </c>
      <c r="C33254" s="20" t="s">
        <v>10178</v>
      </c>
      <c r="D33254" s="20" t="s">
        <v>10190</v>
      </c>
      <c r="E33254" s="10">
        <v>1275947</v>
      </c>
      <c r="F33254" s="4" t="str">
        <f>IF(B33254=B33253,"",B33254)</f>
        <v>Bhīmavaram</v>
      </c>
    </row>
    <row r="33255" spans="1:6" ht="15.75" customHeight="1">
      <c r="A33255" s="16" t="str">
        <f ca="1">IFERROR(__xludf.DUMMYFUNCTION("GOOGLETRANSLATE(B33849,""en"",""pt"")"),"Bhīlwāra")</f>
        <v>Bhīlwāra</v>
      </c>
      <c r="B33255" s="20" t="s">
        <v>33891</v>
      </c>
      <c r="C33255" s="20" t="s">
        <v>10178</v>
      </c>
      <c r="D33255" s="20" t="s">
        <v>10179</v>
      </c>
      <c r="E33255" s="10">
        <v>1275960</v>
      </c>
      <c r="F33255" s="4" t="e">
        <f>IF(B33255=#REF!,"",B33255)</f>
        <v>#REF!</v>
      </c>
    </row>
    <row r="33256" spans="1:6" ht="15.75" customHeight="1">
      <c r="A33256" s="15" t="s">
        <v>10752</v>
      </c>
      <c r="B33256" s="15" t="s">
        <v>10752</v>
      </c>
      <c r="C33256" s="15" t="s">
        <v>10178</v>
      </c>
      <c r="D33256" s="15" t="s">
        <v>10272</v>
      </c>
      <c r="E33256" s="2">
        <v>1275971</v>
      </c>
      <c r="F33256" s="4" t="str">
        <f>IF(B33256=B33255,"",B33256)</f>
        <v>Bhilai</v>
      </c>
    </row>
    <row r="33257" spans="1:6" ht="15.75" customHeight="1">
      <c r="A33257" s="16" t="str">
        <f ca="1">IFERROR(__xludf.DUMMYFUNCTION("GOOGLETRANSLATE(B33851,""en"",""pt"")"),"Bhīkhi")</f>
        <v>Bhīkhi</v>
      </c>
      <c r="B33257" s="20" t="s">
        <v>33892</v>
      </c>
      <c r="C33257" s="20" t="s">
        <v>10178</v>
      </c>
      <c r="D33257" s="20" t="s">
        <v>10184</v>
      </c>
      <c r="E33257" s="10">
        <v>1275977</v>
      </c>
      <c r="F33257" s="4" t="e">
        <f>IF(B33257=#REF!,"",B33257)</f>
        <v>#REF!</v>
      </c>
    </row>
    <row r="33258" spans="1:6" ht="15.75" customHeight="1">
      <c r="A33258" s="16" t="s">
        <v>10751</v>
      </c>
      <c r="B33258" s="15" t="s">
        <v>10751</v>
      </c>
      <c r="C33258" s="16" t="s">
        <v>10178</v>
      </c>
      <c r="D33258" s="16" t="s">
        <v>10219</v>
      </c>
      <c r="E33258" s="2">
        <v>1275978</v>
      </c>
      <c r="F33258" s="4" t="str">
        <f>IF(B33258=B33257,"",B33258)</f>
        <v>Bhikangaon</v>
      </c>
    </row>
    <row r="33259" spans="1:6" ht="15.75" customHeight="1">
      <c r="A33259" s="16" t="str">
        <f ca="1">IFERROR(__xludf.DUMMYFUNCTION("GOOGLETRANSLATE(B23745,""en"",""pt"")"),"Bherāmāra")</f>
        <v>Bherāmāra</v>
      </c>
      <c r="B33259" s="20" t="s">
        <v>31282</v>
      </c>
      <c r="C33259" s="20" t="s">
        <v>1296</v>
      </c>
      <c r="D33259" s="20" t="s">
        <v>1315</v>
      </c>
      <c r="E33259" s="10">
        <v>1185262</v>
      </c>
      <c r="F33259" s="4" t="str">
        <f>IF(B33259=B33258,"",B33259)</f>
        <v>Bherāmāra</v>
      </c>
    </row>
    <row r="33260" spans="1:6" ht="15.75" customHeight="1">
      <c r="A33260" s="16" t="s">
        <v>1318</v>
      </c>
      <c r="B33260" s="15" t="s">
        <v>1319</v>
      </c>
      <c r="C33260" s="16" t="s">
        <v>1296</v>
      </c>
      <c r="D33260" s="16" t="s">
        <v>1315</v>
      </c>
      <c r="E33260" s="2">
        <v>1185262</v>
      </c>
      <c r="F33260" s="4" t="e">
        <f>IF(B33260=#REF!,"",B33260)</f>
        <v>#REF!</v>
      </c>
    </row>
    <row r="33261" spans="1:6" ht="15.75" customHeight="1">
      <c r="A33261" s="15" t="s">
        <v>19843</v>
      </c>
      <c r="B33261" s="15" t="s">
        <v>19843</v>
      </c>
      <c r="C33261" s="15" t="s">
        <v>19808</v>
      </c>
      <c r="D33261" s="15" t="s">
        <v>10184</v>
      </c>
      <c r="E33261" s="2">
        <v>1182665</v>
      </c>
      <c r="F33261" s="4" t="str">
        <f>IF(B33261=B33260,"",B33261)</f>
        <v>Bhera</v>
      </c>
    </row>
    <row r="33262" spans="1:6" ht="15.75" customHeight="1">
      <c r="A33262" s="16" t="str">
        <f ca="1">IFERROR(__xludf.DUMMYFUNCTION("GOOGLETRANSLATE(B33853,""en"",""pt"")"),"Bhāyāvadar")</f>
        <v>Bhāyāvadar</v>
      </c>
      <c r="B33262" s="20" t="s">
        <v>33893</v>
      </c>
      <c r="C33262" s="20" t="s">
        <v>10178</v>
      </c>
      <c r="D33262" s="20" t="s">
        <v>10209</v>
      </c>
      <c r="E33262" s="10">
        <v>1276013</v>
      </c>
      <c r="F33262" s="4" t="e">
        <f>IF(B33262=#REF!,"",B33262)</f>
        <v>#REF!</v>
      </c>
    </row>
    <row r="33263" spans="1:6" ht="15.75" customHeight="1">
      <c r="A33263" s="16" t="s">
        <v>10750</v>
      </c>
      <c r="B33263" s="15" t="s">
        <v>10750</v>
      </c>
      <c r="C33263" s="16" t="s">
        <v>10178</v>
      </c>
      <c r="D33263" s="16" t="s">
        <v>10214</v>
      </c>
      <c r="E33263" s="2">
        <v>1276014</v>
      </c>
      <c r="F33263" s="4" t="e">
        <f>IF(B33263=#REF!,"",B33263)</f>
        <v>#REF!</v>
      </c>
    </row>
    <row r="33264" spans="1:6" ht="15.75" customHeight="1">
      <c r="A33264" s="16" t="s">
        <v>10749</v>
      </c>
      <c r="B33264" s="15" t="s">
        <v>10749</v>
      </c>
      <c r="C33264" s="16" t="s">
        <v>10178</v>
      </c>
      <c r="D33264" s="16" t="s">
        <v>10317</v>
      </c>
      <c r="E33264" s="2">
        <v>7626554</v>
      </c>
      <c r="F33264" s="4" t="str">
        <f>IF(B33264=B33263,"",B33264)</f>
        <v>Bhawanipur</v>
      </c>
    </row>
    <row r="33265" spans="1:6" ht="15.75" customHeight="1">
      <c r="A33265" s="16" t="str">
        <f ca="1">IFERROR(__xludf.DUMMYFUNCTION("GOOGLETRANSLATE(B33855,""en"",""pt"")"),"Bhawānipatna")</f>
        <v>Bhawānipatna</v>
      </c>
      <c r="B33265" s="20" t="s">
        <v>33894</v>
      </c>
      <c r="C33265" s="20" t="s">
        <v>10178</v>
      </c>
      <c r="D33265" s="20" t="s">
        <v>10229</v>
      </c>
      <c r="E33265" s="10">
        <v>1276023</v>
      </c>
      <c r="F33265" s="4" t="str">
        <f>IF(B33265=B33264,"",B33265)</f>
        <v>Bhawānipatna</v>
      </c>
    </row>
    <row r="33266" spans="1:6" ht="15.75" customHeight="1">
      <c r="A33266" s="16" t="str">
        <f ca="1">IFERROR(__xludf.DUMMYFUNCTION("GOOGLETRANSLATE(B33856,""en"",""pt"")"),"Bhawānīgarh")</f>
        <v>Bhawānīgarh</v>
      </c>
      <c r="B33266" s="20" t="s">
        <v>33895</v>
      </c>
      <c r="C33266" s="20" t="s">
        <v>10178</v>
      </c>
      <c r="D33266" s="20" t="s">
        <v>10184</v>
      </c>
      <c r="E33266" s="10">
        <v>1276026</v>
      </c>
      <c r="F33266" s="4" t="str">
        <f>IF(B33266=B33265,"",B33266)</f>
        <v>Bhawānīgarh</v>
      </c>
    </row>
    <row r="33267" spans="1:6" ht="15.75" customHeight="1">
      <c r="A33267" s="16" t="str">
        <f ca="1">IFERROR(__xludf.DUMMYFUNCTION("GOOGLETRANSLATE(B33857,""en"",""pt"")"),"Bhawāniganj")</f>
        <v>Bhawāniganj</v>
      </c>
      <c r="B33267" s="20" t="s">
        <v>33896</v>
      </c>
      <c r="C33267" s="20" t="s">
        <v>10178</v>
      </c>
      <c r="D33267" s="20" t="s">
        <v>10219</v>
      </c>
      <c r="E33267" s="10">
        <v>1276027</v>
      </c>
      <c r="F33267" s="4" t="str">
        <f>IF(B33267=B33266,"",B33267)</f>
        <v>Bhawāniganj</v>
      </c>
    </row>
    <row r="33268" spans="1:6" ht="15.75" customHeight="1">
      <c r="A33268" s="16" t="str">
        <f ca="1">IFERROR(__xludf.DUMMYFUNCTION("GOOGLETRANSLATE(B39147,""en"",""pt"")"),"Bhawāna")</f>
        <v>Bhawāna</v>
      </c>
      <c r="B33268" s="20" t="s">
        <v>35046</v>
      </c>
      <c r="C33268" s="20" t="s">
        <v>19808</v>
      </c>
      <c r="D33268" s="20" t="s">
        <v>10184</v>
      </c>
      <c r="E33268" s="10">
        <v>1182682</v>
      </c>
      <c r="F33268" s="4" t="str">
        <f>IF(B33268=B33267,"",B33268)</f>
        <v>Bhawāna</v>
      </c>
    </row>
    <row r="33269" spans="1:6" ht="15.75" customHeight="1">
      <c r="A33269" s="16" t="s">
        <v>10747</v>
      </c>
      <c r="B33269" s="15" t="s">
        <v>10748</v>
      </c>
      <c r="C33269" s="16" t="s">
        <v>10178</v>
      </c>
      <c r="D33269" s="16" t="s">
        <v>10229</v>
      </c>
      <c r="E33269" s="2">
        <v>1276023</v>
      </c>
      <c r="F33269" s="4" t="str">
        <f>IF(B33269=B33268,"",B33269)</f>
        <v>BhawÄnipatna</v>
      </c>
    </row>
    <row r="33270" spans="1:6" ht="15.75" customHeight="1">
      <c r="A33270" s="16" t="s">
        <v>10745</v>
      </c>
      <c r="B33270" s="15" t="s">
        <v>10746</v>
      </c>
      <c r="C33270" s="16" t="s">
        <v>10178</v>
      </c>
      <c r="D33270" s="16" t="s">
        <v>10219</v>
      </c>
      <c r="E33270" s="2">
        <v>1276027</v>
      </c>
      <c r="F33270" s="4" t="str">
        <f>IF(B33270=B33269,"",B33270)</f>
        <v>BhawÄniganj</v>
      </c>
    </row>
    <row r="33271" spans="1:6" ht="15.75" customHeight="1">
      <c r="A33271" s="16" t="s">
        <v>10743</v>
      </c>
      <c r="B33271" s="15" t="s">
        <v>10744</v>
      </c>
      <c r="C33271" s="16" t="s">
        <v>10178</v>
      </c>
      <c r="D33271" s="16" t="s">
        <v>10184</v>
      </c>
      <c r="E33271" s="2">
        <v>1276026</v>
      </c>
      <c r="F33271" s="4" t="str">
        <f>IF(B33271=B33270,"",B33271)</f>
        <v>BhawÄnÄ«garh</v>
      </c>
    </row>
    <row r="33272" spans="1:6" ht="15.75" customHeight="1">
      <c r="A33272" s="16" t="s">
        <v>19841</v>
      </c>
      <c r="B33272" s="15" t="s">
        <v>19842</v>
      </c>
      <c r="C33272" s="16" t="s">
        <v>19808</v>
      </c>
      <c r="D33272" s="16" t="s">
        <v>10184</v>
      </c>
      <c r="E33272" s="2">
        <v>1182682</v>
      </c>
      <c r="F33272" s="4" t="str">
        <f>IF(B33272=B33271,"",B33272)</f>
        <v>BhawÄna</v>
      </c>
    </row>
    <row r="33273" spans="1:6" ht="15.75" customHeight="1">
      <c r="A33273" s="16" t="str">
        <f ca="1">IFERROR(__xludf.DUMMYFUNCTION("GOOGLETRANSLATE(B33858,""en"",""pt"")"),"Bhāvnagar")</f>
        <v>Bhāvnagar</v>
      </c>
      <c r="B33273" s="20" t="s">
        <v>33897</v>
      </c>
      <c r="C33273" s="20" t="s">
        <v>10178</v>
      </c>
      <c r="D33273" s="20" t="s">
        <v>10209</v>
      </c>
      <c r="E33273" s="10">
        <v>1276032</v>
      </c>
      <c r="F33273" s="4" t="str">
        <f>IF(B33273=B33272,"",B33273)</f>
        <v>Bhāvnagar</v>
      </c>
    </row>
    <row r="33274" spans="1:6" ht="15.75" customHeight="1">
      <c r="A33274" s="16" t="str">
        <f ca="1">IFERROR(__xludf.DUMMYFUNCTION("GOOGLETRANSLATE(B33859,""en"",""pt"")"),"Bhavāni")</f>
        <v>Bhavāni</v>
      </c>
      <c r="B33274" s="20" t="s">
        <v>33898</v>
      </c>
      <c r="C33274" s="20" t="s">
        <v>10178</v>
      </c>
      <c r="D33274" s="20" t="s">
        <v>10196</v>
      </c>
      <c r="E33274" s="10">
        <v>1276037</v>
      </c>
      <c r="F33274" s="4" t="str">
        <f>IF(B33274=B33273,"",B33274)</f>
        <v>Bhavāni</v>
      </c>
    </row>
    <row r="33275" spans="1:6" ht="15.75" customHeight="1">
      <c r="A33275" s="15" t="s">
        <v>10741</v>
      </c>
      <c r="B33275" s="15" t="s">
        <v>10742</v>
      </c>
      <c r="C33275" s="15" t="s">
        <v>10178</v>
      </c>
      <c r="D33275" s="15" t="s">
        <v>10196</v>
      </c>
      <c r="E33275" s="2">
        <v>1276037</v>
      </c>
      <c r="F33275" s="4" t="e">
        <f>IF(B33275=#REF!,"",B33275)</f>
        <v>#REF!</v>
      </c>
    </row>
    <row r="33276" spans="1:6" ht="15.75" customHeight="1">
      <c r="A33276" s="16" t="s">
        <v>10740</v>
      </c>
      <c r="B33276" s="15" t="s">
        <v>10740</v>
      </c>
      <c r="C33276" s="16" t="s">
        <v>10178</v>
      </c>
      <c r="D33276" s="16" t="s">
        <v>10190</v>
      </c>
      <c r="E33276" s="2">
        <v>1276054</v>
      </c>
      <c r="F33276" s="4" t="str">
        <f>IF(B33276=B33275,"",B33276)</f>
        <v>Bhattiprolu</v>
      </c>
    </row>
    <row r="33277" spans="1:6" ht="15.75" customHeight="1">
      <c r="A33277" s="16" t="str">
        <f ca="1">IFERROR(__xludf.DUMMYFUNCTION("GOOGLETRANSLATE(B23744,""en"",""pt"")"),"Bhātpāra Abhaynagar")</f>
        <v>Bhātpāra Abhaynagar</v>
      </c>
      <c r="B33277" s="20" t="s">
        <v>31281</v>
      </c>
      <c r="C33277" s="20" t="s">
        <v>1296</v>
      </c>
      <c r="D33277" s="20" t="s">
        <v>1315</v>
      </c>
      <c r="E33277" s="10">
        <v>1185260</v>
      </c>
      <c r="F33277" s="4" t="str">
        <f>IF(B33277=B33276,"",B33277)</f>
        <v>Bhātpāra Abhaynagar</v>
      </c>
    </row>
    <row r="33278" spans="1:6" ht="15.75" customHeight="1">
      <c r="A33278" s="16" t="str">
        <f ca="1">IFERROR(__xludf.DUMMYFUNCTION("GOOGLETRANSLATE(B33861,""en"",""pt"")"),"Bhātpāra")</f>
        <v>Bhātpāra</v>
      </c>
      <c r="B33278" s="20" t="s">
        <v>33899</v>
      </c>
      <c r="C33278" s="20" t="s">
        <v>10178</v>
      </c>
      <c r="D33278" s="20" t="s">
        <v>10201</v>
      </c>
      <c r="E33278" s="10">
        <v>1276058</v>
      </c>
      <c r="F33278" s="4" t="e">
        <f>IF(B33278=#REF!,"",B33278)</f>
        <v>#REF!</v>
      </c>
    </row>
    <row r="33279" spans="1:6" ht="15.75" customHeight="1">
      <c r="A33279" s="15" t="s">
        <v>10739</v>
      </c>
      <c r="B33279" s="15" t="s">
        <v>10739</v>
      </c>
      <c r="C33279" s="15" t="s">
        <v>10178</v>
      </c>
      <c r="D33279" s="15" t="s">
        <v>10252</v>
      </c>
      <c r="E33279" s="2">
        <v>1276067</v>
      </c>
      <c r="F33279" s="4" t="e">
        <f>IF(B33279=#REF!,"",B33279)</f>
        <v>#REF!</v>
      </c>
    </row>
    <row r="33280" spans="1:6" ht="15.75" customHeight="1">
      <c r="A33280" s="15" t="s">
        <v>10738</v>
      </c>
      <c r="B33280" s="15" t="s">
        <v>10738</v>
      </c>
      <c r="C33280" s="15" t="s">
        <v>10178</v>
      </c>
      <c r="D33280" s="15" t="s">
        <v>10184</v>
      </c>
      <c r="E33280" s="2">
        <v>1276070</v>
      </c>
      <c r="F33280" s="4" t="str">
        <f>IF(B33280=B33279,"",B33280)</f>
        <v>Bhatinda</v>
      </c>
    </row>
    <row r="33281" spans="1:6" ht="15.75" customHeight="1">
      <c r="A33281" s="16" t="str">
        <f ca="1">IFERROR(__xludf.DUMMYFUNCTION("GOOGLETRANSLATE(B33864,""en"",""pt"")"),"Bhātāpāra")</f>
        <v>Bhātāpāra</v>
      </c>
      <c r="B33281" s="20" t="s">
        <v>33900</v>
      </c>
      <c r="C33281" s="20" t="s">
        <v>10178</v>
      </c>
      <c r="D33281" s="20" t="s">
        <v>10272</v>
      </c>
      <c r="E33281" s="10">
        <v>1276084</v>
      </c>
      <c r="F33281" s="4" t="str">
        <f>IF(B33281=B33280,"",B33281)</f>
        <v>Bhātāpāra</v>
      </c>
    </row>
    <row r="33282" spans="1:6" ht="15.75" customHeight="1">
      <c r="A33282" s="16" t="str">
        <f ca="1">IFERROR(__xludf.DUMMYFUNCTION("GOOGLETRANSLATE(B33865,""en"",""pt"")"),"Bhasāwar")</f>
        <v>Bhasāwar</v>
      </c>
      <c r="B33282" s="20" t="s">
        <v>33901</v>
      </c>
      <c r="C33282" s="20" t="s">
        <v>10178</v>
      </c>
      <c r="D33282" s="20" t="s">
        <v>10179</v>
      </c>
      <c r="E33282" s="10">
        <v>1276092</v>
      </c>
      <c r="F33282" s="4" t="str">
        <f>IF(B33282=B33281,"",B33282)</f>
        <v>Bhasāwar</v>
      </c>
    </row>
    <row r="33283" spans="1:6" ht="15.75" customHeight="1">
      <c r="A33283" s="16" t="s">
        <v>10736</v>
      </c>
      <c r="B33283" s="15" t="s">
        <v>10737</v>
      </c>
      <c r="C33283" s="16" t="s">
        <v>10178</v>
      </c>
      <c r="D33283" s="16" t="s">
        <v>10179</v>
      </c>
      <c r="E33283" s="2">
        <v>1276092</v>
      </c>
      <c r="F33283" s="4" t="str">
        <f>IF(B33283=B33282,"",B33283)</f>
        <v>BhasÄwar</v>
      </c>
    </row>
    <row r="33284" spans="1:6" ht="15.75" customHeight="1">
      <c r="A33284" s="16" t="str">
        <f ca="1">IFERROR(__xludf.DUMMYFUNCTION("GOOGLETRANSLATE(B33866,""en"",""pt"")"),"Bharwāri")</f>
        <v>Bharwāri</v>
      </c>
      <c r="B33284" s="20" t="s">
        <v>33902</v>
      </c>
      <c r="C33284" s="20" t="s">
        <v>10178</v>
      </c>
      <c r="D33284" s="20" t="s">
        <v>10193</v>
      </c>
      <c r="E33284" s="10">
        <v>1276095</v>
      </c>
      <c r="F33284" s="4" t="str">
        <f>IF(B33284=B33283,"",B33284)</f>
        <v>Bharwāri</v>
      </c>
    </row>
    <row r="33285" spans="1:6" ht="15.75" customHeight="1">
      <c r="A33285" s="16" t="s">
        <v>10734</v>
      </c>
      <c r="B33285" s="15" t="s">
        <v>10735</v>
      </c>
      <c r="C33285" s="16" t="s">
        <v>10178</v>
      </c>
      <c r="D33285" s="16" t="s">
        <v>10193</v>
      </c>
      <c r="E33285" s="2">
        <v>1276095</v>
      </c>
      <c r="F33285" s="4" t="str">
        <f>IF(B33285=B33284,"",B33285)</f>
        <v>BharwÄri</v>
      </c>
    </row>
    <row r="33286" spans="1:6" ht="15.75" customHeight="1">
      <c r="A33286" s="16" t="str">
        <f ca="1">IFERROR(__xludf.DUMMYFUNCTION("GOOGLETRANSLATE(B33867,""en"",""pt"")"),"Bharūch")</f>
        <v>Bharūch</v>
      </c>
      <c r="B33286" s="20" t="s">
        <v>33903</v>
      </c>
      <c r="C33286" s="20" t="s">
        <v>10178</v>
      </c>
      <c r="D33286" s="20" t="s">
        <v>10209</v>
      </c>
      <c r="E33286" s="10">
        <v>1276100</v>
      </c>
      <c r="F33286" s="4" t="e">
        <f>IF(B33286=#REF!,"",B33286)</f>
        <v>#REF!</v>
      </c>
    </row>
    <row r="33287" spans="1:6" ht="15.75" customHeight="1">
      <c r="A33287" s="16" t="s">
        <v>10733</v>
      </c>
      <c r="B33287" s="15" t="s">
        <v>10733</v>
      </c>
      <c r="C33287" s="16" t="s">
        <v>10178</v>
      </c>
      <c r="D33287" s="16" t="s">
        <v>10193</v>
      </c>
      <c r="E33287" s="2">
        <v>1276103</v>
      </c>
      <c r="F33287" s="4" t="e">
        <f>IF(B33287=#REF!,"",B33287)</f>
        <v>#REF!</v>
      </c>
    </row>
    <row r="33288" spans="1:6" ht="15.75" customHeight="1">
      <c r="A33288" s="16" t="s">
        <v>10732</v>
      </c>
      <c r="B33288" s="15" t="s">
        <v>10732</v>
      </c>
      <c r="C33288" s="16" t="s">
        <v>10178</v>
      </c>
      <c r="D33288" s="16" t="s">
        <v>10179</v>
      </c>
      <c r="E33288" s="2">
        <v>1276128</v>
      </c>
      <c r="F33288" s="4" t="str">
        <f>IF(B33288=B33287,"",B33288)</f>
        <v>Bharatpur</v>
      </c>
    </row>
    <row r="33289" spans="1:6" ht="15.75" customHeight="1">
      <c r="A33289" s="16" t="s">
        <v>10730</v>
      </c>
      <c r="B33289" s="15" t="s">
        <v>10731</v>
      </c>
      <c r="C33289" s="16" t="s">
        <v>10178</v>
      </c>
      <c r="D33289" s="16" t="s">
        <v>10209</v>
      </c>
      <c r="E33289" s="2">
        <v>1276100</v>
      </c>
      <c r="F33289" s="4" t="str">
        <f>IF(B33289=B33288,"",B33289)</f>
        <v>BharÅ«ch</v>
      </c>
    </row>
    <row r="33290" spans="1:6" ht="15.75" customHeight="1">
      <c r="A33290" s="16" t="str">
        <f ca="1">IFERROR(__xludf.DUMMYFUNCTION("GOOGLETRANSLATE(B33870,""en"",""pt"")"),"Bhānvad")</f>
        <v>Bhānvad</v>
      </c>
      <c r="B33290" s="20" t="s">
        <v>33904</v>
      </c>
      <c r="C33290" s="20" t="s">
        <v>10178</v>
      </c>
      <c r="D33290" s="20" t="s">
        <v>10209</v>
      </c>
      <c r="E33290" s="10">
        <v>1276147</v>
      </c>
      <c r="F33290" s="4" t="str">
        <f>IF(B33290=B33289,"",B33290)</f>
        <v>Bhānvad</v>
      </c>
    </row>
    <row r="33291" spans="1:6" ht="15.75" customHeight="1">
      <c r="A33291" s="16" t="str">
        <f ca="1">IFERROR(__xludf.DUMMYFUNCTION("GOOGLETRANSLATE(B33871,""en"",""pt"")"),"Bhānpurī")</f>
        <v>Bhānpurī</v>
      </c>
      <c r="B33291" s="20" t="s">
        <v>33905</v>
      </c>
      <c r="C33291" s="20" t="s">
        <v>10178</v>
      </c>
      <c r="D33291" s="20" t="s">
        <v>10272</v>
      </c>
      <c r="E33291" s="10">
        <v>1276151</v>
      </c>
      <c r="F33291" s="4" t="str">
        <f>IF(B33291=B33290,"",B33291)</f>
        <v>Bhānpurī</v>
      </c>
    </row>
    <row r="33292" spans="1:6" ht="15.75" customHeight="1">
      <c r="A33292" s="16" t="str">
        <f ca="1">IFERROR(__xludf.DUMMYFUNCTION("GOOGLETRANSLATE(B33872,""en"",""pt"")"),"Bhānpura")</f>
        <v>Bhānpura</v>
      </c>
      <c r="B33292" s="20" t="s">
        <v>33906</v>
      </c>
      <c r="C33292" s="20" t="s">
        <v>10178</v>
      </c>
      <c r="D33292" s="20" t="s">
        <v>10219</v>
      </c>
      <c r="E33292" s="10">
        <v>1276152</v>
      </c>
      <c r="F33292" s="4" t="e">
        <f>IF(B33292=#REF!,"",B33292)</f>
        <v>#REF!</v>
      </c>
    </row>
    <row r="33293" spans="1:6" ht="15.75" customHeight="1">
      <c r="A33293" s="16" t="s">
        <v>10729</v>
      </c>
      <c r="B33293" s="15" t="s">
        <v>10729</v>
      </c>
      <c r="C33293" s="16" t="s">
        <v>10178</v>
      </c>
      <c r="D33293" s="16" t="s">
        <v>10229</v>
      </c>
      <c r="E33293" s="2">
        <v>1276159</v>
      </c>
      <c r="F33293" s="4" t="str">
        <f>IF(B33293=B33292,"",B33293)</f>
        <v>Bhanjanagar</v>
      </c>
    </row>
    <row r="33294" spans="1:6" ht="15.75" customHeight="1">
      <c r="A33294" s="16" t="str">
        <f ca="1">IFERROR(__xludf.DUMMYFUNCTION("GOOGLETRANSLATE(B33874,""en"",""pt"")"),"Bhānder")</f>
        <v>Bhānder</v>
      </c>
      <c r="B33294" s="20" t="s">
        <v>33907</v>
      </c>
      <c r="C33294" s="20" t="s">
        <v>10178</v>
      </c>
      <c r="D33294" s="20" t="s">
        <v>10219</v>
      </c>
      <c r="E33294" s="10">
        <v>1276178</v>
      </c>
      <c r="F33294" s="4" t="str">
        <f>IF(B33294=B33293,"",B33294)</f>
        <v>Bhānder</v>
      </c>
    </row>
    <row r="33295" spans="1:6" ht="15.75" customHeight="1">
      <c r="A33295" s="16" t="str">
        <f ca="1">IFERROR(__xludf.DUMMYFUNCTION("GOOGLETRANSLATE(B23786,""en"",""pt"")"),"Bhāndāria")</f>
        <v>Bhāndāria</v>
      </c>
      <c r="B33295" s="20" t="s">
        <v>31306</v>
      </c>
      <c r="C33295" s="20" t="s">
        <v>1296</v>
      </c>
      <c r="D33295" s="20" t="s">
        <v>31265</v>
      </c>
      <c r="E33295" s="10">
        <v>1477498</v>
      </c>
      <c r="F33295" s="4" t="str">
        <f>IF(B33295=B33294,"",B33295)</f>
        <v>Bhāndāria</v>
      </c>
    </row>
    <row r="33296" spans="1:6" ht="15.75" customHeight="1">
      <c r="A33296" s="16" t="str">
        <f ca="1">IFERROR(__xludf.DUMMYFUNCTION("GOOGLETRANSLATE(B33875,""en"",""pt"")"),"Bhandāra")</f>
        <v>Bhandāra</v>
      </c>
      <c r="B33296" s="20" t="s">
        <v>33908</v>
      </c>
      <c r="C33296" s="20" t="s">
        <v>10178</v>
      </c>
      <c r="D33296" s="20" t="s">
        <v>10214</v>
      </c>
      <c r="E33296" s="10">
        <v>1276191</v>
      </c>
      <c r="F33296" s="4" t="str">
        <f>IF(B33296=B33295,"",B33296)</f>
        <v>Bhandāra</v>
      </c>
    </row>
    <row r="33297" spans="1:6" ht="15.75" customHeight="1">
      <c r="A33297" s="16" t="s">
        <v>10727</v>
      </c>
      <c r="B33297" s="15" t="s">
        <v>10728</v>
      </c>
      <c r="C33297" s="16" t="s">
        <v>10178</v>
      </c>
      <c r="D33297" s="16" t="s">
        <v>10214</v>
      </c>
      <c r="E33297" s="2">
        <v>1276191</v>
      </c>
      <c r="F33297" s="4" t="str">
        <f>IF(B33297=B33296,"",B33297)</f>
        <v>BhandÄra</v>
      </c>
    </row>
    <row r="33298" spans="1:6" ht="15.75" customHeight="1">
      <c r="A33298" s="16" t="str">
        <f ca="1">IFERROR(__xludf.DUMMYFUNCTION("GOOGLETRANSLATE(B39148,""en"",""pt"")"),"Bhān")</f>
        <v>Bhān</v>
      </c>
      <c r="B33298" s="20" t="s">
        <v>35047</v>
      </c>
      <c r="C33298" s="20" t="s">
        <v>19808</v>
      </c>
      <c r="D33298" s="20" t="s">
        <v>19823</v>
      </c>
      <c r="E33298" s="10">
        <v>1182775</v>
      </c>
      <c r="F33298" s="4" t="e">
        <f>IF(B33298=#REF!,"",B33298)</f>
        <v>#REF!</v>
      </c>
    </row>
    <row r="33299" spans="1:6" ht="15.75" customHeight="1">
      <c r="A33299" s="15" t="s">
        <v>18697</v>
      </c>
      <c r="B33299" s="15" t="s">
        <v>18697</v>
      </c>
      <c r="C33299" s="15" t="s">
        <v>18696</v>
      </c>
      <c r="D33299" s="15" t="s">
        <v>18698</v>
      </c>
      <c r="E33299" s="2">
        <v>1328218</v>
      </c>
      <c r="F33299" s="4" t="str">
        <f>IF(B33299=B33298,"",B33299)</f>
        <v>Bhamo</v>
      </c>
    </row>
    <row r="33300" spans="1:6" ht="15.75" customHeight="1">
      <c r="A33300" s="16" t="str">
        <f ca="1">IFERROR(__xludf.DUMMYFUNCTION("GOOGLETRANSLATE(B39149,""en"",""pt"")"),"Bhalwāl")</f>
        <v>Bhalwāl</v>
      </c>
      <c r="B33300" s="20" t="s">
        <v>35048</v>
      </c>
      <c r="C33300" s="20" t="s">
        <v>19808</v>
      </c>
      <c r="D33300" s="20" t="s">
        <v>10184</v>
      </c>
      <c r="E33300" s="10">
        <v>1182787</v>
      </c>
      <c r="F33300" s="4" t="str">
        <f>IF(B33300=B33299,"",B33300)</f>
        <v>Bhalwāl</v>
      </c>
    </row>
    <row r="33301" spans="1:6" ht="15.75" customHeight="1">
      <c r="A33301" s="15" t="s">
        <v>19839</v>
      </c>
      <c r="B33301" s="15" t="s">
        <v>19840</v>
      </c>
      <c r="C33301" s="15" t="s">
        <v>19808</v>
      </c>
      <c r="D33301" s="15" t="s">
        <v>10184</v>
      </c>
      <c r="E33301" s="2">
        <v>1182787</v>
      </c>
      <c r="F33301" s="4" t="str">
        <f>IF(B33301=B33300,"",B33301)</f>
        <v>BhalwÄl</v>
      </c>
    </row>
    <row r="33302" spans="1:6" ht="15.75" customHeight="1">
      <c r="A33302" s="16" t="str">
        <f ca="1">IFERROR(__xludf.DUMMYFUNCTION("GOOGLETRANSLATE(B33876,""en"",""pt"")"),"Bhālki")</f>
        <v>Bhālki</v>
      </c>
      <c r="B33302" s="20" t="s">
        <v>33909</v>
      </c>
      <c r="C33302" s="20" t="s">
        <v>10178</v>
      </c>
      <c r="D33302" s="20" t="s">
        <v>10252</v>
      </c>
      <c r="E33302" s="10">
        <v>1276219</v>
      </c>
      <c r="F33302" s="4" t="e">
        <f>IF(B33302=#REF!,"",B33302)</f>
        <v>#REF!</v>
      </c>
    </row>
    <row r="33303" spans="1:6" ht="15.75" customHeight="1">
      <c r="A33303" s="15" t="s">
        <v>19838</v>
      </c>
      <c r="B33303" s="15" t="s">
        <v>19838</v>
      </c>
      <c r="C33303" s="15" t="s">
        <v>19808</v>
      </c>
      <c r="D33303" s="15" t="s">
        <v>10184</v>
      </c>
      <c r="E33303" s="2">
        <v>1182815</v>
      </c>
      <c r="F33303" s="4" t="e">
        <f>IF(B33303=#REF!,"",B33303)</f>
        <v>#REF!</v>
      </c>
    </row>
    <row r="33304" spans="1:6" ht="15.75" customHeight="1">
      <c r="A33304" s="15" t="s">
        <v>10725</v>
      </c>
      <c r="B33304" s="15" t="s">
        <v>10726</v>
      </c>
      <c r="C33304" s="15" t="s">
        <v>10178</v>
      </c>
      <c r="D33304" s="15" t="s">
        <v>10187</v>
      </c>
      <c r="E33304" s="2">
        <v>1276249</v>
      </c>
      <c r="F33304" s="4" t="str">
        <f>IF(B33304=B33303,"",B33304)</f>
        <v>Bhaisa</v>
      </c>
    </row>
    <row r="33305" spans="1:6" ht="15.75" customHeight="1">
      <c r="A33305" s="16" t="str">
        <f ca="1">IFERROR(__xludf.DUMMYFUNCTION("GOOGLETRANSLATE(B38208,""en"",""pt"")"),"Bhairāhawā")</f>
        <v>Bhairāhawā</v>
      </c>
      <c r="B33305" s="20" t="s">
        <v>34839</v>
      </c>
      <c r="C33305" s="20" t="s">
        <v>18800</v>
      </c>
      <c r="D33305" s="20" t="s">
        <v>18803</v>
      </c>
      <c r="E33305" s="10">
        <v>1283621</v>
      </c>
      <c r="F33305" s="4" t="str">
        <f>IF(B33305=B33304,"",B33305)</f>
        <v>Bhairāhawā</v>
      </c>
    </row>
    <row r="33306" spans="1:6" ht="15.75" customHeight="1">
      <c r="A33306" s="16" t="str">
        <f ca="1">IFERROR(__xludf.DUMMYFUNCTION("GOOGLETRANSLATE(B23746,""en"",""pt"")"),"Bhairab Bāzār")</f>
        <v>Bhairab Bāzār</v>
      </c>
      <c r="B33306" s="20" t="s">
        <v>31283</v>
      </c>
      <c r="C33306" s="20" t="s">
        <v>1296</v>
      </c>
      <c r="D33306" s="20" t="s">
        <v>1297</v>
      </c>
      <c r="E33306" s="10">
        <v>1185263</v>
      </c>
      <c r="F33306" s="4" t="str">
        <f>IF(B33306=B33305,"",B33306)</f>
        <v>Bhairab Bāzār</v>
      </c>
    </row>
    <row r="33307" spans="1:6" ht="15.75" customHeight="1">
      <c r="A33307" s="16" t="s">
        <v>1316</v>
      </c>
      <c r="B33307" s="15" t="s">
        <v>1317</v>
      </c>
      <c r="C33307" s="16" t="s">
        <v>1296</v>
      </c>
      <c r="D33307" s="16" t="s">
        <v>1297</v>
      </c>
      <c r="E33307" s="2">
        <v>1185263</v>
      </c>
      <c r="F33307" s="4" t="str">
        <f>IF(B33307=B33306,"",B33307)</f>
        <v>Bhairab BÄzÄr</v>
      </c>
    </row>
    <row r="33308" spans="1:6" ht="15.75" customHeight="1">
      <c r="A33308" s="16" t="s">
        <v>18808</v>
      </c>
      <c r="B33308" s="15" t="s">
        <v>18809</v>
      </c>
      <c r="C33308" s="16" t="s">
        <v>18800</v>
      </c>
      <c r="D33308" s="16" t="s">
        <v>18803</v>
      </c>
      <c r="E33308" s="2">
        <v>1283621</v>
      </c>
      <c r="F33308" s="4" t="e">
        <f>IF(B33308=#REF!,"",B33308)</f>
        <v>#REF!</v>
      </c>
    </row>
    <row r="33309" spans="1:6" ht="15.75" customHeight="1">
      <c r="A33309" s="16" t="s">
        <v>10724</v>
      </c>
      <c r="B33309" s="15" t="s">
        <v>10724</v>
      </c>
      <c r="C33309" s="16" t="s">
        <v>10178</v>
      </c>
      <c r="D33309" s="16" t="s">
        <v>10219</v>
      </c>
      <c r="E33309" s="2">
        <v>1276265</v>
      </c>
      <c r="F33309" s="4" t="str">
        <f>IF(B33309=B33308,"",B33309)</f>
        <v>Bhainsdehi</v>
      </c>
    </row>
    <row r="33310" spans="1:6" ht="15.75" customHeight="1">
      <c r="A33310" s="16" t="str">
        <f ca="1">IFERROR(__xludf.DUMMYFUNCTION("GOOGLETRANSLATE(B39151,""en"",""pt"")"),"Bhāi Pheru")</f>
        <v>Bhāi Pheru</v>
      </c>
      <c r="B33310" s="20" t="s">
        <v>35049</v>
      </c>
      <c r="C33310" s="20" t="s">
        <v>19808</v>
      </c>
      <c r="D33310" s="20" t="s">
        <v>10184</v>
      </c>
      <c r="E33310" s="10">
        <v>1182829</v>
      </c>
      <c r="F33310" s="4" t="str">
        <f>IF(B33310=B33309,"",B33310)</f>
        <v>Bhāi Pheru</v>
      </c>
    </row>
    <row r="33311" spans="1:6" ht="15.75" customHeight="1">
      <c r="A33311" s="16" t="str">
        <f ca="1">IFERROR(__xludf.DUMMYFUNCTION("GOOGLETRANSLATE(B33879,""en"",""pt"")"),"Bhāgalpur")</f>
        <v>Bhāgalpur</v>
      </c>
      <c r="B33311" s="20" t="s">
        <v>33910</v>
      </c>
      <c r="C33311" s="20" t="s">
        <v>10178</v>
      </c>
      <c r="D33311" s="20" t="s">
        <v>10317</v>
      </c>
      <c r="E33311" s="10">
        <v>1276300</v>
      </c>
      <c r="F33311" s="4" t="e">
        <f>IF(B33311=#REF!,"",B33311)</f>
        <v>#REF!</v>
      </c>
    </row>
    <row r="33312" spans="1:6" ht="15.75" customHeight="1">
      <c r="A33312" s="16" t="s">
        <v>10723</v>
      </c>
      <c r="B33312" s="15" t="s">
        <v>10723</v>
      </c>
      <c r="C33312" s="16" t="s">
        <v>10178</v>
      </c>
      <c r="D33312" s="16" t="s">
        <v>10201</v>
      </c>
      <c r="E33312" s="2">
        <v>1276320</v>
      </c>
      <c r="F33312" s="4" t="str">
        <f>IF(B33312=B33311,"",B33312)</f>
        <v>Bhadreswar</v>
      </c>
    </row>
    <row r="33313" spans="1:6" ht="15.75" customHeight="1">
      <c r="A33313" s="16" t="str">
        <f ca="1">IFERROR(__xludf.DUMMYFUNCTION("GOOGLETRANSLATE(B33881,""en"",""pt"")"),"Bhadrāvati")</f>
        <v>Bhadrāvati</v>
      </c>
      <c r="B33313" s="20" t="s">
        <v>33911</v>
      </c>
      <c r="C33313" s="20" t="s">
        <v>10178</v>
      </c>
      <c r="D33313" s="20" t="s">
        <v>10252</v>
      </c>
      <c r="E33313" s="10">
        <v>1276321</v>
      </c>
      <c r="F33313" s="4" t="e">
        <f>IF(B33313=#REF!,"",B33313)</f>
        <v>#REF!</v>
      </c>
    </row>
    <row r="33314" spans="1:6" ht="15.75" customHeight="1">
      <c r="A33314" s="16" t="s">
        <v>18806</v>
      </c>
      <c r="B33314" s="15" t="s">
        <v>18806</v>
      </c>
      <c r="C33314" s="16" t="s">
        <v>18800</v>
      </c>
      <c r="D33314" s="16" t="s">
        <v>18807</v>
      </c>
      <c r="E33314" s="2">
        <v>1283628</v>
      </c>
      <c r="F33314" s="4" t="e">
        <f>IF(B33314=#REF!,"",B33314)</f>
        <v>#REF!</v>
      </c>
    </row>
    <row r="33315" spans="1:6" ht="15.75" customHeight="1">
      <c r="A33315" s="15" t="s">
        <v>10722</v>
      </c>
      <c r="B33315" s="15" t="s">
        <v>10722</v>
      </c>
      <c r="C33315" s="15" t="s">
        <v>10178</v>
      </c>
      <c r="D33315" s="15" t="s">
        <v>10229</v>
      </c>
      <c r="E33315" s="2">
        <v>1276325</v>
      </c>
      <c r="F33315" s="4" t="str">
        <f>IF(B33315=B33314,"",B33315)</f>
        <v>Bhadrakh</v>
      </c>
    </row>
    <row r="33316" spans="1:6" ht="15.75" customHeight="1">
      <c r="A33316" s="16" t="str">
        <f ca="1">IFERROR(__xludf.DUMMYFUNCTION("GOOGLETRANSLATE(B33883,""en"",""pt"")"),"Bhadrāchalam")</f>
        <v>Bhadrāchalam</v>
      </c>
      <c r="B33316" s="20" t="s">
        <v>33912</v>
      </c>
      <c r="C33316" s="20" t="s">
        <v>10178</v>
      </c>
      <c r="D33316" s="20" t="s">
        <v>10187</v>
      </c>
      <c r="E33316" s="10">
        <v>1276328</v>
      </c>
      <c r="F33316" s="4" t="str">
        <f>IF(B33316=B33315,"",B33316)</f>
        <v>Bhadrāchalam</v>
      </c>
    </row>
    <row r="33317" spans="1:6" ht="15.75" customHeight="1">
      <c r="A33317" s="16" t="s">
        <v>10720</v>
      </c>
      <c r="B33317" s="15" t="s">
        <v>10721</v>
      </c>
      <c r="C33317" s="16" t="s">
        <v>10178</v>
      </c>
      <c r="D33317" s="16" t="s">
        <v>10252</v>
      </c>
      <c r="E33317" s="2">
        <v>1276321</v>
      </c>
      <c r="F33317" s="4" t="str">
        <f>IF(B33317=B33316,"",B33317)</f>
        <v>BhadrÄvati</v>
      </c>
    </row>
    <row r="33318" spans="1:6" ht="15.75" customHeight="1">
      <c r="A33318" s="16" t="s">
        <v>10718</v>
      </c>
      <c r="B33318" s="15" t="s">
        <v>10719</v>
      </c>
      <c r="C33318" s="16" t="s">
        <v>10178</v>
      </c>
      <c r="D33318" s="16" t="s">
        <v>10187</v>
      </c>
      <c r="E33318" s="2">
        <v>1276328</v>
      </c>
      <c r="F33318" s="4" t="str">
        <f>IF(B33318=B33317,"",B33318)</f>
        <v>BhadrÄchalam</v>
      </c>
    </row>
    <row r="33319" spans="1:6" ht="15.75" customHeight="1">
      <c r="A33319" s="16" t="str">
        <f ca="1">IFERROR(__xludf.DUMMYFUNCTION("GOOGLETRANSLATE(B33884,""en"",""pt"")"),"Bhādra")</f>
        <v>Bhādra</v>
      </c>
      <c r="B33319" s="20" t="s">
        <v>33913</v>
      </c>
      <c r="C33319" s="20" t="s">
        <v>10178</v>
      </c>
      <c r="D33319" s="20" t="s">
        <v>10179</v>
      </c>
      <c r="E33319" s="10">
        <v>1276330</v>
      </c>
      <c r="F33319" s="4" t="e">
        <f>IF(B33319=#REF!,"",B33319)</f>
        <v>#REF!</v>
      </c>
    </row>
    <row r="33320" spans="1:6" ht="15.75" customHeight="1">
      <c r="A33320" s="15" t="s">
        <v>10717</v>
      </c>
      <c r="B33320" s="15" t="s">
        <v>10717</v>
      </c>
      <c r="C33320" s="15" t="s">
        <v>10178</v>
      </c>
      <c r="D33320" s="15" t="s">
        <v>10193</v>
      </c>
      <c r="E33320" s="2">
        <v>1276335</v>
      </c>
      <c r="F33320" s="4" t="e">
        <f>IF(B33320=#REF!,"",B33320)</f>
        <v>#REF!</v>
      </c>
    </row>
    <row r="33321" spans="1:6" ht="15.75" customHeight="1">
      <c r="A33321" s="15" t="s">
        <v>10716</v>
      </c>
      <c r="B33321" s="15" t="s">
        <v>10716</v>
      </c>
      <c r="C33321" s="15" t="s">
        <v>10178</v>
      </c>
      <c r="D33321" s="15" t="s">
        <v>10184</v>
      </c>
      <c r="E33321" s="2">
        <v>1276353</v>
      </c>
      <c r="F33321" s="4" t="str">
        <f>IF(B33321=B33320,"",B33321)</f>
        <v>Bhadaur</v>
      </c>
    </row>
    <row r="33322" spans="1:6" ht="15.75" customHeight="1">
      <c r="A33322" s="16" t="str">
        <f ca="1">IFERROR(__xludf.DUMMYFUNCTION("GOOGLETRANSLATE(B33887,""en"",""pt"")"),"Bhādāsar")</f>
        <v>Bhādāsar</v>
      </c>
      <c r="B33322" s="20" t="s">
        <v>33914</v>
      </c>
      <c r="C33322" s="20" t="s">
        <v>10178</v>
      </c>
      <c r="D33322" s="20" t="s">
        <v>10179</v>
      </c>
      <c r="E33322" s="10">
        <v>1276355</v>
      </c>
      <c r="F33322" s="4" t="str">
        <f>IF(B33322=B33321,"",B33322)</f>
        <v>Bhādāsar</v>
      </c>
    </row>
    <row r="33323" spans="1:6" ht="15.75" customHeight="1">
      <c r="A33323" s="16" t="str">
        <f ca="1">IFERROR(__xludf.DUMMYFUNCTION("GOOGLETRANSLATE(B33888,""en"",""pt"")"),"Bhachāu")</f>
        <v>Bhachāu</v>
      </c>
      <c r="B33323" s="20" t="s">
        <v>33915</v>
      </c>
      <c r="C33323" s="20" t="s">
        <v>10178</v>
      </c>
      <c r="D33323" s="20" t="s">
        <v>10209</v>
      </c>
      <c r="E33323" s="10">
        <v>1276370</v>
      </c>
      <c r="F33323" s="4" t="str">
        <f>IF(B33323=B33322,"",B33323)</f>
        <v>Bhachāu</v>
      </c>
    </row>
    <row r="33324" spans="1:6" ht="15.75" customHeight="1">
      <c r="A33324" s="15" t="s">
        <v>10714</v>
      </c>
      <c r="B33324" s="15" t="s">
        <v>10715</v>
      </c>
      <c r="C33324" s="15" t="s">
        <v>10178</v>
      </c>
      <c r="D33324" s="15" t="s">
        <v>10209</v>
      </c>
      <c r="E33324" s="2">
        <v>1276370</v>
      </c>
      <c r="F33324" s="4" t="e">
        <f>IF(B33324=#REF!,"",B33324)</f>
        <v>#REF!</v>
      </c>
    </row>
    <row r="33325" spans="1:6" ht="15.75" customHeight="1">
      <c r="A33325" s="15" t="s">
        <v>10713</v>
      </c>
      <c r="B33325" s="15" t="s">
        <v>10713</v>
      </c>
      <c r="C33325" s="15" t="s">
        <v>10178</v>
      </c>
      <c r="D33325" s="15" t="s">
        <v>10317</v>
      </c>
      <c r="E33325" s="2">
        <v>1276371</v>
      </c>
      <c r="F33325" s="4" t="str">
        <f>IF(B33325=B33324,"",B33325)</f>
        <v>Bhabhua</v>
      </c>
    </row>
    <row r="33326" spans="1:6" ht="15.75" customHeight="1">
      <c r="A33326" s="16" t="s">
        <v>10711</v>
      </c>
      <c r="B33326" s="15" t="s">
        <v>10712</v>
      </c>
      <c r="C33326" s="16" t="s">
        <v>10178</v>
      </c>
      <c r="D33326" s="16" t="s">
        <v>10209</v>
      </c>
      <c r="E33326" s="2">
        <v>1276013</v>
      </c>
      <c r="F33326" s="4" t="str">
        <f>IF(B33326=B33325,"",B33326)</f>
        <v>BhÄyÄvadar</v>
      </c>
    </row>
    <row r="33327" spans="1:6" ht="15.75" customHeight="1">
      <c r="A33327" s="16" t="s">
        <v>10709</v>
      </c>
      <c r="B33327" s="15" t="s">
        <v>10710</v>
      </c>
      <c r="C33327" s="16" t="s">
        <v>10178</v>
      </c>
      <c r="D33327" s="16" t="s">
        <v>10209</v>
      </c>
      <c r="E33327" s="2">
        <v>1276032</v>
      </c>
      <c r="F33327" s="4" t="str">
        <f>IF(B33327=B33326,"",B33327)</f>
        <v>BhÄvnagar</v>
      </c>
    </row>
    <row r="33328" spans="1:6" ht="15.75" customHeight="1">
      <c r="A33328" s="16" t="s">
        <v>1313</v>
      </c>
      <c r="B33328" s="15" t="s">
        <v>1314</v>
      </c>
      <c r="C33328" s="16" t="s">
        <v>1296</v>
      </c>
      <c r="D33328" s="16" t="s">
        <v>1315</v>
      </c>
      <c r="E33328" s="2">
        <v>1185260</v>
      </c>
      <c r="F33328" s="4" t="str">
        <f>IF(B33328=B33327,"",B33328)</f>
        <v>BhÄtpÄra Abhaynagar</v>
      </c>
    </row>
    <row r="33329" spans="1:6" ht="15.75" customHeight="1">
      <c r="A33329" s="16" t="s">
        <v>10707</v>
      </c>
      <c r="B33329" s="15" t="s">
        <v>10708</v>
      </c>
      <c r="C33329" s="16" t="s">
        <v>10178</v>
      </c>
      <c r="D33329" s="16" t="s">
        <v>10201</v>
      </c>
      <c r="E33329" s="2">
        <v>1276058</v>
      </c>
      <c r="F33329" s="4" t="str">
        <f>IF(B33329=B33328,"",B33329)</f>
        <v>BhÄtpÄra</v>
      </c>
    </row>
    <row r="33330" spans="1:6" ht="15.75" customHeight="1">
      <c r="A33330" s="16" t="s">
        <v>10705</v>
      </c>
      <c r="B33330" s="15" t="s">
        <v>10706</v>
      </c>
      <c r="C33330" s="16" t="s">
        <v>10178</v>
      </c>
      <c r="D33330" s="16" t="s">
        <v>10272</v>
      </c>
      <c r="E33330" s="2">
        <v>1276084</v>
      </c>
      <c r="F33330" s="4" t="str">
        <f>IF(B33330=B33329,"",B33330)</f>
        <v>BhÄtÄpÄra</v>
      </c>
    </row>
    <row r="33331" spans="1:6" ht="15.75" customHeight="1">
      <c r="A33331" s="15" t="s">
        <v>10703</v>
      </c>
      <c r="B33331" s="15" t="s">
        <v>10704</v>
      </c>
      <c r="C33331" s="15" t="s">
        <v>10178</v>
      </c>
      <c r="D33331" s="15" t="s">
        <v>10209</v>
      </c>
      <c r="E33331" s="2">
        <v>1276147</v>
      </c>
      <c r="F33331" s="4" t="str">
        <f>IF(B33331=B33330,"",B33331)</f>
        <v>BhÄnvad</v>
      </c>
    </row>
    <row r="33332" spans="1:6" ht="15.75" customHeight="1">
      <c r="A33332" s="16" t="s">
        <v>10701</v>
      </c>
      <c r="B33332" s="15" t="s">
        <v>10702</v>
      </c>
      <c r="C33332" s="16" t="s">
        <v>10178</v>
      </c>
      <c r="D33332" s="16" t="s">
        <v>10272</v>
      </c>
      <c r="E33332" s="2">
        <v>1276151</v>
      </c>
      <c r="F33332" s="4" t="str">
        <f>IF(B33332=B33331,"",B33332)</f>
        <v>BhÄnpurÄ«</v>
      </c>
    </row>
    <row r="33333" spans="1:6" ht="15.75" customHeight="1">
      <c r="A33333" s="16" t="s">
        <v>10699</v>
      </c>
      <c r="B33333" s="15" t="s">
        <v>10700</v>
      </c>
      <c r="C33333" s="16" t="s">
        <v>10178</v>
      </c>
      <c r="D33333" s="16" t="s">
        <v>10219</v>
      </c>
      <c r="E33333" s="2">
        <v>1276152</v>
      </c>
      <c r="F33333" s="4" t="str">
        <f>IF(B33333=B33332,"",B33333)</f>
        <v>BhÄnpura</v>
      </c>
    </row>
    <row r="33334" spans="1:6" ht="15.75" customHeight="1">
      <c r="A33334" s="15" t="s">
        <v>10697</v>
      </c>
      <c r="B33334" s="15" t="s">
        <v>10698</v>
      </c>
      <c r="C33334" s="15" t="s">
        <v>10178</v>
      </c>
      <c r="D33334" s="15" t="s">
        <v>10219</v>
      </c>
      <c r="E33334" s="2">
        <v>1276178</v>
      </c>
      <c r="F33334" s="4" t="str">
        <f>IF(B33334=B33333,"",B33334)</f>
        <v>BhÄnder</v>
      </c>
    </row>
    <row r="33335" spans="1:6" ht="15.75" customHeight="1">
      <c r="A33335" s="16" t="s">
        <v>1311</v>
      </c>
      <c r="B33335" s="15" t="s">
        <v>1312</v>
      </c>
      <c r="C33335" s="16" t="s">
        <v>1296</v>
      </c>
      <c r="D33335" s="16" t="s">
        <v>1308</v>
      </c>
      <c r="E33335" s="2">
        <v>1477498</v>
      </c>
      <c r="F33335" s="4" t="str">
        <f>IF(B33335=B33334,"",B33335)</f>
        <v>BhÄndÄria</v>
      </c>
    </row>
    <row r="33336" spans="1:6" ht="15.75" customHeight="1">
      <c r="A33336" s="15" t="s">
        <v>19836</v>
      </c>
      <c r="B33336" s="15" t="s">
        <v>19837</v>
      </c>
      <c r="C33336" s="15" t="s">
        <v>19808</v>
      </c>
      <c r="D33336" s="15" t="s">
        <v>19823</v>
      </c>
      <c r="E33336" s="2">
        <v>1182775</v>
      </c>
      <c r="F33336" s="4" t="str">
        <f>IF(B33336=B33335,"",B33336)</f>
        <v>BhÄn</v>
      </c>
    </row>
    <row r="33337" spans="1:6" ht="15.75" customHeight="1">
      <c r="A33337" s="15" t="s">
        <v>10695</v>
      </c>
      <c r="B33337" s="15" t="s">
        <v>10696</v>
      </c>
      <c r="C33337" s="15" t="s">
        <v>10178</v>
      </c>
      <c r="D33337" s="15" t="s">
        <v>10252</v>
      </c>
      <c r="E33337" s="2">
        <v>1276219</v>
      </c>
      <c r="F33337" s="4" t="str">
        <f>IF(B33337=B33336,"",B33337)</f>
        <v>BhÄlki</v>
      </c>
    </row>
    <row r="33338" spans="1:6" ht="15.75" customHeight="1">
      <c r="A33338" s="16" t="s">
        <v>19834</v>
      </c>
      <c r="B33338" s="15" t="s">
        <v>19835</v>
      </c>
      <c r="C33338" s="16" t="s">
        <v>19808</v>
      </c>
      <c r="D33338" s="16" t="s">
        <v>10184</v>
      </c>
      <c r="E33338" s="2">
        <v>1182829</v>
      </c>
      <c r="F33338" s="4" t="str">
        <f>IF(B33338=B33337,"",B33338)</f>
        <v>BhÄi Pheru</v>
      </c>
    </row>
    <row r="33339" spans="1:6" ht="15.75" customHeight="1">
      <c r="A33339" s="16" t="s">
        <v>10693</v>
      </c>
      <c r="B33339" s="15" t="s">
        <v>10694</v>
      </c>
      <c r="C33339" s="16" t="s">
        <v>10178</v>
      </c>
      <c r="D33339" s="16" t="s">
        <v>10317</v>
      </c>
      <c r="E33339" s="2">
        <v>1276300</v>
      </c>
      <c r="F33339" s="4" t="str">
        <f>IF(B33339=B33338,"",B33339)</f>
        <v>BhÄgalpur</v>
      </c>
    </row>
    <row r="33340" spans="1:6" ht="15.75" customHeight="1">
      <c r="A33340" s="15" t="s">
        <v>10691</v>
      </c>
      <c r="B33340" s="15" t="s">
        <v>10692</v>
      </c>
      <c r="C33340" s="15" t="s">
        <v>10178</v>
      </c>
      <c r="D33340" s="15" t="s">
        <v>10179</v>
      </c>
      <c r="E33340" s="2">
        <v>1276330</v>
      </c>
      <c r="F33340" s="4" t="str">
        <f>IF(B33340=B33339,"",B33340)</f>
        <v>BhÄdra</v>
      </c>
    </row>
    <row r="33341" spans="1:6" ht="15.75" customHeight="1">
      <c r="A33341" s="16" t="s">
        <v>10689</v>
      </c>
      <c r="B33341" s="15" t="s">
        <v>10690</v>
      </c>
      <c r="C33341" s="16" t="s">
        <v>10178</v>
      </c>
      <c r="D33341" s="16" t="s">
        <v>10179</v>
      </c>
      <c r="E33341" s="2">
        <v>1276355</v>
      </c>
      <c r="F33341" s="4" t="str">
        <f>IF(B33341=B33340,"",B33341)</f>
        <v>BhÄdÄsar</v>
      </c>
    </row>
    <row r="33342" spans="1:6" ht="15.75" customHeight="1">
      <c r="A33342" s="16" t="s">
        <v>10687</v>
      </c>
      <c r="B33342" s="15" t="s">
        <v>10688</v>
      </c>
      <c r="C33342" s="16" t="s">
        <v>10178</v>
      </c>
      <c r="D33342" s="16" t="s">
        <v>10179</v>
      </c>
      <c r="E33342" s="2">
        <v>1275920</v>
      </c>
      <c r="F33342" s="4" t="str">
        <f>IF(B33342=B33341,"",B33342)</f>
        <v>BhÄ«nmÄl</v>
      </c>
    </row>
    <row r="33343" spans="1:6" ht="15.75" customHeight="1">
      <c r="A33343" s="16" t="s">
        <v>10685</v>
      </c>
      <c r="B33343" s="15" t="s">
        <v>10686</v>
      </c>
      <c r="C33343" s="16" t="s">
        <v>10178</v>
      </c>
      <c r="D33343" s="16" t="s">
        <v>10190</v>
      </c>
      <c r="E33343" s="2">
        <v>1275930</v>
      </c>
      <c r="F33343" s="4" t="str">
        <f>IF(B33343=B33342,"",B33343)</f>
        <v>BhÄ«munipatnam</v>
      </c>
    </row>
    <row r="33344" spans="1:6" ht="15.75" customHeight="1">
      <c r="A33344" s="16" t="s">
        <v>10683</v>
      </c>
      <c r="B33344" s="15" t="s">
        <v>10684</v>
      </c>
      <c r="C33344" s="16" t="s">
        <v>10178</v>
      </c>
      <c r="D33344" s="16" t="s">
        <v>10190</v>
      </c>
      <c r="E33344" s="2">
        <v>1275947</v>
      </c>
      <c r="F33344" s="4" t="str">
        <f>IF(B33344=B33343,"",B33344)</f>
        <v>BhÄ«mavaram</v>
      </c>
    </row>
    <row r="33345" spans="1:6" ht="15.75" customHeight="1">
      <c r="A33345" s="15" t="s">
        <v>10681</v>
      </c>
      <c r="B33345" s="15" t="s">
        <v>10682</v>
      </c>
      <c r="C33345" s="15" t="s">
        <v>10178</v>
      </c>
      <c r="D33345" s="15" t="s">
        <v>10214</v>
      </c>
      <c r="E33345" s="2">
        <v>1275804</v>
      </c>
      <c r="F33345" s="4" t="str">
        <f>IF(B33345=B33344,"",B33345)</f>
        <v>BhÅ«m</v>
      </c>
    </row>
    <row r="33346" spans="1:6" ht="15.75" customHeight="1">
      <c r="A33346" s="16" t="s">
        <v>10679</v>
      </c>
      <c r="B33346" s="15" t="s">
        <v>10680</v>
      </c>
      <c r="C33346" s="16" t="s">
        <v>10178</v>
      </c>
      <c r="D33346" s="16" t="s">
        <v>10179</v>
      </c>
      <c r="E33346" s="2">
        <v>1275960</v>
      </c>
      <c r="F33346" s="4" t="str">
        <f>IF(B33346=B33345,"",B33346)</f>
        <v>BhÄ«lwÄra</v>
      </c>
    </row>
    <row r="33347" spans="1:6" ht="15.75" customHeight="1">
      <c r="A33347" s="15" t="s">
        <v>10677</v>
      </c>
      <c r="B33347" s="15" t="s">
        <v>10678</v>
      </c>
      <c r="C33347" s="15" t="s">
        <v>10178</v>
      </c>
      <c r="D33347" s="15" t="s">
        <v>10184</v>
      </c>
      <c r="E33347" s="2">
        <v>1275977</v>
      </c>
      <c r="F33347" s="4" t="e">
        <f>IF(B33347=#REF!,"",B33347)</f>
        <v>#REF!</v>
      </c>
    </row>
    <row r="33348" spans="1:6" ht="15.75" customHeight="1">
      <c r="A33348" s="15" t="s">
        <v>7163</v>
      </c>
      <c r="B33348" s="15" t="s">
        <v>7163</v>
      </c>
      <c r="C33348" s="15" t="s">
        <v>7052</v>
      </c>
      <c r="D33348" s="15" t="s">
        <v>7058</v>
      </c>
      <c r="E33348" s="2">
        <v>3032824</v>
      </c>
      <c r="F33348" s="4" t="str">
        <f>IF(B33348=B33347,"",B33348)</f>
        <v>Bezons</v>
      </c>
    </row>
    <row r="33349" spans="1:6" ht="15.75" customHeight="1">
      <c r="A33349" s="16" t="str">
        <f ca="1">IFERROR(__xludf.DUMMYFUNCTION("GOOGLETRANSLATE(B30223,""en"",""pt"")"),"Béziers")</f>
        <v>Béziers</v>
      </c>
      <c r="B33349" s="20" t="s">
        <v>32640</v>
      </c>
      <c r="C33349" s="20" t="s">
        <v>7052</v>
      </c>
      <c r="D33349" s="20" t="s">
        <v>32547</v>
      </c>
      <c r="E33349" s="10">
        <v>3032833</v>
      </c>
      <c r="F33349" s="4" t="e">
        <f>IF(B33349=#REF!,"",B33349)</f>
        <v>#REF!</v>
      </c>
    </row>
    <row r="33350" spans="1:6" ht="15.75" customHeight="1">
      <c r="A33350" s="15" t="s">
        <v>22228</v>
      </c>
      <c r="B33350" s="15" t="s">
        <v>22228</v>
      </c>
      <c r="C33350" s="15" t="s">
        <v>22070</v>
      </c>
      <c r="D33350" s="15" t="s">
        <v>22229</v>
      </c>
      <c r="E33350" s="2">
        <v>576566</v>
      </c>
      <c r="F33350" s="4" t="e">
        <f>IF(B33350=#REF!,"",B33350)</f>
        <v>#REF!</v>
      </c>
    </row>
    <row r="33351" spans="1:6" ht="15.75" customHeight="1">
      <c r="A33351" s="15" t="s">
        <v>2124</v>
      </c>
      <c r="B33351" s="15" t="s">
        <v>2124</v>
      </c>
      <c r="C33351" s="15" t="s">
        <v>1905</v>
      </c>
      <c r="D33351" s="15" t="s">
        <v>1909</v>
      </c>
      <c r="E33351" s="2">
        <v>3405738</v>
      </c>
      <c r="F33351" s="4" t="e">
        <f>IF(B33351=#REF!,"",B33351)</f>
        <v>#REF!</v>
      </c>
    </row>
    <row r="33352" spans="1:6" ht="15.75" customHeight="1">
      <c r="A33352" s="16" t="s">
        <v>22226</v>
      </c>
      <c r="B33352" s="15" t="s">
        <v>22226</v>
      </c>
      <c r="C33352" s="16" t="s">
        <v>22070</v>
      </c>
      <c r="D33352" s="16" t="s">
        <v>22227</v>
      </c>
      <c r="E33352" s="2">
        <v>576590</v>
      </c>
      <c r="F33352" s="4" t="str">
        <f>IF(B33352=B33351,"",B33352)</f>
        <v>Bezenchuk</v>
      </c>
    </row>
    <row r="33353" spans="1:6" ht="15.75" customHeight="1">
      <c r="A33353" s="16" t="str">
        <f ca="1">IFERROR(__xludf.DUMMYFUNCTION("GOOGLETRANSLATE(B42052,""en"",""pt"")"),"Beyşehir")</f>
        <v>Beyşehir</v>
      </c>
      <c r="B33353" s="20" t="s">
        <v>35899</v>
      </c>
      <c r="C33353" s="20" t="s">
        <v>26201</v>
      </c>
      <c r="D33353" s="20" t="s">
        <v>26265</v>
      </c>
      <c r="E33353" s="10">
        <v>321191</v>
      </c>
      <c r="F33353" s="4" t="e">
        <f>IF(B33353=#REF!,"",B33353)</f>
        <v>#REF!</v>
      </c>
    </row>
    <row r="33354" spans="1:6" ht="15.75" customHeight="1">
      <c r="A33354" s="15" t="s">
        <v>10676</v>
      </c>
      <c r="B33354" s="15" t="s">
        <v>10676</v>
      </c>
      <c r="C33354" s="15" t="s">
        <v>10178</v>
      </c>
      <c r="D33354" s="15" t="s">
        <v>10246</v>
      </c>
      <c r="E33354" s="2">
        <v>1276378</v>
      </c>
      <c r="F33354" s="4" t="str">
        <f>IF(B33354=B33353,"",B33354)</f>
        <v>Beypore</v>
      </c>
    </row>
    <row r="33355" spans="1:6" ht="15.75" customHeight="1">
      <c r="A33355" s="16" t="str">
        <f ca="1">IFERROR(__xludf.DUMMYFUNCTION("GOOGLETRANSLATE(B42209,""en"",""pt"")"),"Beyparzarı")</f>
        <v>Beyparzarı</v>
      </c>
      <c r="B33355" s="20" t="s">
        <v>35961</v>
      </c>
      <c r="C33355" s="20" t="s">
        <v>26201</v>
      </c>
      <c r="D33355" s="20" t="s">
        <v>26229</v>
      </c>
      <c r="E33355" s="10">
        <v>750637</v>
      </c>
      <c r="F33355" s="4" t="str">
        <f>IF(B33355=B33354,"",B33355)</f>
        <v>Beypazarı</v>
      </c>
    </row>
    <row r="33356" spans="1:6" ht="15.75" customHeight="1">
      <c r="A33356" s="16" t="s">
        <v>26396</v>
      </c>
      <c r="B33356" s="15" t="s">
        <v>26397</v>
      </c>
      <c r="C33356" s="16" t="s">
        <v>26201</v>
      </c>
      <c r="D33356" s="16" t="s">
        <v>26229</v>
      </c>
      <c r="E33356" s="2">
        <v>750637</v>
      </c>
      <c r="F33356" s="4" t="str">
        <f>IF(B33356=B33355,"",B33356)</f>
        <v>BeypazarÄ±</v>
      </c>
    </row>
    <row r="33357" spans="1:6" ht="15.75" customHeight="1">
      <c r="A33357" s="16" t="str">
        <f ca="1">IFERROR(__xludf.DUMMYFUNCTION("GOOGLETRANSLATE(B42237,""en"",""pt"")"),"Beylikdüzü")</f>
        <v>Beylikdüzü</v>
      </c>
      <c r="B33357" s="20" t="s">
        <v>35976</v>
      </c>
      <c r="C33357" s="20" t="s">
        <v>26201</v>
      </c>
      <c r="D33357" s="20" t="s">
        <v>26211</v>
      </c>
      <c r="E33357" s="10">
        <v>6947640</v>
      </c>
      <c r="F33357" s="4" t="str">
        <f>IF(B33357=B33356,"",B33357)</f>
        <v>Beylikdüzü</v>
      </c>
    </row>
    <row r="33358" spans="1:6" ht="15.75" customHeight="1">
      <c r="A33358" s="16" t="s">
        <v>26394</v>
      </c>
      <c r="B33358" s="15" t="s">
        <v>26395</v>
      </c>
      <c r="C33358" s="16" t="s">
        <v>26201</v>
      </c>
      <c r="D33358" s="16" t="s">
        <v>26211</v>
      </c>
      <c r="E33358" s="2">
        <v>6947640</v>
      </c>
      <c r="F33358" s="4" t="e">
        <f>IF(B33358=#REF!,"",B33358)</f>
        <v>#REF!</v>
      </c>
    </row>
    <row r="33359" spans="1:6" ht="15.75" customHeight="1">
      <c r="A33359" s="15" t="s">
        <v>1190</v>
      </c>
      <c r="B33359" s="15" t="s">
        <v>1190</v>
      </c>
      <c r="C33359" s="15" t="s">
        <v>1170</v>
      </c>
      <c r="D33359" s="15" t="s">
        <v>1191</v>
      </c>
      <c r="E33359" s="2">
        <v>148354</v>
      </c>
      <c r="F33359" s="4" t="e">
        <f>IF(B33359=#REF!,"",B33359)</f>
        <v>#REF!</v>
      </c>
    </row>
    <row r="33360" spans="1:6" ht="15.75" customHeight="1">
      <c r="A33360" s="15" t="s">
        <v>26393</v>
      </c>
      <c r="B33360" s="15" t="s">
        <v>26393</v>
      </c>
      <c r="C33360" s="15" t="s">
        <v>26201</v>
      </c>
      <c r="D33360" s="15" t="s">
        <v>26308</v>
      </c>
      <c r="E33360" s="2">
        <v>305680</v>
      </c>
      <c r="F33360" s="4" t="str">
        <f>IF(B33360=B33359,"",B33360)</f>
        <v>Beykonak</v>
      </c>
    </row>
    <row r="33361" spans="1:6" ht="15.75" customHeight="1">
      <c r="A33361" s="15" t="s">
        <v>26391</v>
      </c>
      <c r="B33361" s="15" t="s">
        <v>26392</v>
      </c>
      <c r="C33361" s="15" t="s">
        <v>26201</v>
      </c>
      <c r="D33361" s="15" t="s">
        <v>26265</v>
      </c>
      <c r="E33361" s="2">
        <v>321191</v>
      </c>
      <c r="F33361" s="4" t="e">
        <f>IF(B33361=#REF!,"",B33361)</f>
        <v>#REF!</v>
      </c>
    </row>
    <row r="33362" spans="1:6" ht="15.75" customHeight="1">
      <c r="A33362" s="15" t="s">
        <v>27311</v>
      </c>
      <c r="B33362" s="15" t="s">
        <v>27311</v>
      </c>
      <c r="C33362" s="15" t="s">
        <v>27234</v>
      </c>
      <c r="D33362" s="15" t="s">
        <v>27241</v>
      </c>
      <c r="E33362" s="2">
        <v>2655775</v>
      </c>
      <c r="F33362" s="4" t="e">
        <f>IF(B33362=#REF!,"",B33362)</f>
        <v>#REF!</v>
      </c>
    </row>
    <row r="33363" spans="1:6" ht="15.75" customHeight="1">
      <c r="A33363" s="16" t="s">
        <v>27310</v>
      </c>
      <c r="B33363" s="15" t="s">
        <v>27310</v>
      </c>
      <c r="C33363" s="16" t="s">
        <v>27234</v>
      </c>
      <c r="D33363" s="16" t="s">
        <v>27241</v>
      </c>
      <c r="E33363" s="2">
        <v>2655777</v>
      </c>
      <c r="F33363" s="4" t="e">
        <f>IF(B33363=#REF!,"",B33363)</f>
        <v>#REF!</v>
      </c>
    </row>
    <row r="33364" spans="1:6" ht="15.75" customHeight="1">
      <c r="A33364" s="15" t="s">
        <v>8198</v>
      </c>
      <c r="B33364" s="15" t="s">
        <v>8198</v>
      </c>
      <c r="C33364" s="15" t="s">
        <v>8028</v>
      </c>
      <c r="D33364" s="15" t="s">
        <v>8177</v>
      </c>
      <c r="E33364" s="2">
        <v>2949470</v>
      </c>
      <c r="F33364" s="4" t="e">
        <f>IF(B33364=#REF!,"",B33364)</f>
        <v>#REF!</v>
      </c>
    </row>
    <row r="33365" spans="1:6" ht="15.75" customHeight="1">
      <c r="A33365" s="15" t="s">
        <v>10675</v>
      </c>
      <c r="B33365" s="15" t="s">
        <v>10675</v>
      </c>
      <c r="C33365" s="15" t="s">
        <v>10178</v>
      </c>
      <c r="D33365" s="15" t="s">
        <v>10193</v>
      </c>
      <c r="E33365" s="2">
        <v>1276381</v>
      </c>
      <c r="F33365" s="4" t="e">
        <f>IF(B33365=#REF!,"",B33365)</f>
        <v>#REF!</v>
      </c>
    </row>
    <row r="33366" spans="1:6" ht="15.75" customHeight="1">
      <c r="A33366" s="15" t="s">
        <v>18903</v>
      </c>
      <c r="B33366" s="15" t="s">
        <v>18903</v>
      </c>
      <c r="C33366" s="15" t="s">
        <v>18862</v>
      </c>
      <c r="D33366" s="15" t="s">
        <v>18863</v>
      </c>
      <c r="E33366" s="2">
        <v>2758998</v>
      </c>
      <c r="F33366" s="4" t="e">
        <f>IF(B33366=#REF!,"",B33366)</f>
        <v>#REF!</v>
      </c>
    </row>
    <row r="33367" spans="1:6" ht="15.75" customHeight="1">
      <c r="A33367" s="16" t="s">
        <v>8197</v>
      </c>
      <c r="B33367" s="15" t="s">
        <v>8197</v>
      </c>
      <c r="C33367" s="16" t="s">
        <v>8028</v>
      </c>
      <c r="D33367" s="16" t="s">
        <v>8029</v>
      </c>
      <c r="E33367" s="2">
        <v>2949475</v>
      </c>
      <c r="F33367" s="4" t="e">
        <f>IF(B33367=#REF!,"",B33367)</f>
        <v>#REF!</v>
      </c>
    </row>
    <row r="33368" spans="1:6" ht="15.75" customHeight="1">
      <c r="A33368" s="16" t="s">
        <v>28032</v>
      </c>
      <c r="B33368" s="15" t="s">
        <v>28032</v>
      </c>
      <c r="C33368" s="16" t="s">
        <v>27788</v>
      </c>
      <c r="D33368" s="16" t="s">
        <v>27801</v>
      </c>
      <c r="E33368" s="2">
        <v>5328041</v>
      </c>
      <c r="F33368" s="4" t="e">
        <f>IF(B33368=#REF!,"",B33368)</f>
        <v>#REF!</v>
      </c>
    </row>
    <row r="33369" spans="1:6" ht="15.75" customHeight="1">
      <c r="A33369" s="16" t="s">
        <v>28031</v>
      </c>
      <c r="B33369" s="15" t="s">
        <v>28031</v>
      </c>
      <c r="C33369" s="16" t="s">
        <v>27788</v>
      </c>
      <c r="D33369" s="16" t="s">
        <v>27794</v>
      </c>
      <c r="E33369" s="2">
        <v>4930511</v>
      </c>
      <c r="F33369" s="4" t="e">
        <f>IF(B33369=#REF!,"",B33369)</f>
        <v>#REF!</v>
      </c>
    </row>
    <row r="33370" spans="1:6" ht="15.75" customHeight="1">
      <c r="A33370" s="15" t="s">
        <v>28030</v>
      </c>
      <c r="B33370" s="15" t="s">
        <v>28030</v>
      </c>
      <c r="C33370" s="15" t="s">
        <v>27788</v>
      </c>
      <c r="D33370" s="15" t="s">
        <v>27794</v>
      </c>
      <c r="E33370" s="2">
        <v>4930505</v>
      </c>
      <c r="F33370" s="4" t="e">
        <f>IF(B33370=#REF!,"",B33370)</f>
        <v>#REF!</v>
      </c>
    </row>
    <row r="33371" spans="1:6" ht="15.75" customHeight="1">
      <c r="A33371" s="15" t="s">
        <v>27309</v>
      </c>
      <c r="B33371" s="15" t="s">
        <v>27309</v>
      </c>
      <c r="C33371" s="15" t="s">
        <v>27234</v>
      </c>
      <c r="D33371" s="15" t="s">
        <v>27241</v>
      </c>
      <c r="E33371" s="2">
        <v>2655785</v>
      </c>
      <c r="F33371" s="4" t="e">
        <f>IF(B33371=#REF!,"",B33371)</f>
        <v>#REF!</v>
      </c>
    </row>
    <row r="33372" spans="1:6" ht="15.75" customHeight="1">
      <c r="A33372" s="15" t="s">
        <v>1529</v>
      </c>
      <c r="B33372" s="15" t="s">
        <v>1529</v>
      </c>
      <c r="C33372" s="15" t="s">
        <v>1512</v>
      </c>
      <c r="D33372" s="15" t="s">
        <v>1513</v>
      </c>
      <c r="E33372" s="2">
        <v>2802031</v>
      </c>
      <c r="F33372" s="4" t="e">
        <f>IF(B33372=#REF!,"",B33372)</f>
        <v>#REF!</v>
      </c>
    </row>
    <row r="33373" spans="1:6" ht="15.75" customHeight="1">
      <c r="A33373" s="16" t="s">
        <v>18902</v>
      </c>
      <c r="B33373" s="15" t="s">
        <v>18902</v>
      </c>
      <c r="C33373" s="16" t="s">
        <v>18862</v>
      </c>
      <c r="D33373" s="16" t="s">
        <v>18865</v>
      </c>
      <c r="E33373" s="2">
        <v>2759016</v>
      </c>
      <c r="F33373" s="4" t="str">
        <f>IF(B33373=B33372,"",B33373)</f>
        <v>Beuningen</v>
      </c>
    </row>
    <row r="33374" spans="1:6" ht="15.75" customHeight="1">
      <c r="A33374" s="16" t="str">
        <f ca="1">IFERROR(__xludf.DUMMYFUNCTION("GOOGLETRANSLATE(B33892,""en"",""pt"")"),"Betūl")</f>
        <v>Betūl</v>
      </c>
      <c r="B33374" s="20" t="s">
        <v>33916</v>
      </c>
      <c r="C33374" s="20" t="s">
        <v>10178</v>
      </c>
      <c r="D33374" s="20" t="s">
        <v>10219</v>
      </c>
      <c r="E33374" s="10">
        <v>1276389</v>
      </c>
      <c r="F33374" s="4" t="e">
        <f>IF(B33374=#REF!,"",B33374)</f>
        <v>#REF!</v>
      </c>
    </row>
    <row r="33375" spans="1:6" ht="15.75" customHeight="1">
      <c r="A33375" s="15" t="s">
        <v>10674</v>
      </c>
      <c r="B33375" s="15" t="s">
        <v>10674</v>
      </c>
      <c r="C33375" s="15" t="s">
        <v>10178</v>
      </c>
      <c r="D33375" s="15" t="s">
        <v>10317</v>
      </c>
      <c r="E33375" s="2">
        <v>1276393</v>
      </c>
      <c r="F33375" s="4" t="e">
        <f>IF(B33375=#REF!,"",B33375)</f>
        <v>#REF!</v>
      </c>
    </row>
    <row r="33376" spans="1:6" ht="15.75" customHeight="1">
      <c r="A33376" s="16" t="s">
        <v>28029</v>
      </c>
      <c r="B33376" s="15" t="s">
        <v>28029</v>
      </c>
      <c r="C33376" s="16" t="s">
        <v>27788</v>
      </c>
      <c r="D33376" s="16" t="s">
        <v>27859</v>
      </c>
      <c r="E33376" s="2">
        <v>4848489</v>
      </c>
      <c r="F33376" s="4" t="e">
        <f>IF(B33376=#REF!,"",B33376)</f>
        <v>#REF!</v>
      </c>
    </row>
    <row r="33377" spans="1:6" ht="15.75" customHeight="1">
      <c r="A33377" s="15" t="s">
        <v>25848</v>
      </c>
      <c r="B33377" s="15" t="s">
        <v>25848</v>
      </c>
      <c r="C33377" s="15" t="s">
        <v>25771</v>
      </c>
      <c r="D33377" s="15" t="s">
        <v>25849</v>
      </c>
      <c r="E33377" s="2">
        <v>1611635</v>
      </c>
      <c r="F33377" s="4" t="e">
        <f>IF(B33377=#REF!,"",B33377)</f>
        <v>#REF!</v>
      </c>
    </row>
    <row r="33378" spans="1:6" ht="15.75" customHeight="1">
      <c r="A33378" s="15" t="s">
        <v>17349</v>
      </c>
      <c r="B33378" s="15" t="s">
        <v>17349</v>
      </c>
      <c r="C33378" s="15" t="s">
        <v>17292</v>
      </c>
      <c r="D33378" s="15" t="s">
        <v>17320</v>
      </c>
      <c r="E33378" s="2">
        <v>1066310</v>
      </c>
      <c r="F33378" s="4" t="e">
        <f>IF(B33378=#REF!,"",B33378)</f>
        <v>#REF!</v>
      </c>
    </row>
    <row r="33379" spans="1:6" ht="15.75" customHeight="1">
      <c r="A33379" s="15" t="s">
        <v>2122</v>
      </c>
      <c r="B33379" s="15" t="s">
        <v>2123</v>
      </c>
      <c r="C33379" s="15" t="s">
        <v>1905</v>
      </c>
      <c r="D33379" s="15" t="s">
        <v>1917</v>
      </c>
      <c r="E33379" s="2">
        <v>3470044</v>
      </c>
      <c r="F33379" s="4" t="str">
        <f>IF(B33379=B33378,"",B33379)</f>
        <v>Betim</v>
      </c>
    </row>
    <row r="33380" spans="1:6" ht="15.75" customHeight="1">
      <c r="A33380" s="16" t="str">
        <f ca="1">IFERROR(__xludf.DUMMYFUNCTION("GOOGLETRANSLATE(B30224,""en"",""pt"")"),"Béthune")</f>
        <v>Béthune</v>
      </c>
      <c r="B33380" s="20" t="s">
        <v>32641</v>
      </c>
      <c r="C33380" s="20" t="s">
        <v>7052</v>
      </c>
      <c r="D33380" s="20" t="s">
        <v>7078</v>
      </c>
      <c r="E33380" s="10">
        <v>3033002</v>
      </c>
      <c r="F33380" s="4" t="e">
        <f>IF(B33380=#REF!,"",B33380)</f>
        <v>#REF!</v>
      </c>
    </row>
    <row r="33381" spans="1:6" ht="15.75" customHeight="1">
      <c r="A33381" s="15" t="s">
        <v>28028</v>
      </c>
      <c r="B33381" s="15" t="s">
        <v>28028</v>
      </c>
      <c r="C33381" s="15" t="s">
        <v>27788</v>
      </c>
      <c r="D33381" s="15" t="s">
        <v>27819</v>
      </c>
      <c r="E33381" s="2">
        <v>5108955</v>
      </c>
      <c r="F33381" s="4" t="e">
        <f>IF(B33381=#REF!,"",B33381)</f>
        <v>#REF!</v>
      </c>
    </row>
    <row r="33382" spans="1:6" ht="15.75" customHeight="1">
      <c r="A33382" s="16" t="s">
        <v>27308</v>
      </c>
      <c r="B33382" s="15" t="s">
        <v>27308</v>
      </c>
      <c r="C33382" s="16" t="s">
        <v>27234</v>
      </c>
      <c r="D33382" s="16" t="s">
        <v>27241</v>
      </c>
      <c r="E33382" s="2">
        <v>6690989</v>
      </c>
      <c r="F33382" s="4" t="e">
        <f>IF(B33382=#REF!,"",B33382)</f>
        <v>#REF!</v>
      </c>
    </row>
    <row r="33383" spans="1:6" ht="15.75" customHeight="1">
      <c r="A33383" s="15" t="s">
        <v>20337</v>
      </c>
      <c r="B33383" s="15" t="s">
        <v>20338</v>
      </c>
      <c r="C33383" s="15" t="s">
        <v>20297</v>
      </c>
      <c r="D33383" s="15" t="s">
        <v>20298</v>
      </c>
      <c r="E33383" s="2">
        <v>284315</v>
      </c>
      <c r="F33383" s="4" t="e">
        <f>IF(B33383=#REF!,"",B33383)</f>
        <v>#REF!</v>
      </c>
    </row>
    <row r="33384" spans="1:6" ht="15.75" customHeight="1">
      <c r="A33384" s="15" t="s">
        <v>28027</v>
      </c>
      <c r="B33384" s="15" t="s">
        <v>28027</v>
      </c>
      <c r="C33384" s="15" t="s">
        <v>27788</v>
      </c>
      <c r="D33384" s="15" t="s">
        <v>17061</v>
      </c>
      <c r="E33384" s="2">
        <v>4348599</v>
      </c>
      <c r="F33384" s="4" t="e">
        <f>IF(B33384=#REF!,"",B33384)</f>
        <v>#REF!</v>
      </c>
    </row>
    <row r="33385" spans="1:6" ht="15.75" customHeight="1">
      <c r="A33385" s="16" t="s">
        <v>28026</v>
      </c>
      <c r="B33385" s="15" t="s">
        <v>28026</v>
      </c>
      <c r="C33385" s="16" t="s">
        <v>27788</v>
      </c>
      <c r="D33385" s="16" t="s">
        <v>27836</v>
      </c>
      <c r="E33385" s="2">
        <v>5180199</v>
      </c>
      <c r="F33385" s="4" t="e">
        <f>IF(B33385=#REF!,"",B33385)</f>
        <v>#REF!</v>
      </c>
    </row>
    <row r="33386" spans="1:6" ht="15.75" customHeight="1">
      <c r="A33386" s="15" t="s">
        <v>28024</v>
      </c>
      <c r="B33386" s="15" t="s">
        <v>28025</v>
      </c>
      <c r="C33386" s="15" t="s">
        <v>27788</v>
      </c>
      <c r="D33386" s="15" t="s">
        <v>27797</v>
      </c>
      <c r="E33386" s="2">
        <v>4530372</v>
      </c>
      <c r="F33386" s="4" t="e">
        <f>IF(B33386=#REF!,"",B33386)</f>
        <v>#REF!</v>
      </c>
    </row>
    <row r="33387" spans="1:6" ht="15.75" customHeight="1">
      <c r="A33387" s="15" t="s">
        <v>23856</v>
      </c>
      <c r="B33387" s="15" t="s">
        <v>23856</v>
      </c>
      <c r="C33387" s="15" t="s">
        <v>23842</v>
      </c>
      <c r="D33387" s="15" t="s">
        <v>23849</v>
      </c>
      <c r="E33387" s="2">
        <v>1019760</v>
      </c>
      <c r="F33387" s="4" t="str">
        <f>IF(B33387=B33386,"",B33387)</f>
        <v>Bethal</v>
      </c>
    </row>
    <row r="33388" spans="1:6" ht="15.75" customHeight="1">
      <c r="A33388" s="16" t="str">
        <f ca="1">IFERROR(__xludf.DUMMYFUNCTION("GOOGLETRANSLATE(B29171,""en"",""pt"")"),"Bétera")</f>
        <v>Bétera</v>
      </c>
      <c r="B33388" s="20" t="s">
        <v>32394</v>
      </c>
      <c r="C33388" s="20" t="s">
        <v>24200</v>
      </c>
      <c r="D33388" s="20" t="s">
        <v>21053</v>
      </c>
      <c r="E33388" s="10">
        <v>2520968</v>
      </c>
      <c r="F33388" s="4" t="e">
        <f>IF(B33388=#REF!,"",B33388)</f>
        <v>#REF!</v>
      </c>
    </row>
    <row r="33389" spans="1:6" ht="15.75" customHeight="1">
      <c r="A33389" s="16" t="s">
        <v>10673</v>
      </c>
      <c r="B33389" s="15" t="s">
        <v>10673</v>
      </c>
      <c r="C33389" s="16" t="s">
        <v>10178</v>
      </c>
      <c r="D33389" s="16" t="s">
        <v>10190</v>
      </c>
      <c r="E33389" s="2">
        <v>1276416</v>
      </c>
      <c r="F33389" s="4" t="e">
        <f>IF(B33389=#REF!,"",B33389)</f>
        <v>#REF!</v>
      </c>
    </row>
    <row r="33390" spans="1:6" ht="15.75" customHeight="1">
      <c r="A33390" s="15" t="s">
        <v>17348</v>
      </c>
      <c r="B33390" s="15" t="s">
        <v>17348</v>
      </c>
      <c r="C33390" s="15" t="s">
        <v>17292</v>
      </c>
      <c r="D33390" s="15" t="s">
        <v>17304</v>
      </c>
      <c r="E33390" s="2">
        <v>1066514</v>
      </c>
      <c r="F33390" s="4" t="str">
        <f>IF(B33390=B33389,"",B33390)</f>
        <v>Betafo</v>
      </c>
    </row>
    <row r="33391" spans="1:6" ht="15.75" customHeight="1">
      <c r="A33391" s="15" t="s">
        <v>10671</v>
      </c>
      <c r="B33391" s="15" t="s">
        <v>10672</v>
      </c>
      <c r="C33391" s="15" t="s">
        <v>10178</v>
      </c>
      <c r="D33391" s="15" t="s">
        <v>10219</v>
      </c>
      <c r="E33391" s="2">
        <v>1276389</v>
      </c>
      <c r="F33391" s="4" t="e">
        <f>IF(B33391=#REF!,"",B33391)</f>
        <v>#REF!</v>
      </c>
    </row>
    <row r="33392" spans="1:6" ht="15.75" customHeight="1">
      <c r="A33392" s="16" t="s">
        <v>14792</v>
      </c>
      <c r="B33392" s="15" t="s">
        <v>14793</v>
      </c>
      <c r="C33392" s="16" t="s">
        <v>14773</v>
      </c>
      <c r="D33392" s="16" t="s">
        <v>14781</v>
      </c>
      <c r="E33392" s="2">
        <v>295432</v>
      </c>
      <c r="F33392" s="4" t="str">
        <f>IF(B33392=B33391,"",B33392)</f>
        <v>Bet Shemesh</v>
      </c>
    </row>
    <row r="33393" spans="1:6" ht="15.75" customHeight="1">
      <c r="A33393" s="16" t="s">
        <v>14790</v>
      </c>
      <c r="B33393" s="15" t="s">
        <v>14791</v>
      </c>
      <c r="C33393" s="16" t="s">
        <v>14773</v>
      </c>
      <c r="D33393" s="16" t="s">
        <v>14774</v>
      </c>
      <c r="E33393" s="2">
        <v>295435</v>
      </c>
      <c r="F33393" s="4" t="str">
        <f>IF(B33393=B33392,"",B33393)</f>
        <v>Bet Sheâ€™an</v>
      </c>
    </row>
    <row r="33394" spans="1:6" ht="15.75" customHeight="1">
      <c r="A33394" s="16" t="str">
        <f ca="1">IFERROR(__xludf.DUMMYFUNCTION("GOOGLETRANSLATE(B31815,""en"",""pt"")"),"Aposto que ela é")</f>
        <v>Aposto que ela é</v>
      </c>
      <c r="B33394" s="20" t="s">
        <v>32932</v>
      </c>
      <c r="C33394" s="20" t="s">
        <v>14773</v>
      </c>
      <c r="D33394" s="20" t="s">
        <v>14774</v>
      </c>
      <c r="E33394" s="10">
        <v>295435</v>
      </c>
      <c r="F33394" s="4" t="e">
        <f>IF(B33394=#REF!,"",B33394)</f>
        <v>#REF!</v>
      </c>
    </row>
    <row r="33395" spans="1:6" ht="15.75" customHeight="1">
      <c r="A33395" s="15" t="s">
        <v>13852</v>
      </c>
      <c r="B33395" s="15" t="s">
        <v>13852</v>
      </c>
      <c r="C33395" s="15" t="s">
        <v>13800</v>
      </c>
      <c r="D33395" s="15" t="s">
        <v>13816</v>
      </c>
      <c r="E33395" s="2">
        <v>1648918</v>
      </c>
      <c r="F33395" s="4" t="e">
        <f>IF(B33395=#REF!,"",B33395)</f>
        <v>#REF!</v>
      </c>
    </row>
    <row r="33396" spans="1:6" ht="15.75" customHeight="1">
      <c r="A33396" s="15" t="s">
        <v>18900</v>
      </c>
      <c r="B33396" s="15" t="s">
        <v>18901</v>
      </c>
      <c r="C33396" s="15" t="s">
        <v>18862</v>
      </c>
      <c r="D33396" s="15" t="s">
        <v>18888</v>
      </c>
      <c r="E33396" s="2">
        <v>2759040</v>
      </c>
      <c r="F33396" s="4" t="e">
        <f>IF(B33396=#REF!,"",B33396)</f>
        <v>#REF!</v>
      </c>
    </row>
    <row r="33397" spans="1:6" ht="15.75" customHeight="1">
      <c r="A33397" s="15" t="s">
        <v>28022</v>
      </c>
      <c r="B33397" s="15" t="s">
        <v>28022</v>
      </c>
      <c r="C33397" s="15" t="s">
        <v>27788</v>
      </c>
      <c r="D33397" s="15" t="s">
        <v>28023</v>
      </c>
      <c r="E33397" s="2">
        <v>4048023</v>
      </c>
      <c r="F33397" s="4" t="e">
        <f>IF(B33397=#REF!,"",B33397)</f>
        <v>#REF!</v>
      </c>
    </row>
    <row r="33398" spans="1:6" ht="15.75" customHeight="1">
      <c r="A33398" s="15" t="s">
        <v>26390</v>
      </c>
      <c r="B33398" s="15" t="s">
        <v>26390</v>
      </c>
      <c r="C33398" s="15" t="s">
        <v>26201</v>
      </c>
      <c r="D33398" s="15" t="s">
        <v>26272</v>
      </c>
      <c r="E33398" s="2">
        <v>321337</v>
      </c>
      <c r="F33398" s="4" t="e">
        <f>IF(B33398=#REF!,"",B33398)</f>
        <v>#REF!</v>
      </c>
    </row>
    <row r="33399" spans="1:6" ht="15.75" customHeight="1">
      <c r="A33399" s="15" t="s">
        <v>22225</v>
      </c>
      <c r="B33399" s="15" t="s">
        <v>22225</v>
      </c>
      <c r="C33399" s="15" t="s">
        <v>22070</v>
      </c>
      <c r="D33399" s="15" t="s">
        <v>22104</v>
      </c>
      <c r="E33399" s="2">
        <v>576697</v>
      </c>
      <c r="F33399" s="4" t="str">
        <f>IF(B33399=B33398,"",B33399)</f>
        <v>Beslan</v>
      </c>
    </row>
    <row r="33400" spans="1:6" ht="15.75" customHeight="1">
      <c r="A33400" s="16" t="str">
        <f ca="1">IFERROR(__xludf.DUMMYFUNCTION("GOOGLETRANSLATE(B42210,""en"",""pt"")"),"Beşikdüzü")</f>
        <v>Beşikdüzü</v>
      </c>
      <c r="B33400" s="20" t="s">
        <v>35962</v>
      </c>
      <c r="C33400" s="20" t="s">
        <v>26201</v>
      </c>
      <c r="D33400" s="20" t="s">
        <v>26286</v>
      </c>
      <c r="E33400" s="10">
        <v>750735</v>
      </c>
      <c r="F33400" s="4" t="e">
        <f>IF(B33400=#REF!,"",B33400)</f>
        <v>#REF!</v>
      </c>
    </row>
    <row r="33401" spans="1:6" ht="15.75" customHeight="1">
      <c r="A33401" s="15" t="s">
        <v>30514</v>
      </c>
      <c r="B33401" s="15" t="s">
        <v>30514</v>
      </c>
      <c r="C33401" s="15" t="s">
        <v>30502</v>
      </c>
      <c r="D33401" s="15" t="s">
        <v>30515</v>
      </c>
      <c r="E33401" s="2">
        <v>1217703</v>
      </c>
      <c r="F33401" s="4" t="e">
        <f>IF(B33401=#REF!,"",B33401)</f>
        <v>#REF!</v>
      </c>
    </row>
    <row r="33402" spans="1:6" ht="15.75" customHeight="1">
      <c r="A33402" s="15" t="s">
        <v>30512</v>
      </c>
      <c r="B33402" s="15" t="s">
        <v>30512</v>
      </c>
      <c r="C33402" s="15" t="s">
        <v>30502</v>
      </c>
      <c r="D33402" s="15" t="s">
        <v>30513</v>
      </c>
      <c r="E33402" s="2">
        <v>1514382</v>
      </c>
      <c r="F33402" s="4" t="e">
        <f>IF(B33402=#REF!,"",B33402)</f>
        <v>#REF!</v>
      </c>
    </row>
    <row r="33403" spans="1:6" ht="15.75" customHeight="1">
      <c r="A33403" s="15" t="s">
        <v>261</v>
      </c>
      <c r="B33403" s="15" t="s">
        <v>261</v>
      </c>
      <c r="C33403" s="15" t="s">
        <v>153</v>
      </c>
      <c r="D33403" s="15" t="s">
        <v>246</v>
      </c>
      <c r="E33403" s="2">
        <v>2504072</v>
      </c>
      <c r="F33403" s="4" t="str">
        <f>IF(B33403=B33402,"",B33403)</f>
        <v>Besbes</v>
      </c>
    </row>
    <row r="33404" spans="1:6" ht="15.75" customHeight="1">
      <c r="A33404" s="16" t="str">
        <f ca="1">IFERROR(__xludf.DUMMYFUNCTION("GOOGLETRANSLATE(B30225,""en"",""pt"")"),"Besançon")</f>
        <v>Besançon</v>
      </c>
      <c r="B33404" s="20" t="s">
        <v>32642</v>
      </c>
      <c r="C33404" s="20" t="s">
        <v>7052</v>
      </c>
      <c r="D33404" s="20" t="s">
        <v>32540</v>
      </c>
      <c r="E33404" s="10">
        <v>3033123</v>
      </c>
      <c r="F33404" s="4" t="str">
        <f>IF(B33404=B33403,"",B33404)</f>
        <v>Besançon</v>
      </c>
    </row>
    <row r="33405" spans="1:6" ht="15.75" customHeight="1">
      <c r="A33405" s="15" t="s">
        <v>7161</v>
      </c>
      <c r="B33405" s="15" t="s">
        <v>7162</v>
      </c>
      <c r="C33405" s="15" t="s">
        <v>7052</v>
      </c>
      <c r="D33405" s="15" t="s">
        <v>7128</v>
      </c>
      <c r="E33405" s="2">
        <v>3033123</v>
      </c>
      <c r="F33405" s="4" t="e">
        <f>IF(B33405=#REF!,"",B33405)</f>
        <v>#REF!</v>
      </c>
    </row>
    <row r="33406" spans="1:6" ht="15.75" customHeight="1">
      <c r="A33406" s="16" t="s">
        <v>22224</v>
      </c>
      <c r="B33406" s="15" t="s">
        <v>22224</v>
      </c>
      <c r="C33406" s="16" t="s">
        <v>22070</v>
      </c>
      <c r="D33406" s="16" t="s">
        <v>22106</v>
      </c>
      <c r="E33406" s="2">
        <v>1510203</v>
      </c>
      <c r="F33406" s="4" t="e">
        <f>IF(B33406=#REF!,"",B33406)</f>
        <v>#REF!</v>
      </c>
    </row>
    <row r="33407" spans="1:6" ht="15.75" customHeight="1">
      <c r="A33407" s="15" t="s">
        <v>28021</v>
      </c>
      <c r="B33407" s="15" t="s">
        <v>28021</v>
      </c>
      <c r="C33407" s="15" t="s">
        <v>27788</v>
      </c>
      <c r="D33407" s="15" t="s">
        <v>27799</v>
      </c>
      <c r="E33407" s="2">
        <v>4884597</v>
      </c>
      <c r="F33407" s="4" t="e">
        <f>IF(B33407=#REF!,"",B33407)</f>
        <v>#REF!</v>
      </c>
    </row>
    <row r="33408" spans="1:6" ht="15.75" customHeight="1">
      <c r="A33408" s="16" t="s">
        <v>27306</v>
      </c>
      <c r="B33408" s="15" t="s">
        <v>27307</v>
      </c>
      <c r="C33408" s="16" t="s">
        <v>27234</v>
      </c>
      <c r="D33408" s="16" t="s">
        <v>27241</v>
      </c>
      <c r="E33408" s="2">
        <v>2655819</v>
      </c>
      <c r="F33408" s="4" t="e">
        <f>IF(B33408=#REF!,"",B33408)</f>
        <v>#REF!</v>
      </c>
    </row>
    <row r="33409" spans="1:6" ht="15.75" customHeight="1">
      <c r="A33409" s="15" t="s">
        <v>907</v>
      </c>
      <c r="B33409" s="15" t="s">
        <v>907</v>
      </c>
      <c r="C33409" s="15" t="s">
        <v>885</v>
      </c>
      <c r="D33409" s="15" t="s">
        <v>827</v>
      </c>
      <c r="E33409" s="2">
        <v>2176031</v>
      </c>
      <c r="F33409" s="4" t="e">
        <f>IF(B33409=#REF!,"",B33409)</f>
        <v>#REF!</v>
      </c>
    </row>
    <row r="33410" spans="1:6" ht="15.75" customHeight="1">
      <c r="A33410" s="15" t="s">
        <v>24933</v>
      </c>
      <c r="B33410" s="15" t="s">
        <v>24933</v>
      </c>
      <c r="C33410" s="15" t="s">
        <v>24924</v>
      </c>
      <c r="D33410" s="15" t="s">
        <v>6944</v>
      </c>
      <c r="E33410" s="2">
        <v>1249931</v>
      </c>
      <c r="F33410" s="4" t="e">
        <f>IF(B33410=#REF!,"",B33410)</f>
        <v>#REF!</v>
      </c>
    </row>
    <row r="33411" spans="1:6" ht="15.75" customHeight="1">
      <c r="A33411" s="15" t="s">
        <v>30510</v>
      </c>
      <c r="B33411" s="15" t="s">
        <v>30510</v>
      </c>
      <c r="C33411" s="15" t="s">
        <v>30502</v>
      </c>
      <c r="D33411" s="15" t="s">
        <v>30511</v>
      </c>
      <c r="E33411" s="2">
        <v>1514387</v>
      </c>
      <c r="F33411" s="4" t="e">
        <f>IF(B33411=#REF!,"",B33411)</f>
        <v>#REF!</v>
      </c>
    </row>
    <row r="33412" spans="1:6" ht="15.75" customHeight="1">
      <c r="A33412" s="15" t="s">
        <v>3904</v>
      </c>
      <c r="B33412" s="15" t="s">
        <v>3904</v>
      </c>
      <c r="C33412" s="15" t="s">
        <v>3884</v>
      </c>
      <c r="D33412" s="15" t="s">
        <v>3889</v>
      </c>
      <c r="E33412" s="2">
        <v>2234359</v>
      </c>
      <c r="F33412" s="4" t="e">
        <f>IF(B33412=#REF!,"",B33412)</f>
        <v>#REF!</v>
      </c>
    </row>
    <row r="33413" spans="1:6" ht="15.75" customHeight="1">
      <c r="A33413" s="15" t="s">
        <v>2121</v>
      </c>
      <c r="B33413" s="15" t="s">
        <v>2121</v>
      </c>
      <c r="C33413" s="15" t="s">
        <v>1905</v>
      </c>
      <c r="D33413" s="15" t="s">
        <v>1914</v>
      </c>
      <c r="E33413" s="2">
        <v>3470052</v>
      </c>
      <c r="F33413" s="4" t="e">
        <f>IF(B33413=#REF!,"",B33413)</f>
        <v>#REF!</v>
      </c>
    </row>
    <row r="33414" spans="1:6" ht="15.75" customHeight="1">
      <c r="A33414" s="16" t="s">
        <v>259</v>
      </c>
      <c r="B33414" s="15" t="s">
        <v>259</v>
      </c>
      <c r="C33414" s="16" t="s">
        <v>153</v>
      </c>
      <c r="D33414" s="16" t="s">
        <v>260</v>
      </c>
      <c r="E33414" s="2">
        <v>2504099</v>
      </c>
      <c r="F33414" s="4" t="str">
        <f>IF(B33414=B33413,"",B33414)</f>
        <v>Berrouaghia</v>
      </c>
    </row>
    <row r="33415" spans="1:6" ht="15.75" customHeight="1">
      <c r="A33415" s="16" t="str">
        <f ca="1">IFERROR(__xludf.DUMMYFUNCTION("GOOGLETRANSLATE(B37086,""en"",""pt"")"),"Berriozábal")</f>
        <v>Berriozábal</v>
      </c>
      <c r="B33415" s="20" t="s">
        <v>34715</v>
      </c>
      <c r="C33415" s="20" t="s">
        <v>17707</v>
      </c>
      <c r="D33415" s="20" t="s">
        <v>17770</v>
      </c>
      <c r="E33415" s="10">
        <v>3532254</v>
      </c>
      <c r="F33415" s="4" t="str">
        <f>IF(B33415=B33414,"",B33415)</f>
        <v>Berriozábal</v>
      </c>
    </row>
    <row r="33416" spans="1:6" ht="15.75" customHeight="1">
      <c r="A33416" s="16" t="s">
        <v>17785</v>
      </c>
      <c r="B33416" s="15" t="s">
        <v>17786</v>
      </c>
      <c r="C33416" s="16" t="s">
        <v>17707</v>
      </c>
      <c r="D33416" s="16" t="s">
        <v>17770</v>
      </c>
      <c r="E33416" s="2">
        <v>3532254</v>
      </c>
      <c r="F33416" s="4" t="e">
        <f>IF(B33416=#REF!,"",B33416)</f>
        <v>#REF!</v>
      </c>
    </row>
    <row r="33417" spans="1:6" ht="15.75" customHeight="1">
      <c r="A33417" s="15" t="s">
        <v>257</v>
      </c>
      <c r="B33417" s="15" t="s">
        <v>257</v>
      </c>
      <c r="C33417" s="15" t="s">
        <v>153</v>
      </c>
      <c r="D33417" s="15" t="s">
        <v>258</v>
      </c>
      <c r="E33417" s="2">
        <v>2504110</v>
      </c>
      <c r="F33417" s="4" t="e">
        <f>IF(B33417=#REF!,"",B33417)</f>
        <v>#REF!</v>
      </c>
    </row>
    <row r="33418" spans="1:6" ht="15.75" customHeight="1">
      <c r="A33418" s="15" t="s">
        <v>18567</v>
      </c>
      <c r="B33418" s="15" t="s">
        <v>18567</v>
      </c>
      <c r="C33418" s="15" t="s">
        <v>18551</v>
      </c>
      <c r="D33418" s="15" t="s">
        <v>18568</v>
      </c>
      <c r="E33418" s="2">
        <v>2556272</v>
      </c>
      <c r="F33418" s="4" t="e">
        <f>IF(B33418=#REF!,"",B33418)</f>
        <v>#REF!</v>
      </c>
    </row>
    <row r="33419" spans="1:6" ht="15.75" customHeight="1">
      <c r="A33419" s="15" t="s">
        <v>256</v>
      </c>
      <c r="B33419" s="15" t="s">
        <v>256</v>
      </c>
      <c r="C33419" s="15" t="s">
        <v>153</v>
      </c>
      <c r="D33419" s="15" t="s">
        <v>226</v>
      </c>
      <c r="E33419" s="2">
        <v>2504136</v>
      </c>
      <c r="F33419" s="4" t="e">
        <f>IF(B33419=#REF!,"",B33419)</f>
        <v>#REF!</v>
      </c>
    </row>
    <row r="33420" spans="1:6" ht="15.75" customHeight="1">
      <c r="A33420" s="15" t="s">
        <v>5986</v>
      </c>
      <c r="B33420" s="15" t="s">
        <v>5986</v>
      </c>
      <c r="C33420" s="15" t="s">
        <v>5947</v>
      </c>
      <c r="D33420" s="15" t="s">
        <v>5985</v>
      </c>
      <c r="E33420" s="2">
        <v>3079467</v>
      </c>
      <c r="F33420" s="4" t="e">
        <f>IF(B33420=#REF!,"",B33420)</f>
        <v>#REF!</v>
      </c>
    </row>
    <row r="33421" spans="1:6" ht="15.75" customHeight="1">
      <c r="A33421" s="15" t="s">
        <v>17347</v>
      </c>
      <c r="B33421" s="15" t="s">
        <v>17347</v>
      </c>
      <c r="C33421" s="15" t="s">
        <v>17292</v>
      </c>
      <c r="D33421" s="15" t="s">
        <v>17320</v>
      </c>
      <c r="E33421" s="2">
        <v>1066831</v>
      </c>
      <c r="F33421" s="4" t="e">
        <f>IF(B33421=#REF!,"",B33421)</f>
        <v>#REF!</v>
      </c>
    </row>
    <row r="33422" spans="1:6" ht="15.75" customHeight="1">
      <c r="A33422" s="15" t="s">
        <v>8196</v>
      </c>
      <c r="B33422" s="15" t="s">
        <v>8196</v>
      </c>
      <c r="C33422" s="15" t="s">
        <v>8028</v>
      </c>
      <c r="D33422" s="15" t="s">
        <v>8085</v>
      </c>
      <c r="E33422" s="2">
        <v>2950073</v>
      </c>
      <c r="F33422" s="4" t="e">
        <f>IF(B33422=#REF!,"",B33422)</f>
        <v>#REF!</v>
      </c>
    </row>
    <row r="33423" spans="1:6" ht="15.75" customHeight="1">
      <c r="A33423" s="16" t="s">
        <v>8194</v>
      </c>
      <c r="B33423" s="15" t="s">
        <v>8195</v>
      </c>
      <c r="C33423" s="16" t="s">
        <v>8028</v>
      </c>
      <c r="D33423" s="16" t="s">
        <v>8070</v>
      </c>
      <c r="E33423" s="2">
        <v>2950096</v>
      </c>
      <c r="F33423" s="4" t="e">
        <f>IF(B33423=#REF!,"",B33423)</f>
        <v>#REF!</v>
      </c>
    </row>
    <row r="33424" spans="1:6" ht="15.75" customHeight="1">
      <c r="A33424" s="15" t="s">
        <v>25250</v>
      </c>
      <c r="B33424" s="15" t="s">
        <v>25250</v>
      </c>
      <c r="C33424" s="15" t="s">
        <v>25237</v>
      </c>
      <c r="D33424" s="15" t="s">
        <v>25250</v>
      </c>
      <c r="E33424" s="2">
        <v>2661552</v>
      </c>
      <c r="F33424" s="4" t="e">
        <f>IF(B33424=#REF!,"",B33424)</f>
        <v>#REF!</v>
      </c>
    </row>
    <row r="33425" spans="1:6" ht="15.75" customHeight="1">
      <c r="A33425" s="15" t="s">
        <v>24343</v>
      </c>
      <c r="B33425" s="15" t="s">
        <v>24343</v>
      </c>
      <c r="C33425" s="15" t="s">
        <v>24200</v>
      </c>
      <c r="D33425" s="15" t="s">
        <v>24249</v>
      </c>
      <c r="E33425" s="2">
        <v>3128174</v>
      </c>
      <c r="F33425" s="4" t="e">
        <f>IF(B33425=#REF!,"",B33425)</f>
        <v>#REF!</v>
      </c>
    </row>
    <row r="33426" spans="1:6" ht="15.75" customHeight="1">
      <c r="A33426" s="16" t="s">
        <v>8192</v>
      </c>
      <c r="B33426" s="15" t="s">
        <v>8193</v>
      </c>
      <c r="C33426" s="16" t="s">
        <v>8028</v>
      </c>
      <c r="D33426" s="16" t="s">
        <v>8036</v>
      </c>
      <c r="E33426" s="2">
        <v>7290255</v>
      </c>
      <c r="F33426" s="4" t="str">
        <f>IF(B33426=B33425,"",B33426)</f>
        <v>Berlin Treptow</v>
      </c>
    </row>
    <row r="33427" spans="1:6" ht="15.75" customHeight="1">
      <c r="A33427" s="16" t="str">
        <f ca="1">IFERROR(__xludf.DUMMYFUNCTION("GOOGLETRANSLATE(B28380,""en"",""pt"")"),"Berlin Schöneberg")</f>
        <v>Berlin Schöneberg</v>
      </c>
      <c r="B33427" s="20" t="s">
        <v>32143</v>
      </c>
      <c r="C33427" s="20" t="s">
        <v>8028</v>
      </c>
      <c r="D33427" s="20" t="s">
        <v>8036</v>
      </c>
      <c r="E33427" s="10">
        <v>7290254</v>
      </c>
      <c r="F33427" s="4" t="str">
        <f>IF(B33427=B33426,"",B33427)</f>
        <v>Berlin Schöneberg</v>
      </c>
    </row>
    <row r="33428" spans="1:6" ht="15.75" customHeight="1">
      <c r="A33428" s="16" t="s">
        <v>8190</v>
      </c>
      <c r="B33428" s="15" t="s">
        <v>8191</v>
      </c>
      <c r="C33428" s="16" t="s">
        <v>8028</v>
      </c>
      <c r="D33428" s="16" t="s">
        <v>8036</v>
      </c>
      <c r="E33428" s="2">
        <v>7290254</v>
      </c>
      <c r="F33428" s="4" t="str">
        <f>IF(B33428=B33427,"",B33428)</f>
        <v>Berlin SchÃ¶neberg</v>
      </c>
    </row>
    <row r="33429" spans="1:6" ht="15.75" customHeight="1">
      <c r="A33429" s="16" t="str">
        <f ca="1">IFERROR(__xludf.DUMMYFUNCTION("GOOGLETRANSLATE(B27871,""en"",""pt"")"),"Berlin Köpenick")</f>
        <v>Berlin Köpenick</v>
      </c>
      <c r="B33429" s="20" t="s">
        <v>32076</v>
      </c>
      <c r="C33429" s="20" t="s">
        <v>8028</v>
      </c>
      <c r="D33429" s="20" t="s">
        <v>8036</v>
      </c>
      <c r="E33429" s="10">
        <v>2885657</v>
      </c>
      <c r="F33429" s="4" t="str">
        <f>IF(B33429=B33428,"",B33429)</f>
        <v>Berlin Köpenick</v>
      </c>
    </row>
    <row r="33430" spans="1:6" ht="15.75" customHeight="1">
      <c r="A33430" s="16" t="s">
        <v>8188</v>
      </c>
      <c r="B33430" s="15" t="s">
        <v>8189</v>
      </c>
      <c r="C33430" s="16" t="s">
        <v>8028</v>
      </c>
      <c r="D33430" s="16" t="s">
        <v>8036</v>
      </c>
      <c r="E33430" s="2">
        <v>2885657</v>
      </c>
      <c r="F33430" s="4" t="e">
        <f>IF(B33430=#REF!,"",B33430)</f>
        <v>#REF!</v>
      </c>
    </row>
    <row r="33431" spans="1:6" ht="15.75" customHeight="1">
      <c r="A33431" s="15" t="s">
        <v>8187</v>
      </c>
      <c r="B33431" s="15" t="s">
        <v>8036</v>
      </c>
      <c r="C33431" s="15" t="s">
        <v>8028</v>
      </c>
      <c r="D33431" s="15" t="s">
        <v>8036</v>
      </c>
      <c r="E33431" s="2">
        <v>2950159</v>
      </c>
      <c r="F33431" s="4" t="e">
        <f>IF(B33431=#REF!,"",B33431)</f>
        <v>#REF!</v>
      </c>
    </row>
    <row r="33432" spans="1:6" ht="15.75" customHeight="1">
      <c r="A33432" s="16" t="s">
        <v>3705</v>
      </c>
      <c r="B33432" s="15" t="s">
        <v>3705</v>
      </c>
      <c r="C33432" s="16" t="s">
        <v>3701</v>
      </c>
      <c r="D33432" s="16" t="s">
        <v>3706</v>
      </c>
      <c r="E33432" s="2">
        <v>733264</v>
      </c>
      <c r="F33432" s="4" t="e">
        <f>IF(B33432=#REF!,"",B33432)</f>
        <v>#REF!</v>
      </c>
    </row>
    <row r="33433" spans="1:6" ht="15.75" customHeight="1">
      <c r="A33433" s="16" t="s">
        <v>27305</v>
      </c>
      <c r="B33433" s="15" t="s">
        <v>27305</v>
      </c>
      <c r="C33433" s="16" t="s">
        <v>27234</v>
      </c>
      <c r="D33433" s="16" t="s">
        <v>27241</v>
      </c>
      <c r="E33433" s="2">
        <v>2655858</v>
      </c>
      <c r="F33433" s="4" t="e">
        <f>IF(B33433=#REF!,"",B33433)</f>
        <v>#REF!</v>
      </c>
    </row>
    <row r="33434" spans="1:6" ht="15.75" customHeight="1">
      <c r="A33434" s="15" t="s">
        <v>28020</v>
      </c>
      <c r="B33434" s="15" t="s">
        <v>28020</v>
      </c>
      <c r="C33434" s="15" t="s">
        <v>27788</v>
      </c>
      <c r="D33434" s="15" t="s">
        <v>27801</v>
      </c>
      <c r="E33434" s="2">
        <v>5327684</v>
      </c>
      <c r="F33434" s="4" t="e">
        <f>IF(B33434=#REF!,"",B33434)</f>
        <v>#REF!</v>
      </c>
    </row>
    <row r="33435" spans="1:6" ht="15.75" customHeight="1">
      <c r="A33435" s="16" t="s">
        <v>18899</v>
      </c>
      <c r="B33435" s="15" t="s">
        <v>18899</v>
      </c>
      <c r="C33435" s="16" t="s">
        <v>18862</v>
      </c>
      <c r="D33435" s="16" t="s">
        <v>18868</v>
      </c>
      <c r="E33435" s="2">
        <v>6929992</v>
      </c>
      <c r="F33435" s="4" t="e">
        <f>IF(B33435=#REF!,"",B33435)</f>
        <v>#REF!</v>
      </c>
    </row>
    <row r="33436" spans="1:6" ht="15.75" customHeight="1">
      <c r="A33436" s="15" t="s">
        <v>18566</v>
      </c>
      <c r="B33436" s="15" t="s">
        <v>18566</v>
      </c>
      <c r="C33436" s="15" t="s">
        <v>18551</v>
      </c>
      <c r="D33436" s="15" t="s">
        <v>18554</v>
      </c>
      <c r="E33436" s="2">
        <v>2555467</v>
      </c>
      <c r="F33436" s="4" t="e">
        <f>IF(B33436=#REF!,"",B33436)</f>
        <v>#REF!</v>
      </c>
    </row>
    <row r="33437" spans="1:6" ht="15.75" customHeight="1">
      <c r="A33437" s="15" t="s">
        <v>24342</v>
      </c>
      <c r="B33437" s="15" t="s">
        <v>24342</v>
      </c>
      <c r="C33437" s="15" t="s">
        <v>24200</v>
      </c>
      <c r="D33437" s="15" t="s">
        <v>24205</v>
      </c>
      <c r="E33437" s="2">
        <v>2521016</v>
      </c>
      <c r="F33437" s="4" t="e">
        <f>IF(B33437=#REF!,"",B33437)</f>
        <v>#REF!</v>
      </c>
    </row>
    <row r="33438" spans="1:6" ht="15.75" customHeight="1">
      <c r="A33438" s="15" t="s">
        <v>1528</v>
      </c>
      <c r="B33438" s="15" t="s">
        <v>1528</v>
      </c>
      <c r="C33438" s="15" t="s">
        <v>1512</v>
      </c>
      <c r="D33438" s="15" t="s">
        <v>1513</v>
      </c>
      <c r="E33438" s="2">
        <v>2802170</v>
      </c>
      <c r="F33438" s="4" t="str">
        <f>IF(B33438=B33437,"",B33438)</f>
        <v>Beringen</v>
      </c>
    </row>
    <row r="33439" spans="1:6" ht="15.75" customHeight="1">
      <c r="A33439" s="16" t="str">
        <f ca="1">IFERROR(__xludf.DUMMYFUNCTION("GOOGLETRANSLATE(B33895,""en"",""pt"")"),"Beri Khās")</f>
        <v>Beri Khās</v>
      </c>
      <c r="B33439" s="20" t="s">
        <v>33917</v>
      </c>
      <c r="C33439" s="20" t="s">
        <v>10178</v>
      </c>
      <c r="D33439" s="20" t="s">
        <v>10224</v>
      </c>
      <c r="E33439" s="10">
        <v>1276437</v>
      </c>
      <c r="F33439" s="4" t="str">
        <f>IF(B33439=B33438,"",B33439)</f>
        <v>Beri Khās</v>
      </c>
    </row>
    <row r="33440" spans="1:6" ht="15.75" customHeight="1">
      <c r="A33440" s="15" t="s">
        <v>10669</v>
      </c>
      <c r="B33440" s="15" t="s">
        <v>10670</v>
      </c>
      <c r="C33440" s="15" t="s">
        <v>10178</v>
      </c>
      <c r="D33440" s="15" t="s">
        <v>10224</v>
      </c>
      <c r="E33440" s="2">
        <v>1276437</v>
      </c>
      <c r="F33440" s="4" t="e">
        <f>IF(B33440=#REF!,"",B33440)</f>
        <v>#REF!</v>
      </c>
    </row>
    <row r="33441" spans="1:6" ht="15.75" customHeight="1">
      <c r="A33441" s="16" t="s">
        <v>18898</v>
      </c>
      <c r="B33441" s="15" t="s">
        <v>18898</v>
      </c>
      <c r="C33441" s="16" t="s">
        <v>18862</v>
      </c>
      <c r="D33441" s="16" t="s">
        <v>18868</v>
      </c>
      <c r="E33441" s="2">
        <v>2759113</v>
      </c>
      <c r="F33441" s="4" t="e">
        <f>IF(B33441=#REF!,"",B33441)</f>
        <v>#REF!</v>
      </c>
    </row>
    <row r="33442" spans="1:6" ht="15.75" customHeight="1">
      <c r="A33442" s="16" t="s">
        <v>8186</v>
      </c>
      <c r="B33442" s="15" t="s">
        <v>8186</v>
      </c>
      <c r="C33442" s="16" t="s">
        <v>8028</v>
      </c>
      <c r="D33442" s="16" t="s">
        <v>8029</v>
      </c>
      <c r="E33442" s="2">
        <v>2950294</v>
      </c>
      <c r="F33442" s="4" t="e">
        <f>IF(B33442=#REF!,"",B33442)</f>
        <v>#REF!</v>
      </c>
    </row>
    <row r="33443" spans="1:6" ht="15.75" customHeight="1">
      <c r="A33443" s="16" t="s">
        <v>8185</v>
      </c>
      <c r="B33443" s="15" t="s">
        <v>8185</v>
      </c>
      <c r="C33443" s="16" t="s">
        <v>8028</v>
      </c>
      <c r="D33443" s="16" t="s">
        <v>8029</v>
      </c>
      <c r="E33443" s="2">
        <v>2950344</v>
      </c>
      <c r="F33443" s="4" t="e">
        <f>IF(B33443=#REF!,"",B33443)</f>
        <v>#REF!</v>
      </c>
    </row>
    <row r="33444" spans="1:6" ht="15.75" customHeight="1">
      <c r="A33444" s="16" t="s">
        <v>8184</v>
      </c>
      <c r="B33444" s="15" t="s">
        <v>8184</v>
      </c>
      <c r="C33444" s="16" t="s">
        <v>8028</v>
      </c>
      <c r="D33444" s="16" t="s">
        <v>8029</v>
      </c>
      <c r="E33444" s="2">
        <v>2950349</v>
      </c>
      <c r="F33444" s="4" t="e">
        <f>IF(B33444=#REF!,"",B33444)</f>
        <v>#REF!</v>
      </c>
    </row>
    <row r="33445" spans="1:6" ht="15.75" customHeight="1">
      <c r="A33445" s="15" t="s">
        <v>8183</v>
      </c>
      <c r="B33445" s="15" t="s">
        <v>8183</v>
      </c>
      <c r="C33445" s="15" t="s">
        <v>8028</v>
      </c>
      <c r="D33445" s="15" t="s">
        <v>8029</v>
      </c>
      <c r="E33445" s="2">
        <v>2950438</v>
      </c>
      <c r="F33445" s="4" t="e">
        <f>IF(B33445=#REF!,"",B33445)</f>
        <v>#REF!</v>
      </c>
    </row>
    <row r="33446" spans="1:6" ht="15.75" customHeight="1">
      <c r="A33446" s="15" t="s">
        <v>7160</v>
      </c>
      <c r="B33446" s="15" t="s">
        <v>7160</v>
      </c>
      <c r="C33446" s="15" t="s">
        <v>7052</v>
      </c>
      <c r="D33446" s="15" t="s">
        <v>7084</v>
      </c>
      <c r="E33446" s="2">
        <v>3033391</v>
      </c>
      <c r="F33446" s="4" t="e">
        <f>IF(B33446=#REF!,"",B33446)</f>
        <v>#REF!</v>
      </c>
    </row>
    <row r="33447" spans="1:6" ht="15.75" customHeight="1">
      <c r="A33447" s="16" t="s">
        <v>28019</v>
      </c>
      <c r="B33447" s="15" t="s">
        <v>28019</v>
      </c>
      <c r="C33447" s="16" t="s">
        <v>27788</v>
      </c>
      <c r="D33447" s="16" t="s">
        <v>27905</v>
      </c>
      <c r="E33447" s="2">
        <v>5095611</v>
      </c>
      <c r="F33447" s="4" t="e">
        <f>IF(B33447=#REF!,"",B33447)</f>
        <v>#REF!</v>
      </c>
    </row>
    <row r="33448" spans="1:6" ht="15.75" customHeight="1">
      <c r="A33448" s="16" t="s">
        <v>18896</v>
      </c>
      <c r="B33448" s="15" t="s">
        <v>18897</v>
      </c>
      <c r="C33448" s="16" t="s">
        <v>18862</v>
      </c>
      <c r="D33448" s="16" t="s">
        <v>18888</v>
      </c>
      <c r="E33448" s="2">
        <v>2759145</v>
      </c>
      <c r="F33448" s="4" t="e">
        <f>IF(B33448=#REF!,"",B33448)</f>
        <v>#REF!</v>
      </c>
    </row>
    <row r="33449" spans="1:6" ht="15.75" customHeight="1">
      <c r="A33449" s="15" t="s">
        <v>19702</v>
      </c>
      <c r="B33449" s="15" t="s">
        <v>19702</v>
      </c>
      <c r="C33449" s="15" t="s">
        <v>19695</v>
      </c>
      <c r="D33449" s="15" t="s">
        <v>19701</v>
      </c>
      <c r="E33449" s="2">
        <v>3161732</v>
      </c>
      <c r="F33449" s="4" t="e">
        <f>IF(B33449=#REF!,"",B33449)</f>
        <v>#REF!</v>
      </c>
    </row>
    <row r="33450" spans="1:6" ht="15.75" customHeight="1">
      <c r="A33450" s="15" t="s">
        <v>18895</v>
      </c>
      <c r="B33450" s="15" t="s">
        <v>18895</v>
      </c>
      <c r="C33450" s="15" t="s">
        <v>18862</v>
      </c>
      <c r="D33450" s="15" t="s">
        <v>18888</v>
      </c>
      <c r="E33450" s="2">
        <v>2759132</v>
      </c>
      <c r="F33450" s="4" t="e">
        <f>IF(B33450=#REF!,"",B33450)</f>
        <v>#REF!</v>
      </c>
    </row>
    <row r="33451" spans="1:6" ht="15.75" customHeight="1">
      <c r="A33451" s="16" t="s">
        <v>8182</v>
      </c>
      <c r="B33451" s="15" t="s">
        <v>8182</v>
      </c>
      <c r="C33451" s="16" t="s">
        <v>8028</v>
      </c>
      <c r="D33451" s="16" t="s">
        <v>8059</v>
      </c>
      <c r="E33451" s="2">
        <v>7290243</v>
      </c>
      <c r="F33451" s="4" t="e">
        <f>IF(B33451=#REF!,"",B33451)</f>
        <v>#REF!</v>
      </c>
    </row>
    <row r="33452" spans="1:6" ht="15.75" customHeight="1">
      <c r="A33452" s="15" t="s">
        <v>14977</v>
      </c>
      <c r="B33452" s="15" t="s">
        <v>14977</v>
      </c>
      <c r="C33452" s="15" t="s">
        <v>14891</v>
      </c>
      <c r="D33452" s="15" t="s">
        <v>14894</v>
      </c>
      <c r="E33452" s="2">
        <v>3182164</v>
      </c>
      <c r="F33452" s="4" t="e">
        <f>IF(B33452=#REF!,"",B33452)</f>
        <v>#REF!</v>
      </c>
    </row>
    <row r="33453" spans="1:6" ht="15.75" customHeight="1">
      <c r="A33453" s="15" t="s">
        <v>26389</v>
      </c>
      <c r="B33453" s="15" t="s">
        <v>26389</v>
      </c>
      <c r="C33453" s="15" t="s">
        <v>26201</v>
      </c>
      <c r="D33453" s="15" t="s">
        <v>26213</v>
      </c>
      <c r="E33453" s="2">
        <v>321426</v>
      </c>
      <c r="F33453" s="4" t="e">
        <f>IF(B33453=#REF!,"",B33453)</f>
        <v>#REF!</v>
      </c>
    </row>
    <row r="33454" spans="1:6" ht="15.75" customHeight="1">
      <c r="A33454" s="15" t="s">
        <v>24341</v>
      </c>
      <c r="B33454" s="15" t="s">
        <v>24341</v>
      </c>
      <c r="C33454" s="15" t="s">
        <v>24200</v>
      </c>
      <c r="D33454" s="15" t="s">
        <v>24277</v>
      </c>
      <c r="E33454" s="2">
        <v>3128201</v>
      </c>
      <c r="F33454" s="4" t="str">
        <f>IF(B33454=B33453,"",B33454)</f>
        <v>Berga</v>
      </c>
    </row>
    <row r="33455" spans="1:6" ht="15.75" customHeight="1">
      <c r="A33455" s="16" t="str">
        <f ca="1">IFERROR(__xludf.DUMMYFUNCTION("GOOGLETRANSLATE(B40863,""en"",""pt"")"),"Berëzovskiy")</f>
        <v>Berëzovskiy</v>
      </c>
      <c r="B33455" s="20" t="s">
        <v>35549</v>
      </c>
      <c r="C33455" s="20" t="s">
        <v>22070</v>
      </c>
      <c r="D33455" s="20" t="s">
        <v>22140</v>
      </c>
      <c r="E33455" s="10">
        <v>1510205</v>
      </c>
      <c r="F33455" s="4" t="str">
        <f>IF(B33455=B33454,"",B33455)</f>
        <v>Berëzovskiy</v>
      </c>
    </row>
    <row r="33456" spans="1:6" ht="15.75" customHeight="1">
      <c r="A33456" s="16" t="str">
        <f ca="1">IFERROR(__xludf.DUMMYFUNCTION("GOOGLETRANSLATE(B40864,""en"",""pt"")"),"Berëzovka")</f>
        <v>Berëzovka</v>
      </c>
      <c r="B33456" s="20" t="s">
        <v>35550</v>
      </c>
      <c r="C33456" s="20" t="s">
        <v>22070</v>
      </c>
      <c r="D33456" s="20" t="s">
        <v>22079</v>
      </c>
      <c r="E33456" s="10">
        <v>1510255</v>
      </c>
      <c r="F33456" s="4" t="e">
        <f>IF(B33456=#REF!,"",B33456)</f>
        <v>#REF!</v>
      </c>
    </row>
    <row r="33457" spans="1:6" ht="15.75" customHeight="1">
      <c r="A33457" s="15" t="s">
        <v>22223</v>
      </c>
      <c r="B33457" s="15" t="s">
        <v>22223</v>
      </c>
      <c r="C33457" s="15" t="s">
        <v>22070</v>
      </c>
      <c r="D33457" s="15" t="s">
        <v>22115</v>
      </c>
      <c r="E33457" s="2">
        <v>577206</v>
      </c>
      <c r="F33457" s="4" t="str">
        <f>IF(B33457=B33456,"",B33457)</f>
        <v>Berezniki</v>
      </c>
    </row>
    <row r="33458" spans="1:6" ht="15.75" customHeight="1">
      <c r="A33458" s="16" t="str">
        <f ca="1">IFERROR(__xludf.DUMMYFUNCTION("GOOGLETRANSLATE(B31267,""en"",""pt"")"),"Berettyóújfalu")</f>
        <v>Berettyóújfalu</v>
      </c>
      <c r="B33458" s="20" t="s">
        <v>32843</v>
      </c>
      <c r="C33458" s="20" t="s">
        <v>9955</v>
      </c>
      <c r="D33458" s="20" t="s">
        <v>32828</v>
      </c>
      <c r="E33458" s="10">
        <v>722324</v>
      </c>
      <c r="F33458" s="4" t="str">
        <f>IF(B33458=B33457,"",B33458)</f>
        <v>Berettyóújfalu</v>
      </c>
    </row>
    <row r="33459" spans="1:6" ht="15.75" customHeight="1">
      <c r="A33459" s="16" t="s">
        <v>9976</v>
      </c>
      <c r="B33459" s="15" t="s">
        <v>9977</v>
      </c>
      <c r="C33459" s="16" t="s">
        <v>9955</v>
      </c>
      <c r="D33459" s="16" t="s">
        <v>9975</v>
      </c>
      <c r="E33459" s="2">
        <v>722324</v>
      </c>
      <c r="F33459" s="4" t="e">
        <f>IF(B33459=#REF!,"",B33459)</f>
        <v>#REF!</v>
      </c>
    </row>
    <row r="33460" spans="1:6" ht="15.75" customHeight="1">
      <c r="A33460" s="15" t="s">
        <v>9382</v>
      </c>
      <c r="B33460" s="15" t="s">
        <v>9382</v>
      </c>
      <c r="C33460" s="15" t="s">
        <v>9365</v>
      </c>
      <c r="D33460" s="15" t="s">
        <v>9383</v>
      </c>
      <c r="E33460" s="2">
        <v>2303125</v>
      </c>
      <c r="F33460" s="4" t="e">
        <f>IF(B33460=#REF!,"",B33460)</f>
        <v>#REF!</v>
      </c>
    </row>
    <row r="33461" spans="1:6" ht="15.75" customHeight="1">
      <c r="A33461" s="15" t="s">
        <v>26901</v>
      </c>
      <c r="B33461" s="15" t="s">
        <v>26901</v>
      </c>
      <c r="C33461" s="15" t="s">
        <v>26870</v>
      </c>
      <c r="D33461" s="15" t="s">
        <v>26902</v>
      </c>
      <c r="E33461" s="2">
        <v>712423</v>
      </c>
      <c r="F33461" s="4" t="e">
        <f>IF(B33461=#REF!,"",B33461)</f>
        <v>#REF!</v>
      </c>
    </row>
    <row r="33462" spans="1:6" ht="15.75" customHeight="1">
      <c r="A33462" s="15" t="s">
        <v>28018</v>
      </c>
      <c r="B33462" s="15" t="s">
        <v>28018</v>
      </c>
      <c r="C33462" s="15" t="s">
        <v>27788</v>
      </c>
      <c r="D33462" s="15" t="s">
        <v>27813</v>
      </c>
      <c r="E33462" s="2">
        <v>5147097</v>
      </c>
      <c r="F33462" s="4" t="e">
        <f>IF(B33462=#REF!,"",B33462)</f>
        <v>#REF!</v>
      </c>
    </row>
    <row r="33463" spans="1:6" ht="15.75" customHeight="1">
      <c r="A33463" s="15" t="s">
        <v>26899</v>
      </c>
      <c r="B33463" s="15" t="s">
        <v>26899</v>
      </c>
      <c r="C33463" s="15" t="s">
        <v>26870</v>
      </c>
      <c r="D33463" s="15" t="s">
        <v>26900</v>
      </c>
      <c r="E33463" s="2">
        <v>712441</v>
      </c>
      <c r="F33463" s="4" t="str">
        <f>IF(B33463=B33462,"",B33463)</f>
        <v>Berdychiv</v>
      </c>
    </row>
    <row r="33464" spans="1:6" ht="15.75" customHeight="1">
      <c r="A33464" s="16" t="s">
        <v>26896</v>
      </c>
      <c r="B33464" s="15" t="s">
        <v>26897</v>
      </c>
      <c r="C33464" s="16" t="s">
        <v>26870</v>
      </c>
      <c r="D33464" s="16" t="s">
        <v>26898</v>
      </c>
      <c r="E33464" s="2">
        <v>712451</v>
      </c>
      <c r="F33464" s="4" t="str">
        <f>IF(B33464=B33463,"",B33464)</f>
        <v>Berdyansâ€™k</v>
      </c>
    </row>
    <row r="33465" spans="1:6" ht="15.75" customHeight="1">
      <c r="A33465" s="16" t="str">
        <f ca="1">IFERROR(__xludf.DUMMYFUNCTION("GOOGLETRANSLATE(B42700,""en"",""pt"")"),"Berdyans'k")</f>
        <v>Berdyans'k</v>
      </c>
      <c r="B33465" s="20" t="s">
        <v>36045</v>
      </c>
      <c r="C33465" s="20" t="s">
        <v>26870</v>
      </c>
      <c r="D33465" s="20" t="s">
        <v>26898</v>
      </c>
      <c r="E33465" s="10">
        <v>712451</v>
      </c>
      <c r="F33465" s="4" t="e">
        <f>IF(B33465=#REF!,"",B33465)</f>
        <v>#REF!</v>
      </c>
    </row>
    <row r="33466" spans="1:6" ht="15.75" customHeight="1">
      <c r="A33466" s="15" t="s">
        <v>22222</v>
      </c>
      <c r="B33466" s="15" t="s">
        <v>22222</v>
      </c>
      <c r="C33466" s="15" t="s">
        <v>22070</v>
      </c>
      <c r="D33466" s="15" t="s">
        <v>22092</v>
      </c>
      <c r="E33466" s="2">
        <v>1510350</v>
      </c>
      <c r="F33466" s="4" t="e">
        <f>IF(B33466=#REF!,"",B33466)</f>
        <v>#REF!</v>
      </c>
    </row>
    <row r="33467" spans="1:6" ht="15.75" customHeight="1">
      <c r="A33467" s="16" t="s">
        <v>7158</v>
      </c>
      <c r="B33467" s="15" t="s">
        <v>7159</v>
      </c>
      <c r="C33467" s="16" t="s">
        <v>7052</v>
      </c>
      <c r="D33467" s="16" t="s">
        <v>7078</v>
      </c>
      <c r="E33467" s="2">
        <v>3033416</v>
      </c>
      <c r="F33467" s="4" t="e">
        <f>IF(B33467=#REF!,"",B33467)</f>
        <v>#REF!</v>
      </c>
    </row>
    <row r="33468" spans="1:6" ht="15.75" customHeight="1">
      <c r="A33468" s="15" t="s">
        <v>7157</v>
      </c>
      <c r="B33468" s="15" t="s">
        <v>7157</v>
      </c>
      <c r="C33468" s="15" t="s">
        <v>7052</v>
      </c>
      <c r="D33468" s="15" t="s">
        <v>7078</v>
      </c>
      <c r="E33468" s="2">
        <v>3033415</v>
      </c>
      <c r="F33468" s="4" t="str">
        <f>IF(B33468=B33467,"",B33468)</f>
        <v>Berck</v>
      </c>
    </row>
    <row r="33469" spans="1:6" ht="15.75" customHeight="1">
      <c r="A33469" s="16" t="str">
        <f ca="1">IFERROR(__xludf.DUMMYFUNCTION("GOOGLETRANSLATE(B25727,""en"",""pt"")"),"Berbérati")</f>
        <v>Berbérati</v>
      </c>
      <c r="B33469" s="20" t="s">
        <v>31772</v>
      </c>
      <c r="C33469" s="20" t="s">
        <v>4264</v>
      </c>
      <c r="D33469" s="20" t="s">
        <v>31771</v>
      </c>
      <c r="E33469" s="10">
        <v>2389086</v>
      </c>
      <c r="F33469" s="4" t="e">
        <f>IF(B33469=#REF!,"",B33469)</f>
        <v>#REF!</v>
      </c>
    </row>
    <row r="33470" spans="1:6" ht="15.75" customHeight="1">
      <c r="A33470" s="15" t="s">
        <v>23807</v>
      </c>
      <c r="B33470" s="15" t="s">
        <v>23807</v>
      </c>
      <c r="C33470" s="15" t="s">
        <v>23800</v>
      </c>
      <c r="D33470" s="15" t="s">
        <v>23808</v>
      </c>
      <c r="E33470" s="2">
        <v>64435</v>
      </c>
      <c r="F33470" s="4" t="e">
        <f>IF(B33470=#REF!,"",B33470)</f>
        <v>#REF!</v>
      </c>
    </row>
    <row r="33471" spans="1:6" ht="15.75" customHeight="1">
      <c r="A33471" s="15" t="s">
        <v>25024</v>
      </c>
      <c r="B33471" s="15" t="s">
        <v>25025</v>
      </c>
      <c r="C33471" s="15" t="s">
        <v>24987</v>
      </c>
      <c r="D33471" s="15" t="s">
        <v>25021</v>
      </c>
      <c r="E33471" s="2">
        <v>377690</v>
      </c>
      <c r="F33471" s="4" t="str">
        <f>IF(B33471=B33470,"",B33471)</f>
        <v>Berber</v>
      </c>
    </row>
    <row r="33472" spans="1:6" ht="15.75" customHeight="1">
      <c r="A33472" s="16" t="s">
        <v>4273</v>
      </c>
      <c r="B33472" s="15" t="s">
        <v>4274</v>
      </c>
      <c r="C33472" s="16" t="s">
        <v>4264</v>
      </c>
      <c r="D33472" s="16" t="s">
        <v>4275</v>
      </c>
      <c r="E33472" s="2">
        <v>2389086</v>
      </c>
      <c r="F33472" s="4" t="e">
        <f>IF(B33472=#REF!,"",B33472)</f>
        <v>#REF!</v>
      </c>
    </row>
    <row r="33473" spans="1:6" ht="15.75" customHeight="1">
      <c r="A33473" s="15" t="s">
        <v>112</v>
      </c>
      <c r="B33473" s="15" t="s">
        <v>112</v>
      </c>
      <c r="C33473" s="15" t="s">
        <v>113</v>
      </c>
      <c r="D33473" s="15" t="s">
        <v>112</v>
      </c>
      <c r="E33473" s="2">
        <v>3186084</v>
      </c>
      <c r="F33473" s="4" t="e">
        <f>IF(B33473=#REF!,"",B33473)</f>
        <v>#REF!</v>
      </c>
    </row>
    <row r="33474" spans="1:6" ht="15.75" customHeight="1">
      <c r="A33474" s="15" t="s">
        <v>13851</v>
      </c>
      <c r="B33474" s="15" t="s">
        <v>13851</v>
      </c>
      <c r="C33474" s="15" t="s">
        <v>13800</v>
      </c>
      <c r="D33474" s="15" t="s">
        <v>13830</v>
      </c>
      <c r="E33474" s="2">
        <v>1215395</v>
      </c>
      <c r="F33474" s="4" t="e">
        <f>IF(B33474=#REF!,"",B33474)</f>
        <v>#REF!</v>
      </c>
    </row>
    <row r="33475" spans="1:6" ht="15.75" customHeight="1">
      <c r="A33475" s="15" t="s">
        <v>10668</v>
      </c>
      <c r="B33475" s="15" t="s">
        <v>10668</v>
      </c>
      <c r="C33475" s="15" t="s">
        <v>10178</v>
      </c>
      <c r="D33475" s="15" t="s">
        <v>10219</v>
      </c>
      <c r="E33475" s="2">
        <v>1276449</v>
      </c>
      <c r="F33475" s="4" t="str">
        <f>IF(B33475=B33474,"",B33475)</f>
        <v>Berasia</v>
      </c>
    </row>
    <row r="33476" spans="1:6" ht="15.75" customHeight="1">
      <c r="A33476" s="16" t="s">
        <v>22220</v>
      </c>
      <c r="B33476" s="15" t="s">
        <v>22221</v>
      </c>
      <c r="C33476" s="16" t="s">
        <v>22070</v>
      </c>
      <c r="D33476" s="16" t="s">
        <v>22140</v>
      </c>
      <c r="E33476" s="2">
        <v>1510205</v>
      </c>
      <c r="F33476" s="4" t="str">
        <f>IF(B33476=B33475,"",B33476)</f>
        <v>BerÃ«zovskiy</v>
      </c>
    </row>
    <row r="33477" spans="1:6" ht="15.75" customHeight="1">
      <c r="A33477" s="16" t="s">
        <v>22218</v>
      </c>
      <c r="B33477" s="15" t="s">
        <v>22219</v>
      </c>
      <c r="C33477" s="16" t="s">
        <v>22070</v>
      </c>
      <c r="D33477" s="16" t="s">
        <v>22079</v>
      </c>
      <c r="E33477" s="2">
        <v>1510255</v>
      </c>
      <c r="F33477" s="4" t="e">
        <f>IF(B33477=#REF!,"",B33477)</f>
        <v>#REF!</v>
      </c>
    </row>
    <row r="33478" spans="1:6" ht="15.75" customHeight="1">
      <c r="A33478" s="15" t="s">
        <v>1309</v>
      </c>
      <c r="B33478" s="15" t="s">
        <v>1309</v>
      </c>
      <c r="C33478" s="15" t="s">
        <v>1296</v>
      </c>
      <c r="D33478" s="15" t="s">
        <v>1310</v>
      </c>
      <c r="E33478" s="2">
        <v>1209562</v>
      </c>
      <c r="F33478" s="4" t="e">
        <f>IF(B33478=#REF!,"",B33478)</f>
        <v>#REF!</v>
      </c>
    </row>
    <row r="33479" spans="1:6" ht="15.75" customHeight="1">
      <c r="A33479" s="15" t="s">
        <v>15832</v>
      </c>
      <c r="B33479" s="15" t="s">
        <v>15832</v>
      </c>
      <c r="C33479" s="15" t="s">
        <v>15704</v>
      </c>
      <c r="D33479" s="15" t="s">
        <v>15758</v>
      </c>
      <c r="E33479" s="2">
        <v>1864750</v>
      </c>
      <c r="F33479" s="4" t="str">
        <f>IF(B33479=B33478,"",B33479)</f>
        <v>Beppu</v>
      </c>
    </row>
    <row r="33480" spans="1:6" ht="15.75" customHeight="1">
      <c r="A33480" s="16" t="str">
        <f ca="1">IFERROR(__xludf.DUMMYFUNCTION("GOOGLETRANSLATE(B25867,""en"",""pt"")"),"Béoumi")</f>
        <v>Béoumi</v>
      </c>
      <c r="B33480" s="20" t="s">
        <v>31788</v>
      </c>
      <c r="C33480" s="20" t="s">
        <v>15586</v>
      </c>
      <c r="D33480" s="20" t="s">
        <v>31784</v>
      </c>
      <c r="E33480" s="10">
        <v>2291779</v>
      </c>
      <c r="F33480" s="4" t="e">
        <f>IF(B33480=#REF!,"",B33480)</f>
        <v>#REF!</v>
      </c>
    </row>
    <row r="33481" spans="1:6" ht="15.75" customHeight="1">
      <c r="A33481" s="15" t="s">
        <v>24034</v>
      </c>
      <c r="B33481" s="15" t="s">
        <v>24034</v>
      </c>
      <c r="C33481" s="15" t="s">
        <v>24024</v>
      </c>
      <c r="D33481" s="15" t="s">
        <v>24035</v>
      </c>
      <c r="E33481" s="2">
        <v>1839011</v>
      </c>
      <c r="F33481" s="4" t="str">
        <f>IF(B33481=B33480,"",B33481)</f>
        <v>Beolgyo</v>
      </c>
    </row>
    <row r="33482" spans="1:6" ht="15.75" customHeight="1">
      <c r="A33482" s="16" t="str">
        <f ca="1">IFERROR(__xludf.DUMMYFUNCTION("GOOGLETRANSLATE(B33897,""en"",""pt"")"),"Beohāri")</f>
        <v>Beohāri</v>
      </c>
      <c r="B33482" s="20" t="s">
        <v>33918</v>
      </c>
      <c r="C33482" s="20" t="s">
        <v>10178</v>
      </c>
      <c r="D33482" s="20" t="s">
        <v>10219</v>
      </c>
      <c r="E33482" s="10">
        <v>1276455</v>
      </c>
      <c r="F33482" s="4" t="str">
        <f>IF(B33482=B33481,"",B33482)</f>
        <v>Beohāri</v>
      </c>
    </row>
    <row r="33483" spans="1:6" ht="15.75" customHeight="1">
      <c r="A33483" s="15" t="s">
        <v>10666</v>
      </c>
      <c r="B33483" s="15" t="s">
        <v>10667</v>
      </c>
      <c r="C33483" s="15" t="s">
        <v>10178</v>
      </c>
      <c r="D33483" s="15" t="s">
        <v>10219</v>
      </c>
      <c r="E33483" s="2">
        <v>1276455</v>
      </c>
      <c r="F33483" s="4" t="e">
        <f>IF(B33483=#REF!,"",B33483)</f>
        <v>#REF!</v>
      </c>
    </row>
    <row r="33484" spans="1:6" ht="15.75" customHeight="1">
      <c r="A33484" s="15" t="s">
        <v>4549</v>
      </c>
      <c r="B33484" s="15" t="s">
        <v>4549</v>
      </c>
      <c r="C33484" s="15" t="s">
        <v>4487</v>
      </c>
      <c r="D33484" s="15" t="s">
        <v>4505</v>
      </c>
      <c r="E33484" s="2">
        <v>2038300</v>
      </c>
      <c r="F33484" s="4" t="e">
        <f>IF(B33484=#REF!,"",B33484)</f>
        <v>#REF!</v>
      </c>
    </row>
    <row r="33485" spans="1:6" ht="15.75" customHeight="1">
      <c r="A33485" s="15" t="s">
        <v>24932</v>
      </c>
      <c r="B33485" s="15" t="s">
        <v>24932</v>
      </c>
      <c r="C33485" s="15" t="s">
        <v>24924</v>
      </c>
      <c r="D33485" s="15" t="s">
        <v>1884</v>
      </c>
      <c r="E33485" s="2">
        <v>1249978</v>
      </c>
      <c r="F33485" s="4" t="e">
        <f>IF(B33485=#REF!,"",B33485)</f>
        <v>#REF!</v>
      </c>
    </row>
    <row r="33486" spans="1:6" ht="15.75" customHeight="1">
      <c r="A33486" s="16" t="s">
        <v>28017</v>
      </c>
      <c r="B33486" s="15" t="s">
        <v>28017</v>
      </c>
      <c r="C33486" s="16" t="s">
        <v>27788</v>
      </c>
      <c r="D33486" s="16" t="s">
        <v>27991</v>
      </c>
      <c r="E33486" s="2">
        <v>4101260</v>
      </c>
      <c r="F33486" s="4" t="e">
        <f>IF(B33486=#REF!,"",B33486)</f>
        <v>#REF!</v>
      </c>
    </row>
    <row r="33487" spans="1:6" ht="15.75" customHeight="1">
      <c r="A33487" s="16" t="s">
        <v>17454</v>
      </c>
      <c r="B33487" s="15" t="s">
        <v>17455</v>
      </c>
      <c r="C33487" s="16" t="s">
        <v>17432</v>
      </c>
      <c r="D33487" s="16" t="s">
        <v>17456</v>
      </c>
      <c r="E33487" s="2">
        <v>1779790</v>
      </c>
      <c r="F33487" s="4" t="e">
        <f>IF(B33487=#REF!,"",B33487)</f>
        <v>#REF!</v>
      </c>
    </row>
    <row r="33488" spans="1:6" ht="15.75" customHeight="1">
      <c r="A33488" s="15" t="s">
        <v>28015</v>
      </c>
      <c r="B33488" s="15" t="s">
        <v>28016</v>
      </c>
      <c r="C33488" s="15" t="s">
        <v>27788</v>
      </c>
      <c r="D33488" s="15" t="s">
        <v>27991</v>
      </c>
      <c r="E33488" s="2">
        <v>4101241</v>
      </c>
      <c r="F33488" s="4" t="str">
        <f>IF(B33488=B33487,"",B33488)</f>
        <v>Benton</v>
      </c>
    </row>
    <row r="33489" spans="1:6" ht="15.75" customHeight="1">
      <c r="A33489" s="16" t="str">
        <f ca="1">IFERROR(__xludf.DUMMYFUNCTION("GOOGLETRANSLATE(B25215,""en"",""pt"")"),"Bento Gonçalves")</f>
        <v>Bento Gonçalves</v>
      </c>
      <c r="B33489" s="20" t="s">
        <v>31710</v>
      </c>
      <c r="C33489" s="20" t="s">
        <v>1905</v>
      </c>
      <c r="D33489" s="20" t="s">
        <v>1951</v>
      </c>
      <c r="E33489" s="10">
        <v>3470073</v>
      </c>
      <c r="F33489" s="4" t="str">
        <f>IF(B33489=B33488,"",B33489)</f>
        <v>Bento Gonçalves</v>
      </c>
    </row>
    <row r="33490" spans="1:6" ht="15.75" customHeight="1">
      <c r="A33490" s="16" t="s">
        <v>2119</v>
      </c>
      <c r="B33490" s="15" t="s">
        <v>2120</v>
      </c>
      <c r="C33490" s="16" t="s">
        <v>1905</v>
      </c>
      <c r="D33490" s="16" t="s">
        <v>1951</v>
      </c>
      <c r="E33490" s="2">
        <v>3470073</v>
      </c>
      <c r="F33490" s="4" t="e">
        <f>IF(B33490=#REF!,"",B33490)</f>
        <v>#REF!</v>
      </c>
    </row>
    <row r="33491" spans="1:6" ht="15.75" customHeight="1">
      <c r="A33491" s="15" t="s">
        <v>27304</v>
      </c>
      <c r="B33491" s="15" t="s">
        <v>27304</v>
      </c>
      <c r="C33491" s="15" t="s">
        <v>27234</v>
      </c>
      <c r="D33491" s="15" t="s">
        <v>27241</v>
      </c>
      <c r="E33491" s="2">
        <v>2655882</v>
      </c>
      <c r="F33491" s="4" t="e">
        <f>IF(B33491=#REF!,"",B33491)</f>
        <v>#REF!</v>
      </c>
    </row>
    <row r="33492" spans="1:6" ht="15.75" customHeight="1">
      <c r="A33492" s="16" t="s">
        <v>18894</v>
      </c>
      <c r="B33492" s="15" t="s">
        <v>18894</v>
      </c>
      <c r="C33492" s="16" t="s">
        <v>18862</v>
      </c>
      <c r="D33492" s="16" t="s">
        <v>18868</v>
      </c>
      <c r="E33492" s="2">
        <v>2759178</v>
      </c>
      <c r="F33492" s="4" t="e">
        <f>IF(B33492=#REF!,"",B33492)</f>
        <v>#REF!</v>
      </c>
    </row>
    <row r="33493" spans="1:6" ht="15.75" customHeight="1">
      <c r="A33493" s="16" t="s">
        <v>17051</v>
      </c>
      <c r="B33493" s="15" t="s">
        <v>17051</v>
      </c>
      <c r="C33493" s="16" t="s">
        <v>5687</v>
      </c>
      <c r="D33493" s="16" t="s">
        <v>17052</v>
      </c>
      <c r="E33493" s="2">
        <v>2278682</v>
      </c>
      <c r="F33493" s="4" t="e">
        <f>IF(B33493=#REF!,"",B33493)</f>
        <v>#REF!</v>
      </c>
    </row>
    <row r="33494" spans="1:6" ht="15.75" customHeight="1">
      <c r="A33494" s="16" t="s">
        <v>28014</v>
      </c>
      <c r="B33494" s="15" t="s">
        <v>28014</v>
      </c>
      <c r="C33494" s="16" t="s">
        <v>27788</v>
      </c>
      <c r="D33494" s="16" t="s">
        <v>27819</v>
      </c>
      <c r="E33494" s="2">
        <v>5108815</v>
      </c>
      <c r="F33494" s="4" t="e">
        <f>IF(B33494=#REF!,"",B33494)</f>
        <v>#REF!</v>
      </c>
    </row>
    <row r="33495" spans="1:6" ht="15.75" customHeight="1">
      <c r="A33495" s="16" t="s">
        <v>8181</v>
      </c>
      <c r="B33495" s="15" t="s">
        <v>8181</v>
      </c>
      <c r="C33495" s="16" t="s">
        <v>8028</v>
      </c>
      <c r="D33495" s="16" t="s">
        <v>8050</v>
      </c>
      <c r="E33495" s="2">
        <v>2950978</v>
      </c>
      <c r="F33495" s="4" t="e">
        <f>IF(B33495=#REF!,"",B33495)</f>
        <v>#REF!</v>
      </c>
    </row>
    <row r="33496" spans="1:6" ht="15.75" customHeight="1">
      <c r="A33496" s="16" t="s">
        <v>28013</v>
      </c>
      <c r="B33496" s="15" t="s">
        <v>28013</v>
      </c>
      <c r="C33496" s="16" t="s">
        <v>27788</v>
      </c>
      <c r="D33496" s="16" t="s">
        <v>27799</v>
      </c>
      <c r="E33496" s="2">
        <v>4884509</v>
      </c>
      <c r="F33496" s="4" t="e">
        <f>IF(B33496=#REF!,"",B33496)</f>
        <v>#REF!</v>
      </c>
    </row>
    <row r="33497" spans="1:6" ht="15.75" customHeight="1">
      <c r="A33497" s="16" t="s">
        <v>255</v>
      </c>
      <c r="B33497" s="15" t="s">
        <v>255</v>
      </c>
      <c r="C33497" s="16" t="s">
        <v>153</v>
      </c>
      <c r="D33497" s="16" t="s">
        <v>253</v>
      </c>
      <c r="E33497" s="2">
        <v>2504385</v>
      </c>
      <c r="F33497" s="4" t="e">
        <f>IF(B33497=#REF!,"",B33497)</f>
        <v>#REF!</v>
      </c>
    </row>
    <row r="33498" spans="1:6" ht="15.75" customHeight="1">
      <c r="A33498" s="15" t="s">
        <v>4313</v>
      </c>
      <c r="B33498" s="15" t="s">
        <v>4313</v>
      </c>
      <c r="C33498" s="15" t="s">
        <v>4305</v>
      </c>
      <c r="D33498" s="15" t="s">
        <v>4314</v>
      </c>
      <c r="E33498" s="2">
        <v>2435508</v>
      </c>
      <c r="F33498" s="4" t="e">
        <f>IF(B33498=#REF!,"",B33498)</f>
        <v>#REF!</v>
      </c>
    </row>
    <row r="33499" spans="1:6" ht="15.75" customHeight="1">
      <c r="A33499" s="15" t="s">
        <v>23854</v>
      </c>
      <c r="B33499" s="15" t="s">
        <v>23854</v>
      </c>
      <c r="C33499" s="15" t="s">
        <v>23842</v>
      </c>
      <c r="D33499" s="15" t="s">
        <v>23855</v>
      </c>
      <c r="E33499" s="2">
        <v>1020098</v>
      </c>
      <c r="F33499" s="4" t="e">
        <f>IF(B33499=#REF!,"",B33499)</f>
        <v>#REF!</v>
      </c>
    </row>
    <row r="33500" spans="1:6" ht="15.75" customHeight="1">
      <c r="A33500" s="16" t="s">
        <v>17784</v>
      </c>
      <c r="B33500" s="15" t="s">
        <v>17784</v>
      </c>
      <c r="C33500" s="16" t="s">
        <v>17707</v>
      </c>
      <c r="D33500" s="16" t="s">
        <v>17711</v>
      </c>
      <c r="E33500" s="2">
        <v>3827406</v>
      </c>
      <c r="F33500" s="4" t="e">
        <f>IF(B33500=#REF!,"",B33500)</f>
        <v>#REF!</v>
      </c>
    </row>
    <row r="33501" spans="1:6" ht="15.75" customHeight="1">
      <c r="A33501" s="16" t="s">
        <v>19344</v>
      </c>
      <c r="B33501" s="15" t="s">
        <v>19345</v>
      </c>
      <c r="C33501" s="16" t="s">
        <v>19294</v>
      </c>
      <c r="D33501" s="16" t="s">
        <v>19328</v>
      </c>
      <c r="E33501" s="2">
        <v>2347283</v>
      </c>
      <c r="F33501" s="4" t="e">
        <f>IF(B33501=#REF!,"",B33501)</f>
        <v>#REF!</v>
      </c>
    </row>
    <row r="33502" spans="1:6" ht="15.75" customHeight="1">
      <c r="A33502" s="16" t="s">
        <v>24340</v>
      </c>
      <c r="B33502" s="15" t="s">
        <v>24340</v>
      </c>
      <c r="C33502" s="16" t="s">
        <v>24200</v>
      </c>
      <c r="D33502" s="16" t="s">
        <v>21053</v>
      </c>
      <c r="E33502" s="2">
        <v>2521088</v>
      </c>
      <c r="F33502" s="4" t="e">
        <f>IF(B33502=#REF!,"",B33502)</f>
        <v>#REF!</v>
      </c>
    </row>
    <row r="33503" spans="1:6" ht="15.75" customHeight="1">
      <c r="A33503" s="15" t="s">
        <v>28012</v>
      </c>
      <c r="B33503" s="15" t="s">
        <v>28012</v>
      </c>
      <c r="C33503" s="15" t="s">
        <v>27788</v>
      </c>
      <c r="D33503" s="15" t="s">
        <v>27801</v>
      </c>
      <c r="E33503" s="2">
        <v>5327550</v>
      </c>
      <c r="F33503" s="4" t="str">
        <f>IF(B33503=B33502,"",B33503)</f>
        <v>Benicia</v>
      </c>
    </row>
    <row r="33504" spans="1:6" ht="15.75" customHeight="1">
      <c r="A33504" s="16" t="str">
        <f ca="1">IFERROR(__xludf.DUMMYFUNCTION("GOOGLETRANSLATE(B29450,""en"",""pt"")"),"Benicàssim")</f>
        <v>Benicàssim</v>
      </c>
      <c r="B33504" s="20" t="s">
        <v>32466</v>
      </c>
      <c r="C33504" s="20" t="s">
        <v>24200</v>
      </c>
      <c r="D33504" s="20" t="s">
        <v>21053</v>
      </c>
      <c r="E33504" s="10">
        <v>3128272</v>
      </c>
      <c r="F33504" s="4" t="str">
        <f>IF(B33504=B33503,"",B33504)</f>
        <v>Benicàssim</v>
      </c>
    </row>
    <row r="33505" spans="1:6" ht="15.75" customHeight="1">
      <c r="A33505" s="16" t="str">
        <f ca="1">IFERROR(__xludf.DUMMYFUNCTION("GOOGLETRANSLATE(B29451,""en"",""pt"")"),"Benicarló")</f>
        <v>Benicarló</v>
      </c>
      <c r="B33505" s="20" t="s">
        <v>32467</v>
      </c>
      <c r="C33505" s="20" t="s">
        <v>24200</v>
      </c>
      <c r="D33505" s="20" t="s">
        <v>21053</v>
      </c>
      <c r="E33505" s="10">
        <v>3128273</v>
      </c>
      <c r="F33505" s="4" t="str">
        <f>IF(B33505=B33504,"",B33505)</f>
        <v>Benicarló</v>
      </c>
    </row>
    <row r="33506" spans="1:6" ht="15.75" customHeight="1">
      <c r="A33506" s="15" t="s">
        <v>24338</v>
      </c>
      <c r="B33506" s="15" t="s">
        <v>24339</v>
      </c>
      <c r="C33506" s="15" t="s">
        <v>24200</v>
      </c>
      <c r="D33506" s="15" t="s">
        <v>21053</v>
      </c>
      <c r="E33506" s="2">
        <v>3128273</v>
      </c>
      <c r="F33506" s="4" t="str">
        <f>IF(B33506=B33505,"",B33506)</f>
        <v>BenicarlÃ³</v>
      </c>
    </row>
    <row r="33507" spans="1:6" ht="15.75" customHeight="1">
      <c r="A33507" s="16" t="s">
        <v>24336</v>
      </c>
      <c r="B33507" s="15" t="s">
        <v>24337</v>
      </c>
      <c r="C33507" s="16" t="s">
        <v>24200</v>
      </c>
      <c r="D33507" s="16" t="s">
        <v>21053</v>
      </c>
      <c r="E33507" s="2">
        <v>3128272</v>
      </c>
      <c r="F33507" s="4" t="e">
        <f>IF(B33507=#REF!,"",B33507)</f>
        <v>#REF!</v>
      </c>
    </row>
    <row r="33508" spans="1:6" ht="15.75" customHeight="1">
      <c r="A33508" s="15" t="s">
        <v>254</v>
      </c>
      <c r="B33508" s="15" t="s">
        <v>254</v>
      </c>
      <c r="C33508" s="15" t="s">
        <v>153</v>
      </c>
      <c r="D33508" s="15" t="s">
        <v>209</v>
      </c>
      <c r="E33508" s="2">
        <v>2504581</v>
      </c>
      <c r="F33508" s="4" t="e">
        <f>IF(B33508=#REF!,"",B33508)</f>
        <v>#REF!</v>
      </c>
    </row>
    <row r="33509" spans="1:6" ht="15.75" customHeight="1">
      <c r="A33509" s="16" t="s">
        <v>251</v>
      </c>
      <c r="B33509" s="15" t="s">
        <v>252</v>
      </c>
      <c r="C33509" s="16" t="s">
        <v>153</v>
      </c>
      <c r="D33509" s="16" t="s">
        <v>253</v>
      </c>
      <c r="E33509" s="2">
        <v>2504616</v>
      </c>
      <c r="F33509" s="4" t="e">
        <f>IF(B33509=#REF!,"",B33509)</f>
        <v>#REF!</v>
      </c>
    </row>
    <row r="33510" spans="1:6" ht="15.75" customHeight="1">
      <c r="A33510" s="16" t="s">
        <v>249</v>
      </c>
      <c r="B33510" s="15" t="s">
        <v>249</v>
      </c>
      <c r="C33510" s="16" t="s">
        <v>153</v>
      </c>
      <c r="D33510" s="16" t="s">
        <v>250</v>
      </c>
      <c r="E33510" s="2">
        <v>2504622</v>
      </c>
      <c r="F33510" s="4" t="e">
        <f>IF(B33510=#REF!,"",B33510)</f>
        <v>#REF!</v>
      </c>
    </row>
    <row r="33511" spans="1:6" ht="15.75" customHeight="1">
      <c r="A33511" s="16" t="s">
        <v>18564</v>
      </c>
      <c r="B33511" s="15" t="s">
        <v>18564</v>
      </c>
      <c r="C33511" s="16" t="s">
        <v>18551</v>
      </c>
      <c r="D33511" s="16" t="s">
        <v>18565</v>
      </c>
      <c r="E33511" s="2">
        <v>2555745</v>
      </c>
      <c r="F33511" s="4" t="e">
        <f>IF(B33511=#REF!,"",B33511)</f>
        <v>#REF!</v>
      </c>
    </row>
    <row r="33512" spans="1:6" ht="15.75" customHeight="1">
      <c r="A33512" s="16" t="s">
        <v>26107</v>
      </c>
      <c r="B33512" s="15" t="s">
        <v>26107</v>
      </c>
      <c r="C33512" s="16" t="s">
        <v>26090</v>
      </c>
      <c r="D33512" s="16" t="s">
        <v>26108</v>
      </c>
      <c r="E33512" s="2">
        <v>2472722</v>
      </c>
      <c r="F33512" s="4" t="e">
        <f>IF(B33512=#REF!,"",B33512)</f>
        <v>#REF!</v>
      </c>
    </row>
    <row r="33513" spans="1:6" ht="15.75" customHeight="1">
      <c r="A33513" s="16" t="s">
        <v>248</v>
      </c>
      <c r="B33513" s="15" t="s">
        <v>248</v>
      </c>
      <c r="C33513" s="16" t="s">
        <v>153</v>
      </c>
      <c r="D33513" s="16" t="s">
        <v>172</v>
      </c>
      <c r="E33513" s="2">
        <v>2504703</v>
      </c>
      <c r="F33513" s="4" t="e">
        <f>IF(B33513=#REF!,"",B33513)</f>
        <v>#REF!</v>
      </c>
    </row>
    <row r="33514" spans="1:6" ht="15.75" customHeight="1">
      <c r="A33514" s="16" t="s">
        <v>247</v>
      </c>
      <c r="B33514" s="15" t="s">
        <v>247</v>
      </c>
      <c r="C33514" s="16" t="s">
        <v>153</v>
      </c>
      <c r="D33514" s="16" t="s">
        <v>229</v>
      </c>
      <c r="E33514" s="2">
        <v>2504739</v>
      </c>
      <c r="F33514" s="4" t="e">
        <f>IF(B33514=#REF!,"",B33514)</f>
        <v>#REF!</v>
      </c>
    </row>
    <row r="33515" spans="1:6" ht="15.75" customHeight="1">
      <c r="A33515" s="15" t="s">
        <v>6131</v>
      </c>
      <c r="B33515" s="15" t="s">
        <v>6131</v>
      </c>
      <c r="C33515" s="15" t="s">
        <v>6127</v>
      </c>
      <c r="D33515" s="15" t="s">
        <v>6132</v>
      </c>
      <c r="E33515" s="2">
        <v>219057</v>
      </c>
      <c r="F33515" s="4" t="e">
        <f>IF(B33515=#REF!,"",B33515)</f>
        <v>#REF!</v>
      </c>
    </row>
    <row r="33516" spans="1:6" ht="15.75" customHeight="1">
      <c r="A33516" s="15" t="s">
        <v>506</v>
      </c>
      <c r="B33516" s="15" t="s">
        <v>506</v>
      </c>
      <c r="C33516" s="15" t="s">
        <v>507</v>
      </c>
      <c r="D33516" s="15" t="s">
        <v>506</v>
      </c>
      <c r="E33516" s="2">
        <v>3351663</v>
      </c>
      <c r="F33516" s="4" t="e">
        <f>IF(B33516=#REF!,"",B33516)</f>
        <v>#REF!</v>
      </c>
    </row>
    <row r="33517" spans="1:6" ht="15.75" customHeight="1">
      <c r="A33517" s="15" t="s">
        <v>13850</v>
      </c>
      <c r="B33517" s="15" t="s">
        <v>13850</v>
      </c>
      <c r="C33517" s="15" t="s">
        <v>13800</v>
      </c>
      <c r="D33517" s="15" t="s">
        <v>13850</v>
      </c>
      <c r="E33517" s="2">
        <v>1649150</v>
      </c>
      <c r="F33517" s="4" t="e">
        <f>IF(B33517=#REF!,"",B33517)</f>
        <v>#REF!</v>
      </c>
    </row>
    <row r="33518" spans="1:6" ht="15.75" customHeight="1">
      <c r="A33518" s="15" t="s">
        <v>17111</v>
      </c>
      <c r="B33518" s="15" t="s">
        <v>17111</v>
      </c>
      <c r="C33518" s="15" t="s">
        <v>17074</v>
      </c>
      <c r="D33518" s="15" t="s">
        <v>17112</v>
      </c>
      <c r="E33518" s="2">
        <v>88319</v>
      </c>
      <c r="F33518" s="4" t="e">
        <f>IF(B33518=#REF!,"",B33518)</f>
        <v>#REF!</v>
      </c>
    </row>
    <row r="33519" spans="1:6" ht="15.75" customHeight="1">
      <c r="A33519" s="15" t="s">
        <v>4548</v>
      </c>
      <c r="B33519" s="15" t="s">
        <v>4548</v>
      </c>
      <c r="C33519" s="15" t="s">
        <v>4487</v>
      </c>
      <c r="D33519" s="15" t="s">
        <v>4501</v>
      </c>
      <c r="E33519" s="2">
        <v>1816440</v>
      </c>
      <c r="F33519" s="4" t="e">
        <f>IF(B33519=#REF!,"",B33519)</f>
        <v>#REF!</v>
      </c>
    </row>
    <row r="33520" spans="1:6" ht="15.75" customHeight="1">
      <c r="A33520" s="16" t="s">
        <v>10665</v>
      </c>
      <c r="B33520" s="15" t="s">
        <v>10665</v>
      </c>
      <c r="C33520" s="16" t="s">
        <v>10178</v>
      </c>
      <c r="D33520" s="16" t="s">
        <v>10252</v>
      </c>
      <c r="E33520" s="2">
        <v>1277333</v>
      </c>
      <c r="F33520" s="4" t="e">
        <f>IF(B33520=#REF!,"",B33520)</f>
        <v>#REF!</v>
      </c>
    </row>
    <row r="33521" spans="1:6" ht="15.75" customHeight="1">
      <c r="A33521" s="16" t="s">
        <v>2117</v>
      </c>
      <c r="B33521" s="15" t="s">
        <v>2118</v>
      </c>
      <c r="C33521" s="16" t="s">
        <v>1905</v>
      </c>
      <c r="D33521" s="16" t="s">
        <v>1906</v>
      </c>
      <c r="E33521" s="2">
        <v>3405792</v>
      </c>
      <c r="F33521" s="4" t="e">
        <f>IF(B33521=#REF!,"",B33521)</f>
        <v>#REF!</v>
      </c>
    </row>
    <row r="33522" spans="1:6" ht="15.75" customHeight="1">
      <c r="A33522" s="16" t="s">
        <v>14976</v>
      </c>
      <c r="B33522" s="15" t="s">
        <v>14976</v>
      </c>
      <c r="C33522" s="16" t="s">
        <v>14891</v>
      </c>
      <c r="D33522" s="16" t="s">
        <v>14896</v>
      </c>
      <c r="E33522" s="2">
        <v>3182179</v>
      </c>
      <c r="F33522" s="4" t="str">
        <f>IF(B33522=B33521,"",B33522)</f>
        <v>Benevento</v>
      </c>
    </row>
    <row r="33523" spans="1:6" ht="15.75" customHeight="1">
      <c r="A33523" s="16" t="str">
        <f ca="1">IFERROR(__xludf.DUMMYFUNCTION("GOOGLETRANSLATE(B29174,""en"",""pt"")"),"Benetússer")</f>
        <v>Benetússer</v>
      </c>
      <c r="B33523" s="20" t="s">
        <v>32395</v>
      </c>
      <c r="C33523" s="20" t="s">
        <v>24200</v>
      </c>
      <c r="D33523" s="20" t="s">
        <v>21053</v>
      </c>
      <c r="E33523" s="10">
        <v>2521105</v>
      </c>
      <c r="F33523" s="4" t="str">
        <f>IF(B33523=B33522,"",B33523)</f>
        <v>Benetússer</v>
      </c>
    </row>
    <row r="33524" spans="1:6" ht="15.75" customHeight="1">
      <c r="A33524" s="16" t="s">
        <v>24334</v>
      </c>
      <c r="B33524" s="15" t="s">
        <v>24335</v>
      </c>
      <c r="C33524" s="16" t="s">
        <v>24200</v>
      </c>
      <c r="D33524" s="16" t="s">
        <v>21053</v>
      </c>
      <c r="E33524" s="2">
        <v>2521105</v>
      </c>
      <c r="F33524" s="4" t="str">
        <f>IF(B33524=B33523,"",B33524)</f>
        <v>BenetÃºsser</v>
      </c>
    </row>
    <row r="33525" spans="1:6" ht="15.75" customHeight="1">
      <c r="A33525" s="16" t="str">
        <f ca="1">IFERROR(__xludf.DUMMYFUNCTION("GOOGLETRANSLATE(B27340,""en"",""pt"")"),"Benešov")</f>
        <v>Benešov</v>
      </c>
      <c r="B33525" s="20" t="s">
        <v>32005</v>
      </c>
      <c r="C33525" s="20" t="s">
        <v>5947</v>
      </c>
      <c r="D33525" s="20" t="s">
        <v>5985</v>
      </c>
      <c r="E33525" s="10">
        <v>3079508</v>
      </c>
      <c r="F33525" s="4" t="str">
        <f>IF(B33525=B33524,"",B33525)</f>
        <v>Benešov</v>
      </c>
    </row>
    <row r="33526" spans="1:6" ht="15.75" customHeight="1">
      <c r="A33526" s="16" t="s">
        <v>5983</v>
      </c>
      <c r="B33526" s="15" t="s">
        <v>5984</v>
      </c>
      <c r="C33526" s="16" t="s">
        <v>5947</v>
      </c>
      <c r="D33526" s="16" t="s">
        <v>5985</v>
      </c>
      <c r="E33526" s="2">
        <v>3079508</v>
      </c>
      <c r="F33526" s="4" t="str">
        <f>IF(B33526=B33525,"",B33526)</f>
        <v>BeneÅ¡ov</v>
      </c>
    </row>
    <row r="33527" spans="1:6" ht="15.75" customHeight="1">
      <c r="A33527" s="16" t="str">
        <f ca="1">IFERROR(__xludf.DUMMYFUNCTION("GOOGLETRANSLATE(B31816,""en"",""pt"")"),"Bené Beraq")</f>
        <v>Bené Beraq</v>
      </c>
      <c r="B33527" s="20" t="s">
        <v>32933</v>
      </c>
      <c r="C33527" s="20" t="s">
        <v>14773</v>
      </c>
      <c r="D33527" s="20" t="s">
        <v>14786</v>
      </c>
      <c r="E33527" s="10">
        <v>295514</v>
      </c>
      <c r="F33527" s="4" t="e">
        <f>IF(B33527=#REF!,"",B33527)</f>
        <v>#REF!</v>
      </c>
    </row>
    <row r="33528" spans="1:6" ht="15.75" customHeight="1">
      <c r="A33528" s="15" t="s">
        <v>8180</v>
      </c>
      <c r="B33528" s="15" t="s">
        <v>8180</v>
      </c>
      <c r="C33528" s="15" t="s">
        <v>8028</v>
      </c>
      <c r="D33528" s="15" t="s">
        <v>8065</v>
      </c>
      <c r="E33528" s="2">
        <v>2951111</v>
      </c>
      <c r="F33528" s="4" t="e">
        <f>IF(B33528=#REF!,"",B33528)</f>
        <v>#REF!</v>
      </c>
    </row>
    <row r="33529" spans="1:6" ht="15.75" customHeight="1">
      <c r="A33529" s="15" t="s">
        <v>906</v>
      </c>
      <c r="B33529" s="15" t="s">
        <v>906</v>
      </c>
      <c r="C33529" s="15" t="s">
        <v>885</v>
      </c>
      <c r="D33529" s="15" t="s">
        <v>827</v>
      </c>
      <c r="E33529" s="2">
        <v>2176187</v>
      </c>
      <c r="F33529" s="4" t="e">
        <f>IF(B33529=#REF!,"",B33529)</f>
        <v>#REF!</v>
      </c>
    </row>
    <row r="33530" spans="1:6" ht="15.75" customHeight="1">
      <c r="A33530" s="15" t="s">
        <v>18456</v>
      </c>
      <c r="B33530" s="15" t="s">
        <v>18456</v>
      </c>
      <c r="C33530" s="15" t="s">
        <v>18455</v>
      </c>
      <c r="D33530" s="15" t="s">
        <v>18456</v>
      </c>
      <c r="E33530" s="2">
        <v>618577</v>
      </c>
      <c r="F33530" s="4" t="e">
        <f>IF(B33530=#REF!,"",B33530)</f>
        <v>#REF!</v>
      </c>
    </row>
    <row r="33531" spans="1:6" ht="15.75" customHeight="1">
      <c r="A33531" s="15" t="s">
        <v>19342</v>
      </c>
      <c r="B33531" s="15" t="s">
        <v>19343</v>
      </c>
      <c r="C33531" s="15" t="s">
        <v>19294</v>
      </c>
      <c r="D33531" s="15" t="s">
        <v>19295</v>
      </c>
      <c r="E33531" s="2">
        <v>2347303</v>
      </c>
      <c r="F33531" s="4" t="e">
        <f>IF(B33531=#REF!,"",B33531)</f>
        <v>#REF!</v>
      </c>
    </row>
    <row r="33532" spans="1:6" ht="15.75" customHeight="1">
      <c r="A33532" s="15" t="s">
        <v>28010</v>
      </c>
      <c r="B33532" s="15" t="s">
        <v>28011</v>
      </c>
      <c r="C33532" s="15" t="s">
        <v>27788</v>
      </c>
      <c r="D33532" s="15" t="s">
        <v>27820</v>
      </c>
      <c r="E33532" s="2">
        <v>5713587</v>
      </c>
      <c r="F33532" s="4" t="e">
        <f>IF(B33532=#REF!,"",B33532)</f>
        <v>#REF!</v>
      </c>
    </row>
    <row r="33533" spans="1:6" ht="15.75" customHeight="1">
      <c r="A33533" s="15" t="s">
        <v>28009</v>
      </c>
      <c r="B33533" s="15" t="s">
        <v>28009</v>
      </c>
      <c r="C33533" s="15" t="s">
        <v>27788</v>
      </c>
      <c r="D33533" s="15" t="s">
        <v>27792</v>
      </c>
      <c r="E33533" s="2">
        <v>4673482</v>
      </c>
      <c r="F33533" s="4" t="e">
        <f>IF(B33533=#REF!,"",B33533)</f>
        <v>#REF!</v>
      </c>
    </row>
    <row r="33534" spans="1:6" ht="15.75" customHeight="1">
      <c r="A33534" s="16" t="s">
        <v>24332</v>
      </c>
      <c r="B33534" s="15" t="s">
        <v>24333</v>
      </c>
      <c r="C33534" s="16" t="s">
        <v>24200</v>
      </c>
      <c r="D33534" s="16" t="s">
        <v>24210</v>
      </c>
      <c r="E33534" s="2">
        <v>3128291</v>
      </c>
      <c r="F33534" s="4" t="str">
        <f>IF(B33534=B33533,"",B33534)</f>
        <v>Benavente</v>
      </c>
    </row>
    <row r="33535" spans="1:6" ht="15.75" customHeight="1">
      <c r="A33535" s="16" t="str">
        <f ca="1">IFERROR(__xludf.DUMMYFUNCTION("GOOGLETRANSLATE(B29175,""en"",""pt"")"),"Benalmádena")</f>
        <v>Benalmádena</v>
      </c>
      <c r="B33535" s="20" t="s">
        <v>32396</v>
      </c>
      <c r="C33535" s="20" t="s">
        <v>24200</v>
      </c>
      <c r="D33535" s="20" t="s">
        <v>24205</v>
      </c>
      <c r="E33535" s="10">
        <v>2521139</v>
      </c>
      <c r="F33535" s="4" t="str">
        <f>IF(B33535=B33534,"",B33535)</f>
        <v>Benalmádena</v>
      </c>
    </row>
    <row r="33536" spans="1:6" ht="15.75" customHeight="1">
      <c r="A33536" s="16" t="s">
        <v>24330</v>
      </c>
      <c r="B33536" s="15" t="s">
        <v>24331</v>
      </c>
      <c r="C33536" s="16" t="s">
        <v>24200</v>
      </c>
      <c r="D33536" s="16" t="s">
        <v>24205</v>
      </c>
      <c r="E33536" s="2">
        <v>2521139</v>
      </c>
      <c r="F33536" s="4" t="str">
        <f>IF(B33536=B33535,"",B33536)</f>
        <v>BenalmÃ¡dena</v>
      </c>
    </row>
    <row r="33537" spans="1:6" ht="15.75" customHeight="1">
      <c r="A33537" s="16" t="s">
        <v>14788</v>
      </c>
      <c r="B33537" s="15" t="s">
        <v>14789</v>
      </c>
      <c r="C33537" s="16" t="s">
        <v>14773</v>
      </c>
      <c r="D33537" s="16" t="s">
        <v>14786</v>
      </c>
      <c r="E33537" s="2">
        <v>295514</v>
      </c>
      <c r="F33537" s="4" t="str">
        <f>IF(B33537=B33536,"",B33537)</f>
        <v>BenÃ© Beraq</v>
      </c>
    </row>
    <row r="33538" spans="1:6" ht="15.75" customHeight="1">
      <c r="A33538" s="16" t="str">
        <f ca="1">IFERROR(__xludf.DUMMYFUNCTION("GOOGLETRANSLATE(B45785,""en"",""pt"")"),"Bến Tre")</f>
        <v>Bến Tre</v>
      </c>
      <c r="B33538" s="20" t="s">
        <v>36196</v>
      </c>
      <c r="C33538" s="20" t="s">
        <v>30784</v>
      </c>
      <c r="D33538" s="20" t="s">
        <v>36196</v>
      </c>
      <c r="E33538" s="10">
        <v>1587976</v>
      </c>
      <c r="F33538" s="4" t="e">
        <f>IF(B33538=#REF!,"",B33538)</f>
        <v>#REF!</v>
      </c>
    </row>
    <row r="33539" spans="1:6" ht="15.75" customHeight="1">
      <c r="A33539" s="16" t="s">
        <v>245</v>
      </c>
      <c r="B33539" s="15" t="s">
        <v>245</v>
      </c>
      <c r="C33539" s="16" t="s">
        <v>153</v>
      </c>
      <c r="D33539" s="16" t="s">
        <v>246</v>
      </c>
      <c r="E33539" s="2">
        <v>2504486</v>
      </c>
      <c r="F33539" s="4" t="e">
        <f>IF(B33539=#REF!,"",B33539)</f>
        <v>#REF!</v>
      </c>
    </row>
    <row r="33540" spans="1:6" ht="15.75" customHeight="1">
      <c r="A33540" s="16" t="s">
        <v>26104</v>
      </c>
      <c r="B33540" s="15" t="s">
        <v>26105</v>
      </c>
      <c r="C33540" s="16" t="s">
        <v>26090</v>
      </c>
      <c r="D33540" s="16" t="s">
        <v>26106</v>
      </c>
      <c r="E33540" s="2">
        <v>2472479</v>
      </c>
      <c r="F33540" s="4" t="e">
        <f>IF(B33540=#REF!,"",B33540)</f>
        <v>#REF!</v>
      </c>
    </row>
    <row r="33541" spans="1:6" ht="15.75" customHeight="1">
      <c r="A33541" s="15" t="s">
        <v>21136</v>
      </c>
      <c r="B33541" s="15" t="s">
        <v>21136</v>
      </c>
      <c r="C33541" s="15" t="s">
        <v>21064</v>
      </c>
      <c r="D33541" s="15" t="s">
        <v>21070</v>
      </c>
      <c r="E33541" s="2">
        <v>776251</v>
      </c>
      <c r="F33541" s="4" t="str">
        <f>IF(B33541=B33540,"",B33541)</f>
        <v>Bemowo</v>
      </c>
    </row>
    <row r="33542" spans="1:6" ht="15.75" customHeight="1">
      <c r="A33542" s="16" t="str">
        <f ca="1">IFERROR(__xludf.DUMMYFUNCTION("GOOGLETRANSLATE(B33898,""en"",""pt"")"),"Bemetāra")</f>
        <v>Bemetāra</v>
      </c>
      <c r="B33542" s="20" t="s">
        <v>33919</v>
      </c>
      <c r="C33542" s="20" t="s">
        <v>10178</v>
      </c>
      <c r="D33542" s="20" t="s">
        <v>10272</v>
      </c>
      <c r="E33542" s="10">
        <v>1276478</v>
      </c>
      <c r="F33542" s="4" t="str">
        <f>IF(B33542=B33541,"",B33542)</f>
        <v>Bemetāra</v>
      </c>
    </row>
    <row r="33543" spans="1:6" ht="15.75" customHeight="1">
      <c r="A33543" s="16" t="s">
        <v>10663</v>
      </c>
      <c r="B33543" s="15" t="s">
        <v>10664</v>
      </c>
      <c r="C33543" s="16" t="s">
        <v>10178</v>
      </c>
      <c r="D33543" s="16" t="s">
        <v>10272</v>
      </c>
      <c r="E33543" s="2">
        <v>1276478</v>
      </c>
      <c r="F33543" s="4" t="str">
        <f>IF(B33543=B33542,"",B33543)</f>
        <v>BemetÄra</v>
      </c>
    </row>
    <row r="33544" spans="1:6" ht="15.75" customHeight="1">
      <c r="A33544" s="16" t="str">
        <f ca="1">IFERROR(__xludf.DUMMYFUNCTION("GOOGLETRANSLATE(B24102,""en"",""pt"")"),"Bembèrèkè")</f>
        <v>Bembèrèkè</v>
      </c>
      <c r="B33544" s="20" t="s">
        <v>31334</v>
      </c>
      <c r="C33544" s="20" t="s">
        <v>1741</v>
      </c>
      <c r="D33544" s="20" t="s">
        <v>1755</v>
      </c>
      <c r="E33544" s="10">
        <v>2395182</v>
      </c>
      <c r="F33544" s="4" t="str">
        <f>IF(B33544=B33543,"",B33544)</f>
        <v>Bembèrèkè</v>
      </c>
    </row>
    <row r="33545" spans="1:6" ht="15.75" customHeight="1">
      <c r="A33545" s="16" t="s">
        <v>1753</v>
      </c>
      <c r="B33545" s="15" t="s">
        <v>1754</v>
      </c>
      <c r="C33545" s="16" t="s">
        <v>1741</v>
      </c>
      <c r="D33545" s="16" t="s">
        <v>1755</v>
      </c>
      <c r="E33545" s="2">
        <v>2395182</v>
      </c>
      <c r="F33545" s="4" t="e">
        <f>IF(B33545=#REF!,"",B33545)</f>
        <v>#REF!</v>
      </c>
    </row>
    <row r="33546" spans="1:6" ht="15.75" customHeight="1">
      <c r="A33546" s="15" t="s">
        <v>28008</v>
      </c>
      <c r="B33546" s="15" t="s">
        <v>28008</v>
      </c>
      <c r="C33546" s="15" t="s">
        <v>27788</v>
      </c>
      <c r="D33546" s="15" t="s">
        <v>27799</v>
      </c>
      <c r="E33546" s="2">
        <v>4884453</v>
      </c>
      <c r="F33546" s="4" t="e">
        <f>IF(B33546=#REF!,"",B33546)</f>
        <v>#REF!</v>
      </c>
    </row>
    <row r="33547" spans="1:6" ht="15.75" customHeight="1">
      <c r="A33547" s="16" t="s">
        <v>28007</v>
      </c>
      <c r="B33547" s="15" t="s">
        <v>28007</v>
      </c>
      <c r="C33547" s="16" t="s">
        <v>27788</v>
      </c>
      <c r="D33547" s="16" t="s">
        <v>7988</v>
      </c>
      <c r="E33547" s="2">
        <v>4181936</v>
      </c>
      <c r="F33547" s="4" t="str">
        <f>IF(B33547=B33546,"",B33547)</f>
        <v>Belvedere Park</v>
      </c>
    </row>
    <row r="33548" spans="1:6" ht="15.75" customHeight="1">
      <c r="A33548" s="16" t="str">
        <f ca="1">IFERROR(__xludf.DUMMYFUNCTION("GOOGLETRANSLATE(B33899,""en"",""pt"")"),"Belūr")</f>
        <v>Belūr</v>
      </c>
      <c r="B33548" s="20" t="s">
        <v>33920</v>
      </c>
      <c r="C33548" s="20" t="s">
        <v>10178</v>
      </c>
      <c r="D33548" s="20" t="s">
        <v>10252</v>
      </c>
      <c r="E33548" s="10">
        <v>1276486</v>
      </c>
      <c r="F33548" s="4" t="e">
        <f>IF(B33548=#REF!,"",B33548)</f>
        <v>#REF!</v>
      </c>
    </row>
    <row r="33549" spans="1:6" ht="15.75" customHeight="1">
      <c r="A33549" s="15" t="s">
        <v>28006</v>
      </c>
      <c r="B33549" s="15" t="s">
        <v>28006</v>
      </c>
      <c r="C33549" s="15" t="s">
        <v>27788</v>
      </c>
      <c r="D33549" s="15" t="s">
        <v>17061</v>
      </c>
      <c r="E33549" s="2">
        <v>4348353</v>
      </c>
      <c r="F33549" s="4" t="e">
        <f>IF(B33549=#REF!,"",B33549)</f>
        <v>#REF!</v>
      </c>
    </row>
    <row r="33550" spans="1:6" ht="15.75" customHeight="1">
      <c r="A33550" s="16" t="s">
        <v>28004</v>
      </c>
      <c r="B33550" s="15" t="s">
        <v>28005</v>
      </c>
      <c r="C33550" s="16" t="s">
        <v>27788</v>
      </c>
      <c r="D33550" s="16" t="s">
        <v>27806</v>
      </c>
      <c r="E33550" s="2">
        <v>4376482</v>
      </c>
      <c r="F33550" s="4" t="e">
        <f>IF(B33550=#REF!,"",B33550)</f>
        <v>#REF!</v>
      </c>
    </row>
    <row r="33551" spans="1:6" ht="15.75" customHeight="1">
      <c r="A33551" s="15" t="s">
        <v>10662</v>
      </c>
      <c r="B33551" s="15" t="s">
        <v>10662</v>
      </c>
      <c r="C33551" s="15" t="s">
        <v>10178</v>
      </c>
      <c r="D33551" s="15" t="s">
        <v>10317</v>
      </c>
      <c r="E33551" s="2">
        <v>1276495</v>
      </c>
      <c r="F33551" s="4" t="e">
        <f>IF(B33551=#REF!,"",B33551)</f>
        <v>#REF!</v>
      </c>
    </row>
    <row r="33552" spans="1:6" ht="15.75" customHeight="1">
      <c r="A33552" s="15" t="s">
        <v>27303</v>
      </c>
      <c r="B33552" s="15" t="s">
        <v>27303</v>
      </c>
      <c r="C33552" s="15" t="s">
        <v>27234</v>
      </c>
      <c r="D33552" s="15" t="s">
        <v>27241</v>
      </c>
      <c r="E33552" s="2">
        <v>2655942</v>
      </c>
      <c r="F33552" s="4" t="e">
        <f>IF(B33552=#REF!,"",B33552)</f>
        <v>#REF!</v>
      </c>
    </row>
    <row r="33553" spans="1:6" ht="15.75" customHeight="1">
      <c r="A33553" s="15" t="s">
        <v>14975</v>
      </c>
      <c r="B33553" s="15" t="s">
        <v>14975</v>
      </c>
      <c r="C33553" s="15" t="s">
        <v>14891</v>
      </c>
      <c r="D33553" s="15" t="s">
        <v>14899</v>
      </c>
      <c r="E33553" s="2">
        <v>2525571</v>
      </c>
      <c r="F33553" s="4" t="e">
        <f>IF(B33553=#REF!,"",B33553)</f>
        <v>#REF!</v>
      </c>
    </row>
    <row r="33554" spans="1:6" ht="15.75" customHeight="1">
      <c r="A33554" s="16" t="s">
        <v>22216</v>
      </c>
      <c r="B33554" s="15" t="s">
        <v>22216</v>
      </c>
      <c r="C33554" s="16" t="s">
        <v>22070</v>
      </c>
      <c r="D33554" s="16" t="s">
        <v>22217</v>
      </c>
      <c r="E33554" s="2">
        <v>1510450</v>
      </c>
      <c r="F33554" s="4" t="e">
        <f>IF(B33554=#REF!,"",B33554)</f>
        <v>#REF!</v>
      </c>
    </row>
    <row r="33555" spans="1:6" ht="15.75" customHeight="1">
      <c r="A33555" s="15" t="s">
        <v>22215</v>
      </c>
      <c r="B33555" s="15" t="s">
        <v>22215</v>
      </c>
      <c r="C33555" s="15" t="s">
        <v>22070</v>
      </c>
      <c r="D33555" s="15" t="s">
        <v>22140</v>
      </c>
      <c r="E33555" s="2">
        <v>1510469</v>
      </c>
      <c r="F33555" s="4" t="e">
        <f>IF(B33555=#REF!,"",B33555)</f>
        <v>#REF!</v>
      </c>
    </row>
    <row r="33556" spans="1:6" ht="15.75" customHeight="1">
      <c r="A33556" s="15" t="s">
        <v>22214</v>
      </c>
      <c r="B33556" s="15" t="s">
        <v>22214</v>
      </c>
      <c r="C33556" s="15" t="s">
        <v>22070</v>
      </c>
      <c r="D33556" s="15" t="s">
        <v>22088</v>
      </c>
      <c r="E33556" s="2">
        <v>577881</v>
      </c>
      <c r="F33556" s="4" t="e">
        <f>IF(B33556=#REF!,"",B33556)</f>
        <v>#REF!</v>
      </c>
    </row>
    <row r="33557" spans="1:6" ht="15.75" customHeight="1">
      <c r="A33557" s="16" t="s">
        <v>22213</v>
      </c>
      <c r="B33557" s="15" t="s">
        <v>22213</v>
      </c>
      <c r="C33557" s="16" t="s">
        <v>22070</v>
      </c>
      <c r="D33557" s="16" t="s">
        <v>22077</v>
      </c>
      <c r="E33557" s="2">
        <v>577893</v>
      </c>
      <c r="F33557" s="4" t="str">
        <f>IF(B33557=B33556,"",B33557)</f>
        <v>Belorechensk</v>
      </c>
    </row>
    <row r="33558" spans="1:6" ht="15.75" customHeight="1">
      <c r="A33558" s="16" t="str">
        <f ca="1">IFERROR(__xludf.DUMMYFUNCTION("GOOGLETRANSLATE(B40635,""en"",""pt"")"),"Beloozërskiy")</f>
        <v>Beloozërskiy</v>
      </c>
      <c r="B33558" s="20" t="s">
        <v>35523</v>
      </c>
      <c r="C33558" s="20" t="s">
        <v>22070</v>
      </c>
      <c r="D33558" s="20" t="s">
        <v>22119</v>
      </c>
      <c r="E33558" s="10">
        <v>577901</v>
      </c>
      <c r="F33558" s="4" t="str">
        <f>IF(B33558=B33557,"",B33558)</f>
        <v>Beloozërskiy</v>
      </c>
    </row>
    <row r="33559" spans="1:6" ht="15.75" customHeight="1">
      <c r="A33559" s="16" t="s">
        <v>22211</v>
      </c>
      <c r="B33559" s="15" t="s">
        <v>22212</v>
      </c>
      <c r="C33559" s="16" t="s">
        <v>22070</v>
      </c>
      <c r="D33559" s="16" t="s">
        <v>22119</v>
      </c>
      <c r="E33559" s="2">
        <v>577901</v>
      </c>
      <c r="F33559" s="4" t="e">
        <f>IF(B33559=#REF!,"",B33559)</f>
        <v>#REF!</v>
      </c>
    </row>
    <row r="33560" spans="1:6" ht="15.75" customHeight="1">
      <c r="A33560" s="15" t="s">
        <v>10661</v>
      </c>
      <c r="B33560" s="15" t="s">
        <v>10661</v>
      </c>
      <c r="C33560" s="15" t="s">
        <v>10178</v>
      </c>
      <c r="D33560" s="15" t="s">
        <v>10255</v>
      </c>
      <c r="E33560" s="2">
        <v>1276502</v>
      </c>
      <c r="F33560" s="4" t="e">
        <f>IF(B33560=#REF!,"",B33560)</f>
        <v>#REF!</v>
      </c>
    </row>
    <row r="33561" spans="1:6" ht="15.75" customHeight="1">
      <c r="A33561" s="15" t="s">
        <v>28003</v>
      </c>
      <c r="B33561" s="15" t="s">
        <v>28003</v>
      </c>
      <c r="C33561" s="15" t="s">
        <v>27788</v>
      </c>
      <c r="D33561" s="15" t="s">
        <v>27890</v>
      </c>
      <c r="E33561" s="2">
        <v>5245387</v>
      </c>
      <c r="F33561" s="4" t="e">
        <f>IF(B33561=#REF!,"",B33561)</f>
        <v>#REF!</v>
      </c>
    </row>
    <row r="33562" spans="1:6" ht="15.75" customHeight="1">
      <c r="A33562" s="15" t="s">
        <v>17346</v>
      </c>
      <c r="B33562" s="15" t="s">
        <v>17346</v>
      </c>
      <c r="C33562" s="15" t="s">
        <v>17292</v>
      </c>
      <c r="D33562" s="15" t="s">
        <v>17317</v>
      </c>
      <c r="E33562" s="2">
        <v>1067565</v>
      </c>
      <c r="F33562" s="4" t="e">
        <f>IF(B33562=#REF!,"",B33562)</f>
        <v>#REF!</v>
      </c>
    </row>
    <row r="33563" spans="1:6" ht="15.75" customHeight="1">
      <c r="A33563" s="15" t="s">
        <v>22209</v>
      </c>
      <c r="B33563" s="15" t="s">
        <v>22209</v>
      </c>
      <c r="C33563" s="15" t="s">
        <v>22070</v>
      </c>
      <c r="D33563" s="15" t="s">
        <v>22210</v>
      </c>
      <c r="E33563" s="2">
        <v>2026895</v>
      </c>
      <c r="F33563" s="4" t="e">
        <f>IF(B33563=#REF!,"",B33563)</f>
        <v>#REF!</v>
      </c>
    </row>
    <row r="33564" spans="1:6" ht="15.75" customHeight="1">
      <c r="A33564" s="15" t="s">
        <v>3993</v>
      </c>
      <c r="B33564" s="15" t="s">
        <v>3993</v>
      </c>
      <c r="C33564" s="15" t="s">
        <v>3975</v>
      </c>
      <c r="D33564" s="15" t="s">
        <v>3982</v>
      </c>
      <c r="E33564" s="2">
        <v>5898138</v>
      </c>
      <c r="F33564" s="4" t="e">
        <f>IF(B33564=#REF!,"",B33564)</f>
        <v>#REF!</v>
      </c>
    </row>
    <row r="33565" spans="1:6" ht="15.75" customHeight="1">
      <c r="A33565" s="16" t="s">
        <v>17343</v>
      </c>
      <c r="B33565" s="15" t="s">
        <v>17344</v>
      </c>
      <c r="C33565" s="16" t="s">
        <v>17292</v>
      </c>
      <c r="D33565" s="16" t="s">
        <v>17345</v>
      </c>
      <c r="E33565" s="2">
        <v>1067531</v>
      </c>
      <c r="F33565" s="4" t="e">
        <f>IF(B33565=#REF!,"",B33565)</f>
        <v>#REF!</v>
      </c>
    </row>
    <row r="33566" spans="1:6" ht="15.75" customHeight="1">
      <c r="A33566" s="16" t="s">
        <v>2116</v>
      </c>
      <c r="B33566" s="15" t="s">
        <v>2116</v>
      </c>
      <c r="C33566" s="16" t="s">
        <v>1905</v>
      </c>
      <c r="D33566" s="16" t="s">
        <v>1917</v>
      </c>
      <c r="E33566" s="2">
        <v>3470117</v>
      </c>
      <c r="F33566" s="4" t="e">
        <f>IF(B33566=#REF!,"",B33566)</f>
        <v>#REF!</v>
      </c>
    </row>
    <row r="33567" spans="1:6" ht="15.75" customHeight="1">
      <c r="A33567" s="16" t="s">
        <v>2115</v>
      </c>
      <c r="B33567" s="15" t="s">
        <v>2115</v>
      </c>
      <c r="C33567" s="16" t="s">
        <v>1905</v>
      </c>
      <c r="D33567" s="16" t="s">
        <v>1909</v>
      </c>
      <c r="E33567" s="2">
        <v>3405812</v>
      </c>
      <c r="F33567" s="4" t="e">
        <f>IF(B33567=#REF!,"",B33567)</f>
        <v>#REF!</v>
      </c>
    </row>
    <row r="33568" spans="1:6" ht="15.75" customHeight="1">
      <c r="A33568" s="16" t="s">
        <v>2114</v>
      </c>
      <c r="B33568" s="15" t="s">
        <v>2114</v>
      </c>
      <c r="C33568" s="16" t="s">
        <v>1905</v>
      </c>
      <c r="D33568" s="16" t="s">
        <v>1917</v>
      </c>
      <c r="E33568" s="2">
        <v>3470127</v>
      </c>
      <c r="F33568" s="4" t="e">
        <f>IF(B33568=#REF!,"",B33568)</f>
        <v>#REF!</v>
      </c>
    </row>
    <row r="33569" spans="1:6" ht="15.75" customHeight="1">
      <c r="A33569" s="16" t="s">
        <v>1735</v>
      </c>
      <c r="B33569" s="15" t="s">
        <v>1735</v>
      </c>
      <c r="C33569" s="16" t="s">
        <v>1734</v>
      </c>
      <c r="D33569" s="16" t="s">
        <v>1736</v>
      </c>
      <c r="E33569" s="2">
        <v>3582672</v>
      </c>
      <c r="F33569" s="4" t="e">
        <f>IF(B33569=#REF!,"",B33569)</f>
        <v>#REF!</v>
      </c>
    </row>
    <row r="33570" spans="1:6" ht="15.75" customHeight="1">
      <c r="A33570" s="15" t="s">
        <v>28002</v>
      </c>
      <c r="B33570" s="15" t="s">
        <v>28002</v>
      </c>
      <c r="C33570" s="15" t="s">
        <v>27788</v>
      </c>
      <c r="D33570" s="15" t="s">
        <v>27794</v>
      </c>
      <c r="E33570" s="2">
        <v>4930282</v>
      </c>
      <c r="F33570" s="4" t="e">
        <f>IF(B33570=#REF!,"",B33570)</f>
        <v>#REF!</v>
      </c>
    </row>
    <row r="33571" spans="1:6" ht="15.75" customHeight="1">
      <c r="A33571" s="15" t="s">
        <v>28001</v>
      </c>
      <c r="B33571" s="15" t="s">
        <v>28001</v>
      </c>
      <c r="C33571" s="15" t="s">
        <v>27788</v>
      </c>
      <c r="D33571" s="15" t="s">
        <v>27799</v>
      </c>
      <c r="E33571" s="2">
        <v>4884434</v>
      </c>
      <c r="F33571" s="4" t="e">
        <f>IF(B33571=#REF!,"",B33571)</f>
        <v>#REF!</v>
      </c>
    </row>
    <row r="33572" spans="1:6" ht="15.75" customHeight="1">
      <c r="A33572" s="15" t="s">
        <v>28000</v>
      </c>
      <c r="B33572" s="15" t="s">
        <v>28000</v>
      </c>
      <c r="C33572" s="15" t="s">
        <v>27788</v>
      </c>
      <c r="D33572" s="15" t="s">
        <v>5468</v>
      </c>
      <c r="E33572" s="2">
        <v>4147290</v>
      </c>
      <c r="F33572" s="4" t="e">
        <f>IF(B33572=#REF!,"",B33572)</f>
        <v>#REF!</v>
      </c>
    </row>
    <row r="33573" spans="1:6" ht="15.75" customHeight="1">
      <c r="A33573" s="15" t="s">
        <v>14974</v>
      </c>
      <c r="B33573" s="15" t="s">
        <v>14974</v>
      </c>
      <c r="C33573" s="15" t="s">
        <v>14891</v>
      </c>
      <c r="D33573" s="15" t="s">
        <v>14892</v>
      </c>
      <c r="E33573" s="2">
        <v>3182210</v>
      </c>
      <c r="F33573" s="4" t="e">
        <f>IF(B33573=#REF!,"",B33573)</f>
        <v>#REF!</v>
      </c>
    </row>
    <row r="33574" spans="1:6" ht="15.75" customHeight="1">
      <c r="A33574" s="15" t="s">
        <v>27302</v>
      </c>
      <c r="B33574" s="15" t="s">
        <v>27302</v>
      </c>
      <c r="C33574" s="15" t="s">
        <v>27234</v>
      </c>
      <c r="D33574" s="15" t="s">
        <v>27237</v>
      </c>
      <c r="E33574" s="2">
        <v>2655952</v>
      </c>
      <c r="F33574" s="4" t="e">
        <f>IF(B33574=#REF!,"",B33574)</f>
        <v>#REF!</v>
      </c>
    </row>
    <row r="33575" spans="1:6" ht="15.75" customHeight="1">
      <c r="A33575" s="15" t="s">
        <v>5389</v>
      </c>
      <c r="B33575" s="15" t="s">
        <v>5389</v>
      </c>
      <c r="C33575" s="15" t="s">
        <v>5348</v>
      </c>
      <c r="D33575" s="15" t="s">
        <v>5362</v>
      </c>
      <c r="E33575" s="2">
        <v>3688928</v>
      </c>
      <c r="F33575" s="4" t="e">
        <f>IF(B33575=#REF!,"",B33575)</f>
        <v>#REF!</v>
      </c>
    </row>
    <row r="33576" spans="1:6" ht="15.75" customHeight="1">
      <c r="A33576" s="15" t="s">
        <v>27999</v>
      </c>
      <c r="B33576" s="15" t="s">
        <v>27999</v>
      </c>
      <c r="C33576" s="15" t="s">
        <v>27788</v>
      </c>
      <c r="D33576" s="15" t="s">
        <v>27819</v>
      </c>
      <c r="E33576" s="2">
        <v>5108707</v>
      </c>
      <c r="F33576" s="4" t="e">
        <f>IF(B33576=#REF!,"",B33576)</f>
        <v>#REF!</v>
      </c>
    </row>
    <row r="33577" spans="1:6" ht="15.75" customHeight="1">
      <c r="A33577" s="16" t="s">
        <v>25248</v>
      </c>
      <c r="B33577" s="15" t="s">
        <v>25248</v>
      </c>
      <c r="C33577" s="16" t="s">
        <v>25237</v>
      </c>
      <c r="D33577" s="16" t="s">
        <v>25249</v>
      </c>
      <c r="E33577" s="2">
        <v>2661567</v>
      </c>
      <c r="F33577" s="4" t="e">
        <f>IF(B33577=#REF!,"",B33577)</f>
        <v>#REF!</v>
      </c>
    </row>
    <row r="33578" spans="1:6" ht="15.75" customHeight="1">
      <c r="A33578" s="16" t="s">
        <v>27998</v>
      </c>
      <c r="B33578" s="15" t="s">
        <v>27998</v>
      </c>
      <c r="C33578" s="16" t="s">
        <v>27788</v>
      </c>
      <c r="D33578" s="16" t="s">
        <v>27733</v>
      </c>
      <c r="E33578" s="2">
        <v>5786899</v>
      </c>
      <c r="F33578" s="4" t="e">
        <f>IF(B33578=#REF!,"",B33578)</f>
        <v>#REF!</v>
      </c>
    </row>
    <row r="33579" spans="1:6" ht="15.75" customHeight="1">
      <c r="A33579" s="16" t="s">
        <v>27996</v>
      </c>
      <c r="B33579" s="15" t="s">
        <v>27997</v>
      </c>
      <c r="C33579" s="16" t="s">
        <v>27788</v>
      </c>
      <c r="D33579" s="16" t="s">
        <v>27801</v>
      </c>
      <c r="E33579" s="2">
        <v>5327422</v>
      </c>
      <c r="F33579" s="4" t="e">
        <f>IF(B33579=#REF!,"",B33579)</f>
        <v>#REF!</v>
      </c>
    </row>
    <row r="33580" spans="1:6" ht="15.75" customHeight="1">
      <c r="A33580" s="15" t="s">
        <v>27994</v>
      </c>
      <c r="B33580" s="15" t="s">
        <v>27994</v>
      </c>
      <c r="C33580" s="15" t="s">
        <v>27788</v>
      </c>
      <c r="D33580" s="15" t="s">
        <v>27995</v>
      </c>
      <c r="E33580" s="2">
        <v>5063805</v>
      </c>
      <c r="F33580" s="4" t="e">
        <f>IF(B33580=#REF!,"",B33580)</f>
        <v>#REF!</v>
      </c>
    </row>
    <row r="33581" spans="1:6" ht="15.75" customHeight="1">
      <c r="A33581" s="15" t="s">
        <v>3992</v>
      </c>
      <c r="B33581" s="15" t="s">
        <v>3992</v>
      </c>
      <c r="C33581" s="15" t="s">
        <v>3975</v>
      </c>
      <c r="D33581" s="15" t="s">
        <v>3980</v>
      </c>
      <c r="E33581" s="2">
        <v>5897884</v>
      </c>
      <c r="F33581" s="4" t="e">
        <f>IF(B33581=#REF!,"",B33581)</f>
        <v>#REF!</v>
      </c>
    </row>
    <row r="33582" spans="1:6" ht="15.75" customHeight="1">
      <c r="A33582" s="16" t="s">
        <v>3990</v>
      </c>
      <c r="B33582" s="15" t="s">
        <v>3991</v>
      </c>
      <c r="C33582" s="16" t="s">
        <v>3975</v>
      </c>
      <c r="D33582" s="16" t="s">
        <v>3982</v>
      </c>
      <c r="E33582" s="2">
        <v>7302647</v>
      </c>
      <c r="F33582" s="4" t="e">
        <f>IF(B33582=#REF!,"",B33582)</f>
        <v>#REF!</v>
      </c>
    </row>
    <row r="33583" spans="1:6" ht="15.75" customHeight="1">
      <c r="A33583" s="16" t="s">
        <v>27993</v>
      </c>
      <c r="B33583" s="15" t="s">
        <v>27993</v>
      </c>
      <c r="C33583" s="16" t="s">
        <v>27788</v>
      </c>
      <c r="D33583" s="16" t="s">
        <v>5468</v>
      </c>
      <c r="E33583" s="2">
        <v>4147241</v>
      </c>
      <c r="F33583" s="4" t="e">
        <f>IF(B33583=#REF!,"",B33583)</f>
        <v>#REF!</v>
      </c>
    </row>
    <row r="33584" spans="1:6" ht="15.75" customHeight="1">
      <c r="A33584" s="15" t="s">
        <v>20480</v>
      </c>
      <c r="B33584" s="15" t="s">
        <v>20480</v>
      </c>
      <c r="C33584" s="15" t="s">
        <v>20470</v>
      </c>
      <c r="D33584" s="15" t="s">
        <v>787</v>
      </c>
      <c r="E33584" s="2">
        <v>3699364</v>
      </c>
      <c r="F33584" s="4" t="e">
        <f>IF(B33584=#REF!,"",B33584)</f>
        <v>#REF!</v>
      </c>
    </row>
    <row r="33585" spans="1:6" ht="15.75" customHeight="1">
      <c r="A33585" s="15" t="s">
        <v>10660</v>
      </c>
      <c r="B33585" s="15" t="s">
        <v>10660</v>
      </c>
      <c r="C33585" s="15" t="s">
        <v>10178</v>
      </c>
      <c r="D33585" s="15" t="s">
        <v>10252</v>
      </c>
      <c r="E33585" s="2">
        <v>1276509</v>
      </c>
      <c r="F33585" s="4" t="e">
        <f>IF(B33585=#REF!,"",B33585)</f>
        <v>#REF!</v>
      </c>
    </row>
    <row r="33586" spans="1:6" ht="15.75" customHeight="1">
      <c r="A33586" s="16" t="s">
        <v>14971</v>
      </c>
      <c r="B33586" s="15" t="s">
        <v>14972</v>
      </c>
      <c r="C33586" s="16" t="s">
        <v>14891</v>
      </c>
      <c r="D33586" s="16" t="s">
        <v>14973</v>
      </c>
      <c r="E33586" s="2">
        <v>8224092</v>
      </c>
      <c r="F33586" s="4" t="e">
        <f>IF(B33586=#REF!,"",B33586)</f>
        <v>#REF!</v>
      </c>
    </row>
    <row r="33587" spans="1:6" ht="15.75" customHeight="1">
      <c r="A33587" s="16" t="s">
        <v>10659</v>
      </c>
      <c r="B33587" s="15" t="s">
        <v>10659</v>
      </c>
      <c r="C33587" s="16" t="s">
        <v>10178</v>
      </c>
      <c r="D33587" s="16" t="s">
        <v>10187</v>
      </c>
      <c r="E33587" s="2">
        <v>7302806</v>
      </c>
      <c r="F33587" s="4" t="e">
        <f>IF(B33587=#REF!,"",B33587)</f>
        <v>#REF!</v>
      </c>
    </row>
    <row r="33588" spans="1:6" ht="15.75" customHeight="1">
      <c r="A33588" s="15" t="s">
        <v>27992</v>
      </c>
      <c r="B33588" s="15" t="s">
        <v>27992</v>
      </c>
      <c r="C33588" s="15" t="s">
        <v>27788</v>
      </c>
      <c r="D33588" s="15" t="s">
        <v>27792</v>
      </c>
      <c r="E33588" s="2">
        <v>4673353</v>
      </c>
      <c r="F33588" s="4" t="e">
        <f>IF(B33588=#REF!,"",B33588)</f>
        <v>#REF!</v>
      </c>
    </row>
    <row r="33589" spans="1:6" ht="15.75" customHeight="1">
      <c r="A33589" s="16" t="s">
        <v>588</v>
      </c>
      <c r="B33589" s="15" t="s">
        <v>588</v>
      </c>
      <c r="C33589" s="16" t="s">
        <v>558</v>
      </c>
      <c r="D33589" s="16" t="s">
        <v>565</v>
      </c>
      <c r="E33589" s="2">
        <v>3864375</v>
      </c>
      <c r="F33589" s="4" t="e">
        <f>IF(B33589=#REF!,"",B33589)</f>
        <v>#REF!</v>
      </c>
    </row>
    <row r="33590" spans="1:6" ht="15.75" customHeight="1">
      <c r="A33590" s="15" t="s">
        <v>587</v>
      </c>
      <c r="B33590" s="15" t="s">
        <v>587</v>
      </c>
      <c r="C33590" s="15" t="s">
        <v>558</v>
      </c>
      <c r="D33590" s="15" t="s">
        <v>573</v>
      </c>
      <c r="E33590" s="2">
        <v>3864331</v>
      </c>
      <c r="F33590" s="4" t="e">
        <f>IF(B33590=#REF!,"",B33590)</f>
        <v>#REF!</v>
      </c>
    </row>
    <row r="33591" spans="1:6" ht="15.75" customHeight="1">
      <c r="A33591" s="16" t="s">
        <v>27990</v>
      </c>
      <c r="B33591" s="15" t="s">
        <v>27990</v>
      </c>
      <c r="C33591" s="16" t="s">
        <v>27788</v>
      </c>
      <c r="D33591" s="16" t="s">
        <v>27801</v>
      </c>
      <c r="E33591" s="2">
        <v>5327319</v>
      </c>
      <c r="F33591" s="4" t="e">
        <f>IF(B33591=#REF!,"",B33591)</f>
        <v>#REF!</v>
      </c>
    </row>
    <row r="33592" spans="1:6" ht="15.75" customHeight="1">
      <c r="A33592" s="15" t="s">
        <v>27988</v>
      </c>
      <c r="B33592" s="15" t="s">
        <v>27989</v>
      </c>
      <c r="C33592" s="15" t="s">
        <v>27788</v>
      </c>
      <c r="D33592" s="15" t="s">
        <v>27801</v>
      </c>
      <c r="E33592" s="2">
        <v>5327298</v>
      </c>
      <c r="F33592" s="4" t="e">
        <f>IF(B33592=#REF!,"",B33592)</f>
        <v>#REF!</v>
      </c>
    </row>
    <row r="33593" spans="1:6" ht="15.75" customHeight="1">
      <c r="A33593" s="16" t="s">
        <v>1732</v>
      </c>
      <c r="B33593" s="15" t="s">
        <v>1733</v>
      </c>
      <c r="C33593" s="16" t="s">
        <v>1734</v>
      </c>
      <c r="D33593" s="16" t="s">
        <v>1734</v>
      </c>
      <c r="E33593" s="2">
        <v>3582677</v>
      </c>
      <c r="F33593" s="4" t="e">
        <f>IF(B33593=#REF!,"",B33593)</f>
        <v>#REF!</v>
      </c>
    </row>
    <row r="33594" spans="1:6" ht="15.75" customHeight="1">
      <c r="A33594" s="15" t="s">
        <v>22207</v>
      </c>
      <c r="B33594" s="15" t="s">
        <v>22207</v>
      </c>
      <c r="C33594" s="15" t="s">
        <v>22070</v>
      </c>
      <c r="D33594" s="15" t="s">
        <v>22208</v>
      </c>
      <c r="E33594" s="2">
        <v>828055</v>
      </c>
      <c r="F33594" s="4" t="e">
        <f>IF(B33594=#REF!,"",B33594)</f>
        <v>#REF!</v>
      </c>
    </row>
    <row r="33595" spans="1:6" ht="15.75" customHeight="1">
      <c r="A33595" s="15" t="s">
        <v>19340</v>
      </c>
      <c r="B33595" s="15" t="s">
        <v>19340</v>
      </c>
      <c r="C33595" s="15" t="s">
        <v>19294</v>
      </c>
      <c r="D33595" s="15" t="s">
        <v>19341</v>
      </c>
      <c r="E33595" s="2">
        <v>2347330</v>
      </c>
      <c r="F33595" s="4" t="e">
        <f>IF(B33595=#REF!,"",B33595)</f>
        <v>#REF!</v>
      </c>
    </row>
    <row r="33596" spans="1:6" ht="15.75" customHeight="1">
      <c r="A33596" s="15" t="s">
        <v>23619</v>
      </c>
      <c r="B33596" s="15" t="s">
        <v>23620</v>
      </c>
      <c r="C33596" s="15" t="s">
        <v>23602</v>
      </c>
      <c r="D33596" s="15" t="s">
        <v>23603</v>
      </c>
      <c r="E33596" s="2">
        <v>792680</v>
      </c>
      <c r="F33596" s="4" t="e">
        <f>IF(B33596=#REF!,"",B33596)</f>
        <v>#REF!</v>
      </c>
    </row>
    <row r="33597" spans="1:6" ht="15.75" customHeight="1">
      <c r="A33597" s="15" t="s">
        <v>22120</v>
      </c>
      <c r="B33597" s="15" t="s">
        <v>22120</v>
      </c>
      <c r="C33597" s="15" t="s">
        <v>22070</v>
      </c>
      <c r="D33597" s="15" t="s">
        <v>22120</v>
      </c>
      <c r="E33597" s="2">
        <v>578072</v>
      </c>
      <c r="F33597" s="4" t="e">
        <f>IF(B33597=#REF!,"",B33597)</f>
        <v>#REF!</v>
      </c>
    </row>
    <row r="33598" spans="1:6" ht="15.75" customHeight="1">
      <c r="A33598" s="15" t="s">
        <v>10658</v>
      </c>
      <c r="B33598" s="15" t="s">
        <v>10658</v>
      </c>
      <c r="C33598" s="15" t="s">
        <v>10178</v>
      </c>
      <c r="D33598" s="15" t="s">
        <v>10252</v>
      </c>
      <c r="E33598" s="2">
        <v>1276533</v>
      </c>
      <c r="F33598" s="4" t="e">
        <f>IF(B33598=#REF!,"",B33598)</f>
        <v>#REF!</v>
      </c>
    </row>
    <row r="33599" spans="1:6" ht="15.75" customHeight="1">
      <c r="A33599" s="15" t="s">
        <v>7156</v>
      </c>
      <c r="B33599" s="15" t="s">
        <v>7156</v>
      </c>
      <c r="C33599" s="15" t="s">
        <v>7052</v>
      </c>
      <c r="D33599" s="15" t="s">
        <v>7128</v>
      </c>
      <c r="E33599" s="2">
        <v>3033791</v>
      </c>
      <c r="F33599" s="4" t="e">
        <f>IF(B33599=#REF!,"",B33599)</f>
        <v>#REF!</v>
      </c>
    </row>
    <row r="33600" spans="1:6" ht="15.75" customHeight="1">
      <c r="A33600" s="16" t="s">
        <v>2113</v>
      </c>
      <c r="B33600" s="15" t="s">
        <v>2113</v>
      </c>
      <c r="C33600" s="16" t="s">
        <v>1905</v>
      </c>
      <c r="D33600" s="16" t="s">
        <v>1978</v>
      </c>
      <c r="E33600" s="2">
        <v>3470142</v>
      </c>
      <c r="F33600" s="4" t="e">
        <f>IF(B33600=#REF!,"",B33600)</f>
        <v>#REF!</v>
      </c>
    </row>
    <row r="33601" spans="1:6" ht="15.75" customHeight="1">
      <c r="A33601" s="15" t="s">
        <v>27301</v>
      </c>
      <c r="B33601" s="15" t="s">
        <v>27301</v>
      </c>
      <c r="C33601" s="15" t="s">
        <v>27234</v>
      </c>
      <c r="D33601" s="15" t="s">
        <v>27259</v>
      </c>
      <c r="E33601" s="2">
        <v>2655984</v>
      </c>
      <c r="F33601" s="4" t="str">
        <f>IF(B33601=B33600,"",B33601)</f>
        <v>Belfast</v>
      </c>
    </row>
    <row r="33602" spans="1:6" ht="15.75" customHeight="1">
      <c r="A33602" s="16" t="str">
        <f ca="1">IFERROR(__xludf.DUMMYFUNCTION("GOOGLETRANSLATE(B40637,""en"",""pt"")"),"Belëv")</f>
        <v>Belëv</v>
      </c>
      <c r="B33602" s="20" t="s">
        <v>35524</v>
      </c>
      <c r="C33602" s="20" t="s">
        <v>22070</v>
      </c>
      <c r="D33602" s="20" t="s">
        <v>22122</v>
      </c>
      <c r="E33602" s="10">
        <v>578091</v>
      </c>
      <c r="F33602" s="4" t="str">
        <f>IF(B33602=B33601,"",B33602)</f>
        <v>Belëv</v>
      </c>
    </row>
    <row r="33603" spans="1:6" ht="15.75" customHeight="1">
      <c r="A33603" s="16" t="str">
        <f ca="1">IFERROR(__xludf.DUMMYFUNCTION("GOOGLETRANSLATE(B27033,""en"",""pt"")"),"Belén de Umbía")</f>
        <v>Belén de Umbía</v>
      </c>
      <c r="B33603" s="20" t="s">
        <v>31887</v>
      </c>
      <c r="C33603" s="20" t="s">
        <v>5348</v>
      </c>
      <c r="D33603" s="20" t="s">
        <v>5364</v>
      </c>
      <c r="E33603" s="10">
        <v>3688989</v>
      </c>
      <c r="F33603" s="4" t="e">
        <f>IF(B33603=#REF!,"",B33603)</f>
        <v>#REF!</v>
      </c>
    </row>
    <row r="33604" spans="1:6" ht="15.75" customHeight="1">
      <c r="A33604" s="15" t="s">
        <v>26388</v>
      </c>
      <c r="B33604" s="15" t="s">
        <v>26388</v>
      </c>
      <c r="C33604" s="15" t="s">
        <v>26201</v>
      </c>
      <c r="D33604" s="15" t="s">
        <v>26318</v>
      </c>
      <c r="E33604" s="2">
        <v>321572</v>
      </c>
      <c r="F33604" s="4" t="e">
        <f>IF(B33604=#REF!,"",B33604)</f>
        <v>#REF!</v>
      </c>
    </row>
    <row r="33605" spans="1:6" ht="15.75" customHeight="1">
      <c r="A33605" s="16" t="str">
        <f ca="1">IFERROR(__xludf.DUMMYFUNCTION("GOOGLETRANSLATE(B24387,""en"",""pt"")"),"Belém")</f>
        <v>Belém</v>
      </c>
      <c r="B33605" s="20" t="s">
        <v>20337</v>
      </c>
      <c r="C33605" s="20" t="s">
        <v>1905</v>
      </c>
      <c r="D33605" s="20" t="s">
        <v>31343</v>
      </c>
      <c r="E33605" s="10">
        <v>3405863</v>
      </c>
      <c r="F33605" s="4" t="e">
        <f>IF(B33605=#REF!,"",B33605)</f>
        <v>#REF!</v>
      </c>
    </row>
    <row r="33606" spans="1:6" ht="15.75" customHeight="1">
      <c r="A33606" s="15" t="s">
        <v>26387</v>
      </c>
      <c r="B33606" s="15" t="s">
        <v>26387</v>
      </c>
      <c r="C33606" s="15" t="s">
        <v>26201</v>
      </c>
      <c r="D33606" s="15" t="s">
        <v>26308</v>
      </c>
      <c r="E33606" s="2">
        <v>321580</v>
      </c>
      <c r="F33606" s="4" t="e">
        <f>IF(B33606=#REF!,"",B33606)</f>
        <v>#REF!</v>
      </c>
    </row>
    <row r="33607" spans="1:6" ht="15.75" customHeight="1">
      <c r="A33607" s="16" t="s">
        <v>23805</v>
      </c>
      <c r="B33607" s="15" t="s">
        <v>23805</v>
      </c>
      <c r="C33607" s="16" t="s">
        <v>23800</v>
      </c>
      <c r="D33607" s="16" t="s">
        <v>23806</v>
      </c>
      <c r="E33607" s="2">
        <v>64460</v>
      </c>
      <c r="F33607" s="4" t="e">
        <f>IF(B33607=#REF!,"",B33607)</f>
        <v>#REF!</v>
      </c>
    </row>
    <row r="33608" spans="1:6" ht="15.75" customHeight="1">
      <c r="A33608" s="15" t="s">
        <v>22206</v>
      </c>
      <c r="B33608" s="15" t="s">
        <v>22206</v>
      </c>
      <c r="C33608" s="15" t="s">
        <v>22070</v>
      </c>
      <c r="D33608" s="15" t="s">
        <v>22088</v>
      </c>
      <c r="E33608" s="2">
        <v>578120</v>
      </c>
      <c r="F33608" s="4" t="str">
        <f>IF(B33608=B33607,"",B33608)</f>
        <v>Belebey</v>
      </c>
    </row>
    <row r="33609" spans="1:6" ht="15.75" customHeight="1">
      <c r="A33609" s="16" t="str">
        <f ca="1">IFERROR(__xludf.DUMMYFUNCTION("GOOGLETRANSLATE(B33904,""en"",""pt"")"),"Beldānga")</f>
        <v>Beldānga</v>
      </c>
      <c r="B33609" s="20" t="s">
        <v>33921</v>
      </c>
      <c r="C33609" s="20" t="s">
        <v>10178</v>
      </c>
      <c r="D33609" s="20" t="s">
        <v>10201</v>
      </c>
      <c r="E33609" s="10">
        <v>1276548</v>
      </c>
      <c r="F33609" s="4" t="str">
        <f>IF(B33609=B33608,"",B33609)</f>
        <v>Beldānga</v>
      </c>
    </row>
    <row r="33610" spans="1:6" ht="15.75" customHeight="1">
      <c r="A33610" s="15" t="s">
        <v>10656</v>
      </c>
      <c r="B33610" s="15" t="s">
        <v>10657</v>
      </c>
      <c r="C33610" s="15" t="s">
        <v>10178</v>
      </c>
      <c r="D33610" s="15" t="s">
        <v>10201</v>
      </c>
      <c r="E33610" s="2">
        <v>1276548</v>
      </c>
      <c r="F33610" s="4" t="str">
        <f>IF(B33610=B33609,"",B33610)</f>
        <v>BeldÄnga</v>
      </c>
    </row>
    <row r="33611" spans="1:6" ht="15.75" customHeight="1">
      <c r="A33611" s="16" t="str">
        <f ca="1">IFERROR(__xludf.DUMMYFUNCTION("GOOGLETRANSLATE(B39494,""en"",""pt"")"),"Bełchatów")</f>
        <v>Bełchatów</v>
      </c>
      <c r="B33611" s="20" t="s">
        <v>35247</v>
      </c>
      <c r="C33611" s="20" t="s">
        <v>21064</v>
      </c>
      <c r="D33611" s="20" t="s">
        <v>35071</v>
      </c>
      <c r="E33611" s="10">
        <v>3103709</v>
      </c>
      <c r="F33611" s="4" t="e">
        <f>IF(B33611=#REF!,"",B33611)</f>
        <v>#REF!</v>
      </c>
    </row>
    <row r="33612" spans="1:6" ht="15.75" customHeight="1">
      <c r="A33612" s="16" t="s">
        <v>22205</v>
      </c>
      <c r="B33612" s="15" t="s">
        <v>22205</v>
      </c>
      <c r="C33612" s="16" t="s">
        <v>22070</v>
      </c>
      <c r="D33612" s="16" t="s">
        <v>22099</v>
      </c>
      <c r="E33612" s="2">
        <v>578155</v>
      </c>
      <c r="F33612" s="4" t="e">
        <f>IF(B33612=#REF!,"",B33612)</f>
        <v>#REF!</v>
      </c>
    </row>
    <row r="33613" spans="1:6" ht="15.75" customHeight="1">
      <c r="A33613" s="16" t="s">
        <v>22204</v>
      </c>
      <c r="B33613" s="15" t="s">
        <v>22204</v>
      </c>
      <c r="C33613" s="16" t="s">
        <v>22070</v>
      </c>
      <c r="D33613" s="16" t="s">
        <v>22077</v>
      </c>
      <c r="E33613" s="2">
        <v>578169</v>
      </c>
      <c r="F33613" s="4" t="e">
        <f>IF(B33613=#REF!,"",B33613)</f>
        <v>#REF!</v>
      </c>
    </row>
    <row r="33614" spans="1:6" ht="15.75" customHeight="1">
      <c r="A33614" s="15" t="s">
        <v>13849</v>
      </c>
      <c r="B33614" s="15" t="s">
        <v>13849</v>
      </c>
      <c r="C33614" s="15" t="s">
        <v>13800</v>
      </c>
      <c r="D33614" s="15" t="s">
        <v>13830</v>
      </c>
      <c r="E33614" s="2">
        <v>1215412</v>
      </c>
      <c r="F33614" s="4" t="e">
        <f>IF(B33614=#REF!,"",B33614)</f>
        <v>#REF!</v>
      </c>
    </row>
    <row r="33615" spans="1:6" ht="15.75" customHeight="1">
      <c r="A33615" s="15" t="s">
        <v>21630</v>
      </c>
      <c r="B33615" s="15" t="s">
        <v>21631</v>
      </c>
      <c r="C33615" s="15" t="s">
        <v>21606</v>
      </c>
      <c r="D33615" s="15" t="s">
        <v>21616</v>
      </c>
      <c r="E33615" s="2">
        <v>2270981</v>
      </c>
      <c r="F33615" s="4" t="e">
        <f>IF(B33615=#REF!,"",B33615)</f>
        <v>#REF!</v>
      </c>
    </row>
    <row r="33616" spans="1:6" ht="15.75" customHeight="1">
      <c r="A33616" s="16" t="s">
        <v>5387</v>
      </c>
      <c r="B33616" s="15" t="s">
        <v>5387</v>
      </c>
      <c r="C33616" s="16" t="s">
        <v>5348</v>
      </c>
      <c r="D33616" s="16" t="s">
        <v>5388</v>
      </c>
      <c r="E33616" s="2">
        <v>3673398</v>
      </c>
      <c r="F33616" s="4" t="str">
        <f>IF(B33616=B33615,"",B33616)</f>
        <v>Belalcazar</v>
      </c>
    </row>
    <row r="33617" spans="1:6" ht="15.75" customHeight="1">
      <c r="A33617" s="16" t="str">
        <f ca="1">IFERROR(__xludf.DUMMYFUNCTION("GOOGLETRANSLATE(B26032,""en"",""pt"")"),"BÉLABO")</f>
        <v>BÉLABO</v>
      </c>
      <c r="B33617" s="20" t="s">
        <v>31824</v>
      </c>
      <c r="C33617" s="20" t="s">
        <v>3884</v>
      </c>
      <c r="D33617" s="20" t="s">
        <v>3889</v>
      </c>
      <c r="E33617" s="10">
        <v>2234536</v>
      </c>
      <c r="F33617" s="4" t="str">
        <f>IF(B33617=B33616,"",B33617)</f>
        <v>Bélabo</v>
      </c>
    </row>
    <row r="33618" spans="1:6" ht="15.75" customHeight="1">
      <c r="A33618" s="16" t="s">
        <v>5385</v>
      </c>
      <c r="B33618" s="15" t="s">
        <v>5386</v>
      </c>
      <c r="C33618" s="16" t="s">
        <v>5348</v>
      </c>
      <c r="D33618" s="16" t="s">
        <v>5364</v>
      </c>
      <c r="E33618" s="2">
        <v>3688989</v>
      </c>
      <c r="F33618" s="4" t="e">
        <f>IF(B33618=#REF!,"",B33618)</f>
        <v>#REF!</v>
      </c>
    </row>
    <row r="33619" spans="1:6" ht="15.75" customHeight="1">
      <c r="A33619" s="15" t="s">
        <v>2111</v>
      </c>
      <c r="B33619" s="15" t="s">
        <v>2112</v>
      </c>
      <c r="C33619" s="15" t="s">
        <v>1905</v>
      </c>
      <c r="D33619" s="15" t="s">
        <v>1944</v>
      </c>
      <c r="E33619" s="2">
        <v>3405863</v>
      </c>
      <c r="F33619" s="4" t="str">
        <f>IF(B33619=B33618,"",B33619)</f>
        <v>BelÃ©m</v>
      </c>
    </row>
    <row r="33620" spans="1:6" ht="15.75" customHeight="1">
      <c r="A33620" s="15" t="s">
        <v>22202</v>
      </c>
      <c r="B33620" s="15" t="s">
        <v>22203</v>
      </c>
      <c r="C33620" s="15" t="s">
        <v>22070</v>
      </c>
      <c r="D33620" s="15" t="s">
        <v>22122</v>
      </c>
      <c r="E33620" s="2">
        <v>578091</v>
      </c>
      <c r="F33620" s="4" t="str">
        <f>IF(B33620=B33619,"",B33620)</f>
        <v>BelÃ«v</v>
      </c>
    </row>
    <row r="33621" spans="1:6" ht="15.75" customHeight="1">
      <c r="A33621" s="15" t="s">
        <v>10654</v>
      </c>
      <c r="B33621" s="15" t="s">
        <v>10655</v>
      </c>
      <c r="C33621" s="15" t="s">
        <v>10178</v>
      </c>
      <c r="D33621" s="15" t="s">
        <v>10252</v>
      </c>
      <c r="E33621" s="2">
        <v>1276486</v>
      </c>
      <c r="F33621" s="4" t="e">
        <f>IF(B33621=#REF!,"",B33621)</f>
        <v>#REF!</v>
      </c>
    </row>
    <row r="33622" spans="1:6" ht="15.75" customHeight="1">
      <c r="A33622" s="15" t="s">
        <v>2110</v>
      </c>
      <c r="B33622" s="15" t="s">
        <v>2110</v>
      </c>
      <c r="C33622" s="15" t="s">
        <v>1905</v>
      </c>
      <c r="D33622" s="15" t="s">
        <v>1973</v>
      </c>
      <c r="E33622" s="2">
        <v>3470177</v>
      </c>
      <c r="F33622" s="4" t="e">
        <f>IF(B33622=#REF!,"",B33622)</f>
        <v>#REF!</v>
      </c>
    </row>
    <row r="33623" spans="1:6" ht="15.75" customHeight="1">
      <c r="A33623" s="15" t="s">
        <v>10653</v>
      </c>
      <c r="B33623" s="15" t="s">
        <v>10653</v>
      </c>
      <c r="C33623" s="15" t="s">
        <v>10178</v>
      </c>
      <c r="D33623" s="15" t="s">
        <v>10193</v>
      </c>
      <c r="E33623" s="2">
        <v>1276574</v>
      </c>
      <c r="F33623" s="4" t="e">
        <f>IF(B33623=#REF!,"",B33623)</f>
        <v>#REF!</v>
      </c>
    </row>
    <row r="33624" spans="1:6" ht="15.75" customHeight="1">
      <c r="A33624" s="16" t="s">
        <v>27987</v>
      </c>
      <c r="B33624" s="15" t="s">
        <v>27987</v>
      </c>
      <c r="C33624" s="16" t="s">
        <v>27788</v>
      </c>
      <c r="D33624" s="16" t="s">
        <v>17061</v>
      </c>
      <c r="E33624" s="2">
        <v>7257992</v>
      </c>
      <c r="F33624" s="4" t="str">
        <f>IF(B33624=B33623,"",B33624)</f>
        <v>Bel Air South</v>
      </c>
    </row>
    <row r="33625" spans="1:6" ht="15.75" customHeight="1">
      <c r="A33625" s="16" t="str">
        <f ca="1">IFERROR(__xludf.DUMMYFUNCTION("GOOGLETRANSLATE(B36821,""en"",""pt"")"),"Bel Air Rivière Sèche")</f>
        <v>Bel Air Rivière Sèche</v>
      </c>
      <c r="B33625" s="20" t="s">
        <v>34653</v>
      </c>
      <c r="C33625" s="20" t="s">
        <v>17678</v>
      </c>
      <c r="D33625" s="20" t="s">
        <v>17679</v>
      </c>
      <c r="E33625" s="10">
        <v>934750</v>
      </c>
      <c r="F33625" s="4" t="str">
        <f>IF(B33625=B33624,"",B33625)</f>
        <v>Bel Air Rivière Sèche</v>
      </c>
    </row>
    <row r="33626" spans="1:6" ht="15.75" customHeight="1">
      <c r="A33626" s="16" t="s">
        <v>17676</v>
      </c>
      <c r="B33626" s="15" t="s">
        <v>17677</v>
      </c>
      <c r="C33626" s="16" t="s">
        <v>17678</v>
      </c>
      <c r="D33626" s="16" t="s">
        <v>17679</v>
      </c>
      <c r="E33626" s="2">
        <v>934750</v>
      </c>
      <c r="F33626" s="4" t="e">
        <f>IF(B33626=#REF!,"",B33626)</f>
        <v>#REF!</v>
      </c>
    </row>
    <row r="33627" spans="1:6" ht="15.75" customHeight="1">
      <c r="A33627" s="16" t="s">
        <v>27986</v>
      </c>
      <c r="B33627" s="15" t="s">
        <v>27986</v>
      </c>
      <c r="C33627" s="16" t="s">
        <v>27788</v>
      </c>
      <c r="D33627" s="16" t="s">
        <v>17061</v>
      </c>
      <c r="E33627" s="2">
        <v>7257991</v>
      </c>
      <c r="F33627" s="4" t="e">
        <f>IF(B33627=#REF!,"",B33627)</f>
        <v>#REF!</v>
      </c>
    </row>
    <row r="33628" spans="1:6" ht="15.75" customHeight="1">
      <c r="A33628" s="15" t="s">
        <v>30508</v>
      </c>
      <c r="B33628" s="15" t="s">
        <v>30508</v>
      </c>
      <c r="C33628" s="15" t="s">
        <v>30502</v>
      </c>
      <c r="D33628" s="15" t="s">
        <v>30509</v>
      </c>
      <c r="E33628" s="2">
        <v>1514396</v>
      </c>
      <c r="F33628" s="4" t="e">
        <f>IF(B33628=#REF!,"",B33628)</f>
        <v>#REF!</v>
      </c>
    </row>
    <row r="33629" spans="1:6" ht="15.75" customHeight="1">
      <c r="A33629" s="15" t="s">
        <v>30507</v>
      </c>
      <c r="B33629" s="15" t="s">
        <v>30507</v>
      </c>
      <c r="C33629" s="15" t="s">
        <v>30502</v>
      </c>
      <c r="D33629" s="15" t="s">
        <v>30504</v>
      </c>
      <c r="E33629" s="2">
        <v>1514402</v>
      </c>
      <c r="F33629" s="4" t="str">
        <f>IF(B33629=B33628,"",B33629)</f>
        <v>Bekobod</v>
      </c>
    </row>
    <row r="33630" spans="1:6" ht="15.75" customHeight="1">
      <c r="A33630" s="16" t="str">
        <f ca="1">IFERROR(__xludf.DUMMYFUNCTION("GOOGLETRANSLATE(B31268,""en"",""pt"")"),"Békscsaba")</f>
        <v>Békscsaba</v>
      </c>
      <c r="B33630" s="20" t="s">
        <v>32844</v>
      </c>
      <c r="C33630" s="20" t="s">
        <v>9955</v>
      </c>
      <c r="D33630" s="20" t="s">
        <v>9966</v>
      </c>
      <c r="E33630" s="10">
        <v>722437</v>
      </c>
      <c r="F33630" s="4" t="str">
        <f>IF(B33630=B33629,"",B33630)</f>
        <v>Békéscsaba</v>
      </c>
    </row>
    <row r="33631" spans="1:6" ht="15.75" customHeight="1">
      <c r="A33631" s="16" t="str">
        <f ca="1">IFERROR(__xludf.DUMMYFUNCTION("GOOGLETRANSLATE(B31269,""en"",""pt"")"),"Békés")</f>
        <v>Békés</v>
      </c>
      <c r="B33631" s="20" t="s">
        <v>32845</v>
      </c>
      <c r="C33631" s="20" t="s">
        <v>9955</v>
      </c>
      <c r="D33631" s="20" t="s">
        <v>9966</v>
      </c>
      <c r="E33631" s="10">
        <v>722439</v>
      </c>
      <c r="F33631" s="4" t="e">
        <f>IF(B33631=#REF!,"",B33631)</f>
        <v>#REF!</v>
      </c>
    </row>
    <row r="33632" spans="1:6" ht="15.75" customHeight="1">
      <c r="A33632" s="15" t="s">
        <v>13848</v>
      </c>
      <c r="B33632" s="15" t="s">
        <v>13848</v>
      </c>
      <c r="C33632" s="15" t="s">
        <v>13800</v>
      </c>
      <c r="D33632" s="15" t="s">
        <v>13811</v>
      </c>
      <c r="E33632" s="2">
        <v>1649378</v>
      </c>
      <c r="F33632" s="4" t="e">
        <f>IF(B33632=#REF!,"",B33632)</f>
        <v>#REF!</v>
      </c>
    </row>
    <row r="33633" spans="1:6" ht="15.75" customHeight="1">
      <c r="A33633" s="15" t="s">
        <v>26102</v>
      </c>
      <c r="B33633" s="15" t="s">
        <v>26102</v>
      </c>
      <c r="C33633" s="15" t="s">
        <v>26090</v>
      </c>
      <c r="D33633" s="15" t="s">
        <v>26103</v>
      </c>
      <c r="E33633" s="2">
        <v>2473826</v>
      </c>
      <c r="F33633" s="4" t="e">
        <f>IF(B33633=#REF!,"",B33633)</f>
        <v>#REF!</v>
      </c>
    </row>
    <row r="33634" spans="1:6" ht="15.75" customHeight="1">
      <c r="A33634" s="15" t="s">
        <v>5791</v>
      </c>
      <c r="B33634" s="15" t="s">
        <v>5791</v>
      </c>
      <c r="C33634" s="15" t="s">
        <v>5764</v>
      </c>
      <c r="D33634" s="15" t="s">
        <v>5792</v>
      </c>
      <c r="E33634" s="2">
        <v>3567546</v>
      </c>
      <c r="F33634" s="4" t="str">
        <f>IF(B33634=B33633,"",B33634)</f>
        <v>Bejucal</v>
      </c>
    </row>
    <row r="33635" spans="1:6" ht="15.75" customHeight="1">
      <c r="A33635" s="16" t="str">
        <f ca="1">IFERROR(__xludf.DUMMYFUNCTION("GOOGLETRANSLATE(B29453,""en"",""pt"")"),"Béjar")</f>
        <v>Béjar</v>
      </c>
      <c r="B33635" s="20" t="s">
        <v>32468</v>
      </c>
      <c r="C33635" s="20" t="s">
        <v>24200</v>
      </c>
      <c r="D33635" s="20" t="s">
        <v>32412</v>
      </c>
      <c r="E33635" s="10">
        <v>3128382</v>
      </c>
      <c r="F33635" s="4" t="str">
        <f>IF(B33635=B33634,"",B33635)</f>
        <v>Béjar</v>
      </c>
    </row>
    <row r="33636" spans="1:6" ht="15.75" customHeight="1">
      <c r="A33636" s="16" t="str">
        <f ca="1">IFERROR(__xludf.DUMMYFUNCTION("GOOGLETRANSLATE(B28701,""en"",""pt"")"),"Bejaïa")</f>
        <v>Bejaïa</v>
      </c>
      <c r="B33636" s="20" t="s">
        <v>32182</v>
      </c>
      <c r="C33636" s="20" t="s">
        <v>153</v>
      </c>
      <c r="D33636" s="20" t="s">
        <v>32182</v>
      </c>
      <c r="E33636" s="10">
        <v>2505329</v>
      </c>
      <c r="F33636" s="4" t="str">
        <f>IF(B33636=B33635,"",B33636)</f>
        <v>Bejaïa</v>
      </c>
    </row>
    <row r="33637" spans="1:6" ht="15.75" customHeight="1">
      <c r="A33637" s="15" t="s">
        <v>244</v>
      </c>
      <c r="B33637" s="15" t="s">
        <v>221</v>
      </c>
      <c r="C33637" s="15" t="s">
        <v>153</v>
      </c>
      <c r="D33637" s="15" t="s">
        <v>221</v>
      </c>
      <c r="E33637" s="2">
        <v>2505329</v>
      </c>
      <c r="F33637" s="4" t="str">
        <f>IF(B33637=B33636,"",B33637)</f>
        <v>BejaÃ¯a</v>
      </c>
    </row>
    <row r="33638" spans="1:6" ht="15.75" customHeight="1">
      <c r="A33638" s="16" t="str">
        <f ca="1">IFERROR(__xludf.DUMMYFUNCTION("GOOGLETRANSLATE(B41840,""en"",""pt"")"),"Béja")</f>
        <v>Béja</v>
      </c>
      <c r="B33638" s="20" t="s">
        <v>35809</v>
      </c>
      <c r="C33638" s="20" t="s">
        <v>26090</v>
      </c>
      <c r="D33638" s="20" t="s">
        <v>35808</v>
      </c>
      <c r="E33638" s="10">
        <v>2472774</v>
      </c>
      <c r="F33638" s="4" t="e">
        <f>IF(B33638=#REF!,"",B33638)</f>
        <v>#REF!</v>
      </c>
    </row>
    <row r="33639" spans="1:6" ht="15.75" customHeight="1">
      <c r="A33639" s="15" t="s">
        <v>21629</v>
      </c>
      <c r="B33639" s="15" t="s">
        <v>21629</v>
      </c>
      <c r="C33639" s="15" t="s">
        <v>21606</v>
      </c>
      <c r="D33639" s="15" t="s">
        <v>21629</v>
      </c>
      <c r="E33639" s="2">
        <v>2270985</v>
      </c>
      <c r="F33639" s="4" t="e">
        <f>IF(B33639=#REF!,"",B33639)</f>
        <v>#REF!</v>
      </c>
    </row>
    <row r="33640" spans="1:6" ht="15.75" customHeight="1">
      <c r="A33640" s="16" t="s">
        <v>31071</v>
      </c>
      <c r="B33640" s="15" t="s">
        <v>31071</v>
      </c>
      <c r="C33640" s="16" t="s">
        <v>31072</v>
      </c>
      <c r="D33640" s="16" t="s">
        <v>31073</v>
      </c>
      <c r="E33640" s="2">
        <v>895269</v>
      </c>
      <c r="F33640" s="4" t="e">
        <f>IF(B33640=#REF!,"",B33640)</f>
        <v>#REF!</v>
      </c>
    </row>
    <row r="33641" spans="1:6" ht="15.75" customHeight="1">
      <c r="A33641" s="15" t="s">
        <v>17013</v>
      </c>
      <c r="B33641" s="15" t="s">
        <v>17014</v>
      </c>
      <c r="C33641" s="15" t="s">
        <v>17008</v>
      </c>
      <c r="D33641" s="15" t="s">
        <v>17015</v>
      </c>
      <c r="E33641" s="2">
        <v>276781</v>
      </c>
      <c r="F33641" s="4" t="e">
        <f>IF(B33641=#REF!,"",B33641)</f>
        <v>#REF!</v>
      </c>
    </row>
    <row r="33642" spans="1:6" ht="15.75" customHeight="1">
      <c r="A33642" s="15" t="s">
        <v>18657</v>
      </c>
      <c r="B33642" s="15" t="s">
        <v>18657</v>
      </c>
      <c r="C33642" s="15" t="s">
        <v>18655</v>
      </c>
      <c r="D33642" s="15" t="s">
        <v>18658</v>
      </c>
      <c r="E33642" s="2">
        <v>1052373</v>
      </c>
      <c r="F33642" s="4" t="e">
        <f>IF(B33642=#REF!,"",B33642)</f>
        <v>#REF!</v>
      </c>
    </row>
    <row r="33643" spans="1:6" ht="15.75" customHeight="1">
      <c r="A33643" s="15" t="s">
        <v>4547</v>
      </c>
      <c r="B33643" s="15" t="s">
        <v>4547</v>
      </c>
      <c r="C33643" s="15" t="s">
        <v>4487</v>
      </c>
      <c r="D33643" s="15" t="s">
        <v>4505</v>
      </c>
      <c r="E33643" s="2">
        <v>2038342</v>
      </c>
      <c r="F33643" s="4" t="e">
        <f>IF(B33643=#REF!,"",B33643)</f>
        <v>#REF!</v>
      </c>
    </row>
    <row r="33644" spans="1:6" ht="15.75" customHeight="1">
      <c r="A33644" s="15" t="s">
        <v>4545</v>
      </c>
      <c r="B33644" s="15" t="s">
        <v>4546</v>
      </c>
      <c r="C33644" s="15" t="s">
        <v>4487</v>
      </c>
      <c r="D33644" s="15" t="s">
        <v>4546</v>
      </c>
      <c r="E33644" s="2">
        <v>1816670</v>
      </c>
      <c r="F33644" s="4" t="e">
        <f>IF(B33644=#REF!,"",B33644)</f>
        <v>#REF!</v>
      </c>
    </row>
    <row r="33645" spans="1:6" ht="15.75" customHeight="1">
      <c r="A33645" s="15" t="s">
        <v>4544</v>
      </c>
      <c r="B33645" s="15" t="s">
        <v>4544</v>
      </c>
      <c r="C33645" s="15" t="s">
        <v>4487</v>
      </c>
      <c r="D33645" s="15" t="s">
        <v>4516</v>
      </c>
      <c r="E33645" s="2">
        <v>1816705</v>
      </c>
      <c r="F33645" s="4" t="e">
        <f>IF(B33645=#REF!,"",B33645)</f>
        <v>#REF!</v>
      </c>
    </row>
    <row r="33646" spans="1:6" ht="15.75" customHeight="1">
      <c r="A33646" s="15" t="s">
        <v>4543</v>
      </c>
      <c r="B33646" s="15" t="s">
        <v>4543</v>
      </c>
      <c r="C33646" s="15" t="s">
        <v>4487</v>
      </c>
      <c r="D33646" s="15" t="s">
        <v>4526</v>
      </c>
      <c r="E33646" s="2">
        <v>1816751</v>
      </c>
      <c r="F33646" s="4" t="e">
        <f>IF(B33646=#REF!,"",B33646)</f>
        <v>#REF!</v>
      </c>
    </row>
    <row r="33647" spans="1:6" ht="15.75" customHeight="1">
      <c r="A33647" s="16" t="s">
        <v>4542</v>
      </c>
      <c r="B33647" s="15" t="s">
        <v>4542</v>
      </c>
      <c r="C33647" s="16" t="s">
        <v>4487</v>
      </c>
      <c r="D33647" s="16" t="s">
        <v>4529</v>
      </c>
      <c r="E33647" s="2">
        <v>1816753</v>
      </c>
      <c r="F33647" s="4" t="e">
        <f>IF(B33647=#REF!,"",B33647)</f>
        <v>#REF!</v>
      </c>
    </row>
    <row r="33648" spans="1:6" ht="15.75" customHeight="1">
      <c r="A33648" s="16" t="s">
        <v>4541</v>
      </c>
      <c r="B33648" s="15" t="s">
        <v>4541</v>
      </c>
      <c r="C33648" s="16" t="s">
        <v>4487</v>
      </c>
      <c r="D33648" s="16" t="s">
        <v>4533</v>
      </c>
      <c r="E33648" s="2">
        <v>2037391</v>
      </c>
      <c r="F33648" s="4" t="e">
        <f>IF(B33648=#REF!,"",B33648)</f>
        <v>#REF!</v>
      </c>
    </row>
    <row r="33649" spans="1:6" ht="15.75" customHeight="1">
      <c r="A33649" s="15" t="s">
        <v>4539</v>
      </c>
      <c r="B33649" s="15" t="s">
        <v>4539</v>
      </c>
      <c r="C33649" s="15" t="s">
        <v>4487</v>
      </c>
      <c r="D33649" s="15" t="s">
        <v>4540</v>
      </c>
      <c r="E33649" s="2">
        <v>1816790</v>
      </c>
      <c r="F33649" s="4" t="str">
        <f>IF(B33649=B33648,"",B33649)</f>
        <v>Beibei</v>
      </c>
    </row>
    <row r="33650" spans="1:6" ht="15.75" customHeight="1">
      <c r="A33650" s="16" t="s">
        <v>4537</v>
      </c>
      <c r="B33650" s="15" t="s">
        <v>4538</v>
      </c>
      <c r="C33650" s="16" t="s">
        <v>4487</v>
      </c>
      <c r="D33650" s="16" t="s">
        <v>4488</v>
      </c>
      <c r="E33650" s="2">
        <v>2038365</v>
      </c>
      <c r="F33650" s="4" t="str">
        <f>IF(B33650=B33649,"",B33650)</f>
        <v>Beiâ€™an</v>
      </c>
    </row>
    <row r="33651" spans="1:6" ht="15.75" customHeight="1">
      <c r="A33651" s="16" t="str">
        <f ca="1">IFERROR(__xludf.DUMMYFUNCTION("GOOGLETRANSLATE(B26818,""en"",""pt"")"),"Bei'an")</f>
        <v>Bei'an</v>
      </c>
      <c r="B33651" s="20" t="s">
        <v>31834</v>
      </c>
      <c r="C33651" s="20" t="s">
        <v>4487</v>
      </c>
      <c r="D33651" s="20" t="s">
        <v>4488</v>
      </c>
      <c r="E33651" s="10">
        <v>2038365</v>
      </c>
      <c r="F33651" s="4" t="e">
        <f>IF(B33651=#REF!,"",B33651)</f>
        <v>#REF!</v>
      </c>
    </row>
    <row r="33652" spans="1:6" ht="15.75" customHeight="1">
      <c r="A33652" s="15" t="s">
        <v>14333</v>
      </c>
      <c r="B33652" s="15" t="s">
        <v>14333</v>
      </c>
      <c r="C33652" s="15" t="s">
        <v>14240</v>
      </c>
      <c r="D33652" s="15" t="s">
        <v>14253</v>
      </c>
      <c r="E33652" s="2">
        <v>140918</v>
      </c>
      <c r="F33652" s="4" t="e">
        <f>IF(B33652=#REF!,"",B33652)</f>
        <v>#REF!</v>
      </c>
    </row>
    <row r="33653" spans="1:6" ht="15.75" customHeight="1">
      <c r="A33653" s="15" t="s">
        <v>10652</v>
      </c>
      <c r="B33653" s="15" t="s">
        <v>10652</v>
      </c>
      <c r="C33653" s="15" t="s">
        <v>10178</v>
      </c>
      <c r="D33653" s="15" t="s">
        <v>10179</v>
      </c>
      <c r="E33653" s="2">
        <v>1276589</v>
      </c>
      <c r="F33653" s="4" t="str">
        <f>IF(B33653=B33652,"",B33653)</f>
        <v>Behror</v>
      </c>
    </row>
    <row r="33654" spans="1:6" ht="15.75" customHeight="1">
      <c r="A33654" s="16" t="str">
        <f ca="1">IFERROR(__xludf.DUMMYFUNCTION("GOOGLETRANSLATE(B34479,""en"",""pt"")"),"Behbahān")</f>
        <v>Behbahān</v>
      </c>
      <c r="B33654" s="20" t="s">
        <v>34225</v>
      </c>
      <c r="C33654" s="20" t="s">
        <v>14240</v>
      </c>
      <c r="D33654" s="20" t="s">
        <v>14271</v>
      </c>
      <c r="E33654" s="10">
        <v>140951</v>
      </c>
      <c r="F33654" s="4" t="str">
        <f>IF(B33654=B33653,"",B33654)</f>
        <v>Behbahān</v>
      </c>
    </row>
    <row r="33655" spans="1:6" ht="15.75" customHeight="1">
      <c r="A33655" s="16" t="s">
        <v>14331</v>
      </c>
      <c r="B33655" s="15" t="s">
        <v>14332</v>
      </c>
      <c r="C33655" s="16" t="s">
        <v>14240</v>
      </c>
      <c r="D33655" s="16" t="s">
        <v>14271</v>
      </c>
      <c r="E33655" s="2">
        <v>140951</v>
      </c>
      <c r="F33655" s="4" t="e">
        <f>IF(B33655=#REF!,"",B33655)</f>
        <v>#REF!</v>
      </c>
    </row>
    <row r="33656" spans="1:6" ht="15.75" customHeight="1">
      <c r="A33656" s="15" t="s">
        <v>10651</v>
      </c>
      <c r="B33656" s="15" t="s">
        <v>10651</v>
      </c>
      <c r="C33656" s="15" t="s">
        <v>10178</v>
      </c>
      <c r="D33656" s="15" t="s">
        <v>10193</v>
      </c>
      <c r="E33656" s="2">
        <v>1276600</v>
      </c>
      <c r="F33656" s="4" t="e">
        <f>IF(B33656=#REF!,"",B33656)</f>
        <v>#REF!</v>
      </c>
    </row>
    <row r="33657" spans="1:6" ht="15.75" customHeight="1">
      <c r="A33657" s="15" t="s">
        <v>10650</v>
      </c>
      <c r="B33657" s="15" t="s">
        <v>10650</v>
      </c>
      <c r="C33657" s="15" t="s">
        <v>10178</v>
      </c>
      <c r="D33657" s="15" t="s">
        <v>10317</v>
      </c>
      <c r="E33657" s="2">
        <v>1276609</v>
      </c>
      <c r="F33657" s="4" t="str">
        <f>IF(B33657=B33656,"",B33657)</f>
        <v>Begusarai</v>
      </c>
    </row>
    <row r="33658" spans="1:6" ht="15.75" customHeight="1">
      <c r="A33658" s="16" t="str">
        <f ca="1">IFERROR(__xludf.DUMMYFUNCTION("GOOGLETRANSLATE(B33909,""en"",""pt"")"),"Begūn")</f>
        <v>Begūn</v>
      </c>
      <c r="B33658" s="20" t="s">
        <v>33922</v>
      </c>
      <c r="C33658" s="20" t="s">
        <v>10178</v>
      </c>
      <c r="D33658" s="20" t="s">
        <v>10179</v>
      </c>
      <c r="E33658" s="10">
        <v>1276615</v>
      </c>
      <c r="F33658" s="4" t="e">
        <f>IF(B33658=#REF!,"",B33658)</f>
        <v>#REF!</v>
      </c>
    </row>
    <row r="33659" spans="1:6" ht="15.75" customHeight="1">
      <c r="A33659" s="15" t="s">
        <v>9381</v>
      </c>
      <c r="B33659" s="15" t="s">
        <v>9381</v>
      </c>
      <c r="C33659" s="15" t="s">
        <v>9365</v>
      </c>
      <c r="D33659" s="15" t="s">
        <v>9366</v>
      </c>
      <c r="E33659" s="2">
        <v>2303236</v>
      </c>
      <c r="F33659" s="4" t="str">
        <f>IF(B33659=B33658,"",B33659)</f>
        <v>Begoro</v>
      </c>
    </row>
    <row r="33660" spans="1:6" ht="15.75" customHeight="1">
      <c r="A33660" s="16" t="str">
        <f ca="1">IFERROR(__xludf.DUMMYFUNCTION("GOOGLETRANSLATE(B30230,""en"",""pt"")"),"Bègles")</f>
        <v>Bègles</v>
      </c>
      <c r="B33660" s="20" t="s">
        <v>32643</v>
      </c>
      <c r="C33660" s="20" t="s">
        <v>7052</v>
      </c>
      <c r="D33660" s="20" t="s">
        <v>7084</v>
      </c>
      <c r="E33660" s="10">
        <v>3033881</v>
      </c>
      <c r="F33660" s="4" t="e">
        <f>IF(B33660=#REF!,"",B33660)</f>
        <v>#REF!</v>
      </c>
    </row>
    <row r="33661" spans="1:6" ht="15.75" customHeight="1">
      <c r="A33661" s="16" t="s">
        <v>10649</v>
      </c>
      <c r="B33661" s="15" t="s">
        <v>10649</v>
      </c>
      <c r="C33661" s="16" t="s">
        <v>10178</v>
      </c>
      <c r="D33661" s="16" t="s">
        <v>10219</v>
      </c>
      <c r="E33661" s="2">
        <v>1276621</v>
      </c>
      <c r="F33661" s="4" t="str">
        <f>IF(B33661=B33660,"",B33661)</f>
        <v>Begamganj</v>
      </c>
    </row>
    <row r="33662" spans="1:6" ht="15.75" customHeight="1">
      <c r="A33662" s="15" t="s">
        <v>10647</v>
      </c>
      <c r="B33662" s="15" t="s">
        <v>10648</v>
      </c>
      <c r="C33662" s="15" t="s">
        <v>10178</v>
      </c>
      <c r="D33662" s="15" t="s">
        <v>10179</v>
      </c>
      <c r="E33662" s="2">
        <v>1276615</v>
      </c>
      <c r="F33662" s="4" t="e">
        <f>IF(B33662=#REF!,"",B33662)</f>
        <v>#REF!</v>
      </c>
    </row>
    <row r="33663" spans="1:6" ht="15.75" customHeight="1">
      <c r="A33663" s="16" t="s">
        <v>14787</v>
      </c>
      <c r="B33663" s="15" t="s">
        <v>14787</v>
      </c>
      <c r="C33663" s="16" t="s">
        <v>14773</v>
      </c>
      <c r="D33663" s="16" t="s">
        <v>14779</v>
      </c>
      <c r="E33663" s="2">
        <v>295530</v>
      </c>
      <c r="F33663" s="4" t="e">
        <f>IF(B33663=#REF!,"",B33663)</f>
        <v>#REF!</v>
      </c>
    </row>
    <row r="33664" spans="1:6" ht="15.75" customHeight="1">
      <c r="A33664" s="15" t="s">
        <v>1527</v>
      </c>
      <c r="B33664" s="15" t="s">
        <v>1527</v>
      </c>
      <c r="C33664" s="15" t="s">
        <v>1512</v>
      </c>
      <c r="D33664" s="15" t="s">
        <v>1513</v>
      </c>
      <c r="E33664" s="2">
        <v>2802433</v>
      </c>
      <c r="F33664" s="4" t="e">
        <f>IF(B33664=#REF!,"",B33664)</f>
        <v>#REF!</v>
      </c>
    </row>
    <row r="33665" spans="1:6" ht="15.75" customHeight="1">
      <c r="A33665" s="15" t="s">
        <v>1526</v>
      </c>
      <c r="B33665" s="15" t="s">
        <v>1526</v>
      </c>
      <c r="C33665" s="15" t="s">
        <v>1512</v>
      </c>
      <c r="D33665" s="15" t="s">
        <v>1513</v>
      </c>
      <c r="E33665" s="2">
        <v>2802435</v>
      </c>
      <c r="F33665" s="4" t="e">
        <f>IF(B33665=#REF!,"",B33665)</f>
        <v>#REF!</v>
      </c>
    </row>
    <row r="33666" spans="1:6" ht="15.75" customHeight="1">
      <c r="A33666" s="15" t="s">
        <v>18892</v>
      </c>
      <c r="B33666" s="15" t="s">
        <v>18892</v>
      </c>
      <c r="C33666" s="15" t="s">
        <v>18862</v>
      </c>
      <c r="D33666" s="15" t="s">
        <v>18893</v>
      </c>
      <c r="E33666" s="2">
        <v>2759350</v>
      </c>
      <c r="F33666" s="4" t="str">
        <f>IF(B33666=B33665,"",B33666)</f>
        <v>Beek</v>
      </c>
    </row>
    <row r="33667" spans="1:6" ht="15.75" customHeight="1">
      <c r="A33667" s="16" t="str">
        <f ca="1">IFERROR(__xludf.DUMMYFUNCTION("GOOGLETRANSLATE(B39495,""en"",""pt"")"),"Będzin")</f>
        <v>Będzin</v>
      </c>
      <c r="B33667" s="20" t="s">
        <v>35248</v>
      </c>
      <c r="C33667" s="20" t="s">
        <v>21064</v>
      </c>
      <c r="D33667" s="20" t="s">
        <v>21073</v>
      </c>
      <c r="E33667" s="10">
        <v>3103719</v>
      </c>
      <c r="F33667" s="4" t="e">
        <f>IF(B33667=#REF!,"",B33667)</f>
        <v>#REF!</v>
      </c>
    </row>
    <row r="33668" spans="1:6" ht="15.75" customHeight="1">
      <c r="A33668" s="16" t="s">
        <v>27300</v>
      </c>
      <c r="B33668" s="15" t="s">
        <v>27300</v>
      </c>
      <c r="C33668" s="16" t="s">
        <v>27234</v>
      </c>
      <c r="D33668" s="16" t="s">
        <v>27241</v>
      </c>
      <c r="E33668" s="2">
        <v>2656031</v>
      </c>
      <c r="F33668" s="4" t="e">
        <f>IF(B33668=#REF!,"",B33668)</f>
        <v>#REF!</v>
      </c>
    </row>
    <row r="33669" spans="1:6" ht="15.75" customHeight="1">
      <c r="A33669" s="15" t="s">
        <v>17453</v>
      </c>
      <c r="B33669" s="15" t="s">
        <v>17453</v>
      </c>
      <c r="C33669" s="15" t="s">
        <v>17432</v>
      </c>
      <c r="D33669" s="15" t="s">
        <v>17436</v>
      </c>
      <c r="E33669" s="2">
        <v>1734439</v>
      </c>
      <c r="F33669" s="4" t="e">
        <f>IF(B33669=#REF!,"",B33669)</f>
        <v>#REF!</v>
      </c>
    </row>
    <row r="33670" spans="1:6" ht="15.75" customHeight="1">
      <c r="A33670" s="16" t="s">
        <v>27299</v>
      </c>
      <c r="B33670" s="15" t="s">
        <v>27299</v>
      </c>
      <c r="C33670" s="16" t="s">
        <v>27234</v>
      </c>
      <c r="D33670" s="16" t="s">
        <v>27241</v>
      </c>
      <c r="E33670" s="2">
        <v>2656039</v>
      </c>
      <c r="F33670" s="4" t="e">
        <f>IF(B33670=#REF!,"",B33670)</f>
        <v>#REF!</v>
      </c>
    </row>
    <row r="33671" spans="1:6" ht="15.75" customHeight="1">
      <c r="A33671" s="15" t="s">
        <v>10646</v>
      </c>
      <c r="B33671" s="15" t="s">
        <v>10646</v>
      </c>
      <c r="C33671" s="15" t="s">
        <v>10178</v>
      </c>
      <c r="D33671" s="15" t="s">
        <v>10209</v>
      </c>
      <c r="E33671" s="2">
        <v>1276627</v>
      </c>
      <c r="F33671" s="4" t="e">
        <f>IF(B33671=#REF!,"",B33671)</f>
        <v>#REF!</v>
      </c>
    </row>
    <row r="33672" spans="1:6" ht="15.75" customHeight="1">
      <c r="A33672" s="15" t="s">
        <v>27298</v>
      </c>
      <c r="B33672" s="15" t="s">
        <v>27298</v>
      </c>
      <c r="C33672" s="15" t="s">
        <v>27234</v>
      </c>
      <c r="D33672" s="15" t="s">
        <v>27241</v>
      </c>
      <c r="E33672" s="2">
        <v>2656046</v>
      </c>
      <c r="F33672" s="4" t="str">
        <f>IF(B33672=B33671,"",B33672)</f>
        <v>Bedford</v>
      </c>
    </row>
    <row r="33673" spans="1:6" ht="15.75" customHeight="1">
      <c r="A33673" s="16" t="str">
        <f ca="1">IFERROR(__xludf.DUMMYFUNCTION("GOOGLETRANSLATE(B29577,""en"",""pt"")"),"Bedēsa")</f>
        <v>Bedēsa</v>
      </c>
      <c r="B33673" s="20" t="s">
        <v>32509</v>
      </c>
      <c r="C33673" s="20" t="s">
        <v>6807</v>
      </c>
      <c r="D33673" s="20" t="s">
        <v>6814</v>
      </c>
      <c r="E33673" s="10">
        <v>342559</v>
      </c>
      <c r="F33673" s="4" t="str">
        <f>IF(B33673=B33672,"",B33673)</f>
        <v>Bedēsa</v>
      </c>
    </row>
    <row r="33674" spans="1:6" ht="15.75" customHeight="1">
      <c r="A33674" s="16" t="str">
        <f ca="1">IFERROR(__xludf.DUMMYFUNCTION("GOOGLETRANSLATE(B29578,""en"",""pt"")"),"Bedelē")</f>
        <v>Bedelē</v>
      </c>
      <c r="B33674" s="20" t="s">
        <v>32510</v>
      </c>
      <c r="C33674" s="20" t="s">
        <v>6807</v>
      </c>
      <c r="D33674" s="20" t="s">
        <v>6814</v>
      </c>
      <c r="E33674" s="10">
        <v>342567</v>
      </c>
      <c r="F33674" s="4" t="str">
        <f>IF(B33674=B33673,"",B33674)</f>
        <v>Bedelē</v>
      </c>
    </row>
    <row r="33675" spans="1:6" ht="15.75" customHeight="1">
      <c r="A33675" s="15" t="s">
        <v>6842</v>
      </c>
      <c r="B33675" s="15" t="s">
        <v>6843</v>
      </c>
      <c r="C33675" s="15" t="s">
        <v>6807</v>
      </c>
      <c r="D33675" s="15" t="s">
        <v>6814</v>
      </c>
      <c r="E33675" s="2">
        <v>342567</v>
      </c>
      <c r="F33675" s="4" t="e">
        <f>IF(B33675=#REF!,"",B33675)</f>
        <v>#REF!</v>
      </c>
    </row>
    <row r="33676" spans="1:6" ht="15.75" customHeight="1">
      <c r="A33676" s="15" t="s">
        <v>8179</v>
      </c>
      <c r="B33676" s="15" t="s">
        <v>8179</v>
      </c>
      <c r="C33676" s="15" t="s">
        <v>8028</v>
      </c>
      <c r="D33676" s="15" t="s">
        <v>8029</v>
      </c>
      <c r="E33676" s="2">
        <v>2951648</v>
      </c>
      <c r="F33676" s="4" t="str">
        <f>IF(B33676=B33675,"",B33676)</f>
        <v>Bedburg</v>
      </c>
    </row>
    <row r="33677" spans="1:6" ht="15.75" customHeight="1">
      <c r="A33677" s="15" t="s">
        <v>6840</v>
      </c>
      <c r="B33677" s="15" t="s">
        <v>6841</v>
      </c>
      <c r="C33677" s="15" t="s">
        <v>6807</v>
      </c>
      <c r="D33677" s="15" t="s">
        <v>6814</v>
      </c>
      <c r="E33677" s="2">
        <v>342559</v>
      </c>
      <c r="F33677" s="4" t="e">
        <f>IF(B33677=#REF!,"",B33677)</f>
        <v>#REF!</v>
      </c>
    </row>
    <row r="33678" spans="1:6" ht="15.75" customHeight="1">
      <c r="A33678" s="16" t="s">
        <v>27297</v>
      </c>
      <c r="B33678" s="15" t="s">
        <v>27297</v>
      </c>
      <c r="C33678" s="16" t="s">
        <v>27234</v>
      </c>
      <c r="D33678" s="16" t="s">
        <v>27241</v>
      </c>
      <c r="E33678" s="2">
        <v>6690870</v>
      </c>
      <c r="F33678" s="4" t="e">
        <f>IF(B33678=#REF!,"",B33678)</f>
        <v>#REF!</v>
      </c>
    </row>
    <row r="33679" spans="1:6" ht="15.75" customHeight="1">
      <c r="A33679" s="15" t="s">
        <v>8178</v>
      </c>
      <c r="B33679" s="15" t="s">
        <v>8178</v>
      </c>
      <c r="C33679" s="15" t="s">
        <v>8028</v>
      </c>
      <c r="D33679" s="15" t="s">
        <v>8029</v>
      </c>
      <c r="E33679" s="2">
        <v>2951654</v>
      </c>
      <c r="F33679" s="4" t="e">
        <f>IF(B33679=#REF!,"",B33679)</f>
        <v>#REF!</v>
      </c>
    </row>
    <row r="33680" spans="1:6" ht="15.75" customHeight="1">
      <c r="A33680" s="16" t="s">
        <v>8176</v>
      </c>
      <c r="B33680" s="15" t="s">
        <v>8176</v>
      </c>
      <c r="C33680" s="16" t="s">
        <v>8028</v>
      </c>
      <c r="D33680" s="16" t="s">
        <v>8177</v>
      </c>
      <c r="E33680" s="2">
        <v>2951679</v>
      </c>
      <c r="F33680" s="4" t="e">
        <f>IF(B33680=#REF!,"",B33680)</f>
        <v>#REF!</v>
      </c>
    </row>
    <row r="33681" spans="1:6" ht="15.75" customHeight="1">
      <c r="A33681" s="16" t="s">
        <v>27296</v>
      </c>
      <c r="B33681" s="15" t="s">
        <v>27296</v>
      </c>
      <c r="C33681" s="16" t="s">
        <v>27234</v>
      </c>
      <c r="D33681" s="16" t="s">
        <v>27241</v>
      </c>
      <c r="E33681" s="2">
        <v>2656065</v>
      </c>
      <c r="F33681" s="4" t="str">
        <f>IF(B33681=B33680,"",B33681)</f>
        <v>Beckenham</v>
      </c>
    </row>
    <row r="33682" spans="1:6" ht="15.75" customHeight="1">
      <c r="A33682" s="16" t="str">
        <f ca="1">IFERROR(__xludf.DUMMYFUNCTION("GOOGLETRANSLATE(B28702,""en"",""pt"")"),"Béchar")</f>
        <v>Béchar</v>
      </c>
      <c r="B33682" s="20" t="s">
        <v>32210</v>
      </c>
      <c r="C33682" s="20" t="s">
        <v>153</v>
      </c>
      <c r="D33682" s="20" t="s">
        <v>32210</v>
      </c>
      <c r="E33682" s="10">
        <v>2505530</v>
      </c>
      <c r="F33682" s="4" t="str">
        <f>IF(B33682=B33681,"",B33682)</f>
        <v>Béchar</v>
      </c>
    </row>
    <row r="33683" spans="1:6" ht="15.75" customHeight="1">
      <c r="A33683" s="16" t="str">
        <f ca="1">IFERROR(__xludf.DUMMYFUNCTION("GOOGLETRANSLATE(B39890,""en"",""pt"")"),"Bečej")</f>
        <v>Bečej</v>
      </c>
      <c r="B33683" s="20" t="s">
        <v>35422</v>
      </c>
      <c r="C33683" s="20" t="s">
        <v>23602</v>
      </c>
      <c r="D33683" s="20" t="s">
        <v>23610</v>
      </c>
      <c r="E33683" s="10">
        <v>792814</v>
      </c>
      <c r="F33683" s="4" t="e">
        <f>IF(B33683=#REF!,"",B33683)</f>
        <v>#REF!</v>
      </c>
    </row>
    <row r="33684" spans="1:6" ht="15.75" customHeight="1">
      <c r="A33684" s="16" t="s">
        <v>27295</v>
      </c>
      <c r="B33684" s="15" t="s">
        <v>27295</v>
      </c>
      <c r="C33684" s="16" t="s">
        <v>27234</v>
      </c>
      <c r="D33684" s="16" t="s">
        <v>27241</v>
      </c>
      <c r="E33684" s="2">
        <v>2656070</v>
      </c>
      <c r="F33684" s="4" t="e">
        <f>IF(B33684=#REF!,"",B33684)</f>
        <v>#REF!</v>
      </c>
    </row>
    <row r="33685" spans="1:6" ht="15.75" customHeight="1">
      <c r="A33685" s="15" t="s">
        <v>2109</v>
      </c>
      <c r="B33685" s="15" t="s">
        <v>2109</v>
      </c>
      <c r="C33685" s="15" t="s">
        <v>1905</v>
      </c>
      <c r="D33685" s="15" t="s">
        <v>1930</v>
      </c>
      <c r="E33685" s="2">
        <v>3405924</v>
      </c>
      <c r="F33685" s="4" t="e">
        <f>IF(B33685=#REF!,"",B33685)</f>
        <v>#REF!</v>
      </c>
    </row>
    <row r="33686" spans="1:6" ht="15.75" customHeight="1">
      <c r="A33686" s="16" t="s">
        <v>2107</v>
      </c>
      <c r="B33686" s="15" t="s">
        <v>2108</v>
      </c>
      <c r="C33686" s="16" t="s">
        <v>1905</v>
      </c>
      <c r="D33686" s="16" t="s">
        <v>1914</v>
      </c>
      <c r="E33686" s="2">
        <v>3470264</v>
      </c>
      <c r="F33686" s="4" t="str">
        <f>IF(B33686=B33685,"",B33686)</f>
        <v>Bebedouro</v>
      </c>
    </row>
    <row r="33687" spans="1:6" ht="15.75" customHeight="1">
      <c r="A33687" s="16" t="s">
        <v>26385</v>
      </c>
      <c r="B33687" s="15" t="s">
        <v>26386</v>
      </c>
      <c r="C33687" s="16" t="s">
        <v>26201</v>
      </c>
      <c r="D33687" s="16" t="s">
        <v>26286</v>
      </c>
      <c r="E33687" s="2">
        <v>750735</v>
      </c>
      <c r="F33687" s="4" t="str">
        <f>IF(B33687=B33686,"",B33687)</f>
        <v>BeÅŸikdÃ¼zÃ¼</v>
      </c>
    </row>
    <row r="33688" spans="1:6" ht="15.75" customHeight="1">
      <c r="A33688" s="16" t="str">
        <f ca="1">IFERROR(__xludf.DUMMYFUNCTION("GOOGLETRANSLATE(B33912,""en"",""pt"")"),"Beāwar")</f>
        <v>Beāwar</v>
      </c>
      <c r="B33688" s="20" t="s">
        <v>33923</v>
      </c>
      <c r="C33688" s="20" t="s">
        <v>10178</v>
      </c>
      <c r="D33688" s="20" t="s">
        <v>10179</v>
      </c>
      <c r="E33688" s="10">
        <v>1276634</v>
      </c>
      <c r="F33688" s="4" t="e">
        <f>IF(B33688=#REF!,"",B33688)</f>
        <v>#REF!</v>
      </c>
    </row>
    <row r="33689" spans="1:6" ht="15.75" customHeight="1">
      <c r="A33689" s="16" t="s">
        <v>27984</v>
      </c>
      <c r="B33689" s="15" t="s">
        <v>27984</v>
      </c>
      <c r="C33689" s="16" t="s">
        <v>27788</v>
      </c>
      <c r="D33689" s="16" t="s">
        <v>27820</v>
      </c>
      <c r="E33689" s="2">
        <v>5713376</v>
      </c>
      <c r="F33689" s="4" t="e">
        <f>IF(B33689=#REF!,"",B33689)</f>
        <v>#REF!</v>
      </c>
    </row>
    <row r="33690" spans="1:6" ht="15.75" customHeight="1">
      <c r="A33690" s="16" t="s">
        <v>27982</v>
      </c>
      <c r="B33690" s="15" t="s">
        <v>27983</v>
      </c>
      <c r="C33690" s="16" t="s">
        <v>27788</v>
      </c>
      <c r="D33690" s="16" t="s">
        <v>27813</v>
      </c>
      <c r="E33690" s="2">
        <v>4506008</v>
      </c>
      <c r="F33690" s="4" t="e">
        <f>IF(B33690=#REF!,"",B33690)</f>
        <v>#REF!</v>
      </c>
    </row>
    <row r="33691" spans="1:6" ht="15.75" customHeight="1">
      <c r="A33691" s="16" t="s">
        <v>27980</v>
      </c>
      <c r="B33691" s="15" t="s">
        <v>27981</v>
      </c>
      <c r="C33691" s="16" t="s">
        <v>27788</v>
      </c>
      <c r="D33691" s="16" t="s">
        <v>27890</v>
      </c>
      <c r="E33691" s="2">
        <v>5245193</v>
      </c>
      <c r="F33691" s="4" t="e">
        <f>IF(B33691=#REF!,"",B33691)</f>
        <v>#REF!</v>
      </c>
    </row>
    <row r="33692" spans="1:6" ht="15.75" customHeight="1">
      <c r="A33692" s="15" t="s">
        <v>7155</v>
      </c>
      <c r="B33692" s="15" t="s">
        <v>7155</v>
      </c>
      <c r="C33692" s="15" t="s">
        <v>7052</v>
      </c>
      <c r="D33692" s="15" t="s">
        <v>7078</v>
      </c>
      <c r="E33692" s="2">
        <v>3034006</v>
      </c>
      <c r="F33692" s="4" t="e">
        <f>IF(B33692=#REF!,"",B33692)</f>
        <v>#REF!</v>
      </c>
    </row>
    <row r="33693" spans="1:6" ht="15.75" customHeight="1">
      <c r="A33693" s="15" t="s">
        <v>7154</v>
      </c>
      <c r="B33693" s="15" t="s">
        <v>7154</v>
      </c>
      <c r="C33693" s="15" t="s">
        <v>7052</v>
      </c>
      <c r="D33693" s="15" t="s">
        <v>7128</v>
      </c>
      <c r="E33693" s="2">
        <v>3034126</v>
      </c>
      <c r="F33693" s="4" t="e">
        <f>IF(B33693=#REF!,"",B33693)</f>
        <v>#REF!</v>
      </c>
    </row>
    <row r="33694" spans="1:6" ht="15.75" customHeight="1">
      <c r="A33694" s="16" t="s">
        <v>27979</v>
      </c>
      <c r="B33694" s="15" t="s">
        <v>27979</v>
      </c>
      <c r="C33694" s="16" t="s">
        <v>27788</v>
      </c>
      <c r="D33694" s="16" t="s">
        <v>27792</v>
      </c>
      <c r="E33694" s="2">
        <v>4672989</v>
      </c>
      <c r="F33694" s="4" t="e">
        <f>IF(B33694=#REF!,"",B33694)</f>
        <v>#REF!</v>
      </c>
    </row>
    <row r="33695" spans="1:6" ht="15.75" customHeight="1">
      <c r="A33695" s="16" t="s">
        <v>23853</v>
      </c>
      <c r="B33695" s="15" t="s">
        <v>23853</v>
      </c>
      <c r="C33695" s="16" t="s">
        <v>23842</v>
      </c>
      <c r="D33695" s="16" t="s">
        <v>23847</v>
      </c>
      <c r="E33695" s="2">
        <v>1020641</v>
      </c>
      <c r="F33695" s="4" t="e">
        <f>IF(B33695=#REF!,"",B33695)</f>
        <v>#REF!</v>
      </c>
    </row>
    <row r="33696" spans="1:6" ht="15.75" customHeight="1">
      <c r="A33696" s="15" t="s">
        <v>17452</v>
      </c>
      <c r="B33696" s="15" t="s">
        <v>17452</v>
      </c>
      <c r="C33696" s="15" t="s">
        <v>17432</v>
      </c>
      <c r="D33696" s="15" t="s">
        <v>17444</v>
      </c>
      <c r="E33696" s="2">
        <v>1733874</v>
      </c>
      <c r="F33696" s="4" t="e">
        <f>IF(B33696=#REF!,"",B33696)</f>
        <v>#REF!</v>
      </c>
    </row>
    <row r="33697" spans="1:6" ht="15.75" customHeight="1">
      <c r="A33697" s="15" t="s">
        <v>27294</v>
      </c>
      <c r="B33697" s="15" t="s">
        <v>27294</v>
      </c>
      <c r="C33697" s="15" t="s">
        <v>27234</v>
      </c>
      <c r="D33697" s="15" t="s">
        <v>27237</v>
      </c>
      <c r="E33697" s="2">
        <v>2656086</v>
      </c>
      <c r="F33697" s="4" t="e">
        <f>IF(B33697=#REF!,"",B33697)</f>
        <v>#REF!</v>
      </c>
    </row>
    <row r="33698" spans="1:6" ht="15.75" customHeight="1">
      <c r="A33698" s="15" t="s">
        <v>27976</v>
      </c>
      <c r="B33698" s="15" t="s">
        <v>27977</v>
      </c>
      <c r="C33698" s="15" t="s">
        <v>27788</v>
      </c>
      <c r="D33698" s="15" t="s">
        <v>27978</v>
      </c>
      <c r="E33698" s="2">
        <v>4141363</v>
      </c>
      <c r="F33698" s="4" t="e">
        <f>IF(B33698=#REF!,"",B33698)</f>
        <v>#REF!</v>
      </c>
    </row>
    <row r="33699" spans="1:6" ht="15.75" customHeight="1">
      <c r="A33699" s="16" t="s">
        <v>17342</v>
      </c>
      <c r="B33699" s="15" t="s">
        <v>17342</v>
      </c>
      <c r="C33699" s="16" t="s">
        <v>17292</v>
      </c>
      <c r="D33699" s="16" t="s">
        <v>3753</v>
      </c>
      <c r="E33699" s="2">
        <v>1068670</v>
      </c>
      <c r="F33699" s="4" t="e">
        <f>IF(B33699=#REF!,"",B33699)</f>
        <v>#REF!</v>
      </c>
    </row>
    <row r="33700" spans="1:6" ht="15.75" customHeight="1">
      <c r="A33700" s="16" t="s">
        <v>3989</v>
      </c>
      <c r="B33700" s="15" t="s">
        <v>3989</v>
      </c>
      <c r="C33700" s="16" t="s">
        <v>3975</v>
      </c>
      <c r="D33700" s="16" t="s">
        <v>3982</v>
      </c>
      <c r="E33700" s="2">
        <v>5895650</v>
      </c>
      <c r="F33700" s="4" t="e">
        <f>IF(B33700=#REF!,"",B33700)</f>
        <v>#REF!</v>
      </c>
    </row>
    <row r="33701" spans="1:6" ht="15.75" customHeight="1">
      <c r="A33701" s="15" t="s">
        <v>27974</v>
      </c>
      <c r="B33701" s="15" t="s">
        <v>27975</v>
      </c>
      <c r="C33701" s="15" t="s">
        <v>27788</v>
      </c>
      <c r="D33701" s="15" t="s">
        <v>27819</v>
      </c>
      <c r="E33701" s="2">
        <v>5108219</v>
      </c>
      <c r="F33701" s="4" t="str">
        <f>IF(B33701=B33700,"",B33701)</f>
        <v>Beacon</v>
      </c>
    </row>
    <row r="33702" spans="1:6" ht="15.75" customHeight="1">
      <c r="A33702" s="16" t="s">
        <v>10644</v>
      </c>
      <c r="B33702" s="15" t="s">
        <v>10645</v>
      </c>
      <c r="C33702" s="16" t="s">
        <v>10178</v>
      </c>
      <c r="D33702" s="16" t="s">
        <v>10179</v>
      </c>
      <c r="E33702" s="2">
        <v>1276634</v>
      </c>
      <c r="F33702" s="4" t="str">
        <f>IF(B33702=B33701,"",B33702)</f>
        <v>BeÄwar</v>
      </c>
    </row>
    <row r="33703" spans="1:6" ht="15.75" customHeight="1">
      <c r="A33703" s="15" t="s">
        <v>23617</v>
      </c>
      <c r="B33703" s="15" t="s">
        <v>23618</v>
      </c>
      <c r="C33703" s="15" t="s">
        <v>23602</v>
      </c>
      <c r="D33703" s="15" t="s">
        <v>23610</v>
      </c>
      <c r="E33703" s="2">
        <v>792814</v>
      </c>
      <c r="F33703" s="4" t="str">
        <f>IF(B33703=B33702,"",B33703)</f>
        <v>BeÄej</v>
      </c>
    </row>
    <row r="33704" spans="1:6" ht="15.75" customHeight="1">
      <c r="A33704" s="16" t="s">
        <v>21134</v>
      </c>
      <c r="B33704" s="15" t="s">
        <v>21135</v>
      </c>
      <c r="C33704" s="16" t="s">
        <v>21064</v>
      </c>
      <c r="D33704" s="16" t="s">
        <v>21080</v>
      </c>
      <c r="E33704" s="2">
        <v>3103709</v>
      </c>
      <c r="F33704" s="4" t="str">
        <f>IF(B33704=B33703,"",B33704)</f>
        <v>BeÅ‚chatÃ³w</v>
      </c>
    </row>
    <row r="33705" spans="1:6" ht="15.75" customHeight="1">
      <c r="A33705" s="16" t="str">
        <f ca="1">IFERROR(__xludf.DUMMYFUNCTION("GOOGLETRANSLATE(B36283,""en"",""pt"")"),"BCharré")</f>
        <v>BCharré</v>
      </c>
      <c r="B33705" s="20" t="s">
        <v>17010</v>
      </c>
      <c r="C33705" s="20" t="s">
        <v>17008</v>
      </c>
      <c r="D33705" s="20" t="s">
        <v>17012</v>
      </c>
      <c r="E33705" s="10">
        <v>276359</v>
      </c>
      <c r="F33705" s="4" t="str">
        <f>IF(B33705=B33704,"",B33705)</f>
        <v>Bcharré</v>
      </c>
    </row>
    <row r="33706" spans="1:6" ht="15.75" customHeight="1">
      <c r="A33706" s="15" t="s">
        <v>17010</v>
      </c>
      <c r="B33706" s="15" t="s">
        <v>17011</v>
      </c>
      <c r="C33706" s="15" t="s">
        <v>17008</v>
      </c>
      <c r="D33706" s="15" t="s">
        <v>17012</v>
      </c>
      <c r="E33706" s="2">
        <v>276359</v>
      </c>
      <c r="F33706" s="4" t="str">
        <f>IF(B33706=B33705,"",B33706)</f>
        <v>BcharrÃ©</v>
      </c>
    </row>
    <row r="33707" spans="1:6" ht="15.75" customHeight="1">
      <c r="A33707" s="16" t="str">
        <f ca="1">IFERROR(__xludf.DUMMYFUNCTION("GOOGLETRANSLATE(B33913,""en"",""pt"")"),"Bāzpur")</f>
        <v>Bāzpur</v>
      </c>
      <c r="B33707" s="20" t="s">
        <v>33924</v>
      </c>
      <c r="C33707" s="20" t="s">
        <v>10178</v>
      </c>
      <c r="D33707" s="20" t="s">
        <v>10299</v>
      </c>
      <c r="E33707" s="10">
        <v>1276642</v>
      </c>
      <c r="F33707" s="4" t="e">
        <f>IF(B33707=#REF!,"",B33707)</f>
        <v>#REF!</v>
      </c>
    </row>
    <row r="33708" spans="1:6" ht="15.75" customHeight="1">
      <c r="A33708" s="16" t="s">
        <v>16928</v>
      </c>
      <c r="B33708" s="15" t="s">
        <v>16928</v>
      </c>
      <c r="C33708" s="16" t="s">
        <v>16924</v>
      </c>
      <c r="D33708" s="16" t="s">
        <v>16929</v>
      </c>
      <c r="E33708" s="2">
        <v>1528717</v>
      </c>
      <c r="F33708" s="4" t="str">
        <f>IF(B33708=B33707,"",B33708)</f>
        <v>Bazar-Korgon</v>
      </c>
    </row>
    <row r="33709" spans="1:6" ht="15.75" customHeight="1">
      <c r="A33709" s="16" t="str">
        <f ca="1">IFERROR(__xludf.DUMMYFUNCTION("GOOGLETRANSLATE(B23100,""en"",""pt"")"),"Bāzārak")</f>
        <v>Bāzārak</v>
      </c>
      <c r="B33709" s="20" t="s">
        <v>31141</v>
      </c>
      <c r="C33709" s="20" t="s">
        <v>8</v>
      </c>
      <c r="D33709" s="20" t="s">
        <v>26</v>
      </c>
      <c r="E33709" s="10">
        <v>1429434</v>
      </c>
      <c r="F33709" s="4" t="e">
        <f>IF(B33709=#REF!,"",B33709)</f>
        <v>#REF!</v>
      </c>
    </row>
    <row r="33710" spans="1:6" ht="15.75" customHeight="1">
      <c r="A33710" s="15" t="s">
        <v>24329</v>
      </c>
      <c r="B33710" s="15" t="s">
        <v>24329</v>
      </c>
      <c r="C33710" s="15" t="s">
        <v>24200</v>
      </c>
      <c r="D33710" s="15" t="s">
        <v>24205</v>
      </c>
      <c r="E33710" s="2">
        <v>2521215</v>
      </c>
      <c r="F33710" s="4" t="e">
        <f>IF(B33710=#REF!,"",B33710)</f>
        <v>#REF!</v>
      </c>
    </row>
    <row r="33711" spans="1:6" ht="15.75" customHeight="1">
      <c r="A33711" s="15" t="s">
        <v>20673</v>
      </c>
      <c r="B33711" s="15" t="s">
        <v>20673</v>
      </c>
      <c r="C33711" s="15" t="s">
        <v>20598</v>
      </c>
      <c r="D33711" s="15" t="s">
        <v>20647</v>
      </c>
      <c r="E33711" s="2">
        <v>1725684</v>
      </c>
      <c r="F33711" s="4" t="e">
        <f>IF(B33711=#REF!,"",B33711)</f>
        <v>#REF!</v>
      </c>
    </row>
    <row r="33712" spans="1:6" ht="15.75" customHeight="1">
      <c r="A33712" s="15" t="s">
        <v>27973</v>
      </c>
      <c r="B33712" s="15" t="s">
        <v>27973</v>
      </c>
      <c r="C33712" s="15" t="s">
        <v>27788</v>
      </c>
      <c r="D33712" s="15" t="s">
        <v>27792</v>
      </c>
      <c r="E33712" s="2">
        <v>4672731</v>
      </c>
      <c r="F33712" s="4" t="str">
        <f>IF(B33712=B33711,"",B33712)</f>
        <v>Baytown</v>
      </c>
    </row>
    <row r="33713" spans="1:6" ht="15.75" customHeight="1">
      <c r="A33713" s="16" t="str">
        <f ca="1">IFERROR(__xludf.DUMMYFUNCTION("GOOGLETRANSLATE(B39531,""en"",""pt"")"),"Bayt lāhyā")</f>
        <v>Bayt lāhyā</v>
      </c>
      <c r="B33713" s="20" t="s">
        <v>35263</v>
      </c>
      <c r="C33713" s="20" t="s">
        <v>20297</v>
      </c>
      <c r="D33713" s="20" t="s">
        <v>20305</v>
      </c>
      <c r="E33713" s="10">
        <v>281145</v>
      </c>
      <c r="F33713" s="4" t="str">
        <f>IF(B33713=B33712,"",B33713)</f>
        <v>Bayt Lāhyā</v>
      </c>
    </row>
    <row r="33714" spans="1:6" ht="15.75" customHeight="1">
      <c r="A33714" s="16" t="s">
        <v>20335</v>
      </c>
      <c r="B33714" s="15" t="s">
        <v>20336</v>
      </c>
      <c r="C33714" s="16" t="s">
        <v>20297</v>
      </c>
      <c r="D33714" s="16" t="s">
        <v>20305</v>
      </c>
      <c r="E33714" s="2">
        <v>281145</v>
      </c>
      <c r="F33714" s="4" t="str">
        <f>IF(B33714=B33713,"",B33714)</f>
        <v>Bayt LÄhyÄ</v>
      </c>
    </row>
    <row r="33715" spans="1:6" ht="15.75" customHeight="1">
      <c r="A33715" s="16" t="str">
        <f ca="1">IFERROR(__xludf.DUMMYFUNCTION("GOOGLETRANSLATE(B39549,""en"",""pt"")"),"Bayt Jālā")</f>
        <v>Bayt Jālā</v>
      </c>
      <c r="B33715" s="20" t="s">
        <v>35276</v>
      </c>
      <c r="C33715" s="20" t="s">
        <v>20297</v>
      </c>
      <c r="D33715" s="20" t="s">
        <v>20298</v>
      </c>
      <c r="E33715" s="10">
        <v>284324</v>
      </c>
      <c r="F33715" s="4" t="str">
        <f>IF(B33715=B33714,"",B33715)</f>
        <v>Bayt Jālā</v>
      </c>
    </row>
    <row r="33716" spans="1:6" ht="15.75" customHeight="1">
      <c r="A33716" s="15" t="s">
        <v>20333</v>
      </c>
      <c r="B33716" s="15" t="s">
        <v>20334</v>
      </c>
      <c r="C33716" s="15" t="s">
        <v>20297</v>
      </c>
      <c r="D33716" s="15" t="s">
        <v>20298</v>
      </c>
      <c r="E33716" s="2">
        <v>284324</v>
      </c>
      <c r="F33716" s="4" t="str">
        <f>IF(B33716=B33715,"",B33716)</f>
        <v>Bayt JÄlÄ</v>
      </c>
    </row>
    <row r="33717" spans="1:6" ht="15.75" customHeight="1">
      <c r="A33717" s="16" t="str">
        <f ca="1">IFERROR(__xludf.DUMMYFUNCTION("GOOGLETRANSLATE(B39532,""en"",""pt"")"),"Bayt ḩānūn")</f>
        <v>Bayt ḩānūn</v>
      </c>
      <c r="B33717" s="20" t="s">
        <v>35264</v>
      </c>
      <c r="C33717" s="20" t="s">
        <v>20297</v>
      </c>
      <c r="D33717" s="20" t="s">
        <v>20305</v>
      </c>
      <c r="E33717" s="10">
        <v>281146</v>
      </c>
      <c r="F33717" s="4" t="str">
        <f>IF(B33717=B33716,"",B33717)</f>
        <v>Bayt Ḩānūn</v>
      </c>
    </row>
    <row r="33718" spans="1:6" ht="15.75" customHeight="1">
      <c r="A33718" s="16" t="str">
        <f ca="1">IFERROR(__xludf.DUMMYFUNCTION("GOOGLETRANSLATE(B45830,""en"",""pt"")"),"Bayt Al Faqīh")</f>
        <v>Bayt Al Faqīh</v>
      </c>
      <c r="B33718" s="20" t="s">
        <v>36224</v>
      </c>
      <c r="C33718" s="20" t="s">
        <v>30993</v>
      </c>
      <c r="D33718" s="20" t="s">
        <v>36213</v>
      </c>
      <c r="E33718" s="10">
        <v>76991</v>
      </c>
      <c r="F33718" s="4" t="str">
        <f>IF(B33718=B33717,"",B33718)</f>
        <v>Bayt al Faqīh</v>
      </c>
    </row>
    <row r="33719" spans="1:6" ht="15.75" customHeight="1">
      <c r="A33719" s="16" t="s">
        <v>31010</v>
      </c>
      <c r="B33719" s="15" t="s">
        <v>31011</v>
      </c>
      <c r="C33719" s="16" t="s">
        <v>30993</v>
      </c>
      <c r="D33719" s="16" t="s">
        <v>31002</v>
      </c>
      <c r="E33719" s="2">
        <v>76991</v>
      </c>
      <c r="F33719" s="4" t="str">
        <f>IF(B33719=B33718,"",B33719)</f>
        <v>Bayt al FaqÄ«h</v>
      </c>
    </row>
    <row r="33720" spans="1:6" ht="15.75" customHeight="1">
      <c r="A33720" s="16" t="s">
        <v>20331</v>
      </c>
      <c r="B33720" s="15" t="s">
        <v>20332</v>
      </c>
      <c r="C33720" s="16" t="s">
        <v>20297</v>
      </c>
      <c r="D33720" s="16" t="s">
        <v>20305</v>
      </c>
      <c r="E33720" s="2">
        <v>281146</v>
      </c>
      <c r="F33720" s="4" t="e">
        <f>IF(B33720=#REF!,"",B33720)</f>
        <v>#REF!</v>
      </c>
    </row>
    <row r="33721" spans="1:6" ht="15.75" customHeight="1">
      <c r="A33721" s="16" t="s">
        <v>27293</v>
      </c>
      <c r="B33721" s="15" t="s">
        <v>27293</v>
      </c>
      <c r="C33721" s="16" t="s">
        <v>27234</v>
      </c>
      <c r="D33721" s="16" t="s">
        <v>27241</v>
      </c>
      <c r="E33721" s="2">
        <v>6545243</v>
      </c>
      <c r="F33721" s="4" t="e">
        <f>IF(B33721=#REF!,"",B33721)</f>
        <v>#REF!</v>
      </c>
    </row>
    <row r="33722" spans="1:6" ht="15.75" customHeight="1">
      <c r="A33722" s="15" t="s">
        <v>27972</v>
      </c>
      <c r="B33722" s="15" t="s">
        <v>27972</v>
      </c>
      <c r="C33722" s="15" t="s">
        <v>27788</v>
      </c>
      <c r="D33722" s="15" t="s">
        <v>27801</v>
      </c>
      <c r="E33722" s="2">
        <v>5559320</v>
      </c>
      <c r="F33722" s="4" t="e">
        <f>IF(B33722=#REF!,"",B33722)</f>
        <v>#REF!</v>
      </c>
    </row>
    <row r="33723" spans="1:6" ht="15.75" customHeight="1">
      <c r="A33723" s="16" t="s">
        <v>27971</v>
      </c>
      <c r="B33723" s="15" t="s">
        <v>27971</v>
      </c>
      <c r="C33723" s="16" t="s">
        <v>27788</v>
      </c>
      <c r="D33723" s="16" t="s">
        <v>5468</v>
      </c>
      <c r="E33723" s="2">
        <v>4146934</v>
      </c>
      <c r="F33723" s="4" t="e">
        <f>IF(B33723=#REF!,"",B33723)</f>
        <v>#REF!</v>
      </c>
    </row>
    <row r="33724" spans="1:6" ht="15.75" customHeight="1">
      <c r="A33724" s="15" t="s">
        <v>8175</v>
      </c>
      <c r="B33724" s="15" t="s">
        <v>8175</v>
      </c>
      <c r="C33724" s="15" t="s">
        <v>8028</v>
      </c>
      <c r="D33724" s="15" t="s">
        <v>8044</v>
      </c>
      <c r="E33724" s="2">
        <v>2951825</v>
      </c>
      <c r="F33724" s="4" t="e">
        <f>IF(B33724=#REF!,"",B33724)</f>
        <v>#REF!</v>
      </c>
    </row>
    <row r="33725" spans="1:6" ht="15.75" customHeight="1">
      <c r="A33725" s="16" t="s">
        <v>26784</v>
      </c>
      <c r="B33725" s="15" t="s">
        <v>26784</v>
      </c>
      <c r="C33725" s="16" t="s">
        <v>26774</v>
      </c>
      <c r="D33725" s="16" t="s">
        <v>26785</v>
      </c>
      <c r="E33725" s="2">
        <v>1219762</v>
      </c>
      <c r="F33725" s="4" t="e">
        <f>IF(B33725=#REF!,"",B33725)</f>
        <v>#REF!</v>
      </c>
    </row>
    <row r="33726" spans="1:6" ht="15.75" customHeight="1">
      <c r="A33726" s="16" t="s">
        <v>27970</v>
      </c>
      <c r="B33726" s="15" t="s">
        <v>27970</v>
      </c>
      <c r="C33726" s="16" t="s">
        <v>27788</v>
      </c>
      <c r="D33726" s="16" t="s">
        <v>27827</v>
      </c>
      <c r="E33726" s="2">
        <v>4315768</v>
      </c>
      <c r="F33726" s="4" t="e">
        <f>IF(B33726=#REF!,"",B33726)</f>
        <v>#REF!</v>
      </c>
    </row>
    <row r="33727" spans="1:6" ht="15.75" customHeight="1">
      <c r="A33727" s="15" t="s">
        <v>7153</v>
      </c>
      <c r="B33727" s="15" t="s">
        <v>7153</v>
      </c>
      <c r="C33727" s="15" t="s">
        <v>7052</v>
      </c>
      <c r="D33727" s="15" t="s">
        <v>7084</v>
      </c>
      <c r="E33727" s="2">
        <v>3034475</v>
      </c>
      <c r="F33727" s="4" t="e">
        <f>IF(B33727=#REF!,"",B33727)</f>
        <v>#REF!</v>
      </c>
    </row>
    <row r="33728" spans="1:6" ht="15.75" customHeight="1">
      <c r="A33728" s="16" t="s">
        <v>27969</v>
      </c>
      <c r="B33728" s="15" t="s">
        <v>27969</v>
      </c>
      <c r="C33728" s="16" t="s">
        <v>27788</v>
      </c>
      <c r="D33728" s="16" t="s">
        <v>5468</v>
      </c>
      <c r="E33728" s="2">
        <v>4146901</v>
      </c>
      <c r="F33728" s="4" t="e">
        <f>IF(B33728=#REF!,"",B33728)</f>
        <v>#REF!</v>
      </c>
    </row>
    <row r="33729" spans="1:6" ht="15.75" customHeight="1">
      <c r="A33729" s="16" t="s">
        <v>20672</v>
      </c>
      <c r="B33729" s="15" t="s">
        <v>20672</v>
      </c>
      <c r="C33729" s="16" t="s">
        <v>20598</v>
      </c>
      <c r="D33729" s="16" t="s">
        <v>20611</v>
      </c>
      <c r="E33729" s="2">
        <v>1725729</v>
      </c>
      <c r="F33729" s="4" t="e">
        <f>IF(B33729=#REF!,"",B33729)</f>
        <v>#REF!</v>
      </c>
    </row>
    <row r="33730" spans="1:6" ht="15.75" customHeight="1">
      <c r="A33730" s="16" t="s">
        <v>14678</v>
      </c>
      <c r="B33730" s="15" t="s">
        <v>14678</v>
      </c>
      <c r="C33730" s="16" t="s">
        <v>14594</v>
      </c>
      <c r="D33730" s="16" t="s">
        <v>14598</v>
      </c>
      <c r="E33730" s="2">
        <v>98012</v>
      </c>
      <c r="F33730" s="4" t="e">
        <f>IF(B33730=#REF!,"",B33730)</f>
        <v>#REF!</v>
      </c>
    </row>
    <row r="33731" spans="1:6" ht="15.75" customHeight="1">
      <c r="A33731" s="15" t="s">
        <v>22201</v>
      </c>
      <c r="B33731" s="15" t="s">
        <v>22201</v>
      </c>
      <c r="C33731" s="15" t="s">
        <v>22070</v>
      </c>
      <c r="D33731" s="15" t="s">
        <v>22088</v>
      </c>
      <c r="E33731" s="2">
        <v>578534</v>
      </c>
      <c r="F33731" s="4" t="e">
        <f>IF(B33731=#REF!,"",B33731)</f>
        <v>#REF!</v>
      </c>
    </row>
    <row r="33732" spans="1:6" ht="15.75" customHeight="1">
      <c r="A33732" s="15" t="s">
        <v>16702</v>
      </c>
      <c r="B33732" s="15" t="s">
        <v>16702</v>
      </c>
      <c r="C33732" s="15" t="s">
        <v>16671</v>
      </c>
      <c r="D33732" s="15" t="s">
        <v>16703</v>
      </c>
      <c r="E33732" s="2">
        <v>1521368</v>
      </c>
      <c r="F33732" s="4" t="str">
        <f>IF(B33732=B33731,"",B33732)</f>
        <v>Baykonyr</v>
      </c>
    </row>
    <row r="33733" spans="1:6" ht="15.75" customHeight="1">
      <c r="A33733" s="15" t="s">
        <v>22199</v>
      </c>
      <c r="B33733" s="15" t="s">
        <v>22200</v>
      </c>
      <c r="C33733" s="15" t="s">
        <v>22070</v>
      </c>
      <c r="D33733" s="15" t="s">
        <v>22135</v>
      </c>
      <c r="E33733" s="2">
        <v>2026979</v>
      </c>
      <c r="F33733" s="4" t="str">
        <f>IF(B33733=B33732,"",B33733)</f>
        <v>Baykalâ€™sk</v>
      </c>
    </row>
    <row r="33734" spans="1:6" ht="15.75" customHeight="1">
      <c r="A33734" s="16" t="str">
        <f ca="1">IFERROR(__xludf.DUMMYFUNCTION("GOOGLETRANSLATE(B40941,""en"",""pt"")"),"Baykal'sk")</f>
        <v>Baykal'sk</v>
      </c>
      <c r="B33734" s="20" t="s">
        <v>35562</v>
      </c>
      <c r="C33734" s="20" t="s">
        <v>22070</v>
      </c>
      <c r="D33734" s="20" t="s">
        <v>22135</v>
      </c>
      <c r="E33734" s="10">
        <v>2026979</v>
      </c>
      <c r="F33734" s="4" t="str">
        <f>IF(B33734=B33733,"",B33734)</f>
        <v>Baykal’sk</v>
      </c>
    </row>
    <row r="33735" spans="1:6" ht="15.75" customHeight="1">
      <c r="A33735" s="16" t="str">
        <f ca="1">IFERROR(__xludf.DUMMYFUNCTION("GOOGLETRANSLATE(B34294,""en"",""pt"")"),"Bayjī")</f>
        <v>Bayjī</v>
      </c>
      <c r="B33735" s="20" t="s">
        <v>34086</v>
      </c>
      <c r="C33735" s="20" t="s">
        <v>14594</v>
      </c>
      <c r="D33735" s="20" t="s">
        <v>14620</v>
      </c>
      <c r="E33735" s="10">
        <v>97783</v>
      </c>
      <c r="F33735" s="4" t="str">
        <f>IF(B33735=B33734,"",B33735)</f>
        <v>Bayjī</v>
      </c>
    </row>
    <row r="33736" spans="1:6" ht="15.75" customHeight="1">
      <c r="A33736" s="15" t="s">
        <v>14676</v>
      </c>
      <c r="B33736" s="15" t="s">
        <v>14677</v>
      </c>
      <c r="C33736" s="15" t="s">
        <v>14594</v>
      </c>
      <c r="D33736" s="15" t="s">
        <v>14620</v>
      </c>
      <c r="E33736" s="2">
        <v>97783</v>
      </c>
      <c r="F33736" s="4" t="str">
        <f>IF(B33736=B33735,"",B33736)</f>
        <v>BayjÄ«</v>
      </c>
    </row>
    <row r="33737" spans="1:6" ht="15.75" customHeight="1">
      <c r="A33737" s="16" t="str">
        <f ca="1">IFERROR(__xludf.DUMMYFUNCTION("GOOGLETRANSLATE(B42057,""en"",""pt"")"),"Bayındır")</f>
        <v>Bayındır</v>
      </c>
      <c r="B33737" s="20" t="s">
        <v>35900</v>
      </c>
      <c r="C33737" s="20" t="s">
        <v>26201</v>
      </c>
      <c r="D33737" s="20" t="s">
        <v>35825</v>
      </c>
      <c r="E33737" s="10">
        <v>321786</v>
      </c>
      <c r="F33737" s="4" t="e">
        <f>IF(B33737=#REF!,"",B33737)</f>
        <v>#REF!</v>
      </c>
    </row>
    <row r="33738" spans="1:6" ht="15.75" customHeight="1">
      <c r="A33738" s="15" t="s">
        <v>2106</v>
      </c>
      <c r="B33738" s="15" t="s">
        <v>2106</v>
      </c>
      <c r="C33738" s="15" t="s">
        <v>1905</v>
      </c>
      <c r="D33738" s="15" t="s">
        <v>1944</v>
      </c>
      <c r="E33738" s="2">
        <v>3405940</v>
      </c>
      <c r="F33738" s="4" t="e">
        <f>IF(B33738=#REF!,"",B33738)</f>
        <v>#REF!</v>
      </c>
    </row>
    <row r="33739" spans="1:6" ht="15.75" customHeight="1">
      <c r="A33739" s="15" t="s">
        <v>26384</v>
      </c>
      <c r="B33739" s="15" t="s">
        <v>26384</v>
      </c>
      <c r="C33739" s="15" t="s">
        <v>26201</v>
      </c>
      <c r="D33739" s="15" t="s">
        <v>26384</v>
      </c>
      <c r="E33739" s="2">
        <v>750938</v>
      </c>
      <c r="F33739" s="4" t="e">
        <f>IF(B33739=#REF!,"",B33739)</f>
        <v>#REF!</v>
      </c>
    </row>
    <row r="33740" spans="1:6" ht="15.75" customHeight="1">
      <c r="A33740" s="15" t="s">
        <v>20671</v>
      </c>
      <c r="B33740" s="15" t="s">
        <v>20671</v>
      </c>
      <c r="C33740" s="15" t="s">
        <v>20598</v>
      </c>
      <c r="D33740" s="15" t="s">
        <v>20601</v>
      </c>
      <c r="E33740" s="2">
        <v>1725799</v>
      </c>
      <c r="F33740" s="4" t="e">
        <f>IF(B33740=#REF!,"",B33740)</f>
        <v>#REF!</v>
      </c>
    </row>
    <row r="33741" spans="1:6" ht="15.75" customHeight="1">
      <c r="A33741" s="15" t="s">
        <v>20670</v>
      </c>
      <c r="B33741" s="15" t="s">
        <v>20670</v>
      </c>
      <c r="C33741" s="15" t="s">
        <v>20598</v>
      </c>
      <c r="D33741" s="15" t="s">
        <v>20622</v>
      </c>
      <c r="E33741" s="2">
        <v>1725804</v>
      </c>
      <c r="F33741" s="4" t="e">
        <f>IF(B33741=#REF!,"",B33741)</f>
        <v>#REF!</v>
      </c>
    </row>
    <row r="33742" spans="1:6" ht="15.75" customHeight="1">
      <c r="A33742" s="16" t="s">
        <v>18504</v>
      </c>
      <c r="B33742" s="15" t="s">
        <v>18504</v>
      </c>
      <c r="C33742" s="16" t="s">
        <v>18496</v>
      </c>
      <c r="D33742" s="16" t="s">
        <v>18504</v>
      </c>
      <c r="E33742" s="2">
        <v>2032532</v>
      </c>
      <c r="F33742" s="4" t="str">
        <f>IF(B33742=B33741,"",B33742)</f>
        <v>Bayanhongor</v>
      </c>
    </row>
    <row r="33743" spans="1:6" ht="15.75" customHeight="1">
      <c r="A33743" s="16" t="str">
        <f ca="1">IFERROR(__xludf.DUMMYFUNCTION("GOOGLETRANSLATE(B33914,""en"",""pt"")"),"Bayāna")</f>
        <v>Bayāna</v>
      </c>
      <c r="B33743" s="20" t="s">
        <v>33925</v>
      </c>
      <c r="C33743" s="20" t="s">
        <v>10178</v>
      </c>
      <c r="D33743" s="20" t="s">
        <v>10179</v>
      </c>
      <c r="E33743" s="10">
        <v>1276652</v>
      </c>
      <c r="F33743" s="4" t="str">
        <f>IF(B33743=B33742,"",B33743)</f>
        <v>Bayāna</v>
      </c>
    </row>
    <row r="33744" spans="1:6" ht="15.75" customHeight="1">
      <c r="A33744" s="16" t="str">
        <f ca="1">IFERROR(__xludf.DUMMYFUNCTION("GOOGLETRANSLATE(B36167,""en"",""pt"")"),"Bayān")</f>
        <v>Bayān</v>
      </c>
      <c r="B33744" s="20" t="s">
        <v>34482</v>
      </c>
      <c r="C33744" s="20" t="s">
        <v>16884</v>
      </c>
      <c r="D33744" s="20" t="s">
        <v>551</v>
      </c>
      <c r="E33744" s="10">
        <v>285663</v>
      </c>
      <c r="F33744" s="4" t="e">
        <f>IF(B33744=#REF!,"",B33744)</f>
        <v>#REF!</v>
      </c>
    </row>
    <row r="33745" spans="1:6" ht="15.75" customHeight="1">
      <c r="A33745" s="15" t="s">
        <v>4536</v>
      </c>
      <c r="B33745" s="15" t="s">
        <v>4536</v>
      </c>
      <c r="C33745" s="15" t="s">
        <v>4487</v>
      </c>
      <c r="D33745" s="15" t="s">
        <v>4488</v>
      </c>
      <c r="E33745" s="2">
        <v>2038421</v>
      </c>
      <c r="F33745" s="4" t="str">
        <f>IF(B33745=B33744,"",B33745)</f>
        <v>Bayan</v>
      </c>
    </row>
    <row r="33746" spans="1:6" ht="15.75" customHeight="1">
      <c r="A33746" s="16" t="str">
        <f ca="1">IFERROR(__xludf.DUMMYFUNCTION("GOOGLETRANSLATE(B39507,""en"",""pt"")"),"Bayamón")</f>
        <v>Bayamón</v>
      </c>
      <c r="B33746" s="20" t="s">
        <v>35254</v>
      </c>
      <c r="C33746" s="20" t="s">
        <v>747</v>
      </c>
      <c r="D33746" s="20" t="s">
        <v>35254</v>
      </c>
      <c r="E33746" s="10">
        <v>4562831</v>
      </c>
      <c r="F33746" s="4" t="e">
        <f>IF(B33746=#REF!,"",B33746)</f>
        <v>#REF!</v>
      </c>
    </row>
    <row r="33747" spans="1:6" ht="15.75" customHeight="1">
      <c r="A33747" s="15" t="s">
        <v>5790</v>
      </c>
      <c r="B33747" s="15" t="s">
        <v>5790</v>
      </c>
      <c r="C33747" s="15" t="s">
        <v>5764</v>
      </c>
      <c r="D33747" s="15" t="s">
        <v>5788</v>
      </c>
      <c r="E33747" s="2">
        <v>3567597</v>
      </c>
      <c r="F33747" s="4" t="e">
        <f>IF(B33747=#REF!,"",B33747)</f>
        <v>#REF!</v>
      </c>
    </row>
    <row r="33748" spans="1:6" ht="15.75" customHeight="1">
      <c r="A33748" s="16" t="s">
        <v>20669</v>
      </c>
      <c r="B33748" s="15" t="s">
        <v>20669</v>
      </c>
      <c r="C33748" s="16" t="s">
        <v>20598</v>
      </c>
      <c r="D33748" s="16" t="s">
        <v>20603</v>
      </c>
      <c r="E33748" s="2">
        <v>1725863</v>
      </c>
      <c r="F33748" s="4" t="str">
        <f>IF(B33748=B33747,"",B33748)</f>
        <v>Bayambang</v>
      </c>
    </row>
    <row r="33749" spans="1:6" ht="15.75" customHeight="1">
      <c r="A33749" s="15" t="s">
        <v>21752</v>
      </c>
      <c r="B33749" s="15" t="s">
        <v>21753</v>
      </c>
      <c r="C33749" s="15" t="s">
        <v>747</v>
      </c>
      <c r="D33749" s="15" t="s">
        <v>21753</v>
      </c>
      <c r="E33749" s="2">
        <v>4562831</v>
      </c>
      <c r="F33749" s="4" t="e">
        <f>IF(B33749=#REF!,"",B33749)</f>
        <v>#REF!</v>
      </c>
    </row>
    <row r="33750" spans="1:6" ht="15.75" customHeight="1">
      <c r="A33750" s="16" t="s">
        <v>6309</v>
      </c>
      <c r="B33750" s="15" t="s">
        <v>6309</v>
      </c>
      <c r="C33750" s="16" t="s">
        <v>6303</v>
      </c>
      <c r="D33750" s="16" t="s">
        <v>6310</v>
      </c>
      <c r="E33750" s="2">
        <v>3511626</v>
      </c>
      <c r="F33750" s="4" t="str">
        <f>IF(B33750=B33749,"",B33750)</f>
        <v>Bayaguana</v>
      </c>
    </row>
    <row r="33751" spans="1:6" ht="15.75" customHeight="1">
      <c r="A33751" s="15" t="s">
        <v>10642</v>
      </c>
      <c r="B33751" s="15" t="s">
        <v>10643</v>
      </c>
      <c r="C33751" s="15" t="s">
        <v>10178</v>
      </c>
      <c r="D33751" s="15" t="s">
        <v>10179</v>
      </c>
      <c r="E33751" s="2">
        <v>1276652</v>
      </c>
      <c r="F33751" s="4" t="str">
        <f>IF(B33751=B33750,"",B33751)</f>
        <v>BayÄna</v>
      </c>
    </row>
    <row r="33752" spans="1:6" ht="15.75" customHeight="1">
      <c r="A33752" s="15" t="s">
        <v>16914</v>
      </c>
      <c r="B33752" s="15" t="s">
        <v>16915</v>
      </c>
      <c r="C33752" s="15" t="s">
        <v>16884</v>
      </c>
      <c r="D33752" s="15" t="s">
        <v>551</v>
      </c>
      <c r="E33752" s="2">
        <v>285663</v>
      </c>
      <c r="F33752" s="4" t="str">
        <f>IF(B33752=B33751,"",B33752)</f>
        <v>BayÄn</v>
      </c>
    </row>
    <row r="33753" spans="1:6" ht="15.75" customHeight="1">
      <c r="A33753" s="16" t="s">
        <v>26382</v>
      </c>
      <c r="B33753" s="15" t="s">
        <v>26383</v>
      </c>
      <c r="C33753" s="16" t="s">
        <v>26201</v>
      </c>
      <c r="D33753" s="16" t="s">
        <v>26213</v>
      </c>
      <c r="E33753" s="2">
        <v>321786</v>
      </c>
      <c r="F33753" s="4" t="e">
        <f>IF(B33753=#REF!,"",B33753)</f>
        <v>#REF!</v>
      </c>
    </row>
    <row r="33754" spans="1:6" ht="15.75" customHeight="1">
      <c r="A33754" s="16" t="s">
        <v>27968</v>
      </c>
      <c r="B33754" s="15" t="s">
        <v>27968</v>
      </c>
      <c r="C33754" s="16" t="s">
        <v>27788</v>
      </c>
      <c r="D33754" s="16" t="s">
        <v>27813</v>
      </c>
      <c r="E33754" s="2">
        <v>5146675</v>
      </c>
      <c r="F33754" s="4" t="e">
        <f>IF(B33754=#REF!,"",B33754)</f>
        <v>#REF!</v>
      </c>
    </row>
    <row r="33755" spans="1:6" ht="15.75" customHeight="1">
      <c r="A33755" s="16" t="s">
        <v>27967</v>
      </c>
      <c r="B33755" s="15" t="s">
        <v>27967</v>
      </c>
      <c r="C33755" s="16" t="s">
        <v>27788</v>
      </c>
      <c r="D33755" s="16" t="s">
        <v>27819</v>
      </c>
      <c r="E33755" s="2">
        <v>5108169</v>
      </c>
      <c r="F33755" s="4" t="e">
        <f>IF(B33755=#REF!,"",B33755)</f>
        <v>#REF!</v>
      </c>
    </row>
    <row r="33756" spans="1:6" ht="15.75" customHeight="1">
      <c r="A33756" s="15" t="s">
        <v>27966</v>
      </c>
      <c r="B33756" s="15" t="s">
        <v>27966</v>
      </c>
      <c r="C33756" s="15" t="s">
        <v>27788</v>
      </c>
      <c r="D33756" s="15" t="s">
        <v>27801</v>
      </c>
      <c r="E33756" s="2">
        <v>5326561</v>
      </c>
      <c r="F33756" s="4" t="e">
        <f>IF(B33756=#REF!,"",B33756)</f>
        <v>#REF!</v>
      </c>
    </row>
    <row r="33757" spans="1:6" ht="15.75" customHeight="1">
      <c r="A33757" s="15" t="s">
        <v>27965</v>
      </c>
      <c r="B33757" s="15" t="s">
        <v>27965</v>
      </c>
      <c r="C33757" s="15" t="s">
        <v>27788</v>
      </c>
      <c r="D33757" s="15" t="s">
        <v>27804</v>
      </c>
      <c r="E33757" s="2">
        <v>4985180</v>
      </c>
      <c r="F33757" s="4" t="e">
        <f>IF(B33757=#REF!,"",B33757)</f>
        <v>#REF!</v>
      </c>
    </row>
    <row r="33758" spans="1:6" ht="15.75" customHeight="1">
      <c r="A33758" s="15" t="s">
        <v>20667</v>
      </c>
      <c r="B33758" s="15" t="s">
        <v>20668</v>
      </c>
      <c r="C33758" s="15" t="s">
        <v>20598</v>
      </c>
      <c r="D33758" s="15" t="s">
        <v>20608</v>
      </c>
      <c r="E33758" s="2">
        <v>1725919</v>
      </c>
      <c r="F33758" s="4" t="e">
        <f>IF(B33758=#REF!,"",B33758)</f>
        <v>#REF!</v>
      </c>
    </row>
    <row r="33759" spans="1:6" ht="15.75" customHeight="1">
      <c r="A33759" s="15" t="s">
        <v>19783</v>
      </c>
      <c r="B33759" s="15" t="s">
        <v>19784</v>
      </c>
      <c r="C33759" s="15" t="s">
        <v>19755</v>
      </c>
      <c r="D33759" s="15" t="s">
        <v>19785</v>
      </c>
      <c r="E33759" s="2">
        <v>288764</v>
      </c>
      <c r="F33759" s="4" t="e">
        <f>IF(B33759=#REF!,"",B33759)</f>
        <v>#REF!</v>
      </c>
    </row>
    <row r="33760" spans="1:6" ht="15.75" customHeight="1">
      <c r="A33760" s="15" t="s">
        <v>9379</v>
      </c>
      <c r="B33760" s="15" t="s">
        <v>9379</v>
      </c>
      <c r="C33760" s="15" t="s">
        <v>9365</v>
      </c>
      <c r="D33760" s="15" t="s">
        <v>9380</v>
      </c>
      <c r="E33760" s="2">
        <v>2303287</v>
      </c>
      <c r="F33760" s="4" t="str">
        <f>IF(B33760=B33759,"",B33760)</f>
        <v>Bawku</v>
      </c>
    </row>
    <row r="33761" spans="1:6" ht="15.75" customHeight="1">
      <c r="A33761" s="16" t="str">
        <f ca="1">IFERROR(__xludf.DUMMYFUNCTION("GOOGLETRANSLATE(B33915,""en"",""pt"")"),"Bawāna")</f>
        <v>Bawāna</v>
      </c>
      <c r="B33761" s="20" t="s">
        <v>33926</v>
      </c>
      <c r="C33761" s="20" t="s">
        <v>10178</v>
      </c>
      <c r="D33761" s="20" t="s">
        <v>10288</v>
      </c>
      <c r="E33761" s="10">
        <v>1276663</v>
      </c>
      <c r="F33761" s="4" t="str">
        <f>IF(B33761=B33760,"",B33761)</f>
        <v>Bawāna</v>
      </c>
    </row>
    <row r="33762" spans="1:6" ht="15.75" customHeight="1">
      <c r="A33762" s="15" t="s">
        <v>10640</v>
      </c>
      <c r="B33762" s="15" t="s">
        <v>10641</v>
      </c>
      <c r="C33762" s="15" t="s">
        <v>10178</v>
      </c>
      <c r="D33762" s="15" t="s">
        <v>10288</v>
      </c>
      <c r="E33762" s="2">
        <v>1276663</v>
      </c>
      <c r="F33762" s="4" t="e">
        <f>IF(B33762=#REF!,"",B33762)</f>
        <v>#REF!</v>
      </c>
    </row>
    <row r="33763" spans="1:6" ht="15.75" customHeight="1">
      <c r="A33763" s="15" t="s">
        <v>22198</v>
      </c>
      <c r="B33763" s="15" t="s">
        <v>22198</v>
      </c>
      <c r="C33763" s="15" t="s">
        <v>22070</v>
      </c>
      <c r="D33763" s="15" t="s">
        <v>22090</v>
      </c>
      <c r="E33763" s="2">
        <v>578638</v>
      </c>
      <c r="F33763" s="4" t="e">
        <f>IF(B33763=#REF!,"",B33763)</f>
        <v>#REF!</v>
      </c>
    </row>
    <row r="33764" spans="1:6" ht="15.75" customHeight="1">
      <c r="A33764" s="15" t="s">
        <v>8174</v>
      </c>
      <c r="B33764" s="15" t="s">
        <v>8174</v>
      </c>
      <c r="C33764" s="15" t="s">
        <v>8028</v>
      </c>
      <c r="D33764" s="15" t="s">
        <v>8072</v>
      </c>
      <c r="E33764" s="2">
        <v>2951881</v>
      </c>
      <c r="F33764" s="4" t="e">
        <f>IF(B33764=#REF!,"",B33764)</f>
        <v>#REF!</v>
      </c>
    </row>
    <row r="33765" spans="1:6" ht="15.75" customHeight="1">
      <c r="A33765" s="15" t="s">
        <v>5789</v>
      </c>
      <c r="B33765" s="15" t="s">
        <v>5789</v>
      </c>
      <c r="C33765" s="15" t="s">
        <v>5764</v>
      </c>
      <c r="D33765" s="15" t="s">
        <v>5771</v>
      </c>
      <c r="E33765" s="2">
        <v>3567612</v>
      </c>
      <c r="F33765" s="4" t="e">
        <f>IF(B33765=#REF!,"",B33765)</f>
        <v>#REF!</v>
      </c>
    </row>
    <row r="33766" spans="1:6" ht="15.75" customHeight="1">
      <c r="A33766" s="15" t="s">
        <v>2105</v>
      </c>
      <c r="B33766" s="15" t="s">
        <v>2105</v>
      </c>
      <c r="C33766" s="15" t="s">
        <v>1905</v>
      </c>
      <c r="D33766" s="15" t="s">
        <v>1914</v>
      </c>
      <c r="E33766" s="2">
        <v>3470279</v>
      </c>
      <c r="F33766" s="4" t="e">
        <f>IF(B33766=#REF!,"",B33766)</f>
        <v>#REF!</v>
      </c>
    </row>
    <row r="33767" spans="1:6" ht="15.75" customHeight="1">
      <c r="A33767" s="15" t="s">
        <v>8173</v>
      </c>
      <c r="B33767" s="15" t="s">
        <v>8173</v>
      </c>
      <c r="C33767" s="15" t="s">
        <v>8028</v>
      </c>
      <c r="D33767" s="15" t="s">
        <v>8050</v>
      </c>
      <c r="E33767" s="2">
        <v>2951923</v>
      </c>
      <c r="F33767" s="4" t="e">
        <f>IF(B33767=#REF!,"",B33767)</f>
        <v>#REF!</v>
      </c>
    </row>
    <row r="33768" spans="1:6" ht="15.75" customHeight="1">
      <c r="A33768" s="16" t="s">
        <v>8172</v>
      </c>
      <c r="B33768" s="15" t="s">
        <v>8172</v>
      </c>
      <c r="C33768" s="16" t="s">
        <v>8028</v>
      </c>
      <c r="D33768" s="16" t="s">
        <v>8036</v>
      </c>
      <c r="E33768" s="2">
        <v>2951935</v>
      </c>
      <c r="F33768" s="4" t="e">
        <f>IF(B33768=#REF!,"",B33768)</f>
        <v>#REF!</v>
      </c>
    </row>
    <row r="33769" spans="1:6" ht="15.75" customHeight="1">
      <c r="A33769" s="16" t="s">
        <v>905</v>
      </c>
      <c r="B33769" s="15" t="s">
        <v>905</v>
      </c>
      <c r="C33769" s="16" t="s">
        <v>885</v>
      </c>
      <c r="D33769" s="16" t="s">
        <v>891</v>
      </c>
      <c r="E33769" s="2">
        <v>2176592</v>
      </c>
      <c r="F33769" s="4" t="e">
        <f>IF(B33769=#REF!,"",B33769)</f>
        <v>#REF!</v>
      </c>
    </row>
    <row r="33770" spans="1:6" ht="15.75" customHeight="1">
      <c r="A33770" s="15" t="s">
        <v>10639</v>
      </c>
      <c r="B33770" s="15" t="s">
        <v>10639</v>
      </c>
      <c r="C33770" s="15" t="s">
        <v>10178</v>
      </c>
      <c r="D33770" s="15" t="s">
        <v>10229</v>
      </c>
      <c r="E33770" s="2">
        <v>1276686</v>
      </c>
      <c r="F33770" s="4" t="e">
        <f>IF(B33770=#REF!,"",B33770)</f>
        <v>#REF!</v>
      </c>
    </row>
    <row r="33771" spans="1:6" ht="15.75" customHeight="1">
      <c r="A33771" s="15" t="s">
        <v>19332</v>
      </c>
      <c r="B33771" s="15" t="s">
        <v>19332</v>
      </c>
      <c r="C33771" s="15" t="s">
        <v>19294</v>
      </c>
      <c r="D33771" s="15" t="s">
        <v>19332</v>
      </c>
      <c r="E33771" s="2">
        <v>2347470</v>
      </c>
      <c r="F33771" s="4" t="e">
        <f>IF(B33771=#REF!,"",B33771)</f>
        <v>#REF!</v>
      </c>
    </row>
    <row r="33772" spans="1:6" ht="15.75" customHeight="1">
      <c r="A33772" s="15" t="s">
        <v>6381</v>
      </c>
      <c r="B33772" s="15" t="s">
        <v>6381</v>
      </c>
      <c r="C33772" s="15" t="s">
        <v>6380</v>
      </c>
      <c r="D33772" s="15" t="s">
        <v>6381</v>
      </c>
      <c r="E33772" s="2">
        <v>1649539</v>
      </c>
      <c r="F33772" s="4" t="e">
        <f>IF(B33772=#REF!,"",B33772)</f>
        <v>#REF!</v>
      </c>
    </row>
    <row r="33773" spans="1:6" ht="15.75" customHeight="1">
      <c r="A33773" s="15" t="s">
        <v>20666</v>
      </c>
      <c r="B33773" s="15" t="s">
        <v>20666</v>
      </c>
      <c r="C33773" s="15" t="s">
        <v>20598</v>
      </c>
      <c r="D33773" s="15" t="s">
        <v>20603</v>
      </c>
      <c r="E33773" s="2">
        <v>1725983</v>
      </c>
      <c r="F33773" s="4" t="e">
        <f>IF(B33773=#REF!,"",B33773)</f>
        <v>#REF!</v>
      </c>
    </row>
    <row r="33774" spans="1:6" ht="15.75" customHeight="1">
      <c r="A33774" s="15" t="s">
        <v>20665</v>
      </c>
      <c r="B33774" s="15" t="s">
        <v>20665</v>
      </c>
      <c r="C33774" s="15" t="s">
        <v>20598</v>
      </c>
      <c r="D33774" s="15" t="s">
        <v>20608</v>
      </c>
      <c r="E33774" s="2">
        <v>1725991</v>
      </c>
      <c r="F33774" s="4" t="str">
        <f>IF(B33774=B33773,"",B33774)</f>
        <v>Bauan</v>
      </c>
    </row>
    <row r="33775" spans="1:6" ht="15.75" customHeight="1">
      <c r="A33775" s="16" t="s">
        <v>5980</v>
      </c>
      <c r="B33775" s="15" t="s">
        <v>5981</v>
      </c>
      <c r="C33775" s="16" t="s">
        <v>5947</v>
      </c>
      <c r="D33775" s="16" t="s">
        <v>5982</v>
      </c>
      <c r="E33775" s="2">
        <v>3078773</v>
      </c>
      <c r="F33775" s="4" t="str">
        <f>IF(B33775=B33774,"",B33775)</f>
        <v>BÅ™eclav</v>
      </c>
    </row>
    <row r="33776" spans="1:6" ht="15.75" customHeight="1">
      <c r="A33776" s="15" t="s">
        <v>21132</v>
      </c>
      <c r="B33776" s="15" t="s">
        <v>21133</v>
      </c>
      <c r="C33776" s="15" t="s">
        <v>21064</v>
      </c>
      <c r="D33776" s="15" t="s">
        <v>21073</v>
      </c>
      <c r="E33776" s="2">
        <v>3103719</v>
      </c>
      <c r="F33776" s="4" t="str">
        <f>IF(B33776=B33775,"",B33776)</f>
        <v>BÄ™dzin</v>
      </c>
    </row>
    <row r="33777" spans="1:6" ht="15.75" customHeight="1">
      <c r="A33777" s="16" t="str">
        <f ca="1">IFERROR(__xludf.DUMMYFUNCTION("GOOGLETRANSLATE(B24391,""en"",""pt"")"),"Baturité")</f>
        <v>Baturité</v>
      </c>
      <c r="B33777" s="20" t="s">
        <v>2103</v>
      </c>
      <c r="C33777" s="20" t="s">
        <v>1905</v>
      </c>
      <c r="D33777" s="20" t="s">
        <v>31345</v>
      </c>
      <c r="E33777" s="10">
        <v>3405954</v>
      </c>
      <c r="F33777" s="4" t="str">
        <f>IF(B33777=B33776,"",B33777)</f>
        <v>Baturité</v>
      </c>
    </row>
    <row r="33778" spans="1:6" ht="15.75" customHeight="1">
      <c r="A33778" s="15" t="s">
        <v>2103</v>
      </c>
      <c r="B33778" s="15" t="s">
        <v>2104</v>
      </c>
      <c r="C33778" s="15" t="s">
        <v>1905</v>
      </c>
      <c r="D33778" s="15" t="s">
        <v>1930</v>
      </c>
      <c r="E33778" s="2">
        <v>3405954</v>
      </c>
      <c r="F33778" s="4" t="e">
        <f>IF(B33778=#REF!,"",B33778)</f>
        <v>#REF!</v>
      </c>
    </row>
    <row r="33779" spans="1:6" ht="15.75" customHeight="1">
      <c r="A33779" s="15" t="s">
        <v>13846</v>
      </c>
      <c r="B33779" s="15" t="s">
        <v>13846</v>
      </c>
      <c r="C33779" s="15" t="s">
        <v>13800</v>
      </c>
      <c r="D33779" s="15" t="s">
        <v>13847</v>
      </c>
      <c r="E33779" s="2">
        <v>1649593</v>
      </c>
      <c r="F33779" s="4" t="e">
        <f>IF(B33779=#REF!,"",B33779)</f>
        <v>#REF!</v>
      </c>
    </row>
    <row r="33780" spans="1:6" ht="15.75" customHeight="1">
      <c r="A33780" s="16" t="s">
        <v>13845</v>
      </c>
      <c r="B33780" s="15" t="s">
        <v>13845</v>
      </c>
      <c r="C33780" s="16" t="s">
        <v>13800</v>
      </c>
      <c r="D33780" s="16" t="s">
        <v>13803</v>
      </c>
      <c r="E33780" s="2">
        <v>1649595</v>
      </c>
      <c r="F33780" s="4" t="e">
        <f>IF(B33780=#REF!,"",B33780)</f>
        <v>#REF!</v>
      </c>
    </row>
    <row r="33781" spans="1:6" ht="15.75" customHeight="1">
      <c r="A33781" s="15" t="s">
        <v>7990</v>
      </c>
      <c r="B33781" s="15" t="s">
        <v>7990</v>
      </c>
      <c r="C33781" s="15" t="s">
        <v>7988</v>
      </c>
      <c r="D33781" s="15" t="s">
        <v>7991</v>
      </c>
      <c r="E33781" s="2">
        <v>615532</v>
      </c>
      <c r="F33781" s="4" t="e">
        <f>IF(B33781=#REF!,"",B33781)</f>
        <v>#REF!</v>
      </c>
    </row>
    <row r="33782" spans="1:6" ht="15.75" customHeight="1">
      <c r="A33782" s="16" t="s">
        <v>17451</v>
      </c>
      <c r="B33782" s="15" t="s">
        <v>17451</v>
      </c>
      <c r="C33782" s="16" t="s">
        <v>17432</v>
      </c>
      <c r="D33782" s="16" t="s">
        <v>17442</v>
      </c>
      <c r="E33782" s="2">
        <v>1732687</v>
      </c>
      <c r="F33782" s="4" t="e">
        <f>IF(B33782=#REF!,"",B33782)</f>
        <v>#REF!</v>
      </c>
    </row>
    <row r="33783" spans="1:6" ht="15.75" customHeight="1">
      <c r="A33783" s="16" t="s">
        <v>17450</v>
      </c>
      <c r="B33783" s="15" t="s">
        <v>17450</v>
      </c>
      <c r="C33783" s="16" t="s">
        <v>17432</v>
      </c>
      <c r="D33783" s="16" t="s">
        <v>17438</v>
      </c>
      <c r="E33783" s="2">
        <v>1735268</v>
      </c>
      <c r="F33783" s="4" t="e">
        <f>IF(B33783=#REF!,"",B33783)</f>
        <v>#REF!</v>
      </c>
    </row>
    <row r="33784" spans="1:6" ht="15.75" customHeight="1">
      <c r="A33784" s="16" t="s">
        <v>17449</v>
      </c>
      <c r="B33784" s="15" t="s">
        <v>17449</v>
      </c>
      <c r="C33784" s="16" t="s">
        <v>17432</v>
      </c>
      <c r="D33784" s="16" t="s">
        <v>17433</v>
      </c>
      <c r="E33784" s="2">
        <v>1780890</v>
      </c>
      <c r="F33784" s="4" t="e">
        <f>IF(B33784=#REF!,"",B33784)</f>
        <v>#REF!</v>
      </c>
    </row>
    <row r="33785" spans="1:6" ht="15.75" customHeight="1">
      <c r="A33785" s="16" t="s">
        <v>17448</v>
      </c>
      <c r="B33785" s="15" t="s">
        <v>17448</v>
      </c>
      <c r="C33785" s="16" t="s">
        <v>17432</v>
      </c>
      <c r="D33785" s="16" t="s">
        <v>17446</v>
      </c>
      <c r="E33785" s="2">
        <v>1732893</v>
      </c>
      <c r="F33785" s="4" t="e">
        <f>IF(B33785=#REF!,"",B33785)</f>
        <v>#REF!</v>
      </c>
    </row>
    <row r="33786" spans="1:6" ht="15.75" customHeight="1">
      <c r="A33786" s="15" t="s">
        <v>13844</v>
      </c>
      <c r="B33786" s="15" t="s">
        <v>13844</v>
      </c>
      <c r="C33786" s="15" t="s">
        <v>13800</v>
      </c>
      <c r="D33786" s="15" t="s">
        <v>13816</v>
      </c>
      <c r="E33786" s="2">
        <v>1649824</v>
      </c>
      <c r="F33786" s="4" t="e">
        <f>IF(B33786=#REF!,"",B33786)</f>
        <v>#REF!</v>
      </c>
    </row>
    <row r="33787" spans="1:6" ht="15.75" customHeight="1">
      <c r="A33787" s="16" t="s">
        <v>27964</v>
      </c>
      <c r="B33787" s="15" t="s">
        <v>27964</v>
      </c>
      <c r="C33787" s="16" t="s">
        <v>27788</v>
      </c>
      <c r="D33787" s="16" t="s">
        <v>27733</v>
      </c>
      <c r="E33787" s="2">
        <v>5786485</v>
      </c>
      <c r="F33787" s="4" t="e">
        <f>IF(B33787=#REF!,"",B33787)</f>
        <v>#REF!</v>
      </c>
    </row>
    <row r="33788" spans="1:6" ht="15.75" customHeight="1">
      <c r="A33788" s="16" t="s">
        <v>27962</v>
      </c>
      <c r="B33788" s="15" t="s">
        <v>27963</v>
      </c>
      <c r="C33788" s="16" t="s">
        <v>27788</v>
      </c>
      <c r="D33788" s="16" t="s">
        <v>27804</v>
      </c>
      <c r="E33788" s="2">
        <v>4985153</v>
      </c>
      <c r="F33788" s="4" t="e">
        <f>IF(B33788=#REF!,"",B33788)</f>
        <v>#REF!</v>
      </c>
    </row>
    <row r="33789" spans="1:6" ht="15.75" customHeight="1">
      <c r="A33789" s="16" t="s">
        <v>14970</v>
      </c>
      <c r="B33789" s="15" t="s">
        <v>14970</v>
      </c>
      <c r="C33789" s="16" t="s">
        <v>14891</v>
      </c>
      <c r="D33789" s="16" t="s">
        <v>14896</v>
      </c>
      <c r="E33789" s="2">
        <v>3182272</v>
      </c>
      <c r="F33789" s="4" t="e">
        <f>IF(B33789=#REF!,"",B33789)</f>
        <v>#REF!</v>
      </c>
    </row>
    <row r="33790" spans="1:6" ht="15.75" customHeight="1">
      <c r="A33790" s="16" t="s">
        <v>24930</v>
      </c>
      <c r="B33790" s="15" t="s">
        <v>24931</v>
      </c>
      <c r="C33790" s="16" t="s">
        <v>24924</v>
      </c>
      <c r="D33790" s="16" t="s">
        <v>6128</v>
      </c>
      <c r="E33790" s="2">
        <v>1250161</v>
      </c>
      <c r="F33790" s="4" t="e">
        <f>IF(B33790=#REF!,"",B33790)</f>
        <v>#REF!</v>
      </c>
    </row>
    <row r="33791" spans="1:6" ht="15.75" customHeight="1">
      <c r="A33791" s="15" t="s">
        <v>27292</v>
      </c>
      <c r="B33791" s="15" t="s">
        <v>27292</v>
      </c>
      <c r="C33791" s="15" t="s">
        <v>27234</v>
      </c>
      <c r="D33791" s="15" t="s">
        <v>27241</v>
      </c>
      <c r="E33791" s="2">
        <v>6690602</v>
      </c>
      <c r="F33791" s="4" t="e">
        <f>IF(B33791=#REF!,"",B33791)</f>
        <v>#REF!</v>
      </c>
    </row>
    <row r="33792" spans="1:6" ht="15.75" customHeight="1">
      <c r="A33792" s="16" t="s">
        <v>24929</v>
      </c>
      <c r="B33792" s="15" t="s">
        <v>24929</v>
      </c>
      <c r="C33792" s="16" t="s">
        <v>24924</v>
      </c>
      <c r="D33792" s="16" t="s">
        <v>6944</v>
      </c>
      <c r="E33792" s="2">
        <v>1250164</v>
      </c>
      <c r="F33792" s="4" t="e">
        <f>IF(B33792=#REF!,"",B33792)</f>
        <v>#REF!</v>
      </c>
    </row>
    <row r="33793" spans="1:6" ht="15.75" customHeight="1">
      <c r="A33793" s="16" t="s">
        <v>3840</v>
      </c>
      <c r="B33793" s="15" t="s">
        <v>3840</v>
      </c>
      <c r="C33793" s="16" t="s">
        <v>3838</v>
      </c>
      <c r="D33793" s="16" t="s">
        <v>3840</v>
      </c>
      <c r="E33793" s="2">
        <v>1831797</v>
      </c>
      <c r="F33793" s="4" t="e">
        <f>IF(B33793=#REF!,"",B33793)</f>
        <v>#REF!</v>
      </c>
    </row>
    <row r="33794" spans="1:6" ht="15.75" customHeight="1">
      <c r="A33794" s="15" t="s">
        <v>3903</v>
      </c>
      <c r="B33794" s="15" t="s">
        <v>3903</v>
      </c>
      <c r="C33794" s="15" t="s">
        <v>3884</v>
      </c>
      <c r="D33794" s="15" t="s">
        <v>3889</v>
      </c>
      <c r="E33794" s="2">
        <v>2234663</v>
      </c>
      <c r="F33794" s="4" t="e">
        <f>IF(B33794=#REF!,"",B33794)</f>
        <v>#REF!</v>
      </c>
    </row>
    <row r="33795" spans="1:6" ht="15.75" customHeight="1">
      <c r="A33795" s="16" t="s">
        <v>27961</v>
      </c>
      <c r="B33795" s="15" t="s">
        <v>27961</v>
      </c>
      <c r="C33795" s="16" t="s">
        <v>27788</v>
      </c>
      <c r="D33795" s="16" t="s">
        <v>27827</v>
      </c>
      <c r="E33795" s="2">
        <v>4315588</v>
      </c>
      <c r="F33795" s="4" t="e">
        <f>IF(B33795=#REF!,"",B33795)</f>
        <v>#REF!</v>
      </c>
    </row>
    <row r="33796" spans="1:6" ht="15.75" customHeight="1">
      <c r="A33796" s="15" t="s">
        <v>20664</v>
      </c>
      <c r="B33796" s="15" t="s">
        <v>20664</v>
      </c>
      <c r="C33796" s="15" t="s">
        <v>20598</v>
      </c>
      <c r="D33796" s="15" t="s">
        <v>20634</v>
      </c>
      <c r="E33796" s="2">
        <v>1726156</v>
      </c>
      <c r="F33796" s="4" t="e">
        <f>IF(B33796=#REF!,"",B33796)</f>
        <v>#REF!</v>
      </c>
    </row>
    <row r="33797" spans="1:6" ht="15.75" customHeight="1">
      <c r="A33797" s="15" t="s">
        <v>212</v>
      </c>
      <c r="B33797" s="15" t="s">
        <v>212</v>
      </c>
      <c r="C33797" s="15" t="s">
        <v>153</v>
      </c>
      <c r="D33797" s="15" t="s">
        <v>212</v>
      </c>
      <c r="E33797" s="2">
        <v>2505572</v>
      </c>
      <c r="F33797" s="4" t="e">
        <f>IF(B33797=#REF!,"",B33797)</f>
        <v>#REF!</v>
      </c>
    </row>
    <row r="33798" spans="1:6" ht="15.75" customHeight="1">
      <c r="A33798" s="16" t="s">
        <v>26380</v>
      </c>
      <c r="B33798" s="15" t="s">
        <v>26381</v>
      </c>
      <c r="C33798" s="16" t="s">
        <v>26201</v>
      </c>
      <c r="D33798" s="16" t="s">
        <v>26381</v>
      </c>
      <c r="E33798" s="2">
        <v>321836</v>
      </c>
      <c r="F33798" s="4" t="e">
        <f>IF(B33798=#REF!,"",B33798)</f>
        <v>#REF!</v>
      </c>
    </row>
    <row r="33799" spans="1:6" ht="15.75" customHeight="1">
      <c r="A33799" s="15" t="s">
        <v>27291</v>
      </c>
      <c r="B33799" s="15" t="s">
        <v>27291</v>
      </c>
      <c r="C33799" s="15" t="s">
        <v>27234</v>
      </c>
      <c r="D33799" s="15" t="s">
        <v>27241</v>
      </c>
      <c r="E33799" s="2">
        <v>2656168</v>
      </c>
      <c r="F33799" s="4" t="e">
        <f>IF(B33799=#REF!,"",B33799)</f>
        <v>#REF!</v>
      </c>
    </row>
    <row r="33800" spans="1:6" ht="15.75" customHeight="1">
      <c r="A33800" s="15" t="s">
        <v>26379</v>
      </c>
      <c r="B33800" s="15" t="s">
        <v>26379</v>
      </c>
      <c r="C33800" s="15" t="s">
        <v>26201</v>
      </c>
      <c r="D33800" s="15" t="s">
        <v>26229</v>
      </c>
      <c r="E33800" s="2">
        <v>442301</v>
      </c>
      <c r="F33800" s="4" t="str">
        <f>IF(B33800=B33799,"",B33800)</f>
        <v>Batikent</v>
      </c>
    </row>
    <row r="33801" spans="1:6" ht="15.75" customHeight="1">
      <c r="A33801" s="16" t="str">
        <f ca="1">IFERROR(__xludf.DUMMYFUNCTION("GOOGLETRANSLATE(B29579,""en"",""pt"")"),"Batī")</f>
        <v>Batī</v>
      </c>
      <c r="B33801" s="20" t="s">
        <v>32511</v>
      </c>
      <c r="C33801" s="20" t="s">
        <v>6807</v>
      </c>
      <c r="D33801" s="20" t="s">
        <v>6811</v>
      </c>
      <c r="E33801" s="10">
        <v>342641</v>
      </c>
      <c r="F33801" s="4" t="e">
        <f>IF(B33801=#REF!,"",B33801)</f>
        <v>#REF!</v>
      </c>
    </row>
    <row r="33802" spans="1:6" ht="15.75" customHeight="1">
      <c r="A33802" s="15" t="s">
        <v>904</v>
      </c>
      <c r="B33802" s="15" t="s">
        <v>904</v>
      </c>
      <c r="C33802" s="15" t="s">
        <v>885</v>
      </c>
      <c r="D33802" s="15" t="s">
        <v>891</v>
      </c>
      <c r="E33802" s="2">
        <v>2176632</v>
      </c>
      <c r="F33802" s="4" t="e">
        <f>IF(B33802=#REF!,"",B33802)</f>
        <v>#REF!</v>
      </c>
    </row>
    <row r="33803" spans="1:6" ht="15.75" customHeight="1">
      <c r="A33803" s="15" t="s">
        <v>27290</v>
      </c>
      <c r="B33803" s="15" t="s">
        <v>27290</v>
      </c>
      <c r="C33803" s="15" t="s">
        <v>27234</v>
      </c>
      <c r="D33803" s="15" t="s">
        <v>27237</v>
      </c>
      <c r="E33803" s="2">
        <v>2656169</v>
      </c>
      <c r="F33803" s="4" t="e">
        <f>IF(B33803=#REF!,"",B33803)</f>
        <v>#REF!</v>
      </c>
    </row>
    <row r="33804" spans="1:6" ht="15.75" customHeight="1">
      <c r="A33804" s="15" t="s">
        <v>27288</v>
      </c>
      <c r="B33804" s="15" t="s">
        <v>27289</v>
      </c>
      <c r="C33804" s="15" t="s">
        <v>27234</v>
      </c>
      <c r="D33804" s="15" t="s">
        <v>27241</v>
      </c>
      <c r="E33804" s="2">
        <v>2656173</v>
      </c>
      <c r="F33804" s="4" t="e">
        <f>IF(B33804=#REF!,"",B33804)</f>
        <v>#REF!</v>
      </c>
    </row>
    <row r="33805" spans="1:6" ht="15.75" customHeight="1">
      <c r="A33805" s="15" t="s">
        <v>22196</v>
      </c>
      <c r="B33805" s="15" t="s">
        <v>22197</v>
      </c>
      <c r="C33805" s="15" t="s">
        <v>22070</v>
      </c>
      <c r="D33805" s="15" t="s">
        <v>22099</v>
      </c>
      <c r="E33805" s="2">
        <v>578740</v>
      </c>
      <c r="F33805" s="4" t="e">
        <f>IF(B33805=#REF!,"",B33805)</f>
        <v>#REF!</v>
      </c>
    </row>
    <row r="33806" spans="1:6" ht="15.75" customHeight="1">
      <c r="A33806" s="15" t="s">
        <v>27959</v>
      </c>
      <c r="B33806" s="15" t="s">
        <v>27960</v>
      </c>
      <c r="C33806" s="15" t="s">
        <v>27788</v>
      </c>
      <c r="D33806" s="15" t="s">
        <v>27799</v>
      </c>
      <c r="E33806" s="2">
        <v>4884192</v>
      </c>
      <c r="F33806" s="4" t="e">
        <f>IF(B33806=#REF!,"",B33806)</f>
        <v>#REF!</v>
      </c>
    </row>
    <row r="33807" spans="1:6" ht="15.75" customHeight="1">
      <c r="A33807" s="15" t="s">
        <v>2102</v>
      </c>
      <c r="B33807" s="15" t="s">
        <v>2102</v>
      </c>
      <c r="C33807" s="15" t="s">
        <v>1905</v>
      </c>
      <c r="D33807" s="15" t="s">
        <v>1914</v>
      </c>
      <c r="E33807" s="2">
        <v>3470324</v>
      </c>
      <c r="F33807" s="4" t="e">
        <f>IF(B33807=#REF!,"",B33807)</f>
        <v>#REF!</v>
      </c>
    </row>
    <row r="33808" spans="1:6" ht="15.75" customHeight="1">
      <c r="A33808" s="15" t="s">
        <v>20663</v>
      </c>
      <c r="B33808" s="15" t="s">
        <v>20663</v>
      </c>
      <c r="C33808" s="15" t="s">
        <v>20598</v>
      </c>
      <c r="D33808" s="15" t="s">
        <v>20608</v>
      </c>
      <c r="E33808" s="2">
        <v>1726280</v>
      </c>
      <c r="F33808" s="4" t="e">
        <f>IF(B33808=#REF!,"",B33808)</f>
        <v>#REF!</v>
      </c>
    </row>
    <row r="33809" spans="1:6" ht="15.75" customHeight="1">
      <c r="A33809" s="16" t="s">
        <v>4270</v>
      </c>
      <c r="B33809" s="15" t="s">
        <v>4271</v>
      </c>
      <c r="C33809" s="16" t="s">
        <v>4264</v>
      </c>
      <c r="D33809" s="16" t="s">
        <v>4272</v>
      </c>
      <c r="E33809" s="2">
        <v>2389691</v>
      </c>
      <c r="F33809" s="4" t="e">
        <f>IF(B33809=#REF!,"",B33809)</f>
        <v>#REF!</v>
      </c>
    </row>
    <row r="33810" spans="1:6" ht="15.75" customHeight="1">
      <c r="A33810" s="16" t="s">
        <v>17447</v>
      </c>
      <c r="B33810" s="15" t="s">
        <v>17447</v>
      </c>
      <c r="C33810" s="16" t="s">
        <v>17432</v>
      </c>
      <c r="D33810" s="16" t="s">
        <v>17446</v>
      </c>
      <c r="E33810" s="2">
        <v>1732892</v>
      </c>
      <c r="F33810" s="4" t="e">
        <f>IF(B33810=#REF!,"",B33810)</f>
        <v>#REF!</v>
      </c>
    </row>
    <row r="33811" spans="1:6" ht="15.75" customHeight="1">
      <c r="A33811" s="15" t="s">
        <v>13843</v>
      </c>
      <c r="B33811" s="15" t="s">
        <v>13843</v>
      </c>
      <c r="C33811" s="15" t="s">
        <v>13800</v>
      </c>
      <c r="D33811" s="15" t="s">
        <v>13803</v>
      </c>
      <c r="E33811" s="2">
        <v>1649881</v>
      </c>
      <c r="F33811" s="4" t="str">
        <f>IF(B33811=B33810,"",B33811)</f>
        <v>Batang</v>
      </c>
    </row>
    <row r="33812" spans="1:6" ht="15.75" customHeight="1">
      <c r="A33812" s="16" t="str">
        <f ca="1">IFERROR(__xludf.DUMMYFUNCTION("GOOGLETRANSLATE(B33917,""en"",""pt"")"),"Batāla")</f>
        <v>Batāla</v>
      </c>
      <c r="B33812" s="20" t="s">
        <v>33927</v>
      </c>
      <c r="C33812" s="20" t="s">
        <v>10178</v>
      </c>
      <c r="D33812" s="20" t="s">
        <v>10184</v>
      </c>
      <c r="E33812" s="10">
        <v>1276720</v>
      </c>
      <c r="F33812" s="4" t="e">
        <f>IF(B33812=#REF!,"",B33812)</f>
        <v>#REF!</v>
      </c>
    </row>
    <row r="33813" spans="1:6" ht="15.75" customHeight="1">
      <c r="A33813" s="16" t="s">
        <v>20661</v>
      </c>
      <c r="B33813" s="15" t="s">
        <v>20662</v>
      </c>
      <c r="C33813" s="16" t="s">
        <v>20598</v>
      </c>
      <c r="D33813" s="16" t="s">
        <v>20603</v>
      </c>
      <c r="E33813" s="2">
        <v>1726339</v>
      </c>
      <c r="F33813" s="4" t="str">
        <f>IF(B33813=B33812,"",B33813)</f>
        <v>Batac City</v>
      </c>
    </row>
    <row r="33814" spans="1:6" ht="15.75" customHeight="1">
      <c r="A33814" s="15" t="s">
        <v>10637</v>
      </c>
      <c r="B33814" s="15" t="s">
        <v>10638</v>
      </c>
      <c r="C33814" s="15" t="s">
        <v>10178</v>
      </c>
      <c r="D33814" s="15" t="s">
        <v>10184</v>
      </c>
      <c r="E33814" s="2">
        <v>1276720</v>
      </c>
      <c r="F33814" s="4" t="str">
        <f>IF(B33814=B33813,"",B33814)</f>
        <v>BatÄla</v>
      </c>
    </row>
    <row r="33815" spans="1:6" ht="15.75" customHeight="1">
      <c r="A33815" s="15" t="s">
        <v>6838</v>
      </c>
      <c r="B33815" s="15" t="s">
        <v>6839</v>
      </c>
      <c r="C33815" s="15" t="s">
        <v>6807</v>
      </c>
      <c r="D33815" s="15" t="s">
        <v>6811</v>
      </c>
      <c r="E33815" s="2">
        <v>342641</v>
      </c>
      <c r="F33815" s="4" t="e">
        <f>IF(B33815=#REF!,"",B33815)</f>
        <v>#REF!</v>
      </c>
    </row>
    <row r="33816" spans="1:6" ht="15.75" customHeight="1">
      <c r="A33816" s="15" t="s">
        <v>6766</v>
      </c>
      <c r="B33816" s="15" t="s">
        <v>6766</v>
      </c>
      <c r="C33816" s="15" t="s">
        <v>6767</v>
      </c>
      <c r="D33816" s="15" t="s">
        <v>6768</v>
      </c>
      <c r="E33816" s="2">
        <v>2310046</v>
      </c>
      <c r="F33816" s="4" t="e">
        <f>IF(B33816=#REF!,"",B33816)</f>
        <v>#REF!</v>
      </c>
    </row>
    <row r="33817" spans="1:6" ht="15.75" customHeight="1">
      <c r="A33817" s="16" t="s">
        <v>14784</v>
      </c>
      <c r="B33817" s="15" t="s">
        <v>14785</v>
      </c>
      <c r="C33817" s="16" t="s">
        <v>14773</v>
      </c>
      <c r="D33817" s="16" t="s">
        <v>14786</v>
      </c>
      <c r="E33817" s="2">
        <v>295548</v>
      </c>
      <c r="F33817" s="4" t="e">
        <f>IF(B33817=#REF!,"",B33817)</f>
        <v>#REF!</v>
      </c>
    </row>
    <row r="33818" spans="1:6" ht="15.75" customHeight="1">
      <c r="A33818" s="15" t="s">
        <v>19832</v>
      </c>
      <c r="B33818" s="15" t="s">
        <v>19832</v>
      </c>
      <c r="C33818" s="15" t="s">
        <v>19808</v>
      </c>
      <c r="D33818" s="15" t="s">
        <v>19811</v>
      </c>
      <c r="E33818" s="2">
        <v>1183090</v>
      </c>
      <c r="F33818" s="4" t="str">
        <f>IF(B33818=B33817,"",B33818)</f>
        <v>Bat Khela</v>
      </c>
    </row>
    <row r="33819" spans="1:6" ht="15.75" customHeight="1">
      <c r="A33819" s="16" t="str">
        <f ca="1">IFERROR(__xludf.DUMMYFUNCTION("GOOGLETRANSLATE(B28886,""en"",""pt"")"),"Basyūn")</f>
        <v>Basyūn</v>
      </c>
      <c r="B33819" s="20" t="s">
        <v>32309</v>
      </c>
      <c r="C33819" s="20" t="s">
        <v>6495</v>
      </c>
      <c r="D33819" s="20" t="s">
        <v>32245</v>
      </c>
      <c r="E33819" s="10">
        <v>358970</v>
      </c>
      <c r="F33819" s="4" t="str">
        <f>IF(B33819=B33818,"",B33819)</f>
        <v>Basyūn</v>
      </c>
    </row>
    <row r="33820" spans="1:6" ht="15.75" customHeight="1">
      <c r="A33820" s="15" t="s">
        <v>6616</v>
      </c>
      <c r="B33820" s="15" t="s">
        <v>6617</v>
      </c>
      <c r="C33820" s="15" t="s">
        <v>6495</v>
      </c>
      <c r="D33820" s="15" t="s">
        <v>6567</v>
      </c>
      <c r="E33820" s="2">
        <v>358970</v>
      </c>
      <c r="F33820" s="4" t="e">
        <f>IF(B33820=#REF!,"",B33820)</f>
        <v>#REF!</v>
      </c>
    </row>
    <row r="33821" spans="1:6" ht="15.75" customHeight="1">
      <c r="A33821" s="15" t="s">
        <v>10636</v>
      </c>
      <c r="B33821" s="15" t="s">
        <v>10636</v>
      </c>
      <c r="C33821" s="15" t="s">
        <v>10178</v>
      </c>
      <c r="D33821" s="15" t="s">
        <v>10179</v>
      </c>
      <c r="E33821" s="2">
        <v>1276724</v>
      </c>
      <c r="F33821" s="4" t="str">
        <f>IF(B33821=B33820,"",B33821)</f>
        <v>Baswa</v>
      </c>
    </row>
    <row r="33822" spans="1:6" ht="15.75" customHeight="1">
      <c r="A33822" s="16" t="str">
        <f ca="1">IFERROR(__xludf.DUMMYFUNCTION("GOOGLETRANSLATE(B33919,""en"",""pt"")"),"Bāsudebpur")</f>
        <v>Bāsudebpur</v>
      </c>
      <c r="B33822" s="20" t="s">
        <v>33928</v>
      </c>
      <c r="C33822" s="20" t="s">
        <v>10178</v>
      </c>
      <c r="D33822" s="20" t="s">
        <v>10229</v>
      </c>
      <c r="E33822" s="10">
        <v>1276731</v>
      </c>
      <c r="F33822" s="4" t="e">
        <f>IF(B33822=#REF!,"",B33822)</f>
        <v>#REF!</v>
      </c>
    </row>
    <row r="33823" spans="1:6" ht="15.75" customHeight="1">
      <c r="A33823" s="15" t="s">
        <v>2101</v>
      </c>
      <c r="B33823" s="15" t="s">
        <v>2101</v>
      </c>
      <c r="C33823" s="15" t="s">
        <v>1905</v>
      </c>
      <c r="D33823" s="15" t="s">
        <v>1914</v>
      </c>
      <c r="E33823" s="2">
        <v>3470341</v>
      </c>
      <c r="F33823" s="4" t="e">
        <f>IF(B33823=#REF!,"",B33823)</f>
        <v>#REF!</v>
      </c>
    </row>
    <row r="33824" spans="1:6" ht="15.75" customHeight="1">
      <c r="A33824" s="16" t="s">
        <v>14967</v>
      </c>
      <c r="B33824" s="15" t="s">
        <v>14968</v>
      </c>
      <c r="C33824" s="16" t="s">
        <v>14891</v>
      </c>
      <c r="D33824" s="16" t="s">
        <v>14969</v>
      </c>
      <c r="E33824" s="2">
        <v>3182289</v>
      </c>
      <c r="F33824" s="4" t="e">
        <f>IF(B33824=#REF!,"",B33824)</f>
        <v>#REF!</v>
      </c>
    </row>
    <row r="33825" spans="1:6" ht="15.75" customHeight="1">
      <c r="A33825" s="15" t="s">
        <v>7152</v>
      </c>
      <c r="B33825" s="15" t="s">
        <v>7152</v>
      </c>
      <c r="C33825" s="15" t="s">
        <v>7052</v>
      </c>
      <c r="D33825" s="15" t="s">
        <v>7091</v>
      </c>
      <c r="E33825" s="2">
        <v>3034640</v>
      </c>
      <c r="F33825" s="4" t="str">
        <f>IF(B33825=B33824,"",B33825)</f>
        <v>Bastia</v>
      </c>
    </row>
    <row r="33826" spans="1:6" ht="15.75" customHeight="1">
      <c r="A33826" s="16" t="str">
        <f ca="1">IFERROR(__xludf.DUMMYFUNCTION("GOOGLETRANSLATE(B33920,""en"",""pt"")"),"Bastī")</f>
        <v>Bastī</v>
      </c>
      <c r="B33826" s="20" t="s">
        <v>33929</v>
      </c>
      <c r="C33826" s="20" t="s">
        <v>10178</v>
      </c>
      <c r="D33826" s="20" t="s">
        <v>10193</v>
      </c>
      <c r="E33826" s="10">
        <v>1276736</v>
      </c>
      <c r="F33826" s="4" t="str">
        <f>IF(B33826=B33825,"",B33826)</f>
        <v>Bastī</v>
      </c>
    </row>
    <row r="33827" spans="1:6" ht="15.75" customHeight="1">
      <c r="A33827" s="15" t="s">
        <v>10634</v>
      </c>
      <c r="B33827" s="15" t="s">
        <v>10635</v>
      </c>
      <c r="C33827" s="15" t="s">
        <v>10178</v>
      </c>
      <c r="D33827" s="15" t="s">
        <v>10193</v>
      </c>
      <c r="E33827" s="2">
        <v>1276736</v>
      </c>
      <c r="F33827" s="4" t="e">
        <f>IF(B33827=#REF!,"",B33827)</f>
        <v>#REF!</v>
      </c>
    </row>
    <row r="33828" spans="1:6" ht="15.75" customHeight="1">
      <c r="A33828" s="15" t="s">
        <v>8171</v>
      </c>
      <c r="B33828" s="15" t="s">
        <v>8171</v>
      </c>
      <c r="C33828" s="15" t="s">
        <v>8028</v>
      </c>
      <c r="D33828" s="15" t="s">
        <v>8034</v>
      </c>
      <c r="E33828" s="2">
        <v>2952252</v>
      </c>
      <c r="F33828" s="4" t="e">
        <f>IF(B33828=#REF!,"",B33828)</f>
        <v>#REF!</v>
      </c>
    </row>
    <row r="33829" spans="1:6" ht="15.75" customHeight="1">
      <c r="A33829" s="15" t="s">
        <v>1751</v>
      </c>
      <c r="B33829" s="15" t="s">
        <v>1751</v>
      </c>
      <c r="C33829" s="15" t="s">
        <v>1741</v>
      </c>
      <c r="D33829" s="15" t="s">
        <v>1752</v>
      </c>
      <c r="E33829" s="2">
        <v>2395261</v>
      </c>
      <c r="F33829" s="4" t="e">
        <f>IF(B33829=#REF!,"",B33829)</f>
        <v>#REF!</v>
      </c>
    </row>
    <row r="33830" spans="1:6" ht="15.75" customHeight="1">
      <c r="A33830" s="16" t="s">
        <v>9671</v>
      </c>
      <c r="B33830" s="15" t="s">
        <v>9672</v>
      </c>
      <c r="C33830" s="16" t="s">
        <v>9670</v>
      </c>
      <c r="D33830" s="16" t="s">
        <v>9670</v>
      </c>
      <c r="E33830" s="2">
        <v>3579732</v>
      </c>
      <c r="F33830" s="4" t="e">
        <f>IF(B33830=#REF!,"",B33830)</f>
        <v>#REF!</v>
      </c>
    </row>
    <row r="33831" spans="1:6" ht="15.75" customHeight="1">
      <c r="A33831" s="16" t="s">
        <v>23430</v>
      </c>
      <c r="B33831" s="15" t="s">
        <v>23430</v>
      </c>
      <c r="C33831" s="16" t="s">
        <v>23431</v>
      </c>
      <c r="D33831" s="16" t="s">
        <v>23432</v>
      </c>
      <c r="E33831" s="2">
        <v>3575551</v>
      </c>
      <c r="F33831" s="4" t="e">
        <f>IF(B33831=#REF!,"",B33831)</f>
        <v>#REF!</v>
      </c>
    </row>
    <row r="33832" spans="1:6" ht="15.75" customHeight="1">
      <c r="A33832" s="15" t="s">
        <v>26045</v>
      </c>
      <c r="B33832" s="15" t="s">
        <v>26045</v>
      </c>
      <c r="C33832" s="15" t="s">
        <v>26038</v>
      </c>
      <c r="D33832" s="15" t="s">
        <v>26044</v>
      </c>
      <c r="E33832" s="2">
        <v>2367568</v>
      </c>
      <c r="F33832" s="4" t="e">
        <f>IF(B33832=#REF!,"",B33832)</f>
        <v>#REF!</v>
      </c>
    </row>
    <row r="33833" spans="1:6" ht="15.75" customHeight="1">
      <c r="A33833" s="16" t="s">
        <v>14966</v>
      </c>
      <c r="B33833" s="15" t="s">
        <v>14966</v>
      </c>
      <c r="C33833" s="16" t="s">
        <v>14891</v>
      </c>
      <c r="D33833" s="16" t="s">
        <v>14892</v>
      </c>
      <c r="E33833" s="2">
        <v>3182297</v>
      </c>
      <c r="F33833" s="4" t="e">
        <f>IF(B33833=#REF!,"",B33833)</f>
        <v>#REF!</v>
      </c>
    </row>
    <row r="33834" spans="1:6" ht="15.75" customHeight="1">
      <c r="A33834" s="15" t="s">
        <v>14675</v>
      </c>
      <c r="B33834" s="15" t="s">
        <v>14675</v>
      </c>
      <c r="C33834" s="15" t="s">
        <v>14594</v>
      </c>
      <c r="D33834" s="15" t="s">
        <v>14632</v>
      </c>
      <c r="E33834" s="2">
        <v>99532</v>
      </c>
      <c r="F33834" s="4" t="e">
        <f>IF(B33834=#REF!,"",B33834)</f>
        <v>#REF!</v>
      </c>
    </row>
    <row r="33835" spans="1:6" ht="15.75" customHeight="1">
      <c r="A33835" s="15" t="s">
        <v>25568</v>
      </c>
      <c r="B33835" s="15" t="s">
        <v>25568</v>
      </c>
      <c r="C33835" s="15" t="s">
        <v>25560</v>
      </c>
      <c r="D33835" s="15" t="s">
        <v>25562</v>
      </c>
      <c r="E33835" s="2">
        <v>161197</v>
      </c>
      <c r="F33835" s="4" t="e">
        <f>IF(B33835=#REF!,"",B33835)</f>
        <v>#REF!</v>
      </c>
    </row>
    <row r="33836" spans="1:6" ht="15.75" customHeight="1">
      <c r="A33836" s="15" t="s">
        <v>6130</v>
      </c>
      <c r="B33836" s="15" t="s">
        <v>6130</v>
      </c>
      <c r="C33836" s="15" t="s">
        <v>6127</v>
      </c>
      <c r="D33836" s="15" t="s">
        <v>6128</v>
      </c>
      <c r="E33836" s="2">
        <v>219414</v>
      </c>
      <c r="F33836" s="4" t="str">
        <f>IF(B33836=B33835,"",B33836)</f>
        <v>Basoko</v>
      </c>
    </row>
    <row r="33837" spans="1:6" ht="15.75" customHeight="1">
      <c r="A33837" s="16" t="str">
        <f ca="1">IFERROR(__xludf.DUMMYFUNCTION("GOOGLETRANSLATE(B33921,""en"",""pt"")"),"Bāsoda")</f>
        <v>Bāsoda</v>
      </c>
      <c r="B33837" s="20" t="s">
        <v>33930</v>
      </c>
      <c r="C33837" s="20" t="s">
        <v>10178</v>
      </c>
      <c r="D33837" s="20" t="s">
        <v>10219</v>
      </c>
      <c r="E33837" s="10">
        <v>1276752</v>
      </c>
      <c r="F33837" s="4" t="e">
        <f>IF(B33837=#REF!,"",B33837)</f>
        <v>#REF!</v>
      </c>
    </row>
    <row r="33838" spans="1:6" ht="15.75" customHeight="1">
      <c r="A33838" s="15" t="s">
        <v>10633</v>
      </c>
      <c r="B33838" s="15" t="s">
        <v>10633</v>
      </c>
      <c r="C33838" s="15" t="s">
        <v>10178</v>
      </c>
      <c r="D33838" s="15" t="s">
        <v>10179</v>
      </c>
      <c r="E33838" s="2">
        <v>1276754</v>
      </c>
      <c r="F33838" s="4" t="e">
        <f>IF(B33838=#REF!,"",B33838)</f>
        <v>#REF!</v>
      </c>
    </row>
    <row r="33839" spans="1:6" ht="15.75" customHeight="1">
      <c r="A33839" s="15" t="s">
        <v>10632</v>
      </c>
      <c r="B33839" s="15" t="s">
        <v>10632</v>
      </c>
      <c r="C33839" s="15" t="s">
        <v>10178</v>
      </c>
      <c r="D33839" s="15" t="s">
        <v>10214</v>
      </c>
      <c r="E33839" s="2">
        <v>1276757</v>
      </c>
      <c r="F33839" s="4" t="e">
        <f>IF(B33839=#REF!,"",B33839)</f>
        <v>#REF!</v>
      </c>
    </row>
    <row r="33840" spans="1:6" ht="15.75" customHeight="1">
      <c r="A33840" s="15" t="s">
        <v>26377</v>
      </c>
      <c r="B33840" s="15" t="s">
        <v>26377</v>
      </c>
      <c r="C33840" s="15" t="s">
        <v>26201</v>
      </c>
      <c r="D33840" s="15" t="s">
        <v>26378</v>
      </c>
      <c r="E33840" s="2">
        <v>321929</v>
      </c>
      <c r="F33840" s="4" t="str">
        <f>IF(B33840=B33839,"",B33840)</f>
        <v>Baskil</v>
      </c>
    </row>
    <row r="33841" spans="1:6" ht="15.75" customHeight="1">
      <c r="A33841" s="16" t="str">
        <f ca="1">IFERROR(__xludf.DUMMYFUNCTION("GOOGLETRANSLATE(B39154,""en"",""pt"")"),"Basīrpur")</f>
        <v>Basīrpur</v>
      </c>
      <c r="B33841" s="20" t="s">
        <v>35050</v>
      </c>
      <c r="C33841" s="20" t="s">
        <v>19808</v>
      </c>
      <c r="D33841" s="20" t="s">
        <v>10184</v>
      </c>
      <c r="E33841" s="10">
        <v>1183224</v>
      </c>
      <c r="F33841" s="4" t="e">
        <f>IF(B33841=#REF!,"",B33841)</f>
        <v>#REF!</v>
      </c>
    </row>
    <row r="33842" spans="1:6" ht="15.75" customHeight="1">
      <c r="A33842" s="16" t="s">
        <v>27287</v>
      </c>
      <c r="B33842" s="15" t="s">
        <v>27287</v>
      </c>
      <c r="C33842" s="16" t="s">
        <v>27234</v>
      </c>
      <c r="D33842" s="16" t="s">
        <v>27241</v>
      </c>
      <c r="E33842" s="2">
        <v>2656192</v>
      </c>
      <c r="F33842" s="4" t="e">
        <f>IF(B33842=#REF!,"",B33842)</f>
        <v>#REF!</v>
      </c>
    </row>
    <row r="33843" spans="1:6" ht="15.75" customHeight="1">
      <c r="A33843" s="15" t="s">
        <v>27286</v>
      </c>
      <c r="B33843" s="15" t="s">
        <v>27286</v>
      </c>
      <c r="C33843" s="15" t="s">
        <v>27234</v>
      </c>
      <c r="D33843" s="15" t="s">
        <v>27241</v>
      </c>
      <c r="E33843" s="2">
        <v>2656194</v>
      </c>
      <c r="F33843" s="4" t="e">
        <f>IF(B33843=#REF!,"",B33843)</f>
        <v>#REF!</v>
      </c>
    </row>
    <row r="33844" spans="1:6" ht="15.75" customHeight="1">
      <c r="A33844" s="15" t="s">
        <v>10631</v>
      </c>
      <c r="B33844" s="15" t="s">
        <v>10631</v>
      </c>
      <c r="C33844" s="15" t="s">
        <v>10178</v>
      </c>
      <c r="D33844" s="15" t="s">
        <v>10184</v>
      </c>
      <c r="E33844" s="2">
        <v>1276764</v>
      </c>
      <c r="F33844" s="4" t="e">
        <f>IF(B33844=#REF!,"",B33844)</f>
        <v>#REF!</v>
      </c>
    </row>
    <row r="33845" spans="1:6" ht="15.75" customHeight="1">
      <c r="A33845" s="15" t="s">
        <v>25567</v>
      </c>
      <c r="B33845" s="15" t="s">
        <v>25567</v>
      </c>
      <c r="C33845" s="15" t="s">
        <v>25560</v>
      </c>
      <c r="D33845" s="15" t="s">
        <v>25562</v>
      </c>
      <c r="E33845" s="2">
        <v>161204</v>
      </c>
      <c r="F33845" s="4" t="e">
        <f>IF(B33845=#REF!,"",B33845)</f>
        <v>#REF!</v>
      </c>
    </row>
    <row r="33846" spans="1:6" ht="15.75" customHeight="1">
      <c r="A33846" s="15" t="s">
        <v>25245</v>
      </c>
      <c r="B33846" s="15" t="s">
        <v>25246</v>
      </c>
      <c r="C33846" s="15" t="s">
        <v>25237</v>
      </c>
      <c r="D33846" s="15" t="s">
        <v>25247</v>
      </c>
      <c r="E33846" s="2">
        <v>2661604</v>
      </c>
      <c r="F33846" s="4" t="str">
        <f>IF(B33846=B33845,"",B33846)</f>
        <v>Basel</v>
      </c>
    </row>
    <row r="33847" spans="1:6" ht="15.75" customHeight="1">
      <c r="A33847" s="16" t="str">
        <f ca="1">IFERROR(__xludf.DUMMYFUNCTION("GOOGLETRANSLATE(B33927,""en"",""pt"")"),"Basavana Bāgevādi")</f>
        <v>Basavana Bāgevādi</v>
      </c>
      <c r="B33847" s="20" t="s">
        <v>33931</v>
      </c>
      <c r="C33847" s="20" t="s">
        <v>10178</v>
      </c>
      <c r="D33847" s="20" t="s">
        <v>10252</v>
      </c>
      <c r="E33847" s="10">
        <v>1276782</v>
      </c>
      <c r="F33847" s="4" t="str">
        <f>IF(B33847=B33846,"",B33847)</f>
        <v>Basavana Bāgevādi</v>
      </c>
    </row>
    <row r="33848" spans="1:6" ht="15.75" customHeight="1">
      <c r="A33848" s="16" t="s">
        <v>10629</v>
      </c>
      <c r="B33848" s="15" t="s">
        <v>10630</v>
      </c>
      <c r="C33848" s="16" t="s">
        <v>10178</v>
      </c>
      <c r="D33848" s="16" t="s">
        <v>10252</v>
      </c>
      <c r="E33848" s="2">
        <v>1276782</v>
      </c>
      <c r="F33848" s="4" t="str">
        <f>IF(B33848=B33847,"",B33848)</f>
        <v>Basavana BÄgevÄdi</v>
      </c>
    </row>
    <row r="33849" spans="1:6" ht="15.75" customHeight="1">
      <c r="A33849" s="16" t="str">
        <f ca="1">IFERROR(__xludf.DUMMYFUNCTION("GOOGLETRANSLATE(B33928,""en"",""pt"")"),"Basavakalyān")</f>
        <v>Basavakalyān</v>
      </c>
      <c r="B33849" s="20" t="s">
        <v>33932</v>
      </c>
      <c r="C33849" s="20" t="s">
        <v>10178</v>
      </c>
      <c r="D33849" s="20" t="s">
        <v>10252</v>
      </c>
      <c r="E33849" s="10">
        <v>1276783</v>
      </c>
      <c r="F33849" s="4" t="str">
        <f>IF(B33849=B33848,"",B33849)</f>
        <v>Basavakalyān</v>
      </c>
    </row>
    <row r="33850" spans="1:6" ht="15.75" customHeight="1">
      <c r="A33850" s="16" t="s">
        <v>10627</v>
      </c>
      <c r="B33850" s="15" t="s">
        <v>10628</v>
      </c>
      <c r="C33850" s="16" t="s">
        <v>10178</v>
      </c>
      <c r="D33850" s="16" t="s">
        <v>10252</v>
      </c>
      <c r="E33850" s="2">
        <v>1276783</v>
      </c>
      <c r="F33850" s="4" t="e">
        <f>IF(B33850=#REF!,"",B33850)</f>
        <v>#REF!</v>
      </c>
    </row>
    <row r="33851" spans="1:6" ht="15.75" customHeight="1">
      <c r="A33851" s="15" t="s">
        <v>24328</v>
      </c>
      <c r="B33851" s="15" t="s">
        <v>24328</v>
      </c>
      <c r="C33851" s="15" t="s">
        <v>24200</v>
      </c>
      <c r="D33851" s="15" t="s">
        <v>24249</v>
      </c>
      <c r="E33851" s="2">
        <v>6697039</v>
      </c>
      <c r="F33851" s="4" t="str">
        <f>IF(B33851=B33850,"",B33851)</f>
        <v>Basauri</v>
      </c>
    </row>
    <row r="33852" spans="1:6" ht="15.75" customHeight="1">
      <c r="A33852" s="16" t="str">
        <f ca="1">IFERROR(__xludf.DUMMYFUNCTION("GOOGLETRANSLATE(B42236,""en"",""pt"")"),"Başakşehir")</f>
        <v>Başakşehir</v>
      </c>
      <c r="B33852" s="20" t="s">
        <v>35975</v>
      </c>
      <c r="C33852" s="20" t="s">
        <v>26201</v>
      </c>
      <c r="D33852" s="20" t="s">
        <v>26211</v>
      </c>
      <c r="E33852" s="10">
        <v>6947639</v>
      </c>
      <c r="F33852" s="4" t="str">
        <f>IF(B33852=B33851,"",B33852)</f>
        <v>Başakşehir</v>
      </c>
    </row>
    <row r="33853" spans="1:6" ht="15.75" customHeight="1">
      <c r="A33853" s="16" t="s">
        <v>19830</v>
      </c>
      <c r="B33853" s="15" t="s">
        <v>19831</v>
      </c>
      <c r="C33853" s="16" t="s">
        <v>19808</v>
      </c>
      <c r="D33853" s="16" t="s">
        <v>10184</v>
      </c>
      <c r="E33853" s="2">
        <v>1183224</v>
      </c>
      <c r="F33853" s="4" t="e">
        <f>IF(B33853=#REF!,"",B33853)</f>
        <v>#REF!</v>
      </c>
    </row>
    <row r="33854" spans="1:6" ht="15.75" customHeight="1">
      <c r="A33854" s="15" t="s">
        <v>22194</v>
      </c>
      <c r="B33854" s="15" t="s">
        <v>22194</v>
      </c>
      <c r="C33854" s="15" t="s">
        <v>22070</v>
      </c>
      <c r="D33854" s="15" t="s">
        <v>22195</v>
      </c>
      <c r="E33854" s="2">
        <v>578931</v>
      </c>
      <c r="F33854" s="4" t="str">
        <f>IF(B33854=B33853,"",B33854)</f>
        <v>Barysh</v>
      </c>
    </row>
    <row r="33855" spans="1:6" ht="15.75" customHeight="1">
      <c r="A33855" s="16" t="str">
        <f ca="1">IFERROR(__xludf.DUMMYFUNCTION("GOOGLETRANSLATE(B33929,""en"",""pt"")"),"Barwāni")</f>
        <v>Barwāni</v>
      </c>
      <c r="B33855" s="20" t="s">
        <v>33933</v>
      </c>
      <c r="C33855" s="20" t="s">
        <v>10178</v>
      </c>
      <c r="D33855" s="20" t="s">
        <v>10219</v>
      </c>
      <c r="E33855" s="10">
        <v>1276810</v>
      </c>
      <c r="F33855" s="4" t="str">
        <f>IF(B33855=B33854,"",B33855)</f>
        <v>Barwāni</v>
      </c>
    </row>
    <row r="33856" spans="1:6" ht="15.75" customHeight="1">
      <c r="A33856" s="16" t="str">
        <f ca="1">IFERROR(__xludf.DUMMYFUNCTION("GOOGLETRANSLATE(B33930,""en"",""pt"")"),"Barwāla")</f>
        <v>Barwāla</v>
      </c>
      <c r="B33856" s="20" t="s">
        <v>33934</v>
      </c>
      <c r="C33856" s="20" t="s">
        <v>10178</v>
      </c>
      <c r="D33856" s="20" t="s">
        <v>10224</v>
      </c>
      <c r="E33856" s="10">
        <v>1276815</v>
      </c>
      <c r="F33856" s="4" t="str">
        <f>IF(B33856=B33855,"",B33856)</f>
        <v>Barwāla</v>
      </c>
    </row>
    <row r="33857" spans="1:6" ht="15.75" customHeight="1">
      <c r="A33857" s="15" t="s">
        <v>10625</v>
      </c>
      <c r="B33857" s="15" t="s">
        <v>10626</v>
      </c>
      <c r="C33857" s="15" t="s">
        <v>10178</v>
      </c>
      <c r="D33857" s="15" t="s">
        <v>10219</v>
      </c>
      <c r="E33857" s="2">
        <v>1276810</v>
      </c>
      <c r="F33857" s="4" t="str">
        <f>IF(B33857=B33856,"",B33857)</f>
        <v>BarwÄni</v>
      </c>
    </row>
    <row r="33858" spans="1:6" ht="15.75" customHeight="1">
      <c r="A33858" s="15" t="s">
        <v>10623</v>
      </c>
      <c r="B33858" s="15" t="s">
        <v>10624</v>
      </c>
      <c r="C33858" s="15" t="s">
        <v>10178</v>
      </c>
      <c r="D33858" s="15" t="s">
        <v>10224</v>
      </c>
      <c r="E33858" s="2">
        <v>1276815</v>
      </c>
      <c r="F33858" s="4" t="e">
        <f>IF(B33858=#REF!,"",B33858)</f>
        <v>#REF!</v>
      </c>
    </row>
    <row r="33859" spans="1:6" ht="15.75" customHeight="1">
      <c r="A33859" s="16" t="s">
        <v>18502</v>
      </c>
      <c r="B33859" s="15" t="s">
        <v>18502</v>
      </c>
      <c r="C33859" s="16" t="s">
        <v>18496</v>
      </c>
      <c r="D33859" s="16" t="s">
        <v>18503</v>
      </c>
      <c r="E33859" s="2">
        <v>2032614</v>
      </c>
      <c r="F33859" s="4" t="e">
        <f>IF(B33859=#REF!,"",B33859)</f>
        <v>#REF!</v>
      </c>
    </row>
    <row r="33860" spans="1:6" ht="15.75" customHeight="1">
      <c r="A33860" s="15" t="s">
        <v>30646</v>
      </c>
      <c r="B33860" s="15" t="s">
        <v>30646</v>
      </c>
      <c r="C33860" s="15" t="s">
        <v>5923</v>
      </c>
      <c r="D33860" s="15" t="s">
        <v>30647</v>
      </c>
      <c r="E33860" s="2">
        <v>3648439</v>
      </c>
      <c r="F33860" s="4" t="str">
        <f>IF(B33860=B33859,"",B33860)</f>
        <v>Baruta</v>
      </c>
    </row>
    <row r="33861" spans="1:6" ht="15.75" customHeight="1">
      <c r="A33861" s="16" t="str">
        <f ca="1">IFERROR(__xludf.DUMMYFUNCTION("GOOGLETRANSLATE(B33931,""en"",""pt"")"),"Bāruni")</f>
        <v>Bāruni</v>
      </c>
      <c r="B33861" s="20" t="s">
        <v>33935</v>
      </c>
      <c r="C33861" s="20" t="s">
        <v>10178</v>
      </c>
      <c r="D33861" s="20" t="s">
        <v>10317</v>
      </c>
      <c r="E33861" s="10">
        <v>1276829</v>
      </c>
      <c r="F33861" s="4" t="str">
        <f>IF(B33861=B33860,"",B33861)</f>
        <v>Bāruni</v>
      </c>
    </row>
    <row r="33862" spans="1:6" ht="15.75" customHeight="1">
      <c r="A33862" s="16" t="str">
        <f ca="1">IFERROR(__xludf.DUMMYFUNCTION("GOOGLETRANSLATE(B33932,""en"",""pt"")"),"Bāruipur")</f>
        <v>Bāruipur</v>
      </c>
      <c r="B33862" s="20" t="s">
        <v>33936</v>
      </c>
      <c r="C33862" s="20" t="s">
        <v>10178</v>
      </c>
      <c r="D33862" s="20" t="s">
        <v>10201</v>
      </c>
      <c r="E33862" s="10">
        <v>1276832</v>
      </c>
      <c r="F33862" s="4" t="e">
        <f>IF(B33862=#REF!,"",B33862)</f>
        <v>#REF!</v>
      </c>
    </row>
    <row r="33863" spans="1:6" ht="15.75" customHeight="1">
      <c r="A33863" s="15" t="s">
        <v>2100</v>
      </c>
      <c r="B33863" s="15" t="s">
        <v>2100</v>
      </c>
      <c r="C33863" s="15" t="s">
        <v>1905</v>
      </c>
      <c r="D33863" s="15" t="s">
        <v>1914</v>
      </c>
      <c r="E33863" s="2">
        <v>3470353</v>
      </c>
      <c r="F33863" s="4" t="e">
        <f>IF(B33863=#REF!,"",B33863)</f>
        <v>#REF!</v>
      </c>
    </row>
    <row r="33864" spans="1:6" ht="15.75" customHeight="1">
      <c r="A33864" s="15" t="s">
        <v>27958</v>
      </c>
      <c r="B33864" s="15" t="s">
        <v>27958</v>
      </c>
      <c r="C33864" s="15" t="s">
        <v>27788</v>
      </c>
      <c r="D33864" s="15" t="s">
        <v>5468</v>
      </c>
      <c r="E33864" s="2">
        <v>4146723</v>
      </c>
      <c r="F33864" s="4" t="e">
        <f>IF(B33864=#REF!,"",B33864)</f>
        <v>#REF!</v>
      </c>
    </row>
    <row r="33865" spans="1:6" ht="15.75" customHeight="1">
      <c r="A33865" s="16" t="s">
        <v>21130</v>
      </c>
      <c r="B33865" s="15" t="s">
        <v>21130</v>
      </c>
      <c r="C33865" s="16" t="s">
        <v>21064</v>
      </c>
      <c r="D33865" s="16" t="s">
        <v>21131</v>
      </c>
      <c r="E33865" s="2">
        <v>776337</v>
      </c>
      <c r="F33865" s="4" t="str">
        <f>IF(B33865=B33864,"",B33865)</f>
        <v>Bartoszyce</v>
      </c>
    </row>
    <row r="33866" spans="1:6" ht="15.75" customHeight="1">
      <c r="A33866" s="16" t="str">
        <f ca="1">IFERROR(__xludf.DUMMYFUNCTION("GOOGLETRANSLATE(B27209,""en"",""pt"")"),"Bartolomé Masó")</f>
        <v>Bartolomé Masó</v>
      </c>
      <c r="B33866" s="20" t="s">
        <v>31929</v>
      </c>
      <c r="C33866" s="20" t="s">
        <v>5764</v>
      </c>
      <c r="D33866" s="20" t="s">
        <v>5788</v>
      </c>
      <c r="E33866" s="10">
        <v>3567669</v>
      </c>
      <c r="F33866" s="4" t="str">
        <f>IF(B33866=B33865,"",B33866)</f>
        <v>Bartolomé Masó</v>
      </c>
    </row>
    <row r="33867" spans="1:6" ht="15.75" customHeight="1">
      <c r="A33867" s="16" t="s">
        <v>5786</v>
      </c>
      <c r="B33867" s="15" t="s">
        <v>5787</v>
      </c>
      <c r="C33867" s="16" t="s">
        <v>5764</v>
      </c>
      <c r="D33867" s="16" t="s">
        <v>5788</v>
      </c>
      <c r="E33867" s="2">
        <v>3567669</v>
      </c>
      <c r="F33867" s="4" t="e">
        <f>IF(B33867=#REF!,"",B33867)</f>
        <v>#REF!</v>
      </c>
    </row>
    <row r="33868" spans="1:6" ht="15.75" customHeight="1">
      <c r="A33868" s="16" t="s">
        <v>27285</v>
      </c>
      <c r="B33868" s="15" t="s">
        <v>27285</v>
      </c>
      <c r="C33868" s="16" t="s">
        <v>27234</v>
      </c>
      <c r="D33868" s="16" t="s">
        <v>27241</v>
      </c>
      <c r="E33868" s="2">
        <v>7302130</v>
      </c>
      <c r="F33868" s="4" t="e">
        <f>IF(B33868=#REF!,"",B33868)</f>
        <v>#REF!</v>
      </c>
    </row>
    <row r="33869" spans="1:6" ht="15.75" customHeight="1">
      <c r="A33869" s="15" t="s">
        <v>27956</v>
      </c>
      <c r="B33869" s="15" t="s">
        <v>27956</v>
      </c>
      <c r="C33869" s="15" t="s">
        <v>27788</v>
      </c>
      <c r="D33869" s="15" t="s">
        <v>27957</v>
      </c>
      <c r="E33869" s="2">
        <v>4604183</v>
      </c>
      <c r="F33869" s="4" t="e">
        <f>IF(B33869=#REF!,"",B33869)</f>
        <v>#REF!</v>
      </c>
    </row>
    <row r="33870" spans="1:6" ht="15.75" customHeight="1">
      <c r="A33870" s="16" t="s">
        <v>27955</v>
      </c>
      <c r="B33870" s="15" t="s">
        <v>27955</v>
      </c>
      <c r="C33870" s="16" t="s">
        <v>27788</v>
      </c>
      <c r="D33870" s="16" t="s">
        <v>27797</v>
      </c>
      <c r="E33870" s="2">
        <v>4529987</v>
      </c>
      <c r="F33870" s="4" t="str">
        <f>IF(B33870=B33869,"",B33870)</f>
        <v>Bartlesville</v>
      </c>
    </row>
    <row r="33871" spans="1:6" ht="15.75" customHeight="1">
      <c r="A33871" s="16" t="str">
        <f ca="1">IFERROR(__xludf.DUMMYFUNCTION("GOOGLETRANSLATE(B42212,""en"",""pt"")"),"Bartın")</f>
        <v>Bartın</v>
      </c>
      <c r="B33871" s="20" t="s">
        <v>35963</v>
      </c>
      <c r="C33871" s="20" t="s">
        <v>26201</v>
      </c>
      <c r="D33871" s="20" t="s">
        <v>35963</v>
      </c>
      <c r="E33871" s="10">
        <v>751057</v>
      </c>
      <c r="F33871" s="4" t="str">
        <f>IF(B33871=B33870,"",B33871)</f>
        <v>Bartın</v>
      </c>
    </row>
    <row r="33872" spans="1:6" ht="15.75" customHeight="1">
      <c r="A33872" s="15" t="s">
        <v>26375</v>
      </c>
      <c r="B33872" s="15" t="s">
        <v>26376</v>
      </c>
      <c r="C33872" s="15" t="s">
        <v>26201</v>
      </c>
      <c r="D33872" s="15" t="s">
        <v>26376</v>
      </c>
      <c r="E33872" s="2">
        <v>751057</v>
      </c>
      <c r="F33872" s="4" t="e">
        <f>IF(B33872=#REF!,"",B33872)</f>
        <v>#REF!</v>
      </c>
    </row>
    <row r="33873" spans="1:6" ht="15.75" customHeight="1">
      <c r="A33873" s="16" t="s">
        <v>27953</v>
      </c>
      <c r="B33873" s="15" t="s">
        <v>27954</v>
      </c>
      <c r="C33873" s="16" t="s">
        <v>27788</v>
      </c>
      <c r="D33873" s="16" t="s">
        <v>27801</v>
      </c>
      <c r="E33873" s="2">
        <v>5326305</v>
      </c>
      <c r="F33873" s="4" t="e">
        <f>IF(B33873=#REF!,"",B33873)</f>
        <v>#REF!</v>
      </c>
    </row>
    <row r="33874" spans="1:6" ht="15.75" customHeight="1">
      <c r="A33874" s="15" t="s">
        <v>27952</v>
      </c>
      <c r="B33874" s="15" t="s">
        <v>27952</v>
      </c>
      <c r="C33874" s="15" t="s">
        <v>27788</v>
      </c>
      <c r="D33874" s="15" t="s">
        <v>27801</v>
      </c>
      <c r="E33874" s="2">
        <v>5326297</v>
      </c>
      <c r="F33874" s="4" t="str">
        <f>IF(B33874=B33873,"",B33874)</f>
        <v>Barstow</v>
      </c>
    </row>
    <row r="33875" spans="1:6" ht="15.75" customHeight="1">
      <c r="A33875" s="16" t="str">
        <f ca="1">IFERROR(__xludf.DUMMYFUNCTION("GOOGLETRANSLATE(B33933,""en"",""pt"")"),"Bārsi")</f>
        <v>Bārsi</v>
      </c>
      <c r="B33875" s="20" t="s">
        <v>33937</v>
      </c>
      <c r="C33875" s="20" t="s">
        <v>10178</v>
      </c>
      <c r="D33875" s="20" t="s">
        <v>10214</v>
      </c>
      <c r="E33875" s="10">
        <v>1276856</v>
      </c>
      <c r="F33875" s="4" t="e">
        <f>IF(B33875=#REF!,"",B33875)</f>
        <v>#REF!</v>
      </c>
    </row>
    <row r="33876" spans="1:6" ht="15.75" customHeight="1">
      <c r="A33876" s="15" t="s">
        <v>27284</v>
      </c>
      <c r="B33876" s="15" t="s">
        <v>27284</v>
      </c>
      <c r="C33876" s="15" t="s">
        <v>27234</v>
      </c>
      <c r="D33876" s="15" t="s">
        <v>27235</v>
      </c>
      <c r="E33876" s="2">
        <v>2656235</v>
      </c>
      <c r="F33876" s="4" t="e">
        <f>IF(B33876=#REF!,"",B33876)</f>
        <v>#REF!</v>
      </c>
    </row>
    <row r="33877" spans="1:6" ht="15.75" customHeight="1">
      <c r="A33877" s="16" t="s">
        <v>27282</v>
      </c>
      <c r="B33877" s="15" t="s">
        <v>27283</v>
      </c>
      <c r="C33877" s="16" t="s">
        <v>27234</v>
      </c>
      <c r="D33877" s="16" t="s">
        <v>27241</v>
      </c>
      <c r="E33877" s="2">
        <v>2656241</v>
      </c>
      <c r="F33877" s="4" t="e">
        <f>IF(B33877=#REF!,"",B33877)</f>
        <v>#REF!</v>
      </c>
    </row>
    <row r="33878" spans="1:6" ht="15.75" customHeight="1">
      <c r="A33878" s="15" t="s">
        <v>2099</v>
      </c>
      <c r="B33878" s="15" t="s">
        <v>2099</v>
      </c>
      <c r="C33878" s="15" t="s">
        <v>1905</v>
      </c>
      <c r="D33878" s="15" t="s">
        <v>1917</v>
      </c>
      <c r="E33878" s="2">
        <v>3470369</v>
      </c>
      <c r="F33878" s="4" t="e">
        <f>IF(B33878=#REF!,"",B33878)</f>
        <v>#REF!</v>
      </c>
    </row>
    <row r="33879" spans="1:6" ht="15.75" customHeight="1">
      <c r="A33879" s="15" t="s">
        <v>2098</v>
      </c>
      <c r="B33879" s="15" t="s">
        <v>2098</v>
      </c>
      <c r="C33879" s="15" t="s">
        <v>1905</v>
      </c>
      <c r="D33879" s="15" t="s">
        <v>1914</v>
      </c>
      <c r="E33879" s="2">
        <v>3470428</v>
      </c>
      <c r="F33879" s="4" t="e">
        <f>IF(B33879=#REF!,"",B33879)</f>
        <v>#REF!</v>
      </c>
    </row>
    <row r="33880" spans="1:6" ht="15.75" customHeight="1">
      <c r="A33880" s="16" t="s">
        <v>27950</v>
      </c>
      <c r="B33880" s="15" t="s">
        <v>27950</v>
      </c>
      <c r="C33880" s="16" t="s">
        <v>27788</v>
      </c>
      <c r="D33880" s="16" t="s">
        <v>27951</v>
      </c>
      <c r="E33880" s="2">
        <v>5220798</v>
      </c>
      <c r="F33880" s="4" t="e">
        <f>IF(B33880=#REF!,"",B33880)</f>
        <v>#REF!</v>
      </c>
    </row>
    <row r="33881" spans="1:6" ht="15.75" customHeight="1">
      <c r="A33881" s="15" t="s">
        <v>3988</v>
      </c>
      <c r="B33881" s="15" t="s">
        <v>3988</v>
      </c>
      <c r="C33881" s="15" t="s">
        <v>3975</v>
      </c>
      <c r="D33881" s="15" t="s">
        <v>3980</v>
      </c>
      <c r="E33881" s="2">
        <v>5894171</v>
      </c>
      <c r="F33881" s="4" t="e">
        <f>IF(B33881=#REF!,"",B33881)</f>
        <v>#REF!</v>
      </c>
    </row>
    <row r="33882" spans="1:6" ht="15.75" customHeight="1">
      <c r="A33882" s="15" t="s">
        <v>27281</v>
      </c>
      <c r="B33882" s="15" t="s">
        <v>27281</v>
      </c>
      <c r="C33882" s="15" t="s">
        <v>27234</v>
      </c>
      <c r="D33882" s="15" t="s">
        <v>27237</v>
      </c>
      <c r="E33882" s="2">
        <v>2656258</v>
      </c>
      <c r="F33882" s="4" t="e">
        <f>IF(B33882=#REF!,"",B33882)</f>
        <v>#REF!</v>
      </c>
    </row>
    <row r="33883" spans="1:6" ht="15.75" customHeight="1">
      <c r="A33883" s="15" t="s">
        <v>2097</v>
      </c>
      <c r="B33883" s="15" t="s">
        <v>2097</v>
      </c>
      <c r="C33883" s="15" t="s">
        <v>1905</v>
      </c>
      <c r="D33883" s="15" t="s">
        <v>1914</v>
      </c>
      <c r="E33883" s="2">
        <v>3470451</v>
      </c>
      <c r="F33883" s="4" t="e">
        <f>IF(B33883=#REF!,"",B33883)</f>
        <v>#REF!</v>
      </c>
    </row>
    <row r="33884" spans="1:6" ht="15.75" customHeight="1">
      <c r="A33884" s="15" t="s">
        <v>2095</v>
      </c>
      <c r="B33884" s="15" t="s">
        <v>2096</v>
      </c>
      <c r="C33884" s="15" t="s">
        <v>1905</v>
      </c>
      <c r="D33884" s="15" t="s">
        <v>1909</v>
      </c>
      <c r="E33884" s="2">
        <v>3406160</v>
      </c>
      <c r="F33884" s="4" t="str">
        <f>IF(B33884=B33883,"",B33884)</f>
        <v>Barreiros</v>
      </c>
    </row>
    <row r="33885" spans="1:6" ht="15.75" customHeight="1">
      <c r="A33885" s="16" t="str">
        <f ca="1">IFERROR(__xludf.DUMMYFUNCTION("GOOGLETRANSLATE(B25228,""en"",""pt"")"),"Barreiro do Jaíba")</f>
        <v>Barreiro do Jaíba</v>
      </c>
      <c r="B33885" s="20" t="s">
        <v>31711</v>
      </c>
      <c r="C33885" s="20" t="s">
        <v>1905</v>
      </c>
      <c r="D33885" s="20" t="s">
        <v>1917</v>
      </c>
      <c r="E33885" s="10">
        <v>3470470</v>
      </c>
      <c r="F33885" s="4" t="str">
        <f>IF(B33885=B33884,"",B33885)</f>
        <v>Barreiro do Jaíba</v>
      </c>
    </row>
    <row r="33886" spans="1:6" ht="15.75" customHeight="1">
      <c r="A33886" s="16" t="s">
        <v>2093</v>
      </c>
      <c r="B33886" s="15" t="s">
        <v>2094</v>
      </c>
      <c r="C33886" s="16" t="s">
        <v>1905</v>
      </c>
      <c r="D33886" s="16" t="s">
        <v>1917</v>
      </c>
      <c r="E33886" s="2">
        <v>3470470</v>
      </c>
      <c r="F33886" s="4" t="e">
        <f>IF(B33886=#REF!,"",B33886)</f>
        <v>#REF!</v>
      </c>
    </row>
    <row r="33887" spans="1:6" ht="15.75" customHeight="1">
      <c r="A33887" s="15" t="s">
        <v>21627</v>
      </c>
      <c r="B33887" s="15" t="s">
        <v>21628</v>
      </c>
      <c r="C33887" s="15" t="s">
        <v>21606</v>
      </c>
      <c r="D33887" s="15" t="s">
        <v>21620</v>
      </c>
      <c r="E33887" s="2">
        <v>2271071</v>
      </c>
      <c r="F33887" s="4" t="e">
        <f>IF(B33887=#REF!,"",B33887)</f>
        <v>#REF!</v>
      </c>
    </row>
    <row r="33888" spans="1:6" ht="15.75" customHeight="1">
      <c r="A33888" s="16" t="s">
        <v>2092</v>
      </c>
      <c r="B33888" s="15" t="s">
        <v>2092</v>
      </c>
      <c r="C33888" s="16" t="s">
        <v>1905</v>
      </c>
      <c r="D33888" s="16" t="s">
        <v>2024</v>
      </c>
      <c r="E33888" s="2">
        <v>3406196</v>
      </c>
      <c r="F33888" s="4" t="e">
        <f>IF(B33888=#REF!,"",B33888)</f>
        <v>#REF!</v>
      </c>
    </row>
    <row r="33889" spans="1:6" ht="15.75" customHeight="1">
      <c r="A33889" s="15" t="s">
        <v>2091</v>
      </c>
      <c r="B33889" s="15" t="s">
        <v>2091</v>
      </c>
      <c r="C33889" s="15" t="s">
        <v>1905</v>
      </c>
      <c r="D33889" s="15" t="s">
        <v>1947</v>
      </c>
      <c r="E33889" s="2">
        <v>3470583</v>
      </c>
      <c r="F33889" s="4" t="e">
        <f>IF(B33889=#REF!,"",B33889)</f>
        <v>#REF!</v>
      </c>
    </row>
    <row r="33890" spans="1:6" ht="15.75" customHeight="1">
      <c r="A33890" s="15" t="s">
        <v>2090</v>
      </c>
      <c r="B33890" s="15" t="s">
        <v>2090</v>
      </c>
      <c r="C33890" s="15" t="s">
        <v>1905</v>
      </c>
      <c r="D33890" s="15" t="s">
        <v>1960</v>
      </c>
      <c r="E33890" s="2">
        <v>3406263</v>
      </c>
      <c r="F33890" s="4" t="e">
        <f>IF(B33890=#REF!,"",B33890)</f>
        <v>#REF!</v>
      </c>
    </row>
    <row r="33891" spans="1:6" ht="15.75" customHeight="1">
      <c r="A33891" s="16" t="s">
        <v>5384</v>
      </c>
      <c r="B33891" s="15" t="s">
        <v>5384</v>
      </c>
      <c r="C33891" s="16" t="s">
        <v>5348</v>
      </c>
      <c r="D33891" s="16" t="s">
        <v>5378</v>
      </c>
      <c r="E33891" s="2">
        <v>3689147</v>
      </c>
      <c r="F33891" s="4" t="e">
        <f>IF(B33891=#REF!,"",B33891)</f>
        <v>#REF!</v>
      </c>
    </row>
    <row r="33892" spans="1:6" ht="15.75" customHeight="1">
      <c r="A33892" s="16" t="s">
        <v>585</v>
      </c>
      <c r="B33892" s="15" t="s">
        <v>585</v>
      </c>
      <c r="C33892" s="16" t="s">
        <v>558</v>
      </c>
      <c r="D33892" s="16" t="s">
        <v>586</v>
      </c>
      <c r="E33892" s="2">
        <v>3436124</v>
      </c>
      <c r="F33892" s="4" t="e">
        <f>IF(B33892=#REF!,"",B33892)</f>
        <v>#REF!</v>
      </c>
    </row>
    <row r="33893" spans="1:6" ht="15.75" customHeight="1">
      <c r="A33893" s="15" t="s">
        <v>5382</v>
      </c>
      <c r="B33893" s="15" t="s">
        <v>5382</v>
      </c>
      <c r="C33893" s="15" t="s">
        <v>5348</v>
      </c>
      <c r="D33893" s="15" t="s">
        <v>5383</v>
      </c>
      <c r="E33893" s="2">
        <v>3689162</v>
      </c>
      <c r="F33893" s="4" t="e">
        <f>IF(B33893=#REF!,"",B33893)</f>
        <v>#REF!</v>
      </c>
    </row>
    <row r="33894" spans="1:6" ht="15.75" customHeight="1">
      <c r="A33894" s="16" t="s">
        <v>5381</v>
      </c>
      <c r="B33894" s="15" t="s">
        <v>5381</v>
      </c>
      <c r="C33894" s="16" t="s">
        <v>5348</v>
      </c>
      <c r="D33894" s="16" t="s">
        <v>5380</v>
      </c>
      <c r="E33894" s="2">
        <v>3689169</v>
      </c>
      <c r="F33894" s="4" t="e">
        <f>IF(B33894=#REF!,"",B33894)</f>
        <v>#REF!</v>
      </c>
    </row>
    <row r="33895" spans="1:6" ht="15.75" customHeight="1">
      <c r="A33895" s="15" t="s">
        <v>20478</v>
      </c>
      <c r="B33895" s="15" t="s">
        <v>20478</v>
      </c>
      <c r="C33895" s="15" t="s">
        <v>20470</v>
      </c>
      <c r="D33895" s="15" t="s">
        <v>20479</v>
      </c>
      <c r="E33895" s="2">
        <v>3946820</v>
      </c>
      <c r="F33895" s="4" t="e">
        <f>IF(B33895=#REF!,"",B33895)</f>
        <v>#REF!</v>
      </c>
    </row>
    <row r="33896" spans="1:6" ht="15.75" customHeight="1">
      <c r="A33896" s="16" t="s">
        <v>2088</v>
      </c>
      <c r="B33896" s="15" t="s">
        <v>2089</v>
      </c>
      <c r="C33896" s="16" t="s">
        <v>1905</v>
      </c>
      <c r="D33896" s="16" t="s">
        <v>2020</v>
      </c>
      <c r="E33896" s="2">
        <v>3470597</v>
      </c>
      <c r="F33896" s="4" t="e">
        <f>IF(B33896=#REF!,"",B33896)</f>
        <v>#REF!</v>
      </c>
    </row>
    <row r="33897" spans="1:6" ht="15.75" customHeight="1">
      <c r="A33897" s="16" t="s">
        <v>2087</v>
      </c>
      <c r="B33897" s="15" t="s">
        <v>2087</v>
      </c>
      <c r="C33897" s="16" t="s">
        <v>1905</v>
      </c>
      <c r="D33897" s="16" t="s">
        <v>1978</v>
      </c>
      <c r="E33897" s="2">
        <v>3470636</v>
      </c>
      <c r="F33897" s="4" t="e">
        <f>IF(B33897=#REF!,"",B33897)</f>
        <v>#REF!</v>
      </c>
    </row>
    <row r="33898" spans="1:6" ht="15.75" customHeight="1">
      <c r="A33898" s="16" t="s">
        <v>2086</v>
      </c>
      <c r="B33898" s="15" t="s">
        <v>2086</v>
      </c>
      <c r="C33898" s="16" t="s">
        <v>1905</v>
      </c>
      <c r="D33898" s="16" t="s">
        <v>2002</v>
      </c>
      <c r="E33898" s="2">
        <v>3470674</v>
      </c>
      <c r="F33898" s="4" t="str">
        <f>IF(B33898=B33897,"",B33898)</f>
        <v>Barra dos Coqueiros</v>
      </c>
    </row>
    <row r="33899" spans="1:6" ht="15.75" customHeight="1">
      <c r="A33899" s="16" t="str">
        <f ca="1">IFERROR(__xludf.DUMMYFUNCTION("GOOGLETRANSLATE(B25233,""en"",""pt"")"),"Barra do Piraí")</f>
        <v>Barra do Piraí</v>
      </c>
      <c r="B33899" s="20" t="s">
        <v>31712</v>
      </c>
      <c r="C33899" s="20" t="s">
        <v>1905</v>
      </c>
      <c r="D33899" s="20" t="s">
        <v>1978</v>
      </c>
      <c r="E33899" s="10">
        <v>3470691</v>
      </c>
      <c r="F33899" s="4" t="str">
        <f>IF(B33899=B33898,"",B33899)</f>
        <v>Barra do Piraí</v>
      </c>
    </row>
    <row r="33900" spans="1:6" ht="15.75" customHeight="1">
      <c r="A33900" s="16" t="s">
        <v>2084</v>
      </c>
      <c r="B33900" s="15" t="s">
        <v>2085</v>
      </c>
      <c r="C33900" s="16" t="s">
        <v>1905</v>
      </c>
      <c r="D33900" s="16" t="s">
        <v>1978</v>
      </c>
      <c r="E33900" s="2">
        <v>3470691</v>
      </c>
      <c r="F33900" s="4" t="str">
        <f>IF(B33900=B33899,"",B33900)</f>
        <v>Barra do PiraÃ­</v>
      </c>
    </row>
    <row r="33901" spans="1:6" ht="15.75" customHeight="1">
      <c r="A33901" s="16" t="str">
        <f ca="1">IFERROR(__xludf.DUMMYFUNCTION("GOOGLETRANSLATE(B25234,""en"",""pt"")"),"Barra do Garças")</f>
        <v>Barra do Garças</v>
      </c>
      <c r="B33901" s="20" t="s">
        <v>31713</v>
      </c>
      <c r="C33901" s="20" t="s">
        <v>1905</v>
      </c>
      <c r="D33901" s="20" t="s">
        <v>2036</v>
      </c>
      <c r="E33901" s="10">
        <v>3470709</v>
      </c>
      <c r="F33901" s="4" t="str">
        <f>IF(B33901=B33900,"",B33901)</f>
        <v>Barra do Garças</v>
      </c>
    </row>
    <row r="33902" spans="1:6" ht="15.75" customHeight="1">
      <c r="A33902" s="16" t="s">
        <v>2082</v>
      </c>
      <c r="B33902" s="15" t="s">
        <v>2083</v>
      </c>
      <c r="C33902" s="16" t="s">
        <v>1905</v>
      </c>
      <c r="D33902" s="16" t="s">
        <v>2036</v>
      </c>
      <c r="E33902" s="2">
        <v>3470709</v>
      </c>
      <c r="F33902" s="4" t="e">
        <f>IF(B33902=#REF!,"",B33902)</f>
        <v>#REF!</v>
      </c>
    </row>
    <row r="33903" spans="1:6" ht="15.75" customHeight="1">
      <c r="A33903" s="16" t="s">
        <v>2080</v>
      </c>
      <c r="B33903" s="15" t="s">
        <v>2081</v>
      </c>
      <c r="C33903" s="16" t="s">
        <v>1905</v>
      </c>
      <c r="D33903" s="16" t="s">
        <v>2024</v>
      </c>
      <c r="E33903" s="2">
        <v>3406318</v>
      </c>
      <c r="F33903" s="4" t="e">
        <f>IF(B33903=#REF!,"",B33903)</f>
        <v>#REF!</v>
      </c>
    </row>
    <row r="33904" spans="1:6" ht="15.75" customHeight="1">
      <c r="A33904" s="16" t="s">
        <v>2078</v>
      </c>
      <c r="B33904" s="15" t="s">
        <v>2079</v>
      </c>
      <c r="C33904" s="16" t="s">
        <v>1905</v>
      </c>
      <c r="D33904" s="16" t="s">
        <v>2036</v>
      </c>
      <c r="E33904" s="2">
        <v>3470718</v>
      </c>
      <c r="F33904" s="4" t="str">
        <f>IF(B33904=B33903,"",B33904)</f>
        <v>Barra do Bugres</v>
      </c>
    </row>
    <row r="33905" spans="1:6" ht="15.75" customHeight="1">
      <c r="A33905" s="16" t="str">
        <f ca="1">IFERROR(__xludf.DUMMYFUNCTION("GOOGLETRANSLATE(B25236,""en"",""pt"")"),"Barra de São Francisco")</f>
        <v>Barra de São Francisco</v>
      </c>
      <c r="B33905" s="20" t="s">
        <v>31714</v>
      </c>
      <c r="C33905" s="20" t="s">
        <v>1905</v>
      </c>
      <c r="D33905" s="20" t="s">
        <v>31426</v>
      </c>
      <c r="E33905" s="10">
        <v>3470730</v>
      </c>
      <c r="F33905" s="4" t="str">
        <f>IF(B33905=B33904,"",B33905)</f>
        <v>Barra de São Francisco</v>
      </c>
    </row>
    <row r="33906" spans="1:6" ht="15.75" customHeight="1">
      <c r="A33906" s="16" t="s">
        <v>2076</v>
      </c>
      <c r="B33906" s="15" t="s">
        <v>2077</v>
      </c>
      <c r="C33906" s="16" t="s">
        <v>1905</v>
      </c>
      <c r="D33906" s="16" t="s">
        <v>1949</v>
      </c>
      <c r="E33906" s="2">
        <v>3470730</v>
      </c>
      <c r="F33906" s="4" t="e">
        <f>IF(B33906=#REF!,"",B33906)</f>
        <v>#REF!</v>
      </c>
    </row>
    <row r="33907" spans="1:6" ht="15.75" customHeight="1">
      <c r="A33907" s="16" t="s">
        <v>2075</v>
      </c>
      <c r="B33907" s="15" t="s">
        <v>2075</v>
      </c>
      <c r="C33907" s="16" t="s">
        <v>1905</v>
      </c>
      <c r="D33907" s="16" t="s">
        <v>1914</v>
      </c>
      <c r="E33907" s="2">
        <v>3470776</v>
      </c>
      <c r="F33907" s="4" t="e">
        <f>IF(B33907=#REF!,"",B33907)</f>
        <v>#REF!</v>
      </c>
    </row>
    <row r="33908" spans="1:6" ht="15.75" customHeight="1">
      <c r="A33908" s="15" t="s">
        <v>2074</v>
      </c>
      <c r="B33908" s="15" t="s">
        <v>2074</v>
      </c>
      <c r="C33908" s="15" t="s">
        <v>1905</v>
      </c>
      <c r="D33908" s="15" t="s">
        <v>1947</v>
      </c>
      <c r="E33908" s="2">
        <v>3470821</v>
      </c>
      <c r="F33908" s="4" t="e">
        <f>IF(B33908=#REF!,"",B33908)</f>
        <v>#REF!</v>
      </c>
    </row>
    <row r="33909" spans="1:6" ht="15.75" customHeight="1">
      <c r="A33909" s="16" t="s">
        <v>30644</v>
      </c>
      <c r="B33909" s="15" t="s">
        <v>30645</v>
      </c>
      <c r="C33909" s="16" t="s">
        <v>5923</v>
      </c>
      <c r="D33909" s="16" t="s">
        <v>1011</v>
      </c>
      <c r="E33909" s="2">
        <v>3648522</v>
      </c>
      <c r="F33909" s="4" t="e">
        <f>IF(B33909=#REF!,"",B33909)</f>
        <v>#REF!</v>
      </c>
    </row>
    <row r="33910" spans="1:6" ht="15.75" customHeight="1">
      <c r="A33910" s="16" t="s">
        <v>10621</v>
      </c>
      <c r="B33910" s="15" t="s">
        <v>10622</v>
      </c>
      <c r="C33910" s="16" t="s">
        <v>10178</v>
      </c>
      <c r="D33910" s="16" t="s">
        <v>10239</v>
      </c>
      <c r="E33910" s="2">
        <v>7302849</v>
      </c>
      <c r="F33910" s="4" t="e">
        <f>IF(B33910=#REF!,"",B33910)</f>
        <v>#REF!</v>
      </c>
    </row>
    <row r="33911" spans="1:6" ht="15.75" customHeight="1">
      <c r="A33911" s="15" t="s">
        <v>10620</v>
      </c>
      <c r="B33911" s="15" t="s">
        <v>10620</v>
      </c>
      <c r="C33911" s="15" t="s">
        <v>10178</v>
      </c>
      <c r="D33911" s="15" t="s">
        <v>10239</v>
      </c>
      <c r="E33911" s="2">
        <v>1276867</v>
      </c>
      <c r="F33911" s="4" t="str">
        <f>IF(B33911=B33910,"",B33911)</f>
        <v>Barpeta</v>
      </c>
    </row>
    <row r="33912" spans="1:6" ht="15.75" customHeight="1">
      <c r="A33912" s="16" t="str">
        <f ca="1">IFERROR(__xludf.DUMMYFUNCTION("GOOGLETRANSLATE(B33935,""en"",""pt"")"),"Barpāli")</f>
        <v>Barpāli</v>
      </c>
      <c r="B33912" s="20" t="s">
        <v>33938</v>
      </c>
      <c r="C33912" s="20" t="s">
        <v>10178</v>
      </c>
      <c r="D33912" s="20" t="s">
        <v>10229</v>
      </c>
      <c r="E33912" s="10">
        <v>1276870</v>
      </c>
      <c r="F33912" s="4" t="str">
        <f>IF(B33912=B33911,"",B33912)</f>
        <v>Barpāli</v>
      </c>
    </row>
    <row r="33913" spans="1:6" ht="15.75" customHeight="1">
      <c r="A33913" s="15" t="s">
        <v>10618</v>
      </c>
      <c r="B33913" s="15" t="s">
        <v>10619</v>
      </c>
      <c r="C33913" s="15" t="s">
        <v>10178</v>
      </c>
      <c r="D33913" s="15" t="s">
        <v>10229</v>
      </c>
      <c r="E33913" s="2">
        <v>1276870</v>
      </c>
      <c r="F33913" s="4" t="e">
        <f>IF(B33913=#REF!,"",B33913)</f>
        <v>#REF!</v>
      </c>
    </row>
    <row r="33914" spans="1:6" ht="15.75" customHeight="1">
      <c r="A33914" s="15" t="s">
        <v>19339</v>
      </c>
      <c r="B33914" s="15" t="s">
        <v>19339</v>
      </c>
      <c r="C33914" s="15" t="s">
        <v>19294</v>
      </c>
      <c r="D33914" s="15" t="s">
        <v>19259</v>
      </c>
      <c r="E33914" s="2">
        <v>2347592</v>
      </c>
      <c r="F33914" s="4" t="e">
        <f>IF(B33914=#REF!,"",B33914)</f>
        <v>#REF!</v>
      </c>
    </row>
    <row r="33915" spans="1:6" ht="15.75" customHeight="1">
      <c r="A33915" s="16" t="s">
        <v>27280</v>
      </c>
      <c r="B33915" s="15" t="s">
        <v>27280</v>
      </c>
      <c r="C33915" s="16" t="s">
        <v>27234</v>
      </c>
      <c r="D33915" s="16" t="s">
        <v>27241</v>
      </c>
      <c r="E33915" s="2">
        <v>2656281</v>
      </c>
      <c r="F33915" s="4" t="e">
        <f>IF(B33915=#REF!,"",B33915)</f>
        <v>#REF!</v>
      </c>
    </row>
    <row r="33916" spans="1:6" ht="15.75" customHeight="1">
      <c r="A33916" s="16" t="s">
        <v>27949</v>
      </c>
      <c r="B33916" s="15" t="s">
        <v>27949</v>
      </c>
      <c r="C33916" s="16" t="s">
        <v>27788</v>
      </c>
      <c r="D33916" s="16" t="s">
        <v>27794</v>
      </c>
      <c r="E33916" s="2">
        <v>4929771</v>
      </c>
      <c r="F33916" s="4" t="e">
        <f>IF(B33916=#REF!,"",B33916)</f>
        <v>#REF!</v>
      </c>
    </row>
    <row r="33917" spans="1:6" ht="15.75" customHeight="1">
      <c r="A33917" s="15" t="s">
        <v>27279</v>
      </c>
      <c r="B33917" s="15" t="s">
        <v>27279</v>
      </c>
      <c r="C33917" s="15" t="s">
        <v>27234</v>
      </c>
      <c r="D33917" s="15" t="s">
        <v>27241</v>
      </c>
      <c r="E33917" s="2">
        <v>2656284</v>
      </c>
      <c r="F33917" s="4" t="e">
        <f>IF(B33917=#REF!,"",B33917)</f>
        <v>#REF!</v>
      </c>
    </row>
    <row r="33918" spans="1:6" ht="15.75" customHeight="1">
      <c r="A33918" s="16" t="s">
        <v>18891</v>
      </c>
      <c r="B33918" s="15" t="s">
        <v>18891</v>
      </c>
      <c r="C33918" s="16" t="s">
        <v>18862</v>
      </c>
      <c r="D33918" s="16" t="s">
        <v>18865</v>
      </c>
      <c r="E33918" s="2">
        <v>2759407</v>
      </c>
      <c r="F33918" s="4" t="e">
        <f>IF(B33918=#REF!,"",B33918)</f>
        <v>#REF!</v>
      </c>
    </row>
    <row r="33919" spans="1:6" ht="15.75" customHeight="1">
      <c r="A33919" s="15" t="s">
        <v>27278</v>
      </c>
      <c r="B33919" s="15" t="s">
        <v>27278</v>
      </c>
      <c r="C33919" s="15" t="s">
        <v>27234</v>
      </c>
      <c r="D33919" s="15" t="s">
        <v>27241</v>
      </c>
      <c r="E33919" s="2">
        <v>2656295</v>
      </c>
      <c r="F33919" s="4" t="e">
        <f>IF(B33919=#REF!,"",B33919)</f>
        <v>#REF!</v>
      </c>
    </row>
    <row r="33920" spans="1:6" ht="15.75" customHeight="1">
      <c r="A33920" s="15" t="s">
        <v>22193</v>
      </c>
      <c r="B33920" s="15" t="s">
        <v>22193</v>
      </c>
      <c r="C33920" s="15" t="s">
        <v>22070</v>
      </c>
      <c r="D33920" s="15" t="s">
        <v>22124</v>
      </c>
      <c r="E33920" s="2">
        <v>1510853</v>
      </c>
      <c r="F33920" s="4" t="str">
        <f>IF(B33920=B33919,"",B33920)</f>
        <v>Barnaul</v>
      </c>
    </row>
    <row r="33921" spans="1:6" ht="15.75" customHeight="1">
      <c r="A33921" s="16" t="str">
        <f ca="1">IFERROR(__xludf.DUMMYFUNCTION("GOOGLETRANSLATE(B33936,""en"",""pt"")"),"Barnāla")</f>
        <v>Barnāla</v>
      </c>
      <c r="B33921" s="20" t="s">
        <v>33939</v>
      </c>
      <c r="C33921" s="20" t="s">
        <v>10178</v>
      </c>
      <c r="D33921" s="20" t="s">
        <v>10184</v>
      </c>
      <c r="E33921" s="10">
        <v>1276895</v>
      </c>
      <c r="F33921" s="4" t="str">
        <f>IF(B33921=B33920,"",B33921)</f>
        <v>Barnāla</v>
      </c>
    </row>
    <row r="33922" spans="1:6" ht="15.75" customHeight="1">
      <c r="A33922" s="15" t="s">
        <v>10616</v>
      </c>
      <c r="B33922" s="15" t="s">
        <v>10617</v>
      </c>
      <c r="C33922" s="15" t="s">
        <v>10178</v>
      </c>
      <c r="D33922" s="15" t="s">
        <v>10184</v>
      </c>
      <c r="E33922" s="2">
        <v>1276895</v>
      </c>
      <c r="F33922" s="4" t="str">
        <f>IF(B33922=B33921,"",B33922)</f>
        <v>BarnÄla</v>
      </c>
    </row>
    <row r="33923" spans="1:6" ht="15.75" customHeight="1">
      <c r="A33923" s="16" t="str">
        <f ca="1">IFERROR(__xludf.DUMMYFUNCTION("GOOGLETRANSLATE(B33937,""en"",""pt"")"),"Bārmer")</f>
        <v>Bārmer</v>
      </c>
      <c r="B33923" s="20" t="s">
        <v>33940</v>
      </c>
      <c r="C33923" s="20" t="s">
        <v>10178</v>
      </c>
      <c r="D33923" s="20" t="s">
        <v>10179</v>
      </c>
      <c r="E33923" s="10">
        <v>1276901</v>
      </c>
      <c r="F33923" s="4" t="e">
        <f>IF(B33923=#REF!,"",B33923)</f>
        <v>#REF!</v>
      </c>
    </row>
    <row r="33924" spans="1:6" ht="15.75" customHeight="1">
      <c r="A33924" s="16" t="s">
        <v>8170</v>
      </c>
      <c r="B33924" s="15" t="s">
        <v>8170</v>
      </c>
      <c r="C33924" s="16" t="s">
        <v>8028</v>
      </c>
      <c r="D33924" s="16" t="s">
        <v>8059</v>
      </c>
      <c r="E33924" s="2">
        <v>7932342</v>
      </c>
      <c r="F33924" s="4" t="e">
        <f>IF(B33924=#REF!,"",B33924)</f>
        <v>#REF!</v>
      </c>
    </row>
    <row r="33925" spans="1:6" ht="15.75" customHeight="1">
      <c r="A33925" s="15" t="s">
        <v>14965</v>
      </c>
      <c r="B33925" s="15" t="s">
        <v>14965</v>
      </c>
      <c r="C33925" s="15" t="s">
        <v>14891</v>
      </c>
      <c r="D33925" s="15" t="s">
        <v>14908</v>
      </c>
      <c r="E33925" s="2">
        <v>3182340</v>
      </c>
      <c r="F33925" s="4" t="e">
        <f>IF(B33925=#REF!,"",B33925)</f>
        <v>#REF!</v>
      </c>
    </row>
    <row r="33926" spans="1:6" ht="15.75" customHeight="1">
      <c r="A33926" s="16" t="s">
        <v>7150</v>
      </c>
      <c r="B33926" s="15" t="s">
        <v>7151</v>
      </c>
      <c r="C33926" s="16" t="s">
        <v>7052</v>
      </c>
      <c r="D33926" s="16" t="s">
        <v>7061</v>
      </c>
      <c r="E33926" s="2">
        <v>3034911</v>
      </c>
      <c r="F33926" s="4" t="str">
        <f>IF(B33926=B33925,"",B33926)</f>
        <v>Bar-le-Duc</v>
      </c>
    </row>
    <row r="33927" spans="1:6" ht="15.75" customHeight="1">
      <c r="A33927" s="16" t="str">
        <f ca="1">IFERROR(__xludf.DUMMYFUNCTION("GOOGLETRANSLATE(B39834,""en"",""pt"")"),"Bârlad")</f>
        <v>Bârlad</v>
      </c>
      <c r="B33927" s="20" t="s">
        <v>35406</v>
      </c>
      <c r="C33927" s="20" t="s">
        <v>21824</v>
      </c>
      <c r="D33927" s="20" t="s">
        <v>21835</v>
      </c>
      <c r="E33927" s="10">
        <v>684802</v>
      </c>
      <c r="F33927" s="4" t="e">
        <f>IF(B33927=#REF!,"",B33927)</f>
        <v>#REF!</v>
      </c>
    </row>
    <row r="33928" spans="1:6" ht="15.75" customHeight="1">
      <c r="A33928" s="15" t="s">
        <v>27276</v>
      </c>
      <c r="B33928" s="15" t="s">
        <v>27277</v>
      </c>
      <c r="C33928" s="15" t="s">
        <v>27234</v>
      </c>
      <c r="D33928" s="15" t="s">
        <v>27241</v>
      </c>
      <c r="E33928" s="2">
        <v>2656333</v>
      </c>
      <c r="F33928" s="4" t="e">
        <f>IF(B33928=#REF!,"",B33928)</f>
        <v>#REF!</v>
      </c>
    </row>
    <row r="33929" spans="1:6" ht="15.75" customHeight="1">
      <c r="A33929" s="16" t="s">
        <v>10615</v>
      </c>
      <c r="B33929" s="15" t="s">
        <v>10615</v>
      </c>
      <c r="C33929" s="16" t="s">
        <v>10178</v>
      </c>
      <c r="D33929" s="16" t="s">
        <v>10430</v>
      </c>
      <c r="E33929" s="2">
        <v>1276919</v>
      </c>
      <c r="F33929" s="4" t="str">
        <f>IF(B33929=B33928,"",B33929)</f>
        <v>Barki Saria</v>
      </c>
    </row>
    <row r="33930" spans="1:6" ht="15.75" customHeight="1">
      <c r="A33930" s="16" t="s">
        <v>19780</v>
      </c>
      <c r="B33930" s="15" t="s">
        <v>19781</v>
      </c>
      <c r="C33930" s="16" t="s">
        <v>19755</v>
      </c>
      <c r="D33930" s="16" t="s">
        <v>19782</v>
      </c>
      <c r="E33930" s="2">
        <v>288789</v>
      </c>
      <c r="F33930" s="4" t="str">
        <f>IF(B33930=B33929,"",B33930)</f>
        <v>BarkÄâ€™</v>
      </c>
    </row>
    <row r="33931" spans="1:6" ht="15.75" customHeight="1">
      <c r="A33931" s="16" t="str">
        <f ca="1">IFERROR(__xludf.DUMMYFUNCTION("GOOGLETRANSLATE(B38266,""en"",""pt"")"),"Barkā '")</f>
        <v>Barkā '</v>
      </c>
      <c r="B33931" s="20" t="s">
        <v>34854</v>
      </c>
      <c r="C33931" s="20" t="s">
        <v>19755</v>
      </c>
      <c r="D33931" s="20" t="s">
        <v>19782</v>
      </c>
      <c r="E33931" s="10">
        <v>288789</v>
      </c>
      <c r="F33931" s="4" t="str">
        <f>IF(B33931=B33930,"",B33931)</f>
        <v>Barkā’</v>
      </c>
    </row>
    <row r="33932" spans="1:6" ht="15.75" customHeight="1">
      <c r="A33932" s="16" t="str">
        <f ca="1">IFERROR(__xludf.DUMMYFUNCTION("GOOGLETRANSLATE(B33939,""en"",""pt"")"),"Barka Kāna")</f>
        <v>Barka Kāna</v>
      </c>
      <c r="B33932" s="20" t="s">
        <v>33941</v>
      </c>
      <c r="C33932" s="20" t="s">
        <v>10178</v>
      </c>
      <c r="D33932" s="20" t="s">
        <v>10430</v>
      </c>
      <c r="E33932" s="10">
        <v>1276927</v>
      </c>
      <c r="F33932" s="4" t="str">
        <f>IF(B33932=B33931,"",B33932)</f>
        <v>Barka Kāna</v>
      </c>
    </row>
    <row r="33933" spans="1:6" ht="15.75" customHeight="1">
      <c r="A33933" s="16" t="s">
        <v>10613</v>
      </c>
      <c r="B33933" s="15" t="s">
        <v>10614</v>
      </c>
      <c r="C33933" s="16" t="s">
        <v>10178</v>
      </c>
      <c r="D33933" s="16" t="s">
        <v>10430</v>
      </c>
      <c r="E33933" s="2">
        <v>1276927</v>
      </c>
      <c r="F33933" s="4" t="e">
        <f>IF(B33933=#REF!,"",B33933)</f>
        <v>#REF!</v>
      </c>
    </row>
    <row r="33934" spans="1:6" ht="15.75" customHeight="1">
      <c r="A33934" s="15" t="s">
        <v>10612</v>
      </c>
      <c r="B33934" s="15" t="s">
        <v>10612</v>
      </c>
      <c r="C33934" s="15" t="s">
        <v>10178</v>
      </c>
      <c r="D33934" s="15" t="s">
        <v>10255</v>
      </c>
      <c r="E33934" s="2">
        <v>1276938</v>
      </c>
      <c r="F33934" s="4" t="str">
        <f>IF(B33934=B33933,"",B33934)</f>
        <v>Barjala</v>
      </c>
    </row>
    <row r="33935" spans="1:6" ht="15.75" customHeight="1">
      <c r="A33935" s="16" t="str">
        <f ca="1">IFERROR(__xludf.DUMMYFUNCTION("GOOGLETRANSLATE(B23775,""en"",""pt"")"),"Barisāl")</f>
        <v>Barisāl</v>
      </c>
      <c r="B33935" s="20" t="s">
        <v>31265</v>
      </c>
      <c r="C33935" s="20" t="s">
        <v>1296</v>
      </c>
      <c r="D33935" s="20" t="s">
        <v>31265</v>
      </c>
      <c r="E33935" s="10">
        <v>1336137</v>
      </c>
      <c r="F33935" s="4" t="str">
        <f>IF(B33935=B33934,"",B33935)</f>
        <v>Barisāl</v>
      </c>
    </row>
    <row r="33936" spans="1:6" ht="15.75" customHeight="1">
      <c r="A33936" s="15" t="s">
        <v>1307</v>
      </c>
      <c r="B33936" s="15" t="s">
        <v>1308</v>
      </c>
      <c r="C33936" s="15" t="s">
        <v>1296</v>
      </c>
      <c r="D33936" s="15" t="s">
        <v>1308</v>
      </c>
      <c r="E33936" s="2">
        <v>1336137</v>
      </c>
      <c r="F33936" s="4" t="e">
        <f>IF(B33936=#REF!,"",B33936)</f>
        <v>#REF!</v>
      </c>
    </row>
    <row r="33937" spans="1:6" ht="15.75" customHeight="1">
      <c r="A33937" s="15" t="s">
        <v>2073</v>
      </c>
      <c r="B33937" s="15" t="s">
        <v>2073</v>
      </c>
      <c r="C33937" s="15" t="s">
        <v>1905</v>
      </c>
      <c r="D33937" s="15" t="s">
        <v>1914</v>
      </c>
      <c r="E33937" s="2">
        <v>3470825</v>
      </c>
      <c r="F33937" s="4" t="e">
        <f>IF(B33937=#REF!,"",B33937)</f>
        <v>#REF!</v>
      </c>
    </row>
    <row r="33938" spans="1:6" ht="15.75" customHeight="1">
      <c r="A33938" s="15" t="s">
        <v>30643</v>
      </c>
      <c r="B33938" s="15" t="s">
        <v>30643</v>
      </c>
      <c r="C33938" s="15" t="s">
        <v>5923</v>
      </c>
      <c r="D33938" s="15" t="s">
        <v>30639</v>
      </c>
      <c r="E33938" s="2">
        <v>3648540</v>
      </c>
      <c r="F33938" s="4" t="e">
        <f>IF(B33938=#REF!,"",B33938)</f>
        <v>#REF!</v>
      </c>
    </row>
    <row r="33939" spans="1:6" ht="15.75" customHeight="1">
      <c r="A33939" s="15" t="s">
        <v>30639</v>
      </c>
      <c r="B33939" s="15" t="s">
        <v>30639</v>
      </c>
      <c r="C33939" s="15" t="s">
        <v>5923</v>
      </c>
      <c r="D33939" s="15" t="s">
        <v>30639</v>
      </c>
      <c r="E33939" s="2">
        <v>3648546</v>
      </c>
      <c r="F33939" s="4" t="e">
        <f>IF(B33939=#REF!,"",B33939)</f>
        <v>#REF!</v>
      </c>
    </row>
    <row r="33940" spans="1:6" ht="15.75" customHeight="1">
      <c r="A33940" s="15" t="s">
        <v>243</v>
      </c>
      <c r="B33940" s="15" t="s">
        <v>243</v>
      </c>
      <c r="C33940" s="15" t="s">
        <v>153</v>
      </c>
      <c r="D33940" s="15" t="s">
        <v>212</v>
      </c>
      <c r="E33940" s="2">
        <v>2505629</v>
      </c>
      <c r="F33940" s="4" t="e">
        <f>IF(B33940=#REF!,"",B33940)</f>
        <v>#REF!</v>
      </c>
    </row>
    <row r="33941" spans="1:6" ht="15.75" customHeight="1">
      <c r="A33941" s="15" t="s">
        <v>25565</v>
      </c>
      <c r="B33941" s="15" t="s">
        <v>25565</v>
      </c>
      <c r="C33941" s="15" t="s">
        <v>25560</v>
      </c>
      <c r="D33941" s="15" t="s">
        <v>25566</v>
      </c>
      <c r="E33941" s="2">
        <v>161218</v>
      </c>
      <c r="F33941" s="4" t="str">
        <f>IF(B33941=B33940,"",B33941)</f>
        <v>Bariadi</v>
      </c>
    </row>
    <row r="33942" spans="1:6" ht="15.75" customHeight="1">
      <c r="A33942" s="16" t="str">
        <f ca="1">IFERROR(__xludf.DUMMYFUNCTION("GOOGLETRANSLATE(B33941,""en"",""pt"")"),"Bari Sādri")</f>
        <v>Bari Sādri</v>
      </c>
      <c r="B33942" s="20" t="s">
        <v>33942</v>
      </c>
      <c r="C33942" s="20" t="s">
        <v>10178</v>
      </c>
      <c r="D33942" s="20" t="s">
        <v>10179</v>
      </c>
      <c r="E33942" s="10">
        <v>1276939</v>
      </c>
      <c r="F33942" s="4" t="str">
        <f>IF(B33942=B33941,"",B33942)</f>
        <v>Bari Sādri</v>
      </c>
    </row>
    <row r="33943" spans="1:6" ht="15.75" customHeight="1">
      <c r="A33943" s="16" t="s">
        <v>10610</v>
      </c>
      <c r="B33943" s="15" t="s">
        <v>10611</v>
      </c>
      <c r="C33943" s="16" t="s">
        <v>10178</v>
      </c>
      <c r="D33943" s="16" t="s">
        <v>10179</v>
      </c>
      <c r="E33943" s="2">
        <v>1276939</v>
      </c>
      <c r="F33943" s="4" t="str">
        <f>IF(B33943=B33942,"",B33943)</f>
        <v>Bari SÄdri</v>
      </c>
    </row>
    <row r="33944" spans="1:6" ht="15.75" customHeight="1">
      <c r="A33944" s="16" t="str">
        <f ca="1">IFERROR(__xludf.DUMMYFUNCTION("GOOGLETRANSLATE(B33942,""en"",""pt"")"),"Bāri")</f>
        <v>Bāri</v>
      </c>
      <c r="B33944" s="20" t="s">
        <v>33943</v>
      </c>
      <c r="C33944" s="20" t="s">
        <v>10178</v>
      </c>
      <c r="D33944" s="20" t="s">
        <v>10179</v>
      </c>
      <c r="E33944" s="10">
        <v>1276948</v>
      </c>
      <c r="F33944" s="4" t="e">
        <f>IF(B33944=#REF!,"",B33944)</f>
        <v>#REF!</v>
      </c>
    </row>
    <row r="33945" spans="1:6" ht="15.75" customHeight="1">
      <c r="A33945" s="15" t="s">
        <v>14964</v>
      </c>
      <c r="B33945" s="15" t="s">
        <v>14964</v>
      </c>
      <c r="C33945" s="15" t="s">
        <v>14891</v>
      </c>
      <c r="D33945" s="15" t="s">
        <v>14908</v>
      </c>
      <c r="E33945" s="2">
        <v>3182351</v>
      </c>
      <c r="F33945" s="4" t="e">
        <f>IF(B33945=#REF!,"",B33945)</f>
        <v>#REF!</v>
      </c>
    </row>
    <row r="33946" spans="1:6" ht="15.75" customHeight="1">
      <c r="A33946" s="15" t="s">
        <v>10609</v>
      </c>
      <c r="B33946" s="15" t="s">
        <v>10609</v>
      </c>
      <c r="C33946" s="15" t="s">
        <v>10178</v>
      </c>
      <c r="D33946" s="15" t="s">
        <v>10317</v>
      </c>
      <c r="E33946" s="2">
        <v>1276954</v>
      </c>
      <c r="F33946" s="4" t="str">
        <f>IF(B33946=B33945,"",B33946)</f>
        <v>Barhiya</v>
      </c>
    </row>
    <row r="33947" spans="1:6" ht="15.75" customHeight="1">
      <c r="A33947" s="16" t="str">
        <f ca="1">IFERROR(__xludf.DUMMYFUNCTION("GOOGLETRANSLATE(B33944,""en"",""pt"")"),"Bārh")</f>
        <v>Bārh</v>
      </c>
      <c r="B33947" s="20" t="s">
        <v>33944</v>
      </c>
      <c r="C33947" s="20" t="s">
        <v>10178</v>
      </c>
      <c r="D33947" s="20" t="s">
        <v>10317</v>
      </c>
      <c r="E33947" s="10">
        <v>1276977</v>
      </c>
      <c r="F33947" s="4" t="e">
        <f>IF(B33947=#REF!,"",B33947)</f>
        <v>#REF!</v>
      </c>
    </row>
    <row r="33948" spans="1:6" ht="15.75" customHeight="1">
      <c r="A33948" s="15" t="s">
        <v>10608</v>
      </c>
      <c r="B33948" s="15" t="s">
        <v>10608</v>
      </c>
      <c r="C33948" s="15" t="s">
        <v>10178</v>
      </c>
      <c r="D33948" s="15" t="s">
        <v>10219</v>
      </c>
      <c r="E33948" s="2">
        <v>1276982</v>
      </c>
      <c r="F33948" s="4" t="e">
        <f>IF(B33948=#REF!,"",B33948)</f>
        <v>#REF!</v>
      </c>
    </row>
    <row r="33949" spans="1:6" ht="15.75" customHeight="1">
      <c r="A33949" s="15" t="s">
        <v>10607</v>
      </c>
      <c r="B33949" s="15" t="s">
        <v>10607</v>
      </c>
      <c r="C33949" s="15" t="s">
        <v>10178</v>
      </c>
      <c r="D33949" s="15" t="s">
        <v>10229</v>
      </c>
      <c r="E33949" s="2">
        <v>1276988</v>
      </c>
      <c r="F33949" s="4" t="e">
        <f>IF(B33949=#REF!,"",B33949)</f>
        <v>#REF!</v>
      </c>
    </row>
    <row r="33950" spans="1:6" ht="15.75" customHeight="1">
      <c r="A33950" s="15" t="s">
        <v>6779</v>
      </c>
      <c r="B33950" s="15" t="s">
        <v>6779</v>
      </c>
      <c r="C33950" s="15" t="s">
        <v>6775</v>
      </c>
      <c r="D33950" s="15" t="s">
        <v>6780</v>
      </c>
      <c r="E33950" s="2">
        <v>342711</v>
      </c>
      <c r="F33950" s="4" t="e">
        <f>IF(B33950=#REF!,"",B33950)</f>
        <v>#REF!</v>
      </c>
    </row>
    <row r="33951" spans="1:6" ht="15.75" customHeight="1">
      <c r="A33951" s="16" t="s">
        <v>18890</v>
      </c>
      <c r="B33951" s="15" t="s">
        <v>18890</v>
      </c>
      <c r="C33951" s="16" t="s">
        <v>18862</v>
      </c>
      <c r="D33951" s="16" t="s">
        <v>18868</v>
      </c>
      <c r="E33951" s="2">
        <v>2759426</v>
      </c>
      <c r="F33951" s="4" t="e">
        <f>IF(B33951=#REF!,"",B33951)</f>
        <v>#REF!</v>
      </c>
    </row>
    <row r="33952" spans="1:6" ht="15.75" customHeight="1">
      <c r="A33952" s="15" t="s">
        <v>10606</v>
      </c>
      <c r="B33952" s="15" t="s">
        <v>10606</v>
      </c>
      <c r="C33952" s="15" t="s">
        <v>10178</v>
      </c>
      <c r="D33952" s="15" t="s">
        <v>10193</v>
      </c>
      <c r="E33952" s="2">
        <v>1277013</v>
      </c>
      <c r="F33952" s="4" t="e">
        <f>IF(B33952=#REF!,"",B33952)</f>
        <v>#REF!</v>
      </c>
    </row>
    <row r="33953" spans="1:6" ht="15.75" customHeight="1">
      <c r="A33953" s="15" t="s">
        <v>14963</v>
      </c>
      <c r="B33953" s="15" t="s">
        <v>14963</v>
      </c>
      <c r="C33953" s="15" t="s">
        <v>14891</v>
      </c>
      <c r="D33953" s="15" t="s">
        <v>14894</v>
      </c>
      <c r="E33953" s="2">
        <v>3182361</v>
      </c>
      <c r="F33953" s="4" t="str">
        <f>IF(B33953=B33952,"",B33953)</f>
        <v>Bareggio</v>
      </c>
    </row>
    <row r="33954" spans="1:6" ht="15.75" customHeight="1">
      <c r="A33954" s="16" t="str">
        <f ca="1">IFERROR(__xludf.DUMMYFUNCTION("GOOGLETRANSLATE(B34416,""en"",""pt"")"),"Bardsīr")</f>
        <v>Bardsīr</v>
      </c>
      <c r="B33954" s="20" t="s">
        <v>34177</v>
      </c>
      <c r="C33954" s="20" t="s">
        <v>14240</v>
      </c>
      <c r="D33954" s="20" t="s">
        <v>14317</v>
      </c>
      <c r="E33954" s="10">
        <v>124647</v>
      </c>
      <c r="F33954" s="4" t="str">
        <f>IF(B33954=B33953,"",B33954)</f>
        <v>Bardsīr</v>
      </c>
    </row>
    <row r="33955" spans="1:6" ht="15.75" customHeight="1">
      <c r="A33955" s="15" t="s">
        <v>14329</v>
      </c>
      <c r="B33955" s="15" t="s">
        <v>14330</v>
      </c>
      <c r="C33955" s="15" t="s">
        <v>14240</v>
      </c>
      <c r="D33955" s="15" t="s">
        <v>14317</v>
      </c>
      <c r="E33955" s="2">
        <v>124647</v>
      </c>
      <c r="F33955" s="4" t="str">
        <f>IF(B33955=B33954,"",B33955)</f>
        <v>BardsÄ«r</v>
      </c>
    </row>
    <row r="33956" spans="1:6" ht="15.75" customHeight="1">
      <c r="A33956" s="16" t="str">
        <f ca="1">IFERROR(__xludf.DUMMYFUNCTION("GOOGLETRANSLATE(B33948,""en"",""pt"")"),"Bārdoli")</f>
        <v>Bārdoli</v>
      </c>
      <c r="B33956" s="20" t="s">
        <v>33945</v>
      </c>
      <c r="C33956" s="20" t="s">
        <v>10178</v>
      </c>
      <c r="D33956" s="20" t="s">
        <v>10209</v>
      </c>
      <c r="E33956" s="10">
        <v>1277022</v>
      </c>
      <c r="F33956" s="4" t="e">
        <f>IF(B33956=#REF!,"",B33956)</f>
        <v>#REF!</v>
      </c>
    </row>
    <row r="33957" spans="1:6" ht="15.75" customHeight="1">
      <c r="A33957" s="15" t="s">
        <v>23705</v>
      </c>
      <c r="B33957" s="15" t="s">
        <v>23705</v>
      </c>
      <c r="C33957" s="15" t="s">
        <v>23694</v>
      </c>
      <c r="D33957" s="15" t="s">
        <v>23706</v>
      </c>
      <c r="E33957" s="2">
        <v>725168</v>
      </c>
      <c r="F33957" s="4" t="str">
        <f>IF(B33957=B33956,"",B33957)</f>
        <v>Bardejov</v>
      </c>
    </row>
    <row r="33958" spans="1:6" ht="15.75" customHeight="1">
      <c r="A33958" s="16" t="str">
        <f ca="1">IFERROR(__xludf.DUMMYFUNCTION("GOOGLETRANSLATE(B33949,""en"",""pt"")"),"Barddhamān")</f>
        <v>Barddhamān</v>
      </c>
      <c r="B33958" s="20" t="s">
        <v>33946</v>
      </c>
      <c r="C33958" s="20" t="s">
        <v>10178</v>
      </c>
      <c r="D33958" s="20" t="s">
        <v>10201</v>
      </c>
      <c r="E33958" s="10">
        <v>1277029</v>
      </c>
      <c r="F33958" s="4" t="str">
        <f>IF(B33958=B33957,"",B33958)</f>
        <v>Barddhamān</v>
      </c>
    </row>
    <row r="33959" spans="1:6" ht="15.75" customHeight="1">
      <c r="A33959" s="16" t="s">
        <v>10604</v>
      </c>
      <c r="B33959" s="15" t="s">
        <v>10605</v>
      </c>
      <c r="C33959" s="16" t="s">
        <v>10178</v>
      </c>
      <c r="D33959" s="16" t="s">
        <v>10201</v>
      </c>
      <c r="E33959" s="2">
        <v>1277029</v>
      </c>
      <c r="F33959" s="4" t="e">
        <f>IF(B33959=#REF!,"",B33959)</f>
        <v>#REF!</v>
      </c>
    </row>
    <row r="33960" spans="1:6" ht="15.75" customHeight="1">
      <c r="A33960" s="15" t="s">
        <v>1188</v>
      </c>
      <c r="B33960" s="15" t="s">
        <v>1188</v>
      </c>
      <c r="C33960" s="15" t="s">
        <v>1170</v>
      </c>
      <c r="D33960" s="15" t="s">
        <v>1189</v>
      </c>
      <c r="E33960" s="2">
        <v>587057</v>
      </c>
      <c r="F33960" s="4" t="e">
        <f>IF(B33960=#REF!,"",B33960)</f>
        <v>#REF!</v>
      </c>
    </row>
    <row r="33961" spans="1:6" ht="15.75" customHeight="1">
      <c r="A33961" s="15" t="s">
        <v>21625</v>
      </c>
      <c r="B33961" s="15" t="s">
        <v>21625</v>
      </c>
      <c r="C33961" s="15" t="s">
        <v>21606</v>
      </c>
      <c r="D33961" s="15" t="s">
        <v>21626</v>
      </c>
      <c r="E33961" s="2">
        <v>2742416</v>
      </c>
      <c r="F33961" s="4" t="e">
        <f>IF(B33961=#REF!,"",B33961)</f>
        <v>#REF!</v>
      </c>
    </row>
    <row r="33962" spans="1:6" ht="15.75" customHeight="1">
      <c r="A33962" s="16" t="s">
        <v>21751</v>
      </c>
      <c r="B33962" s="15" t="s">
        <v>21751</v>
      </c>
      <c r="C33962" s="16" t="s">
        <v>747</v>
      </c>
      <c r="D33962" s="16" t="s">
        <v>21751</v>
      </c>
      <c r="E33962" s="2">
        <v>4562768</v>
      </c>
      <c r="F33962" s="4" t="e">
        <f>IF(B33962=#REF!,"",B33962)</f>
        <v>#REF!</v>
      </c>
    </row>
    <row r="33963" spans="1:6" ht="15.75" customHeight="1">
      <c r="A33963" s="16" t="s">
        <v>24327</v>
      </c>
      <c r="B33963" s="15" t="s">
        <v>24327</v>
      </c>
      <c r="C33963" s="16" t="s">
        <v>24200</v>
      </c>
      <c r="D33963" s="16" t="s">
        <v>24277</v>
      </c>
      <c r="E33963" s="2">
        <v>3128760</v>
      </c>
      <c r="F33963" s="4" t="e">
        <f>IF(B33963=#REF!,"",B33963)</f>
        <v>#REF!</v>
      </c>
    </row>
    <row r="33964" spans="1:6" ht="15.75" customHeight="1">
      <c r="A33964" s="16" t="s">
        <v>14962</v>
      </c>
      <c r="B33964" s="15" t="s">
        <v>14962</v>
      </c>
      <c r="C33964" s="16" t="s">
        <v>14891</v>
      </c>
      <c r="D33964" s="16" t="s">
        <v>14899</v>
      </c>
      <c r="E33964" s="2">
        <v>2525597</v>
      </c>
      <c r="F33964" s="4" t="e">
        <f>IF(B33964=#REF!,"",B33964)</f>
        <v>#REF!</v>
      </c>
    </row>
    <row r="33965" spans="1:6" ht="15.75" customHeight="1">
      <c r="A33965" s="16" t="s">
        <v>2072</v>
      </c>
      <c r="B33965" s="15" t="s">
        <v>2072</v>
      </c>
      <c r="C33965" s="16" t="s">
        <v>1905</v>
      </c>
      <c r="D33965" s="16" t="s">
        <v>1906</v>
      </c>
      <c r="E33965" s="2">
        <v>3406429</v>
      </c>
      <c r="F33965" s="4" t="e">
        <f>IF(B33965=#REF!,"",B33965)</f>
        <v>#REF!</v>
      </c>
    </row>
    <row r="33966" spans="1:6" ht="15.75" customHeight="1">
      <c r="A33966" s="15" t="s">
        <v>5379</v>
      </c>
      <c r="B33966" s="15" t="s">
        <v>5379</v>
      </c>
      <c r="C33966" s="15" t="s">
        <v>5348</v>
      </c>
      <c r="D33966" s="15" t="s">
        <v>5362</v>
      </c>
      <c r="E33966" s="2">
        <v>3689205</v>
      </c>
      <c r="F33966" s="4" t="e">
        <f>IF(B33966=#REF!,"",B33966)</f>
        <v>#REF!</v>
      </c>
    </row>
    <row r="33967" spans="1:6" ht="15.75" customHeight="1">
      <c r="A33967" s="15" t="s">
        <v>10603</v>
      </c>
      <c r="B33967" s="15" t="s">
        <v>10603</v>
      </c>
      <c r="C33967" s="15" t="s">
        <v>10178</v>
      </c>
      <c r="D33967" s="15" t="s">
        <v>10229</v>
      </c>
      <c r="E33967" s="2">
        <v>7279597</v>
      </c>
      <c r="F33967" s="4" t="e">
        <f>IF(B33967=#REF!,"",B33967)</f>
        <v>#REF!</v>
      </c>
    </row>
    <row r="33968" spans="1:6" ht="15.75" customHeight="1">
      <c r="A33968" s="16" t="s">
        <v>23852</v>
      </c>
      <c r="B33968" s="15" t="s">
        <v>23852</v>
      </c>
      <c r="C33968" s="16" t="s">
        <v>23842</v>
      </c>
      <c r="D33968" s="16" t="s">
        <v>23849</v>
      </c>
      <c r="E33968" s="2">
        <v>1021086</v>
      </c>
      <c r="F33968" s="4" t="e">
        <f>IF(B33968=#REF!,"",B33968)</f>
        <v>#REF!</v>
      </c>
    </row>
    <row r="33969" spans="1:6" ht="15.75" customHeight="1">
      <c r="A33969" s="16" t="s">
        <v>9709</v>
      </c>
      <c r="B33969" s="15" t="s">
        <v>9709</v>
      </c>
      <c r="C33969" s="16" t="s">
        <v>9700</v>
      </c>
      <c r="D33969" s="16" t="s">
        <v>805</v>
      </c>
      <c r="E33969" s="2">
        <v>3599582</v>
      </c>
      <c r="F33969" s="4" t="str">
        <f>IF(B33969=B33968,"",B33969)</f>
        <v>Barberena</v>
      </c>
    </row>
    <row r="33970" spans="1:6" ht="15.75" customHeight="1">
      <c r="A33970" s="16" t="s">
        <v>24325</v>
      </c>
      <c r="B33970" s="15" t="s">
        <v>24326</v>
      </c>
      <c r="C33970" s="16" t="s">
        <v>24200</v>
      </c>
      <c r="D33970" s="16" t="s">
        <v>24277</v>
      </c>
      <c r="E33970" s="2">
        <v>3109804</v>
      </c>
      <c r="F33970" s="4" t="str">
        <f>IF(B33970=B33969,"",B33970)</f>
        <v>BarberÃ  del VallÃ¨s</v>
      </c>
    </row>
    <row r="33971" spans="1:6" ht="15.75" customHeight="1">
      <c r="A33971" s="16" t="str">
        <f ca="1">IFERROR(__xludf.DUMMYFUNCTION("GOOGLETRANSLATE(B29284,""en"",""pt"")"),"Barberà del Vallès")</f>
        <v>Barberà del Vallès</v>
      </c>
      <c r="B33971" s="20" t="s">
        <v>32428</v>
      </c>
      <c r="C33971" s="20" t="s">
        <v>24200</v>
      </c>
      <c r="D33971" s="20" t="s">
        <v>24277</v>
      </c>
      <c r="E33971" s="10">
        <v>3109804</v>
      </c>
      <c r="F33971" s="4" t="e">
        <f>IF(B33971=#REF!,"",B33971)</f>
        <v>#REF!</v>
      </c>
    </row>
    <row r="33972" spans="1:6" ht="15.75" customHeight="1">
      <c r="A33972" s="16" t="s">
        <v>24324</v>
      </c>
      <c r="B33972" s="15" t="s">
        <v>24324</v>
      </c>
      <c r="C33972" s="16" t="s">
        <v>24200</v>
      </c>
      <c r="D33972" s="16" t="s">
        <v>24205</v>
      </c>
      <c r="E33972" s="2">
        <v>2521335</v>
      </c>
      <c r="F33972" s="4" t="e">
        <f>IF(B33972=#REF!,"",B33972)</f>
        <v>#REF!</v>
      </c>
    </row>
    <row r="33973" spans="1:6" ht="15.75" customHeight="1">
      <c r="A33973" s="15" t="s">
        <v>24323</v>
      </c>
      <c r="B33973" s="15" t="s">
        <v>24323</v>
      </c>
      <c r="C33973" s="15" t="s">
        <v>24200</v>
      </c>
      <c r="D33973" s="15" t="s">
        <v>24226</v>
      </c>
      <c r="E33973" s="2">
        <v>3128795</v>
      </c>
      <c r="F33973" s="4" t="e">
        <f>IF(B33973=#REF!,"",B33973)</f>
        <v>#REF!</v>
      </c>
    </row>
    <row r="33974" spans="1:6" ht="15.75" customHeight="1">
      <c r="A33974" s="15" t="s">
        <v>2071</v>
      </c>
      <c r="B33974" s="15" t="s">
        <v>2071</v>
      </c>
      <c r="C33974" s="15" t="s">
        <v>1905</v>
      </c>
      <c r="D33974" s="15" t="s">
        <v>1930</v>
      </c>
      <c r="E33974" s="2">
        <v>3406442</v>
      </c>
      <c r="F33974" s="4" t="e">
        <f>IF(B33974=#REF!,"",B33974)</f>
        <v>#REF!</v>
      </c>
    </row>
    <row r="33975" spans="1:6" ht="15.75" customHeight="1">
      <c r="A33975" s="15" t="s">
        <v>242</v>
      </c>
      <c r="B33975" s="15" t="s">
        <v>242</v>
      </c>
      <c r="C33975" s="15" t="s">
        <v>153</v>
      </c>
      <c r="D33975" s="15" t="s">
        <v>221</v>
      </c>
      <c r="E33975" s="2">
        <v>2505651</v>
      </c>
      <c r="F33975" s="4" t="e">
        <f>IF(B33975=#REF!,"",B33975)</f>
        <v>#REF!</v>
      </c>
    </row>
    <row r="33976" spans="1:6" ht="15.75" customHeight="1">
      <c r="A33976" s="16" t="s">
        <v>2070</v>
      </c>
      <c r="B33976" s="15" t="s">
        <v>2070</v>
      </c>
      <c r="C33976" s="16" t="s">
        <v>1905</v>
      </c>
      <c r="D33976" s="16" t="s">
        <v>1917</v>
      </c>
      <c r="E33976" s="2">
        <v>3470858</v>
      </c>
      <c r="F33976" s="4" t="e">
        <f>IF(B33976=#REF!,"",B33976)</f>
        <v>#REF!</v>
      </c>
    </row>
    <row r="33977" spans="1:6" ht="15.75" customHeight="1">
      <c r="A33977" s="15" t="s">
        <v>10602</v>
      </c>
      <c r="B33977" s="15" t="s">
        <v>10602</v>
      </c>
      <c r="C33977" s="15" t="s">
        <v>10178</v>
      </c>
      <c r="D33977" s="15" t="s">
        <v>10193</v>
      </c>
      <c r="E33977" s="2">
        <v>1277044</v>
      </c>
      <c r="F33977" s="4" t="e">
        <f>IF(B33977=#REF!,"",B33977)</f>
        <v>#REF!</v>
      </c>
    </row>
    <row r="33978" spans="1:6" ht="15.75" customHeight="1">
      <c r="A33978" s="15" t="s">
        <v>10601</v>
      </c>
      <c r="B33978" s="15" t="s">
        <v>10601</v>
      </c>
      <c r="C33978" s="15" t="s">
        <v>10178</v>
      </c>
      <c r="D33978" s="15" t="s">
        <v>10317</v>
      </c>
      <c r="E33978" s="2">
        <v>1277053</v>
      </c>
      <c r="F33978" s="4" t="e">
        <f>IF(B33978=#REF!,"",B33978)</f>
        <v>#REF!</v>
      </c>
    </row>
    <row r="33979" spans="1:6" ht="15.75" customHeight="1">
      <c r="A33979" s="16" t="str">
        <f ca="1">IFERROR(__xludf.DUMMYFUNCTION("GOOGLETRANSLATE(B33953,""en"",""pt"")"),"Bārāsat")</f>
        <v>Bārāsat</v>
      </c>
      <c r="B33979" s="20" t="s">
        <v>33947</v>
      </c>
      <c r="C33979" s="20" t="s">
        <v>10178</v>
      </c>
      <c r="D33979" s="20" t="s">
        <v>10201</v>
      </c>
      <c r="E33979" s="10">
        <v>1277065</v>
      </c>
      <c r="F33979" s="4" t="e">
        <f>IF(B33979=#REF!,"",B33979)</f>
        <v>#REF!</v>
      </c>
    </row>
    <row r="33980" spans="1:6" ht="15.75" customHeight="1">
      <c r="A33980" s="15" t="s">
        <v>20660</v>
      </c>
      <c r="B33980" s="15" t="s">
        <v>20660</v>
      </c>
      <c r="C33980" s="15" t="s">
        <v>20598</v>
      </c>
      <c r="D33980" s="15" t="s">
        <v>20608</v>
      </c>
      <c r="E33980" s="2">
        <v>1726765</v>
      </c>
      <c r="F33980" s="4" t="str">
        <f>IF(B33980=B33979,"",B33980)</f>
        <v>Baras</v>
      </c>
    </row>
    <row r="33981" spans="1:6" ht="15.75" customHeight="1">
      <c r="A33981" s="16" t="str">
        <f ca="1">IFERROR(__xludf.DUMMYFUNCTION("GOOGLETRANSLATE(B25241,""en"",""pt"")"),"Barão de Cocais")</f>
        <v>Barão de Cocais</v>
      </c>
      <c r="B33981" s="20" t="s">
        <v>31715</v>
      </c>
      <c r="C33981" s="20" t="s">
        <v>1905</v>
      </c>
      <c r="D33981" s="20" t="s">
        <v>1917</v>
      </c>
      <c r="E33981" s="10">
        <v>3470878</v>
      </c>
      <c r="F33981" s="4" t="e">
        <f>IF(B33981=#REF!,"",B33981)</f>
        <v>#REF!</v>
      </c>
    </row>
    <row r="33982" spans="1:6" ht="15.75" customHeight="1">
      <c r="A33982" s="16" t="s">
        <v>1456</v>
      </c>
      <c r="B33982" s="15" t="s">
        <v>1456</v>
      </c>
      <c r="C33982" s="16" t="s">
        <v>1453</v>
      </c>
      <c r="D33982" s="16" t="s">
        <v>1457</v>
      </c>
      <c r="E33982" s="2">
        <v>630429</v>
      </c>
      <c r="F33982" s="4" t="e">
        <f>IF(B33982=#REF!,"",B33982)</f>
        <v>#REF!</v>
      </c>
    </row>
    <row r="33983" spans="1:6" ht="15.75" customHeight="1">
      <c r="A33983" s="15" t="s">
        <v>5377</v>
      </c>
      <c r="B33983" s="15" t="s">
        <v>5377</v>
      </c>
      <c r="C33983" s="15" t="s">
        <v>5348</v>
      </c>
      <c r="D33983" s="15" t="s">
        <v>5378</v>
      </c>
      <c r="E33983" s="2">
        <v>3689235</v>
      </c>
      <c r="F33983" s="4" t="str">
        <f>IF(B33983=B33982,"",B33983)</f>
        <v>Baranoa</v>
      </c>
    </row>
    <row r="33984" spans="1:6" ht="15.75" customHeight="1">
      <c r="A33984" s="16" t="str">
        <f ca="1">IFERROR(__xludf.DUMMYFUNCTION("GOOGLETRANSLATE(B29456,""en"",""pt"")"),"Barañáin")</f>
        <v>Barañáin</v>
      </c>
      <c r="B33984" s="20" t="s">
        <v>32469</v>
      </c>
      <c r="C33984" s="20" t="s">
        <v>24200</v>
      </c>
      <c r="D33984" s="20" t="s">
        <v>24320</v>
      </c>
      <c r="E33984" s="10">
        <v>3128824</v>
      </c>
      <c r="F33984" s="4" t="e">
        <f>IF(B33984=#REF!,"",B33984)</f>
        <v>#REF!</v>
      </c>
    </row>
    <row r="33985" spans="1:6" ht="15.75" customHeight="1">
      <c r="A33985" s="16" t="s">
        <v>10600</v>
      </c>
      <c r="B33985" s="15" t="s">
        <v>10600</v>
      </c>
      <c r="C33985" s="16" t="s">
        <v>10178</v>
      </c>
      <c r="D33985" s="16" t="s">
        <v>10201</v>
      </c>
      <c r="E33985" s="2">
        <v>1277082</v>
      </c>
      <c r="F33985" s="4" t="str">
        <f>IF(B33985=B33984,"",B33985)</f>
        <v>Baranagar</v>
      </c>
    </row>
    <row r="33986" spans="1:6" ht="15.75" customHeight="1">
      <c r="A33986" s="16" t="str">
        <f ca="1">IFERROR(__xludf.DUMMYFUNCTION("GOOGLETRANSLATE(B33956,""en"",""pt"")"),"Bārān")</f>
        <v>Bārān</v>
      </c>
      <c r="B33986" s="20" t="s">
        <v>33948</v>
      </c>
      <c r="C33986" s="20" t="s">
        <v>10178</v>
      </c>
      <c r="D33986" s="20" t="s">
        <v>10179</v>
      </c>
      <c r="E33986" s="10">
        <v>1277084</v>
      </c>
      <c r="F33986" s="4" t="str">
        <f>IF(B33986=B33985,"",B33986)</f>
        <v>Bārān</v>
      </c>
    </row>
    <row r="33987" spans="1:6" ht="15.75" customHeight="1">
      <c r="A33987" s="16" t="str">
        <f ca="1">IFERROR(__xludf.DUMMYFUNCTION("GOOGLETRANSLATE(B33957,""en"",""pt"")"),"Bāramūla")</f>
        <v>Bāramūla</v>
      </c>
      <c r="B33987" s="20" t="s">
        <v>33949</v>
      </c>
      <c r="C33987" s="20" t="s">
        <v>10178</v>
      </c>
      <c r="D33987" s="20" t="s">
        <v>10355</v>
      </c>
      <c r="E33987" s="10">
        <v>1277085</v>
      </c>
      <c r="F33987" s="4" t="str">
        <f>IF(B33987=B33986,"",B33987)</f>
        <v>Bāramūla</v>
      </c>
    </row>
    <row r="33988" spans="1:6" ht="15.75" customHeight="1">
      <c r="A33988" s="16" t="str">
        <f ca="1">IFERROR(__xludf.DUMMYFUNCTION("GOOGLETRANSLATE(B33958,""en"",""pt"")"),"Bārāmati")</f>
        <v>Bārāmati</v>
      </c>
      <c r="B33988" s="20" t="s">
        <v>33950</v>
      </c>
      <c r="C33988" s="20" t="s">
        <v>10178</v>
      </c>
      <c r="D33988" s="20" t="s">
        <v>10214</v>
      </c>
      <c r="E33988" s="10">
        <v>1277091</v>
      </c>
      <c r="F33988" s="4" t="str">
        <f>IF(B33988=B33987,"",B33988)</f>
        <v>Bārāmati</v>
      </c>
    </row>
    <row r="33989" spans="1:6" ht="15.75" customHeight="1">
      <c r="A33989" s="16" t="str">
        <f ca="1">IFERROR(__xludf.DUMMYFUNCTION("GOOGLETRANSLATE(B33959,""en"",""pt"")"),"Bārākpur")</f>
        <v>Bārākpur</v>
      </c>
      <c r="B33989" s="20" t="s">
        <v>33951</v>
      </c>
      <c r="C33989" s="20" t="s">
        <v>10178</v>
      </c>
      <c r="D33989" s="20" t="s">
        <v>10201</v>
      </c>
      <c r="E33989" s="10">
        <v>1277100</v>
      </c>
      <c r="F33989" s="4" t="str">
        <f>IF(B33989=B33988,"",B33989)</f>
        <v>Bārākpur</v>
      </c>
    </row>
    <row r="33990" spans="1:6" ht="15.75" customHeight="1">
      <c r="A33990" s="16" t="str">
        <f ca="1">IFERROR(__xludf.DUMMYFUNCTION("GOOGLETRANSLATE(B23092,""en"",""pt"")"),"Barakī Barak")</f>
        <v>Barakī Barak</v>
      </c>
      <c r="B33990" s="20" t="s">
        <v>31133</v>
      </c>
      <c r="C33990" s="20" t="s">
        <v>8</v>
      </c>
      <c r="D33990" s="20" t="s">
        <v>33</v>
      </c>
      <c r="E33990" s="10">
        <v>1147066</v>
      </c>
      <c r="F33990" s="4" t="e">
        <f>IF(B33990=#REF!,"",B33990)</f>
        <v>#REF!</v>
      </c>
    </row>
    <row r="33991" spans="1:6" ht="15.75" customHeight="1">
      <c r="A33991" s="15" t="s">
        <v>241</v>
      </c>
      <c r="B33991" s="15" t="s">
        <v>241</v>
      </c>
      <c r="C33991" s="15" t="s">
        <v>153</v>
      </c>
      <c r="D33991" s="15" t="s">
        <v>160</v>
      </c>
      <c r="E33991" s="2">
        <v>2505653</v>
      </c>
      <c r="F33991" s="4" t="e">
        <f>IF(B33991=#REF!,"",B33991)</f>
        <v>#REF!</v>
      </c>
    </row>
    <row r="33992" spans="1:6" ht="15.75" customHeight="1">
      <c r="A33992" s="16" t="s">
        <v>24322</v>
      </c>
      <c r="B33992" s="15" t="s">
        <v>24322</v>
      </c>
      <c r="C33992" s="16" t="s">
        <v>24200</v>
      </c>
      <c r="D33992" s="16" t="s">
        <v>24249</v>
      </c>
      <c r="E33992" s="2">
        <v>3109453</v>
      </c>
      <c r="F33992" s="4" t="str">
        <f>IF(B33992=B33991,"",B33992)</f>
        <v>Barakaldo</v>
      </c>
    </row>
    <row r="33993" spans="1:6" ht="15.75" customHeight="1">
      <c r="A33993" s="16" t="s">
        <v>31</v>
      </c>
      <c r="B33993" s="15" t="s">
        <v>32</v>
      </c>
      <c r="C33993" s="16" t="s">
        <v>8</v>
      </c>
      <c r="D33993" s="16" t="s">
        <v>33</v>
      </c>
      <c r="E33993" s="2">
        <v>1147066</v>
      </c>
      <c r="F33993" s="4" t="e">
        <f>IF(B33993=#REF!,"",B33993)</f>
        <v>#REF!</v>
      </c>
    </row>
    <row r="33994" spans="1:6" ht="15.75" customHeight="1">
      <c r="A33994" s="16" t="s">
        <v>24321</v>
      </c>
      <c r="B33994" s="15" t="s">
        <v>24321</v>
      </c>
      <c r="C33994" s="16" t="s">
        <v>24200</v>
      </c>
      <c r="D33994" s="16" t="s">
        <v>5513</v>
      </c>
      <c r="E33994" s="2">
        <v>3128832</v>
      </c>
      <c r="F33994" s="4" t="str">
        <f>IF(B33994=B33993,"",B33994)</f>
        <v>Barajas de Madrid</v>
      </c>
    </row>
    <row r="33995" spans="1:6" ht="15.75" customHeight="1">
      <c r="A33995" s="16" t="str">
        <f ca="1">IFERROR(__xludf.DUMMYFUNCTION("GOOGLETRANSLATE(B41092,""en"",""pt"")"),"Bārah")</f>
        <v>Bārah</v>
      </c>
      <c r="B33995" s="20" t="s">
        <v>35611</v>
      </c>
      <c r="C33995" s="20" t="s">
        <v>24987</v>
      </c>
      <c r="D33995" s="20" t="s">
        <v>35604</v>
      </c>
      <c r="E33995" s="10">
        <v>377724</v>
      </c>
      <c r="F33995" s="4" t="str">
        <f>IF(B33995=B33994,"",B33995)</f>
        <v>Bārah</v>
      </c>
    </row>
    <row r="33996" spans="1:6" ht="15.75" customHeight="1">
      <c r="A33996" s="16" t="s">
        <v>5783</v>
      </c>
      <c r="B33996" s="15" t="s">
        <v>5784</v>
      </c>
      <c r="C33996" s="16" t="s">
        <v>5764</v>
      </c>
      <c r="D33996" s="16" t="s">
        <v>5785</v>
      </c>
      <c r="E33996" s="2">
        <v>3567823</v>
      </c>
      <c r="F33996" s="4" t="str">
        <f>IF(B33996=B33995,"",B33996)</f>
        <v>BaraguÃ¡</v>
      </c>
    </row>
    <row r="33997" spans="1:6" ht="15.75" customHeight="1">
      <c r="A33997" s="16" t="str">
        <f ca="1">IFERROR(__xludf.DUMMYFUNCTION("GOOGLETRANSLATE(B27210,""en"",""pt"")"),"Baraguá")</f>
        <v>Baraguá</v>
      </c>
      <c r="B33997" s="20" t="s">
        <v>31930</v>
      </c>
      <c r="C33997" s="20" t="s">
        <v>5764</v>
      </c>
      <c r="D33997" s="20" t="s">
        <v>31905</v>
      </c>
      <c r="E33997" s="10">
        <v>3567823</v>
      </c>
      <c r="F33997" s="4" t="e">
        <f>IF(B33997=#REF!,"",B33997)</f>
        <v>#REF!</v>
      </c>
    </row>
    <row r="33998" spans="1:6" ht="15.75" customHeight="1">
      <c r="A33998" s="15" t="s">
        <v>5781</v>
      </c>
      <c r="B33998" s="15" t="s">
        <v>5781</v>
      </c>
      <c r="C33998" s="15" t="s">
        <v>5764</v>
      </c>
      <c r="D33998" s="15" t="s">
        <v>5782</v>
      </c>
      <c r="E33998" s="2">
        <v>3567834</v>
      </c>
      <c r="F33998" s="4" t="e">
        <f>IF(B33998=#REF!,"",B33998)</f>
        <v>#REF!</v>
      </c>
    </row>
    <row r="33999" spans="1:6" ht="15.75" customHeight="1">
      <c r="A33999" s="15" t="s">
        <v>22192</v>
      </c>
      <c r="B33999" s="15" t="s">
        <v>22192</v>
      </c>
      <c r="C33999" s="15" t="s">
        <v>22070</v>
      </c>
      <c r="D33999" s="15" t="s">
        <v>22092</v>
      </c>
      <c r="E33999" s="2">
        <v>1510916</v>
      </c>
      <c r="F33999" s="4" t="e">
        <f>IF(B33999=#REF!,"",B33999)</f>
        <v>#REF!</v>
      </c>
    </row>
    <row r="34000" spans="1:6" ht="15.75" customHeight="1">
      <c r="A34000" s="15" t="s">
        <v>13842</v>
      </c>
      <c r="B34000" s="15" t="s">
        <v>13842</v>
      </c>
      <c r="C34000" s="15" t="s">
        <v>13800</v>
      </c>
      <c r="D34000" s="15" t="s">
        <v>13809</v>
      </c>
      <c r="E34000" s="2">
        <v>1650064</v>
      </c>
      <c r="F34000" s="4" t="str">
        <f>IF(B34000=B33999,"",B34000)</f>
        <v>Barabai</v>
      </c>
    </row>
    <row r="34001" spans="1:6" ht="15.75" customHeight="1">
      <c r="A34001" s="15" t="s">
        <v>24318</v>
      </c>
      <c r="B34001" s="15" t="s">
        <v>24319</v>
      </c>
      <c r="C34001" s="15" t="s">
        <v>24200</v>
      </c>
      <c r="D34001" s="15" t="s">
        <v>24320</v>
      </c>
      <c r="E34001" s="2">
        <v>3128824</v>
      </c>
      <c r="F34001" s="4" t="str">
        <f>IF(B34001=B34000,"",B34001)</f>
        <v>BaraÃ±Ã¡in</v>
      </c>
    </row>
    <row r="34002" spans="1:6" ht="15.75" customHeight="1">
      <c r="A34002" s="16" t="s">
        <v>2068</v>
      </c>
      <c r="B34002" s="15" t="s">
        <v>2069</v>
      </c>
      <c r="C34002" s="16" t="s">
        <v>1905</v>
      </c>
      <c r="D34002" s="16" t="s">
        <v>1917</v>
      </c>
      <c r="E34002" s="2">
        <v>3470878</v>
      </c>
      <c r="F34002" s="4" t="str">
        <f>IF(B34002=B34001,"",B34002)</f>
        <v>BarÃ£o de Cocais</v>
      </c>
    </row>
    <row r="34003" spans="1:6" ht="15.75" customHeight="1">
      <c r="A34003" s="16" t="str">
        <f ca="1">IFERROR(__xludf.DUMMYFUNCTION("GOOGLETRANSLATE(B31953,""en"",""pt"")"),"Bara Uchāna")</f>
        <v>Bara Uchāna</v>
      </c>
      <c r="B34003" s="20" t="s">
        <v>32983</v>
      </c>
      <c r="C34003" s="20" t="s">
        <v>10178</v>
      </c>
      <c r="D34003" s="20" t="s">
        <v>10224</v>
      </c>
      <c r="E34003" s="10">
        <v>1254000</v>
      </c>
      <c r="F34003" s="4" t="str">
        <f>IF(B34003=B34002,"",B34003)</f>
        <v>Bara Uchāna</v>
      </c>
    </row>
    <row r="34004" spans="1:6" ht="15.75" customHeight="1">
      <c r="A34004" s="16" t="s">
        <v>10598</v>
      </c>
      <c r="B34004" s="15" t="s">
        <v>10599</v>
      </c>
      <c r="C34004" s="16" t="s">
        <v>10178</v>
      </c>
      <c r="D34004" s="16" t="s">
        <v>10224</v>
      </c>
      <c r="E34004" s="2">
        <v>1254000</v>
      </c>
      <c r="F34004" s="4" t="e">
        <f>IF(B34004=#REF!,"",B34004)</f>
        <v>#REF!</v>
      </c>
    </row>
    <row r="34005" spans="1:6" ht="15.75" customHeight="1">
      <c r="A34005" s="15" t="s">
        <v>10597</v>
      </c>
      <c r="B34005" s="15" t="s">
        <v>10597</v>
      </c>
      <c r="C34005" s="15" t="s">
        <v>10178</v>
      </c>
      <c r="D34005" s="15" t="s">
        <v>10317</v>
      </c>
      <c r="E34005" s="2">
        <v>1277038</v>
      </c>
      <c r="F34005" s="4" t="e">
        <f>IF(B34005=#REF!,"",B34005)</f>
        <v>#REF!</v>
      </c>
    </row>
    <row r="34006" spans="1:6" ht="15.75" customHeight="1">
      <c r="A34006" s="15" t="s">
        <v>18534</v>
      </c>
      <c r="B34006" s="15" t="s">
        <v>18534</v>
      </c>
      <c r="C34006" s="15" t="s">
        <v>2921</v>
      </c>
      <c r="D34006" s="15" t="s">
        <v>18534</v>
      </c>
      <c r="E34006" s="2">
        <v>3204509</v>
      </c>
      <c r="F34006" s="4" t="e">
        <f>IF(B34006=#REF!,"",B34006)</f>
        <v>#REF!</v>
      </c>
    </row>
    <row r="34007" spans="1:6" ht="15.75" customHeight="1">
      <c r="A34007" s="15" t="s">
        <v>14674</v>
      </c>
      <c r="B34007" s="15" t="s">
        <v>14674</v>
      </c>
      <c r="C34007" s="15" t="s">
        <v>14594</v>
      </c>
      <c r="D34007" s="15" t="s">
        <v>14648</v>
      </c>
      <c r="E34007" s="2">
        <v>97990</v>
      </c>
      <c r="F34007" s="4" t="str">
        <f>IF(B34007=B34006,"",B34007)</f>
        <v>Baqubah</v>
      </c>
    </row>
    <row r="34008" spans="1:6" ht="15.75" customHeight="1">
      <c r="A34008" s="16" t="str">
        <f ca="1">IFERROR(__xludf.DUMMYFUNCTION("GOOGLETRANSLATE(B33960,""en"",""pt"")"),"Bāpatla")</f>
        <v>Bāpatla</v>
      </c>
      <c r="B34008" s="20" t="s">
        <v>33952</v>
      </c>
      <c r="C34008" s="20" t="s">
        <v>10178</v>
      </c>
      <c r="D34008" s="20" t="s">
        <v>10190</v>
      </c>
      <c r="E34008" s="10">
        <v>1277183</v>
      </c>
      <c r="F34008" s="4" t="e">
        <f>IF(B34008=#REF!,"",B34008)</f>
        <v>#REF!</v>
      </c>
    </row>
    <row r="34009" spans="1:6" ht="15.75" customHeight="1">
      <c r="A34009" s="15" t="s">
        <v>4534</v>
      </c>
      <c r="B34009" s="15" t="s">
        <v>4534</v>
      </c>
      <c r="C34009" s="15" t="s">
        <v>4487</v>
      </c>
      <c r="D34009" s="15" t="s">
        <v>4535</v>
      </c>
      <c r="E34009" s="2">
        <v>1816890</v>
      </c>
      <c r="F34009" s="4" t="e">
        <f>IF(B34009=#REF!,"",B34009)</f>
        <v>#REF!</v>
      </c>
    </row>
    <row r="34010" spans="1:6" ht="15.75" customHeight="1">
      <c r="A34010" s="15" t="s">
        <v>4532</v>
      </c>
      <c r="B34010" s="15" t="s">
        <v>4532</v>
      </c>
      <c r="C34010" s="15" t="s">
        <v>4487</v>
      </c>
      <c r="D34010" s="15" t="s">
        <v>4533</v>
      </c>
      <c r="E34010" s="2">
        <v>2038432</v>
      </c>
      <c r="F34010" s="4" t="e">
        <f>IF(B34010=#REF!,"",B34010)</f>
        <v>#REF!</v>
      </c>
    </row>
    <row r="34011" spans="1:6" ht="15.75" customHeight="1">
      <c r="A34011" s="15" t="s">
        <v>4531</v>
      </c>
      <c r="B34011" s="15" t="s">
        <v>4531</v>
      </c>
      <c r="C34011" s="15" t="s">
        <v>4487</v>
      </c>
      <c r="D34011" s="15" t="s">
        <v>4488</v>
      </c>
      <c r="E34011" s="2">
        <v>2038438</v>
      </c>
      <c r="F34011" s="4" t="e">
        <f>IF(B34011=#REF!,"",B34011)</f>
        <v>#REF!</v>
      </c>
    </row>
    <row r="34012" spans="1:6" ht="15.75" customHeight="1">
      <c r="A34012" s="15" t="s">
        <v>4530</v>
      </c>
      <c r="B34012" s="15" t="s">
        <v>4530</v>
      </c>
      <c r="C34012" s="15" t="s">
        <v>4487</v>
      </c>
      <c r="D34012" s="15" t="s">
        <v>4488</v>
      </c>
      <c r="E34012" s="2">
        <v>2038446</v>
      </c>
      <c r="F34012" s="4" t="e">
        <f>IF(B34012=#REF!,"",B34012)</f>
        <v>#REF!</v>
      </c>
    </row>
    <row r="34013" spans="1:6" ht="15.75" customHeight="1">
      <c r="A34013" s="15" t="s">
        <v>4528</v>
      </c>
      <c r="B34013" s="15" t="s">
        <v>4528</v>
      </c>
      <c r="C34013" s="15" t="s">
        <v>4487</v>
      </c>
      <c r="D34013" s="15" t="s">
        <v>4529</v>
      </c>
      <c r="E34013" s="2">
        <v>1816971</v>
      </c>
      <c r="F34013" s="4" t="str">
        <f>IF(B34013=B34012,"",B34013)</f>
        <v>Baoding</v>
      </c>
    </row>
    <row r="34014" spans="1:6" ht="15.75" customHeight="1">
      <c r="A34014" s="16" t="s">
        <v>30802</v>
      </c>
      <c r="B34014" s="15" t="s">
        <v>30803</v>
      </c>
      <c r="C34014" s="16" t="s">
        <v>30784</v>
      </c>
      <c r="D34014" s="16" t="s">
        <v>30785</v>
      </c>
      <c r="E34014" s="2">
        <v>1588275</v>
      </c>
      <c r="F34014" s="4" t="str">
        <f>IF(B34014=B34013,"",B34014)</f>
        <v>Báº£o Lá»™c</v>
      </c>
    </row>
    <row r="34015" spans="1:6" ht="15.75" customHeight="1">
      <c r="A34015" s="15" t="s">
        <v>30800</v>
      </c>
      <c r="B34015" s="15" t="s">
        <v>30801</v>
      </c>
      <c r="C34015" s="15" t="s">
        <v>30784</v>
      </c>
      <c r="D34015" s="15" t="s">
        <v>30801</v>
      </c>
      <c r="E34015" s="2">
        <v>1587976</v>
      </c>
      <c r="F34015" s="4" t="str">
        <f>IF(B34015=B34014,"",B34015)</f>
        <v>Báº¿n Tre</v>
      </c>
    </row>
    <row r="34016" spans="1:6" ht="15.75" customHeight="1">
      <c r="A34016" s="16" t="s">
        <v>30798</v>
      </c>
      <c r="B34016" s="15" t="s">
        <v>30799</v>
      </c>
      <c r="C34016" s="16" t="s">
        <v>30784</v>
      </c>
      <c r="D34016" s="16" t="s">
        <v>30799</v>
      </c>
      <c r="E34016" s="2">
        <v>1591449</v>
      </c>
      <c r="F34016" s="4" t="str">
        <f>IF(B34016=B34015,"",B34016)</f>
        <v>Báº¯c Ninh</v>
      </c>
    </row>
    <row r="34017" spans="1:6" ht="15.75" customHeight="1">
      <c r="A34017" s="16" t="s">
        <v>30796</v>
      </c>
      <c r="B34017" s="15" t="s">
        <v>30797</v>
      </c>
      <c r="C34017" s="16" t="s">
        <v>30784</v>
      </c>
      <c r="D34017" s="16" t="s">
        <v>30797</v>
      </c>
      <c r="E34017" s="2">
        <v>1591538</v>
      </c>
      <c r="F34017" s="4" t="str">
        <f>IF(B34017=B34016,"",B34017)</f>
        <v>Báº¯c Káº¡n</v>
      </c>
    </row>
    <row r="34018" spans="1:6" ht="15.75" customHeight="1">
      <c r="A34018" s="16" t="s">
        <v>30794</v>
      </c>
      <c r="B34018" s="15" t="s">
        <v>30795</v>
      </c>
      <c r="C34018" s="16" t="s">
        <v>30784</v>
      </c>
      <c r="D34018" s="16" t="s">
        <v>30795</v>
      </c>
      <c r="E34018" s="2">
        <v>1591527</v>
      </c>
      <c r="F34018" s="4" t="str">
        <f>IF(B34018=B34017,"",B34018)</f>
        <v>Báº¯c Giang</v>
      </c>
    </row>
    <row r="34019" spans="1:6" ht="15.75" customHeight="1">
      <c r="A34019" s="16" t="str">
        <f ca="1">IFERROR(__xludf.DUMMYFUNCTION("GOOGLETRANSLATE(B45786,""en"",""pt"")"),"Bảo lộc")</f>
        <v>Bảo lộc</v>
      </c>
      <c r="B34019" s="20" t="s">
        <v>36197</v>
      </c>
      <c r="C34019" s="20" t="s">
        <v>30784</v>
      </c>
      <c r="D34019" s="20" t="s">
        <v>36180</v>
      </c>
      <c r="E34019" s="10">
        <v>1588275</v>
      </c>
      <c r="F34019" s="4" t="e">
        <f>IF(B34019=#REF!,"",B34019)</f>
        <v>#REF!</v>
      </c>
    </row>
    <row r="34020" spans="1:6" ht="15.75" customHeight="1">
      <c r="A34020" s="16" t="s">
        <v>13841</v>
      </c>
      <c r="B34020" s="15" t="s">
        <v>13841</v>
      </c>
      <c r="C34020" s="16" t="s">
        <v>13800</v>
      </c>
      <c r="D34020" s="16" t="s">
        <v>13816</v>
      </c>
      <c r="E34020" s="2">
        <v>1650077</v>
      </c>
      <c r="F34020" s="4" t="e">
        <f>IF(B34020=#REF!,"",B34020)</f>
        <v>#REF!</v>
      </c>
    </row>
    <row r="34021" spans="1:6" ht="15.75" customHeight="1">
      <c r="A34021" s="16" t="s">
        <v>13840</v>
      </c>
      <c r="B34021" s="15" t="s">
        <v>13840</v>
      </c>
      <c r="C34021" s="16" t="s">
        <v>13800</v>
      </c>
      <c r="D34021" s="16" t="s">
        <v>13803</v>
      </c>
      <c r="E34021" s="2">
        <v>1650095</v>
      </c>
      <c r="F34021" s="4" t="e">
        <f>IF(B34021=#REF!,"",B34021)</f>
        <v>#REF!</v>
      </c>
    </row>
    <row r="34022" spans="1:6" ht="15.75" customHeight="1">
      <c r="A34022" s="15" t="s">
        <v>24317</v>
      </c>
      <c r="B34022" s="15" t="s">
        <v>24317</v>
      </c>
      <c r="C34022" s="15" t="s">
        <v>24200</v>
      </c>
      <c r="D34022" s="15" t="s">
        <v>24277</v>
      </c>
      <c r="E34022" s="2">
        <v>3128885</v>
      </c>
      <c r="F34022" s="4" t="e">
        <f>IF(B34022=#REF!,"",B34022)</f>
        <v>#REF!</v>
      </c>
    </row>
    <row r="34023" spans="1:6" ht="15.75" customHeight="1">
      <c r="A34023" s="15" t="s">
        <v>3901</v>
      </c>
      <c r="B34023" s="15" t="s">
        <v>3901</v>
      </c>
      <c r="C34023" s="15" t="s">
        <v>3884</v>
      </c>
      <c r="D34023" s="15" t="s">
        <v>3902</v>
      </c>
      <c r="E34023" s="2">
        <v>2234794</v>
      </c>
      <c r="F34023" s="4" t="str">
        <f>IF(B34023=B34022,"",B34023)</f>
        <v>Banyo</v>
      </c>
    </row>
    <row r="34024" spans="1:6" ht="15.75" customHeight="1">
      <c r="A34024" s="16" t="str">
        <f ca="1">IFERROR(__xludf.DUMMYFUNCTION("GOOGLETRANSLATE(B33961,""en"",""pt"")"),"Banūr")</f>
        <v>Banūr</v>
      </c>
      <c r="B34024" s="20" t="s">
        <v>33953</v>
      </c>
      <c r="C34024" s="20" t="s">
        <v>10178</v>
      </c>
      <c r="D34024" s="20" t="s">
        <v>10184</v>
      </c>
      <c r="E34024" s="10">
        <v>1277200</v>
      </c>
      <c r="F34024" s="4" t="str">
        <f>IF(B34024=B34023,"",B34024)</f>
        <v>Banūr</v>
      </c>
    </row>
    <row r="34025" spans="1:6" ht="15.75" customHeight="1">
      <c r="A34025" s="16" t="str">
        <f ca="1">IFERROR(__xludf.DUMMYFUNCTION("GOOGLETRANSLATE(B33962,""en"",""pt"")"),"Bantvāl")</f>
        <v>Bantvāl</v>
      </c>
      <c r="B34025" s="20" t="s">
        <v>33954</v>
      </c>
      <c r="C34025" s="20" t="s">
        <v>10178</v>
      </c>
      <c r="D34025" s="20" t="s">
        <v>10252</v>
      </c>
      <c r="E34025" s="10">
        <v>1277201</v>
      </c>
      <c r="F34025" s="4" t="str">
        <f>IF(B34025=B34024,"",B34025)</f>
        <v>Bantvāl</v>
      </c>
    </row>
    <row r="34026" spans="1:6" ht="15.75" customHeight="1">
      <c r="A34026" s="15" t="s">
        <v>10595</v>
      </c>
      <c r="B34026" s="15" t="s">
        <v>10596</v>
      </c>
      <c r="C34026" s="15" t="s">
        <v>10178</v>
      </c>
      <c r="D34026" s="15" t="s">
        <v>10252</v>
      </c>
      <c r="E34026" s="2">
        <v>1277201</v>
      </c>
      <c r="F34026" s="4" t="str">
        <f>IF(B34026=B34025,"",B34026)</f>
        <v>BantvÄl</v>
      </c>
    </row>
    <row r="34027" spans="1:6" ht="15.75" customHeight="1">
      <c r="A34027" s="16" t="str">
        <f ca="1">IFERROR(__xludf.DUMMYFUNCTION("GOOGLETRANSLATE(B33963,""en"",""pt"")"),"Bāntva")</f>
        <v>Bāntva</v>
      </c>
      <c r="B34027" s="20" t="s">
        <v>33955</v>
      </c>
      <c r="C34027" s="20" t="s">
        <v>10178</v>
      </c>
      <c r="D34027" s="20" t="s">
        <v>10209</v>
      </c>
      <c r="E34027" s="10">
        <v>1277202</v>
      </c>
      <c r="F34027" s="4" t="e">
        <f>IF(B34027=#REF!,"",B34027)</f>
        <v>#REF!</v>
      </c>
    </row>
    <row r="34028" spans="1:6" ht="15.75" customHeight="1">
      <c r="A34028" s="15" t="s">
        <v>13839</v>
      </c>
      <c r="B34028" s="15" t="s">
        <v>13839</v>
      </c>
      <c r="C34028" s="15" t="s">
        <v>13800</v>
      </c>
      <c r="D34028" s="15" t="s">
        <v>13826</v>
      </c>
      <c r="E34028" s="2">
        <v>1650119</v>
      </c>
      <c r="F34028" s="4" t="e">
        <f>IF(B34028=#REF!,"",B34028)</f>
        <v>#REF!</v>
      </c>
    </row>
    <row r="34029" spans="1:6" ht="15.75" customHeight="1">
      <c r="A34029" s="15" t="s">
        <v>17445</v>
      </c>
      <c r="B34029" s="15" t="s">
        <v>17445</v>
      </c>
      <c r="C34029" s="15" t="s">
        <v>17432</v>
      </c>
      <c r="D34029" s="15" t="s">
        <v>17446</v>
      </c>
      <c r="E34029" s="2">
        <v>1734781</v>
      </c>
      <c r="F34029" s="4" t="e">
        <f>IF(B34029=#REF!,"",B34029)</f>
        <v>#REF!</v>
      </c>
    </row>
    <row r="34030" spans="1:6" ht="15.75" customHeight="1">
      <c r="A34030" s="15" t="s">
        <v>20659</v>
      </c>
      <c r="B34030" s="15" t="s">
        <v>20659</v>
      </c>
      <c r="C34030" s="15" t="s">
        <v>20598</v>
      </c>
      <c r="D34030" s="15" t="s">
        <v>20622</v>
      </c>
      <c r="E34030" s="2">
        <v>1727043</v>
      </c>
      <c r="F34030" s="4" t="str">
        <f>IF(B34030=B34029,"",B34030)</f>
        <v>Bantayan</v>
      </c>
    </row>
    <row r="34031" spans="1:6" ht="15.75" customHeight="1">
      <c r="A34031" s="16" t="str">
        <f ca="1">IFERROR(__xludf.DUMMYFUNCTION("GOOGLETRANSLATE(B33964,""en"",""pt"")"),"Bānswāra")</f>
        <v>Bānswāra</v>
      </c>
      <c r="B34031" s="20" t="s">
        <v>33956</v>
      </c>
      <c r="C34031" s="20" t="s">
        <v>10178</v>
      </c>
      <c r="D34031" s="20" t="s">
        <v>10179</v>
      </c>
      <c r="E34031" s="10">
        <v>1277214</v>
      </c>
      <c r="F34031" s="4" t="str">
        <f>IF(B34031=B34030,"",B34031)</f>
        <v>Bānswāra</v>
      </c>
    </row>
    <row r="34032" spans="1:6" ht="15.75" customHeight="1">
      <c r="A34032" s="16" t="str">
        <f ca="1">IFERROR(__xludf.DUMMYFUNCTION("GOOGLETRANSLATE(B33965,""en"",""pt"")"),"Bānswāda")</f>
        <v>Bānswāda</v>
      </c>
      <c r="B34032" s="20" t="s">
        <v>33957</v>
      </c>
      <c r="C34032" s="20" t="s">
        <v>10178</v>
      </c>
      <c r="D34032" s="20" t="s">
        <v>10187</v>
      </c>
      <c r="E34032" s="10">
        <v>1277216</v>
      </c>
      <c r="F34032" s="4" t="e">
        <f>IF(B34032=#REF!,"",B34032)</f>
        <v>#REF!</v>
      </c>
    </row>
    <row r="34033" spans="1:6" ht="15.75" customHeight="1">
      <c r="A34033" s="15" t="s">
        <v>27275</v>
      </c>
      <c r="B34033" s="15" t="s">
        <v>27275</v>
      </c>
      <c r="C34033" s="15" t="s">
        <v>27234</v>
      </c>
      <c r="D34033" s="15" t="s">
        <v>27241</v>
      </c>
      <c r="E34033" s="2">
        <v>2656379</v>
      </c>
      <c r="F34033" s="4" t="str">
        <f>IF(B34033=B34032,"",B34033)</f>
        <v>Banstead</v>
      </c>
    </row>
    <row r="34034" spans="1:6" ht="15.75" customHeight="1">
      <c r="A34034" s="16" t="s">
        <v>23703</v>
      </c>
      <c r="B34034" s="15" t="s">
        <v>23704</v>
      </c>
      <c r="C34034" s="16" t="s">
        <v>23694</v>
      </c>
      <c r="D34034" s="16" t="s">
        <v>23695</v>
      </c>
      <c r="E34034" s="2">
        <v>3061186</v>
      </c>
      <c r="F34034" s="4" t="str">
        <f>IF(B34034=B34033,"",B34034)</f>
        <v>BanskÃ¡ Bystrica</v>
      </c>
    </row>
    <row r="34035" spans="1:6" ht="15.75" customHeight="1">
      <c r="A34035" s="16" t="str">
        <f ca="1">IFERROR(__xludf.DUMMYFUNCTION("GOOGLETRANSLATE(B41271,""en"",""pt"")"),"Banská Bystrica")</f>
        <v>Banská Bystrica</v>
      </c>
      <c r="B34035" s="20" t="s">
        <v>35700</v>
      </c>
      <c r="C34035" s="20" t="s">
        <v>23694</v>
      </c>
      <c r="D34035" s="20" t="s">
        <v>35673</v>
      </c>
      <c r="E34035" s="10">
        <v>3061186</v>
      </c>
      <c r="F34035" s="4" t="str">
        <f>IF(B34035=B34034,"",B34035)</f>
        <v>Banská Bystrica</v>
      </c>
    </row>
    <row r="34036" spans="1:6" ht="15.75" customHeight="1">
      <c r="A34036" s="16" t="str">
        <f ca="1">IFERROR(__xludf.DUMMYFUNCTION("GOOGLETRANSLATE(B33966,""en"",""pt"")"),"Bānsi")</f>
        <v>Bānsi</v>
      </c>
      <c r="B34036" s="20" t="s">
        <v>33958</v>
      </c>
      <c r="C34036" s="20" t="s">
        <v>10178</v>
      </c>
      <c r="D34036" s="20" t="s">
        <v>10193</v>
      </c>
      <c r="E34036" s="10">
        <v>1277232</v>
      </c>
      <c r="F34036" s="4" t="str">
        <f>IF(B34036=B34035,"",B34036)</f>
        <v>Bānsi</v>
      </c>
    </row>
    <row r="34037" spans="1:6" ht="15.75" customHeight="1">
      <c r="A34037" s="16" t="str">
        <f ca="1">IFERROR(__xludf.DUMMYFUNCTION("GOOGLETRANSLATE(B33967,""en"",""pt"")"),"Bānsdīh")</f>
        <v>Bānsdīh</v>
      </c>
      <c r="B34037" s="20" t="s">
        <v>33959</v>
      </c>
      <c r="C34037" s="20" t="s">
        <v>10178</v>
      </c>
      <c r="D34037" s="20" t="s">
        <v>10193</v>
      </c>
      <c r="E34037" s="10">
        <v>1277238</v>
      </c>
      <c r="F34037" s="4" t="str">
        <f>IF(B34037=B34036,"",B34037)</f>
        <v>Bānsdīh</v>
      </c>
    </row>
    <row r="34038" spans="1:6" ht="15.75" customHeight="1">
      <c r="A34038" s="16" t="str">
        <f ca="1">IFERROR(__xludf.DUMMYFUNCTION("GOOGLETRANSLATE(B33968,""en"",""pt"")"),"Bānsbāria")</f>
        <v>Bānsbāria</v>
      </c>
      <c r="B34038" s="20" t="s">
        <v>33960</v>
      </c>
      <c r="C34038" s="20" t="s">
        <v>10178</v>
      </c>
      <c r="D34038" s="20" t="s">
        <v>10201</v>
      </c>
      <c r="E34038" s="10">
        <v>1277240</v>
      </c>
      <c r="F34038" s="4" t="e">
        <f>IF(B34038=#REF!,"",B34038)</f>
        <v>#REF!</v>
      </c>
    </row>
    <row r="34039" spans="1:6" ht="15.75" customHeight="1">
      <c r="A34039" s="15" t="s">
        <v>20657</v>
      </c>
      <c r="B34039" s="15" t="s">
        <v>20657</v>
      </c>
      <c r="C34039" s="15" t="s">
        <v>20598</v>
      </c>
      <c r="D34039" s="15" t="s">
        <v>20658</v>
      </c>
      <c r="E34039" s="2">
        <v>1727080</v>
      </c>
      <c r="F34039" s="4" t="e">
        <f>IF(B34039=#REF!,"",B34039)</f>
        <v>#REF!</v>
      </c>
    </row>
    <row r="34040" spans="1:6" ht="15.75" customHeight="1">
      <c r="A34040" s="15" t="s">
        <v>25501</v>
      </c>
      <c r="B34040" s="15" t="s">
        <v>25501</v>
      </c>
      <c r="C34040" s="15" t="s">
        <v>25502</v>
      </c>
      <c r="D34040" s="15" t="s">
        <v>25503</v>
      </c>
      <c r="E34040" s="2">
        <v>1670029</v>
      </c>
      <c r="F34040" s="4" t="str">
        <f>IF(B34040=B34039,"",B34040)</f>
        <v>Banqiao</v>
      </c>
    </row>
    <row r="34041" spans="1:6" ht="15.75" customHeight="1">
      <c r="A34041" s="16" t="str">
        <f ca="1">IFERROR(__xludf.DUMMYFUNCTION("GOOGLETRANSLATE(B41272,""en"",""pt"")"),"Bánovce Nad Bebravou")</f>
        <v>Bánovce Nad Bebravou</v>
      </c>
      <c r="B34041" s="20" t="s">
        <v>35701</v>
      </c>
      <c r="C34041" s="20" t="s">
        <v>23694</v>
      </c>
      <c r="D34041" s="20" t="s">
        <v>35682</v>
      </c>
      <c r="E34041" s="10">
        <v>3061188</v>
      </c>
      <c r="F34041" s="4" t="e">
        <f>IF(B34041=#REF!,"",B34041)</f>
        <v>#REF!</v>
      </c>
    </row>
    <row r="34042" spans="1:6" ht="15.75" customHeight="1">
      <c r="A34042" s="16" t="s">
        <v>902</v>
      </c>
      <c r="B34042" s="15" t="s">
        <v>903</v>
      </c>
      <c r="C34042" s="16" t="s">
        <v>885</v>
      </c>
      <c r="D34042" s="16" t="s">
        <v>891</v>
      </c>
      <c r="E34042" s="2">
        <v>2176934</v>
      </c>
      <c r="F34042" s="4" t="str">
        <f>IF(B34042=B34041,"",B34042)</f>
        <v>Banora Point</v>
      </c>
    </row>
    <row r="34043" spans="1:6" ht="15.75" customHeight="1">
      <c r="A34043" s="16" t="str">
        <f ca="1">IFERROR(__xludf.DUMMYFUNCTION("GOOGLETRANSLATE(B33969,""en"",""pt"")"),"Bannūr")</f>
        <v>Bannūr</v>
      </c>
      <c r="B34043" s="20" t="s">
        <v>33961</v>
      </c>
      <c r="C34043" s="20" t="s">
        <v>10178</v>
      </c>
      <c r="D34043" s="20" t="s">
        <v>10252</v>
      </c>
      <c r="E34043" s="10">
        <v>1277255</v>
      </c>
      <c r="F34043" s="4" t="e">
        <f>IF(B34043=#REF!,"",B34043)</f>
        <v>#REF!</v>
      </c>
    </row>
    <row r="34044" spans="1:6" ht="15.75" customHeight="1">
      <c r="A34044" s="15" t="s">
        <v>19829</v>
      </c>
      <c r="B34044" s="15" t="s">
        <v>19829</v>
      </c>
      <c r="C34044" s="15" t="s">
        <v>19808</v>
      </c>
      <c r="D34044" s="15" t="s">
        <v>19811</v>
      </c>
      <c r="E34044" s="2">
        <v>1183460</v>
      </c>
      <c r="F34044" s="4" t="e">
        <f>IF(B34044=#REF!,"",B34044)</f>
        <v>#REF!</v>
      </c>
    </row>
    <row r="34045" spans="1:6" ht="15.75" customHeight="1">
      <c r="A34045" s="15" t="s">
        <v>27947</v>
      </c>
      <c r="B34045" s="15" t="s">
        <v>27948</v>
      </c>
      <c r="C34045" s="15" t="s">
        <v>27788</v>
      </c>
      <c r="D34045" s="15" t="s">
        <v>27801</v>
      </c>
      <c r="E34045" s="2">
        <v>5326032</v>
      </c>
      <c r="F34045" s="4" t="str">
        <f>IF(B34045=B34044,"",B34045)</f>
        <v>Banning</v>
      </c>
    </row>
    <row r="34046" spans="1:6" ht="15.75" customHeight="1">
      <c r="A34046" s="15" t="s">
        <v>10593</v>
      </c>
      <c r="B34046" s="15" t="s">
        <v>10594</v>
      </c>
      <c r="C34046" s="15" t="s">
        <v>10178</v>
      </c>
      <c r="D34046" s="15" t="s">
        <v>10252</v>
      </c>
      <c r="E34046" s="2">
        <v>1277255</v>
      </c>
      <c r="F34046" s="4" t="e">
        <f>IF(B34046=#REF!,"",B34046)</f>
        <v>#REF!</v>
      </c>
    </row>
    <row r="34047" spans="1:6" ht="15.75" customHeight="1">
      <c r="A34047" s="16" t="s">
        <v>10592</v>
      </c>
      <c r="B34047" s="15" t="s">
        <v>10592</v>
      </c>
      <c r="C34047" s="16" t="s">
        <v>10178</v>
      </c>
      <c r="D34047" s="16" t="s">
        <v>10317</v>
      </c>
      <c r="E34047" s="2">
        <v>1277263</v>
      </c>
      <c r="F34047" s="4" t="str">
        <f>IF(B34047=B34046,"",B34047)</f>
        <v>Banmankhi</v>
      </c>
    </row>
    <row r="34048" spans="1:6" ht="15.75" customHeight="1">
      <c r="A34048" s="16" t="str">
        <f ca="1">IFERROR(__xludf.DUMMYFUNCTION("GOOGLETRANSLATE(B33971,""en"",""pt"")"),"Bānkura")</f>
        <v>Bānkura</v>
      </c>
      <c r="B34048" s="20" t="s">
        <v>33962</v>
      </c>
      <c r="C34048" s="20" t="s">
        <v>10178</v>
      </c>
      <c r="D34048" s="20" t="s">
        <v>10201</v>
      </c>
      <c r="E34048" s="10">
        <v>1277264</v>
      </c>
      <c r="F34048" s="4" t="e">
        <f>IF(B34048=#REF!,"",B34048)</f>
        <v>#REF!</v>
      </c>
    </row>
    <row r="34049" spans="1:6" ht="15.75" customHeight="1">
      <c r="A34049" s="16" t="s">
        <v>901</v>
      </c>
      <c r="B34049" s="15" t="s">
        <v>901</v>
      </c>
      <c r="C34049" s="16" t="s">
        <v>885</v>
      </c>
      <c r="D34049" s="16" t="s">
        <v>891</v>
      </c>
      <c r="E34049" s="2">
        <v>2176947</v>
      </c>
      <c r="F34049" s="4" t="e">
        <f>IF(B34049=#REF!,"",B34049)</f>
        <v>#REF!</v>
      </c>
    </row>
    <row r="34050" spans="1:6" ht="15.75" customHeight="1">
      <c r="A34050" s="15" t="s">
        <v>10591</v>
      </c>
      <c r="B34050" s="15" t="s">
        <v>10591</v>
      </c>
      <c r="C34050" s="15" t="s">
        <v>10178</v>
      </c>
      <c r="D34050" s="15" t="s">
        <v>10201</v>
      </c>
      <c r="E34050" s="2">
        <v>1348747</v>
      </c>
      <c r="F34050" s="4" t="str">
        <f>IF(B34050=B34049,"",B34050)</f>
        <v>Bankra</v>
      </c>
    </row>
    <row r="34051" spans="1:6" ht="15.75" customHeight="1">
      <c r="A34051" s="16" t="str">
        <f ca="1">IFERROR(__xludf.DUMMYFUNCTION("GOOGLETRANSLATE(B33972,""en"",""pt"")"),"Bānki")</f>
        <v>Bānki</v>
      </c>
      <c r="B34051" s="20" t="s">
        <v>33963</v>
      </c>
      <c r="C34051" s="20" t="s">
        <v>10178</v>
      </c>
      <c r="D34051" s="20" t="s">
        <v>10229</v>
      </c>
      <c r="E34051" s="10">
        <v>1277273</v>
      </c>
      <c r="F34051" s="4" t="str">
        <f>IF(B34051=B34050,"",B34051)</f>
        <v>Bānki</v>
      </c>
    </row>
    <row r="34052" spans="1:6" ht="15.75" customHeight="1">
      <c r="A34052" s="16" t="str">
        <f ca="1">IFERROR(__xludf.DUMMYFUNCTION("GOOGLETRANSLATE(B33973,""en"",""pt"")"),"Bānka")</f>
        <v>Bānka</v>
      </c>
      <c r="B34052" s="20" t="s">
        <v>33964</v>
      </c>
      <c r="C34052" s="20" t="s">
        <v>10178</v>
      </c>
      <c r="D34052" s="20" t="s">
        <v>10317</v>
      </c>
      <c r="E34052" s="10">
        <v>1277289</v>
      </c>
      <c r="F34052" s="4" t="e">
        <f>IF(B34052=#REF!,"",B34052)</f>
        <v>#REF!</v>
      </c>
    </row>
    <row r="34053" spans="1:6" ht="15.75" customHeight="1">
      <c r="A34053" s="15" t="s">
        <v>7981</v>
      </c>
      <c r="B34053" s="15" t="s">
        <v>7981</v>
      </c>
      <c r="C34053" s="15" t="s">
        <v>7980</v>
      </c>
      <c r="D34053" s="15" t="s">
        <v>7981</v>
      </c>
      <c r="E34053" s="2">
        <v>2413876</v>
      </c>
      <c r="F34053" s="4" t="e">
        <f>IF(B34053=#REF!,"",B34053)</f>
        <v>#REF!</v>
      </c>
    </row>
    <row r="34054" spans="1:6" ht="15.75" customHeight="1">
      <c r="A34054" s="16" t="s">
        <v>13838</v>
      </c>
      <c r="B34054" s="15" t="s">
        <v>13838</v>
      </c>
      <c r="C34054" s="16" t="s">
        <v>13800</v>
      </c>
      <c r="D34054" s="16" t="s">
        <v>13809</v>
      </c>
      <c r="E34054" s="2">
        <v>1650213</v>
      </c>
      <c r="F34054" s="4" t="e">
        <f>IF(B34054=#REF!,"",B34054)</f>
        <v>#REF!</v>
      </c>
    </row>
    <row r="34055" spans="1:6" ht="15.75" customHeight="1">
      <c r="A34055" s="15" t="s">
        <v>13837</v>
      </c>
      <c r="B34055" s="15" t="s">
        <v>13837</v>
      </c>
      <c r="C34055" s="15" t="s">
        <v>13800</v>
      </c>
      <c r="D34055" s="15" t="s">
        <v>13811</v>
      </c>
      <c r="E34055" s="2">
        <v>1650227</v>
      </c>
      <c r="F34055" s="4" t="e">
        <f>IF(B34055=#REF!,"",B34055)</f>
        <v>#REF!</v>
      </c>
    </row>
    <row r="34056" spans="1:6" ht="15.75" customHeight="1">
      <c r="A34056" s="15" t="s">
        <v>13836</v>
      </c>
      <c r="B34056" s="15" t="s">
        <v>13836</v>
      </c>
      <c r="C34056" s="15" t="s">
        <v>13800</v>
      </c>
      <c r="D34056" s="15" t="s">
        <v>3894</v>
      </c>
      <c r="E34056" s="2">
        <v>1650232</v>
      </c>
      <c r="F34056" s="4" t="e">
        <f>IF(B34056=#REF!,"",B34056)</f>
        <v>#REF!</v>
      </c>
    </row>
    <row r="34057" spans="1:6" ht="15.75" customHeight="1">
      <c r="A34057" s="16" t="s">
        <v>1844</v>
      </c>
      <c r="B34057" s="15" t="s">
        <v>1844</v>
      </c>
      <c r="C34057" s="16" t="s">
        <v>1845</v>
      </c>
      <c r="D34057" s="16" t="s">
        <v>1846</v>
      </c>
      <c r="E34057" s="2">
        <v>3204541</v>
      </c>
      <c r="F34057" s="4" t="str">
        <f>IF(B34057=B34056,"",B34057)</f>
        <v>Banja Luka</v>
      </c>
    </row>
    <row r="34058" spans="1:6" ht="15.75" customHeight="1">
      <c r="A34058" s="16" t="str">
        <f ca="1">IFERROR(__xludf.DUMMYFUNCTION("GOOGLETRANSLATE(B41439,""en"",""pt"")"),"Bāniyās")</f>
        <v>Bāniyās</v>
      </c>
      <c r="B34058" s="20" t="s">
        <v>35753</v>
      </c>
      <c r="C34058" s="20" t="s">
        <v>25366</v>
      </c>
      <c r="D34058" s="20" t="s">
        <v>25434</v>
      </c>
      <c r="E34058" s="10">
        <v>171830</v>
      </c>
      <c r="F34058" s="4" t="e">
        <f>IF(B34058=#REF!,"",B34058)</f>
        <v>#REF!</v>
      </c>
    </row>
    <row r="34059" spans="1:6" ht="15.75" customHeight="1">
      <c r="A34059" s="16" t="s">
        <v>1749</v>
      </c>
      <c r="B34059" s="15" t="s">
        <v>1749</v>
      </c>
      <c r="C34059" s="16" t="s">
        <v>1741</v>
      </c>
      <c r="D34059" s="16" t="s">
        <v>1750</v>
      </c>
      <c r="E34059" s="2">
        <v>2395317</v>
      </c>
      <c r="F34059" s="4" t="e">
        <f>IF(B34059=#REF!,"",B34059)</f>
        <v>#REF!</v>
      </c>
    </row>
    <row r="34060" spans="1:6" ht="15.75" customHeight="1">
      <c r="A34060" s="16" t="s">
        <v>1305</v>
      </c>
      <c r="B34060" s="15" t="s">
        <v>1305</v>
      </c>
      <c r="C34060" s="16" t="s">
        <v>1296</v>
      </c>
      <c r="D34060" s="16" t="s">
        <v>1306</v>
      </c>
      <c r="E34060" s="2">
        <v>1185274</v>
      </c>
      <c r="F34060" s="4" t="str">
        <f>IF(B34060=B34059,"",B34060)</f>
        <v>Baniachang</v>
      </c>
    </row>
    <row r="34061" spans="1:6" ht="15.75" customHeight="1">
      <c r="A34061" s="16" t="str">
        <f ca="1">IFERROR(__xludf.DUMMYFUNCTION("GOOGLETRANSLATE(B36447,""en"",""pt"")"),"Banī Walīd")</f>
        <v>Banī Walīd</v>
      </c>
      <c r="B34061" s="20" t="s">
        <v>34576</v>
      </c>
      <c r="C34061" s="20" t="s">
        <v>17074</v>
      </c>
      <c r="D34061" s="20" t="s">
        <v>34564</v>
      </c>
      <c r="E34061" s="10">
        <v>2218840</v>
      </c>
      <c r="F34061" s="4" t="str">
        <f>IF(B34061=B34060,"",B34061)</f>
        <v>Banī Walīd</v>
      </c>
    </row>
    <row r="34062" spans="1:6" ht="15.75" customHeight="1">
      <c r="A34062" s="16" t="str">
        <f ca="1">IFERROR(__xludf.DUMMYFUNCTION("GOOGLETRANSLATE(B28887,""en"",""pt"")"),"Banī Suwayf")</f>
        <v>Banī Suwayf</v>
      </c>
      <c r="B34062" s="20" t="s">
        <v>32310</v>
      </c>
      <c r="C34062" s="20" t="s">
        <v>6495</v>
      </c>
      <c r="D34062" s="20" t="s">
        <v>32256</v>
      </c>
      <c r="E34062" s="10">
        <v>359173</v>
      </c>
      <c r="F34062" s="4" t="str">
        <f>IF(B34062=B34061,"",B34062)</f>
        <v>Banī Suwayf</v>
      </c>
    </row>
    <row r="34063" spans="1:6" ht="15.75" customHeight="1">
      <c r="A34063" s="16" t="str">
        <f ca="1">IFERROR(__xludf.DUMMYFUNCTION("GOOGLETRANSLATE(B39533,""en"",""pt"")"),"Banī Suhaylā")</f>
        <v>Banī Suhaylā</v>
      </c>
      <c r="B34063" s="20" t="s">
        <v>35265</v>
      </c>
      <c r="C34063" s="20" t="s">
        <v>20297</v>
      </c>
      <c r="D34063" s="20" t="s">
        <v>20305</v>
      </c>
      <c r="E34063" s="10">
        <v>281148</v>
      </c>
      <c r="F34063" s="4" t="str">
        <f>IF(B34063=B34062,"",B34063)</f>
        <v>Banī Suhaylā</v>
      </c>
    </row>
    <row r="34064" spans="1:6" ht="15.75" customHeight="1">
      <c r="A34064" s="16" t="str">
        <f ca="1">IFERROR(__xludf.DUMMYFUNCTION("GOOGLETRANSLATE(B39550,""en"",""pt"")"),"Banī Na‘īm")</f>
        <v>Banī Na‘īm</v>
      </c>
      <c r="B34064" s="20" t="s">
        <v>35277</v>
      </c>
      <c r="C34064" s="20" t="s">
        <v>20297</v>
      </c>
      <c r="D34064" s="20" t="s">
        <v>20298</v>
      </c>
      <c r="E34064" s="10">
        <v>284431</v>
      </c>
      <c r="F34064" s="4" t="str">
        <f>IF(B34064=B34063,"",B34064)</f>
        <v>Banī Na‘īm</v>
      </c>
    </row>
    <row r="34065" spans="1:6" ht="15.75" customHeight="1">
      <c r="A34065" s="16" t="str">
        <f ca="1">IFERROR(__xludf.DUMMYFUNCTION("GOOGLETRANSLATE(B28888,""en"",""pt"")"),"Banī Mazār")</f>
        <v>Banī Mazār</v>
      </c>
      <c r="B34065" s="20" t="s">
        <v>32311</v>
      </c>
      <c r="C34065" s="20" t="s">
        <v>6495</v>
      </c>
      <c r="D34065" s="20" t="s">
        <v>32263</v>
      </c>
      <c r="E34065" s="10">
        <v>359212</v>
      </c>
      <c r="F34065" s="4" t="str">
        <f>IF(B34065=B34064,"",B34065)</f>
        <v>Banī Mazār</v>
      </c>
    </row>
    <row r="34066" spans="1:6" ht="15.75" customHeight="1">
      <c r="A34066" s="16" t="str">
        <f ca="1">IFERROR(__xludf.DUMMYFUNCTION("GOOGLETRANSLATE(B28495,""en"",""pt"")"),"Baní")</f>
        <v>Baní</v>
      </c>
      <c r="B34066" s="20" t="s">
        <v>32181</v>
      </c>
      <c r="C34066" s="20" t="s">
        <v>6303</v>
      </c>
      <c r="D34066" s="20" t="s">
        <v>6308</v>
      </c>
      <c r="E34066" s="10">
        <v>3512067</v>
      </c>
      <c r="F34066" s="4" t="str">
        <f>IF(B34066=B34065,"",B34066)</f>
        <v>Baní</v>
      </c>
    </row>
    <row r="34067" spans="1:6" ht="15.75" customHeight="1">
      <c r="A34067" s="15" t="s">
        <v>6614</v>
      </c>
      <c r="B34067" s="15" t="s">
        <v>6615</v>
      </c>
      <c r="C34067" s="15" t="s">
        <v>6495</v>
      </c>
      <c r="D34067" s="15" t="s">
        <v>6561</v>
      </c>
      <c r="E34067" s="2">
        <v>359280</v>
      </c>
      <c r="F34067" s="4" t="str">
        <f>IF(B34067=B34066,"",B34067)</f>
        <v>BanhÄ</v>
      </c>
    </row>
    <row r="34068" spans="1:6" ht="15.75" customHeight="1">
      <c r="A34068" s="16" t="str">
        <f ca="1">IFERROR(__xludf.DUMMYFUNCTION("GOOGLETRANSLATE(B28889,""en"",""pt"")"),"Banhā")</f>
        <v>Banhā</v>
      </c>
      <c r="B34068" s="20" t="s">
        <v>32312</v>
      </c>
      <c r="C34068" s="20" t="s">
        <v>6495</v>
      </c>
      <c r="D34068" s="20" t="s">
        <v>32246</v>
      </c>
      <c r="E34068" s="10">
        <v>359280</v>
      </c>
      <c r="F34068" s="4" t="e">
        <f>IF(B34068=#REF!,"",B34068)</f>
        <v>#REF!</v>
      </c>
    </row>
    <row r="34069" spans="1:6" ht="15.75" customHeight="1">
      <c r="A34069" s="15" t="s">
        <v>4269</v>
      </c>
      <c r="B34069" s="15" t="s">
        <v>4269</v>
      </c>
      <c r="C34069" s="15" t="s">
        <v>4264</v>
      </c>
      <c r="D34069" s="15" t="s">
        <v>4269</v>
      </c>
      <c r="E34069" s="2">
        <v>2389853</v>
      </c>
      <c r="F34069" s="4" t="e">
        <f>IF(B34069=#REF!,"",B34069)</f>
        <v>#REF!</v>
      </c>
    </row>
    <row r="34070" spans="1:6" ht="15.75" customHeight="1">
      <c r="A34070" s="15" t="s">
        <v>27274</v>
      </c>
      <c r="B34070" s="15" t="s">
        <v>27274</v>
      </c>
      <c r="C34070" s="15" t="s">
        <v>27234</v>
      </c>
      <c r="D34070" s="15" t="s">
        <v>27259</v>
      </c>
      <c r="E34070" s="2">
        <v>2656396</v>
      </c>
      <c r="F34070" s="4" t="e">
        <f>IF(B34070=#REF!,"",B34070)</f>
        <v>#REF!</v>
      </c>
    </row>
    <row r="34071" spans="1:6" ht="15.75" customHeight="1">
      <c r="A34071" s="16" t="s">
        <v>15611</v>
      </c>
      <c r="B34071" s="15" t="s">
        <v>15612</v>
      </c>
      <c r="C34071" s="16" t="s">
        <v>15586</v>
      </c>
      <c r="D34071" s="16" t="s">
        <v>15613</v>
      </c>
      <c r="E34071" s="2">
        <v>2292179</v>
      </c>
      <c r="F34071" s="4" t="e">
        <f>IF(B34071=#REF!,"",B34071)</f>
        <v>#REF!</v>
      </c>
    </row>
    <row r="34072" spans="1:6" ht="15.75" customHeight="1">
      <c r="A34072" s="15" t="s">
        <v>25847</v>
      </c>
      <c r="B34072" s="15" t="s">
        <v>25847</v>
      </c>
      <c r="C34072" s="15" t="s">
        <v>25771</v>
      </c>
      <c r="D34072" s="15" t="s">
        <v>25847</v>
      </c>
      <c r="E34072" s="2">
        <v>1609350</v>
      </c>
      <c r="F34072" s="4" t="e">
        <f>IF(B34072=#REF!,"",B34072)</f>
        <v>#REF!</v>
      </c>
    </row>
    <row r="34073" spans="1:6" ht="15.75" customHeight="1">
      <c r="A34073" s="16" t="s">
        <v>13835</v>
      </c>
      <c r="B34073" s="15" t="s">
        <v>13835</v>
      </c>
      <c r="C34073" s="16" t="s">
        <v>13800</v>
      </c>
      <c r="D34073" s="16" t="s">
        <v>13816</v>
      </c>
      <c r="E34073" s="2">
        <v>1650298</v>
      </c>
      <c r="F34073" s="4" t="e">
        <f>IF(B34073=#REF!,"",B34073)</f>
        <v>#REF!</v>
      </c>
    </row>
    <row r="34074" spans="1:6" ht="15.75" customHeight="1">
      <c r="A34074" s="15" t="s">
        <v>13834</v>
      </c>
      <c r="B34074" s="15" t="s">
        <v>13834</v>
      </c>
      <c r="C34074" s="15" t="s">
        <v>13800</v>
      </c>
      <c r="D34074" s="15" t="s">
        <v>13816</v>
      </c>
      <c r="E34074" s="2">
        <v>1650319</v>
      </c>
      <c r="F34074" s="4" t="e">
        <f>IF(B34074=#REF!,"",B34074)</f>
        <v>#REF!</v>
      </c>
    </row>
    <row r="34075" spans="1:6" ht="15.75" customHeight="1">
      <c r="A34075" s="16" t="s">
        <v>4266</v>
      </c>
      <c r="B34075" s="15" t="s">
        <v>4267</v>
      </c>
      <c r="C34075" s="16" t="s">
        <v>4264</v>
      </c>
      <c r="D34075" s="16" t="s">
        <v>4268</v>
      </c>
      <c r="E34075" s="2">
        <v>240498</v>
      </c>
      <c r="F34075" s="4" t="str">
        <f>IF(B34075=B34074,"",B34075)</f>
        <v>Bangassou</v>
      </c>
    </row>
    <row r="34076" spans="1:6" ht="15.75" customHeight="1">
      <c r="A34076" s="16" t="str">
        <f ca="1">IFERROR(__xludf.DUMMYFUNCTION("GOOGLETRANSLATE(B33974,""en"",""pt"")"),"Bāngarmau")</f>
        <v>Bāngarmau</v>
      </c>
      <c r="B34076" s="20" t="s">
        <v>33965</v>
      </c>
      <c r="C34076" s="20" t="s">
        <v>10178</v>
      </c>
      <c r="D34076" s="20" t="s">
        <v>10193</v>
      </c>
      <c r="E34076" s="10">
        <v>1277318</v>
      </c>
      <c r="F34076" s="4" t="str">
        <f>IF(B34076=B34075,"",B34076)</f>
        <v>Bāngarmau</v>
      </c>
    </row>
    <row r="34077" spans="1:6" ht="15.75" customHeight="1">
      <c r="A34077" s="16" t="str">
        <f ca="1">IFERROR(__xludf.DUMMYFUNCTION("GOOGLETRANSLATE(B33975,""en"",""pt"")"),"Bangārapet")</f>
        <v>Bangārapet</v>
      </c>
      <c r="B34077" s="20" t="s">
        <v>33966</v>
      </c>
      <c r="C34077" s="20" t="s">
        <v>10178</v>
      </c>
      <c r="D34077" s="20" t="s">
        <v>10252</v>
      </c>
      <c r="E34077" s="10">
        <v>1277320</v>
      </c>
      <c r="F34077" s="4" t="e">
        <f>IF(B34077=#REF!,"",B34077)</f>
        <v>#REF!</v>
      </c>
    </row>
    <row r="34078" spans="1:6" ht="15.75" customHeight="1">
      <c r="A34078" s="15" t="s">
        <v>10590</v>
      </c>
      <c r="B34078" s="15" t="s">
        <v>10590</v>
      </c>
      <c r="C34078" s="15" t="s">
        <v>10178</v>
      </c>
      <c r="D34078" s="15" t="s">
        <v>10317</v>
      </c>
      <c r="E34078" s="2">
        <v>1277322</v>
      </c>
      <c r="F34078" s="4" t="str">
        <f>IF(B34078=B34077,"",B34078)</f>
        <v>Bangaon</v>
      </c>
    </row>
    <row r="34079" spans="1:6" ht="15.75" customHeight="1">
      <c r="A34079" s="16" t="str">
        <f ca="1">IFERROR(__xludf.DUMMYFUNCTION("GOOGLETRANSLATE(B26035,""en"",""pt"")"),"BANGANGTÉ")</f>
        <v>BANGANGTÉ</v>
      </c>
      <c r="B34079" s="20" t="s">
        <v>31825</v>
      </c>
      <c r="C34079" s="20" t="s">
        <v>3884</v>
      </c>
      <c r="D34079" s="20" t="s">
        <v>3891</v>
      </c>
      <c r="E34079" s="10">
        <v>2234865</v>
      </c>
      <c r="F34079" s="4" t="str">
        <f>IF(B34079=B34078,"",B34079)</f>
        <v>Bangangté</v>
      </c>
    </row>
    <row r="34080" spans="1:6" ht="15.75" customHeight="1">
      <c r="A34080" s="16" t="s">
        <v>3899</v>
      </c>
      <c r="B34080" s="15" t="s">
        <v>3900</v>
      </c>
      <c r="C34080" s="16" t="s">
        <v>3884</v>
      </c>
      <c r="D34080" s="16" t="s">
        <v>3891</v>
      </c>
      <c r="E34080" s="2">
        <v>2234865</v>
      </c>
      <c r="F34080" s="4" t="e">
        <f>IF(B34080=#REF!,"",B34080)</f>
        <v>#REF!</v>
      </c>
    </row>
    <row r="34081" spans="1:6" ht="15.75" customHeight="1">
      <c r="A34081" s="16" t="s">
        <v>10588</v>
      </c>
      <c r="B34081" s="15" t="s">
        <v>10589</v>
      </c>
      <c r="C34081" s="16" t="s">
        <v>10178</v>
      </c>
      <c r="D34081" s="16" t="s">
        <v>10190</v>
      </c>
      <c r="E34081" s="2">
        <v>1277330</v>
      </c>
      <c r="F34081" s="4" t="str">
        <f>IF(B34081=B34080,"",B34081)</f>
        <v>Banganapalle</v>
      </c>
    </row>
    <row r="34082" spans="1:6" ht="15.75" customHeight="1">
      <c r="A34082" s="16" t="s">
        <v>10586</v>
      </c>
      <c r="B34082" s="15" t="s">
        <v>10587</v>
      </c>
      <c r="C34082" s="16" t="s">
        <v>10178</v>
      </c>
      <c r="D34082" s="16" t="s">
        <v>10252</v>
      </c>
      <c r="E34082" s="2">
        <v>1277320</v>
      </c>
      <c r="F34082" s="4" t="str">
        <f>IF(B34082=B34081,"",B34082)</f>
        <v>BangÄrapet</v>
      </c>
    </row>
    <row r="34083" spans="1:6" ht="15.75" customHeight="1">
      <c r="A34083" s="16" t="str">
        <f ca="1">IFERROR(__xludf.DUMMYFUNCTION("GOOGLETRANSLATE(B38823,""en"",""pt"")"),"Bañga")</f>
        <v>Bañga</v>
      </c>
      <c r="B34083" s="20" t="s">
        <v>34888</v>
      </c>
      <c r="C34083" s="20" t="s">
        <v>20598</v>
      </c>
      <c r="D34083" s="20" t="s">
        <v>20606</v>
      </c>
      <c r="E34083" s="10">
        <v>1727400</v>
      </c>
      <c r="F34083" s="4" t="e">
        <f>IF(B34083=#REF!,"",B34083)</f>
        <v>#REF!</v>
      </c>
    </row>
    <row r="34084" spans="1:6" ht="15.75" customHeight="1">
      <c r="A34084" s="15" t="s">
        <v>10585</v>
      </c>
      <c r="B34084" s="15" t="s">
        <v>10585</v>
      </c>
      <c r="C34084" s="15" t="s">
        <v>10178</v>
      </c>
      <c r="D34084" s="15" t="s">
        <v>10184</v>
      </c>
      <c r="E34084" s="2">
        <v>1277338</v>
      </c>
      <c r="F34084" s="4" t="e">
        <f>IF(B34084=#REF!,"",B34084)</f>
        <v>#REF!</v>
      </c>
    </row>
    <row r="34085" spans="1:6" ht="15.75" customHeight="1">
      <c r="A34085" s="16" t="s">
        <v>25845</v>
      </c>
      <c r="B34085" s="15" t="s">
        <v>25845</v>
      </c>
      <c r="C34085" s="16" t="s">
        <v>25771</v>
      </c>
      <c r="D34085" s="16" t="s">
        <v>25846</v>
      </c>
      <c r="E34085" s="2">
        <v>1157662</v>
      </c>
      <c r="F34085" s="4" t="e">
        <f>IF(B34085=#REF!,"",B34085)</f>
        <v>#REF!</v>
      </c>
    </row>
    <row r="34086" spans="1:6" ht="15.75" customHeight="1">
      <c r="A34086" s="16" t="s">
        <v>25844</v>
      </c>
      <c r="B34086" s="15" t="s">
        <v>25844</v>
      </c>
      <c r="C34086" s="16" t="s">
        <v>25771</v>
      </c>
      <c r="D34086" s="16" t="s">
        <v>25830</v>
      </c>
      <c r="E34086" s="2">
        <v>1619276</v>
      </c>
      <c r="F34086" s="4" t="e">
        <f>IF(B34086=#REF!,"",B34086)</f>
        <v>#REF!</v>
      </c>
    </row>
    <row r="34087" spans="1:6" ht="15.75" customHeight="1">
      <c r="A34087" s="16" t="s">
        <v>25842</v>
      </c>
      <c r="B34087" s="15" t="s">
        <v>25842</v>
      </c>
      <c r="C34087" s="16" t="s">
        <v>25771</v>
      </c>
      <c r="D34087" s="16" t="s">
        <v>25843</v>
      </c>
      <c r="E34087" s="2">
        <v>1619281</v>
      </c>
      <c r="F34087" s="4" t="e">
        <f>IF(B34087=#REF!,"",B34087)</f>
        <v>#REF!</v>
      </c>
    </row>
    <row r="34088" spans="1:6" ht="15.75" customHeight="1">
      <c r="A34088" s="16" t="s">
        <v>25841</v>
      </c>
      <c r="B34088" s="15" t="s">
        <v>25841</v>
      </c>
      <c r="C34088" s="16" t="s">
        <v>25771</v>
      </c>
      <c r="D34088" s="16" t="s">
        <v>25811</v>
      </c>
      <c r="E34088" s="2">
        <v>1157683</v>
      </c>
      <c r="F34088" s="4" t="e">
        <f>IF(B34088=#REF!,"",B34088)</f>
        <v>#REF!</v>
      </c>
    </row>
    <row r="34089" spans="1:6" ht="15.75" customHeight="1">
      <c r="A34089" s="16" t="s">
        <v>25839</v>
      </c>
      <c r="B34089" s="15" t="s">
        <v>25839</v>
      </c>
      <c r="C34089" s="16" t="s">
        <v>25771</v>
      </c>
      <c r="D34089" s="16" t="s">
        <v>25840</v>
      </c>
      <c r="E34089" s="2">
        <v>1619363</v>
      </c>
      <c r="F34089" s="4" t="e">
        <f>IF(B34089=#REF!,"",B34089)</f>
        <v>#REF!</v>
      </c>
    </row>
    <row r="34090" spans="1:6" ht="15.75" customHeight="1">
      <c r="A34090" s="16" t="s">
        <v>25837</v>
      </c>
      <c r="B34090" s="15" t="s">
        <v>25838</v>
      </c>
      <c r="C34090" s="16" t="s">
        <v>25771</v>
      </c>
      <c r="D34090" s="16" t="s">
        <v>25778</v>
      </c>
      <c r="E34090" s="2">
        <v>1619369</v>
      </c>
      <c r="F34090" s="4" t="e">
        <f>IF(B34090=#REF!,"",B34090)</f>
        <v>#REF!</v>
      </c>
    </row>
    <row r="34091" spans="1:6" ht="15.75" customHeight="1">
      <c r="A34091" s="16" t="s">
        <v>25835</v>
      </c>
      <c r="B34091" s="15" t="s">
        <v>25835</v>
      </c>
      <c r="C34091" s="16" t="s">
        <v>25771</v>
      </c>
      <c r="D34091" s="16" t="s">
        <v>25836</v>
      </c>
      <c r="E34091" s="2">
        <v>1619400</v>
      </c>
      <c r="F34091" s="4" t="e">
        <f>IF(B34091=#REF!,"",B34091)</f>
        <v>#REF!</v>
      </c>
    </row>
    <row r="34092" spans="1:6" ht="15.75" customHeight="1">
      <c r="A34092" s="15" t="s">
        <v>25833</v>
      </c>
      <c r="B34092" s="15" t="s">
        <v>25833</v>
      </c>
      <c r="C34092" s="15" t="s">
        <v>25771</v>
      </c>
      <c r="D34092" s="15" t="s">
        <v>25834</v>
      </c>
      <c r="E34092" s="2">
        <v>1619415</v>
      </c>
      <c r="F34092" s="4" t="e">
        <f>IF(B34092=#REF!,"",B34092)</f>
        <v>#REF!</v>
      </c>
    </row>
    <row r="34093" spans="1:6" ht="15.75" customHeight="1">
      <c r="A34093" s="16" t="s">
        <v>25832</v>
      </c>
      <c r="B34093" s="15" t="s">
        <v>25832</v>
      </c>
      <c r="C34093" s="16" t="s">
        <v>25771</v>
      </c>
      <c r="D34093" s="16" t="s">
        <v>25780</v>
      </c>
      <c r="E34093" s="2">
        <v>1619423</v>
      </c>
      <c r="F34093" s="4" t="e">
        <f>IF(B34093=#REF!,"",B34093)</f>
        <v>#REF!</v>
      </c>
    </row>
    <row r="34094" spans="1:6" ht="15.75" customHeight="1">
      <c r="A34094" s="16" t="s">
        <v>25831</v>
      </c>
      <c r="B34094" s="15" t="s">
        <v>25831</v>
      </c>
      <c r="C34094" s="16" t="s">
        <v>25771</v>
      </c>
      <c r="D34094" s="16" t="s">
        <v>25828</v>
      </c>
      <c r="E34094" s="2">
        <v>1619434</v>
      </c>
      <c r="F34094" s="4" t="e">
        <f>IF(B34094=#REF!,"",B34094)</f>
        <v>#REF!</v>
      </c>
    </row>
    <row r="34095" spans="1:6" ht="15.75" customHeight="1">
      <c r="A34095" s="16" t="s">
        <v>25829</v>
      </c>
      <c r="B34095" s="15" t="s">
        <v>25829</v>
      </c>
      <c r="C34095" s="16" t="s">
        <v>25771</v>
      </c>
      <c r="D34095" s="16" t="s">
        <v>25830</v>
      </c>
      <c r="E34095" s="2">
        <v>1619437</v>
      </c>
      <c r="F34095" s="4" t="e">
        <f>IF(B34095=#REF!,"",B34095)</f>
        <v>#REF!</v>
      </c>
    </row>
    <row r="34096" spans="1:6" ht="15.75" customHeight="1">
      <c r="A34096" s="16" t="s">
        <v>25826</v>
      </c>
      <c r="B34096" s="15" t="s">
        <v>25827</v>
      </c>
      <c r="C34096" s="16" t="s">
        <v>25771</v>
      </c>
      <c r="D34096" s="16" t="s">
        <v>25828</v>
      </c>
      <c r="E34096" s="2">
        <v>1619602</v>
      </c>
      <c r="F34096" s="4" t="e">
        <f>IF(B34096=#REF!,"",B34096)</f>
        <v>#REF!</v>
      </c>
    </row>
    <row r="34097" spans="1:6" ht="15.75" customHeight="1">
      <c r="A34097" s="16" t="s">
        <v>25824</v>
      </c>
      <c r="B34097" s="15" t="s">
        <v>25825</v>
      </c>
      <c r="C34097" s="16" t="s">
        <v>25771</v>
      </c>
      <c r="D34097" s="16" t="s">
        <v>25790</v>
      </c>
      <c r="E34097" s="2">
        <v>1620919</v>
      </c>
      <c r="F34097" s="4" t="e">
        <f>IF(B34097=#REF!,"",B34097)</f>
        <v>#REF!</v>
      </c>
    </row>
    <row r="34098" spans="1:6" ht="15.75" customHeight="1">
      <c r="A34098" s="16" t="s">
        <v>25822</v>
      </c>
      <c r="B34098" s="15" t="s">
        <v>25823</v>
      </c>
      <c r="C34098" s="16" t="s">
        <v>25771</v>
      </c>
      <c r="D34098" s="16" t="s">
        <v>25778</v>
      </c>
      <c r="E34098" s="2">
        <v>1619616</v>
      </c>
      <c r="F34098" s="4" t="e">
        <f>IF(B34098=#REF!,"",B34098)</f>
        <v>#REF!</v>
      </c>
    </row>
    <row r="34099" spans="1:6" ht="15.75" customHeight="1">
      <c r="A34099" s="15" t="s">
        <v>3766</v>
      </c>
      <c r="B34099" s="15" t="s">
        <v>3767</v>
      </c>
      <c r="C34099" s="15" t="s">
        <v>3768</v>
      </c>
      <c r="D34099" s="15" t="s">
        <v>3769</v>
      </c>
      <c r="E34099" s="2">
        <v>2362909</v>
      </c>
      <c r="F34099" s="4" t="e">
        <f>IF(B34099=#REF!,"",B34099)</f>
        <v>#REF!</v>
      </c>
    </row>
    <row r="34100" spans="1:6" ht="15.75" customHeight="1">
      <c r="A34100" s="15" t="s">
        <v>5780</v>
      </c>
      <c r="B34100" s="15" t="s">
        <v>5780</v>
      </c>
      <c r="C34100" s="15" t="s">
        <v>5764</v>
      </c>
      <c r="D34100" s="15" t="s">
        <v>5777</v>
      </c>
      <c r="E34100" s="2">
        <v>3567869</v>
      </c>
      <c r="F34100" s="4" t="str">
        <f>IF(B34100=B34099,"",B34100)</f>
        <v>Banes</v>
      </c>
    </row>
    <row r="34101" spans="1:6" ht="15.75" customHeight="1">
      <c r="A34101" s="15" t="s">
        <v>18804</v>
      </c>
      <c r="B34101" s="15" t="s">
        <v>18805</v>
      </c>
      <c r="C34101" s="15" t="s">
        <v>18800</v>
      </c>
      <c r="D34101" s="15" t="s">
        <v>17414</v>
      </c>
      <c r="E34101" s="2">
        <v>1283679</v>
      </c>
      <c r="F34101" s="4" t="str">
        <f>IF(B34101=B34100,"",B34101)</f>
        <v>BanepÄ</v>
      </c>
    </row>
    <row r="34102" spans="1:6" ht="15.75" customHeight="1">
      <c r="A34102" s="16" t="str">
        <f ca="1">IFERROR(__xludf.DUMMYFUNCTION("GOOGLETRANSLATE(B38210,""en"",""pt"")"),"Banepā")</f>
        <v>Banepā</v>
      </c>
      <c r="B34102" s="20" t="s">
        <v>34840</v>
      </c>
      <c r="C34102" s="20" t="s">
        <v>18800</v>
      </c>
      <c r="D34102" s="20" t="s">
        <v>17414</v>
      </c>
      <c r="E34102" s="10">
        <v>1283679</v>
      </c>
      <c r="F34102" s="4" t="str">
        <f>IF(B34102=B34101,"",B34102)</f>
        <v>Banepā</v>
      </c>
    </row>
    <row r="34103" spans="1:6" ht="15.75" customHeight="1">
      <c r="A34103" s="16" t="str">
        <f ca="1">IFERROR(__xludf.DUMMYFUNCTION("GOOGLETRANSLATE(B34480,""en"",""pt"")"),"Bāneh")</f>
        <v>Bāneh</v>
      </c>
      <c r="B34103" s="20" t="s">
        <v>34226</v>
      </c>
      <c r="C34103" s="20" t="s">
        <v>14240</v>
      </c>
      <c r="D34103" s="20" t="s">
        <v>34147</v>
      </c>
      <c r="E34103" s="10">
        <v>141584</v>
      </c>
      <c r="F34103" s="4" t="e">
        <f>IF(B34103=#REF!,"",B34103)</f>
        <v>#REF!</v>
      </c>
    </row>
    <row r="34104" spans="1:6" ht="15.75" customHeight="1">
      <c r="A34104" s="15" t="s">
        <v>13833</v>
      </c>
      <c r="B34104" s="15" t="s">
        <v>13833</v>
      </c>
      <c r="C34104" s="15" t="s">
        <v>13800</v>
      </c>
      <c r="D34104" s="15" t="s">
        <v>13811</v>
      </c>
      <c r="E34104" s="2">
        <v>1650357</v>
      </c>
      <c r="F34104" s="4" t="e">
        <f>IF(B34104=#REF!,"",B34104)</f>
        <v>#REF!</v>
      </c>
    </row>
    <row r="34105" spans="1:6" ht="15.75" customHeight="1">
      <c r="A34105" s="16" t="s">
        <v>6129</v>
      </c>
      <c r="B34105" s="15" t="s">
        <v>6129</v>
      </c>
      <c r="C34105" s="16" t="s">
        <v>6127</v>
      </c>
      <c r="D34105" s="16" t="s">
        <v>6129</v>
      </c>
      <c r="E34105" s="2">
        <v>2317397</v>
      </c>
      <c r="F34105" s="4" t="str">
        <f>IF(B34105=B34104,"",B34105)</f>
        <v>Bandundu</v>
      </c>
    </row>
    <row r="34106" spans="1:6" ht="15.75" customHeight="1">
      <c r="A34106" s="16" t="str">
        <f ca="1">IFERROR(__xludf.DUMMYFUNCTION("GOOGLETRANSLATE(B42213,""en"",""pt"")"),"Bandırma")</f>
        <v>Bandırma</v>
      </c>
      <c r="B34106" s="20" t="s">
        <v>35964</v>
      </c>
      <c r="C34106" s="20" t="s">
        <v>26201</v>
      </c>
      <c r="D34106" s="20" t="s">
        <v>35830</v>
      </c>
      <c r="E34106" s="10">
        <v>751077</v>
      </c>
      <c r="F34106" s="4" t="e">
        <f>IF(B34106=#REF!,"",B34106)</f>
        <v>#REF!</v>
      </c>
    </row>
    <row r="34107" spans="1:6" ht="15.75" customHeight="1">
      <c r="A34107" s="16" t="s">
        <v>10584</v>
      </c>
      <c r="B34107" s="15" t="s">
        <v>10584</v>
      </c>
      <c r="C34107" s="16" t="s">
        <v>10178</v>
      </c>
      <c r="D34107" s="16" t="s">
        <v>10355</v>
      </c>
      <c r="E34107" s="2">
        <v>1277358</v>
      </c>
      <c r="F34107" s="4" t="str">
        <f>IF(B34107=B34106,"",B34107)</f>
        <v>Bandipura</v>
      </c>
    </row>
    <row r="34108" spans="1:6" ht="15.75" customHeight="1">
      <c r="A34108" s="16" t="str">
        <f ca="1">IFERROR(__xludf.DUMMYFUNCTION("GOOGLETRANSLATE(B33982,""en"",""pt"")"),"Bāndīkūi")</f>
        <v>Bāndīkūi</v>
      </c>
      <c r="B34108" s="20" t="s">
        <v>33967</v>
      </c>
      <c r="C34108" s="20" t="s">
        <v>10178</v>
      </c>
      <c r="D34108" s="20" t="s">
        <v>10179</v>
      </c>
      <c r="E34108" s="10">
        <v>1277362</v>
      </c>
      <c r="F34108" s="4" t="e">
        <f>IF(B34108=#REF!,"",B34108)</f>
        <v>#REF!</v>
      </c>
    </row>
    <row r="34109" spans="1:6" ht="15.75" customHeight="1">
      <c r="A34109" s="15" t="s">
        <v>17782</v>
      </c>
      <c r="B34109" s="15" t="s">
        <v>17783</v>
      </c>
      <c r="C34109" s="15" t="s">
        <v>17707</v>
      </c>
      <c r="D34109" s="15" t="s">
        <v>17708</v>
      </c>
      <c r="E34109" s="2">
        <v>3532414</v>
      </c>
      <c r="F34109" s="4" t="e">
        <f>IF(B34109=#REF!,"",B34109)</f>
        <v>#REF!</v>
      </c>
    </row>
    <row r="34110" spans="1:6" ht="15.75" customHeight="1">
      <c r="A34110" s="16" t="s">
        <v>2067</v>
      </c>
      <c r="B34110" s="15" t="s">
        <v>2067</v>
      </c>
      <c r="C34110" s="16" t="s">
        <v>1905</v>
      </c>
      <c r="D34110" s="16" t="s">
        <v>728</v>
      </c>
      <c r="E34110" s="2">
        <v>3470912</v>
      </c>
      <c r="F34110" s="4" t="e">
        <f>IF(B34110=#REF!,"",B34110)</f>
        <v>#REF!</v>
      </c>
    </row>
    <row r="34111" spans="1:6" ht="15.75" customHeight="1">
      <c r="A34111" s="16" t="s">
        <v>14328</v>
      </c>
      <c r="B34111" s="15" t="s">
        <v>14328</v>
      </c>
      <c r="C34111" s="16" t="s">
        <v>14240</v>
      </c>
      <c r="D34111" s="16" t="s">
        <v>14320</v>
      </c>
      <c r="E34111" s="2">
        <v>141665</v>
      </c>
      <c r="F34111" s="4" t="str">
        <f>IF(B34111=B34110,"",B34111)</f>
        <v>Bandar-e Lengeh</v>
      </c>
    </row>
    <row r="34112" spans="1:6" ht="15.75" customHeight="1">
      <c r="A34112" s="16" t="str">
        <f ca="1">IFERROR(__xludf.DUMMYFUNCTION("GOOGLETRANSLATE(B34450,""en"",""pt"")"),"Bandar-e Ganāveh")</f>
        <v>Bandar-e Ganāveh</v>
      </c>
      <c r="B34112" s="20" t="s">
        <v>34201</v>
      </c>
      <c r="C34112" s="20" t="s">
        <v>14240</v>
      </c>
      <c r="D34112" s="20" t="s">
        <v>14325</v>
      </c>
      <c r="E34112" s="10">
        <v>134217</v>
      </c>
      <c r="F34112" s="4" t="str">
        <f>IF(B34112=B34111,"",B34112)</f>
        <v>Bandar-e Ganāveh</v>
      </c>
    </row>
    <row r="34113" spans="1:6" ht="15.75" customHeight="1">
      <c r="A34113" s="16" t="s">
        <v>14326</v>
      </c>
      <c r="B34113" s="15" t="s">
        <v>14327</v>
      </c>
      <c r="C34113" s="16" t="s">
        <v>14240</v>
      </c>
      <c r="D34113" s="16" t="s">
        <v>14325</v>
      </c>
      <c r="E34113" s="2">
        <v>134217</v>
      </c>
      <c r="F34113" s="4" t="str">
        <f>IF(B34113=B34112,"",B34113)</f>
        <v>Bandar-e GanÄveh</v>
      </c>
    </row>
    <row r="34114" spans="1:6" ht="15.75" customHeight="1">
      <c r="A34114" s="16" t="str">
        <f ca="1">IFERROR(__xludf.DUMMYFUNCTION("GOOGLETRANSLATE(B34469,""en"",""pt"")"),"Bandar-e Būshehr")</f>
        <v>Bandar-e Būshehr</v>
      </c>
      <c r="B34114" s="20" t="s">
        <v>34216</v>
      </c>
      <c r="C34114" s="20" t="s">
        <v>14240</v>
      </c>
      <c r="D34114" s="20" t="s">
        <v>14325</v>
      </c>
      <c r="E34114" s="10">
        <v>139817</v>
      </c>
      <c r="F34114" s="4" t="str">
        <f>IF(B34114=B34113,"",B34114)</f>
        <v>Bandar-e Būshehr</v>
      </c>
    </row>
    <row r="34115" spans="1:6" ht="15.75" customHeight="1">
      <c r="A34115" s="16" t="s">
        <v>14323</v>
      </c>
      <c r="B34115" s="15" t="s">
        <v>14324</v>
      </c>
      <c r="C34115" s="16" t="s">
        <v>14240</v>
      </c>
      <c r="D34115" s="16" t="s">
        <v>14325</v>
      </c>
      <c r="E34115" s="2">
        <v>139817</v>
      </c>
      <c r="F34115" s="4" t="str">
        <f>IF(B34115=B34114,"",B34115)</f>
        <v>Bandar-e BÅ«shehr</v>
      </c>
    </row>
    <row r="34116" spans="1:6" ht="15.75" customHeight="1">
      <c r="A34116" s="16" t="str">
        <f ca="1">IFERROR(__xludf.DUMMYFUNCTION("GOOGLETRANSLATE(B34482,""en"",""pt"")"),"Bandar-e Anzalī")</f>
        <v>Bandar-e Anzalī</v>
      </c>
      <c r="B34116" s="20" t="s">
        <v>34227</v>
      </c>
      <c r="C34116" s="20" t="s">
        <v>14240</v>
      </c>
      <c r="D34116" s="20" t="s">
        <v>34133</v>
      </c>
      <c r="E34116" s="10">
        <v>141679</v>
      </c>
      <c r="F34116" s="4" t="str">
        <f>IF(B34116=B34115,"",B34116)</f>
        <v>Bandar-e Anzalī</v>
      </c>
    </row>
    <row r="34117" spans="1:6" ht="15.75" customHeight="1">
      <c r="A34117" s="16" t="s">
        <v>14321</v>
      </c>
      <c r="B34117" s="15" t="s">
        <v>14322</v>
      </c>
      <c r="C34117" s="16" t="s">
        <v>14240</v>
      </c>
      <c r="D34117" s="16" t="s">
        <v>14256</v>
      </c>
      <c r="E34117" s="2">
        <v>141679</v>
      </c>
      <c r="F34117" s="4" t="str">
        <f>IF(B34117=B34116,"",B34117)</f>
        <v>Bandar-e AnzalÄ«</v>
      </c>
    </row>
    <row r="34118" spans="1:6" ht="15.75" customHeight="1">
      <c r="A34118" s="16" t="str">
        <f ca="1">IFERROR(__xludf.DUMMYFUNCTION("GOOGLETRANSLATE(B23747,""en"",""pt"")"),"Bāndarban")</f>
        <v>Bāndarban</v>
      </c>
      <c r="B34118" s="20" t="s">
        <v>31284</v>
      </c>
      <c r="C34118" s="20" t="s">
        <v>1296</v>
      </c>
      <c r="D34118" s="20" t="s">
        <v>1302</v>
      </c>
      <c r="E34118" s="10">
        <v>1185270</v>
      </c>
      <c r="F34118" s="4" t="e">
        <f>IF(B34118=#REF!,"",B34118)</f>
        <v>#REF!</v>
      </c>
    </row>
    <row r="34119" spans="1:6" ht="15.75" customHeight="1">
      <c r="A34119" s="16" t="s">
        <v>3692</v>
      </c>
      <c r="B34119" s="15" t="s">
        <v>3692</v>
      </c>
      <c r="C34119" s="16" t="s">
        <v>3693</v>
      </c>
      <c r="D34119" s="16" t="s">
        <v>3694</v>
      </c>
      <c r="E34119" s="2">
        <v>1820906</v>
      </c>
      <c r="F34119" s="4" t="e">
        <f>IF(B34119=#REF!,"",B34119)</f>
        <v>#REF!</v>
      </c>
    </row>
    <row r="34120" spans="1:6" ht="15.75" customHeight="1">
      <c r="A34120" s="16" t="s">
        <v>13831</v>
      </c>
      <c r="B34120" s="15" t="s">
        <v>13831</v>
      </c>
      <c r="C34120" s="16" t="s">
        <v>13800</v>
      </c>
      <c r="D34120" s="16" t="s">
        <v>13832</v>
      </c>
      <c r="E34120" s="2">
        <v>1624917</v>
      </c>
      <c r="F34120" s="4" t="e">
        <f>IF(B34120=#REF!,"",B34120)</f>
        <v>#REF!</v>
      </c>
    </row>
    <row r="34121" spans="1:6" ht="15.75" customHeight="1">
      <c r="A34121" s="16" t="s">
        <v>17443</v>
      </c>
      <c r="B34121" s="15" t="s">
        <v>17443</v>
      </c>
      <c r="C34121" s="16" t="s">
        <v>17432</v>
      </c>
      <c r="D34121" s="16" t="s">
        <v>17444</v>
      </c>
      <c r="E34121" s="2">
        <v>7302815</v>
      </c>
      <c r="F34121" s="4" t="str">
        <f>IF(B34121=B34120,"",B34121)</f>
        <v>Bandar Labuan</v>
      </c>
    </row>
    <row r="34122" spans="1:6" ht="15.75" customHeight="1">
      <c r="A34122" s="16" t="s">
        <v>14318</v>
      </c>
      <c r="B34122" s="15" t="s">
        <v>14319</v>
      </c>
      <c r="C34122" s="16" t="s">
        <v>14240</v>
      </c>
      <c r="D34122" s="16" t="s">
        <v>14320</v>
      </c>
      <c r="E34122" s="2">
        <v>141681</v>
      </c>
      <c r="F34122" s="4" t="str">
        <f>IF(B34122=B34121,"",B34122)</f>
        <v>Bandar â€˜AbbÄs</v>
      </c>
    </row>
    <row r="34123" spans="1:6" ht="15.75" customHeight="1">
      <c r="A34123" s="16" t="str">
        <f ca="1">IFERROR(__xludf.DUMMYFUNCTION("GOOGLETRANSLATE(B34483,""en"",""pt"")"),"Bandar Abbas")</f>
        <v>Bandar Abbas</v>
      </c>
      <c r="B34123" s="20" t="s">
        <v>34228</v>
      </c>
      <c r="C34123" s="20" t="s">
        <v>14240</v>
      </c>
      <c r="D34123" s="20" t="s">
        <v>14320</v>
      </c>
      <c r="E34123" s="10">
        <v>141681</v>
      </c>
      <c r="F34123" s="4" t="e">
        <f>IF(B34123=#REF!,"",B34123)</f>
        <v>#REF!</v>
      </c>
    </row>
    <row r="34124" spans="1:6" ht="15.75" customHeight="1">
      <c r="A34124" s="15" t="s">
        <v>13829</v>
      </c>
      <c r="B34124" s="15" t="s">
        <v>13829</v>
      </c>
      <c r="C34124" s="15" t="s">
        <v>13800</v>
      </c>
      <c r="D34124" s="15" t="s">
        <v>13830</v>
      </c>
      <c r="E34124" s="2">
        <v>1215498</v>
      </c>
      <c r="F34124" s="4" t="str">
        <f>IF(B34124=B34123,"",B34124)</f>
        <v>Bandar</v>
      </c>
    </row>
    <row r="34125" spans="1:6" ht="15.75" customHeight="1">
      <c r="A34125" s="16" t="s">
        <v>26373</v>
      </c>
      <c r="B34125" s="15" t="s">
        <v>26374</v>
      </c>
      <c r="C34125" s="16" t="s">
        <v>26201</v>
      </c>
      <c r="D34125" s="16" t="s">
        <v>26340</v>
      </c>
      <c r="E34125" s="2">
        <v>751077</v>
      </c>
      <c r="F34125" s="4" t="e">
        <f>IF(B34125=#REF!,"",B34125)</f>
        <v>#REF!</v>
      </c>
    </row>
    <row r="34126" spans="1:6" ht="15.75" customHeight="1">
      <c r="A34126" s="16" t="s">
        <v>13827</v>
      </c>
      <c r="B34126" s="15" t="s">
        <v>13827</v>
      </c>
      <c r="C34126" s="16" t="s">
        <v>13800</v>
      </c>
      <c r="D34126" s="16" t="s">
        <v>13828</v>
      </c>
      <c r="E34126" s="2">
        <v>1215502</v>
      </c>
      <c r="F34126" s="4" t="str">
        <f>IF(B34126=B34125,"",B34126)</f>
        <v>Banda Aceh</v>
      </c>
    </row>
    <row r="34127" spans="1:6" ht="15.75" customHeight="1">
      <c r="A34127" s="16" t="str">
        <f ca="1">IFERROR(__xludf.DUMMYFUNCTION("GOOGLETRANSLATE(B33983,""en"",""pt"")"),"Bānda")</f>
        <v>Bānda</v>
      </c>
      <c r="B34127" s="20" t="s">
        <v>33968</v>
      </c>
      <c r="C34127" s="20" t="s">
        <v>10178</v>
      </c>
      <c r="D34127" s="20" t="s">
        <v>10193</v>
      </c>
      <c r="E34127" s="10">
        <v>1277397</v>
      </c>
      <c r="F34127" s="4" t="e">
        <f>IF(B34127=#REF!,"",B34127)</f>
        <v>#REF!</v>
      </c>
    </row>
    <row r="34128" spans="1:6" ht="15.75" customHeight="1">
      <c r="A34128" s="15" t="s">
        <v>10583</v>
      </c>
      <c r="B34128" s="15" t="s">
        <v>10583</v>
      </c>
      <c r="C34128" s="15" t="s">
        <v>10178</v>
      </c>
      <c r="D34128" s="15" t="s">
        <v>10219</v>
      </c>
      <c r="E34128" s="2">
        <v>1277398</v>
      </c>
      <c r="F34128" s="4" t="e">
        <f>IF(B34128=#REF!,"",B34128)</f>
        <v>#REF!</v>
      </c>
    </row>
    <row r="34129" spans="1:6" ht="15.75" customHeight="1">
      <c r="A34129" s="15" t="s">
        <v>27273</v>
      </c>
      <c r="B34129" s="15" t="s">
        <v>27273</v>
      </c>
      <c r="C34129" s="15" t="s">
        <v>27234</v>
      </c>
      <c r="D34129" s="15" t="s">
        <v>27241</v>
      </c>
      <c r="E34129" s="2">
        <v>2656406</v>
      </c>
      <c r="F34129" s="4" t="e">
        <f>IF(B34129=#REF!,"",B34129)</f>
        <v>#REF!</v>
      </c>
    </row>
    <row r="34130" spans="1:6" ht="15.75" customHeight="1">
      <c r="A34130" s="16" t="s">
        <v>27272</v>
      </c>
      <c r="B34130" s="15" t="s">
        <v>27272</v>
      </c>
      <c r="C34130" s="16" t="s">
        <v>27234</v>
      </c>
      <c r="D34130" s="16" t="s">
        <v>27259</v>
      </c>
      <c r="E34130" s="2">
        <v>2656407</v>
      </c>
      <c r="F34130" s="4" t="e">
        <f>IF(B34130=#REF!,"",B34130)</f>
        <v>#REF!</v>
      </c>
    </row>
    <row r="34131" spans="1:6" ht="15.75" customHeight="1">
      <c r="A34131" s="15" t="s">
        <v>26371</v>
      </c>
      <c r="B34131" s="15" t="s">
        <v>26371</v>
      </c>
      <c r="C34131" s="15" t="s">
        <v>26201</v>
      </c>
      <c r="D34131" s="15" t="s">
        <v>26372</v>
      </c>
      <c r="E34131" s="2">
        <v>322051</v>
      </c>
      <c r="F34131" s="4" t="e">
        <f>IF(B34131=#REF!,"",B34131)</f>
        <v>#REF!</v>
      </c>
    </row>
    <row r="34132" spans="1:6" ht="15.75" customHeight="1">
      <c r="A34132" s="16" t="s">
        <v>20655</v>
      </c>
      <c r="B34132" s="15" t="s">
        <v>20656</v>
      </c>
      <c r="C34132" s="16" t="s">
        <v>20598</v>
      </c>
      <c r="D34132" s="16" t="s">
        <v>20608</v>
      </c>
      <c r="E34132" s="2">
        <v>1727522</v>
      </c>
      <c r="F34132" s="4" t="e">
        <f>IF(B34132=#REF!,"",B34132)</f>
        <v>#REF!</v>
      </c>
    </row>
    <row r="34133" spans="1:6" ht="15.75" customHeight="1">
      <c r="A34133" s="15" t="s">
        <v>10582</v>
      </c>
      <c r="B34133" s="15" t="s">
        <v>10582</v>
      </c>
      <c r="C34133" s="15" t="s">
        <v>10178</v>
      </c>
      <c r="D34133" s="15" t="s">
        <v>10193</v>
      </c>
      <c r="E34133" s="2">
        <v>1277409</v>
      </c>
      <c r="F34133" s="4" t="str">
        <f>IF(B34133=B34132,"",B34133)</f>
        <v>Banat</v>
      </c>
    </row>
    <row r="34134" spans="1:6" ht="15.75" customHeight="1">
      <c r="A34134" s="16" t="str">
        <f ca="1">IFERROR(__xludf.DUMMYFUNCTION("GOOGLETRANSLATE(B33986,""en"",""pt"")"),"Bānapur")</f>
        <v>Bānapur</v>
      </c>
      <c r="B34134" s="20" t="s">
        <v>33969</v>
      </c>
      <c r="C34134" s="20" t="s">
        <v>10178</v>
      </c>
      <c r="D34134" s="20" t="s">
        <v>10229</v>
      </c>
      <c r="E34134" s="10">
        <v>1277426</v>
      </c>
      <c r="F34134" s="4" t="e">
        <f>IF(B34134=#REF!,"",B34134)</f>
        <v>#REF!</v>
      </c>
    </row>
    <row r="34135" spans="1:6" ht="15.75" customHeight="1">
      <c r="A34135" s="15" t="s">
        <v>17599</v>
      </c>
      <c r="B34135" s="15" t="s">
        <v>17599</v>
      </c>
      <c r="C34135" s="15" t="s">
        <v>17596</v>
      </c>
      <c r="D34135" s="15" t="s">
        <v>17600</v>
      </c>
      <c r="E34135" s="2">
        <v>2460546</v>
      </c>
      <c r="F34135" s="4" t="str">
        <f>IF(B34135=B34134,"",B34135)</f>
        <v>Banamba</v>
      </c>
    </row>
    <row r="34136" spans="1:6" ht="15.75" customHeight="1">
      <c r="A34136" s="15" t="s">
        <v>10580</v>
      </c>
      <c r="B34136" s="15" t="s">
        <v>10581</v>
      </c>
      <c r="C34136" s="15" t="s">
        <v>10178</v>
      </c>
      <c r="D34136" s="15" t="s">
        <v>10184</v>
      </c>
      <c r="E34136" s="2">
        <v>1277200</v>
      </c>
      <c r="F34136" s="4" t="str">
        <f>IF(B34136=B34135,"",B34136)</f>
        <v>BanÅ«r</v>
      </c>
    </row>
    <row r="34137" spans="1:6" ht="15.75" customHeight="1">
      <c r="A34137" s="16" t="s">
        <v>17108</v>
      </c>
      <c r="B34137" s="15" t="s">
        <v>17109</v>
      </c>
      <c r="C34137" s="16" t="s">
        <v>17074</v>
      </c>
      <c r="D34137" s="16" t="s">
        <v>17110</v>
      </c>
      <c r="E34137" s="2">
        <v>2218840</v>
      </c>
      <c r="F34137" s="4" t="str">
        <f>IF(B34137=B34136,"",B34137)</f>
        <v>BanÄ« WalÄ«d</v>
      </c>
    </row>
    <row r="34138" spans="1:6" ht="15.75" customHeight="1">
      <c r="A34138" s="16" t="s">
        <v>6612</v>
      </c>
      <c r="B34138" s="15" t="s">
        <v>6613</v>
      </c>
      <c r="C34138" s="16" t="s">
        <v>6495</v>
      </c>
      <c r="D34138" s="16" t="s">
        <v>6551</v>
      </c>
      <c r="E34138" s="2">
        <v>359173</v>
      </c>
      <c r="F34138" s="4" t="str">
        <f>IF(B34138=B34137,"",B34138)</f>
        <v>BanÄ« Suwayf</v>
      </c>
    </row>
    <row r="34139" spans="1:6" ht="15.75" customHeight="1">
      <c r="A34139" s="16" t="s">
        <v>20329</v>
      </c>
      <c r="B34139" s="15" t="s">
        <v>20330</v>
      </c>
      <c r="C34139" s="16" t="s">
        <v>20297</v>
      </c>
      <c r="D34139" s="16" t="s">
        <v>20305</v>
      </c>
      <c r="E34139" s="2">
        <v>281148</v>
      </c>
      <c r="F34139" s="4" t="str">
        <f>IF(B34139=B34138,"",B34139)</f>
        <v>BanÄ« SuhaylÄ</v>
      </c>
    </row>
    <row r="34140" spans="1:6" ht="15.75" customHeight="1">
      <c r="A34140" s="16" t="s">
        <v>20327</v>
      </c>
      <c r="B34140" s="15" t="s">
        <v>20328</v>
      </c>
      <c r="C34140" s="16" t="s">
        <v>20297</v>
      </c>
      <c r="D34140" s="16" t="s">
        <v>20298</v>
      </c>
      <c r="E34140" s="2">
        <v>284431</v>
      </c>
      <c r="F34140" s="4" t="str">
        <f>IF(B34140=B34139,"",B34140)</f>
        <v>BanÄ« Naâ€˜Ä«m</v>
      </c>
    </row>
    <row r="34141" spans="1:6" ht="15.75" customHeight="1">
      <c r="A34141" s="16" t="s">
        <v>6610</v>
      </c>
      <c r="B34141" s="15" t="s">
        <v>6611</v>
      </c>
      <c r="C34141" s="16" t="s">
        <v>6495</v>
      </c>
      <c r="D34141" s="16" t="s">
        <v>6520</v>
      </c>
      <c r="E34141" s="2">
        <v>359212</v>
      </c>
      <c r="F34141" s="4" t="str">
        <f>IF(B34141=B34140,"",B34141)</f>
        <v>BanÄ« MazÄr</v>
      </c>
    </row>
    <row r="34142" spans="1:6" ht="15.75" customHeight="1">
      <c r="A34142" s="15" t="s">
        <v>6306</v>
      </c>
      <c r="B34142" s="15" t="s">
        <v>6307</v>
      </c>
      <c r="C34142" s="15" t="s">
        <v>6303</v>
      </c>
      <c r="D34142" s="15" t="s">
        <v>6308</v>
      </c>
      <c r="E34142" s="2">
        <v>3512067</v>
      </c>
      <c r="F34142" s="4" t="e">
        <f>IF(B34142=#REF!,"",B34142)</f>
        <v>#REF!</v>
      </c>
    </row>
    <row r="34143" spans="1:6" ht="15.75" customHeight="1">
      <c r="A34143" s="16" t="s">
        <v>25820</v>
      </c>
      <c r="B34143" s="15" t="s">
        <v>25821</v>
      </c>
      <c r="C34143" s="16" t="s">
        <v>25771</v>
      </c>
      <c r="D34143" s="16" t="s">
        <v>25782</v>
      </c>
      <c r="E34143" s="2">
        <v>1117652</v>
      </c>
      <c r="F34143" s="4" t="e">
        <f>IF(B34143=#REF!,"",B34143)</f>
        <v>#REF!</v>
      </c>
    </row>
    <row r="34144" spans="1:6" ht="15.75" customHeight="1">
      <c r="A34144" s="16" t="s">
        <v>25819</v>
      </c>
      <c r="B34144" s="15" t="s">
        <v>25819</v>
      </c>
      <c r="C34144" s="16" t="s">
        <v>25771</v>
      </c>
      <c r="D34144" s="16" t="s">
        <v>25782</v>
      </c>
      <c r="E34144" s="2">
        <v>1117656</v>
      </c>
      <c r="F34144" s="4" t="e">
        <f>IF(B34144=#REF!,"",B34144)</f>
        <v>#REF!</v>
      </c>
    </row>
    <row r="34145" spans="1:6" ht="15.75" customHeight="1">
      <c r="A34145" s="16" t="s">
        <v>25818</v>
      </c>
      <c r="B34145" s="15" t="s">
        <v>25818</v>
      </c>
      <c r="C34145" s="16" t="s">
        <v>25771</v>
      </c>
      <c r="D34145" s="16" t="s">
        <v>25780</v>
      </c>
      <c r="E34145" s="2">
        <v>1620442</v>
      </c>
      <c r="F34145" s="4" t="e">
        <f>IF(B34145=#REF!,"",B34145)</f>
        <v>#REF!</v>
      </c>
    </row>
    <row r="34146" spans="1:6" ht="15.75" customHeight="1">
      <c r="A34146" s="15" t="s">
        <v>25816</v>
      </c>
      <c r="B34146" s="15" t="s">
        <v>25816</v>
      </c>
      <c r="C34146" s="15" t="s">
        <v>25771</v>
      </c>
      <c r="D34146" s="15" t="s">
        <v>25817</v>
      </c>
      <c r="E34146" s="2">
        <v>1154677</v>
      </c>
      <c r="F34146" s="4" t="e">
        <f>IF(B34146=#REF!,"",B34146)</f>
        <v>#REF!</v>
      </c>
    </row>
    <row r="34147" spans="1:6" ht="15.75" customHeight="1">
      <c r="A34147" s="16" t="s">
        <v>25814</v>
      </c>
      <c r="B34147" s="15" t="s">
        <v>25814</v>
      </c>
      <c r="C34147" s="16" t="s">
        <v>25771</v>
      </c>
      <c r="D34147" s="16" t="s">
        <v>25815</v>
      </c>
      <c r="E34147" s="2">
        <v>1613284</v>
      </c>
      <c r="F34147" s="4" t="e">
        <f>IF(B34147=#REF!,"",B34147)</f>
        <v>#REF!</v>
      </c>
    </row>
    <row r="34148" spans="1:6" ht="15.75" customHeight="1">
      <c r="A34148" s="16" t="s">
        <v>25813</v>
      </c>
      <c r="B34148" s="15" t="s">
        <v>25813</v>
      </c>
      <c r="C34148" s="16" t="s">
        <v>25771</v>
      </c>
      <c r="D34148" s="16" t="s">
        <v>25782</v>
      </c>
      <c r="E34148" s="2">
        <v>7091912</v>
      </c>
      <c r="F34148" s="4" t="e">
        <f>IF(B34148=#REF!,"",B34148)</f>
        <v>#REF!</v>
      </c>
    </row>
    <row r="34149" spans="1:6" ht="15.75" customHeight="1">
      <c r="A34149" s="16" t="s">
        <v>25812</v>
      </c>
      <c r="B34149" s="15" t="s">
        <v>25812</v>
      </c>
      <c r="C34149" s="16" t="s">
        <v>25771</v>
      </c>
      <c r="D34149" s="16" t="s">
        <v>25792</v>
      </c>
      <c r="E34149" s="2">
        <v>1613769</v>
      </c>
      <c r="F34149" s="4" t="e">
        <f>IF(B34149=#REF!,"",B34149)</f>
        <v>#REF!</v>
      </c>
    </row>
    <row r="34150" spans="1:6" ht="15.75" customHeight="1">
      <c r="A34150" s="15" t="s">
        <v>25810</v>
      </c>
      <c r="B34150" s="15" t="s">
        <v>25810</v>
      </c>
      <c r="C34150" s="15" t="s">
        <v>25771</v>
      </c>
      <c r="D34150" s="15" t="s">
        <v>25811</v>
      </c>
      <c r="E34150" s="2">
        <v>1155139</v>
      </c>
      <c r="F34150" s="4" t="e">
        <f>IF(B34150=#REF!,"",B34150)</f>
        <v>#REF!</v>
      </c>
    </row>
    <row r="34151" spans="1:6" ht="15.75" customHeight="1">
      <c r="A34151" s="16" t="s">
        <v>25809</v>
      </c>
      <c r="B34151" s="15" t="s">
        <v>25809</v>
      </c>
      <c r="C34151" s="16" t="s">
        <v>25771</v>
      </c>
      <c r="D34151" s="16" t="s">
        <v>25786</v>
      </c>
      <c r="E34151" s="2">
        <v>1614336</v>
      </c>
      <c r="F34151" s="4" t="e">
        <f>IF(B34151=#REF!,"",B34151)</f>
        <v>#REF!</v>
      </c>
    </row>
    <row r="34152" spans="1:6" ht="15.75" customHeight="1">
      <c r="A34152" s="15" t="s">
        <v>25807</v>
      </c>
      <c r="B34152" s="15" t="s">
        <v>25807</v>
      </c>
      <c r="C34152" s="15" t="s">
        <v>25771</v>
      </c>
      <c r="D34152" s="15" t="s">
        <v>25808</v>
      </c>
      <c r="E34152" s="2">
        <v>1614455</v>
      </c>
      <c r="F34152" s="4" t="e">
        <f>IF(B34152=#REF!,"",B34152)</f>
        <v>#REF!</v>
      </c>
    </row>
    <row r="34153" spans="1:6" ht="15.75" customHeight="1">
      <c r="A34153" s="16" t="s">
        <v>25805</v>
      </c>
      <c r="B34153" s="15" t="s">
        <v>25805</v>
      </c>
      <c r="C34153" s="16" t="s">
        <v>25771</v>
      </c>
      <c r="D34153" s="16" t="s">
        <v>25806</v>
      </c>
      <c r="E34153" s="2">
        <v>1614465</v>
      </c>
      <c r="F34153" s="4" t="e">
        <f>IF(B34153=#REF!,"",B34153)</f>
        <v>#REF!</v>
      </c>
    </row>
    <row r="34154" spans="1:6" ht="15.75" customHeight="1">
      <c r="A34154" s="16" t="s">
        <v>25803</v>
      </c>
      <c r="B34154" s="15" t="s">
        <v>25804</v>
      </c>
      <c r="C34154" s="16" t="s">
        <v>25771</v>
      </c>
      <c r="D34154" s="16" t="s">
        <v>25786</v>
      </c>
      <c r="E34154" s="2">
        <v>1599640</v>
      </c>
      <c r="F34154" s="4" t="e">
        <f>IF(B34154=#REF!,"",B34154)</f>
        <v>#REF!</v>
      </c>
    </row>
    <row r="34155" spans="1:6" ht="15.75" customHeight="1">
      <c r="A34155" s="16" t="s">
        <v>25801</v>
      </c>
      <c r="B34155" s="15" t="s">
        <v>25801</v>
      </c>
      <c r="C34155" s="16" t="s">
        <v>25771</v>
      </c>
      <c r="D34155" s="16" t="s">
        <v>25802</v>
      </c>
      <c r="E34155" s="2">
        <v>1156046</v>
      </c>
      <c r="F34155" s="4" t="e">
        <f>IF(B34155=#REF!,"",B34155)</f>
        <v>#REF!</v>
      </c>
    </row>
    <row r="34156" spans="1:6" ht="15.75" customHeight="1">
      <c r="A34156" s="15" t="s">
        <v>25798</v>
      </c>
      <c r="B34156" s="15" t="s">
        <v>25799</v>
      </c>
      <c r="C34156" s="15" t="s">
        <v>25771</v>
      </c>
      <c r="D34156" s="15" t="s">
        <v>25800</v>
      </c>
      <c r="E34156" s="2">
        <v>1156257</v>
      </c>
      <c r="F34156" s="4" t="e">
        <f>IF(B34156=#REF!,"",B34156)</f>
        <v>#REF!</v>
      </c>
    </row>
    <row r="34157" spans="1:6" ht="15.75" customHeight="1">
      <c r="A34157" s="15" t="s">
        <v>25795</v>
      </c>
      <c r="B34157" s="15" t="s">
        <v>25796</v>
      </c>
      <c r="C34157" s="15" t="s">
        <v>25771</v>
      </c>
      <c r="D34157" s="15" t="s">
        <v>25797</v>
      </c>
      <c r="E34157" s="2">
        <v>1616658</v>
      </c>
      <c r="F34157" s="4" t="e">
        <f>IF(B34157=#REF!,"",B34157)</f>
        <v>#REF!</v>
      </c>
    </row>
    <row r="34158" spans="1:6" ht="15.75" customHeight="1">
      <c r="A34158" s="15" t="s">
        <v>25793</v>
      </c>
      <c r="B34158" s="15" t="s">
        <v>25793</v>
      </c>
      <c r="C34158" s="15" t="s">
        <v>25771</v>
      </c>
      <c r="D34158" s="15" t="s">
        <v>25794</v>
      </c>
      <c r="E34158" s="2">
        <v>1601579</v>
      </c>
      <c r="F34158" s="4" t="str">
        <f>IF(B34158=B34157,"",B34158)</f>
        <v>Ban Mai</v>
      </c>
    </row>
    <row r="34159" spans="1:6" ht="15.75" customHeight="1">
      <c r="A34159" s="16" t="str">
        <f ca="1">IFERROR(__xludf.DUMMYFUNCTION("GOOGLETRANSLATE(B35982,""en"",""pt"")"),"Ban lŭng")</f>
        <v>Ban lŭng</v>
      </c>
      <c r="B34159" s="20" t="s">
        <v>34431</v>
      </c>
      <c r="C34159" s="20" t="s">
        <v>3838</v>
      </c>
      <c r="D34159" s="20" t="s">
        <v>3839</v>
      </c>
      <c r="E34159" s="10">
        <v>1831732</v>
      </c>
      <c r="F34159" s="4" t="str">
        <f>IF(B34159=B34158,"",B34159)</f>
        <v>Ban Lŭng</v>
      </c>
    </row>
    <row r="34160" spans="1:6" ht="15.75" customHeight="1">
      <c r="A34160" s="15" t="s">
        <v>3836</v>
      </c>
      <c r="B34160" s="15" t="s">
        <v>3837</v>
      </c>
      <c r="C34160" s="15" t="s">
        <v>3838</v>
      </c>
      <c r="D34160" s="15" t="s">
        <v>3839</v>
      </c>
      <c r="E34160" s="2">
        <v>1831732</v>
      </c>
      <c r="F34160" s="4" t="e">
        <f>IF(B34160=#REF!,"",B34160)</f>
        <v>#REF!</v>
      </c>
    </row>
    <row r="34161" spans="1:6" ht="15.75" customHeight="1">
      <c r="A34161" s="16" t="s">
        <v>25791</v>
      </c>
      <c r="B34161" s="15" t="s">
        <v>25791</v>
      </c>
      <c r="C34161" s="16" t="s">
        <v>25771</v>
      </c>
      <c r="D34161" s="16" t="s">
        <v>25792</v>
      </c>
      <c r="E34161" s="2">
        <v>1617111</v>
      </c>
      <c r="F34161" s="4" t="e">
        <f>IF(B34161=#REF!,"",B34161)</f>
        <v>#REF!</v>
      </c>
    </row>
    <row r="34162" spans="1:6" ht="15.75" customHeight="1">
      <c r="A34162" s="16" t="s">
        <v>25788</v>
      </c>
      <c r="B34162" s="15" t="s">
        <v>25789</v>
      </c>
      <c r="C34162" s="16" t="s">
        <v>25771</v>
      </c>
      <c r="D34162" s="16" t="s">
        <v>25790</v>
      </c>
      <c r="E34162" s="2">
        <v>1604452</v>
      </c>
      <c r="F34162" s="4" t="e">
        <f>IF(B34162=#REF!,"",B34162)</f>
        <v>#REF!</v>
      </c>
    </row>
    <row r="34163" spans="1:6" ht="15.75" customHeight="1">
      <c r="A34163" s="16" t="s">
        <v>25787</v>
      </c>
      <c r="B34163" s="15" t="s">
        <v>25787</v>
      </c>
      <c r="C34163" s="16" t="s">
        <v>25771</v>
      </c>
      <c r="D34163" s="16" t="s">
        <v>25774</v>
      </c>
      <c r="E34163" s="2">
        <v>1603235</v>
      </c>
      <c r="F34163" s="4" t="e">
        <f>IF(B34163=#REF!,"",B34163)</f>
        <v>#REF!</v>
      </c>
    </row>
    <row r="34164" spans="1:6" ht="15.75" customHeight="1">
      <c r="A34164" s="16" t="s">
        <v>16953</v>
      </c>
      <c r="B34164" s="15" t="s">
        <v>16953</v>
      </c>
      <c r="C34164" s="16" t="s">
        <v>16954</v>
      </c>
      <c r="D34164" s="16" t="s">
        <v>16955</v>
      </c>
      <c r="E34164" s="2">
        <v>1904391</v>
      </c>
      <c r="F34164" s="4" t="e">
        <f>IF(B34164=#REF!,"",B34164)</f>
        <v>#REF!</v>
      </c>
    </row>
    <row r="34165" spans="1:6" ht="15.75" customHeight="1">
      <c r="A34165" s="15" t="s">
        <v>25785</v>
      </c>
      <c r="B34165" s="15" t="s">
        <v>25785</v>
      </c>
      <c r="C34165" s="15" t="s">
        <v>25771</v>
      </c>
      <c r="D34165" s="15" t="s">
        <v>25786</v>
      </c>
      <c r="E34165" s="2">
        <v>1619650</v>
      </c>
      <c r="F34165" s="4" t="e">
        <f>IF(B34165=#REF!,"",B34165)</f>
        <v>#REF!</v>
      </c>
    </row>
    <row r="34166" spans="1:6" ht="15.75" customHeight="1">
      <c r="A34166" s="16" t="s">
        <v>25783</v>
      </c>
      <c r="B34166" s="15" t="s">
        <v>25783</v>
      </c>
      <c r="C34166" s="16" t="s">
        <v>25771</v>
      </c>
      <c r="D34166" s="16" t="s">
        <v>25784</v>
      </c>
      <c r="E34166" s="2">
        <v>1620254</v>
      </c>
      <c r="F34166" s="4" t="e">
        <f>IF(B34166=#REF!,"",B34166)</f>
        <v>#REF!</v>
      </c>
    </row>
    <row r="34167" spans="1:6" ht="15.75" customHeight="1">
      <c r="A34167" s="16" t="s">
        <v>25781</v>
      </c>
      <c r="B34167" s="15" t="s">
        <v>25781</v>
      </c>
      <c r="C34167" s="16" t="s">
        <v>25771</v>
      </c>
      <c r="D34167" s="16" t="s">
        <v>25782</v>
      </c>
      <c r="E34167" s="2">
        <v>7091861</v>
      </c>
      <c r="F34167" s="4" t="e">
        <f>IF(B34167=#REF!,"",B34167)</f>
        <v>#REF!</v>
      </c>
    </row>
    <row r="34168" spans="1:6" ht="15.75" customHeight="1">
      <c r="A34168" s="16" t="s">
        <v>25779</v>
      </c>
      <c r="B34168" s="15" t="s">
        <v>25779</v>
      </c>
      <c r="C34168" s="16" t="s">
        <v>25771</v>
      </c>
      <c r="D34168" s="16" t="s">
        <v>25780</v>
      </c>
      <c r="E34168" s="2">
        <v>1620371</v>
      </c>
      <c r="F34168" s="4" t="e">
        <f>IF(B34168=#REF!,"",B34168)</f>
        <v>#REF!</v>
      </c>
    </row>
    <row r="34169" spans="1:6" ht="15.75" customHeight="1">
      <c r="A34169" s="16" t="s">
        <v>25777</v>
      </c>
      <c r="B34169" s="15" t="s">
        <v>25777</v>
      </c>
      <c r="C34169" s="16" t="s">
        <v>25771</v>
      </c>
      <c r="D34169" s="16" t="s">
        <v>25778</v>
      </c>
      <c r="E34169" s="2">
        <v>1620875</v>
      </c>
      <c r="F34169" s="4" t="str">
        <f>IF(B34169=B34168,"",B34169)</f>
        <v>Ban Bang Kadi Pathum Thani</v>
      </c>
    </row>
    <row r="34170" spans="1:6" ht="15.75" customHeight="1">
      <c r="A34170" s="16" t="str">
        <f ca="1">IFERROR(__xludf.DUMMYFUNCTION("GOOGLETRANSLATE(B23093,""en"",""pt"")"),"Bāmyān")</f>
        <v>Bāmyān</v>
      </c>
      <c r="B34170" s="20" t="s">
        <v>31134</v>
      </c>
      <c r="C34170" s="20" t="s">
        <v>8</v>
      </c>
      <c r="D34170" s="20" t="s">
        <v>31135</v>
      </c>
      <c r="E34170" s="10">
        <v>1147242</v>
      </c>
      <c r="F34170" s="4" t="e">
        <f>IF(B34170=#REF!,"",B34170)</f>
        <v>#REF!</v>
      </c>
    </row>
    <row r="34171" spans="1:6" ht="15.75" customHeight="1">
      <c r="A34171" s="15" t="s">
        <v>3897</v>
      </c>
      <c r="B34171" s="15" t="s">
        <v>3897</v>
      </c>
      <c r="C34171" s="15" t="s">
        <v>3884</v>
      </c>
      <c r="D34171" s="15" t="s">
        <v>3898</v>
      </c>
      <c r="E34171" s="2">
        <v>2234941</v>
      </c>
      <c r="F34171" s="4" t="str">
        <f>IF(B34171=B34170,"",B34171)</f>
        <v>Bamusso</v>
      </c>
    </row>
    <row r="34172" spans="1:6" ht="15.75" customHeight="1">
      <c r="A34172" s="16" t="str">
        <f ca="1">IFERROR(__xludf.DUMMYFUNCTION("GOOGLETRANSLATE(B33987,""en"",""pt"")"),"Bāmor Kalān")</f>
        <v>Bāmor Kalān</v>
      </c>
      <c r="B34172" s="20" t="s">
        <v>33970</v>
      </c>
      <c r="C34172" s="20" t="s">
        <v>10178</v>
      </c>
      <c r="D34172" s="20" t="s">
        <v>10219</v>
      </c>
      <c r="E34172" s="10">
        <v>1277442</v>
      </c>
      <c r="F34172" s="4" t="e">
        <f>IF(B34172=#REF!,"",B34172)</f>
        <v>#REF!</v>
      </c>
    </row>
    <row r="34173" spans="1:6" ht="15.75" customHeight="1">
      <c r="A34173" s="16" t="s">
        <v>4527</v>
      </c>
      <c r="B34173" s="15" t="s">
        <v>4527</v>
      </c>
      <c r="C34173" s="16" t="s">
        <v>4487</v>
      </c>
      <c r="D34173" s="16" t="s">
        <v>4488</v>
      </c>
      <c r="E34173" s="2">
        <v>2038482</v>
      </c>
      <c r="F34173" s="4" t="e">
        <f>IF(B34173=#REF!,"",B34173)</f>
        <v>#REF!</v>
      </c>
    </row>
    <row r="34174" spans="1:6" ht="15.75" customHeight="1">
      <c r="A34174" s="15" t="s">
        <v>3896</v>
      </c>
      <c r="B34174" s="15" t="s">
        <v>3896</v>
      </c>
      <c r="C34174" s="15" t="s">
        <v>3884</v>
      </c>
      <c r="D34174" s="15" t="s">
        <v>3895</v>
      </c>
      <c r="E34174" s="2">
        <v>2234974</v>
      </c>
      <c r="F34174" s="4" t="str">
        <f>IF(B34174=B34173,"",B34174)</f>
        <v>Bamenda</v>
      </c>
    </row>
    <row r="34175" spans="1:6" ht="15.75" customHeight="1">
      <c r="A34175" s="16" t="str">
        <f ca="1">IFERROR(__xludf.DUMMYFUNCTION("GOOGLETRANSLATE(B25243,""en"",""pt"")"),"Bambuí")</f>
        <v>Bambuí</v>
      </c>
      <c r="B34175" s="20" t="s">
        <v>31716</v>
      </c>
      <c r="C34175" s="20" t="s">
        <v>1905</v>
      </c>
      <c r="D34175" s="20" t="s">
        <v>1917</v>
      </c>
      <c r="E34175" s="10">
        <v>3471005</v>
      </c>
      <c r="F34175" s="4" t="str">
        <f>IF(B34175=B34174,"",B34175)</f>
        <v>Bambuí</v>
      </c>
    </row>
    <row r="34176" spans="1:6" ht="15.75" customHeight="1">
      <c r="A34176" s="15" t="s">
        <v>2065</v>
      </c>
      <c r="B34176" s="15" t="s">
        <v>2066</v>
      </c>
      <c r="C34176" s="15" t="s">
        <v>1905</v>
      </c>
      <c r="D34176" s="15" t="s">
        <v>1917</v>
      </c>
      <c r="E34176" s="2">
        <v>3471005</v>
      </c>
      <c r="F34176" s="4" t="e">
        <f>IF(B34176=#REF!,"",B34176)</f>
        <v>#REF!</v>
      </c>
    </row>
    <row r="34177" spans="1:6" ht="15.75" customHeight="1">
      <c r="A34177" s="15" t="s">
        <v>8169</v>
      </c>
      <c r="B34177" s="15" t="s">
        <v>8169</v>
      </c>
      <c r="C34177" s="15" t="s">
        <v>8028</v>
      </c>
      <c r="D34177" s="15" t="s">
        <v>8044</v>
      </c>
      <c r="E34177" s="2">
        <v>2952984</v>
      </c>
      <c r="F34177" s="4" t="e">
        <f>IF(B34177=#REF!,"",B34177)</f>
        <v>#REF!</v>
      </c>
    </row>
    <row r="34178" spans="1:6" ht="15.75" customHeight="1">
      <c r="A34178" s="15" t="s">
        <v>4263</v>
      </c>
      <c r="B34178" s="15" t="s">
        <v>4263</v>
      </c>
      <c r="C34178" s="15" t="s">
        <v>4264</v>
      </c>
      <c r="D34178" s="15" t="s">
        <v>4265</v>
      </c>
      <c r="E34178" s="2">
        <v>240604</v>
      </c>
      <c r="F34178" s="4" t="e">
        <f>IF(B34178=#REF!,"",B34178)</f>
        <v>#REF!</v>
      </c>
    </row>
    <row r="34179" spans="1:6" ht="15.75" customHeight="1">
      <c r="A34179" s="16" t="s">
        <v>13825</v>
      </c>
      <c r="B34179" s="15" t="s">
        <v>13825</v>
      </c>
      <c r="C34179" s="16" t="s">
        <v>13800</v>
      </c>
      <c r="D34179" s="16" t="s">
        <v>13826</v>
      </c>
      <c r="E34179" s="2">
        <v>1650434</v>
      </c>
      <c r="F34179" s="4" t="e">
        <f>IF(B34179=#REF!,"",B34179)</f>
        <v>#REF!</v>
      </c>
    </row>
    <row r="34180" spans="1:6" ht="15.75" customHeight="1">
      <c r="A34180" s="15" t="s">
        <v>20654</v>
      </c>
      <c r="B34180" s="15" t="s">
        <v>20654</v>
      </c>
      <c r="C34180" s="15" t="s">
        <v>20598</v>
      </c>
      <c r="D34180" s="15" t="s">
        <v>20611</v>
      </c>
      <c r="E34180" s="2">
        <v>1727663</v>
      </c>
      <c r="F34180" s="4" t="e">
        <f>IF(B34180=#REF!,"",B34180)</f>
        <v>#REF!</v>
      </c>
    </row>
    <row r="34181" spans="1:6" ht="15.75" customHeight="1">
      <c r="A34181" s="15" t="s">
        <v>17598</v>
      </c>
      <c r="B34181" s="15" t="s">
        <v>17598</v>
      </c>
      <c r="C34181" s="15" t="s">
        <v>17596</v>
      </c>
      <c r="D34181" s="15" t="s">
        <v>17598</v>
      </c>
      <c r="E34181" s="2">
        <v>2460596</v>
      </c>
      <c r="F34181" s="4" t="e">
        <f>IF(B34181=#REF!,"",B34181)</f>
        <v>#REF!</v>
      </c>
    </row>
    <row r="34182" spans="1:6" ht="15.75" customHeight="1">
      <c r="A34182" s="15" t="s">
        <v>19337</v>
      </c>
      <c r="B34182" s="15" t="s">
        <v>19337</v>
      </c>
      <c r="C34182" s="15" t="s">
        <v>19294</v>
      </c>
      <c r="D34182" s="15" t="s">
        <v>19338</v>
      </c>
      <c r="E34182" s="2">
        <v>2347954</v>
      </c>
      <c r="F34182" s="4" t="e">
        <f>IF(B34182=#REF!,"",B34182)</f>
        <v>#REF!</v>
      </c>
    </row>
    <row r="34183" spans="1:6" ht="15.75" customHeight="1">
      <c r="A34183" s="15" t="s">
        <v>14316</v>
      </c>
      <c r="B34183" s="15" t="s">
        <v>14316</v>
      </c>
      <c r="C34183" s="15" t="s">
        <v>14240</v>
      </c>
      <c r="D34183" s="15" t="s">
        <v>14317</v>
      </c>
      <c r="E34183" s="2">
        <v>141736</v>
      </c>
      <c r="F34183" s="4" t="e">
        <f>IF(B34183=#REF!,"",B34183)</f>
        <v>#REF!</v>
      </c>
    </row>
    <row r="34184" spans="1:6" ht="15.75" customHeight="1">
      <c r="A34184" s="15" t="s">
        <v>6409</v>
      </c>
      <c r="B34184" s="15" t="s">
        <v>6409</v>
      </c>
      <c r="C34184" s="15" t="s">
        <v>6398</v>
      </c>
      <c r="D34184" s="15" t="s">
        <v>6410</v>
      </c>
      <c r="E34184" s="2">
        <v>3660361</v>
      </c>
      <c r="F34184" s="4" t="e">
        <f>IF(B34184=#REF!,"",B34184)</f>
        <v>#REF!</v>
      </c>
    </row>
    <row r="34185" spans="1:6" ht="15.75" customHeight="1">
      <c r="A34185" s="15" t="s">
        <v>16701</v>
      </c>
      <c r="B34185" s="15" t="s">
        <v>16701</v>
      </c>
      <c r="C34185" s="15" t="s">
        <v>16671</v>
      </c>
      <c r="D34185" s="15" t="s">
        <v>16695</v>
      </c>
      <c r="E34185" s="2">
        <v>610445</v>
      </c>
      <c r="F34185" s="4" t="e">
        <f>IF(B34185=#REF!,"",B34185)</f>
        <v>#REF!</v>
      </c>
    </row>
    <row r="34186" spans="1:6" ht="15.75" customHeight="1">
      <c r="A34186" s="15" t="s">
        <v>16926</v>
      </c>
      <c r="B34186" s="15" t="s">
        <v>16926</v>
      </c>
      <c r="C34186" s="15" t="s">
        <v>16924</v>
      </c>
      <c r="D34186" s="15" t="s">
        <v>16927</v>
      </c>
      <c r="E34186" s="2">
        <v>1527004</v>
      </c>
      <c r="F34186" s="4" t="e">
        <f>IF(B34186=#REF!,"",B34186)</f>
        <v>#REF!</v>
      </c>
    </row>
    <row r="34187" spans="1:6" ht="15.75" customHeight="1">
      <c r="A34187" s="16" t="s">
        <v>900</v>
      </c>
      <c r="B34187" s="15" t="s">
        <v>900</v>
      </c>
      <c r="C34187" s="16" t="s">
        <v>885</v>
      </c>
      <c r="D34187" s="16" t="s">
        <v>827</v>
      </c>
      <c r="E34187" s="2">
        <v>7932629</v>
      </c>
      <c r="F34187" s="4" t="str">
        <f>IF(B34187=B34186,"",B34187)</f>
        <v>Balwyn North</v>
      </c>
    </row>
    <row r="34188" spans="1:6" ht="15.75" customHeight="1">
      <c r="A34188" s="16" t="str">
        <f ca="1">IFERROR(__xludf.DUMMYFUNCTION("GOOGLETRANSLATE(B33988,""en"",""pt"")"),"Bālurghāt")</f>
        <v>Bālurghāt</v>
      </c>
      <c r="B34188" s="20" t="s">
        <v>33971</v>
      </c>
      <c r="C34188" s="20" t="s">
        <v>10178</v>
      </c>
      <c r="D34188" s="20" t="s">
        <v>10201</v>
      </c>
      <c r="E34188" s="10">
        <v>1277508</v>
      </c>
      <c r="F34188" s="4" t="e">
        <f>IF(B34188=#REF!,"",B34188)</f>
        <v>#REF!</v>
      </c>
    </row>
    <row r="34189" spans="1:6" ht="15.75" customHeight="1">
      <c r="A34189" s="15" t="s">
        <v>13824</v>
      </c>
      <c r="B34189" s="15" t="s">
        <v>13824</v>
      </c>
      <c r="C34189" s="15" t="s">
        <v>13800</v>
      </c>
      <c r="D34189" s="15" t="s">
        <v>13816</v>
      </c>
      <c r="E34189" s="2">
        <v>1650460</v>
      </c>
      <c r="F34189" s="4" t="str">
        <f>IF(B34189=B34188,"",B34189)</f>
        <v>Balung</v>
      </c>
    </row>
    <row r="34190" spans="1:6" ht="15.75" customHeight="1">
      <c r="A34190" s="16" t="str">
        <f ca="1">IFERROR(__xludf.DUMMYFUNCTION("GOOGLETRANSLATE(B33989,""en"",""pt"")"),"Bālugaon")</f>
        <v>Bālugaon</v>
      </c>
      <c r="B34190" s="20" t="s">
        <v>33972</v>
      </c>
      <c r="C34190" s="20" t="s">
        <v>10178</v>
      </c>
      <c r="D34190" s="20" t="s">
        <v>10229</v>
      </c>
      <c r="E34190" s="10">
        <v>1277514</v>
      </c>
      <c r="F34190" s="4" t="e">
        <f>IF(B34190=#REF!,"",B34190)</f>
        <v>#REF!</v>
      </c>
    </row>
    <row r="34191" spans="1:6" ht="15.75" customHeight="1">
      <c r="A34191" s="15" t="s">
        <v>22190</v>
      </c>
      <c r="B34191" s="15" t="s">
        <v>22190</v>
      </c>
      <c r="C34191" s="15" t="s">
        <v>22070</v>
      </c>
      <c r="D34191" s="15" t="s">
        <v>22191</v>
      </c>
      <c r="E34191" s="2">
        <v>2609906</v>
      </c>
      <c r="F34191" s="4" t="e">
        <f>IF(B34191=#REF!,"",B34191)</f>
        <v>#REF!</v>
      </c>
    </row>
    <row r="34192" spans="1:6" ht="15.75" customHeight="1">
      <c r="A34192" s="15" t="s">
        <v>27946</v>
      </c>
      <c r="B34192" s="15" t="s">
        <v>27946</v>
      </c>
      <c r="C34192" s="15" t="s">
        <v>27788</v>
      </c>
      <c r="D34192" s="15" t="s">
        <v>17061</v>
      </c>
      <c r="E34192" s="2">
        <v>4347778</v>
      </c>
      <c r="F34192" s="4" t="str">
        <f>IF(B34192=B34191,"",B34192)</f>
        <v>Baltimore</v>
      </c>
    </row>
    <row r="34193" spans="1:6" ht="15.75" customHeight="1">
      <c r="A34193" s="16" t="str">
        <f ca="1">IFERROR(__xludf.DUMMYFUNCTION("GOOGLETRANSLATE(B36545,""en"",""pt"")"),"Bălţi")</f>
        <v>Bălţi</v>
      </c>
      <c r="B34193" s="20" t="s">
        <v>34611</v>
      </c>
      <c r="C34193" s="20" t="s">
        <v>18455</v>
      </c>
      <c r="D34193" s="20" t="s">
        <v>34611</v>
      </c>
      <c r="E34193" s="10">
        <v>618605</v>
      </c>
      <c r="F34193" s="4" t="e">
        <f>IF(B34193=#REF!,"",B34193)</f>
        <v>#REF!</v>
      </c>
    </row>
    <row r="34194" spans="1:6" ht="15.75" customHeight="1">
      <c r="A34194" s="15" t="s">
        <v>26894</v>
      </c>
      <c r="B34194" s="15" t="s">
        <v>26894</v>
      </c>
      <c r="C34194" s="15" t="s">
        <v>26870</v>
      </c>
      <c r="D34194" s="15" t="s">
        <v>26884</v>
      </c>
      <c r="E34194" s="2">
        <v>712886</v>
      </c>
      <c r="F34194" s="4" t="e">
        <f>IF(B34194=#REF!,"",B34194)</f>
        <v>#REF!</v>
      </c>
    </row>
    <row r="34195" spans="1:6" ht="15.75" customHeight="1">
      <c r="A34195" s="15" t="s">
        <v>2064</v>
      </c>
      <c r="B34195" s="15" t="s">
        <v>2064</v>
      </c>
      <c r="C34195" s="15" t="s">
        <v>1905</v>
      </c>
      <c r="D34195" s="15" t="s">
        <v>2024</v>
      </c>
      <c r="E34195" s="2">
        <v>3406545</v>
      </c>
      <c r="F34195" s="4" t="str">
        <f>IF(B34195=B34194,"",B34195)</f>
        <v>Balsas</v>
      </c>
    </row>
    <row r="34196" spans="1:6" ht="15.75" customHeight="1">
      <c r="A34196" s="16" t="str">
        <f ca="1">IFERROR(__xludf.DUMMYFUNCTION("GOOGLETRANSLATE(B39835,""en"",""pt"")"),"Balş")</f>
        <v>Balş</v>
      </c>
      <c r="B34196" s="20" t="s">
        <v>35407</v>
      </c>
      <c r="C34196" s="20" t="s">
        <v>21824</v>
      </c>
      <c r="D34196" s="20" t="s">
        <v>21850</v>
      </c>
      <c r="E34196" s="10">
        <v>685586</v>
      </c>
      <c r="F34196" s="4" t="str">
        <f>IF(B34196=B34195,"",B34196)</f>
        <v>Balş</v>
      </c>
    </row>
    <row r="34197" spans="1:6" ht="15.75" customHeight="1">
      <c r="A34197" s="16" t="str">
        <f ca="1">IFERROR(__xludf.DUMMYFUNCTION("GOOGLETRANSLATE(B33990,""en"",""pt"")"),"Balrāmpur")</f>
        <v>Balrāmpur</v>
      </c>
      <c r="B34197" s="20" t="s">
        <v>33973</v>
      </c>
      <c r="C34197" s="20" t="s">
        <v>10178</v>
      </c>
      <c r="D34197" s="20" t="s">
        <v>10193</v>
      </c>
      <c r="E34197" s="10">
        <v>1277525</v>
      </c>
      <c r="F34197" s="4" t="str">
        <f>IF(B34197=B34196,"",B34197)</f>
        <v>Balrāmpur</v>
      </c>
    </row>
    <row r="34198" spans="1:6" ht="15.75" customHeight="1">
      <c r="A34198" s="16" t="s">
        <v>10578</v>
      </c>
      <c r="B34198" s="15" t="s">
        <v>10579</v>
      </c>
      <c r="C34198" s="16" t="s">
        <v>10178</v>
      </c>
      <c r="D34198" s="16" t="s">
        <v>10193</v>
      </c>
      <c r="E34198" s="2">
        <v>1277525</v>
      </c>
      <c r="F34198" s="4" t="e">
        <f>IF(B34198=#REF!,"",B34198)</f>
        <v>#REF!</v>
      </c>
    </row>
    <row r="34199" spans="1:6" ht="15.75" customHeight="1">
      <c r="A34199" s="15" t="s">
        <v>16700</v>
      </c>
      <c r="B34199" s="15" t="s">
        <v>16700</v>
      </c>
      <c r="C34199" s="15" t="s">
        <v>16671</v>
      </c>
      <c r="D34199" s="15" t="s">
        <v>16672</v>
      </c>
      <c r="E34199" s="2">
        <v>1525798</v>
      </c>
      <c r="F34199" s="4" t="str">
        <f>IF(B34199=B34198,"",B34199)</f>
        <v>Balqash</v>
      </c>
    </row>
    <row r="34200" spans="1:6" ht="15.75" customHeight="1">
      <c r="A34200" s="16" t="str">
        <f ca="1">IFERROR(__xludf.DUMMYFUNCTION("GOOGLETRANSLATE(B33991,""en"",""pt"")"),"Bālotra")</f>
        <v>Bālotra</v>
      </c>
      <c r="B34200" s="20" t="s">
        <v>33974</v>
      </c>
      <c r="C34200" s="20" t="s">
        <v>10178</v>
      </c>
      <c r="D34200" s="20" t="s">
        <v>10179</v>
      </c>
      <c r="E34200" s="10">
        <v>1277527</v>
      </c>
      <c r="F34200" s="4" t="str">
        <f>IF(B34200=B34199,"",B34200)</f>
        <v>Bālotra</v>
      </c>
    </row>
    <row r="34201" spans="1:6" ht="15.75" customHeight="1">
      <c r="A34201" s="16" t="str">
        <f ca="1">IFERROR(__xludf.DUMMYFUNCTION("GOOGLETRANSLATE(B33992,""en"",""pt"")"),"Baloda Bāzār")</f>
        <v>Baloda Bāzār</v>
      </c>
      <c r="B34201" s="20" t="s">
        <v>33975</v>
      </c>
      <c r="C34201" s="20" t="s">
        <v>10178</v>
      </c>
      <c r="D34201" s="20" t="s">
        <v>10272</v>
      </c>
      <c r="E34201" s="10">
        <v>1277530</v>
      </c>
      <c r="F34201" s="4" t="str">
        <f>IF(B34201=B34200,"",B34201)</f>
        <v>Baloda Bāzār</v>
      </c>
    </row>
    <row r="34202" spans="1:6" ht="15.75" customHeight="1">
      <c r="A34202" s="16" t="s">
        <v>10576</v>
      </c>
      <c r="B34202" s="15" t="s">
        <v>10577</v>
      </c>
      <c r="C34202" s="16" t="s">
        <v>10178</v>
      </c>
      <c r="D34202" s="16" t="s">
        <v>10272</v>
      </c>
      <c r="E34202" s="2">
        <v>1277530</v>
      </c>
      <c r="F34202" s="4" t="e">
        <f>IF(B34202=#REF!,"",B34202)</f>
        <v>#REF!</v>
      </c>
    </row>
    <row r="34203" spans="1:6" ht="15.75" customHeight="1">
      <c r="A34203" s="15" t="s">
        <v>10575</v>
      </c>
      <c r="B34203" s="15" t="s">
        <v>10575</v>
      </c>
      <c r="C34203" s="15" t="s">
        <v>10178</v>
      </c>
      <c r="D34203" s="15" t="s">
        <v>10272</v>
      </c>
      <c r="E34203" s="2">
        <v>1277535</v>
      </c>
      <c r="F34203" s="4" t="str">
        <f>IF(B34203=B34202,"",B34203)</f>
        <v>Balod</v>
      </c>
    </row>
    <row r="34204" spans="1:6" ht="15.75" customHeight="1">
      <c r="A34204" s="16" t="str">
        <f ca="1">IFERROR(__xludf.DUMMYFUNCTION("GOOGLETRANSLATE(B25244,""en"",""pt"")"),"Balneário Camboriú")</f>
        <v>Balneário Camboriú</v>
      </c>
      <c r="B34204" s="20" t="s">
        <v>31717</v>
      </c>
      <c r="C34204" s="20" t="s">
        <v>1905</v>
      </c>
      <c r="D34204" s="20" t="s">
        <v>2020</v>
      </c>
      <c r="E34204" s="10">
        <v>3471039</v>
      </c>
      <c r="F34204" s="4" t="str">
        <f>IF(B34204=B34203,"",B34204)</f>
        <v>Balneário Camboriú</v>
      </c>
    </row>
    <row r="34205" spans="1:6" ht="15.75" customHeight="1">
      <c r="A34205" s="16" t="s">
        <v>2062</v>
      </c>
      <c r="B34205" s="15" t="s">
        <v>2063</v>
      </c>
      <c r="C34205" s="16" t="s">
        <v>1905</v>
      </c>
      <c r="D34205" s="16" t="s">
        <v>2020</v>
      </c>
      <c r="E34205" s="2">
        <v>3471039</v>
      </c>
      <c r="F34205" s="4" t="str">
        <f>IF(B34205=B34204,"",B34205)</f>
        <v>BalneÃ¡rio CamboriÃº</v>
      </c>
    </row>
    <row r="34206" spans="1:6" ht="15.75" customHeight="1">
      <c r="A34206" s="16" t="str">
        <f ca="1">IFERROR(__xludf.DUMMYFUNCTION("GOOGLETRANSLATE(B31270,""en"",""pt"")"),"Balmazújváros")</f>
        <v>Balmazújváros</v>
      </c>
      <c r="B34206" s="20" t="s">
        <v>32846</v>
      </c>
      <c r="C34206" s="20" t="s">
        <v>9955</v>
      </c>
      <c r="D34206" s="20" t="s">
        <v>32828</v>
      </c>
      <c r="E34206" s="10">
        <v>722636</v>
      </c>
      <c r="F34206" s="4" t="str">
        <f>IF(B34206=B34205,"",B34206)</f>
        <v>Balmazújváros</v>
      </c>
    </row>
    <row r="34207" spans="1:6" ht="15.75" customHeight="1">
      <c r="A34207" s="16" t="s">
        <v>9973</v>
      </c>
      <c r="B34207" s="15" t="s">
        <v>9974</v>
      </c>
      <c r="C34207" s="16" t="s">
        <v>9955</v>
      </c>
      <c r="D34207" s="16" t="s">
        <v>9975</v>
      </c>
      <c r="E34207" s="2">
        <v>722636</v>
      </c>
      <c r="F34207" s="4" t="e">
        <f>IF(B34207=#REF!,"",B34207)</f>
        <v>#REF!</v>
      </c>
    </row>
    <row r="34208" spans="1:6" ht="15.75" customHeight="1">
      <c r="A34208" s="15" t="s">
        <v>7149</v>
      </c>
      <c r="B34208" s="15" t="s">
        <v>7149</v>
      </c>
      <c r="C34208" s="15" t="s">
        <v>7052</v>
      </c>
      <c r="D34208" s="15" t="s">
        <v>7082</v>
      </c>
      <c r="E34208" s="2">
        <v>3035204</v>
      </c>
      <c r="F34208" s="4" t="e">
        <f>IF(B34208=#REF!,"",B34208)</f>
        <v>#REF!</v>
      </c>
    </row>
    <row r="34209" spans="1:6" ht="15.75" customHeight="1">
      <c r="A34209" s="16" t="s">
        <v>27271</v>
      </c>
      <c r="B34209" s="15" t="s">
        <v>27271</v>
      </c>
      <c r="C34209" s="16" t="s">
        <v>27234</v>
      </c>
      <c r="D34209" s="16" t="s">
        <v>27259</v>
      </c>
      <c r="E34209" s="2">
        <v>2656490</v>
      </c>
      <c r="F34209" s="4" t="e">
        <f>IF(B34209=#REF!,"",B34209)</f>
        <v>#REF!</v>
      </c>
    </row>
    <row r="34210" spans="1:6" ht="15.75" customHeight="1">
      <c r="A34210" s="15" t="s">
        <v>27945</v>
      </c>
      <c r="B34210" s="15" t="s">
        <v>27945</v>
      </c>
      <c r="C34210" s="15" t="s">
        <v>27788</v>
      </c>
      <c r="D34210" s="15" t="s">
        <v>27806</v>
      </c>
      <c r="E34210" s="2">
        <v>4375663</v>
      </c>
      <c r="F34210" s="4" t="e">
        <f>IF(B34210=#REF!,"",B34210)</f>
        <v>#REF!</v>
      </c>
    </row>
    <row r="34211" spans="1:6" ht="15.75" customHeight="1">
      <c r="A34211" s="16" t="s">
        <v>23850</v>
      </c>
      <c r="B34211" s="15" t="s">
        <v>23850</v>
      </c>
      <c r="C34211" s="16" t="s">
        <v>23842</v>
      </c>
      <c r="D34211" s="16" t="s">
        <v>23851</v>
      </c>
      <c r="E34211" s="2">
        <v>1021360</v>
      </c>
      <c r="F34211" s="4" t="e">
        <f>IF(B34211=#REF!,"",B34211)</f>
        <v>#REF!</v>
      </c>
    </row>
    <row r="34212" spans="1:6" ht="15.75" customHeight="1">
      <c r="A34212" s="16" t="s">
        <v>6217</v>
      </c>
      <c r="B34212" s="15" t="s">
        <v>6218</v>
      </c>
      <c r="C34212" s="16" t="s">
        <v>6209</v>
      </c>
      <c r="D34212" s="16" t="s">
        <v>6216</v>
      </c>
      <c r="E34212" s="2">
        <v>2624341</v>
      </c>
      <c r="F34212" s="4" t="e">
        <f>IF(B34212=#REF!,"",B34212)</f>
        <v>#REF!</v>
      </c>
    </row>
    <row r="34213" spans="1:6" ht="15.75" customHeight="1">
      <c r="A34213" s="16" t="s">
        <v>27944</v>
      </c>
      <c r="B34213" s="15" t="s">
        <v>27944</v>
      </c>
      <c r="C34213" s="16" t="s">
        <v>27788</v>
      </c>
      <c r="D34213" s="16" t="s">
        <v>17061</v>
      </c>
      <c r="E34213" s="2">
        <v>4347839</v>
      </c>
      <c r="F34213" s="4" t="e">
        <f>IF(B34213=#REF!,"",B34213)</f>
        <v>#REF!</v>
      </c>
    </row>
    <row r="34214" spans="1:6" ht="15.75" customHeight="1">
      <c r="A34214" s="15" t="s">
        <v>899</v>
      </c>
      <c r="B34214" s="15" t="s">
        <v>899</v>
      </c>
      <c r="C34214" s="15" t="s">
        <v>885</v>
      </c>
      <c r="D34214" s="15" t="s">
        <v>827</v>
      </c>
      <c r="E34214" s="2">
        <v>2177091</v>
      </c>
      <c r="F34214" s="4" t="str">
        <f>IF(B34214=B34213,"",B34214)</f>
        <v>Ballarat</v>
      </c>
    </row>
    <row r="34215" spans="1:6" ht="15.75" customHeight="1">
      <c r="A34215" s="16" t="str">
        <f ca="1">IFERROR(__xludf.DUMMYFUNCTION("GOOGLETRANSLATE(B33995,""en"",""pt"")"),"Ballālpur")</f>
        <v>Ballālpur</v>
      </c>
      <c r="B34215" s="20" t="s">
        <v>33977</v>
      </c>
      <c r="C34215" s="20" t="s">
        <v>10178</v>
      </c>
      <c r="D34215" s="20" t="s">
        <v>10214</v>
      </c>
      <c r="E34215" s="10">
        <v>1277557</v>
      </c>
      <c r="F34215" s="4" t="str">
        <f>IF(B34215=B34214,"",B34215)</f>
        <v>Ballālpur</v>
      </c>
    </row>
    <row r="34216" spans="1:6" ht="15.75" customHeight="1">
      <c r="A34216" s="15" t="s">
        <v>10573</v>
      </c>
      <c r="B34216" s="15" t="s">
        <v>10574</v>
      </c>
      <c r="C34216" s="15" t="s">
        <v>10178</v>
      </c>
      <c r="D34216" s="15" t="s">
        <v>10214</v>
      </c>
      <c r="E34216" s="2">
        <v>1277557</v>
      </c>
      <c r="F34216" s="4" t="e">
        <f>IF(B34216=#REF!,"",B34216)</f>
        <v>#REF!</v>
      </c>
    </row>
    <row r="34217" spans="1:6" ht="15.75" customHeight="1">
      <c r="A34217" s="15" t="s">
        <v>30</v>
      </c>
      <c r="B34217" s="15" t="s">
        <v>30</v>
      </c>
      <c r="C34217" s="15" t="s">
        <v>8</v>
      </c>
      <c r="D34217" s="15" t="s">
        <v>30</v>
      </c>
      <c r="E34217" s="2">
        <v>1147290</v>
      </c>
      <c r="F34217" s="4" t="e">
        <f>IF(B34217=#REF!,"",B34217)</f>
        <v>#REF!</v>
      </c>
    </row>
    <row r="34218" spans="1:6" ht="15.75" customHeight="1">
      <c r="A34218" s="16" t="s">
        <v>26782</v>
      </c>
      <c r="B34218" s="15" t="s">
        <v>26782</v>
      </c>
      <c r="C34218" s="16" t="s">
        <v>26774</v>
      </c>
      <c r="D34218" s="16" t="s">
        <v>26783</v>
      </c>
      <c r="E34218" s="2">
        <v>161616</v>
      </c>
      <c r="F34218" s="4" t="e">
        <f>IF(B34218=#REF!,"",B34218)</f>
        <v>#REF!</v>
      </c>
    </row>
    <row r="34219" spans="1:6" ht="15.75" customHeight="1">
      <c r="A34219" s="15" t="s">
        <v>20653</v>
      </c>
      <c r="B34219" s="15" t="s">
        <v>20653</v>
      </c>
      <c r="C34219" s="15" t="s">
        <v>20598</v>
      </c>
      <c r="D34219" s="15" t="s">
        <v>20599</v>
      </c>
      <c r="E34219" s="2">
        <v>1727995</v>
      </c>
      <c r="F34219" s="4" t="e">
        <f>IF(B34219=#REF!,"",B34219)</f>
        <v>#REF!</v>
      </c>
    </row>
    <row r="34220" spans="1:6" ht="15.75" customHeight="1">
      <c r="A34220" s="15" t="s">
        <v>8168</v>
      </c>
      <c r="B34220" s="15" t="s">
        <v>8168</v>
      </c>
      <c r="C34220" s="15" t="s">
        <v>8028</v>
      </c>
      <c r="D34220" s="15" t="s">
        <v>8031</v>
      </c>
      <c r="E34220" s="2">
        <v>2953089</v>
      </c>
      <c r="F34220" s="4" t="str">
        <f>IF(B34220=B34219,"",B34220)</f>
        <v>Balingen</v>
      </c>
    </row>
    <row r="34221" spans="1:6" ht="15.75" customHeight="1">
      <c r="A34221" s="16" t="s">
        <v>5978</v>
      </c>
      <c r="B34221" s="15" t="s">
        <v>5979</v>
      </c>
      <c r="C34221" s="16" t="s">
        <v>5947</v>
      </c>
      <c r="D34221" s="16" t="s">
        <v>5956</v>
      </c>
      <c r="E34221" s="2">
        <v>3079346</v>
      </c>
      <c r="F34221" s="4" t="str">
        <f>IF(B34221=B34220,"",B34221)</f>
        <v>BÃ­lina Kyselka</v>
      </c>
    </row>
    <row r="34222" spans="1:6" ht="15.75" customHeight="1">
      <c r="A34222" s="15" t="s">
        <v>5976</v>
      </c>
      <c r="B34222" s="15" t="s">
        <v>5977</v>
      </c>
      <c r="C34222" s="15" t="s">
        <v>5947</v>
      </c>
      <c r="D34222" s="15" t="s">
        <v>5956</v>
      </c>
      <c r="E34222" s="2">
        <v>3079348</v>
      </c>
      <c r="F34222" s="4" t="e">
        <f>IF(B34222=#REF!,"",B34222)</f>
        <v>#REF!</v>
      </c>
    </row>
    <row r="34223" spans="1:6" ht="15.75" customHeight="1">
      <c r="A34223" s="16" t="s">
        <v>13822</v>
      </c>
      <c r="B34223" s="15" t="s">
        <v>13822</v>
      </c>
      <c r="C34223" s="16" t="s">
        <v>13800</v>
      </c>
      <c r="D34223" s="16" t="s">
        <v>13823</v>
      </c>
      <c r="E34223" s="2">
        <v>1650527</v>
      </c>
      <c r="F34223" s="4" t="str">
        <f>IF(B34223=B34222,"",B34223)</f>
        <v>Balikpapan</v>
      </c>
    </row>
    <row r="34224" spans="1:6" ht="15.75" customHeight="1">
      <c r="A34224" s="16" t="str">
        <f ca="1">IFERROR(__xludf.DUMMYFUNCTION("GOOGLETRANSLATE(B42061,""en"",""pt"")"),"Balıkesir")</f>
        <v>Balıkesir</v>
      </c>
      <c r="B34224" s="20" t="s">
        <v>35830</v>
      </c>
      <c r="C34224" s="20" t="s">
        <v>26201</v>
      </c>
      <c r="D34224" s="20" t="s">
        <v>35830</v>
      </c>
      <c r="E34224" s="10">
        <v>322165</v>
      </c>
      <c r="F34224" s="4" t="e">
        <f>IF(B34224=#REF!,"",B34224)</f>
        <v>#REF!</v>
      </c>
    </row>
    <row r="34225" spans="1:6" ht="15.75" customHeight="1">
      <c r="A34225" s="16" t="str">
        <f ca="1">IFERROR(__xludf.DUMMYFUNCTION("GOOGLETRANSLATE(B33994,""en"",""pt"")"),"Bāli")</f>
        <v>Bāli</v>
      </c>
      <c r="B34225" s="20" t="s">
        <v>33976</v>
      </c>
      <c r="C34225" s="20" t="s">
        <v>10178</v>
      </c>
      <c r="D34225" s="20" t="s">
        <v>10201</v>
      </c>
      <c r="E34225" s="10">
        <v>1277539</v>
      </c>
      <c r="F34225" s="4" t="e">
        <f>IF(B34225=#REF!,"",B34225)</f>
        <v>#REF!</v>
      </c>
    </row>
    <row r="34226" spans="1:6" ht="15.75" customHeight="1">
      <c r="A34226" s="15" t="s">
        <v>3894</v>
      </c>
      <c r="B34226" s="15" t="s">
        <v>3894</v>
      </c>
      <c r="C34226" s="15" t="s">
        <v>3884</v>
      </c>
      <c r="D34226" s="15" t="s">
        <v>3895</v>
      </c>
      <c r="E34226" s="2">
        <v>2235029</v>
      </c>
      <c r="F34226" s="4" t="e">
        <f>IF(B34226=#REF!,"",B34226)</f>
        <v>#REF!</v>
      </c>
    </row>
    <row r="34227" spans="1:6" ht="15.75" customHeight="1">
      <c r="A34227" s="15" t="s">
        <v>23848</v>
      </c>
      <c r="B34227" s="15" t="s">
        <v>23848</v>
      </c>
      <c r="C34227" s="15" t="s">
        <v>23842</v>
      </c>
      <c r="D34227" s="15" t="s">
        <v>23849</v>
      </c>
      <c r="E34227" s="2">
        <v>1021396</v>
      </c>
      <c r="F34227" s="4" t="e">
        <f>IF(B34227=#REF!,"",B34227)</f>
        <v>#REF!</v>
      </c>
    </row>
    <row r="34228" spans="1:6" ht="15.75" customHeight="1">
      <c r="A34228" s="15" t="s">
        <v>22188</v>
      </c>
      <c r="B34228" s="15" t="s">
        <v>22188</v>
      </c>
      <c r="C34228" s="15" t="s">
        <v>22070</v>
      </c>
      <c r="D34228" s="15" t="s">
        <v>22189</v>
      </c>
      <c r="E34228" s="2">
        <v>579432</v>
      </c>
      <c r="F34228" s="4" t="e">
        <f>IF(B34228=#REF!,"",B34228)</f>
        <v>#REF!</v>
      </c>
    </row>
    <row r="34229" spans="1:6" ht="15.75" customHeight="1">
      <c r="A34229" s="15" t="s">
        <v>1525</v>
      </c>
      <c r="B34229" s="15" t="s">
        <v>1525</v>
      </c>
      <c r="C34229" s="15" t="s">
        <v>1512</v>
      </c>
      <c r="D34229" s="15" t="s">
        <v>1513</v>
      </c>
      <c r="E34229" s="2">
        <v>2802743</v>
      </c>
      <c r="F34229" s="4" t="e">
        <f>IF(B34229=#REF!,"",B34229)</f>
        <v>#REF!</v>
      </c>
    </row>
    <row r="34230" spans="1:6" ht="15.75" customHeight="1">
      <c r="A34230" s="16" t="s">
        <v>27942</v>
      </c>
      <c r="B34230" s="15" t="s">
        <v>27943</v>
      </c>
      <c r="C34230" s="16" t="s">
        <v>27788</v>
      </c>
      <c r="D34230" s="16" t="s">
        <v>27801</v>
      </c>
      <c r="E34230" s="2">
        <v>5325866</v>
      </c>
      <c r="F34230" s="4" t="e">
        <f>IF(B34230=#REF!,"",B34230)</f>
        <v>#REF!</v>
      </c>
    </row>
    <row r="34231" spans="1:6" ht="15.75" customHeight="1">
      <c r="A34231" s="15" t="s">
        <v>27941</v>
      </c>
      <c r="B34231" s="15" t="s">
        <v>27941</v>
      </c>
      <c r="C34231" s="15" t="s">
        <v>27788</v>
      </c>
      <c r="D34231" s="15" t="s">
        <v>27819</v>
      </c>
      <c r="E34231" s="2">
        <v>5107760</v>
      </c>
      <c r="F34231" s="4" t="e">
        <f>IF(B34231=#REF!,"",B34231)</f>
        <v>#REF!</v>
      </c>
    </row>
    <row r="34232" spans="1:6" ht="15.75" customHeight="1">
      <c r="A34232" s="16" t="s">
        <v>27940</v>
      </c>
      <c r="B34232" s="15" t="s">
        <v>27940</v>
      </c>
      <c r="C34232" s="16" t="s">
        <v>27788</v>
      </c>
      <c r="D34232" s="16" t="s">
        <v>27792</v>
      </c>
      <c r="E34232" s="2">
        <v>4672059</v>
      </c>
      <c r="F34232" s="4" t="e">
        <f>IF(B34232=#REF!,"",B34232)</f>
        <v>#REF!</v>
      </c>
    </row>
    <row r="34233" spans="1:6" ht="15.75" customHeight="1">
      <c r="A34233" s="16" t="s">
        <v>14731</v>
      </c>
      <c r="B34233" s="15" t="s">
        <v>14731</v>
      </c>
      <c r="C34233" s="16" t="s">
        <v>14728</v>
      </c>
      <c r="D34233" s="16" t="s">
        <v>14729</v>
      </c>
      <c r="E34233" s="2">
        <v>2966794</v>
      </c>
      <c r="F34233" s="4" t="e">
        <f>IF(B34233=#REF!,"",B34233)</f>
        <v>#REF!</v>
      </c>
    </row>
    <row r="34234" spans="1:6" ht="15.75" customHeight="1">
      <c r="A34234" s="15" t="s">
        <v>20652</v>
      </c>
      <c r="B34234" s="15" t="s">
        <v>20652</v>
      </c>
      <c r="C34234" s="15" t="s">
        <v>20598</v>
      </c>
      <c r="D34234" s="15" t="s">
        <v>20608</v>
      </c>
      <c r="E34234" s="2">
        <v>1728336</v>
      </c>
      <c r="F34234" s="4" t="str">
        <f>IF(B34234=B34233,"",B34234)</f>
        <v>Balayan</v>
      </c>
    </row>
    <row r="34235" spans="1:6" ht="15.75" customHeight="1">
      <c r="A34235" s="15" t="s">
        <v>21848</v>
      </c>
      <c r="B34235" s="15" t="s">
        <v>21849</v>
      </c>
      <c r="C34235" s="15" t="s">
        <v>21824</v>
      </c>
      <c r="D34235" s="15" t="s">
        <v>21850</v>
      </c>
      <c r="E34235" s="2">
        <v>685586</v>
      </c>
      <c r="F34235" s="4" t="str">
        <f>IF(B34235=B34234,"",B34235)</f>
        <v>BalÅŸ</v>
      </c>
    </row>
    <row r="34236" spans="1:6" ht="15.75" customHeight="1">
      <c r="A34236" s="16" t="str">
        <f ca="1">IFERROR(__xludf.DUMMYFUNCTION("GOOGLETRANSLATE(B39551,""en"",""pt"")"),"Balāţah")</f>
        <v>Balāţah</v>
      </c>
      <c r="B34236" s="20" t="s">
        <v>35278</v>
      </c>
      <c r="C34236" s="20" t="s">
        <v>20297</v>
      </c>
      <c r="D34236" s="20" t="s">
        <v>20298</v>
      </c>
      <c r="E34236" s="10">
        <v>284446</v>
      </c>
      <c r="F34236" s="4" t="e">
        <f>IF(B34236=#REF!,"",B34236)</f>
        <v>#REF!</v>
      </c>
    </row>
    <row r="34237" spans="1:6" ht="15.75" customHeight="1">
      <c r="A34237" s="16" t="s">
        <v>9971</v>
      </c>
      <c r="B34237" s="15" t="s">
        <v>9971</v>
      </c>
      <c r="C34237" s="16" t="s">
        <v>9955</v>
      </c>
      <c r="D34237" s="16" t="s">
        <v>9972</v>
      </c>
      <c r="E34237" s="2">
        <v>3055601</v>
      </c>
      <c r="F34237" s="4" t="e">
        <f>IF(B34237=#REF!,"",B34237)</f>
        <v>#REF!</v>
      </c>
    </row>
    <row r="34238" spans="1:6" ht="15.75" customHeight="1">
      <c r="A34238" s="15" t="s">
        <v>10572</v>
      </c>
      <c r="B34238" s="15" t="s">
        <v>10572</v>
      </c>
      <c r="C34238" s="15" t="s">
        <v>10178</v>
      </c>
      <c r="D34238" s="15" t="s">
        <v>10229</v>
      </c>
      <c r="E34238" s="2">
        <v>1277599</v>
      </c>
      <c r="F34238" s="4" t="e">
        <f>IF(B34238=#REF!,"",B34238)</f>
        <v>#REF!</v>
      </c>
    </row>
    <row r="34239" spans="1:6" ht="15.75" customHeight="1">
      <c r="A34239" s="15" t="s">
        <v>22187</v>
      </c>
      <c r="B34239" s="15" t="s">
        <v>22187</v>
      </c>
      <c r="C34239" s="15" t="s">
        <v>22070</v>
      </c>
      <c r="D34239" s="15" t="s">
        <v>22171</v>
      </c>
      <c r="E34239" s="2">
        <v>579460</v>
      </c>
      <c r="F34239" s="4" t="e">
        <f>IF(B34239=#REF!,"",B34239)</f>
        <v>#REF!</v>
      </c>
    </row>
    <row r="34240" spans="1:6" ht="15.75" customHeight="1">
      <c r="A34240" s="16" t="s">
        <v>22186</v>
      </c>
      <c r="B34240" s="15" t="s">
        <v>22186</v>
      </c>
      <c r="C34240" s="16" t="s">
        <v>22070</v>
      </c>
      <c r="D34240" s="16" t="s">
        <v>22119</v>
      </c>
      <c r="E34240" s="2">
        <v>579464</v>
      </c>
      <c r="F34240" s="4" t="str">
        <f>IF(B34240=B34239,"",B34240)</f>
        <v>Balashikha</v>
      </c>
    </row>
    <row r="34241" spans="1:6" ht="15.75" customHeight="1">
      <c r="A34241" s="16" t="str">
        <f ca="1">IFERROR(__xludf.DUMMYFUNCTION("GOOGLETRANSLATE(B33998,""en"",""pt"")"),"BALARAMPUR")</f>
        <v>BALARAMPUR</v>
      </c>
      <c r="B34241" s="20" t="s">
        <v>33978</v>
      </c>
      <c r="C34241" s="20" t="s">
        <v>10178</v>
      </c>
      <c r="D34241" s="20" t="s">
        <v>10201</v>
      </c>
      <c r="E34241" s="10">
        <v>1277634</v>
      </c>
      <c r="F34241" s="4" t="str">
        <f>IF(B34241=B34240,"",B34241)</f>
        <v>Balarāmpur</v>
      </c>
    </row>
    <row r="34242" spans="1:6" ht="15.75" customHeight="1">
      <c r="A34242" s="16" t="s">
        <v>10570</v>
      </c>
      <c r="B34242" s="15" t="s">
        <v>10571</v>
      </c>
      <c r="C34242" s="16" t="s">
        <v>10178</v>
      </c>
      <c r="D34242" s="16" t="s">
        <v>10201</v>
      </c>
      <c r="E34242" s="2">
        <v>1277634</v>
      </c>
      <c r="F34242" s="4" t="str">
        <f>IF(B34242=B34241,"",B34242)</f>
        <v>BalarÄmpur</v>
      </c>
    </row>
    <row r="34243" spans="1:6" ht="15.75" customHeight="1">
      <c r="A34243" s="16" t="str">
        <f ca="1">IFERROR(__xludf.DUMMYFUNCTION("GOOGLETRANSLATE(B33999,""en"",""pt"")"),"Bālāpur")</f>
        <v>Bālāpur</v>
      </c>
      <c r="B34243" s="20" t="s">
        <v>33979</v>
      </c>
      <c r="C34243" s="20" t="s">
        <v>10178</v>
      </c>
      <c r="D34243" s="20" t="s">
        <v>10214</v>
      </c>
      <c r="E34243" s="10">
        <v>1277636</v>
      </c>
      <c r="F34243" s="4" t="e">
        <f>IF(B34243=#REF!,"",B34243)</f>
        <v>#REF!</v>
      </c>
    </row>
    <row r="34244" spans="1:6" ht="15.75" customHeight="1">
      <c r="A34244" s="16" t="s">
        <v>13820</v>
      </c>
      <c r="B34244" s="15" t="s">
        <v>13821</v>
      </c>
      <c r="C34244" s="16" t="s">
        <v>13800</v>
      </c>
      <c r="D34244" s="16" t="s">
        <v>13803</v>
      </c>
      <c r="E34244" s="2">
        <v>1650572</v>
      </c>
      <c r="F34244" s="4" t="str">
        <f>IF(B34244=B34243,"",B34244)</f>
        <v>Balapulang</v>
      </c>
    </row>
    <row r="34245" spans="1:6" ht="15.75" customHeight="1">
      <c r="A34245" s="16" t="str">
        <f ca="1">IFERROR(__xludf.DUMMYFUNCTION("GOOGLETRANSLATE(B34000,""en"",""pt"")"),"Balāngīr")</f>
        <v>Balāngīr</v>
      </c>
      <c r="B34245" s="20" t="s">
        <v>33980</v>
      </c>
      <c r="C34245" s="20" t="s">
        <v>10178</v>
      </c>
      <c r="D34245" s="20" t="s">
        <v>10229</v>
      </c>
      <c r="E34245" s="10">
        <v>1277643</v>
      </c>
      <c r="F34245" s="4" t="e">
        <f>IF(B34245=#REF!,"",B34245)</f>
        <v>#REF!</v>
      </c>
    </row>
    <row r="34246" spans="1:6" ht="15.75" customHeight="1">
      <c r="A34246" s="15" t="s">
        <v>20651</v>
      </c>
      <c r="B34246" s="15" t="s">
        <v>20651</v>
      </c>
      <c r="C34246" s="15" t="s">
        <v>20598</v>
      </c>
      <c r="D34246" s="15" t="s">
        <v>20599</v>
      </c>
      <c r="E34246" s="2">
        <v>1728523</v>
      </c>
      <c r="F34246" s="4" t="e">
        <f>IF(B34246=#REF!,"",B34246)</f>
        <v>#REF!</v>
      </c>
    </row>
    <row r="34247" spans="1:6" ht="15.75" customHeight="1">
      <c r="A34247" s="16" t="s">
        <v>20650</v>
      </c>
      <c r="B34247" s="15" t="s">
        <v>20650</v>
      </c>
      <c r="C34247" s="16" t="s">
        <v>20598</v>
      </c>
      <c r="D34247" s="16" t="s">
        <v>20622</v>
      </c>
      <c r="E34247" s="2">
        <v>1728546</v>
      </c>
      <c r="F34247" s="4" t="e">
        <f>IF(B34247=#REF!,"",B34247)</f>
        <v>#REF!</v>
      </c>
    </row>
    <row r="34248" spans="1:6" ht="15.75" customHeight="1">
      <c r="A34248" s="15" t="s">
        <v>22185</v>
      </c>
      <c r="B34248" s="15" t="s">
        <v>22185</v>
      </c>
      <c r="C34248" s="15" t="s">
        <v>22070</v>
      </c>
      <c r="D34248" s="15" t="s">
        <v>22171</v>
      </c>
      <c r="E34248" s="2">
        <v>579492</v>
      </c>
      <c r="F34248" s="4" t="e">
        <f>IF(B34248=#REF!,"",B34248)</f>
        <v>#REF!</v>
      </c>
    </row>
    <row r="34249" spans="1:6" ht="15.75" customHeight="1">
      <c r="A34249" s="15" t="s">
        <v>26892</v>
      </c>
      <c r="B34249" s="15" t="s">
        <v>26892</v>
      </c>
      <c r="C34249" s="15" t="s">
        <v>26870</v>
      </c>
      <c r="D34249" s="15" t="s">
        <v>26893</v>
      </c>
      <c r="E34249" s="2">
        <v>712926</v>
      </c>
      <c r="F34249" s="4" t="e">
        <f>IF(B34249=#REF!,"",B34249)</f>
        <v>#REF!</v>
      </c>
    </row>
    <row r="34250" spans="1:6" ht="15.75" customHeight="1">
      <c r="A34250" s="15" t="s">
        <v>26890</v>
      </c>
      <c r="B34250" s="15" t="s">
        <v>26890</v>
      </c>
      <c r="C34250" s="15" t="s">
        <v>26870</v>
      </c>
      <c r="D34250" s="15" t="s">
        <v>26891</v>
      </c>
      <c r="E34250" s="2">
        <v>712930</v>
      </c>
      <c r="F34250" s="4" t="e">
        <f>IF(B34250=#REF!,"",B34250)</f>
        <v>#REF!</v>
      </c>
    </row>
    <row r="34251" spans="1:6" ht="15.75" customHeight="1">
      <c r="A34251" s="15" t="s">
        <v>17409</v>
      </c>
      <c r="B34251" s="15" t="s">
        <v>17409</v>
      </c>
      <c r="C34251" s="15" t="s">
        <v>17410</v>
      </c>
      <c r="D34251" s="15" t="s">
        <v>17411</v>
      </c>
      <c r="E34251" s="2">
        <v>931865</v>
      </c>
      <c r="F34251" s="4" t="e">
        <f>IF(B34251=#REF!,"",B34251)</f>
        <v>#REF!</v>
      </c>
    </row>
    <row r="34252" spans="1:6" ht="15.75" customHeight="1">
      <c r="A34252" s="16" t="s">
        <v>13818</v>
      </c>
      <c r="B34252" s="15" t="s">
        <v>13818</v>
      </c>
      <c r="C34252" s="16" t="s">
        <v>13800</v>
      </c>
      <c r="D34252" s="16" t="s">
        <v>13819</v>
      </c>
      <c r="E34252" s="2">
        <v>1650600</v>
      </c>
      <c r="F34252" s="4" t="e">
        <f>IF(B34252=#REF!,"",B34252)</f>
        <v>#REF!</v>
      </c>
    </row>
    <row r="34253" spans="1:6" ht="15.75" customHeight="1">
      <c r="A34253" s="15" t="s">
        <v>24316</v>
      </c>
      <c r="B34253" s="15" t="s">
        <v>24316</v>
      </c>
      <c r="C34253" s="15" t="s">
        <v>24200</v>
      </c>
      <c r="D34253" s="15" t="s">
        <v>24277</v>
      </c>
      <c r="E34253" s="2">
        <v>3128978</v>
      </c>
      <c r="F34253" s="4" t="e">
        <f>IF(B34253=#REF!,"",B34253)</f>
        <v>#REF!</v>
      </c>
    </row>
    <row r="34254" spans="1:6" ht="15.75" customHeight="1">
      <c r="A34254" s="15" t="s">
        <v>20649</v>
      </c>
      <c r="B34254" s="15" t="s">
        <v>20649</v>
      </c>
      <c r="C34254" s="15" t="s">
        <v>20598</v>
      </c>
      <c r="D34254" s="15" t="s">
        <v>20599</v>
      </c>
      <c r="E34254" s="2">
        <v>1728584</v>
      </c>
      <c r="F34254" s="4" t="str">
        <f>IF(B34254=B34253,"",B34254)</f>
        <v>Balagtas</v>
      </c>
    </row>
    <row r="34255" spans="1:6" ht="15.75" customHeight="1">
      <c r="A34255" s="16" t="str">
        <f ca="1">IFERROR(__xludf.DUMMYFUNCTION("GOOGLETRANSLATE(B34001,""en"",""pt"")"),"Bālāghāt")</f>
        <v>Bālāghāt</v>
      </c>
      <c r="B34255" s="20" t="s">
        <v>33981</v>
      </c>
      <c r="C34255" s="20" t="s">
        <v>10178</v>
      </c>
      <c r="D34255" s="20" t="s">
        <v>10219</v>
      </c>
      <c r="E34255" s="10">
        <v>1277661</v>
      </c>
      <c r="F34255" s="4" t="e">
        <f>IF(B34255=#REF!,"",B34255)</f>
        <v>#REF!</v>
      </c>
    </row>
    <row r="34256" spans="1:6" ht="15.75" customHeight="1">
      <c r="A34256" s="15" t="s">
        <v>14673</v>
      </c>
      <c r="B34256" s="15" t="s">
        <v>14673</v>
      </c>
      <c r="C34256" s="15" t="s">
        <v>14594</v>
      </c>
      <c r="D34256" s="15" t="s">
        <v>14620</v>
      </c>
      <c r="E34256" s="2">
        <v>98112</v>
      </c>
      <c r="F34256" s="4" t="str">
        <f>IF(B34256=B34255,"",B34256)</f>
        <v>Balad</v>
      </c>
    </row>
    <row r="34257" spans="1:6" ht="15.75" customHeight="1">
      <c r="A34257" s="16" t="str">
        <f ca="1">IFERROR(__xludf.DUMMYFUNCTION("GOOGLETRANSLATE(B34002,""en"",""pt"")"),"Bālāchor")</f>
        <v>Bālāchor</v>
      </c>
      <c r="B34257" s="20" t="s">
        <v>33982</v>
      </c>
      <c r="C34257" s="20" t="s">
        <v>10178</v>
      </c>
      <c r="D34257" s="20" t="s">
        <v>10184</v>
      </c>
      <c r="E34257" s="10">
        <v>1277666</v>
      </c>
      <c r="F34257" s="4" t="e">
        <f>IF(B34257=#REF!,"",B34257)</f>
        <v>#REF!</v>
      </c>
    </row>
    <row r="34258" spans="1:6" ht="15.75" customHeight="1">
      <c r="A34258" s="16" t="s">
        <v>22183</v>
      </c>
      <c r="B34258" s="15" t="s">
        <v>22183</v>
      </c>
      <c r="C34258" s="16" t="s">
        <v>22070</v>
      </c>
      <c r="D34258" s="16" t="s">
        <v>22184</v>
      </c>
      <c r="E34258" s="2">
        <v>579529</v>
      </c>
      <c r="F34258" s="4" t="str">
        <f>IF(B34258=B34257,"",B34258)</f>
        <v>Balabanovo</v>
      </c>
    </row>
    <row r="34259" spans="1:6" ht="15.75" customHeight="1">
      <c r="A34259" s="16" t="s">
        <v>10568</v>
      </c>
      <c r="B34259" s="15" t="s">
        <v>10569</v>
      </c>
      <c r="C34259" s="16" t="s">
        <v>10178</v>
      </c>
      <c r="D34259" s="16" t="s">
        <v>10229</v>
      </c>
      <c r="E34259" s="2">
        <v>1277643</v>
      </c>
      <c r="F34259" s="4" t="str">
        <f>IF(B34259=B34258,"",B34259)</f>
        <v>BalÄngÄ«r</v>
      </c>
    </row>
    <row r="34260" spans="1:6" ht="15.75" customHeight="1">
      <c r="A34260" s="16" t="s">
        <v>20325</v>
      </c>
      <c r="B34260" s="15" t="s">
        <v>20326</v>
      </c>
      <c r="C34260" s="16" t="s">
        <v>20297</v>
      </c>
      <c r="D34260" s="16" t="s">
        <v>20298</v>
      </c>
      <c r="E34260" s="2">
        <v>284446</v>
      </c>
      <c r="F34260" s="4" t="str">
        <f>IF(B34260=B34259,"",B34260)</f>
        <v>BalÄÅ£ah</v>
      </c>
    </row>
    <row r="34261" spans="1:6" ht="15.75" customHeight="1">
      <c r="A34261" s="16" t="s">
        <v>26370</v>
      </c>
      <c r="B34261" s="15" t="s">
        <v>26340</v>
      </c>
      <c r="C34261" s="16" t="s">
        <v>26201</v>
      </c>
      <c r="D34261" s="16" t="s">
        <v>26340</v>
      </c>
      <c r="E34261" s="2">
        <v>322165</v>
      </c>
      <c r="F34261" s="4" t="e">
        <f>IF(B34261=#REF!,"",B34261)</f>
        <v>#REF!</v>
      </c>
    </row>
    <row r="34262" spans="1:6" ht="15.75" customHeight="1">
      <c r="A34262" s="15" t="s">
        <v>1187</v>
      </c>
      <c r="B34262" s="15" t="s">
        <v>1187</v>
      </c>
      <c r="C34262" s="15" t="s">
        <v>1170</v>
      </c>
      <c r="D34262" s="15" t="s">
        <v>1181</v>
      </c>
      <c r="E34262" s="2">
        <v>587084</v>
      </c>
      <c r="F34262" s="4" t="e">
        <f>IF(B34262=#REF!,"",B34262)</f>
        <v>#REF!</v>
      </c>
    </row>
    <row r="34263" spans="1:6" ht="15.75" customHeight="1">
      <c r="A34263" s="15" t="s">
        <v>22181</v>
      </c>
      <c r="B34263" s="15" t="s">
        <v>22181</v>
      </c>
      <c r="C34263" s="15" t="s">
        <v>22070</v>
      </c>
      <c r="D34263" s="15" t="s">
        <v>22182</v>
      </c>
      <c r="E34263" s="2">
        <v>579574</v>
      </c>
      <c r="F34263" s="4" t="e">
        <f>IF(B34263=#REF!,"",B34263)</f>
        <v>#REF!</v>
      </c>
    </row>
    <row r="34264" spans="1:6" ht="15.75" customHeight="1">
      <c r="A34264" s="15" t="s">
        <v>17441</v>
      </c>
      <c r="B34264" s="15" t="s">
        <v>17441</v>
      </c>
      <c r="C34264" s="15" t="s">
        <v>17432</v>
      </c>
      <c r="D34264" s="15" t="s">
        <v>17442</v>
      </c>
      <c r="E34264" s="2">
        <v>1732871</v>
      </c>
      <c r="F34264" s="4" t="e">
        <f>IF(B34264=#REF!,"",B34264)</f>
        <v>#REF!</v>
      </c>
    </row>
    <row r="34265" spans="1:6" ht="15.75" customHeight="1">
      <c r="A34265" s="15" t="s">
        <v>6837</v>
      </c>
      <c r="B34265" s="15" t="s">
        <v>6837</v>
      </c>
      <c r="C34265" s="15" t="s">
        <v>6807</v>
      </c>
      <c r="D34265" s="15" t="s">
        <v>6817</v>
      </c>
      <c r="E34265" s="2">
        <v>342856</v>
      </c>
      <c r="F34265" s="4" t="str">
        <f>IF(B34265=B34264,"",B34265)</f>
        <v>Bako</v>
      </c>
    </row>
    <row r="34266" spans="1:6" ht="15.75" customHeight="1">
      <c r="A34266" s="16" t="str">
        <f ca="1">IFERROR(__xludf.DUMMYFUNCTION("GOOGLETRANSLATE(B23670,""en"",""pt"")"),"Bakıxanov")</f>
        <v>Bakıxanov</v>
      </c>
      <c r="B34266" s="20" t="s">
        <v>31248</v>
      </c>
      <c r="C34266" s="20" t="s">
        <v>1170</v>
      </c>
      <c r="D34266" s="20" t="s">
        <v>1181</v>
      </c>
      <c r="E34266" s="10">
        <v>824003</v>
      </c>
      <c r="F34266" s="4" t="e">
        <f>IF(B34266=#REF!,"",B34266)</f>
        <v>#REF!</v>
      </c>
    </row>
    <row r="34267" spans="1:6" ht="15.75" customHeight="1">
      <c r="A34267" s="15" t="s">
        <v>1181</v>
      </c>
      <c r="B34267" s="15" t="s">
        <v>1181</v>
      </c>
      <c r="C34267" s="15" t="s">
        <v>13800</v>
      </c>
      <c r="D34267" s="15" t="s">
        <v>13803</v>
      </c>
      <c r="E34267" s="2">
        <v>1650670</v>
      </c>
      <c r="F34267" s="4" t="str">
        <f>IF(B34267=B34266,"",B34267)</f>
        <v>Baki</v>
      </c>
    </row>
    <row r="34268" spans="1:6" ht="15.75" customHeight="1">
      <c r="A34268" s="16" t="str">
        <f ca="1">IFERROR(__xludf.DUMMYFUNCTION("GOOGLETRANSLATE(B34003,""en"",""pt"")"),"Bakhtiyārpur")</f>
        <v>Bakhtiyārpur</v>
      </c>
      <c r="B34268" s="20" t="s">
        <v>33983</v>
      </c>
      <c r="C34268" s="20" t="s">
        <v>10178</v>
      </c>
      <c r="D34268" s="20" t="s">
        <v>10317</v>
      </c>
      <c r="E34268" s="10">
        <v>1277684</v>
      </c>
      <c r="F34268" s="4" t="str">
        <f>IF(B34268=B34267,"",B34268)</f>
        <v>Bakhtiyārpur</v>
      </c>
    </row>
    <row r="34269" spans="1:6" ht="15.75" customHeight="1">
      <c r="A34269" s="16" t="s">
        <v>10566</v>
      </c>
      <c r="B34269" s="15" t="s">
        <v>10567</v>
      </c>
      <c r="C34269" s="16" t="s">
        <v>10178</v>
      </c>
      <c r="D34269" s="16" t="s">
        <v>10317</v>
      </c>
      <c r="E34269" s="2">
        <v>1277684</v>
      </c>
      <c r="F34269" s="4" t="e">
        <f>IF(B34269=#REF!,"",B34269)</f>
        <v>#REF!</v>
      </c>
    </row>
    <row r="34270" spans="1:6" ht="15.75" customHeight="1">
      <c r="A34270" s="16" t="s">
        <v>26888</v>
      </c>
      <c r="B34270" s="15" t="s">
        <v>26888</v>
      </c>
      <c r="C34270" s="16" t="s">
        <v>26870</v>
      </c>
      <c r="D34270" s="16" t="s">
        <v>26889</v>
      </c>
      <c r="E34270" s="2">
        <v>712967</v>
      </c>
      <c r="F34270" s="4" t="e">
        <f>IF(B34270=#REF!,"",B34270)</f>
        <v>#REF!</v>
      </c>
    </row>
    <row r="34271" spans="1:6" ht="15.75" customHeight="1">
      <c r="A34271" s="16" t="s">
        <v>26886</v>
      </c>
      <c r="B34271" s="15" t="s">
        <v>26887</v>
      </c>
      <c r="C34271" s="16" t="s">
        <v>26870</v>
      </c>
      <c r="D34271" s="16" t="s">
        <v>26873</v>
      </c>
      <c r="E34271" s="2">
        <v>712969</v>
      </c>
      <c r="F34271" s="4" t="e">
        <f>IF(B34271=#REF!,"",B34271)</f>
        <v>#REF!</v>
      </c>
    </row>
    <row r="34272" spans="1:6" ht="15.75" customHeight="1">
      <c r="A34272" s="16" t="s">
        <v>27939</v>
      </c>
      <c r="B34272" s="15" t="s">
        <v>27939</v>
      </c>
      <c r="C34272" s="16" t="s">
        <v>27788</v>
      </c>
      <c r="D34272" s="16" t="s">
        <v>27801</v>
      </c>
      <c r="E34272" s="2">
        <v>5325738</v>
      </c>
      <c r="F34272" s="4" t="e">
        <f>IF(B34272=#REF!,"",B34272)</f>
        <v>#REF!</v>
      </c>
    </row>
    <row r="34273" spans="1:6" ht="15.75" customHeight="1">
      <c r="A34273" s="15" t="s">
        <v>7979</v>
      </c>
      <c r="B34273" s="15" t="s">
        <v>7979</v>
      </c>
      <c r="C34273" s="15" t="s">
        <v>7980</v>
      </c>
      <c r="D34273" s="15" t="s">
        <v>7981</v>
      </c>
      <c r="E34273" s="2">
        <v>2413920</v>
      </c>
      <c r="F34273" s="4" t="e">
        <f>IF(B34273=#REF!,"",B34273)</f>
        <v>#REF!</v>
      </c>
    </row>
    <row r="34274" spans="1:6" ht="15.75" customHeight="1">
      <c r="A34274" s="15" t="s">
        <v>22180</v>
      </c>
      <c r="B34274" s="15" t="s">
        <v>22180</v>
      </c>
      <c r="C34274" s="15" t="s">
        <v>22070</v>
      </c>
      <c r="D34274" s="15" t="s">
        <v>22166</v>
      </c>
      <c r="E34274" s="2">
        <v>579738</v>
      </c>
      <c r="F34274" s="4" t="str">
        <f>IF(B34274=B34273,"",B34274)</f>
        <v>Bakal</v>
      </c>
    </row>
    <row r="34275" spans="1:6" ht="15.75" customHeight="1">
      <c r="A34275" s="16" t="s">
        <v>1185</v>
      </c>
      <c r="B34275" s="15" t="s">
        <v>1186</v>
      </c>
      <c r="C34275" s="16" t="s">
        <v>1170</v>
      </c>
      <c r="D34275" s="16" t="s">
        <v>1181</v>
      </c>
      <c r="E34275" s="2">
        <v>824003</v>
      </c>
      <c r="F34275" s="4" t="str">
        <f>IF(B34275=B34274,"",B34275)</f>
        <v>BakÄ±xanov</v>
      </c>
    </row>
    <row r="34276" spans="1:6" ht="15.75" customHeight="1">
      <c r="A34276" s="15" t="s">
        <v>30505</v>
      </c>
      <c r="B34276" s="15" t="s">
        <v>30506</v>
      </c>
      <c r="C34276" s="15" t="s">
        <v>30502</v>
      </c>
      <c r="D34276" s="15" t="s">
        <v>30504</v>
      </c>
      <c r="E34276" s="2">
        <v>1514330</v>
      </c>
      <c r="F34276" s="4" t="e">
        <f>IF(B34276=#REF!,"",B34276)</f>
        <v>#REF!</v>
      </c>
    </row>
    <row r="34277" spans="1:6" ht="15.75" customHeight="1">
      <c r="A34277" s="16" t="s">
        <v>6304</v>
      </c>
      <c r="B34277" s="15" t="s">
        <v>6304</v>
      </c>
      <c r="C34277" s="16" t="s">
        <v>6303</v>
      </c>
      <c r="D34277" s="16" t="s">
        <v>6305</v>
      </c>
      <c r="E34277" s="2">
        <v>3512128</v>
      </c>
      <c r="F34277" s="4" t="str">
        <f>IF(B34277=B34276,"",B34277)</f>
        <v>Bajos de Haina</v>
      </c>
    </row>
    <row r="34278" spans="1:6" ht="15.75" customHeight="1">
      <c r="A34278" s="16" t="str">
        <f ca="1">IFERROR(__xludf.DUMMYFUNCTION("GOOGLETRANSLATE(B23750,""en"",""pt"")"),"Bājitpur")</f>
        <v>Bājitpur</v>
      </c>
      <c r="B34278" s="20" t="s">
        <v>31286</v>
      </c>
      <c r="C34278" s="20" t="s">
        <v>1296</v>
      </c>
      <c r="D34278" s="20" t="s">
        <v>1297</v>
      </c>
      <c r="E34278" s="10">
        <v>1185276</v>
      </c>
      <c r="F34278" s="4" t="str">
        <f>IF(B34278=B34277,"",B34278)</f>
        <v>Bājitpur</v>
      </c>
    </row>
    <row r="34279" spans="1:6" ht="15.75" customHeight="1">
      <c r="A34279" s="16" t="str">
        <f ca="1">IFERROR(__xludf.DUMMYFUNCTION("GOOGLETRANSLATE(B45831,""en"",""pt"")"),"Bājil")</f>
        <v>Bājil</v>
      </c>
      <c r="B34279" s="20" t="s">
        <v>36225</v>
      </c>
      <c r="C34279" s="20" t="s">
        <v>30993</v>
      </c>
      <c r="D34279" s="20" t="s">
        <v>36213</v>
      </c>
      <c r="E34279" s="10">
        <v>77408</v>
      </c>
      <c r="F34279" s="4" t="e">
        <f>IF(B34279=#REF!,"",B34279)</f>
        <v>#REF!</v>
      </c>
    </row>
    <row r="34280" spans="1:6" ht="15.75" customHeight="1">
      <c r="A34280" s="15" t="s">
        <v>9969</v>
      </c>
      <c r="B34280" s="15" t="s">
        <v>9969</v>
      </c>
      <c r="C34280" s="15" t="s">
        <v>9955</v>
      </c>
      <c r="D34280" s="15" t="s">
        <v>9970</v>
      </c>
      <c r="E34280" s="2">
        <v>3055685</v>
      </c>
      <c r="F34280" s="4" t="e">
        <f>IF(B34280=#REF!,"",B34280)</f>
        <v>#REF!</v>
      </c>
    </row>
    <row r="34281" spans="1:6" ht="15.75" customHeight="1">
      <c r="A34281" s="15" t="s">
        <v>10565</v>
      </c>
      <c r="B34281" s="15" t="s">
        <v>10565</v>
      </c>
      <c r="C34281" s="15" t="s">
        <v>10178</v>
      </c>
      <c r="D34281" s="15" t="s">
        <v>10201</v>
      </c>
      <c r="E34281" s="2">
        <v>1277723</v>
      </c>
      <c r="F34281" s="4" t="e">
        <f>IF(B34281=#REF!,"",B34281)</f>
        <v>#REF!</v>
      </c>
    </row>
    <row r="34282" spans="1:6" ht="15.75" customHeight="1">
      <c r="A34282" s="15" t="s">
        <v>4525</v>
      </c>
      <c r="B34282" s="15" t="s">
        <v>4525</v>
      </c>
      <c r="C34282" s="15" t="s">
        <v>4487</v>
      </c>
      <c r="D34282" s="15" t="s">
        <v>4526</v>
      </c>
      <c r="E34282" s="2">
        <v>1817240</v>
      </c>
      <c r="F34282" s="4" t="e">
        <f>IF(B34282=#REF!,"",B34282)</f>
        <v>#REF!</v>
      </c>
    </row>
    <row r="34283" spans="1:6" ht="15.75" customHeight="1">
      <c r="A34283" s="16" t="s">
        <v>2060</v>
      </c>
      <c r="B34283" s="15" t="s">
        <v>2061</v>
      </c>
      <c r="C34283" s="16" t="s">
        <v>1905</v>
      </c>
      <c r="D34283" s="16" t="s">
        <v>1949</v>
      </c>
      <c r="E34283" s="2">
        <v>3471061</v>
      </c>
      <c r="F34283" s="4" t="e">
        <f>IF(B34283=#REF!,"",B34283)</f>
        <v>#REF!</v>
      </c>
    </row>
    <row r="34284" spans="1:6" ht="15.75" customHeight="1">
      <c r="A34284" s="16" t="s">
        <v>4524</v>
      </c>
      <c r="B34284" s="15" t="s">
        <v>4524</v>
      </c>
      <c r="C34284" s="16" t="s">
        <v>4487</v>
      </c>
      <c r="D34284" s="16" t="s">
        <v>4518</v>
      </c>
      <c r="E34284" s="2">
        <v>2038529</v>
      </c>
      <c r="F34284" s="4" t="e">
        <f>IF(B34284=#REF!,"",B34284)</f>
        <v>#REF!</v>
      </c>
    </row>
    <row r="34285" spans="1:6" ht="15.75" customHeight="1">
      <c r="A34285" s="15" t="s">
        <v>4523</v>
      </c>
      <c r="B34285" s="15" t="s">
        <v>4523</v>
      </c>
      <c r="C34285" s="15" t="s">
        <v>4487</v>
      </c>
      <c r="D34285" s="15" t="s">
        <v>4518</v>
      </c>
      <c r="E34285" s="2">
        <v>2038584</v>
      </c>
      <c r="F34285" s="4" t="e">
        <f>IF(B34285=#REF!,"",B34285)</f>
        <v>#REF!</v>
      </c>
    </row>
    <row r="34286" spans="1:6" ht="15.75" customHeight="1">
      <c r="A34286" s="15" t="s">
        <v>4522</v>
      </c>
      <c r="B34286" s="15" t="s">
        <v>4522</v>
      </c>
      <c r="C34286" s="15" t="s">
        <v>4487</v>
      </c>
      <c r="D34286" s="15" t="s">
        <v>4516</v>
      </c>
      <c r="E34286" s="2">
        <v>1816269</v>
      </c>
      <c r="F34286" s="4" t="e">
        <f>IF(B34286=#REF!,"",B34286)</f>
        <v>#REF!</v>
      </c>
    </row>
    <row r="34287" spans="1:6" ht="15.75" customHeight="1">
      <c r="A34287" s="15" t="s">
        <v>20648</v>
      </c>
      <c r="B34287" s="15" t="s">
        <v>20648</v>
      </c>
      <c r="C34287" s="15" t="s">
        <v>20598</v>
      </c>
      <c r="D34287" s="15" t="s">
        <v>20622</v>
      </c>
      <c r="E34287" s="2">
        <v>1728772</v>
      </c>
      <c r="F34287" s="4" t="str">
        <f>IF(B34287=B34286,"",B34287)</f>
        <v>Bais</v>
      </c>
    </row>
    <row r="34288" spans="1:6" ht="15.75" customHeight="1">
      <c r="A34288" s="16" t="str">
        <f ca="1">IFERROR(__xludf.DUMMYFUNCTION("GOOGLETRANSLATE(B34005,""en"",""pt"")"),"Bairāgnia")</f>
        <v>Bairāgnia</v>
      </c>
      <c r="B34288" s="20" t="s">
        <v>33984</v>
      </c>
      <c r="C34288" s="20" t="s">
        <v>10178</v>
      </c>
      <c r="D34288" s="20" t="s">
        <v>10317</v>
      </c>
      <c r="E34288" s="10">
        <v>1277748</v>
      </c>
      <c r="F34288" s="4" t="str">
        <f>IF(B34288=B34287,"",B34288)</f>
        <v>Bairāgnia</v>
      </c>
    </row>
    <row r="34289" spans="1:6" ht="15.75" customHeight="1">
      <c r="A34289" s="16" t="s">
        <v>10563</v>
      </c>
      <c r="B34289" s="15" t="s">
        <v>10564</v>
      </c>
      <c r="C34289" s="16" t="s">
        <v>10178</v>
      </c>
      <c r="D34289" s="16" t="s">
        <v>10317</v>
      </c>
      <c r="E34289" s="2">
        <v>1277748</v>
      </c>
      <c r="F34289" s="4" t="e">
        <f>IF(B34289=#REF!,"",B34289)</f>
        <v>#REF!</v>
      </c>
    </row>
    <row r="34290" spans="1:6" ht="15.75" customHeight="1">
      <c r="A34290" s="15" t="s">
        <v>4521</v>
      </c>
      <c r="B34290" s="15" t="s">
        <v>4521</v>
      </c>
      <c r="C34290" s="15" t="s">
        <v>4487</v>
      </c>
      <c r="D34290" s="15" t="s">
        <v>4488</v>
      </c>
      <c r="E34290" s="2">
        <v>2038541</v>
      </c>
      <c r="F34290" s="4" t="e">
        <f>IF(B34290=#REF!,"",B34290)</f>
        <v>#REF!</v>
      </c>
    </row>
    <row r="34291" spans="1:6" ht="15.75" customHeight="1">
      <c r="A34291" s="16" t="s">
        <v>27937</v>
      </c>
      <c r="B34291" s="15" t="s">
        <v>27938</v>
      </c>
      <c r="C34291" s="16" t="s">
        <v>27788</v>
      </c>
      <c r="D34291" s="16" t="s">
        <v>27733</v>
      </c>
      <c r="E34291" s="2">
        <v>5816320</v>
      </c>
      <c r="F34291" s="4" t="e">
        <f>IF(B34291=#REF!,"",B34291)</f>
        <v>#REF!</v>
      </c>
    </row>
    <row r="34292" spans="1:6" ht="15.75" customHeight="1">
      <c r="A34292" s="16" t="s">
        <v>10562</v>
      </c>
      <c r="B34292" s="15" t="s">
        <v>10562</v>
      </c>
      <c r="C34292" s="16" t="s">
        <v>10178</v>
      </c>
      <c r="D34292" s="16" t="s">
        <v>10252</v>
      </c>
      <c r="E34292" s="2">
        <v>1277765</v>
      </c>
      <c r="F34292" s="4" t="str">
        <f>IF(B34292=B34291,"",B34292)</f>
        <v>Bail-Hongal</v>
      </c>
    </row>
    <row r="34293" spans="1:6" ht="15.75" customHeight="1">
      <c r="A34293" s="16" t="str">
        <f ca="1">IFERROR(__xludf.DUMMYFUNCTION("GOOGLETRANSLATE(B39836,""en"",""pt"")"),"Băileşti")</f>
        <v>Băileşti</v>
      </c>
      <c r="B34293" s="20" t="s">
        <v>35408</v>
      </c>
      <c r="C34293" s="20" t="s">
        <v>21824</v>
      </c>
      <c r="D34293" s="20" t="s">
        <v>21843</v>
      </c>
      <c r="E34293" s="10">
        <v>685785</v>
      </c>
      <c r="F34293" s="4" t="str">
        <f>IF(B34293=B34292,"",B34293)</f>
        <v>Băileşti</v>
      </c>
    </row>
    <row r="34294" spans="1:6" ht="15.75" customHeight="1">
      <c r="A34294" s="16" t="str">
        <f ca="1">IFERROR(__xludf.DUMMYFUNCTION("GOOGLETRANSLATE(B29178,""en"",""pt"")"),"Bailén")</f>
        <v>Bailén</v>
      </c>
      <c r="B34294" s="20" t="s">
        <v>32397</v>
      </c>
      <c r="C34294" s="20" t="s">
        <v>24200</v>
      </c>
      <c r="D34294" s="20" t="s">
        <v>24205</v>
      </c>
      <c r="E34294" s="10">
        <v>2521410</v>
      </c>
      <c r="F34294" s="4" t="e">
        <f>IF(B34294=#REF!,"",B34294)</f>
        <v>#REF!</v>
      </c>
    </row>
    <row r="34295" spans="1:6" ht="15.75" customHeight="1">
      <c r="A34295" s="15" t="s">
        <v>27270</v>
      </c>
      <c r="B34295" s="15" t="s">
        <v>27270</v>
      </c>
      <c r="C34295" s="15" t="s">
        <v>27234</v>
      </c>
      <c r="D34295" s="15" t="s">
        <v>27241</v>
      </c>
      <c r="E34295" s="2">
        <v>2656627</v>
      </c>
      <c r="F34295" s="4" t="str">
        <f>IF(B34295=B34294,"",B34295)</f>
        <v>Baildon</v>
      </c>
    </row>
    <row r="34296" spans="1:6" ht="15.75" customHeight="1">
      <c r="A34296" s="15" t="s">
        <v>24314</v>
      </c>
      <c r="B34296" s="15" t="s">
        <v>24315</v>
      </c>
      <c r="C34296" s="15" t="s">
        <v>24200</v>
      </c>
      <c r="D34296" s="15" t="s">
        <v>24205</v>
      </c>
      <c r="E34296" s="2">
        <v>2521410</v>
      </c>
      <c r="F34296" s="4" t="e">
        <f>IF(B34296=#REF!,"",B34296)</f>
        <v>#REF!</v>
      </c>
    </row>
    <row r="34297" spans="1:6" ht="15.75" customHeight="1">
      <c r="A34297" s="16" t="s">
        <v>4520</v>
      </c>
      <c r="B34297" s="15" t="s">
        <v>4520</v>
      </c>
      <c r="C34297" s="16" t="s">
        <v>4487</v>
      </c>
      <c r="D34297" s="16" t="s">
        <v>4490</v>
      </c>
      <c r="E34297" s="2">
        <v>1529626</v>
      </c>
      <c r="F34297" s="4" t="e">
        <f>IF(B34297=#REF!,"",B34297)</f>
        <v>#REF!</v>
      </c>
    </row>
    <row r="34298" spans="1:6" ht="15.75" customHeight="1">
      <c r="A34298" s="15" t="s">
        <v>4519</v>
      </c>
      <c r="B34298" s="15" t="s">
        <v>4519</v>
      </c>
      <c r="C34298" s="15" t="s">
        <v>4487</v>
      </c>
      <c r="D34298" s="15" t="s">
        <v>4516</v>
      </c>
      <c r="E34298" s="2">
        <v>1817701</v>
      </c>
      <c r="F34298" s="4" t="e">
        <f>IF(B34298=#REF!,"",B34298)</f>
        <v>#REF!</v>
      </c>
    </row>
    <row r="34299" spans="1:6" ht="15.75" customHeight="1">
      <c r="A34299" s="15" t="s">
        <v>10561</v>
      </c>
      <c r="B34299" s="15" t="s">
        <v>10561</v>
      </c>
      <c r="C34299" s="15" t="s">
        <v>10178</v>
      </c>
      <c r="D34299" s="15" t="s">
        <v>10219</v>
      </c>
      <c r="E34299" s="2">
        <v>1277776</v>
      </c>
      <c r="F34299" s="4" t="e">
        <f>IF(B34299=#REF!,"",B34299)</f>
        <v>#REF!</v>
      </c>
    </row>
    <row r="34300" spans="1:6" ht="15.75" customHeight="1">
      <c r="A34300" s="16" t="s">
        <v>8167</v>
      </c>
      <c r="B34300" s="15" t="s">
        <v>8167</v>
      </c>
      <c r="C34300" s="16" t="s">
        <v>8028</v>
      </c>
      <c r="D34300" s="16" t="s">
        <v>8031</v>
      </c>
      <c r="E34300" s="2">
        <v>2953197</v>
      </c>
      <c r="F34300" s="4" t="e">
        <f>IF(B34300=#REF!,"",B34300)</f>
        <v>#REF!</v>
      </c>
    </row>
    <row r="34301" spans="1:6" ht="15.75" customHeight="1">
      <c r="A34301" s="16" t="s">
        <v>9669</v>
      </c>
      <c r="B34301" s="15" t="s">
        <v>9669</v>
      </c>
      <c r="C34301" s="16" t="s">
        <v>9670</v>
      </c>
      <c r="D34301" s="16" t="s">
        <v>9670</v>
      </c>
      <c r="E34301" s="2">
        <v>3579767</v>
      </c>
      <c r="F34301" s="4" t="e">
        <f>IF(B34301=#REF!,"",B34301)</f>
        <v>#REF!</v>
      </c>
    </row>
    <row r="34302" spans="1:6" ht="15.75" customHeight="1">
      <c r="A34302" s="16" t="s">
        <v>3986</v>
      </c>
      <c r="B34302" s="15" t="s">
        <v>3987</v>
      </c>
      <c r="C34302" s="16" t="s">
        <v>3975</v>
      </c>
      <c r="D34302" s="16" t="s">
        <v>3982</v>
      </c>
      <c r="E34302" s="2">
        <v>5889745</v>
      </c>
      <c r="F34302" s="4" t="str">
        <f>IF(B34302=B34301,"",B34302)</f>
        <v>Baie-Comeau</v>
      </c>
    </row>
    <row r="34303" spans="1:6" ht="15.75" customHeight="1">
      <c r="A34303" s="16" t="str">
        <f ca="1">IFERROR(__xludf.DUMMYFUNCTION("GOOGLETRANSLATE(B34009,""en"",""pt"")"),"Baidyabāti")</f>
        <v>Baidyabāti</v>
      </c>
      <c r="B34303" s="20" t="s">
        <v>33985</v>
      </c>
      <c r="C34303" s="20" t="s">
        <v>10178</v>
      </c>
      <c r="D34303" s="20" t="s">
        <v>10201</v>
      </c>
      <c r="E34303" s="10">
        <v>1277780</v>
      </c>
      <c r="F34303" s="4" t="str">
        <f>IF(B34303=B34302,"",B34303)</f>
        <v>Baidyabāti</v>
      </c>
    </row>
    <row r="34304" spans="1:6" ht="15.75" customHeight="1">
      <c r="A34304" s="16" t="s">
        <v>10559</v>
      </c>
      <c r="B34304" s="15" t="s">
        <v>10560</v>
      </c>
      <c r="C34304" s="16" t="s">
        <v>10178</v>
      </c>
      <c r="D34304" s="16" t="s">
        <v>10201</v>
      </c>
      <c r="E34304" s="2">
        <v>1277780</v>
      </c>
      <c r="F34304" s="4" t="e">
        <f>IF(B34304=#REF!,"",B34304)</f>
        <v>#REF!</v>
      </c>
    </row>
    <row r="34305" spans="1:6" ht="15.75" customHeight="1">
      <c r="A34305" s="15" t="s">
        <v>23804</v>
      </c>
      <c r="B34305" s="15" t="s">
        <v>23804</v>
      </c>
      <c r="C34305" s="15" t="s">
        <v>23800</v>
      </c>
      <c r="D34305" s="15" t="s">
        <v>20668</v>
      </c>
      <c r="E34305" s="2">
        <v>64536</v>
      </c>
      <c r="F34305" s="4" t="str">
        <f>IF(B34305=B34304,"",B34305)</f>
        <v>Baidoa</v>
      </c>
    </row>
    <row r="34306" spans="1:6" ht="15.75" customHeight="1">
      <c r="A34306" s="16" t="str">
        <f ca="1">IFERROR(__xludf.DUMMYFUNCTION("GOOGLETRANSLATE(B39837,""en"",""pt"")"),"Băicoi")</f>
        <v>Băicoi</v>
      </c>
      <c r="B34306" s="20" t="s">
        <v>35409</v>
      </c>
      <c r="C34306" s="20" t="s">
        <v>21824</v>
      </c>
      <c r="D34306" s="20" t="s">
        <v>21840</v>
      </c>
      <c r="E34306" s="10">
        <v>685811</v>
      </c>
      <c r="F34306" s="4" t="e">
        <f>IF(B34306=#REF!,"",B34306)</f>
        <v>#REF!</v>
      </c>
    </row>
    <row r="34307" spans="1:6" ht="15.75" customHeight="1">
      <c r="A34307" s="15" t="s">
        <v>4517</v>
      </c>
      <c r="B34307" s="15" t="s">
        <v>4517</v>
      </c>
      <c r="C34307" s="15" t="s">
        <v>4487</v>
      </c>
      <c r="D34307" s="15" t="s">
        <v>4518</v>
      </c>
      <c r="E34307" s="2">
        <v>2038569</v>
      </c>
      <c r="F34307" s="4" t="e">
        <f>IF(B34307=#REF!,"",B34307)</f>
        <v>#REF!</v>
      </c>
    </row>
    <row r="34308" spans="1:6" ht="15.75" customHeight="1">
      <c r="A34308" s="16" t="s">
        <v>21847</v>
      </c>
      <c r="B34308" s="15" t="s">
        <v>21847</v>
      </c>
      <c r="C34308" s="16" t="s">
        <v>21824</v>
      </c>
      <c r="D34308" s="16" t="s">
        <v>21845</v>
      </c>
      <c r="E34308" s="2">
        <v>685823</v>
      </c>
      <c r="F34308" s="4" t="e">
        <f>IF(B34308=#REF!,"",B34308)</f>
        <v>#REF!</v>
      </c>
    </row>
    <row r="34309" spans="1:6" ht="15.75" customHeight="1">
      <c r="A34309" s="16" t="s">
        <v>21844</v>
      </c>
      <c r="B34309" s="15" t="s">
        <v>21844</v>
      </c>
      <c r="C34309" s="16" t="s">
        <v>21824</v>
      </c>
      <c r="D34309" s="16" t="s">
        <v>21845</v>
      </c>
      <c r="E34309" s="2">
        <v>685826</v>
      </c>
      <c r="F34309" s="4" t="e">
        <f>IF(B34309=#REF!,"",B34309)</f>
        <v>#REF!</v>
      </c>
    </row>
    <row r="34310" spans="1:6" ht="15.75" customHeight="1">
      <c r="A34310" s="15" t="s">
        <v>10558</v>
      </c>
      <c r="B34310" s="15" t="s">
        <v>10558</v>
      </c>
      <c r="C34310" s="15" t="s">
        <v>10178</v>
      </c>
      <c r="D34310" s="15" t="s">
        <v>10201</v>
      </c>
      <c r="E34310" s="2">
        <v>7302862</v>
      </c>
      <c r="F34310" s="4" t="e">
        <f>IF(B34310=#REF!,"",B34310)</f>
        <v>#REF!</v>
      </c>
    </row>
    <row r="34311" spans="1:6" ht="15.75" customHeight="1">
      <c r="A34311" s="15" t="s">
        <v>10557</v>
      </c>
      <c r="B34311" s="15" t="s">
        <v>10557</v>
      </c>
      <c r="C34311" s="15" t="s">
        <v>10178</v>
      </c>
      <c r="D34311" s="15" t="s">
        <v>10193</v>
      </c>
      <c r="E34311" s="2">
        <v>1277799</v>
      </c>
      <c r="F34311" s="4" t="str">
        <f>IF(B34311=B34310,"",B34311)</f>
        <v>Bahraigh</v>
      </c>
    </row>
    <row r="34312" spans="1:6" ht="15.75" customHeight="1">
      <c r="A34312" s="16" t="s">
        <v>19778</v>
      </c>
      <c r="B34312" s="15" t="s">
        <v>19779</v>
      </c>
      <c r="C34312" s="16" t="s">
        <v>19755</v>
      </c>
      <c r="D34312" s="16" t="s">
        <v>19759</v>
      </c>
      <c r="E34312" s="2">
        <v>288899</v>
      </c>
      <c r="F34312" s="4" t="str">
        <f>IF(B34312=B34311,"",B34312)</f>
        <v>BahlÄâ€™</v>
      </c>
    </row>
    <row r="34313" spans="1:6" ht="15.75" customHeight="1">
      <c r="A34313" s="16" t="str">
        <f ca="1">IFERROR(__xludf.DUMMYFUNCTION("GOOGLETRANSLATE(B38267,""en"",""pt"")"),"Bahlā '")</f>
        <v>Bahlā '</v>
      </c>
      <c r="B34313" s="20" t="s">
        <v>34855</v>
      </c>
      <c r="C34313" s="20" t="s">
        <v>19755</v>
      </c>
      <c r="D34313" s="20" t="s">
        <v>34843</v>
      </c>
      <c r="E34313" s="10">
        <v>288899</v>
      </c>
      <c r="F34313" s="4" t="e">
        <f>IF(B34313=#REF!,"",B34313)</f>
        <v>#REF!</v>
      </c>
    </row>
    <row r="34314" spans="1:6" ht="15.75" customHeight="1">
      <c r="A34314" s="15" t="s">
        <v>10556</v>
      </c>
      <c r="B34314" s="15" t="s">
        <v>10556</v>
      </c>
      <c r="C34314" s="15" t="s">
        <v>10178</v>
      </c>
      <c r="D34314" s="15" t="s">
        <v>10193</v>
      </c>
      <c r="E34314" s="2">
        <v>1277808</v>
      </c>
      <c r="F34314" s="4" t="e">
        <f>IF(B34314=#REF!,"",B34314)</f>
        <v>#REF!</v>
      </c>
    </row>
    <row r="34315" spans="1:6" ht="15.75" customHeight="1">
      <c r="A34315" s="15" t="s">
        <v>6836</v>
      </c>
      <c r="B34315" s="15" t="s">
        <v>6836</v>
      </c>
      <c r="C34315" s="15" t="s">
        <v>6807</v>
      </c>
      <c r="D34315" s="15" t="s">
        <v>6811</v>
      </c>
      <c r="E34315" s="2">
        <v>342884</v>
      </c>
      <c r="F34315" s="4" t="str">
        <f>IF(B34315=B34314,"",B34315)</f>
        <v>Bahir Dar</v>
      </c>
    </row>
    <row r="34316" spans="1:6" ht="15.75" customHeight="1">
      <c r="A34316" s="16" t="str">
        <f ca="1">IFERROR(__xludf.DUMMYFUNCTION("GOOGLETRANSLATE(B27213,""en"",""pt"")"),"Bahía Honda")</f>
        <v>Bahía Honda</v>
      </c>
      <c r="B34316" s="20" t="s">
        <v>31931</v>
      </c>
      <c r="C34316" s="20" t="s">
        <v>5764</v>
      </c>
      <c r="D34316" s="20" t="s">
        <v>5771</v>
      </c>
      <c r="E34316" s="10">
        <v>3567995</v>
      </c>
      <c r="F34316" s="4" t="str">
        <f>IF(B34316=B34315,"",B34316)</f>
        <v>Bahía Honda</v>
      </c>
    </row>
    <row r="34317" spans="1:6" ht="15.75" customHeight="1">
      <c r="A34317" s="16" t="str">
        <f ca="1">IFERROR(__xludf.DUMMYFUNCTION("GOOGLETRANSLATE(B28806,""en"",""pt"")"),"Bahía de Caráquez")</f>
        <v>Bahía de Caráquez</v>
      </c>
      <c r="B34317" s="20" t="s">
        <v>32240</v>
      </c>
      <c r="C34317" s="20" t="s">
        <v>6398</v>
      </c>
      <c r="D34317" s="20" t="s">
        <v>32234</v>
      </c>
      <c r="E34317" s="10">
        <v>3660401</v>
      </c>
      <c r="F34317" s="4" t="str">
        <f>IF(B34317=B34316,"",B34317)</f>
        <v>Bahía de Caráquez</v>
      </c>
    </row>
    <row r="34318" spans="1:6" ht="15.75" customHeight="1">
      <c r="A34318" s="16" t="str">
        <f ca="1">IFERROR(__xludf.DUMMYFUNCTION("GOOGLETRANSLATE(B23358,""en"",""pt"")"),"Bahía Blanca")</f>
        <v>Bahía Blanca</v>
      </c>
      <c r="B34318" s="20" t="s">
        <v>31218</v>
      </c>
      <c r="C34318" s="20" t="s">
        <v>558</v>
      </c>
      <c r="D34318" s="20" t="s">
        <v>562</v>
      </c>
      <c r="E34318" s="10">
        <v>3865086</v>
      </c>
      <c r="F34318" s="4" t="e">
        <f>IF(B34318=#REF!,"",B34318)</f>
        <v>#REF!</v>
      </c>
    </row>
    <row r="34319" spans="1:6" ht="15.75" customHeight="1">
      <c r="A34319" s="15" t="s">
        <v>10555</v>
      </c>
      <c r="B34319" s="15" t="s">
        <v>10555</v>
      </c>
      <c r="C34319" s="15" t="s">
        <v>10178</v>
      </c>
      <c r="D34319" s="15" t="s">
        <v>10193</v>
      </c>
      <c r="E34319" s="2">
        <v>1277814</v>
      </c>
      <c r="F34319" s="4" t="str">
        <f>IF(B34319=B34318,"",B34319)</f>
        <v>Baheri</v>
      </c>
    </row>
    <row r="34320" spans="1:6" ht="15.75" customHeight="1">
      <c r="A34320" s="16" t="str">
        <f ca="1">IFERROR(__xludf.DUMMYFUNCTION("GOOGLETRANSLATE(B42240,""en"",""pt"")"),"Bahçelievler")</f>
        <v>Bahçelievler</v>
      </c>
      <c r="B34320" s="20" t="s">
        <v>35979</v>
      </c>
      <c r="C34320" s="20" t="s">
        <v>26201</v>
      </c>
      <c r="D34320" s="20" t="s">
        <v>26211</v>
      </c>
      <c r="E34320" s="10">
        <v>7627067</v>
      </c>
      <c r="F34320" s="4" t="str">
        <f>IF(B34320=B34319,"",B34320)</f>
        <v>Bahçelievler</v>
      </c>
    </row>
    <row r="34321" spans="1:6" ht="15.75" customHeight="1">
      <c r="A34321" s="16" t="str">
        <f ca="1">IFERROR(__xludf.DUMMYFUNCTION("GOOGLETRANSLATE(B42062,""en"",""pt"")"),"Bahçe")</f>
        <v>Bahçe</v>
      </c>
      <c r="B34321" s="20" t="s">
        <v>35901</v>
      </c>
      <c r="C34321" s="20" t="s">
        <v>26201</v>
      </c>
      <c r="D34321" s="20" t="s">
        <v>26273</v>
      </c>
      <c r="E34321" s="10">
        <v>322391</v>
      </c>
      <c r="F34321" s="4" t="e">
        <f>IF(B34321=#REF!,"",B34321)</f>
        <v>#REF!</v>
      </c>
    </row>
    <row r="34322" spans="1:6" ht="15.75" customHeight="1">
      <c r="A34322" s="15" t="s">
        <v>20645</v>
      </c>
      <c r="B34322" s="15" t="s">
        <v>20646</v>
      </c>
      <c r="C34322" s="15" t="s">
        <v>20598</v>
      </c>
      <c r="D34322" s="15" t="s">
        <v>20647</v>
      </c>
      <c r="E34322" s="2">
        <v>1728825</v>
      </c>
      <c r="F34322" s="4" t="str">
        <f>IF(B34322=B34321,"",B34322)</f>
        <v>Bah-Bah</v>
      </c>
    </row>
    <row r="34323" spans="1:6" ht="15.75" customHeight="1">
      <c r="A34323" s="16" t="str">
        <f ca="1">IFERROR(__xludf.DUMMYFUNCTION("GOOGLETRANSLATE(B39156,""en"",""pt"")"),"Bahāwalpur")</f>
        <v>Bahāwalpur</v>
      </c>
      <c r="B34323" s="20" t="s">
        <v>35051</v>
      </c>
      <c r="C34323" s="20" t="s">
        <v>19808</v>
      </c>
      <c r="D34323" s="20" t="s">
        <v>10184</v>
      </c>
      <c r="E34323" s="10">
        <v>1183880</v>
      </c>
      <c r="F34323" s="4" t="e">
        <f>IF(B34323=#REF!,"",B34323)</f>
        <v>#REF!</v>
      </c>
    </row>
    <row r="34324" spans="1:6" ht="15.75" customHeight="1">
      <c r="A34324" s="16" t="str">
        <f ca="1">IFERROR(__xludf.DUMMYFUNCTION("GOOGLETRANSLATE(B39157,""en"",""pt"")"),"Bahāwalnagar")</f>
        <v>Bahāwalnagar</v>
      </c>
      <c r="B34324" s="20" t="s">
        <v>35052</v>
      </c>
      <c r="C34324" s="20" t="s">
        <v>19808</v>
      </c>
      <c r="D34324" s="20" t="s">
        <v>10184</v>
      </c>
      <c r="E34324" s="10">
        <v>1183883</v>
      </c>
      <c r="F34324" s="4" t="e">
        <f>IF(B34324=#REF!,"",B34324)</f>
        <v>#REF!</v>
      </c>
    </row>
    <row r="34325" spans="1:6" ht="15.75" customHeight="1">
      <c r="A34325" s="15" t="s">
        <v>17439</v>
      </c>
      <c r="B34325" s="15" t="s">
        <v>17439</v>
      </c>
      <c r="C34325" s="15" t="s">
        <v>17432</v>
      </c>
      <c r="D34325" s="15" t="s">
        <v>17440</v>
      </c>
      <c r="E34325" s="2">
        <v>1734839</v>
      </c>
      <c r="F34325" s="4" t="e">
        <f>IF(B34325=#REF!,"",B34325)</f>
        <v>#REF!</v>
      </c>
    </row>
    <row r="34326" spans="1:6" ht="15.75" customHeight="1">
      <c r="A34326" s="15" t="s">
        <v>26781</v>
      </c>
      <c r="B34326" s="15" t="s">
        <v>26781</v>
      </c>
      <c r="C34326" s="15" t="s">
        <v>26774</v>
      </c>
      <c r="D34326" s="15" t="s">
        <v>26775</v>
      </c>
      <c r="E34326" s="2">
        <v>162158</v>
      </c>
      <c r="F34326" s="4" t="e">
        <f>IF(B34326=#REF!,"",B34326)</f>
        <v>#REF!</v>
      </c>
    </row>
    <row r="34327" spans="1:6" ht="15.75" customHeight="1">
      <c r="A34327" s="16" t="s">
        <v>10554</v>
      </c>
      <c r="B34327" s="15" t="s">
        <v>10554</v>
      </c>
      <c r="C34327" s="16" t="s">
        <v>10178</v>
      </c>
      <c r="D34327" s="16" t="s">
        <v>10201</v>
      </c>
      <c r="E34327" s="2">
        <v>1277820</v>
      </c>
      <c r="F34327" s="4" t="str">
        <f>IF(B34327=B34326,"",B34327)</f>
        <v>Baharampur</v>
      </c>
    </row>
    <row r="34328" spans="1:6" ht="15.75" customHeight="1">
      <c r="A34328" s="16" t="str">
        <f ca="1">IFERROR(__xludf.DUMMYFUNCTION("GOOGLETRANSLATE(B34485,""en"",""pt"")"),"Bahār")</f>
        <v>Bahār</v>
      </c>
      <c r="B34328" s="20" t="s">
        <v>34229</v>
      </c>
      <c r="C34328" s="20" t="s">
        <v>14240</v>
      </c>
      <c r="D34328" s="20" t="s">
        <v>34118</v>
      </c>
      <c r="E34328" s="10">
        <v>142000</v>
      </c>
      <c r="F34328" s="4" t="str">
        <f>IF(B34328=B34327,"",B34328)</f>
        <v>Bahār</v>
      </c>
    </row>
    <row r="34329" spans="1:6" ht="15.75" customHeight="1">
      <c r="A34329" s="16" t="str">
        <f ca="1">IFERROR(__xludf.DUMMYFUNCTION("GOOGLETRANSLATE(B34014,""en"",""pt"")"),"Bahādurgarh")</f>
        <v>Bahādurgarh</v>
      </c>
      <c r="B34329" s="20" t="s">
        <v>33986</v>
      </c>
      <c r="C34329" s="20" t="s">
        <v>10178</v>
      </c>
      <c r="D34329" s="20" t="s">
        <v>10224</v>
      </c>
      <c r="E34329" s="10">
        <v>1277835</v>
      </c>
      <c r="F34329" s="4" t="str">
        <f>IF(B34329=B34328,"",B34329)</f>
        <v>Bahādurgarh</v>
      </c>
    </row>
    <row r="34330" spans="1:6" ht="15.75" customHeight="1">
      <c r="A34330" s="16" t="str">
        <f ca="1">IFERROR(__xludf.DUMMYFUNCTION("GOOGLETRANSLATE(B34015,""en"",""pt"")"),"Bahādurganj")</f>
        <v>Bahādurganj</v>
      </c>
      <c r="B34330" s="20" t="s">
        <v>33987</v>
      </c>
      <c r="C34330" s="20" t="s">
        <v>10178</v>
      </c>
      <c r="D34330" s="20" t="s">
        <v>10317</v>
      </c>
      <c r="E34330" s="10">
        <v>1277836</v>
      </c>
      <c r="F34330" s="4" t="str">
        <f>IF(B34330=B34329,"",B34330)</f>
        <v>Bahādurganj</v>
      </c>
    </row>
    <row r="34331" spans="1:6" ht="15.75" customHeight="1">
      <c r="A34331" s="16" t="s">
        <v>5778</v>
      </c>
      <c r="B34331" s="15" t="s">
        <v>5779</v>
      </c>
      <c r="C34331" s="16" t="s">
        <v>5764</v>
      </c>
      <c r="D34331" s="16" t="s">
        <v>5771</v>
      </c>
      <c r="E34331" s="2">
        <v>3567995</v>
      </c>
      <c r="F34331" s="4" t="str">
        <f>IF(B34331=B34330,"",B34331)</f>
        <v>BahÃ­a Honda</v>
      </c>
    </row>
    <row r="34332" spans="1:6" ht="15.75" customHeight="1">
      <c r="A34332" s="16" t="s">
        <v>6406</v>
      </c>
      <c r="B34332" s="15" t="s">
        <v>6407</v>
      </c>
      <c r="C34332" s="16" t="s">
        <v>6398</v>
      </c>
      <c r="D34332" s="16" t="s">
        <v>6408</v>
      </c>
      <c r="E34332" s="2">
        <v>3660401</v>
      </c>
      <c r="F34332" s="4" t="str">
        <f>IF(B34332=B34331,"",B34332)</f>
        <v>BahÃ­a de CarÃ¡quez</v>
      </c>
    </row>
    <row r="34333" spans="1:6" ht="15.75" customHeight="1">
      <c r="A34333" s="16" t="s">
        <v>583</v>
      </c>
      <c r="B34333" s="15" t="s">
        <v>584</v>
      </c>
      <c r="C34333" s="16" t="s">
        <v>558</v>
      </c>
      <c r="D34333" s="16" t="s">
        <v>562</v>
      </c>
      <c r="E34333" s="2">
        <v>3865086</v>
      </c>
      <c r="F34333" s="4" t="str">
        <f>IF(B34333=B34332,"",B34333)</f>
        <v>BahÃ­a Blanca</v>
      </c>
    </row>
    <row r="34334" spans="1:6" ht="15.75" customHeight="1">
      <c r="A34334" s="16" t="s">
        <v>19827</v>
      </c>
      <c r="B34334" s="15" t="s">
        <v>19828</v>
      </c>
      <c r="C34334" s="16" t="s">
        <v>19808</v>
      </c>
      <c r="D34334" s="16" t="s">
        <v>10184</v>
      </c>
      <c r="E34334" s="2">
        <v>1183880</v>
      </c>
      <c r="F34334" s="4" t="e">
        <f>IF(B34334=#REF!,"",B34334)</f>
        <v>#REF!</v>
      </c>
    </row>
    <row r="34335" spans="1:6" ht="15.75" customHeight="1">
      <c r="A34335" s="16" t="s">
        <v>19825</v>
      </c>
      <c r="B34335" s="15" t="s">
        <v>19826</v>
      </c>
      <c r="C34335" s="16" t="s">
        <v>19808</v>
      </c>
      <c r="D34335" s="16" t="s">
        <v>10184</v>
      </c>
      <c r="E34335" s="2">
        <v>1183883</v>
      </c>
      <c r="F34335" s="4" t="str">
        <f>IF(B34335=B34334,"",B34335)</f>
        <v>BahÄwalnagar</v>
      </c>
    </row>
    <row r="34336" spans="1:6" ht="15.75" customHeight="1">
      <c r="A34336" s="15" t="s">
        <v>14314</v>
      </c>
      <c r="B34336" s="15" t="s">
        <v>14315</v>
      </c>
      <c r="C34336" s="15" t="s">
        <v>14240</v>
      </c>
      <c r="D34336" s="15" t="s">
        <v>14261</v>
      </c>
      <c r="E34336" s="2">
        <v>142000</v>
      </c>
      <c r="F34336" s="4" t="str">
        <f>IF(B34336=B34335,"",B34336)</f>
        <v>BahÄr</v>
      </c>
    </row>
    <row r="34337" spans="1:6" ht="15.75" customHeight="1">
      <c r="A34337" s="16" t="s">
        <v>10552</v>
      </c>
      <c r="B34337" s="15" t="s">
        <v>10553</v>
      </c>
      <c r="C34337" s="16" t="s">
        <v>10178</v>
      </c>
      <c r="D34337" s="16" t="s">
        <v>10224</v>
      </c>
      <c r="E34337" s="2">
        <v>1277835</v>
      </c>
      <c r="F34337" s="4" t="str">
        <f>IF(B34337=B34336,"",B34337)</f>
        <v>BahÄdurgarh</v>
      </c>
    </row>
    <row r="34338" spans="1:6" ht="15.75" customHeight="1">
      <c r="A34338" s="16" t="s">
        <v>10550</v>
      </c>
      <c r="B34338" s="15" t="s">
        <v>10551</v>
      </c>
      <c r="C34338" s="16" t="s">
        <v>10178</v>
      </c>
      <c r="D34338" s="16" t="s">
        <v>10317</v>
      </c>
      <c r="E34338" s="2">
        <v>1277836</v>
      </c>
      <c r="F34338" s="4" t="str">
        <f>IF(B34338=B34337,"",B34338)</f>
        <v>BahÄdurganj</v>
      </c>
    </row>
    <row r="34339" spans="1:6" ht="15.75" customHeight="1">
      <c r="A34339" s="16" t="s">
        <v>26368</v>
      </c>
      <c r="B34339" s="15" t="s">
        <v>26369</v>
      </c>
      <c r="C34339" s="16" t="s">
        <v>26201</v>
      </c>
      <c r="D34339" s="16" t="s">
        <v>26211</v>
      </c>
      <c r="E34339" s="2">
        <v>7627067</v>
      </c>
      <c r="F34339" s="4" t="str">
        <f>IF(B34339=B34338,"",B34339)</f>
        <v>BahÃ§elievler</v>
      </c>
    </row>
    <row r="34340" spans="1:6" ht="15.75" customHeight="1">
      <c r="A34340" s="15" t="s">
        <v>26366</v>
      </c>
      <c r="B34340" s="15" t="s">
        <v>26367</v>
      </c>
      <c r="C34340" s="15" t="s">
        <v>26201</v>
      </c>
      <c r="D34340" s="15" t="s">
        <v>26273</v>
      </c>
      <c r="E34340" s="2">
        <v>322391</v>
      </c>
      <c r="F34340" s="4" t="str">
        <f>IF(B34340=B34339,"",B34340)</f>
        <v>BahÃ§e</v>
      </c>
    </row>
    <row r="34341" spans="1:6" ht="15.75" customHeight="1">
      <c r="A34341" s="16" t="str">
        <f ca="1">IFERROR(__xludf.DUMMYFUNCTION("GOOGLETRANSLATE(B34016,""en"",""pt"")"),"Bāh")</f>
        <v>Bāh</v>
      </c>
      <c r="B34341" s="20" t="s">
        <v>33988</v>
      </c>
      <c r="C34341" s="20" t="s">
        <v>10178</v>
      </c>
      <c r="D34341" s="20" t="s">
        <v>10193</v>
      </c>
      <c r="E34341" s="10">
        <v>1277841</v>
      </c>
      <c r="F34341" s="4" t="str">
        <f>IF(B34341=B34340,"",B34341)</f>
        <v>Bāh</v>
      </c>
    </row>
    <row r="34342" spans="1:6" ht="15.75" customHeight="1">
      <c r="A34342" s="15" t="s">
        <v>10548</v>
      </c>
      <c r="B34342" s="15" t="s">
        <v>10549</v>
      </c>
      <c r="C34342" s="15" t="s">
        <v>10178</v>
      </c>
      <c r="D34342" s="15" t="s">
        <v>10201</v>
      </c>
      <c r="E34342" s="2">
        <v>1277844</v>
      </c>
      <c r="F34342" s="4" t="str">
        <f>IF(B34342=B34341,"",B34342)</f>
        <v>BagulÄ</v>
      </c>
    </row>
    <row r="34343" spans="1:6" ht="15.75" customHeight="1">
      <c r="A34343" s="16" t="str">
        <f ca="1">IFERROR(__xludf.DUMMYFUNCTION("GOOGLETRANSLATE(B34017,""en"",""pt"")"),"Bagulā")</f>
        <v>Bagulā</v>
      </c>
      <c r="B34343" s="20" t="s">
        <v>33989</v>
      </c>
      <c r="C34343" s="20" t="s">
        <v>10178</v>
      </c>
      <c r="D34343" s="20" t="s">
        <v>10201</v>
      </c>
      <c r="E34343" s="10">
        <v>1277844</v>
      </c>
      <c r="F34343" s="4" t="e">
        <f>IF(B34343=#REF!,"",B34343)</f>
        <v>#REF!</v>
      </c>
    </row>
    <row r="34344" spans="1:6" ht="15.75" customHeight="1">
      <c r="A34344" s="15" t="s">
        <v>20644</v>
      </c>
      <c r="B34344" s="15" t="s">
        <v>20644</v>
      </c>
      <c r="C34344" s="15" t="s">
        <v>20598</v>
      </c>
      <c r="D34344" s="15" t="s">
        <v>20436</v>
      </c>
      <c r="E34344" s="2">
        <v>1728930</v>
      </c>
      <c r="F34344" s="4" t="e">
        <f>IF(B34344=#REF!,"",B34344)</f>
        <v>#REF!</v>
      </c>
    </row>
    <row r="34345" spans="1:6" ht="15.75" customHeight="1">
      <c r="A34345" s="16" t="s">
        <v>21624</v>
      </c>
      <c r="B34345" s="15" t="s">
        <v>21624</v>
      </c>
      <c r="C34345" s="16" t="s">
        <v>21606</v>
      </c>
      <c r="D34345" s="16" t="s">
        <v>21609</v>
      </c>
      <c r="E34345" s="2">
        <v>2742506</v>
      </c>
      <c r="F34345" s="4" t="str">
        <f>IF(B34345=B34344,"",B34345)</f>
        <v>Baguim do Monte</v>
      </c>
    </row>
    <row r="34346" spans="1:6" ht="15.75" customHeight="1">
      <c r="A34346" s="16" t="str">
        <f ca="1">IFERROR(__xludf.DUMMYFUNCTION("GOOGLETRANSLATE(B27224,""en"",""pt"")"),"Báguanos")</f>
        <v>Báguanos</v>
      </c>
      <c r="B34346" s="20" t="s">
        <v>31933</v>
      </c>
      <c r="C34346" s="20" t="s">
        <v>5764</v>
      </c>
      <c r="D34346" s="20" t="s">
        <v>31907</v>
      </c>
      <c r="E34346" s="10">
        <v>3746938</v>
      </c>
      <c r="F34346" s="4" t="e">
        <f>IF(B34346=#REF!,"",B34346)</f>
        <v>#REF!</v>
      </c>
    </row>
    <row r="34347" spans="1:6" ht="15.75" customHeight="1">
      <c r="A34347" s="16" t="s">
        <v>20477</v>
      </c>
      <c r="B34347" s="15" t="s">
        <v>20477</v>
      </c>
      <c r="C34347" s="16" t="s">
        <v>20470</v>
      </c>
      <c r="D34347" s="16" t="s">
        <v>2287</v>
      </c>
      <c r="E34347" s="2">
        <v>3699484</v>
      </c>
      <c r="F34347" s="4" t="e">
        <f>IF(B34347=#REF!,"",B34347)</f>
        <v>#REF!</v>
      </c>
    </row>
    <row r="34348" spans="1:6" ht="15.75" customHeight="1">
      <c r="A34348" s="16" t="s">
        <v>20643</v>
      </c>
      <c r="B34348" s="15" t="s">
        <v>20643</v>
      </c>
      <c r="C34348" s="16" t="s">
        <v>20598</v>
      </c>
      <c r="D34348" s="16" t="s">
        <v>20608</v>
      </c>
      <c r="E34348" s="2">
        <v>1966336</v>
      </c>
      <c r="F34348" s="4" t="e">
        <f>IF(B34348=#REF!,"",B34348)</f>
        <v>#REF!</v>
      </c>
    </row>
    <row r="34349" spans="1:6" ht="15.75" customHeight="1">
      <c r="A34349" s="16" t="s">
        <v>20641</v>
      </c>
      <c r="B34349" s="15" t="s">
        <v>20642</v>
      </c>
      <c r="C34349" s="16" t="s">
        <v>20598</v>
      </c>
      <c r="D34349" s="16" t="s">
        <v>20627</v>
      </c>
      <c r="E34349" s="2">
        <v>1729085</v>
      </c>
      <c r="F34349" s="4" t="e">
        <f>IF(B34349=#REF!,"",B34349)</f>
        <v>#REF!</v>
      </c>
    </row>
    <row r="34350" spans="1:6" ht="15.75" customHeight="1">
      <c r="A34350" s="15" t="s">
        <v>18695</v>
      </c>
      <c r="B34350" s="15" t="s">
        <v>18695</v>
      </c>
      <c r="C34350" s="15" t="s">
        <v>18696</v>
      </c>
      <c r="D34350" s="15" t="s">
        <v>18695</v>
      </c>
      <c r="E34350" s="2">
        <v>1300466</v>
      </c>
      <c r="F34350" s="4" t="str">
        <f>IF(B34350=B34349,"",B34350)</f>
        <v>Bago</v>
      </c>
    </row>
    <row r="34351" spans="1:6" ht="15.75" customHeight="1">
      <c r="A34351" s="16" t="str">
        <f ca="1">IFERROR(__xludf.DUMMYFUNCTION("GOOGLETRANSLATE(B30238,""en"",""pt"")"),"Bagnols-sur-Cèze")</f>
        <v>Bagnols-sur-Cèze</v>
      </c>
      <c r="B34351" s="20" t="s">
        <v>32644</v>
      </c>
      <c r="C34351" s="20" t="s">
        <v>7052</v>
      </c>
      <c r="D34351" s="20" t="s">
        <v>32547</v>
      </c>
      <c r="E34351" s="10">
        <v>3035396</v>
      </c>
      <c r="F34351" s="4" t="str">
        <f>IF(B34351=B34350,"",B34351)</f>
        <v>Bagnols-sur-Cèze</v>
      </c>
    </row>
    <row r="34352" spans="1:6" ht="15.75" customHeight="1">
      <c r="A34352" s="16" t="s">
        <v>7147</v>
      </c>
      <c r="B34352" s="15" t="s">
        <v>7148</v>
      </c>
      <c r="C34352" s="16" t="s">
        <v>7052</v>
      </c>
      <c r="D34352" s="16" t="s">
        <v>7082</v>
      </c>
      <c r="E34352" s="2">
        <v>3035396</v>
      </c>
      <c r="F34352" s="4" t="e">
        <f>IF(B34352=#REF!,"",B34352)</f>
        <v>#REF!</v>
      </c>
    </row>
    <row r="34353" spans="1:6" ht="15.75" customHeight="1">
      <c r="A34353" s="15" t="s">
        <v>14961</v>
      </c>
      <c r="B34353" s="15" t="s">
        <v>14961</v>
      </c>
      <c r="C34353" s="15" t="s">
        <v>14891</v>
      </c>
      <c r="D34353" s="15" t="s">
        <v>14896</v>
      </c>
      <c r="E34353" s="2">
        <v>3182518</v>
      </c>
      <c r="F34353" s="4" t="e">
        <f>IF(B34353=#REF!,"",B34353)</f>
        <v>#REF!</v>
      </c>
    </row>
    <row r="34354" spans="1:6" ht="15.75" customHeight="1">
      <c r="A34354" s="15" t="s">
        <v>7146</v>
      </c>
      <c r="B34354" s="15" t="s">
        <v>7146</v>
      </c>
      <c r="C34354" s="15" t="s">
        <v>7052</v>
      </c>
      <c r="D34354" s="15" t="s">
        <v>7058</v>
      </c>
      <c r="E34354" s="2">
        <v>3035403</v>
      </c>
      <c r="F34354" s="4" t="e">
        <f>IF(B34354=#REF!,"",B34354)</f>
        <v>#REF!</v>
      </c>
    </row>
    <row r="34355" spans="1:6" ht="15.75" customHeight="1">
      <c r="A34355" s="15" t="s">
        <v>7145</v>
      </c>
      <c r="B34355" s="15" t="s">
        <v>7145</v>
      </c>
      <c r="C34355" s="15" t="s">
        <v>7052</v>
      </c>
      <c r="D34355" s="15" t="s">
        <v>7058</v>
      </c>
      <c r="E34355" s="2">
        <v>3035409</v>
      </c>
      <c r="F34355" s="4" t="str">
        <f>IF(B34355=B34354,"",B34355)</f>
        <v>Bagneux</v>
      </c>
    </row>
    <row r="34356" spans="1:6" ht="15.75" customHeight="1">
      <c r="A34356" s="16" t="str">
        <f ca="1">IFERROR(__xludf.DUMMYFUNCTION("GOOGLETRANSLATE(B38211,""en"",""pt"")"),"Bāglung")</f>
        <v>Bāglung</v>
      </c>
      <c r="B34356" s="20" t="s">
        <v>34841</v>
      </c>
      <c r="C34356" s="20" t="s">
        <v>18800</v>
      </c>
      <c r="D34356" s="20" t="s">
        <v>18803</v>
      </c>
      <c r="E34356" s="10">
        <v>1283711</v>
      </c>
      <c r="F34356" s="4" t="str">
        <f>IF(B34356=B34355,"",B34356)</f>
        <v>Bāglung</v>
      </c>
    </row>
    <row r="34357" spans="1:6" ht="15.75" customHeight="1">
      <c r="A34357" s="16" t="str">
        <f ca="1">IFERROR(__xludf.DUMMYFUNCTION("GOOGLETRANSLATE(B34018,""en"",""pt"")"),"Bāghpat")</f>
        <v>Bāghpat</v>
      </c>
      <c r="B34357" s="20" t="s">
        <v>33990</v>
      </c>
      <c r="C34357" s="20" t="s">
        <v>10178</v>
      </c>
      <c r="D34357" s="20" t="s">
        <v>10193</v>
      </c>
      <c r="E34357" s="10">
        <v>1277882</v>
      </c>
      <c r="F34357" s="4" t="str">
        <f>IF(B34357=B34356,"",B34357)</f>
        <v>Bāghpat</v>
      </c>
    </row>
    <row r="34358" spans="1:6" ht="15.75" customHeight="1">
      <c r="A34358" s="16" t="str">
        <f ca="1">IFERROR(__xludf.DUMMYFUNCTION("GOOGLETRANSLATE(B23095,""en"",""pt"")"),"Baghlān")</f>
        <v>Baghlān</v>
      </c>
      <c r="B34358" s="20" t="s">
        <v>31136</v>
      </c>
      <c r="C34358" s="20" t="s">
        <v>8</v>
      </c>
      <c r="D34358" s="20" t="s">
        <v>31119</v>
      </c>
      <c r="E34358" s="10">
        <v>1147540</v>
      </c>
      <c r="F34358" s="4" t="str">
        <f>IF(B34358=B34357,"",B34358)</f>
        <v>Baghlān</v>
      </c>
    </row>
    <row r="34359" spans="1:6" ht="15.75" customHeight="1">
      <c r="A34359" s="15" t="s">
        <v>27</v>
      </c>
      <c r="B34359" s="15" t="s">
        <v>28</v>
      </c>
      <c r="C34359" s="15" t="s">
        <v>8</v>
      </c>
      <c r="D34359" s="15" t="s">
        <v>29</v>
      </c>
      <c r="E34359" s="2">
        <v>1147540</v>
      </c>
      <c r="F34359" s="4" t="e">
        <f>IF(B34359=#REF!,"",B34359)</f>
        <v>#REF!</v>
      </c>
    </row>
    <row r="34360" spans="1:6" ht="15.75" customHeight="1">
      <c r="A34360" s="15" t="s">
        <v>14960</v>
      </c>
      <c r="B34360" s="15" t="s">
        <v>14960</v>
      </c>
      <c r="C34360" s="15" t="s">
        <v>14891</v>
      </c>
      <c r="D34360" s="15" t="s">
        <v>14899</v>
      </c>
      <c r="E34360" s="2">
        <v>2525628</v>
      </c>
      <c r="F34360" s="4" t="str">
        <f>IF(B34360=B34359,"",B34360)</f>
        <v>Bagheria</v>
      </c>
    </row>
    <row r="34361" spans="1:6" ht="15.75" customHeight="1">
      <c r="A34361" s="16" t="str">
        <f ca="1">IFERROR(__xludf.DUMMYFUNCTION("GOOGLETRANSLATE(B34019,""en"",""pt"")"),"Bāghdogra")</f>
        <v>Bāghdogra</v>
      </c>
      <c r="B34361" s="20" t="s">
        <v>33991</v>
      </c>
      <c r="C34361" s="20" t="s">
        <v>10178</v>
      </c>
      <c r="D34361" s="20" t="s">
        <v>10201</v>
      </c>
      <c r="E34361" s="10">
        <v>1277897</v>
      </c>
      <c r="F34361" s="4" t="e">
        <f>IF(B34361=#REF!,"",B34361)</f>
        <v>#REF!</v>
      </c>
    </row>
    <row r="34362" spans="1:6" ht="15.75" customHeight="1">
      <c r="A34362" s="15" t="s">
        <v>14671</v>
      </c>
      <c r="B34362" s="15" t="s">
        <v>14672</v>
      </c>
      <c r="C34362" s="15" t="s">
        <v>14594</v>
      </c>
      <c r="D34362" s="15" t="s">
        <v>14615</v>
      </c>
      <c r="E34362" s="2">
        <v>98182</v>
      </c>
      <c r="F34362" s="4" t="str">
        <f>IF(B34362=B34361,"",B34362)</f>
        <v>Baghdad</v>
      </c>
    </row>
    <row r="34363" spans="1:6" ht="15.75" customHeight="1">
      <c r="A34363" s="16" t="str">
        <f ca="1">IFERROR(__xludf.DUMMYFUNCTION("GOOGLETRANSLATE(B34020,""en"",""pt"")"),"Bāgha Purāna")</f>
        <v>Bāgha Purāna</v>
      </c>
      <c r="B34363" s="20" t="s">
        <v>33992</v>
      </c>
      <c r="C34363" s="20" t="s">
        <v>10178</v>
      </c>
      <c r="D34363" s="20" t="s">
        <v>10184</v>
      </c>
      <c r="E34363" s="10">
        <v>1277902</v>
      </c>
      <c r="F34363" s="4" t="e">
        <f>IF(B34363=#REF!,"",B34363)</f>
        <v>#REF!</v>
      </c>
    </row>
    <row r="34364" spans="1:6" ht="15.75" customHeight="1">
      <c r="A34364" s="16" t="s">
        <v>20639</v>
      </c>
      <c r="B34364" s="15" t="s">
        <v>20640</v>
      </c>
      <c r="C34364" s="16" t="s">
        <v>20598</v>
      </c>
      <c r="D34364" s="16" t="s">
        <v>20611</v>
      </c>
      <c r="E34364" s="2">
        <v>1729324</v>
      </c>
      <c r="F34364" s="4" t="str">
        <f>IF(B34364=B34363,"",B34364)</f>
        <v>Baggabag B</v>
      </c>
    </row>
    <row r="34365" spans="1:6" ht="15.75" customHeight="1">
      <c r="A34365" s="16" t="str">
        <f ca="1">IFERROR(__xludf.DUMMYFUNCTION("GOOGLETRANSLATE(B34021,""en"",""pt"")"),"BāgePalli")</f>
        <v>BāgePalli</v>
      </c>
      <c r="B34365" s="20" t="s">
        <v>33993</v>
      </c>
      <c r="C34365" s="20" t="s">
        <v>10178</v>
      </c>
      <c r="D34365" s="20" t="s">
        <v>10252</v>
      </c>
      <c r="E34365" s="10">
        <v>1277909</v>
      </c>
      <c r="F34365" s="4" t="str">
        <f>IF(B34365=B34364,"",B34365)</f>
        <v>Bāgepalli</v>
      </c>
    </row>
    <row r="34366" spans="1:6" ht="15.75" customHeight="1">
      <c r="A34366" s="16" t="str">
        <f ca="1">IFERROR(__xludf.DUMMYFUNCTION("GOOGLETRANSLATE(B25246,""en"",""pt"")"),"Bagé")</f>
        <v>Bagé</v>
      </c>
      <c r="B34366" s="20" t="s">
        <v>31718</v>
      </c>
      <c r="C34366" s="20" t="s">
        <v>1905</v>
      </c>
      <c r="D34366" s="20" t="s">
        <v>1951</v>
      </c>
      <c r="E34366" s="10">
        <v>3471196</v>
      </c>
      <c r="F34366" s="4" t="str">
        <f>IF(B34366=B34365,"",B34366)</f>
        <v>Bagé</v>
      </c>
    </row>
    <row r="34367" spans="1:6" ht="15.75" customHeight="1">
      <c r="A34367" s="16" t="str">
        <f ca="1">IFERROR(__xludf.DUMMYFUNCTION("GOOGLETRANSLATE(B42214,""en"",""pt"")"),"Bağcılar")</f>
        <v>Bağcılar</v>
      </c>
      <c r="B34367" s="20" t="s">
        <v>35965</v>
      </c>
      <c r="C34367" s="20" t="s">
        <v>26201</v>
      </c>
      <c r="D34367" s="20" t="s">
        <v>26211</v>
      </c>
      <c r="E34367" s="10">
        <v>751324</v>
      </c>
      <c r="F34367" s="4" t="e">
        <f>IF(B34367=#REF!,"",B34367)</f>
        <v>#REF!</v>
      </c>
    </row>
    <row r="34368" spans="1:6" ht="15.75" customHeight="1">
      <c r="A34368" s="16" t="s">
        <v>22178</v>
      </c>
      <c r="B34368" s="15" t="s">
        <v>22179</v>
      </c>
      <c r="C34368" s="16" t="s">
        <v>22070</v>
      </c>
      <c r="D34368" s="16" t="s">
        <v>22099</v>
      </c>
      <c r="E34368" s="2">
        <v>579771</v>
      </c>
      <c r="F34368" s="4" t="e">
        <f>IF(B34368=#REF!,"",B34368)</f>
        <v>#REF!</v>
      </c>
    </row>
    <row r="34369" spans="1:6" ht="15.75" customHeight="1">
      <c r="A34369" s="15" t="s">
        <v>10547</v>
      </c>
      <c r="B34369" s="15" t="s">
        <v>10547</v>
      </c>
      <c r="C34369" s="15" t="s">
        <v>10178</v>
      </c>
      <c r="D34369" s="15" t="s">
        <v>10209</v>
      </c>
      <c r="E34369" s="2">
        <v>1277924</v>
      </c>
      <c r="F34369" s="4" t="e">
        <f>IF(B34369=#REF!,"",B34369)</f>
        <v>#REF!</v>
      </c>
    </row>
    <row r="34370" spans="1:6" ht="15.75" customHeight="1">
      <c r="A34370" s="15" t="s">
        <v>10545</v>
      </c>
      <c r="B34370" s="15" t="s">
        <v>10546</v>
      </c>
      <c r="C34370" s="15" t="s">
        <v>10178</v>
      </c>
      <c r="D34370" s="15" t="s">
        <v>10179</v>
      </c>
      <c r="E34370" s="2">
        <v>1277930</v>
      </c>
      <c r="F34370" s="4" t="e">
        <f>IF(B34370=#REF!,"",B34370)</f>
        <v>#REF!</v>
      </c>
    </row>
    <row r="34371" spans="1:6" ht="15.75" customHeight="1">
      <c r="A34371" s="16" t="s">
        <v>17437</v>
      </c>
      <c r="B34371" s="15" t="s">
        <v>17437</v>
      </c>
      <c r="C34371" s="16" t="s">
        <v>17432</v>
      </c>
      <c r="D34371" s="16" t="s">
        <v>17438</v>
      </c>
      <c r="E34371" s="2">
        <v>1734409</v>
      </c>
      <c r="F34371" s="4" t="e">
        <f>IF(B34371=#REF!,"",B34371)</f>
        <v>#REF!</v>
      </c>
    </row>
    <row r="34372" spans="1:6" ht="15.75" customHeight="1">
      <c r="A34372" s="16" t="s">
        <v>25563</v>
      </c>
      <c r="B34372" s="15" t="s">
        <v>25563</v>
      </c>
      <c r="C34372" s="16" t="s">
        <v>25560</v>
      </c>
      <c r="D34372" s="16" t="s">
        <v>25564</v>
      </c>
      <c r="E34372" s="2">
        <v>161290</v>
      </c>
      <c r="F34372" s="4" t="e">
        <f>IF(B34372=#REF!,"",B34372)</f>
        <v>#REF!</v>
      </c>
    </row>
    <row r="34373" spans="1:6" ht="15.75" customHeight="1">
      <c r="A34373" s="15" t="s">
        <v>10544</v>
      </c>
      <c r="B34373" s="15" t="s">
        <v>10544</v>
      </c>
      <c r="C34373" s="15" t="s">
        <v>10178</v>
      </c>
      <c r="D34373" s="15" t="s">
        <v>10252</v>
      </c>
      <c r="E34373" s="2">
        <v>1277936</v>
      </c>
      <c r="F34373" s="4" t="e">
        <f>IF(B34373=#REF!,"",B34373)</f>
        <v>#REF!</v>
      </c>
    </row>
    <row r="34374" spans="1:6" ht="15.75" customHeight="1">
      <c r="A34374" s="15" t="s">
        <v>10543</v>
      </c>
      <c r="B34374" s="15" t="s">
        <v>10543</v>
      </c>
      <c r="C34374" s="15" t="s">
        <v>10178</v>
      </c>
      <c r="D34374" s="15" t="s">
        <v>10317</v>
      </c>
      <c r="E34374" s="2">
        <v>1277939</v>
      </c>
      <c r="F34374" s="4" t="str">
        <f>IF(B34374=B34373,"",B34374)</f>
        <v>Bagaha</v>
      </c>
    </row>
    <row r="34375" spans="1:6" ht="15.75" customHeight="1">
      <c r="A34375" s="15" t="s">
        <v>2058</v>
      </c>
      <c r="B34375" s="15" t="s">
        <v>2059</v>
      </c>
      <c r="C34375" s="15" t="s">
        <v>1905</v>
      </c>
      <c r="D34375" s="15" t="s">
        <v>1951</v>
      </c>
      <c r="E34375" s="2">
        <v>3471196</v>
      </c>
      <c r="F34375" s="4" t="e">
        <f>IF(B34375=#REF!,"",B34375)</f>
        <v>#REF!</v>
      </c>
    </row>
    <row r="34376" spans="1:6" ht="15.75" customHeight="1">
      <c r="A34376" s="15" t="s">
        <v>26365</v>
      </c>
      <c r="B34376" s="15" t="s">
        <v>26365</v>
      </c>
      <c r="C34376" s="15" t="s">
        <v>26201</v>
      </c>
      <c r="D34376" s="15" t="s">
        <v>26232</v>
      </c>
      <c r="E34376" s="2">
        <v>751335</v>
      </c>
      <c r="F34376" s="4" t="str">
        <f>IF(B34376=B34375,"",B34376)</f>
        <v>Bafra</v>
      </c>
    </row>
    <row r="34377" spans="1:6" ht="15.75" customHeight="1">
      <c r="A34377" s="16" t="str">
        <f ca="1">IFERROR(__xludf.DUMMYFUNCTION("GOOGLETRANSLATE(B34486,""en"",""pt"")"),"Bāfq")</f>
        <v>Bāfq</v>
      </c>
      <c r="B34377" s="20" t="s">
        <v>34230</v>
      </c>
      <c r="C34377" s="20" t="s">
        <v>14240</v>
      </c>
      <c r="D34377" s="20" t="s">
        <v>14291</v>
      </c>
      <c r="E34377" s="10">
        <v>142255</v>
      </c>
      <c r="F34377" s="4" t="e">
        <f>IF(B34377=#REF!,"",B34377)</f>
        <v>#REF!</v>
      </c>
    </row>
    <row r="34378" spans="1:6" ht="15.75" customHeight="1">
      <c r="A34378" s="16" t="s">
        <v>3893</v>
      </c>
      <c r="B34378" s="15" t="s">
        <v>3893</v>
      </c>
      <c r="C34378" s="16" t="s">
        <v>3884</v>
      </c>
      <c r="D34378" s="16" t="s">
        <v>3891</v>
      </c>
      <c r="E34378" s="2">
        <v>2235189</v>
      </c>
      <c r="F34378" s="4" t="str">
        <f>IF(B34378=B34377,"",B34378)</f>
        <v>Bafoussam</v>
      </c>
    </row>
    <row r="34379" spans="1:6" ht="15.75" customHeight="1">
      <c r="A34379" s="16" t="str">
        <f ca="1">IFERROR(__xludf.DUMMYFUNCTION("GOOGLETRANSLATE(B36697,""en"",""pt"")"),"Bafoulabé")</f>
        <v>Bafoulabé</v>
      </c>
      <c r="B34379" s="20" t="s">
        <v>17594</v>
      </c>
      <c r="C34379" s="20" t="s">
        <v>17596</v>
      </c>
      <c r="D34379" s="20" t="s">
        <v>17597</v>
      </c>
      <c r="E34379" s="10">
        <v>2460755</v>
      </c>
      <c r="F34379" s="4" t="str">
        <f>IF(B34379=B34378,"",B34379)</f>
        <v>Bafoulabé</v>
      </c>
    </row>
    <row r="34380" spans="1:6" ht="15.75" customHeight="1">
      <c r="A34380" s="16" t="s">
        <v>17594</v>
      </c>
      <c r="B34380" s="15" t="s">
        <v>17595</v>
      </c>
      <c r="C34380" s="16" t="s">
        <v>17596</v>
      </c>
      <c r="D34380" s="16" t="s">
        <v>17597</v>
      </c>
      <c r="E34380" s="2">
        <v>2460755</v>
      </c>
      <c r="F34380" s="4" t="str">
        <f>IF(B34380=B34379,"",B34380)</f>
        <v>BafoulabÃ©</v>
      </c>
    </row>
    <row r="34381" spans="1:6" ht="15.75" customHeight="1">
      <c r="A34381" s="15" t="s">
        <v>18453</v>
      </c>
      <c r="B34381" s="15" t="s">
        <v>18454</v>
      </c>
      <c r="C34381" s="15" t="s">
        <v>18455</v>
      </c>
      <c r="D34381" s="15" t="s">
        <v>18454</v>
      </c>
      <c r="E34381" s="2">
        <v>618605</v>
      </c>
      <c r="F34381" s="4" t="e">
        <f>IF(B34381=#REF!,"",B34381)</f>
        <v>#REF!</v>
      </c>
    </row>
    <row r="34382" spans="1:6" ht="15.75" customHeight="1">
      <c r="A34382" s="15" t="s">
        <v>26043</v>
      </c>
      <c r="B34382" s="15" t="s">
        <v>26043</v>
      </c>
      <c r="C34382" s="15" t="s">
        <v>26038</v>
      </c>
      <c r="D34382" s="15" t="s">
        <v>26044</v>
      </c>
      <c r="E34382" s="2">
        <v>2367656</v>
      </c>
      <c r="F34382" s="4" t="str">
        <f>IF(B34382=B34381,"",B34382)</f>
        <v>Bafilo</v>
      </c>
    </row>
    <row r="34383" spans="1:6" ht="15.75" customHeight="1">
      <c r="A34383" s="15" t="s">
        <v>21841</v>
      </c>
      <c r="B34383" s="15" t="s">
        <v>21842</v>
      </c>
      <c r="C34383" s="15" t="s">
        <v>21824</v>
      </c>
      <c r="D34383" s="15" t="s">
        <v>21843</v>
      </c>
      <c r="E34383" s="2">
        <v>685785</v>
      </c>
      <c r="F34383" s="4" t="str">
        <f>IF(B34383=B34382,"",B34383)</f>
        <v>BÄƒileÅŸti</v>
      </c>
    </row>
    <row r="34384" spans="1:6" ht="15.75" customHeight="1">
      <c r="A34384" s="15" t="s">
        <v>21838</v>
      </c>
      <c r="B34384" s="15" t="s">
        <v>21839</v>
      </c>
      <c r="C34384" s="15" t="s">
        <v>21824</v>
      </c>
      <c r="D34384" s="15" t="s">
        <v>21840</v>
      </c>
      <c r="E34384" s="2">
        <v>685811</v>
      </c>
      <c r="F34384" s="4" t="e">
        <f>IF(B34384=#REF!,"",B34384)</f>
        <v>#REF!</v>
      </c>
    </row>
    <row r="34385" spans="1:6" ht="15.75" customHeight="1">
      <c r="A34385" s="15" t="s">
        <v>3892</v>
      </c>
      <c r="B34385" s="15" t="s">
        <v>3892</v>
      </c>
      <c r="C34385" s="15" t="s">
        <v>3884</v>
      </c>
      <c r="D34385" s="15" t="s">
        <v>3813</v>
      </c>
      <c r="E34385" s="2">
        <v>2235194</v>
      </c>
      <c r="F34385" s="4" t="str">
        <f>IF(B34385=B34384,"",B34385)</f>
        <v>Bafia</v>
      </c>
    </row>
    <row r="34386" spans="1:6" ht="15.75" customHeight="1">
      <c r="A34386" s="15" t="s">
        <v>9853</v>
      </c>
      <c r="B34386" s="15" t="s">
        <v>9854</v>
      </c>
      <c r="C34386" s="15" t="s">
        <v>9855</v>
      </c>
      <c r="D34386" s="15" t="s">
        <v>9854</v>
      </c>
      <c r="E34386" s="2">
        <v>2375254</v>
      </c>
      <c r="F34386" s="4" t="str">
        <f>IF(B34386=B34385,"",B34386)</f>
        <v>BafatÃ¡</v>
      </c>
    </row>
    <row r="34387" spans="1:6" ht="15.75" customHeight="1">
      <c r="A34387" s="16" t="str">
        <f ca="1">IFERROR(__xludf.DUMMYFUNCTION("GOOGLETRANSLATE(B31152,""en"",""pt"")"),"Bafatá")</f>
        <v>Bafatá</v>
      </c>
      <c r="B34387" s="20" t="s">
        <v>32792</v>
      </c>
      <c r="C34387" s="20" t="s">
        <v>9855</v>
      </c>
      <c r="D34387" s="20" t="s">
        <v>32792</v>
      </c>
      <c r="E34387" s="10">
        <v>2375254</v>
      </c>
      <c r="F34387" s="4" t="e">
        <f>IF(B34387=#REF!,"",B34387)</f>
        <v>#REF!</v>
      </c>
    </row>
    <row r="34388" spans="1:6" ht="15.75" customHeight="1">
      <c r="A34388" s="15" t="s">
        <v>3890</v>
      </c>
      <c r="B34388" s="15" t="s">
        <v>3890</v>
      </c>
      <c r="C34388" s="15" t="s">
        <v>3884</v>
      </c>
      <c r="D34388" s="15" t="s">
        <v>3891</v>
      </c>
      <c r="E34388" s="2">
        <v>2235196</v>
      </c>
      <c r="F34388" s="4" t="e">
        <f>IF(B34388=#REF!,"",B34388)</f>
        <v>#REF!</v>
      </c>
    </row>
    <row r="34389" spans="1:6" ht="15.75" customHeight="1">
      <c r="A34389" s="15" t="s">
        <v>24313</v>
      </c>
      <c r="B34389" s="15" t="s">
        <v>24313</v>
      </c>
      <c r="C34389" s="15" t="s">
        <v>24200</v>
      </c>
      <c r="D34389" s="15" t="s">
        <v>24205</v>
      </c>
      <c r="E34389" s="2">
        <v>2521413</v>
      </c>
      <c r="F34389" s="4" t="e">
        <f>IF(B34389=#REF!,"",B34389)</f>
        <v>#REF!</v>
      </c>
    </row>
    <row r="34390" spans="1:6" ht="15.75" customHeight="1">
      <c r="A34390" s="16" t="s">
        <v>8166</v>
      </c>
      <c r="B34390" s="15" t="s">
        <v>8166</v>
      </c>
      <c r="C34390" s="16" t="s">
        <v>8028</v>
      </c>
      <c r="D34390" s="16" t="s">
        <v>8029</v>
      </c>
      <c r="E34390" s="2">
        <v>2953302</v>
      </c>
      <c r="F34390" s="4" t="e">
        <f>IF(B34390=#REF!,"",B34390)</f>
        <v>#REF!</v>
      </c>
    </row>
    <row r="34391" spans="1:6" ht="15.75" customHeight="1">
      <c r="A34391" s="15" t="s">
        <v>24312</v>
      </c>
      <c r="B34391" s="15" t="s">
        <v>24312</v>
      </c>
      <c r="C34391" s="15" t="s">
        <v>24200</v>
      </c>
      <c r="D34391" s="15" t="s">
        <v>24205</v>
      </c>
      <c r="E34391" s="2">
        <v>2521415</v>
      </c>
      <c r="F34391" s="4" t="e">
        <f>IF(B34391=#REF!,"",B34391)</f>
        <v>#REF!</v>
      </c>
    </row>
    <row r="34392" spans="1:6" ht="15.75" customHeight="1">
      <c r="A34392" s="16" t="s">
        <v>13817</v>
      </c>
      <c r="B34392" s="15" t="s">
        <v>13817</v>
      </c>
      <c r="C34392" s="16" t="s">
        <v>13800</v>
      </c>
      <c r="D34392" s="16" t="s">
        <v>13803</v>
      </c>
      <c r="E34392" s="2">
        <v>1650815</v>
      </c>
      <c r="F34392" s="4" t="e">
        <f>IF(B34392=#REF!,"",B34392)</f>
        <v>#REF!</v>
      </c>
    </row>
    <row r="34393" spans="1:6" ht="15.75" customHeight="1">
      <c r="A34393" s="15" t="s">
        <v>10542</v>
      </c>
      <c r="B34393" s="15" t="s">
        <v>10542</v>
      </c>
      <c r="C34393" s="15" t="s">
        <v>10178</v>
      </c>
      <c r="D34393" s="15" t="s">
        <v>10190</v>
      </c>
      <c r="E34393" s="2">
        <v>1277949</v>
      </c>
      <c r="F34393" s="4" t="str">
        <f>IF(B34393=B34392,"",B34393)</f>
        <v>Badvel</v>
      </c>
    </row>
    <row r="34394" spans="1:6" ht="15.75" customHeight="1">
      <c r="A34394" s="16" t="str">
        <f ca="1">IFERROR(__xludf.DUMMYFUNCTION("GOOGLETRANSLATE(B34028,""en"",""pt"")"),"Badūria")</f>
        <v>Badūria</v>
      </c>
      <c r="B34394" s="20" t="s">
        <v>33994</v>
      </c>
      <c r="C34394" s="20" t="s">
        <v>10178</v>
      </c>
      <c r="D34394" s="20" t="s">
        <v>10201</v>
      </c>
      <c r="E34394" s="10">
        <v>1277950</v>
      </c>
      <c r="F34394" s="4" t="e">
        <f>IF(B34394=#REF!,"",B34394)</f>
        <v>#REF!</v>
      </c>
    </row>
    <row r="34395" spans="1:6" ht="15.75" customHeight="1">
      <c r="A34395" s="15" t="s">
        <v>24928</v>
      </c>
      <c r="B34395" s="15" t="s">
        <v>24928</v>
      </c>
      <c r="C34395" s="15" t="s">
        <v>24924</v>
      </c>
      <c r="D34395" s="15" t="s">
        <v>23257</v>
      </c>
      <c r="E34395" s="2">
        <v>1250615</v>
      </c>
      <c r="F34395" s="4" t="str">
        <f>IF(B34395=B34394,"",B34395)</f>
        <v>Badulla</v>
      </c>
    </row>
    <row r="34396" spans="1:6" ht="15.75" customHeight="1">
      <c r="A34396" s="16" t="str">
        <f ca="1">IFERROR(__xludf.DUMMYFUNCTION("GOOGLETRANSLATE(B41034,""en"",""pt"")"),"Badr ḩunayn")</f>
        <v>Badr ḩunayn</v>
      </c>
      <c r="B34396" s="20" t="s">
        <v>35583</v>
      </c>
      <c r="C34396" s="20" t="s">
        <v>23454</v>
      </c>
      <c r="D34396" s="20" t="s">
        <v>35568</v>
      </c>
      <c r="E34396" s="10">
        <v>107744</v>
      </c>
      <c r="F34396" s="4" t="str">
        <f>IF(B34396=B34395,"",B34396)</f>
        <v>Badr Ḩunayn</v>
      </c>
    </row>
    <row r="34397" spans="1:6" ht="15.75" customHeight="1">
      <c r="A34397" s="16" t="s">
        <v>23520</v>
      </c>
      <c r="B34397" s="15" t="s">
        <v>23521</v>
      </c>
      <c r="C34397" s="16" t="s">
        <v>23454</v>
      </c>
      <c r="D34397" s="16" t="s">
        <v>23477</v>
      </c>
      <c r="E34397" s="2">
        <v>107744</v>
      </c>
      <c r="F34397" s="4" t="e">
        <f>IF(B34397=#REF!,"",B34397)</f>
        <v>#REF!</v>
      </c>
    </row>
    <row r="34398" spans="1:6" ht="15.75" customHeight="1">
      <c r="A34398" s="15" t="s">
        <v>26042</v>
      </c>
      <c r="B34398" s="15" t="s">
        <v>26042</v>
      </c>
      <c r="C34398" s="15" t="s">
        <v>26038</v>
      </c>
      <c r="D34398" s="15" t="s">
        <v>21792</v>
      </c>
      <c r="E34398" s="2">
        <v>2367660</v>
      </c>
      <c r="F34398" s="4" t="str">
        <f>IF(B34398=B34397,"",B34398)</f>
        <v>Badou</v>
      </c>
    </row>
    <row r="34399" spans="1:6" ht="15.75" customHeight="1">
      <c r="A34399" s="16" t="str">
        <f ca="1">IFERROR(__xludf.DUMMYFUNCTION("GOOGLETRANSLATE(B34029,""en"",""pt"")"),"Badnāwar")</f>
        <v>Badnāwar</v>
      </c>
      <c r="B34399" s="20" t="s">
        <v>33995</v>
      </c>
      <c r="C34399" s="20" t="s">
        <v>10178</v>
      </c>
      <c r="D34399" s="20" t="s">
        <v>10219</v>
      </c>
      <c r="E34399" s="10">
        <v>1277970</v>
      </c>
      <c r="F34399" s="4" t="str">
        <f>IF(B34399=B34398,"",B34399)</f>
        <v>Badnāwar</v>
      </c>
    </row>
    <row r="34400" spans="1:6" ht="15.75" customHeight="1">
      <c r="A34400" s="16" t="s">
        <v>10540</v>
      </c>
      <c r="B34400" s="15" t="s">
        <v>10541</v>
      </c>
      <c r="C34400" s="16" t="s">
        <v>10178</v>
      </c>
      <c r="D34400" s="16" t="s">
        <v>10219</v>
      </c>
      <c r="E34400" s="2">
        <v>1277970</v>
      </c>
      <c r="F34400" s="4" t="e">
        <f>IF(B34400=#REF!,"",B34400)</f>
        <v>#REF!</v>
      </c>
    </row>
    <row r="34401" spans="1:6" ht="15.75" customHeight="1">
      <c r="A34401" s="15" t="s">
        <v>10539</v>
      </c>
      <c r="B34401" s="15" t="s">
        <v>10539</v>
      </c>
      <c r="C34401" s="15" t="s">
        <v>10178</v>
      </c>
      <c r="D34401" s="15" t="s">
        <v>10214</v>
      </c>
      <c r="E34401" s="2">
        <v>1277976</v>
      </c>
      <c r="F34401" s="4" t="str">
        <f>IF(B34401=B34400,"",B34401)</f>
        <v>Badlapur</v>
      </c>
    </row>
    <row r="34402" spans="1:6" ht="15.75" customHeight="1">
      <c r="A34402" s="16" t="str">
        <f ca="1">IFERROR(__xludf.DUMMYFUNCTION("GOOGLETRANSLATE(B38268,""en"",""pt"")"),"Badīyah")</f>
        <v>Badīyah</v>
      </c>
      <c r="B34402" s="20" t="s">
        <v>34856</v>
      </c>
      <c r="C34402" s="20" t="s">
        <v>19755</v>
      </c>
      <c r="D34402" s="20" t="s">
        <v>19777</v>
      </c>
      <c r="E34402" s="10">
        <v>288902</v>
      </c>
      <c r="F34402" s="4" t="str">
        <f>IF(B34402=B34401,"",B34402)</f>
        <v>Badīyah</v>
      </c>
    </row>
    <row r="34403" spans="1:6" ht="15.75" customHeight="1">
      <c r="A34403" s="16" t="str">
        <f ca="1">IFERROR(__xludf.DUMMYFUNCTION("GOOGLETRANSLATE(B39158,""en"",""pt"")"),"Badīn")</f>
        <v>Badīn</v>
      </c>
      <c r="B34403" s="20" t="s">
        <v>35053</v>
      </c>
      <c r="C34403" s="20" t="s">
        <v>19808</v>
      </c>
      <c r="D34403" s="20" t="s">
        <v>19823</v>
      </c>
      <c r="E34403" s="10">
        <v>1184055</v>
      </c>
      <c r="F34403" s="4" t="e">
        <f>IF(B34403=#REF!,"",B34403)</f>
        <v>#REF!</v>
      </c>
    </row>
    <row r="34404" spans="1:6" ht="15.75" customHeight="1">
      <c r="A34404" s="15" t="s">
        <v>27935</v>
      </c>
      <c r="B34404" s="15" t="s">
        <v>27936</v>
      </c>
      <c r="C34404" s="15" t="s">
        <v>27788</v>
      </c>
      <c r="D34404" s="15" t="s">
        <v>27867</v>
      </c>
      <c r="E34404" s="2">
        <v>5879898</v>
      </c>
      <c r="F34404" s="4" t="e">
        <f>IF(B34404=#REF!,"",B34404)</f>
        <v>#REF!</v>
      </c>
    </row>
    <row r="34405" spans="1:6" ht="15.75" customHeight="1">
      <c r="A34405" s="16" t="s">
        <v>8165</v>
      </c>
      <c r="B34405" s="15" t="s">
        <v>8165</v>
      </c>
      <c r="C34405" s="16" t="s">
        <v>8028</v>
      </c>
      <c r="D34405" s="16" t="s">
        <v>8031</v>
      </c>
      <c r="E34405" s="2">
        <v>2953504</v>
      </c>
      <c r="F34405" s="4" t="e">
        <f>IF(B34405=#REF!,"",B34405)</f>
        <v>#REF!</v>
      </c>
    </row>
    <row r="34406" spans="1:6" ht="15.75" customHeight="1">
      <c r="A34406" s="15" t="s">
        <v>1121</v>
      </c>
      <c r="B34406" s="15" t="s">
        <v>1121</v>
      </c>
      <c r="C34406" s="15" t="s">
        <v>1117</v>
      </c>
      <c r="D34406" s="15" t="s">
        <v>1118</v>
      </c>
      <c r="E34406" s="2">
        <v>2782067</v>
      </c>
      <c r="F34406" s="4" t="e">
        <f>IF(B34406=#REF!,"",B34406)</f>
        <v>#REF!</v>
      </c>
    </row>
    <row r="34407" spans="1:6" ht="15.75" customHeight="1">
      <c r="A34407" s="16" t="s">
        <v>19824</v>
      </c>
      <c r="B34407" s="15" t="s">
        <v>19824</v>
      </c>
      <c r="C34407" s="16" t="s">
        <v>19808</v>
      </c>
      <c r="D34407" s="16" t="s">
        <v>10184</v>
      </c>
      <c r="E34407" s="2">
        <v>1184075</v>
      </c>
      <c r="F34407" s="4" t="e">
        <f>IF(B34407=#REF!,"",B34407)</f>
        <v>#REF!</v>
      </c>
    </row>
    <row r="34408" spans="1:6" ht="15.75" customHeight="1">
      <c r="A34408" s="15" t="s">
        <v>10537</v>
      </c>
      <c r="B34408" s="15" t="s">
        <v>10537</v>
      </c>
      <c r="C34408" s="15" t="s">
        <v>10178</v>
      </c>
      <c r="D34408" s="15" t="s">
        <v>10538</v>
      </c>
      <c r="E34408" s="2">
        <v>7279742</v>
      </c>
      <c r="F34408" s="4" t="e">
        <f>IF(B34408=#REF!,"",B34408)</f>
        <v>#REF!</v>
      </c>
    </row>
    <row r="34409" spans="1:6" ht="15.75" customHeight="1">
      <c r="A34409" s="16" t="s">
        <v>1303</v>
      </c>
      <c r="B34409" s="15" t="s">
        <v>1303</v>
      </c>
      <c r="C34409" s="16" t="s">
        <v>1296</v>
      </c>
      <c r="D34409" s="16" t="s">
        <v>1304</v>
      </c>
      <c r="E34409" s="2">
        <v>1185283</v>
      </c>
      <c r="F34409" s="4" t="str">
        <f>IF(B34409=B34408,"",B34409)</f>
        <v>Badarganj</v>
      </c>
    </row>
    <row r="34410" spans="1:6" ht="15.75" customHeight="1">
      <c r="A34410" s="16" t="str">
        <f ca="1">IFERROR(__xludf.DUMMYFUNCTION("GOOGLETRANSLATE(B34031,""en"",""pt"")"),"Bādāmi")</f>
        <v>Bādāmi</v>
      </c>
      <c r="B34410" s="20" t="s">
        <v>33996</v>
      </c>
      <c r="C34410" s="20" t="s">
        <v>10178</v>
      </c>
      <c r="D34410" s="20" t="s">
        <v>10252</v>
      </c>
      <c r="E34410" s="10">
        <v>1278017</v>
      </c>
      <c r="F34410" s="4" t="e">
        <f>IF(B34410=#REF!,"",B34410)</f>
        <v>#REF!</v>
      </c>
    </row>
    <row r="34411" spans="1:6" ht="15.75" customHeight="1">
      <c r="A34411" s="15" t="s">
        <v>24311</v>
      </c>
      <c r="B34411" s="15" t="s">
        <v>24311</v>
      </c>
      <c r="C34411" s="15" t="s">
        <v>24200</v>
      </c>
      <c r="D34411" s="15" t="s">
        <v>24277</v>
      </c>
      <c r="E34411" s="2">
        <v>3129028</v>
      </c>
      <c r="F34411" s="4" t="e">
        <f>IF(B34411=#REF!,"",B34411)</f>
        <v>#REF!</v>
      </c>
    </row>
    <row r="34412" spans="1:6" ht="15.75" customHeight="1">
      <c r="A34412" s="15" t="s">
        <v>24310</v>
      </c>
      <c r="B34412" s="15" t="s">
        <v>24310</v>
      </c>
      <c r="C34412" s="15" t="s">
        <v>24200</v>
      </c>
      <c r="D34412" s="15" t="s">
        <v>24262</v>
      </c>
      <c r="E34412" s="2">
        <v>2521420</v>
      </c>
      <c r="F34412" s="4" t="e">
        <f>IF(B34412=#REF!,"",B34412)</f>
        <v>#REF!</v>
      </c>
    </row>
    <row r="34413" spans="1:6" ht="15.75" customHeight="1">
      <c r="A34413" s="15" t="s">
        <v>19334</v>
      </c>
      <c r="B34413" s="15" t="s">
        <v>19335</v>
      </c>
      <c r="C34413" s="15" t="s">
        <v>19294</v>
      </c>
      <c r="D34413" s="15" t="s">
        <v>19336</v>
      </c>
      <c r="E34413" s="2">
        <v>2348395</v>
      </c>
      <c r="F34413" s="4" t="e">
        <f>IF(B34413=#REF!,"",B34413)</f>
        <v>#REF!</v>
      </c>
    </row>
    <row r="34414" spans="1:6" ht="15.75" customHeight="1">
      <c r="A34414" s="16" t="s">
        <v>10535</v>
      </c>
      <c r="B34414" s="15" t="s">
        <v>10536</v>
      </c>
      <c r="C34414" s="16" t="s">
        <v>10178</v>
      </c>
      <c r="D34414" s="16" t="s">
        <v>10246</v>
      </c>
      <c r="E34414" s="2">
        <v>1278023</v>
      </c>
      <c r="F34414" s="4" t="str">
        <f>IF(B34414=B34413,"",B34414)</f>
        <v>Badagara</v>
      </c>
    </row>
    <row r="34415" spans="1:6" ht="15.75" customHeight="1">
      <c r="A34415" s="16" t="s">
        <v>19775</v>
      </c>
      <c r="B34415" s="15" t="s">
        <v>19776</v>
      </c>
      <c r="C34415" s="16" t="s">
        <v>19755</v>
      </c>
      <c r="D34415" s="16" t="s">
        <v>19777</v>
      </c>
      <c r="E34415" s="2">
        <v>288902</v>
      </c>
      <c r="F34415" s="4" t="str">
        <f>IF(B34415=B34414,"",B34415)</f>
        <v>BadÄ«yah</v>
      </c>
    </row>
    <row r="34416" spans="1:6" ht="15.75" customHeight="1">
      <c r="A34416" s="15" t="s">
        <v>10533</v>
      </c>
      <c r="B34416" s="15" t="s">
        <v>10534</v>
      </c>
      <c r="C34416" s="15" t="s">
        <v>10178</v>
      </c>
      <c r="D34416" s="15" t="s">
        <v>10201</v>
      </c>
      <c r="E34416" s="2">
        <v>1277950</v>
      </c>
      <c r="F34416" s="4" t="str">
        <f>IF(B34416=B34415,"",B34416)</f>
        <v>BadÅ«ria</v>
      </c>
    </row>
    <row r="34417" spans="1:6" ht="15.75" customHeight="1">
      <c r="A34417" s="15" t="s">
        <v>19821</v>
      </c>
      <c r="B34417" s="15" t="s">
        <v>19822</v>
      </c>
      <c r="C34417" s="15" t="s">
        <v>19808</v>
      </c>
      <c r="D34417" s="15" t="s">
        <v>19823</v>
      </c>
      <c r="E34417" s="2">
        <v>1184055</v>
      </c>
      <c r="F34417" s="4" t="str">
        <f>IF(B34417=B34416,"",B34417)</f>
        <v>BadÄ«n</v>
      </c>
    </row>
    <row r="34418" spans="1:6" ht="15.75" customHeight="1">
      <c r="A34418" s="16" t="str">
        <f ca="1">IFERROR(__xludf.DUMMYFUNCTION("GOOGLETRANSLATE(B34033,""en"",""pt"")"),"Bada Barabīl")</f>
        <v>Bada Barabīl</v>
      </c>
      <c r="B34418" s="20" t="s">
        <v>33997</v>
      </c>
      <c r="C34418" s="20" t="s">
        <v>10178</v>
      </c>
      <c r="D34418" s="20" t="s">
        <v>10229</v>
      </c>
      <c r="E34418" s="10">
        <v>1278026</v>
      </c>
      <c r="F34418" s="4" t="str">
        <f>IF(B34418=B34417,"",B34418)</f>
        <v>Bada Barabīl</v>
      </c>
    </row>
    <row r="34419" spans="1:6" ht="15.75" customHeight="1">
      <c r="A34419" s="16" t="s">
        <v>10531</v>
      </c>
      <c r="B34419" s="15" t="s">
        <v>10532</v>
      </c>
      <c r="C34419" s="16" t="s">
        <v>10178</v>
      </c>
      <c r="D34419" s="16" t="s">
        <v>10229</v>
      </c>
      <c r="E34419" s="2">
        <v>1278026</v>
      </c>
      <c r="F34419" s="4" t="e">
        <f>IF(B34419=#REF!,"",B34419)</f>
        <v>#REF!</v>
      </c>
    </row>
    <row r="34420" spans="1:6" ht="15.75" customHeight="1">
      <c r="A34420" s="16" t="s">
        <v>8163</v>
      </c>
      <c r="B34420" s="15" t="s">
        <v>8164</v>
      </c>
      <c r="C34420" s="16" t="s">
        <v>8028</v>
      </c>
      <c r="D34420" s="16" t="s">
        <v>8034</v>
      </c>
      <c r="E34420" s="2">
        <v>2953310</v>
      </c>
      <c r="F34420" s="4" t="e">
        <f>IF(B34420=#REF!,"",B34420)</f>
        <v>#REF!</v>
      </c>
    </row>
    <row r="34421" spans="1:6" ht="15.75" customHeight="1">
      <c r="A34421" s="16" t="s">
        <v>8162</v>
      </c>
      <c r="B34421" s="15" t="s">
        <v>8162</v>
      </c>
      <c r="C34421" s="16" t="s">
        <v>8028</v>
      </c>
      <c r="D34421" s="16" t="s">
        <v>8050</v>
      </c>
      <c r="E34421" s="2">
        <v>2953317</v>
      </c>
      <c r="F34421" s="4" t="e">
        <f>IF(B34421=#REF!,"",B34421)</f>
        <v>#REF!</v>
      </c>
    </row>
    <row r="34422" spans="1:6" ht="15.75" customHeight="1">
      <c r="A34422" s="16" t="s">
        <v>8161</v>
      </c>
      <c r="B34422" s="15" t="s">
        <v>8161</v>
      </c>
      <c r="C34422" s="16" t="s">
        <v>8028</v>
      </c>
      <c r="D34422" s="16" t="s">
        <v>8031</v>
      </c>
      <c r="E34422" s="2">
        <v>2953320</v>
      </c>
      <c r="F34422" s="4" t="e">
        <f>IF(B34422=#REF!,"",B34422)</f>
        <v>#REF!</v>
      </c>
    </row>
    <row r="34423" spans="1:6" ht="15.75" customHeight="1">
      <c r="A34423" s="16" t="s">
        <v>8159</v>
      </c>
      <c r="B34423" s="15" t="s">
        <v>8160</v>
      </c>
      <c r="C34423" s="16" t="s">
        <v>8028</v>
      </c>
      <c r="D34423" s="16" t="s">
        <v>8050</v>
      </c>
      <c r="E34423" s="2">
        <v>2953321</v>
      </c>
      <c r="F34423" s="4" t="str">
        <f>IF(B34423=B34422,"",B34423)</f>
        <v>Bad Vilbel</v>
      </c>
    </row>
    <row r="34424" spans="1:6" ht="15.75" customHeight="1">
      <c r="A34424" s="16" t="str">
        <f ca="1">IFERROR(__xludf.DUMMYFUNCTION("GOOGLETRANSLATE(B28283,""en"",""pt"")"),"Bad Tölz")</f>
        <v>Bad Tölz</v>
      </c>
      <c r="B34424" s="20" t="s">
        <v>32134</v>
      </c>
      <c r="C34424" s="20" t="s">
        <v>8028</v>
      </c>
      <c r="D34424" s="20" t="s">
        <v>8044</v>
      </c>
      <c r="E34424" s="10">
        <v>2953324</v>
      </c>
      <c r="F34424" s="4" t="str">
        <f>IF(B34424=B34423,"",B34424)</f>
        <v>Bad Tölz</v>
      </c>
    </row>
    <row r="34425" spans="1:6" ht="15.75" customHeight="1">
      <c r="A34425" s="15" t="s">
        <v>8157</v>
      </c>
      <c r="B34425" s="15" t="s">
        <v>8158</v>
      </c>
      <c r="C34425" s="15" t="s">
        <v>8028</v>
      </c>
      <c r="D34425" s="15" t="s">
        <v>8044</v>
      </c>
      <c r="E34425" s="2">
        <v>2953324</v>
      </c>
      <c r="F34425" s="4" t="e">
        <f>IF(B34425=#REF!,"",B34425)</f>
        <v>#REF!</v>
      </c>
    </row>
    <row r="34426" spans="1:6" ht="15.75" customHeight="1">
      <c r="A34426" s="16" t="s">
        <v>8156</v>
      </c>
      <c r="B34426" s="15" t="s">
        <v>8156</v>
      </c>
      <c r="C34426" s="16" t="s">
        <v>8028</v>
      </c>
      <c r="D34426" s="16" t="s">
        <v>8050</v>
      </c>
      <c r="E34426" s="2">
        <v>2953339</v>
      </c>
      <c r="F34426" s="4" t="e">
        <f>IF(B34426=#REF!,"",B34426)</f>
        <v>#REF!</v>
      </c>
    </row>
    <row r="34427" spans="1:6" ht="15.75" customHeight="1">
      <c r="A34427" s="16" t="s">
        <v>8155</v>
      </c>
      <c r="B34427" s="15" t="s">
        <v>8155</v>
      </c>
      <c r="C34427" s="16" t="s">
        <v>8028</v>
      </c>
      <c r="D34427" s="16" t="s">
        <v>8040</v>
      </c>
      <c r="E34427" s="2">
        <v>2953341</v>
      </c>
      <c r="F34427" s="4" t="e">
        <f>IF(B34427=#REF!,"",B34427)</f>
        <v>#REF!</v>
      </c>
    </row>
    <row r="34428" spans="1:6" ht="15.75" customHeight="1">
      <c r="A34428" s="16" t="s">
        <v>8154</v>
      </c>
      <c r="B34428" s="15" t="s">
        <v>8154</v>
      </c>
      <c r="C34428" s="16" t="s">
        <v>8028</v>
      </c>
      <c r="D34428" s="16" t="s">
        <v>8040</v>
      </c>
      <c r="E34428" s="2">
        <v>2953347</v>
      </c>
      <c r="F34428" s="4" t="e">
        <f>IF(B34428=#REF!,"",B34428)</f>
        <v>#REF!</v>
      </c>
    </row>
    <row r="34429" spans="1:6" ht="15.75" customHeight="1">
      <c r="A34429" s="16" t="s">
        <v>8153</v>
      </c>
      <c r="B34429" s="15" t="s">
        <v>8153</v>
      </c>
      <c r="C34429" s="16" t="s">
        <v>8028</v>
      </c>
      <c r="D34429" s="16" t="s">
        <v>8054</v>
      </c>
      <c r="E34429" s="2">
        <v>2953357</v>
      </c>
      <c r="F34429" s="4" t="e">
        <f>IF(B34429=#REF!,"",B34429)</f>
        <v>#REF!</v>
      </c>
    </row>
    <row r="34430" spans="1:6" ht="15.75" customHeight="1">
      <c r="A34430" s="16" t="s">
        <v>8151</v>
      </c>
      <c r="B34430" s="15" t="s">
        <v>8152</v>
      </c>
      <c r="C34430" s="16" t="s">
        <v>8028</v>
      </c>
      <c r="D34430" s="16" t="s">
        <v>8029</v>
      </c>
      <c r="E34430" s="2">
        <v>2953358</v>
      </c>
      <c r="F34430" s="4" t="str">
        <f>IF(B34430=B34429,"",B34430)</f>
        <v>Bad Salzuflen</v>
      </c>
    </row>
    <row r="34431" spans="1:6" ht="15.75" customHeight="1">
      <c r="A34431" s="16" t="str">
        <f ca="1">IFERROR(__xludf.DUMMYFUNCTION("GOOGLETRANSLATE(B28289,""en"",""pt"")"),"Bad Säckingen")</f>
        <v>Bad Säckingen</v>
      </c>
      <c r="B34431" s="20" t="s">
        <v>32135</v>
      </c>
      <c r="C34431" s="20" t="s">
        <v>8028</v>
      </c>
      <c r="D34431" s="20" t="s">
        <v>32013</v>
      </c>
      <c r="E34431" s="10">
        <v>2953363</v>
      </c>
      <c r="F34431" s="4" t="str">
        <f>IF(B34431=B34430,"",B34431)</f>
        <v>Bad Säckingen</v>
      </c>
    </row>
    <row r="34432" spans="1:6" ht="15.75" customHeight="1">
      <c r="A34432" s="16" t="s">
        <v>8149</v>
      </c>
      <c r="B34432" s="15" t="s">
        <v>8150</v>
      </c>
      <c r="C34432" s="16" t="s">
        <v>8028</v>
      </c>
      <c r="D34432" s="16" t="s">
        <v>8031</v>
      </c>
      <c r="E34432" s="2">
        <v>2953363</v>
      </c>
      <c r="F34432" s="4" t="e">
        <f>IF(B34432=#REF!,"",B34432)</f>
        <v>#REF!</v>
      </c>
    </row>
    <row r="34433" spans="1:6" ht="15.75" customHeight="1">
      <c r="A34433" s="16" t="s">
        <v>8148</v>
      </c>
      <c r="B34433" s="15" t="s">
        <v>8148</v>
      </c>
      <c r="C34433" s="16" t="s">
        <v>8028</v>
      </c>
      <c r="D34433" s="16" t="s">
        <v>8044</v>
      </c>
      <c r="E34433" s="2">
        <v>2953371</v>
      </c>
      <c r="F34433" s="4" t="e">
        <f>IF(B34433=#REF!,"",B34433)</f>
        <v>#REF!</v>
      </c>
    </row>
    <row r="34434" spans="1:6" ht="15.75" customHeight="1">
      <c r="A34434" s="16" t="s">
        <v>8146</v>
      </c>
      <c r="B34434" s="15" t="s">
        <v>8147</v>
      </c>
      <c r="C34434" s="16" t="s">
        <v>8028</v>
      </c>
      <c r="D34434" s="16" t="s">
        <v>8031</v>
      </c>
      <c r="E34434" s="2">
        <v>2953374</v>
      </c>
      <c r="F34434" s="4" t="e">
        <f>IF(B34434=#REF!,"",B34434)</f>
        <v>#REF!</v>
      </c>
    </row>
    <row r="34435" spans="1:6" ht="15.75" customHeight="1">
      <c r="A34435" s="16" t="s">
        <v>8144</v>
      </c>
      <c r="B34435" s="15" t="s">
        <v>8145</v>
      </c>
      <c r="C34435" s="16" t="s">
        <v>8028</v>
      </c>
      <c r="D34435" s="16" t="s">
        <v>8034</v>
      </c>
      <c r="E34435" s="2">
        <v>2953379</v>
      </c>
      <c r="F34435" s="4" t="e">
        <f>IF(B34435=#REF!,"",B34435)</f>
        <v>#REF!</v>
      </c>
    </row>
    <row r="34436" spans="1:6" ht="15.75" customHeight="1">
      <c r="A34436" s="16" t="s">
        <v>8143</v>
      </c>
      <c r="B34436" s="15" t="s">
        <v>8143</v>
      </c>
      <c r="C34436" s="16" t="s">
        <v>8028</v>
      </c>
      <c r="D34436" s="16" t="s">
        <v>8040</v>
      </c>
      <c r="E34436" s="2">
        <v>2953385</v>
      </c>
      <c r="F34436" s="4" t="e">
        <f>IF(B34436=#REF!,"",B34436)</f>
        <v>#REF!</v>
      </c>
    </row>
    <row r="34437" spans="1:6" ht="15.75" customHeight="1">
      <c r="A34437" s="16" t="s">
        <v>8141</v>
      </c>
      <c r="B34437" s="15" t="s">
        <v>8142</v>
      </c>
      <c r="C34437" s="16" t="s">
        <v>8028</v>
      </c>
      <c r="D34437" s="16" t="s">
        <v>8029</v>
      </c>
      <c r="E34437" s="2">
        <v>2953386</v>
      </c>
      <c r="F34437" s="4" t="e">
        <f>IF(B34437=#REF!,"",B34437)</f>
        <v>#REF!</v>
      </c>
    </row>
    <row r="34438" spans="1:6" ht="15.75" customHeight="1">
      <c r="A34438" s="16" t="s">
        <v>8139</v>
      </c>
      <c r="B34438" s="15" t="s">
        <v>8140</v>
      </c>
      <c r="C34438" s="16" t="s">
        <v>8028</v>
      </c>
      <c r="D34438" s="16" t="s">
        <v>8044</v>
      </c>
      <c r="E34438" s="2">
        <v>2953389</v>
      </c>
      <c r="F34438" s="4" t="e">
        <f>IF(B34438=#REF!,"",B34438)</f>
        <v>#REF!</v>
      </c>
    </row>
    <row r="34439" spans="1:6" ht="15.75" customHeight="1">
      <c r="A34439" s="16" t="s">
        <v>8138</v>
      </c>
      <c r="B34439" s="15" t="s">
        <v>8138</v>
      </c>
      <c r="C34439" s="16" t="s">
        <v>8028</v>
      </c>
      <c r="D34439" s="16" t="s">
        <v>8065</v>
      </c>
      <c r="E34439" s="2">
        <v>2953391</v>
      </c>
      <c r="F34439" s="4" t="e">
        <f>IF(B34439=#REF!,"",B34439)</f>
        <v>#REF!</v>
      </c>
    </row>
    <row r="34440" spans="1:6" ht="15.75" customHeight="1">
      <c r="A34440" s="16" t="s">
        <v>8137</v>
      </c>
      <c r="B34440" s="15" t="s">
        <v>8137</v>
      </c>
      <c r="C34440" s="16" t="s">
        <v>8028</v>
      </c>
      <c r="D34440" s="16" t="s">
        <v>8050</v>
      </c>
      <c r="E34440" s="2">
        <v>2953395</v>
      </c>
      <c r="F34440" s="4" t="str">
        <f>IF(B34440=B34439,"",B34440)</f>
        <v>Bad Nauheim</v>
      </c>
    </row>
    <row r="34441" spans="1:6" ht="15.75" customHeight="1">
      <c r="A34441" s="16" t="str">
        <f ca="1">IFERROR(__xludf.DUMMYFUNCTION("GOOGLETRANSLATE(B28298,""en"",""pt"")"),"Bad Münstereifel")</f>
        <v>Bad Münstereifel</v>
      </c>
      <c r="B34441" s="20" t="s">
        <v>32136</v>
      </c>
      <c r="C34441" s="20" t="s">
        <v>8028</v>
      </c>
      <c r="D34441" s="20" t="s">
        <v>8029</v>
      </c>
      <c r="E34441" s="10">
        <v>2953398</v>
      </c>
      <c r="F34441" s="4" t="str">
        <f>IF(B34441=B34440,"",B34441)</f>
        <v>Bad Münstereifel</v>
      </c>
    </row>
    <row r="34442" spans="1:6" ht="15.75" customHeight="1">
      <c r="A34442" s="16" t="str">
        <f ca="1">IFERROR(__xludf.DUMMYFUNCTION("GOOGLETRANSLATE(B28299,""en"",""pt"")"),"Bad Münder Am Deister")</f>
        <v>Bad Münder Am Deister</v>
      </c>
      <c r="B34442" s="20" t="s">
        <v>32137</v>
      </c>
      <c r="C34442" s="20" t="s">
        <v>8028</v>
      </c>
      <c r="D34442" s="20" t="s">
        <v>8034</v>
      </c>
      <c r="E34442" s="10">
        <v>2953400</v>
      </c>
      <c r="F34442" s="4" t="e">
        <f>IF(B34442=#REF!,"",B34442)</f>
        <v>#REF!</v>
      </c>
    </row>
    <row r="34443" spans="1:6" ht="15.75" customHeight="1">
      <c r="A34443" s="16" t="s">
        <v>8136</v>
      </c>
      <c r="B34443" s="15" t="s">
        <v>8136</v>
      </c>
      <c r="C34443" s="16" t="s">
        <v>8028</v>
      </c>
      <c r="D34443" s="16" t="s">
        <v>8031</v>
      </c>
      <c r="E34443" s="2">
        <v>2953402</v>
      </c>
      <c r="F34443" s="4" t="str">
        <f>IF(B34443=B34442,"",B34443)</f>
        <v>Bad Mergentheim</v>
      </c>
    </row>
    <row r="34444" spans="1:6" ht="15.75" customHeight="1">
      <c r="A34444" s="16" t="s">
        <v>8134</v>
      </c>
      <c r="B34444" s="15" t="s">
        <v>8135</v>
      </c>
      <c r="C34444" s="16" t="s">
        <v>8028</v>
      </c>
      <c r="D34444" s="16" t="s">
        <v>8029</v>
      </c>
      <c r="E34444" s="2">
        <v>2953398</v>
      </c>
      <c r="F34444" s="4" t="str">
        <f>IF(B34444=B34443,"",B34444)</f>
        <v>Bad MÃ¼nstereifel</v>
      </c>
    </row>
    <row r="34445" spans="1:6" ht="15.75" customHeight="1">
      <c r="A34445" s="16" t="s">
        <v>8132</v>
      </c>
      <c r="B34445" s="15" t="s">
        <v>8133</v>
      </c>
      <c r="C34445" s="16" t="s">
        <v>8028</v>
      </c>
      <c r="D34445" s="16" t="s">
        <v>8034</v>
      </c>
      <c r="E34445" s="2">
        <v>2953400</v>
      </c>
      <c r="F34445" s="4" t="e">
        <f>IF(B34445=#REF!,"",B34445)</f>
        <v>#REF!</v>
      </c>
    </row>
    <row r="34446" spans="1:6" ht="15.75" customHeight="1">
      <c r="A34446" s="16" t="s">
        <v>8130</v>
      </c>
      <c r="B34446" s="15" t="s">
        <v>8131</v>
      </c>
      <c r="C34446" s="16" t="s">
        <v>8028</v>
      </c>
      <c r="D34446" s="16" t="s">
        <v>8029</v>
      </c>
      <c r="E34446" s="2">
        <v>2953405</v>
      </c>
      <c r="F34446" s="4" t="e">
        <f>IF(B34446=#REF!,"",B34446)</f>
        <v>#REF!</v>
      </c>
    </row>
    <row r="34447" spans="1:6" ht="15.75" customHeight="1">
      <c r="A34447" s="16" t="s">
        <v>8129</v>
      </c>
      <c r="B34447" s="15" t="s">
        <v>8129</v>
      </c>
      <c r="C34447" s="16" t="s">
        <v>8028</v>
      </c>
      <c r="D34447" s="16" t="s">
        <v>8054</v>
      </c>
      <c r="E34447" s="2">
        <v>2953413</v>
      </c>
      <c r="F34447" s="4" t="e">
        <f>IF(B34447=#REF!,"",B34447)</f>
        <v>#REF!</v>
      </c>
    </row>
    <row r="34448" spans="1:6" ht="15.75" customHeight="1">
      <c r="A34448" s="16" t="s">
        <v>8128</v>
      </c>
      <c r="B34448" s="15" t="s">
        <v>8128</v>
      </c>
      <c r="C34448" s="16" t="s">
        <v>8028</v>
      </c>
      <c r="D34448" s="16" t="s">
        <v>8029</v>
      </c>
      <c r="E34448" s="2">
        <v>2882091</v>
      </c>
      <c r="F34448" s="4" t="e">
        <f>IF(B34448=#REF!,"",B34448)</f>
        <v>#REF!</v>
      </c>
    </row>
    <row r="34449" spans="1:6" ht="15.75" customHeight="1">
      <c r="A34449" s="16" t="s">
        <v>8127</v>
      </c>
      <c r="B34449" s="15" t="s">
        <v>8127</v>
      </c>
      <c r="C34449" s="16" t="s">
        <v>8028</v>
      </c>
      <c r="D34449" s="16" t="s">
        <v>8065</v>
      </c>
      <c r="E34449" s="2">
        <v>2953416</v>
      </c>
      <c r="F34449" s="4" t="e">
        <f>IF(B34449=#REF!,"",B34449)</f>
        <v>#REF!</v>
      </c>
    </row>
    <row r="34450" spans="1:6" ht="15.75" customHeight="1">
      <c r="A34450" s="16" t="s">
        <v>8126</v>
      </c>
      <c r="B34450" s="15" t="s">
        <v>8126</v>
      </c>
      <c r="C34450" s="16" t="s">
        <v>8028</v>
      </c>
      <c r="D34450" s="16" t="s">
        <v>8044</v>
      </c>
      <c r="E34450" s="2">
        <v>2953424</v>
      </c>
      <c r="F34450" s="4" t="e">
        <f>IF(B34450=#REF!,"",B34450)</f>
        <v>#REF!</v>
      </c>
    </row>
    <row r="34451" spans="1:6" ht="15.75" customHeight="1">
      <c r="A34451" s="16" t="s">
        <v>8125</v>
      </c>
      <c r="B34451" s="15" t="s">
        <v>8125</v>
      </c>
      <c r="C34451" s="16" t="s">
        <v>8028</v>
      </c>
      <c r="D34451" s="16" t="s">
        <v>8029</v>
      </c>
      <c r="E34451" s="2">
        <v>2953435</v>
      </c>
      <c r="F34451" s="4" t="str">
        <f>IF(B34451=B34450,"",B34451)</f>
        <v>Bad Honnef</v>
      </c>
    </row>
    <row r="34452" spans="1:6" ht="15.75" customHeight="1">
      <c r="A34452" s="16" t="str">
        <f ca="1">IFERROR(__xludf.DUMMYFUNCTION("GOOGLETRANSLATE(B28306,""en"",""pt"")"),"Bad Homburg Vor der Höhe")</f>
        <v>Bad Homburg Vor der Höhe</v>
      </c>
      <c r="B34452" s="20" t="s">
        <v>32138</v>
      </c>
      <c r="C34452" s="20" t="s">
        <v>8028</v>
      </c>
      <c r="D34452" s="20" t="s">
        <v>8050</v>
      </c>
      <c r="E34452" s="10">
        <v>2953436</v>
      </c>
      <c r="F34452" s="4" t="str">
        <f>IF(B34452=B34451,"",B34452)</f>
        <v>Bad Homburg vor der Höhe</v>
      </c>
    </row>
    <row r="34453" spans="1:6" ht="15.75" customHeight="1">
      <c r="A34453" s="16" t="s">
        <v>8123</v>
      </c>
      <c r="B34453" s="15" t="s">
        <v>8124</v>
      </c>
      <c r="C34453" s="16" t="s">
        <v>8028</v>
      </c>
      <c r="D34453" s="16" t="s">
        <v>8050</v>
      </c>
      <c r="E34453" s="2">
        <v>2953436</v>
      </c>
      <c r="F34453" s="4" t="e">
        <f>IF(B34453=#REF!,"",B34453)</f>
        <v>#REF!</v>
      </c>
    </row>
    <row r="34454" spans="1:6" ht="15.75" customHeight="1">
      <c r="A34454" s="16" t="s">
        <v>8122</v>
      </c>
      <c r="B34454" s="15" t="s">
        <v>8122</v>
      </c>
      <c r="C34454" s="16" t="s">
        <v>8028</v>
      </c>
      <c r="D34454" s="16" t="s">
        <v>8050</v>
      </c>
      <c r="E34454" s="2">
        <v>2953439</v>
      </c>
      <c r="F34454" s="4" t="e">
        <f>IF(B34454=#REF!,"",B34454)</f>
        <v>#REF!</v>
      </c>
    </row>
    <row r="34455" spans="1:6" ht="15.75" customHeight="1">
      <c r="A34455" s="16" t="s">
        <v>8121</v>
      </c>
      <c r="B34455" s="15" t="s">
        <v>8121</v>
      </c>
      <c r="C34455" s="16" t="s">
        <v>8028</v>
      </c>
      <c r="D34455" s="16" t="s">
        <v>8034</v>
      </c>
      <c r="E34455" s="2">
        <v>2953449</v>
      </c>
      <c r="F34455" s="4" t="e">
        <f>IF(B34455=#REF!,"",B34455)</f>
        <v>#REF!</v>
      </c>
    </row>
    <row r="34456" spans="1:6" ht="15.75" customHeight="1">
      <c r="A34456" s="16" t="s">
        <v>8120</v>
      </c>
      <c r="B34456" s="15" t="s">
        <v>8120</v>
      </c>
      <c r="C34456" s="16" t="s">
        <v>8028</v>
      </c>
      <c r="D34456" s="16" t="s">
        <v>8034</v>
      </c>
      <c r="E34456" s="2">
        <v>2953464</v>
      </c>
      <c r="F34456" s="4" t="str">
        <f>IF(B34456=B34455,"",B34456)</f>
        <v>Bad Essen</v>
      </c>
    </row>
    <row r="34457" spans="1:6" ht="15.75" customHeight="1">
      <c r="A34457" s="16" t="str">
        <f ca="1">IFERROR(__xludf.DUMMYFUNCTION("GOOGLETRANSLATE(B28311,""en"",""pt"")"),"Dürkheim ruim")</f>
        <v>Dürkheim ruim</v>
      </c>
      <c r="B34457" s="20" t="s">
        <v>32139</v>
      </c>
      <c r="C34457" s="20" t="s">
        <v>8028</v>
      </c>
      <c r="D34457" s="20" t="s">
        <v>8065</v>
      </c>
      <c r="E34457" s="10">
        <v>2953522</v>
      </c>
      <c r="F34457" s="4" t="e">
        <f>IF(B34457=#REF!,"",B34457)</f>
        <v>#REF!</v>
      </c>
    </row>
    <row r="34458" spans="1:6" ht="15.75" customHeight="1">
      <c r="A34458" s="16" t="s">
        <v>8119</v>
      </c>
      <c r="B34458" s="15" t="s">
        <v>8119</v>
      </c>
      <c r="C34458" s="16" t="s">
        <v>8028</v>
      </c>
      <c r="D34458" s="16" t="s">
        <v>8029</v>
      </c>
      <c r="E34458" s="2">
        <v>2953525</v>
      </c>
      <c r="F34458" s="4" t="str">
        <f>IF(B34458=B34457,"",B34458)</f>
        <v>Bad Driburg</v>
      </c>
    </row>
    <row r="34459" spans="1:6" ht="15.75" customHeight="1">
      <c r="A34459" s="16" t="s">
        <v>8117</v>
      </c>
      <c r="B34459" s="15" t="s">
        <v>8118</v>
      </c>
      <c r="C34459" s="16" t="s">
        <v>8028</v>
      </c>
      <c r="D34459" s="16" t="s">
        <v>8065</v>
      </c>
      <c r="E34459" s="2">
        <v>2953522</v>
      </c>
      <c r="F34459" s="4" t="e">
        <f>IF(B34459=#REF!,"",B34459)</f>
        <v>#REF!</v>
      </c>
    </row>
    <row r="34460" spans="1:6" ht="15.75" customHeight="1">
      <c r="A34460" s="16" t="s">
        <v>8116</v>
      </c>
      <c r="B34460" s="15" t="s">
        <v>8116</v>
      </c>
      <c r="C34460" s="16" t="s">
        <v>8028</v>
      </c>
      <c r="D34460" s="16" t="s">
        <v>8029</v>
      </c>
      <c r="E34460" s="2">
        <v>2953545</v>
      </c>
      <c r="F34460" s="4" t="e">
        <f>IF(B34460=#REF!,"",B34460)</f>
        <v>#REF!</v>
      </c>
    </row>
    <row r="34461" spans="1:6" ht="15.75" customHeight="1">
      <c r="A34461" s="16" t="s">
        <v>8114</v>
      </c>
      <c r="B34461" s="15" t="s">
        <v>8115</v>
      </c>
      <c r="C34461" s="16" t="s">
        <v>8028</v>
      </c>
      <c r="D34461" s="16" t="s">
        <v>8034</v>
      </c>
      <c r="E34461" s="2">
        <v>2953552</v>
      </c>
      <c r="F34461" s="4" t="e">
        <f>IF(B34461=#REF!,"",B34461)</f>
        <v>#REF!</v>
      </c>
    </row>
    <row r="34462" spans="1:6" ht="15.75" customHeight="1">
      <c r="A34462" s="16" t="s">
        <v>8113</v>
      </c>
      <c r="B34462" s="15" t="s">
        <v>8113</v>
      </c>
      <c r="C34462" s="16" t="s">
        <v>8028</v>
      </c>
      <c r="D34462" s="16" t="s">
        <v>8050</v>
      </c>
      <c r="E34462" s="2">
        <v>2955421</v>
      </c>
      <c r="F34462" s="4" t="e">
        <f>IF(B34462=#REF!,"",B34462)</f>
        <v>#REF!</v>
      </c>
    </row>
    <row r="34463" spans="1:6" ht="15.75" customHeight="1">
      <c r="A34463" s="16" t="s">
        <v>8111</v>
      </c>
      <c r="B34463" s="15" t="s">
        <v>8112</v>
      </c>
      <c r="C34463" s="16" t="s">
        <v>8028</v>
      </c>
      <c r="D34463" s="16" t="s">
        <v>8044</v>
      </c>
      <c r="E34463" s="2">
        <v>2953558</v>
      </c>
      <c r="F34463" s="4" t="e">
        <f>IF(B34463=#REF!,"",B34463)</f>
        <v>#REF!</v>
      </c>
    </row>
    <row r="34464" spans="1:6" ht="15.75" customHeight="1">
      <c r="A34464" s="15" t="s">
        <v>20638</v>
      </c>
      <c r="B34464" s="15" t="s">
        <v>20638</v>
      </c>
      <c r="C34464" s="15" t="s">
        <v>20598</v>
      </c>
      <c r="D34464" s="15" t="s">
        <v>20608</v>
      </c>
      <c r="E34464" s="2">
        <v>1729524</v>
      </c>
      <c r="F34464" s="4" t="e">
        <f>IF(B34464=#REF!,"",B34464)</f>
        <v>#REF!</v>
      </c>
    </row>
    <row r="34465" spans="1:6" ht="15.75" customHeight="1">
      <c r="A34465" s="16" t="s">
        <v>20636</v>
      </c>
      <c r="B34465" s="15" t="s">
        <v>20637</v>
      </c>
      <c r="C34465" s="16" t="s">
        <v>20598</v>
      </c>
      <c r="D34465" s="16" t="s">
        <v>20627</v>
      </c>
      <c r="E34465" s="2">
        <v>1729564</v>
      </c>
      <c r="F34465" s="4" t="e">
        <f>IF(B34465=#REF!,"",B34465)</f>
        <v>#REF!</v>
      </c>
    </row>
    <row r="34466" spans="1:6" ht="15.75" customHeight="1">
      <c r="A34466" s="15" t="s">
        <v>14959</v>
      </c>
      <c r="B34466" s="15" t="s">
        <v>14959</v>
      </c>
      <c r="C34466" s="15" t="s">
        <v>14891</v>
      </c>
      <c r="D34466" s="15" t="s">
        <v>14896</v>
      </c>
      <c r="E34466" s="2">
        <v>3182599</v>
      </c>
      <c r="F34466" s="4" t="e">
        <f>IF(B34466=#REF!,"",B34466)</f>
        <v>#REF!</v>
      </c>
    </row>
    <row r="34467" spans="1:6" ht="15.75" customHeight="1">
      <c r="A34467" s="15" t="s">
        <v>8110</v>
      </c>
      <c r="B34467" s="15" t="s">
        <v>8110</v>
      </c>
      <c r="C34467" s="15" t="s">
        <v>8028</v>
      </c>
      <c r="D34467" s="15" t="s">
        <v>8031</v>
      </c>
      <c r="E34467" s="2">
        <v>2953568</v>
      </c>
      <c r="F34467" s="4" t="str">
        <f>IF(B34467=B34466,"",B34467)</f>
        <v>Backnang</v>
      </c>
    </row>
    <row r="34468" spans="1:6" ht="15.75" customHeight="1">
      <c r="A34468" s="16" t="str">
        <f ca="1">IFERROR(__xludf.DUMMYFUNCTION("GOOGLETRANSLATE(B39901,""en"",""pt"")"),"Bačka Topola")</f>
        <v>Bačka Topola</v>
      </c>
      <c r="B34468" s="20" t="s">
        <v>35426</v>
      </c>
      <c r="C34468" s="20" t="s">
        <v>23602</v>
      </c>
      <c r="D34468" s="20" t="s">
        <v>23610</v>
      </c>
      <c r="E34468" s="10">
        <v>3204672</v>
      </c>
      <c r="F34468" s="4" t="str">
        <f>IF(B34468=B34467,"",B34468)</f>
        <v>Bačka Topola</v>
      </c>
    </row>
    <row r="34469" spans="1:6" ht="15.75" customHeight="1">
      <c r="A34469" s="16" t="str">
        <f ca="1">IFERROR(__xludf.DUMMYFUNCTION("GOOGLETRANSLATE(B39902,""en"",""pt"")"),"Bačka Palanka")</f>
        <v>Bačka Palanka</v>
      </c>
      <c r="B34469" s="20" t="s">
        <v>35427</v>
      </c>
      <c r="C34469" s="20" t="s">
        <v>23602</v>
      </c>
      <c r="D34469" s="20" t="s">
        <v>23610</v>
      </c>
      <c r="E34469" s="10">
        <v>3204674</v>
      </c>
      <c r="F34469" s="4" t="e">
        <f>IF(B34469=#REF!,"",B34469)</f>
        <v>#REF!</v>
      </c>
    </row>
    <row r="34470" spans="1:6" ht="15.75" customHeight="1">
      <c r="A34470" s="16" t="s">
        <v>27934</v>
      </c>
      <c r="B34470" s="15" t="s">
        <v>27934</v>
      </c>
      <c r="C34470" s="16" t="s">
        <v>27788</v>
      </c>
      <c r="D34470" s="16" t="s">
        <v>27836</v>
      </c>
      <c r="E34470" s="2">
        <v>5178800</v>
      </c>
      <c r="F34470" s="4" t="e">
        <f>IF(B34470=#REF!,"",B34470)</f>
        <v>#REF!</v>
      </c>
    </row>
    <row r="34471" spans="1:6" ht="15.75" customHeight="1">
      <c r="A34471" s="16" t="s">
        <v>10530</v>
      </c>
      <c r="B34471" s="15" t="s">
        <v>10530</v>
      </c>
      <c r="C34471" s="16" t="s">
        <v>10178</v>
      </c>
      <c r="D34471" s="16" t="s">
        <v>10193</v>
      </c>
      <c r="E34471" s="2">
        <v>1278036</v>
      </c>
      <c r="F34471" s="4" t="str">
        <f>IF(B34471=B34470,"",B34471)</f>
        <v>Bachhraon</v>
      </c>
    </row>
    <row r="34472" spans="1:6" ht="15.75" customHeight="1">
      <c r="A34472" s="16" t="str">
        <f ca="1">IFERROR(__xludf.DUMMYFUNCTION("GOOGLETRANSLATE(B39840,""en"",""pt"")"),"Bacău")</f>
        <v>Bacău</v>
      </c>
      <c r="B34472" s="20" t="s">
        <v>35376</v>
      </c>
      <c r="C34472" s="20" t="s">
        <v>21824</v>
      </c>
      <c r="D34472" s="20" t="s">
        <v>35376</v>
      </c>
      <c r="E34472" s="10">
        <v>685948</v>
      </c>
      <c r="F34472" s="4" t="str">
        <f>IF(B34472=B34471,"",B34472)</f>
        <v>Bacău</v>
      </c>
    </row>
    <row r="34473" spans="1:6" ht="15.75" customHeight="1">
      <c r="A34473" s="15" t="s">
        <v>21836</v>
      </c>
      <c r="B34473" s="15" t="s">
        <v>21837</v>
      </c>
      <c r="C34473" s="15" t="s">
        <v>21824</v>
      </c>
      <c r="D34473" s="15" t="s">
        <v>21837</v>
      </c>
      <c r="E34473" s="2">
        <v>685948</v>
      </c>
      <c r="F34473" s="4" t="e">
        <f>IF(B34473=#REF!,"",B34473)</f>
        <v>#REF!</v>
      </c>
    </row>
    <row r="34474" spans="1:6" ht="15.75" customHeight="1">
      <c r="A34474" s="15" t="s">
        <v>2057</v>
      </c>
      <c r="B34474" s="15" t="s">
        <v>2057</v>
      </c>
      <c r="C34474" s="15" t="s">
        <v>1905</v>
      </c>
      <c r="D34474" s="15" t="s">
        <v>2024</v>
      </c>
      <c r="E34474" s="2">
        <v>3406910</v>
      </c>
      <c r="F34474" s="4" t="str">
        <f>IF(B34474=B34473,"",B34474)</f>
        <v>Bacabal</v>
      </c>
    </row>
    <row r="34475" spans="1:6" ht="15.75" customHeight="1">
      <c r="A34475" s="16" t="str">
        <f ca="1">IFERROR(__xludf.DUMMYFUNCTION("GOOGLETRANSLATE(B45787,""en"",""pt"")"),"Bắc ninh")</f>
        <v>Bắc ninh</v>
      </c>
      <c r="B34475" s="20" t="s">
        <v>36198</v>
      </c>
      <c r="C34475" s="20" t="s">
        <v>30784</v>
      </c>
      <c r="D34475" s="20" t="s">
        <v>36198</v>
      </c>
      <c r="E34475" s="10">
        <v>1591449</v>
      </c>
      <c r="F34475" s="4" t="str">
        <f>IF(B34475=B34474,"",B34475)</f>
        <v>Bắc Ninh</v>
      </c>
    </row>
    <row r="34476" spans="1:6" ht="15.75" customHeight="1">
      <c r="A34476" s="16" t="str">
        <f ca="1">IFERROR(__xludf.DUMMYFUNCTION("GOOGLETRANSLATE(B45790,""en"",""pt"")"),"Bắc kạn")</f>
        <v>Bắc kạn</v>
      </c>
      <c r="B34476" s="20" t="s">
        <v>36202</v>
      </c>
      <c r="C34476" s="20" t="s">
        <v>30784</v>
      </c>
      <c r="D34476" s="20" t="s">
        <v>36202</v>
      </c>
      <c r="E34476" s="10">
        <v>1591538</v>
      </c>
      <c r="F34476" s="4" t="str">
        <f>IF(B34476=B34475,"",B34476)</f>
        <v>Bắc Kạn</v>
      </c>
    </row>
    <row r="34477" spans="1:6" ht="15.75" customHeight="1">
      <c r="A34477" s="16" t="str">
        <f ca="1">IFERROR(__xludf.DUMMYFUNCTION("GOOGLETRANSLATE(B45789,""en"",""pt"")"),"Bắc Giang")</f>
        <v>Bắc Giang</v>
      </c>
      <c r="B34477" s="20" t="s">
        <v>36201</v>
      </c>
      <c r="C34477" s="20" t="s">
        <v>30784</v>
      </c>
      <c r="D34477" s="20" t="s">
        <v>36201</v>
      </c>
      <c r="E34477" s="10">
        <v>1591527</v>
      </c>
      <c r="F34477" s="4" t="e">
        <f>IF(B34477=#REF!,"",B34477)</f>
        <v>#REF!</v>
      </c>
    </row>
    <row r="34478" spans="1:6" ht="15.75" customHeight="1">
      <c r="A34478" s="16" t="s">
        <v>22177</v>
      </c>
      <c r="B34478" s="15" t="s">
        <v>22177</v>
      </c>
      <c r="C34478" s="16" t="s">
        <v>22070</v>
      </c>
      <c r="D34478" s="16" t="s">
        <v>22127</v>
      </c>
      <c r="E34478" s="2">
        <v>579870</v>
      </c>
      <c r="F34478" s="4" t="e">
        <f>IF(B34478=#REF!,"",B34478)</f>
        <v>#REF!</v>
      </c>
    </row>
    <row r="34479" spans="1:6" ht="15.75" customHeight="1">
      <c r="A34479" s="15" t="s">
        <v>4515</v>
      </c>
      <c r="B34479" s="15" t="s">
        <v>4515</v>
      </c>
      <c r="C34479" s="15" t="s">
        <v>4487</v>
      </c>
      <c r="D34479" s="15" t="s">
        <v>4516</v>
      </c>
      <c r="E34479" s="2">
        <v>1817858</v>
      </c>
      <c r="F34479" s="4" t="e">
        <f>IF(B34479=#REF!,"",B34479)</f>
        <v>#REF!</v>
      </c>
    </row>
    <row r="34480" spans="1:6" ht="15.75" customHeight="1">
      <c r="A34480" s="15" t="s">
        <v>1455</v>
      </c>
      <c r="B34480" s="15" t="s">
        <v>1455</v>
      </c>
      <c r="C34480" s="15" t="s">
        <v>1453</v>
      </c>
      <c r="D34480" s="15" t="s">
        <v>1454</v>
      </c>
      <c r="E34480" s="2">
        <v>630468</v>
      </c>
      <c r="F34480" s="4" t="str">
        <f>IF(B34480=B34479,"",B34480)</f>
        <v>Babruysk</v>
      </c>
    </row>
    <row r="34481" spans="1:6" ht="15.75" customHeight="1">
      <c r="A34481" s="16" t="str">
        <f ca="1">IFERROR(__xludf.DUMMYFUNCTION("GOOGLETRANSLATE(B34035,""en"",""pt"")"),"Babrāla")</f>
        <v>Babrāla</v>
      </c>
      <c r="B34481" s="20" t="s">
        <v>33998</v>
      </c>
      <c r="C34481" s="20" t="s">
        <v>10178</v>
      </c>
      <c r="D34481" s="20" t="s">
        <v>10193</v>
      </c>
      <c r="E34481" s="10">
        <v>1278052</v>
      </c>
      <c r="F34481" s="4" t="str">
        <f>IF(B34481=B34480,"",B34481)</f>
        <v>Babrāla</v>
      </c>
    </row>
    <row r="34482" spans="1:6" ht="15.75" customHeight="1">
      <c r="A34482" s="15" t="s">
        <v>10528</v>
      </c>
      <c r="B34482" s="15" t="s">
        <v>10529</v>
      </c>
      <c r="C34482" s="15" t="s">
        <v>10178</v>
      </c>
      <c r="D34482" s="15" t="s">
        <v>10193</v>
      </c>
      <c r="E34482" s="2">
        <v>1278052</v>
      </c>
      <c r="F34482" s="4" t="str">
        <f>IF(B34482=B34481,"",B34482)</f>
        <v>BabrÄla</v>
      </c>
    </row>
    <row r="34483" spans="1:6" ht="15.75" customHeight="1">
      <c r="A34483" s="16" t="str">
        <f ca="1">IFERROR(__xludf.DUMMYFUNCTION("GOOGLETRANSLATE(B34036,""en"",""pt"")"),"Bābra")</f>
        <v>Bābra</v>
      </c>
      <c r="B34483" s="20" t="s">
        <v>33999</v>
      </c>
      <c r="C34483" s="20" t="s">
        <v>10178</v>
      </c>
      <c r="D34483" s="20" t="s">
        <v>10209</v>
      </c>
      <c r="E34483" s="10">
        <v>1278054</v>
      </c>
      <c r="F34483" s="4" t="e">
        <f>IF(B34483=#REF!,"",B34483)</f>
        <v>#REF!</v>
      </c>
    </row>
    <row r="34484" spans="1:6" ht="15.75" customHeight="1">
      <c r="A34484" s="16" t="s">
        <v>239</v>
      </c>
      <c r="B34484" s="15" t="s">
        <v>240</v>
      </c>
      <c r="C34484" s="16" t="s">
        <v>153</v>
      </c>
      <c r="D34484" s="16" t="s">
        <v>183</v>
      </c>
      <c r="E34484" s="2">
        <v>6698360</v>
      </c>
      <c r="F34484" s="4" t="e">
        <f>IF(B34484=#REF!,"",B34484)</f>
        <v>#REF!</v>
      </c>
    </row>
    <row r="34485" spans="1:6" ht="15.75" customHeight="1">
      <c r="A34485" s="16" t="s">
        <v>20635</v>
      </c>
      <c r="B34485" s="15" t="s">
        <v>20635</v>
      </c>
      <c r="C34485" s="16" t="s">
        <v>20598</v>
      </c>
      <c r="D34485" s="16" t="s">
        <v>20599</v>
      </c>
      <c r="E34485" s="2">
        <v>1729734</v>
      </c>
      <c r="F34485" s="4" t="str">
        <f>IF(B34485=B34484,"",B34485)</f>
        <v>Babo-Pangulo</v>
      </c>
    </row>
    <row r="34486" spans="1:6" ht="15.75" customHeight="1">
      <c r="A34486" s="16" t="str">
        <f ca="1">IFERROR(__xludf.DUMMYFUNCTION("GOOGLETRANSLATE(B34487,""en"",""pt"")"),"Bābolsar")</f>
        <v>Bābolsar</v>
      </c>
      <c r="B34486" s="20" t="s">
        <v>34231</v>
      </c>
      <c r="C34486" s="20" t="s">
        <v>14240</v>
      </c>
      <c r="D34486" s="20" t="s">
        <v>34132</v>
      </c>
      <c r="E34486" s="10">
        <v>142358</v>
      </c>
      <c r="F34486" s="4" t="str">
        <f>IF(B34486=B34485,"",B34486)</f>
        <v>Bābolsar</v>
      </c>
    </row>
    <row r="34487" spans="1:6" ht="15.75" customHeight="1">
      <c r="A34487" s="16" t="str">
        <f ca="1">IFERROR(__xludf.DUMMYFUNCTION("GOOGLETRANSLATE(B34488,""en"",""pt"")"),"Bābol")</f>
        <v>Bābol</v>
      </c>
      <c r="B34487" s="20" t="s">
        <v>34232</v>
      </c>
      <c r="C34487" s="20" t="s">
        <v>14240</v>
      </c>
      <c r="D34487" s="20" t="s">
        <v>34132</v>
      </c>
      <c r="E34487" s="10">
        <v>142363</v>
      </c>
      <c r="F34487" s="4" t="str">
        <f>IF(B34487=B34486,"",B34487)</f>
        <v>Bābol</v>
      </c>
    </row>
    <row r="34488" spans="1:6" ht="15.75" customHeight="1">
      <c r="A34488" s="16" t="str">
        <f ca="1">IFERROR(__xludf.DUMMYFUNCTION("GOOGLETRANSLATE(B34037,""en"",""pt"")"),"Babīna")</f>
        <v>Babīna</v>
      </c>
      <c r="B34488" s="20" t="s">
        <v>34000</v>
      </c>
      <c r="C34488" s="20" t="s">
        <v>10178</v>
      </c>
      <c r="D34488" s="20" t="s">
        <v>10193</v>
      </c>
      <c r="E34488" s="10">
        <v>1278058</v>
      </c>
      <c r="F34488" s="4" t="e">
        <f>IF(B34488=#REF!,"",B34488)</f>
        <v>#REF!</v>
      </c>
    </row>
    <row r="34489" spans="1:6" ht="15.75" customHeight="1">
      <c r="A34489" s="15" t="s">
        <v>882</v>
      </c>
      <c r="B34489" s="15" t="s">
        <v>882</v>
      </c>
      <c r="C34489" s="15" t="s">
        <v>881</v>
      </c>
      <c r="D34489" s="15" t="s">
        <v>551</v>
      </c>
      <c r="E34489" s="2">
        <v>3577277</v>
      </c>
      <c r="F34489" s="4" t="e">
        <f>IF(B34489=#REF!,"",B34489)</f>
        <v>#REF!</v>
      </c>
    </row>
    <row r="34490" spans="1:6" ht="15.75" customHeight="1">
      <c r="A34490" s="15" t="s">
        <v>10527</v>
      </c>
      <c r="B34490" s="15" t="s">
        <v>10527</v>
      </c>
      <c r="C34490" s="15" t="s">
        <v>10178</v>
      </c>
      <c r="D34490" s="15" t="s">
        <v>10193</v>
      </c>
      <c r="E34490" s="2">
        <v>1278064</v>
      </c>
      <c r="F34490" s="4" t="e">
        <f>IF(B34490=#REF!,"",B34490)</f>
        <v>#REF!</v>
      </c>
    </row>
    <row r="34491" spans="1:6" ht="15.75" customHeight="1">
      <c r="A34491" s="16" t="s">
        <v>8109</v>
      </c>
      <c r="B34491" s="15" t="s">
        <v>8109</v>
      </c>
      <c r="C34491" s="16" t="s">
        <v>8028</v>
      </c>
      <c r="D34491" s="16" t="s">
        <v>8050</v>
      </c>
      <c r="E34491" s="2">
        <v>2953770</v>
      </c>
      <c r="F34491" s="4" t="e">
        <f>IF(B34491=#REF!,"",B34491)</f>
        <v>#REF!</v>
      </c>
    </row>
    <row r="34492" spans="1:6" ht="15.75" customHeight="1">
      <c r="A34492" s="15" t="s">
        <v>25561</v>
      </c>
      <c r="B34492" s="15" t="s">
        <v>25561</v>
      </c>
      <c r="C34492" s="15" t="s">
        <v>25560</v>
      </c>
      <c r="D34492" s="15" t="s">
        <v>25562</v>
      </c>
      <c r="E34492" s="2">
        <v>161312</v>
      </c>
      <c r="F34492" s="4" t="e">
        <f>IF(B34492=#REF!,"",B34492)</f>
        <v>#REF!</v>
      </c>
    </row>
    <row r="34493" spans="1:6" ht="15.75" customHeight="1">
      <c r="A34493" s="15" t="s">
        <v>13815</v>
      </c>
      <c r="B34493" s="15" t="s">
        <v>13815</v>
      </c>
      <c r="C34493" s="15" t="s">
        <v>13800</v>
      </c>
      <c r="D34493" s="15" t="s">
        <v>13816</v>
      </c>
      <c r="E34493" s="2">
        <v>1650888</v>
      </c>
      <c r="F34493" s="4" t="e">
        <f>IF(B34493=#REF!,"",B34493)</f>
        <v>#REF!</v>
      </c>
    </row>
    <row r="34494" spans="1:6" ht="15.75" customHeight="1">
      <c r="A34494" s="15" t="s">
        <v>19333</v>
      </c>
      <c r="B34494" s="15" t="s">
        <v>19333</v>
      </c>
      <c r="C34494" s="15" t="s">
        <v>19294</v>
      </c>
      <c r="D34494" s="15" t="s">
        <v>19259</v>
      </c>
      <c r="E34494" s="2">
        <v>2348507</v>
      </c>
      <c r="F34494" s="4" t="str">
        <f>IF(B34494=B34493,"",B34494)</f>
        <v>Babana</v>
      </c>
    </row>
    <row r="34495" spans="1:6" ht="15.75" customHeight="1">
      <c r="A34495" s="16" t="str">
        <f ca="1">IFERROR(__xludf.DUMMYFUNCTION("GOOGLETRANSLATE(B34039,""en"",""pt"")"),"Bābai")</f>
        <v>Bābai</v>
      </c>
      <c r="B34495" s="20" t="s">
        <v>34001</v>
      </c>
      <c r="C34495" s="20" t="s">
        <v>10178</v>
      </c>
      <c r="D34495" s="20" t="s">
        <v>10219</v>
      </c>
      <c r="E34495" s="10">
        <v>1278073</v>
      </c>
      <c r="F34495" s="4" t="e">
        <f>IF(B34495=#REF!,"",B34495)</f>
        <v>#REF!</v>
      </c>
    </row>
    <row r="34496" spans="1:6" ht="15.75" customHeight="1">
      <c r="A34496" s="16" t="s">
        <v>6405</v>
      </c>
      <c r="B34496" s="15" t="s">
        <v>6405</v>
      </c>
      <c r="C34496" s="16" t="s">
        <v>6398</v>
      </c>
      <c r="D34496" s="16" t="s">
        <v>4411</v>
      </c>
      <c r="E34496" s="2">
        <v>3660418</v>
      </c>
      <c r="F34496" s="4" t="e">
        <f>IF(B34496=#REF!,"",B34496)</f>
        <v>#REF!</v>
      </c>
    </row>
    <row r="34497" spans="1:6" ht="15.75" customHeight="1">
      <c r="A34497" s="15" t="s">
        <v>26363</v>
      </c>
      <c r="B34497" s="15" t="s">
        <v>26363</v>
      </c>
      <c r="C34497" s="15" t="s">
        <v>26201</v>
      </c>
      <c r="D34497" s="15" t="s">
        <v>26364</v>
      </c>
      <c r="E34497" s="2">
        <v>751371</v>
      </c>
      <c r="F34497" s="4" t="str">
        <f>IF(B34497=B34496,"",B34497)</f>
        <v>Babaeski</v>
      </c>
    </row>
    <row r="34498" spans="1:6" ht="15.75" customHeight="1">
      <c r="A34498" s="15" t="s">
        <v>10525</v>
      </c>
      <c r="B34498" s="15" t="s">
        <v>10526</v>
      </c>
      <c r="C34498" s="15" t="s">
        <v>10178</v>
      </c>
      <c r="D34498" s="15" t="s">
        <v>10193</v>
      </c>
      <c r="E34498" s="2">
        <v>1278058</v>
      </c>
      <c r="F34498" s="4" t="e">
        <f>IF(B34498=#REF!,"",B34498)</f>
        <v>#REF!</v>
      </c>
    </row>
    <row r="34499" spans="1:6" ht="15.75" customHeight="1">
      <c r="A34499" s="16" t="s">
        <v>238</v>
      </c>
      <c r="B34499" s="15" t="s">
        <v>238</v>
      </c>
      <c r="C34499" s="16" t="s">
        <v>153</v>
      </c>
      <c r="D34499" s="16" t="s">
        <v>207</v>
      </c>
      <c r="E34499" s="2">
        <v>2505854</v>
      </c>
      <c r="F34499" s="4" t="str">
        <f>IF(B34499=B34498,"",B34499)</f>
        <v>Bab Ezzouar</v>
      </c>
    </row>
    <row r="34500" spans="1:6" ht="15.75" customHeight="1">
      <c r="A34500" s="16" t="s">
        <v>26361</v>
      </c>
      <c r="B34500" s="15" t="s">
        <v>26362</v>
      </c>
      <c r="C34500" s="16" t="s">
        <v>26201</v>
      </c>
      <c r="D34500" s="16" t="s">
        <v>26211</v>
      </c>
      <c r="E34500" s="2">
        <v>751324</v>
      </c>
      <c r="F34500" s="4" t="str">
        <f>IF(B34500=B34499,"",B34500)</f>
        <v>BaÄŸcÄ±lar</v>
      </c>
    </row>
    <row r="34501" spans="1:6" ht="15.75" customHeight="1">
      <c r="A34501" s="16" t="s">
        <v>26359</v>
      </c>
      <c r="B34501" s="15" t="s">
        <v>26360</v>
      </c>
      <c r="C34501" s="16" t="s">
        <v>26201</v>
      </c>
      <c r="D34501" s="16" t="s">
        <v>26211</v>
      </c>
      <c r="E34501" s="2">
        <v>6947639</v>
      </c>
      <c r="F34501" s="4" t="e">
        <f>IF(B34501=#REF!,"",B34501)</f>
        <v>#REF!</v>
      </c>
    </row>
    <row r="34502" spans="1:6" ht="15.75" customHeight="1">
      <c r="A34502" s="15" t="s">
        <v>18889</v>
      </c>
      <c r="B34502" s="15" t="s">
        <v>18889</v>
      </c>
      <c r="C34502" s="15" t="s">
        <v>18862</v>
      </c>
      <c r="D34502" s="15" t="s">
        <v>18877</v>
      </c>
      <c r="E34502" s="2">
        <v>2759544</v>
      </c>
      <c r="F34502" s="4" t="e">
        <f>IF(B34502=#REF!,"",B34502)</f>
        <v>#REF!</v>
      </c>
    </row>
    <row r="34503" spans="1:6" ht="15.75" customHeight="1">
      <c r="A34503" s="16" t="s">
        <v>23802</v>
      </c>
      <c r="B34503" s="15" t="s">
        <v>23802</v>
      </c>
      <c r="C34503" s="16" t="s">
        <v>23800</v>
      </c>
      <c r="D34503" s="16" t="s">
        <v>23803</v>
      </c>
      <c r="E34503" s="2">
        <v>65170</v>
      </c>
      <c r="F34503" s="4" t="e">
        <f>IF(B34503=#REF!,"",B34503)</f>
        <v>#REF!</v>
      </c>
    </row>
    <row r="34504" spans="1:6" ht="15.75" customHeight="1">
      <c r="A34504" s="15" t="s">
        <v>25243</v>
      </c>
      <c r="B34504" s="15" t="s">
        <v>25243</v>
      </c>
      <c r="C34504" s="15" t="s">
        <v>25237</v>
      </c>
      <c r="D34504" s="15" t="s">
        <v>25244</v>
      </c>
      <c r="E34504" s="2">
        <v>2661653</v>
      </c>
      <c r="F34504" s="4" t="e">
        <f>IF(B34504=#REF!,"",B34504)</f>
        <v>#REF!</v>
      </c>
    </row>
    <row r="34505" spans="1:6" ht="15.75" customHeight="1">
      <c r="A34505" s="15" t="s">
        <v>20633</v>
      </c>
      <c r="B34505" s="15" t="s">
        <v>20633</v>
      </c>
      <c r="C34505" s="15" t="s">
        <v>20598</v>
      </c>
      <c r="D34505" s="15" t="s">
        <v>20634</v>
      </c>
      <c r="E34505" s="2">
        <v>1729814</v>
      </c>
      <c r="F34505" s="4" t="e">
        <f>IF(B34505=#REF!,"",B34505)</f>
        <v>#REF!</v>
      </c>
    </row>
    <row r="34506" spans="1:6" ht="15.75" customHeight="1">
      <c r="A34506" s="15" t="s">
        <v>17007</v>
      </c>
      <c r="B34506" s="15" t="s">
        <v>17007</v>
      </c>
      <c r="C34506" s="15" t="s">
        <v>17008</v>
      </c>
      <c r="D34506" s="15" t="s">
        <v>17009</v>
      </c>
      <c r="E34506" s="2">
        <v>277130</v>
      </c>
      <c r="F34506" s="4" t="str">
        <f>IF(B34506=B34505,"",B34506)</f>
        <v>Baalbek</v>
      </c>
    </row>
    <row r="34507" spans="1:6" ht="15.75" customHeight="1">
      <c r="A34507" s="16" t="s">
        <v>23615</v>
      </c>
      <c r="B34507" s="15" t="s">
        <v>23616</v>
      </c>
      <c r="C34507" s="16" t="s">
        <v>23602</v>
      </c>
      <c r="D34507" s="16" t="s">
        <v>23610</v>
      </c>
      <c r="E34507" s="2">
        <v>3204672</v>
      </c>
      <c r="F34507" s="4" t="str">
        <f>IF(B34507=B34506,"",B34507)</f>
        <v>BaÄka Topola</v>
      </c>
    </row>
    <row r="34508" spans="1:6" ht="15.75" customHeight="1">
      <c r="A34508" s="16" t="s">
        <v>23613</v>
      </c>
      <c r="B34508" s="15" t="s">
        <v>23614</v>
      </c>
      <c r="C34508" s="16" t="s">
        <v>23602</v>
      </c>
      <c r="D34508" s="16" t="s">
        <v>23610</v>
      </c>
      <c r="E34508" s="2">
        <v>3204674</v>
      </c>
      <c r="F34508" s="4" t="str">
        <f>IF(B34508=B34507,"",B34508)</f>
        <v>BaÄka Palanka</v>
      </c>
    </row>
    <row r="34509" spans="1:6" ht="15.75" customHeight="1">
      <c r="A34509" s="16" t="s">
        <v>20631</v>
      </c>
      <c r="B34509" s="15" t="s">
        <v>20632</v>
      </c>
      <c r="C34509" s="16" t="s">
        <v>20598</v>
      </c>
      <c r="D34509" s="16" t="s">
        <v>20606</v>
      </c>
      <c r="E34509" s="2">
        <v>1727400</v>
      </c>
      <c r="F34509" s="4" t="str">
        <f>IF(B34509=B34508,"",B34509)</f>
        <v>BaÃ±ga</v>
      </c>
    </row>
    <row r="34510" spans="1:6" ht="15.75" customHeight="1">
      <c r="A34510" s="16" t="s">
        <v>26357</v>
      </c>
      <c r="B34510" s="15" t="s">
        <v>26358</v>
      </c>
      <c r="C34510" s="16" t="s">
        <v>26201</v>
      </c>
      <c r="D34510" s="16" t="s">
        <v>26211</v>
      </c>
      <c r="E34510" s="2">
        <v>6947641</v>
      </c>
      <c r="F34510" s="4" t="str">
        <f>IF(B34510=B34509,"",B34510)</f>
        <v>BÃ¼yÃ¼kÃ§ekmece</v>
      </c>
    </row>
    <row r="34511" spans="1:6" ht="15.75" customHeight="1">
      <c r="A34511" s="15" t="s">
        <v>8107</v>
      </c>
      <c r="B34511" s="15" t="s">
        <v>8108</v>
      </c>
      <c r="C34511" s="15" t="s">
        <v>8028</v>
      </c>
      <c r="D34511" s="15" t="s">
        <v>8050</v>
      </c>
      <c r="E34511" s="2">
        <v>2940938</v>
      </c>
      <c r="F34511" s="4" t="str">
        <f>IF(B34511=B34510,"",B34511)</f>
        <v>BÃ¼rstadt</v>
      </c>
    </row>
    <row r="34512" spans="1:6" ht="15.75" customHeight="1">
      <c r="A34512" s="15" t="s">
        <v>8105</v>
      </c>
      <c r="B34512" s="15" t="s">
        <v>8106</v>
      </c>
      <c r="C34512" s="15" t="s">
        <v>8028</v>
      </c>
      <c r="D34512" s="15" t="s">
        <v>8029</v>
      </c>
      <c r="E34512" s="2">
        <v>2941570</v>
      </c>
      <c r="F34512" s="4" t="str">
        <f>IF(B34512=B34511,"",B34512)</f>
        <v>BÃ¼ren</v>
      </c>
    </row>
    <row r="34513" spans="1:6" ht="15.75" customHeight="1">
      <c r="A34513" s="15" t="s">
        <v>8103</v>
      </c>
      <c r="B34513" s="15" t="s">
        <v>8104</v>
      </c>
      <c r="C34513" s="15" t="s">
        <v>8028</v>
      </c>
      <c r="D34513" s="15" t="s">
        <v>8029</v>
      </c>
      <c r="E34513" s="2">
        <v>2941694</v>
      </c>
      <c r="F34513" s="4" t="str">
        <f>IF(B34513=B34512,"",B34513)</f>
        <v>BÃ¼nde</v>
      </c>
    </row>
    <row r="34514" spans="1:6" ht="15.75" customHeight="1">
      <c r="A34514" s="15" t="s">
        <v>8101</v>
      </c>
      <c r="B34514" s="15" t="s">
        <v>8102</v>
      </c>
      <c r="C34514" s="15" t="s">
        <v>8028</v>
      </c>
      <c r="D34514" s="15" t="s">
        <v>8031</v>
      </c>
      <c r="E34514" s="2">
        <v>2941976</v>
      </c>
      <c r="F34514" s="4" t="str">
        <f>IF(B34514=B34513,"",B34514)</f>
        <v>BÃ¼hl</v>
      </c>
    </row>
    <row r="34515" spans="1:6" ht="15.75" customHeight="1">
      <c r="A34515" s="15" t="s">
        <v>8099</v>
      </c>
      <c r="B34515" s="15" t="s">
        <v>8100</v>
      </c>
      <c r="C34515" s="15" t="s">
        <v>8028</v>
      </c>
      <c r="D34515" s="15" t="s">
        <v>8050</v>
      </c>
      <c r="E34515" s="2">
        <v>2942073</v>
      </c>
      <c r="F34515" s="4" t="str">
        <f>IF(B34515=B34514,"",B34515)</f>
        <v>BÃ¼dingen</v>
      </c>
    </row>
    <row r="34516" spans="1:6" ht="15.75" customHeight="1">
      <c r="A34516" s="16" t="s">
        <v>8097</v>
      </c>
      <c r="B34516" s="15" t="s">
        <v>8098</v>
      </c>
      <c r="C34516" s="16" t="s">
        <v>8028</v>
      </c>
      <c r="D34516" s="16" t="s">
        <v>8034</v>
      </c>
      <c r="E34516" s="2">
        <v>2942159</v>
      </c>
      <c r="F34516" s="4" t="str">
        <f>IF(B34516=B34515,"",B34516)</f>
        <v>BÃ¼ckeburg</v>
      </c>
    </row>
    <row r="34517" spans="1:6" ht="15.75" customHeight="1">
      <c r="A34517" s="15" t="s">
        <v>10523</v>
      </c>
      <c r="B34517" s="15" t="s">
        <v>10524</v>
      </c>
      <c r="C34517" s="15" t="s">
        <v>10178</v>
      </c>
      <c r="D34517" s="15" t="s">
        <v>10299</v>
      </c>
      <c r="E34517" s="2">
        <v>1276642</v>
      </c>
      <c r="F34517" s="4" t="str">
        <f>IF(B34517=B34516,"",B34517)</f>
        <v>BÄzpur</v>
      </c>
    </row>
    <row r="34518" spans="1:6" ht="15.75" customHeight="1">
      <c r="A34518" s="15" t="s">
        <v>24</v>
      </c>
      <c r="B34518" s="15" t="s">
        <v>25</v>
      </c>
      <c r="C34518" s="15" t="s">
        <v>8</v>
      </c>
      <c r="D34518" s="15" t="s">
        <v>26</v>
      </c>
      <c r="E34518" s="2">
        <v>1429434</v>
      </c>
      <c r="F34518" s="4" t="str">
        <f>IF(B34518=B34517,"",B34518)</f>
        <v>BÄzÄrak</v>
      </c>
    </row>
    <row r="34519" spans="1:6" ht="15.75" customHeight="1">
      <c r="A34519" s="16" t="s">
        <v>10521</v>
      </c>
      <c r="B34519" s="15" t="s">
        <v>10522</v>
      </c>
      <c r="C34519" s="16" t="s">
        <v>10178</v>
      </c>
      <c r="D34519" s="16" t="s">
        <v>10229</v>
      </c>
      <c r="E34519" s="2">
        <v>1276731</v>
      </c>
      <c r="F34519" s="4" t="str">
        <f>IF(B34519=B34518,"",B34519)</f>
        <v>BÄsudebpur</v>
      </c>
    </row>
    <row r="34520" spans="1:6" ht="15.75" customHeight="1">
      <c r="A34520" s="15" t="s">
        <v>10519</v>
      </c>
      <c r="B34520" s="15" t="s">
        <v>10520</v>
      </c>
      <c r="C34520" s="15" t="s">
        <v>10178</v>
      </c>
      <c r="D34520" s="15" t="s">
        <v>10219</v>
      </c>
      <c r="E34520" s="2">
        <v>1276752</v>
      </c>
      <c r="F34520" s="4" t="str">
        <f>IF(B34520=B34519,"",B34520)</f>
        <v>BÄsoda</v>
      </c>
    </row>
    <row r="34521" spans="1:6" ht="15.75" customHeight="1">
      <c r="A34521" s="15" t="s">
        <v>10517</v>
      </c>
      <c r="B34521" s="15" t="s">
        <v>10518</v>
      </c>
      <c r="C34521" s="15" t="s">
        <v>10178</v>
      </c>
      <c r="D34521" s="15" t="s">
        <v>10317</v>
      </c>
      <c r="E34521" s="2">
        <v>1276829</v>
      </c>
      <c r="F34521" s="4" t="str">
        <f>IF(B34521=B34520,"",B34521)</f>
        <v>BÄruni</v>
      </c>
    </row>
    <row r="34522" spans="1:6" ht="15.75" customHeight="1">
      <c r="A34522" s="15" t="s">
        <v>10515</v>
      </c>
      <c r="B34522" s="15" t="s">
        <v>10516</v>
      </c>
      <c r="C34522" s="15" t="s">
        <v>10178</v>
      </c>
      <c r="D34522" s="15" t="s">
        <v>10201</v>
      </c>
      <c r="E34522" s="2">
        <v>1276832</v>
      </c>
      <c r="F34522" s="4" t="str">
        <f>IF(B34522=B34521,"",B34522)</f>
        <v>BÄruipur</v>
      </c>
    </row>
    <row r="34523" spans="1:6" ht="15.75" customHeight="1">
      <c r="A34523" s="15" t="s">
        <v>10513</v>
      </c>
      <c r="B34523" s="15" t="s">
        <v>10514</v>
      </c>
      <c r="C34523" s="15" t="s">
        <v>10178</v>
      </c>
      <c r="D34523" s="15" t="s">
        <v>10214</v>
      </c>
      <c r="E34523" s="2">
        <v>1276856</v>
      </c>
      <c r="F34523" s="4" t="str">
        <f>IF(B34523=B34522,"",B34523)</f>
        <v>BÄrsi</v>
      </c>
    </row>
    <row r="34524" spans="1:6" ht="15.75" customHeight="1">
      <c r="A34524" s="15" t="s">
        <v>10511</v>
      </c>
      <c r="B34524" s="15" t="s">
        <v>10512</v>
      </c>
      <c r="C34524" s="15" t="s">
        <v>10178</v>
      </c>
      <c r="D34524" s="15" t="s">
        <v>10179</v>
      </c>
      <c r="E34524" s="2">
        <v>1276901</v>
      </c>
      <c r="F34524" s="4" t="str">
        <f>IF(B34524=B34523,"",B34524)</f>
        <v>BÄrmer</v>
      </c>
    </row>
    <row r="34525" spans="1:6" ht="15.75" customHeight="1">
      <c r="A34525" s="15" t="s">
        <v>10509</v>
      </c>
      <c r="B34525" s="15" t="s">
        <v>10510</v>
      </c>
      <c r="C34525" s="15" t="s">
        <v>10178</v>
      </c>
      <c r="D34525" s="15" t="s">
        <v>10179</v>
      </c>
      <c r="E34525" s="2">
        <v>1276948</v>
      </c>
      <c r="F34525" s="4" t="str">
        <f>IF(B34525=B34524,"",B34525)</f>
        <v>BÄri</v>
      </c>
    </row>
    <row r="34526" spans="1:6" ht="15.75" customHeight="1">
      <c r="A34526" s="15" t="s">
        <v>10507</v>
      </c>
      <c r="B34526" s="15" t="s">
        <v>10508</v>
      </c>
      <c r="C34526" s="15" t="s">
        <v>10178</v>
      </c>
      <c r="D34526" s="15" t="s">
        <v>10317</v>
      </c>
      <c r="E34526" s="2">
        <v>1276977</v>
      </c>
      <c r="F34526" s="4" t="str">
        <f>IF(B34526=B34525,"",B34526)</f>
        <v>BÄrh</v>
      </c>
    </row>
    <row r="34527" spans="1:6" ht="15.75" customHeight="1">
      <c r="A34527" s="15" t="s">
        <v>10505</v>
      </c>
      <c r="B34527" s="15" t="s">
        <v>10506</v>
      </c>
      <c r="C34527" s="15" t="s">
        <v>10178</v>
      </c>
      <c r="D34527" s="15" t="s">
        <v>10209</v>
      </c>
      <c r="E34527" s="2">
        <v>1277022</v>
      </c>
      <c r="F34527" s="4" t="str">
        <f>IF(B34527=B34526,"",B34527)</f>
        <v>BÄrdoli</v>
      </c>
    </row>
    <row r="34528" spans="1:6" ht="15.75" customHeight="1">
      <c r="A34528" s="16" t="s">
        <v>10503</v>
      </c>
      <c r="B34528" s="15" t="s">
        <v>10504</v>
      </c>
      <c r="C34528" s="16" t="s">
        <v>10178</v>
      </c>
      <c r="D34528" s="16" t="s">
        <v>10355</v>
      </c>
      <c r="E34528" s="2">
        <v>1277085</v>
      </c>
      <c r="F34528" s="4" t="str">
        <f>IF(B34528=B34527,"",B34528)</f>
        <v>BÄramÅ«la</v>
      </c>
    </row>
    <row r="34529" spans="1:6" ht="15.75" customHeight="1">
      <c r="A34529" s="15" t="s">
        <v>25022</v>
      </c>
      <c r="B34529" s="15" t="s">
        <v>25023</v>
      </c>
      <c r="C34529" s="15" t="s">
        <v>24987</v>
      </c>
      <c r="D34529" s="15" t="s">
        <v>25015</v>
      </c>
      <c r="E34529" s="2">
        <v>377724</v>
      </c>
      <c r="F34529" s="4" t="e">
        <f>IF(B34529=#REF!,"",B34529)</f>
        <v>#REF!</v>
      </c>
    </row>
    <row r="34530" spans="1:6" ht="15.75" customHeight="1">
      <c r="A34530" s="16" t="s">
        <v>10501</v>
      </c>
      <c r="B34530" s="15" t="s">
        <v>10502</v>
      </c>
      <c r="C34530" s="16" t="s">
        <v>10178</v>
      </c>
      <c r="D34530" s="16" t="s">
        <v>10201</v>
      </c>
      <c r="E34530" s="2">
        <v>1277065</v>
      </c>
      <c r="F34530" s="4" t="str">
        <f>IF(B34530=B34529,"",B34530)</f>
        <v>BÄrÄsat</v>
      </c>
    </row>
    <row r="34531" spans="1:6" ht="15.75" customHeight="1">
      <c r="A34531" s="15" t="s">
        <v>10499</v>
      </c>
      <c r="B34531" s="15" t="s">
        <v>10500</v>
      </c>
      <c r="C34531" s="15" t="s">
        <v>10178</v>
      </c>
      <c r="D34531" s="15" t="s">
        <v>10179</v>
      </c>
      <c r="E34531" s="2">
        <v>1277084</v>
      </c>
      <c r="F34531" s="4" t="str">
        <f>IF(B34531=B34530,"",B34531)</f>
        <v>BÄrÄn</v>
      </c>
    </row>
    <row r="34532" spans="1:6" ht="15.75" customHeight="1">
      <c r="A34532" s="16" t="s">
        <v>10497</v>
      </c>
      <c r="B34532" s="15" t="s">
        <v>10498</v>
      </c>
      <c r="C34532" s="16" t="s">
        <v>10178</v>
      </c>
      <c r="D34532" s="16" t="s">
        <v>10214</v>
      </c>
      <c r="E34532" s="2">
        <v>1277091</v>
      </c>
      <c r="F34532" s="4" t="str">
        <f>IF(B34532=B34531,"",B34532)</f>
        <v>BÄrÄmati</v>
      </c>
    </row>
    <row r="34533" spans="1:6" ht="15.75" customHeight="1">
      <c r="A34533" s="16" t="s">
        <v>10495</v>
      </c>
      <c r="B34533" s="15" t="s">
        <v>10496</v>
      </c>
      <c r="C34533" s="16" t="s">
        <v>10178</v>
      </c>
      <c r="D34533" s="16" t="s">
        <v>10201</v>
      </c>
      <c r="E34533" s="2">
        <v>1277100</v>
      </c>
      <c r="F34533" s="4" t="str">
        <f>IF(B34533=B34532,"",B34533)</f>
        <v>BÄrÄkpur</v>
      </c>
    </row>
    <row r="34534" spans="1:6" ht="15.75" customHeight="1">
      <c r="A34534" s="15" t="s">
        <v>10493</v>
      </c>
      <c r="B34534" s="15" t="s">
        <v>10494</v>
      </c>
      <c r="C34534" s="15" t="s">
        <v>10178</v>
      </c>
      <c r="D34534" s="15" t="s">
        <v>10190</v>
      </c>
      <c r="E34534" s="2">
        <v>1277183</v>
      </c>
      <c r="F34534" s="4" t="str">
        <f>IF(B34534=B34533,"",B34534)</f>
        <v>BÄpatla</v>
      </c>
    </row>
    <row r="34535" spans="1:6" ht="15.75" customHeight="1">
      <c r="A34535" s="15" t="s">
        <v>10491</v>
      </c>
      <c r="B34535" s="15" t="s">
        <v>10492</v>
      </c>
      <c r="C34535" s="15" t="s">
        <v>10178</v>
      </c>
      <c r="D34535" s="15" t="s">
        <v>10209</v>
      </c>
      <c r="E34535" s="2">
        <v>1277202</v>
      </c>
      <c r="F34535" s="4" t="str">
        <f>IF(B34535=B34534,"",B34535)</f>
        <v>BÄntva</v>
      </c>
    </row>
    <row r="34536" spans="1:6" ht="15.75" customHeight="1">
      <c r="A34536" s="16" t="s">
        <v>10489</v>
      </c>
      <c r="B34536" s="15" t="s">
        <v>10490</v>
      </c>
      <c r="C34536" s="16" t="s">
        <v>10178</v>
      </c>
      <c r="D34536" s="16" t="s">
        <v>10179</v>
      </c>
      <c r="E34536" s="2">
        <v>1277214</v>
      </c>
      <c r="F34536" s="4" t="str">
        <f>IF(B34536=B34535,"",B34536)</f>
        <v>BÄnswÄra</v>
      </c>
    </row>
    <row r="34537" spans="1:6" ht="15.75" customHeight="1">
      <c r="A34537" s="16" t="s">
        <v>10487</v>
      </c>
      <c r="B34537" s="15" t="s">
        <v>10488</v>
      </c>
      <c r="C34537" s="16" t="s">
        <v>10178</v>
      </c>
      <c r="D34537" s="16" t="s">
        <v>10187</v>
      </c>
      <c r="E34537" s="2">
        <v>1277216</v>
      </c>
      <c r="F34537" s="4" t="str">
        <f>IF(B34537=B34536,"",B34537)</f>
        <v>BÄnswÄda</v>
      </c>
    </row>
    <row r="34538" spans="1:6" ht="15.75" customHeight="1">
      <c r="A34538" s="15" t="s">
        <v>10485</v>
      </c>
      <c r="B34538" s="15" t="s">
        <v>10486</v>
      </c>
      <c r="C34538" s="15" t="s">
        <v>10178</v>
      </c>
      <c r="D34538" s="15" t="s">
        <v>10193</v>
      </c>
      <c r="E34538" s="2">
        <v>1277232</v>
      </c>
      <c r="F34538" s="4" t="str">
        <f>IF(B34538=B34537,"",B34538)</f>
        <v>BÄnsi</v>
      </c>
    </row>
    <row r="34539" spans="1:6" ht="15.75" customHeight="1">
      <c r="A34539" s="16" t="s">
        <v>10483</v>
      </c>
      <c r="B34539" s="15" t="s">
        <v>10484</v>
      </c>
      <c r="C34539" s="16" t="s">
        <v>10178</v>
      </c>
      <c r="D34539" s="16" t="s">
        <v>10193</v>
      </c>
      <c r="E34539" s="2">
        <v>1277238</v>
      </c>
      <c r="F34539" s="4" t="str">
        <f>IF(B34539=B34538,"",B34539)</f>
        <v>BÄnsdÄ«h</v>
      </c>
    </row>
    <row r="34540" spans="1:6" ht="15.75" customHeight="1">
      <c r="A34540" s="16" t="s">
        <v>10481</v>
      </c>
      <c r="B34540" s="15" t="s">
        <v>10482</v>
      </c>
      <c r="C34540" s="16" t="s">
        <v>10178</v>
      </c>
      <c r="D34540" s="16" t="s">
        <v>10201</v>
      </c>
      <c r="E34540" s="2">
        <v>1277240</v>
      </c>
      <c r="F34540" s="4" t="str">
        <f>IF(B34540=B34539,"",B34540)</f>
        <v>BÄnsbÄria</v>
      </c>
    </row>
    <row r="34541" spans="1:6" ht="15.75" customHeight="1">
      <c r="A34541" s="15" t="s">
        <v>10479</v>
      </c>
      <c r="B34541" s="15" t="s">
        <v>10480</v>
      </c>
      <c r="C34541" s="15" t="s">
        <v>10178</v>
      </c>
      <c r="D34541" s="15" t="s">
        <v>10201</v>
      </c>
      <c r="E34541" s="2">
        <v>1277264</v>
      </c>
      <c r="F34541" s="4" t="str">
        <f>IF(B34541=B34540,"",B34541)</f>
        <v>BÄnkura</v>
      </c>
    </row>
    <row r="34542" spans="1:6" ht="15.75" customHeight="1">
      <c r="A34542" s="15" t="s">
        <v>10477</v>
      </c>
      <c r="B34542" s="15" t="s">
        <v>10478</v>
      </c>
      <c r="C34542" s="15" t="s">
        <v>10178</v>
      </c>
      <c r="D34542" s="15" t="s">
        <v>10229</v>
      </c>
      <c r="E34542" s="2">
        <v>1277273</v>
      </c>
      <c r="F34542" s="4" t="str">
        <f>IF(B34542=B34541,"",B34542)</f>
        <v>BÄnki</v>
      </c>
    </row>
    <row r="34543" spans="1:6" ht="15.75" customHeight="1">
      <c r="A34543" s="15" t="s">
        <v>10475</v>
      </c>
      <c r="B34543" s="15" t="s">
        <v>10476</v>
      </c>
      <c r="C34543" s="15" t="s">
        <v>10178</v>
      </c>
      <c r="D34543" s="15" t="s">
        <v>10317</v>
      </c>
      <c r="E34543" s="2">
        <v>1277289</v>
      </c>
      <c r="F34543" s="4" t="str">
        <f>IF(B34543=B34542,"",B34543)</f>
        <v>BÄnka</v>
      </c>
    </row>
    <row r="34544" spans="1:6" ht="15.75" customHeight="1">
      <c r="A34544" s="15" t="s">
        <v>25432</v>
      </c>
      <c r="B34544" s="15" t="s">
        <v>25433</v>
      </c>
      <c r="C34544" s="15" t="s">
        <v>25366</v>
      </c>
      <c r="D34544" s="15" t="s">
        <v>25434</v>
      </c>
      <c r="E34544" s="2">
        <v>171830</v>
      </c>
      <c r="F34544" s="4" t="str">
        <f>IF(B34544=B34543,"",B34544)</f>
        <v>BÄniyÄs</v>
      </c>
    </row>
    <row r="34545" spans="1:6" ht="15.75" customHeight="1">
      <c r="A34545" s="16" t="s">
        <v>10473</v>
      </c>
      <c r="B34545" s="15" t="s">
        <v>10474</v>
      </c>
      <c r="C34545" s="16" t="s">
        <v>10178</v>
      </c>
      <c r="D34545" s="16" t="s">
        <v>10193</v>
      </c>
      <c r="E34545" s="2">
        <v>1277318</v>
      </c>
      <c r="F34545" s="4" t="str">
        <f>IF(B34545=B34544,"",B34545)</f>
        <v>BÄngarmau</v>
      </c>
    </row>
    <row r="34546" spans="1:6" ht="15.75" customHeight="1">
      <c r="A34546" s="15" t="s">
        <v>14312</v>
      </c>
      <c r="B34546" s="15" t="s">
        <v>14313</v>
      </c>
      <c r="C34546" s="15" t="s">
        <v>14240</v>
      </c>
      <c r="D34546" s="15" t="s">
        <v>14299</v>
      </c>
      <c r="E34546" s="2">
        <v>141584</v>
      </c>
      <c r="F34546" s="4" t="str">
        <f>IF(B34546=B34545,"",B34546)</f>
        <v>BÄneh</v>
      </c>
    </row>
    <row r="34547" spans="1:6" ht="15.75" customHeight="1">
      <c r="A34547" s="16" t="s">
        <v>1300</v>
      </c>
      <c r="B34547" s="15" t="s">
        <v>1301</v>
      </c>
      <c r="C34547" s="16" t="s">
        <v>1296</v>
      </c>
      <c r="D34547" s="16" t="s">
        <v>1302</v>
      </c>
      <c r="E34547" s="2">
        <v>1185270</v>
      </c>
      <c r="F34547" s="4" t="str">
        <f>IF(B34547=B34546,"",B34547)</f>
        <v>BÄndarban</v>
      </c>
    </row>
    <row r="34548" spans="1:6" ht="15.75" customHeight="1">
      <c r="A34548" s="16" t="s">
        <v>10471</v>
      </c>
      <c r="B34548" s="15" t="s">
        <v>10472</v>
      </c>
      <c r="C34548" s="16" t="s">
        <v>10178</v>
      </c>
      <c r="D34548" s="16" t="s">
        <v>10179</v>
      </c>
      <c r="E34548" s="2">
        <v>1277362</v>
      </c>
      <c r="F34548" s="4" t="str">
        <f>IF(B34548=B34547,"",B34548)</f>
        <v>BÄndÄ«kÅ«i</v>
      </c>
    </row>
    <row r="34549" spans="1:6" ht="15.75" customHeight="1">
      <c r="A34549" s="15" t="s">
        <v>10469</v>
      </c>
      <c r="B34549" s="15" t="s">
        <v>10470</v>
      </c>
      <c r="C34549" s="15" t="s">
        <v>10178</v>
      </c>
      <c r="D34549" s="15" t="s">
        <v>10193</v>
      </c>
      <c r="E34549" s="2">
        <v>1277397</v>
      </c>
      <c r="F34549" s="4" t="str">
        <f>IF(B34549=B34548,"",B34549)</f>
        <v>BÄnda</v>
      </c>
    </row>
    <row r="34550" spans="1:6" ht="15.75" customHeight="1">
      <c r="A34550" s="15" t="s">
        <v>10467</v>
      </c>
      <c r="B34550" s="15" t="s">
        <v>10468</v>
      </c>
      <c r="C34550" s="15" t="s">
        <v>10178</v>
      </c>
      <c r="D34550" s="15" t="s">
        <v>10229</v>
      </c>
      <c r="E34550" s="2">
        <v>1277426</v>
      </c>
      <c r="F34550" s="4" t="str">
        <f>IF(B34550=B34549,"",B34550)</f>
        <v>BÄnapur</v>
      </c>
    </row>
    <row r="34551" spans="1:6" ht="15.75" customHeight="1">
      <c r="A34551" s="15" t="s">
        <v>21</v>
      </c>
      <c r="B34551" s="15" t="s">
        <v>22</v>
      </c>
      <c r="C34551" s="15" t="s">
        <v>8</v>
      </c>
      <c r="D34551" s="15" t="s">
        <v>23</v>
      </c>
      <c r="E34551" s="2">
        <v>1147242</v>
      </c>
      <c r="F34551" s="4" t="str">
        <f>IF(B34551=B34550,"",B34551)</f>
        <v>BÄmyÄn</v>
      </c>
    </row>
    <row r="34552" spans="1:6" ht="15.75" customHeight="1">
      <c r="A34552" s="16" t="s">
        <v>10465</v>
      </c>
      <c r="B34552" s="15" t="s">
        <v>10466</v>
      </c>
      <c r="C34552" s="16" t="s">
        <v>10178</v>
      </c>
      <c r="D34552" s="16" t="s">
        <v>10219</v>
      </c>
      <c r="E34552" s="2">
        <v>1277442</v>
      </c>
      <c r="F34552" s="4" t="str">
        <f>IF(B34552=B34551,"",B34552)</f>
        <v>BÄmor KalÄn</v>
      </c>
    </row>
    <row r="34553" spans="1:6" ht="15.75" customHeight="1">
      <c r="A34553" s="16" t="s">
        <v>10463</v>
      </c>
      <c r="B34553" s="15" t="s">
        <v>10464</v>
      </c>
      <c r="C34553" s="16" t="s">
        <v>10178</v>
      </c>
      <c r="D34553" s="16" t="s">
        <v>10201</v>
      </c>
      <c r="E34553" s="2">
        <v>1277508</v>
      </c>
      <c r="F34553" s="4" t="str">
        <f>IF(B34553=B34552,"",B34553)</f>
        <v>BÄlurghÄt</v>
      </c>
    </row>
    <row r="34554" spans="1:6" ht="15.75" customHeight="1">
      <c r="A34554" s="16" t="s">
        <v>10461</v>
      </c>
      <c r="B34554" s="15" t="s">
        <v>10462</v>
      </c>
      <c r="C34554" s="16" t="s">
        <v>10178</v>
      </c>
      <c r="D34554" s="16" t="s">
        <v>10229</v>
      </c>
      <c r="E34554" s="2">
        <v>1277514</v>
      </c>
      <c r="F34554" s="4" t="str">
        <f>IF(B34554=B34553,"",B34554)</f>
        <v>BÄlugaon</v>
      </c>
    </row>
    <row r="34555" spans="1:6" ht="15.75" customHeight="1">
      <c r="A34555" s="15" t="s">
        <v>10459</v>
      </c>
      <c r="B34555" s="15" t="s">
        <v>10460</v>
      </c>
      <c r="C34555" s="15" t="s">
        <v>10178</v>
      </c>
      <c r="D34555" s="15" t="s">
        <v>10179</v>
      </c>
      <c r="E34555" s="2">
        <v>1277527</v>
      </c>
      <c r="F34555" s="4" t="e">
        <f>IF(B34555=#REF!,"",B34555)</f>
        <v>#REF!</v>
      </c>
    </row>
    <row r="34556" spans="1:6" ht="15.75" customHeight="1">
      <c r="A34556" s="15" t="s">
        <v>10457</v>
      </c>
      <c r="B34556" s="15" t="s">
        <v>10458</v>
      </c>
      <c r="C34556" s="15" t="s">
        <v>10178</v>
      </c>
      <c r="D34556" s="15" t="s">
        <v>10201</v>
      </c>
      <c r="E34556" s="2">
        <v>1277539</v>
      </c>
      <c r="F34556" s="4" t="str">
        <f>IF(B34556=B34555,"",B34556)</f>
        <v>BÄli</v>
      </c>
    </row>
    <row r="34557" spans="1:6" ht="15.75" customHeight="1">
      <c r="A34557" s="15" t="s">
        <v>10455</v>
      </c>
      <c r="B34557" s="15" t="s">
        <v>10456</v>
      </c>
      <c r="C34557" s="15" t="s">
        <v>10178</v>
      </c>
      <c r="D34557" s="15" t="s">
        <v>10214</v>
      </c>
      <c r="E34557" s="2">
        <v>1277636</v>
      </c>
      <c r="F34557" s="4" t="str">
        <f>IF(B34557=B34556,"",B34557)</f>
        <v>BÄlÄpur</v>
      </c>
    </row>
    <row r="34558" spans="1:6" ht="15.75" customHeight="1">
      <c r="A34558" s="16" t="s">
        <v>10453</v>
      </c>
      <c r="B34558" s="15" t="s">
        <v>10454</v>
      </c>
      <c r="C34558" s="16" t="s">
        <v>10178</v>
      </c>
      <c r="D34558" s="16" t="s">
        <v>10219</v>
      </c>
      <c r="E34558" s="2">
        <v>1277661</v>
      </c>
      <c r="F34558" s="4" t="str">
        <f>IF(B34558=B34557,"",B34558)</f>
        <v>BÄlÄghÄt</v>
      </c>
    </row>
    <row r="34559" spans="1:6" ht="15.75" customHeight="1">
      <c r="A34559" s="15" t="s">
        <v>10451</v>
      </c>
      <c r="B34559" s="15" t="s">
        <v>10452</v>
      </c>
      <c r="C34559" s="15" t="s">
        <v>10178</v>
      </c>
      <c r="D34559" s="15" t="s">
        <v>10184</v>
      </c>
      <c r="E34559" s="2">
        <v>1277666</v>
      </c>
      <c r="F34559" s="4" t="str">
        <f>IF(B34559=B34558,"",B34559)</f>
        <v>BÄlÄchor</v>
      </c>
    </row>
    <row r="34560" spans="1:6" ht="15.75" customHeight="1">
      <c r="A34560" s="15" t="s">
        <v>1298</v>
      </c>
      <c r="B34560" s="15" t="s">
        <v>1299</v>
      </c>
      <c r="C34560" s="15" t="s">
        <v>1296</v>
      </c>
      <c r="D34560" s="15" t="s">
        <v>1297</v>
      </c>
      <c r="E34560" s="2">
        <v>1185276</v>
      </c>
      <c r="F34560" s="4" t="str">
        <f>IF(B34560=B34559,"",B34560)</f>
        <v>BÄjitpur</v>
      </c>
    </row>
    <row r="34561" spans="1:6" ht="15.75" customHeight="1">
      <c r="A34561" s="15" t="s">
        <v>31008</v>
      </c>
      <c r="B34561" s="15" t="s">
        <v>31009</v>
      </c>
      <c r="C34561" s="15" t="s">
        <v>30993</v>
      </c>
      <c r="D34561" s="15" t="s">
        <v>31002</v>
      </c>
      <c r="E34561" s="2">
        <v>77408</v>
      </c>
      <c r="F34561" s="4" t="str">
        <f>IF(B34561=B34560,"",B34561)</f>
        <v>BÄjil</v>
      </c>
    </row>
    <row r="34562" spans="1:6" ht="15.75" customHeight="1">
      <c r="A34562" s="15" t="s">
        <v>10449</v>
      </c>
      <c r="B34562" s="15" t="s">
        <v>10450</v>
      </c>
      <c r="C34562" s="15" t="s">
        <v>10178</v>
      </c>
      <c r="D34562" s="15" t="s">
        <v>10193</v>
      </c>
      <c r="E34562" s="2">
        <v>1277841</v>
      </c>
      <c r="F34562" s="4" t="str">
        <f>IF(B34562=B34561,"",B34562)</f>
        <v>BÄh</v>
      </c>
    </row>
    <row r="34563" spans="1:6" ht="15.75" customHeight="1">
      <c r="A34563" s="15" t="s">
        <v>18801</v>
      </c>
      <c r="B34563" s="15" t="s">
        <v>18802</v>
      </c>
      <c r="C34563" s="15" t="s">
        <v>18800</v>
      </c>
      <c r="D34563" s="15" t="s">
        <v>18803</v>
      </c>
      <c r="E34563" s="2">
        <v>1283711</v>
      </c>
      <c r="F34563" s="4" t="str">
        <f>IF(B34563=B34562,"",B34563)</f>
        <v>BÄglung</v>
      </c>
    </row>
    <row r="34564" spans="1:6" ht="15.75" customHeight="1">
      <c r="A34564" s="15" t="s">
        <v>10447</v>
      </c>
      <c r="B34564" s="15" t="s">
        <v>10448</v>
      </c>
      <c r="C34564" s="15" t="s">
        <v>10178</v>
      </c>
      <c r="D34564" s="15" t="s">
        <v>10193</v>
      </c>
      <c r="E34564" s="2">
        <v>1277882</v>
      </c>
      <c r="F34564" s="4" t="str">
        <f>IF(B34564=B34563,"",B34564)</f>
        <v>BÄghpat</v>
      </c>
    </row>
    <row r="34565" spans="1:6" ht="15.75" customHeight="1">
      <c r="A34565" s="16" t="s">
        <v>10445</v>
      </c>
      <c r="B34565" s="15" t="s">
        <v>10446</v>
      </c>
      <c r="C34565" s="16" t="s">
        <v>10178</v>
      </c>
      <c r="D34565" s="16" t="s">
        <v>10201</v>
      </c>
      <c r="E34565" s="2">
        <v>1277897</v>
      </c>
      <c r="F34565" s="4" t="str">
        <f>IF(B34565=B34564,"",B34565)</f>
        <v>BÄghdogra</v>
      </c>
    </row>
    <row r="34566" spans="1:6" ht="15.75" customHeight="1">
      <c r="A34566" s="16" t="s">
        <v>10443</v>
      </c>
      <c r="B34566" s="15" t="s">
        <v>10444</v>
      </c>
      <c r="C34566" s="16" t="s">
        <v>10178</v>
      </c>
      <c r="D34566" s="16" t="s">
        <v>10184</v>
      </c>
      <c r="E34566" s="2">
        <v>1277902</v>
      </c>
      <c r="F34566" s="4" t="str">
        <f>IF(B34566=B34565,"",B34566)</f>
        <v>BÄgha PurÄna</v>
      </c>
    </row>
    <row r="34567" spans="1:6" ht="15.75" customHeight="1">
      <c r="A34567" s="15" t="s">
        <v>10441</v>
      </c>
      <c r="B34567" s="15" t="s">
        <v>10442</v>
      </c>
      <c r="C34567" s="15" t="s">
        <v>10178</v>
      </c>
      <c r="D34567" s="15" t="s">
        <v>10252</v>
      </c>
      <c r="E34567" s="2">
        <v>1277909</v>
      </c>
      <c r="F34567" s="4" t="str">
        <f>IF(B34567=B34566,"",B34567)</f>
        <v>BÄgepalli</v>
      </c>
    </row>
    <row r="34568" spans="1:6" ht="15.75" customHeight="1">
      <c r="A34568" s="15" t="s">
        <v>14310</v>
      </c>
      <c r="B34568" s="15" t="s">
        <v>14311</v>
      </c>
      <c r="C34568" s="15" t="s">
        <v>14240</v>
      </c>
      <c r="D34568" s="15" t="s">
        <v>14291</v>
      </c>
      <c r="E34568" s="2">
        <v>142255</v>
      </c>
      <c r="F34568" s="4" t="str">
        <f>IF(B34568=B34567,"",B34568)</f>
        <v>BÄfq</v>
      </c>
    </row>
    <row r="34569" spans="1:6" ht="15.75" customHeight="1">
      <c r="A34569" s="15" t="s">
        <v>10439</v>
      </c>
      <c r="B34569" s="15" t="s">
        <v>10440</v>
      </c>
      <c r="C34569" s="15" t="s">
        <v>10178</v>
      </c>
      <c r="D34569" s="15" t="s">
        <v>10252</v>
      </c>
      <c r="E34569" s="2">
        <v>1278017</v>
      </c>
      <c r="F34569" s="4" t="str">
        <f>IF(B34569=B34568,"",B34569)</f>
        <v>BÄdÄmi</v>
      </c>
    </row>
    <row r="34570" spans="1:6" ht="15.75" customHeight="1">
      <c r="A34570" s="15" t="s">
        <v>10437</v>
      </c>
      <c r="B34570" s="15" t="s">
        <v>10438</v>
      </c>
      <c r="C34570" s="15" t="s">
        <v>10178</v>
      </c>
      <c r="D34570" s="15" t="s">
        <v>10209</v>
      </c>
      <c r="E34570" s="2">
        <v>1278054</v>
      </c>
      <c r="F34570" s="4" t="str">
        <f>IF(B34570=B34569,"",B34570)</f>
        <v>BÄbra</v>
      </c>
    </row>
    <row r="34571" spans="1:6" ht="15.75" customHeight="1">
      <c r="A34571" s="15" t="s">
        <v>14308</v>
      </c>
      <c r="B34571" s="15" t="s">
        <v>14309</v>
      </c>
      <c r="C34571" s="15" t="s">
        <v>14240</v>
      </c>
      <c r="D34571" s="15" t="s">
        <v>14253</v>
      </c>
      <c r="E34571" s="2">
        <v>142358</v>
      </c>
      <c r="F34571" s="4" t="str">
        <f>IF(B34571=B34570,"",B34571)</f>
        <v>BÄbolsar</v>
      </c>
    </row>
    <row r="34572" spans="1:6" ht="15.75" customHeight="1">
      <c r="A34572" s="15" t="s">
        <v>14306</v>
      </c>
      <c r="B34572" s="15" t="s">
        <v>14307</v>
      </c>
      <c r="C34572" s="15" t="s">
        <v>14240</v>
      </c>
      <c r="D34572" s="15" t="s">
        <v>14253</v>
      </c>
      <c r="E34572" s="2">
        <v>142363</v>
      </c>
      <c r="F34572" s="4" t="str">
        <f>IF(B34572=B34571,"",B34572)</f>
        <v>BÄbol</v>
      </c>
    </row>
    <row r="34573" spans="1:6" ht="15.75" customHeight="1">
      <c r="A34573" s="15" t="s">
        <v>10435</v>
      </c>
      <c r="B34573" s="15" t="s">
        <v>10436</v>
      </c>
      <c r="C34573" s="15" t="s">
        <v>10178</v>
      </c>
      <c r="D34573" s="15" t="s">
        <v>10219</v>
      </c>
      <c r="E34573" s="2">
        <v>1278073</v>
      </c>
      <c r="F34573" s="4" t="str">
        <f>IF(B34573=B34572,"",B34573)</f>
        <v>BÄbai</v>
      </c>
    </row>
    <row r="34574" spans="1:6" ht="15.75" customHeight="1">
      <c r="A34574" s="15" t="s">
        <v>8095</v>
      </c>
      <c r="B34574" s="15" t="s">
        <v>8096</v>
      </c>
      <c r="C34574" s="15" t="s">
        <v>8028</v>
      </c>
      <c r="D34574" s="15" t="s">
        <v>8029</v>
      </c>
      <c r="E34574" s="2">
        <v>2946478</v>
      </c>
      <c r="F34574" s="4" t="str">
        <f>IF(B34574=B34573,"",B34574)</f>
        <v>BÃ¶nen</v>
      </c>
    </row>
    <row r="34575" spans="1:6" ht="15.75" customHeight="1">
      <c r="A34575" s="16" t="s">
        <v>8093</v>
      </c>
      <c r="B34575" s="15" t="s">
        <v>8094</v>
      </c>
      <c r="C34575" s="16" t="s">
        <v>8028</v>
      </c>
      <c r="D34575" s="16" t="s">
        <v>8031</v>
      </c>
      <c r="E34575" s="2">
        <v>2947444</v>
      </c>
      <c r="F34575" s="4" t="str">
        <f>IF(B34575=B34574,"",B34575)</f>
        <v>BÃ¶blingen</v>
      </c>
    </row>
    <row r="34576" spans="1:6" ht="15.75" customHeight="1">
      <c r="A34576" s="15" t="s">
        <v>7143</v>
      </c>
      <c r="B34576" s="15" t="s">
        <v>7144</v>
      </c>
      <c r="C34576" s="15" t="s">
        <v>7052</v>
      </c>
      <c r="D34576" s="15" t="s">
        <v>7082</v>
      </c>
      <c r="E34576" s="2">
        <v>3032833</v>
      </c>
      <c r="F34576" s="4" t="str">
        <f>IF(B34576=B34575,"",B34576)</f>
        <v>BÃ©ziers</v>
      </c>
    </row>
    <row r="34577" spans="1:6" ht="15.75" customHeight="1">
      <c r="A34577" s="16" t="s">
        <v>7141</v>
      </c>
      <c r="B34577" s="15" t="s">
        <v>7142</v>
      </c>
      <c r="C34577" s="16" t="s">
        <v>7052</v>
      </c>
      <c r="D34577" s="16" t="s">
        <v>7078</v>
      </c>
      <c r="E34577" s="2">
        <v>3033002</v>
      </c>
      <c r="F34577" s="4" t="str">
        <f>IF(B34577=B34576,"",B34577)</f>
        <v>BÃ©thune</v>
      </c>
    </row>
    <row r="34578" spans="1:6" ht="15.75" customHeight="1">
      <c r="A34578" s="16" t="s">
        <v>24308</v>
      </c>
      <c r="B34578" s="15" t="s">
        <v>24309</v>
      </c>
      <c r="C34578" s="16" t="s">
        <v>24200</v>
      </c>
      <c r="D34578" s="16" t="s">
        <v>21053</v>
      </c>
      <c r="E34578" s="2">
        <v>2520968</v>
      </c>
      <c r="F34578" s="4" t="str">
        <f>IF(B34578=B34577,"",B34578)</f>
        <v>BÃ©tera</v>
      </c>
    </row>
    <row r="34579" spans="1:6" ht="15.75" customHeight="1">
      <c r="A34579" s="16" t="s">
        <v>15608</v>
      </c>
      <c r="B34579" s="15" t="s">
        <v>15609</v>
      </c>
      <c r="C34579" s="16" t="s">
        <v>15586</v>
      </c>
      <c r="D34579" s="16" t="s">
        <v>15610</v>
      </c>
      <c r="E34579" s="2">
        <v>2291779</v>
      </c>
      <c r="F34579" s="4" t="str">
        <f>IF(B34579=B34578,"",B34579)</f>
        <v>BÃ©oumi</v>
      </c>
    </row>
    <row r="34580" spans="1:6" ht="15.75" customHeight="1">
      <c r="A34580" s="16" t="s">
        <v>3887</v>
      </c>
      <c r="B34580" s="15" t="s">
        <v>3888</v>
      </c>
      <c r="C34580" s="16" t="s">
        <v>3884</v>
      </c>
      <c r="D34580" s="16" t="s">
        <v>3889</v>
      </c>
      <c r="E34580" s="2">
        <v>2234536</v>
      </c>
      <c r="F34580" s="4" t="str">
        <f>IF(B34580=B34579,"",B34580)</f>
        <v>BÃ©labo</v>
      </c>
    </row>
    <row r="34581" spans="1:6" ht="15.75" customHeight="1">
      <c r="A34581" s="16" t="s">
        <v>9967</v>
      </c>
      <c r="B34581" s="15" t="s">
        <v>9968</v>
      </c>
      <c r="C34581" s="16" t="s">
        <v>9955</v>
      </c>
      <c r="D34581" s="16" t="s">
        <v>9966</v>
      </c>
      <c r="E34581" s="2">
        <v>722437</v>
      </c>
      <c r="F34581" s="4" t="str">
        <f>IF(B34581=B34580,"",B34581)</f>
        <v>BÃ©kÃ©scsaba</v>
      </c>
    </row>
    <row r="34582" spans="1:6" ht="15.75" customHeight="1">
      <c r="A34582" s="16" t="s">
        <v>9964</v>
      </c>
      <c r="B34582" s="15" t="s">
        <v>9965</v>
      </c>
      <c r="C34582" s="16" t="s">
        <v>9955</v>
      </c>
      <c r="D34582" s="16" t="s">
        <v>9966</v>
      </c>
      <c r="E34582" s="2">
        <v>722439</v>
      </c>
      <c r="F34582" s="4" t="str">
        <f>IF(B34582=B34581,"",B34582)</f>
        <v>BÃ©kÃ©s</v>
      </c>
    </row>
    <row r="34583" spans="1:6" ht="15.75" customHeight="1">
      <c r="A34583" s="15" t="s">
        <v>24306</v>
      </c>
      <c r="B34583" s="15" t="s">
        <v>24307</v>
      </c>
      <c r="C34583" s="15" t="s">
        <v>24200</v>
      </c>
      <c r="D34583" s="15" t="s">
        <v>24210</v>
      </c>
      <c r="E34583" s="2">
        <v>3128382</v>
      </c>
      <c r="F34583" s="4" t="str">
        <f>IF(B34583=B34582,"",B34583)</f>
        <v>BÃ©jar</v>
      </c>
    </row>
    <row r="34584" spans="1:6" ht="15.75" customHeight="1">
      <c r="A34584" s="15" t="s">
        <v>26099</v>
      </c>
      <c r="B34584" s="15" t="s">
        <v>26100</v>
      </c>
      <c r="C34584" s="15" t="s">
        <v>26090</v>
      </c>
      <c r="D34584" s="15" t="s">
        <v>26101</v>
      </c>
      <c r="E34584" s="2">
        <v>2472774</v>
      </c>
      <c r="F34584" s="4" t="str">
        <f>IF(B34584=B34583,"",B34584)</f>
        <v>BÃ©ja</v>
      </c>
    </row>
    <row r="34585" spans="1:6" ht="15.75" customHeight="1">
      <c r="A34585" s="16" t="s">
        <v>236</v>
      </c>
      <c r="B34585" s="15" t="s">
        <v>237</v>
      </c>
      <c r="C34585" s="16" t="s">
        <v>153</v>
      </c>
      <c r="D34585" s="16" t="s">
        <v>237</v>
      </c>
      <c r="E34585" s="2">
        <v>2505530</v>
      </c>
      <c r="F34585" s="4" t="str">
        <f>IF(B34585=B34584,"",B34585)</f>
        <v>BÃ©char</v>
      </c>
    </row>
    <row r="34586" spans="1:6" ht="15.75" customHeight="1">
      <c r="A34586" s="16" t="s">
        <v>30791</v>
      </c>
      <c r="B34586" s="15" t="s">
        <v>30792</v>
      </c>
      <c r="C34586" s="16" t="s">
        <v>30784</v>
      </c>
      <c r="D34586" s="16" t="s">
        <v>30793</v>
      </c>
      <c r="E34586" s="2">
        <v>1587919</v>
      </c>
      <c r="F34586" s="4" t="str">
        <f>IF(B34586=B34585,"",B34586)</f>
        <v>Bá»‰m SÆ¡n</v>
      </c>
    </row>
    <row r="34587" spans="1:6" ht="15.75" customHeight="1">
      <c r="A34587" s="15" t="s">
        <v>6608</v>
      </c>
      <c r="B34587" s="15" t="s">
        <v>6609</v>
      </c>
      <c r="C34587" s="15" t="s">
        <v>6495</v>
      </c>
      <c r="D34587" s="15" t="s">
        <v>6551</v>
      </c>
      <c r="E34587" s="2">
        <v>358600</v>
      </c>
      <c r="F34587" s="4" t="str">
        <f>IF(B34587=B34586,"",B34587)</f>
        <v>BÅ«sh</v>
      </c>
    </row>
    <row r="34588" spans="1:6" ht="15.75" customHeight="1">
      <c r="A34588" s="16" t="s">
        <v>10433</v>
      </c>
      <c r="B34588" s="15" t="s">
        <v>10434</v>
      </c>
      <c r="C34588" s="16" t="s">
        <v>10178</v>
      </c>
      <c r="D34588" s="16" t="s">
        <v>10193</v>
      </c>
      <c r="E34588" s="2">
        <v>1275481</v>
      </c>
      <c r="F34588" s="4" t="str">
        <f>IF(B34588=B34587,"",B34588)</f>
        <v>BÄ«salpur</v>
      </c>
    </row>
    <row r="34589" spans="1:6" ht="15.75" customHeight="1">
      <c r="A34589" s="15" t="s">
        <v>10431</v>
      </c>
      <c r="B34589" s="15" t="s">
        <v>10432</v>
      </c>
      <c r="C34589" s="15" t="s">
        <v>10178</v>
      </c>
      <c r="D34589" s="15" t="s">
        <v>10317</v>
      </c>
      <c r="E34589" s="2">
        <v>1275499</v>
      </c>
      <c r="F34589" s="4" t="str">
        <f>IF(B34589=B34588,"",B34589)</f>
        <v>BÄ«rpur</v>
      </c>
    </row>
    <row r="34590" spans="1:6" ht="15.75" customHeight="1">
      <c r="A34590" s="16" t="s">
        <v>14303</v>
      </c>
      <c r="B34590" s="15" t="s">
        <v>14304</v>
      </c>
      <c r="C34590" s="16" t="s">
        <v>14240</v>
      </c>
      <c r="D34590" s="16" t="s">
        <v>14305</v>
      </c>
      <c r="E34590" s="2">
        <v>140463</v>
      </c>
      <c r="F34590" s="4" t="str">
        <f>IF(B34590=B34589,"",B34590)</f>
        <v>BÄ«rjand</v>
      </c>
    </row>
    <row r="34591" spans="1:6" ht="15.75" customHeight="1">
      <c r="A34591" s="15" t="s">
        <v>18798</v>
      </c>
      <c r="B34591" s="15" t="s">
        <v>18799</v>
      </c>
      <c r="C34591" s="15" t="s">
        <v>18800</v>
      </c>
      <c r="D34591" s="15" t="s">
        <v>17414</v>
      </c>
      <c r="E34591" s="2">
        <v>1283581</v>
      </c>
      <c r="F34591" s="4" t="str">
        <f>IF(B34591=B34590,"",B34591)</f>
        <v>BÄ«rganj</v>
      </c>
    </row>
    <row r="34592" spans="1:6" ht="15.75" customHeight="1">
      <c r="A34592" s="16" t="s">
        <v>19819</v>
      </c>
      <c r="B34592" s="15" t="s">
        <v>19820</v>
      </c>
      <c r="C34592" s="16" t="s">
        <v>19808</v>
      </c>
      <c r="D34592" s="16" t="s">
        <v>10184</v>
      </c>
      <c r="E34592" s="2">
        <v>1182092</v>
      </c>
      <c r="F34592" s="4" t="str">
        <f>IF(B34592=B34591,"",B34592)</f>
        <v>BÅ«rewÄla</v>
      </c>
    </row>
    <row r="34593" spans="1:6" ht="15.75" customHeight="1">
      <c r="A34593" s="16" t="s">
        <v>6606</v>
      </c>
      <c r="B34593" s="15" t="s">
        <v>6607</v>
      </c>
      <c r="C34593" s="16" t="s">
        <v>6495</v>
      </c>
      <c r="D34593" s="16" t="s">
        <v>6584</v>
      </c>
      <c r="E34593" s="2">
        <v>358620</v>
      </c>
      <c r="F34593" s="4" t="str">
        <f>IF(B34593=B34592,"",B34593)</f>
        <v>BÅ«r SafÄjah</v>
      </c>
    </row>
    <row r="34594" spans="1:6" ht="15.75" customHeight="1">
      <c r="A34594" s="15" t="s">
        <v>10428</v>
      </c>
      <c r="B34594" s="15" t="s">
        <v>10429</v>
      </c>
      <c r="C34594" s="15" t="s">
        <v>10178</v>
      </c>
      <c r="D34594" s="15" t="s">
        <v>10430</v>
      </c>
      <c r="E34594" s="2">
        <v>1275097</v>
      </c>
      <c r="F34594" s="4" t="str">
        <f>IF(B34594=B34593,"",B34594)</f>
        <v>BÅ«ndu</v>
      </c>
    </row>
    <row r="34595" spans="1:6" ht="15.75" customHeight="1">
      <c r="A34595" s="15" t="s">
        <v>10426</v>
      </c>
      <c r="B34595" s="15" t="s">
        <v>10427</v>
      </c>
      <c r="C34595" s="15" t="s">
        <v>10178</v>
      </c>
      <c r="D34595" s="15" t="s">
        <v>10179</v>
      </c>
      <c r="E34595" s="2">
        <v>1275103</v>
      </c>
      <c r="F34595" s="4" t="str">
        <f>IF(B34595=B34594,"",B34595)</f>
        <v>BÅ«ndi</v>
      </c>
    </row>
    <row r="34596" spans="1:6" ht="15.75" customHeight="1">
      <c r="A34596" s="16" t="s">
        <v>10424</v>
      </c>
      <c r="B34596" s="15" t="s">
        <v>10425</v>
      </c>
      <c r="C34596" s="16" t="s">
        <v>10178</v>
      </c>
      <c r="D34596" s="16" t="s">
        <v>10193</v>
      </c>
      <c r="E34596" s="2">
        <v>1275634</v>
      </c>
      <c r="F34596" s="4" t="str">
        <f>IF(B34596=B34595,"",B34596)</f>
        <v>BÄ«lÄspur</v>
      </c>
    </row>
    <row r="34597" spans="1:6" ht="15.75" customHeight="1">
      <c r="A34597" s="16" t="s">
        <v>10422</v>
      </c>
      <c r="B34597" s="15" t="s">
        <v>10423</v>
      </c>
      <c r="C34597" s="16" t="s">
        <v>10178</v>
      </c>
      <c r="D34597" s="16" t="s">
        <v>10179</v>
      </c>
      <c r="E34597" s="2">
        <v>1275665</v>
      </c>
      <c r="F34597" s="4" t="str">
        <f>IF(B34597=B34596,"",B34597)</f>
        <v>BÄ«kaner</v>
      </c>
    </row>
    <row r="34598" spans="1:6" ht="15.75" customHeight="1">
      <c r="A34598" s="15" t="s">
        <v>14300</v>
      </c>
      <c r="B34598" s="15" t="s">
        <v>14301</v>
      </c>
      <c r="C34598" s="15" t="s">
        <v>14240</v>
      </c>
      <c r="D34598" s="15" t="s">
        <v>14302</v>
      </c>
      <c r="E34598" s="2">
        <v>139889</v>
      </c>
      <c r="F34598" s="4" t="str">
        <f>IF(B34598=B34597,"",B34598)</f>
        <v>BÅ«kÄn</v>
      </c>
    </row>
    <row r="34599" spans="1:6" ht="15.75" customHeight="1">
      <c r="A34599" s="15" t="s">
        <v>14297</v>
      </c>
      <c r="B34599" s="15" t="s">
        <v>14298</v>
      </c>
      <c r="C34599" s="15" t="s">
        <v>14240</v>
      </c>
      <c r="D34599" s="15" t="s">
        <v>14299</v>
      </c>
      <c r="E34599" s="2">
        <v>140521</v>
      </c>
      <c r="F34599" s="4" t="str">
        <f>IF(B34599=B34598,"",B34599)</f>
        <v>BÄ«jÄr</v>
      </c>
    </row>
    <row r="34600" spans="1:6" ht="15.75" customHeight="1">
      <c r="A34600" s="15" t="s">
        <v>10420</v>
      </c>
      <c r="B34600" s="15" t="s">
        <v>10421</v>
      </c>
      <c r="C34600" s="15" t="s">
        <v>10178</v>
      </c>
      <c r="D34600" s="15" t="s">
        <v>10252</v>
      </c>
      <c r="E34600" s="2">
        <v>1275738</v>
      </c>
      <c r="F34600" s="4" t="str">
        <f>IF(B34600=B34599,"",B34600)</f>
        <v>BÄ«dar</v>
      </c>
    </row>
    <row r="34601" spans="1:6" ht="15.75" customHeight="1">
      <c r="A34601" s="15" t="s">
        <v>21833</v>
      </c>
      <c r="B34601" s="15" t="s">
        <v>21834</v>
      </c>
      <c r="C34601" s="15" t="s">
        <v>21824</v>
      </c>
      <c r="D34601" s="15" t="s">
        <v>21835</v>
      </c>
      <c r="E34601" s="2">
        <v>684802</v>
      </c>
      <c r="F34601" s="4" t="str">
        <f>IF(B34601=B34600,"",B34601)</f>
        <v>BÃ¢rlad</v>
      </c>
    </row>
    <row r="34602" spans="1:6" ht="15.75" customHeight="1">
      <c r="A34602" s="15" t="s">
        <v>7139</v>
      </c>
      <c r="B34602" s="15" t="s">
        <v>7140</v>
      </c>
      <c r="C34602" s="15" t="s">
        <v>7052</v>
      </c>
      <c r="D34602" s="15" t="s">
        <v>7084</v>
      </c>
      <c r="E34602" s="2">
        <v>3033881</v>
      </c>
      <c r="F34602" s="4" t="str">
        <f>IF(B34602=B34601,"",B34602)</f>
        <v>BÃ¨gles</v>
      </c>
    </row>
    <row r="34603" spans="1:6" ht="15.75" customHeight="1">
      <c r="A34603" s="16" t="s">
        <v>23700</v>
      </c>
      <c r="B34603" s="15" t="s">
        <v>23701</v>
      </c>
      <c r="C34603" s="16" t="s">
        <v>23694</v>
      </c>
      <c r="D34603" s="16" t="s">
        <v>23702</v>
      </c>
      <c r="E34603" s="2">
        <v>3061188</v>
      </c>
      <c r="F34603" s="4" t="str">
        <f>IF(B34603=B34602,"",B34603)</f>
        <v>BÃ¡novce nad Bebravou</v>
      </c>
    </row>
    <row r="34604" spans="1:6" ht="15.75" customHeight="1">
      <c r="A34604" s="15" t="s">
        <v>5775</v>
      </c>
      <c r="B34604" s="15" t="s">
        <v>5776</v>
      </c>
      <c r="C34604" s="15" t="s">
        <v>5764</v>
      </c>
      <c r="D34604" s="15" t="s">
        <v>5777</v>
      </c>
      <c r="E34604" s="2">
        <v>3746938</v>
      </c>
      <c r="F34604" s="4" t="e">
        <f>IF(B34604=#REF!,"",B34604)</f>
        <v>#REF!</v>
      </c>
    </row>
    <row r="34605" spans="1:6" ht="15.75" customHeight="1">
      <c r="A34605" s="15" t="s">
        <v>234</v>
      </c>
      <c r="B34605" s="15" t="s">
        <v>234</v>
      </c>
      <c r="C34605" s="15" t="s">
        <v>153</v>
      </c>
      <c r="D34605" s="15" t="s">
        <v>235</v>
      </c>
      <c r="E34605" s="2">
        <v>2505915</v>
      </c>
      <c r="F34605" s="4" t="e">
        <f>IF(B34605=#REF!,"",B34605)</f>
        <v>#REF!</v>
      </c>
    </row>
    <row r="34606" spans="1:6" ht="15.75" customHeight="1">
      <c r="A34606" s="15" t="s">
        <v>27933</v>
      </c>
      <c r="B34606" s="15" t="s">
        <v>27933</v>
      </c>
      <c r="C34606" s="15" t="s">
        <v>27788</v>
      </c>
      <c r="D34606" s="15" t="s">
        <v>27801</v>
      </c>
      <c r="E34606" s="2">
        <v>5325423</v>
      </c>
      <c r="F34606" s="4" t="str">
        <f>IF(B34606=B34605,"",B34606)</f>
        <v>Azusa</v>
      </c>
    </row>
    <row r="34607" spans="1:6" ht="15.75" customHeight="1">
      <c r="A34607" s="15" t="s">
        <v>17106</v>
      </c>
      <c r="B34607" s="15" t="s">
        <v>17107</v>
      </c>
      <c r="C34607" s="15" t="s">
        <v>17074</v>
      </c>
      <c r="D34607" s="15" t="s">
        <v>17098</v>
      </c>
      <c r="E34607" s="2">
        <v>2210560</v>
      </c>
      <c r="F34607" s="4" t="e">
        <f>IF(B34607=#REF!,"",B34607)</f>
        <v>#REF!</v>
      </c>
    </row>
    <row r="34608" spans="1:6" ht="15.75" customHeight="1">
      <c r="A34608" s="16" t="s">
        <v>24305</v>
      </c>
      <c r="B34608" s="15" t="s">
        <v>24305</v>
      </c>
      <c r="C34608" s="16" t="s">
        <v>24200</v>
      </c>
      <c r="D34608" s="16" t="s">
        <v>24218</v>
      </c>
      <c r="E34608" s="2">
        <v>3129046</v>
      </c>
      <c r="F34608" s="4" t="e">
        <f>IF(B34608=#REF!,"",B34608)</f>
        <v>#REF!</v>
      </c>
    </row>
    <row r="34609" spans="1:6" ht="15.75" customHeight="1">
      <c r="A34609" s="15" t="s">
        <v>582</v>
      </c>
      <c r="B34609" s="15" t="s">
        <v>582</v>
      </c>
      <c r="C34609" s="15" t="s">
        <v>558</v>
      </c>
      <c r="D34609" s="15" t="s">
        <v>562</v>
      </c>
      <c r="E34609" s="2">
        <v>3436199</v>
      </c>
      <c r="F34609" s="4" t="e">
        <f>IF(B34609=#REF!,"",B34609)</f>
        <v>#REF!</v>
      </c>
    </row>
    <row r="34610" spans="1:6" ht="15.75" customHeight="1">
      <c r="A34610" s="15" t="s">
        <v>6302</v>
      </c>
      <c r="B34610" s="15" t="s">
        <v>6302</v>
      </c>
      <c r="C34610" s="15" t="s">
        <v>6303</v>
      </c>
      <c r="D34610" s="15" t="s">
        <v>6302</v>
      </c>
      <c r="E34610" s="2">
        <v>3512208</v>
      </c>
      <c r="F34610" s="4" t="e">
        <f>IF(B34610=#REF!,"",B34610)</f>
        <v>#REF!</v>
      </c>
    </row>
    <row r="34611" spans="1:6" ht="15.75" customHeight="1">
      <c r="A34611" s="15" t="s">
        <v>18562</v>
      </c>
      <c r="B34611" s="15" t="s">
        <v>18562</v>
      </c>
      <c r="C34611" s="15" t="s">
        <v>18551</v>
      </c>
      <c r="D34611" s="15" t="s">
        <v>18563</v>
      </c>
      <c r="E34611" s="2">
        <v>2556464</v>
      </c>
      <c r="F34611" s="4" t="e">
        <f>IF(B34611=#REF!,"",B34611)</f>
        <v>#REF!</v>
      </c>
    </row>
    <row r="34612" spans="1:6" ht="15.75" customHeight="1">
      <c r="A34612" s="15" t="s">
        <v>22176</v>
      </c>
      <c r="B34612" s="15" t="s">
        <v>22176</v>
      </c>
      <c r="C34612" s="15" t="s">
        <v>22070</v>
      </c>
      <c r="D34612" s="15" t="s">
        <v>22099</v>
      </c>
      <c r="E34612" s="2">
        <v>580054</v>
      </c>
      <c r="F34612" s="4" t="e">
        <f>IF(B34612=#REF!,"",B34612)</f>
        <v>#REF!</v>
      </c>
    </row>
    <row r="34613" spans="1:6" ht="15.75" customHeight="1">
      <c r="A34613" s="15" t="s">
        <v>6402</v>
      </c>
      <c r="B34613" s="15" t="s">
        <v>6403</v>
      </c>
      <c r="C34613" s="15" t="s">
        <v>6398</v>
      </c>
      <c r="D34613" s="15" t="s">
        <v>6404</v>
      </c>
      <c r="E34613" s="2">
        <v>3660434</v>
      </c>
      <c r="F34613" s="4" t="str">
        <f>IF(B34613=B34612,"",B34613)</f>
        <v>Azogues</v>
      </c>
    </row>
    <row r="34614" spans="1:6" ht="15.75" customHeight="1">
      <c r="A34614" s="15" t="s">
        <v>14295</v>
      </c>
      <c r="B34614" s="15" t="s">
        <v>14296</v>
      </c>
      <c r="C34614" s="15" t="s">
        <v>14240</v>
      </c>
      <c r="D34614" s="15" t="s">
        <v>14281</v>
      </c>
      <c r="E34614" s="2">
        <v>142496</v>
      </c>
      <c r="F34614" s="4" t="str">
        <f>IF(B34614=B34613,"",B34614)</f>
        <v>AznÄ</v>
      </c>
    </row>
    <row r="34615" spans="1:6" ht="15.75" customHeight="1">
      <c r="A34615" s="16" t="str">
        <f ca="1">IFERROR(__xludf.DUMMYFUNCTION("GOOGLETRANSLATE(B34489,""en"",""pt"")"),"Aznā")</f>
        <v>Aznā</v>
      </c>
      <c r="B34615" s="20" t="s">
        <v>34233</v>
      </c>
      <c r="C34615" s="20" t="s">
        <v>14240</v>
      </c>
      <c r="D34615" s="20" t="s">
        <v>34122</v>
      </c>
      <c r="E34615" s="10">
        <v>142496</v>
      </c>
      <c r="F34615" s="4" t="str">
        <f>IF(B34615=B34614,"",B34615)</f>
        <v>Aznā</v>
      </c>
    </row>
    <row r="34616" spans="1:6" ht="15.75" customHeight="1">
      <c r="A34616" s="15" t="s">
        <v>1183</v>
      </c>
      <c r="B34616" s="15" t="s">
        <v>1183</v>
      </c>
      <c r="C34616" s="15" t="s">
        <v>1170</v>
      </c>
      <c r="D34616" s="15" t="s">
        <v>1184</v>
      </c>
      <c r="E34616" s="2">
        <v>148565</v>
      </c>
      <c r="F34616" s="4" t="e">
        <f>IF(B34616=#REF!,"",B34616)</f>
        <v>#REF!</v>
      </c>
    </row>
    <row r="34617" spans="1:6" ht="15.75" customHeight="1">
      <c r="A34617" s="15" t="s">
        <v>1295</v>
      </c>
      <c r="B34617" s="15" t="s">
        <v>1295</v>
      </c>
      <c r="C34617" s="15" t="s">
        <v>1296</v>
      </c>
      <c r="D34617" s="15" t="s">
        <v>1297</v>
      </c>
      <c r="E34617" s="2">
        <v>7701354</v>
      </c>
      <c r="F34617" s="4" t="str">
        <f>IF(B34617=B34616,"",B34617)</f>
        <v>Azimpur</v>
      </c>
    </row>
    <row r="34618" spans="1:6" ht="15.75" customHeight="1">
      <c r="A34618" s="16" t="s">
        <v>21831</v>
      </c>
      <c r="B34618" s="15" t="s">
        <v>21831</v>
      </c>
      <c r="C34618" s="16" t="s">
        <v>21824</v>
      </c>
      <c r="D34618" s="16" t="s">
        <v>21832</v>
      </c>
      <c r="E34618" s="2">
        <v>667101</v>
      </c>
      <c r="F34618" s="4" t="str">
        <f>IF(B34618=B34617,"",B34618)</f>
        <v>Åžimleu Silvaniei</v>
      </c>
    </row>
    <row r="34619" spans="1:6" ht="15.75" customHeight="1">
      <c r="A34619" s="15" t="s">
        <v>26355</v>
      </c>
      <c r="B34619" s="15" t="s">
        <v>26356</v>
      </c>
      <c r="C34619" s="15" t="s">
        <v>26201</v>
      </c>
      <c r="D34619" s="15" t="s">
        <v>26211</v>
      </c>
      <c r="E34619" s="2">
        <v>739549</v>
      </c>
      <c r="F34619" s="4" t="str">
        <f>IF(B34619=B34618,"",B34619)</f>
        <v>ÅžiÅŸli</v>
      </c>
    </row>
    <row r="34620" spans="1:6" ht="15.75" customHeight="1">
      <c r="A34620" s="16" t="s">
        <v>20323</v>
      </c>
      <c r="B34620" s="15" t="s">
        <v>20324</v>
      </c>
      <c r="C34620" s="16" t="s">
        <v>20297</v>
      </c>
      <c r="D34620" s="16" t="s">
        <v>20298</v>
      </c>
      <c r="E34620" s="2">
        <v>284486</v>
      </c>
      <c r="F34620" s="4" t="str">
        <f>IF(B34620=B34619,"",B34620)</f>
        <v>AzÌ§ ZÌ§ÄhirÄ«yah</v>
      </c>
    </row>
    <row r="34621" spans="1:6" ht="15.75" customHeight="1">
      <c r="A34621" s="16" t="s">
        <v>26353</v>
      </c>
      <c r="B34621" s="15" t="s">
        <v>26354</v>
      </c>
      <c r="C34621" s="16" t="s">
        <v>26201</v>
      </c>
      <c r="D34621" s="16" t="s">
        <v>26229</v>
      </c>
      <c r="E34621" s="2">
        <v>301116</v>
      </c>
      <c r="F34621" s="4" t="e">
        <f>IF(B34621=#REF!,"",B34621)</f>
        <v>#REF!</v>
      </c>
    </row>
    <row r="34622" spans="1:6" ht="15.75" customHeight="1">
      <c r="A34622" s="16" t="s">
        <v>18560</v>
      </c>
      <c r="B34622" s="15" t="s">
        <v>18560</v>
      </c>
      <c r="C34622" s="16" t="s">
        <v>18551</v>
      </c>
      <c r="D34622" s="16" t="s">
        <v>18561</v>
      </c>
      <c r="E34622" s="2">
        <v>2556657</v>
      </c>
      <c r="F34622" s="4" t="str">
        <f>IF(B34622=B34621,"",B34622)</f>
        <v>Azemmour</v>
      </c>
    </row>
    <row r="34623" spans="1:6" ht="15.75" customHeight="1">
      <c r="A34623" s="15" t="s">
        <v>26351</v>
      </c>
      <c r="B34623" s="15" t="s">
        <v>26351</v>
      </c>
      <c r="C34623" s="15" t="s">
        <v>26201</v>
      </c>
      <c r="D34623" s="15" t="s">
        <v>26352</v>
      </c>
      <c r="E34623" s="2">
        <v>301209</v>
      </c>
      <c r="F34623" s="4" t="str">
        <f>IF(B34623=B34622,"",B34623)</f>
        <v>Åžemdinli</v>
      </c>
    </row>
    <row r="34624" spans="1:6" ht="15.75" customHeight="1">
      <c r="A34624" s="16" t="s">
        <v>26349</v>
      </c>
      <c r="B34624" s="15" t="s">
        <v>26349</v>
      </c>
      <c r="C34624" s="16" t="s">
        <v>26201</v>
      </c>
      <c r="D34624" s="16" t="s">
        <v>26350</v>
      </c>
      <c r="E34624" s="2">
        <v>739914</v>
      </c>
      <c r="F34624" s="4" t="e">
        <f>IF(B34624=#REF!,"",B34624)</f>
        <v>#REF!</v>
      </c>
    </row>
    <row r="34625" spans="1:6" ht="15.75" customHeight="1">
      <c r="A34625" s="16" t="s">
        <v>17781</v>
      </c>
      <c r="B34625" s="15" t="s">
        <v>17781</v>
      </c>
      <c r="C34625" s="16" t="s">
        <v>17707</v>
      </c>
      <c r="D34625" s="16" t="s">
        <v>17711</v>
      </c>
      <c r="E34625" s="2">
        <v>3532497</v>
      </c>
      <c r="F34625" s="4" t="e">
        <f>IF(B34625=#REF!,"",B34625)</f>
        <v>#REF!</v>
      </c>
    </row>
    <row r="34626" spans="1:6" ht="15.75" customHeight="1">
      <c r="A34626" s="15" t="s">
        <v>233</v>
      </c>
      <c r="B34626" s="15" t="s">
        <v>233</v>
      </c>
      <c r="C34626" s="15" t="s">
        <v>153</v>
      </c>
      <c r="D34626" s="15" t="s">
        <v>172</v>
      </c>
      <c r="E34626" s="2">
        <v>2506043</v>
      </c>
      <c r="F34626" s="4" t="str">
        <f>IF(B34626=B34625,"",B34626)</f>
        <v>Azazga</v>
      </c>
    </row>
    <row r="34627" spans="1:6" ht="15.75" customHeight="1">
      <c r="A34627" s="16" t="s">
        <v>26346</v>
      </c>
      <c r="B34627" s="15" t="s">
        <v>26347</v>
      </c>
      <c r="C34627" s="16" t="s">
        <v>26201</v>
      </c>
      <c r="D34627" s="16" t="s">
        <v>26348</v>
      </c>
      <c r="E34627" s="2">
        <v>301539</v>
      </c>
      <c r="F34627" s="4" t="str">
        <f>IF(B34627=B34626,"",B34627)</f>
        <v>ÅžarkÃ®karaaÄŸaÃ§</v>
      </c>
    </row>
    <row r="34628" spans="1:6" ht="15.75" customHeight="1">
      <c r="A34628" s="16" t="s">
        <v>26343</v>
      </c>
      <c r="B34628" s="15" t="s">
        <v>26344</v>
      </c>
      <c r="C34628" s="16" t="s">
        <v>26201</v>
      </c>
      <c r="D34628" s="16" t="s">
        <v>26345</v>
      </c>
      <c r="E34628" s="2">
        <v>301537</v>
      </c>
      <c r="F34628" s="4" t="e">
        <f>IF(B34628=#REF!,"",B34628)</f>
        <v>#REF!</v>
      </c>
    </row>
    <row r="34629" spans="1:6" ht="15.75" customHeight="1">
      <c r="A34629" s="15" t="s">
        <v>19331</v>
      </c>
      <c r="B34629" s="15" t="s">
        <v>19331</v>
      </c>
      <c r="C34629" s="15" t="s">
        <v>19294</v>
      </c>
      <c r="D34629" s="15" t="s">
        <v>19332</v>
      </c>
      <c r="E34629" s="2">
        <v>2348595</v>
      </c>
      <c r="F34629" s="4" t="str">
        <f>IF(B34629=B34628,"",B34629)</f>
        <v>Azare</v>
      </c>
    </row>
    <row r="34630" spans="1:6" ht="15.75" customHeight="1">
      <c r="A34630" s="16" t="s">
        <v>26342</v>
      </c>
      <c r="B34630" s="15" t="s">
        <v>26289</v>
      </c>
      <c r="C34630" s="16" t="s">
        <v>26201</v>
      </c>
      <c r="D34630" s="16" t="s">
        <v>26289</v>
      </c>
      <c r="E34630" s="2">
        <v>298333</v>
      </c>
      <c r="F34630" s="4" t="e">
        <f>IF(B34630=#REF!,"",B34630)</f>
        <v>#REF!</v>
      </c>
    </row>
    <row r="34631" spans="1:6" ht="15.75" customHeight="1">
      <c r="A34631" s="16" t="s">
        <v>10419</v>
      </c>
      <c r="B34631" s="15" t="s">
        <v>10419</v>
      </c>
      <c r="C34631" s="16" t="s">
        <v>10178</v>
      </c>
      <c r="D34631" s="16" t="s">
        <v>10193</v>
      </c>
      <c r="E34631" s="2">
        <v>1278083</v>
      </c>
      <c r="F34631" s="4" t="str">
        <f>IF(B34631=B34630,"",B34631)</f>
        <v>Azamgarh</v>
      </c>
    </row>
    <row r="34632" spans="1:6" ht="15.75" customHeight="1">
      <c r="A34632" s="15" t="s">
        <v>19772</v>
      </c>
      <c r="B34632" s="15" t="s">
        <v>19773</v>
      </c>
      <c r="C34632" s="15" t="s">
        <v>19755</v>
      </c>
      <c r="D34632" s="15" t="s">
        <v>19774</v>
      </c>
      <c r="E34632" s="2">
        <v>286621</v>
      </c>
      <c r="F34632" s="4" t="str">
        <f>IF(B34632=B34631,"",B34632)</f>
        <v>ÅžalÄlah</v>
      </c>
    </row>
    <row r="34633" spans="1:6" ht="15.75" customHeight="1">
      <c r="A34633" s="15" t="s">
        <v>23518</v>
      </c>
      <c r="B34633" s="15" t="s">
        <v>23519</v>
      </c>
      <c r="C34633" s="15" t="s">
        <v>23454</v>
      </c>
      <c r="D34633" s="15" t="s">
        <v>6128</v>
      </c>
      <c r="E34633" s="2">
        <v>102585</v>
      </c>
      <c r="F34633" s="4" t="e">
        <f>IF(B34633=#REF!,"",B34633)</f>
        <v>#REF!</v>
      </c>
    </row>
    <row r="34634" spans="1:6" ht="15.75" customHeight="1">
      <c r="A34634" s="16" t="str">
        <f ca="1">IFERROR(__xludf.DUMMYFUNCTION("GOOGLETRANSLATE(B34340,""en"",""pt"")"),"Āzādshahr")</f>
        <v>Āzādshahr</v>
      </c>
      <c r="B34634" s="20" t="s">
        <v>34117</v>
      </c>
      <c r="C34634" s="20" t="s">
        <v>14240</v>
      </c>
      <c r="D34634" s="20" t="s">
        <v>34118</v>
      </c>
      <c r="E34634" s="10">
        <v>14256</v>
      </c>
      <c r="F34634" s="4" t="str">
        <f>IF(B34634=B34633,"",B34634)</f>
        <v>Āzādshahr</v>
      </c>
    </row>
    <row r="34635" spans="1:6" ht="15.75" customHeight="1">
      <c r="A34635" s="15" t="s">
        <v>23516</v>
      </c>
      <c r="B34635" s="15" t="s">
        <v>23517</v>
      </c>
      <c r="C34635" s="15" t="s">
        <v>23454</v>
      </c>
      <c r="D34635" s="15" t="s">
        <v>23467</v>
      </c>
      <c r="E34635" s="2">
        <v>102651</v>
      </c>
      <c r="F34635" s="4" t="str">
        <f>IF(B34635=B34634,"",B34635)</f>
        <v>ÅžabyÄ</v>
      </c>
    </row>
    <row r="34636" spans="1:6" ht="15.75" customHeight="1">
      <c r="A34636" s="16" t="s">
        <v>17104</v>
      </c>
      <c r="B34636" s="15" t="s">
        <v>17105</v>
      </c>
      <c r="C34636" s="16" t="s">
        <v>17074</v>
      </c>
      <c r="D34636" s="16" t="s">
        <v>17098</v>
      </c>
      <c r="E34636" s="2">
        <v>2212771</v>
      </c>
      <c r="F34636" s="4" t="str">
        <f>IF(B34636=B34635,"",B34636)</f>
        <v>ÅžabrÄtah</v>
      </c>
    </row>
    <row r="34637" spans="1:6" ht="15.75" customHeight="1">
      <c r="A34637" s="16" t="s">
        <v>16911</v>
      </c>
      <c r="B34637" s="15" t="s">
        <v>16912</v>
      </c>
      <c r="C34637" s="16" t="s">
        <v>16884</v>
      </c>
      <c r="D34637" s="16" t="s">
        <v>16913</v>
      </c>
      <c r="E34637" s="2">
        <v>412800</v>
      </c>
      <c r="F34637" s="4" t="str">
        <f>IF(B34637=B34636,"",B34637)</f>
        <v>ÅžabÄá¸© as SÄlim</v>
      </c>
    </row>
    <row r="34638" spans="1:6" ht="15.75" customHeight="1">
      <c r="A34638" s="16" t="s">
        <v>19770</v>
      </c>
      <c r="B34638" s="15" t="s">
        <v>19771</v>
      </c>
      <c r="C34638" s="16" t="s">
        <v>19755</v>
      </c>
      <c r="D34638" s="16" t="s">
        <v>19765</v>
      </c>
      <c r="E34638" s="2">
        <v>286647</v>
      </c>
      <c r="F34638" s="4" t="str">
        <f>IF(B34638=B34637,"",B34638)</f>
        <v>Åžaá¸©am</v>
      </c>
    </row>
    <row r="34639" spans="1:6" ht="15.75" customHeight="1">
      <c r="A34639" s="16" t="s">
        <v>23514</v>
      </c>
      <c r="B34639" s="15" t="s">
        <v>23515</v>
      </c>
      <c r="C34639" s="16" t="s">
        <v>23454</v>
      </c>
      <c r="D34639" s="16" t="s">
        <v>23467</v>
      </c>
      <c r="E34639" s="2">
        <v>102451</v>
      </c>
      <c r="F34639" s="4" t="str">
        <f>IF(B34639=B34638,"",B34639)</f>
        <v>ÅžÄmitah</v>
      </c>
    </row>
    <row r="34640" spans="1:6" ht="15.75" customHeight="1">
      <c r="A34640" s="16" t="s">
        <v>26341</v>
      </c>
      <c r="B34640" s="15" t="s">
        <v>26202</v>
      </c>
      <c r="C34640" s="16" t="s">
        <v>26201</v>
      </c>
      <c r="D34640" s="16" t="s">
        <v>26202</v>
      </c>
      <c r="E34640" s="2">
        <v>300640</v>
      </c>
      <c r="F34640" s="4" t="str">
        <f>IF(B34640=B34639,"",B34640)</f>
        <v>ÅžÄ±rnak</v>
      </c>
    </row>
    <row r="34641" spans="1:6" ht="15.75" customHeight="1">
      <c r="A34641" s="16" t="str">
        <f ca="1">IFERROR(__xludf.DUMMYFUNCTION("GOOGLETRANSLATE(B36416,""en"",""pt"")"),"Az Zuwaytīnah")</f>
        <v>Az Zuwaytīnah</v>
      </c>
      <c r="B34641" s="20" t="s">
        <v>34555</v>
      </c>
      <c r="C34641" s="20" t="s">
        <v>17074</v>
      </c>
      <c r="D34641" s="20" t="s">
        <v>34556</v>
      </c>
      <c r="E34641" s="10">
        <v>88380</v>
      </c>
      <c r="F34641" s="4" t="str">
        <f>IF(B34641=B34640,"",B34641)</f>
        <v>Az Zuwaytīnah</v>
      </c>
    </row>
    <row r="34642" spans="1:6" ht="15.75" customHeight="1">
      <c r="A34642" s="16" t="s">
        <v>17102</v>
      </c>
      <c r="B34642" s="15" t="s">
        <v>17103</v>
      </c>
      <c r="C34642" s="16" t="s">
        <v>17074</v>
      </c>
      <c r="D34642" s="16" t="s">
        <v>17075</v>
      </c>
      <c r="E34642" s="2">
        <v>88380</v>
      </c>
      <c r="F34642" s="4" t="str">
        <f>IF(B34642=B34641,"",B34642)</f>
        <v>Az ZuwaytÄ«nah</v>
      </c>
    </row>
    <row r="34643" spans="1:6" ht="15.75" customHeight="1">
      <c r="A34643" s="16" t="str">
        <f ca="1">IFERROR(__xludf.DUMMYFUNCTION("GOOGLETRANSLATE(B39562,""en"",""pt"")"),"Az Zuwāydah")</f>
        <v>Az Zuwāydah</v>
      </c>
      <c r="B34643" s="20" t="s">
        <v>35286</v>
      </c>
      <c r="C34643" s="20" t="s">
        <v>20297</v>
      </c>
      <c r="D34643" s="20" t="s">
        <v>20305</v>
      </c>
      <c r="E34643" s="10">
        <v>6967990</v>
      </c>
      <c r="F34643" s="4" t="str">
        <f>IF(B34643=B34642,"",B34643)</f>
        <v>Az Zuwāydah</v>
      </c>
    </row>
    <row r="34644" spans="1:6" ht="15.75" customHeight="1">
      <c r="A34644" s="16" t="s">
        <v>20321</v>
      </c>
      <c r="B34644" s="15" t="s">
        <v>20322</v>
      </c>
      <c r="C34644" s="16" t="s">
        <v>20297</v>
      </c>
      <c r="D34644" s="16" t="s">
        <v>20305</v>
      </c>
      <c r="E34644" s="2">
        <v>6967990</v>
      </c>
      <c r="F34644" s="4" t="e">
        <f>IF(B34644=#REF!,"",B34644)</f>
        <v>#REF!</v>
      </c>
    </row>
    <row r="34645" spans="1:6" ht="15.75" customHeight="1">
      <c r="A34645" s="15" t="s">
        <v>23512</v>
      </c>
      <c r="B34645" s="15" t="s">
        <v>23513</v>
      </c>
      <c r="C34645" s="15" t="s">
        <v>23454</v>
      </c>
      <c r="D34645" s="15" t="s">
        <v>23460</v>
      </c>
      <c r="E34645" s="2">
        <v>107781</v>
      </c>
      <c r="F34645" s="4" t="e">
        <f>IF(B34645=#REF!,"",B34645)</f>
        <v>#REF!</v>
      </c>
    </row>
    <row r="34646" spans="1:6" ht="15.75" customHeight="1">
      <c r="A34646" s="15" t="s">
        <v>14670</v>
      </c>
      <c r="B34646" s="15" t="s">
        <v>14670</v>
      </c>
      <c r="C34646" s="15" t="s">
        <v>14594</v>
      </c>
      <c r="D34646" s="15" t="s">
        <v>14632</v>
      </c>
      <c r="E34646" s="2">
        <v>98245</v>
      </c>
      <c r="F34646" s="4" t="str">
        <f>IF(B34646=B34645,"",B34646)</f>
        <v>Az Zubayr</v>
      </c>
    </row>
    <row r="34647" spans="1:6" ht="15.75" customHeight="1">
      <c r="A34647" s="16" t="str">
        <f ca="1">IFERROR(__xludf.DUMMYFUNCTION("GOOGLETRANSLATE(B36448,""en"",""pt"")"),"Az zintān")</f>
        <v>Az zintān</v>
      </c>
      <c r="B34647" s="20" t="s">
        <v>34577</v>
      </c>
      <c r="C34647" s="20" t="s">
        <v>17074</v>
      </c>
      <c r="D34647" s="20" t="s">
        <v>34566</v>
      </c>
      <c r="E34647" s="10">
        <v>2218963</v>
      </c>
      <c r="F34647" s="4" t="str">
        <f>IF(B34647=B34646,"",B34647)</f>
        <v>Az Zintān</v>
      </c>
    </row>
    <row r="34648" spans="1:6" ht="15.75" customHeight="1">
      <c r="A34648" s="15" t="s">
        <v>17099</v>
      </c>
      <c r="B34648" s="15" t="s">
        <v>17100</v>
      </c>
      <c r="C34648" s="15" t="s">
        <v>17074</v>
      </c>
      <c r="D34648" s="15" t="s">
        <v>17101</v>
      </c>
      <c r="E34648" s="2">
        <v>2218963</v>
      </c>
      <c r="F34648" s="4" t="str">
        <f>IF(B34648=B34647,"",B34648)</f>
        <v>Az ZintÄn</v>
      </c>
    </row>
    <row r="34649" spans="1:6" ht="15.75" customHeight="1">
      <c r="A34649" s="16" t="str">
        <f ca="1">IFERROR(__xludf.DUMMYFUNCTION("GOOGLETRANSLATE(B36449,""en"",""pt"")"),"Az Zāwīyah")</f>
        <v>Az Zāwīyah</v>
      </c>
      <c r="B34649" s="20" t="s">
        <v>34578</v>
      </c>
      <c r="C34649" s="20" t="s">
        <v>17074</v>
      </c>
      <c r="D34649" s="20" t="s">
        <v>34569</v>
      </c>
      <c r="E34649" s="10">
        <v>2218970</v>
      </c>
      <c r="F34649" s="4" t="str">
        <f>IF(B34649=B34648,"",B34649)</f>
        <v>Az Zāwīyah</v>
      </c>
    </row>
    <row r="34650" spans="1:6" ht="15.75" customHeight="1">
      <c r="A34650" s="15" t="s">
        <v>6603</v>
      </c>
      <c r="B34650" s="15" t="s">
        <v>6604</v>
      </c>
      <c r="C34650" s="15" t="s">
        <v>6495</v>
      </c>
      <c r="D34650" s="15" t="s">
        <v>6605</v>
      </c>
      <c r="E34650" s="2">
        <v>419435</v>
      </c>
      <c r="F34650" s="4" t="str">
        <f>IF(B34650=B34649,"",B34650)</f>
        <v>Az ZarqÄ</v>
      </c>
    </row>
    <row r="34651" spans="1:6" ht="15.75" customHeight="1">
      <c r="A34651" s="16" t="str">
        <f ca="1">IFERROR(__xludf.DUMMYFUNCTION("GOOGLETRANSLATE(B28939,""en"",""pt"")"),"Az zarqā")</f>
        <v>Az zarqā</v>
      </c>
      <c r="B34651" s="20" t="s">
        <v>32349</v>
      </c>
      <c r="C34651" s="20" t="s">
        <v>6495</v>
      </c>
      <c r="D34651" s="20" t="s">
        <v>32298</v>
      </c>
      <c r="E34651" s="10">
        <v>419435</v>
      </c>
      <c r="F34651" s="4" t="str">
        <f>IF(B34651=B34650,"",B34651)</f>
        <v>Az Zarqā</v>
      </c>
    </row>
    <row r="34652" spans="1:6" ht="15.75" customHeight="1">
      <c r="A34652" s="16" t="str">
        <f ca="1">IFERROR(__xludf.DUMMYFUNCTION("GOOGLETRANSLATE(B39552,""en"",""pt"")"),"Az̧ z̧āhirīyah")</f>
        <v>Az̧ z̧āhirīyah</v>
      </c>
      <c r="B34652" s="20" t="s">
        <v>35279</v>
      </c>
      <c r="C34652" s="20" t="s">
        <v>20297</v>
      </c>
      <c r="D34652" s="20" t="s">
        <v>20298</v>
      </c>
      <c r="E34652" s="10">
        <v>284486</v>
      </c>
      <c r="F34652" s="4" t="str">
        <f>IF(B34652=B34651,"",B34652)</f>
        <v>Az̧ Z̧āhirīyah</v>
      </c>
    </row>
    <row r="34653" spans="1:6" ht="15.75" customHeight="1">
      <c r="A34653" s="16" t="str">
        <f ca="1">IFERROR(__xludf.DUMMYFUNCTION("GOOGLETRANSLATE(B41440,""en"",""pt"")"),"Az zabadānī")</f>
        <v>Az zabadānī</v>
      </c>
      <c r="B34653" s="20" t="s">
        <v>35754</v>
      </c>
      <c r="C34653" s="20" t="s">
        <v>25366</v>
      </c>
      <c r="D34653" s="20" t="s">
        <v>25372</v>
      </c>
      <c r="E34653" s="10">
        <v>172059</v>
      </c>
      <c r="F34653" s="4" t="str">
        <f>IF(B34653=B34652,"",B34653)</f>
        <v>Az Zabadānī</v>
      </c>
    </row>
    <row r="34654" spans="1:6" ht="15.75" customHeight="1">
      <c r="A34654" s="16" t="s">
        <v>25430</v>
      </c>
      <c r="B34654" s="15" t="s">
        <v>25431</v>
      </c>
      <c r="C34654" s="16" t="s">
        <v>25366</v>
      </c>
      <c r="D34654" s="16" t="s">
        <v>25372</v>
      </c>
      <c r="E34654" s="2">
        <v>172059</v>
      </c>
      <c r="F34654" s="4" t="str">
        <f>IF(B34654=B34653,"",B34654)</f>
        <v>Az ZabadÄnÄ«</v>
      </c>
    </row>
    <row r="34655" spans="1:6" ht="15.75" customHeight="1">
      <c r="A34655" s="16" t="s">
        <v>17096</v>
      </c>
      <c r="B34655" s="15" t="s">
        <v>17097</v>
      </c>
      <c r="C34655" s="16" t="s">
        <v>17074</v>
      </c>
      <c r="D34655" s="16" t="s">
        <v>17098</v>
      </c>
      <c r="E34655" s="2">
        <v>2218970</v>
      </c>
      <c r="F34655" s="4" t="str">
        <f>IF(B34655=B34654,"",B34655)</f>
        <v>Az ZÄwÄ«yah</v>
      </c>
    </row>
    <row r="34656" spans="1:6" ht="15.75" customHeight="1">
      <c r="A34656" s="16" t="str">
        <f ca="1">IFERROR(__xludf.DUMMYFUNCTION("GOOGLETRANSLATE(B42063,""en"",""pt"")"),"Ayvalık")</f>
        <v>Ayvalık</v>
      </c>
      <c r="B34656" s="20" t="s">
        <v>35902</v>
      </c>
      <c r="C34656" s="20" t="s">
        <v>26201</v>
      </c>
      <c r="D34656" s="20" t="s">
        <v>35830</v>
      </c>
      <c r="E34656" s="10">
        <v>322673</v>
      </c>
      <c r="F34656" s="4" t="str">
        <f>IF(B34656=B34655,"",B34656)</f>
        <v>Ayvalık</v>
      </c>
    </row>
    <row r="34657" spans="1:6" ht="15.75" customHeight="1">
      <c r="A34657" s="16" t="s">
        <v>26338</v>
      </c>
      <c r="B34657" s="15" t="s">
        <v>26339</v>
      </c>
      <c r="C34657" s="16" t="s">
        <v>26201</v>
      </c>
      <c r="D34657" s="16" t="s">
        <v>26340</v>
      </c>
      <c r="E34657" s="2">
        <v>322673</v>
      </c>
      <c r="F34657" s="4" t="e">
        <f>IF(B34657=#REF!,"",B34657)</f>
        <v>#REF!</v>
      </c>
    </row>
    <row r="34658" spans="1:6" ht="15.75" customHeight="1">
      <c r="A34658" s="16" t="s">
        <v>6735</v>
      </c>
      <c r="B34658" s="15" t="s">
        <v>6735</v>
      </c>
      <c r="C34658" s="16" t="s">
        <v>6727</v>
      </c>
      <c r="D34658" s="16" t="s">
        <v>6729</v>
      </c>
      <c r="E34658" s="2">
        <v>3587308</v>
      </c>
      <c r="F34658" s="4" t="e">
        <f>IF(B34658=#REF!,"",B34658)</f>
        <v>#REF!</v>
      </c>
    </row>
    <row r="34659" spans="1:6" ht="15.75" customHeight="1">
      <c r="A34659" s="15" t="s">
        <v>3703</v>
      </c>
      <c r="B34659" s="15" t="s">
        <v>3703</v>
      </c>
      <c r="C34659" s="15" t="s">
        <v>3701</v>
      </c>
      <c r="D34659" s="15" t="s">
        <v>3704</v>
      </c>
      <c r="E34659" s="2">
        <v>733579</v>
      </c>
      <c r="F34659" s="4" t="e">
        <f>IF(B34659=#REF!,"",B34659)</f>
        <v>#REF!</v>
      </c>
    </row>
    <row r="34660" spans="1:6" ht="15.75" customHeight="1">
      <c r="A34660" s="15" t="s">
        <v>16698</v>
      </c>
      <c r="B34660" s="15" t="s">
        <v>16699</v>
      </c>
      <c r="C34660" s="15" t="s">
        <v>16671</v>
      </c>
      <c r="D34660" s="15" t="s">
        <v>16687</v>
      </c>
      <c r="E34660" s="2">
        <v>1516789</v>
      </c>
      <c r="F34660" s="4" t="e">
        <f>IF(B34660=#REF!,"",B34660)</f>
        <v>#REF!</v>
      </c>
    </row>
    <row r="34661" spans="1:6" ht="15.75" customHeight="1">
      <c r="A34661" s="15" t="s">
        <v>27269</v>
      </c>
      <c r="B34661" s="15" t="s">
        <v>27269</v>
      </c>
      <c r="C34661" s="15" t="s">
        <v>27234</v>
      </c>
      <c r="D34661" s="15" t="s">
        <v>27237</v>
      </c>
      <c r="E34661" s="2">
        <v>2656708</v>
      </c>
      <c r="F34661" s="4" t="e">
        <f>IF(B34661=#REF!,"",B34661)</f>
        <v>#REF!</v>
      </c>
    </row>
    <row r="34662" spans="1:6" ht="15.75" customHeight="1">
      <c r="A34662" s="15" t="s">
        <v>19262</v>
      </c>
      <c r="B34662" s="15" t="s">
        <v>19262</v>
      </c>
      <c r="C34662" s="15" t="s">
        <v>19259</v>
      </c>
      <c r="D34662" s="15" t="s">
        <v>19263</v>
      </c>
      <c r="E34662" s="2">
        <v>2447416</v>
      </c>
      <c r="F34662" s="4" t="e">
        <f>IF(B34662=#REF!,"",B34662)</f>
        <v>#REF!</v>
      </c>
    </row>
    <row r="34663" spans="1:6" ht="15.75" customHeight="1">
      <c r="A34663" s="15" t="s">
        <v>27268</v>
      </c>
      <c r="B34663" s="15" t="s">
        <v>27268</v>
      </c>
      <c r="C34663" s="15" t="s">
        <v>27234</v>
      </c>
      <c r="D34663" s="15" t="s">
        <v>27241</v>
      </c>
      <c r="E34663" s="2">
        <v>2656719</v>
      </c>
      <c r="F34663" s="4" t="e">
        <f>IF(B34663=#REF!,"",B34663)</f>
        <v>#REF!</v>
      </c>
    </row>
    <row r="34664" spans="1:6" ht="15.75" customHeight="1">
      <c r="A34664" s="15" t="s">
        <v>22175</v>
      </c>
      <c r="B34664" s="15" t="s">
        <v>22175</v>
      </c>
      <c r="C34664" s="15" t="s">
        <v>22070</v>
      </c>
      <c r="D34664" s="15" t="s">
        <v>22111</v>
      </c>
      <c r="E34664" s="2">
        <v>2027296</v>
      </c>
      <c r="F34664" s="4" t="str">
        <f>IF(B34664=B34663,"",B34664)</f>
        <v>Aykhal</v>
      </c>
    </row>
    <row r="34665" spans="1:6" ht="15.75" customHeight="1">
      <c r="A34665" s="16" t="str">
        <f ca="1">IFERROR(__xludf.DUMMYFUNCTION("GOOGLETRANSLATE(B35133,""en"",""pt"")"),"Aydūn")</f>
        <v>Aydūn</v>
      </c>
      <c r="B34665" s="20" t="s">
        <v>34283</v>
      </c>
      <c r="C34665" s="20" t="s">
        <v>16624</v>
      </c>
      <c r="D34665" s="20" t="s">
        <v>16641</v>
      </c>
      <c r="E34665" s="10">
        <v>250152</v>
      </c>
      <c r="F34665" s="4" t="str">
        <f>IF(B34665=B34664,"",B34665)</f>
        <v>Aydūn</v>
      </c>
    </row>
    <row r="34666" spans="1:6" ht="15.75" customHeight="1">
      <c r="A34666" s="16" t="str">
        <f ca="1">IFERROR(__xludf.DUMMYFUNCTION("GOOGLETRANSLATE(B42064,""en"",""pt"")"),"Aydın")</f>
        <v>Aydın</v>
      </c>
      <c r="B34666" s="20" t="s">
        <v>35816</v>
      </c>
      <c r="C34666" s="20" t="s">
        <v>26201</v>
      </c>
      <c r="D34666" s="20" t="s">
        <v>35816</v>
      </c>
      <c r="E34666" s="10">
        <v>322830</v>
      </c>
      <c r="F34666" s="4" t="str">
        <f>IF(B34666=B34665,"",B34666)</f>
        <v>Aydın</v>
      </c>
    </row>
    <row r="34667" spans="1:6" ht="15.75" customHeight="1">
      <c r="A34667" s="15" t="s">
        <v>16645</v>
      </c>
      <c r="B34667" s="15" t="s">
        <v>16646</v>
      </c>
      <c r="C34667" s="15" t="s">
        <v>16624</v>
      </c>
      <c r="D34667" s="15" t="s">
        <v>16641</v>
      </c>
      <c r="E34667" s="2">
        <v>250152</v>
      </c>
      <c r="F34667" s="4" t="str">
        <f>IF(B34667=B34666,"",B34667)</f>
        <v>AydÅ«n</v>
      </c>
    </row>
    <row r="34668" spans="1:6" ht="15.75" customHeight="1">
      <c r="A34668" s="15" t="s">
        <v>26337</v>
      </c>
      <c r="B34668" s="15" t="s">
        <v>26257</v>
      </c>
      <c r="C34668" s="15" t="s">
        <v>26201</v>
      </c>
      <c r="D34668" s="15" t="s">
        <v>26257</v>
      </c>
      <c r="E34668" s="2">
        <v>322830</v>
      </c>
      <c r="F34668" s="4" t="e">
        <f>IF(B34668=#REF!,"",B34668)</f>
        <v>#REF!</v>
      </c>
    </row>
    <row r="34669" spans="1:6" ht="15.75" customHeight="1">
      <c r="A34669" s="15" t="s">
        <v>20475</v>
      </c>
      <c r="B34669" s="15" t="s">
        <v>20475</v>
      </c>
      <c r="C34669" s="15" t="s">
        <v>20470</v>
      </c>
      <c r="D34669" s="15" t="s">
        <v>20476</v>
      </c>
      <c r="E34669" s="2">
        <v>3946985</v>
      </c>
      <c r="F34669" s="4" t="e">
        <f>IF(B34669=#REF!,"",B34669)</f>
        <v>#REF!</v>
      </c>
    </row>
    <row r="34670" spans="1:6" ht="15.75" customHeight="1">
      <c r="A34670" s="15" t="s">
        <v>5376</v>
      </c>
      <c r="B34670" s="15" t="s">
        <v>5376</v>
      </c>
      <c r="C34670" s="15" t="s">
        <v>5348</v>
      </c>
      <c r="D34670" s="15" t="s">
        <v>591</v>
      </c>
      <c r="E34670" s="2">
        <v>3689381</v>
      </c>
      <c r="F34670" s="4" t="e">
        <f>IF(B34670=#REF!,"",B34670)</f>
        <v>#REF!</v>
      </c>
    </row>
    <row r="34671" spans="1:6" ht="15.75" customHeight="1">
      <c r="A34671" s="15" t="s">
        <v>19600</v>
      </c>
      <c r="B34671" s="15" t="s">
        <v>19600</v>
      </c>
      <c r="C34671" s="15" t="s">
        <v>19589</v>
      </c>
      <c r="D34671" s="15" t="s">
        <v>19601</v>
      </c>
      <c r="E34671" s="2">
        <v>1879544</v>
      </c>
      <c r="F34671" s="4" t="e">
        <f>IF(B34671=#REF!,"",B34671)</f>
        <v>#REF!</v>
      </c>
    </row>
    <row r="34672" spans="1:6" ht="15.75" customHeight="1">
      <c r="A34672" s="16" t="s">
        <v>24304</v>
      </c>
      <c r="B34672" s="15" t="s">
        <v>24304</v>
      </c>
      <c r="C34672" s="16" t="s">
        <v>24200</v>
      </c>
      <c r="D34672" s="16" t="s">
        <v>24205</v>
      </c>
      <c r="E34672" s="2">
        <v>2521456</v>
      </c>
      <c r="F34672" s="4" t="e">
        <f>IF(B34672=#REF!,"",B34672)</f>
        <v>#REF!</v>
      </c>
    </row>
    <row r="34673" spans="1:6" ht="15.75" customHeight="1">
      <c r="A34673" s="15" t="s">
        <v>10418</v>
      </c>
      <c r="B34673" s="15" t="s">
        <v>10418</v>
      </c>
      <c r="C34673" s="15" t="s">
        <v>10178</v>
      </c>
      <c r="D34673" s="15" t="s">
        <v>10196</v>
      </c>
      <c r="E34673" s="2">
        <v>1278100</v>
      </c>
      <c r="F34673" s="4" t="e">
        <f>IF(B34673=#REF!,"",B34673)</f>
        <v>#REF!</v>
      </c>
    </row>
    <row r="34674" spans="1:6" ht="15.75" customHeight="1">
      <c r="A34674" s="15" t="s">
        <v>16696</v>
      </c>
      <c r="B34674" s="15" t="s">
        <v>16696</v>
      </c>
      <c r="C34674" s="15" t="s">
        <v>16671</v>
      </c>
      <c r="D34674" s="15" t="s">
        <v>16697</v>
      </c>
      <c r="E34674" s="2">
        <v>1525988</v>
      </c>
      <c r="F34674" s="4" t="e">
        <f>IF(B34674=#REF!,"",B34674)</f>
        <v>#REF!</v>
      </c>
    </row>
    <row r="34675" spans="1:6" ht="15.75" customHeight="1">
      <c r="A34675" s="15" t="s">
        <v>20474</v>
      </c>
      <c r="B34675" s="15" t="s">
        <v>20474</v>
      </c>
      <c r="C34675" s="15" t="s">
        <v>20470</v>
      </c>
      <c r="D34675" s="15" t="s">
        <v>20474</v>
      </c>
      <c r="E34675" s="2">
        <v>3947019</v>
      </c>
      <c r="F34675" s="4" t="e">
        <f>IF(B34675=#REF!,"",B34675)</f>
        <v>#REF!</v>
      </c>
    </row>
    <row r="34676" spans="1:6" ht="15.75" customHeight="1">
      <c r="A34676" s="15" t="s">
        <v>15830</v>
      </c>
      <c r="B34676" s="15" t="s">
        <v>15830</v>
      </c>
      <c r="C34676" s="15" t="s">
        <v>15704</v>
      </c>
      <c r="D34676" s="15" t="s">
        <v>15831</v>
      </c>
      <c r="E34676" s="2">
        <v>1864873</v>
      </c>
      <c r="F34676" s="4" t="e">
        <f>IF(B34676=#REF!,"",B34676)</f>
        <v>#REF!</v>
      </c>
    </row>
    <row r="34677" spans="1:6" ht="15.75" customHeight="1">
      <c r="A34677" s="15" t="s">
        <v>6835</v>
      </c>
      <c r="B34677" s="15" t="s">
        <v>6835</v>
      </c>
      <c r="C34677" s="15" t="s">
        <v>6807</v>
      </c>
      <c r="D34677" s="15" t="s">
        <v>6808</v>
      </c>
      <c r="E34677" s="2">
        <v>344420</v>
      </c>
      <c r="F34677" s="4" t="e">
        <f>IF(B34677=#REF!,"",B34677)</f>
        <v>#REF!</v>
      </c>
    </row>
    <row r="34678" spans="1:6" ht="15.75" customHeight="1">
      <c r="A34678" s="16" t="s">
        <v>17779</v>
      </c>
      <c r="B34678" s="15" t="s">
        <v>17779</v>
      </c>
      <c r="C34678" s="16" t="s">
        <v>17707</v>
      </c>
      <c r="D34678" s="16" t="s">
        <v>17780</v>
      </c>
      <c r="E34678" s="2">
        <v>3532545</v>
      </c>
      <c r="F34678" s="4" t="e">
        <f>IF(B34678=#REF!,"",B34678)</f>
        <v>#REF!</v>
      </c>
    </row>
    <row r="34679" spans="1:6" ht="15.75" customHeight="1">
      <c r="A34679" s="15" t="s">
        <v>9378</v>
      </c>
      <c r="B34679" s="15" t="s">
        <v>9378</v>
      </c>
      <c r="C34679" s="15" t="s">
        <v>9365</v>
      </c>
      <c r="D34679" s="15" t="s">
        <v>6944</v>
      </c>
      <c r="E34679" s="2">
        <v>2303611</v>
      </c>
      <c r="F34679" s="4" t="str">
        <f>IF(B34679=B34678,"",B34679)</f>
        <v>Axim</v>
      </c>
    </row>
    <row r="34680" spans="1:6" ht="15.75" customHeight="1">
      <c r="A34680" s="16" t="str">
        <f ca="1">IFERROR(__xludf.DUMMYFUNCTION("GOOGLETRANSLATE(B28891,""en"",""pt"")"),"Awsīm")</f>
        <v>Awsīm</v>
      </c>
      <c r="B34680" s="20" t="s">
        <v>32313</v>
      </c>
      <c r="C34680" s="20" t="s">
        <v>6495</v>
      </c>
      <c r="D34680" s="20" t="s">
        <v>32279</v>
      </c>
      <c r="E34680" s="10">
        <v>359576</v>
      </c>
      <c r="F34680" s="4" t="str">
        <f>IF(B34680=B34679,"",B34680)</f>
        <v>Awsīm</v>
      </c>
    </row>
    <row r="34681" spans="1:6" ht="15.75" customHeight="1">
      <c r="A34681" s="15" t="s">
        <v>6601</v>
      </c>
      <c r="B34681" s="15" t="s">
        <v>6602</v>
      </c>
      <c r="C34681" s="15" t="s">
        <v>6495</v>
      </c>
      <c r="D34681" s="15" t="s">
        <v>6513</v>
      </c>
      <c r="E34681" s="2">
        <v>359576</v>
      </c>
      <c r="F34681" s="4" t="e">
        <f>IF(B34681=#REF!,"",B34681)</f>
        <v>#REF!</v>
      </c>
    </row>
    <row r="34682" spans="1:6" ht="15.75" customHeight="1">
      <c r="A34682" s="15" t="s">
        <v>19330</v>
      </c>
      <c r="B34682" s="15" t="s">
        <v>19330</v>
      </c>
      <c r="C34682" s="15" t="s">
        <v>19294</v>
      </c>
      <c r="D34682" s="15" t="s">
        <v>19308</v>
      </c>
      <c r="E34682" s="2">
        <v>2348773</v>
      </c>
      <c r="F34682" s="4" t="e">
        <f>IF(B34682=#REF!,"",B34682)</f>
        <v>#REF!</v>
      </c>
    </row>
    <row r="34683" spans="1:6" ht="15.75" customHeight="1">
      <c r="A34683" s="15" t="s">
        <v>19329</v>
      </c>
      <c r="B34683" s="15" t="s">
        <v>19329</v>
      </c>
      <c r="C34683" s="15" t="s">
        <v>19294</v>
      </c>
      <c r="D34683" s="15" t="s">
        <v>19312</v>
      </c>
      <c r="E34683" s="2">
        <v>2348783</v>
      </c>
      <c r="F34683" s="4" t="e">
        <f>IF(B34683=#REF!,"",B34683)</f>
        <v>#REF!</v>
      </c>
    </row>
    <row r="34684" spans="1:6" ht="15.75" customHeight="1">
      <c r="A34684" s="15" t="s">
        <v>24175</v>
      </c>
      <c r="B34684" s="15" t="s">
        <v>24175</v>
      </c>
      <c r="C34684" s="15" t="s">
        <v>24176</v>
      </c>
      <c r="D34684" s="15" t="s">
        <v>24177</v>
      </c>
      <c r="E34684" s="2">
        <v>364367</v>
      </c>
      <c r="F34684" s="4" t="str">
        <f>IF(B34684=B34683,"",B34684)</f>
        <v>Aweil</v>
      </c>
    </row>
    <row r="34685" spans="1:6" ht="15.75" customHeight="1">
      <c r="A34685" s="16" t="str">
        <f ca="1">IFERROR(__xludf.DUMMYFUNCTION("GOOGLETRANSLATE(B36450,""en"",""pt"")"),"Awbārī")</f>
        <v>Awbārī</v>
      </c>
      <c r="B34685" s="20" t="s">
        <v>34579</v>
      </c>
      <c r="C34685" s="20" t="s">
        <v>17074</v>
      </c>
      <c r="D34685" s="20" t="s">
        <v>34580</v>
      </c>
      <c r="E34685" s="10">
        <v>2219235</v>
      </c>
      <c r="F34685" s="4" t="str">
        <f>IF(B34685=B34684,"",B34685)</f>
        <v>Awbārī</v>
      </c>
    </row>
    <row r="34686" spans="1:6" ht="15.75" customHeight="1">
      <c r="A34686" s="16" t="s">
        <v>17093</v>
      </c>
      <c r="B34686" s="15" t="s">
        <v>17094</v>
      </c>
      <c r="C34686" s="16" t="s">
        <v>17074</v>
      </c>
      <c r="D34686" s="16" t="s">
        <v>17095</v>
      </c>
      <c r="E34686" s="2">
        <v>2219235</v>
      </c>
      <c r="F34686" s="4" t="e">
        <f>IF(B34686=#REF!,"",B34686)</f>
        <v>#REF!</v>
      </c>
    </row>
    <row r="34687" spans="1:6" ht="15.75" customHeight="1">
      <c r="A34687" s="15" t="s">
        <v>22173</v>
      </c>
      <c r="B34687" s="15" t="s">
        <v>22174</v>
      </c>
      <c r="C34687" s="15" t="s">
        <v>22070</v>
      </c>
      <c r="D34687" s="15" t="s">
        <v>22081</v>
      </c>
      <c r="E34687" s="2">
        <v>580218</v>
      </c>
      <c r="F34687" s="4" t="e">
        <f>IF(B34687=#REF!,"",B34687)</f>
        <v>#REF!</v>
      </c>
    </row>
    <row r="34688" spans="1:6" ht="15.75" customHeight="1">
      <c r="A34688" s="15" t="s">
        <v>22172</v>
      </c>
      <c r="B34688" s="15" t="s">
        <v>22172</v>
      </c>
      <c r="C34688" s="15" t="s">
        <v>22070</v>
      </c>
      <c r="D34688" s="15" t="s">
        <v>22084</v>
      </c>
      <c r="E34688" s="2">
        <v>580222</v>
      </c>
      <c r="F34688" s="4" t="e">
        <f>IF(B34688=#REF!,"",B34688)</f>
        <v>#REF!</v>
      </c>
    </row>
    <row r="34689" spans="1:6" ht="15.75" customHeight="1">
      <c r="A34689" s="15" t="s">
        <v>27932</v>
      </c>
      <c r="B34689" s="15" t="s">
        <v>27932</v>
      </c>
      <c r="C34689" s="15" t="s">
        <v>27788</v>
      </c>
      <c r="D34689" s="15" t="s">
        <v>27880</v>
      </c>
      <c r="E34689" s="2">
        <v>5552301</v>
      </c>
      <c r="F34689" s="4" t="e">
        <f>IF(B34689=#REF!,"",B34689)</f>
        <v>#REF!</v>
      </c>
    </row>
    <row r="34690" spans="1:6" ht="15.75" customHeight="1">
      <c r="A34690" s="16" t="s">
        <v>27930</v>
      </c>
      <c r="B34690" s="15" t="s">
        <v>27931</v>
      </c>
      <c r="C34690" s="16" t="s">
        <v>27788</v>
      </c>
      <c r="D34690" s="16" t="s">
        <v>27813</v>
      </c>
      <c r="E34690" s="2">
        <v>5146286</v>
      </c>
      <c r="F34690" s="4" t="e">
        <f>IF(B34690=#REF!,"",B34690)</f>
        <v>#REF!</v>
      </c>
    </row>
    <row r="34691" spans="1:6" ht="15.75" customHeight="1">
      <c r="A34691" s="16" t="s">
        <v>27929</v>
      </c>
      <c r="B34691" s="15" t="s">
        <v>27929</v>
      </c>
      <c r="C34691" s="16" t="s">
        <v>27788</v>
      </c>
      <c r="D34691" s="16" t="s">
        <v>27813</v>
      </c>
      <c r="E34691" s="2">
        <v>5146282</v>
      </c>
      <c r="F34691" s="4" t="e">
        <f>IF(B34691=#REF!,"",B34691)</f>
        <v>#REF!</v>
      </c>
    </row>
    <row r="34692" spans="1:6" ht="15.75" customHeight="1">
      <c r="A34692" s="15" t="s">
        <v>7138</v>
      </c>
      <c r="B34692" s="15" t="s">
        <v>7138</v>
      </c>
      <c r="C34692" s="15" t="s">
        <v>7052</v>
      </c>
      <c r="D34692" s="15" t="s">
        <v>7058</v>
      </c>
      <c r="E34692" s="2">
        <v>3035654</v>
      </c>
      <c r="F34692" s="4" t="e">
        <f>IF(B34692=#REF!,"",B34692)</f>
        <v>#REF!</v>
      </c>
    </row>
    <row r="34693" spans="1:6" ht="15.75" customHeight="1">
      <c r="A34693" s="15" t="s">
        <v>14958</v>
      </c>
      <c r="B34693" s="15" t="s">
        <v>14958</v>
      </c>
      <c r="C34693" s="15" t="s">
        <v>14891</v>
      </c>
      <c r="D34693" s="15" t="s">
        <v>14899</v>
      </c>
      <c r="E34693" s="2">
        <v>2525643</v>
      </c>
      <c r="F34693" s="4" t="e">
        <f>IF(B34693=#REF!,"",B34693)</f>
        <v>#REF!</v>
      </c>
    </row>
    <row r="34694" spans="1:6" ht="15.75" customHeight="1">
      <c r="A34694" s="16" t="s">
        <v>27927</v>
      </c>
      <c r="B34694" s="15" t="s">
        <v>27928</v>
      </c>
      <c r="C34694" s="16" t="s">
        <v>27788</v>
      </c>
      <c r="D34694" s="16" t="s">
        <v>27801</v>
      </c>
      <c r="E34694" s="2">
        <v>5325372</v>
      </c>
      <c r="F34694" s="4" t="e">
        <f>IF(B34694=#REF!,"",B34694)</f>
        <v>#REF!</v>
      </c>
    </row>
    <row r="34695" spans="1:6" ht="15.75" customHeight="1">
      <c r="A34695" s="15" t="s">
        <v>7136</v>
      </c>
      <c r="B34695" s="15" t="s">
        <v>7137</v>
      </c>
      <c r="C34695" s="15" t="s">
        <v>7052</v>
      </c>
      <c r="D34695" s="15" t="s">
        <v>7078</v>
      </c>
      <c r="E34695" s="2">
        <v>3035667</v>
      </c>
      <c r="F34695" s="4" t="e">
        <f>IF(B34695=#REF!,"",B34695)</f>
        <v>#REF!</v>
      </c>
    </row>
    <row r="34696" spans="1:6" ht="15.75" customHeight="1">
      <c r="A34696" s="15" t="s">
        <v>10417</v>
      </c>
      <c r="B34696" s="15" t="s">
        <v>10417</v>
      </c>
      <c r="C34696" s="15" t="s">
        <v>10178</v>
      </c>
      <c r="D34696" s="15" t="s">
        <v>10196</v>
      </c>
      <c r="E34696" s="2">
        <v>1278124</v>
      </c>
      <c r="F34696" s="4" t="str">
        <f>IF(B34696=B34695,"",B34696)</f>
        <v>Avinashi</v>
      </c>
    </row>
    <row r="34697" spans="1:6" ht="15.75" customHeight="1">
      <c r="A34697" s="16" t="str">
        <f ca="1">IFERROR(__xludf.DUMMYFUNCTION("GOOGLETRANSLATE(B29462,""en"",""pt"")"),"Avilés")</f>
        <v>Avilés</v>
      </c>
      <c r="B34697" s="20" t="s">
        <v>32470</v>
      </c>
      <c r="C34697" s="20" t="s">
        <v>24200</v>
      </c>
      <c r="D34697" s="20" t="s">
        <v>24303</v>
      </c>
      <c r="E34697" s="10">
        <v>3129135</v>
      </c>
      <c r="F34697" s="4" t="str">
        <f>IF(B34697=B34696,"",B34697)</f>
        <v>Avilés</v>
      </c>
    </row>
    <row r="34698" spans="1:6" ht="15.75" customHeight="1">
      <c r="A34698" s="16" t="s">
        <v>24301</v>
      </c>
      <c r="B34698" s="15" t="s">
        <v>24302</v>
      </c>
      <c r="C34698" s="16" t="s">
        <v>24200</v>
      </c>
      <c r="D34698" s="16" t="s">
        <v>24303</v>
      </c>
      <c r="E34698" s="2">
        <v>3129135</v>
      </c>
      <c r="F34698" s="4" t="str">
        <f>IF(B34698=B34697,"",B34698)</f>
        <v>AvilÃ©s</v>
      </c>
    </row>
    <row r="34699" spans="1:6" ht="15.75" customHeight="1">
      <c r="A34699" s="16" t="str">
        <f ca="1">IFERROR(__xludf.DUMMYFUNCTION("GOOGLETRANSLATE(B29463,""en"",""pt"")"),"Ávila")</f>
        <v>Ávila</v>
      </c>
      <c r="B34699" s="20" t="s">
        <v>32471</v>
      </c>
      <c r="C34699" s="20" t="s">
        <v>24200</v>
      </c>
      <c r="D34699" s="20" t="s">
        <v>32412</v>
      </c>
      <c r="E34699" s="10">
        <v>3129136</v>
      </c>
      <c r="F34699" s="4" t="e">
        <f>IF(B34699=#REF!,"",B34699)</f>
        <v>#REF!</v>
      </c>
    </row>
    <row r="34700" spans="1:6" ht="15.75" customHeight="1">
      <c r="A34700" s="15" t="s">
        <v>7135</v>
      </c>
      <c r="B34700" s="15" t="s">
        <v>7135</v>
      </c>
      <c r="C34700" s="15" t="s">
        <v>7052</v>
      </c>
      <c r="D34700" s="15" t="s">
        <v>7087</v>
      </c>
      <c r="E34700" s="2">
        <v>3035681</v>
      </c>
      <c r="F34700" s="4" t="e">
        <f>IF(B34700=#REF!,"",B34700)</f>
        <v>#REF!</v>
      </c>
    </row>
    <row r="34701" spans="1:6" ht="15.75" customHeight="1">
      <c r="A34701" s="15" t="s">
        <v>14956</v>
      </c>
      <c r="B34701" s="15" t="s">
        <v>14956</v>
      </c>
      <c r="C34701" s="15" t="s">
        <v>14891</v>
      </c>
      <c r="D34701" s="15" t="s">
        <v>14957</v>
      </c>
      <c r="E34701" s="2">
        <v>3182636</v>
      </c>
      <c r="F34701" s="4" t="e">
        <f>IF(B34701=#REF!,"",B34701)</f>
        <v>#REF!</v>
      </c>
    </row>
    <row r="34702" spans="1:6" ht="15.75" customHeight="1">
      <c r="A34702" s="15" t="s">
        <v>14955</v>
      </c>
      <c r="B34702" s="15" t="s">
        <v>14955</v>
      </c>
      <c r="C34702" s="15" t="s">
        <v>14891</v>
      </c>
      <c r="D34702" s="15" t="s">
        <v>14896</v>
      </c>
      <c r="E34702" s="2">
        <v>3182640</v>
      </c>
      <c r="F34702" s="4" t="e">
        <f>IF(B34702=#REF!,"",B34702)</f>
        <v>#REF!</v>
      </c>
    </row>
    <row r="34703" spans="1:6" ht="15.75" customHeight="1">
      <c r="A34703" s="15" t="s">
        <v>27926</v>
      </c>
      <c r="B34703" s="15" t="s">
        <v>27926</v>
      </c>
      <c r="C34703" s="15" t="s">
        <v>27788</v>
      </c>
      <c r="D34703" s="15" t="s">
        <v>5468</v>
      </c>
      <c r="E34703" s="2">
        <v>4146429</v>
      </c>
      <c r="F34703" s="4" t="e">
        <f>IF(B34703=#REF!,"",B34703)</f>
        <v>#REF!</v>
      </c>
    </row>
    <row r="34704" spans="1:6" ht="15.75" customHeight="1">
      <c r="A34704" s="15" t="s">
        <v>27925</v>
      </c>
      <c r="B34704" s="15" t="s">
        <v>27925</v>
      </c>
      <c r="C34704" s="15" t="s">
        <v>27788</v>
      </c>
      <c r="D34704" s="15" t="s">
        <v>27905</v>
      </c>
      <c r="E34704" s="2">
        <v>5095325</v>
      </c>
      <c r="F34704" s="4" t="e">
        <f>IF(B34704=#REF!,"",B34704)</f>
        <v>#REF!</v>
      </c>
    </row>
    <row r="34705" spans="1:6" ht="15.75" customHeight="1">
      <c r="A34705" s="15" t="s">
        <v>27924</v>
      </c>
      <c r="B34705" s="15" t="s">
        <v>27924</v>
      </c>
      <c r="C34705" s="15" t="s">
        <v>27788</v>
      </c>
      <c r="D34705" s="15" t="s">
        <v>27801</v>
      </c>
      <c r="E34705" s="2">
        <v>5325327</v>
      </c>
      <c r="F34705" s="4" t="e">
        <f>IF(B34705=#REF!,"",B34705)</f>
        <v>#REF!</v>
      </c>
    </row>
    <row r="34706" spans="1:6" ht="15.75" customHeight="1">
      <c r="A34706" s="15" t="s">
        <v>14954</v>
      </c>
      <c r="B34706" s="15" t="s">
        <v>14954</v>
      </c>
      <c r="C34706" s="15" t="s">
        <v>14891</v>
      </c>
      <c r="D34706" s="15" t="s">
        <v>14896</v>
      </c>
      <c r="E34706" s="2">
        <v>3182650</v>
      </c>
      <c r="F34706" s="4" t="e">
        <f>IF(B34706=#REF!,"",B34706)</f>
        <v>#REF!</v>
      </c>
    </row>
    <row r="34707" spans="1:6" ht="15.75" customHeight="1">
      <c r="A34707" s="16" t="s">
        <v>580</v>
      </c>
      <c r="B34707" s="15" t="s">
        <v>581</v>
      </c>
      <c r="C34707" s="16" t="s">
        <v>558</v>
      </c>
      <c r="D34707" s="16" t="s">
        <v>579</v>
      </c>
      <c r="E34707" s="2">
        <v>3436230</v>
      </c>
      <c r="F34707" s="4" t="e">
        <f>IF(B34707=#REF!,"",B34707)</f>
        <v>#REF!</v>
      </c>
    </row>
    <row r="34708" spans="1:6" ht="15.75" customHeight="1">
      <c r="A34708" s="15" t="s">
        <v>21612</v>
      </c>
      <c r="B34708" s="15" t="s">
        <v>21612</v>
      </c>
      <c r="C34708" s="15" t="s">
        <v>21606</v>
      </c>
      <c r="D34708" s="15" t="s">
        <v>21612</v>
      </c>
      <c r="E34708" s="2">
        <v>2742611</v>
      </c>
      <c r="F34708" s="4" t="e">
        <f>IF(B34708=#REF!,"",B34708)</f>
        <v>#REF!</v>
      </c>
    </row>
    <row r="34709" spans="1:6" ht="15.75" customHeight="1">
      <c r="A34709" s="15" t="s">
        <v>26885</v>
      </c>
      <c r="B34709" s="15" t="s">
        <v>26885</v>
      </c>
      <c r="C34709" s="15" t="s">
        <v>26870</v>
      </c>
      <c r="D34709" s="15" t="s">
        <v>22345</v>
      </c>
      <c r="E34709" s="2">
        <v>713122</v>
      </c>
      <c r="F34709" s="4" t="e">
        <f>IF(B34709=#REF!,"",B34709)</f>
        <v>#REF!</v>
      </c>
    </row>
    <row r="34710" spans="1:6" ht="15.75" customHeight="1">
      <c r="A34710" s="15" t="s">
        <v>5661</v>
      </c>
      <c r="B34710" s="15" t="s">
        <v>5661</v>
      </c>
      <c r="C34710" s="15" t="s">
        <v>5662</v>
      </c>
      <c r="D34710" s="15" t="s">
        <v>551</v>
      </c>
      <c r="E34710" s="2">
        <v>4035715</v>
      </c>
      <c r="F34710" s="4" t="str">
        <f>IF(B34710=B34709,"",B34710)</f>
        <v>Avarua</v>
      </c>
    </row>
    <row r="34711" spans="1:6" ht="15.75" customHeight="1">
      <c r="A34711" s="16" t="str">
        <f ca="1">IFERROR(__xludf.DUMMYFUNCTION("GOOGLETRANSLATE(B25247,""en"",""pt"")"),"Avaré")</f>
        <v>Avaré</v>
      </c>
      <c r="B34711" s="20" t="s">
        <v>2055</v>
      </c>
      <c r="C34711" s="20" t="s">
        <v>1905</v>
      </c>
      <c r="D34711" s="20" t="s">
        <v>3354</v>
      </c>
      <c r="E34711" s="10">
        <v>3471291</v>
      </c>
      <c r="F34711" s="4" t="str">
        <f>IF(B34711=B34710,"",B34711)</f>
        <v>Avaré</v>
      </c>
    </row>
    <row r="34712" spans="1:6" ht="15.75" customHeight="1">
      <c r="A34712" s="15" t="s">
        <v>2055</v>
      </c>
      <c r="B34712" s="15" t="s">
        <v>2056</v>
      </c>
      <c r="C34712" s="15" t="s">
        <v>1905</v>
      </c>
      <c r="D34712" s="15" t="s">
        <v>1914</v>
      </c>
      <c r="E34712" s="2">
        <v>3471291</v>
      </c>
      <c r="F34712" s="4" t="e">
        <f>IF(B34712=#REF!,"",B34712)</f>
        <v>#REF!</v>
      </c>
    </row>
    <row r="34713" spans="1:6" ht="15.75" customHeight="1">
      <c r="A34713" s="16" t="s">
        <v>10416</v>
      </c>
      <c r="B34713" s="15" t="s">
        <v>10416</v>
      </c>
      <c r="C34713" s="16" t="s">
        <v>10178</v>
      </c>
      <c r="D34713" s="16" t="s">
        <v>10190</v>
      </c>
      <c r="E34713" s="2">
        <v>1278122</v>
      </c>
      <c r="F34713" s="4" t="str">
        <f>IF(B34713=B34712,"",B34713)</f>
        <v>Avanigadda</v>
      </c>
    </row>
    <row r="34714" spans="1:6" ht="15.75" customHeight="1">
      <c r="A34714" s="16" t="str">
        <f ca="1">IFERROR(__xludf.DUMMYFUNCTION("GOOGLETRANSLATE(B34045,""en"",""pt"")"),"Āvadi")</f>
        <v>Āvadi</v>
      </c>
      <c r="B34714" s="20" t="s">
        <v>34002</v>
      </c>
      <c r="C34714" s="20" t="s">
        <v>10178</v>
      </c>
      <c r="D34714" s="20" t="s">
        <v>10196</v>
      </c>
      <c r="E34714" s="10">
        <v>1278130</v>
      </c>
      <c r="F34714" s="4" t="e">
        <f>IF(B34714=#REF!,"",B34714)</f>
        <v>#REF!</v>
      </c>
    </row>
    <row r="34715" spans="1:6" ht="15.75" customHeight="1">
      <c r="A34715" s="15" t="s">
        <v>7134</v>
      </c>
      <c r="B34715" s="15" t="s">
        <v>7134</v>
      </c>
      <c r="C34715" s="15" t="s">
        <v>7052</v>
      </c>
      <c r="D34715" s="15" t="s">
        <v>7128</v>
      </c>
      <c r="E34715" s="2">
        <v>3035843</v>
      </c>
      <c r="F34715" s="4" t="e">
        <f>IF(B34715=#REF!,"",B34715)</f>
        <v>#REF!</v>
      </c>
    </row>
    <row r="34716" spans="1:6" ht="15.75" customHeight="1">
      <c r="A34716" s="15" t="s">
        <v>7132</v>
      </c>
      <c r="B34716" s="15" t="s">
        <v>7133</v>
      </c>
      <c r="C34716" s="15" t="s">
        <v>7052</v>
      </c>
      <c r="D34716" s="15" t="s">
        <v>7128</v>
      </c>
      <c r="E34716" s="2">
        <v>3035883</v>
      </c>
      <c r="F34716" s="4" t="str">
        <f>IF(B34716=B34715,"",B34716)</f>
        <v>Autun</v>
      </c>
    </row>
    <row r="34717" spans="1:6" ht="15.75" customHeight="1">
      <c r="A34717" s="16" t="str">
        <f ca="1">IFERROR(__xludf.DUMMYFUNCTION("GOOGLETRANSLATE(B37332,""en"",""pt"")"),"Autlán de Navarro")</f>
        <v>Autlán de Navarro</v>
      </c>
      <c r="B34717" s="20" t="s">
        <v>34780</v>
      </c>
      <c r="C34717" s="20" t="s">
        <v>17707</v>
      </c>
      <c r="D34717" s="20" t="s">
        <v>17746</v>
      </c>
      <c r="E34717" s="10">
        <v>4017957</v>
      </c>
      <c r="F34717" s="4" t="str">
        <f>IF(B34717=B34716,"",B34717)</f>
        <v>Autlán de Navarro</v>
      </c>
    </row>
    <row r="34718" spans="1:6" ht="15.75" customHeight="1">
      <c r="A34718" s="16" t="s">
        <v>17777</v>
      </c>
      <c r="B34718" s="15" t="s">
        <v>17778</v>
      </c>
      <c r="C34718" s="16" t="s">
        <v>17707</v>
      </c>
      <c r="D34718" s="16" t="s">
        <v>17746</v>
      </c>
      <c r="E34718" s="2">
        <v>4017957</v>
      </c>
      <c r="F34718" s="4" t="e">
        <f>IF(B34718=#REF!,"",B34718)</f>
        <v>#REF!</v>
      </c>
    </row>
    <row r="34719" spans="1:6" ht="15.75" customHeight="1">
      <c r="A34719" s="16" t="s">
        <v>27923</v>
      </c>
      <c r="B34719" s="15" t="s">
        <v>27923</v>
      </c>
      <c r="C34719" s="16" t="s">
        <v>27788</v>
      </c>
      <c r="D34719" s="16" t="s">
        <v>27813</v>
      </c>
      <c r="E34719" s="2">
        <v>5146256</v>
      </c>
      <c r="F34719" s="4" t="e">
        <f>IF(B34719=#REF!,"",B34719)</f>
        <v>#REF!</v>
      </c>
    </row>
    <row r="34720" spans="1:6" ht="15.75" customHeight="1">
      <c r="A34720" s="15" t="s">
        <v>27922</v>
      </c>
      <c r="B34720" s="15" t="s">
        <v>27922</v>
      </c>
      <c r="C34720" s="15" t="s">
        <v>27788</v>
      </c>
      <c r="D34720" s="15" t="s">
        <v>27792</v>
      </c>
      <c r="E34720" s="2">
        <v>4671654</v>
      </c>
      <c r="F34720" s="4" t="e">
        <f>IF(B34720=#REF!,"",B34720)</f>
        <v>#REF!</v>
      </c>
    </row>
    <row r="34721" spans="1:6" ht="15.75" customHeight="1">
      <c r="A34721" s="15" t="s">
        <v>10414</v>
      </c>
      <c r="B34721" s="15" t="s">
        <v>10415</v>
      </c>
      <c r="C34721" s="15" t="s">
        <v>10178</v>
      </c>
      <c r="D34721" s="15" t="s">
        <v>10214</v>
      </c>
      <c r="E34721" s="2">
        <v>1278139</v>
      </c>
      <c r="F34721" s="4" t="e">
        <f>IF(B34721=#REF!,"",B34721)</f>
        <v>#REF!</v>
      </c>
    </row>
    <row r="34722" spans="1:6" ht="15.75" customHeight="1">
      <c r="A34722" s="15" t="s">
        <v>20629</v>
      </c>
      <c r="B34722" s="15" t="s">
        <v>20630</v>
      </c>
      <c r="C34722" s="15" t="s">
        <v>20598</v>
      </c>
      <c r="D34722" s="15" t="s">
        <v>20608</v>
      </c>
      <c r="E34722" s="2">
        <v>1689994</v>
      </c>
      <c r="F34722" s="4" t="e">
        <f>IF(B34722=#REF!,"",B34722)</f>
        <v>#REF!</v>
      </c>
    </row>
    <row r="34723" spans="1:6" ht="15.75" customHeight="1">
      <c r="A34723" s="15" t="s">
        <v>7131</v>
      </c>
      <c r="B34723" s="15" t="s">
        <v>7131</v>
      </c>
      <c r="C34723" s="15" t="s">
        <v>7052</v>
      </c>
      <c r="D34723" s="15" t="s">
        <v>7053</v>
      </c>
      <c r="E34723" s="2">
        <v>3036016</v>
      </c>
      <c r="F34723" s="4" t="e">
        <f>IF(B34723=#REF!,"",B34723)</f>
        <v>#REF!</v>
      </c>
    </row>
    <row r="34724" spans="1:6" ht="15.75" customHeight="1">
      <c r="A34724" s="15" t="s">
        <v>8091</v>
      </c>
      <c r="B34724" s="15" t="s">
        <v>8092</v>
      </c>
      <c r="C34724" s="15" t="s">
        <v>8028</v>
      </c>
      <c r="D34724" s="15" t="s">
        <v>8034</v>
      </c>
      <c r="E34724" s="2">
        <v>2954006</v>
      </c>
      <c r="F34724" s="4" t="str">
        <f>IF(B34724=B34723,"",B34724)</f>
        <v>Aurich</v>
      </c>
    </row>
    <row r="34725" spans="1:6" ht="15.75" customHeight="1">
      <c r="A34725" s="16" t="str">
        <f ca="1">IFERROR(__xludf.DUMMYFUNCTION("GOOGLETRANSLATE(B34047,""en"",""pt"")"),"Aurangābād")</f>
        <v>Aurangābād</v>
      </c>
      <c r="B34725" s="20" t="s">
        <v>34003</v>
      </c>
      <c r="C34725" s="20" t="s">
        <v>10178</v>
      </c>
      <c r="D34725" s="20" t="s">
        <v>10317</v>
      </c>
      <c r="E34725" s="10">
        <v>1278148</v>
      </c>
      <c r="F34725" s="4" t="e">
        <f>IF(B34725=#REF!,"",B34725)</f>
        <v>#REF!</v>
      </c>
    </row>
    <row r="34726" spans="1:6" ht="15.75" customHeight="1">
      <c r="A34726" s="16" t="s">
        <v>10413</v>
      </c>
      <c r="B34726" s="15" t="s">
        <v>10413</v>
      </c>
      <c r="C34726" s="16" t="s">
        <v>10178</v>
      </c>
      <c r="D34726" s="16" t="s">
        <v>10214</v>
      </c>
      <c r="E34726" s="2">
        <v>1278149</v>
      </c>
      <c r="F34726" s="4" t="str">
        <f>IF(B34726=B34725,"",B34726)</f>
        <v>Aurangabad</v>
      </c>
    </row>
    <row r="34727" spans="1:6" ht="15.75" customHeight="1">
      <c r="A34727" s="16" t="s">
        <v>10411</v>
      </c>
      <c r="B34727" s="15" t="s">
        <v>10412</v>
      </c>
      <c r="C34727" s="16" t="s">
        <v>10178</v>
      </c>
      <c r="D34727" s="16" t="s">
        <v>10317</v>
      </c>
      <c r="E34727" s="2">
        <v>1278148</v>
      </c>
      <c r="F34727" s="4" t="e">
        <f>IF(B34727=#REF!,"",B34727)</f>
        <v>#REF!</v>
      </c>
    </row>
    <row r="34728" spans="1:6" ht="15.75" customHeight="1">
      <c r="A34728" s="15" t="s">
        <v>10410</v>
      </c>
      <c r="B34728" s="15" t="s">
        <v>10410</v>
      </c>
      <c r="C34728" s="15" t="s">
        <v>10178</v>
      </c>
      <c r="D34728" s="15" t="s">
        <v>10193</v>
      </c>
      <c r="E34728" s="2">
        <v>1278152</v>
      </c>
      <c r="F34728" s="4" t="str">
        <f>IF(B34728=B34727,"",B34728)</f>
        <v>Auraiya</v>
      </c>
    </row>
    <row r="34729" spans="1:6" ht="15.75" customHeight="1">
      <c r="A34729" s="16" t="str">
        <f ca="1">IFERROR(__xludf.DUMMYFUNCTION("GOOGLETRANSLATE(B34050,""en"",""pt"")"),"Aurād")</f>
        <v>Aurād</v>
      </c>
      <c r="B34729" s="20" t="s">
        <v>34004</v>
      </c>
      <c r="C34729" s="20" t="s">
        <v>10178</v>
      </c>
      <c r="D34729" s="20" t="s">
        <v>10252</v>
      </c>
      <c r="E34729" s="10">
        <v>1278156</v>
      </c>
      <c r="F34729" s="4" t="str">
        <f>IF(B34729=B34728,"",B34729)</f>
        <v>Aurād</v>
      </c>
    </row>
    <row r="34730" spans="1:6" ht="15.75" customHeight="1">
      <c r="A34730" s="15" t="s">
        <v>10408</v>
      </c>
      <c r="B34730" s="15" t="s">
        <v>10409</v>
      </c>
      <c r="C34730" s="15" t="s">
        <v>10178</v>
      </c>
      <c r="D34730" s="15" t="s">
        <v>10252</v>
      </c>
      <c r="E34730" s="2">
        <v>1278156</v>
      </c>
      <c r="F34730" s="4" t="e">
        <f>IF(B34730=#REF!,"",B34730)</f>
        <v>#REF!</v>
      </c>
    </row>
    <row r="34731" spans="1:6" ht="15.75" customHeight="1">
      <c r="A34731" s="16" t="s">
        <v>7129</v>
      </c>
      <c r="B34731" s="15" t="s">
        <v>7130</v>
      </c>
      <c r="C34731" s="16" t="s">
        <v>7052</v>
      </c>
      <c r="D34731" s="16" t="s">
        <v>7058</v>
      </c>
      <c r="E34731" s="2">
        <v>3036145</v>
      </c>
      <c r="F34731" s="4" t="str">
        <f>IF(B34731=B34730,"",B34731)</f>
        <v>Aulnay-sous-Bois</v>
      </c>
    </row>
    <row r="34732" spans="1:6" ht="15.75" customHeight="1">
      <c r="A34732" s="16" t="str">
        <f ca="1">IFERROR(__xludf.DUMMYFUNCTION("GOOGLETRANSLATE(B39298,""en"",""pt"")"),"Augustów")</f>
        <v>Augustów</v>
      </c>
      <c r="B34732" s="20" t="s">
        <v>35135</v>
      </c>
      <c r="C34732" s="20" t="s">
        <v>21064</v>
      </c>
      <c r="D34732" s="20" t="s">
        <v>21086</v>
      </c>
      <c r="E34732" s="10">
        <v>776597</v>
      </c>
      <c r="F34732" s="4" t="str">
        <f>IF(B34732=B34731,"",B34732)</f>
        <v>Augustów</v>
      </c>
    </row>
    <row r="34733" spans="1:6" ht="15.75" customHeight="1">
      <c r="A34733" s="16" t="str">
        <f ca="1">IFERROR(__xludf.DUMMYFUNCTION("GOOGLETRANSLATE(B24400,""en"",""pt"")"),"Augusto Corrêa")</f>
        <v>Augusto Corrêa</v>
      </c>
      <c r="B34733" s="20" t="s">
        <v>31417</v>
      </c>
      <c r="C34733" s="20" t="s">
        <v>1905</v>
      </c>
      <c r="D34733" s="20" t="s">
        <v>31342</v>
      </c>
      <c r="E34733" s="10">
        <v>3406961</v>
      </c>
      <c r="F34733" s="4" t="str">
        <f>IF(B34733=B34732,"",B34733)</f>
        <v>Augusto Corrêa</v>
      </c>
    </row>
    <row r="34734" spans="1:6" ht="15.75" customHeight="1">
      <c r="A34734" s="16" t="s">
        <v>2053</v>
      </c>
      <c r="B34734" s="15" t="s">
        <v>2054</v>
      </c>
      <c r="C34734" s="16" t="s">
        <v>1905</v>
      </c>
      <c r="D34734" s="16" t="s">
        <v>1906</v>
      </c>
      <c r="E34734" s="2">
        <v>3406961</v>
      </c>
      <c r="F34734" s="4" t="str">
        <f>IF(B34734=B34733,"",B34734)</f>
        <v>Augusto CorrÃªa</v>
      </c>
    </row>
    <row r="34735" spans="1:6" ht="15.75" customHeight="1">
      <c r="A34735" s="16" t="s">
        <v>21128</v>
      </c>
      <c r="B34735" s="15" t="s">
        <v>21129</v>
      </c>
      <c r="C34735" s="16" t="s">
        <v>21064</v>
      </c>
      <c r="D34735" s="16" t="s">
        <v>21086</v>
      </c>
      <c r="E34735" s="2">
        <v>776597</v>
      </c>
      <c r="F34735" s="4" t="e">
        <f>IF(B34735=#REF!,"",B34735)</f>
        <v>#REF!</v>
      </c>
    </row>
    <row r="34736" spans="1:6" ht="15.75" customHeight="1">
      <c r="A34736" s="15" t="s">
        <v>14953</v>
      </c>
      <c r="B34736" s="15" t="s">
        <v>14953</v>
      </c>
      <c r="C34736" s="15" t="s">
        <v>14891</v>
      </c>
      <c r="D34736" s="15" t="s">
        <v>14899</v>
      </c>
      <c r="E34736" s="2">
        <v>2525646</v>
      </c>
      <c r="F34736" s="4" t="e">
        <f>IF(B34736=#REF!,"",B34736)</f>
        <v>#REF!</v>
      </c>
    </row>
    <row r="34737" spans="1:6" ht="15.75" customHeight="1">
      <c r="A34737" s="15" t="s">
        <v>8090</v>
      </c>
      <c r="B34737" s="15" t="s">
        <v>8090</v>
      </c>
      <c r="C34737" s="15" t="s">
        <v>8028</v>
      </c>
      <c r="D34737" s="15" t="s">
        <v>8044</v>
      </c>
      <c r="E34737" s="2">
        <v>2954172</v>
      </c>
      <c r="F34737" s="4" t="e">
        <f>IF(B34737=#REF!,"",B34737)</f>
        <v>#REF!</v>
      </c>
    </row>
    <row r="34738" spans="1:6" ht="15.75" customHeight="1">
      <c r="A34738" s="15" t="s">
        <v>8089</v>
      </c>
      <c r="B34738" s="15" t="s">
        <v>8089</v>
      </c>
      <c r="C34738" s="15" t="s">
        <v>8028</v>
      </c>
      <c r="D34738" s="15" t="s">
        <v>8072</v>
      </c>
      <c r="E34738" s="2">
        <v>2954602</v>
      </c>
      <c r="F34738" s="4" t="e">
        <f>IF(B34738=#REF!,"",B34738)</f>
        <v>#REF!</v>
      </c>
    </row>
    <row r="34739" spans="1:6" ht="15.75" customHeight="1">
      <c r="A34739" s="15" t="s">
        <v>8088</v>
      </c>
      <c r="B34739" s="15" t="s">
        <v>8088</v>
      </c>
      <c r="C34739" s="15" t="s">
        <v>8028</v>
      </c>
      <c r="D34739" s="15" t="s">
        <v>8072</v>
      </c>
      <c r="E34739" s="2">
        <v>2954695</v>
      </c>
      <c r="F34739" s="4" t="e">
        <f>IF(B34739=#REF!,"",B34739)</f>
        <v>#REF!</v>
      </c>
    </row>
    <row r="34740" spans="1:6" ht="15.75" customHeight="1">
      <c r="A34740" s="16" t="s">
        <v>7127</v>
      </c>
      <c r="B34740" s="15" t="s">
        <v>7127</v>
      </c>
      <c r="C34740" s="16" t="s">
        <v>7052</v>
      </c>
      <c r="D34740" s="16" t="s">
        <v>7128</v>
      </c>
      <c r="E34740" s="2">
        <v>3036240</v>
      </c>
      <c r="F34740" s="4" t="e">
        <f>IF(B34740=#REF!,"",B34740)</f>
        <v>#REF!</v>
      </c>
    </row>
    <row r="34741" spans="1:6" ht="15.75" customHeight="1">
      <c r="A34741" s="15" t="s">
        <v>19171</v>
      </c>
      <c r="B34741" s="15" t="s">
        <v>19171</v>
      </c>
      <c r="C34741" s="15" t="s">
        <v>19169</v>
      </c>
      <c r="D34741" s="15" t="s">
        <v>19171</v>
      </c>
      <c r="E34741" s="2">
        <v>2193733</v>
      </c>
      <c r="F34741" s="4" t="e">
        <f>IF(B34741=#REF!,"",B34741)</f>
        <v>#REF!</v>
      </c>
    </row>
    <row r="34742" spans="1:6" ht="15.75" customHeight="1">
      <c r="A34742" s="15" t="s">
        <v>19327</v>
      </c>
      <c r="B34742" s="15" t="s">
        <v>19327</v>
      </c>
      <c r="C34742" s="15" t="s">
        <v>19294</v>
      </c>
      <c r="D34742" s="15" t="s">
        <v>19328</v>
      </c>
      <c r="E34742" s="2">
        <v>2348892</v>
      </c>
      <c r="F34742" s="4" t="e">
        <f>IF(B34742=#REF!,"",B34742)</f>
        <v>#REF!</v>
      </c>
    </row>
    <row r="34743" spans="1:6" ht="15.75" customHeight="1">
      <c r="A34743" s="15" t="s">
        <v>7126</v>
      </c>
      <c r="B34743" s="15" t="s">
        <v>7126</v>
      </c>
      <c r="C34743" s="15" t="s">
        <v>7052</v>
      </c>
      <c r="D34743" s="15" t="s">
        <v>7082</v>
      </c>
      <c r="E34743" s="2">
        <v>3036281</v>
      </c>
      <c r="F34743" s="4" t="e">
        <f>IF(B34743=#REF!,"",B34743)</f>
        <v>#REF!</v>
      </c>
    </row>
    <row r="34744" spans="1:6" ht="15.75" customHeight="1">
      <c r="A34744" s="16" t="s">
        <v>27921</v>
      </c>
      <c r="B34744" s="15" t="s">
        <v>27921</v>
      </c>
      <c r="C34744" s="16" t="s">
        <v>27788</v>
      </c>
      <c r="D34744" s="16" t="s">
        <v>27804</v>
      </c>
      <c r="E34744" s="2">
        <v>4984565</v>
      </c>
      <c r="F34744" s="4" t="e">
        <f>IF(B34744=#REF!,"",B34744)</f>
        <v>#REF!</v>
      </c>
    </row>
    <row r="34745" spans="1:6" ht="15.75" customHeight="1">
      <c r="A34745" s="15" t="s">
        <v>898</v>
      </c>
      <c r="B34745" s="15" t="s">
        <v>898</v>
      </c>
      <c r="C34745" s="15" t="s">
        <v>885</v>
      </c>
      <c r="D34745" s="15" t="s">
        <v>891</v>
      </c>
      <c r="E34745" s="2">
        <v>2177513</v>
      </c>
      <c r="F34745" s="4" t="e">
        <f>IF(B34745=#REF!,"",B34745)</f>
        <v>#REF!</v>
      </c>
    </row>
    <row r="34746" spans="1:6" ht="15.75" customHeight="1">
      <c r="A34746" s="16" t="s">
        <v>7125</v>
      </c>
      <c r="B34746" s="15" t="s">
        <v>7125</v>
      </c>
      <c r="C34746" s="16" t="s">
        <v>7052</v>
      </c>
      <c r="D34746" s="16" t="s">
        <v>7058</v>
      </c>
      <c r="E34746" s="2">
        <v>3036386</v>
      </c>
      <c r="F34746" s="4" t="e">
        <f>IF(B34746=#REF!,"",B34746)</f>
        <v>#REF!</v>
      </c>
    </row>
    <row r="34747" spans="1:6" ht="15.75" customHeight="1">
      <c r="A34747" s="15" t="s">
        <v>7124</v>
      </c>
      <c r="B34747" s="15" t="s">
        <v>7124</v>
      </c>
      <c r="C34747" s="15" t="s">
        <v>7052</v>
      </c>
      <c r="D34747" s="15" t="s">
        <v>7087</v>
      </c>
      <c r="E34747" s="2">
        <v>3036433</v>
      </c>
      <c r="F34747" s="4" t="e">
        <f>IF(B34747=#REF!,"",B34747)</f>
        <v>#REF!</v>
      </c>
    </row>
    <row r="34748" spans="1:6" ht="15.75" customHeight="1">
      <c r="A34748" s="15" t="s">
        <v>16694</v>
      </c>
      <c r="B34748" s="15" t="s">
        <v>16694</v>
      </c>
      <c r="C34748" s="15" t="s">
        <v>16671</v>
      </c>
      <c r="D34748" s="15" t="s">
        <v>16695</v>
      </c>
      <c r="E34748" s="2">
        <v>610529</v>
      </c>
      <c r="F34748" s="4" t="e">
        <f>IF(B34748=#REF!,"",B34748)</f>
        <v>#REF!</v>
      </c>
    </row>
    <row r="34749" spans="1:6" ht="15.75" customHeight="1">
      <c r="A34749" s="15" t="s">
        <v>27919</v>
      </c>
      <c r="B34749" s="15" t="s">
        <v>27919</v>
      </c>
      <c r="C34749" s="15" t="s">
        <v>27788</v>
      </c>
      <c r="D34749" s="15" t="s">
        <v>27801</v>
      </c>
      <c r="E34749" s="2">
        <v>5325187</v>
      </c>
      <c r="F34749" s="4" t="e">
        <f>IF(B34749=#REF!,"",B34749)</f>
        <v>#REF!</v>
      </c>
    </row>
    <row r="34750" spans="1:6" ht="15.75" customHeight="1">
      <c r="A34750" s="16" t="s">
        <v>6400</v>
      </c>
      <c r="B34750" s="15" t="s">
        <v>6400</v>
      </c>
      <c r="C34750" s="16" t="s">
        <v>6398</v>
      </c>
      <c r="D34750" s="16" t="s">
        <v>6401</v>
      </c>
      <c r="E34750" s="2">
        <v>3660478</v>
      </c>
      <c r="F34750" s="4" t="e">
        <f>IF(B34750=#REF!,"",B34750)</f>
        <v>#REF!</v>
      </c>
    </row>
    <row r="34751" spans="1:6" ht="15.75" customHeight="1">
      <c r="A34751" s="15" t="s">
        <v>10406</v>
      </c>
      <c r="B34751" s="15" t="s">
        <v>10407</v>
      </c>
      <c r="C34751" s="15" t="s">
        <v>10178</v>
      </c>
      <c r="D34751" s="15" t="s">
        <v>10196</v>
      </c>
      <c r="E34751" s="2">
        <v>1278173</v>
      </c>
      <c r="F34751" s="4" t="e">
        <f>IF(B34751=#REF!,"",B34751)</f>
        <v>#REF!</v>
      </c>
    </row>
    <row r="34752" spans="1:6" ht="15.75" customHeight="1">
      <c r="A34752" s="16" t="s">
        <v>19817</v>
      </c>
      <c r="B34752" s="15" t="s">
        <v>19818</v>
      </c>
      <c r="C34752" s="16" t="s">
        <v>19808</v>
      </c>
      <c r="D34752" s="16" t="s">
        <v>10184</v>
      </c>
      <c r="E34752" s="2">
        <v>1184249</v>
      </c>
      <c r="F34752" s="4" t="e">
        <f>IF(B34752=#REF!,"",B34752)</f>
        <v>#REF!</v>
      </c>
    </row>
    <row r="34753" spans="1:6" ht="15.75" customHeight="1">
      <c r="A34753" s="15" t="s">
        <v>27918</v>
      </c>
      <c r="B34753" s="15" t="s">
        <v>27918</v>
      </c>
      <c r="C34753" s="15" t="s">
        <v>27788</v>
      </c>
      <c r="D34753" s="15" t="s">
        <v>27794</v>
      </c>
      <c r="E34753" s="2">
        <v>4929399</v>
      </c>
      <c r="F34753" s="4" t="e">
        <f>IF(B34753=#REF!,"",B34753)</f>
        <v>#REF!</v>
      </c>
    </row>
    <row r="34754" spans="1:6" ht="15.75" customHeight="1">
      <c r="A34754" s="15" t="s">
        <v>10405</v>
      </c>
      <c r="B34754" s="15" t="s">
        <v>10405</v>
      </c>
      <c r="C34754" s="15" t="s">
        <v>10178</v>
      </c>
      <c r="D34754" s="15" t="s">
        <v>10246</v>
      </c>
      <c r="E34754" s="2">
        <v>1278176</v>
      </c>
      <c r="F34754" s="4" t="e">
        <f>IF(B34754=#REF!,"",B34754)</f>
        <v>#REF!</v>
      </c>
    </row>
    <row r="34755" spans="1:6" ht="15.75" customHeight="1">
      <c r="A34755" s="15" t="s">
        <v>10404</v>
      </c>
      <c r="B34755" s="15" t="s">
        <v>10404</v>
      </c>
      <c r="C34755" s="15" t="s">
        <v>10178</v>
      </c>
      <c r="D34755" s="15" t="s">
        <v>10190</v>
      </c>
      <c r="E34755" s="2">
        <v>1278178</v>
      </c>
      <c r="F34755" s="4" t="e">
        <f>IF(B34755=#REF!,"",B34755)</f>
        <v>#REF!</v>
      </c>
    </row>
    <row r="34756" spans="1:6" ht="15.75" customHeight="1">
      <c r="A34756" s="15" t="s">
        <v>8086</v>
      </c>
      <c r="B34756" s="15" t="s">
        <v>8087</v>
      </c>
      <c r="C34756" s="15" t="s">
        <v>8028</v>
      </c>
      <c r="D34756" s="15" t="s">
        <v>8029</v>
      </c>
      <c r="E34756" s="2">
        <v>2954932</v>
      </c>
      <c r="F34756" s="4" t="e">
        <f>IF(B34756=#REF!,"",B34756)</f>
        <v>#REF!</v>
      </c>
    </row>
    <row r="34757" spans="1:6" ht="15.75" customHeight="1">
      <c r="A34757" s="15" t="s">
        <v>15829</v>
      </c>
      <c r="B34757" s="15" t="s">
        <v>15829</v>
      </c>
      <c r="C34757" s="15" t="s">
        <v>15704</v>
      </c>
      <c r="D34757" s="15" t="s">
        <v>15755</v>
      </c>
      <c r="E34757" s="2">
        <v>1847963</v>
      </c>
      <c r="F34757" s="4" t="str">
        <f>IF(B34757=B34756,"",B34757)</f>
        <v>Atsugi</v>
      </c>
    </row>
    <row r="34758" spans="1:6" ht="15.75" customHeight="1">
      <c r="A34758" s="16" t="str">
        <f ca="1">IFERROR(__xludf.DUMMYFUNCTION("GOOGLETRANSLATE(B34054,""en"",""pt"")"),"Atraulī")</f>
        <v>Atraulī</v>
      </c>
      <c r="B34758" s="20" t="s">
        <v>34005</v>
      </c>
      <c r="C34758" s="20" t="s">
        <v>10178</v>
      </c>
      <c r="D34758" s="20" t="s">
        <v>10193</v>
      </c>
      <c r="E34758" s="10">
        <v>1278190</v>
      </c>
      <c r="F34758" s="4" t="str">
        <f>IF(B34758=B34757,"",B34758)</f>
        <v>Atraulī</v>
      </c>
    </row>
    <row r="34759" spans="1:6" ht="15.75" customHeight="1">
      <c r="A34759" s="15" t="s">
        <v>10402</v>
      </c>
      <c r="B34759" s="15" t="s">
        <v>10403</v>
      </c>
      <c r="C34759" s="15" t="s">
        <v>10178</v>
      </c>
      <c r="D34759" s="15" t="s">
        <v>10193</v>
      </c>
      <c r="E34759" s="2">
        <v>1278190</v>
      </c>
      <c r="F34759" s="4" t="str">
        <f>IF(B34759=B34758,"",B34759)</f>
        <v>AtraulÄ«</v>
      </c>
    </row>
    <row r="34760" spans="1:6" ht="15.75" customHeight="1">
      <c r="A34760" s="16" t="str">
        <f ca="1">IFERROR(__xludf.DUMMYFUNCTION("GOOGLETRANSLATE(B37333,""en"",""pt"")"),"Atoyac de Álvarez")</f>
        <v>Atoyac de Álvarez</v>
      </c>
      <c r="B34760" s="20" t="s">
        <v>34781</v>
      </c>
      <c r="C34760" s="20" t="s">
        <v>17707</v>
      </c>
      <c r="D34760" s="20" t="s">
        <v>17723</v>
      </c>
      <c r="E34760" s="10">
        <v>4017984</v>
      </c>
      <c r="F34760" s="4" t="str">
        <f>IF(B34760=B34759,"",B34760)</f>
        <v>Atoyac de Álvarez</v>
      </c>
    </row>
    <row r="34761" spans="1:6" ht="15.75" customHeight="1">
      <c r="A34761" s="16" t="s">
        <v>17775</v>
      </c>
      <c r="B34761" s="15" t="s">
        <v>17776</v>
      </c>
      <c r="C34761" s="16" t="s">
        <v>17707</v>
      </c>
      <c r="D34761" s="16" t="s">
        <v>17723</v>
      </c>
      <c r="E34761" s="2">
        <v>4017984</v>
      </c>
      <c r="F34761" s="4" t="e">
        <f>IF(B34761=#REF!,"",B34761)</f>
        <v>#REF!</v>
      </c>
    </row>
    <row r="34762" spans="1:6" ht="15.75" customHeight="1">
      <c r="A34762" s="16" t="s">
        <v>17773</v>
      </c>
      <c r="B34762" s="15" t="s">
        <v>17774</v>
      </c>
      <c r="C34762" s="16" t="s">
        <v>17707</v>
      </c>
      <c r="D34762" s="16" t="s">
        <v>17746</v>
      </c>
      <c r="E34762" s="2">
        <v>4017992</v>
      </c>
      <c r="F34762" s="4" t="str">
        <f>IF(B34762=B34761,"",B34762)</f>
        <v>Atotonilco el Alto</v>
      </c>
    </row>
    <row r="34763" spans="1:6" ht="15.75" customHeight="1">
      <c r="A34763" s="16" t="str">
        <f ca="1">IFERROR(__xludf.DUMMYFUNCTION("GOOGLETRANSLATE(B34055,""en"",""pt"")"),"Atmakūr")</f>
        <v>Atmakūr</v>
      </c>
      <c r="B34763" s="20" t="s">
        <v>34006</v>
      </c>
      <c r="C34763" s="20" t="s">
        <v>10178</v>
      </c>
      <c r="D34763" s="20" t="s">
        <v>10190</v>
      </c>
      <c r="E34763" s="10">
        <v>1278201</v>
      </c>
      <c r="F34763" s="4" t="str">
        <f>IF(B34763=B34762,"",B34763)</f>
        <v>Atmakūr</v>
      </c>
    </row>
    <row r="34764" spans="1:6" ht="15.75" customHeight="1">
      <c r="A34764" s="16" t="s">
        <v>10400</v>
      </c>
      <c r="B34764" s="15" t="s">
        <v>10401</v>
      </c>
      <c r="C34764" s="16" t="s">
        <v>10178</v>
      </c>
      <c r="D34764" s="16" t="s">
        <v>10190</v>
      </c>
      <c r="E34764" s="2">
        <v>1278201</v>
      </c>
      <c r="F34764" s="4" t="e">
        <f>IF(B34764=#REF!,"",B34764)</f>
        <v>#REF!</v>
      </c>
    </row>
    <row r="34765" spans="1:6" ht="15.75" customHeight="1">
      <c r="A34765" s="15" t="s">
        <v>17772</v>
      </c>
      <c r="B34765" s="15" t="s">
        <v>17772</v>
      </c>
      <c r="C34765" s="15" t="s">
        <v>17707</v>
      </c>
      <c r="D34765" s="15" t="s">
        <v>17717</v>
      </c>
      <c r="E34765" s="2">
        <v>3532592</v>
      </c>
      <c r="F34765" s="4" t="e">
        <f>IF(B34765=#REF!,"",B34765)</f>
        <v>#REF!</v>
      </c>
    </row>
    <row r="34766" spans="1:6" ht="15.75" customHeight="1">
      <c r="A34766" s="15" t="s">
        <v>23846</v>
      </c>
      <c r="B34766" s="15" t="s">
        <v>23846</v>
      </c>
      <c r="C34766" s="15" t="s">
        <v>23842</v>
      </c>
      <c r="D34766" s="15" t="s">
        <v>23847</v>
      </c>
      <c r="E34766" s="2">
        <v>3370352</v>
      </c>
      <c r="F34766" s="4" t="e">
        <f>IF(B34766=#REF!,"",B34766)</f>
        <v>#REF!</v>
      </c>
    </row>
    <row r="34767" spans="1:6" ht="15.75" customHeight="1">
      <c r="A34767" s="16" t="s">
        <v>27916</v>
      </c>
      <c r="B34767" s="15" t="s">
        <v>27917</v>
      </c>
      <c r="C34767" s="16" t="s">
        <v>27788</v>
      </c>
      <c r="D34767" s="16" t="s">
        <v>27905</v>
      </c>
      <c r="E34767" s="2">
        <v>4500546</v>
      </c>
      <c r="F34767" s="4" t="e">
        <f>IF(B34767=#REF!,"",B34767)</f>
        <v>#REF!</v>
      </c>
    </row>
    <row r="34768" spans="1:6" ht="15.75" customHeight="1">
      <c r="A34768" s="15" t="s">
        <v>27915</v>
      </c>
      <c r="B34768" s="15" t="s">
        <v>27915</v>
      </c>
      <c r="C34768" s="15" t="s">
        <v>27788</v>
      </c>
      <c r="D34768" s="15" t="s">
        <v>7988</v>
      </c>
      <c r="E34768" s="2">
        <v>4180439</v>
      </c>
      <c r="F34768" s="4" t="e">
        <f>IF(B34768=#REF!,"",B34768)</f>
        <v>#REF!</v>
      </c>
    </row>
    <row r="34769" spans="1:6" ht="15.75" customHeight="1">
      <c r="A34769" s="16" t="s">
        <v>17771</v>
      </c>
      <c r="B34769" s="15" t="s">
        <v>17771</v>
      </c>
      <c r="C34769" s="16" t="s">
        <v>17707</v>
      </c>
      <c r="D34769" s="16" t="s">
        <v>17736</v>
      </c>
      <c r="E34769" s="2">
        <v>3532617</v>
      </c>
      <c r="F34769" s="4" t="e">
        <f>IF(B34769=#REF!,"",B34769)</f>
        <v>#REF!</v>
      </c>
    </row>
    <row r="34770" spans="1:6" ht="15.75" customHeight="1">
      <c r="A34770" s="15" t="s">
        <v>22170</v>
      </c>
      <c r="B34770" s="15" t="s">
        <v>22170</v>
      </c>
      <c r="C34770" s="15" t="s">
        <v>22070</v>
      </c>
      <c r="D34770" s="15" t="s">
        <v>22171</v>
      </c>
      <c r="E34770" s="2">
        <v>580420</v>
      </c>
      <c r="F34770" s="4" t="e">
        <f>IF(B34770=#REF!,"",B34770)</f>
        <v>#REF!</v>
      </c>
    </row>
    <row r="34771" spans="1:6" ht="15.75" customHeight="1">
      <c r="A34771" s="15" t="s">
        <v>20628</v>
      </c>
      <c r="B34771" s="15" t="s">
        <v>20628</v>
      </c>
      <c r="C34771" s="15" t="s">
        <v>20598</v>
      </c>
      <c r="D34771" s="15" t="s">
        <v>20608</v>
      </c>
      <c r="E34771" s="2">
        <v>1729987</v>
      </c>
      <c r="F34771" s="4" t="e">
        <f>IF(B34771=#REF!,"",B34771)</f>
        <v>#REF!</v>
      </c>
    </row>
    <row r="34772" spans="1:6" ht="15.75" customHeight="1">
      <c r="A34772" s="15" t="s">
        <v>2051</v>
      </c>
      <c r="B34772" s="15" t="s">
        <v>2052</v>
      </c>
      <c r="C34772" s="15" t="s">
        <v>1905</v>
      </c>
      <c r="D34772" s="15" t="s">
        <v>1914</v>
      </c>
      <c r="E34772" s="2">
        <v>3471335</v>
      </c>
      <c r="F34772" s="4" t="e">
        <f>IF(B34772=#REF!,"",B34772)</f>
        <v>#REF!</v>
      </c>
    </row>
    <row r="34773" spans="1:6" ht="15.75" customHeight="1">
      <c r="A34773" s="15" t="s">
        <v>4310</v>
      </c>
      <c r="B34773" s="15" t="s">
        <v>4311</v>
      </c>
      <c r="C34773" s="15" t="s">
        <v>4305</v>
      </c>
      <c r="D34773" s="15" t="s">
        <v>4312</v>
      </c>
      <c r="E34773" s="2">
        <v>2436400</v>
      </c>
      <c r="F34773" s="4" t="e">
        <f>IF(B34773=#REF!,"",B34773)</f>
        <v>#REF!</v>
      </c>
    </row>
    <row r="34774" spans="1:6" ht="15.75" customHeight="1">
      <c r="A34774" s="15" t="s">
        <v>10399</v>
      </c>
      <c r="B34774" s="15" t="s">
        <v>10399</v>
      </c>
      <c r="C34774" s="15" t="s">
        <v>10178</v>
      </c>
      <c r="D34774" s="15" t="s">
        <v>10252</v>
      </c>
      <c r="E34774" s="2">
        <v>1278208</v>
      </c>
      <c r="F34774" s="4" t="e">
        <f>IF(B34774=#REF!,"",B34774)</f>
        <v>#REF!</v>
      </c>
    </row>
    <row r="34775" spans="1:6" ht="15.75" customHeight="1">
      <c r="A34775" s="15" t="s">
        <v>14730</v>
      </c>
      <c r="B34775" s="15" t="s">
        <v>14730</v>
      </c>
      <c r="C34775" s="15" t="s">
        <v>14728</v>
      </c>
      <c r="D34775" s="15" t="s">
        <v>14729</v>
      </c>
      <c r="E34775" s="2">
        <v>2966839</v>
      </c>
      <c r="F34775" s="4" t="e">
        <f>IF(B34775=#REF!,"",B34775)</f>
        <v>#REF!</v>
      </c>
    </row>
    <row r="34776" spans="1:6" ht="15.75" customHeight="1">
      <c r="A34776" s="16" t="s">
        <v>7122</v>
      </c>
      <c r="B34776" s="15" t="s">
        <v>7123</v>
      </c>
      <c r="C34776" s="16" t="s">
        <v>7052</v>
      </c>
      <c r="D34776" s="16" t="s">
        <v>7058</v>
      </c>
      <c r="E34776" s="2">
        <v>3036460</v>
      </c>
      <c r="F34776" s="4" t="e">
        <f>IF(B34776=#REF!,"",B34776)</f>
        <v>#REF!</v>
      </c>
    </row>
    <row r="34777" spans="1:6" ht="15.75" customHeight="1">
      <c r="A34777" s="15" t="s">
        <v>16779</v>
      </c>
      <c r="B34777" s="15" t="s">
        <v>16780</v>
      </c>
      <c r="C34777" s="15" t="s">
        <v>16781</v>
      </c>
      <c r="D34777" s="15" t="s">
        <v>16782</v>
      </c>
      <c r="E34777" s="2">
        <v>200787</v>
      </c>
      <c r="F34777" s="4" t="e">
        <f>IF(B34777=#REF!,"",B34777)</f>
        <v>#REF!</v>
      </c>
    </row>
    <row r="34778" spans="1:6" ht="15.75" customHeight="1">
      <c r="A34778" s="15" t="s">
        <v>27267</v>
      </c>
      <c r="B34778" s="15" t="s">
        <v>27267</v>
      </c>
      <c r="C34778" s="15" t="s">
        <v>27234</v>
      </c>
      <c r="D34778" s="15" t="s">
        <v>27241</v>
      </c>
      <c r="E34778" s="2">
        <v>2656847</v>
      </c>
      <c r="F34778" s="4" t="e">
        <f>IF(B34778=#REF!,"",B34778)</f>
        <v>#REF!</v>
      </c>
    </row>
    <row r="34779" spans="1:6" ht="15.75" customHeight="1">
      <c r="A34779" s="15" t="s">
        <v>9484</v>
      </c>
      <c r="B34779" s="15" t="s">
        <v>9485</v>
      </c>
      <c r="C34779" s="15" t="s">
        <v>9441</v>
      </c>
      <c r="D34779" s="15" t="s">
        <v>9445</v>
      </c>
      <c r="E34779" s="2">
        <v>264371</v>
      </c>
      <c r="F34779" s="4" t="str">
        <f>IF(B34779=B34778,"",B34779)</f>
        <v>Athens</v>
      </c>
    </row>
    <row r="34780" spans="1:6" ht="15.75" customHeight="1">
      <c r="A34780" s="16" t="str">
        <f ca="1">IFERROR(__xludf.DUMMYFUNCTION("GOOGLETRANSLATE(B34058,""en"",""pt"")"),"Āthagarh")</f>
        <v>Āthagarh</v>
      </c>
      <c r="B34780" s="20" t="s">
        <v>34007</v>
      </c>
      <c r="C34780" s="20" t="s">
        <v>10178</v>
      </c>
      <c r="D34780" s="20" t="s">
        <v>10229</v>
      </c>
      <c r="E34780" s="10">
        <v>1278216</v>
      </c>
      <c r="F34780" s="4" t="e">
        <f>IF(B34780=#REF!,"",B34780)</f>
        <v>#REF!</v>
      </c>
    </row>
    <row r="34781" spans="1:6" ht="15.75" customHeight="1">
      <c r="A34781" s="16" t="s">
        <v>25429</v>
      </c>
      <c r="B34781" s="15" t="s">
        <v>25429</v>
      </c>
      <c r="C34781" s="16" t="s">
        <v>25366</v>
      </c>
      <c r="D34781" s="16" t="s">
        <v>25416</v>
      </c>
      <c r="E34781" s="2">
        <v>172374</v>
      </c>
      <c r="F34781" s="4" t="e">
        <f>IF(B34781=#REF!,"",B34781)</f>
        <v>#REF!</v>
      </c>
    </row>
    <row r="34782" spans="1:6" ht="15.75" customHeight="1">
      <c r="A34782" s="15" t="s">
        <v>1524</v>
      </c>
      <c r="B34782" s="15" t="s">
        <v>1524</v>
      </c>
      <c r="C34782" s="15" t="s">
        <v>1512</v>
      </c>
      <c r="D34782" s="15" t="s">
        <v>1518</v>
      </c>
      <c r="E34782" s="2">
        <v>2803010</v>
      </c>
      <c r="F34782" s="4" t="e">
        <f>IF(B34782=#REF!,"",B34782)</f>
        <v>#REF!</v>
      </c>
    </row>
    <row r="34783" spans="1:6" ht="15.75" customHeight="1">
      <c r="A34783" s="15" t="s">
        <v>16922</v>
      </c>
      <c r="B34783" s="15" t="s">
        <v>16923</v>
      </c>
      <c r="C34783" s="15" t="s">
        <v>16924</v>
      </c>
      <c r="D34783" s="15" t="s">
        <v>16925</v>
      </c>
      <c r="E34783" s="2">
        <v>1528796</v>
      </c>
      <c r="F34783" s="4" t="e">
        <f>IF(B34783=#REF!,"",B34783)</f>
        <v>#REF!</v>
      </c>
    </row>
    <row r="34784" spans="1:6" ht="15.75" customHeight="1">
      <c r="A34784" s="15" t="s">
        <v>16693</v>
      </c>
      <c r="B34784" s="15" t="s">
        <v>16693</v>
      </c>
      <c r="C34784" s="15" t="s">
        <v>16671</v>
      </c>
      <c r="D34784" s="15" t="s">
        <v>16675</v>
      </c>
      <c r="E34784" s="2">
        <v>1526038</v>
      </c>
      <c r="F34784" s="4" t="e">
        <f>IF(B34784=#REF!,"",B34784)</f>
        <v>#REF!</v>
      </c>
    </row>
    <row r="34785" spans="1:6" ht="15.75" customHeight="1">
      <c r="A34785" s="15" t="s">
        <v>25020</v>
      </c>
      <c r="B34785" s="15" t="s">
        <v>25020</v>
      </c>
      <c r="C34785" s="15" t="s">
        <v>24987</v>
      </c>
      <c r="D34785" s="15" t="s">
        <v>25021</v>
      </c>
      <c r="E34785" s="2">
        <v>378231</v>
      </c>
      <c r="F34785" s="4" t="str">
        <f>IF(B34785=B34784,"",B34785)</f>
        <v>Atbara</v>
      </c>
    </row>
    <row r="34786" spans="1:6" ht="15.75" customHeight="1">
      <c r="A34786" s="16" t="str">
        <f ca="1">IFERROR(__xludf.DUMMYFUNCTION("GOOGLETRANSLATE(B42235,""en"",""pt"")"),"Ataşehir")</f>
        <v>Ataşehir</v>
      </c>
      <c r="B34786" s="20" t="s">
        <v>35974</v>
      </c>
      <c r="C34786" s="20" t="s">
        <v>26201</v>
      </c>
      <c r="D34786" s="20" t="s">
        <v>26211</v>
      </c>
      <c r="E34786" s="10">
        <v>6947637</v>
      </c>
      <c r="F34786" s="4" t="e">
        <f>IF(B34786=#REF!,"",B34786)</f>
        <v>#REF!</v>
      </c>
    </row>
    <row r="34787" spans="1:6" ht="15.75" customHeight="1">
      <c r="A34787" s="16" t="s">
        <v>27914</v>
      </c>
      <c r="B34787" s="15" t="s">
        <v>27914</v>
      </c>
      <c r="C34787" s="16" t="s">
        <v>27788</v>
      </c>
      <c r="D34787" s="16" t="s">
        <v>27792</v>
      </c>
      <c r="E34787" s="2">
        <v>4671524</v>
      </c>
      <c r="F34787" s="4" t="e">
        <f>IF(B34787=#REF!,"",B34787)</f>
        <v>#REF!</v>
      </c>
    </row>
    <row r="34788" spans="1:6" ht="15.75" customHeight="1">
      <c r="A34788" s="16" t="s">
        <v>27913</v>
      </c>
      <c r="B34788" s="15" t="s">
        <v>27913</v>
      </c>
      <c r="C34788" s="16" t="s">
        <v>27788</v>
      </c>
      <c r="D34788" s="16" t="s">
        <v>27801</v>
      </c>
      <c r="E34788" s="2">
        <v>5325111</v>
      </c>
      <c r="F34788" s="4" t="e">
        <f>IF(B34788=#REF!,"",B34788)</f>
        <v>#REF!</v>
      </c>
    </row>
    <row r="34789" spans="1:6" ht="15.75" customHeight="1">
      <c r="A34789" s="15" t="s">
        <v>10398</v>
      </c>
      <c r="B34789" s="15" t="s">
        <v>10398</v>
      </c>
      <c r="C34789" s="15" t="s">
        <v>10178</v>
      </c>
      <c r="D34789" s="15" t="s">
        <v>10193</v>
      </c>
      <c r="E34789" s="2">
        <v>1278228</v>
      </c>
      <c r="F34789" s="4" t="e">
        <f>IF(B34789=#REF!,"",B34789)</f>
        <v>#REF!</v>
      </c>
    </row>
    <row r="34790" spans="1:6" ht="15.75" customHeight="1">
      <c r="A34790" s="15" t="s">
        <v>24300</v>
      </c>
      <c r="B34790" s="15" t="s">
        <v>24300</v>
      </c>
      <c r="C34790" s="15" t="s">
        <v>24200</v>
      </c>
      <c r="D34790" s="15" t="s">
        <v>24205</v>
      </c>
      <c r="E34790" s="2">
        <v>2521485</v>
      </c>
      <c r="F34790" s="4" t="e">
        <f>IF(B34790=#REF!,"",B34790)</f>
        <v>#REF!</v>
      </c>
    </row>
    <row r="34791" spans="1:6" ht="15.75" customHeight="1">
      <c r="A34791" s="15" t="s">
        <v>17652</v>
      </c>
      <c r="B34791" s="15" t="s">
        <v>17652</v>
      </c>
      <c r="C34791" s="15" t="s">
        <v>17650</v>
      </c>
      <c r="D34791" s="15" t="s">
        <v>217</v>
      </c>
      <c r="E34791" s="2">
        <v>2381334</v>
      </c>
      <c r="F34791" s="4" t="e">
        <f>IF(B34791=#REF!,"",B34791)</f>
        <v>#REF!</v>
      </c>
    </row>
    <row r="34792" spans="1:6" ht="15.75" customHeight="1">
      <c r="A34792" s="15" t="s">
        <v>31006</v>
      </c>
      <c r="B34792" s="15" t="s">
        <v>31006</v>
      </c>
      <c r="C34792" s="15" t="s">
        <v>30993</v>
      </c>
      <c r="D34792" s="15" t="s">
        <v>31007</v>
      </c>
      <c r="E34792" s="2">
        <v>77726</v>
      </c>
      <c r="F34792" s="4" t="e">
        <f>IF(B34792=#REF!,"",B34792)</f>
        <v>#REF!</v>
      </c>
    </row>
    <row r="34793" spans="1:6" ht="15.75" customHeight="1">
      <c r="A34793" s="16" t="s">
        <v>26778</v>
      </c>
      <c r="B34793" s="15" t="s">
        <v>26779</v>
      </c>
      <c r="C34793" s="16" t="s">
        <v>26774</v>
      </c>
      <c r="D34793" s="16" t="s">
        <v>26780</v>
      </c>
      <c r="E34793" s="2">
        <v>1219002</v>
      </c>
      <c r="F34793" s="4" t="e">
        <f>IF(B34793=#REF!,"",B34793)</f>
        <v>#REF!</v>
      </c>
    </row>
    <row r="34794" spans="1:6" ht="15.75" customHeight="1">
      <c r="A34794" s="15" t="s">
        <v>15827</v>
      </c>
      <c r="B34794" s="15" t="s">
        <v>15828</v>
      </c>
      <c r="C34794" s="15" t="s">
        <v>15704</v>
      </c>
      <c r="D34794" s="15" t="s">
        <v>15809</v>
      </c>
      <c r="E34794" s="2">
        <v>1864945</v>
      </c>
      <c r="F34794" s="4" t="e">
        <f>IF(B34794=#REF!,"",B34794)</f>
        <v>#REF!</v>
      </c>
    </row>
    <row r="34795" spans="1:6" ht="15.75" customHeight="1">
      <c r="A34795" s="15" t="s">
        <v>13813</v>
      </c>
      <c r="B34795" s="15" t="s">
        <v>13813</v>
      </c>
      <c r="C34795" s="15" t="s">
        <v>13800</v>
      </c>
      <c r="D34795" s="15" t="s">
        <v>13814</v>
      </c>
      <c r="E34795" s="2">
        <v>1651103</v>
      </c>
      <c r="F34795" s="4" t="str">
        <f>IF(B34795=B34794,"",B34795)</f>
        <v>Atambua</v>
      </c>
    </row>
    <row r="34796" spans="1:6" ht="15.75" customHeight="1">
      <c r="A34796" s="16" t="str">
        <f ca="1">IFERROR(__xludf.DUMMYFUNCTION("GOOGLETRANSLATE(B29184,""en"",""pt"")"),"Atamaría")</f>
        <v>Atamaría</v>
      </c>
      <c r="B34796" s="20" t="s">
        <v>32398</v>
      </c>
      <c r="C34796" s="20" t="s">
        <v>24200</v>
      </c>
      <c r="D34796" s="20" t="s">
        <v>20912</v>
      </c>
      <c r="E34796" s="10">
        <v>2521486</v>
      </c>
      <c r="F34796" s="4" t="str">
        <f>IF(B34796=B34795,"",B34796)</f>
        <v>Atamaría</v>
      </c>
    </row>
    <row r="34797" spans="1:6" ht="15.75" customHeight="1">
      <c r="A34797" s="15" t="s">
        <v>24298</v>
      </c>
      <c r="B34797" s="15" t="s">
        <v>24299</v>
      </c>
      <c r="C34797" s="15" t="s">
        <v>24200</v>
      </c>
      <c r="D34797" s="15" t="s">
        <v>20912</v>
      </c>
      <c r="E34797" s="2">
        <v>2521486</v>
      </c>
      <c r="F34797" s="4" t="e">
        <f>IF(B34797=#REF!,"",B34797)</f>
        <v>#REF!</v>
      </c>
    </row>
    <row r="34798" spans="1:6" ht="15.75" customHeight="1">
      <c r="A34798" s="15" t="s">
        <v>2049</v>
      </c>
      <c r="B34798" s="15" t="s">
        <v>2050</v>
      </c>
      <c r="C34798" s="15" t="s">
        <v>1905</v>
      </c>
      <c r="D34798" s="15" t="s">
        <v>2015</v>
      </c>
      <c r="E34798" s="2">
        <v>3406996</v>
      </c>
      <c r="F34798" s="4" t="str">
        <f>IF(B34798=B34797,"",B34798)</f>
        <v>Atalaia</v>
      </c>
    </row>
    <row r="34799" spans="1:6" ht="15.75" customHeight="1">
      <c r="A34799" s="16" t="str">
        <f ca="1">IFERROR(__xludf.DUMMYFUNCTION("GOOGLETRANSLATE(B41509,""en"",""pt"")"),"Atakpamé")</f>
        <v>Atakpamé</v>
      </c>
      <c r="B34799" s="20" t="s">
        <v>26040</v>
      </c>
      <c r="C34799" s="20" t="s">
        <v>26038</v>
      </c>
      <c r="D34799" s="20" t="s">
        <v>21792</v>
      </c>
      <c r="E34799" s="10">
        <v>2367886</v>
      </c>
      <c r="F34799" s="4" t="str">
        <f>IF(B34799=B34798,"",B34799)</f>
        <v>Atakpamé</v>
      </c>
    </row>
    <row r="34800" spans="1:6" ht="15.75" customHeight="1">
      <c r="A34800" s="16" t="s">
        <v>26040</v>
      </c>
      <c r="B34800" s="15" t="s">
        <v>26041</v>
      </c>
      <c r="C34800" s="16" t="s">
        <v>26038</v>
      </c>
      <c r="D34800" s="16" t="s">
        <v>21792</v>
      </c>
      <c r="E34800" s="2">
        <v>2367886</v>
      </c>
      <c r="F34800" s="4" t="str">
        <f>IF(B34800=B34799,"",B34800)</f>
        <v>AtakpamÃ©</v>
      </c>
    </row>
    <row r="34801" spans="1:6" ht="15.75" customHeight="1">
      <c r="A34801" s="15" t="s">
        <v>26335</v>
      </c>
      <c r="B34801" s="15" t="s">
        <v>26336</v>
      </c>
      <c r="C34801" s="15" t="s">
        <v>26201</v>
      </c>
      <c r="D34801" s="15" t="s">
        <v>26211</v>
      </c>
      <c r="E34801" s="2">
        <v>6947637</v>
      </c>
      <c r="F34801" s="4" t="str">
        <f>IF(B34801=B34800,"",B34801)</f>
        <v>AtaÅŸehir</v>
      </c>
    </row>
    <row r="34802" spans="1:6" ht="15.75" customHeight="1">
      <c r="A34802" s="16" t="str">
        <f ca="1">IFERROR(__xludf.DUMMYFUNCTION("GOOGLETRANSLATE(B41037,""en"",""pt"")"),"Aţ ţaraf")</f>
        <v>Aţ ţaraf</v>
      </c>
      <c r="B34802" s="20" t="s">
        <v>35585</v>
      </c>
      <c r="C34802" s="20" t="s">
        <v>23454</v>
      </c>
      <c r="D34802" s="20" t="s">
        <v>6128</v>
      </c>
      <c r="E34802" s="10">
        <v>107959</v>
      </c>
      <c r="F34802" s="4" t="str">
        <f>IF(B34802=B34801,"",B34802)</f>
        <v>Aţ Ţaraf</v>
      </c>
    </row>
    <row r="34803" spans="1:6" ht="15.75" customHeight="1">
      <c r="A34803" s="16" t="str">
        <f ca="1">IFERROR(__xludf.DUMMYFUNCTION("GOOGLETRANSLATE(B28892,""en"",""pt"")"),"Em Tall Al Kabīr")</f>
        <v>Em Tall Al Kabīr</v>
      </c>
      <c r="B34803" s="20" t="s">
        <v>32314</v>
      </c>
      <c r="C34803" s="20" t="s">
        <v>6495</v>
      </c>
      <c r="D34803" s="20" t="s">
        <v>32315</v>
      </c>
      <c r="E34803" s="10">
        <v>359710</v>
      </c>
      <c r="F34803" s="4" t="str">
        <f>IF(B34803=B34802,"",B34803)</f>
        <v>At Tall al Kabīr</v>
      </c>
    </row>
    <row r="34804" spans="1:6" ht="15.75" customHeight="1">
      <c r="A34804" s="16" t="s">
        <v>6598</v>
      </c>
      <c r="B34804" s="15" t="s">
        <v>6599</v>
      </c>
      <c r="C34804" s="16" t="s">
        <v>6495</v>
      </c>
      <c r="D34804" s="16" t="s">
        <v>6600</v>
      </c>
      <c r="E34804" s="2">
        <v>359710</v>
      </c>
      <c r="F34804" s="4" t="e">
        <f>IF(B34804=#REF!,"",B34804)</f>
        <v>#REF!</v>
      </c>
    </row>
    <row r="34805" spans="1:6" ht="15.75" customHeight="1">
      <c r="A34805" s="15" t="s">
        <v>25427</v>
      </c>
      <c r="B34805" s="15" t="s">
        <v>25428</v>
      </c>
      <c r="C34805" s="15" t="s">
        <v>25366</v>
      </c>
      <c r="D34805" s="15" t="s">
        <v>25372</v>
      </c>
      <c r="E34805" s="2">
        <v>172349</v>
      </c>
      <c r="F34805" s="4" t="str">
        <f>IF(B34805=B34804,"",B34805)</f>
        <v>At Tall</v>
      </c>
    </row>
    <row r="34806" spans="1:6" ht="15.75" customHeight="1">
      <c r="A34806" s="16" t="str">
        <f ca="1">IFERROR(__xludf.DUMMYFUNCTION("GOOGLETRANSLATE(B36417,""en"",""pt"")"),"Em tāj")</f>
        <v>Em tāj</v>
      </c>
      <c r="B34806" s="20" t="s">
        <v>34557</v>
      </c>
      <c r="C34806" s="20" t="s">
        <v>17074</v>
      </c>
      <c r="D34806" s="20" t="s">
        <v>17086</v>
      </c>
      <c r="E34806" s="10">
        <v>88562</v>
      </c>
      <c r="F34806" s="4" t="str">
        <f>IF(B34806=B34805,"",B34806)</f>
        <v>At Tāj</v>
      </c>
    </row>
    <row r="34807" spans="1:6" ht="15.75" customHeight="1">
      <c r="A34807" s="16" t="str">
        <f ca="1">IFERROR(__xludf.DUMMYFUNCTION("GOOGLETRANSLATE(B35134,""en"",""pt"")"),"Aţ ţafīlah")</f>
        <v>Aţ ţafīlah</v>
      </c>
      <c r="B34807" s="20" t="s">
        <v>34284</v>
      </c>
      <c r="C34807" s="20" t="s">
        <v>16624</v>
      </c>
      <c r="D34807" s="20" t="s">
        <v>16633</v>
      </c>
      <c r="E34807" s="10">
        <v>250198</v>
      </c>
      <c r="F34807" s="4" t="str">
        <f>IF(B34807=B34806,"",B34807)</f>
        <v>Aţ Ţafīlah</v>
      </c>
    </row>
    <row r="34808" spans="1:6" ht="15.75" customHeight="1">
      <c r="A34808" s="15" t="s">
        <v>17091</v>
      </c>
      <c r="B34808" s="15" t="s">
        <v>17092</v>
      </c>
      <c r="C34808" s="15" t="s">
        <v>17074</v>
      </c>
      <c r="D34808" s="15" t="s">
        <v>17086</v>
      </c>
      <c r="E34808" s="2">
        <v>88562</v>
      </c>
      <c r="F34808" s="4" t="str">
        <f>IF(B34808=B34807,"",B34808)</f>
        <v>At TÄj</v>
      </c>
    </row>
    <row r="34809" spans="1:6" ht="15.75" customHeight="1">
      <c r="A34809" s="16" t="str">
        <f ca="1">IFERROR(__xludf.DUMMYFUNCTION("GOOGLETRANSLATE(B28893,""en"",""pt"")"),"Asyūţ")</f>
        <v>Asyūţ</v>
      </c>
      <c r="B34809" s="20" t="s">
        <v>32276</v>
      </c>
      <c r="C34809" s="20" t="s">
        <v>6495</v>
      </c>
      <c r="D34809" s="20" t="s">
        <v>32276</v>
      </c>
      <c r="E34809" s="10">
        <v>359783</v>
      </c>
      <c r="F34809" s="4" t="str">
        <f>IF(B34809=B34808,"",B34809)</f>
        <v>Asyūţ</v>
      </c>
    </row>
    <row r="34810" spans="1:6" ht="15.75" customHeight="1">
      <c r="A34810" s="15" t="s">
        <v>6597</v>
      </c>
      <c r="B34810" s="15" t="s">
        <v>6523</v>
      </c>
      <c r="C34810" s="15" t="s">
        <v>6495</v>
      </c>
      <c r="D34810" s="15" t="s">
        <v>6523</v>
      </c>
      <c r="E34810" s="2">
        <v>359783</v>
      </c>
      <c r="F34810" s="4" t="str">
        <f>IF(B34810=B34809,"",B34810)</f>
        <v>AsyÅ«Å£</v>
      </c>
    </row>
    <row r="34811" spans="1:6" ht="15.75" customHeight="1">
      <c r="A34811" s="16" t="s">
        <v>21126</v>
      </c>
      <c r="B34811" s="15" t="s">
        <v>21127</v>
      </c>
      <c r="C34811" s="16" t="s">
        <v>21064</v>
      </c>
      <c r="D34811" s="16" t="s">
        <v>21121</v>
      </c>
      <c r="E34811" s="2">
        <v>3083955</v>
      </c>
      <c r="F34811" s="4" t="str">
        <f>IF(B34811=B34810,"",B34811)</f>
        <v>ÅšwinoujÅ›cie</v>
      </c>
    </row>
    <row r="34812" spans="1:6" ht="15.75" customHeight="1">
      <c r="A34812" s="15" t="s">
        <v>21124</v>
      </c>
      <c r="B34812" s="15" t="s">
        <v>21124</v>
      </c>
      <c r="C34812" s="15" t="s">
        <v>21064</v>
      </c>
      <c r="D34812" s="15" t="s">
        <v>21125</v>
      </c>
      <c r="E34812" s="2">
        <v>3084074</v>
      </c>
      <c r="F34812" s="4" t="str">
        <f>IF(B34812=B34811,"",B34812)</f>
        <v>Åšwiecie</v>
      </c>
    </row>
    <row r="34813" spans="1:6" ht="15.75" customHeight="1">
      <c r="A34813" s="16" t="s">
        <v>21123</v>
      </c>
      <c r="B34813" s="15" t="s">
        <v>21123</v>
      </c>
      <c r="C34813" s="16" t="s">
        <v>21064</v>
      </c>
      <c r="D34813" s="16" t="s">
        <v>21065</v>
      </c>
      <c r="E34813" s="2">
        <v>3084062</v>
      </c>
      <c r="F34813" s="4" t="str">
        <f>IF(B34813=B34812,"",B34813)</f>
        <v>Åšwiebodzin</v>
      </c>
    </row>
    <row r="34814" spans="1:6" ht="15.75" customHeight="1">
      <c r="A34814" s="16" t="s">
        <v>21122</v>
      </c>
      <c r="B34814" s="15" t="s">
        <v>21122</v>
      </c>
      <c r="C34814" s="16" t="s">
        <v>21064</v>
      </c>
      <c r="D34814" s="16" t="s">
        <v>21118</v>
      </c>
      <c r="E34814" s="2">
        <v>3084084</v>
      </c>
      <c r="F34814" s="4" t="str">
        <f>IF(B34814=B34813,"",B34814)</f>
        <v>Åšwiebodzice</v>
      </c>
    </row>
    <row r="34815" spans="1:6" ht="15.75" customHeight="1">
      <c r="A34815" s="15" t="s">
        <v>21120</v>
      </c>
      <c r="B34815" s="15" t="s">
        <v>21120</v>
      </c>
      <c r="C34815" s="15" t="s">
        <v>21064</v>
      </c>
      <c r="D34815" s="15" t="s">
        <v>21121</v>
      </c>
      <c r="E34815" s="2">
        <v>3084085</v>
      </c>
      <c r="F34815" s="4" t="str">
        <f>IF(B34815=B34814,"",B34815)</f>
        <v>Åšwidwin</v>
      </c>
    </row>
    <row r="34816" spans="1:6" ht="15.75" customHeight="1">
      <c r="A34816" s="15" t="s">
        <v>21119</v>
      </c>
      <c r="B34816" s="15" t="s">
        <v>21119</v>
      </c>
      <c r="C34816" s="15" t="s">
        <v>21064</v>
      </c>
      <c r="D34816" s="15" t="s">
        <v>21091</v>
      </c>
      <c r="E34816" s="2">
        <v>757692</v>
      </c>
      <c r="F34816" s="4" t="str">
        <f>IF(B34816=B34815,"",B34816)</f>
        <v>Åšwidnik</v>
      </c>
    </row>
    <row r="34817" spans="1:6" ht="15.75" customHeight="1">
      <c r="A34817" s="16" t="s">
        <v>21117</v>
      </c>
      <c r="B34817" s="15" t="s">
        <v>21117</v>
      </c>
      <c r="C34817" s="16" t="s">
        <v>21064</v>
      </c>
      <c r="D34817" s="16" t="s">
        <v>21118</v>
      </c>
      <c r="E34817" s="2">
        <v>3084093</v>
      </c>
      <c r="F34817" s="4" t="str">
        <f>IF(B34817=B34816,"",B34817)</f>
        <v>Åšwidnica</v>
      </c>
    </row>
    <row r="34818" spans="1:6" ht="15.75" customHeight="1">
      <c r="A34818" s="16" t="s">
        <v>21115</v>
      </c>
      <c r="B34818" s="15" t="s">
        <v>21116</v>
      </c>
      <c r="C34818" s="16" t="s">
        <v>21064</v>
      </c>
      <c r="D34818" s="16" t="s">
        <v>21073</v>
      </c>
      <c r="E34818" s="2">
        <v>3083988</v>
      </c>
      <c r="F34818" s="4" t="e">
        <f>IF(B34818=#REF!,"",B34818)</f>
        <v>#REF!</v>
      </c>
    </row>
    <row r="34819" spans="1:6" ht="15.75" customHeight="1">
      <c r="A34819" s="15" t="s">
        <v>6595</v>
      </c>
      <c r="B34819" s="15" t="s">
        <v>6595</v>
      </c>
      <c r="C34819" s="15" t="s">
        <v>6495</v>
      </c>
      <c r="D34819" s="15" t="s">
        <v>6596</v>
      </c>
      <c r="E34819" s="2">
        <v>359792</v>
      </c>
      <c r="F34819" s="4" t="str">
        <f>IF(B34819=B34818,"",B34819)</f>
        <v>Aswan</v>
      </c>
    </row>
    <row r="34820" spans="1:6" ht="15.75" customHeight="1">
      <c r="A34820" s="16" t="str">
        <f ca="1">IFERROR(__xludf.DUMMYFUNCTION("GOOGLETRANSLATE(B31141,""en"",""pt"")"),"ASUNCION MITA")</f>
        <v>ASUNCION MITA</v>
      </c>
      <c r="B34820" s="20" t="s">
        <v>32789</v>
      </c>
      <c r="C34820" s="20" t="s">
        <v>9700</v>
      </c>
      <c r="D34820" s="20" t="s">
        <v>9708</v>
      </c>
      <c r="E34820" s="10">
        <v>3599639</v>
      </c>
      <c r="F34820" s="4" t="str">
        <f>IF(B34820=B34819,"",B34820)</f>
        <v>Asunción Mita</v>
      </c>
    </row>
    <row r="34821" spans="1:6" ht="15.75" customHeight="1">
      <c r="A34821" s="16" t="str">
        <f ca="1">IFERROR(__xludf.DUMMYFUNCTION("GOOGLETRANSLATE(B39702,""en"",""pt"")"),"ASUNCION")</f>
        <v>ASUNCION</v>
      </c>
      <c r="B34821" s="20" t="s">
        <v>35322</v>
      </c>
      <c r="C34821" s="20" t="s">
        <v>20433</v>
      </c>
      <c r="D34821" s="20" t="s">
        <v>35322</v>
      </c>
      <c r="E34821" s="10">
        <v>3439389</v>
      </c>
      <c r="F34821" s="4" t="str">
        <f>IF(B34821=B34820,"",B34821)</f>
        <v>Asunción</v>
      </c>
    </row>
    <row r="34822" spans="1:6" ht="15.75" customHeight="1">
      <c r="A34822" s="16" t="s">
        <v>9706</v>
      </c>
      <c r="B34822" s="15" t="s">
        <v>9707</v>
      </c>
      <c r="C34822" s="16" t="s">
        <v>9700</v>
      </c>
      <c r="D34822" s="16" t="s">
        <v>9708</v>
      </c>
      <c r="E34822" s="2">
        <v>3599639</v>
      </c>
      <c r="F34822" s="4" t="str">
        <f>IF(B34822=B34821,"",B34822)</f>
        <v>AsunciÃ³n Mita</v>
      </c>
    </row>
    <row r="34823" spans="1:6" ht="15.75" customHeight="1">
      <c r="A34823" s="16" t="s">
        <v>20431</v>
      </c>
      <c r="B34823" s="15" t="s">
        <v>20432</v>
      </c>
      <c r="C34823" s="16" t="s">
        <v>20433</v>
      </c>
      <c r="D34823" s="16" t="s">
        <v>20432</v>
      </c>
      <c r="E34823" s="2">
        <v>3439389</v>
      </c>
      <c r="F34823" s="4" t="e">
        <f>IF(B34823=#REF!,"",B34823)</f>
        <v>#REF!</v>
      </c>
    </row>
    <row r="34824" spans="1:6" ht="15.75" customHeight="1">
      <c r="A34824" s="15" t="s">
        <v>22169</v>
      </c>
      <c r="B34824" s="15" t="s">
        <v>22096</v>
      </c>
      <c r="C34824" s="15" t="s">
        <v>22070</v>
      </c>
      <c r="D34824" s="15" t="s">
        <v>22096</v>
      </c>
      <c r="E34824" s="2">
        <v>580497</v>
      </c>
      <c r="F34824" s="4" t="e">
        <f>IF(B34824=#REF!,"",B34824)</f>
        <v>#REF!</v>
      </c>
    </row>
    <row r="34825" spans="1:6" ht="15.75" customHeight="1">
      <c r="A34825" s="15" t="s">
        <v>2048</v>
      </c>
      <c r="B34825" s="15" t="s">
        <v>2048</v>
      </c>
      <c r="C34825" s="15" t="s">
        <v>1905</v>
      </c>
      <c r="D34825" s="15" t="s">
        <v>728</v>
      </c>
      <c r="E34825" s="2">
        <v>3471368</v>
      </c>
      <c r="F34825" s="4" t="e">
        <f>IF(B34825=#REF!,"",B34825)</f>
        <v>#REF!</v>
      </c>
    </row>
    <row r="34826" spans="1:6" ht="15.75" customHeight="1">
      <c r="A34826" s="15" t="s">
        <v>14952</v>
      </c>
      <c r="B34826" s="15" t="s">
        <v>14952</v>
      </c>
      <c r="C34826" s="15" t="s">
        <v>14891</v>
      </c>
      <c r="D34826" s="15" t="s">
        <v>14911</v>
      </c>
      <c r="E34826" s="2">
        <v>3182714</v>
      </c>
      <c r="F34826" s="4" t="str">
        <f>IF(B34826=B34825,"",B34826)</f>
        <v>Asti</v>
      </c>
    </row>
    <row r="34827" spans="1:6" ht="15.75" customHeight="1">
      <c r="A34827" s="16" t="s">
        <v>25094</v>
      </c>
      <c r="B34827" s="15" t="s">
        <v>25095</v>
      </c>
      <c r="C34827" s="16" t="s">
        <v>25077</v>
      </c>
      <c r="D34827" s="16" t="s">
        <v>25096</v>
      </c>
      <c r="E34827" s="2">
        <v>2685750</v>
      </c>
      <c r="F34827" s="4" t="str">
        <f>IF(B34827=B34826,"",B34827)</f>
        <v>Ã–stersund</v>
      </c>
    </row>
    <row r="34828" spans="1:6" ht="15.75" customHeight="1">
      <c r="A34828" s="16" t="s">
        <v>25092</v>
      </c>
      <c r="B34828" s="15" t="s">
        <v>25093</v>
      </c>
      <c r="C34828" s="16" t="s">
        <v>25077</v>
      </c>
      <c r="D34828" s="16" t="s">
        <v>25081</v>
      </c>
      <c r="E34828" s="2">
        <v>2685828</v>
      </c>
      <c r="F34828" s="4" t="e">
        <f>IF(B34828=#REF!,"",B34828)</f>
        <v>#REF!</v>
      </c>
    </row>
    <row r="34829" spans="1:6" ht="15.75" customHeight="1">
      <c r="A34829" s="15" t="s">
        <v>18887</v>
      </c>
      <c r="B34829" s="15" t="s">
        <v>18887</v>
      </c>
      <c r="C34829" s="15" t="s">
        <v>18862</v>
      </c>
      <c r="D34829" s="15" t="s">
        <v>18888</v>
      </c>
      <c r="E34829" s="2">
        <v>2759621</v>
      </c>
      <c r="F34829" s="4" t="str">
        <f>IF(B34829=B34828,"",B34829)</f>
        <v>Asten</v>
      </c>
    </row>
    <row r="34830" spans="1:6" ht="15.75" customHeight="1">
      <c r="A34830" s="16" t="str">
        <f ca="1">IFERROR(__xludf.DUMMYFUNCTION("GOOGLETRANSLATE(B34491,""en"",""pt"")"),"Āstārā")</f>
        <v>Āstārā</v>
      </c>
      <c r="B34830" s="20" t="s">
        <v>34235</v>
      </c>
      <c r="C34830" s="20" t="s">
        <v>14240</v>
      </c>
      <c r="D34830" s="20" t="s">
        <v>34133</v>
      </c>
      <c r="E34830" s="10">
        <v>142676</v>
      </c>
      <c r="F34830" s="4" t="e">
        <f>IF(B34830=#REF!,"",B34830)</f>
        <v>#REF!</v>
      </c>
    </row>
    <row r="34831" spans="1:6" ht="15.75" customHeight="1">
      <c r="A34831" s="15" t="s">
        <v>1182</v>
      </c>
      <c r="B34831" s="15" t="s">
        <v>1182</v>
      </c>
      <c r="C34831" s="15" t="s">
        <v>1170</v>
      </c>
      <c r="D34831" s="15" t="s">
        <v>1182</v>
      </c>
      <c r="E34831" s="2">
        <v>148445</v>
      </c>
      <c r="F34831" s="4" t="str">
        <f>IF(B34831=B34830,"",B34831)</f>
        <v>Astara</v>
      </c>
    </row>
    <row r="34832" spans="1:6" ht="15.75" customHeight="1">
      <c r="A34832" s="16" t="str">
        <f ca="1">IFERROR(__xludf.DUMMYFUNCTION("GOOGLETRANSLATE(B34492,""en"",""pt"")"),"Āstāneh-ye ashrafīyeh")</f>
        <v>Āstāneh-ye ashrafīyeh</v>
      </c>
      <c r="B34832" s="20" t="s">
        <v>34236</v>
      </c>
      <c r="C34832" s="20" t="s">
        <v>14240</v>
      </c>
      <c r="D34832" s="20" t="s">
        <v>34133</v>
      </c>
      <c r="E34832" s="10">
        <v>142679</v>
      </c>
      <c r="F34832" s="4" t="e">
        <f>IF(B34832=#REF!,"",B34832)</f>
        <v>#REF!</v>
      </c>
    </row>
    <row r="34833" spans="1:6" ht="15.75" customHeight="1">
      <c r="A34833" s="16" t="s">
        <v>13812</v>
      </c>
      <c r="B34833" s="15" t="s">
        <v>13812</v>
      </c>
      <c r="C34833" s="16" t="s">
        <v>13800</v>
      </c>
      <c r="D34833" s="16" t="s">
        <v>13811</v>
      </c>
      <c r="E34833" s="2">
        <v>1651112</v>
      </c>
      <c r="F34833" s="4" t="e">
        <f>IF(B34833=#REF!,"",B34833)</f>
        <v>#REF!</v>
      </c>
    </row>
    <row r="34834" spans="1:6" ht="15.75" customHeight="1">
      <c r="A34834" s="15" t="s">
        <v>16691</v>
      </c>
      <c r="B34834" s="15" t="s">
        <v>16691</v>
      </c>
      <c r="C34834" s="15" t="s">
        <v>16671</v>
      </c>
      <c r="D34834" s="15" t="s">
        <v>16692</v>
      </c>
      <c r="E34834" s="2">
        <v>1526273</v>
      </c>
      <c r="F34834" s="4" t="str">
        <f>IF(B34834=B34833,"",B34834)</f>
        <v>Astana</v>
      </c>
    </row>
    <row r="34835" spans="1:6" ht="15.75" customHeight="1">
      <c r="A34835" s="16" t="s">
        <v>5974</v>
      </c>
      <c r="B34835" s="15" t="s">
        <v>5975</v>
      </c>
      <c r="C34835" s="16" t="s">
        <v>5947</v>
      </c>
      <c r="D34835" s="16" t="s">
        <v>5965</v>
      </c>
      <c r="E34835" s="2">
        <v>3063546</v>
      </c>
      <c r="F34835" s="4" t="str">
        <f>IF(B34835=B34834,"",B34835)</f>
        <v>ÃšstÃ­ nad OrlicÃ­</v>
      </c>
    </row>
    <row r="34836" spans="1:6" ht="15.75" customHeight="1">
      <c r="A34836" s="16" t="s">
        <v>5972</v>
      </c>
      <c r="B34836" s="15" t="s">
        <v>5973</v>
      </c>
      <c r="C34836" s="16" t="s">
        <v>5947</v>
      </c>
      <c r="D34836" s="16" t="s">
        <v>5956</v>
      </c>
      <c r="E34836" s="2">
        <v>3063548</v>
      </c>
      <c r="F34836" s="4" t="e">
        <f>IF(B34836=#REF!,"",B34836)</f>
        <v>#REF!</v>
      </c>
    </row>
    <row r="34837" spans="1:6" ht="15.75" customHeight="1">
      <c r="A34837" s="15" t="s">
        <v>2047</v>
      </c>
      <c r="B34837" s="15" t="s">
        <v>2047</v>
      </c>
      <c r="C34837" s="15" t="s">
        <v>1905</v>
      </c>
      <c r="D34837" s="15" t="s">
        <v>1914</v>
      </c>
      <c r="E34837" s="2">
        <v>3471374</v>
      </c>
      <c r="F34837" s="4" t="e">
        <f>IF(B34837=#REF!,"",B34837)</f>
        <v>#REF!</v>
      </c>
    </row>
    <row r="34838" spans="1:6" ht="15.75" customHeight="1">
      <c r="A34838" s="15" t="s">
        <v>18886</v>
      </c>
      <c r="B34838" s="15" t="s">
        <v>18886</v>
      </c>
      <c r="C34838" s="15" t="s">
        <v>18862</v>
      </c>
      <c r="D34838" s="15" t="s">
        <v>18883</v>
      </c>
      <c r="E34838" s="2">
        <v>2759633</v>
      </c>
      <c r="F34838" s="4" t="e">
        <f>IF(B34838=#REF!,"",B34838)</f>
        <v>#REF!</v>
      </c>
    </row>
    <row r="34839" spans="1:6" ht="15.75" customHeight="1">
      <c r="A34839" s="16" t="s">
        <v>14950</v>
      </c>
      <c r="B34839" s="15" t="s">
        <v>14951</v>
      </c>
      <c r="C34839" s="16" t="s">
        <v>14891</v>
      </c>
      <c r="D34839" s="16" t="s">
        <v>14925</v>
      </c>
      <c r="E34839" s="2">
        <v>2525655</v>
      </c>
      <c r="F34839" s="4" t="e">
        <f>IF(B34839=#REF!,"",B34839)</f>
        <v>#REF!</v>
      </c>
    </row>
    <row r="34840" spans="1:6" ht="15.75" customHeight="1">
      <c r="A34840" s="15" t="s">
        <v>1523</v>
      </c>
      <c r="B34840" s="15" t="s">
        <v>1523</v>
      </c>
      <c r="C34840" s="15" t="s">
        <v>1512</v>
      </c>
      <c r="D34840" s="15" t="s">
        <v>1513</v>
      </c>
      <c r="E34840" s="2">
        <v>2803033</v>
      </c>
      <c r="F34840" s="4" t="e">
        <f>IF(B34840=#REF!,"",B34840)</f>
        <v>#REF!</v>
      </c>
    </row>
    <row r="34841" spans="1:6" ht="15.75" customHeight="1">
      <c r="A34841" s="15" t="s">
        <v>6777</v>
      </c>
      <c r="B34841" s="15" t="s">
        <v>6777</v>
      </c>
      <c r="C34841" s="15" t="s">
        <v>6775</v>
      </c>
      <c r="D34841" s="15" t="s">
        <v>6778</v>
      </c>
      <c r="E34841" s="2">
        <v>343386</v>
      </c>
      <c r="F34841" s="4" t="str">
        <f>IF(B34841=B34840,"",B34841)</f>
        <v>Assab</v>
      </c>
    </row>
    <row r="34842" spans="1:6" ht="15.75" customHeight="1">
      <c r="A34842" s="16" t="s">
        <v>21113</v>
      </c>
      <c r="B34842" s="15" t="s">
        <v>21114</v>
      </c>
      <c r="C34842" s="16" t="s">
        <v>21064</v>
      </c>
      <c r="D34842" s="16" t="s">
        <v>21112</v>
      </c>
      <c r="E34842" s="2">
        <v>3085045</v>
      </c>
      <c r="F34842" s="4" t="str">
        <f>IF(B34842=B34841,"",B34842)</f>
        <v>Åšroda Wielkopolska</v>
      </c>
    </row>
    <row r="34843" spans="1:6" ht="15.75" customHeight="1">
      <c r="A34843" s="15" t="s">
        <v>21111</v>
      </c>
      <c r="B34843" s="15" t="s">
        <v>21111</v>
      </c>
      <c r="C34843" s="15" t="s">
        <v>21064</v>
      </c>
      <c r="D34843" s="15" t="s">
        <v>21112</v>
      </c>
      <c r="E34843" s="2">
        <v>3085056</v>
      </c>
      <c r="F34843" s="4" t="str">
        <f>IF(B34843=B34842,"",B34843)</f>
        <v>Åšrem</v>
      </c>
    </row>
    <row r="34844" spans="1:6" ht="15.75" customHeight="1">
      <c r="A34844" s="16" t="s">
        <v>21109</v>
      </c>
      <c r="B34844" s="15" t="s">
        <v>21110</v>
      </c>
      <c r="C34844" s="16" t="s">
        <v>21064</v>
      </c>
      <c r="D34844" s="16" t="s">
        <v>21070</v>
      </c>
      <c r="E34844" s="2">
        <v>758470</v>
      </c>
      <c r="F34844" s="4" t="str">
        <f>IF(B34844=B34843,"",B34844)</f>
        <v>ÅšrÃ³dmieÅ›cie</v>
      </c>
    </row>
    <row r="34845" spans="1:6" ht="15.75" customHeight="1">
      <c r="A34845" s="16" t="str">
        <f ca="1">IFERROR(__xludf.DUMMYFUNCTION("GOOGLETRANSLATE(B31016,""en"",""pt"")"),"Asprópyrgos")</f>
        <v>Asprópyrgos</v>
      </c>
      <c r="B34845" s="20" t="s">
        <v>32722</v>
      </c>
      <c r="C34845" s="20" t="s">
        <v>9441</v>
      </c>
      <c r="D34845" s="20" t="s">
        <v>9445</v>
      </c>
      <c r="E34845" s="10">
        <v>264445</v>
      </c>
      <c r="F34845" s="4" t="str">
        <f>IF(B34845=B34844,"",B34845)</f>
        <v>Asprópyrgos</v>
      </c>
    </row>
    <row r="34846" spans="1:6" ht="15.75" customHeight="1">
      <c r="A34846" s="16" t="s">
        <v>9482</v>
      </c>
      <c r="B34846" s="15" t="s">
        <v>9483</v>
      </c>
      <c r="C34846" s="16" t="s">
        <v>9441</v>
      </c>
      <c r="D34846" s="16" t="s">
        <v>9445</v>
      </c>
      <c r="E34846" s="2">
        <v>264445</v>
      </c>
      <c r="F34846" s="4" t="e">
        <f>IF(B34846=#REF!,"",B34846)</f>
        <v>#REF!</v>
      </c>
    </row>
    <row r="34847" spans="1:6" ht="15.75" customHeight="1">
      <c r="A34847" s="16" t="s">
        <v>27912</v>
      </c>
      <c r="B34847" s="15" t="s">
        <v>27912</v>
      </c>
      <c r="C34847" s="16" t="s">
        <v>27788</v>
      </c>
      <c r="D34847" s="16" t="s">
        <v>17061</v>
      </c>
      <c r="E34847" s="2">
        <v>4347553</v>
      </c>
      <c r="F34847" s="4" t="e">
        <f>IF(B34847=#REF!,"",B34847)</f>
        <v>#REF!</v>
      </c>
    </row>
    <row r="34848" spans="1:6" ht="15.75" customHeight="1">
      <c r="A34848" s="15" t="s">
        <v>24297</v>
      </c>
      <c r="B34848" s="15" t="s">
        <v>24297</v>
      </c>
      <c r="C34848" s="15" t="s">
        <v>24200</v>
      </c>
      <c r="D34848" s="15" t="s">
        <v>21053</v>
      </c>
      <c r="E34848" s="2">
        <v>2521510</v>
      </c>
      <c r="F34848" s="4" t="str">
        <f>IF(B34848=B34847,"",B34848)</f>
        <v>Aspe</v>
      </c>
    </row>
    <row r="34849" spans="1:6" ht="15.75" customHeight="1">
      <c r="A34849" s="16" t="str">
        <f ca="1">IFERROR(__xludf.DUMMYFUNCTION("GOOGLETRANSLATE(B29583,""en"",""pt"")"),"Āsosa")</f>
        <v>Āsosa</v>
      </c>
      <c r="B34849" s="20" t="s">
        <v>32512</v>
      </c>
      <c r="C34849" s="20" t="s">
        <v>6807</v>
      </c>
      <c r="D34849" s="20" t="s">
        <v>32513</v>
      </c>
      <c r="E34849" s="10">
        <v>343292</v>
      </c>
      <c r="F34849" s="4" t="e">
        <f>IF(B34849=#REF!,"",B34849)</f>
        <v>#REF!</v>
      </c>
    </row>
    <row r="34850" spans="1:6" ht="15.75" customHeight="1">
      <c r="A34850" s="15" t="s">
        <v>15825</v>
      </c>
      <c r="B34850" s="15" t="s">
        <v>15826</v>
      </c>
      <c r="C34850" s="15" t="s">
        <v>15704</v>
      </c>
      <c r="D34850" s="15" t="s">
        <v>15812</v>
      </c>
      <c r="E34850" s="2">
        <v>6324583</v>
      </c>
      <c r="F34850" s="4" t="str">
        <f>IF(B34850=B34849,"",B34850)</f>
        <v>Aso</v>
      </c>
    </row>
    <row r="34851" spans="1:6" ht="15.75" customHeight="1">
      <c r="A34851" s="16" t="str">
        <f ca="1">IFERROR(__xludf.DUMMYFUNCTION("GOOGLETRANSLATE(B30253,""en"",""pt"")"),"Asnières-sur-seine")</f>
        <v>Asnières-sur-seine</v>
      </c>
      <c r="B34851" s="20" t="s">
        <v>32645</v>
      </c>
      <c r="C34851" s="20" t="s">
        <v>7052</v>
      </c>
      <c r="D34851" s="20" t="s">
        <v>32531</v>
      </c>
      <c r="E34851" s="10">
        <v>3036572</v>
      </c>
      <c r="F34851" s="4" t="str">
        <f>IF(B34851=B34850,"",B34851)</f>
        <v>Asnières-sur-Seine</v>
      </c>
    </row>
    <row r="34852" spans="1:6" ht="15.75" customHeight="1">
      <c r="A34852" s="16" t="s">
        <v>7120</v>
      </c>
      <c r="B34852" s="15" t="s">
        <v>7121</v>
      </c>
      <c r="C34852" s="16" t="s">
        <v>7052</v>
      </c>
      <c r="D34852" s="16" t="s">
        <v>7058</v>
      </c>
      <c r="E34852" s="2">
        <v>3036572</v>
      </c>
      <c r="F34852" s="4" t="e">
        <f>IF(B34852=#REF!,"",B34852)</f>
        <v>#REF!</v>
      </c>
    </row>
    <row r="34853" spans="1:6" ht="15.75" customHeight="1">
      <c r="A34853" s="15" t="s">
        <v>6774</v>
      </c>
      <c r="B34853" s="15" t="s">
        <v>6774</v>
      </c>
      <c r="C34853" s="15" t="s">
        <v>6775</v>
      </c>
      <c r="D34853" s="15" t="s">
        <v>6776</v>
      </c>
      <c r="E34853" s="2">
        <v>343300</v>
      </c>
      <c r="F34853" s="4" t="str">
        <f>IF(B34853=B34852,"",B34853)</f>
        <v>Asmara</v>
      </c>
    </row>
    <row r="34854" spans="1:6" ht="15.75" customHeight="1">
      <c r="A34854" s="16" t="str">
        <f ca="1">IFERROR(__xludf.DUMMYFUNCTION("GOOGLETRANSLATE(B23097,""en"",""pt"")"),"Āsmār")</f>
        <v>Āsmār</v>
      </c>
      <c r="B34854" s="20" t="s">
        <v>31138</v>
      </c>
      <c r="C34854" s="20" t="s">
        <v>8</v>
      </c>
      <c r="D34854" s="20" t="s">
        <v>12</v>
      </c>
      <c r="E34854" s="10">
        <v>1148205</v>
      </c>
      <c r="F34854" s="4" t="str">
        <f>IF(B34854=B34853,"",B34854)</f>
        <v>Āsmār</v>
      </c>
    </row>
    <row r="34855" spans="1:6" ht="15.75" customHeight="1">
      <c r="A34855" s="16" t="str">
        <f ca="1">IFERROR(__xludf.DUMMYFUNCTION("GOOGLETRANSLATE(B38174,""en"",""pt"")"),"Askøy")</f>
        <v>Askøy</v>
      </c>
      <c r="B34855" s="20" t="s">
        <v>34821</v>
      </c>
      <c r="C34855" s="20" t="s">
        <v>19695</v>
      </c>
      <c r="D34855" s="20" t="s">
        <v>19701</v>
      </c>
      <c r="E34855" s="10">
        <v>3336587</v>
      </c>
      <c r="F34855" s="4" t="str">
        <f>IF(B34855=B34854,"",B34855)</f>
        <v>Askøy</v>
      </c>
    </row>
    <row r="34856" spans="1:6" ht="15.75" customHeight="1">
      <c r="A34856" s="16" t="str">
        <f ca="1">IFERROR(__xludf.DUMMYFUNCTION("GOOGLETRANSLATE(B42065,""en"",""pt"")"),"Aşkale")</f>
        <v>Aşkale</v>
      </c>
      <c r="B34856" s="20" t="s">
        <v>35903</v>
      </c>
      <c r="C34856" s="20" t="s">
        <v>26201</v>
      </c>
      <c r="D34856" s="20" t="s">
        <v>26268</v>
      </c>
      <c r="E34856" s="10">
        <v>323094</v>
      </c>
      <c r="F34856" s="4" t="str">
        <f>IF(B34856=B34855,"",B34856)</f>
        <v>Aşkale</v>
      </c>
    </row>
    <row r="34857" spans="1:6" ht="15.75" customHeight="1">
      <c r="A34857" s="15" t="s">
        <v>19699</v>
      </c>
      <c r="B34857" s="15" t="s">
        <v>19700</v>
      </c>
      <c r="C34857" s="15" t="s">
        <v>19695</v>
      </c>
      <c r="D34857" s="15" t="s">
        <v>19701</v>
      </c>
      <c r="E34857" s="2">
        <v>3336587</v>
      </c>
      <c r="F34857" s="4" t="e">
        <f>IF(B34857=#REF!,"",B34857)</f>
        <v>#REF!</v>
      </c>
    </row>
    <row r="34858" spans="1:6" ht="15.75" customHeight="1">
      <c r="A34858" s="16" t="s">
        <v>1452</v>
      </c>
      <c r="B34858" s="15" t="s">
        <v>1452</v>
      </c>
      <c r="C34858" s="16" t="s">
        <v>1453</v>
      </c>
      <c r="D34858" s="16" t="s">
        <v>1454</v>
      </c>
      <c r="E34858" s="2">
        <v>624034</v>
      </c>
      <c r="F34858" s="4" t="e">
        <f>IF(B34858=#REF!,"",B34858)</f>
        <v>#REF!</v>
      </c>
    </row>
    <row r="34859" spans="1:6" ht="15.75" customHeight="1">
      <c r="A34859" s="15" t="s">
        <v>22167</v>
      </c>
      <c r="B34859" s="15" t="s">
        <v>22167</v>
      </c>
      <c r="C34859" s="15" t="s">
        <v>22070</v>
      </c>
      <c r="D34859" s="15" t="s">
        <v>22168</v>
      </c>
      <c r="E34859" s="2">
        <v>1511309</v>
      </c>
      <c r="F34859" s="4" t="str">
        <f>IF(B34859=B34858,"",B34859)</f>
        <v>Asino</v>
      </c>
    </row>
    <row r="34860" spans="1:6" ht="15.75" customHeight="1">
      <c r="A34860" s="16" t="str">
        <f ca="1">IFERROR(__xludf.DUMMYFUNCTION("GOOGLETRANSLATE(B34060,""en"",""pt"")"),"Āsind")</f>
        <v>Āsind</v>
      </c>
      <c r="B34860" s="20" t="s">
        <v>34008</v>
      </c>
      <c r="C34860" s="20" t="s">
        <v>10178</v>
      </c>
      <c r="D34860" s="20" t="s">
        <v>10179</v>
      </c>
      <c r="E34860" s="10">
        <v>1278278</v>
      </c>
      <c r="F34860" s="4" t="e">
        <f>IF(B34860=#REF!,"",B34860)</f>
        <v>#REF!</v>
      </c>
    </row>
    <row r="34861" spans="1:6" ht="15.75" customHeight="1">
      <c r="A34861" s="15" t="s">
        <v>18558</v>
      </c>
      <c r="B34861" s="15" t="s">
        <v>18558</v>
      </c>
      <c r="C34861" s="15" t="s">
        <v>18551</v>
      </c>
      <c r="D34861" s="15" t="s">
        <v>18559</v>
      </c>
      <c r="E34861" s="2">
        <v>2557055</v>
      </c>
      <c r="F34861" s="4" t="str">
        <f>IF(B34861=B34860,"",B34861)</f>
        <v>Asilah</v>
      </c>
    </row>
    <row r="34862" spans="1:6" ht="15.75" customHeight="1">
      <c r="A34862" s="16" t="str">
        <f ca="1">IFERROR(__xludf.DUMMYFUNCTION("GOOGLETRANSLATE(B34061,""en"",""pt"")"),"Āsika")</f>
        <v>Āsika</v>
      </c>
      <c r="B34862" s="20" t="s">
        <v>34009</v>
      </c>
      <c r="C34862" s="20" t="s">
        <v>10178</v>
      </c>
      <c r="D34862" s="20" t="s">
        <v>10229</v>
      </c>
      <c r="E34862" s="10">
        <v>1278279</v>
      </c>
      <c r="F34862" s="4" t="str">
        <f>IF(B34862=B34861,"",B34862)</f>
        <v>Āsika</v>
      </c>
    </row>
    <row r="34863" spans="1:6" ht="15.75" customHeight="1">
      <c r="A34863" s="16" t="str">
        <f ca="1">IFERROR(__xludf.DUMMYFUNCTION("GOOGLETRANSLATE(B34062,""en"",""pt"")"),"Asifābād")</f>
        <v>Asifābād</v>
      </c>
      <c r="B34863" s="20" t="s">
        <v>34010</v>
      </c>
      <c r="C34863" s="20" t="s">
        <v>10178</v>
      </c>
      <c r="D34863" s="20" t="s">
        <v>10187</v>
      </c>
      <c r="E34863" s="10">
        <v>1278282</v>
      </c>
      <c r="F34863" s="4" t="str">
        <f>IF(B34863=B34862,"",B34863)</f>
        <v>Asifābād</v>
      </c>
    </row>
    <row r="34864" spans="1:6" ht="15.75" customHeight="1">
      <c r="A34864" s="15" t="s">
        <v>10396</v>
      </c>
      <c r="B34864" s="15" t="s">
        <v>10397</v>
      </c>
      <c r="C34864" s="15" t="s">
        <v>10178</v>
      </c>
      <c r="D34864" s="15" t="s">
        <v>10187</v>
      </c>
      <c r="E34864" s="2">
        <v>1278282</v>
      </c>
      <c r="F34864" s="4" t="e">
        <f>IF(B34864=#REF!,"",B34864)</f>
        <v>#REF!</v>
      </c>
    </row>
    <row r="34865" spans="1:6" ht="15.75" customHeight="1">
      <c r="A34865" s="15" t="s">
        <v>20625</v>
      </c>
      <c r="B34865" s="15" t="s">
        <v>20626</v>
      </c>
      <c r="C34865" s="15" t="s">
        <v>20598</v>
      </c>
      <c r="D34865" s="15" t="s">
        <v>20627</v>
      </c>
      <c r="E34865" s="2">
        <v>1730097</v>
      </c>
      <c r="F34865" s="4" t="e">
        <f>IF(B34865=#REF!,"",B34865)</f>
        <v>#REF!</v>
      </c>
    </row>
    <row r="34866" spans="1:6" ht="15.75" customHeight="1">
      <c r="A34866" s="16" t="s">
        <v>27911</v>
      </c>
      <c r="B34866" s="15" t="s">
        <v>27911</v>
      </c>
      <c r="C34866" s="16" t="s">
        <v>27788</v>
      </c>
      <c r="D34866" s="16" t="s">
        <v>27890</v>
      </c>
      <c r="E34866" s="2">
        <v>5244267</v>
      </c>
      <c r="F34866" s="4" t="e">
        <f>IF(B34866=#REF!,"",B34866)</f>
        <v>#REF!</v>
      </c>
    </row>
    <row r="34867" spans="1:6" ht="15.75" customHeight="1">
      <c r="A34867" s="16" t="s">
        <v>27266</v>
      </c>
      <c r="B34867" s="15" t="s">
        <v>27266</v>
      </c>
      <c r="C34867" s="16" t="s">
        <v>27234</v>
      </c>
      <c r="D34867" s="16" t="s">
        <v>27241</v>
      </c>
      <c r="E34867" s="2">
        <v>2656915</v>
      </c>
      <c r="F34867" s="4" t="e">
        <f>IF(B34867=#REF!,"",B34867)</f>
        <v>#REF!</v>
      </c>
    </row>
    <row r="34868" spans="1:6" ht="15.75" customHeight="1">
      <c r="A34868" s="16" t="s">
        <v>27264</v>
      </c>
      <c r="B34868" s="15" t="s">
        <v>27265</v>
      </c>
      <c r="C34868" s="16" t="s">
        <v>27234</v>
      </c>
      <c r="D34868" s="16" t="s">
        <v>27241</v>
      </c>
      <c r="E34868" s="2">
        <v>2656918</v>
      </c>
      <c r="F34868" s="4" t="e">
        <f>IF(B34868=#REF!,"",B34868)</f>
        <v>#REF!</v>
      </c>
    </row>
    <row r="34869" spans="1:6" ht="15.75" customHeight="1">
      <c r="A34869" s="15" t="s">
        <v>861</v>
      </c>
      <c r="B34869" s="15" t="s">
        <v>861</v>
      </c>
      <c r="C34869" s="15" t="s">
        <v>853</v>
      </c>
      <c r="D34869" s="15" t="s">
        <v>862</v>
      </c>
      <c r="E34869" s="2">
        <v>616877</v>
      </c>
      <c r="F34869" s="4" t="e">
        <f>IF(B34869=#REF!,"",B34869)</f>
        <v>#REF!</v>
      </c>
    </row>
    <row r="34870" spans="1:6" ht="15.75" customHeight="1">
      <c r="A34870" s="16" t="s">
        <v>27910</v>
      </c>
      <c r="B34870" s="15" t="s">
        <v>27910</v>
      </c>
      <c r="C34870" s="16" t="s">
        <v>27788</v>
      </c>
      <c r="D34870" s="16" t="s">
        <v>27813</v>
      </c>
      <c r="E34870" s="2">
        <v>5146089</v>
      </c>
      <c r="F34870" s="4" t="e">
        <f>IF(B34870=#REF!,"",B34870)</f>
        <v>#REF!</v>
      </c>
    </row>
    <row r="34871" spans="1:6" ht="15.75" customHeight="1">
      <c r="A34871" s="15" t="s">
        <v>10395</v>
      </c>
      <c r="B34871" s="15" t="s">
        <v>10395</v>
      </c>
      <c r="C34871" s="15" t="s">
        <v>10178</v>
      </c>
      <c r="D34871" s="15" t="s">
        <v>10219</v>
      </c>
      <c r="E34871" s="2">
        <v>1278294</v>
      </c>
      <c r="F34871" s="4" t="e">
        <f>IF(B34871=#REF!,"",B34871)</f>
        <v>#REF!</v>
      </c>
    </row>
    <row r="34872" spans="1:6" ht="15.75" customHeight="1">
      <c r="A34872" s="15" t="s">
        <v>14783</v>
      </c>
      <c r="B34872" s="15" t="s">
        <v>14783</v>
      </c>
      <c r="C34872" s="15" t="s">
        <v>14773</v>
      </c>
      <c r="D34872" s="15" t="s">
        <v>14779</v>
      </c>
      <c r="E34872" s="2">
        <v>295620</v>
      </c>
      <c r="F34872" s="4" t="e">
        <f>IF(B34872=#REF!,"",B34872)</f>
        <v>#REF!</v>
      </c>
    </row>
    <row r="34873" spans="1:6" ht="15.75" customHeight="1">
      <c r="A34873" s="16" t="s">
        <v>10394</v>
      </c>
      <c r="B34873" s="15" t="s">
        <v>10394</v>
      </c>
      <c r="C34873" s="16" t="s">
        <v>10178</v>
      </c>
      <c r="D34873" s="16" t="s">
        <v>10201</v>
      </c>
      <c r="E34873" s="2">
        <v>7302861</v>
      </c>
      <c r="F34873" s="4" t="e">
        <f>IF(B34873=#REF!,"",B34873)</f>
        <v>#REF!</v>
      </c>
    </row>
    <row r="34874" spans="1:6" ht="15.75" customHeight="1">
      <c r="A34874" s="16" t="s">
        <v>10393</v>
      </c>
      <c r="B34874" s="15" t="s">
        <v>10393</v>
      </c>
      <c r="C34874" s="16" t="s">
        <v>10178</v>
      </c>
      <c r="D34874" s="16" t="s">
        <v>10219</v>
      </c>
      <c r="E34874" s="2">
        <v>1278297</v>
      </c>
      <c r="F34874" s="4" t="str">
        <f>IF(B34874=B34873,"",B34874)</f>
        <v>Ashoknagar</v>
      </c>
    </row>
    <row r="34875" spans="1:6" ht="15.75" customHeight="1">
      <c r="A34875" s="16" t="str">
        <f ca="1">IFERROR(__xludf.DUMMYFUNCTION("GOOGLETRANSLATE(B28898,""en"",""pt"")"),"Ashmūn")</f>
        <v>Ashmūn</v>
      </c>
      <c r="B34875" s="20" t="s">
        <v>32318</v>
      </c>
      <c r="C34875" s="20" t="s">
        <v>6495</v>
      </c>
      <c r="D34875" s="20" t="s">
        <v>32252</v>
      </c>
      <c r="E34875" s="10">
        <v>360048</v>
      </c>
      <c r="F34875" s="4" t="str">
        <f>IF(B34875=B34874,"",B34875)</f>
        <v>Ashmūn</v>
      </c>
    </row>
    <row r="34876" spans="1:6" ht="15.75" customHeight="1">
      <c r="A34876" s="16" t="s">
        <v>6593</v>
      </c>
      <c r="B34876" s="15" t="s">
        <v>6594</v>
      </c>
      <c r="C34876" s="16" t="s">
        <v>6495</v>
      </c>
      <c r="D34876" s="16" t="s">
        <v>6543</v>
      </c>
      <c r="E34876" s="2">
        <v>360048</v>
      </c>
      <c r="F34876" s="4" t="e">
        <f>IF(B34876=#REF!,"",B34876)</f>
        <v>#REF!</v>
      </c>
    </row>
    <row r="34877" spans="1:6" ht="15.75" customHeight="1">
      <c r="A34877" s="15" t="s">
        <v>27908</v>
      </c>
      <c r="B34877" s="15" t="s">
        <v>27908</v>
      </c>
      <c r="C34877" s="15" t="s">
        <v>27788</v>
      </c>
      <c r="D34877" s="15" t="s">
        <v>27909</v>
      </c>
      <c r="E34877" s="2">
        <v>4282757</v>
      </c>
      <c r="F34877" s="4" t="e">
        <f>IF(B34877=#REF!,"",B34877)</f>
        <v>#REF!</v>
      </c>
    </row>
    <row r="34878" spans="1:6" ht="15.75" customHeight="1">
      <c r="A34878" s="15" t="s">
        <v>15824</v>
      </c>
      <c r="B34878" s="15" t="s">
        <v>15824</v>
      </c>
      <c r="C34878" s="15" t="s">
        <v>15704</v>
      </c>
      <c r="D34878" s="15" t="s">
        <v>15712</v>
      </c>
      <c r="E34878" s="2">
        <v>1864985</v>
      </c>
      <c r="F34878" s="4" t="e">
        <f>IF(B34878=#REF!,"",B34878)</f>
        <v>#REF!</v>
      </c>
    </row>
    <row r="34879" spans="1:6" ht="15.75" customHeight="1">
      <c r="A34879" s="15" t="s">
        <v>15823</v>
      </c>
      <c r="B34879" s="15" t="s">
        <v>15823</v>
      </c>
      <c r="C34879" s="15" t="s">
        <v>15704</v>
      </c>
      <c r="D34879" s="15" t="s">
        <v>15799</v>
      </c>
      <c r="E34879" s="2">
        <v>1865005</v>
      </c>
      <c r="F34879" s="4" t="e">
        <f>IF(B34879=#REF!,"",B34879)</f>
        <v>#REF!</v>
      </c>
    </row>
    <row r="34880" spans="1:6" ht="15.75" customHeight="1">
      <c r="A34880" s="16" t="s">
        <v>15822</v>
      </c>
      <c r="B34880" s="15" t="s">
        <v>15822</v>
      </c>
      <c r="C34880" s="16" t="s">
        <v>15704</v>
      </c>
      <c r="D34880" s="16" t="s">
        <v>15705</v>
      </c>
      <c r="E34880" s="2">
        <v>2130612</v>
      </c>
      <c r="F34880" s="4" t="e">
        <f>IF(B34880=#REF!,"",B34880)</f>
        <v>#REF!</v>
      </c>
    </row>
    <row r="34881" spans="1:6" ht="15.75" customHeight="1">
      <c r="A34881" s="15" t="s">
        <v>26777</v>
      </c>
      <c r="B34881" s="15" t="s">
        <v>26777</v>
      </c>
      <c r="C34881" s="15" t="s">
        <v>26774</v>
      </c>
      <c r="D34881" s="15" t="s">
        <v>26775</v>
      </c>
      <c r="E34881" s="2">
        <v>162183</v>
      </c>
      <c r="F34881" s="4" t="e">
        <f>IF(B34881=#REF!,"",B34881)</f>
        <v>#REF!</v>
      </c>
    </row>
    <row r="34882" spans="1:6" ht="15.75" customHeight="1">
      <c r="A34882" s="15" t="s">
        <v>27263</v>
      </c>
      <c r="B34882" s="15" t="s">
        <v>27263</v>
      </c>
      <c r="C34882" s="15" t="s">
        <v>27234</v>
      </c>
      <c r="D34882" s="15" t="s">
        <v>27241</v>
      </c>
      <c r="E34882" s="2">
        <v>2656955</v>
      </c>
      <c r="F34882" s="4" t="e">
        <f>IF(B34882=#REF!,"",B34882)</f>
        <v>#REF!</v>
      </c>
    </row>
    <row r="34883" spans="1:6" ht="15.75" customHeight="1">
      <c r="A34883" s="15" t="s">
        <v>897</v>
      </c>
      <c r="B34883" s="15" t="s">
        <v>897</v>
      </c>
      <c r="C34883" s="15" t="s">
        <v>885</v>
      </c>
      <c r="D34883" s="15" t="s">
        <v>891</v>
      </c>
      <c r="E34883" s="2">
        <v>2177565</v>
      </c>
      <c r="F34883" s="4" t="e">
        <f>IF(B34883=#REF!,"",B34883)</f>
        <v>#REF!</v>
      </c>
    </row>
    <row r="34884" spans="1:6" ht="15.75" customHeight="1">
      <c r="A34884" s="15" t="s">
        <v>27907</v>
      </c>
      <c r="B34884" s="15" t="s">
        <v>27907</v>
      </c>
      <c r="C34884" s="15" t="s">
        <v>27788</v>
      </c>
      <c r="D34884" s="15" t="s">
        <v>27822</v>
      </c>
      <c r="E34884" s="2">
        <v>4453066</v>
      </c>
      <c r="F34884" s="4" t="e">
        <f>IF(B34884=#REF!,"",B34884)</f>
        <v>#REF!</v>
      </c>
    </row>
    <row r="34885" spans="1:6" ht="15.75" customHeight="1">
      <c r="A34885" s="15" t="s">
        <v>27906</v>
      </c>
      <c r="B34885" s="15" t="s">
        <v>27906</v>
      </c>
      <c r="C34885" s="15" t="s">
        <v>27788</v>
      </c>
      <c r="D34885" s="15" t="s">
        <v>27822</v>
      </c>
      <c r="E34885" s="2">
        <v>4453035</v>
      </c>
      <c r="F34885" s="4" t="e">
        <f>IF(B34885=#REF!,"",B34885)</f>
        <v>#REF!</v>
      </c>
    </row>
    <row r="34886" spans="1:6" ht="15.75" customHeight="1">
      <c r="A34886" s="15" t="s">
        <v>14782</v>
      </c>
      <c r="B34886" s="15" t="s">
        <v>14782</v>
      </c>
      <c r="C34886" s="15" t="s">
        <v>14773</v>
      </c>
      <c r="D34886" s="15" t="s">
        <v>14779</v>
      </c>
      <c r="E34886" s="2">
        <v>295629</v>
      </c>
      <c r="F34886" s="4" t="e">
        <f>IF(B34886=#REF!,"",B34886)</f>
        <v>#REF!</v>
      </c>
    </row>
    <row r="34887" spans="1:6" ht="15.75" customHeight="1">
      <c r="A34887" s="16" t="s">
        <v>19168</v>
      </c>
      <c r="B34887" s="15" t="s">
        <v>19168</v>
      </c>
      <c r="C34887" s="16" t="s">
        <v>19169</v>
      </c>
      <c r="D34887" s="16" t="s">
        <v>19170</v>
      </c>
      <c r="E34887" s="2">
        <v>6217081</v>
      </c>
      <c r="F34887" s="4" t="e">
        <f>IF(B34887=#REF!,"",B34887)</f>
        <v>#REF!</v>
      </c>
    </row>
    <row r="34888" spans="1:6" ht="15.75" customHeight="1">
      <c r="A34888" s="15" t="s">
        <v>22165</v>
      </c>
      <c r="B34888" s="15" t="s">
        <v>22165</v>
      </c>
      <c r="C34888" s="15" t="s">
        <v>22070</v>
      </c>
      <c r="D34888" s="15" t="s">
        <v>22166</v>
      </c>
      <c r="E34888" s="2">
        <v>580660</v>
      </c>
      <c r="F34888" s="4" t="str">
        <f>IF(B34888=B34887,"",B34888)</f>
        <v>Asha</v>
      </c>
    </row>
    <row r="34889" spans="1:6" ht="15.75" customHeight="1">
      <c r="A34889" s="16" t="s">
        <v>6591</v>
      </c>
      <c r="B34889" s="15" t="s">
        <v>6592</v>
      </c>
      <c r="C34889" s="16" t="s">
        <v>6495</v>
      </c>
      <c r="D34889" s="16" t="s">
        <v>6543</v>
      </c>
      <c r="E34889" s="2">
        <v>359953</v>
      </c>
      <c r="F34889" s="4" t="str">
        <f>IF(B34889=B34888,"",B34889)</f>
        <v>Ash ShuhadÄâ€™</v>
      </c>
    </row>
    <row r="34890" spans="1:6" ht="15.75" customHeight="1">
      <c r="A34890" s="16" t="str">
        <f ca="1">IFERROR(__xludf.DUMMYFUNCTION("GOOGLETRANSLATE(B28897,""en"",""pt"")"),"Ash Shuhadā '")</f>
        <v>Ash Shuhadā '</v>
      </c>
      <c r="B34890" s="20" t="s">
        <v>32317</v>
      </c>
      <c r="C34890" s="20" t="s">
        <v>6495</v>
      </c>
      <c r="D34890" s="20" t="s">
        <v>32252</v>
      </c>
      <c r="E34890" s="10">
        <v>359953</v>
      </c>
      <c r="F34890" s="4" t="str">
        <f>IF(B34890=B34889,"",B34890)</f>
        <v>Ash Shuhadā’</v>
      </c>
    </row>
    <row r="34891" spans="1:6" ht="15.75" customHeight="1">
      <c r="A34891" s="16" t="str">
        <f ca="1">IFERROR(__xludf.DUMMYFUNCTION("GOOGLETRANSLATE(B41402,""en"",""pt"")"),"Ash Shaykh Miskīn")</f>
        <v>Ash Shaykh Miskīn</v>
      </c>
      <c r="B34891" s="20" t="s">
        <v>35729</v>
      </c>
      <c r="C34891" s="20" t="s">
        <v>25366</v>
      </c>
      <c r="D34891" s="20" t="s">
        <v>25375</v>
      </c>
      <c r="E34891" s="10">
        <v>164328</v>
      </c>
      <c r="F34891" s="4" t="str">
        <f>IF(B34891=B34890,"",B34891)</f>
        <v>Ash Shaykh Miskīn</v>
      </c>
    </row>
    <row r="34892" spans="1:6" ht="15.75" customHeight="1">
      <c r="A34892" s="16" t="s">
        <v>25425</v>
      </c>
      <c r="B34892" s="15" t="s">
        <v>25426</v>
      </c>
      <c r="C34892" s="16" t="s">
        <v>25366</v>
      </c>
      <c r="D34892" s="16" t="s">
        <v>25375</v>
      </c>
      <c r="E34892" s="2">
        <v>164328</v>
      </c>
      <c r="F34892" s="4" t="str">
        <f>IF(B34892=B34891,"",B34892)</f>
        <v>Ash Shaykh MiskÄ«n</v>
      </c>
    </row>
    <row r="34893" spans="1:6" ht="15.75" customHeight="1">
      <c r="A34893" s="16" t="str">
        <f ca="1">IFERROR(__xludf.DUMMYFUNCTION("GOOGLETRANSLATE(B34304,""en"",""pt"")"),"Ash Shaţrah")</f>
        <v>Ash Shaţrah</v>
      </c>
      <c r="B34893" s="20" t="s">
        <v>34091</v>
      </c>
      <c r="C34893" s="20" t="s">
        <v>14594</v>
      </c>
      <c r="D34893" s="20" t="s">
        <v>14657</v>
      </c>
      <c r="E34893" s="10">
        <v>98622</v>
      </c>
      <c r="F34893" s="4" t="str">
        <f>IF(B34893=B34892,"",B34893)</f>
        <v>Ash Shaţrah</v>
      </c>
    </row>
    <row r="34894" spans="1:6" ht="15.75" customHeight="1">
      <c r="A34894" s="16" t="str">
        <f ca="1">IFERROR(__xludf.DUMMYFUNCTION("GOOGLETRANSLATE(B34305,""en"",""pt"")"),"Ash Shāmīyah")</f>
        <v>Ash Shāmīyah</v>
      </c>
      <c r="B34894" s="20" t="s">
        <v>34092</v>
      </c>
      <c r="C34894" s="20" t="s">
        <v>14594</v>
      </c>
      <c r="D34894" s="20" t="s">
        <v>34090</v>
      </c>
      <c r="E34894" s="10">
        <v>98629</v>
      </c>
      <c r="F34894" s="4" t="str">
        <f>IF(B34894=B34893,"",B34894)</f>
        <v>Ash Shāmīyah</v>
      </c>
    </row>
    <row r="34895" spans="1:6" ht="15.75" customHeight="1">
      <c r="A34895" s="15" t="s">
        <v>23510</v>
      </c>
      <c r="B34895" s="15" t="s">
        <v>23511</v>
      </c>
      <c r="C34895" s="15" t="s">
        <v>23454</v>
      </c>
      <c r="D34895" s="15" t="s">
        <v>23491</v>
      </c>
      <c r="E34895" s="2">
        <v>410096</v>
      </c>
      <c r="F34895" s="4" t="str">
        <f>IF(B34895=B34894,"",B34895)</f>
        <v>Ash ShafÄ</v>
      </c>
    </row>
    <row r="34896" spans="1:6" ht="15.75" customHeight="1">
      <c r="A34896" s="16" t="str">
        <f ca="1">IFERROR(__xludf.DUMMYFUNCTION("GOOGLETRANSLATE(B41067,""en"",""pt"")"),"Ash Shafā")</f>
        <v>Ash Shafā</v>
      </c>
      <c r="B34896" s="20" t="s">
        <v>35602</v>
      </c>
      <c r="C34896" s="20" t="s">
        <v>23454</v>
      </c>
      <c r="D34896" s="20" t="s">
        <v>23491</v>
      </c>
      <c r="E34896" s="10">
        <v>410096</v>
      </c>
      <c r="F34896" s="4" t="str">
        <f>IF(B34896=B34895,"",B34896)</f>
        <v>Ash Shafā</v>
      </c>
    </row>
    <row r="34897" spans="1:6" ht="15.75" customHeight="1">
      <c r="A34897" s="16" t="s">
        <v>14668</v>
      </c>
      <c r="B34897" s="15" t="s">
        <v>14669</v>
      </c>
      <c r="C34897" s="16" t="s">
        <v>14594</v>
      </c>
      <c r="D34897" s="16" t="s">
        <v>14657</v>
      </c>
      <c r="E34897" s="2">
        <v>98622</v>
      </c>
      <c r="F34897" s="4" t="str">
        <f>IF(B34897=B34896,"",B34897)</f>
        <v>Ash ShaÅ£rah</v>
      </c>
    </row>
    <row r="34898" spans="1:6" ht="15.75" customHeight="1">
      <c r="A34898" s="16" t="s">
        <v>14666</v>
      </c>
      <c r="B34898" s="15" t="s">
        <v>14667</v>
      </c>
      <c r="C34898" s="16" t="s">
        <v>14594</v>
      </c>
      <c r="D34898" s="16" t="s">
        <v>14601</v>
      </c>
      <c r="E34898" s="2">
        <v>98629</v>
      </c>
      <c r="F34898" s="4" t="str">
        <f>IF(B34898=B34897,"",B34898)</f>
        <v>Ash ShÄmÄ«yah</v>
      </c>
    </row>
    <row r="34899" spans="1:6" ht="15.75" customHeight="1">
      <c r="A34899" s="16" t="str">
        <f ca="1">IFERROR(__xludf.DUMMYFUNCTION("GOOGLETRANSLATE(B27099,""en"",""pt"")"),"Aserrí")</f>
        <v>Aserrí</v>
      </c>
      <c r="B34899" s="20" t="s">
        <v>31900</v>
      </c>
      <c r="C34899" s="20" t="s">
        <v>5665</v>
      </c>
      <c r="D34899" s="20" t="s">
        <v>5697</v>
      </c>
      <c r="E34899" s="10">
        <v>3624848</v>
      </c>
      <c r="F34899" s="4" t="str">
        <f>IF(B34899=B34898,"",B34899)</f>
        <v>Aserrí</v>
      </c>
    </row>
    <row r="34900" spans="1:6" ht="15.75" customHeight="1">
      <c r="A34900" s="15" t="s">
        <v>5666</v>
      </c>
      <c r="B34900" s="15" t="s">
        <v>5667</v>
      </c>
      <c r="C34900" s="15" t="s">
        <v>5665</v>
      </c>
      <c r="D34900" s="15" t="s">
        <v>5668</v>
      </c>
      <c r="E34900" s="2">
        <v>3624848</v>
      </c>
      <c r="F34900" s="4" t="e">
        <f>IF(B34900=#REF!,"",B34900)</f>
        <v>#REF!</v>
      </c>
    </row>
    <row r="34901" spans="1:6" ht="15.75" customHeight="1">
      <c r="A34901" s="16" t="s">
        <v>3700</v>
      </c>
      <c r="B34901" s="15" t="s">
        <v>3700</v>
      </c>
      <c r="C34901" s="16" t="s">
        <v>3701</v>
      </c>
      <c r="D34901" s="16" t="s">
        <v>3702</v>
      </c>
      <c r="E34901" s="2">
        <v>733618</v>
      </c>
      <c r="F34901" s="4" t="e">
        <f>IF(B34901=#REF!,"",B34901)</f>
        <v>#REF!</v>
      </c>
    </row>
    <row r="34902" spans="1:6" ht="15.75" customHeight="1">
      <c r="A34902" s="15" t="s">
        <v>27262</v>
      </c>
      <c r="B34902" s="15" t="s">
        <v>27262</v>
      </c>
      <c r="C34902" s="15" t="s">
        <v>27234</v>
      </c>
      <c r="D34902" s="15" t="s">
        <v>27241</v>
      </c>
      <c r="E34902" s="2">
        <v>2656992</v>
      </c>
      <c r="F34902" s="4" t="e">
        <f>IF(B34902=#REF!,"",B34902)</f>
        <v>#REF!</v>
      </c>
    </row>
    <row r="34903" spans="1:6" ht="15.75" customHeight="1">
      <c r="A34903" s="16" t="s">
        <v>14948</v>
      </c>
      <c r="B34903" s="15" t="s">
        <v>14949</v>
      </c>
      <c r="C34903" s="16" t="s">
        <v>14891</v>
      </c>
      <c r="D34903" s="16" t="s">
        <v>14931</v>
      </c>
      <c r="E34903" s="2">
        <v>3182749</v>
      </c>
      <c r="F34903" s="4" t="e">
        <f>IF(B34903=#REF!,"",B34903)</f>
        <v>#REF!</v>
      </c>
    </row>
    <row r="34904" spans="1:6" ht="15.75" customHeight="1">
      <c r="A34904" s="16" t="s">
        <v>8084</v>
      </c>
      <c r="B34904" s="15" t="s">
        <v>8084</v>
      </c>
      <c r="C34904" s="16" t="s">
        <v>8028</v>
      </c>
      <c r="D34904" s="16" t="s">
        <v>8085</v>
      </c>
      <c r="E34904" s="2">
        <v>2955168</v>
      </c>
      <c r="F34904" s="4" t="e">
        <f>IF(B34904=#REF!,"",B34904)</f>
        <v>#REF!</v>
      </c>
    </row>
    <row r="34905" spans="1:6" ht="15.75" customHeight="1">
      <c r="A34905" s="16" t="s">
        <v>8083</v>
      </c>
      <c r="B34905" s="15" t="s">
        <v>8083</v>
      </c>
      <c r="C34905" s="16" t="s">
        <v>8028</v>
      </c>
      <c r="D34905" s="16" t="s">
        <v>8029</v>
      </c>
      <c r="E34905" s="2">
        <v>2955224</v>
      </c>
      <c r="F34905" s="4" t="e">
        <f>IF(B34905=#REF!,"",B34905)</f>
        <v>#REF!</v>
      </c>
    </row>
    <row r="34906" spans="1:6" ht="15.75" customHeight="1">
      <c r="A34906" s="16" t="s">
        <v>8082</v>
      </c>
      <c r="B34906" s="15" t="s">
        <v>8082</v>
      </c>
      <c r="C34906" s="16" t="s">
        <v>8028</v>
      </c>
      <c r="D34906" s="16" t="s">
        <v>8044</v>
      </c>
      <c r="E34906" s="2">
        <v>2955272</v>
      </c>
      <c r="F34906" s="4" t="e">
        <f>IF(B34906=#REF!,"",B34906)</f>
        <v>#REF!</v>
      </c>
    </row>
    <row r="34907" spans="1:6" ht="15.75" customHeight="1">
      <c r="A34907" s="16" t="s">
        <v>27903</v>
      </c>
      <c r="B34907" s="15" t="s">
        <v>27904</v>
      </c>
      <c r="C34907" s="16" t="s">
        <v>27788</v>
      </c>
      <c r="D34907" s="16" t="s">
        <v>27905</v>
      </c>
      <c r="E34907" s="2">
        <v>5095281</v>
      </c>
      <c r="F34907" s="4" t="e">
        <f>IF(B34907=#REF!,"",B34907)</f>
        <v>#REF!</v>
      </c>
    </row>
    <row r="34908" spans="1:6" ht="15.75" customHeight="1">
      <c r="A34908" s="16" t="s">
        <v>22163</v>
      </c>
      <c r="B34908" s="15" t="s">
        <v>22164</v>
      </c>
      <c r="C34908" s="16" t="s">
        <v>22070</v>
      </c>
      <c r="D34908" s="16" t="s">
        <v>22106</v>
      </c>
      <c r="E34908" s="2">
        <v>1511330</v>
      </c>
      <c r="F34908" s="4" t="str">
        <f>IF(B34908=B34907,"",B34908)</f>
        <v>Asbest</v>
      </c>
    </row>
    <row r="34909" spans="1:6" ht="15.75" customHeight="1">
      <c r="A34909" s="15" t="s">
        <v>24295</v>
      </c>
      <c r="B34909" s="15" t="s">
        <v>24296</v>
      </c>
      <c r="C34909" s="15" t="s">
        <v>24200</v>
      </c>
      <c r="D34909" s="15" t="s">
        <v>24205</v>
      </c>
      <c r="E34909" s="2">
        <v>2510116</v>
      </c>
      <c r="F34909" s="4" t="str">
        <f>IF(B34909=B34908,"",B34909)</f>
        <v>Ãšbeda</v>
      </c>
    </row>
    <row r="34910" spans="1:6" ht="15.75" customHeight="1">
      <c r="A34910" s="16" t="str">
        <f ca="1">IFERROR(__xludf.DUMMYFUNCTION("GOOGLETRANSLATE(B29584,""en"",""pt"")"),"Āsbe Teferī")</f>
        <v>Āsbe Teferī</v>
      </c>
      <c r="B34910" s="20" t="s">
        <v>32514</v>
      </c>
      <c r="C34910" s="20" t="s">
        <v>6807</v>
      </c>
      <c r="D34910" s="20" t="s">
        <v>6814</v>
      </c>
      <c r="E34910" s="10">
        <v>343402</v>
      </c>
      <c r="F34910" s="4" t="str">
        <f>IF(B34910=B34909,"",B34910)</f>
        <v>Āsbe Teferī</v>
      </c>
    </row>
    <row r="34911" spans="1:6" ht="15.75" customHeight="1">
      <c r="A34911" s="16" t="str">
        <f ca="1">IFERROR(__xludf.DUMMYFUNCTION("GOOGLETRANSLATE(B29586,""en"",""pt"")"),"Āsasa")</f>
        <v>Āsasa</v>
      </c>
      <c r="B34911" s="20" t="s">
        <v>32515</v>
      </c>
      <c r="C34911" s="20" t="s">
        <v>6807</v>
      </c>
      <c r="D34911" s="20" t="s">
        <v>6814</v>
      </c>
      <c r="E34911" s="10">
        <v>343413</v>
      </c>
      <c r="F34911" s="4" t="str">
        <f>IF(B34911=B34910,"",B34911)</f>
        <v>Āsasa</v>
      </c>
    </row>
    <row r="34912" spans="1:6" ht="15.75" customHeight="1">
      <c r="A34912" s="16" t="str">
        <f ca="1">IFERROR(__xludf.DUMMYFUNCTION("GOOGLETRANSLATE(B34066,""en"",""pt"")"),"Āsansol")</f>
        <v>Āsansol</v>
      </c>
      <c r="B34912" s="20" t="s">
        <v>34011</v>
      </c>
      <c r="C34912" s="20" t="s">
        <v>10178</v>
      </c>
      <c r="D34912" s="20" t="s">
        <v>10201</v>
      </c>
      <c r="E34912" s="10">
        <v>1278314</v>
      </c>
      <c r="F34912" s="4" t="str">
        <f>IF(B34912=B34911,"",B34912)</f>
        <v>Āsansol</v>
      </c>
    </row>
    <row r="34913" spans="1:6" ht="15.75" customHeight="1">
      <c r="A34913" s="16" t="str">
        <f ca="1">IFERROR(__xludf.DUMMYFUNCTION("GOOGLETRANSLATE(B34067,""en"",""pt"")"),"Āsandh")</f>
        <v>Āsandh</v>
      </c>
      <c r="B34913" s="20" t="s">
        <v>34012</v>
      </c>
      <c r="C34913" s="20" t="s">
        <v>10178</v>
      </c>
      <c r="D34913" s="20" t="s">
        <v>10224</v>
      </c>
      <c r="E34913" s="10">
        <v>1278320</v>
      </c>
      <c r="F34913" s="4" t="e">
        <f>IF(B34913=#REF!,"",B34913)</f>
        <v>#REF!</v>
      </c>
    </row>
    <row r="34914" spans="1:6" ht="15.75" customHeight="1">
      <c r="A34914" s="15" t="s">
        <v>24032</v>
      </c>
      <c r="B34914" s="15" t="s">
        <v>24032</v>
      </c>
      <c r="C34914" s="15" t="s">
        <v>24024</v>
      </c>
      <c r="D34914" s="15" t="s">
        <v>24033</v>
      </c>
      <c r="E34914" s="2">
        <v>1839726</v>
      </c>
      <c r="F34914" s="4" t="e">
        <f>IF(B34914=#REF!,"",B34914)</f>
        <v>#REF!</v>
      </c>
    </row>
    <row r="34915" spans="1:6" ht="15.75" customHeight="1">
      <c r="A34915" s="16" t="s">
        <v>9377</v>
      </c>
      <c r="B34915" s="15" t="s">
        <v>9377</v>
      </c>
      <c r="C34915" s="16" t="s">
        <v>9365</v>
      </c>
      <c r="D34915" s="16" t="s">
        <v>9366</v>
      </c>
      <c r="E34915" s="2">
        <v>2304220</v>
      </c>
      <c r="F34915" s="4" t="e">
        <f>IF(B34915=#REF!,"",B34915)</f>
        <v>#REF!</v>
      </c>
    </row>
    <row r="34916" spans="1:6" ht="15.75" customHeight="1">
      <c r="A34916" s="15" t="s">
        <v>15821</v>
      </c>
      <c r="B34916" s="15" t="s">
        <v>15821</v>
      </c>
      <c r="C34916" s="15" t="s">
        <v>15704</v>
      </c>
      <c r="D34916" s="15" t="s">
        <v>15710</v>
      </c>
      <c r="E34916" s="2">
        <v>1907299</v>
      </c>
      <c r="F34916" s="4" t="e">
        <f>IF(B34916=#REF!,"",B34916)</f>
        <v>#REF!</v>
      </c>
    </row>
    <row r="34917" spans="1:6" ht="15.75" customHeight="1">
      <c r="A34917" s="15" t="s">
        <v>6833</v>
      </c>
      <c r="B34917" s="15" t="s">
        <v>6833</v>
      </c>
      <c r="C34917" s="15" t="s">
        <v>6807</v>
      </c>
      <c r="D34917" s="15" t="s">
        <v>6834</v>
      </c>
      <c r="E34917" s="2">
        <v>343409</v>
      </c>
      <c r="F34917" s="4" t="e">
        <f>IF(B34917=#REF!,"",B34917)</f>
        <v>#REF!</v>
      </c>
    </row>
    <row r="34918" spans="1:6" ht="15.75" customHeight="1">
      <c r="A34918" s="16" t="s">
        <v>15820</v>
      </c>
      <c r="B34918" s="15" t="s">
        <v>15820</v>
      </c>
      <c r="C34918" s="16" t="s">
        <v>15704</v>
      </c>
      <c r="D34918" s="16" t="s">
        <v>15705</v>
      </c>
      <c r="E34918" s="2">
        <v>2130629</v>
      </c>
      <c r="F34918" s="4" t="e">
        <f>IF(B34918=#REF!,"",B34918)</f>
        <v>#REF!</v>
      </c>
    </row>
    <row r="34919" spans="1:6" ht="15.75" customHeight="1">
      <c r="A34919" s="15" t="s">
        <v>15819</v>
      </c>
      <c r="B34919" s="15" t="s">
        <v>15819</v>
      </c>
      <c r="C34919" s="15" t="s">
        <v>15704</v>
      </c>
      <c r="D34919" s="15" t="s">
        <v>15707</v>
      </c>
      <c r="E34919" s="2">
        <v>2113077</v>
      </c>
      <c r="F34919" s="4" t="e">
        <f>IF(B34919=#REF!,"",B34919)</f>
        <v>#REF!</v>
      </c>
    </row>
    <row r="34920" spans="1:6" ht="15.75" customHeight="1">
      <c r="A34920" s="16" t="str">
        <f ca="1">IFERROR(__xludf.DUMMYFUNCTION("GOOGLETRANSLATE(B23098,""en"",""pt"")"),"Asadābād")</f>
        <v>Asadābād</v>
      </c>
      <c r="B34920" s="20" t="s">
        <v>31139</v>
      </c>
      <c r="C34920" s="20" t="s">
        <v>8</v>
      </c>
      <c r="D34920" s="20" t="s">
        <v>12</v>
      </c>
      <c r="E34920" s="10">
        <v>1148311</v>
      </c>
      <c r="F34920" s="4" t="e">
        <f>IF(B34920=#REF!,"",B34920)</f>
        <v>#REF!</v>
      </c>
    </row>
    <row r="34921" spans="1:6" ht="15.75" customHeight="1">
      <c r="A34921" s="16" t="s">
        <v>19</v>
      </c>
      <c r="B34921" s="15" t="s">
        <v>20</v>
      </c>
      <c r="C34921" s="16" t="s">
        <v>8</v>
      </c>
      <c r="D34921" s="16" t="s">
        <v>12</v>
      </c>
      <c r="E34921" s="2">
        <v>1148311</v>
      </c>
      <c r="F34921" s="4" t="e">
        <f>IF(B34921=#REF!,"",B34921)</f>
        <v>#REF!</v>
      </c>
    </row>
    <row r="34922" spans="1:6" ht="15.75" customHeight="1">
      <c r="A34922" s="15" t="s">
        <v>19326</v>
      </c>
      <c r="B34922" s="15" t="s">
        <v>19326</v>
      </c>
      <c r="C34922" s="15" t="s">
        <v>19294</v>
      </c>
      <c r="D34922" s="15" t="s">
        <v>4039</v>
      </c>
      <c r="E34922" s="2">
        <v>2349276</v>
      </c>
      <c r="F34922" s="4" t="str">
        <f>IF(B34922=B34921,"",B34922)</f>
        <v>Asaba</v>
      </c>
    </row>
    <row r="34923" spans="1:6" ht="15.75" customHeight="1">
      <c r="A34923" s="16" t="str">
        <f ca="1">IFERROR(__xludf.DUMMYFUNCTION("GOOGLETRANSLATE(B34300,""en"",""pt"")"),"Aş şuwayrah")</f>
        <v>Aş şuwayrah</v>
      </c>
      <c r="B34923" s="20" t="s">
        <v>34087</v>
      </c>
      <c r="C34923" s="20" t="s">
        <v>14594</v>
      </c>
      <c r="D34923" s="20" t="s">
        <v>34088</v>
      </c>
      <c r="E34923" s="10">
        <v>98459</v>
      </c>
      <c r="F34923" s="4" t="e">
        <f>IF(B34923=#REF!,"",B34923)</f>
        <v>#REF!</v>
      </c>
    </row>
    <row r="34924" spans="1:6" ht="15.75" customHeight="1">
      <c r="A34924" s="16" t="s">
        <v>19768</v>
      </c>
      <c r="B34924" s="15" t="s">
        <v>19769</v>
      </c>
      <c r="C34924" s="16" t="s">
        <v>19755</v>
      </c>
      <c r="D34924" s="16" t="s">
        <v>19765</v>
      </c>
      <c r="E34924" s="2">
        <v>288955</v>
      </c>
      <c r="F34924" s="4" t="str">
        <f>IF(B34924=B34923,"",B34924)</f>
        <v>As Suwayq</v>
      </c>
    </row>
    <row r="34925" spans="1:6" ht="15.75" customHeight="1">
      <c r="A34925" s="16" t="s">
        <v>25422</v>
      </c>
      <c r="B34925" s="15" t="s">
        <v>25423</v>
      </c>
      <c r="C34925" s="16" t="s">
        <v>25366</v>
      </c>
      <c r="D34925" s="16" t="s">
        <v>25424</v>
      </c>
      <c r="E34925" s="2">
        <v>172408</v>
      </c>
      <c r="F34925" s="4" t="str">
        <f>IF(B34925=B34924,"",B34925)</f>
        <v>As SuwaydÄâ€™</v>
      </c>
    </row>
    <row r="34926" spans="1:6" ht="15.75" customHeight="1">
      <c r="A34926" s="16" t="str">
        <f ca="1">IFERROR(__xludf.DUMMYFUNCTION("GOOGLETRANSLATE(B41445,""en"",""pt"")"),"Como suwaydā '")</f>
        <v>Como suwaydā '</v>
      </c>
      <c r="B34926" s="20" t="s">
        <v>35757</v>
      </c>
      <c r="C34926" s="20" t="s">
        <v>25366</v>
      </c>
      <c r="D34926" s="20" t="s">
        <v>25424</v>
      </c>
      <c r="E34926" s="10">
        <v>172408</v>
      </c>
      <c r="F34926" s="4" t="e">
        <f>IF(B34926=#REF!,"",B34926)</f>
        <v>#REF!</v>
      </c>
    </row>
    <row r="34927" spans="1:6" ht="15.75" customHeight="1">
      <c r="A34927" s="16" t="s">
        <v>23508</v>
      </c>
      <c r="B34927" s="15" t="s">
        <v>23509</v>
      </c>
      <c r="C34927" s="16" t="s">
        <v>23454</v>
      </c>
      <c r="D34927" s="16" t="s">
        <v>23460</v>
      </c>
      <c r="E34927" s="2">
        <v>108048</v>
      </c>
      <c r="F34927" s="4" t="str">
        <f>IF(B34927=B34926,"",B34927)</f>
        <v>As Sulayyil</v>
      </c>
    </row>
    <row r="34928" spans="1:6" ht="15.75" customHeight="1">
      <c r="A34928" s="16" t="str">
        <f ca="1">IFERROR(__xludf.DUMMYFUNCTION("GOOGLETRANSLATE(B34301,""en"",""pt"")"),"Como Sulaymānīyah")</f>
        <v>Como Sulaymānīyah</v>
      </c>
      <c r="B34928" s="20" t="s">
        <v>34083</v>
      </c>
      <c r="C34928" s="20" t="s">
        <v>14594</v>
      </c>
      <c r="D34928" s="20" t="s">
        <v>34083</v>
      </c>
      <c r="E34928" s="10">
        <v>98463</v>
      </c>
      <c r="F34928" s="4" t="str">
        <f>IF(B34928=B34927,"",B34928)</f>
        <v>As Sulaymānīyah</v>
      </c>
    </row>
    <row r="34929" spans="1:6" ht="15.75" customHeight="1">
      <c r="A34929" s="16" t="s">
        <v>14665</v>
      </c>
      <c r="B34929" s="15" t="s">
        <v>14598</v>
      </c>
      <c r="C34929" s="16" t="s">
        <v>14594</v>
      </c>
      <c r="D34929" s="16" t="s">
        <v>14598</v>
      </c>
      <c r="E34929" s="2">
        <v>98463</v>
      </c>
      <c r="F34929" s="4" t="str">
        <f>IF(B34929=B34928,"",B34929)</f>
        <v>As SulaymÄnÄ«yah</v>
      </c>
    </row>
    <row r="34930" spans="1:6" ht="15.75" customHeight="1">
      <c r="A34930" s="16" t="str">
        <f ca="1">IFERROR(__xludf.DUMMYFUNCTION("GOOGLETRANSLATE(B41094,""en"",""pt"")"),"Como sūkī")</f>
        <v>Como sūkī</v>
      </c>
      <c r="B34930" s="20" t="s">
        <v>35612</v>
      </c>
      <c r="C34930" s="20" t="s">
        <v>24987</v>
      </c>
      <c r="D34930" s="20" t="s">
        <v>35607</v>
      </c>
      <c r="E34930" s="10">
        <v>378271</v>
      </c>
      <c r="F34930" s="4" t="str">
        <f>IF(B34930=B34929,"",B34930)</f>
        <v>As Sūkī</v>
      </c>
    </row>
    <row r="34931" spans="1:6" ht="15.75" customHeight="1">
      <c r="A34931" s="16" t="str">
        <f ca="1">IFERROR(__xludf.DUMMYFUNCTION("GOOGLETRANSLATE(B41446,""en"",""pt"")"),"Aş şanamayn")</f>
        <v>Aş şanamayn</v>
      </c>
      <c r="B34931" s="20" t="s">
        <v>35758</v>
      </c>
      <c r="C34931" s="20" t="s">
        <v>25366</v>
      </c>
      <c r="D34931" s="20" t="s">
        <v>25375</v>
      </c>
      <c r="E34931" s="10">
        <v>172469</v>
      </c>
      <c r="F34931" s="4" t="str">
        <f>IF(B34931=B34930,"",B34931)</f>
        <v>Aş Şanamayn</v>
      </c>
    </row>
    <row r="34932" spans="1:6" ht="15.75" customHeight="1">
      <c r="A34932" s="16" t="str">
        <f ca="1">IFERROR(__xludf.DUMMYFUNCTION("GOOGLETRANSLATE(B39553,""en"",""pt"")"),"Como samū ‘")</f>
        <v>Como samū ‘</v>
      </c>
      <c r="B34932" s="20" t="s">
        <v>35280</v>
      </c>
      <c r="C34932" s="20" t="s">
        <v>20297</v>
      </c>
      <c r="D34932" s="20" t="s">
        <v>20298</v>
      </c>
      <c r="E34932" s="10">
        <v>284583</v>
      </c>
      <c r="F34932" s="4" t="e">
        <f>IF(B34932=#REF!,"",B34932)</f>
        <v>#REF!</v>
      </c>
    </row>
    <row r="34933" spans="1:6" ht="15.75" customHeight="1">
      <c r="A34933" s="16" t="s">
        <v>14663</v>
      </c>
      <c r="B34933" s="15" t="s">
        <v>14664</v>
      </c>
      <c r="C34933" s="16" t="s">
        <v>14594</v>
      </c>
      <c r="D34933" s="16" t="s">
        <v>14662</v>
      </c>
      <c r="E34933" s="2">
        <v>98530</v>
      </c>
      <c r="F34933" s="4" t="str">
        <f>IF(B34933=B34932,"",B34933)</f>
        <v>As Samawah</v>
      </c>
    </row>
    <row r="34934" spans="1:6" ht="15.75" customHeight="1">
      <c r="A34934" s="16" t="s">
        <v>20319</v>
      </c>
      <c r="B34934" s="15" t="s">
        <v>20320</v>
      </c>
      <c r="C34934" s="16" t="s">
        <v>20297</v>
      </c>
      <c r="D34934" s="16" t="s">
        <v>20298</v>
      </c>
      <c r="E34934" s="2">
        <v>284583</v>
      </c>
      <c r="F34934" s="4" t="str">
        <f>IF(B34934=B34933,"",B34934)</f>
        <v>As SamÅ«â€˜</v>
      </c>
    </row>
    <row r="34935" spans="1:6" ht="15.75" customHeight="1">
      <c r="A34935" s="16" t="str">
        <f ca="1">IFERROR(__xludf.DUMMYFUNCTION("GOOGLETRANSLATE(B35135,""en"",""pt"")"),"Como salţ")</f>
        <v>Como salţ</v>
      </c>
      <c r="B34935" s="20" t="s">
        <v>34285</v>
      </c>
      <c r="C34935" s="20" t="s">
        <v>16624</v>
      </c>
      <c r="D34935" s="20" t="s">
        <v>16644</v>
      </c>
      <c r="E34935" s="10">
        <v>250258</v>
      </c>
      <c r="F34935" s="4" t="str">
        <f>IF(B34935=B34934,"",B34935)</f>
        <v>As Salţ</v>
      </c>
    </row>
    <row r="34936" spans="1:6" ht="15.75" customHeight="1">
      <c r="A34936" s="16" t="str">
        <f ca="1">IFERROR(__xludf.DUMMYFUNCTION("GOOGLETRANSLATE(B36168,""en"",""pt"")"),"Como Sālimīyah")</f>
        <v>Como Sālimīyah</v>
      </c>
      <c r="B34936" s="20" t="s">
        <v>34483</v>
      </c>
      <c r="C34936" s="20" t="s">
        <v>16884</v>
      </c>
      <c r="D34936" s="20" t="s">
        <v>34481</v>
      </c>
      <c r="E34936" s="10">
        <v>285704</v>
      </c>
      <c r="F34936" s="4" t="str">
        <f>IF(B34936=B34935,"",B34936)</f>
        <v>As Sālimīyah</v>
      </c>
    </row>
    <row r="34937" spans="1:6" ht="15.75" customHeight="1">
      <c r="A34937" s="16" t="str">
        <f ca="1">IFERROR(__xludf.DUMMYFUNCTION("GOOGLETRANSLATE(B41405,""en"",""pt"")"),"Como salamīyah")</f>
        <v>Como salamīyah</v>
      </c>
      <c r="B34937" s="20" t="s">
        <v>35732</v>
      </c>
      <c r="C34937" s="20" t="s">
        <v>25366</v>
      </c>
      <c r="D34937" s="20" t="s">
        <v>25367</v>
      </c>
      <c r="E34937" s="10">
        <v>164947</v>
      </c>
      <c r="F34937" s="4" t="str">
        <f>IF(B34937=B34936,"",B34937)</f>
        <v>As Salamīyah</v>
      </c>
    </row>
    <row r="34938" spans="1:6" ht="15.75" customHeight="1">
      <c r="A34938" s="16" t="s">
        <v>25420</v>
      </c>
      <c r="B34938" s="15" t="s">
        <v>25421</v>
      </c>
      <c r="C34938" s="16" t="s">
        <v>25366</v>
      </c>
      <c r="D34938" s="16" t="s">
        <v>25367</v>
      </c>
      <c r="E34938" s="2">
        <v>164947</v>
      </c>
      <c r="F34938" s="4" t="str">
        <f>IF(B34938=B34937,"",B34938)</f>
        <v>As SalamÄ«yah</v>
      </c>
    </row>
    <row r="34939" spans="1:6" ht="15.75" customHeight="1">
      <c r="A34939" s="16" t="s">
        <v>16642</v>
      </c>
      <c r="B34939" s="15" t="s">
        <v>16643</v>
      </c>
      <c r="C34939" s="16" t="s">
        <v>16624</v>
      </c>
      <c r="D34939" s="16" t="s">
        <v>16644</v>
      </c>
      <c r="E34939" s="2">
        <v>250258</v>
      </c>
      <c r="F34939" s="4" t="str">
        <f>IF(B34939=B34938,"",B34939)</f>
        <v>As SalÅ£</v>
      </c>
    </row>
    <row r="34940" spans="1:6" ht="15.75" customHeight="1">
      <c r="A34940" s="16" t="str">
        <f ca="1">IFERROR(__xludf.DUMMYFUNCTION("GOOGLETRANSLATE(B41447,""en"",""pt"")"),"Como safīrah")</f>
        <v>Como safīrah</v>
      </c>
      <c r="B34940" s="20" t="s">
        <v>35759</v>
      </c>
      <c r="C34940" s="20" t="s">
        <v>25366</v>
      </c>
      <c r="D34940" s="20" t="s">
        <v>25380</v>
      </c>
      <c r="E34940" s="10">
        <v>172503</v>
      </c>
      <c r="F34940" s="4" t="str">
        <f>IF(B34940=B34939,"",B34940)</f>
        <v>As Safīrah</v>
      </c>
    </row>
    <row r="34941" spans="1:6" ht="15.75" customHeight="1">
      <c r="A34941" s="16" t="str">
        <f ca="1">IFERROR(__xludf.DUMMYFUNCTION("GOOGLETRANSLATE(B28896,""en"",""pt"")"),"Aş şafaf")</f>
        <v>Aş şafaf</v>
      </c>
      <c r="B34941" s="20" t="s">
        <v>32316</v>
      </c>
      <c r="C34941" s="20" t="s">
        <v>6495</v>
      </c>
      <c r="D34941" s="20" t="s">
        <v>32279</v>
      </c>
      <c r="E34941" s="10">
        <v>359900</v>
      </c>
      <c r="F34941" s="4" t="str">
        <f>IF(B34941=B34940,"",B34941)</f>
        <v>Aş Şaff</v>
      </c>
    </row>
    <row r="34942" spans="1:6" ht="15.75" customHeight="1">
      <c r="A34942" s="16" t="s">
        <v>25418</v>
      </c>
      <c r="B34942" s="15" t="s">
        <v>25419</v>
      </c>
      <c r="C34942" s="16" t="s">
        <v>25366</v>
      </c>
      <c r="D34942" s="16" t="s">
        <v>25380</v>
      </c>
      <c r="E34942" s="2">
        <v>172503</v>
      </c>
      <c r="F34942" s="4" t="str">
        <f>IF(B34942=B34941,"",B34942)</f>
        <v>As SafÄ«rah</v>
      </c>
    </row>
    <row r="34943" spans="1:6" ht="15.75" customHeight="1">
      <c r="A34943" s="16" t="s">
        <v>16909</v>
      </c>
      <c r="B34943" s="15" t="s">
        <v>16910</v>
      </c>
      <c r="C34943" s="16" t="s">
        <v>16884</v>
      </c>
      <c r="D34943" s="16" t="s">
        <v>16885</v>
      </c>
      <c r="E34943" s="2">
        <v>285704</v>
      </c>
      <c r="F34943" s="4" t="str">
        <f>IF(B34943=B34942,"",B34943)</f>
        <v>As SÄlimÄ«yah</v>
      </c>
    </row>
    <row r="34944" spans="1:6" ht="15.75" customHeight="1">
      <c r="A34944" s="16" t="s">
        <v>25018</v>
      </c>
      <c r="B34944" s="15" t="s">
        <v>25019</v>
      </c>
      <c r="C34944" s="16" t="s">
        <v>24987</v>
      </c>
      <c r="D34944" s="16" t="s">
        <v>24992</v>
      </c>
      <c r="E34944" s="2">
        <v>378271</v>
      </c>
      <c r="F34944" s="4" t="e">
        <f>IF(B34944=#REF!,"",B34944)</f>
        <v>#REF!</v>
      </c>
    </row>
    <row r="34945" spans="1:6" ht="15.75" customHeight="1">
      <c r="A34945" s="16" t="s">
        <v>14947</v>
      </c>
      <c r="B34945" s="15" t="s">
        <v>14947</v>
      </c>
      <c r="C34945" s="16" t="s">
        <v>14891</v>
      </c>
      <c r="D34945" s="16" t="s">
        <v>14892</v>
      </c>
      <c r="E34945" s="2">
        <v>3182757</v>
      </c>
      <c r="F34945" s="4" t="e">
        <f>IF(B34945=#REF!,"",B34945)</f>
        <v>#REF!</v>
      </c>
    </row>
    <row r="34946" spans="1:6" ht="15.75" customHeight="1">
      <c r="A34946" s="15" t="s">
        <v>22162</v>
      </c>
      <c r="B34946" s="15" t="s">
        <v>22162</v>
      </c>
      <c r="C34946" s="15" t="s">
        <v>22070</v>
      </c>
      <c r="D34946" s="15" t="s">
        <v>22117</v>
      </c>
      <c r="E34946" s="2">
        <v>580716</v>
      </c>
      <c r="F34946" s="4" t="e">
        <f>IF(B34946=#REF!,"",B34946)</f>
        <v>#REF!</v>
      </c>
    </row>
    <row r="34947" spans="1:6" ht="15.75" customHeight="1">
      <c r="A34947" s="15" t="s">
        <v>14946</v>
      </c>
      <c r="B34947" s="15" t="s">
        <v>14946</v>
      </c>
      <c r="C34947" s="15" t="s">
        <v>14891</v>
      </c>
      <c r="D34947" s="15" t="s">
        <v>14896</v>
      </c>
      <c r="E34947" s="2">
        <v>3182765</v>
      </c>
      <c r="F34947" s="4" t="e">
        <f>IF(B34947=#REF!,"",B34947)</f>
        <v>#REF!</v>
      </c>
    </row>
    <row r="34948" spans="1:6" ht="15.75" customHeight="1">
      <c r="A34948" s="15" t="s">
        <v>22160</v>
      </c>
      <c r="B34948" s="15" t="s">
        <v>22160</v>
      </c>
      <c r="C34948" s="15" t="s">
        <v>22070</v>
      </c>
      <c r="D34948" s="15" t="s">
        <v>22161</v>
      </c>
      <c r="E34948" s="2">
        <v>580724</v>
      </c>
      <c r="F34948" s="4" t="e">
        <f>IF(B34948=#REF!,"",B34948)</f>
        <v>#REF!</v>
      </c>
    </row>
    <row r="34949" spans="1:6" ht="15.75" customHeight="1">
      <c r="A34949" s="15" t="s">
        <v>16690</v>
      </c>
      <c r="B34949" s="15" t="s">
        <v>16690</v>
      </c>
      <c r="C34949" s="15" t="s">
        <v>16671</v>
      </c>
      <c r="D34949" s="15" t="s">
        <v>16678</v>
      </c>
      <c r="E34949" s="2">
        <v>1526168</v>
      </c>
      <c r="F34949" s="4" t="e">
        <f>IF(B34949=#REF!,"",B34949)</f>
        <v>#REF!</v>
      </c>
    </row>
    <row r="34950" spans="1:6" ht="15.75" customHeight="1">
      <c r="A34950" s="15" t="s">
        <v>27902</v>
      </c>
      <c r="B34950" s="15" t="s">
        <v>27902</v>
      </c>
      <c r="C34950" s="15" t="s">
        <v>27788</v>
      </c>
      <c r="D34950" s="15" t="s">
        <v>27801</v>
      </c>
      <c r="E34950" s="2">
        <v>5324903</v>
      </c>
      <c r="F34950" s="4" t="str">
        <f>IF(B34950=B34949,"",B34950)</f>
        <v>Arvin</v>
      </c>
    </row>
    <row r="34951" spans="1:6" ht="15.75" customHeight="1">
      <c r="A34951" s="16" t="str">
        <f ca="1">IFERROR(__xludf.DUMMYFUNCTION("GOOGLETRANSLATE(B34068,""en"",""pt"")"),"Ārvi")</f>
        <v>Ārvi</v>
      </c>
      <c r="B34951" s="20" t="s">
        <v>34013</v>
      </c>
      <c r="C34951" s="20" t="s">
        <v>10178</v>
      </c>
      <c r="D34951" s="20" t="s">
        <v>10214</v>
      </c>
      <c r="E34951" s="10">
        <v>1278335</v>
      </c>
      <c r="F34951" s="4" t="e">
        <f>IF(B34951=#REF!,"",B34951)</f>
        <v>#REF!</v>
      </c>
    </row>
    <row r="34952" spans="1:6" ht="15.75" customHeight="1">
      <c r="A34952" s="16" t="s">
        <v>18500</v>
      </c>
      <c r="B34952" s="15" t="s">
        <v>18500</v>
      </c>
      <c r="C34952" s="16" t="s">
        <v>18496</v>
      </c>
      <c r="D34952" s="16" t="s">
        <v>18501</v>
      </c>
      <c r="E34952" s="2">
        <v>2032814</v>
      </c>
      <c r="F34952" s="4" t="e">
        <f>IF(B34952=#REF!,"",B34952)</f>
        <v>#REF!</v>
      </c>
    </row>
    <row r="34953" spans="1:6" ht="15.75" customHeight="1">
      <c r="A34953" s="15" t="s">
        <v>27901</v>
      </c>
      <c r="B34953" s="15" t="s">
        <v>27901</v>
      </c>
      <c r="C34953" s="15" t="s">
        <v>27788</v>
      </c>
      <c r="D34953" s="15" t="s">
        <v>2341</v>
      </c>
      <c r="E34953" s="2">
        <v>5412199</v>
      </c>
      <c r="F34953" s="4" t="e">
        <f>IF(B34953=#REF!,"",B34953)</f>
        <v>#REF!</v>
      </c>
    </row>
    <row r="34954" spans="1:6" ht="15.75" customHeight="1">
      <c r="A34954" s="15" t="s">
        <v>25559</v>
      </c>
      <c r="B34954" s="15" t="s">
        <v>25559</v>
      </c>
      <c r="C34954" s="15" t="s">
        <v>25560</v>
      </c>
      <c r="D34954" s="15" t="s">
        <v>25559</v>
      </c>
      <c r="E34954" s="2">
        <v>161325</v>
      </c>
      <c r="F34954" s="4" t="e">
        <f>IF(B34954=#REF!,"",B34954)</f>
        <v>#REF!</v>
      </c>
    </row>
    <row r="34955" spans="1:6" ht="15.75" customHeight="1">
      <c r="A34955" s="16" t="s">
        <v>10391</v>
      </c>
      <c r="B34955" s="15" t="s">
        <v>10392</v>
      </c>
      <c r="C34955" s="16" t="s">
        <v>10178</v>
      </c>
      <c r="D34955" s="16" t="s">
        <v>10196</v>
      </c>
      <c r="E34955" s="2">
        <v>1278340</v>
      </c>
      <c r="F34955" s="4" t="e">
        <f>IF(B34955=#REF!,"",B34955)</f>
        <v>#REF!</v>
      </c>
    </row>
    <row r="34956" spans="1:6" ht="15.75" customHeight="1">
      <c r="A34956" s="16" t="s">
        <v>10390</v>
      </c>
      <c r="B34956" s="15" t="s">
        <v>10390</v>
      </c>
      <c r="C34956" s="16" t="s">
        <v>10178</v>
      </c>
      <c r="D34956" s="16" t="s">
        <v>10196</v>
      </c>
      <c r="E34956" s="2">
        <v>1278343</v>
      </c>
      <c r="F34956" s="4" t="e">
        <f>IF(B34956=#REF!,"",B34956)</f>
        <v>#REF!</v>
      </c>
    </row>
    <row r="34957" spans="1:6" ht="15.75" customHeight="1">
      <c r="A34957" s="16" t="s">
        <v>10388</v>
      </c>
      <c r="B34957" s="15" t="s">
        <v>10389</v>
      </c>
      <c r="C34957" s="16" t="s">
        <v>10178</v>
      </c>
      <c r="D34957" s="16" t="s">
        <v>10246</v>
      </c>
      <c r="E34957" s="2">
        <v>1278345</v>
      </c>
      <c r="F34957" s="4" t="str">
        <f>IF(B34957=B34956,"",B34957)</f>
        <v>Arukutti</v>
      </c>
    </row>
    <row r="34958" spans="1:6" ht="15.75" customHeight="1">
      <c r="A34958" s="15" t="s">
        <v>2045</v>
      </c>
      <c r="B34958" s="15" t="s">
        <v>2046</v>
      </c>
      <c r="C34958" s="15" t="s">
        <v>1905</v>
      </c>
      <c r="D34958" s="15" t="s">
        <v>1914</v>
      </c>
      <c r="E34958" s="2">
        <v>3471393</v>
      </c>
      <c r="F34958" s="4" t="str">
        <f>IF(B34958=B34957,"",B34958)</f>
        <v>ArujÃ¡</v>
      </c>
    </row>
    <row r="34959" spans="1:6" ht="15.75" customHeight="1">
      <c r="A34959" s="16" t="str">
        <f ca="1">IFERROR(__xludf.DUMMYFUNCTION("GOOGLETRANSLATE(B25251,""en"",""pt"")"),"Arujá")</f>
        <v>Arujá</v>
      </c>
      <c r="B34959" s="20" t="s">
        <v>31719</v>
      </c>
      <c r="C34959" s="20" t="s">
        <v>1905</v>
      </c>
      <c r="D34959" s="20" t="s">
        <v>3354</v>
      </c>
      <c r="E34959" s="10">
        <v>3471393</v>
      </c>
      <c r="F34959" s="4" t="e">
        <f>IF(B34959=#REF!,"",B34959)</f>
        <v>#REF!</v>
      </c>
    </row>
    <row r="34960" spans="1:6" ht="15.75" customHeight="1">
      <c r="A34960" s="15" t="s">
        <v>24294</v>
      </c>
      <c r="B34960" s="15" t="s">
        <v>24294</v>
      </c>
      <c r="C34960" s="15" t="s">
        <v>24200</v>
      </c>
      <c r="D34960" s="15" t="s">
        <v>24212</v>
      </c>
      <c r="E34960" s="2">
        <v>2521519</v>
      </c>
      <c r="F34960" s="4" t="e">
        <f>IF(B34960=#REF!,"",B34960)</f>
        <v>#REF!</v>
      </c>
    </row>
    <row r="34961" spans="1:6" ht="15.75" customHeight="1">
      <c r="A34961" s="15" t="s">
        <v>26821</v>
      </c>
      <c r="B34961" s="15" t="s">
        <v>26822</v>
      </c>
      <c r="C34961" s="15" t="s">
        <v>26820</v>
      </c>
      <c r="D34961" s="15" t="s">
        <v>17416</v>
      </c>
      <c r="E34961" s="2">
        <v>235039</v>
      </c>
      <c r="F34961" s="4" t="e">
        <f>IF(B34961=#REF!,"",B34961)</f>
        <v>#REF!</v>
      </c>
    </row>
    <row r="34962" spans="1:6" ht="15.75" customHeight="1">
      <c r="A34962" s="15" t="s">
        <v>26333</v>
      </c>
      <c r="B34962" s="15" t="s">
        <v>26333</v>
      </c>
      <c r="C34962" s="15" t="s">
        <v>26201</v>
      </c>
      <c r="D34962" s="15" t="s">
        <v>26333</v>
      </c>
      <c r="E34962" s="2">
        <v>751817</v>
      </c>
      <c r="F34962" s="4" t="e">
        <f>IF(B34962=#REF!,"",B34962)</f>
        <v>#REF!</v>
      </c>
    </row>
    <row r="34963" spans="1:6" ht="15.75" customHeight="1">
      <c r="A34963" s="16" t="s">
        <v>2044</v>
      </c>
      <c r="B34963" s="15" t="s">
        <v>2044</v>
      </c>
      <c r="C34963" s="16" t="s">
        <v>1905</v>
      </c>
      <c r="D34963" s="16" t="s">
        <v>1914</v>
      </c>
      <c r="E34963" s="2">
        <v>3471395</v>
      </c>
      <c r="F34963" s="4" t="e">
        <f>IF(B34963=#REF!,"",B34963)</f>
        <v>#REF!</v>
      </c>
    </row>
    <row r="34964" spans="1:6" ht="15.75" customHeight="1">
      <c r="A34964" s="15" t="s">
        <v>26883</v>
      </c>
      <c r="B34964" s="15" t="s">
        <v>26883</v>
      </c>
      <c r="C34964" s="15" t="s">
        <v>26870</v>
      </c>
      <c r="D34964" s="15" t="s">
        <v>26884</v>
      </c>
      <c r="E34964" s="2">
        <v>713163</v>
      </c>
      <c r="F34964" s="4" t="e">
        <f>IF(B34964=#REF!,"",B34964)</f>
        <v>#REF!</v>
      </c>
    </row>
    <row r="34965" spans="1:6" ht="15.75" customHeight="1">
      <c r="A34965" s="15" t="s">
        <v>30471</v>
      </c>
      <c r="B34965" s="15" t="s">
        <v>30471</v>
      </c>
      <c r="C34965" s="15" t="s">
        <v>30472</v>
      </c>
      <c r="D34965" s="15" t="s">
        <v>30471</v>
      </c>
      <c r="E34965" s="2">
        <v>3443758</v>
      </c>
      <c r="F34965" s="4" t="e">
        <f>IF(B34965=#REF!,"",B34965)</f>
        <v>#REF!</v>
      </c>
    </row>
    <row r="34966" spans="1:6" ht="15.75" customHeight="1">
      <c r="A34966" s="15" t="s">
        <v>27900</v>
      </c>
      <c r="B34966" s="15" t="s">
        <v>27900</v>
      </c>
      <c r="C34966" s="15" t="s">
        <v>27788</v>
      </c>
      <c r="D34966" s="15" t="s">
        <v>27801</v>
      </c>
      <c r="E34966" s="2">
        <v>5324862</v>
      </c>
      <c r="F34966" s="4" t="str">
        <f>IF(B34966=B34965,"",B34966)</f>
        <v>Artesia</v>
      </c>
    </row>
    <row r="34967" spans="1:6" ht="15.75" customHeight="1">
      <c r="A34967" s="16" t="str">
        <f ca="1">IFERROR(__xludf.DUMMYFUNCTION("GOOGLETRANSLATE(B40872,""en"",""pt"")"),"Artëmovskiy")</f>
        <v>Artëmovskiy</v>
      </c>
      <c r="B34967" s="20" t="s">
        <v>35551</v>
      </c>
      <c r="C34967" s="20" t="s">
        <v>22070</v>
      </c>
      <c r="D34967" s="20" t="s">
        <v>22106</v>
      </c>
      <c r="E34967" s="10">
        <v>1511368</v>
      </c>
      <c r="F34967" s="4" t="str">
        <f>IF(B34967=B34966,"",B34967)</f>
        <v>Artëmovskiy</v>
      </c>
    </row>
    <row r="34968" spans="1:6" ht="15.75" customHeight="1">
      <c r="A34968" s="16" t="s">
        <v>26881</v>
      </c>
      <c r="B34968" s="15" t="s">
        <v>26882</v>
      </c>
      <c r="C34968" s="16" t="s">
        <v>26870</v>
      </c>
      <c r="D34968" s="16" t="s">
        <v>22345</v>
      </c>
      <c r="E34968" s="2">
        <v>713174</v>
      </c>
      <c r="F34968" s="4" t="str">
        <f>IF(B34968=B34967,"",B34968)</f>
        <v>Artemivsâ€™k</v>
      </c>
    </row>
    <row r="34969" spans="1:6" ht="15.75" customHeight="1">
      <c r="A34969" s="16" t="str">
        <f ca="1">IFERROR(__xludf.DUMMYFUNCTION("GOOGLETRANSLATE(B42711,""en"",""pt"")"),"Artemivs'k")</f>
        <v>Artemivs'k</v>
      </c>
      <c r="B34969" s="20" t="s">
        <v>36047</v>
      </c>
      <c r="C34969" s="20" t="s">
        <v>26870</v>
      </c>
      <c r="D34969" s="20" t="s">
        <v>22345</v>
      </c>
      <c r="E34969" s="10">
        <v>713174</v>
      </c>
      <c r="F34969" s="4" t="e">
        <f>IF(B34969=#REF!,"",B34969)</f>
        <v>#REF!</v>
      </c>
    </row>
    <row r="34970" spans="1:6" ht="15.75" customHeight="1">
      <c r="A34970" s="15" t="s">
        <v>5771</v>
      </c>
      <c r="B34970" s="15" t="s">
        <v>5771</v>
      </c>
      <c r="C34970" s="15" t="s">
        <v>5764</v>
      </c>
      <c r="D34970" s="15" t="s">
        <v>5771</v>
      </c>
      <c r="E34970" s="2">
        <v>3568312</v>
      </c>
      <c r="F34970" s="4" t="str">
        <f>IF(B34970=B34969,"",B34970)</f>
        <v>Artemisa</v>
      </c>
    </row>
    <row r="34971" spans="1:6" ht="15.75" customHeight="1">
      <c r="A34971" s="16" t="str">
        <f ca="1">IFERROR(__xludf.DUMMYFUNCTION("GOOGLETRANSLATE(B30982,""en"",""pt"")"),"Artémida")</f>
        <v>Artémida</v>
      </c>
      <c r="B34971" s="20" t="s">
        <v>32693</v>
      </c>
      <c r="C34971" s="20" t="s">
        <v>9441</v>
      </c>
      <c r="D34971" s="20" t="s">
        <v>9445</v>
      </c>
      <c r="E34971" s="10">
        <v>258038</v>
      </c>
      <c r="F34971" s="4" t="str">
        <f>IF(B34971=B34970,"",B34971)</f>
        <v>Artémida</v>
      </c>
    </row>
    <row r="34972" spans="1:6" ht="15.75" customHeight="1">
      <c r="A34972" s="16" t="str">
        <f ca="1">IFERROR(__xludf.DUMMYFUNCTION("GOOGLETRANSLATE(B40943,""en"",""pt"")"),"Artëm")</f>
        <v>Artëm</v>
      </c>
      <c r="B34972" s="20" t="s">
        <v>35563</v>
      </c>
      <c r="C34972" s="20" t="s">
        <v>22070</v>
      </c>
      <c r="D34972" s="20" t="s">
        <v>22154</v>
      </c>
      <c r="E34972" s="10">
        <v>2027456</v>
      </c>
      <c r="F34972" s="4" t="e">
        <f>IF(B34972=#REF!,"",B34972)</f>
        <v>#REF!</v>
      </c>
    </row>
    <row r="34973" spans="1:6" ht="15.75" customHeight="1">
      <c r="A34973" s="15" t="s">
        <v>24293</v>
      </c>
      <c r="B34973" s="15" t="s">
        <v>24293</v>
      </c>
      <c r="C34973" s="15" t="s">
        <v>24200</v>
      </c>
      <c r="D34973" s="15" t="s">
        <v>24201</v>
      </c>
      <c r="E34973" s="2">
        <v>3129329</v>
      </c>
      <c r="F34973" s="4" t="e">
        <f>IF(B34973=#REF!,"",B34973)</f>
        <v>#REF!</v>
      </c>
    </row>
    <row r="34974" spans="1:6" ht="15.75" customHeight="1">
      <c r="A34974" s="15" t="s">
        <v>860</v>
      </c>
      <c r="B34974" s="15" t="s">
        <v>860</v>
      </c>
      <c r="C34974" s="15" t="s">
        <v>853</v>
      </c>
      <c r="D34974" s="15" t="s">
        <v>857</v>
      </c>
      <c r="E34974" s="2">
        <v>174979</v>
      </c>
      <c r="F34974" s="4" t="str">
        <f>IF(B34974=B34973,"",B34974)</f>
        <v>Artashat</v>
      </c>
    </row>
    <row r="34975" spans="1:6" ht="15.75" customHeight="1">
      <c r="A34975" s="16" t="s">
        <v>9480</v>
      </c>
      <c r="B34975" s="15" t="s">
        <v>9481</v>
      </c>
      <c r="C34975" s="16" t="s">
        <v>9441</v>
      </c>
      <c r="D34975" s="16" t="s">
        <v>9445</v>
      </c>
      <c r="E34975" s="2">
        <v>258038</v>
      </c>
      <c r="F34975" s="4" t="str">
        <f>IF(B34975=B34974,"",B34975)</f>
        <v>ArtÃ©mida</v>
      </c>
    </row>
    <row r="34976" spans="1:6" ht="15.75" customHeight="1">
      <c r="A34976" s="16" t="s">
        <v>22158</v>
      </c>
      <c r="B34976" s="15" t="s">
        <v>22159</v>
      </c>
      <c r="C34976" s="16" t="s">
        <v>22070</v>
      </c>
      <c r="D34976" s="16" t="s">
        <v>22106</v>
      </c>
      <c r="E34976" s="2">
        <v>1511368</v>
      </c>
      <c r="F34976" s="4" t="str">
        <f>IF(B34976=B34975,"",B34976)</f>
        <v>ArtÃ«movskiy</v>
      </c>
    </row>
    <row r="34977" spans="1:6" ht="15.75" customHeight="1">
      <c r="A34977" s="15" t="s">
        <v>22156</v>
      </c>
      <c r="B34977" s="15" t="s">
        <v>22157</v>
      </c>
      <c r="C34977" s="15" t="s">
        <v>22070</v>
      </c>
      <c r="D34977" s="15" t="s">
        <v>22154</v>
      </c>
      <c r="E34977" s="2">
        <v>2027456</v>
      </c>
      <c r="F34977" s="4" t="str">
        <f>IF(B34977=B34976,"",B34977)</f>
        <v>ArtÃ«m</v>
      </c>
    </row>
    <row r="34978" spans="1:6" ht="15.75" customHeight="1">
      <c r="A34978" s="16" t="str">
        <f ca="1">IFERROR(__xludf.DUMMYFUNCTION("GOOGLETRANSLATE(B31018,""en"",""pt"")"),"Árta")</f>
        <v>Árta</v>
      </c>
      <c r="B34978" s="20" t="s">
        <v>32724</v>
      </c>
      <c r="C34978" s="20" t="s">
        <v>9441</v>
      </c>
      <c r="D34978" s="20" t="s">
        <v>9456</v>
      </c>
      <c r="E34978" s="10">
        <v>264559</v>
      </c>
      <c r="F34978" s="4" t="str">
        <f>IF(B34978=B34977,"",B34978)</f>
        <v>Árta</v>
      </c>
    </row>
    <row r="34979" spans="1:6" ht="15.75" customHeight="1">
      <c r="A34979" s="16" t="str">
        <f ca="1">IFERROR(__xludf.DUMMYFUNCTION("GOOGLETRANSLATE(B23096,""en"",""pt"")"),"Ārt khwājah")</f>
        <v>Ārt khwājah</v>
      </c>
      <c r="B34979" s="20" t="s">
        <v>31137</v>
      </c>
      <c r="C34979" s="20" t="s">
        <v>8</v>
      </c>
      <c r="D34979" s="20" t="s">
        <v>31108</v>
      </c>
      <c r="E34979" s="10">
        <v>1148106</v>
      </c>
      <c r="F34979" s="4" t="str">
        <f>IF(B34979=B34978,"",B34979)</f>
        <v>Ārt Khwājah</v>
      </c>
    </row>
    <row r="34980" spans="1:6" ht="15.75" customHeight="1">
      <c r="A34980" s="16" t="str">
        <f ca="1">IFERROR(__xludf.DUMMYFUNCTION("GOOGLETRANSLATE(B41204,""en"",""pt"")"),"Årsta")</f>
        <v>Årsta</v>
      </c>
      <c r="B34980" s="20" t="s">
        <v>35661</v>
      </c>
      <c r="C34980" s="20" t="s">
        <v>25077</v>
      </c>
      <c r="D34980" s="20" t="s">
        <v>25081</v>
      </c>
      <c r="E34980" s="10">
        <v>2725201</v>
      </c>
      <c r="F34980" s="4" t="e">
        <f>IF(B34980=#REF!,"",B34980)</f>
        <v>#REF!</v>
      </c>
    </row>
    <row r="34981" spans="1:6" ht="15.75" customHeight="1">
      <c r="A34981" s="15" t="s">
        <v>22155</v>
      </c>
      <c r="B34981" s="15" t="s">
        <v>22155</v>
      </c>
      <c r="C34981" s="15" t="s">
        <v>22070</v>
      </c>
      <c r="D34981" s="15" t="s">
        <v>22090</v>
      </c>
      <c r="E34981" s="2">
        <v>580850</v>
      </c>
      <c r="F34981" s="4" t="e">
        <f>IF(B34981=#REF!,"",B34981)</f>
        <v>#REF!</v>
      </c>
    </row>
    <row r="34982" spans="1:6" ht="15.75" customHeight="1">
      <c r="A34982" s="15" t="s">
        <v>26334</v>
      </c>
      <c r="B34982" s="15" t="s">
        <v>26334</v>
      </c>
      <c r="C34982" s="15" t="s">
        <v>26201</v>
      </c>
      <c r="D34982" s="15" t="s">
        <v>26286</v>
      </c>
      <c r="E34982" s="2">
        <v>751838</v>
      </c>
      <c r="F34982" s="4" t="e">
        <f>IF(B34982=#REF!,"",B34982)</f>
        <v>#REF!</v>
      </c>
    </row>
    <row r="34983" spans="1:6" ht="15.75" customHeight="1">
      <c r="A34983" s="15" t="s">
        <v>10387</v>
      </c>
      <c r="B34983" s="15" t="s">
        <v>10387</v>
      </c>
      <c r="C34983" s="15" t="s">
        <v>10178</v>
      </c>
      <c r="D34983" s="15" t="s">
        <v>10252</v>
      </c>
      <c r="E34983" s="2">
        <v>1278354</v>
      </c>
      <c r="F34983" s="4" t="str">
        <f>IF(B34983=B34982,"",B34983)</f>
        <v>Arsikere</v>
      </c>
    </row>
    <row r="34984" spans="1:6" ht="15.75" customHeight="1">
      <c r="A34984" s="16" t="s">
        <v>22152</v>
      </c>
      <c r="B34984" s="15" t="s">
        <v>22153</v>
      </c>
      <c r="C34984" s="16" t="s">
        <v>22070</v>
      </c>
      <c r="D34984" s="16" t="s">
        <v>22154</v>
      </c>
      <c r="E34984" s="2">
        <v>2027468</v>
      </c>
      <c r="F34984" s="4" t="str">
        <f>IF(B34984=B34983,"",B34984)</f>
        <v>Arsenâ€™yev</v>
      </c>
    </row>
    <row r="34985" spans="1:6" ht="15.75" customHeight="1">
      <c r="A34985" s="16" t="str">
        <f ca="1">IFERROR(__xludf.DUMMYFUNCTION("GOOGLETRANSLATE(B40944,""en"",""pt"")"),"Arsen'yev")</f>
        <v>Arsen'yev</v>
      </c>
      <c r="B34985" s="20" t="s">
        <v>35564</v>
      </c>
      <c r="C34985" s="20" t="s">
        <v>22070</v>
      </c>
      <c r="D34985" s="20" t="s">
        <v>22154</v>
      </c>
      <c r="E34985" s="10">
        <v>2027468</v>
      </c>
      <c r="F34985" s="4" t="e">
        <f>IF(B34985=#REF!,"",B34985)</f>
        <v>#REF!</v>
      </c>
    </row>
    <row r="34986" spans="1:6" ht="15.75" customHeight="1">
      <c r="A34986" s="16" t="s">
        <v>578</v>
      </c>
      <c r="B34986" s="15" t="s">
        <v>578</v>
      </c>
      <c r="C34986" s="16" t="s">
        <v>558</v>
      </c>
      <c r="D34986" s="16" t="s">
        <v>579</v>
      </c>
      <c r="E34986" s="2">
        <v>3865385</v>
      </c>
      <c r="F34986" s="4" t="e">
        <f>IF(B34986=#REF!,"",B34986)</f>
        <v>#REF!</v>
      </c>
    </row>
    <row r="34987" spans="1:6" ht="15.75" customHeight="1">
      <c r="A34987" s="16" t="s">
        <v>5774</v>
      </c>
      <c r="B34987" s="15" t="s">
        <v>5774</v>
      </c>
      <c r="C34987" s="16" t="s">
        <v>5764</v>
      </c>
      <c r="D34987" s="16" t="s">
        <v>5768</v>
      </c>
      <c r="E34987" s="2">
        <v>3568342</v>
      </c>
      <c r="F34987" s="4" t="e">
        <f>IF(B34987=#REF!,"",B34987)</f>
        <v>#REF!</v>
      </c>
    </row>
    <row r="34988" spans="1:6" ht="15.75" customHeight="1">
      <c r="A34988" s="16" t="s">
        <v>27899</v>
      </c>
      <c r="B34988" s="15" t="s">
        <v>27899</v>
      </c>
      <c r="C34988" s="16" t="s">
        <v>27788</v>
      </c>
      <c r="D34988" s="16" t="s">
        <v>27801</v>
      </c>
      <c r="E34988" s="2">
        <v>5324802</v>
      </c>
      <c r="F34988" s="4" t="e">
        <f>IF(B34988=#REF!,"",B34988)</f>
        <v>#REF!</v>
      </c>
    </row>
    <row r="34989" spans="1:6" ht="15.75" customHeight="1">
      <c r="A34989" s="15" t="s">
        <v>577</v>
      </c>
      <c r="B34989" s="15" t="s">
        <v>577</v>
      </c>
      <c r="C34989" s="15" t="s">
        <v>558</v>
      </c>
      <c r="D34989" s="15" t="s">
        <v>573</v>
      </c>
      <c r="E34989" s="2">
        <v>3865424</v>
      </c>
      <c r="F34989" s="4" t="e">
        <f>IF(B34989=#REF!,"",B34989)</f>
        <v>#REF!</v>
      </c>
    </row>
    <row r="34990" spans="1:6" ht="15.75" customHeight="1">
      <c r="A34990" s="16" t="s">
        <v>2043</v>
      </c>
      <c r="B34990" s="15" t="s">
        <v>2043</v>
      </c>
      <c r="C34990" s="16" t="s">
        <v>1905</v>
      </c>
      <c r="D34990" s="16" t="s">
        <v>1951</v>
      </c>
      <c r="E34990" s="2">
        <v>3471422</v>
      </c>
      <c r="F34990" s="4" t="e">
        <f>IF(B34990=#REF!,"",B34990)</f>
        <v>#REF!</v>
      </c>
    </row>
    <row r="34991" spans="1:6" ht="15.75" customHeight="1">
      <c r="A34991" s="16" t="s">
        <v>2042</v>
      </c>
      <c r="B34991" s="15" t="s">
        <v>2042</v>
      </c>
      <c r="C34991" s="16" t="s">
        <v>1905</v>
      </c>
      <c r="D34991" s="16" t="s">
        <v>1951</v>
      </c>
      <c r="E34991" s="2">
        <v>3471428</v>
      </c>
      <c r="F34991" s="4" t="e">
        <f>IF(B34991=#REF!,"",B34991)</f>
        <v>#REF!</v>
      </c>
    </row>
    <row r="34992" spans="1:6" ht="15.75" customHeight="1">
      <c r="A34992" s="15" t="s">
        <v>231</v>
      </c>
      <c r="B34992" s="15" t="s">
        <v>232</v>
      </c>
      <c r="C34992" s="15" t="s">
        <v>153</v>
      </c>
      <c r="D34992" s="15" t="s">
        <v>212</v>
      </c>
      <c r="E34992" s="2">
        <v>2506404</v>
      </c>
      <c r="F34992" s="4" t="e">
        <f>IF(B34992=#REF!,"",B34992)</f>
        <v>#REF!</v>
      </c>
    </row>
    <row r="34993" spans="1:6" ht="15.75" customHeight="1">
      <c r="A34993" s="15" t="s">
        <v>17769</v>
      </c>
      <c r="B34993" s="15" t="s">
        <v>17769</v>
      </c>
      <c r="C34993" s="15" t="s">
        <v>17707</v>
      </c>
      <c r="D34993" s="15" t="s">
        <v>17770</v>
      </c>
      <c r="E34993" s="2">
        <v>3816739</v>
      </c>
      <c r="F34993" s="4" t="e">
        <f>IF(B34993=#REF!,"",B34993)</f>
        <v>#REF!</v>
      </c>
    </row>
    <row r="34994" spans="1:6" ht="15.75" customHeight="1">
      <c r="A34994" s="15" t="s">
        <v>21623</v>
      </c>
      <c r="B34994" s="15" t="s">
        <v>21623</v>
      </c>
      <c r="C34994" s="15" t="s">
        <v>21606</v>
      </c>
      <c r="D34994" s="15" t="s">
        <v>21620</v>
      </c>
      <c r="E34994" s="2">
        <v>2271473</v>
      </c>
      <c r="F34994" s="4" t="e">
        <f>IF(B34994=#REF!,"",B34994)</f>
        <v>#REF!</v>
      </c>
    </row>
    <row r="34995" spans="1:6" ht="15.75" customHeight="1">
      <c r="A34995" s="15" t="s">
        <v>24292</v>
      </c>
      <c r="B34995" s="15" t="s">
        <v>24292</v>
      </c>
      <c r="C34995" s="15" t="s">
        <v>24200</v>
      </c>
      <c r="D34995" s="15" t="s">
        <v>24212</v>
      </c>
      <c r="E34995" s="2">
        <v>2521570</v>
      </c>
      <c r="F34995" s="4" t="str">
        <f>IF(B34995=B34994,"",B34995)</f>
        <v>Arrecife</v>
      </c>
    </row>
    <row r="34996" spans="1:6" ht="15.75" customHeight="1">
      <c r="A34996" s="16" t="str">
        <f ca="1">IFERROR(__xludf.DUMMYFUNCTION("GOOGLETRANSLATE(B29351,""en"",""pt"")"),"Arrasate / Mondragón")</f>
        <v>Arrasate / Mondragón</v>
      </c>
      <c r="B34996" s="20" t="s">
        <v>32450</v>
      </c>
      <c r="C34996" s="20" t="s">
        <v>24200</v>
      </c>
      <c r="D34996" s="20" t="s">
        <v>24249</v>
      </c>
      <c r="E34996" s="10">
        <v>3116503</v>
      </c>
      <c r="F34996" s="4" t="str">
        <f>IF(B34996=B34995,"",B34996)</f>
        <v>Arrasate / Mondragón</v>
      </c>
    </row>
    <row r="34997" spans="1:6" ht="15.75" customHeight="1">
      <c r="A34997" s="16" t="s">
        <v>24290</v>
      </c>
      <c r="B34997" s="15" t="s">
        <v>24291</v>
      </c>
      <c r="C34997" s="16" t="s">
        <v>24200</v>
      </c>
      <c r="D34997" s="16" t="s">
        <v>24249</v>
      </c>
      <c r="E34997" s="2">
        <v>3116503</v>
      </c>
      <c r="F34997" s="4" t="e">
        <f>IF(B34997=#REF!,"",B34997)</f>
        <v>#REF!</v>
      </c>
    </row>
    <row r="34998" spans="1:6" ht="15.75" customHeight="1">
      <c r="A34998" s="15" t="s">
        <v>7119</v>
      </c>
      <c r="B34998" s="15" t="s">
        <v>7119</v>
      </c>
      <c r="C34998" s="15" t="s">
        <v>7052</v>
      </c>
      <c r="D34998" s="15" t="s">
        <v>7078</v>
      </c>
      <c r="E34998" s="2">
        <v>3036784</v>
      </c>
      <c r="F34998" s="4" t="str">
        <f>IF(B34998=B34997,"",B34998)</f>
        <v>Arras</v>
      </c>
    </row>
    <row r="34999" spans="1:6" ht="15.75" customHeight="1">
      <c r="A34999" s="16" t="str">
        <f ca="1">IFERROR(__xludf.DUMMYFUNCTION("GOOGLETRANSLATE(B38298,""en"",""pt"")"),"Arraiján")</f>
        <v>Arraiján</v>
      </c>
      <c r="B34999" s="20" t="s">
        <v>34866</v>
      </c>
      <c r="C34999" s="20" t="s">
        <v>20370</v>
      </c>
      <c r="D34999" s="20" t="s">
        <v>20397</v>
      </c>
      <c r="E34999" s="10">
        <v>3714637</v>
      </c>
      <c r="F34999" s="4" t="str">
        <f>IF(B34999=B34998,"",B34999)</f>
        <v>Arraiján</v>
      </c>
    </row>
    <row r="35000" spans="1:6" ht="15.75" customHeight="1">
      <c r="A35000" s="15" t="s">
        <v>20375</v>
      </c>
      <c r="B35000" s="15" t="s">
        <v>20376</v>
      </c>
      <c r="C35000" s="15" t="s">
        <v>20370</v>
      </c>
      <c r="D35000" s="15" t="s">
        <v>20374</v>
      </c>
      <c r="E35000" s="2">
        <v>3714637</v>
      </c>
      <c r="F35000" s="4" t="e">
        <f>IF(B35000=#REF!,"",B35000)</f>
        <v>#REF!</v>
      </c>
    </row>
    <row r="35001" spans="1:6" ht="15.75" customHeight="1">
      <c r="A35001" s="16" t="s">
        <v>2041</v>
      </c>
      <c r="B35001" s="15" t="s">
        <v>2041</v>
      </c>
      <c r="C35001" s="16" t="s">
        <v>1905</v>
      </c>
      <c r="D35001" s="16" t="s">
        <v>1978</v>
      </c>
      <c r="E35001" s="2">
        <v>3471451</v>
      </c>
      <c r="F35001" s="4" t="e">
        <f>IF(B35001=#REF!,"",B35001)</f>
        <v>#REF!</v>
      </c>
    </row>
    <row r="35002" spans="1:6" ht="15.75" customHeight="1">
      <c r="A35002" s="15" t="s">
        <v>10386</v>
      </c>
      <c r="B35002" s="15" t="s">
        <v>10386</v>
      </c>
      <c r="C35002" s="15" t="s">
        <v>10178</v>
      </c>
      <c r="D35002" s="15" t="s">
        <v>10317</v>
      </c>
      <c r="E35002" s="2">
        <v>1278483</v>
      </c>
      <c r="F35002" s="4" t="e">
        <f>IF(B35002=#REF!,"",B35002)</f>
        <v>#REF!</v>
      </c>
    </row>
    <row r="35003" spans="1:6" ht="15.75" customHeight="1">
      <c r="A35003" s="15" t="s">
        <v>14945</v>
      </c>
      <c r="B35003" s="15" t="s">
        <v>14945</v>
      </c>
      <c r="C35003" s="15" t="s">
        <v>14891</v>
      </c>
      <c r="D35003" s="15" t="s">
        <v>14896</v>
      </c>
      <c r="E35003" s="2">
        <v>8948708</v>
      </c>
      <c r="F35003" s="4" t="e">
        <f>IF(B35003=#REF!,"",B35003)</f>
        <v>#REF!</v>
      </c>
    </row>
    <row r="35004" spans="1:6" ht="15.75" customHeight="1">
      <c r="A35004" s="15" t="s">
        <v>10385</v>
      </c>
      <c r="B35004" s="15" t="s">
        <v>10385</v>
      </c>
      <c r="C35004" s="15" t="s">
        <v>10178</v>
      </c>
      <c r="D35004" s="15" t="s">
        <v>10246</v>
      </c>
      <c r="E35004" s="2">
        <v>10628607</v>
      </c>
      <c r="F35004" s="4" t="e">
        <f>IF(B35004=#REF!,"",B35004)</f>
        <v>#REF!</v>
      </c>
    </row>
    <row r="35005" spans="1:6" ht="15.75" customHeight="1">
      <c r="A35005" s="15" t="s">
        <v>24288</v>
      </c>
      <c r="B35005" s="15" t="s">
        <v>24289</v>
      </c>
      <c r="C35005" s="15" t="s">
        <v>24200</v>
      </c>
      <c r="D35005" s="15" t="s">
        <v>24212</v>
      </c>
      <c r="E35005" s="2">
        <v>2521582</v>
      </c>
      <c r="F35005" s="4" t="str">
        <f>IF(B35005=B35004,"",B35005)</f>
        <v>Arona</v>
      </c>
    </row>
    <row r="35006" spans="1:6" ht="15.75" customHeight="1">
      <c r="A35006" s="16" t="str">
        <f ca="1">IFERROR(__xludf.DUMMYFUNCTION("GOOGLETRANSLATE(B34073,""en"",""pt"")"),"Āron")</f>
        <v>Āron</v>
      </c>
      <c r="B35006" s="20" t="s">
        <v>34014</v>
      </c>
      <c r="C35006" s="20" t="s">
        <v>10178</v>
      </c>
      <c r="D35006" s="20" t="s">
        <v>10219</v>
      </c>
      <c r="E35006" s="10">
        <v>1278365</v>
      </c>
      <c r="F35006" s="4" t="e">
        <f>IF(B35006=#REF!,"",B35006)</f>
        <v>#REF!</v>
      </c>
    </row>
    <row r="35007" spans="1:6" ht="15.75" customHeight="1">
      <c r="A35007" s="15" t="s">
        <v>8081</v>
      </c>
      <c r="B35007" s="15" t="s">
        <v>8081</v>
      </c>
      <c r="C35007" s="15" t="s">
        <v>8028</v>
      </c>
      <c r="D35007" s="15" t="s">
        <v>8054</v>
      </c>
      <c r="E35007" s="2">
        <v>2955439</v>
      </c>
      <c r="F35007" s="4" t="str">
        <f>IF(B35007=B35006,"",B35007)</f>
        <v>Arnstadt</v>
      </c>
    </row>
    <row r="35008" spans="1:6" ht="15.75" customHeight="1">
      <c r="A35008" s="16" t="s">
        <v>25089</v>
      </c>
      <c r="B35008" s="15" t="s">
        <v>25090</v>
      </c>
      <c r="C35008" s="16" t="s">
        <v>25077</v>
      </c>
      <c r="D35008" s="16" t="s">
        <v>25091</v>
      </c>
      <c r="E35008" s="2">
        <v>2686469</v>
      </c>
      <c r="F35008" s="4" t="e">
        <f>IF(B35008=#REF!,"",B35008)</f>
        <v>#REF!</v>
      </c>
    </row>
    <row r="35009" spans="1:6" ht="15.75" customHeight="1">
      <c r="A35009" s="15" t="s">
        <v>8080</v>
      </c>
      <c r="B35009" s="15" t="s">
        <v>8080</v>
      </c>
      <c r="C35009" s="15" t="s">
        <v>8028</v>
      </c>
      <c r="D35009" s="15" t="s">
        <v>8029</v>
      </c>
      <c r="E35009" s="2">
        <v>2955471</v>
      </c>
      <c r="F35009" s="4" t="e">
        <f>IF(B35009=#REF!,"",B35009)</f>
        <v>#REF!</v>
      </c>
    </row>
    <row r="35010" spans="1:6" ht="15.75" customHeight="1">
      <c r="A35010" s="15" t="s">
        <v>27261</v>
      </c>
      <c r="B35010" s="15" t="s">
        <v>27261</v>
      </c>
      <c r="C35010" s="15" t="s">
        <v>27234</v>
      </c>
      <c r="D35010" s="15" t="s">
        <v>27241</v>
      </c>
      <c r="E35010" s="2">
        <v>2657030</v>
      </c>
      <c r="F35010" s="4" t="e">
        <f>IF(B35010=#REF!,"",B35010)</f>
        <v>#REF!</v>
      </c>
    </row>
    <row r="35011" spans="1:6" ht="15.75" customHeight="1">
      <c r="A35011" s="15" t="s">
        <v>18885</v>
      </c>
      <c r="B35011" s="15" t="s">
        <v>18885</v>
      </c>
      <c r="C35011" s="15" t="s">
        <v>18862</v>
      </c>
      <c r="D35011" s="15" t="s">
        <v>18865</v>
      </c>
      <c r="E35011" s="2">
        <v>2759661</v>
      </c>
      <c r="F35011" s="4" t="str">
        <f>IF(B35011=B35010,"",B35011)</f>
        <v>Arnhem</v>
      </c>
    </row>
    <row r="35012" spans="1:6" ht="15.75" customHeight="1">
      <c r="A35012" s="16" t="s">
        <v>26879</v>
      </c>
      <c r="B35012" s="15" t="s">
        <v>26880</v>
      </c>
      <c r="C35012" s="16" t="s">
        <v>26870</v>
      </c>
      <c r="D35012" s="16" t="s">
        <v>26873</v>
      </c>
      <c r="E35012" s="2">
        <v>713203</v>
      </c>
      <c r="F35012" s="4" t="str">
        <f>IF(B35012=B35011,"",B35012)</f>
        <v>Armyansâ€™k</v>
      </c>
    </row>
    <row r="35013" spans="1:6" ht="15.75" customHeight="1">
      <c r="A35013" s="16" t="str">
        <f ca="1">IFERROR(__xludf.DUMMYFUNCTION("GOOGLETRANSLATE(B42712,""en"",""pt"")"),"Exército")</f>
        <v>Exército</v>
      </c>
      <c r="B35013" s="20" t="s">
        <v>36048</v>
      </c>
      <c r="C35013" s="20" t="s">
        <v>26870</v>
      </c>
      <c r="D35013" s="20" t="s">
        <v>26873</v>
      </c>
      <c r="E35013" s="10">
        <v>713203</v>
      </c>
      <c r="F35013" s="4" t="e">
        <f>IF(B35013=#REF!,"",B35013)</f>
        <v>#REF!</v>
      </c>
    </row>
    <row r="35014" spans="1:6" ht="15.75" customHeight="1">
      <c r="A35014" s="15" t="s">
        <v>24287</v>
      </c>
      <c r="B35014" s="15" t="s">
        <v>24287</v>
      </c>
      <c r="C35014" s="15" t="s">
        <v>24200</v>
      </c>
      <c r="D35014" s="15" t="s">
        <v>24205</v>
      </c>
      <c r="E35014" s="2">
        <v>2521590</v>
      </c>
      <c r="F35014" s="4" t="e">
        <f>IF(B35014=#REF!,"",B35014)</f>
        <v>#REF!</v>
      </c>
    </row>
    <row r="35015" spans="1:6" ht="15.75" customHeight="1">
      <c r="A35015" s="15" t="s">
        <v>896</v>
      </c>
      <c r="B35015" s="15" t="s">
        <v>896</v>
      </c>
      <c r="C35015" s="15" t="s">
        <v>885</v>
      </c>
      <c r="D35015" s="15" t="s">
        <v>891</v>
      </c>
      <c r="E35015" s="2">
        <v>2177671</v>
      </c>
      <c r="F35015" s="4" t="e">
        <f>IF(B35015=#REF!,"",B35015)</f>
        <v>#REF!</v>
      </c>
    </row>
    <row r="35016" spans="1:6" ht="15.75" customHeight="1">
      <c r="A35016" s="15" t="s">
        <v>17768</v>
      </c>
      <c r="B35016" s="15" t="s">
        <v>17768</v>
      </c>
      <c r="C35016" s="15" t="s">
        <v>17707</v>
      </c>
      <c r="D35016" s="15" t="s">
        <v>5676</v>
      </c>
      <c r="E35016" s="2">
        <v>4018227</v>
      </c>
      <c r="F35016" s="4" t="str">
        <f>IF(B35016=B35015,"",B35016)</f>
        <v>Armeria</v>
      </c>
    </row>
    <row r="35017" spans="1:6" ht="15.75" customHeight="1">
      <c r="A35017" s="16" t="str">
        <f ca="1">IFERROR(__xludf.DUMMYFUNCTION("GOOGLETRANSLATE(B30255,""en"",""pt"")"),"Armentières")</f>
        <v>Armentières</v>
      </c>
      <c r="B35017" s="20" t="s">
        <v>32646</v>
      </c>
      <c r="C35017" s="20" t="s">
        <v>7052</v>
      </c>
      <c r="D35017" s="20" t="s">
        <v>7078</v>
      </c>
      <c r="E35017" s="10">
        <v>3036903</v>
      </c>
      <c r="F35017" s="4" t="str">
        <f>IF(B35017=B35016,"",B35017)</f>
        <v>Armentières</v>
      </c>
    </row>
    <row r="35018" spans="1:6" ht="15.75" customHeight="1">
      <c r="A35018" s="16" t="s">
        <v>7117</v>
      </c>
      <c r="B35018" s="15" t="s">
        <v>7118</v>
      </c>
      <c r="C35018" s="16" t="s">
        <v>7052</v>
      </c>
      <c r="D35018" s="16" t="s">
        <v>7078</v>
      </c>
      <c r="E35018" s="2">
        <v>3036903</v>
      </c>
      <c r="F35018" s="4" t="e">
        <f>IF(B35018=#REF!,"",B35018)</f>
        <v>#REF!</v>
      </c>
    </row>
    <row r="35019" spans="1:6" ht="15.75" customHeight="1">
      <c r="A35019" s="15" t="s">
        <v>5374</v>
      </c>
      <c r="B35019" s="15" t="s">
        <v>853</v>
      </c>
      <c r="C35019" s="15" t="s">
        <v>5348</v>
      </c>
      <c r="D35019" s="15" t="s">
        <v>5375</v>
      </c>
      <c r="E35019" s="2">
        <v>3689560</v>
      </c>
      <c r="F35019" s="4" t="e">
        <f>IF(B35019=#REF!,"",B35019)</f>
        <v>#REF!</v>
      </c>
    </row>
    <row r="35020" spans="1:6" ht="15.75" customHeight="1">
      <c r="A35020" s="15" t="s">
        <v>858</v>
      </c>
      <c r="B35020" s="15" t="s">
        <v>858</v>
      </c>
      <c r="C35020" s="15" t="s">
        <v>853</v>
      </c>
      <c r="D35020" s="15" t="s">
        <v>859</v>
      </c>
      <c r="E35020" s="2">
        <v>616631</v>
      </c>
      <c r="F35020" s="4" t="e">
        <f>IF(B35020=#REF!,"",B35020)</f>
        <v>#REF!</v>
      </c>
    </row>
    <row r="35021" spans="1:6" ht="15.75" customHeight="1">
      <c r="A35021" s="15" t="s">
        <v>895</v>
      </c>
      <c r="B35021" s="15" t="s">
        <v>895</v>
      </c>
      <c r="C35021" s="15" t="s">
        <v>885</v>
      </c>
      <c r="D35021" s="15" t="s">
        <v>889</v>
      </c>
      <c r="E35021" s="2">
        <v>2077579</v>
      </c>
      <c r="F35021" s="4" t="str">
        <f>IF(B35021=B35020,"",B35021)</f>
        <v>Armadale</v>
      </c>
    </row>
    <row r="35022" spans="1:6" ht="15.75" customHeight="1">
      <c r="A35022" s="16" t="str">
        <f ca="1">IFERROR(__xludf.DUMMYFUNCTION("GOOGLETRANSLATE(B25256,""en"",""pt"")"),"Armaça de Búzios")</f>
        <v>Armaça de Búzios</v>
      </c>
      <c r="B35022" s="20" t="s">
        <v>31720</v>
      </c>
      <c r="C35022" s="20" t="s">
        <v>1905</v>
      </c>
      <c r="D35022" s="20" t="s">
        <v>1978</v>
      </c>
      <c r="E35022" s="10">
        <v>3471487</v>
      </c>
      <c r="F35022" s="4" t="str">
        <f>IF(B35022=B35021,"",B35022)</f>
        <v>Armação de Búzios</v>
      </c>
    </row>
    <row r="35023" spans="1:6" ht="15.75" customHeight="1">
      <c r="A35023" s="16" t="s">
        <v>2039</v>
      </c>
      <c r="B35023" s="15" t="s">
        <v>2040</v>
      </c>
      <c r="C35023" s="16" t="s">
        <v>1905</v>
      </c>
      <c r="D35023" s="16" t="s">
        <v>1978</v>
      </c>
      <c r="E35023" s="2">
        <v>3471487</v>
      </c>
      <c r="F35023" s="4" t="e">
        <f>IF(B35023=#REF!,"",B35023)</f>
        <v>#REF!</v>
      </c>
    </row>
    <row r="35024" spans="1:6" ht="15.75" customHeight="1">
      <c r="A35024" s="15" t="s">
        <v>1522</v>
      </c>
      <c r="B35024" s="15" t="s">
        <v>1522</v>
      </c>
      <c r="C35024" s="15" t="s">
        <v>1512</v>
      </c>
      <c r="D35024" s="15" t="s">
        <v>1518</v>
      </c>
      <c r="E35024" s="2">
        <v>2803073</v>
      </c>
      <c r="F35024" s="4" t="e">
        <f>IF(B35024=#REF!,"",B35024)</f>
        <v>#REF!</v>
      </c>
    </row>
    <row r="35025" spans="1:6" ht="15.75" customHeight="1">
      <c r="A35025" s="16" t="s">
        <v>27898</v>
      </c>
      <c r="B35025" s="15" t="s">
        <v>27898</v>
      </c>
      <c r="C35025" s="16" t="s">
        <v>27788</v>
      </c>
      <c r="D35025" s="16" t="s">
        <v>27799</v>
      </c>
      <c r="E35025" s="2">
        <v>4883555</v>
      </c>
      <c r="F35025" s="4" t="e">
        <f>IF(B35025=#REF!,"",B35025)</f>
        <v>#REF!</v>
      </c>
    </row>
    <row r="35026" spans="1:6" ht="15.75" customHeight="1">
      <c r="A35026" s="15" t="s">
        <v>27897</v>
      </c>
      <c r="B35026" s="15" t="s">
        <v>27897</v>
      </c>
      <c r="C35026" s="15" t="s">
        <v>27788</v>
      </c>
      <c r="D35026" s="15" t="s">
        <v>27792</v>
      </c>
      <c r="E35026" s="2">
        <v>4671240</v>
      </c>
      <c r="F35026" s="4" t="e">
        <f>IF(B35026=#REF!,"",B35026)</f>
        <v>#REF!</v>
      </c>
    </row>
    <row r="35027" spans="1:6" ht="15.75" customHeight="1">
      <c r="A35027" s="15" t="s">
        <v>7116</v>
      </c>
      <c r="B35027" s="15" t="s">
        <v>7116</v>
      </c>
      <c r="C35027" s="15" t="s">
        <v>7052</v>
      </c>
      <c r="D35027" s="15" t="s">
        <v>7087</v>
      </c>
      <c r="E35027" s="2">
        <v>3036938</v>
      </c>
      <c r="F35027" s="4" t="str">
        <f>IF(B35027=B35026,"",B35027)</f>
        <v>Arles</v>
      </c>
    </row>
    <row r="35028" spans="1:6" ht="15.75" customHeight="1">
      <c r="A35028" s="16" t="s">
        <v>22149</v>
      </c>
      <c r="B35028" s="15" t="s">
        <v>22150</v>
      </c>
      <c r="C35028" s="16" t="s">
        <v>22070</v>
      </c>
      <c r="D35028" s="16" t="s">
        <v>22151</v>
      </c>
      <c r="E35028" s="2">
        <v>581049</v>
      </c>
      <c r="F35028" s="4" t="str">
        <f>IF(B35028=B35027,"",B35028)</f>
        <v>Arkhangelâ€™sk</v>
      </c>
    </row>
    <row r="35029" spans="1:6" ht="15.75" customHeight="1">
      <c r="A35029" s="16" t="str">
        <f ca="1">IFERROR(__xludf.DUMMYFUNCTION("GOOGLETRANSLATE(B40665,""en"",""pt"")"),"Arkhangel'sk")</f>
        <v>Arkhangel'sk</v>
      </c>
      <c r="B35029" s="20" t="s">
        <v>35525</v>
      </c>
      <c r="C35029" s="20" t="s">
        <v>22070</v>
      </c>
      <c r="D35029" s="20" t="s">
        <v>22151</v>
      </c>
      <c r="E35029" s="10">
        <v>581049</v>
      </c>
      <c r="F35029" s="4" t="e">
        <f>IF(B35029=#REF!,"",B35029)</f>
        <v>#REF!</v>
      </c>
    </row>
    <row r="35030" spans="1:6" ht="15.75" customHeight="1">
      <c r="A35030" s="15" t="s">
        <v>16688</v>
      </c>
      <c r="B35030" s="15" t="s">
        <v>16688</v>
      </c>
      <c r="C35030" s="15" t="s">
        <v>16671</v>
      </c>
      <c r="D35030" s="15" t="s">
        <v>16689</v>
      </c>
      <c r="E35030" s="2">
        <v>1526193</v>
      </c>
      <c r="F35030" s="4" t="str">
        <f>IF(B35030=B35029,"",B35030)</f>
        <v>Arkalyk</v>
      </c>
    </row>
    <row r="35031" spans="1:6" ht="15.75" customHeight="1">
      <c r="A35031" s="16" t="str">
        <f ca="1">IFERROR(__xludf.DUMMYFUNCTION("GOOGLETRANSLATE(B34074,""en"",""pt"")"),"Arkalgūd")</f>
        <v>Arkalgūd</v>
      </c>
      <c r="B35031" s="20" t="s">
        <v>34015</v>
      </c>
      <c r="C35031" s="20" t="s">
        <v>10178</v>
      </c>
      <c r="D35031" s="20" t="s">
        <v>10252</v>
      </c>
      <c r="E35031" s="10">
        <v>1278393</v>
      </c>
      <c r="F35031" s="4" t="str">
        <f>IF(B35031=B35030,"",B35031)</f>
        <v>Arkalgūd</v>
      </c>
    </row>
    <row r="35032" spans="1:6" ht="15.75" customHeight="1">
      <c r="A35032" s="16" t="s">
        <v>10383</v>
      </c>
      <c r="B35032" s="15" t="s">
        <v>10384</v>
      </c>
      <c r="C35032" s="16" t="s">
        <v>10178</v>
      </c>
      <c r="D35032" s="16" t="s">
        <v>10252</v>
      </c>
      <c r="E35032" s="2">
        <v>1278393</v>
      </c>
      <c r="F35032" s="4" t="e">
        <f>IF(B35032=#REF!,"",B35032)</f>
        <v>#REF!</v>
      </c>
    </row>
    <row r="35033" spans="1:6" ht="15.75" customHeight="1">
      <c r="A35033" s="15" t="s">
        <v>5372</v>
      </c>
      <c r="B35033" s="15" t="s">
        <v>5372</v>
      </c>
      <c r="C35033" s="15" t="s">
        <v>5348</v>
      </c>
      <c r="D35033" s="15" t="s">
        <v>5373</v>
      </c>
      <c r="E35033" s="2">
        <v>3689570</v>
      </c>
      <c r="F35033" s="4" t="e">
        <f>IF(B35033=#REF!,"",B35033)</f>
        <v>#REF!</v>
      </c>
    </row>
    <row r="35034" spans="1:6" ht="15.75" customHeight="1">
      <c r="A35034" s="16" t="s">
        <v>13810</v>
      </c>
      <c r="B35034" s="15" t="s">
        <v>13810</v>
      </c>
      <c r="C35034" s="16" t="s">
        <v>13800</v>
      </c>
      <c r="D35034" s="16" t="s">
        <v>13811</v>
      </c>
      <c r="E35034" s="2">
        <v>1651226</v>
      </c>
      <c r="F35034" s="4" t="str">
        <f>IF(B35034=B35033,"",B35034)</f>
        <v>Arjawinangun</v>
      </c>
    </row>
    <row r="35035" spans="1:6" ht="15.75" customHeight="1">
      <c r="A35035" s="16" t="str">
        <f ca="1">IFERROR(__xludf.DUMMYFUNCTION("GOOGLETRANSLATE(B34075,""en"",""pt"")"),"Ariyalūr")</f>
        <v>Ariyalūr</v>
      </c>
      <c r="B35035" s="20" t="s">
        <v>34016</v>
      </c>
      <c r="C35035" s="20" t="s">
        <v>10178</v>
      </c>
      <c r="D35035" s="20" t="s">
        <v>10196</v>
      </c>
      <c r="E35035" s="10">
        <v>1278405</v>
      </c>
      <c r="F35035" s="4" t="str">
        <f>IF(B35035=B35034,"",B35035)</f>
        <v>Ariyalūr</v>
      </c>
    </row>
    <row r="35036" spans="1:6" ht="15.75" customHeight="1">
      <c r="A35036" s="15" t="s">
        <v>10381</v>
      </c>
      <c r="B35036" s="15" t="s">
        <v>10382</v>
      </c>
      <c r="C35036" s="15" t="s">
        <v>10178</v>
      </c>
      <c r="D35036" s="15" t="s">
        <v>10196</v>
      </c>
      <c r="E35036" s="2">
        <v>1278405</v>
      </c>
      <c r="F35036" s="4" t="e">
        <f>IF(B35036=#REF!,"",B35036)</f>
        <v>#REF!</v>
      </c>
    </row>
    <row r="35037" spans="1:6" ht="15.75" customHeight="1">
      <c r="A35037" s="16" t="s">
        <v>17340</v>
      </c>
      <c r="B35037" s="15" t="s">
        <v>17340</v>
      </c>
      <c r="C35037" s="16" t="s">
        <v>17292</v>
      </c>
      <c r="D35037" s="16" t="s">
        <v>17341</v>
      </c>
      <c r="E35037" s="2">
        <v>1068865</v>
      </c>
      <c r="F35037" s="4" t="str">
        <f>IF(B35037=B35036,"",B35037)</f>
        <v>Arivonimamo</v>
      </c>
    </row>
    <row r="35038" spans="1:6" ht="15.75" customHeight="1">
      <c r="A35038" s="16" t="str">
        <f ca="1">IFERROR(__xludf.DUMMYFUNCTION("GOOGLETRANSLATE(B23231,""en"",""pt"")"),"Aristóbulo del Valle")</f>
        <v>Aristóbulo del Valle</v>
      </c>
      <c r="B35038" s="20" t="s">
        <v>31176</v>
      </c>
      <c r="C35038" s="20" t="s">
        <v>558</v>
      </c>
      <c r="D35038" s="20" t="s">
        <v>576</v>
      </c>
      <c r="E35038" s="10">
        <v>3436287</v>
      </c>
      <c r="F35038" s="4" t="str">
        <f>IF(B35038=B35037,"",B35038)</f>
        <v>Aristóbulo del Valle</v>
      </c>
    </row>
    <row r="35039" spans="1:6" ht="15.75" customHeight="1">
      <c r="A35039" s="16" t="s">
        <v>574</v>
      </c>
      <c r="B35039" s="15" t="s">
        <v>575</v>
      </c>
      <c r="C35039" s="16" t="s">
        <v>558</v>
      </c>
      <c r="D35039" s="16" t="s">
        <v>576</v>
      </c>
      <c r="E35039" s="2">
        <v>3436287</v>
      </c>
      <c r="F35039" s="4" t="e">
        <f>IF(B35039=#REF!,"",B35039)</f>
        <v>#REF!</v>
      </c>
    </row>
    <row r="35040" spans="1:6" ht="15.75" customHeight="1">
      <c r="A35040" s="15" t="s">
        <v>6589</v>
      </c>
      <c r="B35040" s="15" t="s">
        <v>6589</v>
      </c>
      <c r="C35040" s="15" t="s">
        <v>6495</v>
      </c>
      <c r="D35040" s="15" t="s">
        <v>6590</v>
      </c>
      <c r="E35040" s="2">
        <v>361546</v>
      </c>
      <c r="F35040" s="4" t="e">
        <f>IF(B35040=#REF!,"",B35040)</f>
        <v>#REF!</v>
      </c>
    </row>
    <row r="35041" spans="1:6" ht="15.75" customHeight="1">
      <c r="A35041" s="16" t="s">
        <v>2037</v>
      </c>
      <c r="B35041" s="15" t="s">
        <v>2037</v>
      </c>
      <c r="C35041" s="16" t="s">
        <v>1905</v>
      </c>
      <c r="D35041" s="16" t="s">
        <v>2038</v>
      </c>
      <c r="E35041" s="2">
        <v>3665199</v>
      </c>
      <c r="F35041" s="4" t="str">
        <f>IF(B35041=B35040,"",B35041)</f>
        <v>Ariquemes</v>
      </c>
    </row>
    <row r="35042" spans="1:6" ht="15.75" customHeight="1">
      <c r="A35042" s="15" t="s">
        <v>2034</v>
      </c>
      <c r="B35042" s="15" t="s">
        <v>2035</v>
      </c>
      <c r="C35042" s="15" t="s">
        <v>1905</v>
      </c>
      <c r="D35042" s="15" t="s">
        <v>2036</v>
      </c>
      <c r="E35042" s="2">
        <v>3665202</v>
      </c>
      <c r="F35042" s="4" t="str">
        <f>IF(B35042=B35041,"",B35042)</f>
        <v>AripuanÃ£</v>
      </c>
    </row>
    <row r="35043" spans="1:6" ht="15.75" customHeight="1">
      <c r="A35043" s="16" t="str">
        <f ca="1">IFERROR(__xludf.DUMMYFUNCTION("GOOGLETRANSLATE(B25323,""en"",""pt"")"),"Aripuanã")</f>
        <v>Aripuanã</v>
      </c>
      <c r="B35043" s="20" t="s">
        <v>2034</v>
      </c>
      <c r="C35043" s="20" t="s">
        <v>1905</v>
      </c>
      <c r="D35043" s="20" t="s">
        <v>2036</v>
      </c>
      <c r="E35043" s="10">
        <v>3665202</v>
      </c>
      <c r="F35043" s="4" t="e">
        <f>IF(B35043=#REF!,"",B35043)</f>
        <v>#REF!</v>
      </c>
    </row>
    <row r="35044" spans="1:6" ht="15.75" customHeight="1">
      <c r="A35044" s="15" t="s">
        <v>20624</v>
      </c>
      <c r="B35044" s="15" t="s">
        <v>20624</v>
      </c>
      <c r="C35044" s="15" t="s">
        <v>20598</v>
      </c>
      <c r="D35044" s="15" t="s">
        <v>20603</v>
      </c>
      <c r="E35044" s="2">
        <v>1730171</v>
      </c>
      <c r="F35044" s="4" t="e">
        <f>IF(B35044=#REF!,"",B35044)</f>
        <v>#REF!</v>
      </c>
    </row>
    <row r="35045" spans="1:6" ht="15.75" customHeight="1">
      <c r="A35045" s="15" t="s">
        <v>26068</v>
      </c>
      <c r="B35045" s="15" t="s">
        <v>26069</v>
      </c>
      <c r="C35045" s="15" t="s">
        <v>26070</v>
      </c>
      <c r="D35045" s="15" t="s">
        <v>26071</v>
      </c>
      <c r="E35045" s="2">
        <v>3575051</v>
      </c>
      <c r="F35045" s="4" t="str">
        <f>IF(B35045=B35044,"",B35045)</f>
        <v>Arima</v>
      </c>
    </row>
    <row r="35046" spans="1:6" ht="15.75" customHeight="1">
      <c r="A35046" s="16" t="str">
        <f ca="1">IFERROR(__xludf.DUMMYFUNCTION("GOOGLETRANSLATE(B27043,""en"",""pt"")"),"Ariguaní")</f>
        <v>Ariguaní</v>
      </c>
      <c r="B35046" s="20" t="s">
        <v>31888</v>
      </c>
      <c r="C35046" s="20" t="s">
        <v>5348</v>
      </c>
      <c r="D35046" s="20" t="s">
        <v>5351</v>
      </c>
      <c r="E35046" s="10">
        <v>3689589</v>
      </c>
      <c r="F35046" s="4" t="str">
        <f>IF(B35046=B35045,"",B35046)</f>
        <v>Ariguaní</v>
      </c>
    </row>
    <row r="35047" spans="1:6" ht="15.75" customHeight="1">
      <c r="A35047" s="15" t="s">
        <v>5370</v>
      </c>
      <c r="B35047" s="15" t="s">
        <v>5371</v>
      </c>
      <c r="C35047" s="15" t="s">
        <v>5348</v>
      </c>
      <c r="D35047" s="15" t="s">
        <v>5351</v>
      </c>
      <c r="E35047" s="2">
        <v>3689589</v>
      </c>
      <c r="F35047" s="4" t="str">
        <f>IF(B35047=B35046,"",B35047)</f>
        <v>AriguanÃ­</v>
      </c>
    </row>
    <row r="35048" spans="1:6" ht="15.75" customHeight="1">
      <c r="A35048" s="16" t="str">
        <f ca="1">IFERROR(__xludf.DUMMYFUNCTION("GOOGLETRANSLATE(B39161,""en"",""pt"")"),"Ārifwāla")</f>
        <v>Ārifwāla</v>
      </c>
      <c r="B35048" s="20" t="s">
        <v>35054</v>
      </c>
      <c r="C35048" s="20" t="s">
        <v>19808</v>
      </c>
      <c r="D35048" s="20" t="s">
        <v>10184</v>
      </c>
      <c r="E35048" s="10">
        <v>1184370</v>
      </c>
      <c r="F35048" s="4" t="e">
        <f>IF(B35048=#REF!,"",B35048)</f>
        <v>#REF!</v>
      </c>
    </row>
    <row r="35049" spans="1:6" ht="15.75" customHeight="1">
      <c r="A35049" s="15" t="s">
        <v>14780</v>
      </c>
      <c r="B35049" s="15" t="s">
        <v>14780</v>
      </c>
      <c r="C35049" s="15" t="s">
        <v>14773</v>
      </c>
      <c r="D35049" s="15" t="s">
        <v>14781</v>
      </c>
      <c r="E35049" s="2">
        <v>8199394</v>
      </c>
      <c r="F35049" s="4" t="e">
        <f>IF(B35049=#REF!,"",B35049)</f>
        <v>#REF!</v>
      </c>
    </row>
    <row r="35050" spans="1:6" ht="15.75" customHeight="1">
      <c r="A35050" s="15" t="s">
        <v>14944</v>
      </c>
      <c r="B35050" s="15" t="s">
        <v>14944</v>
      </c>
      <c r="C35050" s="15" t="s">
        <v>14891</v>
      </c>
      <c r="D35050" s="15" t="s">
        <v>14904</v>
      </c>
      <c r="E35050" s="2">
        <v>3182851</v>
      </c>
      <c r="F35050" s="4" t="e">
        <f>IF(B35050=#REF!,"",B35050)</f>
        <v>#REF!</v>
      </c>
    </row>
    <row r="35051" spans="1:6" ht="15.75" customHeight="1">
      <c r="A35051" s="15" t="s">
        <v>4362</v>
      </c>
      <c r="B35051" s="15" t="s">
        <v>4363</v>
      </c>
      <c r="C35051" s="15" t="s">
        <v>4355</v>
      </c>
      <c r="D35051" s="15" t="s">
        <v>4364</v>
      </c>
      <c r="E35051" s="2">
        <v>3899361</v>
      </c>
      <c r="F35051" s="4" t="e">
        <f>IF(B35051=#REF!,"",B35051)</f>
        <v>#REF!</v>
      </c>
    </row>
    <row r="35052" spans="1:6" ht="15.75" customHeight="1">
      <c r="A35052" s="15" t="s">
        <v>26098</v>
      </c>
      <c r="B35052" s="15" t="s">
        <v>26098</v>
      </c>
      <c r="C35052" s="15" t="s">
        <v>26090</v>
      </c>
      <c r="D35052" s="15" t="s">
        <v>26098</v>
      </c>
      <c r="E35052" s="2">
        <v>2473247</v>
      </c>
      <c r="F35052" s="4" t="str">
        <f>IF(B35052=B35051,"",B35052)</f>
        <v>Ariana</v>
      </c>
    </row>
    <row r="35053" spans="1:6" ht="15.75" customHeight="1">
      <c r="A35053" s="16" t="str">
        <f ca="1">IFERROR(__xludf.DUMMYFUNCTION("GOOGLETRANSLATE(B28448,""en"",""pt"")"),"Århus")</f>
        <v>Århus</v>
      </c>
      <c r="B35053" s="20" t="s">
        <v>6207</v>
      </c>
      <c r="C35053" s="20" t="s">
        <v>6209</v>
      </c>
      <c r="D35053" s="20" t="s">
        <v>6210</v>
      </c>
      <c r="E35053" s="10">
        <v>2624652</v>
      </c>
      <c r="F35053" s="4" t="e">
        <f>IF(B35053=#REF!,"",B35053)</f>
        <v>#REF!</v>
      </c>
    </row>
    <row r="35054" spans="1:6" ht="15.75" customHeight="1">
      <c r="A35054" s="15" t="s">
        <v>230</v>
      </c>
      <c r="B35054" s="15" t="s">
        <v>230</v>
      </c>
      <c r="C35054" s="15" t="s">
        <v>153</v>
      </c>
      <c r="D35054" s="15" t="s">
        <v>172</v>
      </c>
      <c r="E35054" s="2">
        <v>2506519</v>
      </c>
      <c r="F35054" s="4" t="e">
        <f>IF(B35054=#REF!,"",B35054)</f>
        <v>#REF!</v>
      </c>
    </row>
    <row r="35055" spans="1:6" ht="15.75" customHeight="1">
      <c r="A35055" s="15" t="s">
        <v>26332</v>
      </c>
      <c r="B35055" s="15" t="s">
        <v>26332</v>
      </c>
      <c r="C35055" s="15" t="s">
        <v>26201</v>
      </c>
      <c r="D35055" s="15" t="s">
        <v>26333</v>
      </c>
      <c r="E35055" s="2">
        <v>751931</v>
      </c>
      <c r="F35055" s="4" t="str">
        <f>IF(B35055=B35054,"",B35055)</f>
        <v>Arhavi</v>
      </c>
    </row>
    <row r="35056" spans="1:6" ht="15.75" customHeight="1">
      <c r="A35056" s="16" t="str">
        <f ca="1">IFERROR(__xludf.DUMMYFUNCTION("GOOGLETRANSLATE(B31017,""en"",""pt"")"),"Argyroúpoli")</f>
        <v>Argyroúpoli</v>
      </c>
      <c r="B35056" s="20" t="s">
        <v>32723</v>
      </c>
      <c r="C35056" s="20" t="s">
        <v>9441</v>
      </c>
      <c r="D35056" s="20" t="s">
        <v>9445</v>
      </c>
      <c r="E35056" s="10">
        <v>264516</v>
      </c>
      <c r="F35056" s="4" t="str">
        <f>IF(B35056=B35055,"",B35056)</f>
        <v>Argyroúpoli</v>
      </c>
    </row>
    <row r="35057" spans="1:6" ht="15.75" customHeight="1">
      <c r="A35057" s="16" t="s">
        <v>9478</v>
      </c>
      <c r="B35057" s="15" t="s">
        <v>9479</v>
      </c>
      <c r="C35057" s="16" t="s">
        <v>9441</v>
      </c>
      <c r="D35057" s="16" t="s">
        <v>9445</v>
      </c>
      <c r="E35057" s="2">
        <v>264516</v>
      </c>
      <c r="F35057" s="4" t="e">
        <f>IF(B35057=#REF!,"",B35057)</f>
        <v>#REF!</v>
      </c>
    </row>
    <row r="35058" spans="1:6" ht="15.75" customHeight="1">
      <c r="A35058" s="15" t="s">
        <v>19324</v>
      </c>
      <c r="B35058" s="15" t="s">
        <v>19324</v>
      </c>
      <c r="C35058" s="15" t="s">
        <v>19294</v>
      </c>
      <c r="D35058" s="15" t="s">
        <v>19325</v>
      </c>
      <c r="E35058" s="2">
        <v>2349431</v>
      </c>
      <c r="F35058" s="4" t="e">
        <f>IF(B35058=#REF!,"",B35058)</f>
        <v>#REF!</v>
      </c>
    </row>
    <row r="35059" spans="1:6" ht="15.75" customHeight="1">
      <c r="A35059" s="15" t="s">
        <v>22148</v>
      </c>
      <c r="B35059" s="15" t="s">
        <v>22148</v>
      </c>
      <c r="C35059" s="15" t="s">
        <v>22070</v>
      </c>
      <c r="D35059" s="15" t="s">
        <v>22081</v>
      </c>
      <c r="E35059" s="2">
        <v>581126</v>
      </c>
      <c r="F35059" s="4" t="str">
        <f>IF(B35059=B35058,"",B35059)</f>
        <v>Argun</v>
      </c>
    </row>
    <row r="35060" spans="1:6" ht="15.75" customHeight="1">
      <c r="A35060" s="16" t="str">
        <f ca="1">IFERROR(__xludf.DUMMYFUNCTION("GOOGLETRANSLATE(B31019,""en"",""pt"")"),"Árgos")</f>
        <v>Árgos</v>
      </c>
      <c r="B35060" s="20" t="s">
        <v>32725</v>
      </c>
      <c r="C35060" s="20" t="s">
        <v>9441</v>
      </c>
      <c r="D35060" s="20" t="s">
        <v>9453</v>
      </c>
      <c r="E35060" s="10">
        <v>264670</v>
      </c>
      <c r="F35060" s="4" t="e">
        <f>IF(B35060=#REF!,"",B35060)</f>
        <v>#REF!</v>
      </c>
    </row>
    <row r="35061" spans="1:6" ht="15.75" customHeight="1">
      <c r="A35061" s="16" t="s">
        <v>7115</v>
      </c>
      <c r="B35061" s="15" t="s">
        <v>7115</v>
      </c>
      <c r="C35061" s="16" t="s">
        <v>7052</v>
      </c>
      <c r="D35061" s="16" t="s">
        <v>7058</v>
      </c>
      <c r="E35061" s="2">
        <v>3037044</v>
      </c>
      <c r="F35061" s="4" t="e">
        <f>IF(B35061=#REF!,"",B35061)</f>
        <v>#REF!</v>
      </c>
    </row>
    <row r="35062" spans="1:6" ht="15.75" customHeight="1">
      <c r="A35062" s="15" t="s">
        <v>7113</v>
      </c>
      <c r="B35062" s="15" t="s">
        <v>7114</v>
      </c>
      <c r="C35062" s="15" t="s">
        <v>7052</v>
      </c>
      <c r="D35062" s="15" t="s">
        <v>7068</v>
      </c>
      <c r="E35062" s="2">
        <v>3037051</v>
      </c>
      <c r="F35062" s="4" t="e">
        <f>IF(B35062=#REF!,"",B35062)</f>
        <v>#REF!</v>
      </c>
    </row>
    <row r="35063" spans="1:6" ht="15.75" customHeight="1">
      <c r="A35063" s="16" t="s">
        <v>24286</v>
      </c>
      <c r="B35063" s="15" t="s">
        <v>24286</v>
      </c>
      <c r="C35063" s="16" t="s">
        <v>24200</v>
      </c>
      <c r="D35063" s="16" t="s">
        <v>5513</v>
      </c>
      <c r="E35063" s="2">
        <v>6544487</v>
      </c>
      <c r="F35063" s="4" t="e">
        <f>IF(B35063=#REF!,"",B35063)</f>
        <v>#REF!</v>
      </c>
    </row>
    <row r="35064" spans="1:6" ht="15.75" customHeight="1">
      <c r="A35064" s="15" t="s">
        <v>24285</v>
      </c>
      <c r="B35064" s="15" t="s">
        <v>24285</v>
      </c>
      <c r="C35064" s="15" t="s">
        <v>24200</v>
      </c>
      <c r="D35064" s="15" t="s">
        <v>5513</v>
      </c>
      <c r="E35064" s="2">
        <v>3129636</v>
      </c>
      <c r="F35064" s="4" t="e">
        <f>IF(B35064=#REF!,"",B35064)</f>
        <v>#REF!</v>
      </c>
    </row>
    <row r="35065" spans="1:6" ht="15.75" customHeight="1">
      <c r="A35065" s="15" t="s">
        <v>14942</v>
      </c>
      <c r="B35065" s="15" t="s">
        <v>14942</v>
      </c>
      <c r="C35065" s="15" t="s">
        <v>14891</v>
      </c>
      <c r="D35065" s="15" t="s">
        <v>14943</v>
      </c>
      <c r="E35065" s="2">
        <v>3182884</v>
      </c>
      <c r="F35065" s="4" t="e">
        <f>IF(B35065=#REF!,"",B35065)</f>
        <v>#REF!</v>
      </c>
    </row>
    <row r="35066" spans="1:6" ht="15.75" customHeight="1">
      <c r="A35066" s="15" t="s">
        <v>14941</v>
      </c>
      <c r="B35066" s="15" t="s">
        <v>14941</v>
      </c>
      <c r="C35066" s="15" t="s">
        <v>14891</v>
      </c>
      <c r="D35066" s="15" t="s">
        <v>14894</v>
      </c>
      <c r="E35066" s="2">
        <v>3182886</v>
      </c>
      <c r="F35066" s="4" t="e">
        <f>IF(B35066=#REF!,"",B35066)</f>
        <v>#REF!</v>
      </c>
    </row>
    <row r="35067" spans="1:6" ht="15.75" customHeight="1">
      <c r="A35067" s="15" t="s">
        <v>20473</v>
      </c>
      <c r="B35067" s="15" t="s">
        <v>20473</v>
      </c>
      <c r="C35067" s="15" t="s">
        <v>20470</v>
      </c>
      <c r="D35067" s="15" t="s">
        <v>20473</v>
      </c>
      <c r="E35067" s="2">
        <v>3947322</v>
      </c>
      <c r="F35067" s="4" t="e">
        <f>IF(B35067=#REF!,"",B35067)</f>
        <v>#REF!</v>
      </c>
    </row>
    <row r="35068" spans="1:6" ht="15.75" customHeight="1">
      <c r="A35068" s="15" t="s">
        <v>19697</v>
      </c>
      <c r="B35068" s="15" t="s">
        <v>19697</v>
      </c>
      <c r="C35068" s="15" t="s">
        <v>19695</v>
      </c>
      <c r="D35068" s="15" t="s">
        <v>19698</v>
      </c>
      <c r="E35068" s="2">
        <v>3162955</v>
      </c>
      <c r="F35068" s="4" t="str">
        <f>IF(B35068=B35067,"",B35068)</f>
        <v>Arendal</v>
      </c>
    </row>
    <row r="35069" spans="1:6" ht="15.75" customHeight="1">
      <c r="A35069" s="16" t="str">
        <f ca="1">IFERROR(__xludf.DUMMYFUNCTION("GOOGLETRANSLATE(B29587,""en"",""pt"")"),"Āreka")</f>
        <v>Āreka</v>
      </c>
      <c r="B35069" s="20" t="s">
        <v>32516</v>
      </c>
      <c r="C35069" s="20" t="s">
        <v>6807</v>
      </c>
      <c r="D35069" s="20" t="s">
        <v>6817</v>
      </c>
      <c r="E35069" s="10">
        <v>343593</v>
      </c>
      <c r="F35069" s="4" t="e">
        <f>IF(B35069=#REF!,"",B35069)</f>
        <v>#REF!</v>
      </c>
    </row>
    <row r="35070" spans="1:6" ht="15.75" customHeight="1">
      <c r="A35070" s="16" t="s">
        <v>2033</v>
      </c>
      <c r="B35070" s="15" t="s">
        <v>2033</v>
      </c>
      <c r="C35070" s="16" t="s">
        <v>1905</v>
      </c>
      <c r="D35070" s="16" t="s">
        <v>1922</v>
      </c>
      <c r="E35070" s="2">
        <v>3407194</v>
      </c>
      <c r="F35070" s="4" t="e">
        <f>IF(B35070=#REF!,"",B35070)</f>
        <v>#REF!</v>
      </c>
    </row>
    <row r="35071" spans="1:6" ht="15.75" customHeight="1">
      <c r="A35071" s="15" t="s">
        <v>21750</v>
      </c>
      <c r="B35071" s="15" t="s">
        <v>21750</v>
      </c>
      <c r="C35071" s="15" t="s">
        <v>747</v>
      </c>
      <c r="D35071" s="15" t="s">
        <v>21750</v>
      </c>
      <c r="E35071" s="2">
        <v>4562635</v>
      </c>
      <c r="F35071" s="4" t="str">
        <f>IF(B35071=B35070,"",B35071)</f>
        <v>Arecibo</v>
      </c>
    </row>
    <row r="35072" spans="1:6" ht="15.75" customHeight="1">
      <c r="A35072" s="15" t="s">
        <v>25087</v>
      </c>
      <c r="B35072" s="15" t="s">
        <v>25088</v>
      </c>
      <c r="C35072" s="15" t="s">
        <v>25077</v>
      </c>
      <c r="D35072" s="15" t="s">
        <v>25088</v>
      </c>
      <c r="E35072" s="2">
        <v>2686657</v>
      </c>
      <c r="F35072" s="4" t="e">
        <f>IF(B35072=#REF!,"",B35072)</f>
        <v>#REF!</v>
      </c>
    </row>
    <row r="35073" spans="1:6" ht="15.75" customHeight="1">
      <c r="A35073" s="15" t="s">
        <v>22147</v>
      </c>
      <c r="B35073" s="15" t="s">
        <v>22147</v>
      </c>
      <c r="C35073" s="15" t="s">
        <v>22070</v>
      </c>
      <c r="D35073" s="15" t="s">
        <v>22104</v>
      </c>
      <c r="E35073" s="2">
        <v>581179</v>
      </c>
      <c r="F35073" s="4" t="e">
        <f>IF(B35073=#REF!,"",B35073)</f>
        <v>#REF!</v>
      </c>
    </row>
    <row r="35074" spans="1:6" ht="15.75" customHeight="1">
      <c r="A35074" s="15" t="s">
        <v>27896</v>
      </c>
      <c r="B35074" s="15" t="s">
        <v>27896</v>
      </c>
      <c r="C35074" s="15" t="s">
        <v>27788</v>
      </c>
      <c r="D35074" s="15" t="s">
        <v>27797</v>
      </c>
      <c r="E35074" s="2">
        <v>4529469</v>
      </c>
      <c r="F35074" s="4" t="str">
        <f>IF(B35074=B35073,"",B35074)</f>
        <v>Ardmore</v>
      </c>
    </row>
    <row r="35075" spans="1:6" ht="15.75" customHeight="1">
      <c r="A35075" s="16" t="str">
        <f ca="1">IFERROR(__xludf.DUMMYFUNCTION("GOOGLETRANSLATE(B34494,""en"",""pt"")"),"Ardestān")</f>
        <v>Ardestān</v>
      </c>
      <c r="B35075" s="20" t="s">
        <v>34237</v>
      </c>
      <c r="C35075" s="20" t="s">
        <v>14240</v>
      </c>
      <c r="D35075" s="20" t="s">
        <v>14294</v>
      </c>
      <c r="E35075" s="10">
        <v>143052</v>
      </c>
      <c r="F35075" s="4" t="str">
        <f>IF(B35075=B35074,"",B35075)</f>
        <v>Ardestān</v>
      </c>
    </row>
    <row r="35076" spans="1:6" ht="15.75" customHeight="1">
      <c r="A35076" s="15" t="s">
        <v>14292</v>
      </c>
      <c r="B35076" s="15" t="s">
        <v>14293</v>
      </c>
      <c r="C35076" s="15" t="s">
        <v>14240</v>
      </c>
      <c r="D35076" s="15" t="s">
        <v>14294</v>
      </c>
      <c r="E35076" s="2">
        <v>143052</v>
      </c>
      <c r="F35076" s="4" t="str">
        <f>IF(B35076=B35075,"",B35076)</f>
        <v>ArdestÄn</v>
      </c>
    </row>
    <row r="35077" spans="1:6" ht="15.75" customHeight="1">
      <c r="A35077" s="16" t="str">
        <f ca="1">IFERROR(__xludf.DUMMYFUNCTION("GOOGLETRANSLATE(B42220,""en"",""pt"")"),"Ardeşen")</f>
        <v>Ardeşen</v>
      </c>
      <c r="B35077" s="20" t="s">
        <v>35966</v>
      </c>
      <c r="C35077" s="20" t="s">
        <v>26201</v>
      </c>
      <c r="D35077" s="20" t="s">
        <v>26243</v>
      </c>
      <c r="E35077" s="10">
        <v>751949</v>
      </c>
      <c r="F35077" s="4" t="e">
        <f>IF(B35077=#REF!,"",B35077)</f>
        <v>#REF!</v>
      </c>
    </row>
    <row r="35078" spans="1:6" ht="15.75" customHeight="1">
      <c r="A35078" s="16" t="s">
        <v>27894</v>
      </c>
      <c r="B35078" s="15" t="s">
        <v>27895</v>
      </c>
      <c r="C35078" s="16" t="s">
        <v>27788</v>
      </c>
      <c r="D35078" s="16" t="s">
        <v>27801</v>
      </c>
      <c r="E35078" s="2">
        <v>7260806</v>
      </c>
      <c r="F35078" s="4" t="str">
        <f>IF(B35078=B35077,"",B35078)</f>
        <v>Arden-Arcade</v>
      </c>
    </row>
    <row r="35079" spans="1:6" ht="15.75" customHeight="1">
      <c r="A35079" s="15" t="s">
        <v>26330</v>
      </c>
      <c r="B35079" s="15" t="s">
        <v>26331</v>
      </c>
      <c r="C35079" s="15" t="s">
        <v>26201</v>
      </c>
      <c r="D35079" s="15" t="s">
        <v>26243</v>
      </c>
      <c r="E35079" s="2">
        <v>751949</v>
      </c>
      <c r="F35079" s="4" t="e">
        <f>IF(B35079=#REF!,"",B35079)</f>
        <v>#REF!</v>
      </c>
    </row>
    <row r="35080" spans="1:6" ht="15.75" customHeight="1">
      <c r="A35080" s="15" t="s">
        <v>14940</v>
      </c>
      <c r="B35080" s="15" t="s">
        <v>14940</v>
      </c>
      <c r="C35080" s="15" t="s">
        <v>14891</v>
      </c>
      <c r="D35080" s="15" t="s">
        <v>14904</v>
      </c>
      <c r="E35080" s="2">
        <v>3182897</v>
      </c>
      <c r="F35080" s="4" t="str">
        <f>IF(B35080=B35079,"",B35080)</f>
        <v>Ardea</v>
      </c>
    </row>
    <row r="35081" spans="1:6" ht="15.75" customHeight="1">
      <c r="A35081" s="16" t="str">
        <f ca="1">IFERROR(__xludf.DUMMYFUNCTION("GOOGLETRANSLATE(B34495,""en"",""pt"")"),"Ardakān")</f>
        <v>Ardakān</v>
      </c>
      <c r="B35081" s="20" t="s">
        <v>34238</v>
      </c>
      <c r="C35081" s="20" t="s">
        <v>14240</v>
      </c>
      <c r="D35081" s="20" t="s">
        <v>14291</v>
      </c>
      <c r="E35081" s="10">
        <v>143073</v>
      </c>
      <c r="F35081" s="4" t="str">
        <f>IF(B35081=B35080,"",B35081)</f>
        <v>Ardakān</v>
      </c>
    </row>
    <row r="35082" spans="1:6" ht="15.75" customHeight="1">
      <c r="A35082" s="15" t="s">
        <v>14289</v>
      </c>
      <c r="B35082" s="15" t="s">
        <v>14290</v>
      </c>
      <c r="C35082" s="15" t="s">
        <v>14240</v>
      </c>
      <c r="D35082" s="15" t="s">
        <v>14291</v>
      </c>
      <c r="E35082" s="2">
        <v>143073</v>
      </c>
      <c r="F35082" s="4" t="e">
        <f>IF(B35082=#REF!,"",B35082)</f>
        <v>#REF!</v>
      </c>
    </row>
    <row r="35083" spans="1:6" ht="15.75" customHeight="1">
      <c r="A35083" s="15" t="s">
        <v>26329</v>
      </c>
      <c r="B35083" s="15" t="s">
        <v>26329</v>
      </c>
      <c r="C35083" s="15" t="s">
        <v>26201</v>
      </c>
      <c r="D35083" s="15" t="s">
        <v>26329</v>
      </c>
      <c r="E35083" s="2">
        <v>751952</v>
      </c>
      <c r="F35083" s="4" t="str">
        <f>IF(B35083=B35082,"",B35083)</f>
        <v>Ardahan</v>
      </c>
    </row>
    <row r="35084" spans="1:6" ht="15.75" customHeight="1">
      <c r="A35084" s="16" t="str">
        <f ca="1">IFERROR(__xludf.DUMMYFUNCTION("GOOGLETRANSLATE(B34496,""en"",""pt"")"),"Ardabīl")</f>
        <v>Ardabīl</v>
      </c>
      <c r="B35084" s="20" t="s">
        <v>34164</v>
      </c>
      <c r="C35084" s="20" t="s">
        <v>14240</v>
      </c>
      <c r="D35084" s="20" t="s">
        <v>34164</v>
      </c>
      <c r="E35084" s="10">
        <v>143083</v>
      </c>
      <c r="F35084" s="4" t="str">
        <f>IF(B35084=B35083,"",B35084)</f>
        <v>Ardabīl</v>
      </c>
    </row>
    <row r="35085" spans="1:6" ht="15.75" customHeight="1">
      <c r="A35085" s="15" t="s">
        <v>14287</v>
      </c>
      <c r="B35085" s="15" t="s">
        <v>14288</v>
      </c>
      <c r="C35085" s="15" t="s">
        <v>14240</v>
      </c>
      <c r="D35085" s="15" t="s">
        <v>14288</v>
      </c>
      <c r="E35085" s="2">
        <v>143083</v>
      </c>
      <c r="F35085" s="4" t="e">
        <f>IF(B35085=#REF!,"",B35085)</f>
        <v>#REF!</v>
      </c>
    </row>
    <row r="35086" spans="1:6" ht="15.75" customHeight="1">
      <c r="A35086" s="15" t="s">
        <v>7112</v>
      </c>
      <c r="B35086" s="15" t="s">
        <v>7112</v>
      </c>
      <c r="C35086" s="15" t="s">
        <v>7052</v>
      </c>
      <c r="D35086" s="15" t="s">
        <v>7058</v>
      </c>
      <c r="E35086" s="2">
        <v>3037157</v>
      </c>
      <c r="F35086" s="4" t="e">
        <f>IF(B35086=#REF!,"",B35086)</f>
        <v>#REF!</v>
      </c>
    </row>
    <row r="35087" spans="1:6" ht="15.75" customHeight="1">
      <c r="A35087" s="16" t="s">
        <v>2032</v>
      </c>
      <c r="B35087" s="15" t="s">
        <v>2032</v>
      </c>
      <c r="C35087" s="16" t="s">
        <v>1905</v>
      </c>
      <c r="D35087" s="16" t="s">
        <v>1909</v>
      </c>
      <c r="E35087" s="2">
        <v>3407216</v>
      </c>
      <c r="F35087" s="4" t="e">
        <f>IF(B35087=#REF!,"",B35087)</f>
        <v>#REF!</v>
      </c>
    </row>
    <row r="35088" spans="1:6" ht="15.75" customHeight="1">
      <c r="A35088" s="15" t="s">
        <v>10380</v>
      </c>
      <c r="B35088" s="15" t="s">
        <v>10380</v>
      </c>
      <c r="C35088" s="15" t="s">
        <v>10178</v>
      </c>
      <c r="D35088" s="15" t="s">
        <v>10196</v>
      </c>
      <c r="E35088" s="2">
        <v>1278432</v>
      </c>
      <c r="F35088" s="4" t="e">
        <f>IF(B35088=#REF!,"",B35088)</f>
        <v>#REF!</v>
      </c>
    </row>
    <row r="35089" spans="1:6" ht="15.75" customHeight="1">
      <c r="A35089" s="16" t="s">
        <v>24284</v>
      </c>
      <c r="B35089" s="15" t="s">
        <v>24284</v>
      </c>
      <c r="C35089" s="16" t="s">
        <v>24200</v>
      </c>
      <c r="D35089" s="16" t="s">
        <v>24205</v>
      </c>
      <c r="E35089" s="2">
        <v>2521665</v>
      </c>
      <c r="F35089" s="4" t="e">
        <f>IF(B35089=#REF!,"",B35089)</f>
        <v>#REF!</v>
      </c>
    </row>
    <row r="35090" spans="1:6" ht="15.75" customHeight="1">
      <c r="A35090" s="15" t="s">
        <v>2031</v>
      </c>
      <c r="B35090" s="15" t="s">
        <v>2031</v>
      </c>
      <c r="C35090" s="15" t="s">
        <v>1905</v>
      </c>
      <c r="D35090" s="15" t="s">
        <v>1917</v>
      </c>
      <c r="E35090" s="2">
        <v>3471683</v>
      </c>
      <c r="F35090" s="4" t="e">
        <f>IF(B35090=#REF!,"",B35090)</f>
        <v>#REF!</v>
      </c>
    </row>
    <row r="35091" spans="1:6" ht="15.75" customHeight="1">
      <c r="A35091" s="15" t="s">
        <v>14939</v>
      </c>
      <c r="B35091" s="15" t="s">
        <v>14939</v>
      </c>
      <c r="C35091" s="15" t="s">
        <v>14891</v>
      </c>
      <c r="D35091" s="15" t="s">
        <v>14894</v>
      </c>
      <c r="E35091" s="2">
        <v>3182904</v>
      </c>
      <c r="F35091" s="4" t="e">
        <f>IF(B35091=#REF!,"",B35091)</f>
        <v>#REF!</v>
      </c>
    </row>
    <row r="35092" spans="1:6" ht="15.75" customHeight="1">
      <c r="A35092" s="15" t="s">
        <v>24283</v>
      </c>
      <c r="B35092" s="15" t="s">
        <v>24283</v>
      </c>
      <c r="C35092" s="15" t="s">
        <v>24200</v>
      </c>
      <c r="D35092" s="15" t="s">
        <v>20912</v>
      </c>
      <c r="E35092" s="2">
        <v>2521676</v>
      </c>
      <c r="F35092" s="4" t="e">
        <f>IF(B35092=#REF!,"",B35092)</f>
        <v>#REF!</v>
      </c>
    </row>
    <row r="35093" spans="1:6" ht="15.75" customHeight="1">
      <c r="A35093" s="15" t="s">
        <v>17767</v>
      </c>
      <c r="B35093" s="15" t="s">
        <v>17767</v>
      </c>
      <c r="C35093" s="15" t="s">
        <v>17707</v>
      </c>
      <c r="D35093" s="15" t="s">
        <v>17723</v>
      </c>
      <c r="E35093" s="2">
        <v>4018320</v>
      </c>
      <c r="F35093" s="4" t="e">
        <f>IF(B35093=#REF!,"",B35093)</f>
        <v>#REF!</v>
      </c>
    </row>
    <row r="35094" spans="1:6" ht="15.75" customHeight="1">
      <c r="A35094" s="15" t="s">
        <v>27893</v>
      </c>
      <c r="B35094" s="15" t="s">
        <v>27893</v>
      </c>
      <c r="C35094" s="15" t="s">
        <v>27788</v>
      </c>
      <c r="D35094" s="15" t="s">
        <v>27801</v>
      </c>
      <c r="E35094" s="2">
        <v>5558953</v>
      </c>
      <c r="F35094" s="4" t="e">
        <f>IF(B35094=#REF!,"",B35094)</f>
        <v>#REF!</v>
      </c>
    </row>
    <row r="35095" spans="1:6" ht="15.75" customHeight="1">
      <c r="A35095" s="15" t="s">
        <v>27892</v>
      </c>
      <c r="B35095" s="15" t="s">
        <v>27892</v>
      </c>
      <c r="C35095" s="15" t="s">
        <v>27788</v>
      </c>
      <c r="D35095" s="15" t="s">
        <v>27801</v>
      </c>
      <c r="E35095" s="2">
        <v>5324477</v>
      </c>
      <c r="F35095" s="4" t="e">
        <f>IF(B35095=#REF!,"",B35095)</f>
        <v>#REF!</v>
      </c>
    </row>
    <row r="35096" spans="1:6" ht="15.75" customHeight="1">
      <c r="A35096" s="15" t="s">
        <v>27891</v>
      </c>
      <c r="B35096" s="15" t="s">
        <v>27891</v>
      </c>
      <c r="C35096" s="15" t="s">
        <v>27788</v>
      </c>
      <c r="D35096" s="15" t="s">
        <v>17061</v>
      </c>
      <c r="E35096" s="2">
        <v>4347371</v>
      </c>
      <c r="F35096" s="4" t="e">
        <f>IF(B35096=#REF!,"",B35096)</f>
        <v>#REF!</v>
      </c>
    </row>
    <row r="35097" spans="1:6" ht="15.75" customHeight="1">
      <c r="A35097" s="15" t="s">
        <v>27260</v>
      </c>
      <c r="B35097" s="15" t="s">
        <v>27260</v>
      </c>
      <c r="C35097" s="15" t="s">
        <v>27234</v>
      </c>
      <c r="D35097" s="15" t="s">
        <v>27237</v>
      </c>
      <c r="E35097" s="2">
        <v>2657215</v>
      </c>
      <c r="F35097" s="4" t="e">
        <f>IF(B35097=#REF!,"",B35097)</f>
        <v>#REF!</v>
      </c>
    </row>
    <row r="35098" spans="1:6" ht="15.75" customHeight="1">
      <c r="A35098" s="16" t="s">
        <v>228</v>
      </c>
      <c r="B35098" s="15" t="s">
        <v>228</v>
      </c>
      <c r="C35098" s="16" t="s">
        <v>153</v>
      </c>
      <c r="D35098" s="16" t="s">
        <v>229</v>
      </c>
      <c r="E35098" s="2">
        <v>2506623</v>
      </c>
      <c r="F35098" s="4" t="str">
        <f>IF(B35098=B35097,"",B35098)</f>
        <v>Arbatache</v>
      </c>
    </row>
    <row r="35099" spans="1:6" ht="15.75" customHeight="1">
      <c r="A35099" s="16" t="str">
        <f ca="1">IFERROR(__xludf.DUMMYFUNCTION("GOOGLETRANSLATE(B29588,""en"",""pt"")"),"'Minch'")</f>
        <v>'Minch'</v>
      </c>
      <c r="B35099" s="20" t="s">
        <v>32517</v>
      </c>
      <c r="C35099" s="20" t="s">
        <v>6807</v>
      </c>
      <c r="D35099" s="20" t="s">
        <v>6817</v>
      </c>
      <c r="E35099" s="10">
        <v>343663</v>
      </c>
      <c r="F35099" s="4" t="e">
        <f>IF(B35099=#REF!,"",B35099)</f>
        <v>#REF!</v>
      </c>
    </row>
    <row r="35100" spans="1:6" ht="15.75" customHeight="1">
      <c r="A35100" s="15" t="s">
        <v>20623</v>
      </c>
      <c r="B35100" s="15" t="s">
        <v>20623</v>
      </c>
      <c r="C35100" s="15" t="s">
        <v>20598</v>
      </c>
      <c r="D35100" s="15" t="s">
        <v>20599</v>
      </c>
      <c r="E35100" s="2">
        <v>1730225</v>
      </c>
      <c r="F35100" s="4" t="str">
        <f>IF(B35100=B35099,"",B35100)</f>
        <v>Arayat</v>
      </c>
    </row>
    <row r="35101" spans="1:6" ht="15.75" customHeight="1">
      <c r="A35101" s="15" t="s">
        <v>2029</v>
      </c>
      <c r="B35101" s="15" t="s">
        <v>2030</v>
      </c>
      <c r="C35101" s="15" t="s">
        <v>1905</v>
      </c>
      <c r="D35101" s="15" t="s">
        <v>1917</v>
      </c>
      <c r="E35101" s="2">
        <v>3471691</v>
      </c>
      <c r="F35101" s="4" t="str">
        <f>IF(B35101=B35100,"",B35101)</f>
        <v>AraxÃ¡</v>
      </c>
    </row>
    <row r="35102" spans="1:6" ht="15.75" customHeight="1">
      <c r="A35102" s="16" t="str">
        <f ca="1">IFERROR(__xludf.DUMMYFUNCTION("GOOGLETRANSLATE(B25258,""en"",""pt"")"),"Araxá")</f>
        <v>Araxá</v>
      </c>
      <c r="B35102" s="20" t="s">
        <v>31721</v>
      </c>
      <c r="C35102" s="20" t="s">
        <v>1905</v>
      </c>
      <c r="D35102" s="20" t="s">
        <v>1917</v>
      </c>
      <c r="E35102" s="10">
        <v>3471691</v>
      </c>
      <c r="F35102" s="4" t="e">
        <f>IF(B35102=#REF!,"",B35102)</f>
        <v>#REF!</v>
      </c>
    </row>
    <row r="35103" spans="1:6" ht="15.75" customHeight="1">
      <c r="A35103" s="15" t="s">
        <v>20405</v>
      </c>
      <c r="B35103" s="15" t="s">
        <v>20405</v>
      </c>
      <c r="C35103" s="15" t="s">
        <v>20406</v>
      </c>
      <c r="D35103" s="15" t="s">
        <v>20407</v>
      </c>
      <c r="E35103" s="2">
        <v>2100633</v>
      </c>
      <c r="F35103" s="4" t="e">
        <f>IF(B35103=#REF!,"",B35103)</f>
        <v>#REF!</v>
      </c>
    </row>
    <row r="35104" spans="1:6" ht="15.75" customHeight="1">
      <c r="A35104" s="15" t="s">
        <v>30642</v>
      </c>
      <c r="B35104" s="15" t="s">
        <v>30642</v>
      </c>
      <c r="C35104" s="15" t="s">
        <v>5923</v>
      </c>
      <c r="D35104" s="15" t="s">
        <v>30634</v>
      </c>
      <c r="E35104" s="2">
        <v>3649017</v>
      </c>
      <c r="F35104" s="4" t="e">
        <f>IF(B35104=#REF!,"",B35104)</f>
        <v>#REF!</v>
      </c>
    </row>
    <row r="35105" spans="1:6" ht="15.75" customHeight="1">
      <c r="A35105" s="15" t="s">
        <v>4360</v>
      </c>
      <c r="B35105" s="15" t="s">
        <v>4360</v>
      </c>
      <c r="C35105" s="15" t="s">
        <v>4355</v>
      </c>
      <c r="D35105" s="15" t="s">
        <v>4361</v>
      </c>
      <c r="E35105" s="2">
        <v>3899462</v>
      </c>
      <c r="F35105" s="4" t="str">
        <f>IF(B35105=B35104,"",B35105)</f>
        <v>Arauco</v>
      </c>
    </row>
    <row r="35106" spans="1:6" ht="15.75" customHeight="1">
      <c r="A35106" s="16" t="str">
        <f ca="1">IFERROR(__xludf.DUMMYFUNCTION("GOOGLETRANSLATE(B25259,""en"",""pt"")"),"Araucária")</f>
        <v>Araucária</v>
      </c>
      <c r="B35106" s="20" t="s">
        <v>2027</v>
      </c>
      <c r="C35106" s="20" t="s">
        <v>1905</v>
      </c>
      <c r="D35106" s="20" t="s">
        <v>727</v>
      </c>
      <c r="E35106" s="10">
        <v>3471697</v>
      </c>
      <c r="F35106" s="4" t="str">
        <f>IF(B35106=B35105,"",B35106)</f>
        <v>Araucária</v>
      </c>
    </row>
    <row r="35107" spans="1:6" ht="15.75" customHeight="1">
      <c r="A35107" s="15" t="s">
        <v>2027</v>
      </c>
      <c r="B35107" s="15" t="s">
        <v>2028</v>
      </c>
      <c r="C35107" s="15" t="s">
        <v>1905</v>
      </c>
      <c r="D35107" s="15" t="s">
        <v>728</v>
      </c>
      <c r="E35107" s="2">
        <v>3471697</v>
      </c>
      <c r="F35107" s="4" t="e">
        <f>IF(B35107=#REF!,"",B35107)</f>
        <v>#REF!</v>
      </c>
    </row>
    <row r="35108" spans="1:6" ht="15.75" customHeight="1">
      <c r="A35108" s="15" t="s">
        <v>5369</v>
      </c>
      <c r="B35108" s="15" t="s">
        <v>5369</v>
      </c>
      <c r="C35108" s="15" t="s">
        <v>5348</v>
      </c>
      <c r="D35108" s="15" t="s">
        <v>5369</v>
      </c>
      <c r="E35108" s="2">
        <v>3689718</v>
      </c>
      <c r="F35108" s="4" t="e">
        <f>IF(B35108=#REF!,"",B35108)</f>
        <v>#REF!</v>
      </c>
    </row>
    <row r="35109" spans="1:6" ht="15.75" customHeight="1">
      <c r="A35109" s="16" t="s">
        <v>2026</v>
      </c>
      <c r="B35109" s="15" t="s">
        <v>2026</v>
      </c>
      <c r="C35109" s="16" t="s">
        <v>1905</v>
      </c>
      <c r="D35109" s="16" t="s">
        <v>1978</v>
      </c>
      <c r="E35109" s="2">
        <v>3471715</v>
      </c>
      <c r="F35109" s="4" t="e">
        <f>IF(B35109=#REF!,"",B35109)</f>
        <v>#REF!</v>
      </c>
    </row>
    <row r="35110" spans="1:6" ht="15.75" customHeight="1">
      <c r="A35110" s="15" t="s">
        <v>2025</v>
      </c>
      <c r="B35110" s="15" t="s">
        <v>2025</v>
      </c>
      <c r="C35110" s="15" t="s">
        <v>1905</v>
      </c>
      <c r="D35110" s="15" t="s">
        <v>1909</v>
      </c>
      <c r="E35110" s="2">
        <v>3407243</v>
      </c>
      <c r="F35110" s="4" t="str">
        <f>IF(B35110=B35109,"",B35110)</f>
        <v>Araripina</v>
      </c>
    </row>
    <row r="35111" spans="1:6" ht="15.75" customHeight="1">
      <c r="A35111" s="16" t="str">
        <f ca="1">IFERROR(__xludf.DUMMYFUNCTION("GOOGLETRANSLATE(B34077,""en"",""pt"")"),"Arāria")</f>
        <v>Arāria</v>
      </c>
      <c r="B35111" s="20" t="s">
        <v>34017</v>
      </c>
      <c r="C35111" s="20" t="s">
        <v>10178</v>
      </c>
      <c r="D35111" s="20" t="s">
        <v>10317</v>
      </c>
      <c r="E35111" s="10">
        <v>1278446</v>
      </c>
      <c r="F35111" s="4" t="e">
        <f>IF(B35111=#REF!,"",B35111)</f>
        <v>#REF!</v>
      </c>
    </row>
    <row r="35112" spans="1:6" ht="15.75" customHeight="1">
      <c r="A35112" s="15" t="s">
        <v>2023</v>
      </c>
      <c r="B35112" s="15" t="s">
        <v>2023</v>
      </c>
      <c r="C35112" s="15" t="s">
        <v>1905</v>
      </c>
      <c r="D35112" s="15" t="s">
        <v>2024</v>
      </c>
      <c r="E35112" s="2">
        <v>3407258</v>
      </c>
      <c r="F35112" s="4" t="e">
        <f>IF(B35112=#REF!,"",B35112)</f>
        <v>#REF!</v>
      </c>
    </row>
    <row r="35113" spans="1:6" ht="15.75" customHeight="1">
      <c r="A35113" s="15" t="s">
        <v>855</v>
      </c>
      <c r="B35113" s="15" t="s">
        <v>856</v>
      </c>
      <c r="C35113" s="15" t="s">
        <v>853</v>
      </c>
      <c r="D35113" s="15" t="s">
        <v>857</v>
      </c>
      <c r="E35113" s="2">
        <v>174991</v>
      </c>
      <c r="F35113" s="4" t="e">
        <f>IF(B35113=#REF!,"",B35113)</f>
        <v>#REF!</v>
      </c>
    </row>
    <row r="35114" spans="1:6" ht="15.75" customHeight="1">
      <c r="A35114" s="15" t="s">
        <v>2022</v>
      </c>
      <c r="B35114" s="15" t="s">
        <v>2022</v>
      </c>
      <c r="C35114" s="15" t="s">
        <v>1905</v>
      </c>
      <c r="D35114" s="15" t="s">
        <v>1914</v>
      </c>
      <c r="E35114" s="2">
        <v>3471758</v>
      </c>
      <c r="F35114" s="4" t="e">
        <f>IF(B35114=#REF!,"",B35114)</f>
        <v>#REF!</v>
      </c>
    </row>
    <row r="35115" spans="1:6" ht="15.75" customHeight="1">
      <c r="A35115" s="16" t="s">
        <v>2021</v>
      </c>
      <c r="B35115" s="15" t="s">
        <v>2021</v>
      </c>
      <c r="C35115" s="16" t="s">
        <v>1905</v>
      </c>
      <c r="D35115" s="16" t="s">
        <v>1914</v>
      </c>
      <c r="E35115" s="2">
        <v>3471766</v>
      </c>
      <c r="F35115" s="4" t="str">
        <f>IF(B35115=B35114,"",B35115)</f>
        <v>Araraquara</v>
      </c>
    </row>
    <row r="35116" spans="1:6" ht="15.75" customHeight="1">
      <c r="A35116" s="16" t="s">
        <v>2018</v>
      </c>
      <c r="B35116" s="15" t="s">
        <v>2019</v>
      </c>
      <c r="C35116" s="16" t="s">
        <v>1905</v>
      </c>
      <c r="D35116" s="16" t="s">
        <v>2020</v>
      </c>
      <c r="E35116" s="2">
        <v>3471772</v>
      </c>
      <c r="F35116" s="4" t="str">
        <f>IF(B35116=B35115,"",B35116)</f>
        <v>AraranguÃ¡</v>
      </c>
    </row>
    <row r="35117" spans="1:6" ht="15.75" customHeight="1">
      <c r="A35117" s="16" t="str">
        <f ca="1">IFERROR(__xludf.DUMMYFUNCTION("GOOGLETRANSLATE(B25263,""en"",""pt"")"),"Araranguá")</f>
        <v>Araranguá</v>
      </c>
      <c r="B35117" s="20" t="s">
        <v>31722</v>
      </c>
      <c r="C35117" s="20" t="s">
        <v>1905</v>
      </c>
      <c r="D35117" s="20" t="s">
        <v>2020</v>
      </c>
      <c r="E35117" s="10">
        <v>3471772</v>
      </c>
      <c r="F35117" s="4" t="e">
        <f>IF(B35117=#REF!,"",B35117)</f>
        <v>#REF!</v>
      </c>
    </row>
    <row r="35118" spans="1:6" ht="15.75" customHeight="1">
      <c r="A35118" s="16" t="s">
        <v>2016</v>
      </c>
      <c r="B35118" s="15" t="s">
        <v>2017</v>
      </c>
      <c r="C35118" s="16" t="s">
        <v>1905</v>
      </c>
      <c r="D35118" s="16" t="s">
        <v>728</v>
      </c>
      <c r="E35118" s="2">
        <v>3471798</v>
      </c>
      <c r="F35118" s="4" t="e">
        <f>IF(B35118=#REF!,"",B35118)</f>
        <v>#REF!</v>
      </c>
    </row>
    <row r="35119" spans="1:6" ht="15.75" customHeight="1">
      <c r="A35119" s="15" t="s">
        <v>2013</v>
      </c>
      <c r="B35119" s="15" t="s">
        <v>2014</v>
      </c>
      <c r="C35119" s="15" t="s">
        <v>1905</v>
      </c>
      <c r="D35119" s="15" t="s">
        <v>2015</v>
      </c>
      <c r="E35119" s="2">
        <v>3407327</v>
      </c>
      <c r="F35119" s="4" t="e">
        <f>IF(B35119=#REF!,"",B35119)</f>
        <v>#REF!</v>
      </c>
    </row>
    <row r="35120" spans="1:6" ht="15.75" customHeight="1">
      <c r="A35120" s="16" t="s">
        <v>25775</v>
      </c>
      <c r="B35120" s="15" t="s">
        <v>25775</v>
      </c>
      <c r="C35120" s="16" t="s">
        <v>25771</v>
      </c>
      <c r="D35120" s="16" t="s">
        <v>25776</v>
      </c>
      <c r="E35120" s="2">
        <v>1621020</v>
      </c>
      <c r="F35120" s="4" t="str">
        <f>IF(B35120=B35119,"",B35120)</f>
        <v>Aranyaprathet</v>
      </c>
    </row>
    <row r="35121" spans="1:6" ht="15.75" customHeight="1">
      <c r="A35121" s="16" t="str">
        <f ca="1">IFERROR(__xludf.DUMMYFUNCTION("GOOGLETRANSLATE(B34078,""en"",""pt"")"),"Arantāngi")</f>
        <v>Arantāngi</v>
      </c>
      <c r="B35121" s="20" t="s">
        <v>34018</v>
      </c>
      <c r="C35121" s="20" t="s">
        <v>10178</v>
      </c>
      <c r="D35121" s="20" t="s">
        <v>10196</v>
      </c>
      <c r="E35121" s="10">
        <v>1278448</v>
      </c>
      <c r="F35121" s="4" t="str">
        <f>IF(B35121=B35120,"",B35121)</f>
        <v>Arantāngi</v>
      </c>
    </row>
    <row r="35122" spans="1:6" ht="15.75" customHeight="1">
      <c r="A35122" s="16" t="s">
        <v>10378</v>
      </c>
      <c r="B35122" s="15" t="s">
        <v>10379</v>
      </c>
      <c r="C35122" s="16" t="s">
        <v>10178</v>
      </c>
      <c r="D35122" s="16" t="s">
        <v>10196</v>
      </c>
      <c r="E35122" s="2">
        <v>1278448</v>
      </c>
      <c r="F35122" s="4" t="e">
        <f>IF(B35122=#REF!,"",B35122)</f>
        <v>#REF!</v>
      </c>
    </row>
    <row r="35123" spans="1:6" ht="15.75" customHeight="1">
      <c r="A35123" s="15" t="s">
        <v>24282</v>
      </c>
      <c r="B35123" s="15" t="s">
        <v>24282</v>
      </c>
      <c r="C35123" s="15" t="s">
        <v>24200</v>
      </c>
      <c r="D35123" s="15" t="s">
        <v>5513</v>
      </c>
      <c r="E35123" s="2">
        <v>3129857</v>
      </c>
      <c r="F35123" s="4" t="str">
        <f>IF(B35123=B35122,"",B35123)</f>
        <v>Aranjuez</v>
      </c>
    </row>
    <row r="35124" spans="1:6" ht="15.75" customHeight="1">
      <c r="A35124" s="16" t="str">
        <f ca="1">IFERROR(__xludf.DUMMYFUNCTION("GOOGLETRANSLATE(B34079,""en"",""pt"")"),"Ārani")</f>
        <v>Ārani</v>
      </c>
      <c r="B35124" s="20" t="s">
        <v>34019</v>
      </c>
      <c r="C35124" s="20" t="s">
        <v>10178</v>
      </c>
      <c r="D35124" s="20" t="s">
        <v>10196</v>
      </c>
      <c r="E35124" s="10">
        <v>1278454</v>
      </c>
      <c r="F35124" s="4" t="str">
        <f>IF(B35124=B35123,"",B35124)</f>
        <v>Ārani</v>
      </c>
    </row>
    <row r="35125" spans="1:6" ht="15.75" customHeight="1">
      <c r="A35125" s="16" t="str">
        <f ca="1">IFERROR(__xludf.DUMMYFUNCTION("GOOGLETRANSLATE(B34080,""en"",""pt"")"),"Ārangaon")</f>
        <v>Ārangaon</v>
      </c>
      <c r="B35125" s="20" t="s">
        <v>34020</v>
      </c>
      <c r="C35125" s="20" t="s">
        <v>10178</v>
      </c>
      <c r="D35125" s="20" t="s">
        <v>10214</v>
      </c>
      <c r="E35125" s="10">
        <v>1278455</v>
      </c>
      <c r="F35125" s="4" t="e">
        <f>IF(B35125=#REF!,"",B35125)</f>
        <v>#REF!</v>
      </c>
    </row>
    <row r="35126" spans="1:6" ht="15.75" customHeight="1">
      <c r="A35126" s="15" t="s">
        <v>10377</v>
      </c>
      <c r="B35126" s="15" t="s">
        <v>10377</v>
      </c>
      <c r="C35126" s="15" t="s">
        <v>10178</v>
      </c>
      <c r="D35126" s="15" t="s">
        <v>10272</v>
      </c>
      <c r="E35126" s="2">
        <v>1278458</v>
      </c>
      <c r="F35126" s="4" t="str">
        <f>IF(B35126=B35125,"",B35126)</f>
        <v>Arang</v>
      </c>
    </row>
    <row r="35127" spans="1:6" ht="15.75" customHeight="1">
      <c r="A35127" s="16" t="str">
        <f ca="1">IFERROR(__xludf.DUMMYFUNCTION("GOOGLETRANSLATE(B39891,""en"",""pt"")"),"Aranđelovac")</f>
        <v>Aranđelovac</v>
      </c>
      <c r="B35127" s="20" t="s">
        <v>35423</v>
      </c>
      <c r="C35127" s="20" t="s">
        <v>23602</v>
      </c>
      <c r="D35127" s="20" t="s">
        <v>23603</v>
      </c>
      <c r="E35127" s="10">
        <v>793111</v>
      </c>
      <c r="F35127" s="4" t="e">
        <f>IF(B35127=#REF!,"",B35127)</f>
        <v>#REF!</v>
      </c>
    </row>
    <row r="35128" spans="1:6" ht="15.75" customHeight="1">
      <c r="A35128" s="15" t="s">
        <v>17765</v>
      </c>
      <c r="B35128" s="15" t="s">
        <v>17766</v>
      </c>
      <c r="C35128" s="15" t="s">
        <v>17707</v>
      </c>
      <c r="D35128" s="15" t="s">
        <v>17746</v>
      </c>
      <c r="E35128" s="2">
        <v>4018348</v>
      </c>
      <c r="F35128" s="4" t="e">
        <f>IF(B35128=#REF!,"",B35128)</f>
        <v>#REF!</v>
      </c>
    </row>
    <row r="35129" spans="1:6" ht="15.75" customHeight="1">
      <c r="A35129" s="16" t="s">
        <v>24281</v>
      </c>
      <c r="B35129" s="15" t="s">
        <v>24281</v>
      </c>
      <c r="C35129" s="16" t="s">
        <v>24200</v>
      </c>
      <c r="D35129" s="16" t="s">
        <v>24210</v>
      </c>
      <c r="E35129" s="2">
        <v>3129877</v>
      </c>
      <c r="F35129" s="4" t="str">
        <f>IF(B35129=B35128,"",B35129)</f>
        <v>Aranda de Duero</v>
      </c>
    </row>
    <row r="35130" spans="1:6" ht="15.75" customHeight="1">
      <c r="A35130" s="16" t="s">
        <v>23611</v>
      </c>
      <c r="B35130" s="15" t="s">
        <v>23612</v>
      </c>
      <c r="C35130" s="16" t="s">
        <v>23602</v>
      </c>
      <c r="D35130" s="16" t="s">
        <v>23603</v>
      </c>
      <c r="E35130" s="2">
        <v>793111</v>
      </c>
      <c r="F35130" s="4" t="e">
        <f>IF(B35130=#REF!,"",B35130)</f>
        <v>#REF!</v>
      </c>
    </row>
    <row r="35131" spans="1:6" ht="15.75" customHeight="1">
      <c r="A35131" s="16" t="s">
        <v>19323</v>
      </c>
      <c r="B35131" s="15" t="s">
        <v>19323</v>
      </c>
      <c r="C35131" s="16" t="s">
        <v>19294</v>
      </c>
      <c r="D35131" s="16" t="s">
        <v>19304</v>
      </c>
      <c r="E35131" s="2">
        <v>2349529</v>
      </c>
      <c r="F35131" s="4" t="e">
        <f>IF(B35131=#REF!,"",B35131)</f>
        <v>#REF!</v>
      </c>
    </row>
    <row r="35132" spans="1:6" ht="15.75" customHeight="1">
      <c r="A35132" s="15" t="s">
        <v>22146</v>
      </c>
      <c r="B35132" s="15" t="s">
        <v>22146</v>
      </c>
      <c r="C35132" s="15" t="s">
        <v>22070</v>
      </c>
      <c r="D35132" s="15" t="s">
        <v>22106</v>
      </c>
      <c r="E35132" s="2">
        <v>1511466</v>
      </c>
      <c r="F35132" s="4" t="str">
        <f>IF(B35132=B35131,"",B35132)</f>
        <v>Aramil</v>
      </c>
    </row>
    <row r="35133" spans="1:6" ht="15.75" customHeight="1">
      <c r="A35133" s="16" t="str">
        <f ca="1">IFERROR(__xludf.DUMMYFUNCTION("GOOGLETRANSLATE(B34082,""en"",""pt"")"),"Arāmbāgh")</f>
        <v>Arāmbāgh</v>
      </c>
      <c r="B35133" s="20" t="s">
        <v>34021</v>
      </c>
      <c r="C35133" s="20" t="s">
        <v>10178</v>
      </c>
      <c r="D35133" s="20" t="s">
        <v>10201</v>
      </c>
      <c r="E35133" s="10">
        <v>1278466</v>
      </c>
      <c r="F35133" s="4" t="e">
        <f>IF(B35133=#REF!,"",B35133)</f>
        <v>#REF!</v>
      </c>
    </row>
    <row r="35134" spans="1:6" ht="15.75" customHeight="1">
      <c r="A35134" s="15" t="s">
        <v>4514</v>
      </c>
      <c r="B35134" s="15" t="s">
        <v>4514</v>
      </c>
      <c r="C35134" s="15" t="s">
        <v>4487</v>
      </c>
      <c r="D35134" s="15" t="s">
        <v>4490</v>
      </c>
      <c r="E35134" s="2">
        <v>1529641</v>
      </c>
      <c r="F35134" s="4" t="str">
        <f>IF(B35134=B35133,"",B35134)</f>
        <v>Aral</v>
      </c>
    </row>
    <row r="35135" spans="1:6" ht="15.75" customHeight="1">
      <c r="A35135" s="16" t="str">
        <f ca="1">IFERROR(__xludf.DUMMYFUNCTION("GOOGLETRANSLATE(B42222,""en"",""pt"")"),"Araklı")</f>
        <v>Araklı</v>
      </c>
      <c r="B35135" s="20" t="s">
        <v>35967</v>
      </c>
      <c r="C35135" s="20" t="s">
        <v>26201</v>
      </c>
      <c r="D35135" s="20" t="s">
        <v>26286</v>
      </c>
      <c r="E35135" s="10">
        <v>751971</v>
      </c>
      <c r="F35135" s="4" t="str">
        <f>IF(B35135=B35134,"",B35135)</f>
        <v>Araklı</v>
      </c>
    </row>
    <row r="35136" spans="1:6" ht="15.75" customHeight="1">
      <c r="A35136" s="15" t="s">
        <v>26327</v>
      </c>
      <c r="B35136" s="15" t="s">
        <v>26328</v>
      </c>
      <c r="C35136" s="15" t="s">
        <v>26201</v>
      </c>
      <c r="D35136" s="15" t="s">
        <v>26286</v>
      </c>
      <c r="E35136" s="2">
        <v>751971</v>
      </c>
      <c r="F35136" s="4" t="e">
        <f>IF(B35136=#REF!,"",B35136)</f>
        <v>#REF!</v>
      </c>
    </row>
    <row r="35137" spans="1:6" ht="15.75" customHeight="1">
      <c r="A35137" s="16" t="s">
        <v>10376</v>
      </c>
      <c r="B35137" s="15" t="s">
        <v>10376</v>
      </c>
      <c r="C35137" s="16" t="s">
        <v>10178</v>
      </c>
      <c r="D35137" s="16" t="s">
        <v>10196</v>
      </c>
      <c r="E35137" s="2">
        <v>1278471</v>
      </c>
      <c r="F35137" s="4" t="str">
        <f>IF(B35137=B35136,"",B35137)</f>
        <v>Arakkonam</v>
      </c>
    </row>
    <row r="35138" spans="1:6" ht="15.75" customHeight="1">
      <c r="A35138" s="16" t="str">
        <f ca="1">IFERROR(__xludf.DUMMYFUNCTION("GOOGLETRANSLATE(B34497,""en"",""pt"")"),"Arāk")</f>
        <v>Arāk</v>
      </c>
      <c r="B35138" s="20" t="s">
        <v>34239</v>
      </c>
      <c r="C35138" s="20" t="s">
        <v>14240</v>
      </c>
      <c r="D35138" s="20" t="s">
        <v>14250</v>
      </c>
      <c r="E35138" s="10">
        <v>143127</v>
      </c>
      <c r="F35138" s="4" t="e">
        <f>IF(B35138=#REF!,"",B35138)</f>
        <v>#REF!</v>
      </c>
    </row>
    <row r="35139" spans="1:6" ht="15.75" customHeight="1">
      <c r="A35139" s="15" t="s">
        <v>15816</v>
      </c>
      <c r="B35139" s="15" t="s">
        <v>15817</v>
      </c>
      <c r="C35139" s="15" t="s">
        <v>15704</v>
      </c>
      <c r="D35139" s="15" t="s">
        <v>15818</v>
      </c>
      <c r="E35139" s="2">
        <v>1865207</v>
      </c>
      <c r="F35139" s="4" t="e">
        <f>IF(B35139=#REF!,"",B35139)</f>
        <v>#REF!</v>
      </c>
    </row>
    <row r="35140" spans="1:6" ht="15.75" customHeight="1">
      <c r="A35140" s="15" t="s">
        <v>2012</v>
      </c>
      <c r="B35140" s="15" t="s">
        <v>2012</v>
      </c>
      <c r="C35140" s="15" t="s">
        <v>1905</v>
      </c>
      <c r="D35140" s="15" t="s">
        <v>1917</v>
      </c>
      <c r="E35140" s="2">
        <v>3471830</v>
      </c>
      <c r="F35140" s="4" t="str">
        <f>IF(B35140=B35139,"",B35140)</f>
        <v>Araguari</v>
      </c>
    </row>
    <row r="35141" spans="1:6" ht="15.75" customHeight="1">
      <c r="A35141" s="16" t="str">
        <f ca="1">IFERROR(__xludf.DUMMYFUNCTION("GOOGLETRANSLATE(B24407,""en"",""pt"")"),"Aragaína")</f>
        <v>Aragaína</v>
      </c>
      <c r="B35141" s="20" t="s">
        <v>31418</v>
      </c>
      <c r="C35141" s="20" t="s">
        <v>1905</v>
      </c>
      <c r="D35141" s="20" t="s">
        <v>2011</v>
      </c>
      <c r="E35141" s="10">
        <v>3407357</v>
      </c>
      <c r="F35141" s="4" t="str">
        <f>IF(B35141=B35140,"",B35141)</f>
        <v>Araguaína</v>
      </c>
    </row>
    <row r="35142" spans="1:6" ht="15.75" customHeight="1">
      <c r="A35142" s="16" t="s">
        <v>2009</v>
      </c>
      <c r="B35142" s="15" t="s">
        <v>2010</v>
      </c>
      <c r="C35142" s="16" t="s">
        <v>1905</v>
      </c>
      <c r="D35142" s="16" t="s">
        <v>2011</v>
      </c>
      <c r="E35142" s="2">
        <v>3407357</v>
      </c>
      <c r="F35142" s="4" t="str">
        <f>IF(B35142=B35141,"",B35142)</f>
        <v>AraguaÃ­na</v>
      </c>
    </row>
    <row r="35143" spans="1:6" ht="15.75" customHeight="1">
      <c r="A35143" s="16" t="str">
        <f ca="1">IFERROR(__xludf.DUMMYFUNCTION("GOOGLETRANSLATE(B25266,""en"",""pt"")"),"Aragarças")</f>
        <v>Aragarças</v>
      </c>
      <c r="B35143" s="20" t="s">
        <v>31723</v>
      </c>
      <c r="C35143" s="20" t="s">
        <v>1905</v>
      </c>
      <c r="D35143" s="20" t="s">
        <v>31436</v>
      </c>
      <c r="E35143" s="10">
        <v>3471840</v>
      </c>
      <c r="F35143" s="4" t="str">
        <f>IF(B35143=B35142,"",B35143)</f>
        <v>Aragarças</v>
      </c>
    </row>
    <row r="35144" spans="1:6" ht="15.75" customHeight="1">
      <c r="A35144" s="16" t="s">
        <v>2007</v>
      </c>
      <c r="B35144" s="15" t="s">
        <v>2008</v>
      </c>
      <c r="C35144" s="16" t="s">
        <v>1905</v>
      </c>
      <c r="D35144" s="16" t="s">
        <v>1969</v>
      </c>
      <c r="E35144" s="2">
        <v>3471840</v>
      </c>
      <c r="F35144" s="4" t="e">
        <f>IF(B35144=#REF!,"",B35144)</f>
        <v>#REF!</v>
      </c>
    </row>
    <row r="35145" spans="1:6" ht="15.75" customHeight="1">
      <c r="A35145" s="15" t="s">
        <v>21829</v>
      </c>
      <c r="B35145" s="15" t="s">
        <v>21830</v>
      </c>
      <c r="C35145" s="15" t="s">
        <v>21824</v>
      </c>
      <c r="D35145" s="15" t="s">
        <v>21830</v>
      </c>
      <c r="E35145" s="2">
        <v>686254</v>
      </c>
      <c r="F35145" s="4" t="str">
        <f>IF(B35145=B35144,"",B35145)</f>
        <v>Arad</v>
      </c>
    </row>
    <row r="35146" spans="1:6" ht="15.75" customHeight="1">
      <c r="A35146" s="16" t="str">
        <f ca="1">IFERROR(__xludf.DUMMYFUNCTION("GOOGLETRANSLATE(B25267,""en"",""pt"")"),"Araçuaí")</f>
        <v>Araçuaí</v>
      </c>
      <c r="B35146" s="20" t="s">
        <v>31724</v>
      </c>
      <c r="C35146" s="20" t="s">
        <v>1905</v>
      </c>
      <c r="D35146" s="20" t="s">
        <v>1917</v>
      </c>
      <c r="E35146" s="10">
        <v>3471846</v>
      </c>
      <c r="F35146" s="4" t="e">
        <f>IF(B35146=#REF!,"",B35146)</f>
        <v>#REF!</v>
      </c>
    </row>
    <row r="35147" spans="1:6" ht="15.75" customHeight="1">
      <c r="A35147" s="15" t="s">
        <v>2005</v>
      </c>
      <c r="B35147" s="15" t="s">
        <v>2006</v>
      </c>
      <c r="C35147" s="15" t="s">
        <v>1905</v>
      </c>
      <c r="D35147" s="15" t="s">
        <v>1949</v>
      </c>
      <c r="E35147" s="2">
        <v>3471848</v>
      </c>
      <c r="F35147" s="4" t="str">
        <f>IF(B35147=B35146,"",B35147)</f>
        <v>Aracruz</v>
      </c>
    </row>
    <row r="35148" spans="1:6" ht="15.75" customHeight="1">
      <c r="A35148" s="16" t="str">
        <f ca="1">IFERROR(__xludf.DUMMYFUNCTION("GOOGLETRANSLATE(B25269,""en"",""pt"")"),"Araçoiaba da Serra")</f>
        <v>Araçoiaba da Serra</v>
      </c>
      <c r="B35148" s="20" t="s">
        <v>31725</v>
      </c>
      <c r="C35148" s="20" t="s">
        <v>1905</v>
      </c>
      <c r="D35148" s="20" t="s">
        <v>3354</v>
      </c>
      <c r="E35148" s="10">
        <v>3471849</v>
      </c>
      <c r="F35148" s="4" t="e">
        <f>IF(B35148=#REF!,"",B35148)</f>
        <v>#REF!</v>
      </c>
    </row>
    <row r="35149" spans="1:6" ht="15.75" customHeight="1">
      <c r="A35149" s="15" t="s">
        <v>2004</v>
      </c>
      <c r="B35149" s="15" t="s">
        <v>2004</v>
      </c>
      <c r="C35149" s="15" t="s">
        <v>1905</v>
      </c>
      <c r="D35149" s="15" t="s">
        <v>1947</v>
      </c>
      <c r="E35149" s="2">
        <v>3471854</v>
      </c>
      <c r="F35149" s="4" t="str">
        <f>IF(B35149=B35148,"",B35149)</f>
        <v>Araci</v>
      </c>
    </row>
    <row r="35150" spans="1:6" ht="15.75" customHeight="1">
      <c r="A35150" s="16" t="str">
        <f ca="1">IFERROR(__xludf.DUMMYFUNCTION("GOOGLETRANSLATE(B25271,""en"",""pt"")"),"Araçatuba")</f>
        <v>Araçatuba</v>
      </c>
      <c r="B35150" s="20" t="s">
        <v>31726</v>
      </c>
      <c r="C35150" s="20" t="s">
        <v>1905</v>
      </c>
      <c r="D35150" s="20" t="s">
        <v>3354</v>
      </c>
      <c r="E35150" s="10">
        <v>3471859</v>
      </c>
      <c r="F35150" s="4" t="e">
        <f>IF(B35150=#REF!,"",B35150)</f>
        <v>#REF!</v>
      </c>
    </row>
    <row r="35151" spans="1:6" ht="15.75" customHeight="1">
      <c r="A35151" s="15" t="s">
        <v>2003</v>
      </c>
      <c r="B35151" s="15" t="s">
        <v>2003</v>
      </c>
      <c r="C35151" s="15" t="s">
        <v>1905</v>
      </c>
      <c r="D35151" s="15" t="s">
        <v>1930</v>
      </c>
      <c r="E35151" s="2">
        <v>3407378</v>
      </c>
      <c r="F35151" s="4" t="e">
        <f>IF(B35151=#REF!,"",B35151)</f>
        <v>#REF!</v>
      </c>
    </row>
    <row r="35152" spans="1:6" ht="15.75" customHeight="1">
      <c r="A35152" s="15" t="s">
        <v>5367</v>
      </c>
      <c r="B35152" s="15" t="s">
        <v>5367</v>
      </c>
      <c r="C35152" s="15" t="s">
        <v>5348</v>
      </c>
      <c r="D35152" s="15" t="s">
        <v>5368</v>
      </c>
      <c r="E35152" s="2">
        <v>3689759</v>
      </c>
      <c r="F35152" s="4" t="e">
        <f>IF(B35152=#REF!,"",B35152)</f>
        <v>#REF!</v>
      </c>
    </row>
    <row r="35153" spans="1:6" ht="15.75" customHeight="1">
      <c r="A35153" s="15" t="s">
        <v>2000</v>
      </c>
      <c r="B35153" s="15" t="s">
        <v>2001</v>
      </c>
      <c r="C35153" s="15" t="s">
        <v>1905</v>
      </c>
      <c r="D35153" s="15" t="s">
        <v>2002</v>
      </c>
      <c r="E35153" s="2">
        <v>3471872</v>
      </c>
      <c r="F35153" s="4" t="str">
        <f>IF(B35153=B35152,"",B35153)</f>
        <v>Aracaju</v>
      </c>
    </row>
    <row r="35154" spans="1:6" ht="15.75" customHeight="1">
      <c r="A35154" s="15" t="s">
        <v>1998</v>
      </c>
      <c r="B35154" s="15" t="s">
        <v>1999</v>
      </c>
      <c r="C35154" s="15" t="s">
        <v>1905</v>
      </c>
      <c r="D35154" s="15" t="s">
        <v>1917</v>
      </c>
      <c r="E35154" s="2">
        <v>3471846</v>
      </c>
      <c r="F35154" s="4" t="str">
        <f>IF(B35154=B35153,"",B35154)</f>
        <v>AraÃ§uaÃ­</v>
      </c>
    </row>
    <row r="35155" spans="1:6" ht="15.75" customHeight="1">
      <c r="A35155" s="16" t="s">
        <v>1996</v>
      </c>
      <c r="B35155" s="15" t="s">
        <v>1997</v>
      </c>
      <c r="C35155" s="16" t="s">
        <v>1905</v>
      </c>
      <c r="D35155" s="16" t="s">
        <v>1914</v>
      </c>
      <c r="E35155" s="2">
        <v>3471849</v>
      </c>
      <c r="F35155" s="4" t="str">
        <f>IF(B35155=B35154,"",B35155)</f>
        <v>AraÃ§oiaba da Serra</v>
      </c>
    </row>
    <row r="35156" spans="1:6" ht="15.75" customHeight="1">
      <c r="A35156" s="16" t="s">
        <v>1994</v>
      </c>
      <c r="B35156" s="15" t="s">
        <v>1995</v>
      </c>
      <c r="C35156" s="16" t="s">
        <v>1905</v>
      </c>
      <c r="D35156" s="16" t="s">
        <v>1914</v>
      </c>
      <c r="E35156" s="2">
        <v>3471859</v>
      </c>
      <c r="F35156" s="4" t="str">
        <f>IF(B35156=B35155,"",B35156)</f>
        <v>AraÃ§atuba</v>
      </c>
    </row>
    <row r="35157" spans="1:6" ht="15.75" customHeight="1">
      <c r="A35157" s="15" t="s">
        <v>10374</v>
      </c>
      <c r="B35157" s="15" t="s">
        <v>10375</v>
      </c>
      <c r="C35157" s="15" t="s">
        <v>10178</v>
      </c>
      <c r="D35157" s="15" t="s">
        <v>10317</v>
      </c>
      <c r="E35157" s="2">
        <v>1278446</v>
      </c>
      <c r="F35157" s="4" t="str">
        <f>IF(B35157=B35156,"",B35157)</f>
        <v>ArÄria</v>
      </c>
    </row>
    <row r="35158" spans="1:6" ht="15.75" customHeight="1">
      <c r="A35158" s="16" t="s">
        <v>10372</v>
      </c>
      <c r="B35158" s="15" t="s">
        <v>10373</v>
      </c>
      <c r="C35158" s="16" t="s">
        <v>10178</v>
      </c>
      <c r="D35158" s="16" t="s">
        <v>10201</v>
      </c>
      <c r="E35158" s="2">
        <v>1278466</v>
      </c>
      <c r="F35158" s="4" t="str">
        <f>IF(B35158=B35157,"",B35158)</f>
        <v>ArÄmbÄgh</v>
      </c>
    </row>
    <row r="35159" spans="1:6" ht="15.75" customHeight="1">
      <c r="A35159" s="15" t="s">
        <v>14285</v>
      </c>
      <c r="B35159" s="15" t="s">
        <v>14286</v>
      </c>
      <c r="C35159" s="15" t="s">
        <v>14240</v>
      </c>
      <c r="D35159" s="15" t="s">
        <v>14250</v>
      </c>
      <c r="E35159" s="2">
        <v>143127</v>
      </c>
      <c r="F35159" s="4" t="e">
        <f>IF(B35159=#REF!,"",B35159)</f>
        <v>#REF!</v>
      </c>
    </row>
    <row r="35160" spans="1:6" ht="15.75" customHeight="1">
      <c r="A35160" s="16" t="s">
        <v>27220</v>
      </c>
      <c r="B35160" s="15" t="s">
        <v>27221</v>
      </c>
      <c r="C35160" s="16" t="s">
        <v>27213</v>
      </c>
      <c r="D35160" s="16" t="s">
        <v>27212</v>
      </c>
      <c r="E35160" s="2">
        <v>292688</v>
      </c>
      <c r="F35160" s="4" t="str">
        <f>IF(B35160=B35159,"",B35160)</f>
        <v>Ar Ruways</v>
      </c>
    </row>
    <row r="35161" spans="1:6" ht="15.75" customHeight="1">
      <c r="A35161" s="16" t="str">
        <f ca="1">IFERROR(__xludf.DUMMYFUNCTION("GOOGLETRANSLATE(B34306,""en"",""pt"")"),"Ar ruţbah")</f>
        <v>Ar ruţbah</v>
      </c>
      <c r="B35161" s="20" t="s">
        <v>34093</v>
      </c>
      <c r="C35161" s="20" t="s">
        <v>14594</v>
      </c>
      <c r="D35161" s="20" t="s">
        <v>14595</v>
      </c>
      <c r="E35161" s="10">
        <v>98677</v>
      </c>
      <c r="F35161" s="4" t="e">
        <f>IF(B35161=#REF!,"",B35161)</f>
        <v>#REF!</v>
      </c>
    </row>
    <row r="35162" spans="1:6" ht="15.75" customHeight="1">
      <c r="A35162" s="15" t="s">
        <v>25016</v>
      </c>
      <c r="B35162" s="15" t="s">
        <v>25017</v>
      </c>
      <c r="C35162" s="15" t="s">
        <v>24987</v>
      </c>
      <c r="D35162" s="15" t="s">
        <v>24997</v>
      </c>
      <c r="E35162" s="2">
        <v>378459</v>
      </c>
      <c r="F35162" s="4" t="str">
        <f>IF(B35162=B35161,"",B35162)</f>
        <v>Ar Ruseris</v>
      </c>
    </row>
    <row r="35163" spans="1:6" ht="15.75" customHeight="1">
      <c r="A35163" s="16" t="str">
        <f ca="1">IFERROR(__xludf.DUMMYFUNCTION("GOOGLETRANSLATE(B36169,""en"",""pt"")"),"Ar Rumaythīyah")</f>
        <v>Ar Rumaythīyah</v>
      </c>
      <c r="B35163" s="20" t="s">
        <v>34484</v>
      </c>
      <c r="C35163" s="20" t="s">
        <v>16884</v>
      </c>
      <c r="D35163" s="20" t="s">
        <v>34481</v>
      </c>
      <c r="E35163" s="10">
        <v>285726</v>
      </c>
      <c r="F35163" s="4" t="e">
        <f>IF(B35163=#REF!,"",B35163)</f>
        <v>#REF!</v>
      </c>
    </row>
    <row r="35164" spans="1:6" ht="15.75" customHeight="1">
      <c r="A35164" s="16" t="s">
        <v>14660</v>
      </c>
      <c r="B35164" s="15" t="s">
        <v>14661</v>
      </c>
      <c r="C35164" s="16" t="s">
        <v>14594</v>
      </c>
      <c r="D35164" s="16" t="s">
        <v>14662</v>
      </c>
      <c r="E35164" s="2">
        <v>98685</v>
      </c>
      <c r="F35164" s="4" t="str">
        <f>IF(B35164=B35163,"",B35164)</f>
        <v>Ar Rumaythah</v>
      </c>
    </row>
    <row r="35165" spans="1:6" ht="15.75" customHeight="1">
      <c r="A35165" s="16" t="s">
        <v>16907</v>
      </c>
      <c r="B35165" s="15" t="s">
        <v>16908</v>
      </c>
      <c r="C35165" s="16" t="s">
        <v>16884</v>
      </c>
      <c r="D35165" s="16" t="s">
        <v>16885</v>
      </c>
      <c r="E35165" s="2">
        <v>285726</v>
      </c>
      <c r="F35165" s="4" t="e">
        <f>IF(B35165=#REF!,"",B35165)</f>
        <v>#REF!</v>
      </c>
    </row>
    <row r="35166" spans="1:6" ht="15.75" customHeight="1">
      <c r="A35166" s="16" t="s">
        <v>26095</v>
      </c>
      <c r="B35166" s="15" t="s">
        <v>26096</v>
      </c>
      <c r="C35166" s="16" t="s">
        <v>26090</v>
      </c>
      <c r="D35166" s="16" t="s">
        <v>26097</v>
      </c>
      <c r="E35166" s="2">
        <v>2473257</v>
      </c>
      <c r="F35166" s="4" t="str">
        <f>IF(B35166=B35165,"",B35166)</f>
        <v>Ar Rudayyif</v>
      </c>
    </row>
    <row r="35167" spans="1:6" ht="15.75" customHeight="1">
      <c r="A35167" s="16" t="s">
        <v>14658</v>
      </c>
      <c r="B35167" s="15" t="s">
        <v>14659</v>
      </c>
      <c r="C35167" s="16" t="s">
        <v>14594</v>
      </c>
      <c r="D35167" s="16" t="s">
        <v>14595</v>
      </c>
      <c r="E35167" s="2">
        <v>98677</v>
      </c>
      <c r="F35167" s="4" t="e">
        <f>IF(B35167=#REF!,"",B35167)</f>
        <v>#REF!</v>
      </c>
    </row>
    <row r="35168" spans="1:6" ht="15.75" customHeight="1">
      <c r="A35168" s="15" t="s">
        <v>16905</v>
      </c>
      <c r="B35168" s="15" t="s">
        <v>16906</v>
      </c>
      <c r="C35168" s="15" t="s">
        <v>16884</v>
      </c>
      <c r="D35168" s="15" t="s">
        <v>16889</v>
      </c>
      <c r="E35168" s="2">
        <v>285728</v>
      </c>
      <c r="F35168" s="4" t="str">
        <f>IF(B35168=B35167,"",B35168)</f>
        <v>Ar Riqqah</v>
      </c>
    </row>
    <row r="35169" spans="1:6" ht="15.75" customHeight="1">
      <c r="A35169" s="16" t="s">
        <v>1281</v>
      </c>
      <c r="B35169" s="15" t="s">
        <v>1282</v>
      </c>
      <c r="C35169" s="16" t="s">
        <v>1279</v>
      </c>
      <c r="D35169" s="16" t="s">
        <v>1283</v>
      </c>
      <c r="E35169" s="2">
        <v>385038</v>
      </c>
      <c r="F35169" s="4" t="str">
        <f>IF(B35169=B35168,"",B35169)</f>
        <v>Ar RifÄâ€˜</v>
      </c>
    </row>
    <row r="35170" spans="1:6" ht="15.75" customHeight="1">
      <c r="A35170" s="16" t="str">
        <f ca="1">IFERROR(__xludf.DUMMYFUNCTION("GOOGLETRANSLATE(B24069,""en"",""pt"")"),"Ar rifā ‘")</f>
        <v>Ar rifā ‘</v>
      </c>
      <c r="B35170" s="20" t="s">
        <v>31328</v>
      </c>
      <c r="C35170" s="20" t="s">
        <v>1279</v>
      </c>
      <c r="D35170" s="20" t="s">
        <v>1283</v>
      </c>
      <c r="E35170" s="10">
        <v>385038</v>
      </c>
      <c r="F35170" s="4" t="str">
        <f>IF(B35170=B35169,"",B35170)</f>
        <v>Ar Rifā‘</v>
      </c>
    </row>
    <row r="35171" spans="1:6" ht="15.75" customHeight="1">
      <c r="A35171" s="16" t="str">
        <f ca="1">IFERROR(__xludf.DUMMYFUNCTION("GOOGLETRANSLATE(B39704,""en"",""pt"")"),"Ar rayyān")</f>
        <v>Ar rayyān</v>
      </c>
      <c r="B35171" s="20" t="s">
        <v>35325</v>
      </c>
      <c r="C35171" s="20" t="s">
        <v>21777</v>
      </c>
      <c r="D35171" s="20" t="s">
        <v>35326</v>
      </c>
      <c r="E35171" s="10">
        <v>289888</v>
      </c>
      <c r="F35171" s="4" t="str">
        <f>IF(B35171=B35170,"",B35171)</f>
        <v>Ar Rayyān</v>
      </c>
    </row>
    <row r="35172" spans="1:6" ht="15.75" customHeight="1">
      <c r="A35172" s="16" t="s">
        <v>21779</v>
      </c>
      <c r="B35172" s="15" t="s">
        <v>21780</v>
      </c>
      <c r="C35172" s="16" t="s">
        <v>21777</v>
      </c>
      <c r="D35172" s="16" t="s">
        <v>21781</v>
      </c>
      <c r="E35172" s="2">
        <v>289888</v>
      </c>
      <c r="F35172" s="4" t="e">
        <f>IF(B35172=#REF!,"",B35172)</f>
        <v>#REF!</v>
      </c>
    </row>
    <row r="35173" spans="1:6" ht="15.75" customHeight="1">
      <c r="A35173" s="15" t="s">
        <v>25417</v>
      </c>
      <c r="B35173" s="15" t="s">
        <v>25417</v>
      </c>
      <c r="C35173" s="15" t="s">
        <v>25366</v>
      </c>
      <c r="D35173" s="15" t="s">
        <v>25406</v>
      </c>
      <c r="E35173" s="2">
        <v>172946</v>
      </c>
      <c r="F35173" s="4" t="e">
        <f>IF(B35173=#REF!,"",B35173)</f>
        <v>#REF!</v>
      </c>
    </row>
    <row r="35174" spans="1:6" ht="15.75" customHeight="1">
      <c r="A35174" s="15" t="s">
        <v>23506</v>
      </c>
      <c r="B35174" s="15" t="s">
        <v>23507</v>
      </c>
      <c r="C35174" s="15" t="s">
        <v>23454</v>
      </c>
      <c r="D35174" s="15" t="s">
        <v>23485</v>
      </c>
      <c r="E35174" s="2">
        <v>108435</v>
      </c>
      <c r="F35174" s="4" t="e">
        <f>IF(B35174=#REF!,"",B35174)</f>
        <v>#REF!</v>
      </c>
    </row>
    <row r="35175" spans="1:6" ht="15.75" customHeight="1">
      <c r="A35175" s="16" t="s">
        <v>25414</v>
      </c>
      <c r="B35175" s="15" t="s">
        <v>25415</v>
      </c>
      <c r="C35175" s="16" t="s">
        <v>25366</v>
      </c>
      <c r="D35175" s="16" t="s">
        <v>25416</v>
      </c>
      <c r="E35175" s="2">
        <v>172955</v>
      </c>
      <c r="F35175" s="4" t="str">
        <f>IF(B35175=B35174,"",B35175)</f>
        <v>Ar Raqqah</v>
      </c>
    </row>
    <row r="35176" spans="1:6" ht="15.75" customHeight="1">
      <c r="A35176" s="16" t="s">
        <v>16639</v>
      </c>
      <c r="B35176" s="15" t="s">
        <v>16640</v>
      </c>
      <c r="C35176" s="16" t="s">
        <v>16624</v>
      </c>
      <c r="D35176" s="16" t="s">
        <v>16641</v>
      </c>
      <c r="E35176" s="2">
        <v>250336</v>
      </c>
      <c r="F35176" s="4" t="str">
        <f>IF(B35176=B35175,"",B35176)</f>
        <v>Ar RamthÄ</v>
      </c>
    </row>
    <row r="35177" spans="1:6" ht="15.75" customHeight="1">
      <c r="A35177" s="16" t="str">
        <f ca="1">IFERROR(__xludf.DUMMYFUNCTION("GOOGLETRANSLATE(B35137,""en"",""pt"")"),"Ar ramthā")</f>
        <v>Ar ramthā</v>
      </c>
      <c r="B35177" s="20" t="s">
        <v>34286</v>
      </c>
      <c r="C35177" s="20" t="s">
        <v>16624</v>
      </c>
      <c r="D35177" s="20" t="s">
        <v>16641</v>
      </c>
      <c r="E35177" s="10">
        <v>250336</v>
      </c>
      <c r="F35177" s="4" t="str">
        <f>IF(B35177=B35176,"",B35177)</f>
        <v>Ar Ramthā</v>
      </c>
    </row>
    <row r="35178" spans="1:6" ht="15.75" customHeight="1">
      <c r="A35178" s="16" t="str">
        <f ca="1">IFERROR(__xludf.DUMMYFUNCTION("GOOGLETRANSLATE(B39554,""en"",""pt"")"),"Ar rām wa ḑāḩiyat al barīd")</f>
        <v>Ar rām wa ḑāḩiyat al barīd</v>
      </c>
      <c r="B35178" s="20" t="s">
        <v>35281</v>
      </c>
      <c r="C35178" s="20" t="s">
        <v>20297</v>
      </c>
      <c r="D35178" s="20" t="s">
        <v>20298</v>
      </c>
      <c r="E35178" s="10">
        <v>284890</v>
      </c>
      <c r="F35178" s="4" t="e">
        <f>IF(B35178=#REF!,"",B35178)</f>
        <v>#REF!</v>
      </c>
    </row>
    <row r="35179" spans="1:6" ht="15.75" customHeight="1">
      <c r="A35179" s="15" t="s">
        <v>25013</v>
      </c>
      <c r="B35179" s="15" t="s">
        <v>25014</v>
      </c>
      <c r="C35179" s="15" t="s">
        <v>24987</v>
      </c>
      <c r="D35179" s="15" t="s">
        <v>25015</v>
      </c>
      <c r="E35179" s="2">
        <v>378493</v>
      </c>
      <c r="F35179" s="4" t="str">
        <f>IF(B35179=B35178,"",B35179)</f>
        <v>Ar Rahad</v>
      </c>
    </row>
    <row r="35180" spans="1:6" ht="15.75" customHeight="1">
      <c r="A35180" s="16" t="str">
        <f ca="1">IFERROR(__xludf.DUMMYFUNCTION("GOOGLETRANSLATE(B36181,""en"",""pt"")"),"Ar rābiyah")</f>
        <v>Ar rābiyah</v>
      </c>
      <c r="B35180" s="20" t="s">
        <v>34493</v>
      </c>
      <c r="C35180" s="20" t="s">
        <v>16884</v>
      </c>
      <c r="D35180" s="20" t="s">
        <v>16887</v>
      </c>
      <c r="E35180" s="10">
        <v>388065</v>
      </c>
      <c r="F35180" s="4" t="str">
        <f>IF(B35180=B35179,"",B35180)</f>
        <v>Ar Rābiyah</v>
      </c>
    </row>
    <row r="35181" spans="1:6" ht="15.75" customHeight="1">
      <c r="A35181" s="16" t="s">
        <v>20317</v>
      </c>
      <c r="B35181" s="15" t="s">
        <v>20318</v>
      </c>
      <c r="C35181" s="16" t="s">
        <v>20297</v>
      </c>
      <c r="D35181" s="16" t="s">
        <v>20298</v>
      </c>
      <c r="E35181" s="2">
        <v>284890</v>
      </c>
      <c r="F35181" s="4" t="str">
        <f>IF(B35181=B35180,"",B35181)</f>
        <v>Ar RÄm wa á¸Äá¸©iyat al BarÄ«d</v>
      </c>
    </row>
    <row r="35182" spans="1:6" ht="15.75" customHeight="1">
      <c r="A35182" s="16" t="s">
        <v>16903</v>
      </c>
      <c r="B35182" s="15" t="s">
        <v>16904</v>
      </c>
      <c r="C35182" s="16" t="s">
        <v>16884</v>
      </c>
      <c r="D35182" s="16" t="s">
        <v>16887</v>
      </c>
      <c r="E35182" s="2">
        <v>388065</v>
      </c>
      <c r="F35182" s="4" t="e">
        <f>IF(B35182=#REF!,"",B35182)</f>
        <v>#REF!</v>
      </c>
    </row>
    <row r="35183" spans="1:6" ht="15.75" customHeight="1">
      <c r="A35183" s="15" t="s">
        <v>1993</v>
      </c>
      <c r="B35183" s="15" t="s">
        <v>1993</v>
      </c>
      <c r="C35183" s="15" t="s">
        <v>1905</v>
      </c>
      <c r="D35183" s="15" t="s">
        <v>1930</v>
      </c>
      <c r="E35183" s="2">
        <v>3407407</v>
      </c>
      <c r="F35183" s="4" t="e">
        <f>IF(B35183=#REF!,"",B35183)</f>
        <v>#REF!</v>
      </c>
    </row>
    <row r="35184" spans="1:6" ht="15.75" customHeight="1">
      <c r="A35184" s="16" t="s">
        <v>1992</v>
      </c>
      <c r="B35184" s="15" t="s">
        <v>1992</v>
      </c>
      <c r="C35184" s="16" t="s">
        <v>1905</v>
      </c>
      <c r="D35184" s="16" t="s">
        <v>1973</v>
      </c>
      <c r="E35184" s="2">
        <v>3471896</v>
      </c>
      <c r="F35184" s="4" t="str">
        <f>IF(B35184=B35183,"",B35184)</f>
        <v>Aquidauana</v>
      </c>
    </row>
    <row r="35185" spans="1:6" ht="15.75" customHeight="1">
      <c r="A35185" s="16" t="str">
        <f ca="1">IFERROR(__xludf.DUMMYFUNCTION("GOOGLETRANSLATE(B36195,""en"",""pt"")"),"Aqtöbe")</f>
        <v>Aqtöbe</v>
      </c>
      <c r="B35185" s="20" t="s">
        <v>34497</v>
      </c>
      <c r="C35185" s="20" t="s">
        <v>16671</v>
      </c>
      <c r="D35185" s="20" t="s">
        <v>34497</v>
      </c>
      <c r="E35185" s="10">
        <v>610611</v>
      </c>
      <c r="F35185" s="4" t="str">
        <f>IF(B35185=B35184,"",B35185)</f>
        <v>Aqtöbe</v>
      </c>
    </row>
    <row r="35186" spans="1:6" ht="15.75" customHeight="1">
      <c r="A35186" s="15" t="s">
        <v>16685</v>
      </c>
      <c r="B35186" s="15" t="s">
        <v>16686</v>
      </c>
      <c r="C35186" s="15" t="s">
        <v>16671</v>
      </c>
      <c r="D35186" s="15" t="s">
        <v>16686</v>
      </c>
      <c r="E35186" s="2">
        <v>610611</v>
      </c>
      <c r="F35186" s="4" t="e">
        <f>IF(B35186=#REF!,"",B35186)</f>
        <v>#REF!</v>
      </c>
    </row>
    <row r="35187" spans="1:6" ht="15.75" customHeight="1">
      <c r="A35187" s="15" t="s">
        <v>16683</v>
      </c>
      <c r="B35187" s="15" t="s">
        <v>16683</v>
      </c>
      <c r="C35187" s="15" t="s">
        <v>16671</v>
      </c>
      <c r="D35187" s="15" t="s">
        <v>16684</v>
      </c>
      <c r="E35187" s="2">
        <v>610613</v>
      </c>
      <c r="F35187" s="4" t="e">
        <f>IF(B35187=#REF!,"",B35187)</f>
        <v>#REF!</v>
      </c>
    </row>
    <row r="35188" spans="1:6" ht="15.75" customHeight="1">
      <c r="A35188" s="15" t="s">
        <v>16638</v>
      </c>
      <c r="B35188" s="15" t="s">
        <v>16638</v>
      </c>
      <c r="C35188" s="15" t="s">
        <v>16624</v>
      </c>
      <c r="D35188" s="15" t="s">
        <v>16638</v>
      </c>
      <c r="E35188" s="2">
        <v>250774</v>
      </c>
      <c r="F35188" s="4" t="e">
        <f>IF(B35188=#REF!,"",B35188)</f>
        <v>#REF!</v>
      </c>
    </row>
    <row r="35189" spans="1:6" ht="15.75" customHeight="1">
      <c r="A35189" s="16" t="s">
        <v>1990</v>
      </c>
      <c r="B35189" s="15" t="s">
        <v>1991</v>
      </c>
      <c r="C35189" s="16" t="s">
        <v>1905</v>
      </c>
      <c r="D35189" s="16" t="s">
        <v>728</v>
      </c>
      <c r="E35189" s="2">
        <v>3471910</v>
      </c>
      <c r="F35189" s="4" t="e">
        <f>IF(B35189=#REF!,"",B35189)</f>
        <v>#REF!</v>
      </c>
    </row>
    <row r="35190" spans="1:6" ht="15.75" customHeight="1">
      <c r="A35190" s="16" t="s">
        <v>22145</v>
      </c>
      <c r="B35190" s="15" t="s">
        <v>22145</v>
      </c>
      <c r="C35190" s="16" t="s">
        <v>22070</v>
      </c>
      <c r="D35190" s="16" t="s">
        <v>22077</v>
      </c>
      <c r="E35190" s="2">
        <v>581313</v>
      </c>
      <c r="F35190" s="4" t="e">
        <f>IF(B35190=#REF!,"",B35190)</f>
        <v>#REF!</v>
      </c>
    </row>
    <row r="35191" spans="1:6" ht="15.75" customHeight="1">
      <c r="A35191" s="15" t="s">
        <v>14938</v>
      </c>
      <c r="B35191" s="15" t="s">
        <v>14938</v>
      </c>
      <c r="C35191" s="15" t="s">
        <v>14891</v>
      </c>
      <c r="D35191" s="15" t="s">
        <v>14904</v>
      </c>
      <c r="E35191" s="2">
        <v>3182957</v>
      </c>
      <c r="F35191" s="4" t="e">
        <f>IF(B35191=#REF!,"",B35191)</f>
        <v>#REF!</v>
      </c>
    </row>
    <row r="35192" spans="1:6" ht="15.75" customHeight="1">
      <c r="A35192" s="16" t="s">
        <v>22144</v>
      </c>
      <c r="B35192" s="15" t="s">
        <v>22144</v>
      </c>
      <c r="C35192" s="16" t="s">
        <v>22070</v>
      </c>
      <c r="D35192" s="16" t="s">
        <v>22119</v>
      </c>
      <c r="E35192" s="2">
        <v>581321</v>
      </c>
      <c r="F35192" s="4" t="e">
        <f>IF(B35192=#REF!,"",B35192)</f>
        <v>#REF!</v>
      </c>
    </row>
    <row r="35193" spans="1:6" ht="15.75" customHeight="1">
      <c r="A35193" s="15" t="s">
        <v>27889</v>
      </c>
      <c r="B35193" s="15" t="s">
        <v>27889</v>
      </c>
      <c r="C35193" s="15" t="s">
        <v>27788</v>
      </c>
      <c r="D35193" s="15" t="s">
        <v>27890</v>
      </c>
      <c r="E35193" s="2">
        <v>5244080</v>
      </c>
      <c r="F35193" s="4" t="e">
        <f>IF(B35193=#REF!,"",B35193)</f>
        <v>#REF!</v>
      </c>
    </row>
    <row r="35194" spans="1:6" ht="15.75" customHeight="1">
      <c r="A35194" s="16" t="s">
        <v>27887</v>
      </c>
      <c r="B35194" s="15" t="s">
        <v>27888</v>
      </c>
      <c r="C35194" s="16" t="s">
        <v>27788</v>
      </c>
      <c r="D35194" s="16" t="s">
        <v>27824</v>
      </c>
      <c r="E35194" s="2">
        <v>5016494</v>
      </c>
      <c r="F35194" s="4" t="e">
        <f>IF(B35194=#REF!,"",B35194)</f>
        <v>#REF!</v>
      </c>
    </row>
    <row r="35195" spans="1:6" ht="15.75" customHeight="1">
      <c r="A35195" s="16" t="s">
        <v>26876</v>
      </c>
      <c r="B35195" s="15" t="s">
        <v>26877</v>
      </c>
      <c r="C35195" s="16" t="s">
        <v>26870</v>
      </c>
      <c r="D35195" s="16" t="s">
        <v>26878</v>
      </c>
      <c r="E35195" s="2">
        <v>713245</v>
      </c>
      <c r="F35195" s="4" t="e">
        <f>IF(B35195=#REF!,"",B35195)</f>
        <v>#REF!</v>
      </c>
    </row>
    <row r="35196" spans="1:6" ht="15.75" customHeight="1">
      <c r="A35196" s="15" t="s">
        <v>27886</v>
      </c>
      <c r="B35196" s="15" t="s">
        <v>27886</v>
      </c>
      <c r="C35196" s="15" t="s">
        <v>27788</v>
      </c>
      <c r="D35196" s="15" t="s">
        <v>5468</v>
      </c>
      <c r="E35196" s="2">
        <v>4146166</v>
      </c>
      <c r="F35196" s="4" t="e">
        <f>IF(B35196=#REF!,"",B35196)</f>
        <v>#REF!</v>
      </c>
    </row>
    <row r="35197" spans="1:6" ht="15.75" customHeight="1">
      <c r="A35197" s="15" t="s">
        <v>6734</v>
      </c>
      <c r="B35197" s="15" t="s">
        <v>6734</v>
      </c>
      <c r="C35197" s="15" t="s">
        <v>6727</v>
      </c>
      <c r="D35197" s="15" t="s">
        <v>6729</v>
      </c>
      <c r="E35197" s="2">
        <v>3587345</v>
      </c>
      <c r="F35197" s="4" t="e">
        <f>IF(B35197=#REF!,"",B35197)</f>
        <v>#REF!</v>
      </c>
    </row>
    <row r="35198" spans="1:6" ht="15.75" customHeight="1">
      <c r="A35198" s="15" t="s">
        <v>19321</v>
      </c>
      <c r="B35198" s="15" t="s">
        <v>19321</v>
      </c>
      <c r="C35198" s="15" t="s">
        <v>19294</v>
      </c>
      <c r="D35198" s="15" t="s">
        <v>19322</v>
      </c>
      <c r="E35198" s="2">
        <v>2349558</v>
      </c>
      <c r="F35198" s="4" t="e">
        <f>IF(B35198=#REF!,"",B35198)</f>
        <v>#REF!</v>
      </c>
    </row>
    <row r="35199" spans="1:6" ht="15.75" customHeight="1">
      <c r="A35199" s="15" t="s">
        <v>8078</v>
      </c>
      <c r="B35199" s="15" t="s">
        <v>8079</v>
      </c>
      <c r="C35199" s="15" t="s">
        <v>8028</v>
      </c>
      <c r="D35199" s="15" t="s">
        <v>8054</v>
      </c>
      <c r="E35199" s="2">
        <v>2955770</v>
      </c>
      <c r="F35199" s="4" t="e">
        <f>IF(B35199=#REF!,"",B35199)</f>
        <v>#REF!</v>
      </c>
    </row>
    <row r="35200" spans="1:6" ht="15.75" customHeight="1">
      <c r="A35200" s="15" t="s">
        <v>1989</v>
      </c>
      <c r="B35200" s="15" t="s">
        <v>1989</v>
      </c>
      <c r="C35200" s="15" t="s">
        <v>1905</v>
      </c>
      <c r="D35200" s="15" t="s">
        <v>1922</v>
      </c>
      <c r="E35200" s="2">
        <v>3407440</v>
      </c>
      <c r="F35200" s="4" t="e">
        <f>IF(B35200=#REF!,"",B35200)</f>
        <v>#REF!</v>
      </c>
    </row>
    <row r="35201" spans="1:6" ht="15.75" customHeight="1">
      <c r="A35201" s="15" t="s">
        <v>17764</v>
      </c>
      <c r="B35201" s="15" t="s">
        <v>17764</v>
      </c>
      <c r="C35201" s="15" t="s">
        <v>17707</v>
      </c>
      <c r="D35201" s="15" t="s">
        <v>17739</v>
      </c>
      <c r="E35201" s="2">
        <v>4018390</v>
      </c>
      <c r="F35201" s="4" t="str">
        <f>IF(B35201=B35200,"",B35201)</f>
        <v>Apodaca</v>
      </c>
    </row>
    <row r="35202" spans="1:6" ht="15.75" customHeight="1">
      <c r="A35202" s="16" t="str">
        <f ca="1">IFERROR(__xludf.DUMMYFUNCTION("GOOGLETRANSLATE(B24105,""en"",""pt"")"),"Aplahoué")</f>
        <v>Aplahoué</v>
      </c>
      <c r="B35202" s="20" t="s">
        <v>1746</v>
      </c>
      <c r="C35202" s="20" t="s">
        <v>1741</v>
      </c>
      <c r="D35202" s="20" t="s">
        <v>1748</v>
      </c>
      <c r="E35202" s="10">
        <v>2395568</v>
      </c>
      <c r="F35202" s="4" t="str">
        <f>IF(B35202=B35201,"",B35202)</f>
        <v>Aplahoué</v>
      </c>
    </row>
    <row r="35203" spans="1:6" ht="15.75" customHeight="1">
      <c r="A35203" s="15" t="s">
        <v>1746</v>
      </c>
      <c r="B35203" s="15" t="s">
        <v>1747</v>
      </c>
      <c r="C35203" s="15" t="s">
        <v>1741</v>
      </c>
      <c r="D35203" s="15" t="s">
        <v>1748</v>
      </c>
      <c r="E35203" s="2">
        <v>2395568</v>
      </c>
      <c r="F35203" s="4" t="e">
        <f>IF(B35203=#REF!,"",B35203)</f>
        <v>#REF!</v>
      </c>
    </row>
    <row r="35204" spans="1:6" ht="15.75" customHeight="1">
      <c r="A35204" s="15" t="s">
        <v>17762</v>
      </c>
      <c r="B35204" s="15" t="s">
        <v>17762</v>
      </c>
      <c r="C35204" s="15" t="s">
        <v>17707</v>
      </c>
      <c r="D35204" s="15" t="s">
        <v>17763</v>
      </c>
      <c r="E35204" s="2">
        <v>3532792</v>
      </c>
      <c r="F35204" s="4" t="str">
        <f>IF(B35204=B35203,"",B35204)</f>
        <v>Apizaco</v>
      </c>
    </row>
    <row r="35205" spans="1:6" ht="15.75" customHeight="1">
      <c r="A35205" s="16" t="str">
        <f ca="1">IFERROR(__xludf.DUMMYFUNCTION("GOOGLETRANSLATE(B25275,""en"",""pt"")"),"Apiaí")</f>
        <v>Apiaí</v>
      </c>
      <c r="B35205" s="20" t="s">
        <v>31727</v>
      </c>
      <c r="C35205" s="20" t="s">
        <v>1905</v>
      </c>
      <c r="D35205" s="20" t="s">
        <v>3354</v>
      </c>
      <c r="E35205" s="10">
        <v>3471927</v>
      </c>
      <c r="F35205" s="4" t="str">
        <f>IF(B35205=B35204,"",B35205)</f>
        <v>Apiaí</v>
      </c>
    </row>
    <row r="35206" spans="1:6" ht="15.75" customHeight="1">
      <c r="A35206" s="15" t="s">
        <v>1987</v>
      </c>
      <c r="B35206" s="15" t="s">
        <v>1988</v>
      </c>
      <c r="C35206" s="15" t="s">
        <v>1905</v>
      </c>
      <c r="D35206" s="15" t="s">
        <v>1914</v>
      </c>
      <c r="E35206" s="2">
        <v>3471927</v>
      </c>
      <c r="F35206" s="4" t="e">
        <f>IF(B35206=#REF!,"",B35206)</f>
        <v>#REF!</v>
      </c>
    </row>
    <row r="35207" spans="1:6" ht="15.75" customHeight="1">
      <c r="A35207" s="15" t="s">
        <v>23443</v>
      </c>
      <c r="B35207" s="15" t="s">
        <v>23444</v>
      </c>
      <c r="C35207" s="15" t="s">
        <v>23445</v>
      </c>
      <c r="D35207" s="15" t="s">
        <v>23446</v>
      </c>
      <c r="E35207" s="2">
        <v>4035413</v>
      </c>
      <c r="F35207" s="4" t="e">
        <f>IF(B35207=#REF!,"",B35207)</f>
        <v>#REF!</v>
      </c>
    </row>
    <row r="35208" spans="1:6" ht="15.75" customHeight="1">
      <c r="A35208" s="15" t="s">
        <v>27884</v>
      </c>
      <c r="B35208" s="15" t="s">
        <v>27885</v>
      </c>
      <c r="C35208" s="15" t="s">
        <v>27788</v>
      </c>
      <c r="D35208" s="15" t="s">
        <v>27822</v>
      </c>
      <c r="E35208" s="2">
        <v>4452808</v>
      </c>
      <c r="F35208" s="4" t="e">
        <f>IF(B35208=#REF!,"",B35208)</f>
        <v>#REF!</v>
      </c>
    </row>
    <row r="35209" spans="1:6" ht="15.75" customHeight="1">
      <c r="A35209" s="16" t="s">
        <v>18884</v>
      </c>
      <c r="B35209" s="15" t="s">
        <v>18884</v>
      </c>
      <c r="C35209" s="16" t="s">
        <v>18862</v>
      </c>
      <c r="D35209" s="16" t="s">
        <v>18865</v>
      </c>
      <c r="E35209" s="2">
        <v>2759706</v>
      </c>
      <c r="F35209" s="4" t="str">
        <f>IF(B35209=B35208,"",B35209)</f>
        <v>Apeldoorn</v>
      </c>
    </row>
    <row r="35210" spans="1:6" ht="15.75" customHeight="1">
      <c r="A35210" s="16" t="str">
        <f ca="1">IFERROR(__xludf.DUMMYFUNCTION("GOOGLETRANSLATE(B37339,""en"",""pt"")"),"Apatzingán")</f>
        <v>Apatzingán</v>
      </c>
      <c r="B35210" s="20" t="s">
        <v>34782</v>
      </c>
      <c r="C35210" s="20" t="s">
        <v>17707</v>
      </c>
      <c r="D35210" s="20" t="s">
        <v>34727</v>
      </c>
      <c r="E35210" s="10">
        <v>4018400</v>
      </c>
      <c r="F35210" s="4" t="str">
        <f>IF(B35210=B35209,"",B35210)</f>
        <v>Apatzingán</v>
      </c>
    </row>
    <row r="35211" spans="1:6" ht="15.75" customHeight="1">
      <c r="A35211" s="15" t="s">
        <v>17759</v>
      </c>
      <c r="B35211" s="15" t="s">
        <v>17760</v>
      </c>
      <c r="C35211" s="15" t="s">
        <v>17707</v>
      </c>
      <c r="D35211" s="15" t="s">
        <v>17761</v>
      </c>
      <c r="E35211" s="2">
        <v>4018400</v>
      </c>
      <c r="F35211" s="4" t="e">
        <f>IF(B35211=#REF!,"",B35211)</f>
        <v>#REF!</v>
      </c>
    </row>
    <row r="35212" spans="1:6" ht="15.75" customHeight="1">
      <c r="A35212" s="16" t="s">
        <v>22141</v>
      </c>
      <c r="B35212" s="15" t="s">
        <v>22142</v>
      </c>
      <c r="C35212" s="16" t="s">
        <v>22070</v>
      </c>
      <c r="D35212" s="16" t="s">
        <v>22143</v>
      </c>
      <c r="E35212" s="2">
        <v>581357</v>
      </c>
      <c r="F35212" s="4" t="e">
        <f>IF(B35212=#REF!,"",B35212)</f>
        <v>#REF!</v>
      </c>
    </row>
    <row r="35213" spans="1:6" ht="15.75" customHeight="1">
      <c r="A35213" s="15" t="s">
        <v>23608</v>
      </c>
      <c r="B35213" s="15" t="s">
        <v>23609</v>
      </c>
      <c r="C35213" s="15" t="s">
        <v>23602</v>
      </c>
      <c r="D35213" s="15" t="s">
        <v>23610</v>
      </c>
      <c r="E35213" s="2">
        <v>3204793</v>
      </c>
      <c r="F35213" s="4" t="e">
        <f>IF(B35213=#REF!,"",B35213)</f>
        <v>#REF!</v>
      </c>
    </row>
    <row r="35214" spans="1:6" ht="15.75" customHeight="1">
      <c r="A35214" s="16" t="s">
        <v>17757</v>
      </c>
      <c r="B35214" s="15" t="s">
        <v>17758</v>
      </c>
      <c r="C35214" s="16" t="s">
        <v>17707</v>
      </c>
      <c r="D35214" s="16" t="s">
        <v>17713</v>
      </c>
      <c r="E35214" s="2">
        <v>4018403</v>
      </c>
      <c r="F35214" s="4" t="e">
        <f>IF(B35214=#REF!,"",B35214)</f>
        <v>#REF!</v>
      </c>
    </row>
    <row r="35215" spans="1:6" ht="15.75" customHeight="1">
      <c r="A35215" s="16" t="s">
        <v>17755</v>
      </c>
      <c r="B35215" s="15" t="s">
        <v>17756</v>
      </c>
      <c r="C35215" s="16" t="s">
        <v>17707</v>
      </c>
      <c r="D35215" s="16" t="s">
        <v>17713</v>
      </c>
      <c r="E35215" s="2">
        <v>4018404</v>
      </c>
      <c r="F35215" s="4" t="e">
        <f>IF(B35215=#REF!,"",B35215)</f>
        <v>#REF!</v>
      </c>
    </row>
    <row r="35216" spans="1:6" ht="15.75" customHeight="1">
      <c r="A35216" s="15" t="s">
        <v>20620</v>
      </c>
      <c r="B35216" s="15" t="s">
        <v>20621</v>
      </c>
      <c r="C35216" s="15" t="s">
        <v>20598</v>
      </c>
      <c r="D35216" s="15" t="s">
        <v>20622</v>
      </c>
      <c r="E35216" s="2">
        <v>10628881</v>
      </c>
      <c r="F35216" s="4" t="str">
        <f>IF(B35216=B35215,"",B35216)</f>
        <v>Apas</v>
      </c>
    </row>
    <row r="35217" spans="1:6" ht="15.75" customHeight="1">
      <c r="A35217" s="16" t="str">
        <f ca="1">IFERROR(__xludf.DUMMYFUNCTION("GOOGLETRANSLATE(B27046,""en"",""pt"")"),"Aparadó")</f>
        <v>Aparadó</v>
      </c>
      <c r="B35217" s="20" t="s">
        <v>31889</v>
      </c>
      <c r="C35217" s="20" t="s">
        <v>5348</v>
      </c>
      <c r="D35217" s="20" t="s">
        <v>5362</v>
      </c>
      <c r="E35217" s="10">
        <v>3689798</v>
      </c>
      <c r="F35217" s="4" t="str">
        <f>IF(B35217=B35216,"",B35217)</f>
        <v>Apartadó</v>
      </c>
    </row>
    <row r="35218" spans="1:6" ht="15.75" customHeight="1">
      <c r="A35218" s="15" t="s">
        <v>5365</v>
      </c>
      <c r="B35218" s="15" t="s">
        <v>5366</v>
      </c>
      <c r="C35218" s="15" t="s">
        <v>5348</v>
      </c>
      <c r="D35218" s="15" t="s">
        <v>5362</v>
      </c>
      <c r="E35218" s="2">
        <v>3689798</v>
      </c>
      <c r="F35218" s="4" t="e">
        <f>IF(B35218=#REF!,"",B35218)</f>
        <v>#REF!</v>
      </c>
    </row>
    <row r="35219" spans="1:6" ht="15.75" customHeight="1">
      <c r="A35219" s="15" t="s">
        <v>20619</v>
      </c>
      <c r="B35219" s="15" t="s">
        <v>20619</v>
      </c>
      <c r="C35219" s="15" t="s">
        <v>20598</v>
      </c>
      <c r="D35219" s="15" t="s">
        <v>20611</v>
      </c>
      <c r="E35219" s="2">
        <v>1730398</v>
      </c>
      <c r="F35219" s="4" t="e">
        <f>IF(B35219=#REF!,"",B35219)</f>
        <v>#REF!</v>
      </c>
    </row>
    <row r="35220" spans="1:6" ht="15.75" customHeight="1">
      <c r="A35220" s="16" t="s">
        <v>1985</v>
      </c>
      <c r="B35220" s="15" t="s">
        <v>1986</v>
      </c>
      <c r="C35220" s="16" t="s">
        <v>1905</v>
      </c>
      <c r="D35220" s="16" t="s">
        <v>1973</v>
      </c>
      <c r="E35220" s="2">
        <v>3471940</v>
      </c>
      <c r="F35220" s="4" t="str">
        <f>IF(B35220=B35219,"",B35220)</f>
        <v>Aparecida do Taboado</v>
      </c>
    </row>
    <row r="35221" spans="1:6" ht="15.75" customHeight="1">
      <c r="A35221" s="16" t="str">
        <f ca="1">IFERROR(__xludf.DUMMYFUNCTION("GOOGLETRANSLATE(B25332,""en"",""pt"")"),"Aparecida de Goiânia")</f>
        <v>Aparecida de Goiânia</v>
      </c>
      <c r="B35221" s="20" t="s">
        <v>31745</v>
      </c>
      <c r="C35221" s="20" t="s">
        <v>1905</v>
      </c>
      <c r="D35221" s="20" t="s">
        <v>31436</v>
      </c>
      <c r="E35221" s="10">
        <v>6316406</v>
      </c>
      <c r="F35221" s="4" t="str">
        <f>IF(B35221=B35220,"",B35221)</f>
        <v>Aparecida de Goiânia</v>
      </c>
    </row>
    <row r="35222" spans="1:6" ht="15.75" customHeight="1">
      <c r="A35222" s="16" t="s">
        <v>1983</v>
      </c>
      <c r="B35222" s="15" t="s">
        <v>1984</v>
      </c>
      <c r="C35222" s="16" t="s">
        <v>1905</v>
      </c>
      <c r="D35222" s="16" t="s">
        <v>1969</v>
      </c>
      <c r="E35222" s="2">
        <v>6316406</v>
      </c>
      <c r="F35222" s="4" t="e">
        <f>IF(B35222=#REF!,"",B35222)</f>
        <v>#REF!</v>
      </c>
    </row>
    <row r="35223" spans="1:6" ht="15.75" customHeight="1">
      <c r="A35223" s="16" t="s">
        <v>1982</v>
      </c>
      <c r="B35223" s="15" t="s">
        <v>1982</v>
      </c>
      <c r="C35223" s="16" t="s">
        <v>1905</v>
      </c>
      <c r="D35223" s="16" t="s">
        <v>1914</v>
      </c>
      <c r="E35223" s="2">
        <v>3471949</v>
      </c>
      <c r="F35223" s="4" t="e">
        <f>IF(B35223=#REF!,"",B35223)</f>
        <v>#REF!</v>
      </c>
    </row>
    <row r="35224" spans="1:6" ht="15.75" customHeight="1">
      <c r="A35224" s="16" t="s">
        <v>17753</v>
      </c>
      <c r="B35224" s="15" t="s">
        <v>17754</v>
      </c>
      <c r="C35224" s="16" t="s">
        <v>17707</v>
      </c>
      <c r="D35224" s="16" t="s">
        <v>17729</v>
      </c>
      <c r="E35224" s="2">
        <v>3532815</v>
      </c>
      <c r="F35224" s="4" t="e">
        <f>IF(B35224=#REF!,"",B35224)</f>
        <v>#REF!</v>
      </c>
    </row>
    <row r="35225" spans="1:6" ht="15.75" customHeight="1">
      <c r="A35225" s="15" t="s">
        <v>9376</v>
      </c>
      <c r="B35225" s="15" t="s">
        <v>9376</v>
      </c>
      <c r="C35225" s="15" t="s">
        <v>9365</v>
      </c>
      <c r="D35225" s="15" t="s">
        <v>1886</v>
      </c>
      <c r="E35225" s="2">
        <v>2304389</v>
      </c>
      <c r="F35225" s="4" t="e">
        <f>IF(B35225=#REF!,"",B35225)</f>
        <v>#REF!</v>
      </c>
    </row>
    <row r="35226" spans="1:6" ht="15.75" customHeight="1">
      <c r="A35226" s="15" t="s">
        <v>20618</v>
      </c>
      <c r="B35226" s="15" t="s">
        <v>20618</v>
      </c>
      <c r="C35226" s="15" t="s">
        <v>20598</v>
      </c>
      <c r="D35226" s="15" t="s">
        <v>20599</v>
      </c>
      <c r="E35226" s="2">
        <v>1730413</v>
      </c>
      <c r="F35226" s="4" t="e">
        <f>IF(B35226=#REF!,"",B35226)</f>
        <v>#REF!</v>
      </c>
    </row>
    <row r="35227" spans="1:6" ht="15.75" customHeight="1">
      <c r="A35227" s="16" t="s">
        <v>27883</v>
      </c>
      <c r="B35227" s="15" t="s">
        <v>27883</v>
      </c>
      <c r="C35227" s="16" t="s">
        <v>27788</v>
      </c>
      <c r="D35227" s="16" t="s">
        <v>27880</v>
      </c>
      <c r="E35227" s="2">
        <v>5551535</v>
      </c>
      <c r="F35227" s="4" t="e">
        <f>IF(B35227=#REF!,"",B35227)</f>
        <v>#REF!</v>
      </c>
    </row>
    <row r="35228" spans="1:6" ht="15.75" customHeight="1">
      <c r="A35228" s="15" t="s">
        <v>227</v>
      </c>
      <c r="B35228" s="15" t="s">
        <v>227</v>
      </c>
      <c r="C35228" s="15" t="s">
        <v>153</v>
      </c>
      <c r="D35228" s="15" t="s">
        <v>217</v>
      </c>
      <c r="E35228" s="2">
        <v>2506795</v>
      </c>
      <c r="F35228" s="4" t="e">
        <f>IF(B35228=#REF!,"",B35228)</f>
        <v>#REF!</v>
      </c>
    </row>
    <row r="35229" spans="1:6" ht="15.75" customHeight="1">
      <c r="A35229" s="15" t="s">
        <v>14936</v>
      </c>
      <c r="B35229" s="15" t="s">
        <v>14936</v>
      </c>
      <c r="C35229" s="15" t="s">
        <v>14891</v>
      </c>
      <c r="D35229" s="15" t="s">
        <v>14937</v>
      </c>
      <c r="E35229" s="2">
        <v>3182997</v>
      </c>
      <c r="F35229" s="4" t="e">
        <f>IF(B35229=#REF!,"",B35229)</f>
        <v>#REF!</v>
      </c>
    </row>
    <row r="35230" spans="1:6" ht="15.75" customHeight="1">
      <c r="A35230" s="15" t="s">
        <v>10371</v>
      </c>
      <c r="B35230" s="15" t="s">
        <v>10371</v>
      </c>
      <c r="C35230" s="15" t="s">
        <v>10178</v>
      </c>
      <c r="D35230" s="15" t="s">
        <v>10193</v>
      </c>
      <c r="E35230" s="2">
        <v>1278498</v>
      </c>
      <c r="F35230" s="4" t="e">
        <f>IF(B35230=#REF!,"",B35230)</f>
        <v>#REF!</v>
      </c>
    </row>
    <row r="35231" spans="1:6" ht="15.75" customHeight="1">
      <c r="A35231" s="16" t="s">
        <v>15814</v>
      </c>
      <c r="B35231" s="15" t="s">
        <v>15814</v>
      </c>
      <c r="C35231" s="16" t="s">
        <v>15704</v>
      </c>
      <c r="D35231" s="16" t="s">
        <v>15815</v>
      </c>
      <c r="E35231" s="2">
        <v>2130658</v>
      </c>
      <c r="F35231" s="4" t="e">
        <f>IF(B35231=#REF!,"",B35231)</f>
        <v>#REF!</v>
      </c>
    </row>
    <row r="35232" spans="1:6" ht="15.75" customHeight="1">
      <c r="A35232" s="15" t="s">
        <v>19598</v>
      </c>
      <c r="B35232" s="15" t="s">
        <v>19598</v>
      </c>
      <c r="C35232" s="15" t="s">
        <v>19589</v>
      </c>
      <c r="D35232" s="15" t="s">
        <v>19599</v>
      </c>
      <c r="E35232" s="2">
        <v>2045311</v>
      </c>
      <c r="F35232" s="4" t="e">
        <f>IF(B35232=#REF!,"",B35232)</f>
        <v>#REF!</v>
      </c>
    </row>
    <row r="35233" spans="1:6" ht="15.75" customHeight="1">
      <c r="A35233" s="15" t="s">
        <v>15810</v>
      </c>
      <c r="B35233" s="15" t="s">
        <v>15811</v>
      </c>
      <c r="C35233" s="15" t="s">
        <v>15704</v>
      </c>
      <c r="D35233" s="15" t="s">
        <v>15812</v>
      </c>
      <c r="E35233" s="2">
        <v>1853433</v>
      </c>
      <c r="F35233" s="4" t="str">
        <f>IF(B35233=B35232,"",B35233)</f>
        <v>ÅŒzu</v>
      </c>
    </row>
    <row r="35234" spans="1:6" ht="15.75" customHeight="1">
      <c r="A35234" s="15" t="s">
        <v>15807</v>
      </c>
      <c r="B35234" s="15" t="s">
        <v>15808</v>
      </c>
      <c r="C35234" s="15" t="s">
        <v>15704</v>
      </c>
      <c r="D35234" s="15" t="s">
        <v>15809</v>
      </c>
      <c r="E35234" s="2">
        <v>1853486</v>
      </c>
      <c r="F35234" s="4" t="str">
        <f>IF(B35234=B35233,"",B35234)</f>
        <v>ÅŒyama</v>
      </c>
    </row>
    <row r="35235" spans="1:6" ht="15.75" customHeight="1">
      <c r="A35235" s="15" t="s">
        <v>15804</v>
      </c>
      <c r="B35235" s="15" t="s">
        <v>15805</v>
      </c>
      <c r="C35235" s="15" t="s">
        <v>15704</v>
      </c>
      <c r="D35235" s="15" t="s">
        <v>15806</v>
      </c>
      <c r="E35235" s="2">
        <v>1853564</v>
      </c>
      <c r="F35235" s="4" t="str">
        <f>IF(B35235=B35234,"",B35235)</f>
        <v>ÅŒtsuki</v>
      </c>
    </row>
    <row r="35236" spans="1:6" ht="15.75" customHeight="1">
      <c r="A35236" s="15" t="s">
        <v>15802</v>
      </c>
      <c r="B35236" s="15" t="s">
        <v>15803</v>
      </c>
      <c r="C35236" s="15" t="s">
        <v>15704</v>
      </c>
      <c r="D35236" s="15" t="s">
        <v>15745</v>
      </c>
      <c r="E35236" s="2">
        <v>2111310</v>
      </c>
      <c r="F35236" s="4" t="str">
        <f>IF(B35236=B35235,"",B35236)</f>
        <v>ÅŒtsuchi</v>
      </c>
    </row>
    <row r="35237" spans="1:6" ht="15.75" customHeight="1">
      <c r="A35237" s="15" t="s">
        <v>15800</v>
      </c>
      <c r="B35237" s="15" t="s">
        <v>15801</v>
      </c>
      <c r="C35237" s="15" t="s">
        <v>15704</v>
      </c>
      <c r="D35237" s="15" t="s">
        <v>15779</v>
      </c>
      <c r="E35237" s="2">
        <v>1853574</v>
      </c>
      <c r="F35237" s="4" t="str">
        <f>IF(B35237=B35236,"",B35237)</f>
        <v>ÅŒtsu</v>
      </c>
    </row>
    <row r="35238" spans="1:6" ht="15.75" customHeight="1">
      <c r="A35238" s="16" t="s">
        <v>15797</v>
      </c>
      <c r="B35238" s="15" t="s">
        <v>15798</v>
      </c>
      <c r="C35238" s="16" t="s">
        <v>15704</v>
      </c>
      <c r="D35238" s="16" t="s">
        <v>15799</v>
      </c>
      <c r="E35238" s="2">
        <v>2111325</v>
      </c>
      <c r="F35238" s="4" t="str">
        <f>IF(B35238=B35237,"",B35238)</f>
        <v>ÅŒtawara</v>
      </c>
    </row>
    <row r="35239" spans="1:6" ht="15.75" customHeight="1">
      <c r="A35239" s="15" t="s">
        <v>15794</v>
      </c>
      <c r="B35239" s="15" t="s">
        <v>15795</v>
      </c>
      <c r="C35239" s="15" t="s">
        <v>15704</v>
      </c>
      <c r="D35239" s="15" t="s">
        <v>15796</v>
      </c>
      <c r="E35239" s="2">
        <v>1853662</v>
      </c>
      <c r="F35239" s="4" t="str">
        <f>IF(B35239=B35238,"",B35239)</f>
        <v>ÅŒtake</v>
      </c>
    </row>
    <row r="35240" spans="1:6" ht="15.75" customHeight="1">
      <c r="A35240" s="15" t="s">
        <v>15792</v>
      </c>
      <c r="B35240" s="15" t="s">
        <v>15793</v>
      </c>
      <c r="C35240" s="15" t="s">
        <v>15704</v>
      </c>
      <c r="D35240" s="15" t="s">
        <v>15731</v>
      </c>
      <c r="E35240" s="2">
        <v>1853677</v>
      </c>
      <c r="F35240" s="4" t="str">
        <f>IF(B35240=B35239,"",B35240)</f>
        <v>ÅŒta</v>
      </c>
    </row>
    <row r="35241" spans="1:6" ht="15.75" customHeight="1">
      <c r="A35241" s="15" t="s">
        <v>26325</v>
      </c>
      <c r="B35241" s="15" t="s">
        <v>26326</v>
      </c>
      <c r="C35241" s="15" t="s">
        <v>26201</v>
      </c>
      <c r="D35241" s="15" t="s">
        <v>26211</v>
      </c>
      <c r="E35241" s="2">
        <v>738329</v>
      </c>
      <c r="F35241" s="4" t="str">
        <f>IF(B35241=B35240,"",B35241)</f>
        <v>ÃœskÃ¼dar</v>
      </c>
    </row>
    <row r="35242" spans="1:6" ht="15.75" customHeight="1">
      <c r="A35242" s="15" t="s">
        <v>26322</v>
      </c>
      <c r="B35242" s="15" t="s">
        <v>26323</v>
      </c>
      <c r="C35242" s="15" t="s">
        <v>26201</v>
      </c>
      <c r="D35242" s="15" t="s">
        <v>26324</v>
      </c>
      <c r="E35242" s="2">
        <v>298326</v>
      </c>
      <c r="F35242" s="4" t="str">
        <f>IF(B35242=B35241,"",B35242)</f>
        <v>ÃœrgÃ¼p</v>
      </c>
    </row>
    <row r="35243" spans="1:6" ht="15.75" customHeight="1">
      <c r="A35243" s="15" t="s">
        <v>4512</v>
      </c>
      <c r="B35243" s="15" t="s">
        <v>4513</v>
      </c>
      <c r="C35243" s="15" t="s">
        <v>4487</v>
      </c>
      <c r="D35243" s="15" t="s">
        <v>4490</v>
      </c>
      <c r="E35243" s="2">
        <v>1529102</v>
      </c>
      <c r="F35243" s="4" t="str">
        <f>IF(B35243=B35242,"",B35243)</f>
        <v>ÃœrÃ¼mqi</v>
      </c>
    </row>
    <row r="35244" spans="1:6" ht="15.75" customHeight="1">
      <c r="A35244" s="15" t="s">
        <v>26319</v>
      </c>
      <c r="B35244" s="15" t="s">
        <v>26320</v>
      </c>
      <c r="C35244" s="15" t="s">
        <v>26201</v>
      </c>
      <c r="D35244" s="15" t="s">
        <v>26321</v>
      </c>
      <c r="E35244" s="2">
        <v>738349</v>
      </c>
      <c r="F35244" s="4" t="str">
        <f>IF(B35244=B35243,"",B35244)</f>
        <v>Ãœnye</v>
      </c>
    </row>
    <row r="35245" spans="1:6" ht="15.75" customHeight="1">
      <c r="A35245" s="15" t="s">
        <v>15790</v>
      </c>
      <c r="B35245" s="15" t="s">
        <v>15791</v>
      </c>
      <c r="C35245" s="15" t="s">
        <v>15704</v>
      </c>
      <c r="D35245" s="15" t="s">
        <v>15722</v>
      </c>
      <c r="E35245" s="2">
        <v>6822146</v>
      </c>
      <c r="F35245" s="4" t="str">
        <f>IF(B35245=B35244,"",B35245)</f>
        <v>ÅŒnojÅ</v>
      </c>
    </row>
    <row r="35246" spans="1:6" ht="15.75" customHeight="1">
      <c r="A35246" s="16" t="s">
        <v>15787</v>
      </c>
      <c r="B35246" s="15" t="s">
        <v>15788</v>
      </c>
      <c r="C35246" s="16" t="s">
        <v>15704</v>
      </c>
      <c r="D35246" s="16" t="s">
        <v>15789</v>
      </c>
      <c r="E35246" s="2">
        <v>1854028</v>
      </c>
      <c r="F35246" s="4" t="str">
        <f>IF(B35246=B35245,"",B35246)</f>
        <v>ÅŒno-hara</v>
      </c>
    </row>
    <row r="35247" spans="1:6" ht="15.75" customHeight="1">
      <c r="A35247" s="15" t="s">
        <v>15785</v>
      </c>
      <c r="B35247" s="15" t="s">
        <v>15786</v>
      </c>
      <c r="C35247" s="15" t="s">
        <v>15704</v>
      </c>
      <c r="D35247" s="15" t="s">
        <v>15722</v>
      </c>
      <c r="E35247" s="2">
        <v>1854083</v>
      </c>
      <c r="F35247" s="4" t="str">
        <f>IF(B35247=B35246,"",B35247)</f>
        <v>ÅŒmuta</v>
      </c>
    </row>
    <row r="35248" spans="1:6" ht="15.75" customHeight="1">
      <c r="A35248" s="15" t="s">
        <v>15782</v>
      </c>
      <c r="B35248" s="15" t="s">
        <v>15783</v>
      </c>
      <c r="C35248" s="15" t="s">
        <v>15704</v>
      </c>
      <c r="D35248" s="15" t="s">
        <v>15784</v>
      </c>
      <c r="E35248" s="2">
        <v>1854093</v>
      </c>
      <c r="F35248" s="4" t="str">
        <f>IF(B35248=B35247,"",B35248)</f>
        <v>ÅŒmura</v>
      </c>
    </row>
    <row r="35249" spans="1:6" ht="15.75" customHeight="1">
      <c r="A35249" s="15" t="s">
        <v>15780</v>
      </c>
      <c r="B35249" s="15" t="s">
        <v>15781</v>
      </c>
      <c r="C35249" s="15" t="s">
        <v>15704</v>
      </c>
      <c r="D35249" s="15" t="s">
        <v>15724</v>
      </c>
      <c r="E35249" s="2">
        <v>2111425</v>
      </c>
      <c r="F35249" s="4" t="str">
        <f>IF(B35249=B35248,"",B35249)</f>
        <v>ÅŒmiya</v>
      </c>
    </row>
    <row r="35250" spans="1:6" ht="15.75" customHeight="1">
      <c r="A35250" s="16" t="s">
        <v>15777</v>
      </c>
      <c r="B35250" s="15" t="s">
        <v>15778</v>
      </c>
      <c r="C35250" s="16" t="s">
        <v>15704</v>
      </c>
      <c r="D35250" s="16" t="s">
        <v>15779</v>
      </c>
      <c r="E35250" s="2">
        <v>1863451</v>
      </c>
      <c r="F35250" s="4" t="str">
        <f>IF(B35250=B35249,"",B35250)</f>
        <v>ÅŒmihachiman</v>
      </c>
    </row>
    <row r="35251" spans="1:6" ht="15.75" customHeight="1">
      <c r="A35251" s="15" t="s">
        <v>15774</v>
      </c>
      <c r="B35251" s="15" t="s">
        <v>15775</v>
      </c>
      <c r="C35251" s="15" t="s">
        <v>15704</v>
      </c>
      <c r="D35251" s="15" t="s">
        <v>15776</v>
      </c>
      <c r="E35251" s="2">
        <v>1854162</v>
      </c>
      <c r="F35251" s="4" t="str">
        <f>IF(B35251=B35250,"",B35251)</f>
        <v>ÅŒme</v>
      </c>
    </row>
    <row r="35252" spans="1:6" ht="15.75" customHeight="1">
      <c r="A35252" s="16" t="s">
        <v>15772</v>
      </c>
      <c r="B35252" s="15" t="s">
        <v>15773</v>
      </c>
      <c r="C35252" s="16" t="s">
        <v>15704</v>
      </c>
      <c r="D35252" s="16" t="s">
        <v>15731</v>
      </c>
      <c r="E35252" s="2">
        <v>1854177</v>
      </c>
      <c r="F35252" s="4" t="str">
        <f>IF(B35252=B35251,"",B35252)</f>
        <v>ÅŒmamachÅ-Åmama</v>
      </c>
    </row>
    <row r="35253" spans="1:6" ht="15.75" customHeight="1">
      <c r="A35253" s="16" t="s">
        <v>15770</v>
      </c>
      <c r="B35253" s="15" t="s">
        <v>15771</v>
      </c>
      <c r="C35253" s="16" t="s">
        <v>15704</v>
      </c>
      <c r="D35253" s="16" t="s">
        <v>15716</v>
      </c>
      <c r="E35253" s="2">
        <v>2111435</v>
      </c>
      <c r="F35253" s="4" t="str">
        <f>IF(B35253=B35252,"",B35253)</f>
        <v>ÅŒmagari</v>
      </c>
    </row>
    <row r="35254" spans="1:6" ht="15.75" customHeight="1">
      <c r="A35254" s="15" t="s">
        <v>15767</v>
      </c>
      <c r="B35254" s="15" t="s">
        <v>15768</v>
      </c>
      <c r="C35254" s="15" t="s">
        <v>15704</v>
      </c>
      <c r="D35254" s="15" t="s">
        <v>15769</v>
      </c>
      <c r="E35254" s="2">
        <v>1854186</v>
      </c>
      <c r="F35254" s="4" t="str">
        <f>IF(B35254=B35253,"",B35254)</f>
        <v>ÅŒmachi</v>
      </c>
    </row>
    <row r="35255" spans="1:6" ht="15.75" customHeight="1">
      <c r="A35255" s="16" t="s">
        <v>15765</v>
      </c>
      <c r="B35255" s="15" t="s">
        <v>15766</v>
      </c>
      <c r="C35255" s="16" t="s">
        <v>15704</v>
      </c>
      <c r="D35255" s="16" t="s">
        <v>15719</v>
      </c>
      <c r="E35255" s="2">
        <v>1854246</v>
      </c>
      <c r="F35255" s="4" t="str">
        <f>IF(B35255=B35254,"",B35255)</f>
        <v>ÅŒkuchi-shinohara</v>
      </c>
    </row>
    <row r="35256" spans="1:6" ht="15.75" customHeight="1">
      <c r="A35256" s="16" t="s">
        <v>15762</v>
      </c>
      <c r="B35256" s="15" t="s">
        <v>15763</v>
      </c>
      <c r="C35256" s="16" t="s">
        <v>15704</v>
      </c>
      <c r="D35256" s="16" t="s">
        <v>15764</v>
      </c>
      <c r="E35256" s="2">
        <v>2111461</v>
      </c>
      <c r="F35256" s="4" t="str">
        <f>IF(B35256=B35255,"",B35256)</f>
        <v>ÅŒkawara</v>
      </c>
    </row>
    <row r="35257" spans="1:6" ht="15.75" customHeight="1">
      <c r="A35257" s="15" t="s">
        <v>15759</v>
      </c>
      <c r="B35257" s="15" t="s">
        <v>15760</v>
      </c>
      <c r="C35257" s="15" t="s">
        <v>15704</v>
      </c>
      <c r="D35257" s="15" t="s">
        <v>15761</v>
      </c>
      <c r="E35257" s="2">
        <v>1854405</v>
      </c>
      <c r="F35257" s="4" t="str">
        <f>IF(B35257=B35256,"",B35257)</f>
        <v>ÅŒkawa</v>
      </c>
    </row>
    <row r="35258" spans="1:6" ht="15.75" customHeight="1">
      <c r="A35258" s="15" t="s">
        <v>15756</v>
      </c>
      <c r="B35258" s="15" t="s">
        <v>15757</v>
      </c>
      <c r="C35258" s="15" t="s">
        <v>15704</v>
      </c>
      <c r="D35258" s="15" t="s">
        <v>15758</v>
      </c>
      <c r="E35258" s="2">
        <v>1854487</v>
      </c>
      <c r="F35258" s="4" t="str">
        <f>IF(B35258=B35257,"",B35258)</f>
        <v>ÅŒita</v>
      </c>
    </row>
    <row r="35259" spans="1:6" ht="15.75" customHeight="1">
      <c r="A35259" s="15" t="s">
        <v>15753</v>
      </c>
      <c r="B35259" s="15" t="s">
        <v>15754</v>
      </c>
      <c r="C35259" s="15" t="s">
        <v>15704</v>
      </c>
      <c r="D35259" s="15" t="s">
        <v>15755</v>
      </c>
      <c r="E35259" s="2">
        <v>1854492</v>
      </c>
      <c r="F35259" s="4" t="str">
        <f>IF(B35259=B35258,"",B35259)</f>
        <v>ÅŒiso</v>
      </c>
    </row>
    <row r="35260" spans="1:6" ht="15.75" customHeight="1">
      <c r="A35260" s="15" t="s">
        <v>15751</v>
      </c>
      <c r="B35260" s="15" t="s">
        <v>15752</v>
      </c>
      <c r="C35260" s="15" t="s">
        <v>15704</v>
      </c>
      <c r="D35260" s="15" t="s">
        <v>15710</v>
      </c>
      <c r="E35260" s="2">
        <v>1854530</v>
      </c>
      <c r="F35260" s="4" t="str">
        <f>IF(B35260=B35259,"",B35260)</f>
        <v>ÅŒi</v>
      </c>
    </row>
    <row r="35261" spans="1:6" ht="15.75" customHeight="1">
      <c r="A35261" s="15" t="s">
        <v>15749</v>
      </c>
      <c r="B35261" s="15" t="s">
        <v>15750</v>
      </c>
      <c r="C35261" s="15" t="s">
        <v>15704</v>
      </c>
      <c r="D35261" s="15" t="s">
        <v>15707</v>
      </c>
      <c r="E35261" s="2">
        <v>2111495</v>
      </c>
      <c r="F35261" s="4" t="str">
        <f>IF(B35261=B35260,"",B35261)</f>
        <v>ÅŒhara</v>
      </c>
    </row>
    <row r="35262" spans="1:6" ht="15.75" customHeight="1">
      <c r="A35262" s="15" t="s">
        <v>15746</v>
      </c>
      <c r="B35262" s="15" t="s">
        <v>15747</v>
      </c>
      <c r="C35262" s="15" t="s">
        <v>15704</v>
      </c>
      <c r="D35262" s="15" t="s">
        <v>15748</v>
      </c>
      <c r="E35262" s="2">
        <v>1854703</v>
      </c>
      <c r="F35262" s="4" t="str">
        <f>IF(B35262=B35261,"",B35262)</f>
        <v>ÅŒgaki</v>
      </c>
    </row>
    <row r="35263" spans="1:6" ht="15.75" customHeight="1">
      <c r="A35263" s="16" t="s">
        <v>15743</v>
      </c>
      <c r="B35263" s="15" t="s">
        <v>15744</v>
      </c>
      <c r="C35263" s="16" t="s">
        <v>15704</v>
      </c>
      <c r="D35263" s="16" t="s">
        <v>15745</v>
      </c>
      <c r="E35263" s="2">
        <v>2111530</v>
      </c>
      <c r="F35263" s="4" t="str">
        <f>IF(B35263=B35262,"",B35263)</f>
        <v>ÅŒfunato</v>
      </c>
    </row>
    <row r="35264" spans="1:6" ht="15.75" customHeight="1">
      <c r="A35264" s="16" t="s">
        <v>5969</v>
      </c>
      <c r="B35264" s="15" t="s">
        <v>5970</v>
      </c>
      <c r="C35264" s="16" t="s">
        <v>5947</v>
      </c>
      <c r="D35264" s="16" t="s">
        <v>5971</v>
      </c>
      <c r="E35264" s="2">
        <v>3077882</v>
      </c>
      <c r="F35264" s="4" t="str">
        <f>IF(B35264=B35263,"",B35264)</f>
        <v>ÄŒeskÃ½ TÄ›Å¡Ã­n</v>
      </c>
    </row>
    <row r="35265" spans="1:6" ht="15.75" customHeight="1">
      <c r="A35265" s="16" t="s">
        <v>5966</v>
      </c>
      <c r="B35265" s="15" t="s">
        <v>5967</v>
      </c>
      <c r="C35265" s="16" t="s">
        <v>5947</v>
      </c>
      <c r="D35265" s="16" t="s">
        <v>5968</v>
      </c>
      <c r="E35265" s="2">
        <v>3077916</v>
      </c>
      <c r="F35265" s="4" t="str">
        <f>IF(B35265=B35264,"",B35265)</f>
        <v>ÄŒeskÃ© BudÄ›jovice</v>
      </c>
    </row>
    <row r="35266" spans="1:6" ht="15.75" customHeight="1">
      <c r="A35266" s="16" t="s">
        <v>5963</v>
      </c>
      <c r="B35266" s="15" t="s">
        <v>5964</v>
      </c>
      <c r="C35266" s="16" t="s">
        <v>5947</v>
      </c>
      <c r="D35266" s="16" t="s">
        <v>5965</v>
      </c>
      <c r="E35266" s="2">
        <v>3077920</v>
      </c>
      <c r="F35266" s="4" t="str">
        <f>IF(B35266=B35265,"",B35266)</f>
        <v>ÄŒeskÃ¡ TÅ™ebovÃ¡</v>
      </c>
    </row>
    <row r="35267" spans="1:6" ht="15.75" customHeight="1">
      <c r="A35267" s="15" t="s">
        <v>5960</v>
      </c>
      <c r="B35267" s="15" t="s">
        <v>5961</v>
      </c>
      <c r="C35267" s="15" t="s">
        <v>5947</v>
      </c>
      <c r="D35267" s="15" t="s">
        <v>5962</v>
      </c>
      <c r="E35267" s="2">
        <v>3077929</v>
      </c>
      <c r="F35267" s="4" t="str">
        <f>IF(B35267=B35266,"",B35267)</f>
        <v>ÄŒeskÃ¡ LÃ­pa</v>
      </c>
    </row>
    <row r="35268" spans="1:6" ht="15.75" customHeight="1">
      <c r="A35268" s="15" t="s">
        <v>5957</v>
      </c>
      <c r="B35268" s="15" t="s">
        <v>5958</v>
      </c>
      <c r="C35268" s="15" t="s">
        <v>5947</v>
      </c>
      <c r="D35268" s="15" t="s">
        <v>5959</v>
      </c>
      <c r="E35268" s="2">
        <v>6269470</v>
      </c>
      <c r="F35268" s="4" t="str">
        <f>IF(B35268=B35267,"",B35268)</f>
        <v>ÄŒernÃ½ Most</v>
      </c>
    </row>
    <row r="35269" spans="1:6" ht="15.75" customHeight="1">
      <c r="A35269" s="15" t="s">
        <v>15741</v>
      </c>
      <c r="B35269" s="15" t="s">
        <v>15742</v>
      </c>
      <c r="C35269" s="15" t="s">
        <v>15704</v>
      </c>
      <c r="D35269" s="15" t="s">
        <v>15716</v>
      </c>
      <c r="E35269" s="2">
        <v>2128787</v>
      </c>
      <c r="F35269" s="4" t="str">
        <f>IF(B35269=B35268,"",B35269)</f>
        <v>ÅŒdate</v>
      </c>
    </row>
    <row r="35270" spans="1:6" ht="15.75" customHeight="1">
      <c r="A35270" s="16" t="s">
        <v>15738</v>
      </c>
      <c r="B35270" s="15" t="s">
        <v>15739</v>
      </c>
      <c r="C35270" s="16" t="s">
        <v>15704</v>
      </c>
      <c r="D35270" s="16" t="s">
        <v>15740</v>
      </c>
      <c r="E35270" s="2">
        <v>1854774</v>
      </c>
      <c r="F35270" s="4" t="str">
        <f>IF(B35270=B35269,"",B35270)</f>
        <v>ÅŒdachÅ-Åda</v>
      </c>
    </row>
    <row r="35271" spans="1:6" ht="15.75" customHeight="1">
      <c r="A35271" s="15" t="s">
        <v>15736</v>
      </c>
      <c r="B35271" s="15" t="s">
        <v>15737</v>
      </c>
      <c r="C35271" s="15" t="s">
        <v>15704</v>
      </c>
      <c r="D35271" s="15" t="s">
        <v>15729</v>
      </c>
      <c r="E35271" s="2">
        <v>1854803</v>
      </c>
      <c r="F35271" s="4" t="str">
        <f>IF(B35271=B35270,"",B35271)</f>
        <v>ÅŒbu</v>
      </c>
    </row>
    <row r="35272" spans="1:6" ht="15.75" customHeight="1">
      <c r="A35272" s="16" t="s">
        <v>8076</v>
      </c>
      <c r="B35272" s="15" t="s">
        <v>8077</v>
      </c>
      <c r="C35272" s="16" t="s">
        <v>8028</v>
      </c>
      <c r="D35272" s="16" t="s">
        <v>8031</v>
      </c>
      <c r="E35272" s="2">
        <v>2820577</v>
      </c>
      <c r="F35272" s="4" t="str">
        <f>IF(B35272=B35271,"",B35272)</f>
        <v>Ãœberlingen</v>
      </c>
    </row>
    <row r="35273" spans="1:6" ht="15.75" customHeight="1">
      <c r="A35273" s="16" t="s">
        <v>8074</v>
      </c>
      <c r="B35273" s="15" t="s">
        <v>8075</v>
      </c>
      <c r="C35273" s="16" t="s">
        <v>8028</v>
      </c>
      <c r="D35273" s="16" t="s">
        <v>8029</v>
      </c>
      <c r="E35273" s="2">
        <v>2820621</v>
      </c>
      <c r="F35273" s="4" t="str">
        <f>IF(B35273=B35272,"",B35273)</f>
        <v>Ãœbach-Palenberg</v>
      </c>
    </row>
    <row r="35274" spans="1:6" ht="15.75" customHeight="1">
      <c r="A35274" s="15" t="s">
        <v>15734</v>
      </c>
      <c r="B35274" s="15" t="s">
        <v>15735</v>
      </c>
      <c r="C35274" s="15" t="s">
        <v>15704</v>
      </c>
      <c r="D35274" s="15" t="s">
        <v>15724</v>
      </c>
      <c r="E35274" s="2">
        <v>2111567</v>
      </c>
      <c r="F35274" s="4" t="str">
        <f>IF(B35274=B35273,"",B35274)</f>
        <v>ÅŒarai</v>
      </c>
    </row>
    <row r="35275" spans="1:6" ht="15.75" customHeight="1">
      <c r="A35275" s="15" t="s">
        <v>15732</v>
      </c>
      <c r="B35275" s="15" t="s">
        <v>15733</v>
      </c>
      <c r="C35275" s="15" t="s">
        <v>15704</v>
      </c>
      <c r="D35275" s="15" t="s">
        <v>15707</v>
      </c>
      <c r="E35275" s="2">
        <v>2111568</v>
      </c>
      <c r="F35275" s="4" t="str">
        <f>IF(B35275=B35274,"",B35275)</f>
        <v>ÅŒami</v>
      </c>
    </row>
    <row r="35276" spans="1:6" ht="15.75" customHeight="1">
      <c r="A35276" s="16" t="s">
        <v>5713</v>
      </c>
      <c r="B35276" s="15" t="s">
        <v>5714</v>
      </c>
      <c r="C35276" s="16" t="s">
        <v>5711</v>
      </c>
      <c r="D35276" s="16" t="s">
        <v>5715</v>
      </c>
      <c r="E35276" s="2">
        <v>3202888</v>
      </c>
      <c r="F35276" s="4" t="str">
        <f>IF(B35276=B35275,"",B35276)</f>
        <v>ÄŒakovec</v>
      </c>
    </row>
    <row r="35277" spans="1:6" ht="15.75" customHeight="1">
      <c r="A35277" s="15" t="s">
        <v>17223</v>
      </c>
      <c r="B35277" s="15" t="s">
        <v>17224</v>
      </c>
      <c r="C35277" s="15" t="s">
        <v>17221</v>
      </c>
      <c r="D35277" s="15" t="s">
        <v>17224</v>
      </c>
      <c r="E35277" s="2">
        <v>833262</v>
      </c>
      <c r="F35277" s="4" t="str">
        <f>IF(B35277=B35276,"",B35277)</f>
        <v>ÄŒair</v>
      </c>
    </row>
    <row r="35278" spans="1:6" ht="15.75" customHeight="1">
      <c r="A35278" s="15" t="s">
        <v>23698</v>
      </c>
      <c r="B35278" s="15" t="s">
        <v>23699</v>
      </c>
      <c r="C35278" s="15" t="s">
        <v>23694</v>
      </c>
      <c r="D35278" s="15" t="s">
        <v>23697</v>
      </c>
      <c r="E35278" s="2">
        <v>3060835</v>
      </c>
      <c r="F35278" s="4" t="str">
        <f>IF(B35278=B35277,"",B35278)</f>
        <v>ÄŒadca</v>
      </c>
    </row>
    <row r="35279" spans="1:6" ht="15.75" customHeight="1">
      <c r="A35279" s="15" t="s">
        <v>23606</v>
      </c>
      <c r="B35279" s="15" t="s">
        <v>23607</v>
      </c>
      <c r="C35279" s="15" t="s">
        <v>23602</v>
      </c>
      <c r="D35279" s="15" t="s">
        <v>23603</v>
      </c>
      <c r="E35279" s="2">
        <v>792078</v>
      </c>
      <c r="F35279" s="4" t="e">
        <f>IF(B35279=#REF!,"",B35279)</f>
        <v>#REF!</v>
      </c>
    </row>
    <row r="35280" spans="1:6" ht="15.75" customHeight="1">
      <c r="A35280" s="15" t="s">
        <v>14935</v>
      </c>
      <c r="B35280" s="15" t="s">
        <v>14935</v>
      </c>
      <c r="C35280" s="15" t="s">
        <v>14891</v>
      </c>
      <c r="D35280" s="15" t="s">
        <v>14904</v>
      </c>
      <c r="E35280" s="2">
        <v>3183005</v>
      </c>
      <c r="F35280" s="4" t="e">
        <f>IF(B35280=#REF!,"",B35280)</f>
        <v>#REF!</v>
      </c>
    </row>
    <row r="35281" spans="1:6" ht="15.75" customHeight="1">
      <c r="A35281" s="16" t="s">
        <v>22139</v>
      </c>
      <c r="B35281" s="15" t="s">
        <v>22139</v>
      </c>
      <c r="C35281" s="16" t="s">
        <v>22070</v>
      </c>
      <c r="D35281" s="16" t="s">
        <v>22140</v>
      </c>
      <c r="E35281" s="2">
        <v>1511494</v>
      </c>
      <c r="F35281" s="4" t="e">
        <f>IF(B35281=#REF!,"",B35281)</f>
        <v>#REF!</v>
      </c>
    </row>
    <row r="35282" spans="1:6" ht="15.75" customHeight="1">
      <c r="A35282" s="16" t="s">
        <v>24030</v>
      </c>
      <c r="B35282" s="15" t="s">
        <v>24031</v>
      </c>
      <c r="C35282" s="16" t="s">
        <v>24024</v>
      </c>
      <c r="D35282" s="16" t="s">
        <v>24028</v>
      </c>
      <c r="E35282" s="2">
        <v>1846898</v>
      </c>
      <c r="F35282" s="4" t="e">
        <f>IF(B35282=#REF!,"",B35282)</f>
        <v>#REF!</v>
      </c>
    </row>
    <row r="35283" spans="1:6" ht="15.75" customHeight="1">
      <c r="A35283" s="15" t="s">
        <v>4510</v>
      </c>
      <c r="B35283" s="15" t="s">
        <v>4510</v>
      </c>
      <c r="C35283" s="15" t="s">
        <v>4487</v>
      </c>
      <c r="D35283" s="15" t="s">
        <v>4511</v>
      </c>
      <c r="E35283" s="2">
        <v>1785294</v>
      </c>
      <c r="F35283" s="4" t="e">
        <f>IF(B35283=#REF!,"",B35283)</f>
        <v>#REF!</v>
      </c>
    </row>
    <row r="35284" spans="1:6" ht="15.75" customHeight="1">
      <c r="A35284" s="15" t="s">
        <v>15606</v>
      </c>
      <c r="B35284" s="15" t="s">
        <v>15606</v>
      </c>
      <c r="C35284" s="15" t="s">
        <v>15586</v>
      </c>
      <c r="D35284" s="15" t="s">
        <v>15589</v>
      </c>
      <c r="E35284" s="2">
        <v>2292852</v>
      </c>
      <c r="F35284" s="4" t="e">
        <f>IF(B35284=#REF!,"",B35284)</f>
        <v>#REF!</v>
      </c>
    </row>
    <row r="35285" spans="1:6" ht="15.75" customHeight="1">
      <c r="A35285" s="15" t="s">
        <v>4508</v>
      </c>
      <c r="B35285" s="15" t="s">
        <v>4509</v>
      </c>
      <c r="C35285" s="15" t="s">
        <v>4487</v>
      </c>
      <c r="D35285" s="15" t="s">
        <v>4495</v>
      </c>
      <c r="E35285" s="2">
        <v>1817952</v>
      </c>
      <c r="F35285" s="4" t="e">
        <f>IF(B35285=#REF!,"",B35285)</f>
        <v>#REF!</v>
      </c>
    </row>
    <row r="35286" spans="1:6" ht="15.75" customHeight="1">
      <c r="A35286" s="16" t="s">
        <v>24926</v>
      </c>
      <c r="B35286" s="15" t="s">
        <v>24926</v>
      </c>
      <c r="C35286" s="16" t="s">
        <v>24924</v>
      </c>
      <c r="D35286" s="16" t="s">
        <v>24927</v>
      </c>
      <c r="E35286" s="2">
        <v>1251081</v>
      </c>
      <c r="F35286" s="4" t="str">
        <f>IF(B35286=B35285,"",B35286)</f>
        <v>Anuradhapura</v>
      </c>
    </row>
    <row r="35287" spans="1:6" ht="15.75" customHeight="1">
      <c r="A35287" s="16" t="str">
        <f ca="1">IFERROR(__xludf.DUMMYFUNCTION("GOOGLETRANSLATE(B34086,""en"",""pt"")"),"Anūpsshahr")</f>
        <v>Anūpsshahr</v>
      </c>
      <c r="B35287" s="20" t="s">
        <v>34022</v>
      </c>
      <c r="C35287" s="20" t="s">
        <v>10178</v>
      </c>
      <c r="D35287" s="20" t="s">
        <v>10193</v>
      </c>
      <c r="E35287" s="10">
        <v>1278507</v>
      </c>
      <c r="F35287" s="4" t="str">
        <f>IF(B35287=B35286,"",B35287)</f>
        <v>Anūpshahr</v>
      </c>
    </row>
    <row r="35288" spans="1:6" ht="15.75" customHeight="1">
      <c r="A35288" s="16" t="str">
        <f ca="1">IFERROR(__xludf.DUMMYFUNCTION("GOOGLETRANSLATE(B34087,""en"",""pt"")"),"Anūppur")</f>
        <v>Anūppur</v>
      </c>
      <c r="B35288" s="20" t="s">
        <v>34023</v>
      </c>
      <c r="C35288" s="20" t="s">
        <v>10178</v>
      </c>
      <c r="D35288" s="20" t="s">
        <v>10219</v>
      </c>
      <c r="E35288" s="10">
        <v>1278508</v>
      </c>
      <c r="F35288" s="4" t="str">
        <f>IF(B35288=B35287,"",B35288)</f>
        <v>Anūppur</v>
      </c>
    </row>
    <row r="35289" spans="1:6" ht="15.75" customHeight="1">
      <c r="A35289" s="16" t="str">
        <f ca="1">IFERROR(__xludf.DUMMYFUNCTION("GOOGLETRANSLATE(B34088,""en"",""pt"")"),"Anūpgarh")</f>
        <v>Anūpgarh</v>
      </c>
      <c r="B35289" s="20" t="s">
        <v>34024</v>
      </c>
      <c r="C35289" s="20" t="s">
        <v>10178</v>
      </c>
      <c r="D35289" s="20" t="s">
        <v>10179</v>
      </c>
      <c r="E35289" s="10">
        <v>1278510</v>
      </c>
      <c r="F35289" s="4" t="e">
        <f>IF(B35289=#REF!,"",B35289)</f>
        <v>#REF!</v>
      </c>
    </row>
    <row r="35290" spans="1:6" ht="15.75" customHeight="1">
      <c r="A35290" s="16" t="s">
        <v>1520</v>
      </c>
      <c r="B35290" s="15" t="s">
        <v>1521</v>
      </c>
      <c r="C35290" s="16" t="s">
        <v>1512</v>
      </c>
      <c r="D35290" s="16" t="s">
        <v>1513</v>
      </c>
      <c r="E35290" s="2">
        <v>2803138</v>
      </c>
      <c r="F35290" s="4" t="e">
        <f>IF(B35290=#REF!,"",B35290)</f>
        <v>#REF!</v>
      </c>
    </row>
    <row r="35291" spans="1:6" ht="15.75" customHeight="1">
      <c r="A35291" s="16" t="s">
        <v>17338</v>
      </c>
      <c r="B35291" s="15" t="s">
        <v>17339</v>
      </c>
      <c r="C35291" s="16" t="s">
        <v>17292</v>
      </c>
      <c r="D35291" s="16" t="s">
        <v>17297</v>
      </c>
      <c r="E35291" s="2">
        <v>1068955</v>
      </c>
      <c r="F35291" s="4" t="e">
        <f>IF(B35291=#REF!,"",B35291)</f>
        <v>#REF!</v>
      </c>
    </row>
    <row r="35292" spans="1:6" ht="15.75" customHeight="1">
      <c r="A35292" s="16" t="s">
        <v>17337</v>
      </c>
      <c r="B35292" s="15" t="s">
        <v>17337</v>
      </c>
      <c r="C35292" s="16" t="s">
        <v>17292</v>
      </c>
      <c r="D35292" s="16" t="s">
        <v>3753</v>
      </c>
      <c r="E35292" s="2">
        <v>1068971</v>
      </c>
      <c r="F35292" s="4" t="e">
        <f>IF(B35292=#REF!,"",B35292)</f>
        <v>#REF!</v>
      </c>
    </row>
    <row r="35293" spans="1:6" ht="15.75" customHeight="1">
      <c r="A35293" s="16" t="s">
        <v>17336</v>
      </c>
      <c r="B35293" s="15" t="s">
        <v>17336</v>
      </c>
      <c r="C35293" s="16" t="s">
        <v>17292</v>
      </c>
      <c r="D35293" s="16" t="s">
        <v>17297</v>
      </c>
      <c r="E35293" s="2">
        <v>1069129</v>
      </c>
      <c r="F35293" s="4" t="e">
        <f>IF(B35293=#REF!,"",B35293)</f>
        <v>#REF!</v>
      </c>
    </row>
    <row r="35294" spans="1:6" ht="15.75" customHeight="1">
      <c r="A35294" s="15" t="s">
        <v>17335</v>
      </c>
      <c r="B35294" s="15" t="s">
        <v>17335</v>
      </c>
      <c r="C35294" s="15" t="s">
        <v>17292</v>
      </c>
      <c r="D35294" s="15" t="s">
        <v>17304</v>
      </c>
      <c r="E35294" s="2">
        <v>1069166</v>
      </c>
      <c r="F35294" s="4" t="e">
        <f>IF(B35294=#REF!,"",B35294)</f>
        <v>#REF!</v>
      </c>
    </row>
    <row r="35295" spans="1:6" ht="15.75" customHeight="1">
      <c r="A35295" s="15" t="s">
        <v>27258</v>
      </c>
      <c r="B35295" s="15" t="s">
        <v>27258</v>
      </c>
      <c r="C35295" s="15" t="s">
        <v>27234</v>
      </c>
      <c r="D35295" s="15" t="s">
        <v>27259</v>
      </c>
      <c r="E35295" s="2">
        <v>2657255</v>
      </c>
      <c r="F35295" s="4" t="e">
        <f>IF(B35295=#REF!,"",B35295)</f>
        <v>#REF!</v>
      </c>
    </row>
    <row r="35296" spans="1:6" ht="15.75" customHeight="1">
      <c r="A35296" s="15" t="s">
        <v>26875</v>
      </c>
      <c r="B35296" s="15" t="s">
        <v>26875</v>
      </c>
      <c r="C35296" s="15" t="s">
        <v>26870</v>
      </c>
      <c r="D35296" s="15" t="s">
        <v>26871</v>
      </c>
      <c r="E35296" s="2">
        <v>713259</v>
      </c>
      <c r="F35296" s="4" t="e">
        <f>IF(B35296=#REF!,"",B35296)</f>
        <v>#REF!</v>
      </c>
    </row>
    <row r="35297" spans="1:6" ht="15.75" customHeight="1">
      <c r="A35297" s="15" t="s">
        <v>7111</v>
      </c>
      <c r="B35297" s="15" t="s">
        <v>7111</v>
      </c>
      <c r="C35297" s="15" t="s">
        <v>7052</v>
      </c>
      <c r="D35297" s="15" t="s">
        <v>7058</v>
      </c>
      <c r="E35297" s="2">
        <v>3037423</v>
      </c>
      <c r="F35297" s="4" t="str">
        <f>IF(B35297=B35296,"",B35297)</f>
        <v>Antony</v>
      </c>
    </row>
    <row r="35298" spans="1:6" ht="15.75" customHeight="1">
      <c r="A35298" s="16" t="str">
        <f ca="1">IFERROR(__xludf.DUMMYFUNCTION("GOOGLETRANSLATE(B37563,""en"",""pt"")"),"António Enes")</f>
        <v>António Enes</v>
      </c>
      <c r="B35298" s="20" t="s">
        <v>34799</v>
      </c>
      <c r="C35298" s="20" t="s">
        <v>18655</v>
      </c>
      <c r="D35298" s="20" t="s">
        <v>18656</v>
      </c>
      <c r="E35298" s="10">
        <v>1052944</v>
      </c>
      <c r="F35298" s="4" t="e">
        <f>IF(B35298=#REF!,"",B35298)</f>
        <v>#REF!</v>
      </c>
    </row>
    <row r="35299" spans="1:6" ht="15.75" customHeight="1">
      <c r="A35299" s="15" t="s">
        <v>1981</v>
      </c>
      <c r="B35299" s="15" t="s">
        <v>1981</v>
      </c>
      <c r="C35299" s="15" t="s">
        <v>1905</v>
      </c>
      <c r="D35299" s="15" t="s">
        <v>728</v>
      </c>
      <c r="E35299" s="2">
        <v>3472048</v>
      </c>
      <c r="F35299" s="4" t="e">
        <f>IF(B35299=#REF!,"",B35299)</f>
        <v>#REF!</v>
      </c>
    </row>
    <row r="35300" spans="1:6" ht="15.75" customHeight="1">
      <c r="A35300" s="16" t="s">
        <v>4359</v>
      </c>
      <c r="B35300" s="15" t="s">
        <v>4359</v>
      </c>
      <c r="C35300" s="16" t="s">
        <v>4355</v>
      </c>
      <c r="D35300" s="16" t="s">
        <v>4359</v>
      </c>
      <c r="E35300" s="2">
        <v>3899539</v>
      </c>
      <c r="F35300" s="4" t="e">
        <f>IF(B35300=#REF!,"",B35300)</f>
        <v>#REF!</v>
      </c>
    </row>
    <row r="35301" spans="1:6" ht="15.75" customHeight="1">
      <c r="A35301" s="15" t="s">
        <v>20617</v>
      </c>
      <c r="B35301" s="15" t="s">
        <v>20617</v>
      </c>
      <c r="C35301" s="15" t="s">
        <v>20598</v>
      </c>
      <c r="D35301" s="15" t="s">
        <v>20608</v>
      </c>
      <c r="E35301" s="2">
        <v>1730501</v>
      </c>
      <c r="F35301" s="4" t="e">
        <f>IF(B35301=#REF!,"",B35301)</f>
        <v>#REF!</v>
      </c>
    </row>
    <row r="35302" spans="1:6" ht="15.75" customHeight="1">
      <c r="A35302" s="15" t="s">
        <v>27881</v>
      </c>
      <c r="B35302" s="15" t="s">
        <v>27882</v>
      </c>
      <c r="C35302" s="15" t="s">
        <v>27788</v>
      </c>
      <c r="D35302" s="15" t="s">
        <v>27801</v>
      </c>
      <c r="E35302" s="2">
        <v>5324200</v>
      </c>
      <c r="F35302" s="4" t="str">
        <f>IF(B35302=B35301,"",B35302)</f>
        <v>Antioch</v>
      </c>
    </row>
    <row r="35303" spans="1:6" ht="15.75" customHeight="1">
      <c r="A35303" s="16" t="str">
        <f ca="1">IFERROR(__xludf.DUMMYFUNCTION("GOOGLETRANSLATE(B41386,""en"",""pt"")"),"AntiGuo Cuscatlán")</f>
        <v>AntiGuo Cuscatlán</v>
      </c>
      <c r="B35303" s="20" t="s">
        <v>35720</v>
      </c>
      <c r="C35303" s="20" t="s">
        <v>6727</v>
      </c>
      <c r="D35303" s="20" t="s">
        <v>6435</v>
      </c>
      <c r="E35303" s="10">
        <v>3587362</v>
      </c>
      <c r="F35303" s="4" t="str">
        <f>IF(B35303=B35302,"",B35303)</f>
        <v>Antiguo Cuscatlán</v>
      </c>
    </row>
    <row r="35304" spans="1:6" ht="15.75" customHeight="1">
      <c r="A35304" s="16" t="s">
        <v>6732</v>
      </c>
      <c r="B35304" s="15" t="s">
        <v>6733</v>
      </c>
      <c r="C35304" s="16" t="s">
        <v>6727</v>
      </c>
      <c r="D35304" s="16" t="s">
        <v>6435</v>
      </c>
      <c r="E35304" s="2">
        <v>3587362</v>
      </c>
      <c r="F35304" s="4" t="e">
        <f>IF(B35304=#REF!,"",B35304)</f>
        <v>#REF!</v>
      </c>
    </row>
    <row r="35305" spans="1:6" ht="15.75" customHeight="1">
      <c r="A35305" s="16" t="s">
        <v>9704</v>
      </c>
      <c r="B35305" s="15" t="s">
        <v>9705</v>
      </c>
      <c r="C35305" s="16" t="s">
        <v>9700</v>
      </c>
      <c r="D35305" s="16" t="s">
        <v>9701</v>
      </c>
      <c r="E35305" s="2">
        <v>3599699</v>
      </c>
      <c r="F35305" s="4" t="e">
        <f>IF(B35305=#REF!,"",B35305)</f>
        <v>#REF!</v>
      </c>
    </row>
    <row r="35306" spans="1:6" ht="15.75" customHeight="1">
      <c r="A35306" s="15" t="s">
        <v>7110</v>
      </c>
      <c r="B35306" s="15" t="s">
        <v>7110</v>
      </c>
      <c r="C35306" s="15" t="s">
        <v>7052</v>
      </c>
      <c r="D35306" s="15" t="s">
        <v>7087</v>
      </c>
      <c r="E35306" s="2">
        <v>3037456</v>
      </c>
      <c r="F35306" s="4" t="e">
        <f>IF(B35306=#REF!,"",B35306)</f>
        <v>#REF!</v>
      </c>
    </row>
    <row r="35307" spans="1:6" ht="15.75" customHeight="1">
      <c r="A35307" s="15" t="s">
        <v>10370</v>
      </c>
      <c r="B35307" s="15" t="s">
        <v>10370</v>
      </c>
      <c r="C35307" s="15" t="s">
        <v>10178</v>
      </c>
      <c r="D35307" s="15" t="s">
        <v>10196</v>
      </c>
      <c r="E35307" s="2">
        <v>1278622</v>
      </c>
      <c r="F35307" s="4" t="e">
        <f>IF(B35307=#REF!,"",B35307)</f>
        <v>#REF!</v>
      </c>
    </row>
    <row r="35308" spans="1:6" ht="15.75" customHeight="1">
      <c r="A35308" s="15" t="s">
        <v>15957</v>
      </c>
      <c r="B35308" s="15" t="s">
        <v>27879</v>
      </c>
      <c r="C35308" s="15" t="s">
        <v>27788</v>
      </c>
      <c r="D35308" s="15" t="s">
        <v>27880</v>
      </c>
      <c r="E35308" s="2">
        <v>5551498</v>
      </c>
      <c r="F35308" s="4" t="e">
        <f>IF(B35308=#REF!,"",B35308)</f>
        <v>#REF!</v>
      </c>
    </row>
    <row r="35309" spans="1:6" ht="15.75" customHeight="1">
      <c r="A35309" s="16" t="s">
        <v>24280</v>
      </c>
      <c r="B35309" s="15" t="s">
        <v>24280</v>
      </c>
      <c r="C35309" s="16" t="s">
        <v>24200</v>
      </c>
      <c r="D35309" s="16" t="s">
        <v>24205</v>
      </c>
      <c r="E35309" s="2">
        <v>2521710</v>
      </c>
      <c r="F35309" s="4" t="e">
        <f>IF(B35309=#REF!,"",B35309)</f>
        <v>#REF!</v>
      </c>
    </row>
    <row r="35310" spans="1:6" ht="15.75" customHeight="1">
      <c r="A35310" s="15" t="s">
        <v>27877</v>
      </c>
      <c r="B35310" s="15" t="s">
        <v>27878</v>
      </c>
      <c r="C35310" s="15" t="s">
        <v>27788</v>
      </c>
      <c r="D35310" s="15" t="s">
        <v>27801</v>
      </c>
      <c r="E35310" s="2">
        <v>5324105</v>
      </c>
      <c r="F35310" s="4" t="e">
        <f>IF(B35310=#REF!,"",B35310)</f>
        <v>#REF!</v>
      </c>
    </row>
    <row r="35311" spans="1:6" ht="15.75" customHeight="1">
      <c r="A35311" s="16" t="s">
        <v>17333</v>
      </c>
      <c r="B35311" s="15" t="s">
        <v>17334</v>
      </c>
      <c r="C35311" s="16" t="s">
        <v>17292</v>
      </c>
      <c r="D35311" s="16" t="s">
        <v>17304</v>
      </c>
      <c r="E35311" s="2">
        <v>1070661</v>
      </c>
      <c r="F35311" s="4" t="e">
        <f>IF(B35311=#REF!,"",B35311)</f>
        <v>#REF!</v>
      </c>
    </row>
    <row r="35312" spans="1:6" ht="15.75" customHeight="1">
      <c r="A35312" s="16" t="s">
        <v>17332</v>
      </c>
      <c r="B35312" s="15" t="s">
        <v>17332</v>
      </c>
      <c r="C35312" s="16" t="s">
        <v>17292</v>
      </c>
      <c r="D35312" s="16" t="s">
        <v>17293</v>
      </c>
      <c r="E35312" s="2">
        <v>1070940</v>
      </c>
      <c r="F35312" s="4" t="e">
        <f>IF(B35312=#REF!,"",B35312)</f>
        <v>#REF!</v>
      </c>
    </row>
    <row r="35313" spans="1:6" ht="15.75" customHeight="1">
      <c r="A35313" s="15" t="s">
        <v>26308</v>
      </c>
      <c r="B35313" s="15" t="s">
        <v>26308</v>
      </c>
      <c r="C35313" s="15" t="s">
        <v>26201</v>
      </c>
      <c r="D35313" s="15" t="s">
        <v>26308</v>
      </c>
      <c r="E35313" s="2">
        <v>323777</v>
      </c>
      <c r="F35313" s="4" t="e">
        <f>IF(B35313=#REF!,"",B35313)</f>
        <v>#REF!</v>
      </c>
    </row>
    <row r="35314" spans="1:6" ht="15.75" customHeight="1">
      <c r="A35314" s="15" t="s">
        <v>17331</v>
      </c>
      <c r="B35314" s="15" t="s">
        <v>17331</v>
      </c>
      <c r="C35314" s="15" t="s">
        <v>17292</v>
      </c>
      <c r="D35314" s="15" t="s">
        <v>1486</v>
      </c>
      <c r="E35314" s="2">
        <v>1071296</v>
      </c>
      <c r="F35314" s="4" t="e">
        <f>IF(B35314=#REF!,"",B35314)</f>
        <v>#REF!</v>
      </c>
    </row>
    <row r="35315" spans="1:6" ht="15.75" customHeight="1">
      <c r="A35315" s="15" t="s">
        <v>26317</v>
      </c>
      <c r="B35315" s="15" t="s">
        <v>26317</v>
      </c>
      <c r="C35315" s="15" t="s">
        <v>26201</v>
      </c>
      <c r="D35315" s="15" t="s">
        <v>26318</v>
      </c>
      <c r="E35315" s="2">
        <v>323779</v>
      </c>
      <c r="F35315" s="4" t="str">
        <f>IF(B35315=B35314,"",B35315)</f>
        <v>Antakya</v>
      </c>
    </row>
    <row r="35316" spans="1:6" ht="15.75" customHeight="1">
      <c r="A35316" s="16" t="s">
        <v>18653</v>
      </c>
      <c r="B35316" s="15" t="s">
        <v>18654</v>
      </c>
      <c r="C35316" s="16" t="s">
        <v>18655</v>
      </c>
      <c r="D35316" s="16" t="s">
        <v>18656</v>
      </c>
      <c r="E35316" s="2">
        <v>1052944</v>
      </c>
      <c r="F35316" s="4" t="e">
        <f>IF(B35316=#REF!,"",B35316)</f>
        <v>#REF!</v>
      </c>
    </row>
    <row r="35317" spans="1:6" ht="15.75" customHeight="1">
      <c r="A35317" s="15" t="s">
        <v>10369</v>
      </c>
      <c r="B35317" s="15" t="s">
        <v>10369</v>
      </c>
      <c r="C35317" s="15" t="s">
        <v>10178</v>
      </c>
      <c r="D35317" s="15" t="s">
        <v>10179</v>
      </c>
      <c r="E35317" s="2">
        <v>1278532</v>
      </c>
      <c r="F35317" s="4" t="e">
        <f>IF(B35317=#REF!,"",B35317)</f>
        <v>#REF!</v>
      </c>
    </row>
    <row r="35318" spans="1:6" ht="15.75" customHeight="1">
      <c r="A35318" s="15" t="s">
        <v>27875</v>
      </c>
      <c r="B35318" s="15" t="s">
        <v>27875</v>
      </c>
      <c r="C35318" s="15" t="s">
        <v>27788</v>
      </c>
      <c r="D35318" s="15" t="s">
        <v>27876</v>
      </c>
      <c r="E35318" s="2">
        <v>5281551</v>
      </c>
      <c r="F35318" s="4" t="e">
        <f>IF(B35318=#REF!,"",B35318)</f>
        <v>#REF!</v>
      </c>
    </row>
    <row r="35319" spans="1:6" ht="15.75" customHeight="1">
      <c r="A35319" s="15" t="s">
        <v>4506</v>
      </c>
      <c r="B35319" s="15" t="s">
        <v>4506</v>
      </c>
      <c r="C35319" s="15" t="s">
        <v>4487</v>
      </c>
      <c r="D35319" s="15" t="s">
        <v>4507</v>
      </c>
      <c r="E35319" s="2">
        <v>1817968</v>
      </c>
      <c r="F35319" s="4" t="e">
        <f>IF(B35319=#REF!,"",B35319)</f>
        <v>#REF!</v>
      </c>
    </row>
    <row r="35320" spans="1:6" ht="15.75" customHeight="1">
      <c r="A35320" s="15" t="s">
        <v>10368</v>
      </c>
      <c r="B35320" s="15" t="s">
        <v>10368</v>
      </c>
      <c r="C35320" s="15" t="s">
        <v>10178</v>
      </c>
      <c r="D35320" s="15" t="s">
        <v>10214</v>
      </c>
      <c r="E35320" s="2">
        <v>1278534</v>
      </c>
      <c r="F35320" s="4" t="e">
        <f>IF(B35320=#REF!,"",B35320)</f>
        <v>#REF!</v>
      </c>
    </row>
    <row r="35321" spans="1:6" ht="15.75" customHeight="1">
      <c r="A35321" s="15" t="s">
        <v>4504</v>
      </c>
      <c r="B35321" s="15" t="s">
        <v>4504</v>
      </c>
      <c r="C35321" s="15" t="s">
        <v>4487</v>
      </c>
      <c r="D35321" s="15" t="s">
        <v>4505</v>
      </c>
      <c r="E35321" s="2">
        <v>2038632</v>
      </c>
      <c r="F35321" s="4" t="e">
        <f>IF(B35321=#REF!,"",B35321)</f>
        <v>#REF!</v>
      </c>
    </row>
    <row r="35322" spans="1:6" ht="15.75" customHeight="1">
      <c r="A35322" s="16" t="s">
        <v>1119</v>
      </c>
      <c r="B35322" s="15" t="s">
        <v>1119</v>
      </c>
      <c r="C35322" s="16" t="s">
        <v>1117</v>
      </c>
      <c r="D35322" s="16" t="s">
        <v>1120</v>
      </c>
      <c r="E35322" s="2">
        <v>3323063</v>
      </c>
      <c r="F35322" s="4" t="e">
        <f>IF(B35322=#REF!,"",B35322)</f>
        <v>#REF!</v>
      </c>
    </row>
    <row r="35323" spans="1:6" ht="15.75" customHeight="1">
      <c r="A35323" s="15" t="s">
        <v>5363</v>
      </c>
      <c r="B35323" s="15" t="s">
        <v>5363</v>
      </c>
      <c r="C35323" s="15" t="s">
        <v>5348</v>
      </c>
      <c r="D35323" s="15" t="s">
        <v>5364</v>
      </c>
      <c r="E35323" s="2">
        <v>3689833</v>
      </c>
      <c r="F35323" s="4" t="e">
        <f>IF(B35323=#REF!,"",B35323)</f>
        <v>#REF!</v>
      </c>
    </row>
    <row r="35324" spans="1:6" ht="15.75" customHeight="1">
      <c r="A35324" s="15" t="s">
        <v>24029</v>
      </c>
      <c r="B35324" s="15" t="s">
        <v>24029</v>
      </c>
      <c r="C35324" s="15" t="s">
        <v>24024</v>
      </c>
      <c r="D35324" s="15" t="s">
        <v>24028</v>
      </c>
      <c r="E35324" s="2">
        <v>1846912</v>
      </c>
      <c r="F35324" s="4" t="e">
        <f>IF(B35324=#REF!,"",B35324)</f>
        <v>#REF!</v>
      </c>
    </row>
    <row r="35325" spans="1:6" ht="15.75" customHeight="1">
      <c r="A35325" s="15" t="s">
        <v>8073</v>
      </c>
      <c r="B35325" s="15" t="s">
        <v>8073</v>
      </c>
      <c r="C35325" s="15" t="s">
        <v>8028</v>
      </c>
      <c r="D35325" s="15" t="s">
        <v>8044</v>
      </c>
      <c r="E35325" s="2">
        <v>2955936</v>
      </c>
      <c r="F35325" s="4" t="e">
        <f>IF(B35325=#REF!,"",B35325)</f>
        <v>#REF!</v>
      </c>
    </row>
    <row r="35326" spans="1:6" ht="15.75" customHeight="1">
      <c r="A35326" s="15" t="s">
        <v>24026</v>
      </c>
      <c r="B35326" s="15" t="s">
        <v>24027</v>
      </c>
      <c r="C35326" s="15" t="s">
        <v>24024</v>
      </c>
      <c r="D35326" s="15" t="s">
        <v>24028</v>
      </c>
      <c r="E35326" s="2">
        <v>1846918</v>
      </c>
      <c r="F35326" s="4" t="e">
        <f>IF(B35326=#REF!,"",B35326)</f>
        <v>#REF!</v>
      </c>
    </row>
    <row r="35327" spans="1:6" ht="15.75" customHeight="1">
      <c r="A35327" s="15" t="s">
        <v>1519</v>
      </c>
      <c r="B35327" s="15" t="s">
        <v>1519</v>
      </c>
      <c r="C35327" s="15" t="s">
        <v>1512</v>
      </c>
      <c r="D35327" s="15" t="s">
        <v>1518</v>
      </c>
      <c r="E35327" s="2">
        <v>2803160</v>
      </c>
      <c r="F35327" s="4" t="e">
        <f>IF(B35327=#REF!,"",B35327)</f>
        <v>#REF!</v>
      </c>
    </row>
    <row r="35328" spans="1:6" ht="15.75" customHeight="1">
      <c r="A35328" s="15" t="s">
        <v>4502</v>
      </c>
      <c r="B35328" s="15" t="s">
        <v>4502</v>
      </c>
      <c r="C35328" s="15" t="s">
        <v>4487</v>
      </c>
      <c r="D35328" s="15" t="s">
        <v>4503</v>
      </c>
      <c r="E35328" s="2">
        <v>1817990</v>
      </c>
      <c r="F35328" s="4" t="e">
        <f>IF(B35328=#REF!,"",B35328)</f>
        <v>#REF!</v>
      </c>
    </row>
    <row r="35329" spans="1:6" ht="15.75" customHeight="1">
      <c r="A35329" s="15" t="s">
        <v>4500</v>
      </c>
      <c r="B35329" s="15" t="s">
        <v>4500</v>
      </c>
      <c r="C35329" s="15" t="s">
        <v>4487</v>
      </c>
      <c r="D35329" s="15" t="s">
        <v>4501</v>
      </c>
      <c r="E35329" s="2">
        <v>1817993</v>
      </c>
      <c r="F35329" s="4" t="e">
        <f>IF(B35329=#REF!,"",B35329)</f>
        <v>#REF!</v>
      </c>
    </row>
    <row r="35330" spans="1:6" ht="15.75" customHeight="1">
      <c r="A35330" s="15" t="s">
        <v>27874</v>
      </c>
      <c r="B35330" s="15" t="s">
        <v>27874</v>
      </c>
      <c r="C35330" s="15" t="s">
        <v>27788</v>
      </c>
      <c r="D35330" s="15" t="s">
        <v>27824</v>
      </c>
      <c r="E35330" s="2">
        <v>5016450</v>
      </c>
      <c r="F35330" s="4" t="str">
        <f>IF(B35330=B35329,"",B35330)</f>
        <v>Anoka</v>
      </c>
    </row>
    <row r="35331" spans="1:6" ht="15.75" customHeight="1">
      <c r="A35331" s="16" t="str">
        <f ca="1">IFERROR(__xludf.DUMMYFUNCTION("GOOGLETRANSLATE(B31020,""en"",""pt"")"),"Áno Liósia")</f>
        <v>Áno Liósia</v>
      </c>
      <c r="B35331" s="20" t="s">
        <v>32726</v>
      </c>
      <c r="C35331" s="20" t="s">
        <v>9441</v>
      </c>
      <c r="D35331" s="20" t="s">
        <v>9445</v>
      </c>
      <c r="E35331" s="10">
        <v>264888</v>
      </c>
      <c r="F35331" s="4" t="e">
        <f>IF(B35331=#REF!,"",B35331)</f>
        <v>#REF!</v>
      </c>
    </row>
    <row r="35332" spans="1:6" ht="15.75" customHeight="1">
      <c r="A35332" s="15" t="s">
        <v>10367</v>
      </c>
      <c r="B35332" s="15" t="s">
        <v>10367</v>
      </c>
      <c r="C35332" s="15" t="s">
        <v>10178</v>
      </c>
      <c r="D35332" s="15" t="s">
        <v>10196</v>
      </c>
      <c r="E35332" s="2">
        <v>1278539</v>
      </c>
      <c r="F35332" s="4" t="e">
        <f>IF(B35332=#REF!,"",B35332)</f>
        <v>#REF!</v>
      </c>
    </row>
    <row r="35333" spans="1:6" ht="15.75" customHeight="1">
      <c r="A35333" s="15" t="s">
        <v>7109</v>
      </c>
      <c r="B35333" s="15" t="s">
        <v>7109</v>
      </c>
      <c r="C35333" s="15" t="s">
        <v>7052</v>
      </c>
      <c r="D35333" s="15" t="s">
        <v>7053</v>
      </c>
      <c r="E35333" s="2">
        <v>3037514</v>
      </c>
      <c r="F35333" s="4" t="e">
        <f>IF(B35333=#REF!,"",B35333)</f>
        <v>#REF!</v>
      </c>
    </row>
    <row r="35334" spans="1:6" ht="15.75" customHeight="1">
      <c r="A35334" s="15" t="s">
        <v>22138</v>
      </c>
      <c r="B35334" s="15" t="s">
        <v>22138</v>
      </c>
      <c r="C35334" s="15" t="s">
        <v>22070</v>
      </c>
      <c r="D35334" s="15" t="s">
        <v>22127</v>
      </c>
      <c r="E35334" s="2">
        <v>506117</v>
      </c>
      <c r="F35334" s="4" t="e">
        <f>IF(B35334=#REF!,"",B35334)</f>
        <v>#REF!</v>
      </c>
    </row>
    <row r="35335" spans="1:6" ht="15.75" customHeight="1">
      <c r="A35335" s="15" t="s">
        <v>10366</v>
      </c>
      <c r="B35335" s="15" t="s">
        <v>10366</v>
      </c>
      <c r="C35335" s="15" t="s">
        <v>10178</v>
      </c>
      <c r="D35335" s="15" t="s">
        <v>10252</v>
      </c>
      <c r="E35335" s="2">
        <v>1278540</v>
      </c>
      <c r="F35335" s="4" t="e">
        <f>IF(B35335=#REF!,"",B35335)</f>
        <v>#REF!</v>
      </c>
    </row>
    <row r="35336" spans="1:6" ht="15.75" customHeight="1">
      <c r="A35336" s="16" t="s">
        <v>7108</v>
      </c>
      <c r="B35336" s="15" t="s">
        <v>7108</v>
      </c>
      <c r="C35336" s="16" t="s">
        <v>7052</v>
      </c>
      <c r="D35336" s="16" t="s">
        <v>7053</v>
      </c>
      <c r="E35336" s="2">
        <v>3037538</v>
      </c>
      <c r="F35336" s="4" t="e">
        <f>IF(B35336=#REF!,"",B35336)</f>
        <v>#REF!</v>
      </c>
    </row>
    <row r="35337" spans="1:6" ht="15.75" customHeight="1">
      <c r="A35337" s="16" t="s">
        <v>7107</v>
      </c>
      <c r="B35337" s="15" t="s">
        <v>7107</v>
      </c>
      <c r="C35337" s="16" t="s">
        <v>7052</v>
      </c>
      <c r="D35337" s="16" t="s">
        <v>7053</v>
      </c>
      <c r="E35337" s="2">
        <v>3037540</v>
      </c>
      <c r="F35337" s="4" t="e">
        <f>IF(B35337=#REF!,"",B35337)</f>
        <v>#REF!</v>
      </c>
    </row>
    <row r="35338" spans="1:6" ht="15.75" customHeight="1">
      <c r="A35338" s="15" t="s">
        <v>7106</v>
      </c>
      <c r="B35338" s="15" t="s">
        <v>7106</v>
      </c>
      <c r="C35338" s="15" t="s">
        <v>7052</v>
      </c>
      <c r="D35338" s="15" t="s">
        <v>7053</v>
      </c>
      <c r="E35338" s="2">
        <v>3037543</v>
      </c>
      <c r="F35338" s="4" t="e">
        <f>IF(B35338=#REF!,"",B35338)</f>
        <v>#REF!</v>
      </c>
    </row>
    <row r="35339" spans="1:6" ht="15.75" customHeight="1">
      <c r="A35339" s="15" t="s">
        <v>26776</v>
      </c>
      <c r="B35339" s="15" t="s">
        <v>26776</v>
      </c>
      <c r="C35339" s="15" t="s">
        <v>26774</v>
      </c>
      <c r="D35339" s="15" t="s">
        <v>26775</v>
      </c>
      <c r="E35339" s="2">
        <v>162199</v>
      </c>
      <c r="F35339" s="4" t="e">
        <f>IF(B35339=#REF!,"",B35339)</f>
        <v>#REF!</v>
      </c>
    </row>
    <row r="35340" spans="1:6" ht="15.75" customHeight="1">
      <c r="A35340" s="16" t="s">
        <v>27873</v>
      </c>
      <c r="B35340" s="15" t="s">
        <v>27873</v>
      </c>
      <c r="C35340" s="16" t="s">
        <v>27788</v>
      </c>
      <c r="D35340" s="16" t="s">
        <v>17061</v>
      </c>
      <c r="E35340" s="2">
        <v>4347242</v>
      </c>
      <c r="F35340" s="4" t="e">
        <f>IF(B35340=#REF!,"",B35340)</f>
        <v>#REF!</v>
      </c>
    </row>
    <row r="35341" spans="1:6" ht="15.75" customHeight="1">
      <c r="A35341" s="15" t="s">
        <v>15730</v>
      </c>
      <c r="B35341" s="15" t="s">
        <v>15730</v>
      </c>
      <c r="C35341" s="15" t="s">
        <v>15704</v>
      </c>
      <c r="D35341" s="15" t="s">
        <v>15731</v>
      </c>
      <c r="E35341" s="2">
        <v>1865290</v>
      </c>
      <c r="F35341" s="4" t="e">
        <f>IF(B35341=#REF!,"",B35341)</f>
        <v>#REF!</v>
      </c>
    </row>
    <row r="35342" spans="1:6" ht="15.75" customHeight="1">
      <c r="A35342" s="16" t="s">
        <v>8071</v>
      </c>
      <c r="B35342" s="15" t="s">
        <v>8071</v>
      </c>
      <c r="C35342" s="16" t="s">
        <v>8028</v>
      </c>
      <c r="D35342" s="16" t="s">
        <v>8072</v>
      </c>
      <c r="E35342" s="2">
        <v>2956005</v>
      </c>
      <c r="F35342" s="4" t="e">
        <f>IF(B35342=#REF!,"",B35342)</f>
        <v>#REF!</v>
      </c>
    </row>
    <row r="35343" spans="1:6" ht="15.75" customHeight="1">
      <c r="A35343" s="15" t="s">
        <v>226</v>
      </c>
      <c r="B35343" s="15" t="s">
        <v>226</v>
      </c>
      <c r="C35343" s="15" t="s">
        <v>153</v>
      </c>
      <c r="D35343" s="15" t="s">
        <v>226</v>
      </c>
      <c r="E35343" s="2">
        <v>2506999</v>
      </c>
      <c r="F35343" s="4" t="e">
        <f>IF(B35343=#REF!,"",B35343)</f>
        <v>#REF!</v>
      </c>
    </row>
    <row r="35344" spans="1:6" ht="15.75" customHeight="1">
      <c r="A35344" s="15" t="s">
        <v>22136</v>
      </c>
      <c r="B35344" s="15" t="s">
        <v>22136</v>
      </c>
      <c r="C35344" s="15" t="s">
        <v>22070</v>
      </c>
      <c r="D35344" s="15" t="s">
        <v>22137</v>
      </c>
      <c r="E35344" s="2">
        <v>581671</v>
      </c>
      <c r="F35344" s="4" t="e">
        <f>IF(B35344=#REF!,"",B35344)</f>
        <v>#REF!</v>
      </c>
    </row>
    <row r="35345" spans="1:6" ht="15.75" customHeight="1">
      <c r="A35345" s="16" t="s">
        <v>27872</v>
      </c>
      <c r="B35345" s="15" t="s">
        <v>27872</v>
      </c>
      <c r="C35345" s="16" t="s">
        <v>27788</v>
      </c>
      <c r="D35345" s="16" t="s">
        <v>27804</v>
      </c>
      <c r="E35345" s="2">
        <v>4984247</v>
      </c>
      <c r="F35345" s="4" t="e">
        <f>IF(B35345=#REF!,"",B35345)</f>
        <v>#REF!</v>
      </c>
    </row>
    <row r="35346" spans="1:6" ht="15.75" customHeight="1">
      <c r="A35346" s="15" t="s">
        <v>3985</v>
      </c>
      <c r="B35346" s="15" t="s">
        <v>3985</v>
      </c>
      <c r="C35346" s="15" t="s">
        <v>3975</v>
      </c>
      <c r="D35346" s="15" t="s">
        <v>3976</v>
      </c>
      <c r="E35346" s="2">
        <v>5885383</v>
      </c>
      <c r="F35346" s="4" t="e">
        <f>IF(B35346=#REF!,"",B35346)</f>
        <v>#REF!</v>
      </c>
    </row>
    <row r="35347" spans="1:6" ht="15.75" customHeight="1">
      <c r="A35347" s="15" t="s">
        <v>4498</v>
      </c>
      <c r="B35347" s="15" t="s">
        <v>4498</v>
      </c>
      <c r="C35347" s="15" t="s">
        <v>4487</v>
      </c>
      <c r="D35347" s="15" t="s">
        <v>4499</v>
      </c>
      <c r="E35347" s="2">
        <v>1818016</v>
      </c>
      <c r="F35347" s="4" t="e">
        <f>IF(B35347=#REF!,"",B35347)</f>
        <v>#REF!</v>
      </c>
    </row>
    <row r="35348" spans="1:6" ht="15.75" customHeight="1">
      <c r="A35348" s="15" t="s">
        <v>18882</v>
      </c>
      <c r="B35348" s="15" t="s">
        <v>18882</v>
      </c>
      <c r="C35348" s="15" t="s">
        <v>18862</v>
      </c>
      <c r="D35348" s="15" t="s">
        <v>18883</v>
      </c>
      <c r="E35348" s="2">
        <v>2759746</v>
      </c>
      <c r="F35348" s="4" t="e">
        <f>IF(B35348=#REF!,"",B35348)</f>
        <v>#REF!</v>
      </c>
    </row>
    <row r="35349" spans="1:6" ht="15.75" customHeight="1">
      <c r="A35349" s="15" t="s">
        <v>9374</v>
      </c>
      <c r="B35349" s="15" t="s">
        <v>9374</v>
      </c>
      <c r="C35349" s="15" t="s">
        <v>9365</v>
      </c>
      <c r="D35349" s="15" t="s">
        <v>9375</v>
      </c>
      <c r="E35349" s="2">
        <v>2304548</v>
      </c>
      <c r="F35349" s="4" t="e">
        <f>IF(B35349=#REF!,"",B35349)</f>
        <v>#REF!</v>
      </c>
    </row>
    <row r="35350" spans="1:6" ht="15.75" customHeight="1">
      <c r="A35350" s="16" t="s">
        <v>10365</v>
      </c>
      <c r="B35350" s="15" t="s">
        <v>10365</v>
      </c>
      <c r="C35350" s="16" t="s">
        <v>10178</v>
      </c>
      <c r="D35350" s="16" t="s">
        <v>10209</v>
      </c>
      <c r="E35350" s="2">
        <v>1278553</v>
      </c>
      <c r="F35350" s="4" t="e">
        <f>IF(B35350=#REF!,"",B35350)</f>
        <v>#REF!</v>
      </c>
    </row>
    <row r="35351" spans="1:6" ht="15.75" customHeight="1">
      <c r="A35351" s="15" t="s">
        <v>27871</v>
      </c>
      <c r="B35351" s="15" t="s">
        <v>27871</v>
      </c>
      <c r="C35351" s="15" t="s">
        <v>27788</v>
      </c>
      <c r="D35351" s="15" t="s">
        <v>27859</v>
      </c>
      <c r="E35351" s="2">
        <v>4846960</v>
      </c>
      <c r="F35351" s="4" t="e">
        <f>IF(B35351=#REF!,"",B35351)</f>
        <v>#REF!</v>
      </c>
    </row>
    <row r="35352" spans="1:6" ht="15.75" customHeight="1">
      <c r="A35352" s="16" t="s">
        <v>17330</v>
      </c>
      <c r="B35352" s="15" t="s">
        <v>17330</v>
      </c>
      <c r="C35352" s="16" t="s">
        <v>17292</v>
      </c>
      <c r="D35352" s="16" t="s">
        <v>17293</v>
      </c>
      <c r="E35352" s="2">
        <v>1072711</v>
      </c>
      <c r="F35352" s="4" t="e">
        <f>IF(B35352=#REF!,"",B35352)</f>
        <v>#REF!</v>
      </c>
    </row>
    <row r="35353" spans="1:6" ht="15.75" customHeight="1">
      <c r="A35353" s="15" t="s">
        <v>17329</v>
      </c>
      <c r="B35353" s="15" t="s">
        <v>17329</v>
      </c>
      <c r="C35353" s="15" t="s">
        <v>17292</v>
      </c>
      <c r="D35353" s="15" t="s">
        <v>17293</v>
      </c>
      <c r="E35353" s="2">
        <v>1072849</v>
      </c>
      <c r="F35353" s="4" t="e">
        <f>IF(B35353=#REF!,"",B35353)</f>
        <v>#REF!</v>
      </c>
    </row>
    <row r="35354" spans="1:6" ht="15.75" customHeight="1">
      <c r="A35354" s="16" t="s">
        <v>17328</v>
      </c>
      <c r="B35354" s="15" t="s">
        <v>17328</v>
      </c>
      <c r="C35354" s="16" t="s">
        <v>17292</v>
      </c>
      <c r="D35354" s="16" t="s">
        <v>17320</v>
      </c>
      <c r="E35354" s="2">
        <v>1072879</v>
      </c>
      <c r="F35354" s="4" t="e">
        <f>IF(B35354=#REF!,"",B35354)</f>
        <v>#REF!</v>
      </c>
    </row>
    <row r="35355" spans="1:6" ht="15.75" customHeight="1">
      <c r="A35355" s="15" t="s">
        <v>26316</v>
      </c>
      <c r="B35355" s="15" t="s">
        <v>26229</v>
      </c>
      <c r="C35355" s="15" t="s">
        <v>26201</v>
      </c>
      <c r="D35355" s="15" t="s">
        <v>26229</v>
      </c>
      <c r="E35355" s="2">
        <v>323786</v>
      </c>
      <c r="F35355" s="4" t="e">
        <f>IF(B35355=#REF!,"",B35355)</f>
        <v>#REF!</v>
      </c>
    </row>
    <row r="35356" spans="1:6" ht="15.75" customHeight="1">
      <c r="A35356" s="15" t="s">
        <v>4496</v>
      </c>
      <c r="B35356" s="15" t="s">
        <v>4496</v>
      </c>
      <c r="C35356" s="15" t="s">
        <v>4487</v>
      </c>
      <c r="D35356" s="15" t="s">
        <v>4497</v>
      </c>
      <c r="E35356" s="2">
        <v>1789065</v>
      </c>
      <c r="F35356" s="4" t="e">
        <f>IF(B35356=#REF!,"",B35356)</f>
        <v>#REF!</v>
      </c>
    </row>
    <row r="35357" spans="1:6" ht="15.75" customHeight="1">
      <c r="A35357" s="15" t="s">
        <v>19596</v>
      </c>
      <c r="B35357" s="15" t="s">
        <v>19596</v>
      </c>
      <c r="C35357" s="15" t="s">
        <v>19589</v>
      </c>
      <c r="D35357" s="15" t="s">
        <v>19597</v>
      </c>
      <c r="E35357" s="2">
        <v>1879613</v>
      </c>
      <c r="F35357" s="4" t="e">
        <f>IF(B35357=#REF!,"",B35357)</f>
        <v>#REF!</v>
      </c>
    </row>
    <row r="35358" spans="1:6" ht="15.75" customHeight="1">
      <c r="A35358" s="16" t="s">
        <v>17327</v>
      </c>
      <c r="B35358" s="15" t="s">
        <v>17327</v>
      </c>
      <c r="C35358" s="16" t="s">
        <v>17292</v>
      </c>
      <c r="D35358" s="16" t="s">
        <v>17293</v>
      </c>
      <c r="E35358" s="2">
        <v>1073482</v>
      </c>
      <c r="F35358" s="4" t="str">
        <f>IF(B35358=B35357,"",B35358)</f>
        <v>Anjozorobe</v>
      </c>
    </row>
    <row r="35359" spans="1:6" ht="15.75" customHeight="1">
      <c r="A35359" s="16" t="str">
        <f ca="1">IFERROR(__xludf.DUMMYFUNCTION("GOOGLETRANSLATE(B35675,""en"",""pt"")"),"Anjō")</f>
        <v>Anjō</v>
      </c>
      <c r="B35359" s="20" t="s">
        <v>34392</v>
      </c>
      <c r="C35359" s="20" t="s">
        <v>15704</v>
      </c>
      <c r="D35359" s="20" t="s">
        <v>15729</v>
      </c>
      <c r="E35359" s="10">
        <v>1865294</v>
      </c>
      <c r="F35359" s="4" t="e">
        <f>IF(B35359=#REF!,"",B35359)</f>
        <v>#REF!</v>
      </c>
    </row>
    <row r="35360" spans="1:6" ht="15.75" customHeight="1">
      <c r="A35360" s="15" t="s">
        <v>4494</v>
      </c>
      <c r="B35360" s="15" t="s">
        <v>4494</v>
      </c>
      <c r="C35360" s="15" t="s">
        <v>4487</v>
      </c>
      <c r="D35360" s="15" t="s">
        <v>4495</v>
      </c>
      <c r="E35360" s="2">
        <v>1818051</v>
      </c>
      <c r="F35360" s="4" t="str">
        <f>IF(B35360=B35359,"",B35360)</f>
        <v>Anjiang</v>
      </c>
    </row>
    <row r="35361" spans="1:6" ht="15.75" customHeight="1">
      <c r="A35361" s="16" t="str">
        <f ca="1">IFERROR(__xludf.DUMMYFUNCTION("GOOGLETRANSLATE(B34094,""en"",""pt"")"),"Anjār")</f>
        <v>Anjār</v>
      </c>
      <c r="B35361" s="20" t="s">
        <v>34025</v>
      </c>
      <c r="C35361" s="20" t="s">
        <v>10178</v>
      </c>
      <c r="D35361" s="20" t="s">
        <v>10209</v>
      </c>
      <c r="E35361" s="10">
        <v>1278573</v>
      </c>
      <c r="F35361" s="4" t="e">
        <f>IF(B35361=#REF!,"",B35361)</f>
        <v>#REF!</v>
      </c>
    </row>
    <row r="35362" spans="1:6" ht="15.75" customHeight="1">
      <c r="A35362" s="16" t="s">
        <v>10364</v>
      </c>
      <c r="B35362" s="15" t="s">
        <v>10364</v>
      </c>
      <c r="C35362" s="16" t="s">
        <v>10178</v>
      </c>
      <c r="D35362" s="16" t="s">
        <v>10214</v>
      </c>
      <c r="E35362" s="2">
        <v>1278580</v>
      </c>
      <c r="F35362" s="4" t="e">
        <f>IF(B35362=#REF!,"",B35362)</f>
        <v>#REF!</v>
      </c>
    </row>
    <row r="35363" spans="1:6" ht="15.75" customHeight="1">
      <c r="A35363" s="15" t="s">
        <v>6947</v>
      </c>
      <c r="B35363" s="15" t="s">
        <v>6947</v>
      </c>
      <c r="C35363" s="15" t="s">
        <v>6948</v>
      </c>
      <c r="D35363" s="15" t="s">
        <v>6949</v>
      </c>
      <c r="E35363" s="2">
        <v>661164</v>
      </c>
      <c r="F35363" s="4" t="e">
        <f>IF(B35363=#REF!,"",B35363)</f>
        <v>#REF!</v>
      </c>
    </row>
    <row r="35364" spans="1:6" ht="15.75" customHeight="1">
      <c r="A35364" s="15" t="s">
        <v>10363</v>
      </c>
      <c r="B35364" s="15" t="s">
        <v>10363</v>
      </c>
      <c r="C35364" s="15" t="s">
        <v>10178</v>
      </c>
      <c r="D35364" s="15" t="s">
        <v>10219</v>
      </c>
      <c r="E35364" s="2">
        <v>1278588</v>
      </c>
      <c r="F35364" s="4" t="str">
        <f>IF(B35364=B35363,"",B35364)</f>
        <v>Anjad</v>
      </c>
    </row>
    <row r="35365" spans="1:6" ht="15.75" customHeight="1">
      <c r="A35365" s="15" t="s">
        <v>10361</v>
      </c>
      <c r="B35365" s="15" t="s">
        <v>10362</v>
      </c>
      <c r="C35365" s="15" t="s">
        <v>10178</v>
      </c>
      <c r="D35365" s="15" t="s">
        <v>10209</v>
      </c>
      <c r="E35365" s="2">
        <v>1278573</v>
      </c>
      <c r="F35365" s="4" t="str">
        <f>IF(B35365=B35364,"",B35365)</f>
        <v>AnjÄr</v>
      </c>
    </row>
    <row r="35366" spans="1:6" ht="15.75" customHeight="1">
      <c r="A35366" s="15" t="s">
        <v>15727</v>
      </c>
      <c r="B35366" s="15" t="s">
        <v>15728</v>
      </c>
      <c r="C35366" s="15" t="s">
        <v>15704</v>
      </c>
      <c r="D35366" s="15" t="s">
        <v>15729</v>
      </c>
      <c r="E35366" s="2">
        <v>1865294</v>
      </c>
      <c r="F35366" s="4" t="e">
        <f>IF(B35366=#REF!,"",B35366)</f>
        <v>#REF!</v>
      </c>
    </row>
    <row r="35367" spans="1:6" ht="15.75" customHeight="1">
      <c r="A35367" s="15" t="s">
        <v>1979</v>
      </c>
      <c r="B35367" s="15" t="s">
        <v>1980</v>
      </c>
      <c r="C35367" s="15" t="s">
        <v>1905</v>
      </c>
      <c r="D35367" s="15" t="s">
        <v>1969</v>
      </c>
      <c r="E35367" s="2">
        <v>3472138</v>
      </c>
      <c r="F35367" s="4" t="e">
        <f>IF(B35367=#REF!,"",B35367)</f>
        <v>#REF!</v>
      </c>
    </row>
    <row r="35368" spans="1:6" ht="15.75" customHeight="1">
      <c r="A35368" s="15" t="s">
        <v>10360</v>
      </c>
      <c r="B35368" s="15" t="s">
        <v>10360</v>
      </c>
      <c r="C35368" s="15" t="s">
        <v>10178</v>
      </c>
      <c r="D35368" s="15" t="s">
        <v>10229</v>
      </c>
      <c r="E35368" s="2">
        <v>1278593</v>
      </c>
      <c r="F35368" s="4" t="e">
        <f>IF(B35368=#REF!,"",B35368)</f>
        <v>#REF!</v>
      </c>
    </row>
    <row r="35369" spans="1:6" ht="15.75" customHeight="1">
      <c r="A35369" s="15" t="s">
        <v>14933</v>
      </c>
      <c r="B35369" s="15" t="s">
        <v>14934</v>
      </c>
      <c r="C35369" s="15" t="s">
        <v>14891</v>
      </c>
      <c r="D35369" s="15" t="s">
        <v>14896</v>
      </c>
      <c r="E35369" s="2">
        <v>3183063</v>
      </c>
      <c r="F35369" s="4" t="e">
        <f>IF(B35369=#REF!,"",B35369)</f>
        <v>#REF!</v>
      </c>
    </row>
    <row r="35370" spans="1:6" ht="15.75" customHeight="1">
      <c r="A35370" s="15" t="s">
        <v>30503</v>
      </c>
      <c r="B35370" s="15" t="s">
        <v>30503</v>
      </c>
      <c r="C35370" s="15" t="s">
        <v>30502</v>
      </c>
      <c r="D35370" s="15" t="s">
        <v>30504</v>
      </c>
      <c r="E35370" s="2">
        <v>1514581</v>
      </c>
      <c r="F35370" s="4" t="e">
        <f>IF(B35370=#REF!,"",B35370)</f>
        <v>#REF!</v>
      </c>
    </row>
    <row r="35371" spans="1:6" ht="15.75" customHeight="1">
      <c r="A35371" s="16" t="s">
        <v>1976</v>
      </c>
      <c r="B35371" s="15" t="s">
        <v>1977</v>
      </c>
      <c r="C35371" s="16" t="s">
        <v>1905</v>
      </c>
      <c r="D35371" s="16" t="s">
        <v>1978</v>
      </c>
      <c r="E35371" s="2">
        <v>3472177</v>
      </c>
      <c r="F35371" s="4" t="str">
        <f>IF(B35371=B35370,"",B35371)</f>
        <v>Angra dos Reis</v>
      </c>
    </row>
    <row r="35372" spans="1:6" ht="15.75" customHeight="1">
      <c r="A35372" s="16" t="str">
        <f ca="1">IFERROR(__xludf.DUMMYFUNCTION("GOOGLETRANSLATE(B30266,""en"",""pt"")"),"Angoulême")</f>
        <v>Angoulême</v>
      </c>
      <c r="B35372" s="20" t="s">
        <v>32647</v>
      </c>
      <c r="C35372" s="20" t="s">
        <v>7052</v>
      </c>
      <c r="D35372" s="20" t="s">
        <v>7084</v>
      </c>
      <c r="E35372" s="10">
        <v>3037598</v>
      </c>
      <c r="F35372" s="4" t="str">
        <f>IF(B35372=B35371,"",B35372)</f>
        <v>Angoulême</v>
      </c>
    </row>
    <row r="35373" spans="1:6" ht="15.75" customHeight="1">
      <c r="A35373" s="16" t="s">
        <v>7104</v>
      </c>
      <c r="B35373" s="15" t="s">
        <v>7105</v>
      </c>
      <c r="C35373" s="16" t="s">
        <v>7052</v>
      </c>
      <c r="D35373" s="16" t="s">
        <v>7084</v>
      </c>
      <c r="E35373" s="2">
        <v>3037598</v>
      </c>
      <c r="F35373" s="4" t="e">
        <f>IF(B35373=#REF!,"",B35373)</f>
        <v>#REF!</v>
      </c>
    </row>
    <row r="35374" spans="1:6" ht="15.75" customHeight="1">
      <c r="A35374" s="15" t="s">
        <v>20616</v>
      </c>
      <c r="B35374" s="15" t="s">
        <v>20616</v>
      </c>
      <c r="C35374" s="15" t="s">
        <v>20598</v>
      </c>
      <c r="D35374" s="15" t="s">
        <v>20608</v>
      </c>
      <c r="E35374" s="2">
        <v>1730713</v>
      </c>
      <c r="F35374" s="4" t="e">
        <f>IF(B35374=#REF!,"",B35374)</f>
        <v>#REF!</v>
      </c>
    </row>
    <row r="35375" spans="1:6" ht="15.75" customHeight="1">
      <c r="A35375" s="15" t="s">
        <v>4357</v>
      </c>
      <c r="B35375" s="15" t="s">
        <v>4357</v>
      </c>
      <c r="C35375" s="15" t="s">
        <v>4355</v>
      </c>
      <c r="D35375" s="15" t="s">
        <v>4358</v>
      </c>
      <c r="E35375" s="2">
        <v>3899629</v>
      </c>
      <c r="F35375" s="4" t="e">
        <f>IF(B35375=#REF!,"",B35375)</f>
        <v>#REF!</v>
      </c>
    </row>
    <row r="35376" spans="1:6" ht="15.75" customHeight="1">
      <c r="A35376" s="15" t="s">
        <v>880</v>
      </c>
      <c r="B35376" s="15" t="s">
        <v>880</v>
      </c>
      <c r="C35376" s="15" t="s">
        <v>881</v>
      </c>
      <c r="D35376" s="15" t="s">
        <v>551</v>
      </c>
      <c r="E35376" s="2">
        <v>3577284</v>
      </c>
      <c r="F35376" s="4" t="e">
        <f>IF(B35376=#REF!,"",B35376)</f>
        <v>#REF!</v>
      </c>
    </row>
    <row r="35377" spans="1:6" ht="15.75" customHeight="1">
      <c r="A35377" s="15" t="s">
        <v>27870</v>
      </c>
      <c r="B35377" s="15" t="s">
        <v>27870</v>
      </c>
      <c r="C35377" s="15" t="s">
        <v>27788</v>
      </c>
      <c r="D35377" s="15" t="s">
        <v>27792</v>
      </c>
      <c r="E35377" s="2">
        <v>4670866</v>
      </c>
      <c r="F35377" s="4" t="e">
        <f>IF(B35377=#REF!,"",B35377)</f>
        <v>#REF!</v>
      </c>
    </row>
    <row r="35378" spans="1:6" ht="15.75" customHeight="1">
      <c r="A35378" s="15" t="s">
        <v>7103</v>
      </c>
      <c r="B35378" s="15" t="s">
        <v>7103</v>
      </c>
      <c r="C35378" s="15" t="s">
        <v>7052</v>
      </c>
      <c r="D35378" s="15" t="s">
        <v>7084</v>
      </c>
      <c r="E35378" s="2">
        <v>3037612</v>
      </c>
      <c r="F35378" s="4" t="e">
        <f>IF(B35378=#REF!,"",B35378)</f>
        <v>#REF!</v>
      </c>
    </row>
    <row r="35379" spans="1:6" ht="15.75" customHeight="1">
      <c r="A35379" s="15" t="s">
        <v>7101</v>
      </c>
      <c r="B35379" s="15" t="s">
        <v>7101</v>
      </c>
      <c r="C35379" s="15" t="s">
        <v>7052</v>
      </c>
      <c r="D35379" s="15" t="s">
        <v>7102</v>
      </c>
      <c r="E35379" s="2">
        <v>3037656</v>
      </c>
      <c r="F35379" s="4" t="str">
        <f>IF(B35379=B35378,"",B35379)</f>
        <v>Angers</v>
      </c>
    </row>
    <row r="35380" spans="1:6" ht="15.75" customHeight="1">
      <c r="A35380" s="16" t="str">
        <f ca="1">IFERROR(__xludf.DUMMYFUNCTION("GOOGLETRANSLATE(B28332,""en"",""pt"")"),"Angermünde")</f>
        <v>Angermünde</v>
      </c>
      <c r="B35380" s="20" t="s">
        <v>32140</v>
      </c>
      <c r="C35380" s="20" t="s">
        <v>8028</v>
      </c>
      <c r="D35380" s="20" t="s">
        <v>8070</v>
      </c>
      <c r="E35380" s="10">
        <v>2956093</v>
      </c>
      <c r="F35380" s="4" t="str">
        <f>IF(B35380=B35379,"",B35380)</f>
        <v>Angermünde</v>
      </c>
    </row>
    <row r="35381" spans="1:6" ht="15.75" customHeight="1">
      <c r="A35381" s="16" t="s">
        <v>8068</v>
      </c>
      <c r="B35381" s="15" t="s">
        <v>8069</v>
      </c>
      <c r="C35381" s="16" t="s">
        <v>8028</v>
      </c>
      <c r="D35381" s="16" t="s">
        <v>8070</v>
      </c>
      <c r="E35381" s="2">
        <v>2956093</v>
      </c>
      <c r="F35381" s="4" t="str">
        <f>IF(B35381=B35380,"",B35381)</f>
        <v>AngermÃ¼nde</v>
      </c>
    </row>
    <row r="35382" spans="1:6" ht="15.75" customHeight="1">
      <c r="A35382" s="16" t="str">
        <f ca="1">IFERROR(__xludf.DUMMYFUNCTION("GOOGLETRANSLATE(B41205,""en"",""pt"")"),"Ängelholm")</f>
        <v>Ängelholm</v>
      </c>
      <c r="B35382" s="20" t="s">
        <v>35662</v>
      </c>
      <c r="C35382" s="20" t="s">
        <v>25077</v>
      </c>
      <c r="D35382" s="20" t="s">
        <v>35623</v>
      </c>
      <c r="E35382" s="10">
        <v>2725901</v>
      </c>
      <c r="F35382" s="4" t="e">
        <f>IF(B35382=#REF!,"",B35382)</f>
        <v>#REF!</v>
      </c>
    </row>
    <row r="35383" spans="1:6" ht="15.75" customHeight="1">
      <c r="A35383" s="16" t="s">
        <v>20614</v>
      </c>
      <c r="B35383" s="15" t="s">
        <v>20615</v>
      </c>
      <c r="C35383" s="16" t="s">
        <v>20598</v>
      </c>
      <c r="D35383" s="16" t="s">
        <v>20599</v>
      </c>
      <c r="E35383" s="2">
        <v>1730737</v>
      </c>
      <c r="F35383" s="4" t="e">
        <f>IF(B35383=#REF!,"",B35383)</f>
        <v>#REF!</v>
      </c>
    </row>
    <row r="35384" spans="1:6" ht="15.75" customHeight="1">
      <c r="A35384" s="15" t="s">
        <v>20613</v>
      </c>
      <c r="B35384" s="15" t="s">
        <v>20613</v>
      </c>
      <c r="C35384" s="15" t="s">
        <v>20598</v>
      </c>
      <c r="D35384" s="15" t="s">
        <v>20599</v>
      </c>
      <c r="E35384" s="2">
        <v>1730749</v>
      </c>
      <c r="F35384" s="4" t="e">
        <f>IF(B35384=#REF!,"",B35384)</f>
        <v>#REF!</v>
      </c>
    </row>
    <row r="35385" spans="1:6" ht="15.75" customHeight="1">
      <c r="A35385" s="15" t="s">
        <v>22134</v>
      </c>
      <c r="B35385" s="15" t="s">
        <v>22134</v>
      </c>
      <c r="C35385" s="15" t="s">
        <v>22070</v>
      </c>
      <c r="D35385" s="15" t="s">
        <v>22135</v>
      </c>
      <c r="E35385" s="2">
        <v>2027667</v>
      </c>
      <c r="F35385" s="4" t="str">
        <f>IF(B35385=B35384,"",B35385)</f>
        <v>Angarsk</v>
      </c>
    </row>
    <row r="35386" spans="1:6" ht="15.75" customHeight="1">
      <c r="A35386" s="16" t="str">
        <f ca="1">IFERROR(__xludf.DUMMYFUNCTION("GOOGLETRANSLATE(B34098,""en"",""pt"")"),"Angamāli")</f>
        <v>Angamāli</v>
      </c>
      <c r="B35386" s="20" t="s">
        <v>34026</v>
      </c>
      <c r="C35386" s="20" t="s">
        <v>10178</v>
      </c>
      <c r="D35386" s="20" t="s">
        <v>10246</v>
      </c>
      <c r="E35386" s="10">
        <v>1278602</v>
      </c>
      <c r="F35386" s="4" t="str">
        <f>IF(B35386=B35385,"",B35386)</f>
        <v>Angamāli</v>
      </c>
    </row>
    <row r="35387" spans="1:6" ht="15.75" customHeight="1">
      <c r="A35387" s="16" t="s">
        <v>10358</v>
      </c>
      <c r="B35387" s="15" t="s">
        <v>10359</v>
      </c>
      <c r="C35387" s="16" t="s">
        <v>10178</v>
      </c>
      <c r="D35387" s="16" t="s">
        <v>10246</v>
      </c>
      <c r="E35387" s="2">
        <v>1278602</v>
      </c>
      <c r="F35387" s="4" t="e">
        <f>IF(B35387=#REF!,"",B35387)</f>
        <v>#REF!</v>
      </c>
    </row>
    <row r="35388" spans="1:6" ht="15.75" customHeight="1">
      <c r="A35388" s="15" t="s">
        <v>10357</v>
      </c>
      <c r="B35388" s="15" t="s">
        <v>10357</v>
      </c>
      <c r="C35388" s="15" t="s">
        <v>10178</v>
      </c>
      <c r="D35388" s="15" t="s">
        <v>10252</v>
      </c>
      <c r="E35388" s="2">
        <v>1278609</v>
      </c>
      <c r="F35388" s="4" t="str">
        <f>IF(B35388=B35387,"",B35388)</f>
        <v>Anekal</v>
      </c>
    </row>
    <row r="35389" spans="1:6" ht="15.75" customHeight="1">
      <c r="A35389" s="16" t="str">
        <f ca="1">IFERROR(__xludf.DUMMYFUNCTION("GOOGLETRANSLATE(B41510,""en"",""pt"")"),"Aného")</f>
        <v>Aného</v>
      </c>
      <c r="B35389" s="20" t="s">
        <v>35780</v>
      </c>
      <c r="C35389" s="20" t="s">
        <v>26038</v>
      </c>
      <c r="D35389" s="20" t="s">
        <v>26039</v>
      </c>
      <c r="E35389" s="10">
        <v>2367990</v>
      </c>
      <c r="F35389" s="4" t="str">
        <f>IF(B35389=B35388,"",B35389)</f>
        <v>Aného</v>
      </c>
    </row>
    <row r="35390" spans="1:6" ht="15.75" customHeight="1">
      <c r="A35390" s="16" t="str">
        <f ca="1">IFERROR(__xludf.DUMMYFUNCTION("GOOGLETRANSLATE(B29193,""en"",""pt"")"),"Andújar")</f>
        <v>Andújar</v>
      </c>
      <c r="B35390" s="20" t="s">
        <v>32399</v>
      </c>
      <c r="C35390" s="20" t="s">
        <v>24200</v>
      </c>
      <c r="D35390" s="20" t="s">
        <v>24205</v>
      </c>
      <c r="E35390" s="10">
        <v>2521738</v>
      </c>
      <c r="F35390" s="4" t="str">
        <f>IF(B35390=B35389,"",B35390)</f>
        <v>Andújar</v>
      </c>
    </row>
    <row r="35391" spans="1:6" ht="15.75" customHeight="1">
      <c r="A35391" s="16" t="str">
        <f ca="1">IFERROR(__xludf.DUMMYFUNCTION("GOOGLETRANSLATE(B39496,""en"",""pt"")"),"Andrychów")</f>
        <v>Andrychów</v>
      </c>
      <c r="B35391" s="20" t="s">
        <v>35249</v>
      </c>
      <c r="C35391" s="20" t="s">
        <v>21064</v>
      </c>
      <c r="D35391" s="20" t="s">
        <v>21108</v>
      </c>
      <c r="E35391" s="10">
        <v>3104115</v>
      </c>
      <c r="F35391" s="4" t="str">
        <f>IF(B35391=B35390,"",B35391)</f>
        <v>Andrychów</v>
      </c>
    </row>
    <row r="35392" spans="1:6" ht="15.75" customHeight="1">
      <c r="A35392" s="16" t="s">
        <v>21106</v>
      </c>
      <c r="B35392" s="15" t="s">
        <v>21107</v>
      </c>
      <c r="C35392" s="16" t="s">
        <v>21064</v>
      </c>
      <c r="D35392" s="16" t="s">
        <v>21108</v>
      </c>
      <c r="E35392" s="2">
        <v>3104115</v>
      </c>
      <c r="F35392" s="4" t="e">
        <f>IF(B35392=#REF!,"",B35392)</f>
        <v>#REF!</v>
      </c>
    </row>
    <row r="35393" spans="1:6" ht="15.75" customHeight="1">
      <c r="A35393" s="15" t="s">
        <v>14932</v>
      </c>
      <c r="B35393" s="15" t="s">
        <v>14932</v>
      </c>
      <c r="C35393" s="15" t="s">
        <v>14891</v>
      </c>
      <c r="D35393" s="15" t="s">
        <v>14908</v>
      </c>
      <c r="E35393" s="2">
        <v>3183072</v>
      </c>
      <c r="F35393" s="4" t="e">
        <f>IF(B35393=#REF!,"",B35393)</f>
        <v>#REF!</v>
      </c>
    </row>
    <row r="35394" spans="1:6" ht="15.75" customHeight="1">
      <c r="A35394" s="16" t="s">
        <v>22133</v>
      </c>
      <c r="B35394" s="15" t="s">
        <v>22133</v>
      </c>
      <c r="C35394" s="16" t="s">
        <v>22070</v>
      </c>
      <c r="D35394" s="16" t="s">
        <v>22119</v>
      </c>
      <c r="E35394" s="2">
        <v>581928</v>
      </c>
      <c r="F35394" s="4" t="e">
        <f>IF(B35394=#REF!,"",B35394)</f>
        <v>#REF!</v>
      </c>
    </row>
    <row r="35395" spans="1:6" ht="15.75" customHeight="1">
      <c r="A35395" s="16" t="s">
        <v>1975</v>
      </c>
      <c r="B35395" s="15" t="s">
        <v>1975</v>
      </c>
      <c r="C35395" s="16" t="s">
        <v>1905</v>
      </c>
      <c r="D35395" s="16" t="s">
        <v>1914</v>
      </c>
      <c r="E35395" s="2">
        <v>3472248</v>
      </c>
      <c r="F35395" s="4" t="e">
        <f>IF(B35395=#REF!,"",B35395)</f>
        <v>#REF!</v>
      </c>
    </row>
    <row r="35396" spans="1:6" ht="15.75" customHeight="1">
      <c r="A35396" s="15" t="s">
        <v>1974</v>
      </c>
      <c r="B35396" s="15" t="s">
        <v>1974</v>
      </c>
      <c r="C35396" s="15" t="s">
        <v>1905</v>
      </c>
      <c r="D35396" s="15" t="s">
        <v>1917</v>
      </c>
      <c r="E35396" s="2">
        <v>3472254</v>
      </c>
      <c r="F35396" s="4" t="e">
        <f>IF(B35396=#REF!,"",B35396)</f>
        <v>#REF!</v>
      </c>
    </row>
    <row r="35397" spans="1:6" ht="15.75" customHeight="1">
      <c r="A35397" s="15" t="s">
        <v>27256</v>
      </c>
      <c r="B35397" s="15" t="s">
        <v>27257</v>
      </c>
      <c r="C35397" s="15" t="s">
        <v>27234</v>
      </c>
      <c r="D35397" s="15" t="s">
        <v>27241</v>
      </c>
      <c r="E35397" s="2">
        <v>2657324</v>
      </c>
      <c r="F35397" s="4" t="e">
        <f>IF(B35397=#REF!,"",B35397)</f>
        <v>#REF!</v>
      </c>
    </row>
    <row r="35398" spans="1:6" ht="15.75" customHeight="1">
      <c r="A35398" s="16" t="s">
        <v>501</v>
      </c>
      <c r="B35398" s="15" t="s">
        <v>501</v>
      </c>
      <c r="C35398" s="16" t="s">
        <v>502</v>
      </c>
      <c r="D35398" s="16" t="s">
        <v>501</v>
      </c>
      <c r="E35398" s="2">
        <v>3041563</v>
      </c>
      <c r="F35398" s="4" t="e">
        <f>IF(B35398=#REF!,"",B35398)</f>
        <v>#REF!</v>
      </c>
    </row>
    <row r="35399" spans="1:6" ht="15.75" customHeight="1">
      <c r="A35399" s="15" t="s">
        <v>24023</v>
      </c>
      <c r="B35399" s="15" t="s">
        <v>24023</v>
      </c>
      <c r="C35399" s="15" t="s">
        <v>24024</v>
      </c>
      <c r="D35399" s="15" t="s">
        <v>24025</v>
      </c>
      <c r="E35399" s="2">
        <v>1846986</v>
      </c>
      <c r="F35399" s="4" t="e">
        <f>IF(B35399=#REF!,"",B35399)</f>
        <v>#REF!</v>
      </c>
    </row>
    <row r="35400" spans="1:6" ht="15.75" customHeight="1">
      <c r="A35400" s="15" t="s">
        <v>10356</v>
      </c>
      <c r="B35400" s="15" t="s">
        <v>10356</v>
      </c>
      <c r="C35400" s="15" t="s">
        <v>10178</v>
      </c>
      <c r="D35400" s="15" t="s">
        <v>10187</v>
      </c>
      <c r="E35400" s="2">
        <v>1278621</v>
      </c>
      <c r="F35400" s="4" t="str">
        <f>IF(B35400=B35399,"",B35400)</f>
        <v>Andol</v>
      </c>
    </row>
    <row r="35401" spans="1:6" ht="15.75" customHeight="1">
      <c r="A35401" s="16" t="str">
        <f ca="1">IFERROR(__xludf.DUMMYFUNCTION("GOOGLETRANSLATE(B23099,""en"",""pt"")"),"Andkhōy")</f>
        <v>Andkhōy</v>
      </c>
      <c r="B35401" s="20" t="s">
        <v>31140</v>
      </c>
      <c r="C35401" s="20" t="s">
        <v>8</v>
      </c>
      <c r="D35401" s="20" t="s">
        <v>18</v>
      </c>
      <c r="E35401" s="10">
        <v>1148658</v>
      </c>
      <c r="F35401" s="4" t="str">
        <f>IF(B35401=B35400,"",B35401)</f>
        <v>Andkhōy</v>
      </c>
    </row>
    <row r="35402" spans="1:6" ht="15.75" customHeight="1">
      <c r="A35402" s="15" t="s">
        <v>16</v>
      </c>
      <c r="B35402" s="15" t="s">
        <v>17</v>
      </c>
      <c r="C35402" s="15" t="s">
        <v>8</v>
      </c>
      <c r="D35402" s="15" t="s">
        <v>18</v>
      </c>
      <c r="E35402" s="2">
        <v>1148658</v>
      </c>
      <c r="F35402" s="4" t="str">
        <f>IF(B35402=B35401,"",B35402)</f>
        <v>AndkhÅy</v>
      </c>
    </row>
    <row r="35403" spans="1:6" ht="15.75" customHeight="1">
      <c r="A35403" s="16" t="str">
        <f ca="1">IFERROR(__xludf.DUMMYFUNCTION("GOOGLETRANSLATE(B34102,""en"",""pt"")"),"Āndippatti")</f>
        <v>Āndippatti</v>
      </c>
      <c r="B35403" s="20" t="s">
        <v>34027</v>
      </c>
      <c r="C35403" s="20" t="s">
        <v>10178</v>
      </c>
      <c r="D35403" s="20" t="s">
        <v>10196</v>
      </c>
      <c r="E35403" s="10">
        <v>1278625</v>
      </c>
      <c r="F35403" s="4" t="e">
        <f>IF(B35403=#REF!,"",B35403)</f>
        <v>#REF!</v>
      </c>
    </row>
    <row r="35404" spans="1:6" ht="15.75" customHeight="1">
      <c r="A35404" s="16" t="s">
        <v>17326</v>
      </c>
      <c r="B35404" s="15" t="s">
        <v>17326</v>
      </c>
      <c r="C35404" s="16" t="s">
        <v>17292</v>
      </c>
      <c r="D35404" s="16" t="s">
        <v>17306</v>
      </c>
      <c r="E35404" s="2">
        <v>1076194</v>
      </c>
      <c r="F35404" s="4" t="e">
        <f>IF(B35404=#REF!,"",B35404)</f>
        <v>#REF!</v>
      </c>
    </row>
    <row r="35405" spans="1:6" ht="15.75" customHeight="1">
      <c r="A35405" s="15" t="s">
        <v>30501</v>
      </c>
      <c r="B35405" s="15" t="s">
        <v>30501</v>
      </c>
      <c r="C35405" s="15" t="s">
        <v>30502</v>
      </c>
      <c r="D35405" s="15" t="s">
        <v>30501</v>
      </c>
      <c r="E35405" s="2">
        <v>1514588</v>
      </c>
      <c r="F35405" s="4" t="e">
        <f>IF(B35405=#REF!,"",B35405)</f>
        <v>#REF!</v>
      </c>
    </row>
    <row r="35406" spans="1:6" ht="15.75" customHeight="1">
      <c r="A35406" s="15" t="s">
        <v>5361</v>
      </c>
      <c r="B35406" s="15" t="s">
        <v>5361</v>
      </c>
      <c r="C35406" s="15" t="s">
        <v>5348</v>
      </c>
      <c r="D35406" s="15" t="s">
        <v>5362</v>
      </c>
      <c r="E35406" s="2">
        <v>3689899</v>
      </c>
      <c r="F35406" s="4" t="e">
        <f>IF(B35406=#REF!,"",B35406)</f>
        <v>#REF!</v>
      </c>
    </row>
    <row r="35407" spans="1:6" ht="15.75" customHeight="1">
      <c r="A35407" s="15" t="s">
        <v>27868</v>
      </c>
      <c r="B35407" s="15" t="s">
        <v>27868</v>
      </c>
      <c r="C35407" s="15" t="s">
        <v>27788</v>
      </c>
      <c r="D35407" s="15" t="s">
        <v>27811</v>
      </c>
      <c r="E35407" s="2">
        <v>4569298</v>
      </c>
      <c r="F35407" s="4" t="e">
        <f>IF(B35407=#REF!,"",B35407)</f>
        <v>#REF!</v>
      </c>
    </row>
    <row r="35408" spans="1:6" ht="15.75" customHeight="1">
      <c r="A35408" s="16" t="s">
        <v>8067</v>
      </c>
      <c r="B35408" s="15" t="s">
        <v>8067</v>
      </c>
      <c r="C35408" s="16" t="s">
        <v>8028</v>
      </c>
      <c r="D35408" s="16" t="s">
        <v>8065</v>
      </c>
      <c r="E35408" s="2">
        <v>2956206</v>
      </c>
      <c r="F35408" s="4" t="e">
        <f>IF(B35408=#REF!,"",B35408)</f>
        <v>#REF!</v>
      </c>
    </row>
    <row r="35409" spans="1:6" ht="15.75" customHeight="1">
      <c r="A35409" s="16" t="s">
        <v>1516</v>
      </c>
      <c r="B35409" s="15" t="s">
        <v>1517</v>
      </c>
      <c r="C35409" s="16" t="s">
        <v>1512</v>
      </c>
      <c r="D35409" s="16" t="s">
        <v>1518</v>
      </c>
      <c r="E35409" s="2">
        <v>2803204</v>
      </c>
      <c r="F35409" s="4" t="e">
        <f>IF(B35409=#REF!,"",B35409)</f>
        <v>#REF!</v>
      </c>
    </row>
    <row r="35410" spans="1:6" ht="15.75" customHeight="1">
      <c r="A35410" s="15" t="s">
        <v>17324</v>
      </c>
      <c r="B35410" s="15" t="s">
        <v>17325</v>
      </c>
      <c r="C35410" s="15" t="s">
        <v>17292</v>
      </c>
      <c r="D35410" s="15" t="s">
        <v>1486</v>
      </c>
      <c r="E35410" s="2">
        <v>1076454</v>
      </c>
      <c r="F35410" s="4" t="str">
        <f>IF(B35410=B35409,"",B35410)</f>
        <v>Andapa</v>
      </c>
    </row>
    <row r="35411" spans="1:6" ht="15.75" customHeight="1">
      <c r="A35411" s="15" t="s">
        <v>24278</v>
      </c>
      <c r="B35411" s="15" t="s">
        <v>24279</v>
      </c>
      <c r="C35411" s="15" t="s">
        <v>24200</v>
      </c>
      <c r="D35411" s="15" t="s">
        <v>24205</v>
      </c>
      <c r="E35411" s="2">
        <v>2521738</v>
      </c>
      <c r="F35411" s="4" t="str">
        <f>IF(B35411=B35410,"",B35411)</f>
        <v>AndÃºjar</v>
      </c>
    </row>
    <row r="35412" spans="1:6" ht="15.75" customHeight="1">
      <c r="A35412" s="16" t="str">
        <f ca="1">IFERROR(__xludf.DUMMYFUNCTION("GOOGLETRANSLATE(B27049,""en"",""pt"")"),"Andaluzía")</f>
        <v>Andaluzía</v>
      </c>
      <c r="B35412" s="20" t="s">
        <v>31890</v>
      </c>
      <c r="C35412" s="20" t="s">
        <v>5348</v>
      </c>
      <c r="D35412" s="20" t="s">
        <v>5360</v>
      </c>
      <c r="E35412" s="10">
        <v>3689905</v>
      </c>
      <c r="F35412" s="4" t="str">
        <f>IF(B35412=B35411,"",B35412)</f>
        <v>Andalucía</v>
      </c>
    </row>
    <row r="35413" spans="1:6" ht="15.75" customHeight="1">
      <c r="A35413" s="16" t="s">
        <v>5358</v>
      </c>
      <c r="B35413" s="15" t="s">
        <v>5359</v>
      </c>
      <c r="C35413" s="16" t="s">
        <v>5348</v>
      </c>
      <c r="D35413" s="16" t="s">
        <v>5360</v>
      </c>
      <c r="E35413" s="2">
        <v>3689905</v>
      </c>
      <c r="F35413" s="4" t="e">
        <f>IF(B35413=#REF!,"",B35413)</f>
        <v>#REF!</v>
      </c>
    </row>
    <row r="35414" spans="1:6" ht="15.75" customHeight="1">
      <c r="A35414" s="16" t="s">
        <v>20472</v>
      </c>
      <c r="B35414" s="15" t="s">
        <v>20472</v>
      </c>
      <c r="C35414" s="16" t="s">
        <v>20470</v>
      </c>
      <c r="D35414" s="16" t="s">
        <v>20471</v>
      </c>
      <c r="E35414" s="2">
        <v>3947740</v>
      </c>
      <c r="F35414" s="4" t="e">
        <f>IF(B35414=#REF!,"",B35414)</f>
        <v>#REF!</v>
      </c>
    </row>
    <row r="35415" spans="1:6" ht="15.75" customHeight="1">
      <c r="A35415" s="15" t="s">
        <v>4493</v>
      </c>
      <c r="B35415" s="15" t="s">
        <v>4493</v>
      </c>
      <c r="C35415" s="15" t="s">
        <v>4487</v>
      </c>
      <c r="D35415" s="15" t="s">
        <v>4488</v>
      </c>
      <c r="E35415" s="2">
        <v>2038650</v>
      </c>
      <c r="F35415" s="4" t="e">
        <f>IF(B35415=#REF!,"",B35415)</f>
        <v>#REF!</v>
      </c>
    </row>
    <row r="35416" spans="1:6" ht="15.75" customHeight="1">
      <c r="A35416" s="15" t="s">
        <v>4354</v>
      </c>
      <c r="B35416" s="15" t="s">
        <v>4354</v>
      </c>
      <c r="C35416" s="15" t="s">
        <v>4355</v>
      </c>
      <c r="D35416" s="15" t="s">
        <v>4356</v>
      </c>
      <c r="E35416" s="2">
        <v>3899695</v>
      </c>
      <c r="F35416" s="4" t="e">
        <f>IF(B35416=#REF!,"",B35416)</f>
        <v>#REF!</v>
      </c>
    </row>
    <row r="35417" spans="1:6" ht="15.75" customHeight="1">
      <c r="A35417" s="15" t="s">
        <v>14930</v>
      </c>
      <c r="B35417" s="15" t="s">
        <v>14930</v>
      </c>
      <c r="C35417" s="15" t="s">
        <v>14891</v>
      </c>
      <c r="D35417" s="15" t="s">
        <v>14931</v>
      </c>
      <c r="E35417" s="2">
        <v>3183089</v>
      </c>
      <c r="F35417" s="4" t="e">
        <f>IF(B35417=#REF!,"",B35417)</f>
        <v>#REF!</v>
      </c>
    </row>
    <row r="35418" spans="1:6" ht="15.75" customHeight="1">
      <c r="A35418" s="16" t="s">
        <v>27865</v>
      </c>
      <c r="B35418" s="15" t="s">
        <v>27866</v>
      </c>
      <c r="C35418" s="16" t="s">
        <v>27788</v>
      </c>
      <c r="D35418" s="16" t="s">
        <v>27867</v>
      </c>
      <c r="E35418" s="2">
        <v>5879400</v>
      </c>
      <c r="F35418" s="4" t="e">
        <f>IF(B35418=#REF!,"",B35418)</f>
        <v>#REF!</v>
      </c>
    </row>
    <row r="35419" spans="1:6" ht="15.75" customHeight="1">
      <c r="A35419" s="15" t="s">
        <v>19319</v>
      </c>
      <c r="B35419" s="15" t="s">
        <v>19319</v>
      </c>
      <c r="C35419" s="15" t="s">
        <v>19294</v>
      </c>
      <c r="D35419" s="15" t="s">
        <v>19320</v>
      </c>
      <c r="E35419" s="2">
        <v>2349951</v>
      </c>
      <c r="F35419" s="4" t="e">
        <f>IF(B35419=#REF!,"",B35419)</f>
        <v>#REF!</v>
      </c>
    </row>
    <row r="35420" spans="1:6" ht="15.75" customHeight="1">
      <c r="A35420" s="15" t="s">
        <v>3984</v>
      </c>
      <c r="B35420" s="15" t="s">
        <v>3984</v>
      </c>
      <c r="C35420" s="15" t="s">
        <v>3975</v>
      </c>
      <c r="D35420" s="15" t="s">
        <v>3980</v>
      </c>
      <c r="E35420" s="2">
        <v>8285452</v>
      </c>
      <c r="F35420" s="4" t="str">
        <f>IF(B35420=B35419,"",B35420)</f>
        <v>Ancaster</v>
      </c>
    </row>
    <row r="35421" spans="1:6" ht="15.75" customHeight="1">
      <c r="A35421" s="16" t="str">
        <f ca="1">IFERROR(__xludf.DUMMYFUNCTION("GOOGLETRANSLATE(B36022,""en"",""pt"")"),"Anbyŏn-ŭp")</f>
        <v>Anbyŏn-ŭp</v>
      </c>
      <c r="B35421" s="20" t="s">
        <v>34455</v>
      </c>
      <c r="C35421" s="20" t="s">
        <v>19589</v>
      </c>
      <c r="D35421" s="20" t="s">
        <v>34434</v>
      </c>
      <c r="E35421" s="10">
        <v>1879672</v>
      </c>
      <c r="F35421" s="4" t="str">
        <f>IF(B35421=B35420,"",B35421)</f>
        <v>Anbyŏn-ŭp</v>
      </c>
    </row>
    <row r="35422" spans="1:6" ht="15.75" customHeight="1">
      <c r="A35422" s="16" t="s">
        <v>19593</v>
      </c>
      <c r="B35422" s="15" t="s">
        <v>19594</v>
      </c>
      <c r="C35422" s="16" t="s">
        <v>19589</v>
      </c>
      <c r="D35422" s="16" t="s">
        <v>19595</v>
      </c>
      <c r="E35422" s="2">
        <v>1879672</v>
      </c>
      <c r="F35422" s="4" t="e">
        <f>IF(B35422=#REF!,"",B35422)</f>
        <v>#REF!</v>
      </c>
    </row>
    <row r="35423" spans="1:6" ht="15.75" customHeight="1">
      <c r="A35423" s="15" t="s">
        <v>4491</v>
      </c>
      <c r="B35423" s="15" t="s">
        <v>4491</v>
      </c>
      <c r="C35423" s="15" t="s">
        <v>4487</v>
      </c>
      <c r="D35423" s="15" t="s">
        <v>4492</v>
      </c>
      <c r="E35423" s="2">
        <v>1818116</v>
      </c>
      <c r="F35423" s="4" t="str">
        <f>IF(B35423=B35422,"",B35423)</f>
        <v>Anbu</v>
      </c>
    </row>
    <row r="35424" spans="1:6" ht="15.75" customHeight="1">
      <c r="A35424" s="16" t="str">
        <f ca="1">IFERROR(__xludf.DUMMYFUNCTION("GOOGLETRANSLATE(B23361,""en"",""pt"")"),"Añatuya")</f>
        <v>Añatuya</v>
      </c>
      <c r="B35424" s="20" t="s">
        <v>31219</v>
      </c>
      <c r="C35424" s="20" t="s">
        <v>558</v>
      </c>
      <c r="D35424" s="20" t="s">
        <v>559</v>
      </c>
      <c r="E35424" s="10">
        <v>3865840</v>
      </c>
      <c r="F35424" s="4" t="str">
        <f>IF(B35424=B35423,"",B35424)</f>
        <v>Añatuya</v>
      </c>
    </row>
    <row r="35425" spans="1:6" ht="15.75" customHeight="1">
      <c r="A35425" s="16" t="str">
        <f ca="1">IFERROR(__xludf.DUMMYFUNCTION("GOOGLETRANSLATE(B25283,""en"",""pt"")"),"Anastácio")</f>
        <v>Anastácio</v>
      </c>
      <c r="B35425" s="20" t="s">
        <v>31728</v>
      </c>
      <c r="C35425" s="20" t="s">
        <v>1905</v>
      </c>
      <c r="D35425" s="20" t="s">
        <v>1973</v>
      </c>
      <c r="E35425" s="10">
        <v>3472284</v>
      </c>
      <c r="F35425" s="4" t="str">
        <f>IF(B35425=B35424,"",B35425)</f>
        <v>Anastácio</v>
      </c>
    </row>
    <row r="35426" spans="1:6" ht="15.75" customHeight="1">
      <c r="A35426" s="15" t="s">
        <v>1971</v>
      </c>
      <c r="B35426" s="15" t="s">
        <v>1972</v>
      </c>
      <c r="C35426" s="15" t="s">
        <v>1905</v>
      </c>
      <c r="D35426" s="15" t="s">
        <v>1973</v>
      </c>
      <c r="E35426" s="2">
        <v>3472284</v>
      </c>
      <c r="F35426" s="4" t="str">
        <f>IF(B35426=B35425,"",B35426)</f>
        <v>AnastÃ¡cio</v>
      </c>
    </row>
    <row r="35427" spans="1:6" ht="15.75" customHeight="1">
      <c r="A35427" s="16" t="str">
        <f ca="1">IFERROR(__xludf.DUMMYFUNCTION("GOOGLETRANSLATE(B25284,""en"",""pt"")"),"Anápolis")</f>
        <v>Anápolis</v>
      </c>
      <c r="B35427" s="20" t="s">
        <v>31729</v>
      </c>
      <c r="C35427" s="20" t="s">
        <v>1905</v>
      </c>
      <c r="D35427" s="20" t="s">
        <v>31436</v>
      </c>
      <c r="E35427" s="10">
        <v>3472287</v>
      </c>
      <c r="F35427" s="4" t="e">
        <f>IF(B35427=#REF!,"",B35427)</f>
        <v>#REF!</v>
      </c>
    </row>
    <row r="35428" spans="1:6" ht="15.75" customHeight="1">
      <c r="A35428" s="15" t="s">
        <v>22132</v>
      </c>
      <c r="B35428" s="15" t="s">
        <v>22132</v>
      </c>
      <c r="C35428" s="15" t="s">
        <v>22070</v>
      </c>
      <c r="D35428" s="15" t="s">
        <v>22077</v>
      </c>
      <c r="E35428" s="2">
        <v>582182</v>
      </c>
      <c r="F35428" s="4" t="e">
        <f>IF(B35428=#REF!,"",B35428)</f>
        <v>#REF!</v>
      </c>
    </row>
    <row r="35429" spans="1:6" ht="15.75" customHeight="1">
      <c r="A35429" s="15" t="s">
        <v>10354</v>
      </c>
      <c r="B35429" s="15" t="s">
        <v>10354</v>
      </c>
      <c r="C35429" s="15" t="s">
        <v>10178</v>
      </c>
      <c r="D35429" s="15" t="s">
        <v>10355</v>
      </c>
      <c r="E35429" s="2">
        <v>1278667</v>
      </c>
      <c r="F35429" s="4" t="e">
        <f>IF(B35429=#REF!,"",B35429)</f>
        <v>#REF!</v>
      </c>
    </row>
    <row r="35430" spans="1:6" ht="15.75" customHeight="1">
      <c r="A35430" s="16" t="s">
        <v>10353</v>
      </c>
      <c r="B35430" s="15" t="s">
        <v>10353</v>
      </c>
      <c r="C35430" s="16" t="s">
        <v>10178</v>
      </c>
      <c r="D35430" s="16" t="s">
        <v>10190</v>
      </c>
      <c r="E35430" s="2">
        <v>1278672</v>
      </c>
      <c r="F35430" s="4" t="e">
        <f>IF(B35430=#REF!,"",B35430)</f>
        <v>#REF!</v>
      </c>
    </row>
    <row r="35431" spans="1:6" ht="15.75" customHeight="1">
      <c r="A35431" s="16" t="s">
        <v>1970</v>
      </c>
      <c r="B35431" s="15" t="s">
        <v>1970</v>
      </c>
      <c r="C35431" s="16" t="s">
        <v>1905</v>
      </c>
      <c r="D35431" s="16" t="s">
        <v>1906</v>
      </c>
      <c r="E35431" s="2">
        <v>3407669</v>
      </c>
      <c r="F35431" s="4" t="e">
        <f>IF(B35431=#REF!,"",B35431)</f>
        <v>#REF!</v>
      </c>
    </row>
    <row r="35432" spans="1:6" ht="15.75" customHeight="1">
      <c r="A35432" s="16" t="s">
        <v>10352</v>
      </c>
      <c r="B35432" s="15" t="s">
        <v>10352</v>
      </c>
      <c r="C35432" s="16" t="s">
        <v>10178</v>
      </c>
      <c r="D35432" s="16" t="s">
        <v>10184</v>
      </c>
      <c r="E35432" s="2">
        <v>1278676</v>
      </c>
      <c r="F35432" s="4" t="str">
        <f>IF(B35432=B35431,"",B35432)</f>
        <v>Anandpur</v>
      </c>
    </row>
    <row r="35433" spans="1:6" ht="15.75" customHeight="1">
      <c r="A35433" s="16" t="str">
        <f ca="1">IFERROR(__xludf.DUMMYFUNCTION("GOOGLETRANSLATE(B34106,""en"",""pt"")"),"Ānand")</f>
        <v>Ānand</v>
      </c>
      <c r="B35433" s="20" t="s">
        <v>34028</v>
      </c>
      <c r="C35433" s="20" t="s">
        <v>10178</v>
      </c>
      <c r="D35433" s="20" t="s">
        <v>10209</v>
      </c>
      <c r="E35433" s="10">
        <v>1278685</v>
      </c>
      <c r="F35433" s="4" t="e">
        <f>IF(B35433=#REF!,"",B35433)</f>
        <v>#REF!</v>
      </c>
    </row>
    <row r="35434" spans="1:6" ht="15.75" customHeight="1">
      <c r="A35434" s="15" t="s">
        <v>15725</v>
      </c>
      <c r="B35434" s="15" t="s">
        <v>15725</v>
      </c>
      <c r="C35434" s="15" t="s">
        <v>15704</v>
      </c>
      <c r="D35434" s="15" t="s">
        <v>15726</v>
      </c>
      <c r="E35434" s="2">
        <v>1865309</v>
      </c>
      <c r="F35434" s="4" t="e">
        <f>IF(B35434=#REF!,"",B35434)</f>
        <v>#REF!</v>
      </c>
    </row>
    <row r="35435" spans="1:6" ht="15.75" customHeight="1">
      <c r="A35435" s="15" t="s">
        <v>26314</v>
      </c>
      <c r="B35435" s="15" t="s">
        <v>26314</v>
      </c>
      <c r="C35435" s="15" t="s">
        <v>26201</v>
      </c>
      <c r="D35435" s="15" t="s">
        <v>26315</v>
      </c>
      <c r="E35435" s="2">
        <v>323828</v>
      </c>
      <c r="F35435" s="4" t="str">
        <f>IF(B35435=B35434,"",B35435)</f>
        <v>Anamur</v>
      </c>
    </row>
    <row r="35436" spans="1:6" ht="15.75" customHeight="1">
      <c r="A35436" s="16" t="str">
        <f ca="1">IFERROR(__xludf.DUMMYFUNCTION("GOOGLETRANSLATE(B34107,""en"",""pt"")"),"Anakāpalle")</f>
        <v>Anakāpalle</v>
      </c>
      <c r="B35436" s="20" t="s">
        <v>34029</v>
      </c>
      <c r="C35436" s="20" t="s">
        <v>10178</v>
      </c>
      <c r="D35436" s="20" t="s">
        <v>10190</v>
      </c>
      <c r="E35436" s="10">
        <v>1278688</v>
      </c>
      <c r="F35436" s="4" t="str">
        <f>IF(B35436=B35435,"",B35436)</f>
        <v>Anakāpalle</v>
      </c>
    </row>
    <row r="35437" spans="1:6" ht="15.75" customHeight="1">
      <c r="A35437" s="16" t="s">
        <v>10350</v>
      </c>
      <c r="B35437" s="15" t="s">
        <v>10351</v>
      </c>
      <c r="C35437" s="16" t="s">
        <v>10178</v>
      </c>
      <c r="D35437" s="16" t="s">
        <v>10190</v>
      </c>
      <c r="E35437" s="2">
        <v>1278688</v>
      </c>
      <c r="F35437" s="4" t="e">
        <f>IF(B35437=#REF!,"",B35437)</f>
        <v>#REF!</v>
      </c>
    </row>
    <row r="35438" spans="1:6" ht="15.75" customHeight="1">
      <c r="A35438" s="15" t="s">
        <v>19591</v>
      </c>
      <c r="B35438" s="15" t="s">
        <v>19591</v>
      </c>
      <c r="C35438" s="15" t="s">
        <v>19589</v>
      </c>
      <c r="D35438" s="15" t="s">
        <v>19592</v>
      </c>
      <c r="E35438" s="2">
        <v>1879682</v>
      </c>
      <c r="F35438" s="4" t="e">
        <f>IF(B35438=#REF!,"",B35438)</f>
        <v>#REF!</v>
      </c>
    </row>
    <row r="35439" spans="1:6" ht="15.75" customHeight="1">
      <c r="A35439" s="16" t="s">
        <v>10349</v>
      </c>
      <c r="B35439" s="15" t="s">
        <v>10349</v>
      </c>
      <c r="C35439" s="16" t="s">
        <v>10178</v>
      </c>
      <c r="D35439" s="16" t="s">
        <v>10196</v>
      </c>
      <c r="E35439" s="2">
        <v>1278692</v>
      </c>
      <c r="F35439" s="4" t="str">
        <f>IF(B35439=B35438,"",B35439)</f>
        <v>Anaimalai</v>
      </c>
    </row>
    <row r="35440" spans="1:6" ht="15.75" customHeight="1">
      <c r="A35440" s="16" t="str">
        <f ca="1">IFERROR(__xludf.DUMMYFUNCTION("GOOGLETRANSLATE(B37350,""en"",""pt"")"),"Anáhuac")</f>
        <v>Anáhuac</v>
      </c>
      <c r="B35440" s="20" t="s">
        <v>34784</v>
      </c>
      <c r="C35440" s="20" t="s">
        <v>17707</v>
      </c>
      <c r="D35440" s="20" t="s">
        <v>34689</v>
      </c>
      <c r="E35440" s="10">
        <v>4022908</v>
      </c>
      <c r="F35440" s="4" t="e">
        <f>IF(B35440=#REF!,"",B35440)</f>
        <v>#REF!</v>
      </c>
    </row>
    <row r="35441" spans="1:6" ht="15.75" customHeight="1">
      <c r="A35441" s="15" t="s">
        <v>27864</v>
      </c>
      <c r="B35441" s="15" t="s">
        <v>27864</v>
      </c>
      <c r="C35441" s="15" t="s">
        <v>27788</v>
      </c>
      <c r="D35441" s="15" t="s">
        <v>27801</v>
      </c>
      <c r="E35441" s="2">
        <v>5323810</v>
      </c>
      <c r="F35441" s="4" t="e">
        <f>IF(B35441=#REF!,"",B35441)</f>
        <v>#REF!</v>
      </c>
    </row>
    <row r="35442" spans="1:6" ht="15.75" customHeight="1">
      <c r="A35442" s="16" t="s">
        <v>27863</v>
      </c>
      <c r="B35442" s="15" t="s">
        <v>27863</v>
      </c>
      <c r="C35442" s="16" t="s">
        <v>27788</v>
      </c>
      <c r="D35442" s="16" t="s">
        <v>27733</v>
      </c>
      <c r="E35442" s="2">
        <v>5785657</v>
      </c>
      <c r="F35442" s="4" t="e">
        <f>IF(B35442=#REF!,"",B35442)</f>
        <v>#REF!</v>
      </c>
    </row>
    <row r="35443" spans="1:6" ht="15.75" customHeight="1">
      <c r="A35443" s="15" t="s">
        <v>30640</v>
      </c>
      <c r="B35443" s="15" t="s">
        <v>30640</v>
      </c>
      <c r="C35443" s="15" t="s">
        <v>5923</v>
      </c>
      <c r="D35443" s="15" t="s">
        <v>30641</v>
      </c>
      <c r="E35443" s="2">
        <v>3486270</v>
      </c>
      <c r="F35443" s="4" t="str">
        <f>IF(B35443=B35442,"",B35443)</f>
        <v>Anaco</v>
      </c>
    </row>
    <row r="35444" spans="1:6" ht="15.75" customHeight="1">
      <c r="A35444" s="15" t="s">
        <v>26036</v>
      </c>
      <c r="B35444" s="15" t="s">
        <v>26037</v>
      </c>
      <c r="C35444" s="15" t="s">
        <v>26038</v>
      </c>
      <c r="D35444" s="15" t="s">
        <v>26039</v>
      </c>
      <c r="E35444" s="2">
        <v>2367990</v>
      </c>
      <c r="F35444" s="4" t="str">
        <f>IF(B35444=B35443,"",B35444)</f>
        <v>AnÃ©ho</v>
      </c>
    </row>
    <row r="35445" spans="1:6" ht="15.75" customHeight="1">
      <c r="A35445" s="16" t="s">
        <v>10347</v>
      </c>
      <c r="B35445" s="15" t="s">
        <v>10348</v>
      </c>
      <c r="C35445" s="16" t="s">
        <v>10178</v>
      </c>
      <c r="D35445" s="16" t="s">
        <v>10193</v>
      </c>
      <c r="E35445" s="2">
        <v>1278507</v>
      </c>
      <c r="F35445" s="4" t="str">
        <f>IF(B35445=B35444,"",B35445)</f>
        <v>AnÅ«pshahr</v>
      </c>
    </row>
    <row r="35446" spans="1:6" ht="15.75" customHeight="1">
      <c r="A35446" s="16" t="s">
        <v>10345</v>
      </c>
      <c r="B35446" s="15" t="s">
        <v>10346</v>
      </c>
      <c r="C35446" s="16" t="s">
        <v>10178</v>
      </c>
      <c r="D35446" s="16" t="s">
        <v>10219</v>
      </c>
      <c r="E35446" s="2">
        <v>1278508</v>
      </c>
      <c r="F35446" s="4" t="str">
        <f>IF(B35446=B35445,"",B35446)</f>
        <v>AnÅ«ppur</v>
      </c>
    </row>
    <row r="35447" spans="1:6" ht="15.75" customHeight="1">
      <c r="A35447" s="16" t="s">
        <v>10343</v>
      </c>
      <c r="B35447" s="15" t="s">
        <v>10344</v>
      </c>
      <c r="C35447" s="16" t="s">
        <v>10178</v>
      </c>
      <c r="D35447" s="16" t="s">
        <v>10179</v>
      </c>
      <c r="E35447" s="2">
        <v>1278510</v>
      </c>
      <c r="F35447" s="4" t="str">
        <f>IF(B35447=B35446,"",B35447)</f>
        <v>AnÅ«pgarh</v>
      </c>
    </row>
    <row r="35448" spans="1:6" ht="15.75" customHeight="1">
      <c r="A35448" s="15" t="s">
        <v>1967</v>
      </c>
      <c r="B35448" s="15" t="s">
        <v>1968</v>
      </c>
      <c r="C35448" s="15" t="s">
        <v>1905</v>
      </c>
      <c r="D35448" s="15" t="s">
        <v>1969</v>
      </c>
      <c r="E35448" s="2">
        <v>3472287</v>
      </c>
      <c r="F35448" s="4" t="str">
        <f>IF(B35448=B35447,"",B35448)</f>
        <v>AnÃ¡polis</v>
      </c>
    </row>
    <row r="35449" spans="1:6" ht="15.75" customHeight="1">
      <c r="A35449" s="15" t="s">
        <v>17751</v>
      </c>
      <c r="B35449" s="15" t="s">
        <v>17752</v>
      </c>
      <c r="C35449" s="15" t="s">
        <v>17707</v>
      </c>
      <c r="D35449" s="15" t="s">
        <v>17739</v>
      </c>
      <c r="E35449" s="2">
        <v>4022908</v>
      </c>
      <c r="F35449" s="4" t="str">
        <f>IF(B35449=B35448,"",B35449)</f>
        <v>AnÃ¡huac</v>
      </c>
    </row>
    <row r="35450" spans="1:6" ht="15.75" customHeight="1">
      <c r="A35450" s="16" t="str">
        <f ca="1">IFERROR(__xludf.DUMMYFUNCTION("GOOGLETRANSLATE(B39526,""en"",""pt"")"),"Um nuşayrāt")</f>
        <v>Um nuşayrāt</v>
      </c>
      <c r="B35450" s="20" t="s">
        <v>35259</v>
      </c>
      <c r="C35450" s="20" t="s">
        <v>20297</v>
      </c>
      <c r="D35450" s="20" t="s">
        <v>20305</v>
      </c>
      <c r="E35450" s="10">
        <v>281109</v>
      </c>
      <c r="F35450" s="4" t="str">
        <f>IF(B35450=B35449,"",B35450)</f>
        <v>An Nuşayrāt</v>
      </c>
    </row>
    <row r="35451" spans="1:6" ht="15.75" customHeight="1">
      <c r="A35451" s="16" t="str">
        <f ca="1">IFERROR(__xludf.DUMMYFUNCTION("GOOGLETRANSLATE(B41097,""en"",""pt"")"),"Um nuhūd")</f>
        <v>Um nuhūd</v>
      </c>
      <c r="B35451" s="20" t="s">
        <v>35613</v>
      </c>
      <c r="C35451" s="20" t="s">
        <v>24987</v>
      </c>
      <c r="D35451" s="20" t="s">
        <v>24988</v>
      </c>
      <c r="E35451" s="10">
        <v>378699</v>
      </c>
      <c r="F35451" s="4" t="str">
        <f>IF(B35451=B35450,"",B35451)</f>
        <v>An Nuhūd</v>
      </c>
    </row>
    <row r="35452" spans="1:6" ht="15.75" customHeight="1">
      <c r="A35452" s="16" t="s">
        <v>25011</v>
      </c>
      <c r="B35452" s="15" t="s">
        <v>25012</v>
      </c>
      <c r="C35452" s="16" t="s">
        <v>24987</v>
      </c>
      <c r="D35452" s="16" t="s">
        <v>24988</v>
      </c>
      <c r="E35452" s="2">
        <v>378699</v>
      </c>
      <c r="F35452" s="4" t="str">
        <f>IF(B35452=B35451,"",B35452)</f>
        <v>An NuhÅ«d</v>
      </c>
    </row>
    <row r="35453" spans="1:6" ht="15.75" customHeight="1">
      <c r="A35453" s="16" t="s">
        <v>20315</v>
      </c>
      <c r="B35453" s="15" t="s">
        <v>20316</v>
      </c>
      <c r="C35453" s="16" t="s">
        <v>20297</v>
      </c>
      <c r="D35453" s="16" t="s">
        <v>20305</v>
      </c>
      <c r="E35453" s="2">
        <v>281109</v>
      </c>
      <c r="F35453" s="4" t="str">
        <f>IF(B35453=B35452,"",B35453)</f>
        <v>An NuÅŸayrÄt</v>
      </c>
    </row>
    <row r="35454" spans="1:6" ht="15.75" customHeight="1">
      <c r="A35454" s="16" t="str">
        <f ca="1">IFERROR(__xludf.DUMMYFUNCTION("GOOGLETRANSLATE(B41043,""en"",""pt"")"),"Um nimāş")</f>
        <v>Um nimāş</v>
      </c>
      <c r="B35454" s="20" t="s">
        <v>35588</v>
      </c>
      <c r="C35454" s="20" t="s">
        <v>23454</v>
      </c>
      <c r="D35454" s="20" t="s">
        <v>35581</v>
      </c>
      <c r="E35454" s="10">
        <v>108617</v>
      </c>
      <c r="F35454" s="4" t="str">
        <f>IF(B35454=B35453,"",B35454)</f>
        <v>An Nimāş</v>
      </c>
    </row>
    <row r="35455" spans="1:6" ht="15.75" customHeight="1">
      <c r="A35455" s="16" t="s">
        <v>23504</v>
      </c>
      <c r="B35455" s="15" t="s">
        <v>23505</v>
      </c>
      <c r="C35455" s="16" t="s">
        <v>23454</v>
      </c>
      <c r="D35455" s="16" t="s">
        <v>23469</v>
      </c>
      <c r="E35455" s="2">
        <v>108617</v>
      </c>
      <c r="F35455" s="4" t="str">
        <f>IF(B35455=B35454,"",B35455)</f>
        <v>An NimÄÅŸ</v>
      </c>
    </row>
    <row r="35456" spans="1:6" ht="15.75" customHeight="1">
      <c r="A35456" s="16" t="str">
        <f ca="1">IFERROR(__xludf.DUMMYFUNCTION("GOOGLETRANSLATE(B34310,""en"",""pt"")"),"Um nāşirīyah")</f>
        <v>Um nāşirīyah</v>
      </c>
      <c r="B35456" s="20" t="s">
        <v>34095</v>
      </c>
      <c r="C35456" s="20" t="s">
        <v>14594</v>
      </c>
      <c r="D35456" s="20" t="s">
        <v>14657</v>
      </c>
      <c r="E35456" s="10">
        <v>98854</v>
      </c>
      <c r="F35456" s="4" t="e">
        <f>IF(B35456=#REF!,"",B35456)</f>
        <v>#REF!</v>
      </c>
    </row>
    <row r="35457" spans="1:6" ht="15.75" customHeight="1">
      <c r="A35457" s="15" t="s">
        <v>25412</v>
      </c>
      <c r="B35457" s="15" t="s">
        <v>25413</v>
      </c>
      <c r="C35457" s="15" t="s">
        <v>25366</v>
      </c>
      <c r="D35457" s="15" t="s">
        <v>25372</v>
      </c>
      <c r="E35457" s="2">
        <v>173193</v>
      </c>
      <c r="F35457" s="4" t="str">
        <f>IF(B35457=B35456,"",B35457)</f>
        <v>An Nabk</v>
      </c>
    </row>
    <row r="35458" spans="1:6" ht="15.75" customHeight="1">
      <c r="A35458" s="16" t="s">
        <v>14655</v>
      </c>
      <c r="B35458" s="15" t="s">
        <v>14656</v>
      </c>
      <c r="C35458" s="16" t="s">
        <v>14594</v>
      </c>
      <c r="D35458" s="16" t="s">
        <v>14657</v>
      </c>
      <c r="E35458" s="2">
        <v>98854</v>
      </c>
      <c r="F35458" s="4" t="e">
        <f>IF(B35458=#REF!,"",B35458)</f>
        <v>#REF!</v>
      </c>
    </row>
    <row r="35459" spans="1:6" ht="15.75" customHeight="1">
      <c r="A35459" s="16" t="s">
        <v>14726</v>
      </c>
      <c r="B35459" s="15" t="s">
        <v>14727</v>
      </c>
      <c r="C35459" s="16" t="s">
        <v>14728</v>
      </c>
      <c r="D35459" s="16" t="s">
        <v>14729</v>
      </c>
      <c r="E35459" s="2">
        <v>2962361</v>
      </c>
      <c r="F35459" s="4" t="e">
        <f>IF(B35459=#REF!,"",B35459)</f>
        <v>#REF!</v>
      </c>
    </row>
    <row r="35460" spans="1:6" ht="15.75" customHeight="1">
      <c r="A35460" s="16" t="s">
        <v>26874</v>
      </c>
      <c r="B35460" s="15" t="s">
        <v>26874</v>
      </c>
      <c r="C35460" s="16" t="s">
        <v>26870</v>
      </c>
      <c r="D35460" s="16" t="s">
        <v>22345</v>
      </c>
      <c r="E35460" s="2">
        <v>713504</v>
      </c>
      <c r="F35460" s="4" t="e">
        <f>IF(B35460=#REF!,"",B35460)</f>
        <v>#REF!</v>
      </c>
    </row>
    <row r="35461" spans="1:6" ht="15.75" customHeight="1">
      <c r="A35461" s="15" t="s">
        <v>22130</v>
      </c>
      <c r="B35461" s="15" t="s">
        <v>22130</v>
      </c>
      <c r="C35461" s="15" t="s">
        <v>22070</v>
      </c>
      <c r="D35461" s="15" t="s">
        <v>22131</v>
      </c>
      <c r="E35461" s="2">
        <v>2027749</v>
      </c>
      <c r="F35461" s="4" t="e">
        <f>IF(B35461=#REF!,"",B35461)</f>
        <v>#REF!</v>
      </c>
    </row>
    <row r="35462" spans="1:6" ht="15.75" customHeight="1">
      <c r="A35462" s="15" t="s">
        <v>13808</v>
      </c>
      <c r="B35462" s="15" t="s">
        <v>13808</v>
      </c>
      <c r="C35462" s="15" t="s">
        <v>13800</v>
      </c>
      <c r="D35462" s="15" t="s">
        <v>13809</v>
      </c>
      <c r="E35462" s="2">
        <v>1651461</v>
      </c>
      <c r="F35462" s="4" t="str">
        <f>IF(B35462=B35461,"",B35462)</f>
        <v>Amuntai</v>
      </c>
    </row>
    <row r="35463" spans="1:6" ht="15.75" customHeight="1">
      <c r="A35463" s="16" t="str">
        <f ca="1">IFERROR(__xludf.DUMMYFUNCTION("GOOGLETRANSLATE(B34109,""en"",""pt"")"),"Amudālavalasa")</f>
        <v>Amudālavalasa</v>
      </c>
      <c r="B35463" s="20" t="s">
        <v>34030</v>
      </c>
      <c r="C35463" s="20" t="s">
        <v>10178</v>
      </c>
      <c r="D35463" s="20" t="s">
        <v>10190</v>
      </c>
      <c r="E35463" s="10">
        <v>1278698</v>
      </c>
      <c r="F35463" s="4" t="str">
        <f>IF(B35463=B35462,"",B35463)</f>
        <v>Amudālavalasa</v>
      </c>
    </row>
    <row r="35464" spans="1:6" ht="15.75" customHeight="1">
      <c r="A35464" s="16" t="s">
        <v>10341</v>
      </c>
      <c r="B35464" s="15" t="s">
        <v>10342</v>
      </c>
      <c r="C35464" s="16" t="s">
        <v>10178</v>
      </c>
      <c r="D35464" s="16" t="s">
        <v>10190</v>
      </c>
      <c r="E35464" s="2">
        <v>1278698</v>
      </c>
      <c r="F35464" s="4" t="str">
        <f>IF(B35464=B35463,"",B35464)</f>
        <v>AmudÄlavalasa</v>
      </c>
    </row>
    <row r="35465" spans="1:6" ht="15.75" customHeight="1">
      <c r="A35465" s="16" t="str">
        <f ca="1">IFERROR(__xludf.DUMMYFUNCTION("GOOGLETRANSLATE(B34110,""en"",""pt"")"),"Āmta")</f>
        <v>Āmta</v>
      </c>
      <c r="B35465" s="20" t="s">
        <v>34031</v>
      </c>
      <c r="C35465" s="20" t="s">
        <v>10178</v>
      </c>
      <c r="D35465" s="20" t="s">
        <v>10201</v>
      </c>
      <c r="E35465" s="10">
        <v>1278703</v>
      </c>
      <c r="F35465" s="4" t="e">
        <f>IF(B35465=#REF!,"",B35465)</f>
        <v>#REF!</v>
      </c>
    </row>
    <row r="35466" spans="1:6" ht="15.75" customHeight="1">
      <c r="A35466" s="16" t="s">
        <v>1116</v>
      </c>
      <c r="B35466" s="15" t="s">
        <v>1116</v>
      </c>
      <c r="C35466" s="16" t="s">
        <v>1117</v>
      </c>
      <c r="D35466" s="16" t="s">
        <v>1118</v>
      </c>
      <c r="E35466" s="2">
        <v>2782555</v>
      </c>
      <c r="F35466" s="4" t="e">
        <f>IF(B35466=#REF!,"",B35466)</f>
        <v>#REF!</v>
      </c>
    </row>
    <row r="35467" spans="1:6" ht="15.75" customHeight="1">
      <c r="A35467" s="16" t="s">
        <v>18881</v>
      </c>
      <c r="B35467" s="15" t="s">
        <v>18881</v>
      </c>
      <c r="C35467" s="16" t="s">
        <v>18862</v>
      </c>
      <c r="D35467" s="16" t="s">
        <v>18863</v>
      </c>
      <c r="E35467" s="2">
        <v>6544881</v>
      </c>
      <c r="F35467" s="4" t="e">
        <f>IF(B35467=#REF!,"",B35467)</f>
        <v>#REF!</v>
      </c>
    </row>
    <row r="35468" spans="1:6" ht="15.75" customHeight="1">
      <c r="A35468" s="15" t="s">
        <v>18879</v>
      </c>
      <c r="B35468" s="15" t="s">
        <v>18880</v>
      </c>
      <c r="C35468" s="15" t="s">
        <v>18862</v>
      </c>
      <c r="D35468" s="15" t="s">
        <v>18863</v>
      </c>
      <c r="E35468" s="2">
        <v>2759794</v>
      </c>
      <c r="F35468" s="4" t="e">
        <f>IF(B35468=#REF!,"",B35468)</f>
        <v>#REF!</v>
      </c>
    </row>
    <row r="35469" spans="1:6" ht="15.75" customHeight="1">
      <c r="A35469" s="16" t="s">
        <v>18878</v>
      </c>
      <c r="B35469" s="15" t="s">
        <v>18878</v>
      </c>
      <c r="C35469" s="16" t="s">
        <v>18862</v>
      </c>
      <c r="D35469" s="16" t="s">
        <v>18863</v>
      </c>
      <c r="E35469" s="2">
        <v>2759798</v>
      </c>
      <c r="F35469" s="4" t="e">
        <f>IF(B35469=#REF!,"",B35469)</f>
        <v>#REF!</v>
      </c>
    </row>
    <row r="35470" spans="1:6" ht="15.75" customHeight="1">
      <c r="A35470" s="15" t="s">
        <v>10340</v>
      </c>
      <c r="B35470" s="15" t="s">
        <v>10340</v>
      </c>
      <c r="C35470" s="15" t="s">
        <v>10178</v>
      </c>
      <c r="D35470" s="15" t="s">
        <v>10209</v>
      </c>
      <c r="E35470" s="2">
        <v>1278707</v>
      </c>
      <c r="F35470" s="4" t="e">
        <f>IF(B35470=#REF!,"",B35470)</f>
        <v>#REF!</v>
      </c>
    </row>
    <row r="35471" spans="1:6" ht="15.75" customHeight="1">
      <c r="A35471" s="15" t="s">
        <v>10339</v>
      </c>
      <c r="B35471" s="15" t="s">
        <v>10339</v>
      </c>
      <c r="C35471" s="15" t="s">
        <v>10178</v>
      </c>
      <c r="D35471" s="15" t="s">
        <v>10193</v>
      </c>
      <c r="E35471" s="2">
        <v>1278708</v>
      </c>
      <c r="F35471" s="4" t="e">
        <f>IF(B35471=#REF!,"",B35471)</f>
        <v>#REF!</v>
      </c>
    </row>
    <row r="35472" spans="1:6" ht="15.75" customHeight="1">
      <c r="A35472" s="15" t="s">
        <v>10338</v>
      </c>
      <c r="B35472" s="15" t="s">
        <v>10338</v>
      </c>
      <c r="C35472" s="15" t="s">
        <v>10178</v>
      </c>
      <c r="D35472" s="15" t="s">
        <v>10184</v>
      </c>
      <c r="E35472" s="2">
        <v>1278710</v>
      </c>
      <c r="F35472" s="4" t="e">
        <f>IF(B35472=#REF!,"",B35472)</f>
        <v>#REF!</v>
      </c>
    </row>
    <row r="35473" spans="1:6" ht="15.75" customHeight="1">
      <c r="A35473" s="15" t="s">
        <v>10337</v>
      </c>
      <c r="B35473" s="15" t="s">
        <v>10337</v>
      </c>
      <c r="C35473" s="15" t="s">
        <v>10178</v>
      </c>
      <c r="D35473" s="15" t="s">
        <v>10209</v>
      </c>
      <c r="E35473" s="2">
        <v>1278715</v>
      </c>
      <c r="F35473" s="4" t="str">
        <f>IF(B35473=B35472,"",B35473)</f>
        <v>Amreli</v>
      </c>
    </row>
    <row r="35474" spans="1:6" ht="15.75" customHeight="1">
      <c r="A35474" s="16" t="str">
        <f ca="1">IFERROR(__xludf.DUMMYFUNCTION("GOOGLETRANSLATE(B34115,""en"",""pt"")"),"Amrāvati")</f>
        <v>Amrāvati</v>
      </c>
      <c r="B35474" s="20" t="s">
        <v>34032</v>
      </c>
      <c r="C35474" s="20" t="s">
        <v>10178</v>
      </c>
      <c r="D35474" s="20" t="s">
        <v>10214</v>
      </c>
      <c r="E35474" s="10">
        <v>1278718</v>
      </c>
      <c r="F35474" s="4" t="str">
        <f>IF(B35474=B35473,"",B35474)</f>
        <v>Amrāvati</v>
      </c>
    </row>
    <row r="35475" spans="1:6" ht="15.75" customHeight="1">
      <c r="A35475" s="15" t="s">
        <v>10335</v>
      </c>
      <c r="B35475" s="15" t="s">
        <v>10336</v>
      </c>
      <c r="C35475" s="15" t="s">
        <v>10178</v>
      </c>
      <c r="D35475" s="15" t="s">
        <v>10214</v>
      </c>
      <c r="E35475" s="2">
        <v>1278718</v>
      </c>
      <c r="F35475" s="4" t="e">
        <f>IF(B35475=#REF!,"",B35475)</f>
        <v>#REF!</v>
      </c>
    </row>
    <row r="35476" spans="1:6" ht="15.75" customHeight="1">
      <c r="A35476" s="15" t="s">
        <v>24276</v>
      </c>
      <c r="B35476" s="15" t="s">
        <v>24276</v>
      </c>
      <c r="C35476" s="15" t="s">
        <v>24200</v>
      </c>
      <c r="D35476" s="15" t="s">
        <v>24277</v>
      </c>
      <c r="E35476" s="2">
        <v>3130131</v>
      </c>
      <c r="F35476" s="4" t="str">
        <f>IF(B35476=B35475,"",B35476)</f>
        <v>Amposta</v>
      </c>
    </row>
    <row r="35477" spans="1:6" ht="15.75" customHeight="1">
      <c r="A35477" s="16" t="str">
        <f ca="1">IFERROR(__xludf.DUMMYFUNCTION("GOOGLETRANSLATE(B37395,""en"",""pt"")"),"Ampliación San Mateo (Colonia Solidaridad)")</f>
        <v>Ampliación San Mateo (Colonia Solidaridad)</v>
      </c>
      <c r="B35477" s="20" t="s">
        <v>34794</v>
      </c>
      <c r="C35477" s="20" t="s">
        <v>17707</v>
      </c>
      <c r="D35477" s="20" t="s">
        <v>20902</v>
      </c>
      <c r="E35477" s="10">
        <v>8858118</v>
      </c>
      <c r="F35477" s="4" t="str">
        <f>IF(B35477=B35476,"",B35477)</f>
        <v>Ampliación San Mateo (Colonia Solidaridad)</v>
      </c>
    </row>
    <row r="35478" spans="1:6" ht="15.75" customHeight="1">
      <c r="A35478" s="16" t="s">
        <v>17749</v>
      </c>
      <c r="B35478" s="15" t="s">
        <v>17750</v>
      </c>
      <c r="C35478" s="16" t="s">
        <v>17707</v>
      </c>
      <c r="D35478" s="16" t="s">
        <v>17736</v>
      </c>
      <c r="E35478" s="2">
        <v>8858118</v>
      </c>
      <c r="F35478" s="4" t="e">
        <f>IF(B35478=#REF!,"",B35478)</f>
        <v>#REF!</v>
      </c>
    </row>
    <row r="35479" spans="1:6" ht="15.75" customHeight="1">
      <c r="A35479" s="16" t="s">
        <v>25772</v>
      </c>
      <c r="B35479" s="15" t="s">
        <v>25773</v>
      </c>
      <c r="C35479" s="16" t="s">
        <v>25771</v>
      </c>
      <c r="D35479" s="16" t="s">
        <v>25774</v>
      </c>
      <c r="E35479" s="2">
        <v>1948015</v>
      </c>
      <c r="F35479" s="4" t="e">
        <f>IF(B35479=#REF!,"",B35479)</f>
        <v>#REF!</v>
      </c>
    </row>
    <row r="35480" spans="1:6" ht="15.75" customHeight="1">
      <c r="A35480" s="16" t="s">
        <v>17322</v>
      </c>
      <c r="B35480" s="15" t="s">
        <v>17322</v>
      </c>
      <c r="C35480" s="16" t="s">
        <v>17292</v>
      </c>
      <c r="D35480" s="16" t="s">
        <v>17323</v>
      </c>
      <c r="E35480" s="2">
        <v>1078171</v>
      </c>
      <c r="F35480" s="4" t="e">
        <f>IF(B35480=#REF!,"",B35480)</f>
        <v>#REF!</v>
      </c>
    </row>
    <row r="35481" spans="1:6" ht="15.75" customHeight="1">
      <c r="A35481" s="15" t="s">
        <v>1966</v>
      </c>
      <c r="B35481" s="15" t="s">
        <v>1966</v>
      </c>
      <c r="C35481" s="15" t="s">
        <v>1905</v>
      </c>
      <c r="D35481" s="15" t="s">
        <v>1914</v>
      </c>
      <c r="E35481" s="2">
        <v>3472311</v>
      </c>
      <c r="F35481" s="4" t="e">
        <f>IF(B35481=#REF!,"",B35481)</f>
        <v>#REF!</v>
      </c>
    </row>
    <row r="35482" spans="1:6" ht="15.75" customHeight="1">
      <c r="A35482" s="16" t="s">
        <v>17321</v>
      </c>
      <c r="B35482" s="15" t="s">
        <v>17321</v>
      </c>
      <c r="C35482" s="16" t="s">
        <v>17292</v>
      </c>
      <c r="D35482" s="16" t="s">
        <v>17306</v>
      </c>
      <c r="E35482" s="2">
        <v>1078446</v>
      </c>
      <c r="F35482" s="4" t="e">
        <f>IF(B35482=#REF!,"",B35482)</f>
        <v>#REF!</v>
      </c>
    </row>
    <row r="35483" spans="1:6" ht="15.75" customHeight="1">
      <c r="A35483" s="15" t="s">
        <v>24925</v>
      </c>
      <c r="B35483" s="15" t="s">
        <v>24925</v>
      </c>
      <c r="C35483" s="15" t="s">
        <v>24924</v>
      </c>
      <c r="D35483" s="15" t="s">
        <v>6128</v>
      </c>
      <c r="E35483" s="2">
        <v>1251459</v>
      </c>
      <c r="F35483" s="4" t="e">
        <f>IF(B35483=#REF!,"",B35483)</f>
        <v>#REF!</v>
      </c>
    </row>
    <row r="35484" spans="1:6" ht="15.75" customHeight="1">
      <c r="A35484" s="16" t="s">
        <v>17319</v>
      </c>
      <c r="B35484" s="15" t="s">
        <v>17319</v>
      </c>
      <c r="C35484" s="16" t="s">
        <v>17292</v>
      </c>
      <c r="D35484" s="16" t="s">
        <v>17320</v>
      </c>
      <c r="E35484" s="2">
        <v>1078553</v>
      </c>
      <c r="F35484" s="4" t="e">
        <f>IF(B35484=#REF!,"",B35484)</f>
        <v>#REF!</v>
      </c>
    </row>
    <row r="35485" spans="1:6" ht="15.75" customHeight="1">
      <c r="A35485" s="16" t="s">
        <v>17318</v>
      </c>
      <c r="B35485" s="15" t="s">
        <v>17318</v>
      </c>
      <c r="C35485" s="16" t="s">
        <v>17292</v>
      </c>
      <c r="D35485" s="16" t="s">
        <v>1486</v>
      </c>
      <c r="E35485" s="2">
        <v>1078966</v>
      </c>
      <c r="F35485" s="4" t="e">
        <f>IF(B35485=#REF!,"",B35485)</f>
        <v>#REF!</v>
      </c>
    </row>
    <row r="35486" spans="1:6" ht="15.75" customHeight="1">
      <c r="A35486" s="16" t="s">
        <v>17748</v>
      </c>
      <c r="B35486" s="15" t="s">
        <v>17748</v>
      </c>
      <c r="C35486" s="16" t="s">
        <v>17707</v>
      </c>
      <c r="D35486" s="16" t="s">
        <v>17717</v>
      </c>
      <c r="E35486" s="2">
        <v>3532881</v>
      </c>
      <c r="F35486" s="4" t="e">
        <f>IF(B35486=#REF!,"",B35486)</f>
        <v>#REF!</v>
      </c>
    </row>
    <row r="35487" spans="1:6" ht="15.75" customHeight="1">
      <c r="A35487" s="15" t="s">
        <v>3983</v>
      </c>
      <c r="B35487" s="15" t="s">
        <v>3983</v>
      </c>
      <c r="C35487" s="15" t="s">
        <v>3975</v>
      </c>
      <c r="D35487" s="15" t="s">
        <v>3982</v>
      </c>
      <c r="E35487" s="2">
        <v>5884588</v>
      </c>
      <c r="F35487" s="4" t="e">
        <f>IF(B35487=#REF!,"",B35487)</f>
        <v>#REF!</v>
      </c>
    </row>
    <row r="35488" spans="1:6" ht="15.75" customHeight="1">
      <c r="A35488" s="16" t="s">
        <v>24275</v>
      </c>
      <c r="B35488" s="15" t="s">
        <v>24275</v>
      </c>
      <c r="C35488" s="16" t="s">
        <v>24200</v>
      </c>
      <c r="D35488" s="16" t="s">
        <v>24249</v>
      </c>
      <c r="E35488" s="2">
        <v>3130137</v>
      </c>
      <c r="F35488" s="4" t="e">
        <f>IF(B35488=#REF!,"",B35488)</f>
        <v>#REF!</v>
      </c>
    </row>
    <row r="35489" spans="1:6" ht="15.75" customHeight="1">
      <c r="A35489" s="15" t="s">
        <v>21622</v>
      </c>
      <c r="B35489" s="15" t="s">
        <v>21622</v>
      </c>
      <c r="C35489" s="15" t="s">
        <v>21606</v>
      </c>
      <c r="D35489" s="15" t="s">
        <v>21620</v>
      </c>
      <c r="E35489" s="2">
        <v>2271680</v>
      </c>
      <c r="F35489" s="4" t="str">
        <f>IF(B35489=B35488,"",B35489)</f>
        <v>Amora</v>
      </c>
    </row>
    <row r="35490" spans="1:6" ht="15.75" customHeight="1">
      <c r="A35490" s="16" t="str">
        <f ca="1">IFERROR(__xludf.DUMMYFUNCTION("GOOGLETRANSLATE(B34498,""en"",""pt"")"),"Āmol")</f>
        <v>Āmol</v>
      </c>
      <c r="B35490" s="20" t="s">
        <v>34240</v>
      </c>
      <c r="C35490" s="20" t="s">
        <v>14240</v>
      </c>
      <c r="D35490" s="20" t="s">
        <v>34132</v>
      </c>
      <c r="E35490" s="10">
        <v>143534</v>
      </c>
      <c r="F35490" s="4" t="e">
        <f>IF(B35490=#REF!,"",B35490)</f>
        <v>#REF!</v>
      </c>
    </row>
    <row r="35491" spans="1:6" ht="15.75" customHeight="1">
      <c r="A35491" s="15" t="s">
        <v>10334</v>
      </c>
      <c r="B35491" s="15" t="s">
        <v>10334</v>
      </c>
      <c r="C35491" s="15" t="s">
        <v>10178</v>
      </c>
      <c r="D35491" s="15" t="s">
        <v>10209</v>
      </c>
      <c r="E35491" s="2">
        <v>1278742</v>
      </c>
      <c r="F35491" s="4" t="e">
        <f>IF(B35491=#REF!,"",B35491)</f>
        <v>#REF!</v>
      </c>
    </row>
    <row r="35492" spans="1:6" ht="15.75" customHeight="1">
      <c r="A35492" s="16" t="s">
        <v>25770</v>
      </c>
      <c r="B35492" s="15" t="s">
        <v>25770</v>
      </c>
      <c r="C35492" s="16" t="s">
        <v>25771</v>
      </c>
      <c r="D35492" s="16" t="s">
        <v>25770</v>
      </c>
      <c r="E35492" s="2">
        <v>1621060</v>
      </c>
      <c r="F35492" s="4" t="e">
        <f>IF(B35492=#REF!,"",B35492)</f>
        <v>#REF!</v>
      </c>
    </row>
    <row r="35493" spans="1:6" ht="15.75" customHeight="1">
      <c r="A35493" s="16" t="s">
        <v>225</v>
      </c>
      <c r="B35493" s="15" t="s">
        <v>225</v>
      </c>
      <c r="C35493" s="16" t="s">
        <v>153</v>
      </c>
      <c r="D35493" s="16" t="s">
        <v>180</v>
      </c>
      <c r="E35493" s="2">
        <v>2507155</v>
      </c>
      <c r="F35493" s="4" t="e">
        <f>IF(B35493=#REF!,"",B35493)</f>
        <v>#REF!</v>
      </c>
    </row>
    <row r="35494" spans="1:6" ht="15.75" customHeight="1">
      <c r="A35494" s="15" t="s">
        <v>16637</v>
      </c>
      <c r="B35494" s="15" t="s">
        <v>16635</v>
      </c>
      <c r="C35494" s="15" t="s">
        <v>16624</v>
      </c>
      <c r="D35494" s="15" t="s">
        <v>16635</v>
      </c>
      <c r="E35494" s="2">
        <v>250441</v>
      </c>
      <c r="F35494" s="4" t="str">
        <f>IF(B35494=B35493,"",B35494)</f>
        <v>Amman</v>
      </c>
    </row>
    <row r="35495" spans="1:6" ht="15.75" customHeight="1">
      <c r="A35495" s="16" t="str">
        <f ca="1">IFERROR(__xludf.DUMMYFUNCTION("GOOGLETRANSLATE(B34117,""en"",""pt"")"),"Āmli")</f>
        <v>Āmli</v>
      </c>
      <c r="B35495" s="20" t="s">
        <v>34033</v>
      </c>
      <c r="C35495" s="20" t="s">
        <v>10178</v>
      </c>
      <c r="D35495" s="20" t="s">
        <v>10204</v>
      </c>
      <c r="E35495" s="10">
        <v>1278768</v>
      </c>
      <c r="F35495" s="4" t="str">
        <f>IF(B35495=B35494,"",B35495)</f>
        <v>Āmli</v>
      </c>
    </row>
    <row r="35496" spans="1:6" ht="15.75" customHeight="1">
      <c r="A35496" s="16" t="str">
        <f ca="1">IFERROR(__xludf.DUMMYFUNCTION("GOOGLETRANSLATE(B34118,""en"",""pt"")"),"Āmlāgora")</f>
        <v>Āmlāgora</v>
      </c>
      <c r="B35496" s="20" t="s">
        <v>34034</v>
      </c>
      <c r="C35496" s="20" t="s">
        <v>10178</v>
      </c>
      <c r="D35496" s="20" t="s">
        <v>10201</v>
      </c>
      <c r="E35496" s="10">
        <v>1278774</v>
      </c>
      <c r="F35496" s="4" t="e">
        <f>IF(B35496=#REF!,"",B35496)</f>
        <v>#REF!</v>
      </c>
    </row>
    <row r="35497" spans="1:6" ht="15.75" customHeight="1">
      <c r="A35497" s="15" t="s">
        <v>10333</v>
      </c>
      <c r="B35497" s="15" t="s">
        <v>10333</v>
      </c>
      <c r="C35497" s="15" t="s">
        <v>10178</v>
      </c>
      <c r="D35497" s="15" t="s">
        <v>10219</v>
      </c>
      <c r="E35497" s="2">
        <v>1278775</v>
      </c>
      <c r="F35497" s="4" t="e">
        <f>IF(B35497=#REF!,"",B35497)</f>
        <v>#REF!</v>
      </c>
    </row>
    <row r="35498" spans="1:6" ht="15.75" customHeight="1">
      <c r="A35498" s="15" t="s">
        <v>224</v>
      </c>
      <c r="B35498" s="15" t="s">
        <v>224</v>
      </c>
      <c r="C35498" s="15" t="s">
        <v>153</v>
      </c>
      <c r="D35498" s="15" t="s">
        <v>221</v>
      </c>
      <c r="E35498" s="2">
        <v>2507169</v>
      </c>
      <c r="F35498" s="4" t="e">
        <f>IF(B35498=#REF!,"",B35498)</f>
        <v>#REF!</v>
      </c>
    </row>
    <row r="35499" spans="1:6" ht="15.75" customHeight="1">
      <c r="A35499" s="16" t="s">
        <v>1180</v>
      </c>
      <c r="B35499" s="15" t="s">
        <v>1180</v>
      </c>
      <c r="C35499" s="16" t="s">
        <v>1170</v>
      </c>
      <c r="D35499" s="16" t="s">
        <v>1181</v>
      </c>
      <c r="E35499" s="2">
        <v>587261</v>
      </c>
      <c r="F35499" s="4" t="str">
        <f>IF(B35499=B35498,"",B35499)</f>
        <v>Amirdzhan</v>
      </c>
    </row>
    <row r="35500" spans="1:6" ht="15.75" customHeight="1">
      <c r="A35500" s="16" t="s">
        <v>22128</v>
      </c>
      <c r="B35500" s="15" t="s">
        <v>22129</v>
      </c>
      <c r="C35500" s="16" t="s">
        <v>22070</v>
      </c>
      <c r="D35500" s="16" t="s">
        <v>22127</v>
      </c>
      <c r="E35500" s="2">
        <v>582266</v>
      </c>
      <c r="F35500" s="4" t="str">
        <f>IF(B35500=B35499,"",B35500)</f>
        <v>Aminâ€™yevo</v>
      </c>
    </row>
    <row r="35501" spans="1:6" ht="15.75" customHeight="1">
      <c r="A35501" s="16" t="str">
        <f ca="1">IFERROR(__xludf.DUMMYFUNCTION("GOOGLETRANSLATE(B40674,""en"",""pt"")"),"Amin'yevo")</f>
        <v>Amin'yevo</v>
      </c>
      <c r="B35501" s="20" t="s">
        <v>35526</v>
      </c>
      <c r="C35501" s="20" t="s">
        <v>22070</v>
      </c>
      <c r="D35501" s="20" t="s">
        <v>22127</v>
      </c>
      <c r="E35501" s="10">
        <v>582266</v>
      </c>
      <c r="F35501" s="4" t="e">
        <f>IF(B35501=#REF!,"",B35501)</f>
        <v>#REF!</v>
      </c>
    </row>
    <row r="35502" spans="1:6" ht="15.75" customHeight="1">
      <c r="A35502" s="15" t="s">
        <v>7100</v>
      </c>
      <c r="B35502" s="15" t="s">
        <v>7100</v>
      </c>
      <c r="C35502" s="15" t="s">
        <v>7052</v>
      </c>
      <c r="D35502" s="15" t="s">
        <v>7078</v>
      </c>
      <c r="E35502" s="2">
        <v>3037854</v>
      </c>
      <c r="F35502" s="4" t="e">
        <f>IF(B35502=#REF!,"",B35502)</f>
        <v>#REF!</v>
      </c>
    </row>
    <row r="35503" spans="1:6" ht="15.75" customHeight="1">
      <c r="A35503" s="15" t="s">
        <v>15723</v>
      </c>
      <c r="B35503" s="15" t="s">
        <v>15723</v>
      </c>
      <c r="C35503" s="15" t="s">
        <v>15704</v>
      </c>
      <c r="D35503" s="15" t="s">
        <v>15724</v>
      </c>
      <c r="E35503" s="2">
        <v>2113115</v>
      </c>
      <c r="F35503" s="4" t="e">
        <f>IF(B35503=#REF!,"",B35503)</f>
        <v>#REF!</v>
      </c>
    </row>
    <row r="35504" spans="1:6" ht="15.75" customHeight="1">
      <c r="A35504" s="16" t="s">
        <v>27862</v>
      </c>
      <c r="B35504" s="15" t="s">
        <v>27862</v>
      </c>
      <c r="C35504" s="16" t="s">
        <v>27788</v>
      </c>
      <c r="D35504" s="16" t="s">
        <v>27794</v>
      </c>
      <c r="E35504" s="2">
        <v>4929023</v>
      </c>
      <c r="F35504" s="4" t="e">
        <f>IF(B35504=#REF!,"",B35504)</f>
        <v>#REF!</v>
      </c>
    </row>
    <row r="35505" spans="1:6" ht="15.75" customHeight="1">
      <c r="A35505" s="15" t="s">
        <v>27861</v>
      </c>
      <c r="B35505" s="15" t="s">
        <v>27861</v>
      </c>
      <c r="C35505" s="15" t="s">
        <v>27788</v>
      </c>
      <c r="D35505" s="15" t="s">
        <v>27819</v>
      </c>
      <c r="E35505" s="2">
        <v>5107129</v>
      </c>
      <c r="F35505" s="4" t="e">
        <f>IF(B35505=#REF!,"",B35505)</f>
        <v>#REF!</v>
      </c>
    </row>
    <row r="35506" spans="1:6" ht="15.75" customHeight="1">
      <c r="A35506" s="15" t="s">
        <v>10331</v>
      </c>
      <c r="B35506" s="15" t="s">
        <v>10332</v>
      </c>
      <c r="C35506" s="15" t="s">
        <v>10178</v>
      </c>
      <c r="D35506" s="15" t="s">
        <v>10179</v>
      </c>
      <c r="E35506" s="2">
        <v>1278808</v>
      </c>
      <c r="F35506" s="4" t="e">
        <f>IF(B35506=#REF!,"",B35506)</f>
        <v>#REF!</v>
      </c>
    </row>
    <row r="35507" spans="1:6" ht="15.75" customHeight="1">
      <c r="A35507" s="16" t="s">
        <v>27860</v>
      </c>
      <c r="B35507" s="15" t="s">
        <v>27860</v>
      </c>
      <c r="C35507" s="16" t="s">
        <v>27788</v>
      </c>
      <c r="D35507" s="16" t="s">
        <v>27794</v>
      </c>
      <c r="E35507" s="2">
        <v>4929004</v>
      </c>
      <c r="F35507" s="4" t="str">
        <f>IF(B35507=B35506,"",B35507)</f>
        <v>Amesbury</v>
      </c>
    </row>
    <row r="35508" spans="1:6" ht="15.75" customHeight="1">
      <c r="A35508" s="16" t="str">
        <f ca="1">IFERROR(__xludf.DUMMYFUNCTION("GOOGLETRANSLATE(B29470,""en"",""pt"")"),"Amés")</f>
        <v>Amés</v>
      </c>
      <c r="B35508" s="20" t="s">
        <v>32472</v>
      </c>
      <c r="C35508" s="20" t="s">
        <v>24200</v>
      </c>
      <c r="D35508" s="20" t="s">
        <v>24201</v>
      </c>
      <c r="E35508" s="10">
        <v>3130155</v>
      </c>
      <c r="F35508" s="4" t="e">
        <f>IF(B35508=#REF!,"",B35508)</f>
        <v>#REF!</v>
      </c>
    </row>
    <row r="35509" spans="1:6" ht="15.75" customHeight="1">
      <c r="A35509" s="15" t="s">
        <v>27858</v>
      </c>
      <c r="B35509" s="15" t="s">
        <v>27858</v>
      </c>
      <c r="C35509" s="15" t="s">
        <v>27788</v>
      </c>
      <c r="D35509" s="15" t="s">
        <v>27859</v>
      </c>
      <c r="E35509" s="2">
        <v>4846834</v>
      </c>
      <c r="F35509" s="4" t="e">
        <f>IF(B35509=#REF!,"",B35509)</f>
        <v>#REF!</v>
      </c>
    </row>
    <row r="35510" spans="1:6" ht="15.75" customHeight="1">
      <c r="A35510" s="16" t="s">
        <v>27254</v>
      </c>
      <c r="B35510" s="15" t="s">
        <v>27255</v>
      </c>
      <c r="C35510" s="16" t="s">
        <v>27234</v>
      </c>
      <c r="D35510" s="16" t="s">
        <v>27241</v>
      </c>
      <c r="E35510" s="2">
        <v>6690592</v>
      </c>
      <c r="F35510" s="4" t="e">
        <f>IF(B35510=#REF!,"",B35510)</f>
        <v>#REF!</v>
      </c>
    </row>
    <row r="35511" spans="1:6" ht="15.75" customHeight="1">
      <c r="A35511" s="16" t="s">
        <v>27253</v>
      </c>
      <c r="B35511" s="15" t="s">
        <v>27253</v>
      </c>
      <c r="C35511" s="16" t="s">
        <v>27234</v>
      </c>
      <c r="D35511" s="16" t="s">
        <v>27241</v>
      </c>
      <c r="E35511" s="2">
        <v>2657356</v>
      </c>
      <c r="F35511" s="4" t="e">
        <f>IF(B35511=#REF!,"",B35511)</f>
        <v>#REF!</v>
      </c>
    </row>
    <row r="35512" spans="1:6" ht="15.75" customHeight="1">
      <c r="A35512" s="16" t="s">
        <v>18876</v>
      </c>
      <c r="B35512" s="15" t="s">
        <v>18876</v>
      </c>
      <c r="C35512" s="16" t="s">
        <v>18862</v>
      </c>
      <c r="D35512" s="16" t="s">
        <v>18877</v>
      </c>
      <c r="E35512" s="2">
        <v>2759821</v>
      </c>
      <c r="F35512" s="4" t="e">
        <f>IF(B35512=#REF!,"",B35512)</f>
        <v>#REF!</v>
      </c>
    </row>
    <row r="35513" spans="1:6" ht="15.75" customHeight="1">
      <c r="A35513" s="15" t="s">
        <v>27857</v>
      </c>
      <c r="B35513" s="15" t="s">
        <v>27857</v>
      </c>
      <c r="C35513" s="15" t="s">
        <v>27788</v>
      </c>
      <c r="D35513" s="15" t="s">
        <v>7988</v>
      </c>
      <c r="E35513" s="2">
        <v>4179667</v>
      </c>
      <c r="F35513" s="4" t="str">
        <f>IF(B35513=B35512,"",B35513)</f>
        <v>Americus</v>
      </c>
    </row>
    <row r="35514" spans="1:6" ht="15.75" customHeight="1">
      <c r="A35514" s="16" t="str">
        <f ca="1">IFERROR(__xludf.DUMMYFUNCTION("GOOGLETRANSLATE(B25286,""en"",""pt"")"),"Américo Brasiliense")</f>
        <v>Américo Brasiliense</v>
      </c>
      <c r="B35514" s="20" t="s">
        <v>31730</v>
      </c>
      <c r="C35514" s="20" t="s">
        <v>1905</v>
      </c>
      <c r="D35514" s="20" t="s">
        <v>3354</v>
      </c>
      <c r="E35514" s="10">
        <v>3472338</v>
      </c>
      <c r="F35514" s="4" t="e">
        <f>IF(B35514=#REF!,"",B35514)</f>
        <v>#REF!</v>
      </c>
    </row>
    <row r="35515" spans="1:6" ht="15.75" customHeight="1">
      <c r="A35515" s="16" t="s">
        <v>1965</v>
      </c>
      <c r="B35515" s="15" t="s">
        <v>1965</v>
      </c>
      <c r="C35515" s="16" t="s">
        <v>1905</v>
      </c>
      <c r="D35515" s="16" t="s">
        <v>1914</v>
      </c>
      <c r="E35515" s="2">
        <v>3472343</v>
      </c>
      <c r="F35515" s="4" t="e">
        <f>IF(B35515=#REF!,"",B35515)</f>
        <v>#REF!</v>
      </c>
    </row>
    <row r="35516" spans="1:6" ht="15.75" customHeight="1">
      <c r="A35516" s="16" t="s">
        <v>27855</v>
      </c>
      <c r="B35516" s="15" t="s">
        <v>27855</v>
      </c>
      <c r="C35516" s="16" t="s">
        <v>27788</v>
      </c>
      <c r="D35516" s="16" t="s">
        <v>27856</v>
      </c>
      <c r="E35516" s="2">
        <v>5844096</v>
      </c>
      <c r="F35516" s="4" t="e">
        <f>IF(B35516=#REF!,"",B35516)</f>
        <v>#REF!</v>
      </c>
    </row>
    <row r="35517" spans="1:6" ht="15.75" customHeight="1">
      <c r="A35517" s="16" t="s">
        <v>27853</v>
      </c>
      <c r="B35517" s="15" t="s">
        <v>27854</v>
      </c>
      <c r="C35517" s="16" t="s">
        <v>27788</v>
      </c>
      <c r="D35517" s="16" t="s">
        <v>27801</v>
      </c>
      <c r="E35517" s="2">
        <v>5323694</v>
      </c>
      <c r="F35517" s="4" t="e">
        <f>IF(B35517=#REF!,"",B35517)</f>
        <v>#REF!</v>
      </c>
    </row>
    <row r="35518" spans="1:6" ht="15.75" customHeight="1">
      <c r="A35518" s="16" t="s">
        <v>17747</v>
      </c>
      <c r="B35518" s="15" t="s">
        <v>17747</v>
      </c>
      <c r="C35518" s="16" t="s">
        <v>17707</v>
      </c>
      <c r="D35518" s="16" t="s">
        <v>17736</v>
      </c>
      <c r="E35518" s="2">
        <v>3532899</v>
      </c>
      <c r="F35518" s="4" t="e">
        <f>IF(B35518=#REF!,"",B35518)</f>
        <v>#REF!</v>
      </c>
    </row>
    <row r="35519" spans="1:6" ht="15.75" customHeight="1">
      <c r="A35519" s="15" t="s">
        <v>17744</v>
      </c>
      <c r="B35519" s="15" t="s">
        <v>17745</v>
      </c>
      <c r="C35519" s="15" t="s">
        <v>17707</v>
      </c>
      <c r="D35519" s="15" t="s">
        <v>17746</v>
      </c>
      <c r="E35519" s="2">
        <v>4018582</v>
      </c>
      <c r="F35519" s="4" t="e">
        <f>IF(B35519=#REF!,"",B35519)</f>
        <v>#REF!</v>
      </c>
    </row>
    <row r="35520" spans="1:6" ht="15.75" customHeight="1">
      <c r="A35520" s="15" t="s">
        <v>10330</v>
      </c>
      <c r="B35520" s="15" t="s">
        <v>10330</v>
      </c>
      <c r="C35520" s="15" t="s">
        <v>10178</v>
      </c>
      <c r="D35520" s="15" t="s">
        <v>10196</v>
      </c>
      <c r="E35520" s="2">
        <v>1278815</v>
      </c>
      <c r="F35520" s="4" t="e">
        <f>IF(B35520=#REF!,"",B35520)</f>
        <v>#REF!</v>
      </c>
    </row>
    <row r="35521" spans="1:6" ht="15.75" customHeight="1">
      <c r="A35521" s="16" t="s">
        <v>17316</v>
      </c>
      <c r="B35521" s="15" t="s">
        <v>17316</v>
      </c>
      <c r="C35521" s="16" t="s">
        <v>17292</v>
      </c>
      <c r="D35521" s="16" t="s">
        <v>17317</v>
      </c>
      <c r="E35521" s="2">
        <v>1079048</v>
      </c>
      <c r="F35521" s="4" t="e">
        <f>IF(B35521=#REF!,"",B35521)</f>
        <v>#REF!</v>
      </c>
    </row>
    <row r="35522" spans="1:6" ht="15.75" customHeight="1">
      <c r="A35522" s="16" t="s">
        <v>17315</v>
      </c>
      <c r="B35522" s="15" t="s">
        <v>17315</v>
      </c>
      <c r="C35522" s="16" t="s">
        <v>17292</v>
      </c>
      <c r="D35522" s="16" t="s">
        <v>17302</v>
      </c>
      <c r="E35522" s="2">
        <v>1079088</v>
      </c>
      <c r="F35522" s="4" t="e">
        <f>IF(B35522=#REF!,"",B35522)</f>
        <v>#REF!</v>
      </c>
    </row>
    <row r="35523" spans="1:6" ht="15.75" customHeight="1">
      <c r="A35523" s="15" t="s">
        <v>13807</v>
      </c>
      <c r="B35523" s="15" t="s">
        <v>13807</v>
      </c>
      <c r="C35523" s="15" t="s">
        <v>13800</v>
      </c>
      <c r="D35523" s="15" t="s">
        <v>13805</v>
      </c>
      <c r="E35523" s="2">
        <v>1651531</v>
      </c>
      <c r="F35523" s="4" t="e">
        <f>IF(B35523=#REF!,"",B35523)</f>
        <v>#REF!</v>
      </c>
    </row>
    <row r="35524" spans="1:6" ht="15.75" customHeight="1">
      <c r="A35524" s="16" t="s">
        <v>17314</v>
      </c>
      <c r="B35524" s="15" t="s">
        <v>17314</v>
      </c>
      <c r="C35524" s="16" t="s">
        <v>17292</v>
      </c>
      <c r="D35524" s="16" t="s">
        <v>17293</v>
      </c>
      <c r="E35524" s="2">
        <v>1079777</v>
      </c>
      <c r="F35524" s="4" t="e">
        <f>IF(B35524=#REF!,"",B35524)</f>
        <v>#REF!</v>
      </c>
    </row>
    <row r="35525" spans="1:6" ht="15.75" customHeight="1">
      <c r="A35525" s="16" t="s">
        <v>17311</v>
      </c>
      <c r="B35525" s="15" t="s">
        <v>17312</v>
      </c>
      <c r="C35525" s="16" t="s">
        <v>17292</v>
      </c>
      <c r="D35525" s="16" t="s">
        <v>17313</v>
      </c>
      <c r="E35525" s="2">
        <v>1081790</v>
      </c>
      <c r="F35525" s="4" t="e">
        <f>IF(B35525=#REF!,"",B35525)</f>
        <v>#REF!</v>
      </c>
    </row>
    <row r="35526" spans="1:6" ht="15.75" customHeight="1">
      <c r="A35526" s="16" t="s">
        <v>17308</v>
      </c>
      <c r="B35526" s="15" t="s">
        <v>17309</v>
      </c>
      <c r="C35526" s="16" t="s">
        <v>17292</v>
      </c>
      <c r="D35526" s="16" t="s">
        <v>17310</v>
      </c>
      <c r="E35526" s="2">
        <v>1081863</v>
      </c>
      <c r="F35526" s="4" t="e">
        <f>IF(B35526=#REF!,"",B35526)</f>
        <v>#REF!</v>
      </c>
    </row>
    <row r="35527" spans="1:6" ht="15.75" customHeight="1">
      <c r="A35527" s="15" t="s">
        <v>17307</v>
      </c>
      <c r="B35527" s="15" t="s">
        <v>17307</v>
      </c>
      <c r="C35527" s="15" t="s">
        <v>17292</v>
      </c>
      <c r="D35527" s="15" t="s">
        <v>17297</v>
      </c>
      <c r="E35527" s="2">
        <v>1082243</v>
      </c>
      <c r="F35527" s="4" t="str">
        <f>IF(B35527=B35526,"",B35527)</f>
        <v>Ambilobe</v>
      </c>
    </row>
    <row r="35528" spans="1:6" ht="15.75" customHeight="1">
      <c r="A35528" s="16" t="str">
        <f ca="1">IFERROR(__xludf.DUMMYFUNCTION("GOOGLETRANSLATE(B34122,""en"",""pt"")"),"Ambikāpur")</f>
        <v>Ambikāpur</v>
      </c>
      <c r="B35528" s="20" t="s">
        <v>34035</v>
      </c>
      <c r="C35528" s="20" t="s">
        <v>10178</v>
      </c>
      <c r="D35528" s="20" t="s">
        <v>10272</v>
      </c>
      <c r="E35528" s="10">
        <v>1278827</v>
      </c>
      <c r="F35528" s="4" t="str">
        <f>IF(B35528=B35527,"",B35528)</f>
        <v>Ambikāpur</v>
      </c>
    </row>
    <row r="35529" spans="1:6" ht="15.75" customHeight="1">
      <c r="A35529" s="16" t="s">
        <v>10328</v>
      </c>
      <c r="B35529" s="15" t="s">
        <v>10329</v>
      </c>
      <c r="C35529" s="16" t="s">
        <v>10178</v>
      </c>
      <c r="D35529" s="16" t="s">
        <v>10272</v>
      </c>
      <c r="E35529" s="2">
        <v>1278827</v>
      </c>
      <c r="F35529" s="4" t="e">
        <f>IF(B35529=#REF!,"",B35529)</f>
        <v>#REF!</v>
      </c>
    </row>
    <row r="35530" spans="1:6" ht="15.75" customHeight="1">
      <c r="A35530" s="15" t="s">
        <v>8066</v>
      </c>
      <c r="B35530" s="15" t="s">
        <v>8066</v>
      </c>
      <c r="C35530" s="15" t="s">
        <v>8028</v>
      </c>
      <c r="D35530" s="15" t="s">
        <v>8044</v>
      </c>
      <c r="E35530" s="2">
        <v>2956656</v>
      </c>
      <c r="F35530" s="4" t="str">
        <f>IF(B35530=B35529,"",B35530)</f>
        <v>Amberg</v>
      </c>
    </row>
    <row r="35531" spans="1:6" ht="15.75" customHeight="1">
      <c r="A35531" s="16" t="str">
        <f ca="1">IFERROR(__xludf.DUMMYFUNCTION("GOOGLETRANSLATE(B34123,""en"",""pt"")"),"Ambattūr")</f>
        <v>Ambattūr</v>
      </c>
      <c r="B35531" s="20" t="s">
        <v>34036</v>
      </c>
      <c r="C35531" s="20" t="s">
        <v>10178</v>
      </c>
      <c r="D35531" s="20" t="s">
        <v>10196</v>
      </c>
      <c r="E35531" s="10">
        <v>1278840</v>
      </c>
      <c r="F35531" s="4" t="str">
        <f>IF(B35531=B35530,"",B35531)</f>
        <v>Ambattūr</v>
      </c>
    </row>
    <row r="35532" spans="1:6" ht="15.75" customHeight="1">
      <c r="A35532" s="16" t="s">
        <v>10326</v>
      </c>
      <c r="B35532" s="15" t="s">
        <v>10327</v>
      </c>
      <c r="C35532" s="16" t="s">
        <v>10178</v>
      </c>
      <c r="D35532" s="16" t="s">
        <v>10196</v>
      </c>
      <c r="E35532" s="2">
        <v>1278840</v>
      </c>
      <c r="F35532" s="4" t="e">
        <f>IF(B35532=#REF!,"",B35532)</f>
        <v>#REF!</v>
      </c>
    </row>
    <row r="35533" spans="1:6" ht="15.75" customHeight="1">
      <c r="A35533" s="16" t="s">
        <v>17305</v>
      </c>
      <c r="B35533" s="15" t="s">
        <v>17305</v>
      </c>
      <c r="C35533" s="16" t="s">
        <v>17292</v>
      </c>
      <c r="D35533" s="16" t="s">
        <v>17306</v>
      </c>
      <c r="E35533" s="2">
        <v>1082639</v>
      </c>
      <c r="F35533" s="4" t="e">
        <f>IF(B35533=#REF!,"",B35533)</f>
        <v>#REF!</v>
      </c>
    </row>
    <row r="35534" spans="1:6" ht="15.75" customHeight="1">
      <c r="A35534" s="16" t="s">
        <v>17303</v>
      </c>
      <c r="B35534" s="15" t="s">
        <v>17303</v>
      </c>
      <c r="C35534" s="16" t="s">
        <v>17292</v>
      </c>
      <c r="D35534" s="16" t="s">
        <v>17304</v>
      </c>
      <c r="E35534" s="2">
        <v>1082992</v>
      </c>
      <c r="F35534" s="4" t="e">
        <f>IF(B35534=#REF!,"",B35534)</f>
        <v>#REF!</v>
      </c>
    </row>
    <row r="35535" spans="1:6" ht="15.75" customHeight="1">
      <c r="A35535" s="16" t="s">
        <v>17301</v>
      </c>
      <c r="B35535" s="15" t="s">
        <v>17301</v>
      </c>
      <c r="C35535" s="16" t="s">
        <v>17292</v>
      </c>
      <c r="D35535" s="16" t="s">
        <v>17302</v>
      </c>
      <c r="E35535" s="2">
        <v>1083239</v>
      </c>
      <c r="F35535" s="4" t="e">
        <f>IF(B35535=#REF!,"",B35535)</f>
        <v>#REF!</v>
      </c>
    </row>
    <row r="35536" spans="1:6" ht="15.75" customHeight="1">
      <c r="A35536" s="16" t="s">
        <v>17299</v>
      </c>
      <c r="B35536" s="15" t="s">
        <v>17299</v>
      </c>
      <c r="C35536" s="16" t="s">
        <v>17292</v>
      </c>
      <c r="D35536" s="16" t="s">
        <v>17300</v>
      </c>
      <c r="E35536" s="2">
        <v>1083257</v>
      </c>
      <c r="F35536" s="4" t="e">
        <f>IF(B35536=#REF!,"",B35536)</f>
        <v>#REF!</v>
      </c>
    </row>
    <row r="35537" spans="1:6" ht="15.75" customHeight="1">
      <c r="A35537" s="15" t="s">
        <v>6397</v>
      </c>
      <c r="B35537" s="15" t="s">
        <v>6397</v>
      </c>
      <c r="C35537" s="15" t="s">
        <v>6398</v>
      </c>
      <c r="D35537" s="15" t="s">
        <v>6399</v>
      </c>
      <c r="E35537" s="2">
        <v>3660689</v>
      </c>
      <c r="F35537" s="4" t="e">
        <f>IF(B35537=#REF!,"",B35537)</f>
        <v>#REF!</v>
      </c>
    </row>
    <row r="35538" spans="1:6" ht="15.75" customHeight="1">
      <c r="A35538" s="16" t="s">
        <v>10325</v>
      </c>
      <c r="B35538" s="15" t="s">
        <v>10325</v>
      </c>
      <c r="C35538" s="16" t="s">
        <v>10178</v>
      </c>
      <c r="D35538" s="16" t="s">
        <v>10196</v>
      </c>
      <c r="E35538" s="2">
        <v>1278841</v>
      </c>
      <c r="F35538" s="4" t="e">
        <f>IF(B35538=#REF!,"",B35538)</f>
        <v>#REF!</v>
      </c>
    </row>
    <row r="35539" spans="1:6" ht="15.75" customHeight="1">
      <c r="A35539" s="16" t="s">
        <v>13806</v>
      </c>
      <c r="B35539" s="15" t="s">
        <v>13806</v>
      </c>
      <c r="C35539" s="16" t="s">
        <v>13800</v>
      </c>
      <c r="D35539" s="16" t="s">
        <v>13803</v>
      </c>
      <c r="E35539" s="2">
        <v>1651555</v>
      </c>
      <c r="F35539" s="4" t="e">
        <f>IF(B35539=#REF!,"",B35539)</f>
        <v>#REF!</v>
      </c>
    </row>
    <row r="35540" spans="1:6" ht="15.75" customHeight="1">
      <c r="A35540" s="16" t="s">
        <v>17298</v>
      </c>
      <c r="B35540" s="15" t="s">
        <v>17298</v>
      </c>
      <c r="C35540" s="16" t="s">
        <v>17292</v>
      </c>
      <c r="D35540" s="16" t="s">
        <v>17297</v>
      </c>
      <c r="E35540" s="2">
        <v>1083676</v>
      </c>
      <c r="F35540" s="4" t="e">
        <f>IF(B35540=#REF!,"",B35540)</f>
        <v>#REF!</v>
      </c>
    </row>
    <row r="35541" spans="1:6" ht="15.75" customHeight="1">
      <c r="A35541" s="15" t="s">
        <v>17296</v>
      </c>
      <c r="B35541" s="15" t="s">
        <v>17296</v>
      </c>
      <c r="C35541" s="15" t="s">
        <v>17292</v>
      </c>
      <c r="D35541" s="15" t="s">
        <v>17297</v>
      </c>
      <c r="E35541" s="2">
        <v>1083724</v>
      </c>
      <c r="F35541" s="4" t="e">
        <f>IF(B35541=#REF!,"",B35541)</f>
        <v>#REF!</v>
      </c>
    </row>
    <row r="35542" spans="1:6" ht="15.75" customHeight="1">
      <c r="A35542" s="16" t="s">
        <v>17294</v>
      </c>
      <c r="B35542" s="15" t="s">
        <v>17294</v>
      </c>
      <c r="C35542" s="16" t="s">
        <v>17292</v>
      </c>
      <c r="D35542" s="16" t="s">
        <v>17295</v>
      </c>
      <c r="E35542" s="2">
        <v>1083968</v>
      </c>
      <c r="F35542" s="4" t="e">
        <f>IF(B35542=#REF!,"",B35542)</f>
        <v>#REF!</v>
      </c>
    </row>
    <row r="35543" spans="1:6" ht="15.75" customHeight="1">
      <c r="A35543" s="16" t="s">
        <v>24923</v>
      </c>
      <c r="B35543" s="15" t="s">
        <v>24923</v>
      </c>
      <c r="C35543" s="16" t="s">
        <v>24924</v>
      </c>
      <c r="D35543" s="16" t="s">
        <v>1884</v>
      </c>
      <c r="E35543" s="2">
        <v>1251574</v>
      </c>
      <c r="F35543" s="4" t="str">
        <f>IF(B35543=B35542,"",B35543)</f>
        <v>Ambalangoda</v>
      </c>
    </row>
    <row r="35544" spans="1:6" ht="15.75" customHeight="1">
      <c r="A35544" s="16" t="str">
        <f ca="1">IFERROR(__xludf.DUMMYFUNCTION("GOOGLETRANSLATE(B34125,""en"",""pt"")"),"Ambāla")</f>
        <v>Ambāla</v>
      </c>
      <c r="B35544" s="20" t="s">
        <v>34037</v>
      </c>
      <c r="C35544" s="20" t="s">
        <v>10178</v>
      </c>
      <c r="D35544" s="20" t="s">
        <v>10224</v>
      </c>
      <c r="E35544" s="10">
        <v>1278860</v>
      </c>
      <c r="F35544" s="4" t="str">
        <f>IF(B35544=B35543,"",B35544)</f>
        <v>Ambāla</v>
      </c>
    </row>
    <row r="35545" spans="1:6" ht="15.75" customHeight="1">
      <c r="A35545" s="16" t="str">
        <f ca="1">IFERROR(__xludf.DUMMYFUNCTION("GOOGLETRANSLATE(B34126,""en"",""pt"")"),"Ambājogāi")</f>
        <v>Ambājogāi</v>
      </c>
      <c r="B35545" s="20" t="s">
        <v>34038</v>
      </c>
      <c r="C35545" s="20" t="s">
        <v>10178</v>
      </c>
      <c r="D35545" s="20" t="s">
        <v>10214</v>
      </c>
      <c r="E35545" s="10">
        <v>1278862</v>
      </c>
      <c r="F35545" s="4" t="str">
        <f>IF(B35545=B35544,"",B35545)</f>
        <v>Ambājogāi</v>
      </c>
    </row>
    <row r="35546" spans="1:6" ht="15.75" customHeight="1">
      <c r="A35546" s="16" t="str">
        <f ca="1">IFERROR(__xludf.DUMMYFUNCTION("GOOGLETRANSLATE(B34127,""en"",""pt"")"),"Ambāh")</f>
        <v>Ambāh</v>
      </c>
      <c r="B35546" s="20" t="s">
        <v>34039</v>
      </c>
      <c r="C35546" s="20" t="s">
        <v>10178</v>
      </c>
      <c r="D35546" s="20" t="s">
        <v>10219</v>
      </c>
      <c r="E35546" s="10">
        <v>1278868</v>
      </c>
      <c r="F35546" s="4" t="e">
        <f>IF(B35546=#REF!,"",B35546)</f>
        <v>#REF!</v>
      </c>
    </row>
    <row r="35547" spans="1:6" ht="15.75" customHeight="1">
      <c r="A35547" s="15" t="s">
        <v>10324</v>
      </c>
      <c r="B35547" s="15" t="s">
        <v>10324</v>
      </c>
      <c r="C35547" s="15" t="s">
        <v>10178</v>
      </c>
      <c r="D35547" s="15" t="s">
        <v>10214</v>
      </c>
      <c r="E35547" s="2">
        <v>1278871</v>
      </c>
      <c r="F35547" s="4" t="str">
        <f>IF(B35547=B35546,"",B35547)</f>
        <v>Ambad</v>
      </c>
    </row>
    <row r="35548" spans="1:6" ht="15.75" customHeight="1">
      <c r="A35548" s="15" t="s">
        <v>10322</v>
      </c>
      <c r="B35548" s="15" t="s">
        <v>10323</v>
      </c>
      <c r="C35548" s="15" t="s">
        <v>10178</v>
      </c>
      <c r="D35548" s="15" t="s">
        <v>10224</v>
      </c>
      <c r="E35548" s="2">
        <v>1278860</v>
      </c>
      <c r="F35548" s="4" t="str">
        <f>IF(B35548=B35547,"",B35548)</f>
        <v>AmbÄla</v>
      </c>
    </row>
    <row r="35549" spans="1:6" ht="15.75" customHeight="1">
      <c r="A35549" s="16" t="s">
        <v>10320</v>
      </c>
      <c r="B35549" s="15" t="s">
        <v>10321</v>
      </c>
      <c r="C35549" s="16" t="s">
        <v>10178</v>
      </c>
      <c r="D35549" s="16" t="s">
        <v>10214</v>
      </c>
      <c r="E35549" s="2">
        <v>1278862</v>
      </c>
      <c r="F35549" s="4" t="str">
        <f>IF(B35549=B35548,"",B35549)</f>
        <v>AmbÄjogÄi</v>
      </c>
    </row>
    <row r="35550" spans="1:6" ht="15.75" customHeight="1">
      <c r="A35550" s="15" t="s">
        <v>10318</v>
      </c>
      <c r="B35550" s="15" t="s">
        <v>10319</v>
      </c>
      <c r="C35550" s="15" t="s">
        <v>10178</v>
      </c>
      <c r="D35550" s="15" t="s">
        <v>10219</v>
      </c>
      <c r="E35550" s="2">
        <v>1278868</v>
      </c>
      <c r="F35550" s="4" t="e">
        <f>IF(B35550=#REF!,"",B35550)</f>
        <v>#REF!</v>
      </c>
    </row>
    <row r="35551" spans="1:6" ht="15.75" customHeight="1">
      <c r="A35551" s="15" t="s">
        <v>14928</v>
      </c>
      <c r="B35551" s="15" t="s">
        <v>14928</v>
      </c>
      <c r="C35551" s="15" t="s">
        <v>14891</v>
      </c>
      <c r="D35551" s="15" t="s">
        <v>14929</v>
      </c>
      <c r="E35551" s="2">
        <v>2525725</v>
      </c>
      <c r="F35551" s="4" t="str">
        <f>IF(B35551=B35550,"",B35551)</f>
        <v>Amato</v>
      </c>
    </row>
    <row r="35552" spans="1:6" ht="15.75" customHeight="1">
      <c r="A35552" s="16" t="str">
        <f ca="1">IFERROR(__xludf.DUMMYFUNCTION("GOOGLETRANSLATE(B31143,""en"",""pt"")"),"Amatitlán")</f>
        <v>Amatitlán</v>
      </c>
      <c r="B35552" s="20" t="s">
        <v>32790</v>
      </c>
      <c r="C35552" s="20" t="s">
        <v>9700</v>
      </c>
      <c r="D35552" s="20" t="s">
        <v>9700</v>
      </c>
      <c r="E35552" s="10">
        <v>3599735</v>
      </c>
      <c r="F35552" s="4" t="str">
        <f>IF(B35552=B35551,"",B35552)</f>
        <v>Amatitlán</v>
      </c>
    </row>
    <row r="35553" spans="1:6" ht="15.75" customHeight="1">
      <c r="A35553" s="15" t="s">
        <v>9702</v>
      </c>
      <c r="B35553" s="15" t="s">
        <v>9703</v>
      </c>
      <c r="C35553" s="15" t="s">
        <v>9700</v>
      </c>
      <c r="D35553" s="15" t="s">
        <v>9700</v>
      </c>
      <c r="E35553" s="2">
        <v>3599735</v>
      </c>
      <c r="F35553" s="4" t="e">
        <f>IF(B35553=#REF!,"",B35553)</f>
        <v>#REF!</v>
      </c>
    </row>
    <row r="35554" spans="1:6" ht="15.75" customHeight="1">
      <c r="A35554" s="15" t="s">
        <v>26313</v>
      </c>
      <c r="B35554" s="15" t="s">
        <v>26313</v>
      </c>
      <c r="C35554" s="15" t="s">
        <v>26201</v>
      </c>
      <c r="D35554" s="15" t="s">
        <v>26313</v>
      </c>
      <c r="E35554" s="2">
        <v>752015</v>
      </c>
      <c r="F35554" s="4" t="e">
        <f>IF(B35554=#REF!,"",B35554)</f>
        <v>#REF!</v>
      </c>
    </row>
    <row r="35555" spans="1:6" ht="15.75" customHeight="1">
      <c r="A35555" s="15" t="s">
        <v>10316</v>
      </c>
      <c r="B35555" s="15" t="s">
        <v>10316</v>
      </c>
      <c r="C35555" s="15" t="s">
        <v>10178</v>
      </c>
      <c r="D35555" s="15" t="s">
        <v>10317</v>
      </c>
      <c r="E35555" s="2">
        <v>1278895</v>
      </c>
      <c r="F35555" s="4" t="str">
        <f>IF(B35555=B35554,"",B35555)</f>
        <v>Amarpur</v>
      </c>
    </row>
    <row r="35556" spans="1:6" ht="15.75" customHeight="1">
      <c r="A35556" s="16" t="str">
        <f ca="1">IFERROR(__xludf.DUMMYFUNCTION("GOOGLETRANSLATE(B34130,""en"",""pt"")"),"Amarpātan")</f>
        <v>Amarpātan</v>
      </c>
      <c r="B35556" s="20" t="s">
        <v>34040</v>
      </c>
      <c r="C35556" s="20" t="s">
        <v>10178</v>
      </c>
      <c r="D35556" s="20" t="s">
        <v>10219</v>
      </c>
      <c r="E35556" s="10">
        <v>1278899</v>
      </c>
      <c r="F35556" s="4" t="str">
        <f>IF(B35556=B35555,"",B35556)</f>
        <v>Amarpātan</v>
      </c>
    </row>
    <row r="35557" spans="1:6" ht="15.75" customHeight="1">
      <c r="A35557" s="16" t="s">
        <v>10314</v>
      </c>
      <c r="B35557" s="15" t="s">
        <v>10315</v>
      </c>
      <c r="C35557" s="16" t="s">
        <v>10178</v>
      </c>
      <c r="D35557" s="16" t="s">
        <v>10219</v>
      </c>
      <c r="E35557" s="2">
        <v>1278899</v>
      </c>
      <c r="F35557" s="4" t="str">
        <f>IF(B35557=B35556,"",B35557)</f>
        <v>AmarpÄtan</v>
      </c>
    </row>
    <row r="35558" spans="1:6" ht="15.75" customHeight="1">
      <c r="A35558" s="16" t="str">
        <f ca="1">IFERROR(__xludf.DUMMYFUNCTION("GOOGLETRANSLATE(B34131,""en"",""pt"")"),"Amarnāth")</f>
        <v>Amarnāth</v>
      </c>
      <c r="B35558" s="20" t="s">
        <v>34041</v>
      </c>
      <c r="C35558" s="20" t="s">
        <v>10178</v>
      </c>
      <c r="D35558" s="20" t="s">
        <v>10214</v>
      </c>
      <c r="E35558" s="10">
        <v>1278903</v>
      </c>
      <c r="F35558" s="4" t="str">
        <f>IF(B35558=B35557,"",B35558)</f>
        <v>Amarnāth</v>
      </c>
    </row>
    <row r="35559" spans="1:6" ht="15.75" customHeight="1">
      <c r="A35559" s="16" t="s">
        <v>10312</v>
      </c>
      <c r="B35559" s="15" t="s">
        <v>10313</v>
      </c>
      <c r="C35559" s="16" t="s">
        <v>10178</v>
      </c>
      <c r="D35559" s="16" t="s">
        <v>10214</v>
      </c>
      <c r="E35559" s="2">
        <v>1278903</v>
      </c>
      <c r="F35559" s="4" t="e">
        <f>IF(B35559=#REF!,"",B35559)</f>
        <v>#REF!</v>
      </c>
    </row>
    <row r="35560" spans="1:6" ht="15.75" customHeight="1">
      <c r="A35560" s="15" t="s">
        <v>27851</v>
      </c>
      <c r="B35560" s="15" t="s">
        <v>27852</v>
      </c>
      <c r="C35560" s="15" t="s">
        <v>27788</v>
      </c>
      <c r="D35560" s="15" t="s">
        <v>27792</v>
      </c>
      <c r="E35560" s="2">
        <v>5516233</v>
      </c>
      <c r="F35560" s="4" t="e">
        <f>IF(B35560=#REF!,"",B35560)</f>
        <v>#REF!</v>
      </c>
    </row>
    <row r="35561" spans="1:6" ht="15.75" customHeight="1">
      <c r="A35561" s="16" t="s">
        <v>1964</v>
      </c>
      <c r="B35561" s="15" t="s">
        <v>1964</v>
      </c>
      <c r="C35561" s="16" t="s">
        <v>1905</v>
      </c>
      <c r="D35561" s="16" t="s">
        <v>1947</v>
      </c>
      <c r="E35561" s="2">
        <v>3472370</v>
      </c>
      <c r="F35561" s="4" t="e">
        <f>IF(B35561=#REF!,"",B35561)</f>
        <v>#REF!</v>
      </c>
    </row>
    <row r="35562" spans="1:6" ht="15.75" customHeight="1">
      <c r="A35562" s="15" t="s">
        <v>1963</v>
      </c>
      <c r="B35562" s="15" t="s">
        <v>1963</v>
      </c>
      <c r="C35562" s="15" t="s">
        <v>1905</v>
      </c>
      <c r="D35562" s="15" t="s">
        <v>1909</v>
      </c>
      <c r="E35562" s="2">
        <v>3407758</v>
      </c>
      <c r="F35562" s="4" t="e">
        <f>IF(B35562=#REF!,"",B35562)</f>
        <v>#REF!</v>
      </c>
    </row>
    <row r="35563" spans="1:6" ht="15.75" customHeight="1">
      <c r="A35563" s="16" t="s">
        <v>19816</v>
      </c>
      <c r="B35563" s="15" t="s">
        <v>19816</v>
      </c>
      <c r="C35563" s="16" t="s">
        <v>19808</v>
      </c>
      <c r="D35563" s="16" t="s">
        <v>19811</v>
      </c>
      <c r="E35563" s="2">
        <v>1184569</v>
      </c>
      <c r="F35563" s="4" t="e">
        <f>IF(B35563=#REF!,"",B35563)</f>
        <v>#REF!</v>
      </c>
    </row>
    <row r="35564" spans="1:6" ht="15.75" customHeight="1">
      <c r="A35564" s="15" t="s">
        <v>5772</v>
      </c>
      <c r="B35564" s="15" t="s">
        <v>5772</v>
      </c>
      <c r="C35564" s="15" t="s">
        <v>5764</v>
      </c>
      <c r="D35564" s="15" t="s">
        <v>5773</v>
      </c>
      <c r="E35564" s="2">
        <v>3569024</v>
      </c>
      <c r="F35564" s="4" t="e">
        <f>IF(B35564=#REF!,"",B35564)</f>
        <v>#REF!</v>
      </c>
    </row>
    <row r="35565" spans="1:6" ht="15.75" customHeight="1">
      <c r="A35565" s="15" t="s">
        <v>10311</v>
      </c>
      <c r="B35565" s="15" t="s">
        <v>10311</v>
      </c>
      <c r="C35565" s="15" t="s">
        <v>10178</v>
      </c>
      <c r="D35565" s="15" t="s">
        <v>10214</v>
      </c>
      <c r="E35565" s="2">
        <v>1278931</v>
      </c>
      <c r="F35565" s="4" t="str">
        <f>IF(B35565=B35564,"",B35565)</f>
        <v>Amalner</v>
      </c>
    </row>
    <row r="35566" spans="1:6" ht="15.75" customHeight="1">
      <c r="A35566" s="16" t="str">
        <f ca="1">IFERROR(__xludf.DUMMYFUNCTION("GOOGLETRANSLATE(B31022,""en"",""pt"")"),"Amaliáda")</f>
        <v>Amaliáda</v>
      </c>
      <c r="B35566" s="20" t="s">
        <v>32728</v>
      </c>
      <c r="C35566" s="20" t="s">
        <v>9441</v>
      </c>
      <c r="D35566" s="20" t="s">
        <v>9459</v>
      </c>
      <c r="E35566" s="10">
        <v>265252</v>
      </c>
      <c r="F35566" s="4" t="str">
        <f>IF(B35566=B35565,"",B35566)</f>
        <v>Amaliáda</v>
      </c>
    </row>
    <row r="35567" spans="1:6" ht="15.75" customHeight="1">
      <c r="A35567" s="15" t="s">
        <v>9476</v>
      </c>
      <c r="B35567" s="15" t="s">
        <v>9477</v>
      </c>
      <c r="C35567" s="15" t="s">
        <v>9441</v>
      </c>
      <c r="D35567" s="15" t="s">
        <v>9459</v>
      </c>
      <c r="E35567" s="2">
        <v>265252</v>
      </c>
      <c r="F35567" s="4" t="str">
        <f>IF(B35567=B35566,"",B35567)</f>
        <v>AmaliÃ¡da</v>
      </c>
    </row>
    <row r="35568" spans="1:6" ht="15.75" customHeight="1">
      <c r="A35568" s="16" t="str">
        <f ca="1">IFERROR(__xludf.DUMMYFUNCTION("GOOGLETRANSLATE(B34133,""en"",""pt"")"),"Amalāpuram")</f>
        <v>Amalāpuram</v>
      </c>
      <c r="B35568" s="20" t="s">
        <v>34042</v>
      </c>
      <c r="C35568" s="20" t="s">
        <v>10178</v>
      </c>
      <c r="D35568" s="20" t="s">
        <v>10190</v>
      </c>
      <c r="E35568" s="10">
        <v>1278935</v>
      </c>
      <c r="F35568" s="4" t="str">
        <f>IF(B35568=B35567,"",B35568)</f>
        <v>Amalāpuram</v>
      </c>
    </row>
    <row r="35569" spans="1:6" ht="15.75" customHeight="1">
      <c r="A35569" s="16" t="s">
        <v>10309</v>
      </c>
      <c r="B35569" s="15" t="s">
        <v>10310</v>
      </c>
      <c r="C35569" s="16" t="s">
        <v>10178</v>
      </c>
      <c r="D35569" s="16" t="s">
        <v>10190</v>
      </c>
      <c r="E35569" s="2">
        <v>1278935</v>
      </c>
      <c r="F35569" s="4" t="e">
        <f>IF(B35569=#REF!,"",B35569)</f>
        <v>#REF!</v>
      </c>
    </row>
    <row r="35570" spans="1:6" ht="15.75" customHeight="1">
      <c r="A35570" s="15" t="s">
        <v>19317</v>
      </c>
      <c r="B35570" s="15" t="s">
        <v>19318</v>
      </c>
      <c r="C35570" s="15" t="s">
        <v>19294</v>
      </c>
      <c r="D35570" s="15" t="s">
        <v>19295</v>
      </c>
      <c r="E35570" s="2">
        <v>2350249</v>
      </c>
      <c r="F35570" s="4" t="e">
        <f>IF(B35570=#REF!,"",B35570)</f>
        <v>#REF!</v>
      </c>
    </row>
    <row r="35571" spans="1:6" ht="15.75" customHeight="1">
      <c r="A35571" s="15" t="s">
        <v>13804</v>
      </c>
      <c r="B35571" s="15" t="s">
        <v>13804</v>
      </c>
      <c r="C35571" s="15" t="s">
        <v>13800</v>
      </c>
      <c r="D35571" s="15" t="s">
        <v>13805</v>
      </c>
      <c r="E35571" s="2">
        <v>1651591</v>
      </c>
      <c r="F35571" s="4" t="e">
        <f>IF(B35571=#REF!,"",B35571)</f>
        <v>#REF!</v>
      </c>
    </row>
    <row r="35572" spans="1:6" ht="15.75" customHeight="1">
      <c r="A35572" s="15" t="s">
        <v>15721</v>
      </c>
      <c r="B35572" s="15" t="s">
        <v>15721</v>
      </c>
      <c r="C35572" s="15" t="s">
        <v>15704</v>
      </c>
      <c r="D35572" s="15" t="s">
        <v>15722</v>
      </c>
      <c r="E35572" s="2">
        <v>1865375</v>
      </c>
      <c r="F35572" s="4" t="e">
        <f>IF(B35572=#REF!,"",B35572)</f>
        <v>#REF!</v>
      </c>
    </row>
    <row r="35573" spans="1:6" ht="15.75" customHeight="1">
      <c r="A35573" s="16" t="s">
        <v>15720</v>
      </c>
      <c r="B35573" s="15" t="s">
        <v>15720</v>
      </c>
      <c r="C35573" s="16" t="s">
        <v>15704</v>
      </c>
      <c r="D35573" s="16" t="s">
        <v>15712</v>
      </c>
      <c r="E35573" s="2">
        <v>1865387</v>
      </c>
      <c r="F35573" s="4" t="e">
        <f>IF(B35573=#REF!,"",B35573)</f>
        <v>#REF!</v>
      </c>
    </row>
    <row r="35574" spans="1:6" ht="15.75" customHeight="1">
      <c r="A35574" s="15" t="s">
        <v>21621</v>
      </c>
      <c r="B35574" s="15" t="s">
        <v>21621</v>
      </c>
      <c r="C35574" s="15" t="s">
        <v>21606</v>
      </c>
      <c r="D35574" s="15" t="s">
        <v>21616</v>
      </c>
      <c r="E35574" s="2">
        <v>2271772</v>
      </c>
      <c r="F35574" s="4" t="e">
        <f>IF(B35574=#REF!,"",B35574)</f>
        <v>#REF!</v>
      </c>
    </row>
    <row r="35575" spans="1:6" ht="15.75" customHeight="1">
      <c r="A35575" s="15" t="s">
        <v>20612</v>
      </c>
      <c r="B35575" s="15" t="s">
        <v>20612</v>
      </c>
      <c r="C35575" s="15" t="s">
        <v>20598</v>
      </c>
      <c r="D35575" s="15" t="s">
        <v>20608</v>
      </c>
      <c r="E35575" s="2">
        <v>1731212</v>
      </c>
      <c r="F35575" s="4" t="str">
        <f>IF(B35575=B35574,"",B35575)</f>
        <v>Amadeo</v>
      </c>
    </row>
    <row r="35576" spans="1:6" ht="15.75" customHeight="1">
      <c r="A35576" s="15" t="s">
        <v>24273</v>
      </c>
      <c r="B35576" s="15" t="s">
        <v>24274</v>
      </c>
      <c r="C35576" s="15" t="s">
        <v>24200</v>
      </c>
      <c r="D35576" s="15" t="s">
        <v>24201</v>
      </c>
      <c r="E35576" s="2">
        <v>3130155</v>
      </c>
      <c r="F35576" s="4" t="str">
        <f>IF(B35576=B35575,"",B35576)</f>
        <v>AmÃ©s</v>
      </c>
    </row>
    <row r="35577" spans="1:6" ht="15.75" customHeight="1">
      <c r="A35577" s="16" t="s">
        <v>1961</v>
      </c>
      <c r="B35577" s="15" t="s">
        <v>1962</v>
      </c>
      <c r="C35577" s="16" t="s">
        <v>1905</v>
      </c>
      <c r="D35577" s="16" t="s">
        <v>1914</v>
      </c>
      <c r="E35577" s="2">
        <v>3472338</v>
      </c>
      <c r="F35577" s="4" t="e">
        <f>IF(B35577=#REF!,"",B35577)</f>
        <v>#REF!</v>
      </c>
    </row>
    <row r="35578" spans="1:6" ht="15.75" customHeight="1">
      <c r="A35578" s="16" t="s">
        <v>4307</v>
      </c>
      <c r="B35578" s="15" t="s">
        <v>4308</v>
      </c>
      <c r="C35578" s="16" t="s">
        <v>4305</v>
      </c>
      <c r="D35578" s="16" t="s">
        <v>4309</v>
      </c>
      <c r="E35578" s="2">
        <v>245338</v>
      </c>
      <c r="F35578" s="4" t="e">
        <f>IF(B35578=#REF!,"",B35578)</f>
        <v>#REF!</v>
      </c>
    </row>
    <row r="35579" spans="1:6" ht="15.75" customHeight="1">
      <c r="A35579" s="15" t="s">
        <v>24272</v>
      </c>
      <c r="B35579" s="15" t="s">
        <v>24272</v>
      </c>
      <c r="C35579" s="15" t="s">
        <v>24200</v>
      </c>
      <c r="D35579" s="15" t="s">
        <v>21053</v>
      </c>
      <c r="E35579" s="2">
        <v>2522129</v>
      </c>
      <c r="F35579" s="4" t="e">
        <f>IF(B35579=#REF!,"",B35579)</f>
        <v>#REF!</v>
      </c>
    </row>
    <row r="35580" spans="1:6" ht="15.75" customHeight="1">
      <c r="A35580" s="15" t="s">
        <v>8064</v>
      </c>
      <c r="B35580" s="15" t="s">
        <v>8064</v>
      </c>
      <c r="C35580" s="15" t="s">
        <v>8028</v>
      </c>
      <c r="D35580" s="15" t="s">
        <v>8065</v>
      </c>
      <c r="E35580" s="2">
        <v>2956710</v>
      </c>
      <c r="F35580" s="4" t="e">
        <f>IF(B35580=#REF!,"",B35580)</f>
        <v>#REF!</v>
      </c>
    </row>
    <row r="35581" spans="1:6" ht="15.75" customHeight="1">
      <c r="A35581" s="16" t="s">
        <v>8062</v>
      </c>
      <c r="B35581" s="15" t="s">
        <v>8063</v>
      </c>
      <c r="C35581" s="16" t="s">
        <v>8028</v>
      </c>
      <c r="D35581" s="16" t="s">
        <v>8044</v>
      </c>
      <c r="E35581" s="2">
        <v>2956715</v>
      </c>
      <c r="F35581" s="4" t="e">
        <f>IF(B35581=#REF!,"",B35581)</f>
        <v>#REF!</v>
      </c>
    </row>
    <row r="35582" spans="1:6" ht="15.75" customHeight="1">
      <c r="A35582" s="15" t="s">
        <v>17163</v>
      </c>
      <c r="B35582" s="15" t="s">
        <v>17163</v>
      </c>
      <c r="C35582" s="15" t="s">
        <v>17154</v>
      </c>
      <c r="D35582" s="15" t="s">
        <v>17164</v>
      </c>
      <c r="E35582" s="2">
        <v>601084</v>
      </c>
      <c r="F35582" s="4" t="e">
        <f>IF(B35582=#REF!,"",B35582)</f>
        <v>#REF!</v>
      </c>
    </row>
    <row r="35583" spans="1:6" ht="15.75" customHeight="1">
      <c r="A35583" s="15" t="s">
        <v>10308</v>
      </c>
      <c r="B35583" s="15" t="s">
        <v>10308</v>
      </c>
      <c r="C35583" s="15" t="s">
        <v>10178</v>
      </c>
      <c r="D35583" s="15" t="s">
        <v>10179</v>
      </c>
      <c r="E35583" s="2">
        <v>1278946</v>
      </c>
      <c r="F35583" s="4" t="e">
        <f>IF(B35583=#REF!,"",B35583)</f>
        <v>#REF!</v>
      </c>
    </row>
    <row r="35584" spans="1:6" ht="15.75" customHeight="1">
      <c r="A35584" s="15" t="s">
        <v>27850</v>
      </c>
      <c r="B35584" s="15" t="s">
        <v>27850</v>
      </c>
      <c r="C35584" s="15" t="s">
        <v>27788</v>
      </c>
      <c r="D35584" s="15" t="s">
        <v>27792</v>
      </c>
      <c r="E35584" s="2">
        <v>4670592</v>
      </c>
      <c r="F35584" s="4" t="str">
        <f>IF(B35584=B35583,"",B35584)</f>
        <v>Alvin</v>
      </c>
    </row>
    <row r="35585" spans="1:6" ht="15.75" customHeight="1">
      <c r="A35585" s="16" t="str">
        <f ca="1">IFERROR(__xludf.DUMMYFUNCTION("GOOGLETRANSLATE(B36857,""en"",""pt"")"),"Álvaro Obregón")</f>
        <v>Álvaro Obregón</v>
      </c>
      <c r="B35585" s="20" t="s">
        <v>34659</v>
      </c>
      <c r="C35585" s="20" t="s">
        <v>17707</v>
      </c>
      <c r="D35585" s="20" t="s">
        <v>17711</v>
      </c>
      <c r="E35585" s="10">
        <v>3514663</v>
      </c>
      <c r="F35585" s="4" t="str">
        <f>IF(B35585=B35584,"",B35585)</f>
        <v>Álvaro Obregón</v>
      </c>
    </row>
    <row r="35586" spans="1:6" ht="15.75" customHeight="1">
      <c r="A35586" s="16" t="str">
        <f ca="1">IFERROR(__xludf.DUMMYFUNCTION("GOOGLETRANSLATE(B25289,""en"",""pt"")"),"Álvares Machado")</f>
        <v>Álvares Machado</v>
      </c>
      <c r="B35586" s="20" t="s">
        <v>31731</v>
      </c>
      <c r="C35586" s="20" t="s">
        <v>1905</v>
      </c>
      <c r="D35586" s="20" t="s">
        <v>3354</v>
      </c>
      <c r="E35586" s="10">
        <v>3472417</v>
      </c>
      <c r="F35586" s="4" t="e">
        <f>IF(B35586=#REF!,"",B35586)</f>
        <v>#REF!</v>
      </c>
    </row>
    <row r="35587" spans="1:6" ht="15.75" customHeight="1">
      <c r="A35587" s="15" t="s">
        <v>14284</v>
      </c>
      <c r="B35587" s="15" t="s">
        <v>14284</v>
      </c>
      <c r="C35587" s="15" t="s">
        <v>14240</v>
      </c>
      <c r="D35587" s="15" t="s">
        <v>14273</v>
      </c>
      <c r="E35587" s="2">
        <v>143748</v>
      </c>
      <c r="F35587" s="4" t="e">
        <f>IF(B35587=#REF!,"",B35587)</f>
        <v>#REF!</v>
      </c>
    </row>
    <row r="35588" spans="1:6" ht="15.75" customHeight="1">
      <c r="A35588" s="15" t="s">
        <v>10307</v>
      </c>
      <c r="B35588" s="15" t="s">
        <v>10307</v>
      </c>
      <c r="C35588" s="15" t="s">
        <v>10178</v>
      </c>
      <c r="D35588" s="15" t="s">
        <v>10246</v>
      </c>
      <c r="E35588" s="2">
        <v>1278941</v>
      </c>
      <c r="F35588" s="4" t="e">
        <f>IF(B35588=#REF!,"",B35588)</f>
        <v>#REF!</v>
      </c>
    </row>
    <row r="35589" spans="1:6" ht="15.75" customHeight="1">
      <c r="A35589" s="15" t="s">
        <v>26872</v>
      </c>
      <c r="B35589" s="15" t="s">
        <v>26872</v>
      </c>
      <c r="C35589" s="15" t="s">
        <v>26870</v>
      </c>
      <c r="D35589" s="15" t="s">
        <v>26873</v>
      </c>
      <c r="E35589" s="2">
        <v>713513</v>
      </c>
      <c r="F35589" s="4" t="e">
        <f>IF(B35589=#REF!,"",B35589)</f>
        <v>#REF!</v>
      </c>
    </row>
    <row r="35590" spans="1:6" ht="15.75" customHeight="1">
      <c r="A35590" s="16" t="s">
        <v>27848</v>
      </c>
      <c r="B35590" s="15" t="s">
        <v>27849</v>
      </c>
      <c r="C35590" s="16" t="s">
        <v>27788</v>
      </c>
      <c r="D35590" s="16" t="s">
        <v>27801</v>
      </c>
      <c r="E35590" s="2">
        <v>5323566</v>
      </c>
      <c r="F35590" s="4" t="e">
        <f>IF(B35590=#REF!,"",B35590)</f>
        <v>#REF!</v>
      </c>
    </row>
    <row r="35591" spans="1:6" ht="15.75" customHeight="1">
      <c r="A35591" s="15" t="s">
        <v>27847</v>
      </c>
      <c r="B35591" s="15" t="s">
        <v>27847</v>
      </c>
      <c r="C35591" s="15" t="s">
        <v>27788</v>
      </c>
      <c r="D35591" s="15" t="s">
        <v>27797</v>
      </c>
      <c r="E35591" s="2">
        <v>4529292</v>
      </c>
      <c r="F35591" s="4" t="str">
        <f>IF(B35591=B35590,"",B35591)</f>
        <v>Altus</v>
      </c>
    </row>
    <row r="35592" spans="1:6" ht="15.75" customHeight="1">
      <c r="A35592" s="16" t="s">
        <v>22125</v>
      </c>
      <c r="B35592" s="15" t="s">
        <v>22126</v>
      </c>
      <c r="C35592" s="16" t="s">
        <v>22070</v>
      </c>
      <c r="D35592" s="16" t="s">
        <v>22127</v>
      </c>
      <c r="E35592" s="2">
        <v>472072</v>
      </c>
      <c r="F35592" s="4" t="str">
        <f>IF(B35592=B35591,"",B35592)</f>
        <v>Altufâ€™yevskiy</v>
      </c>
    </row>
    <row r="35593" spans="1:6" ht="15.75" customHeight="1">
      <c r="A35593" s="16" t="str">
        <f ca="1">IFERROR(__xludf.DUMMYFUNCTION("GOOGLETRANSLATE(B39971,""en"",""pt"")"),"Altuf'yevskiy")</f>
        <v>Altuf'yevskiy</v>
      </c>
      <c r="B35593" s="20" t="s">
        <v>35435</v>
      </c>
      <c r="C35593" s="20" t="s">
        <v>22070</v>
      </c>
      <c r="D35593" s="20" t="s">
        <v>22127</v>
      </c>
      <c r="E35593" s="10">
        <v>472072</v>
      </c>
      <c r="F35593" s="4" t="e">
        <f>IF(B35593=#REF!,"",B35593)</f>
        <v>#REF!</v>
      </c>
    </row>
    <row r="35594" spans="1:6" ht="15.75" customHeight="1">
      <c r="A35594" s="16" t="s">
        <v>8061</v>
      </c>
      <c r="B35594" s="15" t="s">
        <v>8061</v>
      </c>
      <c r="C35594" s="16" t="s">
        <v>8028</v>
      </c>
      <c r="D35594" s="16" t="s">
        <v>8029</v>
      </c>
      <c r="E35594" s="2">
        <v>6691072</v>
      </c>
      <c r="F35594" s="4" t="e">
        <f>IF(B35594=#REF!,"",B35594)</f>
        <v>#REF!</v>
      </c>
    </row>
    <row r="35595" spans="1:6" ht="15.75" customHeight="1">
      <c r="A35595" s="16" t="s">
        <v>8060</v>
      </c>
      <c r="B35595" s="15" t="s">
        <v>8060</v>
      </c>
      <c r="C35595" s="16" t="s">
        <v>8028</v>
      </c>
      <c r="D35595" s="16" t="s">
        <v>8029</v>
      </c>
      <c r="E35595" s="2">
        <v>6691073</v>
      </c>
      <c r="F35595" s="4" t="e">
        <f>IF(B35595=#REF!,"",B35595)</f>
        <v>#REF!</v>
      </c>
    </row>
    <row r="35596" spans="1:6" ht="15.75" customHeight="1">
      <c r="A35596" s="16" t="s">
        <v>27252</v>
      </c>
      <c r="B35596" s="15" t="s">
        <v>27252</v>
      </c>
      <c r="C35596" s="16" t="s">
        <v>27234</v>
      </c>
      <c r="D35596" s="16" t="s">
        <v>27241</v>
      </c>
      <c r="E35596" s="2">
        <v>2657402</v>
      </c>
      <c r="F35596" s="4" t="e">
        <f>IF(B35596=#REF!,"",B35596)</f>
        <v>#REF!</v>
      </c>
    </row>
    <row r="35597" spans="1:6" ht="15.75" customHeight="1">
      <c r="A35597" s="15" t="s">
        <v>17743</v>
      </c>
      <c r="B35597" s="15" t="s">
        <v>17743</v>
      </c>
      <c r="C35597" s="15" t="s">
        <v>17707</v>
      </c>
      <c r="D35597" s="15" t="s">
        <v>17708</v>
      </c>
      <c r="E35597" s="2">
        <v>3532969</v>
      </c>
      <c r="F35597" s="4" t="e">
        <f>IF(B35597=#REF!,"",B35597)</f>
        <v>#REF!</v>
      </c>
    </row>
    <row r="35598" spans="1:6" ht="15.75" customHeight="1">
      <c r="A35598" s="15" t="s">
        <v>1959</v>
      </c>
      <c r="B35598" s="15" t="s">
        <v>1959</v>
      </c>
      <c r="C35598" s="15" t="s">
        <v>1905</v>
      </c>
      <c r="D35598" s="15" t="s">
        <v>1960</v>
      </c>
      <c r="E35598" s="2">
        <v>3407797</v>
      </c>
      <c r="F35598" s="4" t="e">
        <f>IF(B35598=#REF!,"",B35598)</f>
        <v>#REF!</v>
      </c>
    </row>
    <row r="35599" spans="1:6" ht="15.75" customHeight="1">
      <c r="A35599" s="15" t="s">
        <v>27846</v>
      </c>
      <c r="B35599" s="15" t="s">
        <v>27846</v>
      </c>
      <c r="C35599" s="15" t="s">
        <v>27788</v>
      </c>
      <c r="D35599" s="15" t="s">
        <v>27836</v>
      </c>
      <c r="E35599" s="2">
        <v>5178195</v>
      </c>
      <c r="F35599" s="4" t="e">
        <f>IF(B35599=#REF!,"",B35599)</f>
        <v>#REF!</v>
      </c>
    </row>
    <row r="35600" spans="1:6" ht="15.75" customHeight="1">
      <c r="A35600" s="16" t="s">
        <v>894</v>
      </c>
      <c r="B35600" s="15" t="s">
        <v>894</v>
      </c>
      <c r="C35600" s="16" t="s">
        <v>885</v>
      </c>
      <c r="D35600" s="16" t="s">
        <v>827</v>
      </c>
      <c r="E35600" s="2">
        <v>9972579</v>
      </c>
      <c r="F35600" s="4" t="e">
        <f>IF(B35600=#REF!,"",B35600)</f>
        <v>#REF!</v>
      </c>
    </row>
    <row r="35601" spans="1:6" ht="15.75" customHeight="1">
      <c r="A35601" s="15" t="s">
        <v>8058</v>
      </c>
      <c r="B35601" s="15" t="s">
        <v>8058</v>
      </c>
      <c r="C35601" s="15" t="s">
        <v>8028</v>
      </c>
      <c r="D35601" s="15" t="s">
        <v>8059</v>
      </c>
      <c r="E35601" s="2">
        <v>2911296</v>
      </c>
      <c r="F35601" s="4" t="e">
        <f>IF(B35601=#REF!,"",B35601)</f>
        <v>#REF!</v>
      </c>
    </row>
    <row r="35602" spans="1:6" ht="15.75" customHeight="1">
      <c r="A35602" s="15" t="s">
        <v>27251</v>
      </c>
      <c r="B35602" s="15" t="s">
        <v>27251</v>
      </c>
      <c r="C35602" s="15" t="s">
        <v>27234</v>
      </c>
      <c r="D35602" s="15" t="s">
        <v>27241</v>
      </c>
      <c r="E35602" s="2">
        <v>2657408</v>
      </c>
      <c r="F35602" s="4" t="e">
        <f>IF(B35602=#REF!,"",B35602)</f>
        <v>#REF!</v>
      </c>
    </row>
    <row r="35603" spans="1:6" ht="15.75" customHeight="1">
      <c r="A35603" s="16" t="s">
        <v>17742</v>
      </c>
      <c r="B35603" s="15" t="s">
        <v>17742</v>
      </c>
      <c r="C35603" s="16" t="s">
        <v>17707</v>
      </c>
      <c r="D35603" s="16" t="s">
        <v>17708</v>
      </c>
      <c r="E35603" s="2">
        <v>3824536</v>
      </c>
      <c r="F35603" s="4" t="e">
        <f>IF(B35603=#REF!,"",B35603)</f>
        <v>#REF!</v>
      </c>
    </row>
    <row r="35604" spans="1:6" ht="15.75" customHeight="1">
      <c r="A35604" s="16" t="s">
        <v>30638</v>
      </c>
      <c r="B35604" s="15" t="s">
        <v>30638</v>
      </c>
      <c r="C35604" s="16" t="s">
        <v>5923</v>
      </c>
      <c r="D35604" s="16" t="s">
        <v>30639</v>
      </c>
      <c r="E35604" s="2">
        <v>3487903</v>
      </c>
      <c r="F35604" s="4" t="str">
        <f>IF(B35604=B35603,"",B35604)</f>
        <v>Alto Barinas</v>
      </c>
    </row>
    <row r="35605" spans="1:6" ht="15.75" customHeight="1">
      <c r="A35605" s="16" t="str">
        <f ca="1">IFERROR(__xludf.DUMMYFUNCTION("GOOGLETRANSLATE(B28388,""en"",""pt"")"),"Alt-Hohenschönhausen")</f>
        <v>Alt-Hohenschönhausen</v>
      </c>
      <c r="B35605" s="20" t="s">
        <v>32145</v>
      </c>
      <c r="C35605" s="20" t="s">
        <v>8028</v>
      </c>
      <c r="D35605" s="20" t="s">
        <v>8036</v>
      </c>
      <c r="E35605" s="10">
        <v>8334624</v>
      </c>
      <c r="F35605" s="4" t="str">
        <f>IF(B35605=B35604,"",B35605)</f>
        <v>Alt-Hohenschönhausen</v>
      </c>
    </row>
    <row r="35606" spans="1:6" ht="15.75" customHeight="1">
      <c r="A35606" s="16" t="s">
        <v>8056</v>
      </c>
      <c r="B35606" s="15" t="s">
        <v>8057</v>
      </c>
      <c r="C35606" s="16" t="s">
        <v>8028</v>
      </c>
      <c r="D35606" s="16" t="s">
        <v>8036</v>
      </c>
      <c r="E35606" s="2">
        <v>8334624</v>
      </c>
      <c r="F35606" s="4" t="e">
        <f>IF(B35606=#REF!,"",B35606)</f>
        <v>#REF!</v>
      </c>
    </row>
    <row r="35607" spans="1:6" ht="15.75" customHeight="1">
      <c r="A35607" s="16" t="s">
        <v>8055</v>
      </c>
      <c r="B35607" s="15" t="s">
        <v>8055</v>
      </c>
      <c r="C35607" s="16" t="s">
        <v>8028</v>
      </c>
      <c r="D35607" s="16" t="s">
        <v>8036</v>
      </c>
      <c r="E35607" s="2">
        <v>2957185</v>
      </c>
      <c r="F35607" s="4" t="e">
        <f>IF(B35607=#REF!,"",B35607)</f>
        <v>#REF!</v>
      </c>
    </row>
    <row r="35608" spans="1:6" ht="15.75" customHeight="1">
      <c r="A35608" s="15" t="s">
        <v>17741</v>
      </c>
      <c r="B35608" s="15" t="s">
        <v>17741</v>
      </c>
      <c r="C35608" s="15" t="s">
        <v>17707</v>
      </c>
      <c r="D35608" s="15" t="s">
        <v>17717</v>
      </c>
      <c r="E35608" s="2">
        <v>3532989</v>
      </c>
      <c r="F35608" s="4" t="e">
        <f>IF(B35608=#REF!,"",B35608)</f>
        <v>#REF!</v>
      </c>
    </row>
    <row r="35609" spans="1:6" ht="15.75" customHeight="1">
      <c r="A35609" s="16" t="s">
        <v>8053</v>
      </c>
      <c r="B35609" s="15" t="s">
        <v>8053</v>
      </c>
      <c r="C35609" s="16" t="s">
        <v>8028</v>
      </c>
      <c r="D35609" s="16" t="s">
        <v>8054</v>
      </c>
      <c r="E35609" s="2">
        <v>2957773</v>
      </c>
      <c r="F35609" s="4" t="e">
        <f>IF(B35609=#REF!,"",B35609)</f>
        <v>#REF!</v>
      </c>
    </row>
    <row r="35610" spans="1:6" ht="15.75" customHeight="1">
      <c r="A35610" s="15" t="s">
        <v>8052</v>
      </c>
      <c r="B35610" s="15" t="s">
        <v>8052</v>
      </c>
      <c r="C35610" s="15" t="s">
        <v>8028</v>
      </c>
      <c r="D35610" s="15" t="s">
        <v>8029</v>
      </c>
      <c r="E35610" s="2">
        <v>2957886</v>
      </c>
      <c r="F35610" s="4" t="e">
        <f>IF(B35610=#REF!,"",B35610)</f>
        <v>#REF!</v>
      </c>
    </row>
    <row r="35611" spans="1:6" ht="15.75" customHeight="1">
      <c r="A35611" s="15" t="s">
        <v>24271</v>
      </c>
      <c r="B35611" s="15" t="s">
        <v>24271</v>
      </c>
      <c r="C35611" s="15" t="s">
        <v>24200</v>
      </c>
      <c r="D35611" s="15" t="s">
        <v>21053</v>
      </c>
      <c r="E35611" s="2">
        <v>2521804</v>
      </c>
      <c r="F35611" s="4" t="e">
        <f>IF(B35611=#REF!,"",B35611)</f>
        <v>#REF!</v>
      </c>
    </row>
    <row r="35612" spans="1:6" ht="15.75" customHeight="1">
      <c r="A35612" s="15" t="s">
        <v>8051</v>
      </c>
      <c r="B35612" s="15" t="s">
        <v>8051</v>
      </c>
      <c r="C35612" s="15" t="s">
        <v>8028</v>
      </c>
      <c r="D35612" s="15" t="s">
        <v>8044</v>
      </c>
      <c r="E35612" s="2">
        <v>2958024</v>
      </c>
      <c r="F35612" s="4" t="e">
        <f>IF(B35612=#REF!,"",B35612)</f>
        <v>#REF!</v>
      </c>
    </row>
    <row r="35613" spans="1:6" ht="15.75" customHeight="1">
      <c r="A35613" s="15" t="s">
        <v>4489</v>
      </c>
      <c r="B35613" s="15" t="s">
        <v>4489</v>
      </c>
      <c r="C35613" s="15" t="s">
        <v>4487</v>
      </c>
      <c r="D35613" s="15" t="s">
        <v>4490</v>
      </c>
      <c r="E35613" s="2">
        <v>1529651</v>
      </c>
      <c r="F35613" s="4" t="e">
        <f>IF(B35613=#REF!,"",B35613)</f>
        <v>#REF!</v>
      </c>
    </row>
    <row r="35614" spans="1:6" ht="15.75" customHeight="1">
      <c r="A35614" s="15" t="s">
        <v>14927</v>
      </c>
      <c r="B35614" s="15" t="s">
        <v>14927</v>
      </c>
      <c r="C35614" s="15" t="s">
        <v>14891</v>
      </c>
      <c r="D35614" s="15" t="s">
        <v>14908</v>
      </c>
      <c r="E35614" s="2">
        <v>3183178</v>
      </c>
      <c r="F35614" s="4" t="e">
        <f>IF(B35614=#REF!,"",B35614)</f>
        <v>#REF!</v>
      </c>
    </row>
    <row r="35615" spans="1:6" ht="15.75" customHeight="1">
      <c r="A35615" s="16" t="s">
        <v>27845</v>
      </c>
      <c r="B35615" s="15" t="s">
        <v>27845</v>
      </c>
      <c r="C35615" s="16" t="s">
        <v>27788</v>
      </c>
      <c r="D35615" s="16" t="s">
        <v>5468</v>
      </c>
      <c r="E35615" s="2">
        <v>4145941</v>
      </c>
      <c r="F35615" s="4" t="e">
        <f>IF(B35615=#REF!,"",B35615)</f>
        <v>#REF!</v>
      </c>
    </row>
    <row r="35616" spans="1:6" ht="15.75" customHeight="1">
      <c r="A35616" s="15" t="s">
        <v>27844</v>
      </c>
      <c r="B35616" s="15" t="s">
        <v>27844</v>
      </c>
      <c r="C35616" s="15" t="s">
        <v>27788</v>
      </c>
      <c r="D35616" s="15" t="s">
        <v>27820</v>
      </c>
      <c r="E35616" s="2">
        <v>5711149</v>
      </c>
      <c r="F35616" s="4" t="e">
        <f>IF(B35616=#REF!,"",B35616)</f>
        <v>#REF!</v>
      </c>
    </row>
    <row r="35617" spans="1:6" ht="15.75" customHeight="1">
      <c r="A35617" s="15" t="s">
        <v>1958</v>
      </c>
      <c r="B35617" s="15" t="s">
        <v>1958</v>
      </c>
      <c r="C35617" s="15" t="s">
        <v>1905</v>
      </c>
      <c r="D35617" s="15" t="s">
        <v>1906</v>
      </c>
      <c r="E35617" s="2">
        <v>3407882</v>
      </c>
      <c r="F35617" s="4" t="e">
        <f>IF(B35617=#REF!,"",B35617)</f>
        <v>#REF!</v>
      </c>
    </row>
    <row r="35618" spans="1:6" ht="15.75" customHeight="1">
      <c r="A35618" s="15" t="s">
        <v>18498</v>
      </c>
      <c r="B35618" s="15" t="s">
        <v>18498</v>
      </c>
      <c r="C35618" s="15" t="s">
        <v>18496</v>
      </c>
      <c r="D35618" s="15" t="s">
        <v>18499</v>
      </c>
      <c r="E35618" s="2">
        <v>1516393</v>
      </c>
      <c r="F35618" s="4" t="e">
        <f>IF(B35618=#REF!,"",B35618)</f>
        <v>#REF!</v>
      </c>
    </row>
    <row r="35619" spans="1:6" ht="15.75" customHeight="1">
      <c r="A35619" s="16" t="s">
        <v>30635</v>
      </c>
      <c r="B35619" s="15" t="s">
        <v>30636</v>
      </c>
      <c r="C35619" s="16" t="s">
        <v>5923</v>
      </c>
      <c r="D35619" s="16" t="s">
        <v>30637</v>
      </c>
      <c r="E35619" s="2">
        <v>3649408</v>
      </c>
      <c r="F35619" s="4" t="e">
        <f>IF(B35619=#REF!,"",B35619)</f>
        <v>#REF!</v>
      </c>
    </row>
    <row r="35620" spans="1:6" ht="15.75" customHeight="1">
      <c r="A35620" s="15" t="s">
        <v>27843</v>
      </c>
      <c r="B35620" s="15" t="s">
        <v>27843</v>
      </c>
      <c r="C35620" s="15" t="s">
        <v>27788</v>
      </c>
      <c r="D35620" s="15" t="s">
        <v>27801</v>
      </c>
      <c r="E35620" s="2">
        <v>5323525</v>
      </c>
      <c r="F35620" s="4" t="e">
        <f>IF(B35620=#REF!,"",B35620)</f>
        <v>#REF!</v>
      </c>
    </row>
    <row r="35621" spans="1:6" ht="15.75" customHeight="1">
      <c r="A35621" s="16" t="s">
        <v>572</v>
      </c>
      <c r="B35621" s="15" t="s">
        <v>572</v>
      </c>
      <c r="C35621" s="16" t="s">
        <v>558</v>
      </c>
      <c r="D35621" s="16" t="s">
        <v>573</v>
      </c>
      <c r="E35621" s="2">
        <v>3866163</v>
      </c>
      <c r="F35621" s="4" t="e">
        <f>IF(B35621=#REF!,"",B35621)</f>
        <v>#REF!</v>
      </c>
    </row>
    <row r="35622" spans="1:6" ht="15.75" customHeight="1">
      <c r="A35622" s="15" t="s">
        <v>27842</v>
      </c>
      <c r="B35622" s="15" t="s">
        <v>27842</v>
      </c>
      <c r="C35622" s="15" t="s">
        <v>27788</v>
      </c>
      <c r="D35622" s="15" t="s">
        <v>27799</v>
      </c>
      <c r="E35622" s="2">
        <v>4883207</v>
      </c>
      <c r="F35622" s="4" t="e">
        <f>IF(B35622=#REF!,"",B35622)</f>
        <v>#REF!</v>
      </c>
    </row>
    <row r="35623" spans="1:6" ht="15.75" customHeight="1">
      <c r="A35623" s="15" t="s">
        <v>8049</v>
      </c>
      <c r="B35623" s="15" t="s">
        <v>8049</v>
      </c>
      <c r="C35623" s="15" t="s">
        <v>8028</v>
      </c>
      <c r="D35623" s="15" t="s">
        <v>8050</v>
      </c>
      <c r="E35623" s="2">
        <v>2958128</v>
      </c>
      <c r="F35623" s="4" t="e">
        <f>IF(B35623=#REF!,"",B35623)</f>
        <v>#REF!</v>
      </c>
    </row>
    <row r="35624" spans="1:6" ht="15.75" customHeight="1">
      <c r="A35624" s="15" t="s">
        <v>8048</v>
      </c>
      <c r="B35624" s="15" t="s">
        <v>8048</v>
      </c>
      <c r="C35624" s="15" t="s">
        <v>8028</v>
      </c>
      <c r="D35624" s="15" t="s">
        <v>8029</v>
      </c>
      <c r="E35624" s="2">
        <v>2958141</v>
      </c>
      <c r="F35624" s="4" t="str">
        <f>IF(B35624=B35623,"",B35624)</f>
        <v>Alsdorf</v>
      </c>
    </row>
    <row r="35625" spans="1:6" ht="15.75" customHeight="1">
      <c r="A35625" s="16" t="str">
        <f ca="1">IFERROR(__xludf.DUMMYFUNCTION("GOOGLETRANSLATE(B27217,""en"",""pt"")"),"Alquízar")</f>
        <v>Alquízar</v>
      </c>
      <c r="B35625" s="20" t="s">
        <v>31932</v>
      </c>
      <c r="C35625" s="20" t="s">
        <v>5764</v>
      </c>
      <c r="D35625" s="20" t="s">
        <v>5771</v>
      </c>
      <c r="E35625" s="10">
        <v>3569136</v>
      </c>
      <c r="F35625" s="4" t="str">
        <f>IF(B35625=B35624,"",B35625)</f>
        <v>Alquízar</v>
      </c>
    </row>
    <row r="35626" spans="1:6" ht="15.75" customHeight="1">
      <c r="A35626" s="15" t="s">
        <v>5769</v>
      </c>
      <c r="B35626" s="15" t="s">
        <v>5770</v>
      </c>
      <c r="C35626" s="15" t="s">
        <v>5764</v>
      </c>
      <c r="D35626" s="15" t="s">
        <v>5771</v>
      </c>
      <c r="E35626" s="2">
        <v>3569136</v>
      </c>
      <c r="F35626" s="4" t="e">
        <f>IF(B35626=#REF!,"",B35626)</f>
        <v>#REF!</v>
      </c>
    </row>
    <row r="35627" spans="1:6" ht="15.75" customHeight="1">
      <c r="A35627" s="16" t="s">
        <v>14926</v>
      </c>
      <c r="B35627" s="15" t="s">
        <v>14926</v>
      </c>
      <c r="C35627" s="16" t="s">
        <v>14891</v>
      </c>
      <c r="D35627" s="16" t="s">
        <v>14911</v>
      </c>
      <c r="E35627" s="2">
        <v>3183187</v>
      </c>
      <c r="F35627" s="4" t="e">
        <f>IF(B35627=#REF!,"",B35627)</f>
        <v>#REF!</v>
      </c>
    </row>
    <row r="35628" spans="1:6" ht="15.75" customHeight="1">
      <c r="A35628" s="16" t="s">
        <v>18874</v>
      </c>
      <c r="B35628" s="15" t="s">
        <v>18875</v>
      </c>
      <c r="C35628" s="16" t="s">
        <v>18862</v>
      </c>
      <c r="D35628" s="16" t="s">
        <v>18868</v>
      </c>
      <c r="E35628" s="2">
        <v>2759875</v>
      </c>
      <c r="F35628" s="4" t="e">
        <f>IF(B35628=#REF!,"",B35628)</f>
        <v>#REF!</v>
      </c>
    </row>
    <row r="35629" spans="1:6" ht="15.75" customHeight="1">
      <c r="A35629" s="16" t="s">
        <v>27841</v>
      </c>
      <c r="B35629" s="15" t="s">
        <v>27841</v>
      </c>
      <c r="C35629" s="16" t="s">
        <v>27788</v>
      </c>
      <c r="D35629" s="16" t="s">
        <v>7988</v>
      </c>
      <c r="E35629" s="2">
        <v>4179574</v>
      </c>
      <c r="F35629" s="4" t="e">
        <f>IF(B35629=#REF!,"",B35629)</f>
        <v>#REF!</v>
      </c>
    </row>
    <row r="35630" spans="1:6" ht="15.75" customHeight="1">
      <c r="A35630" s="16" t="s">
        <v>9699</v>
      </c>
      <c r="B35630" s="15" t="s">
        <v>9699</v>
      </c>
      <c r="C35630" s="16" t="s">
        <v>9700</v>
      </c>
      <c r="D35630" s="16" t="s">
        <v>9701</v>
      </c>
      <c r="E35630" s="2">
        <v>3599788</v>
      </c>
      <c r="F35630" s="4" t="e">
        <f>IF(B35630=#REF!,"",B35630)</f>
        <v>#REF!</v>
      </c>
    </row>
    <row r="35631" spans="1:6" ht="15.75" customHeight="1">
      <c r="A35631" s="15" t="s">
        <v>10305</v>
      </c>
      <c r="B35631" s="15" t="s">
        <v>10306</v>
      </c>
      <c r="C35631" s="15" t="s">
        <v>10178</v>
      </c>
      <c r="D35631" s="15" t="s">
        <v>10219</v>
      </c>
      <c r="E35631" s="2">
        <v>1278964</v>
      </c>
      <c r="F35631" s="4" t="e">
        <f>IF(B35631=#REF!,"",B35631)</f>
        <v>#REF!</v>
      </c>
    </row>
    <row r="35632" spans="1:6" ht="15.75" customHeight="1">
      <c r="A35632" s="16" t="s">
        <v>17434</v>
      </c>
      <c r="B35632" s="15" t="s">
        <v>17435</v>
      </c>
      <c r="C35632" s="16" t="s">
        <v>17432</v>
      </c>
      <c r="D35632" s="16" t="s">
        <v>17436</v>
      </c>
      <c r="E35632" s="2">
        <v>1736309</v>
      </c>
      <c r="F35632" s="4" t="e">
        <f>IF(B35632=#REF!,"",B35632)</f>
        <v>#REF!</v>
      </c>
    </row>
    <row r="35633" spans="1:6" ht="15.75" customHeight="1">
      <c r="A35633" s="16" t="s">
        <v>17431</v>
      </c>
      <c r="B35633" s="15" t="s">
        <v>17431</v>
      </c>
      <c r="C35633" s="16" t="s">
        <v>17432</v>
      </c>
      <c r="D35633" s="16" t="s">
        <v>17433</v>
      </c>
      <c r="E35633" s="2">
        <v>1734745</v>
      </c>
      <c r="F35633" s="4" t="e">
        <f>IF(B35633=#REF!,"",B35633)</f>
        <v>#REF!</v>
      </c>
    </row>
    <row r="35634" spans="1:6" ht="15.75" customHeight="1">
      <c r="A35634" s="15" t="s">
        <v>10302</v>
      </c>
      <c r="B35634" s="15" t="s">
        <v>10303</v>
      </c>
      <c r="C35634" s="15" t="s">
        <v>10178</v>
      </c>
      <c r="D35634" s="15" t="s">
        <v>10304</v>
      </c>
      <c r="E35634" s="2">
        <v>1278969</v>
      </c>
      <c r="F35634" s="4" t="e">
        <f>IF(B35634=#REF!,"",B35634)</f>
        <v>#REF!</v>
      </c>
    </row>
    <row r="35635" spans="1:6" ht="15.75" customHeight="1">
      <c r="A35635" s="15" t="s">
        <v>27840</v>
      </c>
      <c r="B35635" s="15" t="s">
        <v>27840</v>
      </c>
      <c r="C35635" s="15" t="s">
        <v>27788</v>
      </c>
      <c r="D35635" s="15" t="s">
        <v>27820</v>
      </c>
      <c r="E35635" s="2">
        <v>5711099</v>
      </c>
      <c r="F35635" s="4" t="e">
        <f>IF(B35635=#REF!,"",B35635)</f>
        <v>#REF!</v>
      </c>
    </row>
    <row r="35636" spans="1:6" ht="15.75" customHeight="1">
      <c r="A35636" s="15" t="s">
        <v>19586</v>
      </c>
      <c r="B35636" s="15" t="s">
        <v>19586</v>
      </c>
      <c r="C35636" s="15" t="s">
        <v>19587</v>
      </c>
      <c r="D35636" s="15" t="s">
        <v>551</v>
      </c>
      <c r="E35636" s="2">
        <v>4036284</v>
      </c>
      <c r="F35636" s="4" t="str">
        <f>IF(B35636=B35635,"",B35636)</f>
        <v>Alofi</v>
      </c>
    </row>
    <row r="35637" spans="1:6" ht="15.75" customHeight="1">
      <c r="A35637" s="16" t="str">
        <f ca="1">IFERROR(__xludf.DUMMYFUNCTION("GOOGLETRANSLATE(B34138,""en"",""pt"")"),"Alnāvar")</f>
        <v>Alnāvar</v>
      </c>
      <c r="B35637" s="20" t="s">
        <v>34043</v>
      </c>
      <c r="C35637" s="20" t="s">
        <v>10178</v>
      </c>
      <c r="D35637" s="20" t="s">
        <v>10252</v>
      </c>
      <c r="E35637" s="10">
        <v>1278973</v>
      </c>
      <c r="F35637" s="4" t="str">
        <f>IF(B35637=B35636,"",B35637)</f>
        <v>Alnāvar</v>
      </c>
    </row>
    <row r="35638" spans="1:6" ht="15.75" customHeight="1">
      <c r="A35638" s="15" t="s">
        <v>10300</v>
      </c>
      <c r="B35638" s="15" t="s">
        <v>10301</v>
      </c>
      <c r="C35638" s="15" t="s">
        <v>10178</v>
      </c>
      <c r="D35638" s="15" t="s">
        <v>10252</v>
      </c>
      <c r="E35638" s="2">
        <v>1278973</v>
      </c>
      <c r="F35638" s="4" t="str">
        <f>IF(B35638=B35637,"",B35638)</f>
        <v>AlnÄvar</v>
      </c>
    </row>
    <row r="35639" spans="1:6" ht="15.75" customHeight="1">
      <c r="A35639" s="16" t="str">
        <f ca="1">IFERROR(__xludf.DUMMYFUNCTION("GOOGLETRANSLATE(B29195,""en"",""pt"")"),"Almuñécar")</f>
        <v>Almuñécar</v>
      </c>
      <c r="B35639" s="20" t="s">
        <v>32400</v>
      </c>
      <c r="C35639" s="20" t="s">
        <v>24200</v>
      </c>
      <c r="D35639" s="20" t="s">
        <v>24205</v>
      </c>
      <c r="E35639" s="10">
        <v>2521847</v>
      </c>
      <c r="F35639" s="4" t="str">
        <f>IF(B35639=B35638,"",B35639)</f>
        <v>Almuñécar</v>
      </c>
    </row>
    <row r="35640" spans="1:6" ht="15.75" customHeight="1">
      <c r="A35640" s="16" t="s">
        <v>24269</v>
      </c>
      <c r="B35640" s="15" t="s">
        <v>24270</v>
      </c>
      <c r="C35640" s="16" t="s">
        <v>24200</v>
      </c>
      <c r="D35640" s="16" t="s">
        <v>24205</v>
      </c>
      <c r="E35640" s="2">
        <v>2521847</v>
      </c>
      <c r="F35640" s="4" t="e">
        <f>IF(B35640=#REF!,"",B35640)</f>
        <v>#REF!</v>
      </c>
    </row>
    <row r="35641" spans="1:6" ht="15.75" customHeight="1">
      <c r="A35641" s="15" t="s">
        <v>24268</v>
      </c>
      <c r="B35641" s="15" t="s">
        <v>24268</v>
      </c>
      <c r="C35641" s="15" t="s">
        <v>24200</v>
      </c>
      <c r="D35641" s="15" t="s">
        <v>24226</v>
      </c>
      <c r="E35641" s="2">
        <v>6615442</v>
      </c>
      <c r="F35641" s="4" t="str">
        <f>IF(B35641=B35640,"",B35641)</f>
        <v>Almozara</v>
      </c>
    </row>
    <row r="35642" spans="1:6" ht="15.75" customHeight="1">
      <c r="A35642" s="16" t="str">
        <f ca="1">IFERROR(__xludf.DUMMYFUNCTION("GOOGLETRANSLATE(B29196,""en"",""pt"")"),"Almoradí")</f>
        <v>Almoradí</v>
      </c>
      <c r="B35642" s="20" t="s">
        <v>32401</v>
      </c>
      <c r="C35642" s="20" t="s">
        <v>24200</v>
      </c>
      <c r="D35642" s="20" t="s">
        <v>21053</v>
      </c>
      <c r="E35642" s="10">
        <v>2521855</v>
      </c>
      <c r="F35642" s="4" t="str">
        <f>IF(B35642=B35641,"",B35642)</f>
        <v>Almoradí</v>
      </c>
    </row>
    <row r="35643" spans="1:6" ht="15.75" customHeight="1">
      <c r="A35643" s="15" t="s">
        <v>24266</v>
      </c>
      <c r="B35643" s="15" t="s">
        <v>24267</v>
      </c>
      <c r="C35643" s="15" t="s">
        <v>24200</v>
      </c>
      <c r="D35643" s="15" t="s">
        <v>21053</v>
      </c>
      <c r="E35643" s="2">
        <v>2521855</v>
      </c>
      <c r="F35643" s="4" t="e">
        <f>IF(B35643=#REF!,"",B35643)</f>
        <v>#REF!</v>
      </c>
    </row>
    <row r="35644" spans="1:6" ht="15.75" customHeight="1">
      <c r="A35644" s="15" t="s">
        <v>10298</v>
      </c>
      <c r="B35644" s="15" t="s">
        <v>10298</v>
      </c>
      <c r="C35644" s="15" t="s">
        <v>10178</v>
      </c>
      <c r="D35644" s="15" t="s">
        <v>10299</v>
      </c>
      <c r="E35644" s="2">
        <v>1278974</v>
      </c>
      <c r="F35644" s="4" t="e">
        <f>IF(B35644=#REF!,"",B35644)</f>
        <v>#REF!</v>
      </c>
    </row>
    <row r="35645" spans="1:6" ht="15.75" customHeight="1">
      <c r="A35645" s="15" t="s">
        <v>24265</v>
      </c>
      <c r="B35645" s="15" t="s">
        <v>24265</v>
      </c>
      <c r="C35645" s="15" t="s">
        <v>24200</v>
      </c>
      <c r="D35645" s="15" t="s">
        <v>24205</v>
      </c>
      <c r="E35645" s="2">
        <v>2521857</v>
      </c>
      <c r="F35645" s="4" t="str">
        <f>IF(B35645=B35644,"",B35645)</f>
        <v>Almonte</v>
      </c>
    </row>
    <row r="35646" spans="1:6" ht="15.75" customHeight="1">
      <c r="A35646" s="16" t="str">
        <f ca="1">IFERROR(__xludf.DUMMYFUNCTION("GOOGLETRANSLATE(B25290,""en"",""pt"")"),"Almirante Tamandaré")</f>
        <v>Almirante Tamandaré</v>
      </c>
      <c r="B35646" s="20" t="s">
        <v>1956</v>
      </c>
      <c r="C35646" s="20" t="s">
        <v>1905</v>
      </c>
      <c r="D35646" s="20" t="s">
        <v>727</v>
      </c>
      <c r="E35646" s="10">
        <v>3472518</v>
      </c>
      <c r="F35646" s="4" t="str">
        <f>IF(B35646=B35645,"",B35646)</f>
        <v>Almirante Tamandaré</v>
      </c>
    </row>
    <row r="35647" spans="1:6" ht="15.75" customHeight="1">
      <c r="A35647" s="16" t="s">
        <v>1956</v>
      </c>
      <c r="B35647" s="15" t="s">
        <v>1957</v>
      </c>
      <c r="C35647" s="16" t="s">
        <v>1905</v>
      </c>
      <c r="D35647" s="16" t="s">
        <v>728</v>
      </c>
      <c r="E35647" s="2">
        <v>3472518</v>
      </c>
      <c r="F35647" s="4" t="str">
        <f>IF(B35647=B35646,"",B35647)</f>
        <v>Almirante TamandarÃ©</v>
      </c>
    </row>
    <row r="35648" spans="1:6" ht="15.75" customHeight="1">
      <c r="A35648" s="16" t="str">
        <f ca="1">IFERROR(__xludf.DUMMYFUNCTION("GOOGLETRANSLATE(B29198,""en"",""pt"")"),"Almería")</f>
        <v>Almería</v>
      </c>
      <c r="B35648" s="20" t="s">
        <v>32402</v>
      </c>
      <c r="C35648" s="20" t="s">
        <v>24200</v>
      </c>
      <c r="D35648" s="20" t="s">
        <v>24205</v>
      </c>
      <c r="E35648" s="10">
        <v>2521886</v>
      </c>
      <c r="F35648" s="4" t="e">
        <f>IF(B35648=#REF!,"",B35648)</f>
        <v>#REF!</v>
      </c>
    </row>
    <row r="35649" spans="1:6" ht="15.75" customHeight="1">
      <c r="A35649" s="16" t="s">
        <v>18872</v>
      </c>
      <c r="B35649" s="15" t="s">
        <v>18872</v>
      </c>
      <c r="C35649" s="16" t="s">
        <v>18862</v>
      </c>
      <c r="D35649" s="16" t="s">
        <v>18873</v>
      </c>
      <c r="E35649" s="2">
        <v>2759879</v>
      </c>
      <c r="F35649" s="4" t="str">
        <f>IF(B35649=B35648,"",B35649)</f>
        <v>Almere Stad</v>
      </c>
    </row>
    <row r="35650" spans="1:6" ht="15.75" customHeight="1">
      <c r="A35650" s="15" t="s">
        <v>24263</v>
      </c>
      <c r="B35650" s="15" t="s">
        <v>24264</v>
      </c>
      <c r="C35650" s="15" t="s">
        <v>24200</v>
      </c>
      <c r="D35650" s="15" t="s">
        <v>24205</v>
      </c>
      <c r="E35650" s="2">
        <v>2521886</v>
      </c>
      <c r="F35650" s="4" t="e">
        <f>IF(B35650=#REF!,"",B35650)</f>
        <v>#REF!</v>
      </c>
    </row>
    <row r="35651" spans="1:6" ht="15.75" customHeight="1">
      <c r="A35651" s="16" t="s">
        <v>24260</v>
      </c>
      <c r="B35651" s="15" t="s">
        <v>24261</v>
      </c>
      <c r="C35651" s="16" t="s">
        <v>24200</v>
      </c>
      <c r="D35651" s="16" t="s">
        <v>24262</v>
      </c>
      <c r="E35651" s="2">
        <v>2521893</v>
      </c>
      <c r="F35651" s="4" t="e">
        <f>IF(B35651=#REF!,"",B35651)</f>
        <v>#REF!</v>
      </c>
    </row>
    <row r="35652" spans="1:6" ht="15.75" customHeight="1">
      <c r="A35652" s="15" t="s">
        <v>1955</v>
      </c>
      <c r="B35652" s="15" t="s">
        <v>1955</v>
      </c>
      <c r="C35652" s="15" t="s">
        <v>1905</v>
      </c>
      <c r="D35652" s="15" t="s">
        <v>1917</v>
      </c>
      <c r="E35652" s="2">
        <v>3472520</v>
      </c>
      <c r="F35652" s="4" t="e">
        <f>IF(B35652=#REF!,"",B35652)</f>
        <v>#REF!</v>
      </c>
    </row>
    <row r="35653" spans="1:6" ht="15.75" customHeight="1">
      <c r="A35653" s="15" t="s">
        <v>18870</v>
      </c>
      <c r="B35653" s="15" t="s">
        <v>18870</v>
      </c>
      <c r="C35653" s="15" t="s">
        <v>18862</v>
      </c>
      <c r="D35653" s="15" t="s">
        <v>18871</v>
      </c>
      <c r="E35653" s="2">
        <v>2759887</v>
      </c>
      <c r="F35653" s="4" t="e">
        <f>IF(B35653=#REF!,"",B35653)</f>
        <v>#REF!</v>
      </c>
    </row>
    <row r="35654" spans="1:6" ht="15.75" customHeight="1">
      <c r="A35654" s="15" t="s">
        <v>1954</v>
      </c>
      <c r="B35654" s="15" t="s">
        <v>1954</v>
      </c>
      <c r="C35654" s="15" t="s">
        <v>1905</v>
      </c>
      <c r="D35654" s="15" t="s">
        <v>1906</v>
      </c>
      <c r="E35654" s="2">
        <v>3407903</v>
      </c>
      <c r="F35654" s="4" t="e">
        <f>IF(B35654=#REF!,"",B35654)</f>
        <v>#REF!</v>
      </c>
    </row>
    <row r="35655" spans="1:6" ht="15.75" customHeight="1">
      <c r="A35655" s="15" t="s">
        <v>16681</v>
      </c>
      <c r="B35655" s="15" t="s">
        <v>16681</v>
      </c>
      <c r="C35655" s="15" t="s">
        <v>16671</v>
      </c>
      <c r="D35655" s="15" t="s">
        <v>16682</v>
      </c>
      <c r="E35655" s="2">
        <v>1526384</v>
      </c>
      <c r="F35655" s="4" t="e">
        <f>IF(B35655=#REF!,"",B35655)</f>
        <v>#REF!</v>
      </c>
    </row>
    <row r="35656" spans="1:6" ht="15.75" customHeight="1">
      <c r="A35656" s="16" t="s">
        <v>24259</v>
      </c>
      <c r="B35656" s="15" t="s">
        <v>24259</v>
      </c>
      <c r="C35656" s="16" t="s">
        <v>24200</v>
      </c>
      <c r="D35656" s="16" t="s">
        <v>21053</v>
      </c>
      <c r="E35656" s="2">
        <v>2521909</v>
      </c>
      <c r="F35656" s="4" t="e">
        <f>IF(B35656=#REF!,"",B35656)</f>
        <v>#REF!</v>
      </c>
    </row>
    <row r="35657" spans="1:6" ht="15.75" customHeight="1">
      <c r="A35657" s="15" t="s">
        <v>24258</v>
      </c>
      <c r="B35657" s="15" t="s">
        <v>24258</v>
      </c>
      <c r="C35657" s="15" t="s">
        <v>24200</v>
      </c>
      <c r="D35657" s="15" t="s">
        <v>24218</v>
      </c>
      <c r="E35657" s="2">
        <v>2521923</v>
      </c>
      <c r="F35657" s="4" t="e">
        <f>IF(B35657=#REF!,"",B35657)</f>
        <v>#REF!</v>
      </c>
    </row>
    <row r="35658" spans="1:6" ht="15.75" customHeight="1">
      <c r="A35658" s="15" t="s">
        <v>21619</v>
      </c>
      <c r="B35658" s="15" t="s">
        <v>21619</v>
      </c>
      <c r="C35658" s="15" t="s">
        <v>21606</v>
      </c>
      <c r="D35658" s="15" t="s">
        <v>21620</v>
      </c>
      <c r="E35658" s="2">
        <v>2271961</v>
      </c>
      <c r="F35658" s="4" t="e">
        <f>IF(B35658=#REF!,"",B35658)</f>
        <v>#REF!</v>
      </c>
    </row>
    <row r="35659" spans="1:6" ht="15.75" customHeight="1">
      <c r="A35659" s="15" t="s">
        <v>3981</v>
      </c>
      <c r="B35659" s="15" t="s">
        <v>3981</v>
      </c>
      <c r="C35659" s="15" t="s">
        <v>3975</v>
      </c>
      <c r="D35659" s="15" t="s">
        <v>3982</v>
      </c>
      <c r="E35659" s="2">
        <v>5884083</v>
      </c>
      <c r="F35659" s="4" t="e">
        <f>IF(B35659=#REF!,"",B35659)</f>
        <v>#REF!</v>
      </c>
    </row>
    <row r="35660" spans="1:6" ht="15.75" customHeight="1">
      <c r="A35660" s="15" t="s">
        <v>25241</v>
      </c>
      <c r="B35660" s="15" t="s">
        <v>25241</v>
      </c>
      <c r="C35660" s="15" t="s">
        <v>25237</v>
      </c>
      <c r="D35660" s="15" t="s">
        <v>25242</v>
      </c>
      <c r="E35660" s="2">
        <v>2661810</v>
      </c>
      <c r="F35660" s="4" t="e">
        <f>IF(B35660=#REF!,"",B35660)</f>
        <v>#REF!</v>
      </c>
    </row>
    <row r="35661" spans="1:6" ht="15.75" customHeight="1">
      <c r="A35661" s="15" t="s">
        <v>27250</v>
      </c>
      <c r="B35661" s="15" t="s">
        <v>27250</v>
      </c>
      <c r="C35661" s="15" t="s">
        <v>27234</v>
      </c>
      <c r="D35661" s="15" t="s">
        <v>27237</v>
      </c>
      <c r="E35661" s="2">
        <v>2657471</v>
      </c>
      <c r="F35661" s="4" t="e">
        <f>IF(B35661=#REF!,"",B35661)</f>
        <v>#REF!</v>
      </c>
    </row>
    <row r="35662" spans="1:6" ht="15.75" customHeight="1">
      <c r="A35662" s="16" t="s">
        <v>27839</v>
      </c>
      <c r="B35662" s="15" t="s">
        <v>27839</v>
      </c>
      <c r="C35662" s="16" t="s">
        <v>27788</v>
      </c>
      <c r="D35662" s="16" t="s">
        <v>27836</v>
      </c>
      <c r="E35662" s="2">
        <v>5178165</v>
      </c>
      <c r="F35662" s="4" t="e">
        <f>IF(B35662=#REF!,"",B35662)</f>
        <v>#REF!</v>
      </c>
    </row>
    <row r="35663" spans="1:6" ht="15.75" customHeight="1">
      <c r="A35663" s="15" t="s">
        <v>27837</v>
      </c>
      <c r="B35663" s="15" t="s">
        <v>27838</v>
      </c>
      <c r="C35663" s="15" t="s">
        <v>27788</v>
      </c>
      <c r="D35663" s="15" t="s">
        <v>27813</v>
      </c>
      <c r="E35663" s="2">
        <v>5145607</v>
      </c>
      <c r="F35663" s="4" t="e">
        <f>IF(B35663=#REF!,"",B35663)</f>
        <v>#REF!</v>
      </c>
    </row>
    <row r="35664" spans="1:6" ht="15.75" customHeight="1">
      <c r="A35664" s="15" t="s">
        <v>10297</v>
      </c>
      <c r="B35664" s="15" t="s">
        <v>10297</v>
      </c>
      <c r="C35664" s="15" t="s">
        <v>10178</v>
      </c>
      <c r="D35664" s="15" t="s">
        <v>10246</v>
      </c>
      <c r="E35664" s="2">
        <v>1278985</v>
      </c>
      <c r="F35664" s="4" t="e">
        <f>IF(B35664=#REF!,"",B35664)</f>
        <v>#REF!</v>
      </c>
    </row>
    <row r="35665" spans="1:6" ht="15.75" customHeight="1">
      <c r="A35665" s="16" t="s">
        <v>27835</v>
      </c>
      <c r="B35665" s="15" t="s">
        <v>27835</v>
      </c>
      <c r="C35665" s="16" t="s">
        <v>27788</v>
      </c>
      <c r="D35665" s="16" t="s">
        <v>27836</v>
      </c>
      <c r="E35665" s="2">
        <v>5178127</v>
      </c>
      <c r="F35665" s="4" t="e">
        <f>IF(B35665=#REF!,"",B35665)</f>
        <v>#REF!</v>
      </c>
    </row>
    <row r="35666" spans="1:6" ht="15.75" customHeight="1">
      <c r="A35666" s="15" t="s">
        <v>17737</v>
      </c>
      <c r="B35666" s="15" t="s">
        <v>17737</v>
      </c>
      <c r="C35666" s="15" t="s">
        <v>17707</v>
      </c>
      <c r="D35666" s="15" t="s">
        <v>17708</v>
      </c>
      <c r="E35666" s="2">
        <v>3533056</v>
      </c>
      <c r="F35666" s="4" t="e">
        <f>IF(B35666=#REF!,"",B35666)</f>
        <v>#REF!</v>
      </c>
    </row>
    <row r="35667" spans="1:6" ht="15.75" customHeight="1">
      <c r="A35667" s="15" t="s">
        <v>27834</v>
      </c>
      <c r="B35667" s="15" t="s">
        <v>27834</v>
      </c>
      <c r="C35667" s="15" t="s">
        <v>27788</v>
      </c>
      <c r="D35667" s="15" t="s">
        <v>27804</v>
      </c>
      <c r="E35667" s="2">
        <v>4984029</v>
      </c>
      <c r="F35667" s="4" t="e">
        <f>IF(B35667=#REF!,"",B35667)</f>
        <v>#REF!</v>
      </c>
    </row>
    <row r="35668" spans="1:6" ht="15.75" customHeight="1">
      <c r="A35668" s="16" t="s">
        <v>27833</v>
      </c>
      <c r="B35668" s="15" t="s">
        <v>27833</v>
      </c>
      <c r="C35668" s="16" t="s">
        <v>27788</v>
      </c>
      <c r="D35668" s="16" t="s">
        <v>27804</v>
      </c>
      <c r="E35668" s="2">
        <v>4984016</v>
      </c>
      <c r="F35668" s="4" t="e">
        <f>IF(B35668=#REF!,"",B35668)</f>
        <v>#REF!</v>
      </c>
    </row>
    <row r="35669" spans="1:6" ht="15.75" customHeight="1">
      <c r="A35669" s="15" t="s">
        <v>570</v>
      </c>
      <c r="B35669" s="15" t="s">
        <v>570</v>
      </c>
      <c r="C35669" s="15" t="s">
        <v>558</v>
      </c>
      <c r="D35669" s="15" t="s">
        <v>571</v>
      </c>
      <c r="E35669" s="2">
        <v>3866242</v>
      </c>
      <c r="F35669" s="4" t="e">
        <f>IF(B35669=#REF!,"",B35669)</f>
        <v>#REF!</v>
      </c>
    </row>
    <row r="35670" spans="1:6" ht="15.75" customHeight="1">
      <c r="A35670" s="15" t="s">
        <v>7099</v>
      </c>
      <c r="B35670" s="15" t="s">
        <v>7099</v>
      </c>
      <c r="C35670" s="15" t="s">
        <v>7052</v>
      </c>
      <c r="D35670" s="15" t="s">
        <v>7087</v>
      </c>
      <c r="E35670" s="2">
        <v>3038159</v>
      </c>
      <c r="F35670" s="4" t="e">
        <f>IF(B35670=#REF!,"",B35670)</f>
        <v>#REF!</v>
      </c>
    </row>
    <row r="35671" spans="1:6" ht="15.75" customHeight="1">
      <c r="A35671" s="16" t="s">
        <v>27832</v>
      </c>
      <c r="B35671" s="15" t="s">
        <v>27832</v>
      </c>
      <c r="C35671" s="16" t="s">
        <v>27788</v>
      </c>
      <c r="D35671" s="16" t="s">
        <v>5468</v>
      </c>
      <c r="E35671" s="2">
        <v>4145805</v>
      </c>
      <c r="F35671" s="4" t="e">
        <f>IF(B35671=#REF!,"",B35671)</f>
        <v>#REF!</v>
      </c>
    </row>
    <row r="35672" spans="1:6" ht="15.75" customHeight="1">
      <c r="A35672" s="16" t="s">
        <v>23844</v>
      </c>
      <c r="B35672" s="15" t="s">
        <v>23844</v>
      </c>
      <c r="C35672" s="16" t="s">
        <v>23842</v>
      </c>
      <c r="D35672" s="16" t="s">
        <v>23845</v>
      </c>
      <c r="E35672" s="2">
        <v>1023287</v>
      </c>
      <c r="F35672" s="4" t="str">
        <f>IF(B35672=B35671,"",B35672)</f>
        <v>Allanridge</v>
      </c>
    </row>
    <row r="35673" spans="1:6" ht="15.75" customHeight="1">
      <c r="A35673" s="16" t="str">
        <f ca="1">IFERROR(__xludf.DUMMYFUNCTION("GOOGLETRANSLATE(B34141,""en"",""pt"")"),"Allahābād")</f>
        <v>Allahābād</v>
      </c>
      <c r="B35673" s="20" t="s">
        <v>34044</v>
      </c>
      <c r="C35673" s="20" t="s">
        <v>10178</v>
      </c>
      <c r="D35673" s="20" t="s">
        <v>10193</v>
      </c>
      <c r="E35673" s="10">
        <v>1278994</v>
      </c>
      <c r="F35673" s="4" t="str">
        <f>IF(B35673=B35672,"",B35673)</f>
        <v>Allahābād</v>
      </c>
    </row>
    <row r="35674" spans="1:6" ht="15.75" customHeight="1">
      <c r="A35674" s="16" t="s">
        <v>10295</v>
      </c>
      <c r="B35674" s="15" t="s">
        <v>10296</v>
      </c>
      <c r="C35674" s="16" t="s">
        <v>10178</v>
      </c>
      <c r="D35674" s="16" t="s">
        <v>10193</v>
      </c>
      <c r="E35674" s="2">
        <v>1278994</v>
      </c>
      <c r="F35674" s="4" t="e">
        <f>IF(B35674=#REF!,"",B35674)</f>
        <v>#REF!</v>
      </c>
    </row>
    <row r="35675" spans="1:6" ht="15.75" customHeight="1">
      <c r="A35675" s="15" t="s">
        <v>1745</v>
      </c>
      <c r="B35675" s="15" t="s">
        <v>1745</v>
      </c>
      <c r="C35675" s="15" t="s">
        <v>1741</v>
      </c>
      <c r="D35675" s="15" t="s">
        <v>1744</v>
      </c>
      <c r="E35675" s="2">
        <v>2395635</v>
      </c>
      <c r="F35675" s="4" t="e">
        <f>IF(B35675=#REF!,"",B35675)</f>
        <v>#REF!</v>
      </c>
    </row>
    <row r="35676" spans="1:6" ht="15.75" customHeight="1">
      <c r="A35676" s="15" t="s">
        <v>18869</v>
      </c>
      <c r="B35676" s="15" t="s">
        <v>18869</v>
      </c>
      <c r="C35676" s="15" t="s">
        <v>18862</v>
      </c>
      <c r="D35676" s="15" t="s">
        <v>18863</v>
      </c>
      <c r="E35676" s="2">
        <v>2759899</v>
      </c>
      <c r="F35676" s="4" t="e">
        <f>IF(B35676=#REF!,"",B35676)</f>
        <v>#REF!</v>
      </c>
    </row>
    <row r="35677" spans="1:6" ht="15.75" customHeight="1">
      <c r="A35677" s="15" t="s">
        <v>24257</v>
      </c>
      <c r="B35677" s="15" t="s">
        <v>24257</v>
      </c>
      <c r="C35677" s="15" t="s">
        <v>24200</v>
      </c>
      <c r="D35677" s="15" t="s">
        <v>24205</v>
      </c>
      <c r="E35677" s="2">
        <v>2521964</v>
      </c>
      <c r="F35677" s="4" t="e">
        <f>IF(B35677=#REF!,"",B35677)</f>
        <v>#REF!</v>
      </c>
    </row>
    <row r="35678" spans="1:6" ht="15.75" customHeight="1">
      <c r="A35678" s="16" t="s">
        <v>23841</v>
      </c>
      <c r="B35678" s="15" t="s">
        <v>23841</v>
      </c>
      <c r="C35678" s="16" t="s">
        <v>23842</v>
      </c>
      <c r="D35678" s="16" t="s">
        <v>23843</v>
      </c>
      <c r="E35678" s="2">
        <v>1023309</v>
      </c>
      <c r="F35678" s="4" t="e">
        <f>IF(B35678=#REF!,"",B35678)</f>
        <v>#REF!</v>
      </c>
    </row>
    <row r="35679" spans="1:6" ht="15.75" customHeight="1">
      <c r="A35679" s="16" t="s">
        <v>27831</v>
      </c>
      <c r="B35679" s="15" t="s">
        <v>27831</v>
      </c>
      <c r="C35679" s="16" t="s">
        <v>27788</v>
      </c>
      <c r="D35679" s="16" t="s">
        <v>27801</v>
      </c>
      <c r="E35679" s="2">
        <v>5323163</v>
      </c>
      <c r="F35679" s="4" t="e">
        <f>IF(B35679=#REF!,"",B35679)</f>
        <v>#REF!</v>
      </c>
    </row>
    <row r="35680" spans="1:6" ht="15.75" customHeight="1">
      <c r="A35680" s="16" t="str">
        <f ca="1">IFERROR(__xludf.DUMMYFUNCTION("GOOGLETRANSLATE(B34142,""en"",""pt"")"),"Alīpur")</f>
        <v>Alīpur</v>
      </c>
      <c r="B35680" s="20" t="s">
        <v>34045</v>
      </c>
      <c r="C35680" s="20" t="s">
        <v>10178</v>
      </c>
      <c r="D35680" s="20" t="s">
        <v>10288</v>
      </c>
      <c r="E35680" s="10">
        <v>1279005</v>
      </c>
      <c r="F35680" s="4" t="str">
        <f>IF(B35680=B35679,"",B35680)</f>
        <v>Alīpur</v>
      </c>
    </row>
    <row r="35681" spans="1:6" ht="15.75" customHeight="1">
      <c r="A35681" s="16" t="str">
        <f ca="1">IFERROR(__xludf.DUMMYFUNCTION("GOOGLETRANSLATE(B41206,""en"",""pt"")"),"ALINGS Ad")</f>
        <v>ALINGS Ad</v>
      </c>
      <c r="B35681" s="20" t="s">
        <v>35663</v>
      </c>
      <c r="C35681" s="20" t="s">
        <v>25077</v>
      </c>
      <c r="D35681" s="20" t="s">
        <v>35628</v>
      </c>
      <c r="E35681" s="10">
        <v>2726756</v>
      </c>
      <c r="F35681" s="4" t="str">
        <f>IF(B35681=B35680,"",B35681)</f>
        <v>Alingsås</v>
      </c>
    </row>
    <row r="35682" spans="1:6" ht="15.75" customHeight="1">
      <c r="A35682" s="16" t="s">
        <v>25084</v>
      </c>
      <c r="B35682" s="15" t="s">
        <v>25085</v>
      </c>
      <c r="C35682" s="16" t="s">
        <v>25077</v>
      </c>
      <c r="D35682" s="16" t="s">
        <v>25086</v>
      </c>
      <c r="E35682" s="2">
        <v>2726756</v>
      </c>
      <c r="F35682" s="4" t="str">
        <f>IF(B35682=B35681,"",B35682)</f>
        <v>AlingsÃ¥s</v>
      </c>
    </row>
    <row r="35683" spans="1:6" ht="15.75" customHeight="1">
      <c r="A35683" s="16" t="str">
        <f ca="1">IFERROR(__xludf.DUMMYFUNCTION("GOOGLETRANSLATE(B31002,""en"",""pt"")"),"Álimos")</f>
        <v>Álimos</v>
      </c>
      <c r="B35683" s="20" t="s">
        <v>32710</v>
      </c>
      <c r="C35683" s="20" t="s">
        <v>9441</v>
      </c>
      <c r="D35683" s="20" t="s">
        <v>9445</v>
      </c>
      <c r="E35683" s="10">
        <v>261614</v>
      </c>
      <c r="F35683" s="4" t="str">
        <f>IF(B35683=B35682,"",B35683)</f>
        <v>Álimos</v>
      </c>
    </row>
    <row r="35684" spans="1:6" ht="15.75" customHeight="1">
      <c r="A35684" s="16" t="str">
        <f ca="1">IFERROR(__xludf.DUMMYFUNCTION("GOOGLETRANSLATE(B34501,""en"",""pt"")"),"Alīgūdarz")</f>
        <v>Alīgūdarz</v>
      </c>
      <c r="B35684" s="20" t="s">
        <v>34242</v>
      </c>
      <c r="C35684" s="20" t="s">
        <v>14240</v>
      </c>
      <c r="D35684" s="20" t="s">
        <v>34122</v>
      </c>
      <c r="E35684" s="10">
        <v>143921</v>
      </c>
      <c r="F35684" s="4" t="str">
        <f>IF(B35684=B35683,"",B35684)</f>
        <v>Alīgūdarz</v>
      </c>
    </row>
    <row r="35685" spans="1:6" ht="15.75" customHeight="1">
      <c r="A35685" s="16" t="str">
        <f ca="1">IFERROR(__xludf.DUMMYFUNCTION("GOOGLETRANSLATE(B34143,""en"",""pt"")"),"Alīgarh")</f>
        <v>Alīgarh</v>
      </c>
      <c r="B35685" s="20" t="s">
        <v>34046</v>
      </c>
      <c r="C35685" s="20" t="s">
        <v>10178</v>
      </c>
      <c r="D35685" s="20" t="s">
        <v>10193</v>
      </c>
      <c r="E35685" s="10">
        <v>1279017</v>
      </c>
      <c r="F35685" s="4" t="str">
        <f>IF(B35685=B35684,"",B35685)</f>
        <v>Alīgarh</v>
      </c>
    </row>
    <row r="35686" spans="1:6" ht="15.75" customHeight="1">
      <c r="A35686" s="16" t="str">
        <f ca="1">IFERROR(__xludf.DUMMYFUNCTION("GOOGLETRANSLATE(B34144,""en"",""pt"")"),"Alīganj")</f>
        <v>Alīganj</v>
      </c>
      <c r="B35686" s="20" t="s">
        <v>34047</v>
      </c>
      <c r="C35686" s="20" t="s">
        <v>10178</v>
      </c>
      <c r="D35686" s="20" t="s">
        <v>10193</v>
      </c>
      <c r="E35686" s="10">
        <v>1279023</v>
      </c>
      <c r="F35686" s="4" t="e">
        <f>IF(B35686=#REF!,"",B35686)</f>
        <v>#REF!</v>
      </c>
    </row>
    <row r="35687" spans="1:6" ht="15.75" customHeight="1">
      <c r="A35687" s="15" t="s">
        <v>20610</v>
      </c>
      <c r="B35687" s="15" t="s">
        <v>20610</v>
      </c>
      <c r="C35687" s="15" t="s">
        <v>20598</v>
      </c>
      <c r="D35687" s="15" t="s">
        <v>20611</v>
      </c>
      <c r="E35687" s="2">
        <v>1731486</v>
      </c>
      <c r="F35687" s="4" t="e">
        <f>IF(B35687=#REF!,"",B35687)</f>
        <v>#REF!</v>
      </c>
    </row>
    <row r="35688" spans="1:6" ht="15.75" customHeight="1">
      <c r="A35688" s="16" t="s">
        <v>892</v>
      </c>
      <c r="B35688" s="15" t="s">
        <v>892</v>
      </c>
      <c r="C35688" s="16" t="s">
        <v>885</v>
      </c>
      <c r="D35688" s="16" t="s">
        <v>893</v>
      </c>
      <c r="E35688" s="2">
        <v>2077895</v>
      </c>
      <c r="F35688" s="4" t="e">
        <f>IF(B35688=#REF!,"",B35688)</f>
        <v>#REF!</v>
      </c>
    </row>
    <row r="35689" spans="1:6" ht="15.75" customHeight="1">
      <c r="A35689" s="15" t="s">
        <v>27830</v>
      </c>
      <c r="B35689" s="15" t="s">
        <v>27830</v>
      </c>
      <c r="C35689" s="15" t="s">
        <v>27788</v>
      </c>
      <c r="D35689" s="15" t="s">
        <v>27792</v>
      </c>
      <c r="E35689" s="2">
        <v>4670234</v>
      </c>
      <c r="F35689" s="4" t="e">
        <f>IF(B35689=#REF!,"",B35689)</f>
        <v>#REF!</v>
      </c>
    </row>
    <row r="35690" spans="1:6" ht="15.75" customHeight="1">
      <c r="A35690" s="15" t="s">
        <v>24256</v>
      </c>
      <c r="B35690" s="15" t="s">
        <v>24256</v>
      </c>
      <c r="C35690" s="15" t="s">
        <v>24200</v>
      </c>
      <c r="D35690" s="15" t="s">
        <v>21053</v>
      </c>
      <c r="E35690" s="2">
        <v>2521978</v>
      </c>
      <c r="F35690" s="4" t="str">
        <f>IF(B35690=B35689,"",B35690)</f>
        <v>Alicante</v>
      </c>
    </row>
    <row r="35691" spans="1:6" ht="15.75" customHeight="1">
      <c r="A35691" s="16" t="str">
        <f ca="1">IFERROR(__xludf.DUMMYFUNCTION("GOOGLETRANSLATE(B34145,""en"",""pt"")"),"Alībāg")</f>
        <v>Alībāg</v>
      </c>
      <c r="B35691" s="20" t="s">
        <v>34048</v>
      </c>
      <c r="C35691" s="20" t="s">
        <v>10178</v>
      </c>
      <c r="D35691" s="20" t="s">
        <v>10214</v>
      </c>
      <c r="E35691" s="10">
        <v>1279027</v>
      </c>
      <c r="F35691" s="4" t="str">
        <f>IF(B35691=B35690,"",B35691)</f>
        <v>Alībāg</v>
      </c>
    </row>
    <row r="35692" spans="1:6" ht="15.75" customHeight="1">
      <c r="A35692" s="16" t="str">
        <f ca="1">IFERROR(__xludf.DUMMYFUNCTION("GOOGLETRANSLATE(B42070,""en"",""pt"")"),"Aliağa")</f>
        <v>Aliağa</v>
      </c>
      <c r="B35692" s="20" t="s">
        <v>35904</v>
      </c>
      <c r="C35692" s="20" t="s">
        <v>26201</v>
      </c>
      <c r="D35692" s="20" t="s">
        <v>35825</v>
      </c>
      <c r="E35692" s="10">
        <v>324106</v>
      </c>
      <c r="F35692" s="4" t="e">
        <f>IF(B35692=#REF!,"",B35692)</f>
        <v>#REF!</v>
      </c>
    </row>
    <row r="35693" spans="1:6" ht="15.75" customHeight="1">
      <c r="A35693" s="15" t="s">
        <v>20609</v>
      </c>
      <c r="B35693" s="15" t="s">
        <v>20609</v>
      </c>
      <c r="C35693" s="15" t="s">
        <v>20598</v>
      </c>
      <c r="D35693" s="15" t="s">
        <v>20599</v>
      </c>
      <c r="E35693" s="2">
        <v>1731528</v>
      </c>
      <c r="F35693" s="4" t="str">
        <f>IF(B35693=B35692,"",B35693)</f>
        <v>Aliaga</v>
      </c>
    </row>
    <row r="35694" spans="1:6" ht="15.75" customHeight="1">
      <c r="A35694" s="15" t="s">
        <v>26311</v>
      </c>
      <c r="B35694" s="15" t="s">
        <v>26312</v>
      </c>
      <c r="C35694" s="15" t="s">
        <v>26201</v>
      </c>
      <c r="D35694" s="15" t="s">
        <v>26213</v>
      </c>
      <c r="E35694" s="2">
        <v>324106</v>
      </c>
      <c r="F35694" s="4" t="str">
        <f>IF(B35694=B35693,"",B35694)</f>
        <v>AliaÄŸa</v>
      </c>
    </row>
    <row r="35695" spans="1:6" ht="15.75" customHeight="1">
      <c r="A35695" s="16" t="s">
        <v>6294</v>
      </c>
      <c r="B35695" s="15" t="s">
        <v>6294</v>
      </c>
      <c r="C35695" s="16" t="s">
        <v>6292</v>
      </c>
      <c r="D35695" s="16" t="s">
        <v>6293</v>
      </c>
      <c r="E35695" s="2">
        <v>225284</v>
      </c>
      <c r="F35695" s="4" t="str">
        <f>IF(B35695=B35694,"",B35695)</f>
        <v>'Ali Sabieh</v>
      </c>
    </row>
    <row r="35696" spans="1:6" ht="15.75" customHeight="1">
      <c r="A35696" s="16" t="str">
        <f ca="1">IFERROR(__xludf.DUMMYFUNCTION("GOOGLETRANSLATE(B28401,""en"",""pt"")"),"Ali Sabieh")</f>
        <v>Ali Sabieh</v>
      </c>
      <c r="B35696" s="21" t="s">
        <v>6293</v>
      </c>
      <c r="C35696" s="20" t="s">
        <v>6292</v>
      </c>
      <c r="D35696" s="20" t="s">
        <v>6293</v>
      </c>
      <c r="E35696" s="10">
        <v>225284</v>
      </c>
      <c r="F35696" s="4" t="str">
        <f>IF(B35696=B35695,"",B35696)</f>
        <v>Ali Sabieh</v>
      </c>
    </row>
    <row r="35697" spans="1:6" ht="15.75" customHeight="1">
      <c r="A35697" s="16" t="str">
        <f ca="1">IFERROR(__xludf.DUMMYFUNCTION("GOOGLETRANSLATE(B29204,""en"",""pt"")"),"ALHAURín El Grande")</f>
        <v>ALHAURín El Grande</v>
      </c>
      <c r="B35697" s="20" t="s">
        <v>32403</v>
      </c>
      <c r="C35697" s="20" t="s">
        <v>24200</v>
      </c>
      <c r="D35697" s="20" t="s">
        <v>24205</v>
      </c>
      <c r="E35697" s="10">
        <v>2521985</v>
      </c>
      <c r="F35697" s="4" t="str">
        <f>IF(B35697=B35696,"",B35697)</f>
        <v>Alhaurín el Grande</v>
      </c>
    </row>
    <row r="35698" spans="1:6" ht="15.75" customHeight="1">
      <c r="A35698" s="16" t="str">
        <f ca="1">IFERROR(__xludf.DUMMYFUNCTION("GOOGLETRANSLATE(B29205,""en"",""pt"")"),"Alaurín de la Torre")</f>
        <v>Alaurín de la Torre</v>
      </c>
      <c r="B35698" s="20" t="s">
        <v>32404</v>
      </c>
      <c r="C35698" s="20" t="s">
        <v>24200</v>
      </c>
      <c r="D35698" s="20" t="s">
        <v>24205</v>
      </c>
      <c r="E35698" s="10">
        <v>2521986</v>
      </c>
      <c r="F35698" s="4" t="str">
        <f>IF(B35698=B35697,"",B35698)</f>
        <v>Alhaurín de la Torre</v>
      </c>
    </row>
    <row r="35699" spans="1:6" ht="15.75" customHeight="1">
      <c r="A35699" s="16" t="s">
        <v>24254</v>
      </c>
      <c r="B35699" s="15" t="s">
        <v>24255</v>
      </c>
      <c r="C35699" s="16" t="s">
        <v>24200</v>
      </c>
      <c r="D35699" s="16" t="s">
        <v>24205</v>
      </c>
      <c r="E35699" s="2">
        <v>2521985</v>
      </c>
      <c r="F35699" s="4" t="str">
        <f>IF(B35699=B35698,"",B35699)</f>
        <v>AlhaurÃ­n el Grande</v>
      </c>
    </row>
    <row r="35700" spans="1:6" ht="15.75" customHeight="1">
      <c r="A35700" s="16" t="s">
        <v>24252</v>
      </c>
      <c r="B35700" s="15" t="s">
        <v>24253</v>
      </c>
      <c r="C35700" s="16" t="s">
        <v>24200</v>
      </c>
      <c r="D35700" s="16" t="s">
        <v>24205</v>
      </c>
      <c r="E35700" s="2">
        <v>2521986</v>
      </c>
      <c r="F35700" s="4" t="e">
        <f>IF(B35700=#REF!,"",B35700)</f>
        <v>#REF!</v>
      </c>
    </row>
    <row r="35701" spans="1:6" ht="15.75" customHeight="1">
      <c r="A35701" s="16" t="s">
        <v>14654</v>
      </c>
      <c r="B35701" s="15" t="s">
        <v>14654</v>
      </c>
      <c r="C35701" s="16" t="s">
        <v>14594</v>
      </c>
      <c r="D35701" s="16" t="s">
        <v>14609</v>
      </c>
      <c r="E35701" s="2">
        <v>92430</v>
      </c>
      <c r="F35701" s="4" t="e">
        <f>IF(B35701=#REF!,"",B35701)</f>
        <v>#REF!</v>
      </c>
    </row>
    <row r="35702" spans="1:6" ht="15.75" customHeight="1">
      <c r="A35702" s="15" t="s">
        <v>27829</v>
      </c>
      <c r="B35702" s="15" t="s">
        <v>27829</v>
      </c>
      <c r="C35702" s="15" t="s">
        <v>27788</v>
      </c>
      <c r="D35702" s="15" t="s">
        <v>27801</v>
      </c>
      <c r="E35702" s="2">
        <v>5323060</v>
      </c>
      <c r="F35702" s="4" t="e">
        <f>IF(B35702=#REF!,"",B35702)</f>
        <v>#REF!</v>
      </c>
    </row>
    <row r="35703" spans="1:6" ht="15.75" customHeight="1">
      <c r="A35703" s="16" t="s">
        <v>24250</v>
      </c>
      <c r="B35703" s="15" t="s">
        <v>24251</v>
      </c>
      <c r="C35703" s="16" t="s">
        <v>24200</v>
      </c>
      <c r="D35703" s="16" t="s">
        <v>20912</v>
      </c>
      <c r="E35703" s="2">
        <v>2521992</v>
      </c>
      <c r="F35703" s="4" t="e">
        <f>IF(B35703=#REF!,"",B35703)</f>
        <v>#REF!</v>
      </c>
    </row>
    <row r="35704" spans="1:6" ht="15.75" customHeight="1">
      <c r="A35704" s="15" t="s">
        <v>24248</v>
      </c>
      <c r="B35704" s="15" t="s">
        <v>24248</v>
      </c>
      <c r="C35704" s="15" t="s">
        <v>24200</v>
      </c>
      <c r="D35704" s="15" t="s">
        <v>24249</v>
      </c>
      <c r="E35704" s="2">
        <v>3130380</v>
      </c>
      <c r="F35704" s="4" t="e">
        <f>IF(B35704=#REF!,"",B35704)</f>
        <v>#REF!</v>
      </c>
    </row>
    <row r="35705" spans="1:6" ht="15.75" customHeight="1">
      <c r="A35705" s="16" t="s">
        <v>27828</v>
      </c>
      <c r="B35705" s="15" t="s">
        <v>27828</v>
      </c>
      <c r="C35705" s="16" t="s">
        <v>27788</v>
      </c>
      <c r="D35705" s="16" t="s">
        <v>27799</v>
      </c>
      <c r="E35705" s="2">
        <v>4883078</v>
      </c>
      <c r="F35705" s="4" t="str">
        <f>IF(B35705=B35704,"",B35705)</f>
        <v>Algonquin</v>
      </c>
    </row>
    <row r="35706" spans="1:6" ht="15.75" customHeight="1">
      <c r="A35706" s="15" t="s">
        <v>18494</v>
      </c>
      <c r="B35706" s="15" t="s">
        <v>18495</v>
      </c>
      <c r="C35706" s="15" t="s">
        <v>18496</v>
      </c>
      <c r="D35706" s="15" t="s">
        <v>18497</v>
      </c>
      <c r="E35706" s="2">
        <v>1515436</v>
      </c>
      <c r="F35706" s="4" t="e">
        <f>IF(B35706=#REF!,"",B35706)</f>
        <v>#REF!</v>
      </c>
    </row>
    <row r="35707" spans="1:6" ht="15.75" customHeight="1">
      <c r="A35707" s="15" t="s">
        <v>222</v>
      </c>
      <c r="B35707" s="15" t="s">
        <v>223</v>
      </c>
      <c r="C35707" s="15" t="s">
        <v>153</v>
      </c>
      <c r="D35707" s="15" t="s">
        <v>207</v>
      </c>
      <c r="E35707" s="2">
        <v>2507480</v>
      </c>
      <c r="F35707" s="4" t="e">
        <f>IF(B35707=#REF!,"",B35707)</f>
        <v>#REF!</v>
      </c>
    </row>
    <row r="35708" spans="1:6" ht="15.75" customHeight="1">
      <c r="A35708" s="15" t="s">
        <v>14924</v>
      </c>
      <c r="B35708" s="15" t="s">
        <v>14924</v>
      </c>
      <c r="C35708" s="15" t="s">
        <v>14891</v>
      </c>
      <c r="D35708" s="15" t="s">
        <v>14925</v>
      </c>
      <c r="E35708" s="2">
        <v>3183284</v>
      </c>
      <c r="F35708" s="4" t="e">
        <f>IF(B35708=#REF!,"",B35708)</f>
        <v>#REF!</v>
      </c>
    </row>
    <row r="35709" spans="1:6" ht="15.75" customHeight="1">
      <c r="A35709" s="15" t="s">
        <v>24246</v>
      </c>
      <c r="B35709" s="15" t="s">
        <v>24247</v>
      </c>
      <c r="C35709" s="15" t="s">
        <v>24200</v>
      </c>
      <c r="D35709" s="15" t="s">
        <v>5513</v>
      </c>
      <c r="E35709" s="2">
        <v>3130383</v>
      </c>
      <c r="F35709" s="4" t="str">
        <f>IF(B35709=B35708,"",B35709)</f>
        <v>Algete</v>
      </c>
    </row>
    <row r="35710" spans="1:6" ht="15.75" customHeight="1">
      <c r="A35710" s="16" t="str">
        <f ca="1">IFERROR(__xludf.DUMMYFUNCTION("GOOGLETRANSLATE(B39628,""en"",""pt"")"),"Algés")</f>
        <v>Algés</v>
      </c>
      <c r="B35710" s="20" t="s">
        <v>35300</v>
      </c>
      <c r="C35710" s="20" t="s">
        <v>21606</v>
      </c>
      <c r="D35710" s="20" t="s">
        <v>21616</v>
      </c>
      <c r="E35710" s="10">
        <v>2271985</v>
      </c>
      <c r="F35710" s="4" t="str">
        <f>IF(B35710=B35709,"",B35710)</f>
        <v>Algés</v>
      </c>
    </row>
    <row r="35711" spans="1:6" ht="15.75" customHeight="1">
      <c r="A35711" s="16" t="str">
        <f ca="1">IFERROR(__xludf.DUMMYFUNCTION("GOOGLETRANSLATE(B29207,""en"",""pt"")"),"Algemesí")</f>
        <v>Algemesí</v>
      </c>
      <c r="B35711" s="20" t="s">
        <v>32405</v>
      </c>
      <c r="C35711" s="20" t="s">
        <v>24200</v>
      </c>
      <c r="D35711" s="20" t="s">
        <v>21053</v>
      </c>
      <c r="E35711" s="10">
        <v>2522012</v>
      </c>
      <c r="F35711" s="4" t="str">
        <f>IF(B35711=B35710,"",B35711)</f>
        <v>Algemesí</v>
      </c>
    </row>
    <row r="35712" spans="1:6" ht="15.75" customHeight="1">
      <c r="A35712" s="15" t="s">
        <v>24244</v>
      </c>
      <c r="B35712" s="15" t="s">
        <v>24245</v>
      </c>
      <c r="C35712" s="15" t="s">
        <v>24200</v>
      </c>
      <c r="D35712" s="15" t="s">
        <v>21053</v>
      </c>
      <c r="E35712" s="2">
        <v>2522012</v>
      </c>
      <c r="F35712" s="4" t="e">
        <f>IF(B35712=#REF!,"",B35712)</f>
        <v>#REF!</v>
      </c>
    </row>
    <row r="35713" spans="1:6" ht="15.75" customHeight="1">
      <c r="A35713" s="15" t="s">
        <v>24243</v>
      </c>
      <c r="B35713" s="15" t="s">
        <v>24243</v>
      </c>
      <c r="C35713" s="15" t="s">
        <v>24200</v>
      </c>
      <c r="D35713" s="15" t="s">
        <v>24205</v>
      </c>
      <c r="E35713" s="2">
        <v>2522013</v>
      </c>
      <c r="F35713" s="4" t="str">
        <f>IF(B35713=B35712,"",B35713)</f>
        <v>Algeciras</v>
      </c>
    </row>
    <row r="35714" spans="1:6" ht="15.75" customHeight="1">
      <c r="A35714" s="15" t="s">
        <v>21617</v>
      </c>
      <c r="B35714" s="15" t="s">
        <v>21618</v>
      </c>
      <c r="C35714" s="15" t="s">
        <v>21606</v>
      </c>
      <c r="D35714" s="15" t="s">
        <v>21616</v>
      </c>
      <c r="E35714" s="2">
        <v>2271985</v>
      </c>
      <c r="F35714" s="4" t="e">
        <f>IF(B35714=#REF!,"",B35714)</f>
        <v>#REF!</v>
      </c>
    </row>
    <row r="35715" spans="1:6" ht="15.75" customHeight="1">
      <c r="A35715" s="15" t="s">
        <v>8047</v>
      </c>
      <c r="B35715" s="15" t="s">
        <v>8047</v>
      </c>
      <c r="C35715" s="15" t="s">
        <v>8028</v>
      </c>
      <c r="D35715" s="15" t="s">
        <v>8029</v>
      </c>
      <c r="E35715" s="2">
        <v>2958516</v>
      </c>
      <c r="F35715" s="4" t="e">
        <f>IF(B35715=#REF!,"",B35715)</f>
        <v>#REF!</v>
      </c>
    </row>
    <row r="35716" spans="1:6" ht="15.75" customHeight="1">
      <c r="A35716" s="15" t="s">
        <v>27249</v>
      </c>
      <c r="B35716" s="15" t="s">
        <v>27249</v>
      </c>
      <c r="C35716" s="15" t="s">
        <v>27234</v>
      </c>
      <c r="D35716" s="15" t="s">
        <v>27241</v>
      </c>
      <c r="E35716" s="2">
        <v>2657508</v>
      </c>
      <c r="F35716" s="4" t="e">
        <f>IF(B35716=#REF!,"",B35716)</f>
        <v>#REF!</v>
      </c>
    </row>
    <row r="35717" spans="1:6" ht="15.75" customHeight="1">
      <c r="A35717" s="15" t="s">
        <v>7098</v>
      </c>
      <c r="B35717" s="15" t="s">
        <v>7098</v>
      </c>
      <c r="C35717" s="15" t="s">
        <v>7052</v>
      </c>
      <c r="D35717" s="15" t="s">
        <v>7058</v>
      </c>
      <c r="E35717" s="2">
        <v>3038213</v>
      </c>
      <c r="F35717" s="4" t="e">
        <f>IF(B35717=#REF!,"",B35717)</f>
        <v>#REF!</v>
      </c>
    </row>
    <row r="35718" spans="1:6" ht="15.75" customHeight="1">
      <c r="A35718" s="15" t="s">
        <v>1953</v>
      </c>
      <c r="B35718" s="15" t="s">
        <v>1953</v>
      </c>
      <c r="C35718" s="15" t="s">
        <v>1905</v>
      </c>
      <c r="D35718" s="15" t="s">
        <v>1917</v>
      </c>
      <c r="E35718" s="2">
        <v>3472603</v>
      </c>
      <c r="F35718" s="4" t="e">
        <f>IF(B35718=#REF!,"",B35718)</f>
        <v>#REF!</v>
      </c>
    </row>
    <row r="35719" spans="1:6" ht="15.75" customHeight="1">
      <c r="A35719" s="15" t="s">
        <v>8046</v>
      </c>
      <c r="B35719" s="15" t="s">
        <v>8046</v>
      </c>
      <c r="C35719" s="15" t="s">
        <v>8028</v>
      </c>
      <c r="D35719" s="15" t="s">
        <v>8034</v>
      </c>
      <c r="E35719" s="2">
        <v>2958533</v>
      </c>
      <c r="F35719" s="4" t="e">
        <f>IF(B35719=#REF!,"",B35719)</f>
        <v>#REF!</v>
      </c>
    </row>
    <row r="35720" spans="1:6" ht="15.75" customHeight="1">
      <c r="A35720" s="15" t="s">
        <v>24242</v>
      </c>
      <c r="B35720" s="15" t="s">
        <v>24242</v>
      </c>
      <c r="C35720" s="15" t="s">
        <v>24200</v>
      </c>
      <c r="D35720" s="15" t="s">
        <v>21053</v>
      </c>
      <c r="E35720" s="2">
        <v>2522057</v>
      </c>
      <c r="F35720" s="4" t="e">
        <f>IF(B35720=#REF!,"",B35720)</f>
        <v>#REF!</v>
      </c>
    </row>
    <row r="35721" spans="1:6" ht="15.75" customHeight="1">
      <c r="A35721" s="15" t="s">
        <v>22123</v>
      </c>
      <c r="B35721" s="15" t="s">
        <v>22123</v>
      </c>
      <c r="C35721" s="15" t="s">
        <v>22070</v>
      </c>
      <c r="D35721" s="15" t="s">
        <v>22124</v>
      </c>
      <c r="E35721" s="2">
        <v>1511783</v>
      </c>
      <c r="F35721" s="4" t="str">
        <f>IF(B35721=B35720,"",B35721)</f>
        <v>Aleysk</v>
      </c>
    </row>
    <row r="35722" spans="1:6" ht="15.75" customHeight="1">
      <c r="A35722" s="16" t="str">
        <f ca="1">IFERROR(__xludf.DUMMYFUNCTION("GOOGLETRANSLATE(B31052,""en"",""pt"")"),"Alexandroúpoli")</f>
        <v>Alexandroúpoli</v>
      </c>
      <c r="B35722" s="20" t="s">
        <v>32758</v>
      </c>
      <c r="C35722" s="20" t="s">
        <v>9441</v>
      </c>
      <c r="D35722" s="20" t="s">
        <v>9475</v>
      </c>
      <c r="E35722" s="10">
        <v>736928</v>
      </c>
      <c r="F35722" s="4" t="str">
        <f>IF(B35722=B35721,"",B35722)</f>
        <v>Alexandroúpoli</v>
      </c>
    </row>
    <row r="35723" spans="1:6" ht="15.75" customHeight="1">
      <c r="A35723" s="16" t="s">
        <v>9473</v>
      </c>
      <c r="B35723" s="15" t="s">
        <v>9474</v>
      </c>
      <c r="C35723" s="16" t="s">
        <v>9441</v>
      </c>
      <c r="D35723" s="16" t="s">
        <v>9475</v>
      </c>
      <c r="E35723" s="2">
        <v>736928</v>
      </c>
      <c r="F35723" s="4" t="e">
        <f>IF(B35723=#REF!,"",B35723)</f>
        <v>#REF!</v>
      </c>
    </row>
    <row r="35724" spans="1:6" ht="15.75" customHeight="1">
      <c r="A35724" s="16" t="s">
        <v>6588</v>
      </c>
      <c r="B35724" s="15" t="s">
        <v>6588</v>
      </c>
      <c r="C35724" s="16" t="s">
        <v>6495</v>
      </c>
      <c r="D35724" s="16" t="s">
        <v>6588</v>
      </c>
      <c r="E35724" s="2">
        <v>361058</v>
      </c>
      <c r="F35724" s="4" t="str">
        <f>IF(B35724=B35723,"",B35724)</f>
        <v>Alexandria</v>
      </c>
    </row>
    <row r="35725" spans="1:6" ht="15.75" customHeight="1">
      <c r="A35725" s="16" t="str">
        <f ca="1">IFERROR(__xludf.DUMMYFUNCTION("GOOGLETRANSLATE(B38173,""en"",""pt"")"),"Ålesund")</f>
        <v>Ålesund</v>
      </c>
      <c r="B35725" s="20" t="s">
        <v>34820</v>
      </c>
      <c r="C35725" s="20" t="s">
        <v>19695</v>
      </c>
      <c r="D35725" s="20" t="s">
        <v>34817</v>
      </c>
      <c r="E35725" s="10">
        <v>3163392</v>
      </c>
      <c r="F35725" s="4" t="e">
        <f>IF(B35725=#REF!,"",B35725)</f>
        <v>#REF!</v>
      </c>
    </row>
    <row r="35726" spans="1:6" ht="15.75" customHeight="1">
      <c r="A35726" s="16" t="s">
        <v>14923</v>
      </c>
      <c r="B35726" s="15" t="s">
        <v>14923</v>
      </c>
      <c r="C35726" s="16" t="s">
        <v>14891</v>
      </c>
      <c r="D35726" s="16" t="s">
        <v>14911</v>
      </c>
      <c r="E35726" s="2">
        <v>3183299</v>
      </c>
      <c r="F35726" s="4" t="e">
        <f>IF(B35726=#REF!,"",B35726)</f>
        <v>#REF!</v>
      </c>
    </row>
    <row r="35727" spans="1:6" ht="15.75" customHeight="1">
      <c r="A35727" s="16" t="s">
        <v>14282</v>
      </c>
      <c r="B35727" s="15" t="s">
        <v>14283</v>
      </c>
      <c r="C35727" s="16" t="s">
        <v>14240</v>
      </c>
      <c r="D35727" s="16" t="s">
        <v>14281</v>
      </c>
      <c r="E35727" s="2">
        <v>144269</v>
      </c>
      <c r="F35727" s="4" t="str">
        <f>IF(B35727=B35726,"",B35727)</f>
        <v>Aleshtar</v>
      </c>
    </row>
    <row r="35728" spans="1:6" ht="15.75" customHeight="1">
      <c r="A35728" s="16" t="str">
        <f ca="1">IFERROR(__xludf.DUMMYFUNCTION("GOOGLETRANSLATE(B30272,""en"",""pt"")"),"Alès")</f>
        <v>Alès</v>
      </c>
      <c r="B35728" s="20" t="s">
        <v>32648</v>
      </c>
      <c r="C35728" s="20" t="s">
        <v>7052</v>
      </c>
      <c r="D35728" s="20" t="s">
        <v>32547</v>
      </c>
      <c r="E35728" s="10">
        <v>3038224</v>
      </c>
      <c r="F35728" s="4" t="e">
        <f>IF(B35728=#REF!,"",B35728)</f>
        <v>#REF!</v>
      </c>
    </row>
    <row r="35729" spans="1:6" ht="15.75" customHeight="1">
      <c r="A35729" s="15" t="s">
        <v>25380</v>
      </c>
      <c r="B35729" s="15" t="s">
        <v>25380</v>
      </c>
      <c r="C35729" s="15" t="s">
        <v>25366</v>
      </c>
      <c r="D35729" s="15" t="s">
        <v>25380</v>
      </c>
      <c r="E35729" s="2">
        <v>170063</v>
      </c>
      <c r="F35729" s="4" t="e">
        <f>IF(B35729=#REF!,"",B35729)</f>
        <v>#REF!</v>
      </c>
    </row>
    <row r="35730" spans="1:6" ht="15.75" customHeight="1">
      <c r="A35730" s="15" t="s">
        <v>1952</v>
      </c>
      <c r="B35730" s="15" t="s">
        <v>1952</v>
      </c>
      <c r="C35730" s="15" t="s">
        <v>1905</v>
      </c>
      <c r="D35730" s="15" t="s">
        <v>1906</v>
      </c>
      <c r="E35730" s="2">
        <v>3407980</v>
      </c>
      <c r="F35730" s="4" t="str">
        <f>IF(B35730=B35729,"",B35730)</f>
        <v>Alenquer</v>
      </c>
    </row>
    <row r="35731" spans="1:6" ht="15.75" customHeight="1">
      <c r="A35731" s="16" t="str">
        <f ca="1">IFERROR(__xludf.DUMMYFUNCTION("GOOGLETRANSLATE(B30273,""en"",""pt"")"),"Alençon")</f>
        <v>Alençon</v>
      </c>
      <c r="B35731" s="20" t="s">
        <v>32649</v>
      </c>
      <c r="C35731" s="20" t="s">
        <v>7052</v>
      </c>
      <c r="D35731" s="20" t="s">
        <v>7068</v>
      </c>
      <c r="E35731" s="10">
        <v>3038230</v>
      </c>
      <c r="F35731" s="4" t="str">
        <f>IF(B35731=B35730,"",B35731)</f>
        <v>Alençon</v>
      </c>
    </row>
    <row r="35732" spans="1:6" ht="15.75" customHeight="1">
      <c r="A35732" s="16" t="s">
        <v>7096</v>
      </c>
      <c r="B35732" s="15" t="s">
        <v>7097</v>
      </c>
      <c r="C35732" s="16" t="s">
        <v>7052</v>
      </c>
      <c r="D35732" s="16" t="s">
        <v>7068</v>
      </c>
      <c r="E35732" s="2">
        <v>3038230</v>
      </c>
      <c r="F35732" s="4" t="str">
        <f>IF(B35732=B35731,"",B35732)</f>
        <v>AlenÃ§on</v>
      </c>
    </row>
    <row r="35733" spans="1:6" ht="15.75" customHeight="1">
      <c r="A35733" s="16" t="str">
        <f ca="1">IFERROR(__xludf.DUMMYFUNCTION("GOOGLETRANSLATE(B25293,""en"",""pt"")"),"Além Paraíba")</f>
        <v>Além Paraíba</v>
      </c>
      <c r="B35733" s="20" t="s">
        <v>31732</v>
      </c>
      <c r="C35733" s="20" t="s">
        <v>1905</v>
      </c>
      <c r="D35733" s="20" t="s">
        <v>1917</v>
      </c>
      <c r="E35733" s="10">
        <v>3472609</v>
      </c>
      <c r="F35733" s="4" t="e">
        <f>IF(B35733=#REF!,"",B35733)</f>
        <v>#REF!</v>
      </c>
    </row>
    <row r="35734" spans="1:6" ht="15.75" customHeight="1">
      <c r="A35734" s="15" t="s">
        <v>17162</v>
      </c>
      <c r="B35734" s="15" t="s">
        <v>17162</v>
      </c>
      <c r="C35734" s="15" t="s">
        <v>17154</v>
      </c>
      <c r="D35734" s="15" t="s">
        <v>17161</v>
      </c>
      <c r="E35734" s="2">
        <v>601138</v>
      </c>
      <c r="F35734" s="4" t="e">
        <f>IF(B35734=#REF!,"",B35734)</f>
        <v>#REF!</v>
      </c>
    </row>
    <row r="35735" spans="1:6" ht="15.75" customHeight="1">
      <c r="A35735" s="15" t="s">
        <v>22121</v>
      </c>
      <c r="B35735" s="15" t="s">
        <v>22121</v>
      </c>
      <c r="C35735" s="15" t="s">
        <v>22070</v>
      </c>
      <c r="D35735" s="15" t="s">
        <v>22122</v>
      </c>
      <c r="E35735" s="2">
        <v>582750</v>
      </c>
      <c r="F35735" s="4" t="e">
        <f>IF(B35735=#REF!,"",B35735)</f>
        <v>#REF!</v>
      </c>
    </row>
    <row r="35736" spans="1:6" ht="15.75" customHeight="1">
      <c r="A35736" s="16" t="s">
        <v>22118</v>
      </c>
      <c r="B35736" s="15" t="s">
        <v>22118</v>
      </c>
      <c r="C35736" s="16" t="s">
        <v>22070</v>
      </c>
      <c r="D35736" s="16" t="s">
        <v>22119</v>
      </c>
      <c r="E35736" s="2">
        <v>582846</v>
      </c>
      <c r="F35736" s="4" t="str">
        <f>IF(B35736=B35735,"",B35736)</f>
        <v>Alekseyevka</v>
      </c>
    </row>
    <row r="35737" spans="1:6" ht="15.75" customHeight="1">
      <c r="A35737" s="16" t="str">
        <f ca="1">IFERROR(__xludf.DUMMYFUNCTION("GOOGLETRANSLATE(B39497,""en"",""pt"")"),"Aleksandrów łódzki")</f>
        <v>Aleksandrów łódzki</v>
      </c>
      <c r="B35737" s="20" t="s">
        <v>35250</v>
      </c>
      <c r="C35737" s="20" t="s">
        <v>21064</v>
      </c>
      <c r="D35737" s="20" t="s">
        <v>35071</v>
      </c>
      <c r="E35737" s="10">
        <v>3104132</v>
      </c>
      <c r="F35737" s="4" t="e">
        <f>IF(B35737=#REF!,"",B35737)</f>
        <v>#REF!</v>
      </c>
    </row>
    <row r="35738" spans="1:6" ht="15.75" customHeight="1">
      <c r="A35738" s="16" t="s">
        <v>22116</v>
      </c>
      <c r="B35738" s="15" t="s">
        <v>22116</v>
      </c>
      <c r="C35738" s="16" t="s">
        <v>22070</v>
      </c>
      <c r="D35738" s="16" t="s">
        <v>22117</v>
      </c>
      <c r="E35738" s="2">
        <v>582993</v>
      </c>
      <c r="F35738" s="4" t="e">
        <f>IF(B35738=#REF!,"",B35738)</f>
        <v>#REF!</v>
      </c>
    </row>
    <row r="35739" spans="1:6" ht="15.75" customHeight="1">
      <c r="A35739" s="16" t="s">
        <v>22114</v>
      </c>
      <c r="B35739" s="15" t="s">
        <v>22114</v>
      </c>
      <c r="C35739" s="16" t="s">
        <v>22070</v>
      </c>
      <c r="D35739" s="16" t="s">
        <v>22115</v>
      </c>
      <c r="E35739" s="2">
        <v>583041</v>
      </c>
      <c r="F35739" s="4" t="e">
        <f>IF(B35739=#REF!,"",B35739)</f>
        <v>#REF!</v>
      </c>
    </row>
    <row r="35740" spans="1:6" ht="15.75" customHeight="1">
      <c r="A35740" s="16" t="s">
        <v>22112</v>
      </c>
      <c r="B35740" s="15" t="s">
        <v>22112</v>
      </c>
      <c r="C35740" s="16" t="s">
        <v>22070</v>
      </c>
      <c r="D35740" s="16" t="s">
        <v>22113</v>
      </c>
      <c r="E35740" s="2">
        <v>583350</v>
      </c>
      <c r="F35740" s="4" t="str">
        <f>IF(B35740=B35739,"",B35740)</f>
        <v>Aleksandrov</v>
      </c>
    </row>
    <row r="35741" spans="1:6" ht="15.75" customHeight="1">
      <c r="A35741" s="16" t="s">
        <v>21104</v>
      </c>
      <c r="B35741" s="15" t="s">
        <v>21105</v>
      </c>
      <c r="C35741" s="16" t="s">
        <v>21064</v>
      </c>
      <c r="D35741" s="16" t="s">
        <v>21080</v>
      </c>
      <c r="E35741" s="2">
        <v>3104132</v>
      </c>
      <c r="F35741" s="4" t="e">
        <f>IF(B35741=#REF!,"",B35741)</f>
        <v>#REF!</v>
      </c>
    </row>
    <row r="35742" spans="1:6" ht="15.75" customHeight="1">
      <c r="A35742" s="15" t="s">
        <v>1950</v>
      </c>
      <c r="B35742" s="15" t="s">
        <v>1950</v>
      </c>
      <c r="C35742" s="15" t="s">
        <v>1905</v>
      </c>
      <c r="D35742" s="15" t="s">
        <v>1951</v>
      </c>
      <c r="E35742" s="2">
        <v>3472638</v>
      </c>
      <c r="F35742" s="4" t="e">
        <f>IF(B35742=#REF!,"",B35742)</f>
        <v>#REF!</v>
      </c>
    </row>
    <row r="35743" spans="1:6" ht="15.75" customHeight="1">
      <c r="A35743" s="15" t="s">
        <v>1948</v>
      </c>
      <c r="B35743" s="15" t="s">
        <v>1948</v>
      </c>
      <c r="C35743" s="15" t="s">
        <v>1905</v>
      </c>
      <c r="D35743" s="15" t="s">
        <v>1949</v>
      </c>
      <c r="E35743" s="2">
        <v>3472666</v>
      </c>
      <c r="F35743" s="4" t="e">
        <f>IF(B35743=#REF!,"",B35743)</f>
        <v>#REF!</v>
      </c>
    </row>
    <row r="35744" spans="1:6" ht="15.75" customHeight="1">
      <c r="A35744" s="16" t="s">
        <v>17648</v>
      </c>
      <c r="B35744" s="15" t="s">
        <v>17649</v>
      </c>
      <c r="C35744" s="16" t="s">
        <v>17650</v>
      </c>
      <c r="D35744" s="16" t="s">
        <v>17651</v>
      </c>
      <c r="E35744" s="2">
        <v>2381659</v>
      </c>
      <c r="F35744" s="4" t="e">
        <f>IF(B35744=#REF!,"",B35744)</f>
        <v>#REF!</v>
      </c>
    </row>
    <row r="35745" spans="1:6" ht="15.75" customHeight="1">
      <c r="A35745" s="15" t="s">
        <v>27248</v>
      </c>
      <c r="B35745" s="15" t="s">
        <v>27248</v>
      </c>
      <c r="C35745" s="15" t="s">
        <v>27234</v>
      </c>
      <c r="D35745" s="15" t="s">
        <v>27241</v>
      </c>
      <c r="E35745" s="2">
        <v>2657528</v>
      </c>
      <c r="F35745" s="4" t="e">
        <f>IF(B35745=#REF!,"",B35745)</f>
        <v>#REF!</v>
      </c>
    </row>
    <row r="35746" spans="1:6" ht="15.75" customHeight="1">
      <c r="A35746" s="15" t="s">
        <v>27826</v>
      </c>
      <c r="B35746" s="15" t="s">
        <v>27826</v>
      </c>
      <c r="C35746" s="15" t="s">
        <v>27788</v>
      </c>
      <c r="D35746" s="15" t="s">
        <v>27792</v>
      </c>
      <c r="E35746" s="2">
        <v>4670146</v>
      </c>
      <c r="F35746" s="4" t="e">
        <f>IF(B35746=#REF!,"",B35746)</f>
        <v>#REF!</v>
      </c>
    </row>
    <row r="35747" spans="1:6" ht="15.75" customHeight="1">
      <c r="A35747" s="15" t="s">
        <v>27247</v>
      </c>
      <c r="B35747" s="15" t="s">
        <v>27247</v>
      </c>
      <c r="C35747" s="15" t="s">
        <v>27234</v>
      </c>
      <c r="D35747" s="15" t="s">
        <v>27241</v>
      </c>
      <c r="E35747" s="2">
        <v>2657540</v>
      </c>
      <c r="F35747" s="4" t="e">
        <f>IF(B35747=#REF!,"",B35747)</f>
        <v>#REF!</v>
      </c>
    </row>
    <row r="35748" spans="1:6" ht="15.75" customHeight="1">
      <c r="A35748" s="15" t="s">
        <v>569</v>
      </c>
      <c r="B35748" s="15" t="s">
        <v>569</v>
      </c>
      <c r="C35748" s="15" t="s">
        <v>558</v>
      </c>
      <c r="D35748" s="15" t="s">
        <v>565</v>
      </c>
      <c r="E35748" s="2">
        <v>3866367</v>
      </c>
      <c r="F35748" s="4" t="e">
        <f>IF(B35748=#REF!,"",B35748)</f>
        <v>#REF!</v>
      </c>
    </row>
    <row r="35749" spans="1:6" ht="15.75" customHeight="1">
      <c r="A35749" s="15" t="s">
        <v>22110</v>
      </c>
      <c r="B35749" s="15" t="s">
        <v>22110</v>
      </c>
      <c r="C35749" s="15" t="s">
        <v>22070</v>
      </c>
      <c r="D35749" s="15" t="s">
        <v>22111</v>
      </c>
      <c r="E35749" s="2">
        <v>2027968</v>
      </c>
      <c r="F35749" s="4" t="e">
        <f>IF(B35749=#REF!,"",B35749)</f>
        <v>#REF!</v>
      </c>
    </row>
    <row r="35750" spans="1:6" ht="15.75" customHeight="1">
      <c r="A35750" s="15" t="s">
        <v>24241</v>
      </c>
      <c r="B35750" s="15" t="s">
        <v>24241</v>
      </c>
      <c r="C35750" s="15" t="s">
        <v>24200</v>
      </c>
      <c r="D35750" s="15" t="s">
        <v>21053</v>
      </c>
      <c r="E35750" s="2">
        <v>2522077</v>
      </c>
      <c r="F35750" s="4" t="str">
        <f>IF(B35750=B35749,"",B35750)</f>
        <v>Aldaia</v>
      </c>
    </row>
    <row r="35751" spans="1:6" ht="15.75" customHeight="1">
      <c r="A35751" s="16" t="str">
        <f ca="1">IFERROR(__xludf.DUMMYFUNCTION("GOOGLETRANSLATE(B29211,""en"",""pt"")"),"Alcúdia")</f>
        <v>Alcúdia</v>
      </c>
      <c r="B35751" s="20" t="s">
        <v>32406</v>
      </c>
      <c r="C35751" s="20" t="s">
        <v>24200</v>
      </c>
      <c r="D35751" s="20" t="s">
        <v>24236</v>
      </c>
      <c r="E35751" s="10">
        <v>2522091</v>
      </c>
      <c r="F35751" s="4" t="e">
        <f>IF(B35751=#REF!,"",B35751)</f>
        <v>#REF!</v>
      </c>
    </row>
    <row r="35752" spans="1:6" ht="15.75" customHeight="1">
      <c r="A35752" s="15" t="s">
        <v>24240</v>
      </c>
      <c r="B35752" s="15" t="s">
        <v>24240</v>
      </c>
      <c r="C35752" s="15" t="s">
        <v>24200</v>
      </c>
      <c r="D35752" s="15" t="s">
        <v>21053</v>
      </c>
      <c r="E35752" s="2">
        <v>2522098</v>
      </c>
      <c r="F35752" s="4" t="str">
        <f>IF(B35752=B35751,"",B35752)</f>
        <v>Alcoy</v>
      </c>
    </row>
    <row r="35753" spans="1:6" ht="15.75" customHeight="1">
      <c r="A35753" s="16" t="str">
        <f ca="1">IFERROR(__xludf.DUMMYFUNCTION("GOOGLETRANSLATE(B29473,""en"",""pt"")"),"Alcorcón")</f>
        <v>Alcorcón</v>
      </c>
      <c r="B35753" s="20" t="s">
        <v>32473</v>
      </c>
      <c r="C35753" s="20" t="s">
        <v>24200</v>
      </c>
      <c r="D35753" s="20" t="s">
        <v>5513</v>
      </c>
      <c r="E35753" s="10">
        <v>3130564</v>
      </c>
      <c r="F35753" s="4" t="str">
        <f>IF(B35753=B35752,"",B35753)</f>
        <v>Alcorcón</v>
      </c>
    </row>
    <row r="35754" spans="1:6" ht="15.75" customHeight="1">
      <c r="A35754" s="15" t="s">
        <v>24238</v>
      </c>
      <c r="B35754" s="15" t="s">
        <v>24239</v>
      </c>
      <c r="C35754" s="15" t="s">
        <v>24200</v>
      </c>
      <c r="D35754" s="15" t="s">
        <v>5513</v>
      </c>
      <c r="E35754" s="2">
        <v>3130564</v>
      </c>
      <c r="F35754" s="4" t="e">
        <f>IF(B35754=#REF!,"",B35754)</f>
        <v>#REF!</v>
      </c>
    </row>
    <row r="35755" spans="1:6" ht="15.75" customHeight="1">
      <c r="A35755" s="16" t="s">
        <v>24237</v>
      </c>
      <c r="B35755" s="15" t="s">
        <v>24237</v>
      </c>
      <c r="C35755" s="16" t="s">
        <v>24200</v>
      </c>
      <c r="D35755" s="16" t="s">
        <v>5513</v>
      </c>
      <c r="E35755" s="2">
        <v>3130583</v>
      </c>
      <c r="F35755" s="4" t="str">
        <f>IF(B35755=B35754,"",B35755)</f>
        <v>Alcobendas</v>
      </c>
    </row>
    <row r="35756" spans="1:6" ht="15.75" customHeight="1">
      <c r="A35756" s="15" t="s">
        <v>26868</v>
      </c>
      <c r="B35756" s="15" t="s">
        <v>26869</v>
      </c>
      <c r="C35756" s="15" t="s">
        <v>26870</v>
      </c>
      <c r="D35756" s="15" t="s">
        <v>26871</v>
      </c>
      <c r="E35756" s="2">
        <v>713716</v>
      </c>
      <c r="F35756" s="4" t="str">
        <f>IF(B35756=B35755,"",B35756)</f>
        <v>Alchevsâ€™k</v>
      </c>
    </row>
    <row r="35757" spans="1:6" ht="15.75" customHeight="1">
      <c r="A35757" s="16" t="str">
        <f ca="1">IFERROR(__xludf.DUMMYFUNCTION("GOOGLETRANSLATE(B42717,""en"",""pt"")"),"Alchevs'k")</f>
        <v>Alchevs'k</v>
      </c>
      <c r="B35757" s="20" t="s">
        <v>36049</v>
      </c>
      <c r="C35757" s="20" t="s">
        <v>26870</v>
      </c>
      <c r="D35757" s="20" t="s">
        <v>26871</v>
      </c>
      <c r="E35757" s="10">
        <v>713716</v>
      </c>
      <c r="F35757" s="4" t="str">
        <f>IF(B35757=B35756,"",B35757)</f>
        <v>Alchevs’k</v>
      </c>
    </row>
    <row r="35758" spans="1:6" ht="15.75" customHeight="1">
      <c r="A35758" s="16" t="str">
        <f ca="1">IFERROR(__xludf.DUMMYFUNCTION("GOOGLETRANSLATE(B29214,""en"",""pt"")"),"Alcázar de San Juan")</f>
        <v>Alcázar de San Juan</v>
      </c>
      <c r="B35758" s="20" t="s">
        <v>32407</v>
      </c>
      <c r="C35758" s="20" t="s">
        <v>24200</v>
      </c>
      <c r="D35758" s="20" t="s">
        <v>24218</v>
      </c>
      <c r="E35758" s="10">
        <v>2522131</v>
      </c>
      <c r="F35758" s="4" t="str">
        <f>IF(B35758=B35757,"",B35758)</f>
        <v>Alcázar de San Juan</v>
      </c>
    </row>
    <row r="35759" spans="1:6" ht="15.75" customHeight="1">
      <c r="A35759" s="16" t="s">
        <v>24234</v>
      </c>
      <c r="B35759" s="15" t="s">
        <v>24235</v>
      </c>
      <c r="C35759" s="16" t="s">
        <v>24200</v>
      </c>
      <c r="D35759" s="16" t="s">
        <v>24236</v>
      </c>
      <c r="E35759" s="2">
        <v>2522091</v>
      </c>
      <c r="F35759" s="4" t="e">
        <f>IF(B35759=#REF!,"",B35759)</f>
        <v>#REF!</v>
      </c>
    </row>
    <row r="35760" spans="1:6" ht="15.75" customHeight="1">
      <c r="A35760" s="16" t="s">
        <v>24233</v>
      </c>
      <c r="B35760" s="15" t="s">
        <v>24233</v>
      </c>
      <c r="C35760" s="16" t="s">
        <v>24200</v>
      </c>
      <c r="D35760" s="16" t="s">
        <v>20912</v>
      </c>
      <c r="E35760" s="2">
        <v>2522152</v>
      </c>
      <c r="F35760" s="4" t="str">
        <f>IF(B35760=B35759,"",B35760)</f>
        <v>Alcantarilla</v>
      </c>
    </row>
    <row r="35761" spans="1:6" ht="15.75" customHeight="1">
      <c r="A35761" s="16" t="str">
        <f ca="1">IFERROR(__xludf.DUMMYFUNCTION("GOOGLETRANSLATE(B29475,""en"",""pt"")"),"Alcañiz")</f>
        <v>Alcañiz</v>
      </c>
      <c r="B35761" s="20" t="s">
        <v>32474</v>
      </c>
      <c r="C35761" s="20" t="s">
        <v>24200</v>
      </c>
      <c r="D35761" s="20" t="s">
        <v>24226</v>
      </c>
      <c r="E35761" s="10">
        <v>3130606</v>
      </c>
      <c r="F35761" s="4" t="e">
        <f>IF(B35761=#REF!,"",B35761)</f>
        <v>#REF!</v>
      </c>
    </row>
    <row r="35762" spans="1:6" ht="15.75" customHeight="1">
      <c r="A35762" s="15" t="s">
        <v>14922</v>
      </c>
      <c r="B35762" s="15" t="s">
        <v>14922</v>
      </c>
      <c r="C35762" s="15" t="s">
        <v>14891</v>
      </c>
      <c r="D35762" s="15" t="s">
        <v>14899</v>
      </c>
      <c r="E35762" s="2">
        <v>2525755</v>
      </c>
      <c r="F35762" s="4" t="str">
        <f>IF(B35762=B35761,"",B35762)</f>
        <v>Alcamo</v>
      </c>
    </row>
    <row r="35763" spans="1:6" ht="15.75" customHeight="1">
      <c r="A35763" s="16" t="str">
        <f ca="1">IFERROR(__xludf.DUMMYFUNCTION("GOOGLETRANSLATE(B38299,""en"",""pt"")"),"Alcalde Díaz")</f>
        <v>Alcalde Díaz</v>
      </c>
      <c r="B35763" s="20" t="s">
        <v>34867</v>
      </c>
      <c r="C35763" s="20" t="s">
        <v>20370</v>
      </c>
      <c r="D35763" s="20" t="s">
        <v>20397</v>
      </c>
      <c r="E35763" s="10">
        <v>3714932</v>
      </c>
      <c r="F35763" s="4" t="str">
        <f>IF(B35763=B35762,"",B35763)</f>
        <v>Alcalde Díaz</v>
      </c>
    </row>
    <row r="35764" spans="1:6" ht="15.75" customHeight="1">
      <c r="A35764" s="16" t="s">
        <v>20372</v>
      </c>
      <c r="B35764" s="15" t="s">
        <v>20373</v>
      </c>
      <c r="C35764" s="16" t="s">
        <v>20370</v>
      </c>
      <c r="D35764" s="16" t="s">
        <v>20374</v>
      </c>
      <c r="E35764" s="2">
        <v>3714932</v>
      </c>
      <c r="F35764" s="4" t="str">
        <f>IF(B35764=B35763,"",B35764)</f>
        <v>Alcalde DÃ­az</v>
      </c>
    </row>
    <row r="35765" spans="1:6" ht="15.75" customHeight="1">
      <c r="A35765" s="16" t="s">
        <v>24231</v>
      </c>
      <c r="B35765" s="15" t="s">
        <v>24232</v>
      </c>
      <c r="C35765" s="16" t="s">
        <v>24200</v>
      </c>
      <c r="D35765" s="16" t="s">
        <v>24205</v>
      </c>
      <c r="E35765" s="2">
        <v>2522160</v>
      </c>
      <c r="F35765" s="4" t="str">
        <f>IF(B35765=B35764,"",B35765)</f>
        <v>AlcalÃ¡ la Real</v>
      </c>
    </row>
    <row r="35766" spans="1:6" ht="15.75" customHeight="1">
      <c r="A35766" s="16" t="s">
        <v>24229</v>
      </c>
      <c r="B35766" s="15" t="s">
        <v>24230</v>
      </c>
      <c r="C35766" s="16" t="s">
        <v>24200</v>
      </c>
      <c r="D35766" s="16" t="s">
        <v>5513</v>
      </c>
      <c r="E35766" s="2">
        <v>3130616</v>
      </c>
      <c r="F35766" s="4" t="str">
        <f>IF(B35766=B35765,"",B35766)</f>
        <v>AlcalÃ¡ de Henares</v>
      </c>
    </row>
    <row r="35767" spans="1:6" ht="15.75" customHeight="1">
      <c r="A35767" s="16" t="s">
        <v>24227</v>
      </c>
      <c r="B35767" s="15" t="s">
        <v>24228</v>
      </c>
      <c r="C35767" s="16" t="s">
        <v>24200</v>
      </c>
      <c r="D35767" s="16" t="s">
        <v>24205</v>
      </c>
      <c r="E35767" s="2">
        <v>2522165</v>
      </c>
      <c r="F35767" s="4" t="str">
        <f>IF(B35767=B35766,"",B35767)</f>
        <v>AlcalÃ¡ de Guadaira</v>
      </c>
    </row>
    <row r="35768" spans="1:6" ht="15.75" customHeight="1">
      <c r="A35768" s="16" t="str">
        <f ca="1">IFERROR(__xludf.DUMMYFUNCTION("GOOGLETRANSLATE(B29216,""en"",""pt"")"),"Alcalá la real")</f>
        <v>Alcalá la real</v>
      </c>
      <c r="B35768" s="20" t="s">
        <v>32408</v>
      </c>
      <c r="C35768" s="20" t="s">
        <v>24200</v>
      </c>
      <c r="D35768" s="20" t="s">
        <v>24205</v>
      </c>
      <c r="E35768" s="10">
        <v>2522160</v>
      </c>
      <c r="F35768" s="4" t="str">
        <f>IF(B35768=B35767,"",B35768)</f>
        <v>Alcalá la Real</v>
      </c>
    </row>
    <row r="35769" spans="1:6" ht="15.75" customHeight="1">
      <c r="A35769" s="16" t="str">
        <f ca="1">IFERROR(__xludf.DUMMYFUNCTION("GOOGLETRANSLATE(B29476,""en"",""pt"")"),"Alcalá de Henares")</f>
        <v>Alcalá de Henares</v>
      </c>
      <c r="B35769" s="20" t="s">
        <v>24229</v>
      </c>
      <c r="C35769" s="20" t="s">
        <v>24200</v>
      </c>
      <c r="D35769" s="20" t="s">
        <v>5513</v>
      </c>
      <c r="E35769" s="10">
        <v>3130616</v>
      </c>
      <c r="F35769" s="4" t="str">
        <f>IF(B35769=B35768,"",B35769)</f>
        <v>Alcalá de Henares</v>
      </c>
    </row>
    <row r="35770" spans="1:6" ht="15.75" customHeight="1">
      <c r="A35770" s="16" t="str">
        <f ca="1">IFERROR(__xludf.DUMMYFUNCTION("GOOGLETRANSLATE(B29217,""en"",""pt"")"),"Alcalá de Guadaira")</f>
        <v>Alcalá de Guadaira</v>
      </c>
      <c r="B35770" s="20" t="s">
        <v>24227</v>
      </c>
      <c r="C35770" s="20" t="s">
        <v>24200</v>
      </c>
      <c r="D35770" s="20" t="s">
        <v>24205</v>
      </c>
      <c r="E35770" s="10">
        <v>2522165</v>
      </c>
      <c r="F35770" s="4" t="e">
        <f>IF(B35770=#REF!,"",B35770)</f>
        <v>#REF!</v>
      </c>
    </row>
    <row r="35771" spans="1:6" ht="15.75" customHeight="1">
      <c r="A35771" s="16" t="s">
        <v>21615</v>
      </c>
      <c r="B35771" s="15" t="s">
        <v>21615</v>
      </c>
      <c r="C35771" s="16" t="s">
        <v>21606</v>
      </c>
      <c r="D35771" s="16" t="s">
        <v>21616</v>
      </c>
      <c r="E35771" s="2">
        <v>2272215</v>
      </c>
      <c r="F35771" s="4" t="str">
        <f>IF(B35771=B35770,"",B35771)</f>
        <v>Alcabideche</v>
      </c>
    </row>
    <row r="35772" spans="1:6" ht="15.75" customHeight="1">
      <c r="A35772" s="15" t="s">
        <v>24224</v>
      </c>
      <c r="B35772" s="15" t="s">
        <v>24225</v>
      </c>
      <c r="C35772" s="15" t="s">
        <v>24200</v>
      </c>
      <c r="D35772" s="15" t="s">
        <v>24226</v>
      </c>
      <c r="E35772" s="2">
        <v>3130606</v>
      </c>
      <c r="F35772" s="4" t="str">
        <f>IF(B35772=B35771,"",B35772)</f>
        <v>AlcaÃ±iz</v>
      </c>
    </row>
    <row r="35773" spans="1:6" ht="15.75" customHeight="1">
      <c r="A35773" s="16" t="s">
        <v>24222</v>
      </c>
      <c r="B35773" s="15" t="s">
        <v>24223</v>
      </c>
      <c r="C35773" s="16" t="s">
        <v>24200</v>
      </c>
      <c r="D35773" s="16" t="s">
        <v>24218</v>
      </c>
      <c r="E35773" s="2">
        <v>2522131</v>
      </c>
      <c r="F35773" s="4" t="e">
        <f>IF(B35773=#REF!,"",B35773)</f>
        <v>#REF!</v>
      </c>
    </row>
    <row r="35774" spans="1:6" ht="15.75" customHeight="1">
      <c r="A35774" s="15" t="s">
        <v>890</v>
      </c>
      <c r="B35774" s="15" t="s">
        <v>890</v>
      </c>
      <c r="C35774" s="15" t="s">
        <v>885</v>
      </c>
      <c r="D35774" s="15" t="s">
        <v>891</v>
      </c>
      <c r="E35774" s="2">
        <v>2178174</v>
      </c>
      <c r="F35774" s="4" t="e">
        <f>IF(B35774=#REF!,"",B35774)</f>
        <v>#REF!</v>
      </c>
    </row>
    <row r="35775" spans="1:6" ht="15.75" customHeight="1">
      <c r="A35775" s="16" t="s">
        <v>27825</v>
      </c>
      <c r="B35775" s="15" t="s">
        <v>27825</v>
      </c>
      <c r="C35775" s="16" t="s">
        <v>27788</v>
      </c>
      <c r="D35775" s="16" t="s">
        <v>27818</v>
      </c>
      <c r="E35775" s="2">
        <v>5454711</v>
      </c>
      <c r="F35775" s="4" t="e">
        <f>IF(B35775=#REF!,"",B35775)</f>
        <v>#REF!</v>
      </c>
    </row>
    <row r="35776" spans="1:6" ht="15.75" customHeight="1">
      <c r="A35776" s="15" t="s">
        <v>21613</v>
      </c>
      <c r="B35776" s="15" t="s">
        <v>21613</v>
      </c>
      <c r="C35776" s="15" t="s">
        <v>21606</v>
      </c>
      <c r="D35776" s="15" t="s">
        <v>21614</v>
      </c>
      <c r="E35776" s="2">
        <v>2272222</v>
      </c>
      <c r="F35776" s="4" t="str">
        <f>IF(B35776=B35775,"",B35776)</f>
        <v>Albufeira</v>
      </c>
    </row>
    <row r="35777" spans="1:6" ht="15.75" customHeight="1">
      <c r="A35777" s="16" t="str">
        <f ca="1">IFERROR(__xludf.DUMMYFUNCTION("GOOGLETRANSLATE(B41463,""en"",""pt"")"),"Ālbū kamāl")</f>
        <v>Ālbū kamāl</v>
      </c>
      <c r="B35777" s="20" t="s">
        <v>35768</v>
      </c>
      <c r="C35777" s="20" t="s">
        <v>25366</v>
      </c>
      <c r="D35777" s="20" t="s">
        <v>25387</v>
      </c>
      <c r="E35777" s="10">
        <v>174448</v>
      </c>
      <c r="F35777" s="4" t="e">
        <f>IF(B35777=#REF!,"",B35777)</f>
        <v>#REF!</v>
      </c>
    </row>
    <row r="35778" spans="1:6" ht="15.75" customHeight="1">
      <c r="A35778" s="15" t="s">
        <v>8045</v>
      </c>
      <c r="B35778" s="15" t="s">
        <v>8045</v>
      </c>
      <c r="C35778" s="15" t="s">
        <v>8028</v>
      </c>
      <c r="D35778" s="15" t="s">
        <v>8031</v>
      </c>
      <c r="E35778" s="2">
        <v>2958595</v>
      </c>
      <c r="F35778" s="4" t="e">
        <f>IF(B35778=#REF!,"",B35778)</f>
        <v>#REF!</v>
      </c>
    </row>
    <row r="35779" spans="1:6" ht="15.75" customHeight="1">
      <c r="A35779" s="15" t="s">
        <v>24221</v>
      </c>
      <c r="B35779" s="15" t="s">
        <v>24221</v>
      </c>
      <c r="C35779" s="15" t="s">
        <v>24200</v>
      </c>
      <c r="D35779" s="15" t="s">
        <v>21053</v>
      </c>
      <c r="E35779" s="2">
        <v>2522203</v>
      </c>
      <c r="F35779" s="4" t="e">
        <f>IF(B35779=#REF!,"",B35779)</f>
        <v>#REF!</v>
      </c>
    </row>
    <row r="35780" spans="1:6" ht="15.75" customHeight="1">
      <c r="A35780" s="16" t="s">
        <v>17735</v>
      </c>
      <c r="B35780" s="15" t="s">
        <v>17735</v>
      </c>
      <c r="C35780" s="16" t="s">
        <v>17707</v>
      </c>
      <c r="D35780" s="16" t="s">
        <v>17736</v>
      </c>
      <c r="E35780" s="2">
        <v>8858123</v>
      </c>
      <c r="F35780" s="4" t="e">
        <f>IF(B35780=#REF!,"",B35780)</f>
        <v>#REF!</v>
      </c>
    </row>
    <row r="35781" spans="1:6" ht="15.75" customHeight="1">
      <c r="A35781" s="15" t="s">
        <v>24220</v>
      </c>
      <c r="B35781" s="15" t="s">
        <v>24220</v>
      </c>
      <c r="C35781" s="15" t="s">
        <v>24200</v>
      </c>
      <c r="D35781" s="15" t="s">
        <v>24205</v>
      </c>
      <c r="E35781" s="2">
        <v>2522208</v>
      </c>
      <c r="F35781" s="4" t="e">
        <f>IF(B35781=#REF!,"",B35781)</f>
        <v>#REF!</v>
      </c>
    </row>
    <row r="35782" spans="1:6" ht="15.75" customHeight="1">
      <c r="A35782" s="16" t="s">
        <v>18866</v>
      </c>
      <c r="B35782" s="15" t="s">
        <v>18867</v>
      </c>
      <c r="C35782" s="16" t="s">
        <v>18862</v>
      </c>
      <c r="D35782" s="16" t="s">
        <v>18868</v>
      </c>
      <c r="E35782" s="2">
        <v>2759915</v>
      </c>
      <c r="F35782" s="4" t="e">
        <f>IF(B35782=#REF!,"",B35782)</f>
        <v>#REF!</v>
      </c>
    </row>
    <row r="35783" spans="1:6" ht="15.75" customHeight="1">
      <c r="A35783" s="16" t="s">
        <v>14921</v>
      </c>
      <c r="B35783" s="15" t="s">
        <v>14921</v>
      </c>
      <c r="C35783" s="16" t="s">
        <v>14891</v>
      </c>
      <c r="D35783" s="16" t="s">
        <v>14892</v>
      </c>
      <c r="E35783" s="2">
        <v>3183319</v>
      </c>
      <c r="F35783" s="4" t="e">
        <f>IF(B35783=#REF!,"",B35783)</f>
        <v>#REF!</v>
      </c>
    </row>
    <row r="35784" spans="1:6" ht="15.75" customHeight="1">
      <c r="A35784" s="15" t="s">
        <v>7095</v>
      </c>
      <c r="B35784" s="15" t="s">
        <v>7095</v>
      </c>
      <c r="C35784" s="15" t="s">
        <v>7052</v>
      </c>
      <c r="D35784" s="15" t="s">
        <v>7082</v>
      </c>
      <c r="E35784" s="2">
        <v>3038261</v>
      </c>
      <c r="F35784" s="4" t="e">
        <f>IF(B35784=#REF!,"",B35784)</f>
        <v>#REF!</v>
      </c>
    </row>
    <row r="35785" spans="1:6" ht="15.75" customHeight="1">
      <c r="A35785" s="16" t="s">
        <v>7094</v>
      </c>
      <c r="B35785" s="15" t="s">
        <v>7094</v>
      </c>
      <c r="C35785" s="16" t="s">
        <v>7052</v>
      </c>
      <c r="D35785" s="16" t="s">
        <v>7053</v>
      </c>
      <c r="E35785" s="2">
        <v>3038266</v>
      </c>
      <c r="F35785" s="4" t="e">
        <f>IF(B35785=#REF!,"",B35785)</f>
        <v>#REF!</v>
      </c>
    </row>
    <row r="35786" spans="1:6" ht="15.75" customHeight="1">
      <c r="A35786" s="16" t="s">
        <v>6215</v>
      </c>
      <c r="B35786" s="15" t="s">
        <v>6215</v>
      </c>
      <c r="C35786" s="16" t="s">
        <v>6209</v>
      </c>
      <c r="D35786" s="16" t="s">
        <v>6216</v>
      </c>
      <c r="E35786" s="2">
        <v>2624906</v>
      </c>
      <c r="F35786" s="4" t="e">
        <f>IF(B35786=#REF!,"",B35786)</f>
        <v>#REF!</v>
      </c>
    </row>
    <row r="35787" spans="1:6" ht="15.75" customHeight="1">
      <c r="A35787" s="16" t="s">
        <v>27823</v>
      </c>
      <c r="B35787" s="15" t="s">
        <v>27823</v>
      </c>
      <c r="C35787" s="16" t="s">
        <v>27788</v>
      </c>
      <c r="D35787" s="16" t="s">
        <v>27824</v>
      </c>
      <c r="E35787" s="2">
        <v>5016024</v>
      </c>
      <c r="F35787" s="4" t="e">
        <f>IF(B35787=#REF!,"",B35787)</f>
        <v>#REF!</v>
      </c>
    </row>
    <row r="35788" spans="1:6" ht="15.75" customHeight="1">
      <c r="A35788" s="15" t="s">
        <v>14919</v>
      </c>
      <c r="B35788" s="15" t="s">
        <v>14919</v>
      </c>
      <c r="C35788" s="15" t="s">
        <v>14891</v>
      </c>
      <c r="D35788" s="15" t="s">
        <v>14920</v>
      </c>
      <c r="E35788" s="2">
        <v>3183343</v>
      </c>
      <c r="F35788" s="4" t="e">
        <f>IF(B35788=#REF!,"",B35788)</f>
        <v>#REF!</v>
      </c>
    </row>
    <row r="35789" spans="1:6" ht="15.75" customHeight="1">
      <c r="A35789" s="16" t="s">
        <v>27821</v>
      </c>
      <c r="B35789" s="15" t="s">
        <v>27821</v>
      </c>
      <c r="C35789" s="16" t="s">
        <v>27788</v>
      </c>
      <c r="D35789" s="16" t="s">
        <v>27822</v>
      </c>
      <c r="E35789" s="2">
        <v>4452303</v>
      </c>
      <c r="F35789" s="4" t="str">
        <f>IF(B35789=B35788,"",B35789)</f>
        <v>Albemarle</v>
      </c>
    </row>
    <row r="35790" spans="1:6" ht="15.75" customHeight="1">
      <c r="A35790" s="16" t="str">
        <f ca="1">IFERROR(__xludf.DUMMYFUNCTION("GOOGLETRANSLATE(B23365,""en"",""pt"")"),"Albardón")</f>
        <v>Albardón</v>
      </c>
      <c r="B35790" s="20" t="s">
        <v>31220</v>
      </c>
      <c r="C35790" s="20" t="s">
        <v>558</v>
      </c>
      <c r="D35790" s="20" t="s">
        <v>568</v>
      </c>
      <c r="E35790" s="10">
        <v>3866425</v>
      </c>
      <c r="F35790" s="4" t="str">
        <f>IF(B35790=B35789,"",B35790)</f>
        <v>Albardón</v>
      </c>
    </row>
    <row r="35791" spans="1:6" ht="15.75" customHeight="1">
      <c r="A35791" s="15" t="s">
        <v>566</v>
      </c>
      <c r="B35791" s="15" t="s">
        <v>567</v>
      </c>
      <c r="C35791" s="15" t="s">
        <v>558</v>
      </c>
      <c r="D35791" s="15" t="s">
        <v>568</v>
      </c>
      <c r="E35791" s="2">
        <v>3866425</v>
      </c>
      <c r="F35791" s="4" t="e">
        <f>IF(B35791=#REF!,"",B35791)</f>
        <v>#REF!</v>
      </c>
    </row>
    <row r="35792" spans="1:6" ht="15.75" customHeight="1">
      <c r="A35792" s="15" t="s">
        <v>888</v>
      </c>
      <c r="B35792" s="15" t="s">
        <v>888</v>
      </c>
      <c r="C35792" s="15" t="s">
        <v>885</v>
      </c>
      <c r="D35792" s="15" t="s">
        <v>889</v>
      </c>
      <c r="E35792" s="2">
        <v>2077963</v>
      </c>
      <c r="F35792" s="4" t="e">
        <f>IF(B35792=#REF!,"",B35792)</f>
        <v>#REF!</v>
      </c>
    </row>
    <row r="35793" spans="1:6" ht="15.75" customHeight="1">
      <c r="A35793" s="16" t="s">
        <v>14918</v>
      </c>
      <c r="B35793" s="15" t="s">
        <v>14918</v>
      </c>
      <c r="C35793" s="16" t="s">
        <v>14891</v>
      </c>
      <c r="D35793" s="16" t="s">
        <v>14904</v>
      </c>
      <c r="E35793" s="2">
        <v>3183356</v>
      </c>
      <c r="F35793" s="4" t="e">
        <f>IF(B35793=#REF!,"",B35793)</f>
        <v>#REF!</v>
      </c>
    </row>
    <row r="35794" spans="1:6" ht="15.75" customHeight="1">
      <c r="A35794" s="15" t="s">
        <v>24219</v>
      </c>
      <c r="B35794" s="15" t="s">
        <v>24219</v>
      </c>
      <c r="C35794" s="15" t="s">
        <v>24200</v>
      </c>
      <c r="D35794" s="15" t="s">
        <v>21053</v>
      </c>
      <c r="E35794" s="2">
        <v>2522250</v>
      </c>
      <c r="F35794" s="4" t="e">
        <f>IF(B35794=#REF!,"",B35794)</f>
        <v>#REF!</v>
      </c>
    </row>
    <row r="35795" spans="1:6" ht="15.75" customHeight="1">
      <c r="A35795" s="15" t="s">
        <v>24217</v>
      </c>
      <c r="B35795" s="15" t="s">
        <v>24217</v>
      </c>
      <c r="C35795" s="15" t="s">
        <v>24200</v>
      </c>
      <c r="D35795" s="15" t="s">
        <v>24218</v>
      </c>
      <c r="E35795" s="2">
        <v>2522258</v>
      </c>
      <c r="F35795" s="4" t="e">
        <f>IF(B35795=#REF!,"",B35795)</f>
        <v>#REF!</v>
      </c>
    </row>
    <row r="35796" spans="1:6" ht="15.75" customHeight="1">
      <c r="A35796" s="15" t="s">
        <v>21827</v>
      </c>
      <c r="B35796" s="15" t="s">
        <v>21827</v>
      </c>
      <c r="C35796" s="15" t="s">
        <v>21824</v>
      </c>
      <c r="D35796" s="15" t="s">
        <v>14917</v>
      </c>
      <c r="E35796" s="2">
        <v>686578</v>
      </c>
      <c r="F35796" s="4" t="e">
        <f>IF(B35796=#REF!,"",B35796)</f>
        <v>#REF!</v>
      </c>
    </row>
    <row r="35797" spans="1:6" ht="15.75" customHeight="1">
      <c r="A35797" s="15" t="s">
        <v>14917</v>
      </c>
      <c r="B35797" s="15" t="s">
        <v>14917</v>
      </c>
      <c r="C35797" s="15" t="s">
        <v>14891</v>
      </c>
      <c r="D35797" s="15" t="s">
        <v>14911</v>
      </c>
      <c r="E35797" s="2">
        <v>3183364</v>
      </c>
      <c r="F35797" s="4" t="str">
        <f>IF(B35797=B35796,"",B35797)</f>
        <v>Alba</v>
      </c>
    </row>
    <row r="35798" spans="1:6" ht="15.75" customHeight="1">
      <c r="A35798" s="15" t="s">
        <v>22107</v>
      </c>
      <c r="B35798" s="15" t="s">
        <v>22108</v>
      </c>
      <c r="C35798" s="15" t="s">
        <v>22070</v>
      </c>
      <c r="D35798" s="15" t="s">
        <v>22109</v>
      </c>
      <c r="E35798" s="2">
        <v>583437</v>
      </c>
      <c r="F35798" s="4" t="str">
        <f>IF(B35798=B35797,"",B35798)</f>
        <v>Alatyrâ€™</v>
      </c>
    </row>
    <row r="35799" spans="1:6" ht="15.75" customHeight="1">
      <c r="A35799" s="16" t="str">
        <f ca="1">IFERROR(__xludf.DUMMYFUNCTION("GOOGLETRANSLATE(B40682,""en"",""pt"")"),"Alatyr '")</f>
        <v>Alatyr '</v>
      </c>
      <c r="B35799" s="20" t="s">
        <v>35528</v>
      </c>
      <c r="C35799" s="20" t="s">
        <v>22070</v>
      </c>
      <c r="D35799" s="20" t="s">
        <v>22109</v>
      </c>
      <c r="E35799" s="10">
        <v>583437</v>
      </c>
      <c r="F35799" s="4" t="str">
        <f>IF(B35799=B35798,"",B35799)</f>
        <v>Alatyr’</v>
      </c>
    </row>
    <row r="35800" spans="1:6" ht="15.75" customHeight="1">
      <c r="A35800" s="16" t="str">
        <f ca="1">IFERROR(__xludf.DUMMYFUNCTION("GOOGLETRANSLATE(B42071,""en"",""pt"")"),"Alaşehir")</f>
        <v>Alaşehir</v>
      </c>
      <c r="B35800" s="20" t="s">
        <v>35905</v>
      </c>
      <c r="C35800" s="20" t="s">
        <v>26201</v>
      </c>
      <c r="D35800" s="20" t="s">
        <v>26299</v>
      </c>
      <c r="E35800" s="10">
        <v>324172</v>
      </c>
      <c r="F35800" s="4" t="e">
        <f>IF(B35800=#REF!,"",B35800)</f>
        <v>#REF!</v>
      </c>
    </row>
    <row r="35801" spans="1:6" ht="15.75" customHeight="1">
      <c r="A35801" s="15" t="s">
        <v>17291</v>
      </c>
      <c r="B35801" s="15" t="s">
        <v>17291</v>
      </c>
      <c r="C35801" s="15" t="s">
        <v>17292</v>
      </c>
      <c r="D35801" s="15" t="s">
        <v>17293</v>
      </c>
      <c r="E35801" s="2">
        <v>1084740</v>
      </c>
      <c r="F35801" s="4" t="str">
        <f>IF(B35801=B35800,"",B35801)</f>
        <v>Alarobia</v>
      </c>
    </row>
    <row r="35802" spans="1:6" ht="15.75" customHeight="1">
      <c r="A35802" s="16" t="str">
        <f ca="1">IFERROR(__xludf.DUMMYFUNCTION("GOOGLETRANSLATE(B29222,""en"",""pt"")"),"Alaquàs")</f>
        <v>Alaquàs</v>
      </c>
      <c r="B35802" s="20" t="s">
        <v>32409</v>
      </c>
      <c r="C35802" s="20" t="s">
        <v>24200</v>
      </c>
      <c r="D35802" s="20" t="s">
        <v>21053</v>
      </c>
      <c r="E35802" s="10">
        <v>2522297</v>
      </c>
      <c r="F35802" s="4" t="str">
        <f>IF(B35802=B35801,"",B35802)</f>
        <v>Alaquàs</v>
      </c>
    </row>
    <row r="35803" spans="1:6" ht="15.75" customHeight="1">
      <c r="A35803" s="15" t="s">
        <v>24215</v>
      </c>
      <c r="B35803" s="15" t="s">
        <v>24216</v>
      </c>
      <c r="C35803" s="15" t="s">
        <v>24200</v>
      </c>
      <c r="D35803" s="15" t="s">
        <v>21053</v>
      </c>
      <c r="E35803" s="2">
        <v>2522297</v>
      </c>
      <c r="F35803" s="4" t="str">
        <f>IF(B35803=B35802,"",B35803)</f>
        <v>AlaquÃ s</v>
      </c>
    </row>
    <row r="35804" spans="1:6" ht="15.75" customHeight="1">
      <c r="A35804" s="16" t="str">
        <f ca="1">IFERROR(__xludf.DUMMYFUNCTION("GOOGLETRANSLATE(B42224,""en"",""pt"")"),"ALAPLı")</f>
        <v>ALAPLı</v>
      </c>
      <c r="B35804" s="20" t="s">
        <v>35968</v>
      </c>
      <c r="C35804" s="20" t="s">
        <v>26201</v>
      </c>
      <c r="D35804" s="20" t="s">
        <v>26240</v>
      </c>
      <c r="E35804" s="10">
        <v>752184</v>
      </c>
      <c r="F35804" s="4" t="str">
        <f>IF(B35804=B35803,"",B35804)</f>
        <v>Alaplı</v>
      </c>
    </row>
    <row r="35805" spans="1:6" ht="15.75" customHeight="1">
      <c r="A35805" s="15" t="s">
        <v>26309</v>
      </c>
      <c r="B35805" s="15" t="s">
        <v>26310</v>
      </c>
      <c r="C35805" s="15" t="s">
        <v>26201</v>
      </c>
      <c r="D35805" s="15" t="s">
        <v>26240</v>
      </c>
      <c r="E35805" s="2">
        <v>752184</v>
      </c>
      <c r="F35805" s="4" t="e">
        <f>IF(B35805=#REF!,"",B35805)</f>
        <v>#REF!</v>
      </c>
    </row>
    <row r="35806" spans="1:6" ht="15.75" customHeight="1">
      <c r="A35806" s="16" t="s">
        <v>22105</v>
      </c>
      <c r="B35806" s="15" t="s">
        <v>22105</v>
      </c>
      <c r="C35806" s="16" t="s">
        <v>22070</v>
      </c>
      <c r="D35806" s="16" t="s">
        <v>22106</v>
      </c>
      <c r="E35806" s="2">
        <v>1511954</v>
      </c>
      <c r="F35806" s="4" t="e">
        <f>IF(B35806=#REF!,"",B35806)</f>
        <v>#REF!</v>
      </c>
    </row>
    <row r="35807" spans="1:6" ht="15.75" customHeight="1">
      <c r="A35807" s="15" t="s">
        <v>26306</v>
      </c>
      <c r="B35807" s="15" t="s">
        <v>26307</v>
      </c>
      <c r="C35807" s="15" t="s">
        <v>26201</v>
      </c>
      <c r="D35807" s="15" t="s">
        <v>26308</v>
      </c>
      <c r="E35807" s="2">
        <v>324190</v>
      </c>
      <c r="F35807" s="4" t="str">
        <f>IF(B35807=B35806,"",B35807)</f>
        <v>Alanya</v>
      </c>
    </row>
    <row r="35808" spans="1:6" ht="15.75" customHeight="1">
      <c r="A35808" s="16" t="str">
        <f ca="1">IFERROR(__xludf.DUMMYFUNCTION("GOOGLETRANSLATE(B34146,""en"",""pt"")"),"Ālangulam")</f>
        <v>Ālangulam</v>
      </c>
      <c r="B35808" s="20" t="s">
        <v>34049</v>
      </c>
      <c r="C35808" s="20" t="s">
        <v>10178</v>
      </c>
      <c r="D35808" s="20" t="s">
        <v>10196</v>
      </c>
      <c r="E35808" s="10">
        <v>1279058</v>
      </c>
      <c r="F35808" s="4" t="str">
        <f>IF(B35808=B35807,"",B35808)</f>
        <v>Ālangulam</v>
      </c>
    </row>
    <row r="35809" spans="1:6" ht="15.75" customHeight="1">
      <c r="A35809" s="16" t="str">
        <f ca="1">IFERROR(__xludf.DUMMYFUNCTION("GOOGLETRANSLATE(B34147,""en"",""pt"")"),"Ālangāyam")</f>
        <v>Ālangāyam</v>
      </c>
      <c r="B35809" s="20" t="s">
        <v>34050</v>
      </c>
      <c r="C35809" s="20" t="s">
        <v>10178</v>
      </c>
      <c r="D35809" s="20" t="s">
        <v>10196</v>
      </c>
      <c r="E35809" s="10">
        <v>1279061</v>
      </c>
      <c r="F35809" s="4" t="e">
        <f>IF(B35809=#REF!,"",B35809)</f>
        <v>#REF!</v>
      </c>
    </row>
    <row r="35810" spans="1:6" ht="15.75" customHeight="1">
      <c r="A35810" s="16" t="s">
        <v>10293</v>
      </c>
      <c r="B35810" s="15" t="s">
        <v>10294</v>
      </c>
      <c r="C35810" s="16" t="s">
        <v>10178</v>
      </c>
      <c r="D35810" s="16" t="s">
        <v>10196</v>
      </c>
      <c r="E35810" s="2">
        <v>1279064</v>
      </c>
      <c r="F35810" s="4" t="e">
        <f>IF(B35810=#REF!,"",B35810)</f>
        <v>#REF!</v>
      </c>
    </row>
    <row r="35811" spans="1:6" ht="15.75" customHeight="1">
      <c r="A35811" s="15" t="s">
        <v>10291</v>
      </c>
      <c r="B35811" s="15" t="s">
        <v>10292</v>
      </c>
      <c r="C35811" s="15" t="s">
        <v>10178</v>
      </c>
      <c r="D35811" s="15" t="s">
        <v>10214</v>
      </c>
      <c r="E35811" s="2">
        <v>1279066</v>
      </c>
      <c r="F35811" s="4" t="e">
        <f>IF(B35811=#REF!,"",B35811)</f>
        <v>#REF!</v>
      </c>
    </row>
    <row r="35812" spans="1:6" ht="15.75" customHeight="1">
      <c r="A35812" s="16" t="s">
        <v>10289</v>
      </c>
      <c r="B35812" s="15" t="s">
        <v>10290</v>
      </c>
      <c r="C35812" s="16" t="s">
        <v>10178</v>
      </c>
      <c r="D35812" s="16" t="s">
        <v>10252</v>
      </c>
      <c r="E35812" s="2">
        <v>1279068</v>
      </c>
      <c r="F35812" s="4" t="e">
        <f>IF(B35812=#REF!,"",B35812)</f>
        <v>#REF!</v>
      </c>
    </row>
    <row r="35813" spans="1:6" ht="15.75" customHeight="1">
      <c r="A35813" s="16" t="s">
        <v>27817</v>
      </c>
      <c r="B35813" s="15" t="s">
        <v>27817</v>
      </c>
      <c r="C35813" s="16" t="s">
        <v>27788</v>
      </c>
      <c r="D35813" s="16" t="s">
        <v>27818</v>
      </c>
      <c r="E35813" s="2">
        <v>5454627</v>
      </c>
      <c r="F35813" s="4" t="str">
        <f>IF(B35813=B35812,"",B35813)</f>
        <v>Alamogordo</v>
      </c>
    </row>
    <row r="35814" spans="1:6" ht="15.75" customHeight="1">
      <c r="A35814" s="16" t="str">
        <f ca="1">IFERROR(__xludf.DUMMYFUNCTION("GOOGLETRANSLATE(B37102,""en"",""pt"")"),"Álamo")</f>
        <v>Álamo</v>
      </c>
      <c r="B35814" s="20" t="s">
        <v>34717</v>
      </c>
      <c r="C35814" s="20" t="s">
        <v>17707</v>
      </c>
      <c r="D35814" s="20" t="s">
        <v>17708</v>
      </c>
      <c r="E35814" s="10">
        <v>3533107</v>
      </c>
      <c r="F35814" s="4" t="e">
        <f>IF(B35814=#REF!,"",B35814)</f>
        <v>#REF!</v>
      </c>
    </row>
    <row r="35815" spans="1:6" ht="15.75" customHeight="1">
      <c r="A35815" s="15" t="s">
        <v>27816</v>
      </c>
      <c r="B35815" s="15" t="s">
        <v>27816</v>
      </c>
      <c r="C35815" s="15" t="s">
        <v>27788</v>
      </c>
      <c r="D35815" s="15" t="s">
        <v>27792</v>
      </c>
      <c r="E35815" s="2">
        <v>4670074</v>
      </c>
      <c r="F35815" s="4" t="e">
        <f>IF(B35815=#REF!,"",B35815)</f>
        <v>#REF!</v>
      </c>
    </row>
    <row r="35816" spans="1:6" ht="15.75" customHeight="1">
      <c r="A35816" s="15" t="s">
        <v>20607</v>
      </c>
      <c r="B35816" s="15" t="s">
        <v>20607</v>
      </c>
      <c r="C35816" s="15" t="s">
        <v>20598</v>
      </c>
      <c r="D35816" s="15" t="s">
        <v>20608</v>
      </c>
      <c r="E35816" s="2">
        <v>1731686</v>
      </c>
      <c r="F35816" s="4" t="e">
        <f>IF(B35816=#REF!,"",B35816)</f>
        <v>#REF!</v>
      </c>
    </row>
    <row r="35817" spans="1:6" ht="15.75" customHeight="1">
      <c r="A35817" s="15" t="s">
        <v>27815</v>
      </c>
      <c r="B35817" s="15" t="s">
        <v>27815</v>
      </c>
      <c r="C35817" s="15" t="s">
        <v>27788</v>
      </c>
      <c r="D35817" s="15" t="s">
        <v>27801</v>
      </c>
      <c r="E35817" s="2">
        <v>5322737</v>
      </c>
      <c r="F35817" s="4" t="e">
        <f>IF(B35817=#REF!,"",B35817)</f>
        <v>#REF!</v>
      </c>
    </row>
    <row r="35818" spans="1:6" ht="15.75" customHeight="1">
      <c r="A35818" s="15" t="s">
        <v>5767</v>
      </c>
      <c r="B35818" s="15" t="s">
        <v>5767</v>
      </c>
      <c r="C35818" s="15" t="s">
        <v>5764</v>
      </c>
      <c r="D35818" s="15" t="s">
        <v>5768</v>
      </c>
      <c r="E35818" s="2">
        <v>3569370</v>
      </c>
      <c r="F35818" s="4" t="e">
        <f>IF(B35818=#REF!,"",B35818)</f>
        <v>#REF!</v>
      </c>
    </row>
    <row r="35819" spans="1:6" ht="15.75" customHeight="1">
      <c r="A35819" s="16" t="s">
        <v>5663</v>
      </c>
      <c r="B35819" s="15" t="s">
        <v>5664</v>
      </c>
      <c r="C35819" s="16" t="s">
        <v>5665</v>
      </c>
      <c r="D35819" s="16" t="s">
        <v>5664</v>
      </c>
      <c r="E35819" s="2">
        <v>3624955</v>
      </c>
      <c r="F35819" s="4" t="e">
        <f>IF(B35819=#REF!,"",B35819)</f>
        <v>#REF!</v>
      </c>
    </row>
    <row r="35820" spans="1:6" ht="15.75" customHeight="1">
      <c r="A35820" s="16" t="s">
        <v>1945</v>
      </c>
      <c r="B35820" s="15" t="s">
        <v>1946</v>
      </c>
      <c r="C35820" s="16" t="s">
        <v>1905</v>
      </c>
      <c r="D35820" s="16" t="s">
        <v>1947</v>
      </c>
      <c r="E35820" s="2">
        <v>3472766</v>
      </c>
      <c r="F35820" s="4" t="e">
        <f>IF(B35820=#REF!,"",B35820)</f>
        <v>#REF!</v>
      </c>
    </row>
    <row r="35821" spans="1:6" ht="15.75" customHeight="1">
      <c r="A35821" s="16" t="s">
        <v>1943</v>
      </c>
      <c r="B35821" s="15" t="s">
        <v>1943</v>
      </c>
      <c r="C35821" s="16" t="s">
        <v>1905</v>
      </c>
      <c r="D35821" s="16" t="s">
        <v>1944</v>
      </c>
      <c r="E35821" s="2">
        <v>3408100</v>
      </c>
      <c r="F35821" s="4" t="e">
        <f>IF(B35821=#REF!,"",B35821)</f>
        <v>#REF!</v>
      </c>
    </row>
    <row r="35822" spans="1:6" ht="15.75" customHeight="1">
      <c r="A35822" s="15" t="s">
        <v>22102</v>
      </c>
      <c r="B35822" s="15" t="s">
        <v>22103</v>
      </c>
      <c r="C35822" s="15" t="s">
        <v>22070</v>
      </c>
      <c r="D35822" s="15" t="s">
        <v>22104</v>
      </c>
      <c r="E35822" s="2">
        <v>802078</v>
      </c>
      <c r="F35822" s="4" t="e">
        <f>IF(B35822=#REF!,"",B35822)</f>
        <v>#REF!</v>
      </c>
    </row>
    <row r="35823" spans="1:6" ht="15.75" customHeight="1">
      <c r="A35823" s="16" t="s">
        <v>19260</v>
      </c>
      <c r="B35823" s="15" t="s">
        <v>19261</v>
      </c>
      <c r="C35823" s="16" t="s">
        <v>19259</v>
      </c>
      <c r="D35823" s="16" t="s">
        <v>19258</v>
      </c>
      <c r="E35823" s="2">
        <v>2447938</v>
      </c>
      <c r="F35823" s="4" t="e">
        <f>IF(B35823=#REF!,"",B35823)</f>
        <v>#REF!</v>
      </c>
    </row>
    <row r="35824" spans="1:6" ht="15.75" customHeight="1">
      <c r="A35824" s="15" t="s">
        <v>27814</v>
      </c>
      <c r="B35824" s="15" t="s">
        <v>27814</v>
      </c>
      <c r="C35824" s="15" t="s">
        <v>27788</v>
      </c>
      <c r="D35824" s="15" t="s">
        <v>5468</v>
      </c>
      <c r="E35824" s="2">
        <v>6332439</v>
      </c>
      <c r="F35824" s="4" t="e">
        <f>IF(B35824=#REF!,"",B35824)</f>
        <v>#REF!</v>
      </c>
    </row>
    <row r="35825" spans="1:6" ht="15.75" customHeight="1">
      <c r="A35825" s="15" t="s">
        <v>26305</v>
      </c>
      <c r="B35825" s="15" t="s">
        <v>26305</v>
      </c>
      <c r="C35825" s="15" t="s">
        <v>26201</v>
      </c>
      <c r="D35825" s="15" t="s">
        <v>26208</v>
      </c>
      <c r="E35825" s="2">
        <v>752278</v>
      </c>
      <c r="F35825" s="4" t="e">
        <f>IF(B35825=#REF!,"",B35825)</f>
        <v>#REF!</v>
      </c>
    </row>
    <row r="35826" spans="1:6" ht="15.75" customHeight="1">
      <c r="A35826" s="16" t="s">
        <v>20604</v>
      </c>
      <c r="B35826" s="15" t="s">
        <v>20605</v>
      </c>
      <c r="C35826" s="16" t="s">
        <v>20598</v>
      </c>
      <c r="D35826" s="16" t="s">
        <v>20606</v>
      </c>
      <c r="E35826" s="2">
        <v>1731744</v>
      </c>
      <c r="F35826" s="4" t="str">
        <f>IF(B35826=B35825,"",B35826)</f>
        <v>Alabel</v>
      </c>
    </row>
    <row r="35827" spans="1:6" ht="15.75" customHeight="1">
      <c r="A35827" s="16" t="s">
        <v>26303</v>
      </c>
      <c r="B35827" s="15" t="s">
        <v>26304</v>
      </c>
      <c r="C35827" s="16" t="s">
        <v>26201</v>
      </c>
      <c r="D35827" s="16" t="s">
        <v>26299</v>
      </c>
      <c r="E35827" s="2">
        <v>324172</v>
      </c>
      <c r="F35827" s="4" t="str">
        <f>IF(B35827=B35826,"",B35827)</f>
        <v>AlaÅŸehir</v>
      </c>
    </row>
    <row r="35828" spans="1:6" ht="15.75" customHeight="1">
      <c r="A35828" s="16" t="s">
        <v>1941</v>
      </c>
      <c r="B35828" s="15" t="s">
        <v>1942</v>
      </c>
      <c r="C35828" s="16" t="s">
        <v>1905</v>
      </c>
      <c r="D35828" s="16" t="s">
        <v>1917</v>
      </c>
      <c r="E35828" s="2">
        <v>3472609</v>
      </c>
      <c r="F35828" s="4" t="e">
        <f>IF(B35828=#REF!,"",B35828)</f>
        <v>#REF!</v>
      </c>
    </row>
    <row r="35829" spans="1:6" ht="15.75" customHeight="1">
      <c r="A35829" s="15" t="s">
        <v>10286</v>
      </c>
      <c r="B35829" s="15" t="s">
        <v>10287</v>
      </c>
      <c r="C35829" s="15" t="s">
        <v>10178</v>
      </c>
      <c r="D35829" s="15" t="s">
        <v>10288</v>
      </c>
      <c r="E35829" s="2">
        <v>1279005</v>
      </c>
      <c r="F35829" s="4" t="str">
        <f>IF(B35829=B35828,"",B35829)</f>
        <v>AlÄ«pur</v>
      </c>
    </row>
    <row r="35830" spans="1:6" ht="15.75" customHeight="1">
      <c r="A35830" s="16" t="s">
        <v>10284</v>
      </c>
      <c r="B35830" s="15" t="s">
        <v>10285</v>
      </c>
      <c r="C35830" s="16" t="s">
        <v>10178</v>
      </c>
      <c r="D35830" s="16" t="s">
        <v>10193</v>
      </c>
      <c r="E35830" s="2">
        <v>1279017</v>
      </c>
      <c r="F35830" s="4" t="str">
        <f>IF(B35830=B35829,"",B35830)</f>
        <v>AlÄ«garh</v>
      </c>
    </row>
    <row r="35831" spans="1:6" ht="15.75" customHeight="1">
      <c r="A35831" s="15" t="s">
        <v>10282</v>
      </c>
      <c r="B35831" s="15" t="s">
        <v>10283</v>
      </c>
      <c r="C35831" s="15" t="s">
        <v>10178</v>
      </c>
      <c r="D35831" s="15" t="s">
        <v>10193</v>
      </c>
      <c r="E35831" s="2">
        <v>1279023</v>
      </c>
      <c r="F35831" s="4" t="str">
        <f>IF(B35831=B35830,"",B35831)</f>
        <v>AlÄ«ganj</v>
      </c>
    </row>
    <row r="35832" spans="1:6" ht="15.75" customHeight="1">
      <c r="A35832" s="16" t="s">
        <v>14279</v>
      </c>
      <c r="B35832" s="15" t="s">
        <v>14280</v>
      </c>
      <c r="C35832" s="16" t="s">
        <v>14240</v>
      </c>
      <c r="D35832" s="16" t="s">
        <v>14281</v>
      </c>
      <c r="E35832" s="2">
        <v>143921</v>
      </c>
      <c r="F35832" s="4" t="str">
        <f>IF(B35832=B35831,"",B35832)</f>
        <v>AlÄ«gÅ«darz</v>
      </c>
    </row>
    <row r="35833" spans="1:6" ht="15.75" customHeight="1">
      <c r="A35833" s="15" t="s">
        <v>10280</v>
      </c>
      <c r="B35833" s="15" t="s">
        <v>10281</v>
      </c>
      <c r="C35833" s="15" t="s">
        <v>10178</v>
      </c>
      <c r="D35833" s="15" t="s">
        <v>10214</v>
      </c>
      <c r="E35833" s="2">
        <v>1279027</v>
      </c>
      <c r="F35833" s="4" t="str">
        <f>IF(B35833=B35832,"",B35833)</f>
        <v>AlÄ«bÄg</v>
      </c>
    </row>
    <row r="35834" spans="1:6" ht="15.75" customHeight="1">
      <c r="A35834" s="16" t="s">
        <v>22100</v>
      </c>
      <c r="B35834" s="15" t="s">
        <v>22101</v>
      </c>
      <c r="C35834" s="16" t="s">
        <v>22070</v>
      </c>
      <c r="D35834" s="16" t="s">
        <v>22090</v>
      </c>
      <c r="E35834" s="2">
        <v>582432</v>
      </c>
      <c r="F35834" s="4" t="str">
        <f>IF(B35834=B35833,"",B35834)</f>
        <v>Alâ€™metâ€™yevsk</v>
      </c>
    </row>
    <row r="35835" spans="1:6" ht="15.75" customHeight="1">
      <c r="A35835" s="15" t="s">
        <v>7092</v>
      </c>
      <c r="B35835" s="15" t="s">
        <v>7093</v>
      </c>
      <c r="C35835" s="15" t="s">
        <v>7052</v>
      </c>
      <c r="D35835" s="15" t="s">
        <v>7082</v>
      </c>
      <c r="E35835" s="2">
        <v>3038224</v>
      </c>
      <c r="F35835" s="4" t="str">
        <f>IF(B35835=B35834,"",B35835)</f>
        <v>AlÃ¨s</v>
      </c>
    </row>
    <row r="35836" spans="1:6" ht="15.75" customHeight="1">
      <c r="A35836" s="16" t="str">
        <f ca="1">IFERROR(__xludf.DUMMYFUNCTION("GOOGLETRANSLATE(B40675,""en"",""pt"")"),"Al'Met'yevsk")</f>
        <v>Al'Met'yevsk</v>
      </c>
      <c r="B35836" s="20" t="s">
        <v>35527</v>
      </c>
      <c r="C35836" s="20" t="s">
        <v>22070</v>
      </c>
      <c r="D35836" s="20" t="s">
        <v>22090</v>
      </c>
      <c r="E35836" s="10">
        <v>582432</v>
      </c>
      <c r="F35836" s="4" t="str">
        <f>IF(B35836=B35835,"",B35836)</f>
        <v>Al’met’yevsk</v>
      </c>
    </row>
    <row r="35837" spans="1:6" ht="15.75" customHeight="1">
      <c r="A35837" s="16" t="str">
        <f ca="1">IFERROR(__xludf.DUMMYFUNCTION("GOOGLETRANSLATE(B39556,""en"",""pt"")"),"Al Yāmūn")</f>
        <v>Al Yāmūn</v>
      </c>
      <c r="B35837" s="20" t="s">
        <v>35282</v>
      </c>
      <c r="C35837" s="20" t="s">
        <v>20297</v>
      </c>
      <c r="D35837" s="20" t="s">
        <v>20298</v>
      </c>
      <c r="E35837" s="10">
        <v>284999</v>
      </c>
      <c r="F35837" s="4" t="str">
        <f>IF(B35837=B35836,"",B35837)</f>
        <v>Al Yāmūn</v>
      </c>
    </row>
    <row r="35838" spans="1:6" ht="15.75" customHeight="1">
      <c r="A35838" s="16" t="s">
        <v>20313</v>
      </c>
      <c r="B35838" s="15" t="s">
        <v>20314</v>
      </c>
      <c r="C35838" s="16" t="s">
        <v>20297</v>
      </c>
      <c r="D35838" s="16" t="s">
        <v>20298</v>
      </c>
      <c r="E35838" s="2">
        <v>284999</v>
      </c>
      <c r="F35838" s="4" t="str">
        <f>IF(B35838=B35837,"",B35838)</f>
        <v>Al YÄmÅ«n</v>
      </c>
    </row>
    <row r="35839" spans="1:6" ht="15.75" customHeight="1">
      <c r="A35839" s="16" t="str">
        <f ca="1">IFERROR(__xludf.DUMMYFUNCTION("GOOGLETRANSLATE(B28899,""en"",""pt"")"),"Al Wāsiţah")</f>
        <v>Al Wāsiţah</v>
      </c>
      <c r="B35839" s="20" t="s">
        <v>32319</v>
      </c>
      <c r="C35839" s="20" t="s">
        <v>6495</v>
      </c>
      <c r="D35839" s="20" t="s">
        <v>32248</v>
      </c>
      <c r="E35839" s="10">
        <v>360464</v>
      </c>
      <c r="F35839" s="4" t="e">
        <f>IF(B35839=#REF!,"",B35839)</f>
        <v>#REF!</v>
      </c>
    </row>
    <row r="35840" spans="1:6" ht="15.75" customHeight="1">
      <c r="A35840" s="16" t="s">
        <v>21778</v>
      </c>
      <c r="B35840" s="15" t="s">
        <v>21778</v>
      </c>
      <c r="C35840" s="16" t="s">
        <v>21777</v>
      </c>
      <c r="D35840" s="16" t="s">
        <v>21778</v>
      </c>
      <c r="E35840" s="2">
        <v>289915</v>
      </c>
      <c r="F35840" s="4" t="e">
        <f>IF(B35840=#REF!,"",B35840)</f>
        <v>#REF!</v>
      </c>
    </row>
    <row r="35841" spans="1:6" ht="15.75" customHeight="1">
      <c r="A35841" s="15" t="s">
        <v>23501</v>
      </c>
      <c r="B35841" s="15" t="s">
        <v>23502</v>
      </c>
      <c r="C35841" s="15" t="s">
        <v>23454</v>
      </c>
      <c r="D35841" s="15" t="s">
        <v>23503</v>
      </c>
      <c r="E35841" s="2">
        <v>108773</v>
      </c>
      <c r="F35841" s="4" t="str">
        <f>IF(B35841=B35840,"",B35841)</f>
        <v>Al Wajh</v>
      </c>
    </row>
    <row r="35842" spans="1:6" ht="15.75" customHeight="1">
      <c r="A35842" s="16" t="s">
        <v>6586</v>
      </c>
      <c r="B35842" s="15" t="s">
        <v>6587</v>
      </c>
      <c r="C35842" s="16" t="s">
        <v>6495</v>
      </c>
      <c r="D35842" s="16" t="s">
        <v>6502</v>
      </c>
      <c r="E35842" s="2">
        <v>360464</v>
      </c>
      <c r="F35842" s="4" t="e">
        <f>IF(B35842=#REF!,"",B35842)</f>
        <v>#REF!</v>
      </c>
    </row>
    <row r="35843" spans="1:6" ht="15.75" customHeight="1">
      <c r="A35843" s="16" t="s">
        <v>16636</v>
      </c>
      <c r="B35843" s="15" t="s">
        <v>16636</v>
      </c>
      <c r="C35843" s="16" t="s">
        <v>16624</v>
      </c>
      <c r="D35843" s="16" t="s">
        <v>16635</v>
      </c>
      <c r="E35843" s="2">
        <v>250461</v>
      </c>
      <c r="F35843" s="4" t="str">
        <f>IF(B35843=B35842,"",B35843)</f>
        <v>Al Quwaysimah</v>
      </c>
    </row>
    <row r="35844" spans="1:6" ht="15.75" customHeight="1">
      <c r="A35844" s="16" t="str">
        <f ca="1">IFERROR(__xludf.DUMMYFUNCTION("GOOGLETRANSLATE(B41451,""en"",""pt"")"),"Al Quţayfah")</f>
        <v>Al Quţayfah</v>
      </c>
      <c r="B35844" s="20" t="s">
        <v>35760</v>
      </c>
      <c r="C35844" s="20" t="s">
        <v>25366</v>
      </c>
      <c r="D35844" s="20" t="s">
        <v>25372</v>
      </c>
      <c r="E35844" s="10">
        <v>173312</v>
      </c>
      <c r="F35844" s="4" t="str">
        <f>IF(B35844=B35843,"",B35844)</f>
        <v>Al Quţayfah</v>
      </c>
    </row>
    <row r="35845" spans="1:6" ht="15.75" customHeight="1">
      <c r="A35845" s="16" t="str">
        <f ca="1">IFERROR(__xludf.DUMMYFUNCTION("GOOGLETRANSLATE(B28901,""en"",""pt"")"),"Al Qūşīyah")</f>
        <v>Al Qūşīyah</v>
      </c>
      <c r="B35845" s="20" t="s">
        <v>32320</v>
      </c>
      <c r="C35845" s="20" t="s">
        <v>6495</v>
      </c>
      <c r="D35845" s="20" t="s">
        <v>32276</v>
      </c>
      <c r="E35845" s="10">
        <v>360526</v>
      </c>
      <c r="F35845" s="4" t="e">
        <f>IF(B35845=#REF!,"",B35845)</f>
        <v>#REF!</v>
      </c>
    </row>
    <row r="35846" spans="1:6" ht="15.75" customHeight="1">
      <c r="A35846" s="16" t="str">
        <f ca="1">IFERROR(__xludf.DUMMYFUNCTION("GOOGLETRANSLATE(B28902,""en"",""pt"")"),"Al Quşayr")</f>
        <v>Al Quşayr</v>
      </c>
      <c r="B35846" s="20" t="s">
        <v>32321</v>
      </c>
      <c r="C35846" s="20" t="s">
        <v>6495</v>
      </c>
      <c r="D35846" s="20" t="s">
        <v>6584</v>
      </c>
      <c r="E35846" s="10">
        <v>360531</v>
      </c>
      <c r="F35846" s="4" t="e">
        <f>IF(B35846=#REF!,"",B35846)</f>
        <v>#REF!</v>
      </c>
    </row>
    <row r="35847" spans="1:6" ht="15.75" customHeight="1">
      <c r="A35847" s="16" t="s">
        <v>6585</v>
      </c>
      <c r="B35847" s="15" t="s">
        <v>6585</v>
      </c>
      <c r="C35847" s="16" t="s">
        <v>6495</v>
      </c>
      <c r="D35847" s="16" t="s">
        <v>6128</v>
      </c>
      <c r="E35847" s="2">
        <v>360542</v>
      </c>
      <c r="F35847" s="4" t="str">
        <f>IF(B35847=B35846,"",B35847)</f>
        <v>Al Qurayn</v>
      </c>
    </row>
    <row r="35848" spans="1:6" ht="15.75" customHeight="1">
      <c r="A35848" s="16" t="str">
        <f ca="1">IFERROR(__xludf.DUMMYFUNCTION("GOOGLETRANSLATE(B41453,""en"",""pt"")"),"Al Qunayţirah")</f>
        <v>Al Qunayţirah</v>
      </c>
      <c r="B35848" s="20" t="s">
        <v>35761</v>
      </c>
      <c r="C35848" s="20" t="s">
        <v>25366</v>
      </c>
      <c r="D35848" s="20" t="s">
        <v>25411</v>
      </c>
      <c r="E35848" s="10">
        <v>173334</v>
      </c>
      <c r="F35848" s="4" t="str">
        <f>IF(B35848=B35847,"",B35848)</f>
        <v>Al Qunayţirah</v>
      </c>
    </row>
    <row r="35849" spans="1:6" ht="15.75" customHeight="1">
      <c r="A35849" s="16" t="s">
        <v>25409</v>
      </c>
      <c r="B35849" s="15" t="s">
        <v>25410</v>
      </c>
      <c r="C35849" s="16" t="s">
        <v>25366</v>
      </c>
      <c r="D35849" s="16" t="s">
        <v>25411</v>
      </c>
      <c r="E35849" s="2">
        <v>173334</v>
      </c>
      <c r="F35849" s="4" t="e">
        <f>IF(B35849=#REF!,"",B35849)</f>
        <v>#REF!</v>
      </c>
    </row>
    <row r="35850" spans="1:6" ht="15.75" customHeight="1">
      <c r="A35850" s="16" t="s">
        <v>17089</v>
      </c>
      <c r="B35850" s="15" t="s">
        <v>17089</v>
      </c>
      <c r="C35850" s="16" t="s">
        <v>17074</v>
      </c>
      <c r="D35850" s="16" t="s">
        <v>17090</v>
      </c>
      <c r="E35850" s="2">
        <v>88835</v>
      </c>
      <c r="F35850" s="4" t="e">
        <f>IF(B35850=#REF!,"",B35850)</f>
        <v>#REF!</v>
      </c>
    </row>
    <row r="35851" spans="1:6" ht="15.75" customHeight="1">
      <c r="A35851" s="16" t="s">
        <v>6582</v>
      </c>
      <c r="B35851" s="15" t="s">
        <v>6583</v>
      </c>
      <c r="C35851" s="16" t="s">
        <v>6495</v>
      </c>
      <c r="D35851" s="16" t="s">
        <v>6584</v>
      </c>
      <c r="E35851" s="2">
        <v>360531</v>
      </c>
      <c r="F35851" s="4" t="str">
        <f>IF(B35851=B35850,"",B35851)</f>
        <v>Al QuÅŸayr</v>
      </c>
    </row>
    <row r="35852" spans="1:6" ht="15.75" customHeight="1">
      <c r="A35852" s="16" t="s">
        <v>25407</v>
      </c>
      <c r="B35852" s="15" t="s">
        <v>25408</v>
      </c>
      <c r="C35852" s="16" t="s">
        <v>25366</v>
      </c>
      <c r="D35852" s="16" t="s">
        <v>25372</v>
      </c>
      <c r="E35852" s="2">
        <v>173312</v>
      </c>
      <c r="F35852" s="4" t="str">
        <f>IF(B35852=B35851,"",B35852)</f>
        <v>Al QuÅ£ayfah</v>
      </c>
    </row>
    <row r="35853" spans="1:6" ht="15.75" customHeight="1">
      <c r="A35853" s="16" t="str">
        <f ca="1">IFERROR(__xludf.DUMMYFUNCTION("GOOGLETRANSLATE(B41099,""en"",""pt"")"),"Al Qiţena")</f>
        <v>Al Qiţena</v>
      </c>
      <c r="B35853" s="20" t="s">
        <v>35614</v>
      </c>
      <c r="C35853" s="20" t="s">
        <v>24987</v>
      </c>
      <c r="D35853" s="20" t="s">
        <v>24994</v>
      </c>
      <c r="E35853" s="10">
        <v>379014</v>
      </c>
      <c r="F35853" s="4" t="str">
        <f>IF(B35853=B35852,"",B35853)</f>
        <v>Al Qiţena</v>
      </c>
    </row>
    <row r="35854" spans="1:6" ht="15.75" customHeight="1">
      <c r="A35854" s="16" t="s">
        <v>25009</v>
      </c>
      <c r="B35854" s="15" t="s">
        <v>25010</v>
      </c>
      <c r="C35854" s="16" t="s">
        <v>24987</v>
      </c>
      <c r="D35854" s="16" t="s">
        <v>24994</v>
      </c>
      <c r="E35854" s="2">
        <v>379014</v>
      </c>
      <c r="F35854" s="4" t="str">
        <f>IF(B35854=B35853,"",B35854)</f>
        <v>Al QiÅ£ena</v>
      </c>
    </row>
    <row r="35855" spans="1:6" ht="15.75" customHeight="1">
      <c r="A35855" s="16" t="str">
        <f ca="1">IFERROR(__xludf.DUMMYFUNCTION("GOOGLETRANSLATE(B41047,""en"",""pt"")"),"Al Qayşūmah")</f>
        <v>Al Qayşūmah</v>
      </c>
      <c r="B35855" s="20" t="s">
        <v>35590</v>
      </c>
      <c r="C35855" s="20" t="s">
        <v>23454</v>
      </c>
      <c r="D35855" s="20" t="s">
        <v>6128</v>
      </c>
      <c r="E35855" s="10">
        <v>108918</v>
      </c>
      <c r="F35855" s="4" t="str">
        <f>IF(B35855=B35854,"",B35855)</f>
        <v>Al Qayşūmah</v>
      </c>
    </row>
    <row r="35856" spans="1:6" ht="15.75" customHeight="1">
      <c r="A35856" s="16" t="s">
        <v>23499</v>
      </c>
      <c r="B35856" s="15" t="s">
        <v>23500</v>
      </c>
      <c r="C35856" s="16" t="s">
        <v>23454</v>
      </c>
      <c r="D35856" s="16" t="s">
        <v>6128</v>
      </c>
      <c r="E35856" s="2">
        <v>108918</v>
      </c>
      <c r="F35856" s="4" t="str">
        <f>IF(B35856=B35855,"",B35856)</f>
        <v>Al QayÅŸÅ«mah</v>
      </c>
    </row>
    <row r="35857" spans="1:6" ht="15.75" customHeight="1">
      <c r="A35857" s="16" t="str">
        <f ca="1">IFERROR(__xludf.DUMMYFUNCTION("GOOGLETRANSLATE(B41048,""en"",""pt"")"),"Al Qaţīf")</f>
        <v>Al Qaţīf</v>
      </c>
      <c r="B35857" s="20" t="s">
        <v>35591</v>
      </c>
      <c r="C35857" s="20" t="s">
        <v>23454</v>
      </c>
      <c r="D35857" s="20" t="s">
        <v>6128</v>
      </c>
      <c r="E35857" s="10">
        <v>108927</v>
      </c>
      <c r="F35857" s="4" t="e">
        <f>IF(B35857=#REF!,"",B35857)</f>
        <v>#REF!</v>
      </c>
    </row>
    <row r="35858" spans="1:6" ht="15.75" customHeight="1">
      <c r="A35858" s="16" t="s">
        <v>25405</v>
      </c>
      <c r="B35858" s="15" t="s">
        <v>25405</v>
      </c>
      <c r="C35858" s="16" t="s">
        <v>25366</v>
      </c>
      <c r="D35858" s="16" t="s">
        <v>25406</v>
      </c>
      <c r="E35858" s="2">
        <v>173361</v>
      </c>
      <c r="F35858" s="4" t="str">
        <f>IF(B35858=B35857,"",B35858)</f>
        <v>Al Qaryatayn</v>
      </c>
    </row>
    <row r="35859" spans="1:6" ht="15.75" customHeight="1">
      <c r="A35859" s="16" t="str">
        <f ca="1">IFERROR(__xludf.DUMMYFUNCTION("GOOGLETRANSLATE(B39561,""en"",""pt"")"),"Al Qarārah")</f>
        <v>Al Qarārah</v>
      </c>
      <c r="B35859" s="20" t="s">
        <v>35285</v>
      </c>
      <c r="C35859" s="20" t="s">
        <v>20297</v>
      </c>
      <c r="D35859" s="20" t="s">
        <v>20305</v>
      </c>
      <c r="E35859" s="10">
        <v>6967865</v>
      </c>
      <c r="F35859" s="4" t="str">
        <f>IF(B35859=B35858,"",B35859)</f>
        <v>Al Qarārah</v>
      </c>
    </row>
    <row r="35860" spans="1:6" ht="15.75" customHeight="1">
      <c r="A35860" s="16" t="s">
        <v>20311</v>
      </c>
      <c r="B35860" s="15" t="s">
        <v>20312</v>
      </c>
      <c r="C35860" s="16" t="s">
        <v>20297</v>
      </c>
      <c r="D35860" s="16" t="s">
        <v>20305</v>
      </c>
      <c r="E35860" s="2">
        <v>6967865</v>
      </c>
      <c r="F35860" s="4" t="str">
        <f>IF(B35860=B35859,"",B35860)</f>
        <v>Al QarÄrah</v>
      </c>
    </row>
    <row r="35861" spans="1:6" ht="15.75" customHeight="1">
      <c r="A35861" s="16" t="str">
        <f ca="1">IFERROR(__xludf.DUMMYFUNCTION("GOOGLETRANSLATE(B28904,""en"",""pt"")"),"Al Qanāyāt")</f>
        <v>Al Qanāyāt</v>
      </c>
      <c r="B35861" s="20" t="s">
        <v>32322</v>
      </c>
      <c r="C35861" s="20" t="s">
        <v>6495</v>
      </c>
      <c r="D35861" s="20" t="s">
        <v>6128</v>
      </c>
      <c r="E35861" s="10">
        <v>360612</v>
      </c>
      <c r="F35861" s="4" t="str">
        <f>IF(B35861=B35860,"",B35861)</f>
        <v>Al Qanāyāt</v>
      </c>
    </row>
    <row r="35862" spans="1:6" ht="15.75" customHeight="1">
      <c r="A35862" s="16" t="str">
        <f ca="1">IFERROR(__xludf.DUMMYFUNCTION("GOOGLETRANSLATE(B28905,""en"",""pt"")"),"Al Qanāţir Al Khayrīyah")</f>
        <v>Al Qanāţir Al Khayrīyah</v>
      </c>
      <c r="B35862" s="20" t="s">
        <v>32323</v>
      </c>
      <c r="C35862" s="20" t="s">
        <v>6495</v>
      </c>
      <c r="D35862" s="20" t="s">
        <v>32246</v>
      </c>
      <c r="E35862" s="10">
        <v>360615</v>
      </c>
      <c r="F35862" s="4" t="str">
        <f>IF(B35862=B35861,"",B35862)</f>
        <v>Al Qanāţir al Khayrīyah</v>
      </c>
    </row>
    <row r="35863" spans="1:6" ht="15.75" customHeight="1">
      <c r="A35863" s="16" t="s">
        <v>6580</v>
      </c>
      <c r="B35863" s="15" t="s">
        <v>6581</v>
      </c>
      <c r="C35863" s="16" t="s">
        <v>6495</v>
      </c>
      <c r="D35863" s="16" t="s">
        <v>6128</v>
      </c>
      <c r="E35863" s="2">
        <v>360612</v>
      </c>
      <c r="F35863" s="4" t="str">
        <f>IF(B35863=B35862,"",B35863)</f>
        <v>Al QanÄyÄt</v>
      </c>
    </row>
    <row r="35864" spans="1:6" ht="15.75" customHeight="1">
      <c r="A35864" s="16" t="s">
        <v>6578</v>
      </c>
      <c r="B35864" s="15" t="s">
        <v>6579</v>
      </c>
      <c r="C35864" s="16" t="s">
        <v>6495</v>
      </c>
      <c r="D35864" s="16" t="s">
        <v>6561</v>
      </c>
      <c r="E35864" s="2">
        <v>360615</v>
      </c>
      <c r="F35864" s="4" t="e">
        <f>IF(B35864=#REF!,"",B35864)</f>
        <v>#REF!</v>
      </c>
    </row>
    <row r="35865" spans="1:6" ht="15.75" customHeight="1">
      <c r="A35865" s="16" t="s">
        <v>25008</v>
      </c>
      <c r="B35865" s="15" t="s">
        <v>25008</v>
      </c>
      <c r="C35865" s="16" t="s">
        <v>24987</v>
      </c>
      <c r="D35865" s="16" t="s">
        <v>25000</v>
      </c>
      <c r="E35865" s="2">
        <v>379062</v>
      </c>
      <c r="F35865" s="4" t="str">
        <f>IF(B35865=B35864,"",B35865)</f>
        <v>Al Qadarif</v>
      </c>
    </row>
    <row r="35866" spans="1:6" ht="15.75" customHeight="1">
      <c r="A35866" s="16" t="s">
        <v>23497</v>
      </c>
      <c r="B35866" s="15" t="s">
        <v>23498</v>
      </c>
      <c r="C35866" s="16" t="s">
        <v>23454</v>
      </c>
      <c r="D35866" s="16" t="s">
        <v>6128</v>
      </c>
      <c r="E35866" s="2">
        <v>108927</v>
      </c>
      <c r="F35866" s="4" t="str">
        <f>IF(B35866=B35865,"",B35866)</f>
        <v>Al QaÅ£Ä«f</v>
      </c>
    </row>
    <row r="35867" spans="1:6" ht="15.75" customHeight="1">
      <c r="A35867" s="16" t="s">
        <v>6576</v>
      </c>
      <c r="B35867" s="15" t="s">
        <v>6577</v>
      </c>
      <c r="C35867" s="16" t="s">
        <v>6495</v>
      </c>
      <c r="D35867" s="16" t="s">
        <v>6523</v>
      </c>
      <c r="E35867" s="2">
        <v>360526</v>
      </c>
      <c r="F35867" s="4" t="e">
        <f>IF(B35867=#REF!,"",B35867)</f>
        <v>#REF!</v>
      </c>
    </row>
    <row r="35868" spans="1:6" ht="15.75" customHeight="1">
      <c r="A35868" s="16" t="s">
        <v>14652</v>
      </c>
      <c r="B35868" s="15" t="s">
        <v>14653</v>
      </c>
      <c r="C35868" s="16" t="s">
        <v>14594</v>
      </c>
      <c r="D35868" s="16" t="s">
        <v>14625</v>
      </c>
      <c r="E35868" s="2">
        <v>99039</v>
      </c>
      <c r="F35868" s="4" t="e">
        <f>IF(B35868=#REF!,"",B35868)</f>
        <v>#REF!</v>
      </c>
    </row>
    <row r="35869" spans="1:6" ht="15.75" customHeight="1">
      <c r="A35869" s="16" t="s">
        <v>23496</v>
      </c>
      <c r="B35869" s="15" t="s">
        <v>23496</v>
      </c>
      <c r="C35869" s="16" t="s">
        <v>23454</v>
      </c>
      <c r="D35869" s="16" t="s">
        <v>6128</v>
      </c>
      <c r="E35869" s="2">
        <v>109059</v>
      </c>
      <c r="F35869" s="4" t="str">
        <f>IF(B35869=B35868,"",B35869)</f>
        <v>Al Munayzilah</v>
      </c>
    </row>
    <row r="35870" spans="1:6" ht="15.75" customHeight="1">
      <c r="A35870" s="16" t="s">
        <v>31003</v>
      </c>
      <c r="B35870" s="15" t="s">
        <v>31004</v>
      </c>
      <c r="C35870" s="16" t="s">
        <v>30993</v>
      </c>
      <c r="D35870" s="16" t="s">
        <v>31005</v>
      </c>
      <c r="E35870" s="2">
        <v>78754</v>
      </c>
      <c r="F35870" s="4" t="str">
        <f>IF(B35870=B35869,"",B35870)</f>
        <v>Al MukallÄ</v>
      </c>
    </row>
    <row r="35871" spans="1:6" ht="15.75" customHeight="1">
      <c r="A35871" s="16" t="str">
        <f ca="1">IFERROR(__xludf.DUMMYFUNCTION("GOOGLETRANSLATE(B45834,""en"",""pt"")"),"Al Mukallā")</f>
        <v>Al Mukallā</v>
      </c>
      <c r="B35871" s="20" t="s">
        <v>36227</v>
      </c>
      <c r="C35871" s="20" t="s">
        <v>30993</v>
      </c>
      <c r="D35871" s="20" t="s">
        <v>36228</v>
      </c>
      <c r="E35871" s="10">
        <v>78754</v>
      </c>
      <c r="F35871" s="4" t="e">
        <f>IF(B35871=#REF!,"",B35871)</f>
        <v>#REF!</v>
      </c>
    </row>
    <row r="35872" spans="1:6" ht="15.75" customHeight="1">
      <c r="A35872" s="16" t="s">
        <v>1278</v>
      </c>
      <c r="B35872" s="15" t="s">
        <v>1278</v>
      </c>
      <c r="C35872" s="16" t="s">
        <v>1279</v>
      </c>
      <c r="D35872" s="16" t="s">
        <v>1280</v>
      </c>
      <c r="E35872" s="2">
        <v>290332</v>
      </c>
      <c r="F35872" s="4" t="e">
        <f>IF(B35872=#REF!,"",B35872)</f>
        <v>#REF!</v>
      </c>
    </row>
    <row r="35873" spans="1:6" ht="15.75" customHeight="1">
      <c r="A35873" s="16" t="s">
        <v>23495</v>
      </c>
      <c r="B35873" s="15" t="s">
        <v>23495</v>
      </c>
      <c r="C35873" s="16" t="s">
        <v>23454</v>
      </c>
      <c r="D35873" s="16" t="s">
        <v>6128</v>
      </c>
      <c r="E35873" s="2">
        <v>109101</v>
      </c>
      <c r="F35873" s="4" t="e">
        <f>IF(B35873=#REF!,"",B35873)</f>
        <v>#REF!</v>
      </c>
    </row>
    <row r="35874" spans="1:6" ht="15.75" customHeight="1">
      <c r="A35874" s="16" t="s">
        <v>23494</v>
      </c>
      <c r="B35874" s="15" t="s">
        <v>23494</v>
      </c>
      <c r="C35874" s="16" t="s">
        <v>23454</v>
      </c>
      <c r="D35874" s="16" t="s">
        <v>23485</v>
      </c>
      <c r="E35874" s="2">
        <v>109131</v>
      </c>
      <c r="F35874" s="4" t="str">
        <f>IF(B35874=B35873,"",B35874)</f>
        <v>Al Mithnab</v>
      </c>
    </row>
    <row r="35875" spans="1:6" ht="15.75" customHeight="1">
      <c r="A35875" s="16" t="str">
        <f ca="1">IFERROR(__xludf.DUMMYFUNCTION("GOOGLETRANSLATE(B34315,""en"",""pt"")"),"Al Mishkhāb")</f>
        <v>Al Mishkhāb</v>
      </c>
      <c r="B35875" s="20" t="s">
        <v>34097</v>
      </c>
      <c r="C35875" s="20" t="s">
        <v>14594</v>
      </c>
      <c r="D35875" s="20" t="s">
        <v>14651</v>
      </c>
      <c r="E35875" s="10">
        <v>99060</v>
      </c>
      <c r="F35875" s="4" t="str">
        <f>IF(B35875=B35874,"",B35875)</f>
        <v>Al Mishkhāb</v>
      </c>
    </row>
    <row r="35876" spans="1:6" ht="15.75" customHeight="1">
      <c r="A35876" s="16" t="s">
        <v>14649</v>
      </c>
      <c r="B35876" s="15" t="s">
        <v>14650</v>
      </c>
      <c r="C35876" s="16" t="s">
        <v>14594</v>
      </c>
      <c r="D35876" s="16" t="s">
        <v>14651</v>
      </c>
      <c r="E35876" s="2">
        <v>99060</v>
      </c>
      <c r="F35876" s="4" t="str">
        <f>IF(B35876=B35875,"",B35876)</f>
        <v>Al MishkhÄb</v>
      </c>
    </row>
    <row r="35877" spans="1:6" ht="15.75" customHeight="1">
      <c r="A35877" s="16" t="str">
        <f ca="1">IFERROR(__xludf.DUMMYFUNCTION("GOOGLETRANSLATE(B34316,""en"",""pt"")"),"Al Miqdādīyah")</f>
        <v>Al Miqdādīyah</v>
      </c>
      <c r="B35877" s="20" t="s">
        <v>34098</v>
      </c>
      <c r="C35877" s="20" t="s">
        <v>14594</v>
      </c>
      <c r="D35877" s="20" t="s">
        <v>34078</v>
      </c>
      <c r="E35877" s="10">
        <v>99062</v>
      </c>
      <c r="F35877" s="4" t="str">
        <f>IF(B35877=B35876,"",B35877)</f>
        <v>Al Miqdādīyah</v>
      </c>
    </row>
    <row r="35878" spans="1:6" ht="15.75" customHeight="1">
      <c r="A35878" s="16" t="s">
        <v>14646</v>
      </c>
      <c r="B35878" s="15" t="s">
        <v>14647</v>
      </c>
      <c r="C35878" s="16" t="s">
        <v>14594</v>
      </c>
      <c r="D35878" s="16" t="s">
        <v>14648</v>
      </c>
      <c r="E35878" s="2">
        <v>99062</v>
      </c>
      <c r="F35878" s="4" t="str">
        <f>IF(B35878=B35877,"",B35878)</f>
        <v>Al MiqdÄdÄ«yah</v>
      </c>
    </row>
    <row r="35879" spans="1:6" ht="15.75" customHeight="1">
      <c r="A35879" s="15" t="s">
        <v>6575</v>
      </c>
      <c r="B35879" s="15" t="s">
        <v>6520</v>
      </c>
      <c r="C35879" s="15" t="s">
        <v>6495</v>
      </c>
      <c r="D35879" s="15" t="s">
        <v>6520</v>
      </c>
      <c r="E35879" s="2">
        <v>360686</v>
      </c>
      <c r="F35879" s="4" t="str">
        <f>IF(B35879=B35878,"",B35879)</f>
        <v>Al MinyÄ</v>
      </c>
    </row>
    <row r="35880" spans="1:6" ht="15.75" customHeight="1">
      <c r="A35880" s="16" t="str">
        <f ca="1">IFERROR(__xludf.DUMMYFUNCTION("GOOGLETRANSLATE(B28907,""en"",""pt"")"),"Al Minyā")</f>
        <v>Al Minyā</v>
      </c>
      <c r="B35880" s="20" t="s">
        <v>32263</v>
      </c>
      <c r="C35880" s="20" t="s">
        <v>6495</v>
      </c>
      <c r="D35880" s="20" t="s">
        <v>32263</v>
      </c>
      <c r="E35880" s="10">
        <v>360686</v>
      </c>
      <c r="F35880" s="4" t="e">
        <f>IF(B35880=#REF!,"",B35880)</f>
        <v>#REF!</v>
      </c>
    </row>
    <row r="35881" spans="1:6" ht="15.75" customHeight="1">
      <c r="A35881" s="15" t="s">
        <v>25007</v>
      </c>
      <c r="B35881" s="15" t="s">
        <v>25007</v>
      </c>
      <c r="C35881" s="15" t="s">
        <v>24987</v>
      </c>
      <c r="D35881" s="15" t="s">
        <v>24988</v>
      </c>
      <c r="E35881" s="2">
        <v>379102</v>
      </c>
      <c r="F35881" s="4" t="str">
        <f>IF(B35881=B35880,"",B35881)</f>
        <v>Al Mijlad</v>
      </c>
    </row>
    <row r="35882" spans="1:6" ht="15.75" customHeight="1">
      <c r="A35882" s="16" t="str">
        <f ca="1">IFERROR(__xludf.DUMMYFUNCTION("GOOGLETRANSLATE(B41455,""en"",""pt"")"),"Al Mayādīn")</f>
        <v>Al Mayādīn</v>
      </c>
      <c r="B35882" s="20" t="s">
        <v>35762</v>
      </c>
      <c r="C35882" s="20" t="s">
        <v>25366</v>
      </c>
      <c r="D35882" s="20" t="s">
        <v>25387</v>
      </c>
      <c r="E35882" s="10">
        <v>173480</v>
      </c>
      <c r="F35882" s="4" t="str">
        <f>IF(B35882=B35881,"",B35882)</f>
        <v>Al Mayādīn</v>
      </c>
    </row>
    <row r="35883" spans="1:6" ht="15.75" customHeight="1">
      <c r="A35883" s="16" t="s">
        <v>25403</v>
      </c>
      <c r="B35883" s="15" t="s">
        <v>25404</v>
      </c>
      <c r="C35883" s="16" t="s">
        <v>25366</v>
      </c>
      <c r="D35883" s="16" t="s">
        <v>25387</v>
      </c>
      <c r="E35883" s="2">
        <v>173480</v>
      </c>
      <c r="F35883" s="4" t="str">
        <f>IF(B35883=B35882,"",B35883)</f>
        <v>Al MayÄdÄ«n</v>
      </c>
    </row>
    <row r="35884" spans="1:6" ht="15.75" customHeight="1">
      <c r="A35884" s="16" t="str">
        <f ca="1">IFERROR(__xludf.DUMMYFUNCTION("GOOGLETRANSLATE(B34317,""en"",""pt"")"),"Al Mawşil Al Jadīdah")</f>
        <v>Al Mawşil Al Jadīdah</v>
      </c>
      <c r="B35884" s="20" t="s">
        <v>34099</v>
      </c>
      <c r="C35884" s="20" t="s">
        <v>14594</v>
      </c>
      <c r="D35884" s="20" t="s">
        <v>34069</v>
      </c>
      <c r="E35884" s="10">
        <v>99071</v>
      </c>
      <c r="F35884" s="4" t="str">
        <f>IF(B35884=B35883,"",B35884)</f>
        <v>Al Mawşil al Jadīdah</v>
      </c>
    </row>
    <row r="35885" spans="1:6" ht="15.75" customHeight="1">
      <c r="A35885" s="16" t="s">
        <v>14644</v>
      </c>
      <c r="B35885" s="15" t="s">
        <v>14645</v>
      </c>
      <c r="C35885" s="16" t="s">
        <v>14594</v>
      </c>
      <c r="D35885" s="16" t="s">
        <v>14609</v>
      </c>
      <c r="E35885" s="2">
        <v>99071</v>
      </c>
      <c r="F35885" s="4" t="str">
        <f>IF(B35885=B35884,"",B35885)</f>
        <v>Al MawÅŸil al JadÄ«dah</v>
      </c>
    </row>
    <row r="35886" spans="1:6" ht="15.75" customHeight="1">
      <c r="A35886" s="16" t="str">
        <f ca="1">IFERROR(__xludf.DUMMYFUNCTION("GOOGLETRANSLATE(B28908,""en"",""pt"")"),"Al Maţarīyah")</f>
        <v>Al Maţarīyah</v>
      </c>
      <c r="B35886" s="20" t="s">
        <v>32324</v>
      </c>
      <c r="C35886" s="20" t="s">
        <v>6495</v>
      </c>
      <c r="D35886" s="20" t="s">
        <v>32250</v>
      </c>
      <c r="E35886" s="10">
        <v>360716</v>
      </c>
      <c r="F35886" s="4" t="str">
        <f>IF(B35886=B35885,"",B35886)</f>
        <v>Al Maţarīyah</v>
      </c>
    </row>
    <row r="35887" spans="1:6" ht="15.75" customHeight="1">
      <c r="A35887" s="15" t="s">
        <v>26092</v>
      </c>
      <c r="B35887" s="15" t="s">
        <v>26093</v>
      </c>
      <c r="C35887" s="15" t="s">
        <v>26090</v>
      </c>
      <c r="D35887" s="15" t="s">
        <v>26094</v>
      </c>
      <c r="E35887" s="2">
        <v>2473540</v>
      </c>
      <c r="F35887" s="4" t="str">
        <f>IF(B35887=B35886,"",B35887)</f>
        <v>Al MarsÃ¡</v>
      </c>
    </row>
    <row r="35888" spans="1:6" ht="15.75" customHeight="1">
      <c r="A35888" s="16" t="str">
        <f ca="1">IFERROR(__xludf.DUMMYFUNCTION("GOOGLETRANSLATE(B41852,""en"",""pt"")"),"Al Marsá")</f>
        <v>Al Marsá</v>
      </c>
      <c r="B35888" s="20" t="s">
        <v>35810</v>
      </c>
      <c r="C35888" s="20" t="s">
        <v>26090</v>
      </c>
      <c r="D35888" s="20" t="s">
        <v>35794</v>
      </c>
      <c r="E35888" s="10">
        <v>2473540</v>
      </c>
      <c r="F35888" s="4" t="e">
        <f>IF(B35888=#REF!,"",B35888)</f>
        <v>#REF!</v>
      </c>
    </row>
    <row r="35889" spans="1:6" ht="15.75" customHeight="1">
      <c r="A35889" s="15" t="s">
        <v>17078</v>
      </c>
      <c r="B35889" s="15" t="s">
        <v>17078</v>
      </c>
      <c r="C35889" s="15" t="s">
        <v>17074</v>
      </c>
      <c r="D35889" s="15" t="s">
        <v>17078</v>
      </c>
      <c r="E35889" s="2">
        <v>88903</v>
      </c>
      <c r="F35889" s="4" t="e">
        <f>IF(B35889=#REF!,"",B35889)</f>
        <v>#REF!</v>
      </c>
    </row>
    <row r="35890" spans="1:6" ht="15.75" customHeight="1">
      <c r="A35890" s="16" t="s">
        <v>6574</v>
      </c>
      <c r="B35890" s="15" t="s">
        <v>6574</v>
      </c>
      <c r="C35890" s="16" t="s">
        <v>6495</v>
      </c>
      <c r="D35890" s="16" t="s">
        <v>6508</v>
      </c>
      <c r="E35890" s="2">
        <v>360754</v>
      </c>
      <c r="F35890" s="4" t="str">
        <f>IF(B35890=B35889,"",B35890)</f>
        <v>Al Manzilah</v>
      </c>
    </row>
    <row r="35891" spans="1:6" ht="15.75" customHeight="1">
      <c r="A35891" s="16" t="str">
        <f ca="1">IFERROR(__xludf.DUMMYFUNCTION("GOOGLETRANSLATE(B28910,""en"",""pt"")"),"Al Manşūrah")</f>
        <v>Al Manşūrah</v>
      </c>
      <c r="B35891" s="20" t="s">
        <v>32325</v>
      </c>
      <c r="C35891" s="20" t="s">
        <v>6495</v>
      </c>
      <c r="D35891" s="20" t="s">
        <v>32250</v>
      </c>
      <c r="E35891" s="10">
        <v>360761</v>
      </c>
      <c r="F35891" s="4" t="str">
        <f>IF(B35891=B35890,"",B35891)</f>
        <v>Al Manşūrah</v>
      </c>
    </row>
    <row r="35892" spans="1:6" ht="15.75" customHeight="1">
      <c r="A35892" s="16" t="str">
        <f ca="1">IFERROR(__xludf.DUMMYFUNCTION("GOOGLETRANSLATE(B28911,""en"",""pt"")"),"Al Manshāh")</f>
        <v>Al Manshāh</v>
      </c>
      <c r="B35892" s="20" t="s">
        <v>32326</v>
      </c>
      <c r="C35892" s="20" t="s">
        <v>6495</v>
      </c>
      <c r="D35892" s="20" t="s">
        <v>32254</v>
      </c>
      <c r="E35892" s="10">
        <v>360773</v>
      </c>
      <c r="F35892" s="4" t="str">
        <f>IF(B35892=B35891,"",B35892)</f>
        <v>Al Manshāh</v>
      </c>
    </row>
    <row r="35893" spans="1:6" ht="15.75" customHeight="1">
      <c r="A35893" s="16" t="s">
        <v>6572</v>
      </c>
      <c r="B35893" s="15" t="s">
        <v>6573</v>
      </c>
      <c r="C35893" s="16" t="s">
        <v>6495</v>
      </c>
      <c r="D35893" s="16" t="s">
        <v>6505</v>
      </c>
      <c r="E35893" s="2">
        <v>360773</v>
      </c>
      <c r="F35893" s="4" t="e">
        <f>IF(B35893=#REF!,"",B35893)</f>
        <v>#REF!</v>
      </c>
    </row>
    <row r="35894" spans="1:6" ht="15.75" customHeight="1">
      <c r="A35894" s="16" t="s">
        <v>16902</v>
      </c>
      <c r="B35894" s="15" t="s">
        <v>16902</v>
      </c>
      <c r="C35894" s="16" t="s">
        <v>16884</v>
      </c>
      <c r="D35894" s="16" t="s">
        <v>16889</v>
      </c>
      <c r="E35894" s="2">
        <v>285778</v>
      </c>
      <c r="F35894" s="4" t="str">
        <f>IF(B35894=B35893,"",B35894)</f>
        <v>Al Manqaf</v>
      </c>
    </row>
    <row r="35895" spans="1:6" ht="15.75" customHeight="1">
      <c r="A35895" s="16" t="s">
        <v>6570</v>
      </c>
      <c r="B35895" s="15" t="s">
        <v>6571</v>
      </c>
      <c r="C35895" s="16" t="s">
        <v>6495</v>
      </c>
      <c r="D35895" s="16" t="s">
        <v>6508</v>
      </c>
      <c r="E35895" s="2">
        <v>360761</v>
      </c>
      <c r="F35895" s="4" t="str">
        <f>IF(B35895=B35894,"",B35895)</f>
        <v>Al ManÅŸÅ«rah</v>
      </c>
    </row>
    <row r="35896" spans="1:6" ht="15.75" customHeight="1">
      <c r="A35896" s="16" t="str">
        <f ca="1">IFERROR(__xludf.DUMMYFUNCTION("GOOGLETRANSLATE(B41102,""en"",""pt"")"),"Al Manāqil")</f>
        <v>Al Manāqil</v>
      </c>
      <c r="B35896" s="20" t="s">
        <v>35615</v>
      </c>
      <c r="C35896" s="20" t="s">
        <v>24987</v>
      </c>
      <c r="D35896" s="20" t="s">
        <v>35603</v>
      </c>
      <c r="E35896" s="10">
        <v>379149</v>
      </c>
      <c r="F35896" s="4" t="str">
        <f>IF(B35896=B35895,"",B35896)</f>
        <v>Al Manāqil</v>
      </c>
    </row>
    <row r="35897" spans="1:6" ht="15.75" customHeight="1">
      <c r="A35897" s="16" t="s">
        <v>25005</v>
      </c>
      <c r="B35897" s="15" t="s">
        <v>25006</v>
      </c>
      <c r="C35897" s="16" t="s">
        <v>24987</v>
      </c>
      <c r="D35897" s="16" t="s">
        <v>25002</v>
      </c>
      <c r="E35897" s="2">
        <v>379149</v>
      </c>
      <c r="F35897" s="4" t="str">
        <f>IF(B35897=B35896,"",B35897)</f>
        <v>Al ManÄqil</v>
      </c>
    </row>
    <row r="35898" spans="1:6" ht="15.75" customHeight="1">
      <c r="A35898" s="16" t="str">
        <f ca="1">IFERROR(__xludf.DUMMYFUNCTION("GOOGLETRANSLATE(B36172,""en"",""pt"")"),"Al Mahbūlah")</f>
        <v>Al Mahbūlah</v>
      </c>
      <c r="B35898" s="20" t="s">
        <v>34486</v>
      </c>
      <c r="C35898" s="20" t="s">
        <v>16884</v>
      </c>
      <c r="D35898" s="20" t="s">
        <v>34485</v>
      </c>
      <c r="E35898" s="10">
        <v>285782</v>
      </c>
      <c r="F35898" s="4" t="str">
        <f>IF(B35898=B35897,"",B35898)</f>
        <v>Al Mahbūlah</v>
      </c>
    </row>
    <row r="35899" spans="1:6" ht="15.75" customHeight="1">
      <c r="A35899" s="16" t="s">
        <v>16900</v>
      </c>
      <c r="B35899" s="15" t="s">
        <v>16901</v>
      </c>
      <c r="C35899" s="16" t="s">
        <v>16884</v>
      </c>
      <c r="D35899" s="16" t="s">
        <v>16889</v>
      </c>
      <c r="E35899" s="2">
        <v>285782</v>
      </c>
      <c r="F35899" s="4" t="str">
        <f>IF(B35899=B35898,"",B35899)</f>
        <v>Al MahbÅ«lah</v>
      </c>
    </row>
    <row r="35900" spans="1:6" ht="15.75" customHeight="1">
      <c r="A35900" s="16" t="str">
        <f ca="1">IFERROR(__xludf.DUMMYFUNCTION("GOOGLETRANSLATE(B28912,""en"",""pt"")"),"Al maḩallah al kubrá")</f>
        <v>Al maḩallah al kubrá</v>
      </c>
      <c r="B35900" s="20" t="s">
        <v>32327</v>
      </c>
      <c r="C35900" s="20" t="s">
        <v>6495</v>
      </c>
      <c r="D35900" s="20" t="s">
        <v>32245</v>
      </c>
      <c r="E35900" s="10">
        <v>360829</v>
      </c>
      <c r="F35900" s="4" t="str">
        <f>IF(B35900=B35899,"",B35900)</f>
        <v>Al Maḩallah al Kubrá</v>
      </c>
    </row>
    <row r="35901" spans="1:6" ht="15.75" customHeight="1">
      <c r="A35901" s="16" t="s">
        <v>6568</v>
      </c>
      <c r="B35901" s="15" t="s">
        <v>6569</v>
      </c>
      <c r="C35901" s="16" t="s">
        <v>6495</v>
      </c>
      <c r="D35901" s="16" t="s">
        <v>6508</v>
      </c>
      <c r="E35901" s="2">
        <v>360716</v>
      </c>
      <c r="F35901" s="4" t="str">
        <f>IF(B35901=B35900,"",B35901)</f>
        <v>Al MaÅ£arÄ«yah</v>
      </c>
    </row>
    <row r="35902" spans="1:6" ht="15.75" customHeight="1">
      <c r="A35902" s="16" t="s">
        <v>6565</v>
      </c>
      <c r="B35902" s="15" t="s">
        <v>6566</v>
      </c>
      <c r="C35902" s="16" t="s">
        <v>6495</v>
      </c>
      <c r="D35902" s="16" t="s">
        <v>6567</v>
      </c>
      <c r="E35902" s="2">
        <v>360829</v>
      </c>
      <c r="F35902" s="4" t="str">
        <f>IF(B35902=B35901,"",B35902)</f>
        <v>Al Maá¸©allah al KubrÃ¡</v>
      </c>
    </row>
    <row r="35903" spans="1:6" ht="15.75" customHeight="1">
      <c r="A35903" s="16" t="s">
        <v>19766</v>
      </c>
      <c r="B35903" s="15" t="s">
        <v>19767</v>
      </c>
      <c r="C35903" s="16" t="s">
        <v>19755</v>
      </c>
      <c r="D35903" s="16" t="s">
        <v>19765</v>
      </c>
      <c r="E35903" s="2">
        <v>289174</v>
      </c>
      <c r="F35903" s="4" t="str">
        <f>IF(B35903=B35902,"",B35903)</f>
        <v>Al LiwÄâ€™</v>
      </c>
    </row>
    <row r="35904" spans="1:6" ht="15.75" customHeight="1">
      <c r="A35904" s="16" t="str">
        <f ca="1">IFERROR(__xludf.DUMMYFUNCTION("GOOGLETRANSLATE(B38272,""en"",""pt"")"),"Al Liwā '")</f>
        <v>Al Liwā '</v>
      </c>
      <c r="B35904" s="20" t="s">
        <v>34857</v>
      </c>
      <c r="C35904" s="20" t="s">
        <v>19755</v>
      </c>
      <c r="D35904" s="20" t="s">
        <v>19765</v>
      </c>
      <c r="E35904" s="10">
        <v>289174</v>
      </c>
      <c r="F35904" s="4" t="str">
        <f>IF(B35904=B35903,"",B35904)</f>
        <v>Al Liwā’</v>
      </c>
    </row>
    <row r="35905" spans="1:6" ht="15.75" customHeight="1">
      <c r="A35905" s="16" t="str">
        <f ca="1">IFERROR(__xludf.DUMMYFUNCTION("GOOGLETRANSLATE(B34319,""en"",""pt"")"),"Al Kūt")</f>
        <v>Al Kūt</v>
      </c>
      <c r="B35905" s="20" t="s">
        <v>34100</v>
      </c>
      <c r="C35905" s="20" t="s">
        <v>14594</v>
      </c>
      <c r="D35905" s="20" t="s">
        <v>34088</v>
      </c>
      <c r="E35905" s="10">
        <v>99131</v>
      </c>
      <c r="F35905" s="4" t="e">
        <f>IF(B35905=#REF!,"",B35905)</f>
        <v>#REF!</v>
      </c>
    </row>
    <row r="35906" spans="1:6" ht="15.75" customHeight="1">
      <c r="A35906" s="15" t="s">
        <v>25402</v>
      </c>
      <c r="B35906" s="15" t="s">
        <v>25402</v>
      </c>
      <c r="C35906" s="15" t="s">
        <v>25366</v>
      </c>
      <c r="D35906" s="15" t="s">
        <v>25372</v>
      </c>
      <c r="E35906" s="2">
        <v>173598</v>
      </c>
      <c r="F35906" s="4" t="e">
        <f>IF(B35906=#REF!,"",B35906)</f>
        <v>#REF!</v>
      </c>
    </row>
    <row r="35907" spans="1:6" ht="15.75" customHeight="1">
      <c r="A35907" s="15" t="s">
        <v>17087</v>
      </c>
      <c r="B35907" s="15" t="s">
        <v>17087</v>
      </c>
      <c r="C35907" s="15" t="s">
        <v>17074</v>
      </c>
      <c r="D35907" s="15" t="s">
        <v>17088</v>
      </c>
      <c r="E35907" s="2">
        <v>2219905</v>
      </c>
      <c r="F35907" s="4" t="e">
        <f>IF(B35907=#REF!,"",B35907)</f>
        <v>#REF!</v>
      </c>
    </row>
    <row r="35908" spans="1:6" ht="15.75" customHeight="1">
      <c r="A35908" s="15" t="s">
        <v>21776</v>
      </c>
      <c r="B35908" s="15" t="s">
        <v>21776</v>
      </c>
      <c r="C35908" s="15" t="s">
        <v>21777</v>
      </c>
      <c r="D35908" s="15" t="s">
        <v>21776</v>
      </c>
      <c r="E35908" s="2">
        <v>289962</v>
      </c>
      <c r="F35908" s="4" t="str">
        <f>IF(B35908=B35907,"",B35908)</f>
        <v>Al Khawr</v>
      </c>
    </row>
    <row r="35909" spans="1:6" ht="15.75" customHeight="1">
      <c r="A35909" s="16" t="str">
        <f ca="1">IFERROR(__xludf.DUMMYFUNCTION("GOOGLETRANSLATE(B28913,""en"",""pt"")"),"Al Khārijah")</f>
        <v>Al Khārijah</v>
      </c>
      <c r="B35909" s="20" t="s">
        <v>32328</v>
      </c>
      <c r="C35909" s="20" t="s">
        <v>6495</v>
      </c>
      <c r="D35909" s="20" t="s">
        <v>32329</v>
      </c>
      <c r="E35909" s="10">
        <v>360923</v>
      </c>
      <c r="F35909" s="4" t="str">
        <f>IF(B35909=B35908,"",B35909)</f>
        <v>Al Khārijah</v>
      </c>
    </row>
    <row r="35910" spans="1:6" ht="15.75" customHeight="1">
      <c r="A35910" s="16" t="str">
        <f ca="1">IFERROR(__xludf.DUMMYFUNCTION("GOOGLETRANSLATE(B28914,""en"",""pt"")"),"Al Khānkah")</f>
        <v>Al Khānkah</v>
      </c>
      <c r="B35910" s="20" t="s">
        <v>32330</v>
      </c>
      <c r="C35910" s="20" t="s">
        <v>6495</v>
      </c>
      <c r="D35910" s="20" t="s">
        <v>32246</v>
      </c>
      <c r="E35910" s="10">
        <v>360928</v>
      </c>
      <c r="F35910" s="4" t="str">
        <f>IF(B35910=B35909,"",B35910)</f>
        <v>Al Khānkah</v>
      </c>
    </row>
    <row r="35911" spans="1:6" ht="15.75" customHeight="1">
      <c r="A35911" s="16" t="str">
        <f ca="1">IFERROR(__xludf.DUMMYFUNCTION("GOOGLETRANSLATE(B41054,""en"",""pt"")"),"Al Khafjī")</f>
        <v>Al Khafjī</v>
      </c>
      <c r="B35911" s="20" t="s">
        <v>35592</v>
      </c>
      <c r="C35911" s="20" t="s">
        <v>23454</v>
      </c>
      <c r="D35911" s="20" t="s">
        <v>6128</v>
      </c>
      <c r="E35911" s="10">
        <v>109380</v>
      </c>
      <c r="F35911" s="4" t="str">
        <f>IF(B35911=B35910,"",B35911)</f>
        <v>Al Khafjī</v>
      </c>
    </row>
    <row r="35912" spans="1:6" ht="15.75" customHeight="1">
      <c r="A35912" s="16" t="s">
        <v>23492</v>
      </c>
      <c r="B35912" s="15" t="s">
        <v>23493</v>
      </c>
      <c r="C35912" s="16" t="s">
        <v>23454</v>
      </c>
      <c r="D35912" s="16" t="s">
        <v>6128</v>
      </c>
      <c r="E35912" s="2">
        <v>109380</v>
      </c>
      <c r="F35912" s="4" t="str">
        <f>IF(B35912=B35911,"",B35912)</f>
        <v>Al KhafjÄ«</v>
      </c>
    </row>
    <row r="35913" spans="1:6" ht="15.75" customHeight="1">
      <c r="A35913" s="16" t="str">
        <f ca="1">IFERROR(__xludf.DUMMYFUNCTION("GOOGLETRANSLATE(B38273,""en"",""pt"")"),"Al Khābūrah")</f>
        <v>Al Khābūrah</v>
      </c>
      <c r="B35913" s="20" t="s">
        <v>34858</v>
      </c>
      <c r="C35913" s="20" t="s">
        <v>19755</v>
      </c>
      <c r="D35913" s="20" t="s">
        <v>19765</v>
      </c>
      <c r="E35913" s="10">
        <v>289199</v>
      </c>
      <c r="F35913" s="4" t="str">
        <f>IF(B35913=B35912,"",B35913)</f>
        <v>Al Khābūrah</v>
      </c>
    </row>
    <row r="35914" spans="1:6" ht="15.75" customHeight="1">
      <c r="A35914" s="16" t="s">
        <v>6562</v>
      </c>
      <c r="B35914" s="15" t="s">
        <v>6563</v>
      </c>
      <c r="C35914" s="16" t="s">
        <v>6495</v>
      </c>
      <c r="D35914" s="16" t="s">
        <v>6564</v>
      </c>
      <c r="E35914" s="2">
        <v>360923</v>
      </c>
      <c r="F35914" s="4" t="str">
        <f>IF(B35914=B35913,"",B35914)</f>
        <v>Al KhÄrijah</v>
      </c>
    </row>
    <row r="35915" spans="1:6" ht="15.75" customHeight="1">
      <c r="A35915" s="16" t="s">
        <v>6559</v>
      </c>
      <c r="B35915" s="15" t="s">
        <v>6560</v>
      </c>
      <c r="C35915" s="16" t="s">
        <v>6495</v>
      </c>
      <c r="D35915" s="16" t="s">
        <v>6561</v>
      </c>
      <c r="E35915" s="2">
        <v>360928</v>
      </c>
      <c r="F35915" s="4" t="str">
        <f>IF(B35915=B35914,"",B35915)</f>
        <v>Al KhÄnkah</v>
      </c>
    </row>
    <row r="35916" spans="1:6" ht="15.75" customHeight="1">
      <c r="A35916" s="16" t="s">
        <v>19763</v>
      </c>
      <c r="B35916" s="15" t="s">
        <v>19764</v>
      </c>
      <c r="C35916" s="16" t="s">
        <v>19755</v>
      </c>
      <c r="D35916" s="16" t="s">
        <v>19765</v>
      </c>
      <c r="E35916" s="2">
        <v>289199</v>
      </c>
      <c r="F35916" s="4" t="str">
        <f>IF(B35916=B35915,"",B35916)</f>
        <v>Al KhÄbÅ«rah</v>
      </c>
    </row>
    <row r="35917" spans="1:6" ht="15.75" customHeight="1">
      <c r="A35917" s="15" t="s">
        <v>14642</v>
      </c>
      <c r="B35917" s="15" t="s">
        <v>14643</v>
      </c>
      <c r="C35917" s="15" t="s">
        <v>14594</v>
      </c>
      <c r="D35917" s="15" t="s">
        <v>14612</v>
      </c>
      <c r="E35917" s="2">
        <v>99131</v>
      </c>
      <c r="F35917" s="4" t="str">
        <f>IF(B35917=B35916,"",B35917)</f>
        <v>Al KÅ«t</v>
      </c>
    </row>
    <row r="35918" spans="1:6" ht="15.75" customHeight="1">
      <c r="A35918" s="16" t="str">
        <f ca="1">IFERROR(__xludf.DUMMYFUNCTION("GOOGLETRANSLATE(B41055,""en"",""pt"")"),"Al Jumūm")</f>
        <v>Al Jumūm</v>
      </c>
      <c r="B35918" s="20" t="s">
        <v>35593</v>
      </c>
      <c r="C35918" s="20" t="s">
        <v>23454</v>
      </c>
      <c r="D35918" s="20" t="s">
        <v>23491</v>
      </c>
      <c r="E35918" s="10">
        <v>109417</v>
      </c>
      <c r="F35918" s="4" t="str">
        <f>IF(B35918=B35917,"",B35918)</f>
        <v>Al Jumūm</v>
      </c>
    </row>
    <row r="35919" spans="1:6" ht="15.75" customHeight="1">
      <c r="A35919" s="16" t="s">
        <v>23489</v>
      </c>
      <c r="B35919" s="15" t="s">
        <v>23490</v>
      </c>
      <c r="C35919" s="16" t="s">
        <v>23454</v>
      </c>
      <c r="D35919" s="16" t="s">
        <v>23491</v>
      </c>
      <c r="E35919" s="2">
        <v>109417</v>
      </c>
      <c r="F35919" s="4" t="e">
        <f>IF(B35919=#REF!,"",B35919)</f>
        <v>#REF!</v>
      </c>
    </row>
    <row r="35920" spans="1:6" ht="15.75" customHeight="1">
      <c r="A35920" s="15" t="s">
        <v>23488</v>
      </c>
      <c r="B35920" s="15" t="s">
        <v>23488</v>
      </c>
      <c r="C35920" s="15" t="s">
        <v>23454</v>
      </c>
      <c r="D35920" s="15" t="s">
        <v>6128</v>
      </c>
      <c r="E35920" s="2">
        <v>109435</v>
      </c>
      <c r="F35920" s="4" t="e">
        <f>IF(B35920=#REF!,"",B35920)</f>
        <v>#REF!</v>
      </c>
    </row>
    <row r="35921" spans="1:6" ht="15.75" customHeight="1">
      <c r="A35921" s="16" t="s">
        <v>16634</v>
      </c>
      <c r="B35921" s="15" t="s">
        <v>16634</v>
      </c>
      <c r="C35921" s="16" t="s">
        <v>16624</v>
      </c>
      <c r="D35921" s="16" t="s">
        <v>16635</v>
      </c>
      <c r="E35921" s="2">
        <v>250637</v>
      </c>
      <c r="F35921" s="4" t="str">
        <f>IF(B35921=B35920,"",B35921)</f>
        <v>Al Jubayhah</v>
      </c>
    </row>
    <row r="35922" spans="1:6" ht="15.75" customHeight="1">
      <c r="A35922" s="16" t="str">
        <f ca="1">IFERROR(__xludf.DUMMYFUNCTION("GOOGLETRANSLATE(B28915,""en"",""pt"")"),"Al Jīzah")</f>
        <v>Al Jīzah</v>
      </c>
      <c r="B35922" s="20" t="s">
        <v>32279</v>
      </c>
      <c r="C35922" s="20" t="s">
        <v>6495</v>
      </c>
      <c r="D35922" s="20" t="s">
        <v>32279</v>
      </c>
      <c r="E35922" s="10">
        <v>360995</v>
      </c>
      <c r="F35922" s="4" t="e">
        <f>IF(B35922=#REF!,"",B35922)</f>
        <v>#REF!</v>
      </c>
    </row>
    <row r="35923" spans="1:6" ht="15.75" customHeight="1">
      <c r="A35923" s="15" t="s">
        <v>17085</v>
      </c>
      <c r="B35923" s="15" t="s">
        <v>17085</v>
      </c>
      <c r="C35923" s="15" t="s">
        <v>17074</v>
      </c>
      <c r="D35923" s="15" t="s">
        <v>17086</v>
      </c>
      <c r="E35923" s="2">
        <v>88962</v>
      </c>
      <c r="F35923" s="4" t="str">
        <f>IF(B35923=B35922,"",B35923)</f>
        <v>Al Jawf</v>
      </c>
    </row>
    <row r="35924" spans="1:6" ht="15.75" customHeight="1">
      <c r="A35924" s="16" t="str">
        <f ca="1">IFERROR(__xludf.DUMMYFUNCTION("GOOGLETRANSLATE(B28916,""en"",""pt"")"),"Al Jamālīyah")</f>
        <v>Al Jamālīyah</v>
      </c>
      <c r="B35924" s="20" t="s">
        <v>32331</v>
      </c>
      <c r="C35924" s="20" t="s">
        <v>6495</v>
      </c>
      <c r="D35924" s="20" t="s">
        <v>32250</v>
      </c>
      <c r="E35924" s="10">
        <v>361029</v>
      </c>
      <c r="F35924" s="4" t="str">
        <f>IF(B35924=B35923,"",B35924)</f>
        <v>Al Jamālīyah</v>
      </c>
    </row>
    <row r="35925" spans="1:6" ht="15.75" customHeight="1">
      <c r="A35925" s="16" t="s">
        <v>6557</v>
      </c>
      <c r="B35925" s="15" t="s">
        <v>6558</v>
      </c>
      <c r="C35925" s="16" t="s">
        <v>6495</v>
      </c>
      <c r="D35925" s="16" t="s">
        <v>6508</v>
      </c>
      <c r="E35925" s="2">
        <v>361029</v>
      </c>
      <c r="F35925" s="4" t="str">
        <f>IF(B35925=B35924,"",B35925)</f>
        <v>Al JamÄlÄ«yah</v>
      </c>
    </row>
    <row r="35926" spans="1:6" ht="15.75" customHeight="1">
      <c r="A35926" s="15" t="s">
        <v>16897</v>
      </c>
      <c r="B35926" s="15" t="s">
        <v>16898</v>
      </c>
      <c r="C35926" s="15" t="s">
        <v>16884</v>
      </c>
      <c r="D35926" s="15" t="s">
        <v>16899</v>
      </c>
      <c r="E35926" s="2">
        <v>285799</v>
      </c>
      <c r="F35926" s="4" t="str">
        <f>IF(B35926=B35925,"",B35926)</f>
        <v>Al JahrÄâ€™</v>
      </c>
    </row>
    <row r="35927" spans="1:6" ht="15.75" customHeight="1">
      <c r="A35927" s="16" t="str">
        <f ca="1">IFERROR(__xludf.DUMMYFUNCTION("GOOGLETRANSLATE(B36174,""en"",""pt"")"),"Al Jahrā '")</f>
        <v>Al Jahrā '</v>
      </c>
      <c r="B35927" s="20" t="s">
        <v>34487</v>
      </c>
      <c r="C35927" s="20" t="s">
        <v>16884</v>
      </c>
      <c r="D35927" s="20" t="s">
        <v>34488</v>
      </c>
      <c r="E35927" s="10">
        <v>285799</v>
      </c>
      <c r="F35927" s="4" t="str">
        <f>IF(B35927=B35926,"",B35927)</f>
        <v>Al Jahrā’</v>
      </c>
    </row>
    <row r="35928" spans="1:6" ht="15.75" customHeight="1">
      <c r="A35928" s="16" t="str">
        <f ca="1">IFERROR(__xludf.DUMMYFUNCTION("GOOGLETRANSLATE(B36452,""en"",""pt"")"),"Al Jadīd")</f>
        <v>Al Jadīd</v>
      </c>
      <c r="B35928" s="20" t="s">
        <v>34581</v>
      </c>
      <c r="C35928" s="20" t="s">
        <v>17074</v>
      </c>
      <c r="D35928" s="20" t="s">
        <v>34571</v>
      </c>
      <c r="E35928" s="10">
        <v>2219960</v>
      </c>
      <c r="F35928" s="4" t="str">
        <f>IF(B35928=B35927,"",B35928)</f>
        <v>Al Jadīd</v>
      </c>
    </row>
    <row r="35929" spans="1:6" ht="15.75" customHeight="1">
      <c r="A35929" s="16" t="s">
        <v>17082</v>
      </c>
      <c r="B35929" s="15" t="s">
        <v>17083</v>
      </c>
      <c r="C35929" s="16" t="s">
        <v>17074</v>
      </c>
      <c r="D35929" s="16" t="s">
        <v>17084</v>
      </c>
      <c r="E35929" s="2">
        <v>2219960</v>
      </c>
      <c r="F35929" s="4" t="str">
        <f>IF(B35929=B35928,"",B35929)</f>
        <v>Al JadÄ«d</v>
      </c>
    </row>
    <row r="35930" spans="1:6" ht="15.75" customHeight="1">
      <c r="A35930" s="16" t="s">
        <v>6556</v>
      </c>
      <c r="B35930" s="15" t="s">
        <v>6513</v>
      </c>
      <c r="C35930" s="16" t="s">
        <v>6495</v>
      </c>
      <c r="D35930" s="16" t="s">
        <v>6513</v>
      </c>
      <c r="E35930" s="2">
        <v>360995</v>
      </c>
      <c r="F35930" s="4" t="str">
        <f>IF(B35930=B35929,"",B35930)</f>
        <v>Al JÄ«zah</v>
      </c>
    </row>
    <row r="35931" spans="1:6" ht="15.75" customHeight="1">
      <c r="A35931" s="16" t="str">
        <f ca="1">IFERROR(__xludf.DUMMYFUNCTION("GOOGLETRANSLATE(B28919,""en"",""pt"")"),"Al Ibrāhīmīyah")</f>
        <v>Al Ibrāhīmīyah</v>
      </c>
      <c r="B35931" s="20" t="s">
        <v>32332</v>
      </c>
      <c r="C35931" s="20" t="s">
        <v>6495</v>
      </c>
      <c r="D35931" s="20" t="s">
        <v>6128</v>
      </c>
      <c r="E35931" s="10">
        <v>361103</v>
      </c>
      <c r="F35931" s="4" t="str">
        <f>IF(B35931=B35930,"",B35931)</f>
        <v>Al Ibrāhīmīyah</v>
      </c>
    </row>
    <row r="35932" spans="1:6" ht="15.75" customHeight="1">
      <c r="A35932" s="16" t="s">
        <v>6554</v>
      </c>
      <c r="B35932" s="15" t="s">
        <v>6555</v>
      </c>
      <c r="C35932" s="16" t="s">
        <v>6495</v>
      </c>
      <c r="D35932" s="16" t="s">
        <v>6128</v>
      </c>
      <c r="E35932" s="2">
        <v>361103</v>
      </c>
      <c r="F35932" s="4" t="str">
        <f>IF(B35932=B35931,"",B35932)</f>
        <v>Al IbrÄhÄ«mÄ«yah</v>
      </c>
    </row>
    <row r="35933" spans="1:6" ht="15.75" customHeight="1">
      <c r="A35933" s="16" t="str">
        <f ca="1">IFERROR(__xludf.DUMMYFUNCTION("GOOGLETRANSLATE(B41057,""en"",""pt"")"),"Al Hufūf")</f>
        <v>Al Hufūf</v>
      </c>
      <c r="B35933" s="20" t="s">
        <v>35594</v>
      </c>
      <c r="C35933" s="20" t="s">
        <v>23454</v>
      </c>
      <c r="D35933" s="20" t="s">
        <v>6128</v>
      </c>
      <c r="E35933" s="10">
        <v>109571</v>
      </c>
      <c r="F35933" s="4" t="str">
        <f>IF(B35933=B35932,"",B35933)</f>
        <v>Al Hufūf</v>
      </c>
    </row>
    <row r="35934" spans="1:6" ht="15.75" customHeight="1">
      <c r="A35934" s="15" t="s">
        <v>23486</v>
      </c>
      <c r="B35934" s="15" t="s">
        <v>23487</v>
      </c>
      <c r="C35934" s="15" t="s">
        <v>23454</v>
      </c>
      <c r="D35934" s="15" t="s">
        <v>6128</v>
      </c>
      <c r="E35934" s="2">
        <v>109571</v>
      </c>
      <c r="F35934" s="4" t="str">
        <f>IF(B35934=B35933,"",B35934)</f>
        <v>Al HufÅ«f</v>
      </c>
    </row>
    <row r="35935" spans="1:6" ht="15.75" customHeight="1">
      <c r="A35935" s="16" t="str">
        <f ca="1">IFERROR(__xludf.DUMMYFUNCTION("GOOGLETRANSLATE(B45835,""en"",""pt"")"),"Al ḩudaydah")</f>
        <v>Al ḩudaydah</v>
      </c>
      <c r="B35935" s="20" t="s">
        <v>36229</v>
      </c>
      <c r="C35935" s="20" t="s">
        <v>30993</v>
      </c>
      <c r="D35935" s="20" t="s">
        <v>36213</v>
      </c>
      <c r="E35935" s="10">
        <v>79415</v>
      </c>
      <c r="F35935" s="4" t="str">
        <f>IF(B35935=B35934,"",B35935)</f>
        <v>Al Ḩudaydah</v>
      </c>
    </row>
    <row r="35936" spans="1:6" ht="15.75" customHeight="1">
      <c r="A35936" s="16" t="str">
        <f ca="1">IFERROR(__xludf.DUMMYFUNCTION("GOOGLETRANSLATE(B36518,""en"",""pt"")"),"Al Hoceïma")</f>
        <v>Al Hoceïma</v>
      </c>
      <c r="B35936" s="20" t="s">
        <v>34596</v>
      </c>
      <c r="C35936" s="20" t="s">
        <v>18551</v>
      </c>
      <c r="D35936" s="20" t="s">
        <v>18557</v>
      </c>
      <c r="E35936" s="10">
        <v>2558545</v>
      </c>
      <c r="F35936" s="4" t="str">
        <f>IF(B35936=B35935,"",B35936)</f>
        <v>Al Hoceïma</v>
      </c>
    </row>
    <row r="35937" spans="1:6" ht="15.75" customHeight="1">
      <c r="A35937" s="15" t="s">
        <v>18555</v>
      </c>
      <c r="B35937" s="15" t="s">
        <v>18556</v>
      </c>
      <c r="C35937" s="15" t="s">
        <v>18551</v>
      </c>
      <c r="D35937" s="15" t="s">
        <v>18557</v>
      </c>
      <c r="E35937" s="2">
        <v>2558545</v>
      </c>
      <c r="F35937" s="4" t="str">
        <f>IF(B35937=B35936,"",B35937)</f>
        <v>Al HoceÃ¯ma</v>
      </c>
    </row>
    <row r="35938" spans="1:6" ht="15.75" customHeight="1">
      <c r="A35938" s="16" t="str">
        <f ca="1">IFERROR(__xludf.DUMMYFUNCTION("GOOGLETRANSLATE(B34323,""en"",""pt"")"),"Al Hindīyah")</f>
        <v>Al Hindīyah</v>
      </c>
      <c r="B35938" s="20" t="s">
        <v>34103</v>
      </c>
      <c r="C35938" s="20" t="s">
        <v>14594</v>
      </c>
      <c r="D35938" s="20" t="s">
        <v>34080</v>
      </c>
      <c r="E35938" s="10">
        <v>99344</v>
      </c>
      <c r="F35938" s="4" t="str">
        <f>IF(B35938=B35937,"",B35938)</f>
        <v>Al Hindīyah</v>
      </c>
    </row>
    <row r="35939" spans="1:6" ht="15.75" customHeight="1">
      <c r="A35939" s="16" t="s">
        <v>14639</v>
      </c>
      <c r="B35939" s="15" t="s">
        <v>14640</v>
      </c>
      <c r="C35939" s="16" t="s">
        <v>14594</v>
      </c>
      <c r="D35939" s="16" t="s">
        <v>14641</v>
      </c>
      <c r="E35939" s="2">
        <v>99344</v>
      </c>
      <c r="F35939" s="4" t="str">
        <f>IF(B35939=B35938,"",B35939)</f>
        <v>Al HindÄ«yah</v>
      </c>
    </row>
    <row r="35940" spans="1:6" ht="15.75" customHeight="1">
      <c r="A35940" s="16" t="str">
        <f ca="1">IFERROR(__xludf.DUMMYFUNCTION("GOOGLETRANSLATE(B34324,""en"",""pt"")"),"Al ḩillah")</f>
        <v>Al ḩillah</v>
      </c>
      <c r="B35940" s="20" t="s">
        <v>34104</v>
      </c>
      <c r="C35940" s="20" t="s">
        <v>14594</v>
      </c>
      <c r="D35940" s="20" t="s">
        <v>34073</v>
      </c>
      <c r="E35940" s="10">
        <v>99347</v>
      </c>
      <c r="F35940" s="4" t="str">
        <f>IF(B35940=B35939,"",B35940)</f>
        <v>Al Ḩillah</v>
      </c>
    </row>
    <row r="35941" spans="1:6" ht="15.75" customHeight="1">
      <c r="A35941" s="16" t="str">
        <f ca="1">IFERROR(__xludf.DUMMYFUNCTION("GOOGLETRANSLATE(B41105,""en"",""pt"")"),"Al Hilāliyya")</f>
        <v>Al Hilāliyya</v>
      </c>
      <c r="B35941" s="20" t="s">
        <v>35616</v>
      </c>
      <c r="C35941" s="20" t="s">
        <v>24987</v>
      </c>
      <c r="D35941" s="20" t="s">
        <v>35603</v>
      </c>
      <c r="E35941" s="10">
        <v>379406</v>
      </c>
      <c r="F35941" s="4" t="str">
        <f>IF(B35941=B35940,"",B35941)</f>
        <v>Al Hilāliyya</v>
      </c>
    </row>
    <row r="35942" spans="1:6" ht="15.75" customHeight="1">
      <c r="A35942" s="16" t="s">
        <v>25003</v>
      </c>
      <c r="B35942" s="15" t="s">
        <v>25004</v>
      </c>
      <c r="C35942" s="16" t="s">
        <v>24987</v>
      </c>
      <c r="D35942" s="16" t="s">
        <v>25002</v>
      </c>
      <c r="E35942" s="2">
        <v>379406</v>
      </c>
      <c r="F35942" s="4" t="str">
        <f>IF(B35942=B35941,"",B35942)</f>
        <v>Al HilÄliyya</v>
      </c>
    </row>
    <row r="35943" spans="1:6" ht="15.75" customHeight="1">
      <c r="A35943" s="16" t="str">
        <f ca="1">IFERROR(__xludf.DUMMYFUNCTION("GOOGLETRANSLATE(B45836,""en"",""pt"")"),"Al ḩazm")</f>
        <v>Al ḩazm</v>
      </c>
      <c r="B35943" s="20" t="s">
        <v>36230</v>
      </c>
      <c r="C35943" s="20" t="s">
        <v>30993</v>
      </c>
      <c r="D35943" s="20" t="s">
        <v>17085</v>
      </c>
      <c r="E35943" s="10">
        <v>79455</v>
      </c>
      <c r="F35943" s="4" t="str">
        <f>IF(B35943=B35942,"",B35943)</f>
        <v>Al Ḩazm</v>
      </c>
    </row>
    <row r="35944" spans="1:6" ht="15.75" customHeight="1">
      <c r="A35944" s="16" t="str">
        <f ca="1">IFERROR(__xludf.DUMMYFUNCTION("GOOGLETRANSLATE(B34325,""en"",""pt"")"),"Al ḩayy")</f>
        <v>Al ḩayy</v>
      </c>
      <c r="B35944" s="20" t="s">
        <v>34105</v>
      </c>
      <c r="C35944" s="20" t="s">
        <v>14594</v>
      </c>
      <c r="D35944" s="20" t="s">
        <v>34088</v>
      </c>
      <c r="E35944" s="10">
        <v>99350</v>
      </c>
      <c r="F35944" s="4" t="str">
        <f>IF(B35944=B35943,"",B35944)</f>
        <v>Al Ḩayy</v>
      </c>
    </row>
    <row r="35945" spans="1:6" ht="15.75" customHeight="1">
      <c r="A35945" s="16" t="str">
        <f ca="1">IFERROR(__xludf.DUMMYFUNCTION("GOOGLETRANSLATE(B41106,""en"",""pt"")"),"Al ḩawātah")</f>
        <v>Al ḩawātah</v>
      </c>
      <c r="B35945" s="20" t="s">
        <v>35617</v>
      </c>
      <c r="C35945" s="20" t="s">
        <v>24987</v>
      </c>
      <c r="D35945" s="20" t="s">
        <v>35610</v>
      </c>
      <c r="E35945" s="10">
        <v>379416</v>
      </c>
      <c r="F35945" s="4" t="str">
        <f>IF(B35945=B35944,"",B35945)</f>
        <v>Al Ḩawātah</v>
      </c>
    </row>
    <row r="35946" spans="1:6" ht="15.75" customHeight="1">
      <c r="A35946" s="16" t="str">
        <f ca="1">IFERROR(__xludf.DUMMYFUNCTION("GOOGLETRANSLATE(B28920,""en"",""pt"")"),"Al ḩawāmidīyah")</f>
        <v>Al ḩawāmidīyah</v>
      </c>
      <c r="B35946" s="20" t="s">
        <v>32333</v>
      </c>
      <c r="C35946" s="20" t="s">
        <v>6495</v>
      </c>
      <c r="D35946" s="20" t="s">
        <v>32279</v>
      </c>
      <c r="E35946" s="10">
        <v>361179</v>
      </c>
      <c r="F35946" s="4" t="str">
        <f>IF(B35946=B35945,"",B35946)</f>
        <v>Al Ḩawāmidīyah</v>
      </c>
    </row>
    <row r="35947" spans="1:6" ht="15.75" customHeight="1">
      <c r="A35947" s="16" t="str">
        <f ca="1">IFERROR(__xludf.DUMMYFUNCTION("GOOGLETRANSLATE(B41458,""en"",""pt"")"),"Al ḩasakah")</f>
        <v>Al ḩasakah</v>
      </c>
      <c r="B35947" s="20" t="s">
        <v>35763</v>
      </c>
      <c r="C35947" s="20" t="s">
        <v>25366</v>
      </c>
      <c r="D35947" s="20" t="s">
        <v>25395</v>
      </c>
      <c r="E35947" s="10">
        <v>173811</v>
      </c>
      <c r="F35947" s="4" t="e">
        <f>IF(B35947=#REF!,"",B35947)</f>
        <v>#REF!</v>
      </c>
    </row>
    <row r="35948" spans="1:6" ht="15.75" customHeight="1">
      <c r="A35948" s="16" t="s">
        <v>25001</v>
      </c>
      <c r="B35948" s="15" t="s">
        <v>25001</v>
      </c>
      <c r="C35948" s="16" t="s">
        <v>24987</v>
      </c>
      <c r="D35948" s="16" t="s">
        <v>25002</v>
      </c>
      <c r="E35948" s="2">
        <v>379427</v>
      </c>
      <c r="F35948" s="4" t="str">
        <f>IF(B35948=B35947,"",B35948)</f>
        <v>Al Hasaheisa</v>
      </c>
    </row>
    <row r="35949" spans="1:6" ht="15.75" customHeight="1">
      <c r="A35949" s="16" t="str">
        <f ca="1">IFERROR(__xludf.DUMMYFUNCTION("GOOGLETRANSLATE(B34326,""en"",""pt"")"),"Al Hārithah")</f>
        <v>Al Hārithah</v>
      </c>
      <c r="B35949" s="20" t="s">
        <v>34106</v>
      </c>
      <c r="C35949" s="20" t="s">
        <v>14594</v>
      </c>
      <c r="D35949" s="20" t="s">
        <v>14632</v>
      </c>
      <c r="E35949" s="10">
        <v>99369</v>
      </c>
      <c r="F35949" s="4" t="str">
        <f>IF(B35949=B35948,"",B35949)</f>
        <v>Al Hārithah</v>
      </c>
    </row>
    <row r="35950" spans="1:6" ht="15.75" customHeight="1">
      <c r="A35950" s="16" t="str">
        <f ca="1">IFERROR(__xludf.DUMMYFUNCTION("GOOGLETRANSLATE(B41459,""en"",""pt"")"),"Al ḩarāk")</f>
        <v>Al ḩarāk</v>
      </c>
      <c r="B35950" s="20" t="s">
        <v>35764</v>
      </c>
      <c r="C35950" s="20" t="s">
        <v>25366</v>
      </c>
      <c r="D35950" s="20" t="s">
        <v>25375</v>
      </c>
      <c r="E35950" s="10">
        <v>173819</v>
      </c>
      <c r="F35950" s="4" t="str">
        <f>IF(B35950=B35949,"",B35950)</f>
        <v>Al Ḩarāk</v>
      </c>
    </row>
    <row r="35951" spans="1:6" ht="15.75" customHeight="1">
      <c r="A35951" s="16" t="str">
        <f ca="1">IFERROR(__xludf.DUMMYFUNCTION("GOOGLETRANSLATE(B28921,""en"",""pt"")"),"Al ḩāmūl")</f>
        <v>Al ḩāmūl</v>
      </c>
      <c r="B35951" s="20" t="s">
        <v>32334</v>
      </c>
      <c r="C35951" s="20" t="s">
        <v>6495</v>
      </c>
      <c r="D35951" s="20" t="s">
        <v>6536</v>
      </c>
      <c r="E35951" s="10">
        <v>361213</v>
      </c>
      <c r="F35951" s="4" t="str">
        <f>IF(B35951=B35950,"",B35951)</f>
        <v>Al Ḩāmūl</v>
      </c>
    </row>
    <row r="35952" spans="1:6" ht="15.75" customHeight="1">
      <c r="A35952" s="16" t="s">
        <v>14637</v>
      </c>
      <c r="B35952" s="15" t="s">
        <v>14638</v>
      </c>
      <c r="C35952" s="16" t="s">
        <v>14594</v>
      </c>
      <c r="D35952" s="16" t="s">
        <v>14632</v>
      </c>
      <c r="E35952" s="2">
        <v>99369</v>
      </c>
      <c r="F35952" s="4" t="e">
        <f>IF(B35952=#REF!,"",B35952)</f>
        <v>#REF!</v>
      </c>
    </row>
    <row r="35953" spans="1:6" ht="15.75" customHeight="1">
      <c r="A35953" s="16" t="s">
        <v>27219</v>
      </c>
      <c r="B35953" s="15" t="s">
        <v>27219</v>
      </c>
      <c r="C35953" s="16" t="s">
        <v>27213</v>
      </c>
      <c r="D35953" s="16" t="s">
        <v>27219</v>
      </c>
      <c r="E35953" s="2">
        <v>292878</v>
      </c>
      <c r="F35953" s="4" t="str">
        <f>IF(B35953=B35952,"",B35953)</f>
        <v>Al Fujayrah</v>
      </c>
    </row>
    <row r="35954" spans="1:6" ht="15.75" customHeight="1">
      <c r="A35954" s="16" t="str">
        <f ca="1">IFERROR(__xludf.DUMMYFUNCTION("GOOGLETRANSLATE(B36176,""en"",""pt"")"),"Al Finţās")</f>
        <v>Al Finţās</v>
      </c>
      <c r="B35954" s="20" t="s">
        <v>34490</v>
      </c>
      <c r="C35954" s="20" t="s">
        <v>16884</v>
      </c>
      <c r="D35954" s="20" t="s">
        <v>34485</v>
      </c>
      <c r="E35954" s="10">
        <v>285812</v>
      </c>
      <c r="F35954" s="4" t="str">
        <f>IF(B35954=B35953,"",B35954)</f>
        <v>Al Finţās</v>
      </c>
    </row>
    <row r="35955" spans="1:6" ht="15.75" customHeight="1">
      <c r="A35955" s="16" t="s">
        <v>16895</v>
      </c>
      <c r="B35955" s="15" t="s">
        <v>16896</v>
      </c>
      <c r="C35955" s="16" t="s">
        <v>16884</v>
      </c>
      <c r="D35955" s="16" t="s">
        <v>16889</v>
      </c>
      <c r="E35955" s="2">
        <v>285812</v>
      </c>
      <c r="F35955" s="4" t="str">
        <f>IF(B35955=B35954,"",B35955)</f>
        <v>Al FinÅ£Äs</v>
      </c>
    </row>
    <row r="35956" spans="1:6" ht="15.75" customHeight="1">
      <c r="A35956" s="16" t="str">
        <f ca="1">IFERROR(__xludf.DUMMYFUNCTION("GOOGLETRANSLATE(B28923,""en"",""pt"")"),"Al Fayyūm")</f>
        <v>Al Fayyūm</v>
      </c>
      <c r="B35956" s="20" t="s">
        <v>32335</v>
      </c>
      <c r="C35956" s="20" t="s">
        <v>6495</v>
      </c>
      <c r="D35956" s="20" t="s">
        <v>32248</v>
      </c>
      <c r="E35956" s="10">
        <v>361320</v>
      </c>
      <c r="F35956" s="4" t="str">
        <f>IF(B35956=B35955,"",B35956)</f>
        <v>Al Fayyūm</v>
      </c>
    </row>
    <row r="35957" spans="1:6" ht="15.75" customHeight="1">
      <c r="A35957" s="16" t="s">
        <v>6552</v>
      </c>
      <c r="B35957" s="15" t="s">
        <v>6553</v>
      </c>
      <c r="C35957" s="16" t="s">
        <v>6495</v>
      </c>
      <c r="D35957" s="16" t="s">
        <v>6502</v>
      </c>
      <c r="E35957" s="2">
        <v>361320</v>
      </c>
      <c r="F35957" s="4" t="str">
        <f>IF(B35957=B35956,"",B35957)</f>
        <v>Al FayyÅ«m</v>
      </c>
    </row>
    <row r="35958" spans="1:6" ht="15.75" customHeight="1">
      <c r="A35958" s="16" t="str">
        <f ca="1">IFERROR(__xludf.DUMMYFUNCTION("GOOGLETRANSLATE(B34329,""en"",""pt"")"),"Al fāw")</f>
        <v>Al fāw</v>
      </c>
      <c r="B35958" s="20" t="s">
        <v>34108</v>
      </c>
      <c r="C35958" s="20" t="s">
        <v>14594</v>
      </c>
      <c r="D35958" s="20" t="s">
        <v>14632</v>
      </c>
      <c r="E35958" s="10">
        <v>99446</v>
      </c>
      <c r="F35958" s="4" t="e">
        <f>IF(B35958=#REF!,"",B35958)</f>
        <v>#REF!</v>
      </c>
    </row>
    <row r="35959" spans="1:6" ht="15.75" customHeight="1">
      <c r="A35959" s="15" t="s">
        <v>6550</v>
      </c>
      <c r="B35959" s="15" t="s">
        <v>6550</v>
      </c>
      <c r="C35959" s="15" t="s">
        <v>6495</v>
      </c>
      <c r="D35959" s="15" t="s">
        <v>6551</v>
      </c>
      <c r="E35959" s="2">
        <v>361329</v>
      </c>
      <c r="F35959" s="4" t="str">
        <f>IF(B35959=B35958,"",B35959)</f>
        <v>Al Fashn</v>
      </c>
    </row>
    <row r="35960" spans="1:6" ht="15.75" customHeight="1">
      <c r="A35960" s="16" t="str">
        <f ca="1">IFERROR(__xludf.DUMMYFUNCTION("GOOGLETRANSLATE(B36177,""en"",""pt"")"),"Al Farwānīyah")</f>
        <v>Al Farwānīyah</v>
      </c>
      <c r="B35960" s="20" t="s">
        <v>34491</v>
      </c>
      <c r="C35960" s="20" t="s">
        <v>16884</v>
      </c>
      <c r="D35960" s="20" t="s">
        <v>16894</v>
      </c>
      <c r="E35960" s="10">
        <v>285815</v>
      </c>
      <c r="F35960" s="4" t="str">
        <f>IF(B35960=B35959,"",B35960)</f>
        <v>Al Farwānīyah</v>
      </c>
    </row>
    <row r="35961" spans="1:6" ht="15.75" customHeight="1">
      <c r="A35961" s="16" t="s">
        <v>16892</v>
      </c>
      <c r="B35961" s="15" t="s">
        <v>16893</v>
      </c>
      <c r="C35961" s="16" t="s">
        <v>16884</v>
      </c>
      <c r="D35961" s="16" t="s">
        <v>16894</v>
      </c>
      <c r="E35961" s="2">
        <v>285815</v>
      </c>
      <c r="F35961" s="4" t="str">
        <f>IF(B35961=B35960,"",B35961)</f>
        <v>Al FarwÄnÄ«yah</v>
      </c>
    </row>
    <row r="35962" spans="1:6" ht="15.75" customHeight="1">
      <c r="A35962" s="16" t="str">
        <f ca="1">IFERROR(__xludf.DUMMYFUNCTION("GOOGLETRANSLATE(B34330,""en"",""pt"")"),"Al Fallūjah")</f>
        <v>Al Fallūjah</v>
      </c>
      <c r="B35962" s="20" t="s">
        <v>34109</v>
      </c>
      <c r="C35962" s="20" t="s">
        <v>14594</v>
      </c>
      <c r="D35962" s="20" t="s">
        <v>14595</v>
      </c>
      <c r="E35962" s="10">
        <v>99454</v>
      </c>
      <c r="F35962" s="4" t="str">
        <f>IF(B35962=B35961,"",B35962)</f>
        <v>Al Fallūjah</v>
      </c>
    </row>
    <row r="35963" spans="1:6" ht="15.75" customHeight="1">
      <c r="A35963" s="16" t="s">
        <v>14635</v>
      </c>
      <c r="B35963" s="15" t="s">
        <v>14636</v>
      </c>
      <c r="C35963" s="16" t="s">
        <v>14594</v>
      </c>
      <c r="D35963" s="16" t="s">
        <v>14595</v>
      </c>
      <c r="E35963" s="2">
        <v>99454</v>
      </c>
      <c r="F35963" s="4" t="str">
        <f>IF(B35963=B35962,"",B35963)</f>
        <v>Al FallÅ«jah</v>
      </c>
    </row>
    <row r="35964" spans="1:6" ht="15.75" customHeight="1">
      <c r="A35964" s="16" t="str">
        <f ca="1">IFERROR(__xludf.DUMMYFUNCTION("GOOGLETRANSLATE(B36175,""en"",""pt"")"),"Al Faḩāḩīl")</f>
        <v>Al Faḩāḩīl</v>
      </c>
      <c r="B35964" s="20" t="s">
        <v>34489</v>
      </c>
      <c r="C35964" s="20" t="s">
        <v>16884</v>
      </c>
      <c r="D35964" s="20" t="s">
        <v>34485</v>
      </c>
      <c r="E35964" s="10">
        <v>285811</v>
      </c>
      <c r="F35964" s="4" t="str">
        <f>IF(B35964=B35963,"",B35964)</f>
        <v>Al Faḩāḩīl</v>
      </c>
    </row>
    <row r="35965" spans="1:6" ht="15.75" customHeight="1">
      <c r="A35965" s="16" t="s">
        <v>16890</v>
      </c>
      <c r="B35965" s="15" t="s">
        <v>16891</v>
      </c>
      <c r="C35965" s="16" t="s">
        <v>16884</v>
      </c>
      <c r="D35965" s="16" t="s">
        <v>16889</v>
      </c>
      <c r="E35965" s="2">
        <v>285811</v>
      </c>
      <c r="F35965" s="4" t="str">
        <f>IF(B35965=B35964,"",B35965)</f>
        <v>Al Faá¸©Äá¸©Ä«l</v>
      </c>
    </row>
    <row r="35966" spans="1:6" ht="15.75" customHeight="1">
      <c r="A35966" s="15" t="s">
        <v>14633</v>
      </c>
      <c r="B35966" s="15" t="s">
        <v>14634</v>
      </c>
      <c r="C35966" s="15" t="s">
        <v>14594</v>
      </c>
      <c r="D35966" s="15" t="s">
        <v>14632</v>
      </c>
      <c r="E35966" s="2">
        <v>99446</v>
      </c>
      <c r="F35966" s="4" t="str">
        <f>IF(B35966=B35965,"",B35966)</f>
        <v>Al FÄw</v>
      </c>
    </row>
    <row r="35967" spans="1:6" ht="15.75" customHeight="1">
      <c r="A35967" s="16" t="str">
        <f ca="1">IFERROR(__xludf.DUMMYFUNCTION("GOOGLETRANSLATE(B38274,""en"",""pt"")"),"Al Buraymī")</f>
        <v>Al Buraymī</v>
      </c>
      <c r="B35967" s="20" t="s">
        <v>34859</v>
      </c>
      <c r="C35967" s="20" t="s">
        <v>19755</v>
      </c>
      <c r="D35967" s="20" t="s">
        <v>19762</v>
      </c>
      <c r="E35967" s="10">
        <v>289317</v>
      </c>
      <c r="F35967" s="4" t="str">
        <f>IF(B35967=B35966,"",B35967)</f>
        <v>Al Buraymī</v>
      </c>
    </row>
    <row r="35968" spans="1:6" ht="15.75" customHeight="1">
      <c r="A35968" s="16" t="s">
        <v>19760</v>
      </c>
      <c r="B35968" s="15" t="s">
        <v>19761</v>
      </c>
      <c r="C35968" s="16" t="s">
        <v>19755</v>
      </c>
      <c r="D35968" s="16" t="s">
        <v>19762</v>
      </c>
      <c r="E35968" s="2">
        <v>289317</v>
      </c>
      <c r="F35968" s="4" t="e">
        <f>IF(B35968=#REF!,"",B35968)</f>
        <v>#REF!</v>
      </c>
    </row>
    <row r="35969" spans="1:6" ht="15.75" customHeight="1">
      <c r="A35969" s="15" t="s">
        <v>20310</v>
      </c>
      <c r="B35969" s="15" t="s">
        <v>20310</v>
      </c>
      <c r="C35969" s="15" t="s">
        <v>20297</v>
      </c>
      <c r="D35969" s="15" t="s">
        <v>20305</v>
      </c>
      <c r="E35969" s="2">
        <v>281161</v>
      </c>
      <c r="F35969" s="4" t="str">
        <f>IF(B35969=B35968,"",B35969)</f>
        <v>Al Burayj</v>
      </c>
    </row>
    <row r="35970" spans="1:6" ht="15.75" customHeight="1">
      <c r="A35970" s="16" t="str">
        <f ca="1">IFERROR(__xludf.DUMMYFUNCTION("GOOGLETRANSLATE(B41058,""en"",""pt"")"),"Al Bukayrīyah")</f>
        <v>Al Bukayrīyah</v>
      </c>
      <c r="B35970" s="20" t="s">
        <v>35595</v>
      </c>
      <c r="C35970" s="20" t="s">
        <v>23454</v>
      </c>
      <c r="D35970" s="20" t="s">
        <v>23485</v>
      </c>
      <c r="E35970" s="10">
        <v>109878</v>
      </c>
      <c r="F35970" s="4" t="str">
        <f>IF(B35970=B35969,"",B35970)</f>
        <v>Al Bukayrīyah</v>
      </c>
    </row>
    <row r="35971" spans="1:6" ht="15.75" customHeight="1">
      <c r="A35971" s="16" t="s">
        <v>23483</v>
      </c>
      <c r="B35971" s="15" t="s">
        <v>23484</v>
      </c>
      <c r="C35971" s="16" t="s">
        <v>23454</v>
      </c>
      <c r="D35971" s="16" t="s">
        <v>23485</v>
      </c>
      <c r="E35971" s="2">
        <v>109878</v>
      </c>
      <c r="F35971" s="4" t="str">
        <f>IF(B35971=B35970,"",B35971)</f>
        <v>Al BukayrÄ«yah</v>
      </c>
    </row>
    <row r="35972" spans="1:6" ht="15.75" customHeight="1">
      <c r="A35972" s="16" t="str">
        <f ca="1">IFERROR(__xludf.DUMMYFUNCTION("GOOGLETRANSLATE(B39558,""en"",""pt"")"),"Al Bīrah")</f>
        <v>Al Bīrah</v>
      </c>
      <c r="B35972" s="20" t="s">
        <v>35283</v>
      </c>
      <c r="C35972" s="20" t="s">
        <v>20297</v>
      </c>
      <c r="D35972" s="20" t="s">
        <v>20298</v>
      </c>
      <c r="E35972" s="10">
        <v>285108</v>
      </c>
      <c r="F35972" s="4" t="e">
        <f>IF(B35972=#REF!,"",B35972)</f>
        <v>#REF!</v>
      </c>
    </row>
    <row r="35973" spans="1:6" ht="15.75" customHeight="1">
      <c r="A35973" s="16" t="str">
        <f ca="1">IFERROR(__xludf.DUMMYFUNCTION("GOOGLETRANSLATE(B36422,""en"",""pt"")"),"Al Bayḑā '")</f>
        <v>Al Bayḑā '</v>
      </c>
      <c r="B35973" s="20" t="s">
        <v>34559</v>
      </c>
      <c r="C35973" s="20" t="s">
        <v>17074</v>
      </c>
      <c r="D35973" s="20" t="s">
        <v>34560</v>
      </c>
      <c r="E35973" s="10">
        <v>89055</v>
      </c>
      <c r="F35973" s="4" t="e">
        <f>IF(B35973=#REF!,"",B35973)</f>
        <v>#REF!</v>
      </c>
    </row>
    <row r="35974" spans="1:6" ht="15.75" customHeight="1">
      <c r="A35974" s="16" t="s">
        <v>17079</v>
      </c>
      <c r="B35974" s="15" t="s">
        <v>17080</v>
      </c>
      <c r="C35974" s="16" t="s">
        <v>17074</v>
      </c>
      <c r="D35974" s="16" t="s">
        <v>17081</v>
      </c>
      <c r="E35974" s="2">
        <v>89055</v>
      </c>
      <c r="F35974" s="4" t="str">
        <f>IF(B35974=B35973,"",B35974)</f>
        <v>Al Bayá¸‘Äâ€™</v>
      </c>
    </row>
    <row r="35975" spans="1:6" ht="15.75" customHeight="1">
      <c r="A35975" s="16" t="str">
        <f ca="1">IFERROR(__xludf.DUMMYFUNCTION("GOOGLETRANSLATE(B28925,""en"",""pt"")"),"Al Bawīţī")</f>
        <v>Al Bawīţī</v>
      </c>
      <c r="B35975" s="20" t="s">
        <v>32336</v>
      </c>
      <c r="C35975" s="20" t="s">
        <v>6495</v>
      </c>
      <c r="D35975" s="20" t="s">
        <v>32279</v>
      </c>
      <c r="E35975" s="10">
        <v>361394</v>
      </c>
      <c r="F35975" s="4" t="str">
        <f>IF(B35975=B35974,"",B35975)</f>
        <v>Al Bawīţī</v>
      </c>
    </row>
    <row r="35976" spans="1:6" ht="15.75" customHeight="1">
      <c r="A35976" s="16" t="s">
        <v>6548</v>
      </c>
      <c r="B35976" s="15" t="s">
        <v>6549</v>
      </c>
      <c r="C35976" s="16" t="s">
        <v>6495</v>
      </c>
      <c r="D35976" s="16" t="s">
        <v>6513</v>
      </c>
      <c r="E35976" s="2">
        <v>361394</v>
      </c>
      <c r="F35976" s="4" t="str">
        <f>IF(B35976=B35975,"",B35976)</f>
        <v>Al BawÄ«Å£Ä«</v>
      </c>
    </row>
    <row r="35977" spans="1:6" ht="15.75" customHeight="1">
      <c r="A35977" s="16" t="str">
        <f ca="1">IFERROR(__xludf.DUMMYFUNCTION("GOOGLETRANSLATE(B41059,""en"",""pt"")"),"Al Baţţālīyah")</f>
        <v>Al Baţţālīyah</v>
      </c>
      <c r="B35977" s="20" t="s">
        <v>35596</v>
      </c>
      <c r="C35977" s="20" t="s">
        <v>23454</v>
      </c>
      <c r="D35977" s="20" t="s">
        <v>6128</v>
      </c>
      <c r="E35977" s="10">
        <v>109915</v>
      </c>
      <c r="F35977" s="4" t="str">
        <f>IF(B35977=B35976,"",B35977)</f>
        <v>Al Baţţālīyah</v>
      </c>
    </row>
    <row r="35978" spans="1:6" ht="15.75" customHeight="1">
      <c r="A35978" s="16" t="str">
        <f ca="1">IFERROR(__xludf.DUMMYFUNCTION("GOOGLETRANSLATE(B34338,""en"",""pt"")"),"Al Başrah Al Qadīmah")</f>
        <v>Al Başrah Al Qadīmah</v>
      </c>
      <c r="B35978" s="20" t="s">
        <v>34115</v>
      </c>
      <c r="C35978" s="20" t="s">
        <v>14594</v>
      </c>
      <c r="D35978" s="20" t="s">
        <v>14632</v>
      </c>
      <c r="E35978" s="10">
        <v>388349</v>
      </c>
      <c r="F35978" s="4" t="str">
        <f>IF(B35978=B35977,"",B35978)</f>
        <v>Al Başrah al Qadīmah</v>
      </c>
    </row>
    <row r="35979" spans="1:6" ht="15.75" customHeight="1">
      <c r="A35979" s="16" t="s">
        <v>6546</v>
      </c>
      <c r="B35979" s="15" t="s">
        <v>6547</v>
      </c>
      <c r="C35979" s="16" t="s">
        <v>6495</v>
      </c>
      <c r="D35979" s="16" t="s">
        <v>6505</v>
      </c>
      <c r="E35979" s="2">
        <v>361435</v>
      </c>
      <c r="F35979" s="4" t="str">
        <f>IF(B35979=B35978,"",B35979)</f>
        <v>Al BalyanÄ</v>
      </c>
    </row>
    <row r="35980" spans="1:6" ht="15.75" customHeight="1">
      <c r="A35980" s="16" t="str">
        <f ca="1">IFERROR(__xludf.DUMMYFUNCTION("GOOGLETRANSLATE(B28926,""en"",""pt"")"),"Al Balyanā")</f>
        <v>Al Balyanā</v>
      </c>
      <c r="B35980" s="20" t="s">
        <v>32337</v>
      </c>
      <c r="C35980" s="20" t="s">
        <v>6495</v>
      </c>
      <c r="D35980" s="20" t="s">
        <v>32254</v>
      </c>
      <c r="E35980" s="10">
        <v>361435</v>
      </c>
      <c r="F35980" s="4" t="str">
        <f>IF(B35980=B35979,"",B35980)</f>
        <v>Al Balyanā</v>
      </c>
    </row>
    <row r="35981" spans="1:6" ht="15.75" customHeight="1">
      <c r="A35981" s="16" t="str">
        <f ca="1">IFERROR(__xludf.DUMMYFUNCTION("GOOGLETRANSLATE(B28927,""en"",""pt"")"),"Al Bājūr")</f>
        <v>Al Bājūr</v>
      </c>
      <c r="B35981" s="20" t="s">
        <v>32338</v>
      </c>
      <c r="C35981" s="20" t="s">
        <v>6495</v>
      </c>
      <c r="D35981" s="20" t="s">
        <v>32252</v>
      </c>
      <c r="E35981" s="10">
        <v>361457</v>
      </c>
      <c r="F35981" s="4" t="str">
        <f>IF(B35981=B35980,"",B35981)</f>
        <v>Al Bājūr</v>
      </c>
    </row>
    <row r="35982" spans="1:6" ht="15.75" customHeight="1">
      <c r="A35982" s="16" t="str">
        <f ca="1">IFERROR(__xludf.DUMMYFUNCTION("GOOGLETRANSLATE(B41060,""en"",""pt"")"),"Al Bāḩah")</f>
        <v>Al Bāḩah</v>
      </c>
      <c r="B35982" s="20" t="s">
        <v>35597</v>
      </c>
      <c r="C35982" s="20" t="s">
        <v>23454</v>
      </c>
      <c r="D35982" s="20" t="s">
        <v>35598</v>
      </c>
      <c r="E35982" s="10">
        <v>109953</v>
      </c>
      <c r="F35982" s="4" t="str">
        <f>IF(B35982=B35981,"",B35982)</f>
        <v>Al Bāḩah</v>
      </c>
    </row>
    <row r="35983" spans="1:6" ht="15.75" customHeight="1">
      <c r="A35983" s="16" t="str">
        <f ca="1">IFERROR(__xludf.DUMMYFUNCTION("GOOGLETRANSLATE(B28928,""en"",""pt"")"),"Al Badārī")</f>
        <v>Al Badārī</v>
      </c>
      <c r="B35983" s="20" t="s">
        <v>32339</v>
      </c>
      <c r="C35983" s="20" t="s">
        <v>6495</v>
      </c>
      <c r="D35983" s="20" t="s">
        <v>32276</v>
      </c>
      <c r="E35983" s="10">
        <v>361478</v>
      </c>
      <c r="F35983" s="4" t="str">
        <f>IF(B35983=B35982,"",B35983)</f>
        <v>Al Badārī</v>
      </c>
    </row>
    <row r="35984" spans="1:6" ht="15.75" customHeight="1">
      <c r="A35984" s="16" t="s">
        <v>6544</v>
      </c>
      <c r="B35984" s="15" t="s">
        <v>6545</v>
      </c>
      <c r="C35984" s="16" t="s">
        <v>6495</v>
      </c>
      <c r="D35984" s="16" t="s">
        <v>6523</v>
      </c>
      <c r="E35984" s="2">
        <v>361478</v>
      </c>
      <c r="F35984" s="4" t="str">
        <f>IF(B35984=B35983,"",B35984)</f>
        <v>Al BadÄrÄ«</v>
      </c>
    </row>
    <row r="35985" spans="1:6" ht="15.75" customHeight="1">
      <c r="A35985" s="16" t="str">
        <f ca="1">IFERROR(__xludf.DUMMYFUNCTION("GOOGLETRANSLATE(B41460,""en"",""pt"")"),"Al Bāb")</f>
        <v>Al Bāb</v>
      </c>
      <c r="B35985" s="20" t="s">
        <v>35765</v>
      </c>
      <c r="C35985" s="20" t="s">
        <v>25366</v>
      </c>
      <c r="D35985" s="20" t="s">
        <v>25380</v>
      </c>
      <c r="E35985" s="10">
        <v>174018</v>
      </c>
      <c r="F35985" s="4" t="str">
        <f>IF(B35985=B35984,"",B35985)</f>
        <v>Al Bāb</v>
      </c>
    </row>
    <row r="35986" spans="1:6" ht="15.75" customHeight="1">
      <c r="A35986" s="16" t="s">
        <v>14630</v>
      </c>
      <c r="B35986" s="15" t="s">
        <v>14631</v>
      </c>
      <c r="C35986" s="16" t="s">
        <v>14594</v>
      </c>
      <c r="D35986" s="16" t="s">
        <v>14632</v>
      </c>
      <c r="E35986" s="2">
        <v>388349</v>
      </c>
      <c r="F35986" s="4" t="str">
        <f>IF(B35986=B35985,"",B35986)</f>
        <v>Al BaÅŸrah al QadÄ«mah</v>
      </c>
    </row>
    <row r="35987" spans="1:6" ht="15.75" customHeight="1">
      <c r="A35987" s="16" t="s">
        <v>23481</v>
      </c>
      <c r="B35987" s="15" t="s">
        <v>23482</v>
      </c>
      <c r="C35987" s="16" t="s">
        <v>23454</v>
      </c>
      <c r="D35987" s="16" t="s">
        <v>6128</v>
      </c>
      <c r="E35987" s="2">
        <v>109915</v>
      </c>
      <c r="F35987" s="4" t="str">
        <f>IF(B35987=B35986,"",B35987)</f>
        <v>Al BaÅ£Å£ÄlÄ«yah</v>
      </c>
    </row>
    <row r="35988" spans="1:6" ht="15.75" customHeight="1">
      <c r="A35988" s="16" t="s">
        <v>6541</v>
      </c>
      <c r="B35988" s="15" t="s">
        <v>6542</v>
      </c>
      <c r="C35988" s="16" t="s">
        <v>6495</v>
      </c>
      <c r="D35988" s="16" t="s">
        <v>6543</v>
      </c>
      <c r="E35988" s="2">
        <v>361457</v>
      </c>
      <c r="F35988" s="4" t="str">
        <f>IF(B35988=B35987,"",B35988)</f>
        <v>Al BÄjÅ«r</v>
      </c>
    </row>
    <row r="35989" spans="1:6" ht="15.75" customHeight="1">
      <c r="A35989" s="15" t="s">
        <v>25400</v>
      </c>
      <c r="B35989" s="15" t="s">
        <v>25401</v>
      </c>
      <c r="C35989" s="15" t="s">
        <v>25366</v>
      </c>
      <c r="D35989" s="15" t="s">
        <v>25380</v>
      </c>
      <c r="E35989" s="2">
        <v>174018</v>
      </c>
      <c r="F35989" s="4" t="str">
        <f>IF(B35989=B35988,"",B35989)</f>
        <v>Al BÄb</v>
      </c>
    </row>
    <row r="35990" spans="1:6" ht="15.75" customHeight="1">
      <c r="A35990" s="16" t="s">
        <v>23478</v>
      </c>
      <c r="B35990" s="15" t="s">
        <v>23479</v>
      </c>
      <c r="C35990" s="16" t="s">
        <v>23454</v>
      </c>
      <c r="D35990" s="16" t="s">
        <v>23480</v>
      </c>
      <c r="E35990" s="2">
        <v>109953</v>
      </c>
      <c r="F35990" s="4" t="str">
        <f>IF(B35990=B35989,"",B35990)</f>
        <v>Al BÄá¸©ah</v>
      </c>
    </row>
    <row r="35991" spans="1:6" ht="15.75" customHeight="1">
      <c r="A35991" s="16" t="s">
        <v>20308</v>
      </c>
      <c r="B35991" s="15" t="s">
        <v>20309</v>
      </c>
      <c r="C35991" s="16" t="s">
        <v>20297</v>
      </c>
      <c r="D35991" s="16" t="s">
        <v>20298</v>
      </c>
      <c r="E35991" s="2">
        <v>285108</v>
      </c>
      <c r="F35991" s="4" t="e">
        <f>IF(B35991=#REF!,"",B35991)</f>
        <v>#REF!</v>
      </c>
    </row>
    <row r="35992" spans="1:6" ht="15.75" customHeight="1">
      <c r="A35992" s="15" t="s">
        <v>27218</v>
      </c>
      <c r="B35992" s="15" t="s">
        <v>27218</v>
      </c>
      <c r="C35992" s="15" t="s">
        <v>27213</v>
      </c>
      <c r="D35992" s="15" t="s">
        <v>27212</v>
      </c>
      <c r="E35992" s="2">
        <v>292913</v>
      </c>
      <c r="F35992" s="4" t="str">
        <f>IF(B35992=B35991,"",B35992)</f>
        <v>Al Ain</v>
      </c>
    </row>
    <row r="35993" spans="1:6" ht="15.75" customHeight="1">
      <c r="A35993" s="16" t="str">
        <f ca="1">IFERROR(__xludf.DUMMYFUNCTION("GOOGLETRANSLATE(B36178,""en"",""pt"")"),"Al Aḩmadī")</f>
        <v>Al Aḩmadī</v>
      </c>
      <c r="B35993" s="20" t="s">
        <v>34485</v>
      </c>
      <c r="C35993" s="20" t="s">
        <v>16884</v>
      </c>
      <c r="D35993" s="20" t="s">
        <v>34485</v>
      </c>
      <c r="E35993" s="10">
        <v>285839</v>
      </c>
      <c r="F35993" s="4" t="str">
        <f>IF(B35993=B35992,"",B35993)</f>
        <v>Al Aḩmadī</v>
      </c>
    </row>
    <row r="35994" spans="1:6" ht="15.75" customHeight="1">
      <c r="A35994" s="16" t="str">
        <f ca="1">IFERROR(__xludf.DUMMYFUNCTION("GOOGLETRANSLATE(B36423,""en"",""pt"")"),"Al Abyār")</f>
        <v>Al Abyār</v>
      </c>
      <c r="B35994" s="20" t="s">
        <v>34561</v>
      </c>
      <c r="C35994" s="20" t="s">
        <v>17074</v>
      </c>
      <c r="D35994" s="20" t="s">
        <v>17078</v>
      </c>
      <c r="E35994" s="10">
        <v>89087</v>
      </c>
      <c r="F35994" s="4" t="str">
        <f>IF(B35994=B35993,"",B35994)</f>
        <v>Al Abyār</v>
      </c>
    </row>
    <row r="35995" spans="1:6" ht="15.75" customHeight="1">
      <c r="A35995" s="15" t="s">
        <v>17076</v>
      </c>
      <c r="B35995" s="15" t="s">
        <v>17077</v>
      </c>
      <c r="C35995" s="15" t="s">
        <v>17074</v>
      </c>
      <c r="D35995" s="15" t="s">
        <v>17078</v>
      </c>
      <c r="E35995" s="2">
        <v>89087</v>
      </c>
      <c r="F35995" s="4" t="str">
        <f>IF(B35995=B35994,"",B35995)</f>
        <v>Al AbyÄr</v>
      </c>
    </row>
    <row r="35996" spans="1:6" ht="15.75" customHeight="1">
      <c r="A35996" s="16" t="s">
        <v>16888</v>
      </c>
      <c r="B35996" s="15" t="s">
        <v>16889</v>
      </c>
      <c r="C35996" s="16" t="s">
        <v>16884</v>
      </c>
      <c r="D35996" s="16" t="s">
        <v>16889</v>
      </c>
      <c r="E35996" s="2">
        <v>285839</v>
      </c>
      <c r="F35996" s="4" t="str">
        <f>IF(B35996=B35995,"",B35996)</f>
        <v>Al Aá¸©madÄ«</v>
      </c>
    </row>
    <row r="35997" spans="1:6" ht="15.75" customHeight="1">
      <c r="A35997" s="16" t="s">
        <v>23475</v>
      </c>
      <c r="B35997" s="15" t="s">
        <v>23476</v>
      </c>
      <c r="C35997" s="16" t="s">
        <v>23454</v>
      </c>
      <c r="D35997" s="16" t="s">
        <v>23477</v>
      </c>
      <c r="E35997" s="2">
        <v>108841</v>
      </c>
      <c r="F35997" s="4" t="str">
        <f>IF(B35997=B35996,"",B35997)</f>
        <v>Al â€˜UlÃ¡</v>
      </c>
    </row>
    <row r="35998" spans="1:6" ht="15.75" customHeight="1">
      <c r="A35998" s="16" t="s">
        <v>14628</v>
      </c>
      <c r="B35998" s="15" t="s">
        <v>14629</v>
      </c>
      <c r="C35998" s="16" t="s">
        <v>14594</v>
      </c>
      <c r="D35998" s="16" t="s">
        <v>14612</v>
      </c>
      <c r="E35998" s="2">
        <v>99548</v>
      </c>
      <c r="F35998" s="4" t="str">
        <f>IF(B35998=B35997,"",B35998)</f>
        <v>Al â€˜AzÄ«zÄ«yah</v>
      </c>
    </row>
    <row r="35999" spans="1:6" ht="15.75" customHeight="1">
      <c r="A35999" s="16" t="s">
        <v>20306</v>
      </c>
      <c r="B35999" s="15" t="s">
        <v>20307</v>
      </c>
      <c r="C35999" s="16" t="s">
        <v>20297</v>
      </c>
      <c r="D35999" s="16" t="s">
        <v>20298</v>
      </c>
      <c r="E35999" s="2">
        <v>285111</v>
      </c>
      <c r="F35999" s="4" t="str">
        <f>IF(B35999=B35998,"",B35999)</f>
        <v>Al â€˜AyzarÄ«yah</v>
      </c>
    </row>
    <row r="36000" spans="1:6" ht="15.75" customHeight="1">
      <c r="A36000" s="16" t="s">
        <v>6539</v>
      </c>
      <c r="B36000" s="15" t="s">
        <v>6540</v>
      </c>
      <c r="C36000" s="16" t="s">
        <v>6495</v>
      </c>
      <c r="D36000" s="16" t="s">
        <v>6513</v>
      </c>
      <c r="E36000" s="2">
        <v>361495</v>
      </c>
      <c r="F36000" s="4" t="str">
        <f>IF(B36000=B35999,"",B36000)</f>
        <v>Al â€˜AyyÄÅ£</v>
      </c>
    </row>
    <row r="36001" spans="1:6" ht="15.75" customHeight="1">
      <c r="A36001" s="16" t="s">
        <v>14626</v>
      </c>
      <c r="B36001" s="15" t="s">
        <v>14627</v>
      </c>
      <c r="C36001" s="16" t="s">
        <v>14594</v>
      </c>
      <c r="D36001" s="16" t="s">
        <v>14604</v>
      </c>
      <c r="E36001" s="2">
        <v>99608</v>
      </c>
      <c r="F36001" s="4" t="str">
        <f>IF(B36001=B36000,"",B36001)</f>
        <v>Al â€˜AmÄrah</v>
      </c>
    </row>
    <row r="36002" spans="1:6" ht="15.75" customHeight="1">
      <c r="A36002" s="16" t="s">
        <v>31000</v>
      </c>
      <c r="B36002" s="15" t="s">
        <v>31001</v>
      </c>
      <c r="C36002" s="16" t="s">
        <v>30993</v>
      </c>
      <c r="D36002" s="16" t="s">
        <v>31002</v>
      </c>
      <c r="E36002" s="2">
        <v>79415</v>
      </c>
      <c r="F36002" s="4" t="str">
        <f>IF(B36002=B36001,"",B36002)</f>
        <v>Al á¸¨udaydah</v>
      </c>
    </row>
    <row r="36003" spans="1:6" ht="15.75" customHeight="1">
      <c r="A36003" s="16" t="s">
        <v>14623</v>
      </c>
      <c r="B36003" s="15" t="s">
        <v>14624</v>
      </c>
      <c r="C36003" s="16" t="s">
        <v>14594</v>
      </c>
      <c r="D36003" s="16" t="s">
        <v>14625</v>
      </c>
      <c r="E36003" s="2">
        <v>99347</v>
      </c>
      <c r="F36003" s="4" t="str">
        <f>IF(B36003=B36002,"",B36003)</f>
        <v>Al á¸¨illah</v>
      </c>
    </row>
    <row r="36004" spans="1:6" ht="15.75" customHeight="1">
      <c r="A36004" s="16" t="s">
        <v>30998</v>
      </c>
      <c r="B36004" s="15" t="s">
        <v>30999</v>
      </c>
      <c r="C36004" s="16" t="s">
        <v>30993</v>
      </c>
      <c r="D36004" s="16" t="s">
        <v>17085</v>
      </c>
      <c r="E36004" s="2">
        <v>79455</v>
      </c>
      <c r="F36004" s="4" t="str">
        <f>IF(B36004=B36003,"",B36004)</f>
        <v>Al á¸¨azm</v>
      </c>
    </row>
    <row r="36005" spans="1:6" ht="15.75" customHeight="1">
      <c r="A36005" s="15" t="s">
        <v>14621</v>
      </c>
      <c r="B36005" s="15" t="s">
        <v>14622</v>
      </c>
      <c r="C36005" s="15" t="s">
        <v>14594</v>
      </c>
      <c r="D36005" s="15" t="s">
        <v>14612</v>
      </c>
      <c r="E36005" s="2">
        <v>99350</v>
      </c>
      <c r="F36005" s="4" t="str">
        <f>IF(B36005=B36004,"",B36005)</f>
        <v>Al á¸¨ayy</v>
      </c>
    </row>
    <row r="36006" spans="1:6" ht="15.75" customHeight="1">
      <c r="A36006" s="16" t="s">
        <v>24998</v>
      </c>
      <c r="B36006" s="15" t="s">
        <v>24999</v>
      </c>
      <c r="C36006" s="16" t="s">
        <v>24987</v>
      </c>
      <c r="D36006" s="16" t="s">
        <v>25000</v>
      </c>
      <c r="E36006" s="2">
        <v>379416</v>
      </c>
      <c r="F36006" s="4" t="str">
        <f>IF(B36006=B36005,"",B36006)</f>
        <v>Al á¸¨awÄtah</v>
      </c>
    </row>
    <row r="36007" spans="1:6" ht="15.75" customHeight="1">
      <c r="A36007" s="16" t="s">
        <v>6537</v>
      </c>
      <c r="B36007" s="15" t="s">
        <v>6538</v>
      </c>
      <c r="C36007" s="16" t="s">
        <v>6495</v>
      </c>
      <c r="D36007" s="16" t="s">
        <v>6513</v>
      </c>
      <c r="E36007" s="2">
        <v>361179</v>
      </c>
      <c r="F36007" s="4" t="str">
        <f>IF(B36007=B36006,"",B36007)</f>
        <v>Al á¸¨awÄmidÄ«yah</v>
      </c>
    </row>
    <row r="36008" spans="1:6" ht="15.75" customHeight="1">
      <c r="A36008" s="16" t="s">
        <v>25398</v>
      </c>
      <c r="B36008" s="15" t="s">
        <v>25399</v>
      </c>
      <c r="C36008" s="16" t="s">
        <v>25366</v>
      </c>
      <c r="D36008" s="16" t="s">
        <v>25395</v>
      </c>
      <c r="E36008" s="2">
        <v>173811</v>
      </c>
      <c r="F36008" s="4" t="str">
        <f>IF(B36008=B36007,"",B36008)</f>
        <v>Al á¸¨asakah</v>
      </c>
    </row>
    <row r="36009" spans="1:6" ht="15.75" customHeight="1">
      <c r="A36009" s="16" t="s">
        <v>25396</v>
      </c>
      <c r="B36009" s="15" t="s">
        <v>25397</v>
      </c>
      <c r="C36009" s="16" t="s">
        <v>25366</v>
      </c>
      <c r="D36009" s="16" t="s">
        <v>25375</v>
      </c>
      <c r="E36009" s="2">
        <v>173819</v>
      </c>
      <c r="F36009" s="4" t="str">
        <f>IF(B36009=B36008,"",B36009)</f>
        <v>Al á¸¨arÄk</v>
      </c>
    </row>
    <row r="36010" spans="1:6" ht="15.75" customHeight="1">
      <c r="A36010" s="16" t="s">
        <v>6534</v>
      </c>
      <c r="B36010" s="15" t="s">
        <v>6535</v>
      </c>
      <c r="C36010" s="16" t="s">
        <v>6495</v>
      </c>
      <c r="D36010" s="16" t="s">
        <v>6536</v>
      </c>
      <c r="E36010" s="2">
        <v>361213</v>
      </c>
      <c r="F36010" s="4" t="str">
        <f>IF(B36010=B36009,"",B36010)</f>
        <v>Al á¸¨ÄmÅ«l</v>
      </c>
    </row>
    <row r="36011" spans="1:6" ht="15.75" customHeight="1">
      <c r="A36011" s="16" t="str">
        <f ca="1">IFERROR(__xludf.DUMMYFUNCTION("GOOGLETRANSLATE(B41046,""en"",""pt"")"),"Al ‘Ulá")</f>
        <v>Al ‘Ulá</v>
      </c>
      <c r="B36011" s="20" t="s">
        <v>35589</v>
      </c>
      <c r="C36011" s="20" t="s">
        <v>23454</v>
      </c>
      <c r="D36011" s="20" t="s">
        <v>35568</v>
      </c>
      <c r="E36011" s="10">
        <v>108841</v>
      </c>
      <c r="F36011" s="4" t="str">
        <f>IF(B36011=B36010,"",B36011)</f>
        <v>Al ‘Ulá</v>
      </c>
    </row>
    <row r="36012" spans="1:6" ht="15.75" customHeight="1">
      <c r="A36012" s="16" t="str">
        <f ca="1">IFERROR(__xludf.DUMMYFUNCTION("GOOGLETRANSLATE(B34332,""en"",""pt"")"),"Al ‘Azīzīyah")</f>
        <v>Al ‘Azīzīyah</v>
      </c>
      <c r="B36012" s="20" t="s">
        <v>34110</v>
      </c>
      <c r="C36012" s="20" t="s">
        <v>14594</v>
      </c>
      <c r="D36012" s="20" t="s">
        <v>34088</v>
      </c>
      <c r="E36012" s="10">
        <v>99548</v>
      </c>
      <c r="F36012" s="4" t="str">
        <f>IF(B36012=B36011,"",B36012)</f>
        <v>Al ‘Azīzīyah</v>
      </c>
    </row>
    <row r="36013" spans="1:6" ht="15.75" customHeight="1">
      <c r="A36013" s="16" t="str">
        <f ca="1">IFERROR(__xludf.DUMMYFUNCTION("GOOGLETRANSLATE(B39559,""en"",""pt"")"),"Al ‘Ayzarīyah")</f>
        <v>Al ‘Ayzarīyah</v>
      </c>
      <c r="B36013" s="20" t="s">
        <v>35284</v>
      </c>
      <c r="C36013" s="20" t="s">
        <v>20297</v>
      </c>
      <c r="D36013" s="20" t="s">
        <v>20298</v>
      </c>
      <c r="E36013" s="10">
        <v>285111</v>
      </c>
      <c r="F36013" s="4" t="str">
        <f>IF(B36013=B36012,"",B36013)</f>
        <v>Al ‘Ayzarīyah</v>
      </c>
    </row>
    <row r="36014" spans="1:6" ht="15.75" customHeight="1">
      <c r="A36014" s="16" t="str">
        <f ca="1">IFERROR(__xludf.DUMMYFUNCTION("GOOGLETRANSLATE(B28929,""en"",""pt"")"),"Al ‘Ayyāţ")</f>
        <v>Al ‘Ayyāţ</v>
      </c>
      <c r="B36014" s="20" t="s">
        <v>32340</v>
      </c>
      <c r="C36014" s="20" t="s">
        <v>6495</v>
      </c>
      <c r="D36014" s="20" t="s">
        <v>32279</v>
      </c>
      <c r="E36014" s="10">
        <v>361495</v>
      </c>
      <c r="F36014" s="4" t="str">
        <f>IF(B36014=B36013,"",B36014)</f>
        <v>Al ‘Ayyāţ</v>
      </c>
    </row>
    <row r="36015" spans="1:6" ht="15.75" customHeight="1">
      <c r="A36015" s="16" t="str">
        <f ca="1">IFERROR(__xludf.DUMMYFUNCTION("GOOGLETRANSLATE(B34333,""en"",""pt"")"),"Al ‘Amārah")</f>
        <v>Al ‘Amārah</v>
      </c>
      <c r="B36015" s="20" t="s">
        <v>34111</v>
      </c>
      <c r="C36015" s="20" t="s">
        <v>14594</v>
      </c>
      <c r="D36015" s="20" t="s">
        <v>14604</v>
      </c>
      <c r="E36015" s="10">
        <v>99608</v>
      </c>
      <c r="F36015" s="4" t="str">
        <f>IF(B36015=B36014,"",B36015)</f>
        <v>Al ‘Amārah</v>
      </c>
    </row>
    <row r="36016" spans="1:6" ht="15.75" customHeight="1">
      <c r="A36016" s="16" t="str">
        <f ca="1">IFERROR(__xludf.DUMMYFUNCTION("GOOGLETRANSLATE(B42226,""en"",""pt"")"),"Akyazı")</f>
        <v>Akyazı</v>
      </c>
      <c r="B36016" s="20" t="s">
        <v>35969</v>
      </c>
      <c r="C36016" s="20" t="s">
        <v>26201</v>
      </c>
      <c r="D36016" s="20" t="s">
        <v>26276</v>
      </c>
      <c r="E36016" s="10">
        <v>752288</v>
      </c>
      <c r="F36016" s="4" t="str">
        <f>IF(B36016=B36015,"",B36016)</f>
        <v>Akyazı</v>
      </c>
    </row>
    <row r="36017" spans="1:6" ht="15.75" customHeight="1">
      <c r="A36017" s="15" t="s">
        <v>26301</v>
      </c>
      <c r="B36017" s="15" t="s">
        <v>26302</v>
      </c>
      <c r="C36017" s="15" t="s">
        <v>26201</v>
      </c>
      <c r="D36017" s="15" t="s">
        <v>26276</v>
      </c>
      <c r="E36017" s="2">
        <v>752288</v>
      </c>
      <c r="F36017" s="4" t="e">
        <f>IF(B36017=#REF!,"",B36017)</f>
        <v>#REF!</v>
      </c>
    </row>
    <row r="36018" spans="1:6" ht="15.75" customHeight="1">
      <c r="A36018" s="15" t="s">
        <v>9373</v>
      </c>
      <c r="B36018" s="15" t="s">
        <v>9373</v>
      </c>
      <c r="C36018" s="15" t="s">
        <v>9365</v>
      </c>
      <c r="D36018" s="15" t="s">
        <v>9366</v>
      </c>
      <c r="E36018" s="2">
        <v>2304931</v>
      </c>
      <c r="F36018" s="4" t="e">
        <f>IF(B36018=#REF!,"",B36018)</f>
        <v>#REF!</v>
      </c>
    </row>
    <row r="36019" spans="1:6" ht="15.75" customHeight="1">
      <c r="A36019" s="15" t="s">
        <v>19315</v>
      </c>
      <c r="B36019" s="15" t="s">
        <v>19315</v>
      </c>
      <c r="C36019" s="15" t="s">
        <v>19294</v>
      </c>
      <c r="D36019" s="15" t="s">
        <v>19316</v>
      </c>
      <c r="E36019" s="2">
        <v>2350806</v>
      </c>
      <c r="F36019" s="4" t="e">
        <f>IF(B36019=#REF!,"",B36019)</f>
        <v>#REF!</v>
      </c>
    </row>
    <row r="36020" spans="1:6" ht="15.75" customHeight="1">
      <c r="A36020" s="15" t="s">
        <v>10167</v>
      </c>
      <c r="B36020" s="15" t="s">
        <v>10167</v>
      </c>
      <c r="C36020" s="15" t="s">
        <v>10168</v>
      </c>
      <c r="D36020" s="15" t="s">
        <v>10169</v>
      </c>
      <c r="E36020" s="2">
        <v>2633274</v>
      </c>
      <c r="F36020" s="4" t="e">
        <f>IF(B36020=#REF!,"",B36020)</f>
        <v>#REF!</v>
      </c>
    </row>
    <row r="36021" spans="1:6" ht="15.75" customHeight="1">
      <c r="A36021" s="15" t="s">
        <v>19313</v>
      </c>
      <c r="B36021" s="15" t="s">
        <v>19313</v>
      </c>
      <c r="C36021" s="15" t="s">
        <v>19294</v>
      </c>
      <c r="D36021" s="15" t="s">
        <v>19314</v>
      </c>
      <c r="E36021" s="2">
        <v>2350841</v>
      </c>
      <c r="F36021" s="4" t="e">
        <f>IF(B36021=#REF!,"",B36021)</f>
        <v>#REF!</v>
      </c>
    </row>
    <row r="36022" spans="1:6" ht="15.75" customHeight="1">
      <c r="A36022" s="15" t="s">
        <v>15718</v>
      </c>
      <c r="B36022" s="15" t="s">
        <v>15718</v>
      </c>
      <c r="C36022" s="15" t="s">
        <v>15704</v>
      </c>
      <c r="D36022" s="15" t="s">
        <v>15719</v>
      </c>
      <c r="E36022" s="2">
        <v>1865401</v>
      </c>
      <c r="F36022" s="4" t="e">
        <f>IF(B36022=#REF!,"",B36022)</f>
        <v>#REF!</v>
      </c>
    </row>
    <row r="36023" spans="1:6" ht="15.75" customHeight="1">
      <c r="A36023" s="15" t="s">
        <v>19311</v>
      </c>
      <c r="B36023" s="15" t="s">
        <v>19311</v>
      </c>
      <c r="C36023" s="15" t="s">
        <v>19294</v>
      </c>
      <c r="D36023" s="15" t="s">
        <v>19312</v>
      </c>
      <c r="E36023" s="2">
        <v>2350886</v>
      </c>
      <c r="F36023" s="4" t="e">
        <f>IF(B36023=#REF!,"",B36023)</f>
        <v>#REF!</v>
      </c>
    </row>
    <row r="36024" spans="1:6" ht="15.75" customHeight="1">
      <c r="A36024" s="15" t="s">
        <v>16679</v>
      </c>
      <c r="B36024" s="15" t="s">
        <v>16679</v>
      </c>
      <c r="C36024" s="15" t="s">
        <v>16671</v>
      </c>
      <c r="D36024" s="15" t="s">
        <v>16680</v>
      </c>
      <c r="E36024" s="2">
        <v>610612</v>
      </c>
      <c r="F36024" s="4" t="e">
        <f>IF(B36024=#REF!,"",B36024)</f>
        <v>#REF!</v>
      </c>
    </row>
    <row r="36025" spans="1:6" ht="15.75" customHeight="1">
      <c r="A36025" s="15" t="s">
        <v>16676</v>
      </c>
      <c r="B36025" s="15" t="s">
        <v>16676</v>
      </c>
      <c r="C36025" s="15" t="s">
        <v>16671</v>
      </c>
      <c r="D36025" s="15" t="s">
        <v>16677</v>
      </c>
      <c r="E36025" s="2">
        <v>1524298</v>
      </c>
      <c r="F36025" s="4" t="str">
        <f>IF(B36025=B36024,"",B36025)</f>
        <v>Aksu</v>
      </c>
    </row>
    <row r="36026" spans="1:6" ht="15.75" customHeight="1">
      <c r="A36026" s="16" t="str">
        <f ca="1">IFERROR(__xludf.DUMMYFUNCTION("GOOGLETRANSLATE(B42073,""en"",""pt"")"),"Akşehir")</f>
        <v>Akşehir</v>
      </c>
      <c r="B36026" s="20" t="s">
        <v>35906</v>
      </c>
      <c r="C36026" s="20" t="s">
        <v>26201</v>
      </c>
      <c r="D36026" s="20" t="s">
        <v>26265</v>
      </c>
      <c r="E36026" s="10">
        <v>324490</v>
      </c>
      <c r="F36026" s="4" t="e">
        <f>IF(B36026=#REF!,"",B36026)</f>
        <v>#REF!</v>
      </c>
    </row>
    <row r="36027" spans="1:6" ht="15.75" customHeight="1">
      <c r="A36027" s="15" t="s">
        <v>22098</v>
      </c>
      <c r="B36027" s="15" t="s">
        <v>22098</v>
      </c>
      <c r="C36027" s="15" t="s">
        <v>22070</v>
      </c>
      <c r="D36027" s="15" t="s">
        <v>22099</v>
      </c>
      <c r="E36027" s="2">
        <v>583673</v>
      </c>
      <c r="F36027" s="4" t="e">
        <f>IF(B36027=#REF!,"",B36027)</f>
        <v>#REF!</v>
      </c>
    </row>
    <row r="36028" spans="1:6" ht="15.75" customHeight="1">
      <c r="A36028" s="15" t="s">
        <v>26300</v>
      </c>
      <c r="B36028" s="15" t="s">
        <v>26300</v>
      </c>
      <c r="C36028" s="15" t="s">
        <v>26201</v>
      </c>
      <c r="D36028" s="15" t="s">
        <v>26300</v>
      </c>
      <c r="E36028" s="2">
        <v>324496</v>
      </c>
      <c r="F36028" s="4" t="e">
        <f>IF(B36028=#REF!,"",B36028)</f>
        <v>#REF!</v>
      </c>
    </row>
    <row r="36029" spans="1:6" ht="15.75" customHeight="1">
      <c r="A36029" s="15" t="s">
        <v>27812</v>
      </c>
      <c r="B36029" s="15" t="s">
        <v>27812</v>
      </c>
      <c r="C36029" s="15" t="s">
        <v>27788</v>
      </c>
      <c r="D36029" s="15" t="s">
        <v>27813</v>
      </c>
      <c r="E36029" s="2">
        <v>5145476</v>
      </c>
      <c r="F36029" s="4" t="str">
        <f>IF(B36029=B36028,"",B36029)</f>
        <v>Akron</v>
      </c>
    </row>
    <row r="36030" spans="1:6" ht="15.75" customHeight="1">
      <c r="A36030" s="16" t="str">
        <f ca="1">IFERROR(__xludf.DUMMYFUNCTION("GOOGLETRANSLATE(B25871,""en"",""pt"")"),"Akoupé")</f>
        <v>Akoupé</v>
      </c>
      <c r="B36030" s="20" t="s">
        <v>31789</v>
      </c>
      <c r="C36030" s="20" t="s">
        <v>15586</v>
      </c>
      <c r="D36030" s="20" t="s">
        <v>15589</v>
      </c>
      <c r="E36030" s="10">
        <v>2293107</v>
      </c>
      <c r="F36030" s="4" t="str">
        <f>IF(B36030=B36029,"",B36030)</f>
        <v>Akoupé</v>
      </c>
    </row>
    <row r="36031" spans="1:6" ht="15.75" customHeight="1">
      <c r="A36031" s="15" t="s">
        <v>15604</v>
      </c>
      <c r="B36031" s="15" t="s">
        <v>15605</v>
      </c>
      <c r="C36031" s="15" t="s">
        <v>15586</v>
      </c>
      <c r="D36031" s="15" t="s">
        <v>15589</v>
      </c>
      <c r="E36031" s="2">
        <v>2293107</v>
      </c>
      <c r="F36031" s="4" t="e">
        <f>IF(B36031=#REF!,"",B36031)</f>
        <v>#REF!</v>
      </c>
    </row>
    <row r="36032" spans="1:6" ht="15.75" customHeight="1">
      <c r="A36032" s="15" t="s">
        <v>26089</v>
      </c>
      <c r="B36032" s="15" t="s">
        <v>26089</v>
      </c>
      <c r="C36032" s="15" t="s">
        <v>26090</v>
      </c>
      <c r="D36032" s="15" t="s">
        <v>26091</v>
      </c>
      <c r="E36032" s="2">
        <v>2473913</v>
      </c>
      <c r="F36032" s="4" t="e">
        <f>IF(B36032=#REF!,"",B36032)</f>
        <v>#REF!</v>
      </c>
    </row>
    <row r="36033" spans="1:6" ht="15.75" customHeight="1">
      <c r="A36033" s="15" t="s">
        <v>10279</v>
      </c>
      <c r="B36033" s="15" t="s">
        <v>10279</v>
      </c>
      <c r="C36033" s="15" t="s">
        <v>10178</v>
      </c>
      <c r="D36033" s="15" t="s">
        <v>10214</v>
      </c>
      <c r="E36033" s="2">
        <v>1279094</v>
      </c>
      <c r="F36033" s="4" t="e">
        <f>IF(B36033=#REF!,"",B36033)</f>
        <v>#REF!</v>
      </c>
    </row>
    <row r="36034" spans="1:6" ht="15.75" customHeight="1">
      <c r="A36034" s="15" t="s">
        <v>19815</v>
      </c>
      <c r="B36034" s="15" t="s">
        <v>19815</v>
      </c>
      <c r="C36034" s="15" t="s">
        <v>19808</v>
      </c>
      <c r="D36034" s="15" t="s">
        <v>19811</v>
      </c>
      <c r="E36034" s="2">
        <v>1184752</v>
      </c>
      <c r="F36034" s="4" t="e">
        <f>IF(B36034=#REF!,"",B36034)</f>
        <v>#REF!</v>
      </c>
    </row>
    <row r="36035" spans="1:6" ht="15.75" customHeight="1">
      <c r="A36035" s="16" t="s">
        <v>3886</v>
      </c>
      <c r="B36035" s="15" t="s">
        <v>3886</v>
      </c>
      <c r="C36035" s="16" t="s">
        <v>3884</v>
      </c>
      <c r="D36035" s="16" t="s">
        <v>3813</v>
      </c>
      <c r="E36035" s="2">
        <v>2235776</v>
      </c>
      <c r="F36035" s="4" t="e">
        <f>IF(B36035=#REF!,"",B36035)</f>
        <v>#REF!</v>
      </c>
    </row>
    <row r="36036" spans="1:6" ht="15.75" customHeight="1">
      <c r="A36036" s="15" t="s">
        <v>10278</v>
      </c>
      <c r="B36036" s="15" t="s">
        <v>10278</v>
      </c>
      <c r="C36036" s="15" t="s">
        <v>10178</v>
      </c>
      <c r="D36036" s="15" t="s">
        <v>10214</v>
      </c>
      <c r="E36036" s="2">
        <v>1279105</v>
      </c>
      <c r="F36036" s="4" t="e">
        <f>IF(B36036=#REF!,"",B36036)</f>
        <v>#REF!</v>
      </c>
    </row>
    <row r="36037" spans="1:6" ht="15.75" customHeight="1">
      <c r="A36037" s="15" t="s">
        <v>10277</v>
      </c>
      <c r="B36037" s="15" t="s">
        <v>10277</v>
      </c>
      <c r="C36037" s="15" t="s">
        <v>10178</v>
      </c>
      <c r="D36037" s="15" t="s">
        <v>10179</v>
      </c>
      <c r="E36037" s="2">
        <v>1279115</v>
      </c>
      <c r="F36037" s="4" t="str">
        <f>IF(B36037=B36036,"",B36037)</f>
        <v>Aklera</v>
      </c>
    </row>
    <row r="36038" spans="1:6" ht="15.75" customHeight="1">
      <c r="A36038" s="15" t="s">
        <v>16673</v>
      </c>
      <c r="B36038" s="15" t="s">
        <v>16674</v>
      </c>
      <c r="C36038" s="15" t="s">
        <v>16671</v>
      </c>
      <c r="D36038" s="15" t="s">
        <v>16675</v>
      </c>
      <c r="E36038" s="2">
        <v>1526797</v>
      </c>
      <c r="F36038" s="4" t="str">
        <f>IF(B36038=B36037,"",B36038)</f>
        <v>Akkolâ€™</v>
      </c>
    </row>
    <row r="36039" spans="1:6" ht="15.75" customHeight="1">
      <c r="A36039" s="16" t="str">
        <f ca="1">IFERROR(__xludf.DUMMYFUNCTION("GOOGLETRANSLATE(B36259,""en"",""pt"")"),"Akkol '")</f>
        <v>Akkol '</v>
      </c>
      <c r="B36039" s="20" t="s">
        <v>34507</v>
      </c>
      <c r="C36039" s="20" t="s">
        <v>16671</v>
      </c>
      <c r="D36039" s="20" t="s">
        <v>16675</v>
      </c>
      <c r="E36039" s="10">
        <v>1526797</v>
      </c>
      <c r="F36039" s="4" t="e">
        <f>IF(B36039=#REF!,"",B36039)</f>
        <v>#REF!</v>
      </c>
    </row>
    <row r="36040" spans="1:6" ht="15.75" customHeight="1">
      <c r="A36040" s="16" t="s">
        <v>10276</v>
      </c>
      <c r="B36040" s="15" t="s">
        <v>10276</v>
      </c>
      <c r="C36040" s="16" t="s">
        <v>10178</v>
      </c>
      <c r="D36040" s="16" t="s">
        <v>10190</v>
      </c>
      <c r="E36040" s="2">
        <v>7302805</v>
      </c>
      <c r="F36040" s="4" t="str">
        <f>IF(B36040=B36039,"",B36040)</f>
        <v>Akkarampalle</v>
      </c>
    </row>
    <row r="36041" spans="1:6" ht="15.75" customHeight="1">
      <c r="A36041" s="16" t="str">
        <f ca="1">IFERROR(__xludf.DUMMYFUNCTION("GOOGLETRANSLATE(B34154,""en"",""pt"")"),"Akivīdu")</f>
        <v>Akivīdu</v>
      </c>
      <c r="B36041" s="20" t="s">
        <v>34051</v>
      </c>
      <c r="C36041" s="20" t="s">
        <v>10178</v>
      </c>
      <c r="D36041" s="20" t="s">
        <v>10190</v>
      </c>
      <c r="E36041" s="10">
        <v>1279123</v>
      </c>
      <c r="F36041" s="4" t="str">
        <f>IF(B36041=B36040,"",B36041)</f>
        <v>Akivīdu</v>
      </c>
    </row>
    <row r="36042" spans="1:6" ht="15.75" customHeight="1">
      <c r="A36042" s="15" t="s">
        <v>10274</v>
      </c>
      <c r="B36042" s="15" t="s">
        <v>10275</v>
      </c>
      <c r="C36042" s="15" t="s">
        <v>10178</v>
      </c>
      <c r="D36042" s="15" t="s">
        <v>10190</v>
      </c>
      <c r="E36042" s="2">
        <v>1279123</v>
      </c>
      <c r="F36042" s="4" t="e">
        <f>IF(B36042=#REF!,"",B36042)</f>
        <v>#REF!</v>
      </c>
    </row>
    <row r="36043" spans="1:6" ht="15.75" customHeight="1">
      <c r="A36043" s="15" t="s">
        <v>15717</v>
      </c>
      <c r="B36043" s="15" t="s">
        <v>15717</v>
      </c>
      <c r="C36043" s="15" t="s">
        <v>15704</v>
      </c>
      <c r="D36043" s="15" t="s">
        <v>15716</v>
      </c>
      <c r="E36043" s="2">
        <v>2113719</v>
      </c>
      <c r="F36043" s="4" t="e">
        <f>IF(B36043=#REF!,"",B36043)</f>
        <v>#REF!</v>
      </c>
    </row>
    <row r="36044" spans="1:6" ht="15.75" customHeight="1">
      <c r="A36044" s="15" t="s">
        <v>15716</v>
      </c>
      <c r="B36044" s="15" t="s">
        <v>15716</v>
      </c>
      <c r="C36044" s="15" t="s">
        <v>15704</v>
      </c>
      <c r="D36044" s="15" t="s">
        <v>15716</v>
      </c>
      <c r="E36044" s="2">
        <v>2113126</v>
      </c>
      <c r="F36044" s="4" t="e">
        <f>IF(B36044=#REF!,"",B36044)</f>
        <v>#REF!</v>
      </c>
    </row>
    <row r="36045" spans="1:6" ht="15.75" customHeight="1">
      <c r="A36045" s="15" t="s">
        <v>9372</v>
      </c>
      <c r="B36045" s="15" t="s">
        <v>9372</v>
      </c>
      <c r="C36045" s="15" t="s">
        <v>9365</v>
      </c>
      <c r="D36045" s="15" t="s">
        <v>9366</v>
      </c>
      <c r="E36045" s="2">
        <v>2296564</v>
      </c>
      <c r="F36045" s="4" t="e">
        <f>IF(B36045=#REF!,"",B36045)</f>
        <v>#REF!</v>
      </c>
    </row>
    <row r="36046" spans="1:6" ht="15.75" customHeight="1">
      <c r="A36046" s="15" t="s">
        <v>15714</v>
      </c>
      <c r="B36046" s="15" t="s">
        <v>15714</v>
      </c>
      <c r="C36046" s="15" t="s">
        <v>15704</v>
      </c>
      <c r="D36046" s="15" t="s">
        <v>15715</v>
      </c>
      <c r="E36046" s="2">
        <v>1865449</v>
      </c>
      <c r="F36046" s="4" t="e">
        <f>IF(B36046=#REF!,"",B36046)</f>
        <v>#REF!</v>
      </c>
    </row>
    <row r="36047" spans="1:6" ht="15.75" customHeight="1">
      <c r="A36047" s="16" t="s">
        <v>22097</v>
      </c>
      <c r="B36047" s="15" t="s">
        <v>22097</v>
      </c>
      <c r="C36047" s="16" t="s">
        <v>22070</v>
      </c>
      <c r="D36047" s="16" t="s">
        <v>22077</v>
      </c>
      <c r="E36047" s="2">
        <v>583785</v>
      </c>
      <c r="F36047" s="4" t="e">
        <f>IF(B36047=#REF!,"",B36047)</f>
        <v>#REF!</v>
      </c>
    </row>
    <row r="36048" spans="1:6" ht="15.75" customHeight="1">
      <c r="A36048" s="16" t="s">
        <v>22095</v>
      </c>
      <c r="B36048" s="15" t="s">
        <v>22095</v>
      </c>
      <c r="C36048" s="16" t="s">
        <v>22070</v>
      </c>
      <c r="D36048" s="16" t="s">
        <v>22096</v>
      </c>
      <c r="E36048" s="2">
        <v>583798</v>
      </c>
      <c r="F36048" s="4" t="str">
        <f>IF(B36048=B36047,"",B36048)</f>
        <v>Akhtubinsk</v>
      </c>
    </row>
    <row r="36049" spans="1:6" ht="15.75" customHeight="1">
      <c r="A36049" s="16" t="str">
        <f ca="1">IFERROR(__xludf.DUMMYFUNCTION("GOOGLETRANSLATE(B28931,""en"",""pt"")"),"Akhmīm")</f>
        <v>Akhmīm</v>
      </c>
      <c r="B36049" s="20" t="s">
        <v>32341</v>
      </c>
      <c r="C36049" s="20" t="s">
        <v>6495</v>
      </c>
      <c r="D36049" s="20" t="s">
        <v>32254</v>
      </c>
      <c r="E36049" s="10">
        <v>361661</v>
      </c>
      <c r="F36049" s="4" t="str">
        <f>IF(B36049=B36048,"",B36049)</f>
        <v>Akhmīm</v>
      </c>
    </row>
    <row r="36050" spans="1:6" ht="15.75" customHeight="1">
      <c r="A36050" s="16" t="s">
        <v>6532</v>
      </c>
      <c r="B36050" s="15" t="s">
        <v>6533</v>
      </c>
      <c r="C36050" s="16" t="s">
        <v>6495</v>
      </c>
      <c r="D36050" s="16" t="s">
        <v>6505</v>
      </c>
      <c r="E36050" s="2">
        <v>361661</v>
      </c>
      <c r="F36050" s="4" t="e">
        <f>IF(B36050=#REF!,"",B36050)</f>
        <v>#REF!</v>
      </c>
    </row>
    <row r="36051" spans="1:6" ht="15.75" customHeight="1">
      <c r="A36051" s="15" t="s">
        <v>26298</v>
      </c>
      <c r="B36051" s="15" t="s">
        <v>26298</v>
      </c>
      <c r="C36051" s="15" t="s">
        <v>26201</v>
      </c>
      <c r="D36051" s="15" t="s">
        <v>26299</v>
      </c>
      <c r="E36051" s="2">
        <v>324698</v>
      </c>
      <c r="F36051" s="4" t="e">
        <f>IF(B36051=#REF!,"",B36051)</f>
        <v>#REF!</v>
      </c>
    </row>
    <row r="36052" spans="1:6" ht="15.75" customHeight="1">
      <c r="A36052" s="16" t="s">
        <v>7987</v>
      </c>
      <c r="B36052" s="15" t="s">
        <v>7987</v>
      </c>
      <c r="C36052" s="16" t="s">
        <v>7988</v>
      </c>
      <c r="D36052" s="16" t="s">
        <v>7989</v>
      </c>
      <c r="E36052" s="2">
        <v>615860</v>
      </c>
      <c r="F36052" s="4" t="e">
        <f>IF(B36052=#REF!,"",B36052)</f>
        <v>#REF!</v>
      </c>
    </row>
    <row r="36053" spans="1:6" ht="15.75" customHeight="1">
      <c r="A36053" s="15" t="s">
        <v>6126</v>
      </c>
      <c r="B36053" s="15" t="s">
        <v>6126</v>
      </c>
      <c r="C36053" s="15" t="s">
        <v>6127</v>
      </c>
      <c r="D36053" s="15" t="s">
        <v>6128</v>
      </c>
      <c r="E36053" s="2">
        <v>220448</v>
      </c>
      <c r="F36053" s="4" t="str">
        <f>IF(B36053=B36052,"",B36053)</f>
        <v>Aketi</v>
      </c>
    </row>
    <row r="36054" spans="1:6" ht="15.75" customHeight="1">
      <c r="A36054" s="16" t="str">
        <f ca="1">IFERROR(__xludf.DUMMYFUNCTION("GOOGLETRANSLATE(B41207,""en"",""pt"")"),"Åkersberga")</f>
        <v>Åkersberga</v>
      </c>
      <c r="B36054" s="20" t="s">
        <v>35664</v>
      </c>
      <c r="C36054" s="20" t="s">
        <v>25077</v>
      </c>
      <c r="D36054" s="20" t="s">
        <v>25081</v>
      </c>
      <c r="E36054" s="10">
        <v>2727234</v>
      </c>
      <c r="F36054" s="4" t="str">
        <f>IF(B36054=B36053,"",B36054)</f>
        <v>Åkersberga</v>
      </c>
    </row>
    <row r="36055" spans="1:6" ht="15.75" customHeight="1">
      <c r="A36055" s="16" t="str">
        <f ca="1">IFERROR(__xludf.DUMMYFUNCTION("GOOGLETRANSLATE(B42076,""en"",""pt"")"),"Akdağmadeni")</f>
        <v>Akdağmadeni</v>
      </c>
      <c r="B36055" s="20" t="s">
        <v>35907</v>
      </c>
      <c r="C36055" s="20" t="s">
        <v>26201</v>
      </c>
      <c r="D36055" s="20" t="s">
        <v>26297</v>
      </c>
      <c r="E36055" s="10">
        <v>324768</v>
      </c>
      <c r="F36055" s="4" t="str">
        <f>IF(B36055=B36054,"",B36055)</f>
        <v>Akdağmadeni</v>
      </c>
    </row>
    <row r="36056" spans="1:6" ht="15.75" customHeight="1">
      <c r="A36056" s="16" t="s">
        <v>26295</v>
      </c>
      <c r="B36056" s="15" t="s">
        <v>26296</v>
      </c>
      <c r="C36056" s="16" t="s">
        <v>26201</v>
      </c>
      <c r="D36056" s="16" t="s">
        <v>26297</v>
      </c>
      <c r="E36056" s="2">
        <v>324768</v>
      </c>
      <c r="F36056" s="4" t="str">
        <f>IF(B36056=B36055,"",B36056)</f>
        <v>AkdaÄŸmadeni</v>
      </c>
    </row>
    <row r="36057" spans="1:6" ht="15.75" customHeight="1">
      <c r="A36057" s="16" t="str">
        <f ca="1">IFERROR(__xludf.DUMMYFUNCTION("GOOGLETRANSLATE(B42227,""en"",""pt"")"),"Akçakoca")</f>
        <v>Akçakoca</v>
      </c>
      <c r="B36057" s="20" t="s">
        <v>35970</v>
      </c>
      <c r="C36057" s="20" t="s">
        <v>26201</v>
      </c>
      <c r="D36057" s="20" t="s">
        <v>35949</v>
      </c>
      <c r="E36057" s="10">
        <v>752584</v>
      </c>
      <c r="F36057" s="4" t="str">
        <f>IF(B36057=B36056,"",B36057)</f>
        <v>Akçakoca</v>
      </c>
    </row>
    <row r="36058" spans="1:6" ht="15.75" customHeight="1">
      <c r="A36058" s="16" t="str">
        <f ca="1">IFERROR(__xludf.DUMMYFUNCTION("GOOGLETRANSLATE(B42077,""en"",""pt"")"),"Akçakale")</f>
        <v>Akçakale</v>
      </c>
      <c r="B36058" s="20" t="s">
        <v>35908</v>
      </c>
      <c r="C36058" s="20" t="s">
        <v>26201</v>
      </c>
      <c r="D36058" s="20" t="s">
        <v>35822</v>
      </c>
      <c r="E36058" s="10">
        <v>324944</v>
      </c>
      <c r="F36058" s="4" t="str">
        <f>IF(B36058=B36057,"",B36058)</f>
        <v>Akçakale</v>
      </c>
    </row>
    <row r="36059" spans="1:6" ht="15.75" customHeight="1">
      <c r="A36059" s="16" t="str">
        <f ca="1">IFERROR(__xludf.DUMMYFUNCTION("GOOGLETRANSLATE(B42228,""en"",""pt"")"),"Akçaabat")</f>
        <v>Akçaabat</v>
      </c>
      <c r="B36059" s="20" t="s">
        <v>35971</v>
      </c>
      <c r="C36059" s="20" t="s">
        <v>26201</v>
      </c>
      <c r="D36059" s="20" t="s">
        <v>26286</v>
      </c>
      <c r="E36059" s="10">
        <v>752627</v>
      </c>
      <c r="F36059" s="4" t="e">
        <f>IF(B36059=#REF!,"",B36059)</f>
        <v>#REF!</v>
      </c>
    </row>
    <row r="36060" spans="1:6" ht="15.75" customHeight="1">
      <c r="A36060" s="15" t="s">
        <v>220</v>
      </c>
      <c r="B36060" s="15" t="s">
        <v>220</v>
      </c>
      <c r="C36060" s="15" t="s">
        <v>153</v>
      </c>
      <c r="D36060" s="15" t="s">
        <v>221</v>
      </c>
      <c r="E36060" s="2">
        <v>2507646</v>
      </c>
      <c r="F36060" s="4" t="e">
        <f>IF(B36060=#REF!,"",B36060)</f>
        <v>#REF!</v>
      </c>
    </row>
    <row r="36061" spans="1:6" ht="15.75" customHeight="1">
      <c r="A36061" s="15" t="s">
        <v>10273</v>
      </c>
      <c r="B36061" s="15" t="s">
        <v>10273</v>
      </c>
      <c r="C36061" s="15" t="s">
        <v>10178</v>
      </c>
      <c r="D36061" s="15" t="s">
        <v>10193</v>
      </c>
      <c r="E36061" s="2">
        <v>1279134</v>
      </c>
      <c r="F36061" s="4" t="str">
        <f>IF(B36061=B36060,"",B36061)</f>
        <v>Akbarpur</v>
      </c>
    </row>
    <row r="36062" spans="1:6" ht="15.75" customHeight="1">
      <c r="A36062" s="16" t="str">
        <f ca="1">IFERROR(__xludf.DUMMYFUNCTION("GOOGLETRANSLATE(B34503,""en"",""pt"")"),"Akbarābād")</f>
        <v>Akbarābād</v>
      </c>
      <c r="B36062" s="20" t="s">
        <v>34243</v>
      </c>
      <c r="C36062" s="20" t="s">
        <v>14240</v>
      </c>
      <c r="D36062" s="20" t="s">
        <v>14244</v>
      </c>
      <c r="E36062" s="10">
        <v>144410</v>
      </c>
      <c r="F36062" s="4" t="str">
        <f>IF(B36062=B36061,"",B36062)</f>
        <v>Akbarābād</v>
      </c>
    </row>
    <row r="36063" spans="1:6" ht="15.75" customHeight="1">
      <c r="A36063" s="16" t="s">
        <v>14277</v>
      </c>
      <c r="B36063" s="15" t="s">
        <v>14278</v>
      </c>
      <c r="C36063" s="16" t="s">
        <v>14240</v>
      </c>
      <c r="D36063" s="16" t="s">
        <v>14244</v>
      </c>
      <c r="E36063" s="2">
        <v>144410</v>
      </c>
      <c r="F36063" s="4" t="str">
        <f>IF(B36063=B36062,"",B36063)</f>
        <v>AkbarÄbÄd</v>
      </c>
    </row>
    <row r="36064" spans="1:6" ht="15.75" customHeight="1">
      <c r="A36064" s="15" t="s">
        <v>26293</v>
      </c>
      <c r="B36064" s="15" t="s">
        <v>26294</v>
      </c>
      <c r="C36064" s="15" t="s">
        <v>26201</v>
      </c>
      <c r="D36064" s="15" t="s">
        <v>26265</v>
      </c>
      <c r="E36064" s="2">
        <v>324490</v>
      </c>
      <c r="F36064" s="4" t="e">
        <f>IF(B36064=#REF!,"",B36064)</f>
        <v>#REF!</v>
      </c>
    </row>
    <row r="36065" spans="1:6" ht="15.75" customHeight="1">
      <c r="A36065" s="15" t="s">
        <v>15713</v>
      </c>
      <c r="B36065" s="15" t="s">
        <v>15713</v>
      </c>
      <c r="C36065" s="15" t="s">
        <v>15704</v>
      </c>
      <c r="D36065" s="15" t="s">
        <v>15712</v>
      </c>
      <c r="E36065" s="2">
        <v>1847966</v>
      </c>
      <c r="F36065" s="4" t="e">
        <f>IF(B36065=#REF!,"",B36065)</f>
        <v>#REF!</v>
      </c>
    </row>
    <row r="36066" spans="1:6" ht="15.75" customHeight="1">
      <c r="A36066" s="15" t="s">
        <v>10271</v>
      </c>
      <c r="B36066" s="15" t="s">
        <v>10271</v>
      </c>
      <c r="C36066" s="15" t="s">
        <v>10178</v>
      </c>
      <c r="D36066" s="15" t="s">
        <v>10272</v>
      </c>
      <c r="E36066" s="2">
        <v>1279144</v>
      </c>
      <c r="F36066" s="4" t="e">
        <f>IF(B36066=#REF!,"",B36066)</f>
        <v>#REF!</v>
      </c>
    </row>
    <row r="36067" spans="1:6" ht="15.75" customHeight="1">
      <c r="A36067" s="15" t="s">
        <v>10270</v>
      </c>
      <c r="B36067" s="15" t="s">
        <v>10270</v>
      </c>
      <c r="C36067" s="15" t="s">
        <v>10178</v>
      </c>
      <c r="D36067" s="15" t="s">
        <v>10214</v>
      </c>
      <c r="E36067" s="2">
        <v>1279147</v>
      </c>
      <c r="F36067" s="4" t="e">
        <f>IF(B36067=#REF!,"",B36067)</f>
        <v>#REF!</v>
      </c>
    </row>
    <row r="36068" spans="1:6" ht="15.75" customHeight="1">
      <c r="A36068" s="16" t="s">
        <v>22093</v>
      </c>
      <c r="B36068" s="15" t="s">
        <v>22093</v>
      </c>
      <c r="C36068" s="16" t="s">
        <v>22070</v>
      </c>
      <c r="D36068" s="16" t="s">
        <v>22094</v>
      </c>
      <c r="E36068" s="2">
        <v>8504958</v>
      </c>
      <c r="F36068" s="4" t="e">
        <f>IF(B36068=#REF!,"",B36068)</f>
        <v>#REF!</v>
      </c>
    </row>
    <row r="36069" spans="1:6" ht="15.75" customHeight="1">
      <c r="A36069" s="16" t="s">
        <v>22091</v>
      </c>
      <c r="B36069" s="15" t="s">
        <v>22091</v>
      </c>
      <c r="C36069" s="16" t="s">
        <v>22070</v>
      </c>
      <c r="D36069" s="16" t="s">
        <v>22092</v>
      </c>
      <c r="E36069" s="2">
        <v>1512086</v>
      </c>
      <c r="F36069" s="4" t="str">
        <f>IF(B36069=B36068,"",B36069)</f>
        <v>Akademgorodok</v>
      </c>
    </row>
    <row r="36070" spans="1:6" ht="15.75" customHeight="1">
      <c r="A36070" s="16" t="s">
        <v>26290</v>
      </c>
      <c r="B36070" s="15" t="s">
        <v>26291</v>
      </c>
      <c r="C36070" s="16" t="s">
        <v>26201</v>
      </c>
      <c r="D36070" s="16" t="s">
        <v>26292</v>
      </c>
      <c r="E36070" s="2">
        <v>752584</v>
      </c>
      <c r="F36070" s="4" t="str">
        <f>IF(B36070=B36069,"",B36070)</f>
        <v>AkÃ§akoca</v>
      </c>
    </row>
    <row r="36071" spans="1:6" ht="15.75" customHeight="1">
      <c r="A36071" s="16" t="s">
        <v>26287</v>
      </c>
      <c r="B36071" s="15" t="s">
        <v>26288</v>
      </c>
      <c r="C36071" s="16" t="s">
        <v>26201</v>
      </c>
      <c r="D36071" s="16" t="s">
        <v>26289</v>
      </c>
      <c r="E36071" s="2">
        <v>324944</v>
      </c>
      <c r="F36071" s="4" t="str">
        <f>IF(B36071=B36070,"",B36071)</f>
        <v>AkÃ§akale</v>
      </c>
    </row>
    <row r="36072" spans="1:6" ht="15.75" customHeight="1">
      <c r="A36072" s="16" t="s">
        <v>26284</v>
      </c>
      <c r="B36072" s="15" t="s">
        <v>26285</v>
      </c>
      <c r="C36072" s="16" t="s">
        <v>26201</v>
      </c>
      <c r="D36072" s="16" t="s">
        <v>26286</v>
      </c>
      <c r="E36072" s="2">
        <v>752627</v>
      </c>
      <c r="F36072" s="4" t="e">
        <f>IF(B36072=#REF!,"",B36072)</f>
        <v>#REF!</v>
      </c>
    </row>
    <row r="36073" spans="1:6" ht="15.75" customHeight="1">
      <c r="A36073" s="15" t="s">
        <v>10268</v>
      </c>
      <c r="B36073" s="15" t="s">
        <v>10269</v>
      </c>
      <c r="C36073" s="15" t="s">
        <v>10178</v>
      </c>
      <c r="D36073" s="15" t="s">
        <v>10214</v>
      </c>
      <c r="E36073" s="2">
        <v>1279154</v>
      </c>
      <c r="F36073" s="4" t="e">
        <f>IF(B36073=#REF!,"",B36073)</f>
        <v>#REF!</v>
      </c>
    </row>
    <row r="36074" spans="1:6" ht="15.75" customHeight="1">
      <c r="A36074" s="15" t="s">
        <v>10267</v>
      </c>
      <c r="B36074" s="15" t="s">
        <v>10267</v>
      </c>
      <c r="C36074" s="15" t="s">
        <v>10178</v>
      </c>
      <c r="D36074" s="15" t="s">
        <v>10193</v>
      </c>
      <c r="E36074" s="2">
        <v>1278094</v>
      </c>
      <c r="F36074" s="4" t="str">
        <f>IF(B36074=B36073,"",B36074)</f>
        <v>Ajodhya</v>
      </c>
    </row>
    <row r="36075" spans="1:6" ht="15.75" customHeight="1">
      <c r="A36075" s="16" t="str">
        <f ca="1">IFERROR(__xludf.DUMMYFUNCTION("GOOGLETRANSLATE(B34160,""en"",""pt"")"),"Ajnāla")</f>
        <v>Ajnāla</v>
      </c>
      <c r="B36075" s="20" t="s">
        <v>34052</v>
      </c>
      <c r="C36075" s="20" t="s">
        <v>10178</v>
      </c>
      <c r="D36075" s="20" t="s">
        <v>10184</v>
      </c>
      <c r="E36075" s="10">
        <v>1279158</v>
      </c>
      <c r="F36075" s="4" t="str">
        <f>IF(B36075=B36074,"",B36075)</f>
        <v>Ajnāla</v>
      </c>
    </row>
    <row r="36076" spans="1:6" ht="15.75" customHeight="1">
      <c r="A36076" s="15" t="s">
        <v>10265</v>
      </c>
      <c r="B36076" s="15" t="s">
        <v>10266</v>
      </c>
      <c r="C36076" s="15" t="s">
        <v>10178</v>
      </c>
      <c r="D36076" s="15" t="s">
        <v>10184</v>
      </c>
      <c r="E36076" s="2">
        <v>1279158</v>
      </c>
      <c r="F36076" s="4" t="e">
        <f>IF(B36076=#REF!,"",B36076)</f>
        <v>#REF!</v>
      </c>
    </row>
    <row r="36077" spans="1:6" ht="15.75" customHeight="1">
      <c r="A36077" s="15" t="s">
        <v>10264</v>
      </c>
      <c r="B36077" s="15" t="s">
        <v>10264</v>
      </c>
      <c r="C36077" s="15" t="s">
        <v>10178</v>
      </c>
      <c r="D36077" s="15" t="s">
        <v>10179</v>
      </c>
      <c r="E36077" s="2">
        <v>1279159</v>
      </c>
      <c r="F36077" s="4" t="e">
        <f>IF(B36077=#REF!,"",B36077)</f>
        <v>#REF!</v>
      </c>
    </row>
    <row r="36078" spans="1:6" ht="15.75" customHeight="1">
      <c r="A36078" s="15" t="s">
        <v>27217</v>
      </c>
      <c r="B36078" s="15" t="s">
        <v>27217</v>
      </c>
      <c r="C36078" s="15" t="s">
        <v>27213</v>
      </c>
      <c r="D36078" s="15" t="s">
        <v>27217</v>
      </c>
      <c r="E36078" s="2">
        <v>292932</v>
      </c>
      <c r="F36078" s="4" t="e">
        <f>IF(B36078=#REF!,"",B36078)</f>
        <v>#REF!</v>
      </c>
    </row>
    <row r="36079" spans="1:6" ht="15.75" customHeight="1">
      <c r="A36079" s="15" t="s">
        <v>9962</v>
      </c>
      <c r="B36079" s="15" t="s">
        <v>9962</v>
      </c>
      <c r="C36079" s="15" t="s">
        <v>9955</v>
      </c>
      <c r="D36079" s="15" t="s">
        <v>9963</v>
      </c>
      <c r="E36079" s="2">
        <v>3056357</v>
      </c>
      <c r="F36079" s="4" t="e">
        <f>IF(B36079=#REF!,"",B36079)</f>
        <v>#REF!</v>
      </c>
    </row>
    <row r="36080" spans="1:6" ht="15.75" customHeight="1">
      <c r="A36080" s="15" t="s">
        <v>17073</v>
      </c>
      <c r="B36080" s="15" t="s">
        <v>17073</v>
      </c>
      <c r="C36080" s="15" t="s">
        <v>17074</v>
      </c>
      <c r="D36080" s="15" t="s">
        <v>17075</v>
      </c>
      <c r="E36080" s="2">
        <v>89113</v>
      </c>
      <c r="F36080" s="4" t="e">
        <f>IF(B36080=#REF!,"",B36080)</f>
        <v>#REF!</v>
      </c>
    </row>
    <row r="36081" spans="1:6" ht="15.75" customHeight="1">
      <c r="A36081" s="15" t="s">
        <v>3979</v>
      </c>
      <c r="B36081" s="15" t="s">
        <v>3979</v>
      </c>
      <c r="C36081" s="15" t="s">
        <v>3975</v>
      </c>
      <c r="D36081" s="15" t="s">
        <v>3980</v>
      </c>
      <c r="E36081" s="2">
        <v>5882873</v>
      </c>
      <c r="F36081" s="4" t="e">
        <f>IF(B36081=#REF!,"",B36081)</f>
        <v>#REF!</v>
      </c>
    </row>
    <row r="36082" spans="1:6" ht="15.75" customHeight="1">
      <c r="A36082" s="15" t="s">
        <v>19309</v>
      </c>
      <c r="B36082" s="15" t="s">
        <v>19309</v>
      </c>
      <c r="C36082" s="15" t="s">
        <v>19294</v>
      </c>
      <c r="D36082" s="15" t="s">
        <v>19310</v>
      </c>
      <c r="E36082" s="2">
        <v>2351470</v>
      </c>
      <c r="F36082" s="4" t="e">
        <f>IF(B36082=#REF!,"",B36082)</f>
        <v>#REF!</v>
      </c>
    </row>
    <row r="36083" spans="1:6" ht="15.75" customHeight="1">
      <c r="A36083" s="15" t="s">
        <v>17734</v>
      </c>
      <c r="B36083" s="15" t="s">
        <v>17734</v>
      </c>
      <c r="C36083" s="15" t="s">
        <v>17707</v>
      </c>
      <c r="D36083" s="15" t="s">
        <v>17717</v>
      </c>
      <c r="E36083" s="2">
        <v>3533126</v>
      </c>
      <c r="F36083" s="4" t="e">
        <f>IF(B36083=#REF!,"",B36083)</f>
        <v>#REF!</v>
      </c>
    </row>
    <row r="36084" spans="1:6" ht="15.75" customHeight="1">
      <c r="A36084" s="15" t="s">
        <v>7090</v>
      </c>
      <c r="B36084" s="15" t="s">
        <v>7090</v>
      </c>
      <c r="C36084" s="15" t="s">
        <v>7052</v>
      </c>
      <c r="D36084" s="15" t="s">
        <v>7091</v>
      </c>
      <c r="E36084" s="2">
        <v>3038334</v>
      </c>
      <c r="F36084" s="4" t="str">
        <f>IF(B36084=B36083,"",B36084)</f>
        <v>Ajaccio</v>
      </c>
    </row>
    <row r="36085" spans="1:6" ht="15.75" customHeight="1">
      <c r="A36085" s="15" t="s">
        <v>6530</v>
      </c>
      <c r="B36085" s="15" t="s">
        <v>6531</v>
      </c>
      <c r="C36085" s="15" t="s">
        <v>6495</v>
      </c>
      <c r="D36085" s="15" t="s">
        <v>6508</v>
      </c>
      <c r="E36085" s="2">
        <v>361702</v>
      </c>
      <c r="F36085" s="4" t="str">
        <f>IF(B36085=B36084,"",B36085)</f>
        <v>AjÄ</v>
      </c>
    </row>
    <row r="36086" spans="1:6" ht="15.75" customHeight="1">
      <c r="A36086" s="16" t="str">
        <f ca="1">IFERROR(__xludf.DUMMYFUNCTION("GOOGLETRANSLATE(B28932,""en"",""pt"")"),"Ajā")</f>
        <v>Ajā</v>
      </c>
      <c r="B36086" s="20" t="s">
        <v>32342</v>
      </c>
      <c r="C36086" s="20" t="s">
        <v>6495</v>
      </c>
      <c r="D36086" s="20" t="s">
        <v>32250</v>
      </c>
      <c r="E36086" s="10">
        <v>361702</v>
      </c>
      <c r="F36086" s="4" t="e">
        <f>IF(B36086=#REF!,"",B36086)</f>
        <v>#REF!</v>
      </c>
    </row>
    <row r="36087" spans="1:6" ht="15.75" customHeight="1">
      <c r="A36087" s="15" t="s">
        <v>10262</v>
      </c>
      <c r="B36087" s="15" t="s">
        <v>10262</v>
      </c>
      <c r="C36087" s="15" t="s">
        <v>10178</v>
      </c>
      <c r="D36087" s="15" t="s">
        <v>10263</v>
      </c>
      <c r="E36087" s="2">
        <v>1279186</v>
      </c>
      <c r="F36087" s="4" t="e">
        <f>IF(B36087=#REF!,"",B36087)</f>
        <v>#REF!</v>
      </c>
    </row>
    <row r="36088" spans="1:6" ht="15.75" customHeight="1">
      <c r="A36088" s="16" t="s">
        <v>7088</v>
      </c>
      <c r="B36088" s="15" t="s">
        <v>7089</v>
      </c>
      <c r="C36088" s="16" t="s">
        <v>7052</v>
      </c>
      <c r="D36088" s="16" t="s">
        <v>7053</v>
      </c>
      <c r="E36088" s="2">
        <v>3038350</v>
      </c>
      <c r="F36088" s="4" t="e">
        <f>IF(B36088=#REF!,"",B36088)</f>
        <v>#REF!</v>
      </c>
    </row>
    <row r="36089" spans="1:6" ht="15.75" customHeight="1">
      <c r="A36089" s="16" t="s">
        <v>7085</v>
      </c>
      <c r="B36089" s="15" t="s">
        <v>7086</v>
      </c>
      <c r="C36089" s="16" t="s">
        <v>7052</v>
      </c>
      <c r="D36089" s="16" t="s">
        <v>7087</v>
      </c>
      <c r="E36089" s="2">
        <v>3038354</v>
      </c>
      <c r="F36089" s="4" t="e">
        <f>IF(B36089=#REF!,"",B36089)</f>
        <v>#REF!</v>
      </c>
    </row>
    <row r="36090" spans="1:6" ht="15.75" customHeight="1">
      <c r="A36090" s="15" t="s">
        <v>21826</v>
      </c>
      <c r="B36090" s="15" t="s">
        <v>21826</v>
      </c>
      <c r="C36090" s="15" t="s">
        <v>21824</v>
      </c>
      <c r="D36090" s="15" t="s">
        <v>14917</v>
      </c>
      <c r="E36090" s="2">
        <v>686590</v>
      </c>
      <c r="F36090" s="4" t="e">
        <f>IF(B36090=#REF!,"",B36090)</f>
        <v>#REF!</v>
      </c>
    </row>
    <row r="36091" spans="1:6" ht="15.75" customHeight="1">
      <c r="A36091" s="15" t="s">
        <v>10261</v>
      </c>
      <c r="B36091" s="15" t="s">
        <v>10261</v>
      </c>
      <c r="C36091" s="15" t="s">
        <v>10178</v>
      </c>
      <c r="D36091" s="15" t="s">
        <v>10201</v>
      </c>
      <c r="E36091" s="2">
        <v>7302860</v>
      </c>
      <c r="F36091" s="4" t="e">
        <f>IF(B36091=#REF!,"",B36091)</f>
        <v>#REF!</v>
      </c>
    </row>
    <row r="36092" spans="1:6" ht="15.75" customHeight="1">
      <c r="A36092" s="15" t="s">
        <v>10260</v>
      </c>
      <c r="B36092" s="15" t="s">
        <v>10260</v>
      </c>
      <c r="C36092" s="15" t="s">
        <v>10178</v>
      </c>
      <c r="D36092" s="15" t="s">
        <v>10214</v>
      </c>
      <c r="E36092" s="2">
        <v>7279599</v>
      </c>
      <c r="F36092" s="4" t="e">
        <f>IF(B36092=#REF!,"",B36092)</f>
        <v>#REF!</v>
      </c>
    </row>
    <row r="36093" spans="1:6" ht="15.75" customHeight="1">
      <c r="A36093" s="15" t="s">
        <v>3977</v>
      </c>
      <c r="B36093" s="15" t="s">
        <v>3977</v>
      </c>
      <c r="C36093" s="15" t="s">
        <v>3975</v>
      </c>
      <c r="D36093" s="15" t="s">
        <v>3978</v>
      </c>
      <c r="E36093" s="2">
        <v>5882799</v>
      </c>
      <c r="F36093" s="4" t="e">
        <f>IF(B36093=#REF!,"",B36093)</f>
        <v>#REF!</v>
      </c>
    </row>
    <row r="36094" spans="1:6" ht="15.75" customHeight="1">
      <c r="A36094" s="15" t="s">
        <v>15711</v>
      </c>
      <c r="B36094" s="15" t="s">
        <v>15711</v>
      </c>
      <c r="C36094" s="15" t="s">
        <v>15704</v>
      </c>
      <c r="D36094" s="15" t="s">
        <v>15712</v>
      </c>
      <c r="E36094" s="2">
        <v>1865661</v>
      </c>
      <c r="F36094" s="4" t="str">
        <f>IF(B36094=B36093,"",B36094)</f>
        <v>Aioi</v>
      </c>
    </row>
    <row r="36095" spans="1:6" ht="15.75" customHeight="1">
      <c r="A36095" s="16" t="str">
        <f ca="1">IFERROR(__xludf.DUMMYFUNCTION("GOOGLETRANSLATE(B28719,""en"",""pt"")"),"Aïn Touta")</f>
        <v>Aïn Touta</v>
      </c>
      <c r="B36095" s="20" t="s">
        <v>32211</v>
      </c>
      <c r="C36095" s="20" t="s">
        <v>153</v>
      </c>
      <c r="D36095" s="20" t="s">
        <v>212</v>
      </c>
      <c r="E36095" s="10">
        <v>2507877</v>
      </c>
      <c r="F36095" s="4" t="str">
        <f>IF(B36095=B36094,"",B36095)</f>
        <v>Aïn Touta</v>
      </c>
    </row>
    <row r="36096" spans="1:6" ht="15.75" customHeight="1">
      <c r="A36096" s="16" t="str">
        <f ca="1">IFERROR(__xludf.DUMMYFUNCTION("GOOGLETRANSLATE(B28720,""en"",""pt"")"),"Aïn Temouchent")</f>
        <v>Aïn Temouchent</v>
      </c>
      <c r="B36096" s="20" t="s">
        <v>32204</v>
      </c>
      <c r="C36096" s="20" t="s">
        <v>153</v>
      </c>
      <c r="D36096" s="20" t="s">
        <v>32204</v>
      </c>
      <c r="E36096" s="10">
        <v>2507901</v>
      </c>
      <c r="F36096" s="4" t="str">
        <f>IF(B36096=B36095,"",B36096)</f>
        <v>Aïn Temouchent</v>
      </c>
    </row>
    <row r="36097" spans="1:6" ht="15.75" customHeight="1">
      <c r="A36097" s="16" t="str">
        <f ca="1">IFERROR(__xludf.DUMMYFUNCTION("GOOGLETRANSLATE(B28721,""en"",""pt"")"),"Aïn Taya")</f>
        <v>Aïn Taya</v>
      </c>
      <c r="B36097" s="20" t="s">
        <v>32212</v>
      </c>
      <c r="C36097" s="20" t="s">
        <v>153</v>
      </c>
      <c r="D36097" s="20" t="s">
        <v>207</v>
      </c>
      <c r="E36097" s="10">
        <v>2507912</v>
      </c>
      <c r="F36097" s="4" t="e">
        <f>IF(B36097=#REF!,"",B36097)</f>
        <v>#REF!</v>
      </c>
    </row>
    <row r="36098" spans="1:6" ht="15.75" customHeight="1">
      <c r="A36098" s="16" t="s">
        <v>6528</v>
      </c>
      <c r="B36098" s="15" t="s">
        <v>6528</v>
      </c>
      <c r="C36098" s="16" t="s">
        <v>6495</v>
      </c>
      <c r="D36098" s="16" t="s">
        <v>6529</v>
      </c>
      <c r="E36098" s="2">
        <v>7521348</v>
      </c>
      <c r="F36098" s="4" t="str">
        <f>IF(B36098=B36097,"",B36098)</f>
        <v>Ain Sukhna</v>
      </c>
    </row>
    <row r="36099" spans="1:6" ht="15.75" customHeight="1">
      <c r="A36099" s="16" t="str">
        <f ca="1">IFERROR(__xludf.DUMMYFUNCTION("GOOGLETRANSLATE(B28722,""en"",""pt"")"),"Aïn Smara")</f>
        <v>Aïn Smara</v>
      </c>
      <c r="B36099" s="20" t="s">
        <v>32213</v>
      </c>
      <c r="C36099" s="20" t="s">
        <v>153</v>
      </c>
      <c r="D36099" s="20" t="s">
        <v>157</v>
      </c>
      <c r="E36099" s="10">
        <v>2507926</v>
      </c>
      <c r="F36099" s="4" t="str">
        <f>IF(B36099=B36098,"",B36099)</f>
        <v>Aïn Smara</v>
      </c>
    </row>
    <row r="36100" spans="1:6" ht="15.75" customHeight="1">
      <c r="A36100" s="16" t="str">
        <f ca="1">IFERROR(__xludf.DUMMYFUNCTION("GOOGLETRANSLATE(B28723,""en"",""pt"")"),"Aïn Sefra")</f>
        <v>Aïn Sefra</v>
      </c>
      <c r="B36100" s="20" t="s">
        <v>32214</v>
      </c>
      <c r="C36100" s="20" t="s">
        <v>153</v>
      </c>
      <c r="D36100" s="20" t="s">
        <v>32215</v>
      </c>
      <c r="E36100" s="10">
        <v>2507943</v>
      </c>
      <c r="F36100" s="4" t="str">
        <f>IF(B36100=B36099,"",B36100)</f>
        <v>Aïn Sefra</v>
      </c>
    </row>
    <row r="36101" spans="1:6" ht="15.75" customHeight="1">
      <c r="A36101" s="16" t="str">
        <f ca="1">IFERROR(__xludf.DUMMYFUNCTION("GOOGLETRANSLATE(B28724,""en"",""pt"")"),"Aïn OUSSERA")</f>
        <v>Aïn OUSSERA</v>
      </c>
      <c r="B36101" s="20" t="s">
        <v>32216</v>
      </c>
      <c r="C36101" s="20" t="s">
        <v>153</v>
      </c>
      <c r="D36101" s="20" t="s">
        <v>166</v>
      </c>
      <c r="E36101" s="10">
        <v>2507972</v>
      </c>
      <c r="F36101" s="4" t="str">
        <f>IF(B36101=B36100,"",B36101)</f>
        <v>Aïn Oussera</v>
      </c>
    </row>
    <row r="36102" spans="1:6" ht="15.75" customHeight="1">
      <c r="A36102" s="16" t="str">
        <f ca="1">IFERROR(__xludf.DUMMYFUNCTION("GOOGLETRANSLATE(B28726,""en"",""pt"")"),"Aïn Kercha")</f>
        <v>Aïn Kercha</v>
      </c>
      <c r="B36102" s="20" t="s">
        <v>32218</v>
      </c>
      <c r="C36102" s="20" t="s">
        <v>153</v>
      </c>
      <c r="D36102" s="20" t="s">
        <v>186</v>
      </c>
      <c r="E36102" s="10">
        <v>2508059</v>
      </c>
      <c r="F36102" s="4" t="str">
        <f>IF(B36102=B36101,"",B36102)</f>
        <v>Aïn Kercha</v>
      </c>
    </row>
    <row r="36103" spans="1:6" ht="15.75" customHeight="1">
      <c r="A36103" s="16" t="str">
        <f ca="1">IFERROR(__xludf.DUMMYFUNCTION("GOOGLETRANSLATE(B28727,""en"",""pt"")"),"Aïn Fakroun")</f>
        <v>Aïn Fakroun</v>
      </c>
      <c r="B36103" s="20" t="s">
        <v>32219</v>
      </c>
      <c r="C36103" s="20" t="s">
        <v>153</v>
      </c>
      <c r="D36103" s="20" t="s">
        <v>186</v>
      </c>
      <c r="E36103" s="10">
        <v>2508102</v>
      </c>
      <c r="F36103" s="4" t="str">
        <f>IF(B36103=B36102,"",B36103)</f>
        <v>Aïn Fakroun</v>
      </c>
    </row>
    <row r="36104" spans="1:6" ht="15.75" customHeight="1">
      <c r="A36104" s="16" t="str">
        <f ca="1">IFERROR(__xludf.DUMMYFUNCTION("GOOGLETRANSLATE(B28732,""en"",""pt"")"),"Aïn el bya")</f>
        <v>Aïn el bya</v>
      </c>
      <c r="B36104" s="20" t="s">
        <v>32224</v>
      </c>
      <c r="C36104" s="20" t="s">
        <v>153</v>
      </c>
      <c r="D36104" s="20" t="s">
        <v>177</v>
      </c>
      <c r="E36104" s="10">
        <v>2508174</v>
      </c>
      <c r="F36104" s="4" t="str">
        <f>IF(B36104=B36103,"",B36104)</f>
        <v>Aïn el Bya</v>
      </c>
    </row>
    <row r="36105" spans="1:6" ht="15.75" customHeight="1">
      <c r="A36105" s="16" t="str">
        <f ca="1">IFERROR(__xludf.DUMMYFUNCTION("GOOGLETRANSLATE(B28736,""en"",""pt"")"),"Aïn defla")</f>
        <v>Aïn defla</v>
      </c>
      <c r="B36105" s="20" t="s">
        <v>32183</v>
      </c>
      <c r="C36105" s="20" t="s">
        <v>153</v>
      </c>
      <c r="D36105" s="20" t="s">
        <v>32183</v>
      </c>
      <c r="E36105" s="10">
        <v>2508228</v>
      </c>
      <c r="F36105" s="4" t="str">
        <f>IF(B36105=B36104,"",B36105)</f>
        <v>Aïn Defla</v>
      </c>
    </row>
    <row r="36106" spans="1:6" ht="15.75" customHeight="1">
      <c r="A36106" s="16" t="str">
        <f ca="1">IFERROR(__xludf.DUMMYFUNCTION("GOOGLETRANSLATE(B28737,""en"",""pt"")"),"Aïn Bessem")</f>
        <v>Aïn Bessem</v>
      </c>
      <c r="B36106" s="20" t="s">
        <v>32228</v>
      </c>
      <c r="C36106" s="20" t="s">
        <v>153</v>
      </c>
      <c r="D36106" s="20" t="s">
        <v>189</v>
      </c>
      <c r="E36106" s="10">
        <v>2508268</v>
      </c>
      <c r="F36106" s="4" t="str">
        <f>IF(B36106=B36105,"",B36106)</f>
        <v>Aïn Bessem</v>
      </c>
    </row>
    <row r="36107" spans="1:6" ht="15.75" customHeight="1">
      <c r="A36107" s="16" t="str">
        <f ca="1">IFERROR(__xludf.DUMMYFUNCTION("GOOGLETRANSLATE(B28739,""en"",""pt"")"),"Aïn beïda")</f>
        <v>Aïn beïda</v>
      </c>
      <c r="B36107" s="20" t="s">
        <v>32230</v>
      </c>
      <c r="C36107" s="20" t="s">
        <v>153</v>
      </c>
      <c r="D36107" s="20" t="s">
        <v>186</v>
      </c>
      <c r="E36107" s="10">
        <v>2508287</v>
      </c>
      <c r="F36107" s="4" t="str">
        <f>IF(B36107=B36106,"",B36107)</f>
        <v>Aïn Beïda</v>
      </c>
    </row>
    <row r="36108" spans="1:6" ht="15.75" customHeight="1">
      <c r="A36108" s="16" t="str">
        <f ca="1">IFERROR(__xludf.DUMMYFUNCTION("GOOGLETRANSLATE(B28740,""en"",""pt"")"),"Aïn Arnat")</f>
        <v>Aïn Arnat</v>
      </c>
      <c r="B36108" s="20" t="s">
        <v>32231</v>
      </c>
      <c r="C36108" s="20" t="s">
        <v>153</v>
      </c>
      <c r="D36108" s="20" t="s">
        <v>32190</v>
      </c>
      <c r="E36108" s="10">
        <v>2508297</v>
      </c>
      <c r="F36108" s="4" t="str">
        <f>IF(B36108=B36107,"",B36108)</f>
        <v>Aïn Arnat</v>
      </c>
    </row>
    <row r="36109" spans="1:6" ht="15.75" customHeight="1">
      <c r="A36109" s="16" t="str">
        <f ca="1">IFERROR(__xludf.DUMMYFUNCTION("GOOGLETRANSLATE(B25297,""en"",""pt"")"),"Aimorés")</f>
        <v>Aimorés</v>
      </c>
      <c r="B36109" s="20" t="s">
        <v>31733</v>
      </c>
      <c r="C36109" s="20" t="s">
        <v>1905</v>
      </c>
      <c r="D36109" s="20" t="s">
        <v>1917</v>
      </c>
      <c r="E36109" s="10">
        <v>3472808</v>
      </c>
      <c r="F36109" s="4" t="str">
        <f>IF(B36109=B36108,"",B36109)</f>
        <v>Aimorés</v>
      </c>
    </row>
    <row r="36110" spans="1:6" ht="15.75" customHeight="1">
      <c r="A36110" s="15" t="s">
        <v>1939</v>
      </c>
      <c r="B36110" s="15" t="s">
        <v>1940</v>
      </c>
      <c r="C36110" s="15" t="s">
        <v>1905</v>
      </c>
      <c r="D36110" s="15" t="s">
        <v>1917</v>
      </c>
      <c r="E36110" s="2">
        <v>3472808</v>
      </c>
      <c r="F36110" s="4" t="e">
        <f>IF(B36110=#REF!,"",B36110)</f>
        <v>#REF!</v>
      </c>
    </row>
    <row r="36111" spans="1:6" ht="15.75" customHeight="1">
      <c r="A36111" s="15" t="s">
        <v>6379</v>
      </c>
      <c r="B36111" s="15" t="s">
        <v>6379</v>
      </c>
      <c r="C36111" s="15" t="s">
        <v>6380</v>
      </c>
      <c r="D36111" s="15" t="s">
        <v>6379</v>
      </c>
      <c r="E36111" s="2">
        <v>1651816</v>
      </c>
      <c r="F36111" s="4" t="e">
        <f>IF(B36111=#REF!,"",B36111)</f>
        <v>#REF!</v>
      </c>
    </row>
    <row r="36112" spans="1:6" ht="15.75" customHeight="1">
      <c r="A36112" s="15" t="s">
        <v>27810</v>
      </c>
      <c r="B36112" s="15" t="s">
        <v>27810</v>
      </c>
      <c r="C36112" s="15" t="s">
        <v>27788</v>
      </c>
      <c r="D36112" s="15" t="s">
        <v>27811</v>
      </c>
      <c r="E36112" s="2">
        <v>4569067</v>
      </c>
      <c r="F36112" s="4" t="str">
        <f>IF(B36112=B36111,"",B36112)</f>
        <v>Aiken</v>
      </c>
    </row>
    <row r="36113" spans="1:6" ht="15.75" customHeight="1">
      <c r="A36113" s="16" t="str">
        <f ca="1">IFERROR(__xludf.DUMMYFUNCTION("GOOGLETRANSLATE(B31024,""en"",""pt"")"),"Aígio")</f>
        <v>Aígio</v>
      </c>
      <c r="B36113" s="20" t="s">
        <v>32730</v>
      </c>
      <c r="C36113" s="20" t="s">
        <v>9441</v>
      </c>
      <c r="D36113" s="20" t="s">
        <v>9459</v>
      </c>
      <c r="E36113" s="10">
        <v>265500</v>
      </c>
      <c r="F36113" s="4" t="str">
        <f>IF(B36113=B36112,"",B36113)</f>
        <v>Aígio</v>
      </c>
    </row>
    <row r="36114" spans="1:6" ht="15.75" customHeight="1">
      <c r="A36114" s="16" t="str">
        <f ca="1">IFERROR(__xludf.DUMMYFUNCTION("GOOGLETRANSLATE(B31025,""en"",""pt"")"),"Aigáleo")</f>
        <v>Aigáleo</v>
      </c>
      <c r="B36114" s="20" t="s">
        <v>32731</v>
      </c>
      <c r="C36114" s="20" t="s">
        <v>9441</v>
      </c>
      <c r="D36114" s="20" t="s">
        <v>9445</v>
      </c>
      <c r="E36114" s="10">
        <v>265533</v>
      </c>
      <c r="F36114" s="4" t="str">
        <f>IF(B36114=B36113,"",B36114)</f>
        <v>Aigáleo</v>
      </c>
    </row>
    <row r="36115" spans="1:6" ht="15.75" customHeight="1">
      <c r="A36115" s="15" t="s">
        <v>9471</v>
      </c>
      <c r="B36115" s="15" t="s">
        <v>9472</v>
      </c>
      <c r="C36115" s="15" t="s">
        <v>9441</v>
      </c>
      <c r="D36115" s="15" t="s">
        <v>9445</v>
      </c>
      <c r="E36115" s="2">
        <v>265533</v>
      </c>
      <c r="F36115" s="4" t="e">
        <f>IF(B36115=#REF!,"",B36115)</f>
        <v>#REF!</v>
      </c>
    </row>
    <row r="36116" spans="1:6" ht="15.75" customHeight="1">
      <c r="A36116" s="15" t="s">
        <v>8043</v>
      </c>
      <c r="B36116" s="15" t="s">
        <v>8043</v>
      </c>
      <c r="C36116" s="15" t="s">
        <v>8028</v>
      </c>
      <c r="D36116" s="15" t="s">
        <v>8044</v>
      </c>
      <c r="E36116" s="2">
        <v>2958975</v>
      </c>
      <c r="F36116" s="4" t="str">
        <f>IF(B36116=B36115,"",B36116)</f>
        <v>Aichach</v>
      </c>
    </row>
    <row r="36117" spans="1:6" ht="15.75" customHeight="1">
      <c r="A36117" s="16" t="str">
        <f ca="1">IFERROR(__xludf.DUMMYFUNCTION("GOOGLETRANSLATE(B23061,""en"",""pt"")"),"Aībak")</f>
        <v>Aībak</v>
      </c>
      <c r="B36117" s="20" t="s">
        <v>31113</v>
      </c>
      <c r="C36117" s="20" t="s">
        <v>8</v>
      </c>
      <c r="D36117" s="20" t="s">
        <v>31114</v>
      </c>
      <c r="E36117" s="10">
        <v>1127768</v>
      </c>
      <c r="F36117" s="4" t="e">
        <f>IF(B36117=#REF!,"",B36117)</f>
        <v>#REF!</v>
      </c>
    </row>
    <row r="36118" spans="1:6" ht="15.75" customHeight="1">
      <c r="A36118" s="15" t="s">
        <v>14276</v>
      </c>
      <c r="B36118" s="15" t="s">
        <v>14276</v>
      </c>
      <c r="C36118" s="15" t="s">
        <v>14240</v>
      </c>
      <c r="D36118" s="15" t="s">
        <v>14271</v>
      </c>
      <c r="E36118" s="2">
        <v>144448</v>
      </c>
      <c r="F36118" s="4" t="str">
        <f>IF(B36118=B36117,"",B36118)</f>
        <v>Ahvaz</v>
      </c>
    </row>
    <row r="36119" spans="1:6" ht="15.75" customHeight="1">
      <c r="A36119" s="16" t="str">
        <f ca="1">IFERROR(__xludf.DUMMYFUNCTION("GOOGLETRANSLATE(B41387,""en"",""pt"")"),"Ahuachapán")</f>
        <v>Ahuachapán</v>
      </c>
      <c r="B36119" s="20" t="s">
        <v>35721</v>
      </c>
      <c r="C36119" s="20" t="s">
        <v>6727</v>
      </c>
      <c r="D36119" s="20" t="s">
        <v>35721</v>
      </c>
      <c r="E36119" s="10">
        <v>3587426</v>
      </c>
      <c r="F36119" s="4" t="str">
        <f>IF(B36119=B36118,"",B36119)</f>
        <v>Ahuachapán</v>
      </c>
    </row>
    <row r="36120" spans="1:6" ht="15.75" customHeight="1">
      <c r="A36120" s="16" t="s">
        <v>6730</v>
      </c>
      <c r="B36120" s="15" t="s">
        <v>6731</v>
      </c>
      <c r="C36120" s="16" t="s">
        <v>6727</v>
      </c>
      <c r="D36120" s="16" t="s">
        <v>6731</v>
      </c>
      <c r="E36120" s="2">
        <v>3587426</v>
      </c>
      <c r="F36120" s="4" t="str">
        <f>IF(B36120=B36119,"",B36120)</f>
        <v>AhuachapÃ¡n</v>
      </c>
    </row>
    <row r="36121" spans="1:6" ht="15.75" customHeight="1">
      <c r="A36121" s="16" t="s">
        <v>8041</v>
      </c>
      <c r="B36121" s="15" t="s">
        <v>8042</v>
      </c>
      <c r="C36121" s="16" t="s">
        <v>8028</v>
      </c>
      <c r="D36121" s="16" t="s">
        <v>8031</v>
      </c>
      <c r="E36121" s="2">
        <v>2857565</v>
      </c>
      <c r="F36121" s="4" t="e">
        <f>IF(B36121=#REF!,"",B36121)</f>
        <v>#REF!</v>
      </c>
    </row>
    <row r="36122" spans="1:6" ht="15.75" customHeight="1">
      <c r="A36122" s="16" t="s">
        <v>8039</v>
      </c>
      <c r="B36122" s="15" t="s">
        <v>8039</v>
      </c>
      <c r="C36122" s="16" t="s">
        <v>8028</v>
      </c>
      <c r="D36122" s="16" t="s">
        <v>8040</v>
      </c>
      <c r="E36122" s="2">
        <v>2959083</v>
      </c>
      <c r="F36122" s="4" t="e">
        <f>IF(B36122=#REF!,"",B36122)</f>
        <v>#REF!</v>
      </c>
    </row>
    <row r="36123" spans="1:6" ht="15.75" customHeight="1">
      <c r="A36123" s="15" t="s">
        <v>10259</v>
      </c>
      <c r="B36123" s="15" t="s">
        <v>10259</v>
      </c>
      <c r="C36123" s="15" t="s">
        <v>10178</v>
      </c>
      <c r="D36123" s="15" t="s">
        <v>10193</v>
      </c>
      <c r="E36123" s="2">
        <v>1279219</v>
      </c>
      <c r="F36123" s="4" t="e">
        <f>IF(B36123=#REF!,"",B36123)</f>
        <v>#REF!</v>
      </c>
    </row>
    <row r="36124" spans="1:6" ht="15.75" customHeight="1">
      <c r="A36124" s="16" t="s">
        <v>10258</v>
      </c>
      <c r="B36124" s="15" t="s">
        <v>10258</v>
      </c>
      <c r="C36124" s="16" t="s">
        <v>10178</v>
      </c>
      <c r="D36124" s="16" t="s">
        <v>10209</v>
      </c>
      <c r="E36124" s="2">
        <v>1279233</v>
      </c>
      <c r="F36124" s="4" t="str">
        <f>IF(B36124=B36123,"",B36124)</f>
        <v>Ahmedabad</v>
      </c>
    </row>
    <row r="36125" spans="1:6" ht="15.75" customHeight="1">
      <c r="A36125" s="16" t="str">
        <f ca="1">IFERROR(__xludf.DUMMYFUNCTION("GOOGLETRANSLATE(B39169,""en"",""pt"")"),"Ahmadpur Siāl")</f>
        <v>Ahmadpur Siāl</v>
      </c>
      <c r="B36125" s="20" t="s">
        <v>35056</v>
      </c>
      <c r="C36125" s="20" t="s">
        <v>19808</v>
      </c>
      <c r="D36125" s="20" t="s">
        <v>10184</v>
      </c>
      <c r="E36125" s="10">
        <v>1356491</v>
      </c>
      <c r="F36125" s="4" t="str">
        <f>IF(B36125=B36124,"",B36125)</f>
        <v>Ahmadpur Siāl</v>
      </c>
    </row>
    <row r="36126" spans="1:6" ht="15.75" customHeight="1">
      <c r="A36126" s="16" t="s">
        <v>19813</v>
      </c>
      <c r="B36126" s="15" t="s">
        <v>19814</v>
      </c>
      <c r="C36126" s="16" t="s">
        <v>19808</v>
      </c>
      <c r="D36126" s="16" t="s">
        <v>10184</v>
      </c>
      <c r="E36126" s="2">
        <v>1356491</v>
      </c>
      <c r="F36126" s="4" t="e">
        <f>IF(B36126=#REF!,"",B36126)</f>
        <v>#REF!</v>
      </c>
    </row>
    <row r="36127" spans="1:6" ht="15.75" customHeight="1">
      <c r="A36127" s="16" t="s">
        <v>19812</v>
      </c>
      <c r="B36127" s="15" t="s">
        <v>19812</v>
      </c>
      <c r="C36127" s="16" t="s">
        <v>19808</v>
      </c>
      <c r="D36127" s="16" t="s">
        <v>10184</v>
      </c>
      <c r="E36127" s="2">
        <v>1184845</v>
      </c>
      <c r="F36127" s="4" t="e">
        <f>IF(B36127=#REF!,"",B36127)</f>
        <v>#REF!</v>
      </c>
    </row>
    <row r="36128" spans="1:6" ht="15.75" customHeight="1">
      <c r="A36128" s="16" t="s">
        <v>10257</v>
      </c>
      <c r="B36128" s="15" t="s">
        <v>10257</v>
      </c>
      <c r="C36128" s="16" t="s">
        <v>10178</v>
      </c>
      <c r="D36128" s="16" t="s">
        <v>10214</v>
      </c>
      <c r="E36128" s="2">
        <v>1279227</v>
      </c>
      <c r="F36128" s="4" t="e">
        <f>IF(B36128=#REF!,"",B36128)</f>
        <v>#REF!</v>
      </c>
    </row>
    <row r="36129" spans="1:6" ht="15.75" customHeight="1">
      <c r="A36129" s="16" t="s">
        <v>10256</v>
      </c>
      <c r="B36129" s="15" t="s">
        <v>10256</v>
      </c>
      <c r="C36129" s="16" t="s">
        <v>10178</v>
      </c>
      <c r="D36129" s="16" t="s">
        <v>10214</v>
      </c>
      <c r="E36129" s="2">
        <v>1279228</v>
      </c>
      <c r="F36129" s="4" t="e">
        <f>IF(B36129=#REF!,"",B36129)</f>
        <v>#REF!</v>
      </c>
    </row>
    <row r="36130" spans="1:6" ht="15.75" customHeight="1">
      <c r="A36130" s="15" t="s">
        <v>8038</v>
      </c>
      <c r="B36130" s="15" t="s">
        <v>8038</v>
      </c>
      <c r="C36130" s="15" t="s">
        <v>8028</v>
      </c>
      <c r="D36130" s="15" t="s">
        <v>8029</v>
      </c>
      <c r="E36130" s="2">
        <v>2959223</v>
      </c>
      <c r="F36130" s="4" t="e">
        <f>IF(B36130=#REF!,"",B36130)</f>
        <v>#REF!</v>
      </c>
    </row>
    <row r="36131" spans="1:6" ht="15.75" customHeight="1">
      <c r="A36131" s="15" t="s">
        <v>26283</v>
      </c>
      <c r="B36131" s="15" t="s">
        <v>26283</v>
      </c>
      <c r="C36131" s="15" t="s">
        <v>26201</v>
      </c>
      <c r="D36131" s="15" t="s">
        <v>26280</v>
      </c>
      <c r="E36131" s="2">
        <v>325103</v>
      </c>
      <c r="F36131" s="4" t="e">
        <f>IF(B36131=#REF!,"",B36131)</f>
        <v>#REF!</v>
      </c>
    </row>
    <row r="36132" spans="1:6" ht="15.75" customHeight="1">
      <c r="A36132" s="15" t="s">
        <v>18553</v>
      </c>
      <c r="B36132" s="15" t="s">
        <v>18553</v>
      </c>
      <c r="C36132" s="15" t="s">
        <v>18551</v>
      </c>
      <c r="D36132" s="15" t="s">
        <v>18554</v>
      </c>
      <c r="E36132" s="2">
        <v>2561124</v>
      </c>
      <c r="F36132" s="4" t="e">
        <f>IF(B36132=#REF!,"",B36132)</f>
        <v>#REF!</v>
      </c>
    </row>
    <row r="36133" spans="1:6" ht="15.75" customHeight="1">
      <c r="A36133" s="15" t="s">
        <v>8037</v>
      </c>
      <c r="B36133" s="15" t="s">
        <v>8037</v>
      </c>
      <c r="C36133" s="15" t="s">
        <v>8028</v>
      </c>
      <c r="D36133" s="15" t="s">
        <v>8029</v>
      </c>
      <c r="E36133" s="2">
        <v>2959279</v>
      </c>
      <c r="F36133" s="4" t="e">
        <f>IF(B36133=#REF!,"",B36133)</f>
        <v>#REF!</v>
      </c>
    </row>
    <row r="36134" spans="1:6" ht="15.75" customHeight="1">
      <c r="A36134" s="15" t="s">
        <v>14275</v>
      </c>
      <c r="B36134" s="15" t="s">
        <v>14275</v>
      </c>
      <c r="C36134" s="15" t="s">
        <v>14240</v>
      </c>
      <c r="D36134" s="15" t="s">
        <v>14241</v>
      </c>
      <c r="E36134" s="2">
        <v>144616</v>
      </c>
      <c r="F36134" s="4" t="str">
        <f>IF(B36134=B36133,"",B36134)</f>
        <v>Ahar</v>
      </c>
    </row>
    <row r="36135" spans="1:6" ht="15.75" customHeight="1">
      <c r="A36135" s="16" t="str">
        <f ca="1">IFERROR(__xludf.DUMMYFUNCTION("GOOGLETRANSLATE(B27057,""en"",""pt"")"),"Agustín codazzi")</f>
        <v>Agustín codazzi</v>
      </c>
      <c r="B36135" s="20" t="s">
        <v>31893</v>
      </c>
      <c r="C36135" s="20" t="s">
        <v>5348</v>
      </c>
      <c r="D36135" s="20" t="s">
        <v>5351</v>
      </c>
      <c r="E36135" s="10">
        <v>3792383</v>
      </c>
      <c r="F36135" s="4" t="str">
        <f>IF(B36135=B36134,"",B36135)</f>
        <v>Agustín Codazzi</v>
      </c>
    </row>
    <row r="36136" spans="1:6" ht="15.75" customHeight="1">
      <c r="A36136" s="16" t="s">
        <v>5356</v>
      </c>
      <c r="B36136" s="15" t="s">
        <v>5357</v>
      </c>
      <c r="C36136" s="16" t="s">
        <v>5348</v>
      </c>
      <c r="D36136" s="16" t="s">
        <v>5351</v>
      </c>
      <c r="E36136" s="2">
        <v>3792383</v>
      </c>
      <c r="F36136" s="4" t="e">
        <f>IF(B36136=#REF!,"",B36136)</f>
        <v>#REF!</v>
      </c>
    </row>
    <row r="36137" spans="1:6" ht="15.75" customHeight="1">
      <c r="A36137" s="15" t="s">
        <v>19307</v>
      </c>
      <c r="B36137" s="15" t="s">
        <v>19307</v>
      </c>
      <c r="C36137" s="15" t="s">
        <v>19294</v>
      </c>
      <c r="D36137" s="15" t="s">
        <v>19308</v>
      </c>
      <c r="E36137" s="2">
        <v>2351740</v>
      </c>
      <c r="F36137" s="4" t="str">
        <f>IF(B36137=B36136,"",B36137)</f>
        <v>Agulu</v>
      </c>
    </row>
    <row r="36138" spans="1:6" ht="15.75" customHeight="1">
      <c r="A36138" s="16" t="str">
        <f ca="1">IFERROR(__xludf.DUMMYFUNCTION("GOOGLETRANSLATE(B29223,""en"",""pt"")"),"Agüimes")</f>
        <v>Agüimes</v>
      </c>
      <c r="B36138" s="20" t="s">
        <v>32410</v>
      </c>
      <c r="C36138" s="20" t="s">
        <v>24200</v>
      </c>
      <c r="D36138" s="20" t="s">
        <v>24212</v>
      </c>
      <c r="E36138" s="10">
        <v>2522325</v>
      </c>
      <c r="F36138" s="4" t="str">
        <f>IF(B36138=B36137,"",B36138)</f>
        <v>Agüimes</v>
      </c>
    </row>
    <row r="36139" spans="1:6" ht="15.75" customHeight="1">
      <c r="A36139" s="16" t="str">
        <f ca="1">IFERROR(__xludf.DUMMYFUNCTION("GOOGLETRANSLATE(B29224,""en"",""pt"")"),"Águilas")</f>
        <v>Águilas</v>
      </c>
      <c r="B36139" s="20" t="s">
        <v>32411</v>
      </c>
      <c r="C36139" s="20" t="s">
        <v>24200</v>
      </c>
      <c r="D36139" s="20" t="s">
        <v>20912</v>
      </c>
      <c r="E36139" s="10">
        <v>2522333</v>
      </c>
      <c r="F36139" s="4" t="e">
        <f>IF(B36139=#REF!,"",B36139)</f>
        <v>#REF!</v>
      </c>
    </row>
    <row r="36140" spans="1:6" ht="15.75" customHeight="1">
      <c r="A36140" s="15" t="s">
        <v>563</v>
      </c>
      <c r="B36140" s="15" t="s">
        <v>564</v>
      </c>
      <c r="C36140" s="15" t="s">
        <v>558</v>
      </c>
      <c r="D36140" s="15" t="s">
        <v>565</v>
      </c>
      <c r="E36140" s="2">
        <v>3866496</v>
      </c>
      <c r="F36140" s="4" t="e">
        <f>IF(B36140=#REF!,"",B36140)</f>
        <v>#REF!</v>
      </c>
    </row>
    <row r="36141" spans="1:6" ht="15.75" customHeight="1">
      <c r="A36141" s="15" t="s">
        <v>1937</v>
      </c>
      <c r="B36141" s="15" t="s">
        <v>1938</v>
      </c>
      <c r="C36141" s="15" t="s">
        <v>1905</v>
      </c>
      <c r="D36141" s="15" t="s">
        <v>1914</v>
      </c>
      <c r="E36141" s="2">
        <v>3472825</v>
      </c>
      <c r="F36141" s="4" t="e">
        <f>IF(B36141=#REF!,"",B36141)</f>
        <v>#REF!</v>
      </c>
    </row>
    <row r="36142" spans="1:6" ht="15.75" customHeight="1">
      <c r="A36142" s="15" t="s">
        <v>5354</v>
      </c>
      <c r="B36142" s="15" t="s">
        <v>5354</v>
      </c>
      <c r="C36142" s="15" t="s">
        <v>5348</v>
      </c>
      <c r="D36142" s="15" t="s">
        <v>5355</v>
      </c>
      <c r="E36142" s="2">
        <v>3690316</v>
      </c>
      <c r="F36142" s="4" t="e">
        <f>IF(B36142=#REF!,"",B36142)</f>
        <v>#REF!</v>
      </c>
    </row>
    <row r="36143" spans="1:6" ht="15.75" customHeight="1">
      <c r="A36143" s="16" t="s">
        <v>17733</v>
      </c>
      <c r="B36143" s="15" t="s">
        <v>17733</v>
      </c>
      <c r="C36143" s="16" t="s">
        <v>17707</v>
      </c>
      <c r="D36143" s="16" t="s">
        <v>17733</v>
      </c>
      <c r="E36143" s="2">
        <v>4019233</v>
      </c>
      <c r="F36143" s="4" t="str">
        <f>IF(B36143=B36142,"",B36143)</f>
        <v>Aguascalientes</v>
      </c>
    </row>
    <row r="36144" spans="1:6" ht="15.75" customHeight="1">
      <c r="A36144" s="16" t="str">
        <f ca="1">IFERROR(__xludf.DUMMYFUNCTION("GOOGLETRANSLATE(B25299,""en"",""pt"")"),"Águas Vermelhas")</f>
        <v>Águas Vermelhas</v>
      </c>
      <c r="B36144" s="20" t="s">
        <v>31734</v>
      </c>
      <c r="C36144" s="20" t="s">
        <v>1905</v>
      </c>
      <c r="D36144" s="20" t="s">
        <v>1917</v>
      </c>
      <c r="E36144" s="10">
        <v>3472848</v>
      </c>
      <c r="F36144" s="4" t="str">
        <f>IF(B36144=B36143,"",B36144)</f>
        <v>Águas Vermelhas</v>
      </c>
    </row>
    <row r="36145" spans="1:6" ht="15.75" customHeight="1">
      <c r="A36145" s="16" t="str">
        <f ca="1">IFERROR(__xludf.DUMMYFUNCTION("GOOGLETRANSLATE(B39675,""en"",""pt"")"),"Águas Santos")</f>
        <v>Águas Santos</v>
      </c>
      <c r="B36145" s="20" t="s">
        <v>35311</v>
      </c>
      <c r="C36145" s="20" t="s">
        <v>21606</v>
      </c>
      <c r="D36145" s="20" t="s">
        <v>21609</v>
      </c>
      <c r="E36145" s="10">
        <v>2743304</v>
      </c>
      <c r="F36145" s="4" t="str">
        <f>IF(B36145=B36144,"",B36145)</f>
        <v>Águas Santas</v>
      </c>
    </row>
    <row r="36146" spans="1:6" ht="15.75" customHeight="1">
      <c r="A36146" s="16" t="str">
        <f ca="1">IFERROR(__xludf.DUMMYFUNCTION("GOOGLETRANSLATE(B25300,""en"",""pt"")"),"Águas de Lindóia")</f>
        <v>Águas de Lindóia</v>
      </c>
      <c r="B36146" s="20" t="s">
        <v>31735</v>
      </c>
      <c r="C36146" s="20" t="s">
        <v>1905</v>
      </c>
      <c r="D36146" s="20" t="s">
        <v>3354</v>
      </c>
      <c r="E36146" s="10">
        <v>3472869</v>
      </c>
      <c r="F36146" s="4" t="str">
        <f>IF(B36146=B36145,"",B36146)</f>
        <v>Águas de Lindóia</v>
      </c>
    </row>
    <row r="36147" spans="1:6" ht="15.75" customHeight="1">
      <c r="A36147" s="16" t="str">
        <f ca="1">IFERROR(__xludf.DUMMYFUNCTION("GOOGLETRANSLATE(B24418,""en"",""pt"")"),"Águas Belas")</f>
        <v>Águas Belas</v>
      </c>
      <c r="B36147" s="20" t="s">
        <v>31419</v>
      </c>
      <c r="C36147" s="20" t="s">
        <v>1905</v>
      </c>
      <c r="D36147" s="20" t="s">
        <v>1909</v>
      </c>
      <c r="E36147" s="10">
        <v>3408166</v>
      </c>
      <c r="F36147" s="4" t="str">
        <f>IF(B36147=B36146,"",B36147)</f>
        <v>Águas Belas</v>
      </c>
    </row>
    <row r="36148" spans="1:6" ht="15.75" customHeight="1">
      <c r="A36148" s="16" t="str">
        <f ca="1">IFERROR(__xludf.DUMMYFUNCTION("GOOGLETRANSLATE(B25301,""en"",""pt"")"),"Aguaí")</f>
        <v>Aguaí</v>
      </c>
      <c r="B36148" s="20" t="s">
        <v>31736</v>
      </c>
      <c r="C36148" s="20" t="s">
        <v>1905</v>
      </c>
      <c r="D36148" s="20" t="s">
        <v>3354</v>
      </c>
      <c r="E36148" s="10">
        <v>3472969</v>
      </c>
      <c r="F36148" s="4" t="e">
        <f>IF(B36148=#REF!,"",B36148)</f>
        <v>#REF!</v>
      </c>
    </row>
    <row r="36149" spans="1:6" ht="15.75" customHeight="1">
      <c r="A36149" s="16" t="s">
        <v>20369</v>
      </c>
      <c r="B36149" s="15" t="s">
        <v>20369</v>
      </c>
      <c r="C36149" s="16" t="s">
        <v>20370</v>
      </c>
      <c r="D36149" s="16" t="s">
        <v>20371</v>
      </c>
      <c r="E36149" s="2">
        <v>3715042</v>
      </c>
      <c r="F36149" s="4" t="e">
        <f>IF(B36149=#REF!,"",B36149)</f>
        <v>#REF!</v>
      </c>
    </row>
    <row r="36150" spans="1:6" ht="15.75" customHeight="1">
      <c r="A36150" s="15" t="s">
        <v>21749</v>
      </c>
      <c r="B36150" s="15" t="s">
        <v>21749</v>
      </c>
      <c r="C36150" s="15" t="s">
        <v>747</v>
      </c>
      <c r="D36150" s="15" t="s">
        <v>21749</v>
      </c>
      <c r="E36150" s="2">
        <v>4562506</v>
      </c>
      <c r="F36150" s="4" t="e">
        <f>IF(B36150=#REF!,"",B36150)</f>
        <v>#REF!</v>
      </c>
    </row>
    <row r="36151" spans="1:6" ht="15.75" customHeight="1">
      <c r="A36151" s="15" t="s">
        <v>5352</v>
      </c>
      <c r="B36151" s="15" t="s">
        <v>5352</v>
      </c>
      <c r="C36151" s="15" t="s">
        <v>5348</v>
      </c>
      <c r="D36151" s="15" t="s">
        <v>5353</v>
      </c>
      <c r="E36151" s="2">
        <v>3690431</v>
      </c>
      <c r="F36151" s="4" t="e">
        <f>IF(B36151=#REF!,"",B36151)</f>
        <v>#REF!</v>
      </c>
    </row>
    <row r="36152" spans="1:6" ht="15.75" customHeight="1">
      <c r="A36152" s="16" t="s">
        <v>5766</v>
      </c>
      <c r="B36152" s="15" t="s">
        <v>5766</v>
      </c>
      <c r="C36152" s="16" t="s">
        <v>5764</v>
      </c>
      <c r="D36152" s="16" t="s">
        <v>5765</v>
      </c>
      <c r="E36152" s="2">
        <v>3569546</v>
      </c>
      <c r="F36152" s="4" t="e">
        <f>IF(B36152=#REF!,"",B36152)</f>
        <v>#REF!</v>
      </c>
    </row>
    <row r="36153" spans="1:6" ht="15.75" customHeight="1">
      <c r="A36153" s="16" t="s">
        <v>5350</v>
      </c>
      <c r="B36153" s="15" t="s">
        <v>5350</v>
      </c>
      <c r="C36153" s="16" t="s">
        <v>5348</v>
      </c>
      <c r="D36153" s="16" t="s">
        <v>5351</v>
      </c>
      <c r="E36153" s="2">
        <v>3690465</v>
      </c>
      <c r="F36153" s="4" t="str">
        <f>IF(B36153=B36152,"",B36153)</f>
        <v>Aguachica</v>
      </c>
    </row>
    <row r="36154" spans="1:6" ht="15.75" customHeight="1">
      <c r="A36154" s="15" t="s">
        <v>1935</v>
      </c>
      <c r="B36154" s="15" t="s">
        <v>1936</v>
      </c>
      <c r="C36154" s="15" t="s">
        <v>1905</v>
      </c>
      <c r="D36154" s="15" t="s">
        <v>1914</v>
      </c>
      <c r="E36154" s="2">
        <v>3472969</v>
      </c>
      <c r="F36154" s="4" t="e">
        <f>IF(B36154=#REF!,"",B36154)</f>
        <v>#REF!</v>
      </c>
    </row>
    <row r="36155" spans="1:6" ht="15.75" customHeight="1">
      <c r="A36155" s="16" t="s">
        <v>17731</v>
      </c>
      <c r="B36155" s="15" t="s">
        <v>17731</v>
      </c>
      <c r="C36155" s="16" t="s">
        <v>17707</v>
      </c>
      <c r="D36155" s="16" t="s">
        <v>17732</v>
      </c>
      <c r="E36155" s="2">
        <v>4019260</v>
      </c>
      <c r="F36155" s="4" t="str">
        <f>IF(B36155=B36154,"",B36155)</f>
        <v>Agua Prieta</v>
      </c>
    </row>
    <row r="36156" spans="1:6" ht="15.75" customHeight="1">
      <c r="A36156" s="16" t="str">
        <f ca="1">IFERROR(__xludf.DUMMYFUNCTION("GOOGLETRANSLATE(B24419,""en"",""pt"")"),"Água Preta")</f>
        <v>Água Preta</v>
      </c>
      <c r="B36156" s="20" t="s">
        <v>31420</v>
      </c>
      <c r="C36156" s="20" t="s">
        <v>1905</v>
      </c>
      <c r="D36156" s="20" t="s">
        <v>1909</v>
      </c>
      <c r="E36156" s="10">
        <v>3408175</v>
      </c>
      <c r="F36156" s="4" t="e">
        <f>IF(B36156=#REF!,"",B36156)</f>
        <v>#REF!</v>
      </c>
    </row>
    <row r="36157" spans="1:6" ht="15.75" customHeight="1">
      <c r="A36157" s="16" t="s">
        <v>17730</v>
      </c>
      <c r="B36157" s="15" t="s">
        <v>17730</v>
      </c>
      <c r="C36157" s="16" t="s">
        <v>17707</v>
      </c>
      <c r="D36157" s="16" t="s">
        <v>17708</v>
      </c>
      <c r="E36157" s="2">
        <v>3533269</v>
      </c>
      <c r="F36157" s="4" t="e">
        <f>IF(B36157=#REF!,"",B36157)</f>
        <v>#REF!</v>
      </c>
    </row>
    <row r="36158" spans="1:6" ht="15.75" customHeight="1">
      <c r="A36158" s="15" t="s">
        <v>22089</v>
      </c>
      <c r="B36158" s="15" t="s">
        <v>22089</v>
      </c>
      <c r="C36158" s="15" t="s">
        <v>22070</v>
      </c>
      <c r="D36158" s="15" t="s">
        <v>22090</v>
      </c>
      <c r="E36158" s="2">
        <v>583983</v>
      </c>
      <c r="F36158" s="4" t="e">
        <f>IF(B36158=#REF!,"",B36158)</f>
        <v>#REF!</v>
      </c>
    </row>
    <row r="36159" spans="1:6" ht="15.75" customHeight="1">
      <c r="A36159" s="15" t="s">
        <v>14916</v>
      </c>
      <c r="B36159" s="15" t="s">
        <v>14916</v>
      </c>
      <c r="C36159" s="15" t="s">
        <v>14891</v>
      </c>
      <c r="D36159" s="15" t="s">
        <v>14896</v>
      </c>
      <c r="E36159" s="2">
        <v>3183412</v>
      </c>
      <c r="F36159" s="4" t="str">
        <f>IF(B36159=B36158,"",B36159)</f>
        <v>Agropoli</v>
      </c>
    </row>
    <row r="36160" spans="1:6" ht="15.75" customHeight="1">
      <c r="A36160" s="16" t="str">
        <f ca="1">IFERROR(__xludf.DUMMYFUNCTION("GOOGLETRANSLATE(B31026,""en"",""pt"")"),"Agrínio")</f>
        <v>Agrínio</v>
      </c>
      <c r="B36160" s="20" t="s">
        <v>32732</v>
      </c>
      <c r="C36160" s="20" t="s">
        <v>9441</v>
      </c>
      <c r="D36160" s="20" t="s">
        <v>9459</v>
      </c>
      <c r="E36160" s="10">
        <v>265560</v>
      </c>
      <c r="F36160" s="4" t="e">
        <f>IF(B36160=#REF!,"",B36160)</f>
        <v>#REF!</v>
      </c>
    </row>
    <row r="36161" spans="1:6" ht="15.75" customHeight="1">
      <c r="A36161" s="15" t="s">
        <v>14915</v>
      </c>
      <c r="B36161" s="15" t="s">
        <v>14915</v>
      </c>
      <c r="C36161" s="15" t="s">
        <v>14891</v>
      </c>
      <c r="D36161" s="15" t="s">
        <v>14899</v>
      </c>
      <c r="E36161" s="2">
        <v>2525764</v>
      </c>
      <c r="F36161" s="4" t="str">
        <f>IF(B36161=B36160,"",B36161)</f>
        <v>Agrigento</v>
      </c>
    </row>
    <row r="36162" spans="1:6" ht="15.75" customHeight="1">
      <c r="A36162" s="16" t="str">
        <f ca="1">IFERROR(__xludf.DUMMYFUNCTION("GOOGLETRANSLATE(B41971,""en"",""pt"")"),"Ağrı")</f>
        <v>Ağrı</v>
      </c>
      <c r="B36162" s="20" t="s">
        <v>35848</v>
      </c>
      <c r="C36162" s="20" t="s">
        <v>26201</v>
      </c>
      <c r="D36162" s="20" t="s">
        <v>35848</v>
      </c>
      <c r="E36162" s="10">
        <v>309647</v>
      </c>
      <c r="F36162" s="4" t="str">
        <f>IF(B36162=B36161,"",B36162)</f>
        <v>Ağrı</v>
      </c>
    </row>
    <row r="36163" spans="1:6" ht="15.75" customHeight="1">
      <c r="A36163" s="15" t="s">
        <v>9469</v>
      </c>
      <c r="B36163" s="15" t="s">
        <v>9470</v>
      </c>
      <c r="C36163" s="15" t="s">
        <v>9441</v>
      </c>
      <c r="D36163" s="15" t="s">
        <v>9459</v>
      </c>
      <c r="E36163" s="2">
        <v>265560</v>
      </c>
      <c r="F36163" s="4" t="str">
        <f>IF(B36163=B36162,"",B36163)</f>
        <v>AgrÃ­nio</v>
      </c>
    </row>
    <row r="36164" spans="1:6" ht="15.75" customHeight="1">
      <c r="A36164" s="16" t="str">
        <f ca="1">IFERROR(__xludf.DUMMYFUNCTION("GOOGLETRANSLATE(B34167,""en"",""pt"")"),"Āgra")</f>
        <v>Āgra</v>
      </c>
      <c r="B36164" s="20" t="s">
        <v>34053</v>
      </c>
      <c r="C36164" s="20" t="s">
        <v>10178</v>
      </c>
      <c r="D36164" s="20" t="s">
        <v>10193</v>
      </c>
      <c r="E36164" s="10">
        <v>1279259</v>
      </c>
      <c r="F36164" s="4" t="e">
        <f>IF(B36164=#REF!,"",B36164)</f>
        <v>#REF!</v>
      </c>
    </row>
    <row r="36165" spans="1:6" ht="15.75" customHeight="1">
      <c r="A36165" s="16" t="s">
        <v>27809</v>
      </c>
      <c r="B36165" s="15" t="s">
        <v>27809</v>
      </c>
      <c r="C36165" s="16" t="s">
        <v>27788</v>
      </c>
      <c r="D36165" s="16" t="s">
        <v>27801</v>
      </c>
      <c r="E36165" s="2">
        <v>5322553</v>
      </c>
      <c r="F36165" s="4" t="e">
        <f>IF(B36165=#REF!,"",B36165)</f>
        <v>#REF!</v>
      </c>
    </row>
    <row r="36166" spans="1:6" ht="15.75" customHeight="1">
      <c r="A36166" s="15" t="s">
        <v>27808</v>
      </c>
      <c r="B36166" s="15" t="s">
        <v>27808</v>
      </c>
      <c r="C36166" s="15" t="s">
        <v>27788</v>
      </c>
      <c r="D36166" s="15" t="s">
        <v>27801</v>
      </c>
      <c r="E36166" s="2">
        <v>5322551</v>
      </c>
      <c r="F36166" s="4" t="e">
        <f>IF(B36166=#REF!,"",B36166)</f>
        <v>#REF!</v>
      </c>
    </row>
    <row r="36167" spans="1:6" ht="15.75" customHeight="1">
      <c r="A36167" s="15" t="s">
        <v>20602</v>
      </c>
      <c r="B36167" s="15" t="s">
        <v>20602</v>
      </c>
      <c r="C36167" s="15" t="s">
        <v>20598</v>
      </c>
      <c r="D36167" s="15" t="s">
        <v>20603</v>
      </c>
      <c r="E36167" s="2">
        <v>1731959</v>
      </c>
      <c r="F36167" s="4" t="e">
        <f>IF(B36167=#REF!,"",B36167)</f>
        <v>#REF!</v>
      </c>
    </row>
    <row r="36168" spans="1:6" ht="15.75" customHeight="1">
      <c r="A36168" s="15" t="s">
        <v>9370</v>
      </c>
      <c r="B36168" s="15" t="s">
        <v>9370</v>
      </c>
      <c r="C36168" s="15" t="s">
        <v>9365</v>
      </c>
      <c r="D36168" s="15" t="s">
        <v>9371</v>
      </c>
      <c r="E36168" s="2">
        <v>2305537</v>
      </c>
      <c r="F36168" s="4" t="str">
        <f>IF(B36168=B36167,"",B36168)</f>
        <v>Agogo</v>
      </c>
    </row>
    <row r="36169" spans="1:6" ht="15.75" customHeight="1">
      <c r="A36169" s="16" t="str">
        <f ca="1">IFERROR(__xludf.DUMMYFUNCTION("GOOGLETRANSLATE(B25872,""en"",""pt"")"),"Agnibilékrou")</f>
        <v>Agnibilékrou</v>
      </c>
      <c r="B36169" s="20" t="s">
        <v>31790</v>
      </c>
      <c r="C36169" s="20" t="s">
        <v>15586</v>
      </c>
      <c r="D36169" s="20" t="s">
        <v>31791</v>
      </c>
      <c r="E36169" s="10">
        <v>2293260</v>
      </c>
      <c r="F36169" s="4" t="str">
        <f>IF(B36169=B36168,"",B36169)</f>
        <v>Agnibilékrou</v>
      </c>
    </row>
    <row r="36170" spans="1:6" ht="15.75" customHeight="1">
      <c r="A36170" s="16" t="s">
        <v>15602</v>
      </c>
      <c r="B36170" s="15" t="s">
        <v>15603</v>
      </c>
      <c r="C36170" s="16" t="s">
        <v>15586</v>
      </c>
      <c r="D36170" s="16" t="s">
        <v>15587</v>
      </c>
      <c r="E36170" s="2">
        <v>2293260</v>
      </c>
      <c r="F36170" s="4" t="e">
        <f>IF(B36170=#REF!,"",B36170)</f>
        <v>#REF!</v>
      </c>
    </row>
    <row r="36171" spans="1:6" ht="15.75" customHeight="1">
      <c r="A36171" s="16" t="s">
        <v>9467</v>
      </c>
      <c r="B36171" s="15" t="s">
        <v>9468</v>
      </c>
      <c r="C36171" s="16" t="s">
        <v>9441</v>
      </c>
      <c r="D36171" s="16" t="s">
        <v>9445</v>
      </c>
      <c r="E36171" s="2">
        <v>8478257</v>
      </c>
      <c r="F36171" s="4" t="e">
        <f>IF(B36171=#REF!,"",B36171)</f>
        <v>#REF!</v>
      </c>
    </row>
    <row r="36172" spans="1:6" ht="15.75" customHeight="1">
      <c r="A36172" s="16" t="s">
        <v>9466</v>
      </c>
      <c r="B36172" s="15" t="s">
        <v>9466</v>
      </c>
      <c r="C36172" s="16" t="s">
        <v>9441</v>
      </c>
      <c r="D36172" s="16" t="s">
        <v>9445</v>
      </c>
      <c r="E36172" s="2">
        <v>263986</v>
      </c>
      <c r="F36172" s="4" t="str">
        <f>IF(B36172=B36171,"",B36172)</f>
        <v>Agios Dimitrios</v>
      </c>
    </row>
    <row r="36173" spans="1:6" ht="15.75" customHeight="1">
      <c r="A36173" s="16" t="str">
        <f ca="1">IFERROR(__xludf.DUMMYFUNCTION("GOOGLETRANSLATE(B31060,""en"",""pt"")"),"Ágioi anárgyroi")</f>
        <v>Ágioi anárgyroi</v>
      </c>
      <c r="B36173" s="20" t="s">
        <v>32764</v>
      </c>
      <c r="C36173" s="20" t="s">
        <v>9441</v>
      </c>
      <c r="D36173" s="20" t="s">
        <v>9445</v>
      </c>
      <c r="E36173" s="10">
        <v>8358563</v>
      </c>
      <c r="F36173" s="4" t="str">
        <f>IF(B36173=B36172,"",B36173)</f>
        <v>Ágioi Anárgyroi</v>
      </c>
    </row>
    <row r="36174" spans="1:6" ht="15.75" customHeight="1">
      <c r="A36174" s="15" t="s">
        <v>22086</v>
      </c>
      <c r="B36174" s="15" t="s">
        <v>22087</v>
      </c>
      <c r="C36174" s="15" t="s">
        <v>22070</v>
      </c>
      <c r="D36174" s="15" t="s">
        <v>22088</v>
      </c>
      <c r="E36174" s="2">
        <v>484856</v>
      </c>
      <c r="F36174" s="4" t="str">
        <f>IF(B36174=B36173,"",B36174)</f>
        <v>Agidelâ€™</v>
      </c>
    </row>
    <row r="36175" spans="1:6" ht="15.75" customHeight="1">
      <c r="A36175" s="16" t="str">
        <f ca="1">IFERROR(__xludf.DUMMYFUNCTION("GOOGLETRANSLATE(B40043,""en"",""pt"")"),"Agidel '")</f>
        <v>Agidel '</v>
      </c>
      <c r="B36175" s="20" t="s">
        <v>35448</v>
      </c>
      <c r="C36175" s="20" t="s">
        <v>22070</v>
      </c>
      <c r="D36175" s="20" t="s">
        <v>22088</v>
      </c>
      <c r="E36175" s="10">
        <v>484856</v>
      </c>
      <c r="F36175" s="4" t="str">
        <f>IF(B36175=B36174,"",B36175)</f>
        <v>Agidel’</v>
      </c>
    </row>
    <row r="36176" spans="1:6" ht="15.75" customHeight="1">
      <c r="A36176" s="16" t="str">
        <f ca="1">IFERROR(__xludf.DUMMYFUNCTION("GOOGLETRANSLATE(B31013,""en"",""pt"")"),"Agía Varvára")</f>
        <v>Agía Varvára</v>
      </c>
      <c r="B36176" s="20" t="s">
        <v>32720</v>
      </c>
      <c r="C36176" s="20" t="s">
        <v>9441</v>
      </c>
      <c r="D36176" s="20" t="s">
        <v>9445</v>
      </c>
      <c r="E36176" s="10">
        <v>264111</v>
      </c>
      <c r="F36176" s="4" t="str">
        <f>IF(B36176=B36175,"",B36176)</f>
        <v>Agía Varvára</v>
      </c>
    </row>
    <row r="36177" spans="1:6" ht="15.75" customHeight="1">
      <c r="A36177" s="16" t="str">
        <f ca="1">IFERROR(__xludf.DUMMYFUNCTION("GOOGLETRANSLATE(B31014,""en"",""pt"")"),"Agía Paraskeví")</f>
        <v>Agía Paraskeví</v>
      </c>
      <c r="B36177" s="20" t="s">
        <v>32721</v>
      </c>
      <c r="C36177" s="20" t="s">
        <v>9441</v>
      </c>
      <c r="D36177" s="20" t="s">
        <v>9445</v>
      </c>
      <c r="E36177" s="10">
        <v>264194</v>
      </c>
      <c r="F36177" s="4" t="e">
        <f>IF(B36177=#REF!,"",B36177)</f>
        <v>#REF!</v>
      </c>
    </row>
    <row r="36178" spans="1:6" ht="15.75" customHeight="1">
      <c r="A36178" s="15" t="s">
        <v>1178</v>
      </c>
      <c r="B36178" s="15" t="s">
        <v>1178</v>
      </c>
      <c r="C36178" s="15" t="s">
        <v>1170</v>
      </c>
      <c r="D36178" s="15" t="s">
        <v>1179</v>
      </c>
      <c r="E36178" s="2">
        <v>587361</v>
      </c>
      <c r="F36178" s="4" t="e">
        <f>IF(B36178=#REF!,"",B36178)</f>
        <v>#REF!</v>
      </c>
    </row>
    <row r="36179" spans="1:6" ht="15.75" customHeight="1">
      <c r="A36179" s="15" t="s">
        <v>14274</v>
      </c>
      <c r="B36179" s="15" t="s">
        <v>14274</v>
      </c>
      <c r="C36179" s="15" t="s">
        <v>14240</v>
      </c>
      <c r="D36179" s="15" t="s">
        <v>14271</v>
      </c>
      <c r="E36179" s="2">
        <v>144696</v>
      </c>
      <c r="F36179" s="4" t="e">
        <f>IF(B36179=#REF!,"",B36179)</f>
        <v>#REF!</v>
      </c>
    </row>
    <row r="36180" spans="1:6" ht="15.75" customHeight="1">
      <c r="A36180" s="16" t="s">
        <v>15708</v>
      </c>
      <c r="B36180" s="15" t="s">
        <v>15709</v>
      </c>
      <c r="C36180" s="16" t="s">
        <v>15704</v>
      </c>
      <c r="D36180" s="16" t="s">
        <v>15710</v>
      </c>
      <c r="E36180" s="2">
        <v>1865714</v>
      </c>
      <c r="F36180" s="4" t="e">
        <f>IF(B36180=#REF!,"",B36180)</f>
        <v>#REF!</v>
      </c>
    </row>
    <row r="36181" spans="1:6" ht="15.75" customHeight="1">
      <c r="A36181" s="15" t="s">
        <v>7083</v>
      </c>
      <c r="B36181" s="15" t="s">
        <v>7083</v>
      </c>
      <c r="C36181" s="15" t="s">
        <v>7052</v>
      </c>
      <c r="D36181" s="15" t="s">
        <v>7084</v>
      </c>
      <c r="E36181" s="2">
        <v>3038634</v>
      </c>
      <c r="F36181" s="4" t="e">
        <f>IF(B36181=#REF!,"",B36181)</f>
        <v>#REF!</v>
      </c>
    </row>
    <row r="36182" spans="1:6" ht="15.75" customHeight="1">
      <c r="A36182" s="16" t="s">
        <v>1176</v>
      </c>
      <c r="B36182" s="15" t="s">
        <v>1176</v>
      </c>
      <c r="C36182" s="16" t="s">
        <v>1170</v>
      </c>
      <c r="D36182" s="16" t="s">
        <v>1177</v>
      </c>
      <c r="E36182" s="2">
        <v>587384</v>
      </c>
      <c r="F36182" s="4" t="e">
        <f>IF(B36182=#REF!,"",B36182)</f>
        <v>#REF!</v>
      </c>
    </row>
    <row r="36183" spans="1:6" ht="15.75" customHeight="1">
      <c r="A36183" s="15" t="s">
        <v>7081</v>
      </c>
      <c r="B36183" s="15" t="s">
        <v>7081</v>
      </c>
      <c r="C36183" s="15" t="s">
        <v>7052</v>
      </c>
      <c r="D36183" s="15" t="s">
        <v>7082</v>
      </c>
      <c r="E36183" s="2">
        <v>3038638</v>
      </c>
      <c r="F36183" s="4" t="str">
        <f>IF(B36183=B36182,"",B36183)</f>
        <v>Agde</v>
      </c>
    </row>
    <row r="36184" spans="1:6" ht="15.75" customHeight="1">
      <c r="A36184" s="16" t="str">
        <f ca="1">IFERROR(__xludf.DUMMYFUNCTION("GOOGLETRANSLATE(B23668,""en"",""pt"")"),"Ağdaş")</f>
        <v>Ağdaş</v>
      </c>
      <c r="B36184" s="20" t="s">
        <v>31247</v>
      </c>
      <c r="C36184" s="20" t="s">
        <v>1170</v>
      </c>
      <c r="D36184" s="20" t="s">
        <v>31247</v>
      </c>
      <c r="E36184" s="10">
        <v>587378</v>
      </c>
      <c r="F36184" s="4" t="str">
        <f>IF(B36184=B36183,"",B36184)</f>
        <v>Ağdaş</v>
      </c>
    </row>
    <row r="36185" spans="1:6" ht="15.75" customHeight="1">
      <c r="A36185" s="16" t="str">
        <f ca="1">IFERROR(__xludf.DUMMYFUNCTION("GOOGLETRANSLATE(B23630,""en"",""pt"")"),"Ağdam")</f>
        <v>Ağdam</v>
      </c>
      <c r="B36185" s="20" t="s">
        <v>31232</v>
      </c>
      <c r="C36185" s="20" t="s">
        <v>1170</v>
      </c>
      <c r="D36185" s="20" t="s">
        <v>31232</v>
      </c>
      <c r="E36185" s="10">
        <v>148619</v>
      </c>
      <c r="F36185" s="4" t="e">
        <f>IF(B36185=#REF!,"",B36185)</f>
        <v>#REF!</v>
      </c>
    </row>
    <row r="36186" spans="1:6" ht="15.75" customHeight="1">
      <c r="A36186" s="15" t="s">
        <v>15600</v>
      </c>
      <c r="B36186" s="15" t="s">
        <v>15600</v>
      </c>
      <c r="C36186" s="15" t="s">
        <v>15586</v>
      </c>
      <c r="D36186" s="15" t="s">
        <v>15601</v>
      </c>
      <c r="E36186" s="2">
        <v>2293268</v>
      </c>
      <c r="F36186" s="4" t="e">
        <f>IF(B36186=#REF!,"",B36186)</f>
        <v>#REF!</v>
      </c>
    </row>
    <row r="36187" spans="1:6" ht="15.75" customHeight="1">
      <c r="A36187" s="15" t="s">
        <v>19306</v>
      </c>
      <c r="B36187" s="15" t="s">
        <v>19306</v>
      </c>
      <c r="C36187" s="15" t="s">
        <v>19294</v>
      </c>
      <c r="D36187" s="15" t="s">
        <v>4039</v>
      </c>
      <c r="E36187" s="2">
        <v>2351979</v>
      </c>
      <c r="F36187" s="4" t="e">
        <f>IF(B36187=#REF!,"",B36187)</f>
        <v>#REF!</v>
      </c>
    </row>
    <row r="36188" spans="1:6" ht="15.75" customHeight="1">
      <c r="A36188" s="15" t="s">
        <v>27807</v>
      </c>
      <c r="B36188" s="15" t="s">
        <v>27807</v>
      </c>
      <c r="C36188" s="15" t="s">
        <v>27788</v>
      </c>
      <c r="D36188" s="15" t="s">
        <v>27794</v>
      </c>
      <c r="E36188" s="2">
        <v>4928788</v>
      </c>
      <c r="F36188" s="4" t="e">
        <f>IF(B36188=#REF!,"",B36188)</f>
        <v>#REF!</v>
      </c>
    </row>
    <row r="36189" spans="1:6" ht="15.75" customHeight="1">
      <c r="A36189" s="15" t="s">
        <v>10254</v>
      </c>
      <c r="B36189" s="15" t="s">
        <v>10254</v>
      </c>
      <c r="C36189" s="15" t="s">
        <v>10178</v>
      </c>
      <c r="D36189" s="15" t="s">
        <v>10255</v>
      </c>
      <c r="E36189" s="2">
        <v>1279290</v>
      </c>
      <c r="F36189" s="4" t="str">
        <f>IF(B36189=B36188,"",B36189)</f>
        <v>Agartala</v>
      </c>
    </row>
    <row r="36190" spans="1:6" ht="15.75" customHeight="1">
      <c r="A36190" s="16" t="str">
        <f ca="1">IFERROR(__xludf.DUMMYFUNCTION("GOOGLETRANSLATE(B29591,""en"",""pt"")"),"Āgaro")</f>
        <v>Āgaro</v>
      </c>
      <c r="B36190" s="20" t="s">
        <v>32518</v>
      </c>
      <c r="C36190" s="20" t="s">
        <v>6807</v>
      </c>
      <c r="D36190" s="20" t="s">
        <v>6814</v>
      </c>
      <c r="E36190" s="10">
        <v>344661</v>
      </c>
      <c r="F36190" s="4" t="e">
        <f>IF(B36190=#REF!,"",B36190)</f>
        <v>#REF!</v>
      </c>
    </row>
    <row r="36191" spans="1:6" ht="15.75" customHeight="1">
      <c r="A36191" s="15" t="s">
        <v>10253</v>
      </c>
      <c r="B36191" s="15" t="s">
        <v>10253</v>
      </c>
      <c r="C36191" s="15" t="s">
        <v>10178</v>
      </c>
      <c r="D36191" s="15" t="s">
        <v>10219</v>
      </c>
      <c r="E36191" s="2">
        <v>1279299</v>
      </c>
      <c r="F36191" s="4" t="e">
        <f>IF(B36191=#REF!,"",B36191)</f>
        <v>#REF!</v>
      </c>
    </row>
    <row r="36192" spans="1:6" ht="15.75" customHeight="1">
      <c r="A36192" s="15" t="s">
        <v>18550</v>
      </c>
      <c r="B36192" s="15" t="s">
        <v>18550</v>
      </c>
      <c r="C36192" s="15" t="s">
        <v>18551</v>
      </c>
      <c r="D36192" s="15" t="s">
        <v>18552</v>
      </c>
      <c r="E36192" s="2">
        <v>2561668</v>
      </c>
      <c r="F36192" s="4" t="e">
        <f>IF(B36192=#REF!,"",B36192)</f>
        <v>#REF!</v>
      </c>
    </row>
    <row r="36193" spans="1:6" ht="15.75" customHeight="1">
      <c r="A36193" s="15" t="s">
        <v>19258</v>
      </c>
      <c r="B36193" s="15" t="s">
        <v>19258</v>
      </c>
      <c r="C36193" s="15" t="s">
        <v>19259</v>
      </c>
      <c r="D36193" s="15" t="s">
        <v>19258</v>
      </c>
      <c r="E36193" s="2">
        <v>2448085</v>
      </c>
      <c r="F36193" s="4" t="str">
        <f>IF(B36193=B36192,"",B36193)</f>
        <v>Agadez</v>
      </c>
    </row>
    <row r="36194" spans="1:6" ht="15.75" customHeight="1">
      <c r="A36194" s="16" t="s">
        <v>9464</v>
      </c>
      <c r="B36194" s="15" t="s">
        <v>9465</v>
      </c>
      <c r="C36194" s="16" t="s">
        <v>9441</v>
      </c>
      <c r="D36194" s="16" t="s">
        <v>9445</v>
      </c>
      <c r="E36194" s="2">
        <v>264111</v>
      </c>
      <c r="F36194" s="4" t="str">
        <f>IF(B36194=B36193,"",B36194)</f>
        <v>AgÃ­a VarvÃ¡ra</v>
      </c>
    </row>
    <row r="36195" spans="1:6" ht="15.75" customHeight="1">
      <c r="A36195" s="16" t="s">
        <v>9462</v>
      </c>
      <c r="B36195" s="15" t="s">
        <v>9463</v>
      </c>
      <c r="C36195" s="16" t="s">
        <v>9441</v>
      </c>
      <c r="D36195" s="16" t="s">
        <v>9445</v>
      </c>
      <c r="E36195" s="2">
        <v>264194</v>
      </c>
      <c r="F36195" s="4" t="str">
        <f>IF(B36195=B36194,"",B36195)</f>
        <v>AgÃ­a ParaskevÃ­</v>
      </c>
    </row>
    <row r="36196" spans="1:6" ht="15.75" customHeight="1">
      <c r="A36196" s="15" t="s">
        <v>24213</v>
      </c>
      <c r="B36196" s="15" t="s">
        <v>24214</v>
      </c>
      <c r="C36196" s="15" t="s">
        <v>24200</v>
      </c>
      <c r="D36196" s="15" t="s">
        <v>24212</v>
      </c>
      <c r="E36196" s="2">
        <v>2522325</v>
      </c>
      <c r="F36196" s="4" t="e">
        <f>IF(B36196=#REF!,"",B36196)</f>
        <v>#REF!</v>
      </c>
    </row>
    <row r="36197" spans="1:6" ht="15.75" customHeight="1">
      <c r="A36197" s="15" t="s">
        <v>10251</v>
      </c>
      <c r="B36197" s="15" t="s">
        <v>10251</v>
      </c>
      <c r="C36197" s="15" t="s">
        <v>10178</v>
      </c>
      <c r="D36197" s="15" t="s">
        <v>10252</v>
      </c>
      <c r="E36197" s="2">
        <v>1279306</v>
      </c>
      <c r="F36197" s="4" t="e">
        <f>IF(B36197=#REF!,"",B36197)</f>
        <v>#REF!</v>
      </c>
    </row>
    <row r="36198" spans="1:6" ht="15.75" customHeight="1">
      <c r="A36198" s="15" t="s">
        <v>10250</v>
      </c>
      <c r="B36198" s="15" t="s">
        <v>10250</v>
      </c>
      <c r="C36198" s="15" t="s">
        <v>10178</v>
      </c>
      <c r="D36198" s="15" t="s">
        <v>10193</v>
      </c>
      <c r="E36198" s="2">
        <v>1279307</v>
      </c>
      <c r="F36198" s="4" t="e">
        <f>IF(B36198=#REF!,"",B36198)</f>
        <v>#REF!</v>
      </c>
    </row>
    <row r="36199" spans="1:6" ht="15.75" customHeight="1">
      <c r="A36199" s="16" t="s">
        <v>26237</v>
      </c>
      <c r="B36199" s="15" t="s">
        <v>26237</v>
      </c>
      <c r="C36199" s="16" t="s">
        <v>26201</v>
      </c>
      <c r="D36199" s="16" t="s">
        <v>26237</v>
      </c>
      <c r="E36199" s="2">
        <v>325303</v>
      </c>
      <c r="F36199" s="4" t="str">
        <f>IF(B36199=B36198,"",B36199)</f>
        <v>Afyonkarahisar</v>
      </c>
    </row>
    <row r="36200" spans="1:6" ht="15.75" customHeight="1">
      <c r="A36200" s="16" t="str">
        <f ca="1">IFERROR(__xludf.DUMMYFUNCTION("GOOGLETRANSLATE(B42080,""en"",""pt"")"),"Afşin")</f>
        <v>Afşin</v>
      </c>
      <c r="B36200" s="20" t="s">
        <v>35909</v>
      </c>
      <c r="C36200" s="20" t="s">
        <v>26201</v>
      </c>
      <c r="D36200" s="20" t="s">
        <v>35847</v>
      </c>
      <c r="E36200" s="10">
        <v>325304</v>
      </c>
      <c r="F36200" s="4" t="e">
        <f>IF(B36200=#REF!,"",B36200)</f>
        <v>#REF!</v>
      </c>
    </row>
    <row r="36201" spans="1:6" ht="15.75" customHeight="1">
      <c r="A36201" s="15" t="s">
        <v>14914</v>
      </c>
      <c r="B36201" s="15" t="s">
        <v>14914</v>
      </c>
      <c r="C36201" s="15" t="s">
        <v>14891</v>
      </c>
      <c r="D36201" s="15" t="s">
        <v>14896</v>
      </c>
      <c r="E36201" s="2">
        <v>3183455</v>
      </c>
      <c r="F36201" s="4" t="e">
        <f>IF(B36201=#REF!,"",B36201)</f>
        <v>#REF!</v>
      </c>
    </row>
    <row r="36202" spans="1:6" ht="15.75" customHeight="1">
      <c r="A36202" s="16" t="s">
        <v>1934</v>
      </c>
      <c r="B36202" s="15" t="s">
        <v>1934</v>
      </c>
      <c r="C36202" s="16" t="s">
        <v>1905</v>
      </c>
      <c r="D36202" s="16" t="s">
        <v>1909</v>
      </c>
      <c r="E36202" s="2">
        <v>3408274</v>
      </c>
      <c r="F36202" s="4" t="e">
        <f>IF(B36202=#REF!,"",B36202)</f>
        <v>#REF!</v>
      </c>
    </row>
    <row r="36203" spans="1:6" ht="15.75" customHeight="1">
      <c r="A36203" s="15" t="s">
        <v>218</v>
      </c>
      <c r="B36203" s="15" t="s">
        <v>218</v>
      </c>
      <c r="C36203" s="15" t="s">
        <v>153</v>
      </c>
      <c r="D36203" s="15" t="s">
        <v>219</v>
      </c>
      <c r="E36203" s="2">
        <v>2508737</v>
      </c>
      <c r="F36203" s="4" t="e">
        <f>IF(B36203=#REF!,"",B36203)</f>
        <v>#REF!</v>
      </c>
    </row>
    <row r="36204" spans="1:6" ht="15.75" customHeight="1">
      <c r="A36204" s="15" t="s">
        <v>22085</v>
      </c>
      <c r="B36204" s="15" t="s">
        <v>22085</v>
      </c>
      <c r="C36204" s="15" t="s">
        <v>22070</v>
      </c>
      <c r="D36204" s="15" t="s">
        <v>22077</v>
      </c>
      <c r="E36204" s="2">
        <v>584126</v>
      </c>
      <c r="F36204" s="4" t="e">
        <f>IF(B36204=#REF!,"",B36204)</f>
        <v>#REF!</v>
      </c>
    </row>
    <row r="36205" spans="1:6" ht="15.75" customHeight="1">
      <c r="A36205" s="15" t="s">
        <v>19305</v>
      </c>
      <c r="B36205" s="15" t="s">
        <v>19305</v>
      </c>
      <c r="C36205" s="15" t="s">
        <v>19294</v>
      </c>
      <c r="D36205" s="15" t="s">
        <v>19297</v>
      </c>
      <c r="E36205" s="2">
        <v>2352250</v>
      </c>
      <c r="F36205" s="4" t="e">
        <f>IF(B36205=#REF!,"",B36205)</f>
        <v>#REF!</v>
      </c>
    </row>
    <row r="36206" spans="1:6" ht="15.75" customHeight="1">
      <c r="A36206" s="15" t="s">
        <v>23799</v>
      </c>
      <c r="B36206" s="15" t="s">
        <v>23799</v>
      </c>
      <c r="C36206" s="15" t="s">
        <v>23800</v>
      </c>
      <c r="D36206" s="15" t="s">
        <v>23801</v>
      </c>
      <c r="E36206" s="2">
        <v>65785</v>
      </c>
      <c r="F36206" s="4" t="e">
        <f>IF(B36206=#REF!,"",B36206)</f>
        <v>#REF!</v>
      </c>
    </row>
    <row r="36207" spans="1:6" ht="15.75" customHeight="1">
      <c r="A36207" s="15" t="s">
        <v>27805</v>
      </c>
      <c r="B36207" s="15" t="s">
        <v>27805</v>
      </c>
      <c r="C36207" s="15" t="s">
        <v>27788</v>
      </c>
      <c r="D36207" s="15" t="s">
        <v>27806</v>
      </c>
      <c r="E36207" s="2">
        <v>4374513</v>
      </c>
      <c r="F36207" s="4" t="e">
        <f>IF(B36207=#REF!,"",B36207)</f>
        <v>#REF!</v>
      </c>
    </row>
    <row r="36208" spans="1:6" ht="15.75" customHeight="1">
      <c r="A36208" s="15" t="s">
        <v>15598</v>
      </c>
      <c r="B36208" s="15" t="s">
        <v>15599</v>
      </c>
      <c r="C36208" s="15" t="s">
        <v>15586</v>
      </c>
      <c r="D36208" s="15" t="s">
        <v>15589</v>
      </c>
      <c r="E36208" s="2">
        <v>2288118</v>
      </c>
      <c r="F36208" s="4" t="str">
        <f>IF(B36208=B36207,"",B36208)</f>
        <v>Affery</v>
      </c>
    </row>
    <row r="36209" spans="1:6" ht="15.75" customHeight="1">
      <c r="A36209" s="15" t="s">
        <v>26281</v>
      </c>
      <c r="B36209" s="15" t="s">
        <v>26282</v>
      </c>
      <c r="C36209" s="15" t="s">
        <v>26201</v>
      </c>
      <c r="D36209" s="15" t="s">
        <v>26221</v>
      </c>
      <c r="E36209" s="2">
        <v>325304</v>
      </c>
      <c r="F36209" s="4" t="str">
        <f>IF(B36209=B36208,"",B36209)</f>
        <v>AfÅŸin</v>
      </c>
    </row>
    <row r="36210" spans="1:6" ht="15.75" customHeight="1">
      <c r="A36210" s="16" t="s">
        <v>1173</v>
      </c>
      <c r="B36210" s="15" t="s">
        <v>1174</v>
      </c>
      <c r="C36210" s="16" t="s">
        <v>1170</v>
      </c>
      <c r="D36210" s="16" t="s">
        <v>1175</v>
      </c>
      <c r="E36210" s="2">
        <v>147059</v>
      </c>
      <c r="F36210" s="4" t="str">
        <f>IF(B36210=B36209,"",B36210)</f>
        <v>ÆhmÉ™dbÉ™yli</v>
      </c>
    </row>
    <row r="36211" spans="1:6" ht="15.75" customHeight="1">
      <c r="A36211" s="16" t="str">
        <f ca="1">IFERROR(__xludf.DUMMYFUNCTION("GOOGLETRANSLATE(B25874,""en"",""pt"")"),"Adzopé")</f>
        <v>Adzopé</v>
      </c>
      <c r="B36211" s="20" t="s">
        <v>15596</v>
      </c>
      <c r="C36211" s="20" t="s">
        <v>15586</v>
      </c>
      <c r="D36211" s="20" t="s">
        <v>15589</v>
      </c>
      <c r="E36211" s="10">
        <v>2293342</v>
      </c>
      <c r="F36211" s="4" t="str">
        <f>IF(B36211=B36210,"",B36211)</f>
        <v>Adzopé</v>
      </c>
    </row>
    <row r="36212" spans="1:6" ht="15.75" customHeight="1">
      <c r="A36212" s="15" t="s">
        <v>15596</v>
      </c>
      <c r="B36212" s="15" t="s">
        <v>15597</v>
      </c>
      <c r="C36212" s="15" t="s">
        <v>15586</v>
      </c>
      <c r="D36212" s="15" t="s">
        <v>15589</v>
      </c>
      <c r="E36212" s="2">
        <v>2293342</v>
      </c>
      <c r="F36212" s="4" t="str">
        <f>IF(B36212=B36211,"",B36212)</f>
        <v>AdzopÃ©</v>
      </c>
    </row>
    <row r="36213" spans="1:6" ht="15.75" customHeight="1">
      <c r="A36213" s="16" t="str">
        <f ca="1">IFERROR(__xludf.DUMMYFUNCTION("GOOGLETRANSLATE(B34172,""en"",""pt"")"),"Adūr")</f>
        <v>Adūr</v>
      </c>
      <c r="B36213" s="20" t="s">
        <v>34054</v>
      </c>
      <c r="C36213" s="20" t="s">
        <v>10178</v>
      </c>
      <c r="D36213" s="20" t="s">
        <v>10246</v>
      </c>
      <c r="E36213" s="10">
        <v>1279323</v>
      </c>
      <c r="F36213" s="4" t="str">
        <f>IF(B36213=B36212,"",B36213)</f>
        <v>Adūr</v>
      </c>
    </row>
    <row r="36214" spans="1:6" ht="15.75" customHeight="1">
      <c r="A36214" s="16" t="str">
        <f ca="1">IFERROR(__xludf.DUMMYFUNCTION("GOOGLETRANSLATE(B23370,""en"",""pt"")"),"Adrogué")</f>
        <v>Adrogué</v>
      </c>
      <c r="B36214" s="20" t="s">
        <v>560</v>
      </c>
      <c r="C36214" s="20" t="s">
        <v>558</v>
      </c>
      <c r="D36214" s="20" t="s">
        <v>562</v>
      </c>
      <c r="E36214" s="10">
        <v>10172104</v>
      </c>
      <c r="F36214" s="4" t="str">
        <f>IF(B36214=B36213,"",B36214)</f>
        <v>Adrogué</v>
      </c>
    </row>
    <row r="36215" spans="1:6" ht="15.75" customHeight="1">
      <c r="A36215" s="15" t="s">
        <v>560</v>
      </c>
      <c r="B36215" s="15" t="s">
        <v>561</v>
      </c>
      <c r="C36215" s="15" t="s">
        <v>558</v>
      </c>
      <c r="D36215" s="15" t="s">
        <v>562</v>
      </c>
      <c r="E36215" s="2">
        <v>10172104</v>
      </c>
      <c r="F36215" s="4" t="e">
        <f>IF(B36215=#REF!,"",B36215)</f>
        <v>#REF!</v>
      </c>
    </row>
    <row r="36216" spans="1:6" ht="15.75" customHeight="1">
      <c r="A36216" s="15" t="s">
        <v>27803</v>
      </c>
      <c r="B36216" s="15" t="s">
        <v>27803</v>
      </c>
      <c r="C36216" s="15" t="s">
        <v>27788</v>
      </c>
      <c r="D36216" s="15" t="s">
        <v>27804</v>
      </c>
      <c r="E36216" s="2">
        <v>4983811</v>
      </c>
      <c r="F36216" s="4" t="e">
        <f>IF(B36216=#REF!,"",B36216)</f>
        <v>#REF!</v>
      </c>
    </row>
    <row r="36217" spans="1:6" ht="15.75" customHeight="1">
      <c r="A36217" s="15" t="s">
        <v>216</v>
      </c>
      <c r="B36217" s="15" t="s">
        <v>217</v>
      </c>
      <c r="C36217" s="15" t="s">
        <v>153</v>
      </c>
      <c r="D36217" s="15" t="s">
        <v>217</v>
      </c>
      <c r="E36217" s="2">
        <v>2508813</v>
      </c>
      <c r="F36217" s="4" t="e">
        <f>IF(B36217=#REF!,"",B36217)</f>
        <v>#REF!</v>
      </c>
    </row>
    <row r="36218" spans="1:6" ht="15.75" customHeight="1">
      <c r="A36218" s="15" t="s">
        <v>14913</v>
      </c>
      <c r="B36218" s="15" t="s">
        <v>14913</v>
      </c>
      <c r="C36218" s="15" t="s">
        <v>14891</v>
      </c>
      <c r="D36218" s="15" t="s">
        <v>14899</v>
      </c>
      <c r="E36218" s="2">
        <v>2525769</v>
      </c>
      <c r="F36218" s="4" t="e">
        <f>IF(B36218=#REF!,"",B36218)</f>
        <v>#REF!</v>
      </c>
    </row>
    <row r="36219" spans="1:6" ht="15.75" customHeight="1">
      <c r="A36219" s="15" t="s">
        <v>10249</v>
      </c>
      <c r="B36219" s="15" t="s">
        <v>10249</v>
      </c>
      <c r="C36219" s="15" t="s">
        <v>10178</v>
      </c>
      <c r="D36219" s="15" t="s">
        <v>10201</v>
      </c>
      <c r="E36219" s="2">
        <v>1279334</v>
      </c>
      <c r="F36219" s="4" t="str">
        <f>IF(B36219=B36218,"",B36219)</f>
        <v>Adra</v>
      </c>
    </row>
    <row r="36220" spans="1:6" ht="15.75" customHeight="1">
      <c r="A36220" s="16" t="str">
        <f ca="1">IFERROR(__xludf.DUMMYFUNCTION("GOOGLETRANSLATE(B34174,""en"",""pt"")"),"Ādoni")</f>
        <v>Ādoni</v>
      </c>
      <c r="B36220" s="20" t="s">
        <v>34055</v>
      </c>
      <c r="C36220" s="20" t="s">
        <v>10178</v>
      </c>
      <c r="D36220" s="20" t="s">
        <v>10190</v>
      </c>
      <c r="E36220" s="10">
        <v>1279335</v>
      </c>
      <c r="F36220" s="4" t="e">
        <f>IF(B36220=#REF!,"",B36220)</f>
        <v>#REF!</v>
      </c>
    </row>
    <row r="36221" spans="1:6" ht="15.75" customHeight="1">
      <c r="A36221" s="15" t="s">
        <v>19303</v>
      </c>
      <c r="B36221" s="15" t="s">
        <v>19303</v>
      </c>
      <c r="C36221" s="15" t="s">
        <v>19294</v>
      </c>
      <c r="D36221" s="15" t="s">
        <v>19304</v>
      </c>
      <c r="E36221" s="2">
        <v>2352379</v>
      </c>
      <c r="F36221" s="4" t="e">
        <f>IF(B36221=#REF!,"",B36221)</f>
        <v>#REF!</v>
      </c>
    </row>
    <row r="36222" spans="1:6" ht="15.75" customHeight="1">
      <c r="A36222" s="15" t="s">
        <v>19302</v>
      </c>
      <c r="B36222" s="15" t="s">
        <v>19302</v>
      </c>
      <c r="C36222" s="15" t="s">
        <v>19294</v>
      </c>
      <c r="D36222" s="15" t="s">
        <v>19299</v>
      </c>
      <c r="E36222" s="2">
        <v>2352356</v>
      </c>
      <c r="F36222" s="4" t="e">
        <f>IF(B36222=#REF!,"",B36222)</f>
        <v>#REF!</v>
      </c>
    </row>
    <row r="36223" spans="1:6" ht="15.75" customHeight="1">
      <c r="A36223" s="16" t="s">
        <v>22083</v>
      </c>
      <c r="B36223" s="15" t="s">
        <v>22083</v>
      </c>
      <c r="C36223" s="16" t="s">
        <v>22070</v>
      </c>
      <c r="D36223" s="16" t="s">
        <v>22084</v>
      </c>
      <c r="E36223" s="2">
        <v>8504953</v>
      </c>
      <c r="F36223" s="4" t="e">
        <f>IF(B36223=#REF!,"",B36223)</f>
        <v>#REF!</v>
      </c>
    </row>
    <row r="36224" spans="1:6" ht="15.75" customHeight="1">
      <c r="A36224" s="15" t="s">
        <v>25239</v>
      </c>
      <c r="B36224" s="15" t="s">
        <v>25239</v>
      </c>
      <c r="C36224" s="15" t="s">
        <v>25237</v>
      </c>
      <c r="D36224" s="15" t="s">
        <v>25240</v>
      </c>
      <c r="E36224" s="2">
        <v>2661861</v>
      </c>
      <c r="F36224" s="4" t="e">
        <f>IF(B36224=#REF!,"",B36224)</f>
        <v>#REF!</v>
      </c>
    </row>
    <row r="36225" spans="1:6" ht="15.75" customHeight="1">
      <c r="A36225" s="15" t="s">
        <v>8035</v>
      </c>
      <c r="B36225" s="15" t="s">
        <v>8035</v>
      </c>
      <c r="C36225" s="15" t="s">
        <v>8028</v>
      </c>
      <c r="D36225" s="15" t="s">
        <v>8036</v>
      </c>
      <c r="E36225" s="2">
        <v>2959441</v>
      </c>
      <c r="F36225" s="4" t="e">
        <f>IF(B36225=#REF!,"",B36225)</f>
        <v>#REF!</v>
      </c>
    </row>
    <row r="36226" spans="1:6" ht="15.75" customHeight="1">
      <c r="A36226" s="15" t="s">
        <v>22082</v>
      </c>
      <c r="B36226" s="15" t="s">
        <v>22082</v>
      </c>
      <c r="C36226" s="15" t="s">
        <v>22070</v>
      </c>
      <c r="D36226" s="15" t="s">
        <v>22077</v>
      </c>
      <c r="E36226" s="2">
        <v>584243</v>
      </c>
      <c r="F36226" s="4" t="e">
        <f>IF(B36226=#REF!,"",B36226)</f>
        <v>#REF!</v>
      </c>
    </row>
    <row r="36227" spans="1:6" ht="15.75" customHeight="1">
      <c r="A36227" s="15" t="s">
        <v>26819</v>
      </c>
      <c r="B36227" s="15" t="s">
        <v>26819</v>
      </c>
      <c r="C36227" s="15" t="s">
        <v>26820</v>
      </c>
      <c r="D36227" s="15" t="s">
        <v>17416</v>
      </c>
      <c r="E36227" s="2">
        <v>235489</v>
      </c>
      <c r="F36227" s="4" t="e">
        <f>IF(B36227=#REF!,"",B36227)</f>
        <v>#REF!</v>
      </c>
    </row>
    <row r="36228" spans="1:6" ht="15.75" customHeight="1">
      <c r="A36228" s="15" t="s">
        <v>21822</v>
      </c>
      <c r="B36228" s="15" t="s">
        <v>21823</v>
      </c>
      <c r="C36228" s="15" t="s">
        <v>21824</v>
      </c>
      <c r="D36228" s="15" t="s">
        <v>21825</v>
      </c>
      <c r="E36228" s="2">
        <v>686669</v>
      </c>
      <c r="F36228" s="4" t="str">
        <f>IF(B36228=B36227,"",B36228)</f>
        <v>Adjud</v>
      </c>
    </row>
    <row r="36229" spans="1:6" ht="15.75" customHeight="1">
      <c r="A36229" s="16" t="str">
        <f ca="1">IFERROR(__xludf.DUMMYFUNCTION("GOOGLETRANSLATE(B42081,""en"",""pt"")"),"Adıyaman")</f>
        <v>Adıyaman</v>
      </c>
      <c r="B36229" s="20" t="s">
        <v>35865</v>
      </c>
      <c r="C36229" s="20" t="s">
        <v>26201</v>
      </c>
      <c r="D36229" s="20" t="s">
        <v>35865</v>
      </c>
      <c r="E36229" s="10">
        <v>325330</v>
      </c>
      <c r="F36229" s="4" t="e">
        <f>IF(B36229=#REF!,"",B36229)</f>
        <v>#REF!</v>
      </c>
    </row>
    <row r="36230" spans="1:6" ht="15.75" customHeight="1">
      <c r="A36230" s="15" t="s">
        <v>13802</v>
      </c>
      <c r="B36230" s="15" t="s">
        <v>13802</v>
      </c>
      <c r="C36230" s="15" t="s">
        <v>13800</v>
      </c>
      <c r="D36230" s="15" t="s">
        <v>13803</v>
      </c>
      <c r="E36230" s="2">
        <v>1651887</v>
      </c>
      <c r="F36230" s="4" t="str">
        <f>IF(B36230=B36229,"",B36230)</f>
        <v>Adiwerna</v>
      </c>
    </row>
    <row r="36231" spans="1:6" ht="15.75" customHeight="1">
      <c r="A36231" s="16" t="str">
        <f ca="1">IFERROR(__xludf.DUMMYFUNCTION("GOOGLETRANSLATE(B29592,""en"",""pt"")"),"Ādīs zemen")</f>
        <v>Ādīs zemen</v>
      </c>
      <c r="B36231" s="20" t="s">
        <v>32519</v>
      </c>
      <c r="C36231" s="20" t="s">
        <v>6807</v>
      </c>
      <c r="D36231" s="20" t="s">
        <v>6811</v>
      </c>
      <c r="E36231" s="10">
        <v>344923</v>
      </c>
      <c r="F36231" s="4" t="e">
        <f>IF(B36231=#REF!,"",B36231)</f>
        <v>#REF!</v>
      </c>
    </row>
    <row r="36232" spans="1:6" ht="15.75" customHeight="1">
      <c r="A36232" s="16" t="s">
        <v>10248</v>
      </c>
      <c r="B36232" s="15" t="s">
        <v>10248</v>
      </c>
      <c r="C36232" s="16" t="s">
        <v>10178</v>
      </c>
      <c r="D36232" s="16" t="s">
        <v>10196</v>
      </c>
      <c r="E36232" s="2">
        <v>1278204</v>
      </c>
      <c r="F36232" s="4" t="e">
        <f>IF(B36232=#REF!,"",B36232)</f>
        <v>#REF!</v>
      </c>
    </row>
    <row r="36233" spans="1:6" ht="15.75" customHeight="1">
      <c r="A36233" s="15" t="s">
        <v>26279</v>
      </c>
      <c r="B36233" s="15" t="s">
        <v>26279</v>
      </c>
      <c r="C36233" s="15" t="s">
        <v>26201</v>
      </c>
      <c r="D36233" s="15" t="s">
        <v>26280</v>
      </c>
      <c r="E36233" s="2">
        <v>325336</v>
      </c>
      <c r="F36233" s="4" t="str">
        <f>IF(B36233=B36232,"",B36233)</f>
        <v>Adilcevaz</v>
      </c>
    </row>
    <row r="36234" spans="1:6" ht="15.75" customHeight="1">
      <c r="A36234" s="16" t="str">
        <f ca="1">IFERROR(__xludf.DUMMYFUNCTION("GOOGLETRANSLATE(B34175,""en"",""pt"")"),"Ādilābād")</f>
        <v>Ādilābād</v>
      </c>
      <c r="B36234" s="20" t="s">
        <v>34056</v>
      </c>
      <c r="C36234" s="20" t="s">
        <v>10178</v>
      </c>
      <c r="D36234" s="20" t="s">
        <v>10187</v>
      </c>
      <c r="E36234" s="10">
        <v>1279344</v>
      </c>
      <c r="F36234" s="4" t="str">
        <f>IF(B36234=B36233,"",B36234)</f>
        <v>Ādilābād</v>
      </c>
    </row>
    <row r="36235" spans="1:6" ht="15.75" customHeight="1">
      <c r="A36235" s="16" t="str">
        <f ca="1">IFERROR(__xludf.DUMMYFUNCTION("GOOGLETRANSLATE(B29594,""en"",""pt"")"),"Ādīgrat")</f>
        <v>Ādīgrat</v>
      </c>
      <c r="B36235" s="20" t="s">
        <v>32520</v>
      </c>
      <c r="C36235" s="20" t="s">
        <v>6807</v>
      </c>
      <c r="D36235" s="20" t="s">
        <v>6808</v>
      </c>
      <c r="E36235" s="10">
        <v>345149</v>
      </c>
      <c r="F36235" s="4" t="str">
        <f>IF(B36235=B36234,"",B36235)</f>
        <v>Ādīgrat</v>
      </c>
    </row>
    <row r="36236" spans="1:6" ht="15.75" customHeight="1">
      <c r="A36236" s="16" t="str">
        <f ca="1">IFERROR(__xludf.DUMMYFUNCTION("GOOGLETRANSLATE(B25875,""en"",""pt"")"),"Adiaké")</f>
        <v>Adiaké</v>
      </c>
      <c r="B36236" s="20" t="s">
        <v>15594</v>
      </c>
      <c r="C36236" s="20" t="s">
        <v>15586</v>
      </c>
      <c r="D36236" s="20" t="s">
        <v>31786</v>
      </c>
      <c r="E36236" s="10">
        <v>2293428</v>
      </c>
      <c r="F36236" s="4" t="str">
        <f>IF(B36236=B36235,"",B36236)</f>
        <v>Adiaké</v>
      </c>
    </row>
    <row r="36237" spans="1:6" ht="15.75" customHeight="1">
      <c r="A36237" s="15" t="s">
        <v>15594</v>
      </c>
      <c r="B36237" s="15" t="s">
        <v>15595</v>
      </c>
      <c r="C36237" s="15" t="s">
        <v>15586</v>
      </c>
      <c r="D36237" s="15" t="s">
        <v>15593</v>
      </c>
      <c r="E36237" s="2">
        <v>2293428</v>
      </c>
      <c r="F36237" s="4" t="e">
        <f>IF(B36237=#REF!,"",B36237)</f>
        <v>#REF!</v>
      </c>
    </row>
    <row r="36238" spans="1:6" ht="15.75" customHeight="1">
      <c r="A36238" s="16" t="s">
        <v>27214</v>
      </c>
      <c r="B36238" s="15" t="s">
        <v>27215</v>
      </c>
      <c r="C36238" s="16" t="s">
        <v>27213</v>
      </c>
      <c r="D36238" s="16" t="s">
        <v>27216</v>
      </c>
      <c r="E36238" s="2">
        <v>292953</v>
      </c>
      <c r="F36238" s="4" t="e">
        <f>IF(B36238=#REF!,"",B36238)</f>
        <v>#REF!</v>
      </c>
    </row>
    <row r="36239" spans="1:6" ht="15.75" customHeight="1">
      <c r="A36239" s="15" t="s">
        <v>30997</v>
      </c>
      <c r="B36239" s="15" t="s">
        <v>30997</v>
      </c>
      <c r="C36239" s="15" t="s">
        <v>30993</v>
      </c>
      <c r="D36239" s="15" t="s">
        <v>30997</v>
      </c>
      <c r="E36239" s="2">
        <v>415189</v>
      </c>
      <c r="F36239" s="4" t="str">
        <f>IF(B36239=B36238,"",B36239)</f>
        <v>Aden</v>
      </c>
    </row>
    <row r="36240" spans="1:6" ht="15.75" customHeight="1">
      <c r="A36240" s="16" t="s">
        <v>26277</v>
      </c>
      <c r="B36240" s="15" t="s">
        <v>26278</v>
      </c>
      <c r="C36240" s="16" t="s">
        <v>26201</v>
      </c>
      <c r="D36240" s="16" t="s">
        <v>26213</v>
      </c>
      <c r="E36240" s="2">
        <v>303700</v>
      </c>
      <c r="F36240" s="4" t="e">
        <f>IF(B36240=#REF!,"",B36240)</f>
        <v>#REF!</v>
      </c>
    </row>
    <row r="36241" spans="1:6" ht="15.75" customHeight="1">
      <c r="A36241" s="15" t="s">
        <v>27802</v>
      </c>
      <c r="B36241" s="15" t="s">
        <v>27802</v>
      </c>
      <c r="C36241" s="15" t="s">
        <v>27788</v>
      </c>
      <c r="D36241" s="15" t="s">
        <v>17061</v>
      </c>
      <c r="E36241" s="2">
        <v>4346991</v>
      </c>
      <c r="F36241" s="4" t="e">
        <f>IF(B36241=#REF!,"",B36241)</f>
        <v>#REF!</v>
      </c>
    </row>
    <row r="36242" spans="1:6" ht="15.75" customHeight="1">
      <c r="A36242" s="15" t="s">
        <v>14912</v>
      </c>
      <c r="B36242" s="15" t="s">
        <v>14912</v>
      </c>
      <c r="C36242" s="15" t="s">
        <v>14891</v>
      </c>
      <c r="D36242" s="15" t="s">
        <v>14908</v>
      </c>
      <c r="E36242" s="2">
        <v>3183472</v>
      </c>
      <c r="F36242" s="4" t="e">
        <f>IF(B36242=#REF!,"",B36242)</f>
        <v>#REF!</v>
      </c>
    </row>
    <row r="36243" spans="1:6" ht="15.75" customHeight="1">
      <c r="A36243" s="15" t="s">
        <v>27800</v>
      </c>
      <c r="B36243" s="15" t="s">
        <v>27800</v>
      </c>
      <c r="C36243" s="15" t="s">
        <v>27788</v>
      </c>
      <c r="D36243" s="15" t="s">
        <v>27801</v>
      </c>
      <c r="E36243" s="2">
        <v>5322400</v>
      </c>
      <c r="F36243" s="4" t="e">
        <f>IF(B36243=#REF!,"",B36243)</f>
        <v>#REF!</v>
      </c>
    </row>
    <row r="36244" spans="1:6" ht="15.75" customHeight="1">
      <c r="A36244" s="16" t="s">
        <v>887</v>
      </c>
      <c r="B36244" s="15" t="s">
        <v>887</v>
      </c>
      <c r="C36244" s="16" t="s">
        <v>885</v>
      </c>
      <c r="D36244" s="16" t="s">
        <v>886</v>
      </c>
      <c r="E36244" s="2">
        <v>7302628</v>
      </c>
      <c r="F36244" s="4" t="e">
        <f>IF(B36244=#REF!,"",B36244)</f>
        <v>#REF!</v>
      </c>
    </row>
    <row r="36245" spans="1:6" ht="15.75" customHeight="1">
      <c r="A36245" s="15" t="s">
        <v>884</v>
      </c>
      <c r="B36245" s="15" t="s">
        <v>884</v>
      </c>
      <c r="C36245" s="15" t="s">
        <v>885</v>
      </c>
      <c r="D36245" s="15" t="s">
        <v>886</v>
      </c>
      <c r="E36245" s="2">
        <v>2078025</v>
      </c>
      <c r="F36245" s="4" t="e">
        <f>IF(B36245=#REF!,"",B36245)</f>
        <v>#REF!</v>
      </c>
    </row>
    <row r="36246" spans="1:6" ht="15.75" customHeight="1">
      <c r="A36246" s="15" t="s">
        <v>24211</v>
      </c>
      <c r="B36246" s="15" t="s">
        <v>24211</v>
      </c>
      <c r="C36246" s="15" t="s">
        <v>24200</v>
      </c>
      <c r="D36246" s="15" t="s">
        <v>24212</v>
      </c>
      <c r="E36246" s="2">
        <v>2522437</v>
      </c>
      <c r="F36246" s="4" t="e">
        <f>IF(B36246=#REF!,"",B36246)</f>
        <v>#REF!</v>
      </c>
    </row>
    <row r="36247" spans="1:6" ht="15.75" customHeight="1">
      <c r="A36247" s="15" t="s">
        <v>27798</v>
      </c>
      <c r="B36247" s="15" t="s">
        <v>27798</v>
      </c>
      <c r="C36247" s="15" t="s">
        <v>27788</v>
      </c>
      <c r="D36247" s="15" t="s">
        <v>27799</v>
      </c>
      <c r="E36247" s="2">
        <v>4882920</v>
      </c>
      <c r="F36247" s="4" t="e">
        <f>IF(B36247=#REF!,"",B36247)</f>
        <v>#REF!</v>
      </c>
    </row>
    <row r="36248" spans="1:6" ht="15.75" customHeight="1">
      <c r="A36248" s="16" t="s">
        <v>6830</v>
      </c>
      <c r="B36248" s="15" t="s">
        <v>6831</v>
      </c>
      <c r="C36248" s="16" t="s">
        <v>6807</v>
      </c>
      <c r="D36248" s="16" t="s">
        <v>6832</v>
      </c>
      <c r="E36248" s="2">
        <v>344979</v>
      </c>
      <c r="F36248" s="4" t="e">
        <f>IF(B36248=#REF!,"",B36248)</f>
        <v>#REF!</v>
      </c>
    </row>
    <row r="36249" spans="1:6" ht="15.75" customHeight="1">
      <c r="A36249" s="16" t="s">
        <v>6829</v>
      </c>
      <c r="B36249" s="15" t="s">
        <v>6829</v>
      </c>
      <c r="C36249" s="16" t="s">
        <v>6807</v>
      </c>
      <c r="D36249" s="16" t="s">
        <v>6811</v>
      </c>
      <c r="E36249" s="2">
        <v>345353</v>
      </c>
      <c r="F36249" s="4" t="e">
        <f>IF(B36249=#REF!,"",B36249)</f>
        <v>#REF!</v>
      </c>
    </row>
    <row r="36250" spans="1:6" ht="15.75" customHeight="1">
      <c r="A36250" s="15" t="s">
        <v>10247</v>
      </c>
      <c r="B36250" s="15" t="s">
        <v>10247</v>
      </c>
      <c r="C36250" s="15" t="s">
        <v>10178</v>
      </c>
      <c r="D36250" s="15" t="s">
        <v>10190</v>
      </c>
      <c r="E36250" s="2">
        <v>1279356</v>
      </c>
      <c r="F36250" s="4" t="e">
        <f>IF(B36250=#REF!,"",B36250)</f>
        <v>#REF!</v>
      </c>
    </row>
    <row r="36251" spans="1:6" ht="15.75" customHeight="1">
      <c r="A36251" s="16" t="s">
        <v>24995</v>
      </c>
      <c r="B36251" s="15" t="s">
        <v>24996</v>
      </c>
      <c r="C36251" s="16" t="s">
        <v>24987</v>
      </c>
      <c r="D36251" s="16" t="s">
        <v>24997</v>
      </c>
      <c r="E36251" s="2">
        <v>380174</v>
      </c>
      <c r="F36251" s="4" t="str">
        <f>IF(B36251=B36250,"",B36251)</f>
        <v>Ad-Damazin</v>
      </c>
    </row>
    <row r="36252" spans="1:6" ht="15.75" customHeight="1">
      <c r="A36252" s="16" t="str">
        <f ca="1">IFERROR(__xludf.DUMMYFUNCTION("GOOGLETRANSLATE(B42229,""en"",""pt"")"),"Adapazarı")</f>
        <v>Adapazarı</v>
      </c>
      <c r="B36252" s="20" t="s">
        <v>35972</v>
      </c>
      <c r="C36252" s="20" t="s">
        <v>26201</v>
      </c>
      <c r="D36252" s="20" t="s">
        <v>26276</v>
      </c>
      <c r="E36252" s="10">
        <v>752850</v>
      </c>
      <c r="F36252" s="4" t="str">
        <f>IF(B36252=B36251,"",B36252)</f>
        <v>Adapazarı</v>
      </c>
    </row>
    <row r="36253" spans="1:6" ht="15.75" customHeight="1">
      <c r="A36253" s="16" t="s">
        <v>26274</v>
      </c>
      <c r="B36253" s="15" t="s">
        <v>26275</v>
      </c>
      <c r="C36253" s="16" t="s">
        <v>26201</v>
      </c>
      <c r="D36253" s="16" t="s">
        <v>26276</v>
      </c>
      <c r="E36253" s="2">
        <v>752850</v>
      </c>
      <c r="F36253" s="4" t="e">
        <f>IF(B36253=#REF!,"",B36253)</f>
        <v>#REF!</v>
      </c>
    </row>
    <row r="36254" spans="1:6" ht="15.75" customHeight="1">
      <c r="A36254" s="15" t="s">
        <v>26273</v>
      </c>
      <c r="B36254" s="15" t="s">
        <v>26273</v>
      </c>
      <c r="C36254" s="15" t="s">
        <v>26201</v>
      </c>
      <c r="D36254" s="15" t="s">
        <v>26273</v>
      </c>
      <c r="E36254" s="2">
        <v>325363</v>
      </c>
      <c r="F36254" s="4" t="e">
        <f>IF(B36254=#REF!,"",B36254)</f>
        <v>#REF!</v>
      </c>
    </row>
    <row r="36255" spans="1:6" ht="15.75" customHeight="1">
      <c r="A36255" s="16" t="s">
        <v>21060</v>
      </c>
      <c r="B36255" s="15" t="s">
        <v>21060</v>
      </c>
      <c r="C36255" s="16" t="s">
        <v>21061</v>
      </c>
      <c r="D36255" s="16" t="s">
        <v>551</v>
      </c>
      <c r="E36255" s="2">
        <v>4030723</v>
      </c>
      <c r="F36255" s="4" t="str">
        <f>IF(B36255=B36254,"",B36255)</f>
        <v>Adamstown</v>
      </c>
    </row>
    <row r="36256" spans="1:6" ht="15.75" customHeight="1">
      <c r="A36256" s="16" t="str">
        <f ca="1">IFERROR(__xludf.DUMMYFUNCTION("GOOGLETRANSLATE(B34200,""en"",""pt"")"),"Ādampur")</f>
        <v>Ādampur</v>
      </c>
      <c r="B36256" s="20" t="s">
        <v>34065</v>
      </c>
      <c r="C36256" s="20" t="s">
        <v>10178</v>
      </c>
      <c r="D36256" s="20" t="s">
        <v>10184</v>
      </c>
      <c r="E36256" s="10">
        <v>1462733</v>
      </c>
      <c r="F36256" s="4" t="e">
        <f>IF(B36256=#REF!,"",B36256)</f>
        <v>#REF!</v>
      </c>
    </row>
    <row r="36257" spans="1:6" ht="15.75" customHeight="1">
      <c r="A36257" s="16" t="s">
        <v>1933</v>
      </c>
      <c r="B36257" s="15" t="s">
        <v>1933</v>
      </c>
      <c r="C36257" s="16" t="s">
        <v>1905</v>
      </c>
      <c r="D36257" s="16" t="s">
        <v>1914</v>
      </c>
      <c r="E36257" s="2">
        <v>3473157</v>
      </c>
      <c r="F36257" s="4" t="str">
        <f>IF(B36257=B36256,"",B36257)</f>
        <v>Adamantina</v>
      </c>
    </row>
    <row r="36258" spans="1:6" ht="15.75" customHeight="1">
      <c r="A36258" s="16" t="str">
        <f ca="1">IFERROR(__xludf.DUMMYFUNCTION("GOOGLETRANSLATE(B38275,""en"",""pt"")"),"Adão")</f>
        <v>Adão</v>
      </c>
      <c r="B36258" s="20" t="s">
        <v>34860</v>
      </c>
      <c r="C36258" s="20" t="s">
        <v>19755</v>
      </c>
      <c r="D36258" s="20" t="s">
        <v>34843</v>
      </c>
      <c r="E36258" s="10">
        <v>289433</v>
      </c>
      <c r="F36258" s="4" t="str">
        <f>IF(B36258=B36257,"",B36258)</f>
        <v>Ādam</v>
      </c>
    </row>
    <row r="36259" spans="1:6" ht="15.75" customHeight="1">
      <c r="A36259" s="15" t="s">
        <v>10244</v>
      </c>
      <c r="B36259" s="15" t="s">
        <v>10245</v>
      </c>
      <c r="C36259" s="15" t="s">
        <v>10178</v>
      </c>
      <c r="D36259" s="15" t="s">
        <v>10246</v>
      </c>
      <c r="E36259" s="2">
        <v>1279323</v>
      </c>
      <c r="F36259" s="4" t="str">
        <f>IF(B36259=B36258,"",B36259)</f>
        <v>AdÅ«r</v>
      </c>
    </row>
    <row r="36260" spans="1:6" ht="15.75" customHeight="1">
      <c r="A36260" s="16" t="s">
        <v>26271</v>
      </c>
      <c r="B36260" s="15" t="s">
        <v>26272</v>
      </c>
      <c r="C36260" s="16" t="s">
        <v>26201</v>
      </c>
      <c r="D36260" s="16" t="s">
        <v>26272</v>
      </c>
      <c r="E36260" s="2">
        <v>325330</v>
      </c>
      <c r="F36260" s="4" t="e">
        <f>IF(B36260=#REF!,"",B36260)</f>
        <v>#REF!</v>
      </c>
    </row>
    <row r="36261" spans="1:6" ht="15.75" customHeight="1">
      <c r="A36261" s="15" t="s">
        <v>27796</v>
      </c>
      <c r="B36261" s="15" t="s">
        <v>27796</v>
      </c>
      <c r="C36261" s="15" t="s">
        <v>27788</v>
      </c>
      <c r="D36261" s="15" t="s">
        <v>27797</v>
      </c>
      <c r="E36261" s="2">
        <v>4529096</v>
      </c>
      <c r="F36261" s="4" t="e">
        <f>IF(B36261=#REF!,"",B36261)</f>
        <v>#REF!</v>
      </c>
    </row>
    <row r="36262" spans="1:6" ht="15.75" customHeight="1">
      <c r="A36262" s="15" t="s">
        <v>14618</v>
      </c>
      <c r="B36262" s="15" t="s">
        <v>14619</v>
      </c>
      <c r="C36262" s="15" t="s">
        <v>14594</v>
      </c>
      <c r="D36262" s="15" t="s">
        <v>14620</v>
      </c>
      <c r="E36262" s="2">
        <v>99759</v>
      </c>
      <c r="F36262" s="4" t="e">
        <f>IF(B36262=#REF!,"",B36262)</f>
        <v>#REF!</v>
      </c>
    </row>
    <row r="36263" spans="1:6" ht="15.75" customHeight="1">
      <c r="A36263" s="16" t="s">
        <v>24993</v>
      </c>
      <c r="B36263" s="15" t="s">
        <v>24993</v>
      </c>
      <c r="C36263" s="16" t="s">
        <v>24987</v>
      </c>
      <c r="D36263" s="16" t="s">
        <v>24994</v>
      </c>
      <c r="E36263" s="2">
        <v>380129</v>
      </c>
      <c r="F36263" s="4" t="str">
        <f>IF(B36263=B36262,"",B36263)</f>
        <v>Ad Douiem</v>
      </c>
    </row>
    <row r="36264" spans="1:6" ht="15.75" customHeight="1">
      <c r="A36264" s="16" t="str">
        <f ca="1">IFERROR(__xludf.DUMMYFUNCTION("GOOGLETRANSLATE(B34336,""en"",""pt"")"),"Ad dīwānīyah")</f>
        <v>Ad dīwānīyah</v>
      </c>
      <c r="B36264" s="20" t="s">
        <v>34113</v>
      </c>
      <c r="C36264" s="20" t="s">
        <v>14594</v>
      </c>
      <c r="D36264" s="20" t="s">
        <v>34090</v>
      </c>
      <c r="E36264" s="10">
        <v>99762</v>
      </c>
      <c r="F36264" s="4" t="e">
        <f>IF(B36264=#REF!,"",B36264)</f>
        <v>#REF!</v>
      </c>
    </row>
    <row r="36265" spans="1:6" ht="15.75" customHeight="1">
      <c r="A36265" s="16" t="s">
        <v>24991</v>
      </c>
      <c r="B36265" s="15" t="s">
        <v>24991</v>
      </c>
      <c r="C36265" s="16" t="s">
        <v>24987</v>
      </c>
      <c r="D36265" s="16" t="s">
        <v>24992</v>
      </c>
      <c r="E36265" s="2">
        <v>380151</v>
      </c>
      <c r="F36265" s="4" t="str">
        <f>IF(B36265=B36264,"",B36265)</f>
        <v>Ad Dindar</v>
      </c>
    </row>
    <row r="36266" spans="1:6" ht="15.75" customHeight="1">
      <c r="A36266" s="16" t="str">
        <f ca="1">IFERROR(__xludf.DUMMYFUNCTION("GOOGLETRANSLATE(B28933,""en"",""pt"")"),"Ad dilinjāt")</f>
        <v>Ad dilinjāt</v>
      </c>
      <c r="B36266" s="20" t="s">
        <v>32343</v>
      </c>
      <c r="C36266" s="20" t="s">
        <v>6495</v>
      </c>
      <c r="D36266" s="20" t="s">
        <v>32264</v>
      </c>
      <c r="E36266" s="10">
        <v>361827</v>
      </c>
      <c r="F36266" s="4" t="str">
        <f>IF(B36266=B36265,"",B36266)</f>
        <v>Ad Dilinjāt</v>
      </c>
    </row>
    <row r="36267" spans="1:6" ht="15.75" customHeight="1">
      <c r="A36267" s="16" t="s">
        <v>6526</v>
      </c>
      <c r="B36267" s="15" t="s">
        <v>6527</v>
      </c>
      <c r="C36267" s="16" t="s">
        <v>6495</v>
      </c>
      <c r="D36267" s="16" t="s">
        <v>6499</v>
      </c>
      <c r="E36267" s="2">
        <v>361827</v>
      </c>
      <c r="F36267" s="4" t="e">
        <f>IF(B36267=#REF!,"",B36267)</f>
        <v>#REF!</v>
      </c>
    </row>
    <row r="36268" spans="1:6" ht="15.75" customHeight="1">
      <c r="A36268" s="15" t="s">
        <v>23473</v>
      </c>
      <c r="B36268" s="15" t="s">
        <v>23474</v>
      </c>
      <c r="C36268" s="15" t="s">
        <v>23454</v>
      </c>
      <c r="D36268" s="15" t="s">
        <v>23460</v>
      </c>
      <c r="E36268" s="2">
        <v>110314</v>
      </c>
      <c r="F36268" s="4" t="str">
        <f>IF(B36268=B36267,"",B36268)</f>
        <v>Ad Dilam</v>
      </c>
    </row>
    <row r="36269" spans="1:6" ht="15.75" customHeight="1">
      <c r="A36269" s="16" t="str">
        <f ca="1">IFERROR(__xludf.DUMMYFUNCTION("GOOGLETRANSLATE(B41063,""en"",""pt"")"),"Ad Dawādimī")</f>
        <v>Ad Dawādimī</v>
      </c>
      <c r="B36269" s="20" t="s">
        <v>35600</v>
      </c>
      <c r="C36269" s="20" t="s">
        <v>23454</v>
      </c>
      <c r="D36269" s="20" t="s">
        <v>35584</v>
      </c>
      <c r="E36269" s="10">
        <v>110325</v>
      </c>
      <c r="F36269" s="4" t="str">
        <f>IF(B36269=B36268,"",B36269)</f>
        <v>Ad Dawādimī</v>
      </c>
    </row>
    <row r="36270" spans="1:6" ht="15.75" customHeight="1">
      <c r="A36270" s="16" t="s">
        <v>23471</v>
      </c>
      <c r="B36270" s="15" t="s">
        <v>23472</v>
      </c>
      <c r="C36270" s="16" t="s">
        <v>23454</v>
      </c>
      <c r="D36270" s="16" t="s">
        <v>23460</v>
      </c>
      <c r="E36270" s="2">
        <v>110325</v>
      </c>
      <c r="F36270" s="4" t="e">
        <f>IF(B36270=#REF!,"",B36270)</f>
        <v>#REF!</v>
      </c>
    </row>
    <row r="36271" spans="1:6" ht="15.75" customHeight="1">
      <c r="A36271" s="16" t="s">
        <v>16886</v>
      </c>
      <c r="B36271" s="15" t="s">
        <v>16886</v>
      </c>
      <c r="C36271" s="16" t="s">
        <v>16884</v>
      </c>
      <c r="D36271" s="16" t="s">
        <v>16887</v>
      </c>
      <c r="E36271" s="2">
        <v>285856</v>
      </c>
      <c r="F36271" s="4" t="str">
        <f>IF(B36271=B36270,"",B36271)</f>
        <v>Ad Dasmah</v>
      </c>
    </row>
    <row r="36272" spans="1:6" ht="15.75" customHeight="1">
      <c r="A36272" s="16" t="str">
        <f ca="1">IFERROR(__xludf.DUMMYFUNCTION("GOOGLETRANSLATE(B41435,""en"",""pt"")"),"Ad darbāsīyah")</f>
        <v>Ad darbāsīyah</v>
      </c>
      <c r="B36272" s="20" t="s">
        <v>35750</v>
      </c>
      <c r="C36272" s="20" t="s">
        <v>25366</v>
      </c>
      <c r="D36272" s="20" t="s">
        <v>25395</v>
      </c>
      <c r="E36272" s="10">
        <v>170887</v>
      </c>
      <c r="F36272" s="4" t="str">
        <f>IF(B36272=B36271,"",B36272)</f>
        <v>Ad Darbāsīyah</v>
      </c>
    </row>
    <row r="36273" spans="1:6" ht="15.75" customHeight="1">
      <c r="A36273" s="16" t="s">
        <v>25393</v>
      </c>
      <c r="B36273" s="15" t="s">
        <v>25394</v>
      </c>
      <c r="C36273" s="16" t="s">
        <v>25366</v>
      </c>
      <c r="D36273" s="16" t="s">
        <v>25395</v>
      </c>
      <c r="E36273" s="2">
        <v>170887</v>
      </c>
      <c r="F36273" s="4" t="str">
        <f>IF(B36273=B36272,"",B36273)</f>
        <v>Ad DarbÄsÄ«yah</v>
      </c>
    </row>
    <row r="36274" spans="1:6" ht="15.75" customHeight="1">
      <c r="A36274" s="16" t="str">
        <f ca="1">IFERROR(__xludf.DUMMYFUNCTION("GOOGLETRANSLATE(B41462,""en"",""pt"")"),"Ad dānā")</f>
        <v>Ad dānā</v>
      </c>
      <c r="B36274" s="20" t="s">
        <v>35767</v>
      </c>
      <c r="C36274" s="20" t="s">
        <v>25366</v>
      </c>
      <c r="D36274" s="20" t="s">
        <v>25392</v>
      </c>
      <c r="E36274" s="10">
        <v>174259</v>
      </c>
      <c r="F36274" s="4" t="str">
        <f>IF(B36274=B36273,"",B36274)</f>
        <v>Ad Dānā</v>
      </c>
    </row>
    <row r="36275" spans="1:6" ht="15.75" customHeight="1">
      <c r="A36275" s="15" t="s">
        <v>25390</v>
      </c>
      <c r="B36275" s="15" t="s">
        <v>25391</v>
      </c>
      <c r="C36275" s="15" t="s">
        <v>25366</v>
      </c>
      <c r="D36275" s="15" t="s">
        <v>25392</v>
      </c>
      <c r="E36275" s="2">
        <v>174259</v>
      </c>
      <c r="F36275" s="4" t="str">
        <f>IF(B36275=B36274,"",B36275)</f>
        <v>Ad DÄnÄ</v>
      </c>
    </row>
    <row r="36276" spans="1:6" ht="15.75" customHeight="1">
      <c r="A36276" s="16" t="s">
        <v>14616</v>
      </c>
      <c r="B36276" s="15" t="s">
        <v>14617</v>
      </c>
      <c r="C36276" s="16" t="s">
        <v>14594</v>
      </c>
      <c r="D36276" s="16" t="s">
        <v>14601</v>
      </c>
      <c r="E36276" s="2">
        <v>99762</v>
      </c>
      <c r="F36276" s="4" t="e">
        <f>IF(B36276=#REF!,"",B36276)</f>
        <v>#REF!</v>
      </c>
    </row>
    <row r="36277" spans="1:6" ht="15.75" customHeight="1">
      <c r="A36277" s="15" t="s">
        <v>27795</v>
      </c>
      <c r="B36277" s="15" t="s">
        <v>27795</v>
      </c>
      <c r="C36277" s="15" t="s">
        <v>27788</v>
      </c>
      <c r="D36277" s="15" t="s">
        <v>7988</v>
      </c>
      <c r="E36277" s="2">
        <v>4179074</v>
      </c>
      <c r="F36277" s="4" t="str">
        <f>IF(B36277=B36276,"",B36277)</f>
        <v>Acworth</v>
      </c>
    </row>
    <row r="36278" spans="1:6" ht="15.75" customHeight="1">
      <c r="A36278" s="16" t="str">
        <f ca="1">IFERROR(__xludf.DUMMYFUNCTION("GOOGLETRANSLATE(B24421,""en"",""pt"")"),"Açu")</f>
        <v>Açu</v>
      </c>
      <c r="B36278" s="20" t="s">
        <v>31421</v>
      </c>
      <c r="C36278" s="20" t="s">
        <v>1905</v>
      </c>
      <c r="D36278" s="20" t="s">
        <v>1922</v>
      </c>
      <c r="E36278" s="10">
        <v>3408337</v>
      </c>
      <c r="F36278" s="4" t="e">
        <f>IF(B36278=#REF!,"",B36278)</f>
        <v>#REF!</v>
      </c>
    </row>
    <row r="36279" spans="1:6" ht="15.75" customHeight="1">
      <c r="A36279" s="15" t="s">
        <v>17728</v>
      </c>
      <c r="B36279" s="15" t="s">
        <v>17728</v>
      </c>
      <c r="C36279" s="15" t="s">
        <v>17707</v>
      </c>
      <c r="D36279" s="15" t="s">
        <v>17729</v>
      </c>
      <c r="E36279" s="2">
        <v>3533389</v>
      </c>
      <c r="F36279" s="4" t="e">
        <f>IF(B36279=#REF!,"",B36279)</f>
        <v>#REF!</v>
      </c>
    </row>
    <row r="36280" spans="1:6" ht="15.75" customHeight="1">
      <c r="A36280" s="16" t="s">
        <v>27245</v>
      </c>
      <c r="B36280" s="15" t="s">
        <v>27246</v>
      </c>
      <c r="C36280" s="16" t="s">
        <v>27234</v>
      </c>
      <c r="D36280" s="16" t="s">
        <v>27241</v>
      </c>
      <c r="E36280" s="2">
        <v>2657697</v>
      </c>
      <c r="F36280" s="4" t="e">
        <f>IF(B36280=#REF!,"",B36280)</f>
        <v>#REF!</v>
      </c>
    </row>
    <row r="36281" spans="1:6" ht="15.75" customHeight="1">
      <c r="A36281" s="16" t="s">
        <v>14909</v>
      </c>
      <c r="B36281" s="15" t="s">
        <v>14910</v>
      </c>
      <c r="C36281" s="16" t="s">
        <v>14891</v>
      </c>
      <c r="D36281" s="16" t="s">
        <v>14911</v>
      </c>
      <c r="E36281" s="2">
        <v>3183490</v>
      </c>
      <c r="F36281" s="4" t="e">
        <f>IF(B36281=#REF!,"",B36281)</f>
        <v>#REF!</v>
      </c>
    </row>
    <row r="36282" spans="1:6" ht="15.75" customHeight="1">
      <c r="A36282" s="16" t="s">
        <v>14907</v>
      </c>
      <c r="B36282" s="15" t="s">
        <v>14907</v>
      </c>
      <c r="C36282" s="16" t="s">
        <v>14891</v>
      </c>
      <c r="D36282" s="16" t="s">
        <v>14908</v>
      </c>
      <c r="E36282" s="2">
        <v>3183494</v>
      </c>
      <c r="F36282" s="4" t="e">
        <f>IF(B36282=#REF!,"",B36282)</f>
        <v>#REF!</v>
      </c>
    </row>
    <row r="36283" spans="1:6" ht="15.75" customHeight="1">
      <c r="A36283" s="16" t="s">
        <v>1931</v>
      </c>
      <c r="B36283" s="15" t="s">
        <v>1932</v>
      </c>
      <c r="C36283" s="16" t="s">
        <v>1905</v>
      </c>
      <c r="D36283" s="16" t="s">
        <v>1930</v>
      </c>
      <c r="E36283" s="2">
        <v>3408343</v>
      </c>
      <c r="F36283" s="4" t="e">
        <f>IF(B36283=#REF!,"",B36283)</f>
        <v>#REF!</v>
      </c>
    </row>
    <row r="36284" spans="1:6" ht="15.75" customHeight="1">
      <c r="A36284" s="16" t="s">
        <v>27243</v>
      </c>
      <c r="B36284" s="15" t="s">
        <v>27244</v>
      </c>
      <c r="C36284" s="16" t="s">
        <v>27234</v>
      </c>
      <c r="D36284" s="16" t="s">
        <v>27241</v>
      </c>
      <c r="E36284" s="2">
        <v>2657703</v>
      </c>
      <c r="F36284" s="4" t="e">
        <f>IF(B36284=#REF!,"",B36284)</f>
        <v>#REF!</v>
      </c>
    </row>
    <row r="36285" spans="1:6" ht="15.75" customHeight="1">
      <c r="A36285" s="15" t="s">
        <v>14905</v>
      </c>
      <c r="B36285" s="15" t="s">
        <v>14906</v>
      </c>
      <c r="C36285" s="15" t="s">
        <v>14891</v>
      </c>
      <c r="D36285" s="15" t="s">
        <v>14899</v>
      </c>
      <c r="E36285" s="2">
        <v>2525790</v>
      </c>
      <c r="F36285" s="4" t="e">
        <f>IF(B36285=#REF!,"",B36285)</f>
        <v>#REF!</v>
      </c>
    </row>
    <row r="36286" spans="1:6" ht="15.75" customHeight="1">
      <c r="A36286" s="16" t="s">
        <v>14902</v>
      </c>
      <c r="B36286" s="15" t="s">
        <v>14903</v>
      </c>
      <c r="C36286" s="16" t="s">
        <v>14891</v>
      </c>
      <c r="D36286" s="16" t="s">
        <v>14904</v>
      </c>
      <c r="E36286" s="2">
        <v>3183539</v>
      </c>
      <c r="F36286" s="4" t="e">
        <f>IF(B36286=#REF!,"",B36286)</f>
        <v>#REF!</v>
      </c>
    </row>
    <row r="36287" spans="1:6" ht="15.75" customHeight="1">
      <c r="A36287" s="16" t="s">
        <v>14900</v>
      </c>
      <c r="B36287" s="15" t="s">
        <v>14901</v>
      </c>
      <c r="C36287" s="16" t="s">
        <v>14891</v>
      </c>
      <c r="D36287" s="16" t="s">
        <v>14899</v>
      </c>
      <c r="E36287" s="2">
        <v>2525791</v>
      </c>
      <c r="F36287" s="4" t="e">
        <f>IF(B36287=#REF!,"",B36287)</f>
        <v>#REF!</v>
      </c>
    </row>
    <row r="36288" spans="1:6" ht="15.75" customHeight="1">
      <c r="A36288" s="16" t="s">
        <v>14897</v>
      </c>
      <c r="B36288" s="15" t="s">
        <v>14898</v>
      </c>
      <c r="C36288" s="16" t="s">
        <v>14891</v>
      </c>
      <c r="D36288" s="16" t="s">
        <v>14899</v>
      </c>
      <c r="E36288" s="2">
        <v>2525792</v>
      </c>
      <c r="F36288" s="4" t="e">
        <f>IF(B36288=#REF!,"",B36288)</f>
        <v>#REF!</v>
      </c>
    </row>
    <row r="36289" spans="1:6" ht="15.75" customHeight="1">
      <c r="A36289" s="16" t="s">
        <v>22080</v>
      </c>
      <c r="B36289" s="15" t="s">
        <v>22080</v>
      </c>
      <c r="C36289" s="16" t="s">
        <v>22070</v>
      </c>
      <c r="D36289" s="16" t="s">
        <v>22081</v>
      </c>
      <c r="E36289" s="2">
        <v>584298</v>
      </c>
      <c r="F36289" s="4" t="e">
        <f>IF(B36289=#REF!,"",B36289)</f>
        <v>#REF!</v>
      </c>
    </row>
    <row r="36290" spans="1:6" ht="15.75" customHeight="1">
      <c r="A36290" s="15" t="s">
        <v>22078</v>
      </c>
      <c r="B36290" s="15" t="s">
        <v>22078</v>
      </c>
      <c r="C36290" s="15" t="s">
        <v>22070</v>
      </c>
      <c r="D36290" s="15" t="s">
        <v>22079</v>
      </c>
      <c r="E36290" s="2">
        <v>1512165</v>
      </c>
      <c r="F36290" s="4" t="e">
        <f>IF(B36290=#REF!,"",B36290)</f>
        <v>#REF!</v>
      </c>
    </row>
    <row r="36291" spans="1:6" ht="15.75" customHeight="1">
      <c r="A36291" s="15" t="s">
        <v>8033</v>
      </c>
      <c r="B36291" s="15" t="s">
        <v>8033</v>
      </c>
      <c r="C36291" s="15" t="s">
        <v>8028</v>
      </c>
      <c r="D36291" s="15" t="s">
        <v>8034</v>
      </c>
      <c r="E36291" s="2">
        <v>2959681</v>
      </c>
      <c r="F36291" s="4" t="e">
        <f>IF(B36291=#REF!,"",B36291)</f>
        <v>#REF!</v>
      </c>
    </row>
    <row r="36292" spans="1:6" ht="15.75" customHeight="1">
      <c r="A36292" s="16" t="s">
        <v>9369</v>
      </c>
      <c r="B36292" s="15" t="s">
        <v>9369</v>
      </c>
      <c r="C36292" s="16" t="s">
        <v>9365</v>
      </c>
      <c r="D36292" s="16" t="s">
        <v>9368</v>
      </c>
      <c r="E36292" s="2">
        <v>2306079</v>
      </c>
      <c r="F36292" s="4" t="e">
        <f>IF(B36292=#REF!,"",B36292)</f>
        <v>#REF!</v>
      </c>
    </row>
    <row r="36293" spans="1:6" ht="15.75" customHeight="1">
      <c r="A36293" s="15" t="s">
        <v>10243</v>
      </c>
      <c r="B36293" s="15" t="s">
        <v>10243</v>
      </c>
      <c r="C36293" s="15" t="s">
        <v>10178</v>
      </c>
      <c r="D36293" s="15" t="s">
        <v>10193</v>
      </c>
      <c r="E36293" s="2">
        <v>1279382</v>
      </c>
      <c r="F36293" s="4" t="e">
        <f>IF(B36293=#REF!,"",B36293)</f>
        <v>#REF!</v>
      </c>
    </row>
    <row r="36294" spans="1:6" ht="15.75" customHeight="1">
      <c r="A36294" s="15" t="s">
        <v>8032</v>
      </c>
      <c r="B36294" s="15" t="s">
        <v>8032</v>
      </c>
      <c r="C36294" s="15" t="s">
        <v>8028</v>
      </c>
      <c r="D36294" s="15" t="s">
        <v>8031</v>
      </c>
      <c r="E36294" s="2">
        <v>2959686</v>
      </c>
      <c r="F36294" s="4" t="str">
        <f>IF(B36294=B36293,"",B36294)</f>
        <v>Achern</v>
      </c>
    </row>
    <row r="36295" spans="1:6" ht="15.75" customHeight="1">
      <c r="A36295" s="16" t="str">
        <f ca="1">IFERROR(__xludf.DUMMYFUNCTION("GOOGLETRANSLATE(B30281,""en"",""pt"")"),"Achères")</f>
        <v>Achères</v>
      </c>
      <c r="B36295" s="20" t="s">
        <v>32650</v>
      </c>
      <c r="C36295" s="20" t="s">
        <v>7052</v>
      </c>
      <c r="D36295" s="20" t="s">
        <v>32531</v>
      </c>
      <c r="E36295" s="10">
        <v>3038712</v>
      </c>
      <c r="F36295" s="4" t="e">
        <f>IF(B36295=#REF!,"",B36295)</f>
        <v>#REF!</v>
      </c>
    </row>
    <row r="36296" spans="1:6" ht="15.75" customHeight="1">
      <c r="A36296" s="15" t="s">
        <v>4486</v>
      </c>
      <c r="B36296" s="15" t="s">
        <v>4486</v>
      </c>
      <c r="C36296" s="15" t="s">
        <v>4487</v>
      </c>
      <c r="D36296" s="15" t="s">
        <v>4488</v>
      </c>
      <c r="E36296" s="2">
        <v>2038679</v>
      </c>
      <c r="F36296" s="4" t="str">
        <f>IF(B36296=B36295,"",B36296)</f>
        <v>Acheng</v>
      </c>
    </row>
    <row r="36297" spans="1:6" ht="15.75" customHeight="1">
      <c r="A36297" s="16" t="str">
        <f ca="1">IFERROR(__xludf.DUMMYFUNCTION("GOOGLETRANSLATE(B31023,""en"",""pt"")"),"Acharnés")</f>
        <v>Acharnés</v>
      </c>
      <c r="B36297" s="20" t="s">
        <v>32729</v>
      </c>
      <c r="C36297" s="20" t="s">
        <v>9441</v>
      </c>
      <c r="D36297" s="20" t="s">
        <v>9445</v>
      </c>
      <c r="E36297" s="10">
        <v>265488</v>
      </c>
      <c r="F36297" s="4" t="str">
        <f>IF(B36297=B36296,"",B36297)</f>
        <v>Acharnés</v>
      </c>
    </row>
    <row r="36298" spans="1:6" ht="15.75" customHeight="1">
      <c r="A36298" s="16" t="s">
        <v>9460</v>
      </c>
      <c r="B36298" s="15" t="s">
        <v>9461</v>
      </c>
      <c r="C36298" s="16" t="s">
        <v>9441</v>
      </c>
      <c r="D36298" s="16" t="s">
        <v>9445</v>
      </c>
      <c r="E36298" s="2">
        <v>265488</v>
      </c>
      <c r="F36298" s="4" t="e">
        <f>IF(B36298=#REF!,"",B36298)</f>
        <v>#REF!</v>
      </c>
    </row>
    <row r="36299" spans="1:6" ht="15.75" customHeight="1">
      <c r="A36299" s="15" t="s">
        <v>10242</v>
      </c>
      <c r="B36299" s="15" t="s">
        <v>10242</v>
      </c>
      <c r="C36299" s="15" t="s">
        <v>10178</v>
      </c>
      <c r="D36299" s="15" t="s">
        <v>10214</v>
      </c>
      <c r="E36299" s="2">
        <v>1279390</v>
      </c>
      <c r="F36299" s="4" t="str">
        <f>IF(B36299=B36298,"",B36299)</f>
        <v>Achalpur</v>
      </c>
    </row>
    <row r="36300" spans="1:6" ht="15.75" customHeight="1">
      <c r="A36300" s="15" t="s">
        <v>7079</v>
      </c>
      <c r="B36300" s="15" t="s">
        <v>7080</v>
      </c>
      <c r="C36300" s="15" t="s">
        <v>7052</v>
      </c>
      <c r="D36300" s="15" t="s">
        <v>7058</v>
      </c>
      <c r="E36300" s="2">
        <v>3038712</v>
      </c>
      <c r="F36300" s="4" t="e">
        <f>IF(B36300=#REF!,"",B36300)</f>
        <v>#REF!</v>
      </c>
    </row>
    <row r="36301" spans="1:6" ht="15.75" customHeight="1">
      <c r="A36301" s="15" t="s">
        <v>14895</v>
      </c>
      <c r="B36301" s="15" t="s">
        <v>14895</v>
      </c>
      <c r="C36301" s="15" t="s">
        <v>14891</v>
      </c>
      <c r="D36301" s="15" t="s">
        <v>14896</v>
      </c>
      <c r="E36301" s="2">
        <v>3183541</v>
      </c>
      <c r="F36301" s="4" t="e">
        <f>IF(B36301=#REF!,"",B36301)</f>
        <v>#REF!</v>
      </c>
    </row>
    <row r="36302" spans="1:6" ht="15.75" customHeight="1">
      <c r="A36302" s="16" t="s">
        <v>27242</v>
      </c>
      <c r="B36302" s="15" t="s">
        <v>27242</v>
      </c>
      <c r="C36302" s="16" t="s">
        <v>27234</v>
      </c>
      <c r="D36302" s="16" t="s">
        <v>27241</v>
      </c>
      <c r="E36302" s="2">
        <v>2657770</v>
      </c>
      <c r="F36302" s="4" t="e">
        <f>IF(B36302=#REF!,"",B36302)</f>
        <v>#REF!</v>
      </c>
    </row>
    <row r="36303" spans="1:6" ht="15.75" customHeight="1">
      <c r="A36303" s="15" t="s">
        <v>9367</v>
      </c>
      <c r="B36303" s="15" t="s">
        <v>9367</v>
      </c>
      <c r="C36303" s="15" t="s">
        <v>9365</v>
      </c>
      <c r="D36303" s="15" t="s">
        <v>9368</v>
      </c>
      <c r="E36303" s="2">
        <v>2306104</v>
      </c>
      <c r="F36303" s="4" t="e">
        <f>IF(B36303=#REF!,"",B36303)</f>
        <v>#REF!</v>
      </c>
    </row>
    <row r="36304" spans="1:6" ht="15.75" customHeight="1">
      <c r="A36304" s="15" t="s">
        <v>17727</v>
      </c>
      <c r="B36304" s="15" t="s">
        <v>17727</v>
      </c>
      <c r="C36304" s="15" t="s">
        <v>17707</v>
      </c>
      <c r="D36304" s="15" t="s">
        <v>17708</v>
      </c>
      <c r="E36304" s="2">
        <v>3533426</v>
      </c>
      <c r="F36304" s="4" t="e">
        <f>IF(B36304=#REF!,"",B36304)</f>
        <v>#REF!</v>
      </c>
    </row>
    <row r="36305" spans="1:6" ht="15.75" customHeight="1">
      <c r="A36305" s="16" t="s">
        <v>17726</v>
      </c>
      <c r="B36305" s="15" t="s">
        <v>17726</v>
      </c>
      <c r="C36305" s="16" t="s">
        <v>17707</v>
      </c>
      <c r="D36305" s="16" t="s">
        <v>17717</v>
      </c>
      <c r="E36305" s="2">
        <v>3533433</v>
      </c>
      <c r="F36305" s="4" t="str">
        <f>IF(B36305=B36304,"",B36305)</f>
        <v>Acatzingo de Hidalgo</v>
      </c>
    </row>
    <row r="36306" spans="1:6" ht="15.75" customHeight="1">
      <c r="A36306" s="16" t="str">
        <f ca="1">IFERROR(__xludf.DUMMYFUNCTION("GOOGLETRANSLATE(B37108,""en"",""pt"")"),"Acatlán de Osorio")</f>
        <v>Acatlán de Osorio</v>
      </c>
      <c r="B36306" s="20" t="s">
        <v>34718</v>
      </c>
      <c r="C36306" s="20" t="s">
        <v>17707</v>
      </c>
      <c r="D36306" s="20" t="s">
        <v>17717</v>
      </c>
      <c r="E36306" s="10">
        <v>3533440</v>
      </c>
      <c r="F36306" s="4" t="str">
        <f>IF(B36306=B36305,"",B36306)</f>
        <v>Acatlán de Osorio</v>
      </c>
    </row>
    <row r="36307" spans="1:6" ht="15.75" customHeight="1">
      <c r="A36307" s="16" t="s">
        <v>17724</v>
      </c>
      <c r="B36307" s="15" t="s">
        <v>17725</v>
      </c>
      <c r="C36307" s="16" t="s">
        <v>17707</v>
      </c>
      <c r="D36307" s="16" t="s">
        <v>17717</v>
      </c>
      <c r="E36307" s="2">
        <v>3533440</v>
      </c>
      <c r="F36307" s="4" t="e">
        <f>IF(B36307=#REF!,"",B36307)</f>
        <v>#REF!</v>
      </c>
    </row>
    <row r="36308" spans="1:6" ht="15.75" customHeight="1">
      <c r="A36308" s="16" t="s">
        <v>30632</v>
      </c>
      <c r="B36308" s="15" t="s">
        <v>30633</v>
      </c>
      <c r="C36308" s="16" t="s">
        <v>5923</v>
      </c>
      <c r="D36308" s="16" t="s">
        <v>30634</v>
      </c>
      <c r="E36308" s="2">
        <v>3649833</v>
      </c>
      <c r="F36308" s="4" t="str">
        <f>IF(B36308=B36307,"",B36308)</f>
        <v>Acarigua</v>
      </c>
    </row>
    <row r="36309" spans="1:6" ht="15.75" customHeight="1">
      <c r="A36309" s="16" t="str">
        <f ca="1">IFERROR(__xludf.DUMMYFUNCTION("GOOGLETRANSLATE(B24423,""en"",""pt"")"),"Acaraú")</f>
        <v>Acaraú</v>
      </c>
      <c r="B36309" s="20" t="s">
        <v>31422</v>
      </c>
      <c r="C36309" s="20" t="s">
        <v>1905</v>
      </c>
      <c r="D36309" s="20" t="s">
        <v>31345</v>
      </c>
      <c r="E36309" s="10">
        <v>3408368</v>
      </c>
      <c r="F36309" s="4" t="str">
        <f>IF(B36309=B36308,"",B36309)</f>
        <v>Acaraú</v>
      </c>
    </row>
    <row r="36310" spans="1:6" ht="15.75" customHeight="1">
      <c r="A36310" s="15" t="s">
        <v>1928</v>
      </c>
      <c r="B36310" s="15" t="s">
        <v>1929</v>
      </c>
      <c r="C36310" s="15" t="s">
        <v>1905</v>
      </c>
      <c r="D36310" s="15" t="s">
        <v>1930</v>
      </c>
      <c r="E36310" s="2">
        <v>3408368</v>
      </c>
      <c r="F36310" s="4" t="str">
        <f>IF(B36310=B36309,"",B36310)</f>
        <v>AcaraÃº</v>
      </c>
    </row>
    <row r="36311" spans="1:6" ht="15.75" customHeight="1">
      <c r="A36311" s="16" t="str">
        <f ca="1">IFERROR(__xludf.DUMMYFUNCTION("GOOGLETRANSLATE(B37109,""en"",""pt"")"),"Acapulco de Juárez")</f>
        <v>Acapulco de Juárez</v>
      </c>
      <c r="B36311" s="20" t="s">
        <v>34719</v>
      </c>
      <c r="C36311" s="20" t="s">
        <v>17707</v>
      </c>
      <c r="D36311" s="20" t="s">
        <v>17723</v>
      </c>
      <c r="E36311" s="10">
        <v>3533462</v>
      </c>
      <c r="F36311" s="4" t="str">
        <f>IF(B36311=B36310,"",B36311)</f>
        <v>Acapulco de Juárez</v>
      </c>
    </row>
    <row r="36312" spans="1:6" ht="15.75" customHeight="1">
      <c r="A36312" s="16" t="s">
        <v>17721</v>
      </c>
      <c r="B36312" s="15" t="s">
        <v>17722</v>
      </c>
      <c r="C36312" s="16" t="s">
        <v>17707</v>
      </c>
      <c r="D36312" s="16" t="s">
        <v>17723</v>
      </c>
      <c r="E36312" s="2">
        <v>3533462</v>
      </c>
      <c r="F36312" s="4" t="e">
        <f>IF(B36312=#REF!,"",B36312)</f>
        <v>#REF!</v>
      </c>
    </row>
    <row r="36313" spans="1:6" ht="15.75" customHeight="1">
      <c r="A36313" s="15" t="s">
        <v>17718</v>
      </c>
      <c r="B36313" s="15" t="s">
        <v>17719</v>
      </c>
      <c r="C36313" s="15" t="s">
        <v>17707</v>
      </c>
      <c r="D36313" s="15" t="s">
        <v>17720</v>
      </c>
      <c r="E36313" s="2">
        <v>4019819</v>
      </c>
      <c r="F36313" s="4" t="str">
        <f>IF(B36313=B36312,"",B36313)</f>
        <v>Acaponeta</v>
      </c>
    </row>
    <row r="36314" spans="1:6" ht="15.75" customHeight="1">
      <c r="A36314" s="16" t="str">
        <f ca="1">IFERROR(__xludf.DUMMYFUNCTION("GOOGLETRANSLATE(B37348,""en"",""pt"")"),"Acámbaro")</f>
        <v>Acámbaro</v>
      </c>
      <c r="B36314" s="20" t="s">
        <v>34783</v>
      </c>
      <c r="C36314" s="20" t="s">
        <v>17707</v>
      </c>
      <c r="D36314" s="20" t="s">
        <v>17713</v>
      </c>
      <c r="E36314" s="10">
        <v>4019827</v>
      </c>
      <c r="F36314" s="4" t="e">
        <f>IF(B36314=#REF!,"",B36314)</f>
        <v>#REF!</v>
      </c>
    </row>
    <row r="36315" spans="1:6" ht="15.75" customHeight="1">
      <c r="A36315" s="15" t="s">
        <v>6726</v>
      </c>
      <c r="B36315" s="15" t="s">
        <v>6726</v>
      </c>
      <c r="C36315" s="15" t="s">
        <v>6727</v>
      </c>
      <c r="D36315" s="15" t="s">
        <v>6728</v>
      </c>
      <c r="E36315" s="2">
        <v>3587498</v>
      </c>
      <c r="F36315" s="4" t="e">
        <f>IF(B36315=#REF!,"",B36315)</f>
        <v>#REF!</v>
      </c>
    </row>
    <row r="36316" spans="1:6" ht="15.75" customHeight="1">
      <c r="A36316" s="15" t="s">
        <v>17716</v>
      </c>
      <c r="B36316" s="15" t="s">
        <v>17716</v>
      </c>
      <c r="C36316" s="15" t="s">
        <v>17707</v>
      </c>
      <c r="D36316" s="15" t="s">
        <v>17717</v>
      </c>
      <c r="E36316" s="2">
        <v>3533486</v>
      </c>
      <c r="F36316" s="4" t="str">
        <f>IF(B36316=B36315,"",B36316)</f>
        <v>Acajete</v>
      </c>
    </row>
    <row r="36317" spans="1:6" ht="15.75" customHeight="1">
      <c r="A36317" s="16" t="str">
        <f ca="1">IFERROR(__xludf.DUMMYFUNCTION("GOOGLETRANSLATE(B27053,""en"",""pt"")"),"Acacías")</f>
        <v>Acacías</v>
      </c>
      <c r="B36317" s="20" t="s">
        <v>31891</v>
      </c>
      <c r="C36317" s="20" t="s">
        <v>5348</v>
      </c>
      <c r="D36317" s="20" t="s">
        <v>5349</v>
      </c>
      <c r="E36317" s="10">
        <v>3690577</v>
      </c>
      <c r="F36317" s="4" t="str">
        <f>IF(B36317=B36316,"",B36317)</f>
        <v>Acacías</v>
      </c>
    </row>
    <row r="36318" spans="1:6" ht="15.75" customHeight="1">
      <c r="A36318" s="15" t="s">
        <v>5346</v>
      </c>
      <c r="B36318" s="15" t="s">
        <v>5347</v>
      </c>
      <c r="C36318" s="15" t="s">
        <v>5348</v>
      </c>
      <c r="D36318" s="15" t="s">
        <v>5349</v>
      </c>
      <c r="E36318" s="2">
        <v>3690577</v>
      </c>
      <c r="F36318" s="4" t="str">
        <f>IF(B36318=B36317,"",B36318)</f>
        <v>AcacÃ­as</v>
      </c>
    </row>
    <row r="36319" spans="1:6" ht="15.75" customHeight="1">
      <c r="A36319" s="15" t="s">
        <v>17714</v>
      </c>
      <c r="B36319" s="15" t="s">
        <v>17715</v>
      </c>
      <c r="C36319" s="15" t="s">
        <v>17707</v>
      </c>
      <c r="D36319" s="15" t="s">
        <v>17713</v>
      </c>
      <c r="E36319" s="2">
        <v>4019827</v>
      </c>
      <c r="F36319" s="4" t="str">
        <f>IF(B36319=B36318,"",B36319)</f>
        <v>AcÃ¡mbaro</v>
      </c>
    </row>
    <row r="36320" spans="1:6" ht="15.75" customHeight="1">
      <c r="A36320" s="16" t="str">
        <f ca="1">IFERROR(__xludf.DUMMYFUNCTION("GOOGLETRANSLATE(B34508,""en"",""pt"")"),"Ābyek")</f>
        <v>Ābyek</v>
      </c>
      <c r="B36320" s="20" t="s">
        <v>34245</v>
      </c>
      <c r="C36320" s="20" t="s">
        <v>14240</v>
      </c>
      <c r="D36320" s="20" t="s">
        <v>14250</v>
      </c>
      <c r="E36320" s="10">
        <v>144794</v>
      </c>
      <c r="F36320" s="4" t="e">
        <f>IF(B36320=#REF!,"",B36320)</f>
        <v>#REF!</v>
      </c>
    </row>
    <row r="36321" spans="1:6" ht="15.75" customHeight="1">
      <c r="A36321" s="15" t="s">
        <v>20600</v>
      </c>
      <c r="B36321" s="15" t="s">
        <v>20600</v>
      </c>
      <c r="C36321" s="15" t="s">
        <v>20598</v>
      </c>
      <c r="D36321" s="15" t="s">
        <v>20601</v>
      </c>
      <c r="E36321" s="2">
        <v>1732312</v>
      </c>
      <c r="F36321" s="4" t="e">
        <f>IF(B36321=#REF!,"",B36321)</f>
        <v>#REF!</v>
      </c>
    </row>
    <row r="36322" spans="1:6" ht="15.75" customHeight="1">
      <c r="A36322" s="15" t="s">
        <v>9364</v>
      </c>
      <c r="B36322" s="15" t="s">
        <v>9364</v>
      </c>
      <c r="C36322" s="15" t="s">
        <v>9365</v>
      </c>
      <c r="D36322" s="15" t="s">
        <v>9366</v>
      </c>
      <c r="E36322" s="2">
        <v>2306119</v>
      </c>
      <c r="F36322" s="4" t="e">
        <f>IF(B36322=#REF!,"",B36322)</f>
        <v>#REF!</v>
      </c>
    </row>
    <row r="36323" spans="1:6" ht="15.75" customHeight="1">
      <c r="A36323" s="15" t="s">
        <v>19300</v>
      </c>
      <c r="B36323" s="15" t="s">
        <v>19300</v>
      </c>
      <c r="C36323" s="15" t="s">
        <v>19294</v>
      </c>
      <c r="D36323" s="15" t="s">
        <v>19301</v>
      </c>
      <c r="E36323" s="2">
        <v>2352778</v>
      </c>
      <c r="F36323" s="4" t="e">
        <f>IF(B36323=#REF!,"",B36323)</f>
        <v>#REF!</v>
      </c>
    </row>
    <row r="36324" spans="1:6" ht="15.75" customHeight="1">
      <c r="A36324" s="15" t="s">
        <v>20597</v>
      </c>
      <c r="B36324" s="15" t="s">
        <v>20597</v>
      </c>
      <c r="C36324" s="15" t="s">
        <v>20598</v>
      </c>
      <c r="D36324" s="15" t="s">
        <v>20599</v>
      </c>
      <c r="E36324" s="2">
        <v>1732354</v>
      </c>
      <c r="F36324" s="4" t="str">
        <f>IF(B36324=B36323,"",B36324)</f>
        <v>Abucay</v>
      </c>
    </row>
    <row r="36325" spans="1:6" ht="15.75" customHeight="1">
      <c r="A36325" s="16" t="str">
        <f ca="1">IFERROR(__xludf.DUMMYFUNCTION("GOOGLETRANSLATE(B41115,""en"",""pt"")"),"Abū Zabad")</f>
        <v>Abū Zabad</v>
      </c>
      <c r="B36325" s="20" t="s">
        <v>35618</v>
      </c>
      <c r="C36325" s="20" t="s">
        <v>24987</v>
      </c>
      <c r="D36325" s="20" t="s">
        <v>24988</v>
      </c>
      <c r="E36325" s="10">
        <v>380348</v>
      </c>
      <c r="F36325" s="4" t="str">
        <f>IF(B36325=B36324,"",B36325)</f>
        <v>Abū Zabad</v>
      </c>
    </row>
    <row r="36326" spans="1:6" ht="15.75" customHeight="1">
      <c r="A36326" s="16" t="str">
        <f ca="1">IFERROR(__xludf.DUMMYFUNCTION("GOOGLETRANSLATE(B28934,""en"",""pt"")"),"Abū tīj")</f>
        <v>Abū tīj</v>
      </c>
      <c r="B36326" s="20" t="s">
        <v>32344</v>
      </c>
      <c r="C36326" s="20" t="s">
        <v>6495</v>
      </c>
      <c r="D36326" s="20" t="s">
        <v>32276</v>
      </c>
      <c r="E36326" s="10">
        <v>362004</v>
      </c>
      <c r="F36326" s="4" t="str">
        <f>IF(B36326=B36325,"",B36326)</f>
        <v>Abū Tīj</v>
      </c>
    </row>
    <row r="36327" spans="1:6" ht="15.75" customHeight="1">
      <c r="A36327" s="16" t="str">
        <f ca="1">IFERROR(__xludf.DUMMYFUNCTION("GOOGLETRANSLATE(B34179,""en"",""pt"")"),"Estrada da ābu")</f>
        <v>Estrada da ābu</v>
      </c>
      <c r="B36327" s="20" t="s">
        <v>34057</v>
      </c>
      <c r="C36327" s="20" t="s">
        <v>10178</v>
      </c>
      <c r="D36327" s="20" t="s">
        <v>10179</v>
      </c>
      <c r="E36327" s="10">
        <v>1279394</v>
      </c>
      <c r="F36327" s="4" t="str">
        <f>IF(B36327=B36326,"",B36327)</f>
        <v>Ābu Road</v>
      </c>
    </row>
    <row r="36328" spans="1:6" ht="15.75" customHeight="1">
      <c r="A36328" s="16" t="str">
        <f ca="1">IFERROR(__xludf.DUMMYFUNCTION("GOOGLETRANSLATE(B28935,""en"",""pt"")"),"Abū Qurqāş")</f>
        <v>Abū Qurqāş</v>
      </c>
      <c r="B36328" s="20" t="s">
        <v>32345</v>
      </c>
      <c r="C36328" s="20" t="s">
        <v>6495</v>
      </c>
      <c r="D36328" s="20" t="s">
        <v>32263</v>
      </c>
      <c r="E36328" s="10">
        <v>362277</v>
      </c>
      <c r="F36328" s="4" t="str">
        <f>IF(B36328=B36327,"",B36328)</f>
        <v>Abū Qurqāş</v>
      </c>
    </row>
    <row r="36329" spans="1:6" ht="15.75" customHeight="1">
      <c r="A36329" s="16" t="str">
        <f ca="1">IFERROR(__xludf.DUMMYFUNCTION("GOOGLETRANSLATE(B28936,""en"",""pt"")"),"Abū Kabīr")</f>
        <v>Abū Kabīr</v>
      </c>
      <c r="B36329" s="20" t="s">
        <v>32346</v>
      </c>
      <c r="C36329" s="20" t="s">
        <v>6495</v>
      </c>
      <c r="D36329" s="20" t="s">
        <v>6128</v>
      </c>
      <c r="E36329" s="10">
        <v>362485</v>
      </c>
      <c r="F36329" s="4" t="e">
        <f>IF(B36329=#REF!,"",B36329)</f>
        <v>#REF!</v>
      </c>
    </row>
    <row r="36330" spans="1:6" ht="15.75" customHeight="1">
      <c r="A36330" s="16" t="s">
        <v>24989</v>
      </c>
      <c r="B36330" s="15" t="s">
        <v>24989</v>
      </c>
      <c r="C36330" s="16" t="s">
        <v>24987</v>
      </c>
      <c r="D36330" s="16" t="s">
        <v>24990</v>
      </c>
      <c r="E36330" s="2">
        <v>380757</v>
      </c>
      <c r="F36330" s="4" t="str">
        <f>IF(B36330=B36329,"",B36330)</f>
        <v>Abu Jibeha</v>
      </c>
    </row>
    <row r="36331" spans="1:6" ht="15.75" customHeight="1">
      <c r="A36331" s="16" t="str">
        <f ca="1">IFERROR(__xludf.DUMMYFUNCTION("GOOGLETRANSLATE(B34337,""en"",""pt"")"),"Abū Ghurayb")</f>
        <v>Abū Ghurayb</v>
      </c>
      <c r="B36331" s="20" t="s">
        <v>34114</v>
      </c>
      <c r="C36331" s="20" t="s">
        <v>14594</v>
      </c>
      <c r="D36331" s="20" t="s">
        <v>14615</v>
      </c>
      <c r="E36331" s="10">
        <v>100077</v>
      </c>
      <c r="F36331" s="4" t="e">
        <f>IF(B36331=#REF!,"",B36331)</f>
        <v>#REF!</v>
      </c>
    </row>
    <row r="36332" spans="1:6" ht="15.75" customHeight="1">
      <c r="A36332" s="16" t="s">
        <v>27212</v>
      </c>
      <c r="B36332" s="15" t="s">
        <v>27212</v>
      </c>
      <c r="C36332" s="16" t="s">
        <v>27213</v>
      </c>
      <c r="D36332" s="16" t="s">
        <v>27212</v>
      </c>
      <c r="E36332" s="2">
        <v>292968</v>
      </c>
      <c r="F36332" s="4" t="str">
        <f>IF(B36332=B36331,"",B36332)</f>
        <v>Abu Dhabi</v>
      </c>
    </row>
    <row r="36333" spans="1:6" ht="15.75" customHeight="1">
      <c r="A36333" s="16" t="str">
        <f ca="1">IFERROR(__xludf.DUMMYFUNCTION("GOOGLETRANSLATE(B28937,""en"",""pt"")"),"Abū al maţāmīr")</f>
        <v>Abū al maţāmīr</v>
      </c>
      <c r="B36333" s="20" t="s">
        <v>32347</v>
      </c>
      <c r="C36333" s="20" t="s">
        <v>6495</v>
      </c>
      <c r="D36333" s="20" t="s">
        <v>32264</v>
      </c>
      <c r="E36333" s="10">
        <v>362882</v>
      </c>
      <c r="F36333" s="4" t="str">
        <f>IF(B36333=B36332,"",B36333)</f>
        <v>Abū al Maţāmīr</v>
      </c>
    </row>
    <row r="36334" spans="1:6" ht="15.75" customHeight="1">
      <c r="A36334" s="16" t="str">
        <f ca="1">IFERROR(__xludf.DUMMYFUNCTION("GOOGLETRANSLATE(B41065,""en"",""pt"")"),"Abū ‘Arīsh")</f>
        <v>Abū ‘Arīsh</v>
      </c>
      <c r="B36334" s="20" t="s">
        <v>35601</v>
      </c>
      <c r="C36334" s="20" t="s">
        <v>23454</v>
      </c>
      <c r="D36334" s="20" t="s">
        <v>23467</v>
      </c>
      <c r="E36334" s="10">
        <v>110619</v>
      </c>
      <c r="F36334" s="4" t="str">
        <f>IF(B36334=B36333,"",B36334)</f>
        <v>Abū ‘Arīsh</v>
      </c>
    </row>
    <row r="36335" spans="1:6" ht="15.75" customHeight="1">
      <c r="A36335" s="16" t="str">
        <f ca="1">IFERROR(__xludf.DUMMYFUNCTION("GOOGLETRANSLATE(B34180,""en"",""pt"")"),"Ābu")</f>
        <v>Ābu</v>
      </c>
      <c r="B36335" s="20" t="s">
        <v>34058</v>
      </c>
      <c r="C36335" s="20" t="s">
        <v>10178</v>
      </c>
      <c r="D36335" s="20" t="s">
        <v>10179</v>
      </c>
      <c r="E36335" s="10">
        <v>1279396</v>
      </c>
      <c r="F36335" s="4" t="e">
        <f>IF(B36335=#REF!,"",B36335)</f>
        <v>#REF!</v>
      </c>
    </row>
    <row r="36336" spans="1:6" ht="15.75" customHeight="1">
      <c r="A36336" s="15" t="s">
        <v>5763</v>
      </c>
      <c r="B36336" s="15" t="s">
        <v>5763</v>
      </c>
      <c r="C36336" s="15" t="s">
        <v>5764</v>
      </c>
      <c r="D36336" s="15" t="s">
        <v>5765</v>
      </c>
      <c r="E36336" s="2">
        <v>3569741</v>
      </c>
      <c r="F36336" s="4" t="e">
        <f>IF(B36336=#REF!,"",B36336)</f>
        <v>#REF!</v>
      </c>
    </row>
    <row r="36337" spans="1:6" ht="15.75" customHeight="1">
      <c r="A36337" s="16" t="s">
        <v>1927</v>
      </c>
      <c r="B36337" s="15" t="s">
        <v>1927</v>
      </c>
      <c r="C36337" s="16" t="s">
        <v>1905</v>
      </c>
      <c r="D36337" s="16" t="s">
        <v>1909</v>
      </c>
      <c r="E36337" s="2">
        <v>3408404</v>
      </c>
      <c r="F36337" s="4" t="e">
        <f>IF(B36337=#REF!,"",B36337)</f>
        <v>#REF!</v>
      </c>
    </row>
    <row r="36338" spans="1:6" ht="15.75" customHeight="1">
      <c r="A36338" s="15" t="s">
        <v>23470</v>
      </c>
      <c r="B36338" s="15" t="s">
        <v>23470</v>
      </c>
      <c r="C36338" s="15" t="s">
        <v>23454</v>
      </c>
      <c r="D36338" s="15" t="s">
        <v>6128</v>
      </c>
      <c r="E36338" s="2">
        <v>107312</v>
      </c>
      <c r="F36338" s="4" t="e">
        <f>IF(B36338=#REF!,"",B36338)</f>
        <v>#REF!</v>
      </c>
    </row>
    <row r="36339" spans="1:6" ht="15.75" customHeight="1">
      <c r="A36339" s="15" t="s">
        <v>851</v>
      </c>
      <c r="B36339" s="15" t="s">
        <v>852</v>
      </c>
      <c r="C36339" s="15" t="s">
        <v>853</v>
      </c>
      <c r="D36339" s="15" t="s">
        <v>854</v>
      </c>
      <c r="E36339" s="2">
        <v>617026</v>
      </c>
      <c r="F36339" s="4" t="e">
        <f>IF(B36339=#REF!,"",B36339)</f>
        <v>#REF!</v>
      </c>
    </row>
    <row r="36340" spans="1:6" ht="15.75" customHeight="1">
      <c r="A36340" s="16" t="s">
        <v>213</v>
      </c>
      <c r="B36340" s="15" t="s">
        <v>214</v>
      </c>
      <c r="C36340" s="16" t="s">
        <v>153</v>
      </c>
      <c r="D36340" s="16" t="s">
        <v>215</v>
      </c>
      <c r="E36340" s="2">
        <v>2509031</v>
      </c>
      <c r="F36340" s="4" t="e">
        <f>IF(B36340=#REF!,"",B36340)</f>
        <v>#REF!</v>
      </c>
    </row>
    <row r="36341" spans="1:6" ht="15.75" customHeight="1">
      <c r="A36341" s="15" t="s">
        <v>9960</v>
      </c>
      <c r="B36341" s="15" t="s">
        <v>9961</v>
      </c>
      <c r="C36341" s="15" t="s">
        <v>9955</v>
      </c>
      <c r="D36341" s="15" t="s">
        <v>9959</v>
      </c>
      <c r="E36341" s="2">
        <v>723030</v>
      </c>
      <c r="F36341" s="4" t="e">
        <f>IF(B36341=#REF!,"",B36341)</f>
        <v>#REF!</v>
      </c>
    </row>
    <row r="36342" spans="1:6" ht="15.75" customHeight="1">
      <c r="A36342" s="15" t="s">
        <v>6827</v>
      </c>
      <c r="B36342" s="15" t="s">
        <v>6828</v>
      </c>
      <c r="C36342" s="15" t="s">
        <v>6807</v>
      </c>
      <c r="D36342" s="15" t="s">
        <v>6811</v>
      </c>
      <c r="E36342" s="2">
        <v>345704</v>
      </c>
      <c r="F36342" s="4" t="e">
        <f>IF(B36342=#REF!,"",B36342)</f>
        <v>#REF!</v>
      </c>
    </row>
    <row r="36343" spans="1:6" ht="15.75" customHeight="1">
      <c r="A36343" s="16" t="s">
        <v>1743</v>
      </c>
      <c r="B36343" s="15" t="s">
        <v>1743</v>
      </c>
      <c r="C36343" s="16" t="s">
        <v>1741</v>
      </c>
      <c r="D36343" s="16" t="s">
        <v>1744</v>
      </c>
      <c r="E36343" s="2">
        <v>2395914</v>
      </c>
      <c r="F36343" s="4" t="e">
        <f>IF(B36343=#REF!,"",B36343)</f>
        <v>#REF!</v>
      </c>
    </row>
    <row r="36344" spans="1:6" ht="15.75" customHeight="1">
      <c r="A36344" s="15" t="s">
        <v>1740</v>
      </c>
      <c r="B36344" s="15" t="s">
        <v>1740</v>
      </c>
      <c r="C36344" s="15" t="s">
        <v>1741</v>
      </c>
      <c r="D36344" s="15" t="s">
        <v>1742</v>
      </c>
      <c r="E36344" s="2">
        <v>2395915</v>
      </c>
      <c r="F36344" s="4" t="e">
        <f>IF(B36344=#REF!,"",B36344)</f>
        <v>#REF!</v>
      </c>
    </row>
    <row r="36345" spans="1:6" ht="15.75" customHeight="1">
      <c r="A36345" s="15" t="s">
        <v>15591</v>
      </c>
      <c r="B36345" s="15" t="s">
        <v>15592</v>
      </c>
      <c r="C36345" s="15" t="s">
        <v>15586</v>
      </c>
      <c r="D36345" s="15" t="s">
        <v>15593</v>
      </c>
      <c r="E36345" s="2">
        <v>2293507</v>
      </c>
      <c r="F36345" s="4" t="e">
        <f>IF(B36345=#REF!,"",B36345)</f>
        <v>#REF!</v>
      </c>
    </row>
    <row r="36346" spans="1:6" ht="15.75" customHeight="1">
      <c r="A36346" s="15" t="s">
        <v>10240</v>
      </c>
      <c r="B36346" s="15" t="s">
        <v>10241</v>
      </c>
      <c r="C36346" s="15" t="s">
        <v>10178</v>
      </c>
      <c r="D36346" s="15" t="s">
        <v>10184</v>
      </c>
      <c r="E36346" s="2">
        <v>1279403</v>
      </c>
      <c r="F36346" s="4" t="e">
        <f>IF(B36346=#REF!,"",B36346)</f>
        <v>#REF!</v>
      </c>
    </row>
    <row r="36347" spans="1:6" ht="15.75" customHeight="1">
      <c r="A36347" s="15" t="s">
        <v>15590</v>
      </c>
      <c r="B36347" s="15" t="s">
        <v>15590</v>
      </c>
      <c r="C36347" s="15" t="s">
        <v>15586</v>
      </c>
      <c r="D36347" s="15" t="s">
        <v>15589</v>
      </c>
      <c r="E36347" s="2">
        <v>2293521</v>
      </c>
      <c r="F36347" s="4" t="str">
        <f>IF(B36347=B36346,"",B36347)</f>
        <v>Abobo</v>
      </c>
    </row>
    <row r="36348" spans="1:6" ht="15.75" customHeight="1">
      <c r="A36348" s="16" t="str">
        <f ca="1">IFERROR(__xludf.DUMMYFUNCTION("GOOGLETRANSLATE(B28938,""en"",""pt"")"),"Abnūb")</f>
        <v>Abnūb</v>
      </c>
      <c r="B36348" s="20" t="s">
        <v>32348</v>
      </c>
      <c r="C36348" s="20" t="s">
        <v>6495</v>
      </c>
      <c r="D36348" s="20" t="s">
        <v>32276</v>
      </c>
      <c r="E36348" s="10">
        <v>362973</v>
      </c>
      <c r="F36348" s="4" t="str">
        <f>IF(B36348=B36347,"",B36348)</f>
        <v>Abnūb</v>
      </c>
    </row>
    <row r="36349" spans="1:6" ht="15.75" customHeight="1">
      <c r="A36349" s="15" t="s">
        <v>6524</v>
      </c>
      <c r="B36349" s="15" t="s">
        <v>6525</v>
      </c>
      <c r="C36349" s="15" t="s">
        <v>6495</v>
      </c>
      <c r="D36349" s="15" t="s">
        <v>6523</v>
      </c>
      <c r="E36349" s="2">
        <v>362973</v>
      </c>
      <c r="F36349" s="4" t="e">
        <f>IF(B36349=#REF!,"",B36349)</f>
        <v>#REF!</v>
      </c>
    </row>
    <row r="36350" spans="1:6" ht="15.75" customHeight="1">
      <c r="A36350" s="15" t="s">
        <v>22076</v>
      </c>
      <c r="B36350" s="15" t="s">
        <v>22076</v>
      </c>
      <c r="C36350" s="15" t="s">
        <v>22070</v>
      </c>
      <c r="D36350" s="15" t="s">
        <v>22077</v>
      </c>
      <c r="E36350" s="2">
        <v>584441</v>
      </c>
      <c r="F36350" s="4" t="e">
        <f>IF(B36350=#REF!,"",B36350)</f>
        <v>#REF!</v>
      </c>
    </row>
    <row r="36351" spans="1:6" ht="15.75" customHeight="1">
      <c r="A36351" s="15" t="s">
        <v>27793</v>
      </c>
      <c r="B36351" s="15" t="s">
        <v>27793</v>
      </c>
      <c r="C36351" s="15" t="s">
        <v>27788</v>
      </c>
      <c r="D36351" s="15" t="s">
        <v>27794</v>
      </c>
      <c r="E36351" s="2">
        <v>4928662</v>
      </c>
      <c r="F36351" s="4" t="e">
        <f>IF(B36351=#REF!,"",B36351)</f>
        <v>#REF!</v>
      </c>
    </row>
    <row r="36352" spans="1:6" ht="15.75" customHeight="1">
      <c r="A36352" s="15" t="s">
        <v>27240</v>
      </c>
      <c r="B36352" s="15" t="s">
        <v>27240</v>
      </c>
      <c r="C36352" s="15" t="s">
        <v>27234</v>
      </c>
      <c r="D36352" s="15" t="s">
        <v>27241</v>
      </c>
      <c r="E36352" s="2">
        <v>2657780</v>
      </c>
      <c r="F36352" s="4" t="e">
        <f>IF(B36352=#REF!,"",B36352)</f>
        <v>#REF!</v>
      </c>
    </row>
    <row r="36353" spans="1:6" ht="15.75" customHeight="1">
      <c r="A36353" s="15" t="s">
        <v>27791</v>
      </c>
      <c r="B36353" s="15" t="s">
        <v>27791</v>
      </c>
      <c r="C36353" s="15" t="s">
        <v>27788</v>
      </c>
      <c r="D36353" s="15" t="s">
        <v>27792</v>
      </c>
      <c r="E36353" s="2">
        <v>4669635</v>
      </c>
      <c r="F36353" s="4" t="e">
        <f>IF(B36353=#REF!,"",B36353)</f>
        <v>#REF!</v>
      </c>
    </row>
    <row r="36354" spans="1:6" ht="15.75" customHeight="1">
      <c r="A36354" s="15" t="s">
        <v>15706</v>
      </c>
      <c r="B36354" s="15" t="s">
        <v>15706</v>
      </c>
      <c r="C36354" s="15" t="s">
        <v>15704</v>
      </c>
      <c r="D36354" s="15" t="s">
        <v>15707</v>
      </c>
      <c r="E36354" s="2">
        <v>2113164</v>
      </c>
      <c r="F36354" s="4" t="str">
        <f>IF(B36354=B36353,"",B36354)</f>
        <v>Abiko</v>
      </c>
    </row>
    <row r="36355" spans="1:6" ht="15.75" customHeight="1">
      <c r="A36355" s="16" t="str">
        <f ca="1">IFERROR(__xludf.DUMMYFUNCTION("GOOGLETRANSLATE(B24254,""en"",""pt"")"),"Ábido")</f>
        <v>Ábido</v>
      </c>
      <c r="B36355" s="20" t="s">
        <v>31383</v>
      </c>
      <c r="C36355" s="20" t="s">
        <v>1905</v>
      </c>
      <c r="D36355" s="20" t="s">
        <v>31342</v>
      </c>
      <c r="E36355" s="10">
        <v>3393768</v>
      </c>
      <c r="F36355" s="4" t="e">
        <f>IF(B36355=#REF!,"",B36355)</f>
        <v>#REF!</v>
      </c>
    </row>
    <row r="36356" spans="1:6" ht="15.75" customHeight="1">
      <c r="A36356" s="15" t="s">
        <v>15588</v>
      </c>
      <c r="B36356" s="15" t="s">
        <v>15588</v>
      </c>
      <c r="C36356" s="15" t="s">
        <v>15586</v>
      </c>
      <c r="D36356" s="15" t="s">
        <v>15589</v>
      </c>
      <c r="E36356" s="2">
        <v>2293538</v>
      </c>
      <c r="F36356" s="4" t="str">
        <f>IF(B36356=B36355,"",B36356)</f>
        <v>Abidjan</v>
      </c>
    </row>
    <row r="36357" spans="1:6" ht="15.75" customHeight="1">
      <c r="A36357" s="16" t="str">
        <f ca="1">IFERROR(__xludf.DUMMYFUNCTION("GOOGLETRANSLATE(B34182,""en"",""pt"")"),"Abhayāpuri")</f>
        <v>Abhayāpuri</v>
      </c>
      <c r="B36357" s="20" t="s">
        <v>34059</v>
      </c>
      <c r="C36357" s="20" t="s">
        <v>10178</v>
      </c>
      <c r="D36357" s="20" t="s">
        <v>10239</v>
      </c>
      <c r="E36357" s="10">
        <v>1279407</v>
      </c>
      <c r="F36357" s="4" t="str">
        <f>IF(B36357=B36356,"",B36357)</f>
        <v>Abhayāpuri</v>
      </c>
    </row>
    <row r="36358" spans="1:6" ht="15.75" customHeight="1">
      <c r="A36358" s="16" t="s">
        <v>10237</v>
      </c>
      <c r="B36358" s="15" t="s">
        <v>10238</v>
      </c>
      <c r="C36358" s="16" t="s">
        <v>10178</v>
      </c>
      <c r="D36358" s="16" t="s">
        <v>10239</v>
      </c>
      <c r="E36358" s="2">
        <v>1279407</v>
      </c>
      <c r="F36358" s="4" t="e">
        <f>IF(B36358=#REF!,"",B36358)</f>
        <v>#REF!</v>
      </c>
    </row>
    <row r="36359" spans="1:6" ht="15.75" customHeight="1">
      <c r="A36359" s="15" t="s">
        <v>14272</v>
      </c>
      <c r="B36359" s="15" t="s">
        <v>14272</v>
      </c>
      <c r="C36359" s="15" t="s">
        <v>14240</v>
      </c>
      <c r="D36359" s="15" t="s">
        <v>14273</v>
      </c>
      <c r="E36359" s="2">
        <v>145034</v>
      </c>
      <c r="F36359" s="4" t="e">
        <f>IF(B36359=#REF!,"",B36359)</f>
        <v>#REF!</v>
      </c>
    </row>
    <row r="36360" spans="1:6" ht="15.75" customHeight="1">
      <c r="A36360" s="15" t="s">
        <v>23468</v>
      </c>
      <c r="B36360" s="15" t="s">
        <v>23468</v>
      </c>
      <c r="C36360" s="15" t="s">
        <v>23454</v>
      </c>
      <c r="D36360" s="15" t="s">
        <v>23469</v>
      </c>
      <c r="E36360" s="2">
        <v>110690</v>
      </c>
      <c r="F36360" s="4" t="e">
        <f>IF(B36360=#REF!,"",B36360)</f>
        <v>#REF!</v>
      </c>
    </row>
    <row r="36361" spans="1:6" ht="15.75" customHeight="1">
      <c r="A36361" s="16" t="s">
        <v>27239</v>
      </c>
      <c r="B36361" s="15" t="s">
        <v>27239</v>
      </c>
      <c r="C36361" s="16" t="s">
        <v>27234</v>
      </c>
      <c r="D36361" s="16" t="s">
        <v>27235</v>
      </c>
      <c r="E36361" s="2">
        <v>2657782</v>
      </c>
      <c r="F36361" s="4" t="e">
        <f>IF(B36361=#REF!,"",B36361)</f>
        <v>#REF!</v>
      </c>
    </row>
    <row r="36362" spans="1:6" ht="15.75" customHeight="1">
      <c r="A36362" s="15" t="s">
        <v>27238</v>
      </c>
      <c r="B36362" s="15" t="s">
        <v>27238</v>
      </c>
      <c r="C36362" s="15" t="s">
        <v>27234</v>
      </c>
      <c r="D36362" s="15" t="s">
        <v>27235</v>
      </c>
      <c r="E36362" s="2">
        <v>2657812</v>
      </c>
      <c r="F36362" s="4" t="e">
        <f>IF(B36362=#REF!,"",B36362)</f>
        <v>#REF!</v>
      </c>
    </row>
    <row r="36363" spans="1:6" ht="15.75" customHeight="1">
      <c r="A36363" s="15" t="s">
        <v>27236</v>
      </c>
      <c r="B36363" s="15" t="s">
        <v>27236</v>
      </c>
      <c r="C36363" s="15" t="s">
        <v>27234</v>
      </c>
      <c r="D36363" s="15" t="s">
        <v>27237</v>
      </c>
      <c r="E36363" s="2">
        <v>2657832</v>
      </c>
      <c r="F36363" s="4" t="e">
        <f>IF(B36363=#REF!,"",B36363)</f>
        <v>#REF!</v>
      </c>
    </row>
    <row r="36364" spans="1:6" ht="15.75" customHeight="1">
      <c r="A36364" s="15" t="s">
        <v>27233</v>
      </c>
      <c r="B36364" s="15" t="s">
        <v>27233</v>
      </c>
      <c r="C36364" s="15" t="s">
        <v>27234</v>
      </c>
      <c r="D36364" s="15" t="s">
        <v>27235</v>
      </c>
      <c r="E36364" s="2">
        <v>2657835</v>
      </c>
      <c r="F36364" s="4" t="e">
        <f>IF(B36364=#REF!,"",B36364)</f>
        <v>#REF!</v>
      </c>
    </row>
    <row r="36365" spans="1:6" ht="15.75" customHeight="1">
      <c r="A36365" s="15" t="s">
        <v>13799</v>
      </c>
      <c r="B36365" s="15" t="s">
        <v>13799</v>
      </c>
      <c r="C36365" s="15" t="s">
        <v>13800</v>
      </c>
      <c r="D36365" s="15" t="s">
        <v>13801</v>
      </c>
      <c r="E36365" s="2">
        <v>2082727</v>
      </c>
      <c r="F36365" s="4" t="e">
        <f>IF(B36365=#REF!,"",B36365)</f>
        <v>#REF!</v>
      </c>
    </row>
    <row r="36366" spans="1:6" ht="15.75" customHeight="1">
      <c r="A36366" s="15" t="s">
        <v>19298</v>
      </c>
      <c r="B36366" s="15" t="s">
        <v>19298</v>
      </c>
      <c r="C36366" s="15" t="s">
        <v>19294</v>
      </c>
      <c r="D36366" s="15" t="s">
        <v>19299</v>
      </c>
      <c r="E36366" s="2">
        <v>2352947</v>
      </c>
      <c r="F36366" s="4" t="e">
        <f>IF(B36366=#REF!,"",B36366)</f>
        <v>#REF!</v>
      </c>
    </row>
    <row r="36367" spans="1:6" ht="15.75" customHeight="1">
      <c r="A36367" s="16" t="s">
        <v>15585</v>
      </c>
      <c r="B36367" s="15" t="s">
        <v>15585</v>
      </c>
      <c r="C36367" s="16" t="s">
        <v>15586</v>
      </c>
      <c r="D36367" s="16" t="s">
        <v>15587</v>
      </c>
      <c r="E36367" s="2">
        <v>2293549</v>
      </c>
      <c r="F36367" s="4" t="str">
        <f>IF(B36367=B36366,"",B36367)</f>
        <v>Abengourou</v>
      </c>
    </row>
    <row r="36368" spans="1:6" ht="15.75" customHeight="1">
      <c r="A36368" s="16" t="str">
        <f ca="1">IFERROR(__xludf.DUMMYFUNCTION("GOOGLETRANSLATE(B41471,""en"",""pt"")"),"Abéché")</f>
        <v>Abéché</v>
      </c>
      <c r="B36368" s="20" t="s">
        <v>35770</v>
      </c>
      <c r="C36368" s="20" t="s">
        <v>4305</v>
      </c>
      <c r="D36368" s="20" t="s">
        <v>35771</v>
      </c>
      <c r="E36368" s="10">
        <v>245785</v>
      </c>
      <c r="F36368" s="4" t="e">
        <f>IF(B36368=#REF!,"",B36368)</f>
        <v>#REF!</v>
      </c>
    </row>
    <row r="36369" spans="1:6" ht="15.75" customHeight="1">
      <c r="A36369" s="15" t="s">
        <v>22074</v>
      </c>
      <c r="B36369" s="15" t="s">
        <v>22074</v>
      </c>
      <c r="C36369" s="15" t="s">
        <v>22070</v>
      </c>
      <c r="D36369" s="15" t="s">
        <v>22075</v>
      </c>
      <c r="E36369" s="2">
        <v>584471</v>
      </c>
      <c r="F36369" s="4" t="str">
        <f>IF(B36369=B36368,"",B36369)</f>
        <v>Abdulino</v>
      </c>
    </row>
    <row r="36370" spans="1:6" ht="15.75" customHeight="1">
      <c r="A36370" s="16" t="str">
        <f ca="1">IFERROR(__xludf.DUMMYFUNCTION("GOOGLETRANSLATE(B34510,""en"",""pt"")"),"Ābdānān")</f>
        <v>Ābdānān</v>
      </c>
      <c r="B36370" s="20" t="s">
        <v>34246</v>
      </c>
      <c r="C36370" s="20" t="s">
        <v>14240</v>
      </c>
      <c r="D36370" s="20" t="s">
        <v>34194</v>
      </c>
      <c r="E36370" s="10">
        <v>145233</v>
      </c>
      <c r="F36370" s="4" t="str">
        <f>IF(B36370=B36369,"",B36370)</f>
        <v>Ābdānān</v>
      </c>
    </row>
    <row r="36371" spans="1:6" ht="15.75" customHeight="1">
      <c r="A36371" s="16" t="str">
        <f ca="1">IFERROR(__xludf.DUMMYFUNCTION("GOOGLETRANSLATE(B39166,""en"",""pt"")"),"Abbottābād")</f>
        <v>Abbottābād</v>
      </c>
      <c r="B36371" s="20" t="s">
        <v>35055</v>
      </c>
      <c r="C36371" s="20" t="s">
        <v>19808</v>
      </c>
      <c r="D36371" s="20" t="s">
        <v>19811</v>
      </c>
      <c r="E36371" s="10">
        <v>1185056</v>
      </c>
      <c r="F36371" s="4" t="str">
        <f>IF(B36371=B36370,"",B36371)</f>
        <v>Abbottābād</v>
      </c>
    </row>
    <row r="36372" spans="1:6" ht="15.75" customHeight="1">
      <c r="A36372" s="16" t="s">
        <v>19809</v>
      </c>
      <c r="B36372" s="15" t="s">
        <v>19810</v>
      </c>
      <c r="C36372" s="16" t="s">
        <v>19808</v>
      </c>
      <c r="D36372" s="16" t="s">
        <v>19811</v>
      </c>
      <c r="E36372" s="2">
        <v>1185056</v>
      </c>
      <c r="F36372" s="4" t="e">
        <f>IF(B36372=#REF!,"",B36372)</f>
        <v>#REF!</v>
      </c>
    </row>
    <row r="36373" spans="1:6" ht="15.75" customHeight="1">
      <c r="A36373" s="16" t="s">
        <v>3974</v>
      </c>
      <c r="B36373" s="15" t="s">
        <v>3974</v>
      </c>
      <c r="C36373" s="16" t="s">
        <v>3975</v>
      </c>
      <c r="D36373" s="16" t="s">
        <v>3976</v>
      </c>
      <c r="E36373" s="2">
        <v>5881791</v>
      </c>
      <c r="F36373" s="4" t="e">
        <f>IF(B36373=#REF!,"",B36373)</f>
        <v>#REF!</v>
      </c>
    </row>
    <row r="36374" spans="1:6" ht="15.75" customHeight="1">
      <c r="A36374" s="16" t="s">
        <v>14893</v>
      </c>
      <c r="B36374" s="15" t="s">
        <v>14893</v>
      </c>
      <c r="C36374" s="16" t="s">
        <v>14891</v>
      </c>
      <c r="D36374" s="16" t="s">
        <v>14894</v>
      </c>
      <c r="E36374" s="2">
        <v>3183573</v>
      </c>
      <c r="F36374" s="4" t="e">
        <f>IF(B36374=#REF!,"",B36374)</f>
        <v>#REF!</v>
      </c>
    </row>
    <row r="36375" spans="1:6" ht="15.75" customHeight="1">
      <c r="A36375" s="15" t="s">
        <v>7077</v>
      </c>
      <c r="B36375" s="15" t="s">
        <v>7077</v>
      </c>
      <c r="C36375" s="15" t="s">
        <v>7052</v>
      </c>
      <c r="D36375" s="15" t="s">
        <v>7078</v>
      </c>
      <c r="E36375" s="2">
        <v>3038789</v>
      </c>
      <c r="F36375" s="4" t="e">
        <f>IF(B36375=#REF!,"",B36375)</f>
        <v>#REF!</v>
      </c>
    </row>
    <row r="36376" spans="1:6" ht="15.75" customHeight="1">
      <c r="A36376" s="15" t="s">
        <v>22072</v>
      </c>
      <c r="B36376" s="15" t="s">
        <v>22073</v>
      </c>
      <c r="C36376" s="15" t="s">
        <v>22070</v>
      </c>
      <c r="D36376" s="15" t="s">
        <v>22071</v>
      </c>
      <c r="E36376" s="2">
        <v>1512205</v>
      </c>
      <c r="F36376" s="4" t="e">
        <f>IF(B36376=#REF!,"",B36376)</f>
        <v>#REF!</v>
      </c>
    </row>
    <row r="36377" spans="1:6" ht="15.75" customHeight="1">
      <c r="A36377" s="15" t="s">
        <v>16670</v>
      </c>
      <c r="B36377" s="15" t="s">
        <v>16670</v>
      </c>
      <c r="C36377" s="15" t="s">
        <v>16671</v>
      </c>
      <c r="D36377" s="15" t="s">
        <v>16672</v>
      </c>
      <c r="E36377" s="2">
        <v>1526970</v>
      </c>
      <c r="F36377" s="4" t="e">
        <f>IF(B36377=#REF!,"",B36377)</f>
        <v>#REF!</v>
      </c>
    </row>
    <row r="36378" spans="1:6" ht="15.75" customHeight="1">
      <c r="A36378" s="15" t="s">
        <v>17712</v>
      </c>
      <c r="B36378" s="15" t="s">
        <v>17712</v>
      </c>
      <c r="C36378" s="15" t="s">
        <v>17707</v>
      </c>
      <c r="D36378" s="15" t="s">
        <v>17713</v>
      </c>
      <c r="E36378" s="2">
        <v>4019869</v>
      </c>
      <c r="F36378" s="4" t="e">
        <f>IF(B36378=#REF!,"",B36378)</f>
        <v>#REF!</v>
      </c>
    </row>
    <row r="36379" spans="1:6" ht="15.75" customHeight="1">
      <c r="A36379" s="15" t="s">
        <v>15703</v>
      </c>
      <c r="B36379" s="15" t="s">
        <v>15703</v>
      </c>
      <c r="C36379" s="15" t="s">
        <v>15704</v>
      </c>
      <c r="D36379" s="15" t="s">
        <v>15705</v>
      </c>
      <c r="E36379" s="2">
        <v>2130741</v>
      </c>
      <c r="F36379" s="4" t="e">
        <f>IF(B36379=#REF!,"",B36379)</f>
        <v>#REF!</v>
      </c>
    </row>
    <row r="36380" spans="1:6" ht="15.75" customHeight="1">
      <c r="A36380" s="16" t="s">
        <v>14889</v>
      </c>
      <c r="B36380" s="15" t="s">
        <v>14890</v>
      </c>
      <c r="C36380" s="16" t="s">
        <v>14891</v>
      </c>
      <c r="D36380" s="16" t="s">
        <v>14892</v>
      </c>
      <c r="E36380" s="2">
        <v>3183587</v>
      </c>
      <c r="F36380" s="4" t="e">
        <f>IF(B36380=#REF!,"",B36380)</f>
        <v>#REF!</v>
      </c>
    </row>
    <row r="36381" spans="1:6" ht="15.75" customHeight="1">
      <c r="A36381" s="15" t="s">
        <v>20468</v>
      </c>
      <c r="B36381" s="15" t="s">
        <v>20469</v>
      </c>
      <c r="C36381" s="15" t="s">
        <v>20470</v>
      </c>
      <c r="D36381" s="15" t="s">
        <v>20471</v>
      </c>
      <c r="E36381" s="2">
        <v>3948642</v>
      </c>
      <c r="F36381" s="4" t="e">
        <f>IF(B36381=#REF!,"",B36381)</f>
        <v>#REF!</v>
      </c>
    </row>
    <row r="36382" spans="1:6" ht="15.75" customHeight="1">
      <c r="A36382" s="15" t="s">
        <v>22069</v>
      </c>
      <c r="B36382" s="15" t="s">
        <v>22069</v>
      </c>
      <c r="C36382" s="15" t="s">
        <v>22070</v>
      </c>
      <c r="D36382" s="15" t="s">
        <v>22071</v>
      </c>
      <c r="E36382" s="2">
        <v>1512236</v>
      </c>
      <c r="F36382" s="4" t="e">
        <f>IF(B36382=#REF!,"",B36382)</f>
        <v>#REF!</v>
      </c>
    </row>
    <row r="36383" spans="1:6" ht="15.75" customHeight="1">
      <c r="A36383" s="15" t="s">
        <v>19296</v>
      </c>
      <c r="B36383" s="15" t="s">
        <v>19296</v>
      </c>
      <c r="C36383" s="15" t="s">
        <v>19294</v>
      </c>
      <c r="D36383" s="15" t="s">
        <v>19297</v>
      </c>
      <c r="E36383" s="2">
        <v>2353099</v>
      </c>
      <c r="F36383" s="4" t="e">
        <f>IF(B36383=#REF!,"",B36383)</f>
        <v>#REF!</v>
      </c>
    </row>
    <row r="36384" spans="1:6" ht="15.75" customHeight="1">
      <c r="A36384" s="16" t="s">
        <v>1925</v>
      </c>
      <c r="B36384" s="15" t="s">
        <v>1926</v>
      </c>
      <c r="C36384" s="16" t="s">
        <v>1905</v>
      </c>
      <c r="D36384" s="16" t="s">
        <v>1906</v>
      </c>
      <c r="E36384" s="2">
        <v>3408424</v>
      </c>
      <c r="F36384" s="4" t="str">
        <f>IF(B36384=B36383,"",B36384)</f>
        <v>Abaetetuba</v>
      </c>
    </row>
    <row r="36385" spans="1:6" ht="15.75" customHeight="1">
      <c r="A36385" s="16" t="str">
        <f ca="1">IFERROR(__xludf.DUMMYFUNCTION("GOOGLETRANSLATE(B25303,""en"",""pt"")"),"Abaeté")</f>
        <v>Abaeté</v>
      </c>
      <c r="B36385" s="20" t="s">
        <v>31737</v>
      </c>
      <c r="C36385" s="20" t="s">
        <v>1905</v>
      </c>
      <c r="D36385" s="20" t="s">
        <v>1917</v>
      </c>
      <c r="E36385" s="10">
        <v>3473267</v>
      </c>
      <c r="F36385" s="4" t="str">
        <f>IF(B36385=B36384,"",B36385)</f>
        <v>Abaeté</v>
      </c>
    </row>
    <row r="36386" spans="1:6" ht="15.75" customHeight="1">
      <c r="A36386" s="15" t="s">
        <v>1923</v>
      </c>
      <c r="B36386" s="15" t="s">
        <v>1924</v>
      </c>
      <c r="C36386" s="15" t="s">
        <v>1905</v>
      </c>
      <c r="D36386" s="15" t="s">
        <v>1917</v>
      </c>
      <c r="E36386" s="2">
        <v>3473267</v>
      </c>
      <c r="F36386" s="4" t="str">
        <f>IF(B36386=B36385,"",B36386)</f>
        <v>AbaetÃ©</v>
      </c>
    </row>
    <row r="36387" spans="1:6" ht="15.75" customHeight="1">
      <c r="A36387" s="16" t="str">
        <f ca="1">IFERROR(__xludf.DUMMYFUNCTION("GOOGLETRANSLATE(B34511,""en"",""pt"")"),"Ābādeh")</f>
        <v>Ābādeh</v>
      </c>
      <c r="B36387" s="20" t="s">
        <v>34247</v>
      </c>
      <c r="C36387" s="20" t="s">
        <v>14240</v>
      </c>
      <c r="D36387" s="20" t="s">
        <v>14244</v>
      </c>
      <c r="E36387" s="10">
        <v>145449</v>
      </c>
      <c r="F36387" s="4" t="e">
        <f>IF(B36387=#REF!,"",B36387)</f>
        <v>#REF!</v>
      </c>
    </row>
    <row r="36388" spans="1:6" ht="15.75" customHeight="1">
      <c r="A36388" s="15" t="s">
        <v>14270</v>
      </c>
      <c r="B36388" s="15" t="s">
        <v>14270</v>
      </c>
      <c r="C36388" s="15" t="s">
        <v>14240</v>
      </c>
      <c r="D36388" s="15" t="s">
        <v>14271</v>
      </c>
      <c r="E36388" s="2">
        <v>145459</v>
      </c>
      <c r="F36388" s="4" t="str">
        <f>IF(B36388=B36387,"",B36388)</f>
        <v>Abadan</v>
      </c>
    </row>
    <row r="36389" spans="1:6" ht="15.75" customHeight="1">
      <c r="A36389" s="15" t="s">
        <v>4303</v>
      </c>
      <c r="B36389" s="15" t="s">
        <v>4304</v>
      </c>
      <c r="C36389" s="15" t="s">
        <v>4305</v>
      </c>
      <c r="D36389" s="15" t="s">
        <v>4306</v>
      </c>
      <c r="E36389" s="2">
        <v>245785</v>
      </c>
      <c r="F36389" s="4" t="str">
        <f>IF(B36389=B36388,"",B36389)</f>
        <v>AbÃ©chÃ©</v>
      </c>
    </row>
    <row r="36390" spans="1:6" ht="15.75" customHeight="1">
      <c r="A36390" s="16" t="s">
        <v>24985</v>
      </c>
      <c r="B36390" s="15" t="s">
        <v>24986</v>
      </c>
      <c r="C36390" s="16" t="s">
        <v>24987</v>
      </c>
      <c r="D36390" s="16" t="s">
        <v>24988</v>
      </c>
      <c r="E36390" s="2">
        <v>380348</v>
      </c>
      <c r="F36390" s="4" t="str">
        <f>IF(B36390=B36389,"",B36390)</f>
        <v>AbÅ« Zabad</v>
      </c>
    </row>
    <row r="36391" spans="1:6" ht="15.75" customHeight="1">
      <c r="A36391" s="16" t="s">
        <v>6521</v>
      </c>
      <c r="B36391" s="15" t="s">
        <v>6522</v>
      </c>
      <c r="C36391" s="16" t="s">
        <v>6495</v>
      </c>
      <c r="D36391" s="16" t="s">
        <v>6523</v>
      </c>
      <c r="E36391" s="2">
        <v>362004</v>
      </c>
      <c r="F36391" s="4" t="str">
        <f>IF(B36391=B36390,"",B36391)</f>
        <v>AbÅ« TÄ«j</v>
      </c>
    </row>
    <row r="36392" spans="1:6" ht="15.75" customHeight="1">
      <c r="A36392" s="16" t="s">
        <v>6518</v>
      </c>
      <c r="B36392" s="15" t="s">
        <v>6519</v>
      </c>
      <c r="C36392" s="16" t="s">
        <v>6495</v>
      </c>
      <c r="D36392" s="16" t="s">
        <v>6520</v>
      </c>
      <c r="E36392" s="2">
        <v>362277</v>
      </c>
      <c r="F36392" s="4" t="str">
        <f>IF(B36392=B36391,"",B36392)</f>
        <v>AbÅ« QurqÄÅŸ</v>
      </c>
    </row>
    <row r="36393" spans="1:6" ht="15.75" customHeight="1">
      <c r="A36393" s="16" t="s">
        <v>6516</v>
      </c>
      <c r="B36393" s="15" t="s">
        <v>6517</v>
      </c>
      <c r="C36393" s="16" t="s">
        <v>6495</v>
      </c>
      <c r="D36393" s="16" t="s">
        <v>6128</v>
      </c>
      <c r="E36393" s="2">
        <v>362485</v>
      </c>
      <c r="F36393" s="4" t="str">
        <f>IF(B36393=B36392,"",B36393)</f>
        <v>AbÅ« KabÄ«r</v>
      </c>
    </row>
    <row r="36394" spans="1:6" ht="15.75" customHeight="1">
      <c r="A36394" s="16" t="s">
        <v>14613</v>
      </c>
      <c r="B36394" s="15" t="s">
        <v>14614</v>
      </c>
      <c r="C36394" s="16" t="s">
        <v>14594</v>
      </c>
      <c r="D36394" s="16" t="s">
        <v>14615</v>
      </c>
      <c r="E36394" s="2">
        <v>100077</v>
      </c>
      <c r="F36394" s="4" t="str">
        <f>IF(B36394=B36393,"",B36394)</f>
        <v>AbÅ« Ghurayb</v>
      </c>
    </row>
    <row r="36395" spans="1:6" ht="15.75" customHeight="1">
      <c r="A36395" s="16" t="s">
        <v>6514</v>
      </c>
      <c r="B36395" s="15" t="s">
        <v>6515</v>
      </c>
      <c r="C36395" s="16" t="s">
        <v>6495</v>
      </c>
      <c r="D36395" s="16" t="s">
        <v>6499</v>
      </c>
      <c r="E36395" s="2">
        <v>362882</v>
      </c>
      <c r="F36395" s="4" t="str">
        <f>IF(B36395=B36394,"",B36395)</f>
        <v>AbÅ« al MaÅ£ÄmÄ«r</v>
      </c>
    </row>
    <row r="36396" spans="1:6" ht="15.75" customHeight="1">
      <c r="A36396" s="16" t="s">
        <v>23465</v>
      </c>
      <c r="B36396" s="15" t="s">
        <v>23466</v>
      </c>
      <c r="C36396" s="16" t="s">
        <v>23454</v>
      </c>
      <c r="D36396" s="16" t="s">
        <v>23467</v>
      </c>
      <c r="E36396" s="2">
        <v>110619</v>
      </c>
      <c r="F36396" s="4" t="e">
        <f>IF(B36396=#REF!,"",B36396)</f>
        <v>#REF!</v>
      </c>
    </row>
    <row r="36397" spans="1:6" ht="15.75" customHeight="1">
      <c r="A36397" s="15" t="s">
        <v>19292</v>
      </c>
      <c r="B36397" s="15" t="s">
        <v>19293</v>
      </c>
      <c r="C36397" s="15" t="s">
        <v>19294</v>
      </c>
      <c r="D36397" s="15" t="s">
        <v>19295</v>
      </c>
      <c r="E36397" s="2">
        <v>2353151</v>
      </c>
      <c r="F36397" s="4" t="str">
        <f>IF(B36397=B36396,"",B36397)</f>
        <v>Aba</v>
      </c>
    </row>
    <row r="36398" spans="1:6" ht="15.75" customHeight="1">
      <c r="A36398" s="15" t="s">
        <v>26269</v>
      </c>
      <c r="B36398" s="15" t="s">
        <v>26270</v>
      </c>
      <c r="C36398" s="15" t="s">
        <v>26201</v>
      </c>
      <c r="D36398" s="15" t="s">
        <v>26270</v>
      </c>
      <c r="E36398" s="2">
        <v>309647</v>
      </c>
      <c r="F36398" s="4" t="str">
        <f>IF(B36398=B36397,"",B36398)</f>
        <v>AÄŸrÄ±</v>
      </c>
    </row>
    <row r="36399" spans="1:6" ht="15.75" customHeight="1">
      <c r="A36399" s="15" t="s">
        <v>26266</v>
      </c>
      <c r="B36399" s="15" t="s">
        <v>26267</v>
      </c>
      <c r="C36399" s="15" t="s">
        <v>26201</v>
      </c>
      <c r="D36399" s="15" t="s">
        <v>26268</v>
      </c>
      <c r="E36399" s="2">
        <v>323094</v>
      </c>
      <c r="F36399" s="4" t="str">
        <f>IF(B36399=B36398,"",B36399)</f>
        <v>AÅŸkale</v>
      </c>
    </row>
    <row r="36400" spans="1:6" ht="15.75" customHeight="1">
      <c r="A36400" s="15" t="s">
        <v>1171</v>
      </c>
      <c r="B36400" s="15" t="s">
        <v>1172</v>
      </c>
      <c r="C36400" s="15" t="s">
        <v>1170</v>
      </c>
      <c r="D36400" s="15" t="s">
        <v>1172</v>
      </c>
      <c r="E36400" s="2">
        <v>148619</v>
      </c>
      <c r="F36400" s="4" t="str">
        <f>IF(B36400=B36399,"",B36400)</f>
        <v>AÄŸdam</v>
      </c>
    </row>
    <row r="36401" spans="1:6" ht="15.75" customHeight="1">
      <c r="A36401" s="15" t="s">
        <v>1168</v>
      </c>
      <c r="B36401" s="15" t="s">
        <v>1169</v>
      </c>
      <c r="C36401" s="15" t="s">
        <v>1170</v>
      </c>
      <c r="D36401" s="15" t="s">
        <v>1169</v>
      </c>
      <c r="E36401" s="2">
        <v>587378</v>
      </c>
      <c r="F36401" s="4" t="str">
        <f>IF(B36401=B36400,"",B36401)</f>
        <v>AÄŸdaÅŸ</v>
      </c>
    </row>
    <row r="36402" spans="1:6" ht="15.75" customHeight="1">
      <c r="A36402" s="16" t="s">
        <v>14610</v>
      </c>
      <c r="B36402" s="15" t="s">
        <v>14611</v>
      </c>
      <c r="C36402" s="16" t="s">
        <v>14594</v>
      </c>
      <c r="D36402" s="16" t="s">
        <v>14612</v>
      </c>
      <c r="E36402" s="2">
        <v>98459</v>
      </c>
      <c r="F36402" s="4" t="str">
        <f>IF(B36402=B36401,"",B36402)</f>
        <v>AÅŸ Åžuwayrah</v>
      </c>
    </row>
    <row r="36403" spans="1:6" ht="15.75" customHeight="1">
      <c r="A36403" s="16" t="s">
        <v>25388</v>
      </c>
      <c r="B36403" s="15" t="s">
        <v>25389</v>
      </c>
      <c r="C36403" s="16" t="s">
        <v>25366</v>
      </c>
      <c r="D36403" s="16" t="s">
        <v>25375</v>
      </c>
      <c r="E36403" s="2">
        <v>172469</v>
      </c>
      <c r="F36403" s="4" t="str">
        <f>IF(B36403=B36402,"",B36403)</f>
        <v>AÅŸ Åžanamayn</v>
      </c>
    </row>
    <row r="36404" spans="1:6" ht="15.75" customHeight="1">
      <c r="A36404" s="16" t="s">
        <v>6511</v>
      </c>
      <c r="B36404" s="15" t="s">
        <v>6512</v>
      </c>
      <c r="C36404" s="16" t="s">
        <v>6495</v>
      </c>
      <c r="D36404" s="16" t="s">
        <v>6513</v>
      </c>
      <c r="E36404" s="2">
        <v>359900</v>
      </c>
      <c r="F36404" s="4" t="str">
        <f>IF(B36404=B36403,"",B36404)</f>
        <v>AÅŸ Åžaff</v>
      </c>
    </row>
    <row r="36405" spans="1:6" ht="15.75" customHeight="1">
      <c r="A36405" s="16" t="s">
        <v>14267</v>
      </c>
      <c r="B36405" s="15" t="s">
        <v>14268</v>
      </c>
      <c r="C36405" s="16" t="s">
        <v>14240</v>
      </c>
      <c r="D36405" s="16" t="s">
        <v>14269</v>
      </c>
      <c r="E36405" s="2">
        <v>32723</v>
      </c>
      <c r="F36405" s="4" t="e">
        <f>IF(B36405=#REF!,"",B36405)</f>
        <v>#REF!</v>
      </c>
    </row>
    <row r="36406" spans="1:6" ht="15.75" customHeight="1">
      <c r="A36406" s="15" t="s">
        <v>1515</v>
      </c>
      <c r="B36406" s="15" t="s">
        <v>1515</v>
      </c>
      <c r="C36406" s="15" t="s">
        <v>1512</v>
      </c>
      <c r="D36406" s="15" t="s">
        <v>1513</v>
      </c>
      <c r="E36406" s="2">
        <v>2803429</v>
      </c>
      <c r="F36406" s="4" t="e">
        <f>IF(B36406=#REF!,"",B36406)</f>
        <v>#REF!</v>
      </c>
    </row>
    <row r="36407" spans="1:6" ht="15.75" customHeight="1">
      <c r="A36407" s="15" t="s">
        <v>25236</v>
      </c>
      <c r="B36407" s="15" t="s">
        <v>25236</v>
      </c>
      <c r="C36407" s="15" t="s">
        <v>25237</v>
      </c>
      <c r="D36407" s="15" t="s">
        <v>25238</v>
      </c>
      <c r="E36407" s="2">
        <v>2661881</v>
      </c>
      <c r="F36407" s="4" t="str">
        <f>IF(B36407=B36406,"",B36407)</f>
        <v>Aarau</v>
      </c>
    </row>
    <row r="36408" spans="1:6" ht="15.75" customHeight="1">
      <c r="A36408" s="16" t="s">
        <v>14264</v>
      </c>
      <c r="B36408" s="15" t="s">
        <v>14265</v>
      </c>
      <c r="C36408" s="16" t="s">
        <v>14240</v>
      </c>
      <c r="D36408" s="16" t="s">
        <v>14266</v>
      </c>
      <c r="E36408" s="2">
        <v>1160939</v>
      </c>
      <c r="F36408" s="4" t="str">
        <f>IF(B36408=B36407,"",B36408)</f>
        <v>ÄªrÄnshahr</v>
      </c>
    </row>
    <row r="36409" spans="1:6" ht="15.75" customHeight="1">
      <c r="A36409" s="15" t="s">
        <v>10236</v>
      </c>
      <c r="B36409" s="15" t="s">
        <v>10236</v>
      </c>
      <c r="C36409" s="15" t="s">
        <v>10178</v>
      </c>
      <c r="D36409" s="15" t="s">
        <v>10193</v>
      </c>
      <c r="E36409" s="2">
        <v>1253785</v>
      </c>
      <c r="F36409" s="4" t="e">
        <f>IF(B36409=#REF!,"",B36409)</f>
        <v>#REF!</v>
      </c>
    </row>
    <row r="36410" spans="1:6" ht="15.75" customHeight="1">
      <c r="A36410" s="15" t="s">
        <v>1514</v>
      </c>
      <c r="B36410" s="15" t="s">
        <v>1514</v>
      </c>
      <c r="C36410" s="15" t="s">
        <v>1512</v>
      </c>
      <c r="D36410" s="15" t="s">
        <v>1513</v>
      </c>
      <c r="E36410" s="2">
        <v>2803443</v>
      </c>
      <c r="F36410" s="4" t="e">
        <f>IF(B36410=#REF!,"",B36410)</f>
        <v>#REF!</v>
      </c>
    </row>
    <row r="36411" spans="1:6" ht="15.75" customHeight="1">
      <c r="A36411" s="15" t="s">
        <v>18864</v>
      </c>
      <c r="B36411" s="15" t="s">
        <v>18864</v>
      </c>
      <c r="C36411" s="15" t="s">
        <v>18862</v>
      </c>
      <c r="D36411" s="15" t="s">
        <v>18865</v>
      </c>
      <c r="E36411" s="2">
        <v>2760123</v>
      </c>
      <c r="F36411" s="4" t="e">
        <f>IF(B36411=#REF!,"",B36411)</f>
        <v>#REF!</v>
      </c>
    </row>
    <row r="36412" spans="1:6" ht="15.75" customHeight="1">
      <c r="A36412" s="15" t="s">
        <v>1511</v>
      </c>
      <c r="B36412" s="15" t="s">
        <v>1511</v>
      </c>
      <c r="C36412" s="15" t="s">
        <v>1512</v>
      </c>
      <c r="D36412" s="15" t="s">
        <v>1513</v>
      </c>
      <c r="E36412" s="2">
        <v>2803448</v>
      </c>
      <c r="F36412" s="4" t="e">
        <f>IF(B36412=#REF!,"",B36412)</f>
        <v>#REF!</v>
      </c>
    </row>
    <row r="36413" spans="1:6" ht="15.75" customHeight="1">
      <c r="A36413" s="15" t="s">
        <v>18861</v>
      </c>
      <c r="B36413" s="15" t="s">
        <v>18861</v>
      </c>
      <c r="C36413" s="15" t="s">
        <v>18862</v>
      </c>
      <c r="D36413" s="15" t="s">
        <v>18863</v>
      </c>
      <c r="E36413" s="2">
        <v>2760134</v>
      </c>
      <c r="F36413" s="4" t="e">
        <f>IF(B36413=#REF!,"",B36413)</f>
        <v>#REF!</v>
      </c>
    </row>
    <row r="36414" spans="1:6" ht="15.75" customHeight="1">
      <c r="A36414" s="15" t="s">
        <v>8030</v>
      </c>
      <c r="B36414" s="15" t="s">
        <v>8030</v>
      </c>
      <c r="C36414" s="15" t="s">
        <v>8028</v>
      </c>
      <c r="D36414" s="15" t="s">
        <v>8031</v>
      </c>
      <c r="E36414" s="2">
        <v>2959927</v>
      </c>
      <c r="F36414" s="4" t="e">
        <f>IF(B36414=#REF!,"",B36414)</f>
        <v>#REF!</v>
      </c>
    </row>
    <row r="36415" spans="1:6" ht="15.75" customHeight="1">
      <c r="A36415" s="15" t="s">
        <v>6213</v>
      </c>
      <c r="B36415" s="15" t="s">
        <v>6213</v>
      </c>
      <c r="C36415" s="15" t="s">
        <v>6209</v>
      </c>
      <c r="D36415" s="15" t="s">
        <v>6214</v>
      </c>
      <c r="E36415" s="2">
        <v>2624886</v>
      </c>
      <c r="F36415" s="4" t="str">
        <f>IF(B36415=B36414,"",B36415)</f>
        <v>Aalborg</v>
      </c>
    </row>
    <row r="36416" spans="1:6" ht="15.75" customHeight="1">
      <c r="A36416" s="15" t="s">
        <v>14263</v>
      </c>
      <c r="B36416" s="15" t="s">
        <v>14247</v>
      </c>
      <c r="C36416" s="15" t="s">
        <v>14240</v>
      </c>
      <c r="D36416" s="15" t="s">
        <v>14247</v>
      </c>
      <c r="E36416" s="2">
        <v>130802</v>
      </c>
      <c r="F36416" s="4" t="str">
        <f>IF(B36416=B36415,"",B36416)</f>
        <v>ÄªlÄm</v>
      </c>
    </row>
    <row r="36417" spans="1:6" ht="15.75" customHeight="1">
      <c r="A36417" s="15" t="s">
        <v>9457</v>
      </c>
      <c r="B36417" s="15" t="s">
        <v>9458</v>
      </c>
      <c r="C36417" s="15" t="s">
        <v>9441</v>
      </c>
      <c r="D36417" s="15" t="s">
        <v>9459</v>
      </c>
      <c r="E36417" s="2">
        <v>265500</v>
      </c>
      <c r="F36417" s="4" t="e">
        <f>IF(B36417=#REF!,"",B36417)</f>
        <v>#REF!</v>
      </c>
    </row>
    <row r="36418" spans="1:6" ht="15.75" customHeight="1">
      <c r="A36418" s="15" t="s">
        <v>8027</v>
      </c>
      <c r="B36418" s="15" t="s">
        <v>8027</v>
      </c>
      <c r="C36418" s="15" t="s">
        <v>8028</v>
      </c>
      <c r="D36418" s="15" t="s">
        <v>8029</v>
      </c>
      <c r="E36418" s="2">
        <v>3247449</v>
      </c>
      <c r="F36418" s="4" t="e">
        <f>IF(B36418=#REF!,"",B36418)</f>
        <v>#REF!</v>
      </c>
    </row>
    <row r="36419" spans="1:6" ht="15.75" customHeight="1">
      <c r="A36419" s="15" t="s">
        <v>6211</v>
      </c>
      <c r="B36419" s="15" t="s">
        <v>6211</v>
      </c>
      <c r="C36419" s="15" t="s">
        <v>6209</v>
      </c>
      <c r="D36419" s="15" t="s">
        <v>6212</v>
      </c>
      <c r="E36419" s="2">
        <v>2625070</v>
      </c>
      <c r="F36419" s="4" t="str">
        <f>IF(B36419=B36418,"",B36419)</f>
        <v>Aabenraa</v>
      </c>
    </row>
    <row r="36420" spans="1:6" ht="15.75" customHeight="1">
      <c r="A36420" s="15" t="s">
        <v>1920</v>
      </c>
      <c r="B36420" s="15" t="s">
        <v>1921</v>
      </c>
      <c r="C36420" s="15" t="s">
        <v>1905</v>
      </c>
      <c r="D36420" s="15" t="s">
        <v>1922</v>
      </c>
      <c r="E36420" s="2">
        <v>3408337</v>
      </c>
      <c r="F36420" s="4" t="str">
        <f>IF(B36420=B36419,"",B36420)</f>
        <v>AÃ§u</v>
      </c>
    </row>
    <row r="36421" spans="1:6" ht="15.75" customHeight="1">
      <c r="A36421" s="15" t="s">
        <v>13</v>
      </c>
      <c r="B36421" s="15" t="s">
        <v>14</v>
      </c>
      <c r="C36421" s="15" t="s">
        <v>8</v>
      </c>
      <c r="D36421" s="15" t="s">
        <v>15</v>
      </c>
      <c r="E36421" s="2">
        <v>1127768</v>
      </c>
      <c r="F36421" s="4" t="str">
        <f>IF(B36421=B36420,"",B36421)</f>
        <v>AÄ«bak</v>
      </c>
    </row>
    <row r="36422" spans="1:6" ht="15.75" customHeight="1">
      <c r="A36422" s="15" t="s">
        <v>556</v>
      </c>
      <c r="B36422" s="15" t="s">
        <v>557</v>
      </c>
      <c r="C36422" s="15" t="s">
        <v>558</v>
      </c>
      <c r="D36422" s="15" t="s">
        <v>559</v>
      </c>
      <c r="E36422" s="2">
        <v>3865840</v>
      </c>
      <c r="F36422" s="4" t="str">
        <f>IF(B36422=B36421,"",B36422)</f>
        <v>AÃ±atuya</v>
      </c>
    </row>
    <row r="36423" spans="1:6" ht="15.75" customHeight="1">
      <c r="A36423" s="16" t="s">
        <v>23463</v>
      </c>
      <c r="B36423" s="15" t="s">
        <v>23464</v>
      </c>
      <c r="C36423" s="16" t="s">
        <v>23454</v>
      </c>
      <c r="D36423" s="16" t="s">
        <v>6128</v>
      </c>
      <c r="E36423" s="2">
        <v>107959</v>
      </c>
      <c r="F36423" s="4" t="str">
        <f>IF(B36423=B36422,"",B36423)</f>
        <v>AÅ£ Å¢araf</v>
      </c>
    </row>
    <row r="36424" spans="1:6" ht="15.75" customHeight="1">
      <c r="A36424" s="16" t="s">
        <v>16631</v>
      </c>
      <c r="B36424" s="15" t="s">
        <v>16632</v>
      </c>
      <c r="C36424" s="16" t="s">
        <v>16624</v>
      </c>
      <c r="D36424" s="16" t="s">
        <v>16633</v>
      </c>
      <c r="E36424" s="2">
        <v>250198</v>
      </c>
      <c r="F36424" s="4" t="str">
        <f>IF(B36424=B36423,"",B36424)</f>
        <v>AÅ£ Å¢afÄ«lah</v>
      </c>
    </row>
    <row r="36425" spans="1:6" ht="15.75" customHeight="1">
      <c r="A36425" s="15" t="s">
        <v>210</v>
      </c>
      <c r="B36425" s="15" t="s">
        <v>211</v>
      </c>
      <c r="C36425" s="15" t="s">
        <v>153</v>
      </c>
      <c r="D36425" s="15" t="s">
        <v>212</v>
      </c>
      <c r="E36425" s="2">
        <v>2507877</v>
      </c>
      <c r="F36425" s="4" t="str">
        <f>IF(B36425=B36424,"",B36425)</f>
        <v>AÃ¯n Touta</v>
      </c>
    </row>
    <row r="36426" spans="1:6" ht="15.75" customHeight="1">
      <c r="A36426" s="16" t="s">
        <v>208</v>
      </c>
      <c r="B36426" s="15" t="s">
        <v>209</v>
      </c>
      <c r="C36426" s="16" t="s">
        <v>153</v>
      </c>
      <c r="D36426" s="16" t="s">
        <v>209</v>
      </c>
      <c r="E36426" s="2">
        <v>2507901</v>
      </c>
      <c r="F36426" s="4" t="str">
        <f>IF(B36426=B36425,"",B36426)</f>
        <v>AÃ¯n Temouchent</v>
      </c>
    </row>
    <row r="36427" spans="1:6" ht="15.75" customHeight="1">
      <c r="A36427" s="15" t="s">
        <v>205</v>
      </c>
      <c r="B36427" s="15" t="s">
        <v>206</v>
      </c>
      <c r="C36427" s="15" t="s">
        <v>153</v>
      </c>
      <c r="D36427" s="15" t="s">
        <v>207</v>
      </c>
      <c r="E36427" s="2">
        <v>2507912</v>
      </c>
      <c r="F36427" s="4" t="str">
        <f>IF(B36427=B36426,"",B36427)</f>
        <v>AÃ¯n Taya</v>
      </c>
    </row>
    <row r="36428" spans="1:6" ht="15.75" customHeight="1">
      <c r="A36428" s="16" t="s">
        <v>203</v>
      </c>
      <c r="B36428" s="15" t="s">
        <v>204</v>
      </c>
      <c r="C36428" s="16" t="s">
        <v>153</v>
      </c>
      <c r="D36428" s="16" t="s">
        <v>157</v>
      </c>
      <c r="E36428" s="2">
        <v>2507926</v>
      </c>
      <c r="F36428" s="4" t="str">
        <f>IF(B36428=B36427,"",B36428)</f>
        <v>AÃ¯n Smara</v>
      </c>
    </row>
    <row r="36429" spans="1:6" ht="15.75" customHeight="1">
      <c r="A36429" s="15" t="s">
        <v>200</v>
      </c>
      <c r="B36429" s="15" t="s">
        <v>201</v>
      </c>
      <c r="C36429" s="15" t="s">
        <v>153</v>
      </c>
      <c r="D36429" s="15" t="s">
        <v>202</v>
      </c>
      <c r="E36429" s="2">
        <v>2507943</v>
      </c>
      <c r="F36429" s="4" t="str">
        <f>IF(B36429=B36428,"",B36429)</f>
        <v>AÃ¯n Sefra</v>
      </c>
    </row>
    <row r="36430" spans="1:6" ht="15.75" customHeight="1">
      <c r="A36430" s="16" t="s">
        <v>198</v>
      </c>
      <c r="B36430" s="15" t="s">
        <v>199</v>
      </c>
      <c r="C36430" s="16" t="s">
        <v>153</v>
      </c>
      <c r="D36430" s="16" t="s">
        <v>166</v>
      </c>
      <c r="E36430" s="2">
        <v>2507972</v>
      </c>
      <c r="F36430" s="4" t="str">
        <f>IF(B36430=B36429,"",B36430)</f>
        <v>AÃ¯n Oussera</v>
      </c>
    </row>
    <row r="36431" spans="1:6" ht="15.75" customHeight="1">
      <c r="A36431" s="16" t="s">
        <v>196</v>
      </c>
      <c r="B36431" s="15" t="s">
        <v>197</v>
      </c>
      <c r="C36431" s="16" t="s">
        <v>153</v>
      </c>
      <c r="D36431" s="16" t="s">
        <v>186</v>
      </c>
      <c r="E36431" s="2">
        <v>2508059</v>
      </c>
      <c r="F36431" s="4" t="str">
        <f>IF(B36431=B36430,"",B36431)</f>
        <v>AÃ¯n Kercha</v>
      </c>
    </row>
    <row r="36432" spans="1:6" ht="15.75" customHeight="1">
      <c r="A36432" s="16" t="s">
        <v>194</v>
      </c>
      <c r="B36432" s="15" t="s">
        <v>195</v>
      </c>
      <c r="C36432" s="16" t="s">
        <v>153</v>
      </c>
      <c r="D36432" s="16" t="s">
        <v>186</v>
      </c>
      <c r="E36432" s="2">
        <v>2508102</v>
      </c>
      <c r="F36432" s="4" t="str">
        <f>IF(B36432=B36431,"",B36432)</f>
        <v>AÃ¯n Fakroun</v>
      </c>
    </row>
    <row r="36433" spans="1:6" ht="15.75" customHeight="1">
      <c r="A36433" s="16" t="s">
        <v>192</v>
      </c>
      <c r="B36433" s="15" t="s">
        <v>193</v>
      </c>
      <c r="C36433" s="16" t="s">
        <v>153</v>
      </c>
      <c r="D36433" s="16" t="s">
        <v>177</v>
      </c>
      <c r="E36433" s="2">
        <v>2508174</v>
      </c>
      <c r="F36433" s="4" t="str">
        <f>IF(B36433=B36432,"",B36433)</f>
        <v>AÃ¯n el Bya</v>
      </c>
    </row>
    <row r="36434" spans="1:6" ht="15.75" customHeight="1">
      <c r="A36434" s="15" t="s">
        <v>190</v>
      </c>
      <c r="B36434" s="15" t="s">
        <v>191</v>
      </c>
      <c r="C36434" s="15" t="s">
        <v>153</v>
      </c>
      <c r="D36434" s="15" t="s">
        <v>191</v>
      </c>
      <c r="E36434" s="2">
        <v>2508228</v>
      </c>
      <c r="F36434" s="4" t="str">
        <f>IF(B36434=B36433,"",B36434)</f>
        <v>AÃ¯n Defla</v>
      </c>
    </row>
    <row r="36435" spans="1:6" ht="15.75" customHeight="1">
      <c r="A36435" s="16" t="s">
        <v>187</v>
      </c>
      <c r="B36435" s="15" t="s">
        <v>188</v>
      </c>
      <c r="C36435" s="16" t="s">
        <v>153</v>
      </c>
      <c r="D36435" s="16" t="s">
        <v>189</v>
      </c>
      <c r="E36435" s="2">
        <v>2508268</v>
      </c>
      <c r="F36435" s="4" t="str">
        <f>IF(B36435=B36434,"",B36435)</f>
        <v>AÃ¯n Bessem</v>
      </c>
    </row>
    <row r="36436" spans="1:6" ht="15.75" customHeight="1">
      <c r="A36436" s="15" t="s">
        <v>184</v>
      </c>
      <c r="B36436" s="15" t="s">
        <v>185</v>
      </c>
      <c r="C36436" s="15" t="s">
        <v>153</v>
      </c>
      <c r="D36436" s="15" t="s">
        <v>186</v>
      </c>
      <c r="E36436" s="2">
        <v>2508287</v>
      </c>
      <c r="F36436" s="4" t="str">
        <f>IF(B36436=B36435,"",B36436)</f>
        <v>AÃ¯n BeÃ¯da</v>
      </c>
    </row>
    <row r="36437" spans="1:6" ht="15.75" customHeight="1">
      <c r="A36437" s="15" t="s">
        <v>181</v>
      </c>
      <c r="B36437" s="15" t="s">
        <v>182</v>
      </c>
      <c r="C36437" s="15" t="s">
        <v>153</v>
      </c>
      <c r="D36437" s="15" t="s">
        <v>183</v>
      </c>
      <c r="E36437" s="2">
        <v>2508297</v>
      </c>
      <c r="F36437" s="4" t="str">
        <f>IF(B36437=B36436,"",B36437)</f>
        <v>AÃ¯n Arnat</v>
      </c>
    </row>
    <row r="36438" spans="1:6" ht="15.75" customHeight="1">
      <c r="A36438" s="15" t="s">
        <v>23696</v>
      </c>
      <c r="B36438" s="15" t="s">
        <v>23696</v>
      </c>
      <c r="C36438" s="15" t="s">
        <v>23694</v>
      </c>
      <c r="D36438" s="15" t="s">
        <v>23697</v>
      </c>
      <c r="E36438" s="2">
        <v>3056508</v>
      </c>
      <c r="F36438" s="4" t="str">
        <f>IF(B36438=B36437,"",B36438)</f>
        <v>Å½ilina</v>
      </c>
    </row>
    <row r="36439" spans="1:6" ht="15.75" customHeight="1">
      <c r="A36439" s="16" t="s">
        <v>23692</v>
      </c>
      <c r="B36439" s="15" t="s">
        <v>23693</v>
      </c>
      <c r="C36439" s="16" t="s">
        <v>23694</v>
      </c>
      <c r="D36439" s="16" t="s">
        <v>23695</v>
      </c>
      <c r="E36439" s="2">
        <v>3056523</v>
      </c>
      <c r="F36439" s="4" t="str">
        <f>IF(B36439=B36438,"",B36439)</f>
        <v>Å½iar nad Hronom</v>
      </c>
    </row>
    <row r="36440" spans="1:6" ht="15.75" customHeight="1">
      <c r="A36440" s="15" t="s">
        <v>5954</v>
      </c>
      <c r="B36440" s="15" t="s">
        <v>5955</v>
      </c>
      <c r="C36440" s="15" t="s">
        <v>5947</v>
      </c>
      <c r="D36440" s="15" t="s">
        <v>5956</v>
      </c>
      <c r="E36440" s="2">
        <v>3061822</v>
      </c>
      <c r="F36440" s="4" t="str">
        <f>IF(B36440=B36439,"",B36440)</f>
        <v>Å½atec</v>
      </c>
    </row>
    <row r="36441" spans="1:6" ht="15.75" customHeight="1">
      <c r="A36441" s="16" t="s">
        <v>5952</v>
      </c>
      <c r="B36441" s="15" t="s">
        <v>5953</v>
      </c>
      <c r="C36441" s="16" t="s">
        <v>5947</v>
      </c>
      <c r="D36441" s="16" t="s">
        <v>5951</v>
      </c>
      <c r="E36441" s="2">
        <v>3061692</v>
      </c>
      <c r="F36441" s="4" t="str">
        <f>IF(B36441=B36440,"",B36441)</f>
        <v>Å½ÄÃ¡r nad SÃ¡zavou Druhy</v>
      </c>
    </row>
    <row r="36442" spans="1:6" ht="15.75" customHeight="1">
      <c r="A36442" s="16" t="s">
        <v>5949</v>
      </c>
      <c r="B36442" s="15" t="s">
        <v>5950</v>
      </c>
      <c r="C36442" s="16" t="s">
        <v>5947</v>
      </c>
      <c r="D36442" s="16" t="s">
        <v>5951</v>
      </c>
      <c r="E36442" s="2">
        <v>3061695</v>
      </c>
      <c r="F36442" s="4" t="str">
        <f>IF(B36442=B36441,"",B36442)</f>
        <v>Å½ÄÃ¡r nad SÃ¡zavou</v>
      </c>
    </row>
    <row r="36443" spans="1:6" ht="15.75" customHeight="1">
      <c r="A36443" s="15" t="s">
        <v>24208</v>
      </c>
      <c r="B36443" s="15" t="s">
        <v>24209</v>
      </c>
      <c r="C36443" s="15" t="s">
        <v>24200</v>
      </c>
      <c r="D36443" s="15" t="s">
        <v>24210</v>
      </c>
      <c r="E36443" s="2">
        <v>3129136</v>
      </c>
      <c r="F36443" s="4" t="str">
        <f>IF(B36443=B36442,"",B36443)</f>
        <v>Ãvila</v>
      </c>
    </row>
    <row r="36444" spans="1:6" ht="15.75" customHeight="1">
      <c r="A36444" s="15" t="s">
        <v>21102</v>
      </c>
      <c r="B36444" s="15" t="s">
        <v>21103</v>
      </c>
      <c r="C36444" s="15" t="s">
        <v>21064</v>
      </c>
      <c r="D36444" s="15" t="s">
        <v>21091</v>
      </c>
      <c r="E36444" s="2">
        <v>765749</v>
      </c>
      <c r="F36444" s="4" t="str">
        <f>IF(B36444=B36443,"",B36444)</f>
        <v>ÅukÃ³w</v>
      </c>
    </row>
    <row r="36445" spans="1:6" ht="15.75" customHeight="1">
      <c r="A36445" s="15" t="s">
        <v>9454</v>
      </c>
      <c r="B36445" s="15" t="s">
        <v>9455</v>
      </c>
      <c r="C36445" s="15" t="s">
        <v>9441</v>
      </c>
      <c r="D36445" s="15" t="s">
        <v>9456</v>
      </c>
      <c r="E36445" s="2">
        <v>264559</v>
      </c>
      <c r="F36445" s="4" t="str">
        <f>IF(B36445=B36444,"",B36445)</f>
        <v>Ãrta</v>
      </c>
    </row>
    <row r="36446" spans="1:6" ht="15.75" customHeight="1">
      <c r="A36446" s="15" t="s">
        <v>9451</v>
      </c>
      <c r="B36446" s="15" t="s">
        <v>9452</v>
      </c>
      <c r="C36446" s="15" t="s">
        <v>9441</v>
      </c>
      <c r="D36446" s="15" t="s">
        <v>9453</v>
      </c>
      <c r="E36446" s="2">
        <v>264670</v>
      </c>
      <c r="F36446" s="4" t="str">
        <f>IF(B36446=B36445,"",B36446)</f>
        <v>Ãrgos</v>
      </c>
    </row>
    <row r="36447" spans="1:6" ht="15.75" customHeight="1">
      <c r="A36447" s="15" t="s">
        <v>21100</v>
      </c>
      <c r="B36447" s="15" t="s">
        <v>21101</v>
      </c>
      <c r="C36447" s="15" t="s">
        <v>21064</v>
      </c>
      <c r="D36447" s="15" t="s">
        <v>21080</v>
      </c>
      <c r="E36447" s="2">
        <v>3093066</v>
      </c>
      <c r="F36447" s="4" t="str">
        <f>IF(B36447=B36446,"",B36447)</f>
        <v>Åowicz</v>
      </c>
    </row>
    <row r="36448" spans="1:6" ht="15.75" customHeight="1">
      <c r="A36448" s="16" t="s">
        <v>21098</v>
      </c>
      <c r="B36448" s="15" t="s">
        <v>21099</v>
      </c>
      <c r="C36448" s="16" t="s">
        <v>21064</v>
      </c>
      <c r="D36448" s="16" t="s">
        <v>21070</v>
      </c>
      <c r="E36448" s="2">
        <v>766042</v>
      </c>
      <c r="F36448" s="4" t="str">
        <f>IF(B36448=B36447,"",B36448)</f>
        <v>Åomianki</v>
      </c>
    </row>
    <row r="36449" spans="1:6" ht="15.75" customHeight="1">
      <c r="A36449" s="15" t="s">
        <v>21096</v>
      </c>
      <c r="B36449" s="15" t="s">
        <v>21097</v>
      </c>
      <c r="C36449" s="15" t="s">
        <v>21064</v>
      </c>
      <c r="D36449" s="15" t="s">
        <v>21086</v>
      </c>
      <c r="E36449" s="2">
        <v>766027</v>
      </c>
      <c r="F36449" s="4" t="str">
        <f>IF(B36449=B36448,"",B36449)</f>
        <v>ÅomÅ¼a</v>
      </c>
    </row>
    <row r="36450" spans="1:6" ht="15.75" customHeight="1">
      <c r="A36450" s="16" t="s">
        <v>9449</v>
      </c>
      <c r="B36450" s="15" t="s">
        <v>9450</v>
      </c>
      <c r="C36450" s="16" t="s">
        <v>9441</v>
      </c>
      <c r="D36450" s="16" t="s">
        <v>9445</v>
      </c>
      <c r="E36450" s="2">
        <v>264888</v>
      </c>
      <c r="F36450" s="4" t="str">
        <f>IF(B36450=B36449,"",B36450)</f>
        <v>Ãno LiÃ³sia</v>
      </c>
    </row>
    <row r="36451" spans="1:6" ht="15.75" customHeight="1">
      <c r="A36451" s="16" t="s">
        <v>17709</v>
      </c>
      <c r="B36451" s="15" t="s">
        <v>17710</v>
      </c>
      <c r="C36451" s="16" t="s">
        <v>17707</v>
      </c>
      <c r="D36451" s="16" t="s">
        <v>17711</v>
      </c>
      <c r="E36451" s="2">
        <v>3514663</v>
      </c>
      <c r="F36451" s="4" t="str">
        <f>IF(B36451=B36450,"",B36451)</f>
        <v>Ãlvaro ObregÃ³n</v>
      </c>
    </row>
    <row r="36452" spans="1:6" ht="15.75" customHeight="1">
      <c r="A36452" s="16" t="s">
        <v>1918</v>
      </c>
      <c r="B36452" s="15" t="s">
        <v>1919</v>
      </c>
      <c r="C36452" s="16" t="s">
        <v>1905</v>
      </c>
      <c r="D36452" s="16" t="s">
        <v>1914</v>
      </c>
      <c r="E36452" s="2">
        <v>3472417</v>
      </c>
      <c r="F36452" s="4" t="str">
        <f>IF(B36452=B36451,"",B36452)</f>
        <v>Ãlvares Machado</v>
      </c>
    </row>
    <row r="36453" spans="1:6" ht="15.75" customHeight="1">
      <c r="A36453" s="15" t="s">
        <v>7075</v>
      </c>
      <c r="B36453" s="15" t="s">
        <v>9448</v>
      </c>
      <c r="C36453" s="15" t="s">
        <v>9441</v>
      </c>
      <c r="D36453" s="15" t="s">
        <v>9445</v>
      </c>
      <c r="E36453" s="2">
        <v>256601</v>
      </c>
      <c r="F36453" s="4" t="str">
        <f>IF(B36453=B36452,"",B36453)</f>
        <v>Ãlion</v>
      </c>
    </row>
    <row r="36454" spans="1:6" ht="15.75" customHeight="1">
      <c r="A36454" s="15" t="s">
        <v>9446</v>
      </c>
      <c r="B36454" s="15" t="s">
        <v>9447</v>
      </c>
      <c r="C36454" s="15" t="s">
        <v>9441</v>
      </c>
      <c r="D36454" s="15" t="s">
        <v>9445</v>
      </c>
      <c r="E36454" s="2">
        <v>261614</v>
      </c>
      <c r="F36454" s="4" t="str">
        <f>IF(B36454=B36453,"",B36454)</f>
        <v>Ãlimos</v>
      </c>
    </row>
    <row r="36455" spans="1:6" ht="15.75" customHeight="1">
      <c r="A36455" s="15" t="s">
        <v>21610</v>
      </c>
      <c r="B36455" s="15" t="s">
        <v>21611</v>
      </c>
      <c r="C36455" s="15" t="s">
        <v>21606</v>
      </c>
      <c r="D36455" s="15" t="s">
        <v>21612</v>
      </c>
      <c r="E36455" s="2">
        <v>2738707</v>
      </c>
      <c r="F36455" s="4" t="str">
        <f>IF(B36455=B36454,"",B36455)</f>
        <v>Ãlhavo</v>
      </c>
    </row>
    <row r="36456" spans="1:6" ht="15.75" customHeight="1">
      <c r="A36456" s="15" t="s">
        <v>17705</v>
      </c>
      <c r="B36456" s="15" t="s">
        <v>17706</v>
      </c>
      <c r="C36456" s="15" t="s">
        <v>17707</v>
      </c>
      <c r="D36456" s="15" t="s">
        <v>17708</v>
      </c>
      <c r="E36456" s="2">
        <v>3533107</v>
      </c>
      <c r="F36456" s="4" t="str">
        <f>IF(B36456=B36455,"",B36456)</f>
        <v>Ãlamo</v>
      </c>
    </row>
    <row r="36457" spans="1:6" ht="15.75" customHeight="1">
      <c r="A36457" s="15" t="s">
        <v>30789</v>
      </c>
      <c r="B36457" s="15" t="s">
        <v>30790</v>
      </c>
      <c r="C36457" s="15" t="s">
        <v>30784</v>
      </c>
      <c r="D36457" s="15" t="s">
        <v>30785</v>
      </c>
      <c r="E36457" s="2">
        <v>8991407</v>
      </c>
      <c r="F36457" s="4" t="str">
        <f>IF(B36457=B36456,"",B36457)</f>
        <v>Äinh VÄƒn</v>
      </c>
    </row>
    <row r="36458" spans="1:6" ht="15.75" customHeight="1">
      <c r="A36458" s="15" t="s">
        <v>24206</v>
      </c>
      <c r="B36458" s="15" t="s">
        <v>24207</v>
      </c>
      <c r="C36458" s="15" t="s">
        <v>24200</v>
      </c>
      <c r="D36458" s="15" t="s">
        <v>20912</v>
      </c>
      <c r="E36458" s="2">
        <v>2522333</v>
      </c>
      <c r="F36458" s="4" t="str">
        <f>IF(B36458=B36457,"",B36458)</f>
        <v>Ãguilas</v>
      </c>
    </row>
    <row r="36459" spans="1:6" ht="15.75" customHeight="1">
      <c r="A36459" s="16" t="s">
        <v>1915</v>
      </c>
      <c r="B36459" s="15" t="s">
        <v>1916</v>
      </c>
      <c r="C36459" s="16" t="s">
        <v>1905</v>
      </c>
      <c r="D36459" s="16" t="s">
        <v>1917</v>
      </c>
      <c r="E36459" s="2">
        <v>3472848</v>
      </c>
      <c r="F36459" s="4" t="str">
        <f>IF(B36459=B36458,"",B36459)</f>
        <v>Ãguas Vermelhas</v>
      </c>
    </row>
    <row r="36460" spans="1:6" ht="15.75" customHeight="1">
      <c r="A36460" s="16" t="s">
        <v>21607</v>
      </c>
      <c r="B36460" s="15" t="s">
        <v>21608</v>
      </c>
      <c r="C36460" s="16" t="s">
        <v>21606</v>
      </c>
      <c r="D36460" s="16" t="s">
        <v>21609</v>
      </c>
      <c r="E36460" s="2">
        <v>2743304</v>
      </c>
      <c r="F36460" s="4" t="str">
        <f>IF(B36460=B36459,"",B36460)</f>
        <v>Ãguas Santas</v>
      </c>
    </row>
    <row r="36461" spans="1:6" ht="15.75" customHeight="1">
      <c r="A36461" s="16" t="s">
        <v>1912</v>
      </c>
      <c r="B36461" s="15" t="s">
        <v>1913</v>
      </c>
      <c r="C36461" s="16" t="s">
        <v>1905</v>
      </c>
      <c r="D36461" s="16" t="s">
        <v>1914</v>
      </c>
      <c r="E36461" s="2">
        <v>3472869</v>
      </c>
      <c r="F36461" s="4" t="str">
        <f>IF(B36461=B36460,"",B36461)</f>
        <v>Ãguas de LindÃ³ia</v>
      </c>
    </row>
    <row r="36462" spans="1:6" ht="15.75" customHeight="1">
      <c r="A36462" s="16" t="s">
        <v>1910</v>
      </c>
      <c r="B36462" s="15" t="s">
        <v>1911</v>
      </c>
      <c r="C36462" s="16" t="s">
        <v>1905</v>
      </c>
      <c r="D36462" s="16" t="s">
        <v>1909</v>
      </c>
      <c r="E36462" s="2">
        <v>3408166</v>
      </c>
      <c r="F36462" s="4" t="str">
        <f>IF(B36462=B36461,"",B36462)</f>
        <v>Ãguas Belas</v>
      </c>
    </row>
    <row r="36463" spans="1:6" ht="15.75" customHeight="1">
      <c r="A36463" s="16" t="s">
        <v>1907</v>
      </c>
      <c r="B36463" s="15" t="s">
        <v>1908</v>
      </c>
      <c r="C36463" s="16" t="s">
        <v>1905</v>
      </c>
      <c r="D36463" s="16" t="s">
        <v>1909</v>
      </c>
      <c r="E36463" s="2">
        <v>3408175</v>
      </c>
      <c r="F36463" s="4" t="str">
        <f>IF(B36463=B36462,"",B36463)</f>
        <v>Ãgua Preta</v>
      </c>
    </row>
    <row r="36464" spans="1:6" ht="15.75" customHeight="1">
      <c r="A36464" s="16" t="s">
        <v>9443</v>
      </c>
      <c r="B36464" s="15" t="s">
        <v>9444</v>
      </c>
      <c r="C36464" s="16" t="s">
        <v>9441</v>
      </c>
      <c r="D36464" s="16" t="s">
        <v>9445</v>
      </c>
      <c r="E36464" s="2">
        <v>8358563</v>
      </c>
      <c r="F36464" s="4" t="str">
        <f>IF(B36464=B36463,"",B36464)</f>
        <v>Ãgioi AnÃ¡rgyroi</v>
      </c>
    </row>
    <row r="36465" spans="1:6" ht="15.75" customHeight="1">
      <c r="A36465" s="15" t="s">
        <v>1903</v>
      </c>
      <c r="B36465" s="15" t="s">
        <v>1904</v>
      </c>
      <c r="C36465" s="15" t="s">
        <v>1905</v>
      </c>
      <c r="D36465" s="15" t="s">
        <v>1906</v>
      </c>
      <c r="E36465" s="2">
        <v>3393768</v>
      </c>
      <c r="F36465" s="4" t="str">
        <f>IF(B36465=B36464,"",B36465)</f>
        <v>Ãbidos</v>
      </c>
    </row>
    <row r="36466" spans="1:6" ht="15.75" customHeight="1">
      <c r="A36466" s="16" t="s">
        <v>21094</v>
      </c>
      <c r="B36466" s="15" t="s">
        <v>21095</v>
      </c>
      <c r="C36466" s="16" t="s">
        <v>21064</v>
      </c>
      <c r="D36466" s="16" t="s">
        <v>21073</v>
      </c>
      <c r="E36466" s="2">
        <v>3093785</v>
      </c>
      <c r="F36466" s="4" t="str">
        <f>IF(B36466=B36465,"",B36466)</f>
        <v>Åaziska GÃ³rne</v>
      </c>
    </row>
    <row r="36467" spans="1:6" ht="15.75" customHeight="1">
      <c r="A36467" s="16" t="s">
        <v>21092</v>
      </c>
      <c r="B36467" s="15" t="s">
        <v>21093</v>
      </c>
      <c r="C36467" s="16" t="s">
        <v>21064</v>
      </c>
      <c r="D36467" s="16" t="s">
        <v>21080</v>
      </c>
      <c r="E36467" s="2">
        <v>3093726</v>
      </c>
      <c r="F36467" s="4" t="str">
        <f>IF(B36467=B36466,"",B36467)</f>
        <v>ÅÄ™czyca</v>
      </c>
    </row>
    <row r="36468" spans="1:6" ht="15.75" customHeight="1">
      <c r="A36468" s="16" t="s">
        <v>21089</v>
      </c>
      <c r="B36468" s="15" t="s">
        <v>21090</v>
      </c>
      <c r="C36468" s="16" t="s">
        <v>21064</v>
      </c>
      <c r="D36468" s="16" t="s">
        <v>21091</v>
      </c>
      <c r="E36468" s="2">
        <v>766583</v>
      </c>
      <c r="F36468" s="4" t="str">
        <f>IF(B36468=B36467,"",B36468)</f>
        <v>ÅÄ™czna</v>
      </c>
    </row>
    <row r="36469" spans="1:6" ht="15.75" customHeight="1">
      <c r="A36469" s="16" t="s">
        <v>21087</v>
      </c>
      <c r="B36469" s="15" t="s">
        <v>21088</v>
      </c>
      <c r="C36469" s="16" t="s">
        <v>21064</v>
      </c>
      <c r="D36469" s="16" t="s">
        <v>21080</v>
      </c>
      <c r="E36469" s="2">
        <v>3093902</v>
      </c>
      <c r="F36469" s="4" t="str">
        <f>IF(B36469=B36468,"",B36469)</f>
        <v>Åask</v>
      </c>
    </row>
    <row r="36470" spans="1:6" ht="15.75" customHeight="1">
      <c r="A36470" s="15" t="s">
        <v>21084</v>
      </c>
      <c r="B36470" s="15" t="s">
        <v>21085</v>
      </c>
      <c r="C36470" s="15" t="s">
        <v>21064</v>
      </c>
      <c r="D36470" s="15" t="s">
        <v>21086</v>
      </c>
      <c r="E36470" s="2">
        <v>766783</v>
      </c>
      <c r="F36470" s="4" t="str">
        <f>IF(B36470=B36469,"",B36470)</f>
        <v>Åapy</v>
      </c>
    </row>
    <row r="36471" spans="1:6" ht="15.75" customHeight="1">
      <c r="A36471" s="16" t="s">
        <v>21081</v>
      </c>
      <c r="B36471" s="15" t="s">
        <v>21082</v>
      </c>
      <c r="C36471" s="16" t="s">
        <v>21064</v>
      </c>
      <c r="D36471" s="16" t="s">
        <v>21083</v>
      </c>
      <c r="E36471" s="2">
        <v>766810</v>
      </c>
      <c r="F36471" s="4" t="str">
        <f>IF(B36471=B36470,"",B36471)</f>
        <v>ÅaÅ„cut</v>
      </c>
    </row>
    <row r="36472" spans="1:6" ht="15.75" customHeight="1">
      <c r="A36472" s="15" t="s">
        <v>21078</v>
      </c>
      <c r="B36472" s="15" t="s">
        <v>21079</v>
      </c>
      <c r="C36472" s="15" t="s">
        <v>21064</v>
      </c>
      <c r="D36472" s="15" t="s">
        <v>21080</v>
      </c>
      <c r="E36472" s="2">
        <v>3093133</v>
      </c>
      <c r="F36472" s="4" t="str">
        <f>IF(B36472=B36471,"",B36472)</f>
        <v>ÅÃ³dÅº</v>
      </c>
    </row>
    <row r="36473" spans="1:6" ht="15.75" customHeight="1">
      <c r="A36473" s="15" t="s">
        <v>30786</v>
      </c>
      <c r="B36473" s="15" t="s">
        <v>30787</v>
      </c>
      <c r="C36473" s="15" t="s">
        <v>30784</v>
      </c>
      <c r="D36473" s="15" t="s">
        <v>30788</v>
      </c>
      <c r="E36473" s="2">
        <v>1582926</v>
      </c>
      <c r="F36473" s="4" t="str">
        <f>IF(B36473=B36472,"",B36473)</f>
        <v>ÃÃ´ng HÃ </v>
      </c>
    </row>
    <row r="36474" spans="1:6" ht="15.75" customHeight="1">
      <c r="A36474" s="15" t="s">
        <v>30782</v>
      </c>
      <c r="B36474" s="15" t="s">
        <v>30783</v>
      </c>
      <c r="C36474" s="15" t="s">
        <v>30784</v>
      </c>
      <c r="D36474" s="15" t="s">
        <v>30785</v>
      </c>
      <c r="E36474" s="2">
        <v>1584071</v>
      </c>
      <c r="F36474" s="4" t="str">
        <f>IF(B36474=B36473,"",B36474)</f>
        <v>ÃÃ  Láº¡t</v>
      </c>
    </row>
    <row r="36475" spans="1:6" ht="15.75" customHeight="1">
      <c r="A36475" s="15" t="s">
        <v>7075</v>
      </c>
      <c r="B36475" s="15" t="s">
        <v>7076</v>
      </c>
      <c r="C36475" s="15" t="s">
        <v>7052</v>
      </c>
      <c r="D36475" s="15" t="s">
        <v>7058</v>
      </c>
      <c r="E36475" s="2">
        <v>3019256</v>
      </c>
      <c r="F36475" s="4" t="str">
        <f>IF(B36475=B36474,"",B36475)</f>
        <v>Ã‰vry</v>
      </c>
    </row>
    <row r="36476" spans="1:6" ht="15.75" customHeight="1">
      <c r="A36476" s="15" t="s">
        <v>7073</v>
      </c>
      <c r="B36476" s="15" t="s">
        <v>7074</v>
      </c>
      <c r="C36476" s="15" t="s">
        <v>7052</v>
      </c>
      <c r="D36476" s="15" t="s">
        <v>7068</v>
      </c>
      <c r="E36476" s="2">
        <v>3019265</v>
      </c>
      <c r="F36476" s="4" t="str">
        <f>IF(B36476=B36475,"",B36476)</f>
        <v>Ã‰vreux</v>
      </c>
    </row>
    <row r="36477" spans="1:6" ht="15.75" customHeight="1">
      <c r="A36477" s="15" t="s">
        <v>21604</v>
      </c>
      <c r="B36477" s="15" t="s">
        <v>21605</v>
      </c>
      <c r="C36477" s="15" t="s">
        <v>21606</v>
      </c>
      <c r="D36477" s="15" t="s">
        <v>21605</v>
      </c>
      <c r="E36477" s="2">
        <v>2268406</v>
      </c>
      <c r="F36477" s="4" t="str">
        <f>IF(B36477=B36476,"",B36477)</f>
        <v>Ã‰vora</v>
      </c>
    </row>
    <row r="36478" spans="1:6" ht="15.75" customHeight="1">
      <c r="A36478" s="15" t="s">
        <v>7071</v>
      </c>
      <c r="B36478" s="15" t="s">
        <v>7072</v>
      </c>
      <c r="C36478" s="15" t="s">
        <v>7052</v>
      </c>
      <c r="D36478" s="15" t="s">
        <v>7058</v>
      </c>
      <c r="E36478" s="2">
        <v>3019459</v>
      </c>
      <c r="F36478" s="4" t="str">
        <f>IF(B36478=B36477,"",B36478)</f>
        <v>Ã‰tampes</v>
      </c>
    </row>
    <row r="36479" spans="1:6" ht="15.75" customHeight="1">
      <c r="A36479" s="15" t="s">
        <v>9957</v>
      </c>
      <c r="B36479" s="15" t="s">
        <v>9958</v>
      </c>
      <c r="C36479" s="15" t="s">
        <v>9955</v>
      </c>
      <c r="D36479" s="15" t="s">
        <v>9959</v>
      </c>
      <c r="E36479" s="2">
        <v>3053281</v>
      </c>
      <c r="F36479" s="4" t="str">
        <f>IF(B36479=B36478,"",B36479)</f>
        <v>Ã‰rd</v>
      </c>
    </row>
    <row r="36480" spans="1:6" ht="15.75" customHeight="1">
      <c r="A36480" s="15" t="s">
        <v>7069</v>
      </c>
      <c r="B36480" s="15" t="s">
        <v>7070</v>
      </c>
      <c r="C36480" s="15" t="s">
        <v>7052</v>
      </c>
      <c r="D36480" s="15" t="s">
        <v>7058</v>
      </c>
      <c r="E36480" s="2">
        <v>3019952</v>
      </c>
      <c r="F36480" s="4" t="str">
        <f>IF(B36480=B36479,"",B36480)</f>
        <v>Ã‰ragny</v>
      </c>
    </row>
    <row r="36481" spans="1:6" ht="15.75" customHeight="1">
      <c r="A36481" s="16" t="s">
        <v>7066</v>
      </c>
      <c r="B36481" s="15" t="s">
        <v>7067</v>
      </c>
      <c r="C36481" s="16" t="s">
        <v>7052</v>
      </c>
      <c r="D36481" s="16" t="s">
        <v>7068</v>
      </c>
      <c r="E36481" s="2">
        <v>3019960</v>
      </c>
      <c r="F36481" s="4" t="str">
        <f>IF(B36481=B36480,"",B36481)</f>
        <v>Ã‰queurdreville-Hainneville</v>
      </c>
    </row>
    <row r="36482" spans="1:6" ht="15.75" customHeight="1">
      <c r="A36482" s="16" t="s">
        <v>7064</v>
      </c>
      <c r="B36482" s="15" t="s">
        <v>7065</v>
      </c>
      <c r="C36482" s="16" t="s">
        <v>7052</v>
      </c>
      <c r="D36482" s="16" t="s">
        <v>7058</v>
      </c>
      <c r="E36482" s="2">
        <v>3020020</v>
      </c>
      <c r="F36482" s="4" t="str">
        <f>IF(B36482=B36481,"",B36482)</f>
        <v>Ã‰pinay-sur-Seine</v>
      </c>
    </row>
    <row r="36483" spans="1:6" ht="15.75" customHeight="1">
      <c r="A36483" s="15" t="s">
        <v>7062</v>
      </c>
      <c r="B36483" s="15" t="s">
        <v>7063</v>
      </c>
      <c r="C36483" s="15" t="s">
        <v>7052</v>
      </c>
      <c r="D36483" s="15" t="s">
        <v>7061</v>
      </c>
      <c r="E36483" s="2">
        <v>3020035</v>
      </c>
      <c r="F36483" s="4" t="str">
        <f>IF(B36483=B36482,"",B36483)</f>
        <v>Ã‰pinal</v>
      </c>
    </row>
    <row r="36484" spans="1:6" ht="15.75" customHeight="1">
      <c r="A36484" s="15" t="s">
        <v>7059</v>
      </c>
      <c r="B36484" s="15" t="s">
        <v>7060</v>
      </c>
      <c r="C36484" s="15" t="s">
        <v>7052</v>
      </c>
      <c r="D36484" s="15" t="s">
        <v>7061</v>
      </c>
      <c r="E36484" s="2">
        <v>3020062</v>
      </c>
      <c r="F36484" s="4" t="str">
        <f>IF(B36484=B36483,"",B36484)</f>
        <v>Ã‰pernay</v>
      </c>
    </row>
    <row r="36485" spans="1:6" ht="15.75" customHeight="1">
      <c r="A36485" s="15" t="s">
        <v>7056</v>
      </c>
      <c r="B36485" s="15" t="s">
        <v>7057</v>
      </c>
      <c r="C36485" s="15" t="s">
        <v>7052</v>
      </c>
      <c r="D36485" s="15" t="s">
        <v>7058</v>
      </c>
      <c r="E36485" s="2">
        <v>3020310</v>
      </c>
      <c r="F36485" s="4" t="str">
        <f>IF(B36485=B36484,"",B36485)</f>
        <v>Ã‰lancourt</v>
      </c>
    </row>
    <row r="36486" spans="1:6" ht="15.75" customHeight="1">
      <c r="A36486" s="15" t="s">
        <v>9439</v>
      </c>
      <c r="B36486" s="15" t="s">
        <v>9440</v>
      </c>
      <c r="C36486" s="15" t="s">
        <v>9441</v>
      </c>
      <c r="D36486" s="15" t="s">
        <v>9442</v>
      </c>
      <c r="E36486" s="2">
        <v>736357</v>
      </c>
      <c r="F36486" s="4" t="str">
        <f>IF(B36486=B36485,"",B36486)</f>
        <v>Ã‰dessa</v>
      </c>
    </row>
    <row r="36487" spans="1:6" ht="15.75" customHeight="1">
      <c r="A36487" s="15" t="s">
        <v>7054</v>
      </c>
      <c r="B36487" s="15" t="s">
        <v>7055</v>
      </c>
      <c r="C36487" s="15" t="s">
        <v>7052</v>
      </c>
      <c r="D36487" s="15" t="s">
        <v>7053</v>
      </c>
      <c r="E36487" s="2">
        <v>3020392</v>
      </c>
      <c r="F36487" s="4" t="str">
        <f>IF(B36487=B36486,"",B36487)</f>
        <v>Ã‰cully</v>
      </c>
    </row>
    <row r="36488" spans="1:6" ht="15.75" customHeight="1">
      <c r="A36488" s="15" t="s">
        <v>24203</v>
      </c>
      <c r="B36488" s="15" t="s">
        <v>24204</v>
      </c>
      <c r="C36488" s="15" t="s">
        <v>24200</v>
      </c>
      <c r="D36488" s="15" t="s">
        <v>24205</v>
      </c>
      <c r="E36488" s="2">
        <v>2518770</v>
      </c>
      <c r="F36488" s="4" t="str">
        <f>IF(B36488=B36487,"",B36488)</f>
        <v>Ã‰cija</v>
      </c>
    </row>
    <row r="36489" spans="1:6" ht="15.75" customHeight="1">
      <c r="A36489" s="15" t="s">
        <v>7050</v>
      </c>
      <c r="B36489" s="15" t="s">
        <v>7051</v>
      </c>
      <c r="C36489" s="15" t="s">
        <v>7052</v>
      </c>
      <c r="D36489" s="15" t="s">
        <v>7053</v>
      </c>
      <c r="E36489" s="2">
        <v>3020495</v>
      </c>
      <c r="F36489" s="4" t="str">
        <f>IF(B36489=B36488,"",B36489)</f>
        <v>Ã‰chirolles</v>
      </c>
    </row>
    <row r="36490" spans="1:6" ht="15.75" customHeight="1">
      <c r="A36490" s="15" t="s">
        <v>3882</v>
      </c>
      <c r="B36490" s="15" t="s">
        <v>3883</v>
      </c>
      <c r="C36490" s="15" t="s">
        <v>3884</v>
      </c>
      <c r="D36490" s="15" t="s">
        <v>3885</v>
      </c>
      <c r="E36490" s="2">
        <v>2232283</v>
      </c>
      <c r="F36490" s="4" t="str">
        <f>IF(B36490=B36489,"",B36490)</f>
        <v>Ã‰bolowa</v>
      </c>
    </row>
    <row r="36491" spans="1:6" ht="15.75" customHeight="1">
      <c r="A36491" s="15" t="s">
        <v>26263</v>
      </c>
      <c r="B36491" s="15" t="s">
        <v>26264</v>
      </c>
      <c r="C36491" s="15" t="s">
        <v>26201</v>
      </c>
      <c r="D36491" s="15" t="s">
        <v>26265</v>
      </c>
      <c r="E36491" s="2">
        <v>317844</v>
      </c>
      <c r="F36491" s="4" t="str">
        <f>IF(B36491=B36490,"",B36491)</f>
        <v>Ã‡umra</v>
      </c>
    </row>
    <row r="36492" spans="1:6" ht="15.75" customHeight="1">
      <c r="A36492" s="15" t="s">
        <v>26261</v>
      </c>
      <c r="B36492" s="15" t="s">
        <v>26262</v>
      </c>
      <c r="C36492" s="15" t="s">
        <v>26201</v>
      </c>
      <c r="D36492" s="15" t="s">
        <v>26229</v>
      </c>
      <c r="E36492" s="2">
        <v>748870</v>
      </c>
      <c r="F36492" s="4" t="str">
        <f>IF(B36492=B36491,"",B36492)</f>
        <v>Ã‡ubuk</v>
      </c>
    </row>
    <row r="36493" spans="1:6" ht="15.75" customHeight="1">
      <c r="A36493" s="15" t="s">
        <v>26260</v>
      </c>
      <c r="B36493" s="15" t="s">
        <v>26208</v>
      </c>
      <c r="C36493" s="15" t="s">
        <v>26201</v>
      </c>
      <c r="D36493" s="15" t="s">
        <v>26208</v>
      </c>
      <c r="E36493" s="2">
        <v>748879</v>
      </c>
      <c r="F36493" s="4" t="str">
        <f>IF(B36493=B36492,"",B36493)</f>
        <v>Ã‡orum</v>
      </c>
    </row>
    <row r="36494" spans="1:6" ht="15.75" customHeight="1">
      <c r="A36494" s="15" t="s">
        <v>26258</v>
      </c>
      <c r="B36494" s="15" t="s">
        <v>26259</v>
      </c>
      <c r="C36494" s="15" t="s">
        <v>26201</v>
      </c>
      <c r="D36494" s="15" t="s">
        <v>26251</v>
      </c>
      <c r="E36494" s="2">
        <v>748893</v>
      </c>
      <c r="F36494" s="4" t="str">
        <f>IF(B36494=B36493,"",B36494)</f>
        <v>Ã‡orlu</v>
      </c>
    </row>
    <row r="36495" spans="1:6" ht="15.75" customHeight="1">
      <c r="A36495" s="15" t="s">
        <v>26255</v>
      </c>
      <c r="B36495" s="15" t="s">
        <v>26256</v>
      </c>
      <c r="C36495" s="15" t="s">
        <v>26201</v>
      </c>
      <c r="D36495" s="15" t="s">
        <v>26257</v>
      </c>
      <c r="E36495" s="2">
        <v>318372</v>
      </c>
      <c r="F36495" s="4" t="str">
        <f>IF(B36495=B36494,"",B36495)</f>
        <v>Ã‡ine</v>
      </c>
    </row>
    <row r="36496" spans="1:6" ht="15.75" customHeight="1">
      <c r="A36496" s="15" t="s">
        <v>26252</v>
      </c>
      <c r="B36496" s="15" t="s">
        <v>26253</v>
      </c>
      <c r="C36496" s="15" t="s">
        <v>26201</v>
      </c>
      <c r="D36496" s="15" t="s">
        <v>26254</v>
      </c>
      <c r="E36496" s="2">
        <v>318766</v>
      </c>
      <c r="F36496" s="4" t="str">
        <f>IF(B36496=B36495,"",B36496)</f>
        <v>Ã‡ermik</v>
      </c>
    </row>
    <row r="36497" spans="1:6" ht="15.75" customHeight="1">
      <c r="A36497" s="15" t="s">
        <v>26249</v>
      </c>
      <c r="B36497" s="15" t="s">
        <v>26250</v>
      </c>
      <c r="C36497" s="15" t="s">
        <v>26201</v>
      </c>
      <c r="D36497" s="15" t="s">
        <v>26251</v>
      </c>
      <c r="E36497" s="2">
        <v>749274</v>
      </c>
      <c r="F36497" s="4" t="str">
        <f>IF(B36497=B36496,"",B36497)</f>
        <v>Ã‡erkezkÃ¶y</v>
      </c>
    </row>
    <row r="36498" spans="1:6" ht="15.75" customHeight="1">
      <c r="A36498" s="16" t="s">
        <v>26246</v>
      </c>
      <c r="B36498" s="15" t="s">
        <v>26247</v>
      </c>
      <c r="C36498" s="16" t="s">
        <v>26201</v>
      </c>
      <c r="D36498" s="16" t="s">
        <v>26248</v>
      </c>
      <c r="E36498" s="2">
        <v>749279</v>
      </c>
      <c r="F36498" s="4" t="str">
        <f>IF(B36498=B36497,"",B36498)</f>
        <v>Ã‡erkeÅŸ</v>
      </c>
    </row>
    <row r="36499" spans="1:6" ht="15.75" customHeight="1">
      <c r="A36499" s="16" t="s">
        <v>26244</v>
      </c>
      <c r="B36499" s="15" t="s">
        <v>26245</v>
      </c>
      <c r="C36499" s="16" t="s">
        <v>26201</v>
      </c>
      <c r="D36499" s="16" t="s">
        <v>26213</v>
      </c>
      <c r="E36499" s="2">
        <v>318755</v>
      </c>
      <c r="F36499" s="4" t="str">
        <f>IF(B36499=B36498,"",B36499)</f>
        <v>Ã‡eÅŸme</v>
      </c>
    </row>
    <row r="36500" spans="1:6" ht="15.75" customHeight="1">
      <c r="A36500" s="15" t="s">
        <v>26241</v>
      </c>
      <c r="B36500" s="15" t="s">
        <v>26242</v>
      </c>
      <c r="C36500" s="15" t="s">
        <v>26201</v>
      </c>
      <c r="D36500" s="15" t="s">
        <v>26243</v>
      </c>
      <c r="E36500" s="2">
        <v>749502</v>
      </c>
      <c r="F36500" s="4" t="str">
        <f>IF(B36500=B36499,"",B36500)</f>
        <v>Ã‡ayeli</v>
      </c>
    </row>
    <row r="36501" spans="1:6" ht="15.75" customHeight="1">
      <c r="A36501" s="15" t="s">
        <v>26238</v>
      </c>
      <c r="B36501" s="15" t="s">
        <v>26239</v>
      </c>
      <c r="C36501" s="15" t="s">
        <v>26201</v>
      </c>
      <c r="D36501" s="15" t="s">
        <v>26240</v>
      </c>
      <c r="E36501" s="2">
        <v>749508</v>
      </c>
      <c r="F36501" s="4" t="str">
        <f>IF(B36501=B36500,"",B36501)</f>
        <v>Ã‡aycuma</v>
      </c>
    </row>
    <row r="36502" spans="1:6" ht="15.75" customHeight="1">
      <c r="A36502" s="15" t="s">
        <v>26235</v>
      </c>
      <c r="B36502" s="15" t="s">
        <v>26236</v>
      </c>
      <c r="C36502" s="15" t="s">
        <v>26201</v>
      </c>
      <c r="D36502" s="15" t="s">
        <v>26237</v>
      </c>
      <c r="E36502" s="2">
        <v>319104</v>
      </c>
      <c r="F36502" s="4" t="str">
        <f>IF(B36502=B36501,"",B36502)</f>
        <v>Ã‡ay</v>
      </c>
    </row>
    <row r="36503" spans="1:6" ht="15.75" customHeight="1">
      <c r="A36503" s="15" t="s">
        <v>26233</v>
      </c>
      <c r="B36503" s="15" t="s">
        <v>26234</v>
      </c>
      <c r="C36503" s="15" t="s">
        <v>26201</v>
      </c>
      <c r="D36503" s="15" t="s">
        <v>26211</v>
      </c>
      <c r="E36503" s="2">
        <v>749644</v>
      </c>
      <c r="F36503" s="4" t="str">
        <f>IF(B36503=B36502,"",B36503)</f>
        <v>Ã‡atalca</v>
      </c>
    </row>
    <row r="36504" spans="1:6" ht="15.75" customHeight="1">
      <c r="A36504" s="16" t="s">
        <v>26230</v>
      </c>
      <c r="B36504" s="15" t="s">
        <v>26231</v>
      </c>
      <c r="C36504" s="16" t="s">
        <v>26201</v>
      </c>
      <c r="D36504" s="16" t="s">
        <v>26232</v>
      </c>
      <c r="E36504" s="2">
        <v>749704</v>
      </c>
      <c r="F36504" s="4" t="str">
        <f>IF(B36504=B36503,"",B36504)</f>
        <v>Ã‡arÅŸamba</v>
      </c>
    </row>
    <row r="36505" spans="1:6" ht="15.75" customHeight="1">
      <c r="A36505" s="15" t="s">
        <v>26227</v>
      </c>
      <c r="B36505" s="15" t="s">
        <v>26228</v>
      </c>
      <c r="C36505" s="15" t="s">
        <v>26201</v>
      </c>
      <c r="D36505" s="15" t="s">
        <v>26229</v>
      </c>
      <c r="E36505" s="2">
        <v>6955677</v>
      </c>
      <c r="F36505" s="4" t="str">
        <f>IF(B36505=B36504,"",B36505)</f>
        <v>Ã‡ankaya</v>
      </c>
    </row>
    <row r="36506" spans="1:6" ht="15.75" customHeight="1">
      <c r="A36506" s="15" t="s">
        <v>26225</v>
      </c>
      <c r="B36506" s="15" t="s">
        <v>26226</v>
      </c>
      <c r="C36506" s="15" t="s">
        <v>26201</v>
      </c>
      <c r="D36506" s="15" t="s">
        <v>26224</v>
      </c>
      <c r="E36506" s="2">
        <v>749780</v>
      </c>
      <c r="F36506" s="4" t="str">
        <f>IF(B36506=B36505,"",B36506)</f>
        <v>Ã‡anakkale</v>
      </c>
    </row>
    <row r="36507" spans="1:6" ht="15.75" customHeight="1">
      <c r="A36507" s="15" t="s">
        <v>26222</v>
      </c>
      <c r="B36507" s="15" t="s">
        <v>26223</v>
      </c>
      <c r="C36507" s="15" t="s">
        <v>26201</v>
      </c>
      <c r="D36507" s="15" t="s">
        <v>26224</v>
      </c>
      <c r="E36507" s="2">
        <v>749795</v>
      </c>
      <c r="F36507" s="4" t="str">
        <f>IF(B36507=B36506,"",B36507)</f>
        <v>Ã‡an</v>
      </c>
    </row>
    <row r="36508" spans="1:6" ht="15.75" customHeight="1">
      <c r="A36508" s="16" t="s">
        <v>26219</v>
      </c>
      <c r="B36508" s="15" t="s">
        <v>26220</v>
      </c>
      <c r="C36508" s="16" t="s">
        <v>26201</v>
      </c>
      <c r="D36508" s="16" t="s">
        <v>26221</v>
      </c>
      <c r="E36508" s="2">
        <v>320004</v>
      </c>
      <c r="F36508" s="4" t="str">
        <f>IF(B36508=B36507,"",B36508)</f>
        <v>Ã‡aÄŸlayancerit</v>
      </c>
    </row>
    <row r="36509" spans="1:6" ht="15.75" customHeight="1">
      <c r="A36509" s="15" t="s">
        <v>23604</v>
      </c>
      <c r="B36509" s="15" t="s">
        <v>23605</v>
      </c>
      <c r="C36509" s="15" t="s">
        <v>23602</v>
      </c>
      <c r="D36509" s="15" t="s">
        <v>23603</v>
      </c>
      <c r="E36509" s="2">
        <v>791678</v>
      </c>
      <c r="F36509" s="4" t="str">
        <f>IF(B36509=B36508,"",B36509)</f>
        <v>Ä†uprija</v>
      </c>
    </row>
    <row r="36510" spans="1:6" ht="15.75" customHeight="1">
      <c r="A36510" s="15" t="s">
        <v>25082</v>
      </c>
      <c r="B36510" s="15" t="s">
        <v>25083</v>
      </c>
      <c r="C36510" s="15" t="s">
        <v>25077</v>
      </c>
      <c r="D36510" s="15" t="s">
        <v>25081</v>
      </c>
      <c r="E36510" s="2">
        <v>2725201</v>
      </c>
      <c r="F36510" s="4" t="str">
        <f>IF(B36510=B36509,"",B36510)</f>
        <v>Ã…rsta</v>
      </c>
    </row>
    <row r="36511" spans="1:6" ht="15.75" customHeight="1">
      <c r="A36511" s="16" t="s">
        <v>19693</v>
      </c>
      <c r="B36511" s="15" t="s">
        <v>19694</v>
      </c>
      <c r="C36511" s="16" t="s">
        <v>19695</v>
      </c>
      <c r="D36511" s="16" t="s">
        <v>19696</v>
      </c>
      <c r="E36511" s="2">
        <v>3163392</v>
      </c>
      <c r="F36511" s="4" t="str">
        <f>IF(B36511=B36510,"",B36511)</f>
        <v>Ã…lesund</v>
      </c>
    </row>
    <row r="36512" spans="1:6" ht="15.75" customHeight="1">
      <c r="A36512" s="16" t="s">
        <v>25079</v>
      </c>
      <c r="B36512" s="15" t="s">
        <v>25080</v>
      </c>
      <c r="C36512" s="16" t="s">
        <v>25077</v>
      </c>
      <c r="D36512" s="16" t="s">
        <v>25081</v>
      </c>
      <c r="E36512" s="2">
        <v>2727234</v>
      </c>
      <c r="F36512" s="4" t="str">
        <f>IF(B36512=B36511,"",B36512)</f>
        <v>Ã…kersberga</v>
      </c>
    </row>
    <row r="36513" spans="1:6" ht="15.75" customHeight="1">
      <c r="A36513" s="15" t="s">
        <v>6207</v>
      </c>
      <c r="B36513" s="15" t="s">
        <v>6208</v>
      </c>
      <c r="C36513" s="15" t="s">
        <v>6209</v>
      </c>
      <c r="D36513" s="15" t="s">
        <v>6210</v>
      </c>
      <c r="E36513" s="2">
        <v>2624652</v>
      </c>
      <c r="F36513" s="4" t="str">
        <f>IF(B36513=B36512,"",B36513)</f>
        <v>Ã… rhus</v>
      </c>
    </row>
    <row r="36514" spans="1:6" ht="15.75" customHeight="1">
      <c r="A36514" s="15" t="s">
        <v>26217</v>
      </c>
      <c r="B36514" s="15" t="s">
        <v>26218</v>
      </c>
      <c r="C36514" s="15" t="s">
        <v>26201</v>
      </c>
      <c r="D36514" s="15" t="s">
        <v>26205</v>
      </c>
      <c r="E36514" s="2">
        <v>745026</v>
      </c>
      <c r="F36514" s="4" t="str">
        <f>IF(B36514=B36513,"",B36514)</f>
        <v>Ä°znik</v>
      </c>
    </row>
    <row r="36515" spans="1:6" ht="15.75" customHeight="1">
      <c r="A36515" s="15" t="s">
        <v>26214</v>
      </c>
      <c r="B36515" s="15" t="s">
        <v>26215</v>
      </c>
      <c r="C36515" s="15" t="s">
        <v>26201</v>
      </c>
      <c r="D36515" s="15" t="s">
        <v>26216</v>
      </c>
      <c r="E36515" s="2">
        <v>745028</v>
      </c>
      <c r="F36515" s="4" t="str">
        <f>IF(B36515=B36514,"",B36515)</f>
        <v>Ä°zmit</v>
      </c>
    </row>
    <row r="36516" spans="1:6" ht="15.75" customHeight="1">
      <c r="A36516" s="15" t="s">
        <v>26212</v>
      </c>
      <c r="B36516" s="15" t="s">
        <v>26213</v>
      </c>
      <c r="C36516" s="15" t="s">
        <v>26201</v>
      </c>
      <c r="D36516" s="15" t="s">
        <v>26213</v>
      </c>
      <c r="E36516" s="2">
        <v>311046</v>
      </c>
      <c r="F36516" s="4" t="str">
        <f>IF(B36516=B36515,"",B36516)</f>
        <v>Ä°zmir</v>
      </c>
    </row>
    <row r="36517" spans="1:6" ht="15.75" customHeight="1">
      <c r="A36517" s="15" t="s">
        <v>26209</v>
      </c>
      <c r="B36517" s="15" t="s">
        <v>26210</v>
      </c>
      <c r="C36517" s="15" t="s">
        <v>26201</v>
      </c>
      <c r="D36517" s="15" t="s">
        <v>26211</v>
      </c>
      <c r="E36517" s="2">
        <v>745044</v>
      </c>
      <c r="F36517" s="4" t="str">
        <f>IF(B36517=B36516,"",B36517)</f>
        <v>Ä°stanbul</v>
      </c>
    </row>
    <row r="36518" spans="1:6" ht="15.75" customHeight="1">
      <c r="A36518" s="15" t="s">
        <v>26206</v>
      </c>
      <c r="B36518" s="15" t="s">
        <v>26207</v>
      </c>
      <c r="C36518" s="15" t="s">
        <v>26201</v>
      </c>
      <c r="D36518" s="15" t="s">
        <v>26208</v>
      </c>
      <c r="E36518" s="2">
        <v>745076</v>
      </c>
      <c r="F36518" s="4" t="str">
        <f>IF(B36518=B36517,"",B36518)</f>
        <v>Ä°skilip</v>
      </c>
    </row>
    <row r="36519" spans="1:6" ht="15.75" customHeight="1">
      <c r="A36519" s="15" t="s">
        <v>26203</v>
      </c>
      <c r="B36519" s="15" t="s">
        <v>26204</v>
      </c>
      <c r="C36519" s="15" t="s">
        <v>26201</v>
      </c>
      <c r="D36519" s="15" t="s">
        <v>26205</v>
      </c>
      <c r="E36519" s="2">
        <v>745169</v>
      </c>
      <c r="F36519" s="4" t="str">
        <f>IF(B36519=B36518,"",B36519)</f>
        <v>Ä°negol</v>
      </c>
    </row>
    <row r="36520" spans="1:6" ht="15.75" customHeight="1">
      <c r="A36520" s="15" t="s">
        <v>26199</v>
      </c>
      <c r="B36520" s="15" t="s">
        <v>26200</v>
      </c>
      <c r="C36520" s="15" t="s">
        <v>26201</v>
      </c>
      <c r="D36520" s="15" t="s">
        <v>26202</v>
      </c>
      <c r="E36520" s="2">
        <v>311704</v>
      </c>
      <c r="F36520" s="4" t="str">
        <f>IF(B36520=B36519,"",B36520)</f>
        <v>Ä°dil</v>
      </c>
    </row>
    <row r="36521" spans="1:6" ht="15.75" customHeight="1">
      <c r="A36521" s="15" t="s">
        <v>19588</v>
      </c>
      <c r="B36521" s="15" t="s">
        <v>19588</v>
      </c>
      <c r="C36521" s="15" t="s">
        <v>19589</v>
      </c>
      <c r="D36521" s="15" t="s">
        <v>19590</v>
      </c>
      <c r="E36521" s="2">
        <v>2039623</v>
      </c>
      <c r="F36521" s="4" t="str">
        <f>IF(B36521=B36520,"",B36521)</f>
        <v>Å¬iju</v>
      </c>
    </row>
    <row r="36522" spans="1:6" ht="15.75" customHeight="1">
      <c r="A36522" s="15" t="s">
        <v>21076</v>
      </c>
      <c r="B36522" s="15" t="s">
        <v>21077</v>
      </c>
      <c r="C36522" s="15" t="s">
        <v>21064</v>
      </c>
      <c r="D36522" s="15" t="s">
        <v>21073</v>
      </c>
      <c r="E36522" s="2">
        <v>3079855</v>
      </c>
      <c r="F36522" s="4" t="str">
        <f>IF(B36522=B36521,"",B36522)</f>
        <v>Å»ywiec</v>
      </c>
    </row>
    <row r="36523" spans="1:6" ht="15.75" customHeight="1">
      <c r="A36523" s="16" t="s">
        <v>21074</v>
      </c>
      <c r="B36523" s="15" t="s">
        <v>21075</v>
      </c>
      <c r="C36523" s="16" t="s">
        <v>21064</v>
      </c>
      <c r="D36523" s="16" t="s">
        <v>21070</v>
      </c>
      <c r="E36523" s="2">
        <v>752967</v>
      </c>
      <c r="F36523" s="4" t="str">
        <f>IF(B36523=B36522,"",B36523)</f>
        <v>Å»yrardÃ³w</v>
      </c>
    </row>
    <row r="36524" spans="1:6" ht="15.75" customHeight="1">
      <c r="A36524" s="15" t="s">
        <v>21071</v>
      </c>
      <c r="B36524" s="15" t="s">
        <v>21072</v>
      </c>
      <c r="C36524" s="15" t="s">
        <v>21064</v>
      </c>
      <c r="D36524" s="15" t="s">
        <v>21073</v>
      </c>
      <c r="E36524" s="2">
        <v>3080004</v>
      </c>
      <c r="F36524" s="4" t="str">
        <f>IF(B36524=B36523,"",B36524)</f>
        <v>Å»ory</v>
      </c>
    </row>
    <row r="36525" spans="1:6" ht="15.75" customHeight="1">
      <c r="A36525" s="16" t="s">
        <v>21068</v>
      </c>
      <c r="B36525" s="15" t="s">
        <v>21069</v>
      </c>
      <c r="C36525" s="16" t="s">
        <v>21064</v>
      </c>
      <c r="D36525" s="16" t="s">
        <v>21070</v>
      </c>
      <c r="E36525" s="2">
        <v>753142</v>
      </c>
      <c r="F36525" s="4" t="str">
        <f>IF(B36525=B36524,"",B36525)</f>
        <v>Å»oliborz</v>
      </c>
    </row>
    <row r="36526" spans="1:6" ht="15.75" customHeight="1">
      <c r="A36526" s="15" t="s">
        <v>21066</v>
      </c>
      <c r="B36526" s="15" t="s">
        <v>21067</v>
      </c>
      <c r="C36526" s="15" t="s">
        <v>21064</v>
      </c>
      <c r="D36526" s="15" t="s">
        <v>21065</v>
      </c>
      <c r="E36526" s="2">
        <v>3080644</v>
      </c>
      <c r="F36526" s="4" t="str">
        <f>IF(B36526=B36525,"",B36526)</f>
        <v>Å»ary</v>
      </c>
    </row>
    <row r="36527" spans="1:6" ht="15.75" customHeight="1">
      <c r="A36527" s="15" t="s">
        <v>21062</v>
      </c>
      <c r="B36527" s="15" t="s">
        <v>21063</v>
      </c>
      <c r="C36527" s="15" t="s">
        <v>21064</v>
      </c>
      <c r="D36527" s="15" t="s">
        <v>21065</v>
      </c>
      <c r="E36527" s="2">
        <v>3080944</v>
      </c>
      <c r="F36527" s="4" t="str">
        <f>IF(B36527=B36526,"",B36527)</f>
        <v>Å»agaÅ„</v>
      </c>
    </row>
    <row r="36528" spans="1:6" ht="15.75" customHeight="1">
      <c r="A36528" s="15" t="s">
        <v>17619</v>
      </c>
      <c r="B36528" s="15" t="s">
        <v>17620</v>
      </c>
      <c r="C36528" s="15" t="s">
        <v>17621</v>
      </c>
      <c r="D36528" s="15" t="s">
        <v>17622</v>
      </c>
      <c r="E36528" s="2">
        <v>2562266</v>
      </c>
      <c r="F36528" s="4" t="str">
        <f>IF(B36528=B36527,"",B36528)</f>
        <v>Å»abbar</v>
      </c>
    </row>
    <row r="36529" spans="1:6" ht="15.75" customHeight="1">
      <c r="A36529" s="16" t="s">
        <v>14259</v>
      </c>
      <c r="B36529" s="15" t="s">
        <v>14260</v>
      </c>
      <c r="C36529" s="16" t="s">
        <v>14240</v>
      </c>
      <c r="D36529" s="16" t="s">
        <v>14261</v>
      </c>
      <c r="E36529" s="2">
        <v>14256</v>
      </c>
      <c r="F36529" s="4" t="str">
        <f>IF(B36529=B36528,"",B36529)</f>
        <v>Ä€zÄdshahr</v>
      </c>
    </row>
    <row r="36530" spans="1:6" ht="15.75" customHeight="1">
      <c r="A36530" s="16" t="s">
        <v>14259</v>
      </c>
      <c r="B36530" s="15" t="s">
        <v>14260</v>
      </c>
      <c r="C36530" s="16" t="s">
        <v>14240</v>
      </c>
      <c r="D36530" s="16" t="s">
        <v>14262</v>
      </c>
      <c r="E36530" s="2">
        <v>110831</v>
      </c>
      <c r="F36530" s="4" t="str">
        <f>IF(B36530=B36529,"",B36530)</f>
        <v/>
      </c>
    </row>
    <row r="36531" spans="1:6" ht="15.75" customHeight="1">
      <c r="A36531" s="15" t="s">
        <v>10234</v>
      </c>
      <c r="B36531" s="15" t="s">
        <v>10235</v>
      </c>
      <c r="C36531" s="15" t="s">
        <v>10178</v>
      </c>
      <c r="D36531" s="15" t="s">
        <v>10196</v>
      </c>
      <c r="E36531" s="2">
        <v>1278130</v>
      </c>
      <c r="F36531" s="4" t="str">
        <f>IF(B36531=B36530,"",B36531)</f>
        <v>Ä€vadi</v>
      </c>
    </row>
    <row r="36532" spans="1:6" ht="15.75" customHeight="1">
      <c r="A36532" s="15" t="s">
        <v>178</v>
      </c>
      <c r="B36532" s="15" t="s">
        <v>179</v>
      </c>
      <c r="C36532" s="15" t="s">
        <v>153</v>
      </c>
      <c r="D36532" s="15" t="s">
        <v>180</v>
      </c>
      <c r="E36532" s="2">
        <v>2508010</v>
      </c>
      <c r="F36532" s="4" t="str">
        <f>IF(B36532=B36531,"",B36532)</f>
        <v>â€™AÃ¯n Merane</v>
      </c>
    </row>
    <row r="36533" spans="1:6" ht="15.75" customHeight="1">
      <c r="A36533" s="16" t="s">
        <v>175</v>
      </c>
      <c r="B36533" s="15" t="s">
        <v>176</v>
      </c>
      <c r="C36533" s="16" t="s">
        <v>153</v>
      </c>
      <c r="D36533" s="16" t="s">
        <v>177</v>
      </c>
      <c r="E36533" s="2">
        <v>2508119</v>
      </c>
      <c r="F36533" s="4" t="str">
        <f>IF(B36533=B36532,"",B36533)</f>
        <v>â€™AÃ¯n el Turk</v>
      </c>
    </row>
    <row r="36534" spans="1:6" ht="15.75" customHeight="1">
      <c r="A36534" s="16" t="s">
        <v>173</v>
      </c>
      <c r="B36534" s="15" t="s">
        <v>174</v>
      </c>
      <c r="C36534" s="16" t="s">
        <v>153</v>
      </c>
      <c r="D36534" s="16" t="s">
        <v>154</v>
      </c>
      <c r="E36534" s="2">
        <v>2508130</v>
      </c>
      <c r="F36534" s="4" t="str">
        <f>IF(B36534=B36533,"",B36534)</f>
        <v>â€™AÃ¯n el Melh</v>
      </c>
    </row>
    <row r="36535" spans="1:6" ht="15.75" customHeight="1">
      <c r="A36535" s="16" t="s">
        <v>170</v>
      </c>
      <c r="B36535" s="15" t="s">
        <v>171</v>
      </c>
      <c r="C36535" s="16" t="s">
        <v>153</v>
      </c>
      <c r="D36535" s="16" t="s">
        <v>172</v>
      </c>
      <c r="E36535" s="2">
        <v>2508152</v>
      </c>
      <c r="F36535" s="4" t="str">
        <f>IF(B36535=B36534,"",B36535)</f>
        <v>â€™AÃ¯n el Hammam</v>
      </c>
    </row>
    <row r="36536" spans="1:6" ht="15.75" customHeight="1">
      <c r="A36536" s="16" t="s">
        <v>167</v>
      </c>
      <c r="B36536" s="15" t="s">
        <v>168</v>
      </c>
      <c r="C36536" s="16" t="s">
        <v>153</v>
      </c>
      <c r="D36536" s="16" t="s">
        <v>169</v>
      </c>
      <c r="E36536" s="2">
        <v>2508180</v>
      </c>
      <c r="F36536" s="4" t="str">
        <f>IF(B36536=B36535,"",B36536)</f>
        <v>â€™AÃ¯n el Berd</v>
      </c>
    </row>
    <row r="36537" spans="1:6" ht="15.75" customHeight="1">
      <c r="A36537" s="16" t="s">
        <v>164</v>
      </c>
      <c r="B36537" s="15" t="s">
        <v>165</v>
      </c>
      <c r="C36537" s="16" t="s">
        <v>153</v>
      </c>
      <c r="D36537" s="16" t="s">
        <v>166</v>
      </c>
      <c r="E36537" s="2">
        <v>2508184</v>
      </c>
      <c r="F36537" s="4" t="str">
        <f>IF(B36537=B36536,"",B36537)</f>
        <v>â€™AÃ¯n el Bell</v>
      </c>
    </row>
    <row r="36538" spans="1:6" ht="15.75" customHeight="1">
      <c r="A36538" s="16" t="s">
        <v>161</v>
      </c>
      <c r="B36538" s="15" t="s">
        <v>162</v>
      </c>
      <c r="C36538" s="16" t="s">
        <v>153</v>
      </c>
      <c r="D36538" s="16" t="s">
        <v>163</v>
      </c>
      <c r="E36538" s="2">
        <v>2508225</v>
      </c>
      <c r="F36538" s="4" t="str">
        <f>IF(B36538=B36537,"",B36538)</f>
        <v>â€™AÃ¯n Deheb</v>
      </c>
    </row>
    <row r="36539" spans="1:6" ht="15.75" customHeight="1">
      <c r="A36539" s="16" t="s">
        <v>158</v>
      </c>
      <c r="B36539" s="15" t="s">
        <v>159</v>
      </c>
      <c r="C36539" s="16" t="s">
        <v>153</v>
      </c>
      <c r="D36539" s="16" t="s">
        <v>160</v>
      </c>
      <c r="E36539" s="2">
        <v>2508275</v>
      </c>
      <c r="F36539" s="4" t="str">
        <f>IF(B36539=B36538,"",B36539)</f>
        <v>â€™AÃ¯n Benian</v>
      </c>
    </row>
    <row r="36540" spans="1:6" ht="15.75" customHeight="1">
      <c r="A36540" s="15" t="s">
        <v>155</v>
      </c>
      <c r="B36540" s="15" t="s">
        <v>156</v>
      </c>
      <c r="C36540" s="15" t="s">
        <v>153</v>
      </c>
      <c r="D36540" s="15" t="s">
        <v>157</v>
      </c>
      <c r="E36540" s="2">
        <v>2508309</v>
      </c>
      <c r="F36540" s="4" t="str">
        <f>IF(B36540=B36539,"",B36540)</f>
        <v>â€™AÃ¯n Abid</v>
      </c>
    </row>
    <row r="36541" spans="1:6" ht="15.75" customHeight="1">
      <c r="A36541" s="15" t="s">
        <v>10232</v>
      </c>
      <c r="B36541" s="15" t="s">
        <v>10233</v>
      </c>
      <c r="C36541" s="15" t="s">
        <v>10178</v>
      </c>
      <c r="D36541" s="15" t="s">
        <v>10229</v>
      </c>
      <c r="E36541" s="2">
        <v>1278216</v>
      </c>
      <c r="F36541" s="4" t="str">
        <f>IF(B36541=B36540,"",B36541)</f>
        <v>Ä€thagarh</v>
      </c>
    </row>
    <row r="36542" spans="1:6" ht="15.75" customHeight="1">
      <c r="A36542" s="15" t="s">
        <v>14257</v>
      </c>
      <c r="B36542" s="15" t="s">
        <v>14258</v>
      </c>
      <c r="C36542" s="15" t="s">
        <v>14240</v>
      </c>
      <c r="D36542" s="15" t="s">
        <v>14256</v>
      </c>
      <c r="E36542" s="2">
        <v>142676</v>
      </c>
      <c r="F36542" s="4" t="str">
        <f>IF(B36542=B36541,"",B36542)</f>
        <v>Ä€stÄrÄ</v>
      </c>
    </row>
    <row r="36543" spans="1:6" ht="15.75" customHeight="1">
      <c r="A36543" s="16" t="s">
        <v>14254</v>
      </c>
      <c r="B36543" s="15" t="s">
        <v>14255</v>
      </c>
      <c r="C36543" s="16" t="s">
        <v>14240</v>
      </c>
      <c r="D36543" s="16" t="s">
        <v>14256</v>
      </c>
      <c r="E36543" s="2">
        <v>142679</v>
      </c>
      <c r="F36543" s="4" t="str">
        <f>IF(B36543=B36542,"",B36543)</f>
        <v>Ä€stÄneh-ye AshrafÄ«yeh</v>
      </c>
    </row>
    <row r="36544" spans="1:6" ht="15.75" customHeight="1">
      <c r="A36544" s="15" t="s">
        <v>6824</v>
      </c>
      <c r="B36544" s="15" t="s">
        <v>6825</v>
      </c>
      <c r="C36544" s="15" t="s">
        <v>6807</v>
      </c>
      <c r="D36544" s="15" t="s">
        <v>6826</v>
      </c>
      <c r="E36544" s="2">
        <v>343292</v>
      </c>
      <c r="F36544" s="4" t="str">
        <f>IF(B36544=B36543,"",B36544)</f>
        <v>Ä€sosa</v>
      </c>
    </row>
    <row r="36545" spans="1:6" ht="15.75" customHeight="1">
      <c r="A36545" s="15" t="s">
        <v>10</v>
      </c>
      <c r="B36545" s="15" t="s">
        <v>11</v>
      </c>
      <c r="C36545" s="15" t="s">
        <v>8</v>
      </c>
      <c r="D36545" s="15" t="s">
        <v>12</v>
      </c>
      <c r="E36545" s="2">
        <v>1148205</v>
      </c>
      <c r="F36545" s="4" t="str">
        <f>IF(B36545=B36544,"",B36545)</f>
        <v>Ä€smÄr</v>
      </c>
    </row>
    <row r="36546" spans="1:6" ht="15.75" customHeight="1">
      <c r="A36546" s="15" t="s">
        <v>10230</v>
      </c>
      <c r="B36546" s="15" t="s">
        <v>10231</v>
      </c>
      <c r="C36546" s="15" t="s">
        <v>10178</v>
      </c>
      <c r="D36546" s="15" t="s">
        <v>10179</v>
      </c>
      <c r="E36546" s="2">
        <v>1278278</v>
      </c>
      <c r="F36546" s="4" t="str">
        <f>IF(B36546=B36545,"",B36546)</f>
        <v>Ä€sind</v>
      </c>
    </row>
    <row r="36547" spans="1:6" ht="15.75" customHeight="1">
      <c r="A36547" s="15" t="s">
        <v>10227</v>
      </c>
      <c r="B36547" s="15" t="s">
        <v>10228</v>
      </c>
      <c r="C36547" s="15" t="s">
        <v>10178</v>
      </c>
      <c r="D36547" s="15" t="s">
        <v>10229</v>
      </c>
      <c r="E36547" s="2">
        <v>1278279</v>
      </c>
      <c r="F36547" s="4" t="str">
        <f>IF(B36547=B36546,"",B36547)</f>
        <v>Ä€sika</v>
      </c>
    </row>
    <row r="36548" spans="1:6" ht="15.75" customHeight="1">
      <c r="A36548" s="16" t="s">
        <v>6822</v>
      </c>
      <c r="B36548" s="15" t="s">
        <v>6823</v>
      </c>
      <c r="C36548" s="16" t="s">
        <v>6807</v>
      </c>
      <c r="D36548" s="16" t="s">
        <v>6814</v>
      </c>
      <c r="E36548" s="2">
        <v>343402</v>
      </c>
      <c r="F36548" s="4" t="str">
        <f>IF(B36548=B36547,"",B36548)</f>
        <v>Ä€sbe TeferÄ«</v>
      </c>
    </row>
    <row r="36549" spans="1:6" ht="15.75" customHeight="1">
      <c r="A36549" s="15" t="s">
        <v>6820</v>
      </c>
      <c r="B36549" s="15" t="s">
        <v>6821</v>
      </c>
      <c r="C36549" s="15" t="s">
        <v>6807</v>
      </c>
      <c r="D36549" s="15" t="s">
        <v>6814</v>
      </c>
      <c r="E36549" s="2">
        <v>343413</v>
      </c>
      <c r="F36549" s="4" t="str">
        <f>IF(B36549=B36548,"",B36549)</f>
        <v>Ä€sasa</v>
      </c>
    </row>
    <row r="36550" spans="1:6" ht="15.75" customHeight="1">
      <c r="A36550" s="15" t="s">
        <v>10225</v>
      </c>
      <c r="B36550" s="15" t="s">
        <v>10226</v>
      </c>
      <c r="C36550" s="15" t="s">
        <v>10178</v>
      </c>
      <c r="D36550" s="15" t="s">
        <v>10201</v>
      </c>
      <c r="E36550" s="2">
        <v>1278314</v>
      </c>
      <c r="F36550" s="4" t="str">
        <f>IF(B36550=B36549,"",B36550)</f>
        <v>Ä€sansol</v>
      </c>
    </row>
    <row r="36551" spans="1:6" ht="15.75" customHeight="1">
      <c r="A36551" s="16" t="s">
        <v>10222</v>
      </c>
      <c r="B36551" s="15" t="s">
        <v>10223</v>
      </c>
      <c r="C36551" s="16" t="s">
        <v>10178</v>
      </c>
      <c r="D36551" s="16" t="s">
        <v>10224</v>
      </c>
      <c r="E36551" s="2">
        <v>1278320</v>
      </c>
      <c r="F36551" s="4" t="str">
        <f>IF(B36551=B36550,"",B36551)</f>
        <v>Ä€sandh</v>
      </c>
    </row>
    <row r="36552" spans="1:6" ht="15.75" customHeight="1">
      <c r="A36552" s="15" t="s">
        <v>10220</v>
      </c>
      <c r="B36552" s="15" t="s">
        <v>10221</v>
      </c>
      <c r="C36552" s="15" t="s">
        <v>10178</v>
      </c>
      <c r="D36552" s="15" t="s">
        <v>10214</v>
      </c>
      <c r="E36552" s="2">
        <v>1278335</v>
      </c>
      <c r="F36552" s="4" t="str">
        <f>IF(B36552=B36551,"",B36552)</f>
        <v>Ä€rvi</v>
      </c>
    </row>
    <row r="36553" spans="1:6" ht="15.75" customHeight="1">
      <c r="A36553" s="16" t="s">
        <v>6</v>
      </c>
      <c r="B36553" s="15" t="s">
        <v>7</v>
      </c>
      <c r="C36553" s="16" t="s">
        <v>8</v>
      </c>
      <c r="D36553" s="16" t="s">
        <v>9</v>
      </c>
      <c r="E36553" s="2">
        <v>1148106</v>
      </c>
      <c r="F36553" s="4" t="str">
        <f>IF(B36553=B36552,"",B36553)</f>
        <v>Ä€rt KhwÄjah</v>
      </c>
    </row>
    <row r="36554" spans="1:6" ht="15.75" customHeight="1">
      <c r="A36554" s="15" t="s">
        <v>10217</v>
      </c>
      <c r="B36554" s="15" t="s">
        <v>10218</v>
      </c>
      <c r="C36554" s="15" t="s">
        <v>10178</v>
      </c>
      <c r="D36554" s="15" t="s">
        <v>10219</v>
      </c>
      <c r="E36554" s="2">
        <v>1278365</v>
      </c>
      <c r="F36554" s="4" t="str">
        <f>IF(B36554=B36553,"",B36554)</f>
        <v>Ä€ron</v>
      </c>
    </row>
    <row r="36555" spans="1:6" ht="15.75" customHeight="1">
      <c r="A36555" s="16" t="s">
        <v>19806</v>
      </c>
      <c r="B36555" s="15" t="s">
        <v>19807</v>
      </c>
      <c r="C36555" s="16" t="s">
        <v>19808</v>
      </c>
      <c r="D36555" s="16" t="s">
        <v>10184</v>
      </c>
      <c r="E36555" s="2">
        <v>1184370</v>
      </c>
      <c r="F36555" s="4" t="str">
        <f>IF(B36555=B36554,"",B36555)</f>
        <v>Ä€rifwÄla</v>
      </c>
    </row>
    <row r="36556" spans="1:6" ht="15.75" customHeight="1">
      <c r="A36556" s="15" t="s">
        <v>6818</v>
      </c>
      <c r="B36556" s="15" t="s">
        <v>6819</v>
      </c>
      <c r="C36556" s="15" t="s">
        <v>6807</v>
      </c>
      <c r="D36556" s="15" t="s">
        <v>6817</v>
      </c>
      <c r="E36556" s="2">
        <v>343593</v>
      </c>
      <c r="F36556" s="4" t="str">
        <f>IF(B36556=B36555,"",B36556)</f>
        <v>Ä€reka</v>
      </c>
    </row>
    <row r="36557" spans="1:6" ht="15.75" customHeight="1">
      <c r="A36557" s="16" t="s">
        <v>6815</v>
      </c>
      <c r="B36557" s="15" t="s">
        <v>6816</v>
      </c>
      <c r="C36557" s="16" t="s">
        <v>6807</v>
      </c>
      <c r="D36557" s="16" t="s">
        <v>6817</v>
      </c>
      <c r="E36557" s="2">
        <v>343663</v>
      </c>
      <c r="F36557" s="4" t="str">
        <f>IF(B36557=B36556,"",B36557)</f>
        <v>Ä€rba Minchâ€™</v>
      </c>
    </row>
    <row r="36558" spans="1:6" ht="15.75" customHeight="1">
      <c r="A36558" s="15" t="s">
        <v>10215</v>
      </c>
      <c r="B36558" s="15" t="s">
        <v>10216</v>
      </c>
      <c r="C36558" s="15" t="s">
        <v>10178</v>
      </c>
      <c r="D36558" s="15" t="s">
        <v>10196</v>
      </c>
      <c r="E36558" s="2">
        <v>1278454</v>
      </c>
      <c r="F36558" s="4" t="str">
        <f>IF(B36558=B36557,"",B36558)</f>
        <v>Ä€rani</v>
      </c>
    </row>
    <row r="36559" spans="1:6" ht="15.75" customHeight="1">
      <c r="A36559" s="16" t="s">
        <v>10212</v>
      </c>
      <c r="B36559" s="15" t="s">
        <v>10213</v>
      </c>
      <c r="C36559" s="16" t="s">
        <v>10178</v>
      </c>
      <c r="D36559" s="16" t="s">
        <v>10214</v>
      </c>
      <c r="E36559" s="2">
        <v>1278455</v>
      </c>
      <c r="F36559" s="4" t="str">
        <f>IF(B36559=B36558,"",B36559)</f>
        <v>Ä€rangaon</v>
      </c>
    </row>
    <row r="36560" spans="1:6" ht="15.75" customHeight="1">
      <c r="A36560" s="16" t="s">
        <v>10210</v>
      </c>
      <c r="B36560" s="15" t="s">
        <v>10211</v>
      </c>
      <c r="C36560" s="16" t="s">
        <v>10178</v>
      </c>
      <c r="D36560" s="16" t="s">
        <v>10196</v>
      </c>
      <c r="E36560" s="2">
        <v>1278625</v>
      </c>
      <c r="F36560" s="4" t="str">
        <f>IF(B36560=B36559,"",B36560)</f>
        <v>Ä€ndippatti</v>
      </c>
    </row>
    <row r="36561" spans="1:6" ht="15.75" customHeight="1">
      <c r="A36561" s="15" t="s">
        <v>10207</v>
      </c>
      <c r="B36561" s="15" t="s">
        <v>10208</v>
      </c>
      <c r="C36561" s="15" t="s">
        <v>10178</v>
      </c>
      <c r="D36561" s="15" t="s">
        <v>10209</v>
      </c>
      <c r="E36561" s="2">
        <v>1278685</v>
      </c>
      <c r="F36561" s="4" t="str">
        <f>IF(B36561=B36560,"",B36561)</f>
        <v>Ä€nand</v>
      </c>
    </row>
    <row r="36562" spans="1:6" ht="15.75" customHeight="1">
      <c r="A36562" s="15" t="s">
        <v>10205</v>
      </c>
      <c r="B36562" s="15" t="s">
        <v>10206</v>
      </c>
      <c r="C36562" s="15" t="s">
        <v>10178</v>
      </c>
      <c r="D36562" s="15" t="s">
        <v>10201</v>
      </c>
      <c r="E36562" s="2">
        <v>1278703</v>
      </c>
      <c r="F36562" s="4" t="str">
        <f>IF(B36562=B36561,"",B36562)</f>
        <v>Ä€mta</v>
      </c>
    </row>
    <row r="36563" spans="1:6" ht="15.75" customHeight="1">
      <c r="A36563" s="15" t="s">
        <v>14251</v>
      </c>
      <c r="B36563" s="15" t="s">
        <v>14252</v>
      </c>
      <c r="C36563" s="15" t="s">
        <v>14240</v>
      </c>
      <c r="D36563" s="15" t="s">
        <v>14253</v>
      </c>
      <c r="E36563" s="2">
        <v>143534</v>
      </c>
      <c r="F36563" s="4" t="str">
        <f>IF(B36563=B36562,"",B36563)</f>
        <v>Ä€mol</v>
      </c>
    </row>
    <row r="36564" spans="1:6" ht="15.75" customHeight="1">
      <c r="A36564" s="15" t="s">
        <v>10202</v>
      </c>
      <c r="B36564" s="15" t="s">
        <v>10203</v>
      </c>
      <c r="C36564" s="15" t="s">
        <v>10178</v>
      </c>
      <c r="D36564" s="15" t="s">
        <v>10204</v>
      </c>
      <c r="E36564" s="2">
        <v>1278768</v>
      </c>
      <c r="F36564" s="4" t="str">
        <f>IF(B36564=B36563,"",B36564)</f>
        <v>Ä€mli</v>
      </c>
    </row>
    <row r="36565" spans="1:6" ht="15.75" customHeight="1">
      <c r="A36565" s="16" t="s">
        <v>10199</v>
      </c>
      <c r="B36565" s="15" t="s">
        <v>10200</v>
      </c>
      <c r="C36565" s="16" t="s">
        <v>10178</v>
      </c>
      <c r="D36565" s="16" t="s">
        <v>10201</v>
      </c>
      <c r="E36565" s="2">
        <v>1278774</v>
      </c>
      <c r="F36565" s="4" t="str">
        <f>IF(B36565=B36564,"",B36565)</f>
        <v>Ä€mlÄgora</v>
      </c>
    </row>
    <row r="36566" spans="1:6" ht="15.75" customHeight="1">
      <c r="A36566" s="16" t="s">
        <v>25385</v>
      </c>
      <c r="B36566" s="15" t="s">
        <v>25386</v>
      </c>
      <c r="C36566" s="16" t="s">
        <v>25366</v>
      </c>
      <c r="D36566" s="16" t="s">
        <v>25387</v>
      </c>
      <c r="E36566" s="2">
        <v>174448</v>
      </c>
      <c r="F36566" s="4" t="str">
        <f>IF(B36566=B36565,"",B36566)</f>
        <v>Ä€lbÅ« KamÄl</v>
      </c>
    </row>
    <row r="36567" spans="1:6" ht="15.75" customHeight="1">
      <c r="A36567" s="16" t="s">
        <v>10197</v>
      </c>
      <c r="B36567" s="15" t="s">
        <v>10198</v>
      </c>
      <c r="C36567" s="16" t="s">
        <v>10178</v>
      </c>
      <c r="D36567" s="16" t="s">
        <v>10196</v>
      </c>
      <c r="E36567" s="2">
        <v>1279058</v>
      </c>
      <c r="F36567" s="4" t="str">
        <f>IF(B36567=B36566,"",B36567)</f>
        <v>Ä€langulam</v>
      </c>
    </row>
    <row r="36568" spans="1:6" ht="15.75" customHeight="1">
      <c r="A36568" s="16" t="s">
        <v>10194</v>
      </c>
      <c r="B36568" s="15" t="s">
        <v>10195</v>
      </c>
      <c r="C36568" s="16" t="s">
        <v>10178</v>
      </c>
      <c r="D36568" s="16" t="s">
        <v>10196</v>
      </c>
      <c r="E36568" s="2">
        <v>1279061</v>
      </c>
      <c r="F36568" s="4" t="str">
        <f>IF(B36568=B36567,"",B36568)</f>
        <v>Ä€langÄyam</v>
      </c>
    </row>
    <row r="36569" spans="1:6" ht="15.75" customHeight="1">
      <c r="A36569" s="15" t="s">
        <v>10191</v>
      </c>
      <c r="B36569" s="15" t="s">
        <v>10192</v>
      </c>
      <c r="C36569" s="15" t="s">
        <v>10178</v>
      </c>
      <c r="D36569" s="15" t="s">
        <v>10193</v>
      </c>
      <c r="E36569" s="2">
        <v>1279259</v>
      </c>
      <c r="F36569" s="4" t="str">
        <f>IF(B36569=B36568,"",B36569)</f>
        <v>Ä€gra</v>
      </c>
    </row>
    <row r="36570" spans="1:6" ht="15.75" customHeight="1">
      <c r="A36570" s="15" t="s">
        <v>6812</v>
      </c>
      <c r="B36570" s="15" t="s">
        <v>6813</v>
      </c>
      <c r="C36570" s="15" t="s">
        <v>6807</v>
      </c>
      <c r="D36570" s="15" t="s">
        <v>6814</v>
      </c>
      <c r="E36570" s="2">
        <v>344661</v>
      </c>
      <c r="F36570" s="4" t="str">
        <f>IF(B36570=B36569,"",B36570)</f>
        <v>Ä€garo</v>
      </c>
    </row>
    <row r="36571" spans="1:6" ht="15.75" customHeight="1">
      <c r="A36571" s="15" t="s">
        <v>10188</v>
      </c>
      <c r="B36571" s="15" t="s">
        <v>10189</v>
      </c>
      <c r="C36571" s="15" t="s">
        <v>10178</v>
      </c>
      <c r="D36571" s="15" t="s">
        <v>10190</v>
      </c>
      <c r="E36571" s="2">
        <v>1279335</v>
      </c>
      <c r="F36571" s="4" t="str">
        <f>IF(B36571=B36570,"",B36571)</f>
        <v>Ä€doni</v>
      </c>
    </row>
    <row r="36572" spans="1:6" ht="15.75" customHeight="1">
      <c r="A36572" s="16" t="s">
        <v>10185</v>
      </c>
      <c r="B36572" s="15" t="s">
        <v>10186</v>
      </c>
      <c r="C36572" s="16" t="s">
        <v>10178</v>
      </c>
      <c r="D36572" s="16" t="s">
        <v>10187</v>
      </c>
      <c r="E36572" s="2">
        <v>1279344</v>
      </c>
      <c r="F36572" s="4" t="str">
        <f>IF(B36572=B36571,"",B36572)</f>
        <v>Ä€dilÄbÄd</v>
      </c>
    </row>
    <row r="36573" spans="1:6" ht="15.75" customHeight="1">
      <c r="A36573" s="16" t="s">
        <v>10182</v>
      </c>
      <c r="B36573" s="15" t="s">
        <v>10183</v>
      </c>
      <c r="C36573" s="16" t="s">
        <v>10178</v>
      </c>
      <c r="D36573" s="16" t="s">
        <v>10184</v>
      </c>
      <c r="E36573" s="2">
        <v>1462733</v>
      </c>
      <c r="F36573" s="4" t="str">
        <f>IF(B36573=B36572,"",B36573)</f>
        <v>Ä€dampur</v>
      </c>
    </row>
    <row r="36574" spans="1:6" ht="15.75" customHeight="1">
      <c r="A36574" s="16" t="s">
        <v>19757</v>
      </c>
      <c r="B36574" s="15" t="s">
        <v>19758</v>
      </c>
      <c r="C36574" s="16" t="s">
        <v>19755</v>
      </c>
      <c r="D36574" s="16" t="s">
        <v>19759</v>
      </c>
      <c r="E36574" s="2">
        <v>289433</v>
      </c>
      <c r="F36574" s="4" t="str">
        <f>IF(B36574=B36573,"",B36574)</f>
        <v>Ä€dam</v>
      </c>
    </row>
    <row r="36575" spans="1:6" ht="15.75" customHeight="1">
      <c r="A36575" s="16" t="s">
        <v>6809</v>
      </c>
      <c r="B36575" s="15" t="s">
        <v>6810</v>
      </c>
      <c r="C36575" s="16" t="s">
        <v>6807</v>
      </c>
      <c r="D36575" s="16" t="s">
        <v>6811</v>
      </c>
      <c r="E36575" s="2">
        <v>344923</v>
      </c>
      <c r="F36575" s="4" t="str">
        <f>IF(B36575=B36574,"",B36575)</f>
        <v>Ä€dÄ«s Zemen</v>
      </c>
    </row>
    <row r="36576" spans="1:6" ht="15.75" customHeight="1">
      <c r="A36576" s="16" t="s">
        <v>6805</v>
      </c>
      <c r="B36576" s="15" t="s">
        <v>6806</v>
      </c>
      <c r="C36576" s="16" t="s">
        <v>6807</v>
      </c>
      <c r="D36576" s="16" t="s">
        <v>6808</v>
      </c>
      <c r="E36576" s="2">
        <v>345149</v>
      </c>
      <c r="F36576" s="4" t="str">
        <f>IF(B36576=B36575,"",B36576)</f>
        <v>Ä€dÄ«grat</v>
      </c>
    </row>
    <row r="36577" spans="1:6" ht="15.75" customHeight="1">
      <c r="A36577" s="15" t="s">
        <v>14248</v>
      </c>
      <c r="B36577" s="15" t="s">
        <v>14249</v>
      </c>
      <c r="C36577" s="15" t="s">
        <v>14240</v>
      </c>
      <c r="D36577" s="15" t="s">
        <v>14250</v>
      </c>
      <c r="E36577" s="2">
        <v>144794</v>
      </c>
      <c r="F36577" s="4" t="str">
        <f>IF(B36577=B36576,"",B36577)</f>
        <v>Ä€byek</v>
      </c>
    </row>
    <row r="36578" spans="1:6" ht="15.75" customHeight="1">
      <c r="A36578" s="16" t="s">
        <v>10180</v>
      </c>
      <c r="B36578" s="15" t="s">
        <v>10181</v>
      </c>
      <c r="C36578" s="16" t="s">
        <v>10178</v>
      </c>
      <c r="D36578" s="16" t="s">
        <v>10179</v>
      </c>
      <c r="E36578" s="2">
        <v>1279394</v>
      </c>
      <c r="F36578" s="4" t="str">
        <f>IF(B36578=B36577,"",B36578)</f>
        <v>Ä€bu Road</v>
      </c>
    </row>
    <row r="36579" spans="1:6" ht="15.75" customHeight="1">
      <c r="A36579" s="15" t="s">
        <v>10176</v>
      </c>
      <c r="B36579" s="15" t="s">
        <v>10177</v>
      </c>
      <c r="C36579" s="15" t="s">
        <v>10178</v>
      </c>
      <c r="D36579" s="15" t="s">
        <v>10179</v>
      </c>
      <c r="E36579" s="2">
        <v>1279396</v>
      </c>
      <c r="F36579" s="4" t="str">
        <f>IF(B36579=B36578,"",B36579)</f>
        <v>Ä€bu</v>
      </c>
    </row>
    <row r="36580" spans="1:6" ht="15.75" customHeight="1">
      <c r="A36580" s="16" t="s">
        <v>14245</v>
      </c>
      <c r="B36580" s="15" t="s">
        <v>14246</v>
      </c>
      <c r="C36580" s="16" t="s">
        <v>14240</v>
      </c>
      <c r="D36580" s="16" t="s">
        <v>14247</v>
      </c>
      <c r="E36580" s="2">
        <v>145233</v>
      </c>
      <c r="F36580" s="4" t="str">
        <f>IF(B36580=B36579,"",B36580)</f>
        <v>Ä€bdÄnÄn</v>
      </c>
    </row>
    <row r="36581" spans="1:6" ht="15.75" customHeight="1">
      <c r="A36581" s="16" t="s">
        <v>14242</v>
      </c>
      <c r="B36581" s="15" t="s">
        <v>14243</v>
      </c>
      <c r="C36581" s="16" t="s">
        <v>14240</v>
      </c>
      <c r="D36581" s="16" t="s">
        <v>14244</v>
      </c>
      <c r="E36581" s="2">
        <v>145449</v>
      </c>
      <c r="F36581" s="4" t="str">
        <f>IF(B36581=B36580,"",B36581)</f>
        <v>Ä€bÄdeh</v>
      </c>
    </row>
    <row r="36582" spans="1:6" ht="15.75" customHeight="1">
      <c r="A36582" s="15" t="s">
        <v>16628</v>
      </c>
      <c r="B36582" s="15" t="s">
        <v>16629</v>
      </c>
      <c r="C36582" s="15" t="s">
        <v>16624</v>
      </c>
      <c r="D36582" s="15" t="s">
        <v>16630</v>
      </c>
      <c r="E36582" s="2">
        <v>248923</v>
      </c>
      <c r="F36582" s="4" t="str">
        <f>IF(B36582=B36581,"",B36582)</f>
        <v>â€˜IzrÄ</v>
      </c>
    </row>
    <row r="36583" spans="1:6" ht="15.75" customHeight="1">
      <c r="A36583" s="16" t="s">
        <v>6509</v>
      </c>
      <c r="B36583" s="15" t="s">
        <v>6510</v>
      </c>
      <c r="C36583" s="16" t="s">
        <v>6495</v>
      </c>
      <c r="D36583" s="16" t="s">
        <v>6508</v>
      </c>
      <c r="E36583" s="2">
        <v>355392</v>
      </c>
      <c r="F36583" s="4" t="str">
        <f>IF(B36583=B36582,"",B36583)</f>
        <v>â€˜Izbat al Burj</v>
      </c>
    </row>
    <row r="36584" spans="1:6" ht="15.75" customHeight="1">
      <c r="A36584" s="16" t="s">
        <v>25383</v>
      </c>
      <c r="B36584" s="15" t="s">
        <v>25384</v>
      </c>
      <c r="C36584" s="16" t="s">
        <v>25366</v>
      </c>
      <c r="D36584" s="16" t="s">
        <v>25372</v>
      </c>
      <c r="E36584" s="2">
        <v>169372</v>
      </c>
      <c r="F36584" s="4" t="str">
        <f>IF(B36584=B36583,"",B36584)</f>
        <v>â€˜IrbÄ«n</v>
      </c>
    </row>
    <row r="36585" spans="1:6" ht="15.75" customHeight="1">
      <c r="A36585" s="16" t="s">
        <v>19753</v>
      </c>
      <c r="B36585" s="15" t="s">
        <v>19754</v>
      </c>
      <c r="C36585" s="16" t="s">
        <v>19755</v>
      </c>
      <c r="D36585" s="16" t="s">
        <v>19756</v>
      </c>
      <c r="E36585" s="2">
        <v>287830</v>
      </c>
      <c r="F36585" s="4" t="str">
        <f>IF(B36585=B36584,"",B36585)</f>
        <v>â€˜IbrÄ«</v>
      </c>
    </row>
    <row r="36586" spans="1:6" ht="15.75" customHeight="1">
      <c r="A36586" s="16" t="s">
        <v>27786</v>
      </c>
      <c r="B36586" s="15" t="s">
        <v>27787</v>
      </c>
      <c r="C36586" s="16" t="s">
        <v>27788</v>
      </c>
      <c r="D36586" s="16" t="s">
        <v>27789</v>
      </c>
      <c r="E36586" s="2">
        <v>5855070</v>
      </c>
      <c r="F36586" s="4" t="str">
        <f>IF(B36586=B36585,"",B36586)</f>
        <v>â€˜Ewa Gentry</v>
      </c>
    </row>
    <row r="36587" spans="1:6" ht="15.75" customHeight="1">
      <c r="A36587" s="15" t="s">
        <v>25381</v>
      </c>
      <c r="B36587" s="15" t="s">
        <v>25382</v>
      </c>
      <c r="C36587" s="15" t="s">
        <v>25366</v>
      </c>
      <c r="D36587" s="15" t="s">
        <v>25380</v>
      </c>
      <c r="E36587" s="2">
        <v>172256</v>
      </c>
      <c r="F36587" s="4" t="str">
        <f>IF(B36587=B36586,"",B36587)</f>
        <v>â€˜Ayn al â€˜Arab</v>
      </c>
    </row>
    <row r="36588" spans="1:6" ht="15.75" customHeight="1">
      <c r="A36588" s="15" t="s">
        <v>14777</v>
      </c>
      <c r="B36588" s="15" t="s">
        <v>14778</v>
      </c>
      <c r="C36588" s="15" t="s">
        <v>14773</v>
      </c>
      <c r="D36588" s="15" t="s">
        <v>14779</v>
      </c>
      <c r="E36588" s="2">
        <v>295657</v>
      </c>
      <c r="F36588" s="4" t="str">
        <f>IF(B36588=B36587,"",B36588)</f>
        <v>â€˜Arad</v>
      </c>
    </row>
    <row r="36589" spans="1:6" ht="15.75" customHeight="1">
      <c r="A36589" s="15" t="s">
        <v>23461</v>
      </c>
      <c r="B36589" s="15" t="s">
        <v>23462</v>
      </c>
      <c r="C36589" s="15" t="s">
        <v>23454</v>
      </c>
      <c r="D36589" s="15" t="s">
        <v>23457</v>
      </c>
      <c r="E36589" s="2">
        <v>108512</v>
      </c>
      <c r="F36589" s="4" t="str">
        <f>IF(B36589=B36588,"",B36589)</f>
        <v>â€˜Arâ€˜ar</v>
      </c>
    </row>
    <row r="36590" spans="1:6" ht="15.75" customHeight="1">
      <c r="A36590" s="16" t="s">
        <v>14607</v>
      </c>
      <c r="B36590" s="15" t="s">
        <v>14608</v>
      </c>
      <c r="C36590" s="16" t="s">
        <v>14594</v>
      </c>
      <c r="D36590" s="16" t="s">
        <v>14609</v>
      </c>
      <c r="E36590" s="2">
        <v>98822</v>
      </c>
      <c r="F36590" s="4" t="str">
        <f>IF(B36590=B36589,"",B36590)</f>
        <v>â€˜Aqrah</v>
      </c>
    </row>
    <row r="36591" spans="1:6" ht="15.75" customHeight="1">
      <c r="A36591" s="16" t="s">
        <v>16626</v>
      </c>
      <c r="B36591" s="15" t="s">
        <v>16627</v>
      </c>
      <c r="C36591" s="16" t="s">
        <v>16624</v>
      </c>
      <c r="D36591" s="16" t="s">
        <v>16625</v>
      </c>
      <c r="E36591" s="2">
        <v>250420</v>
      </c>
      <c r="F36591" s="4" t="str">
        <f>IF(B36591=B36590,"",B36591)</f>
        <v>â€˜Anjarah</v>
      </c>
    </row>
    <row r="36592" spans="1:6" ht="15.75" customHeight="1">
      <c r="A36592" s="16" t="s">
        <v>14605</v>
      </c>
      <c r="B36592" s="15" t="s">
        <v>14606</v>
      </c>
      <c r="C36592" s="16" t="s">
        <v>14594</v>
      </c>
      <c r="D36592" s="16" t="s">
        <v>14595</v>
      </c>
      <c r="E36592" s="2">
        <v>98885</v>
      </c>
      <c r="F36592" s="4" t="str">
        <f>IF(B36592=B36591,"",B36592)</f>
        <v>â€˜Anat al QadÄ«mah</v>
      </c>
    </row>
    <row r="36593" spans="1:6" ht="15.75" customHeight="1">
      <c r="A36593" s="16" t="s">
        <v>30994</v>
      </c>
      <c r="B36593" s="15" t="s">
        <v>30995</v>
      </c>
      <c r="C36593" s="16" t="s">
        <v>30993</v>
      </c>
      <c r="D36593" s="16" t="s">
        <v>30996</v>
      </c>
      <c r="E36593" s="2">
        <v>78428</v>
      </c>
      <c r="F36593" s="4" t="str">
        <f>IF(B36593=B36592,"",B36593)</f>
        <v>â€˜AmrÄn</v>
      </c>
    </row>
    <row r="36594" spans="1:6" ht="15.75" customHeight="1">
      <c r="A36594" s="16" t="s">
        <v>14602</v>
      </c>
      <c r="B36594" s="15" t="s">
        <v>14603</v>
      </c>
      <c r="C36594" s="16" t="s">
        <v>14594</v>
      </c>
      <c r="D36594" s="16" t="s">
        <v>14604</v>
      </c>
      <c r="E36594" s="2">
        <v>99306</v>
      </c>
      <c r="F36594" s="4" t="str">
        <f>IF(B36594=B36593,"",B36594)</f>
        <v>â€˜AlÄ« al GharbÄ«</v>
      </c>
    </row>
    <row r="36595" spans="1:6" ht="15.75" customHeight="1">
      <c r="A36595" s="15" t="s">
        <v>14775</v>
      </c>
      <c r="B36595" s="15" t="s">
        <v>14776</v>
      </c>
      <c r="C36595" s="15" t="s">
        <v>14773</v>
      </c>
      <c r="D36595" s="15" t="s">
        <v>14774</v>
      </c>
      <c r="E36595" s="2">
        <v>295721</v>
      </c>
      <c r="F36595" s="4" t="str">
        <f>IF(B36595=B36594,"",B36595)</f>
        <v>â€˜Akko</v>
      </c>
    </row>
    <row r="36596" spans="1:6" ht="15.75" customHeight="1">
      <c r="A36596" s="16" t="s">
        <v>16622</v>
      </c>
      <c r="B36596" s="15" t="s">
        <v>16623</v>
      </c>
      <c r="C36596" s="16" t="s">
        <v>16624</v>
      </c>
      <c r="D36596" s="16" t="s">
        <v>16625</v>
      </c>
      <c r="E36596" s="2">
        <v>250799</v>
      </c>
      <c r="F36596" s="4" t="str">
        <f>IF(B36596=B36595,"",B36596)</f>
        <v>â€˜AjlÅ«n</v>
      </c>
    </row>
    <row r="36597" spans="1:6" ht="15.75" customHeight="1">
      <c r="A36597" s="16" t="s">
        <v>14238</v>
      </c>
      <c r="B36597" s="15" t="s">
        <v>14239</v>
      </c>
      <c r="C36597" s="16" t="s">
        <v>14240</v>
      </c>
      <c r="D36597" s="16" t="s">
        <v>14241</v>
      </c>
      <c r="E36597" s="2">
        <v>144443</v>
      </c>
      <c r="F36597" s="4" t="str">
        <f>IF(B36597=B36596,"",B36597)</f>
        <v>â€˜Ajab ShÄ«r</v>
      </c>
    </row>
    <row r="36598" spans="1:6" ht="15.75" customHeight="1">
      <c r="A36598" s="16" t="s">
        <v>14771</v>
      </c>
      <c r="B36598" s="15" t="s">
        <v>14772</v>
      </c>
      <c r="C36598" s="16" t="s">
        <v>14773</v>
      </c>
      <c r="D36598" s="16" t="s">
        <v>14774</v>
      </c>
      <c r="E36598" s="2">
        <v>295739</v>
      </c>
      <c r="F36598" s="4" t="str">
        <f>IF(B36598=B36597,"",B36598)</f>
        <v>â€˜Afula â€˜Illit</v>
      </c>
    </row>
    <row r="36599" spans="1:6" ht="15.75" customHeight="1">
      <c r="A36599" s="16" t="s">
        <v>25378</v>
      </c>
      <c r="B36599" s="15" t="s">
        <v>25379</v>
      </c>
      <c r="C36599" s="16" t="s">
        <v>25366</v>
      </c>
      <c r="D36599" s="16" t="s">
        <v>25380</v>
      </c>
      <c r="E36599" s="2">
        <v>174186</v>
      </c>
      <c r="F36599" s="4" t="str">
        <f>IF(B36599=B36598,"",B36599)</f>
        <v>â€˜AfrÄ«n</v>
      </c>
    </row>
    <row r="36600" spans="1:6" ht="15.75" customHeight="1">
      <c r="A36600" s="15" t="s">
        <v>14599</v>
      </c>
      <c r="B36600" s="15" t="s">
        <v>14600</v>
      </c>
      <c r="C36600" s="15" t="s">
        <v>14594</v>
      </c>
      <c r="D36600" s="15" t="s">
        <v>14601</v>
      </c>
      <c r="E36600" s="2">
        <v>99738</v>
      </c>
      <c r="F36600" s="4" t="str">
        <f>IF(B36600=B36599,"",B36600)</f>
        <v>â€˜Afak</v>
      </c>
    </row>
    <row r="36601" spans="1:6" ht="15.75" customHeight="1">
      <c r="A36601" s="16" t="s">
        <v>23458</v>
      </c>
      <c r="B36601" s="15" t="s">
        <v>23459</v>
      </c>
      <c r="C36601" s="16" t="s">
        <v>23454</v>
      </c>
      <c r="D36601" s="16" t="s">
        <v>23460</v>
      </c>
      <c r="E36601" s="2">
        <v>110250</v>
      </c>
      <c r="F36601" s="4" t="str">
        <f>IF(B36601=B36600,"",B36601)</f>
        <v>â€˜AfÄ«f</v>
      </c>
    </row>
    <row r="36602" spans="1:6" ht="15.75" customHeight="1">
      <c r="A36602" s="16" t="s">
        <v>20303</v>
      </c>
      <c r="B36602" s="15" t="s">
        <v>20304</v>
      </c>
      <c r="C36602" s="16" t="s">
        <v>20297</v>
      </c>
      <c r="D36602" s="16" t="s">
        <v>20305</v>
      </c>
      <c r="E36602" s="2">
        <v>281165</v>
      </c>
      <c r="F36602" s="4" t="str">
        <f>IF(B36602=B36601,"",B36602)</f>
        <v>â€˜AbasÄn al KabÄ«rah</v>
      </c>
    </row>
    <row r="36603" spans="1:6" ht="15.75" customHeight="1">
      <c r="A36603" s="16" t="s">
        <v>151</v>
      </c>
      <c r="B36603" s="15" t="s">
        <v>152</v>
      </c>
      <c r="C36603" s="16" t="s">
        <v>153</v>
      </c>
      <c r="D36603" s="16" t="s">
        <v>154</v>
      </c>
      <c r="E36603" s="2">
        <v>2508157</v>
      </c>
      <c r="F36603" s="4" t="str">
        <f>IF(B36603=B36602,"",B36603)</f>
        <v>â€˜AÃ¯n el Hadjel</v>
      </c>
    </row>
    <row r="36604" spans="1:6" ht="15.75" customHeight="1">
      <c r="A36604" s="15" t="s">
        <v>23455</v>
      </c>
      <c r="B36604" s="15" t="s">
        <v>23456</v>
      </c>
      <c r="C36604" s="15" t="s">
        <v>23454</v>
      </c>
      <c r="D36604" s="15" t="s">
        <v>23457</v>
      </c>
      <c r="E36604" s="2">
        <v>101312</v>
      </c>
      <c r="F36604" s="4" t="str">
        <f>IF(B36604=B36603,"",B36604)</f>
        <v>Å¢urayf</v>
      </c>
    </row>
    <row r="36605" spans="1:6" ht="15.75" customHeight="1">
      <c r="A36605" s="16" t="s">
        <v>23452</v>
      </c>
      <c r="B36605" s="15" t="s">
        <v>23453</v>
      </c>
      <c r="C36605" s="16" t="s">
        <v>23454</v>
      </c>
      <c r="D36605" s="16" t="s">
        <v>17085</v>
      </c>
      <c r="E36605" s="2">
        <v>101631</v>
      </c>
      <c r="F36605" s="4" t="str">
        <f>IF(B36605=B36604,"",B36605)</f>
        <v>Å¢ubarjal</v>
      </c>
    </row>
    <row r="36606" spans="1:6" ht="15.75" customHeight="1">
      <c r="A36606" s="16" t="s">
        <v>25376</v>
      </c>
      <c r="B36606" s="15" t="s">
        <v>25377</v>
      </c>
      <c r="C36606" s="16" t="s">
        <v>25366</v>
      </c>
      <c r="D36606" s="16" t="s">
        <v>25367</v>
      </c>
      <c r="E36606" s="2">
        <v>163270</v>
      </c>
      <c r="F36606" s="4" t="str">
        <f>IF(B36606=B36605,"",B36606)</f>
        <v>Å¢ayyibat al ImÄm</v>
      </c>
    </row>
    <row r="36607" spans="1:6" ht="15.75" customHeight="1">
      <c r="A36607" s="15" t="s">
        <v>6506</v>
      </c>
      <c r="B36607" s="15" t="s">
        <v>6507</v>
      </c>
      <c r="C36607" s="15" t="s">
        <v>6495</v>
      </c>
      <c r="D36607" s="15" t="s">
        <v>6508</v>
      </c>
      <c r="E36607" s="2">
        <v>347591</v>
      </c>
      <c r="F36607" s="4" t="str">
        <f>IF(B36607=B36606,"",B36607)</f>
        <v>Å¢alkhÄ</v>
      </c>
    </row>
    <row r="36608" spans="1:6" ht="15.75" customHeight="1">
      <c r="A36608" s="16" t="s">
        <v>6503</v>
      </c>
      <c r="B36608" s="15" t="s">
        <v>6504</v>
      </c>
      <c r="C36608" s="16" t="s">
        <v>6495</v>
      </c>
      <c r="D36608" s="16" t="s">
        <v>6505</v>
      </c>
      <c r="E36608" s="2">
        <v>347634</v>
      </c>
      <c r="F36608" s="4" t="str">
        <f>IF(B36608=B36607,"",B36608)</f>
        <v>Å¢ahÅ£Ä</v>
      </c>
    </row>
    <row r="36609" spans="1:6" ht="15.75" customHeight="1">
      <c r="A36609" s="15" t="s">
        <v>25373</v>
      </c>
      <c r="B36609" s="15" t="s">
        <v>25374</v>
      </c>
      <c r="C36609" s="15" t="s">
        <v>25366</v>
      </c>
      <c r="D36609" s="15" t="s">
        <v>25375</v>
      </c>
      <c r="E36609" s="2">
        <v>163806</v>
      </c>
      <c r="F36609" s="4" t="str">
        <f>IF(B36609=B36608,"",B36609)</f>
        <v>Å¢afas</v>
      </c>
    </row>
    <row r="36610" spans="1:6" ht="15.75" customHeight="1">
      <c r="A36610" s="15" t="s">
        <v>6500</v>
      </c>
      <c r="B36610" s="15" t="s">
        <v>6501</v>
      </c>
      <c r="C36610" s="15" t="s">
        <v>6495</v>
      </c>
      <c r="D36610" s="15" t="s">
        <v>6502</v>
      </c>
      <c r="E36610" s="2">
        <v>347542</v>
      </c>
      <c r="F36610" s="4" t="str">
        <f>IF(B36610=B36609,"",B36610)</f>
        <v>Å¢Ämiyah</v>
      </c>
    </row>
    <row r="36611" spans="1:6" ht="15.75" customHeight="1">
      <c r="A36611" s="16" t="s">
        <v>20301</v>
      </c>
      <c r="B36611" s="15" t="s">
        <v>20302</v>
      </c>
      <c r="C36611" s="16" t="s">
        <v>20297</v>
      </c>
      <c r="D36611" s="16" t="s">
        <v>20298</v>
      </c>
      <c r="E36611" s="2">
        <v>281577</v>
      </c>
      <c r="F36611" s="4" t="str">
        <f>IF(B36611=B36610,"",B36611)</f>
        <v>Å¢Å«lkarm</v>
      </c>
    </row>
    <row r="36612" spans="1:6" ht="15.75" customHeight="1">
      <c r="A36612" s="16" t="s">
        <v>20299</v>
      </c>
      <c r="B36612" s="15" t="s">
        <v>20300</v>
      </c>
      <c r="C36612" s="16" t="s">
        <v>20297</v>
      </c>
      <c r="D36612" s="16" t="s">
        <v>20298</v>
      </c>
      <c r="E36612" s="2">
        <v>281581</v>
      </c>
      <c r="F36612" s="4" t="str">
        <f>IF(B36612=B36611,"",B36612)</f>
        <v>Å¢Å«bÄs</v>
      </c>
    </row>
    <row r="36613" spans="1:6" ht="15.75" customHeight="1">
      <c r="A36613" s="16" t="s">
        <v>25075</v>
      </c>
      <c r="B36613" s="15" t="s">
        <v>25076</v>
      </c>
      <c r="C36613" s="16" t="s">
        <v>25077</v>
      </c>
      <c r="D36613" s="16" t="s">
        <v>25078</v>
      </c>
      <c r="E36613" s="2">
        <v>2725901</v>
      </c>
      <c r="F36613" s="4" t="str">
        <f>IF(B36613=B36612,"",B36613)</f>
        <v>Ã„ngelholm</v>
      </c>
    </row>
    <row r="36614" spans="1:6" ht="15.75" customHeight="1">
      <c r="A36614" s="15" t="s">
        <v>9953</v>
      </c>
      <c r="B36614" s="15" t="s">
        <v>9954</v>
      </c>
      <c r="C36614" s="15" t="s">
        <v>9955</v>
      </c>
      <c r="D36614" s="15" t="s">
        <v>9956</v>
      </c>
      <c r="E36614" s="2">
        <v>716671</v>
      </c>
      <c r="F36614" s="4" t="str">
        <f>IF(B36614=B36613,"",B36614)</f>
        <v>Ã“zd</v>
      </c>
    </row>
    <row r="36615" spans="1:6" ht="15.75" customHeight="1">
      <c r="A36615" s="16" t="s">
        <v>6290</v>
      </c>
      <c r="B36615" s="15" t="s">
        <v>6291</v>
      </c>
      <c r="C36615" s="16" t="s">
        <v>6292</v>
      </c>
      <c r="D36615" s="16" t="s">
        <v>6293</v>
      </c>
      <c r="E36615" s="2">
        <v>224152</v>
      </c>
      <c r="F36615" s="4" t="str">
        <f>IF(B36615=B36614,"",B36615)</f>
        <v>á¸ŽÃ¢nan</v>
      </c>
    </row>
    <row r="36616" spans="1:6" ht="15.75" customHeight="1">
      <c r="A36616" s="15" t="s">
        <v>6497</v>
      </c>
      <c r="B36616" s="15" t="s">
        <v>6498</v>
      </c>
      <c r="C36616" s="15" t="s">
        <v>6495</v>
      </c>
      <c r="D36616" s="15" t="s">
        <v>6499</v>
      </c>
      <c r="E36616" s="2">
        <v>356000</v>
      </c>
      <c r="F36616" s="4" t="str">
        <f>IF(B36616=B36615,"",B36616)</f>
        <v>á¸¨awsh â€˜ÄªsÃ¡</v>
      </c>
    </row>
    <row r="36617" spans="1:6" ht="15.75" customHeight="1">
      <c r="A36617" s="16" t="s">
        <v>16882</v>
      </c>
      <c r="B36617" s="15" t="s">
        <v>16883</v>
      </c>
      <c r="C36617" s="16" t="s">
        <v>16884</v>
      </c>
      <c r="D36617" s="16" t="s">
        <v>16885</v>
      </c>
      <c r="E36617" s="2">
        <v>285629</v>
      </c>
      <c r="F36617" s="4" t="str">
        <f>IF(B36617=B36616,"",B36617)</f>
        <v>á¸¨awallÄ«</v>
      </c>
    </row>
    <row r="36618" spans="1:6" ht="15.75" customHeight="1">
      <c r="A36618" s="15" t="s">
        <v>25370</v>
      </c>
      <c r="B36618" s="15" t="s">
        <v>25371</v>
      </c>
      <c r="C36618" s="15" t="s">
        <v>25366</v>
      </c>
      <c r="D36618" s="15" t="s">
        <v>25372</v>
      </c>
      <c r="E36618" s="2">
        <v>169897</v>
      </c>
      <c r="F36618" s="4" t="str">
        <f>IF(B36618=B36617,"",B36618)</f>
        <v>á¸¨arastÄ</v>
      </c>
    </row>
    <row r="36619" spans="1:6" ht="15.75" customHeight="1">
      <c r="A36619" s="15" t="s">
        <v>25368</v>
      </c>
      <c r="B36619" s="15" t="s">
        <v>25369</v>
      </c>
      <c r="C36619" s="15" t="s">
        <v>25366</v>
      </c>
      <c r="D36619" s="15" t="s">
        <v>25367</v>
      </c>
      <c r="E36619" s="2">
        <v>170017</v>
      </c>
      <c r="F36619" s="4" t="str">
        <f>IF(B36619=B36618,"",B36619)</f>
        <v>á¸¨amÄh</v>
      </c>
    </row>
    <row r="36620" spans="1:6" ht="15.75" customHeight="1">
      <c r="A36620" s="15" t="s">
        <v>6493</v>
      </c>
      <c r="B36620" s="15" t="s">
        <v>6494</v>
      </c>
      <c r="C36620" s="15" t="s">
        <v>6495</v>
      </c>
      <c r="D36620" s="15" t="s">
        <v>6496</v>
      </c>
      <c r="E36620" s="2">
        <v>355795</v>
      </c>
      <c r="F36620" s="4" t="str">
        <f>IF(B36620=B36619,"",B36620)</f>
        <v>á¸¨alwÄn</v>
      </c>
    </row>
    <row r="36621" spans="1:6" ht="15.75" customHeight="1">
      <c r="A36621" s="15" t="s">
        <v>25364</v>
      </c>
      <c r="B36621" s="15" t="s">
        <v>25365</v>
      </c>
      <c r="C36621" s="15" t="s">
        <v>25366</v>
      </c>
      <c r="D36621" s="15" t="s">
        <v>25367</v>
      </c>
      <c r="E36621" s="2">
        <v>170044</v>
      </c>
      <c r="F36621" s="4" t="str">
        <f>IF(B36621=B36620,"",B36621)</f>
        <v>á¸¨alfÄyÄ</v>
      </c>
    </row>
    <row r="36622" spans="1:6" ht="15.75" customHeight="1">
      <c r="A36622" s="16" t="s">
        <v>14596</v>
      </c>
      <c r="B36622" s="15" t="s">
        <v>14597</v>
      </c>
      <c r="C36622" s="16" t="s">
        <v>14594</v>
      </c>
      <c r="D36622" s="16" t="s">
        <v>14598</v>
      </c>
      <c r="E36622" s="2">
        <v>96205</v>
      </c>
      <c r="F36622" s="4" t="str">
        <f>IF(B36622=B36621,"",B36622)</f>
        <v>á¸¨alabjah</v>
      </c>
    </row>
    <row r="36623" spans="1:6" ht="15.75" customHeight="1">
      <c r="A36623" s="16" t="s">
        <v>20295</v>
      </c>
      <c r="B36623" s="15" t="s">
        <v>20296</v>
      </c>
      <c r="C36623" s="16" t="s">
        <v>20297</v>
      </c>
      <c r="D36623" s="16" t="s">
        <v>20298</v>
      </c>
      <c r="E36623" s="2">
        <v>283806</v>
      </c>
      <c r="F36623" s="4" t="str">
        <f>IF(B36623=B36622,"",B36623)</f>
        <v>á¸¨alá¸©Å«l</v>
      </c>
    </row>
    <row r="36624" spans="1:6" ht="15.75" customHeight="1">
      <c r="A36624" s="15" t="s">
        <v>30991</v>
      </c>
      <c r="B36624" s="15" t="s">
        <v>30992</v>
      </c>
      <c r="C36624" s="15" t="s">
        <v>30993</v>
      </c>
      <c r="D36624" s="15" t="s">
        <v>30992</v>
      </c>
      <c r="E36624" s="2">
        <v>75337</v>
      </c>
      <c r="F36624" s="4" t="str">
        <f>IF(B36624=B36623,"",B36624)</f>
        <v>á¸¨ajjah</v>
      </c>
    </row>
    <row r="36625" spans="1:6" ht="15.75" customHeight="1">
      <c r="A36625" s="16" t="s">
        <v>14592</v>
      </c>
      <c r="B36625" s="15" t="s">
        <v>14593</v>
      </c>
      <c r="C36625" s="16" t="s">
        <v>14594</v>
      </c>
      <c r="D36625" s="16" t="s">
        <v>14595</v>
      </c>
      <c r="E36625" s="2">
        <v>96309</v>
      </c>
      <c r="F36625" s="4" t="str">
        <f>IF(B36625=B36624,"",B36625)</f>
        <v>á¸¨adÄ«thah</v>
      </c>
    </row>
    <row r="36626" spans="1:6" ht="15.75" customHeight="1">
      <c r="A36626" s="16" t="s">
        <v>17219</v>
      </c>
      <c r="B36626" s="15" t="s">
        <v>17220</v>
      </c>
      <c r="C36626" s="16" t="s">
        <v>17221</v>
      </c>
      <c r="D36626" s="16" t="s">
        <v>17222</v>
      </c>
      <c r="E36626" s="2">
        <v>833258</v>
      </c>
      <c r="F36626" s="4" t="str">
        <f>IF(B36626=B36625,"",B36626)</f>
        <v>Å uto Orizare</v>
      </c>
    </row>
    <row r="36627" spans="1:6" ht="15.75" customHeight="1">
      <c r="A36627" s="16" t="s">
        <v>5945</v>
      </c>
      <c r="B36627" s="15" t="s">
        <v>5946</v>
      </c>
      <c r="C36627" s="16" t="s">
        <v>5947</v>
      </c>
      <c r="D36627" s="16" t="s">
        <v>5948</v>
      </c>
      <c r="E36627" s="2">
        <v>3064673</v>
      </c>
      <c r="F36627" s="4" t="str">
        <f>IF(B36627=B36626,"",B36627)</f>
        <v>Å umperk</v>
      </c>
    </row>
    <row r="36628" spans="1:6" ht="15.75" customHeight="1">
      <c r="A36628" s="15" t="s">
        <v>17159</v>
      </c>
      <c r="B36628" s="15" t="s">
        <v>17160</v>
      </c>
      <c r="C36628" s="15" t="s">
        <v>17154</v>
      </c>
      <c r="D36628" s="15" t="s">
        <v>17161</v>
      </c>
      <c r="E36628" s="2">
        <v>9610004</v>
      </c>
      <c r="F36628" s="4" t="str">
        <f>IF(B36628=B36627,"",B36628)</f>
        <v>Å ilainiai</v>
      </c>
    </row>
    <row r="36629" spans="1:6" ht="15.75" customHeight="1">
      <c r="A36629" s="15" t="s">
        <v>5709</v>
      </c>
      <c r="B36629" s="15" t="s">
        <v>5710</v>
      </c>
      <c r="C36629" s="15" t="s">
        <v>5711</v>
      </c>
      <c r="D36629" s="15" t="s">
        <v>5712</v>
      </c>
      <c r="E36629" s="2">
        <v>3190941</v>
      </c>
      <c r="F36629" s="4" t="str">
        <f>IF(B36629=B36628,"",B36629)</f>
        <v>Å ibenik</v>
      </c>
    </row>
    <row r="36630" spans="1:6" ht="15.75" customHeight="1">
      <c r="A36630" s="15" t="s">
        <v>17156</v>
      </c>
      <c r="B36630" s="15" t="s">
        <v>17157</v>
      </c>
      <c r="C36630" s="15" t="s">
        <v>17154</v>
      </c>
      <c r="D36630" s="15" t="s">
        <v>17158</v>
      </c>
      <c r="E36630" s="2">
        <v>594739</v>
      </c>
      <c r="F36630" s="4" t="str">
        <f>IF(B36630=B36629,"",B36630)</f>
        <v>Å iauliai</v>
      </c>
    </row>
    <row r="36631" spans="1:6" ht="15.75" customHeight="1">
      <c r="A36631" s="16" t="s">
        <v>17152</v>
      </c>
      <c r="B36631" s="15" t="s">
        <v>17153</v>
      </c>
      <c r="C36631" s="16" t="s">
        <v>17154</v>
      </c>
      <c r="D36631" s="16" t="s">
        <v>17155</v>
      </c>
      <c r="E36631" s="2">
        <v>10062602</v>
      </c>
      <c r="F36631" s="4" t="str">
        <f>IF(B36631=B36630,"",B36631)</f>
        <v>Å eÅ¡kinÄ—</v>
      </c>
    </row>
    <row r="36632" spans="1:6" ht="15.75" customHeight="1">
      <c r="A36632" s="15" t="s">
        <v>23600</v>
      </c>
      <c r="B36632" s="15" t="s">
        <v>23601</v>
      </c>
      <c r="C36632" s="15" t="s">
        <v>23602</v>
      </c>
      <c r="D36632" s="15" t="s">
        <v>23603</v>
      </c>
      <c r="E36632" s="2">
        <v>3191376</v>
      </c>
      <c r="F36632" s="4" t="e">
        <f>IF(B36632=#REF!,"",B36632)</f>
        <v>#REF!</v>
      </c>
    </row>
    <row r="36633" spans="1:6" ht="15.75" customHeight="1">
      <c r="A36633" s="15" t="s">
        <v>24202</v>
      </c>
      <c r="B36633" s="15" t="s">
        <v>24202</v>
      </c>
      <c r="C36633" s="15" t="s">
        <v>24200</v>
      </c>
      <c r="D36633" s="15" t="s">
        <v>24201</v>
      </c>
      <c r="E36633" s="2">
        <v>3119746</v>
      </c>
      <c r="F36633" s="4" t="str">
        <f>IF(B36633=B36632,"",B36633)</f>
        <v>A Estrada</v>
      </c>
    </row>
    <row r="36634" spans="1:6" ht="15.75" customHeight="1">
      <c r="A36634" s="16" t="str">
        <f ca="1">IFERROR(__xludf.DUMMYFUNCTION("GOOGLETRANSLATE(B29383,""en"",""pt"")"),"Uma coruña")</f>
        <v>Uma coruña</v>
      </c>
      <c r="B36634" s="20" t="s">
        <v>32459</v>
      </c>
      <c r="C36634" s="20" t="s">
        <v>24200</v>
      </c>
      <c r="D36634" s="20" t="s">
        <v>24201</v>
      </c>
      <c r="E36634" s="10">
        <v>3119841</v>
      </c>
      <c r="F36634" s="4" t="str">
        <f>IF(B36634=B36633,"",B36634)</f>
        <v>A Coruña</v>
      </c>
    </row>
    <row r="36635" spans="1:6" ht="15.75" customHeight="1">
      <c r="A36635" s="15" t="s">
        <v>24198</v>
      </c>
      <c r="B36635" s="15" t="s">
        <v>24199</v>
      </c>
      <c r="C36635" s="15" t="s">
        <v>24200</v>
      </c>
      <c r="D36635" s="15" t="s">
        <v>24201</v>
      </c>
      <c r="E36635" s="2">
        <v>3119841</v>
      </c>
      <c r="F36635" s="4" t="str">
        <f>IF(B36635=B36634,"",B36635)</f>
        <v>A CoruÃ±a</v>
      </c>
    </row>
    <row r="36636" spans="1:6" ht="15.75" customHeight="1">
      <c r="A36636" s="16" t="str">
        <f ca="1">IFERROR(__xludf.DUMMYFUNCTION("GOOGLETRANSLATE(B28725,""en"",""pt"")"),"'Aïn Merane")</f>
        <v>'Aïn Merane</v>
      </c>
      <c r="B36636" s="20" t="s">
        <v>32217</v>
      </c>
      <c r="C36636" s="20" t="s">
        <v>153</v>
      </c>
      <c r="D36636" s="20" t="s">
        <v>180</v>
      </c>
      <c r="E36636" s="10">
        <v>2508010</v>
      </c>
      <c r="F36636" s="4" t="str">
        <f>IF(B36636=B36635,"",B36636)</f>
        <v>’Aïn Merane</v>
      </c>
    </row>
    <row r="36637" spans="1:6" ht="15.75" customHeight="1">
      <c r="A36637" s="16" t="str">
        <f ca="1">IFERROR(__xludf.DUMMYFUNCTION("GOOGLETRANSLATE(B28728,""en"",""pt"")"),"'Aïn El Turk")</f>
        <v>'Aïn El Turk</v>
      </c>
      <c r="B36637" s="20" t="s">
        <v>32220</v>
      </c>
      <c r="C36637" s="20" t="s">
        <v>153</v>
      </c>
      <c r="D36637" s="20" t="s">
        <v>177</v>
      </c>
      <c r="E36637" s="10">
        <v>2508119</v>
      </c>
      <c r="F36637" s="4" t="str">
        <f>IF(B36637=B36636,"",B36637)</f>
        <v>’Aïn el Turk</v>
      </c>
    </row>
    <row r="36638" spans="1:6" ht="15.75" customHeight="1">
      <c r="A36638" s="16" t="str">
        <f ca="1">IFERROR(__xludf.DUMMYFUNCTION("GOOGLETRANSLATE(B28729,""en"",""pt"")"),"'Aïn el MEHH")</f>
        <v>'Aïn el MEHH</v>
      </c>
      <c r="B36638" s="20" t="s">
        <v>32221</v>
      </c>
      <c r="C36638" s="20" t="s">
        <v>153</v>
      </c>
      <c r="D36638" s="20" t="s">
        <v>32189</v>
      </c>
      <c r="E36638" s="10">
        <v>2508130</v>
      </c>
      <c r="F36638" s="4" t="str">
        <f>IF(B36638=B36637,"",B36638)</f>
        <v>’Aïn el Melh</v>
      </c>
    </row>
    <row r="36639" spans="1:6" ht="15.75" customHeight="1">
      <c r="A36639" s="16" t="str">
        <f ca="1">IFERROR(__xludf.DUMMYFUNCTION("GOOGLETRANSLATE(B28730,""en"",""pt"")"),"'Aïn El Hammam")</f>
        <v>'Aïn El Hammam</v>
      </c>
      <c r="B36639" s="20" t="s">
        <v>32222</v>
      </c>
      <c r="C36639" s="20" t="s">
        <v>153</v>
      </c>
      <c r="D36639" s="20" t="s">
        <v>172</v>
      </c>
      <c r="E36639" s="10">
        <v>2508152</v>
      </c>
      <c r="F36639" s="4" t="str">
        <f>IF(B36639=B36638,"",B36639)</f>
        <v>’Aïn el Hammam</v>
      </c>
    </row>
    <row r="36640" spans="1:6" ht="15.75" customHeight="1">
      <c r="A36640" s="16" t="str">
        <f ca="1">IFERROR(__xludf.DUMMYFUNCTION("GOOGLETRANSLATE(B28733,""en"",""pt"")"),"'Aïn El Berd")</f>
        <v>'Aïn El Berd</v>
      </c>
      <c r="B36640" s="20" t="s">
        <v>32225</v>
      </c>
      <c r="C36640" s="20" t="s">
        <v>153</v>
      </c>
      <c r="D36640" s="20" t="s">
        <v>32187</v>
      </c>
      <c r="E36640" s="10">
        <v>2508180</v>
      </c>
      <c r="F36640" s="4" t="str">
        <f>IF(B36640=B36639,"",B36640)</f>
        <v>’Aïn el Berd</v>
      </c>
    </row>
    <row r="36641" spans="1:6" ht="15.75" customHeight="1">
      <c r="A36641" s="16" t="str">
        <f ca="1">IFERROR(__xludf.DUMMYFUNCTION("GOOGLETRANSLATE(B28734,""en"",""pt"")"),"'Aïn El Bell")</f>
        <v>'Aïn El Bell</v>
      </c>
      <c r="B36641" s="20" t="s">
        <v>32226</v>
      </c>
      <c r="C36641" s="20" t="s">
        <v>153</v>
      </c>
      <c r="D36641" s="20" t="s">
        <v>166</v>
      </c>
      <c r="E36641" s="10">
        <v>2508184</v>
      </c>
      <c r="F36641" s="4" t="str">
        <f>IF(B36641=B36640,"",B36641)</f>
        <v>’Aïn el Bell</v>
      </c>
    </row>
    <row r="36642" spans="1:6" ht="15.75" customHeight="1">
      <c r="A36642" s="16" t="str">
        <f ca="1">IFERROR(__xludf.DUMMYFUNCTION("GOOGLETRANSLATE(B28735,""en"",""pt"")"),"'Aïn Deheb")</f>
        <v>'Aïn Deheb</v>
      </c>
      <c r="B36642" s="20" t="s">
        <v>32227</v>
      </c>
      <c r="C36642" s="20" t="s">
        <v>153</v>
      </c>
      <c r="D36642" s="20" t="s">
        <v>163</v>
      </c>
      <c r="E36642" s="10">
        <v>2508225</v>
      </c>
      <c r="F36642" s="4" t="str">
        <f>IF(B36642=B36641,"",B36642)</f>
        <v>’Aïn Deheb</v>
      </c>
    </row>
    <row r="36643" spans="1:6" ht="15.75" customHeight="1">
      <c r="A36643" s="16" t="str">
        <f ca="1">IFERROR(__xludf.DUMMYFUNCTION("GOOGLETRANSLATE(B28738,""en"",""pt"")"),"'Aïn Benian")</f>
        <v>'Aïn Benian</v>
      </c>
      <c r="B36643" s="20" t="s">
        <v>32229</v>
      </c>
      <c r="C36643" s="20" t="s">
        <v>153</v>
      </c>
      <c r="D36643" s="20" t="s">
        <v>160</v>
      </c>
      <c r="E36643" s="10">
        <v>2508275</v>
      </c>
      <c r="F36643" s="4" t="str">
        <f>IF(B36643=B36642,"",B36643)</f>
        <v>’Aïn Benian</v>
      </c>
    </row>
    <row r="36644" spans="1:6" ht="15.75" customHeight="1">
      <c r="A36644" s="16" t="str">
        <f ca="1">IFERROR(__xludf.DUMMYFUNCTION("GOOGLETRANSLATE(B28741,""en"",""pt"")"),"'Aïn Abid")</f>
        <v>'Aïn Abid</v>
      </c>
      <c r="B36644" s="20" t="s">
        <v>32232</v>
      </c>
      <c r="C36644" s="20" t="s">
        <v>153</v>
      </c>
      <c r="D36644" s="20" t="s">
        <v>157</v>
      </c>
      <c r="E36644" s="10">
        <v>2508309</v>
      </c>
      <c r="F36644" s="4" t="str">
        <f>IF(B36644=B36643,"",B36644)</f>
        <v>’Aïn Abid</v>
      </c>
    </row>
    <row r="36645" spans="1:6" ht="15.75" customHeight="1">
      <c r="A36645" s="16" t="str">
        <f ca="1">IFERROR(__xludf.DUMMYFUNCTION("GOOGLETRANSLATE(B35130,""en"",""pt"")"),"‘Izrā")</f>
        <v>‘Izrā</v>
      </c>
      <c r="B36645" s="20" t="s">
        <v>34282</v>
      </c>
      <c r="C36645" s="20" t="s">
        <v>16624</v>
      </c>
      <c r="D36645" s="20" t="s">
        <v>16630</v>
      </c>
      <c r="E36645" s="10">
        <v>248923</v>
      </c>
      <c r="F36645" s="4" t="str">
        <f>IF(B36645=B36644,"",B36645)</f>
        <v>‘Izrā</v>
      </c>
    </row>
    <row r="36646" spans="1:6" ht="15.75" customHeight="1">
      <c r="A36646" s="16" t="str">
        <f ca="1">IFERROR(__xludf.DUMMYFUNCTION("GOOGLETRANSLATE(B28860,""en"",""pt"")"),"‘Izbat Al Burj")</f>
        <v>‘Izbat Al Burj</v>
      </c>
      <c r="B36646" s="20" t="s">
        <v>32287</v>
      </c>
      <c r="C36646" s="20" t="s">
        <v>6495</v>
      </c>
      <c r="D36646" s="20" t="s">
        <v>32250</v>
      </c>
      <c r="E36646" s="10">
        <v>355392</v>
      </c>
      <c r="F36646" s="4" t="str">
        <f>IF(B36646=B36645,"",B36646)</f>
        <v>‘Izbat al Burj</v>
      </c>
    </row>
    <row r="36647" spans="1:6" ht="15.75" customHeight="1">
      <c r="A36647" s="16" t="str">
        <f ca="1">IFERROR(__xludf.DUMMYFUNCTION("GOOGLETRANSLATE(B41423,""en"",""pt"")"),"‘Irbīn")</f>
        <v>‘Irbīn</v>
      </c>
      <c r="B36647" s="20" t="s">
        <v>35745</v>
      </c>
      <c r="C36647" s="20" t="s">
        <v>25366</v>
      </c>
      <c r="D36647" s="20" t="s">
        <v>25372</v>
      </c>
      <c r="E36647" s="10">
        <v>169372</v>
      </c>
      <c r="F36647" s="4" t="str">
        <f>IF(B36647=B36646,"",B36647)</f>
        <v>‘Irbīn</v>
      </c>
    </row>
    <row r="36648" spans="1:6" ht="15.75" customHeight="1">
      <c r="A36648" s="16" t="str">
        <f ca="1">IFERROR(__xludf.DUMMYFUNCTION("GOOGLETRANSLATE(B38262,""en"",""pt"")"),"‘Ibrī")</f>
        <v>‘Ibrī</v>
      </c>
      <c r="B36648" s="20" t="s">
        <v>34851</v>
      </c>
      <c r="C36648" s="20" t="s">
        <v>19755</v>
      </c>
      <c r="D36648" s="20" t="s">
        <v>34852</v>
      </c>
      <c r="E36648" s="10">
        <v>287830</v>
      </c>
      <c r="F36648" s="4" t="str">
        <f>IF(B36648=B36647,"",B36648)</f>
        <v>‘Ibrī</v>
      </c>
    </row>
    <row r="36649" spans="1:6" ht="15.75" customHeight="1">
      <c r="A36649" s="16" t="str">
        <f ca="1">IFERROR(__xludf.DUMMYFUNCTION("GOOGLETRANSLATE(B45410,""en"",""pt"")"),"‘Ewa Gentry")</f>
        <v>‘Ewa Gentry</v>
      </c>
      <c r="B36649" s="20" t="s">
        <v>36055</v>
      </c>
      <c r="C36649" s="20" t="s">
        <v>27788</v>
      </c>
      <c r="D36649" s="20" t="s">
        <v>27789</v>
      </c>
      <c r="E36649" s="10">
        <v>5855070</v>
      </c>
      <c r="F36649" s="4" t="str">
        <f>IF(B36649=B36648,"",B36649)</f>
        <v>‘Ewa Gentry</v>
      </c>
    </row>
    <row r="36650" spans="1:6" ht="15.75" customHeight="1">
      <c r="A36650" s="16" t="str">
        <f ca="1">IFERROR(__xludf.DUMMYFUNCTION("GOOGLETRANSLATE(B41442,""en"",""pt"")"),"‘Ayn al‘ árabe")</f>
        <v>‘Ayn al‘ árabe</v>
      </c>
      <c r="B36650" s="20" t="s">
        <v>35756</v>
      </c>
      <c r="C36650" s="20" t="s">
        <v>25366</v>
      </c>
      <c r="D36650" s="20" t="s">
        <v>25380</v>
      </c>
      <c r="E36650" s="10">
        <v>172256</v>
      </c>
      <c r="F36650" s="4" t="str">
        <f>IF(B36650=B36649,"",B36650)</f>
        <v>‘Ayn al ‘Arab</v>
      </c>
    </row>
    <row r="36651" spans="1:6" ht="15.75" customHeight="1">
      <c r="A36651" s="16" t="str">
        <f ca="1">IFERROR(__xludf.DUMMYFUNCTION("GOOGLETRANSLATE(B31821,""en"",""pt"")"),"‘Arad")</f>
        <v>‘Arad</v>
      </c>
      <c r="B36651" s="20" t="s">
        <v>32934</v>
      </c>
      <c r="C36651" s="20" t="s">
        <v>14773</v>
      </c>
      <c r="D36651" s="20" t="s">
        <v>14779</v>
      </c>
      <c r="E36651" s="10">
        <v>295657</v>
      </c>
      <c r="F36651" s="4" t="str">
        <f>IF(B36651=B36650,"",B36651)</f>
        <v>‘Arad</v>
      </c>
    </row>
    <row r="36652" spans="1:6" ht="15.75" customHeight="1">
      <c r="A36652" s="16" t="str">
        <f ca="1">IFERROR(__xludf.DUMMYFUNCTION("GOOGLETRANSLATE(B41042,""en"",""pt"")"),"‘Ar‘ar")</f>
        <v>‘Ar‘ar</v>
      </c>
      <c r="B36652" s="20" t="s">
        <v>35587</v>
      </c>
      <c r="C36652" s="20" t="s">
        <v>23454</v>
      </c>
      <c r="D36652" s="20" t="s">
        <v>23457</v>
      </c>
      <c r="E36652" s="10">
        <v>108512</v>
      </c>
      <c r="F36652" s="4" t="str">
        <f>IF(B36652=B36651,"",B36652)</f>
        <v>‘Ar‘ar</v>
      </c>
    </row>
    <row r="36653" spans="1:6" ht="15.75" customHeight="1">
      <c r="A36653" s="16" t="str">
        <f ca="1">IFERROR(__xludf.DUMMYFUNCTION("GOOGLETRANSLATE(B34309,""en"",""pt"")"),"‘Aqrah")</f>
        <v>‘Aqrah</v>
      </c>
      <c r="B36653" s="20" t="s">
        <v>34094</v>
      </c>
      <c r="C36653" s="20" t="s">
        <v>14594</v>
      </c>
      <c r="D36653" s="20" t="s">
        <v>34069</v>
      </c>
      <c r="E36653" s="10">
        <v>98822</v>
      </c>
      <c r="F36653" s="4" t="str">
        <f>IF(B36653=B36652,"",B36653)</f>
        <v>‘Aqrah</v>
      </c>
    </row>
    <row r="36654" spans="1:6" ht="15.75" customHeight="1">
      <c r="A36654" s="16" t="str">
        <f ca="1">IFERROR(__xludf.DUMMYFUNCTION("GOOGLETRANSLATE(B35138,""en"",""pt"")"),"‘Anjarah")</f>
        <v>‘Anjarah</v>
      </c>
      <c r="B36654" s="20" t="s">
        <v>34287</v>
      </c>
      <c r="C36654" s="20" t="s">
        <v>16624</v>
      </c>
      <c r="D36654" s="20" t="s">
        <v>16625</v>
      </c>
      <c r="E36654" s="10">
        <v>250420</v>
      </c>
      <c r="F36654" s="4" t="str">
        <f>IF(B36654=B36653,"",B36654)</f>
        <v>‘Anjarah</v>
      </c>
    </row>
    <row r="36655" spans="1:6" ht="15.75" customHeight="1">
      <c r="A36655" s="16" t="str">
        <f ca="1">IFERROR(__xludf.DUMMYFUNCTION("GOOGLETRANSLATE(B34312,""en"",""pt"")"),"‘Anat Al Qadīmah")</f>
        <v>‘Anat Al Qadīmah</v>
      </c>
      <c r="B36655" s="20" t="s">
        <v>34096</v>
      </c>
      <c r="C36655" s="20" t="s">
        <v>14594</v>
      </c>
      <c r="D36655" s="20" t="s">
        <v>14595</v>
      </c>
      <c r="E36655" s="10">
        <v>98885</v>
      </c>
      <c r="F36655" s="4" t="str">
        <f>IF(B36655=B36654,"",B36655)</f>
        <v>‘Anat al Qadīmah</v>
      </c>
    </row>
    <row r="36656" spans="1:6" ht="15.75" customHeight="1">
      <c r="A36656" s="16" t="str">
        <f ca="1">IFERROR(__xludf.DUMMYFUNCTION("GOOGLETRANSLATE(B45833,""en"",""pt"")"),"‘Amrān")</f>
        <v>‘Amrān</v>
      </c>
      <c r="B36656" s="20" t="s">
        <v>36226</v>
      </c>
      <c r="C36656" s="20" t="s">
        <v>30993</v>
      </c>
      <c r="D36656" s="20" t="s">
        <v>30996</v>
      </c>
      <c r="E36656" s="10">
        <v>78428</v>
      </c>
      <c r="F36656" s="4" t="str">
        <f>IF(B36656=B36655,"",B36656)</f>
        <v>‘Amrān</v>
      </c>
    </row>
    <row r="36657" spans="1:6" ht="15.75" customHeight="1">
      <c r="A36657" s="16" t="str">
        <f ca="1">IFERROR(__xludf.DUMMYFUNCTION("GOOGLETRANSLATE(B34322,""en"",""pt"")"),"‘Alī al Gharbī")</f>
        <v>‘Alī al Gharbī</v>
      </c>
      <c r="B36657" s="20" t="s">
        <v>34102</v>
      </c>
      <c r="C36657" s="20" t="s">
        <v>14594</v>
      </c>
      <c r="D36657" s="20" t="s">
        <v>14604</v>
      </c>
      <c r="E36657" s="10">
        <v>99306</v>
      </c>
      <c r="F36657" s="4" t="str">
        <f>IF(B36657=B36656,"",B36657)</f>
        <v>‘Alī al Gharbī</v>
      </c>
    </row>
    <row r="36658" spans="1:6" ht="15.75" customHeight="1">
      <c r="A36658" s="16" t="str">
        <f ca="1">IFERROR(__xludf.DUMMYFUNCTION("GOOGLETRANSLATE(B31822,""en"",""pt"")"),"‘Akko")</f>
        <v>‘Akko</v>
      </c>
      <c r="B36658" s="20" t="s">
        <v>32935</v>
      </c>
      <c r="C36658" s="20" t="s">
        <v>14773</v>
      </c>
      <c r="D36658" s="20" t="s">
        <v>14774</v>
      </c>
      <c r="E36658" s="10">
        <v>295721</v>
      </c>
      <c r="F36658" s="4" t="str">
        <f>IF(B36658=B36657,"",B36658)</f>
        <v>‘Akko</v>
      </c>
    </row>
    <row r="36659" spans="1:6" ht="15.75" customHeight="1">
      <c r="A36659" s="16" t="str">
        <f ca="1">IFERROR(__xludf.DUMMYFUNCTION("GOOGLETRANSLATE(B35145,""en"",""pt"")"),"‘Ajlūn")</f>
        <v>‘Ajlūn</v>
      </c>
      <c r="B36659" s="20" t="s">
        <v>34289</v>
      </c>
      <c r="C36659" s="20" t="s">
        <v>16624</v>
      </c>
      <c r="D36659" s="20" t="s">
        <v>16625</v>
      </c>
      <c r="E36659" s="10">
        <v>250799</v>
      </c>
      <c r="F36659" s="4" t="str">
        <f>IF(B36659=B36658,"",B36659)</f>
        <v>‘Ajlūn</v>
      </c>
    </row>
    <row r="36660" spans="1:6" ht="15.75" customHeight="1">
      <c r="A36660" s="16" t="str">
        <f ca="1">IFERROR(__xludf.DUMMYFUNCTION("GOOGLETRANSLATE(B34504,""en"",""pt"")"),"‘Ajab Shīr")</f>
        <v>‘Ajab Shīr</v>
      </c>
      <c r="B36660" s="20" t="s">
        <v>34244</v>
      </c>
      <c r="C36660" s="20" t="s">
        <v>14240</v>
      </c>
      <c r="D36660" s="20" t="s">
        <v>14241</v>
      </c>
      <c r="E36660" s="10">
        <v>144443</v>
      </c>
      <c r="F36660" s="4" t="str">
        <f>IF(B36660=B36659,"",B36660)</f>
        <v>‘Ajab Shīr</v>
      </c>
    </row>
    <row r="36661" spans="1:6" ht="15.75" customHeight="1">
      <c r="A36661" s="16" t="str">
        <f ca="1">IFERROR(__xludf.DUMMYFUNCTION("GOOGLETRANSLATE(B28731,""en"",""pt"")"),"‘Aïn El Hadjel")</f>
        <v>‘Aïn El Hadjel</v>
      </c>
      <c r="B36661" s="20" t="s">
        <v>32223</v>
      </c>
      <c r="C36661" s="20" t="s">
        <v>153</v>
      </c>
      <c r="D36661" s="20" t="s">
        <v>32189</v>
      </c>
      <c r="E36661" s="10">
        <v>2508157</v>
      </c>
      <c r="F36661" s="4" t="str">
        <f>IF(B36661=B36660,"",B36661)</f>
        <v>‘Aïn el Hadjel</v>
      </c>
    </row>
    <row r="36662" spans="1:6" ht="15.75" customHeight="1">
      <c r="A36662" s="16" t="str">
        <f ca="1">IFERROR(__xludf.DUMMYFUNCTION("GOOGLETRANSLATE(B31823,""en"",""pt"")"),"‘Afora‘ Illit")</f>
        <v>‘Afora‘ Illit</v>
      </c>
      <c r="B36662" s="20" t="s">
        <v>32936</v>
      </c>
      <c r="C36662" s="20" t="s">
        <v>14773</v>
      </c>
      <c r="D36662" s="20" t="s">
        <v>14774</v>
      </c>
      <c r="E36662" s="10">
        <v>295739</v>
      </c>
      <c r="F36662" s="4" t="str">
        <f>IF(B36662=B36661,"",B36662)</f>
        <v>‘Afula ‘Illit</v>
      </c>
    </row>
    <row r="36663" spans="1:6" ht="15.75" customHeight="1">
      <c r="A36663" s="16" t="str">
        <f ca="1">IFERROR(__xludf.DUMMYFUNCTION("GOOGLETRANSLATE(B41461,""en"",""pt"")"),"‘Afrīn")</f>
        <v>‘Afrīn</v>
      </c>
      <c r="B36663" s="20" t="s">
        <v>35766</v>
      </c>
      <c r="C36663" s="20" t="s">
        <v>25366</v>
      </c>
      <c r="D36663" s="20" t="s">
        <v>25380</v>
      </c>
      <c r="E36663" s="10">
        <v>174186</v>
      </c>
      <c r="F36663" s="4" t="str">
        <f>IF(B36663=B36662,"",B36663)</f>
        <v>‘Afrīn</v>
      </c>
    </row>
    <row r="36664" spans="1:6" ht="15.75" customHeight="1">
      <c r="A36664" s="16" t="str">
        <f ca="1">IFERROR(__xludf.DUMMYFUNCTION("GOOGLETRANSLATE(B41061,""en"",""pt"")"),"‘Afīf")</f>
        <v>‘Afīf</v>
      </c>
      <c r="B36664" s="20" t="s">
        <v>35599</v>
      </c>
      <c r="C36664" s="20" t="s">
        <v>23454</v>
      </c>
      <c r="D36664" s="20" t="s">
        <v>35584</v>
      </c>
      <c r="E36664" s="10">
        <v>110250</v>
      </c>
      <c r="F36664" s="4" t="str">
        <f>IF(B36664=B36663,"",B36664)</f>
        <v>‘Afīf</v>
      </c>
    </row>
    <row r="36665" spans="1:6" ht="15.75" customHeight="1">
      <c r="A36665" s="16" t="str">
        <f ca="1">IFERROR(__xludf.DUMMYFUNCTION("GOOGLETRANSLATE(B34334,""en"",""pt"")"),"‘Afak")</f>
        <v>‘Afak</v>
      </c>
      <c r="B36665" s="20" t="s">
        <v>34112</v>
      </c>
      <c r="C36665" s="20" t="s">
        <v>14594</v>
      </c>
      <c r="D36665" s="20" t="s">
        <v>34090</v>
      </c>
      <c r="E36665" s="10">
        <v>99738</v>
      </c>
      <c r="F36665" s="4" t="str">
        <f>IF(B36665=B36664,"",B36665)</f>
        <v>‘Afak</v>
      </c>
    </row>
    <row r="36666" spans="1:6" ht="15.75" customHeight="1">
      <c r="A36666" s="16" t="str">
        <f ca="1">IFERROR(__xludf.DUMMYFUNCTION("GOOGLETRANSLATE(B39535,""en"",""pt"")"),"‘Abasān al Kabīrah")</f>
        <v>‘Abasān al Kabīrah</v>
      </c>
      <c r="B36666" s="20" t="s">
        <v>35266</v>
      </c>
      <c r="C36666" s="20" t="s">
        <v>20297</v>
      </c>
      <c r="D36666" s="20" t="s">
        <v>20305</v>
      </c>
      <c r="E36666" s="10">
        <v>281165</v>
      </c>
      <c r="F36666" s="4" t="str">
        <f>IF(B36666=B36665,"",B36666)</f>
        <v>‘Abasān al Kabīrah</v>
      </c>
    </row>
    <row r="36667" spans="1:6" ht="15.75" customHeight="1">
      <c r="A36667" s="8"/>
      <c r="B36667" s="12"/>
      <c r="C36667" s="8"/>
      <c r="D36667" s="8"/>
    </row>
    <row r="36668" spans="1:6" ht="15.75" customHeight="1">
      <c r="A36668" s="8"/>
      <c r="B36668" s="12"/>
      <c r="C36668" s="8"/>
      <c r="D36668" s="8"/>
    </row>
    <row r="36669" spans="1:6" ht="15.75" customHeight="1">
      <c r="A36669" s="8"/>
      <c r="B36669" s="12"/>
      <c r="C36669" s="8"/>
      <c r="D36669" s="8"/>
    </row>
    <row r="36670" spans="1:6" ht="15.75" customHeight="1">
      <c r="A36670" s="8"/>
      <c r="B36670" s="12"/>
      <c r="C36670" s="8"/>
      <c r="D36670" s="8"/>
    </row>
    <row r="36671" spans="1:6" ht="15.75" customHeight="1">
      <c r="A36671" s="8"/>
      <c r="B36671" s="12"/>
      <c r="C36671" s="8"/>
      <c r="D36671" s="8"/>
    </row>
    <row r="36672" spans="1:6" ht="15.75" customHeight="1">
      <c r="A36672" s="8"/>
      <c r="B36672" s="12"/>
      <c r="C36672" s="8"/>
      <c r="D36672" s="8"/>
    </row>
    <row r="36673" spans="1:4" ht="15.75" customHeight="1">
      <c r="A36673" s="8"/>
      <c r="B36673" s="12"/>
      <c r="C36673" s="8"/>
      <c r="D36673" s="8"/>
    </row>
    <row r="36674" spans="1:4" ht="15.75" customHeight="1">
      <c r="A36674" s="8"/>
      <c r="B36674" s="12"/>
      <c r="C36674" s="8"/>
      <c r="D36674" s="8"/>
    </row>
    <row r="36675" spans="1:4" ht="15.75" customHeight="1">
      <c r="A36675" s="8"/>
      <c r="B36675" s="12"/>
      <c r="C36675" s="8"/>
      <c r="D36675" s="8"/>
    </row>
    <row r="36676" spans="1:4" ht="15.75" customHeight="1">
      <c r="A36676" s="8"/>
      <c r="B36676" s="12"/>
      <c r="C36676" s="8"/>
      <c r="D36676" s="8"/>
    </row>
    <row r="36677" spans="1:4" ht="15.75" customHeight="1">
      <c r="A36677" s="8"/>
      <c r="B36677" s="12"/>
      <c r="C36677" s="8"/>
      <c r="D36677" s="8"/>
    </row>
    <row r="36678" spans="1:4" ht="15.75" customHeight="1">
      <c r="A36678" s="8"/>
      <c r="B36678" s="12"/>
      <c r="C36678" s="8"/>
      <c r="D36678" s="8"/>
    </row>
    <row r="36679" spans="1:4" ht="15.75" customHeight="1">
      <c r="A36679" s="8"/>
      <c r="B36679" s="12"/>
      <c r="C36679" s="8"/>
      <c r="D36679" s="8"/>
    </row>
    <row r="36680" spans="1:4" ht="15.75" customHeight="1">
      <c r="A36680" s="8"/>
      <c r="B36680" s="12"/>
      <c r="C36680" s="8"/>
      <c r="D36680" s="8"/>
    </row>
    <row r="36681" spans="1:4" ht="15.75" customHeight="1">
      <c r="A36681" s="8"/>
      <c r="B36681" s="12"/>
      <c r="C36681" s="8"/>
      <c r="D36681" s="8"/>
    </row>
    <row r="36682" spans="1:4" ht="15.75" customHeight="1">
      <c r="A36682" s="8"/>
      <c r="B36682" s="12"/>
      <c r="C36682" s="8"/>
      <c r="D36682" s="8"/>
    </row>
    <row r="36683" spans="1:4" ht="15.75" customHeight="1">
      <c r="A36683" s="8"/>
      <c r="B36683" s="12"/>
      <c r="C36683" s="8"/>
      <c r="D36683" s="8"/>
    </row>
    <row r="36684" spans="1:4" ht="15.75" customHeight="1">
      <c r="A36684" s="8"/>
      <c r="B36684" s="12"/>
      <c r="C36684" s="8"/>
      <c r="D36684" s="8"/>
    </row>
    <row r="36685" spans="1:4" ht="15.75" customHeight="1">
      <c r="A36685" s="8"/>
      <c r="B36685" s="12"/>
      <c r="C36685" s="8"/>
      <c r="D36685" s="8"/>
    </row>
    <row r="36686" spans="1:4" ht="15.75" customHeight="1">
      <c r="A36686" s="8"/>
      <c r="B36686" s="12"/>
      <c r="C36686" s="8"/>
      <c r="D36686" s="8"/>
    </row>
    <row r="36687" spans="1:4" ht="15.75" customHeight="1">
      <c r="A36687" s="8"/>
      <c r="B36687" s="12"/>
      <c r="C36687" s="8"/>
      <c r="D36687" s="8"/>
    </row>
    <row r="36688" spans="1:4" ht="15.75" customHeight="1">
      <c r="A36688" s="8"/>
      <c r="B36688" s="12"/>
      <c r="C36688" s="8"/>
      <c r="D36688" s="8"/>
    </row>
    <row r="36689" spans="1:4" ht="15.75" customHeight="1">
      <c r="A36689" s="8"/>
      <c r="B36689" s="12"/>
      <c r="C36689" s="8"/>
      <c r="D36689" s="8"/>
    </row>
    <row r="36690" spans="1:4" ht="15.75" customHeight="1">
      <c r="A36690" s="8"/>
      <c r="B36690" s="12"/>
      <c r="C36690" s="8"/>
      <c r="D36690" s="8"/>
    </row>
    <row r="36691" spans="1:4" ht="15.75" customHeight="1">
      <c r="A36691" s="8"/>
      <c r="B36691" s="12"/>
      <c r="C36691" s="8"/>
      <c r="D36691" s="8"/>
    </row>
    <row r="36692" spans="1:4" ht="15.75" customHeight="1">
      <c r="A36692" s="8"/>
      <c r="B36692" s="12"/>
      <c r="C36692" s="8"/>
      <c r="D36692" s="8"/>
    </row>
    <row r="36693" spans="1:4" ht="15.75" customHeight="1">
      <c r="A36693" s="8"/>
      <c r="B36693" s="12"/>
      <c r="C36693" s="8"/>
      <c r="D36693" s="8"/>
    </row>
    <row r="36694" spans="1:4" ht="15.75" customHeight="1">
      <c r="A36694" s="8"/>
      <c r="B36694" s="12"/>
      <c r="C36694" s="8"/>
      <c r="D36694" s="8"/>
    </row>
    <row r="36695" spans="1:4" ht="15.75" customHeight="1">
      <c r="A36695" s="8"/>
      <c r="B36695" s="12"/>
      <c r="C36695" s="8"/>
      <c r="D36695" s="8"/>
    </row>
    <row r="36696" spans="1:4" ht="15.75" customHeight="1">
      <c r="A36696" s="8"/>
      <c r="B36696" s="12"/>
      <c r="C36696" s="8"/>
      <c r="D36696" s="8"/>
    </row>
    <row r="36697" spans="1:4" ht="15.75" customHeight="1">
      <c r="A36697" s="8"/>
      <c r="B36697" s="12"/>
      <c r="C36697" s="8"/>
      <c r="D36697" s="8"/>
    </row>
    <row r="36698" spans="1:4" ht="15.75" customHeight="1">
      <c r="A36698" s="8"/>
      <c r="B36698" s="12"/>
      <c r="C36698" s="8"/>
      <c r="D36698" s="8"/>
    </row>
    <row r="36699" spans="1:4" ht="15.75" customHeight="1">
      <c r="A36699" s="8"/>
      <c r="B36699" s="12"/>
      <c r="C36699" s="8"/>
      <c r="D36699" s="8"/>
    </row>
    <row r="36700" spans="1:4" ht="15.75" customHeight="1">
      <c r="A36700" s="8"/>
      <c r="B36700" s="12"/>
      <c r="C36700" s="8"/>
      <c r="D36700" s="8"/>
    </row>
    <row r="36701" spans="1:4" ht="15.75" customHeight="1">
      <c r="A36701" s="8"/>
      <c r="B36701" s="12"/>
      <c r="C36701" s="8"/>
      <c r="D36701" s="8"/>
    </row>
    <row r="36702" spans="1:4" ht="15.75" customHeight="1">
      <c r="A36702" s="8"/>
      <c r="B36702" s="12"/>
      <c r="C36702" s="8"/>
      <c r="D36702" s="8"/>
    </row>
    <row r="36703" spans="1:4" ht="15.75" customHeight="1">
      <c r="A36703" s="8"/>
      <c r="B36703" s="12"/>
      <c r="C36703" s="8"/>
      <c r="D36703" s="8"/>
    </row>
    <row r="36704" spans="1:4" ht="15.75" customHeight="1">
      <c r="A36704" s="8"/>
      <c r="B36704" s="12"/>
      <c r="C36704" s="8"/>
      <c r="D36704" s="8"/>
    </row>
    <row r="36705" spans="1:4" ht="15.75" customHeight="1">
      <c r="A36705" s="8"/>
      <c r="B36705" s="12"/>
      <c r="C36705" s="8"/>
      <c r="D36705" s="8"/>
    </row>
    <row r="36706" spans="1:4" ht="15.75" customHeight="1">
      <c r="A36706" s="8"/>
      <c r="B36706" s="12"/>
      <c r="C36706" s="8"/>
      <c r="D36706" s="8"/>
    </row>
    <row r="36707" spans="1:4" ht="15.75" customHeight="1">
      <c r="A36707" s="8"/>
      <c r="B36707" s="12"/>
      <c r="C36707" s="8"/>
      <c r="D36707" s="8"/>
    </row>
    <row r="36708" spans="1:4" ht="15.75" customHeight="1">
      <c r="A36708" s="8"/>
      <c r="B36708" s="12"/>
      <c r="C36708" s="8"/>
      <c r="D36708" s="8"/>
    </row>
    <row r="36709" spans="1:4" ht="15.75" customHeight="1">
      <c r="A36709" s="8"/>
      <c r="B36709" s="12"/>
      <c r="C36709" s="8"/>
      <c r="D36709" s="8"/>
    </row>
    <row r="36710" spans="1:4" ht="15.75" customHeight="1">
      <c r="A36710" s="8"/>
      <c r="B36710" s="12"/>
      <c r="C36710" s="8"/>
      <c r="D36710" s="8"/>
    </row>
    <row r="36711" spans="1:4" ht="15.75" customHeight="1">
      <c r="A36711" s="8"/>
      <c r="B36711" s="12"/>
      <c r="C36711" s="8"/>
      <c r="D36711" s="8"/>
    </row>
    <row r="36712" spans="1:4" ht="15.75" customHeight="1">
      <c r="A36712" s="8"/>
      <c r="B36712" s="12"/>
      <c r="C36712" s="8"/>
      <c r="D36712" s="8"/>
    </row>
    <row r="36713" spans="1:4" ht="15.75" customHeight="1">
      <c r="A36713" s="8"/>
      <c r="B36713" s="12"/>
      <c r="C36713" s="8"/>
      <c r="D36713" s="8"/>
    </row>
    <row r="36714" spans="1:4" ht="15.75" customHeight="1">
      <c r="A36714" s="8"/>
      <c r="B36714" s="12"/>
      <c r="C36714" s="8"/>
      <c r="D36714" s="8"/>
    </row>
    <row r="36715" spans="1:4" ht="15.75" customHeight="1">
      <c r="A36715" s="8"/>
      <c r="B36715" s="12"/>
      <c r="C36715" s="8"/>
      <c r="D36715" s="8"/>
    </row>
    <row r="36716" spans="1:4" ht="15.75" customHeight="1">
      <c r="A36716" s="8"/>
      <c r="B36716" s="12"/>
      <c r="C36716" s="8"/>
      <c r="D36716" s="8"/>
    </row>
    <row r="36717" spans="1:4" ht="15.75" customHeight="1">
      <c r="A36717" s="8"/>
      <c r="B36717" s="12"/>
      <c r="C36717" s="8"/>
      <c r="D36717" s="8"/>
    </row>
    <row r="36718" spans="1:4" ht="15.75" customHeight="1">
      <c r="A36718" s="8"/>
      <c r="B36718" s="12"/>
      <c r="C36718" s="8"/>
      <c r="D36718" s="8"/>
    </row>
    <row r="36719" spans="1:4" ht="15.75" customHeight="1">
      <c r="A36719" s="8"/>
      <c r="B36719" s="12"/>
      <c r="C36719" s="8"/>
      <c r="D36719" s="8"/>
    </row>
    <row r="36720" spans="1:4" ht="15.75" customHeight="1">
      <c r="A36720" s="8"/>
      <c r="B36720" s="12"/>
      <c r="C36720" s="8"/>
      <c r="D36720" s="8"/>
    </row>
    <row r="36721" spans="1:4" ht="15.75" customHeight="1">
      <c r="A36721" s="8"/>
      <c r="B36721" s="12"/>
      <c r="C36721" s="8"/>
      <c r="D36721" s="8"/>
    </row>
    <row r="36722" spans="1:4" ht="15.75" customHeight="1">
      <c r="A36722" s="8"/>
      <c r="B36722" s="12"/>
      <c r="C36722" s="8"/>
      <c r="D36722" s="8"/>
    </row>
    <row r="36723" spans="1:4" ht="15.75" customHeight="1">
      <c r="A36723" s="8"/>
      <c r="B36723" s="12"/>
      <c r="C36723" s="8"/>
      <c r="D36723" s="8"/>
    </row>
    <row r="36724" spans="1:4" ht="15.75" customHeight="1">
      <c r="A36724" s="8"/>
      <c r="B36724" s="12"/>
      <c r="C36724" s="8"/>
      <c r="D36724" s="8"/>
    </row>
    <row r="36725" spans="1:4" ht="15.75" customHeight="1">
      <c r="A36725" s="8"/>
      <c r="B36725" s="12"/>
      <c r="C36725" s="8"/>
      <c r="D36725" s="8"/>
    </row>
    <row r="36726" spans="1:4" ht="15.75" customHeight="1">
      <c r="A36726" s="8"/>
      <c r="B36726" s="12"/>
      <c r="C36726" s="8"/>
      <c r="D36726" s="8"/>
    </row>
    <row r="36727" spans="1:4" ht="15.75" customHeight="1">
      <c r="A36727" s="8"/>
      <c r="B36727" s="12"/>
      <c r="C36727" s="8"/>
      <c r="D36727" s="8"/>
    </row>
    <row r="36728" spans="1:4" ht="15.75" customHeight="1">
      <c r="A36728" s="8"/>
      <c r="B36728" s="12"/>
      <c r="C36728" s="8"/>
      <c r="D36728" s="8"/>
    </row>
    <row r="36729" spans="1:4" ht="15.75" customHeight="1">
      <c r="A36729" s="8"/>
      <c r="B36729" s="12"/>
      <c r="C36729" s="8"/>
      <c r="D36729" s="8"/>
    </row>
    <row r="36730" spans="1:4" ht="15.75" customHeight="1">
      <c r="A36730" s="8"/>
      <c r="B36730" s="12"/>
      <c r="C36730" s="8"/>
      <c r="D36730" s="8"/>
    </row>
    <row r="36731" spans="1:4" ht="15.75" customHeight="1">
      <c r="A36731" s="8"/>
      <c r="B36731" s="12"/>
      <c r="C36731" s="8"/>
      <c r="D36731" s="8"/>
    </row>
    <row r="36732" spans="1:4" ht="15.75" customHeight="1">
      <c r="A36732" s="8"/>
      <c r="B36732" s="12"/>
      <c r="C36732" s="8"/>
      <c r="D36732" s="8"/>
    </row>
    <row r="36733" spans="1:4" ht="15.75" customHeight="1">
      <c r="A36733" s="8"/>
      <c r="B36733" s="12"/>
      <c r="C36733" s="8"/>
      <c r="D36733" s="8"/>
    </row>
    <row r="36734" spans="1:4" ht="15.75" customHeight="1">
      <c r="A36734" s="8"/>
      <c r="B36734" s="12"/>
      <c r="C36734" s="8"/>
      <c r="D36734" s="8"/>
    </row>
    <row r="36735" spans="1:4" ht="15.75" customHeight="1">
      <c r="A36735" s="8"/>
      <c r="B36735" s="12"/>
      <c r="C36735" s="8"/>
      <c r="D36735" s="8"/>
    </row>
    <row r="36736" spans="1:4" ht="15.75" customHeight="1">
      <c r="A36736" s="8"/>
      <c r="B36736" s="12"/>
      <c r="C36736" s="8"/>
      <c r="D36736" s="8"/>
    </row>
    <row r="36737" spans="1:4" ht="15.75" customHeight="1">
      <c r="A36737" s="8"/>
      <c r="B36737" s="12"/>
      <c r="C36737" s="8"/>
      <c r="D36737" s="8"/>
    </row>
    <row r="36738" spans="1:4" ht="15.75" customHeight="1">
      <c r="A36738" s="8"/>
      <c r="B36738" s="12"/>
      <c r="C36738" s="8"/>
      <c r="D36738" s="8"/>
    </row>
    <row r="36739" spans="1:4" ht="15.75" customHeight="1">
      <c r="A36739" s="8"/>
      <c r="B36739" s="12"/>
      <c r="C36739" s="8"/>
      <c r="D36739" s="8"/>
    </row>
    <row r="36740" spans="1:4" ht="15.75" customHeight="1">
      <c r="A36740" s="8"/>
      <c r="B36740" s="12"/>
      <c r="C36740" s="8"/>
      <c r="D36740" s="8"/>
    </row>
    <row r="36741" spans="1:4" ht="15.75" customHeight="1">
      <c r="A36741" s="8"/>
      <c r="B36741" s="12"/>
      <c r="C36741" s="8"/>
      <c r="D36741" s="8"/>
    </row>
    <row r="36742" spans="1:4" ht="15.75" customHeight="1">
      <c r="A36742" s="8"/>
      <c r="B36742" s="12"/>
      <c r="C36742" s="8"/>
      <c r="D36742" s="8"/>
    </row>
    <row r="36743" spans="1:4" ht="15.75" customHeight="1">
      <c r="A36743" s="8"/>
      <c r="B36743" s="12"/>
      <c r="C36743" s="8"/>
      <c r="D36743" s="8"/>
    </row>
    <row r="36744" spans="1:4" ht="15.75" customHeight="1">
      <c r="A36744" s="8"/>
      <c r="B36744" s="12"/>
      <c r="C36744" s="8"/>
      <c r="D36744" s="8"/>
    </row>
    <row r="36745" spans="1:4" ht="15.75" customHeight="1">
      <c r="A36745" s="8"/>
      <c r="B36745" s="12"/>
      <c r="C36745" s="8"/>
      <c r="D36745" s="8"/>
    </row>
    <row r="36746" spans="1:4" ht="15.75" customHeight="1">
      <c r="A36746" s="8"/>
      <c r="B36746" s="12"/>
      <c r="C36746" s="8"/>
      <c r="D36746" s="8"/>
    </row>
    <row r="36747" spans="1:4" ht="15.75" customHeight="1">
      <c r="A36747" s="8"/>
      <c r="B36747" s="12"/>
      <c r="C36747" s="8"/>
      <c r="D36747" s="8"/>
    </row>
    <row r="36748" spans="1:4" ht="15.75" customHeight="1">
      <c r="A36748" s="8"/>
      <c r="B36748" s="12"/>
      <c r="C36748" s="8"/>
      <c r="D36748" s="8"/>
    </row>
    <row r="36749" spans="1:4" ht="15.75" customHeight="1">
      <c r="A36749" s="8"/>
      <c r="B36749" s="12"/>
      <c r="C36749" s="8"/>
      <c r="D36749" s="8"/>
    </row>
    <row r="36750" spans="1:4" ht="15.75" customHeight="1">
      <c r="A36750" s="8"/>
      <c r="B36750" s="12"/>
      <c r="C36750" s="8"/>
      <c r="D36750" s="8"/>
    </row>
    <row r="36751" spans="1:4" ht="15.75" customHeight="1">
      <c r="A36751" s="8"/>
      <c r="B36751" s="12"/>
      <c r="C36751" s="8"/>
      <c r="D36751" s="8"/>
    </row>
    <row r="36752" spans="1:4" ht="15.75" customHeight="1">
      <c r="A36752" s="8"/>
      <c r="B36752" s="12"/>
      <c r="C36752" s="8"/>
      <c r="D36752" s="8"/>
    </row>
    <row r="36753" spans="1:4" ht="15.75" customHeight="1">
      <c r="A36753" s="8"/>
      <c r="B36753" s="12"/>
      <c r="C36753" s="8"/>
      <c r="D36753" s="8"/>
    </row>
    <row r="36754" spans="1:4" ht="15.75" customHeight="1">
      <c r="A36754" s="8"/>
      <c r="B36754" s="12"/>
      <c r="C36754" s="8"/>
      <c r="D36754" s="8"/>
    </row>
    <row r="36755" spans="1:4" ht="15.75" customHeight="1">
      <c r="A36755" s="8"/>
      <c r="B36755" s="12"/>
      <c r="C36755" s="8"/>
      <c r="D36755" s="8"/>
    </row>
    <row r="36756" spans="1:4" ht="15.75" customHeight="1">
      <c r="A36756" s="8"/>
      <c r="B36756" s="12"/>
      <c r="C36756" s="8"/>
      <c r="D36756" s="8"/>
    </row>
    <row r="36757" spans="1:4" ht="15.75" customHeight="1">
      <c r="A36757" s="8"/>
      <c r="B36757" s="12"/>
      <c r="C36757" s="8"/>
      <c r="D36757" s="8"/>
    </row>
    <row r="36758" spans="1:4" ht="15.75" customHeight="1">
      <c r="A36758" s="8"/>
      <c r="B36758" s="12"/>
      <c r="C36758" s="8"/>
      <c r="D36758" s="8"/>
    </row>
    <row r="36759" spans="1:4" ht="15.75" customHeight="1">
      <c r="A36759" s="8"/>
      <c r="B36759" s="12"/>
      <c r="C36759" s="8"/>
      <c r="D36759" s="8"/>
    </row>
    <row r="36760" spans="1:4" ht="15.75" customHeight="1">
      <c r="A36760" s="8"/>
      <c r="B36760" s="12"/>
      <c r="C36760" s="8"/>
      <c r="D36760" s="8"/>
    </row>
    <row r="36761" spans="1:4" ht="15.75" customHeight="1">
      <c r="A36761" s="8"/>
      <c r="B36761" s="12"/>
      <c r="C36761" s="8"/>
      <c r="D36761" s="8"/>
    </row>
    <row r="36762" spans="1:4" ht="15.75" customHeight="1">
      <c r="A36762" s="8"/>
      <c r="B36762" s="12"/>
      <c r="C36762" s="8"/>
      <c r="D36762" s="8"/>
    </row>
    <row r="36763" spans="1:4" ht="15.75" customHeight="1">
      <c r="A36763" s="8"/>
      <c r="B36763" s="12"/>
      <c r="C36763" s="8"/>
      <c r="D36763" s="8"/>
    </row>
    <row r="36764" spans="1:4" ht="15.75" customHeight="1">
      <c r="A36764" s="8"/>
      <c r="B36764" s="12"/>
      <c r="C36764" s="8"/>
      <c r="D36764" s="8"/>
    </row>
    <row r="36765" spans="1:4" ht="15.75" customHeight="1">
      <c r="A36765" s="8"/>
      <c r="B36765" s="12"/>
      <c r="C36765" s="8"/>
      <c r="D36765" s="8"/>
    </row>
    <row r="36766" spans="1:4" ht="15.75" customHeight="1">
      <c r="A36766" s="8"/>
      <c r="B36766" s="12"/>
      <c r="C36766" s="8"/>
      <c r="D36766" s="8"/>
    </row>
    <row r="36767" spans="1:4" ht="15.75" customHeight="1">
      <c r="A36767" s="8"/>
      <c r="B36767" s="12"/>
      <c r="C36767" s="8"/>
      <c r="D36767" s="8"/>
    </row>
    <row r="36768" spans="1:4" ht="15.75" customHeight="1">
      <c r="A36768" s="8"/>
      <c r="B36768" s="12"/>
      <c r="C36768" s="8"/>
      <c r="D36768" s="8"/>
    </row>
    <row r="36769" spans="1:4" ht="15.75" customHeight="1">
      <c r="A36769" s="8"/>
      <c r="B36769" s="12"/>
      <c r="C36769" s="8"/>
      <c r="D36769" s="8"/>
    </row>
    <row r="36770" spans="1:4" ht="15.75" customHeight="1">
      <c r="A36770" s="8"/>
      <c r="B36770" s="12"/>
      <c r="C36770" s="8"/>
      <c r="D36770" s="8"/>
    </row>
    <row r="36771" spans="1:4" ht="15.75" customHeight="1">
      <c r="A36771" s="8"/>
      <c r="B36771" s="12"/>
      <c r="C36771" s="8"/>
      <c r="D36771" s="8"/>
    </row>
    <row r="36772" spans="1:4" ht="15.75" customHeight="1">
      <c r="A36772" s="8"/>
      <c r="B36772" s="12"/>
      <c r="C36772" s="8"/>
      <c r="D36772" s="8"/>
    </row>
    <row r="36773" spans="1:4" ht="15.75" customHeight="1">
      <c r="A36773" s="8"/>
      <c r="B36773" s="12"/>
      <c r="C36773" s="8"/>
      <c r="D36773" s="8"/>
    </row>
    <row r="36774" spans="1:4" ht="15.75" customHeight="1">
      <c r="A36774" s="8"/>
      <c r="B36774" s="12"/>
      <c r="C36774" s="8"/>
      <c r="D36774" s="8"/>
    </row>
    <row r="36775" spans="1:4" ht="15.75" customHeight="1">
      <c r="A36775" s="8"/>
      <c r="B36775" s="12"/>
      <c r="C36775" s="8"/>
      <c r="D36775" s="8"/>
    </row>
    <row r="36776" spans="1:4" ht="15.75" customHeight="1">
      <c r="A36776" s="8"/>
      <c r="B36776" s="12"/>
      <c r="C36776" s="8"/>
      <c r="D36776" s="8"/>
    </row>
    <row r="36777" spans="1:4" ht="15.75" customHeight="1">
      <c r="A36777" s="8"/>
      <c r="B36777" s="12"/>
      <c r="C36777" s="8"/>
      <c r="D36777" s="8"/>
    </row>
    <row r="36778" spans="1:4" ht="15.75" customHeight="1">
      <c r="A36778" s="8"/>
      <c r="B36778" s="12"/>
      <c r="C36778" s="8"/>
      <c r="D36778" s="8"/>
    </row>
    <row r="36779" spans="1:4" ht="15.75" customHeight="1">
      <c r="A36779" s="8"/>
      <c r="B36779" s="12"/>
      <c r="C36779" s="8"/>
      <c r="D36779" s="8"/>
    </row>
    <row r="36780" spans="1:4" ht="15.75" customHeight="1">
      <c r="A36780" s="8"/>
      <c r="B36780" s="12"/>
      <c r="C36780" s="8"/>
      <c r="D36780" s="8"/>
    </row>
    <row r="36781" spans="1:4" ht="15.75" customHeight="1">
      <c r="A36781" s="8"/>
      <c r="B36781" s="12"/>
      <c r="C36781" s="8"/>
      <c r="D36781" s="8"/>
    </row>
    <row r="36782" spans="1:4" ht="15.75" customHeight="1">
      <c r="A36782" s="8"/>
      <c r="B36782" s="12"/>
      <c r="C36782" s="8"/>
      <c r="D36782" s="8"/>
    </row>
    <row r="36783" spans="1:4" ht="15.75" customHeight="1">
      <c r="A36783" s="8"/>
      <c r="B36783" s="12"/>
      <c r="C36783" s="8"/>
      <c r="D36783" s="8"/>
    </row>
    <row r="36784" spans="1:4" ht="15.75" customHeight="1">
      <c r="A36784" s="8"/>
      <c r="B36784" s="12"/>
      <c r="C36784" s="8"/>
      <c r="D36784" s="8"/>
    </row>
    <row r="36785" spans="1:4" ht="15.75" customHeight="1">
      <c r="A36785" s="8"/>
      <c r="B36785" s="12"/>
      <c r="C36785" s="8"/>
      <c r="D36785" s="8"/>
    </row>
    <row r="36786" spans="1:4" ht="15.75" customHeight="1">
      <c r="A36786" s="8"/>
      <c r="B36786" s="12"/>
      <c r="C36786" s="8"/>
      <c r="D36786" s="8"/>
    </row>
    <row r="36787" spans="1:4" ht="15.75" customHeight="1">
      <c r="A36787" s="8"/>
      <c r="B36787" s="12"/>
      <c r="C36787" s="8"/>
      <c r="D36787" s="8"/>
    </row>
    <row r="36788" spans="1:4" ht="15.75" customHeight="1">
      <c r="A36788" s="8"/>
      <c r="B36788" s="12"/>
      <c r="C36788" s="8"/>
      <c r="D36788" s="8"/>
    </row>
    <row r="36789" spans="1:4" ht="15.75" customHeight="1">
      <c r="A36789" s="8"/>
      <c r="B36789" s="12"/>
      <c r="C36789" s="8"/>
      <c r="D36789" s="8"/>
    </row>
    <row r="36790" spans="1:4" ht="15.75" customHeight="1">
      <c r="A36790" s="8"/>
      <c r="B36790" s="12"/>
      <c r="C36790" s="8"/>
      <c r="D36790" s="8"/>
    </row>
    <row r="36791" spans="1:4" ht="15.75" customHeight="1">
      <c r="A36791" s="8"/>
      <c r="B36791" s="12"/>
      <c r="C36791" s="8"/>
      <c r="D36791" s="8"/>
    </row>
    <row r="36792" spans="1:4" ht="15.75" customHeight="1">
      <c r="A36792" s="8"/>
      <c r="B36792" s="12"/>
      <c r="C36792" s="8"/>
      <c r="D36792" s="8"/>
    </row>
    <row r="36793" spans="1:4" ht="15.75" customHeight="1">
      <c r="A36793" s="8"/>
      <c r="B36793" s="12"/>
      <c r="C36793" s="8"/>
      <c r="D36793" s="8"/>
    </row>
    <row r="36794" spans="1:4" ht="15.75" customHeight="1">
      <c r="A36794" s="8"/>
      <c r="B36794" s="12"/>
      <c r="C36794" s="8"/>
      <c r="D36794" s="8"/>
    </row>
    <row r="36795" spans="1:4" ht="15.75" customHeight="1">
      <c r="A36795" s="8"/>
      <c r="B36795" s="12"/>
      <c r="C36795" s="8"/>
      <c r="D36795" s="8"/>
    </row>
    <row r="36796" spans="1:4" ht="15.75" customHeight="1">
      <c r="A36796" s="8"/>
      <c r="B36796" s="12"/>
      <c r="C36796" s="8"/>
      <c r="D36796" s="8"/>
    </row>
    <row r="36797" spans="1:4" ht="15.75" customHeight="1">
      <c r="A36797" s="8"/>
      <c r="B36797" s="12"/>
      <c r="C36797" s="8"/>
      <c r="D36797" s="8"/>
    </row>
    <row r="36798" spans="1:4" ht="15.75" customHeight="1">
      <c r="A36798" s="8"/>
      <c r="B36798" s="12"/>
      <c r="C36798" s="8"/>
      <c r="D36798" s="8"/>
    </row>
    <row r="36799" spans="1:4" ht="15.75" customHeight="1">
      <c r="A36799" s="8"/>
      <c r="B36799" s="12"/>
      <c r="C36799" s="8"/>
      <c r="D36799" s="8"/>
    </row>
    <row r="36800" spans="1:4" ht="15.75" customHeight="1">
      <c r="A36800" s="8"/>
      <c r="B36800" s="12"/>
      <c r="C36800" s="8"/>
      <c r="D36800" s="8"/>
    </row>
    <row r="36801" spans="1:4" ht="15.75" customHeight="1">
      <c r="A36801" s="8"/>
      <c r="B36801" s="12"/>
      <c r="C36801" s="8"/>
      <c r="D36801" s="8"/>
    </row>
    <row r="36802" spans="1:4" ht="15.75" customHeight="1">
      <c r="A36802" s="8"/>
      <c r="B36802" s="12"/>
      <c r="C36802" s="8"/>
      <c r="D36802" s="8"/>
    </row>
    <row r="36803" spans="1:4" ht="15.75" customHeight="1">
      <c r="A36803" s="8"/>
      <c r="B36803" s="12"/>
      <c r="C36803" s="8"/>
      <c r="D36803" s="8"/>
    </row>
    <row r="36804" spans="1:4" ht="15.75" customHeight="1">
      <c r="A36804" s="8"/>
      <c r="B36804" s="12"/>
      <c r="C36804" s="8"/>
      <c r="D36804" s="8"/>
    </row>
    <row r="36805" spans="1:4" ht="15.75" customHeight="1">
      <c r="A36805" s="8"/>
      <c r="B36805" s="12"/>
      <c r="C36805" s="8"/>
      <c r="D36805" s="8"/>
    </row>
    <row r="36806" spans="1:4" ht="15.75" customHeight="1">
      <c r="A36806" s="8"/>
      <c r="B36806" s="12"/>
      <c r="C36806" s="8"/>
      <c r="D36806" s="8"/>
    </row>
    <row r="36807" spans="1:4" ht="15.75" customHeight="1">
      <c r="A36807" s="8"/>
      <c r="B36807" s="12"/>
      <c r="C36807" s="8"/>
      <c r="D36807" s="8"/>
    </row>
    <row r="36808" spans="1:4" ht="15.75" customHeight="1">
      <c r="A36808" s="8"/>
      <c r="B36808" s="12"/>
      <c r="C36808" s="8"/>
      <c r="D36808" s="8"/>
    </row>
    <row r="36809" spans="1:4" ht="15.75" customHeight="1">
      <c r="A36809" s="8"/>
      <c r="B36809" s="12"/>
      <c r="C36809" s="8"/>
      <c r="D36809" s="8"/>
    </row>
    <row r="36810" spans="1:4" ht="15.75" customHeight="1">
      <c r="A36810" s="8"/>
      <c r="B36810" s="12"/>
      <c r="C36810" s="8"/>
      <c r="D36810" s="8"/>
    </row>
    <row r="36811" spans="1:4" ht="15.75" customHeight="1">
      <c r="A36811" s="8"/>
      <c r="B36811" s="12"/>
      <c r="C36811" s="8"/>
      <c r="D36811" s="8"/>
    </row>
    <row r="36812" spans="1:4" ht="15.75" customHeight="1">
      <c r="A36812" s="8"/>
      <c r="B36812" s="12"/>
      <c r="C36812" s="8"/>
      <c r="D36812" s="8"/>
    </row>
    <row r="36813" spans="1:4" ht="15.75" customHeight="1">
      <c r="A36813" s="8"/>
      <c r="B36813" s="12"/>
      <c r="C36813" s="8"/>
      <c r="D36813" s="8"/>
    </row>
    <row r="36814" spans="1:4" ht="15.75" customHeight="1">
      <c r="A36814" s="8"/>
      <c r="B36814" s="12"/>
      <c r="C36814" s="8"/>
      <c r="D36814" s="8"/>
    </row>
    <row r="36815" spans="1:4" ht="15.75" customHeight="1">
      <c r="A36815" s="8"/>
      <c r="B36815" s="12"/>
      <c r="C36815" s="8"/>
      <c r="D36815" s="8"/>
    </row>
    <row r="36816" spans="1:4" ht="15.75" customHeight="1">
      <c r="A36816" s="8"/>
      <c r="B36816" s="12"/>
      <c r="C36816" s="8"/>
      <c r="D36816" s="8"/>
    </row>
    <row r="36817" spans="1:4" ht="15.75" customHeight="1">
      <c r="A36817" s="8"/>
      <c r="B36817" s="12"/>
      <c r="C36817" s="8"/>
      <c r="D36817" s="8"/>
    </row>
    <row r="36818" spans="1:4" ht="15.75" customHeight="1">
      <c r="A36818" s="8"/>
      <c r="B36818" s="12"/>
      <c r="C36818" s="8"/>
      <c r="D36818" s="8"/>
    </row>
    <row r="36819" spans="1:4" ht="15.75" customHeight="1">
      <c r="A36819" s="8"/>
      <c r="B36819" s="12"/>
      <c r="C36819" s="8"/>
      <c r="D36819" s="8"/>
    </row>
    <row r="36820" spans="1:4" ht="15.75" customHeight="1">
      <c r="A36820" s="8"/>
      <c r="B36820" s="12"/>
      <c r="C36820" s="8"/>
      <c r="D36820" s="8"/>
    </row>
    <row r="36821" spans="1:4" ht="15.75" customHeight="1">
      <c r="A36821" s="8"/>
      <c r="B36821" s="12"/>
      <c r="C36821" s="8"/>
      <c r="D36821" s="8"/>
    </row>
    <row r="36822" spans="1:4" ht="15.75" customHeight="1">
      <c r="A36822" s="8"/>
      <c r="B36822" s="12"/>
      <c r="C36822" s="8"/>
      <c r="D36822" s="8"/>
    </row>
    <row r="36823" spans="1:4" ht="15.75" customHeight="1">
      <c r="A36823" s="8"/>
      <c r="B36823" s="12"/>
      <c r="C36823" s="8"/>
      <c r="D36823" s="8"/>
    </row>
    <row r="36824" spans="1:4" ht="15.75" customHeight="1">
      <c r="A36824" s="8"/>
      <c r="B36824" s="12"/>
      <c r="C36824" s="8"/>
      <c r="D36824" s="8"/>
    </row>
    <row r="36825" spans="1:4" ht="15.75" customHeight="1">
      <c r="A36825" s="8"/>
      <c r="B36825" s="12"/>
      <c r="C36825" s="8"/>
      <c r="D36825" s="8"/>
    </row>
    <row r="36826" spans="1:4" ht="15.75" customHeight="1">
      <c r="A36826" s="8"/>
      <c r="B36826" s="12"/>
      <c r="C36826" s="8"/>
      <c r="D36826" s="8"/>
    </row>
    <row r="36827" spans="1:4" ht="15.75" customHeight="1">
      <c r="A36827" s="8"/>
      <c r="B36827" s="12"/>
      <c r="C36827" s="8"/>
      <c r="D36827" s="8"/>
    </row>
    <row r="36828" spans="1:4" ht="15.75" customHeight="1">
      <c r="A36828" s="8"/>
      <c r="B36828" s="12"/>
      <c r="C36828" s="8"/>
      <c r="D36828" s="8"/>
    </row>
    <row r="36829" spans="1:4" ht="15.75" customHeight="1">
      <c r="A36829" s="8"/>
      <c r="B36829" s="12"/>
      <c r="C36829" s="8"/>
      <c r="D36829" s="8"/>
    </row>
    <row r="36830" spans="1:4" ht="15.75" customHeight="1">
      <c r="A36830" s="8"/>
      <c r="B36830" s="12"/>
      <c r="C36830" s="8"/>
      <c r="D36830" s="8"/>
    </row>
    <row r="36831" spans="1:4" ht="15.75" customHeight="1">
      <c r="A36831" s="8"/>
      <c r="B36831" s="12"/>
      <c r="C36831" s="8"/>
      <c r="D36831" s="8"/>
    </row>
    <row r="36832" spans="1:4" ht="15.75" customHeight="1">
      <c r="A36832" s="8"/>
      <c r="B36832" s="12"/>
      <c r="C36832" s="8"/>
      <c r="D36832" s="8"/>
    </row>
    <row r="36833" spans="1:4" ht="15.75" customHeight="1">
      <c r="A36833" s="8"/>
      <c r="B36833" s="12"/>
      <c r="C36833" s="8"/>
      <c r="D36833" s="8"/>
    </row>
    <row r="36834" spans="1:4" ht="15.75" customHeight="1">
      <c r="A36834" s="8"/>
      <c r="B36834" s="12"/>
      <c r="C36834" s="8"/>
      <c r="D36834" s="8"/>
    </row>
    <row r="36835" spans="1:4" ht="15.75" customHeight="1">
      <c r="A36835" s="8"/>
      <c r="B36835" s="12"/>
      <c r="C36835" s="8"/>
      <c r="D36835" s="8"/>
    </row>
    <row r="36836" spans="1:4" ht="15.75" customHeight="1">
      <c r="A36836" s="8"/>
      <c r="B36836" s="12"/>
      <c r="C36836" s="8"/>
      <c r="D36836" s="8"/>
    </row>
    <row r="36837" spans="1:4" ht="15.75" customHeight="1">
      <c r="A36837" s="8"/>
      <c r="B36837" s="12"/>
      <c r="C36837" s="8"/>
      <c r="D36837" s="8"/>
    </row>
    <row r="36838" spans="1:4" ht="15.75" customHeight="1">
      <c r="A36838" s="8"/>
      <c r="B36838" s="12"/>
      <c r="C36838" s="8"/>
      <c r="D36838" s="8"/>
    </row>
    <row r="36839" spans="1:4" ht="15.75" customHeight="1">
      <c r="A36839" s="8"/>
      <c r="B36839" s="12"/>
      <c r="C36839" s="8"/>
      <c r="D36839" s="8"/>
    </row>
    <row r="36840" spans="1:4" ht="15.75" customHeight="1">
      <c r="A36840" s="8"/>
      <c r="B36840" s="12"/>
      <c r="C36840" s="8"/>
      <c r="D36840" s="8"/>
    </row>
    <row r="36841" spans="1:4" ht="15.75" customHeight="1">
      <c r="A36841" s="8"/>
      <c r="B36841" s="12"/>
      <c r="C36841" s="8"/>
      <c r="D36841" s="8"/>
    </row>
    <row r="36842" spans="1:4" ht="15.75" customHeight="1">
      <c r="A36842" s="8"/>
      <c r="B36842" s="12"/>
      <c r="C36842" s="8"/>
      <c r="D36842" s="8"/>
    </row>
    <row r="36843" spans="1:4" ht="15.75" customHeight="1">
      <c r="A36843" s="8"/>
      <c r="B36843" s="12"/>
      <c r="C36843" s="8"/>
      <c r="D36843" s="8"/>
    </row>
    <row r="36844" spans="1:4" ht="15.75" customHeight="1">
      <c r="A36844" s="8"/>
      <c r="B36844" s="12"/>
      <c r="C36844" s="8"/>
      <c r="D36844" s="8"/>
    </row>
    <row r="36845" spans="1:4" ht="15.75" customHeight="1">
      <c r="A36845" s="8"/>
      <c r="B36845" s="12"/>
      <c r="C36845" s="8"/>
      <c r="D36845" s="8"/>
    </row>
    <row r="36846" spans="1:4" ht="15.75" customHeight="1">
      <c r="A36846" s="8"/>
      <c r="B36846" s="12"/>
      <c r="C36846" s="8"/>
      <c r="D36846" s="8"/>
    </row>
    <row r="36847" spans="1:4" ht="15.75" customHeight="1">
      <c r="A36847" s="8"/>
      <c r="B36847" s="12"/>
      <c r="C36847" s="8"/>
      <c r="D36847" s="8"/>
    </row>
    <row r="36848" spans="1:4" ht="15.75" customHeight="1">
      <c r="A36848" s="8"/>
      <c r="B36848" s="12"/>
      <c r="C36848" s="8"/>
      <c r="D36848" s="8"/>
    </row>
    <row r="36849" spans="1:4" ht="15.75" customHeight="1">
      <c r="A36849" s="8"/>
      <c r="B36849" s="12"/>
      <c r="C36849" s="8"/>
      <c r="D36849" s="8"/>
    </row>
    <row r="36850" spans="1:4" ht="15.75" customHeight="1">
      <c r="A36850" s="8"/>
      <c r="B36850" s="12"/>
      <c r="C36850" s="8"/>
      <c r="D36850" s="8"/>
    </row>
    <row r="36851" spans="1:4" ht="15.75" customHeight="1">
      <c r="A36851" s="8"/>
      <c r="B36851" s="12"/>
      <c r="C36851" s="8"/>
      <c r="D36851" s="8"/>
    </row>
    <row r="36852" spans="1:4" ht="15.75" customHeight="1">
      <c r="A36852" s="8"/>
      <c r="B36852" s="12"/>
      <c r="C36852" s="8"/>
      <c r="D36852" s="8"/>
    </row>
    <row r="36853" spans="1:4" ht="15.75" customHeight="1">
      <c r="A36853" s="8"/>
      <c r="B36853" s="12"/>
      <c r="C36853" s="8"/>
      <c r="D36853" s="8"/>
    </row>
    <row r="36854" spans="1:4" ht="15.75" customHeight="1">
      <c r="A36854" s="8"/>
      <c r="B36854" s="12"/>
      <c r="C36854" s="8"/>
      <c r="D36854" s="8"/>
    </row>
    <row r="36855" spans="1:4" ht="15.75" customHeight="1">
      <c r="A36855" s="8"/>
      <c r="B36855" s="12"/>
      <c r="C36855" s="8"/>
      <c r="D36855" s="8"/>
    </row>
    <row r="36856" spans="1:4" ht="15.75" customHeight="1">
      <c r="A36856" s="8"/>
      <c r="B36856" s="12"/>
      <c r="C36856" s="8"/>
      <c r="D36856" s="8"/>
    </row>
    <row r="36857" spans="1:4" ht="15.75" customHeight="1">
      <c r="A36857" s="8"/>
      <c r="B36857" s="12"/>
      <c r="C36857" s="8"/>
      <c r="D36857" s="8"/>
    </row>
    <row r="36858" spans="1:4" ht="15.75" customHeight="1">
      <c r="A36858" s="8"/>
      <c r="B36858" s="12"/>
      <c r="C36858" s="8"/>
      <c r="D36858" s="8"/>
    </row>
    <row r="36859" spans="1:4" ht="15.75" customHeight="1">
      <c r="A36859" s="8"/>
      <c r="B36859" s="12"/>
      <c r="C36859" s="8"/>
      <c r="D36859" s="8"/>
    </row>
    <row r="36860" spans="1:4" ht="15.75" customHeight="1">
      <c r="A36860" s="8"/>
      <c r="B36860" s="12"/>
      <c r="C36860" s="8"/>
      <c r="D36860" s="8"/>
    </row>
    <row r="36861" spans="1:4" ht="15.75" customHeight="1">
      <c r="A36861" s="8"/>
      <c r="B36861" s="12"/>
      <c r="C36861" s="8"/>
      <c r="D36861" s="8"/>
    </row>
    <row r="36862" spans="1:4" ht="15.75" customHeight="1">
      <c r="A36862" s="8"/>
      <c r="B36862" s="12"/>
      <c r="C36862" s="8"/>
      <c r="D36862" s="8"/>
    </row>
    <row r="36863" spans="1:4" ht="15.75" customHeight="1">
      <c r="A36863" s="8"/>
      <c r="B36863" s="12"/>
      <c r="C36863" s="8"/>
      <c r="D36863" s="8"/>
    </row>
    <row r="36864" spans="1:4" ht="15.75" customHeight="1">
      <c r="A36864" s="8"/>
      <c r="B36864" s="12"/>
      <c r="C36864" s="8"/>
      <c r="D36864" s="8"/>
    </row>
    <row r="36865" spans="1:4" ht="15.75" customHeight="1">
      <c r="A36865" s="8"/>
      <c r="B36865" s="12"/>
      <c r="C36865" s="8"/>
      <c r="D36865" s="8"/>
    </row>
    <row r="36866" spans="1:4" ht="15.75" customHeight="1">
      <c r="A36866" s="8"/>
      <c r="B36866" s="12"/>
      <c r="C36866" s="8"/>
      <c r="D36866" s="8"/>
    </row>
    <row r="36867" spans="1:4" ht="15.75" customHeight="1">
      <c r="A36867" s="8"/>
      <c r="B36867" s="12"/>
      <c r="C36867" s="8"/>
      <c r="D36867" s="8"/>
    </row>
    <row r="36868" spans="1:4" ht="15.75" customHeight="1">
      <c r="A36868" s="8"/>
      <c r="B36868" s="12"/>
      <c r="C36868" s="8"/>
      <c r="D36868" s="8"/>
    </row>
    <row r="36869" spans="1:4" ht="15.75" customHeight="1">
      <c r="A36869" s="8"/>
      <c r="B36869" s="12"/>
      <c r="C36869" s="8"/>
      <c r="D36869" s="8"/>
    </row>
    <row r="36870" spans="1:4" ht="15.75" customHeight="1">
      <c r="A36870" s="8"/>
      <c r="B36870" s="12"/>
      <c r="C36870" s="8"/>
      <c r="D36870" s="8"/>
    </row>
    <row r="36871" spans="1:4" ht="15.75" customHeight="1">
      <c r="A36871" s="8"/>
      <c r="B36871" s="12"/>
      <c r="C36871" s="8"/>
      <c r="D36871" s="8"/>
    </row>
    <row r="36872" spans="1:4" ht="15.75" customHeight="1">
      <c r="A36872" s="8"/>
      <c r="B36872" s="12"/>
      <c r="C36872" s="8"/>
      <c r="D36872" s="8"/>
    </row>
    <row r="36873" spans="1:4" ht="15.75" customHeight="1">
      <c r="A36873" s="8"/>
      <c r="B36873" s="12"/>
      <c r="C36873" s="8"/>
      <c r="D36873" s="8"/>
    </row>
    <row r="36874" spans="1:4" ht="15.75" customHeight="1">
      <c r="A36874" s="8"/>
      <c r="B36874" s="12"/>
      <c r="C36874" s="8"/>
      <c r="D36874" s="8"/>
    </row>
    <row r="36875" spans="1:4" ht="15.75" customHeight="1">
      <c r="A36875" s="8"/>
      <c r="B36875" s="12"/>
      <c r="C36875" s="8"/>
      <c r="D36875" s="8"/>
    </row>
    <row r="36876" spans="1:4" ht="15.75" customHeight="1">
      <c r="A36876" s="8"/>
      <c r="B36876" s="12"/>
      <c r="C36876" s="8"/>
      <c r="D36876" s="8"/>
    </row>
    <row r="36877" spans="1:4" ht="15.75" customHeight="1">
      <c r="A36877" s="8"/>
      <c r="B36877" s="12"/>
      <c r="C36877" s="8"/>
      <c r="D36877" s="8"/>
    </row>
    <row r="36878" spans="1:4" ht="15.75" customHeight="1">
      <c r="A36878" s="8"/>
      <c r="B36878" s="12"/>
      <c r="C36878" s="8"/>
      <c r="D36878" s="8"/>
    </row>
    <row r="36879" spans="1:4" ht="15.75" customHeight="1">
      <c r="A36879" s="8"/>
      <c r="B36879" s="12"/>
      <c r="C36879" s="8"/>
      <c r="D36879" s="8"/>
    </row>
    <row r="36880" spans="1:4" ht="15.75" customHeight="1">
      <c r="A36880" s="8"/>
      <c r="B36880" s="12"/>
      <c r="C36880" s="8"/>
      <c r="D36880" s="8"/>
    </row>
    <row r="36881" spans="1:4" ht="15.75" customHeight="1">
      <c r="A36881" s="8"/>
      <c r="B36881" s="12"/>
      <c r="C36881" s="8"/>
      <c r="D36881" s="8"/>
    </row>
    <row r="36882" spans="1:4" ht="15.75" customHeight="1">
      <c r="A36882" s="8"/>
      <c r="B36882" s="12"/>
      <c r="C36882" s="8"/>
      <c r="D36882" s="8"/>
    </row>
    <row r="36883" spans="1:4" ht="15.75" customHeight="1">
      <c r="A36883" s="8"/>
      <c r="B36883" s="12"/>
      <c r="C36883" s="8"/>
      <c r="D36883" s="8"/>
    </row>
    <row r="36884" spans="1:4" ht="15.75" customHeight="1">
      <c r="A36884" s="8"/>
      <c r="B36884" s="12"/>
      <c r="C36884" s="8"/>
      <c r="D36884" s="8"/>
    </row>
    <row r="36885" spans="1:4" ht="15.75" customHeight="1">
      <c r="A36885" s="8"/>
      <c r="B36885" s="12"/>
      <c r="C36885" s="8"/>
      <c r="D36885" s="8"/>
    </row>
    <row r="36886" spans="1:4" ht="15.75" customHeight="1">
      <c r="A36886" s="8"/>
      <c r="B36886" s="12"/>
      <c r="C36886" s="8"/>
      <c r="D36886" s="8"/>
    </row>
    <row r="36887" spans="1:4" ht="15.75" customHeight="1">
      <c r="A36887" s="8"/>
      <c r="B36887" s="12"/>
      <c r="C36887" s="8"/>
      <c r="D36887" s="8"/>
    </row>
    <row r="36888" spans="1:4" ht="15.75" customHeight="1">
      <c r="A36888" s="8"/>
      <c r="B36888" s="12"/>
      <c r="C36888" s="8"/>
      <c r="D36888" s="8"/>
    </row>
    <row r="36889" spans="1:4" ht="15.75" customHeight="1">
      <c r="A36889" s="8"/>
      <c r="B36889" s="12"/>
      <c r="C36889" s="8"/>
      <c r="D36889" s="8"/>
    </row>
    <row r="36890" spans="1:4" ht="15.75" customHeight="1">
      <c r="A36890" s="8"/>
      <c r="B36890" s="12"/>
      <c r="C36890" s="8"/>
      <c r="D36890" s="8"/>
    </row>
    <row r="36891" spans="1:4" ht="15.75" customHeight="1">
      <c r="A36891" s="8"/>
      <c r="B36891" s="12"/>
      <c r="C36891" s="8"/>
      <c r="D36891" s="8"/>
    </row>
    <row r="36892" spans="1:4" ht="15.75" customHeight="1">
      <c r="A36892" s="8"/>
      <c r="B36892" s="12"/>
      <c r="C36892" s="8"/>
      <c r="D36892" s="8"/>
    </row>
    <row r="36893" spans="1:4" ht="15.75" customHeight="1">
      <c r="A36893" s="8"/>
      <c r="B36893" s="12"/>
      <c r="C36893" s="8"/>
      <c r="D36893" s="8"/>
    </row>
    <row r="36894" spans="1:4" ht="15.75" customHeight="1">
      <c r="A36894" s="8"/>
      <c r="B36894" s="12"/>
      <c r="C36894" s="8"/>
      <c r="D36894" s="8"/>
    </row>
    <row r="36895" spans="1:4" ht="15.75" customHeight="1">
      <c r="A36895" s="8"/>
      <c r="B36895" s="12"/>
      <c r="C36895" s="8"/>
      <c r="D36895" s="8"/>
    </row>
    <row r="36896" spans="1:4" ht="15.75" customHeight="1">
      <c r="A36896" s="8"/>
      <c r="B36896" s="12"/>
      <c r="C36896" s="8"/>
      <c r="D36896" s="8"/>
    </row>
    <row r="36897" spans="1:4" ht="15.75" customHeight="1">
      <c r="A36897" s="8"/>
      <c r="B36897" s="12"/>
      <c r="C36897" s="8"/>
      <c r="D36897" s="8"/>
    </row>
    <row r="36898" spans="1:4" ht="15.75" customHeight="1">
      <c r="A36898" s="8"/>
      <c r="B36898" s="12"/>
      <c r="C36898" s="8"/>
      <c r="D36898" s="8"/>
    </row>
    <row r="36899" spans="1:4" ht="15.75" customHeight="1">
      <c r="A36899" s="8"/>
      <c r="B36899" s="12"/>
      <c r="C36899" s="8"/>
      <c r="D36899" s="8"/>
    </row>
    <row r="36900" spans="1:4" ht="15.75" customHeight="1">
      <c r="A36900" s="8"/>
      <c r="B36900" s="12"/>
      <c r="C36900" s="8"/>
      <c r="D36900" s="8"/>
    </row>
    <row r="36901" spans="1:4" ht="15.75" customHeight="1">
      <c r="A36901" s="8"/>
      <c r="B36901" s="12"/>
      <c r="C36901" s="8"/>
      <c r="D36901" s="8"/>
    </row>
    <row r="36902" spans="1:4" ht="15.75" customHeight="1">
      <c r="A36902" s="8"/>
      <c r="B36902" s="12"/>
      <c r="C36902" s="8"/>
      <c r="D36902" s="8"/>
    </row>
    <row r="36903" spans="1:4" ht="15.75" customHeight="1">
      <c r="A36903" s="8"/>
      <c r="B36903" s="12"/>
      <c r="C36903" s="8"/>
      <c r="D36903" s="8"/>
    </row>
    <row r="36904" spans="1:4" ht="15.75" customHeight="1">
      <c r="A36904" s="8"/>
      <c r="B36904" s="12"/>
      <c r="C36904" s="8"/>
      <c r="D36904" s="8"/>
    </row>
    <row r="36905" spans="1:4" ht="15.75" customHeight="1">
      <c r="A36905" s="8"/>
      <c r="B36905" s="12"/>
      <c r="C36905" s="8"/>
      <c r="D36905" s="8"/>
    </row>
    <row r="36906" spans="1:4" ht="15.75" customHeight="1">
      <c r="A36906" s="8"/>
      <c r="B36906" s="12"/>
      <c r="C36906" s="8"/>
      <c r="D36906" s="8"/>
    </row>
    <row r="36907" spans="1:4" ht="15.75" customHeight="1">
      <c r="A36907" s="8"/>
      <c r="B36907" s="12"/>
      <c r="C36907" s="8"/>
      <c r="D36907" s="8"/>
    </row>
    <row r="36908" spans="1:4" ht="15.75" customHeight="1">
      <c r="A36908" s="8"/>
      <c r="B36908" s="12"/>
      <c r="C36908" s="8"/>
      <c r="D36908" s="8"/>
    </row>
    <row r="36909" spans="1:4" ht="15.75" customHeight="1">
      <c r="A36909" s="8"/>
      <c r="B36909" s="12"/>
      <c r="C36909" s="8"/>
      <c r="D36909" s="8"/>
    </row>
    <row r="36910" spans="1:4" ht="15.75" customHeight="1">
      <c r="A36910" s="8"/>
      <c r="B36910" s="12"/>
      <c r="C36910" s="8"/>
      <c r="D36910" s="8"/>
    </row>
    <row r="36911" spans="1:4" ht="15.75" customHeight="1">
      <c r="A36911" s="8"/>
      <c r="B36911" s="12"/>
      <c r="C36911" s="8"/>
      <c r="D36911" s="8"/>
    </row>
    <row r="36912" spans="1:4" ht="15.75" customHeight="1">
      <c r="A36912" s="8"/>
      <c r="B36912" s="12"/>
      <c r="C36912" s="8"/>
      <c r="D36912" s="8"/>
    </row>
    <row r="36913" spans="1:4" ht="15.75" customHeight="1">
      <c r="A36913" s="8"/>
      <c r="B36913" s="12"/>
      <c r="C36913" s="8"/>
      <c r="D36913" s="8"/>
    </row>
    <row r="36914" spans="1:4" ht="15.75" customHeight="1">
      <c r="A36914" s="8"/>
      <c r="B36914" s="12"/>
      <c r="C36914" s="8"/>
      <c r="D36914" s="8"/>
    </row>
    <row r="36915" spans="1:4" ht="15.75" customHeight="1">
      <c r="A36915" s="8"/>
      <c r="B36915" s="12"/>
      <c r="C36915" s="8"/>
      <c r="D36915" s="8"/>
    </row>
    <row r="36916" spans="1:4" ht="15.75" customHeight="1">
      <c r="A36916" s="8"/>
      <c r="B36916" s="12"/>
      <c r="C36916" s="8"/>
      <c r="D36916" s="8"/>
    </row>
    <row r="36917" spans="1:4" ht="15.75" customHeight="1">
      <c r="A36917" s="8"/>
      <c r="B36917" s="12"/>
      <c r="C36917" s="8"/>
      <c r="D36917" s="8"/>
    </row>
    <row r="36918" spans="1:4" ht="15.75" customHeight="1">
      <c r="A36918" s="8"/>
      <c r="B36918" s="12"/>
      <c r="C36918" s="8"/>
      <c r="D36918" s="8"/>
    </row>
    <row r="36919" spans="1:4" ht="15.75" customHeight="1">
      <c r="A36919" s="8"/>
      <c r="B36919" s="12"/>
      <c r="C36919" s="8"/>
      <c r="D36919" s="8"/>
    </row>
    <row r="36920" spans="1:4" ht="15.75" customHeight="1">
      <c r="A36920" s="8"/>
      <c r="B36920" s="12"/>
      <c r="C36920" s="8"/>
      <c r="D36920" s="8"/>
    </row>
    <row r="36921" spans="1:4" ht="15.75" customHeight="1">
      <c r="A36921" s="8"/>
      <c r="B36921" s="12"/>
      <c r="C36921" s="8"/>
      <c r="D36921" s="8"/>
    </row>
    <row r="36922" spans="1:4" ht="15.75" customHeight="1">
      <c r="A36922" s="8"/>
      <c r="B36922" s="12"/>
      <c r="C36922" s="8"/>
      <c r="D36922" s="8"/>
    </row>
    <row r="36923" spans="1:4" ht="15.75" customHeight="1">
      <c r="A36923" s="8"/>
      <c r="B36923" s="12"/>
      <c r="C36923" s="8"/>
      <c r="D36923" s="8"/>
    </row>
    <row r="36924" spans="1:4" ht="15.75" customHeight="1">
      <c r="A36924" s="8"/>
      <c r="B36924" s="12"/>
      <c r="C36924" s="8"/>
      <c r="D36924" s="8"/>
    </row>
    <row r="36925" spans="1:4" ht="15.75" customHeight="1">
      <c r="A36925" s="8"/>
      <c r="B36925" s="12"/>
      <c r="C36925" s="8"/>
      <c r="D36925" s="8"/>
    </row>
    <row r="36926" spans="1:4" ht="15.75" customHeight="1">
      <c r="A36926" s="8"/>
      <c r="B36926" s="12"/>
      <c r="C36926" s="8"/>
      <c r="D36926" s="8"/>
    </row>
    <row r="36927" spans="1:4" ht="15.75" customHeight="1">
      <c r="A36927" s="8"/>
      <c r="B36927" s="12"/>
      <c r="C36927" s="8"/>
      <c r="D36927" s="8"/>
    </row>
    <row r="36928" spans="1:4" ht="15.75" customHeight="1">
      <c r="A36928" s="8"/>
      <c r="B36928" s="12"/>
      <c r="C36928" s="8"/>
      <c r="D36928" s="8"/>
    </row>
    <row r="36929" spans="1:4" ht="15.75" customHeight="1">
      <c r="A36929" s="8"/>
      <c r="B36929" s="12"/>
      <c r="C36929" s="8"/>
      <c r="D36929" s="8"/>
    </row>
    <row r="36930" spans="1:4" ht="15.75" customHeight="1">
      <c r="A36930" s="8"/>
      <c r="B36930" s="12"/>
      <c r="C36930" s="8"/>
      <c r="D36930" s="8"/>
    </row>
    <row r="36931" spans="1:4" ht="15.75" customHeight="1">
      <c r="A36931" s="8"/>
      <c r="B36931" s="12"/>
      <c r="C36931" s="8"/>
      <c r="D36931" s="8"/>
    </row>
    <row r="36932" spans="1:4" ht="15.75" customHeight="1">
      <c r="A36932" s="8"/>
      <c r="B36932" s="12"/>
      <c r="C36932" s="8"/>
      <c r="D36932" s="8"/>
    </row>
    <row r="36933" spans="1:4" ht="15.75" customHeight="1">
      <c r="A36933" s="8"/>
      <c r="B36933" s="12"/>
      <c r="C36933" s="8"/>
      <c r="D36933" s="8"/>
    </row>
    <row r="36934" spans="1:4" ht="15.75" customHeight="1">
      <c r="A36934" s="8"/>
      <c r="B36934" s="12"/>
      <c r="C36934" s="8"/>
      <c r="D36934" s="8"/>
    </row>
    <row r="36935" spans="1:4" ht="15.75" customHeight="1">
      <c r="A36935" s="8"/>
      <c r="B36935" s="12"/>
      <c r="C36935" s="8"/>
      <c r="D36935" s="8"/>
    </row>
    <row r="36936" spans="1:4" ht="15.75" customHeight="1">
      <c r="A36936" s="8"/>
      <c r="B36936" s="12"/>
      <c r="C36936" s="8"/>
      <c r="D36936" s="8"/>
    </row>
    <row r="36937" spans="1:4" ht="15.75" customHeight="1">
      <c r="A36937" s="8"/>
      <c r="B36937" s="12"/>
      <c r="C36937" s="8"/>
      <c r="D36937" s="8"/>
    </row>
    <row r="36938" spans="1:4" ht="15.75" customHeight="1">
      <c r="A36938" s="8"/>
      <c r="B36938" s="12"/>
      <c r="C36938" s="8"/>
      <c r="D36938" s="8"/>
    </row>
    <row r="36939" spans="1:4" ht="15.75" customHeight="1">
      <c r="A36939" s="8"/>
      <c r="B36939" s="12"/>
      <c r="C36939" s="8"/>
      <c r="D36939" s="8"/>
    </row>
    <row r="36940" spans="1:4" ht="15.75" customHeight="1">
      <c r="A36940" s="8"/>
      <c r="B36940" s="12"/>
      <c r="C36940" s="8"/>
      <c r="D36940" s="8"/>
    </row>
    <row r="36941" spans="1:4" ht="15.75" customHeight="1">
      <c r="A36941" s="8"/>
      <c r="B36941" s="12"/>
      <c r="C36941" s="8"/>
      <c r="D36941" s="8"/>
    </row>
    <row r="36942" spans="1:4" ht="15.75" customHeight="1">
      <c r="A36942" s="8"/>
      <c r="B36942" s="12"/>
      <c r="C36942" s="8"/>
      <c r="D36942" s="8"/>
    </row>
    <row r="36943" spans="1:4" ht="15.75" customHeight="1">
      <c r="A36943" s="8"/>
      <c r="B36943" s="12"/>
      <c r="C36943" s="8"/>
      <c r="D36943" s="8"/>
    </row>
    <row r="36944" spans="1:4" ht="15.75" customHeight="1">
      <c r="A36944" s="8"/>
      <c r="B36944" s="12"/>
      <c r="C36944" s="8"/>
      <c r="D36944" s="8"/>
    </row>
    <row r="36945" spans="1:4" ht="15.75" customHeight="1">
      <c r="A36945" s="8"/>
      <c r="B36945" s="12"/>
      <c r="C36945" s="8"/>
      <c r="D36945" s="8"/>
    </row>
    <row r="36946" spans="1:4" ht="15.75" customHeight="1">
      <c r="A36946" s="8"/>
      <c r="B36946" s="12"/>
      <c r="C36946" s="8"/>
      <c r="D36946" s="8"/>
    </row>
    <row r="36947" spans="1:4" ht="15.75" customHeight="1">
      <c r="A36947" s="8"/>
      <c r="B36947" s="12"/>
      <c r="C36947" s="8"/>
      <c r="D36947" s="8"/>
    </row>
    <row r="36948" spans="1:4" ht="15.75" customHeight="1">
      <c r="A36948" s="8"/>
      <c r="B36948" s="12"/>
      <c r="C36948" s="8"/>
      <c r="D36948" s="8"/>
    </row>
    <row r="36949" spans="1:4" ht="15.75" customHeight="1">
      <c r="A36949" s="8"/>
      <c r="B36949" s="12"/>
      <c r="C36949" s="8"/>
      <c r="D36949" s="8"/>
    </row>
    <row r="36950" spans="1:4" ht="15.75" customHeight="1">
      <c r="A36950" s="8"/>
      <c r="B36950" s="12"/>
      <c r="C36950" s="8"/>
      <c r="D36950" s="8"/>
    </row>
    <row r="36951" spans="1:4" ht="15.75" customHeight="1">
      <c r="A36951" s="8"/>
      <c r="B36951" s="12"/>
      <c r="C36951" s="8"/>
      <c r="D36951" s="8"/>
    </row>
    <row r="36952" spans="1:4" ht="15.75" customHeight="1">
      <c r="A36952" s="8"/>
      <c r="B36952" s="12"/>
      <c r="C36952" s="8"/>
      <c r="D36952" s="8"/>
    </row>
    <row r="36953" spans="1:4" ht="15.75" customHeight="1">
      <c r="A36953" s="8"/>
      <c r="B36953" s="12"/>
      <c r="C36953" s="8"/>
      <c r="D36953" s="8"/>
    </row>
    <row r="36954" spans="1:4" ht="15.75" customHeight="1">
      <c r="A36954" s="8"/>
      <c r="B36954" s="12"/>
      <c r="C36954" s="8"/>
      <c r="D36954" s="8"/>
    </row>
    <row r="36955" spans="1:4" ht="15.75" customHeight="1">
      <c r="A36955" s="8"/>
      <c r="B36955" s="12"/>
      <c r="C36955" s="8"/>
      <c r="D36955" s="8"/>
    </row>
    <row r="36956" spans="1:4" ht="15.75" customHeight="1">
      <c r="A36956" s="8"/>
      <c r="B36956" s="12"/>
      <c r="C36956" s="8"/>
      <c r="D36956" s="8"/>
    </row>
    <row r="36957" spans="1:4" ht="15.75" customHeight="1">
      <c r="A36957" s="8"/>
      <c r="B36957" s="12"/>
      <c r="C36957" s="8"/>
      <c r="D36957" s="8"/>
    </row>
    <row r="36958" spans="1:4" ht="15.75" customHeight="1">
      <c r="A36958" s="8"/>
      <c r="B36958" s="12"/>
      <c r="C36958" s="8"/>
      <c r="D36958" s="8"/>
    </row>
    <row r="36959" spans="1:4" ht="15.75" customHeight="1">
      <c r="A36959" s="8"/>
      <c r="B36959" s="12"/>
      <c r="C36959" s="8"/>
      <c r="D36959" s="8"/>
    </row>
    <row r="36960" spans="1:4" ht="15.75" customHeight="1">
      <c r="A36960" s="8"/>
      <c r="B36960" s="12"/>
      <c r="C36960" s="8"/>
      <c r="D36960" s="8"/>
    </row>
    <row r="36961" spans="1:4" ht="15.75" customHeight="1">
      <c r="A36961" s="8"/>
      <c r="B36961" s="12"/>
      <c r="C36961" s="8"/>
      <c r="D36961" s="8"/>
    </row>
    <row r="36962" spans="1:4" ht="15.75" customHeight="1">
      <c r="A36962" s="8"/>
      <c r="B36962" s="12"/>
      <c r="C36962" s="8"/>
      <c r="D36962" s="8"/>
    </row>
    <row r="36963" spans="1:4" ht="15.75" customHeight="1">
      <c r="A36963" s="8"/>
      <c r="B36963" s="12"/>
      <c r="C36963" s="8"/>
      <c r="D36963" s="8"/>
    </row>
    <row r="36964" spans="1:4" ht="15.75" customHeight="1">
      <c r="A36964" s="8"/>
      <c r="B36964" s="12"/>
      <c r="C36964" s="8"/>
      <c r="D36964" s="8"/>
    </row>
    <row r="36965" spans="1:4" ht="15.75" customHeight="1">
      <c r="A36965" s="8"/>
      <c r="B36965" s="12"/>
      <c r="C36965" s="8"/>
      <c r="D36965" s="8"/>
    </row>
    <row r="36966" spans="1:4" ht="15.75" customHeight="1">
      <c r="A36966" s="8"/>
      <c r="B36966" s="12"/>
      <c r="C36966" s="8"/>
      <c r="D36966" s="8"/>
    </row>
    <row r="36967" spans="1:4" ht="15.75" customHeight="1">
      <c r="A36967" s="8"/>
      <c r="B36967" s="12"/>
      <c r="C36967" s="8"/>
      <c r="D36967" s="8"/>
    </row>
    <row r="36968" spans="1:4" ht="15.75" customHeight="1">
      <c r="A36968" s="8"/>
      <c r="B36968" s="12"/>
      <c r="C36968" s="8"/>
      <c r="D36968" s="8"/>
    </row>
    <row r="36969" spans="1:4" ht="15.75" customHeight="1">
      <c r="A36969" s="8"/>
      <c r="B36969" s="12"/>
      <c r="C36969" s="8"/>
      <c r="D36969" s="8"/>
    </row>
    <row r="36970" spans="1:4" ht="15.75" customHeight="1">
      <c r="A36970" s="8"/>
      <c r="B36970" s="12"/>
      <c r="C36970" s="8"/>
      <c r="D36970" s="8"/>
    </row>
    <row r="36971" spans="1:4" ht="15.75" customHeight="1">
      <c r="A36971" s="8"/>
      <c r="B36971" s="12"/>
      <c r="C36971" s="8"/>
      <c r="D36971" s="8"/>
    </row>
    <row r="36972" spans="1:4" ht="15.75" customHeight="1">
      <c r="A36972" s="8"/>
      <c r="B36972" s="12"/>
      <c r="C36972" s="8"/>
      <c r="D36972" s="8"/>
    </row>
    <row r="36973" spans="1:4" ht="15.75" customHeight="1">
      <c r="A36973" s="8"/>
      <c r="B36973" s="12"/>
      <c r="C36973" s="8"/>
      <c r="D36973" s="8"/>
    </row>
    <row r="36974" spans="1:4" ht="15.75" customHeight="1">
      <c r="A36974" s="8"/>
      <c r="B36974" s="12"/>
      <c r="C36974" s="8"/>
      <c r="D36974" s="8"/>
    </row>
    <row r="36975" spans="1:4" ht="15.75" customHeight="1">
      <c r="A36975" s="8"/>
      <c r="B36975" s="12"/>
      <c r="C36975" s="8"/>
      <c r="D36975" s="8"/>
    </row>
    <row r="36976" spans="1:4" ht="15.75" customHeight="1">
      <c r="A36976" s="8"/>
      <c r="B36976" s="12"/>
      <c r="C36976" s="8"/>
      <c r="D36976" s="8"/>
    </row>
    <row r="36977" spans="1:4" ht="15.75" customHeight="1">
      <c r="A36977" s="8"/>
      <c r="B36977" s="12"/>
      <c r="C36977" s="8"/>
      <c r="D36977" s="8"/>
    </row>
    <row r="36978" spans="1:4" ht="15.75" customHeight="1">
      <c r="A36978" s="8"/>
      <c r="B36978" s="12"/>
      <c r="C36978" s="8"/>
      <c r="D36978" s="8"/>
    </row>
    <row r="36979" spans="1:4" ht="15.75" customHeight="1">
      <c r="A36979" s="8"/>
      <c r="B36979" s="12"/>
      <c r="C36979" s="8"/>
      <c r="D36979" s="8"/>
    </row>
    <row r="36980" spans="1:4" ht="15.75" customHeight="1">
      <c r="A36980" s="8"/>
      <c r="B36980" s="12"/>
      <c r="C36980" s="8"/>
      <c r="D36980" s="8"/>
    </row>
    <row r="36981" spans="1:4" ht="15.75" customHeight="1">
      <c r="A36981" s="8"/>
      <c r="B36981" s="12"/>
      <c r="C36981" s="8"/>
      <c r="D36981" s="8"/>
    </row>
    <row r="36982" spans="1:4" ht="15.75" customHeight="1">
      <c r="A36982" s="8"/>
      <c r="B36982" s="12"/>
      <c r="C36982" s="8"/>
      <c r="D36982" s="8"/>
    </row>
    <row r="36983" spans="1:4" ht="15.75" customHeight="1">
      <c r="A36983" s="8"/>
      <c r="B36983" s="12"/>
      <c r="C36983" s="8"/>
      <c r="D36983" s="8"/>
    </row>
    <row r="36984" spans="1:4" ht="15.75" customHeight="1">
      <c r="A36984" s="8"/>
      <c r="B36984" s="12"/>
      <c r="C36984" s="8"/>
      <c r="D36984" s="8"/>
    </row>
    <row r="36985" spans="1:4" ht="15.75" customHeight="1">
      <c r="A36985" s="8"/>
      <c r="B36985" s="12"/>
      <c r="C36985" s="8"/>
      <c r="D36985" s="8"/>
    </row>
    <row r="36986" spans="1:4" ht="15.75" customHeight="1">
      <c r="A36986" s="8"/>
      <c r="B36986" s="12"/>
      <c r="C36986" s="8"/>
      <c r="D36986" s="8"/>
    </row>
    <row r="36987" spans="1:4" ht="15.75" customHeight="1">
      <c r="A36987" s="8"/>
      <c r="B36987" s="12"/>
      <c r="C36987" s="8"/>
      <c r="D36987" s="8"/>
    </row>
    <row r="36988" spans="1:4" ht="15.75" customHeight="1">
      <c r="A36988" s="8"/>
      <c r="B36988" s="12"/>
      <c r="C36988" s="8"/>
      <c r="D36988" s="8"/>
    </row>
    <row r="36989" spans="1:4" ht="15.75" customHeight="1">
      <c r="A36989" s="8"/>
      <c r="B36989" s="12"/>
      <c r="C36989" s="8"/>
      <c r="D36989" s="8"/>
    </row>
    <row r="36990" spans="1:4" ht="15.75" customHeight="1">
      <c r="A36990" s="8"/>
      <c r="B36990" s="12"/>
      <c r="C36990" s="8"/>
      <c r="D36990" s="8"/>
    </row>
    <row r="36991" spans="1:4" ht="15.75" customHeight="1">
      <c r="A36991" s="8"/>
      <c r="B36991" s="12"/>
      <c r="C36991" s="8"/>
      <c r="D36991" s="8"/>
    </row>
    <row r="36992" spans="1:4" ht="15.75" customHeight="1">
      <c r="A36992" s="8"/>
      <c r="B36992" s="12"/>
      <c r="C36992" s="8"/>
      <c r="D36992" s="8"/>
    </row>
    <row r="36993" spans="1:4" ht="15.75" customHeight="1">
      <c r="A36993" s="8"/>
      <c r="B36993" s="12"/>
      <c r="C36993" s="8"/>
      <c r="D36993" s="8"/>
    </row>
    <row r="36994" spans="1:4" ht="15.75" customHeight="1">
      <c r="A36994" s="8"/>
      <c r="B36994" s="12"/>
      <c r="C36994" s="8"/>
      <c r="D36994" s="8"/>
    </row>
    <row r="36995" spans="1:4" ht="15.75" customHeight="1">
      <c r="A36995" s="8"/>
      <c r="B36995" s="12"/>
      <c r="C36995" s="8"/>
      <c r="D36995" s="8"/>
    </row>
    <row r="36996" spans="1:4" ht="15.75" customHeight="1">
      <c r="A36996" s="8"/>
      <c r="B36996" s="12"/>
      <c r="C36996" s="8"/>
      <c r="D36996" s="8"/>
    </row>
    <row r="36997" spans="1:4" ht="15.75" customHeight="1">
      <c r="A36997" s="8"/>
      <c r="B36997" s="12"/>
      <c r="C36997" s="8"/>
      <c r="D36997" s="8"/>
    </row>
    <row r="36998" spans="1:4" ht="15.75" customHeight="1">
      <c r="A36998" s="8"/>
      <c r="B36998" s="12"/>
      <c r="C36998" s="8"/>
      <c r="D36998" s="8"/>
    </row>
    <row r="36999" spans="1:4" ht="15.75" customHeight="1">
      <c r="A36999" s="8"/>
      <c r="B36999" s="12"/>
      <c r="C36999" s="8"/>
      <c r="D36999" s="8"/>
    </row>
    <row r="37000" spans="1:4" ht="15.75" customHeight="1">
      <c r="A37000" s="8"/>
      <c r="B37000" s="12"/>
      <c r="C37000" s="8"/>
      <c r="D37000" s="8"/>
    </row>
    <row r="37001" spans="1:4" ht="15.75" customHeight="1">
      <c r="A37001" s="8"/>
      <c r="B37001" s="12"/>
      <c r="C37001" s="8"/>
      <c r="D37001" s="8"/>
    </row>
    <row r="37002" spans="1:4" ht="15.75" customHeight="1">
      <c r="A37002" s="8"/>
      <c r="B37002" s="12"/>
      <c r="C37002" s="8"/>
      <c r="D37002" s="8"/>
    </row>
    <row r="37003" spans="1:4" ht="15.75" customHeight="1">
      <c r="A37003" s="8"/>
      <c r="B37003" s="12"/>
      <c r="C37003" s="8"/>
      <c r="D37003" s="8"/>
    </row>
    <row r="37004" spans="1:4" ht="15.75" customHeight="1">
      <c r="A37004" s="8"/>
      <c r="B37004" s="12"/>
      <c r="C37004" s="8"/>
      <c r="D37004" s="8"/>
    </row>
    <row r="37005" spans="1:4" ht="15.75" customHeight="1">
      <c r="A37005" s="8"/>
      <c r="B37005" s="12"/>
      <c r="C37005" s="8"/>
      <c r="D37005" s="8"/>
    </row>
    <row r="37006" spans="1:4" ht="15.75" customHeight="1">
      <c r="A37006" s="8"/>
      <c r="B37006" s="12"/>
      <c r="C37006" s="8"/>
      <c r="D37006" s="8"/>
    </row>
    <row r="37007" spans="1:4" ht="15.75" customHeight="1">
      <c r="A37007" s="8"/>
      <c r="B37007" s="12"/>
      <c r="C37007" s="8"/>
      <c r="D37007" s="8"/>
    </row>
    <row r="37008" spans="1:4" ht="15.75" customHeight="1">
      <c r="A37008" s="8"/>
      <c r="B37008" s="12"/>
      <c r="C37008" s="8"/>
      <c r="D37008" s="8"/>
    </row>
    <row r="37009" spans="1:4" ht="15.75" customHeight="1">
      <c r="A37009" s="8"/>
      <c r="B37009" s="12"/>
      <c r="C37009" s="8"/>
      <c r="D37009" s="8"/>
    </row>
    <row r="37010" spans="1:4" ht="15.75" customHeight="1">
      <c r="A37010" s="8"/>
      <c r="B37010" s="12"/>
      <c r="C37010" s="8"/>
      <c r="D37010" s="8"/>
    </row>
    <row r="37011" spans="1:4" ht="15.75" customHeight="1">
      <c r="A37011" s="8"/>
      <c r="B37011" s="12"/>
      <c r="C37011" s="8"/>
      <c r="D37011" s="8"/>
    </row>
    <row r="37012" spans="1:4" ht="15.75" customHeight="1">
      <c r="A37012" s="8"/>
      <c r="B37012" s="12"/>
      <c r="C37012" s="8"/>
      <c r="D37012" s="8"/>
    </row>
    <row r="37013" spans="1:4" ht="15.75" customHeight="1">
      <c r="A37013" s="8"/>
      <c r="B37013" s="12"/>
      <c r="C37013" s="8"/>
      <c r="D37013" s="8"/>
    </row>
    <row r="37014" spans="1:4" ht="15.75" customHeight="1">
      <c r="A37014" s="8"/>
      <c r="B37014" s="12"/>
      <c r="C37014" s="8"/>
      <c r="D37014" s="8"/>
    </row>
    <row r="37015" spans="1:4" ht="15.75" customHeight="1">
      <c r="A37015" s="8"/>
      <c r="B37015" s="12"/>
      <c r="C37015" s="8"/>
      <c r="D37015" s="8"/>
    </row>
    <row r="37016" spans="1:4" ht="15.75" customHeight="1">
      <c r="A37016" s="8"/>
      <c r="B37016" s="12"/>
      <c r="C37016" s="8"/>
      <c r="D37016" s="8"/>
    </row>
    <row r="37017" spans="1:4" ht="15.75" customHeight="1">
      <c r="A37017" s="8"/>
      <c r="B37017" s="12"/>
      <c r="C37017" s="8"/>
      <c r="D37017" s="8"/>
    </row>
    <row r="37018" spans="1:4" ht="15.75" customHeight="1">
      <c r="A37018" s="8"/>
      <c r="B37018" s="12"/>
      <c r="C37018" s="8"/>
      <c r="D37018" s="8"/>
    </row>
    <row r="37019" spans="1:4" ht="15.75" customHeight="1">
      <c r="A37019" s="8"/>
      <c r="B37019" s="12"/>
      <c r="C37019" s="8"/>
      <c r="D37019" s="8"/>
    </row>
    <row r="37020" spans="1:4" ht="15.75" customHeight="1">
      <c r="A37020" s="8"/>
      <c r="B37020" s="12"/>
      <c r="C37020" s="8"/>
      <c r="D37020" s="8"/>
    </row>
    <row r="37021" spans="1:4" ht="15.75" customHeight="1">
      <c r="A37021" s="8"/>
      <c r="B37021" s="12"/>
      <c r="C37021" s="8"/>
      <c r="D37021" s="8"/>
    </row>
    <row r="37022" spans="1:4" ht="15.75" customHeight="1">
      <c r="A37022" s="8"/>
      <c r="B37022" s="12"/>
      <c r="C37022" s="8"/>
      <c r="D37022" s="8"/>
    </row>
    <row r="37023" spans="1:4" ht="15.75" customHeight="1">
      <c r="A37023" s="8"/>
      <c r="B37023" s="12"/>
      <c r="C37023" s="8"/>
      <c r="D37023" s="8"/>
    </row>
    <row r="37024" spans="1:4" ht="15.75" customHeight="1">
      <c r="A37024" s="8"/>
      <c r="B37024" s="12"/>
      <c r="C37024" s="8"/>
      <c r="D37024" s="8"/>
    </row>
    <row r="37025" spans="1:4" ht="15.75" customHeight="1">
      <c r="A37025" s="8"/>
      <c r="B37025" s="12"/>
      <c r="C37025" s="8"/>
      <c r="D37025" s="8"/>
    </row>
    <row r="37026" spans="1:4" ht="15.75" customHeight="1">
      <c r="A37026" s="8"/>
      <c r="B37026" s="12"/>
      <c r="C37026" s="8"/>
      <c r="D37026" s="8"/>
    </row>
    <row r="37027" spans="1:4" ht="15.75" customHeight="1">
      <c r="A37027" s="8"/>
      <c r="B37027" s="12"/>
      <c r="C37027" s="8"/>
      <c r="D37027" s="8"/>
    </row>
    <row r="37028" spans="1:4" ht="15.75" customHeight="1">
      <c r="A37028" s="8"/>
      <c r="B37028" s="12"/>
      <c r="C37028" s="8"/>
      <c r="D37028" s="8"/>
    </row>
    <row r="37029" spans="1:4" ht="15.75" customHeight="1">
      <c r="A37029" s="8"/>
      <c r="B37029" s="12"/>
      <c r="C37029" s="8"/>
      <c r="D37029" s="8"/>
    </row>
    <row r="37030" spans="1:4" ht="15.75" customHeight="1">
      <c r="A37030" s="8"/>
      <c r="B37030" s="12"/>
      <c r="C37030" s="8"/>
      <c r="D37030" s="8"/>
    </row>
    <row r="37031" spans="1:4" ht="15.75" customHeight="1">
      <c r="A37031" s="8"/>
      <c r="B37031" s="12"/>
      <c r="C37031" s="8"/>
      <c r="D37031" s="8"/>
    </row>
    <row r="37032" spans="1:4" ht="15.75" customHeight="1">
      <c r="A37032" s="8"/>
      <c r="B37032" s="12"/>
      <c r="C37032" s="8"/>
      <c r="D37032" s="8"/>
    </row>
    <row r="37033" spans="1:4" ht="15.75" customHeight="1">
      <c r="A37033" s="8"/>
      <c r="B37033" s="12"/>
      <c r="C37033" s="8"/>
      <c r="D37033" s="8"/>
    </row>
    <row r="37034" spans="1:4" ht="15.75" customHeight="1">
      <c r="A37034" s="8"/>
      <c r="B37034" s="12"/>
      <c r="C37034" s="8"/>
      <c r="D37034" s="8"/>
    </row>
    <row r="37035" spans="1:4" ht="15.75" customHeight="1">
      <c r="A37035" s="8"/>
      <c r="B37035" s="12"/>
      <c r="C37035" s="8"/>
      <c r="D37035" s="8"/>
    </row>
    <row r="37036" spans="1:4" ht="15.75" customHeight="1">
      <c r="A37036" s="8"/>
      <c r="B37036" s="12"/>
      <c r="C37036" s="8"/>
      <c r="D37036" s="8"/>
    </row>
    <row r="37037" spans="1:4" ht="15.75" customHeight="1">
      <c r="A37037" s="8"/>
      <c r="B37037" s="12"/>
      <c r="C37037" s="8"/>
      <c r="D37037" s="8"/>
    </row>
    <row r="37038" spans="1:4" ht="15.75" customHeight="1">
      <c r="A37038" s="8"/>
      <c r="B37038" s="12"/>
      <c r="C37038" s="8"/>
      <c r="D37038" s="8"/>
    </row>
    <row r="37039" spans="1:4" ht="15.75" customHeight="1">
      <c r="A37039" s="8"/>
      <c r="B37039" s="12"/>
      <c r="C37039" s="8"/>
      <c r="D37039" s="8"/>
    </row>
    <row r="37040" spans="1:4" ht="15.75" customHeight="1">
      <c r="A37040" s="8"/>
      <c r="B37040" s="12"/>
      <c r="C37040" s="8"/>
      <c r="D37040" s="8"/>
    </row>
    <row r="37041" spans="1:4" ht="15.75" customHeight="1">
      <c r="A37041" s="8"/>
      <c r="B37041" s="12"/>
      <c r="C37041" s="8"/>
      <c r="D37041" s="8"/>
    </row>
    <row r="37042" spans="1:4" ht="15.75" customHeight="1">
      <c r="A37042" s="8"/>
      <c r="B37042" s="12"/>
      <c r="C37042" s="8"/>
      <c r="D37042" s="8"/>
    </row>
    <row r="37043" spans="1:4" ht="15.75" customHeight="1">
      <c r="A37043" s="8"/>
      <c r="B37043" s="12"/>
      <c r="C37043" s="8"/>
      <c r="D37043" s="8"/>
    </row>
    <row r="37044" spans="1:4" ht="15.75" customHeight="1">
      <c r="A37044" s="8"/>
      <c r="B37044" s="12"/>
      <c r="C37044" s="8"/>
      <c r="D37044" s="8"/>
    </row>
    <row r="37045" spans="1:4" ht="15.75" customHeight="1">
      <c r="A37045" s="8"/>
      <c r="B37045" s="12"/>
      <c r="C37045" s="8"/>
      <c r="D37045" s="8"/>
    </row>
    <row r="37046" spans="1:4" ht="15.75" customHeight="1">
      <c r="A37046" s="8"/>
      <c r="B37046" s="12"/>
      <c r="C37046" s="8"/>
      <c r="D37046" s="8"/>
    </row>
    <row r="37047" spans="1:4" ht="15.75" customHeight="1">
      <c r="A37047" s="8"/>
      <c r="B37047" s="12"/>
      <c r="C37047" s="8"/>
      <c r="D37047" s="8"/>
    </row>
    <row r="37048" spans="1:4" ht="15.75" customHeight="1">
      <c r="A37048" s="8"/>
      <c r="B37048" s="12"/>
      <c r="C37048" s="8"/>
      <c r="D37048" s="8"/>
    </row>
    <row r="37049" spans="1:4" ht="15.75" customHeight="1">
      <c r="A37049" s="8"/>
      <c r="B37049" s="12"/>
      <c r="C37049" s="8"/>
      <c r="D37049" s="8"/>
    </row>
    <row r="37050" spans="1:4" ht="15.75" customHeight="1">
      <c r="A37050" s="8"/>
      <c r="B37050" s="12"/>
      <c r="C37050" s="8"/>
      <c r="D37050" s="8"/>
    </row>
    <row r="37051" spans="1:4" ht="15.75" customHeight="1">
      <c r="A37051" s="8"/>
      <c r="B37051" s="12"/>
      <c r="C37051" s="8"/>
      <c r="D37051" s="8"/>
    </row>
    <row r="37052" spans="1:4" ht="15.75" customHeight="1">
      <c r="A37052" s="8"/>
      <c r="B37052" s="12"/>
      <c r="C37052" s="8"/>
      <c r="D37052" s="8"/>
    </row>
    <row r="37053" spans="1:4" ht="15.75" customHeight="1">
      <c r="A37053" s="8"/>
      <c r="B37053" s="12"/>
      <c r="C37053" s="8"/>
      <c r="D37053" s="8"/>
    </row>
    <row r="37054" spans="1:4" ht="15.75" customHeight="1">
      <c r="A37054" s="8"/>
      <c r="B37054" s="12"/>
      <c r="C37054" s="8"/>
      <c r="D37054" s="8"/>
    </row>
    <row r="37055" spans="1:4" ht="15.75" customHeight="1">
      <c r="A37055" s="8"/>
      <c r="B37055" s="12"/>
      <c r="C37055" s="8"/>
      <c r="D37055" s="8"/>
    </row>
    <row r="37056" spans="1:4" ht="15.75" customHeight="1">
      <c r="A37056" s="8"/>
      <c r="B37056" s="12"/>
      <c r="C37056" s="8"/>
      <c r="D37056" s="8"/>
    </row>
    <row r="37057" spans="1:4" ht="15.75" customHeight="1">
      <c r="A37057" s="8"/>
      <c r="B37057" s="12"/>
      <c r="C37057" s="8"/>
      <c r="D37057" s="8"/>
    </row>
    <row r="37058" spans="1:4" ht="15.75" customHeight="1">
      <c r="A37058" s="8"/>
      <c r="B37058" s="12"/>
      <c r="C37058" s="8"/>
      <c r="D37058" s="8"/>
    </row>
    <row r="37059" spans="1:4" ht="15.75" customHeight="1">
      <c r="A37059" s="8"/>
      <c r="B37059" s="12"/>
      <c r="C37059" s="8"/>
      <c r="D37059" s="8"/>
    </row>
    <row r="37060" spans="1:4" ht="15.75" customHeight="1">
      <c r="A37060" s="8"/>
      <c r="B37060" s="12"/>
      <c r="C37060" s="8"/>
      <c r="D37060" s="8"/>
    </row>
    <row r="37061" spans="1:4" ht="15.75" customHeight="1">
      <c r="A37061" s="8"/>
      <c r="B37061" s="12"/>
      <c r="C37061" s="8"/>
      <c r="D37061" s="8"/>
    </row>
    <row r="37062" spans="1:4" ht="15.75" customHeight="1">
      <c r="A37062" s="8"/>
      <c r="B37062" s="12"/>
      <c r="C37062" s="8"/>
      <c r="D37062" s="8"/>
    </row>
    <row r="37063" spans="1:4" ht="15.75" customHeight="1">
      <c r="A37063" s="8"/>
      <c r="B37063" s="12"/>
      <c r="C37063" s="8"/>
      <c r="D37063" s="8"/>
    </row>
    <row r="37064" spans="1:4" ht="15.75" customHeight="1">
      <c r="A37064" s="8"/>
      <c r="B37064" s="12"/>
      <c r="C37064" s="8"/>
      <c r="D37064" s="8"/>
    </row>
    <row r="37065" spans="1:4" ht="15.75" customHeight="1">
      <c r="A37065" s="8"/>
      <c r="B37065" s="12"/>
      <c r="C37065" s="8"/>
      <c r="D37065" s="8"/>
    </row>
    <row r="37066" spans="1:4" ht="15.75" customHeight="1">
      <c r="A37066" s="8"/>
      <c r="B37066" s="12"/>
      <c r="C37066" s="8"/>
      <c r="D37066" s="8"/>
    </row>
    <row r="37067" spans="1:4" ht="15.75" customHeight="1">
      <c r="A37067" s="8"/>
      <c r="B37067" s="12"/>
      <c r="C37067" s="8"/>
      <c r="D37067" s="8"/>
    </row>
    <row r="37068" spans="1:4" ht="15.75" customHeight="1">
      <c r="A37068" s="8"/>
      <c r="B37068" s="12"/>
      <c r="C37068" s="8"/>
      <c r="D37068" s="8"/>
    </row>
    <row r="37069" spans="1:4" ht="15.75" customHeight="1">
      <c r="A37069" s="8"/>
      <c r="B37069" s="12"/>
      <c r="C37069" s="8"/>
      <c r="D37069" s="8"/>
    </row>
    <row r="37070" spans="1:4" ht="15.75" customHeight="1">
      <c r="A37070" s="8"/>
      <c r="B37070" s="12"/>
      <c r="C37070" s="8"/>
      <c r="D37070" s="8"/>
    </row>
    <row r="37071" spans="1:4" ht="15.75" customHeight="1">
      <c r="A37071" s="8"/>
      <c r="B37071" s="12"/>
      <c r="C37071" s="8"/>
      <c r="D37071" s="8"/>
    </row>
    <row r="37072" spans="1:4" ht="15.75" customHeight="1">
      <c r="A37072" s="8"/>
      <c r="B37072" s="12"/>
      <c r="C37072" s="8"/>
      <c r="D37072" s="8"/>
    </row>
    <row r="37073" spans="1:4" ht="15.75" customHeight="1">
      <c r="A37073" s="8"/>
      <c r="B37073" s="12"/>
      <c r="C37073" s="8"/>
      <c r="D37073" s="8"/>
    </row>
    <row r="37074" spans="1:4" ht="15.75" customHeight="1">
      <c r="A37074" s="8"/>
      <c r="B37074" s="12"/>
      <c r="C37074" s="8"/>
      <c r="D37074" s="8"/>
    </row>
    <row r="37075" spans="1:4" ht="15.75" customHeight="1">
      <c r="A37075" s="8"/>
      <c r="B37075" s="12"/>
      <c r="C37075" s="8"/>
      <c r="D37075" s="8"/>
    </row>
    <row r="37076" spans="1:4" ht="15.75" customHeight="1">
      <c r="A37076" s="8"/>
      <c r="B37076" s="12"/>
      <c r="C37076" s="8"/>
      <c r="D37076" s="8"/>
    </row>
    <row r="37077" spans="1:4" ht="15.75" customHeight="1">
      <c r="A37077" s="8"/>
      <c r="B37077" s="12"/>
      <c r="C37077" s="8"/>
      <c r="D37077" s="8"/>
    </row>
    <row r="37078" spans="1:4" ht="15.75" customHeight="1">
      <c r="A37078" s="8"/>
      <c r="B37078" s="12"/>
      <c r="C37078" s="8"/>
      <c r="D37078" s="8"/>
    </row>
    <row r="37079" spans="1:4" ht="15.75" customHeight="1">
      <c r="A37079" s="8"/>
      <c r="B37079" s="12"/>
      <c r="C37079" s="8"/>
      <c r="D37079" s="8"/>
    </row>
    <row r="37080" spans="1:4" ht="15.75" customHeight="1">
      <c r="A37080" s="8"/>
      <c r="B37080" s="12"/>
      <c r="C37080" s="8"/>
      <c r="D37080" s="8"/>
    </row>
    <row r="37081" spans="1:4" ht="15.75" customHeight="1">
      <c r="A37081" s="8"/>
      <c r="B37081" s="12"/>
      <c r="C37081" s="8"/>
      <c r="D37081" s="8"/>
    </row>
    <row r="37082" spans="1:4" ht="15.75" customHeight="1">
      <c r="A37082" s="8"/>
      <c r="B37082" s="12"/>
      <c r="C37082" s="8"/>
      <c r="D37082" s="8"/>
    </row>
    <row r="37083" spans="1:4" ht="15.75" customHeight="1">
      <c r="A37083" s="8"/>
      <c r="B37083" s="12"/>
      <c r="C37083" s="8"/>
      <c r="D37083" s="8"/>
    </row>
    <row r="37084" spans="1:4" ht="15.75" customHeight="1">
      <c r="A37084" s="8"/>
      <c r="B37084" s="12"/>
      <c r="C37084" s="8"/>
      <c r="D37084" s="8"/>
    </row>
    <row r="37085" spans="1:4" ht="15.75" customHeight="1">
      <c r="A37085" s="8"/>
      <c r="B37085" s="12"/>
      <c r="C37085" s="8"/>
      <c r="D37085" s="8"/>
    </row>
    <row r="37086" spans="1:4" ht="15.75" customHeight="1">
      <c r="A37086" s="8"/>
      <c r="B37086" s="12"/>
      <c r="C37086" s="8"/>
      <c r="D37086" s="8"/>
    </row>
    <row r="37087" spans="1:4" ht="15.75" customHeight="1">
      <c r="A37087" s="8"/>
      <c r="B37087" s="12"/>
      <c r="C37087" s="8"/>
      <c r="D37087" s="8"/>
    </row>
    <row r="37088" spans="1:4" ht="15.75" customHeight="1">
      <c r="A37088" s="8"/>
      <c r="B37088" s="12"/>
      <c r="C37088" s="8"/>
      <c r="D37088" s="8"/>
    </row>
    <row r="37089" spans="1:4" ht="15.75" customHeight="1">
      <c r="A37089" s="8"/>
      <c r="B37089" s="12"/>
      <c r="C37089" s="8"/>
      <c r="D37089" s="8"/>
    </row>
    <row r="37090" spans="1:4" ht="15.75" customHeight="1">
      <c r="A37090" s="8"/>
      <c r="B37090" s="12"/>
      <c r="C37090" s="8"/>
      <c r="D37090" s="8"/>
    </row>
    <row r="37091" spans="1:4" ht="15.75" customHeight="1">
      <c r="A37091" s="8"/>
      <c r="B37091" s="12"/>
      <c r="C37091" s="8"/>
      <c r="D37091" s="8"/>
    </row>
    <row r="37092" spans="1:4" ht="15.75" customHeight="1">
      <c r="A37092" s="8"/>
      <c r="B37092" s="12"/>
      <c r="C37092" s="8"/>
      <c r="D37092" s="8"/>
    </row>
    <row r="37093" spans="1:4" ht="15.75" customHeight="1">
      <c r="A37093" s="8"/>
      <c r="B37093" s="12"/>
      <c r="C37093" s="8"/>
      <c r="D37093" s="8"/>
    </row>
    <row r="37094" spans="1:4" ht="15.75" customHeight="1">
      <c r="A37094" s="8"/>
      <c r="B37094" s="12"/>
      <c r="C37094" s="8"/>
      <c r="D37094" s="8"/>
    </row>
    <row r="37095" spans="1:4" ht="15.75" customHeight="1">
      <c r="A37095" s="8"/>
      <c r="B37095" s="12"/>
      <c r="C37095" s="8"/>
      <c r="D37095" s="8"/>
    </row>
    <row r="37096" spans="1:4" ht="15.75" customHeight="1">
      <c r="A37096" s="8"/>
      <c r="B37096" s="12"/>
      <c r="C37096" s="8"/>
      <c r="D37096" s="8"/>
    </row>
    <row r="37097" spans="1:4" ht="15.75" customHeight="1">
      <c r="A37097" s="8"/>
      <c r="B37097" s="12"/>
      <c r="C37097" s="8"/>
      <c r="D37097" s="8"/>
    </row>
    <row r="37098" spans="1:4" ht="15.75" customHeight="1">
      <c r="A37098" s="8"/>
      <c r="B37098" s="12"/>
      <c r="C37098" s="8"/>
      <c r="D37098" s="8"/>
    </row>
    <row r="37099" spans="1:4" ht="15.75" customHeight="1">
      <c r="A37099" s="8"/>
      <c r="B37099" s="12"/>
      <c r="C37099" s="8"/>
      <c r="D37099" s="8"/>
    </row>
    <row r="37100" spans="1:4" ht="15.75" customHeight="1">
      <c r="A37100" s="8"/>
      <c r="B37100" s="12"/>
      <c r="C37100" s="8"/>
      <c r="D37100" s="8"/>
    </row>
    <row r="37101" spans="1:4" ht="15.75" customHeight="1">
      <c r="A37101" s="8"/>
      <c r="B37101" s="12"/>
      <c r="C37101" s="8"/>
      <c r="D37101" s="8"/>
    </row>
    <row r="37102" spans="1:4" ht="15.75" customHeight="1">
      <c r="A37102" s="8"/>
      <c r="B37102" s="12"/>
      <c r="C37102" s="8"/>
      <c r="D37102" s="8"/>
    </row>
    <row r="37103" spans="1:4" ht="15.75" customHeight="1">
      <c r="A37103" s="8"/>
      <c r="B37103" s="12"/>
      <c r="C37103" s="8"/>
      <c r="D37103" s="8"/>
    </row>
    <row r="37104" spans="1:4" ht="15.75" customHeight="1">
      <c r="A37104" s="8"/>
      <c r="B37104" s="12"/>
      <c r="C37104" s="8"/>
      <c r="D37104" s="8"/>
    </row>
    <row r="37105" spans="1:4" ht="15.75" customHeight="1">
      <c r="A37105" s="8"/>
      <c r="B37105" s="12"/>
      <c r="C37105" s="8"/>
      <c r="D37105" s="8"/>
    </row>
    <row r="37106" spans="1:4" ht="15.75" customHeight="1">
      <c r="A37106" s="8"/>
      <c r="B37106" s="12"/>
      <c r="C37106" s="8"/>
      <c r="D37106" s="8"/>
    </row>
    <row r="37107" spans="1:4" ht="15.75" customHeight="1">
      <c r="A37107" s="8"/>
      <c r="B37107" s="12"/>
      <c r="C37107" s="8"/>
      <c r="D37107" s="8"/>
    </row>
    <row r="37108" spans="1:4" ht="15.75" customHeight="1">
      <c r="A37108" s="8"/>
      <c r="B37108" s="12"/>
      <c r="C37108" s="8"/>
      <c r="D37108" s="8"/>
    </row>
    <row r="37109" spans="1:4" ht="15.75" customHeight="1">
      <c r="A37109" s="8"/>
      <c r="B37109" s="12"/>
      <c r="C37109" s="8"/>
      <c r="D37109" s="8"/>
    </row>
    <row r="37110" spans="1:4" ht="15.75" customHeight="1">
      <c r="A37110" s="8"/>
      <c r="B37110" s="12"/>
      <c r="C37110" s="8"/>
      <c r="D37110" s="8"/>
    </row>
    <row r="37111" spans="1:4" ht="15.75" customHeight="1">
      <c r="A37111" s="8"/>
      <c r="B37111" s="12"/>
      <c r="C37111" s="8"/>
      <c r="D37111" s="8"/>
    </row>
    <row r="37112" spans="1:4" ht="15.75" customHeight="1">
      <c r="A37112" s="8"/>
      <c r="B37112" s="12"/>
      <c r="C37112" s="8"/>
      <c r="D37112" s="8"/>
    </row>
    <row r="37113" spans="1:4" ht="15.75" customHeight="1">
      <c r="A37113" s="8"/>
      <c r="B37113" s="12"/>
      <c r="C37113" s="8"/>
      <c r="D37113" s="8"/>
    </row>
    <row r="37114" spans="1:4" ht="15.75" customHeight="1">
      <c r="A37114" s="8"/>
      <c r="B37114" s="12"/>
      <c r="C37114" s="8"/>
      <c r="D37114" s="8"/>
    </row>
    <row r="37115" spans="1:4" ht="15.75" customHeight="1">
      <c r="A37115" s="8"/>
      <c r="B37115" s="12"/>
      <c r="C37115" s="8"/>
      <c r="D37115" s="8"/>
    </row>
    <row r="37116" spans="1:4" ht="15.75" customHeight="1">
      <c r="A37116" s="8"/>
      <c r="B37116" s="12"/>
      <c r="C37116" s="8"/>
      <c r="D37116" s="8"/>
    </row>
    <row r="37117" spans="1:4" ht="15.75" customHeight="1">
      <c r="A37117" s="8"/>
      <c r="B37117" s="12"/>
      <c r="C37117" s="8"/>
      <c r="D37117" s="8"/>
    </row>
    <row r="37118" spans="1:4" ht="15.75" customHeight="1">
      <c r="A37118" s="8"/>
      <c r="B37118" s="12"/>
      <c r="C37118" s="8"/>
      <c r="D37118" s="8"/>
    </row>
    <row r="37119" spans="1:4" ht="15.75" customHeight="1">
      <c r="A37119" s="8"/>
      <c r="B37119" s="12"/>
      <c r="C37119" s="8"/>
      <c r="D37119" s="8"/>
    </row>
    <row r="37120" spans="1:4" ht="15.75" customHeight="1">
      <c r="A37120" s="8"/>
      <c r="B37120" s="12"/>
      <c r="C37120" s="8"/>
      <c r="D37120" s="8"/>
    </row>
    <row r="37121" spans="1:4" ht="15.75" customHeight="1">
      <c r="A37121" s="8"/>
      <c r="B37121" s="12"/>
      <c r="C37121" s="8"/>
      <c r="D37121" s="8"/>
    </row>
    <row r="37122" spans="1:4" ht="15.75" customHeight="1">
      <c r="A37122" s="8"/>
      <c r="B37122" s="12"/>
      <c r="C37122" s="8"/>
      <c r="D37122" s="8"/>
    </row>
    <row r="37123" spans="1:4" ht="15.75" customHeight="1">
      <c r="A37123" s="8"/>
      <c r="B37123" s="12"/>
      <c r="C37123" s="8"/>
      <c r="D37123" s="8"/>
    </row>
    <row r="37124" spans="1:4" ht="15.75" customHeight="1">
      <c r="A37124" s="8"/>
      <c r="B37124" s="12"/>
      <c r="C37124" s="8"/>
      <c r="D37124" s="8"/>
    </row>
    <row r="37125" spans="1:4" ht="15.75" customHeight="1">
      <c r="A37125" s="8"/>
      <c r="B37125" s="12"/>
      <c r="C37125" s="8"/>
      <c r="D37125" s="8"/>
    </row>
    <row r="37126" spans="1:4" ht="15.75" customHeight="1">
      <c r="A37126" s="8"/>
      <c r="B37126" s="12"/>
      <c r="C37126" s="8"/>
      <c r="D37126" s="8"/>
    </row>
    <row r="37127" spans="1:4" ht="15.75" customHeight="1">
      <c r="A37127" s="8"/>
      <c r="B37127" s="12"/>
      <c r="C37127" s="8"/>
      <c r="D37127" s="8"/>
    </row>
    <row r="37128" spans="1:4" ht="15.75" customHeight="1">
      <c r="A37128" s="8"/>
      <c r="B37128" s="12"/>
      <c r="C37128" s="8"/>
      <c r="D37128" s="8"/>
    </row>
    <row r="37129" spans="1:4" ht="15.75" customHeight="1">
      <c r="A37129" s="8"/>
      <c r="B37129" s="12"/>
      <c r="C37129" s="8"/>
      <c r="D37129" s="8"/>
    </row>
    <row r="37130" spans="1:4" ht="15.75" customHeight="1">
      <c r="A37130" s="8"/>
      <c r="B37130" s="12"/>
      <c r="C37130" s="8"/>
      <c r="D37130" s="8"/>
    </row>
    <row r="37131" spans="1:4" ht="15.75" customHeight="1">
      <c r="A37131" s="8"/>
      <c r="B37131" s="12"/>
      <c r="C37131" s="8"/>
      <c r="D37131" s="8"/>
    </row>
    <row r="37132" spans="1:4" ht="15.75" customHeight="1">
      <c r="A37132" s="8"/>
      <c r="B37132" s="12"/>
      <c r="C37132" s="8"/>
      <c r="D37132" s="8"/>
    </row>
    <row r="37133" spans="1:4" ht="15.75" customHeight="1">
      <c r="A37133" s="8"/>
      <c r="B37133" s="12"/>
      <c r="C37133" s="8"/>
      <c r="D37133" s="8"/>
    </row>
    <row r="37134" spans="1:4" ht="15.75" customHeight="1">
      <c r="A37134" s="8"/>
      <c r="B37134" s="12"/>
      <c r="C37134" s="8"/>
      <c r="D37134" s="8"/>
    </row>
    <row r="37135" spans="1:4" ht="15.75" customHeight="1">
      <c r="A37135" s="8"/>
      <c r="B37135" s="12"/>
      <c r="C37135" s="8"/>
      <c r="D37135" s="8"/>
    </row>
    <row r="37136" spans="1:4" ht="15.75" customHeight="1">
      <c r="A37136" s="8"/>
      <c r="B37136" s="12"/>
      <c r="C37136" s="8"/>
      <c r="D37136" s="8"/>
    </row>
    <row r="37137" spans="1:4" ht="15.75" customHeight="1">
      <c r="A37137" s="8"/>
      <c r="B37137" s="12"/>
      <c r="C37137" s="8"/>
      <c r="D37137" s="8"/>
    </row>
    <row r="37138" spans="1:4" ht="15.75" customHeight="1">
      <c r="A37138" s="8"/>
      <c r="B37138" s="12"/>
      <c r="C37138" s="8"/>
      <c r="D37138" s="8"/>
    </row>
    <row r="37139" spans="1:4" ht="15.75" customHeight="1">
      <c r="A37139" s="8"/>
      <c r="B37139" s="12"/>
      <c r="C37139" s="8"/>
      <c r="D37139" s="8"/>
    </row>
    <row r="37140" spans="1:4" ht="15.75" customHeight="1">
      <c r="A37140" s="8"/>
      <c r="B37140" s="12"/>
      <c r="C37140" s="8"/>
      <c r="D37140" s="8"/>
    </row>
    <row r="37141" spans="1:4" ht="15.75" customHeight="1">
      <c r="A37141" s="8"/>
      <c r="B37141" s="12"/>
      <c r="C37141" s="8"/>
      <c r="D37141" s="8"/>
    </row>
    <row r="37142" spans="1:4" ht="15.75" customHeight="1">
      <c r="A37142" s="8"/>
      <c r="B37142" s="12"/>
      <c r="C37142" s="8"/>
      <c r="D37142" s="8"/>
    </row>
    <row r="37143" spans="1:4" ht="15.75" customHeight="1">
      <c r="A37143" s="8"/>
      <c r="B37143" s="12"/>
      <c r="C37143" s="8"/>
      <c r="D37143" s="8"/>
    </row>
    <row r="37144" spans="1:4" ht="15.75" customHeight="1">
      <c r="A37144" s="8"/>
      <c r="B37144" s="12"/>
      <c r="C37144" s="8"/>
      <c r="D37144" s="8"/>
    </row>
    <row r="37145" spans="1:4" ht="15.75" customHeight="1">
      <c r="A37145" s="8"/>
      <c r="B37145" s="12"/>
      <c r="C37145" s="8"/>
      <c r="D37145" s="8"/>
    </row>
    <row r="37146" spans="1:4" ht="15.75" customHeight="1">
      <c r="A37146" s="8"/>
      <c r="B37146" s="12"/>
      <c r="C37146" s="8"/>
      <c r="D37146" s="8"/>
    </row>
    <row r="37147" spans="1:4" ht="15.75" customHeight="1">
      <c r="A37147" s="8"/>
      <c r="B37147" s="12"/>
      <c r="C37147" s="8"/>
      <c r="D37147" s="8"/>
    </row>
    <row r="37148" spans="1:4" ht="15.75" customHeight="1">
      <c r="A37148" s="8"/>
      <c r="B37148" s="12"/>
      <c r="C37148" s="8"/>
      <c r="D37148" s="8"/>
    </row>
    <row r="37149" spans="1:4" ht="15.75" customHeight="1">
      <c r="A37149" s="8"/>
      <c r="B37149" s="12"/>
      <c r="C37149" s="8"/>
      <c r="D37149" s="8"/>
    </row>
    <row r="37150" spans="1:4" ht="15.75" customHeight="1">
      <c r="A37150" s="8"/>
      <c r="B37150" s="12"/>
      <c r="C37150" s="8"/>
      <c r="D37150" s="8"/>
    </row>
    <row r="37151" spans="1:4" ht="15.75" customHeight="1">
      <c r="A37151" s="8"/>
      <c r="B37151" s="12"/>
      <c r="C37151" s="8"/>
      <c r="D37151" s="8"/>
    </row>
    <row r="37152" spans="1:4" ht="15.75" customHeight="1">
      <c r="A37152" s="8"/>
      <c r="B37152" s="12"/>
      <c r="C37152" s="8"/>
      <c r="D37152" s="8"/>
    </row>
    <row r="37153" spans="1:4" ht="15.75" customHeight="1">
      <c r="A37153" s="8"/>
      <c r="B37153" s="12"/>
      <c r="C37153" s="8"/>
      <c r="D37153" s="8"/>
    </row>
    <row r="37154" spans="1:4" ht="15.75" customHeight="1">
      <c r="A37154" s="8"/>
      <c r="B37154" s="12"/>
      <c r="C37154" s="8"/>
      <c r="D37154" s="8"/>
    </row>
    <row r="37155" spans="1:4" ht="15.75" customHeight="1">
      <c r="A37155" s="8"/>
      <c r="B37155" s="12"/>
      <c r="C37155" s="8"/>
      <c r="D37155" s="8"/>
    </row>
    <row r="37156" spans="1:4" ht="15.75" customHeight="1">
      <c r="A37156" s="8"/>
      <c r="B37156" s="12"/>
      <c r="C37156" s="8"/>
      <c r="D37156" s="8"/>
    </row>
    <row r="37157" spans="1:4" ht="15.75" customHeight="1">
      <c r="A37157" s="8"/>
      <c r="B37157" s="12"/>
      <c r="C37157" s="8"/>
      <c r="D37157" s="8"/>
    </row>
    <row r="37158" spans="1:4" ht="15.75" customHeight="1">
      <c r="A37158" s="8"/>
      <c r="B37158" s="12"/>
      <c r="C37158" s="8"/>
      <c r="D37158" s="8"/>
    </row>
    <row r="37159" spans="1:4" ht="15.75" customHeight="1">
      <c r="A37159" s="8"/>
      <c r="B37159" s="12"/>
      <c r="C37159" s="8"/>
      <c r="D37159" s="8"/>
    </row>
    <row r="37160" spans="1:4" ht="15.75" customHeight="1">
      <c r="A37160" s="8"/>
      <c r="B37160" s="12"/>
      <c r="C37160" s="8"/>
      <c r="D37160" s="8"/>
    </row>
    <row r="37161" spans="1:4" ht="15.75" customHeight="1">
      <c r="A37161" s="8"/>
      <c r="B37161" s="12"/>
      <c r="C37161" s="8"/>
      <c r="D37161" s="8"/>
    </row>
    <row r="37162" spans="1:4" ht="15.75" customHeight="1">
      <c r="A37162" s="8"/>
      <c r="B37162" s="12"/>
      <c r="C37162" s="8"/>
      <c r="D37162" s="8"/>
    </row>
    <row r="37163" spans="1:4" ht="15.75" customHeight="1">
      <c r="A37163" s="8"/>
      <c r="B37163" s="12"/>
      <c r="C37163" s="8"/>
      <c r="D37163" s="8"/>
    </row>
    <row r="37164" spans="1:4" ht="15.75" customHeight="1">
      <c r="A37164" s="8"/>
      <c r="B37164" s="12"/>
      <c r="C37164" s="8"/>
      <c r="D37164" s="8"/>
    </row>
    <row r="37165" spans="1:4" ht="15.75" customHeight="1">
      <c r="A37165" s="8"/>
      <c r="B37165" s="12"/>
      <c r="C37165" s="8"/>
      <c r="D37165" s="8"/>
    </row>
    <row r="37166" spans="1:4" ht="15.75" customHeight="1">
      <c r="A37166" s="8"/>
      <c r="B37166" s="12"/>
      <c r="C37166" s="8"/>
      <c r="D37166" s="8"/>
    </row>
    <row r="37167" spans="1:4" ht="15.75" customHeight="1">
      <c r="A37167" s="8"/>
      <c r="B37167" s="12"/>
      <c r="C37167" s="8"/>
      <c r="D37167" s="8"/>
    </row>
    <row r="37168" spans="1:4" ht="15.75" customHeight="1">
      <c r="A37168" s="8"/>
      <c r="B37168" s="12"/>
      <c r="C37168" s="8"/>
      <c r="D37168" s="8"/>
    </row>
    <row r="37169" spans="1:4" ht="15.75" customHeight="1">
      <c r="A37169" s="8"/>
      <c r="B37169" s="12"/>
      <c r="C37169" s="8"/>
      <c r="D37169" s="8"/>
    </row>
    <row r="37170" spans="1:4" ht="15.75" customHeight="1">
      <c r="A37170" s="8"/>
      <c r="B37170" s="12"/>
      <c r="C37170" s="8"/>
      <c r="D37170" s="8"/>
    </row>
    <row r="37171" spans="1:4" ht="15.75" customHeight="1">
      <c r="A37171" s="8"/>
      <c r="B37171" s="12"/>
      <c r="C37171" s="8"/>
      <c r="D37171" s="8"/>
    </row>
    <row r="37172" spans="1:4" ht="15.75" customHeight="1">
      <c r="A37172" s="8"/>
      <c r="B37172" s="12"/>
      <c r="C37172" s="8"/>
      <c r="D37172" s="8"/>
    </row>
    <row r="37173" spans="1:4" ht="15.75" customHeight="1">
      <c r="A37173" s="8"/>
      <c r="B37173" s="12"/>
      <c r="C37173" s="8"/>
      <c r="D37173" s="8"/>
    </row>
    <row r="37174" spans="1:4" ht="15.75" customHeight="1">
      <c r="A37174" s="8"/>
      <c r="B37174" s="12"/>
      <c r="C37174" s="8"/>
      <c r="D37174" s="8"/>
    </row>
    <row r="37175" spans="1:4" ht="15.75" customHeight="1">
      <c r="A37175" s="8"/>
      <c r="B37175" s="12"/>
      <c r="C37175" s="8"/>
      <c r="D37175" s="8"/>
    </row>
    <row r="37176" spans="1:4" ht="15.75" customHeight="1">
      <c r="A37176" s="8"/>
      <c r="B37176" s="12"/>
      <c r="C37176" s="8"/>
      <c r="D37176" s="8"/>
    </row>
    <row r="37177" spans="1:4" ht="15.75" customHeight="1">
      <c r="A37177" s="8"/>
      <c r="B37177" s="12"/>
      <c r="C37177" s="8"/>
      <c r="D37177" s="8"/>
    </row>
    <row r="37178" spans="1:4" ht="15.75" customHeight="1">
      <c r="A37178" s="8"/>
      <c r="B37178" s="12"/>
      <c r="C37178" s="8"/>
      <c r="D37178" s="8"/>
    </row>
    <row r="37179" spans="1:4" ht="15.75" customHeight="1">
      <c r="A37179" s="8"/>
      <c r="B37179" s="12"/>
      <c r="C37179" s="8"/>
      <c r="D37179" s="8"/>
    </row>
    <row r="37180" spans="1:4" ht="15.75" customHeight="1">
      <c r="A37180" s="8"/>
      <c r="B37180" s="12"/>
      <c r="C37180" s="8"/>
      <c r="D37180" s="8"/>
    </row>
    <row r="37181" spans="1:4" ht="15.75" customHeight="1">
      <c r="A37181" s="8"/>
      <c r="B37181" s="12"/>
      <c r="C37181" s="8"/>
      <c r="D37181" s="8"/>
    </row>
    <row r="37182" spans="1:4" ht="15.75" customHeight="1">
      <c r="A37182" s="8"/>
      <c r="B37182" s="12"/>
      <c r="C37182" s="8"/>
      <c r="D37182" s="8"/>
    </row>
    <row r="37183" spans="1:4" ht="15.75" customHeight="1">
      <c r="A37183" s="8"/>
      <c r="B37183" s="12"/>
      <c r="C37183" s="8"/>
      <c r="D37183" s="8"/>
    </row>
    <row r="37184" spans="1:4" ht="15.75" customHeight="1">
      <c r="A37184" s="8"/>
      <c r="B37184" s="12"/>
      <c r="C37184" s="8"/>
      <c r="D37184" s="8"/>
    </row>
    <row r="37185" spans="1:4" ht="15.75" customHeight="1">
      <c r="A37185" s="8"/>
      <c r="B37185" s="12"/>
      <c r="C37185" s="8"/>
      <c r="D37185" s="8"/>
    </row>
    <row r="37186" spans="1:4" ht="15.75" customHeight="1">
      <c r="A37186" s="8"/>
      <c r="B37186" s="12"/>
      <c r="C37186" s="8"/>
      <c r="D37186" s="8"/>
    </row>
    <row r="37187" spans="1:4" ht="15.75" customHeight="1">
      <c r="A37187" s="8"/>
      <c r="B37187" s="12"/>
      <c r="C37187" s="8"/>
      <c r="D37187" s="8"/>
    </row>
    <row r="37188" spans="1:4" ht="15.75" customHeight="1">
      <c r="A37188" s="8"/>
      <c r="B37188" s="12"/>
      <c r="C37188" s="8"/>
      <c r="D37188" s="8"/>
    </row>
    <row r="37189" spans="1:4" ht="15.75" customHeight="1">
      <c r="A37189" s="8"/>
      <c r="B37189" s="12"/>
      <c r="C37189" s="8"/>
      <c r="D37189" s="8"/>
    </row>
    <row r="37190" spans="1:4" ht="15.75" customHeight="1">
      <c r="A37190" s="8"/>
      <c r="B37190" s="12"/>
      <c r="C37190" s="8"/>
      <c r="D37190" s="8"/>
    </row>
    <row r="37191" spans="1:4" ht="15.75" customHeight="1">
      <c r="A37191" s="8"/>
      <c r="B37191" s="12"/>
      <c r="C37191" s="8"/>
      <c r="D37191" s="8"/>
    </row>
    <row r="37192" spans="1:4" ht="15.75" customHeight="1">
      <c r="A37192" s="8"/>
      <c r="B37192" s="12"/>
      <c r="C37192" s="8"/>
      <c r="D37192" s="8"/>
    </row>
    <row r="37193" spans="1:4" ht="15.75" customHeight="1">
      <c r="A37193" s="8"/>
      <c r="B37193" s="12"/>
      <c r="C37193" s="8"/>
      <c r="D37193" s="8"/>
    </row>
    <row r="37194" spans="1:4" ht="15.75" customHeight="1">
      <c r="A37194" s="8"/>
      <c r="B37194" s="12"/>
      <c r="C37194" s="8"/>
      <c r="D37194" s="8"/>
    </row>
    <row r="37195" spans="1:4" ht="15.75" customHeight="1">
      <c r="A37195" s="8"/>
      <c r="B37195" s="12"/>
      <c r="C37195" s="8"/>
      <c r="D37195" s="8"/>
    </row>
    <row r="37196" spans="1:4" ht="15.75" customHeight="1">
      <c r="A37196" s="8"/>
      <c r="B37196" s="12"/>
      <c r="C37196" s="8"/>
      <c r="D37196" s="8"/>
    </row>
    <row r="37197" spans="1:4" ht="15.75" customHeight="1">
      <c r="A37197" s="8"/>
      <c r="B37197" s="12"/>
      <c r="C37197" s="8"/>
      <c r="D37197" s="8"/>
    </row>
    <row r="37198" spans="1:4" ht="15.75" customHeight="1">
      <c r="A37198" s="8"/>
      <c r="B37198" s="12"/>
      <c r="C37198" s="8"/>
      <c r="D37198" s="8"/>
    </row>
    <row r="37199" spans="1:4" ht="15.75" customHeight="1">
      <c r="A37199" s="8"/>
      <c r="B37199" s="12"/>
      <c r="C37199" s="8"/>
      <c r="D37199" s="8"/>
    </row>
    <row r="37200" spans="1:4" ht="15.75" customHeight="1">
      <c r="A37200" s="8"/>
      <c r="B37200" s="12"/>
      <c r="C37200" s="8"/>
      <c r="D37200" s="8"/>
    </row>
    <row r="37201" spans="1:4" ht="15.75" customHeight="1">
      <c r="A37201" s="8"/>
      <c r="B37201" s="12"/>
      <c r="C37201" s="8"/>
      <c r="D37201" s="8"/>
    </row>
    <row r="37202" spans="1:4" ht="15.75" customHeight="1">
      <c r="A37202" s="8"/>
      <c r="B37202" s="12"/>
      <c r="C37202" s="8"/>
      <c r="D37202" s="8"/>
    </row>
    <row r="37203" spans="1:4" ht="15.75" customHeight="1">
      <c r="A37203" s="8"/>
      <c r="B37203" s="12"/>
      <c r="C37203" s="8"/>
      <c r="D37203" s="8"/>
    </row>
    <row r="37204" spans="1:4" ht="15.75" customHeight="1">
      <c r="A37204" s="8"/>
      <c r="B37204" s="12"/>
      <c r="C37204" s="8"/>
      <c r="D37204" s="8"/>
    </row>
    <row r="37205" spans="1:4" ht="15.75" customHeight="1">
      <c r="A37205" s="8"/>
      <c r="B37205" s="12"/>
      <c r="C37205" s="8"/>
      <c r="D37205" s="8"/>
    </row>
    <row r="37206" spans="1:4" ht="15.75" customHeight="1">
      <c r="A37206" s="8"/>
      <c r="B37206" s="12"/>
      <c r="C37206" s="8"/>
      <c r="D37206" s="8"/>
    </row>
    <row r="37207" spans="1:4" ht="15.75" customHeight="1">
      <c r="A37207" s="8"/>
      <c r="B37207" s="12"/>
      <c r="C37207" s="8"/>
      <c r="D37207" s="8"/>
    </row>
    <row r="37208" spans="1:4" ht="15.75" customHeight="1">
      <c r="A37208" s="8"/>
      <c r="B37208" s="12"/>
      <c r="C37208" s="8"/>
      <c r="D37208" s="8"/>
    </row>
    <row r="37209" spans="1:4" ht="15.75" customHeight="1">
      <c r="A37209" s="8"/>
      <c r="B37209" s="12"/>
      <c r="C37209" s="8"/>
      <c r="D37209" s="8"/>
    </row>
    <row r="37210" spans="1:4" ht="15.75" customHeight="1">
      <c r="A37210" s="8"/>
      <c r="B37210" s="12"/>
      <c r="C37210" s="8"/>
      <c r="D37210" s="8"/>
    </row>
    <row r="37211" spans="1:4" ht="15.75" customHeight="1">
      <c r="A37211" s="8"/>
      <c r="B37211" s="12"/>
      <c r="C37211" s="8"/>
      <c r="D37211" s="8"/>
    </row>
    <row r="37212" spans="1:4" ht="15.75" customHeight="1">
      <c r="A37212" s="8"/>
      <c r="B37212" s="12"/>
      <c r="C37212" s="8"/>
      <c r="D37212" s="8"/>
    </row>
    <row r="37213" spans="1:4" ht="15.75" customHeight="1">
      <c r="A37213" s="8"/>
      <c r="B37213" s="12"/>
      <c r="C37213" s="8"/>
      <c r="D37213" s="8"/>
    </row>
    <row r="37214" spans="1:4" ht="15.75" customHeight="1">
      <c r="A37214" s="8"/>
      <c r="B37214" s="12"/>
      <c r="C37214" s="8"/>
      <c r="D37214" s="8"/>
    </row>
    <row r="37215" spans="1:4" ht="15.75" customHeight="1">
      <c r="A37215" s="8"/>
      <c r="B37215" s="12"/>
      <c r="C37215" s="8"/>
      <c r="D37215" s="8"/>
    </row>
    <row r="37216" spans="1:4" ht="15.75" customHeight="1">
      <c r="A37216" s="8"/>
      <c r="B37216" s="12"/>
      <c r="C37216" s="8"/>
      <c r="D37216" s="8"/>
    </row>
    <row r="37217" spans="1:4" ht="15.75" customHeight="1">
      <c r="A37217" s="8"/>
      <c r="B37217" s="12"/>
      <c r="C37217" s="8"/>
      <c r="D37217" s="8"/>
    </row>
    <row r="37218" spans="1:4" ht="15.75" customHeight="1">
      <c r="A37218" s="8"/>
      <c r="B37218" s="12"/>
      <c r="C37218" s="8"/>
      <c r="D37218" s="8"/>
    </row>
    <row r="37219" spans="1:4" ht="15.75" customHeight="1">
      <c r="A37219" s="8"/>
      <c r="B37219" s="12"/>
      <c r="C37219" s="8"/>
      <c r="D37219" s="8"/>
    </row>
    <row r="37220" spans="1:4" ht="15.75" customHeight="1">
      <c r="A37220" s="8"/>
      <c r="B37220" s="12"/>
      <c r="C37220" s="8"/>
      <c r="D37220" s="8"/>
    </row>
    <row r="37221" spans="1:4" ht="15.75" customHeight="1">
      <c r="A37221" s="8"/>
      <c r="B37221" s="12"/>
      <c r="C37221" s="8"/>
      <c r="D37221" s="8"/>
    </row>
    <row r="37222" spans="1:4" ht="15.75" customHeight="1">
      <c r="A37222" s="8"/>
      <c r="B37222" s="12"/>
      <c r="C37222" s="8"/>
      <c r="D37222" s="8"/>
    </row>
    <row r="37223" spans="1:4" ht="15.75" customHeight="1">
      <c r="A37223" s="8"/>
      <c r="B37223" s="12"/>
      <c r="C37223" s="8"/>
      <c r="D37223" s="8"/>
    </row>
    <row r="37224" spans="1:4" ht="15.75" customHeight="1">
      <c r="A37224" s="8"/>
      <c r="B37224" s="12"/>
      <c r="C37224" s="8"/>
      <c r="D37224" s="8"/>
    </row>
    <row r="37225" spans="1:4" ht="15.75" customHeight="1">
      <c r="A37225" s="8"/>
      <c r="B37225" s="12"/>
      <c r="C37225" s="8"/>
      <c r="D37225" s="8"/>
    </row>
    <row r="37226" spans="1:4" ht="15.75" customHeight="1">
      <c r="A37226" s="8"/>
      <c r="B37226" s="12"/>
      <c r="C37226" s="8"/>
      <c r="D37226" s="8"/>
    </row>
    <row r="37227" spans="1:4" ht="15.75" customHeight="1">
      <c r="A37227" s="8"/>
      <c r="B37227" s="12"/>
      <c r="C37227" s="8"/>
      <c r="D37227" s="8"/>
    </row>
    <row r="37228" spans="1:4" ht="15.75" customHeight="1">
      <c r="A37228" s="8"/>
      <c r="B37228" s="12"/>
      <c r="C37228" s="8"/>
      <c r="D37228" s="8"/>
    </row>
    <row r="37229" spans="1:4" ht="15.75" customHeight="1">
      <c r="A37229" s="8"/>
      <c r="B37229" s="12"/>
      <c r="C37229" s="8"/>
      <c r="D37229" s="8"/>
    </row>
    <row r="37230" spans="1:4" ht="15.75" customHeight="1">
      <c r="A37230" s="8"/>
      <c r="B37230" s="12"/>
      <c r="C37230" s="8"/>
      <c r="D37230" s="8"/>
    </row>
    <row r="37231" spans="1:4" ht="15.75" customHeight="1">
      <c r="A37231" s="8"/>
      <c r="B37231" s="12"/>
      <c r="C37231" s="8"/>
      <c r="D37231" s="8"/>
    </row>
    <row r="37232" spans="1:4" ht="15.75" customHeight="1">
      <c r="A37232" s="8"/>
      <c r="B37232" s="12"/>
      <c r="C37232" s="8"/>
      <c r="D37232" s="8"/>
    </row>
    <row r="37233" spans="1:4" ht="15.75" customHeight="1">
      <c r="A37233" s="8"/>
      <c r="B37233" s="12"/>
      <c r="C37233" s="8"/>
      <c r="D37233" s="8"/>
    </row>
    <row r="37234" spans="1:4" ht="15.75" customHeight="1">
      <c r="A37234" s="8"/>
      <c r="B37234" s="12"/>
      <c r="C37234" s="8"/>
      <c r="D37234" s="8"/>
    </row>
    <row r="37235" spans="1:4" ht="15.75" customHeight="1">
      <c r="A37235" s="8"/>
      <c r="B37235" s="12"/>
      <c r="C37235" s="8"/>
      <c r="D37235" s="8"/>
    </row>
    <row r="37236" spans="1:4" ht="15.75" customHeight="1">
      <c r="A37236" s="8"/>
      <c r="B37236" s="12"/>
      <c r="C37236" s="8"/>
      <c r="D37236" s="8"/>
    </row>
    <row r="37237" spans="1:4" ht="15.75" customHeight="1">
      <c r="A37237" s="8"/>
      <c r="B37237" s="12"/>
      <c r="C37237" s="8"/>
      <c r="D37237" s="8"/>
    </row>
    <row r="37238" spans="1:4" ht="15.75" customHeight="1">
      <c r="A37238" s="8"/>
      <c r="B37238" s="12"/>
      <c r="C37238" s="8"/>
      <c r="D37238" s="8"/>
    </row>
    <row r="37239" spans="1:4" ht="15.75" customHeight="1">
      <c r="A37239" s="8"/>
      <c r="B37239" s="12"/>
      <c r="C37239" s="8"/>
      <c r="D37239" s="8"/>
    </row>
    <row r="37240" spans="1:4" ht="15.75" customHeight="1">
      <c r="A37240" s="8"/>
      <c r="B37240" s="12"/>
      <c r="C37240" s="8"/>
      <c r="D37240" s="8"/>
    </row>
    <row r="37241" spans="1:4" ht="15.75" customHeight="1">
      <c r="A37241" s="8"/>
      <c r="B37241" s="12"/>
      <c r="C37241" s="8"/>
      <c r="D37241" s="8"/>
    </row>
    <row r="37242" spans="1:4" ht="15.75" customHeight="1">
      <c r="A37242" s="8"/>
      <c r="B37242" s="12"/>
      <c r="C37242" s="8"/>
      <c r="D37242" s="8"/>
    </row>
    <row r="37243" spans="1:4" ht="15.75" customHeight="1">
      <c r="A37243" s="8"/>
      <c r="B37243" s="12"/>
      <c r="C37243" s="8"/>
      <c r="D37243" s="8"/>
    </row>
    <row r="37244" spans="1:4" ht="15.75" customHeight="1">
      <c r="A37244" s="8"/>
      <c r="B37244" s="12"/>
      <c r="C37244" s="8"/>
      <c r="D37244" s="8"/>
    </row>
    <row r="37245" spans="1:4" ht="15.75" customHeight="1">
      <c r="A37245" s="8"/>
      <c r="B37245" s="12"/>
      <c r="C37245" s="8"/>
      <c r="D37245" s="8"/>
    </row>
    <row r="37246" spans="1:4" ht="15.75" customHeight="1">
      <c r="A37246" s="8"/>
      <c r="B37246" s="12"/>
      <c r="C37246" s="8"/>
      <c r="D37246" s="8"/>
    </row>
    <row r="37247" spans="1:4" ht="15.75" customHeight="1">
      <c r="A37247" s="8"/>
      <c r="B37247" s="12"/>
      <c r="C37247" s="8"/>
      <c r="D37247" s="8"/>
    </row>
    <row r="37248" spans="1:4" ht="15.75" customHeight="1">
      <c r="A37248" s="8"/>
      <c r="B37248" s="12"/>
      <c r="C37248" s="8"/>
      <c r="D37248" s="8"/>
    </row>
    <row r="37249" spans="1:4" ht="15.75" customHeight="1">
      <c r="A37249" s="8"/>
      <c r="B37249" s="12"/>
      <c r="C37249" s="8"/>
      <c r="D37249" s="8"/>
    </row>
    <row r="37250" spans="1:4" ht="15.75" customHeight="1">
      <c r="A37250" s="8"/>
      <c r="B37250" s="12"/>
      <c r="C37250" s="8"/>
      <c r="D37250" s="8"/>
    </row>
    <row r="37251" spans="1:4" ht="15.75" customHeight="1">
      <c r="A37251" s="8"/>
      <c r="B37251" s="12"/>
      <c r="C37251" s="8"/>
      <c r="D37251" s="8"/>
    </row>
    <row r="37252" spans="1:4" ht="15.75" customHeight="1">
      <c r="A37252" s="8"/>
      <c r="B37252" s="12"/>
      <c r="C37252" s="8"/>
      <c r="D37252" s="8"/>
    </row>
    <row r="37253" spans="1:4" ht="15.75" customHeight="1">
      <c r="A37253" s="8"/>
      <c r="B37253" s="12"/>
      <c r="C37253" s="8"/>
      <c r="D37253" s="8"/>
    </row>
    <row r="37254" spans="1:4" ht="15.75" customHeight="1">
      <c r="A37254" s="8"/>
      <c r="B37254" s="12"/>
      <c r="C37254" s="8"/>
      <c r="D37254" s="8"/>
    </row>
    <row r="37255" spans="1:4" ht="15.75" customHeight="1">
      <c r="A37255" s="8"/>
      <c r="B37255" s="12"/>
      <c r="C37255" s="8"/>
      <c r="D37255" s="8"/>
    </row>
    <row r="37256" spans="1:4" ht="15.75" customHeight="1">
      <c r="A37256" s="8"/>
      <c r="B37256" s="12"/>
      <c r="C37256" s="8"/>
      <c r="D37256" s="8"/>
    </row>
    <row r="37257" spans="1:4" ht="15.75" customHeight="1">
      <c r="A37257" s="8"/>
      <c r="B37257" s="12"/>
      <c r="C37257" s="8"/>
      <c r="D37257" s="8"/>
    </row>
    <row r="37258" spans="1:4" ht="15.75" customHeight="1">
      <c r="A37258" s="8"/>
      <c r="B37258" s="12"/>
      <c r="C37258" s="8"/>
      <c r="D37258" s="8"/>
    </row>
    <row r="37259" spans="1:4" ht="15.75" customHeight="1">
      <c r="A37259" s="8"/>
      <c r="B37259" s="12"/>
      <c r="C37259" s="8"/>
      <c r="D37259" s="8"/>
    </row>
    <row r="37260" spans="1:4" ht="15.75" customHeight="1">
      <c r="A37260" s="8"/>
      <c r="B37260" s="12"/>
      <c r="C37260" s="8"/>
      <c r="D37260" s="8"/>
    </row>
    <row r="37261" spans="1:4" ht="15.75" customHeight="1">
      <c r="A37261" s="8"/>
      <c r="B37261" s="12"/>
      <c r="C37261" s="8"/>
      <c r="D37261" s="8"/>
    </row>
    <row r="37262" spans="1:4" ht="15.75" customHeight="1">
      <c r="A37262" s="8"/>
      <c r="B37262" s="12"/>
      <c r="C37262" s="8"/>
      <c r="D37262" s="8"/>
    </row>
    <row r="37263" spans="1:4" ht="15.75" customHeight="1">
      <c r="A37263" s="8"/>
      <c r="B37263" s="12"/>
      <c r="C37263" s="8"/>
      <c r="D37263" s="8"/>
    </row>
    <row r="37264" spans="1:4" ht="15.75" customHeight="1">
      <c r="A37264" s="8"/>
      <c r="B37264" s="12"/>
      <c r="C37264" s="8"/>
      <c r="D37264" s="8"/>
    </row>
    <row r="37265" spans="1:4" ht="15.75" customHeight="1">
      <c r="A37265" s="8"/>
      <c r="B37265" s="12"/>
      <c r="C37265" s="8"/>
      <c r="D37265" s="8"/>
    </row>
    <row r="37266" spans="1:4" ht="15.75" customHeight="1">
      <c r="A37266" s="8"/>
      <c r="B37266" s="12"/>
      <c r="C37266" s="8"/>
      <c r="D37266" s="8"/>
    </row>
    <row r="37267" spans="1:4" ht="15.75" customHeight="1">
      <c r="A37267" s="8"/>
      <c r="B37267" s="12"/>
      <c r="C37267" s="8"/>
      <c r="D37267" s="8"/>
    </row>
    <row r="37268" spans="1:4" ht="15.75" customHeight="1">
      <c r="A37268" s="8"/>
      <c r="B37268" s="12"/>
      <c r="C37268" s="8"/>
      <c r="D37268" s="8"/>
    </row>
    <row r="37269" spans="1:4" ht="15.75" customHeight="1">
      <c r="A37269" s="8"/>
      <c r="B37269" s="12"/>
      <c r="C37269" s="8"/>
      <c r="D37269" s="8"/>
    </row>
    <row r="37270" spans="1:4" ht="15.75" customHeight="1">
      <c r="A37270" s="8"/>
      <c r="B37270" s="12"/>
      <c r="C37270" s="8"/>
      <c r="D37270" s="8"/>
    </row>
    <row r="37271" spans="1:4" ht="15.75" customHeight="1">
      <c r="A37271" s="8"/>
      <c r="B37271" s="12"/>
      <c r="C37271" s="8"/>
      <c r="D37271" s="8"/>
    </row>
    <row r="37272" spans="1:4" ht="15.75" customHeight="1">
      <c r="A37272" s="8"/>
      <c r="B37272" s="12"/>
      <c r="C37272" s="8"/>
      <c r="D37272" s="8"/>
    </row>
    <row r="37273" spans="1:4" ht="15.75" customHeight="1">
      <c r="A37273" s="8"/>
      <c r="B37273" s="12"/>
      <c r="C37273" s="8"/>
      <c r="D37273" s="8"/>
    </row>
    <row r="37274" spans="1:4" ht="15.75" customHeight="1">
      <c r="A37274" s="8"/>
      <c r="B37274" s="12"/>
      <c r="C37274" s="8"/>
      <c r="D37274" s="8"/>
    </row>
    <row r="37275" spans="1:4" ht="15.75" customHeight="1">
      <c r="A37275" s="8"/>
      <c r="B37275" s="12"/>
      <c r="C37275" s="8"/>
      <c r="D37275" s="8"/>
    </row>
    <row r="37276" spans="1:4" ht="15.75" customHeight="1">
      <c r="A37276" s="8"/>
      <c r="B37276" s="12"/>
      <c r="C37276" s="8"/>
      <c r="D37276" s="8"/>
    </row>
    <row r="37277" spans="1:4" ht="15.75" customHeight="1">
      <c r="A37277" s="8"/>
      <c r="B37277" s="12"/>
      <c r="C37277" s="8"/>
      <c r="D37277" s="8"/>
    </row>
    <row r="37278" spans="1:4" ht="15.75" customHeight="1">
      <c r="A37278" s="8"/>
      <c r="B37278" s="12"/>
      <c r="C37278" s="8"/>
      <c r="D37278" s="8"/>
    </row>
    <row r="37279" spans="1:4" ht="15.75" customHeight="1">
      <c r="A37279" s="8"/>
      <c r="B37279" s="12"/>
      <c r="C37279" s="8"/>
      <c r="D37279" s="8"/>
    </row>
    <row r="37280" spans="1:4" ht="15.75" customHeight="1">
      <c r="A37280" s="8"/>
      <c r="B37280" s="12"/>
      <c r="C37280" s="8"/>
      <c r="D37280" s="8"/>
    </row>
    <row r="37281" spans="1:4" ht="15.75" customHeight="1">
      <c r="A37281" s="8"/>
      <c r="B37281" s="12"/>
      <c r="C37281" s="8"/>
      <c r="D37281" s="8"/>
    </row>
    <row r="37282" spans="1:4" ht="15.75" customHeight="1">
      <c r="A37282" s="8"/>
      <c r="B37282" s="12"/>
      <c r="C37282" s="8"/>
      <c r="D37282" s="8"/>
    </row>
    <row r="37283" spans="1:4" ht="15.75" customHeight="1">
      <c r="A37283" s="8"/>
      <c r="B37283" s="12"/>
      <c r="C37283" s="8"/>
      <c r="D37283" s="8"/>
    </row>
    <row r="37284" spans="1:4" ht="15.75" customHeight="1">
      <c r="A37284" s="8"/>
      <c r="B37284" s="12"/>
      <c r="C37284" s="8"/>
      <c r="D37284" s="8"/>
    </row>
    <row r="37285" spans="1:4" ht="15.75" customHeight="1">
      <c r="A37285" s="8"/>
      <c r="B37285" s="12"/>
      <c r="C37285" s="8"/>
      <c r="D37285" s="8"/>
    </row>
    <row r="37286" spans="1:4" ht="15.75" customHeight="1">
      <c r="A37286" s="8"/>
      <c r="B37286" s="12"/>
      <c r="C37286" s="8"/>
      <c r="D37286" s="8"/>
    </row>
    <row r="37287" spans="1:4" ht="15.75" customHeight="1">
      <c r="A37287" s="8"/>
      <c r="B37287" s="12"/>
      <c r="C37287" s="8"/>
      <c r="D37287" s="8"/>
    </row>
    <row r="37288" spans="1:4" ht="15.75" customHeight="1">
      <c r="A37288" s="8"/>
      <c r="B37288" s="12"/>
      <c r="C37288" s="8"/>
      <c r="D37288" s="8"/>
    </row>
    <row r="37289" spans="1:4" ht="15.75" customHeight="1">
      <c r="A37289" s="8"/>
      <c r="B37289" s="12"/>
      <c r="C37289" s="8"/>
      <c r="D37289" s="8"/>
    </row>
    <row r="37290" spans="1:4" ht="15.75" customHeight="1">
      <c r="A37290" s="8"/>
      <c r="B37290" s="12"/>
      <c r="C37290" s="8"/>
      <c r="D37290" s="8"/>
    </row>
    <row r="37291" spans="1:4" ht="15.75" customHeight="1">
      <c r="A37291" s="8"/>
      <c r="B37291" s="12"/>
      <c r="C37291" s="8"/>
      <c r="D37291" s="8"/>
    </row>
    <row r="37292" spans="1:4" ht="15.75" customHeight="1">
      <c r="A37292" s="8"/>
      <c r="B37292" s="12"/>
      <c r="C37292" s="8"/>
      <c r="D37292" s="8"/>
    </row>
    <row r="37293" spans="1:4" ht="15.75" customHeight="1">
      <c r="A37293" s="8"/>
      <c r="B37293" s="12"/>
      <c r="C37293" s="8"/>
      <c r="D37293" s="8"/>
    </row>
    <row r="37294" spans="1:4" ht="15.75" customHeight="1">
      <c r="A37294" s="8"/>
      <c r="B37294" s="12"/>
      <c r="C37294" s="8"/>
      <c r="D37294" s="8"/>
    </row>
    <row r="37295" spans="1:4" ht="15.75" customHeight="1">
      <c r="A37295" s="8"/>
      <c r="B37295" s="12"/>
      <c r="C37295" s="8"/>
      <c r="D37295" s="8"/>
    </row>
    <row r="37296" spans="1:4" ht="15.75" customHeight="1">
      <c r="A37296" s="8"/>
      <c r="B37296" s="12"/>
      <c r="C37296" s="8"/>
      <c r="D37296" s="8"/>
    </row>
    <row r="37297" spans="1:4" ht="15.75" customHeight="1">
      <c r="A37297" s="8"/>
      <c r="B37297" s="12"/>
      <c r="C37297" s="8"/>
      <c r="D37297" s="8"/>
    </row>
    <row r="37298" spans="1:4" ht="15.75" customHeight="1">
      <c r="A37298" s="8"/>
      <c r="B37298" s="12"/>
      <c r="C37298" s="8"/>
      <c r="D37298" s="8"/>
    </row>
    <row r="37299" spans="1:4" ht="15.75" customHeight="1">
      <c r="A37299" s="8"/>
      <c r="B37299" s="12"/>
      <c r="C37299" s="8"/>
      <c r="D37299" s="8"/>
    </row>
    <row r="37300" spans="1:4" ht="15.75" customHeight="1">
      <c r="A37300" s="8"/>
      <c r="B37300" s="12"/>
      <c r="C37300" s="8"/>
      <c r="D37300" s="8"/>
    </row>
    <row r="37301" spans="1:4" ht="15.75" customHeight="1">
      <c r="A37301" s="8"/>
      <c r="B37301" s="12"/>
      <c r="C37301" s="8"/>
      <c r="D37301" s="8"/>
    </row>
    <row r="37302" spans="1:4" ht="15.75" customHeight="1">
      <c r="A37302" s="8"/>
      <c r="B37302" s="12"/>
      <c r="C37302" s="8"/>
      <c r="D37302" s="8"/>
    </row>
    <row r="37303" spans="1:4" ht="15.75" customHeight="1">
      <c r="A37303" s="8"/>
      <c r="B37303" s="12"/>
      <c r="C37303" s="8"/>
      <c r="D37303" s="8"/>
    </row>
    <row r="37304" spans="1:4" ht="15.75" customHeight="1">
      <c r="A37304" s="8"/>
      <c r="B37304" s="12"/>
      <c r="C37304" s="8"/>
      <c r="D37304" s="8"/>
    </row>
    <row r="37305" spans="1:4" ht="15.75" customHeight="1">
      <c r="A37305" s="8"/>
      <c r="B37305" s="12"/>
      <c r="C37305" s="8"/>
      <c r="D37305" s="8"/>
    </row>
    <row r="37306" spans="1:4" ht="15.75" customHeight="1">
      <c r="A37306" s="8"/>
      <c r="B37306" s="12"/>
      <c r="C37306" s="8"/>
      <c r="D37306" s="8"/>
    </row>
    <row r="37307" spans="1:4" ht="15.75" customHeight="1">
      <c r="A37307" s="8"/>
      <c r="B37307" s="12"/>
      <c r="C37307" s="8"/>
      <c r="D37307" s="8"/>
    </row>
    <row r="37308" spans="1:4" ht="15.75" customHeight="1">
      <c r="A37308" s="8"/>
      <c r="B37308" s="12"/>
      <c r="C37308" s="8"/>
      <c r="D37308" s="8"/>
    </row>
    <row r="37309" spans="1:4" ht="15.75" customHeight="1">
      <c r="A37309" s="8"/>
      <c r="B37309" s="12"/>
      <c r="C37309" s="8"/>
      <c r="D37309" s="8"/>
    </row>
    <row r="37310" spans="1:4" ht="15.75" customHeight="1">
      <c r="A37310" s="8"/>
      <c r="B37310" s="12"/>
      <c r="C37310" s="8"/>
      <c r="D37310" s="8"/>
    </row>
    <row r="37311" spans="1:4" ht="15.75" customHeight="1">
      <c r="A37311" s="8"/>
      <c r="B37311" s="12"/>
      <c r="C37311" s="8"/>
      <c r="D37311" s="8"/>
    </row>
    <row r="37312" spans="1:4" ht="15.75" customHeight="1">
      <c r="A37312" s="8"/>
      <c r="B37312" s="12"/>
      <c r="C37312" s="8"/>
      <c r="D37312" s="8"/>
    </row>
    <row r="37313" spans="1:4" ht="15.75" customHeight="1">
      <c r="A37313" s="8"/>
      <c r="B37313" s="12"/>
      <c r="C37313" s="8"/>
      <c r="D37313" s="8"/>
    </row>
    <row r="37314" spans="1:4" ht="15.75" customHeight="1">
      <c r="A37314" s="8"/>
      <c r="B37314" s="12"/>
      <c r="C37314" s="8"/>
      <c r="D37314" s="8"/>
    </row>
    <row r="37315" spans="1:4" ht="15.75" customHeight="1">
      <c r="A37315" s="8"/>
      <c r="B37315" s="12"/>
      <c r="C37315" s="8"/>
      <c r="D37315" s="8"/>
    </row>
    <row r="37316" spans="1:4" ht="15.75" customHeight="1">
      <c r="A37316" s="8"/>
      <c r="B37316" s="12"/>
      <c r="C37316" s="8"/>
      <c r="D37316" s="8"/>
    </row>
    <row r="37317" spans="1:4" ht="15.75" customHeight="1">
      <c r="A37317" s="8"/>
      <c r="B37317" s="12"/>
      <c r="C37317" s="8"/>
      <c r="D37317" s="8"/>
    </row>
    <row r="37318" spans="1:4" ht="15.75" customHeight="1">
      <c r="A37318" s="8"/>
      <c r="B37318" s="12"/>
      <c r="C37318" s="8"/>
      <c r="D37318" s="8"/>
    </row>
    <row r="37319" spans="1:4" ht="15.75" customHeight="1">
      <c r="A37319" s="8"/>
      <c r="B37319" s="12"/>
      <c r="C37319" s="8"/>
      <c r="D37319" s="8"/>
    </row>
    <row r="37320" spans="1:4" ht="15.75" customHeight="1">
      <c r="A37320" s="8"/>
      <c r="B37320" s="12"/>
      <c r="C37320" s="8"/>
      <c r="D37320" s="8"/>
    </row>
    <row r="37321" spans="1:4" ht="15.75" customHeight="1">
      <c r="A37321" s="8"/>
      <c r="B37321" s="12"/>
      <c r="C37321" s="8"/>
      <c r="D37321" s="8"/>
    </row>
    <row r="37322" spans="1:4" ht="15.75" customHeight="1">
      <c r="A37322" s="8"/>
      <c r="B37322" s="12"/>
      <c r="C37322" s="8"/>
      <c r="D37322" s="8"/>
    </row>
    <row r="37323" spans="1:4" ht="15.75" customHeight="1">
      <c r="A37323" s="8"/>
      <c r="B37323" s="12"/>
      <c r="C37323" s="8"/>
      <c r="D37323" s="8"/>
    </row>
    <row r="37324" spans="1:4" ht="15.75" customHeight="1">
      <c r="A37324" s="8"/>
      <c r="B37324" s="12"/>
      <c r="C37324" s="8"/>
      <c r="D37324" s="8"/>
    </row>
    <row r="37325" spans="1:4" ht="15.75" customHeight="1">
      <c r="A37325" s="8"/>
      <c r="B37325" s="12"/>
      <c r="C37325" s="8"/>
      <c r="D37325" s="8"/>
    </row>
    <row r="37326" spans="1:4" ht="15.75" customHeight="1">
      <c r="A37326" s="8"/>
      <c r="B37326" s="12"/>
      <c r="C37326" s="8"/>
      <c r="D37326" s="8"/>
    </row>
    <row r="37327" spans="1:4" ht="15.75" customHeight="1">
      <c r="A37327" s="8"/>
      <c r="B37327" s="12"/>
      <c r="C37327" s="8"/>
      <c r="D37327" s="8"/>
    </row>
    <row r="37328" spans="1:4" ht="15.75" customHeight="1">
      <c r="A37328" s="8"/>
      <c r="B37328" s="12"/>
      <c r="C37328" s="8"/>
      <c r="D37328" s="8"/>
    </row>
    <row r="37329" spans="1:4" ht="15.75" customHeight="1">
      <c r="A37329" s="8"/>
      <c r="B37329" s="12"/>
      <c r="C37329" s="8"/>
      <c r="D37329" s="8"/>
    </row>
    <row r="37330" spans="1:4" ht="15.75" customHeight="1">
      <c r="A37330" s="8"/>
      <c r="B37330" s="12"/>
      <c r="C37330" s="8"/>
      <c r="D37330" s="8"/>
    </row>
    <row r="37331" spans="1:4" ht="15.75" customHeight="1">
      <c r="A37331" s="8"/>
      <c r="B37331" s="12"/>
      <c r="C37331" s="8"/>
      <c r="D37331" s="8"/>
    </row>
    <row r="37332" spans="1:4" ht="15.75" customHeight="1">
      <c r="A37332" s="8"/>
      <c r="B37332" s="12"/>
      <c r="C37332" s="8"/>
      <c r="D37332" s="8"/>
    </row>
    <row r="37333" spans="1:4" ht="15.75" customHeight="1">
      <c r="A37333" s="8"/>
      <c r="B37333" s="12"/>
      <c r="C37333" s="8"/>
      <c r="D37333" s="8"/>
    </row>
    <row r="37334" spans="1:4" ht="15.75" customHeight="1">
      <c r="A37334" s="8"/>
      <c r="B37334" s="12"/>
      <c r="C37334" s="8"/>
      <c r="D37334" s="8"/>
    </row>
    <row r="37335" spans="1:4" ht="15.75" customHeight="1">
      <c r="A37335" s="8"/>
      <c r="B37335" s="12"/>
      <c r="C37335" s="8"/>
      <c r="D37335" s="8"/>
    </row>
    <row r="37336" spans="1:4" ht="15.75" customHeight="1">
      <c r="A37336" s="8"/>
      <c r="B37336" s="12"/>
      <c r="C37336" s="8"/>
      <c r="D37336" s="8"/>
    </row>
    <row r="37337" spans="1:4" ht="15.75" customHeight="1">
      <c r="A37337" s="8"/>
      <c r="B37337" s="12"/>
      <c r="C37337" s="8"/>
      <c r="D37337" s="8"/>
    </row>
    <row r="37338" spans="1:4" ht="15.75" customHeight="1">
      <c r="A37338" s="8"/>
      <c r="B37338" s="12"/>
      <c r="C37338" s="8"/>
      <c r="D37338" s="8"/>
    </row>
    <row r="37339" spans="1:4" ht="15.75" customHeight="1">
      <c r="A37339" s="8"/>
      <c r="B37339" s="12"/>
      <c r="C37339" s="8"/>
      <c r="D37339" s="8"/>
    </row>
    <row r="37340" spans="1:4" ht="15.75" customHeight="1">
      <c r="A37340" s="8"/>
      <c r="B37340" s="12"/>
      <c r="C37340" s="8"/>
      <c r="D37340" s="8"/>
    </row>
    <row r="37341" spans="1:4" ht="15.75" customHeight="1">
      <c r="A37341" s="8"/>
      <c r="B37341" s="12"/>
      <c r="C37341" s="8"/>
      <c r="D37341" s="8"/>
    </row>
    <row r="37342" spans="1:4" ht="15.75" customHeight="1">
      <c r="A37342" s="8"/>
      <c r="B37342" s="12"/>
      <c r="C37342" s="8"/>
      <c r="D37342" s="8"/>
    </row>
    <row r="37343" spans="1:4" ht="15.75" customHeight="1">
      <c r="A37343" s="8"/>
      <c r="B37343" s="12"/>
      <c r="C37343" s="8"/>
      <c r="D37343" s="8"/>
    </row>
    <row r="37344" spans="1:4" ht="15.75" customHeight="1">
      <c r="A37344" s="8"/>
      <c r="B37344" s="12"/>
      <c r="C37344" s="8"/>
      <c r="D37344" s="8"/>
    </row>
    <row r="37345" spans="1:4" ht="15.75" customHeight="1">
      <c r="A37345" s="8"/>
      <c r="B37345" s="12"/>
      <c r="C37345" s="8"/>
      <c r="D37345" s="8"/>
    </row>
    <row r="37346" spans="1:4" ht="15.75" customHeight="1">
      <c r="A37346" s="8"/>
      <c r="B37346" s="12"/>
      <c r="C37346" s="8"/>
      <c r="D37346" s="8"/>
    </row>
    <row r="37347" spans="1:4" ht="15.75" customHeight="1">
      <c r="A37347" s="8"/>
      <c r="B37347" s="12"/>
      <c r="C37347" s="8"/>
      <c r="D37347" s="8"/>
    </row>
    <row r="37348" spans="1:4" ht="15.75" customHeight="1">
      <c r="A37348" s="8"/>
      <c r="B37348" s="12"/>
      <c r="C37348" s="8"/>
      <c r="D37348" s="8"/>
    </row>
    <row r="37349" spans="1:4" ht="15.75" customHeight="1">
      <c r="A37349" s="8"/>
      <c r="B37349" s="12"/>
      <c r="C37349" s="8"/>
      <c r="D37349" s="8"/>
    </row>
    <row r="37350" spans="1:4" ht="15.75" customHeight="1">
      <c r="A37350" s="8"/>
      <c r="B37350" s="12"/>
      <c r="C37350" s="8"/>
      <c r="D37350" s="8"/>
    </row>
    <row r="37351" spans="1:4" ht="15.75" customHeight="1">
      <c r="A37351" s="8"/>
      <c r="B37351" s="12"/>
      <c r="C37351" s="8"/>
      <c r="D37351" s="8"/>
    </row>
    <row r="37352" spans="1:4" ht="15.75" customHeight="1">
      <c r="A37352" s="8"/>
      <c r="B37352" s="12"/>
      <c r="C37352" s="8"/>
      <c r="D37352" s="8"/>
    </row>
    <row r="37353" spans="1:4" ht="15.75" customHeight="1">
      <c r="A37353" s="8"/>
      <c r="B37353" s="12"/>
      <c r="C37353" s="8"/>
      <c r="D37353" s="8"/>
    </row>
    <row r="37354" spans="1:4" ht="15.75" customHeight="1">
      <c r="A37354" s="8"/>
      <c r="B37354" s="12"/>
      <c r="C37354" s="8"/>
      <c r="D37354" s="8"/>
    </row>
    <row r="37355" spans="1:4" ht="15.75" customHeight="1">
      <c r="A37355" s="8"/>
      <c r="B37355" s="12"/>
      <c r="C37355" s="8"/>
      <c r="D37355" s="8"/>
    </row>
    <row r="37356" spans="1:4" ht="15.75" customHeight="1">
      <c r="A37356" s="8"/>
      <c r="B37356" s="12"/>
      <c r="C37356" s="8"/>
      <c r="D37356" s="8"/>
    </row>
    <row r="37357" spans="1:4" ht="15.75" customHeight="1">
      <c r="A37357" s="8"/>
      <c r="B37357" s="12"/>
      <c r="C37357" s="8"/>
      <c r="D37357" s="8"/>
    </row>
    <row r="37358" spans="1:4" ht="15.75" customHeight="1">
      <c r="A37358" s="8"/>
      <c r="B37358" s="12"/>
      <c r="C37358" s="8"/>
      <c r="D37358" s="8"/>
    </row>
    <row r="37359" spans="1:4" ht="15.75" customHeight="1">
      <c r="A37359" s="8"/>
      <c r="B37359" s="12"/>
      <c r="C37359" s="8"/>
      <c r="D37359" s="8"/>
    </row>
    <row r="37360" spans="1:4" ht="15.75" customHeight="1">
      <c r="A37360" s="8"/>
      <c r="B37360" s="12"/>
      <c r="C37360" s="8"/>
      <c r="D37360" s="8"/>
    </row>
    <row r="37361" spans="1:4" ht="15.75" customHeight="1">
      <c r="A37361" s="8"/>
      <c r="B37361" s="12"/>
      <c r="C37361" s="8"/>
      <c r="D37361" s="8"/>
    </row>
    <row r="37362" spans="1:4" ht="15.75" customHeight="1">
      <c r="A37362" s="8"/>
      <c r="B37362" s="12"/>
      <c r="C37362" s="8"/>
      <c r="D37362" s="8"/>
    </row>
    <row r="37363" spans="1:4" ht="15.75" customHeight="1">
      <c r="A37363" s="8"/>
      <c r="B37363" s="12"/>
      <c r="C37363" s="8"/>
      <c r="D37363" s="8"/>
    </row>
    <row r="37364" spans="1:4" ht="15.75" customHeight="1">
      <c r="A37364" s="8"/>
      <c r="B37364" s="12"/>
      <c r="C37364" s="8"/>
      <c r="D37364" s="8"/>
    </row>
    <row r="37365" spans="1:4" ht="15.75" customHeight="1">
      <c r="A37365" s="8"/>
      <c r="B37365" s="12"/>
      <c r="C37365" s="8"/>
      <c r="D37365" s="8"/>
    </row>
    <row r="37366" spans="1:4" ht="15.75" customHeight="1">
      <c r="A37366" s="8"/>
      <c r="B37366" s="12"/>
      <c r="C37366" s="8"/>
      <c r="D37366" s="8"/>
    </row>
    <row r="37367" spans="1:4" ht="15.75" customHeight="1">
      <c r="A37367" s="8"/>
      <c r="B37367" s="12"/>
      <c r="C37367" s="8"/>
      <c r="D37367" s="8"/>
    </row>
    <row r="37368" spans="1:4" ht="15.75" customHeight="1">
      <c r="A37368" s="8"/>
      <c r="B37368" s="12"/>
      <c r="C37368" s="8"/>
      <c r="D37368" s="8"/>
    </row>
    <row r="37369" spans="1:4" ht="15.75" customHeight="1">
      <c r="A37369" s="8"/>
      <c r="B37369" s="12"/>
      <c r="C37369" s="8"/>
      <c r="D37369" s="8"/>
    </row>
    <row r="37370" spans="1:4" ht="15.75" customHeight="1">
      <c r="A37370" s="8"/>
      <c r="B37370" s="12"/>
      <c r="C37370" s="8"/>
      <c r="D37370" s="8"/>
    </row>
    <row r="37371" spans="1:4" ht="15.75" customHeight="1">
      <c r="A37371" s="8"/>
      <c r="B37371" s="12"/>
      <c r="C37371" s="8"/>
      <c r="D37371" s="8"/>
    </row>
    <row r="37372" spans="1:4" ht="15.75" customHeight="1">
      <c r="A37372" s="8"/>
      <c r="B37372" s="12"/>
      <c r="C37372" s="8"/>
      <c r="D37372" s="8"/>
    </row>
    <row r="37373" spans="1:4" ht="15.75" customHeight="1">
      <c r="A37373" s="8"/>
      <c r="B37373" s="12"/>
      <c r="C37373" s="8"/>
      <c r="D37373" s="8"/>
    </row>
    <row r="37374" spans="1:4" ht="15.75" customHeight="1">
      <c r="A37374" s="8"/>
      <c r="B37374" s="12"/>
      <c r="C37374" s="8"/>
      <c r="D37374" s="8"/>
    </row>
    <row r="37375" spans="1:4" ht="15.75" customHeight="1">
      <c r="A37375" s="8"/>
      <c r="B37375" s="12"/>
      <c r="C37375" s="8"/>
      <c r="D37375" s="8"/>
    </row>
    <row r="37376" spans="1:4" ht="15.75" customHeight="1">
      <c r="A37376" s="8"/>
      <c r="B37376" s="12"/>
      <c r="C37376" s="8"/>
      <c r="D37376" s="8"/>
    </row>
    <row r="37377" spans="1:4" ht="15.75" customHeight="1">
      <c r="A37377" s="8"/>
      <c r="B37377" s="12"/>
      <c r="C37377" s="8"/>
      <c r="D37377" s="8"/>
    </row>
    <row r="37378" spans="1:4" ht="15.75" customHeight="1">
      <c r="A37378" s="8"/>
      <c r="B37378" s="12"/>
      <c r="C37378" s="8"/>
      <c r="D37378" s="8"/>
    </row>
    <row r="37379" spans="1:4" ht="15.75" customHeight="1">
      <c r="A37379" s="8"/>
      <c r="B37379" s="12"/>
      <c r="C37379" s="8"/>
      <c r="D37379" s="8"/>
    </row>
    <row r="37380" spans="1:4" ht="15.75" customHeight="1">
      <c r="A37380" s="8"/>
      <c r="B37380" s="12"/>
      <c r="C37380" s="8"/>
      <c r="D37380" s="8"/>
    </row>
    <row r="37381" spans="1:4" ht="15.75" customHeight="1">
      <c r="A37381" s="8"/>
      <c r="B37381" s="12"/>
      <c r="C37381" s="8"/>
      <c r="D37381" s="8"/>
    </row>
    <row r="37382" spans="1:4" ht="15.75" customHeight="1">
      <c r="A37382" s="8"/>
      <c r="B37382" s="12"/>
      <c r="C37382" s="8"/>
      <c r="D37382" s="8"/>
    </row>
    <row r="37383" spans="1:4" ht="15.75" customHeight="1">
      <c r="A37383" s="8"/>
      <c r="B37383" s="12"/>
      <c r="C37383" s="8"/>
      <c r="D37383" s="8"/>
    </row>
    <row r="37384" spans="1:4" ht="15.75" customHeight="1">
      <c r="A37384" s="8"/>
      <c r="B37384" s="12"/>
      <c r="C37384" s="8"/>
      <c r="D37384" s="8"/>
    </row>
    <row r="37385" spans="1:4" ht="15.75" customHeight="1">
      <c r="A37385" s="8"/>
      <c r="B37385" s="12"/>
      <c r="C37385" s="8"/>
      <c r="D37385" s="8"/>
    </row>
    <row r="37386" spans="1:4" ht="15.75" customHeight="1">
      <c r="A37386" s="8"/>
      <c r="B37386" s="12"/>
      <c r="C37386" s="8"/>
      <c r="D37386" s="8"/>
    </row>
    <row r="37387" spans="1:4" ht="15.75" customHeight="1">
      <c r="A37387" s="8"/>
      <c r="B37387" s="12"/>
      <c r="C37387" s="8"/>
      <c r="D37387" s="8"/>
    </row>
    <row r="37388" spans="1:4" ht="15.75" customHeight="1">
      <c r="A37388" s="8"/>
      <c r="B37388" s="12"/>
      <c r="C37388" s="8"/>
      <c r="D37388" s="8"/>
    </row>
    <row r="37389" spans="1:4" ht="15.75" customHeight="1">
      <c r="A37389" s="8"/>
      <c r="B37389" s="12"/>
      <c r="C37389" s="8"/>
      <c r="D37389" s="8"/>
    </row>
    <row r="37390" spans="1:4" ht="15.75" customHeight="1">
      <c r="A37390" s="8"/>
      <c r="B37390" s="12"/>
      <c r="C37390" s="8"/>
      <c r="D37390" s="8"/>
    </row>
    <row r="37391" spans="1:4" ht="15.75" customHeight="1">
      <c r="A37391" s="8"/>
      <c r="B37391" s="12"/>
      <c r="C37391" s="8"/>
      <c r="D37391" s="8"/>
    </row>
    <row r="37392" spans="1:4" ht="15.75" customHeight="1">
      <c r="A37392" s="8"/>
      <c r="B37392" s="12"/>
      <c r="C37392" s="8"/>
      <c r="D37392" s="8"/>
    </row>
    <row r="37393" spans="1:4" ht="15.75" customHeight="1">
      <c r="A37393" s="8"/>
      <c r="B37393" s="12"/>
      <c r="C37393" s="8"/>
      <c r="D37393" s="8"/>
    </row>
    <row r="37394" spans="1:4" ht="15.75" customHeight="1">
      <c r="A37394" s="8"/>
      <c r="B37394" s="12"/>
      <c r="C37394" s="8"/>
      <c r="D37394" s="8"/>
    </row>
    <row r="37395" spans="1:4" ht="15.75" customHeight="1">
      <c r="A37395" s="8"/>
      <c r="B37395" s="12"/>
      <c r="C37395" s="8"/>
      <c r="D37395" s="8"/>
    </row>
    <row r="37396" spans="1:4" ht="15.75" customHeight="1">
      <c r="A37396" s="8"/>
      <c r="B37396" s="12"/>
      <c r="C37396" s="8"/>
      <c r="D37396" s="8"/>
    </row>
    <row r="37397" spans="1:4" ht="15.75" customHeight="1">
      <c r="A37397" s="8"/>
      <c r="B37397" s="12"/>
      <c r="C37397" s="8"/>
      <c r="D37397" s="8"/>
    </row>
    <row r="37398" spans="1:4" ht="15.75" customHeight="1">
      <c r="A37398" s="8"/>
      <c r="B37398" s="12"/>
      <c r="C37398" s="8"/>
      <c r="D37398" s="8"/>
    </row>
    <row r="37399" spans="1:4" ht="15.75" customHeight="1">
      <c r="A37399" s="8"/>
      <c r="B37399" s="12"/>
      <c r="C37399" s="8"/>
      <c r="D37399" s="8"/>
    </row>
    <row r="37400" spans="1:4" ht="15.75" customHeight="1">
      <c r="A37400" s="8"/>
      <c r="B37400" s="12"/>
      <c r="C37400" s="8"/>
      <c r="D37400" s="8"/>
    </row>
    <row r="37401" spans="1:4" ht="15.75" customHeight="1">
      <c r="A37401" s="8"/>
      <c r="B37401" s="12"/>
      <c r="C37401" s="8"/>
      <c r="D37401" s="8"/>
    </row>
    <row r="37402" spans="1:4" ht="15.75" customHeight="1">
      <c r="A37402" s="8"/>
      <c r="B37402" s="12"/>
      <c r="C37402" s="8"/>
      <c r="D37402" s="8"/>
    </row>
    <row r="37403" spans="1:4" ht="15.75" customHeight="1">
      <c r="A37403" s="8"/>
      <c r="B37403" s="12"/>
      <c r="C37403" s="8"/>
      <c r="D37403" s="8"/>
    </row>
    <row r="37404" spans="1:4" ht="15.75" customHeight="1">
      <c r="A37404" s="8"/>
      <c r="B37404" s="12"/>
      <c r="C37404" s="8"/>
      <c r="D37404" s="8"/>
    </row>
    <row r="37405" spans="1:4" ht="15.75" customHeight="1">
      <c r="A37405" s="8"/>
      <c r="B37405" s="12"/>
      <c r="C37405" s="8"/>
      <c r="D37405" s="8"/>
    </row>
    <row r="37406" spans="1:4" ht="15.75" customHeight="1">
      <c r="A37406" s="8"/>
      <c r="B37406" s="12"/>
      <c r="C37406" s="8"/>
      <c r="D37406" s="8"/>
    </row>
    <row r="37407" spans="1:4" ht="15.75" customHeight="1">
      <c r="A37407" s="8"/>
      <c r="B37407" s="12"/>
      <c r="C37407" s="8"/>
      <c r="D37407" s="8"/>
    </row>
    <row r="37408" spans="1:4" ht="15.75" customHeight="1">
      <c r="A37408" s="8"/>
      <c r="B37408" s="12"/>
      <c r="C37408" s="8"/>
      <c r="D37408" s="8"/>
    </row>
    <row r="37409" spans="1:4" ht="15.75" customHeight="1">
      <c r="A37409" s="8"/>
      <c r="B37409" s="12"/>
      <c r="C37409" s="8"/>
      <c r="D37409" s="8"/>
    </row>
    <row r="37410" spans="1:4" ht="15.75" customHeight="1">
      <c r="A37410" s="8"/>
      <c r="B37410" s="12"/>
      <c r="C37410" s="8"/>
      <c r="D37410" s="8"/>
    </row>
    <row r="37411" spans="1:4" ht="15.75" customHeight="1">
      <c r="A37411" s="8"/>
      <c r="B37411" s="12"/>
      <c r="C37411" s="8"/>
      <c r="D37411" s="8"/>
    </row>
    <row r="37412" spans="1:4" ht="15.75" customHeight="1">
      <c r="A37412" s="8"/>
      <c r="B37412" s="12"/>
      <c r="C37412" s="8"/>
      <c r="D37412" s="8"/>
    </row>
    <row r="37413" spans="1:4" ht="15.75" customHeight="1">
      <c r="A37413" s="8"/>
      <c r="B37413" s="12"/>
      <c r="C37413" s="8"/>
      <c r="D37413" s="8"/>
    </row>
    <row r="37414" spans="1:4" ht="15.75" customHeight="1">
      <c r="A37414" s="8"/>
      <c r="B37414" s="12"/>
      <c r="C37414" s="8"/>
      <c r="D37414" s="8"/>
    </row>
    <row r="37415" spans="1:4" ht="15.75" customHeight="1">
      <c r="A37415" s="8"/>
      <c r="B37415" s="12"/>
      <c r="C37415" s="8"/>
      <c r="D37415" s="8"/>
    </row>
    <row r="37416" spans="1:4" ht="15.75" customHeight="1">
      <c r="A37416" s="8"/>
      <c r="B37416" s="12"/>
      <c r="C37416" s="8"/>
      <c r="D37416" s="8"/>
    </row>
    <row r="37417" spans="1:4" ht="15.75" customHeight="1">
      <c r="A37417" s="8"/>
      <c r="B37417" s="12"/>
      <c r="C37417" s="8"/>
      <c r="D37417" s="8"/>
    </row>
    <row r="37418" spans="1:4" ht="15.75" customHeight="1">
      <c r="A37418" s="8"/>
      <c r="B37418" s="12"/>
      <c r="C37418" s="8"/>
      <c r="D37418" s="8"/>
    </row>
    <row r="37419" spans="1:4" ht="15.75" customHeight="1">
      <c r="A37419" s="8"/>
      <c r="B37419" s="12"/>
      <c r="C37419" s="8"/>
      <c r="D37419" s="8"/>
    </row>
    <row r="37420" spans="1:4" ht="15.75" customHeight="1">
      <c r="A37420" s="8"/>
      <c r="B37420" s="12"/>
      <c r="C37420" s="8"/>
      <c r="D37420" s="8"/>
    </row>
    <row r="37421" spans="1:4" ht="15.75" customHeight="1">
      <c r="A37421" s="8"/>
      <c r="B37421" s="12"/>
      <c r="C37421" s="8"/>
      <c r="D37421" s="8"/>
    </row>
    <row r="37422" spans="1:4" ht="15.75" customHeight="1">
      <c r="A37422" s="8"/>
      <c r="B37422" s="12"/>
      <c r="C37422" s="8"/>
      <c r="D37422" s="8"/>
    </row>
    <row r="37423" spans="1:4" ht="15.75" customHeight="1">
      <c r="A37423" s="8"/>
      <c r="B37423" s="12"/>
      <c r="C37423" s="8"/>
      <c r="D37423" s="8"/>
    </row>
    <row r="37424" spans="1:4" ht="15.75" customHeight="1">
      <c r="A37424" s="8"/>
      <c r="B37424" s="12"/>
      <c r="C37424" s="8"/>
      <c r="D37424" s="8"/>
    </row>
    <row r="37425" spans="1:4" ht="15.75" customHeight="1">
      <c r="A37425" s="8"/>
      <c r="B37425" s="12"/>
      <c r="C37425" s="8"/>
      <c r="D37425" s="8"/>
    </row>
    <row r="37426" spans="1:4" ht="15.75" customHeight="1">
      <c r="A37426" s="8"/>
      <c r="B37426" s="12"/>
      <c r="C37426" s="8"/>
      <c r="D37426" s="8"/>
    </row>
    <row r="37427" spans="1:4" ht="15.75" customHeight="1">
      <c r="A37427" s="8"/>
      <c r="B37427" s="12"/>
      <c r="C37427" s="8"/>
      <c r="D37427" s="8"/>
    </row>
    <row r="37428" spans="1:4" ht="15.75" customHeight="1">
      <c r="A37428" s="8"/>
      <c r="B37428" s="12"/>
      <c r="C37428" s="8"/>
      <c r="D37428" s="8"/>
    </row>
    <row r="37429" spans="1:4" ht="15.75" customHeight="1">
      <c r="A37429" s="8"/>
      <c r="B37429" s="12"/>
      <c r="C37429" s="8"/>
      <c r="D37429" s="8"/>
    </row>
    <row r="37430" spans="1:4" ht="15.75" customHeight="1">
      <c r="A37430" s="8"/>
      <c r="B37430" s="12"/>
      <c r="C37430" s="8"/>
      <c r="D37430" s="8"/>
    </row>
    <row r="37431" spans="1:4" ht="15.75" customHeight="1">
      <c r="A37431" s="8"/>
      <c r="B37431" s="12"/>
      <c r="C37431" s="8"/>
      <c r="D37431" s="8"/>
    </row>
    <row r="37432" spans="1:4" ht="15.75" customHeight="1">
      <c r="A37432" s="8"/>
      <c r="B37432" s="12"/>
      <c r="C37432" s="8"/>
      <c r="D37432" s="8"/>
    </row>
    <row r="37433" spans="1:4" ht="15.75" customHeight="1">
      <c r="A37433" s="8"/>
      <c r="B37433" s="12"/>
      <c r="C37433" s="8"/>
      <c r="D37433" s="8"/>
    </row>
    <row r="37434" spans="1:4" ht="15.75" customHeight="1">
      <c r="A37434" s="8"/>
      <c r="B37434" s="12"/>
      <c r="C37434" s="8"/>
      <c r="D37434" s="8"/>
    </row>
    <row r="37435" spans="1:4" ht="15.75" customHeight="1">
      <c r="A37435" s="8"/>
      <c r="B37435" s="12"/>
      <c r="C37435" s="8"/>
      <c r="D37435" s="8"/>
    </row>
    <row r="37436" spans="1:4" ht="15.75" customHeight="1">
      <c r="A37436" s="8"/>
      <c r="B37436" s="12"/>
      <c r="C37436" s="8"/>
      <c r="D37436" s="8"/>
    </row>
    <row r="37437" spans="1:4" ht="15.75" customHeight="1">
      <c r="A37437" s="8"/>
      <c r="B37437" s="12"/>
      <c r="C37437" s="8"/>
      <c r="D37437" s="8"/>
    </row>
    <row r="37438" spans="1:4" ht="15.75" customHeight="1">
      <c r="A37438" s="8"/>
      <c r="B37438" s="12"/>
      <c r="C37438" s="8"/>
      <c r="D37438" s="8"/>
    </row>
    <row r="37439" spans="1:4" ht="15.75" customHeight="1">
      <c r="A37439" s="8"/>
      <c r="B37439" s="12"/>
      <c r="C37439" s="8"/>
      <c r="D37439" s="8"/>
    </row>
    <row r="37440" spans="1:4" ht="15.75" customHeight="1">
      <c r="A37440" s="8"/>
      <c r="B37440" s="12"/>
      <c r="C37440" s="8"/>
      <c r="D37440" s="8"/>
    </row>
    <row r="37441" spans="1:4" ht="15.75" customHeight="1">
      <c r="A37441" s="8"/>
      <c r="B37441" s="12"/>
      <c r="C37441" s="8"/>
      <c r="D37441" s="8"/>
    </row>
    <row r="37442" spans="1:4" ht="15.75" customHeight="1">
      <c r="A37442" s="8"/>
      <c r="B37442" s="12"/>
      <c r="C37442" s="8"/>
      <c r="D37442" s="8"/>
    </row>
    <row r="37443" spans="1:4" ht="15.75" customHeight="1">
      <c r="A37443" s="8"/>
      <c r="B37443" s="12"/>
      <c r="C37443" s="8"/>
      <c r="D37443" s="8"/>
    </row>
    <row r="37444" spans="1:4" ht="15.75" customHeight="1">
      <c r="A37444" s="8"/>
      <c r="B37444" s="12"/>
      <c r="C37444" s="8"/>
      <c r="D37444" s="8"/>
    </row>
    <row r="37445" spans="1:4" ht="15.75" customHeight="1">
      <c r="A37445" s="8"/>
      <c r="B37445" s="12"/>
      <c r="C37445" s="8"/>
      <c r="D37445" s="8"/>
    </row>
    <row r="37446" spans="1:4" ht="15.75" customHeight="1">
      <c r="A37446" s="8"/>
      <c r="B37446" s="12"/>
      <c r="C37446" s="8"/>
      <c r="D37446" s="8"/>
    </row>
    <row r="37447" spans="1:4" ht="15.75" customHeight="1">
      <c r="A37447" s="8"/>
      <c r="B37447" s="12"/>
      <c r="C37447" s="8"/>
      <c r="D37447" s="8"/>
    </row>
    <row r="37448" spans="1:4" ht="15.75" customHeight="1">
      <c r="A37448" s="8"/>
      <c r="B37448" s="12"/>
      <c r="C37448" s="8"/>
      <c r="D37448" s="8"/>
    </row>
    <row r="37449" spans="1:4" ht="15.75" customHeight="1">
      <c r="A37449" s="8"/>
      <c r="B37449" s="12"/>
      <c r="C37449" s="8"/>
      <c r="D37449" s="8"/>
    </row>
    <row r="37450" spans="1:4" ht="15.75" customHeight="1">
      <c r="A37450" s="8"/>
      <c r="B37450" s="12"/>
      <c r="C37450" s="8"/>
      <c r="D37450" s="8"/>
    </row>
    <row r="37451" spans="1:4" ht="15.75" customHeight="1">
      <c r="A37451" s="8"/>
      <c r="B37451" s="12"/>
      <c r="C37451" s="8"/>
      <c r="D37451" s="8"/>
    </row>
    <row r="37452" spans="1:4" ht="15.75" customHeight="1">
      <c r="A37452" s="8"/>
      <c r="B37452" s="12"/>
      <c r="C37452" s="8"/>
      <c r="D37452" s="8"/>
    </row>
    <row r="37453" spans="1:4" ht="15.75" customHeight="1">
      <c r="A37453" s="8"/>
      <c r="B37453" s="12"/>
      <c r="C37453" s="8"/>
      <c r="D37453" s="8"/>
    </row>
    <row r="37454" spans="1:4" ht="15.75" customHeight="1">
      <c r="A37454" s="8"/>
      <c r="B37454" s="12"/>
      <c r="C37454" s="8"/>
      <c r="D37454" s="8"/>
    </row>
    <row r="37455" spans="1:4" ht="15.75" customHeight="1">
      <c r="A37455" s="8"/>
      <c r="B37455" s="12"/>
      <c r="C37455" s="8"/>
      <c r="D37455" s="8"/>
    </row>
    <row r="37456" spans="1:4" ht="15.75" customHeight="1">
      <c r="A37456" s="8"/>
      <c r="B37456" s="12"/>
      <c r="C37456" s="8"/>
      <c r="D37456" s="8"/>
    </row>
    <row r="37457" spans="1:4" ht="15.75" customHeight="1">
      <c r="A37457" s="8"/>
      <c r="B37457" s="12"/>
      <c r="C37457" s="8"/>
      <c r="D37457" s="8"/>
    </row>
    <row r="37458" spans="1:4" ht="15.75" customHeight="1">
      <c r="A37458" s="8"/>
      <c r="B37458" s="12"/>
      <c r="C37458" s="8"/>
      <c r="D37458" s="8"/>
    </row>
    <row r="37459" spans="1:4" ht="15.75" customHeight="1">
      <c r="A37459" s="8"/>
      <c r="B37459" s="12"/>
      <c r="C37459" s="8"/>
      <c r="D37459" s="8"/>
    </row>
    <row r="37460" spans="1:4" ht="15.75" customHeight="1">
      <c r="A37460" s="8"/>
      <c r="B37460" s="12"/>
      <c r="C37460" s="8"/>
      <c r="D37460" s="8"/>
    </row>
    <row r="37461" spans="1:4" ht="15.75" customHeight="1">
      <c r="A37461" s="8"/>
      <c r="B37461" s="12"/>
      <c r="C37461" s="8"/>
      <c r="D37461" s="8"/>
    </row>
    <row r="37462" spans="1:4" ht="15.75" customHeight="1">
      <c r="A37462" s="8"/>
      <c r="B37462" s="12"/>
      <c r="C37462" s="8"/>
      <c r="D37462" s="8"/>
    </row>
    <row r="37463" spans="1:4" ht="15.75" customHeight="1">
      <c r="A37463" s="8"/>
      <c r="B37463" s="12"/>
      <c r="C37463" s="8"/>
      <c r="D37463" s="8"/>
    </row>
    <row r="37464" spans="1:4" ht="15.75" customHeight="1">
      <c r="A37464" s="8"/>
      <c r="B37464" s="12"/>
      <c r="C37464" s="8"/>
      <c r="D37464" s="8"/>
    </row>
    <row r="37465" spans="1:4" ht="15.75" customHeight="1">
      <c r="A37465" s="8"/>
      <c r="B37465" s="12"/>
      <c r="C37465" s="8"/>
      <c r="D37465" s="8"/>
    </row>
    <row r="37466" spans="1:4" ht="15.75" customHeight="1">
      <c r="A37466" s="8"/>
      <c r="B37466" s="12"/>
      <c r="C37466" s="8"/>
      <c r="D37466" s="8"/>
    </row>
    <row r="37467" spans="1:4" ht="15.75" customHeight="1">
      <c r="A37467" s="8"/>
      <c r="B37467" s="12"/>
      <c r="C37467" s="8"/>
      <c r="D37467" s="8"/>
    </row>
    <row r="37468" spans="1:4" ht="15.75" customHeight="1">
      <c r="A37468" s="8"/>
      <c r="B37468" s="12"/>
      <c r="C37468" s="8"/>
      <c r="D37468" s="8"/>
    </row>
    <row r="37469" spans="1:4" ht="15.75" customHeight="1">
      <c r="A37469" s="8"/>
      <c r="B37469" s="12"/>
      <c r="C37469" s="8"/>
      <c r="D37469" s="8"/>
    </row>
    <row r="37470" spans="1:4" ht="15.75" customHeight="1">
      <c r="A37470" s="8"/>
      <c r="B37470" s="12"/>
      <c r="C37470" s="8"/>
      <c r="D37470" s="8"/>
    </row>
    <row r="37471" spans="1:4" ht="15.75" customHeight="1">
      <c r="A37471" s="8"/>
      <c r="B37471" s="12"/>
      <c r="C37471" s="8"/>
      <c r="D37471" s="8"/>
    </row>
    <row r="37472" spans="1:4" ht="15.75" customHeight="1">
      <c r="A37472" s="8"/>
      <c r="B37472" s="12"/>
      <c r="C37472" s="8"/>
      <c r="D37472" s="8"/>
    </row>
    <row r="37473" spans="1:4" ht="15.75" customHeight="1">
      <c r="A37473" s="8"/>
      <c r="B37473" s="12"/>
      <c r="C37473" s="8"/>
      <c r="D37473" s="8"/>
    </row>
    <row r="37474" spans="1:4" ht="15.75" customHeight="1">
      <c r="A37474" s="8"/>
      <c r="B37474" s="12"/>
      <c r="C37474" s="8"/>
      <c r="D37474" s="8"/>
    </row>
    <row r="37475" spans="1:4" ht="15.75" customHeight="1">
      <c r="A37475" s="8"/>
      <c r="B37475" s="12"/>
      <c r="C37475" s="8"/>
      <c r="D37475" s="8"/>
    </row>
    <row r="37476" spans="1:4" ht="15.75" customHeight="1">
      <c r="A37476" s="8"/>
      <c r="B37476" s="12"/>
      <c r="C37476" s="8"/>
      <c r="D37476" s="8"/>
    </row>
    <row r="37477" spans="1:4" ht="15.75" customHeight="1">
      <c r="A37477" s="8"/>
      <c r="B37477" s="12"/>
      <c r="C37477" s="8"/>
      <c r="D37477" s="8"/>
    </row>
    <row r="37478" spans="1:4" ht="15.75" customHeight="1">
      <c r="A37478" s="8"/>
      <c r="B37478" s="12"/>
      <c r="C37478" s="8"/>
      <c r="D37478" s="8"/>
    </row>
    <row r="37479" spans="1:4" ht="15.75" customHeight="1">
      <c r="A37479" s="8"/>
      <c r="B37479" s="12"/>
      <c r="C37479" s="8"/>
      <c r="D37479" s="8"/>
    </row>
    <row r="37480" spans="1:4" ht="15.75" customHeight="1">
      <c r="A37480" s="8"/>
      <c r="B37480" s="12"/>
      <c r="C37480" s="8"/>
      <c r="D37480" s="8"/>
    </row>
    <row r="37481" spans="1:4" ht="15.75" customHeight="1">
      <c r="A37481" s="8"/>
      <c r="B37481" s="12"/>
      <c r="C37481" s="8"/>
      <c r="D37481" s="8"/>
    </row>
    <row r="37482" spans="1:4" ht="15.75" customHeight="1">
      <c r="A37482" s="8"/>
      <c r="B37482" s="12"/>
      <c r="C37482" s="8"/>
      <c r="D37482" s="8"/>
    </row>
    <row r="37483" spans="1:4" ht="15.75" customHeight="1">
      <c r="A37483" s="8"/>
      <c r="B37483" s="12"/>
      <c r="C37483" s="8"/>
      <c r="D37483" s="8"/>
    </row>
    <row r="37484" spans="1:4" ht="15.75" customHeight="1">
      <c r="A37484" s="8"/>
      <c r="B37484" s="12"/>
      <c r="C37484" s="8"/>
      <c r="D37484" s="8"/>
    </row>
    <row r="37485" spans="1:4" ht="15.75" customHeight="1">
      <c r="A37485" s="8"/>
      <c r="B37485" s="12"/>
      <c r="C37485" s="8"/>
      <c r="D37485" s="8"/>
    </row>
    <row r="37486" spans="1:4" ht="15.75" customHeight="1">
      <c r="A37486" s="8"/>
      <c r="B37486" s="12"/>
      <c r="C37486" s="8"/>
      <c r="D37486" s="8"/>
    </row>
    <row r="37487" spans="1:4" ht="15.75" customHeight="1">
      <c r="A37487" s="8"/>
      <c r="B37487" s="12"/>
      <c r="C37487" s="8"/>
      <c r="D37487" s="8"/>
    </row>
    <row r="37488" spans="1:4" ht="15.75" customHeight="1">
      <c r="A37488" s="8"/>
      <c r="B37488" s="12"/>
      <c r="C37488" s="8"/>
      <c r="D37488" s="8"/>
    </row>
    <row r="37489" spans="1:4" ht="15.75" customHeight="1">
      <c r="A37489" s="8"/>
      <c r="B37489" s="12"/>
      <c r="C37489" s="8"/>
      <c r="D37489" s="8"/>
    </row>
    <row r="37490" spans="1:4" ht="15.75" customHeight="1">
      <c r="A37490" s="8"/>
      <c r="B37490" s="12"/>
      <c r="C37490" s="8"/>
      <c r="D37490" s="8"/>
    </row>
    <row r="37491" spans="1:4" ht="15.75" customHeight="1">
      <c r="A37491" s="8"/>
      <c r="B37491" s="12"/>
      <c r="C37491" s="8"/>
      <c r="D37491" s="8"/>
    </row>
    <row r="37492" spans="1:4" ht="15.75" customHeight="1">
      <c r="A37492" s="8"/>
      <c r="B37492" s="12"/>
      <c r="C37492" s="8"/>
      <c r="D37492" s="8"/>
    </row>
    <row r="37493" spans="1:4" ht="15.75" customHeight="1">
      <c r="A37493" s="8"/>
      <c r="B37493" s="12"/>
      <c r="C37493" s="8"/>
      <c r="D37493" s="8"/>
    </row>
    <row r="37494" spans="1:4" ht="15.75" customHeight="1">
      <c r="A37494" s="8"/>
      <c r="B37494" s="12"/>
      <c r="C37494" s="8"/>
      <c r="D37494" s="8"/>
    </row>
    <row r="37495" spans="1:4" ht="15.75" customHeight="1">
      <c r="A37495" s="8"/>
      <c r="B37495" s="12"/>
      <c r="C37495" s="8"/>
      <c r="D37495" s="8"/>
    </row>
    <row r="37496" spans="1:4" ht="15.75" customHeight="1">
      <c r="A37496" s="8"/>
      <c r="B37496" s="12"/>
      <c r="C37496" s="8"/>
      <c r="D37496" s="8"/>
    </row>
    <row r="37497" spans="1:4" ht="15.75" customHeight="1">
      <c r="A37497" s="8"/>
      <c r="B37497" s="12"/>
      <c r="C37497" s="8"/>
      <c r="D37497" s="8"/>
    </row>
    <row r="37498" spans="1:4" ht="15.75" customHeight="1">
      <c r="A37498" s="8"/>
      <c r="B37498" s="12"/>
      <c r="C37498" s="8"/>
      <c r="D37498" s="8"/>
    </row>
    <row r="37499" spans="1:4" ht="15.75" customHeight="1">
      <c r="A37499" s="8"/>
      <c r="B37499" s="12"/>
      <c r="C37499" s="8"/>
      <c r="D37499" s="8"/>
    </row>
    <row r="37500" spans="1:4" ht="15.75" customHeight="1">
      <c r="A37500" s="8"/>
      <c r="B37500" s="12"/>
      <c r="C37500" s="8"/>
      <c r="D37500" s="8"/>
    </row>
    <row r="37501" spans="1:4" ht="15.75" customHeight="1">
      <c r="A37501" s="8"/>
      <c r="B37501" s="12"/>
      <c r="C37501" s="8"/>
      <c r="D37501" s="8"/>
    </row>
    <row r="37502" spans="1:4" ht="15.75" customHeight="1">
      <c r="A37502" s="8"/>
      <c r="B37502" s="12"/>
      <c r="C37502" s="8"/>
      <c r="D37502" s="8"/>
    </row>
    <row r="37503" spans="1:4" ht="15.75" customHeight="1">
      <c r="A37503" s="8"/>
      <c r="B37503" s="12"/>
      <c r="C37503" s="8"/>
      <c r="D37503" s="8"/>
    </row>
    <row r="37504" spans="1:4" ht="15.75" customHeight="1">
      <c r="A37504" s="8"/>
      <c r="B37504" s="12"/>
      <c r="C37504" s="8"/>
      <c r="D37504" s="8"/>
    </row>
    <row r="37505" spans="1:4" ht="15.75" customHeight="1">
      <c r="A37505" s="8"/>
      <c r="B37505" s="12"/>
      <c r="C37505" s="8"/>
      <c r="D37505" s="8"/>
    </row>
    <row r="37506" spans="1:4" ht="15.75" customHeight="1">
      <c r="A37506" s="8"/>
      <c r="B37506" s="12"/>
      <c r="C37506" s="8"/>
      <c r="D37506" s="8"/>
    </row>
    <row r="37507" spans="1:4" ht="15.75" customHeight="1">
      <c r="A37507" s="8"/>
      <c r="B37507" s="12"/>
      <c r="C37507" s="8"/>
      <c r="D37507" s="8"/>
    </row>
    <row r="37508" spans="1:4" ht="15.75" customHeight="1">
      <c r="A37508" s="8"/>
      <c r="B37508" s="12"/>
      <c r="C37508" s="8"/>
      <c r="D37508" s="8"/>
    </row>
    <row r="37509" spans="1:4" ht="15.75" customHeight="1">
      <c r="A37509" s="8"/>
      <c r="B37509" s="12"/>
      <c r="C37509" s="8"/>
      <c r="D37509" s="8"/>
    </row>
    <row r="37510" spans="1:4" ht="15.75" customHeight="1">
      <c r="A37510" s="8"/>
      <c r="B37510" s="12"/>
      <c r="C37510" s="8"/>
      <c r="D37510" s="8"/>
    </row>
    <row r="37511" spans="1:4" ht="15.75" customHeight="1">
      <c r="A37511" s="8"/>
      <c r="B37511" s="12"/>
      <c r="C37511" s="8"/>
      <c r="D37511" s="8"/>
    </row>
    <row r="37512" spans="1:4" ht="15.75" customHeight="1">
      <c r="A37512" s="8"/>
      <c r="B37512" s="12"/>
      <c r="C37512" s="8"/>
      <c r="D37512" s="8"/>
    </row>
    <row r="37513" spans="1:4" ht="15.75" customHeight="1">
      <c r="A37513" s="8"/>
      <c r="B37513" s="12"/>
      <c r="C37513" s="8"/>
      <c r="D37513" s="8"/>
    </row>
    <row r="37514" spans="1:4" ht="15.75" customHeight="1">
      <c r="A37514" s="8"/>
      <c r="B37514" s="12"/>
      <c r="C37514" s="8"/>
      <c r="D37514" s="8"/>
    </row>
    <row r="37515" spans="1:4" ht="15.75" customHeight="1">
      <c r="A37515" s="8"/>
      <c r="B37515" s="12"/>
      <c r="C37515" s="8"/>
      <c r="D37515" s="8"/>
    </row>
    <row r="37516" spans="1:4" ht="15.75" customHeight="1">
      <c r="A37516" s="8"/>
      <c r="B37516" s="12"/>
      <c r="C37516" s="8"/>
      <c r="D37516" s="8"/>
    </row>
    <row r="37517" spans="1:4" ht="15.75" customHeight="1">
      <c r="A37517" s="8"/>
      <c r="B37517" s="12"/>
      <c r="C37517" s="8"/>
      <c r="D37517" s="8"/>
    </row>
    <row r="37518" spans="1:4" ht="15.75" customHeight="1">
      <c r="A37518" s="8"/>
      <c r="B37518" s="12"/>
      <c r="C37518" s="8"/>
      <c r="D37518" s="8"/>
    </row>
    <row r="37519" spans="1:4" ht="15.75" customHeight="1">
      <c r="A37519" s="8"/>
      <c r="B37519" s="12"/>
      <c r="C37519" s="8"/>
      <c r="D37519" s="8"/>
    </row>
    <row r="37520" spans="1:4" ht="15.75" customHeight="1">
      <c r="A37520" s="8"/>
      <c r="B37520" s="12"/>
      <c r="C37520" s="8"/>
      <c r="D37520" s="8"/>
    </row>
    <row r="37521" spans="1:4" ht="15.75" customHeight="1">
      <c r="A37521" s="8"/>
      <c r="B37521" s="12"/>
      <c r="C37521" s="8"/>
      <c r="D37521" s="8"/>
    </row>
    <row r="37522" spans="1:4" ht="15.75" customHeight="1">
      <c r="A37522" s="8"/>
      <c r="B37522" s="12"/>
      <c r="C37522" s="8"/>
      <c r="D37522" s="8"/>
    </row>
    <row r="37523" spans="1:4" ht="15.75" customHeight="1">
      <c r="A37523" s="8"/>
      <c r="B37523" s="12"/>
      <c r="C37523" s="8"/>
      <c r="D37523" s="8"/>
    </row>
    <row r="37524" spans="1:4" ht="15.75" customHeight="1">
      <c r="A37524" s="8"/>
      <c r="B37524" s="12"/>
      <c r="C37524" s="8"/>
      <c r="D37524" s="8"/>
    </row>
    <row r="37525" spans="1:4" ht="15.75" customHeight="1">
      <c r="A37525" s="8"/>
      <c r="B37525" s="12"/>
      <c r="C37525" s="8"/>
      <c r="D37525" s="8"/>
    </row>
    <row r="37526" spans="1:4" ht="15.75" customHeight="1">
      <c r="A37526" s="8"/>
      <c r="B37526" s="12"/>
      <c r="C37526" s="8"/>
      <c r="D37526" s="8"/>
    </row>
    <row r="37527" spans="1:4" ht="15.75" customHeight="1">
      <c r="A37527" s="8"/>
      <c r="B37527" s="12"/>
      <c r="C37527" s="8"/>
      <c r="D37527" s="8"/>
    </row>
    <row r="37528" spans="1:4" ht="15.75" customHeight="1">
      <c r="A37528" s="8"/>
      <c r="B37528" s="12"/>
      <c r="C37528" s="8"/>
      <c r="D37528" s="8"/>
    </row>
    <row r="37529" spans="1:4" ht="15.75" customHeight="1">
      <c r="A37529" s="8"/>
      <c r="B37529" s="12"/>
      <c r="C37529" s="8"/>
      <c r="D37529" s="8"/>
    </row>
    <row r="37530" spans="1:4" ht="15.75" customHeight="1">
      <c r="A37530" s="8"/>
      <c r="B37530" s="12"/>
      <c r="C37530" s="8"/>
      <c r="D37530" s="8"/>
    </row>
    <row r="37531" spans="1:4" ht="15.75" customHeight="1">
      <c r="A37531" s="8"/>
      <c r="B37531" s="12"/>
      <c r="C37531" s="8"/>
      <c r="D37531" s="8"/>
    </row>
    <row r="37532" spans="1:4" ht="15.75" customHeight="1">
      <c r="A37532" s="8"/>
      <c r="B37532" s="12"/>
      <c r="C37532" s="8"/>
      <c r="D37532" s="8"/>
    </row>
    <row r="37533" spans="1:4" ht="15.75" customHeight="1">
      <c r="A37533" s="8"/>
      <c r="B37533" s="12"/>
      <c r="C37533" s="8"/>
      <c r="D37533" s="8"/>
    </row>
    <row r="37534" spans="1:4" ht="15.75" customHeight="1">
      <c r="A37534" s="8"/>
      <c r="B37534" s="12"/>
      <c r="C37534" s="8"/>
      <c r="D37534" s="8"/>
    </row>
    <row r="37535" spans="1:4" ht="15.75" customHeight="1">
      <c r="A37535" s="8"/>
      <c r="B37535" s="12"/>
      <c r="C37535" s="8"/>
      <c r="D37535" s="8"/>
    </row>
    <row r="37536" spans="1:4" ht="15.75" customHeight="1">
      <c r="A37536" s="8"/>
      <c r="B37536" s="12"/>
      <c r="C37536" s="8"/>
      <c r="D37536" s="8"/>
    </row>
    <row r="37537" spans="1:4" ht="15.75" customHeight="1">
      <c r="A37537" s="8"/>
      <c r="B37537" s="12"/>
      <c r="C37537" s="8"/>
      <c r="D37537" s="8"/>
    </row>
    <row r="37538" spans="1:4" ht="15.75" customHeight="1">
      <c r="A37538" s="8"/>
      <c r="B37538" s="12"/>
      <c r="C37538" s="8"/>
      <c r="D37538" s="8"/>
    </row>
    <row r="37539" spans="1:4" ht="15.75" customHeight="1">
      <c r="A37539" s="8"/>
      <c r="B37539" s="12"/>
      <c r="C37539" s="8"/>
      <c r="D37539" s="8"/>
    </row>
    <row r="37540" spans="1:4" ht="15.75" customHeight="1">
      <c r="A37540" s="8"/>
      <c r="B37540" s="12"/>
      <c r="C37540" s="8"/>
      <c r="D37540" s="8"/>
    </row>
    <row r="37541" spans="1:4" ht="15.75" customHeight="1">
      <c r="A37541" s="8"/>
      <c r="B37541" s="12"/>
      <c r="C37541" s="8"/>
      <c r="D37541" s="8"/>
    </row>
    <row r="37542" spans="1:4" ht="15.75" customHeight="1">
      <c r="A37542" s="8"/>
      <c r="B37542" s="12"/>
      <c r="C37542" s="8"/>
      <c r="D37542" s="8"/>
    </row>
    <row r="37543" spans="1:4" ht="15.75" customHeight="1">
      <c r="A37543" s="8"/>
      <c r="B37543" s="12"/>
      <c r="C37543" s="8"/>
      <c r="D37543" s="8"/>
    </row>
    <row r="37544" spans="1:4" ht="15.75" customHeight="1">
      <c r="A37544" s="8"/>
      <c r="B37544" s="12"/>
      <c r="C37544" s="8"/>
      <c r="D37544" s="8"/>
    </row>
    <row r="37545" spans="1:4" ht="15.75" customHeight="1">
      <c r="A37545" s="8"/>
      <c r="B37545" s="12"/>
      <c r="C37545" s="8"/>
      <c r="D37545" s="8"/>
    </row>
    <row r="37546" spans="1:4" ht="15.75" customHeight="1">
      <c r="A37546" s="8"/>
      <c r="B37546" s="12"/>
      <c r="C37546" s="8"/>
      <c r="D37546" s="8"/>
    </row>
    <row r="37547" spans="1:4" ht="15.75" customHeight="1">
      <c r="A37547" s="8"/>
      <c r="B37547" s="12"/>
      <c r="C37547" s="8"/>
      <c r="D37547" s="8"/>
    </row>
    <row r="37548" spans="1:4" ht="15.75" customHeight="1">
      <c r="A37548" s="8"/>
      <c r="B37548" s="12"/>
      <c r="C37548" s="8"/>
      <c r="D37548" s="8"/>
    </row>
    <row r="37549" spans="1:4" ht="15.75" customHeight="1">
      <c r="A37549" s="8"/>
      <c r="B37549" s="12"/>
      <c r="C37549" s="8"/>
      <c r="D37549" s="8"/>
    </row>
    <row r="37550" spans="1:4" ht="15.75" customHeight="1">
      <c r="A37550" s="8"/>
      <c r="B37550" s="12"/>
      <c r="C37550" s="8"/>
      <c r="D37550" s="8"/>
    </row>
    <row r="37551" spans="1:4" ht="15.75" customHeight="1">
      <c r="A37551" s="8"/>
      <c r="B37551" s="12"/>
      <c r="C37551" s="8"/>
      <c r="D37551" s="8"/>
    </row>
    <row r="37552" spans="1:4" ht="15.75" customHeight="1">
      <c r="A37552" s="8"/>
      <c r="B37552" s="12"/>
      <c r="C37552" s="8"/>
      <c r="D37552" s="8"/>
    </row>
    <row r="37553" spans="1:4" ht="15.75" customHeight="1">
      <c r="A37553" s="8"/>
      <c r="B37553" s="12"/>
      <c r="C37553" s="8"/>
      <c r="D37553" s="8"/>
    </row>
    <row r="37554" spans="1:4" ht="15.75" customHeight="1">
      <c r="A37554" s="8"/>
      <c r="B37554" s="12"/>
      <c r="C37554" s="8"/>
      <c r="D37554" s="8"/>
    </row>
    <row r="37555" spans="1:4" ht="15.75" customHeight="1">
      <c r="A37555" s="8"/>
      <c r="B37555" s="12"/>
      <c r="C37555" s="8"/>
      <c r="D37555" s="8"/>
    </row>
    <row r="37556" spans="1:4" ht="15.75" customHeight="1">
      <c r="A37556" s="8"/>
      <c r="B37556" s="12"/>
      <c r="C37556" s="8"/>
      <c r="D37556" s="8"/>
    </row>
    <row r="37557" spans="1:4" ht="15.75" customHeight="1">
      <c r="A37557" s="8"/>
      <c r="B37557" s="12"/>
      <c r="C37557" s="8"/>
      <c r="D37557" s="8"/>
    </row>
    <row r="37558" spans="1:4" ht="15.75" customHeight="1">
      <c r="A37558" s="8"/>
      <c r="B37558" s="12"/>
      <c r="C37558" s="8"/>
      <c r="D37558" s="8"/>
    </row>
    <row r="37559" spans="1:4" ht="15.75" customHeight="1">
      <c r="A37559" s="8"/>
      <c r="B37559" s="12"/>
      <c r="C37559" s="8"/>
      <c r="D37559" s="8"/>
    </row>
    <row r="37560" spans="1:4" ht="15.75" customHeight="1">
      <c r="A37560" s="8"/>
      <c r="B37560" s="12"/>
      <c r="C37560" s="8"/>
      <c r="D37560" s="8"/>
    </row>
    <row r="37561" spans="1:4" ht="15.75" customHeight="1">
      <c r="A37561" s="8"/>
      <c r="B37561" s="12"/>
      <c r="C37561" s="8"/>
      <c r="D37561" s="8"/>
    </row>
    <row r="37562" spans="1:4" ht="15.75" customHeight="1">
      <c r="A37562" s="8"/>
      <c r="B37562" s="12"/>
      <c r="C37562" s="8"/>
      <c r="D37562" s="8"/>
    </row>
    <row r="37563" spans="1:4" ht="15.75" customHeight="1">
      <c r="A37563" s="8"/>
      <c r="B37563" s="12"/>
      <c r="C37563" s="8"/>
      <c r="D37563" s="8"/>
    </row>
    <row r="37564" spans="1:4" ht="15.75" customHeight="1">
      <c r="A37564" s="8"/>
      <c r="B37564" s="12"/>
      <c r="C37564" s="8"/>
      <c r="D37564" s="8"/>
    </row>
    <row r="37565" spans="1:4" ht="15.75" customHeight="1">
      <c r="A37565" s="8"/>
      <c r="B37565" s="12"/>
      <c r="C37565" s="8"/>
      <c r="D37565" s="8"/>
    </row>
    <row r="37566" spans="1:4" ht="15.75" customHeight="1">
      <c r="A37566" s="8"/>
      <c r="B37566" s="12"/>
      <c r="C37566" s="8"/>
      <c r="D37566" s="8"/>
    </row>
    <row r="37567" spans="1:4" ht="15.75" customHeight="1">
      <c r="A37567" s="8"/>
      <c r="B37567" s="12"/>
      <c r="C37567" s="8"/>
      <c r="D37567" s="8"/>
    </row>
    <row r="37568" spans="1:4" ht="15.75" customHeight="1">
      <c r="A37568" s="8"/>
      <c r="B37568" s="12"/>
      <c r="C37568" s="8"/>
      <c r="D37568" s="8"/>
    </row>
    <row r="37569" spans="1:4" ht="15.75" customHeight="1">
      <c r="A37569" s="8"/>
      <c r="B37569" s="12"/>
      <c r="C37569" s="8"/>
      <c r="D37569" s="8"/>
    </row>
    <row r="37570" spans="1:4" ht="15.75" customHeight="1">
      <c r="A37570" s="8"/>
      <c r="B37570" s="12"/>
      <c r="C37570" s="8"/>
      <c r="D37570" s="8"/>
    </row>
    <row r="37571" spans="1:4" ht="15.75" customHeight="1">
      <c r="A37571" s="8"/>
      <c r="B37571" s="12"/>
      <c r="C37571" s="8"/>
      <c r="D37571" s="8"/>
    </row>
    <row r="37572" spans="1:4" ht="15.75" customHeight="1">
      <c r="A37572" s="8"/>
      <c r="B37572" s="12"/>
      <c r="C37572" s="8"/>
      <c r="D37572" s="8"/>
    </row>
    <row r="37573" spans="1:4" ht="15.75" customHeight="1">
      <c r="A37573" s="8"/>
      <c r="B37573" s="12"/>
      <c r="C37573" s="8"/>
      <c r="D37573" s="8"/>
    </row>
    <row r="37574" spans="1:4" ht="15.75" customHeight="1">
      <c r="A37574" s="8"/>
      <c r="B37574" s="12"/>
      <c r="C37574" s="8"/>
      <c r="D37574" s="8"/>
    </row>
    <row r="37575" spans="1:4" ht="15.75" customHeight="1">
      <c r="A37575" s="8"/>
      <c r="B37575" s="12"/>
      <c r="C37575" s="8"/>
      <c r="D37575" s="8"/>
    </row>
    <row r="37576" spans="1:4" ht="15.75" customHeight="1">
      <c r="A37576" s="8"/>
      <c r="B37576" s="12"/>
      <c r="C37576" s="8"/>
      <c r="D37576" s="8"/>
    </row>
    <row r="37577" spans="1:4" ht="15.75" customHeight="1">
      <c r="A37577" s="8"/>
      <c r="B37577" s="12"/>
      <c r="C37577" s="8"/>
      <c r="D37577" s="8"/>
    </row>
    <row r="37578" spans="1:4" ht="15.75" customHeight="1">
      <c r="A37578" s="8"/>
      <c r="B37578" s="12"/>
      <c r="C37578" s="8"/>
      <c r="D37578" s="8"/>
    </row>
    <row r="37579" spans="1:4" ht="15.75" customHeight="1">
      <c r="A37579" s="8"/>
      <c r="B37579" s="12"/>
      <c r="C37579" s="8"/>
      <c r="D37579" s="8"/>
    </row>
    <row r="37580" spans="1:4" ht="15.75" customHeight="1">
      <c r="A37580" s="8"/>
      <c r="B37580" s="12"/>
      <c r="C37580" s="8"/>
      <c r="D37580" s="8"/>
    </row>
    <row r="37581" spans="1:4" ht="15.75" customHeight="1">
      <c r="A37581" s="8"/>
      <c r="B37581" s="12"/>
      <c r="C37581" s="8"/>
      <c r="D37581" s="8"/>
    </row>
    <row r="37582" spans="1:4" ht="15.75" customHeight="1">
      <c r="A37582" s="8"/>
      <c r="B37582" s="12"/>
      <c r="C37582" s="8"/>
      <c r="D37582" s="8"/>
    </row>
    <row r="37583" spans="1:4" ht="15.75" customHeight="1">
      <c r="A37583" s="8"/>
      <c r="B37583" s="12"/>
      <c r="C37583" s="8"/>
      <c r="D37583" s="8"/>
    </row>
    <row r="37584" spans="1:4" ht="15.75" customHeight="1">
      <c r="A37584" s="8"/>
      <c r="B37584" s="12"/>
      <c r="C37584" s="8"/>
      <c r="D37584" s="8"/>
    </row>
    <row r="37585" spans="1:4" ht="15.75" customHeight="1">
      <c r="A37585" s="8"/>
      <c r="B37585" s="12"/>
      <c r="C37585" s="8"/>
      <c r="D37585" s="8"/>
    </row>
    <row r="37586" spans="1:4" ht="15.75" customHeight="1">
      <c r="A37586" s="8"/>
      <c r="B37586" s="12"/>
      <c r="C37586" s="8"/>
      <c r="D37586" s="8"/>
    </row>
    <row r="37587" spans="1:4" ht="15.75" customHeight="1">
      <c r="A37587" s="8"/>
      <c r="B37587" s="12"/>
      <c r="C37587" s="8"/>
      <c r="D37587" s="8"/>
    </row>
    <row r="37588" spans="1:4" ht="15.75" customHeight="1">
      <c r="A37588" s="8"/>
      <c r="B37588" s="12"/>
      <c r="C37588" s="8"/>
      <c r="D37588" s="8"/>
    </row>
    <row r="37589" spans="1:4" ht="15.75" customHeight="1">
      <c r="A37589" s="8"/>
      <c r="B37589" s="12"/>
      <c r="C37589" s="8"/>
      <c r="D37589" s="8"/>
    </row>
    <row r="37590" spans="1:4" ht="15.75" customHeight="1">
      <c r="A37590" s="8"/>
      <c r="B37590" s="12"/>
      <c r="C37590" s="8"/>
      <c r="D37590" s="8"/>
    </row>
    <row r="37591" spans="1:4" ht="15.75" customHeight="1">
      <c r="A37591" s="8"/>
      <c r="B37591" s="12"/>
      <c r="C37591" s="8"/>
      <c r="D37591" s="8"/>
    </row>
    <row r="37592" spans="1:4" ht="15.75" customHeight="1">
      <c r="A37592" s="8"/>
      <c r="B37592" s="12"/>
      <c r="C37592" s="8"/>
      <c r="D37592" s="8"/>
    </row>
    <row r="37593" spans="1:4" ht="15.75" customHeight="1">
      <c r="A37593" s="8"/>
      <c r="B37593" s="12"/>
      <c r="C37593" s="8"/>
      <c r="D37593" s="8"/>
    </row>
    <row r="37594" spans="1:4" ht="15.75" customHeight="1">
      <c r="A37594" s="8"/>
      <c r="B37594" s="12"/>
      <c r="C37594" s="8"/>
      <c r="D37594" s="8"/>
    </row>
    <row r="37595" spans="1:4" ht="15.75" customHeight="1">
      <c r="A37595" s="8"/>
      <c r="B37595" s="12"/>
      <c r="C37595" s="8"/>
      <c r="D37595" s="8"/>
    </row>
    <row r="37596" spans="1:4" ht="15.75" customHeight="1">
      <c r="A37596" s="8"/>
      <c r="B37596" s="12"/>
      <c r="C37596" s="8"/>
      <c r="D37596" s="8"/>
    </row>
    <row r="37597" spans="1:4" ht="15.75" customHeight="1">
      <c r="A37597" s="8"/>
      <c r="B37597" s="12"/>
      <c r="C37597" s="8"/>
      <c r="D37597" s="8"/>
    </row>
    <row r="37598" spans="1:4" ht="15.75" customHeight="1">
      <c r="A37598" s="8"/>
      <c r="B37598" s="12"/>
      <c r="C37598" s="8"/>
      <c r="D37598" s="8"/>
    </row>
    <row r="37599" spans="1:4" ht="15.75" customHeight="1">
      <c r="A37599" s="8"/>
      <c r="B37599" s="12"/>
      <c r="C37599" s="8"/>
      <c r="D37599" s="8"/>
    </row>
    <row r="37600" spans="1:4" ht="15.75" customHeight="1">
      <c r="A37600" s="8"/>
      <c r="B37600" s="12"/>
      <c r="C37600" s="8"/>
      <c r="D37600" s="8"/>
    </row>
    <row r="37601" spans="1:4" ht="15.75" customHeight="1">
      <c r="A37601" s="8"/>
      <c r="B37601" s="12"/>
      <c r="C37601" s="8"/>
      <c r="D37601" s="8"/>
    </row>
    <row r="37602" spans="1:4" ht="15.75" customHeight="1">
      <c r="A37602" s="8"/>
      <c r="B37602" s="12"/>
      <c r="C37602" s="8"/>
      <c r="D37602" s="8"/>
    </row>
    <row r="37603" spans="1:4" ht="15.75" customHeight="1">
      <c r="A37603" s="8"/>
      <c r="B37603" s="12"/>
      <c r="C37603" s="8"/>
      <c r="D37603" s="8"/>
    </row>
    <row r="37604" spans="1:4" ht="15.75" customHeight="1">
      <c r="A37604" s="8"/>
      <c r="B37604" s="12"/>
      <c r="C37604" s="8"/>
      <c r="D37604" s="8"/>
    </row>
    <row r="37605" spans="1:4" ht="15.75" customHeight="1">
      <c r="A37605" s="8"/>
      <c r="B37605" s="12"/>
      <c r="C37605" s="8"/>
      <c r="D37605" s="8"/>
    </row>
    <row r="37606" spans="1:4" ht="15.75" customHeight="1">
      <c r="A37606" s="8"/>
      <c r="B37606" s="12"/>
      <c r="C37606" s="8"/>
      <c r="D37606" s="8"/>
    </row>
    <row r="37607" spans="1:4" ht="15.75" customHeight="1">
      <c r="A37607" s="8"/>
      <c r="B37607" s="12"/>
      <c r="C37607" s="8"/>
      <c r="D37607" s="8"/>
    </row>
    <row r="37608" spans="1:4" ht="15.75" customHeight="1">
      <c r="A37608" s="8"/>
      <c r="B37608" s="12"/>
      <c r="C37608" s="8"/>
      <c r="D37608" s="8"/>
    </row>
    <row r="37609" spans="1:4" ht="15.75" customHeight="1">
      <c r="A37609" s="8"/>
      <c r="B37609" s="12"/>
      <c r="C37609" s="8"/>
      <c r="D37609" s="8"/>
    </row>
    <row r="37610" spans="1:4" ht="15.75" customHeight="1">
      <c r="A37610" s="8"/>
      <c r="B37610" s="12"/>
      <c r="C37610" s="8"/>
      <c r="D37610" s="8"/>
    </row>
    <row r="37611" spans="1:4" ht="15.75" customHeight="1">
      <c r="A37611" s="8"/>
      <c r="B37611" s="12"/>
      <c r="C37611" s="8"/>
      <c r="D37611" s="8"/>
    </row>
    <row r="37612" spans="1:4" ht="15.75" customHeight="1">
      <c r="A37612" s="8"/>
      <c r="B37612" s="12"/>
      <c r="C37612" s="8"/>
      <c r="D37612" s="8"/>
    </row>
    <row r="37613" spans="1:4" ht="15.75" customHeight="1">
      <c r="A37613" s="8"/>
      <c r="B37613" s="12"/>
      <c r="C37613" s="8"/>
      <c r="D37613" s="8"/>
    </row>
    <row r="37614" spans="1:4" ht="15.75" customHeight="1">
      <c r="A37614" s="8"/>
      <c r="B37614" s="12"/>
      <c r="C37614" s="8"/>
      <c r="D37614" s="8"/>
    </row>
    <row r="37615" spans="1:4" ht="15.75" customHeight="1">
      <c r="A37615" s="8"/>
      <c r="B37615" s="12"/>
      <c r="C37615" s="8"/>
      <c r="D37615" s="8"/>
    </row>
    <row r="37616" spans="1:4" ht="15.75" customHeight="1">
      <c r="A37616" s="8"/>
      <c r="B37616" s="12"/>
      <c r="C37616" s="8"/>
      <c r="D37616" s="8"/>
    </row>
    <row r="37617" spans="1:4" ht="15.75" customHeight="1">
      <c r="A37617" s="8"/>
      <c r="B37617" s="12"/>
      <c r="C37617" s="8"/>
      <c r="D37617" s="8"/>
    </row>
    <row r="37618" spans="1:4" ht="15.75" customHeight="1">
      <c r="A37618" s="8"/>
      <c r="B37618" s="12"/>
      <c r="C37618" s="8"/>
      <c r="D37618" s="8"/>
    </row>
    <row r="37619" spans="1:4" ht="15.75" customHeight="1">
      <c r="A37619" s="8"/>
      <c r="B37619" s="12"/>
      <c r="C37619" s="8"/>
      <c r="D37619" s="8"/>
    </row>
    <row r="37620" spans="1:4" ht="15.75" customHeight="1">
      <c r="A37620" s="8"/>
      <c r="B37620" s="12"/>
      <c r="C37620" s="8"/>
      <c r="D37620" s="8"/>
    </row>
    <row r="37621" spans="1:4" ht="15.75" customHeight="1">
      <c r="A37621" s="8"/>
      <c r="B37621" s="12"/>
      <c r="C37621" s="8"/>
      <c r="D37621" s="8"/>
    </row>
    <row r="37622" spans="1:4" ht="15.75" customHeight="1">
      <c r="A37622" s="8"/>
      <c r="B37622" s="12"/>
      <c r="C37622" s="8"/>
      <c r="D37622" s="8"/>
    </row>
    <row r="37623" spans="1:4" ht="15.75" customHeight="1">
      <c r="A37623" s="8"/>
      <c r="B37623" s="12"/>
      <c r="C37623" s="8"/>
      <c r="D37623" s="8"/>
    </row>
    <row r="37624" spans="1:4" ht="15.75" customHeight="1">
      <c r="A37624" s="8"/>
      <c r="B37624" s="12"/>
      <c r="C37624" s="8"/>
      <c r="D37624" s="8"/>
    </row>
    <row r="37625" spans="1:4" ht="15.75" customHeight="1">
      <c r="A37625" s="8"/>
      <c r="B37625" s="12"/>
      <c r="C37625" s="8"/>
      <c r="D37625" s="8"/>
    </row>
    <row r="37626" spans="1:4" ht="15.75" customHeight="1">
      <c r="A37626" s="8"/>
      <c r="B37626" s="12"/>
      <c r="C37626" s="8"/>
      <c r="D37626" s="8"/>
    </row>
    <row r="37627" spans="1:4" ht="15.75" customHeight="1">
      <c r="A37627" s="8"/>
      <c r="B37627" s="12"/>
      <c r="C37627" s="8"/>
      <c r="D37627" s="8"/>
    </row>
    <row r="37628" spans="1:4" ht="15.75" customHeight="1">
      <c r="A37628" s="8"/>
      <c r="B37628" s="12"/>
      <c r="C37628" s="8"/>
      <c r="D37628" s="8"/>
    </row>
    <row r="37629" spans="1:4" ht="15.75" customHeight="1">
      <c r="A37629" s="8"/>
      <c r="B37629" s="12"/>
      <c r="C37629" s="8"/>
      <c r="D37629" s="8"/>
    </row>
    <row r="37630" spans="1:4" ht="15.75" customHeight="1">
      <c r="A37630" s="8"/>
      <c r="B37630" s="12"/>
      <c r="C37630" s="8"/>
      <c r="D37630" s="8"/>
    </row>
    <row r="37631" spans="1:4" ht="15.75" customHeight="1">
      <c r="A37631" s="8"/>
      <c r="B37631" s="12"/>
      <c r="C37631" s="8"/>
      <c r="D37631" s="8"/>
    </row>
    <row r="37632" spans="1:4" ht="15.75" customHeight="1">
      <c r="A37632" s="8"/>
      <c r="B37632" s="12"/>
      <c r="C37632" s="8"/>
      <c r="D37632" s="8"/>
    </row>
    <row r="37633" spans="1:4" ht="15.75" customHeight="1">
      <c r="A37633" s="8"/>
      <c r="B37633" s="12"/>
      <c r="C37633" s="8"/>
      <c r="D37633" s="8"/>
    </row>
    <row r="37634" spans="1:4" ht="15.75" customHeight="1">
      <c r="A37634" s="8"/>
      <c r="B37634" s="12"/>
      <c r="C37634" s="8"/>
      <c r="D37634" s="8"/>
    </row>
    <row r="37635" spans="1:4" ht="15.75" customHeight="1">
      <c r="A37635" s="8"/>
      <c r="B37635" s="12"/>
      <c r="C37635" s="8"/>
      <c r="D37635" s="8"/>
    </row>
    <row r="37636" spans="1:4" ht="15.75" customHeight="1">
      <c r="A37636" s="8"/>
      <c r="B37636" s="12"/>
      <c r="C37636" s="8"/>
      <c r="D37636" s="8"/>
    </row>
    <row r="37637" spans="1:4" ht="15.75" customHeight="1">
      <c r="A37637" s="8"/>
      <c r="B37637" s="12"/>
      <c r="C37637" s="8"/>
      <c r="D37637" s="8"/>
    </row>
    <row r="37638" spans="1:4" ht="15.75" customHeight="1">
      <c r="A37638" s="8"/>
      <c r="B37638" s="12"/>
      <c r="C37638" s="8"/>
      <c r="D37638" s="8"/>
    </row>
    <row r="37639" spans="1:4" ht="15.75" customHeight="1">
      <c r="A37639" s="8"/>
      <c r="B37639" s="12"/>
      <c r="C37639" s="8"/>
      <c r="D37639" s="8"/>
    </row>
    <row r="37640" spans="1:4" ht="15.75" customHeight="1">
      <c r="A37640" s="8"/>
      <c r="B37640" s="12"/>
      <c r="C37640" s="8"/>
      <c r="D37640" s="8"/>
    </row>
    <row r="37641" spans="1:4" ht="15.75" customHeight="1">
      <c r="A37641" s="8"/>
      <c r="B37641" s="12"/>
      <c r="C37641" s="8"/>
      <c r="D37641" s="8"/>
    </row>
    <row r="37642" spans="1:4" ht="15.75" customHeight="1">
      <c r="A37642" s="8"/>
      <c r="B37642" s="12"/>
      <c r="C37642" s="8"/>
      <c r="D37642" s="8"/>
    </row>
    <row r="37643" spans="1:4" ht="15.75" customHeight="1">
      <c r="A37643" s="8"/>
      <c r="B37643" s="12"/>
      <c r="C37643" s="8"/>
      <c r="D37643" s="8"/>
    </row>
    <row r="37644" spans="1:4" ht="15.75" customHeight="1">
      <c r="A37644" s="8"/>
      <c r="B37644" s="12"/>
      <c r="C37644" s="8"/>
      <c r="D37644" s="8"/>
    </row>
    <row r="37645" spans="1:4" ht="15.75" customHeight="1">
      <c r="A37645" s="8"/>
      <c r="B37645" s="12"/>
      <c r="C37645" s="8"/>
      <c r="D37645" s="8"/>
    </row>
    <row r="37646" spans="1:4" ht="15.75" customHeight="1">
      <c r="A37646" s="8"/>
      <c r="B37646" s="12"/>
      <c r="C37646" s="8"/>
      <c r="D37646" s="8"/>
    </row>
    <row r="37647" spans="1:4" ht="15.75" customHeight="1">
      <c r="A37647" s="8"/>
      <c r="B37647" s="12"/>
      <c r="C37647" s="8"/>
      <c r="D37647" s="8"/>
    </row>
    <row r="37648" spans="1:4" ht="15.75" customHeight="1">
      <c r="A37648" s="8"/>
      <c r="B37648" s="12"/>
      <c r="C37648" s="8"/>
      <c r="D37648" s="8"/>
    </row>
    <row r="37649" spans="1:4" ht="15.75" customHeight="1">
      <c r="A37649" s="8"/>
      <c r="B37649" s="12"/>
      <c r="C37649" s="8"/>
      <c r="D37649" s="8"/>
    </row>
    <row r="37650" spans="1:4" ht="15.75" customHeight="1">
      <c r="A37650" s="8"/>
      <c r="B37650" s="12"/>
      <c r="C37650" s="8"/>
      <c r="D37650" s="8"/>
    </row>
    <row r="37651" spans="1:4" ht="15.75" customHeight="1">
      <c r="A37651" s="8"/>
      <c r="B37651" s="12"/>
      <c r="C37651" s="8"/>
      <c r="D37651" s="8"/>
    </row>
    <row r="37652" spans="1:4" ht="15.75" customHeight="1">
      <c r="A37652" s="8"/>
      <c r="B37652" s="12"/>
      <c r="C37652" s="8"/>
      <c r="D37652" s="8"/>
    </row>
    <row r="37653" spans="1:4" ht="15.75" customHeight="1">
      <c r="A37653" s="8"/>
      <c r="B37653" s="12"/>
      <c r="C37653" s="8"/>
      <c r="D37653" s="8"/>
    </row>
    <row r="37654" spans="1:4" ht="15.75" customHeight="1">
      <c r="A37654" s="8"/>
      <c r="B37654" s="12"/>
      <c r="C37654" s="8"/>
      <c r="D37654" s="8"/>
    </row>
    <row r="37655" spans="1:4" ht="15.75" customHeight="1">
      <c r="A37655" s="8"/>
      <c r="B37655" s="12"/>
      <c r="C37655" s="8"/>
      <c r="D37655" s="8"/>
    </row>
    <row r="37656" spans="1:4" ht="15.75" customHeight="1">
      <c r="A37656" s="8"/>
      <c r="B37656" s="12"/>
      <c r="C37656" s="8"/>
      <c r="D37656" s="8"/>
    </row>
    <row r="37657" spans="1:4" ht="15.75" customHeight="1">
      <c r="A37657" s="8"/>
      <c r="B37657" s="12"/>
      <c r="C37657" s="8"/>
      <c r="D37657" s="8"/>
    </row>
    <row r="37658" spans="1:4" ht="15.75" customHeight="1">
      <c r="A37658" s="8"/>
      <c r="B37658" s="12"/>
      <c r="C37658" s="8"/>
      <c r="D37658" s="8"/>
    </row>
    <row r="37659" spans="1:4" ht="15.75" customHeight="1">
      <c r="A37659" s="8"/>
      <c r="B37659" s="12"/>
      <c r="C37659" s="8"/>
      <c r="D37659" s="8"/>
    </row>
    <row r="37660" spans="1:4" ht="15.75" customHeight="1">
      <c r="A37660" s="8"/>
      <c r="B37660" s="12"/>
      <c r="C37660" s="8"/>
      <c r="D37660" s="8"/>
    </row>
    <row r="37661" spans="1:4" ht="15.75" customHeight="1">
      <c r="A37661" s="8"/>
      <c r="B37661" s="12"/>
      <c r="C37661" s="8"/>
      <c r="D37661" s="8"/>
    </row>
    <row r="37662" spans="1:4" ht="15.75" customHeight="1">
      <c r="A37662" s="8"/>
      <c r="B37662" s="12"/>
      <c r="C37662" s="8"/>
      <c r="D37662" s="8"/>
    </row>
    <row r="37663" spans="1:4" ht="15.75" customHeight="1">
      <c r="A37663" s="8"/>
      <c r="B37663" s="12"/>
      <c r="C37663" s="8"/>
      <c r="D37663" s="8"/>
    </row>
    <row r="37664" spans="1:4" ht="15.75" customHeight="1">
      <c r="A37664" s="8"/>
      <c r="B37664" s="12"/>
      <c r="C37664" s="8"/>
      <c r="D37664" s="8"/>
    </row>
    <row r="37665" spans="1:4" ht="15.75" customHeight="1">
      <c r="A37665" s="8"/>
      <c r="B37665" s="12"/>
      <c r="C37665" s="8"/>
      <c r="D37665" s="8"/>
    </row>
    <row r="37666" spans="1:4" ht="15.75" customHeight="1">
      <c r="A37666" s="8"/>
      <c r="B37666" s="12"/>
      <c r="C37666" s="8"/>
      <c r="D37666" s="8"/>
    </row>
    <row r="37667" spans="1:4" ht="15.75" customHeight="1">
      <c r="A37667" s="8"/>
      <c r="B37667" s="12"/>
      <c r="C37667" s="8"/>
      <c r="D37667" s="8"/>
    </row>
    <row r="37668" spans="1:4" ht="15.75" customHeight="1">
      <c r="A37668" s="8"/>
      <c r="B37668" s="12"/>
      <c r="C37668" s="8"/>
      <c r="D37668" s="8"/>
    </row>
    <row r="37669" spans="1:4" ht="15.75" customHeight="1">
      <c r="A37669" s="8"/>
      <c r="B37669" s="12"/>
      <c r="C37669" s="8"/>
      <c r="D37669" s="8"/>
    </row>
    <row r="37670" spans="1:4" ht="15.75" customHeight="1">
      <c r="A37670" s="8"/>
      <c r="B37670" s="12"/>
      <c r="C37670" s="8"/>
      <c r="D37670" s="8"/>
    </row>
    <row r="37671" spans="1:4" ht="15.75" customHeight="1">
      <c r="A37671" s="8"/>
      <c r="B37671" s="12"/>
      <c r="C37671" s="8"/>
      <c r="D37671" s="8"/>
    </row>
    <row r="37672" spans="1:4" ht="15.75" customHeight="1">
      <c r="A37672" s="8"/>
      <c r="B37672" s="12"/>
      <c r="C37672" s="8"/>
      <c r="D37672" s="8"/>
    </row>
    <row r="37673" spans="1:4" ht="15.75" customHeight="1">
      <c r="A37673" s="8"/>
      <c r="B37673" s="12"/>
      <c r="C37673" s="8"/>
      <c r="D37673" s="8"/>
    </row>
    <row r="37674" spans="1:4" ht="15.75" customHeight="1">
      <c r="A37674" s="8"/>
      <c r="B37674" s="12"/>
      <c r="C37674" s="8"/>
      <c r="D37674" s="8"/>
    </row>
    <row r="37675" spans="1:4" ht="15.75" customHeight="1">
      <c r="A37675" s="8"/>
      <c r="B37675" s="12"/>
      <c r="C37675" s="8"/>
      <c r="D37675" s="8"/>
    </row>
    <row r="37676" spans="1:4" ht="15.75" customHeight="1">
      <c r="A37676" s="8"/>
      <c r="B37676" s="12"/>
      <c r="C37676" s="8"/>
      <c r="D37676" s="8"/>
    </row>
    <row r="37677" spans="1:4" ht="15.75" customHeight="1">
      <c r="A37677" s="8"/>
      <c r="B37677" s="12"/>
      <c r="C37677" s="8"/>
      <c r="D37677" s="8"/>
    </row>
    <row r="37678" spans="1:4" ht="15.75" customHeight="1">
      <c r="A37678" s="8"/>
      <c r="B37678" s="12"/>
      <c r="C37678" s="8"/>
      <c r="D37678" s="8"/>
    </row>
    <row r="37679" spans="1:4" ht="15.75" customHeight="1">
      <c r="A37679" s="8"/>
      <c r="B37679" s="12"/>
      <c r="C37679" s="8"/>
      <c r="D37679" s="8"/>
    </row>
    <row r="37680" spans="1:4" ht="15.75" customHeight="1">
      <c r="A37680" s="8"/>
      <c r="B37680" s="12"/>
      <c r="C37680" s="8"/>
      <c r="D37680" s="8"/>
    </row>
    <row r="37681" spans="1:4" ht="15.75" customHeight="1">
      <c r="A37681" s="8"/>
      <c r="B37681" s="12"/>
      <c r="C37681" s="8"/>
      <c r="D37681" s="8"/>
    </row>
    <row r="37682" spans="1:4" ht="15.75" customHeight="1">
      <c r="A37682" s="8"/>
      <c r="B37682" s="12"/>
      <c r="C37682" s="8"/>
      <c r="D37682" s="8"/>
    </row>
    <row r="37683" spans="1:4" ht="15.75" customHeight="1">
      <c r="A37683" s="8"/>
      <c r="B37683" s="12"/>
      <c r="C37683" s="8"/>
      <c r="D37683" s="8"/>
    </row>
    <row r="37684" spans="1:4" ht="15.75" customHeight="1">
      <c r="A37684" s="8"/>
      <c r="B37684" s="12"/>
      <c r="C37684" s="8"/>
      <c r="D37684" s="8"/>
    </row>
    <row r="37685" spans="1:4" ht="15.75" customHeight="1">
      <c r="A37685" s="8"/>
      <c r="B37685" s="12"/>
      <c r="C37685" s="8"/>
      <c r="D37685" s="8"/>
    </row>
    <row r="37686" spans="1:4" ht="15.75" customHeight="1">
      <c r="A37686" s="8"/>
      <c r="B37686" s="12"/>
      <c r="C37686" s="8"/>
      <c r="D37686" s="8"/>
    </row>
    <row r="37687" spans="1:4" ht="15.75" customHeight="1">
      <c r="A37687" s="8"/>
      <c r="B37687" s="12"/>
      <c r="C37687" s="8"/>
      <c r="D37687" s="8"/>
    </row>
    <row r="37688" spans="1:4" ht="15.75" customHeight="1">
      <c r="A37688" s="8"/>
      <c r="B37688" s="12"/>
      <c r="C37688" s="8"/>
      <c r="D37688" s="8"/>
    </row>
    <row r="37689" spans="1:4" ht="15.75" customHeight="1">
      <c r="A37689" s="8"/>
      <c r="B37689" s="12"/>
      <c r="C37689" s="8"/>
      <c r="D37689" s="8"/>
    </row>
    <row r="37690" spans="1:4" ht="15.75" customHeight="1">
      <c r="A37690" s="8"/>
      <c r="B37690" s="12"/>
      <c r="C37690" s="8"/>
      <c r="D37690" s="8"/>
    </row>
    <row r="37691" spans="1:4" ht="15.75" customHeight="1">
      <c r="A37691" s="8"/>
      <c r="B37691" s="12"/>
      <c r="C37691" s="8"/>
      <c r="D37691" s="8"/>
    </row>
    <row r="37692" spans="1:4" ht="15.75" customHeight="1">
      <c r="A37692" s="8"/>
      <c r="B37692" s="12"/>
      <c r="C37692" s="8"/>
      <c r="D37692" s="8"/>
    </row>
    <row r="37693" spans="1:4" ht="15.75" customHeight="1">
      <c r="A37693" s="8"/>
      <c r="B37693" s="12"/>
      <c r="C37693" s="8"/>
      <c r="D37693" s="8"/>
    </row>
    <row r="37694" spans="1:4" ht="15.75" customHeight="1">
      <c r="A37694" s="8"/>
      <c r="B37694" s="12"/>
      <c r="C37694" s="8"/>
      <c r="D37694" s="8"/>
    </row>
    <row r="37695" spans="1:4" ht="15.75" customHeight="1">
      <c r="A37695" s="8"/>
      <c r="B37695" s="12"/>
      <c r="C37695" s="8"/>
      <c r="D37695" s="8"/>
    </row>
    <row r="37696" spans="1:4" ht="15.75" customHeight="1">
      <c r="A37696" s="8"/>
      <c r="B37696" s="12"/>
      <c r="C37696" s="8"/>
      <c r="D37696" s="8"/>
    </row>
    <row r="37697" spans="1:4" ht="15.75" customHeight="1">
      <c r="A37697" s="8"/>
      <c r="B37697" s="12"/>
      <c r="C37697" s="8"/>
      <c r="D37697" s="8"/>
    </row>
    <row r="37698" spans="1:4" ht="15.75" customHeight="1">
      <c r="A37698" s="8"/>
      <c r="B37698" s="12"/>
      <c r="C37698" s="8"/>
      <c r="D37698" s="8"/>
    </row>
    <row r="37699" spans="1:4" ht="15.75" customHeight="1">
      <c r="A37699" s="8"/>
      <c r="B37699" s="12"/>
      <c r="C37699" s="8"/>
      <c r="D37699" s="8"/>
    </row>
    <row r="37700" spans="1:4" ht="15.75" customHeight="1">
      <c r="A37700" s="8"/>
      <c r="B37700" s="12"/>
      <c r="C37700" s="8"/>
      <c r="D37700" s="8"/>
    </row>
    <row r="37701" spans="1:4" ht="15.75" customHeight="1">
      <c r="A37701" s="8"/>
      <c r="B37701" s="12"/>
      <c r="C37701" s="8"/>
      <c r="D37701" s="8"/>
    </row>
    <row r="37702" spans="1:4" ht="15.75" customHeight="1">
      <c r="A37702" s="8"/>
      <c r="B37702" s="12"/>
      <c r="C37702" s="8"/>
      <c r="D37702" s="8"/>
    </row>
    <row r="37703" spans="1:4" ht="15.75" customHeight="1">
      <c r="A37703" s="8"/>
      <c r="B37703" s="12"/>
      <c r="C37703" s="8"/>
      <c r="D37703" s="8"/>
    </row>
    <row r="37704" spans="1:4" ht="15.75" customHeight="1">
      <c r="A37704" s="8"/>
      <c r="B37704" s="12"/>
      <c r="C37704" s="8"/>
      <c r="D37704" s="8"/>
    </row>
    <row r="37705" spans="1:4" ht="15.75" customHeight="1">
      <c r="A37705" s="8"/>
      <c r="B37705" s="12"/>
      <c r="C37705" s="8"/>
      <c r="D37705" s="8"/>
    </row>
    <row r="37706" spans="1:4" ht="15.75" customHeight="1">
      <c r="A37706" s="8"/>
      <c r="B37706" s="12"/>
      <c r="C37706" s="8"/>
      <c r="D37706" s="8"/>
    </row>
    <row r="37707" spans="1:4" ht="15.75" customHeight="1">
      <c r="A37707" s="8"/>
      <c r="B37707" s="12"/>
      <c r="C37707" s="8"/>
      <c r="D37707" s="8"/>
    </row>
    <row r="37708" spans="1:4" ht="15.75" customHeight="1">
      <c r="A37708" s="8"/>
      <c r="B37708" s="12"/>
      <c r="C37708" s="8"/>
      <c r="D37708" s="8"/>
    </row>
    <row r="37709" spans="1:4" ht="15.75" customHeight="1">
      <c r="A37709" s="8"/>
      <c r="B37709" s="12"/>
      <c r="C37709" s="8"/>
      <c r="D37709" s="8"/>
    </row>
    <row r="37710" spans="1:4" ht="15.75" customHeight="1">
      <c r="A37710" s="8"/>
      <c r="B37710" s="12"/>
      <c r="C37710" s="8"/>
      <c r="D37710" s="8"/>
    </row>
    <row r="37711" spans="1:4" ht="15.75" customHeight="1">
      <c r="A37711" s="8"/>
      <c r="B37711" s="12"/>
      <c r="C37711" s="8"/>
      <c r="D37711" s="8"/>
    </row>
    <row r="37712" spans="1:4" ht="15.75" customHeight="1">
      <c r="A37712" s="8"/>
      <c r="B37712" s="12"/>
      <c r="C37712" s="8"/>
      <c r="D37712" s="8"/>
    </row>
    <row r="37713" spans="1:4" ht="15.75" customHeight="1">
      <c r="A37713" s="8"/>
      <c r="B37713" s="12"/>
      <c r="C37713" s="8"/>
      <c r="D37713" s="8"/>
    </row>
    <row r="37714" spans="1:4" ht="15.75" customHeight="1">
      <c r="A37714" s="8"/>
      <c r="B37714" s="12"/>
      <c r="C37714" s="8"/>
      <c r="D37714" s="8"/>
    </row>
    <row r="37715" spans="1:4" ht="15.75" customHeight="1">
      <c r="A37715" s="8"/>
      <c r="B37715" s="12"/>
      <c r="C37715" s="8"/>
      <c r="D37715" s="8"/>
    </row>
    <row r="37716" spans="1:4" ht="15.75" customHeight="1">
      <c r="A37716" s="8"/>
      <c r="B37716" s="12"/>
      <c r="C37716" s="8"/>
      <c r="D37716" s="8"/>
    </row>
    <row r="37717" spans="1:4" ht="15.75" customHeight="1">
      <c r="A37717" s="8"/>
      <c r="B37717" s="12"/>
      <c r="C37717" s="8"/>
      <c r="D37717" s="8"/>
    </row>
    <row r="37718" spans="1:4" ht="15.75" customHeight="1">
      <c r="A37718" s="8"/>
      <c r="B37718" s="12"/>
      <c r="C37718" s="8"/>
      <c r="D37718" s="8"/>
    </row>
    <row r="37719" spans="1:4" ht="15.75" customHeight="1">
      <c r="A37719" s="8"/>
      <c r="B37719" s="12"/>
      <c r="C37719" s="8"/>
      <c r="D37719" s="8"/>
    </row>
    <row r="37720" spans="1:4" ht="15.75" customHeight="1">
      <c r="A37720" s="8"/>
      <c r="B37720" s="12"/>
      <c r="C37720" s="8"/>
      <c r="D37720" s="8"/>
    </row>
    <row r="37721" spans="1:4" ht="15.75" customHeight="1">
      <c r="A37721" s="8"/>
      <c r="B37721" s="12"/>
      <c r="C37721" s="8"/>
      <c r="D37721" s="8"/>
    </row>
    <row r="37722" spans="1:4" ht="15.75" customHeight="1">
      <c r="A37722" s="8"/>
      <c r="B37722" s="12"/>
      <c r="C37722" s="8"/>
      <c r="D37722" s="8"/>
    </row>
    <row r="37723" spans="1:4" ht="15.75" customHeight="1">
      <c r="A37723" s="8"/>
      <c r="B37723" s="12"/>
      <c r="C37723" s="8"/>
      <c r="D37723" s="8"/>
    </row>
    <row r="37724" spans="1:4" ht="15.75" customHeight="1">
      <c r="A37724" s="8"/>
      <c r="B37724" s="12"/>
      <c r="C37724" s="8"/>
      <c r="D37724" s="8"/>
    </row>
    <row r="37725" spans="1:4" ht="15.75" customHeight="1">
      <c r="A37725" s="8"/>
      <c r="B37725" s="12"/>
      <c r="C37725" s="8"/>
      <c r="D37725" s="8"/>
    </row>
    <row r="37726" spans="1:4" ht="15.75" customHeight="1">
      <c r="A37726" s="8"/>
      <c r="B37726" s="12"/>
      <c r="C37726" s="8"/>
      <c r="D37726" s="8"/>
    </row>
    <row r="37727" spans="1:4" ht="15.75" customHeight="1">
      <c r="A37727" s="8"/>
      <c r="B37727" s="12"/>
      <c r="C37727" s="8"/>
      <c r="D37727" s="8"/>
    </row>
    <row r="37728" spans="1:4" ht="15.75" customHeight="1">
      <c r="A37728" s="8"/>
      <c r="B37728" s="12"/>
      <c r="C37728" s="8"/>
      <c r="D37728" s="8"/>
    </row>
    <row r="37729" spans="1:4" ht="15.75" customHeight="1">
      <c r="A37729" s="8"/>
      <c r="B37729" s="12"/>
      <c r="C37729" s="8"/>
      <c r="D37729" s="8"/>
    </row>
    <row r="37730" spans="1:4" ht="15.75" customHeight="1">
      <c r="A37730" s="8"/>
      <c r="B37730" s="12"/>
      <c r="C37730" s="8"/>
      <c r="D37730" s="8"/>
    </row>
    <row r="37731" spans="1:4" ht="15.75" customHeight="1">
      <c r="A37731" s="8"/>
      <c r="B37731" s="12"/>
      <c r="C37731" s="8"/>
      <c r="D37731" s="8"/>
    </row>
    <row r="37732" spans="1:4" ht="15.75" customHeight="1">
      <c r="A37732" s="8"/>
      <c r="B37732" s="12"/>
      <c r="C37732" s="8"/>
      <c r="D37732" s="8"/>
    </row>
    <row r="37733" spans="1:4" ht="15.75" customHeight="1">
      <c r="A37733" s="8"/>
      <c r="B37733" s="12"/>
      <c r="C37733" s="8"/>
      <c r="D37733" s="8"/>
    </row>
    <row r="37734" spans="1:4" ht="15.75" customHeight="1">
      <c r="A37734" s="8"/>
      <c r="B37734" s="12"/>
      <c r="C37734" s="8"/>
      <c r="D37734" s="8"/>
    </row>
    <row r="37735" spans="1:4" ht="15.75" customHeight="1">
      <c r="A37735" s="8"/>
      <c r="B37735" s="12"/>
      <c r="C37735" s="8"/>
      <c r="D37735" s="8"/>
    </row>
    <row r="37736" spans="1:4" ht="15.75" customHeight="1">
      <c r="A37736" s="8"/>
      <c r="B37736" s="12"/>
      <c r="C37736" s="8"/>
      <c r="D37736" s="8"/>
    </row>
    <row r="37737" spans="1:4" ht="15.75" customHeight="1">
      <c r="A37737" s="8"/>
      <c r="B37737" s="12"/>
      <c r="C37737" s="8"/>
      <c r="D37737" s="8"/>
    </row>
    <row r="37738" spans="1:4" ht="15.75" customHeight="1">
      <c r="A37738" s="8"/>
      <c r="B37738" s="12"/>
      <c r="C37738" s="8"/>
      <c r="D37738" s="8"/>
    </row>
    <row r="37739" spans="1:4" ht="15.75" customHeight="1">
      <c r="A37739" s="8"/>
      <c r="B37739" s="12"/>
      <c r="C37739" s="8"/>
      <c r="D37739" s="8"/>
    </row>
    <row r="37740" spans="1:4" ht="15.75" customHeight="1">
      <c r="A37740" s="8"/>
      <c r="B37740" s="12"/>
      <c r="C37740" s="8"/>
      <c r="D37740" s="8"/>
    </row>
    <row r="37741" spans="1:4" ht="15.75" customHeight="1">
      <c r="A37741" s="8"/>
      <c r="B37741" s="12"/>
      <c r="C37741" s="8"/>
      <c r="D37741" s="8"/>
    </row>
    <row r="37742" spans="1:4" ht="15.75" customHeight="1">
      <c r="A37742" s="8"/>
      <c r="B37742" s="12"/>
      <c r="C37742" s="8"/>
      <c r="D37742" s="8"/>
    </row>
    <row r="37743" spans="1:4" ht="15.75" customHeight="1">
      <c r="A37743" s="8"/>
      <c r="B37743" s="12"/>
      <c r="C37743" s="8"/>
      <c r="D37743" s="8"/>
    </row>
    <row r="37744" spans="1:4" ht="15.75" customHeight="1">
      <c r="A37744" s="8"/>
      <c r="B37744" s="12"/>
      <c r="C37744" s="8"/>
      <c r="D37744" s="8"/>
    </row>
    <row r="37745" spans="1:4" ht="15.75" customHeight="1">
      <c r="A37745" s="8"/>
      <c r="B37745" s="12"/>
      <c r="C37745" s="8"/>
      <c r="D37745" s="8"/>
    </row>
    <row r="37746" spans="1:4" ht="15.75" customHeight="1">
      <c r="A37746" s="8"/>
      <c r="B37746" s="12"/>
      <c r="C37746" s="8"/>
      <c r="D37746" s="8"/>
    </row>
    <row r="37747" spans="1:4" ht="15.75" customHeight="1">
      <c r="A37747" s="8"/>
      <c r="B37747" s="12"/>
      <c r="C37747" s="8"/>
      <c r="D37747" s="8"/>
    </row>
    <row r="37748" spans="1:4" ht="15.75" customHeight="1">
      <c r="A37748" s="8"/>
      <c r="B37748" s="12"/>
      <c r="C37748" s="8"/>
      <c r="D37748" s="8"/>
    </row>
    <row r="37749" spans="1:4" ht="15.75" customHeight="1">
      <c r="A37749" s="8"/>
      <c r="B37749" s="12"/>
      <c r="C37749" s="8"/>
      <c r="D37749" s="8"/>
    </row>
    <row r="37750" spans="1:4" ht="15.75" customHeight="1">
      <c r="A37750" s="8"/>
      <c r="B37750" s="12"/>
      <c r="C37750" s="8"/>
      <c r="D37750" s="8"/>
    </row>
    <row r="37751" spans="1:4" ht="15.75" customHeight="1">
      <c r="A37751" s="8"/>
      <c r="B37751" s="12"/>
      <c r="C37751" s="8"/>
      <c r="D37751" s="8"/>
    </row>
    <row r="37752" spans="1:4" ht="15.75" customHeight="1">
      <c r="A37752" s="8"/>
      <c r="B37752" s="12"/>
      <c r="C37752" s="8"/>
      <c r="D37752" s="8"/>
    </row>
    <row r="37753" spans="1:4" ht="15.75" customHeight="1">
      <c r="A37753" s="8"/>
      <c r="B37753" s="12"/>
      <c r="C37753" s="8"/>
      <c r="D37753" s="8"/>
    </row>
    <row r="37754" spans="1:4" ht="15.75" customHeight="1">
      <c r="A37754" s="8"/>
      <c r="B37754" s="12"/>
      <c r="C37754" s="8"/>
      <c r="D37754" s="8"/>
    </row>
    <row r="37755" spans="1:4" ht="15.75" customHeight="1">
      <c r="A37755" s="8"/>
      <c r="B37755" s="12"/>
      <c r="C37755" s="8"/>
      <c r="D37755" s="8"/>
    </row>
    <row r="37756" spans="1:4" ht="15.75" customHeight="1">
      <c r="A37756" s="8"/>
      <c r="B37756" s="12"/>
      <c r="C37756" s="8"/>
      <c r="D37756" s="8"/>
    </row>
    <row r="37757" spans="1:4" ht="15.75" customHeight="1">
      <c r="A37757" s="8"/>
      <c r="B37757" s="12"/>
      <c r="C37757" s="8"/>
      <c r="D37757" s="8"/>
    </row>
    <row r="37758" spans="1:4" ht="15.75" customHeight="1">
      <c r="A37758" s="8"/>
      <c r="B37758" s="12"/>
      <c r="C37758" s="8"/>
      <c r="D37758" s="8"/>
    </row>
    <row r="37759" spans="1:4" ht="15.75" customHeight="1">
      <c r="A37759" s="8"/>
      <c r="B37759" s="12"/>
      <c r="C37759" s="8"/>
      <c r="D37759" s="8"/>
    </row>
    <row r="37760" spans="1:4" ht="15.75" customHeight="1">
      <c r="A37760" s="8"/>
      <c r="B37760" s="12"/>
      <c r="C37760" s="8"/>
      <c r="D37760" s="8"/>
    </row>
    <row r="37761" spans="1:4" ht="15.75" customHeight="1">
      <c r="A37761" s="8"/>
      <c r="B37761" s="12"/>
      <c r="C37761" s="8"/>
      <c r="D37761" s="8"/>
    </row>
    <row r="37762" spans="1:4" ht="15.75" customHeight="1">
      <c r="A37762" s="8"/>
      <c r="B37762" s="12"/>
      <c r="C37762" s="8"/>
      <c r="D37762" s="8"/>
    </row>
    <row r="37763" spans="1:4" ht="15.75" customHeight="1">
      <c r="A37763" s="8"/>
      <c r="B37763" s="12"/>
      <c r="C37763" s="8"/>
      <c r="D37763" s="8"/>
    </row>
    <row r="37764" spans="1:4" ht="15.75" customHeight="1">
      <c r="A37764" s="8"/>
      <c r="B37764" s="12"/>
      <c r="C37764" s="8"/>
      <c r="D37764" s="8"/>
    </row>
    <row r="37765" spans="1:4" ht="15.75" customHeight="1">
      <c r="A37765" s="8"/>
      <c r="B37765" s="12"/>
      <c r="C37765" s="8"/>
      <c r="D37765" s="8"/>
    </row>
    <row r="37766" spans="1:4" ht="15.75" customHeight="1">
      <c r="A37766" s="8"/>
      <c r="B37766" s="12"/>
      <c r="C37766" s="8"/>
      <c r="D37766" s="8"/>
    </row>
    <row r="37767" spans="1:4" ht="15.75" customHeight="1">
      <c r="A37767" s="8"/>
      <c r="B37767" s="12"/>
      <c r="C37767" s="8"/>
      <c r="D37767" s="8"/>
    </row>
    <row r="37768" spans="1:4" ht="15.75" customHeight="1">
      <c r="A37768" s="8"/>
      <c r="B37768" s="12"/>
      <c r="C37768" s="8"/>
      <c r="D37768" s="8"/>
    </row>
    <row r="37769" spans="1:4" ht="15.75" customHeight="1">
      <c r="A37769" s="8"/>
      <c r="B37769" s="12"/>
      <c r="C37769" s="8"/>
      <c r="D37769" s="8"/>
    </row>
    <row r="37770" spans="1:4" ht="15.75" customHeight="1">
      <c r="A37770" s="8"/>
      <c r="B37770" s="12"/>
      <c r="C37770" s="8"/>
      <c r="D37770" s="8"/>
    </row>
    <row r="37771" spans="1:4" ht="15.75" customHeight="1">
      <c r="A37771" s="8"/>
      <c r="B37771" s="12"/>
      <c r="C37771" s="8"/>
      <c r="D37771" s="8"/>
    </row>
    <row r="37772" spans="1:4" ht="15.75" customHeight="1">
      <c r="A37772" s="8"/>
      <c r="B37772" s="12"/>
      <c r="C37772" s="8"/>
      <c r="D37772" s="8"/>
    </row>
    <row r="37773" spans="1:4" ht="15.75" customHeight="1">
      <c r="A37773" s="8"/>
      <c r="B37773" s="12"/>
      <c r="C37773" s="8"/>
      <c r="D37773" s="8"/>
    </row>
    <row r="37774" spans="1:4" ht="15.75" customHeight="1">
      <c r="A37774" s="8"/>
      <c r="B37774" s="12"/>
      <c r="C37774" s="8"/>
      <c r="D37774" s="8"/>
    </row>
    <row r="37775" spans="1:4" ht="15.75" customHeight="1">
      <c r="A37775" s="8"/>
      <c r="B37775" s="12"/>
      <c r="C37775" s="8"/>
      <c r="D37775" s="8"/>
    </row>
    <row r="37776" spans="1:4" ht="15.75" customHeight="1">
      <c r="A37776" s="8"/>
      <c r="B37776" s="12"/>
      <c r="C37776" s="8"/>
      <c r="D37776" s="8"/>
    </row>
    <row r="37777" spans="1:4" ht="15.75" customHeight="1">
      <c r="A37777" s="8"/>
      <c r="B37777" s="12"/>
      <c r="C37777" s="8"/>
      <c r="D37777" s="8"/>
    </row>
    <row r="37778" spans="1:4" ht="15.75" customHeight="1">
      <c r="A37778" s="8"/>
      <c r="B37778" s="12"/>
      <c r="C37778" s="8"/>
      <c r="D37778" s="8"/>
    </row>
    <row r="37779" spans="1:4" ht="15.75" customHeight="1">
      <c r="A37779" s="8"/>
      <c r="B37779" s="12"/>
      <c r="C37779" s="8"/>
      <c r="D37779" s="8"/>
    </row>
    <row r="37780" spans="1:4" ht="15.75" customHeight="1">
      <c r="A37780" s="8"/>
      <c r="B37780" s="12"/>
      <c r="C37780" s="8"/>
      <c r="D37780" s="8"/>
    </row>
    <row r="37781" spans="1:4" ht="15.75" customHeight="1">
      <c r="A37781" s="8"/>
      <c r="B37781" s="12"/>
      <c r="C37781" s="8"/>
      <c r="D37781" s="8"/>
    </row>
    <row r="37782" spans="1:4" ht="15.75" customHeight="1">
      <c r="A37782" s="8"/>
      <c r="B37782" s="12"/>
      <c r="C37782" s="8"/>
      <c r="D37782" s="8"/>
    </row>
    <row r="37783" spans="1:4" ht="15.75" customHeight="1">
      <c r="A37783" s="8"/>
      <c r="B37783" s="12"/>
      <c r="C37783" s="8"/>
      <c r="D37783" s="8"/>
    </row>
    <row r="37784" spans="1:4" ht="15.75" customHeight="1">
      <c r="A37784" s="8"/>
      <c r="B37784" s="12"/>
      <c r="C37784" s="8"/>
      <c r="D37784" s="8"/>
    </row>
    <row r="37785" spans="1:4" ht="15.75" customHeight="1">
      <c r="A37785" s="8"/>
      <c r="B37785" s="12"/>
      <c r="C37785" s="8"/>
      <c r="D37785" s="8"/>
    </row>
    <row r="37786" spans="1:4" ht="15.75" customHeight="1">
      <c r="A37786" s="8"/>
      <c r="B37786" s="12"/>
      <c r="C37786" s="8"/>
      <c r="D37786" s="8"/>
    </row>
    <row r="37787" spans="1:4" ht="15.75" customHeight="1">
      <c r="A37787" s="8"/>
      <c r="B37787" s="12"/>
      <c r="C37787" s="8"/>
      <c r="D37787" s="8"/>
    </row>
    <row r="37788" spans="1:4" ht="15.75" customHeight="1">
      <c r="A37788" s="8"/>
      <c r="B37788" s="12"/>
      <c r="C37788" s="8"/>
      <c r="D37788" s="8"/>
    </row>
    <row r="37789" spans="1:4" ht="15.75" customHeight="1">
      <c r="A37789" s="8"/>
      <c r="B37789" s="12"/>
      <c r="C37789" s="8"/>
      <c r="D37789" s="8"/>
    </row>
    <row r="37790" spans="1:4" ht="15.75" customHeight="1">
      <c r="A37790" s="8"/>
      <c r="B37790" s="12"/>
      <c r="C37790" s="8"/>
      <c r="D37790" s="8"/>
    </row>
    <row r="37791" spans="1:4" ht="15.75" customHeight="1">
      <c r="A37791" s="8"/>
      <c r="B37791" s="12"/>
      <c r="C37791" s="8"/>
      <c r="D37791" s="8"/>
    </row>
    <row r="37792" spans="1:4" ht="15.75" customHeight="1">
      <c r="A37792" s="8"/>
      <c r="B37792" s="12"/>
      <c r="C37792" s="8"/>
      <c r="D37792" s="8"/>
    </row>
    <row r="37793" spans="1:4" ht="15.75" customHeight="1">
      <c r="A37793" s="8"/>
      <c r="B37793" s="12"/>
      <c r="C37793" s="8"/>
      <c r="D37793" s="8"/>
    </row>
    <row r="37794" spans="1:4" ht="15.75" customHeight="1">
      <c r="A37794" s="8"/>
      <c r="B37794" s="12"/>
      <c r="C37794" s="8"/>
      <c r="D37794" s="8"/>
    </row>
    <row r="37795" spans="1:4" ht="15.75" customHeight="1">
      <c r="A37795" s="8"/>
      <c r="B37795" s="12"/>
      <c r="C37795" s="8"/>
      <c r="D37795" s="8"/>
    </row>
    <row r="37796" spans="1:4" ht="15.75" customHeight="1">
      <c r="A37796" s="8"/>
      <c r="B37796" s="12"/>
      <c r="C37796" s="8"/>
      <c r="D37796" s="8"/>
    </row>
    <row r="37797" spans="1:4" ht="15.75" customHeight="1">
      <c r="A37797" s="8"/>
      <c r="B37797" s="12"/>
      <c r="C37797" s="8"/>
      <c r="D37797" s="8"/>
    </row>
    <row r="37798" spans="1:4" ht="15.75" customHeight="1">
      <c r="A37798" s="8"/>
      <c r="B37798" s="12"/>
      <c r="C37798" s="8"/>
      <c r="D37798" s="8"/>
    </row>
    <row r="37799" spans="1:4" ht="15.75" customHeight="1">
      <c r="A37799" s="8"/>
      <c r="B37799" s="12"/>
      <c r="C37799" s="8"/>
      <c r="D37799" s="8"/>
    </row>
    <row r="37800" spans="1:4" ht="15.75" customHeight="1">
      <c r="A37800" s="8"/>
      <c r="B37800" s="12"/>
      <c r="C37800" s="8"/>
      <c r="D37800" s="8"/>
    </row>
    <row r="37801" spans="1:4" ht="15.75" customHeight="1">
      <c r="A37801" s="8"/>
      <c r="B37801" s="12"/>
      <c r="C37801" s="8"/>
      <c r="D37801" s="8"/>
    </row>
    <row r="37802" spans="1:4" ht="15.75" customHeight="1">
      <c r="A37802" s="8"/>
      <c r="B37802" s="12"/>
      <c r="C37802" s="8"/>
      <c r="D37802" s="8"/>
    </row>
    <row r="37803" spans="1:4" ht="15.75" customHeight="1">
      <c r="A37803" s="8"/>
      <c r="B37803" s="12"/>
      <c r="C37803" s="8"/>
      <c r="D37803" s="8"/>
    </row>
    <row r="37804" spans="1:4" ht="15.75" customHeight="1">
      <c r="A37804" s="8"/>
      <c r="B37804" s="12"/>
      <c r="C37804" s="8"/>
      <c r="D37804" s="8"/>
    </row>
    <row r="37805" spans="1:4" ht="15.75" customHeight="1">
      <c r="A37805" s="8"/>
      <c r="B37805" s="12"/>
      <c r="C37805" s="8"/>
      <c r="D37805" s="8"/>
    </row>
    <row r="37806" spans="1:4" ht="15.75" customHeight="1">
      <c r="A37806" s="8"/>
      <c r="B37806" s="12"/>
      <c r="C37806" s="8"/>
      <c r="D37806" s="8"/>
    </row>
    <row r="37807" spans="1:4" ht="15.75" customHeight="1">
      <c r="A37807" s="8"/>
      <c r="B37807" s="12"/>
      <c r="C37807" s="8"/>
      <c r="D37807" s="8"/>
    </row>
    <row r="37808" spans="1:4" ht="15.75" customHeight="1">
      <c r="A37808" s="8"/>
      <c r="B37808" s="12"/>
      <c r="C37808" s="8"/>
      <c r="D37808" s="8"/>
    </row>
    <row r="37809" spans="1:4" ht="15.75" customHeight="1">
      <c r="A37809" s="8"/>
      <c r="B37809" s="12"/>
      <c r="C37809" s="8"/>
      <c r="D37809" s="8"/>
    </row>
    <row r="37810" spans="1:4" ht="15.75" customHeight="1">
      <c r="A37810" s="8"/>
      <c r="B37810" s="12"/>
      <c r="C37810" s="8"/>
      <c r="D37810" s="8"/>
    </row>
    <row r="37811" spans="1:4" ht="15.75" customHeight="1">
      <c r="A37811" s="8"/>
      <c r="B37811" s="12"/>
      <c r="C37811" s="8"/>
      <c r="D37811" s="8"/>
    </row>
    <row r="37812" spans="1:4" ht="15.75" customHeight="1">
      <c r="A37812" s="8"/>
      <c r="B37812" s="12"/>
      <c r="C37812" s="8"/>
      <c r="D37812" s="8"/>
    </row>
    <row r="37813" spans="1:4" ht="15.75" customHeight="1">
      <c r="A37813" s="8"/>
      <c r="B37813" s="12"/>
      <c r="C37813" s="8"/>
      <c r="D37813" s="8"/>
    </row>
    <row r="37814" spans="1:4" ht="15.75" customHeight="1">
      <c r="A37814" s="8"/>
      <c r="B37814" s="12"/>
      <c r="C37814" s="8"/>
      <c r="D37814" s="8"/>
    </row>
    <row r="37815" spans="1:4" ht="15.75" customHeight="1">
      <c r="A37815" s="8"/>
      <c r="B37815" s="12"/>
      <c r="C37815" s="8"/>
      <c r="D37815" s="8"/>
    </row>
    <row r="37816" spans="1:4" ht="15.75" customHeight="1">
      <c r="A37816" s="8"/>
      <c r="B37816" s="12"/>
      <c r="C37816" s="8"/>
      <c r="D37816" s="8"/>
    </row>
    <row r="37817" spans="1:4" ht="15.75" customHeight="1">
      <c r="A37817" s="8"/>
      <c r="B37817" s="12"/>
      <c r="C37817" s="8"/>
      <c r="D37817" s="8"/>
    </row>
    <row r="37818" spans="1:4" ht="15.75" customHeight="1">
      <c r="A37818" s="8"/>
      <c r="B37818" s="12"/>
      <c r="C37818" s="8"/>
      <c r="D37818" s="8"/>
    </row>
    <row r="37819" spans="1:4" ht="15.75" customHeight="1">
      <c r="A37819" s="8"/>
      <c r="B37819" s="12"/>
      <c r="C37819" s="8"/>
      <c r="D37819" s="8"/>
    </row>
    <row r="37820" spans="1:4" ht="15.75" customHeight="1">
      <c r="A37820" s="8"/>
      <c r="B37820" s="12"/>
      <c r="C37820" s="8"/>
      <c r="D37820" s="8"/>
    </row>
    <row r="37821" spans="1:4" ht="15.75" customHeight="1">
      <c r="A37821" s="8"/>
      <c r="B37821" s="12"/>
      <c r="C37821" s="8"/>
      <c r="D37821" s="8"/>
    </row>
    <row r="37822" spans="1:4" ht="15.75" customHeight="1">
      <c r="A37822" s="8"/>
      <c r="B37822" s="12"/>
      <c r="C37822" s="8"/>
      <c r="D37822" s="8"/>
    </row>
    <row r="37823" spans="1:4" ht="15.75" customHeight="1">
      <c r="A37823" s="8"/>
      <c r="B37823" s="12"/>
      <c r="C37823" s="8"/>
      <c r="D37823" s="8"/>
    </row>
    <row r="37824" spans="1:4" ht="15.75" customHeight="1">
      <c r="A37824" s="8"/>
      <c r="B37824" s="12"/>
      <c r="C37824" s="8"/>
      <c r="D37824" s="8"/>
    </row>
    <row r="37825" spans="1:4" ht="15.75" customHeight="1">
      <c r="A37825" s="8"/>
      <c r="B37825" s="12"/>
      <c r="C37825" s="8"/>
      <c r="D37825" s="8"/>
    </row>
    <row r="37826" spans="1:4" ht="15.75" customHeight="1">
      <c r="A37826" s="8"/>
      <c r="B37826" s="12"/>
      <c r="C37826" s="8"/>
      <c r="D37826" s="8"/>
    </row>
    <row r="37827" spans="1:4" ht="15.75" customHeight="1">
      <c r="A37827" s="8"/>
      <c r="B37827" s="12"/>
      <c r="C37827" s="8"/>
      <c r="D37827" s="8"/>
    </row>
    <row r="37828" spans="1:4" ht="15.75" customHeight="1">
      <c r="A37828" s="8"/>
      <c r="B37828" s="12"/>
      <c r="C37828" s="8"/>
      <c r="D37828" s="8"/>
    </row>
    <row r="37829" spans="1:4" ht="15.75" customHeight="1">
      <c r="A37829" s="8"/>
      <c r="B37829" s="12"/>
      <c r="C37829" s="8"/>
      <c r="D37829" s="8"/>
    </row>
    <row r="37830" spans="1:4" ht="15.75" customHeight="1">
      <c r="A37830" s="8"/>
      <c r="B37830" s="12"/>
      <c r="C37830" s="8"/>
      <c r="D37830" s="8"/>
    </row>
    <row r="37831" spans="1:4" ht="15.75" customHeight="1">
      <c r="A37831" s="8"/>
      <c r="B37831" s="12"/>
      <c r="C37831" s="8"/>
      <c r="D37831" s="8"/>
    </row>
    <row r="37832" spans="1:4" ht="15.75" customHeight="1">
      <c r="A37832" s="8"/>
      <c r="B37832" s="12"/>
      <c r="C37832" s="8"/>
      <c r="D37832" s="8"/>
    </row>
    <row r="37833" spans="1:4" ht="15.75" customHeight="1">
      <c r="A37833" s="8"/>
      <c r="B37833" s="12"/>
      <c r="C37833" s="8"/>
      <c r="D37833" s="8"/>
    </row>
    <row r="37834" spans="1:4" ht="15.75" customHeight="1">
      <c r="A37834" s="8"/>
      <c r="B37834" s="12"/>
      <c r="C37834" s="8"/>
      <c r="D37834" s="8"/>
    </row>
    <row r="37835" spans="1:4" ht="15.75" customHeight="1">
      <c r="A37835" s="8"/>
      <c r="B37835" s="12"/>
      <c r="C37835" s="8"/>
      <c r="D37835" s="8"/>
    </row>
    <row r="37836" spans="1:4" ht="15.75" customHeight="1">
      <c r="A37836" s="8"/>
      <c r="B37836" s="12"/>
      <c r="C37836" s="8"/>
      <c r="D37836" s="8"/>
    </row>
    <row r="37837" spans="1:4" ht="15.75" customHeight="1">
      <c r="A37837" s="8"/>
      <c r="B37837" s="12"/>
      <c r="C37837" s="8"/>
      <c r="D37837" s="8"/>
    </row>
    <row r="37838" spans="1:4" ht="15.75" customHeight="1">
      <c r="A37838" s="8"/>
      <c r="B37838" s="12"/>
      <c r="C37838" s="8"/>
      <c r="D37838" s="8"/>
    </row>
    <row r="37839" spans="1:4" ht="15.75" customHeight="1">
      <c r="A37839" s="8"/>
      <c r="B37839" s="12"/>
      <c r="C37839" s="8"/>
      <c r="D37839" s="8"/>
    </row>
    <row r="37840" spans="1:4" ht="15.75" customHeight="1">
      <c r="A37840" s="8"/>
      <c r="B37840" s="12"/>
      <c r="C37840" s="8"/>
      <c r="D37840" s="8"/>
    </row>
    <row r="37841" spans="1:4" ht="15.75" customHeight="1">
      <c r="A37841" s="8"/>
      <c r="B37841" s="12"/>
      <c r="C37841" s="8"/>
      <c r="D37841" s="8"/>
    </row>
    <row r="37842" spans="1:4" ht="15.75" customHeight="1">
      <c r="A37842" s="8"/>
      <c r="B37842" s="12"/>
      <c r="C37842" s="8"/>
      <c r="D37842" s="8"/>
    </row>
    <row r="37843" spans="1:4" ht="15.75" customHeight="1">
      <c r="A37843" s="8"/>
      <c r="B37843" s="12"/>
      <c r="C37843" s="8"/>
      <c r="D37843" s="8"/>
    </row>
    <row r="37844" spans="1:4" ht="15.75" customHeight="1">
      <c r="A37844" s="8"/>
      <c r="B37844" s="12"/>
      <c r="C37844" s="8"/>
      <c r="D37844" s="8"/>
    </row>
    <row r="37845" spans="1:4" ht="15.75" customHeight="1">
      <c r="A37845" s="8"/>
      <c r="B37845" s="12"/>
      <c r="C37845" s="8"/>
      <c r="D37845" s="8"/>
    </row>
    <row r="37846" spans="1:4" ht="15.75" customHeight="1">
      <c r="A37846" s="8"/>
      <c r="B37846" s="12"/>
      <c r="C37846" s="8"/>
      <c r="D37846" s="8"/>
    </row>
    <row r="37847" spans="1:4" ht="15.75" customHeight="1">
      <c r="A37847" s="8"/>
      <c r="B37847" s="12"/>
      <c r="C37847" s="8"/>
      <c r="D37847" s="8"/>
    </row>
    <row r="37848" spans="1:4" ht="15.75" customHeight="1">
      <c r="A37848" s="8"/>
      <c r="B37848" s="12"/>
      <c r="C37848" s="8"/>
      <c r="D37848" s="8"/>
    </row>
    <row r="37849" spans="1:4" ht="15.75" customHeight="1">
      <c r="A37849" s="8"/>
      <c r="B37849" s="12"/>
      <c r="C37849" s="8"/>
      <c r="D37849" s="8"/>
    </row>
    <row r="37850" spans="1:4" ht="15.75" customHeight="1">
      <c r="A37850" s="8"/>
      <c r="B37850" s="12"/>
      <c r="C37850" s="8"/>
      <c r="D37850" s="8"/>
    </row>
    <row r="37851" spans="1:4" ht="15.75" customHeight="1">
      <c r="A37851" s="8"/>
      <c r="B37851" s="12"/>
      <c r="C37851" s="8"/>
      <c r="D37851" s="8"/>
    </row>
    <row r="37852" spans="1:4" ht="15.75" customHeight="1">
      <c r="A37852" s="8"/>
      <c r="B37852" s="12"/>
      <c r="C37852" s="8"/>
      <c r="D37852" s="8"/>
    </row>
    <row r="37853" spans="1:4" ht="15.75" customHeight="1">
      <c r="A37853" s="8"/>
      <c r="B37853" s="12"/>
      <c r="C37853" s="8"/>
      <c r="D37853" s="8"/>
    </row>
    <row r="37854" spans="1:4" ht="15.75" customHeight="1">
      <c r="A37854" s="8"/>
      <c r="B37854" s="12"/>
      <c r="C37854" s="8"/>
      <c r="D37854" s="8"/>
    </row>
    <row r="37855" spans="1:4" ht="15.75" customHeight="1">
      <c r="A37855" s="8"/>
      <c r="B37855" s="12"/>
      <c r="C37855" s="8"/>
      <c r="D37855" s="8"/>
    </row>
    <row r="37856" spans="1:4" ht="15.75" customHeight="1">
      <c r="A37856" s="8"/>
      <c r="B37856" s="12"/>
      <c r="C37856" s="8"/>
      <c r="D37856" s="8"/>
    </row>
    <row r="37857" spans="1:4" ht="15.75" customHeight="1">
      <c r="A37857" s="8"/>
      <c r="B37857" s="12"/>
      <c r="C37857" s="8"/>
      <c r="D37857" s="8"/>
    </row>
    <row r="37858" spans="1:4" ht="15.75" customHeight="1">
      <c r="A37858" s="8"/>
      <c r="B37858" s="12"/>
      <c r="C37858" s="8"/>
      <c r="D37858" s="8"/>
    </row>
    <row r="37859" spans="1:4" ht="15.75" customHeight="1">
      <c r="A37859" s="8"/>
      <c r="B37859" s="12"/>
      <c r="C37859" s="8"/>
      <c r="D37859" s="8"/>
    </row>
    <row r="37860" spans="1:4" ht="15.75" customHeight="1">
      <c r="A37860" s="8"/>
      <c r="B37860" s="12"/>
      <c r="C37860" s="8"/>
      <c r="D37860" s="8"/>
    </row>
    <row r="37861" spans="1:4" ht="15.75" customHeight="1">
      <c r="A37861" s="8"/>
      <c r="B37861" s="12"/>
      <c r="C37861" s="8"/>
      <c r="D37861" s="8"/>
    </row>
    <row r="37862" spans="1:4" ht="15.75" customHeight="1">
      <c r="A37862" s="8"/>
      <c r="B37862" s="12"/>
      <c r="C37862" s="8"/>
      <c r="D37862" s="8"/>
    </row>
    <row r="37863" spans="1:4" ht="15.75" customHeight="1">
      <c r="A37863" s="8"/>
      <c r="B37863" s="12"/>
      <c r="C37863" s="8"/>
      <c r="D37863" s="8"/>
    </row>
    <row r="37864" spans="1:4" ht="15.75" customHeight="1">
      <c r="A37864" s="8"/>
      <c r="B37864" s="12"/>
      <c r="C37864" s="8"/>
      <c r="D37864" s="8"/>
    </row>
    <row r="37865" spans="1:4" ht="15.75" customHeight="1">
      <c r="A37865" s="8"/>
      <c r="B37865" s="12"/>
      <c r="C37865" s="8"/>
      <c r="D37865" s="8"/>
    </row>
    <row r="37866" spans="1:4" ht="15.75" customHeight="1">
      <c r="A37866" s="8"/>
      <c r="B37866" s="12"/>
      <c r="C37866" s="8"/>
      <c r="D37866" s="8"/>
    </row>
    <row r="37867" spans="1:4" ht="15.75" customHeight="1">
      <c r="A37867" s="8"/>
      <c r="B37867" s="12"/>
      <c r="C37867" s="8"/>
      <c r="D37867" s="8"/>
    </row>
    <row r="37868" spans="1:4" ht="15.75" customHeight="1">
      <c r="A37868" s="8"/>
      <c r="B37868" s="12"/>
      <c r="C37868" s="8"/>
      <c r="D37868" s="8"/>
    </row>
    <row r="37869" spans="1:4" ht="15.75" customHeight="1">
      <c r="A37869" s="8"/>
      <c r="B37869" s="12"/>
      <c r="C37869" s="8"/>
      <c r="D37869" s="8"/>
    </row>
    <row r="37870" spans="1:4" ht="15.75" customHeight="1">
      <c r="A37870" s="8"/>
      <c r="B37870" s="12"/>
      <c r="C37870" s="8"/>
      <c r="D37870" s="8"/>
    </row>
    <row r="37871" spans="1:4" ht="15.75" customHeight="1">
      <c r="A37871" s="8"/>
      <c r="B37871" s="12"/>
      <c r="C37871" s="8"/>
      <c r="D37871" s="8"/>
    </row>
    <row r="37872" spans="1:4" ht="15.75" customHeight="1">
      <c r="A37872" s="8"/>
      <c r="B37872" s="12"/>
      <c r="C37872" s="8"/>
      <c r="D37872" s="8"/>
    </row>
    <row r="37873" spans="1:4" ht="15.75" customHeight="1">
      <c r="A37873" s="8"/>
      <c r="B37873" s="12"/>
      <c r="C37873" s="8"/>
      <c r="D37873" s="8"/>
    </row>
    <row r="37874" spans="1:4" ht="15.75" customHeight="1">
      <c r="A37874" s="8"/>
      <c r="B37874" s="12"/>
      <c r="C37874" s="8"/>
      <c r="D37874" s="8"/>
    </row>
    <row r="37875" spans="1:4" ht="15.75" customHeight="1">
      <c r="A37875" s="8"/>
      <c r="B37875" s="12"/>
      <c r="C37875" s="8"/>
      <c r="D37875" s="8"/>
    </row>
    <row r="37876" spans="1:4" ht="15.75" customHeight="1">
      <c r="A37876" s="8"/>
      <c r="B37876" s="12"/>
      <c r="C37876" s="8"/>
      <c r="D37876" s="8"/>
    </row>
    <row r="37877" spans="1:4" ht="15.75" customHeight="1">
      <c r="A37877" s="8"/>
      <c r="B37877" s="12"/>
      <c r="C37877" s="8"/>
      <c r="D37877" s="8"/>
    </row>
    <row r="37878" spans="1:4" ht="15.75" customHeight="1">
      <c r="A37878" s="8"/>
      <c r="B37878" s="12"/>
      <c r="C37878" s="8"/>
      <c r="D37878" s="8"/>
    </row>
    <row r="37879" spans="1:4" ht="15.75" customHeight="1">
      <c r="A37879" s="8"/>
      <c r="B37879" s="12"/>
      <c r="C37879" s="8"/>
      <c r="D37879" s="8"/>
    </row>
    <row r="37880" spans="1:4" ht="15.75" customHeight="1">
      <c r="A37880" s="8"/>
      <c r="B37880" s="12"/>
      <c r="C37880" s="8"/>
      <c r="D37880" s="8"/>
    </row>
    <row r="37881" spans="1:4" ht="15.75" customHeight="1">
      <c r="A37881" s="8"/>
      <c r="B37881" s="12"/>
      <c r="C37881" s="8"/>
      <c r="D37881" s="8"/>
    </row>
    <row r="37882" spans="1:4" ht="15.75" customHeight="1">
      <c r="A37882" s="8"/>
      <c r="B37882" s="12"/>
      <c r="C37882" s="8"/>
      <c r="D37882" s="8"/>
    </row>
    <row r="37883" spans="1:4" ht="15.75" customHeight="1">
      <c r="A37883" s="8"/>
      <c r="B37883" s="12"/>
      <c r="C37883" s="8"/>
      <c r="D37883" s="8"/>
    </row>
    <row r="37884" spans="1:4" ht="15.75" customHeight="1">
      <c r="A37884" s="8"/>
      <c r="B37884" s="12"/>
      <c r="C37884" s="8"/>
      <c r="D37884" s="8"/>
    </row>
    <row r="37885" spans="1:4" ht="15.75" customHeight="1">
      <c r="A37885" s="8"/>
      <c r="B37885" s="12"/>
      <c r="C37885" s="8"/>
      <c r="D37885" s="8"/>
    </row>
    <row r="37886" spans="1:4" ht="15.75" customHeight="1">
      <c r="A37886" s="8"/>
      <c r="B37886" s="12"/>
      <c r="C37886" s="8"/>
      <c r="D37886" s="8"/>
    </row>
    <row r="37887" spans="1:4" ht="15.75" customHeight="1">
      <c r="A37887" s="8"/>
      <c r="B37887" s="12"/>
      <c r="C37887" s="8"/>
      <c r="D37887" s="8"/>
    </row>
    <row r="37888" spans="1:4" ht="15.75" customHeight="1">
      <c r="A37888" s="8"/>
      <c r="B37888" s="12"/>
      <c r="C37888" s="8"/>
      <c r="D37888" s="8"/>
    </row>
    <row r="37889" spans="1:4" ht="15.75" customHeight="1">
      <c r="A37889" s="8"/>
      <c r="B37889" s="12"/>
      <c r="C37889" s="8"/>
      <c r="D37889" s="8"/>
    </row>
    <row r="37890" spans="1:4" ht="15.75" customHeight="1">
      <c r="A37890" s="8"/>
      <c r="B37890" s="12"/>
      <c r="C37890" s="8"/>
      <c r="D37890" s="8"/>
    </row>
    <row r="37891" spans="1:4" ht="15.75" customHeight="1">
      <c r="A37891" s="8"/>
      <c r="B37891" s="12"/>
      <c r="C37891" s="8"/>
      <c r="D37891" s="8"/>
    </row>
    <row r="37892" spans="1:4" ht="15.75" customHeight="1">
      <c r="A37892" s="8"/>
      <c r="B37892" s="12"/>
      <c r="C37892" s="8"/>
      <c r="D37892" s="8"/>
    </row>
    <row r="37893" spans="1:4" ht="15.75" customHeight="1">
      <c r="A37893" s="8"/>
      <c r="B37893" s="12"/>
      <c r="C37893" s="8"/>
      <c r="D37893" s="8"/>
    </row>
    <row r="37894" spans="1:4" ht="15.75" customHeight="1">
      <c r="A37894" s="8"/>
      <c r="B37894" s="12"/>
      <c r="C37894" s="8"/>
      <c r="D37894" s="8"/>
    </row>
    <row r="37895" spans="1:4" ht="15.75" customHeight="1">
      <c r="A37895" s="8"/>
      <c r="B37895" s="12"/>
      <c r="C37895" s="8"/>
      <c r="D37895" s="8"/>
    </row>
    <row r="37896" spans="1:4" ht="15.75" customHeight="1">
      <c r="A37896" s="8"/>
      <c r="B37896" s="12"/>
      <c r="C37896" s="8"/>
      <c r="D37896" s="8"/>
    </row>
    <row r="37897" spans="1:4" ht="15.75" customHeight="1">
      <c r="A37897" s="8"/>
      <c r="B37897" s="12"/>
      <c r="C37897" s="8"/>
      <c r="D37897" s="8"/>
    </row>
    <row r="37898" spans="1:4" ht="15.75" customHeight="1">
      <c r="A37898" s="8"/>
      <c r="B37898" s="12"/>
      <c r="C37898" s="8"/>
      <c r="D37898" s="8"/>
    </row>
    <row r="37899" spans="1:4" ht="15.75" customHeight="1">
      <c r="A37899" s="8"/>
      <c r="B37899" s="12"/>
      <c r="C37899" s="8"/>
      <c r="D37899" s="8"/>
    </row>
    <row r="37900" spans="1:4" ht="15.75" customHeight="1">
      <c r="A37900" s="8"/>
      <c r="B37900" s="12"/>
      <c r="C37900" s="8"/>
      <c r="D37900" s="8"/>
    </row>
    <row r="37901" spans="1:4" ht="15.75" customHeight="1">
      <c r="A37901" s="8"/>
      <c r="B37901" s="12"/>
      <c r="C37901" s="8"/>
      <c r="D37901" s="8"/>
    </row>
    <row r="37902" spans="1:4" ht="15.75" customHeight="1">
      <c r="A37902" s="8"/>
      <c r="B37902" s="12"/>
      <c r="C37902" s="8"/>
      <c r="D37902" s="8"/>
    </row>
    <row r="37903" spans="1:4" ht="15.75" customHeight="1">
      <c r="A37903" s="8"/>
      <c r="B37903" s="12"/>
      <c r="C37903" s="8"/>
      <c r="D37903" s="8"/>
    </row>
    <row r="37904" spans="1:4" ht="15.75" customHeight="1">
      <c r="A37904" s="8"/>
      <c r="B37904" s="12"/>
      <c r="C37904" s="8"/>
      <c r="D37904" s="8"/>
    </row>
    <row r="37905" spans="1:4" ht="15.75" customHeight="1">
      <c r="A37905" s="8"/>
      <c r="B37905" s="12"/>
      <c r="C37905" s="8"/>
      <c r="D37905" s="8"/>
    </row>
    <row r="37906" spans="1:4" ht="15.75" customHeight="1">
      <c r="A37906" s="8"/>
      <c r="B37906" s="12"/>
      <c r="C37906" s="8"/>
      <c r="D37906" s="8"/>
    </row>
    <row r="37907" spans="1:4" ht="15.75" customHeight="1">
      <c r="A37907" s="8"/>
      <c r="B37907" s="12"/>
      <c r="C37907" s="8"/>
      <c r="D37907" s="8"/>
    </row>
    <row r="37908" spans="1:4" ht="15.75" customHeight="1">
      <c r="A37908" s="8"/>
      <c r="B37908" s="12"/>
      <c r="C37908" s="8"/>
      <c r="D37908" s="8"/>
    </row>
    <row r="37909" spans="1:4" ht="15.75" customHeight="1">
      <c r="A37909" s="8"/>
      <c r="B37909" s="12"/>
      <c r="C37909" s="8"/>
      <c r="D37909" s="8"/>
    </row>
    <row r="37910" spans="1:4" ht="15.75" customHeight="1">
      <c r="A37910" s="8"/>
      <c r="B37910" s="12"/>
      <c r="C37910" s="8"/>
      <c r="D37910" s="8"/>
    </row>
    <row r="37911" spans="1:4" ht="15.75" customHeight="1">
      <c r="A37911" s="8"/>
      <c r="B37911" s="12"/>
      <c r="C37911" s="8"/>
      <c r="D37911" s="8"/>
    </row>
    <row r="37912" spans="1:4" ht="15.75" customHeight="1">
      <c r="A37912" s="8"/>
      <c r="B37912" s="12"/>
      <c r="C37912" s="8"/>
      <c r="D37912" s="8"/>
    </row>
    <row r="37913" spans="1:4" ht="15.75" customHeight="1">
      <c r="A37913" s="8"/>
      <c r="B37913" s="12"/>
      <c r="C37913" s="8"/>
      <c r="D37913" s="8"/>
    </row>
    <row r="37914" spans="1:4" ht="15.75" customHeight="1">
      <c r="A37914" s="8"/>
      <c r="B37914" s="12"/>
      <c r="C37914" s="8"/>
      <c r="D37914" s="8"/>
    </row>
    <row r="37915" spans="1:4" ht="15.75" customHeight="1">
      <c r="A37915" s="8"/>
      <c r="B37915" s="12"/>
      <c r="C37915" s="8"/>
      <c r="D37915" s="8"/>
    </row>
    <row r="37916" spans="1:4" ht="15.75" customHeight="1">
      <c r="A37916" s="8"/>
      <c r="B37916" s="12"/>
      <c r="C37916" s="8"/>
      <c r="D37916" s="8"/>
    </row>
    <row r="37917" spans="1:4" ht="15.75" customHeight="1">
      <c r="A37917" s="8"/>
      <c r="B37917" s="12"/>
      <c r="C37917" s="8"/>
      <c r="D37917" s="8"/>
    </row>
    <row r="37918" spans="1:4" ht="15.75" customHeight="1">
      <c r="A37918" s="8"/>
      <c r="B37918" s="12"/>
      <c r="C37918" s="8"/>
      <c r="D37918" s="8"/>
    </row>
    <row r="37919" spans="1:4" ht="15.75" customHeight="1">
      <c r="A37919" s="8"/>
      <c r="B37919" s="12"/>
      <c r="C37919" s="8"/>
      <c r="D37919" s="8"/>
    </row>
    <row r="37920" spans="1:4" ht="15.75" customHeight="1">
      <c r="A37920" s="8"/>
      <c r="B37920" s="12"/>
      <c r="C37920" s="8"/>
      <c r="D37920" s="8"/>
    </row>
    <row r="37921" spans="1:4" ht="15.75" customHeight="1">
      <c r="A37921" s="8"/>
      <c r="B37921" s="12"/>
      <c r="C37921" s="8"/>
      <c r="D37921" s="8"/>
    </row>
    <row r="37922" spans="1:4" ht="15.75" customHeight="1">
      <c r="A37922" s="8"/>
      <c r="B37922" s="12"/>
      <c r="C37922" s="8"/>
      <c r="D37922" s="8"/>
    </row>
    <row r="37923" spans="1:4" ht="15.75" customHeight="1">
      <c r="A37923" s="8"/>
      <c r="B37923" s="12"/>
      <c r="C37923" s="8"/>
      <c r="D37923" s="8"/>
    </row>
    <row r="37924" spans="1:4" ht="15.75" customHeight="1">
      <c r="A37924" s="8"/>
      <c r="B37924" s="12"/>
      <c r="C37924" s="8"/>
      <c r="D37924" s="8"/>
    </row>
    <row r="37925" spans="1:4" ht="15.75" customHeight="1">
      <c r="A37925" s="8"/>
      <c r="B37925" s="12"/>
      <c r="C37925" s="8"/>
      <c r="D37925" s="8"/>
    </row>
    <row r="37926" spans="1:4" ht="15.75" customHeight="1">
      <c r="A37926" s="8"/>
      <c r="B37926" s="12"/>
      <c r="C37926" s="8"/>
      <c r="D37926" s="8"/>
    </row>
    <row r="37927" spans="1:4" ht="15.75" customHeight="1">
      <c r="A37927" s="8"/>
      <c r="B37927" s="12"/>
      <c r="C37927" s="8"/>
      <c r="D37927" s="8"/>
    </row>
    <row r="37928" spans="1:4" ht="15.75" customHeight="1">
      <c r="A37928" s="8"/>
      <c r="B37928" s="12"/>
      <c r="C37928" s="8"/>
      <c r="D37928" s="8"/>
    </row>
    <row r="37929" spans="1:4" ht="15.75" customHeight="1">
      <c r="A37929" s="8"/>
      <c r="B37929" s="12"/>
      <c r="C37929" s="8"/>
      <c r="D37929" s="8"/>
    </row>
    <row r="37930" spans="1:4" ht="15.75" customHeight="1">
      <c r="A37930" s="8"/>
      <c r="B37930" s="12"/>
      <c r="C37930" s="8"/>
      <c r="D37930" s="8"/>
    </row>
    <row r="37931" spans="1:4" ht="15.75" customHeight="1">
      <c r="A37931" s="8"/>
      <c r="B37931" s="12"/>
      <c r="C37931" s="8"/>
      <c r="D37931" s="8"/>
    </row>
    <row r="37932" spans="1:4" ht="15.75" customHeight="1">
      <c r="A37932" s="8"/>
      <c r="B37932" s="12"/>
      <c r="C37932" s="8"/>
      <c r="D37932" s="8"/>
    </row>
    <row r="37933" spans="1:4" ht="15.75" customHeight="1">
      <c r="A37933" s="8"/>
      <c r="B37933" s="12"/>
      <c r="C37933" s="8"/>
      <c r="D37933" s="8"/>
    </row>
    <row r="37934" spans="1:4" ht="15.75" customHeight="1">
      <c r="A37934" s="8"/>
      <c r="B37934" s="12"/>
      <c r="C37934" s="8"/>
      <c r="D37934" s="8"/>
    </row>
    <row r="37935" spans="1:4" ht="15.75" customHeight="1">
      <c r="A37935" s="8"/>
      <c r="B37935" s="12"/>
      <c r="C37935" s="8"/>
      <c r="D37935" s="8"/>
    </row>
    <row r="37936" spans="1:4" ht="15.75" customHeight="1">
      <c r="A37936" s="8"/>
      <c r="B37936" s="12"/>
      <c r="C37936" s="8"/>
      <c r="D37936" s="8"/>
    </row>
    <row r="37937" spans="1:4" ht="15.75" customHeight="1">
      <c r="A37937" s="8"/>
      <c r="B37937" s="12"/>
      <c r="C37937" s="8"/>
      <c r="D37937" s="8"/>
    </row>
    <row r="37938" spans="1:4" ht="15.75" customHeight="1">
      <c r="A37938" s="8"/>
      <c r="B37938" s="12"/>
      <c r="C37938" s="8"/>
      <c r="D37938" s="8"/>
    </row>
    <row r="37939" spans="1:4" ht="15.75" customHeight="1">
      <c r="A37939" s="8"/>
      <c r="B37939" s="12"/>
      <c r="C37939" s="8"/>
      <c r="D37939" s="8"/>
    </row>
    <row r="37940" spans="1:4" ht="15.75" customHeight="1">
      <c r="A37940" s="8"/>
      <c r="B37940" s="12"/>
      <c r="C37940" s="8"/>
      <c r="D37940" s="8"/>
    </row>
    <row r="37941" spans="1:4" ht="15.75" customHeight="1">
      <c r="A37941" s="8"/>
      <c r="B37941" s="12"/>
      <c r="C37941" s="8"/>
      <c r="D37941" s="8"/>
    </row>
    <row r="37942" spans="1:4" ht="15.75" customHeight="1">
      <c r="A37942" s="8"/>
      <c r="B37942" s="12"/>
      <c r="C37942" s="8"/>
      <c r="D37942" s="8"/>
    </row>
    <row r="37943" spans="1:4" ht="15.75" customHeight="1">
      <c r="A37943" s="8"/>
      <c r="B37943" s="12"/>
      <c r="C37943" s="8"/>
      <c r="D37943" s="8"/>
    </row>
    <row r="37944" spans="1:4" ht="15.75" customHeight="1">
      <c r="A37944" s="8"/>
      <c r="B37944" s="12"/>
      <c r="C37944" s="8"/>
      <c r="D37944" s="8"/>
    </row>
    <row r="37945" spans="1:4" ht="15.75" customHeight="1">
      <c r="A37945" s="8"/>
      <c r="B37945" s="12"/>
      <c r="C37945" s="8"/>
      <c r="D37945" s="8"/>
    </row>
    <row r="37946" spans="1:4" ht="15.75" customHeight="1">
      <c r="A37946" s="8"/>
      <c r="B37946" s="12"/>
      <c r="C37946" s="8"/>
      <c r="D37946" s="8"/>
    </row>
    <row r="37947" spans="1:4" ht="15.75" customHeight="1">
      <c r="A37947" s="8"/>
      <c r="B37947" s="12"/>
      <c r="C37947" s="8"/>
      <c r="D37947" s="8"/>
    </row>
    <row r="37948" spans="1:4" ht="15.75" customHeight="1">
      <c r="A37948" s="8"/>
      <c r="B37948" s="12"/>
      <c r="C37948" s="8"/>
      <c r="D37948" s="8"/>
    </row>
    <row r="37949" spans="1:4" ht="15.75" customHeight="1">
      <c r="A37949" s="8"/>
      <c r="B37949" s="12"/>
      <c r="C37949" s="8"/>
      <c r="D37949" s="8"/>
    </row>
    <row r="37950" spans="1:4" ht="15.75" customHeight="1">
      <c r="A37950" s="8"/>
      <c r="B37950" s="12"/>
      <c r="C37950" s="8"/>
      <c r="D37950" s="8"/>
    </row>
    <row r="37951" spans="1:4" ht="15.75" customHeight="1">
      <c r="A37951" s="8"/>
      <c r="B37951" s="12"/>
      <c r="C37951" s="8"/>
      <c r="D37951" s="8"/>
    </row>
    <row r="37952" spans="1:4" ht="15.75" customHeight="1">
      <c r="A37952" s="8"/>
      <c r="B37952" s="12"/>
      <c r="C37952" s="8"/>
      <c r="D37952" s="8"/>
    </row>
    <row r="37953" spans="1:4" ht="15.75" customHeight="1">
      <c r="A37953" s="8"/>
      <c r="B37953" s="12"/>
      <c r="C37953" s="8"/>
      <c r="D37953" s="8"/>
    </row>
    <row r="37954" spans="1:4" ht="15.75" customHeight="1">
      <c r="A37954" s="8"/>
      <c r="B37954" s="12"/>
      <c r="C37954" s="8"/>
      <c r="D37954" s="8"/>
    </row>
    <row r="37955" spans="1:4" ht="15.75" customHeight="1">
      <c r="A37955" s="8"/>
      <c r="B37955" s="12"/>
      <c r="C37955" s="8"/>
      <c r="D37955" s="8"/>
    </row>
    <row r="37956" spans="1:4" ht="15.75" customHeight="1">
      <c r="A37956" s="8"/>
      <c r="B37956" s="12"/>
      <c r="C37956" s="8"/>
      <c r="D37956" s="8"/>
    </row>
    <row r="37957" spans="1:4" ht="15.75" customHeight="1">
      <c r="A37957" s="8"/>
      <c r="B37957" s="12"/>
      <c r="C37957" s="8"/>
      <c r="D37957" s="8"/>
    </row>
    <row r="37958" spans="1:4" ht="15.75" customHeight="1">
      <c r="A37958" s="8"/>
      <c r="B37958" s="12"/>
      <c r="C37958" s="8"/>
      <c r="D37958" s="8"/>
    </row>
    <row r="37959" spans="1:4" ht="15.75" customHeight="1">
      <c r="A37959" s="8"/>
      <c r="B37959" s="12"/>
      <c r="C37959" s="8"/>
      <c r="D37959" s="8"/>
    </row>
    <row r="37960" spans="1:4" ht="15.75" customHeight="1">
      <c r="A37960" s="8"/>
      <c r="B37960" s="12"/>
      <c r="C37960" s="8"/>
      <c r="D37960" s="8"/>
    </row>
    <row r="37961" spans="1:4" ht="15.75" customHeight="1">
      <c r="A37961" s="8"/>
      <c r="B37961" s="12"/>
      <c r="C37961" s="8"/>
      <c r="D37961" s="8"/>
    </row>
    <row r="37962" spans="1:4" ht="15.75" customHeight="1">
      <c r="A37962" s="8"/>
      <c r="B37962" s="12"/>
      <c r="C37962" s="8"/>
      <c r="D37962" s="8"/>
    </row>
    <row r="37963" spans="1:4" ht="15.75" customHeight="1">
      <c r="A37963" s="8"/>
      <c r="B37963" s="12"/>
      <c r="C37963" s="8"/>
      <c r="D37963" s="8"/>
    </row>
    <row r="37964" spans="1:4" ht="15.75" customHeight="1">
      <c r="A37964" s="8"/>
      <c r="B37964" s="12"/>
      <c r="C37964" s="8"/>
      <c r="D37964" s="8"/>
    </row>
    <row r="37965" spans="1:4" ht="15.75" customHeight="1">
      <c r="A37965" s="8"/>
      <c r="B37965" s="12"/>
      <c r="C37965" s="8"/>
      <c r="D37965" s="8"/>
    </row>
    <row r="37966" spans="1:4" ht="15.75" customHeight="1">
      <c r="A37966" s="8"/>
      <c r="B37966" s="12"/>
      <c r="C37966" s="8"/>
      <c r="D37966" s="8"/>
    </row>
    <row r="37967" spans="1:4" ht="15.75" customHeight="1">
      <c r="A37967" s="8"/>
      <c r="B37967" s="12"/>
      <c r="C37967" s="8"/>
      <c r="D37967" s="8"/>
    </row>
    <row r="37968" spans="1:4" ht="15.75" customHeight="1">
      <c r="A37968" s="8"/>
      <c r="B37968" s="12"/>
      <c r="C37968" s="8"/>
      <c r="D37968" s="8"/>
    </row>
    <row r="37969" spans="1:4" ht="15.75" customHeight="1">
      <c r="A37969" s="8"/>
      <c r="B37969" s="12"/>
      <c r="C37969" s="8"/>
      <c r="D37969" s="8"/>
    </row>
    <row r="37970" spans="1:4" ht="15.75" customHeight="1">
      <c r="A37970" s="8"/>
      <c r="B37970" s="12"/>
      <c r="C37970" s="8"/>
      <c r="D37970" s="8"/>
    </row>
    <row r="37971" spans="1:4" ht="15.75" customHeight="1">
      <c r="A37971" s="8"/>
      <c r="B37971" s="12"/>
      <c r="C37971" s="8"/>
      <c r="D37971" s="8"/>
    </row>
    <row r="37972" spans="1:4" ht="15.75" customHeight="1">
      <c r="A37972" s="8"/>
      <c r="B37972" s="12"/>
      <c r="C37972" s="8"/>
      <c r="D37972" s="8"/>
    </row>
    <row r="37973" spans="1:4" ht="15.75" customHeight="1">
      <c r="A37973" s="8"/>
      <c r="B37973" s="12"/>
      <c r="C37973" s="8"/>
      <c r="D37973" s="8"/>
    </row>
    <row r="37974" spans="1:4" ht="15.75" customHeight="1">
      <c r="A37974" s="8"/>
      <c r="B37974" s="12"/>
      <c r="C37974" s="8"/>
      <c r="D37974" s="8"/>
    </row>
    <row r="37975" spans="1:4" ht="15.75" customHeight="1">
      <c r="A37975" s="8"/>
      <c r="B37975" s="12"/>
      <c r="C37975" s="8"/>
      <c r="D37975" s="8"/>
    </row>
    <row r="37976" spans="1:4" ht="15.75" customHeight="1">
      <c r="A37976" s="8"/>
      <c r="B37976" s="12"/>
      <c r="C37976" s="8"/>
      <c r="D37976" s="8"/>
    </row>
    <row r="37977" spans="1:4" ht="15.75" customHeight="1">
      <c r="A37977" s="8"/>
      <c r="B37977" s="12"/>
      <c r="C37977" s="8"/>
      <c r="D37977" s="8"/>
    </row>
    <row r="37978" spans="1:4" ht="15.75" customHeight="1">
      <c r="A37978" s="8"/>
      <c r="B37978" s="12"/>
      <c r="C37978" s="8"/>
      <c r="D37978" s="8"/>
    </row>
    <row r="37979" spans="1:4" ht="15.75" customHeight="1">
      <c r="A37979" s="8"/>
      <c r="B37979" s="12"/>
      <c r="C37979" s="8"/>
      <c r="D37979" s="8"/>
    </row>
    <row r="37980" spans="1:4" ht="15.75" customHeight="1">
      <c r="A37980" s="8"/>
      <c r="B37980" s="12"/>
      <c r="C37980" s="8"/>
      <c r="D37980" s="8"/>
    </row>
    <row r="37981" spans="1:4" ht="15.75" customHeight="1">
      <c r="A37981" s="8"/>
      <c r="B37981" s="12"/>
      <c r="C37981" s="8"/>
      <c r="D37981" s="8"/>
    </row>
    <row r="37982" spans="1:4" ht="15.75" customHeight="1">
      <c r="A37982" s="8"/>
      <c r="B37982" s="12"/>
      <c r="C37982" s="8"/>
      <c r="D37982" s="8"/>
    </row>
    <row r="37983" spans="1:4" ht="15.75" customHeight="1">
      <c r="A37983" s="8"/>
      <c r="B37983" s="12"/>
      <c r="C37983" s="8"/>
      <c r="D37983" s="8"/>
    </row>
    <row r="37984" spans="1:4" ht="15.75" customHeight="1">
      <c r="A37984" s="8"/>
      <c r="B37984" s="12"/>
      <c r="C37984" s="8"/>
      <c r="D37984" s="8"/>
    </row>
    <row r="37985" spans="1:4" ht="15.75" customHeight="1">
      <c r="A37985" s="8"/>
      <c r="B37985" s="12"/>
      <c r="C37985" s="8"/>
      <c r="D37985" s="8"/>
    </row>
    <row r="37986" spans="1:4" ht="15.75" customHeight="1">
      <c r="A37986" s="8"/>
      <c r="B37986" s="12"/>
      <c r="C37986" s="8"/>
      <c r="D37986" s="8"/>
    </row>
    <row r="37987" spans="1:4" ht="15.75" customHeight="1">
      <c r="A37987" s="8"/>
      <c r="B37987" s="12"/>
      <c r="C37987" s="8"/>
      <c r="D37987" s="8"/>
    </row>
    <row r="37988" spans="1:4" ht="15.75" customHeight="1">
      <c r="A37988" s="8"/>
      <c r="B37988" s="12"/>
      <c r="C37988" s="8"/>
      <c r="D37988" s="8"/>
    </row>
    <row r="37989" spans="1:4" ht="15.75" customHeight="1">
      <c r="A37989" s="8"/>
      <c r="B37989" s="12"/>
      <c r="C37989" s="8"/>
      <c r="D37989" s="8"/>
    </row>
    <row r="37990" spans="1:4" ht="15.75" customHeight="1">
      <c r="A37990" s="8"/>
      <c r="B37990" s="12"/>
      <c r="C37990" s="8"/>
      <c r="D37990" s="8"/>
    </row>
    <row r="37991" spans="1:4" ht="15.75" customHeight="1">
      <c r="A37991" s="8"/>
      <c r="B37991" s="12"/>
      <c r="C37991" s="8"/>
      <c r="D37991" s="8"/>
    </row>
    <row r="37992" spans="1:4" ht="15.75" customHeight="1">
      <c r="A37992" s="8"/>
      <c r="B37992" s="12"/>
      <c r="C37992" s="8"/>
      <c r="D37992" s="8"/>
    </row>
    <row r="37993" spans="1:4" ht="15.75" customHeight="1">
      <c r="A37993" s="8"/>
      <c r="B37993" s="12"/>
      <c r="C37993" s="8"/>
      <c r="D37993" s="8"/>
    </row>
    <row r="37994" spans="1:4" ht="15.75" customHeight="1">
      <c r="A37994" s="8"/>
      <c r="B37994" s="12"/>
      <c r="C37994" s="8"/>
      <c r="D37994" s="8"/>
    </row>
    <row r="37995" spans="1:4" ht="15.75" customHeight="1">
      <c r="A37995" s="8"/>
      <c r="B37995" s="12"/>
      <c r="C37995" s="8"/>
      <c r="D37995" s="8"/>
    </row>
    <row r="37996" spans="1:4" ht="15.75" customHeight="1">
      <c r="A37996" s="8"/>
      <c r="B37996" s="12"/>
      <c r="C37996" s="8"/>
      <c r="D37996" s="8"/>
    </row>
    <row r="37997" spans="1:4" ht="15.75" customHeight="1">
      <c r="A37997" s="8"/>
      <c r="B37997" s="12"/>
      <c r="C37997" s="8"/>
      <c r="D37997" s="8"/>
    </row>
    <row r="37998" spans="1:4" ht="15.75" customHeight="1">
      <c r="A37998" s="8"/>
      <c r="B37998" s="12"/>
      <c r="C37998" s="8"/>
      <c r="D37998" s="8"/>
    </row>
    <row r="37999" spans="1:4" ht="15.75" customHeight="1">
      <c r="A37999" s="8"/>
      <c r="B37999" s="12"/>
      <c r="C37999" s="8"/>
      <c r="D37999" s="8"/>
    </row>
    <row r="38000" spans="1:4" ht="15.75" customHeight="1">
      <c r="A38000" s="8"/>
      <c r="B38000" s="12"/>
      <c r="C38000" s="8"/>
      <c r="D38000" s="8"/>
    </row>
    <row r="38001" spans="1:4" ht="15.75" customHeight="1">
      <c r="A38001" s="8"/>
      <c r="B38001" s="12"/>
      <c r="C38001" s="8"/>
      <c r="D38001" s="8"/>
    </row>
    <row r="38002" spans="1:4" ht="15.75" customHeight="1">
      <c r="A38002" s="8"/>
      <c r="B38002" s="12"/>
      <c r="C38002" s="8"/>
      <c r="D38002" s="8"/>
    </row>
    <row r="38003" spans="1:4" ht="15.75" customHeight="1">
      <c r="A38003" s="8"/>
      <c r="B38003" s="12"/>
      <c r="C38003" s="8"/>
      <c r="D38003" s="8"/>
    </row>
    <row r="38004" spans="1:4" ht="15.75" customHeight="1">
      <c r="A38004" s="8"/>
      <c r="B38004" s="12"/>
      <c r="C38004" s="8"/>
      <c r="D38004" s="8"/>
    </row>
    <row r="38005" spans="1:4" ht="15.75" customHeight="1">
      <c r="A38005" s="8"/>
      <c r="B38005" s="12"/>
      <c r="C38005" s="8"/>
      <c r="D38005" s="8"/>
    </row>
    <row r="38006" spans="1:4" ht="15.75" customHeight="1">
      <c r="A38006" s="8"/>
      <c r="B38006" s="12"/>
      <c r="C38006" s="8"/>
      <c r="D38006" s="8"/>
    </row>
    <row r="38007" spans="1:4" ht="15.75" customHeight="1">
      <c r="A38007" s="8"/>
      <c r="B38007" s="12"/>
      <c r="C38007" s="8"/>
      <c r="D38007" s="8"/>
    </row>
    <row r="38008" spans="1:4" ht="15.75" customHeight="1">
      <c r="A38008" s="8"/>
      <c r="B38008" s="12"/>
      <c r="C38008" s="8"/>
      <c r="D38008" s="8"/>
    </row>
    <row r="38009" spans="1:4" ht="15.75" customHeight="1">
      <c r="A38009" s="8"/>
      <c r="B38009" s="12"/>
      <c r="C38009" s="8"/>
      <c r="D38009" s="8"/>
    </row>
    <row r="38010" spans="1:4" ht="15.75" customHeight="1">
      <c r="A38010" s="8"/>
      <c r="B38010" s="12"/>
      <c r="C38010" s="8"/>
      <c r="D38010" s="8"/>
    </row>
    <row r="38011" spans="1:4" ht="15.75" customHeight="1">
      <c r="A38011" s="8"/>
      <c r="B38011" s="12"/>
      <c r="C38011" s="8"/>
      <c r="D38011" s="8"/>
    </row>
    <row r="38012" spans="1:4" ht="15.75" customHeight="1">
      <c r="A38012" s="8"/>
      <c r="B38012" s="12"/>
      <c r="C38012" s="8"/>
      <c r="D38012" s="8"/>
    </row>
    <row r="38013" spans="1:4" ht="15.75" customHeight="1">
      <c r="A38013" s="8"/>
      <c r="B38013" s="12"/>
      <c r="C38013" s="8"/>
      <c r="D38013" s="8"/>
    </row>
    <row r="38014" spans="1:4" ht="15.75" customHeight="1">
      <c r="A38014" s="8"/>
      <c r="B38014" s="12"/>
      <c r="C38014" s="8"/>
      <c r="D38014" s="8"/>
    </row>
    <row r="38015" spans="1:4" ht="15.75" customHeight="1">
      <c r="A38015" s="8"/>
      <c r="B38015" s="12"/>
      <c r="C38015" s="8"/>
      <c r="D38015" s="8"/>
    </row>
    <row r="38016" spans="1:4" ht="15.75" customHeight="1">
      <c r="A38016" s="8"/>
      <c r="B38016" s="12"/>
      <c r="C38016" s="8"/>
      <c r="D38016" s="8"/>
    </row>
    <row r="38017" spans="1:4" ht="15.75" customHeight="1">
      <c r="A38017" s="8"/>
      <c r="B38017" s="12"/>
      <c r="C38017" s="8"/>
      <c r="D38017" s="8"/>
    </row>
    <row r="38018" spans="1:4" ht="15.75" customHeight="1">
      <c r="A38018" s="8"/>
      <c r="B38018" s="12"/>
      <c r="C38018" s="8"/>
      <c r="D38018" s="8"/>
    </row>
    <row r="38019" spans="1:4" ht="15.75" customHeight="1">
      <c r="A38019" s="8"/>
      <c r="B38019" s="12"/>
      <c r="C38019" s="8"/>
      <c r="D38019" s="8"/>
    </row>
    <row r="38020" spans="1:4" ht="15.75" customHeight="1">
      <c r="A38020" s="8"/>
      <c r="B38020" s="12"/>
      <c r="C38020" s="8"/>
      <c r="D38020" s="8"/>
    </row>
    <row r="38021" spans="1:4" ht="15.75" customHeight="1">
      <c r="A38021" s="8"/>
      <c r="B38021" s="12"/>
      <c r="C38021" s="8"/>
      <c r="D38021" s="8"/>
    </row>
    <row r="38022" spans="1:4" ht="15.75" customHeight="1">
      <c r="A38022" s="8"/>
      <c r="B38022" s="12"/>
      <c r="C38022" s="8"/>
      <c r="D38022" s="8"/>
    </row>
    <row r="38023" spans="1:4" ht="15.75" customHeight="1">
      <c r="A38023" s="8"/>
      <c r="B38023" s="12"/>
      <c r="C38023" s="8"/>
      <c r="D38023" s="8"/>
    </row>
    <row r="38024" spans="1:4" ht="15.75" customHeight="1">
      <c r="A38024" s="8"/>
      <c r="B38024" s="12"/>
      <c r="C38024" s="8"/>
      <c r="D38024" s="8"/>
    </row>
    <row r="38025" spans="1:4" ht="15.75" customHeight="1">
      <c r="A38025" s="8"/>
      <c r="B38025" s="12"/>
      <c r="C38025" s="8"/>
      <c r="D38025" s="8"/>
    </row>
    <row r="38026" spans="1:4" ht="15.75" customHeight="1">
      <c r="A38026" s="8"/>
      <c r="B38026" s="12"/>
      <c r="C38026" s="8"/>
      <c r="D38026" s="8"/>
    </row>
    <row r="38027" spans="1:4" ht="15.75" customHeight="1">
      <c r="A38027" s="8"/>
      <c r="B38027" s="12"/>
      <c r="C38027" s="8"/>
      <c r="D38027" s="8"/>
    </row>
    <row r="38028" spans="1:4" ht="15.75" customHeight="1">
      <c r="A38028" s="8"/>
      <c r="B38028" s="12"/>
      <c r="C38028" s="8"/>
      <c r="D38028" s="8"/>
    </row>
    <row r="38029" spans="1:4" ht="15.75" customHeight="1">
      <c r="A38029" s="8"/>
      <c r="B38029" s="12"/>
      <c r="C38029" s="8"/>
      <c r="D38029" s="8"/>
    </row>
    <row r="38030" spans="1:4" ht="15.75" customHeight="1">
      <c r="A38030" s="8"/>
      <c r="B38030" s="12"/>
      <c r="C38030" s="8"/>
      <c r="D38030" s="8"/>
    </row>
    <row r="38031" spans="1:4" ht="15.75" customHeight="1">
      <c r="A38031" s="8"/>
      <c r="B38031" s="12"/>
      <c r="C38031" s="8"/>
      <c r="D38031" s="8"/>
    </row>
    <row r="38032" spans="1:4" ht="15.75" customHeight="1">
      <c r="A38032" s="8"/>
      <c r="B38032" s="12"/>
      <c r="C38032" s="8"/>
      <c r="D38032" s="8"/>
    </row>
    <row r="38033" spans="1:4" ht="15.75" customHeight="1">
      <c r="A38033" s="8"/>
      <c r="B38033" s="12"/>
      <c r="C38033" s="8"/>
      <c r="D38033" s="8"/>
    </row>
    <row r="38034" spans="1:4" ht="15.75" customHeight="1">
      <c r="A38034" s="8"/>
      <c r="B38034" s="12"/>
      <c r="C38034" s="8"/>
      <c r="D38034" s="8"/>
    </row>
    <row r="38035" spans="1:4" ht="15.75" customHeight="1">
      <c r="A38035" s="8"/>
      <c r="B38035" s="12"/>
      <c r="C38035" s="8"/>
      <c r="D38035" s="8"/>
    </row>
    <row r="38036" spans="1:4" ht="15.75" customHeight="1">
      <c r="A38036" s="8"/>
      <c r="B38036" s="12"/>
      <c r="C38036" s="8"/>
      <c r="D38036" s="8"/>
    </row>
    <row r="38037" spans="1:4" ht="15.75" customHeight="1">
      <c r="A38037" s="8"/>
      <c r="B38037" s="12"/>
      <c r="C38037" s="8"/>
      <c r="D38037" s="8"/>
    </row>
    <row r="38038" spans="1:4" ht="15.75" customHeight="1">
      <c r="A38038" s="8"/>
      <c r="B38038" s="12"/>
      <c r="C38038" s="8"/>
      <c r="D38038" s="8"/>
    </row>
    <row r="38039" spans="1:4" ht="15.75" customHeight="1">
      <c r="A38039" s="8"/>
      <c r="B38039" s="12"/>
      <c r="C38039" s="8"/>
      <c r="D38039" s="8"/>
    </row>
    <row r="38040" spans="1:4" ht="15.75" customHeight="1">
      <c r="A38040" s="8"/>
      <c r="B38040" s="12"/>
      <c r="C38040" s="8"/>
      <c r="D38040" s="8"/>
    </row>
    <row r="38041" spans="1:4" ht="15.75" customHeight="1">
      <c r="A38041" s="8"/>
      <c r="B38041" s="12"/>
      <c r="C38041" s="8"/>
      <c r="D38041" s="8"/>
    </row>
    <row r="38042" spans="1:4" ht="15.75" customHeight="1">
      <c r="A38042" s="8"/>
      <c r="B38042" s="12"/>
      <c r="C38042" s="8"/>
      <c r="D38042" s="8"/>
    </row>
    <row r="38043" spans="1:4" ht="15.75" customHeight="1">
      <c r="A38043" s="8"/>
      <c r="B38043" s="12"/>
      <c r="C38043" s="8"/>
      <c r="D38043" s="8"/>
    </row>
    <row r="38044" spans="1:4" ht="15.75" customHeight="1">
      <c r="A38044" s="8"/>
      <c r="B38044" s="12"/>
      <c r="C38044" s="8"/>
      <c r="D38044" s="8"/>
    </row>
    <row r="38045" spans="1:4" ht="15.75" customHeight="1">
      <c r="A38045" s="8"/>
      <c r="B38045" s="12"/>
      <c r="C38045" s="8"/>
      <c r="D38045" s="8"/>
    </row>
    <row r="38046" spans="1:4" ht="15.75" customHeight="1">
      <c r="A38046" s="8"/>
      <c r="B38046" s="12"/>
      <c r="C38046" s="8"/>
      <c r="D38046" s="8"/>
    </row>
    <row r="38047" spans="1:4" ht="15.75" customHeight="1">
      <c r="A38047" s="8"/>
      <c r="B38047" s="12"/>
      <c r="C38047" s="8"/>
      <c r="D38047" s="8"/>
    </row>
    <row r="38048" spans="1:4" ht="15.75" customHeight="1">
      <c r="A38048" s="8"/>
      <c r="B38048" s="12"/>
      <c r="C38048" s="8"/>
      <c r="D38048" s="8"/>
    </row>
    <row r="38049" spans="1:4" ht="15.75" customHeight="1">
      <c r="A38049" s="8"/>
      <c r="B38049" s="12"/>
      <c r="C38049" s="8"/>
      <c r="D38049" s="8"/>
    </row>
    <row r="38050" spans="1:4" ht="15.75" customHeight="1">
      <c r="A38050" s="8"/>
      <c r="B38050" s="12"/>
      <c r="C38050" s="8"/>
      <c r="D38050" s="8"/>
    </row>
    <row r="38051" spans="1:4" ht="15.75" customHeight="1">
      <c r="A38051" s="8"/>
      <c r="B38051" s="12"/>
      <c r="C38051" s="8"/>
      <c r="D38051" s="8"/>
    </row>
    <row r="38052" spans="1:4" ht="15.75" customHeight="1">
      <c r="A38052" s="8"/>
      <c r="B38052" s="12"/>
      <c r="C38052" s="8"/>
      <c r="D38052" s="8"/>
    </row>
    <row r="38053" spans="1:4" ht="15.75" customHeight="1">
      <c r="A38053" s="8"/>
      <c r="B38053" s="12"/>
      <c r="C38053" s="8"/>
      <c r="D38053" s="8"/>
    </row>
    <row r="38054" spans="1:4" ht="15.75" customHeight="1">
      <c r="A38054" s="8"/>
      <c r="B38054" s="12"/>
      <c r="C38054" s="8"/>
      <c r="D38054" s="8"/>
    </row>
    <row r="38055" spans="1:4" ht="15.75" customHeight="1">
      <c r="A38055" s="8"/>
      <c r="B38055" s="12"/>
      <c r="C38055" s="8"/>
      <c r="D38055" s="8"/>
    </row>
    <row r="38056" spans="1:4" ht="15.75" customHeight="1">
      <c r="A38056" s="8"/>
      <c r="B38056" s="12"/>
      <c r="C38056" s="8"/>
      <c r="D38056" s="8"/>
    </row>
    <row r="38057" spans="1:4" ht="15.75" customHeight="1">
      <c r="A38057" s="8"/>
      <c r="B38057" s="12"/>
      <c r="C38057" s="8"/>
      <c r="D38057" s="8"/>
    </row>
    <row r="38058" spans="1:4" ht="15.75" customHeight="1">
      <c r="A38058" s="8"/>
      <c r="B38058" s="12"/>
      <c r="C38058" s="8"/>
      <c r="D38058" s="8"/>
    </row>
    <row r="38059" spans="1:4" ht="15.75" customHeight="1">
      <c r="A38059" s="8"/>
      <c r="B38059" s="12"/>
      <c r="C38059" s="8"/>
      <c r="D38059" s="8"/>
    </row>
    <row r="38060" spans="1:4" ht="15.75" customHeight="1">
      <c r="A38060" s="8"/>
      <c r="B38060" s="12"/>
      <c r="C38060" s="8"/>
      <c r="D38060" s="8"/>
    </row>
    <row r="38061" spans="1:4" ht="15.75" customHeight="1">
      <c r="A38061" s="8"/>
      <c r="B38061" s="12"/>
      <c r="C38061" s="8"/>
      <c r="D38061" s="8"/>
    </row>
    <row r="38062" spans="1:4" ht="15.75" customHeight="1">
      <c r="A38062" s="8"/>
      <c r="B38062" s="12"/>
      <c r="C38062" s="8"/>
      <c r="D38062" s="8"/>
    </row>
    <row r="38063" spans="1:4" ht="15.75" customHeight="1">
      <c r="A38063" s="8"/>
      <c r="B38063" s="12"/>
      <c r="C38063" s="8"/>
      <c r="D38063" s="8"/>
    </row>
    <row r="38064" spans="1:4" ht="15.75" customHeight="1">
      <c r="A38064" s="8"/>
      <c r="B38064" s="12"/>
      <c r="C38064" s="8"/>
      <c r="D38064" s="8"/>
    </row>
    <row r="38065" spans="1:4" ht="15.75" customHeight="1">
      <c r="A38065" s="8"/>
      <c r="B38065" s="12"/>
      <c r="C38065" s="8"/>
      <c r="D38065" s="8"/>
    </row>
    <row r="38066" spans="1:4" ht="15.75" customHeight="1">
      <c r="A38066" s="8"/>
      <c r="B38066" s="12"/>
      <c r="C38066" s="8"/>
      <c r="D38066" s="8"/>
    </row>
    <row r="38067" spans="1:4" ht="15.75" customHeight="1">
      <c r="A38067" s="8"/>
      <c r="B38067" s="12"/>
      <c r="C38067" s="8"/>
      <c r="D38067" s="8"/>
    </row>
    <row r="38068" spans="1:4" ht="15.75" customHeight="1">
      <c r="A38068" s="8"/>
      <c r="B38068" s="12"/>
      <c r="C38068" s="8"/>
      <c r="D38068" s="8"/>
    </row>
    <row r="38069" spans="1:4" ht="15.75" customHeight="1">
      <c r="A38069" s="8"/>
      <c r="B38069" s="12"/>
      <c r="C38069" s="8"/>
      <c r="D38069" s="8"/>
    </row>
    <row r="38070" spans="1:4" ht="15.75" customHeight="1">
      <c r="A38070" s="8"/>
      <c r="B38070" s="12"/>
      <c r="C38070" s="8"/>
      <c r="D38070" s="8"/>
    </row>
    <row r="38071" spans="1:4" ht="15.75" customHeight="1">
      <c r="A38071" s="8"/>
      <c r="B38071" s="12"/>
      <c r="C38071" s="8"/>
      <c r="D38071" s="8"/>
    </row>
    <row r="38072" spans="1:4" ht="15.75" customHeight="1">
      <c r="A38072" s="8"/>
      <c r="B38072" s="12"/>
      <c r="C38072" s="8"/>
      <c r="D38072" s="8"/>
    </row>
    <row r="38073" spans="1:4" ht="15.75" customHeight="1">
      <c r="A38073" s="8"/>
      <c r="B38073" s="12"/>
      <c r="C38073" s="8"/>
      <c r="D38073" s="8"/>
    </row>
    <row r="38074" spans="1:4" ht="15.75" customHeight="1">
      <c r="A38074" s="8"/>
      <c r="B38074" s="12"/>
      <c r="C38074" s="8"/>
      <c r="D38074" s="8"/>
    </row>
    <row r="38075" spans="1:4" ht="15.75" customHeight="1">
      <c r="A38075" s="8"/>
      <c r="B38075" s="12"/>
      <c r="C38075" s="8"/>
      <c r="D38075" s="8"/>
    </row>
    <row r="38076" spans="1:4" ht="15.75" customHeight="1">
      <c r="A38076" s="8"/>
      <c r="B38076" s="12"/>
      <c r="C38076" s="8"/>
      <c r="D38076" s="8"/>
    </row>
    <row r="38077" spans="1:4" ht="15.75" customHeight="1">
      <c r="A38077" s="8"/>
      <c r="B38077" s="12"/>
      <c r="C38077" s="8"/>
      <c r="D38077" s="8"/>
    </row>
    <row r="38078" spans="1:4" ht="15.75" customHeight="1">
      <c r="A38078" s="8"/>
      <c r="B38078" s="12"/>
      <c r="C38078" s="8"/>
      <c r="D38078" s="8"/>
    </row>
    <row r="38079" spans="1:4" ht="15.75" customHeight="1">
      <c r="A38079" s="8"/>
      <c r="B38079" s="12"/>
      <c r="C38079" s="8"/>
      <c r="D38079" s="8"/>
    </row>
    <row r="38080" spans="1:4" ht="15.75" customHeight="1">
      <c r="A38080" s="8"/>
      <c r="B38080" s="12"/>
      <c r="C38080" s="8"/>
      <c r="D38080" s="8"/>
    </row>
    <row r="38081" spans="1:4" ht="15.75" customHeight="1">
      <c r="A38081" s="8"/>
      <c r="B38081" s="12"/>
      <c r="C38081" s="8"/>
      <c r="D38081" s="8"/>
    </row>
    <row r="38082" spans="1:4" ht="15.75" customHeight="1">
      <c r="A38082" s="8"/>
      <c r="B38082" s="12"/>
      <c r="C38082" s="8"/>
      <c r="D38082" s="8"/>
    </row>
    <row r="38083" spans="1:4" ht="15.75" customHeight="1">
      <c r="A38083" s="8"/>
      <c r="B38083" s="12"/>
      <c r="C38083" s="8"/>
      <c r="D38083" s="8"/>
    </row>
    <row r="38084" spans="1:4" ht="15.75" customHeight="1">
      <c r="A38084" s="8"/>
      <c r="B38084" s="12"/>
      <c r="C38084" s="8"/>
      <c r="D38084" s="8"/>
    </row>
    <row r="38085" spans="1:4" ht="15.75" customHeight="1">
      <c r="A38085" s="8"/>
      <c r="B38085" s="12"/>
      <c r="C38085" s="8"/>
      <c r="D38085" s="8"/>
    </row>
    <row r="38086" spans="1:4" ht="15.75" customHeight="1">
      <c r="A38086" s="8"/>
      <c r="B38086" s="12"/>
      <c r="C38086" s="8"/>
      <c r="D38086" s="8"/>
    </row>
    <row r="38087" spans="1:4" ht="15.75" customHeight="1">
      <c r="A38087" s="8"/>
      <c r="B38087" s="12"/>
      <c r="C38087" s="8"/>
      <c r="D38087" s="8"/>
    </row>
    <row r="38088" spans="1:4" ht="15.75" customHeight="1">
      <c r="A38088" s="8"/>
      <c r="B38088" s="12"/>
      <c r="C38088" s="8"/>
      <c r="D38088" s="8"/>
    </row>
    <row r="38089" spans="1:4" ht="15.75" customHeight="1">
      <c r="A38089" s="8"/>
      <c r="B38089" s="12"/>
      <c r="C38089" s="8"/>
      <c r="D38089" s="8"/>
    </row>
    <row r="38090" spans="1:4" ht="15.75" customHeight="1">
      <c r="A38090" s="8"/>
      <c r="B38090" s="12"/>
      <c r="C38090" s="8"/>
      <c r="D38090" s="8"/>
    </row>
    <row r="38091" spans="1:4" ht="15.75" customHeight="1">
      <c r="A38091" s="8"/>
      <c r="B38091" s="12"/>
      <c r="C38091" s="8"/>
      <c r="D38091" s="8"/>
    </row>
    <row r="38092" spans="1:4" ht="15.75" customHeight="1">
      <c r="A38092" s="8"/>
      <c r="B38092" s="12"/>
      <c r="C38092" s="8"/>
      <c r="D38092" s="8"/>
    </row>
    <row r="38093" spans="1:4" ht="15.75" customHeight="1">
      <c r="A38093" s="8"/>
      <c r="B38093" s="12"/>
      <c r="C38093" s="8"/>
      <c r="D38093" s="8"/>
    </row>
    <row r="38094" spans="1:4" ht="15.75" customHeight="1">
      <c r="A38094" s="8"/>
      <c r="B38094" s="12"/>
      <c r="C38094" s="8"/>
      <c r="D38094" s="8"/>
    </row>
    <row r="38095" spans="1:4" ht="15.75" customHeight="1">
      <c r="A38095" s="8"/>
      <c r="B38095" s="12"/>
      <c r="C38095" s="8"/>
      <c r="D38095" s="8"/>
    </row>
    <row r="38096" spans="1:4" ht="15.75" customHeight="1">
      <c r="A38096" s="8"/>
      <c r="B38096" s="12"/>
      <c r="C38096" s="8"/>
      <c r="D38096" s="8"/>
    </row>
    <row r="38097" spans="1:4" ht="15.75" customHeight="1">
      <c r="A38097" s="8"/>
      <c r="B38097" s="12"/>
      <c r="C38097" s="8"/>
      <c r="D38097" s="8"/>
    </row>
    <row r="38098" spans="1:4" ht="15.75" customHeight="1">
      <c r="A38098" s="8"/>
      <c r="B38098" s="12"/>
      <c r="C38098" s="8"/>
      <c r="D38098" s="8"/>
    </row>
    <row r="38099" spans="1:4" ht="15.75" customHeight="1">
      <c r="A38099" s="8"/>
      <c r="B38099" s="12"/>
      <c r="C38099" s="8"/>
      <c r="D38099" s="8"/>
    </row>
    <row r="38100" spans="1:4" ht="15.75" customHeight="1">
      <c r="A38100" s="8"/>
      <c r="B38100" s="12"/>
      <c r="C38100" s="8"/>
      <c r="D38100" s="8"/>
    </row>
    <row r="38101" spans="1:4" ht="15.75" customHeight="1">
      <c r="A38101" s="8"/>
      <c r="B38101" s="12"/>
      <c r="C38101" s="8"/>
      <c r="D38101" s="8"/>
    </row>
    <row r="38102" spans="1:4" ht="15.75" customHeight="1">
      <c r="A38102" s="8"/>
      <c r="B38102" s="12"/>
      <c r="C38102" s="8"/>
      <c r="D38102" s="8"/>
    </row>
    <row r="38103" spans="1:4" ht="15.75" customHeight="1">
      <c r="A38103" s="8"/>
      <c r="B38103" s="12"/>
      <c r="C38103" s="8"/>
      <c r="D38103" s="8"/>
    </row>
    <row r="38104" spans="1:4" ht="15.75" customHeight="1">
      <c r="A38104" s="8"/>
      <c r="B38104" s="12"/>
      <c r="C38104" s="8"/>
      <c r="D38104" s="8"/>
    </row>
    <row r="38105" spans="1:4" ht="15.75" customHeight="1">
      <c r="A38105" s="8"/>
      <c r="B38105" s="12"/>
      <c r="C38105" s="8"/>
      <c r="D38105" s="8"/>
    </row>
    <row r="38106" spans="1:4" ht="15.75" customHeight="1">
      <c r="A38106" s="8"/>
      <c r="B38106" s="12"/>
      <c r="C38106" s="8"/>
      <c r="D38106" s="8"/>
    </row>
    <row r="38107" spans="1:4" ht="15.75" customHeight="1">
      <c r="A38107" s="8"/>
      <c r="B38107" s="12"/>
      <c r="C38107" s="8"/>
      <c r="D38107" s="8"/>
    </row>
    <row r="38108" spans="1:4" ht="15.75" customHeight="1">
      <c r="A38108" s="8"/>
      <c r="B38108" s="12"/>
      <c r="C38108" s="8"/>
      <c r="D38108" s="8"/>
    </row>
    <row r="38109" spans="1:4" ht="15.75" customHeight="1">
      <c r="A38109" s="8"/>
      <c r="B38109" s="12"/>
      <c r="C38109" s="8"/>
      <c r="D38109" s="8"/>
    </row>
    <row r="38110" spans="1:4" ht="15.75" customHeight="1">
      <c r="A38110" s="8"/>
      <c r="B38110" s="12"/>
      <c r="C38110" s="8"/>
      <c r="D38110" s="8"/>
    </row>
    <row r="38111" spans="1:4" ht="15.75" customHeight="1">
      <c r="A38111" s="8"/>
      <c r="B38111" s="12"/>
      <c r="C38111" s="8"/>
      <c r="D38111" s="8"/>
    </row>
    <row r="38112" spans="1:4" ht="15.75" customHeight="1">
      <c r="A38112" s="8"/>
      <c r="B38112" s="12"/>
      <c r="C38112" s="8"/>
      <c r="D38112" s="8"/>
    </row>
    <row r="38113" spans="1:4" ht="15.75" customHeight="1">
      <c r="A38113" s="8"/>
      <c r="B38113" s="12"/>
      <c r="C38113" s="8"/>
      <c r="D38113" s="8"/>
    </row>
    <row r="38114" spans="1:4" ht="15.75" customHeight="1">
      <c r="A38114" s="8"/>
      <c r="B38114" s="12"/>
      <c r="C38114" s="8"/>
      <c r="D38114" s="8"/>
    </row>
    <row r="38115" spans="1:4" ht="15.75" customHeight="1">
      <c r="A38115" s="8"/>
      <c r="B38115" s="12"/>
      <c r="C38115" s="8"/>
      <c r="D38115" s="8"/>
    </row>
    <row r="38116" spans="1:4" ht="15.75" customHeight="1">
      <c r="A38116" s="8"/>
      <c r="B38116" s="12"/>
      <c r="C38116" s="8"/>
      <c r="D38116" s="8"/>
    </row>
    <row r="38117" spans="1:4" ht="15.75" customHeight="1">
      <c r="A38117" s="8"/>
      <c r="B38117" s="12"/>
      <c r="C38117" s="8"/>
      <c r="D38117" s="8"/>
    </row>
    <row r="38118" spans="1:4" ht="15.75" customHeight="1">
      <c r="A38118" s="8"/>
      <c r="B38118" s="12"/>
      <c r="C38118" s="8"/>
      <c r="D38118" s="8"/>
    </row>
    <row r="38119" spans="1:4" ht="15.75" customHeight="1">
      <c r="A38119" s="8"/>
      <c r="B38119" s="12"/>
      <c r="C38119" s="8"/>
      <c r="D38119" s="8"/>
    </row>
    <row r="38120" spans="1:4" ht="15.75" customHeight="1">
      <c r="A38120" s="8"/>
      <c r="B38120" s="12"/>
      <c r="C38120" s="8"/>
      <c r="D38120" s="8"/>
    </row>
    <row r="38121" spans="1:4" ht="15.75" customHeight="1">
      <c r="A38121" s="8"/>
      <c r="B38121" s="12"/>
      <c r="C38121" s="8"/>
      <c r="D38121" s="8"/>
    </row>
    <row r="38122" spans="1:4" ht="15.75" customHeight="1">
      <c r="A38122" s="8"/>
      <c r="B38122" s="12"/>
      <c r="C38122" s="8"/>
      <c r="D38122" s="8"/>
    </row>
    <row r="38123" spans="1:4" ht="15.75" customHeight="1">
      <c r="A38123" s="8"/>
      <c r="B38123" s="12"/>
      <c r="C38123" s="8"/>
      <c r="D38123" s="8"/>
    </row>
    <row r="38124" spans="1:4" ht="15.75" customHeight="1">
      <c r="A38124" s="8"/>
      <c r="B38124" s="12"/>
      <c r="C38124" s="8"/>
      <c r="D38124" s="8"/>
    </row>
    <row r="38125" spans="1:4" ht="15.75" customHeight="1">
      <c r="A38125" s="8"/>
      <c r="B38125" s="12"/>
      <c r="C38125" s="8"/>
      <c r="D38125" s="8"/>
    </row>
    <row r="38126" spans="1:4" ht="15.75" customHeight="1">
      <c r="A38126" s="8"/>
      <c r="B38126" s="12"/>
      <c r="C38126" s="8"/>
      <c r="D38126" s="8"/>
    </row>
    <row r="38127" spans="1:4" ht="15.75" customHeight="1">
      <c r="A38127" s="8"/>
      <c r="B38127" s="12"/>
      <c r="C38127" s="8"/>
      <c r="D38127" s="8"/>
    </row>
    <row r="38128" spans="1:4" ht="15.75" customHeight="1">
      <c r="A38128" s="8"/>
      <c r="B38128" s="12"/>
      <c r="C38128" s="8"/>
      <c r="D38128" s="8"/>
    </row>
    <row r="38129" spans="1:4" ht="15.75" customHeight="1">
      <c r="A38129" s="8"/>
      <c r="B38129" s="12"/>
      <c r="C38129" s="8"/>
      <c r="D38129" s="8"/>
    </row>
    <row r="38130" spans="1:4" ht="15.75" customHeight="1">
      <c r="A38130" s="8"/>
      <c r="B38130" s="12"/>
      <c r="C38130" s="8"/>
      <c r="D38130" s="8"/>
    </row>
    <row r="38131" spans="1:4" ht="15.75" customHeight="1">
      <c r="A38131" s="8"/>
      <c r="B38131" s="12"/>
      <c r="C38131" s="8"/>
      <c r="D38131" s="8"/>
    </row>
    <row r="38132" spans="1:4" ht="15.75" customHeight="1">
      <c r="A38132" s="8"/>
      <c r="B38132" s="12"/>
      <c r="C38132" s="8"/>
      <c r="D38132" s="8"/>
    </row>
    <row r="38133" spans="1:4" ht="15.75" customHeight="1">
      <c r="A38133" s="8"/>
      <c r="B38133" s="12"/>
      <c r="C38133" s="8"/>
      <c r="D38133" s="8"/>
    </row>
    <row r="38134" spans="1:4" ht="15.75" customHeight="1">
      <c r="A38134" s="8"/>
      <c r="B38134" s="12"/>
      <c r="C38134" s="8"/>
      <c r="D38134" s="8"/>
    </row>
    <row r="38135" spans="1:4" ht="15.75" customHeight="1">
      <c r="A38135" s="8"/>
      <c r="B38135" s="12"/>
      <c r="C38135" s="8"/>
      <c r="D38135" s="8"/>
    </row>
    <row r="38136" spans="1:4" ht="15.75" customHeight="1">
      <c r="A38136" s="8"/>
      <c r="B38136" s="12"/>
      <c r="C38136" s="8"/>
      <c r="D38136" s="8"/>
    </row>
    <row r="38137" spans="1:4" ht="15.75" customHeight="1">
      <c r="A38137" s="8"/>
      <c r="B38137" s="12"/>
      <c r="C38137" s="8"/>
      <c r="D38137" s="8"/>
    </row>
    <row r="38138" spans="1:4" ht="15.75" customHeight="1">
      <c r="A38138" s="8"/>
      <c r="B38138" s="12"/>
      <c r="C38138" s="8"/>
      <c r="D38138" s="8"/>
    </row>
    <row r="38139" spans="1:4" ht="15.75" customHeight="1">
      <c r="A38139" s="8"/>
      <c r="B38139" s="12"/>
      <c r="C38139" s="8"/>
      <c r="D38139" s="8"/>
    </row>
    <row r="38140" spans="1:4" ht="15.75" customHeight="1">
      <c r="A38140" s="8"/>
      <c r="B38140" s="12"/>
      <c r="C38140" s="8"/>
      <c r="D38140" s="8"/>
    </row>
    <row r="38141" spans="1:4" ht="15.75" customHeight="1">
      <c r="A38141" s="8"/>
      <c r="B38141" s="12"/>
      <c r="C38141" s="8"/>
      <c r="D38141" s="8"/>
    </row>
    <row r="38142" spans="1:4" ht="15.75" customHeight="1">
      <c r="A38142" s="8"/>
      <c r="B38142" s="12"/>
      <c r="C38142" s="8"/>
      <c r="D38142" s="8"/>
    </row>
    <row r="38143" spans="1:4" ht="15.75" customHeight="1">
      <c r="A38143" s="8"/>
      <c r="B38143" s="12"/>
      <c r="C38143" s="8"/>
      <c r="D38143" s="8"/>
    </row>
    <row r="38144" spans="1:4" ht="15.75" customHeight="1">
      <c r="A38144" s="8"/>
      <c r="B38144" s="12"/>
      <c r="C38144" s="8"/>
      <c r="D38144" s="8"/>
    </row>
    <row r="38145" spans="1:4" ht="15.75" customHeight="1">
      <c r="A38145" s="8"/>
      <c r="B38145" s="12"/>
      <c r="C38145" s="8"/>
      <c r="D38145" s="8"/>
    </row>
    <row r="38146" spans="1:4" ht="15.75" customHeight="1">
      <c r="A38146" s="8"/>
      <c r="B38146" s="12"/>
      <c r="C38146" s="8"/>
      <c r="D38146" s="8"/>
    </row>
    <row r="38147" spans="1:4" ht="15.75" customHeight="1">
      <c r="A38147" s="8"/>
      <c r="B38147" s="12"/>
      <c r="C38147" s="8"/>
      <c r="D38147" s="8"/>
    </row>
    <row r="38148" spans="1:4" ht="15.75" customHeight="1">
      <c r="A38148" s="8"/>
      <c r="B38148" s="12"/>
      <c r="C38148" s="8"/>
      <c r="D38148" s="8"/>
    </row>
    <row r="38149" spans="1:4" ht="15.75" customHeight="1">
      <c r="A38149" s="8"/>
      <c r="B38149" s="12"/>
      <c r="C38149" s="8"/>
      <c r="D38149" s="8"/>
    </row>
    <row r="38150" spans="1:4" ht="15.75" customHeight="1">
      <c r="A38150" s="8"/>
      <c r="B38150" s="12"/>
      <c r="C38150" s="8"/>
      <c r="D38150" s="8"/>
    </row>
    <row r="38151" spans="1:4" ht="15.75" customHeight="1">
      <c r="A38151" s="8"/>
      <c r="B38151" s="12"/>
      <c r="C38151" s="8"/>
      <c r="D38151" s="8"/>
    </row>
    <row r="38152" spans="1:4" ht="15.75" customHeight="1">
      <c r="A38152" s="8"/>
      <c r="B38152" s="12"/>
      <c r="C38152" s="8"/>
      <c r="D38152" s="8"/>
    </row>
    <row r="38153" spans="1:4" ht="15.75" customHeight="1">
      <c r="A38153" s="8"/>
      <c r="B38153" s="12"/>
      <c r="C38153" s="8"/>
      <c r="D38153" s="8"/>
    </row>
    <row r="38154" spans="1:4" ht="15.75" customHeight="1">
      <c r="A38154" s="8"/>
      <c r="B38154" s="12"/>
      <c r="C38154" s="8"/>
      <c r="D38154" s="8"/>
    </row>
    <row r="38155" spans="1:4" ht="15.75" customHeight="1">
      <c r="A38155" s="8"/>
      <c r="B38155" s="12"/>
      <c r="C38155" s="8"/>
      <c r="D38155" s="8"/>
    </row>
    <row r="38156" spans="1:4" ht="15.75" customHeight="1">
      <c r="A38156" s="8"/>
      <c r="B38156" s="12"/>
      <c r="C38156" s="8"/>
      <c r="D38156" s="8"/>
    </row>
    <row r="38157" spans="1:4" ht="15.75" customHeight="1">
      <c r="A38157" s="8"/>
      <c r="B38157" s="12"/>
      <c r="C38157" s="8"/>
      <c r="D38157" s="8"/>
    </row>
    <row r="38158" spans="1:4" ht="15.75" customHeight="1">
      <c r="A38158" s="8"/>
      <c r="B38158" s="12"/>
      <c r="C38158" s="8"/>
      <c r="D38158" s="8"/>
    </row>
    <row r="38159" spans="1:4" ht="15.75" customHeight="1">
      <c r="A38159" s="8"/>
      <c r="B38159" s="12"/>
      <c r="C38159" s="8"/>
      <c r="D38159" s="8"/>
    </row>
    <row r="38160" spans="1:4" ht="15.75" customHeight="1">
      <c r="A38160" s="8"/>
      <c r="B38160" s="12"/>
      <c r="C38160" s="8"/>
      <c r="D38160" s="8"/>
    </row>
    <row r="38161" spans="1:4" ht="15.75" customHeight="1">
      <c r="A38161" s="8"/>
      <c r="B38161" s="12"/>
      <c r="C38161" s="8"/>
      <c r="D38161" s="8"/>
    </row>
    <row r="38162" spans="1:4" ht="15.75" customHeight="1">
      <c r="A38162" s="8"/>
      <c r="B38162" s="12"/>
      <c r="C38162" s="8"/>
      <c r="D38162" s="8"/>
    </row>
    <row r="38163" spans="1:4" ht="15.75" customHeight="1">
      <c r="A38163" s="8"/>
      <c r="B38163" s="12"/>
      <c r="C38163" s="8"/>
      <c r="D38163" s="8"/>
    </row>
    <row r="38164" spans="1:4" ht="15.75" customHeight="1">
      <c r="A38164" s="8"/>
      <c r="B38164" s="12"/>
      <c r="C38164" s="8"/>
      <c r="D38164" s="8"/>
    </row>
    <row r="38165" spans="1:4" ht="15.75" customHeight="1">
      <c r="A38165" s="8"/>
      <c r="B38165" s="12"/>
      <c r="C38165" s="8"/>
      <c r="D38165" s="8"/>
    </row>
    <row r="38166" spans="1:4" ht="15.75" customHeight="1">
      <c r="A38166" s="8"/>
      <c r="B38166" s="12"/>
      <c r="C38166" s="8"/>
      <c r="D38166" s="8"/>
    </row>
    <row r="38167" spans="1:4" ht="15.75" customHeight="1">
      <c r="A38167" s="8"/>
      <c r="B38167" s="12"/>
      <c r="C38167" s="8"/>
      <c r="D38167" s="8"/>
    </row>
    <row r="38168" spans="1:4" ht="15.75" customHeight="1">
      <c r="A38168" s="8"/>
      <c r="B38168" s="12"/>
      <c r="C38168" s="8"/>
      <c r="D38168" s="8"/>
    </row>
    <row r="38169" spans="1:4" ht="15.75" customHeight="1">
      <c r="A38169" s="8"/>
      <c r="B38169" s="12"/>
      <c r="C38169" s="8"/>
      <c r="D38169" s="8"/>
    </row>
    <row r="38170" spans="1:4" ht="15.75" customHeight="1">
      <c r="A38170" s="8"/>
      <c r="B38170" s="12"/>
      <c r="C38170" s="8"/>
      <c r="D38170" s="8"/>
    </row>
    <row r="38171" spans="1:4" ht="15.75" customHeight="1">
      <c r="A38171" s="8"/>
      <c r="B38171" s="12"/>
      <c r="C38171" s="8"/>
      <c r="D38171" s="8"/>
    </row>
    <row r="38172" spans="1:4" ht="15.75" customHeight="1">
      <c r="A38172" s="8"/>
      <c r="B38172" s="12"/>
      <c r="C38172" s="8"/>
      <c r="D38172" s="8"/>
    </row>
    <row r="38173" spans="1:4" ht="15.75" customHeight="1">
      <c r="A38173" s="8"/>
      <c r="B38173" s="12"/>
      <c r="C38173" s="8"/>
      <c r="D38173" s="8"/>
    </row>
    <row r="38174" spans="1:4" ht="15.75" customHeight="1">
      <c r="A38174" s="8"/>
      <c r="B38174" s="12"/>
      <c r="C38174" s="8"/>
      <c r="D38174" s="8"/>
    </row>
    <row r="38175" spans="1:4" ht="15.75" customHeight="1">
      <c r="A38175" s="8"/>
      <c r="B38175" s="12"/>
      <c r="C38175" s="8"/>
      <c r="D38175" s="8"/>
    </row>
    <row r="38176" spans="1:4" ht="15.75" customHeight="1">
      <c r="A38176" s="8"/>
      <c r="B38176" s="12"/>
      <c r="C38176" s="8"/>
      <c r="D38176" s="8"/>
    </row>
    <row r="38177" spans="1:4" ht="15.75" customHeight="1">
      <c r="A38177" s="8"/>
      <c r="B38177" s="12"/>
      <c r="C38177" s="8"/>
      <c r="D38177" s="8"/>
    </row>
    <row r="38178" spans="1:4" ht="15.75" customHeight="1">
      <c r="A38178" s="8"/>
      <c r="B38178" s="12"/>
      <c r="C38178" s="8"/>
      <c r="D38178" s="8"/>
    </row>
    <row r="38179" spans="1:4" ht="15.75" customHeight="1">
      <c r="A38179" s="8"/>
      <c r="B38179" s="12"/>
      <c r="C38179" s="8"/>
      <c r="D38179" s="8"/>
    </row>
    <row r="38180" spans="1:4" ht="15.75" customHeight="1">
      <c r="A38180" s="8"/>
      <c r="B38180" s="12"/>
      <c r="C38180" s="8"/>
      <c r="D38180" s="8"/>
    </row>
    <row r="38181" spans="1:4" ht="15.75" customHeight="1">
      <c r="A38181" s="8"/>
      <c r="B38181" s="12"/>
      <c r="C38181" s="8"/>
      <c r="D38181" s="8"/>
    </row>
    <row r="38182" spans="1:4" ht="15.75" customHeight="1">
      <c r="A38182" s="8"/>
      <c r="B38182" s="12"/>
      <c r="C38182" s="8"/>
      <c r="D38182" s="8"/>
    </row>
    <row r="38183" spans="1:4" ht="15.75" customHeight="1">
      <c r="A38183" s="8"/>
      <c r="B38183" s="12"/>
      <c r="C38183" s="8"/>
      <c r="D38183" s="8"/>
    </row>
    <row r="38184" spans="1:4" ht="15.75" customHeight="1">
      <c r="A38184" s="8"/>
      <c r="B38184" s="12"/>
      <c r="C38184" s="8"/>
      <c r="D38184" s="8"/>
    </row>
    <row r="38185" spans="1:4" ht="15.75" customHeight="1">
      <c r="A38185" s="8"/>
      <c r="B38185" s="12"/>
      <c r="C38185" s="8"/>
      <c r="D38185" s="8"/>
    </row>
    <row r="38186" spans="1:4" ht="15.75" customHeight="1">
      <c r="A38186" s="8"/>
      <c r="B38186" s="12"/>
      <c r="C38186" s="8"/>
      <c r="D38186" s="8"/>
    </row>
    <row r="38187" spans="1:4" ht="15.75" customHeight="1">
      <c r="A38187" s="8"/>
      <c r="B38187" s="12"/>
      <c r="C38187" s="8"/>
      <c r="D38187" s="8"/>
    </row>
    <row r="38188" spans="1:4" ht="15.75" customHeight="1">
      <c r="A38188" s="8"/>
      <c r="B38188" s="12"/>
      <c r="C38188" s="8"/>
      <c r="D38188" s="8"/>
    </row>
    <row r="38189" spans="1:4" ht="15.75" customHeight="1">
      <c r="A38189" s="8"/>
      <c r="B38189" s="12"/>
      <c r="C38189" s="8"/>
      <c r="D38189" s="8"/>
    </row>
    <row r="38190" spans="1:4" ht="15.75" customHeight="1">
      <c r="A38190" s="8"/>
      <c r="B38190" s="12"/>
      <c r="C38190" s="8"/>
      <c r="D38190" s="8"/>
    </row>
    <row r="38191" spans="1:4" ht="15.75" customHeight="1">
      <c r="A38191" s="8"/>
      <c r="B38191" s="12"/>
      <c r="C38191" s="8"/>
      <c r="D38191" s="8"/>
    </row>
    <row r="38192" spans="1:4" ht="15.75" customHeight="1">
      <c r="A38192" s="8"/>
      <c r="B38192" s="12"/>
      <c r="C38192" s="8"/>
      <c r="D38192" s="8"/>
    </row>
    <row r="38193" spans="1:4" ht="15.75" customHeight="1">
      <c r="A38193" s="8"/>
      <c r="B38193" s="12"/>
      <c r="C38193" s="8"/>
      <c r="D38193" s="8"/>
    </row>
    <row r="38194" spans="1:4" ht="15.75" customHeight="1">
      <c r="A38194" s="8"/>
      <c r="B38194" s="12"/>
      <c r="C38194" s="8"/>
      <c r="D38194" s="8"/>
    </row>
    <row r="38195" spans="1:4" ht="15.75" customHeight="1">
      <c r="A38195" s="8"/>
      <c r="B38195" s="12"/>
      <c r="C38195" s="8"/>
      <c r="D38195" s="8"/>
    </row>
    <row r="38196" spans="1:4" ht="15.75" customHeight="1">
      <c r="A38196" s="8"/>
      <c r="B38196" s="12"/>
      <c r="C38196" s="8"/>
      <c r="D38196" s="8"/>
    </row>
    <row r="38197" spans="1:4" ht="15.75" customHeight="1">
      <c r="A38197" s="8"/>
      <c r="B38197" s="12"/>
      <c r="C38197" s="8"/>
      <c r="D38197" s="8"/>
    </row>
    <row r="38198" spans="1:4" ht="15.75" customHeight="1">
      <c r="A38198" s="8"/>
      <c r="B38198" s="12"/>
      <c r="C38198" s="8"/>
      <c r="D38198" s="8"/>
    </row>
    <row r="38199" spans="1:4" ht="15.75" customHeight="1">
      <c r="A38199" s="8"/>
      <c r="B38199" s="12"/>
      <c r="C38199" s="8"/>
      <c r="D38199" s="8"/>
    </row>
    <row r="38200" spans="1:4" ht="15.75" customHeight="1">
      <c r="A38200" s="8"/>
      <c r="B38200" s="12"/>
      <c r="C38200" s="8"/>
      <c r="D38200" s="8"/>
    </row>
    <row r="38201" spans="1:4" ht="15.75" customHeight="1">
      <c r="A38201" s="8"/>
      <c r="B38201" s="12"/>
      <c r="C38201" s="8"/>
      <c r="D38201" s="8"/>
    </row>
    <row r="38202" spans="1:4" ht="15.75" customHeight="1">
      <c r="A38202" s="8"/>
      <c r="B38202" s="12"/>
      <c r="C38202" s="8"/>
      <c r="D38202" s="8"/>
    </row>
    <row r="38203" spans="1:4" ht="15.75" customHeight="1">
      <c r="A38203" s="8"/>
      <c r="B38203" s="12"/>
      <c r="C38203" s="8"/>
      <c r="D38203" s="8"/>
    </row>
    <row r="38204" spans="1:4" ht="15.75" customHeight="1">
      <c r="A38204" s="8"/>
      <c r="B38204" s="12"/>
      <c r="C38204" s="8"/>
      <c r="D38204" s="8"/>
    </row>
    <row r="38205" spans="1:4" ht="15.75" customHeight="1">
      <c r="A38205" s="8"/>
      <c r="B38205" s="12"/>
      <c r="C38205" s="8"/>
      <c r="D38205" s="8"/>
    </row>
    <row r="38206" spans="1:4" ht="15.75" customHeight="1">
      <c r="A38206" s="8"/>
      <c r="B38206" s="12"/>
      <c r="C38206" s="8"/>
      <c r="D38206" s="8"/>
    </row>
    <row r="38207" spans="1:4" ht="15.75" customHeight="1">
      <c r="A38207" s="8"/>
      <c r="B38207" s="12"/>
      <c r="C38207" s="8"/>
      <c r="D38207" s="8"/>
    </row>
    <row r="38208" spans="1:4" ht="15.75" customHeight="1">
      <c r="A38208" s="8"/>
      <c r="B38208" s="12"/>
      <c r="C38208" s="8"/>
      <c r="D38208" s="8"/>
    </row>
    <row r="38209" spans="1:4" ht="15.75" customHeight="1">
      <c r="A38209" s="8"/>
      <c r="B38209" s="12"/>
      <c r="C38209" s="8"/>
      <c r="D38209" s="8"/>
    </row>
    <row r="38210" spans="1:4" ht="15.75" customHeight="1">
      <c r="A38210" s="8"/>
      <c r="B38210" s="12"/>
      <c r="C38210" s="8"/>
      <c r="D38210" s="8"/>
    </row>
    <row r="38211" spans="1:4" ht="15.75" customHeight="1">
      <c r="A38211" s="8"/>
      <c r="B38211" s="12"/>
      <c r="C38211" s="8"/>
      <c r="D38211" s="8"/>
    </row>
    <row r="38212" spans="1:4" ht="15.75" customHeight="1">
      <c r="A38212" s="8"/>
      <c r="B38212" s="12"/>
      <c r="C38212" s="8"/>
      <c r="D38212" s="8"/>
    </row>
    <row r="38213" spans="1:4" ht="15.75" customHeight="1">
      <c r="A38213" s="8"/>
      <c r="B38213" s="12"/>
      <c r="C38213" s="8"/>
      <c r="D38213" s="8"/>
    </row>
    <row r="38214" spans="1:4" ht="15.75" customHeight="1">
      <c r="A38214" s="8"/>
      <c r="B38214" s="12"/>
      <c r="C38214" s="8"/>
      <c r="D38214" s="8"/>
    </row>
    <row r="38215" spans="1:4" ht="15.75" customHeight="1">
      <c r="A38215" s="8"/>
      <c r="B38215" s="12"/>
      <c r="C38215" s="8"/>
      <c r="D38215" s="8"/>
    </row>
    <row r="38216" spans="1:4" ht="15.75" customHeight="1">
      <c r="A38216" s="8"/>
      <c r="B38216" s="12"/>
      <c r="C38216" s="8"/>
      <c r="D38216" s="8"/>
    </row>
    <row r="38217" spans="1:4" ht="15.75" customHeight="1">
      <c r="A38217" s="8"/>
      <c r="B38217" s="12"/>
      <c r="C38217" s="8"/>
      <c r="D38217" s="8"/>
    </row>
    <row r="38218" spans="1:4" ht="15.75" customHeight="1">
      <c r="A38218" s="8"/>
      <c r="B38218" s="12"/>
      <c r="C38218" s="8"/>
      <c r="D38218" s="8"/>
    </row>
    <row r="38219" spans="1:4" ht="15.75" customHeight="1">
      <c r="A38219" s="8"/>
      <c r="B38219" s="12"/>
      <c r="C38219" s="8"/>
      <c r="D38219" s="8"/>
    </row>
    <row r="38220" spans="1:4" ht="15.75" customHeight="1">
      <c r="A38220" s="8"/>
      <c r="B38220" s="12"/>
      <c r="C38220" s="8"/>
      <c r="D38220" s="8"/>
    </row>
    <row r="38221" spans="1:4" ht="15.75" customHeight="1">
      <c r="A38221" s="8"/>
      <c r="B38221" s="12"/>
      <c r="C38221" s="8"/>
      <c r="D38221" s="8"/>
    </row>
    <row r="38222" spans="1:4" ht="15.75" customHeight="1">
      <c r="A38222" s="8"/>
      <c r="B38222" s="12"/>
      <c r="C38222" s="8"/>
      <c r="D38222" s="8"/>
    </row>
    <row r="38223" spans="1:4" ht="15.75" customHeight="1">
      <c r="A38223" s="8"/>
      <c r="B38223" s="12"/>
      <c r="C38223" s="8"/>
      <c r="D38223" s="8"/>
    </row>
    <row r="38224" spans="1:4" ht="15.75" customHeight="1">
      <c r="A38224" s="8"/>
      <c r="B38224" s="12"/>
      <c r="C38224" s="8"/>
      <c r="D38224" s="8"/>
    </row>
    <row r="38225" spans="1:4" ht="15.75" customHeight="1">
      <c r="A38225" s="8"/>
      <c r="B38225" s="12"/>
      <c r="C38225" s="8"/>
      <c r="D38225" s="8"/>
    </row>
    <row r="38226" spans="1:4" ht="15.75" customHeight="1">
      <c r="A38226" s="8"/>
      <c r="B38226" s="12"/>
      <c r="C38226" s="8"/>
      <c r="D38226" s="8"/>
    </row>
    <row r="38227" spans="1:4" ht="15.75" customHeight="1">
      <c r="A38227" s="8"/>
      <c r="B38227" s="12"/>
      <c r="C38227" s="8"/>
      <c r="D38227" s="8"/>
    </row>
    <row r="38228" spans="1:4" ht="15.75" customHeight="1">
      <c r="A38228" s="8"/>
      <c r="B38228" s="12"/>
      <c r="C38228" s="8"/>
      <c r="D38228" s="8"/>
    </row>
    <row r="38229" spans="1:4" ht="15.75" customHeight="1">
      <c r="A38229" s="8"/>
      <c r="B38229" s="12"/>
      <c r="C38229" s="8"/>
      <c r="D38229" s="8"/>
    </row>
    <row r="38230" spans="1:4" ht="15.75" customHeight="1">
      <c r="A38230" s="8"/>
      <c r="B38230" s="12"/>
      <c r="C38230" s="8"/>
      <c r="D38230" s="8"/>
    </row>
    <row r="38231" spans="1:4" ht="15.75" customHeight="1">
      <c r="A38231" s="8"/>
      <c r="B38231" s="12"/>
      <c r="C38231" s="8"/>
      <c r="D38231" s="8"/>
    </row>
    <row r="38232" spans="1:4" ht="15.75" customHeight="1">
      <c r="A38232" s="8"/>
      <c r="B38232" s="12"/>
      <c r="C38232" s="8"/>
      <c r="D38232" s="8"/>
    </row>
    <row r="38233" spans="1:4" ht="15.75" customHeight="1">
      <c r="A38233" s="8"/>
      <c r="B38233" s="12"/>
      <c r="C38233" s="8"/>
      <c r="D38233" s="8"/>
    </row>
    <row r="38234" spans="1:4" ht="15.75" customHeight="1">
      <c r="A38234" s="8"/>
      <c r="B38234" s="12"/>
      <c r="C38234" s="8"/>
      <c r="D38234" s="8"/>
    </row>
    <row r="38235" spans="1:4" ht="15.75" customHeight="1">
      <c r="A38235" s="8"/>
      <c r="B38235" s="12"/>
      <c r="C38235" s="8"/>
      <c r="D38235" s="8"/>
    </row>
    <row r="38236" spans="1:4" ht="15.75" customHeight="1">
      <c r="A38236" s="8"/>
      <c r="B38236" s="12"/>
      <c r="C38236" s="8"/>
      <c r="D38236" s="8"/>
    </row>
    <row r="38237" spans="1:4" ht="15.75" customHeight="1">
      <c r="A38237" s="8"/>
      <c r="B38237" s="12"/>
      <c r="C38237" s="8"/>
      <c r="D38237" s="8"/>
    </row>
    <row r="38238" spans="1:4" ht="15.75" customHeight="1">
      <c r="A38238" s="8"/>
      <c r="B38238" s="12"/>
      <c r="C38238" s="8"/>
      <c r="D38238" s="8"/>
    </row>
    <row r="38239" spans="1:4" ht="15.75" customHeight="1">
      <c r="A38239" s="8"/>
      <c r="B38239" s="12"/>
      <c r="C38239" s="8"/>
      <c r="D38239" s="8"/>
    </row>
    <row r="38240" spans="1:4" ht="15.75" customHeight="1">
      <c r="A38240" s="8"/>
      <c r="B38240" s="12"/>
      <c r="C38240" s="8"/>
      <c r="D38240" s="8"/>
    </row>
    <row r="38241" spans="1:4" ht="15.75" customHeight="1">
      <c r="A38241" s="8"/>
      <c r="B38241" s="12"/>
      <c r="C38241" s="8"/>
      <c r="D38241" s="8"/>
    </row>
    <row r="38242" spans="1:4" ht="15.75" customHeight="1">
      <c r="A38242" s="8"/>
      <c r="B38242" s="12"/>
      <c r="C38242" s="8"/>
      <c r="D38242" s="8"/>
    </row>
    <row r="38243" spans="1:4" ht="15.75" customHeight="1">
      <c r="A38243" s="8"/>
      <c r="B38243" s="12"/>
      <c r="C38243" s="8"/>
      <c r="D38243" s="8"/>
    </row>
    <row r="38244" spans="1:4" ht="15.75" customHeight="1">
      <c r="A38244" s="8"/>
      <c r="B38244" s="12"/>
      <c r="C38244" s="8"/>
      <c r="D38244" s="8"/>
    </row>
    <row r="38245" spans="1:4" ht="15.75" customHeight="1">
      <c r="A38245" s="8"/>
      <c r="B38245" s="12"/>
      <c r="C38245" s="8"/>
      <c r="D38245" s="8"/>
    </row>
    <row r="38246" spans="1:4" ht="15.75" customHeight="1">
      <c r="A38246" s="8"/>
      <c r="B38246" s="12"/>
      <c r="C38246" s="8"/>
      <c r="D38246" s="8"/>
    </row>
    <row r="38247" spans="1:4" ht="15.75" customHeight="1">
      <c r="A38247" s="8"/>
      <c r="B38247" s="12"/>
      <c r="C38247" s="8"/>
      <c r="D38247" s="8"/>
    </row>
    <row r="38248" spans="1:4" ht="15.75" customHeight="1">
      <c r="A38248" s="8"/>
      <c r="B38248" s="12"/>
      <c r="C38248" s="8"/>
      <c r="D38248" s="8"/>
    </row>
    <row r="38249" spans="1:4" ht="15.75" customHeight="1">
      <c r="A38249" s="8"/>
      <c r="B38249" s="12"/>
      <c r="C38249" s="8"/>
      <c r="D38249" s="8"/>
    </row>
    <row r="38250" spans="1:4" ht="15.75" customHeight="1">
      <c r="A38250" s="8"/>
      <c r="B38250" s="12"/>
      <c r="C38250" s="8"/>
      <c r="D38250" s="8"/>
    </row>
    <row r="38251" spans="1:4" ht="15.75" customHeight="1">
      <c r="A38251" s="8"/>
      <c r="B38251" s="12"/>
      <c r="C38251" s="8"/>
      <c r="D38251" s="8"/>
    </row>
    <row r="38252" spans="1:4" ht="15.75" customHeight="1">
      <c r="A38252" s="8"/>
      <c r="B38252" s="12"/>
      <c r="C38252" s="8"/>
      <c r="D38252" s="8"/>
    </row>
    <row r="38253" spans="1:4" ht="15.75" customHeight="1">
      <c r="A38253" s="8"/>
      <c r="B38253" s="12"/>
      <c r="C38253" s="8"/>
      <c r="D38253" s="8"/>
    </row>
    <row r="38254" spans="1:4" ht="15.75" customHeight="1">
      <c r="A38254" s="8"/>
      <c r="B38254" s="12"/>
      <c r="C38254" s="8"/>
      <c r="D38254" s="8"/>
    </row>
    <row r="38255" spans="1:4" ht="15.75" customHeight="1">
      <c r="A38255" s="8"/>
      <c r="B38255" s="12"/>
      <c r="C38255" s="8"/>
      <c r="D38255" s="8"/>
    </row>
    <row r="38256" spans="1:4" ht="15.75" customHeight="1">
      <c r="A38256" s="8"/>
      <c r="B38256" s="12"/>
      <c r="C38256" s="8"/>
      <c r="D38256" s="8"/>
    </row>
    <row r="38257" spans="1:4" ht="15.75" customHeight="1">
      <c r="A38257" s="8"/>
      <c r="B38257" s="12"/>
      <c r="C38257" s="8"/>
      <c r="D38257" s="8"/>
    </row>
    <row r="38258" spans="1:4" ht="15.75" customHeight="1">
      <c r="A38258" s="8"/>
      <c r="B38258" s="12"/>
      <c r="C38258" s="8"/>
      <c r="D38258" s="8"/>
    </row>
    <row r="38259" spans="1:4" ht="15.75" customHeight="1">
      <c r="A38259" s="8"/>
      <c r="B38259" s="12"/>
      <c r="C38259" s="8"/>
      <c r="D38259" s="8"/>
    </row>
    <row r="38260" spans="1:4" ht="15.75" customHeight="1">
      <c r="A38260" s="8"/>
      <c r="B38260" s="12"/>
      <c r="C38260" s="8"/>
      <c r="D38260" s="8"/>
    </row>
    <row r="38261" spans="1:4" ht="15.75" customHeight="1">
      <c r="A38261" s="8"/>
      <c r="B38261" s="12"/>
      <c r="C38261" s="8"/>
      <c r="D38261" s="8"/>
    </row>
    <row r="38262" spans="1:4" ht="15.75" customHeight="1">
      <c r="A38262" s="8"/>
      <c r="B38262" s="12"/>
      <c r="C38262" s="8"/>
      <c r="D38262" s="8"/>
    </row>
    <row r="38263" spans="1:4" ht="15.75" customHeight="1">
      <c r="A38263" s="8"/>
      <c r="B38263" s="12"/>
      <c r="C38263" s="8"/>
      <c r="D38263" s="8"/>
    </row>
    <row r="38264" spans="1:4" ht="15.75" customHeight="1">
      <c r="A38264" s="8"/>
      <c r="B38264" s="12"/>
      <c r="C38264" s="8"/>
      <c r="D38264" s="8"/>
    </row>
    <row r="38265" spans="1:4" ht="15.75" customHeight="1">
      <c r="A38265" s="8"/>
      <c r="B38265" s="12"/>
      <c r="C38265" s="8"/>
      <c r="D38265" s="8"/>
    </row>
    <row r="38266" spans="1:4" ht="15.75" customHeight="1">
      <c r="A38266" s="8"/>
      <c r="B38266" s="12"/>
      <c r="C38266" s="8"/>
      <c r="D38266" s="8"/>
    </row>
    <row r="38267" spans="1:4" ht="15.75" customHeight="1">
      <c r="A38267" s="8"/>
      <c r="B38267" s="12"/>
      <c r="C38267" s="8"/>
      <c r="D38267" s="8"/>
    </row>
    <row r="38268" spans="1:4" ht="15.75" customHeight="1">
      <c r="A38268" s="8"/>
      <c r="B38268" s="12"/>
      <c r="C38268" s="8"/>
      <c r="D38268" s="8"/>
    </row>
    <row r="38269" spans="1:4" ht="15.75" customHeight="1">
      <c r="A38269" s="8"/>
      <c r="B38269" s="12"/>
      <c r="C38269" s="8"/>
      <c r="D38269" s="8"/>
    </row>
    <row r="38270" spans="1:4" ht="15.75" customHeight="1">
      <c r="A38270" s="8"/>
      <c r="B38270" s="12"/>
      <c r="C38270" s="8"/>
      <c r="D38270" s="8"/>
    </row>
    <row r="38271" spans="1:4" ht="15.75" customHeight="1">
      <c r="A38271" s="8"/>
      <c r="B38271" s="12"/>
      <c r="C38271" s="8"/>
      <c r="D38271" s="8"/>
    </row>
    <row r="38272" spans="1:4" ht="15.75" customHeight="1">
      <c r="A38272" s="8"/>
      <c r="B38272" s="12"/>
      <c r="C38272" s="8"/>
      <c r="D38272" s="8"/>
    </row>
    <row r="38273" spans="1:4" ht="15.75" customHeight="1">
      <c r="A38273" s="8"/>
      <c r="B38273" s="12"/>
      <c r="C38273" s="8"/>
      <c r="D38273" s="8"/>
    </row>
    <row r="38274" spans="1:4" ht="15.75" customHeight="1">
      <c r="A38274" s="8"/>
      <c r="B38274" s="12"/>
      <c r="C38274" s="8"/>
      <c r="D38274" s="8"/>
    </row>
    <row r="38275" spans="1:4" ht="15.75" customHeight="1">
      <c r="A38275" s="8"/>
      <c r="B38275" s="12"/>
      <c r="C38275" s="8"/>
      <c r="D38275" s="8"/>
    </row>
    <row r="38276" spans="1:4" ht="15.75" customHeight="1">
      <c r="A38276" s="8"/>
      <c r="B38276" s="12"/>
      <c r="C38276" s="8"/>
      <c r="D38276" s="8"/>
    </row>
    <row r="38277" spans="1:4" ht="15.75" customHeight="1">
      <c r="A38277" s="8"/>
      <c r="B38277" s="12"/>
      <c r="C38277" s="8"/>
      <c r="D38277" s="8"/>
    </row>
    <row r="38278" spans="1:4" ht="15.75" customHeight="1">
      <c r="A38278" s="8"/>
      <c r="B38278" s="12"/>
      <c r="C38278" s="8"/>
      <c r="D38278" s="8"/>
    </row>
    <row r="38279" spans="1:4" ht="15.75" customHeight="1">
      <c r="A38279" s="8"/>
      <c r="B38279" s="12"/>
      <c r="C38279" s="8"/>
      <c r="D38279" s="8"/>
    </row>
    <row r="38280" spans="1:4" ht="15.75" customHeight="1">
      <c r="A38280" s="8"/>
      <c r="B38280" s="12"/>
      <c r="C38280" s="8"/>
      <c r="D38280" s="8"/>
    </row>
    <row r="38281" spans="1:4" ht="15.75" customHeight="1">
      <c r="A38281" s="8"/>
      <c r="B38281" s="12"/>
      <c r="C38281" s="8"/>
      <c r="D38281" s="8"/>
    </row>
    <row r="38282" spans="1:4" ht="15.75" customHeight="1">
      <c r="A38282" s="8"/>
      <c r="B38282" s="12"/>
      <c r="C38282" s="8"/>
      <c r="D38282" s="8"/>
    </row>
    <row r="38283" spans="1:4" ht="15.75" customHeight="1">
      <c r="A38283" s="8"/>
      <c r="B38283" s="12"/>
      <c r="C38283" s="8"/>
      <c r="D38283" s="8"/>
    </row>
    <row r="38284" spans="1:4" ht="15.75" customHeight="1">
      <c r="A38284" s="8"/>
      <c r="B38284" s="12"/>
      <c r="C38284" s="8"/>
      <c r="D38284" s="8"/>
    </row>
    <row r="38285" spans="1:4" ht="15.75" customHeight="1">
      <c r="A38285" s="8"/>
      <c r="B38285" s="12"/>
      <c r="C38285" s="8"/>
      <c r="D38285" s="8"/>
    </row>
    <row r="38286" spans="1:4" ht="15.75" customHeight="1">
      <c r="A38286" s="8"/>
      <c r="B38286" s="12"/>
      <c r="C38286" s="8"/>
      <c r="D38286" s="8"/>
    </row>
    <row r="38287" spans="1:4" ht="15.75" customHeight="1">
      <c r="A38287" s="8"/>
      <c r="B38287" s="12"/>
      <c r="C38287" s="8"/>
      <c r="D38287" s="8"/>
    </row>
    <row r="38288" spans="1:4" ht="15.75" customHeight="1">
      <c r="A38288" s="8"/>
      <c r="B38288" s="12"/>
      <c r="C38288" s="8"/>
      <c r="D38288" s="8"/>
    </row>
    <row r="38289" spans="1:4" ht="15.75" customHeight="1">
      <c r="A38289" s="8"/>
      <c r="B38289" s="12"/>
      <c r="C38289" s="8"/>
      <c r="D38289" s="8"/>
    </row>
    <row r="38290" spans="1:4" ht="15.75" customHeight="1">
      <c r="A38290" s="8"/>
      <c r="B38290" s="12"/>
      <c r="C38290" s="8"/>
      <c r="D38290" s="8"/>
    </row>
    <row r="38291" spans="1:4" ht="15.75" customHeight="1">
      <c r="A38291" s="8"/>
      <c r="B38291" s="12"/>
      <c r="C38291" s="8"/>
      <c r="D38291" s="8"/>
    </row>
    <row r="38292" spans="1:4" ht="15.75" customHeight="1">
      <c r="A38292" s="8"/>
      <c r="B38292" s="12"/>
      <c r="C38292" s="8"/>
      <c r="D38292" s="8"/>
    </row>
    <row r="38293" spans="1:4" ht="15.75" customHeight="1">
      <c r="A38293" s="8"/>
      <c r="B38293" s="12"/>
      <c r="C38293" s="8"/>
      <c r="D38293" s="8"/>
    </row>
    <row r="38294" spans="1:4" ht="15.75" customHeight="1">
      <c r="A38294" s="8"/>
      <c r="B38294" s="12"/>
      <c r="C38294" s="8"/>
      <c r="D38294" s="8"/>
    </row>
    <row r="38295" spans="1:4" ht="15.75" customHeight="1">
      <c r="A38295" s="8"/>
      <c r="B38295" s="12"/>
      <c r="C38295" s="8"/>
      <c r="D38295" s="8"/>
    </row>
    <row r="38296" spans="1:4" ht="15.75" customHeight="1">
      <c r="A38296" s="8"/>
      <c r="B38296" s="12"/>
      <c r="C38296" s="8"/>
      <c r="D38296" s="8"/>
    </row>
    <row r="38297" spans="1:4" ht="15.75" customHeight="1">
      <c r="A38297" s="8"/>
      <c r="B38297" s="12"/>
      <c r="C38297" s="8"/>
      <c r="D38297" s="8"/>
    </row>
    <row r="38298" spans="1:4" ht="15.75" customHeight="1">
      <c r="A38298" s="8"/>
      <c r="B38298" s="12"/>
      <c r="C38298" s="8"/>
      <c r="D38298" s="8"/>
    </row>
    <row r="38299" spans="1:4" ht="15.75" customHeight="1">
      <c r="A38299" s="8"/>
      <c r="B38299" s="12"/>
      <c r="C38299" s="8"/>
      <c r="D38299" s="8"/>
    </row>
    <row r="38300" spans="1:4" ht="15.75" customHeight="1">
      <c r="A38300" s="8"/>
      <c r="B38300" s="12"/>
      <c r="C38300" s="8"/>
      <c r="D38300" s="8"/>
    </row>
    <row r="38301" spans="1:4" ht="15.75" customHeight="1">
      <c r="A38301" s="8"/>
      <c r="B38301" s="12"/>
      <c r="C38301" s="8"/>
      <c r="D38301" s="8"/>
    </row>
    <row r="38302" spans="1:4" ht="15.75" customHeight="1">
      <c r="A38302" s="8"/>
      <c r="B38302" s="12"/>
      <c r="C38302" s="8"/>
      <c r="D38302" s="8"/>
    </row>
    <row r="38303" spans="1:4" ht="15.75" customHeight="1">
      <c r="A38303" s="8"/>
      <c r="B38303" s="12"/>
      <c r="C38303" s="8"/>
      <c r="D38303" s="8"/>
    </row>
    <row r="38304" spans="1:4" ht="15.75" customHeight="1">
      <c r="A38304" s="8"/>
      <c r="B38304" s="12"/>
      <c r="C38304" s="8"/>
      <c r="D38304" s="8"/>
    </row>
    <row r="38305" spans="1:4" ht="15.75" customHeight="1">
      <c r="A38305" s="8"/>
      <c r="B38305" s="12"/>
      <c r="C38305" s="8"/>
      <c r="D38305" s="8"/>
    </row>
    <row r="38306" spans="1:4" ht="15.75" customHeight="1">
      <c r="A38306" s="8"/>
      <c r="B38306" s="12"/>
      <c r="C38306" s="8"/>
      <c r="D38306" s="8"/>
    </row>
    <row r="38307" spans="1:4" ht="15.75" customHeight="1">
      <c r="A38307" s="8"/>
      <c r="B38307" s="12"/>
      <c r="C38307" s="8"/>
      <c r="D38307" s="8"/>
    </row>
    <row r="38308" spans="1:4" ht="15.75" customHeight="1">
      <c r="A38308" s="8"/>
      <c r="B38308" s="12"/>
      <c r="C38308" s="8"/>
      <c r="D38308" s="8"/>
    </row>
    <row r="38309" spans="1:4" ht="15.75" customHeight="1">
      <c r="A38309" s="8"/>
      <c r="B38309" s="12"/>
      <c r="C38309" s="8"/>
      <c r="D38309" s="8"/>
    </row>
    <row r="38310" spans="1:4" ht="15.75" customHeight="1">
      <c r="A38310" s="8"/>
      <c r="B38310" s="12"/>
      <c r="C38310" s="8"/>
      <c r="D38310" s="8"/>
    </row>
    <row r="38311" spans="1:4" ht="15.75" customHeight="1">
      <c r="A38311" s="8"/>
      <c r="B38311" s="12"/>
      <c r="C38311" s="8"/>
      <c r="D38311" s="8"/>
    </row>
    <row r="38312" spans="1:4" ht="15.75" customHeight="1">
      <c r="A38312" s="8"/>
      <c r="B38312" s="12"/>
      <c r="C38312" s="8"/>
      <c r="D38312" s="8"/>
    </row>
    <row r="38313" spans="1:4" ht="15.75" customHeight="1">
      <c r="A38313" s="8"/>
      <c r="B38313" s="12"/>
      <c r="C38313" s="8"/>
      <c r="D38313" s="8"/>
    </row>
    <row r="38314" spans="1:4" ht="15.75" customHeight="1">
      <c r="A38314" s="8"/>
      <c r="B38314" s="12"/>
      <c r="C38314" s="8"/>
      <c r="D38314" s="8"/>
    </row>
    <row r="38315" spans="1:4" ht="15.75" customHeight="1">
      <c r="A38315" s="8"/>
      <c r="B38315" s="12"/>
      <c r="C38315" s="8"/>
      <c r="D38315" s="8"/>
    </row>
    <row r="38316" spans="1:4" ht="15.75" customHeight="1">
      <c r="A38316" s="8"/>
      <c r="B38316" s="12"/>
      <c r="C38316" s="8"/>
      <c r="D38316" s="8"/>
    </row>
    <row r="38317" spans="1:4" ht="15.75" customHeight="1">
      <c r="A38317" s="8"/>
      <c r="B38317" s="12"/>
      <c r="C38317" s="8"/>
      <c r="D38317" s="8"/>
    </row>
    <row r="38318" spans="1:4" ht="15.75" customHeight="1">
      <c r="A38318" s="8"/>
      <c r="B38318" s="12"/>
      <c r="C38318" s="8"/>
      <c r="D38318" s="8"/>
    </row>
    <row r="38319" spans="1:4" ht="15.75" customHeight="1">
      <c r="A38319" s="8"/>
      <c r="B38319" s="12"/>
      <c r="C38319" s="8"/>
      <c r="D38319" s="8"/>
    </row>
    <row r="38320" spans="1:4" ht="15.75" customHeight="1">
      <c r="A38320" s="8"/>
      <c r="B38320" s="12"/>
      <c r="C38320" s="8"/>
      <c r="D38320" s="8"/>
    </row>
    <row r="38321" spans="1:4" ht="15.75" customHeight="1">
      <c r="A38321" s="8"/>
      <c r="B38321" s="12"/>
      <c r="C38321" s="8"/>
      <c r="D38321" s="8"/>
    </row>
    <row r="38322" spans="1:4" ht="15.75" customHeight="1">
      <c r="A38322" s="8"/>
      <c r="B38322" s="12"/>
      <c r="C38322" s="8"/>
      <c r="D38322" s="8"/>
    </row>
    <row r="38323" spans="1:4" ht="15.75" customHeight="1">
      <c r="A38323" s="8"/>
      <c r="B38323" s="12"/>
      <c r="C38323" s="8"/>
      <c r="D38323" s="8"/>
    </row>
    <row r="38324" spans="1:4" ht="15.75" customHeight="1">
      <c r="A38324" s="8"/>
      <c r="B38324" s="12"/>
      <c r="C38324" s="8"/>
      <c r="D38324" s="8"/>
    </row>
    <row r="38325" spans="1:4" ht="15.75" customHeight="1">
      <c r="A38325" s="8"/>
      <c r="B38325" s="12"/>
      <c r="C38325" s="8"/>
      <c r="D38325" s="8"/>
    </row>
    <row r="38326" spans="1:4" ht="15.75" customHeight="1">
      <c r="A38326" s="8"/>
      <c r="B38326" s="12"/>
      <c r="C38326" s="8"/>
      <c r="D38326" s="8"/>
    </row>
    <row r="38327" spans="1:4" ht="15.75" customHeight="1">
      <c r="A38327" s="8"/>
      <c r="B38327" s="12"/>
      <c r="C38327" s="8"/>
      <c r="D38327" s="8"/>
    </row>
    <row r="38328" spans="1:4" ht="15.75" customHeight="1">
      <c r="A38328" s="8"/>
      <c r="B38328" s="12"/>
      <c r="C38328" s="8"/>
      <c r="D38328" s="8"/>
    </row>
    <row r="38329" spans="1:4" ht="15.75" customHeight="1">
      <c r="A38329" s="8"/>
      <c r="B38329" s="12"/>
      <c r="C38329" s="8"/>
      <c r="D38329" s="8"/>
    </row>
    <row r="38330" spans="1:4" ht="15.75" customHeight="1">
      <c r="A38330" s="8"/>
      <c r="B38330" s="12"/>
      <c r="C38330" s="8"/>
      <c r="D38330" s="8"/>
    </row>
    <row r="38331" spans="1:4" ht="15.75" customHeight="1">
      <c r="A38331" s="8"/>
      <c r="B38331" s="12"/>
      <c r="C38331" s="8"/>
      <c r="D38331" s="8"/>
    </row>
    <row r="38332" spans="1:4" ht="15.75" customHeight="1">
      <c r="A38332" s="8"/>
      <c r="B38332" s="12"/>
      <c r="C38332" s="8"/>
      <c r="D38332" s="8"/>
    </row>
    <row r="38333" spans="1:4" ht="15.75" customHeight="1">
      <c r="A38333" s="8"/>
      <c r="B38333" s="12"/>
      <c r="C38333" s="8"/>
      <c r="D38333" s="8"/>
    </row>
    <row r="38334" spans="1:4" ht="15.75" customHeight="1">
      <c r="A38334" s="8"/>
      <c r="B38334" s="12"/>
      <c r="C38334" s="8"/>
      <c r="D38334" s="8"/>
    </row>
    <row r="38335" spans="1:4" ht="15.75" customHeight="1">
      <c r="A38335" s="8"/>
      <c r="B38335" s="12"/>
      <c r="C38335" s="8"/>
      <c r="D38335" s="8"/>
    </row>
    <row r="38336" spans="1:4" ht="15.75" customHeight="1">
      <c r="A38336" s="8"/>
      <c r="B38336" s="12"/>
      <c r="C38336" s="8"/>
      <c r="D38336" s="8"/>
    </row>
    <row r="38337" spans="1:4" ht="15.75" customHeight="1">
      <c r="A38337" s="8"/>
      <c r="B38337" s="12"/>
      <c r="C38337" s="8"/>
      <c r="D38337" s="8"/>
    </row>
    <row r="38338" spans="1:4" ht="15.75" customHeight="1">
      <c r="A38338" s="8"/>
      <c r="B38338" s="12"/>
      <c r="C38338" s="8"/>
      <c r="D38338" s="8"/>
    </row>
    <row r="38339" spans="1:4" ht="15.75" customHeight="1">
      <c r="A38339" s="8"/>
      <c r="B38339" s="12"/>
      <c r="C38339" s="8"/>
      <c r="D38339" s="8"/>
    </row>
    <row r="38340" spans="1:4" ht="15.75" customHeight="1">
      <c r="A38340" s="8"/>
      <c r="B38340" s="12"/>
      <c r="C38340" s="8"/>
      <c r="D38340" s="8"/>
    </row>
    <row r="38341" spans="1:4" ht="15.75" customHeight="1">
      <c r="A38341" s="8"/>
      <c r="B38341" s="12"/>
      <c r="C38341" s="8"/>
      <c r="D38341" s="8"/>
    </row>
    <row r="38342" spans="1:4" ht="15.75" customHeight="1">
      <c r="A38342" s="8"/>
      <c r="B38342" s="12"/>
      <c r="C38342" s="8"/>
      <c r="D38342" s="8"/>
    </row>
    <row r="38343" spans="1:4" ht="15.75" customHeight="1">
      <c r="A38343" s="8"/>
      <c r="B38343" s="12"/>
      <c r="C38343" s="8"/>
      <c r="D38343" s="8"/>
    </row>
    <row r="38344" spans="1:4" ht="15.75" customHeight="1">
      <c r="A38344" s="8"/>
      <c r="B38344" s="12"/>
      <c r="C38344" s="8"/>
      <c r="D38344" s="8"/>
    </row>
    <row r="38345" spans="1:4" ht="15.75" customHeight="1">
      <c r="A38345" s="8"/>
      <c r="B38345" s="12"/>
      <c r="C38345" s="8"/>
      <c r="D38345" s="8"/>
    </row>
    <row r="38346" spans="1:4" ht="15.75" customHeight="1">
      <c r="A38346" s="8"/>
      <c r="B38346" s="12"/>
      <c r="C38346" s="8"/>
      <c r="D38346" s="8"/>
    </row>
    <row r="38347" spans="1:4" ht="15.75" customHeight="1">
      <c r="A38347" s="8"/>
      <c r="B38347" s="12"/>
      <c r="C38347" s="8"/>
      <c r="D38347" s="8"/>
    </row>
    <row r="38348" spans="1:4" ht="15.75" customHeight="1">
      <c r="A38348" s="8"/>
      <c r="B38348" s="12"/>
      <c r="C38348" s="8"/>
      <c r="D38348" s="8"/>
    </row>
    <row r="38349" spans="1:4" ht="15.75" customHeight="1">
      <c r="A38349" s="8"/>
      <c r="B38349" s="12"/>
      <c r="C38349" s="8"/>
      <c r="D38349" s="8"/>
    </row>
    <row r="38350" spans="1:4" ht="15.75" customHeight="1">
      <c r="A38350" s="8"/>
      <c r="B38350" s="12"/>
      <c r="C38350" s="8"/>
      <c r="D38350" s="8"/>
    </row>
    <row r="38351" spans="1:4" ht="15.75" customHeight="1">
      <c r="A38351" s="8"/>
      <c r="B38351" s="12"/>
      <c r="C38351" s="8"/>
      <c r="D38351" s="8"/>
    </row>
    <row r="38352" spans="1:4" ht="15.75" customHeight="1">
      <c r="A38352" s="8"/>
      <c r="B38352" s="12"/>
      <c r="C38352" s="8"/>
      <c r="D38352" s="8"/>
    </row>
    <row r="38353" spans="1:4" ht="15.75" customHeight="1">
      <c r="A38353" s="8"/>
      <c r="B38353" s="12"/>
      <c r="C38353" s="8"/>
      <c r="D38353" s="8"/>
    </row>
    <row r="38354" spans="1:4" ht="15.75" customHeight="1">
      <c r="A38354" s="8"/>
      <c r="B38354" s="12"/>
      <c r="C38354" s="8"/>
      <c r="D38354" s="8"/>
    </row>
    <row r="38355" spans="1:4" ht="15.75" customHeight="1">
      <c r="A38355" s="8"/>
      <c r="B38355" s="12"/>
      <c r="C38355" s="8"/>
      <c r="D38355" s="8"/>
    </row>
    <row r="38356" spans="1:4" ht="15.75" customHeight="1">
      <c r="A38356" s="8"/>
      <c r="B38356" s="12"/>
      <c r="C38356" s="8"/>
      <c r="D38356" s="8"/>
    </row>
    <row r="38357" spans="1:4" ht="15.75" customHeight="1">
      <c r="A38357" s="8"/>
      <c r="B38357" s="12"/>
      <c r="C38357" s="8"/>
      <c r="D38357" s="8"/>
    </row>
    <row r="38358" spans="1:4" ht="15.75" customHeight="1">
      <c r="A38358" s="8"/>
      <c r="B38358" s="12"/>
      <c r="C38358" s="8"/>
      <c r="D38358" s="8"/>
    </row>
    <row r="38359" spans="1:4" ht="15.75" customHeight="1">
      <c r="A38359" s="8"/>
      <c r="B38359" s="12"/>
      <c r="C38359" s="8"/>
      <c r="D38359" s="8"/>
    </row>
    <row r="38360" spans="1:4" ht="15.75" customHeight="1">
      <c r="A38360" s="8"/>
      <c r="B38360" s="12"/>
      <c r="C38360" s="8"/>
      <c r="D38360" s="8"/>
    </row>
    <row r="38361" spans="1:4" ht="15.75" customHeight="1">
      <c r="A38361" s="8"/>
      <c r="B38361" s="12"/>
      <c r="C38361" s="8"/>
      <c r="D38361" s="8"/>
    </row>
    <row r="38362" spans="1:4" ht="15.75" customHeight="1">
      <c r="A38362" s="8"/>
      <c r="B38362" s="12"/>
      <c r="C38362" s="8"/>
      <c r="D38362" s="8"/>
    </row>
    <row r="38363" spans="1:4" ht="15.75" customHeight="1">
      <c r="A38363" s="8"/>
      <c r="B38363" s="12"/>
      <c r="C38363" s="8"/>
      <c r="D38363" s="8"/>
    </row>
    <row r="38364" spans="1:4" ht="15.75" customHeight="1">
      <c r="A38364" s="8"/>
      <c r="B38364" s="12"/>
      <c r="C38364" s="8"/>
      <c r="D38364" s="8"/>
    </row>
    <row r="38365" spans="1:4" ht="15.75" customHeight="1">
      <c r="A38365" s="8"/>
      <c r="B38365" s="12"/>
      <c r="C38365" s="8"/>
      <c r="D38365" s="8"/>
    </row>
    <row r="38366" spans="1:4" ht="15.75" customHeight="1">
      <c r="A38366" s="8"/>
      <c r="B38366" s="12"/>
      <c r="C38366" s="8"/>
      <c r="D38366" s="8"/>
    </row>
    <row r="38367" spans="1:4" ht="15.75" customHeight="1">
      <c r="A38367" s="8"/>
      <c r="B38367" s="12"/>
      <c r="C38367" s="8"/>
      <c r="D38367" s="8"/>
    </row>
    <row r="38368" spans="1:4" ht="15.75" customHeight="1">
      <c r="A38368" s="8"/>
      <c r="B38368" s="12"/>
      <c r="C38368" s="8"/>
      <c r="D38368" s="8"/>
    </row>
    <row r="38369" spans="1:4" ht="15.75" customHeight="1">
      <c r="A38369" s="8"/>
      <c r="B38369" s="12"/>
      <c r="C38369" s="8"/>
      <c r="D38369" s="8"/>
    </row>
    <row r="38370" spans="1:4" ht="15.75" customHeight="1">
      <c r="A38370" s="8"/>
      <c r="B38370" s="12"/>
      <c r="C38370" s="8"/>
      <c r="D38370" s="8"/>
    </row>
    <row r="38371" spans="1:4" ht="15.75" customHeight="1">
      <c r="A38371" s="8"/>
      <c r="B38371" s="12"/>
      <c r="C38371" s="8"/>
      <c r="D38371" s="8"/>
    </row>
    <row r="38372" spans="1:4" ht="15.75" customHeight="1">
      <c r="A38372" s="8"/>
      <c r="B38372" s="12"/>
      <c r="C38372" s="8"/>
      <c r="D38372" s="8"/>
    </row>
    <row r="38373" spans="1:4" ht="15.75" customHeight="1">
      <c r="A38373" s="8"/>
      <c r="B38373" s="12"/>
      <c r="C38373" s="8"/>
      <c r="D38373" s="8"/>
    </row>
    <row r="38374" spans="1:4" ht="15.75" customHeight="1">
      <c r="A38374" s="8"/>
      <c r="B38374" s="12"/>
      <c r="C38374" s="8"/>
      <c r="D38374" s="8"/>
    </row>
    <row r="38375" spans="1:4" ht="15.75" customHeight="1">
      <c r="A38375" s="8"/>
      <c r="B38375" s="12"/>
      <c r="C38375" s="8"/>
      <c r="D38375" s="8"/>
    </row>
    <row r="38376" spans="1:4" ht="15.75" customHeight="1">
      <c r="A38376" s="8"/>
      <c r="B38376" s="12"/>
      <c r="C38376" s="8"/>
      <c r="D38376" s="8"/>
    </row>
    <row r="38377" spans="1:4" ht="15.75" customHeight="1">
      <c r="A38377" s="8"/>
      <c r="B38377" s="12"/>
      <c r="C38377" s="8"/>
      <c r="D38377" s="8"/>
    </row>
    <row r="38378" spans="1:4" ht="15.75" customHeight="1">
      <c r="A38378" s="8"/>
      <c r="B38378" s="12"/>
      <c r="C38378" s="8"/>
      <c r="D38378" s="8"/>
    </row>
    <row r="38379" spans="1:4" ht="15.75" customHeight="1">
      <c r="A38379" s="8"/>
      <c r="B38379" s="12"/>
      <c r="C38379" s="8"/>
      <c r="D38379" s="8"/>
    </row>
    <row r="38380" spans="1:4" ht="15.75" customHeight="1">
      <c r="A38380" s="8"/>
      <c r="B38380" s="12"/>
      <c r="C38380" s="8"/>
      <c r="D38380" s="8"/>
    </row>
    <row r="38381" spans="1:4" ht="15.75" customHeight="1">
      <c r="A38381" s="8"/>
      <c r="B38381" s="12"/>
      <c r="C38381" s="8"/>
      <c r="D38381" s="8"/>
    </row>
    <row r="38382" spans="1:4" ht="15.75" customHeight="1">
      <c r="A38382" s="8"/>
      <c r="B38382" s="12"/>
      <c r="C38382" s="8"/>
      <c r="D38382" s="8"/>
    </row>
    <row r="38383" spans="1:4" ht="15.75" customHeight="1">
      <c r="A38383" s="8"/>
      <c r="B38383" s="12"/>
      <c r="C38383" s="8"/>
      <c r="D38383" s="8"/>
    </row>
    <row r="38384" spans="1:4" ht="15.75" customHeight="1">
      <c r="A38384" s="8"/>
      <c r="B38384" s="12"/>
      <c r="C38384" s="8"/>
      <c r="D38384" s="8"/>
    </row>
    <row r="38385" spans="1:4" ht="15.75" customHeight="1">
      <c r="A38385" s="8"/>
      <c r="B38385" s="12"/>
      <c r="C38385" s="8"/>
      <c r="D38385" s="8"/>
    </row>
    <row r="38386" spans="1:4" ht="15.75" customHeight="1">
      <c r="A38386" s="8"/>
      <c r="B38386" s="12"/>
      <c r="C38386" s="8"/>
      <c r="D38386" s="8"/>
    </row>
    <row r="38387" spans="1:4" ht="15.75" customHeight="1">
      <c r="A38387" s="8"/>
      <c r="B38387" s="12"/>
      <c r="C38387" s="8"/>
      <c r="D38387" s="8"/>
    </row>
    <row r="38388" spans="1:4" ht="15.75" customHeight="1">
      <c r="A38388" s="8"/>
      <c r="B38388" s="12"/>
      <c r="C38388" s="8"/>
      <c r="D38388" s="8"/>
    </row>
    <row r="38389" spans="1:4" ht="15.75" customHeight="1">
      <c r="A38389" s="8"/>
      <c r="B38389" s="12"/>
      <c r="C38389" s="8"/>
      <c r="D38389" s="8"/>
    </row>
    <row r="38390" spans="1:4" ht="15.75" customHeight="1">
      <c r="A38390" s="8"/>
      <c r="B38390" s="12"/>
      <c r="C38390" s="8"/>
      <c r="D38390" s="8"/>
    </row>
    <row r="38391" spans="1:4" ht="15.75" customHeight="1">
      <c r="A38391" s="8"/>
      <c r="B38391" s="12"/>
      <c r="C38391" s="8"/>
      <c r="D38391" s="8"/>
    </row>
    <row r="38392" spans="1:4" ht="15.75" customHeight="1">
      <c r="A38392" s="8"/>
      <c r="B38392" s="12"/>
      <c r="C38392" s="8"/>
      <c r="D38392" s="8"/>
    </row>
    <row r="38393" spans="1:4" ht="15.75" customHeight="1">
      <c r="A38393" s="8"/>
      <c r="B38393" s="12"/>
      <c r="C38393" s="8"/>
      <c r="D38393" s="8"/>
    </row>
    <row r="38394" spans="1:4" ht="15.75" customHeight="1">
      <c r="A38394" s="8"/>
      <c r="B38394" s="12"/>
      <c r="C38394" s="8"/>
      <c r="D38394" s="8"/>
    </row>
    <row r="38395" spans="1:4" ht="15.75" customHeight="1">
      <c r="A38395" s="8"/>
      <c r="B38395" s="12"/>
      <c r="C38395" s="8"/>
      <c r="D38395" s="8"/>
    </row>
    <row r="38396" spans="1:4" ht="15.75" customHeight="1">
      <c r="A38396" s="8"/>
      <c r="B38396" s="12"/>
      <c r="C38396" s="8"/>
      <c r="D38396" s="8"/>
    </row>
    <row r="38397" spans="1:4" ht="15.75" customHeight="1">
      <c r="A38397" s="8"/>
      <c r="B38397" s="12"/>
      <c r="C38397" s="8"/>
      <c r="D38397" s="8"/>
    </row>
    <row r="38398" spans="1:4" ht="15.75" customHeight="1">
      <c r="A38398" s="8"/>
      <c r="B38398" s="12"/>
      <c r="C38398" s="8"/>
      <c r="D38398" s="8"/>
    </row>
    <row r="38399" spans="1:4" ht="15.75" customHeight="1">
      <c r="A38399" s="8"/>
      <c r="B38399" s="12"/>
      <c r="C38399" s="8"/>
      <c r="D38399" s="8"/>
    </row>
    <row r="38400" spans="1:4" ht="15.75" customHeight="1">
      <c r="A38400" s="8"/>
      <c r="B38400" s="12"/>
      <c r="C38400" s="8"/>
      <c r="D38400" s="8"/>
    </row>
    <row r="38401" spans="1:4" ht="15.75" customHeight="1">
      <c r="A38401" s="8"/>
      <c r="B38401" s="12"/>
      <c r="C38401" s="8"/>
      <c r="D38401" s="8"/>
    </row>
    <row r="38402" spans="1:4" ht="15.75" customHeight="1">
      <c r="A38402" s="8"/>
      <c r="B38402" s="12"/>
      <c r="C38402" s="8"/>
      <c r="D38402" s="8"/>
    </row>
    <row r="38403" spans="1:4" ht="15.75" customHeight="1">
      <c r="A38403" s="8"/>
      <c r="B38403" s="12"/>
      <c r="C38403" s="8"/>
      <c r="D38403" s="8"/>
    </row>
    <row r="38404" spans="1:4" ht="15.75" customHeight="1">
      <c r="A38404" s="8"/>
      <c r="B38404" s="12"/>
      <c r="C38404" s="8"/>
      <c r="D38404" s="8"/>
    </row>
    <row r="38405" spans="1:4" ht="15.75" customHeight="1">
      <c r="A38405" s="8"/>
      <c r="B38405" s="12"/>
      <c r="C38405" s="8"/>
      <c r="D38405" s="8"/>
    </row>
    <row r="38406" spans="1:4" ht="15.75" customHeight="1">
      <c r="A38406" s="8"/>
      <c r="B38406" s="12"/>
      <c r="C38406" s="8"/>
      <c r="D38406" s="8"/>
    </row>
    <row r="38407" spans="1:4" ht="15.75" customHeight="1">
      <c r="A38407" s="8"/>
      <c r="B38407" s="12"/>
      <c r="C38407" s="8"/>
      <c r="D38407" s="8"/>
    </row>
    <row r="38408" spans="1:4" ht="15.75" customHeight="1">
      <c r="A38408" s="8"/>
      <c r="B38408" s="12"/>
      <c r="C38408" s="8"/>
      <c r="D38408" s="8"/>
    </row>
    <row r="38409" spans="1:4" ht="15.75" customHeight="1">
      <c r="A38409" s="8"/>
      <c r="B38409" s="12"/>
      <c r="C38409" s="8"/>
      <c r="D38409" s="8"/>
    </row>
    <row r="38410" spans="1:4" ht="15.75" customHeight="1">
      <c r="A38410" s="8"/>
      <c r="B38410" s="12"/>
      <c r="C38410" s="8"/>
      <c r="D38410" s="8"/>
    </row>
    <row r="38411" spans="1:4" ht="15.75" customHeight="1">
      <c r="A38411" s="8"/>
      <c r="B38411" s="12"/>
      <c r="C38411" s="8"/>
      <c r="D38411" s="8"/>
    </row>
    <row r="38412" spans="1:4" ht="15.75" customHeight="1">
      <c r="A38412" s="8"/>
      <c r="B38412" s="12"/>
      <c r="C38412" s="8"/>
      <c r="D38412" s="8"/>
    </row>
    <row r="38413" spans="1:4" ht="15.75" customHeight="1">
      <c r="A38413" s="8"/>
      <c r="B38413" s="12"/>
      <c r="C38413" s="8"/>
      <c r="D38413" s="8"/>
    </row>
    <row r="38414" spans="1:4" ht="15.75" customHeight="1">
      <c r="A38414" s="8"/>
      <c r="B38414" s="12"/>
      <c r="C38414" s="8"/>
      <c r="D38414" s="8"/>
    </row>
    <row r="38415" spans="1:4" ht="15.75" customHeight="1">
      <c r="A38415" s="8"/>
      <c r="B38415" s="12"/>
      <c r="C38415" s="8"/>
      <c r="D38415" s="8"/>
    </row>
    <row r="38416" spans="1:4" ht="15.75" customHeight="1">
      <c r="A38416" s="8"/>
      <c r="B38416" s="12"/>
      <c r="C38416" s="8"/>
      <c r="D38416" s="8"/>
    </row>
    <row r="38417" spans="1:4" ht="15.75" customHeight="1">
      <c r="A38417" s="8"/>
      <c r="B38417" s="12"/>
      <c r="C38417" s="8"/>
      <c r="D38417" s="8"/>
    </row>
    <row r="38418" spans="1:4" ht="15.75" customHeight="1">
      <c r="A38418" s="8"/>
      <c r="B38418" s="12"/>
      <c r="C38418" s="8"/>
      <c r="D38418" s="8"/>
    </row>
    <row r="38419" spans="1:4" ht="15.75" customHeight="1">
      <c r="A38419" s="8"/>
      <c r="B38419" s="12"/>
      <c r="C38419" s="8"/>
      <c r="D38419" s="8"/>
    </row>
    <row r="38420" spans="1:4" ht="15.75" customHeight="1">
      <c r="A38420" s="8"/>
      <c r="B38420" s="12"/>
      <c r="C38420" s="8"/>
      <c r="D38420" s="8"/>
    </row>
    <row r="38421" spans="1:4" ht="15.75" customHeight="1">
      <c r="A38421" s="8"/>
      <c r="B38421" s="12"/>
      <c r="C38421" s="8"/>
      <c r="D38421" s="8"/>
    </row>
    <row r="38422" spans="1:4" ht="15.75" customHeight="1">
      <c r="A38422" s="8"/>
      <c r="B38422" s="12"/>
      <c r="C38422" s="8"/>
      <c r="D38422" s="8"/>
    </row>
    <row r="38423" spans="1:4" ht="15.75" customHeight="1">
      <c r="A38423" s="8"/>
      <c r="B38423" s="12"/>
      <c r="C38423" s="8"/>
      <c r="D38423" s="8"/>
    </row>
    <row r="38424" spans="1:4" ht="15.75" customHeight="1">
      <c r="A38424" s="8"/>
      <c r="B38424" s="12"/>
      <c r="C38424" s="8"/>
      <c r="D38424" s="8"/>
    </row>
    <row r="38425" spans="1:4" ht="15.75" customHeight="1">
      <c r="A38425" s="8"/>
      <c r="B38425" s="12"/>
      <c r="C38425" s="8"/>
      <c r="D38425" s="8"/>
    </row>
    <row r="38426" spans="1:4" ht="15.75" customHeight="1">
      <c r="A38426" s="8"/>
      <c r="B38426" s="12"/>
      <c r="C38426" s="8"/>
      <c r="D38426" s="8"/>
    </row>
    <row r="38427" spans="1:4" ht="15.75" customHeight="1">
      <c r="A38427" s="8"/>
      <c r="B38427" s="12"/>
      <c r="C38427" s="8"/>
      <c r="D38427" s="8"/>
    </row>
    <row r="38428" spans="1:4" ht="15.75" customHeight="1">
      <c r="A38428" s="8"/>
      <c r="B38428" s="12"/>
      <c r="C38428" s="8"/>
      <c r="D38428" s="8"/>
    </row>
    <row r="38429" spans="1:4" ht="15.75" customHeight="1">
      <c r="A38429" s="8"/>
      <c r="B38429" s="12"/>
      <c r="C38429" s="8"/>
      <c r="D38429" s="8"/>
    </row>
    <row r="38430" spans="1:4" ht="15.75" customHeight="1">
      <c r="A38430" s="8"/>
      <c r="B38430" s="12"/>
      <c r="C38430" s="8"/>
      <c r="D38430" s="8"/>
    </row>
    <row r="38431" spans="1:4" ht="15.75" customHeight="1">
      <c r="A38431" s="8"/>
      <c r="B38431" s="12"/>
      <c r="C38431" s="8"/>
      <c r="D38431" s="8"/>
    </row>
    <row r="38432" spans="1:4" ht="15.75" customHeight="1">
      <c r="A38432" s="8"/>
      <c r="B38432" s="12"/>
      <c r="C38432" s="8"/>
      <c r="D38432" s="8"/>
    </row>
    <row r="38433" spans="1:4" ht="15.75" customHeight="1">
      <c r="A38433" s="8"/>
      <c r="B38433" s="12"/>
      <c r="C38433" s="8"/>
      <c r="D38433" s="8"/>
    </row>
    <row r="38434" spans="1:4" ht="15.75" customHeight="1">
      <c r="A38434" s="8"/>
      <c r="B38434" s="12"/>
      <c r="C38434" s="8"/>
      <c r="D38434" s="8"/>
    </row>
    <row r="38435" spans="1:4" ht="15.75" customHeight="1">
      <c r="A38435" s="8"/>
      <c r="B38435" s="12"/>
      <c r="C38435" s="8"/>
      <c r="D38435" s="8"/>
    </row>
    <row r="38436" spans="1:4" ht="15.75" customHeight="1">
      <c r="A38436" s="8"/>
      <c r="B38436" s="12"/>
      <c r="C38436" s="8"/>
      <c r="D38436" s="8"/>
    </row>
    <row r="38437" spans="1:4" ht="15.75" customHeight="1">
      <c r="A38437" s="8"/>
      <c r="B38437" s="12"/>
      <c r="C38437" s="8"/>
      <c r="D38437" s="8"/>
    </row>
    <row r="38438" spans="1:4" ht="15.75" customHeight="1">
      <c r="A38438" s="8"/>
      <c r="B38438" s="12"/>
      <c r="C38438" s="8"/>
      <c r="D38438" s="8"/>
    </row>
    <row r="38439" spans="1:4" ht="15.75" customHeight="1">
      <c r="A38439" s="8"/>
      <c r="B38439" s="12"/>
      <c r="C38439" s="8"/>
      <c r="D38439" s="8"/>
    </row>
    <row r="38440" spans="1:4" ht="15.75" customHeight="1">
      <c r="A38440" s="8"/>
      <c r="B38440" s="12"/>
      <c r="C38440" s="8"/>
      <c r="D38440" s="8"/>
    </row>
    <row r="38441" spans="1:4" ht="15.75" customHeight="1">
      <c r="A38441" s="8"/>
      <c r="B38441" s="12"/>
      <c r="C38441" s="8"/>
      <c r="D38441" s="8"/>
    </row>
    <row r="38442" spans="1:4" ht="15.75" customHeight="1">
      <c r="A38442" s="8"/>
      <c r="B38442" s="12"/>
      <c r="C38442" s="8"/>
      <c r="D38442" s="8"/>
    </row>
    <row r="38443" spans="1:4" ht="15.75" customHeight="1">
      <c r="A38443" s="8"/>
      <c r="B38443" s="12"/>
      <c r="C38443" s="8"/>
      <c r="D38443" s="8"/>
    </row>
    <row r="38444" spans="1:4" ht="15.75" customHeight="1">
      <c r="A38444" s="8"/>
      <c r="B38444" s="12"/>
      <c r="C38444" s="8"/>
      <c r="D38444" s="8"/>
    </row>
    <row r="38445" spans="1:4" ht="15.75" customHeight="1">
      <c r="A38445" s="8"/>
      <c r="B38445" s="12"/>
      <c r="C38445" s="8"/>
      <c r="D38445" s="8"/>
    </row>
    <row r="38446" spans="1:4" ht="15.75" customHeight="1">
      <c r="A38446" s="8"/>
      <c r="B38446" s="12"/>
      <c r="C38446" s="8"/>
      <c r="D38446" s="8"/>
    </row>
    <row r="38447" spans="1:4" ht="15.75" customHeight="1">
      <c r="A38447" s="8"/>
      <c r="B38447" s="12"/>
      <c r="C38447" s="8"/>
      <c r="D38447" s="8"/>
    </row>
    <row r="38448" spans="1:4" ht="15.75" customHeight="1">
      <c r="A38448" s="8"/>
      <c r="B38448" s="12"/>
      <c r="C38448" s="8"/>
      <c r="D38448" s="8"/>
    </row>
    <row r="38449" spans="1:4" ht="15.75" customHeight="1">
      <c r="A38449" s="8"/>
      <c r="B38449" s="12"/>
      <c r="C38449" s="8"/>
      <c r="D38449" s="8"/>
    </row>
    <row r="38450" spans="1:4" ht="15.75" customHeight="1">
      <c r="A38450" s="8"/>
      <c r="B38450" s="12"/>
      <c r="C38450" s="8"/>
      <c r="D38450" s="8"/>
    </row>
    <row r="38451" spans="1:4" ht="15.75" customHeight="1">
      <c r="A38451" s="8"/>
      <c r="B38451" s="12"/>
      <c r="C38451" s="8"/>
      <c r="D38451" s="8"/>
    </row>
    <row r="38452" spans="1:4" ht="15.75" customHeight="1">
      <c r="A38452" s="8"/>
      <c r="B38452" s="12"/>
      <c r="C38452" s="8"/>
      <c r="D38452" s="8"/>
    </row>
    <row r="38453" spans="1:4" ht="15.75" customHeight="1">
      <c r="A38453" s="8"/>
      <c r="B38453" s="12"/>
      <c r="C38453" s="8"/>
      <c r="D38453" s="8"/>
    </row>
    <row r="38454" spans="1:4" ht="15.75" customHeight="1">
      <c r="A38454" s="8"/>
      <c r="B38454" s="12"/>
      <c r="C38454" s="8"/>
      <c r="D38454" s="8"/>
    </row>
    <row r="38455" spans="1:4" ht="15.75" customHeight="1">
      <c r="A38455" s="8"/>
      <c r="B38455" s="12"/>
      <c r="C38455" s="8"/>
      <c r="D38455" s="8"/>
    </row>
    <row r="38456" spans="1:4" ht="15.75" customHeight="1">
      <c r="A38456" s="8"/>
      <c r="B38456" s="12"/>
      <c r="C38456" s="8"/>
      <c r="D38456" s="8"/>
    </row>
    <row r="38457" spans="1:4" ht="15.75" customHeight="1">
      <c r="A38457" s="8"/>
      <c r="B38457" s="12"/>
      <c r="C38457" s="8"/>
      <c r="D38457" s="8"/>
    </row>
    <row r="38458" spans="1:4" ht="15.75" customHeight="1">
      <c r="A38458" s="8"/>
      <c r="B38458" s="12"/>
      <c r="C38458" s="8"/>
      <c r="D38458" s="8"/>
    </row>
    <row r="38459" spans="1:4" ht="15.75" customHeight="1">
      <c r="A38459" s="8"/>
      <c r="B38459" s="12"/>
      <c r="C38459" s="8"/>
      <c r="D38459" s="8"/>
    </row>
    <row r="38460" spans="1:4" ht="15.75" customHeight="1">
      <c r="A38460" s="8"/>
      <c r="B38460" s="12"/>
      <c r="C38460" s="8"/>
      <c r="D38460" s="8"/>
    </row>
    <row r="38461" spans="1:4" ht="15.75" customHeight="1">
      <c r="A38461" s="8"/>
      <c r="B38461" s="12"/>
      <c r="C38461" s="8"/>
      <c r="D38461" s="8"/>
    </row>
    <row r="38462" spans="1:4" ht="15.75" customHeight="1">
      <c r="A38462" s="8"/>
      <c r="B38462" s="12"/>
      <c r="C38462" s="8"/>
      <c r="D38462" s="8"/>
    </row>
    <row r="38463" spans="1:4" ht="15.75" customHeight="1">
      <c r="A38463" s="8"/>
      <c r="B38463" s="12"/>
      <c r="C38463" s="8"/>
      <c r="D38463" s="8"/>
    </row>
    <row r="38464" spans="1:4" ht="15.75" customHeight="1">
      <c r="A38464" s="8"/>
      <c r="B38464" s="12"/>
      <c r="C38464" s="8"/>
      <c r="D38464" s="8"/>
    </row>
    <row r="38465" spans="1:4" ht="15.75" customHeight="1">
      <c r="A38465" s="8"/>
      <c r="B38465" s="12"/>
      <c r="C38465" s="8"/>
      <c r="D38465" s="8"/>
    </row>
    <row r="38466" spans="1:4" ht="15.75" customHeight="1">
      <c r="A38466" s="8"/>
      <c r="B38466" s="12"/>
      <c r="C38466" s="8"/>
      <c r="D38466" s="8"/>
    </row>
    <row r="38467" spans="1:4" ht="15.75" customHeight="1">
      <c r="A38467" s="8"/>
      <c r="B38467" s="12"/>
      <c r="C38467" s="8"/>
      <c r="D38467" s="8"/>
    </row>
    <row r="38468" spans="1:4" ht="15.75" customHeight="1">
      <c r="A38468" s="8"/>
      <c r="B38468" s="12"/>
      <c r="C38468" s="8"/>
      <c r="D38468" s="8"/>
    </row>
    <row r="38469" spans="1:4" ht="15.75" customHeight="1">
      <c r="A38469" s="8"/>
      <c r="B38469" s="12"/>
      <c r="C38469" s="8"/>
      <c r="D38469" s="8"/>
    </row>
    <row r="38470" spans="1:4" ht="15.75" customHeight="1">
      <c r="A38470" s="8"/>
      <c r="B38470" s="12"/>
      <c r="C38470" s="8"/>
      <c r="D38470" s="8"/>
    </row>
    <row r="38471" spans="1:4" ht="15.75" customHeight="1">
      <c r="A38471" s="8"/>
      <c r="B38471" s="12"/>
      <c r="C38471" s="8"/>
      <c r="D38471" s="8"/>
    </row>
    <row r="38472" spans="1:4" ht="15.75" customHeight="1">
      <c r="A38472" s="8"/>
      <c r="B38472" s="12"/>
      <c r="C38472" s="8"/>
      <c r="D38472" s="8"/>
    </row>
    <row r="38473" spans="1:4" ht="15.75" customHeight="1">
      <c r="A38473" s="8"/>
      <c r="B38473" s="12"/>
      <c r="C38473" s="8"/>
      <c r="D38473" s="8"/>
    </row>
    <row r="38474" spans="1:4" ht="15.75" customHeight="1">
      <c r="A38474" s="8"/>
      <c r="B38474" s="12"/>
      <c r="C38474" s="8"/>
      <c r="D38474" s="8"/>
    </row>
    <row r="38475" spans="1:4" ht="15.75" customHeight="1">
      <c r="A38475" s="8"/>
      <c r="B38475" s="12"/>
      <c r="C38475" s="8"/>
      <c r="D38475" s="8"/>
    </row>
    <row r="38476" spans="1:4" ht="15.75" customHeight="1">
      <c r="A38476" s="8"/>
      <c r="B38476" s="12"/>
      <c r="C38476" s="8"/>
      <c r="D38476" s="8"/>
    </row>
    <row r="38477" spans="1:4" ht="15.75" customHeight="1">
      <c r="A38477" s="8"/>
      <c r="B38477" s="12"/>
      <c r="C38477" s="8"/>
      <c r="D38477" s="8"/>
    </row>
    <row r="38478" spans="1:4" ht="15.75" customHeight="1">
      <c r="A38478" s="8"/>
      <c r="B38478" s="12"/>
      <c r="C38478" s="8"/>
      <c r="D38478" s="8"/>
    </row>
    <row r="38479" spans="1:4" ht="15.75" customHeight="1">
      <c r="A38479" s="8"/>
      <c r="B38479" s="12"/>
      <c r="C38479" s="8"/>
      <c r="D38479" s="8"/>
    </row>
    <row r="38480" spans="1:4" ht="15.75" customHeight="1">
      <c r="A38480" s="8"/>
      <c r="B38480" s="12"/>
      <c r="C38480" s="8"/>
      <c r="D38480" s="8"/>
    </row>
    <row r="38481" spans="1:4" ht="15.75" customHeight="1">
      <c r="A38481" s="8"/>
      <c r="B38481" s="12"/>
      <c r="C38481" s="8"/>
      <c r="D38481" s="8"/>
    </row>
    <row r="38482" spans="1:4" ht="15.75" customHeight="1">
      <c r="A38482" s="8"/>
      <c r="B38482" s="12"/>
      <c r="C38482" s="8"/>
      <c r="D38482" s="8"/>
    </row>
    <row r="38483" spans="1:4" ht="15.75" customHeight="1">
      <c r="A38483" s="8"/>
      <c r="B38483" s="12"/>
      <c r="C38483" s="8"/>
      <c r="D38483" s="8"/>
    </row>
    <row r="38484" spans="1:4" ht="15.75" customHeight="1">
      <c r="A38484" s="8"/>
      <c r="B38484" s="12"/>
      <c r="C38484" s="8"/>
      <c r="D38484" s="8"/>
    </row>
    <row r="38485" spans="1:4" ht="15.75" customHeight="1">
      <c r="A38485" s="8"/>
      <c r="B38485" s="12"/>
      <c r="C38485" s="8"/>
      <c r="D38485" s="8"/>
    </row>
    <row r="38486" spans="1:4" ht="15.75" customHeight="1">
      <c r="A38486" s="8"/>
      <c r="B38486" s="12"/>
      <c r="C38486" s="8"/>
      <c r="D38486" s="8"/>
    </row>
    <row r="38487" spans="1:4" ht="15.75" customHeight="1">
      <c r="A38487" s="8"/>
      <c r="B38487" s="12"/>
      <c r="C38487" s="8"/>
      <c r="D38487" s="8"/>
    </row>
    <row r="38488" spans="1:4" ht="15.75" customHeight="1">
      <c r="A38488" s="8"/>
      <c r="B38488" s="12"/>
      <c r="C38488" s="8"/>
      <c r="D38488" s="8"/>
    </row>
    <row r="38489" spans="1:4" ht="15.75" customHeight="1">
      <c r="A38489" s="8"/>
      <c r="B38489" s="12"/>
      <c r="C38489" s="8"/>
      <c r="D38489" s="8"/>
    </row>
    <row r="38490" spans="1:4" ht="15.75" customHeight="1">
      <c r="A38490" s="8"/>
      <c r="B38490" s="12"/>
      <c r="C38490" s="8"/>
      <c r="D38490" s="8"/>
    </row>
    <row r="38491" spans="1:4" ht="15.75" customHeight="1">
      <c r="A38491" s="8"/>
      <c r="B38491" s="12"/>
      <c r="C38491" s="8"/>
      <c r="D38491" s="8"/>
    </row>
    <row r="38492" spans="1:4" ht="15.75" customHeight="1">
      <c r="A38492" s="8"/>
      <c r="B38492" s="12"/>
      <c r="C38492" s="8"/>
      <c r="D38492" s="8"/>
    </row>
    <row r="38493" spans="1:4" ht="15.75" customHeight="1">
      <c r="A38493" s="8"/>
      <c r="B38493" s="12"/>
      <c r="C38493" s="8"/>
      <c r="D38493" s="8"/>
    </row>
    <row r="38494" spans="1:4" ht="15.75" customHeight="1">
      <c r="A38494" s="8"/>
      <c r="B38494" s="12"/>
      <c r="C38494" s="8"/>
      <c r="D38494" s="8"/>
    </row>
    <row r="38495" spans="1:4" ht="15.75" customHeight="1">
      <c r="A38495" s="8"/>
      <c r="B38495" s="12"/>
      <c r="C38495" s="8"/>
      <c r="D38495" s="8"/>
    </row>
    <row r="38496" spans="1:4" ht="15.75" customHeight="1">
      <c r="A38496" s="8"/>
      <c r="B38496" s="12"/>
      <c r="C38496" s="8"/>
      <c r="D38496" s="8"/>
    </row>
    <row r="38497" spans="1:4" ht="15.75" customHeight="1">
      <c r="A38497" s="8"/>
      <c r="B38497" s="12"/>
      <c r="C38497" s="8"/>
      <c r="D38497" s="8"/>
    </row>
    <row r="38498" spans="1:4" ht="15.75" customHeight="1">
      <c r="A38498" s="8"/>
      <c r="B38498" s="12"/>
      <c r="C38498" s="8"/>
      <c r="D38498" s="8"/>
    </row>
    <row r="38499" spans="1:4" ht="15.75" customHeight="1">
      <c r="A38499" s="8"/>
      <c r="B38499" s="12"/>
      <c r="C38499" s="8"/>
      <c r="D38499" s="8"/>
    </row>
    <row r="38500" spans="1:4" ht="15.75" customHeight="1">
      <c r="A38500" s="8"/>
      <c r="B38500" s="12"/>
      <c r="C38500" s="8"/>
      <c r="D38500" s="8"/>
    </row>
    <row r="38501" spans="1:4" ht="15.75" customHeight="1">
      <c r="A38501" s="8"/>
      <c r="B38501" s="12"/>
      <c r="C38501" s="8"/>
      <c r="D38501" s="8"/>
    </row>
    <row r="38502" spans="1:4" ht="15.75" customHeight="1">
      <c r="A38502" s="8"/>
      <c r="B38502" s="12"/>
      <c r="C38502" s="8"/>
      <c r="D38502" s="8"/>
    </row>
    <row r="38503" spans="1:4" ht="15.75" customHeight="1">
      <c r="A38503" s="8"/>
      <c r="B38503" s="12"/>
      <c r="C38503" s="8"/>
      <c r="D38503" s="8"/>
    </row>
    <row r="38504" spans="1:4" ht="15.75" customHeight="1">
      <c r="A38504" s="8"/>
      <c r="B38504" s="12"/>
      <c r="C38504" s="8"/>
      <c r="D38504" s="8"/>
    </row>
    <row r="38505" spans="1:4" ht="15.75" customHeight="1">
      <c r="A38505" s="8"/>
      <c r="B38505" s="12"/>
      <c r="C38505" s="8"/>
      <c r="D38505" s="8"/>
    </row>
    <row r="38506" spans="1:4" ht="15.75" customHeight="1">
      <c r="A38506" s="8"/>
      <c r="B38506" s="12"/>
      <c r="C38506" s="8"/>
      <c r="D38506" s="8"/>
    </row>
    <row r="38507" spans="1:4" ht="15.75" customHeight="1">
      <c r="A38507" s="8"/>
      <c r="B38507" s="12"/>
      <c r="C38507" s="8"/>
      <c r="D38507" s="8"/>
    </row>
    <row r="38508" spans="1:4" ht="15.75" customHeight="1">
      <c r="A38508" s="8"/>
      <c r="B38508" s="12"/>
      <c r="C38508" s="8"/>
      <c r="D38508" s="8"/>
    </row>
    <row r="38509" spans="1:4" ht="15.75" customHeight="1">
      <c r="A38509" s="8"/>
      <c r="B38509" s="12"/>
      <c r="C38509" s="8"/>
      <c r="D38509" s="8"/>
    </row>
    <row r="38510" spans="1:4" ht="15.75" customHeight="1">
      <c r="A38510" s="8"/>
      <c r="B38510" s="12"/>
      <c r="C38510" s="8"/>
      <c r="D38510" s="8"/>
    </row>
    <row r="38511" spans="1:4" ht="15.75" customHeight="1">
      <c r="A38511" s="8"/>
      <c r="B38511" s="12"/>
      <c r="C38511" s="8"/>
      <c r="D38511" s="8"/>
    </row>
    <row r="38512" spans="1:4" ht="15.75" customHeight="1">
      <c r="A38512" s="8"/>
      <c r="B38512" s="12"/>
      <c r="C38512" s="8"/>
      <c r="D38512" s="8"/>
    </row>
    <row r="38513" spans="1:4" ht="15.75" customHeight="1">
      <c r="A38513" s="8"/>
      <c r="B38513" s="12"/>
      <c r="C38513" s="8"/>
      <c r="D38513" s="8"/>
    </row>
    <row r="38514" spans="1:4" ht="15.75" customHeight="1">
      <c r="A38514" s="8"/>
      <c r="B38514" s="12"/>
      <c r="C38514" s="8"/>
      <c r="D38514" s="8"/>
    </row>
    <row r="38515" spans="1:4" ht="15.75" customHeight="1">
      <c r="A38515" s="8"/>
      <c r="B38515" s="12"/>
      <c r="C38515" s="8"/>
      <c r="D38515" s="8"/>
    </row>
    <row r="38516" spans="1:4" ht="15.75" customHeight="1">
      <c r="A38516" s="8"/>
      <c r="B38516" s="12"/>
      <c r="C38516" s="8"/>
      <c r="D38516" s="8"/>
    </row>
    <row r="38517" spans="1:4" ht="15.75" customHeight="1">
      <c r="A38517" s="8"/>
      <c r="B38517" s="12"/>
      <c r="C38517" s="8"/>
      <c r="D38517" s="8"/>
    </row>
    <row r="38518" spans="1:4" ht="15.75" customHeight="1">
      <c r="A38518" s="8"/>
      <c r="B38518" s="12"/>
      <c r="C38518" s="8"/>
      <c r="D38518" s="8"/>
    </row>
    <row r="38519" spans="1:4" ht="15.75" customHeight="1">
      <c r="A38519" s="8"/>
      <c r="B38519" s="12"/>
      <c r="C38519" s="8"/>
      <c r="D38519" s="8"/>
    </row>
    <row r="38520" spans="1:4" ht="15.75" customHeight="1">
      <c r="A38520" s="8"/>
      <c r="B38520" s="12"/>
      <c r="C38520" s="8"/>
      <c r="D38520" s="8"/>
    </row>
    <row r="38521" spans="1:4" ht="15.75" customHeight="1">
      <c r="A38521" s="8"/>
      <c r="B38521" s="12"/>
      <c r="C38521" s="8"/>
      <c r="D38521" s="8"/>
    </row>
    <row r="38522" spans="1:4" ht="15.75" customHeight="1">
      <c r="A38522" s="8"/>
      <c r="B38522" s="12"/>
      <c r="C38522" s="8"/>
      <c r="D38522" s="8"/>
    </row>
    <row r="38523" spans="1:4" ht="15.75" customHeight="1">
      <c r="A38523" s="8"/>
      <c r="B38523" s="12"/>
      <c r="C38523" s="8"/>
      <c r="D38523" s="8"/>
    </row>
    <row r="38524" spans="1:4" ht="15.75" customHeight="1">
      <c r="A38524" s="8"/>
      <c r="B38524" s="12"/>
      <c r="C38524" s="8"/>
      <c r="D38524" s="8"/>
    </row>
    <row r="38525" spans="1:4" ht="15.75" customHeight="1">
      <c r="A38525" s="8"/>
      <c r="B38525" s="12"/>
      <c r="C38525" s="8"/>
      <c r="D38525" s="8"/>
    </row>
    <row r="38526" spans="1:4" ht="15.75" customHeight="1">
      <c r="A38526" s="8"/>
      <c r="B38526" s="12"/>
      <c r="C38526" s="8"/>
      <c r="D38526" s="8"/>
    </row>
    <row r="38527" spans="1:4" ht="15.75" customHeight="1">
      <c r="A38527" s="8"/>
      <c r="B38527" s="12"/>
      <c r="C38527" s="8"/>
      <c r="D38527" s="8"/>
    </row>
    <row r="38528" spans="1:4" ht="15.75" customHeight="1">
      <c r="A38528" s="8"/>
      <c r="B38528" s="12"/>
      <c r="C38528" s="8"/>
      <c r="D38528" s="8"/>
    </row>
    <row r="38529" spans="1:4" ht="15.75" customHeight="1">
      <c r="A38529" s="8"/>
      <c r="B38529" s="12"/>
      <c r="C38529" s="8"/>
      <c r="D38529" s="8"/>
    </row>
    <row r="38530" spans="1:4" ht="15.75" customHeight="1">
      <c r="A38530" s="8"/>
      <c r="B38530" s="12"/>
      <c r="C38530" s="8"/>
      <c r="D38530" s="8"/>
    </row>
    <row r="38531" spans="1:4" ht="15.75" customHeight="1">
      <c r="A38531" s="8"/>
      <c r="B38531" s="12"/>
      <c r="C38531" s="8"/>
      <c r="D38531" s="8"/>
    </row>
    <row r="38532" spans="1:4" ht="15.75" customHeight="1">
      <c r="A38532" s="8"/>
      <c r="B38532" s="12"/>
      <c r="C38532" s="8"/>
      <c r="D38532" s="8"/>
    </row>
    <row r="38533" spans="1:4" ht="15.75" customHeight="1">
      <c r="A38533" s="8"/>
      <c r="B38533" s="12"/>
      <c r="C38533" s="8"/>
      <c r="D38533" s="8"/>
    </row>
    <row r="38534" spans="1:4" ht="15.75" customHeight="1">
      <c r="A38534" s="8"/>
      <c r="B38534" s="12"/>
      <c r="C38534" s="8"/>
      <c r="D38534" s="8"/>
    </row>
    <row r="38535" spans="1:4" ht="15.75" customHeight="1">
      <c r="A38535" s="8"/>
      <c r="B38535" s="12"/>
      <c r="C38535" s="8"/>
      <c r="D38535" s="8"/>
    </row>
    <row r="38536" spans="1:4" ht="15.75" customHeight="1">
      <c r="A38536" s="8"/>
      <c r="B38536" s="12"/>
      <c r="C38536" s="8"/>
      <c r="D38536" s="8"/>
    </row>
    <row r="38537" spans="1:4" ht="15.75" customHeight="1">
      <c r="A38537" s="8"/>
      <c r="B38537" s="12"/>
      <c r="C38537" s="8"/>
      <c r="D38537" s="8"/>
    </row>
    <row r="38538" spans="1:4" ht="15.75" customHeight="1">
      <c r="A38538" s="8"/>
      <c r="B38538" s="12"/>
      <c r="C38538" s="8"/>
      <c r="D38538" s="8"/>
    </row>
    <row r="38539" spans="1:4" ht="15.75" customHeight="1">
      <c r="A38539" s="8"/>
      <c r="B38539" s="12"/>
      <c r="C38539" s="8"/>
      <c r="D38539" s="8"/>
    </row>
    <row r="38540" spans="1:4" ht="15.75" customHeight="1">
      <c r="A38540" s="8"/>
      <c r="B38540" s="12"/>
      <c r="C38540" s="8"/>
      <c r="D38540" s="8"/>
    </row>
    <row r="38541" spans="1:4" ht="15.75" customHeight="1">
      <c r="A38541" s="8"/>
      <c r="B38541" s="12"/>
      <c r="C38541" s="8"/>
      <c r="D38541" s="8"/>
    </row>
    <row r="38542" spans="1:4" ht="15.75" customHeight="1">
      <c r="A38542" s="8"/>
      <c r="B38542" s="12"/>
      <c r="C38542" s="8"/>
      <c r="D38542" s="8"/>
    </row>
    <row r="38543" spans="1:4" ht="15.75" customHeight="1">
      <c r="A38543" s="8"/>
      <c r="B38543" s="12"/>
      <c r="C38543" s="8"/>
      <c r="D38543" s="8"/>
    </row>
    <row r="38544" spans="1:4" ht="15.75" customHeight="1">
      <c r="A38544" s="8"/>
      <c r="B38544" s="12"/>
      <c r="C38544" s="8"/>
      <c r="D38544" s="8"/>
    </row>
    <row r="38545" spans="1:4" ht="15.75" customHeight="1">
      <c r="A38545" s="8"/>
      <c r="B38545" s="12"/>
      <c r="C38545" s="8"/>
      <c r="D38545" s="8"/>
    </row>
    <row r="38546" spans="1:4" ht="15.75" customHeight="1">
      <c r="A38546" s="8"/>
      <c r="B38546" s="12"/>
      <c r="C38546" s="8"/>
      <c r="D38546" s="8"/>
    </row>
    <row r="38547" spans="1:4" ht="15.75" customHeight="1">
      <c r="A38547" s="8"/>
      <c r="B38547" s="12"/>
      <c r="C38547" s="8"/>
      <c r="D38547" s="8"/>
    </row>
    <row r="38548" spans="1:4" ht="15.75" customHeight="1">
      <c r="A38548" s="8"/>
      <c r="B38548" s="12"/>
      <c r="C38548" s="8"/>
      <c r="D38548" s="8"/>
    </row>
    <row r="38549" spans="1:4" ht="15.75" customHeight="1">
      <c r="A38549" s="8"/>
      <c r="B38549" s="12"/>
      <c r="C38549" s="8"/>
      <c r="D38549" s="8"/>
    </row>
    <row r="38550" spans="1:4" ht="15.75" customHeight="1">
      <c r="A38550" s="8"/>
      <c r="B38550" s="12"/>
      <c r="C38550" s="8"/>
      <c r="D38550" s="8"/>
    </row>
    <row r="38551" spans="1:4" ht="15.75" customHeight="1">
      <c r="A38551" s="8"/>
      <c r="B38551" s="12"/>
      <c r="C38551" s="8"/>
      <c r="D38551" s="8"/>
    </row>
    <row r="38552" spans="1:4" ht="15.75" customHeight="1">
      <c r="A38552" s="8"/>
      <c r="B38552" s="12"/>
      <c r="C38552" s="8"/>
      <c r="D38552" s="8"/>
    </row>
    <row r="38553" spans="1:4" ht="15.75" customHeight="1">
      <c r="A38553" s="8"/>
      <c r="B38553" s="12"/>
      <c r="C38553" s="8"/>
      <c r="D38553" s="8"/>
    </row>
    <row r="38554" spans="1:4" ht="15.75" customHeight="1">
      <c r="A38554" s="8"/>
      <c r="B38554" s="12"/>
      <c r="C38554" s="8"/>
      <c r="D38554" s="8"/>
    </row>
    <row r="38555" spans="1:4" ht="15.75" customHeight="1">
      <c r="A38555" s="8"/>
      <c r="B38555" s="12"/>
      <c r="C38555" s="8"/>
      <c r="D38555" s="8"/>
    </row>
    <row r="38556" spans="1:4" ht="15.75" customHeight="1">
      <c r="A38556" s="8"/>
      <c r="B38556" s="12"/>
      <c r="C38556" s="8"/>
      <c r="D38556" s="8"/>
    </row>
    <row r="38557" spans="1:4" ht="15.75" customHeight="1">
      <c r="A38557" s="8"/>
      <c r="B38557" s="12"/>
      <c r="C38557" s="8"/>
      <c r="D38557" s="8"/>
    </row>
    <row r="38558" spans="1:4" ht="15.75" customHeight="1">
      <c r="A38558" s="8"/>
      <c r="B38558" s="12"/>
      <c r="C38558" s="8"/>
      <c r="D38558" s="8"/>
    </row>
    <row r="38559" spans="1:4" ht="15.75" customHeight="1">
      <c r="A38559" s="8"/>
      <c r="B38559" s="12"/>
      <c r="C38559" s="8"/>
      <c r="D38559" s="8"/>
    </row>
    <row r="38560" spans="1:4" ht="15.75" customHeight="1">
      <c r="A38560" s="8"/>
      <c r="B38560" s="12"/>
      <c r="C38560" s="8"/>
      <c r="D38560" s="8"/>
    </row>
    <row r="38561" spans="1:4" ht="15.75" customHeight="1">
      <c r="A38561" s="8"/>
      <c r="B38561" s="12"/>
      <c r="C38561" s="8"/>
      <c r="D38561" s="8"/>
    </row>
    <row r="38562" spans="1:4" ht="15.75" customHeight="1">
      <c r="A38562" s="8"/>
      <c r="B38562" s="12"/>
      <c r="C38562" s="8"/>
      <c r="D38562" s="8"/>
    </row>
    <row r="38563" spans="1:4" ht="15.75" customHeight="1">
      <c r="A38563" s="8"/>
      <c r="B38563" s="12"/>
      <c r="C38563" s="8"/>
      <c r="D38563" s="8"/>
    </row>
    <row r="38564" spans="1:4" ht="15.75" customHeight="1">
      <c r="A38564" s="8"/>
      <c r="B38564" s="12"/>
      <c r="C38564" s="8"/>
      <c r="D38564" s="8"/>
    </row>
    <row r="38565" spans="1:4" ht="15.75" customHeight="1">
      <c r="A38565" s="8"/>
      <c r="B38565" s="12"/>
      <c r="C38565" s="8"/>
      <c r="D38565" s="8"/>
    </row>
    <row r="38566" spans="1:4" ht="15.75" customHeight="1">
      <c r="A38566" s="8"/>
      <c r="B38566" s="12"/>
      <c r="C38566" s="8"/>
      <c r="D38566" s="8"/>
    </row>
    <row r="38567" spans="1:4" ht="15.75" customHeight="1">
      <c r="A38567" s="8"/>
      <c r="B38567" s="12"/>
      <c r="C38567" s="8"/>
      <c r="D38567" s="8"/>
    </row>
    <row r="38568" spans="1:4" ht="15.75" customHeight="1">
      <c r="A38568" s="8"/>
      <c r="B38568" s="12"/>
      <c r="C38568" s="8"/>
      <c r="D38568" s="8"/>
    </row>
    <row r="38569" spans="1:4" ht="15.75" customHeight="1">
      <c r="A38569" s="8"/>
      <c r="B38569" s="12"/>
      <c r="C38569" s="8"/>
      <c r="D38569" s="8"/>
    </row>
    <row r="38570" spans="1:4" ht="15.75" customHeight="1">
      <c r="A38570" s="8"/>
      <c r="B38570" s="12"/>
      <c r="C38570" s="8"/>
      <c r="D38570" s="8"/>
    </row>
    <row r="38571" spans="1:4" ht="15.75" customHeight="1">
      <c r="A38571" s="8"/>
      <c r="B38571" s="12"/>
      <c r="C38571" s="8"/>
      <c r="D38571" s="8"/>
    </row>
    <row r="38572" spans="1:4" ht="15.75" customHeight="1">
      <c r="A38572" s="8"/>
      <c r="B38572" s="12"/>
      <c r="C38572" s="8"/>
      <c r="D38572" s="8"/>
    </row>
    <row r="38573" spans="1:4" ht="15.75" customHeight="1">
      <c r="A38573" s="8"/>
      <c r="B38573" s="12"/>
      <c r="C38573" s="8"/>
      <c r="D38573" s="8"/>
    </row>
    <row r="38574" spans="1:4" ht="15.75" customHeight="1">
      <c r="A38574" s="8"/>
      <c r="B38574" s="12"/>
      <c r="C38574" s="8"/>
      <c r="D38574" s="8"/>
    </row>
    <row r="38575" spans="1:4" ht="15.75" customHeight="1">
      <c r="A38575" s="8"/>
      <c r="B38575" s="12"/>
      <c r="C38575" s="8"/>
      <c r="D38575" s="8"/>
    </row>
    <row r="38576" spans="1:4" ht="15.75" customHeight="1">
      <c r="A38576" s="8"/>
      <c r="B38576" s="12"/>
      <c r="C38576" s="8"/>
      <c r="D38576" s="8"/>
    </row>
    <row r="38577" spans="1:4" ht="15.75" customHeight="1">
      <c r="A38577" s="8"/>
      <c r="B38577" s="12"/>
      <c r="C38577" s="8"/>
      <c r="D38577" s="8"/>
    </row>
    <row r="38578" spans="1:4" ht="15.75" customHeight="1">
      <c r="A38578" s="8"/>
      <c r="B38578" s="12"/>
      <c r="C38578" s="8"/>
      <c r="D38578" s="8"/>
    </row>
    <row r="38579" spans="1:4" ht="15.75" customHeight="1">
      <c r="A38579" s="8"/>
      <c r="B38579" s="12"/>
      <c r="C38579" s="8"/>
      <c r="D38579" s="8"/>
    </row>
    <row r="38580" spans="1:4" ht="15.75" customHeight="1">
      <c r="A38580" s="8"/>
      <c r="B38580" s="12"/>
      <c r="C38580" s="8"/>
      <c r="D38580" s="8"/>
    </row>
    <row r="38581" spans="1:4" ht="15.75" customHeight="1">
      <c r="A38581" s="8"/>
      <c r="B38581" s="12"/>
      <c r="C38581" s="8"/>
      <c r="D38581" s="8"/>
    </row>
    <row r="38582" spans="1:4" ht="15.75" customHeight="1">
      <c r="A38582" s="8"/>
      <c r="B38582" s="12"/>
      <c r="C38582" s="8"/>
      <c r="D38582" s="8"/>
    </row>
    <row r="38583" spans="1:4" ht="15.75" customHeight="1">
      <c r="A38583" s="8"/>
      <c r="B38583" s="12"/>
      <c r="C38583" s="8"/>
      <c r="D38583" s="8"/>
    </row>
    <row r="38584" spans="1:4" ht="15.75" customHeight="1">
      <c r="A38584" s="8"/>
      <c r="B38584" s="12"/>
      <c r="C38584" s="8"/>
      <c r="D38584" s="8"/>
    </row>
    <row r="38585" spans="1:4" ht="15.75" customHeight="1">
      <c r="A38585" s="8"/>
      <c r="B38585" s="12"/>
      <c r="C38585" s="8"/>
      <c r="D38585" s="8"/>
    </row>
    <row r="38586" spans="1:4" ht="15.75" customHeight="1">
      <c r="A38586" s="8"/>
      <c r="B38586" s="12"/>
      <c r="C38586" s="8"/>
      <c r="D38586" s="8"/>
    </row>
    <row r="38587" spans="1:4" ht="15.75" customHeight="1">
      <c r="A38587" s="8"/>
      <c r="B38587" s="12"/>
      <c r="C38587" s="8"/>
      <c r="D38587" s="8"/>
    </row>
    <row r="38588" spans="1:4" ht="15.75" customHeight="1">
      <c r="A38588" s="8"/>
      <c r="B38588" s="12"/>
      <c r="C38588" s="8"/>
      <c r="D38588" s="8"/>
    </row>
    <row r="38589" spans="1:4" ht="15.75" customHeight="1">
      <c r="A38589" s="8"/>
      <c r="B38589" s="12"/>
      <c r="C38589" s="8"/>
      <c r="D38589" s="8"/>
    </row>
    <row r="38590" spans="1:4" ht="15.75" customHeight="1">
      <c r="A38590" s="8"/>
      <c r="B38590" s="12"/>
      <c r="C38590" s="8"/>
      <c r="D38590" s="8"/>
    </row>
    <row r="38591" spans="1:4" ht="15.75" customHeight="1">
      <c r="A38591" s="8"/>
      <c r="B38591" s="12"/>
      <c r="C38591" s="8"/>
      <c r="D38591" s="8"/>
    </row>
    <row r="38592" spans="1:4" ht="15.75" customHeight="1">
      <c r="A38592" s="8"/>
      <c r="B38592" s="12"/>
      <c r="C38592" s="8"/>
      <c r="D38592" s="8"/>
    </row>
    <row r="38593" spans="1:4" ht="15.75" customHeight="1">
      <c r="A38593" s="8"/>
      <c r="B38593" s="12"/>
      <c r="C38593" s="8"/>
      <c r="D38593" s="8"/>
    </row>
    <row r="38594" spans="1:4" ht="15.75" customHeight="1">
      <c r="A38594" s="8"/>
      <c r="B38594" s="12"/>
      <c r="C38594" s="8"/>
      <c r="D38594" s="8"/>
    </row>
    <row r="38595" spans="1:4" ht="15.75" customHeight="1">
      <c r="A38595" s="8"/>
      <c r="B38595" s="12"/>
      <c r="C38595" s="8"/>
      <c r="D38595" s="8"/>
    </row>
    <row r="38596" spans="1:4" ht="15.75" customHeight="1">
      <c r="A38596" s="8"/>
      <c r="B38596" s="12"/>
      <c r="C38596" s="8"/>
      <c r="D38596" s="8"/>
    </row>
    <row r="38597" spans="1:4" ht="15.75" customHeight="1">
      <c r="A38597" s="8"/>
      <c r="B38597" s="12"/>
      <c r="C38597" s="8"/>
      <c r="D38597" s="8"/>
    </row>
    <row r="38598" spans="1:4" ht="15.75" customHeight="1">
      <c r="A38598" s="8"/>
      <c r="B38598" s="12"/>
      <c r="C38598" s="8"/>
      <c r="D38598" s="8"/>
    </row>
    <row r="38599" spans="1:4" ht="15.75" customHeight="1">
      <c r="A38599" s="8"/>
      <c r="B38599" s="12"/>
      <c r="C38599" s="8"/>
      <c r="D38599" s="8"/>
    </row>
    <row r="38600" spans="1:4" ht="15.75" customHeight="1">
      <c r="A38600" s="8"/>
      <c r="B38600" s="12"/>
      <c r="C38600" s="8"/>
      <c r="D38600" s="8"/>
    </row>
    <row r="38601" spans="1:4" ht="15.75" customHeight="1">
      <c r="A38601" s="8"/>
      <c r="B38601" s="12"/>
      <c r="C38601" s="8"/>
      <c r="D38601" s="8"/>
    </row>
    <row r="38602" spans="1:4" ht="15.75" customHeight="1">
      <c r="A38602" s="8"/>
      <c r="B38602" s="12"/>
      <c r="C38602" s="8"/>
      <c r="D38602" s="8"/>
    </row>
    <row r="38603" spans="1:4" ht="15.75" customHeight="1">
      <c r="A38603" s="8"/>
      <c r="B38603" s="12"/>
      <c r="C38603" s="8"/>
      <c r="D38603" s="8"/>
    </row>
    <row r="38604" spans="1:4" ht="15.75" customHeight="1">
      <c r="A38604" s="8"/>
      <c r="B38604" s="12"/>
      <c r="C38604" s="8"/>
      <c r="D38604" s="8"/>
    </row>
    <row r="38605" spans="1:4" ht="15.75" customHeight="1">
      <c r="A38605" s="8"/>
      <c r="B38605" s="12"/>
      <c r="C38605" s="8"/>
      <c r="D38605" s="8"/>
    </row>
    <row r="38606" spans="1:4" ht="15.75" customHeight="1">
      <c r="A38606" s="8"/>
      <c r="B38606" s="12"/>
      <c r="C38606" s="8"/>
      <c r="D38606" s="8"/>
    </row>
    <row r="38607" spans="1:4" ht="15.75" customHeight="1">
      <c r="A38607" s="8"/>
      <c r="B38607" s="12"/>
      <c r="C38607" s="8"/>
      <c r="D38607" s="8"/>
    </row>
    <row r="38608" spans="1:4" ht="15.75" customHeight="1">
      <c r="A38608" s="8"/>
      <c r="B38608" s="12"/>
      <c r="C38608" s="8"/>
      <c r="D38608" s="8"/>
    </row>
    <row r="38609" spans="1:4" ht="15.75" customHeight="1">
      <c r="A38609" s="8"/>
      <c r="B38609" s="12"/>
      <c r="C38609" s="8"/>
      <c r="D38609" s="8"/>
    </row>
    <row r="38610" spans="1:4" ht="15.75" customHeight="1">
      <c r="A38610" s="8"/>
      <c r="B38610" s="12"/>
      <c r="C38610" s="8"/>
      <c r="D38610" s="8"/>
    </row>
    <row r="38611" spans="1:4" ht="15.75" customHeight="1">
      <c r="A38611" s="8"/>
      <c r="B38611" s="12"/>
      <c r="C38611" s="8"/>
      <c r="D38611" s="8"/>
    </row>
    <row r="38612" spans="1:4" ht="15.75" customHeight="1">
      <c r="A38612" s="8"/>
      <c r="B38612" s="12"/>
      <c r="C38612" s="8"/>
      <c r="D38612" s="8"/>
    </row>
    <row r="38613" spans="1:4" ht="15.75" customHeight="1">
      <c r="A38613" s="8"/>
      <c r="B38613" s="12"/>
      <c r="C38613" s="8"/>
      <c r="D38613" s="8"/>
    </row>
    <row r="38614" spans="1:4" ht="15.75" customHeight="1">
      <c r="A38614" s="8"/>
      <c r="B38614" s="12"/>
      <c r="C38614" s="8"/>
      <c r="D38614" s="8"/>
    </row>
    <row r="38615" spans="1:4" ht="15.75" customHeight="1">
      <c r="A38615" s="8"/>
      <c r="B38615" s="12"/>
      <c r="C38615" s="8"/>
      <c r="D38615" s="8"/>
    </row>
    <row r="38616" spans="1:4" ht="15.75" customHeight="1">
      <c r="A38616" s="8"/>
      <c r="B38616" s="12"/>
      <c r="C38616" s="8"/>
      <c r="D38616" s="8"/>
    </row>
    <row r="38617" spans="1:4" ht="15.75" customHeight="1">
      <c r="A38617" s="8"/>
      <c r="B38617" s="12"/>
      <c r="C38617" s="8"/>
      <c r="D38617" s="8"/>
    </row>
    <row r="38618" spans="1:4" ht="15.75" customHeight="1">
      <c r="A38618" s="8"/>
      <c r="B38618" s="12"/>
      <c r="C38618" s="8"/>
      <c r="D38618" s="8"/>
    </row>
    <row r="38619" spans="1:4" ht="15.75" customHeight="1">
      <c r="A38619" s="8"/>
      <c r="B38619" s="12"/>
      <c r="C38619" s="8"/>
      <c r="D38619" s="8"/>
    </row>
    <row r="38620" spans="1:4" ht="15.75" customHeight="1">
      <c r="A38620" s="8"/>
      <c r="B38620" s="12"/>
      <c r="C38620" s="8"/>
      <c r="D38620" s="8"/>
    </row>
    <row r="38621" spans="1:4" ht="15.75" customHeight="1">
      <c r="A38621" s="8"/>
      <c r="B38621" s="12"/>
      <c r="C38621" s="8"/>
      <c r="D38621" s="8"/>
    </row>
    <row r="38622" spans="1:4" ht="15.75" customHeight="1">
      <c r="A38622" s="8"/>
      <c r="B38622" s="12"/>
      <c r="C38622" s="8"/>
      <c r="D38622" s="8"/>
    </row>
    <row r="38623" spans="1:4" ht="15.75" customHeight="1">
      <c r="A38623" s="8"/>
      <c r="B38623" s="12"/>
      <c r="C38623" s="8"/>
      <c r="D38623" s="8"/>
    </row>
    <row r="38624" spans="1:4" ht="15.75" customHeight="1">
      <c r="A38624" s="8"/>
      <c r="B38624" s="12"/>
      <c r="C38624" s="8"/>
      <c r="D38624" s="8"/>
    </row>
    <row r="38625" spans="1:4" ht="15.75" customHeight="1">
      <c r="A38625" s="8"/>
      <c r="B38625" s="12"/>
      <c r="C38625" s="8"/>
      <c r="D38625" s="8"/>
    </row>
    <row r="38626" spans="1:4" ht="15.75" customHeight="1">
      <c r="A38626" s="8"/>
      <c r="B38626" s="12"/>
      <c r="C38626" s="8"/>
      <c r="D38626" s="8"/>
    </row>
    <row r="38627" spans="1:4" ht="15.75" customHeight="1">
      <c r="A38627" s="8"/>
      <c r="B38627" s="12"/>
      <c r="C38627" s="8"/>
      <c r="D38627" s="8"/>
    </row>
    <row r="38628" spans="1:4" ht="15.75" customHeight="1">
      <c r="A38628" s="8"/>
      <c r="B38628" s="12"/>
      <c r="C38628" s="8"/>
      <c r="D38628" s="8"/>
    </row>
    <row r="38629" spans="1:4" ht="15.75" customHeight="1">
      <c r="A38629" s="8"/>
      <c r="B38629" s="12"/>
      <c r="C38629" s="8"/>
      <c r="D38629" s="8"/>
    </row>
    <row r="38630" spans="1:4" ht="15.75" customHeight="1">
      <c r="A38630" s="8"/>
      <c r="B38630" s="12"/>
      <c r="C38630" s="8"/>
      <c r="D38630" s="8"/>
    </row>
    <row r="38631" spans="1:4" ht="15.75" customHeight="1">
      <c r="A38631" s="8"/>
      <c r="B38631" s="12"/>
      <c r="C38631" s="8"/>
      <c r="D38631" s="8"/>
    </row>
    <row r="38632" spans="1:4" ht="15.75" customHeight="1">
      <c r="A38632" s="8"/>
      <c r="B38632" s="12"/>
      <c r="C38632" s="8"/>
      <c r="D38632" s="8"/>
    </row>
    <row r="38633" spans="1:4" ht="15.75" customHeight="1">
      <c r="A38633" s="8"/>
      <c r="B38633" s="12"/>
      <c r="C38633" s="8"/>
      <c r="D38633" s="8"/>
    </row>
    <row r="38634" spans="1:4" ht="15.75" customHeight="1">
      <c r="A38634" s="8"/>
      <c r="B38634" s="12"/>
      <c r="C38634" s="8"/>
      <c r="D38634" s="8"/>
    </row>
    <row r="38635" spans="1:4" ht="15.75" customHeight="1">
      <c r="A38635" s="8"/>
      <c r="B38635" s="12"/>
      <c r="C38635" s="8"/>
      <c r="D38635" s="8"/>
    </row>
    <row r="38636" spans="1:4" ht="15.75" customHeight="1">
      <c r="A38636" s="8"/>
      <c r="B38636" s="12"/>
      <c r="C38636" s="8"/>
      <c r="D38636" s="8"/>
    </row>
    <row r="38637" spans="1:4" ht="15.75" customHeight="1">
      <c r="A38637" s="8"/>
      <c r="B38637" s="12"/>
      <c r="C38637" s="8"/>
      <c r="D38637" s="8"/>
    </row>
    <row r="38638" spans="1:4" ht="15.75" customHeight="1">
      <c r="A38638" s="8"/>
      <c r="B38638" s="12"/>
      <c r="C38638" s="8"/>
      <c r="D38638" s="8"/>
    </row>
    <row r="38639" spans="1:4" ht="15.75" customHeight="1">
      <c r="A38639" s="8"/>
      <c r="B38639" s="12"/>
      <c r="C38639" s="8"/>
      <c r="D38639" s="8"/>
    </row>
    <row r="38640" spans="1:4" ht="15.75" customHeight="1">
      <c r="A38640" s="8"/>
      <c r="B38640" s="12"/>
      <c r="C38640" s="8"/>
      <c r="D38640" s="8"/>
    </row>
    <row r="38641" spans="1:4" ht="15.75" customHeight="1">
      <c r="A38641" s="8"/>
      <c r="B38641" s="12"/>
      <c r="C38641" s="8"/>
      <c r="D38641" s="8"/>
    </row>
    <row r="38642" spans="1:4" ht="15.75" customHeight="1">
      <c r="A38642" s="8"/>
      <c r="B38642" s="12"/>
      <c r="C38642" s="8"/>
      <c r="D38642" s="8"/>
    </row>
    <row r="38643" spans="1:4" ht="15.75" customHeight="1">
      <c r="A38643" s="8"/>
      <c r="B38643" s="12"/>
      <c r="C38643" s="8"/>
      <c r="D38643" s="8"/>
    </row>
    <row r="38644" spans="1:4" ht="15.75" customHeight="1">
      <c r="A38644" s="8"/>
      <c r="B38644" s="12"/>
      <c r="C38644" s="8"/>
      <c r="D38644" s="8"/>
    </row>
    <row r="38645" spans="1:4" ht="15.75" customHeight="1">
      <c r="A38645" s="8"/>
      <c r="B38645" s="12"/>
      <c r="C38645" s="8"/>
      <c r="D38645" s="8"/>
    </row>
    <row r="38646" spans="1:4" ht="15.75" customHeight="1">
      <c r="A38646" s="8"/>
      <c r="B38646" s="12"/>
      <c r="C38646" s="8"/>
      <c r="D38646" s="8"/>
    </row>
    <row r="38647" spans="1:4" ht="15.75" customHeight="1">
      <c r="A38647" s="8"/>
      <c r="B38647" s="12"/>
      <c r="C38647" s="8"/>
      <c r="D38647" s="8"/>
    </row>
    <row r="38648" spans="1:4" ht="15.75" customHeight="1">
      <c r="A38648" s="8"/>
      <c r="B38648" s="12"/>
      <c r="C38648" s="8"/>
      <c r="D38648" s="8"/>
    </row>
    <row r="38649" spans="1:4" ht="15.75" customHeight="1">
      <c r="A38649" s="8"/>
      <c r="B38649" s="12"/>
      <c r="C38649" s="8"/>
      <c r="D38649" s="8"/>
    </row>
    <row r="38650" spans="1:4" ht="15.75" customHeight="1">
      <c r="A38650" s="8"/>
      <c r="B38650" s="12"/>
      <c r="C38650" s="8"/>
      <c r="D38650" s="8"/>
    </row>
    <row r="38651" spans="1:4" ht="15.75" customHeight="1">
      <c r="A38651" s="8"/>
      <c r="B38651" s="12"/>
      <c r="C38651" s="8"/>
      <c r="D38651" s="8"/>
    </row>
    <row r="38652" spans="1:4" ht="15.75" customHeight="1">
      <c r="A38652" s="8"/>
      <c r="B38652" s="12"/>
      <c r="C38652" s="8"/>
      <c r="D38652" s="8"/>
    </row>
    <row r="38653" spans="1:4" ht="15.75" customHeight="1">
      <c r="A38653" s="8"/>
      <c r="B38653" s="12"/>
      <c r="C38653" s="8"/>
      <c r="D38653" s="8"/>
    </row>
    <row r="38654" spans="1:4" ht="15.75" customHeight="1">
      <c r="A38654" s="8"/>
      <c r="B38654" s="12"/>
      <c r="C38654" s="8"/>
      <c r="D38654" s="8"/>
    </row>
    <row r="38655" spans="1:4" ht="15.75" customHeight="1">
      <c r="A38655" s="8"/>
      <c r="B38655" s="12"/>
      <c r="C38655" s="8"/>
      <c r="D38655" s="8"/>
    </row>
    <row r="38656" spans="1:4" ht="15.75" customHeight="1">
      <c r="A38656" s="8"/>
      <c r="B38656" s="12"/>
      <c r="C38656" s="8"/>
      <c r="D38656" s="8"/>
    </row>
    <row r="38657" spans="1:4" ht="15.75" customHeight="1">
      <c r="A38657" s="8"/>
      <c r="B38657" s="12"/>
      <c r="C38657" s="8"/>
      <c r="D38657" s="8"/>
    </row>
    <row r="38658" spans="1:4" ht="15.75" customHeight="1">
      <c r="A38658" s="8"/>
      <c r="B38658" s="12"/>
      <c r="C38658" s="8"/>
      <c r="D38658" s="8"/>
    </row>
    <row r="38659" spans="1:4" ht="15.75" customHeight="1">
      <c r="A38659" s="8"/>
      <c r="B38659" s="12"/>
      <c r="C38659" s="8"/>
      <c r="D38659" s="8"/>
    </row>
    <row r="38660" spans="1:4" ht="15.75" customHeight="1">
      <c r="A38660" s="8"/>
      <c r="B38660" s="12"/>
      <c r="C38660" s="8"/>
      <c r="D38660" s="8"/>
    </row>
    <row r="38661" spans="1:4" ht="15.75" customHeight="1">
      <c r="A38661" s="8"/>
      <c r="B38661" s="12"/>
      <c r="C38661" s="8"/>
      <c r="D38661" s="8"/>
    </row>
    <row r="38662" spans="1:4" ht="15.75" customHeight="1">
      <c r="A38662" s="8"/>
      <c r="B38662" s="12"/>
      <c r="C38662" s="8"/>
      <c r="D38662" s="8"/>
    </row>
    <row r="38663" spans="1:4" ht="15.75" customHeight="1">
      <c r="A38663" s="8"/>
      <c r="B38663" s="12"/>
      <c r="C38663" s="8"/>
      <c r="D38663" s="8"/>
    </row>
    <row r="38664" spans="1:4" ht="15.75" customHeight="1">
      <c r="A38664" s="8"/>
      <c r="B38664" s="12"/>
      <c r="C38664" s="8"/>
      <c r="D38664" s="8"/>
    </row>
    <row r="38665" spans="1:4" ht="15.75" customHeight="1">
      <c r="A38665" s="8"/>
      <c r="B38665" s="12"/>
      <c r="C38665" s="8"/>
      <c r="D38665" s="8"/>
    </row>
    <row r="38666" spans="1:4" ht="15.75" customHeight="1">
      <c r="A38666" s="8"/>
      <c r="B38666" s="12"/>
      <c r="C38666" s="8"/>
      <c r="D38666" s="8"/>
    </row>
    <row r="38667" spans="1:4" ht="15.75" customHeight="1">
      <c r="A38667" s="8"/>
      <c r="B38667" s="12"/>
      <c r="C38667" s="8"/>
      <c r="D38667" s="8"/>
    </row>
    <row r="38668" spans="1:4" ht="15.75" customHeight="1">
      <c r="A38668" s="8"/>
      <c r="B38668" s="12"/>
      <c r="C38668" s="8"/>
      <c r="D38668" s="8"/>
    </row>
    <row r="38669" spans="1:4" ht="15.75" customHeight="1">
      <c r="A38669" s="8"/>
      <c r="B38669" s="12"/>
      <c r="C38669" s="8"/>
      <c r="D38669" s="8"/>
    </row>
    <row r="38670" spans="1:4" ht="15.75" customHeight="1">
      <c r="A38670" s="8"/>
      <c r="B38670" s="12"/>
      <c r="C38670" s="8"/>
      <c r="D38670" s="8"/>
    </row>
    <row r="38671" spans="1:4" ht="15.75" customHeight="1">
      <c r="A38671" s="8"/>
      <c r="B38671" s="12"/>
      <c r="C38671" s="8"/>
      <c r="D38671" s="8"/>
    </row>
    <row r="38672" spans="1:4" ht="15.75" customHeight="1">
      <c r="A38672" s="8"/>
      <c r="B38672" s="12"/>
      <c r="C38672" s="8"/>
      <c r="D38672" s="8"/>
    </row>
    <row r="38673" spans="1:4" ht="15.75" customHeight="1">
      <c r="A38673" s="8"/>
      <c r="B38673" s="12"/>
      <c r="C38673" s="8"/>
      <c r="D38673" s="8"/>
    </row>
    <row r="38674" spans="1:4" ht="15.75" customHeight="1">
      <c r="A38674" s="8"/>
      <c r="B38674" s="12"/>
      <c r="C38674" s="8"/>
      <c r="D38674" s="8"/>
    </row>
    <row r="38675" spans="1:4" ht="15.75" customHeight="1">
      <c r="A38675" s="8"/>
      <c r="B38675" s="12"/>
      <c r="C38675" s="8"/>
      <c r="D38675" s="8"/>
    </row>
    <row r="38676" spans="1:4" ht="15.75" customHeight="1">
      <c r="A38676" s="8"/>
      <c r="B38676" s="12"/>
      <c r="C38676" s="8"/>
      <c r="D38676" s="8"/>
    </row>
    <row r="38677" spans="1:4" ht="15.75" customHeight="1">
      <c r="A38677" s="8"/>
      <c r="B38677" s="12"/>
      <c r="C38677" s="8"/>
      <c r="D38677" s="8"/>
    </row>
    <row r="38678" spans="1:4" ht="15.75" customHeight="1">
      <c r="A38678" s="8"/>
      <c r="B38678" s="12"/>
      <c r="C38678" s="8"/>
      <c r="D38678" s="8"/>
    </row>
    <row r="38679" spans="1:4" ht="15.75" customHeight="1">
      <c r="A38679" s="8"/>
      <c r="B38679" s="12"/>
      <c r="C38679" s="8"/>
      <c r="D38679" s="8"/>
    </row>
    <row r="38680" spans="1:4" ht="15.75" customHeight="1">
      <c r="A38680" s="8"/>
      <c r="B38680" s="12"/>
      <c r="C38680" s="8"/>
      <c r="D38680" s="8"/>
    </row>
    <row r="38681" spans="1:4" ht="15.75" customHeight="1">
      <c r="A38681" s="8"/>
      <c r="B38681" s="12"/>
      <c r="C38681" s="8"/>
      <c r="D38681" s="8"/>
    </row>
    <row r="38682" spans="1:4" ht="15.75" customHeight="1">
      <c r="A38682" s="8"/>
      <c r="B38682" s="12"/>
      <c r="C38682" s="8"/>
      <c r="D38682" s="8"/>
    </row>
    <row r="38683" spans="1:4" ht="15.75" customHeight="1">
      <c r="A38683" s="8"/>
      <c r="B38683" s="12"/>
      <c r="C38683" s="8"/>
      <c r="D38683" s="8"/>
    </row>
    <row r="38684" spans="1:4" ht="15.75" customHeight="1">
      <c r="A38684" s="8"/>
      <c r="B38684" s="12"/>
      <c r="C38684" s="8"/>
      <c r="D38684" s="8"/>
    </row>
    <row r="38685" spans="1:4" ht="15.75" customHeight="1">
      <c r="A38685" s="8"/>
      <c r="B38685" s="12"/>
      <c r="C38685" s="8"/>
      <c r="D38685" s="8"/>
    </row>
    <row r="38686" spans="1:4" ht="15.75" customHeight="1">
      <c r="A38686" s="8"/>
      <c r="B38686" s="12"/>
      <c r="C38686" s="8"/>
      <c r="D38686" s="8"/>
    </row>
    <row r="38687" spans="1:4" ht="15.75" customHeight="1">
      <c r="A38687" s="8"/>
      <c r="B38687" s="12"/>
      <c r="C38687" s="8"/>
      <c r="D38687" s="8"/>
    </row>
    <row r="38688" spans="1:4" ht="15.75" customHeight="1">
      <c r="A38688" s="8"/>
      <c r="B38688" s="12"/>
      <c r="C38688" s="8"/>
      <c r="D38688" s="8"/>
    </row>
    <row r="38689" spans="1:4" ht="15.75" customHeight="1">
      <c r="A38689" s="8"/>
      <c r="B38689" s="12"/>
      <c r="C38689" s="8"/>
      <c r="D38689" s="8"/>
    </row>
    <row r="38690" spans="1:4" ht="15.75" customHeight="1">
      <c r="A38690" s="8"/>
      <c r="B38690" s="12"/>
      <c r="C38690" s="8"/>
      <c r="D38690" s="8"/>
    </row>
    <row r="38691" spans="1:4" ht="15.75" customHeight="1">
      <c r="A38691" s="8"/>
      <c r="B38691" s="12"/>
      <c r="C38691" s="8"/>
      <c r="D38691" s="8"/>
    </row>
    <row r="38692" spans="1:4" ht="15.75" customHeight="1">
      <c r="A38692" s="8"/>
      <c r="B38692" s="12"/>
      <c r="C38692" s="8"/>
      <c r="D38692" s="8"/>
    </row>
    <row r="38693" spans="1:4" ht="15.75" customHeight="1">
      <c r="A38693" s="8"/>
      <c r="B38693" s="12"/>
      <c r="C38693" s="8"/>
      <c r="D38693" s="8"/>
    </row>
    <row r="38694" spans="1:4" ht="15.75" customHeight="1">
      <c r="A38694" s="8"/>
      <c r="B38694" s="12"/>
      <c r="C38694" s="8"/>
      <c r="D38694" s="8"/>
    </row>
    <row r="38695" spans="1:4" ht="15.75" customHeight="1">
      <c r="A38695" s="8"/>
      <c r="B38695" s="12"/>
      <c r="C38695" s="8"/>
      <c r="D38695" s="8"/>
    </row>
    <row r="38696" spans="1:4" ht="15.75" customHeight="1">
      <c r="A38696" s="8"/>
      <c r="B38696" s="12"/>
      <c r="C38696" s="8"/>
      <c r="D38696" s="8"/>
    </row>
    <row r="38697" spans="1:4" ht="15.75" customHeight="1">
      <c r="A38697" s="8"/>
      <c r="B38697" s="12"/>
      <c r="C38697" s="8"/>
      <c r="D38697" s="8"/>
    </row>
    <row r="38698" spans="1:4" ht="15.75" customHeight="1">
      <c r="A38698" s="8"/>
      <c r="B38698" s="12"/>
      <c r="C38698" s="8"/>
      <c r="D38698" s="8"/>
    </row>
    <row r="38699" spans="1:4" ht="15.75" customHeight="1">
      <c r="A38699" s="8"/>
      <c r="B38699" s="12"/>
      <c r="C38699" s="8"/>
      <c r="D38699" s="8"/>
    </row>
    <row r="38700" spans="1:4" ht="15.75" customHeight="1">
      <c r="A38700" s="8"/>
      <c r="B38700" s="12"/>
      <c r="C38700" s="8"/>
      <c r="D38700" s="8"/>
    </row>
    <row r="38701" spans="1:4" ht="15.75" customHeight="1">
      <c r="A38701" s="8"/>
      <c r="B38701" s="12"/>
      <c r="C38701" s="8"/>
      <c r="D38701" s="8"/>
    </row>
    <row r="38702" spans="1:4" ht="15.75" customHeight="1">
      <c r="A38702" s="8"/>
      <c r="B38702" s="12"/>
      <c r="C38702" s="8"/>
      <c r="D38702" s="8"/>
    </row>
    <row r="38703" spans="1:4" ht="15.75" customHeight="1">
      <c r="A38703" s="8"/>
      <c r="B38703" s="12"/>
      <c r="C38703" s="8"/>
      <c r="D38703" s="8"/>
    </row>
    <row r="38704" spans="1:4" ht="15.75" customHeight="1">
      <c r="A38704" s="8"/>
      <c r="B38704" s="12"/>
      <c r="C38704" s="8"/>
      <c r="D38704" s="8"/>
    </row>
    <row r="38705" spans="1:4" ht="15.75" customHeight="1">
      <c r="A38705" s="8"/>
      <c r="B38705" s="12"/>
      <c r="C38705" s="8"/>
      <c r="D38705" s="8"/>
    </row>
    <row r="38706" spans="1:4" ht="15.75" customHeight="1">
      <c r="A38706" s="8"/>
      <c r="B38706" s="12"/>
      <c r="C38706" s="8"/>
      <c r="D38706" s="8"/>
    </row>
    <row r="38707" spans="1:4" ht="15.75" customHeight="1">
      <c r="A38707" s="8"/>
      <c r="B38707" s="12"/>
      <c r="C38707" s="8"/>
      <c r="D38707" s="8"/>
    </row>
    <row r="38708" spans="1:4" ht="15.75" customHeight="1">
      <c r="A38708" s="8"/>
      <c r="B38708" s="12"/>
      <c r="C38708" s="8"/>
      <c r="D38708" s="8"/>
    </row>
    <row r="38709" spans="1:4" ht="15.75" customHeight="1">
      <c r="A38709" s="8"/>
      <c r="B38709" s="12"/>
      <c r="C38709" s="8"/>
      <c r="D38709" s="8"/>
    </row>
    <row r="38710" spans="1:4" ht="15.75" customHeight="1">
      <c r="A38710" s="8"/>
      <c r="B38710" s="12"/>
      <c r="C38710" s="8"/>
      <c r="D38710" s="8"/>
    </row>
    <row r="38711" spans="1:4" ht="15.75" customHeight="1">
      <c r="A38711" s="8"/>
      <c r="B38711" s="12"/>
      <c r="C38711" s="8"/>
      <c r="D38711" s="8"/>
    </row>
    <row r="38712" spans="1:4" ht="15.75" customHeight="1">
      <c r="A38712" s="8"/>
      <c r="B38712" s="12"/>
      <c r="C38712" s="8"/>
      <c r="D38712" s="8"/>
    </row>
    <row r="38713" spans="1:4" ht="15.75" customHeight="1">
      <c r="A38713" s="8"/>
      <c r="B38713" s="12"/>
      <c r="C38713" s="8"/>
      <c r="D38713" s="8"/>
    </row>
    <row r="38714" spans="1:4" ht="15.75" customHeight="1">
      <c r="A38714" s="8"/>
      <c r="B38714" s="12"/>
      <c r="C38714" s="8"/>
      <c r="D38714" s="8"/>
    </row>
    <row r="38715" spans="1:4" ht="15.75" customHeight="1">
      <c r="A38715" s="8"/>
      <c r="B38715" s="12"/>
      <c r="C38715" s="8"/>
      <c r="D38715" s="8"/>
    </row>
    <row r="38716" spans="1:4" ht="15.75" customHeight="1">
      <c r="A38716" s="8"/>
      <c r="B38716" s="12"/>
      <c r="C38716" s="8"/>
      <c r="D38716" s="8"/>
    </row>
    <row r="38717" spans="1:4" ht="15.75" customHeight="1">
      <c r="A38717" s="8"/>
      <c r="B38717" s="12"/>
      <c r="C38717" s="8"/>
      <c r="D38717" s="8"/>
    </row>
    <row r="38718" spans="1:4" ht="15.75" customHeight="1">
      <c r="A38718" s="8"/>
      <c r="B38718" s="12"/>
      <c r="C38718" s="8"/>
      <c r="D38718" s="8"/>
    </row>
    <row r="38719" spans="1:4" ht="15.75" customHeight="1">
      <c r="A38719" s="8"/>
      <c r="B38719" s="12"/>
      <c r="C38719" s="8"/>
      <c r="D38719" s="8"/>
    </row>
    <row r="38720" spans="1:4" ht="15.75" customHeight="1">
      <c r="A38720" s="8"/>
      <c r="B38720" s="12"/>
      <c r="C38720" s="8"/>
      <c r="D38720" s="8"/>
    </row>
    <row r="38721" spans="1:4" ht="15.75" customHeight="1">
      <c r="A38721" s="8"/>
      <c r="B38721" s="12"/>
      <c r="C38721" s="8"/>
      <c r="D38721" s="8"/>
    </row>
    <row r="38722" spans="1:4" ht="15.75" customHeight="1">
      <c r="A38722" s="8"/>
      <c r="B38722" s="12"/>
      <c r="C38722" s="8"/>
      <c r="D38722" s="8"/>
    </row>
    <row r="38723" spans="1:4" ht="15.75" customHeight="1">
      <c r="A38723" s="8"/>
      <c r="B38723" s="12"/>
      <c r="C38723" s="8"/>
      <c r="D38723" s="8"/>
    </row>
    <row r="38724" spans="1:4" ht="15.75" customHeight="1">
      <c r="A38724" s="8"/>
      <c r="B38724" s="12"/>
      <c r="C38724" s="8"/>
      <c r="D38724" s="8"/>
    </row>
    <row r="38725" spans="1:4" ht="15.75" customHeight="1">
      <c r="A38725" s="8"/>
      <c r="B38725" s="12"/>
      <c r="C38725" s="8"/>
      <c r="D38725" s="8"/>
    </row>
    <row r="38726" spans="1:4" ht="15.75" customHeight="1">
      <c r="A38726" s="8"/>
      <c r="B38726" s="12"/>
      <c r="C38726" s="8"/>
      <c r="D38726" s="8"/>
    </row>
    <row r="38727" spans="1:4" ht="15.75" customHeight="1">
      <c r="A38727" s="8"/>
      <c r="B38727" s="12"/>
      <c r="C38727" s="8"/>
      <c r="D38727" s="8"/>
    </row>
    <row r="38728" spans="1:4" ht="15.75" customHeight="1">
      <c r="A38728" s="8"/>
      <c r="B38728" s="12"/>
      <c r="C38728" s="8"/>
      <c r="D38728" s="8"/>
    </row>
    <row r="38729" spans="1:4" ht="15.75" customHeight="1">
      <c r="A38729" s="8"/>
      <c r="B38729" s="12"/>
      <c r="C38729" s="8"/>
      <c r="D38729" s="8"/>
    </row>
    <row r="38730" spans="1:4" ht="15.75" customHeight="1">
      <c r="A38730" s="8"/>
      <c r="B38730" s="12"/>
      <c r="C38730" s="8"/>
      <c r="D38730" s="8"/>
    </row>
    <row r="38731" spans="1:4" ht="15.75" customHeight="1">
      <c r="A38731" s="8"/>
      <c r="B38731" s="12"/>
      <c r="C38731" s="8"/>
      <c r="D38731" s="8"/>
    </row>
    <row r="38732" spans="1:4" ht="15.75" customHeight="1">
      <c r="A38732" s="8"/>
      <c r="B38732" s="12"/>
      <c r="C38732" s="8"/>
      <c r="D38732" s="8"/>
    </row>
    <row r="38733" spans="1:4" ht="15.75" customHeight="1">
      <c r="A38733" s="8"/>
      <c r="B38733" s="12"/>
      <c r="C38733" s="8"/>
      <c r="D38733" s="8"/>
    </row>
    <row r="38734" spans="1:4" ht="15.75" customHeight="1">
      <c r="A38734" s="8"/>
      <c r="B38734" s="12"/>
      <c r="C38734" s="8"/>
      <c r="D38734" s="8"/>
    </row>
    <row r="38735" spans="1:4" ht="15.75" customHeight="1">
      <c r="A38735" s="8"/>
      <c r="B38735" s="12"/>
      <c r="C38735" s="8"/>
      <c r="D38735" s="8"/>
    </row>
    <row r="38736" spans="1:4" ht="15.75" customHeight="1">
      <c r="A38736" s="8"/>
      <c r="B38736" s="12"/>
      <c r="C38736" s="8"/>
      <c r="D38736" s="8"/>
    </row>
    <row r="38737" spans="1:4" ht="15.75" customHeight="1">
      <c r="A38737" s="8"/>
      <c r="B38737" s="12"/>
      <c r="C38737" s="8"/>
      <c r="D38737" s="8"/>
    </row>
    <row r="38738" spans="1:4" ht="15.75" customHeight="1">
      <c r="A38738" s="8"/>
      <c r="B38738" s="12"/>
      <c r="C38738" s="8"/>
      <c r="D38738" s="8"/>
    </row>
    <row r="38739" spans="1:4" ht="15.75" customHeight="1">
      <c r="A38739" s="8"/>
      <c r="B38739" s="12"/>
      <c r="C38739" s="8"/>
      <c r="D38739" s="8"/>
    </row>
    <row r="38740" spans="1:4" ht="15.75" customHeight="1">
      <c r="A38740" s="8"/>
      <c r="B38740" s="12"/>
      <c r="C38740" s="8"/>
      <c r="D38740" s="8"/>
    </row>
    <row r="38741" spans="1:4" ht="15.75" customHeight="1">
      <c r="A38741" s="8"/>
      <c r="B38741" s="12"/>
      <c r="C38741" s="8"/>
      <c r="D38741" s="8"/>
    </row>
    <row r="38742" spans="1:4" ht="15.75" customHeight="1">
      <c r="A38742" s="8"/>
      <c r="B38742" s="12"/>
      <c r="C38742" s="8"/>
      <c r="D38742" s="8"/>
    </row>
    <row r="38743" spans="1:4" ht="15.75" customHeight="1">
      <c r="A38743" s="8"/>
      <c r="B38743" s="12"/>
      <c r="C38743" s="8"/>
      <c r="D38743" s="8"/>
    </row>
    <row r="38744" spans="1:4" ht="15.75" customHeight="1">
      <c r="A38744" s="8"/>
      <c r="B38744" s="12"/>
      <c r="C38744" s="8"/>
      <c r="D38744" s="8"/>
    </row>
    <row r="38745" spans="1:4" ht="15.75" customHeight="1">
      <c r="A38745" s="8"/>
      <c r="B38745" s="12"/>
      <c r="C38745" s="8"/>
      <c r="D38745" s="8"/>
    </row>
    <row r="38746" spans="1:4" ht="15.75" customHeight="1">
      <c r="A38746" s="8"/>
      <c r="B38746" s="12"/>
      <c r="C38746" s="8"/>
      <c r="D38746" s="8"/>
    </row>
    <row r="38747" spans="1:4" ht="15.75" customHeight="1">
      <c r="A38747" s="8"/>
      <c r="B38747" s="12"/>
      <c r="C38747" s="8"/>
      <c r="D38747" s="8"/>
    </row>
    <row r="38748" spans="1:4" ht="15.75" customHeight="1">
      <c r="A38748" s="8"/>
      <c r="B38748" s="12"/>
      <c r="C38748" s="8"/>
      <c r="D38748" s="8"/>
    </row>
    <row r="38749" spans="1:4" ht="15.75" customHeight="1">
      <c r="A38749" s="8"/>
      <c r="B38749" s="12"/>
      <c r="C38749" s="8"/>
      <c r="D38749" s="8"/>
    </row>
    <row r="38750" spans="1:4" ht="15.75" customHeight="1">
      <c r="A38750" s="8"/>
      <c r="B38750" s="12"/>
      <c r="C38750" s="8"/>
      <c r="D38750" s="8"/>
    </row>
    <row r="38751" spans="1:4" ht="15.75" customHeight="1">
      <c r="A38751" s="8"/>
      <c r="B38751" s="12"/>
      <c r="C38751" s="8"/>
      <c r="D38751" s="8"/>
    </row>
    <row r="38752" spans="1:4" ht="15.75" customHeight="1">
      <c r="A38752" s="8"/>
      <c r="B38752" s="12"/>
      <c r="C38752" s="8"/>
      <c r="D38752" s="8"/>
    </row>
    <row r="38753" spans="1:4" ht="15.75" customHeight="1">
      <c r="A38753" s="8"/>
      <c r="B38753" s="12"/>
      <c r="C38753" s="8"/>
      <c r="D38753" s="8"/>
    </row>
    <row r="38754" spans="1:4" ht="15.75" customHeight="1">
      <c r="A38754" s="8"/>
      <c r="B38754" s="12"/>
      <c r="C38754" s="8"/>
      <c r="D38754" s="8"/>
    </row>
    <row r="38755" spans="1:4" ht="15.75" customHeight="1">
      <c r="A38755" s="8"/>
      <c r="B38755" s="12"/>
      <c r="C38755" s="8"/>
      <c r="D38755" s="8"/>
    </row>
    <row r="38756" spans="1:4" ht="15.75" customHeight="1">
      <c r="A38756" s="8"/>
      <c r="B38756" s="12"/>
      <c r="C38756" s="8"/>
      <c r="D38756" s="8"/>
    </row>
    <row r="38757" spans="1:4" ht="15.75" customHeight="1">
      <c r="A38757" s="8"/>
      <c r="B38757" s="12"/>
      <c r="C38757" s="8"/>
      <c r="D38757" s="8"/>
    </row>
    <row r="38758" spans="1:4" ht="15.75" customHeight="1">
      <c r="A38758" s="8"/>
      <c r="B38758" s="12"/>
      <c r="C38758" s="8"/>
      <c r="D38758" s="8"/>
    </row>
    <row r="38759" spans="1:4" ht="15.75" customHeight="1">
      <c r="A38759" s="8"/>
      <c r="B38759" s="12"/>
      <c r="C38759" s="8"/>
      <c r="D38759" s="8"/>
    </row>
    <row r="38760" spans="1:4" ht="15.75" customHeight="1">
      <c r="A38760" s="8"/>
      <c r="B38760" s="12"/>
      <c r="C38760" s="8"/>
      <c r="D38760" s="8"/>
    </row>
    <row r="38761" spans="1:4" ht="15.75" customHeight="1">
      <c r="A38761" s="8"/>
      <c r="B38761" s="12"/>
      <c r="C38761" s="8"/>
      <c r="D38761" s="8"/>
    </row>
    <row r="38762" spans="1:4" ht="15.75" customHeight="1">
      <c r="A38762" s="8"/>
      <c r="B38762" s="12"/>
      <c r="C38762" s="8"/>
      <c r="D38762" s="8"/>
    </row>
    <row r="38763" spans="1:4" ht="15.75" customHeight="1">
      <c r="A38763" s="8"/>
      <c r="B38763" s="12"/>
      <c r="C38763" s="8"/>
      <c r="D38763" s="8"/>
    </row>
    <row r="38764" spans="1:4" ht="15.75" customHeight="1">
      <c r="A38764" s="8"/>
      <c r="B38764" s="12"/>
      <c r="C38764" s="8"/>
      <c r="D38764" s="8"/>
    </row>
    <row r="38765" spans="1:4" ht="15.75" customHeight="1">
      <c r="A38765" s="8"/>
      <c r="B38765" s="12"/>
      <c r="C38765" s="8"/>
      <c r="D38765" s="8"/>
    </row>
    <row r="38766" spans="1:4" ht="15.75" customHeight="1">
      <c r="A38766" s="8"/>
      <c r="B38766" s="12"/>
      <c r="C38766" s="8"/>
      <c r="D38766" s="8"/>
    </row>
    <row r="38767" spans="1:4" ht="15.75" customHeight="1">
      <c r="A38767" s="8"/>
      <c r="B38767" s="12"/>
      <c r="C38767" s="8"/>
      <c r="D38767" s="8"/>
    </row>
    <row r="38768" spans="1:4" ht="15.75" customHeight="1">
      <c r="A38768" s="8"/>
      <c r="B38768" s="12"/>
      <c r="C38768" s="8"/>
      <c r="D38768" s="8"/>
    </row>
    <row r="38769" spans="1:4" ht="15.75" customHeight="1">
      <c r="A38769" s="8"/>
      <c r="B38769" s="12"/>
      <c r="C38769" s="8"/>
      <c r="D38769" s="8"/>
    </row>
    <row r="38770" spans="1:4" ht="15.75" customHeight="1">
      <c r="A38770" s="8"/>
      <c r="B38770" s="12"/>
      <c r="C38770" s="8"/>
      <c r="D38770" s="8"/>
    </row>
    <row r="38771" spans="1:4" ht="15.75" customHeight="1">
      <c r="A38771" s="8"/>
      <c r="B38771" s="12"/>
      <c r="C38771" s="8"/>
      <c r="D38771" s="8"/>
    </row>
    <row r="38772" spans="1:4" ht="15.75" customHeight="1">
      <c r="A38772" s="8"/>
      <c r="B38772" s="12"/>
      <c r="C38772" s="8"/>
      <c r="D38772" s="8"/>
    </row>
    <row r="38773" spans="1:4" ht="15.75" customHeight="1">
      <c r="A38773" s="8"/>
      <c r="B38773" s="12"/>
      <c r="C38773" s="8"/>
      <c r="D38773" s="8"/>
    </row>
    <row r="38774" spans="1:4" ht="15.75" customHeight="1">
      <c r="A38774" s="8"/>
      <c r="B38774" s="12"/>
      <c r="C38774" s="8"/>
      <c r="D38774" s="8"/>
    </row>
    <row r="38775" spans="1:4" ht="15.75" customHeight="1">
      <c r="A38775" s="8"/>
      <c r="B38775" s="12"/>
      <c r="C38775" s="8"/>
      <c r="D38775" s="8"/>
    </row>
    <row r="38776" spans="1:4" ht="15.75" customHeight="1">
      <c r="A38776" s="8"/>
      <c r="B38776" s="12"/>
      <c r="C38776" s="8"/>
      <c r="D38776" s="8"/>
    </row>
    <row r="38777" spans="1:4" ht="15.75" customHeight="1">
      <c r="A38777" s="8"/>
      <c r="B38777" s="12"/>
      <c r="C38777" s="8"/>
      <c r="D38777" s="8"/>
    </row>
    <row r="38778" spans="1:4" ht="15.75" customHeight="1">
      <c r="A38778" s="8"/>
      <c r="B38778" s="12"/>
      <c r="C38778" s="8"/>
      <c r="D38778" s="8"/>
    </row>
    <row r="38779" spans="1:4" ht="15.75" customHeight="1">
      <c r="A38779" s="8"/>
      <c r="B38779" s="12"/>
      <c r="C38779" s="8"/>
      <c r="D38779" s="8"/>
    </row>
    <row r="38780" spans="1:4" ht="15.75" customHeight="1">
      <c r="A38780" s="8"/>
      <c r="B38780" s="12"/>
      <c r="C38780" s="8"/>
      <c r="D38780" s="8"/>
    </row>
    <row r="38781" spans="1:4" ht="15.75" customHeight="1">
      <c r="A38781" s="8"/>
      <c r="B38781" s="12"/>
      <c r="C38781" s="8"/>
      <c r="D38781" s="8"/>
    </row>
    <row r="38782" spans="1:4" ht="15.75" customHeight="1">
      <c r="A38782" s="8"/>
      <c r="B38782" s="12"/>
      <c r="C38782" s="8"/>
      <c r="D38782" s="8"/>
    </row>
    <row r="38783" spans="1:4" ht="15.75" customHeight="1">
      <c r="A38783" s="8"/>
      <c r="B38783" s="12"/>
      <c r="C38783" s="8"/>
      <c r="D38783" s="8"/>
    </row>
    <row r="38784" spans="1:4" ht="15.75" customHeight="1">
      <c r="A38784" s="8"/>
      <c r="B38784" s="12"/>
      <c r="C38784" s="8"/>
      <c r="D38784" s="8"/>
    </row>
    <row r="38785" spans="1:4" ht="15.75" customHeight="1">
      <c r="A38785" s="8"/>
      <c r="B38785" s="12"/>
      <c r="C38785" s="8"/>
      <c r="D38785" s="8"/>
    </row>
    <row r="38786" spans="1:4" ht="15.75" customHeight="1">
      <c r="A38786" s="8"/>
      <c r="B38786" s="12"/>
      <c r="C38786" s="8"/>
      <c r="D38786" s="8"/>
    </row>
    <row r="38787" spans="1:4" ht="15.75" customHeight="1">
      <c r="A38787" s="8"/>
      <c r="B38787" s="12"/>
      <c r="C38787" s="8"/>
      <c r="D38787" s="8"/>
    </row>
    <row r="38788" spans="1:4" ht="15.75" customHeight="1">
      <c r="A38788" s="8"/>
      <c r="B38788" s="12"/>
      <c r="C38788" s="8"/>
      <c r="D38788" s="8"/>
    </row>
    <row r="38789" spans="1:4" ht="15.75" customHeight="1">
      <c r="A38789" s="8"/>
      <c r="B38789" s="12"/>
      <c r="C38789" s="8"/>
      <c r="D38789" s="8"/>
    </row>
    <row r="38790" spans="1:4" ht="15.75" customHeight="1">
      <c r="A38790" s="8"/>
      <c r="B38790" s="12"/>
      <c r="C38790" s="8"/>
      <c r="D38790" s="8"/>
    </row>
    <row r="38791" spans="1:4" ht="15.75" customHeight="1">
      <c r="A38791" s="8"/>
      <c r="B38791" s="12"/>
      <c r="C38791" s="8"/>
      <c r="D38791" s="8"/>
    </row>
    <row r="38792" spans="1:4" ht="15.75" customHeight="1">
      <c r="A38792" s="8"/>
      <c r="B38792" s="12"/>
      <c r="C38792" s="8"/>
      <c r="D38792" s="8"/>
    </row>
    <row r="38793" spans="1:4" ht="15.75" customHeight="1">
      <c r="A38793" s="8"/>
      <c r="B38793" s="12"/>
      <c r="C38793" s="8"/>
      <c r="D38793" s="8"/>
    </row>
    <row r="38794" spans="1:4" ht="15.75" customHeight="1">
      <c r="A38794" s="8"/>
      <c r="B38794" s="12"/>
      <c r="C38794" s="8"/>
      <c r="D38794" s="8"/>
    </row>
    <row r="38795" spans="1:4" ht="15.75" customHeight="1">
      <c r="A38795" s="8"/>
      <c r="B38795" s="12"/>
      <c r="C38795" s="8"/>
      <c r="D38795" s="8"/>
    </row>
    <row r="38796" spans="1:4" ht="15.75" customHeight="1">
      <c r="A38796" s="8"/>
      <c r="B38796" s="12"/>
      <c r="C38796" s="8"/>
      <c r="D38796" s="8"/>
    </row>
    <row r="38797" spans="1:4" ht="15.75" customHeight="1">
      <c r="A38797" s="8"/>
      <c r="B38797" s="12"/>
      <c r="C38797" s="8"/>
      <c r="D38797" s="8"/>
    </row>
    <row r="38798" spans="1:4" ht="15.75" customHeight="1">
      <c r="A38798" s="8"/>
      <c r="B38798" s="12"/>
      <c r="C38798" s="8"/>
      <c r="D38798" s="8"/>
    </row>
    <row r="38799" spans="1:4" ht="15.75" customHeight="1">
      <c r="A38799" s="8"/>
      <c r="B38799" s="12"/>
      <c r="C38799" s="8"/>
      <c r="D38799" s="8"/>
    </row>
    <row r="38800" spans="1:4" ht="15.75" customHeight="1">
      <c r="A38800" s="8"/>
      <c r="B38800" s="12"/>
      <c r="C38800" s="8"/>
      <c r="D38800" s="8"/>
    </row>
    <row r="38801" spans="1:4" ht="15.75" customHeight="1">
      <c r="A38801" s="8"/>
      <c r="B38801" s="12"/>
      <c r="C38801" s="8"/>
      <c r="D38801" s="8"/>
    </row>
    <row r="38802" spans="1:4" ht="15.75" customHeight="1">
      <c r="A38802" s="8"/>
      <c r="B38802" s="12"/>
      <c r="C38802" s="8"/>
      <c r="D38802" s="8"/>
    </row>
    <row r="38803" spans="1:4" ht="15.75" customHeight="1">
      <c r="A38803" s="8"/>
      <c r="B38803" s="12"/>
      <c r="C38803" s="8"/>
      <c r="D38803" s="8"/>
    </row>
    <row r="38804" spans="1:4" ht="15.75" customHeight="1">
      <c r="A38804" s="8"/>
      <c r="B38804" s="12"/>
      <c r="C38804" s="8"/>
      <c r="D38804" s="8"/>
    </row>
    <row r="38805" spans="1:4" ht="15.75" customHeight="1">
      <c r="A38805" s="8"/>
      <c r="B38805" s="12"/>
      <c r="C38805" s="8"/>
      <c r="D38805" s="8"/>
    </row>
    <row r="38806" spans="1:4" ht="15.75" customHeight="1">
      <c r="A38806" s="8"/>
      <c r="B38806" s="12"/>
      <c r="C38806" s="8"/>
      <c r="D38806" s="8"/>
    </row>
    <row r="38807" spans="1:4" ht="15.75" customHeight="1">
      <c r="A38807" s="8"/>
      <c r="B38807" s="12"/>
      <c r="C38807" s="8"/>
      <c r="D38807" s="8"/>
    </row>
    <row r="38808" spans="1:4" ht="15.75" customHeight="1">
      <c r="A38808" s="8"/>
      <c r="B38808" s="12"/>
      <c r="C38808" s="8"/>
      <c r="D38808" s="8"/>
    </row>
    <row r="38809" spans="1:4" ht="15.75" customHeight="1">
      <c r="A38809" s="8"/>
      <c r="B38809" s="12"/>
      <c r="C38809" s="8"/>
      <c r="D38809" s="8"/>
    </row>
    <row r="38810" spans="1:4" ht="15.75" customHeight="1">
      <c r="A38810" s="8"/>
      <c r="B38810" s="12"/>
      <c r="C38810" s="8"/>
      <c r="D38810" s="8"/>
    </row>
    <row r="38811" spans="1:4" ht="15.75" customHeight="1">
      <c r="A38811" s="8"/>
      <c r="B38811" s="12"/>
      <c r="C38811" s="8"/>
      <c r="D38811" s="8"/>
    </row>
    <row r="38812" spans="1:4" ht="15.75" customHeight="1">
      <c r="A38812" s="8"/>
      <c r="B38812" s="12"/>
      <c r="C38812" s="8"/>
      <c r="D38812" s="8"/>
    </row>
    <row r="38813" spans="1:4" ht="15.75" customHeight="1">
      <c r="A38813" s="8"/>
      <c r="B38813" s="12"/>
      <c r="C38813" s="8"/>
      <c r="D38813" s="8"/>
    </row>
    <row r="38814" spans="1:4" ht="15.75" customHeight="1">
      <c r="A38814" s="8"/>
      <c r="B38814" s="12"/>
      <c r="C38814" s="8"/>
      <c r="D38814" s="8"/>
    </row>
    <row r="38815" spans="1:4" ht="15.75" customHeight="1">
      <c r="A38815" s="8"/>
      <c r="B38815" s="12"/>
      <c r="C38815" s="8"/>
      <c r="D38815" s="8"/>
    </row>
    <row r="38816" spans="1:4" ht="15.75" customHeight="1">
      <c r="A38816" s="8"/>
      <c r="B38816" s="12"/>
      <c r="C38816" s="8"/>
      <c r="D38816" s="8"/>
    </row>
    <row r="38817" spans="1:4" ht="15.75" customHeight="1">
      <c r="A38817" s="8"/>
      <c r="B38817" s="12"/>
      <c r="C38817" s="8"/>
      <c r="D38817" s="8"/>
    </row>
    <row r="38818" spans="1:4" ht="15.75" customHeight="1">
      <c r="A38818" s="8"/>
      <c r="B38818" s="12"/>
      <c r="C38818" s="8"/>
      <c r="D38818" s="8"/>
    </row>
    <row r="38819" spans="1:4" ht="15.75" customHeight="1">
      <c r="A38819" s="8"/>
      <c r="B38819" s="12"/>
      <c r="C38819" s="8"/>
      <c r="D38819" s="8"/>
    </row>
    <row r="38820" spans="1:4" ht="15.75" customHeight="1">
      <c r="A38820" s="8"/>
      <c r="B38820" s="12"/>
      <c r="C38820" s="8"/>
      <c r="D38820" s="8"/>
    </row>
    <row r="38821" spans="1:4" ht="15.75" customHeight="1">
      <c r="A38821" s="8"/>
      <c r="B38821" s="12"/>
      <c r="C38821" s="8"/>
      <c r="D38821" s="8"/>
    </row>
    <row r="38822" spans="1:4" ht="15.75" customHeight="1">
      <c r="A38822" s="8"/>
      <c r="B38822" s="12"/>
      <c r="C38822" s="8"/>
      <c r="D38822" s="8"/>
    </row>
    <row r="38823" spans="1:4" ht="15.75" customHeight="1">
      <c r="A38823" s="8"/>
      <c r="B38823" s="12"/>
      <c r="C38823" s="8"/>
      <c r="D38823" s="8"/>
    </row>
    <row r="38824" spans="1:4" ht="15.75" customHeight="1">
      <c r="A38824" s="8"/>
      <c r="B38824" s="12"/>
      <c r="C38824" s="8"/>
      <c r="D38824" s="8"/>
    </row>
    <row r="38825" spans="1:4" ht="15.75" customHeight="1">
      <c r="A38825" s="8"/>
      <c r="B38825" s="12"/>
      <c r="C38825" s="8"/>
      <c r="D38825" s="8"/>
    </row>
    <row r="38826" spans="1:4" ht="15.75" customHeight="1">
      <c r="A38826" s="8"/>
      <c r="B38826" s="12"/>
      <c r="C38826" s="8"/>
      <c r="D38826" s="8"/>
    </row>
    <row r="38827" spans="1:4" ht="15.75" customHeight="1">
      <c r="A38827" s="8"/>
      <c r="B38827" s="12"/>
      <c r="C38827" s="8"/>
      <c r="D38827" s="8"/>
    </row>
    <row r="38828" spans="1:4" ht="15.75" customHeight="1">
      <c r="A38828" s="8"/>
      <c r="B38828" s="12"/>
      <c r="C38828" s="8"/>
      <c r="D38828" s="8"/>
    </row>
    <row r="38829" spans="1:4" ht="15.75" customHeight="1">
      <c r="A38829" s="8"/>
      <c r="B38829" s="12"/>
      <c r="C38829" s="8"/>
      <c r="D38829" s="8"/>
    </row>
    <row r="38830" spans="1:4" ht="15.75" customHeight="1">
      <c r="A38830" s="8"/>
      <c r="B38830" s="12"/>
      <c r="C38830" s="8"/>
      <c r="D38830" s="8"/>
    </row>
    <row r="38831" spans="1:4" ht="15.75" customHeight="1">
      <c r="A38831" s="8"/>
      <c r="B38831" s="12"/>
      <c r="C38831" s="8"/>
      <c r="D38831" s="8"/>
    </row>
    <row r="38832" spans="1:4" ht="15.75" customHeight="1">
      <c r="A38832" s="8"/>
      <c r="B38832" s="12"/>
      <c r="C38832" s="8"/>
      <c r="D38832" s="8"/>
    </row>
    <row r="38833" spans="1:4" ht="15.75" customHeight="1">
      <c r="A38833" s="8"/>
      <c r="B38833" s="12"/>
      <c r="C38833" s="8"/>
      <c r="D38833" s="8"/>
    </row>
    <row r="38834" spans="1:4" ht="15.75" customHeight="1">
      <c r="A38834" s="8"/>
      <c r="B38834" s="12"/>
      <c r="C38834" s="8"/>
      <c r="D38834" s="8"/>
    </row>
    <row r="38835" spans="1:4" ht="15.75" customHeight="1">
      <c r="A38835" s="8"/>
      <c r="B38835" s="12"/>
      <c r="C38835" s="8"/>
      <c r="D38835" s="8"/>
    </row>
    <row r="38836" spans="1:4" ht="15.75" customHeight="1">
      <c r="A38836" s="8"/>
      <c r="B38836" s="12"/>
      <c r="C38836" s="8"/>
      <c r="D38836" s="8"/>
    </row>
    <row r="38837" spans="1:4" ht="15.75" customHeight="1">
      <c r="A38837" s="8"/>
      <c r="B38837" s="12"/>
      <c r="C38837" s="8"/>
      <c r="D38837" s="8"/>
    </row>
    <row r="38838" spans="1:4" ht="15.75" customHeight="1">
      <c r="A38838" s="8"/>
      <c r="B38838" s="12"/>
      <c r="C38838" s="8"/>
      <c r="D38838" s="8"/>
    </row>
    <row r="38839" spans="1:4" ht="15.75" customHeight="1">
      <c r="A38839" s="8"/>
      <c r="B38839" s="12"/>
      <c r="C38839" s="8"/>
      <c r="D38839" s="8"/>
    </row>
    <row r="38840" spans="1:4" ht="15.75" customHeight="1">
      <c r="A38840" s="8"/>
      <c r="B38840" s="12"/>
      <c r="C38840" s="8"/>
      <c r="D38840" s="8"/>
    </row>
    <row r="38841" spans="1:4" ht="15.75" customHeight="1">
      <c r="A38841" s="8"/>
      <c r="B38841" s="12"/>
      <c r="C38841" s="8"/>
      <c r="D38841" s="8"/>
    </row>
    <row r="38842" spans="1:4" ht="15.75" customHeight="1">
      <c r="A38842" s="8"/>
      <c r="B38842" s="12"/>
      <c r="C38842" s="8"/>
      <c r="D38842" s="8"/>
    </row>
    <row r="38843" spans="1:4" ht="15.75" customHeight="1">
      <c r="A38843" s="8"/>
      <c r="B38843" s="12"/>
      <c r="C38843" s="8"/>
      <c r="D38843" s="8"/>
    </row>
    <row r="38844" spans="1:4" ht="15.75" customHeight="1">
      <c r="A38844" s="8"/>
      <c r="B38844" s="12"/>
      <c r="C38844" s="8"/>
      <c r="D38844" s="8"/>
    </row>
    <row r="38845" spans="1:4" ht="15.75" customHeight="1">
      <c r="A38845" s="8"/>
      <c r="B38845" s="12"/>
      <c r="C38845" s="8"/>
      <c r="D38845" s="8"/>
    </row>
    <row r="38846" spans="1:4" ht="15.75" customHeight="1">
      <c r="A38846" s="8"/>
      <c r="B38846" s="12"/>
      <c r="C38846" s="8"/>
      <c r="D38846" s="8"/>
    </row>
    <row r="38847" spans="1:4" ht="15.75" customHeight="1">
      <c r="A38847" s="8"/>
      <c r="B38847" s="12"/>
      <c r="C38847" s="8"/>
      <c r="D38847" s="8"/>
    </row>
    <row r="38848" spans="1:4" ht="15.75" customHeight="1">
      <c r="A38848" s="8"/>
      <c r="B38848" s="12"/>
      <c r="C38848" s="8"/>
      <c r="D38848" s="8"/>
    </row>
    <row r="38849" spans="1:4" ht="15.75" customHeight="1">
      <c r="A38849" s="8"/>
      <c r="B38849" s="12"/>
      <c r="C38849" s="8"/>
      <c r="D38849" s="8"/>
    </row>
    <row r="38850" spans="1:4" ht="15.75" customHeight="1">
      <c r="A38850" s="8"/>
      <c r="B38850" s="12"/>
      <c r="C38850" s="8"/>
      <c r="D38850" s="8"/>
    </row>
    <row r="38851" spans="1:4" ht="15.75" customHeight="1">
      <c r="A38851" s="8"/>
      <c r="B38851" s="12"/>
      <c r="C38851" s="8"/>
      <c r="D38851" s="8"/>
    </row>
    <row r="38852" spans="1:4" ht="15.75" customHeight="1">
      <c r="A38852" s="8"/>
      <c r="B38852" s="12"/>
      <c r="C38852" s="8"/>
      <c r="D38852" s="8"/>
    </row>
    <row r="38853" spans="1:4" ht="15.75" customHeight="1">
      <c r="A38853" s="8"/>
      <c r="B38853" s="12"/>
      <c r="C38853" s="8"/>
      <c r="D38853" s="8"/>
    </row>
    <row r="38854" spans="1:4" ht="15.75" customHeight="1">
      <c r="A38854" s="8"/>
      <c r="B38854" s="12"/>
      <c r="C38854" s="8"/>
      <c r="D38854" s="8"/>
    </row>
    <row r="38855" spans="1:4" ht="15.75" customHeight="1">
      <c r="A38855" s="8"/>
      <c r="B38855" s="12"/>
      <c r="C38855" s="8"/>
      <c r="D38855" s="8"/>
    </row>
    <row r="38856" spans="1:4" ht="15.75" customHeight="1">
      <c r="A38856" s="8"/>
      <c r="B38856" s="12"/>
      <c r="C38856" s="8"/>
      <c r="D38856" s="8"/>
    </row>
    <row r="38857" spans="1:4" ht="15.75" customHeight="1">
      <c r="A38857" s="8"/>
      <c r="B38857" s="12"/>
      <c r="C38857" s="8"/>
      <c r="D38857" s="8"/>
    </row>
    <row r="38858" spans="1:4" ht="15.75" customHeight="1">
      <c r="A38858" s="8"/>
      <c r="B38858" s="12"/>
      <c r="C38858" s="8"/>
      <c r="D38858" s="8"/>
    </row>
    <row r="38859" spans="1:4" ht="15.75" customHeight="1">
      <c r="A38859" s="8"/>
      <c r="B38859" s="12"/>
      <c r="C38859" s="8"/>
      <c r="D38859" s="8"/>
    </row>
    <row r="38860" spans="1:4" ht="15.75" customHeight="1">
      <c r="A38860" s="8"/>
      <c r="B38860" s="12"/>
      <c r="C38860" s="8"/>
      <c r="D38860" s="8"/>
    </row>
    <row r="38861" spans="1:4" ht="15.75" customHeight="1">
      <c r="A38861" s="8"/>
      <c r="B38861" s="12"/>
      <c r="C38861" s="8"/>
      <c r="D38861" s="8"/>
    </row>
    <row r="38862" spans="1:4" ht="15.75" customHeight="1">
      <c r="A38862" s="8"/>
      <c r="B38862" s="12"/>
      <c r="C38862" s="8"/>
      <c r="D38862" s="8"/>
    </row>
    <row r="38863" spans="1:4" ht="15.75" customHeight="1">
      <c r="A38863" s="8"/>
      <c r="B38863" s="12"/>
      <c r="C38863" s="8"/>
      <c r="D38863" s="8"/>
    </row>
    <row r="38864" spans="1:4" ht="15.75" customHeight="1">
      <c r="A38864" s="8"/>
      <c r="B38864" s="12"/>
      <c r="C38864" s="8"/>
      <c r="D38864" s="8"/>
    </row>
    <row r="38865" spans="1:4" ht="15.75" customHeight="1">
      <c r="A38865" s="8"/>
      <c r="B38865" s="12"/>
      <c r="C38865" s="8"/>
      <c r="D38865" s="8"/>
    </row>
    <row r="38866" spans="1:4" ht="15.75" customHeight="1">
      <c r="A38866" s="8"/>
      <c r="B38866" s="12"/>
      <c r="C38866" s="8"/>
      <c r="D38866" s="8"/>
    </row>
    <row r="38867" spans="1:4" ht="15.75" customHeight="1">
      <c r="A38867" s="8"/>
      <c r="B38867" s="12"/>
      <c r="C38867" s="8"/>
      <c r="D38867" s="8"/>
    </row>
    <row r="38868" spans="1:4" ht="15.75" customHeight="1">
      <c r="A38868" s="8"/>
      <c r="B38868" s="12"/>
      <c r="C38868" s="8"/>
      <c r="D38868" s="8"/>
    </row>
    <row r="38869" spans="1:4" ht="15.75" customHeight="1">
      <c r="A38869" s="8"/>
      <c r="B38869" s="12"/>
      <c r="C38869" s="8"/>
      <c r="D38869" s="8"/>
    </row>
    <row r="38870" spans="1:4" ht="15.75" customHeight="1">
      <c r="A38870" s="8"/>
      <c r="B38870" s="12"/>
      <c r="C38870" s="8"/>
      <c r="D38870" s="8"/>
    </row>
    <row r="38871" spans="1:4" ht="15.75" customHeight="1">
      <c r="A38871" s="8"/>
      <c r="B38871" s="12"/>
      <c r="C38871" s="8"/>
      <c r="D38871" s="8"/>
    </row>
    <row r="38872" spans="1:4" ht="15.75" customHeight="1">
      <c r="A38872" s="8"/>
      <c r="B38872" s="12"/>
      <c r="C38872" s="8"/>
      <c r="D38872" s="8"/>
    </row>
    <row r="38873" spans="1:4" ht="15.75" customHeight="1">
      <c r="A38873" s="8"/>
      <c r="B38873" s="12"/>
      <c r="C38873" s="8"/>
      <c r="D38873" s="8"/>
    </row>
    <row r="38874" spans="1:4" ht="15.75" customHeight="1">
      <c r="A38874" s="8"/>
      <c r="B38874" s="12"/>
      <c r="C38874" s="8"/>
      <c r="D38874" s="8"/>
    </row>
    <row r="38875" spans="1:4" ht="15.75" customHeight="1">
      <c r="A38875" s="8"/>
      <c r="B38875" s="12"/>
      <c r="C38875" s="8"/>
      <c r="D38875" s="8"/>
    </row>
    <row r="38876" spans="1:4" ht="15.75" customHeight="1">
      <c r="A38876" s="8"/>
      <c r="B38876" s="12"/>
      <c r="C38876" s="8"/>
      <c r="D38876" s="8"/>
    </row>
    <row r="38877" spans="1:4" ht="15.75" customHeight="1">
      <c r="A38877" s="8"/>
      <c r="B38877" s="12"/>
      <c r="C38877" s="8"/>
      <c r="D38877" s="8"/>
    </row>
    <row r="38878" spans="1:4" ht="15.75" customHeight="1">
      <c r="A38878" s="8"/>
      <c r="B38878" s="12"/>
      <c r="C38878" s="8"/>
      <c r="D38878" s="8"/>
    </row>
    <row r="38879" spans="1:4" ht="15.75" customHeight="1">
      <c r="A38879" s="8"/>
      <c r="B38879" s="12"/>
      <c r="C38879" s="8"/>
      <c r="D38879" s="8"/>
    </row>
    <row r="38880" spans="1:4" ht="15.75" customHeight="1">
      <c r="A38880" s="8"/>
      <c r="B38880" s="12"/>
      <c r="C38880" s="8"/>
      <c r="D38880" s="8"/>
    </row>
    <row r="38881" spans="1:4" ht="15.75" customHeight="1">
      <c r="A38881" s="8"/>
      <c r="B38881" s="12"/>
      <c r="C38881" s="8"/>
      <c r="D38881" s="8"/>
    </row>
    <row r="38882" spans="1:4" ht="15.75" customHeight="1">
      <c r="A38882" s="8"/>
      <c r="B38882" s="12"/>
      <c r="C38882" s="8"/>
      <c r="D38882" s="8"/>
    </row>
    <row r="38883" spans="1:4" ht="15.75" customHeight="1">
      <c r="A38883" s="8"/>
      <c r="B38883" s="12"/>
      <c r="C38883" s="8"/>
      <c r="D38883" s="8"/>
    </row>
    <row r="38884" spans="1:4" ht="15.75" customHeight="1">
      <c r="A38884" s="8"/>
      <c r="B38884" s="12"/>
      <c r="C38884" s="8"/>
      <c r="D38884" s="8"/>
    </row>
    <row r="38885" spans="1:4" ht="15.75" customHeight="1">
      <c r="A38885" s="8"/>
      <c r="B38885" s="12"/>
      <c r="C38885" s="8"/>
      <c r="D38885" s="8"/>
    </row>
    <row r="38886" spans="1:4" ht="15.75" customHeight="1">
      <c r="A38886" s="8"/>
      <c r="B38886" s="12"/>
      <c r="C38886" s="8"/>
      <c r="D38886" s="8"/>
    </row>
    <row r="38887" spans="1:4" ht="15.75" customHeight="1">
      <c r="A38887" s="8"/>
      <c r="B38887" s="12"/>
      <c r="C38887" s="8"/>
      <c r="D38887" s="8"/>
    </row>
    <row r="38888" spans="1:4" ht="15.75" customHeight="1">
      <c r="A38888" s="8"/>
      <c r="B38888" s="12"/>
      <c r="C38888" s="8"/>
      <c r="D38888" s="8"/>
    </row>
    <row r="38889" spans="1:4" ht="15.75" customHeight="1">
      <c r="A38889" s="8"/>
      <c r="B38889" s="12"/>
      <c r="C38889" s="8"/>
      <c r="D38889" s="8"/>
    </row>
    <row r="38890" spans="1:4" ht="15.75" customHeight="1">
      <c r="A38890" s="8"/>
      <c r="B38890" s="12"/>
      <c r="C38890" s="8"/>
      <c r="D38890" s="8"/>
    </row>
    <row r="38891" spans="1:4" ht="15.75" customHeight="1">
      <c r="A38891" s="8"/>
      <c r="B38891" s="12"/>
      <c r="C38891" s="8"/>
      <c r="D38891" s="8"/>
    </row>
    <row r="38892" spans="1:4" ht="15.75" customHeight="1">
      <c r="A38892" s="8"/>
      <c r="B38892" s="12"/>
      <c r="C38892" s="8"/>
      <c r="D38892" s="8"/>
    </row>
    <row r="38893" spans="1:4" ht="15.75" customHeight="1">
      <c r="A38893" s="8"/>
      <c r="B38893" s="12"/>
      <c r="C38893" s="8"/>
      <c r="D38893" s="8"/>
    </row>
    <row r="38894" spans="1:4" ht="15.75" customHeight="1">
      <c r="A38894" s="8"/>
      <c r="B38894" s="12"/>
      <c r="C38894" s="8"/>
      <c r="D38894" s="8"/>
    </row>
    <row r="38895" spans="1:4" ht="15.75" customHeight="1">
      <c r="A38895" s="8"/>
      <c r="B38895" s="12"/>
      <c r="C38895" s="8"/>
      <c r="D38895" s="8"/>
    </row>
    <row r="38896" spans="1:4" ht="15.75" customHeight="1">
      <c r="A38896" s="8"/>
      <c r="B38896" s="12"/>
      <c r="C38896" s="8"/>
      <c r="D38896" s="8"/>
    </row>
    <row r="38897" spans="1:4" ht="15.75" customHeight="1">
      <c r="A38897" s="8"/>
      <c r="B38897" s="12"/>
      <c r="C38897" s="8"/>
      <c r="D38897" s="8"/>
    </row>
    <row r="38898" spans="1:4" ht="15.75" customHeight="1">
      <c r="A38898" s="8"/>
      <c r="B38898" s="12"/>
      <c r="C38898" s="8"/>
      <c r="D38898" s="8"/>
    </row>
    <row r="38899" spans="1:4" ht="15.75" customHeight="1">
      <c r="A38899" s="8"/>
      <c r="B38899" s="12"/>
      <c r="C38899" s="8"/>
      <c r="D38899" s="8"/>
    </row>
    <row r="38900" spans="1:4" ht="15.75" customHeight="1">
      <c r="A38900" s="8"/>
      <c r="B38900" s="12"/>
      <c r="C38900" s="8"/>
      <c r="D38900" s="8"/>
    </row>
    <row r="38901" spans="1:4" ht="15.75" customHeight="1">
      <c r="A38901" s="8"/>
      <c r="B38901" s="12"/>
      <c r="C38901" s="8"/>
      <c r="D38901" s="8"/>
    </row>
    <row r="38902" spans="1:4" ht="15.75" customHeight="1">
      <c r="A38902" s="8"/>
      <c r="B38902" s="12"/>
      <c r="C38902" s="8"/>
      <c r="D38902" s="8"/>
    </row>
    <row r="38903" spans="1:4" ht="15.75" customHeight="1">
      <c r="A38903" s="8"/>
      <c r="B38903" s="12"/>
      <c r="C38903" s="8"/>
      <c r="D38903" s="8"/>
    </row>
    <row r="38904" spans="1:4" ht="15.75" customHeight="1">
      <c r="A38904" s="8"/>
      <c r="B38904" s="12"/>
      <c r="C38904" s="8"/>
      <c r="D38904" s="8"/>
    </row>
    <row r="38905" spans="1:4" ht="15.75" customHeight="1">
      <c r="A38905" s="8"/>
      <c r="B38905" s="12"/>
      <c r="C38905" s="8"/>
      <c r="D38905" s="8"/>
    </row>
    <row r="38906" spans="1:4" ht="15.75" customHeight="1">
      <c r="A38906" s="8"/>
      <c r="B38906" s="12"/>
      <c r="C38906" s="8"/>
      <c r="D38906" s="8"/>
    </row>
    <row r="38907" spans="1:4" ht="15.75" customHeight="1">
      <c r="A38907" s="8"/>
      <c r="B38907" s="12"/>
      <c r="C38907" s="8"/>
      <c r="D38907" s="8"/>
    </row>
    <row r="38908" spans="1:4" ht="15.75" customHeight="1">
      <c r="A38908" s="8"/>
      <c r="B38908" s="12"/>
      <c r="C38908" s="8"/>
      <c r="D38908" s="8"/>
    </row>
    <row r="38909" spans="1:4" ht="15.75" customHeight="1">
      <c r="A38909" s="8"/>
      <c r="B38909" s="12"/>
      <c r="C38909" s="8"/>
      <c r="D38909" s="8"/>
    </row>
    <row r="38910" spans="1:4" ht="15.75" customHeight="1">
      <c r="A38910" s="8"/>
      <c r="B38910" s="12"/>
      <c r="C38910" s="8"/>
      <c r="D38910" s="8"/>
    </row>
    <row r="38911" spans="1:4" ht="15.75" customHeight="1">
      <c r="A38911" s="8"/>
      <c r="B38911" s="12"/>
      <c r="C38911" s="8"/>
      <c r="D38911" s="8"/>
    </row>
    <row r="38912" spans="1:4" ht="15.75" customHeight="1">
      <c r="A38912" s="8"/>
      <c r="B38912" s="12"/>
      <c r="C38912" s="8"/>
      <c r="D38912" s="8"/>
    </row>
    <row r="38913" spans="1:4" ht="15.75" customHeight="1">
      <c r="A38913" s="8"/>
      <c r="B38913" s="12"/>
      <c r="C38913" s="8"/>
      <c r="D38913" s="8"/>
    </row>
    <row r="38914" spans="1:4" ht="15.75" customHeight="1">
      <c r="A38914" s="8"/>
      <c r="B38914" s="12"/>
      <c r="C38914" s="8"/>
      <c r="D38914" s="8"/>
    </row>
    <row r="38915" spans="1:4" ht="15.75" customHeight="1">
      <c r="A38915" s="8"/>
      <c r="B38915" s="12"/>
      <c r="C38915" s="8"/>
      <c r="D38915" s="8"/>
    </row>
    <row r="38916" spans="1:4" ht="15.75" customHeight="1">
      <c r="A38916" s="8"/>
      <c r="B38916" s="12"/>
      <c r="C38916" s="8"/>
      <c r="D38916" s="8"/>
    </row>
    <row r="38917" spans="1:4" ht="15.75" customHeight="1">
      <c r="A38917" s="8"/>
      <c r="B38917" s="12"/>
      <c r="C38917" s="8"/>
      <c r="D38917" s="8"/>
    </row>
    <row r="38918" spans="1:4" ht="15.75" customHeight="1">
      <c r="A38918" s="8"/>
      <c r="B38918" s="12"/>
      <c r="C38918" s="8"/>
      <c r="D38918" s="8"/>
    </row>
    <row r="38919" spans="1:4" ht="15.75" customHeight="1">
      <c r="A38919" s="8"/>
      <c r="B38919" s="12"/>
      <c r="C38919" s="8"/>
      <c r="D38919" s="8"/>
    </row>
    <row r="38920" spans="1:4" ht="15.75" customHeight="1">
      <c r="A38920" s="8"/>
      <c r="B38920" s="12"/>
      <c r="C38920" s="8"/>
      <c r="D38920" s="8"/>
    </row>
    <row r="38921" spans="1:4" ht="15.75" customHeight="1">
      <c r="A38921" s="8"/>
      <c r="B38921" s="12"/>
      <c r="C38921" s="8"/>
      <c r="D38921" s="8"/>
    </row>
    <row r="38922" spans="1:4" ht="15.75" customHeight="1">
      <c r="A38922" s="8"/>
      <c r="B38922" s="12"/>
      <c r="C38922" s="8"/>
      <c r="D38922" s="8"/>
    </row>
    <row r="38923" spans="1:4" ht="15.75" customHeight="1">
      <c r="A38923" s="8"/>
      <c r="B38923" s="12"/>
      <c r="C38923" s="8"/>
      <c r="D38923" s="8"/>
    </row>
    <row r="38924" spans="1:4" ht="15.75" customHeight="1">
      <c r="A38924" s="8"/>
      <c r="B38924" s="12"/>
      <c r="C38924" s="8"/>
      <c r="D38924" s="8"/>
    </row>
    <row r="38925" spans="1:4" ht="15.75" customHeight="1">
      <c r="A38925" s="8"/>
      <c r="B38925" s="12"/>
      <c r="C38925" s="8"/>
      <c r="D38925" s="8"/>
    </row>
    <row r="38926" spans="1:4" ht="15.75" customHeight="1">
      <c r="A38926" s="8"/>
      <c r="B38926" s="12"/>
      <c r="C38926" s="8"/>
      <c r="D38926" s="8"/>
    </row>
    <row r="38927" spans="1:4" ht="15.75" customHeight="1">
      <c r="A38927" s="8"/>
      <c r="B38927" s="12"/>
      <c r="C38927" s="8"/>
      <c r="D38927" s="8"/>
    </row>
    <row r="38928" spans="1:4" ht="15.75" customHeight="1">
      <c r="A38928" s="8"/>
      <c r="B38928" s="12"/>
      <c r="C38928" s="8"/>
      <c r="D38928" s="8"/>
    </row>
    <row r="38929" spans="1:4" ht="15.75" customHeight="1">
      <c r="A38929" s="8"/>
      <c r="B38929" s="12"/>
      <c r="C38929" s="8"/>
      <c r="D38929" s="8"/>
    </row>
    <row r="38930" spans="1:4" ht="15.75" customHeight="1">
      <c r="A38930" s="8"/>
      <c r="B38930" s="12"/>
      <c r="C38930" s="8"/>
      <c r="D38930" s="8"/>
    </row>
    <row r="38931" spans="1:4" ht="15.75" customHeight="1">
      <c r="A38931" s="8"/>
      <c r="B38931" s="12"/>
      <c r="C38931" s="8"/>
      <c r="D38931" s="8"/>
    </row>
    <row r="38932" spans="1:4" ht="15.75" customHeight="1">
      <c r="A38932" s="8"/>
      <c r="B38932" s="12"/>
      <c r="C38932" s="8"/>
      <c r="D38932" s="8"/>
    </row>
    <row r="38933" spans="1:4" ht="15.75" customHeight="1">
      <c r="A38933" s="8"/>
      <c r="B38933" s="12"/>
      <c r="C38933" s="8"/>
      <c r="D38933" s="8"/>
    </row>
    <row r="38934" spans="1:4" ht="15.75" customHeight="1">
      <c r="A38934" s="8"/>
      <c r="B38934" s="12"/>
      <c r="C38934" s="8"/>
      <c r="D38934" s="8"/>
    </row>
    <row r="38935" spans="1:4" ht="15.75" customHeight="1">
      <c r="A38935" s="8"/>
      <c r="B38935" s="12"/>
      <c r="C38935" s="8"/>
      <c r="D38935" s="8"/>
    </row>
    <row r="38936" spans="1:4" ht="15.75" customHeight="1">
      <c r="A38936" s="8"/>
      <c r="B38936" s="12"/>
      <c r="C38936" s="8"/>
      <c r="D38936" s="8"/>
    </row>
    <row r="38937" spans="1:4" ht="15.75" customHeight="1">
      <c r="A38937" s="8"/>
      <c r="B38937" s="12"/>
      <c r="C38937" s="8"/>
      <c r="D38937" s="8"/>
    </row>
    <row r="38938" spans="1:4" ht="15.75" customHeight="1">
      <c r="A38938" s="8"/>
      <c r="B38938" s="12"/>
      <c r="C38938" s="8"/>
      <c r="D38938" s="8"/>
    </row>
    <row r="38939" spans="1:4" ht="15.75" customHeight="1">
      <c r="A38939" s="8"/>
      <c r="B38939" s="12"/>
      <c r="C38939" s="8"/>
      <c r="D38939" s="8"/>
    </row>
    <row r="38940" spans="1:4" ht="15.75" customHeight="1">
      <c r="A38940" s="8"/>
      <c r="B38940" s="12"/>
      <c r="C38940" s="8"/>
      <c r="D38940" s="8"/>
    </row>
    <row r="38941" spans="1:4" ht="15.75" customHeight="1">
      <c r="A38941" s="8"/>
      <c r="B38941" s="12"/>
      <c r="C38941" s="8"/>
      <c r="D38941" s="8"/>
    </row>
    <row r="38942" spans="1:4" ht="15.75" customHeight="1">
      <c r="A38942" s="8"/>
      <c r="B38942" s="12"/>
      <c r="C38942" s="8"/>
      <c r="D38942" s="8"/>
    </row>
    <row r="38943" spans="1:4" ht="15.75" customHeight="1">
      <c r="A38943" s="8"/>
      <c r="B38943" s="12"/>
      <c r="C38943" s="8"/>
      <c r="D38943" s="8"/>
    </row>
    <row r="38944" spans="1:4" ht="15.75" customHeight="1">
      <c r="A38944" s="8"/>
      <c r="B38944" s="12"/>
      <c r="C38944" s="8"/>
      <c r="D38944" s="8"/>
    </row>
    <row r="38945" spans="1:4" ht="15.75" customHeight="1">
      <c r="A38945" s="8"/>
      <c r="B38945" s="12"/>
      <c r="C38945" s="8"/>
      <c r="D38945" s="8"/>
    </row>
    <row r="38946" spans="1:4" ht="15.75" customHeight="1">
      <c r="A38946" s="8"/>
      <c r="B38946" s="12"/>
      <c r="C38946" s="8"/>
      <c r="D38946" s="8"/>
    </row>
    <row r="38947" spans="1:4" ht="15.75" customHeight="1">
      <c r="A38947" s="8"/>
      <c r="B38947" s="12"/>
      <c r="C38947" s="8"/>
      <c r="D38947" s="8"/>
    </row>
    <row r="38948" spans="1:4" ht="15.75" customHeight="1">
      <c r="A38948" s="8"/>
      <c r="B38948" s="12"/>
      <c r="C38948" s="8"/>
      <c r="D38948" s="8"/>
    </row>
    <row r="38949" spans="1:4" ht="15.75" customHeight="1">
      <c r="A38949" s="8"/>
      <c r="B38949" s="12"/>
      <c r="C38949" s="8"/>
      <c r="D38949" s="8"/>
    </row>
    <row r="38950" spans="1:4" ht="15.75" customHeight="1">
      <c r="A38950" s="8"/>
      <c r="B38950" s="12"/>
      <c r="C38950" s="8"/>
      <c r="D38950" s="8"/>
    </row>
    <row r="38951" spans="1:4" ht="15.75" customHeight="1">
      <c r="A38951" s="8"/>
      <c r="B38951" s="12"/>
      <c r="C38951" s="8"/>
      <c r="D38951" s="8"/>
    </row>
    <row r="38952" spans="1:4" ht="15.75" customHeight="1">
      <c r="A38952" s="8"/>
      <c r="B38952" s="12"/>
      <c r="C38952" s="8"/>
      <c r="D38952" s="8"/>
    </row>
    <row r="38953" spans="1:4" ht="15.75" customHeight="1">
      <c r="A38953" s="8"/>
      <c r="B38953" s="12"/>
      <c r="C38953" s="8"/>
      <c r="D38953" s="8"/>
    </row>
    <row r="38954" spans="1:4" ht="15.75" customHeight="1">
      <c r="A38954" s="8"/>
      <c r="B38954" s="12"/>
      <c r="C38954" s="8"/>
      <c r="D38954" s="8"/>
    </row>
    <row r="38955" spans="1:4" ht="15.75" customHeight="1">
      <c r="A38955" s="8"/>
      <c r="B38955" s="12"/>
      <c r="C38955" s="8"/>
      <c r="D38955" s="8"/>
    </row>
    <row r="38956" spans="1:4" ht="15.75" customHeight="1">
      <c r="A38956" s="8"/>
      <c r="B38956" s="12"/>
      <c r="C38956" s="8"/>
      <c r="D38956" s="8"/>
    </row>
    <row r="38957" spans="1:4" ht="15.75" customHeight="1">
      <c r="A38957" s="8"/>
      <c r="B38957" s="12"/>
      <c r="C38957" s="8"/>
      <c r="D38957" s="8"/>
    </row>
    <row r="38958" spans="1:4" ht="15.75" customHeight="1">
      <c r="A38958" s="8"/>
      <c r="B38958" s="12"/>
      <c r="C38958" s="8"/>
      <c r="D38958" s="8"/>
    </row>
    <row r="38959" spans="1:4" ht="15.75" customHeight="1">
      <c r="A38959" s="8"/>
      <c r="B38959" s="12"/>
      <c r="C38959" s="8"/>
      <c r="D38959" s="8"/>
    </row>
    <row r="38960" spans="1:4" ht="15.75" customHeight="1">
      <c r="A38960" s="8"/>
      <c r="B38960" s="12"/>
      <c r="C38960" s="8"/>
      <c r="D38960" s="8"/>
    </row>
    <row r="38961" spans="1:4" ht="15.75" customHeight="1">
      <c r="A38961" s="8"/>
      <c r="B38961" s="12"/>
      <c r="C38961" s="8"/>
      <c r="D38961" s="8"/>
    </row>
    <row r="38962" spans="1:4" ht="15.75" customHeight="1">
      <c r="A38962" s="8"/>
      <c r="B38962" s="12"/>
      <c r="C38962" s="8"/>
      <c r="D38962" s="8"/>
    </row>
    <row r="38963" spans="1:4" ht="15.75" customHeight="1">
      <c r="A38963" s="8"/>
      <c r="B38963" s="12"/>
      <c r="C38963" s="8"/>
      <c r="D38963" s="8"/>
    </row>
    <row r="38964" spans="1:4" ht="15.75" customHeight="1">
      <c r="A38964" s="8"/>
      <c r="B38964" s="12"/>
      <c r="C38964" s="8"/>
      <c r="D38964" s="8"/>
    </row>
    <row r="38965" spans="1:4" ht="15.75" customHeight="1">
      <c r="A38965" s="8"/>
      <c r="B38965" s="12"/>
      <c r="C38965" s="8"/>
      <c r="D38965" s="8"/>
    </row>
    <row r="38966" spans="1:4" ht="15.75" customHeight="1">
      <c r="A38966" s="8"/>
      <c r="B38966" s="12"/>
      <c r="C38966" s="8"/>
      <c r="D38966" s="8"/>
    </row>
    <row r="38967" spans="1:4" ht="15.75" customHeight="1">
      <c r="A38967" s="8"/>
      <c r="B38967" s="12"/>
      <c r="C38967" s="8"/>
      <c r="D38967" s="8"/>
    </row>
    <row r="38968" spans="1:4" ht="15.75" customHeight="1">
      <c r="A38968" s="8"/>
      <c r="B38968" s="12"/>
      <c r="C38968" s="8"/>
      <c r="D38968" s="8"/>
    </row>
    <row r="38969" spans="1:4" ht="15.75" customHeight="1">
      <c r="A38969" s="8"/>
      <c r="B38969" s="12"/>
      <c r="C38969" s="8"/>
      <c r="D38969" s="8"/>
    </row>
    <row r="38970" spans="1:4" ht="15.75" customHeight="1">
      <c r="A38970" s="8"/>
      <c r="B38970" s="12"/>
      <c r="C38970" s="8"/>
      <c r="D38970" s="8"/>
    </row>
    <row r="38971" spans="1:4" ht="15.75" customHeight="1">
      <c r="A38971" s="8"/>
      <c r="B38971" s="12"/>
      <c r="C38971" s="8"/>
      <c r="D38971" s="8"/>
    </row>
    <row r="38972" spans="1:4" ht="15.75" customHeight="1">
      <c r="A38972" s="8"/>
      <c r="B38972" s="12"/>
      <c r="C38972" s="8"/>
      <c r="D38972" s="8"/>
    </row>
    <row r="38973" spans="1:4" ht="15.75" customHeight="1">
      <c r="A38973" s="8"/>
      <c r="B38973" s="12"/>
      <c r="C38973" s="8"/>
      <c r="D38973" s="8"/>
    </row>
    <row r="38974" spans="1:4" ht="15.75" customHeight="1">
      <c r="A38974" s="8"/>
      <c r="B38974" s="12"/>
      <c r="C38974" s="8"/>
      <c r="D38974" s="8"/>
    </row>
    <row r="38975" spans="1:4" ht="15.75" customHeight="1">
      <c r="A38975" s="8"/>
      <c r="B38975" s="12"/>
      <c r="C38975" s="8"/>
      <c r="D38975" s="8"/>
    </row>
    <row r="38976" spans="1:4" ht="15.75" customHeight="1">
      <c r="A38976" s="8"/>
      <c r="B38976" s="12"/>
      <c r="C38976" s="8"/>
      <c r="D38976" s="8"/>
    </row>
    <row r="38977" spans="1:4" ht="15.75" customHeight="1">
      <c r="A38977" s="8"/>
      <c r="B38977" s="12"/>
      <c r="C38977" s="8"/>
      <c r="D38977" s="8"/>
    </row>
    <row r="38978" spans="1:4" ht="15.75" customHeight="1">
      <c r="A38978" s="8"/>
      <c r="B38978" s="12"/>
      <c r="C38978" s="8"/>
      <c r="D38978" s="8"/>
    </row>
    <row r="38979" spans="1:4" ht="15.75" customHeight="1">
      <c r="A38979" s="8"/>
      <c r="B38979" s="12"/>
      <c r="C38979" s="8"/>
      <c r="D38979" s="8"/>
    </row>
    <row r="38980" spans="1:4" ht="15.75" customHeight="1">
      <c r="A38980" s="8"/>
      <c r="B38980" s="12"/>
      <c r="C38980" s="8"/>
      <c r="D38980" s="8"/>
    </row>
    <row r="38981" spans="1:4" ht="15.75" customHeight="1">
      <c r="A38981" s="8"/>
      <c r="B38981" s="12"/>
      <c r="C38981" s="8"/>
      <c r="D38981" s="8"/>
    </row>
    <row r="38982" spans="1:4" ht="15.75" customHeight="1">
      <c r="A38982" s="8"/>
      <c r="B38982" s="12"/>
      <c r="C38982" s="8"/>
      <c r="D38982" s="8"/>
    </row>
    <row r="38983" spans="1:4" ht="15.75" customHeight="1">
      <c r="A38983" s="8"/>
      <c r="B38983" s="12"/>
      <c r="C38983" s="8"/>
      <c r="D38983" s="8"/>
    </row>
    <row r="38984" spans="1:4" ht="15.75" customHeight="1">
      <c r="A38984" s="8"/>
      <c r="B38984" s="12"/>
      <c r="C38984" s="8"/>
      <c r="D38984" s="8"/>
    </row>
    <row r="38985" spans="1:4" ht="15.75" customHeight="1">
      <c r="A38985" s="8"/>
      <c r="B38985" s="12"/>
      <c r="C38985" s="8"/>
      <c r="D38985" s="8"/>
    </row>
    <row r="38986" spans="1:4" ht="15.75" customHeight="1">
      <c r="A38986" s="8"/>
      <c r="B38986" s="12"/>
      <c r="C38986" s="8"/>
      <c r="D38986" s="8"/>
    </row>
    <row r="38987" spans="1:4" ht="15.75" customHeight="1">
      <c r="A38987" s="8"/>
      <c r="B38987" s="12"/>
      <c r="C38987" s="8"/>
      <c r="D38987" s="8"/>
    </row>
    <row r="38988" spans="1:4" ht="15.75" customHeight="1">
      <c r="A38988" s="8"/>
      <c r="B38988" s="12"/>
      <c r="C38988" s="8"/>
      <c r="D38988" s="8"/>
    </row>
    <row r="38989" spans="1:4" ht="15.75" customHeight="1">
      <c r="A38989" s="8"/>
      <c r="B38989" s="12"/>
      <c r="C38989" s="8"/>
      <c r="D38989" s="8"/>
    </row>
    <row r="38990" spans="1:4" ht="15.75" customHeight="1">
      <c r="A38990" s="8"/>
      <c r="B38990" s="12"/>
      <c r="C38990" s="8"/>
      <c r="D38990" s="8"/>
    </row>
    <row r="38991" spans="1:4" ht="15.75" customHeight="1">
      <c r="A38991" s="8"/>
      <c r="B38991" s="12"/>
      <c r="C38991" s="8"/>
      <c r="D38991" s="8"/>
    </row>
    <row r="38992" spans="1:4" ht="15.75" customHeight="1">
      <c r="A38992" s="8"/>
      <c r="B38992" s="12"/>
      <c r="C38992" s="8"/>
      <c r="D38992" s="8"/>
    </row>
    <row r="38993" spans="1:4" ht="15.75" customHeight="1">
      <c r="A38993" s="8"/>
      <c r="B38993" s="12"/>
      <c r="C38993" s="8"/>
      <c r="D38993" s="8"/>
    </row>
    <row r="38994" spans="1:4" ht="15.75" customHeight="1">
      <c r="A38994" s="8"/>
      <c r="B38994" s="12"/>
      <c r="C38994" s="8"/>
      <c r="D38994" s="8"/>
    </row>
    <row r="38995" spans="1:4" ht="15.75" customHeight="1">
      <c r="A38995" s="8"/>
      <c r="B38995" s="12"/>
      <c r="C38995" s="8"/>
      <c r="D38995" s="8"/>
    </row>
    <row r="38996" spans="1:4" ht="15.75" customHeight="1">
      <c r="A38996" s="8"/>
      <c r="B38996" s="12"/>
      <c r="C38996" s="8"/>
      <c r="D38996" s="8"/>
    </row>
    <row r="38997" spans="1:4" ht="15.75" customHeight="1">
      <c r="A38997" s="8"/>
      <c r="B38997" s="12"/>
      <c r="C38997" s="8"/>
      <c r="D38997" s="8"/>
    </row>
    <row r="38998" spans="1:4" ht="15.75" customHeight="1">
      <c r="A38998" s="8"/>
      <c r="B38998" s="12"/>
      <c r="C38998" s="8"/>
      <c r="D38998" s="8"/>
    </row>
    <row r="38999" spans="1:4" ht="15.75" customHeight="1">
      <c r="A38999" s="8"/>
      <c r="B38999" s="12"/>
      <c r="C38999" s="8"/>
      <c r="D38999" s="8"/>
    </row>
    <row r="39000" spans="1:4" ht="15.75" customHeight="1">
      <c r="A39000" s="8"/>
      <c r="B39000" s="12"/>
      <c r="C39000" s="8"/>
      <c r="D39000" s="8"/>
    </row>
    <row r="39001" spans="1:4" ht="15.75" customHeight="1">
      <c r="A39001" s="8"/>
      <c r="B39001" s="12"/>
      <c r="C39001" s="8"/>
      <c r="D39001" s="8"/>
    </row>
    <row r="39002" spans="1:4" ht="15.75" customHeight="1">
      <c r="A39002" s="8"/>
      <c r="B39002" s="12"/>
      <c r="C39002" s="8"/>
      <c r="D39002" s="8"/>
    </row>
    <row r="39003" spans="1:4" ht="15.75" customHeight="1">
      <c r="A39003" s="8"/>
      <c r="B39003" s="12"/>
      <c r="C39003" s="8"/>
      <c r="D39003" s="8"/>
    </row>
    <row r="39004" spans="1:4" ht="15.75" customHeight="1">
      <c r="A39004" s="8"/>
      <c r="B39004" s="12"/>
      <c r="C39004" s="8"/>
      <c r="D39004" s="8"/>
    </row>
    <row r="39005" spans="1:4" ht="15.75" customHeight="1">
      <c r="A39005" s="8"/>
      <c r="B39005" s="12"/>
      <c r="C39005" s="8"/>
      <c r="D39005" s="8"/>
    </row>
    <row r="39006" spans="1:4" ht="15.75" customHeight="1">
      <c r="A39006" s="8"/>
      <c r="B39006" s="12"/>
      <c r="C39006" s="8"/>
      <c r="D39006" s="8"/>
    </row>
    <row r="39007" spans="1:4" ht="15.75" customHeight="1">
      <c r="A39007" s="8"/>
      <c r="B39007" s="12"/>
      <c r="C39007" s="8"/>
      <c r="D39007" s="8"/>
    </row>
    <row r="39008" spans="1:4" ht="15.75" customHeight="1">
      <c r="A39008" s="8"/>
      <c r="B39008" s="12"/>
      <c r="C39008" s="8"/>
      <c r="D39008" s="8"/>
    </row>
    <row r="39009" spans="1:4" ht="15.75" customHeight="1">
      <c r="A39009" s="8"/>
      <c r="B39009" s="12"/>
      <c r="C39009" s="8"/>
      <c r="D39009" s="8"/>
    </row>
    <row r="39010" spans="1:4" ht="15.75" customHeight="1">
      <c r="A39010" s="8"/>
      <c r="B39010" s="12"/>
      <c r="C39010" s="8"/>
      <c r="D39010" s="8"/>
    </row>
    <row r="39011" spans="1:4" ht="15.75" customHeight="1">
      <c r="A39011" s="8"/>
      <c r="B39011" s="12"/>
      <c r="C39011" s="8"/>
      <c r="D39011" s="8"/>
    </row>
    <row r="39012" spans="1:4" ht="15.75" customHeight="1">
      <c r="A39012" s="8"/>
      <c r="B39012" s="12"/>
      <c r="C39012" s="8"/>
      <c r="D39012" s="8"/>
    </row>
    <row r="39013" spans="1:4" ht="15.75" customHeight="1">
      <c r="A39013" s="8"/>
      <c r="B39013" s="12"/>
      <c r="C39013" s="8"/>
      <c r="D39013" s="8"/>
    </row>
    <row r="39014" spans="1:4" ht="15.75" customHeight="1">
      <c r="A39014" s="8"/>
      <c r="B39014" s="12"/>
      <c r="C39014" s="8"/>
      <c r="D39014" s="8"/>
    </row>
    <row r="39015" spans="1:4" ht="15.75" customHeight="1">
      <c r="A39015" s="8"/>
      <c r="B39015" s="12"/>
      <c r="C39015" s="8"/>
      <c r="D39015" s="8"/>
    </row>
    <row r="39016" spans="1:4" ht="15.75" customHeight="1">
      <c r="A39016" s="8"/>
      <c r="B39016" s="12"/>
      <c r="C39016" s="8"/>
      <c r="D39016" s="8"/>
    </row>
    <row r="39017" spans="1:4" ht="15.75" customHeight="1">
      <c r="A39017" s="8"/>
      <c r="B39017" s="12"/>
      <c r="C39017" s="8"/>
      <c r="D39017" s="8"/>
    </row>
    <row r="39018" spans="1:4" ht="15.75" customHeight="1">
      <c r="A39018" s="8"/>
      <c r="B39018" s="12"/>
      <c r="C39018" s="8"/>
      <c r="D39018" s="8"/>
    </row>
    <row r="39019" spans="1:4" ht="15.75" customHeight="1">
      <c r="A39019" s="8"/>
      <c r="B39019" s="12"/>
      <c r="C39019" s="8"/>
      <c r="D39019" s="8"/>
    </row>
    <row r="39020" spans="1:4" ht="15.75" customHeight="1">
      <c r="A39020" s="8"/>
      <c r="B39020" s="12"/>
      <c r="C39020" s="8"/>
      <c r="D39020" s="8"/>
    </row>
    <row r="39021" spans="1:4" ht="15.75" customHeight="1">
      <c r="A39021" s="8"/>
      <c r="B39021" s="12"/>
      <c r="C39021" s="8"/>
      <c r="D39021" s="8"/>
    </row>
    <row r="39022" spans="1:4" ht="15.75" customHeight="1">
      <c r="A39022" s="8"/>
      <c r="B39022" s="12"/>
      <c r="C39022" s="8"/>
      <c r="D39022" s="8"/>
    </row>
    <row r="39023" spans="1:4" ht="15.75" customHeight="1">
      <c r="A39023" s="8"/>
      <c r="B39023" s="12"/>
      <c r="C39023" s="8"/>
      <c r="D39023" s="8"/>
    </row>
    <row r="39024" spans="1:4" ht="15.75" customHeight="1">
      <c r="A39024" s="8"/>
      <c r="B39024" s="12"/>
      <c r="C39024" s="8"/>
      <c r="D39024" s="8"/>
    </row>
    <row r="39025" spans="1:4" ht="15.75" customHeight="1">
      <c r="A39025" s="8"/>
      <c r="B39025" s="12"/>
      <c r="C39025" s="8"/>
      <c r="D39025" s="8"/>
    </row>
    <row r="39026" spans="1:4" ht="15.75" customHeight="1">
      <c r="A39026" s="8"/>
      <c r="B39026" s="12"/>
      <c r="C39026" s="8"/>
      <c r="D39026" s="8"/>
    </row>
    <row r="39027" spans="1:4" ht="15.75" customHeight="1">
      <c r="A39027" s="8"/>
      <c r="B39027" s="12"/>
      <c r="C39027" s="8"/>
      <c r="D39027" s="8"/>
    </row>
    <row r="39028" spans="1:4" ht="15.75" customHeight="1">
      <c r="A39028" s="8"/>
      <c r="B39028" s="12"/>
      <c r="C39028" s="8"/>
      <c r="D39028" s="8"/>
    </row>
    <row r="39029" spans="1:4" ht="15.75" customHeight="1">
      <c r="A39029" s="8"/>
      <c r="B39029" s="12"/>
      <c r="C39029" s="8"/>
      <c r="D39029" s="8"/>
    </row>
    <row r="39030" spans="1:4" ht="15.75" customHeight="1">
      <c r="A39030" s="8"/>
      <c r="B39030" s="12"/>
      <c r="C39030" s="8"/>
      <c r="D39030" s="8"/>
    </row>
    <row r="39031" spans="1:4" ht="15.75" customHeight="1">
      <c r="A39031" s="8"/>
      <c r="B39031" s="12"/>
      <c r="C39031" s="8"/>
      <c r="D39031" s="8"/>
    </row>
    <row r="39032" spans="1:4" ht="15.75" customHeight="1">
      <c r="A39032" s="8"/>
      <c r="B39032" s="12"/>
      <c r="C39032" s="8"/>
      <c r="D39032" s="8"/>
    </row>
    <row r="39033" spans="1:4" ht="15.75" customHeight="1">
      <c r="A39033" s="8"/>
      <c r="B39033" s="12"/>
      <c r="C39033" s="8"/>
      <c r="D39033" s="8"/>
    </row>
    <row r="39034" spans="1:4" ht="15.75" customHeight="1">
      <c r="A39034" s="8"/>
      <c r="B39034" s="12"/>
      <c r="C39034" s="8"/>
      <c r="D39034" s="8"/>
    </row>
    <row r="39035" spans="1:4" ht="15.75" customHeight="1">
      <c r="A39035" s="8"/>
      <c r="B39035" s="12"/>
      <c r="C39035" s="8"/>
      <c r="D39035" s="8"/>
    </row>
    <row r="39036" spans="1:4" ht="15.75" customHeight="1">
      <c r="A39036" s="8"/>
      <c r="B39036" s="12"/>
      <c r="C39036" s="8"/>
      <c r="D39036" s="8"/>
    </row>
    <row r="39037" spans="1:4" ht="15.75" customHeight="1">
      <c r="A39037" s="8"/>
      <c r="B39037" s="12"/>
      <c r="C39037" s="8"/>
      <c r="D39037" s="8"/>
    </row>
    <row r="39038" spans="1:4" ht="15.75" customHeight="1">
      <c r="A39038" s="8"/>
      <c r="B39038" s="12"/>
      <c r="C39038" s="8"/>
      <c r="D39038" s="8"/>
    </row>
    <row r="39039" spans="1:4" ht="15.75" customHeight="1">
      <c r="A39039" s="8"/>
      <c r="B39039" s="12"/>
      <c r="C39039" s="8"/>
      <c r="D39039" s="8"/>
    </row>
    <row r="39040" spans="1:4" ht="15.75" customHeight="1">
      <c r="A39040" s="8"/>
      <c r="B39040" s="12"/>
      <c r="C39040" s="8"/>
      <c r="D39040" s="8"/>
    </row>
    <row r="39041" spans="1:4" ht="15.75" customHeight="1">
      <c r="A39041" s="8"/>
      <c r="B39041" s="12"/>
      <c r="C39041" s="8"/>
      <c r="D39041" s="8"/>
    </row>
    <row r="39042" spans="1:4" ht="15.75" customHeight="1">
      <c r="A39042" s="8"/>
      <c r="B39042" s="12"/>
      <c r="C39042" s="8"/>
      <c r="D39042" s="8"/>
    </row>
    <row r="39043" spans="1:4" ht="15.75" customHeight="1">
      <c r="A39043" s="8"/>
      <c r="B39043" s="12"/>
      <c r="C39043" s="8"/>
      <c r="D39043" s="8"/>
    </row>
    <row r="39044" spans="1:4" ht="15.75" customHeight="1">
      <c r="A39044" s="8"/>
      <c r="B39044" s="12"/>
      <c r="C39044" s="8"/>
      <c r="D39044" s="8"/>
    </row>
    <row r="39045" spans="1:4" ht="15.75" customHeight="1">
      <c r="A39045" s="8"/>
      <c r="B39045" s="12"/>
      <c r="C39045" s="8"/>
      <c r="D39045" s="8"/>
    </row>
    <row r="39046" spans="1:4" ht="15.75" customHeight="1">
      <c r="A39046" s="8"/>
      <c r="B39046" s="12"/>
      <c r="C39046" s="8"/>
      <c r="D39046" s="8"/>
    </row>
    <row r="39047" spans="1:4" ht="15.75" customHeight="1">
      <c r="A39047" s="8"/>
      <c r="B39047" s="12"/>
      <c r="C39047" s="8"/>
      <c r="D39047" s="8"/>
    </row>
    <row r="39048" spans="1:4" ht="15.75" customHeight="1">
      <c r="A39048" s="8"/>
      <c r="B39048" s="12"/>
      <c r="C39048" s="8"/>
      <c r="D39048" s="8"/>
    </row>
    <row r="39049" spans="1:4" ht="15.75" customHeight="1">
      <c r="A39049" s="8"/>
      <c r="B39049" s="12"/>
      <c r="C39049" s="8"/>
      <c r="D39049" s="8"/>
    </row>
    <row r="39050" spans="1:4" ht="15.75" customHeight="1">
      <c r="A39050" s="8"/>
      <c r="B39050" s="12"/>
      <c r="C39050" s="8"/>
      <c r="D39050" s="8"/>
    </row>
    <row r="39051" spans="1:4" ht="15.75" customHeight="1">
      <c r="A39051" s="8"/>
      <c r="B39051" s="12"/>
      <c r="C39051" s="8"/>
      <c r="D39051" s="8"/>
    </row>
    <row r="39052" spans="1:4" ht="15.75" customHeight="1">
      <c r="A39052" s="8"/>
      <c r="B39052" s="12"/>
      <c r="C39052" s="8"/>
      <c r="D39052" s="8"/>
    </row>
    <row r="39053" spans="1:4" ht="15.75" customHeight="1">
      <c r="A39053" s="8"/>
      <c r="B39053" s="12"/>
      <c r="C39053" s="8"/>
      <c r="D39053" s="8"/>
    </row>
    <row r="39054" spans="1:4" ht="15.75" customHeight="1">
      <c r="A39054" s="8"/>
      <c r="B39054" s="12"/>
      <c r="C39054" s="8"/>
      <c r="D39054" s="8"/>
    </row>
    <row r="39055" spans="1:4" ht="15.75" customHeight="1">
      <c r="A39055" s="8"/>
      <c r="B39055" s="12"/>
      <c r="C39055" s="8"/>
      <c r="D39055" s="8"/>
    </row>
    <row r="39056" spans="1:4" ht="15.75" customHeight="1">
      <c r="A39056" s="8"/>
      <c r="B39056" s="12"/>
      <c r="C39056" s="8"/>
      <c r="D39056" s="8"/>
    </row>
    <row r="39057" spans="1:4" ht="15.75" customHeight="1">
      <c r="A39057" s="8"/>
      <c r="B39057" s="12"/>
      <c r="C39057" s="8"/>
      <c r="D39057" s="8"/>
    </row>
    <row r="39058" spans="1:4" ht="15.75" customHeight="1">
      <c r="A39058" s="8"/>
      <c r="B39058" s="12"/>
      <c r="C39058" s="8"/>
      <c r="D39058" s="8"/>
    </row>
    <row r="39059" spans="1:4" ht="15.75" customHeight="1">
      <c r="A39059" s="8"/>
      <c r="B39059" s="12"/>
      <c r="C39059" s="8"/>
      <c r="D39059" s="8"/>
    </row>
    <row r="39060" spans="1:4" ht="15.75" customHeight="1">
      <c r="A39060" s="8"/>
      <c r="B39060" s="12"/>
      <c r="C39060" s="8"/>
      <c r="D39060" s="8"/>
    </row>
    <row r="39061" spans="1:4" ht="15.75" customHeight="1">
      <c r="A39061" s="8"/>
      <c r="B39061" s="12"/>
      <c r="C39061" s="8"/>
      <c r="D39061" s="8"/>
    </row>
    <row r="39062" spans="1:4" ht="15.75" customHeight="1">
      <c r="A39062" s="8"/>
      <c r="B39062" s="12"/>
      <c r="C39062" s="8"/>
      <c r="D39062" s="8"/>
    </row>
    <row r="39063" spans="1:4" ht="15.75" customHeight="1">
      <c r="A39063" s="8"/>
      <c r="B39063" s="12"/>
      <c r="C39063" s="8"/>
      <c r="D39063" s="8"/>
    </row>
    <row r="39064" spans="1:4" ht="15.75" customHeight="1">
      <c r="A39064" s="8"/>
      <c r="B39064" s="12"/>
      <c r="C39064" s="8"/>
      <c r="D39064" s="8"/>
    </row>
    <row r="39065" spans="1:4" ht="15.75" customHeight="1">
      <c r="A39065" s="8"/>
      <c r="B39065" s="12"/>
      <c r="C39065" s="8"/>
      <c r="D39065" s="8"/>
    </row>
    <row r="39066" spans="1:4" ht="15.75" customHeight="1">
      <c r="A39066" s="8"/>
      <c r="B39066" s="12"/>
      <c r="C39066" s="8"/>
      <c r="D39066" s="8"/>
    </row>
    <row r="39067" spans="1:4" ht="15.75" customHeight="1">
      <c r="A39067" s="8"/>
      <c r="B39067" s="12"/>
      <c r="C39067" s="8"/>
      <c r="D39067" s="8"/>
    </row>
    <row r="39068" spans="1:4" ht="15.75" customHeight="1">
      <c r="A39068" s="8"/>
      <c r="B39068" s="12"/>
      <c r="C39068" s="8"/>
      <c r="D39068" s="8"/>
    </row>
    <row r="39069" spans="1:4" ht="15.75" customHeight="1">
      <c r="A39069" s="8"/>
      <c r="B39069" s="12"/>
      <c r="C39069" s="8"/>
      <c r="D39069" s="8"/>
    </row>
    <row r="39070" spans="1:4" ht="15.75" customHeight="1">
      <c r="A39070" s="8"/>
      <c r="B39070" s="12"/>
      <c r="C39070" s="8"/>
      <c r="D39070" s="8"/>
    </row>
    <row r="39071" spans="1:4" ht="15.75" customHeight="1">
      <c r="A39071" s="8"/>
      <c r="B39071" s="12"/>
      <c r="C39071" s="8"/>
      <c r="D39071" s="8"/>
    </row>
    <row r="39072" spans="1:4" ht="15.75" customHeight="1">
      <c r="A39072" s="8"/>
      <c r="B39072" s="12"/>
      <c r="C39072" s="8"/>
      <c r="D39072" s="8"/>
    </row>
    <row r="39073" spans="1:4" ht="15.75" customHeight="1">
      <c r="A39073" s="8"/>
      <c r="B39073" s="12"/>
      <c r="C39073" s="8"/>
      <c r="D39073" s="8"/>
    </row>
    <row r="39074" spans="1:4" ht="15.75" customHeight="1">
      <c r="A39074" s="8"/>
      <c r="B39074" s="12"/>
      <c r="C39074" s="8"/>
      <c r="D39074" s="8"/>
    </row>
    <row r="39075" spans="1:4" ht="15.75" customHeight="1">
      <c r="A39075" s="8"/>
      <c r="B39075" s="12"/>
      <c r="C39075" s="8"/>
      <c r="D39075" s="8"/>
    </row>
    <row r="39076" spans="1:4" ht="15.75" customHeight="1">
      <c r="A39076" s="8"/>
      <c r="B39076" s="12"/>
      <c r="C39076" s="8"/>
      <c r="D39076" s="8"/>
    </row>
    <row r="39077" spans="1:4" ht="15.75" customHeight="1">
      <c r="A39077" s="8"/>
      <c r="B39077" s="12"/>
      <c r="C39077" s="8"/>
      <c r="D39077" s="8"/>
    </row>
    <row r="39078" spans="1:4" ht="15.75" customHeight="1">
      <c r="A39078" s="8"/>
      <c r="B39078" s="12"/>
      <c r="C39078" s="8"/>
      <c r="D39078" s="8"/>
    </row>
    <row r="39079" spans="1:4" ht="15.75" customHeight="1">
      <c r="A39079" s="8"/>
      <c r="B39079" s="12"/>
      <c r="C39079" s="8"/>
      <c r="D39079" s="8"/>
    </row>
    <row r="39080" spans="1:4" ht="15.75" customHeight="1">
      <c r="A39080" s="8"/>
      <c r="B39080" s="12"/>
      <c r="C39080" s="8"/>
      <c r="D39080" s="8"/>
    </row>
    <row r="39081" spans="1:4" ht="15.75" customHeight="1">
      <c r="A39081" s="8"/>
      <c r="B39081" s="12"/>
      <c r="C39081" s="8"/>
      <c r="D39081" s="8"/>
    </row>
    <row r="39082" spans="1:4" ht="15.75" customHeight="1">
      <c r="A39082" s="8"/>
      <c r="B39082" s="12"/>
      <c r="C39082" s="8"/>
      <c r="D39082" s="8"/>
    </row>
    <row r="39083" spans="1:4" ht="15.75" customHeight="1">
      <c r="A39083" s="8"/>
      <c r="B39083" s="12"/>
      <c r="C39083" s="8"/>
      <c r="D39083" s="8"/>
    </row>
    <row r="39084" spans="1:4" ht="15.75" customHeight="1">
      <c r="A39084" s="8"/>
      <c r="B39084" s="12"/>
      <c r="C39084" s="8"/>
      <c r="D39084" s="8"/>
    </row>
    <row r="39085" spans="1:4" ht="15.75" customHeight="1">
      <c r="A39085" s="8"/>
      <c r="B39085" s="12"/>
      <c r="C39085" s="8"/>
      <c r="D39085" s="8"/>
    </row>
    <row r="39086" spans="1:4" ht="15.75" customHeight="1">
      <c r="A39086" s="8"/>
      <c r="B39086" s="12"/>
      <c r="C39086" s="8"/>
      <c r="D39086" s="8"/>
    </row>
    <row r="39087" spans="1:4" ht="15.75" customHeight="1">
      <c r="A39087" s="8"/>
      <c r="B39087" s="12"/>
      <c r="C39087" s="8"/>
      <c r="D39087" s="8"/>
    </row>
    <row r="39088" spans="1:4" ht="15.75" customHeight="1">
      <c r="A39088" s="8"/>
      <c r="B39088" s="12"/>
      <c r="C39088" s="8"/>
      <c r="D39088" s="8"/>
    </row>
    <row r="39089" spans="1:4" ht="15.75" customHeight="1">
      <c r="A39089" s="8"/>
      <c r="B39089" s="12"/>
      <c r="C39089" s="8"/>
      <c r="D39089" s="8"/>
    </row>
    <row r="39090" spans="1:4" ht="15.75" customHeight="1">
      <c r="A39090" s="8"/>
      <c r="B39090" s="12"/>
      <c r="C39090" s="8"/>
      <c r="D39090" s="8"/>
    </row>
    <row r="39091" spans="1:4" ht="15.75" customHeight="1">
      <c r="A39091" s="8"/>
      <c r="B39091" s="12"/>
      <c r="C39091" s="8"/>
      <c r="D39091" s="8"/>
    </row>
    <row r="39092" spans="1:4" ht="15.75" customHeight="1">
      <c r="A39092" s="8"/>
      <c r="B39092" s="12"/>
      <c r="C39092" s="8"/>
      <c r="D39092" s="8"/>
    </row>
    <row r="39093" spans="1:4" ht="15.75" customHeight="1">
      <c r="A39093" s="8"/>
      <c r="B39093" s="12"/>
      <c r="C39093" s="8"/>
      <c r="D39093" s="8"/>
    </row>
    <row r="39094" spans="1:4" ht="15.75" customHeight="1">
      <c r="A39094" s="8"/>
      <c r="B39094" s="12"/>
      <c r="C39094" s="8"/>
      <c r="D39094" s="8"/>
    </row>
    <row r="39095" spans="1:4" ht="15.75" customHeight="1">
      <c r="A39095" s="8"/>
      <c r="B39095" s="12"/>
      <c r="C39095" s="8"/>
      <c r="D39095" s="8"/>
    </row>
    <row r="39096" spans="1:4" ht="15.75" customHeight="1">
      <c r="A39096" s="8"/>
      <c r="B39096" s="12"/>
      <c r="C39096" s="8"/>
      <c r="D39096" s="8"/>
    </row>
    <row r="39097" spans="1:4" ht="15.75" customHeight="1">
      <c r="A39097" s="8"/>
      <c r="B39097" s="12"/>
      <c r="C39097" s="8"/>
      <c r="D39097" s="8"/>
    </row>
    <row r="39098" spans="1:4" ht="15.75" customHeight="1">
      <c r="A39098" s="8"/>
      <c r="B39098" s="12"/>
      <c r="C39098" s="8"/>
      <c r="D39098" s="8"/>
    </row>
    <row r="39099" spans="1:4" ht="15.75" customHeight="1">
      <c r="A39099" s="8"/>
      <c r="B39099" s="12"/>
      <c r="C39099" s="8"/>
      <c r="D39099" s="8"/>
    </row>
    <row r="39100" spans="1:4" ht="15.75" customHeight="1">
      <c r="A39100" s="8"/>
      <c r="B39100" s="12"/>
      <c r="C39100" s="8"/>
      <c r="D39100" s="8"/>
    </row>
    <row r="39101" spans="1:4" ht="15.75" customHeight="1">
      <c r="A39101" s="8"/>
      <c r="B39101" s="12"/>
      <c r="C39101" s="8"/>
      <c r="D39101" s="8"/>
    </row>
    <row r="39102" spans="1:4" ht="15.75" customHeight="1">
      <c r="A39102" s="8"/>
      <c r="B39102" s="12"/>
      <c r="C39102" s="8"/>
      <c r="D39102" s="8"/>
    </row>
    <row r="39103" spans="1:4" ht="15.75" customHeight="1">
      <c r="A39103" s="8"/>
      <c r="B39103" s="12"/>
      <c r="C39103" s="8"/>
      <c r="D39103" s="8"/>
    </row>
    <row r="39104" spans="1:4" ht="15.75" customHeight="1">
      <c r="A39104" s="8"/>
      <c r="B39104" s="12"/>
      <c r="C39104" s="8"/>
      <c r="D39104" s="8"/>
    </row>
    <row r="39105" spans="1:4" ht="15.75" customHeight="1">
      <c r="A39105" s="8"/>
      <c r="B39105" s="12"/>
      <c r="C39105" s="8"/>
      <c r="D39105" s="8"/>
    </row>
    <row r="39106" spans="1:4" ht="15.75" customHeight="1">
      <c r="A39106" s="8"/>
      <c r="B39106" s="12"/>
      <c r="C39106" s="8"/>
      <c r="D39106" s="8"/>
    </row>
    <row r="39107" spans="1:4" ht="15.75" customHeight="1">
      <c r="A39107" s="8"/>
      <c r="B39107" s="12"/>
      <c r="C39107" s="8"/>
      <c r="D39107" s="8"/>
    </row>
    <row r="39108" spans="1:4" ht="15.75" customHeight="1">
      <c r="A39108" s="8"/>
      <c r="B39108" s="12"/>
      <c r="C39108" s="8"/>
      <c r="D39108" s="8"/>
    </row>
    <row r="39109" spans="1:4" ht="15.75" customHeight="1">
      <c r="A39109" s="8"/>
      <c r="B39109" s="12"/>
      <c r="C39109" s="8"/>
      <c r="D39109" s="8"/>
    </row>
    <row r="39110" spans="1:4" ht="15.75" customHeight="1">
      <c r="A39110" s="8"/>
      <c r="B39110" s="12"/>
      <c r="C39110" s="8"/>
      <c r="D39110" s="8"/>
    </row>
    <row r="39111" spans="1:4" ht="15.75" customHeight="1">
      <c r="A39111" s="8"/>
      <c r="B39111" s="12"/>
      <c r="C39111" s="8"/>
      <c r="D39111" s="8"/>
    </row>
    <row r="39112" spans="1:4" ht="15.75" customHeight="1">
      <c r="A39112" s="8"/>
      <c r="B39112" s="12"/>
      <c r="C39112" s="8"/>
      <c r="D39112" s="8"/>
    </row>
    <row r="39113" spans="1:4" ht="15.75" customHeight="1">
      <c r="A39113" s="8"/>
      <c r="B39113" s="12"/>
      <c r="C39113" s="8"/>
      <c r="D39113" s="8"/>
    </row>
    <row r="39114" spans="1:4" ht="15.75" customHeight="1">
      <c r="A39114" s="8"/>
      <c r="B39114" s="12"/>
      <c r="C39114" s="8"/>
      <c r="D39114" s="8"/>
    </row>
    <row r="39115" spans="1:4" ht="15.75" customHeight="1">
      <c r="A39115" s="8"/>
      <c r="B39115" s="12"/>
      <c r="C39115" s="8"/>
      <c r="D39115" s="8"/>
    </row>
    <row r="39116" spans="1:4" ht="15.75" customHeight="1">
      <c r="A39116" s="8"/>
      <c r="B39116" s="12"/>
      <c r="C39116" s="8"/>
      <c r="D39116" s="8"/>
    </row>
    <row r="39117" spans="1:4" ht="15.75" customHeight="1">
      <c r="A39117" s="8"/>
      <c r="B39117" s="12"/>
      <c r="C39117" s="8"/>
      <c r="D39117" s="8"/>
    </row>
    <row r="39118" spans="1:4" ht="15.75" customHeight="1">
      <c r="A39118" s="8"/>
      <c r="B39118" s="12"/>
      <c r="C39118" s="8"/>
      <c r="D39118" s="8"/>
    </row>
    <row r="39119" spans="1:4" ht="15.75" customHeight="1">
      <c r="A39119" s="8"/>
      <c r="B39119" s="12"/>
      <c r="C39119" s="8"/>
      <c r="D39119" s="8"/>
    </row>
    <row r="39120" spans="1:4" ht="15.75" customHeight="1">
      <c r="A39120" s="8"/>
      <c r="B39120" s="12"/>
      <c r="C39120" s="8"/>
      <c r="D39120" s="8"/>
    </row>
    <row r="39121" spans="1:4" ht="15.75" customHeight="1">
      <c r="A39121" s="8"/>
      <c r="B39121" s="12"/>
      <c r="C39121" s="8"/>
      <c r="D39121" s="8"/>
    </row>
    <row r="39122" spans="1:4" ht="15.75" customHeight="1">
      <c r="A39122" s="8"/>
      <c r="B39122" s="12"/>
      <c r="C39122" s="8"/>
      <c r="D39122" s="8"/>
    </row>
    <row r="39123" spans="1:4" ht="15.75" customHeight="1">
      <c r="A39123" s="8"/>
      <c r="B39123" s="12"/>
      <c r="C39123" s="8"/>
      <c r="D39123" s="8"/>
    </row>
    <row r="39124" spans="1:4" ht="15.75" customHeight="1">
      <c r="A39124" s="8"/>
      <c r="B39124" s="12"/>
      <c r="C39124" s="8"/>
      <c r="D39124" s="8"/>
    </row>
    <row r="39125" spans="1:4" ht="15.75" customHeight="1">
      <c r="A39125" s="8"/>
      <c r="B39125" s="12"/>
      <c r="C39125" s="8"/>
      <c r="D39125" s="8"/>
    </row>
    <row r="39126" spans="1:4" ht="15.75" customHeight="1">
      <c r="A39126" s="8"/>
      <c r="B39126" s="12"/>
      <c r="C39126" s="8"/>
      <c r="D39126" s="8"/>
    </row>
    <row r="39127" spans="1:4" ht="15.75" customHeight="1">
      <c r="A39127" s="8"/>
      <c r="B39127" s="12"/>
      <c r="C39127" s="8"/>
      <c r="D39127" s="8"/>
    </row>
    <row r="39128" spans="1:4" ht="15.75" customHeight="1">
      <c r="A39128" s="8"/>
      <c r="B39128" s="12"/>
      <c r="C39128" s="8"/>
      <c r="D39128" s="8"/>
    </row>
    <row r="39129" spans="1:4" ht="15.75" customHeight="1">
      <c r="A39129" s="8"/>
      <c r="B39129" s="12"/>
      <c r="C39129" s="8"/>
      <c r="D39129" s="8"/>
    </row>
    <row r="39130" spans="1:4" ht="15.75" customHeight="1">
      <c r="A39130" s="8"/>
      <c r="B39130" s="12"/>
      <c r="C39130" s="8"/>
      <c r="D39130" s="8"/>
    </row>
    <row r="39131" spans="1:4" ht="15.75" customHeight="1">
      <c r="A39131" s="8"/>
      <c r="B39131" s="12"/>
      <c r="C39131" s="8"/>
      <c r="D39131" s="8"/>
    </row>
    <row r="39132" spans="1:4" ht="15.75" customHeight="1">
      <c r="A39132" s="8"/>
      <c r="B39132" s="12"/>
      <c r="C39132" s="8"/>
      <c r="D39132" s="8"/>
    </row>
    <row r="39133" spans="1:4" ht="15.75" customHeight="1">
      <c r="A39133" s="8"/>
      <c r="B39133" s="12"/>
      <c r="C39133" s="8"/>
      <c r="D39133" s="8"/>
    </row>
    <row r="39134" spans="1:4" ht="15.75" customHeight="1">
      <c r="A39134" s="8"/>
      <c r="B39134" s="12"/>
      <c r="C39134" s="8"/>
      <c r="D39134" s="8"/>
    </row>
    <row r="39135" spans="1:4" ht="15.75" customHeight="1">
      <c r="A39135" s="8"/>
      <c r="B39135" s="12"/>
      <c r="C39135" s="8"/>
      <c r="D39135" s="8"/>
    </row>
    <row r="39136" spans="1:4" ht="15.75" customHeight="1">
      <c r="A39136" s="8"/>
      <c r="B39136" s="12"/>
      <c r="C39136" s="8"/>
      <c r="D39136" s="8"/>
    </row>
    <row r="39137" spans="1:4" ht="15.75" customHeight="1">
      <c r="A39137" s="8"/>
      <c r="B39137" s="12"/>
      <c r="C39137" s="8"/>
      <c r="D39137" s="8"/>
    </row>
    <row r="39138" spans="1:4" ht="15.75" customHeight="1">
      <c r="A39138" s="8"/>
      <c r="B39138" s="12"/>
      <c r="C39138" s="8"/>
      <c r="D39138" s="8"/>
    </row>
    <row r="39139" spans="1:4" ht="15.75" customHeight="1">
      <c r="A39139" s="8"/>
      <c r="B39139" s="12"/>
      <c r="C39139" s="8"/>
      <c r="D39139" s="8"/>
    </row>
    <row r="39140" spans="1:4" ht="15.75" customHeight="1">
      <c r="A39140" s="8"/>
      <c r="B39140" s="12"/>
      <c r="C39140" s="8"/>
      <c r="D39140" s="8"/>
    </row>
    <row r="39141" spans="1:4" ht="15.75" customHeight="1">
      <c r="A39141" s="8"/>
      <c r="B39141" s="12"/>
      <c r="C39141" s="8"/>
      <c r="D39141" s="8"/>
    </row>
    <row r="39142" spans="1:4" ht="15.75" customHeight="1">
      <c r="A39142" s="8"/>
      <c r="B39142" s="12"/>
      <c r="C39142" s="8"/>
      <c r="D39142" s="8"/>
    </row>
    <row r="39143" spans="1:4" ht="15.75" customHeight="1">
      <c r="A39143" s="8"/>
      <c r="B39143" s="12"/>
      <c r="C39143" s="8"/>
      <c r="D39143" s="8"/>
    </row>
    <row r="39144" spans="1:4" ht="15.75" customHeight="1">
      <c r="A39144" s="8"/>
      <c r="B39144" s="12"/>
      <c r="C39144" s="8"/>
      <c r="D39144" s="8"/>
    </row>
    <row r="39145" spans="1:4" ht="15.75" customHeight="1">
      <c r="A39145" s="8"/>
      <c r="B39145" s="12"/>
      <c r="C39145" s="8"/>
      <c r="D39145" s="8"/>
    </row>
    <row r="39146" spans="1:4" ht="15.75" customHeight="1">
      <c r="A39146" s="8"/>
      <c r="B39146" s="12"/>
      <c r="C39146" s="8"/>
      <c r="D39146" s="8"/>
    </row>
    <row r="39147" spans="1:4" ht="15.75" customHeight="1">
      <c r="A39147" s="8"/>
      <c r="B39147" s="12"/>
      <c r="C39147" s="8"/>
      <c r="D39147" s="8"/>
    </row>
    <row r="39148" spans="1:4" ht="15.75" customHeight="1">
      <c r="A39148" s="8"/>
      <c r="B39148" s="12"/>
      <c r="C39148" s="8"/>
      <c r="D39148" s="8"/>
    </row>
    <row r="39149" spans="1:4" ht="15.75" customHeight="1">
      <c r="A39149" s="8"/>
      <c r="B39149" s="12"/>
      <c r="C39149" s="8"/>
      <c r="D39149" s="8"/>
    </row>
    <row r="39150" spans="1:4" ht="15.75" customHeight="1">
      <c r="A39150" s="8"/>
      <c r="B39150" s="12"/>
      <c r="C39150" s="8"/>
      <c r="D39150" s="8"/>
    </row>
    <row r="39151" spans="1:4" ht="15.75" customHeight="1">
      <c r="A39151" s="8"/>
      <c r="B39151" s="12"/>
      <c r="C39151" s="8"/>
      <c r="D39151" s="8"/>
    </row>
    <row r="39152" spans="1:4" ht="15.75" customHeight="1">
      <c r="A39152" s="8"/>
      <c r="B39152" s="12"/>
      <c r="C39152" s="8"/>
      <c r="D39152" s="8"/>
    </row>
    <row r="39153" spans="1:4" ht="15.75" customHeight="1">
      <c r="A39153" s="8"/>
      <c r="B39153" s="12"/>
      <c r="C39153" s="8"/>
      <c r="D39153" s="8"/>
    </row>
    <row r="39154" spans="1:4" ht="15.75" customHeight="1">
      <c r="A39154" s="8"/>
      <c r="B39154" s="12"/>
      <c r="C39154" s="8"/>
      <c r="D39154" s="8"/>
    </row>
    <row r="39155" spans="1:4" ht="15.75" customHeight="1">
      <c r="A39155" s="8"/>
      <c r="B39155" s="12"/>
      <c r="C39155" s="8"/>
      <c r="D39155" s="8"/>
    </row>
    <row r="39156" spans="1:4" ht="15.75" customHeight="1">
      <c r="A39156" s="8"/>
      <c r="B39156" s="12"/>
      <c r="C39156" s="8"/>
      <c r="D39156" s="8"/>
    </row>
    <row r="39157" spans="1:4" ht="15.75" customHeight="1">
      <c r="A39157" s="8"/>
      <c r="B39157" s="12"/>
      <c r="C39157" s="8"/>
      <c r="D39157" s="8"/>
    </row>
    <row r="39158" spans="1:4" ht="15.75" customHeight="1">
      <c r="A39158" s="8"/>
      <c r="B39158" s="12"/>
      <c r="C39158" s="8"/>
      <c r="D39158" s="8"/>
    </row>
    <row r="39159" spans="1:4" ht="15.75" customHeight="1">
      <c r="A39159" s="8"/>
      <c r="B39159" s="12"/>
      <c r="C39159" s="8"/>
      <c r="D39159" s="8"/>
    </row>
    <row r="39160" spans="1:4" ht="15.75" customHeight="1">
      <c r="A39160" s="8"/>
      <c r="B39160" s="12"/>
      <c r="C39160" s="8"/>
      <c r="D39160" s="8"/>
    </row>
    <row r="39161" spans="1:4" ht="15.75" customHeight="1">
      <c r="A39161" s="8"/>
      <c r="B39161" s="12"/>
      <c r="C39161" s="8"/>
      <c r="D39161" s="8"/>
    </row>
    <row r="39162" spans="1:4" ht="15.75" customHeight="1">
      <c r="A39162" s="8"/>
      <c r="B39162" s="12"/>
      <c r="C39162" s="8"/>
      <c r="D39162" s="8"/>
    </row>
    <row r="39163" spans="1:4" ht="15.75" customHeight="1">
      <c r="A39163" s="8"/>
      <c r="B39163" s="12"/>
      <c r="C39163" s="8"/>
      <c r="D39163" s="8"/>
    </row>
    <row r="39164" spans="1:4" ht="15.75" customHeight="1">
      <c r="A39164" s="8"/>
      <c r="B39164" s="12"/>
      <c r="C39164" s="8"/>
      <c r="D39164" s="8"/>
    </row>
    <row r="39165" spans="1:4" ht="15.75" customHeight="1">
      <c r="A39165" s="8"/>
      <c r="B39165" s="12"/>
      <c r="C39165" s="8"/>
      <c r="D39165" s="8"/>
    </row>
    <row r="39166" spans="1:4" ht="15.75" customHeight="1">
      <c r="A39166" s="8"/>
      <c r="B39166" s="12"/>
      <c r="C39166" s="8"/>
      <c r="D39166" s="8"/>
    </row>
    <row r="39167" spans="1:4" ht="15.75" customHeight="1">
      <c r="A39167" s="8"/>
      <c r="B39167" s="12"/>
      <c r="C39167" s="8"/>
      <c r="D39167" s="8"/>
    </row>
    <row r="39168" spans="1:4" ht="15.75" customHeight="1">
      <c r="A39168" s="8"/>
      <c r="B39168" s="12"/>
      <c r="C39168" s="8"/>
      <c r="D39168" s="8"/>
    </row>
    <row r="39169" spans="1:4" ht="15.75" customHeight="1">
      <c r="A39169" s="8"/>
      <c r="B39169" s="12"/>
      <c r="C39169" s="8"/>
      <c r="D39169" s="8"/>
    </row>
    <row r="39170" spans="1:4" ht="15.75" customHeight="1">
      <c r="A39170" s="8"/>
      <c r="B39170" s="12"/>
      <c r="C39170" s="8"/>
      <c r="D39170" s="8"/>
    </row>
    <row r="39171" spans="1:4" ht="15.75" customHeight="1">
      <c r="A39171" s="8"/>
      <c r="B39171" s="12"/>
      <c r="C39171" s="8"/>
      <c r="D39171" s="8"/>
    </row>
    <row r="39172" spans="1:4" ht="15.75" customHeight="1">
      <c r="A39172" s="8"/>
      <c r="B39172" s="12"/>
      <c r="C39172" s="8"/>
      <c r="D39172" s="8"/>
    </row>
    <row r="39173" spans="1:4" ht="15.75" customHeight="1">
      <c r="A39173" s="8"/>
      <c r="B39173" s="12"/>
      <c r="C39173" s="8"/>
      <c r="D39173" s="8"/>
    </row>
    <row r="39174" spans="1:4" ht="15.75" customHeight="1">
      <c r="A39174" s="8"/>
      <c r="B39174" s="12"/>
      <c r="C39174" s="8"/>
      <c r="D39174" s="8"/>
    </row>
    <row r="39175" spans="1:4" ht="15.75" customHeight="1">
      <c r="A39175" s="8"/>
      <c r="B39175" s="12"/>
      <c r="C39175" s="8"/>
      <c r="D39175" s="8"/>
    </row>
    <row r="39176" spans="1:4" ht="15.75" customHeight="1">
      <c r="A39176" s="8"/>
      <c r="B39176" s="12"/>
      <c r="C39176" s="8"/>
      <c r="D39176" s="8"/>
    </row>
    <row r="39177" spans="1:4" ht="15.75" customHeight="1">
      <c r="A39177" s="8"/>
      <c r="B39177" s="12"/>
      <c r="C39177" s="8"/>
      <c r="D39177" s="8"/>
    </row>
    <row r="39178" spans="1:4" ht="15.75" customHeight="1">
      <c r="A39178" s="8"/>
      <c r="B39178" s="12"/>
      <c r="C39178" s="8"/>
      <c r="D39178" s="8"/>
    </row>
    <row r="39179" spans="1:4" ht="15.75" customHeight="1">
      <c r="A39179" s="8"/>
      <c r="B39179" s="12"/>
      <c r="C39179" s="8"/>
      <c r="D39179" s="8"/>
    </row>
    <row r="39180" spans="1:4" ht="15.75" customHeight="1">
      <c r="A39180" s="8"/>
      <c r="B39180" s="12"/>
      <c r="C39180" s="8"/>
      <c r="D39180" s="8"/>
    </row>
    <row r="39181" spans="1:4" ht="15.75" customHeight="1">
      <c r="A39181" s="8"/>
      <c r="B39181" s="12"/>
      <c r="C39181" s="8"/>
      <c r="D39181" s="8"/>
    </row>
    <row r="39182" spans="1:4" ht="15.75" customHeight="1">
      <c r="A39182" s="8"/>
      <c r="B39182" s="12"/>
      <c r="C39182" s="8"/>
      <c r="D39182" s="8"/>
    </row>
    <row r="39183" spans="1:4" ht="15.75" customHeight="1">
      <c r="A39183" s="8"/>
      <c r="B39183" s="12"/>
      <c r="C39183" s="8"/>
      <c r="D39183" s="8"/>
    </row>
    <row r="39184" spans="1:4" ht="15.75" customHeight="1">
      <c r="A39184" s="8"/>
      <c r="B39184" s="12"/>
      <c r="C39184" s="8"/>
      <c r="D39184" s="8"/>
    </row>
    <row r="39185" spans="1:4" ht="15.75" customHeight="1">
      <c r="A39185" s="8"/>
      <c r="B39185" s="12"/>
      <c r="C39185" s="8"/>
      <c r="D39185" s="8"/>
    </row>
    <row r="39186" spans="1:4" ht="15.75" customHeight="1">
      <c r="A39186" s="8"/>
      <c r="B39186" s="12"/>
      <c r="C39186" s="8"/>
      <c r="D39186" s="8"/>
    </row>
    <row r="39187" spans="1:4" ht="15.75" customHeight="1">
      <c r="A39187" s="8"/>
      <c r="B39187" s="12"/>
      <c r="C39187" s="8"/>
      <c r="D39187" s="8"/>
    </row>
    <row r="39188" spans="1:4" ht="15.75" customHeight="1">
      <c r="A39188" s="8"/>
      <c r="B39188" s="12"/>
      <c r="C39188" s="8"/>
      <c r="D39188" s="8"/>
    </row>
    <row r="39189" spans="1:4" ht="15.75" customHeight="1">
      <c r="A39189" s="8"/>
      <c r="B39189" s="12"/>
      <c r="C39189" s="8"/>
      <c r="D39189" s="8"/>
    </row>
    <row r="39190" spans="1:4" ht="15.75" customHeight="1">
      <c r="A39190" s="8"/>
      <c r="B39190" s="12"/>
      <c r="C39190" s="8"/>
      <c r="D39190" s="8"/>
    </row>
    <row r="39191" spans="1:4" ht="15.75" customHeight="1">
      <c r="A39191" s="8"/>
      <c r="B39191" s="12"/>
      <c r="C39191" s="8"/>
      <c r="D39191" s="8"/>
    </row>
    <row r="39192" spans="1:4" ht="15.75" customHeight="1">
      <c r="A39192" s="8"/>
      <c r="B39192" s="12"/>
      <c r="C39192" s="8"/>
      <c r="D39192" s="8"/>
    </row>
    <row r="39193" spans="1:4" ht="15.75" customHeight="1">
      <c r="A39193" s="8"/>
      <c r="B39193" s="12"/>
      <c r="C39193" s="8"/>
      <c r="D39193" s="8"/>
    </row>
    <row r="39194" spans="1:4" ht="15.75" customHeight="1">
      <c r="A39194" s="8"/>
      <c r="B39194" s="12"/>
      <c r="C39194" s="8"/>
      <c r="D39194" s="8"/>
    </row>
    <row r="39195" spans="1:4" ht="15.75" customHeight="1">
      <c r="A39195" s="8"/>
      <c r="B39195" s="12"/>
      <c r="C39195" s="8"/>
      <c r="D39195" s="8"/>
    </row>
    <row r="39196" spans="1:4" ht="15.75" customHeight="1">
      <c r="A39196" s="8"/>
      <c r="B39196" s="12"/>
      <c r="C39196" s="8"/>
      <c r="D39196" s="8"/>
    </row>
    <row r="39197" spans="1:4" ht="15.75" customHeight="1">
      <c r="A39197" s="8"/>
      <c r="B39197" s="12"/>
      <c r="C39197" s="8"/>
      <c r="D39197" s="8"/>
    </row>
    <row r="39198" spans="1:4" ht="15.75" customHeight="1">
      <c r="A39198" s="8"/>
      <c r="B39198" s="12"/>
      <c r="C39198" s="8"/>
      <c r="D39198" s="8"/>
    </row>
    <row r="39199" spans="1:4" ht="15.75" customHeight="1">
      <c r="A39199" s="8"/>
      <c r="B39199" s="12"/>
      <c r="C39199" s="8"/>
      <c r="D39199" s="8"/>
    </row>
    <row r="39200" spans="1:4" ht="15.75" customHeight="1">
      <c r="A39200" s="8"/>
      <c r="B39200" s="12"/>
      <c r="C39200" s="8"/>
      <c r="D39200" s="8"/>
    </row>
    <row r="39201" spans="1:4" ht="15.75" customHeight="1">
      <c r="A39201" s="8"/>
      <c r="B39201" s="12"/>
      <c r="C39201" s="8"/>
      <c r="D39201" s="8"/>
    </row>
    <row r="39202" spans="1:4" ht="15.75" customHeight="1">
      <c r="A39202" s="8"/>
      <c r="B39202" s="12"/>
      <c r="C39202" s="8"/>
      <c r="D39202" s="8"/>
    </row>
    <row r="39203" spans="1:4" ht="15.75" customHeight="1">
      <c r="A39203" s="8"/>
      <c r="B39203" s="12"/>
      <c r="C39203" s="8"/>
      <c r="D39203" s="8"/>
    </row>
    <row r="39204" spans="1:4" ht="15.75" customHeight="1">
      <c r="A39204" s="8"/>
      <c r="B39204" s="12"/>
      <c r="C39204" s="8"/>
      <c r="D39204" s="8"/>
    </row>
    <row r="39205" spans="1:4" ht="15.75" customHeight="1">
      <c r="A39205" s="8"/>
      <c r="B39205" s="12"/>
      <c r="C39205" s="8"/>
      <c r="D39205" s="8"/>
    </row>
    <row r="39206" spans="1:4" ht="15.75" customHeight="1">
      <c r="A39206" s="8"/>
      <c r="B39206" s="12"/>
      <c r="C39206" s="8"/>
      <c r="D39206" s="8"/>
    </row>
    <row r="39207" spans="1:4" ht="15.75" customHeight="1">
      <c r="A39207" s="8"/>
      <c r="B39207" s="12"/>
      <c r="C39207" s="8"/>
      <c r="D39207" s="8"/>
    </row>
    <row r="39208" spans="1:4" ht="15.75" customHeight="1">
      <c r="A39208" s="8"/>
      <c r="B39208" s="12"/>
      <c r="C39208" s="8"/>
      <c r="D39208" s="8"/>
    </row>
    <row r="39209" spans="1:4" ht="15.75" customHeight="1">
      <c r="A39209" s="8"/>
      <c r="B39209" s="12"/>
      <c r="C39209" s="8"/>
      <c r="D39209" s="8"/>
    </row>
    <row r="39210" spans="1:4" ht="15.75" customHeight="1">
      <c r="A39210" s="8"/>
      <c r="B39210" s="12"/>
      <c r="C39210" s="8"/>
      <c r="D39210" s="8"/>
    </row>
    <row r="39211" spans="1:4" ht="15.75" customHeight="1">
      <c r="A39211" s="8"/>
      <c r="B39211" s="12"/>
      <c r="C39211" s="8"/>
      <c r="D39211" s="8"/>
    </row>
    <row r="39212" spans="1:4" ht="15.75" customHeight="1">
      <c r="A39212" s="8"/>
      <c r="B39212" s="12"/>
      <c r="C39212" s="8"/>
      <c r="D39212" s="8"/>
    </row>
    <row r="39213" spans="1:4" ht="15.75" customHeight="1">
      <c r="A39213" s="8"/>
      <c r="B39213" s="12"/>
      <c r="C39213" s="8"/>
      <c r="D39213" s="8"/>
    </row>
    <row r="39214" spans="1:4" ht="15.75" customHeight="1">
      <c r="A39214" s="8"/>
      <c r="B39214" s="12"/>
      <c r="C39214" s="8"/>
      <c r="D39214" s="8"/>
    </row>
    <row r="39215" spans="1:4" ht="15.75" customHeight="1">
      <c r="A39215" s="8"/>
      <c r="B39215" s="12"/>
      <c r="C39215" s="8"/>
      <c r="D39215" s="8"/>
    </row>
    <row r="39216" spans="1:4" ht="15.75" customHeight="1">
      <c r="A39216" s="8"/>
      <c r="B39216" s="12"/>
      <c r="C39216" s="8"/>
      <c r="D39216" s="8"/>
    </row>
    <row r="39217" spans="1:4" ht="15.75" customHeight="1">
      <c r="A39217" s="8"/>
      <c r="B39217" s="12"/>
      <c r="C39217" s="8"/>
      <c r="D39217" s="8"/>
    </row>
    <row r="39218" spans="1:4" ht="15.75" customHeight="1">
      <c r="A39218" s="8"/>
      <c r="B39218" s="12"/>
      <c r="C39218" s="8"/>
      <c r="D39218" s="8"/>
    </row>
    <row r="39219" spans="1:4" ht="15.75" customHeight="1">
      <c r="A39219" s="8"/>
      <c r="B39219" s="12"/>
      <c r="C39219" s="8"/>
      <c r="D39219" s="8"/>
    </row>
    <row r="39220" spans="1:4" ht="15.75" customHeight="1">
      <c r="A39220" s="8"/>
      <c r="B39220" s="12"/>
      <c r="C39220" s="8"/>
      <c r="D39220" s="8"/>
    </row>
    <row r="39221" spans="1:4" ht="15.75" customHeight="1">
      <c r="A39221" s="8"/>
      <c r="B39221" s="12"/>
      <c r="C39221" s="8"/>
      <c r="D39221" s="8"/>
    </row>
    <row r="39222" spans="1:4" ht="15.75" customHeight="1">
      <c r="A39222" s="8"/>
      <c r="B39222" s="12"/>
      <c r="C39222" s="8"/>
      <c r="D39222" s="8"/>
    </row>
    <row r="39223" spans="1:4" ht="15.75" customHeight="1">
      <c r="A39223" s="8"/>
      <c r="B39223" s="12"/>
      <c r="C39223" s="8"/>
      <c r="D39223" s="8"/>
    </row>
    <row r="39224" spans="1:4" ht="15.75" customHeight="1">
      <c r="A39224" s="8"/>
      <c r="B39224" s="12"/>
      <c r="C39224" s="8"/>
      <c r="D39224" s="8"/>
    </row>
    <row r="39225" spans="1:4" ht="15.75" customHeight="1">
      <c r="A39225" s="8"/>
      <c r="B39225" s="12"/>
      <c r="C39225" s="8"/>
      <c r="D39225" s="8"/>
    </row>
    <row r="39226" spans="1:4" ht="15.75" customHeight="1">
      <c r="A39226" s="8"/>
      <c r="B39226" s="12"/>
      <c r="C39226" s="8"/>
      <c r="D39226" s="8"/>
    </row>
    <row r="39227" spans="1:4" ht="15.75" customHeight="1">
      <c r="A39227" s="8"/>
      <c r="B39227" s="12"/>
      <c r="C39227" s="8"/>
      <c r="D39227" s="8"/>
    </row>
    <row r="39228" spans="1:4" ht="15.75" customHeight="1">
      <c r="A39228" s="8"/>
      <c r="B39228" s="12"/>
      <c r="C39228" s="8"/>
      <c r="D39228" s="8"/>
    </row>
    <row r="39229" spans="1:4" ht="15.75" customHeight="1">
      <c r="A39229" s="8"/>
      <c r="B39229" s="12"/>
      <c r="C39229" s="8"/>
      <c r="D39229" s="8"/>
    </row>
    <row r="39230" spans="1:4" ht="15.75" customHeight="1">
      <c r="A39230" s="8"/>
      <c r="B39230" s="12"/>
      <c r="C39230" s="8"/>
      <c r="D39230" s="8"/>
    </row>
    <row r="39231" spans="1:4" ht="15.75" customHeight="1">
      <c r="A39231" s="8"/>
      <c r="B39231" s="12"/>
      <c r="C39231" s="8"/>
      <c r="D39231" s="8"/>
    </row>
    <row r="39232" spans="1:4" ht="15.75" customHeight="1">
      <c r="A39232" s="8"/>
      <c r="B39232" s="12"/>
      <c r="C39232" s="8"/>
      <c r="D39232" s="8"/>
    </row>
    <row r="39233" spans="1:4" ht="15.75" customHeight="1">
      <c r="A39233" s="8"/>
      <c r="B39233" s="12"/>
      <c r="C39233" s="8"/>
      <c r="D39233" s="8"/>
    </row>
    <row r="39234" spans="1:4" ht="15.75" customHeight="1">
      <c r="A39234" s="8"/>
      <c r="B39234" s="12"/>
      <c r="C39234" s="8"/>
      <c r="D39234" s="8"/>
    </row>
    <row r="39235" spans="1:4" ht="15.75" customHeight="1">
      <c r="A39235" s="8"/>
      <c r="B39235" s="12"/>
      <c r="C39235" s="8"/>
      <c r="D39235" s="8"/>
    </row>
    <row r="39236" spans="1:4" ht="15.75" customHeight="1">
      <c r="A39236" s="8"/>
      <c r="B39236" s="12"/>
      <c r="C39236" s="8"/>
      <c r="D39236" s="8"/>
    </row>
    <row r="39237" spans="1:4" ht="15.75" customHeight="1">
      <c r="A39237" s="8"/>
      <c r="B39237" s="12"/>
      <c r="C39237" s="8"/>
      <c r="D39237" s="8"/>
    </row>
    <row r="39238" spans="1:4" ht="15.75" customHeight="1">
      <c r="A39238" s="8"/>
      <c r="B39238" s="12"/>
      <c r="C39238" s="8"/>
      <c r="D39238" s="8"/>
    </row>
    <row r="39239" spans="1:4" ht="15.75" customHeight="1">
      <c r="A39239" s="8"/>
      <c r="B39239" s="12"/>
      <c r="C39239" s="8"/>
      <c r="D39239" s="8"/>
    </row>
    <row r="39240" spans="1:4" ht="15.75" customHeight="1">
      <c r="A39240" s="8"/>
      <c r="B39240" s="12"/>
      <c r="C39240" s="8"/>
      <c r="D39240" s="8"/>
    </row>
    <row r="39241" spans="1:4" ht="15.75" customHeight="1">
      <c r="A39241" s="8"/>
      <c r="B39241" s="12"/>
      <c r="C39241" s="8"/>
      <c r="D39241" s="8"/>
    </row>
    <row r="39242" spans="1:4" ht="15.75" customHeight="1">
      <c r="A39242" s="8"/>
      <c r="B39242" s="12"/>
      <c r="C39242" s="8"/>
      <c r="D39242" s="8"/>
    </row>
    <row r="39243" spans="1:4" ht="15.75" customHeight="1">
      <c r="A39243" s="8"/>
      <c r="B39243" s="12"/>
      <c r="C39243" s="8"/>
      <c r="D39243" s="8"/>
    </row>
    <row r="39244" spans="1:4" ht="15.75" customHeight="1">
      <c r="A39244" s="8"/>
      <c r="B39244" s="12"/>
      <c r="C39244" s="8"/>
      <c r="D39244" s="8"/>
    </row>
    <row r="39245" spans="1:4" ht="15.75" customHeight="1">
      <c r="A39245" s="8"/>
      <c r="B39245" s="12"/>
      <c r="C39245" s="8"/>
      <c r="D39245" s="8"/>
    </row>
    <row r="39246" spans="1:4" ht="15.75" customHeight="1">
      <c r="A39246" s="8"/>
      <c r="B39246" s="12"/>
      <c r="C39246" s="8"/>
      <c r="D39246" s="8"/>
    </row>
    <row r="39247" spans="1:4" ht="15.75" customHeight="1">
      <c r="A39247" s="8"/>
      <c r="B39247" s="12"/>
      <c r="C39247" s="8"/>
      <c r="D39247" s="8"/>
    </row>
    <row r="39248" spans="1:4" ht="15.75" customHeight="1">
      <c r="A39248" s="8"/>
      <c r="B39248" s="12"/>
      <c r="C39248" s="8"/>
      <c r="D39248" s="8"/>
    </row>
    <row r="39249" spans="1:4" ht="15.75" customHeight="1">
      <c r="A39249" s="8"/>
      <c r="B39249" s="12"/>
      <c r="C39249" s="8"/>
      <c r="D39249" s="8"/>
    </row>
    <row r="39250" spans="1:4" ht="15.75" customHeight="1">
      <c r="A39250" s="8"/>
      <c r="B39250" s="12"/>
      <c r="C39250" s="8"/>
      <c r="D39250" s="8"/>
    </row>
    <row r="39251" spans="1:4" ht="15.75" customHeight="1">
      <c r="A39251" s="8"/>
      <c r="B39251" s="12"/>
      <c r="C39251" s="8"/>
      <c r="D39251" s="8"/>
    </row>
    <row r="39252" spans="1:4" ht="15.75" customHeight="1">
      <c r="A39252" s="8"/>
      <c r="B39252" s="12"/>
      <c r="C39252" s="8"/>
      <c r="D39252" s="8"/>
    </row>
    <row r="39253" spans="1:4" ht="15.75" customHeight="1">
      <c r="A39253" s="8"/>
      <c r="B39253" s="12"/>
      <c r="C39253" s="8"/>
      <c r="D39253" s="8"/>
    </row>
    <row r="39254" spans="1:4" ht="15.75" customHeight="1">
      <c r="A39254" s="8"/>
      <c r="B39254" s="12"/>
      <c r="C39254" s="8"/>
      <c r="D39254" s="8"/>
    </row>
    <row r="39255" spans="1:4" ht="15.75" customHeight="1">
      <c r="A39255" s="8"/>
      <c r="B39255" s="12"/>
      <c r="C39255" s="8"/>
      <c r="D39255" s="8"/>
    </row>
    <row r="39256" spans="1:4" ht="15.75" customHeight="1">
      <c r="A39256" s="8"/>
      <c r="B39256" s="12"/>
      <c r="C39256" s="8"/>
      <c r="D39256" s="8"/>
    </row>
    <row r="39257" spans="1:4" ht="15.75" customHeight="1">
      <c r="A39257" s="8"/>
      <c r="B39257" s="12"/>
      <c r="C39257" s="8"/>
      <c r="D39257" s="8"/>
    </row>
    <row r="39258" spans="1:4" ht="15.75" customHeight="1">
      <c r="A39258" s="8"/>
      <c r="B39258" s="12"/>
      <c r="C39258" s="8"/>
      <c r="D39258" s="8"/>
    </row>
    <row r="39259" spans="1:4" ht="15.75" customHeight="1">
      <c r="A39259" s="8"/>
      <c r="B39259" s="12"/>
      <c r="C39259" s="8"/>
      <c r="D39259" s="8"/>
    </row>
    <row r="39260" spans="1:4" ht="15.75" customHeight="1">
      <c r="A39260" s="8"/>
      <c r="B39260" s="12"/>
      <c r="C39260" s="8"/>
      <c r="D39260" s="8"/>
    </row>
    <row r="39261" spans="1:4" ht="15.75" customHeight="1">
      <c r="A39261" s="8"/>
      <c r="B39261" s="12"/>
      <c r="C39261" s="8"/>
      <c r="D39261" s="8"/>
    </row>
    <row r="39262" spans="1:4" ht="15.75" customHeight="1">
      <c r="A39262" s="8"/>
      <c r="B39262" s="12"/>
      <c r="C39262" s="8"/>
      <c r="D39262" s="8"/>
    </row>
    <row r="39263" spans="1:4" ht="15.75" customHeight="1">
      <c r="A39263" s="8"/>
      <c r="B39263" s="12"/>
      <c r="C39263" s="8"/>
      <c r="D39263" s="8"/>
    </row>
    <row r="39264" spans="1:4" ht="15.75" customHeight="1">
      <c r="A39264" s="8"/>
      <c r="B39264" s="12"/>
      <c r="C39264" s="8"/>
      <c r="D39264" s="8"/>
    </row>
    <row r="39265" spans="1:4" ht="15.75" customHeight="1">
      <c r="A39265" s="8"/>
      <c r="B39265" s="12"/>
      <c r="C39265" s="8"/>
      <c r="D39265" s="8"/>
    </row>
    <row r="39266" spans="1:4" ht="15.75" customHeight="1">
      <c r="A39266" s="8"/>
      <c r="B39266" s="12"/>
      <c r="C39266" s="8"/>
      <c r="D39266" s="8"/>
    </row>
    <row r="39267" spans="1:4" ht="15.75" customHeight="1">
      <c r="A39267" s="8"/>
      <c r="B39267" s="12"/>
      <c r="C39267" s="8"/>
      <c r="D39267" s="8"/>
    </row>
    <row r="39268" spans="1:4" ht="15.75" customHeight="1">
      <c r="A39268" s="8"/>
      <c r="B39268" s="12"/>
      <c r="C39268" s="8"/>
      <c r="D39268" s="8"/>
    </row>
    <row r="39269" spans="1:4" ht="15.75" customHeight="1">
      <c r="A39269" s="8"/>
      <c r="B39269" s="12"/>
      <c r="C39269" s="8"/>
      <c r="D39269" s="8"/>
    </row>
    <row r="39270" spans="1:4" ht="15.75" customHeight="1">
      <c r="A39270" s="8"/>
      <c r="B39270" s="12"/>
      <c r="C39270" s="8"/>
      <c r="D39270" s="8"/>
    </row>
    <row r="39271" spans="1:4" ht="15.75" customHeight="1">
      <c r="A39271" s="8"/>
      <c r="B39271" s="12"/>
      <c r="C39271" s="8"/>
      <c r="D39271" s="8"/>
    </row>
    <row r="39272" spans="1:4" ht="15.75" customHeight="1">
      <c r="A39272" s="8"/>
      <c r="B39272" s="12"/>
      <c r="C39272" s="8"/>
      <c r="D39272" s="8"/>
    </row>
    <row r="39273" spans="1:4" ht="15.75" customHeight="1">
      <c r="A39273" s="8"/>
      <c r="B39273" s="12"/>
      <c r="C39273" s="8"/>
      <c r="D39273" s="8"/>
    </row>
    <row r="39274" spans="1:4" ht="15.75" customHeight="1">
      <c r="A39274" s="8"/>
      <c r="B39274" s="12"/>
      <c r="C39274" s="8"/>
      <c r="D39274" s="8"/>
    </row>
    <row r="39275" spans="1:4" ht="15.75" customHeight="1">
      <c r="A39275" s="8"/>
      <c r="B39275" s="12"/>
      <c r="C39275" s="8"/>
      <c r="D39275" s="8"/>
    </row>
    <row r="39276" spans="1:4" ht="15.75" customHeight="1">
      <c r="A39276" s="8"/>
      <c r="B39276" s="12"/>
      <c r="C39276" s="8"/>
      <c r="D39276" s="8"/>
    </row>
    <row r="39277" spans="1:4" ht="15.75" customHeight="1">
      <c r="A39277" s="8"/>
      <c r="B39277" s="12"/>
      <c r="C39277" s="8"/>
      <c r="D39277" s="8"/>
    </row>
    <row r="39278" spans="1:4" ht="15.75" customHeight="1">
      <c r="A39278" s="8"/>
      <c r="B39278" s="12"/>
      <c r="C39278" s="8"/>
      <c r="D39278" s="8"/>
    </row>
    <row r="39279" spans="1:4" ht="15.75" customHeight="1">
      <c r="A39279" s="8"/>
      <c r="B39279" s="12"/>
      <c r="C39279" s="8"/>
      <c r="D39279" s="8"/>
    </row>
    <row r="39280" spans="1:4" ht="15.75" customHeight="1">
      <c r="A39280" s="8"/>
      <c r="B39280" s="12"/>
      <c r="C39280" s="8"/>
      <c r="D39280" s="8"/>
    </row>
    <row r="39281" spans="1:4" ht="15.75" customHeight="1">
      <c r="A39281" s="8"/>
      <c r="B39281" s="12"/>
      <c r="C39281" s="8"/>
      <c r="D39281" s="8"/>
    </row>
    <row r="39282" spans="1:4" ht="15.75" customHeight="1">
      <c r="A39282" s="8"/>
      <c r="B39282" s="12"/>
      <c r="C39282" s="8"/>
      <c r="D39282" s="8"/>
    </row>
    <row r="39283" spans="1:4" ht="15.75" customHeight="1">
      <c r="A39283" s="8"/>
      <c r="B39283" s="12"/>
      <c r="C39283" s="8"/>
      <c r="D39283" s="8"/>
    </row>
    <row r="39284" spans="1:4" ht="15.75" customHeight="1">
      <c r="A39284" s="8"/>
      <c r="B39284" s="12"/>
      <c r="C39284" s="8"/>
      <c r="D39284" s="8"/>
    </row>
    <row r="39285" spans="1:4" ht="15.75" customHeight="1">
      <c r="A39285" s="8"/>
      <c r="B39285" s="12"/>
      <c r="C39285" s="8"/>
      <c r="D39285" s="8"/>
    </row>
    <row r="39286" spans="1:4" ht="15.75" customHeight="1">
      <c r="A39286" s="8"/>
      <c r="B39286" s="12"/>
      <c r="C39286" s="8"/>
      <c r="D39286" s="8"/>
    </row>
    <row r="39287" spans="1:4" ht="15.75" customHeight="1">
      <c r="A39287" s="8"/>
      <c r="B39287" s="12"/>
      <c r="C39287" s="8"/>
      <c r="D39287" s="8"/>
    </row>
    <row r="39288" spans="1:4" ht="15.75" customHeight="1">
      <c r="A39288" s="8"/>
      <c r="B39288" s="12"/>
      <c r="C39288" s="8"/>
      <c r="D39288" s="8"/>
    </row>
    <row r="39289" spans="1:4" ht="15.75" customHeight="1">
      <c r="A39289" s="8"/>
      <c r="B39289" s="12"/>
      <c r="C39289" s="8"/>
      <c r="D39289" s="8"/>
    </row>
    <row r="39290" spans="1:4" ht="15.75" customHeight="1">
      <c r="A39290" s="8"/>
      <c r="B39290" s="12"/>
      <c r="C39290" s="8"/>
      <c r="D39290" s="8"/>
    </row>
    <row r="39291" spans="1:4" ht="15.75" customHeight="1">
      <c r="A39291" s="8"/>
      <c r="B39291" s="12"/>
      <c r="C39291" s="8"/>
      <c r="D39291" s="8"/>
    </row>
    <row r="39292" spans="1:4" ht="15.75" customHeight="1">
      <c r="A39292" s="8"/>
      <c r="B39292" s="12"/>
      <c r="C39292" s="8"/>
      <c r="D39292" s="8"/>
    </row>
    <row r="39293" spans="1:4" ht="15.75" customHeight="1">
      <c r="A39293" s="8"/>
      <c r="B39293" s="12"/>
      <c r="C39293" s="8"/>
      <c r="D39293" s="8"/>
    </row>
    <row r="39294" spans="1:4" ht="15.75" customHeight="1">
      <c r="A39294" s="8"/>
      <c r="B39294" s="12"/>
      <c r="C39294" s="8"/>
      <c r="D39294" s="8"/>
    </row>
    <row r="39295" spans="1:4" ht="15.75" customHeight="1">
      <c r="A39295" s="8"/>
      <c r="B39295" s="12"/>
      <c r="C39295" s="8"/>
      <c r="D39295" s="8"/>
    </row>
    <row r="39296" spans="1:4" ht="15.75" customHeight="1">
      <c r="A39296" s="8"/>
      <c r="B39296" s="12"/>
      <c r="C39296" s="8"/>
      <c r="D39296" s="8"/>
    </row>
    <row r="39297" spans="1:4" ht="15.75" customHeight="1">
      <c r="A39297" s="8"/>
      <c r="B39297" s="12"/>
      <c r="C39297" s="8"/>
      <c r="D39297" s="8"/>
    </row>
    <row r="39298" spans="1:4" ht="15.75" customHeight="1">
      <c r="A39298" s="8"/>
      <c r="B39298" s="12"/>
      <c r="C39298" s="8"/>
      <c r="D39298" s="8"/>
    </row>
    <row r="39299" spans="1:4" ht="15.75" customHeight="1">
      <c r="A39299" s="8"/>
      <c r="B39299" s="12"/>
      <c r="C39299" s="8"/>
      <c r="D39299" s="8"/>
    </row>
    <row r="39300" spans="1:4" ht="15.75" customHeight="1">
      <c r="A39300" s="8"/>
      <c r="B39300" s="12"/>
      <c r="C39300" s="8"/>
      <c r="D39300" s="8"/>
    </row>
    <row r="39301" spans="1:4" ht="15.75" customHeight="1">
      <c r="A39301" s="8"/>
      <c r="B39301" s="12"/>
      <c r="C39301" s="8"/>
      <c r="D39301" s="8"/>
    </row>
    <row r="39302" spans="1:4" ht="15.75" customHeight="1">
      <c r="A39302" s="8"/>
      <c r="B39302" s="12"/>
      <c r="C39302" s="8"/>
      <c r="D39302" s="8"/>
    </row>
    <row r="39303" spans="1:4" ht="15.75" customHeight="1">
      <c r="A39303" s="8"/>
      <c r="B39303" s="12"/>
      <c r="C39303" s="8"/>
      <c r="D39303" s="8"/>
    </row>
    <row r="39304" spans="1:4" ht="15.75" customHeight="1">
      <c r="A39304" s="8"/>
      <c r="B39304" s="12"/>
      <c r="C39304" s="8"/>
      <c r="D39304" s="8"/>
    </row>
    <row r="39305" spans="1:4" ht="15.75" customHeight="1">
      <c r="A39305" s="8"/>
      <c r="B39305" s="12"/>
      <c r="C39305" s="8"/>
      <c r="D39305" s="8"/>
    </row>
    <row r="39306" spans="1:4" ht="15.75" customHeight="1">
      <c r="A39306" s="8"/>
      <c r="B39306" s="12"/>
      <c r="C39306" s="8"/>
      <c r="D39306" s="8"/>
    </row>
    <row r="39307" spans="1:4" ht="15.75" customHeight="1">
      <c r="A39307" s="8"/>
      <c r="B39307" s="12"/>
      <c r="C39307" s="8"/>
      <c r="D39307" s="8"/>
    </row>
    <row r="39308" spans="1:4" ht="15.75" customHeight="1">
      <c r="A39308" s="8"/>
      <c r="B39308" s="12"/>
      <c r="C39308" s="8"/>
      <c r="D39308" s="8"/>
    </row>
    <row r="39309" spans="1:4" ht="15.75" customHeight="1">
      <c r="A39309" s="8"/>
      <c r="B39309" s="12"/>
      <c r="C39309" s="8"/>
      <c r="D39309" s="8"/>
    </row>
    <row r="39310" spans="1:4" ht="15.75" customHeight="1">
      <c r="A39310" s="8"/>
      <c r="B39310" s="12"/>
      <c r="C39310" s="8"/>
      <c r="D39310" s="8"/>
    </row>
    <row r="39311" spans="1:4" ht="15.75" customHeight="1">
      <c r="A39311" s="8"/>
      <c r="B39311" s="12"/>
      <c r="C39311" s="8"/>
      <c r="D39311" s="8"/>
    </row>
    <row r="39312" spans="1:4" ht="15.75" customHeight="1">
      <c r="A39312" s="8"/>
      <c r="B39312" s="12"/>
      <c r="C39312" s="8"/>
      <c r="D39312" s="8"/>
    </row>
    <row r="39313" spans="1:4" ht="15.75" customHeight="1">
      <c r="A39313" s="8"/>
      <c r="B39313" s="12"/>
      <c r="C39313" s="8"/>
      <c r="D39313" s="8"/>
    </row>
    <row r="39314" spans="1:4" ht="15.75" customHeight="1">
      <c r="A39314" s="8"/>
      <c r="B39314" s="12"/>
      <c r="C39314" s="8"/>
      <c r="D39314" s="8"/>
    </row>
    <row r="39315" spans="1:4" ht="15.75" customHeight="1">
      <c r="A39315" s="8"/>
      <c r="B39315" s="12"/>
      <c r="C39315" s="8"/>
      <c r="D39315" s="8"/>
    </row>
    <row r="39316" spans="1:4" ht="15.75" customHeight="1">
      <c r="A39316" s="8"/>
      <c r="B39316" s="12"/>
      <c r="C39316" s="8"/>
      <c r="D39316" s="8"/>
    </row>
    <row r="39317" spans="1:4" ht="15.75" customHeight="1">
      <c r="A39317" s="8"/>
      <c r="B39317" s="12"/>
      <c r="C39317" s="8"/>
      <c r="D39317" s="8"/>
    </row>
    <row r="39318" spans="1:4" ht="15.75" customHeight="1">
      <c r="A39318" s="8"/>
      <c r="B39318" s="12"/>
      <c r="C39318" s="8"/>
      <c r="D39318" s="8"/>
    </row>
    <row r="39319" spans="1:4" ht="15.75" customHeight="1">
      <c r="A39319" s="8"/>
      <c r="B39319" s="12"/>
      <c r="C39319" s="8"/>
      <c r="D39319" s="8"/>
    </row>
    <row r="39320" spans="1:4" ht="15.75" customHeight="1">
      <c r="A39320" s="8"/>
      <c r="B39320" s="12"/>
      <c r="C39320" s="8"/>
      <c r="D39320" s="8"/>
    </row>
    <row r="39321" spans="1:4" ht="15.75" customHeight="1">
      <c r="A39321" s="8"/>
      <c r="B39321" s="12"/>
      <c r="C39321" s="8"/>
      <c r="D39321" s="8"/>
    </row>
    <row r="39322" spans="1:4" ht="15.75" customHeight="1">
      <c r="A39322" s="8"/>
      <c r="B39322" s="12"/>
      <c r="C39322" s="8"/>
      <c r="D39322" s="8"/>
    </row>
    <row r="39323" spans="1:4" ht="15.75" customHeight="1">
      <c r="A39323" s="8"/>
      <c r="B39323" s="12"/>
      <c r="C39323" s="8"/>
      <c r="D39323" s="8"/>
    </row>
    <row r="39324" spans="1:4" ht="15.75" customHeight="1">
      <c r="A39324" s="8"/>
      <c r="B39324" s="12"/>
      <c r="C39324" s="8"/>
      <c r="D39324" s="8"/>
    </row>
    <row r="39325" spans="1:4" ht="15.75" customHeight="1">
      <c r="A39325" s="8"/>
      <c r="B39325" s="12"/>
      <c r="C39325" s="8"/>
      <c r="D39325" s="8"/>
    </row>
    <row r="39326" spans="1:4" ht="15.75" customHeight="1">
      <c r="A39326" s="8"/>
      <c r="B39326" s="12"/>
      <c r="C39326" s="8"/>
      <c r="D39326" s="8"/>
    </row>
    <row r="39327" spans="1:4" ht="15.75" customHeight="1">
      <c r="A39327" s="8"/>
      <c r="B39327" s="12"/>
      <c r="C39327" s="8"/>
      <c r="D39327" s="8"/>
    </row>
    <row r="39328" spans="1:4" ht="15.75" customHeight="1">
      <c r="A39328" s="8"/>
      <c r="B39328" s="12"/>
      <c r="C39328" s="8"/>
      <c r="D39328" s="8"/>
    </row>
    <row r="39329" spans="1:4" ht="15.75" customHeight="1">
      <c r="A39329" s="8"/>
      <c r="B39329" s="12"/>
      <c r="C39329" s="8"/>
      <c r="D39329" s="8"/>
    </row>
    <row r="39330" spans="1:4" ht="15.75" customHeight="1">
      <c r="A39330" s="8"/>
      <c r="B39330" s="12"/>
      <c r="C39330" s="8"/>
      <c r="D39330" s="8"/>
    </row>
    <row r="39331" spans="1:4" ht="15.75" customHeight="1">
      <c r="A39331" s="8"/>
      <c r="B39331" s="12"/>
      <c r="C39331" s="8"/>
      <c r="D39331" s="8"/>
    </row>
    <row r="39332" spans="1:4" ht="15.75" customHeight="1">
      <c r="A39332" s="8"/>
      <c r="B39332" s="12"/>
      <c r="C39332" s="8"/>
      <c r="D39332" s="8"/>
    </row>
    <row r="39333" spans="1:4" ht="15.75" customHeight="1">
      <c r="A39333" s="8"/>
      <c r="B39333" s="12"/>
      <c r="C39333" s="8"/>
      <c r="D39333" s="8"/>
    </row>
    <row r="39334" spans="1:4" ht="15.75" customHeight="1">
      <c r="A39334" s="8"/>
      <c r="B39334" s="12"/>
      <c r="C39334" s="8"/>
      <c r="D39334" s="8"/>
    </row>
    <row r="39335" spans="1:4" ht="15.75" customHeight="1">
      <c r="A39335" s="8"/>
      <c r="B39335" s="12"/>
      <c r="C39335" s="8"/>
      <c r="D39335" s="8"/>
    </row>
    <row r="39336" spans="1:4" ht="15.75" customHeight="1">
      <c r="A39336" s="8"/>
      <c r="B39336" s="12"/>
      <c r="C39336" s="8"/>
      <c r="D39336" s="8"/>
    </row>
    <row r="39337" spans="1:4" ht="15.75" customHeight="1">
      <c r="A39337" s="8"/>
      <c r="B39337" s="12"/>
      <c r="C39337" s="8"/>
      <c r="D39337" s="8"/>
    </row>
    <row r="39338" spans="1:4" ht="15.75" customHeight="1">
      <c r="A39338" s="8"/>
      <c r="B39338" s="12"/>
      <c r="C39338" s="8"/>
      <c r="D39338" s="8"/>
    </row>
    <row r="39339" spans="1:4" ht="15.75" customHeight="1">
      <c r="A39339" s="8"/>
      <c r="B39339" s="12"/>
      <c r="C39339" s="8"/>
      <c r="D39339" s="8"/>
    </row>
    <row r="39340" spans="1:4" ht="15.75" customHeight="1">
      <c r="A39340" s="8"/>
      <c r="B39340" s="12"/>
      <c r="C39340" s="8"/>
      <c r="D39340" s="8"/>
    </row>
    <row r="39341" spans="1:4" ht="15.75" customHeight="1">
      <c r="A39341" s="8"/>
      <c r="B39341" s="12"/>
      <c r="C39341" s="8"/>
      <c r="D39341" s="8"/>
    </row>
    <row r="39342" spans="1:4" ht="15.75" customHeight="1">
      <c r="A39342" s="8"/>
      <c r="B39342" s="12"/>
      <c r="C39342" s="8"/>
      <c r="D39342" s="8"/>
    </row>
    <row r="39343" spans="1:4" ht="15.75" customHeight="1">
      <c r="A39343" s="8"/>
      <c r="B39343" s="12"/>
      <c r="C39343" s="8"/>
      <c r="D39343" s="8"/>
    </row>
    <row r="39344" spans="1:4" ht="15.75" customHeight="1">
      <c r="A39344" s="8"/>
      <c r="B39344" s="12"/>
      <c r="C39344" s="8"/>
      <c r="D39344" s="8"/>
    </row>
    <row r="39345" spans="1:4" ht="15.75" customHeight="1">
      <c r="A39345" s="8"/>
      <c r="B39345" s="12"/>
      <c r="C39345" s="8"/>
      <c r="D39345" s="8"/>
    </row>
    <row r="39346" spans="1:4" ht="15.75" customHeight="1">
      <c r="A39346" s="8"/>
      <c r="B39346" s="12"/>
      <c r="C39346" s="8"/>
      <c r="D39346" s="8"/>
    </row>
    <row r="39347" spans="1:4" ht="15.75" customHeight="1">
      <c r="A39347" s="8"/>
      <c r="B39347" s="12"/>
      <c r="C39347" s="8"/>
      <c r="D39347" s="8"/>
    </row>
    <row r="39348" spans="1:4" ht="15.75" customHeight="1">
      <c r="A39348" s="8"/>
      <c r="B39348" s="12"/>
      <c r="C39348" s="8"/>
      <c r="D39348" s="8"/>
    </row>
    <row r="39349" spans="1:4" ht="15.75" customHeight="1">
      <c r="A39349" s="8"/>
      <c r="B39349" s="12"/>
      <c r="C39349" s="8"/>
      <c r="D39349" s="8"/>
    </row>
    <row r="39350" spans="1:4" ht="15.75" customHeight="1">
      <c r="A39350" s="8"/>
      <c r="B39350" s="12"/>
      <c r="C39350" s="8"/>
      <c r="D39350" s="8"/>
    </row>
    <row r="39351" spans="1:4" ht="15.75" customHeight="1">
      <c r="A39351" s="8"/>
      <c r="B39351" s="12"/>
      <c r="C39351" s="8"/>
      <c r="D39351" s="8"/>
    </row>
    <row r="39352" spans="1:4" ht="15.75" customHeight="1">
      <c r="A39352" s="8"/>
      <c r="B39352" s="12"/>
      <c r="C39352" s="8"/>
      <c r="D39352" s="8"/>
    </row>
    <row r="39353" spans="1:4" ht="15.75" customHeight="1">
      <c r="A39353" s="8"/>
      <c r="B39353" s="12"/>
      <c r="C39353" s="8"/>
      <c r="D39353" s="8"/>
    </row>
    <row r="39354" spans="1:4" ht="15.75" customHeight="1">
      <c r="A39354" s="8"/>
      <c r="B39354" s="12"/>
      <c r="C39354" s="8"/>
      <c r="D39354" s="8"/>
    </row>
    <row r="39355" spans="1:4" ht="15.75" customHeight="1">
      <c r="A39355" s="8"/>
      <c r="B39355" s="12"/>
      <c r="C39355" s="8"/>
      <c r="D39355" s="8"/>
    </row>
    <row r="39356" spans="1:4" ht="15.75" customHeight="1">
      <c r="A39356" s="8"/>
      <c r="B39356" s="12"/>
      <c r="C39356" s="8"/>
      <c r="D39356" s="8"/>
    </row>
    <row r="39357" spans="1:4" ht="15.75" customHeight="1">
      <c r="A39357" s="8"/>
      <c r="B39357" s="12"/>
      <c r="C39357" s="8"/>
      <c r="D39357" s="8"/>
    </row>
    <row r="39358" spans="1:4" ht="15.75" customHeight="1">
      <c r="A39358" s="8"/>
      <c r="B39358" s="12"/>
      <c r="C39358" s="8"/>
      <c r="D39358" s="8"/>
    </row>
    <row r="39359" spans="1:4" ht="15.75" customHeight="1">
      <c r="A39359" s="8"/>
      <c r="B39359" s="12"/>
      <c r="C39359" s="8"/>
      <c r="D39359" s="8"/>
    </row>
    <row r="39360" spans="1:4" ht="15.75" customHeight="1">
      <c r="A39360" s="8"/>
      <c r="B39360" s="12"/>
      <c r="C39360" s="8"/>
      <c r="D39360" s="8"/>
    </row>
    <row r="39361" spans="1:4" ht="15.75" customHeight="1">
      <c r="A39361" s="8"/>
      <c r="B39361" s="12"/>
      <c r="C39361" s="8"/>
      <c r="D39361" s="8"/>
    </row>
    <row r="39362" spans="1:4" ht="15.75" customHeight="1">
      <c r="A39362" s="8"/>
      <c r="B39362" s="12"/>
      <c r="C39362" s="8"/>
      <c r="D39362" s="8"/>
    </row>
    <row r="39363" spans="1:4" ht="15.75" customHeight="1">
      <c r="A39363" s="8"/>
      <c r="B39363" s="12"/>
      <c r="C39363" s="8"/>
      <c r="D39363" s="8"/>
    </row>
    <row r="39364" spans="1:4" ht="15.75" customHeight="1">
      <c r="A39364" s="8"/>
      <c r="B39364" s="12"/>
      <c r="C39364" s="8"/>
      <c r="D39364" s="8"/>
    </row>
    <row r="39365" spans="1:4" ht="15.75" customHeight="1">
      <c r="A39365" s="8"/>
      <c r="B39365" s="12"/>
      <c r="C39365" s="8"/>
      <c r="D39365" s="8"/>
    </row>
    <row r="39366" spans="1:4" ht="15.75" customHeight="1">
      <c r="A39366" s="8"/>
      <c r="B39366" s="12"/>
      <c r="C39366" s="8"/>
      <c r="D39366" s="8"/>
    </row>
    <row r="39367" spans="1:4" ht="15.75" customHeight="1">
      <c r="A39367" s="8"/>
      <c r="B39367" s="12"/>
      <c r="C39367" s="8"/>
      <c r="D39367" s="8"/>
    </row>
    <row r="39368" spans="1:4" ht="15.75" customHeight="1">
      <c r="A39368" s="8"/>
      <c r="B39368" s="12"/>
      <c r="C39368" s="8"/>
      <c r="D39368" s="8"/>
    </row>
    <row r="39369" spans="1:4" ht="15.75" customHeight="1">
      <c r="A39369" s="8"/>
      <c r="B39369" s="12"/>
      <c r="C39369" s="8"/>
      <c r="D39369" s="8"/>
    </row>
    <row r="39370" spans="1:4" ht="15.75" customHeight="1">
      <c r="A39370" s="8"/>
      <c r="B39370" s="12"/>
      <c r="C39370" s="8"/>
      <c r="D39370" s="8"/>
    </row>
    <row r="39371" spans="1:4" ht="15.75" customHeight="1">
      <c r="A39371" s="8"/>
      <c r="B39371" s="12"/>
      <c r="C39371" s="8"/>
      <c r="D39371" s="8"/>
    </row>
    <row r="39372" spans="1:4" ht="15.75" customHeight="1">
      <c r="A39372" s="8"/>
      <c r="B39372" s="12"/>
      <c r="C39372" s="8"/>
      <c r="D39372" s="8"/>
    </row>
    <row r="39373" spans="1:4" ht="15.75" customHeight="1">
      <c r="A39373" s="8"/>
      <c r="B39373" s="12"/>
      <c r="C39373" s="8"/>
      <c r="D39373" s="8"/>
    </row>
    <row r="39374" spans="1:4" ht="15.75" customHeight="1">
      <c r="A39374" s="8"/>
      <c r="B39374" s="12"/>
      <c r="C39374" s="8"/>
      <c r="D39374" s="8"/>
    </row>
    <row r="39375" spans="1:4" ht="15.75" customHeight="1">
      <c r="A39375" s="8"/>
      <c r="B39375" s="12"/>
      <c r="C39375" s="8"/>
      <c r="D39375" s="8"/>
    </row>
    <row r="39376" spans="1:4" ht="15.75" customHeight="1">
      <c r="A39376" s="8"/>
      <c r="B39376" s="12"/>
      <c r="C39376" s="8"/>
      <c r="D39376" s="8"/>
    </row>
    <row r="39377" spans="1:4" ht="15.75" customHeight="1">
      <c r="A39377" s="8"/>
      <c r="B39377" s="12"/>
      <c r="C39377" s="8"/>
      <c r="D39377" s="8"/>
    </row>
    <row r="39378" spans="1:4" ht="15.75" customHeight="1">
      <c r="A39378" s="8"/>
      <c r="B39378" s="12"/>
      <c r="C39378" s="8"/>
      <c r="D39378" s="8"/>
    </row>
    <row r="39379" spans="1:4" ht="15.75" customHeight="1">
      <c r="A39379" s="8"/>
      <c r="B39379" s="12"/>
      <c r="C39379" s="8"/>
      <c r="D39379" s="8"/>
    </row>
    <row r="39380" spans="1:4" ht="15.75" customHeight="1">
      <c r="A39380" s="8"/>
      <c r="B39380" s="12"/>
      <c r="C39380" s="8"/>
      <c r="D39380" s="8"/>
    </row>
    <row r="39381" spans="1:4" ht="15.75" customHeight="1">
      <c r="A39381" s="8"/>
      <c r="B39381" s="12"/>
      <c r="C39381" s="8"/>
      <c r="D39381" s="8"/>
    </row>
    <row r="39382" spans="1:4" ht="15.75" customHeight="1">
      <c r="A39382" s="8"/>
      <c r="B39382" s="12"/>
      <c r="C39382" s="8"/>
      <c r="D39382" s="8"/>
    </row>
    <row r="39383" spans="1:4" ht="15.75" customHeight="1">
      <c r="A39383" s="8"/>
      <c r="B39383" s="12"/>
      <c r="C39383" s="8"/>
      <c r="D39383" s="8"/>
    </row>
    <row r="39384" spans="1:4" ht="15.75" customHeight="1">
      <c r="A39384" s="8"/>
      <c r="B39384" s="12"/>
      <c r="C39384" s="8"/>
      <c r="D39384" s="8"/>
    </row>
    <row r="39385" spans="1:4" ht="15.75" customHeight="1">
      <c r="A39385" s="8"/>
      <c r="B39385" s="12"/>
      <c r="C39385" s="8"/>
      <c r="D39385" s="8"/>
    </row>
    <row r="39386" spans="1:4" ht="15.75" customHeight="1">
      <c r="A39386" s="8"/>
      <c r="B39386" s="12"/>
      <c r="C39386" s="8"/>
      <c r="D39386" s="8"/>
    </row>
    <row r="39387" spans="1:4" ht="15.75" customHeight="1">
      <c r="A39387" s="8"/>
      <c r="B39387" s="12"/>
      <c r="C39387" s="8"/>
      <c r="D39387" s="8"/>
    </row>
    <row r="39388" spans="1:4" ht="15.75" customHeight="1">
      <c r="A39388" s="8"/>
      <c r="B39388" s="12"/>
      <c r="C39388" s="8"/>
      <c r="D39388" s="8"/>
    </row>
    <row r="39389" spans="1:4" ht="15.75" customHeight="1">
      <c r="A39389" s="8"/>
      <c r="B39389" s="12"/>
      <c r="C39389" s="8"/>
      <c r="D39389" s="8"/>
    </row>
    <row r="39390" spans="1:4" ht="15.75" customHeight="1">
      <c r="A39390" s="8"/>
      <c r="B39390" s="12"/>
      <c r="C39390" s="8"/>
      <c r="D39390" s="8"/>
    </row>
    <row r="39391" spans="1:4" ht="15.75" customHeight="1">
      <c r="A39391" s="8"/>
      <c r="B39391" s="12"/>
      <c r="C39391" s="8"/>
      <c r="D39391" s="8"/>
    </row>
    <row r="39392" spans="1:4" ht="15.75" customHeight="1">
      <c r="A39392" s="8"/>
      <c r="B39392" s="12"/>
      <c r="C39392" s="8"/>
      <c r="D39392" s="8"/>
    </row>
    <row r="39393" spans="1:4" ht="15.75" customHeight="1">
      <c r="A39393" s="8"/>
      <c r="B39393" s="12"/>
      <c r="C39393" s="8"/>
      <c r="D39393" s="8"/>
    </row>
    <row r="39394" spans="1:4" ht="15.75" customHeight="1">
      <c r="A39394" s="8"/>
      <c r="B39394" s="12"/>
      <c r="C39394" s="8"/>
      <c r="D39394" s="8"/>
    </row>
    <row r="39395" spans="1:4" ht="15.75" customHeight="1">
      <c r="A39395" s="8"/>
      <c r="B39395" s="12"/>
      <c r="C39395" s="8"/>
      <c r="D39395" s="8"/>
    </row>
    <row r="39396" spans="1:4" ht="15.75" customHeight="1">
      <c r="A39396" s="8"/>
      <c r="B39396" s="12"/>
      <c r="C39396" s="8"/>
      <c r="D39396" s="8"/>
    </row>
    <row r="39397" spans="1:4" ht="15.75" customHeight="1">
      <c r="A39397" s="8"/>
      <c r="B39397" s="12"/>
      <c r="C39397" s="8"/>
      <c r="D39397" s="8"/>
    </row>
    <row r="39398" spans="1:4" ht="15.75" customHeight="1">
      <c r="A39398" s="8"/>
      <c r="B39398" s="12"/>
      <c r="C39398" s="8"/>
      <c r="D39398" s="8"/>
    </row>
    <row r="39399" spans="1:4" ht="15.75" customHeight="1">
      <c r="A39399" s="8"/>
      <c r="B39399" s="12"/>
      <c r="C39399" s="8"/>
      <c r="D39399" s="8"/>
    </row>
    <row r="39400" spans="1:4" ht="15.75" customHeight="1">
      <c r="A39400" s="8"/>
      <c r="B39400" s="12"/>
      <c r="C39400" s="8"/>
      <c r="D39400" s="8"/>
    </row>
    <row r="39401" spans="1:4" ht="15.75" customHeight="1">
      <c r="A39401" s="8"/>
      <c r="B39401" s="12"/>
      <c r="C39401" s="8"/>
      <c r="D39401" s="8"/>
    </row>
    <row r="39402" spans="1:4" ht="15.75" customHeight="1">
      <c r="A39402" s="8"/>
      <c r="B39402" s="12"/>
      <c r="C39402" s="8"/>
      <c r="D39402" s="8"/>
    </row>
    <row r="39403" spans="1:4" ht="15.75" customHeight="1">
      <c r="A39403" s="8"/>
      <c r="B39403" s="12"/>
      <c r="C39403" s="8"/>
      <c r="D39403" s="8"/>
    </row>
    <row r="39404" spans="1:4" ht="15.75" customHeight="1">
      <c r="A39404" s="8"/>
      <c r="B39404" s="12"/>
      <c r="C39404" s="8"/>
      <c r="D39404" s="8"/>
    </row>
    <row r="39405" spans="1:4" ht="15.75" customHeight="1">
      <c r="A39405" s="8"/>
      <c r="B39405" s="12"/>
      <c r="C39405" s="8"/>
      <c r="D39405" s="8"/>
    </row>
    <row r="39406" spans="1:4" ht="15.75" customHeight="1">
      <c r="A39406" s="8"/>
      <c r="B39406" s="12"/>
      <c r="C39406" s="8"/>
      <c r="D39406" s="8"/>
    </row>
    <row r="39407" spans="1:4" ht="15.75" customHeight="1">
      <c r="A39407" s="8"/>
      <c r="B39407" s="12"/>
      <c r="C39407" s="8"/>
      <c r="D39407" s="8"/>
    </row>
    <row r="39408" spans="1:4" ht="15.75" customHeight="1">
      <c r="A39408" s="8"/>
      <c r="B39408" s="12"/>
      <c r="C39408" s="8"/>
      <c r="D39408" s="8"/>
    </row>
    <row r="39409" spans="1:4" ht="15.75" customHeight="1">
      <c r="A39409" s="8"/>
      <c r="B39409" s="12"/>
      <c r="C39409" s="8"/>
      <c r="D39409" s="8"/>
    </row>
    <row r="39410" spans="1:4" ht="15.75" customHeight="1">
      <c r="A39410" s="8"/>
      <c r="B39410" s="12"/>
      <c r="C39410" s="8"/>
      <c r="D39410" s="8"/>
    </row>
    <row r="39411" spans="1:4" ht="15.75" customHeight="1">
      <c r="A39411" s="8"/>
      <c r="B39411" s="12"/>
      <c r="C39411" s="8"/>
      <c r="D39411" s="8"/>
    </row>
    <row r="39412" spans="1:4" ht="15.75" customHeight="1">
      <c r="A39412" s="8"/>
      <c r="B39412" s="12"/>
      <c r="C39412" s="8"/>
      <c r="D39412" s="8"/>
    </row>
    <row r="39413" spans="1:4" ht="15.75" customHeight="1">
      <c r="A39413" s="8"/>
      <c r="B39413" s="12"/>
      <c r="C39413" s="8"/>
      <c r="D39413" s="8"/>
    </row>
    <row r="39414" spans="1:4" ht="15.75" customHeight="1">
      <c r="A39414" s="8"/>
      <c r="B39414" s="12"/>
      <c r="C39414" s="8"/>
      <c r="D39414" s="8"/>
    </row>
    <row r="39415" spans="1:4" ht="15.75" customHeight="1">
      <c r="A39415" s="8"/>
      <c r="B39415" s="12"/>
      <c r="C39415" s="8"/>
      <c r="D39415" s="8"/>
    </row>
    <row r="39416" spans="1:4" ht="15.75" customHeight="1">
      <c r="A39416" s="8"/>
      <c r="B39416" s="12"/>
      <c r="C39416" s="8"/>
      <c r="D39416" s="8"/>
    </row>
    <row r="39417" spans="1:4" ht="15.75" customHeight="1">
      <c r="A39417" s="8"/>
      <c r="B39417" s="12"/>
      <c r="C39417" s="8"/>
      <c r="D39417" s="8"/>
    </row>
    <row r="39418" spans="1:4" ht="15.75" customHeight="1">
      <c r="A39418" s="8"/>
      <c r="B39418" s="12"/>
      <c r="C39418" s="8"/>
      <c r="D39418" s="8"/>
    </row>
    <row r="39419" spans="1:4" ht="15.75" customHeight="1">
      <c r="A39419" s="8"/>
      <c r="B39419" s="12"/>
      <c r="C39419" s="8"/>
      <c r="D39419" s="8"/>
    </row>
    <row r="39420" spans="1:4" ht="15.75" customHeight="1">
      <c r="A39420" s="8"/>
      <c r="B39420" s="12"/>
      <c r="C39420" s="8"/>
      <c r="D39420" s="8"/>
    </row>
    <row r="39421" spans="1:4" ht="15.75" customHeight="1">
      <c r="A39421" s="8"/>
      <c r="B39421" s="12"/>
      <c r="C39421" s="8"/>
      <c r="D39421" s="8"/>
    </row>
    <row r="39422" spans="1:4" ht="15.75" customHeight="1">
      <c r="A39422" s="8"/>
      <c r="B39422" s="12"/>
      <c r="C39422" s="8"/>
      <c r="D39422" s="8"/>
    </row>
    <row r="39423" spans="1:4" ht="15.75" customHeight="1">
      <c r="A39423" s="8"/>
      <c r="B39423" s="12"/>
      <c r="C39423" s="8"/>
      <c r="D39423" s="8"/>
    </row>
    <row r="39424" spans="1:4" ht="15.75" customHeight="1">
      <c r="A39424" s="8"/>
      <c r="B39424" s="12"/>
      <c r="C39424" s="8"/>
      <c r="D39424" s="8"/>
    </row>
    <row r="39425" spans="1:4" ht="15.75" customHeight="1">
      <c r="A39425" s="8"/>
      <c r="B39425" s="12"/>
      <c r="C39425" s="8"/>
      <c r="D39425" s="8"/>
    </row>
    <row r="39426" spans="1:4" ht="15.75" customHeight="1">
      <c r="A39426" s="8"/>
      <c r="B39426" s="12"/>
      <c r="C39426" s="8"/>
      <c r="D39426" s="8"/>
    </row>
    <row r="39427" spans="1:4" ht="15.75" customHeight="1">
      <c r="A39427" s="8"/>
      <c r="B39427" s="12"/>
      <c r="C39427" s="8"/>
      <c r="D39427" s="8"/>
    </row>
    <row r="39428" spans="1:4" ht="15.75" customHeight="1">
      <c r="A39428" s="8"/>
      <c r="B39428" s="12"/>
      <c r="C39428" s="8"/>
      <c r="D39428" s="8"/>
    </row>
    <row r="39429" spans="1:4" ht="15.75" customHeight="1">
      <c r="A39429" s="8"/>
      <c r="B39429" s="12"/>
      <c r="C39429" s="8"/>
      <c r="D39429" s="8"/>
    </row>
    <row r="39430" spans="1:4" ht="15.75" customHeight="1">
      <c r="A39430" s="8"/>
      <c r="B39430" s="12"/>
      <c r="C39430" s="8"/>
      <c r="D39430" s="8"/>
    </row>
    <row r="39431" spans="1:4" ht="15.75" customHeight="1">
      <c r="A39431" s="8"/>
      <c r="B39431" s="12"/>
      <c r="C39431" s="8"/>
      <c r="D39431" s="8"/>
    </row>
    <row r="39432" spans="1:4" ht="15.75" customHeight="1">
      <c r="A39432" s="8"/>
      <c r="B39432" s="12"/>
      <c r="C39432" s="8"/>
      <c r="D39432" s="8"/>
    </row>
    <row r="39433" spans="1:4" ht="15.75" customHeight="1">
      <c r="A39433" s="8"/>
      <c r="B39433" s="12"/>
      <c r="C39433" s="8"/>
      <c r="D39433" s="8"/>
    </row>
    <row r="39434" spans="1:4" ht="15.75" customHeight="1">
      <c r="A39434" s="8"/>
      <c r="B39434" s="12"/>
      <c r="C39434" s="8"/>
      <c r="D39434" s="8"/>
    </row>
    <row r="39435" spans="1:4" ht="15.75" customHeight="1">
      <c r="A39435" s="8"/>
      <c r="B39435" s="12"/>
      <c r="C39435" s="8"/>
      <c r="D39435" s="8"/>
    </row>
    <row r="39436" spans="1:4" ht="15.75" customHeight="1">
      <c r="A39436" s="8"/>
      <c r="B39436" s="12"/>
      <c r="C39436" s="8"/>
      <c r="D39436" s="8"/>
    </row>
    <row r="39437" spans="1:4" ht="15.75" customHeight="1">
      <c r="A39437" s="8"/>
      <c r="B39437" s="12"/>
      <c r="C39437" s="8"/>
      <c r="D39437" s="8"/>
    </row>
    <row r="39438" spans="1:4" ht="15.75" customHeight="1">
      <c r="A39438" s="8"/>
      <c r="B39438" s="12"/>
      <c r="C39438" s="8"/>
      <c r="D39438" s="8"/>
    </row>
    <row r="39439" spans="1:4" ht="15.75" customHeight="1">
      <c r="A39439" s="8"/>
      <c r="B39439" s="12"/>
      <c r="C39439" s="8"/>
      <c r="D39439" s="8"/>
    </row>
    <row r="39440" spans="1:4" ht="15.75" customHeight="1">
      <c r="A39440" s="8"/>
      <c r="B39440" s="12"/>
      <c r="C39440" s="8"/>
      <c r="D39440" s="8"/>
    </row>
    <row r="39441" spans="1:4" ht="15.75" customHeight="1">
      <c r="A39441" s="8"/>
      <c r="B39441" s="12"/>
      <c r="C39441" s="8"/>
      <c r="D39441" s="8"/>
    </row>
    <row r="39442" spans="1:4" ht="15.75" customHeight="1">
      <c r="A39442" s="8"/>
      <c r="B39442" s="12"/>
      <c r="C39442" s="8"/>
      <c r="D39442" s="8"/>
    </row>
    <row r="39443" spans="1:4" ht="15.75" customHeight="1">
      <c r="A39443" s="8"/>
      <c r="B39443" s="12"/>
      <c r="C39443" s="8"/>
      <c r="D39443" s="8"/>
    </row>
    <row r="39444" spans="1:4" ht="15.75" customHeight="1">
      <c r="A39444" s="8"/>
      <c r="B39444" s="12"/>
      <c r="C39444" s="8"/>
      <c r="D39444" s="8"/>
    </row>
    <row r="39445" spans="1:4" ht="15.75" customHeight="1">
      <c r="A39445" s="8"/>
      <c r="B39445" s="12"/>
      <c r="C39445" s="8"/>
      <c r="D39445" s="8"/>
    </row>
    <row r="39446" spans="1:4" ht="15.75" customHeight="1">
      <c r="A39446" s="8"/>
      <c r="B39446" s="12"/>
      <c r="C39446" s="8"/>
      <c r="D39446" s="8"/>
    </row>
    <row r="39447" spans="1:4" ht="15.75" customHeight="1">
      <c r="A39447" s="8"/>
      <c r="B39447" s="12"/>
      <c r="C39447" s="8"/>
      <c r="D39447" s="8"/>
    </row>
    <row r="39448" spans="1:4" ht="15.75" customHeight="1">
      <c r="A39448" s="8"/>
      <c r="B39448" s="12"/>
      <c r="C39448" s="8"/>
      <c r="D39448" s="8"/>
    </row>
    <row r="39449" spans="1:4" ht="15.75" customHeight="1">
      <c r="A39449" s="8"/>
      <c r="B39449" s="12"/>
      <c r="C39449" s="8"/>
      <c r="D39449" s="8"/>
    </row>
    <row r="39450" spans="1:4" ht="15.75" customHeight="1">
      <c r="A39450" s="8"/>
      <c r="B39450" s="12"/>
      <c r="C39450" s="8"/>
      <c r="D39450" s="8"/>
    </row>
    <row r="39451" spans="1:4" ht="15.75" customHeight="1">
      <c r="A39451" s="8"/>
      <c r="B39451" s="12"/>
      <c r="C39451" s="8"/>
      <c r="D39451" s="8"/>
    </row>
    <row r="39452" spans="1:4" ht="15.75" customHeight="1">
      <c r="A39452" s="8"/>
      <c r="B39452" s="12"/>
      <c r="C39452" s="8"/>
      <c r="D39452" s="8"/>
    </row>
    <row r="39453" spans="1:4" ht="15.75" customHeight="1">
      <c r="A39453" s="8"/>
      <c r="B39453" s="12"/>
      <c r="C39453" s="8"/>
      <c r="D39453" s="8"/>
    </row>
    <row r="39454" spans="1:4" ht="15.75" customHeight="1">
      <c r="A39454" s="8"/>
      <c r="B39454" s="12"/>
      <c r="C39454" s="8"/>
      <c r="D39454" s="8"/>
    </row>
    <row r="39455" spans="1:4" ht="15.75" customHeight="1">
      <c r="A39455" s="8"/>
      <c r="B39455" s="12"/>
      <c r="C39455" s="8"/>
      <c r="D39455" s="8"/>
    </row>
    <row r="39456" spans="1:4" ht="15.75" customHeight="1">
      <c r="A39456" s="8"/>
      <c r="B39456" s="12"/>
      <c r="C39456" s="8"/>
      <c r="D39456" s="8"/>
    </row>
    <row r="39457" spans="1:4" ht="15.75" customHeight="1">
      <c r="A39457" s="8"/>
      <c r="B39457" s="12"/>
      <c r="C39457" s="8"/>
      <c r="D39457" s="8"/>
    </row>
    <row r="39458" spans="1:4" ht="15.75" customHeight="1">
      <c r="A39458" s="8"/>
      <c r="B39458" s="12"/>
      <c r="C39458" s="8"/>
      <c r="D39458" s="8"/>
    </row>
    <row r="39459" spans="1:4" ht="15.75" customHeight="1">
      <c r="A39459" s="8"/>
      <c r="B39459" s="12"/>
      <c r="C39459" s="8"/>
      <c r="D39459" s="8"/>
    </row>
    <row r="39460" spans="1:4" ht="15.75" customHeight="1">
      <c r="A39460" s="8"/>
      <c r="B39460" s="12"/>
      <c r="C39460" s="8"/>
      <c r="D39460" s="8"/>
    </row>
    <row r="39461" spans="1:4" ht="15.75" customHeight="1">
      <c r="A39461" s="8"/>
      <c r="B39461" s="12"/>
      <c r="C39461" s="8"/>
      <c r="D39461" s="8"/>
    </row>
    <row r="39462" spans="1:4" ht="15.75" customHeight="1">
      <c r="A39462" s="8"/>
      <c r="B39462" s="12"/>
      <c r="C39462" s="8"/>
      <c r="D39462" s="8"/>
    </row>
    <row r="39463" spans="1:4" ht="15.75" customHeight="1">
      <c r="A39463" s="8"/>
      <c r="B39463" s="12"/>
      <c r="C39463" s="8"/>
      <c r="D39463" s="8"/>
    </row>
    <row r="39464" spans="1:4" ht="15.75" customHeight="1">
      <c r="A39464" s="8"/>
      <c r="B39464" s="12"/>
      <c r="C39464" s="8"/>
      <c r="D39464" s="8"/>
    </row>
    <row r="39465" spans="1:4" ht="15.75" customHeight="1">
      <c r="A39465" s="8"/>
      <c r="B39465" s="12"/>
      <c r="C39465" s="8"/>
      <c r="D39465" s="8"/>
    </row>
    <row r="39466" spans="1:4" ht="15.75" customHeight="1">
      <c r="A39466" s="8"/>
      <c r="B39466" s="12"/>
      <c r="C39466" s="8"/>
      <c r="D39466" s="8"/>
    </row>
    <row r="39467" spans="1:4" ht="15.75" customHeight="1">
      <c r="A39467" s="8"/>
      <c r="B39467" s="12"/>
      <c r="C39467" s="8"/>
      <c r="D39467" s="8"/>
    </row>
    <row r="39468" spans="1:4" ht="15.75" customHeight="1">
      <c r="A39468" s="8"/>
      <c r="B39468" s="12"/>
      <c r="C39468" s="8"/>
      <c r="D39468" s="8"/>
    </row>
    <row r="39469" spans="1:4" ht="15.75" customHeight="1">
      <c r="A39469" s="8"/>
      <c r="B39469" s="12"/>
      <c r="C39469" s="8"/>
      <c r="D39469" s="8"/>
    </row>
    <row r="39470" spans="1:4" ht="15.75" customHeight="1">
      <c r="A39470" s="8"/>
      <c r="B39470" s="12"/>
      <c r="C39470" s="8"/>
      <c r="D39470" s="8"/>
    </row>
    <row r="39471" spans="1:4" ht="15.75" customHeight="1">
      <c r="A39471" s="8"/>
      <c r="B39471" s="12"/>
      <c r="C39471" s="8"/>
      <c r="D39471" s="8"/>
    </row>
    <row r="39472" spans="1:4" ht="15.75" customHeight="1">
      <c r="A39472" s="8"/>
      <c r="B39472" s="12"/>
      <c r="C39472" s="8"/>
      <c r="D39472" s="8"/>
    </row>
    <row r="39473" spans="1:4" ht="15.75" customHeight="1">
      <c r="A39473" s="8"/>
      <c r="B39473" s="12"/>
      <c r="C39473" s="8"/>
      <c r="D39473" s="8"/>
    </row>
    <row r="39474" spans="1:4" ht="15.75" customHeight="1">
      <c r="A39474" s="8"/>
      <c r="B39474" s="12"/>
      <c r="C39474" s="8"/>
      <c r="D39474" s="8"/>
    </row>
    <row r="39475" spans="1:4" ht="15.75" customHeight="1">
      <c r="A39475" s="8"/>
      <c r="B39475" s="12"/>
      <c r="C39475" s="8"/>
      <c r="D39475" s="8"/>
    </row>
    <row r="39476" spans="1:4" ht="15.75" customHeight="1">
      <c r="A39476" s="8"/>
      <c r="B39476" s="12"/>
      <c r="C39476" s="8"/>
      <c r="D39476" s="8"/>
    </row>
    <row r="39477" spans="1:4" ht="15.75" customHeight="1">
      <c r="A39477" s="8"/>
      <c r="B39477" s="12"/>
      <c r="C39477" s="8"/>
      <c r="D39477" s="8"/>
    </row>
    <row r="39478" spans="1:4" ht="15.75" customHeight="1">
      <c r="A39478" s="8"/>
      <c r="B39478" s="12"/>
      <c r="C39478" s="8"/>
      <c r="D39478" s="8"/>
    </row>
    <row r="39479" spans="1:4" ht="15.75" customHeight="1">
      <c r="A39479" s="8"/>
      <c r="B39479" s="12"/>
      <c r="C39479" s="8"/>
      <c r="D39479" s="8"/>
    </row>
    <row r="39480" spans="1:4" ht="15.75" customHeight="1">
      <c r="A39480" s="8"/>
      <c r="B39480" s="12"/>
      <c r="C39480" s="8"/>
      <c r="D39480" s="8"/>
    </row>
    <row r="39481" spans="1:4" ht="15.75" customHeight="1">
      <c r="A39481" s="8"/>
      <c r="B39481" s="12"/>
      <c r="C39481" s="8"/>
      <c r="D39481" s="8"/>
    </row>
    <row r="39482" spans="1:4" ht="15.75" customHeight="1">
      <c r="A39482" s="8"/>
      <c r="B39482" s="12"/>
      <c r="C39482" s="8"/>
      <c r="D39482" s="8"/>
    </row>
    <row r="39483" spans="1:4" ht="15.75" customHeight="1">
      <c r="A39483" s="8"/>
      <c r="B39483" s="12"/>
      <c r="C39483" s="8"/>
      <c r="D39483" s="8"/>
    </row>
    <row r="39484" spans="1:4" ht="15.75" customHeight="1">
      <c r="A39484" s="8"/>
      <c r="B39484" s="12"/>
      <c r="C39484" s="8"/>
      <c r="D39484" s="8"/>
    </row>
    <row r="39485" spans="1:4" ht="15.75" customHeight="1">
      <c r="A39485" s="8"/>
      <c r="B39485" s="12"/>
      <c r="C39485" s="8"/>
      <c r="D39485" s="8"/>
    </row>
    <row r="39486" spans="1:4" ht="15.75" customHeight="1">
      <c r="A39486" s="8"/>
      <c r="B39486" s="12"/>
      <c r="C39486" s="8"/>
      <c r="D39486" s="8"/>
    </row>
    <row r="39487" spans="1:4" ht="15.75" customHeight="1">
      <c r="A39487" s="8"/>
      <c r="B39487" s="12"/>
      <c r="C39487" s="8"/>
      <c r="D39487" s="8"/>
    </row>
    <row r="39488" spans="1:4" ht="15.75" customHeight="1">
      <c r="A39488" s="8"/>
      <c r="B39488" s="12"/>
      <c r="C39488" s="8"/>
      <c r="D39488" s="8"/>
    </row>
    <row r="39489" spans="1:4" ht="15.75" customHeight="1">
      <c r="A39489" s="8"/>
      <c r="B39489" s="12"/>
      <c r="C39489" s="8"/>
      <c r="D39489" s="8"/>
    </row>
    <row r="39490" spans="1:4" ht="15.75" customHeight="1">
      <c r="A39490" s="8"/>
      <c r="B39490" s="12"/>
      <c r="C39490" s="8"/>
      <c r="D39490" s="8"/>
    </row>
    <row r="39491" spans="1:4" ht="15.75" customHeight="1">
      <c r="A39491" s="8"/>
      <c r="B39491" s="12"/>
      <c r="C39491" s="8"/>
      <c r="D39491" s="8"/>
    </row>
    <row r="39492" spans="1:4" ht="15.75" customHeight="1">
      <c r="A39492" s="8"/>
      <c r="B39492" s="12"/>
      <c r="C39492" s="8"/>
      <c r="D39492" s="8"/>
    </row>
    <row r="39493" spans="1:4" ht="15.75" customHeight="1">
      <c r="A39493" s="8"/>
      <c r="B39493" s="12"/>
      <c r="C39493" s="8"/>
      <c r="D39493" s="8"/>
    </row>
    <row r="39494" spans="1:4" ht="15.75" customHeight="1">
      <c r="A39494" s="8"/>
      <c r="B39494" s="12"/>
      <c r="C39494" s="8"/>
      <c r="D39494" s="8"/>
    </row>
    <row r="39495" spans="1:4" ht="15.75" customHeight="1">
      <c r="A39495" s="8"/>
      <c r="B39495" s="12"/>
      <c r="C39495" s="8"/>
      <c r="D39495" s="8"/>
    </row>
    <row r="39496" spans="1:4" ht="15.75" customHeight="1">
      <c r="A39496" s="8"/>
      <c r="B39496" s="12"/>
      <c r="C39496" s="8"/>
      <c r="D39496" s="8"/>
    </row>
    <row r="39497" spans="1:4" ht="15.75" customHeight="1">
      <c r="A39497" s="8"/>
      <c r="B39497" s="12"/>
      <c r="C39497" s="8"/>
      <c r="D39497" s="8"/>
    </row>
    <row r="39498" spans="1:4" ht="15.75" customHeight="1">
      <c r="A39498" s="8"/>
      <c r="B39498" s="12"/>
      <c r="C39498" s="8"/>
      <c r="D39498" s="8"/>
    </row>
    <row r="39499" spans="1:4" ht="15.75" customHeight="1">
      <c r="A39499" s="8"/>
      <c r="B39499" s="12"/>
      <c r="C39499" s="8"/>
      <c r="D39499" s="8"/>
    </row>
    <row r="39500" spans="1:4" ht="15.75" customHeight="1">
      <c r="A39500" s="8"/>
      <c r="B39500" s="12"/>
      <c r="C39500" s="8"/>
      <c r="D39500" s="8"/>
    </row>
    <row r="39501" spans="1:4" ht="15.75" customHeight="1">
      <c r="A39501" s="8"/>
      <c r="B39501" s="12"/>
      <c r="C39501" s="8"/>
      <c r="D39501" s="8"/>
    </row>
    <row r="39502" spans="1:4" ht="15.75" customHeight="1">
      <c r="A39502" s="8"/>
      <c r="B39502" s="12"/>
      <c r="C39502" s="8"/>
      <c r="D39502" s="8"/>
    </row>
    <row r="39503" spans="1:4" ht="15.75" customHeight="1">
      <c r="A39503" s="8"/>
      <c r="B39503" s="12"/>
      <c r="C39503" s="8"/>
      <c r="D39503" s="8"/>
    </row>
    <row r="39504" spans="1:4" ht="15.75" customHeight="1">
      <c r="A39504" s="8"/>
      <c r="B39504" s="12"/>
      <c r="C39504" s="8"/>
      <c r="D39504" s="8"/>
    </row>
    <row r="39505" spans="1:4" ht="15.75" customHeight="1">
      <c r="A39505" s="8"/>
      <c r="B39505" s="12"/>
      <c r="C39505" s="8"/>
      <c r="D39505" s="8"/>
    </row>
    <row r="39506" spans="1:4" ht="15.75" customHeight="1">
      <c r="A39506" s="8"/>
      <c r="B39506" s="12"/>
      <c r="C39506" s="8"/>
      <c r="D39506" s="8"/>
    </row>
    <row r="39507" spans="1:4" ht="15.75" customHeight="1">
      <c r="A39507" s="8"/>
      <c r="B39507" s="12"/>
      <c r="C39507" s="8"/>
      <c r="D39507" s="8"/>
    </row>
    <row r="39508" spans="1:4" ht="15.75" customHeight="1">
      <c r="A39508" s="8"/>
      <c r="B39508" s="12"/>
      <c r="C39508" s="8"/>
      <c r="D39508" s="8"/>
    </row>
    <row r="39509" spans="1:4" ht="15.75" customHeight="1">
      <c r="A39509" s="8"/>
      <c r="B39509" s="12"/>
      <c r="C39509" s="8"/>
      <c r="D39509" s="8"/>
    </row>
    <row r="39510" spans="1:4" ht="15.75" customHeight="1">
      <c r="A39510" s="8"/>
      <c r="B39510" s="12"/>
      <c r="C39510" s="8"/>
      <c r="D39510" s="8"/>
    </row>
    <row r="39511" spans="1:4" ht="15.75" customHeight="1">
      <c r="A39511" s="8"/>
      <c r="B39511" s="12"/>
      <c r="C39511" s="8"/>
      <c r="D39511" s="8"/>
    </row>
    <row r="39512" spans="1:4" ht="15.75" customHeight="1">
      <c r="A39512" s="8"/>
      <c r="B39512" s="12"/>
      <c r="C39512" s="8"/>
      <c r="D39512" s="8"/>
    </row>
    <row r="39513" spans="1:4" ht="15.75" customHeight="1">
      <c r="A39513" s="8"/>
      <c r="B39513" s="12"/>
      <c r="C39513" s="8"/>
      <c r="D39513" s="8"/>
    </row>
    <row r="39514" spans="1:4" ht="15.75" customHeight="1">
      <c r="A39514" s="8"/>
      <c r="B39514" s="12"/>
      <c r="C39514" s="8"/>
      <c r="D39514" s="8"/>
    </row>
    <row r="39515" spans="1:4" ht="15.75" customHeight="1">
      <c r="A39515" s="8"/>
      <c r="B39515" s="12"/>
      <c r="C39515" s="8"/>
      <c r="D39515" s="8"/>
    </row>
    <row r="39516" spans="1:4" ht="15.75" customHeight="1">
      <c r="A39516" s="8"/>
      <c r="B39516" s="12"/>
      <c r="C39516" s="8"/>
      <c r="D39516" s="8"/>
    </row>
    <row r="39517" spans="1:4" ht="15.75" customHeight="1">
      <c r="A39517" s="8"/>
      <c r="B39517" s="12"/>
      <c r="C39517" s="8"/>
      <c r="D39517" s="8"/>
    </row>
    <row r="39518" spans="1:4" ht="15.75" customHeight="1">
      <c r="A39518" s="8"/>
      <c r="B39518" s="12"/>
      <c r="C39518" s="8"/>
      <c r="D39518" s="8"/>
    </row>
    <row r="39519" spans="1:4" ht="15.75" customHeight="1">
      <c r="A39519" s="8"/>
      <c r="B39519" s="12"/>
      <c r="C39519" s="8"/>
      <c r="D39519" s="8"/>
    </row>
    <row r="39520" spans="1:4" ht="15.75" customHeight="1">
      <c r="A39520" s="8"/>
      <c r="B39520" s="12"/>
      <c r="C39520" s="8"/>
      <c r="D39520" s="8"/>
    </row>
    <row r="39521" spans="1:4" ht="15.75" customHeight="1">
      <c r="A39521" s="8"/>
      <c r="B39521" s="12"/>
      <c r="C39521" s="8"/>
      <c r="D39521" s="8"/>
    </row>
    <row r="39522" spans="1:4" ht="15.75" customHeight="1">
      <c r="A39522" s="8"/>
      <c r="B39522" s="12"/>
      <c r="C39522" s="8"/>
      <c r="D39522" s="8"/>
    </row>
    <row r="39523" spans="1:4" ht="15.75" customHeight="1">
      <c r="A39523" s="8"/>
      <c r="B39523" s="12"/>
      <c r="C39523" s="8"/>
      <c r="D39523" s="8"/>
    </row>
    <row r="39524" spans="1:4" ht="15.75" customHeight="1">
      <c r="A39524" s="8"/>
      <c r="B39524" s="12"/>
      <c r="C39524" s="8"/>
      <c r="D39524" s="8"/>
    </row>
    <row r="39525" spans="1:4" ht="15.75" customHeight="1">
      <c r="A39525" s="8"/>
      <c r="B39525" s="12"/>
      <c r="C39525" s="8"/>
      <c r="D39525" s="8"/>
    </row>
    <row r="39526" spans="1:4" ht="15.75" customHeight="1">
      <c r="A39526" s="8"/>
      <c r="B39526" s="12"/>
      <c r="C39526" s="8"/>
      <c r="D39526" s="8"/>
    </row>
    <row r="39527" spans="1:4" ht="15.75" customHeight="1">
      <c r="A39527" s="8"/>
      <c r="B39527" s="12"/>
      <c r="C39527" s="8"/>
      <c r="D39527" s="8"/>
    </row>
    <row r="39528" spans="1:4" ht="15.75" customHeight="1">
      <c r="A39528" s="8"/>
      <c r="B39528" s="12"/>
      <c r="C39528" s="8"/>
      <c r="D39528" s="8"/>
    </row>
    <row r="39529" spans="1:4" ht="15.75" customHeight="1">
      <c r="A39529" s="8"/>
      <c r="B39529" s="12"/>
      <c r="C39529" s="8"/>
      <c r="D39529" s="8"/>
    </row>
    <row r="39530" spans="1:4" ht="15.75" customHeight="1">
      <c r="A39530" s="8"/>
      <c r="B39530" s="12"/>
      <c r="C39530" s="8"/>
      <c r="D39530" s="8"/>
    </row>
    <row r="39531" spans="1:4" ht="15.75" customHeight="1">
      <c r="A39531" s="8"/>
      <c r="B39531" s="12"/>
      <c r="C39531" s="8"/>
      <c r="D39531" s="8"/>
    </row>
    <row r="39532" spans="1:4" ht="15.75" customHeight="1">
      <c r="A39532" s="8"/>
      <c r="B39532" s="12"/>
      <c r="C39532" s="8"/>
      <c r="D39532" s="8"/>
    </row>
    <row r="39533" spans="1:4" ht="15.75" customHeight="1">
      <c r="A39533" s="8"/>
      <c r="B39533" s="12"/>
      <c r="C39533" s="8"/>
      <c r="D39533" s="8"/>
    </row>
    <row r="39534" spans="1:4" ht="15.75" customHeight="1">
      <c r="A39534" s="8"/>
      <c r="B39534" s="12"/>
      <c r="C39534" s="8"/>
      <c r="D39534" s="8"/>
    </row>
    <row r="39535" spans="1:4" ht="15.75" customHeight="1">
      <c r="A39535" s="8"/>
      <c r="B39535" s="12"/>
      <c r="C39535" s="8"/>
      <c r="D39535" s="8"/>
    </row>
    <row r="39536" spans="1:4" ht="15.75" customHeight="1">
      <c r="A39536" s="8"/>
      <c r="B39536" s="12"/>
      <c r="C39536" s="8"/>
      <c r="D39536" s="8"/>
    </row>
    <row r="39537" spans="1:4" ht="15.75" customHeight="1">
      <c r="A39537" s="8"/>
      <c r="B39537" s="12"/>
      <c r="C39537" s="8"/>
      <c r="D39537" s="8"/>
    </row>
    <row r="39538" spans="1:4" ht="15.75" customHeight="1">
      <c r="A39538" s="8"/>
      <c r="B39538" s="12"/>
      <c r="C39538" s="8"/>
      <c r="D39538" s="8"/>
    </row>
    <row r="39539" spans="1:4" ht="15.75" customHeight="1">
      <c r="A39539" s="8"/>
      <c r="B39539" s="12"/>
      <c r="C39539" s="8"/>
      <c r="D39539" s="8"/>
    </row>
    <row r="39540" spans="1:4" ht="15.75" customHeight="1">
      <c r="A39540" s="8"/>
      <c r="B39540" s="12"/>
      <c r="C39540" s="8"/>
      <c r="D39540" s="8"/>
    </row>
    <row r="39541" spans="1:4" ht="15.75" customHeight="1">
      <c r="A39541" s="8"/>
      <c r="B39541" s="12"/>
      <c r="C39541" s="8"/>
      <c r="D39541" s="8"/>
    </row>
    <row r="39542" spans="1:4" ht="15.75" customHeight="1">
      <c r="A39542" s="8"/>
      <c r="B39542" s="12"/>
      <c r="C39542" s="8"/>
      <c r="D39542" s="8"/>
    </row>
    <row r="39543" spans="1:4" ht="15.75" customHeight="1">
      <c r="A39543" s="8"/>
      <c r="B39543" s="12"/>
      <c r="C39543" s="8"/>
      <c r="D39543" s="8"/>
    </row>
    <row r="39544" spans="1:4" ht="15.75" customHeight="1">
      <c r="A39544" s="8"/>
      <c r="B39544" s="12"/>
      <c r="C39544" s="8"/>
      <c r="D39544" s="8"/>
    </row>
    <row r="39545" spans="1:4" ht="15.75" customHeight="1">
      <c r="A39545" s="8"/>
      <c r="B39545" s="12"/>
      <c r="C39545" s="8"/>
      <c r="D39545" s="8"/>
    </row>
    <row r="39546" spans="1:4" ht="15.75" customHeight="1">
      <c r="A39546" s="8"/>
      <c r="B39546" s="12"/>
      <c r="C39546" s="8"/>
      <c r="D39546" s="8"/>
    </row>
    <row r="39547" spans="1:4" ht="15.75" customHeight="1">
      <c r="A39547" s="8"/>
      <c r="B39547" s="12"/>
      <c r="C39547" s="8"/>
      <c r="D39547" s="8"/>
    </row>
    <row r="39548" spans="1:4" ht="15.75" customHeight="1">
      <c r="A39548" s="8"/>
      <c r="B39548" s="12"/>
      <c r="C39548" s="8"/>
      <c r="D39548" s="8"/>
    </row>
    <row r="39549" spans="1:4" ht="15.75" customHeight="1">
      <c r="A39549" s="8"/>
      <c r="B39549" s="12"/>
      <c r="C39549" s="8"/>
      <c r="D39549" s="8"/>
    </row>
    <row r="39550" spans="1:4" ht="15.75" customHeight="1">
      <c r="A39550" s="8"/>
      <c r="B39550" s="12"/>
      <c r="C39550" s="8"/>
      <c r="D39550" s="8"/>
    </row>
    <row r="39551" spans="1:4" ht="15.75" customHeight="1">
      <c r="A39551" s="8"/>
      <c r="B39551" s="12"/>
      <c r="C39551" s="8"/>
      <c r="D39551" s="8"/>
    </row>
    <row r="39552" spans="1:4" ht="15.75" customHeight="1">
      <c r="A39552" s="8"/>
      <c r="B39552" s="12"/>
      <c r="C39552" s="8"/>
      <c r="D39552" s="8"/>
    </row>
    <row r="39553" spans="1:4" ht="15.75" customHeight="1">
      <c r="A39553" s="8"/>
      <c r="B39553" s="12"/>
      <c r="C39553" s="8"/>
      <c r="D39553" s="8"/>
    </row>
    <row r="39554" spans="1:4" ht="15.75" customHeight="1">
      <c r="A39554" s="8"/>
      <c r="B39554" s="12"/>
      <c r="C39554" s="8"/>
      <c r="D39554" s="8"/>
    </row>
    <row r="39555" spans="1:4" ht="15.75" customHeight="1">
      <c r="A39555" s="8"/>
      <c r="B39555" s="12"/>
      <c r="C39555" s="8"/>
      <c r="D39555" s="8"/>
    </row>
    <row r="39556" spans="1:4" ht="15.75" customHeight="1">
      <c r="A39556" s="8"/>
      <c r="B39556" s="12"/>
      <c r="C39556" s="8"/>
      <c r="D39556" s="8"/>
    </row>
    <row r="39557" spans="1:4" ht="15.75" customHeight="1">
      <c r="A39557" s="8"/>
      <c r="B39557" s="12"/>
      <c r="C39557" s="8"/>
      <c r="D39557" s="8"/>
    </row>
    <row r="39558" spans="1:4" ht="15.75" customHeight="1">
      <c r="A39558" s="8"/>
      <c r="B39558" s="12"/>
      <c r="C39558" s="8"/>
      <c r="D39558" s="8"/>
    </row>
    <row r="39559" spans="1:4" ht="15.75" customHeight="1">
      <c r="A39559" s="8"/>
      <c r="B39559" s="12"/>
      <c r="C39559" s="8"/>
      <c r="D39559" s="8"/>
    </row>
    <row r="39560" spans="1:4" ht="15.75" customHeight="1">
      <c r="A39560" s="8"/>
      <c r="B39560" s="12"/>
      <c r="C39560" s="8"/>
      <c r="D39560" s="8"/>
    </row>
    <row r="39561" spans="1:4" ht="15.75" customHeight="1">
      <c r="A39561" s="8"/>
      <c r="B39561" s="12"/>
      <c r="C39561" s="8"/>
      <c r="D39561" s="8"/>
    </row>
    <row r="39562" spans="1:4" ht="15.75" customHeight="1">
      <c r="A39562" s="8"/>
      <c r="B39562" s="12"/>
      <c r="C39562" s="8"/>
      <c r="D39562" s="8"/>
    </row>
    <row r="39563" spans="1:4" ht="15.75" customHeight="1">
      <c r="A39563" s="8"/>
      <c r="B39563" s="12"/>
      <c r="C39563" s="8"/>
      <c r="D39563" s="8"/>
    </row>
    <row r="39564" spans="1:4" ht="15.75" customHeight="1">
      <c r="A39564" s="8"/>
      <c r="B39564" s="12"/>
      <c r="C39564" s="8"/>
      <c r="D39564" s="8"/>
    </row>
    <row r="39565" spans="1:4" ht="15.75" customHeight="1">
      <c r="A39565" s="8"/>
      <c r="B39565" s="12"/>
      <c r="C39565" s="8"/>
      <c r="D39565" s="8"/>
    </row>
    <row r="39566" spans="1:4" ht="15.75" customHeight="1">
      <c r="A39566" s="8"/>
      <c r="B39566" s="12"/>
      <c r="C39566" s="8"/>
      <c r="D39566" s="8"/>
    </row>
    <row r="39567" spans="1:4" ht="15.75" customHeight="1">
      <c r="A39567" s="8"/>
      <c r="B39567" s="12"/>
      <c r="C39567" s="8"/>
      <c r="D39567" s="8"/>
    </row>
    <row r="39568" spans="1:4" ht="15.75" customHeight="1">
      <c r="A39568" s="8"/>
      <c r="B39568" s="12"/>
      <c r="C39568" s="8"/>
      <c r="D39568" s="8"/>
    </row>
    <row r="39569" spans="1:4" ht="15.75" customHeight="1">
      <c r="A39569" s="8"/>
      <c r="B39569" s="12"/>
      <c r="C39569" s="8"/>
      <c r="D39569" s="8"/>
    </row>
    <row r="39570" spans="1:4" ht="15.75" customHeight="1">
      <c r="A39570" s="8"/>
      <c r="B39570" s="12"/>
      <c r="C39570" s="8"/>
      <c r="D39570" s="8"/>
    </row>
    <row r="39571" spans="1:4" ht="15.75" customHeight="1">
      <c r="A39571" s="8"/>
      <c r="B39571" s="12"/>
      <c r="C39571" s="8"/>
      <c r="D39571" s="8"/>
    </row>
    <row r="39572" spans="1:4" ht="15.75" customHeight="1">
      <c r="A39572" s="8"/>
      <c r="B39572" s="12"/>
      <c r="C39572" s="8"/>
      <c r="D39572" s="8"/>
    </row>
    <row r="39573" spans="1:4" ht="15.75" customHeight="1">
      <c r="A39573" s="8"/>
      <c r="B39573" s="12"/>
      <c r="C39573" s="8"/>
      <c r="D39573" s="8"/>
    </row>
    <row r="39574" spans="1:4" ht="15.75" customHeight="1">
      <c r="A39574" s="8"/>
      <c r="B39574" s="12"/>
      <c r="C39574" s="8"/>
      <c r="D39574" s="8"/>
    </row>
    <row r="39575" spans="1:4" ht="15.75" customHeight="1">
      <c r="A39575" s="8"/>
      <c r="B39575" s="12"/>
      <c r="C39575" s="8"/>
      <c r="D39575" s="8"/>
    </row>
    <row r="39576" spans="1:4" ht="15.75" customHeight="1">
      <c r="A39576" s="8"/>
      <c r="B39576" s="12"/>
      <c r="C39576" s="8"/>
      <c r="D39576" s="8"/>
    </row>
    <row r="39577" spans="1:4" ht="15.75" customHeight="1">
      <c r="A39577" s="8"/>
      <c r="B39577" s="12"/>
      <c r="C39577" s="8"/>
      <c r="D39577" s="8"/>
    </row>
    <row r="39578" spans="1:4" ht="15.75" customHeight="1">
      <c r="A39578" s="8"/>
      <c r="B39578" s="12"/>
      <c r="C39578" s="8"/>
      <c r="D39578" s="8"/>
    </row>
    <row r="39579" spans="1:4" ht="15.75" customHeight="1">
      <c r="A39579" s="8"/>
      <c r="B39579" s="12"/>
      <c r="C39579" s="8"/>
      <c r="D39579" s="8"/>
    </row>
    <row r="39580" spans="1:4" ht="15.75" customHeight="1">
      <c r="A39580" s="8"/>
      <c r="B39580" s="12"/>
      <c r="C39580" s="8"/>
      <c r="D39580" s="8"/>
    </row>
    <row r="39581" spans="1:4" ht="15.75" customHeight="1">
      <c r="A39581" s="8"/>
      <c r="B39581" s="12"/>
      <c r="C39581" s="8"/>
      <c r="D39581" s="8"/>
    </row>
    <row r="39582" spans="1:4" ht="15.75" customHeight="1">
      <c r="A39582" s="8"/>
      <c r="B39582" s="12"/>
      <c r="C39582" s="8"/>
      <c r="D39582" s="8"/>
    </row>
    <row r="39583" spans="1:4" ht="15.75" customHeight="1">
      <c r="A39583" s="8"/>
      <c r="B39583" s="12"/>
      <c r="C39583" s="8"/>
      <c r="D39583" s="8"/>
    </row>
    <row r="39584" spans="1:4" ht="15.75" customHeight="1">
      <c r="A39584" s="8"/>
      <c r="B39584" s="12"/>
      <c r="C39584" s="8"/>
      <c r="D39584" s="8"/>
    </row>
    <row r="39585" spans="1:4" ht="15.75" customHeight="1">
      <c r="A39585" s="8"/>
      <c r="B39585" s="12"/>
      <c r="C39585" s="8"/>
      <c r="D39585" s="8"/>
    </row>
    <row r="39586" spans="1:4" ht="15.75" customHeight="1">
      <c r="A39586" s="8"/>
      <c r="B39586" s="12"/>
      <c r="C39586" s="8"/>
      <c r="D39586" s="8"/>
    </row>
    <row r="39587" spans="1:4" ht="15.75" customHeight="1">
      <c r="A39587" s="8"/>
      <c r="B39587" s="12"/>
      <c r="C39587" s="8"/>
      <c r="D39587" s="8"/>
    </row>
    <row r="39588" spans="1:4" ht="15.75" customHeight="1">
      <c r="A39588" s="8"/>
      <c r="B39588" s="12"/>
      <c r="C39588" s="8"/>
      <c r="D39588" s="8"/>
    </row>
    <row r="39589" spans="1:4" ht="15.75" customHeight="1">
      <c r="A39589" s="8"/>
      <c r="B39589" s="12"/>
      <c r="C39589" s="8"/>
      <c r="D39589" s="8"/>
    </row>
    <row r="39590" spans="1:4" ht="15.75" customHeight="1">
      <c r="A39590" s="8"/>
      <c r="B39590" s="12"/>
      <c r="C39590" s="8"/>
      <c r="D39590" s="8"/>
    </row>
    <row r="39591" spans="1:4" ht="15.75" customHeight="1">
      <c r="A39591" s="8"/>
      <c r="B39591" s="12"/>
      <c r="C39591" s="8"/>
      <c r="D39591" s="8"/>
    </row>
    <row r="39592" spans="1:4" ht="15.75" customHeight="1">
      <c r="A39592" s="8"/>
      <c r="B39592" s="12"/>
      <c r="C39592" s="8"/>
      <c r="D39592" s="8"/>
    </row>
    <row r="39593" spans="1:4" ht="15.75" customHeight="1">
      <c r="A39593" s="8"/>
      <c r="B39593" s="12"/>
      <c r="C39593" s="8"/>
      <c r="D39593" s="8"/>
    </row>
    <row r="39594" spans="1:4" ht="15.75" customHeight="1">
      <c r="A39594" s="8"/>
      <c r="B39594" s="12"/>
      <c r="C39594" s="8"/>
      <c r="D39594" s="8"/>
    </row>
    <row r="39595" spans="1:4" ht="15.75" customHeight="1">
      <c r="A39595" s="8"/>
      <c r="B39595" s="12"/>
      <c r="C39595" s="8"/>
      <c r="D39595" s="8"/>
    </row>
    <row r="39596" spans="1:4" ht="15.75" customHeight="1">
      <c r="A39596" s="8"/>
      <c r="B39596" s="12"/>
      <c r="C39596" s="8"/>
      <c r="D39596" s="8"/>
    </row>
    <row r="39597" spans="1:4" ht="15.75" customHeight="1">
      <c r="A39597" s="8"/>
      <c r="B39597" s="12"/>
      <c r="C39597" s="8"/>
      <c r="D39597" s="8"/>
    </row>
    <row r="39598" spans="1:4" ht="15.75" customHeight="1">
      <c r="A39598" s="8"/>
      <c r="B39598" s="12"/>
      <c r="C39598" s="8"/>
      <c r="D39598" s="8"/>
    </row>
    <row r="39599" spans="1:4" ht="15.75" customHeight="1">
      <c r="A39599" s="8"/>
      <c r="B39599" s="12"/>
      <c r="C39599" s="8"/>
      <c r="D39599" s="8"/>
    </row>
    <row r="39600" spans="1:4" ht="15.75" customHeight="1">
      <c r="A39600" s="8"/>
      <c r="B39600" s="12"/>
      <c r="C39600" s="8"/>
      <c r="D39600" s="8"/>
    </row>
    <row r="39601" spans="1:4" ht="15.75" customHeight="1">
      <c r="A39601" s="8"/>
      <c r="B39601" s="12"/>
      <c r="C39601" s="8"/>
      <c r="D39601" s="8"/>
    </row>
    <row r="39602" spans="1:4" ht="15.75" customHeight="1">
      <c r="A39602" s="8"/>
      <c r="B39602" s="12"/>
      <c r="C39602" s="8"/>
      <c r="D39602" s="8"/>
    </row>
    <row r="39603" spans="1:4" ht="15.75" customHeight="1">
      <c r="A39603" s="8"/>
      <c r="B39603" s="12"/>
      <c r="C39603" s="8"/>
      <c r="D39603" s="8"/>
    </row>
    <row r="39604" spans="1:4" ht="15.75" customHeight="1">
      <c r="A39604" s="8"/>
      <c r="B39604" s="12"/>
      <c r="C39604" s="8"/>
      <c r="D39604" s="8"/>
    </row>
    <row r="39605" spans="1:4" ht="15.75" customHeight="1">
      <c r="A39605" s="8"/>
      <c r="B39605" s="12"/>
      <c r="C39605" s="8"/>
      <c r="D39605" s="8"/>
    </row>
    <row r="39606" spans="1:4" ht="15.75" customHeight="1">
      <c r="A39606" s="8"/>
      <c r="B39606" s="12"/>
      <c r="C39606" s="8"/>
      <c r="D39606" s="8"/>
    </row>
    <row r="39607" spans="1:4" ht="15.75" customHeight="1">
      <c r="A39607" s="8"/>
      <c r="B39607" s="12"/>
      <c r="C39607" s="8"/>
      <c r="D39607" s="8"/>
    </row>
    <row r="39608" spans="1:4" ht="15.75" customHeight="1">
      <c r="A39608" s="8"/>
      <c r="B39608" s="12"/>
      <c r="C39608" s="8"/>
      <c r="D39608" s="8"/>
    </row>
    <row r="39609" spans="1:4" ht="15.75" customHeight="1">
      <c r="A39609" s="8"/>
      <c r="B39609" s="12"/>
      <c r="C39609" s="8"/>
      <c r="D39609" s="8"/>
    </row>
    <row r="39610" spans="1:4" ht="15.75" customHeight="1">
      <c r="A39610" s="8"/>
      <c r="B39610" s="12"/>
      <c r="C39610" s="8"/>
      <c r="D39610" s="8"/>
    </row>
    <row r="39611" spans="1:4" ht="15.75" customHeight="1">
      <c r="A39611" s="8"/>
      <c r="B39611" s="12"/>
      <c r="C39611" s="8"/>
      <c r="D39611" s="8"/>
    </row>
    <row r="39612" spans="1:4" ht="15.75" customHeight="1">
      <c r="A39612" s="8"/>
      <c r="B39612" s="12"/>
      <c r="C39612" s="8"/>
      <c r="D39612" s="8"/>
    </row>
    <row r="39613" spans="1:4" ht="15.75" customHeight="1">
      <c r="A39613" s="8"/>
      <c r="B39613" s="12"/>
      <c r="C39613" s="8"/>
      <c r="D39613" s="8"/>
    </row>
    <row r="39614" spans="1:4" ht="15.75" customHeight="1">
      <c r="A39614" s="8"/>
      <c r="B39614" s="12"/>
      <c r="C39614" s="8"/>
      <c r="D39614" s="8"/>
    </row>
    <row r="39615" spans="1:4" ht="15.75" customHeight="1">
      <c r="A39615" s="8"/>
      <c r="B39615" s="12"/>
      <c r="C39615" s="8"/>
      <c r="D39615" s="8"/>
    </row>
    <row r="39616" spans="1:4" ht="15.75" customHeight="1">
      <c r="A39616" s="8"/>
      <c r="B39616" s="12"/>
      <c r="C39616" s="8"/>
      <c r="D39616" s="8"/>
    </row>
    <row r="39617" spans="1:4" ht="15.75" customHeight="1">
      <c r="A39617" s="8"/>
      <c r="B39617" s="12"/>
      <c r="C39617" s="8"/>
      <c r="D39617" s="8"/>
    </row>
    <row r="39618" spans="1:4" ht="15.75" customHeight="1">
      <c r="A39618" s="8"/>
      <c r="B39618" s="12"/>
      <c r="C39618" s="8"/>
      <c r="D39618" s="8"/>
    </row>
    <row r="39619" spans="1:4" ht="15.75" customHeight="1">
      <c r="A39619" s="8"/>
      <c r="B39619" s="12"/>
      <c r="C39619" s="8"/>
      <c r="D39619" s="8"/>
    </row>
    <row r="39620" spans="1:4" ht="15.75" customHeight="1">
      <c r="A39620" s="8"/>
      <c r="B39620" s="12"/>
      <c r="C39620" s="8"/>
      <c r="D39620" s="8"/>
    </row>
    <row r="39621" spans="1:4" ht="15.75" customHeight="1">
      <c r="A39621" s="8"/>
      <c r="B39621" s="12"/>
      <c r="C39621" s="8"/>
      <c r="D39621" s="8"/>
    </row>
    <row r="39622" spans="1:4" ht="15.75" customHeight="1">
      <c r="A39622" s="8"/>
      <c r="B39622" s="12"/>
      <c r="C39622" s="8"/>
      <c r="D39622" s="8"/>
    </row>
    <row r="39623" spans="1:4" ht="15.75" customHeight="1">
      <c r="A39623" s="8"/>
      <c r="B39623" s="12"/>
      <c r="C39623" s="8"/>
      <c r="D39623" s="8"/>
    </row>
    <row r="39624" spans="1:4" ht="15.75" customHeight="1">
      <c r="A39624" s="8"/>
      <c r="B39624" s="12"/>
      <c r="C39624" s="8"/>
      <c r="D39624" s="8"/>
    </row>
    <row r="39625" spans="1:4" ht="15.75" customHeight="1">
      <c r="A39625" s="8"/>
      <c r="B39625" s="12"/>
      <c r="C39625" s="8"/>
      <c r="D39625" s="8"/>
    </row>
    <row r="39626" spans="1:4" ht="15.75" customHeight="1">
      <c r="A39626" s="8"/>
      <c r="B39626" s="12"/>
      <c r="C39626" s="8"/>
      <c r="D39626" s="8"/>
    </row>
    <row r="39627" spans="1:4" ht="15.75" customHeight="1">
      <c r="A39627" s="8"/>
      <c r="B39627" s="12"/>
      <c r="C39627" s="8"/>
      <c r="D39627" s="8"/>
    </row>
    <row r="39628" spans="1:4" ht="15.75" customHeight="1">
      <c r="A39628" s="8"/>
      <c r="B39628" s="12"/>
      <c r="C39628" s="8"/>
      <c r="D39628" s="8"/>
    </row>
    <row r="39629" spans="1:4" ht="15.75" customHeight="1">
      <c r="A39629" s="8"/>
      <c r="B39629" s="12"/>
      <c r="C39629" s="8"/>
      <c r="D39629" s="8"/>
    </row>
    <row r="39630" spans="1:4" ht="15.75" customHeight="1">
      <c r="A39630" s="8"/>
      <c r="B39630" s="12"/>
      <c r="C39630" s="8"/>
      <c r="D39630" s="8"/>
    </row>
    <row r="39631" spans="1:4" ht="15.75" customHeight="1">
      <c r="A39631" s="8"/>
      <c r="B39631" s="12"/>
      <c r="C39631" s="8"/>
      <c r="D39631" s="8"/>
    </row>
    <row r="39632" spans="1:4" ht="15.75" customHeight="1">
      <c r="A39632" s="8"/>
      <c r="B39632" s="12"/>
      <c r="C39632" s="8"/>
      <c r="D39632" s="8"/>
    </row>
    <row r="39633" spans="1:4" ht="15.75" customHeight="1">
      <c r="A39633" s="8"/>
      <c r="B39633" s="12"/>
      <c r="C39633" s="8"/>
      <c r="D39633" s="8"/>
    </row>
    <row r="39634" spans="1:4" ht="15.75" customHeight="1">
      <c r="A39634" s="8"/>
      <c r="B39634" s="12"/>
      <c r="C39634" s="8"/>
      <c r="D39634" s="8"/>
    </row>
    <row r="39635" spans="1:4" ht="15.75" customHeight="1">
      <c r="A39635" s="8"/>
      <c r="B39635" s="12"/>
      <c r="C39635" s="8"/>
      <c r="D39635" s="8"/>
    </row>
    <row r="39636" spans="1:4" ht="15.75" customHeight="1">
      <c r="A39636" s="8"/>
      <c r="B39636" s="12"/>
      <c r="C39636" s="8"/>
      <c r="D39636" s="8"/>
    </row>
    <row r="39637" spans="1:4" ht="15.75" customHeight="1">
      <c r="A39637" s="8"/>
      <c r="B39637" s="12"/>
      <c r="C39637" s="8"/>
      <c r="D39637" s="8"/>
    </row>
    <row r="39638" spans="1:4" ht="15.75" customHeight="1">
      <c r="A39638" s="8"/>
      <c r="B39638" s="12"/>
      <c r="C39638" s="8"/>
      <c r="D39638" s="8"/>
    </row>
    <row r="39639" spans="1:4" ht="15.75" customHeight="1">
      <c r="A39639" s="8"/>
      <c r="B39639" s="12"/>
      <c r="C39639" s="8"/>
      <c r="D39639" s="8"/>
    </row>
    <row r="39640" spans="1:4" ht="15.75" customHeight="1">
      <c r="A39640" s="8"/>
      <c r="B39640" s="12"/>
      <c r="C39640" s="8"/>
      <c r="D39640" s="8"/>
    </row>
    <row r="39641" spans="1:4" ht="15.75" customHeight="1">
      <c r="A39641" s="8"/>
      <c r="B39641" s="12"/>
      <c r="C39641" s="8"/>
      <c r="D39641" s="8"/>
    </row>
    <row r="39642" spans="1:4" ht="15.75" customHeight="1">
      <c r="A39642" s="8"/>
      <c r="B39642" s="12"/>
      <c r="C39642" s="8"/>
      <c r="D39642" s="8"/>
    </row>
    <row r="39643" spans="1:4" ht="15.75" customHeight="1">
      <c r="A39643" s="8"/>
      <c r="B39643" s="12"/>
      <c r="C39643" s="8"/>
      <c r="D39643" s="8"/>
    </row>
    <row r="39644" spans="1:4" ht="15.75" customHeight="1">
      <c r="A39644" s="8"/>
      <c r="B39644" s="12"/>
      <c r="C39644" s="8"/>
      <c r="D39644" s="8"/>
    </row>
    <row r="39645" spans="1:4" ht="15.75" customHeight="1">
      <c r="A39645" s="8"/>
      <c r="B39645" s="12"/>
      <c r="C39645" s="8"/>
      <c r="D39645" s="8"/>
    </row>
    <row r="39646" spans="1:4" ht="15.75" customHeight="1">
      <c r="A39646" s="8"/>
      <c r="B39646" s="12"/>
      <c r="C39646" s="8"/>
      <c r="D39646" s="8"/>
    </row>
    <row r="39647" spans="1:4" ht="15.75" customHeight="1">
      <c r="A39647" s="8"/>
      <c r="B39647" s="12"/>
      <c r="C39647" s="8"/>
      <c r="D39647" s="8"/>
    </row>
    <row r="39648" spans="1:4" ht="15.75" customHeight="1">
      <c r="A39648" s="8"/>
      <c r="B39648" s="12"/>
      <c r="C39648" s="8"/>
      <c r="D39648" s="8"/>
    </row>
    <row r="39649" spans="1:4" ht="15.75" customHeight="1">
      <c r="A39649" s="8"/>
      <c r="B39649" s="12"/>
      <c r="C39649" s="8"/>
      <c r="D39649" s="8"/>
    </row>
    <row r="39650" spans="1:4" ht="15.75" customHeight="1">
      <c r="A39650" s="8"/>
      <c r="B39650" s="12"/>
      <c r="C39650" s="8"/>
      <c r="D39650" s="8"/>
    </row>
    <row r="39651" spans="1:4" ht="15.75" customHeight="1">
      <c r="A39651" s="8"/>
      <c r="B39651" s="12"/>
      <c r="C39651" s="8"/>
      <c r="D39651" s="8"/>
    </row>
    <row r="39652" spans="1:4" ht="15.75" customHeight="1">
      <c r="A39652" s="8"/>
      <c r="B39652" s="12"/>
      <c r="C39652" s="8"/>
      <c r="D39652" s="8"/>
    </row>
    <row r="39653" spans="1:4" ht="15.75" customHeight="1">
      <c r="A39653" s="8"/>
      <c r="B39653" s="12"/>
      <c r="C39653" s="8"/>
      <c r="D39653" s="8"/>
    </row>
    <row r="39654" spans="1:4" ht="15.75" customHeight="1">
      <c r="A39654" s="8"/>
      <c r="B39654" s="12"/>
      <c r="C39654" s="8"/>
      <c r="D39654" s="8"/>
    </row>
    <row r="39655" spans="1:4" ht="15.75" customHeight="1">
      <c r="A39655" s="8"/>
      <c r="B39655" s="12"/>
      <c r="C39655" s="8"/>
      <c r="D39655" s="8"/>
    </row>
    <row r="39656" spans="1:4" ht="15.75" customHeight="1">
      <c r="A39656" s="8"/>
      <c r="B39656" s="12"/>
      <c r="C39656" s="8"/>
      <c r="D39656" s="8"/>
    </row>
    <row r="39657" spans="1:4" ht="15.75" customHeight="1">
      <c r="A39657" s="8"/>
      <c r="B39657" s="12"/>
      <c r="C39657" s="8"/>
      <c r="D39657" s="8"/>
    </row>
    <row r="39658" spans="1:4" ht="15.75" customHeight="1">
      <c r="A39658" s="8"/>
      <c r="B39658" s="12"/>
      <c r="C39658" s="8"/>
      <c r="D39658" s="8"/>
    </row>
    <row r="39659" spans="1:4" ht="15.75" customHeight="1">
      <c r="A39659" s="8"/>
      <c r="B39659" s="12"/>
      <c r="C39659" s="8"/>
      <c r="D39659" s="8"/>
    </row>
    <row r="39660" spans="1:4" ht="15.75" customHeight="1">
      <c r="A39660" s="8"/>
      <c r="B39660" s="12"/>
      <c r="C39660" s="8"/>
      <c r="D39660" s="8"/>
    </row>
    <row r="39661" spans="1:4" ht="15.75" customHeight="1">
      <c r="A39661" s="8"/>
      <c r="B39661" s="12"/>
      <c r="C39661" s="8"/>
      <c r="D39661" s="8"/>
    </row>
    <row r="39662" spans="1:4" ht="15.75" customHeight="1">
      <c r="A39662" s="8"/>
      <c r="B39662" s="12"/>
      <c r="C39662" s="8"/>
      <c r="D39662" s="8"/>
    </row>
    <row r="39663" spans="1:4" ht="15.75" customHeight="1">
      <c r="A39663" s="8"/>
      <c r="B39663" s="12"/>
      <c r="C39663" s="8"/>
      <c r="D39663" s="8"/>
    </row>
    <row r="39664" spans="1:4" ht="15.75" customHeight="1">
      <c r="A39664" s="8"/>
      <c r="B39664" s="12"/>
      <c r="C39664" s="8"/>
      <c r="D39664" s="8"/>
    </row>
    <row r="39665" spans="1:4" ht="15.75" customHeight="1">
      <c r="A39665" s="8"/>
      <c r="B39665" s="12"/>
      <c r="C39665" s="8"/>
      <c r="D39665" s="8"/>
    </row>
    <row r="39666" spans="1:4" ht="15.75" customHeight="1">
      <c r="A39666" s="8"/>
      <c r="B39666" s="12"/>
      <c r="C39666" s="8"/>
      <c r="D39666" s="8"/>
    </row>
    <row r="39667" spans="1:4" ht="15.75" customHeight="1">
      <c r="A39667" s="8"/>
      <c r="B39667" s="12"/>
      <c r="C39667" s="8"/>
      <c r="D39667" s="8"/>
    </row>
    <row r="39668" spans="1:4" ht="15.75" customHeight="1">
      <c r="A39668" s="8"/>
      <c r="B39668" s="12"/>
      <c r="C39668" s="8"/>
      <c r="D39668" s="8"/>
    </row>
    <row r="39669" spans="1:4" ht="15.75" customHeight="1">
      <c r="A39669" s="8"/>
      <c r="B39669" s="12"/>
      <c r="C39669" s="8"/>
      <c r="D39669" s="8"/>
    </row>
    <row r="39670" spans="1:4" ht="15.75" customHeight="1">
      <c r="A39670" s="8"/>
      <c r="B39670" s="12"/>
      <c r="C39670" s="8"/>
      <c r="D39670" s="8"/>
    </row>
    <row r="39671" spans="1:4" ht="15.75" customHeight="1">
      <c r="A39671" s="8"/>
      <c r="B39671" s="12"/>
      <c r="C39671" s="8"/>
      <c r="D39671" s="8"/>
    </row>
    <row r="39672" spans="1:4" ht="15.75" customHeight="1">
      <c r="A39672" s="8"/>
      <c r="B39672" s="12"/>
      <c r="C39672" s="8"/>
      <c r="D39672" s="8"/>
    </row>
    <row r="39673" spans="1:4" ht="15.75" customHeight="1">
      <c r="A39673" s="8"/>
      <c r="B39673" s="12"/>
      <c r="C39673" s="8"/>
      <c r="D39673" s="8"/>
    </row>
    <row r="39674" spans="1:4" ht="15.75" customHeight="1">
      <c r="A39674" s="8"/>
      <c r="B39674" s="12"/>
      <c r="C39674" s="8"/>
      <c r="D39674" s="8"/>
    </row>
    <row r="39675" spans="1:4" ht="15.75" customHeight="1">
      <c r="A39675" s="8"/>
      <c r="B39675" s="12"/>
      <c r="C39675" s="8"/>
      <c r="D39675" s="8"/>
    </row>
    <row r="39676" spans="1:4" ht="15.75" customHeight="1">
      <c r="A39676" s="8"/>
      <c r="B39676" s="12"/>
      <c r="C39676" s="8"/>
      <c r="D39676" s="8"/>
    </row>
    <row r="39677" spans="1:4" ht="15.75" customHeight="1">
      <c r="A39677" s="8"/>
      <c r="B39677" s="12"/>
      <c r="C39677" s="8"/>
      <c r="D39677" s="8"/>
    </row>
    <row r="39678" spans="1:4" ht="15.75" customHeight="1">
      <c r="A39678" s="8"/>
      <c r="B39678" s="12"/>
      <c r="C39678" s="8"/>
      <c r="D39678" s="8"/>
    </row>
    <row r="39679" spans="1:4" ht="15.75" customHeight="1">
      <c r="A39679" s="8"/>
      <c r="B39679" s="12"/>
      <c r="C39679" s="8"/>
      <c r="D39679" s="8"/>
    </row>
    <row r="39680" spans="1:4" ht="15.75" customHeight="1">
      <c r="A39680" s="8"/>
      <c r="B39680" s="12"/>
      <c r="C39680" s="8"/>
      <c r="D39680" s="8"/>
    </row>
    <row r="39681" spans="1:4" ht="15.75" customHeight="1">
      <c r="A39681" s="8"/>
      <c r="B39681" s="12"/>
      <c r="C39681" s="8"/>
      <c r="D39681" s="8"/>
    </row>
    <row r="39682" spans="1:4" ht="15.75" customHeight="1">
      <c r="A39682" s="8"/>
      <c r="B39682" s="12"/>
      <c r="C39682" s="8"/>
      <c r="D39682" s="8"/>
    </row>
    <row r="39683" spans="1:4" ht="15.75" customHeight="1">
      <c r="A39683" s="8"/>
      <c r="B39683" s="12"/>
      <c r="C39683" s="8"/>
      <c r="D39683" s="8"/>
    </row>
    <row r="39684" spans="1:4" ht="15.75" customHeight="1">
      <c r="A39684" s="8"/>
      <c r="B39684" s="12"/>
      <c r="C39684" s="8"/>
      <c r="D39684" s="8"/>
    </row>
    <row r="39685" spans="1:4" ht="15.75" customHeight="1">
      <c r="A39685" s="8"/>
      <c r="B39685" s="12"/>
      <c r="C39685" s="8"/>
      <c r="D39685" s="8"/>
    </row>
    <row r="39686" spans="1:4" ht="15.75" customHeight="1">
      <c r="A39686" s="8"/>
      <c r="B39686" s="12"/>
      <c r="C39686" s="8"/>
      <c r="D39686" s="8"/>
    </row>
    <row r="39687" spans="1:4" ht="15.75" customHeight="1">
      <c r="A39687" s="8"/>
      <c r="B39687" s="12"/>
      <c r="C39687" s="8"/>
      <c r="D39687" s="8"/>
    </row>
    <row r="39688" spans="1:4" ht="15.75" customHeight="1">
      <c r="A39688" s="8"/>
      <c r="B39688" s="12"/>
      <c r="C39688" s="8"/>
      <c r="D39688" s="8"/>
    </row>
    <row r="39689" spans="1:4" ht="15.75" customHeight="1">
      <c r="A39689" s="8"/>
      <c r="B39689" s="12"/>
      <c r="C39689" s="8"/>
      <c r="D39689" s="8"/>
    </row>
    <row r="39690" spans="1:4" ht="15.75" customHeight="1">
      <c r="A39690" s="8"/>
      <c r="B39690" s="12"/>
      <c r="C39690" s="8"/>
      <c r="D39690" s="8"/>
    </row>
    <row r="39691" spans="1:4" ht="15.75" customHeight="1">
      <c r="A39691" s="8"/>
      <c r="B39691" s="12"/>
      <c r="C39691" s="8"/>
      <c r="D39691" s="8"/>
    </row>
    <row r="39692" spans="1:4" ht="15.75" customHeight="1">
      <c r="A39692" s="8"/>
      <c r="B39692" s="12"/>
      <c r="C39692" s="8"/>
      <c r="D39692" s="8"/>
    </row>
    <row r="39693" spans="1:4" ht="15.75" customHeight="1">
      <c r="A39693" s="8"/>
      <c r="B39693" s="12"/>
      <c r="C39693" s="8"/>
      <c r="D39693" s="8"/>
    </row>
    <row r="39694" spans="1:4" ht="15.75" customHeight="1">
      <c r="A39694" s="8"/>
      <c r="B39694" s="12"/>
      <c r="C39694" s="8"/>
      <c r="D39694" s="8"/>
    </row>
    <row r="39695" spans="1:4" ht="15.75" customHeight="1">
      <c r="A39695" s="8"/>
      <c r="B39695" s="12"/>
      <c r="C39695" s="8"/>
      <c r="D39695" s="8"/>
    </row>
    <row r="39696" spans="1:4" ht="15.75" customHeight="1">
      <c r="A39696" s="8"/>
      <c r="B39696" s="12"/>
      <c r="C39696" s="8"/>
      <c r="D39696" s="8"/>
    </row>
    <row r="39697" spans="1:4" ht="15.75" customHeight="1">
      <c r="A39697" s="8"/>
      <c r="B39697" s="12"/>
      <c r="C39697" s="8"/>
      <c r="D39697" s="8"/>
    </row>
    <row r="39698" spans="1:4" ht="15.75" customHeight="1">
      <c r="A39698" s="8"/>
      <c r="B39698" s="12"/>
      <c r="C39698" s="8"/>
      <c r="D39698" s="8"/>
    </row>
    <row r="39699" spans="1:4" ht="15.75" customHeight="1">
      <c r="A39699" s="8"/>
      <c r="B39699" s="12"/>
      <c r="C39699" s="8"/>
      <c r="D39699" s="8"/>
    </row>
    <row r="39700" spans="1:4" ht="15.75" customHeight="1">
      <c r="A39700" s="8"/>
      <c r="B39700" s="12"/>
      <c r="C39700" s="8"/>
      <c r="D39700" s="8"/>
    </row>
    <row r="39701" spans="1:4" ht="15.75" customHeight="1">
      <c r="A39701" s="8"/>
      <c r="B39701" s="12"/>
      <c r="C39701" s="8"/>
      <c r="D39701" s="8"/>
    </row>
    <row r="39702" spans="1:4" ht="15.75" customHeight="1">
      <c r="A39702" s="8"/>
      <c r="B39702" s="12"/>
      <c r="C39702" s="8"/>
      <c r="D39702" s="8"/>
    </row>
    <row r="39703" spans="1:4" ht="15.75" customHeight="1">
      <c r="A39703" s="8"/>
      <c r="B39703" s="12"/>
      <c r="C39703" s="8"/>
      <c r="D39703" s="8"/>
    </row>
    <row r="39704" spans="1:4" ht="15.75" customHeight="1">
      <c r="A39704" s="8"/>
      <c r="B39704" s="12"/>
      <c r="C39704" s="8"/>
      <c r="D39704" s="8"/>
    </row>
    <row r="39705" spans="1:4" ht="15.75" customHeight="1">
      <c r="A39705" s="8"/>
      <c r="B39705" s="12"/>
      <c r="C39705" s="8"/>
      <c r="D39705" s="8"/>
    </row>
    <row r="39706" spans="1:4" ht="15.75" customHeight="1">
      <c r="A39706" s="8"/>
      <c r="B39706" s="12"/>
      <c r="C39706" s="8"/>
      <c r="D39706" s="8"/>
    </row>
    <row r="39707" spans="1:4" ht="15.75" customHeight="1">
      <c r="A39707" s="8"/>
      <c r="B39707" s="12"/>
      <c r="C39707" s="8"/>
      <c r="D39707" s="8"/>
    </row>
    <row r="39708" spans="1:4" ht="15.75" customHeight="1">
      <c r="A39708" s="8"/>
      <c r="B39708" s="12"/>
      <c r="C39708" s="8"/>
      <c r="D39708" s="8"/>
    </row>
    <row r="39709" spans="1:4" ht="15.75" customHeight="1">
      <c r="A39709" s="8"/>
      <c r="B39709" s="12"/>
      <c r="C39709" s="8"/>
      <c r="D39709" s="8"/>
    </row>
    <row r="39710" spans="1:4" ht="15.75" customHeight="1">
      <c r="A39710" s="8"/>
      <c r="B39710" s="12"/>
      <c r="C39710" s="8"/>
      <c r="D39710" s="8"/>
    </row>
    <row r="39711" spans="1:4" ht="15.75" customHeight="1">
      <c r="A39711" s="8"/>
      <c r="B39711" s="12"/>
      <c r="C39711" s="8"/>
      <c r="D39711" s="8"/>
    </row>
    <row r="39712" spans="1:4" ht="15.75" customHeight="1">
      <c r="A39712" s="8"/>
      <c r="B39712" s="12"/>
      <c r="C39712" s="8"/>
      <c r="D39712" s="8"/>
    </row>
    <row r="39713" spans="1:4" ht="15.75" customHeight="1">
      <c r="A39713" s="8"/>
      <c r="B39713" s="12"/>
      <c r="C39713" s="8"/>
      <c r="D39713" s="8"/>
    </row>
    <row r="39714" spans="1:4" ht="15.75" customHeight="1">
      <c r="A39714" s="8"/>
      <c r="B39714" s="12"/>
      <c r="C39714" s="8"/>
      <c r="D39714" s="8"/>
    </row>
    <row r="39715" spans="1:4" ht="15.75" customHeight="1">
      <c r="A39715" s="8"/>
      <c r="B39715" s="12"/>
      <c r="C39715" s="8"/>
      <c r="D39715" s="8"/>
    </row>
    <row r="39716" spans="1:4" ht="15.75" customHeight="1">
      <c r="A39716" s="8"/>
      <c r="B39716" s="12"/>
      <c r="C39716" s="8"/>
      <c r="D39716" s="8"/>
    </row>
    <row r="39717" spans="1:4" ht="15.75" customHeight="1">
      <c r="A39717" s="8"/>
      <c r="B39717" s="12"/>
      <c r="C39717" s="8"/>
      <c r="D39717" s="8"/>
    </row>
    <row r="39718" spans="1:4" ht="15.75" customHeight="1">
      <c r="A39718" s="8"/>
      <c r="B39718" s="12"/>
      <c r="C39718" s="8"/>
      <c r="D39718" s="8"/>
    </row>
    <row r="39719" spans="1:4" ht="15.75" customHeight="1">
      <c r="A39719" s="8"/>
      <c r="B39719" s="12"/>
      <c r="C39719" s="8"/>
      <c r="D39719" s="8"/>
    </row>
    <row r="39720" spans="1:4" ht="15.75" customHeight="1">
      <c r="A39720" s="8"/>
      <c r="B39720" s="12"/>
      <c r="C39720" s="8"/>
      <c r="D39720" s="8"/>
    </row>
    <row r="39721" spans="1:4" ht="15.75" customHeight="1">
      <c r="A39721" s="8"/>
      <c r="B39721" s="12"/>
      <c r="C39721" s="8"/>
      <c r="D39721" s="8"/>
    </row>
    <row r="39722" spans="1:4" ht="15.75" customHeight="1">
      <c r="A39722" s="8"/>
      <c r="B39722" s="12"/>
      <c r="C39722" s="8"/>
      <c r="D39722" s="8"/>
    </row>
    <row r="39723" spans="1:4" ht="15.75" customHeight="1">
      <c r="A39723" s="8"/>
      <c r="B39723" s="12"/>
      <c r="C39723" s="8"/>
      <c r="D39723" s="8"/>
    </row>
    <row r="39724" spans="1:4" ht="15.75" customHeight="1">
      <c r="A39724" s="8"/>
      <c r="B39724" s="12"/>
      <c r="C39724" s="8"/>
      <c r="D39724" s="8"/>
    </row>
    <row r="39725" spans="1:4" ht="15.75" customHeight="1">
      <c r="A39725" s="8"/>
      <c r="B39725" s="12"/>
      <c r="C39725" s="8"/>
      <c r="D39725" s="8"/>
    </row>
    <row r="39726" spans="1:4" ht="15.75" customHeight="1">
      <c r="A39726" s="8"/>
      <c r="B39726" s="12"/>
      <c r="C39726" s="8"/>
      <c r="D39726" s="8"/>
    </row>
    <row r="39727" spans="1:4" ht="15.75" customHeight="1">
      <c r="A39727" s="8"/>
      <c r="B39727" s="12"/>
      <c r="C39727" s="8"/>
      <c r="D39727" s="8"/>
    </row>
    <row r="39728" spans="1:4" ht="15.75" customHeight="1">
      <c r="A39728" s="8"/>
      <c r="B39728" s="12"/>
      <c r="C39728" s="8"/>
      <c r="D39728" s="8"/>
    </row>
    <row r="39729" spans="1:4" ht="15.75" customHeight="1">
      <c r="A39729" s="8"/>
      <c r="B39729" s="12"/>
      <c r="C39729" s="8"/>
      <c r="D39729" s="8"/>
    </row>
    <row r="39730" spans="1:4" ht="15.75" customHeight="1">
      <c r="A39730" s="8"/>
      <c r="B39730" s="12"/>
      <c r="C39730" s="8"/>
      <c r="D39730" s="8"/>
    </row>
    <row r="39731" spans="1:4" ht="15.75" customHeight="1">
      <c r="A39731" s="8"/>
      <c r="B39731" s="12"/>
      <c r="C39731" s="8"/>
      <c r="D39731" s="8"/>
    </row>
    <row r="39732" spans="1:4" ht="15.75" customHeight="1">
      <c r="A39732" s="8"/>
      <c r="B39732" s="12"/>
      <c r="C39732" s="8"/>
      <c r="D39732" s="8"/>
    </row>
    <row r="39733" spans="1:4" ht="15.75" customHeight="1">
      <c r="A39733" s="8"/>
      <c r="B39733" s="12"/>
      <c r="C39733" s="8"/>
      <c r="D39733" s="8"/>
    </row>
    <row r="39734" spans="1:4" ht="15.75" customHeight="1">
      <c r="A39734" s="8"/>
      <c r="B39734" s="12"/>
      <c r="C39734" s="8"/>
      <c r="D39734" s="8"/>
    </row>
    <row r="39735" spans="1:4" ht="15.75" customHeight="1">
      <c r="A39735" s="8"/>
      <c r="B39735" s="12"/>
      <c r="C39735" s="8"/>
      <c r="D39735" s="8"/>
    </row>
    <row r="39736" spans="1:4" ht="15.75" customHeight="1">
      <c r="A39736" s="8"/>
      <c r="B39736" s="12"/>
      <c r="C39736" s="8"/>
      <c r="D39736" s="8"/>
    </row>
    <row r="39737" spans="1:4" ht="15.75" customHeight="1">
      <c r="A39737" s="8"/>
      <c r="B39737" s="12"/>
      <c r="C39737" s="8"/>
      <c r="D39737" s="8"/>
    </row>
    <row r="39738" spans="1:4" ht="15.75" customHeight="1">
      <c r="A39738" s="8"/>
      <c r="B39738" s="12"/>
      <c r="C39738" s="8"/>
      <c r="D39738" s="8"/>
    </row>
    <row r="39739" spans="1:4" ht="15.75" customHeight="1">
      <c r="A39739" s="8"/>
      <c r="B39739" s="12"/>
      <c r="C39739" s="8"/>
      <c r="D39739" s="8"/>
    </row>
    <row r="39740" spans="1:4" ht="15.75" customHeight="1">
      <c r="A39740" s="8"/>
      <c r="B39740" s="12"/>
      <c r="C39740" s="8"/>
      <c r="D39740" s="8"/>
    </row>
    <row r="39741" spans="1:4" ht="15.75" customHeight="1">
      <c r="A39741" s="8"/>
      <c r="B39741" s="12"/>
      <c r="C39741" s="8"/>
      <c r="D39741" s="8"/>
    </row>
    <row r="39742" spans="1:4" ht="15.75" customHeight="1">
      <c r="A39742" s="8"/>
      <c r="B39742" s="12"/>
      <c r="C39742" s="8"/>
      <c r="D39742" s="8"/>
    </row>
    <row r="39743" spans="1:4" ht="15.75" customHeight="1">
      <c r="A39743" s="8"/>
      <c r="B39743" s="12"/>
      <c r="C39743" s="8"/>
      <c r="D39743" s="8"/>
    </row>
    <row r="39744" spans="1:4" ht="15.75" customHeight="1">
      <c r="A39744" s="8"/>
      <c r="B39744" s="12"/>
      <c r="C39744" s="8"/>
      <c r="D39744" s="8"/>
    </row>
    <row r="39745" spans="1:4" ht="15.75" customHeight="1">
      <c r="A39745" s="8"/>
      <c r="B39745" s="12"/>
      <c r="C39745" s="8"/>
      <c r="D39745" s="8"/>
    </row>
    <row r="39746" spans="1:4" ht="15.75" customHeight="1">
      <c r="A39746" s="8"/>
      <c r="B39746" s="12"/>
      <c r="C39746" s="8"/>
      <c r="D39746" s="8"/>
    </row>
    <row r="39747" spans="1:4" ht="15.75" customHeight="1">
      <c r="A39747" s="8"/>
      <c r="B39747" s="12"/>
      <c r="C39747" s="8"/>
      <c r="D39747" s="8"/>
    </row>
    <row r="39748" spans="1:4" ht="15.75" customHeight="1">
      <c r="A39748" s="8"/>
      <c r="B39748" s="12"/>
      <c r="C39748" s="8"/>
      <c r="D39748" s="8"/>
    </row>
    <row r="39749" spans="1:4" ht="15.75" customHeight="1">
      <c r="A39749" s="8"/>
      <c r="B39749" s="12"/>
      <c r="C39749" s="8"/>
      <c r="D39749" s="8"/>
    </row>
    <row r="39750" spans="1:4" ht="15.75" customHeight="1">
      <c r="A39750" s="8"/>
      <c r="B39750" s="12"/>
      <c r="C39750" s="8"/>
      <c r="D39750" s="8"/>
    </row>
    <row r="39751" spans="1:4" ht="15.75" customHeight="1">
      <c r="A39751" s="8"/>
      <c r="B39751" s="12"/>
      <c r="C39751" s="8"/>
      <c r="D39751" s="8"/>
    </row>
    <row r="39752" spans="1:4" ht="15.75" customHeight="1">
      <c r="A39752" s="8"/>
      <c r="B39752" s="12"/>
      <c r="C39752" s="8"/>
      <c r="D39752" s="8"/>
    </row>
    <row r="39753" spans="1:4" ht="15.75" customHeight="1">
      <c r="A39753" s="8"/>
      <c r="B39753" s="12"/>
      <c r="C39753" s="8"/>
      <c r="D39753" s="8"/>
    </row>
    <row r="39754" spans="1:4" ht="15.75" customHeight="1">
      <c r="A39754" s="8"/>
      <c r="B39754" s="12"/>
      <c r="C39754" s="8"/>
      <c r="D39754" s="8"/>
    </row>
    <row r="39755" spans="1:4" ht="15.75" customHeight="1">
      <c r="A39755" s="8"/>
      <c r="B39755" s="12"/>
      <c r="C39755" s="8"/>
      <c r="D39755" s="8"/>
    </row>
    <row r="39756" spans="1:4" ht="15.75" customHeight="1">
      <c r="A39756" s="8"/>
      <c r="B39756" s="12"/>
      <c r="C39756" s="8"/>
      <c r="D39756" s="8"/>
    </row>
    <row r="39757" spans="1:4" ht="15.75" customHeight="1">
      <c r="A39757" s="8"/>
      <c r="B39757" s="12"/>
      <c r="C39757" s="8"/>
      <c r="D39757" s="8"/>
    </row>
    <row r="39758" spans="1:4" ht="15.75" customHeight="1">
      <c r="A39758" s="8"/>
      <c r="B39758" s="12"/>
      <c r="C39758" s="8"/>
      <c r="D39758" s="8"/>
    </row>
    <row r="39759" spans="1:4" ht="15.75" customHeight="1">
      <c r="A39759" s="8"/>
      <c r="B39759" s="12"/>
      <c r="C39759" s="8"/>
      <c r="D39759" s="8"/>
    </row>
    <row r="39760" spans="1:4" ht="15.75" customHeight="1">
      <c r="A39760" s="8"/>
      <c r="B39760" s="12"/>
      <c r="C39760" s="8"/>
      <c r="D39760" s="8"/>
    </row>
    <row r="39761" spans="1:4" ht="15.75" customHeight="1">
      <c r="A39761" s="8"/>
      <c r="B39761" s="12"/>
      <c r="C39761" s="8"/>
      <c r="D39761" s="8"/>
    </row>
    <row r="39762" spans="1:4" ht="15.75" customHeight="1">
      <c r="A39762" s="8"/>
      <c r="B39762" s="12"/>
      <c r="C39762" s="8"/>
      <c r="D39762" s="8"/>
    </row>
    <row r="39763" spans="1:4" ht="15.75" customHeight="1">
      <c r="A39763" s="8"/>
      <c r="B39763" s="12"/>
      <c r="C39763" s="8"/>
      <c r="D39763" s="8"/>
    </row>
    <row r="39764" spans="1:4" ht="15.75" customHeight="1">
      <c r="A39764" s="8"/>
      <c r="B39764" s="12"/>
      <c r="C39764" s="8"/>
      <c r="D39764" s="8"/>
    </row>
    <row r="39765" spans="1:4" ht="15.75" customHeight="1">
      <c r="A39765" s="8"/>
      <c r="B39765" s="12"/>
      <c r="C39765" s="8"/>
      <c r="D39765" s="8"/>
    </row>
    <row r="39766" spans="1:4" ht="15.75" customHeight="1">
      <c r="A39766" s="8"/>
      <c r="B39766" s="12"/>
      <c r="C39766" s="8"/>
      <c r="D39766" s="8"/>
    </row>
    <row r="39767" spans="1:4" ht="15.75" customHeight="1">
      <c r="A39767" s="8"/>
      <c r="B39767" s="12"/>
      <c r="C39767" s="8"/>
      <c r="D39767" s="8"/>
    </row>
    <row r="39768" spans="1:4" ht="15.75" customHeight="1">
      <c r="A39768" s="8"/>
      <c r="B39768" s="12"/>
      <c r="C39768" s="8"/>
      <c r="D39768" s="8"/>
    </row>
    <row r="39769" spans="1:4" ht="15.75" customHeight="1">
      <c r="A39769" s="8"/>
      <c r="B39769" s="12"/>
      <c r="C39769" s="8"/>
      <c r="D39769" s="8"/>
    </row>
    <row r="39770" spans="1:4" ht="15.75" customHeight="1">
      <c r="A39770" s="8"/>
      <c r="B39770" s="12"/>
      <c r="C39770" s="8"/>
      <c r="D39770" s="8"/>
    </row>
    <row r="39771" spans="1:4" ht="15.75" customHeight="1">
      <c r="A39771" s="8"/>
      <c r="B39771" s="12"/>
      <c r="C39771" s="8"/>
      <c r="D39771" s="8"/>
    </row>
    <row r="39772" spans="1:4" ht="15.75" customHeight="1">
      <c r="A39772" s="8"/>
      <c r="B39772" s="12"/>
      <c r="C39772" s="8"/>
      <c r="D39772" s="8"/>
    </row>
    <row r="39773" spans="1:4" ht="15.75" customHeight="1">
      <c r="A39773" s="8"/>
      <c r="B39773" s="12"/>
      <c r="C39773" s="8"/>
      <c r="D39773" s="8"/>
    </row>
    <row r="39774" spans="1:4" ht="15.75" customHeight="1">
      <c r="A39774" s="8"/>
      <c r="B39774" s="12"/>
      <c r="C39774" s="8"/>
      <c r="D39774" s="8"/>
    </row>
    <row r="39775" spans="1:4" ht="15.75" customHeight="1">
      <c r="A39775" s="8"/>
      <c r="B39775" s="12"/>
      <c r="C39775" s="8"/>
      <c r="D39775" s="8"/>
    </row>
    <row r="39776" spans="1:4" ht="15.75" customHeight="1">
      <c r="A39776" s="8"/>
      <c r="B39776" s="12"/>
      <c r="C39776" s="8"/>
      <c r="D39776" s="8"/>
    </row>
    <row r="39777" spans="1:4" ht="15.75" customHeight="1">
      <c r="A39777" s="8"/>
      <c r="B39777" s="12"/>
      <c r="C39777" s="8"/>
      <c r="D39777" s="8"/>
    </row>
    <row r="39778" spans="1:4" ht="15.75" customHeight="1">
      <c r="A39778" s="8"/>
      <c r="B39778" s="12"/>
      <c r="C39778" s="8"/>
      <c r="D39778" s="8"/>
    </row>
    <row r="39779" spans="1:4" ht="15.75" customHeight="1">
      <c r="A39779" s="8"/>
      <c r="B39779" s="12"/>
      <c r="C39779" s="8"/>
      <c r="D39779" s="8"/>
    </row>
    <row r="39780" spans="1:4" ht="15.75" customHeight="1">
      <c r="A39780" s="8"/>
      <c r="B39780" s="12"/>
      <c r="C39780" s="8"/>
      <c r="D39780" s="8"/>
    </row>
    <row r="39781" spans="1:4" ht="15.75" customHeight="1">
      <c r="A39781" s="8"/>
      <c r="B39781" s="12"/>
      <c r="C39781" s="8"/>
      <c r="D39781" s="8"/>
    </row>
    <row r="39782" spans="1:4" ht="15.75" customHeight="1">
      <c r="A39782" s="8"/>
      <c r="B39782" s="12"/>
      <c r="C39782" s="8"/>
      <c r="D39782" s="8"/>
    </row>
    <row r="39783" spans="1:4" ht="15.75" customHeight="1">
      <c r="A39783" s="8"/>
      <c r="B39783" s="12"/>
      <c r="C39783" s="8"/>
      <c r="D39783" s="8"/>
    </row>
    <row r="39784" spans="1:4" ht="15.75" customHeight="1">
      <c r="A39784" s="8"/>
      <c r="B39784" s="12"/>
      <c r="C39784" s="8"/>
      <c r="D39784" s="8"/>
    </row>
    <row r="39785" spans="1:4" ht="15.75" customHeight="1">
      <c r="A39785" s="8"/>
      <c r="B39785" s="12"/>
      <c r="C39785" s="8"/>
      <c r="D39785" s="8"/>
    </row>
    <row r="39786" spans="1:4" ht="15.75" customHeight="1">
      <c r="A39786" s="8"/>
      <c r="B39786" s="12"/>
      <c r="C39786" s="8"/>
      <c r="D39786" s="8"/>
    </row>
    <row r="39787" spans="1:4" ht="15.75" customHeight="1">
      <c r="A39787" s="8"/>
      <c r="B39787" s="12"/>
      <c r="C39787" s="8"/>
      <c r="D39787" s="8"/>
    </row>
    <row r="39788" spans="1:4" ht="15.75" customHeight="1">
      <c r="A39788" s="8"/>
      <c r="B39788" s="12"/>
      <c r="C39788" s="8"/>
      <c r="D39788" s="8"/>
    </row>
    <row r="39789" spans="1:4" ht="15.75" customHeight="1">
      <c r="A39789" s="8"/>
      <c r="B39789" s="12"/>
      <c r="C39789" s="8"/>
      <c r="D39789" s="8"/>
    </row>
    <row r="39790" spans="1:4" ht="15.75" customHeight="1">
      <c r="A39790" s="8"/>
      <c r="B39790" s="12"/>
      <c r="C39790" s="8"/>
      <c r="D39790" s="8"/>
    </row>
    <row r="39791" spans="1:4" ht="15.75" customHeight="1">
      <c r="A39791" s="8"/>
      <c r="B39791" s="12"/>
      <c r="C39791" s="8"/>
      <c r="D39791" s="8"/>
    </row>
    <row r="39792" spans="1:4" ht="15.75" customHeight="1">
      <c r="A39792" s="8"/>
      <c r="B39792" s="12"/>
      <c r="C39792" s="8"/>
      <c r="D39792" s="8"/>
    </row>
    <row r="39793" spans="1:4" ht="15.75" customHeight="1">
      <c r="A39793" s="8"/>
      <c r="B39793" s="12"/>
      <c r="C39793" s="8"/>
      <c r="D39793" s="8"/>
    </row>
    <row r="39794" spans="1:4" ht="15.75" customHeight="1">
      <c r="A39794" s="8"/>
      <c r="B39794" s="12"/>
      <c r="C39794" s="8"/>
      <c r="D39794" s="8"/>
    </row>
    <row r="39795" spans="1:4" ht="15.75" customHeight="1">
      <c r="A39795" s="8"/>
      <c r="B39795" s="12"/>
      <c r="C39795" s="8"/>
      <c r="D39795" s="8"/>
    </row>
    <row r="39796" spans="1:4" ht="15.75" customHeight="1">
      <c r="A39796" s="8"/>
      <c r="B39796" s="12"/>
      <c r="C39796" s="8"/>
      <c r="D39796" s="8"/>
    </row>
    <row r="39797" spans="1:4" ht="15.75" customHeight="1">
      <c r="A39797" s="8"/>
      <c r="B39797" s="12"/>
      <c r="C39797" s="8"/>
      <c r="D39797" s="8"/>
    </row>
    <row r="39798" spans="1:4" ht="15.75" customHeight="1">
      <c r="A39798" s="8"/>
      <c r="B39798" s="12"/>
      <c r="C39798" s="8"/>
      <c r="D39798" s="8"/>
    </row>
    <row r="39799" spans="1:4" ht="15.75" customHeight="1">
      <c r="A39799" s="8"/>
      <c r="B39799" s="12"/>
      <c r="C39799" s="8"/>
      <c r="D39799" s="8"/>
    </row>
    <row r="39800" spans="1:4" ht="15.75" customHeight="1">
      <c r="A39800" s="8"/>
      <c r="B39800" s="12"/>
      <c r="C39800" s="8"/>
      <c r="D39800" s="8"/>
    </row>
    <row r="39801" spans="1:4" ht="15.75" customHeight="1">
      <c r="A39801" s="8"/>
      <c r="B39801" s="12"/>
      <c r="C39801" s="8"/>
      <c r="D39801" s="8"/>
    </row>
    <row r="39802" spans="1:4" ht="15.75" customHeight="1">
      <c r="A39802" s="8"/>
      <c r="B39802" s="12"/>
      <c r="C39802" s="8"/>
      <c r="D39802" s="8"/>
    </row>
    <row r="39803" spans="1:4" ht="15.75" customHeight="1">
      <c r="A39803" s="8"/>
      <c r="B39803" s="12"/>
      <c r="C39803" s="8"/>
      <c r="D39803" s="8"/>
    </row>
    <row r="39804" spans="1:4" ht="15.75" customHeight="1">
      <c r="A39804" s="8"/>
      <c r="B39804" s="12"/>
      <c r="C39804" s="8"/>
      <c r="D39804" s="8"/>
    </row>
    <row r="39805" spans="1:4" ht="15.75" customHeight="1">
      <c r="A39805" s="8"/>
      <c r="B39805" s="12"/>
      <c r="C39805" s="8"/>
      <c r="D39805" s="8"/>
    </row>
    <row r="39806" spans="1:4" ht="15.75" customHeight="1">
      <c r="A39806" s="8"/>
      <c r="B39806" s="12"/>
      <c r="C39806" s="8"/>
      <c r="D39806" s="8"/>
    </row>
    <row r="39807" spans="1:4" ht="15.75" customHeight="1">
      <c r="A39807" s="8"/>
      <c r="B39807" s="12"/>
      <c r="C39807" s="8"/>
      <c r="D39807" s="8"/>
    </row>
    <row r="39808" spans="1:4" ht="15.75" customHeight="1">
      <c r="A39808" s="8"/>
      <c r="B39808" s="12"/>
      <c r="C39808" s="8"/>
      <c r="D39808" s="8"/>
    </row>
    <row r="39809" spans="1:4" ht="15.75" customHeight="1">
      <c r="A39809" s="8"/>
      <c r="B39809" s="12"/>
      <c r="C39809" s="8"/>
      <c r="D39809" s="8"/>
    </row>
    <row r="39810" spans="1:4" ht="15.75" customHeight="1">
      <c r="A39810" s="8"/>
      <c r="B39810" s="12"/>
      <c r="C39810" s="8"/>
      <c r="D39810" s="8"/>
    </row>
    <row r="39811" spans="1:4" ht="15.75" customHeight="1">
      <c r="A39811" s="8"/>
      <c r="B39811" s="12"/>
      <c r="C39811" s="8"/>
      <c r="D39811" s="8"/>
    </row>
    <row r="39812" spans="1:4" ht="15.75" customHeight="1">
      <c r="A39812" s="8"/>
      <c r="B39812" s="12"/>
      <c r="C39812" s="8"/>
      <c r="D39812" s="8"/>
    </row>
    <row r="39813" spans="1:4" ht="15.75" customHeight="1">
      <c r="A39813" s="8"/>
      <c r="B39813" s="12"/>
      <c r="C39813" s="8"/>
      <c r="D39813" s="8"/>
    </row>
    <row r="39814" spans="1:4" ht="15.75" customHeight="1">
      <c r="A39814" s="8"/>
      <c r="B39814" s="12"/>
      <c r="C39814" s="8"/>
      <c r="D39814" s="8"/>
    </row>
    <row r="39815" spans="1:4" ht="15.75" customHeight="1">
      <c r="A39815" s="8"/>
      <c r="B39815" s="12"/>
      <c r="C39815" s="8"/>
      <c r="D39815" s="8"/>
    </row>
    <row r="39816" spans="1:4" ht="15.75" customHeight="1">
      <c r="A39816" s="8"/>
      <c r="B39816" s="12"/>
      <c r="C39816" s="8"/>
      <c r="D39816" s="8"/>
    </row>
    <row r="39817" spans="1:4" ht="15.75" customHeight="1">
      <c r="A39817" s="8"/>
      <c r="B39817" s="12"/>
      <c r="C39817" s="8"/>
      <c r="D39817" s="8"/>
    </row>
    <row r="39818" spans="1:4" ht="15.75" customHeight="1">
      <c r="A39818" s="8"/>
      <c r="B39818" s="12"/>
      <c r="C39818" s="8"/>
      <c r="D39818" s="8"/>
    </row>
    <row r="39819" spans="1:4" ht="15.75" customHeight="1">
      <c r="A39819" s="8"/>
      <c r="B39819" s="12"/>
      <c r="C39819" s="8"/>
      <c r="D39819" s="8"/>
    </row>
    <row r="39820" spans="1:4" ht="15.75" customHeight="1">
      <c r="A39820" s="8"/>
      <c r="B39820" s="12"/>
      <c r="C39820" s="8"/>
      <c r="D39820" s="8"/>
    </row>
    <row r="39821" spans="1:4" ht="15.75" customHeight="1">
      <c r="A39821" s="8"/>
      <c r="B39821" s="12"/>
      <c r="C39821" s="8"/>
      <c r="D39821" s="8"/>
    </row>
    <row r="39822" spans="1:4" ht="15.75" customHeight="1">
      <c r="A39822" s="8"/>
      <c r="B39822" s="12"/>
      <c r="C39822" s="8"/>
      <c r="D39822" s="8"/>
    </row>
    <row r="39823" spans="1:4" ht="15.75" customHeight="1">
      <c r="A39823" s="8"/>
      <c r="B39823" s="12"/>
      <c r="C39823" s="8"/>
      <c r="D39823" s="8"/>
    </row>
    <row r="39824" spans="1:4" ht="15.75" customHeight="1">
      <c r="A39824" s="8"/>
      <c r="B39824" s="12"/>
      <c r="C39824" s="8"/>
      <c r="D39824" s="8"/>
    </row>
    <row r="39825" spans="1:4" ht="15.75" customHeight="1">
      <c r="A39825" s="8"/>
      <c r="B39825" s="12"/>
      <c r="C39825" s="8"/>
      <c r="D39825" s="8"/>
    </row>
    <row r="39826" spans="1:4" ht="15.75" customHeight="1">
      <c r="A39826" s="8"/>
      <c r="B39826" s="12"/>
      <c r="C39826" s="8"/>
      <c r="D39826" s="8"/>
    </row>
    <row r="39827" spans="1:4" ht="15.75" customHeight="1">
      <c r="A39827" s="8"/>
      <c r="B39827" s="12"/>
      <c r="C39827" s="8"/>
      <c r="D39827" s="8"/>
    </row>
    <row r="39828" spans="1:4" ht="15.75" customHeight="1">
      <c r="A39828" s="8"/>
      <c r="B39828" s="12"/>
      <c r="C39828" s="8"/>
      <c r="D39828" s="8"/>
    </row>
    <row r="39829" spans="1:4" ht="15.75" customHeight="1">
      <c r="A39829" s="8"/>
      <c r="B39829" s="12"/>
      <c r="C39829" s="8"/>
      <c r="D39829" s="8"/>
    </row>
    <row r="39830" spans="1:4" ht="15.75" customHeight="1">
      <c r="A39830" s="8"/>
      <c r="B39830" s="12"/>
      <c r="C39830" s="8"/>
      <c r="D39830" s="8"/>
    </row>
    <row r="39831" spans="1:4" ht="15.75" customHeight="1">
      <c r="A39831" s="8"/>
      <c r="B39831" s="12"/>
      <c r="C39831" s="8"/>
      <c r="D39831" s="8"/>
    </row>
    <row r="39832" spans="1:4" ht="15.75" customHeight="1">
      <c r="A39832" s="8"/>
      <c r="B39832" s="12"/>
      <c r="C39832" s="8"/>
      <c r="D39832" s="8"/>
    </row>
    <row r="39833" spans="1:4" ht="15.75" customHeight="1">
      <c r="A39833" s="8"/>
      <c r="B39833" s="12"/>
      <c r="C39833" s="8"/>
      <c r="D39833" s="8"/>
    </row>
    <row r="39834" spans="1:4" ht="15.75" customHeight="1">
      <c r="A39834" s="8"/>
      <c r="B39834" s="12"/>
      <c r="C39834" s="8"/>
      <c r="D39834" s="8"/>
    </row>
    <row r="39835" spans="1:4" ht="15.75" customHeight="1">
      <c r="A39835" s="8"/>
      <c r="B39835" s="12"/>
      <c r="C39835" s="8"/>
      <c r="D39835" s="8"/>
    </row>
    <row r="39836" spans="1:4" ht="15.75" customHeight="1">
      <c r="A39836" s="8"/>
      <c r="B39836" s="12"/>
      <c r="C39836" s="8"/>
      <c r="D39836" s="8"/>
    </row>
    <row r="39837" spans="1:4" ht="15.75" customHeight="1">
      <c r="A39837" s="8"/>
      <c r="B39837" s="12"/>
      <c r="C39837" s="8"/>
      <c r="D39837" s="8"/>
    </row>
    <row r="39838" spans="1:4" ht="15.75" customHeight="1">
      <c r="A39838" s="8"/>
      <c r="B39838" s="12"/>
      <c r="C39838" s="8"/>
      <c r="D39838" s="8"/>
    </row>
    <row r="39839" spans="1:4" ht="15.75" customHeight="1">
      <c r="A39839" s="8"/>
      <c r="B39839" s="12"/>
      <c r="C39839" s="8"/>
      <c r="D39839" s="8"/>
    </row>
    <row r="39840" spans="1:4" ht="15.75" customHeight="1">
      <c r="A39840" s="8"/>
      <c r="B39840" s="12"/>
      <c r="C39840" s="8"/>
      <c r="D39840" s="8"/>
    </row>
    <row r="39841" spans="1:4" ht="15.75" customHeight="1">
      <c r="A39841" s="8"/>
      <c r="B39841" s="12"/>
      <c r="C39841" s="8"/>
      <c r="D39841" s="8"/>
    </row>
    <row r="39842" spans="1:4" ht="15.75" customHeight="1">
      <c r="A39842" s="8"/>
      <c r="B39842" s="12"/>
      <c r="C39842" s="8"/>
      <c r="D39842" s="8"/>
    </row>
    <row r="39843" spans="1:4" ht="15.75" customHeight="1">
      <c r="A39843" s="8"/>
      <c r="B39843" s="12"/>
      <c r="C39843" s="8"/>
      <c r="D39843" s="8"/>
    </row>
    <row r="39844" spans="1:4" ht="15.75" customHeight="1">
      <c r="A39844" s="8"/>
      <c r="B39844" s="12"/>
      <c r="C39844" s="8"/>
      <c r="D39844" s="8"/>
    </row>
    <row r="39845" spans="1:4" ht="15.75" customHeight="1">
      <c r="A39845" s="8"/>
      <c r="B39845" s="12"/>
      <c r="C39845" s="8"/>
      <c r="D39845" s="8"/>
    </row>
    <row r="39846" spans="1:4" ht="15.75" customHeight="1">
      <c r="A39846" s="8"/>
      <c r="B39846" s="12"/>
      <c r="C39846" s="8"/>
      <c r="D39846" s="8"/>
    </row>
    <row r="39847" spans="1:4" ht="15.75" customHeight="1">
      <c r="A39847" s="8"/>
      <c r="B39847" s="12"/>
      <c r="C39847" s="8"/>
      <c r="D39847" s="8"/>
    </row>
    <row r="39848" spans="1:4" ht="15.75" customHeight="1">
      <c r="A39848" s="8"/>
      <c r="B39848" s="12"/>
      <c r="C39848" s="8"/>
      <c r="D39848" s="8"/>
    </row>
    <row r="39849" spans="1:4" ht="15.75" customHeight="1">
      <c r="A39849" s="8"/>
      <c r="B39849" s="12"/>
      <c r="C39849" s="8"/>
      <c r="D39849" s="8"/>
    </row>
    <row r="39850" spans="1:4" ht="15.75" customHeight="1">
      <c r="A39850" s="8"/>
      <c r="B39850" s="12"/>
      <c r="C39850" s="8"/>
      <c r="D39850" s="8"/>
    </row>
    <row r="39851" spans="1:4" ht="15.75" customHeight="1">
      <c r="A39851" s="8"/>
      <c r="B39851" s="12"/>
      <c r="C39851" s="8"/>
      <c r="D39851" s="8"/>
    </row>
    <row r="39852" spans="1:4" ht="15.75" customHeight="1">
      <c r="A39852" s="8"/>
      <c r="B39852" s="12"/>
      <c r="C39852" s="8"/>
      <c r="D39852" s="8"/>
    </row>
    <row r="39853" spans="1:4" ht="15.75" customHeight="1">
      <c r="A39853" s="8"/>
      <c r="B39853" s="12"/>
      <c r="C39853" s="8"/>
      <c r="D39853" s="8"/>
    </row>
    <row r="39854" spans="1:4" ht="15.75" customHeight="1">
      <c r="A39854" s="8"/>
      <c r="B39854" s="12"/>
      <c r="C39854" s="8"/>
      <c r="D39854" s="8"/>
    </row>
    <row r="39855" spans="1:4" ht="15.75" customHeight="1">
      <c r="A39855" s="8"/>
      <c r="B39855" s="12"/>
      <c r="C39855" s="8"/>
      <c r="D39855" s="8"/>
    </row>
    <row r="39856" spans="1:4" ht="15.75" customHeight="1">
      <c r="A39856" s="8"/>
      <c r="B39856" s="12"/>
      <c r="C39856" s="8"/>
      <c r="D39856" s="8"/>
    </row>
    <row r="39857" spans="1:4" ht="15.75" customHeight="1">
      <c r="A39857" s="8"/>
      <c r="B39857" s="12"/>
      <c r="C39857" s="8"/>
      <c r="D39857" s="8"/>
    </row>
    <row r="39858" spans="1:4" ht="15.75" customHeight="1">
      <c r="A39858" s="8"/>
      <c r="B39858" s="12"/>
      <c r="C39858" s="8"/>
      <c r="D39858" s="8"/>
    </row>
    <row r="39859" spans="1:4" ht="15.75" customHeight="1">
      <c r="A39859" s="8"/>
      <c r="B39859" s="12"/>
      <c r="C39859" s="8"/>
      <c r="D39859" s="8"/>
    </row>
    <row r="39860" spans="1:4" ht="15.75" customHeight="1">
      <c r="A39860" s="8"/>
      <c r="B39860" s="12"/>
      <c r="C39860" s="8"/>
      <c r="D39860" s="8"/>
    </row>
    <row r="39861" spans="1:4" ht="15.75" customHeight="1">
      <c r="A39861" s="8"/>
      <c r="B39861" s="12"/>
      <c r="C39861" s="8"/>
      <c r="D39861" s="8"/>
    </row>
    <row r="39862" spans="1:4" ht="15.75" customHeight="1">
      <c r="A39862" s="8"/>
      <c r="B39862" s="12"/>
      <c r="C39862" s="8"/>
      <c r="D39862" s="8"/>
    </row>
    <row r="39863" spans="1:4" ht="15.75" customHeight="1">
      <c r="A39863" s="8"/>
      <c r="B39863" s="12"/>
      <c r="C39863" s="8"/>
      <c r="D39863" s="8"/>
    </row>
    <row r="39864" spans="1:4" ht="15.75" customHeight="1">
      <c r="A39864" s="8"/>
      <c r="B39864" s="12"/>
      <c r="C39864" s="8"/>
      <c r="D39864" s="8"/>
    </row>
    <row r="39865" spans="1:4" ht="15.75" customHeight="1">
      <c r="A39865" s="8"/>
      <c r="B39865" s="12"/>
      <c r="C39865" s="8"/>
      <c r="D39865" s="8"/>
    </row>
    <row r="39866" spans="1:4" ht="15.75" customHeight="1">
      <c r="A39866" s="8"/>
      <c r="B39866" s="12"/>
      <c r="C39866" s="8"/>
      <c r="D39866" s="8"/>
    </row>
    <row r="39867" spans="1:4" ht="15.75" customHeight="1">
      <c r="A39867" s="8"/>
      <c r="B39867" s="12"/>
      <c r="C39867" s="8"/>
      <c r="D39867" s="8"/>
    </row>
    <row r="39868" spans="1:4" ht="15.75" customHeight="1">
      <c r="A39868" s="8"/>
      <c r="B39868" s="12"/>
      <c r="C39868" s="8"/>
      <c r="D39868" s="8"/>
    </row>
    <row r="39869" spans="1:4" ht="15.75" customHeight="1">
      <c r="A39869" s="8"/>
      <c r="B39869" s="12"/>
      <c r="C39869" s="8"/>
      <c r="D39869" s="8"/>
    </row>
    <row r="39870" spans="1:4" ht="15.75" customHeight="1">
      <c r="A39870" s="8"/>
      <c r="B39870" s="12"/>
      <c r="C39870" s="8"/>
      <c r="D39870" s="8"/>
    </row>
    <row r="39871" spans="1:4" ht="15.75" customHeight="1">
      <c r="A39871" s="8"/>
      <c r="B39871" s="12"/>
      <c r="C39871" s="8"/>
      <c r="D39871" s="8"/>
    </row>
    <row r="39872" spans="1:4" ht="15.75" customHeight="1">
      <c r="A39872" s="8"/>
      <c r="B39872" s="12"/>
      <c r="C39872" s="8"/>
      <c r="D39872" s="8"/>
    </row>
    <row r="39873" spans="1:4" ht="15.75" customHeight="1">
      <c r="A39873" s="8"/>
      <c r="B39873" s="12"/>
      <c r="C39873" s="8"/>
      <c r="D39873" s="8"/>
    </row>
    <row r="39874" spans="1:4" ht="15.75" customHeight="1">
      <c r="A39874" s="8"/>
      <c r="B39874" s="12"/>
      <c r="C39874" s="8"/>
      <c r="D39874" s="8"/>
    </row>
    <row r="39875" spans="1:4" ht="15.75" customHeight="1">
      <c r="A39875" s="8"/>
      <c r="B39875" s="12"/>
      <c r="C39875" s="8"/>
      <c r="D39875" s="8"/>
    </row>
    <row r="39876" spans="1:4" ht="15.75" customHeight="1">
      <c r="A39876" s="8"/>
      <c r="B39876" s="12"/>
      <c r="C39876" s="8"/>
      <c r="D39876" s="8"/>
    </row>
    <row r="39877" spans="1:4" ht="15.75" customHeight="1">
      <c r="A39877" s="8"/>
      <c r="B39877" s="12"/>
      <c r="C39877" s="8"/>
      <c r="D39877" s="8"/>
    </row>
    <row r="39878" spans="1:4" ht="15.75" customHeight="1">
      <c r="A39878" s="8"/>
      <c r="B39878" s="12"/>
      <c r="C39878" s="8"/>
      <c r="D39878" s="8"/>
    </row>
    <row r="39879" spans="1:4" ht="15.75" customHeight="1">
      <c r="A39879" s="8"/>
      <c r="B39879" s="12"/>
      <c r="C39879" s="8"/>
      <c r="D39879" s="8"/>
    </row>
    <row r="39880" spans="1:4" ht="15.75" customHeight="1">
      <c r="A39880" s="8"/>
      <c r="B39880" s="12"/>
      <c r="C39880" s="8"/>
      <c r="D39880" s="8"/>
    </row>
    <row r="39881" spans="1:4" ht="15.75" customHeight="1">
      <c r="A39881" s="8"/>
      <c r="B39881" s="12"/>
      <c r="C39881" s="8"/>
      <c r="D39881" s="8"/>
    </row>
    <row r="39882" spans="1:4" ht="15.75" customHeight="1">
      <c r="A39882" s="8"/>
      <c r="B39882" s="12"/>
      <c r="C39882" s="8"/>
      <c r="D39882" s="8"/>
    </row>
    <row r="39883" spans="1:4" ht="15.75" customHeight="1">
      <c r="A39883" s="8"/>
      <c r="B39883" s="12"/>
      <c r="C39883" s="8"/>
      <c r="D39883" s="8"/>
    </row>
    <row r="39884" spans="1:4" ht="15.75" customHeight="1">
      <c r="A39884" s="8"/>
      <c r="B39884" s="12"/>
      <c r="C39884" s="8"/>
      <c r="D39884" s="8"/>
    </row>
    <row r="39885" spans="1:4" ht="15.75" customHeight="1">
      <c r="A39885" s="8"/>
      <c r="B39885" s="12"/>
      <c r="C39885" s="8"/>
      <c r="D39885" s="8"/>
    </row>
    <row r="39886" spans="1:4" ht="15.75" customHeight="1">
      <c r="A39886" s="8"/>
      <c r="B39886" s="12"/>
      <c r="C39886" s="8"/>
      <c r="D39886" s="8"/>
    </row>
    <row r="39887" spans="1:4" ht="15.75" customHeight="1">
      <c r="A39887" s="8"/>
      <c r="B39887" s="12"/>
      <c r="C39887" s="8"/>
      <c r="D39887" s="8"/>
    </row>
    <row r="39888" spans="1:4" ht="15.75" customHeight="1">
      <c r="A39888" s="8"/>
      <c r="B39888" s="12"/>
      <c r="C39888" s="8"/>
      <c r="D39888" s="8"/>
    </row>
    <row r="39889" spans="1:4" ht="15.75" customHeight="1">
      <c r="A39889" s="8"/>
      <c r="B39889" s="12"/>
      <c r="C39889" s="8"/>
      <c r="D39889" s="8"/>
    </row>
    <row r="39890" spans="1:4" ht="15.75" customHeight="1">
      <c r="A39890" s="8"/>
      <c r="B39890" s="12"/>
      <c r="C39890" s="8"/>
      <c r="D39890" s="8"/>
    </row>
    <row r="39891" spans="1:4" ht="15.75" customHeight="1">
      <c r="A39891" s="8"/>
      <c r="B39891" s="12"/>
      <c r="C39891" s="8"/>
      <c r="D39891" s="8"/>
    </row>
    <row r="39892" spans="1:4" ht="15.75" customHeight="1">
      <c r="A39892" s="8"/>
      <c r="B39892" s="12"/>
      <c r="C39892" s="8"/>
      <c r="D39892" s="8"/>
    </row>
    <row r="39893" spans="1:4" ht="15.75" customHeight="1">
      <c r="A39893" s="8"/>
      <c r="B39893" s="12"/>
      <c r="C39893" s="8"/>
      <c r="D39893" s="8"/>
    </row>
    <row r="39894" spans="1:4" ht="15.75" customHeight="1">
      <c r="A39894" s="8"/>
      <c r="B39894" s="12"/>
      <c r="C39894" s="8"/>
      <c r="D39894" s="8"/>
    </row>
    <row r="39895" spans="1:4" ht="15.75" customHeight="1">
      <c r="A39895" s="8"/>
      <c r="B39895" s="12"/>
      <c r="C39895" s="8"/>
      <c r="D39895" s="8"/>
    </row>
    <row r="39896" spans="1:4" ht="15.75" customHeight="1">
      <c r="A39896" s="8"/>
      <c r="B39896" s="12"/>
      <c r="C39896" s="8"/>
      <c r="D39896" s="8"/>
    </row>
    <row r="39897" spans="1:4" ht="15.75" customHeight="1">
      <c r="A39897" s="8"/>
      <c r="B39897" s="12"/>
      <c r="C39897" s="8"/>
      <c r="D39897" s="8"/>
    </row>
    <row r="39898" spans="1:4" ht="15.75" customHeight="1">
      <c r="A39898" s="8"/>
      <c r="B39898" s="12"/>
      <c r="C39898" s="8"/>
      <c r="D39898" s="8"/>
    </row>
    <row r="39899" spans="1:4" ht="15.75" customHeight="1">
      <c r="A39899" s="8"/>
      <c r="B39899" s="12"/>
      <c r="C39899" s="8"/>
      <c r="D39899" s="8"/>
    </row>
    <row r="39900" spans="1:4" ht="15.75" customHeight="1">
      <c r="A39900" s="8"/>
      <c r="B39900" s="12"/>
      <c r="C39900" s="8"/>
      <c r="D39900" s="8"/>
    </row>
    <row r="39901" spans="1:4" ht="15.75" customHeight="1">
      <c r="A39901" s="8"/>
      <c r="B39901" s="12"/>
      <c r="C39901" s="8"/>
      <c r="D39901" s="8"/>
    </row>
    <row r="39902" spans="1:4" ht="15.75" customHeight="1">
      <c r="A39902" s="8"/>
      <c r="B39902" s="12"/>
      <c r="C39902" s="8"/>
      <c r="D39902" s="8"/>
    </row>
    <row r="39903" spans="1:4" ht="15.75" customHeight="1">
      <c r="A39903" s="8"/>
      <c r="B39903" s="12"/>
      <c r="C39903" s="8"/>
      <c r="D39903" s="8"/>
    </row>
    <row r="39904" spans="1:4" ht="15.75" customHeight="1">
      <c r="A39904" s="8"/>
      <c r="B39904" s="12"/>
      <c r="C39904" s="8"/>
      <c r="D39904" s="8"/>
    </row>
    <row r="39905" spans="1:4" ht="15.75" customHeight="1">
      <c r="A39905" s="8"/>
      <c r="B39905" s="12"/>
      <c r="C39905" s="8"/>
      <c r="D39905" s="8"/>
    </row>
    <row r="39906" spans="1:4" ht="15.75" customHeight="1">
      <c r="A39906" s="8"/>
      <c r="B39906" s="12"/>
      <c r="C39906" s="8"/>
      <c r="D39906" s="8"/>
    </row>
    <row r="39907" spans="1:4" ht="15.75" customHeight="1">
      <c r="A39907" s="8"/>
      <c r="B39907" s="12"/>
      <c r="C39907" s="8"/>
      <c r="D39907" s="8"/>
    </row>
    <row r="39908" spans="1:4" ht="15.75" customHeight="1">
      <c r="A39908" s="8"/>
      <c r="B39908" s="12"/>
      <c r="C39908" s="8"/>
      <c r="D39908" s="8"/>
    </row>
    <row r="39909" spans="1:4" ht="15.75" customHeight="1">
      <c r="A39909" s="8"/>
      <c r="B39909" s="12"/>
      <c r="C39909" s="8"/>
      <c r="D39909" s="8"/>
    </row>
    <row r="39910" spans="1:4" ht="15.75" customHeight="1">
      <c r="A39910" s="8"/>
      <c r="B39910" s="12"/>
      <c r="C39910" s="8"/>
      <c r="D39910" s="8"/>
    </row>
    <row r="39911" spans="1:4" ht="15.75" customHeight="1">
      <c r="A39911" s="8"/>
      <c r="B39911" s="12"/>
      <c r="C39911" s="8"/>
      <c r="D39911" s="8"/>
    </row>
    <row r="39912" spans="1:4" ht="15.75" customHeight="1">
      <c r="A39912" s="8"/>
      <c r="B39912" s="12"/>
      <c r="C39912" s="8"/>
      <c r="D39912" s="8"/>
    </row>
    <row r="39913" spans="1:4" ht="15.75" customHeight="1">
      <c r="A39913" s="8"/>
      <c r="B39913" s="12"/>
      <c r="C39913" s="8"/>
      <c r="D39913" s="8"/>
    </row>
    <row r="39914" spans="1:4" ht="15.75" customHeight="1">
      <c r="A39914" s="8"/>
      <c r="B39914" s="12"/>
      <c r="C39914" s="8"/>
      <c r="D39914" s="8"/>
    </row>
    <row r="39915" spans="1:4" ht="15.75" customHeight="1">
      <c r="A39915" s="8"/>
      <c r="B39915" s="12"/>
      <c r="C39915" s="8"/>
      <c r="D39915" s="8"/>
    </row>
    <row r="39916" spans="1:4" ht="15.75" customHeight="1">
      <c r="A39916" s="8"/>
      <c r="B39916" s="12"/>
      <c r="C39916" s="8"/>
      <c r="D39916" s="8"/>
    </row>
    <row r="39917" spans="1:4" ht="15.75" customHeight="1">
      <c r="A39917" s="8"/>
      <c r="B39917" s="12"/>
      <c r="C39917" s="8"/>
      <c r="D39917" s="8"/>
    </row>
    <row r="39918" spans="1:4" ht="15.75" customHeight="1">
      <c r="A39918" s="8"/>
      <c r="B39918" s="12"/>
      <c r="C39918" s="8"/>
      <c r="D39918" s="8"/>
    </row>
    <row r="39919" spans="1:4" ht="15.75" customHeight="1">
      <c r="A39919" s="8"/>
      <c r="B39919" s="12"/>
      <c r="C39919" s="8"/>
      <c r="D39919" s="8"/>
    </row>
    <row r="39920" spans="1:4" ht="15.75" customHeight="1">
      <c r="A39920" s="8"/>
      <c r="B39920" s="12"/>
      <c r="C39920" s="8"/>
      <c r="D39920" s="8"/>
    </row>
    <row r="39921" spans="1:4" ht="15.75" customHeight="1">
      <c r="A39921" s="8"/>
      <c r="B39921" s="12"/>
      <c r="C39921" s="8"/>
      <c r="D39921" s="8"/>
    </row>
    <row r="39922" spans="1:4" ht="15.75" customHeight="1">
      <c r="A39922" s="8"/>
      <c r="B39922" s="12"/>
      <c r="C39922" s="8"/>
      <c r="D39922" s="8"/>
    </row>
    <row r="39923" spans="1:4" ht="15.75" customHeight="1">
      <c r="A39923" s="8"/>
      <c r="B39923" s="12"/>
      <c r="C39923" s="8"/>
      <c r="D39923" s="8"/>
    </row>
    <row r="39924" spans="1:4" ht="15.75" customHeight="1">
      <c r="A39924" s="8"/>
      <c r="B39924" s="12"/>
      <c r="C39924" s="8"/>
      <c r="D39924" s="8"/>
    </row>
    <row r="39925" spans="1:4" ht="15.75" customHeight="1">
      <c r="A39925" s="8"/>
      <c r="B39925" s="12"/>
      <c r="C39925" s="8"/>
      <c r="D39925" s="8"/>
    </row>
    <row r="39926" spans="1:4" ht="15.75" customHeight="1">
      <c r="A39926" s="8"/>
      <c r="B39926" s="12"/>
      <c r="C39926" s="8"/>
      <c r="D39926" s="8"/>
    </row>
    <row r="39927" spans="1:4" ht="15.75" customHeight="1">
      <c r="A39927" s="8"/>
      <c r="B39927" s="12"/>
      <c r="C39927" s="8"/>
      <c r="D39927" s="8"/>
    </row>
    <row r="39928" spans="1:4" ht="15.75" customHeight="1">
      <c r="A39928" s="8"/>
      <c r="B39928" s="12"/>
      <c r="C39928" s="8"/>
      <c r="D39928" s="8"/>
    </row>
    <row r="39929" spans="1:4" ht="15.75" customHeight="1">
      <c r="A39929" s="8"/>
      <c r="B39929" s="12"/>
      <c r="C39929" s="8"/>
      <c r="D39929" s="8"/>
    </row>
    <row r="39930" spans="1:4" ht="15.75" customHeight="1">
      <c r="A39930" s="8"/>
      <c r="B39930" s="12"/>
      <c r="C39930" s="8"/>
      <c r="D39930" s="8"/>
    </row>
    <row r="39931" spans="1:4" ht="15.75" customHeight="1">
      <c r="A39931" s="8"/>
      <c r="B39931" s="12"/>
      <c r="C39931" s="8"/>
      <c r="D39931" s="8"/>
    </row>
    <row r="39932" spans="1:4" ht="15.75" customHeight="1">
      <c r="A39932" s="8"/>
      <c r="B39932" s="12"/>
      <c r="C39932" s="8"/>
      <c r="D39932" s="8"/>
    </row>
    <row r="39933" spans="1:4" ht="15.75" customHeight="1">
      <c r="A39933" s="8"/>
      <c r="B39933" s="12"/>
      <c r="C39933" s="8"/>
      <c r="D39933" s="8"/>
    </row>
    <row r="39934" spans="1:4" ht="15.75" customHeight="1">
      <c r="A39934" s="8"/>
      <c r="B39934" s="12"/>
      <c r="C39934" s="8"/>
      <c r="D39934" s="8"/>
    </row>
    <row r="39935" spans="1:4" ht="15.75" customHeight="1">
      <c r="A39935" s="8"/>
      <c r="B39935" s="12"/>
      <c r="C39935" s="8"/>
      <c r="D39935" s="8"/>
    </row>
    <row r="39936" spans="1:4" ht="15.75" customHeight="1">
      <c r="A39936" s="8"/>
      <c r="B39936" s="12"/>
      <c r="C39936" s="8"/>
      <c r="D39936" s="8"/>
    </row>
    <row r="39937" spans="1:4" ht="15.75" customHeight="1">
      <c r="A39937" s="8"/>
      <c r="B39937" s="12"/>
      <c r="C39937" s="8"/>
      <c r="D39937" s="8"/>
    </row>
    <row r="39938" spans="1:4" ht="15.75" customHeight="1">
      <c r="A39938" s="8"/>
      <c r="B39938" s="12"/>
      <c r="C39938" s="8"/>
      <c r="D39938" s="8"/>
    </row>
    <row r="39939" spans="1:4" ht="15.75" customHeight="1">
      <c r="A39939" s="8"/>
      <c r="B39939" s="12"/>
      <c r="C39939" s="8"/>
      <c r="D39939" s="8"/>
    </row>
    <row r="39940" spans="1:4" ht="15.75" customHeight="1">
      <c r="A39940" s="8"/>
      <c r="B39940" s="12"/>
      <c r="C39940" s="8"/>
      <c r="D39940" s="8"/>
    </row>
    <row r="39941" spans="1:4" ht="15.75" customHeight="1">
      <c r="A39941" s="8"/>
      <c r="B39941" s="12"/>
      <c r="C39941" s="8"/>
      <c r="D39941" s="8"/>
    </row>
    <row r="39942" spans="1:4" ht="15.75" customHeight="1">
      <c r="A39942" s="8"/>
      <c r="B39942" s="12"/>
      <c r="C39942" s="8"/>
      <c r="D39942" s="8"/>
    </row>
    <row r="39943" spans="1:4" ht="15.75" customHeight="1">
      <c r="A39943" s="8"/>
      <c r="B39943" s="12"/>
      <c r="C39943" s="8"/>
      <c r="D39943" s="8"/>
    </row>
    <row r="39944" spans="1:4" ht="15.75" customHeight="1">
      <c r="A39944" s="8"/>
      <c r="B39944" s="12"/>
      <c r="C39944" s="8"/>
      <c r="D39944" s="8"/>
    </row>
    <row r="39945" spans="1:4" ht="15.75" customHeight="1">
      <c r="A39945" s="8"/>
      <c r="B39945" s="12"/>
      <c r="C39945" s="8"/>
      <c r="D39945" s="8"/>
    </row>
    <row r="39946" spans="1:4" ht="15.75" customHeight="1">
      <c r="A39946" s="8"/>
      <c r="B39946" s="12"/>
      <c r="C39946" s="8"/>
      <c r="D39946" s="8"/>
    </row>
    <row r="39947" spans="1:4" ht="15.75" customHeight="1">
      <c r="A39947" s="8"/>
      <c r="B39947" s="12"/>
      <c r="C39947" s="8"/>
      <c r="D39947" s="8"/>
    </row>
    <row r="39948" spans="1:4" ht="15.75" customHeight="1">
      <c r="A39948" s="8"/>
      <c r="B39948" s="12"/>
      <c r="C39948" s="8"/>
      <c r="D39948" s="8"/>
    </row>
    <row r="39949" spans="1:4" ht="15.75" customHeight="1">
      <c r="A39949" s="8"/>
      <c r="B39949" s="12"/>
      <c r="C39949" s="8"/>
      <c r="D39949" s="8"/>
    </row>
    <row r="39950" spans="1:4" ht="15.75" customHeight="1">
      <c r="A39950" s="8"/>
      <c r="B39950" s="12"/>
      <c r="C39950" s="8"/>
      <c r="D39950" s="8"/>
    </row>
    <row r="39951" spans="1:4" ht="15.75" customHeight="1">
      <c r="A39951" s="8"/>
      <c r="B39951" s="12"/>
      <c r="C39951" s="8"/>
      <c r="D39951" s="8"/>
    </row>
    <row r="39952" spans="1:4" ht="15.75" customHeight="1">
      <c r="A39952" s="8"/>
      <c r="B39952" s="12"/>
      <c r="C39952" s="8"/>
      <c r="D39952" s="8"/>
    </row>
    <row r="39953" spans="1:4" ht="15.75" customHeight="1">
      <c r="A39953" s="8"/>
      <c r="B39953" s="12"/>
      <c r="C39953" s="8"/>
      <c r="D39953" s="8"/>
    </row>
    <row r="39954" spans="1:4" ht="15.75" customHeight="1">
      <c r="A39954" s="8"/>
      <c r="B39954" s="12"/>
      <c r="C39954" s="8"/>
      <c r="D39954" s="8"/>
    </row>
    <row r="39955" spans="1:4" ht="15.75" customHeight="1">
      <c r="A39955" s="8"/>
      <c r="B39955" s="12"/>
      <c r="C39955" s="8"/>
      <c r="D39955" s="8"/>
    </row>
    <row r="39956" spans="1:4" ht="15.75" customHeight="1">
      <c r="A39956" s="8"/>
      <c r="B39956" s="12"/>
      <c r="C39956" s="8"/>
      <c r="D39956" s="8"/>
    </row>
    <row r="39957" spans="1:4" ht="15.75" customHeight="1">
      <c r="A39957" s="8"/>
      <c r="B39957" s="12"/>
      <c r="C39957" s="8"/>
      <c r="D39957" s="8"/>
    </row>
    <row r="39958" spans="1:4" ht="15.75" customHeight="1">
      <c r="A39958" s="8"/>
      <c r="B39958" s="12"/>
      <c r="C39958" s="8"/>
      <c r="D39958" s="8"/>
    </row>
    <row r="39959" spans="1:4" ht="15.75" customHeight="1">
      <c r="A39959" s="8"/>
      <c r="B39959" s="12"/>
      <c r="C39959" s="8"/>
      <c r="D39959" s="8"/>
    </row>
    <row r="39960" spans="1:4" ht="15.75" customHeight="1">
      <c r="A39960" s="8"/>
      <c r="B39960" s="12"/>
      <c r="C39960" s="8"/>
      <c r="D39960" s="8"/>
    </row>
    <row r="39961" spans="1:4" ht="15.75" customHeight="1">
      <c r="A39961" s="8"/>
      <c r="B39961" s="12"/>
      <c r="C39961" s="8"/>
      <c r="D39961" s="8"/>
    </row>
    <row r="39962" spans="1:4" ht="15.75" customHeight="1">
      <c r="A39962" s="8"/>
      <c r="B39962" s="12"/>
      <c r="C39962" s="8"/>
      <c r="D39962" s="8"/>
    </row>
    <row r="39963" spans="1:4" ht="15.75" customHeight="1">
      <c r="A39963" s="8"/>
      <c r="B39963" s="12"/>
      <c r="C39963" s="8"/>
      <c r="D39963" s="8"/>
    </row>
    <row r="39964" spans="1:4" ht="15.75" customHeight="1">
      <c r="A39964" s="8"/>
      <c r="B39964" s="12"/>
      <c r="C39964" s="8"/>
      <c r="D39964" s="8"/>
    </row>
    <row r="39965" spans="1:4" ht="15.75" customHeight="1">
      <c r="A39965" s="8"/>
      <c r="B39965" s="12"/>
      <c r="C39965" s="8"/>
      <c r="D39965" s="8"/>
    </row>
    <row r="39966" spans="1:4" ht="15.75" customHeight="1">
      <c r="A39966" s="8"/>
      <c r="B39966" s="12"/>
      <c r="C39966" s="8"/>
      <c r="D39966" s="8"/>
    </row>
    <row r="39967" spans="1:4" ht="15.75" customHeight="1">
      <c r="A39967" s="8"/>
      <c r="B39967" s="12"/>
      <c r="C39967" s="8"/>
      <c r="D39967" s="8"/>
    </row>
    <row r="39968" spans="1:4" ht="15.75" customHeight="1">
      <c r="A39968" s="8"/>
      <c r="B39968" s="12"/>
      <c r="C39968" s="8"/>
      <c r="D39968" s="8"/>
    </row>
    <row r="39969" spans="1:4" ht="15.75" customHeight="1">
      <c r="A39969" s="8"/>
      <c r="B39969" s="12"/>
      <c r="C39969" s="8"/>
      <c r="D39969" s="8"/>
    </row>
    <row r="39970" spans="1:4" ht="15.75" customHeight="1">
      <c r="A39970" s="8"/>
      <c r="B39970" s="12"/>
      <c r="C39970" s="8"/>
      <c r="D39970" s="8"/>
    </row>
    <row r="39971" spans="1:4" ht="15.75" customHeight="1">
      <c r="A39971" s="8"/>
      <c r="B39971" s="12"/>
      <c r="C39971" s="8"/>
      <c r="D39971" s="8"/>
    </row>
    <row r="39972" spans="1:4" ht="15.75" customHeight="1">
      <c r="A39972" s="8"/>
      <c r="B39972" s="12"/>
      <c r="C39972" s="8"/>
      <c r="D39972" s="8"/>
    </row>
    <row r="39973" spans="1:4" ht="15.75" customHeight="1">
      <c r="A39973" s="8"/>
      <c r="B39973" s="12"/>
      <c r="C39973" s="8"/>
      <c r="D39973" s="8"/>
    </row>
    <row r="39974" spans="1:4" ht="15.75" customHeight="1">
      <c r="A39974" s="8"/>
      <c r="B39974" s="12"/>
      <c r="C39974" s="8"/>
      <c r="D39974" s="8"/>
    </row>
    <row r="39975" spans="1:4" ht="15.75" customHeight="1">
      <c r="A39975" s="8"/>
      <c r="B39975" s="12"/>
      <c r="C39975" s="8"/>
      <c r="D39975" s="8"/>
    </row>
    <row r="39976" spans="1:4" ht="15.75" customHeight="1">
      <c r="A39976" s="8"/>
      <c r="B39976" s="12"/>
      <c r="C39976" s="8"/>
      <c r="D39976" s="8"/>
    </row>
    <row r="39977" spans="1:4" ht="15.75" customHeight="1">
      <c r="A39977" s="8"/>
      <c r="B39977" s="12"/>
      <c r="C39977" s="8"/>
      <c r="D39977" s="8"/>
    </row>
    <row r="39978" spans="1:4" ht="15.75" customHeight="1">
      <c r="A39978" s="8"/>
      <c r="B39978" s="12"/>
      <c r="C39978" s="8"/>
      <c r="D39978" s="8"/>
    </row>
    <row r="39979" spans="1:4" ht="15.75" customHeight="1">
      <c r="A39979" s="8"/>
      <c r="B39979" s="12"/>
      <c r="C39979" s="8"/>
      <c r="D39979" s="8"/>
    </row>
    <row r="39980" spans="1:4" ht="15.75" customHeight="1">
      <c r="A39980" s="8"/>
      <c r="B39980" s="12"/>
      <c r="C39980" s="8"/>
      <c r="D39980" s="8"/>
    </row>
    <row r="39981" spans="1:4" ht="15.75" customHeight="1">
      <c r="A39981" s="8"/>
      <c r="B39981" s="12"/>
      <c r="C39981" s="8"/>
      <c r="D39981" s="8"/>
    </row>
    <row r="39982" spans="1:4" ht="15.75" customHeight="1">
      <c r="A39982" s="8"/>
      <c r="B39982" s="12"/>
      <c r="C39982" s="8"/>
      <c r="D39982" s="8"/>
    </row>
    <row r="39983" spans="1:4" ht="15.75" customHeight="1">
      <c r="A39983" s="8"/>
      <c r="B39983" s="12"/>
      <c r="C39983" s="8"/>
      <c r="D39983" s="8"/>
    </row>
    <row r="39984" spans="1:4" ht="15.75" customHeight="1">
      <c r="A39984" s="8"/>
      <c r="B39984" s="12"/>
      <c r="C39984" s="8"/>
      <c r="D39984" s="8"/>
    </row>
    <row r="39985" spans="1:4" ht="15.75" customHeight="1">
      <c r="A39985" s="8"/>
      <c r="B39985" s="12"/>
      <c r="C39985" s="8"/>
      <c r="D39985" s="8"/>
    </row>
    <row r="39986" spans="1:4" ht="15.75" customHeight="1">
      <c r="A39986" s="8"/>
      <c r="B39986" s="12"/>
      <c r="C39986" s="8"/>
      <c r="D39986" s="8"/>
    </row>
    <row r="39987" spans="1:4" ht="15.75" customHeight="1">
      <c r="A39987" s="8"/>
      <c r="B39987" s="12"/>
      <c r="C39987" s="8"/>
      <c r="D39987" s="8"/>
    </row>
    <row r="39988" spans="1:4" ht="15.75" customHeight="1">
      <c r="A39988" s="8"/>
      <c r="B39988" s="12"/>
      <c r="C39988" s="8"/>
      <c r="D39988" s="8"/>
    </row>
    <row r="39989" spans="1:4" ht="15.75" customHeight="1">
      <c r="A39989" s="8"/>
      <c r="B39989" s="12"/>
      <c r="C39989" s="8"/>
      <c r="D39989" s="8"/>
    </row>
    <row r="39990" spans="1:4" ht="15.75" customHeight="1">
      <c r="A39990" s="8"/>
      <c r="B39990" s="12"/>
      <c r="C39990" s="8"/>
      <c r="D39990" s="8"/>
    </row>
    <row r="39991" spans="1:4" ht="15.75" customHeight="1">
      <c r="A39991" s="8"/>
      <c r="B39991" s="12"/>
      <c r="C39991" s="8"/>
      <c r="D39991" s="8"/>
    </row>
    <row r="39992" spans="1:4" ht="15.75" customHeight="1">
      <c r="A39992" s="8"/>
      <c r="B39992" s="12"/>
      <c r="C39992" s="8"/>
      <c r="D39992" s="8"/>
    </row>
    <row r="39993" spans="1:4" ht="15.75" customHeight="1">
      <c r="A39993" s="8"/>
      <c r="B39993" s="12"/>
      <c r="C39993" s="8"/>
      <c r="D39993" s="8"/>
    </row>
    <row r="39994" spans="1:4" ht="15.75" customHeight="1">
      <c r="A39994" s="8"/>
      <c r="B39994" s="12"/>
      <c r="C39994" s="8"/>
      <c r="D39994" s="8"/>
    </row>
    <row r="39995" spans="1:4" ht="15.75" customHeight="1">
      <c r="A39995" s="8"/>
      <c r="B39995" s="12"/>
      <c r="C39995" s="8"/>
      <c r="D39995" s="8"/>
    </row>
    <row r="39996" spans="1:4" ht="15.75" customHeight="1">
      <c r="A39996" s="8"/>
      <c r="B39996" s="12"/>
      <c r="C39996" s="8"/>
      <c r="D39996" s="8"/>
    </row>
    <row r="39997" spans="1:4" ht="15.75" customHeight="1">
      <c r="A39997" s="8"/>
      <c r="B39997" s="12"/>
      <c r="C39997" s="8"/>
      <c r="D39997" s="8"/>
    </row>
    <row r="39998" spans="1:4" ht="15.75" customHeight="1">
      <c r="A39998" s="8"/>
      <c r="B39998" s="12"/>
      <c r="C39998" s="8"/>
      <c r="D39998" s="8"/>
    </row>
    <row r="39999" spans="1:4" ht="15.75" customHeight="1">
      <c r="A39999" s="8"/>
      <c r="B39999" s="12"/>
      <c r="C39999" s="8"/>
      <c r="D39999" s="8"/>
    </row>
    <row r="40000" spans="1:4" ht="15.75" customHeight="1">
      <c r="A40000" s="8"/>
      <c r="B40000" s="12"/>
      <c r="C40000" s="8"/>
      <c r="D40000" s="8"/>
    </row>
    <row r="40001" spans="1:4" ht="15.75" customHeight="1">
      <c r="A40001" s="8"/>
      <c r="B40001" s="12"/>
      <c r="C40001" s="8"/>
      <c r="D40001" s="8"/>
    </row>
    <row r="40002" spans="1:4" ht="15.75" customHeight="1">
      <c r="A40002" s="8"/>
      <c r="B40002" s="12"/>
      <c r="C40002" s="8"/>
      <c r="D40002" s="8"/>
    </row>
    <row r="40003" spans="1:4" ht="15.75" customHeight="1">
      <c r="A40003" s="8"/>
      <c r="B40003" s="12"/>
      <c r="C40003" s="8"/>
      <c r="D40003" s="8"/>
    </row>
    <row r="40004" spans="1:4" ht="15.75" customHeight="1">
      <c r="A40004" s="8"/>
      <c r="B40004" s="12"/>
      <c r="C40004" s="8"/>
      <c r="D40004" s="8"/>
    </row>
    <row r="40005" spans="1:4" ht="15.75" customHeight="1">
      <c r="A40005" s="8"/>
      <c r="B40005" s="12"/>
      <c r="C40005" s="8"/>
      <c r="D40005" s="8"/>
    </row>
    <row r="40006" spans="1:4" ht="15.75" customHeight="1">
      <c r="A40006" s="8"/>
      <c r="B40006" s="12"/>
      <c r="C40006" s="8"/>
      <c r="D40006" s="8"/>
    </row>
    <row r="40007" spans="1:4" ht="15.75" customHeight="1">
      <c r="A40007" s="8"/>
      <c r="B40007" s="12"/>
      <c r="C40007" s="8"/>
      <c r="D40007" s="8"/>
    </row>
    <row r="40008" spans="1:4" ht="15.75" customHeight="1">
      <c r="A40008" s="8"/>
      <c r="B40008" s="12"/>
      <c r="C40008" s="8"/>
      <c r="D40008" s="8"/>
    </row>
    <row r="40009" spans="1:4" ht="15.75" customHeight="1">
      <c r="A40009" s="8"/>
      <c r="B40009" s="12"/>
      <c r="C40009" s="8"/>
      <c r="D40009" s="8"/>
    </row>
    <row r="40010" spans="1:4" ht="15.75" customHeight="1">
      <c r="A40010" s="8"/>
      <c r="B40010" s="12"/>
      <c r="C40010" s="8"/>
      <c r="D40010" s="8"/>
    </row>
    <row r="40011" spans="1:4" ht="15.75" customHeight="1">
      <c r="A40011" s="8"/>
      <c r="B40011" s="12"/>
      <c r="C40011" s="8"/>
      <c r="D40011" s="8"/>
    </row>
    <row r="40012" spans="1:4" ht="15.75" customHeight="1">
      <c r="A40012" s="8"/>
      <c r="B40012" s="12"/>
      <c r="C40012" s="8"/>
      <c r="D40012" s="8"/>
    </row>
    <row r="40013" spans="1:4" ht="15.75" customHeight="1">
      <c r="A40013" s="8"/>
      <c r="B40013" s="12"/>
      <c r="C40013" s="8"/>
      <c r="D40013" s="8"/>
    </row>
    <row r="40014" spans="1:4" ht="15.75" customHeight="1">
      <c r="A40014" s="8"/>
      <c r="B40014" s="12"/>
      <c r="C40014" s="8"/>
      <c r="D40014" s="8"/>
    </row>
    <row r="40015" spans="1:4" ht="15.75" customHeight="1">
      <c r="A40015" s="8"/>
      <c r="B40015" s="12"/>
      <c r="C40015" s="8"/>
      <c r="D40015" s="8"/>
    </row>
    <row r="40016" spans="1:4" ht="15.75" customHeight="1">
      <c r="A40016" s="8"/>
      <c r="B40016" s="12"/>
      <c r="C40016" s="8"/>
      <c r="D40016" s="8"/>
    </row>
    <row r="40017" spans="1:4" ht="15.75" customHeight="1">
      <c r="A40017" s="8"/>
      <c r="B40017" s="12"/>
      <c r="C40017" s="8"/>
      <c r="D40017" s="8"/>
    </row>
    <row r="40018" spans="1:4" ht="15.75" customHeight="1">
      <c r="A40018" s="8"/>
      <c r="B40018" s="12"/>
      <c r="C40018" s="8"/>
      <c r="D40018" s="8"/>
    </row>
    <row r="40019" spans="1:4" ht="15.75" customHeight="1">
      <c r="A40019" s="8"/>
      <c r="B40019" s="12"/>
      <c r="C40019" s="8"/>
      <c r="D40019" s="8"/>
    </row>
    <row r="40020" spans="1:4" ht="15.75" customHeight="1">
      <c r="A40020" s="8"/>
      <c r="B40020" s="12"/>
      <c r="C40020" s="8"/>
      <c r="D40020" s="8"/>
    </row>
    <row r="40021" spans="1:4" ht="15.75" customHeight="1">
      <c r="A40021" s="8"/>
      <c r="B40021" s="12"/>
      <c r="C40021" s="8"/>
      <c r="D40021" s="8"/>
    </row>
    <row r="40022" spans="1:4" ht="15.75" customHeight="1">
      <c r="A40022" s="8"/>
      <c r="B40022" s="12"/>
      <c r="C40022" s="8"/>
      <c r="D40022" s="8"/>
    </row>
    <row r="40023" spans="1:4" ht="15.75" customHeight="1">
      <c r="A40023" s="8"/>
      <c r="B40023" s="12"/>
      <c r="C40023" s="8"/>
      <c r="D40023" s="8"/>
    </row>
    <row r="40024" spans="1:4" ht="15.75" customHeight="1">
      <c r="A40024" s="8"/>
      <c r="B40024" s="12"/>
      <c r="C40024" s="8"/>
      <c r="D40024" s="8"/>
    </row>
    <row r="40025" spans="1:4" ht="15.75" customHeight="1">
      <c r="A40025" s="8"/>
      <c r="B40025" s="12"/>
      <c r="C40025" s="8"/>
      <c r="D40025" s="8"/>
    </row>
    <row r="40026" spans="1:4" ht="15.75" customHeight="1">
      <c r="A40026" s="8"/>
      <c r="B40026" s="12"/>
      <c r="C40026" s="8"/>
      <c r="D40026" s="8"/>
    </row>
    <row r="40027" spans="1:4" ht="15.75" customHeight="1">
      <c r="A40027" s="8"/>
      <c r="B40027" s="12"/>
      <c r="C40027" s="8"/>
      <c r="D40027" s="8"/>
    </row>
    <row r="40028" spans="1:4" ht="15.75" customHeight="1">
      <c r="A40028" s="8"/>
      <c r="B40028" s="12"/>
      <c r="C40028" s="8"/>
      <c r="D40028" s="8"/>
    </row>
    <row r="40029" spans="1:4" ht="15.75" customHeight="1">
      <c r="A40029" s="8"/>
      <c r="B40029" s="12"/>
      <c r="C40029" s="8"/>
      <c r="D40029" s="8"/>
    </row>
    <row r="40030" spans="1:4" ht="15.75" customHeight="1">
      <c r="A40030" s="8"/>
      <c r="B40030" s="12"/>
      <c r="C40030" s="8"/>
      <c r="D40030" s="8"/>
    </row>
    <row r="40031" spans="1:4" ht="15.75" customHeight="1">
      <c r="A40031" s="8"/>
      <c r="B40031" s="12"/>
      <c r="C40031" s="8"/>
      <c r="D40031" s="8"/>
    </row>
    <row r="40032" spans="1:4" ht="15.75" customHeight="1">
      <c r="A40032" s="8"/>
      <c r="B40032" s="12"/>
      <c r="C40032" s="8"/>
      <c r="D40032" s="8"/>
    </row>
    <row r="40033" spans="1:4" ht="15.75" customHeight="1">
      <c r="A40033" s="8"/>
      <c r="B40033" s="12"/>
      <c r="C40033" s="8"/>
      <c r="D40033" s="8"/>
    </row>
    <row r="40034" spans="1:4" ht="15.75" customHeight="1">
      <c r="A40034" s="8"/>
      <c r="B40034" s="12"/>
      <c r="C40034" s="8"/>
      <c r="D40034" s="8"/>
    </row>
    <row r="40035" spans="1:4" ht="15.75" customHeight="1">
      <c r="A40035" s="8"/>
      <c r="B40035" s="12"/>
      <c r="C40035" s="8"/>
      <c r="D40035" s="8"/>
    </row>
    <row r="40036" spans="1:4" ht="15.75" customHeight="1">
      <c r="A40036" s="8"/>
      <c r="B40036" s="12"/>
      <c r="C40036" s="8"/>
      <c r="D40036" s="8"/>
    </row>
    <row r="40037" spans="1:4" ht="15.75" customHeight="1">
      <c r="A40037" s="8"/>
      <c r="B40037" s="12"/>
      <c r="C40037" s="8"/>
      <c r="D40037" s="8"/>
    </row>
    <row r="40038" spans="1:4" ht="15.75" customHeight="1">
      <c r="A40038" s="8"/>
      <c r="B40038" s="12"/>
      <c r="C40038" s="8"/>
      <c r="D40038" s="8"/>
    </row>
    <row r="40039" spans="1:4" ht="15.75" customHeight="1">
      <c r="A40039" s="8"/>
      <c r="B40039" s="12"/>
      <c r="C40039" s="8"/>
      <c r="D40039" s="8"/>
    </row>
    <row r="40040" spans="1:4" ht="15.75" customHeight="1">
      <c r="A40040" s="8"/>
      <c r="B40040" s="12"/>
      <c r="C40040" s="8"/>
      <c r="D40040" s="8"/>
    </row>
    <row r="40041" spans="1:4" ht="15.75" customHeight="1">
      <c r="A40041" s="8"/>
      <c r="B40041" s="12"/>
      <c r="C40041" s="8"/>
      <c r="D40041" s="8"/>
    </row>
    <row r="40042" spans="1:4" ht="15.75" customHeight="1">
      <c r="A40042" s="8"/>
      <c r="B40042" s="12"/>
      <c r="C40042" s="8"/>
      <c r="D40042" s="8"/>
    </row>
    <row r="40043" spans="1:4" ht="15.75" customHeight="1">
      <c r="A40043" s="8"/>
      <c r="B40043" s="12"/>
      <c r="C40043" s="8"/>
      <c r="D40043" s="8"/>
    </row>
    <row r="40044" spans="1:4" ht="15.75" customHeight="1">
      <c r="A40044" s="8"/>
      <c r="B40044" s="12"/>
      <c r="C40044" s="8"/>
      <c r="D40044" s="8"/>
    </row>
    <row r="40045" spans="1:4" ht="15.75" customHeight="1">
      <c r="A40045" s="8"/>
      <c r="B40045" s="12"/>
      <c r="C40045" s="8"/>
      <c r="D40045" s="8"/>
    </row>
    <row r="40046" spans="1:4" ht="15.75" customHeight="1">
      <c r="A40046" s="8"/>
      <c r="B40046" s="12"/>
      <c r="C40046" s="8"/>
      <c r="D40046" s="8"/>
    </row>
    <row r="40047" spans="1:4" ht="15.75" customHeight="1">
      <c r="A40047" s="8"/>
      <c r="B40047" s="12"/>
      <c r="C40047" s="8"/>
      <c r="D40047" s="8"/>
    </row>
    <row r="40048" spans="1:4" ht="15.75" customHeight="1">
      <c r="A40048" s="8"/>
      <c r="B40048" s="12"/>
      <c r="C40048" s="8"/>
      <c r="D40048" s="8"/>
    </row>
    <row r="40049" spans="1:4" ht="15.75" customHeight="1">
      <c r="A40049" s="8"/>
      <c r="B40049" s="12"/>
      <c r="C40049" s="8"/>
      <c r="D40049" s="8"/>
    </row>
    <row r="40050" spans="1:4" ht="15.75" customHeight="1">
      <c r="A40050" s="8"/>
      <c r="B40050" s="12"/>
      <c r="C40050" s="8"/>
      <c r="D40050" s="8"/>
    </row>
    <row r="40051" spans="1:4" ht="15.75" customHeight="1">
      <c r="A40051" s="8"/>
      <c r="B40051" s="12"/>
      <c r="C40051" s="8"/>
      <c r="D40051" s="8"/>
    </row>
    <row r="40052" spans="1:4" ht="15.75" customHeight="1">
      <c r="A40052" s="8"/>
      <c r="B40052" s="12"/>
      <c r="C40052" s="8"/>
      <c r="D40052" s="8"/>
    </row>
    <row r="40053" spans="1:4" ht="15.75" customHeight="1">
      <c r="A40053" s="8"/>
      <c r="B40053" s="12"/>
      <c r="C40053" s="8"/>
      <c r="D40053" s="8"/>
    </row>
    <row r="40054" spans="1:4" ht="15.75" customHeight="1">
      <c r="A40054" s="8"/>
      <c r="B40054" s="12"/>
      <c r="C40054" s="8"/>
      <c r="D40054" s="8"/>
    </row>
    <row r="40055" spans="1:4" ht="15.75" customHeight="1">
      <c r="A40055" s="8"/>
      <c r="B40055" s="12"/>
      <c r="C40055" s="8"/>
      <c r="D40055" s="8"/>
    </row>
    <row r="40056" spans="1:4" ht="15.75" customHeight="1">
      <c r="A40056" s="8"/>
      <c r="B40056" s="12"/>
      <c r="C40056" s="8"/>
      <c r="D40056" s="8"/>
    </row>
    <row r="40057" spans="1:4" ht="15.75" customHeight="1">
      <c r="A40057" s="8"/>
      <c r="B40057" s="12"/>
      <c r="C40057" s="8"/>
      <c r="D40057" s="8"/>
    </row>
    <row r="40058" spans="1:4" ht="15.75" customHeight="1">
      <c r="A40058" s="8"/>
      <c r="B40058" s="12"/>
      <c r="C40058" s="8"/>
      <c r="D40058" s="8"/>
    </row>
    <row r="40059" spans="1:4" ht="15.75" customHeight="1">
      <c r="A40059" s="8"/>
      <c r="B40059" s="12"/>
      <c r="C40059" s="8"/>
      <c r="D40059" s="8"/>
    </row>
    <row r="40060" spans="1:4" ht="15.75" customHeight="1">
      <c r="A40060" s="8"/>
      <c r="B40060" s="12"/>
      <c r="C40060" s="8"/>
      <c r="D40060" s="8"/>
    </row>
    <row r="40061" spans="1:4" ht="15.75" customHeight="1">
      <c r="A40061" s="8"/>
      <c r="B40061" s="12"/>
      <c r="C40061" s="8"/>
      <c r="D40061" s="8"/>
    </row>
    <row r="40062" spans="1:4" ht="15.75" customHeight="1">
      <c r="A40062" s="8"/>
      <c r="B40062" s="12"/>
      <c r="C40062" s="8"/>
      <c r="D40062" s="8"/>
    </row>
    <row r="40063" spans="1:4" ht="15.75" customHeight="1">
      <c r="A40063" s="8"/>
      <c r="B40063" s="12"/>
      <c r="C40063" s="8"/>
      <c r="D40063" s="8"/>
    </row>
    <row r="40064" spans="1:4" ht="15.75" customHeight="1">
      <c r="A40064" s="8"/>
      <c r="B40064" s="12"/>
      <c r="C40064" s="8"/>
      <c r="D40064" s="8"/>
    </row>
    <row r="40065" spans="1:4" ht="15.75" customHeight="1">
      <c r="A40065" s="8"/>
      <c r="B40065" s="12"/>
      <c r="C40065" s="8"/>
      <c r="D40065" s="8"/>
    </row>
    <row r="40066" spans="1:4" ht="15.75" customHeight="1">
      <c r="A40066" s="8"/>
      <c r="B40066" s="12"/>
      <c r="C40066" s="8"/>
      <c r="D40066" s="8"/>
    </row>
    <row r="40067" spans="1:4" ht="15.75" customHeight="1">
      <c r="A40067" s="8"/>
      <c r="B40067" s="12"/>
      <c r="C40067" s="8"/>
      <c r="D40067" s="8"/>
    </row>
    <row r="40068" spans="1:4" ht="15.75" customHeight="1">
      <c r="A40068" s="8"/>
      <c r="B40068" s="12"/>
      <c r="C40068" s="8"/>
      <c r="D40068" s="8"/>
    </row>
    <row r="40069" spans="1:4" ht="15.75" customHeight="1">
      <c r="A40069" s="8"/>
      <c r="B40069" s="12"/>
      <c r="C40069" s="8"/>
      <c r="D40069" s="8"/>
    </row>
    <row r="40070" spans="1:4" ht="15.75" customHeight="1">
      <c r="A40070" s="8"/>
      <c r="B40070" s="12"/>
      <c r="C40070" s="8"/>
      <c r="D40070" s="8"/>
    </row>
    <row r="40071" spans="1:4" ht="15.75" customHeight="1">
      <c r="A40071" s="8"/>
      <c r="B40071" s="12"/>
      <c r="C40071" s="8"/>
      <c r="D40071" s="8"/>
    </row>
    <row r="40072" spans="1:4" ht="15.75" customHeight="1">
      <c r="A40072" s="8"/>
      <c r="B40072" s="12"/>
      <c r="C40072" s="8"/>
      <c r="D40072" s="8"/>
    </row>
    <row r="40073" spans="1:4" ht="15.75" customHeight="1">
      <c r="A40073" s="8"/>
      <c r="B40073" s="12"/>
      <c r="C40073" s="8"/>
      <c r="D40073" s="8"/>
    </row>
    <row r="40074" spans="1:4" ht="15.75" customHeight="1">
      <c r="A40074" s="8"/>
      <c r="B40074" s="12"/>
      <c r="C40074" s="8"/>
      <c r="D40074" s="8"/>
    </row>
    <row r="40075" spans="1:4" ht="15.75" customHeight="1">
      <c r="A40075" s="8"/>
      <c r="B40075" s="12"/>
      <c r="C40075" s="8"/>
      <c r="D40075" s="8"/>
    </row>
    <row r="40076" spans="1:4" ht="15.75" customHeight="1">
      <c r="A40076" s="8"/>
      <c r="B40076" s="12"/>
      <c r="C40076" s="8"/>
      <c r="D40076" s="8"/>
    </row>
    <row r="40077" spans="1:4" ht="15.75" customHeight="1">
      <c r="A40077" s="8"/>
      <c r="B40077" s="12"/>
      <c r="C40077" s="8"/>
      <c r="D40077" s="8"/>
    </row>
    <row r="40078" spans="1:4" ht="15.75" customHeight="1">
      <c r="A40078" s="8"/>
      <c r="B40078" s="12"/>
      <c r="C40078" s="8"/>
      <c r="D40078" s="8"/>
    </row>
    <row r="40079" spans="1:4" ht="15.75" customHeight="1">
      <c r="A40079" s="8"/>
      <c r="B40079" s="12"/>
      <c r="C40079" s="8"/>
      <c r="D40079" s="8"/>
    </row>
    <row r="40080" spans="1:4" ht="15.75" customHeight="1">
      <c r="A40080" s="8"/>
      <c r="B40080" s="12"/>
      <c r="C40080" s="8"/>
      <c r="D40080" s="8"/>
    </row>
    <row r="40081" spans="1:4" ht="15.75" customHeight="1">
      <c r="A40081" s="8"/>
      <c r="B40081" s="12"/>
      <c r="C40081" s="8"/>
      <c r="D40081" s="8"/>
    </row>
    <row r="40082" spans="1:4" ht="15.75" customHeight="1">
      <c r="A40082" s="8"/>
      <c r="B40082" s="12"/>
      <c r="C40082" s="8"/>
      <c r="D40082" s="8"/>
    </row>
    <row r="40083" spans="1:4" ht="15.75" customHeight="1">
      <c r="A40083" s="8"/>
      <c r="B40083" s="12"/>
      <c r="C40083" s="8"/>
      <c r="D40083" s="8"/>
    </row>
    <row r="40084" spans="1:4" ht="15.75" customHeight="1">
      <c r="A40084" s="8"/>
      <c r="B40084" s="12"/>
      <c r="C40084" s="8"/>
      <c r="D40084" s="8"/>
    </row>
    <row r="40085" spans="1:4" ht="15.75" customHeight="1">
      <c r="A40085" s="8"/>
      <c r="B40085" s="12"/>
      <c r="C40085" s="8"/>
      <c r="D40085" s="8"/>
    </row>
    <row r="40086" spans="1:4" ht="15.75" customHeight="1">
      <c r="A40086" s="8"/>
      <c r="B40086" s="12"/>
      <c r="C40086" s="8"/>
      <c r="D40086" s="8"/>
    </row>
    <row r="40087" spans="1:4" ht="15.75" customHeight="1">
      <c r="A40087" s="8"/>
      <c r="B40087" s="12"/>
      <c r="C40087" s="8"/>
      <c r="D40087" s="8"/>
    </row>
    <row r="40088" spans="1:4" ht="15.75" customHeight="1">
      <c r="A40088" s="8"/>
      <c r="B40088" s="12"/>
      <c r="C40088" s="8"/>
      <c r="D40088" s="8"/>
    </row>
    <row r="40089" spans="1:4" ht="15.75" customHeight="1">
      <c r="A40089" s="8"/>
      <c r="B40089" s="12"/>
      <c r="C40089" s="8"/>
      <c r="D40089" s="8"/>
    </row>
    <row r="40090" spans="1:4" ht="15.75" customHeight="1">
      <c r="A40090" s="8"/>
      <c r="B40090" s="12"/>
      <c r="C40090" s="8"/>
      <c r="D40090" s="8"/>
    </row>
    <row r="40091" spans="1:4" ht="15.75" customHeight="1">
      <c r="A40091" s="8"/>
      <c r="B40091" s="12"/>
      <c r="C40091" s="8"/>
      <c r="D40091" s="8"/>
    </row>
    <row r="40092" spans="1:4" ht="15.75" customHeight="1">
      <c r="A40092" s="8"/>
      <c r="B40092" s="12"/>
      <c r="C40092" s="8"/>
      <c r="D40092" s="8"/>
    </row>
    <row r="40093" spans="1:4" ht="15.75" customHeight="1">
      <c r="A40093" s="8"/>
      <c r="B40093" s="12"/>
      <c r="C40093" s="8"/>
      <c r="D40093" s="8"/>
    </row>
    <row r="40094" spans="1:4" ht="15.75" customHeight="1">
      <c r="A40094" s="8"/>
      <c r="B40094" s="12"/>
      <c r="C40094" s="8"/>
      <c r="D40094" s="8"/>
    </row>
    <row r="40095" spans="1:4" ht="15.75" customHeight="1">
      <c r="A40095" s="8"/>
      <c r="B40095" s="12"/>
      <c r="C40095" s="8"/>
      <c r="D40095" s="8"/>
    </row>
    <row r="40096" spans="1:4" ht="15.75" customHeight="1">
      <c r="A40096" s="8"/>
      <c r="B40096" s="12"/>
      <c r="C40096" s="8"/>
      <c r="D40096" s="8"/>
    </row>
    <row r="40097" spans="1:4" ht="15.75" customHeight="1">
      <c r="A40097" s="8"/>
      <c r="B40097" s="12"/>
      <c r="C40097" s="8"/>
      <c r="D40097" s="8"/>
    </row>
    <row r="40098" spans="1:4" ht="15.75" customHeight="1">
      <c r="A40098" s="8"/>
      <c r="B40098" s="12"/>
      <c r="C40098" s="8"/>
      <c r="D40098" s="8"/>
    </row>
    <row r="40099" spans="1:4" ht="15.75" customHeight="1">
      <c r="A40099" s="8"/>
      <c r="B40099" s="12"/>
      <c r="C40099" s="8"/>
      <c r="D40099" s="8"/>
    </row>
    <row r="40100" spans="1:4" ht="15.75" customHeight="1">
      <c r="A40100" s="8"/>
      <c r="B40100" s="12"/>
      <c r="C40100" s="8"/>
      <c r="D40100" s="8"/>
    </row>
    <row r="40101" spans="1:4" ht="15.75" customHeight="1">
      <c r="A40101" s="8"/>
      <c r="B40101" s="12"/>
      <c r="C40101" s="8"/>
      <c r="D40101" s="8"/>
    </row>
    <row r="40102" spans="1:4" ht="15.75" customHeight="1">
      <c r="A40102" s="8"/>
      <c r="B40102" s="12"/>
      <c r="C40102" s="8"/>
      <c r="D40102" s="8"/>
    </row>
    <row r="40103" spans="1:4" ht="15.75" customHeight="1">
      <c r="A40103" s="8"/>
      <c r="B40103" s="12"/>
      <c r="C40103" s="8"/>
      <c r="D40103" s="8"/>
    </row>
    <row r="40104" spans="1:4" ht="15.75" customHeight="1">
      <c r="A40104" s="8"/>
      <c r="B40104" s="12"/>
      <c r="C40104" s="8"/>
      <c r="D40104" s="8"/>
    </row>
    <row r="40105" spans="1:4" ht="15.75" customHeight="1">
      <c r="A40105" s="8"/>
      <c r="B40105" s="12"/>
      <c r="C40105" s="8"/>
      <c r="D40105" s="8"/>
    </row>
    <row r="40106" spans="1:4" ht="15.75" customHeight="1">
      <c r="A40106" s="8"/>
      <c r="B40106" s="12"/>
      <c r="C40106" s="8"/>
      <c r="D40106" s="8"/>
    </row>
    <row r="40107" spans="1:4" ht="15.75" customHeight="1">
      <c r="A40107" s="8"/>
      <c r="B40107" s="12"/>
      <c r="C40107" s="8"/>
      <c r="D40107" s="8"/>
    </row>
    <row r="40108" spans="1:4" ht="15.75" customHeight="1">
      <c r="A40108" s="8"/>
      <c r="B40108" s="12"/>
      <c r="C40108" s="8"/>
      <c r="D40108" s="8"/>
    </row>
    <row r="40109" spans="1:4" ht="15.75" customHeight="1">
      <c r="A40109" s="8"/>
      <c r="B40109" s="12"/>
      <c r="C40109" s="8"/>
      <c r="D40109" s="8"/>
    </row>
    <row r="40110" spans="1:4" ht="15.75" customHeight="1">
      <c r="A40110" s="8"/>
      <c r="B40110" s="12"/>
      <c r="C40110" s="8"/>
      <c r="D40110" s="8"/>
    </row>
    <row r="40111" spans="1:4" ht="15.75" customHeight="1">
      <c r="A40111" s="8"/>
      <c r="B40111" s="12"/>
      <c r="C40111" s="8"/>
      <c r="D40111" s="8"/>
    </row>
    <row r="40112" spans="1:4" ht="15.75" customHeight="1">
      <c r="A40112" s="8"/>
      <c r="B40112" s="12"/>
      <c r="C40112" s="8"/>
      <c r="D40112" s="8"/>
    </row>
    <row r="40113" spans="1:4" ht="15.75" customHeight="1">
      <c r="A40113" s="8"/>
      <c r="B40113" s="12"/>
      <c r="C40113" s="8"/>
      <c r="D40113" s="8"/>
    </row>
    <row r="40114" spans="1:4" ht="15.75" customHeight="1">
      <c r="A40114" s="8"/>
      <c r="B40114" s="12"/>
      <c r="C40114" s="8"/>
      <c r="D40114" s="8"/>
    </row>
    <row r="40115" spans="1:4" ht="15.75" customHeight="1">
      <c r="A40115" s="8"/>
      <c r="B40115" s="12"/>
      <c r="C40115" s="8"/>
      <c r="D40115" s="8"/>
    </row>
    <row r="40116" spans="1:4" ht="15.75" customHeight="1">
      <c r="A40116" s="8"/>
      <c r="B40116" s="12"/>
      <c r="C40116" s="8"/>
      <c r="D40116" s="8"/>
    </row>
    <row r="40117" spans="1:4" ht="15.75" customHeight="1">
      <c r="A40117" s="8"/>
      <c r="B40117" s="12"/>
      <c r="C40117" s="8"/>
      <c r="D40117" s="8"/>
    </row>
    <row r="40118" spans="1:4" ht="15.75" customHeight="1">
      <c r="A40118" s="8"/>
      <c r="B40118" s="12"/>
      <c r="C40118" s="8"/>
      <c r="D40118" s="8"/>
    </row>
    <row r="40119" spans="1:4" ht="15.75" customHeight="1">
      <c r="A40119" s="8"/>
      <c r="B40119" s="12"/>
      <c r="C40119" s="8"/>
      <c r="D40119" s="8"/>
    </row>
    <row r="40120" spans="1:4" ht="15.75" customHeight="1">
      <c r="A40120" s="8"/>
      <c r="B40120" s="12"/>
      <c r="C40120" s="8"/>
      <c r="D40120" s="8"/>
    </row>
    <row r="40121" spans="1:4" ht="15.75" customHeight="1">
      <c r="A40121" s="8"/>
      <c r="B40121" s="12"/>
      <c r="C40121" s="8"/>
      <c r="D40121" s="8"/>
    </row>
    <row r="40122" spans="1:4" ht="15.75" customHeight="1">
      <c r="A40122" s="8"/>
      <c r="B40122" s="12"/>
      <c r="C40122" s="8"/>
      <c r="D40122" s="8"/>
    </row>
    <row r="40123" spans="1:4" ht="15.75" customHeight="1">
      <c r="A40123" s="8"/>
      <c r="B40123" s="12"/>
      <c r="C40123" s="8"/>
      <c r="D40123" s="8"/>
    </row>
    <row r="40124" spans="1:4" ht="15.75" customHeight="1">
      <c r="A40124" s="8"/>
      <c r="B40124" s="12"/>
      <c r="C40124" s="8"/>
      <c r="D40124" s="8"/>
    </row>
    <row r="40125" spans="1:4" ht="15.75" customHeight="1">
      <c r="A40125" s="8"/>
      <c r="B40125" s="12"/>
      <c r="C40125" s="8"/>
      <c r="D40125" s="8"/>
    </row>
    <row r="40126" spans="1:4" ht="15.75" customHeight="1">
      <c r="A40126" s="8"/>
      <c r="B40126" s="12"/>
      <c r="C40126" s="8"/>
      <c r="D40126" s="8"/>
    </row>
    <row r="40127" spans="1:4" ht="15.75" customHeight="1">
      <c r="A40127" s="8"/>
      <c r="B40127" s="12"/>
      <c r="C40127" s="8"/>
      <c r="D40127" s="8"/>
    </row>
    <row r="40128" spans="1:4" ht="15.75" customHeight="1">
      <c r="A40128" s="8"/>
      <c r="B40128" s="12"/>
      <c r="C40128" s="8"/>
      <c r="D40128" s="8"/>
    </row>
    <row r="40129" spans="1:4" ht="15.75" customHeight="1">
      <c r="A40129" s="8"/>
      <c r="B40129" s="12"/>
      <c r="C40129" s="8"/>
      <c r="D40129" s="8"/>
    </row>
    <row r="40130" spans="1:4" ht="15.75" customHeight="1">
      <c r="A40130" s="8"/>
      <c r="B40130" s="12"/>
      <c r="C40130" s="8"/>
      <c r="D40130" s="8"/>
    </row>
    <row r="40131" spans="1:4" ht="15.75" customHeight="1">
      <c r="A40131" s="8"/>
      <c r="B40131" s="12"/>
      <c r="C40131" s="8"/>
      <c r="D40131" s="8"/>
    </row>
    <row r="40132" spans="1:4" ht="15.75" customHeight="1">
      <c r="A40132" s="8"/>
      <c r="B40132" s="12"/>
      <c r="C40132" s="8"/>
      <c r="D40132" s="8"/>
    </row>
    <row r="40133" spans="1:4" ht="15.75" customHeight="1">
      <c r="A40133" s="8"/>
      <c r="B40133" s="12"/>
      <c r="C40133" s="8"/>
      <c r="D40133" s="8"/>
    </row>
    <row r="40134" spans="1:4" ht="15.75" customHeight="1">
      <c r="A40134" s="8"/>
      <c r="B40134" s="12"/>
      <c r="C40134" s="8"/>
      <c r="D40134" s="8"/>
    </row>
    <row r="40135" spans="1:4" ht="15.75" customHeight="1">
      <c r="A40135" s="8"/>
      <c r="B40135" s="12"/>
      <c r="C40135" s="8"/>
      <c r="D40135" s="8"/>
    </row>
    <row r="40136" spans="1:4" ht="15.75" customHeight="1">
      <c r="A40136" s="8"/>
      <c r="B40136" s="12"/>
      <c r="C40136" s="8"/>
      <c r="D40136" s="8"/>
    </row>
    <row r="40137" spans="1:4" ht="15.75" customHeight="1">
      <c r="A40137" s="8"/>
      <c r="B40137" s="12"/>
      <c r="C40137" s="8"/>
      <c r="D40137" s="8"/>
    </row>
    <row r="40138" spans="1:4" ht="15.75" customHeight="1">
      <c r="A40138" s="8"/>
      <c r="B40138" s="12"/>
      <c r="C40138" s="8"/>
      <c r="D40138" s="8"/>
    </row>
    <row r="40139" spans="1:4" ht="15.75" customHeight="1">
      <c r="A40139" s="8"/>
      <c r="B40139" s="12"/>
      <c r="C40139" s="8"/>
      <c r="D40139" s="8"/>
    </row>
    <row r="40140" spans="1:4" ht="15.75" customHeight="1">
      <c r="A40140" s="8"/>
      <c r="B40140" s="12"/>
      <c r="C40140" s="8"/>
      <c r="D40140" s="8"/>
    </row>
    <row r="40141" spans="1:4" ht="15.75" customHeight="1">
      <c r="A40141" s="8"/>
      <c r="B40141" s="12"/>
      <c r="C40141" s="8"/>
      <c r="D40141" s="8"/>
    </row>
    <row r="40142" spans="1:4" ht="15.75" customHeight="1">
      <c r="A40142" s="8"/>
      <c r="B40142" s="12"/>
      <c r="C40142" s="8"/>
      <c r="D40142" s="8"/>
    </row>
    <row r="40143" spans="1:4" ht="15.75" customHeight="1">
      <c r="A40143" s="8"/>
      <c r="B40143" s="12"/>
      <c r="C40143" s="8"/>
      <c r="D40143" s="8"/>
    </row>
    <row r="40144" spans="1:4" ht="15.75" customHeight="1">
      <c r="A40144" s="8"/>
      <c r="B40144" s="12"/>
      <c r="C40144" s="8"/>
      <c r="D40144" s="8"/>
    </row>
    <row r="40145" spans="1:4" ht="15.75" customHeight="1">
      <c r="A40145" s="8"/>
      <c r="B40145" s="12"/>
      <c r="C40145" s="8"/>
      <c r="D40145" s="8"/>
    </row>
    <row r="40146" spans="1:4" ht="15.75" customHeight="1">
      <c r="A40146" s="8"/>
      <c r="B40146" s="12"/>
      <c r="C40146" s="8"/>
      <c r="D40146" s="8"/>
    </row>
    <row r="40147" spans="1:4" ht="15.75" customHeight="1">
      <c r="A40147" s="8"/>
      <c r="B40147" s="12"/>
      <c r="C40147" s="8"/>
      <c r="D40147" s="8"/>
    </row>
    <row r="40148" spans="1:4" ht="15.75" customHeight="1">
      <c r="A40148" s="8"/>
      <c r="B40148" s="12"/>
      <c r="C40148" s="8"/>
      <c r="D40148" s="8"/>
    </row>
    <row r="40149" spans="1:4" ht="15.75" customHeight="1">
      <c r="A40149" s="8"/>
      <c r="B40149" s="12"/>
      <c r="C40149" s="8"/>
      <c r="D40149" s="8"/>
    </row>
    <row r="40150" spans="1:4" ht="15.75" customHeight="1">
      <c r="A40150" s="8"/>
      <c r="B40150" s="12"/>
      <c r="C40150" s="8"/>
      <c r="D40150" s="8"/>
    </row>
    <row r="40151" spans="1:4" ht="15.75" customHeight="1">
      <c r="A40151" s="8"/>
      <c r="B40151" s="12"/>
      <c r="C40151" s="8"/>
      <c r="D40151" s="8"/>
    </row>
    <row r="40152" spans="1:4" ht="15.75" customHeight="1">
      <c r="A40152" s="8"/>
      <c r="B40152" s="12"/>
      <c r="C40152" s="8"/>
      <c r="D40152" s="8"/>
    </row>
    <row r="40153" spans="1:4" ht="15.75" customHeight="1">
      <c r="A40153" s="8"/>
      <c r="B40153" s="12"/>
      <c r="C40153" s="8"/>
      <c r="D40153" s="8"/>
    </row>
    <row r="40154" spans="1:4" ht="15.75" customHeight="1">
      <c r="A40154" s="8"/>
      <c r="B40154" s="12"/>
      <c r="C40154" s="8"/>
      <c r="D40154" s="8"/>
    </row>
    <row r="40155" spans="1:4" ht="15.75" customHeight="1">
      <c r="A40155" s="8"/>
      <c r="B40155" s="12"/>
      <c r="C40155" s="8"/>
      <c r="D40155" s="8"/>
    </row>
    <row r="40156" spans="1:4" ht="15.75" customHeight="1">
      <c r="A40156" s="8"/>
      <c r="B40156" s="12"/>
      <c r="C40156" s="8"/>
      <c r="D40156" s="8"/>
    </row>
    <row r="40157" spans="1:4" ht="15.75" customHeight="1">
      <c r="A40157" s="8"/>
      <c r="B40157" s="12"/>
      <c r="C40157" s="8"/>
      <c r="D40157" s="8"/>
    </row>
    <row r="40158" spans="1:4" ht="15.75" customHeight="1">
      <c r="A40158" s="8"/>
      <c r="B40158" s="12"/>
      <c r="C40158" s="8"/>
      <c r="D40158" s="8"/>
    </row>
    <row r="40159" spans="1:4" ht="15.75" customHeight="1">
      <c r="A40159" s="8"/>
      <c r="B40159" s="12"/>
      <c r="C40159" s="8"/>
      <c r="D40159" s="8"/>
    </row>
    <row r="40160" spans="1:4" ht="15.75" customHeight="1">
      <c r="A40160" s="8"/>
      <c r="B40160" s="12"/>
      <c r="C40160" s="8"/>
      <c r="D40160" s="8"/>
    </row>
    <row r="40161" spans="1:4" ht="15.75" customHeight="1">
      <c r="A40161" s="8"/>
      <c r="B40161" s="12"/>
      <c r="C40161" s="8"/>
      <c r="D40161" s="8"/>
    </row>
    <row r="40162" spans="1:4" ht="15.75" customHeight="1">
      <c r="A40162" s="8"/>
      <c r="B40162" s="12"/>
      <c r="C40162" s="8"/>
      <c r="D40162" s="8"/>
    </row>
    <row r="40163" spans="1:4" ht="15.75" customHeight="1">
      <c r="A40163" s="8"/>
      <c r="B40163" s="12"/>
      <c r="C40163" s="8"/>
      <c r="D40163" s="8"/>
    </row>
    <row r="40164" spans="1:4" ht="15.75" customHeight="1">
      <c r="A40164" s="8"/>
      <c r="B40164" s="12"/>
      <c r="C40164" s="8"/>
      <c r="D40164" s="8"/>
    </row>
    <row r="40165" spans="1:4" ht="15.75" customHeight="1">
      <c r="A40165" s="8"/>
      <c r="B40165" s="12"/>
      <c r="C40165" s="8"/>
      <c r="D40165" s="8"/>
    </row>
    <row r="40166" spans="1:4" ht="15.75" customHeight="1">
      <c r="A40166" s="8"/>
      <c r="B40166" s="12"/>
      <c r="C40166" s="8"/>
      <c r="D40166" s="8"/>
    </row>
    <row r="40167" spans="1:4" ht="15.75" customHeight="1">
      <c r="A40167" s="8"/>
      <c r="B40167" s="12"/>
      <c r="C40167" s="8"/>
      <c r="D40167" s="8"/>
    </row>
    <row r="40168" spans="1:4" ht="15.75" customHeight="1">
      <c r="A40168" s="8"/>
      <c r="B40168" s="12"/>
      <c r="C40168" s="8"/>
      <c r="D40168" s="8"/>
    </row>
    <row r="40169" spans="1:4" ht="15.75" customHeight="1">
      <c r="A40169" s="8"/>
      <c r="B40169" s="12"/>
      <c r="C40169" s="8"/>
      <c r="D40169" s="8"/>
    </row>
    <row r="40170" spans="1:4" ht="15.75" customHeight="1">
      <c r="A40170" s="8"/>
      <c r="B40170" s="12"/>
      <c r="C40170" s="8"/>
      <c r="D40170" s="8"/>
    </row>
    <row r="40171" spans="1:4" ht="15.75" customHeight="1">
      <c r="A40171" s="8"/>
      <c r="B40171" s="12"/>
      <c r="C40171" s="8"/>
      <c r="D40171" s="8"/>
    </row>
    <row r="40172" spans="1:4" ht="15.75" customHeight="1">
      <c r="A40172" s="8"/>
      <c r="B40172" s="12"/>
      <c r="C40172" s="8"/>
      <c r="D40172" s="8"/>
    </row>
    <row r="40173" spans="1:4" ht="15.75" customHeight="1">
      <c r="A40173" s="8"/>
      <c r="B40173" s="12"/>
      <c r="C40173" s="8"/>
      <c r="D40173" s="8"/>
    </row>
    <row r="40174" spans="1:4" ht="15.75" customHeight="1">
      <c r="A40174" s="8"/>
      <c r="B40174" s="12"/>
      <c r="C40174" s="8"/>
      <c r="D40174" s="8"/>
    </row>
    <row r="40175" spans="1:4" ht="15.75" customHeight="1">
      <c r="A40175" s="8"/>
      <c r="B40175" s="12"/>
      <c r="C40175" s="8"/>
      <c r="D40175" s="8"/>
    </row>
    <row r="40176" spans="1:4" ht="15.75" customHeight="1">
      <c r="A40176" s="8"/>
      <c r="B40176" s="12"/>
      <c r="C40176" s="8"/>
      <c r="D40176" s="8"/>
    </row>
    <row r="40177" spans="1:4" ht="15.75" customHeight="1">
      <c r="A40177" s="8"/>
      <c r="B40177" s="12"/>
      <c r="C40177" s="8"/>
      <c r="D40177" s="8"/>
    </row>
    <row r="40178" spans="1:4" ht="15.75" customHeight="1">
      <c r="A40178" s="8"/>
      <c r="B40178" s="12"/>
      <c r="C40178" s="8"/>
      <c r="D40178" s="8"/>
    </row>
    <row r="40179" spans="1:4" ht="15.75" customHeight="1">
      <c r="A40179" s="8"/>
      <c r="B40179" s="12"/>
      <c r="C40179" s="8"/>
      <c r="D40179" s="8"/>
    </row>
    <row r="40180" spans="1:4" ht="15.75" customHeight="1">
      <c r="A40180" s="8"/>
      <c r="B40180" s="12"/>
      <c r="C40180" s="8"/>
      <c r="D40180" s="8"/>
    </row>
    <row r="40181" spans="1:4" ht="15.75" customHeight="1">
      <c r="A40181" s="8"/>
      <c r="B40181" s="12"/>
      <c r="C40181" s="8"/>
      <c r="D40181" s="8"/>
    </row>
    <row r="40182" spans="1:4" ht="15.75" customHeight="1">
      <c r="A40182" s="8"/>
      <c r="B40182" s="12"/>
      <c r="C40182" s="8"/>
      <c r="D40182" s="8"/>
    </row>
    <row r="40183" spans="1:4" ht="15.75" customHeight="1">
      <c r="A40183" s="8"/>
      <c r="B40183" s="12"/>
      <c r="C40183" s="8"/>
      <c r="D40183" s="8"/>
    </row>
    <row r="40184" spans="1:4" ht="15.75" customHeight="1">
      <c r="A40184" s="8"/>
      <c r="B40184" s="12"/>
      <c r="C40184" s="8"/>
      <c r="D40184" s="8"/>
    </row>
    <row r="40185" spans="1:4" ht="15.75" customHeight="1">
      <c r="A40185" s="8"/>
      <c r="B40185" s="12"/>
      <c r="C40185" s="8"/>
      <c r="D40185" s="8"/>
    </row>
    <row r="40186" spans="1:4" ht="15.75" customHeight="1">
      <c r="A40186" s="8"/>
      <c r="B40186" s="12"/>
      <c r="C40186" s="8"/>
      <c r="D40186" s="8"/>
    </row>
    <row r="40187" spans="1:4" ht="15.75" customHeight="1">
      <c r="A40187" s="8"/>
      <c r="B40187" s="12"/>
      <c r="C40187" s="8"/>
      <c r="D40187" s="8"/>
    </row>
    <row r="40188" spans="1:4" ht="15.75" customHeight="1">
      <c r="A40188" s="8"/>
      <c r="B40188" s="12"/>
      <c r="C40188" s="8"/>
      <c r="D40188" s="8"/>
    </row>
    <row r="40189" spans="1:4" ht="15.75" customHeight="1">
      <c r="A40189" s="8"/>
      <c r="B40189" s="12"/>
      <c r="C40189" s="8"/>
      <c r="D40189" s="8"/>
    </row>
    <row r="40190" spans="1:4" ht="15.75" customHeight="1">
      <c r="A40190" s="8"/>
      <c r="B40190" s="12"/>
      <c r="C40190" s="8"/>
      <c r="D40190" s="8"/>
    </row>
    <row r="40191" spans="1:4" ht="15.75" customHeight="1">
      <c r="A40191" s="8"/>
      <c r="B40191" s="12"/>
      <c r="C40191" s="8"/>
      <c r="D40191" s="8"/>
    </row>
    <row r="40192" spans="1:4" ht="15.75" customHeight="1">
      <c r="A40192" s="8"/>
      <c r="B40192" s="12"/>
      <c r="C40192" s="8"/>
      <c r="D40192" s="8"/>
    </row>
    <row r="40193" spans="1:4" ht="15.75" customHeight="1">
      <c r="A40193" s="8"/>
      <c r="B40193" s="12"/>
      <c r="C40193" s="8"/>
      <c r="D40193" s="8"/>
    </row>
    <row r="40194" spans="1:4" ht="15.75" customHeight="1">
      <c r="A40194" s="8"/>
      <c r="B40194" s="12"/>
      <c r="C40194" s="8"/>
      <c r="D40194" s="8"/>
    </row>
    <row r="40195" spans="1:4" ht="15.75" customHeight="1">
      <c r="A40195" s="8"/>
      <c r="B40195" s="12"/>
      <c r="C40195" s="8"/>
      <c r="D40195" s="8"/>
    </row>
    <row r="40196" spans="1:4" ht="15.75" customHeight="1">
      <c r="A40196" s="8"/>
      <c r="B40196" s="12"/>
      <c r="C40196" s="8"/>
      <c r="D40196" s="8"/>
    </row>
    <row r="40197" spans="1:4" ht="15.75" customHeight="1">
      <c r="A40197" s="8"/>
      <c r="B40197" s="12"/>
      <c r="C40197" s="8"/>
      <c r="D40197" s="8"/>
    </row>
    <row r="40198" spans="1:4" ht="15.75" customHeight="1">
      <c r="A40198" s="8"/>
      <c r="B40198" s="12"/>
      <c r="C40198" s="8"/>
      <c r="D40198" s="8"/>
    </row>
    <row r="40199" spans="1:4" ht="15.75" customHeight="1">
      <c r="A40199" s="8"/>
      <c r="B40199" s="12"/>
      <c r="C40199" s="8"/>
      <c r="D40199" s="8"/>
    </row>
    <row r="40200" spans="1:4" ht="15.75" customHeight="1">
      <c r="A40200" s="8"/>
      <c r="B40200" s="12"/>
      <c r="C40200" s="8"/>
      <c r="D40200" s="8"/>
    </row>
    <row r="40201" spans="1:4" ht="15.75" customHeight="1">
      <c r="A40201" s="8"/>
      <c r="B40201" s="12"/>
      <c r="C40201" s="8"/>
      <c r="D40201" s="8"/>
    </row>
    <row r="40202" spans="1:4" ht="15.75" customHeight="1">
      <c r="A40202" s="8"/>
      <c r="B40202" s="12"/>
      <c r="C40202" s="8"/>
      <c r="D40202" s="8"/>
    </row>
    <row r="40203" spans="1:4" ht="15.75" customHeight="1">
      <c r="A40203" s="8"/>
      <c r="B40203" s="12"/>
      <c r="C40203" s="8"/>
      <c r="D40203" s="8"/>
    </row>
    <row r="40204" spans="1:4" ht="15.75" customHeight="1">
      <c r="A40204" s="8"/>
      <c r="B40204" s="12"/>
      <c r="C40204" s="8"/>
      <c r="D40204" s="8"/>
    </row>
    <row r="40205" spans="1:4" ht="15.75" customHeight="1">
      <c r="A40205" s="8"/>
      <c r="B40205" s="12"/>
      <c r="C40205" s="8"/>
      <c r="D40205" s="8"/>
    </row>
    <row r="40206" spans="1:4" ht="15.75" customHeight="1">
      <c r="A40206" s="8"/>
      <c r="B40206" s="12"/>
      <c r="C40206" s="8"/>
      <c r="D40206" s="8"/>
    </row>
    <row r="40207" spans="1:4" ht="15.75" customHeight="1">
      <c r="A40207" s="8"/>
      <c r="B40207" s="12"/>
      <c r="C40207" s="8"/>
      <c r="D40207" s="8"/>
    </row>
    <row r="40208" spans="1:4" ht="15.75" customHeight="1">
      <c r="A40208" s="8"/>
      <c r="B40208" s="12"/>
      <c r="C40208" s="8"/>
      <c r="D40208" s="8"/>
    </row>
    <row r="40209" spans="1:4" ht="15.75" customHeight="1">
      <c r="A40209" s="8"/>
      <c r="B40209" s="12"/>
      <c r="C40209" s="8"/>
      <c r="D40209" s="8"/>
    </row>
    <row r="40210" spans="1:4" ht="15.75" customHeight="1">
      <c r="A40210" s="8"/>
      <c r="B40210" s="12"/>
      <c r="C40210" s="8"/>
      <c r="D40210" s="8"/>
    </row>
    <row r="40211" spans="1:4" ht="15.75" customHeight="1">
      <c r="A40211" s="8"/>
      <c r="B40211" s="12"/>
      <c r="C40211" s="8"/>
      <c r="D40211" s="8"/>
    </row>
    <row r="40212" spans="1:4" ht="15.75" customHeight="1">
      <c r="A40212" s="8"/>
      <c r="B40212" s="12"/>
      <c r="C40212" s="8"/>
      <c r="D40212" s="8"/>
    </row>
    <row r="40213" spans="1:4" ht="15.75" customHeight="1">
      <c r="A40213" s="8"/>
      <c r="B40213" s="12"/>
      <c r="C40213" s="8"/>
      <c r="D40213" s="8"/>
    </row>
    <row r="40214" spans="1:4" ht="15.75" customHeight="1">
      <c r="A40214" s="8"/>
      <c r="B40214" s="12"/>
      <c r="C40214" s="8"/>
      <c r="D40214" s="8"/>
    </row>
    <row r="40215" spans="1:4" ht="15.75" customHeight="1">
      <c r="A40215" s="8"/>
      <c r="B40215" s="12"/>
      <c r="C40215" s="8"/>
      <c r="D40215" s="8"/>
    </row>
    <row r="40216" spans="1:4" ht="15.75" customHeight="1">
      <c r="A40216" s="8"/>
      <c r="B40216" s="12"/>
      <c r="C40216" s="8"/>
      <c r="D40216" s="8"/>
    </row>
    <row r="40217" spans="1:4" ht="15.75" customHeight="1">
      <c r="A40217" s="8"/>
      <c r="B40217" s="12"/>
      <c r="C40217" s="8"/>
      <c r="D40217" s="8"/>
    </row>
    <row r="40218" spans="1:4" ht="15.75" customHeight="1">
      <c r="A40218" s="8"/>
      <c r="B40218" s="12"/>
      <c r="C40218" s="8"/>
      <c r="D40218" s="8"/>
    </row>
    <row r="40219" spans="1:4" ht="15.75" customHeight="1">
      <c r="A40219" s="8"/>
      <c r="B40219" s="12"/>
      <c r="C40219" s="8"/>
      <c r="D40219" s="8"/>
    </row>
    <row r="40220" spans="1:4" ht="15.75" customHeight="1">
      <c r="A40220" s="8"/>
      <c r="B40220" s="12"/>
      <c r="C40220" s="8"/>
      <c r="D40220" s="8"/>
    </row>
    <row r="40221" spans="1:4" ht="15.75" customHeight="1">
      <c r="A40221" s="8"/>
      <c r="B40221" s="12"/>
      <c r="C40221" s="8"/>
      <c r="D40221" s="8"/>
    </row>
    <row r="40222" spans="1:4" ht="15.75" customHeight="1">
      <c r="A40222" s="8"/>
      <c r="B40222" s="12"/>
      <c r="C40222" s="8"/>
      <c r="D40222" s="8"/>
    </row>
    <row r="40223" spans="1:4" ht="15.75" customHeight="1">
      <c r="A40223" s="8"/>
      <c r="B40223" s="12"/>
      <c r="C40223" s="8"/>
      <c r="D40223" s="8"/>
    </row>
    <row r="40224" spans="1:4" ht="15.75" customHeight="1">
      <c r="A40224" s="8"/>
      <c r="B40224" s="12"/>
      <c r="C40224" s="8"/>
      <c r="D40224" s="8"/>
    </row>
    <row r="40225" spans="1:4" ht="15.75" customHeight="1">
      <c r="A40225" s="8"/>
      <c r="B40225" s="12"/>
      <c r="C40225" s="8"/>
      <c r="D40225" s="8"/>
    </row>
    <row r="40226" spans="1:4" ht="15.75" customHeight="1">
      <c r="A40226" s="8"/>
      <c r="B40226" s="12"/>
      <c r="C40226" s="8"/>
      <c r="D40226" s="8"/>
    </row>
    <row r="40227" spans="1:4" ht="15.75" customHeight="1">
      <c r="A40227" s="8"/>
      <c r="B40227" s="12"/>
      <c r="C40227" s="8"/>
      <c r="D40227" s="8"/>
    </row>
    <row r="40228" spans="1:4" ht="15.75" customHeight="1">
      <c r="A40228" s="8"/>
      <c r="B40228" s="12"/>
      <c r="C40228" s="8"/>
      <c r="D40228" s="8"/>
    </row>
    <row r="40229" spans="1:4" ht="15.75" customHeight="1">
      <c r="A40229" s="8"/>
      <c r="B40229" s="12"/>
      <c r="C40229" s="8"/>
      <c r="D40229" s="8"/>
    </row>
    <row r="40230" spans="1:4" ht="15.75" customHeight="1">
      <c r="A40230" s="8"/>
      <c r="B40230" s="12"/>
      <c r="C40230" s="8"/>
      <c r="D40230" s="8"/>
    </row>
    <row r="40231" spans="1:4" ht="15.75" customHeight="1">
      <c r="A40231" s="8"/>
      <c r="B40231" s="12"/>
      <c r="C40231" s="8"/>
      <c r="D40231" s="8"/>
    </row>
    <row r="40232" spans="1:4" ht="15.75" customHeight="1">
      <c r="A40232" s="8"/>
      <c r="B40232" s="12"/>
      <c r="C40232" s="8"/>
      <c r="D40232" s="8"/>
    </row>
    <row r="40233" spans="1:4" ht="15.75" customHeight="1">
      <c r="A40233" s="8"/>
      <c r="B40233" s="12"/>
      <c r="C40233" s="8"/>
      <c r="D40233" s="8"/>
    </row>
    <row r="40234" spans="1:4" ht="15.75" customHeight="1">
      <c r="A40234" s="8"/>
      <c r="B40234" s="12"/>
      <c r="C40234" s="8"/>
      <c r="D40234" s="8"/>
    </row>
    <row r="40235" spans="1:4" ht="15.75" customHeight="1">
      <c r="A40235" s="8"/>
      <c r="B40235" s="12"/>
      <c r="C40235" s="8"/>
      <c r="D40235" s="8"/>
    </row>
    <row r="40236" spans="1:4" ht="15.75" customHeight="1">
      <c r="A40236" s="8"/>
      <c r="B40236" s="12"/>
      <c r="C40236" s="8"/>
      <c r="D40236" s="8"/>
    </row>
    <row r="40237" spans="1:4" ht="15.75" customHeight="1">
      <c r="A40237" s="8"/>
      <c r="B40237" s="12"/>
      <c r="C40237" s="8"/>
      <c r="D40237" s="8"/>
    </row>
    <row r="40238" spans="1:4" ht="15.75" customHeight="1">
      <c r="A40238" s="8"/>
      <c r="B40238" s="12"/>
      <c r="C40238" s="8"/>
      <c r="D40238" s="8"/>
    </row>
    <row r="40239" spans="1:4" ht="15.75" customHeight="1">
      <c r="A40239" s="8"/>
      <c r="B40239" s="12"/>
      <c r="C40239" s="8"/>
      <c r="D40239" s="8"/>
    </row>
    <row r="40240" spans="1:4" ht="15.75" customHeight="1">
      <c r="A40240" s="8"/>
      <c r="B40240" s="12"/>
      <c r="C40240" s="8"/>
      <c r="D40240" s="8"/>
    </row>
    <row r="40241" spans="1:4" ht="15.75" customHeight="1">
      <c r="A40241" s="8"/>
      <c r="B40241" s="12"/>
      <c r="C40241" s="8"/>
      <c r="D40241" s="8"/>
    </row>
    <row r="40242" spans="1:4" ht="15.75" customHeight="1">
      <c r="A40242" s="8"/>
      <c r="B40242" s="12"/>
      <c r="C40242" s="8"/>
      <c r="D40242" s="8"/>
    </row>
    <row r="40243" spans="1:4" ht="15.75" customHeight="1">
      <c r="A40243" s="8"/>
      <c r="B40243" s="12"/>
      <c r="C40243" s="8"/>
      <c r="D40243" s="8"/>
    </row>
    <row r="40244" spans="1:4" ht="15.75" customHeight="1">
      <c r="A40244" s="8"/>
      <c r="B40244" s="12"/>
      <c r="C40244" s="8"/>
      <c r="D40244" s="8"/>
    </row>
    <row r="40245" spans="1:4" ht="15.75" customHeight="1">
      <c r="A40245" s="8"/>
      <c r="B40245" s="12"/>
      <c r="C40245" s="8"/>
      <c r="D40245" s="8"/>
    </row>
    <row r="40246" spans="1:4" ht="15.75" customHeight="1">
      <c r="A40246" s="8"/>
      <c r="B40246" s="12"/>
      <c r="C40246" s="8"/>
      <c r="D40246" s="8"/>
    </row>
    <row r="40247" spans="1:4" ht="15.75" customHeight="1">
      <c r="A40247" s="8"/>
      <c r="B40247" s="12"/>
      <c r="C40247" s="8"/>
      <c r="D40247" s="8"/>
    </row>
    <row r="40248" spans="1:4" ht="15.75" customHeight="1">
      <c r="A40248" s="8"/>
      <c r="B40248" s="12"/>
      <c r="C40248" s="8"/>
      <c r="D40248" s="8"/>
    </row>
    <row r="40249" spans="1:4" ht="15.75" customHeight="1">
      <c r="A40249" s="8"/>
      <c r="B40249" s="12"/>
      <c r="C40249" s="8"/>
      <c r="D40249" s="8"/>
    </row>
    <row r="40250" spans="1:4" ht="15.75" customHeight="1">
      <c r="A40250" s="8"/>
      <c r="B40250" s="12"/>
      <c r="C40250" s="8"/>
      <c r="D40250" s="8"/>
    </row>
    <row r="40251" spans="1:4" ht="15.75" customHeight="1">
      <c r="A40251" s="8"/>
      <c r="B40251" s="12"/>
      <c r="C40251" s="8"/>
      <c r="D40251" s="8"/>
    </row>
    <row r="40252" spans="1:4" ht="15.75" customHeight="1">
      <c r="A40252" s="8"/>
      <c r="B40252" s="12"/>
      <c r="C40252" s="8"/>
      <c r="D40252" s="8"/>
    </row>
    <row r="40253" spans="1:4" ht="15.75" customHeight="1">
      <c r="A40253" s="8"/>
      <c r="B40253" s="12"/>
      <c r="C40253" s="8"/>
      <c r="D40253" s="8"/>
    </row>
    <row r="40254" spans="1:4" ht="15.75" customHeight="1">
      <c r="A40254" s="8"/>
      <c r="B40254" s="12"/>
      <c r="C40254" s="8"/>
      <c r="D40254" s="8"/>
    </row>
    <row r="40255" spans="1:4" ht="15.75" customHeight="1">
      <c r="A40255" s="8"/>
      <c r="B40255" s="12"/>
      <c r="C40255" s="8"/>
      <c r="D40255" s="8"/>
    </row>
    <row r="40256" spans="1:4" ht="15.75" customHeight="1">
      <c r="A40256" s="8"/>
      <c r="B40256" s="12"/>
      <c r="C40256" s="8"/>
      <c r="D40256" s="8"/>
    </row>
    <row r="40257" spans="1:4" ht="15.75" customHeight="1">
      <c r="A40257" s="8"/>
      <c r="B40257" s="12"/>
      <c r="C40257" s="8"/>
      <c r="D40257" s="8"/>
    </row>
    <row r="40258" spans="1:4" ht="15.75" customHeight="1">
      <c r="A40258" s="8"/>
      <c r="B40258" s="12"/>
      <c r="C40258" s="8"/>
      <c r="D40258" s="8"/>
    </row>
    <row r="40259" spans="1:4" ht="15.75" customHeight="1">
      <c r="A40259" s="8"/>
      <c r="B40259" s="12"/>
      <c r="C40259" s="8"/>
      <c r="D40259" s="8"/>
    </row>
    <row r="40260" spans="1:4" ht="15.75" customHeight="1">
      <c r="A40260" s="8"/>
      <c r="B40260" s="12"/>
      <c r="C40260" s="8"/>
      <c r="D40260" s="8"/>
    </row>
    <row r="40261" spans="1:4" ht="15.75" customHeight="1">
      <c r="A40261" s="8"/>
      <c r="B40261" s="12"/>
      <c r="C40261" s="8"/>
      <c r="D40261" s="8"/>
    </row>
    <row r="40262" spans="1:4" ht="15.75" customHeight="1">
      <c r="A40262" s="8"/>
      <c r="B40262" s="12"/>
      <c r="C40262" s="8"/>
      <c r="D40262" s="8"/>
    </row>
    <row r="40263" spans="1:4" ht="15.75" customHeight="1">
      <c r="A40263" s="8"/>
      <c r="B40263" s="12"/>
      <c r="C40263" s="8"/>
      <c r="D40263" s="8"/>
    </row>
    <row r="40264" spans="1:4" ht="15.75" customHeight="1">
      <c r="A40264" s="8"/>
      <c r="B40264" s="12"/>
      <c r="C40264" s="8"/>
      <c r="D40264" s="8"/>
    </row>
    <row r="40265" spans="1:4" ht="15.75" customHeight="1">
      <c r="A40265" s="8"/>
      <c r="B40265" s="12"/>
      <c r="C40265" s="8"/>
      <c r="D40265" s="8"/>
    </row>
    <row r="40266" spans="1:4" ht="15.75" customHeight="1">
      <c r="A40266" s="8"/>
      <c r="B40266" s="12"/>
      <c r="C40266" s="8"/>
      <c r="D40266" s="8"/>
    </row>
    <row r="40267" spans="1:4" ht="15.75" customHeight="1">
      <c r="A40267" s="8"/>
      <c r="B40267" s="12"/>
      <c r="C40267" s="8"/>
      <c r="D40267" s="8"/>
    </row>
    <row r="40268" spans="1:4" ht="15.75" customHeight="1">
      <c r="A40268" s="8"/>
      <c r="B40268" s="12"/>
      <c r="C40268" s="8"/>
      <c r="D40268" s="8"/>
    </row>
    <row r="40269" spans="1:4" ht="15.75" customHeight="1">
      <c r="A40269" s="8"/>
      <c r="B40269" s="12"/>
      <c r="C40269" s="8"/>
      <c r="D40269" s="8"/>
    </row>
    <row r="40270" spans="1:4" ht="15.75" customHeight="1">
      <c r="A40270" s="8"/>
      <c r="B40270" s="12"/>
      <c r="C40270" s="8"/>
      <c r="D40270" s="8"/>
    </row>
    <row r="40271" spans="1:4" ht="15.75" customHeight="1">
      <c r="A40271" s="8"/>
      <c r="B40271" s="12"/>
      <c r="C40271" s="8"/>
      <c r="D40271" s="8"/>
    </row>
    <row r="40272" spans="1:4" ht="15.75" customHeight="1">
      <c r="A40272" s="8"/>
      <c r="B40272" s="12"/>
      <c r="C40272" s="8"/>
      <c r="D40272" s="8"/>
    </row>
    <row r="40273" spans="1:4" ht="15.75" customHeight="1">
      <c r="A40273" s="8"/>
      <c r="B40273" s="12"/>
      <c r="C40273" s="8"/>
      <c r="D40273" s="8"/>
    </row>
    <row r="40274" spans="1:4" ht="15.75" customHeight="1">
      <c r="A40274" s="8"/>
      <c r="B40274" s="12"/>
      <c r="C40274" s="8"/>
      <c r="D40274" s="8"/>
    </row>
    <row r="40275" spans="1:4" ht="15.75" customHeight="1">
      <c r="A40275" s="8"/>
      <c r="B40275" s="12"/>
      <c r="C40275" s="8"/>
      <c r="D40275" s="8"/>
    </row>
    <row r="40276" spans="1:4" ht="15.75" customHeight="1">
      <c r="A40276" s="8"/>
      <c r="B40276" s="12"/>
      <c r="C40276" s="8"/>
      <c r="D40276" s="8"/>
    </row>
    <row r="40277" spans="1:4" ht="15.75" customHeight="1">
      <c r="A40277" s="8"/>
      <c r="B40277" s="12"/>
      <c r="C40277" s="8"/>
      <c r="D40277" s="8"/>
    </row>
    <row r="40278" spans="1:4" ht="15.75" customHeight="1">
      <c r="A40278" s="8"/>
      <c r="B40278" s="12"/>
      <c r="C40278" s="8"/>
      <c r="D40278" s="8"/>
    </row>
    <row r="40279" spans="1:4" ht="15.75" customHeight="1">
      <c r="A40279" s="8"/>
      <c r="B40279" s="12"/>
      <c r="C40279" s="8"/>
      <c r="D40279" s="8"/>
    </row>
    <row r="40280" spans="1:4" ht="15.75" customHeight="1">
      <c r="A40280" s="8"/>
      <c r="B40280" s="12"/>
      <c r="C40280" s="8"/>
      <c r="D40280" s="8"/>
    </row>
    <row r="40281" spans="1:4" ht="15.75" customHeight="1">
      <c r="A40281" s="8"/>
      <c r="B40281" s="12"/>
      <c r="C40281" s="8"/>
      <c r="D40281" s="8"/>
    </row>
    <row r="40282" spans="1:4" ht="15.75" customHeight="1">
      <c r="A40282" s="8"/>
      <c r="B40282" s="12"/>
      <c r="C40282" s="8"/>
      <c r="D40282" s="8"/>
    </row>
    <row r="40283" spans="1:4" ht="15.75" customHeight="1">
      <c r="A40283" s="8"/>
      <c r="B40283" s="12"/>
      <c r="C40283" s="8"/>
      <c r="D40283" s="8"/>
    </row>
    <row r="40284" spans="1:4" ht="15.75" customHeight="1">
      <c r="A40284" s="8"/>
      <c r="B40284" s="12"/>
      <c r="C40284" s="8"/>
      <c r="D40284" s="8"/>
    </row>
    <row r="40285" spans="1:4" ht="15.75" customHeight="1">
      <c r="A40285" s="8"/>
      <c r="B40285" s="12"/>
      <c r="C40285" s="8"/>
      <c r="D40285" s="8"/>
    </row>
    <row r="40286" spans="1:4" ht="15.75" customHeight="1">
      <c r="A40286" s="8"/>
      <c r="B40286" s="12"/>
      <c r="C40286" s="8"/>
      <c r="D40286" s="8"/>
    </row>
    <row r="40287" spans="1:4" ht="15.75" customHeight="1">
      <c r="A40287" s="8"/>
      <c r="B40287" s="12"/>
      <c r="C40287" s="8"/>
      <c r="D40287" s="8"/>
    </row>
    <row r="40288" spans="1:4" ht="15.75" customHeight="1">
      <c r="A40288" s="8"/>
      <c r="B40288" s="12"/>
      <c r="C40288" s="8"/>
      <c r="D40288" s="8"/>
    </row>
    <row r="40289" spans="1:4" ht="15.75" customHeight="1">
      <c r="A40289" s="8"/>
      <c r="B40289" s="12"/>
      <c r="C40289" s="8"/>
      <c r="D40289" s="8"/>
    </row>
    <row r="40290" spans="1:4" ht="15.75" customHeight="1">
      <c r="A40290" s="8"/>
      <c r="B40290" s="12"/>
      <c r="C40290" s="8"/>
      <c r="D40290" s="8"/>
    </row>
    <row r="40291" spans="1:4" ht="15.75" customHeight="1">
      <c r="A40291" s="8"/>
      <c r="B40291" s="12"/>
      <c r="C40291" s="8"/>
      <c r="D40291" s="8"/>
    </row>
    <row r="40292" spans="1:4" ht="15.75" customHeight="1">
      <c r="A40292" s="8"/>
      <c r="B40292" s="12"/>
      <c r="C40292" s="8"/>
      <c r="D40292" s="8"/>
    </row>
    <row r="40293" spans="1:4" ht="15.75" customHeight="1">
      <c r="A40293" s="8"/>
      <c r="B40293" s="12"/>
      <c r="C40293" s="8"/>
      <c r="D40293" s="8"/>
    </row>
    <row r="40294" spans="1:4" ht="15.75" customHeight="1">
      <c r="A40294" s="8"/>
      <c r="B40294" s="12"/>
      <c r="C40294" s="8"/>
      <c r="D40294" s="8"/>
    </row>
    <row r="40295" spans="1:4" ht="15.75" customHeight="1">
      <c r="A40295" s="8"/>
      <c r="B40295" s="12"/>
      <c r="C40295" s="8"/>
      <c r="D40295" s="8"/>
    </row>
    <row r="40296" spans="1:4" ht="15.75" customHeight="1">
      <c r="A40296" s="8"/>
      <c r="B40296" s="12"/>
      <c r="C40296" s="8"/>
      <c r="D40296" s="8"/>
    </row>
    <row r="40297" spans="1:4" ht="15.75" customHeight="1">
      <c r="A40297" s="8"/>
      <c r="B40297" s="12"/>
      <c r="C40297" s="8"/>
      <c r="D40297" s="8"/>
    </row>
    <row r="40298" spans="1:4" ht="15.75" customHeight="1">
      <c r="A40298" s="8"/>
      <c r="B40298" s="12"/>
      <c r="C40298" s="8"/>
      <c r="D40298" s="8"/>
    </row>
    <row r="40299" spans="1:4" ht="15.75" customHeight="1">
      <c r="A40299" s="8"/>
      <c r="B40299" s="12"/>
      <c r="C40299" s="8"/>
      <c r="D40299" s="8"/>
    </row>
    <row r="40300" spans="1:4" ht="15.75" customHeight="1">
      <c r="A40300" s="8"/>
      <c r="B40300" s="12"/>
      <c r="C40300" s="8"/>
      <c r="D40300" s="8"/>
    </row>
    <row r="40301" spans="1:4" ht="15.75" customHeight="1">
      <c r="A40301" s="8"/>
      <c r="B40301" s="12"/>
      <c r="C40301" s="8"/>
      <c r="D40301" s="8"/>
    </row>
    <row r="40302" spans="1:4" ht="15.75" customHeight="1">
      <c r="A40302" s="8"/>
      <c r="B40302" s="12"/>
      <c r="C40302" s="8"/>
      <c r="D40302" s="8"/>
    </row>
    <row r="40303" spans="1:4" ht="15.75" customHeight="1">
      <c r="A40303" s="8"/>
      <c r="B40303" s="12"/>
      <c r="C40303" s="8"/>
      <c r="D40303" s="8"/>
    </row>
    <row r="40304" spans="1:4" ht="15.75" customHeight="1">
      <c r="A40304" s="8"/>
      <c r="B40304" s="12"/>
      <c r="C40304" s="8"/>
      <c r="D40304" s="8"/>
    </row>
    <row r="40305" spans="1:4" ht="15.75" customHeight="1">
      <c r="A40305" s="8"/>
      <c r="B40305" s="12"/>
      <c r="C40305" s="8"/>
      <c r="D40305" s="8"/>
    </row>
    <row r="40306" spans="1:4" ht="15.75" customHeight="1">
      <c r="A40306" s="8"/>
      <c r="B40306" s="12"/>
      <c r="C40306" s="8"/>
      <c r="D40306" s="8"/>
    </row>
    <row r="40307" spans="1:4" ht="15.75" customHeight="1">
      <c r="A40307" s="8"/>
      <c r="B40307" s="12"/>
      <c r="C40307" s="8"/>
      <c r="D40307" s="8"/>
    </row>
    <row r="40308" spans="1:4" ht="15.75" customHeight="1">
      <c r="A40308" s="8"/>
      <c r="B40308" s="12"/>
      <c r="C40308" s="8"/>
      <c r="D40308" s="8"/>
    </row>
    <row r="40309" spans="1:4" ht="15.75" customHeight="1">
      <c r="A40309" s="8"/>
      <c r="B40309" s="12"/>
      <c r="C40309" s="8"/>
      <c r="D40309" s="8"/>
    </row>
    <row r="40310" spans="1:4" ht="15.75" customHeight="1">
      <c r="A40310" s="8"/>
      <c r="B40310" s="12"/>
      <c r="C40310" s="8"/>
      <c r="D40310" s="8"/>
    </row>
    <row r="40311" spans="1:4" ht="15.75" customHeight="1">
      <c r="A40311" s="8"/>
      <c r="B40311" s="12"/>
      <c r="C40311" s="8"/>
      <c r="D40311" s="8"/>
    </row>
    <row r="40312" spans="1:4" ht="15.75" customHeight="1">
      <c r="A40312" s="8"/>
      <c r="B40312" s="12"/>
      <c r="C40312" s="8"/>
      <c r="D40312" s="8"/>
    </row>
    <row r="40313" spans="1:4" ht="15.75" customHeight="1">
      <c r="A40313" s="8"/>
      <c r="B40313" s="12"/>
      <c r="C40313" s="8"/>
      <c r="D40313" s="8"/>
    </row>
    <row r="40314" spans="1:4" ht="15.75" customHeight="1">
      <c r="A40314" s="8"/>
      <c r="B40314" s="12"/>
      <c r="C40314" s="8"/>
      <c r="D40314" s="8"/>
    </row>
    <row r="40315" spans="1:4" ht="15.75" customHeight="1">
      <c r="A40315" s="8"/>
      <c r="B40315" s="12"/>
      <c r="C40315" s="8"/>
      <c r="D40315" s="8"/>
    </row>
    <row r="40316" spans="1:4" ht="15.75" customHeight="1">
      <c r="A40316" s="8"/>
      <c r="B40316" s="12"/>
      <c r="C40316" s="8"/>
      <c r="D40316" s="8"/>
    </row>
    <row r="40317" spans="1:4" ht="15.75" customHeight="1">
      <c r="A40317" s="8"/>
      <c r="B40317" s="12"/>
      <c r="C40317" s="8"/>
      <c r="D40317" s="8"/>
    </row>
    <row r="40318" spans="1:4" ht="15.75" customHeight="1">
      <c r="A40318" s="8"/>
      <c r="B40318" s="12"/>
      <c r="C40318" s="8"/>
      <c r="D40318" s="8"/>
    </row>
    <row r="40319" spans="1:4" ht="15.75" customHeight="1">
      <c r="A40319" s="8"/>
      <c r="B40319" s="12"/>
      <c r="C40319" s="8"/>
      <c r="D40319" s="8"/>
    </row>
    <row r="40320" spans="1:4" ht="15.75" customHeight="1">
      <c r="A40320" s="8"/>
      <c r="B40320" s="12"/>
      <c r="C40320" s="8"/>
      <c r="D40320" s="8"/>
    </row>
    <row r="40321" spans="1:4" ht="15.75" customHeight="1">
      <c r="A40321" s="8"/>
      <c r="B40321" s="12"/>
      <c r="C40321" s="8"/>
      <c r="D40321" s="8"/>
    </row>
    <row r="40322" spans="1:4" ht="15.75" customHeight="1">
      <c r="A40322" s="8"/>
      <c r="B40322" s="12"/>
      <c r="C40322" s="8"/>
      <c r="D40322" s="8"/>
    </row>
    <row r="40323" spans="1:4" ht="15.75" customHeight="1">
      <c r="A40323" s="8"/>
      <c r="B40323" s="12"/>
      <c r="C40323" s="8"/>
      <c r="D40323" s="8"/>
    </row>
    <row r="40324" spans="1:4" ht="15.75" customHeight="1">
      <c r="A40324" s="8"/>
      <c r="B40324" s="12"/>
      <c r="C40324" s="8"/>
      <c r="D40324" s="8"/>
    </row>
    <row r="40325" spans="1:4" ht="15.75" customHeight="1">
      <c r="A40325" s="8"/>
      <c r="B40325" s="12"/>
      <c r="C40325" s="8"/>
      <c r="D40325" s="8"/>
    </row>
    <row r="40326" spans="1:4" ht="15.75" customHeight="1">
      <c r="A40326" s="8"/>
      <c r="B40326" s="12"/>
      <c r="C40326" s="8"/>
      <c r="D40326" s="8"/>
    </row>
    <row r="40327" spans="1:4" ht="15.75" customHeight="1">
      <c r="A40327" s="8"/>
      <c r="B40327" s="12"/>
      <c r="C40327" s="8"/>
      <c r="D40327" s="8"/>
    </row>
    <row r="40328" spans="1:4" ht="15.75" customHeight="1">
      <c r="A40328" s="8"/>
      <c r="B40328" s="12"/>
      <c r="C40328" s="8"/>
      <c r="D40328" s="8"/>
    </row>
    <row r="40329" spans="1:4" ht="15.75" customHeight="1">
      <c r="A40329" s="8"/>
      <c r="B40329" s="12"/>
      <c r="C40329" s="8"/>
      <c r="D40329" s="8"/>
    </row>
    <row r="40330" spans="1:4" ht="15.75" customHeight="1">
      <c r="A40330" s="8"/>
      <c r="B40330" s="12"/>
      <c r="C40330" s="8"/>
      <c r="D40330" s="8"/>
    </row>
    <row r="40331" spans="1:4" ht="15.75" customHeight="1">
      <c r="A40331" s="8"/>
      <c r="B40331" s="12"/>
      <c r="C40331" s="8"/>
      <c r="D40331" s="8"/>
    </row>
    <row r="40332" spans="1:4" ht="15.75" customHeight="1">
      <c r="A40332" s="8"/>
      <c r="B40332" s="12"/>
      <c r="C40332" s="8"/>
      <c r="D40332" s="8"/>
    </row>
    <row r="40333" spans="1:4" ht="15.75" customHeight="1">
      <c r="A40333" s="8"/>
      <c r="B40333" s="12"/>
      <c r="C40333" s="8"/>
      <c r="D40333" s="8"/>
    </row>
    <row r="40334" spans="1:4" ht="15.75" customHeight="1">
      <c r="A40334" s="8"/>
      <c r="B40334" s="12"/>
      <c r="C40334" s="8"/>
      <c r="D40334" s="8"/>
    </row>
    <row r="40335" spans="1:4" ht="15.75" customHeight="1">
      <c r="A40335" s="8"/>
      <c r="B40335" s="12"/>
      <c r="C40335" s="8"/>
      <c r="D40335" s="8"/>
    </row>
    <row r="40336" spans="1:4" ht="15.75" customHeight="1">
      <c r="A40336" s="8"/>
      <c r="B40336" s="12"/>
      <c r="C40336" s="8"/>
      <c r="D40336" s="8"/>
    </row>
    <row r="40337" spans="1:4" ht="15.75" customHeight="1">
      <c r="A40337" s="8"/>
      <c r="B40337" s="12"/>
      <c r="C40337" s="8"/>
      <c r="D40337" s="8"/>
    </row>
    <row r="40338" spans="1:4" ht="15.75" customHeight="1">
      <c r="A40338" s="8"/>
      <c r="B40338" s="12"/>
      <c r="C40338" s="8"/>
      <c r="D40338" s="8"/>
    </row>
    <row r="40339" spans="1:4" ht="15.75" customHeight="1">
      <c r="A40339" s="8"/>
      <c r="B40339" s="12"/>
      <c r="C40339" s="8"/>
      <c r="D40339" s="8"/>
    </row>
    <row r="40340" spans="1:4" ht="15.75" customHeight="1">
      <c r="A40340" s="8"/>
      <c r="B40340" s="12"/>
      <c r="C40340" s="8"/>
      <c r="D40340" s="8"/>
    </row>
    <row r="40341" spans="1:4" ht="15.75" customHeight="1">
      <c r="A40341" s="8"/>
      <c r="B40341" s="12"/>
      <c r="C40341" s="8"/>
      <c r="D40341" s="8"/>
    </row>
    <row r="40342" spans="1:4" ht="15.75" customHeight="1">
      <c r="A40342" s="8"/>
      <c r="B40342" s="12"/>
      <c r="C40342" s="8"/>
      <c r="D40342" s="8"/>
    </row>
    <row r="40343" spans="1:4" ht="15.75" customHeight="1">
      <c r="A40343" s="8"/>
      <c r="B40343" s="12"/>
      <c r="C40343" s="8"/>
      <c r="D40343" s="8"/>
    </row>
    <row r="40344" spans="1:4" ht="15.75" customHeight="1">
      <c r="A40344" s="8"/>
      <c r="B40344" s="12"/>
      <c r="C40344" s="8"/>
      <c r="D40344" s="8"/>
    </row>
    <row r="40345" spans="1:4" ht="15.75" customHeight="1">
      <c r="A40345" s="8"/>
      <c r="B40345" s="12"/>
      <c r="C40345" s="8"/>
      <c r="D40345" s="8"/>
    </row>
    <row r="40346" spans="1:4" ht="15.75" customHeight="1">
      <c r="A40346" s="8"/>
      <c r="B40346" s="12"/>
      <c r="C40346" s="8"/>
      <c r="D40346" s="8"/>
    </row>
    <row r="40347" spans="1:4" ht="15.75" customHeight="1">
      <c r="A40347" s="8"/>
      <c r="B40347" s="12"/>
      <c r="C40347" s="8"/>
      <c r="D40347" s="8"/>
    </row>
    <row r="40348" spans="1:4" ht="15.75" customHeight="1">
      <c r="A40348" s="8"/>
      <c r="B40348" s="12"/>
      <c r="C40348" s="8"/>
      <c r="D40348" s="8"/>
    </row>
    <row r="40349" spans="1:4" ht="15.75" customHeight="1">
      <c r="A40349" s="8"/>
      <c r="B40349" s="12"/>
      <c r="C40349" s="8"/>
      <c r="D40349" s="8"/>
    </row>
    <row r="40350" spans="1:4" ht="15.75" customHeight="1">
      <c r="A40350" s="8"/>
      <c r="B40350" s="12"/>
      <c r="C40350" s="8"/>
      <c r="D40350" s="8"/>
    </row>
    <row r="40351" spans="1:4" ht="15.75" customHeight="1">
      <c r="A40351" s="8"/>
      <c r="B40351" s="12"/>
      <c r="C40351" s="8"/>
      <c r="D40351" s="8"/>
    </row>
    <row r="40352" spans="1:4" ht="15.75" customHeight="1">
      <c r="A40352" s="8"/>
      <c r="B40352" s="12"/>
      <c r="C40352" s="8"/>
      <c r="D40352" s="8"/>
    </row>
    <row r="40353" spans="1:4" ht="15.75" customHeight="1">
      <c r="A40353" s="8"/>
      <c r="B40353" s="12"/>
      <c r="C40353" s="8"/>
      <c r="D40353" s="8"/>
    </row>
    <row r="40354" spans="1:4" ht="15.75" customHeight="1">
      <c r="A40354" s="8"/>
      <c r="B40354" s="12"/>
      <c r="C40354" s="8"/>
      <c r="D40354" s="8"/>
    </row>
    <row r="40355" spans="1:4" ht="15.75" customHeight="1">
      <c r="A40355" s="8"/>
      <c r="B40355" s="12"/>
      <c r="C40355" s="8"/>
      <c r="D40355" s="8"/>
    </row>
    <row r="40356" spans="1:4" ht="15.75" customHeight="1">
      <c r="A40356" s="8"/>
      <c r="B40356" s="12"/>
      <c r="C40356" s="8"/>
      <c r="D40356" s="8"/>
    </row>
    <row r="40357" spans="1:4" ht="15.75" customHeight="1">
      <c r="A40357" s="8"/>
      <c r="B40357" s="12"/>
      <c r="C40357" s="8"/>
      <c r="D40357" s="8"/>
    </row>
    <row r="40358" spans="1:4" ht="15.75" customHeight="1">
      <c r="A40358" s="8"/>
      <c r="B40358" s="12"/>
      <c r="C40358" s="8"/>
      <c r="D40358" s="8"/>
    </row>
    <row r="40359" spans="1:4" ht="15.75" customHeight="1">
      <c r="A40359" s="8"/>
      <c r="B40359" s="12"/>
      <c r="C40359" s="8"/>
      <c r="D40359" s="8"/>
    </row>
    <row r="40360" spans="1:4" ht="15.75" customHeight="1">
      <c r="A40360" s="8"/>
      <c r="B40360" s="12"/>
      <c r="C40360" s="8"/>
      <c r="D40360" s="8"/>
    </row>
    <row r="40361" spans="1:4" ht="15.75" customHeight="1">
      <c r="A40361" s="8"/>
      <c r="B40361" s="12"/>
      <c r="C40361" s="8"/>
      <c r="D40361" s="8"/>
    </row>
    <row r="40362" spans="1:4" ht="15.75" customHeight="1">
      <c r="A40362" s="8"/>
      <c r="B40362" s="12"/>
      <c r="C40362" s="8"/>
      <c r="D40362" s="8"/>
    </row>
    <row r="40363" spans="1:4" ht="15.75" customHeight="1">
      <c r="A40363" s="8"/>
      <c r="B40363" s="12"/>
      <c r="C40363" s="8"/>
      <c r="D40363" s="8"/>
    </row>
    <row r="40364" spans="1:4" ht="15.75" customHeight="1">
      <c r="A40364" s="8"/>
      <c r="B40364" s="12"/>
      <c r="C40364" s="8"/>
      <c r="D40364" s="8"/>
    </row>
    <row r="40365" spans="1:4" ht="15.75" customHeight="1">
      <c r="A40365" s="8"/>
      <c r="B40365" s="12"/>
      <c r="C40365" s="8"/>
      <c r="D40365" s="8"/>
    </row>
    <row r="40366" spans="1:4" ht="15.75" customHeight="1">
      <c r="A40366" s="8"/>
      <c r="B40366" s="12"/>
      <c r="C40366" s="8"/>
      <c r="D40366" s="8"/>
    </row>
    <row r="40367" spans="1:4" ht="15.75" customHeight="1">
      <c r="A40367" s="8"/>
      <c r="B40367" s="12"/>
      <c r="C40367" s="8"/>
      <c r="D40367" s="8"/>
    </row>
    <row r="40368" spans="1:4" ht="15.75" customHeight="1">
      <c r="A40368" s="8"/>
      <c r="B40368" s="12"/>
      <c r="C40368" s="8"/>
      <c r="D40368" s="8"/>
    </row>
    <row r="40369" spans="1:4" ht="15.75" customHeight="1">
      <c r="A40369" s="8"/>
      <c r="B40369" s="12"/>
      <c r="C40369" s="8"/>
      <c r="D40369" s="8"/>
    </row>
    <row r="40370" spans="1:4" ht="15.75" customHeight="1">
      <c r="A40370" s="8"/>
      <c r="B40370" s="12"/>
      <c r="C40370" s="8"/>
      <c r="D40370" s="8"/>
    </row>
    <row r="40371" spans="1:4" ht="15.75" customHeight="1">
      <c r="A40371" s="8"/>
      <c r="B40371" s="12"/>
      <c r="C40371" s="8"/>
      <c r="D40371" s="8"/>
    </row>
    <row r="40372" spans="1:4" ht="15.75" customHeight="1">
      <c r="A40372" s="8"/>
      <c r="B40372" s="12"/>
      <c r="C40372" s="8"/>
      <c r="D40372" s="8"/>
    </row>
    <row r="40373" spans="1:4" ht="15.75" customHeight="1">
      <c r="A40373" s="8"/>
      <c r="B40373" s="12"/>
      <c r="C40373" s="8"/>
      <c r="D40373" s="8"/>
    </row>
    <row r="40374" spans="1:4" ht="15.75" customHeight="1">
      <c r="A40374" s="8"/>
      <c r="B40374" s="12"/>
      <c r="C40374" s="8"/>
      <c r="D40374" s="8"/>
    </row>
    <row r="40375" spans="1:4" ht="15.75" customHeight="1">
      <c r="A40375" s="8"/>
      <c r="B40375" s="12"/>
      <c r="C40375" s="8"/>
      <c r="D40375" s="8"/>
    </row>
    <row r="40376" spans="1:4" ht="15.75" customHeight="1">
      <c r="A40376" s="8"/>
      <c r="B40376" s="12"/>
      <c r="C40376" s="8"/>
      <c r="D40376" s="8"/>
    </row>
    <row r="40377" spans="1:4" ht="15.75" customHeight="1">
      <c r="A40377" s="8"/>
      <c r="B40377" s="12"/>
      <c r="C40377" s="8"/>
      <c r="D40377" s="8"/>
    </row>
    <row r="40378" spans="1:4" ht="15.75" customHeight="1">
      <c r="A40378" s="8"/>
      <c r="B40378" s="12"/>
      <c r="C40378" s="8"/>
      <c r="D40378" s="8"/>
    </row>
    <row r="40379" spans="1:4" ht="15.75" customHeight="1">
      <c r="A40379" s="8"/>
      <c r="B40379" s="12"/>
      <c r="C40379" s="8"/>
      <c r="D40379" s="8"/>
    </row>
    <row r="40380" spans="1:4" ht="15.75" customHeight="1">
      <c r="A40380" s="8"/>
      <c r="B40380" s="12"/>
      <c r="C40380" s="8"/>
      <c r="D40380" s="8"/>
    </row>
    <row r="40381" spans="1:4" ht="15.75" customHeight="1">
      <c r="A40381" s="8"/>
      <c r="B40381" s="12"/>
      <c r="C40381" s="8"/>
      <c r="D40381" s="8"/>
    </row>
    <row r="40382" spans="1:4" ht="15.75" customHeight="1">
      <c r="A40382" s="8"/>
      <c r="B40382" s="12"/>
      <c r="C40382" s="8"/>
      <c r="D40382" s="8"/>
    </row>
    <row r="40383" spans="1:4" ht="15.75" customHeight="1">
      <c r="A40383" s="8"/>
      <c r="B40383" s="12"/>
      <c r="C40383" s="8"/>
      <c r="D40383" s="8"/>
    </row>
    <row r="40384" spans="1:4" ht="15.75" customHeight="1">
      <c r="A40384" s="8"/>
      <c r="B40384" s="12"/>
      <c r="C40384" s="8"/>
      <c r="D40384" s="8"/>
    </row>
    <row r="40385" spans="1:4" ht="15.75" customHeight="1">
      <c r="A40385" s="8"/>
      <c r="B40385" s="12"/>
      <c r="C40385" s="8"/>
      <c r="D40385" s="8"/>
    </row>
    <row r="40386" spans="1:4" ht="15.75" customHeight="1">
      <c r="A40386" s="8"/>
      <c r="B40386" s="12"/>
      <c r="C40386" s="8"/>
      <c r="D40386" s="8"/>
    </row>
    <row r="40387" spans="1:4" ht="15.75" customHeight="1">
      <c r="A40387" s="8"/>
      <c r="B40387" s="12"/>
      <c r="C40387" s="8"/>
      <c r="D40387" s="8"/>
    </row>
    <row r="40388" spans="1:4" ht="15.75" customHeight="1">
      <c r="A40388" s="8"/>
      <c r="B40388" s="12"/>
      <c r="C40388" s="8"/>
      <c r="D40388" s="8"/>
    </row>
    <row r="40389" spans="1:4" ht="15.75" customHeight="1">
      <c r="A40389" s="8"/>
      <c r="B40389" s="12"/>
      <c r="C40389" s="8"/>
      <c r="D40389" s="8"/>
    </row>
    <row r="40390" spans="1:4" ht="15.75" customHeight="1">
      <c r="A40390" s="8"/>
      <c r="B40390" s="12"/>
      <c r="C40390" s="8"/>
      <c r="D40390" s="8"/>
    </row>
    <row r="40391" spans="1:4" ht="15.75" customHeight="1">
      <c r="A40391" s="8"/>
      <c r="B40391" s="12"/>
      <c r="C40391" s="8"/>
      <c r="D40391" s="8"/>
    </row>
    <row r="40392" spans="1:4" ht="15.75" customHeight="1">
      <c r="A40392" s="8"/>
      <c r="B40392" s="12"/>
      <c r="C40392" s="8"/>
      <c r="D40392" s="8"/>
    </row>
    <row r="40393" spans="1:4" ht="15.75" customHeight="1">
      <c r="A40393" s="8"/>
      <c r="B40393" s="12"/>
      <c r="C40393" s="8"/>
      <c r="D40393" s="8"/>
    </row>
    <row r="40394" spans="1:4" ht="15.75" customHeight="1">
      <c r="A40394" s="8"/>
      <c r="B40394" s="12"/>
      <c r="C40394" s="8"/>
      <c r="D40394" s="8"/>
    </row>
    <row r="40395" spans="1:4" ht="15.75" customHeight="1">
      <c r="A40395" s="8"/>
      <c r="B40395" s="12"/>
      <c r="C40395" s="8"/>
      <c r="D40395" s="8"/>
    </row>
    <row r="40396" spans="1:4" ht="15.75" customHeight="1">
      <c r="A40396" s="8"/>
      <c r="B40396" s="12"/>
      <c r="C40396" s="8"/>
      <c r="D40396" s="8"/>
    </row>
    <row r="40397" spans="1:4" ht="15.75" customHeight="1">
      <c r="A40397" s="8"/>
      <c r="B40397" s="12"/>
      <c r="C40397" s="8"/>
      <c r="D40397" s="8"/>
    </row>
    <row r="40398" spans="1:4" ht="15.75" customHeight="1">
      <c r="A40398" s="8"/>
      <c r="B40398" s="12"/>
      <c r="C40398" s="8"/>
      <c r="D40398" s="8"/>
    </row>
    <row r="40399" spans="1:4" ht="15.75" customHeight="1">
      <c r="A40399" s="8"/>
      <c r="B40399" s="12"/>
      <c r="C40399" s="8"/>
      <c r="D40399" s="8"/>
    </row>
    <row r="40400" spans="1:4" ht="15.75" customHeight="1">
      <c r="A40400" s="8"/>
      <c r="B40400" s="12"/>
      <c r="C40400" s="8"/>
      <c r="D40400" s="8"/>
    </row>
    <row r="40401" spans="1:4" ht="15.75" customHeight="1">
      <c r="A40401" s="8"/>
      <c r="B40401" s="12"/>
      <c r="C40401" s="8"/>
      <c r="D40401" s="8"/>
    </row>
    <row r="40402" spans="1:4" ht="15.75" customHeight="1">
      <c r="A40402" s="8"/>
      <c r="B40402" s="12"/>
      <c r="C40402" s="8"/>
      <c r="D40402" s="8"/>
    </row>
    <row r="40403" spans="1:4" ht="15.75" customHeight="1">
      <c r="A40403" s="8"/>
      <c r="B40403" s="12"/>
      <c r="C40403" s="8"/>
      <c r="D40403" s="8"/>
    </row>
    <row r="40404" spans="1:4" ht="15.75" customHeight="1">
      <c r="A40404" s="8"/>
      <c r="B40404" s="12"/>
      <c r="C40404" s="8"/>
      <c r="D40404" s="8"/>
    </row>
    <row r="40405" spans="1:4" ht="15.75" customHeight="1">
      <c r="A40405" s="8"/>
      <c r="B40405" s="12"/>
      <c r="C40405" s="8"/>
      <c r="D40405" s="8"/>
    </row>
    <row r="40406" spans="1:4" ht="15.75" customHeight="1">
      <c r="A40406" s="8"/>
      <c r="B40406" s="12"/>
      <c r="C40406" s="8"/>
      <c r="D40406" s="8"/>
    </row>
    <row r="40407" spans="1:4" ht="15.75" customHeight="1">
      <c r="A40407" s="8"/>
      <c r="B40407" s="12"/>
      <c r="C40407" s="8"/>
      <c r="D40407" s="8"/>
    </row>
    <row r="40408" spans="1:4" ht="15.75" customHeight="1">
      <c r="A40408" s="8"/>
      <c r="B40408" s="12"/>
      <c r="C40408" s="8"/>
      <c r="D40408" s="8"/>
    </row>
    <row r="40409" spans="1:4" ht="15.75" customHeight="1">
      <c r="A40409" s="8"/>
      <c r="B40409" s="12"/>
      <c r="C40409" s="8"/>
      <c r="D40409" s="8"/>
    </row>
    <row r="40410" spans="1:4" ht="15.75" customHeight="1">
      <c r="A40410" s="8"/>
      <c r="B40410" s="12"/>
      <c r="C40410" s="8"/>
      <c r="D40410" s="8"/>
    </row>
    <row r="40411" spans="1:4" ht="15.75" customHeight="1">
      <c r="A40411" s="8"/>
      <c r="B40411" s="12"/>
      <c r="C40411" s="8"/>
      <c r="D40411" s="8"/>
    </row>
    <row r="40412" spans="1:4" ht="15.75" customHeight="1">
      <c r="A40412" s="8"/>
      <c r="B40412" s="12"/>
      <c r="C40412" s="8"/>
      <c r="D40412" s="8"/>
    </row>
    <row r="40413" spans="1:4" ht="15.75" customHeight="1">
      <c r="A40413" s="8"/>
      <c r="B40413" s="12"/>
      <c r="C40413" s="8"/>
      <c r="D40413" s="8"/>
    </row>
    <row r="40414" spans="1:4" ht="15.75" customHeight="1">
      <c r="A40414" s="8"/>
      <c r="B40414" s="12"/>
      <c r="C40414" s="8"/>
      <c r="D40414" s="8"/>
    </row>
    <row r="40415" spans="1:4" ht="15.75" customHeight="1">
      <c r="A40415" s="8"/>
      <c r="B40415" s="12"/>
      <c r="C40415" s="8"/>
      <c r="D40415" s="8"/>
    </row>
    <row r="40416" spans="1:4" ht="15.75" customHeight="1">
      <c r="A40416" s="8"/>
      <c r="B40416" s="12"/>
      <c r="C40416" s="8"/>
      <c r="D40416" s="8"/>
    </row>
    <row r="40417" spans="1:4" ht="15.75" customHeight="1">
      <c r="A40417" s="8"/>
      <c r="B40417" s="12"/>
      <c r="C40417" s="8"/>
      <c r="D40417" s="8"/>
    </row>
    <row r="40418" spans="1:4" ht="15.75" customHeight="1">
      <c r="A40418" s="8"/>
      <c r="B40418" s="12"/>
      <c r="C40418" s="8"/>
      <c r="D40418" s="8"/>
    </row>
    <row r="40419" spans="1:4" ht="15.75" customHeight="1">
      <c r="A40419" s="8"/>
      <c r="B40419" s="12"/>
      <c r="C40419" s="8"/>
      <c r="D40419" s="8"/>
    </row>
    <row r="40420" spans="1:4" ht="15.75" customHeight="1">
      <c r="A40420" s="8"/>
      <c r="B40420" s="12"/>
      <c r="C40420" s="8"/>
      <c r="D40420" s="8"/>
    </row>
    <row r="40421" spans="1:4" ht="15.75" customHeight="1">
      <c r="A40421" s="8"/>
      <c r="B40421" s="12"/>
      <c r="C40421" s="8"/>
      <c r="D40421" s="8"/>
    </row>
    <row r="40422" spans="1:4" ht="15.75" customHeight="1">
      <c r="A40422" s="8"/>
      <c r="B40422" s="12"/>
      <c r="C40422" s="8"/>
      <c r="D40422" s="8"/>
    </row>
    <row r="40423" spans="1:4" ht="15.75" customHeight="1">
      <c r="A40423" s="8"/>
      <c r="B40423" s="12"/>
      <c r="C40423" s="8"/>
      <c r="D40423" s="8"/>
    </row>
    <row r="40424" spans="1:4" ht="15.75" customHeight="1">
      <c r="A40424" s="8"/>
      <c r="B40424" s="12"/>
      <c r="C40424" s="8"/>
      <c r="D40424" s="8"/>
    </row>
    <row r="40425" spans="1:4" ht="15.75" customHeight="1">
      <c r="A40425" s="8"/>
      <c r="B40425" s="12"/>
      <c r="C40425" s="8"/>
      <c r="D40425" s="8"/>
    </row>
    <row r="40426" spans="1:4" ht="15.75" customHeight="1">
      <c r="A40426" s="8"/>
      <c r="B40426" s="12"/>
      <c r="C40426" s="8"/>
      <c r="D40426" s="8"/>
    </row>
    <row r="40427" spans="1:4" ht="15.75" customHeight="1">
      <c r="A40427" s="8"/>
      <c r="B40427" s="12"/>
      <c r="C40427" s="8"/>
      <c r="D40427" s="8"/>
    </row>
    <row r="40428" spans="1:4" ht="15.75" customHeight="1">
      <c r="A40428" s="8"/>
      <c r="B40428" s="12"/>
      <c r="C40428" s="8"/>
      <c r="D40428" s="8"/>
    </row>
    <row r="40429" spans="1:4" ht="15.75" customHeight="1">
      <c r="A40429" s="8"/>
      <c r="B40429" s="12"/>
      <c r="C40429" s="8"/>
      <c r="D40429" s="8"/>
    </row>
    <row r="40430" spans="1:4" ht="15.75" customHeight="1">
      <c r="A40430" s="8"/>
      <c r="B40430" s="12"/>
      <c r="C40430" s="8"/>
      <c r="D40430" s="8"/>
    </row>
    <row r="40431" spans="1:4" ht="15.75" customHeight="1">
      <c r="A40431" s="8"/>
      <c r="B40431" s="12"/>
      <c r="C40431" s="8"/>
      <c r="D40431" s="8"/>
    </row>
    <row r="40432" spans="1:4" ht="15.75" customHeight="1">
      <c r="A40432" s="8"/>
      <c r="B40432" s="12"/>
      <c r="C40432" s="8"/>
      <c r="D40432" s="8"/>
    </row>
    <row r="40433" spans="1:4" ht="15.75" customHeight="1">
      <c r="A40433" s="8"/>
      <c r="B40433" s="12"/>
      <c r="C40433" s="8"/>
      <c r="D40433" s="8"/>
    </row>
    <row r="40434" spans="1:4" ht="15.75" customHeight="1">
      <c r="A40434" s="8"/>
      <c r="B40434" s="12"/>
      <c r="C40434" s="8"/>
      <c r="D40434" s="8"/>
    </row>
    <row r="40435" spans="1:4" ht="15.75" customHeight="1">
      <c r="A40435" s="8"/>
      <c r="B40435" s="12"/>
      <c r="C40435" s="8"/>
      <c r="D40435" s="8"/>
    </row>
    <row r="40436" spans="1:4" ht="15.75" customHeight="1">
      <c r="A40436" s="8"/>
      <c r="B40436" s="12"/>
      <c r="C40436" s="8"/>
      <c r="D40436" s="8"/>
    </row>
    <row r="40437" spans="1:4" ht="15.75" customHeight="1">
      <c r="A40437" s="8"/>
      <c r="B40437" s="12"/>
      <c r="C40437" s="8"/>
      <c r="D40437" s="8"/>
    </row>
    <row r="40438" spans="1:4" ht="15.75" customHeight="1">
      <c r="A40438" s="8"/>
      <c r="B40438" s="12"/>
      <c r="C40438" s="8"/>
      <c r="D40438" s="8"/>
    </row>
    <row r="40439" spans="1:4" ht="15.75" customHeight="1">
      <c r="A40439" s="8"/>
      <c r="B40439" s="12"/>
      <c r="C40439" s="8"/>
      <c r="D40439" s="8"/>
    </row>
    <row r="40440" spans="1:4" ht="15.75" customHeight="1">
      <c r="A40440" s="8"/>
      <c r="B40440" s="12"/>
      <c r="C40440" s="8"/>
      <c r="D40440" s="8"/>
    </row>
    <row r="40441" spans="1:4" ht="15.75" customHeight="1">
      <c r="A40441" s="8"/>
      <c r="B40441" s="12"/>
      <c r="C40441" s="8"/>
      <c r="D40441" s="8"/>
    </row>
    <row r="40442" spans="1:4" ht="15.75" customHeight="1">
      <c r="A40442" s="8"/>
      <c r="B40442" s="12"/>
      <c r="C40442" s="8"/>
      <c r="D40442" s="8"/>
    </row>
    <row r="40443" spans="1:4" ht="15.75" customHeight="1">
      <c r="A40443" s="8"/>
      <c r="B40443" s="12"/>
      <c r="C40443" s="8"/>
      <c r="D40443" s="8"/>
    </row>
    <row r="40444" spans="1:4" ht="15.75" customHeight="1">
      <c r="A40444" s="8"/>
      <c r="B40444" s="12"/>
      <c r="C40444" s="8"/>
      <c r="D40444" s="8"/>
    </row>
    <row r="40445" spans="1:4" ht="15.75" customHeight="1">
      <c r="A40445" s="8"/>
      <c r="B40445" s="12"/>
      <c r="C40445" s="8"/>
      <c r="D40445" s="8"/>
    </row>
    <row r="40446" spans="1:4" ht="15.75" customHeight="1">
      <c r="A40446" s="8"/>
      <c r="B40446" s="12"/>
      <c r="C40446" s="8"/>
      <c r="D40446" s="8"/>
    </row>
    <row r="40447" spans="1:4" ht="15.75" customHeight="1">
      <c r="A40447" s="8"/>
      <c r="B40447" s="12"/>
      <c r="C40447" s="8"/>
      <c r="D40447" s="8"/>
    </row>
    <row r="40448" spans="1:4" ht="15.75" customHeight="1">
      <c r="A40448" s="8"/>
      <c r="B40448" s="12"/>
      <c r="C40448" s="8"/>
      <c r="D40448" s="8"/>
    </row>
    <row r="40449" spans="1:4" ht="15.75" customHeight="1">
      <c r="A40449" s="8"/>
      <c r="B40449" s="12"/>
      <c r="C40449" s="8"/>
      <c r="D40449" s="8"/>
    </row>
    <row r="40450" spans="1:4" ht="15.75" customHeight="1">
      <c r="A40450" s="8"/>
      <c r="B40450" s="12"/>
      <c r="C40450" s="8"/>
      <c r="D40450" s="8"/>
    </row>
    <row r="40451" spans="1:4" ht="15.75" customHeight="1">
      <c r="A40451" s="8"/>
      <c r="B40451" s="12"/>
      <c r="C40451" s="8"/>
      <c r="D40451" s="8"/>
    </row>
    <row r="40452" spans="1:4" ht="15.75" customHeight="1">
      <c r="A40452" s="8"/>
      <c r="B40452" s="12"/>
      <c r="C40452" s="8"/>
      <c r="D40452" s="8"/>
    </row>
    <row r="40453" spans="1:4" ht="15.75" customHeight="1">
      <c r="A40453" s="8"/>
      <c r="B40453" s="12"/>
      <c r="C40453" s="8"/>
      <c r="D40453" s="8"/>
    </row>
    <row r="40454" spans="1:4" ht="15.75" customHeight="1">
      <c r="A40454" s="8"/>
      <c r="B40454" s="12"/>
      <c r="C40454" s="8"/>
      <c r="D40454" s="8"/>
    </row>
    <row r="40455" spans="1:4" ht="15.75" customHeight="1">
      <c r="A40455" s="8"/>
      <c r="B40455" s="12"/>
      <c r="C40455" s="8"/>
      <c r="D40455" s="8"/>
    </row>
    <row r="40456" spans="1:4" ht="15.75" customHeight="1">
      <c r="A40456" s="8"/>
      <c r="B40456" s="12"/>
      <c r="C40456" s="8"/>
      <c r="D40456" s="8"/>
    </row>
    <row r="40457" spans="1:4" ht="15.75" customHeight="1">
      <c r="A40457" s="8"/>
      <c r="B40457" s="12"/>
      <c r="C40457" s="8"/>
      <c r="D40457" s="8"/>
    </row>
    <row r="40458" spans="1:4" ht="15.75" customHeight="1">
      <c r="A40458" s="8"/>
      <c r="B40458" s="12"/>
      <c r="C40458" s="8"/>
      <c r="D40458" s="8"/>
    </row>
    <row r="40459" spans="1:4" ht="15.75" customHeight="1">
      <c r="A40459" s="8"/>
      <c r="B40459" s="12"/>
      <c r="C40459" s="8"/>
      <c r="D40459" s="8"/>
    </row>
    <row r="40460" spans="1:4" ht="15.75" customHeight="1">
      <c r="A40460" s="8"/>
      <c r="B40460" s="12"/>
      <c r="C40460" s="8"/>
      <c r="D40460" s="8"/>
    </row>
    <row r="40461" spans="1:4" ht="15.75" customHeight="1">
      <c r="A40461" s="8"/>
      <c r="B40461" s="12"/>
      <c r="C40461" s="8"/>
      <c r="D40461" s="8"/>
    </row>
    <row r="40462" spans="1:4" ht="15.75" customHeight="1">
      <c r="A40462" s="8"/>
      <c r="B40462" s="12"/>
      <c r="C40462" s="8"/>
      <c r="D40462" s="8"/>
    </row>
    <row r="40463" spans="1:4" ht="15.75" customHeight="1">
      <c r="A40463" s="8"/>
      <c r="B40463" s="12"/>
      <c r="C40463" s="8"/>
      <c r="D40463" s="8"/>
    </row>
    <row r="40464" spans="1:4" ht="15.75" customHeight="1">
      <c r="A40464" s="8"/>
      <c r="B40464" s="12"/>
      <c r="C40464" s="8"/>
      <c r="D40464" s="8"/>
    </row>
    <row r="40465" spans="1:4" ht="15.75" customHeight="1">
      <c r="A40465" s="8"/>
      <c r="B40465" s="12"/>
      <c r="C40465" s="8"/>
      <c r="D40465" s="8"/>
    </row>
    <row r="40466" spans="1:4" ht="15.75" customHeight="1">
      <c r="A40466" s="8"/>
      <c r="B40466" s="12"/>
      <c r="C40466" s="8"/>
      <c r="D40466" s="8"/>
    </row>
    <row r="40467" spans="1:4" ht="15.75" customHeight="1">
      <c r="A40467" s="8"/>
      <c r="B40467" s="12"/>
      <c r="C40467" s="8"/>
      <c r="D40467" s="8"/>
    </row>
    <row r="40468" spans="1:4" ht="15.75" customHeight="1">
      <c r="A40468" s="8"/>
      <c r="B40468" s="12"/>
      <c r="C40468" s="8"/>
      <c r="D40468" s="8"/>
    </row>
    <row r="40469" spans="1:4" ht="15.75" customHeight="1">
      <c r="A40469" s="8"/>
      <c r="B40469" s="12"/>
      <c r="C40469" s="8"/>
      <c r="D40469" s="8"/>
    </row>
    <row r="40470" spans="1:4" ht="15.75" customHeight="1">
      <c r="A40470" s="8"/>
      <c r="B40470" s="12"/>
      <c r="C40470" s="8"/>
      <c r="D40470" s="8"/>
    </row>
    <row r="40471" spans="1:4" ht="15.75" customHeight="1">
      <c r="A40471" s="8"/>
      <c r="B40471" s="12"/>
      <c r="C40471" s="8"/>
      <c r="D40471" s="8"/>
    </row>
    <row r="40472" spans="1:4" ht="15.75" customHeight="1">
      <c r="A40472" s="8"/>
      <c r="B40472" s="12"/>
      <c r="C40472" s="8"/>
      <c r="D40472" s="8"/>
    </row>
    <row r="40473" spans="1:4" ht="15.75" customHeight="1">
      <c r="A40473" s="8"/>
      <c r="B40473" s="12"/>
      <c r="C40473" s="8"/>
      <c r="D40473" s="8"/>
    </row>
    <row r="40474" spans="1:4" ht="15.75" customHeight="1">
      <c r="A40474" s="8"/>
      <c r="B40474" s="12"/>
      <c r="C40474" s="8"/>
      <c r="D40474" s="8"/>
    </row>
    <row r="40475" spans="1:4" ht="15.75" customHeight="1">
      <c r="A40475" s="8"/>
      <c r="B40475" s="12"/>
      <c r="C40475" s="8"/>
      <c r="D40475" s="8"/>
    </row>
    <row r="40476" spans="1:4" ht="15.75" customHeight="1">
      <c r="A40476" s="8"/>
      <c r="B40476" s="12"/>
      <c r="C40476" s="8"/>
      <c r="D40476" s="8"/>
    </row>
    <row r="40477" spans="1:4" ht="15.75" customHeight="1">
      <c r="A40477" s="8"/>
      <c r="B40477" s="12"/>
      <c r="C40477" s="8"/>
      <c r="D40477" s="8"/>
    </row>
    <row r="40478" spans="1:4" ht="15.75" customHeight="1">
      <c r="A40478" s="8"/>
      <c r="B40478" s="12"/>
      <c r="C40478" s="8"/>
      <c r="D40478" s="8"/>
    </row>
    <row r="40479" spans="1:4" ht="15.75" customHeight="1">
      <c r="A40479" s="8"/>
      <c r="B40479" s="12"/>
      <c r="C40479" s="8"/>
      <c r="D40479" s="8"/>
    </row>
    <row r="40480" spans="1:4" ht="15.75" customHeight="1">
      <c r="A40480" s="8"/>
      <c r="B40480" s="12"/>
      <c r="C40480" s="8"/>
      <c r="D40480" s="8"/>
    </row>
    <row r="40481" spans="1:4" ht="15.75" customHeight="1">
      <c r="A40481" s="8"/>
      <c r="B40481" s="12"/>
      <c r="C40481" s="8"/>
      <c r="D40481" s="8"/>
    </row>
    <row r="40482" spans="1:4" ht="15.75" customHeight="1">
      <c r="A40482" s="8"/>
      <c r="B40482" s="12"/>
      <c r="C40482" s="8"/>
      <c r="D40482" s="8"/>
    </row>
    <row r="40483" spans="1:4" ht="15.75" customHeight="1">
      <c r="A40483" s="8"/>
      <c r="B40483" s="12"/>
      <c r="C40483" s="8"/>
      <c r="D40483" s="8"/>
    </row>
    <row r="40484" spans="1:4" ht="15.75" customHeight="1">
      <c r="A40484" s="8"/>
      <c r="B40484" s="12"/>
      <c r="C40484" s="8"/>
      <c r="D40484" s="8"/>
    </row>
    <row r="40485" spans="1:4" ht="15.75" customHeight="1">
      <c r="A40485" s="8"/>
      <c r="B40485" s="12"/>
      <c r="C40485" s="8"/>
      <c r="D40485" s="8"/>
    </row>
    <row r="40486" spans="1:4" ht="15.75" customHeight="1">
      <c r="A40486" s="8"/>
      <c r="B40486" s="12"/>
      <c r="C40486" s="8"/>
      <c r="D40486" s="8"/>
    </row>
    <row r="40487" spans="1:4" ht="15.75" customHeight="1">
      <c r="A40487" s="8"/>
      <c r="B40487" s="12"/>
      <c r="C40487" s="8"/>
      <c r="D40487" s="8"/>
    </row>
    <row r="40488" spans="1:4" ht="15.75" customHeight="1">
      <c r="A40488" s="8"/>
      <c r="B40488" s="12"/>
      <c r="C40488" s="8"/>
      <c r="D40488" s="8"/>
    </row>
    <row r="40489" spans="1:4" ht="15.75" customHeight="1">
      <c r="A40489" s="8"/>
      <c r="B40489" s="12"/>
      <c r="C40489" s="8"/>
      <c r="D40489" s="8"/>
    </row>
    <row r="40490" spans="1:4" ht="15.75" customHeight="1">
      <c r="A40490" s="8"/>
      <c r="B40490" s="12"/>
      <c r="C40490" s="8"/>
      <c r="D40490" s="8"/>
    </row>
    <row r="40491" spans="1:4" ht="15.75" customHeight="1">
      <c r="A40491" s="8"/>
      <c r="B40491" s="12"/>
      <c r="C40491" s="8"/>
      <c r="D40491" s="8"/>
    </row>
    <row r="40492" spans="1:4" ht="15.75" customHeight="1">
      <c r="A40492" s="8"/>
      <c r="B40492" s="12"/>
      <c r="C40492" s="8"/>
      <c r="D40492" s="8"/>
    </row>
    <row r="40493" spans="1:4" ht="15.75" customHeight="1">
      <c r="A40493" s="8"/>
      <c r="B40493" s="12"/>
      <c r="C40493" s="8"/>
      <c r="D40493" s="8"/>
    </row>
    <row r="40494" spans="1:4" ht="15.75" customHeight="1">
      <c r="A40494" s="8"/>
      <c r="B40494" s="12"/>
      <c r="C40494" s="8"/>
      <c r="D40494" s="8"/>
    </row>
    <row r="40495" spans="1:4" ht="15.75" customHeight="1">
      <c r="A40495" s="8"/>
      <c r="B40495" s="12"/>
      <c r="C40495" s="8"/>
      <c r="D40495" s="8"/>
    </row>
    <row r="40496" spans="1:4" ht="15.75" customHeight="1">
      <c r="A40496" s="8"/>
      <c r="B40496" s="12"/>
      <c r="C40496" s="8"/>
      <c r="D40496" s="8"/>
    </row>
    <row r="40497" spans="1:4" ht="15.75" customHeight="1">
      <c r="A40497" s="8"/>
      <c r="B40497" s="12"/>
      <c r="C40497" s="8"/>
      <c r="D40497" s="8"/>
    </row>
    <row r="40498" spans="1:4" ht="15.75" customHeight="1">
      <c r="A40498" s="8"/>
      <c r="B40498" s="12"/>
      <c r="C40498" s="8"/>
      <c r="D40498" s="8"/>
    </row>
    <row r="40499" spans="1:4" ht="15.75" customHeight="1">
      <c r="A40499" s="8"/>
      <c r="B40499" s="12"/>
      <c r="C40499" s="8"/>
      <c r="D40499" s="8"/>
    </row>
    <row r="40500" spans="1:4" ht="15.75" customHeight="1">
      <c r="A40500" s="8"/>
      <c r="B40500" s="12"/>
      <c r="C40500" s="8"/>
      <c r="D40500" s="8"/>
    </row>
    <row r="40501" spans="1:4" ht="15.75" customHeight="1">
      <c r="A40501" s="8"/>
      <c r="B40501" s="12"/>
      <c r="C40501" s="8"/>
      <c r="D40501" s="8"/>
    </row>
    <row r="40502" spans="1:4" ht="15.75" customHeight="1">
      <c r="A40502" s="8"/>
      <c r="B40502" s="12"/>
      <c r="C40502" s="8"/>
      <c r="D40502" s="8"/>
    </row>
    <row r="40503" spans="1:4" ht="15.75" customHeight="1">
      <c r="A40503" s="8"/>
      <c r="B40503" s="12"/>
      <c r="C40503" s="8"/>
      <c r="D40503" s="8"/>
    </row>
    <row r="40504" spans="1:4" ht="15.75" customHeight="1">
      <c r="A40504" s="8"/>
      <c r="B40504" s="12"/>
      <c r="C40504" s="8"/>
      <c r="D40504" s="8"/>
    </row>
    <row r="40505" spans="1:4" ht="15.75" customHeight="1">
      <c r="A40505" s="8"/>
      <c r="B40505" s="12"/>
      <c r="C40505" s="8"/>
      <c r="D40505" s="8"/>
    </row>
    <row r="40506" spans="1:4" ht="15.75" customHeight="1">
      <c r="A40506" s="8"/>
      <c r="B40506" s="12"/>
      <c r="C40506" s="8"/>
      <c r="D40506" s="8"/>
    </row>
    <row r="40507" spans="1:4" ht="15.75" customHeight="1">
      <c r="A40507" s="8"/>
      <c r="B40507" s="12"/>
      <c r="C40507" s="8"/>
      <c r="D40507" s="8"/>
    </row>
    <row r="40508" spans="1:4" ht="15.75" customHeight="1">
      <c r="A40508" s="8"/>
      <c r="B40508" s="12"/>
      <c r="C40508" s="8"/>
      <c r="D40508" s="8"/>
    </row>
    <row r="40509" spans="1:4" ht="15.75" customHeight="1">
      <c r="A40509" s="8"/>
      <c r="B40509" s="12"/>
      <c r="C40509" s="8"/>
      <c r="D40509" s="8"/>
    </row>
    <row r="40510" spans="1:4" ht="15.75" customHeight="1">
      <c r="A40510" s="8"/>
      <c r="B40510" s="12"/>
      <c r="C40510" s="8"/>
      <c r="D40510" s="8"/>
    </row>
    <row r="40511" spans="1:4" ht="15.75" customHeight="1">
      <c r="A40511" s="8"/>
      <c r="B40511" s="12"/>
      <c r="C40511" s="8"/>
      <c r="D40511" s="8"/>
    </row>
    <row r="40512" spans="1:4" ht="15.75" customHeight="1">
      <c r="A40512" s="8"/>
      <c r="B40512" s="12"/>
      <c r="C40512" s="8"/>
      <c r="D40512" s="8"/>
    </row>
    <row r="40513" spans="1:4" ht="15.75" customHeight="1">
      <c r="A40513" s="8"/>
      <c r="B40513" s="12"/>
      <c r="C40513" s="8"/>
      <c r="D40513" s="8"/>
    </row>
    <row r="40514" spans="1:4" ht="15.75" customHeight="1">
      <c r="A40514" s="8"/>
      <c r="B40514" s="12"/>
      <c r="C40514" s="8"/>
      <c r="D40514" s="8"/>
    </row>
    <row r="40515" spans="1:4" ht="15.75" customHeight="1">
      <c r="A40515" s="8"/>
      <c r="B40515" s="12"/>
      <c r="C40515" s="8"/>
      <c r="D40515" s="8"/>
    </row>
    <row r="40516" spans="1:4" ht="15.75" customHeight="1">
      <c r="A40516" s="8"/>
      <c r="B40516" s="12"/>
      <c r="C40516" s="8"/>
      <c r="D40516" s="8"/>
    </row>
    <row r="40517" spans="1:4" ht="15.75" customHeight="1">
      <c r="A40517" s="8"/>
      <c r="B40517" s="12"/>
      <c r="C40517" s="8"/>
      <c r="D40517" s="8"/>
    </row>
    <row r="40518" spans="1:4" ht="15.75" customHeight="1">
      <c r="A40518" s="8"/>
      <c r="B40518" s="12"/>
      <c r="C40518" s="8"/>
      <c r="D40518" s="8"/>
    </row>
    <row r="40519" spans="1:4" ht="15.75" customHeight="1">
      <c r="A40519" s="8"/>
      <c r="B40519" s="12"/>
      <c r="C40519" s="8"/>
      <c r="D40519" s="8"/>
    </row>
    <row r="40520" spans="1:4" ht="15.75" customHeight="1">
      <c r="A40520" s="8"/>
      <c r="B40520" s="12"/>
      <c r="C40520" s="8"/>
      <c r="D40520" s="8"/>
    </row>
    <row r="40521" spans="1:4" ht="15.75" customHeight="1">
      <c r="A40521" s="8"/>
      <c r="B40521" s="12"/>
      <c r="C40521" s="8"/>
      <c r="D40521" s="8"/>
    </row>
    <row r="40522" spans="1:4" ht="15.75" customHeight="1">
      <c r="A40522" s="8"/>
      <c r="B40522" s="12"/>
      <c r="C40522" s="8"/>
      <c r="D40522" s="8"/>
    </row>
    <row r="40523" spans="1:4" ht="15.75" customHeight="1">
      <c r="A40523" s="8"/>
      <c r="B40523" s="12"/>
      <c r="C40523" s="8"/>
      <c r="D40523" s="8"/>
    </row>
    <row r="40524" spans="1:4" ht="15.75" customHeight="1">
      <c r="A40524" s="8"/>
      <c r="B40524" s="12"/>
      <c r="C40524" s="8"/>
      <c r="D40524" s="8"/>
    </row>
    <row r="40525" spans="1:4" ht="15.75" customHeight="1">
      <c r="A40525" s="8"/>
      <c r="B40525" s="12"/>
      <c r="C40525" s="8"/>
      <c r="D40525" s="8"/>
    </row>
    <row r="40526" spans="1:4" ht="15.75" customHeight="1">
      <c r="A40526" s="8"/>
      <c r="B40526" s="12"/>
      <c r="C40526" s="8"/>
      <c r="D40526" s="8"/>
    </row>
    <row r="40527" spans="1:4" ht="15.75" customHeight="1">
      <c r="A40527" s="8"/>
      <c r="B40527" s="12"/>
      <c r="C40527" s="8"/>
      <c r="D40527" s="8"/>
    </row>
    <row r="40528" spans="1:4" ht="15.75" customHeight="1">
      <c r="A40528" s="8"/>
      <c r="B40528" s="12"/>
      <c r="C40528" s="8"/>
      <c r="D40528" s="8"/>
    </row>
    <row r="40529" spans="1:4" ht="15.75" customHeight="1">
      <c r="A40529" s="8"/>
      <c r="B40529" s="12"/>
      <c r="C40529" s="8"/>
      <c r="D40529" s="8"/>
    </row>
    <row r="40530" spans="1:4" ht="15.75" customHeight="1">
      <c r="A40530" s="8"/>
      <c r="B40530" s="12"/>
      <c r="C40530" s="8"/>
      <c r="D40530" s="8"/>
    </row>
    <row r="40531" spans="1:4" ht="15.75" customHeight="1">
      <c r="A40531" s="8"/>
      <c r="B40531" s="12"/>
      <c r="C40531" s="8"/>
      <c r="D40531" s="8"/>
    </row>
    <row r="40532" spans="1:4" ht="15.75" customHeight="1">
      <c r="A40532" s="8"/>
      <c r="B40532" s="12"/>
      <c r="C40532" s="8"/>
      <c r="D40532" s="8"/>
    </row>
    <row r="40533" spans="1:4" ht="15.75" customHeight="1">
      <c r="A40533" s="8"/>
      <c r="B40533" s="12"/>
      <c r="C40533" s="8"/>
      <c r="D40533" s="8"/>
    </row>
    <row r="40534" spans="1:4" ht="15.75" customHeight="1">
      <c r="A40534" s="8"/>
      <c r="B40534" s="12"/>
      <c r="C40534" s="8"/>
      <c r="D40534" s="8"/>
    </row>
    <row r="40535" spans="1:4" ht="15.75" customHeight="1">
      <c r="A40535" s="8"/>
      <c r="B40535" s="12"/>
      <c r="C40535" s="8"/>
      <c r="D40535" s="8"/>
    </row>
    <row r="40536" spans="1:4" ht="15.75" customHeight="1">
      <c r="A40536" s="8"/>
      <c r="B40536" s="12"/>
      <c r="C40536" s="8"/>
      <c r="D40536" s="8"/>
    </row>
    <row r="40537" spans="1:4" ht="15.75" customHeight="1">
      <c r="A40537" s="8"/>
      <c r="B40537" s="12"/>
      <c r="C40537" s="8"/>
      <c r="D40537" s="8"/>
    </row>
    <row r="40538" spans="1:4" ht="15.75" customHeight="1">
      <c r="A40538" s="8"/>
      <c r="B40538" s="12"/>
      <c r="C40538" s="8"/>
      <c r="D40538" s="8"/>
    </row>
    <row r="40539" spans="1:4" ht="15.75" customHeight="1">
      <c r="A40539" s="8"/>
      <c r="B40539" s="12"/>
      <c r="C40539" s="8"/>
      <c r="D40539" s="8"/>
    </row>
    <row r="40540" spans="1:4" ht="15.75" customHeight="1">
      <c r="A40540" s="8"/>
      <c r="B40540" s="12"/>
      <c r="C40540" s="8"/>
      <c r="D40540" s="8"/>
    </row>
    <row r="40541" spans="1:4" ht="15.75" customHeight="1">
      <c r="A40541" s="8"/>
      <c r="B40541" s="12"/>
      <c r="C40541" s="8"/>
      <c r="D40541" s="8"/>
    </row>
    <row r="40542" spans="1:4" ht="15.75" customHeight="1">
      <c r="A40542" s="8"/>
      <c r="B40542" s="12"/>
      <c r="C40542" s="8"/>
      <c r="D40542" s="8"/>
    </row>
    <row r="40543" spans="1:4" ht="15.75" customHeight="1">
      <c r="A40543" s="8"/>
      <c r="B40543" s="12"/>
      <c r="C40543" s="8"/>
      <c r="D40543" s="8"/>
    </row>
    <row r="40544" spans="1:4" ht="15.75" customHeight="1">
      <c r="A40544" s="8"/>
      <c r="B40544" s="12"/>
      <c r="C40544" s="8"/>
      <c r="D40544" s="8"/>
    </row>
    <row r="40545" spans="1:4" ht="15.75" customHeight="1">
      <c r="A40545" s="8"/>
      <c r="B40545" s="12"/>
      <c r="C40545" s="8"/>
      <c r="D40545" s="8"/>
    </row>
    <row r="40546" spans="1:4" ht="15.75" customHeight="1">
      <c r="A40546" s="8"/>
      <c r="B40546" s="12"/>
      <c r="C40546" s="8"/>
      <c r="D40546" s="8"/>
    </row>
    <row r="40547" spans="1:4" ht="15.75" customHeight="1">
      <c r="A40547" s="8"/>
      <c r="B40547" s="12"/>
      <c r="C40547" s="8"/>
      <c r="D40547" s="8"/>
    </row>
    <row r="40548" spans="1:4" ht="15.75" customHeight="1">
      <c r="A40548" s="8"/>
      <c r="B40548" s="12"/>
      <c r="C40548" s="8"/>
      <c r="D40548" s="8"/>
    </row>
    <row r="40549" spans="1:4" ht="15.75" customHeight="1">
      <c r="A40549" s="8"/>
      <c r="B40549" s="12"/>
      <c r="C40549" s="8"/>
      <c r="D40549" s="8"/>
    </row>
    <row r="40550" spans="1:4" ht="15.75" customHeight="1">
      <c r="A40550" s="8"/>
      <c r="B40550" s="12"/>
      <c r="C40550" s="8"/>
      <c r="D40550" s="8"/>
    </row>
    <row r="40551" spans="1:4" ht="15.75" customHeight="1">
      <c r="A40551" s="8"/>
      <c r="B40551" s="12"/>
      <c r="C40551" s="8"/>
      <c r="D40551" s="8"/>
    </row>
    <row r="40552" spans="1:4" ht="15.75" customHeight="1">
      <c r="A40552" s="8"/>
      <c r="B40552" s="12"/>
      <c r="C40552" s="8"/>
      <c r="D40552" s="8"/>
    </row>
    <row r="40553" spans="1:4" ht="15.75" customHeight="1">
      <c r="A40553" s="8"/>
      <c r="B40553" s="12"/>
      <c r="C40553" s="8"/>
      <c r="D40553" s="8"/>
    </row>
    <row r="40554" spans="1:4" ht="15.75" customHeight="1">
      <c r="A40554" s="8"/>
      <c r="B40554" s="12"/>
      <c r="C40554" s="8"/>
      <c r="D40554" s="8"/>
    </row>
    <row r="40555" spans="1:4" ht="15.75" customHeight="1">
      <c r="A40555" s="8"/>
      <c r="B40555" s="12"/>
      <c r="C40555" s="8"/>
      <c r="D40555" s="8"/>
    </row>
    <row r="40556" spans="1:4" ht="15.75" customHeight="1">
      <c r="A40556" s="8"/>
      <c r="B40556" s="12"/>
      <c r="C40556" s="8"/>
      <c r="D40556" s="8"/>
    </row>
    <row r="40557" spans="1:4" ht="15.75" customHeight="1">
      <c r="A40557" s="8"/>
      <c r="B40557" s="12"/>
      <c r="C40557" s="8"/>
      <c r="D40557" s="8"/>
    </row>
    <row r="40558" spans="1:4" ht="15.75" customHeight="1">
      <c r="A40558" s="8"/>
      <c r="B40558" s="12"/>
      <c r="C40558" s="8"/>
      <c r="D40558" s="8"/>
    </row>
    <row r="40559" spans="1:4" ht="15.75" customHeight="1">
      <c r="A40559" s="8"/>
      <c r="B40559" s="12"/>
      <c r="C40559" s="8"/>
      <c r="D40559" s="8"/>
    </row>
    <row r="40560" spans="1:4" ht="15.75" customHeight="1">
      <c r="A40560" s="8"/>
      <c r="B40560" s="12"/>
      <c r="C40560" s="8"/>
      <c r="D40560" s="8"/>
    </row>
    <row r="40561" spans="1:4" ht="15.75" customHeight="1">
      <c r="A40561" s="8"/>
      <c r="B40561" s="12"/>
      <c r="C40561" s="8"/>
      <c r="D40561" s="8"/>
    </row>
    <row r="40562" spans="1:4" ht="15.75" customHeight="1">
      <c r="A40562" s="8"/>
      <c r="B40562" s="12"/>
      <c r="C40562" s="8"/>
      <c r="D40562" s="8"/>
    </row>
    <row r="40563" spans="1:4" ht="15.75" customHeight="1">
      <c r="A40563" s="8"/>
      <c r="B40563" s="12"/>
      <c r="C40563" s="8"/>
      <c r="D40563" s="8"/>
    </row>
    <row r="40564" spans="1:4" ht="15.75" customHeight="1">
      <c r="A40564" s="8"/>
      <c r="B40564" s="12"/>
      <c r="C40564" s="8"/>
      <c r="D40564" s="8"/>
    </row>
    <row r="40565" spans="1:4" ht="15.75" customHeight="1">
      <c r="A40565" s="8"/>
      <c r="B40565" s="12"/>
      <c r="C40565" s="8"/>
      <c r="D40565" s="8"/>
    </row>
    <row r="40566" spans="1:4" ht="15.75" customHeight="1">
      <c r="A40566" s="8"/>
      <c r="B40566" s="12"/>
      <c r="C40566" s="8"/>
      <c r="D40566" s="8"/>
    </row>
    <row r="40567" spans="1:4" ht="15.75" customHeight="1">
      <c r="A40567" s="8"/>
      <c r="B40567" s="12"/>
      <c r="C40567" s="8"/>
      <c r="D40567" s="8"/>
    </row>
    <row r="40568" spans="1:4" ht="15.75" customHeight="1">
      <c r="A40568" s="8"/>
      <c r="B40568" s="12"/>
      <c r="C40568" s="8"/>
      <c r="D40568" s="8"/>
    </row>
    <row r="40569" spans="1:4" ht="15.75" customHeight="1">
      <c r="A40569" s="8"/>
      <c r="B40569" s="12"/>
      <c r="C40569" s="8"/>
      <c r="D40569" s="8"/>
    </row>
    <row r="40570" spans="1:4" ht="15.75" customHeight="1">
      <c r="A40570" s="8"/>
      <c r="B40570" s="12"/>
      <c r="C40570" s="8"/>
      <c r="D40570" s="8"/>
    </row>
    <row r="40571" spans="1:4" ht="15.75" customHeight="1">
      <c r="A40571" s="8"/>
      <c r="B40571" s="12"/>
      <c r="C40571" s="8"/>
      <c r="D40571" s="8"/>
    </row>
    <row r="40572" spans="1:4" ht="15.75" customHeight="1">
      <c r="A40572" s="8"/>
      <c r="B40572" s="12"/>
      <c r="C40572" s="8"/>
      <c r="D40572" s="8"/>
    </row>
    <row r="40573" spans="1:4" ht="15.75" customHeight="1">
      <c r="A40573" s="8"/>
      <c r="B40573" s="12"/>
      <c r="C40573" s="8"/>
      <c r="D40573" s="8"/>
    </row>
    <row r="40574" spans="1:4" ht="15.75" customHeight="1">
      <c r="A40574" s="8"/>
      <c r="B40574" s="12"/>
      <c r="C40574" s="8"/>
      <c r="D40574" s="8"/>
    </row>
    <row r="40575" spans="1:4" ht="15.75" customHeight="1">
      <c r="A40575" s="8"/>
      <c r="B40575" s="12"/>
      <c r="C40575" s="8"/>
      <c r="D40575" s="8"/>
    </row>
    <row r="40576" spans="1:4" ht="15.75" customHeight="1">
      <c r="A40576" s="8"/>
      <c r="B40576" s="12"/>
      <c r="C40576" s="8"/>
      <c r="D40576" s="8"/>
    </row>
    <row r="40577" spans="1:4" ht="15.75" customHeight="1">
      <c r="A40577" s="8"/>
      <c r="B40577" s="12"/>
      <c r="C40577" s="8"/>
      <c r="D40577" s="8"/>
    </row>
    <row r="40578" spans="1:4" ht="15.75" customHeight="1">
      <c r="A40578" s="8"/>
      <c r="B40578" s="12"/>
      <c r="C40578" s="8"/>
      <c r="D40578" s="8"/>
    </row>
    <row r="40579" spans="1:4" ht="15.75" customHeight="1">
      <c r="A40579" s="8"/>
      <c r="B40579" s="12"/>
      <c r="C40579" s="8"/>
      <c r="D40579" s="8"/>
    </row>
    <row r="40580" spans="1:4" ht="15.75" customHeight="1">
      <c r="A40580" s="8"/>
      <c r="B40580" s="12"/>
      <c r="C40580" s="8"/>
      <c r="D40580" s="8"/>
    </row>
    <row r="40581" spans="1:4" ht="15.75" customHeight="1">
      <c r="A40581" s="8"/>
      <c r="B40581" s="12"/>
      <c r="C40581" s="8"/>
      <c r="D40581" s="8"/>
    </row>
    <row r="40582" spans="1:4" ht="15.75" customHeight="1">
      <c r="A40582" s="8"/>
      <c r="B40582" s="12"/>
      <c r="C40582" s="8"/>
      <c r="D40582" s="8"/>
    </row>
    <row r="40583" spans="1:4" ht="15.75" customHeight="1">
      <c r="A40583" s="8"/>
      <c r="B40583" s="12"/>
      <c r="C40583" s="8"/>
      <c r="D40583" s="8"/>
    </row>
    <row r="40584" spans="1:4" ht="15.75" customHeight="1">
      <c r="A40584" s="8"/>
      <c r="B40584" s="12"/>
      <c r="C40584" s="8"/>
      <c r="D40584" s="8"/>
    </row>
    <row r="40585" spans="1:4" ht="15.75" customHeight="1">
      <c r="A40585" s="8"/>
      <c r="B40585" s="12"/>
      <c r="C40585" s="8"/>
      <c r="D40585" s="8"/>
    </row>
    <row r="40586" spans="1:4" ht="15.75" customHeight="1">
      <c r="A40586" s="8"/>
      <c r="B40586" s="12"/>
      <c r="C40586" s="8"/>
      <c r="D40586" s="8"/>
    </row>
    <row r="40587" spans="1:4" ht="15.75" customHeight="1">
      <c r="A40587" s="8"/>
      <c r="B40587" s="12"/>
      <c r="C40587" s="8"/>
      <c r="D40587" s="8"/>
    </row>
    <row r="40588" spans="1:4" ht="15.75" customHeight="1">
      <c r="A40588" s="8"/>
      <c r="B40588" s="12"/>
      <c r="C40588" s="8"/>
      <c r="D40588" s="8"/>
    </row>
    <row r="40589" spans="1:4" ht="15.75" customHeight="1">
      <c r="A40589" s="8"/>
      <c r="B40589" s="12"/>
      <c r="C40589" s="8"/>
      <c r="D40589" s="8"/>
    </row>
    <row r="40590" spans="1:4" ht="15.75" customHeight="1">
      <c r="A40590" s="8"/>
      <c r="B40590" s="12"/>
      <c r="C40590" s="8"/>
      <c r="D40590" s="8"/>
    </row>
    <row r="40591" spans="1:4" ht="15.75" customHeight="1">
      <c r="A40591" s="8"/>
      <c r="B40591" s="12"/>
      <c r="C40591" s="8"/>
      <c r="D40591" s="8"/>
    </row>
    <row r="40592" spans="1:4" ht="15.75" customHeight="1">
      <c r="A40592" s="8"/>
      <c r="B40592" s="12"/>
      <c r="C40592" s="8"/>
      <c r="D40592" s="8"/>
    </row>
    <row r="40593" spans="1:4" ht="15.75" customHeight="1">
      <c r="A40593" s="8"/>
      <c r="B40593" s="12"/>
      <c r="C40593" s="8"/>
      <c r="D40593" s="8"/>
    </row>
    <row r="40594" spans="1:4" ht="15.75" customHeight="1">
      <c r="A40594" s="8"/>
      <c r="B40594" s="12"/>
      <c r="C40594" s="8"/>
      <c r="D40594" s="8"/>
    </row>
    <row r="40595" spans="1:4" ht="15.75" customHeight="1">
      <c r="A40595" s="8"/>
      <c r="B40595" s="12"/>
      <c r="C40595" s="8"/>
      <c r="D40595" s="8"/>
    </row>
    <row r="40596" spans="1:4" ht="15.75" customHeight="1">
      <c r="A40596" s="8"/>
      <c r="B40596" s="12"/>
      <c r="C40596" s="8"/>
      <c r="D40596" s="8"/>
    </row>
    <row r="40597" spans="1:4" ht="15.75" customHeight="1">
      <c r="A40597" s="8"/>
      <c r="B40597" s="12"/>
      <c r="C40597" s="8"/>
      <c r="D40597" s="8"/>
    </row>
    <row r="40598" spans="1:4" ht="15.75" customHeight="1">
      <c r="A40598" s="8"/>
      <c r="B40598" s="12"/>
      <c r="C40598" s="8"/>
      <c r="D40598" s="8"/>
    </row>
    <row r="40599" spans="1:4" ht="15.75" customHeight="1">
      <c r="A40599" s="8"/>
      <c r="B40599" s="12"/>
      <c r="C40599" s="8"/>
      <c r="D40599" s="8"/>
    </row>
    <row r="40600" spans="1:4" ht="15.75" customHeight="1">
      <c r="A40600" s="8"/>
      <c r="B40600" s="12"/>
      <c r="C40600" s="8"/>
      <c r="D40600" s="8"/>
    </row>
    <row r="40601" spans="1:4" ht="15.75" customHeight="1">
      <c r="A40601" s="8"/>
      <c r="B40601" s="12"/>
      <c r="C40601" s="8"/>
      <c r="D40601" s="8"/>
    </row>
    <row r="40602" spans="1:4" ht="15.75" customHeight="1">
      <c r="A40602" s="8"/>
      <c r="B40602" s="12"/>
      <c r="C40602" s="8"/>
      <c r="D40602" s="8"/>
    </row>
    <row r="40603" spans="1:4" ht="15.75" customHeight="1">
      <c r="A40603" s="8"/>
      <c r="B40603" s="12"/>
      <c r="C40603" s="8"/>
      <c r="D40603" s="8"/>
    </row>
    <row r="40604" spans="1:4" ht="15.75" customHeight="1">
      <c r="A40604" s="8"/>
      <c r="B40604" s="12"/>
      <c r="C40604" s="8"/>
      <c r="D40604" s="8"/>
    </row>
    <row r="40605" spans="1:4" ht="15.75" customHeight="1">
      <c r="A40605" s="8"/>
      <c r="B40605" s="12"/>
      <c r="C40605" s="8"/>
      <c r="D40605" s="8"/>
    </row>
    <row r="40606" spans="1:4" ht="15.75" customHeight="1">
      <c r="A40606" s="8"/>
      <c r="B40606" s="12"/>
      <c r="C40606" s="8"/>
      <c r="D40606" s="8"/>
    </row>
    <row r="40607" spans="1:4" ht="15.75" customHeight="1">
      <c r="A40607" s="8"/>
      <c r="B40607" s="12"/>
      <c r="C40607" s="8"/>
      <c r="D40607" s="8"/>
    </row>
    <row r="40608" spans="1:4" ht="15.75" customHeight="1">
      <c r="A40608" s="8"/>
      <c r="B40608" s="12"/>
      <c r="C40608" s="8"/>
      <c r="D40608" s="8"/>
    </row>
    <row r="40609" spans="1:4" ht="15.75" customHeight="1">
      <c r="A40609" s="8"/>
      <c r="B40609" s="12"/>
      <c r="C40609" s="8"/>
      <c r="D40609" s="8"/>
    </row>
    <row r="40610" spans="1:4" ht="15.75" customHeight="1">
      <c r="A40610" s="8"/>
      <c r="B40610" s="12"/>
      <c r="C40610" s="8"/>
      <c r="D40610" s="8"/>
    </row>
    <row r="40611" spans="1:4" ht="15.75" customHeight="1">
      <c r="A40611" s="8"/>
      <c r="B40611" s="12"/>
      <c r="C40611" s="8"/>
      <c r="D40611" s="8"/>
    </row>
    <row r="40612" spans="1:4" ht="15.75" customHeight="1">
      <c r="A40612" s="8"/>
      <c r="B40612" s="12"/>
      <c r="C40612" s="8"/>
      <c r="D40612" s="8"/>
    </row>
    <row r="40613" spans="1:4" ht="15.75" customHeight="1">
      <c r="A40613" s="8"/>
      <c r="B40613" s="12"/>
      <c r="C40613" s="8"/>
      <c r="D40613" s="8"/>
    </row>
    <row r="40614" spans="1:4" ht="15.75" customHeight="1">
      <c r="A40614" s="8"/>
      <c r="B40614" s="12"/>
      <c r="C40614" s="8"/>
      <c r="D40614" s="8"/>
    </row>
    <row r="40615" spans="1:4" ht="15.75" customHeight="1">
      <c r="A40615" s="8"/>
      <c r="B40615" s="12"/>
      <c r="C40615" s="8"/>
      <c r="D40615" s="8"/>
    </row>
    <row r="40616" spans="1:4" ht="15.75" customHeight="1">
      <c r="A40616" s="8"/>
      <c r="B40616" s="12"/>
      <c r="C40616" s="8"/>
      <c r="D40616" s="8"/>
    </row>
    <row r="40617" spans="1:4" ht="15.75" customHeight="1">
      <c r="A40617" s="8"/>
      <c r="B40617" s="12"/>
      <c r="C40617" s="8"/>
      <c r="D40617" s="8"/>
    </row>
    <row r="40618" spans="1:4" ht="15.75" customHeight="1">
      <c r="A40618" s="8"/>
      <c r="B40618" s="12"/>
      <c r="C40618" s="8"/>
      <c r="D40618" s="8"/>
    </row>
    <row r="40619" spans="1:4" ht="15.75" customHeight="1">
      <c r="A40619" s="8"/>
      <c r="B40619" s="12"/>
      <c r="C40619" s="8"/>
      <c r="D40619" s="8"/>
    </row>
    <row r="40620" spans="1:4" ht="15.75" customHeight="1">
      <c r="A40620" s="8"/>
      <c r="B40620" s="12"/>
      <c r="C40620" s="8"/>
      <c r="D40620" s="8"/>
    </row>
    <row r="40621" spans="1:4" ht="15.75" customHeight="1">
      <c r="A40621" s="8"/>
      <c r="B40621" s="12"/>
      <c r="C40621" s="8"/>
      <c r="D40621" s="8"/>
    </row>
    <row r="40622" spans="1:4" ht="15.75" customHeight="1">
      <c r="A40622" s="8"/>
      <c r="B40622" s="12"/>
      <c r="C40622" s="8"/>
      <c r="D40622" s="8"/>
    </row>
    <row r="40623" spans="1:4" ht="15.75" customHeight="1">
      <c r="A40623" s="8"/>
      <c r="B40623" s="12"/>
      <c r="C40623" s="8"/>
      <c r="D40623" s="8"/>
    </row>
    <row r="40624" spans="1:4" ht="15.75" customHeight="1">
      <c r="A40624" s="8"/>
      <c r="B40624" s="12"/>
      <c r="C40624" s="8"/>
      <c r="D40624" s="8"/>
    </row>
    <row r="40625" spans="1:4" ht="15.75" customHeight="1">
      <c r="A40625" s="8"/>
      <c r="B40625" s="12"/>
      <c r="C40625" s="8"/>
      <c r="D40625" s="8"/>
    </row>
    <row r="40626" spans="1:4" ht="15.75" customHeight="1">
      <c r="A40626" s="8"/>
      <c r="B40626" s="12"/>
      <c r="C40626" s="8"/>
      <c r="D40626" s="8"/>
    </row>
    <row r="40627" spans="1:4" ht="15.75" customHeight="1">
      <c r="A40627" s="8"/>
      <c r="B40627" s="12"/>
      <c r="C40627" s="8"/>
      <c r="D40627" s="8"/>
    </row>
    <row r="40628" spans="1:4" ht="15.75" customHeight="1">
      <c r="A40628" s="8"/>
      <c r="B40628" s="12"/>
      <c r="C40628" s="8"/>
      <c r="D40628" s="8"/>
    </row>
    <row r="40629" spans="1:4" ht="15.75" customHeight="1">
      <c r="A40629" s="8"/>
      <c r="B40629" s="12"/>
      <c r="C40629" s="8"/>
      <c r="D40629" s="8"/>
    </row>
    <row r="40630" spans="1:4" ht="15.75" customHeight="1">
      <c r="A40630" s="8"/>
      <c r="B40630" s="12"/>
      <c r="C40630" s="8"/>
      <c r="D40630" s="8"/>
    </row>
    <row r="40631" spans="1:4" ht="15.75" customHeight="1">
      <c r="A40631" s="8"/>
      <c r="B40631" s="12"/>
      <c r="C40631" s="8"/>
      <c r="D40631" s="8"/>
    </row>
    <row r="40632" spans="1:4" ht="15.75" customHeight="1">
      <c r="A40632" s="8"/>
      <c r="B40632" s="12"/>
      <c r="C40632" s="8"/>
      <c r="D40632" s="8"/>
    </row>
    <row r="40633" spans="1:4" ht="15.75" customHeight="1">
      <c r="A40633" s="8"/>
      <c r="B40633" s="12"/>
      <c r="C40633" s="8"/>
      <c r="D40633" s="8"/>
    </row>
    <row r="40634" spans="1:4" ht="15.75" customHeight="1">
      <c r="A40634" s="8"/>
      <c r="B40634" s="12"/>
      <c r="C40634" s="8"/>
      <c r="D40634" s="8"/>
    </row>
    <row r="40635" spans="1:4" ht="15.75" customHeight="1">
      <c r="A40635" s="8"/>
      <c r="B40635" s="12"/>
      <c r="C40635" s="8"/>
      <c r="D40635" s="8"/>
    </row>
    <row r="40636" spans="1:4" ht="15.75" customHeight="1">
      <c r="A40636" s="8"/>
      <c r="B40636" s="12"/>
      <c r="C40636" s="8"/>
      <c r="D40636" s="8"/>
    </row>
    <row r="40637" spans="1:4" ht="15.75" customHeight="1">
      <c r="A40637" s="8"/>
      <c r="B40637" s="12"/>
      <c r="C40637" s="8"/>
      <c r="D40637" s="8"/>
    </row>
    <row r="40638" spans="1:4" ht="15.75" customHeight="1">
      <c r="A40638" s="8"/>
      <c r="B40638" s="12"/>
      <c r="C40638" s="8"/>
      <c r="D40638" s="8"/>
    </row>
    <row r="40639" spans="1:4" ht="15.75" customHeight="1">
      <c r="A40639" s="8"/>
      <c r="B40639" s="12"/>
      <c r="C40639" s="8"/>
      <c r="D40639" s="8"/>
    </row>
    <row r="40640" spans="1:4" ht="15.75" customHeight="1">
      <c r="A40640" s="8"/>
      <c r="B40640" s="12"/>
      <c r="C40640" s="8"/>
      <c r="D40640" s="8"/>
    </row>
    <row r="40641" spans="1:4" ht="15.75" customHeight="1">
      <c r="A40641" s="8"/>
      <c r="B40641" s="12"/>
      <c r="C40641" s="8"/>
      <c r="D40641" s="8"/>
    </row>
    <row r="40642" spans="1:4" ht="15.75" customHeight="1">
      <c r="A40642" s="8"/>
      <c r="B40642" s="12"/>
      <c r="C40642" s="8"/>
      <c r="D40642" s="8"/>
    </row>
    <row r="40643" spans="1:4" ht="15.75" customHeight="1">
      <c r="A40643" s="8"/>
      <c r="B40643" s="12"/>
      <c r="C40643" s="8"/>
      <c r="D40643" s="8"/>
    </row>
    <row r="40644" spans="1:4" ht="15.75" customHeight="1">
      <c r="A40644" s="8"/>
      <c r="B40644" s="12"/>
      <c r="C40644" s="8"/>
      <c r="D40644" s="8"/>
    </row>
    <row r="40645" spans="1:4" ht="15.75" customHeight="1">
      <c r="A40645" s="8"/>
      <c r="B40645" s="12"/>
      <c r="C40645" s="8"/>
      <c r="D40645" s="8"/>
    </row>
    <row r="40646" spans="1:4" ht="15.75" customHeight="1">
      <c r="A40646" s="8"/>
      <c r="B40646" s="12"/>
      <c r="C40646" s="8"/>
      <c r="D40646" s="8"/>
    </row>
    <row r="40647" spans="1:4" ht="15.75" customHeight="1">
      <c r="A40647" s="8"/>
      <c r="B40647" s="12"/>
      <c r="C40647" s="8"/>
      <c r="D40647" s="8"/>
    </row>
    <row r="40648" spans="1:4" ht="15.75" customHeight="1">
      <c r="A40648" s="8"/>
      <c r="B40648" s="12"/>
      <c r="C40648" s="8"/>
      <c r="D40648" s="8"/>
    </row>
    <row r="40649" spans="1:4" ht="15.75" customHeight="1">
      <c r="A40649" s="8"/>
      <c r="B40649" s="12"/>
      <c r="C40649" s="8"/>
      <c r="D40649" s="8"/>
    </row>
    <row r="40650" spans="1:4" ht="15.75" customHeight="1">
      <c r="A40650" s="8"/>
      <c r="B40650" s="12"/>
      <c r="C40650" s="8"/>
      <c r="D40650" s="8"/>
    </row>
    <row r="40651" spans="1:4" ht="15.75" customHeight="1">
      <c r="A40651" s="8"/>
      <c r="B40651" s="12"/>
      <c r="C40651" s="8"/>
      <c r="D40651" s="8"/>
    </row>
    <row r="40652" spans="1:4" ht="15.75" customHeight="1">
      <c r="A40652" s="8"/>
      <c r="B40652" s="12"/>
      <c r="C40652" s="8"/>
      <c r="D40652" s="8"/>
    </row>
    <row r="40653" spans="1:4" ht="15.75" customHeight="1">
      <c r="A40653" s="8"/>
      <c r="B40653" s="12"/>
      <c r="C40653" s="8"/>
      <c r="D40653" s="8"/>
    </row>
    <row r="40654" spans="1:4" ht="15.75" customHeight="1">
      <c r="A40654" s="8"/>
      <c r="B40654" s="12"/>
      <c r="C40654" s="8"/>
      <c r="D40654" s="8"/>
    </row>
    <row r="40655" spans="1:4" ht="15.75" customHeight="1">
      <c r="A40655" s="8"/>
      <c r="B40655" s="12"/>
      <c r="C40655" s="8"/>
      <c r="D40655" s="8"/>
    </row>
    <row r="40656" spans="1:4" ht="15.75" customHeight="1">
      <c r="A40656" s="8"/>
      <c r="B40656" s="12"/>
      <c r="C40656" s="8"/>
      <c r="D40656" s="8"/>
    </row>
    <row r="40657" spans="1:4" ht="15.75" customHeight="1">
      <c r="A40657" s="8"/>
      <c r="B40657" s="12"/>
      <c r="C40657" s="8"/>
      <c r="D40657" s="8"/>
    </row>
    <row r="40658" spans="1:4" ht="15.75" customHeight="1">
      <c r="A40658" s="8"/>
      <c r="B40658" s="12"/>
      <c r="C40658" s="8"/>
      <c r="D40658" s="8"/>
    </row>
    <row r="40659" spans="1:4" ht="15.75" customHeight="1">
      <c r="A40659" s="8"/>
      <c r="B40659" s="12"/>
      <c r="C40659" s="8"/>
      <c r="D40659" s="8"/>
    </row>
    <row r="40660" spans="1:4" ht="15.75" customHeight="1">
      <c r="A40660" s="8"/>
      <c r="B40660" s="12"/>
      <c r="C40660" s="8"/>
      <c r="D40660" s="8"/>
    </row>
    <row r="40661" spans="1:4" ht="15.75" customHeight="1">
      <c r="A40661" s="8"/>
      <c r="B40661" s="12"/>
      <c r="C40661" s="8"/>
      <c r="D40661" s="8"/>
    </row>
    <row r="40662" spans="1:4" ht="15.75" customHeight="1">
      <c r="A40662" s="8"/>
      <c r="B40662" s="12"/>
      <c r="C40662" s="8"/>
      <c r="D40662" s="8"/>
    </row>
    <row r="40663" spans="1:4" ht="15.75" customHeight="1">
      <c r="A40663" s="8"/>
      <c r="B40663" s="12"/>
      <c r="C40663" s="8"/>
      <c r="D40663" s="8"/>
    </row>
    <row r="40664" spans="1:4" ht="15.75" customHeight="1">
      <c r="A40664" s="8"/>
      <c r="B40664" s="12"/>
      <c r="C40664" s="8"/>
      <c r="D40664" s="8"/>
    </row>
    <row r="40665" spans="1:4" ht="15.75" customHeight="1">
      <c r="A40665" s="8"/>
      <c r="B40665" s="12"/>
      <c r="C40665" s="8"/>
      <c r="D40665" s="8"/>
    </row>
    <row r="40666" spans="1:4" ht="15.75" customHeight="1">
      <c r="A40666" s="8"/>
      <c r="B40666" s="12"/>
      <c r="C40666" s="8"/>
      <c r="D40666" s="8"/>
    </row>
    <row r="40667" spans="1:4" ht="15.75" customHeight="1">
      <c r="A40667" s="8"/>
      <c r="B40667" s="12"/>
      <c r="C40667" s="8"/>
      <c r="D40667" s="8"/>
    </row>
    <row r="40668" spans="1:4" ht="15.75" customHeight="1">
      <c r="A40668" s="8"/>
      <c r="B40668" s="12"/>
      <c r="C40668" s="8"/>
      <c r="D40668" s="8"/>
    </row>
    <row r="40669" spans="1:4" ht="15.75" customHeight="1">
      <c r="A40669" s="8"/>
      <c r="B40669" s="12"/>
      <c r="C40669" s="8"/>
      <c r="D40669" s="8"/>
    </row>
    <row r="40670" spans="1:4" ht="15.75" customHeight="1">
      <c r="A40670" s="8"/>
      <c r="B40670" s="12"/>
      <c r="C40670" s="8"/>
      <c r="D40670" s="8"/>
    </row>
    <row r="40671" spans="1:4" ht="15.75" customHeight="1">
      <c r="A40671" s="8"/>
      <c r="B40671" s="12"/>
      <c r="C40671" s="8"/>
      <c r="D40671" s="8"/>
    </row>
    <row r="40672" spans="1:4" ht="15.75" customHeight="1">
      <c r="A40672" s="8"/>
      <c r="B40672" s="12"/>
      <c r="C40672" s="8"/>
      <c r="D40672" s="8"/>
    </row>
    <row r="40673" spans="1:4" ht="15.75" customHeight="1">
      <c r="A40673" s="8"/>
      <c r="B40673" s="12"/>
      <c r="C40673" s="8"/>
      <c r="D40673" s="8"/>
    </row>
    <row r="40674" spans="1:4" ht="15.75" customHeight="1">
      <c r="A40674" s="8"/>
      <c r="B40674" s="12"/>
      <c r="C40674" s="8"/>
      <c r="D40674" s="8"/>
    </row>
    <row r="40675" spans="1:4" ht="15.75" customHeight="1">
      <c r="A40675" s="8"/>
      <c r="B40675" s="12"/>
      <c r="C40675" s="8"/>
      <c r="D40675" s="8"/>
    </row>
    <row r="40676" spans="1:4" ht="15.75" customHeight="1">
      <c r="A40676" s="8"/>
      <c r="B40676" s="12"/>
      <c r="C40676" s="8"/>
      <c r="D40676" s="8"/>
    </row>
    <row r="40677" spans="1:4" ht="15.75" customHeight="1">
      <c r="A40677" s="8"/>
      <c r="B40677" s="12"/>
      <c r="C40677" s="8"/>
      <c r="D40677" s="8"/>
    </row>
    <row r="40678" spans="1:4" ht="15.75" customHeight="1">
      <c r="A40678" s="8"/>
      <c r="B40678" s="12"/>
      <c r="C40678" s="8"/>
      <c r="D40678" s="8"/>
    </row>
    <row r="40679" spans="1:4" ht="15.75" customHeight="1">
      <c r="A40679" s="8"/>
      <c r="B40679" s="12"/>
      <c r="C40679" s="8"/>
      <c r="D40679" s="8"/>
    </row>
    <row r="40680" spans="1:4" ht="15.75" customHeight="1">
      <c r="A40680" s="8"/>
      <c r="B40680" s="12"/>
      <c r="C40680" s="8"/>
      <c r="D40680" s="8"/>
    </row>
    <row r="40681" spans="1:4" ht="15.75" customHeight="1">
      <c r="A40681" s="8"/>
      <c r="B40681" s="12"/>
      <c r="C40681" s="8"/>
      <c r="D40681" s="8"/>
    </row>
    <row r="40682" spans="1:4" ht="15.75" customHeight="1">
      <c r="A40682" s="8"/>
      <c r="B40682" s="12"/>
      <c r="C40682" s="8"/>
      <c r="D40682" s="8"/>
    </row>
    <row r="40683" spans="1:4" ht="15.75" customHeight="1">
      <c r="A40683" s="8"/>
      <c r="B40683" s="12"/>
      <c r="C40683" s="8"/>
      <c r="D40683" s="8"/>
    </row>
    <row r="40684" spans="1:4" ht="15.75" customHeight="1">
      <c r="A40684" s="8"/>
      <c r="B40684" s="12"/>
      <c r="C40684" s="8"/>
      <c r="D40684" s="8"/>
    </row>
    <row r="40685" spans="1:4" ht="15.75" customHeight="1">
      <c r="A40685" s="8"/>
      <c r="B40685" s="12"/>
      <c r="C40685" s="8"/>
      <c r="D40685" s="8"/>
    </row>
    <row r="40686" spans="1:4" ht="15.75" customHeight="1">
      <c r="A40686" s="8"/>
      <c r="B40686" s="12"/>
      <c r="C40686" s="8"/>
      <c r="D40686" s="8"/>
    </row>
    <row r="40687" spans="1:4" ht="15.75" customHeight="1">
      <c r="A40687" s="8"/>
      <c r="B40687" s="12"/>
      <c r="C40687" s="8"/>
      <c r="D40687" s="8"/>
    </row>
    <row r="40688" spans="1:4" ht="15.75" customHeight="1">
      <c r="A40688" s="8"/>
      <c r="B40688" s="12"/>
      <c r="C40688" s="8"/>
      <c r="D40688" s="8"/>
    </row>
    <row r="40689" spans="1:4" ht="15.75" customHeight="1">
      <c r="A40689" s="8"/>
      <c r="B40689" s="12"/>
      <c r="C40689" s="8"/>
      <c r="D40689" s="8"/>
    </row>
    <row r="40690" spans="1:4" ht="15.75" customHeight="1">
      <c r="A40690" s="8"/>
      <c r="B40690" s="12"/>
      <c r="C40690" s="8"/>
      <c r="D40690" s="8"/>
    </row>
    <row r="40691" spans="1:4" ht="15.75" customHeight="1">
      <c r="A40691" s="8"/>
      <c r="B40691" s="12"/>
      <c r="C40691" s="8"/>
      <c r="D40691" s="8"/>
    </row>
    <row r="40692" spans="1:4" ht="15.75" customHeight="1">
      <c r="A40692" s="8"/>
      <c r="B40692" s="12"/>
      <c r="C40692" s="8"/>
      <c r="D40692" s="8"/>
    </row>
    <row r="40693" spans="1:4" ht="15.75" customHeight="1">
      <c r="A40693" s="8"/>
      <c r="B40693" s="12"/>
      <c r="C40693" s="8"/>
      <c r="D40693" s="8"/>
    </row>
    <row r="40694" spans="1:4" ht="15.75" customHeight="1">
      <c r="A40694" s="8"/>
      <c r="B40694" s="12"/>
      <c r="C40694" s="8"/>
      <c r="D40694" s="8"/>
    </row>
    <row r="40695" spans="1:4" ht="15.75" customHeight="1">
      <c r="A40695" s="8"/>
      <c r="B40695" s="12"/>
      <c r="C40695" s="8"/>
      <c r="D40695" s="8"/>
    </row>
    <row r="40696" spans="1:4" ht="15.75" customHeight="1">
      <c r="A40696" s="8"/>
      <c r="B40696" s="12"/>
      <c r="C40696" s="8"/>
      <c r="D40696" s="8"/>
    </row>
    <row r="40697" spans="1:4" ht="15.75" customHeight="1">
      <c r="A40697" s="8"/>
      <c r="B40697" s="12"/>
      <c r="C40697" s="8"/>
      <c r="D40697" s="8"/>
    </row>
    <row r="40698" spans="1:4" ht="15.75" customHeight="1">
      <c r="A40698" s="8"/>
      <c r="B40698" s="12"/>
      <c r="C40698" s="8"/>
      <c r="D40698" s="8"/>
    </row>
    <row r="40699" spans="1:4" ht="15.75" customHeight="1">
      <c r="A40699" s="8"/>
      <c r="B40699" s="12"/>
      <c r="C40699" s="8"/>
      <c r="D40699" s="8"/>
    </row>
    <row r="40700" spans="1:4" ht="15.75" customHeight="1">
      <c r="A40700" s="8"/>
      <c r="B40700" s="12"/>
      <c r="C40700" s="8"/>
      <c r="D40700" s="8"/>
    </row>
    <row r="40701" spans="1:4" ht="15.75" customHeight="1">
      <c r="A40701" s="8"/>
      <c r="B40701" s="12"/>
      <c r="C40701" s="8"/>
      <c r="D40701" s="8"/>
    </row>
    <row r="40702" spans="1:4" ht="15.75" customHeight="1">
      <c r="A40702" s="8"/>
      <c r="B40702" s="12"/>
      <c r="C40702" s="8"/>
      <c r="D40702" s="8"/>
    </row>
    <row r="40703" spans="1:4" ht="15.75" customHeight="1">
      <c r="A40703" s="8"/>
      <c r="B40703" s="12"/>
      <c r="C40703" s="8"/>
      <c r="D40703" s="8"/>
    </row>
    <row r="40704" spans="1:4" ht="15.75" customHeight="1">
      <c r="A40704" s="8"/>
      <c r="B40704" s="12"/>
      <c r="C40704" s="8"/>
      <c r="D40704" s="8"/>
    </row>
    <row r="40705" spans="1:4" ht="15.75" customHeight="1">
      <c r="A40705" s="8"/>
      <c r="B40705" s="12"/>
      <c r="C40705" s="8"/>
      <c r="D40705" s="8"/>
    </row>
    <row r="40706" spans="1:4" ht="15.75" customHeight="1">
      <c r="A40706" s="8"/>
      <c r="B40706" s="12"/>
      <c r="C40706" s="8"/>
      <c r="D40706" s="8"/>
    </row>
    <row r="40707" spans="1:4" ht="15.75" customHeight="1">
      <c r="A40707" s="8"/>
      <c r="B40707" s="12"/>
      <c r="C40707" s="8"/>
      <c r="D40707" s="8"/>
    </row>
    <row r="40708" spans="1:4" ht="15.75" customHeight="1">
      <c r="A40708" s="8"/>
      <c r="B40708" s="12"/>
      <c r="C40708" s="8"/>
      <c r="D40708" s="8"/>
    </row>
    <row r="40709" spans="1:4" ht="15.75" customHeight="1">
      <c r="A40709" s="8"/>
      <c r="B40709" s="12"/>
      <c r="C40709" s="8"/>
      <c r="D40709" s="8"/>
    </row>
    <row r="40710" spans="1:4" ht="15.75" customHeight="1">
      <c r="A40710" s="8"/>
      <c r="B40710" s="12"/>
      <c r="C40710" s="8"/>
      <c r="D40710" s="8"/>
    </row>
    <row r="40711" spans="1:4" ht="15.75" customHeight="1">
      <c r="A40711" s="8"/>
      <c r="B40711" s="12"/>
      <c r="C40711" s="8"/>
      <c r="D40711" s="8"/>
    </row>
    <row r="40712" spans="1:4" ht="15.75" customHeight="1">
      <c r="A40712" s="8"/>
      <c r="B40712" s="12"/>
      <c r="C40712" s="8"/>
      <c r="D40712" s="8"/>
    </row>
    <row r="40713" spans="1:4" ht="15.75" customHeight="1">
      <c r="A40713" s="8"/>
      <c r="B40713" s="12"/>
      <c r="C40713" s="8"/>
      <c r="D40713" s="8"/>
    </row>
    <row r="40714" spans="1:4" ht="15.75" customHeight="1">
      <c r="A40714" s="8"/>
      <c r="B40714" s="12"/>
      <c r="C40714" s="8"/>
      <c r="D40714" s="8"/>
    </row>
    <row r="40715" spans="1:4" ht="15.75" customHeight="1">
      <c r="A40715" s="8"/>
      <c r="B40715" s="12"/>
      <c r="C40715" s="8"/>
      <c r="D40715" s="8"/>
    </row>
    <row r="40716" spans="1:4" ht="15.75" customHeight="1">
      <c r="A40716" s="8"/>
      <c r="B40716" s="12"/>
      <c r="C40716" s="8"/>
      <c r="D40716" s="8"/>
    </row>
    <row r="40717" spans="1:4" ht="15.75" customHeight="1">
      <c r="A40717" s="8"/>
      <c r="B40717" s="12"/>
      <c r="C40717" s="8"/>
      <c r="D40717" s="8"/>
    </row>
    <row r="40718" spans="1:4" ht="15.75" customHeight="1">
      <c r="A40718" s="8"/>
      <c r="B40718" s="12"/>
      <c r="C40718" s="8"/>
      <c r="D40718" s="8"/>
    </row>
    <row r="40719" spans="1:4" ht="15.75" customHeight="1">
      <c r="A40719" s="8"/>
      <c r="B40719" s="12"/>
      <c r="C40719" s="8"/>
      <c r="D40719" s="8"/>
    </row>
    <row r="40720" spans="1:4" ht="15.75" customHeight="1">
      <c r="A40720" s="8"/>
      <c r="B40720" s="12"/>
      <c r="C40720" s="8"/>
      <c r="D40720" s="8"/>
    </row>
    <row r="40721" spans="1:4" ht="15.75" customHeight="1">
      <c r="A40721" s="8"/>
      <c r="B40721" s="12"/>
      <c r="C40721" s="8"/>
      <c r="D40721" s="8"/>
    </row>
    <row r="40722" spans="1:4" ht="15.75" customHeight="1">
      <c r="A40722" s="8"/>
      <c r="B40722" s="12"/>
      <c r="C40722" s="8"/>
      <c r="D40722" s="8"/>
    </row>
    <row r="40723" spans="1:4" ht="15.75" customHeight="1">
      <c r="A40723" s="8"/>
      <c r="B40723" s="12"/>
      <c r="C40723" s="8"/>
      <c r="D40723" s="8"/>
    </row>
    <row r="40724" spans="1:4" ht="15.75" customHeight="1">
      <c r="A40724" s="8"/>
      <c r="B40724" s="12"/>
      <c r="C40724" s="8"/>
      <c r="D40724" s="8"/>
    </row>
    <row r="40725" spans="1:4" ht="15.75" customHeight="1">
      <c r="A40725" s="8"/>
      <c r="B40725" s="12"/>
      <c r="C40725" s="8"/>
      <c r="D40725" s="8"/>
    </row>
    <row r="40726" spans="1:4" ht="15.75" customHeight="1">
      <c r="A40726" s="8"/>
      <c r="B40726" s="12"/>
      <c r="C40726" s="8"/>
      <c r="D40726" s="8"/>
    </row>
    <row r="40727" spans="1:4" ht="15.75" customHeight="1">
      <c r="A40727" s="8"/>
      <c r="B40727" s="12"/>
      <c r="C40727" s="8"/>
      <c r="D40727" s="8"/>
    </row>
    <row r="40728" spans="1:4" ht="15.75" customHeight="1">
      <c r="A40728" s="8"/>
      <c r="B40728" s="12"/>
      <c r="C40728" s="8"/>
      <c r="D40728" s="8"/>
    </row>
    <row r="40729" spans="1:4" ht="15.75" customHeight="1">
      <c r="A40729" s="8"/>
      <c r="B40729" s="12"/>
      <c r="C40729" s="8"/>
      <c r="D40729" s="8"/>
    </row>
    <row r="40730" spans="1:4" ht="15.75" customHeight="1">
      <c r="A40730" s="8"/>
      <c r="B40730" s="12"/>
      <c r="C40730" s="8"/>
      <c r="D40730" s="8"/>
    </row>
    <row r="40731" spans="1:4" ht="15.75" customHeight="1">
      <c r="A40731" s="8"/>
      <c r="B40731" s="12"/>
      <c r="C40731" s="8"/>
      <c r="D40731" s="8"/>
    </row>
    <row r="40732" spans="1:4" ht="15.75" customHeight="1">
      <c r="A40732" s="8"/>
      <c r="B40732" s="12"/>
      <c r="C40732" s="8"/>
      <c r="D40732" s="8"/>
    </row>
    <row r="40733" spans="1:4" ht="15.75" customHeight="1">
      <c r="A40733" s="8"/>
      <c r="B40733" s="12"/>
      <c r="C40733" s="8"/>
      <c r="D40733" s="8"/>
    </row>
    <row r="40734" spans="1:4" ht="15.75" customHeight="1">
      <c r="A40734" s="8"/>
      <c r="B40734" s="12"/>
      <c r="C40734" s="8"/>
      <c r="D40734" s="8"/>
    </row>
    <row r="40735" spans="1:4" ht="15.75" customHeight="1">
      <c r="A40735" s="8"/>
      <c r="B40735" s="12"/>
      <c r="C40735" s="8"/>
      <c r="D40735" s="8"/>
    </row>
    <row r="40736" spans="1:4" ht="15.75" customHeight="1">
      <c r="A40736" s="8"/>
      <c r="B40736" s="12"/>
      <c r="C40736" s="8"/>
      <c r="D40736" s="8"/>
    </row>
    <row r="40737" spans="1:4" ht="15.75" customHeight="1">
      <c r="A40737" s="8"/>
      <c r="B40737" s="12"/>
      <c r="C40737" s="8"/>
      <c r="D40737" s="8"/>
    </row>
    <row r="40738" spans="1:4" ht="15.75" customHeight="1">
      <c r="A40738" s="8"/>
      <c r="B40738" s="12"/>
      <c r="C40738" s="8"/>
      <c r="D40738" s="8"/>
    </row>
    <row r="40739" spans="1:4" ht="15.75" customHeight="1">
      <c r="A40739" s="8"/>
      <c r="B40739" s="12"/>
      <c r="C40739" s="8"/>
      <c r="D40739" s="8"/>
    </row>
    <row r="40740" spans="1:4" ht="15.75" customHeight="1">
      <c r="A40740" s="8"/>
      <c r="B40740" s="12"/>
      <c r="C40740" s="8"/>
      <c r="D40740" s="8"/>
    </row>
    <row r="40741" spans="1:4" ht="15.75" customHeight="1">
      <c r="A40741" s="8"/>
      <c r="B40741" s="12"/>
      <c r="C40741" s="8"/>
      <c r="D40741" s="8"/>
    </row>
    <row r="40742" spans="1:4" ht="15.75" customHeight="1">
      <c r="A40742" s="8"/>
      <c r="B40742" s="12"/>
      <c r="C40742" s="8"/>
      <c r="D40742" s="8"/>
    </row>
    <row r="40743" spans="1:4" ht="15.75" customHeight="1">
      <c r="A40743" s="8"/>
      <c r="B40743" s="12"/>
      <c r="C40743" s="8"/>
      <c r="D40743" s="8"/>
    </row>
    <row r="40744" spans="1:4" ht="15.75" customHeight="1">
      <c r="A40744" s="8"/>
      <c r="B40744" s="12"/>
      <c r="C40744" s="8"/>
      <c r="D40744" s="8"/>
    </row>
    <row r="40745" spans="1:4" ht="15.75" customHeight="1">
      <c r="A40745" s="8"/>
      <c r="B40745" s="12"/>
      <c r="C40745" s="8"/>
      <c r="D40745" s="8"/>
    </row>
    <row r="40746" spans="1:4" ht="15.75" customHeight="1">
      <c r="A40746" s="8"/>
      <c r="B40746" s="12"/>
      <c r="C40746" s="8"/>
      <c r="D40746" s="8"/>
    </row>
    <row r="40747" spans="1:4" ht="15.75" customHeight="1">
      <c r="A40747" s="8"/>
      <c r="B40747" s="12"/>
      <c r="C40747" s="8"/>
      <c r="D40747" s="8"/>
    </row>
    <row r="40748" spans="1:4" ht="15.75" customHeight="1">
      <c r="A40748" s="8"/>
      <c r="B40748" s="12"/>
      <c r="C40748" s="8"/>
      <c r="D40748" s="8"/>
    </row>
    <row r="40749" spans="1:4" ht="15.75" customHeight="1">
      <c r="A40749" s="8"/>
      <c r="B40749" s="12"/>
      <c r="C40749" s="8"/>
      <c r="D40749" s="8"/>
    </row>
    <row r="40750" spans="1:4" ht="15.75" customHeight="1">
      <c r="A40750" s="8"/>
      <c r="B40750" s="12"/>
      <c r="C40750" s="8"/>
      <c r="D40750" s="8"/>
    </row>
    <row r="40751" spans="1:4" ht="15.75" customHeight="1">
      <c r="A40751" s="8"/>
      <c r="B40751" s="12"/>
      <c r="C40751" s="8"/>
      <c r="D40751" s="8"/>
    </row>
    <row r="40752" spans="1:4" ht="15.75" customHeight="1">
      <c r="A40752" s="8"/>
      <c r="B40752" s="12"/>
      <c r="C40752" s="8"/>
      <c r="D40752" s="8"/>
    </row>
    <row r="40753" spans="1:4" ht="15.75" customHeight="1">
      <c r="A40753" s="8"/>
      <c r="B40753" s="12"/>
      <c r="C40753" s="8"/>
      <c r="D40753" s="8"/>
    </row>
    <row r="40754" spans="1:4" ht="15.75" customHeight="1">
      <c r="A40754" s="8"/>
      <c r="B40754" s="12"/>
      <c r="C40754" s="8"/>
      <c r="D40754" s="8"/>
    </row>
    <row r="40755" spans="1:4" ht="15.75" customHeight="1">
      <c r="A40755" s="8"/>
      <c r="B40755" s="12"/>
      <c r="C40755" s="8"/>
      <c r="D40755" s="8"/>
    </row>
    <row r="40756" spans="1:4" ht="15.75" customHeight="1">
      <c r="A40756" s="8"/>
      <c r="B40756" s="12"/>
      <c r="C40756" s="8"/>
      <c r="D40756" s="8"/>
    </row>
    <row r="40757" spans="1:4" ht="15.75" customHeight="1">
      <c r="A40757" s="8"/>
      <c r="B40757" s="12"/>
      <c r="C40757" s="8"/>
      <c r="D40757" s="8"/>
    </row>
    <row r="40758" spans="1:4" ht="15.75" customHeight="1">
      <c r="A40758" s="8"/>
      <c r="B40758" s="12"/>
      <c r="C40758" s="8"/>
      <c r="D40758" s="8"/>
    </row>
    <row r="40759" spans="1:4" ht="15.75" customHeight="1">
      <c r="A40759" s="8"/>
      <c r="B40759" s="12"/>
      <c r="C40759" s="8"/>
      <c r="D40759" s="8"/>
    </row>
    <row r="40760" spans="1:4" ht="15.75" customHeight="1">
      <c r="A40760" s="8"/>
      <c r="B40760" s="12"/>
      <c r="C40760" s="8"/>
      <c r="D40760" s="8"/>
    </row>
    <row r="40761" spans="1:4" ht="15.75" customHeight="1">
      <c r="A40761" s="8"/>
      <c r="B40761" s="12"/>
      <c r="C40761" s="8"/>
      <c r="D40761" s="8"/>
    </row>
    <row r="40762" spans="1:4" ht="15.75" customHeight="1">
      <c r="A40762" s="8"/>
      <c r="B40762" s="12"/>
      <c r="C40762" s="8"/>
      <c r="D40762" s="8"/>
    </row>
    <row r="40763" spans="1:4" ht="15.75" customHeight="1">
      <c r="A40763" s="8"/>
      <c r="B40763" s="12"/>
      <c r="C40763" s="8"/>
      <c r="D40763" s="8"/>
    </row>
    <row r="40764" spans="1:4" ht="15.75" customHeight="1">
      <c r="A40764" s="8"/>
      <c r="B40764" s="12"/>
      <c r="C40764" s="8"/>
      <c r="D40764" s="8"/>
    </row>
    <row r="40765" spans="1:4" ht="15.75" customHeight="1">
      <c r="A40765" s="8"/>
      <c r="B40765" s="12"/>
      <c r="C40765" s="8"/>
      <c r="D40765" s="8"/>
    </row>
    <row r="40766" spans="1:4" ht="15.75" customHeight="1">
      <c r="A40766" s="8"/>
      <c r="B40766" s="12"/>
      <c r="C40766" s="8"/>
      <c r="D40766" s="8"/>
    </row>
    <row r="40767" spans="1:4" ht="15.75" customHeight="1">
      <c r="A40767" s="8"/>
      <c r="B40767" s="12"/>
      <c r="C40767" s="8"/>
      <c r="D40767" s="8"/>
    </row>
    <row r="40768" spans="1:4" ht="15.75" customHeight="1">
      <c r="A40768" s="8"/>
      <c r="B40768" s="12"/>
      <c r="C40768" s="8"/>
      <c r="D40768" s="8"/>
    </row>
    <row r="40769" spans="1:4" ht="15.75" customHeight="1">
      <c r="A40769" s="8"/>
      <c r="B40769" s="12"/>
      <c r="C40769" s="8"/>
      <c r="D40769" s="8"/>
    </row>
    <row r="40770" spans="1:4" ht="15.75" customHeight="1">
      <c r="A40770" s="8"/>
      <c r="B40770" s="12"/>
      <c r="C40770" s="8"/>
      <c r="D40770" s="8"/>
    </row>
    <row r="40771" spans="1:4" ht="15.75" customHeight="1">
      <c r="A40771" s="8"/>
      <c r="B40771" s="12"/>
      <c r="C40771" s="8"/>
      <c r="D40771" s="8"/>
    </row>
    <row r="40772" spans="1:4" ht="15.75" customHeight="1">
      <c r="A40772" s="8"/>
      <c r="B40772" s="12"/>
      <c r="C40772" s="8"/>
      <c r="D40772" s="8"/>
    </row>
    <row r="40773" spans="1:4" ht="15.75" customHeight="1">
      <c r="A40773" s="8"/>
      <c r="B40773" s="12"/>
      <c r="C40773" s="8"/>
      <c r="D40773" s="8"/>
    </row>
    <row r="40774" spans="1:4" ht="15.75" customHeight="1">
      <c r="A40774" s="8"/>
      <c r="B40774" s="12"/>
      <c r="C40774" s="8"/>
      <c r="D40774" s="8"/>
    </row>
    <row r="40775" spans="1:4" ht="15.75" customHeight="1">
      <c r="A40775" s="8"/>
      <c r="B40775" s="12"/>
      <c r="C40775" s="8"/>
      <c r="D40775" s="8"/>
    </row>
    <row r="40776" spans="1:4" ht="15.75" customHeight="1">
      <c r="A40776" s="8"/>
      <c r="B40776" s="12"/>
      <c r="C40776" s="8"/>
      <c r="D40776" s="8"/>
    </row>
    <row r="40777" spans="1:4" ht="15.75" customHeight="1">
      <c r="A40777" s="8"/>
      <c r="B40777" s="12"/>
      <c r="C40777" s="8"/>
      <c r="D40777" s="8"/>
    </row>
    <row r="40778" spans="1:4" ht="15.75" customHeight="1">
      <c r="A40778" s="8"/>
      <c r="B40778" s="12"/>
      <c r="C40778" s="8"/>
      <c r="D40778" s="8"/>
    </row>
    <row r="40779" spans="1:4" ht="15.75" customHeight="1">
      <c r="A40779" s="8"/>
      <c r="B40779" s="12"/>
      <c r="C40779" s="8"/>
      <c r="D40779" s="8"/>
    </row>
    <row r="40780" spans="1:4" ht="15.75" customHeight="1">
      <c r="A40780" s="8"/>
      <c r="B40780" s="12"/>
      <c r="C40780" s="8"/>
      <c r="D40780" s="8"/>
    </row>
    <row r="40781" spans="1:4" ht="15.75" customHeight="1">
      <c r="A40781" s="8"/>
      <c r="B40781" s="12"/>
      <c r="C40781" s="8"/>
      <c r="D40781" s="8"/>
    </row>
    <row r="40782" spans="1:4" ht="15.75" customHeight="1">
      <c r="A40782" s="8"/>
      <c r="B40782" s="12"/>
      <c r="C40782" s="8"/>
      <c r="D40782" s="8"/>
    </row>
    <row r="40783" spans="1:4" ht="15.75" customHeight="1">
      <c r="A40783" s="8"/>
      <c r="B40783" s="12"/>
      <c r="C40783" s="8"/>
      <c r="D40783" s="8"/>
    </row>
    <row r="40784" spans="1:4" ht="15.75" customHeight="1">
      <c r="A40784" s="8"/>
      <c r="B40784" s="12"/>
      <c r="C40784" s="8"/>
      <c r="D40784" s="8"/>
    </row>
    <row r="40785" spans="1:4" ht="15.75" customHeight="1">
      <c r="A40785" s="8"/>
      <c r="B40785" s="12"/>
      <c r="C40785" s="8"/>
      <c r="D40785" s="8"/>
    </row>
    <row r="40786" spans="1:4" ht="15.75" customHeight="1">
      <c r="A40786" s="8"/>
      <c r="B40786" s="12"/>
      <c r="C40786" s="8"/>
      <c r="D40786" s="8"/>
    </row>
    <row r="40787" spans="1:4" ht="15.75" customHeight="1">
      <c r="A40787" s="8"/>
      <c r="B40787" s="12"/>
      <c r="C40787" s="8"/>
      <c r="D40787" s="8"/>
    </row>
    <row r="40788" spans="1:4" ht="15.75" customHeight="1">
      <c r="A40788" s="8"/>
      <c r="B40788" s="12"/>
      <c r="C40788" s="8"/>
      <c r="D40788" s="8"/>
    </row>
    <row r="40789" spans="1:4" ht="15.75" customHeight="1">
      <c r="A40789" s="8"/>
      <c r="B40789" s="12"/>
      <c r="C40789" s="8"/>
      <c r="D40789" s="8"/>
    </row>
    <row r="40790" spans="1:4" ht="15.75" customHeight="1">
      <c r="A40790" s="8"/>
      <c r="B40790" s="12"/>
      <c r="C40790" s="8"/>
      <c r="D40790" s="8"/>
    </row>
    <row r="40791" spans="1:4" ht="15.75" customHeight="1">
      <c r="A40791" s="8"/>
      <c r="B40791" s="12"/>
      <c r="C40791" s="8"/>
      <c r="D40791" s="8"/>
    </row>
    <row r="40792" spans="1:4" ht="15.75" customHeight="1">
      <c r="A40792" s="8"/>
      <c r="B40792" s="12"/>
      <c r="C40792" s="8"/>
      <c r="D40792" s="8"/>
    </row>
    <row r="40793" spans="1:4" ht="15.75" customHeight="1">
      <c r="A40793" s="8"/>
      <c r="B40793" s="12"/>
      <c r="C40793" s="8"/>
      <c r="D40793" s="8"/>
    </row>
    <row r="40794" spans="1:4" ht="15.75" customHeight="1">
      <c r="A40794" s="8"/>
      <c r="B40794" s="12"/>
      <c r="C40794" s="8"/>
      <c r="D40794" s="8"/>
    </row>
    <row r="40795" spans="1:4" ht="15.75" customHeight="1">
      <c r="A40795" s="8"/>
      <c r="B40795" s="12"/>
      <c r="C40795" s="8"/>
      <c r="D40795" s="8"/>
    </row>
    <row r="40796" spans="1:4" ht="15.75" customHeight="1">
      <c r="A40796" s="8"/>
      <c r="B40796" s="12"/>
      <c r="C40796" s="8"/>
      <c r="D40796" s="8"/>
    </row>
    <row r="40797" spans="1:4" ht="15.75" customHeight="1">
      <c r="A40797" s="8"/>
      <c r="B40797" s="12"/>
      <c r="C40797" s="8"/>
      <c r="D40797" s="8"/>
    </row>
    <row r="40798" spans="1:4" ht="15.75" customHeight="1">
      <c r="A40798" s="8"/>
      <c r="B40798" s="12"/>
      <c r="C40798" s="8"/>
      <c r="D40798" s="8"/>
    </row>
    <row r="40799" spans="1:4" ht="15.75" customHeight="1">
      <c r="A40799" s="8"/>
      <c r="B40799" s="12"/>
      <c r="C40799" s="8"/>
      <c r="D40799" s="8"/>
    </row>
    <row r="40800" spans="1:4" ht="15.75" customHeight="1">
      <c r="A40800" s="8"/>
      <c r="B40800" s="12"/>
      <c r="C40800" s="8"/>
      <c r="D40800" s="8"/>
    </row>
    <row r="40801" spans="1:4" ht="15.75" customHeight="1">
      <c r="A40801" s="8"/>
      <c r="B40801" s="12"/>
      <c r="C40801" s="8"/>
      <c r="D40801" s="8"/>
    </row>
    <row r="40802" spans="1:4" ht="15.75" customHeight="1">
      <c r="A40802" s="8"/>
      <c r="B40802" s="12"/>
      <c r="C40802" s="8"/>
      <c r="D40802" s="8"/>
    </row>
    <row r="40803" spans="1:4" ht="15.75" customHeight="1">
      <c r="A40803" s="8"/>
      <c r="B40803" s="12"/>
      <c r="C40803" s="8"/>
      <c r="D40803" s="8"/>
    </row>
    <row r="40804" spans="1:4" ht="15.75" customHeight="1">
      <c r="A40804" s="8"/>
      <c r="B40804" s="12"/>
      <c r="C40804" s="8"/>
      <c r="D40804" s="8"/>
    </row>
    <row r="40805" spans="1:4" ht="15.75" customHeight="1">
      <c r="A40805" s="8"/>
      <c r="B40805" s="12"/>
      <c r="C40805" s="8"/>
      <c r="D40805" s="8"/>
    </row>
    <row r="40806" spans="1:4" ht="15.75" customHeight="1">
      <c r="A40806" s="8"/>
      <c r="B40806" s="12"/>
      <c r="C40806" s="8"/>
      <c r="D40806" s="8"/>
    </row>
    <row r="40807" spans="1:4" ht="15.75" customHeight="1">
      <c r="A40807" s="8"/>
      <c r="B40807" s="12"/>
      <c r="C40807" s="8"/>
      <c r="D40807" s="8"/>
    </row>
    <row r="40808" spans="1:4" ht="15.75" customHeight="1">
      <c r="A40808" s="8"/>
      <c r="B40808" s="12"/>
      <c r="C40808" s="8"/>
      <c r="D40808" s="8"/>
    </row>
    <row r="40809" spans="1:4" ht="15.75" customHeight="1">
      <c r="A40809" s="8"/>
      <c r="B40809" s="12"/>
      <c r="C40809" s="8"/>
      <c r="D40809" s="8"/>
    </row>
    <row r="40810" spans="1:4" ht="15.75" customHeight="1">
      <c r="A40810" s="8"/>
      <c r="B40810" s="12"/>
      <c r="C40810" s="8"/>
      <c r="D40810" s="8"/>
    </row>
    <row r="40811" spans="1:4" ht="15.75" customHeight="1">
      <c r="A40811" s="8"/>
      <c r="B40811" s="12"/>
      <c r="C40811" s="8"/>
      <c r="D40811" s="8"/>
    </row>
    <row r="40812" spans="1:4" ht="15.75" customHeight="1">
      <c r="A40812" s="8"/>
      <c r="B40812" s="12"/>
      <c r="C40812" s="8"/>
      <c r="D40812" s="8"/>
    </row>
    <row r="40813" spans="1:4" ht="15.75" customHeight="1">
      <c r="A40813" s="8"/>
      <c r="B40813" s="12"/>
      <c r="C40813" s="8"/>
      <c r="D40813" s="8"/>
    </row>
    <row r="40814" spans="1:4" ht="15.75" customHeight="1">
      <c r="A40814" s="8"/>
      <c r="B40814" s="12"/>
      <c r="C40814" s="8"/>
      <c r="D40814" s="8"/>
    </row>
    <row r="40815" spans="1:4" ht="15.75" customHeight="1">
      <c r="A40815" s="8"/>
      <c r="B40815" s="12"/>
      <c r="C40815" s="8"/>
      <c r="D40815" s="8"/>
    </row>
    <row r="40816" spans="1:4" ht="15.75" customHeight="1">
      <c r="A40816" s="8"/>
      <c r="B40816" s="12"/>
      <c r="C40816" s="8"/>
      <c r="D40816" s="8"/>
    </row>
    <row r="40817" spans="1:4" ht="15.75" customHeight="1">
      <c r="A40817" s="8"/>
      <c r="B40817" s="12"/>
      <c r="C40817" s="8"/>
      <c r="D40817" s="8"/>
    </row>
    <row r="40818" spans="1:4" ht="15.75" customHeight="1">
      <c r="A40818" s="8"/>
      <c r="B40818" s="12"/>
      <c r="C40818" s="8"/>
      <c r="D40818" s="8"/>
    </row>
    <row r="40819" spans="1:4" ht="15.75" customHeight="1">
      <c r="A40819" s="8"/>
      <c r="B40819" s="12"/>
      <c r="C40819" s="8"/>
      <c r="D40819" s="8"/>
    </row>
    <row r="40820" spans="1:4" ht="15.75" customHeight="1">
      <c r="A40820" s="8"/>
      <c r="B40820" s="12"/>
      <c r="C40820" s="8"/>
      <c r="D40820" s="8"/>
    </row>
    <row r="40821" spans="1:4" ht="15.75" customHeight="1">
      <c r="A40821" s="8"/>
      <c r="B40821" s="12"/>
      <c r="C40821" s="8"/>
      <c r="D40821" s="8"/>
    </row>
    <row r="40822" spans="1:4" ht="15.75" customHeight="1">
      <c r="A40822" s="8"/>
      <c r="B40822" s="12"/>
      <c r="C40822" s="8"/>
      <c r="D40822" s="8"/>
    </row>
    <row r="40823" spans="1:4" ht="15.75" customHeight="1">
      <c r="A40823" s="8"/>
      <c r="B40823" s="12"/>
      <c r="C40823" s="8"/>
      <c r="D40823" s="8"/>
    </row>
    <row r="40824" spans="1:4" ht="15.75" customHeight="1">
      <c r="A40824" s="8"/>
      <c r="B40824" s="12"/>
      <c r="C40824" s="8"/>
      <c r="D40824" s="8"/>
    </row>
    <row r="40825" spans="1:4" ht="15.75" customHeight="1">
      <c r="A40825" s="8"/>
      <c r="B40825" s="12"/>
      <c r="C40825" s="8"/>
      <c r="D40825" s="8"/>
    </row>
    <row r="40826" spans="1:4" ht="15.75" customHeight="1">
      <c r="A40826" s="8"/>
      <c r="B40826" s="12"/>
      <c r="C40826" s="8"/>
      <c r="D40826" s="8"/>
    </row>
    <row r="40827" spans="1:4" ht="15.75" customHeight="1">
      <c r="A40827" s="8"/>
      <c r="B40827" s="12"/>
      <c r="C40827" s="8"/>
      <c r="D40827" s="8"/>
    </row>
    <row r="40828" spans="1:4" ht="15.75" customHeight="1">
      <c r="A40828" s="8"/>
      <c r="B40828" s="12"/>
      <c r="C40828" s="8"/>
      <c r="D40828" s="8"/>
    </row>
    <row r="40829" spans="1:4" ht="15.75" customHeight="1">
      <c r="A40829" s="8"/>
      <c r="B40829" s="12"/>
      <c r="C40829" s="8"/>
      <c r="D40829" s="8"/>
    </row>
    <row r="40830" spans="1:4" ht="15.75" customHeight="1">
      <c r="A40830" s="8"/>
      <c r="B40830" s="12"/>
      <c r="C40830" s="8"/>
      <c r="D40830" s="8"/>
    </row>
    <row r="40831" spans="1:4" ht="15.75" customHeight="1">
      <c r="A40831" s="8"/>
      <c r="B40831" s="12"/>
      <c r="C40831" s="8"/>
      <c r="D40831" s="8"/>
    </row>
    <row r="40832" spans="1:4" ht="15.75" customHeight="1">
      <c r="A40832" s="8"/>
      <c r="B40832" s="12"/>
      <c r="C40832" s="8"/>
      <c r="D40832" s="8"/>
    </row>
    <row r="40833" spans="1:4" ht="15.75" customHeight="1">
      <c r="A40833" s="8"/>
      <c r="B40833" s="12"/>
      <c r="C40833" s="8"/>
      <c r="D40833" s="8"/>
    </row>
    <row r="40834" spans="1:4" ht="15.75" customHeight="1">
      <c r="A40834" s="8"/>
      <c r="B40834" s="12"/>
      <c r="C40834" s="8"/>
      <c r="D40834" s="8"/>
    </row>
    <row r="40835" spans="1:4" ht="15.75" customHeight="1">
      <c r="A40835" s="8"/>
      <c r="B40835" s="12"/>
      <c r="C40835" s="8"/>
      <c r="D40835" s="8"/>
    </row>
    <row r="40836" spans="1:4" ht="15.75" customHeight="1">
      <c r="A40836" s="8"/>
      <c r="B40836" s="12"/>
      <c r="C40836" s="8"/>
      <c r="D40836" s="8"/>
    </row>
    <row r="40837" spans="1:4" ht="15.75" customHeight="1">
      <c r="A40837" s="8"/>
      <c r="B40837" s="12"/>
      <c r="C40837" s="8"/>
      <c r="D40837" s="8"/>
    </row>
    <row r="40838" spans="1:4" ht="15.75" customHeight="1">
      <c r="A40838" s="8"/>
      <c r="B40838" s="12"/>
      <c r="C40838" s="8"/>
      <c r="D40838" s="8"/>
    </row>
    <row r="40839" spans="1:4" ht="15.75" customHeight="1">
      <c r="A40839" s="8"/>
      <c r="B40839" s="12"/>
      <c r="C40839" s="8"/>
      <c r="D40839" s="8"/>
    </row>
    <row r="40840" spans="1:4" ht="15.75" customHeight="1">
      <c r="A40840" s="8"/>
      <c r="B40840" s="12"/>
      <c r="C40840" s="8"/>
      <c r="D40840" s="8"/>
    </row>
    <row r="40841" spans="1:4" ht="15.75" customHeight="1">
      <c r="A40841" s="8"/>
      <c r="B40841" s="12"/>
      <c r="C40841" s="8"/>
      <c r="D40841" s="8"/>
    </row>
    <row r="40842" spans="1:4" ht="15.75" customHeight="1">
      <c r="A40842" s="8"/>
      <c r="B40842" s="12"/>
      <c r="C40842" s="8"/>
      <c r="D40842" s="8"/>
    </row>
    <row r="40843" spans="1:4" ht="15.75" customHeight="1">
      <c r="A40843" s="8"/>
      <c r="B40843" s="12"/>
      <c r="C40843" s="8"/>
      <c r="D40843" s="8"/>
    </row>
    <row r="40844" spans="1:4" ht="15.75" customHeight="1">
      <c r="A40844" s="8"/>
      <c r="B40844" s="12"/>
      <c r="C40844" s="8"/>
      <c r="D40844" s="8"/>
    </row>
    <row r="40845" spans="1:4" ht="15.75" customHeight="1">
      <c r="A40845" s="8"/>
      <c r="B40845" s="12"/>
      <c r="C40845" s="8"/>
      <c r="D40845" s="8"/>
    </row>
    <row r="40846" spans="1:4" ht="15.75" customHeight="1">
      <c r="A40846" s="8"/>
      <c r="B40846" s="12"/>
      <c r="C40846" s="8"/>
      <c r="D40846" s="8"/>
    </row>
    <row r="40847" spans="1:4" ht="15.75" customHeight="1">
      <c r="A40847" s="8"/>
      <c r="B40847" s="12"/>
      <c r="C40847" s="8"/>
      <c r="D40847" s="8"/>
    </row>
    <row r="40848" spans="1:4" ht="15.75" customHeight="1">
      <c r="A40848" s="8"/>
      <c r="B40848" s="12"/>
      <c r="C40848" s="8"/>
      <c r="D40848" s="8"/>
    </row>
    <row r="40849" spans="1:4" ht="15.75" customHeight="1">
      <c r="A40849" s="8"/>
      <c r="B40849" s="12"/>
      <c r="C40849" s="8"/>
      <c r="D40849" s="8"/>
    </row>
    <row r="40850" spans="1:4" ht="15.75" customHeight="1">
      <c r="A40850" s="8"/>
      <c r="B40850" s="12"/>
      <c r="C40850" s="8"/>
      <c r="D40850" s="8"/>
    </row>
    <row r="40851" spans="1:4" ht="15.75" customHeight="1">
      <c r="A40851" s="8"/>
      <c r="B40851" s="12"/>
      <c r="C40851" s="8"/>
      <c r="D40851" s="8"/>
    </row>
    <row r="40852" spans="1:4" ht="15.75" customHeight="1">
      <c r="A40852" s="8"/>
      <c r="B40852" s="12"/>
      <c r="C40852" s="8"/>
      <c r="D40852" s="8"/>
    </row>
    <row r="40853" spans="1:4" ht="15.75" customHeight="1">
      <c r="A40853" s="8"/>
      <c r="B40853" s="12"/>
      <c r="C40853" s="8"/>
      <c r="D40853" s="8"/>
    </row>
    <row r="40854" spans="1:4" ht="15.75" customHeight="1">
      <c r="A40854" s="8"/>
      <c r="B40854" s="12"/>
      <c r="C40854" s="8"/>
      <c r="D40854" s="8"/>
    </row>
    <row r="40855" spans="1:4" ht="15.75" customHeight="1">
      <c r="A40855" s="8"/>
      <c r="B40855" s="12"/>
      <c r="C40855" s="8"/>
      <c r="D40855" s="8"/>
    </row>
    <row r="40856" spans="1:4" ht="15.75" customHeight="1">
      <c r="A40856" s="8"/>
      <c r="B40856" s="12"/>
      <c r="C40856" s="8"/>
      <c r="D40856" s="8"/>
    </row>
    <row r="40857" spans="1:4" ht="15.75" customHeight="1">
      <c r="A40857" s="8"/>
      <c r="B40857" s="12"/>
      <c r="C40857" s="8"/>
      <c r="D40857" s="8"/>
    </row>
    <row r="40858" spans="1:4" ht="15.75" customHeight="1">
      <c r="A40858" s="8"/>
      <c r="B40858" s="12"/>
      <c r="C40858" s="8"/>
      <c r="D40858" s="8"/>
    </row>
    <row r="40859" spans="1:4" ht="15.75" customHeight="1">
      <c r="A40859" s="8"/>
      <c r="B40859" s="12"/>
      <c r="C40859" s="8"/>
      <c r="D40859" s="8"/>
    </row>
    <row r="40860" spans="1:4" ht="15.75" customHeight="1">
      <c r="A40860" s="8"/>
      <c r="B40860" s="12"/>
      <c r="C40860" s="8"/>
      <c r="D40860" s="8"/>
    </row>
    <row r="40861" spans="1:4" ht="15.75" customHeight="1">
      <c r="A40861" s="8"/>
      <c r="B40861" s="12"/>
      <c r="C40861" s="8"/>
      <c r="D40861" s="8"/>
    </row>
    <row r="40862" spans="1:4" ht="15.75" customHeight="1">
      <c r="A40862" s="8"/>
      <c r="B40862" s="12"/>
      <c r="C40862" s="8"/>
      <c r="D40862" s="8"/>
    </row>
    <row r="40863" spans="1:4" ht="15.75" customHeight="1">
      <c r="A40863" s="8"/>
      <c r="B40863" s="12"/>
      <c r="C40863" s="8"/>
      <c r="D40863" s="8"/>
    </row>
    <row r="40864" spans="1:4" ht="15.75" customHeight="1">
      <c r="A40864" s="8"/>
      <c r="B40864" s="12"/>
      <c r="C40864" s="8"/>
      <c r="D40864" s="8"/>
    </row>
    <row r="40865" spans="1:4" ht="15.75" customHeight="1">
      <c r="A40865" s="8"/>
      <c r="B40865" s="12"/>
      <c r="C40865" s="8"/>
      <c r="D40865" s="8"/>
    </row>
    <row r="40866" spans="1:4" ht="15.75" customHeight="1">
      <c r="A40866" s="8"/>
      <c r="B40866" s="12"/>
      <c r="C40866" s="8"/>
      <c r="D40866" s="8"/>
    </row>
    <row r="40867" spans="1:4" ht="15.75" customHeight="1">
      <c r="A40867" s="8"/>
      <c r="B40867" s="12"/>
      <c r="C40867" s="8"/>
      <c r="D40867" s="8"/>
    </row>
    <row r="40868" spans="1:4" ht="15.75" customHeight="1">
      <c r="A40868" s="8"/>
      <c r="B40868" s="12"/>
      <c r="C40868" s="8"/>
      <c r="D40868" s="8"/>
    </row>
    <row r="40869" spans="1:4" ht="15.75" customHeight="1">
      <c r="A40869" s="8"/>
      <c r="B40869" s="12"/>
      <c r="C40869" s="8"/>
      <c r="D40869" s="8"/>
    </row>
    <row r="40870" spans="1:4" ht="15.75" customHeight="1">
      <c r="A40870" s="8"/>
      <c r="B40870" s="12"/>
      <c r="C40870" s="8"/>
      <c r="D40870" s="8"/>
    </row>
    <row r="40871" spans="1:4" ht="15.75" customHeight="1">
      <c r="A40871" s="8"/>
      <c r="B40871" s="12"/>
      <c r="C40871" s="8"/>
      <c r="D40871" s="8"/>
    </row>
    <row r="40872" spans="1:4" ht="15.75" customHeight="1">
      <c r="A40872" s="8"/>
      <c r="B40872" s="12"/>
      <c r="C40872" s="8"/>
      <c r="D40872" s="8"/>
    </row>
    <row r="40873" spans="1:4" ht="15.75" customHeight="1">
      <c r="A40873" s="8"/>
      <c r="B40873" s="12"/>
      <c r="C40873" s="8"/>
      <c r="D40873" s="8"/>
    </row>
    <row r="40874" spans="1:4" ht="15.75" customHeight="1">
      <c r="A40874" s="8"/>
      <c r="B40874" s="12"/>
      <c r="C40874" s="8"/>
      <c r="D40874" s="8"/>
    </row>
    <row r="40875" spans="1:4" ht="15.75" customHeight="1">
      <c r="A40875" s="8"/>
      <c r="B40875" s="12"/>
      <c r="C40875" s="8"/>
      <c r="D40875" s="8"/>
    </row>
    <row r="40876" spans="1:4" ht="15.75" customHeight="1">
      <c r="A40876" s="8"/>
      <c r="B40876" s="12"/>
      <c r="C40876" s="8"/>
      <c r="D40876" s="8"/>
    </row>
    <row r="40877" spans="1:4" ht="15.75" customHeight="1">
      <c r="A40877" s="8"/>
      <c r="B40877" s="12"/>
      <c r="C40877" s="8"/>
      <c r="D40877" s="8"/>
    </row>
    <row r="40878" spans="1:4" ht="15.75" customHeight="1">
      <c r="A40878" s="8"/>
      <c r="B40878" s="12"/>
      <c r="C40878" s="8"/>
      <c r="D40878" s="8"/>
    </row>
    <row r="40879" spans="1:4" ht="15.75" customHeight="1">
      <c r="A40879" s="8"/>
      <c r="B40879" s="12"/>
      <c r="C40879" s="8"/>
      <c r="D40879" s="8"/>
    </row>
    <row r="40880" spans="1:4" ht="15.75" customHeight="1">
      <c r="A40880" s="8"/>
      <c r="B40880" s="12"/>
      <c r="C40880" s="8"/>
      <c r="D40880" s="8"/>
    </row>
    <row r="40881" spans="1:4" ht="15.75" customHeight="1">
      <c r="A40881" s="8"/>
      <c r="B40881" s="12"/>
      <c r="C40881" s="8"/>
      <c r="D40881" s="8"/>
    </row>
    <row r="40882" spans="1:4" ht="15.75" customHeight="1">
      <c r="A40882" s="8"/>
      <c r="B40882" s="12"/>
      <c r="C40882" s="8"/>
      <c r="D40882" s="8"/>
    </row>
    <row r="40883" spans="1:4" ht="15.75" customHeight="1">
      <c r="A40883" s="8"/>
      <c r="B40883" s="12"/>
      <c r="C40883" s="8"/>
      <c r="D40883" s="8"/>
    </row>
    <row r="40884" spans="1:4" ht="15.75" customHeight="1">
      <c r="A40884" s="8"/>
      <c r="B40884" s="12"/>
      <c r="C40884" s="8"/>
      <c r="D40884" s="8"/>
    </row>
    <row r="40885" spans="1:4" ht="15.75" customHeight="1">
      <c r="A40885" s="8"/>
      <c r="B40885" s="12"/>
      <c r="C40885" s="8"/>
      <c r="D40885" s="8"/>
    </row>
    <row r="40886" spans="1:4" ht="15.75" customHeight="1">
      <c r="A40886" s="8"/>
      <c r="B40886" s="12"/>
      <c r="C40886" s="8"/>
      <c r="D40886" s="8"/>
    </row>
    <row r="40887" spans="1:4" ht="15.75" customHeight="1">
      <c r="A40887" s="8"/>
      <c r="B40887" s="12"/>
      <c r="C40887" s="8"/>
      <c r="D40887" s="8"/>
    </row>
    <row r="40888" spans="1:4" ht="15.75" customHeight="1">
      <c r="A40888" s="8"/>
      <c r="B40888" s="12"/>
      <c r="C40888" s="8"/>
      <c r="D40888" s="8"/>
    </row>
    <row r="40889" spans="1:4" ht="15.75" customHeight="1">
      <c r="A40889" s="8"/>
      <c r="B40889" s="12"/>
      <c r="C40889" s="8"/>
      <c r="D40889" s="8"/>
    </row>
    <row r="40890" spans="1:4" ht="15.75" customHeight="1">
      <c r="A40890" s="8"/>
      <c r="B40890" s="12"/>
      <c r="C40890" s="8"/>
      <c r="D40890" s="8"/>
    </row>
    <row r="40891" spans="1:4" ht="15.75" customHeight="1">
      <c r="A40891" s="8"/>
      <c r="B40891" s="12"/>
      <c r="C40891" s="8"/>
      <c r="D40891" s="8"/>
    </row>
    <row r="40892" spans="1:4" ht="15.75" customHeight="1">
      <c r="A40892" s="8"/>
      <c r="B40892" s="12"/>
      <c r="C40892" s="8"/>
      <c r="D40892" s="8"/>
    </row>
    <row r="40893" spans="1:4" ht="15.75" customHeight="1">
      <c r="A40893" s="8"/>
      <c r="B40893" s="12"/>
      <c r="C40893" s="8"/>
      <c r="D40893" s="8"/>
    </row>
    <row r="40894" spans="1:4" ht="15.75" customHeight="1">
      <c r="A40894" s="8"/>
      <c r="B40894" s="12"/>
      <c r="C40894" s="8"/>
      <c r="D40894" s="8"/>
    </row>
    <row r="40895" spans="1:4" ht="15.75" customHeight="1">
      <c r="A40895" s="8"/>
      <c r="B40895" s="12"/>
      <c r="C40895" s="8"/>
      <c r="D40895" s="8"/>
    </row>
    <row r="40896" spans="1:4" ht="15.75" customHeight="1">
      <c r="A40896" s="8"/>
      <c r="B40896" s="12"/>
      <c r="C40896" s="8"/>
      <c r="D40896" s="8"/>
    </row>
    <row r="40897" spans="1:4" ht="15.75" customHeight="1">
      <c r="A40897" s="8"/>
      <c r="B40897" s="12"/>
      <c r="C40897" s="8"/>
      <c r="D40897" s="8"/>
    </row>
    <row r="40898" spans="1:4" ht="15.75" customHeight="1">
      <c r="A40898" s="8"/>
      <c r="B40898" s="12"/>
      <c r="C40898" s="8"/>
      <c r="D40898" s="8"/>
    </row>
    <row r="40899" spans="1:4" ht="15.75" customHeight="1">
      <c r="A40899" s="8"/>
      <c r="B40899" s="12"/>
      <c r="C40899" s="8"/>
      <c r="D40899" s="8"/>
    </row>
    <row r="40900" spans="1:4" ht="15.75" customHeight="1">
      <c r="A40900" s="8"/>
      <c r="B40900" s="12"/>
      <c r="C40900" s="8"/>
      <c r="D40900" s="8"/>
    </row>
    <row r="40901" spans="1:4" ht="15.75" customHeight="1">
      <c r="A40901" s="8"/>
      <c r="B40901" s="12"/>
      <c r="C40901" s="8"/>
      <c r="D40901" s="8"/>
    </row>
    <row r="40902" spans="1:4" ht="15.75" customHeight="1">
      <c r="A40902" s="8"/>
      <c r="B40902" s="12"/>
      <c r="C40902" s="8"/>
      <c r="D40902" s="8"/>
    </row>
    <row r="40903" spans="1:4" ht="15.75" customHeight="1">
      <c r="A40903" s="8"/>
      <c r="B40903" s="12"/>
      <c r="C40903" s="8"/>
      <c r="D40903" s="8"/>
    </row>
    <row r="40904" spans="1:4" ht="15.75" customHeight="1">
      <c r="A40904" s="8"/>
      <c r="B40904" s="12"/>
      <c r="C40904" s="8"/>
      <c r="D40904" s="8"/>
    </row>
    <row r="40905" spans="1:4" ht="15.75" customHeight="1">
      <c r="A40905" s="8"/>
      <c r="B40905" s="12"/>
      <c r="C40905" s="8"/>
      <c r="D40905" s="8"/>
    </row>
    <row r="40906" spans="1:4" ht="15.75" customHeight="1">
      <c r="A40906" s="8"/>
      <c r="B40906" s="12"/>
      <c r="C40906" s="8"/>
      <c r="D40906" s="8"/>
    </row>
    <row r="40907" spans="1:4" ht="15.75" customHeight="1">
      <c r="A40907" s="8"/>
      <c r="B40907" s="12"/>
      <c r="C40907" s="8"/>
      <c r="D40907" s="8"/>
    </row>
    <row r="40908" spans="1:4" ht="15.75" customHeight="1">
      <c r="A40908" s="8"/>
      <c r="B40908" s="12"/>
      <c r="C40908" s="8"/>
      <c r="D40908" s="8"/>
    </row>
    <row r="40909" spans="1:4" ht="15.75" customHeight="1">
      <c r="A40909" s="8"/>
      <c r="B40909" s="12"/>
      <c r="C40909" s="8"/>
      <c r="D40909" s="8"/>
    </row>
    <row r="40910" spans="1:4" ht="15.75" customHeight="1">
      <c r="A40910" s="8"/>
      <c r="B40910" s="12"/>
      <c r="C40910" s="8"/>
      <c r="D40910" s="8"/>
    </row>
    <row r="40911" spans="1:4" ht="15.75" customHeight="1">
      <c r="A40911" s="8"/>
      <c r="B40911" s="12"/>
      <c r="C40911" s="8"/>
      <c r="D40911" s="8"/>
    </row>
    <row r="40912" spans="1:4" ht="15.75" customHeight="1">
      <c r="A40912" s="8"/>
      <c r="B40912" s="12"/>
      <c r="C40912" s="8"/>
      <c r="D40912" s="8"/>
    </row>
    <row r="40913" spans="1:4" ht="15.75" customHeight="1">
      <c r="A40913" s="8"/>
      <c r="B40913" s="12"/>
      <c r="C40913" s="8"/>
      <c r="D40913" s="8"/>
    </row>
    <row r="40914" spans="1:4" ht="15.75" customHeight="1">
      <c r="A40914" s="8"/>
      <c r="B40914" s="12"/>
      <c r="C40914" s="8"/>
      <c r="D40914" s="8"/>
    </row>
    <row r="40915" spans="1:4" ht="15.75" customHeight="1">
      <c r="A40915" s="8"/>
      <c r="B40915" s="12"/>
      <c r="C40915" s="8"/>
      <c r="D40915" s="8"/>
    </row>
    <row r="40916" spans="1:4" ht="15.75" customHeight="1">
      <c r="A40916" s="8"/>
      <c r="B40916" s="12"/>
      <c r="C40916" s="8"/>
      <c r="D40916" s="8"/>
    </row>
    <row r="40917" spans="1:4" ht="15.75" customHeight="1">
      <c r="A40917" s="8"/>
      <c r="B40917" s="12"/>
      <c r="C40917" s="8"/>
      <c r="D40917" s="8"/>
    </row>
    <row r="40918" spans="1:4" ht="15.75" customHeight="1">
      <c r="A40918" s="8"/>
      <c r="B40918" s="12"/>
      <c r="C40918" s="8"/>
      <c r="D40918" s="8"/>
    </row>
    <row r="40919" spans="1:4" ht="15.75" customHeight="1">
      <c r="A40919" s="8"/>
      <c r="B40919" s="12"/>
      <c r="C40919" s="8"/>
      <c r="D40919" s="8"/>
    </row>
    <row r="40920" spans="1:4" ht="15.75" customHeight="1">
      <c r="A40920" s="8"/>
      <c r="B40920" s="12"/>
      <c r="C40920" s="8"/>
      <c r="D40920" s="8"/>
    </row>
    <row r="40921" spans="1:4" ht="15.75" customHeight="1">
      <c r="A40921" s="8"/>
      <c r="B40921" s="12"/>
      <c r="C40921" s="8"/>
      <c r="D40921" s="8"/>
    </row>
    <row r="40922" spans="1:4" ht="15.75" customHeight="1">
      <c r="A40922" s="8"/>
      <c r="B40922" s="12"/>
      <c r="C40922" s="8"/>
      <c r="D40922" s="8"/>
    </row>
    <row r="40923" spans="1:4" ht="15.75" customHeight="1">
      <c r="A40923" s="8"/>
      <c r="B40923" s="12"/>
      <c r="C40923" s="8"/>
      <c r="D40923" s="8"/>
    </row>
    <row r="40924" spans="1:4" ht="15.75" customHeight="1">
      <c r="A40924" s="8"/>
      <c r="B40924" s="12"/>
      <c r="C40924" s="8"/>
      <c r="D40924" s="8"/>
    </row>
    <row r="40925" spans="1:4" ht="15.75" customHeight="1">
      <c r="A40925" s="8"/>
      <c r="B40925" s="12"/>
      <c r="C40925" s="8"/>
      <c r="D40925" s="8"/>
    </row>
    <row r="40926" spans="1:4" ht="15.75" customHeight="1">
      <c r="A40926" s="8"/>
      <c r="B40926" s="12"/>
      <c r="C40926" s="8"/>
      <c r="D40926" s="8"/>
    </row>
    <row r="40927" spans="1:4" ht="15.75" customHeight="1">
      <c r="A40927" s="8"/>
      <c r="B40927" s="12"/>
      <c r="C40927" s="8"/>
      <c r="D40927" s="8"/>
    </row>
    <row r="40928" spans="1:4" ht="15.75" customHeight="1">
      <c r="A40928" s="8"/>
      <c r="B40928" s="12"/>
      <c r="C40928" s="8"/>
      <c r="D40928" s="8"/>
    </row>
    <row r="40929" spans="1:4" ht="15.75" customHeight="1">
      <c r="A40929" s="8"/>
      <c r="B40929" s="12"/>
      <c r="C40929" s="8"/>
      <c r="D40929" s="8"/>
    </row>
    <row r="40930" spans="1:4" ht="15.75" customHeight="1">
      <c r="A40930" s="8"/>
      <c r="B40930" s="12"/>
      <c r="C40930" s="8"/>
      <c r="D40930" s="8"/>
    </row>
    <row r="40931" spans="1:4" ht="15.75" customHeight="1">
      <c r="A40931" s="8"/>
      <c r="B40931" s="12"/>
      <c r="C40931" s="8"/>
      <c r="D40931" s="8"/>
    </row>
    <row r="40932" spans="1:4" ht="15.75" customHeight="1">
      <c r="A40932" s="8"/>
      <c r="B40932" s="12"/>
      <c r="C40932" s="8"/>
      <c r="D40932" s="8"/>
    </row>
    <row r="40933" spans="1:4" ht="15.75" customHeight="1">
      <c r="A40933" s="8"/>
      <c r="B40933" s="12"/>
      <c r="C40933" s="8"/>
      <c r="D40933" s="8"/>
    </row>
    <row r="40934" spans="1:4" ht="15.75" customHeight="1">
      <c r="A40934" s="8"/>
      <c r="B40934" s="12"/>
      <c r="C40934" s="8"/>
      <c r="D40934" s="8"/>
    </row>
    <row r="40935" spans="1:4" ht="15.75" customHeight="1">
      <c r="A40935" s="8"/>
      <c r="B40935" s="12"/>
      <c r="C40935" s="8"/>
      <c r="D40935" s="8"/>
    </row>
    <row r="40936" spans="1:4" ht="15.75" customHeight="1">
      <c r="A40936" s="8"/>
      <c r="B40936" s="12"/>
      <c r="C40936" s="8"/>
      <c r="D40936" s="8"/>
    </row>
    <row r="40937" spans="1:4" ht="15.75" customHeight="1">
      <c r="A40937" s="8"/>
      <c r="B40937" s="12"/>
      <c r="C40937" s="8"/>
      <c r="D40937" s="8"/>
    </row>
    <row r="40938" spans="1:4" ht="15.75" customHeight="1">
      <c r="A40938" s="8"/>
      <c r="B40938" s="12"/>
      <c r="C40938" s="8"/>
      <c r="D40938" s="8"/>
    </row>
    <row r="40939" spans="1:4" ht="15.75" customHeight="1">
      <c r="A40939" s="8"/>
      <c r="B40939" s="12"/>
      <c r="C40939" s="8"/>
      <c r="D40939" s="8"/>
    </row>
    <row r="40940" spans="1:4" ht="15.75" customHeight="1">
      <c r="A40940" s="8"/>
      <c r="B40940" s="12"/>
      <c r="C40940" s="8"/>
      <c r="D40940" s="8"/>
    </row>
    <row r="40941" spans="1:4" ht="15.75" customHeight="1">
      <c r="A40941" s="8"/>
      <c r="B40941" s="12"/>
      <c r="C40941" s="8"/>
      <c r="D40941" s="8"/>
    </row>
    <row r="40942" spans="1:4" ht="15.75" customHeight="1">
      <c r="A40942" s="8"/>
      <c r="B40942" s="12"/>
      <c r="C40942" s="8"/>
      <c r="D40942" s="8"/>
    </row>
    <row r="40943" spans="1:4" ht="15.75" customHeight="1">
      <c r="A40943" s="8"/>
      <c r="B40943" s="12"/>
      <c r="C40943" s="8"/>
      <c r="D40943" s="8"/>
    </row>
    <row r="40944" spans="1:4" ht="15.75" customHeight="1">
      <c r="A40944" s="8"/>
      <c r="B40944" s="12"/>
      <c r="C40944" s="8"/>
      <c r="D40944" s="8"/>
    </row>
    <row r="40945" spans="1:4" ht="15.75" customHeight="1">
      <c r="A40945" s="8"/>
      <c r="B40945" s="12"/>
      <c r="C40945" s="8"/>
      <c r="D40945" s="8"/>
    </row>
    <row r="40946" spans="1:4" ht="15.75" customHeight="1">
      <c r="A40946" s="8"/>
      <c r="B40946" s="12"/>
      <c r="C40946" s="8"/>
      <c r="D40946" s="8"/>
    </row>
    <row r="40947" spans="1:4" ht="15.75" customHeight="1">
      <c r="A40947" s="8"/>
      <c r="B40947" s="12"/>
      <c r="C40947" s="8"/>
      <c r="D40947" s="8"/>
    </row>
    <row r="40948" spans="1:4" ht="15.75" customHeight="1">
      <c r="A40948" s="8"/>
      <c r="B40948" s="12"/>
      <c r="C40948" s="8"/>
      <c r="D40948" s="8"/>
    </row>
    <row r="40949" spans="1:4" ht="15.75" customHeight="1">
      <c r="A40949" s="8"/>
      <c r="B40949" s="12"/>
      <c r="C40949" s="8"/>
      <c r="D40949" s="8"/>
    </row>
    <row r="40950" spans="1:4" ht="15.75" customHeight="1">
      <c r="A40950" s="8"/>
      <c r="B40950" s="12"/>
      <c r="C40950" s="8"/>
      <c r="D40950" s="8"/>
    </row>
    <row r="40951" spans="1:4" ht="15.75" customHeight="1">
      <c r="A40951" s="8"/>
      <c r="B40951" s="12"/>
      <c r="C40951" s="8"/>
      <c r="D40951" s="8"/>
    </row>
    <row r="40952" spans="1:4" ht="15.75" customHeight="1">
      <c r="A40952" s="8"/>
      <c r="B40952" s="12"/>
      <c r="C40952" s="8"/>
      <c r="D40952" s="8"/>
    </row>
    <row r="40953" spans="1:4" ht="15.75" customHeight="1">
      <c r="A40953" s="8"/>
      <c r="B40953" s="12"/>
      <c r="C40953" s="8"/>
      <c r="D40953" s="8"/>
    </row>
    <row r="40954" spans="1:4" ht="15.75" customHeight="1">
      <c r="A40954" s="8"/>
      <c r="B40954" s="12"/>
      <c r="C40954" s="8"/>
      <c r="D40954" s="8"/>
    </row>
    <row r="40955" spans="1:4" ht="15.75" customHeight="1">
      <c r="A40955" s="8"/>
      <c r="B40955" s="12"/>
      <c r="C40955" s="8"/>
      <c r="D40955" s="8"/>
    </row>
    <row r="40956" spans="1:4" ht="15.75" customHeight="1">
      <c r="A40956" s="8"/>
      <c r="B40956" s="12"/>
      <c r="C40956" s="8"/>
      <c r="D40956" s="8"/>
    </row>
    <row r="40957" spans="1:4" ht="15.75" customHeight="1">
      <c r="A40957" s="8"/>
      <c r="B40957" s="12"/>
      <c r="C40957" s="8"/>
      <c r="D40957" s="8"/>
    </row>
    <row r="40958" spans="1:4" ht="15.75" customHeight="1">
      <c r="A40958" s="8"/>
      <c r="B40958" s="12"/>
      <c r="C40958" s="8"/>
      <c r="D40958" s="8"/>
    </row>
    <row r="40959" spans="1:4" ht="15.75" customHeight="1">
      <c r="A40959" s="8"/>
      <c r="B40959" s="12"/>
      <c r="C40959" s="8"/>
      <c r="D40959" s="8"/>
    </row>
    <row r="40960" spans="1:4" ht="15.75" customHeight="1">
      <c r="A40960" s="8"/>
      <c r="B40960" s="12"/>
      <c r="C40960" s="8"/>
      <c r="D40960" s="8"/>
    </row>
    <row r="40961" spans="1:4" ht="15.75" customHeight="1">
      <c r="A40961" s="8"/>
      <c r="B40961" s="12"/>
      <c r="C40961" s="8"/>
      <c r="D40961" s="8"/>
    </row>
    <row r="40962" spans="1:4" ht="15.75" customHeight="1">
      <c r="A40962" s="8"/>
      <c r="B40962" s="12"/>
      <c r="C40962" s="8"/>
      <c r="D40962" s="8"/>
    </row>
    <row r="40963" spans="1:4" ht="15.75" customHeight="1">
      <c r="A40963" s="8"/>
      <c r="B40963" s="12"/>
      <c r="C40963" s="8"/>
      <c r="D40963" s="8"/>
    </row>
    <row r="40964" spans="1:4" ht="15.75" customHeight="1">
      <c r="A40964" s="8"/>
      <c r="B40964" s="12"/>
      <c r="C40964" s="8"/>
      <c r="D40964" s="8"/>
    </row>
    <row r="40965" spans="1:4" ht="15.75" customHeight="1">
      <c r="A40965" s="8"/>
      <c r="B40965" s="12"/>
      <c r="C40965" s="8"/>
      <c r="D40965" s="8"/>
    </row>
    <row r="40966" spans="1:4" ht="15.75" customHeight="1">
      <c r="A40966" s="8"/>
      <c r="B40966" s="12"/>
      <c r="C40966" s="8"/>
      <c r="D40966" s="8"/>
    </row>
    <row r="40967" spans="1:4" ht="15.75" customHeight="1">
      <c r="A40967" s="8"/>
      <c r="B40967" s="12"/>
      <c r="C40967" s="8"/>
      <c r="D40967" s="8"/>
    </row>
    <row r="40968" spans="1:4" ht="15.75" customHeight="1">
      <c r="A40968" s="8"/>
      <c r="B40968" s="12"/>
      <c r="C40968" s="8"/>
      <c r="D40968" s="8"/>
    </row>
    <row r="40969" spans="1:4" ht="15.75" customHeight="1">
      <c r="A40969" s="8"/>
      <c r="B40969" s="12"/>
      <c r="C40969" s="8"/>
      <c r="D40969" s="8"/>
    </row>
    <row r="40970" spans="1:4" ht="15.75" customHeight="1">
      <c r="A40970" s="8"/>
      <c r="B40970" s="12"/>
      <c r="C40970" s="8"/>
      <c r="D40970" s="8"/>
    </row>
    <row r="40971" spans="1:4" ht="15.75" customHeight="1">
      <c r="A40971" s="8"/>
      <c r="B40971" s="12"/>
      <c r="C40971" s="8"/>
      <c r="D40971" s="8"/>
    </row>
    <row r="40972" spans="1:4" ht="15.75" customHeight="1">
      <c r="A40972" s="8"/>
      <c r="B40972" s="12"/>
      <c r="C40972" s="8"/>
      <c r="D40972" s="8"/>
    </row>
    <row r="40973" spans="1:4" ht="15.75" customHeight="1">
      <c r="A40973" s="8"/>
      <c r="B40973" s="12"/>
      <c r="C40973" s="8"/>
      <c r="D40973" s="8"/>
    </row>
    <row r="40974" spans="1:4" ht="15.75" customHeight="1">
      <c r="A40974" s="8"/>
      <c r="B40974" s="12"/>
      <c r="C40974" s="8"/>
      <c r="D40974" s="8"/>
    </row>
    <row r="40975" spans="1:4" ht="15.75" customHeight="1">
      <c r="A40975" s="8"/>
      <c r="B40975" s="12"/>
      <c r="C40975" s="8"/>
      <c r="D40975" s="8"/>
    </row>
    <row r="40976" spans="1:4" ht="15.75" customHeight="1">
      <c r="A40976" s="8"/>
      <c r="B40976" s="12"/>
      <c r="C40976" s="8"/>
      <c r="D40976" s="8"/>
    </row>
    <row r="40977" spans="1:4" ht="15.75" customHeight="1">
      <c r="A40977" s="8"/>
      <c r="B40977" s="12"/>
      <c r="C40977" s="8"/>
      <c r="D40977" s="8"/>
    </row>
    <row r="40978" spans="1:4" ht="15.75" customHeight="1">
      <c r="A40978" s="8"/>
      <c r="B40978" s="12"/>
      <c r="C40978" s="8"/>
      <c r="D40978" s="8"/>
    </row>
    <row r="40979" spans="1:4" ht="15.75" customHeight="1">
      <c r="A40979" s="8"/>
      <c r="B40979" s="12"/>
      <c r="C40979" s="8"/>
      <c r="D40979" s="8"/>
    </row>
    <row r="40980" spans="1:4" ht="15.75" customHeight="1">
      <c r="A40980" s="8"/>
      <c r="B40980" s="12"/>
      <c r="C40980" s="8"/>
      <c r="D40980" s="8"/>
    </row>
    <row r="40981" spans="1:4" ht="15.75" customHeight="1">
      <c r="A40981" s="8"/>
      <c r="B40981" s="12"/>
      <c r="C40981" s="8"/>
      <c r="D40981" s="8"/>
    </row>
    <row r="40982" spans="1:4" ht="15.75" customHeight="1">
      <c r="A40982" s="8"/>
      <c r="B40982" s="12"/>
      <c r="C40982" s="8"/>
      <c r="D40982" s="8"/>
    </row>
    <row r="40983" spans="1:4" ht="15.75" customHeight="1">
      <c r="A40983" s="8"/>
      <c r="B40983" s="12"/>
      <c r="C40983" s="8"/>
      <c r="D40983" s="8"/>
    </row>
    <row r="40984" spans="1:4" ht="15.75" customHeight="1">
      <c r="A40984" s="8"/>
      <c r="B40984" s="12"/>
      <c r="C40984" s="8"/>
      <c r="D40984" s="8"/>
    </row>
    <row r="40985" spans="1:4" ht="15.75" customHeight="1">
      <c r="A40985" s="8"/>
      <c r="B40985" s="12"/>
      <c r="C40985" s="8"/>
      <c r="D40985" s="8"/>
    </row>
    <row r="40986" spans="1:4" ht="15.75" customHeight="1">
      <c r="A40986" s="8"/>
      <c r="B40986" s="12"/>
      <c r="C40986" s="8"/>
      <c r="D40986" s="8"/>
    </row>
    <row r="40987" spans="1:4" ht="15.75" customHeight="1">
      <c r="A40987" s="8"/>
      <c r="B40987" s="12"/>
      <c r="C40987" s="8"/>
      <c r="D40987" s="8"/>
    </row>
    <row r="40988" spans="1:4" ht="15.75" customHeight="1">
      <c r="A40988" s="8"/>
      <c r="B40988" s="12"/>
      <c r="C40988" s="8"/>
      <c r="D40988" s="8"/>
    </row>
    <row r="40989" spans="1:4" ht="15.75" customHeight="1">
      <c r="A40989" s="8"/>
      <c r="B40989" s="12"/>
      <c r="C40989" s="8"/>
      <c r="D40989" s="8"/>
    </row>
    <row r="40990" spans="1:4" ht="15.75" customHeight="1">
      <c r="A40990" s="8"/>
      <c r="B40990" s="12"/>
      <c r="C40990" s="8"/>
      <c r="D40990" s="8"/>
    </row>
    <row r="40991" spans="1:4" ht="15.75" customHeight="1">
      <c r="A40991" s="8"/>
      <c r="B40991" s="12"/>
      <c r="C40991" s="8"/>
      <c r="D40991" s="8"/>
    </row>
    <row r="40992" spans="1:4" ht="15.75" customHeight="1">
      <c r="A40992" s="8"/>
      <c r="B40992" s="12"/>
      <c r="C40992" s="8"/>
      <c r="D40992" s="8"/>
    </row>
    <row r="40993" spans="1:4" ht="15.75" customHeight="1">
      <c r="A40993" s="8"/>
      <c r="B40993" s="12"/>
      <c r="C40993" s="8"/>
      <c r="D40993" s="8"/>
    </row>
    <row r="40994" spans="1:4" ht="15.75" customHeight="1">
      <c r="A40994" s="8"/>
      <c r="B40994" s="12"/>
      <c r="C40994" s="8"/>
      <c r="D40994" s="8"/>
    </row>
    <row r="40995" spans="1:4" ht="15.75" customHeight="1">
      <c r="A40995" s="8"/>
      <c r="B40995" s="12"/>
      <c r="C40995" s="8"/>
      <c r="D40995" s="8"/>
    </row>
    <row r="40996" spans="1:4" ht="15.75" customHeight="1">
      <c r="A40996" s="8"/>
      <c r="B40996" s="12"/>
      <c r="C40996" s="8"/>
      <c r="D40996" s="8"/>
    </row>
    <row r="40997" spans="1:4" ht="15.75" customHeight="1">
      <c r="A40997" s="8"/>
      <c r="B40997" s="12"/>
      <c r="C40997" s="8"/>
      <c r="D40997" s="8"/>
    </row>
    <row r="40998" spans="1:4" ht="15.75" customHeight="1">
      <c r="A40998" s="8"/>
      <c r="B40998" s="12"/>
      <c r="C40998" s="8"/>
      <c r="D40998" s="8"/>
    </row>
    <row r="40999" spans="1:4" ht="15.75" customHeight="1">
      <c r="A40999" s="8"/>
      <c r="B40999" s="12"/>
      <c r="C40999" s="8"/>
      <c r="D40999" s="8"/>
    </row>
    <row r="41000" spans="1:4" ht="15.75" customHeight="1">
      <c r="A41000" s="8"/>
      <c r="B41000" s="12"/>
      <c r="C41000" s="8"/>
      <c r="D41000" s="8"/>
    </row>
    <row r="41001" spans="1:4" ht="15.75" customHeight="1">
      <c r="A41001" s="8"/>
      <c r="B41001" s="12"/>
      <c r="C41001" s="8"/>
      <c r="D41001" s="8"/>
    </row>
    <row r="41002" spans="1:4" ht="15.75" customHeight="1">
      <c r="A41002" s="8"/>
      <c r="B41002" s="12"/>
      <c r="C41002" s="8"/>
      <c r="D41002" s="8"/>
    </row>
    <row r="41003" spans="1:4" ht="15.75" customHeight="1">
      <c r="A41003" s="8"/>
      <c r="B41003" s="12"/>
      <c r="C41003" s="8"/>
      <c r="D41003" s="8"/>
    </row>
    <row r="41004" spans="1:4" ht="15.75" customHeight="1">
      <c r="A41004" s="8"/>
      <c r="B41004" s="12"/>
      <c r="C41004" s="8"/>
      <c r="D41004" s="8"/>
    </row>
    <row r="41005" spans="1:4" ht="15.75" customHeight="1">
      <c r="A41005" s="8"/>
      <c r="B41005" s="12"/>
      <c r="C41005" s="8"/>
      <c r="D41005" s="8"/>
    </row>
    <row r="41006" spans="1:4" ht="15.75" customHeight="1">
      <c r="A41006" s="8"/>
      <c r="B41006" s="12"/>
      <c r="C41006" s="8"/>
      <c r="D41006" s="8"/>
    </row>
    <row r="41007" spans="1:4" ht="15.75" customHeight="1">
      <c r="A41007" s="8"/>
      <c r="B41007" s="12"/>
      <c r="C41007" s="8"/>
      <c r="D41007" s="8"/>
    </row>
    <row r="41008" spans="1:4" ht="15.75" customHeight="1">
      <c r="A41008" s="8"/>
      <c r="B41008" s="12"/>
      <c r="C41008" s="8"/>
      <c r="D41008" s="8"/>
    </row>
    <row r="41009" spans="1:4" ht="15.75" customHeight="1">
      <c r="A41009" s="8"/>
      <c r="B41009" s="12"/>
      <c r="C41009" s="8"/>
      <c r="D41009" s="8"/>
    </row>
    <row r="41010" spans="1:4" ht="15.75" customHeight="1">
      <c r="A41010" s="8"/>
      <c r="B41010" s="12"/>
      <c r="C41010" s="8"/>
      <c r="D41010" s="8"/>
    </row>
    <row r="41011" spans="1:4" ht="15.75" customHeight="1">
      <c r="A41011" s="8"/>
      <c r="B41011" s="12"/>
      <c r="C41011" s="8"/>
      <c r="D41011" s="8"/>
    </row>
    <row r="41012" spans="1:4" ht="15.75" customHeight="1">
      <c r="A41012" s="8"/>
      <c r="B41012" s="12"/>
      <c r="C41012" s="8"/>
      <c r="D41012" s="8"/>
    </row>
    <row r="41013" spans="1:4" ht="15.75" customHeight="1">
      <c r="A41013" s="8"/>
      <c r="B41013" s="12"/>
      <c r="C41013" s="8"/>
      <c r="D41013" s="8"/>
    </row>
    <row r="41014" spans="1:4" ht="15.75" customHeight="1">
      <c r="A41014" s="8"/>
      <c r="B41014" s="12"/>
      <c r="C41014" s="8"/>
      <c r="D41014" s="8"/>
    </row>
    <row r="41015" spans="1:4" ht="15.75" customHeight="1">
      <c r="A41015" s="8"/>
      <c r="B41015" s="12"/>
      <c r="C41015" s="8"/>
      <c r="D41015" s="8"/>
    </row>
    <row r="41016" spans="1:4" ht="15.75" customHeight="1">
      <c r="A41016" s="8"/>
      <c r="B41016" s="12"/>
      <c r="C41016" s="8"/>
      <c r="D41016" s="8"/>
    </row>
    <row r="41017" spans="1:4" ht="15.75" customHeight="1">
      <c r="A41017" s="8"/>
      <c r="B41017" s="12"/>
      <c r="C41017" s="8"/>
      <c r="D41017" s="8"/>
    </row>
    <row r="41018" spans="1:4" ht="15.75" customHeight="1">
      <c r="A41018" s="8"/>
      <c r="B41018" s="12"/>
      <c r="C41018" s="8"/>
      <c r="D41018" s="8"/>
    </row>
    <row r="41019" spans="1:4" ht="15.75" customHeight="1">
      <c r="A41019" s="8"/>
      <c r="B41019" s="12"/>
      <c r="C41019" s="8"/>
      <c r="D41019" s="8"/>
    </row>
    <row r="41020" spans="1:4" ht="15.75" customHeight="1">
      <c r="A41020" s="8"/>
      <c r="B41020" s="12"/>
      <c r="C41020" s="8"/>
      <c r="D41020" s="8"/>
    </row>
    <row r="41021" spans="1:4" ht="15.75" customHeight="1">
      <c r="A41021" s="8"/>
      <c r="B41021" s="12"/>
      <c r="C41021" s="8"/>
      <c r="D41021" s="8"/>
    </row>
    <row r="41022" spans="1:4" ht="15.75" customHeight="1">
      <c r="A41022" s="8"/>
      <c r="B41022" s="12"/>
      <c r="C41022" s="8"/>
      <c r="D41022" s="8"/>
    </row>
    <row r="41023" spans="1:4" ht="15.75" customHeight="1">
      <c r="A41023" s="8"/>
      <c r="B41023" s="12"/>
      <c r="C41023" s="8"/>
      <c r="D41023" s="8"/>
    </row>
    <row r="41024" spans="1:4" ht="15.75" customHeight="1">
      <c r="A41024" s="8"/>
      <c r="B41024" s="12"/>
      <c r="C41024" s="8"/>
      <c r="D41024" s="8"/>
    </row>
    <row r="41025" spans="1:4" ht="15.75" customHeight="1">
      <c r="A41025" s="8"/>
      <c r="B41025" s="12"/>
      <c r="C41025" s="8"/>
      <c r="D41025" s="8"/>
    </row>
    <row r="41026" spans="1:4" ht="15.75" customHeight="1">
      <c r="A41026" s="8"/>
      <c r="B41026" s="12"/>
      <c r="C41026" s="8"/>
      <c r="D41026" s="8"/>
    </row>
    <row r="41027" spans="1:4" ht="15.75" customHeight="1">
      <c r="A41027" s="8"/>
      <c r="B41027" s="12"/>
      <c r="C41027" s="8"/>
      <c r="D41027" s="8"/>
    </row>
    <row r="41028" spans="1:4" ht="15.75" customHeight="1">
      <c r="A41028" s="8"/>
      <c r="B41028" s="12"/>
      <c r="C41028" s="8"/>
      <c r="D41028" s="8"/>
    </row>
    <row r="41029" spans="1:4" ht="15.75" customHeight="1">
      <c r="A41029" s="8"/>
      <c r="B41029" s="12"/>
      <c r="C41029" s="8"/>
      <c r="D41029" s="8"/>
    </row>
    <row r="41030" spans="1:4" ht="15.75" customHeight="1">
      <c r="A41030" s="8"/>
      <c r="B41030" s="12"/>
      <c r="C41030" s="8"/>
      <c r="D41030" s="8"/>
    </row>
    <row r="41031" spans="1:4" ht="15.75" customHeight="1">
      <c r="A41031" s="8"/>
      <c r="B41031" s="12"/>
      <c r="C41031" s="8"/>
      <c r="D41031" s="8"/>
    </row>
    <row r="41032" spans="1:4" ht="15.75" customHeight="1">
      <c r="A41032" s="8"/>
      <c r="B41032" s="12"/>
      <c r="C41032" s="8"/>
      <c r="D41032" s="8"/>
    </row>
    <row r="41033" spans="1:4" ht="15.75" customHeight="1">
      <c r="A41033" s="8"/>
      <c r="B41033" s="12"/>
      <c r="C41033" s="8"/>
      <c r="D41033" s="8"/>
    </row>
    <row r="41034" spans="1:4" ht="15.75" customHeight="1">
      <c r="A41034" s="8"/>
      <c r="B41034" s="12"/>
      <c r="C41034" s="8"/>
      <c r="D41034" s="8"/>
    </row>
    <row r="41035" spans="1:4" ht="15.75" customHeight="1">
      <c r="A41035" s="8"/>
      <c r="B41035" s="12"/>
      <c r="C41035" s="8"/>
      <c r="D41035" s="8"/>
    </row>
    <row r="41036" spans="1:4" ht="15.75" customHeight="1">
      <c r="A41036" s="8"/>
      <c r="B41036" s="12"/>
      <c r="C41036" s="8"/>
      <c r="D41036" s="8"/>
    </row>
    <row r="41037" spans="1:4" ht="15.75" customHeight="1">
      <c r="A41037" s="8"/>
      <c r="B41037" s="12"/>
      <c r="C41037" s="8"/>
      <c r="D41037" s="8"/>
    </row>
    <row r="41038" spans="1:4" ht="15.75" customHeight="1">
      <c r="A41038" s="8"/>
      <c r="B41038" s="12"/>
      <c r="C41038" s="8"/>
      <c r="D41038" s="8"/>
    </row>
    <row r="41039" spans="1:4" ht="15.75" customHeight="1">
      <c r="A41039" s="8"/>
      <c r="B41039" s="12"/>
      <c r="C41039" s="8"/>
      <c r="D41039" s="8"/>
    </row>
    <row r="41040" spans="1:4" ht="15.75" customHeight="1">
      <c r="A41040" s="8"/>
      <c r="B41040" s="12"/>
      <c r="C41040" s="8"/>
      <c r="D41040" s="8"/>
    </row>
    <row r="41041" spans="1:4" ht="15.75" customHeight="1">
      <c r="A41041" s="8"/>
      <c r="B41041" s="12"/>
      <c r="C41041" s="8"/>
      <c r="D41041" s="8"/>
    </row>
    <row r="41042" spans="1:4" ht="15.75" customHeight="1">
      <c r="A41042" s="8"/>
      <c r="B41042" s="12"/>
      <c r="C41042" s="8"/>
      <c r="D41042" s="8"/>
    </row>
    <row r="41043" spans="1:4" ht="15.75" customHeight="1">
      <c r="A41043" s="8"/>
      <c r="B41043" s="12"/>
      <c r="C41043" s="8"/>
      <c r="D41043" s="8"/>
    </row>
    <row r="41044" spans="1:4" ht="15.75" customHeight="1">
      <c r="A41044" s="8"/>
      <c r="B41044" s="12"/>
      <c r="C41044" s="8"/>
      <c r="D41044" s="8"/>
    </row>
    <row r="41045" spans="1:4" ht="15.75" customHeight="1">
      <c r="A41045" s="8"/>
      <c r="B41045" s="12"/>
      <c r="C41045" s="8"/>
      <c r="D41045" s="8"/>
    </row>
    <row r="41046" spans="1:4" ht="15.75" customHeight="1">
      <c r="A41046" s="8"/>
      <c r="B41046" s="12"/>
      <c r="C41046" s="8"/>
      <c r="D41046" s="8"/>
    </row>
    <row r="41047" spans="1:4" ht="15.75" customHeight="1">
      <c r="A41047" s="8"/>
      <c r="B41047" s="12"/>
      <c r="C41047" s="8"/>
      <c r="D41047" s="8"/>
    </row>
    <row r="41048" spans="1:4" ht="15.75" customHeight="1">
      <c r="A41048" s="8"/>
      <c r="B41048" s="12"/>
      <c r="C41048" s="8"/>
      <c r="D41048" s="8"/>
    </row>
    <row r="41049" spans="1:4" ht="15.75" customHeight="1">
      <c r="A41049" s="8"/>
      <c r="B41049" s="12"/>
      <c r="C41049" s="8"/>
      <c r="D41049" s="8"/>
    </row>
    <row r="41050" spans="1:4" ht="15.75" customHeight="1">
      <c r="A41050" s="8"/>
      <c r="B41050" s="12"/>
      <c r="C41050" s="8"/>
      <c r="D41050" s="8"/>
    </row>
    <row r="41051" spans="1:4" ht="15.75" customHeight="1">
      <c r="A41051" s="8"/>
      <c r="B41051" s="12"/>
      <c r="C41051" s="8"/>
      <c r="D41051" s="8"/>
    </row>
    <row r="41052" spans="1:4" ht="15.75" customHeight="1">
      <c r="A41052" s="8"/>
      <c r="B41052" s="12"/>
      <c r="C41052" s="8"/>
      <c r="D41052" s="8"/>
    </row>
    <row r="41053" spans="1:4" ht="15.75" customHeight="1">
      <c r="A41053" s="8"/>
      <c r="B41053" s="12"/>
      <c r="C41053" s="8"/>
      <c r="D41053" s="8"/>
    </row>
    <row r="41054" spans="1:4" ht="15.75" customHeight="1">
      <c r="A41054" s="8"/>
      <c r="B41054" s="12"/>
      <c r="C41054" s="8"/>
      <c r="D41054" s="8"/>
    </row>
    <row r="41055" spans="1:4" ht="15.75" customHeight="1">
      <c r="A41055" s="8"/>
      <c r="B41055" s="12"/>
      <c r="C41055" s="8"/>
      <c r="D41055" s="8"/>
    </row>
    <row r="41056" spans="1:4" ht="15.75" customHeight="1">
      <c r="A41056" s="8"/>
      <c r="B41056" s="12"/>
      <c r="C41056" s="8"/>
      <c r="D41056" s="8"/>
    </row>
    <row r="41057" spans="1:4" ht="15.75" customHeight="1">
      <c r="A41057" s="8"/>
      <c r="B41057" s="12"/>
      <c r="C41057" s="8"/>
      <c r="D41057" s="8"/>
    </row>
    <row r="41058" spans="1:4" ht="15.75" customHeight="1">
      <c r="A41058" s="8"/>
      <c r="B41058" s="12"/>
      <c r="C41058" s="8"/>
      <c r="D41058" s="8"/>
    </row>
    <row r="41059" spans="1:4" ht="15.75" customHeight="1">
      <c r="A41059" s="8"/>
      <c r="B41059" s="12"/>
      <c r="C41059" s="8"/>
      <c r="D41059" s="8"/>
    </row>
    <row r="41060" spans="1:4" ht="15.75" customHeight="1">
      <c r="A41060" s="8"/>
      <c r="B41060" s="12"/>
      <c r="C41060" s="8"/>
      <c r="D41060" s="8"/>
    </row>
    <row r="41061" spans="1:4" ht="15.75" customHeight="1">
      <c r="A41061" s="8"/>
      <c r="B41061" s="12"/>
      <c r="C41061" s="8"/>
      <c r="D41061" s="8"/>
    </row>
    <row r="41062" spans="1:4" ht="15.75" customHeight="1">
      <c r="A41062" s="8"/>
      <c r="B41062" s="12"/>
      <c r="C41062" s="8"/>
      <c r="D41062" s="8"/>
    </row>
    <row r="41063" spans="1:4" ht="15.75" customHeight="1">
      <c r="A41063" s="8"/>
      <c r="B41063" s="12"/>
      <c r="C41063" s="8"/>
      <c r="D41063" s="8"/>
    </row>
    <row r="41064" spans="1:4" ht="15.75" customHeight="1">
      <c r="A41064" s="8"/>
      <c r="B41064" s="12"/>
      <c r="C41064" s="8"/>
      <c r="D41064" s="8"/>
    </row>
    <row r="41065" spans="1:4" ht="15.75" customHeight="1">
      <c r="A41065" s="8"/>
      <c r="B41065" s="12"/>
      <c r="C41065" s="8"/>
      <c r="D41065" s="8"/>
    </row>
    <row r="41066" spans="1:4" ht="15.75" customHeight="1">
      <c r="A41066" s="8"/>
      <c r="B41066" s="12"/>
      <c r="C41066" s="8"/>
      <c r="D41066" s="8"/>
    </row>
    <row r="41067" spans="1:4" ht="15.75" customHeight="1">
      <c r="A41067" s="8"/>
      <c r="B41067" s="12"/>
      <c r="C41067" s="8"/>
      <c r="D41067" s="8"/>
    </row>
    <row r="41068" spans="1:4" ht="15.75" customHeight="1">
      <c r="A41068" s="8"/>
      <c r="B41068" s="12"/>
      <c r="C41068" s="8"/>
      <c r="D41068" s="8"/>
    </row>
    <row r="41069" spans="1:4" ht="15.75" customHeight="1">
      <c r="A41069" s="8"/>
      <c r="B41069" s="12"/>
      <c r="C41069" s="8"/>
      <c r="D41069" s="8"/>
    </row>
    <row r="41070" spans="1:4" ht="15.75" customHeight="1">
      <c r="A41070" s="8"/>
      <c r="B41070" s="12"/>
      <c r="C41070" s="8"/>
      <c r="D41070" s="8"/>
    </row>
    <row r="41071" spans="1:4" ht="15.75" customHeight="1">
      <c r="A41071" s="8"/>
      <c r="B41071" s="12"/>
      <c r="C41071" s="8"/>
      <c r="D41071" s="8"/>
    </row>
    <row r="41072" spans="1:4" ht="15.75" customHeight="1">
      <c r="A41072" s="8"/>
      <c r="B41072" s="12"/>
      <c r="C41072" s="8"/>
      <c r="D41072" s="8"/>
    </row>
    <row r="41073" spans="1:4" ht="15.75" customHeight="1">
      <c r="A41073" s="8"/>
      <c r="B41073" s="12"/>
      <c r="C41073" s="8"/>
      <c r="D41073" s="8"/>
    </row>
    <row r="41074" spans="1:4" ht="15.75" customHeight="1">
      <c r="A41074" s="8"/>
      <c r="B41074" s="12"/>
      <c r="C41074" s="8"/>
      <c r="D41074" s="8"/>
    </row>
    <row r="41075" spans="1:4" ht="15.75" customHeight="1">
      <c r="A41075" s="8"/>
      <c r="B41075" s="12"/>
      <c r="C41075" s="8"/>
      <c r="D41075" s="8"/>
    </row>
    <row r="41076" spans="1:4" ht="15.75" customHeight="1">
      <c r="A41076" s="8"/>
      <c r="B41076" s="12"/>
      <c r="C41076" s="8"/>
      <c r="D41076" s="8"/>
    </row>
    <row r="41077" spans="1:4" ht="15.75" customHeight="1">
      <c r="A41077" s="8"/>
      <c r="B41077" s="12"/>
      <c r="C41077" s="8"/>
      <c r="D41077" s="8"/>
    </row>
    <row r="41078" spans="1:4" ht="15.75" customHeight="1">
      <c r="A41078" s="8"/>
      <c r="B41078" s="12"/>
      <c r="C41078" s="8"/>
      <c r="D41078" s="8"/>
    </row>
    <row r="41079" spans="1:4" ht="15.75" customHeight="1">
      <c r="A41079" s="8"/>
      <c r="B41079" s="12"/>
      <c r="C41079" s="8"/>
      <c r="D41079" s="8"/>
    </row>
    <row r="41080" spans="1:4" ht="15.75" customHeight="1">
      <c r="A41080" s="8"/>
      <c r="B41080" s="12"/>
      <c r="C41080" s="8"/>
      <c r="D41080" s="8"/>
    </row>
    <row r="41081" spans="1:4" ht="15.75" customHeight="1">
      <c r="A41081" s="8"/>
      <c r="B41081" s="12"/>
      <c r="C41081" s="8"/>
      <c r="D41081" s="8"/>
    </row>
    <row r="41082" spans="1:4" ht="15.75" customHeight="1">
      <c r="A41082" s="8"/>
      <c r="B41082" s="12"/>
      <c r="C41082" s="8"/>
      <c r="D41082" s="8"/>
    </row>
    <row r="41083" spans="1:4" ht="15.75" customHeight="1">
      <c r="A41083" s="8"/>
      <c r="B41083" s="12"/>
      <c r="C41083" s="8"/>
      <c r="D41083" s="8"/>
    </row>
    <row r="41084" spans="1:4" ht="15.75" customHeight="1">
      <c r="A41084" s="8"/>
      <c r="B41084" s="12"/>
      <c r="C41084" s="8"/>
      <c r="D41084" s="8"/>
    </row>
    <row r="41085" spans="1:4" ht="15.75" customHeight="1">
      <c r="A41085" s="8"/>
      <c r="B41085" s="12"/>
      <c r="C41085" s="8"/>
      <c r="D41085" s="8"/>
    </row>
    <row r="41086" spans="1:4" ht="15.75" customHeight="1">
      <c r="A41086" s="8"/>
      <c r="B41086" s="12"/>
      <c r="C41086" s="8"/>
      <c r="D41086" s="8"/>
    </row>
    <row r="41087" spans="1:4" ht="15.75" customHeight="1">
      <c r="A41087" s="8"/>
      <c r="B41087" s="12"/>
      <c r="C41087" s="8"/>
      <c r="D41087" s="8"/>
    </row>
    <row r="41088" spans="1:4" ht="15.75" customHeight="1">
      <c r="A41088" s="8"/>
      <c r="B41088" s="12"/>
      <c r="C41088" s="8"/>
      <c r="D41088" s="8"/>
    </row>
    <row r="41089" spans="1:4" ht="15.75" customHeight="1">
      <c r="A41089" s="8"/>
      <c r="B41089" s="12"/>
      <c r="C41089" s="8"/>
      <c r="D41089" s="8"/>
    </row>
    <row r="41090" spans="1:4" ht="15.75" customHeight="1">
      <c r="A41090" s="8"/>
      <c r="B41090" s="12"/>
      <c r="C41090" s="8"/>
      <c r="D41090" s="8"/>
    </row>
    <row r="41091" spans="1:4" ht="15.75" customHeight="1">
      <c r="A41091" s="8"/>
      <c r="B41091" s="12"/>
      <c r="C41091" s="8"/>
      <c r="D41091" s="8"/>
    </row>
    <row r="41092" spans="1:4" ht="15.75" customHeight="1">
      <c r="A41092" s="8"/>
      <c r="B41092" s="12"/>
      <c r="C41092" s="8"/>
      <c r="D41092" s="8"/>
    </row>
    <row r="41093" spans="1:4" ht="15.75" customHeight="1">
      <c r="A41093" s="8"/>
      <c r="B41093" s="12"/>
      <c r="C41093" s="8"/>
      <c r="D41093" s="8"/>
    </row>
    <row r="41094" spans="1:4" ht="15.75" customHeight="1">
      <c r="A41094" s="8"/>
      <c r="B41094" s="12"/>
      <c r="C41094" s="8"/>
      <c r="D41094" s="8"/>
    </row>
    <row r="41095" spans="1:4" ht="15.75" customHeight="1">
      <c r="A41095" s="8"/>
      <c r="B41095" s="12"/>
      <c r="C41095" s="8"/>
      <c r="D41095" s="8"/>
    </row>
    <row r="41096" spans="1:4" ht="15.75" customHeight="1">
      <c r="A41096" s="8"/>
      <c r="B41096" s="12"/>
      <c r="C41096" s="8"/>
      <c r="D41096" s="8"/>
    </row>
    <row r="41097" spans="1:4" ht="15.75" customHeight="1">
      <c r="A41097" s="8"/>
      <c r="B41097" s="12"/>
      <c r="C41097" s="8"/>
      <c r="D41097" s="8"/>
    </row>
    <row r="41098" spans="1:4" ht="15.75" customHeight="1">
      <c r="A41098" s="8"/>
      <c r="B41098" s="12"/>
      <c r="C41098" s="8"/>
      <c r="D41098" s="8"/>
    </row>
    <row r="41099" spans="1:4" ht="15.75" customHeight="1">
      <c r="A41099" s="8"/>
      <c r="B41099" s="12"/>
      <c r="C41099" s="8"/>
      <c r="D41099" s="8"/>
    </row>
    <row r="41100" spans="1:4" ht="15.75" customHeight="1">
      <c r="A41100" s="8"/>
      <c r="B41100" s="12"/>
      <c r="C41100" s="8"/>
      <c r="D41100" s="8"/>
    </row>
    <row r="41101" spans="1:4" ht="15.75" customHeight="1">
      <c r="A41101" s="8"/>
      <c r="B41101" s="12"/>
      <c r="C41101" s="8"/>
      <c r="D41101" s="8"/>
    </row>
    <row r="41102" spans="1:4" ht="15.75" customHeight="1">
      <c r="A41102" s="8"/>
      <c r="B41102" s="12"/>
      <c r="C41102" s="8"/>
      <c r="D41102" s="8"/>
    </row>
    <row r="41103" spans="1:4" ht="15.75" customHeight="1">
      <c r="A41103" s="8"/>
      <c r="B41103" s="12"/>
      <c r="C41103" s="8"/>
      <c r="D41103" s="8"/>
    </row>
    <row r="41104" spans="1:4" ht="15.75" customHeight="1">
      <c r="A41104" s="8"/>
      <c r="B41104" s="12"/>
      <c r="C41104" s="8"/>
      <c r="D41104" s="8"/>
    </row>
    <row r="41105" spans="1:4" ht="15.75" customHeight="1">
      <c r="A41105" s="8"/>
      <c r="B41105" s="12"/>
      <c r="C41105" s="8"/>
      <c r="D41105" s="8"/>
    </row>
    <row r="41106" spans="1:4" ht="15.75" customHeight="1">
      <c r="A41106" s="8"/>
      <c r="B41106" s="12"/>
      <c r="C41106" s="8"/>
      <c r="D41106" s="8"/>
    </row>
    <row r="41107" spans="1:4" ht="15.75" customHeight="1">
      <c r="A41107" s="8"/>
      <c r="B41107" s="12"/>
      <c r="C41107" s="8"/>
      <c r="D41107" s="8"/>
    </row>
    <row r="41108" spans="1:4" ht="15.75" customHeight="1">
      <c r="A41108" s="8"/>
      <c r="B41108" s="12"/>
      <c r="C41108" s="8"/>
      <c r="D41108" s="8"/>
    </row>
    <row r="41109" spans="1:4" ht="15.75" customHeight="1">
      <c r="A41109" s="8"/>
      <c r="B41109" s="12"/>
      <c r="C41109" s="8"/>
      <c r="D41109" s="8"/>
    </row>
    <row r="41110" spans="1:4" ht="15.75" customHeight="1">
      <c r="A41110" s="8"/>
      <c r="B41110" s="12"/>
      <c r="C41110" s="8"/>
      <c r="D41110" s="8"/>
    </row>
    <row r="41111" spans="1:4" ht="15.75" customHeight="1">
      <c r="A41111" s="8"/>
      <c r="B41111" s="12"/>
      <c r="C41111" s="8"/>
      <c r="D41111" s="8"/>
    </row>
    <row r="41112" spans="1:4" ht="15.75" customHeight="1">
      <c r="A41112" s="8"/>
      <c r="B41112" s="12"/>
      <c r="C41112" s="8"/>
      <c r="D41112" s="8"/>
    </row>
    <row r="41113" spans="1:4" ht="15.75" customHeight="1">
      <c r="A41113" s="8"/>
      <c r="B41113" s="12"/>
      <c r="C41113" s="8"/>
      <c r="D41113" s="8"/>
    </row>
    <row r="41114" spans="1:4" ht="15.75" customHeight="1">
      <c r="A41114" s="8"/>
      <c r="B41114" s="12"/>
      <c r="C41114" s="8"/>
      <c r="D41114" s="8"/>
    </row>
    <row r="41115" spans="1:4" ht="15.75" customHeight="1">
      <c r="A41115" s="8"/>
      <c r="B41115" s="12"/>
      <c r="C41115" s="8"/>
      <c r="D41115" s="8"/>
    </row>
    <row r="41116" spans="1:4" ht="15.75" customHeight="1">
      <c r="A41116" s="8"/>
      <c r="B41116" s="12"/>
      <c r="C41116" s="8"/>
      <c r="D41116" s="8"/>
    </row>
    <row r="41117" spans="1:4" ht="15.75" customHeight="1">
      <c r="A41117" s="8"/>
      <c r="B41117" s="12"/>
      <c r="C41117" s="8"/>
      <c r="D41117" s="8"/>
    </row>
    <row r="41118" spans="1:4" ht="15.75" customHeight="1">
      <c r="A41118" s="8"/>
      <c r="B41118" s="12"/>
      <c r="C41118" s="8"/>
      <c r="D41118" s="8"/>
    </row>
    <row r="41119" spans="1:4" ht="15.75" customHeight="1">
      <c r="A41119" s="8"/>
      <c r="B41119" s="12"/>
      <c r="C41119" s="8"/>
      <c r="D41119" s="8"/>
    </row>
    <row r="41120" spans="1:4" ht="15.75" customHeight="1">
      <c r="A41120" s="8"/>
      <c r="B41120" s="12"/>
      <c r="C41120" s="8"/>
      <c r="D41120" s="8"/>
    </row>
    <row r="41121" spans="1:4" ht="15.75" customHeight="1">
      <c r="A41121" s="8"/>
      <c r="B41121" s="12"/>
      <c r="C41121" s="8"/>
      <c r="D41121" s="8"/>
    </row>
    <row r="41122" spans="1:4" ht="15.75" customHeight="1">
      <c r="A41122" s="8"/>
      <c r="B41122" s="12"/>
      <c r="C41122" s="8"/>
      <c r="D41122" s="8"/>
    </row>
    <row r="41123" spans="1:4" ht="15.75" customHeight="1">
      <c r="A41123" s="8"/>
      <c r="B41123" s="12"/>
      <c r="C41123" s="8"/>
      <c r="D41123" s="8"/>
    </row>
    <row r="41124" spans="1:4" ht="15.75" customHeight="1">
      <c r="A41124" s="8"/>
      <c r="B41124" s="12"/>
      <c r="C41124" s="8"/>
      <c r="D41124" s="8"/>
    </row>
    <row r="41125" spans="1:4" ht="15.75" customHeight="1">
      <c r="A41125" s="8"/>
      <c r="B41125" s="12"/>
      <c r="C41125" s="8"/>
      <c r="D41125" s="8"/>
    </row>
    <row r="41126" spans="1:4" ht="15.75" customHeight="1">
      <c r="A41126" s="8"/>
      <c r="B41126" s="12"/>
      <c r="C41126" s="8"/>
      <c r="D41126" s="8"/>
    </row>
    <row r="41127" spans="1:4" ht="15.75" customHeight="1">
      <c r="A41127" s="8"/>
      <c r="B41127" s="12"/>
      <c r="C41127" s="8"/>
      <c r="D41127" s="8"/>
    </row>
    <row r="41128" spans="1:4" ht="15.75" customHeight="1">
      <c r="A41128" s="8"/>
      <c r="B41128" s="12"/>
      <c r="C41128" s="8"/>
      <c r="D41128" s="8"/>
    </row>
    <row r="41129" spans="1:4" ht="15.75" customHeight="1">
      <c r="A41129" s="8"/>
      <c r="B41129" s="12"/>
      <c r="C41129" s="8"/>
      <c r="D41129" s="8"/>
    </row>
    <row r="41130" spans="1:4" ht="15.75" customHeight="1">
      <c r="A41130" s="8"/>
      <c r="B41130" s="12"/>
      <c r="C41130" s="8"/>
      <c r="D41130" s="8"/>
    </row>
    <row r="41131" spans="1:4" ht="15.75" customHeight="1">
      <c r="A41131" s="8"/>
      <c r="B41131" s="12"/>
      <c r="C41131" s="8"/>
      <c r="D41131" s="8"/>
    </row>
    <row r="41132" spans="1:4" ht="15.75" customHeight="1">
      <c r="A41132" s="8"/>
      <c r="B41132" s="12"/>
      <c r="C41132" s="8"/>
      <c r="D41132" s="8"/>
    </row>
    <row r="41133" spans="1:4" ht="15.75" customHeight="1">
      <c r="A41133" s="8"/>
      <c r="B41133" s="12"/>
      <c r="C41133" s="8"/>
      <c r="D41133" s="8"/>
    </row>
    <row r="41134" spans="1:4" ht="15.75" customHeight="1">
      <c r="A41134" s="8"/>
      <c r="B41134" s="12"/>
      <c r="C41134" s="8"/>
      <c r="D41134" s="8"/>
    </row>
    <row r="41135" spans="1:4" ht="15.75" customHeight="1">
      <c r="A41135" s="8"/>
      <c r="B41135" s="12"/>
      <c r="C41135" s="8"/>
      <c r="D41135" s="8"/>
    </row>
    <row r="41136" spans="1:4" ht="15.75" customHeight="1">
      <c r="A41136" s="8"/>
      <c r="B41136" s="12"/>
      <c r="C41136" s="8"/>
      <c r="D41136" s="8"/>
    </row>
    <row r="41137" spans="1:4" ht="15.75" customHeight="1">
      <c r="A41137" s="8"/>
      <c r="B41137" s="12"/>
      <c r="C41137" s="8"/>
      <c r="D41137" s="8"/>
    </row>
    <row r="41138" spans="1:4" ht="15.75" customHeight="1">
      <c r="A41138" s="8"/>
      <c r="B41138" s="12"/>
      <c r="C41138" s="8"/>
      <c r="D41138" s="8"/>
    </row>
    <row r="41139" spans="1:4" ht="15.75" customHeight="1">
      <c r="A41139" s="8"/>
      <c r="B41139" s="12"/>
      <c r="C41139" s="8"/>
      <c r="D41139" s="8"/>
    </row>
    <row r="41140" spans="1:4" ht="15.75" customHeight="1">
      <c r="A41140" s="8"/>
      <c r="B41140" s="12"/>
      <c r="C41140" s="8"/>
      <c r="D41140" s="8"/>
    </row>
    <row r="41141" spans="1:4" ht="15.75" customHeight="1">
      <c r="A41141" s="8"/>
      <c r="B41141" s="12"/>
      <c r="C41141" s="8"/>
      <c r="D41141" s="8"/>
    </row>
    <row r="41142" spans="1:4" ht="15.75" customHeight="1">
      <c r="A41142" s="8"/>
      <c r="B41142" s="12"/>
      <c r="C41142" s="8"/>
      <c r="D41142" s="8"/>
    </row>
    <row r="41143" spans="1:4" ht="15.75" customHeight="1">
      <c r="A41143" s="8"/>
      <c r="B41143" s="12"/>
      <c r="C41143" s="8"/>
      <c r="D41143" s="8"/>
    </row>
    <row r="41144" spans="1:4" ht="15.75" customHeight="1">
      <c r="A41144" s="8"/>
      <c r="B41144" s="12"/>
      <c r="C41144" s="8"/>
      <c r="D41144" s="8"/>
    </row>
    <row r="41145" spans="1:4" ht="15.75" customHeight="1">
      <c r="A41145" s="8"/>
      <c r="B41145" s="12"/>
      <c r="C41145" s="8"/>
      <c r="D41145" s="8"/>
    </row>
    <row r="41146" spans="1:4" ht="15.75" customHeight="1">
      <c r="A41146" s="8"/>
      <c r="B41146" s="12"/>
      <c r="C41146" s="8"/>
      <c r="D41146" s="8"/>
    </row>
    <row r="41147" spans="1:4" ht="15.75" customHeight="1">
      <c r="A41147" s="8"/>
      <c r="B41147" s="12"/>
      <c r="C41147" s="8"/>
      <c r="D41147" s="8"/>
    </row>
    <row r="41148" spans="1:4" ht="15.75" customHeight="1">
      <c r="A41148" s="8"/>
      <c r="B41148" s="12"/>
      <c r="C41148" s="8"/>
      <c r="D41148" s="8"/>
    </row>
    <row r="41149" spans="1:4" ht="15.75" customHeight="1">
      <c r="A41149" s="8"/>
      <c r="B41149" s="12"/>
      <c r="C41149" s="8"/>
      <c r="D41149" s="8"/>
    </row>
    <row r="41150" spans="1:4" ht="15.75" customHeight="1">
      <c r="A41150" s="8"/>
      <c r="B41150" s="12"/>
      <c r="C41150" s="8"/>
      <c r="D41150" s="8"/>
    </row>
    <row r="41151" spans="1:4" ht="15.75" customHeight="1">
      <c r="A41151" s="8"/>
      <c r="B41151" s="12"/>
      <c r="C41151" s="8"/>
      <c r="D41151" s="8"/>
    </row>
    <row r="41152" spans="1:4" ht="15.75" customHeight="1">
      <c r="A41152" s="8"/>
      <c r="B41152" s="12"/>
      <c r="C41152" s="8"/>
      <c r="D41152" s="8"/>
    </row>
    <row r="41153" spans="1:4" ht="15.75" customHeight="1">
      <c r="A41153" s="8"/>
      <c r="B41153" s="12"/>
      <c r="C41153" s="8"/>
      <c r="D41153" s="8"/>
    </row>
    <row r="41154" spans="1:4" ht="15.75" customHeight="1">
      <c r="A41154" s="8"/>
      <c r="B41154" s="12"/>
      <c r="C41154" s="8"/>
      <c r="D41154" s="8"/>
    </row>
    <row r="41155" spans="1:4" ht="15.75" customHeight="1">
      <c r="A41155" s="8"/>
      <c r="B41155" s="12"/>
      <c r="C41155" s="8"/>
      <c r="D41155" s="8"/>
    </row>
    <row r="41156" spans="1:4" ht="15.75" customHeight="1">
      <c r="A41156" s="8"/>
      <c r="B41156" s="12"/>
      <c r="C41156" s="8"/>
      <c r="D41156" s="8"/>
    </row>
    <row r="41157" spans="1:4" ht="15.75" customHeight="1">
      <c r="A41157" s="8"/>
      <c r="B41157" s="12"/>
      <c r="C41157" s="8"/>
      <c r="D41157" s="8"/>
    </row>
    <row r="41158" spans="1:4" ht="15.75" customHeight="1">
      <c r="A41158" s="8"/>
      <c r="B41158" s="12"/>
      <c r="C41158" s="8"/>
      <c r="D41158" s="8"/>
    </row>
    <row r="41159" spans="1:4" ht="15.75" customHeight="1">
      <c r="A41159" s="8"/>
      <c r="B41159" s="12"/>
      <c r="C41159" s="8"/>
      <c r="D41159" s="8"/>
    </row>
    <row r="41160" spans="1:4" ht="15.75" customHeight="1">
      <c r="A41160" s="8"/>
      <c r="B41160" s="12"/>
      <c r="C41160" s="8"/>
      <c r="D41160" s="8"/>
    </row>
    <row r="41161" spans="1:4" ht="15.75" customHeight="1">
      <c r="A41161" s="8"/>
      <c r="B41161" s="12"/>
      <c r="C41161" s="8"/>
      <c r="D41161" s="8"/>
    </row>
    <row r="41162" spans="1:4" ht="15.75" customHeight="1">
      <c r="A41162" s="8"/>
      <c r="B41162" s="12"/>
      <c r="C41162" s="8"/>
      <c r="D41162" s="8"/>
    </row>
    <row r="41163" spans="1:4" ht="15.75" customHeight="1">
      <c r="A41163" s="8"/>
      <c r="B41163" s="12"/>
      <c r="C41163" s="8"/>
      <c r="D41163" s="8"/>
    </row>
    <row r="41164" spans="1:4" ht="15.75" customHeight="1">
      <c r="A41164" s="8"/>
      <c r="B41164" s="12"/>
      <c r="C41164" s="8"/>
      <c r="D41164" s="8"/>
    </row>
    <row r="41165" spans="1:4" ht="15.75" customHeight="1">
      <c r="A41165" s="8"/>
      <c r="B41165" s="12"/>
      <c r="C41165" s="8"/>
      <c r="D41165" s="8"/>
    </row>
    <row r="41166" spans="1:4" ht="15.75" customHeight="1">
      <c r="A41166" s="8"/>
      <c r="B41166" s="12"/>
      <c r="C41166" s="8"/>
      <c r="D41166" s="8"/>
    </row>
    <row r="41167" spans="1:4" ht="15.75" customHeight="1">
      <c r="A41167" s="8"/>
      <c r="B41167" s="12"/>
      <c r="C41167" s="8"/>
      <c r="D41167" s="8"/>
    </row>
    <row r="41168" spans="1:4" ht="15.75" customHeight="1">
      <c r="A41168" s="8"/>
      <c r="B41168" s="12"/>
      <c r="C41168" s="8"/>
      <c r="D41168" s="8"/>
    </row>
    <row r="41169" spans="1:4" ht="15.75" customHeight="1">
      <c r="A41169" s="8"/>
      <c r="B41169" s="12"/>
      <c r="C41169" s="8"/>
      <c r="D41169" s="8"/>
    </row>
    <row r="41170" spans="1:4" ht="15.75" customHeight="1">
      <c r="A41170" s="8"/>
      <c r="B41170" s="12"/>
      <c r="C41170" s="8"/>
      <c r="D41170" s="8"/>
    </row>
    <row r="41171" spans="1:4" ht="15.75" customHeight="1">
      <c r="A41171" s="8"/>
      <c r="B41171" s="12"/>
      <c r="C41171" s="8"/>
      <c r="D41171" s="8"/>
    </row>
    <row r="41172" spans="1:4" ht="15.75" customHeight="1">
      <c r="A41172" s="8"/>
      <c r="B41172" s="12"/>
      <c r="C41172" s="8"/>
      <c r="D41172" s="8"/>
    </row>
    <row r="41173" spans="1:4" ht="15.75" customHeight="1">
      <c r="A41173" s="8"/>
      <c r="B41173" s="12"/>
      <c r="C41173" s="8"/>
      <c r="D41173" s="8"/>
    </row>
    <row r="41174" spans="1:4" ht="15.75" customHeight="1">
      <c r="A41174" s="8"/>
      <c r="B41174" s="12"/>
      <c r="C41174" s="8"/>
      <c r="D41174" s="8"/>
    </row>
    <row r="41175" spans="1:4" ht="15.75" customHeight="1">
      <c r="A41175" s="8"/>
      <c r="B41175" s="12"/>
      <c r="C41175" s="8"/>
      <c r="D41175" s="8"/>
    </row>
    <row r="41176" spans="1:4" ht="15.75" customHeight="1">
      <c r="A41176" s="8"/>
      <c r="B41176" s="12"/>
      <c r="C41176" s="8"/>
      <c r="D41176" s="8"/>
    </row>
    <row r="41177" spans="1:4" ht="15.75" customHeight="1">
      <c r="A41177" s="8"/>
      <c r="B41177" s="12"/>
      <c r="C41177" s="8"/>
      <c r="D41177" s="8"/>
    </row>
    <row r="41178" spans="1:4" ht="15.75" customHeight="1">
      <c r="A41178" s="8"/>
      <c r="B41178" s="12"/>
      <c r="C41178" s="8"/>
      <c r="D41178" s="8"/>
    </row>
    <row r="41179" spans="1:4" ht="15.75" customHeight="1">
      <c r="A41179" s="8"/>
      <c r="B41179" s="12"/>
      <c r="C41179" s="8"/>
      <c r="D41179" s="8"/>
    </row>
    <row r="41180" spans="1:4" ht="15.75" customHeight="1">
      <c r="A41180" s="8"/>
      <c r="B41180" s="12"/>
      <c r="C41180" s="8"/>
      <c r="D41180" s="8"/>
    </row>
    <row r="41181" spans="1:4" ht="15.75" customHeight="1">
      <c r="A41181" s="8"/>
      <c r="B41181" s="12"/>
      <c r="C41181" s="8"/>
      <c r="D41181" s="8"/>
    </row>
    <row r="41182" spans="1:4" ht="15.75" customHeight="1">
      <c r="A41182" s="8"/>
      <c r="B41182" s="12"/>
      <c r="C41182" s="8"/>
      <c r="D41182" s="8"/>
    </row>
    <row r="41183" spans="1:4" ht="15.75" customHeight="1">
      <c r="A41183" s="8"/>
      <c r="B41183" s="12"/>
      <c r="C41183" s="8"/>
      <c r="D41183" s="8"/>
    </row>
    <row r="41184" spans="1:4" ht="15.75" customHeight="1">
      <c r="A41184" s="8"/>
      <c r="B41184" s="12"/>
      <c r="C41184" s="8"/>
      <c r="D41184" s="8"/>
    </row>
    <row r="41185" spans="1:4" ht="15.75" customHeight="1">
      <c r="A41185" s="8"/>
      <c r="B41185" s="12"/>
      <c r="C41185" s="8"/>
      <c r="D41185" s="8"/>
    </row>
    <row r="41186" spans="1:4" ht="15.75" customHeight="1">
      <c r="A41186" s="8"/>
      <c r="B41186" s="12"/>
      <c r="C41186" s="8"/>
      <c r="D41186" s="8"/>
    </row>
    <row r="41187" spans="1:4" ht="15.75" customHeight="1">
      <c r="A41187" s="8"/>
      <c r="B41187" s="12"/>
      <c r="C41187" s="8"/>
      <c r="D41187" s="8"/>
    </row>
    <row r="41188" spans="1:4" ht="15.75" customHeight="1">
      <c r="A41188" s="8"/>
      <c r="B41188" s="12"/>
      <c r="C41188" s="8"/>
      <c r="D41188" s="8"/>
    </row>
    <row r="41189" spans="1:4" ht="15.75" customHeight="1">
      <c r="A41189" s="8"/>
      <c r="B41189" s="12"/>
      <c r="C41189" s="8"/>
      <c r="D41189" s="8"/>
    </row>
    <row r="41190" spans="1:4" ht="15.75" customHeight="1">
      <c r="A41190" s="8"/>
      <c r="B41190" s="12"/>
      <c r="C41190" s="8"/>
      <c r="D41190" s="8"/>
    </row>
    <row r="41191" spans="1:4" ht="15.75" customHeight="1">
      <c r="A41191" s="8"/>
      <c r="B41191" s="12"/>
      <c r="C41191" s="8"/>
      <c r="D41191" s="8"/>
    </row>
    <row r="41192" spans="1:4" ht="15.75" customHeight="1">
      <c r="A41192" s="8"/>
      <c r="B41192" s="12"/>
      <c r="C41192" s="8"/>
      <c r="D41192" s="8"/>
    </row>
    <row r="41193" spans="1:4" ht="15.75" customHeight="1">
      <c r="A41193" s="8"/>
      <c r="B41193" s="12"/>
      <c r="C41193" s="8"/>
      <c r="D41193" s="8"/>
    </row>
    <row r="41194" spans="1:4" ht="15.75" customHeight="1">
      <c r="A41194" s="8"/>
      <c r="B41194" s="12"/>
      <c r="C41194" s="8"/>
      <c r="D41194" s="8"/>
    </row>
    <row r="41195" spans="1:4" ht="15.75" customHeight="1">
      <c r="A41195" s="8"/>
      <c r="B41195" s="12"/>
      <c r="C41195" s="8"/>
      <c r="D41195" s="8"/>
    </row>
    <row r="41196" spans="1:4" ht="15.75" customHeight="1">
      <c r="A41196" s="8"/>
      <c r="B41196" s="12"/>
      <c r="C41196" s="8"/>
      <c r="D41196" s="8"/>
    </row>
    <row r="41197" spans="1:4" ht="15.75" customHeight="1">
      <c r="A41197" s="8"/>
      <c r="B41197" s="12"/>
      <c r="C41197" s="8"/>
      <c r="D41197" s="8"/>
    </row>
    <row r="41198" spans="1:4" ht="15.75" customHeight="1">
      <c r="A41198" s="8"/>
      <c r="B41198" s="12"/>
      <c r="C41198" s="8"/>
      <c r="D41198" s="8"/>
    </row>
    <row r="41199" spans="1:4" ht="15.75" customHeight="1">
      <c r="A41199" s="8"/>
      <c r="B41199" s="12"/>
      <c r="C41199" s="8"/>
      <c r="D41199" s="8"/>
    </row>
    <row r="41200" spans="1:4" ht="15.75" customHeight="1">
      <c r="A41200" s="8"/>
      <c r="B41200" s="12"/>
      <c r="C41200" s="8"/>
      <c r="D41200" s="8"/>
    </row>
    <row r="41201" spans="1:4" ht="15.75" customHeight="1">
      <c r="A41201" s="8"/>
      <c r="B41201" s="12"/>
      <c r="C41201" s="8"/>
      <c r="D41201" s="8"/>
    </row>
    <row r="41202" spans="1:4" ht="15.75" customHeight="1">
      <c r="A41202" s="8"/>
      <c r="B41202" s="12"/>
      <c r="C41202" s="8"/>
      <c r="D41202" s="8"/>
    </row>
    <row r="41203" spans="1:4" ht="15.75" customHeight="1">
      <c r="A41203" s="8"/>
      <c r="B41203" s="12"/>
      <c r="C41203" s="8"/>
      <c r="D41203" s="8"/>
    </row>
    <row r="41204" spans="1:4" ht="15.75" customHeight="1">
      <c r="A41204" s="8"/>
      <c r="B41204" s="12"/>
      <c r="C41204" s="8"/>
      <c r="D41204" s="8"/>
    </row>
    <row r="41205" spans="1:4" ht="15.75" customHeight="1">
      <c r="A41205" s="8"/>
      <c r="B41205" s="12"/>
      <c r="C41205" s="8"/>
      <c r="D41205" s="8"/>
    </row>
    <row r="41206" spans="1:4" ht="15.75" customHeight="1">
      <c r="A41206" s="8"/>
      <c r="B41206" s="12"/>
      <c r="C41206" s="8"/>
      <c r="D41206" s="8"/>
    </row>
    <row r="41207" spans="1:4" ht="15.75" customHeight="1">
      <c r="A41207" s="8"/>
      <c r="B41207" s="12"/>
      <c r="C41207" s="8"/>
      <c r="D41207" s="8"/>
    </row>
    <row r="41208" spans="1:4" ht="15.75" customHeight="1">
      <c r="A41208" s="8"/>
      <c r="B41208" s="12"/>
      <c r="C41208" s="8"/>
      <c r="D41208" s="8"/>
    </row>
    <row r="41209" spans="1:4" ht="15.75" customHeight="1">
      <c r="A41209" s="8"/>
      <c r="B41209" s="12"/>
      <c r="C41209" s="8"/>
      <c r="D41209" s="8"/>
    </row>
    <row r="41210" spans="1:4" ht="15.75" customHeight="1">
      <c r="A41210" s="8"/>
      <c r="B41210" s="12"/>
      <c r="C41210" s="8"/>
      <c r="D41210" s="8"/>
    </row>
    <row r="41211" spans="1:4" ht="15.75" customHeight="1">
      <c r="A41211" s="8"/>
      <c r="B41211" s="12"/>
      <c r="C41211" s="8"/>
      <c r="D41211" s="8"/>
    </row>
    <row r="41212" spans="1:4" ht="15.75" customHeight="1">
      <c r="A41212" s="8"/>
      <c r="B41212" s="12"/>
      <c r="C41212" s="8"/>
      <c r="D41212" s="8"/>
    </row>
    <row r="41213" spans="1:4" ht="15.75" customHeight="1">
      <c r="A41213" s="8"/>
      <c r="B41213" s="12"/>
      <c r="C41213" s="8"/>
      <c r="D41213" s="8"/>
    </row>
    <row r="41214" spans="1:4" ht="15.75" customHeight="1">
      <c r="A41214" s="8"/>
      <c r="B41214" s="12"/>
      <c r="C41214" s="8"/>
      <c r="D41214" s="8"/>
    </row>
    <row r="41215" spans="1:4" ht="15.75" customHeight="1">
      <c r="A41215" s="8"/>
      <c r="B41215" s="12"/>
      <c r="C41215" s="8"/>
      <c r="D41215" s="8"/>
    </row>
    <row r="41216" spans="1:4" ht="15.75" customHeight="1">
      <c r="A41216" s="8"/>
      <c r="B41216" s="12"/>
      <c r="C41216" s="8"/>
      <c r="D41216" s="8"/>
    </row>
    <row r="41217" spans="1:4" ht="15.75" customHeight="1">
      <c r="A41217" s="8"/>
      <c r="B41217" s="12"/>
      <c r="C41217" s="8"/>
      <c r="D41217" s="8"/>
    </row>
    <row r="41218" spans="1:4" ht="15.75" customHeight="1">
      <c r="A41218" s="8"/>
      <c r="B41218" s="12"/>
      <c r="C41218" s="8"/>
      <c r="D41218" s="8"/>
    </row>
    <row r="41219" spans="1:4" ht="15.75" customHeight="1">
      <c r="A41219" s="8"/>
      <c r="B41219" s="12"/>
      <c r="C41219" s="8"/>
      <c r="D41219" s="8"/>
    </row>
    <row r="41220" spans="1:4" ht="15.75" customHeight="1">
      <c r="A41220" s="8"/>
      <c r="B41220" s="12"/>
      <c r="C41220" s="8"/>
      <c r="D41220" s="8"/>
    </row>
    <row r="41221" spans="1:4" ht="15.75" customHeight="1">
      <c r="A41221" s="8"/>
      <c r="B41221" s="12"/>
      <c r="C41221" s="8"/>
      <c r="D41221" s="8"/>
    </row>
    <row r="41222" spans="1:4" ht="15.75" customHeight="1">
      <c r="A41222" s="8"/>
      <c r="B41222" s="12"/>
      <c r="C41222" s="8"/>
      <c r="D41222" s="8"/>
    </row>
    <row r="41223" spans="1:4" ht="15.75" customHeight="1">
      <c r="A41223" s="8"/>
      <c r="B41223" s="12"/>
      <c r="C41223" s="8"/>
      <c r="D41223" s="8"/>
    </row>
    <row r="41224" spans="1:4" ht="15.75" customHeight="1">
      <c r="A41224" s="8"/>
      <c r="B41224" s="12"/>
      <c r="C41224" s="8"/>
      <c r="D41224" s="8"/>
    </row>
    <row r="41225" spans="1:4" ht="15.75" customHeight="1">
      <c r="A41225" s="8"/>
      <c r="B41225" s="12"/>
      <c r="C41225" s="8"/>
      <c r="D41225" s="8"/>
    </row>
    <row r="41226" spans="1:4" ht="15.75" customHeight="1">
      <c r="A41226" s="8"/>
      <c r="B41226" s="12"/>
      <c r="C41226" s="8"/>
      <c r="D41226" s="8"/>
    </row>
    <row r="41227" spans="1:4" ht="15.75" customHeight="1">
      <c r="A41227" s="8"/>
      <c r="B41227" s="12"/>
      <c r="C41227" s="8"/>
      <c r="D41227" s="8"/>
    </row>
    <row r="41228" spans="1:4" ht="15.75" customHeight="1">
      <c r="A41228" s="8"/>
      <c r="B41228" s="12"/>
      <c r="C41228" s="8"/>
      <c r="D41228" s="8"/>
    </row>
    <row r="41229" spans="1:4" ht="15.75" customHeight="1">
      <c r="A41229" s="8"/>
      <c r="B41229" s="12"/>
      <c r="C41229" s="8"/>
      <c r="D41229" s="8"/>
    </row>
    <row r="41230" spans="1:4" ht="15.75" customHeight="1">
      <c r="A41230" s="8"/>
      <c r="B41230" s="12"/>
      <c r="C41230" s="8"/>
      <c r="D41230" s="8"/>
    </row>
    <row r="41231" spans="1:4" ht="15.75" customHeight="1">
      <c r="A41231" s="8"/>
      <c r="B41231" s="12"/>
      <c r="C41231" s="8"/>
      <c r="D41231" s="8"/>
    </row>
    <row r="41232" spans="1:4" ht="15.75" customHeight="1">
      <c r="A41232" s="8"/>
      <c r="B41232" s="12"/>
      <c r="C41232" s="8"/>
      <c r="D41232" s="8"/>
    </row>
    <row r="41233" spans="1:4" ht="15.75" customHeight="1">
      <c r="A41233" s="8"/>
      <c r="B41233" s="12"/>
      <c r="C41233" s="8"/>
      <c r="D41233" s="8"/>
    </row>
    <row r="41234" spans="1:4" ht="15.75" customHeight="1">
      <c r="A41234" s="8"/>
      <c r="B41234" s="12"/>
      <c r="C41234" s="8"/>
      <c r="D41234" s="8"/>
    </row>
    <row r="41235" spans="1:4" ht="15.75" customHeight="1">
      <c r="A41235" s="8"/>
      <c r="B41235" s="12"/>
      <c r="C41235" s="8"/>
      <c r="D41235" s="8"/>
    </row>
    <row r="41236" spans="1:4" ht="15.75" customHeight="1">
      <c r="A41236" s="8"/>
      <c r="B41236" s="12"/>
      <c r="C41236" s="8"/>
      <c r="D41236" s="8"/>
    </row>
    <row r="41237" spans="1:4" ht="15.75" customHeight="1">
      <c r="A41237" s="8"/>
      <c r="B41237" s="12"/>
      <c r="C41237" s="8"/>
      <c r="D41237" s="8"/>
    </row>
    <row r="41238" spans="1:4" ht="15.75" customHeight="1">
      <c r="A41238" s="8"/>
      <c r="B41238" s="12"/>
      <c r="C41238" s="8"/>
      <c r="D41238" s="8"/>
    </row>
    <row r="41239" spans="1:4" ht="15.75" customHeight="1">
      <c r="A41239" s="8"/>
      <c r="B41239" s="12"/>
      <c r="C41239" s="8"/>
      <c r="D41239" s="8"/>
    </row>
    <row r="41240" spans="1:4" ht="15.75" customHeight="1">
      <c r="A41240" s="8"/>
      <c r="B41240" s="12"/>
      <c r="C41240" s="8"/>
      <c r="D41240" s="8"/>
    </row>
    <row r="41241" spans="1:4" ht="15.75" customHeight="1">
      <c r="A41241" s="8"/>
      <c r="B41241" s="12"/>
      <c r="C41241" s="8"/>
      <c r="D41241" s="8"/>
    </row>
    <row r="41242" spans="1:4" ht="15.75" customHeight="1">
      <c r="A41242" s="8"/>
      <c r="B41242" s="12"/>
      <c r="C41242" s="8"/>
      <c r="D41242" s="8"/>
    </row>
    <row r="41243" spans="1:4" ht="15.75" customHeight="1">
      <c r="A41243" s="8"/>
      <c r="B41243" s="12"/>
      <c r="C41243" s="8"/>
      <c r="D41243" s="8"/>
    </row>
    <row r="41244" spans="1:4" ht="15.75" customHeight="1">
      <c r="A41244" s="8"/>
      <c r="B41244" s="12"/>
      <c r="C41244" s="8"/>
      <c r="D41244" s="8"/>
    </row>
    <row r="41245" spans="1:4" ht="15.75" customHeight="1">
      <c r="A41245" s="8"/>
      <c r="B41245" s="12"/>
      <c r="C41245" s="8"/>
      <c r="D41245" s="8"/>
    </row>
    <row r="41246" spans="1:4" ht="15.75" customHeight="1">
      <c r="A41246" s="8"/>
      <c r="B41246" s="12"/>
      <c r="C41246" s="8"/>
      <c r="D41246" s="8"/>
    </row>
    <row r="41247" spans="1:4" ht="15.75" customHeight="1">
      <c r="A41247" s="8"/>
      <c r="B41247" s="12"/>
      <c r="C41247" s="8"/>
      <c r="D41247" s="8"/>
    </row>
    <row r="41248" spans="1:4" ht="15.75" customHeight="1">
      <c r="A41248" s="8"/>
      <c r="B41248" s="12"/>
      <c r="C41248" s="8"/>
      <c r="D41248" s="8"/>
    </row>
    <row r="41249" spans="1:4" ht="15.75" customHeight="1">
      <c r="A41249" s="8"/>
      <c r="B41249" s="12"/>
      <c r="C41249" s="8"/>
      <c r="D41249" s="8"/>
    </row>
    <row r="41250" spans="1:4" ht="15.75" customHeight="1">
      <c r="A41250" s="8"/>
      <c r="B41250" s="12"/>
      <c r="C41250" s="8"/>
      <c r="D41250" s="8"/>
    </row>
    <row r="41251" spans="1:4" ht="15.75" customHeight="1">
      <c r="A41251" s="8"/>
      <c r="B41251" s="12"/>
      <c r="C41251" s="8"/>
      <c r="D41251" s="8"/>
    </row>
    <row r="41252" spans="1:4" ht="15.75" customHeight="1">
      <c r="A41252" s="8"/>
      <c r="B41252" s="12"/>
      <c r="C41252" s="8"/>
      <c r="D41252" s="8"/>
    </row>
    <row r="41253" spans="1:4" ht="15.75" customHeight="1">
      <c r="A41253" s="8"/>
      <c r="B41253" s="12"/>
      <c r="C41253" s="8"/>
      <c r="D41253" s="8"/>
    </row>
    <row r="41254" spans="1:4" ht="15.75" customHeight="1">
      <c r="A41254" s="8"/>
      <c r="B41254" s="12"/>
      <c r="C41254" s="8"/>
      <c r="D41254" s="8"/>
    </row>
    <row r="41255" spans="1:4" ht="15.75" customHeight="1">
      <c r="A41255" s="8"/>
      <c r="B41255" s="12"/>
      <c r="C41255" s="8"/>
      <c r="D41255" s="8"/>
    </row>
    <row r="41256" spans="1:4" ht="15.75" customHeight="1">
      <c r="A41256" s="8"/>
      <c r="B41256" s="12"/>
      <c r="C41256" s="8"/>
      <c r="D41256" s="8"/>
    </row>
    <row r="41257" spans="1:4" ht="15.75" customHeight="1">
      <c r="A41257" s="8"/>
      <c r="B41257" s="12"/>
      <c r="C41257" s="8"/>
      <c r="D41257" s="8"/>
    </row>
    <row r="41258" spans="1:4" ht="15.75" customHeight="1">
      <c r="A41258" s="8"/>
      <c r="B41258" s="12"/>
      <c r="C41258" s="8"/>
      <c r="D41258" s="8"/>
    </row>
    <row r="41259" spans="1:4" ht="15.75" customHeight="1">
      <c r="A41259" s="8"/>
      <c r="B41259" s="12"/>
      <c r="C41259" s="8"/>
      <c r="D41259" s="8"/>
    </row>
    <row r="41260" spans="1:4" ht="15.75" customHeight="1">
      <c r="A41260" s="8"/>
      <c r="B41260" s="12"/>
      <c r="C41260" s="8"/>
      <c r="D41260" s="8"/>
    </row>
    <row r="41261" spans="1:4" ht="15.75" customHeight="1">
      <c r="A41261" s="8"/>
      <c r="B41261" s="12"/>
      <c r="C41261" s="8"/>
      <c r="D41261" s="8"/>
    </row>
    <row r="41262" spans="1:4" ht="15.75" customHeight="1">
      <c r="A41262" s="8"/>
      <c r="B41262" s="12"/>
      <c r="C41262" s="8"/>
      <c r="D41262" s="8"/>
    </row>
    <row r="41263" spans="1:4" ht="15.75" customHeight="1">
      <c r="A41263" s="8"/>
      <c r="B41263" s="12"/>
      <c r="C41263" s="8"/>
      <c r="D41263" s="8"/>
    </row>
    <row r="41264" spans="1:4" ht="15.75" customHeight="1">
      <c r="A41264" s="8"/>
      <c r="B41264" s="12"/>
      <c r="C41264" s="8"/>
      <c r="D41264" s="8"/>
    </row>
    <row r="41265" spans="1:4" ht="15.75" customHeight="1">
      <c r="A41265" s="8"/>
      <c r="B41265" s="12"/>
      <c r="C41265" s="8"/>
      <c r="D41265" s="8"/>
    </row>
    <row r="41266" spans="1:4" ht="15.75" customHeight="1">
      <c r="A41266" s="8"/>
      <c r="B41266" s="12"/>
      <c r="C41266" s="8"/>
      <c r="D41266" s="8"/>
    </row>
    <row r="41267" spans="1:4" ht="15.75" customHeight="1">
      <c r="A41267" s="8"/>
      <c r="B41267" s="12"/>
      <c r="C41267" s="8"/>
      <c r="D41267" s="8"/>
    </row>
    <row r="41268" spans="1:4" ht="15.75" customHeight="1">
      <c r="A41268" s="8"/>
      <c r="B41268" s="12"/>
      <c r="C41268" s="8"/>
      <c r="D41268" s="8"/>
    </row>
    <row r="41269" spans="1:4" ht="15.75" customHeight="1">
      <c r="A41269" s="8"/>
      <c r="B41269" s="12"/>
      <c r="C41269" s="8"/>
      <c r="D41269" s="8"/>
    </row>
    <row r="41270" spans="1:4" ht="15.75" customHeight="1">
      <c r="A41270" s="8"/>
      <c r="B41270" s="12"/>
      <c r="C41270" s="8"/>
      <c r="D41270" s="8"/>
    </row>
    <row r="41271" spans="1:4" ht="15.75" customHeight="1">
      <c r="A41271" s="8"/>
      <c r="B41271" s="12"/>
      <c r="C41271" s="8"/>
      <c r="D41271" s="8"/>
    </row>
    <row r="41272" spans="1:4" ht="15.75" customHeight="1">
      <c r="A41272" s="8"/>
      <c r="B41272" s="12"/>
      <c r="C41272" s="8"/>
      <c r="D41272" s="8"/>
    </row>
    <row r="41273" spans="1:4" ht="15.75" customHeight="1">
      <c r="A41273" s="8"/>
      <c r="B41273" s="12"/>
      <c r="C41273" s="8"/>
      <c r="D41273" s="8"/>
    </row>
    <row r="41274" spans="1:4" ht="15.75" customHeight="1">
      <c r="A41274" s="8"/>
      <c r="B41274" s="12"/>
      <c r="C41274" s="8"/>
      <c r="D41274" s="8"/>
    </row>
    <row r="41275" spans="1:4" ht="15.75" customHeight="1">
      <c r="A41275" s="8"/>
      <c r="B41275" s="12"/>
      <c r="C41275" s="8"/>
      <c r="D41275" s="8"/>
    </row>
    <row r="41276" spans="1:4" ht="15.75" customHeight="1">
      <c r="A41276" s="8"/>
      <c r="B41276" s="12"/>
      <c r="C41276" s="8"/>
      <c r="D41276" s="8"/>
    </row>
    <row r="41277" spans="1:4" ht="15.75" customHeight="1">
      <c r="A41277" s="8"/>
      <c r="B41277" s="12"/>
      <c r="C41277" s="8"/>
      <c r="D41277" s="8"/>
    </row>
    <row r="41278" spans="1:4" ht="15.75" customHeight="1">
      <c r="A41278" s="8"/>
      <c r="B41278" s="12"/>
      <c r="C41278" s="8"/>
      <c r="D41278" s="8"/>
    </row>
    <row r="41279" spans="1:4" ht="15.75" customHeight="1">
      <c r="A41279" s="8"/>
      <c r="B41279" s="12"/>
      <c r="C41279" s="8"/>
      <c r="D41279" s="8"/>
    </row>
    <row r="41280" spans="1:4" ht="15.75" customHeight="1">
      <c r="A41280" s="8"/>
      <c r="B41280" s="12"/>
      <c r="C41280" s="8"/>
      <c r="D41280" s="8"/>
    </row>
    <row r="41281" spans="1:4" ht="15.75" customHeight="1">
      <c r="A41281" s="8"/>
      <c r="B41281" s="12"/>
      <c r="C41281" s="8"/>
      <c r="D41281" s="8"/>
    </row>
    <row r="41282" spans="1:4" ht="15.75" customHeight="1">
      <c r="A41282" s="8"/>
      <c r="B41282" s="12"/>
      <c r="C41282" s="8"/>
      <c r="D41282" s="8"/>
    </row>
    <row r="41283" spans="1:4" ht="15.75" customHeight="1">
      <c r="A41283" s="8"/>
      <c r="B41283" s="12"/>
      <c r="C41283" s="8"/>
      <c r="D41283" s="8"/>
    </row>
    <row r="41284" spans="1:4" ht="15.75" customHeight="1">
      <c r="A41284" s="8"/>
      <c r="B41284" s="12"/>
      <c r="C41284" s="8"/>
      <c r="D41284" s="8"/>
    </row>
    <row r="41285" spans="1:4" ht="15.75" customHeight="1">
      <c r="A41285" s="8"/>
      <c r="B41285" s="12"/>
      <c r="C41285" s="8"/>
      <c r="D41285" s="8"/>
    </row>
    <row r="41286" spans="1:4" ht="15.75" customHeight="1">
      <c r="A41286" s="8"/>
      <c r="B41286" s="12"/>
      <c r="C41286" s="8"/>
      <c r="D41286" s="8"/>
    </row>
    <row r="41287" spans="1:4" ht="15.75" customHeight="1">
      <c r="A41287" s="8"/>
      <c r="B41287" s="12"/>
      <c r="C41287" s="8"/>
      <c r="D41287" s="8"/>
    </row>
    <row r="41288" spans="1:4" ht="15.75" customHeight="1">
      <c r="A41288" s="8"/>
      <c r="B41288" s="12"/>
      <c r="C41288" s="8"/>
      <c r="D41288" s="8"/>
    </row>
    <row r="41289" spans="1:4" ht="15.75" customHeight="1">
      <c r="A41289" s="8"/>
      <c r="B41289" s="12"/>
      <c r="C41289" s="8"/>
      <c r="D41289" s="8"/>
    </row>
    <row r="41290" spans="1:4" ht="15.75" customHeight="1">
      <c r="A41290" s="8"/>
      <c r="B41290" s="12"/>
      <c r="C41290" s="8"/>
      <c r="D41290" s="8"/>
    </row>
    <row r="41291" spans="1:4" ht="15.75" customHeight="1">
      <c r="A41291" s="8"/>
      <c r="B41291" s="12"/>
      <c r="C41291" s="8"/>
      <c r="D41291" s="8"/>
    </row>
    <row r="41292" spans="1:4" ht="15.75" customHeight="1">
      <c r="A41292" s="8"/>
      <c r="B41292" s="12"/>
      <c r="C41292" s="8"/>
      <c r="D41292" s="8"/>
    </row>
    <row r="41293" spans="1:4" ht="15.75" customHeight="1">
      <c r="A41293" s="8"/>
      <c r="B41293" s="12"/>
      <c r="C41293" s="8"/>
      <c r="D41293" s="8"/>
    </row>
    <row r="41294" spans="1:4" ht="15.75" customHeight="1">
      <c r="A41294" s="8"/>
      <c r="B41294" s="12"/>
      <c r="C41294" s="8"/>
      <c r="D41294" s="8"/>
    </row>
    <row r="41295" spans="1:4" ht="15.75" customHeight="1">
      <c r="A41295" s="8"/>
      <c r="B41295" s="12"/>
      <c r="C41295" s="8"/>
      <c r="D41295" s="8"/>
    </row>
    <row r="41296" spans="1:4" ht="15.75" customHeight="1">
      <c r="A41296" s="8"/>
      <c r="B41296" s="12"/>
      <c r="C41296" s="8"/>
      <c r="D41296" s="8"/>
    </row>
    <row r="41297" spans="1:4" ht="15.75" customHeight="1">
      <c r="A41297" s="8"/>
      <c r="B41297" s="12"/>
      <c r="C41297" s="8"/>
      <c r="D41297" s="8"/>
    </row>
    <row r="41298" spans="1:4" ht="15.75" customHeight="1">
      <c r="A41298" s="8"/>
      <c r="B41298" s="12"/>
      <c r="C41298" s="8"/>
      <c r="D41298" s="8"/>
    </row>
    <row r="41299" spans="1:4" ht="15.75" customHeight="1">
      <c r="A41299" s="8"/>
      <c r="B41299" s="12"/>
      <c r="C41299" s="8"/>
      <c r="D41299" s="8"/>
    </row>
    <row r="41300" spans="1:4" ht="15.75" customHeight="1">
      <c r="A41300" s="8"/>
      <c r="B41300" s="12"/>
      <c r="C41300" s="8"/>
      <c r="D41300" s="8"/>
    </row>
    <row r="41301" spans="1:4" ht="15.75" customHeight="1">
      <c r="A41301" s="8"/>
      <c r="B41301" s="12"/>
      <c r="C41301" s="8"/>
      <c r="D41301" s="8"/>
    </row>
    <row r="41302" spans="1:4" ht="15.75" customHeight="1">
      <c r="A41302" s="8"/>
      <c r="B41302" s="12"/>
      <c r="C41302" s="8"/>
      <c r="D41302" s="8"/>
    </row>
    <row r="41303" spans="1:4" ht="15.75" customHeight="1">
      <c r="A41303" s="8"/>
      <c r="B41303" s="12"/>
      <c r="C41303" s="8"/>
      <c r="D41303" s="8"/>
    </row>
    <row r="41304" spans="1:4" ht="15.75" customHeight="1">
      <c r="A41304" s="8"/>
      <c r="B41304" s="12"/>
      <c r="C41304" s="8"/>
      <c r="D41304" s="8"/>
    </row>
    <row r="41305" spans="1:4" ht="15.75" customHeight="1">
      <c r="A41305" s="8"/>
      <c r="B41305" s="12"/>
      <c r="C41305" s="8"/>
      <c r="D41305" s="8"/>
    </row>
    <row r="41306" spans="1:4" ht="15.75" customHeight="1">
      <c r="A41306" s="8"/>
      <c r="B41306" s="12"/>
      <c r="C41306" s="8"/>
      <c r="D41306" s="8"/>
    </row>
    <row r="41307" spans="1:4" ht="15.75" customHeight="1">
      <c r="A41307" s="8"/>
      <c r="B41307" s="12"/>
      <c r="C41307" s="8"/>
      <c r="D41307" s="8"/>
    </row>
    <row r="41308" spans="1:4" ht="15.75" customHeight="1">
      <c r="A41308" s="8"/>
      <c r="B41308" s="12"/>
      <c r="C41308" s="8"/>
      <c r="D41308" s="8"/>
    </row>
    <row r="41309" spans="1:4" ht="15.75" customHeight="1">
      <c r="A41309" s="8"/>
      <c r="B41309" s="12"/>
      <c r="C41309" s="8"/>
      <c r="D41309" s="8"/>
    </row>
    <row r="41310" spans="1:4" ht="15.75" customHeight="1">
      <c r="A41310" s="8"/>
      <c r="B41310" s="12"/>
      <c r="C41310" s="8"/>
      <c r="D41310" s="8"/>
    </row>
    <row r="41311" spans="1:4" ht="15.75" customHeight="1">
      <c r="A41311" s="8"/>
      <c r="B41311" s="12"/>
      <c r="C41311" s="8"/>
      <c r="D41311" s="8"/>
    </row>
    <row r="41312" spans="1:4" ht="15.75" customHeight="1">
      <c r="A41312" s="8"/>
      <c r="B41312" s="12"/>
      <c r="C41312" s="8"/>
      <c r="D41312" s="8"/>
    </row>
    <row r="41313" spans="1:4" ht="15.75" customHeight="1">
      <c r="A41313" s="8"/>
      <c r="B41313" s="12"/>
      <c r="C41313" s="8"/>
      <c r="D41313" s="8"/>
    </row>
    <row r="41314" spans="1:4" ht="15.75" customHeight="1">
      <c r="A41314" s="8"/>
      <c r="B41314" s="12"/>
      <c r="C41314" s="8"/>
      <c r="D41314" s="8"/>
    </row>
    <row r="41315" spans="1:4" ht="15.75" customHeight="1">
      <c r="A41315" s="8"/>
      <c r="B41315" s="12"/>
      <c r="C41315" s="8"/>
      <c r="D41315" s="8"/>
    </row>
    <row r="41316" spans="1:4" ht="15.75" customHeight="1">
      <c r="A41316" s="8"/>
      <c r="B41316" s="12"/>
      <c r="C41316" s="8"/>
      <c r="D41316" s="8"/>
    </row>
    <row r="41317" spans="1:4" ht="15.75" customHeight="1">
      <c r="A41317" s="8"/>
      <c r="B41317" s="12"/>
      <c r="C41317" s="8"/>
      <c r="D41317" s="8"/>
    </row>
    <row r="41318" spans="1:4" ht="15.75" customHeight="1">
      <c r="A41318" s="8"/>
      <c r="B41318" s="12"/>
      <c r="C41318" s="8"/>
      <c r="D41318" s="8"/>
    </row>
    <row r="41319" spans="1:4" ht="15.75" customHeight="1">
      <c r="A41319" s="8"/>
      <c r="B41319" s="12"/>
      <c r="C41319" s="8"/>
      <c r="D41319" s="8"/>
    </row>
    <row r="41320" spans="1:4" ht="15.75" customHeight="1">
      <c r="A41320" s="8"/>
      <c r="B41320" s="12"/>
      <c r="C41320" s="8"/>
      <c r="D41320" s="8"/>
    </row>
    <row r="41321" spans="1:4" ht="15.75" customHeight="1">
      <c r="A41321" s="8"/>
      <c r="B41321" s="12"/>
      <c r="C41321" s="8"/>
      <c r="D41321" s="8"/>
    </row>
    <row r="41322" spans="1:4" ht="15.75" customHeight="1">
      <c r="A41322" s="8"/>
      <c r="B41322" s="12"/>
      <c r="C41322" s="8"/>
      <c r="D41322" s="8"/>
    </row>
    <row r="41323" spans="1:4" ht="15.75" customHeight="1">
      <c r="A41323" s="8"/>
      <c r="B41323" s="12"/>
      <c r="C41323" s="8"/>
      <c r="D41323" s="8"/>
    </row>
    <row r="41324" spans="1:4" ht="15.75" customHeight="1">
      <c r="A41324" s="8"/>
      <c r="B41324" s="12"/>
      <c r="C41324" s="8"/>
      <c r="D41324" s="8"/>
    </row>
    <row r="41325" spans="1:4" ht="15.75" customHeight="1">
      <c r="A41325" s="8"/>
      <c r="B41325" s="12"/>
      <c r="C41325" s="8"/>
      <c r="D41325" s="8"/>
    </row>
    <row r="41326" spans="1:4" ht="15.75" customHeight="1">
      <c r="A41326" s="8"/>
      <c r="B41326" s="12"/>
      <c r="C41326" s="8"/>
      <c r="D41326" s="8"/>
    </row>
    <row r="41327" spans="1:4" ht="15.75" customHeight="1">
      <c r="A41327" s="8"/>
      <c r="B41327" s="12"/>
      <c r="C41327" s="8"/>
      <c r="D41327" s="8"/>
    </row>
    <row r="41328" spans="1:4" ht="15.75" customHeight="1">
      <c r="A41328" s="8"/>
      <c r="B41328" s="12"/>
      <c r="C41328" s="8"/>
      <c r="D41328" s="8"/>
    </row>
    <row r="41329" spans="1:4" ht="15.75" customHeight="1">
      <c r="A41329" s="8"/>
      <c r="B41329" s="12"/>
      <c r="C41329" s="8"/>
      <c r="D41329" s="8"/>
    </row>
    <row r="41330" spans="1:4" ht="15.75" customHeight="1">
      <c r="A41330" s="8"/>
      <c r="B41330" s="12"/>
      <c r="C41330" s="8"/>
      <c r="D41330" s="8"/>
    </row>
    <row r="41331" spans="1:4" ht="15.75" customHeight="1">
      <c r="A41331" s="8"/>
      <c r="B41331" s="12"/>
      <c r="C41331" s="8"/>
      <c r="D41331" s="8"/>
    </row>
    <row r="41332" spans="1:4" ht="15.75" customHeight="1">
      <c r="A41332" s="8"/>
      <c r="B41332" s="12"/>
      <c r="C41332" s="8"/>
      <c r="D41332" s="8"/>
    </row>
    <row r="41333" spans="1:4" ht="15.75" customHeight="1">
      <c r="A41333" s="8"/>
      <c r="B41333" s="12"/>
      <c r="C41333" s="8"/>
      <c r="D41333" s="8"/>
    </row>
    <row r="41334" spans="1:4" ht="15.75" customHeight="1">
      <c r="A41334" s="8"/>
      <c r="B41334" s="12"/>
      <c r="C41334" s="8"/>
      <c r="D41334" s="8"/>
    </row>
    <row r="41335" spans="1:4" ht="15.75" customHeight="1">
      <c r="A41335" s="8"/>
      <c r="B41335" s="12"/>
      <c r="C41335" s="8"/>
      <c r="D41335" s="8"/>
    </row>
    <row r="41336" spans="1:4" ht="15.75" customHeight="1">
      <c r="A41336" s="8"/>
      <c r="B41336" s="12"/>
      <c r="C41336" s="8"/>
      <c r="D41336" s="8"/>
    </row>
    <row r="41337" spans="1:4" ht="15.75" customHeight="1">
      <c r="A41337" s="8"/>
      <c r="B41337" s="12"/>
      <c r="C41337" s="8"/>
      <c r="D41337" s="8"/>
    </row>
    <row r="41338" spans="1:4" ht="15.75" customHeight="1">
      <c r="A41338" s="8"/>
      <c r="B41338" s="12"/>
      <c r="C41338" s="8"/>
      <c r="D41338" s="8"/>
    </row>
    <row r="41339" spans="1:4" ht="15.75" customHeight="1">
      <c r="A41339" s="8"/>
      <c r="B41339" s="12"/>
      <c r="C41339" s="8"/>
      <c r="D41339" s="8"/>
    </row>
    <row r="41340" spans="1:4" ht="15.75" customHeight="1">
      <c r="A41340" s="8"/>
      <c r="B41340" s="12"/>
      <c r="C41340" s="8"/>
      <c r="D41340" s="8"/>
    </row>
    <row r="41341" spans="1:4" ht="15.75" customHeight="1">
      <c r="A41341" s="8"/>
      <c r="B41341" s="12"/>
      <c r="C41341" s="8"/>
      <c r="D41341" s="8"/>
    </row>
    <row r="41342" spans="1:4" ht="15.75" customHeight="1">
      <c r="A41342" s="8"/>
      <c r="B41342" s="12"/>
      <c r="C41342" s="8"/>
      <c r="D41342" s="8"/>
    </row>
    <row r="41343" spans="1:4" ht="15.75" customHeight="1">
      <c r="A41343" s="8"/>
      <c r="B41343" s="12"/>
      <c r="C41343" s="8"/>
      <c r="D41343" s="8"/>
    </row>
    <row r="41344" spans="1:4" ht="15.75" customHeight="1">
      <c r="A41344" s="8"/>
      <c r="B41344" s="12"/>
      <c r="C41344" s="8"/>
      <c r="D41344" s="8"/>
    </row>
    <row r="41345" spans="1:4" ht="15.75" customHeight="1">
      <c r="A41345" s="8"/>
      <c r="B41345" s="12"/>
      <c r="C41345" s="8"/>
      <c r="D41345" s="8"/>
    </row>
    <row r="41346" spans="1:4" ht="15.75" customHeight="1">
      <c r="A41346" s="8"/>
      <c r="B41346" s="12"/>
      <c r="C41346" s="8"/>
      <c r="D41346" s="8"/>
    </row>
    <row r="41347" spans="1:4" ht="15.75" customHeight="1">
      <c r="A41347" s="8"/>
      <c r="B41347" s="12"/>
      <c r="C41347" s="8"/>
      <c r="D41347" s="8"/>
    </row>
    <row r="41348" spans="1:4" ht="15.75" customHeight="1">
      <c r="A41348" s="8"/>
      <c r="B41348" s="12"/>
      <c r="C41348" s="8"/>
      <c r="D41348" s="8"/>
    </row>
    <row r="41349" spans="1:4" ht="15.75" customHeight="1">
      <c r="A41349" s="8"/>
      <c r="B41349" s="12"/>
      <c r="C41349" s="8"/>
      <c r="D41349" s="8"/>
    </row>
    <row r="41350" spans="1:4" ht="15.75" customHeight="1">
      <c r="A41350" s="8"/>
      <c r="B41350" s="12"/>
      <c r="C41350" s="8"/>
      <c r="D41350" s="8"/>
    </row>
    <row r="41351" spans="1:4" ht="15.75" customHeight="1">
      <c r="A41351" s="8"/>
      <c r="B41351" s="12"/>
      <c r="C41351" s="8"/>
      <c r="D41351" s="8"/>
    </row>
    <row r="41352" spans="1:4" ht="15.75" customHeight="1">
      <c r="A41352" s="8"/>
      <c r="B41352" s="12"/>
      <c r="C41352" s="8"/>
      <c r="D41352" s="8"/>
    </row>
    <row r="41353" spans="1:4" ht="15.75" customHeight="1">
      <c r="A41353" s="8"/>
      <c r="B41353" s="12"/>
      <c r="C41353" s="8"/>
      <c r="D41353" s="8"/>
    </row>
    <row r="41354" spans="1:4" ht="15.75" customHeight="1">
      <c r="A41354" s="8"/>
      <c r="B41354" s="12"/>
      <c r="C41354" s="8"/>
      <c r="D41354" s="8"/>
    </row>
    <row r="41355" spans="1:4" ht="15.75" customHeight="1">
      <c r="A41355" s="8"/>
      <c r="B41355" s="12"/>
      <c r="C41355" s="8"/>
      <c r="D41355" s="8"/>
    </row>
    <row r="41356" spans="1:4" ht="15.75" customHeight="1">
      <c r="A41356" s="8"/>
      <c r="B41356" s="12"/>
      <c r="C41356" s="8"/>
      <c r="D41356" s="8"/>
    </row>
    <row r="41357" spans="1:4" ht="15.75" customHeight="1">
      <c r="A41357" s="8"/>
      <c r="B41357" s="12"/>
      <c r="C41357" s="8"/>
      <c r="D41357" s="8"/>
    </row>
    <row r="41358" spans="1:4" ht="15.75" customHeight="1">
      <c r="A41358" s="8"/>
      <c r="B41358" s="12"/>
      <c r="C41358" s="8"/>
      <c r="D41358" s="8"/>
    </row>
    <row r="41359" spans="1:4" ht="15.75" customHeight="1">
      <c r="A41359" s="8"/>
      <c r="B41359" s="12"/>
      <c r="C41359" s="8"/>
      <c r="D41359" s="8"/>
    </row>
    <row r="41360" spans="1:4" ht="15.75" customHeight="1">
      <c r="A41360" s="8"/>
      <c r="B41360" s="12"/>
      <c r="C41360" s="8"/>
      <c r="D41360" s="8"/>
    </row>
    <row r="41361" spans="1:4" ht="15.75" customHeight="1">
      <c r="A41361" s="8"/>
      <c r="B41361" s="12"/>
      <c r="C41361" s="8"/>
      <c r="D41361" s="8"/>
    </row>
    <row r="41362" spans="1:4" ht="15.75" customHeight="1">
      <c r="A41362" s="8"/>
      <c r="B41362" s="12"/>
      <c r="C41362" s="8"/>
      <c r="D41362" s="8"/>
    </row>
    <row r="41363" spans="1:4" ht="15.75" customHeight="1">
      <c r="A41363" s="8"/>
      <c r="B41363" s="12"/>
      <c r="C41363" s="8"/>
      <c r="D41363" s="8"/>
    </row>
    <row r="41364" spans="1:4" ht="15.75" customHeight="1">
      <c r="A41364" s="8"/>
      <c r="B41364" s="12"/>
      <c r="C41364" s="8"/>
      <c r="D41364" s="8"/>
    </row>
    <row r="41365" spans="1:4" ht="15.75" customHeight="1">
      <c r="A41365" s="8"/>
      <c r="B41365" s="12"/>
      <c r="C41365" s="8"/>
      <c r="D41365" s="8"/>
    </row>
    <row r="41366" spans="1:4" ht="15.75" customHeight="1">
      <c r="A41366" s="8"/>
      <c r="B41366" s="12"/>
      <c r="C41366" s="8"/>
      <c r="D41366" s="8"/>
    </row>
    <row r="41367" spans="1:4" ht="15.75" customHeight="1">
      <c r="A41367" s="8"/>
      <c r="B41367" s="12"/>
      <c r="C41367" s="8"/>
      <c r="D41367" s="8"/>
    </row>
    <row r="41368" spans="1:4" ht="15.75" customHeight="1">
      <c r="A41368" s="8"/>
      <c r="B41368" s="12"/>
      <c r="C41368" s="8"/>
      <c r="D41368" s="8"/>
    </row>
    <row r="41369" spans="1:4" ht="15.75" customHeight="1">
      <c r="A41369" s="8"/>
      <c r="B41369" s="12"/>
      <c r="C41369" s="8"/>
      <c r="D41369" s="8"/>
    </row>
    <row r="41370" spans="1:4" ht="15.75" customHeight="1">
      <c r="A41370" s="8"/>
      <c r="B41370" s="12"/>
      <c r="C41370" s="8"/>
      <c r="D41370" s="8"/>
    </row>
    <row r="41371" spans="1:4" ht="15.75" customHeight="1">
      <c r="A41371" s="8"/>
      <c r="B41371" s="12"/>
      <c r="C41371" s="8"/>
      <c r="D41371" s="8"/>
    </row>
    <row r="41372" spans="1:4" ht="15.75" customHeight="1">
      <c r="A41372" s="8"/>
      <c r="B41372" s="12"/>
      <c r="C41372" s="8"/>
      <c r="D41372" s="8"/>
    </row>
    <row r="41373" spans="1:4" ht="15.75" customHeight="1">
      <c r="A41373" s="8"/>
      <c r="B41373" s="12"/>
      <c r="C41373" s="8"/>
      <c r="D41373" s="8"/>
    </row>
    <row r="41374" spans="1:4" ht="15.75" customHeight="1">
      <c r="A41374" s="8"/>
      <c r="B41374" s="12"/>
      <c r="C41374" s="8"/>
      <c r="D41374" s="8"/>
    </row>
    <row r="41375" spans="1:4" ht="15.75" customHeight="1">
      <c r="A41375" s="8"/>
      <c r="B41375" s="12"/>
      <c r="C41375" s="8"/>
      <c r="D41375" s="8"/>
    </row>
    <row r="41376" spans="1:4" ht="15.75" customHeight="1">
      <c r="A41376" s="8"/>
      <c r="B41376" s="12"/>
      <c r="C41376" s="8"/>
      <c r="D41376" s="8"/>
    </row>
    <row r="41377" spans="1:4" ht="15.75" customHeight="1">
      <c r="A41377" s="8"/>
      <c r="B41377" s="12"/>
      <c r="C41377" s="8"/>
      <c r="D41377" s="8"/>
    </row>
    <row r="41378" spans="1:4" ht="15.75" customHeight="1">
      <c r="A41378" s="8"/>
      <c r="B41378" s="12"/>
      <c r="C41378" s="8"/>
      <c r="D41378" s="8"/>
    </row>
    <row r="41379" spans="1:4" ht="15.75" customHeight="1">
      <c r="A41379" s="8"/>
      <c r="B41379" s="12"/>
      <c r="C41379" s="8"/>
      <c r="D41379" s="8"/>
    </row>
    <row r="41380" spans="1:4" ht="15.75" customHeight="1">
      <c r="A41380" s="8"/>
      <c r="B41380" s="12"/>
      <c r="C41380" s="8"/>
      <c r="D41380" s="8"/>
    </row>
    <row r="41381" spans="1:4" ht="15.75" customHeight="1">
      <c r="A41381" s="8"/>
      <c r="B41381" s="12"/>
      <c r="C41381" s="8"/>
      <c r="D41381" s="8"/>
    </row>
    <row r="41382" spans="1:4" ht="15.75" customHeight="1">
      <c r="A41382" s="8"/>
      <c r="B41382" s="12"/>
      <c r="C41382" s="8"/>
      <c r="D41382" s="8"/>
    </row>
    <row r="41383" spans="1:4" ht="15.75" customHeight="1">
      <c r="A41383" s="8"/>
      <c r="B41383" s="12"/>
      <c r="C41383" s="8"/>
      <c r="D41383" s="8"/>
    </row>
    <row r="41384" spans="1:4" ht="15.75" customHeight="1">
      <c r="A41384" s="8"/>
      <c r="B41384" s="12"/>
      <c r="C41384" s="8"/>
      <c r="D41384" s="8"/>
    </row>
    <row r="41385" spans="1:4" ht="15.75" customHeight="1">
      <c r="A41385" s="8"/>
      <c r="B41385" s="12"/>
      <c r="C41385" s="8"/>
      <c r="D41385" s="8"/>
    </row>
    <row r="41386" spans="1:4" ht="15.75" customHeight="1">
      <c r="A41386" s="8"/>
      <c r="B41386" s="12"/>
      <c r="C41386" s="8"/>
      <c r="D41386" s="8"/>
    </row>
    <row r="41387" spans="1:4" ht="15.75" customHeight="1">
      <c r="A41387" s="8"/>
      <c r="B41387" s="12"/>
      <c r="C41387" s="8"/>
      <c r="D41387" s="8"/>
    </row>
    <row r="41388" spans="1:4" ht="15.75" customHeight="1">
      <c r="A41388" s="8"/>
      <c r="B41388" s="12"/>
      <c r="C41388" s="8"/>
      <c r="D41388" s="8"/>
    </row>
    <row r="41389" spans="1:4" ht="15.75" customHeight="1">
      <c r="A41389" s="8"/>
      <c r="B41389" s="12"/>
      <c r="C41389" s="8"/>
      <c r="D41389" s="8"/>
    </row>
    <row r="41390" spans="1:4" ht="15.75" customHeight="1">
      <c r="A41390" s="8"/>
      <c r="B41390" s="12"/>
      <c r="C41390" s="8"/>
      <c r="D41390" s="8"/>
    </row>
    <row r="41391" spans="1:4" ht="15.75" customHeight="1">
      <c r="A41391" s="8"/>
      <c r="B41391" s="12"/>
      <c r="C41391" s="8"/>
      <c r="D41391" s="8"/>
    </row>
    <row r="41392" spans="1:4" ht="15.75" customHeight="1">
      <c r="A41392" s="8"/>
      <c r="B41392" s="12"/>
      <c r="C41392" s="8"/>
      <c r="D41392" s="8"/>
    </row>
    <row r="41393" spans="1:4" ht="15.75" customHeight="1">
      <c r="A41393" s="8"/>
      <c r="B41393" s="12"/>
      <c r="C41393" s="8"/>
      <c r="D41393" s="8"/>
    </row>
    <row r="41394" spans="1:4" ht="15.75" customHeight="1">
      <c r="A41394" s="8"/>
      <c r="B41394" s="12"/>
      <c r="C41394" s="8"/>
      <c r="D41394" s="8"/>
    </row>
    <row r="41395" spans="1:4" ht="15.75" customHeight="1">
      <c r="A41395" s="8"/>
      <c r="B41395" s="12"/>
      <c r="C41395" s="8"/>
      <c r="D41395" s="8"/>
    </row>
    <row r="41396" spans="1:4" ht="15.75" customHeight="1">
      <c r="A41396" s="8"/>
      <c r="B41396" s="12"/>
      <c r="C41396" s="8"/>
      <c r="D41396" s="8"/>
    </row>
    <row r="41397" spans="1:4" ht="15.75" customHeight="1">
      <c r="A41397" s="8"/>
      <c r="B41397" s="12"/>
      <c r="C41397" s="8"/>
      <c r="D41397" s="8"/>
    </row>
    <row r="41398" spans="1:4" ht="15.75" customHeight="1">
      <c r="A41398" s="8"/>
      <c r="B41398" s="12"/>
      <c r="C41398" s="8"/>
      <c r="D41398" s="8"/>
    </row>
    <row r="41399" spans="1:4" ht="15.75" customHeight="1">
      <c r="A41399" s="8"/>
      <c r="B41399" s="12"/>
      <c r="C41399" s="8"/>
      <c r="D41399" s="8"/>
    </row>
    <row r="41400" spans="1:4" ht="15.75" customHeight="1">
      <c r="A41400" s="8"/>
      <c r="B41400" s="12"/>
      <c r="C41400" s="8"/>
      <c r="D41400" s="8"/>
    </row>
    <row r="41401" spans="1:4" ht="15.75" customHeight="1">
      <c r="A41401" s="8"/>
      <c r="B41401" s="12"/>
      <c r="C41401" s="8"/>
      <c r="D41401" s="8"/>
    </row>
    <row r="41402" spans="1:4" ht="15.75" customHeight="1">
      <c r="A41402" s="8"/>
      <c r="B41402" s="12"/>
      <c r="C41402" s="8"/>
      <c r="D41402" s="8"/>
    </row>
    <row r="41403" spans="1:4" ht="15.75" customHeight="1">
      <c r="A41403" s="8"/>
      <c r="B41403" s="12"/>
      <c r="C41403" s="8"/>
      <c r="D41403" s="8"/>
    </row>
    <row r="41404" spans="1:4" ht="15.75" customHeight="1">
      <c r="A41404" s="8"/>
      <c r="B41404" s="12"/>
      <c r="C41404" s="8"/>
      <c r="D41404" s="8"/>
    </row>
    <row r="41405" spans="1:4" ht="15.75" customHeight="1">
      <c r="A41405" s="8"/>
      <c r="B41405" s="12"/>
      <c r="C41405" s="8"/>
      <c r="D41405" s="8"/>
    </row>
    <row r="41406" spans="1:4" ht="15.75" customHeight="1">
      <c r="A41406" s="8"/>
      <c r="B41406" s="12"/>
      <c r="C41406" s="8"/>
      <c r="D41406" s="8"/>
    </row>
    <row r="41407" spans="1:4" ht="15.75" customHeight="1">
      <c r="A41407" s="8"/>
      <c r="B41407" s="12"/>
      <c r="C41407" s="8"/>
      <c r="D41407" s="8"/>
    </row>
    <row r="41408" spans="1:4" ht="15.75" customHeight="1">
      <c r="A41408" s="8"/>
      <c r="B41408" s="12"/>
      <c r="C41408" s="8"/>
      <c r="D41408" s="8"/>
    </row>
    <row r="41409" spans="1:4" ht="15.75" customHeight="1">
      <c r="A41409" s="8"/>
      <c r="B41409" s="12"/>
      <c r="C41409" s="8"/>
      <c r="D41409" s="8"/>
    </row>
    <row r="41410" spans="1:4" ht="15.75" customHeight="1">
      <c r="A41410" s="8"/>
      <c r="B41410" s="12"/>
      <c r="C41410" s="8"/>
      <c r="D41410" s="8"/>
    </row>
    <row r="41411" spans="1:4" ht="15.75" customHeight="1">
      <c r="A41411" s="8"/>
      <c r="B41411" s="12"/>
      <c r="C41411" s="8"/>
      <c r="D41411" s="8"/>
    </row>
    <row r="41412" spans="1:4" ht="15.75" customHeight="1">
      <c r="A41412" s="8"/>
      <c r="B41412" s="12"/>
      <c r="C41412" s="8"/>
      <c r="D41412" s="8"/>
    </row>
    <row r="41413" spans="1:4" ht="15.75" customHeight="1">
      <c r="A41413" s="8"/>
      <c r="B41413" s="12"/>
      <c r="C41413" s="8"/>
      <c r="D41413" s="8"/>
    </row>
    <row r="41414" spans="1:4" ht="15.75" customHeight="1">
      <c r="A41414" s="8"/>
      <c r="B41414" s="12"/>
      <c r="C41414" s="8"/>
      <c r="D41414" s="8"/>
    </row>
    <row r="41415" spans="1:4" ht="15.75" customHeight="1">
      <c r="A41415" s="8"/>
      <c r="B41415" s="12"/>
      <c r="C41415" s="8"/>
      <c r="D41415" s="8"/>
    </row>
    <row r="41416" spans="1:4" ht="15.75" customHeight="1">
      <c r="A41416" s="8"/>
      <c r="B41416" s="12"/>
      <c r="C41416" s="8"/>
      <c r="D41416" s="8"/>
    </row>
    <row r="41417" spans="1:4" ht="15.75" customHeight="1">
      <c r="A41417" s="8"/>
      <c r="B41417" s="12"/>
      <c r="C41417" s="8"/>
      <c r="D41417" s="8"/>
    </row>
    <row r="41418" spans="1:4" ht="15.75" customHeight="1">
      <c r="A41418" s="8"/>
      <c r="B41418" s="12"/>
      <c r="C41418" s="8"/>
      <c r="D41418" s="8"/>
    </row>
    <row r="41419" spans="1:4" ht="15.75" customHeight="1">
      <c r="A41419" s="8"/>
      <c r="B41419" s="12"/>
      <c r="C41419" s="8"/>
      <c r="D41419" s="8"/>
    </row>
    <row r="41420" spans="1:4" ht="15.75" customHeight="1">
      <c r="A41420" s="8"/>
      <c r="B41420" s="12"/>
      <c r="C41420" s="8"/>
      <c r="D41420" s="8"/>
    </row>
    <row r="41421" spans="1:4" ht="15.75" customHeight="1">
      <c r="A41421" s="8"/>
      <c r="B41421" s="12"/>
      <c r="C41421" s="8"/>
      <c r="D41421" s="8"/>
    </row>
    <row r="41422" spans="1:4" ht="15.75" customHeight="1">
      <c r="A41422" s="8"/>
      <c r="B41422" s="12"/>
      <c r="C41422" s="8"/>
      <c r="D41422" s="8"/>
    </row>
    <row r="41423" spans="1:4" ht="15.75" customHeight="1">
      <c r="A41423" s="8"/>
      <c r="B41423" s="12"/>
      <c r="C41423" s="8"/>
      <c r="D41423" s="8"/>
    </row>
    <row r="41424" spans="1:4" ht="15.75" customHeight="1">
      <c r="A41424" s="8"/>
      <c r="B41424" s="12"/>
      <c r="C41424" s="8"/>
      <c r="D41424" s="8"/>
    </row>
    <row r="41425" spans="1:4" ht="15.75" customHeight="1">
      <c r="A41425" s="8"/>
      <c r="B41425" s="12"/>
      <c r="C41425" s="8"/>
      <c r="D41425" s="8"/>
    </row>
    <row r="41426" spans="1:4" ht="15.75" customHeight="1">
      <c r="A41426" s="8"/>
      <c r="B41426" s="12"/>
      <c r="C41426" s="8"/>
      <c r="D41426" s="8"/>
    </row>
    <row r="41427" spans="1:4" ht="15.75" customHeight="1">
      <c r="A41427" s="8"/>
      <c r="B41427" s="12"/>
      <c r="C41427" s="8"/>
      <c r="D41427" s="8"/>
    </row>
    <row r="41428" spans="1:4" ht="15.75" customHeight="1">
      <c r="A41428" s="8"/>
      <c r="B41428" s="12"/>
      <c r="C41428" s="8"/>
      <c r="D41428" s="8"/>
    </row>
    <row r="41429" spans="1:4" ht="15.75" customHeight="1">
      <c r="A41429" s="8"/>
      <c r="B41429" s="12"/>
      <c r="C41429" s="8"/>
      <c r="D41429" s="8"/>
    </row>
    <row r="41430" spans="1:4" ht="15.75" customHeight="1">
      <c r="A41430" s="8"/>
      <c r="B41430" s="12"/>
      <c r="C41430" s="8"/>
      <c r="D41430" s="8"/>
    </row>
    <row r="41431" spans="1:4" ht="15.75" customHeight="1">
      <c r="A41431" s="8"/>
      <c r="B41431" s="12"/>
      <c r="C41431" s="8"/>
      <c r="D41431" s="8"/>
    </row>
    <row r="41432" spans="1:4" ht="15.75" customHeight="1">
      <c r="A41432" s="8"/>
      <c r="B41432" s="12"/>
      <c r="C41432" s="8"/>
      <c r="D41432" s="8"/>
    </row>
    <row r="41433" spans="1:4" ht="15.75" customHeight="1">
      <c r="A41433" s="8"/>
      <c r="B41433" s="12"/>
      <c r="C41433" s="8"/>
      <c r="D41433" s="8"/>
    </row>
    <row r="41434" spans="1:4" ht="15.75" customHeight="1">
      <c r="A41434" s="8"/>
      <c r="B41434" s="12"/>
      <c r="C41434" s="8"/>
      <c r="D41434" s="8"/>
    </row>
    <row r="41435" spans="1:4" ht="15.75" customHeight="1">
      <c r="A41435" s="8"/>
      <c r="B41435" s="12"/>
      <c r="C41435" s="8"/>
      <c r="D41435" s="8"/>
    </row>
    <row r="41436" spans="1:4" ht="15.75" customHeight="1">
      <c r="A41436" s="8"/>
      <c r="B41436" s="12"/>
      <c r="C41436" s="8"/>
      <c r="D41436" s="8"/>
    </row>
    <row r="41437" spans="1:4" ht="15.75" customHeight="1">
      <c r="A41437" s="8"/>
      <c r="B41437" s="12"/>
      <c r="C41437" s="8"/>
      <c r="D41437" s="8"/>
    </row>
    <row r="41438" spans="1:4" ht="15.75" customHeight="1">
      <c r="A41438" s="8"/>
      <c r="B41438" s="12"/>
      <c r="C41438" s="8"/>
      <c r="D41438" s="8"/>
    </row>
    <row r="41439" spans="1:4" ht="15.75" customHeight="1">
      <c r="A41439" s="8"/>
      <c r="B41439" s="12"/>
      <c r="C41439" s="8"/>
      <c r="D41439" s="8"/>
    </row>
    <row r="41440" spans="1:4" ht="15.75" customHeight="1">
      <c r="A41440" s="8"/>
      <c r="B41440" s="12"/>
      <c r="C41440" s="8"/>
      <c r="D41440" s="8"/>
    </row>
    <row r="41441" spans="1:4" ht="15.75" customHeight="1">
      <c r="A41441" s="8"/>
      <c r="B41441" s="12"/>
      <c r="C41441" s="8"/>
      <c r="D41441" s="8"/>
    </row>
    <row r="41442" spans="1:4" ht="15.75" customHeight="1">
      <c r="A41442" s="8"/>
      <c r="B41442" s="12"/>
      <c r="C41442" s="8"/>
      <c r="D41442" s="8"/>
    </row>
    <row r="41443" spans="1:4" ht="15.75" customHeight="1">
      <c r="A41443" s="8"/>
      <c r="B41443" s="12"/>
      <c r="C41443" s="8"/>
      <c r="D41443" s="8"/>
    </row>
    <row r="41444" spans="1:4" ht="15.75" customHeight="1">
      <c r="A41444" s="8"/>
      <c r="B41444" s="12"/>
      <c r="C41444" s="8"/>
      <c r="D41444" s="8"/>
    </row>
    <row r="41445" spans="1:4" ht="15.75" customHeight="1">
      <c r="A41445" s="8"/>
      <c r="B41445" s="12"/>
      <c r="C41445" s="8"/>
      <c r="D41445" s="8"/>
    </row>
    <row r="41446" spans="1:4" ht="15.75" customHeight="1">
      <c r="A41446" s="8"/>
      <c r="B41446" s="12"/>
      <c r="C41446" s="8"/>
      <c r="D41446" s="8"/>
    </row>
    <row r="41447" spans="1:4" ht="15.75" customHeight="1">
      <c r="A41447" s="8"/>
      <c r="B41447" s="12"/>
      <c r="C41447" s="8"/>
      <c r="D41447" s="8"/>
    </row>
    <row r="41448" spans="1:4" ht="15.75" customHeight="1">
      <c r="A41448" s="8"/>
      <c r="B41448" s="12"/>
      <c r="C41448" s="8"/>
      <c r="D41448" s="8"/>
    </row>
    <row r="41449" spans="1:4" ht="15.75" customHeight="1">
      <c r="A41449" s="8"/>
      <c r="B41449" s="12"/>
      <c r="C41449" s="8"/>
      <c r="D41449" s="8"/>
    </row>
    <row r="41450" spans="1:4" ht="15.75" customHeight="1">
      <c r="A41450" s="8"/>
      <c r="B41450" s="12"/>
      <c r="C41450" s="8"/>
      <c r="D41450" s="8"/>
    </row>
    <row r="41451" spans="1:4" ht="15.75" customHeight="1">
      <c r="A41451" s="8"/>
      <c r="B41451" s="12"/>
      <c r="C41451" s="8"/>
      <c r="D41451" s="8"/>
    </row>
    <row r="41452" spans="1:4" ht="15.75" customHeight="1">
      <c r="A41452" s="8"/>
      <c r="B41452" s="12"/>
      <c r="C41452" s="8"/>
      <c r="D41452" s="8"/>
    </row>
    <row r="41453" spans="1:4" ht="15.75" customHeight="1">
      <c r="A41453" s="8"/>
      <c r="B41453" s="12"/>
      <c r="C41453" s="8"/>
      <c r="D41453" s="8"/>
    </row>
    <row r="41454" spans="1:4" ht="15.75" customHeight="1">
      <c r="A41454" s="8"/>
      <c r="B41454" s="12"/>
      <c r="C41454" s="8"/>
      <c r="D41454" s="8"/>
    </row>
    <row r="41455" spans="1:4" ht="15.75" customHeight="1">
      <c r="A41455" s="8"/>
      <c r="B41455" s="12"/>
      <c r="C41455" s="8"/>
      <c r="D41455" s="8"/>
    </row>
    <row r="41456" spans="1:4" ht="15.75" customHeight="1">
      <c r="A41456" s="8"/>
      <c r="B41456" s="12"/>
      <c r="C41456" s="8"/>
      <c r="D41456" s="8"/>
    </row>
    <row r="41457" spans="1:4" ht="15.75" customHeight="1">
      <c r="A41457" s="8"/>
      <c r="B41457" s="12"/>
      <c r="C41457" s="8"/>
      <c r="D41457" s="8"/>
    </row>
    <row r="41458" spans="1:4" ht="15.75" customHeight="1">
      <c r="A41458" s="8"/>
      <c r="B41458" s="12"/>
      <c r="C41458" s="8"/>
      <c r="D41458" s="8"/>
    </row>
    <row r="41459" spans="1:4" ht="15.75" customHeight="1">
      <c r="A41459" s="8"/>
      <c r="B41459" s="12"/>
      <c r="C41459" s="8"/>
      <c r="D41459" s="8"/>
    </row>
    <row r="41460" spans="1:4" ht="15.75" customHeight="1">
      <c r="A41460" s="8"/>
      <c r="B41460" s="12"/>
      <c r="C41460" s="8"/>
      <c r="D41460" s="8"/>
    </row>
    <row r="41461" spans="1:4" ht="15.75" customHeight="1">
      <c r="A41461" s="8"/>
      <c r="B41461" s="12"/>
      <c r="C41461" s="8"/>
      <c r="D41461" s="8"/>
    </row>
    <row r="41462" spans="1:4" ht="15.75" customHeight="1">
      <c r="A41462" s="8"/>
      <c r="B41462" s="12"/>
      <c r="C41462" s="8"/>
      <c r="D41462" s="8"/>
    </row>
    <row r="41463" spans="1:4" ht="15.75" customHeight="1">
      <c r="A41463" s="8"/>
      <c r="B41463" s="12"/>
      <c r="C41463" s="8"/>
      <c r="D41463" s="8"/>
    </row>
    <row r="41464" spans="1:4" ht="15.75" customHeight="1">
      <c r="A41464" s="8"/>
      <c r="B41464" s="12"/>
      <c r="C41464" s="8"/>
      <c r="D41464" s="8"/>
    </row>
    <row r="41465" spans="1:4" ht="15.75" customHeight="1">
      <c r="A41465" s="8"/>
      <c r="B41465" s="12"/>
      <c r="C41465" s="8"/>
      <c r="D41465" s="8"/>
    </row>
    <row r="41466" spans="1:4" ht="15.75" customHeight="1">
      <c r="A41466" s="8"/>
      <c r="B41466" s="12"/>
      <c r="C41466" s="8"/>
      <c r="D41466" s="8"/>
    </row>
    <row r="41467" spans="1:4" ht="15.75" customHeight="1">
      <c r="A41467" s="8"/>
      <c r="B41467" s="12"/>
      <c r="C41467" s="8"/>
      <c r="D41467" s="8"/>
    </row>
    <row r="41468" spans="1:4" ht="15.75" customHeight="1">
      <c r="A41468" s="8"/>
      <c r="B41468" s="12"/>
      <c r="C41468" s="8"/>
      <c r="D41468" s="8"/>
    </row>
    <row r="41469" spans="1:4" ht="15.75" customHeight="1">
      <c r="A41469" s="8"/>
      <c r="B41469" s="12"/>
      <c r="C41469" s="8"/>
      <c r="D41469" s="8"/>
    </row>
    <row r="41470" spans="1:4" ht="15.75" customHeight="1">
      <c r="A41470" s="8"/>
      <c r="B41470" s="12"/>
      <c r="C41470" s="8"/>
      <c r="D41470" s="8"/>
    </row>
    <row r="41471" spans="1:4" ht="15.75" customHeight="1">
      <c r="A41471" s="8"/>
      <c r="B41471" s="12"/>
      <c r="C41471" s="8"/>
      <c r="D41471" s="8"/>
    </row>
    <row r="41472" spans="1:4" ht="15.75" customHeight="1">
      <c r="A41472" s="8"/>
      <c r="B41472" s="12"/>
      <c r="C41472" s="8"/>
      <c r="D41472" s="8"/>
    </row>
    <row r="41473" spans="1:4" ht="15.75" customHeight="1">
      <c r="A41473" s="8"/>
      <c r="B41473" s="12"/>
      <c r="C41473" s="8"/>
      <c r="D41473" s="8"/>
    </row>
    <row r="41474" spans="1:4" ht="15.75" customHeight="1">
      <c r="A41474" s="8"/>
      <c r="B41474" s="12"/>
      <c r="C41474" s="8"/>
      <c r="D41474" s="8"/>
    </row>
    <row r="41475" spans="1:4" ht="15.75" customHeight="1">
      <c r="A41475" s="8"/>
      <c r="B41475" s="12"/>
      <c r="C41475" s="8"/>
      <c r="D41475" s="8"/>
    </row>
    <row r="41476" spans="1:4" ht="15.75" customHeight="1">
      <c r="A41476" s="8"/>
      <c r="B41476" s="12"/>
      <c r="C41476" s="8"/>
      <c r="D41476" s="8"/>
    </row>
    <row r="41477" spans="1:4" ht="15.75" customHeight="1">
      <c r="A41477" s="8"/>
      <c r="B41477" s="12"/>
      <c r="C41477" s="8"/>
      <c r="D41477" s="8"/>
    </row>
    <row r="41478" spans="1:4" ht="15.75" customHeight="1">
      <c r="A41478" s="8"/>
      <c r="B41478" s="12"/>
      <c r="C41478" s="8"/>
      <c r="D41478" s="8"/>
    </row>
    <row r="41479" spans="1:4" ht="15.75" customHeight="1">
      <c r="A41479" s="8"/>
      <c r="B41479" s="12"/>
      <c r="C41479" s="8"/>
      <c r="D41479" s="8"/>
    </row>
    <row r="41480" spans="1:4" ht="15.75" customHeight="1">
      <c r="A41480" s="8"/>
      <c r="B41480" s="12"/>
      <c r="C41480" s="8"/>
      <c r="D41480" s="8"/>
    </row>
    <row r="41481" spans="1:4" ht="15.75" customHeight="1">
      <c r="A41481" s="8"/>
      <c r="B41481" s="12"/>
      <c r="C41481" s="8"/>
      <c r="D41481" s="8"/>
    </row>
    <row r="41482" spans="1:4" ht="15.75" customHeight="1">
      <c r="A41482" s="8"/>
      <c r="B41482" s="12"/>
      <c r="C41482" s="8"/>
      <c r="D41482" s="8"/>
    </row>
    <row r="41483" spans="1:4" ht="15.75" customHeight="1">
      <c r="A41483" s="8"/>
      <c r="B41483" s="12"/>
      <c r="C41483" s="8"/>
      <c r="D41483" s="8"/>
    </row>
    <row r="41484" spans="1:4" ht="15.75" customHeight="1">
      <c r="A41484" s="8"/>
      <c r="B41484" s="12"/>
      <c r="C41484" s="8"/>
      <c r="D41484" s="8"/>
    </row>
    <row r="41485" spans="1:4" ht="15.75" customHeight="1">
      <c r="A41485" s="8"/>
      <c r="B41485" s="12"/>
      <c r="C41485" s="8"/>
      <c r="D41485" s="8"/>
    </row>
    <row r="41486" spans="1:4" ht="15.75" customHeight="1">
      <c r="A41486" s="8"/>
      <c r="B41486" s="12"/>
      <c r="C41486" s="8"/>
      <c r="D41486" s="8"/>
    </row>
    <row r="41487" spans="1:4" ht="15.75" customHeight="1">
      <c r="A41487" s="8"/>
      <c r="B41487" s="12"/>
      <c r="C41487" s="8"/>
      <c r="D41487" s="8"/>
    </row>
    <row r="41488" spans="1:4" ht="15.75" customHeight="1">
      <c r="A41488" s="8"/>
      <c r="B41488" s="12"/>
      <c r="C41488" s="8"/>
      <c r="D41488" s="8"/>
    </row>
    <row r="41489" spans="1:4" ht="15.75" customHeight="1">
      <c r="A41489" s="8"/>
      <c r="B41489" s="12"/>
      <c r="C41489" s="8"/>
      <c r="D41489" s="8"/>
    </row>
    <row r="41490" spans="1:4" ht="15.75" customHeight="1">
      <c r="A41490" s="8"/>
      <c r="B41490" s="12"/>
      <c r="C41490" s="8"/>
      <c r="D41490" s="8"/>
    </row>
    <row r="41491" spans="1:4" ht="15.75" customHeight="1">
      <c r="A41491" s="8"/>
      <c r="B41491" s="12"/>
      <c r="C41491" s="8"/>
      <c r="D41491" s="8"/>
    </row>
    <row r="41492" spans="1:4" ht="15.75" customHeight="1">
      <c r="A41492" s="8"/>
      <c r="B41492" s="12"/>
      <c r="C41492" s="8"/>
      <c r="D41492" s="8"/>
    </row>
    <row r="41493" spans="1:4" ht="15.75" customHeight="1">
      <c r="A41493" s="8"/>
      <c r="B41493" s="12"/>
      <c r="C41493" s="8"/>
      <c r="D41493" s="8"/>
    </row>
    <row r="41494" spans="1:4" ht="15.75" customHeight="1">
      <c r="A41494" s="8"/>
      <c r="B41494" s="12"/>
      <c r="C41494" s="8"/>
      <c r="D41494" s="8"/>
    </row>
    <row r="41495" spans="1:4" ht="15.75" customHeight="1">
      <c r="A41495" s="8"/>
      <c r="B41495" s="12"/>
      <c r="C41495" s="8"/>
      <c r="D41495" s="8"/>
    </row>
    <row r="41496" spans="1:4" ht="15.75" customHeight="1">
      <c r="A41496" s="8"/>
      <c r="B41496" s="12"/>
      <c r="C41496" s="8"/>
      <c r="D41496" s="8"/>
    </row>
    <row r="41497" spans="1:4" ht="15.75" customHeight="1">
      <c r="A41497" s="8"/>
      <c r="B41497" s="12"/>
      <c r="C41497" s="8"/>
      <c r="D41497" s="8"/>
    </row>
    <row r="41498" spans="1:4" ht="15.75" customHeight="1">
      <c r="A41498" s="8"/>
      <c r="B41498" s="12"/>
      <c r="C41498" s="8"/>
      <c r="D41498" s="8"/>
    </row>
    <row r="41499" spans="1:4" ht="15.75" customHeight="1">
      <c r="A41499" s="8"/>
      <c r="B41499" s="12"/>
      <c r="C41499" s="8"/>
      <c r="D41499" s="8"/>
    </row>
    <row r="41500" spans="1:4" ht="15.75" customHeight="1">
      <c r="A41500" s="8"/>
      <c r="B41500" s="12"/>
      <c r="C41500" s="8"/>
      <c r="D41500" s="8"/>
    </row>
    <row r="41501" spans="1:4" ht="15.75" customHeight="1">
      <c r="A41501" s="8"/>
      <c r="B41501" s="12"/>
      <c r="C41501" s="8"/>
      <c r="D41501" s="8"/>
    </row>
    <row r="41502" spans="1:4" ht="15.75" customHeight="1">
      <c r="A41502" s="8"/>
      <c r="B41502" s="12"/>
      <c r="C41502" s="8"/>
      <c r="D41502" s="8"/>
    </row>
    <row r="41503" spans="1:4" ht="15.75" customHeight="1">
      <c r="A41503" s="8"/>
      <c r="B41503" s="12"/>
      <c r="C41503" s="8"/>
      <c r="D41503" s="8"/>
    </row>
    <row r="41504" spans="1:4" ht="15.75" customHeight="1">
      <c r="A41504" s="8"/>
      <c r="B41504" s="12"/>
      <c r="C41504" s="8"/>
      <c r="D41504" s="8"/>
    </row>
    <row r="41505" spans="1:4" ht="15.75" customHeight="1">
      <c r="A41505" s="8"/>
      <c r="B41505" s="12"/>
      <c r="C41505" s="8"/>
      <c r="D41505" s="8"/>
    </row>
    <row r="41506" spans="1:4" ht="15.75" customHeight="1">
      <c r="A41506" s="8"/>
      <c r="B41506" s="12"/>
      <c r="C41506" s="8"/>
      <c r="D41506" s="8"/>
    </row>
    <row r="41507" spans="1:4" ht="15.75" customHeight="1">
      <c r="A41507" s="8"/>
      <c r="B41507" s="12"/>
      <c r="C41507" s="8"/>
      <c r="D41507" s="8"/>
    </row>
    <row r="41508" spans="1:4" ht="15.75" customHeight="1">
      <c r="A41508" s="8"/>
      <c r="B41508" s="12"/>
      <c r="C41508" s="8"/>
      <c r="D41508" s="8"/>
    </row>
    <row r="41509" spans="1:4" ht="15.75" customHeight="1">
      <c r="A41509" s="8"/>
      <c r="B41509" s="12"/>
      <c r="C41509" s="8"/>
      <c r="D41509" s="8"/>
    </row>
    <row r="41510" spans="1:4" ht="15.75" customHeight="1">
      <c r="A41510" s="8"/>
      <c r="B41510" s="12"/>
      <c r="C41510" s="8"/>
      <c r="D41510" s="8"/>
    </row>
    <row r="41511" spans="1:4" ht="15.75" customHeight="1">
      <c r="A41511" s="8"/>
      <c r="B41511" s="12"/>
      <c r="C41511" s="8"/>
      <c r="D41511" s="8"/>
    </row>
    <row r="41512" spans="1:4" ht="15.75" customHeight="1">
      <c r="A41512" s="8"/>
      <c r="B41512" s="12"/>
      <c r="C41512" s="8"/>
      <c r="D41512" s="8"/>
    </row>
    <row r="41513" spans="1:4" ht="15.75" customHeight="1">
      <c r="A41513" s="8"/>
      <c r="B41513" s="12"/>
      <c r="C41513" s="8"/>
      <c r="D41513" s="8"/>
    </row>
    <row r="41514" spans="1:4" ht="15.75" customHeight="1">
      <c r="A41514" s="8"/>
      <c r="B41514" s="12"/>
      <c r="C41514" s="8"/>
      <c r="D41514" s="8"/>
    </row>
    <row r="41515" spans="1:4" ht="15.75" customHeight="1">
      <c r="A41515" s="8"/>
      <c r="B41515" s="12"/>
      <c r="C41515" s="8"/>
      <c r="D41515" s="8"/>
    </row>
    <row r="41516" spans="1:4" ht="15.75" customHeight="1">
      <c r="A41516" s="8"/>
      <c r="B41516" s="12"/>
      <c r="C41516" s="8"/>
      <c r="D41516" s="8"/>
    </row>
    <row r="41517" spans="1:4" ht="15.75" customHeight="1">
      <c r="A41517" s="8"/>
      <c r="B41517" s="12"/>
      <c r="C41517" s="8"/>
      <c r="D41517" s="8"/>
    </row>
    <row r="41518" spans="1:4" ht="15.75" customHeight="1">
      <c r="A41518" s="8"/>
      <c r="B41518" s="12"/>
      <c r="C41518" s="8"/>
      <c r="D41518" s="8"/>
    </row>
    <row r="41519" spans="1:4" ht="15.75" customHeight="1">
      <c r="A41519" s="8"/>
      <c r="B41519" s="12"/>
      <c r="C41519" s="8"/>
      <c r="D41519" s="8"/>
    </row>
    <row r="41520" spans="1:4" ht="15.75" customHeight="1">
      <c r="A41520" s="8"/>
      <c r="B41520" s="12"/>
      <c r="C41520" s="8"/>
      <c r="D41520" s="8"/>
    </row>
    <row r="41521" spans="1:4" ht="15.75" customHeight="1">
      <c r="A41521" s="8"/>
      <c r="B41521" s="12"/>
      <c r="C41521" s="8"/>
      <c r="D41521" s="8"/>
    </row>
    <row r="41522" spans="1:4" ht="15.75" customHeight="1">
      <c r="A41522" s="8"/>
      <c r="B41522" s="12"/>
      <c r="C41522" s="8"/>
      <c r="D41522" s="8"/>
    </row>
    <row r="41523" spans="1:4" ht="15.75" customHeight="1">
      <c r="A41523" s="8"/>
      <c r="B41523" s="12"/>
      <c r="C41523" s="8"/>
      <c r="D41523" s="8"/>
    </row>
    <row r="41524" spans="1:4" ht="15.75" customHeight="1">
      <c r="A41524" s="8"/>
      <c r="B41524" s="12"/>
      <c r="C41524" s="8"/>
      <c r="D41524" s="8"/>
    </row>
    <row r="41525" spans="1:4" ht="15.75" customHeight="1">
      <c r="A41525" s="8"/>
      <c r="B41525" s="12"/>
      <c r="C41525" s="8"/>
      <c r="D41525" s="8"/>
    </row>
    <row r="41526" spans="1:4" ht="15.75" customHeight="1">
      <c r="A41526" s="8"/>
      <c r="B41526" s="12"/>
      <c r="C41526" s="8"/>
      <c r="D41526" s="8"/>
    </row>
    <row r="41527" spans="1:4" ht="15.75" customHeight="1">
      <c r="A41527" s="8"/>
      <c r="B41527" s="12"/>
      <c r="C41527" s="8"/>
      <c r="D41527" s="8"/>
    </row>
    <row r="41528" spans="1:4" ht="15.75" customHeight="1">
      <c r="A41528" s="8"/>
      <c r="B41528" s="12"/>
      <c r="C41528" s="8"/>
      <c r="D41528" s="8"/>
    </row>
    <row r="41529" spans="1:4" ht="15.75" customHeight="1">
      <c r="A41529" s="8"/>
      <c r="B41529" s="12"/>
      <c r="C41529" s="8"/>
      <c r="D41529" s="8"/>
    </row>
    <row r="41530" spans="1:4" ht="15.75" customHeight="1">
      <c r="A41530" s="8"/>
      <c r="B41530" s="12"/>
      <c r="C41530" s="8"/>
      <c r="D41530" s="8"/>
    </row>
    <row r="41531" spans="1:4" ht="15.75" customHeight="1">
      <c r="A41531" s="8"/>
      <c r="B41531" s="12"/>
      <c r="C41531" s="8"/>
      <c r="D41531" s="8"/>
    </row>
    <row r="41532" spans="1:4" ht="15.75" customHeight="1">
      <c r="A41532" s="8"/>
      <c r="B41532" s="12"/>
      <c r="C41532" s="8"/>
      <c r="D41532" s="8"/>
    </row>
    <row r="41533" spans="1:4" ht="15.75" customHeight="1">
      <c r="A41533" s="8"/>
      <c r="B41533" s="12"/>
      <c r="C41533" s="8"/>
      <c r="D41533" s="8"/>
    </row>
    <row r="41534" spans="1:4" ht="15.75" customHeight="1">
      <c r="A41534" s="8"/>
      <c r="B41534" s="12"/>
      <c r="C41534" s="8"/>
      <c r="D41534" s="8"/>
    </row>
    <row r="41535" spans="1:4" ht="15.75" customHeight="1">
      <c r="A41535" s="8"/>
      <c r="B41535" s="12"/>
      <c r="C41535" s="8"/>
      <c r="D41535" s="8"/>
    </row>
    <row r="41536" spans="1:4" ht="15.75" customHeight="1">
      <c r="A41536" s="8"/>
      <c r="B41536" s="12"/>
      <c r="C41536" s="8"/>
      <c r="D41536" s="8"/>
    </row>
    <row r="41537" spans="1:4" ht="15.75" customHeight="1">
      <c r="A41537" s="8"/>
      <c r="B41537" s="12"/>
      <c r="C41537" s="8"/>
      <c r="D41537" s="8"/>
    </row>
    <row r="41538" spans="1:4" ht="15.75" customHeight="1">
      <c r="A41538" s="8"/>
      <c r="B41538" s="12"/>
      <c r="C41538" s="8"/>
      <c r="D41538" s="8"/>
    </row>
    <row r="41539" spans="1:4" ht="15.75" customHeight="1">
      <c r="A41539" s="8"/>
      <c r="B41539" s="12"/>
      <c r="C41539" s="8"/>
      <c r="D41539" s="8"/>
    </row>
    <row r="41540" spans="1:4" ht="15.75" customHeight="1">
      <c r="A41540" s="8"/>
      <c r="B41540" s="12"/>
      <c r="C41540" s="8"/>
      <c r="D41540" s="8"/>
    </row>
    <row r="41541" spans="1:4" ht="15.75" customHeight="1">
      <c r="A41541" s="8"/>
      <c r="B41541" s="12"/>
      <c r="C41541" s="8"/>
      <c r="D41541" s="8"/>
    </row>
    <row r="41542" spans="1:4" ht="15.75" customHeight="1">
      <c r="A41542" s="8"/>
      <c r="B41542" s="12"/>
      <c r="C41542" s="8"/>
      <c r="D41542" s="8"/>
    </row>
    <row r="41543" spans="1:4" ht="15.75" customHeight="1">
      <c r="A41543" s="8"/>
      <c r="B41543" s="12"/>
      <c r="C41543" s="8"/>
      <c r="D41543" s="8"/>
    </row>
    <row r="41544" spans="1:4" ht="15.75" customHeight="1">
      <c r="A41544" s="8"/>
      <c r="B41544" s="12"/>
      <c r="C41544" s="8"/>
      <c r="D41544" s="8"/>
    </row>
    <row r="41545" spans="1:4" ht="15.75" customHeight="1">
      <c r="A41545" s="8"/>
      <c r="B41545" s="12"/>
      <c r="C41545" s="8"/>
      <c r="D41545" s="8"/>
    </row>
    <row r="41546" spans="1:4" ht="15.75" customHeight="1">
      <c r="A41546" s="8"/>
      <c r="B41546" s="12"/>
      <c r="C41546" s="8"/>
      <c r="D41546" s="8"/>
    </row>
    <row r="41547" spans="1:4" ht="15.75" customHeight="1">
      <c r="A41547" s="8"/>
      <c r="B41547" s="12"/>
      <c r="C41547" s="8"/>
      <c r="D41547" s="8"/>
    </row>
    <row r="41548" spans="1:4" ht="15.75" customHeight="1">
      <c r="A41548" s="8"/>
      <c r="B41548" s="12"/>
      <c r="C41548" s="8"/>
      <c r="D41548" s="8"/>
    </row>
    <row r="41549" spans="1:4" ht="15.75" customHeight="1">
      <c r="A41549" s="8"/>
      <c r="B41549" s="12"/>
      <c r="C41549" s="8"/>
      <c r="D41549" s="8"/>
    </row>
    <row r="41550" spans="1:4" ht="15.75" customHeight="1">
      <c r="A41550" s="8"/>
      <c r="B41550" s="12"/>
      <c r="C41550" s="8"/>
      <c r="D41550" s="8"/>
    </row>
    <row r="41551" spans="1:4" ht="15.75" customHeight="1">
      <c r="A41551" s="8"/>
      <c r="B41551" s="12"/>
      <c r="C41551" s="8"/>
      <c r="D41551" s="8"/>
    </row>
    <row r="41552" spans="1:4" ht="15.75" customHeight="1">
      <c r="A41552" s="8"/>
      <c r="B41552" s="12"/>
      <c r="C41552" s="8"/>
      <c r="D41552" s="8"/>
    </row>
    <row r="41553" spans="1:4" ht="15.75" customHeight="1">
      <c r="A41553" s="8"/>
      <c r="B41553" s="12"/>
      <c r="C41553" s="8"/>
      <c r="D41553" s="8"/>
    </row>
    <row r="41554" spans="1:4" ht="15.75" customHeight="1">
      <c r="A41554" s="8"/>
      <c r="B41554" s="12"/>
      <c r="C41554" s="8"/>
      <c r="D41554" s="8"/>
    </row>
    <row r="41555" spans="1:4" ht="15.75" customHeight="1">
      <c r="A41555" s="8"/>
      <c r="B41555" s="12"/>
      <c r="C41555" s="8"/>
      <c r="D41555" s="8"/>
    </row>
    <row r="41556" spans="1:4" ht="15.75" customHeight="1">
      <c r="A41556" s="8"/>
      <c r="B41556" s="12"/>
      <c r="C41556" s="8"/>
      <c r="D41556" s="8"/>
    </row>
    <row r="41557" spans="1:4" ht="15.75" customHeight="1">
      <c r="A41557" s="8"/>
      <c r="B41557" s="12"/>
      <c r="C41557" s="8"/>
      <c r="D41557" s="8"/>
    </row>
    <row r="41558" spans="1:4" ht="15.75" customHeight="1">
      <c r="A41558" s="8"/>
      <c r="B41558" s="12"/>
      <c r="C41558" s="8"/>
      <c r="D41558" s="8"/>
    </row>
    <row r="41559" spans="1:4" ht="15.75" customHeight="1">
      <c r="A41559" s="8"/>
      <c r="B41559" s="12"/>
      <c r="C41559" s="8"/>
      <c r="D41559" s="8"/>
    </row>
    <row r="41560" spans="1:4" ht="15.75" customHeight="1">
      <c r="A41560" s="8"/>
      <c r="B41560" s="12"/>
      <c r="C41560" s="8"/>
      <c r="D41560" s="8"/>
    </row>
    <row r="41561" spans="1:4" ht="15.75" customHeight="1">
      <c r="A41561" s="8"/>
      <c r="B41561" s="12"/>
      <c r="C41561" s="8"/>
      <c r="D41561" s="8"/>
    </row>
    <row r="41562" spans="1:4" ht="15.75" customHeight="1">
      <c r="A41562" s="8"/>
      <c r="B41562" s="12"/>
      <c r="C41562" s="8"/>
      <c r="D41562" s="8"/>
    </row>
    <row r="41563" spans="1:4" ht="15.75" customHeight="1">
      <c r="A41563" s="8"/>
      <c r="B41563" s="12"/>
      <c r="C41563" s="8"/>
      <c r="D41563" s="8"/>
    </row>
    <row r="41564" spans="1:4" ht="15.75" customHeight="1">
      <c r="A41564" s="8"/>
      <c r="B41564" s="12"/>
      <c r="C41564" s="8"/>
      <c r="D41564" s="8"/>
    </row>
    <row r="41565" spans="1:4" ht="15.75" customHeight="1">
      <c r="A41565" s="8"/>
      <c r="B41565" s="12"/>
      <c r="C41565" s="8"/>
      <c r="D41565" s="8"/>
    </row>
    <row r="41566" spans="1:4" ht="15.75" customHeight="1">
      <c r="A41566" s="8"/>
      <c r="B41566" s="12"/>
      <c r="C41566" s="8"/>
      <c r="D41566" s="8"/>
    </row>
    <row r="41567" spans="1:4" ht="15.75" customHeight="1">
      <c r="A41567" s="8"/>
      <c r="B41567" s="12"/>
      <c r="C41567" s="8"/>
      <c r="D41567" s="8"/>
    </row>
    <row r="41568" spans="1:4" ht="15.75" customHeight="1">
      <c r="A41568" s="8"/>
      <c r="B41568" s="12"/>
      <c r="C41568" s="8"/>
      <c r="D41568" s="8"/>
    </row>
    <row r="41569" spans="1:4" ht="15.75" customHeight="1">
      <c r="A41569" s="8"/>
      <c r="B41569" s="12"/>
      <c r="C41569" s="8"/>
      <c r="D41569" s="8"/>
    </row>
    <row r="41570" spans="1:4" ht="15.75" customHeight="1">
      <c r="A41570" s="8"/>
      <c r="B41570" s="12"/>
      <c r="C41570" s="8"/>
      <c r="D41570" s="8"/>
    </row>
    <row r="41571" spans="1:4" ht="15.75" customHeight="1">
      <c r="A41571" s="8"/>
      <c r="B41571" s="12"/>
      <c r="C41571" s="8"/>
      <c r="D41571" s="8"/>
    </row>
    <row r="41572" spans="1:4" ht="15.75" customHeight="1">
      <c r="A41572" s="8"/>
      <c r="B41572" s="12"/>
      <c r="C41572" s="8"/>
      <c r="D41572" s="8"/>
    </row>
    <row r="41573" spans="1:4" ht="15.75" customHeight="1">
      <c r="A41573" s="8"/>
      <c r="B41573" s="12"/>
      <c r="C41573" s="8"/>
      <c r="D41573" s="8"/>
    </row>
    <row r="41574" spans="1:4" ht="15.75" customHeight="1">
      <c r="A41574" s="8"/>
      <c r="B41574" s="12"/>
      <c r="C41574" s="8"/>
      <c r="D41574" s="8"/>
    </row>
    <row r="41575" spans="1:4" ht="15.75" customHeight="1">
      <c r="A41575" s="8"/>
      <c r="B41575" s="12"/>
      <c r="C41575" s="8"/>
      <c r="D41575" s="8"/>
    </row>
    <row r="41576" spans="1:4" ht="15.75" customHeight="1">
      <c r="A41576" s="8"/>
      <c r="B41576" s="12"/>
      <c r="C41576" s="8"/>
      <c r="D41576" s="8"/>
    </row>
    <row r="41577" spans="1:4" ht="15.75" customHeight="1">
      <c r="A41577" s="8"/>
      <c r="B41577" s="12"/>
      <c r="C41577" s="8"/>
      <c r="D41577" s="8"/>
    </row>
    <row r="41578" spans="1:4" ht="15.75" customHeight="1">
      <c r="A41578" s="8"/>
      <c r="B41578" s="12"/>
      <c r="C41578" s="8"/>
      <c r="D41578" s="8"/>
    </row>
    <row r="41579" spans="1:4" ht="15.75" customHeight="1">
      <c r="A41579" s="8"/>
      <c r="B41579" s="12"/>
      <c r="C41579" s="8"/>
      <c r="D41579" s="8"/>
    </row>
    <row r="41580" spans="1:4" ht="15.75" customHeight="1">
      <c r="A41580" s="8"/>
      <c r="B41580" s="12"/>
      <c r="C41580" s="8"/>
      <c r="D41580" s="8"/>
    </row>
    <row r="41581" spans="1:4" ht="15.75" customHeight="1">
      <c r="A41581" s="8"/>
      <c r="B41581" s="12"/>
      <c r="C41581" s="8"/>
      <c r="D41581" s="8"/>
    </row>
    <row r="41582" spans="1:4" ht="15.75" customHeight="1">
      <c r="A41582" s="8"/>
      <c r="B41582" s="12"/>
      <c r="C41582" s="8"/>
      <c r="D41582" s="8"/>
    </row>
    <row r="41583" spans="1:4" ht="15.75" customHeight="1">
      <c r="A41583" s="8"/>
      <c r="B41583" s="12"/>
      <c r="C41583" s="8"/>
      <c r="D41583" s="8"/>
    </row>
    <row r="41584" spans="1:4" ht="15.75" customHeight="1">
      <c r="A41584" s="8"/>
      <c r="B41584" s="12"/>
      <c r="C41584" s="8"/>
      <c r="D41584" s="8"/>
    </row>
    <row r="41585" spans="1:4" ht="15.75" customHeight="1">
      <c r="A41585" s="8"/>
      <c r="B41585" s="12"/>
      <c r="C41585" s="8"/>
      <c r="D41585" s="8"/>
    </row>
    <row r="41586" spans="1:4" ht="15.75" customHeight="1">
      <c r="A41586" s="8"/>
      <c r="B41586" s="12"/>
      <c r="C41586" s="8"/>
      <c r="D41586" s="8"/>
    </row>
    <row r="41587" spans="1:4" ht="15.75" customHeight="1">
      <c r="A41587" s="8"/>
      <c r="B41587" s="12"/>
      <c r="C41587" s="8"/>
      <c r="D41587" s="8"/>
    </row>
    <row r="41588" spans="1:4" ht="15.75" customHeight="1">
      <c r="A41588" s="8"/>
      <c r="B41588" s="12"/>
      <c r="C41588" s="8"/>
      <c r="D41588" s="8"/>
    </row>
    <row r="41589" spans="1:4" ht="15.75" customHeight="1">
      <c r="A41589" s="8"/>
      <c r="B41589" s="12"/>
      <c r="C41589" s="8"/>
      <c r="D41589" s="8"/>
    </row>
    <row r="41590" spans="1:4" ht="15.75" customHeight="1">
      <c r="A41590" s="8"/>
      <c r="B41590" s="12"/>
      <c r="C41590" s="8"/>
      <c r="D41590" s="8"/>
    </row>
    <row r="41591" spans="1:4" ht="15.75" customHeight="1">
      <c r="A41591" s="8"/>
      <c r="B41591" s="12"/>
      <c r="C41591" s="8"/>
      <c r="D41591" s="8"/>
    </row>
    <row r="41592" spans="1:4" ht="15.75" customHeight="1">
      <c r="A41592" s="8"/>
      <c r="B41592" s="12"/>
      <c r="C41592" s="8"/>
      <c r="D41592" s="8"/>
    </row>
    <row r="41593" spans="1:4" ht="15.75" customHeight="1">
      <c r="A41593" s="8"/>
      <c r="B41593" s="12"/>
      <c r="C41593" s="8"/>
      <c r="D41593" s="8"/>
    </row>
    <row r="41594" spans="1:4" ht="15.75" customHeight="1">
      <c r="A41594" s="8"/>
      <c r="B41594" s="12"/>
      <c r="C41594" s="8"/>
      <c r="D41594" s="8"/>
    </row>
    <row r="41595" spans="1:4" ht="15.75" customHeight="1">
      <c r="A41595" s="8"/>
      <c r="B41595" s="12"/>
      <c r="C41595" s="8"/>
      <c r="D41595" s="8"/>
    </row>
    <row r="41596" spans="1:4" ht="15.75" customHeight="1">
      <c r="A41596" s="8"/>
      <c r="B41596" s="12"/>
      <c r="C41596" s="8"/>
      <c r="D41596" s="8"/>
    </row>
    <row r="41597" spans="1:4" ht="15.75" customHeight="1">
      <c r="A41597" s="8"/>
      <c r="B41597" s="12"/>
      <c r="C41597" s="8"/>
      <c r="D41597" s="8"/>
    </row>
    <row r="41598" spans="1:4" ht="15.75" customHeight="1">
      <c r="A41598" s="8"/>
      <c r="B41598" s="12"/>
      <c r="C41598" s="8"/>
      <c r="D41598" s="8"/>
    </row>
    <row r="41599" spans="1:4" ht="15.75" customHeight="1">
      <c r="A41599" s="8"/>
      <c r="B41599" s="12"/>
      <c r="C41599" s="8"/>
      <c r="D41599" s="8"/>
    </row>
    <row r="41600" spans="1:4" ht="15.75" customHeight="1">
      <c r="A41600" s="8"/>
      <c r="B41600" s="12"/>
      <c r="C41600" s="8"/>
      <c r="D41600" s="8"/>
    </row>
    <row r="41601" spans="1:4" ht="15.75" customHeight="1">
      <c r="A41601" s="8"/>
      <c r="B41601" s="12"/>
      <c r="C41601" s="8"/>
      <c r="D41601" s="8"/>
    </row>
    <row r="41602" spans="1:4" ht="15.75" customHeight="1">
      <c r="A41602" s="8"/>
      <c r="B41602" s="12"/>
      <c r="C41602" s="8"/>
      <c r="D41602" s="8"/>
    </row>
    <row r="41603" spans="1:4" ht="15.75" customHeight="1">
      <c r="A41603" s="8"/>
      <c r="B41603" s="12"/>
      <c r="C41603" s="8"/>
      <c r="D41603" s="8"/>
    </row>
    <row r="41604" spans="1:4" ht="15.75" customHeight="1">
      <c r="A41604" s="8"/>
      <c r="B41604" s="12"/>
      <c r="C41604" s="8"/>
      <c r="D41604" s="8"/>
    </row>
    <row r="41605" spans="1:4" ht="15.75" customHeight="1">
      <c r="A41605" s="8"/>
      <c r="B41605" s="12"/>
      <c r="C41605" s="8"/>
      <c r="D41605" s="8"/>
    </row>
    <row r="41606" spans="1:4" ht="15.75" customHeight="1">
      <c r="A41606" s="8"/>
      <c r="B41606" s="12"/>
      <c r="C41606" s="8"/>
      <c r="D41606" s="8"/>
    </row>
    <row r="41607" spans="1:4" ht="15.75" customHeight="1">
      <c r="A41607" s="8"/>
      <c r="B41607" s="12"/>
      <c r="C41607" s="8"/>
      <c r="D41607" s="8"/>
    </row>
    <row r="41608" spans="1:4" ht="15.75" customHeight="1">
      <c r="A41608" s="8"/>
      <c r="B41608" s="12"/>
      <c r="C41608" s="8"/>
      <c r="D41608" s="8"/>
    </row>
    <row r="41609" spans="1:4" ht="15.75" customHeight="1">
      <c r="A41609" s="8"/>
      <c r="B41609" s="12"/>
      <c r="C41609" s="8"/>
      <c r="D41609" s="8"/>
    </row>
    <row r="41610" spans="1:4" ht="15.75" customHeight="1">
      <c r="A41610" s="8"/>
      <c r="B41610" s="12"/>
      <c r="C41610" s="8"/>
      <c r="D41610" s="8"/>
    </row>
    <row r="41611" spans="1:4" ht="15.75" customHeight="1">
      <c r="A41611" s="8"/>
      <c r="B41611" s="12"/>
      <c r="C41611" s="8"/>
      <c r="D41611" s="8"/>
    </row>
    <row r="41612" spans="1:4" ht="15.75" customHeight="1">
      <c r="A41612" s="8"/>
      <c r="B41612" s="12"/>
      <c r="C41612" s="8"/>
      <c r="D41612" s="8"/>
    </row>
    <row r="41613" spans="1:4" ht="15.75" customHeight="1">
      <c r="A41613" s="8"/>
      <c r="B41613" s="12"/>
      <c r="C41613" s="8"/>
      <c r="D41613" s="8"/>
    </row>
    <row r="41614" spans="1:4" ht="15.75" customHeight="1">
      <c r="A41614" s="8"/>
      <c r="B41614" s="12"/>
      <c r="C41614" s="8"/>
      <c r="D41614" s="8"/>
    </row>
    <row r="41615" spans="1:4" ht="15.75" customHeight="1">
      <c r="A41615" s="8"/>
      <c r="B41615" s="12"/>
      <c r="C41615" s="8"/>
      <c r="D41615" s="8"/>
    </row>
    <row r="41616" spans="1:4" ht="15.75" customHeight="1">
      <c r="A41616" s="8"/>
      <c r="B41616" s="12"/>
      <c r="C41616" s="8"/>
      <c r="D41616" s="8"/>
    </row>
    <row r="41617" spans="1:4" ht="15.75" customHeight="1">
      <c r="A41617" s="8"/>
      <c r="B41617" s="12"/>
      <c r="C41617" s="8"/>
      <c r="D41617" s="8"/>
    </row>
    <row r="41618" spans="1:4" ht="15.75" customHeight="1">
      <c r="A41618" s="8"/>
      <c r="B41618" s="12"/>
      <c r="C41618" s="8"/>
      <c r="D41618" s="8"/>
    </row>
    <row r="41619" spans="1:4" ht="15.75" customHeight="1">
      <c r="A41619" s="8"/>
      <c r="B41619" s="12"/>
      <c r="C41619" s="8"/>
      <c r="D41619" s="8"/>
    </row>
    <row r="41620" spans="1:4" ht="15.75" customHeight="1">
      <c r="A41620" s="8"/>
      <c r="B41620" s="12"/>
      <c r="C41620" s="8"/>
      <c r="D41620" s="8"/>
    </row>
    <row r="41621" spans="1:4" ht="15.75" customHeight="1">
      <c r="A41621" s="8"/>
      <c r="B41621" s="12"/>
      <c r="C41621" s="8"/>
      <c r="D41621" s="8"/>
    </row>
    <row r="41622" spans="1:4" ht="15.75" customHeight="1">
      <c r="A41622" s="8"/>
      <c r="B41622" s="12"/>
      <c r="C41622" s="8"/>
      <c r="D41622" s="8"/>
    </row>
    <row r="41623" spans="1:4" ht="15.75" customHeight="1">
      <c r="A41623" s="8"/>
      <c r="B41623" s="12"/>
      <c r="C41623" s="8"/>
      <c r="D41623" s="8"/>
    </row>
    <row r="41624" spans="1:4" ht="15.75" customHeight="1">
      <c r="A41624" s="8"/>
      <c r="B41624" s="12"/>
      <c r="C41624" s="8"/>
      <c r="D41624" s="8"/>
    </row>
    <row r="41625" spans="1:4" ht="15.75" customHeight="1">
      <c r="A41625" s="8"/>
      <c r="B41625" s="12"/>
      <c r="C41625" s="8"/>
      <c r="D41625" s="8"/>
    </row>
    <row r="41626" spans="1:4" ht="15.75" customHeight="1">
      <c r="A41626" s="8"/>
      <c r="B41626" s="12"/>
      <c r="C41626" s="8"/>
      <c r="D41626" s="8"/>
    </row>
    <row r="41627" spans="1:4" ht="15.75" customHeight="1">
      <c r="A41627" s="8"/>
      <c r="B41627" s="12"/>
      <c r="C41627" s="8"/>
      <c r="D41627" s="8"/>
    </row>
    <row r="41628" spans="1:4" ht="15.75" customHeight="1">
      <c r="A41628" s="8"/>
      <c r="B41628" s="12"/>
      <c r="C41628" s="8"/>
      <c r="D41628" s="8"/>
    </row>
    <row r="41629" spans="1:4" ht="15.75" customHeight="1">
      <c r="A41629" s="8"/>
      <c r="B41629" s="12"/>
      <c r="C41629" s="8"/>
      <c r="D41629" s="8"/>
    </row>
    <row r="41630" spans="1:4" ht="15.75" customHeight="1">
      <c r="A41630" s="8"/>
      <c r="B41630" s="12"/>
      <c r="C41630" s="8"/>
      <c r="D41630" s="8"/>
    </row>
    <row r="41631" spans="1:4" ht="15.75" customHeight="1">
      <c r="A41631" s="8"/>
      <c r="B41631" s="12"/>
      <c r="C41631" s="8"/>
      <c r="D41631" s="8"/>
    </row>
    <row r="41632" spans="1:4" ht="15.75" customHeight="1">
      <c r="A41632" s="8"/>
      <c r="B41632" s="12"/>
      <c r="C41632" s="8"/>
      <c r="D41632" s="8"/>
    </row>
    <row r="41633" spans="1:4" ht="15.75" customHeight="1">
      <c r="A41633" s="8"/>
      <c r="B41633" s="12"/>
      <c r="C41633" s="8"/>
      <c r="D41633" s="8"/>
    </row>
    <row r="41634" spans="1:4" ht="15.75" customHeight="1">
      <c r="A41634" s="8"/>
      <c r="B41634" s="12"/>
      <c r="C41634" s="8"/>
      <c r="D41634" s="8"/>
    </row>
    <row r="41635" spans="1:4" ht="15.75" customHeight="1">
      <c r="A41635" s="8"/>
      <c r="B41635" s="12"/>
      <c r="C41635" s="8"/>
      <c r="D41635" s="8"/>
    </row>
    <row r="41636" spans="1:4" ht="15.75" customHeight="1">
      <c r="A41636" s="8"/>
      <c r="B41636" s="12"/>
      <c r="C41636" s="8"/>
      <c r="D41636" s="8"/>
    </row>
    <row r="41637" spans="1:4" ht="15.75" customHeight="1">
      <c r="A41637" s="8"/>
      <c r="B41637" s="12"/>
      <c r="C41637" s="8"/>
      <c r="D41637" s="8"/>
    </row>
    <row r="41638" spans="1:4" ht="15.75" customHeight="1">
      <c r="A41638" s="8"/>
      <c r="B41638" s="12"/>
      <c r="C41638" s="8"/>
      <c r="D41638" s="8"/>
    </row>
    <row r="41639" spans="1:4" ht="15.75" customHeight="1">
      <c r="A41639" s="8"/>
      <c r="B41639" s="12"/>
      <c r="C41639" s="8"/>
      <c r="D41639" s="8"/>
    </row>
    <row r="41640" spans="1:4" ht="15.75" customHeight="1">
      <c r="A41640" s="8"/>
      <c r="B41640" s="12"/>
      <c r="C41640" s="8"/>
      <c r="D41640" s="8"/>
    </row>
    <row r="41641" spans="1:4" ht="15.75" customHeight="1">
      <c r="A41641" s="8"/>
      <c r="B41641" s="12"/>
      <c r="C41641" s="8"/>
      <c r="D41641" s="8"/>
    </row>
    <row r="41642" spans="1:4" ht="15.75" customHeight="1">
      <c r="A41642" s="8"/>
      <c r="B41642" s="12"/>
      <c r="C41642" s="8"/>
      <c r="D41642" s="8"/>
    </row>
    <row r="41643" spans="1:4" ht="15.75" customHeight="1">
      <c r="A41643" s="8"/>
      <c r="B41643" s="12"/>
      <c r="C41643" s="8"/>
      <c r="D41643" s="8"/>
    </row>
    <row r="41644" spans="1:4" ht="15.75" customHeight="1">
      <c r="A41644" s="8"/>
      <c r="B41644" s="12"/>
      <c r="C41644" s="8"/>
      <c r="D41644" s="8"/>
    </row>
    <row r="41645" spans="1:4" ht="15.75" customHeight="1">
      <c r="A41645" s="8"/>
      <c r="B41645" s="12"/>
      <c r="C41645" s="8"/>
      <c r="D41645" s="8"/>
    </row>
    <row r="41646" spans="1:4" ht="15.75" customHeight="1">
      <c r="A41646" s="8"/>
      <c r="B41646" s="12"/>
      <c r="C41646" s="8"/>
      <c r="D41646" s="8"/>
    </row>
    <row r="41647" spans="1:4" ht="15.75" customHeight="1">
      <c r="A41647" s="8"/>
      <c r="B41647" s="12"/>
      <c r="C41647" s="8"/>
      <c r="D41647" s="8"/>
    </row>
    <row r="41648" spans="1:4" ht="15.75" customHeight="1">
      <c r="A41648" s="8"/>
      <c r="B41648" s="12"/>
      <c r="C41648" s="8"/>
      <c r="D41648" s="8"/>
    </row>
    <row r="41649" spans="1:4" ht="15.75" customHeight="1">
      <c r="A41649" s="8"/>
      <c r="B41649" s="12"/>
      <c r="C41649" s="8"/>
      <c r="D41649" s="8"/>
    </row>
    <row r="41650" spans="1:4" ht="15.75" customHeight="1">
      <c r="A41650" s="8"/>
      <c r="B41650" s="12"/>
      <c r="C41650" s="8"/>
      <c r="D41650" s="8"/>
    </row>
    <row r="41651" spans="1:4" ht="15.75" customHeight="1">
      <c r="A41651" s="8"/>
      <c r="B41651" s="12"/>
      <c r="C41651" s="8"/>
      <c r="D41651" s="8"/>
    </row>
    <row r="41652" spans="1:4" ht="15.75" customHeight="1">
      <c r="A41652" s="8"/>
      <c r="B41652" s="12"/>
      <c r="C41652" s="8"/>
      <c r="D41652" s="8"/>
    </row>
    <row r="41653" spans="1:4" ht="15.75" customHeight="1">
      <c r="A41653" s="8"/>
      <c r="B41653" s="12"/>
      <c r="C41653" s="8"/>
      <c r="D41653" s="8"/>
    </row>
    <row r="41654" spans="1:4" ht="15.75" customHeight="1">
      <c r="A41654" s="8"/>
      <c r="B41654" s="12"/>
      <c r="C41654" s="8"/>
      <c r="D41654" s="8"/>
    </row>
    <row r="41655" spans="1:4" ht="15.75" customHeight="1">
      <c r="A41655" s="8"/>
      <c r="B41655" s="12"/>
      <c r="C41655" s="8"/>
      <c r="D41655" s="8"/>
    </row>
    <row r="41656" spans="1:4" ht="15.75" customHeight="1">
      <c r="A41656" s="8"/>
      <c r="B41656" s="12"/>
      <c r="C41656" s="8"/>
      <c r="D41656" s="8"/>
    </row>
    <row r="41657" spans="1:4" ht="15.75" customHeight="1">
      <c r="A41657" s="8"/>
      <c r="B41657" s="12"/>
      <c r="C41657" s="8"/>
      <c r="D41657" s="8"/>
    </row>
    <row r="41658" spans="1:4" ht="15.75" customHeight="1">
      <c r="A41658" s="8"/>
      <c r="B41658" s="12"/>
      <c r="C41658" s="8"/>
      <c r="D41658" s="8"/>
    </row>
    <row r="41659" spans="1:4" ht="15.75" customHeight="1">
      <c r="A41659" s="8"/>
      <c r="B41659" s="12"/>
      <c r="C41659" s="8"/>
      <c r="D41659" s="8"/>
    </row>
    <row r="41660" spans="1:4" ht="15.75" customHeight="1">
      <c r="A41660" s="8"/>
      <c r="B41660" s="12"/>
      <c r="C41660" s="8"/>
      <c r="D41660" s="8"/>
    </row>
    <row r="41661" spans="1:4" ht="15.75" customHeight="1">
      <c r="A41661" s="8"/>
      <c r="B41661" s="12"/>
      <c r="C41661" s="8"/>
      <c r="D41661" s="8"/>
    </row>
    <row r="41662" spans="1:4" ht="15.75" customHeight="1">
      <c r="A41662" s="8"/>
      <c r="B41662" s="12"/>
      <c r="C41662" s="8"/>
      <c r="D41662" s="8"/>
    </row>
    <row r="41663" spans="1:4" ht="15.75" customHeight="1">
      <c r="A41663" s="8"/>
      <c r="B41663" s="12"/>
      <c r="C41663" s="8"/>
      <c r="D41663" s="8"/>
    </row>
    <row r="41664" spans="1:4" ht="15.75" customHeight="1">
      <c r="A41664" s="8"/>
      <c r="B41664" s="12"/>
      <c r="C41664" s="8"/>
      <c r="D41664" s="8"/>
    </row>
    <row r="41665" spans="1:4" ht="15.75" customHeight="1">
      <c r="A41665" s="8"/>
      <c r="B41665" s="12"/>
      <c r="C41665" s="8"/>
      <c r="D41665" s="8"/>
    </row>
    <row r="41666" spans="1:4" ht="15.75" customHeight="1">
      <c r="A41666" s="8"/>
      <c r="B41666" s="12"/>
      <c r="C41666" s="8"/>
      <c r="D41666" s="8"/>
    </row>
    <row r="41667" spans="1:4" ht="15.75" customHeight="1">
      <c r="A41667" s="8"/>
      <c r="B41667" s="12"/>
      <c r="C41667" s="8"/>
      <c r="D41667" s="8"/>
    </row>
    <row r="41668" spans="1:4" ht="15.75" customHeight="1">
      <c r="A41668" s="8"/>
      <c r="B41668" s="12"/>
      <c r="C41668" s="8"/>
      <c r="D41668" s="8"/>
    </row>
    <row r="41669" spans="1:4" ht="15.75" customHeight="1">
      <c r="A41669" s="8"/>
      <c r="B41669" s="12"/>
      <c r="C41669" s="8"/>
      <c r="D41669" s="8"/>
    </row>
    <row r="41670" spans="1:4" ht="15.75" customHeight="1">
      <c r="A41670" s="8"/>
      <c r="B41670" s="12"/>
      <c r="C41670" s="8"/>
      <c r="D41670" s="8"/>
    </row>
    <row r="41671" spans="1:4" ht="15.75" customHeight="1">
      <c r="A41671" s="8"/>
      <c r="B41671" s="12"/>
      <c r="C41671" s="8"/>
      <c r="D41671" s="8"/>
    </row>
    <row r="41672" spans="1:4" ht="15.75" customHeight="1">
      <c r="A41672" s="8"/>
      <c r="B41672" s="12"/>
      <c r="C41672" s="8"/>
      <c r="D41672" s="8"/>
    </row>
    <row r="41673" spans="1:4" ht="15.75" customHeight="1">
      <c r="A41673" s="8"/>
      <c r="B41673" s="12"/>
      <c r="C41673" s="8"/>
      <c r="D41673" s="8"/>
    </row>
    <row r="41674" spans="1:4" ht="15.75" customHeight="1">
      <c r="A41674" s="8"/>
      <c r="B41674" s="12"/>
      <c r="C41674" s="8"/>
      <c r="D41674" s="8"/>
    </row>
    <row r="41675" spans="1:4" ht="15.75" customHeight="1">
      <c r="A41675" s="8"/>
      <c r="B41675" s="12"/>
      <c r="C41675" s="8"/>
      <c r="D41675" s="8"/>
    </row>
    <row r="41676" spans="1:4" ht="15.75" customHeight="1">
      <c r="A41676" s="8"/>
      <c r="B41676" s="12"/>
      <c r="C41676" s="8"/>
      <c r="D41676" s="8"/>
    </row>
    <row r="41677" spans="1:4" ht="15.75" customHeight="1">
      <c r="A41677" s="8"/>
      <c r="B41677" s="12"/>
      <c r="C41677" s="8"/>
      <c r="D41677" s="8"/>
    </row>
    <row r="41678" spans="1:4" ht="15.75" customHeight="1">
      <c r="A41678" s="8"/>
      <c r="B41678" s="12"/>
      <c r="C41678" s="8"/>
      <c r="D41678" s="8"/>
    </row>
    <row r="41679" spans="1:4" ht="15.75" customHeight="1">
      <c r="A41679" s="8"/>
      <c r="B41679" s="12"/>
      <c r="C41679" s="8"/>
      <c r="D41679" s="8"/>
    </row>
    <row r="41680" spans="1:4" ht="15.75" customHeight="1">
      <c r="A41680" s="8"/>
      <c r="B41680" s="12"/>
      <c r="C41680" s="8"/>
      <c r="D41680" s="8"/>
    </row>
    <row r="41681" spans="1:4" ht="15.75" customHeight="1">
      <c r="A41681" s="8"/>
      <c r="B41681" s="12"/>
      <c r="C41681" s="8"/>
      <c r="D41681" s="8"/>
    </row>
    <row r="41682" spans="1:4" ht="15.75" customHeight="1">
      <c r="A41682" s="8"/>
      <c r="B41682" s="12"/>
      <c r="C41682" s="8"/>
      <c r="D41682" s="8"/>
    </row>
    <row r="41683" spans="1:4" ht="15.75" customHeight="1">
      <c r="A41683" s="8"/>
      <c r="B41683" s="12"/>
      <c r="C41683" s="8"/>
      <c r="D41683" s="8"/>
    </row>
    <row r="41684" spans="1:4" ht="15.75" customHeight="1">
      <c r="A41684" s="8"/>
      <c r="B41684" s="12"/>
      <c r="C41684" s="8"/>
      <c r="D41684" s="8"/>
    </row>
    <row r="41685" spans="1:4" ht="15.75" customHeight="1">
      <c r="A41685" s="8"/>
      <c r="B41685" s="12"/>
      <c r="C41685" s="8"/>
      <c r="D41685" s="8"/>
    </row>
    <row r="41686" spans="1:4" ht="15.75" customHeight="1">
      <c r="A41686" s="8"/>
      <c r="B41686" s="12"/>
      <c r="C41686" s="8"/>
      <c r="D41686" s="8"/>
    </row>
    <row r="41687" spans="1:4" ht="15.75" customHeight="1">
      <c r="A41687" s="8"/>
      <c r="B41687" s="12"/>
      <c r="C41687" s="8"/>
      <c r="D41687" s="8"/>
    </row>
    <row r="41688" spans="1:4" ht="15.75" customHeight="1">
      <c r="A41688" s="8"/>
      <c r="B41688" s="12"/>
      <c r="C41688" s="8"/>
      <c r="D41688" s="8"/>
    </row>
    <row r="41689" spans="1:4" ht="15.75" customHeight="1">
      <c r="A41689" s="8"/>
      <c r="B41689" s="12"/>
      <c r="C41689" s="8"/>
      <c r="D41689" s="8"/>
    </row>
    <row r="41690" spans="1:4" ht="15.75" customHeight="1">
      <c r="A41690" s="8"/>
      <c r="B41690" s="12"/>
      <c r="C41690" s="8"/>
      <c r="D41690" s="8"/>
    </row>
    <row r="41691" spans="1:4" ht="15.75" customHeight="1">
      <c r="A41691" s="8"/>
      <c r="B41691" s="12"/>
      <c r="C41691" s="8"/>
      <c r="D41691" s="8"/>
    </row>
    <row r="41692" spans="1:4" ht="15.75" customHeight="1">
      <c r="A41692" s="8"/>
      <c r="B41692" s="12"/>
      <c r="C41692" s="8"/>
      <c r="D41692" s="8"/>
    </row>
    <row r="41693" spans="1:4" ht="15.75" customHeight="1">
      <c r="A41693" s="8"/>
      <c r="B41693" s="12"/>
      <c r="C41693" s="8"/>
      <c r="D41693" s="8"/>
    </row>
    <row r="41694" spans="1:4" ht="15.75" customHeight="1">
      <c r="A41694" s="8"/>
      <c r="B41694" s="12"/>
      <c r="C41694" s="8"/>
      <c r="D41694" s="8"/>
    </row>
    <row r="41695" spans="1:4" ht="15.75" customHeight="1">
      <c r="A41695" s="8"/>
      <c r="B41695" s="12"/>
      <c r="C41695" s="8"/>
      <c r="D41695" s="8"/>
    </row>
    <row r="41696" spans="1:4" ht="15.75" customHeight="1">
      <c r="A41696" s="8"/>
      <c r="B41696" s="12"/>
      <c r="C41696" s="8"/>
      <c r="D41696" s="8"/>
    </row>
    <row r="41697" spans="1:4" ht="15.75" customHeight="1">
      <c r="A41697" s="8"/>
      <c r="B41697" s="12"/>
      <c r="C41697" s="8"/>
      <c r="D41697" s="8"/>
    </row>
    <row r="41698" spans="1:4" ht="15.75" customHeight="1">
      <c r="A41698" s="8"/>
      <c r="B41698" s="12"/>
      <c r="C41698" s="8"/>
      <c r="D41698" s="8"/>
    </row>
    <row r="41699" spans="1:4" ht="15.75" customHeight="1">
      <c r="A41699" s="8"/>
      <c r="B41699" s="12"/>
      <c r="C41699" s="8"/>
      <c r="D41699" s="8"/>
    </row>
    <row r="41700" spans="1:4" ht="15.75" customHeight="1">
      <c r="A41700" s="8"/>
      <c r="B41700" s="12"/>
      <c r="C41700" s="8"/>
      <c r="D41700" s="8"/>
    </row>
    <row r="41701" spans="1:4" ht="15.75" customHeight="1">
      <c r="A41701" s="8"/>
      <c r="B41701" s="12"/>
      <c r="C41701" s="8"/>
      <c r="D41701" s="8"/>
    </row>
    <row r="41702" spans="1:4" ht="15.75" customHeight="1">
      <c r="A41702" s="8"/>
      <c r="B41702" s="12"/>
      <c r="C41702" s="8"/>
      <c r="D41702" s="8"/>
    </row>
    <row r="41703" spans="1:4" ht="15.75" customHeight="1">
      <c r="A41703" s="8"/>
      <c r="B41703" s="12"/>
      <c r="C41703" s="8"/>
      <c r="D41703" s="8"/>
    </row>
    <row r="41704" spans="1:4" ht="15.75" customHeight="1">
      <c r="A41704" s="8"/>
      <c r="B41704" s="12"/>
      <c r="C41704" s="8"/>
      <c r="D41704" s="8"/>
    </row>
    <row r="41705" spans="1:4" ht="15.75" customHeight="1">
      <c r="A41705" s="8"/>
      <c r="B41705" s="12"/>
      <c r="C41705" s="8"/>
      <c r="D41705" s="8"/>
    </row>
    <row r="41706" spans="1:4" ht="15.75" customHeight="1">
      <c r="A41706" s="8"/>
      <c r="B41706" s="12"/>
      <c r="C41706" s="8"/>
      <c r="D41706" s="8"/>
    </row>
    <row r="41707" spans="1:4" ht="15.75" customHeight="1">
      <c r="A41707" s="8"/>
      <c r="B41707" s="12"/>
      <c r="C41707" s="8"/>
      <c r="D41707" s="8"/>
    </row>
    <row r="41708" spans="1:4" ht="15.75" customHeight="1">
      <c r="A41708" s="8"/>
      <c r="B41708" s="12"/>
      <c r="C41708" s="8"/>
      <c r="D41708" s="8"/>
    </row>
    <row r="41709" spans="1:4" ht="15.75" customHeight="1">
      <c r="A41709" s="8"/>
      <c r="B41709" s="12"/>
      <c r="C41709" s="8"/>
      <c r="D41709" s="8"/>
    </row>
    <row r="41710" spans="1:4" ht="15.75" customHeight="1">
      <c r="A41710" s="8"/>
      <c r="B41710" s="12"/>
      <c r="C41710" s="8"/>
      <c r="D41710" s="8"/>
    </row>
    <row r="41711" spans="1:4" ht="15.75" customHeight="1">
      <c r="A41711" s="8"/>
      <c r="B41711" s="12"/>
      <c r="C41711" s="8"/>
      <c r="D41711" s="8"/>
    </row>
    <row r="41712" spans="1:4" ht="15.75" customHeight="1">
      <c r="A41712" s="8"/>
      <c r="B41712" s="12"/>
      <c r="C41712" s="8"/>
      <c r="D41712" s="8"/>
    </row>
    <row r="41713" spans="1:4" ht="15.75" customHeight="1">
      <c r="A41713" s="8"/>
      <c r="B41713" s="12"/>
      <c r="C41713" s="8"/>
      <c r="D41713" s="8"/>
    </row>
    <row r="41714" spans="1:4" ht="15.75" customHeight="1">
      <c r="A41714" s="8"/>
      <c r="B41714" s="12"/>
      <c r="C41714" s="8"/>
      <c r="D41714" s="8"/>
    </row>
    <row r="41715" spans="1:4" ht="15.75" customHeight="1">
      <c r="A41715" s="8"/>
      <c r="B41715" s="12"/>
      <c r="C41715" s="8"/>
      <c r="D41715" s="8"/>
    </row>
    <row r="41716" spans="1:4" ht="15.75" customHeight="1">
      <c r="A41716" s="8"/>
      <c r="B41716" s="12"/>
      <c r="C41716" s="8"/>
      <c r="D41716" s="8"/>
    </row>
    <row r="41717" spans="1:4" ht="15.75" customHeight="1">
      <c r="A41717" s="8"/>
      <c r="B41717" s="12"/>
      <c r="C41717" s="8"/>
      <c r="D41717" s="8"/>
    </row>
    <row r="41718" spans="1:4" ht="15.75" customHeight="1">
      <c r="A41718" s="8"/>
      <c r="B41718" s="12"/>
      <c r="C41718" s="8"/>
      <c r="D41718" s="8"/>
    </row>
    <row r="41719" spans="1:4" ht="15.75" customHeight="1">
      <c r="A41719" s="8"/>
      <c r="B41719" s="12"/>
      <c r="C41719" s="8"/>
      <c r="D41719" s="8"/>
    </row>
    <row r="41720" spans="1:4" ht="15.75" customHeight="1">
      <c r="A41720" s="8"/>
      <c r="B41720" s="12"/>
      <c r="C41720" s="8"/>
      <c r="D41720" s="8"/>
    </row>
    <row r="41721" spans="1:4" ht="15.75" customHeight="1">
      <c r="A41721" s="8"/>
      <c r="B41721" s="12"/>
      <c r="C41721" s="8"/>
      <c r="D41721" s="8"/>
    </row>
    <row r="41722" spans="1:4" ht="15.75" customHeight="1">
      <c r="A41722" s="8"/>
      <c r="B41722" s="12"/>
      <c r="C41722" s="8"/>
      <c r="D41722" s="8"/>
    </row>
    <row r="41723" spans="1:4" ht="15.75" customHeight="1">
      <c r="A41723" s="8"/>
      <c r="B41723" s="12"/>
      <c r="C41723" s="8"/>
      <c r="D41723" s="8"/>
    </row>
    <row r="41724" spans="1:4" ht="15.75" customHeight="1">
      <c r="A41724" s="8"/>
      <c r="B41724" s="12"/>
      <c r="C41724" s="8"/>
      <c r="D41724" s="8"/>
    </row>
    <row r="41725" spans="1:4" ht="15.75" customHeight="1">
      <c r="A41725" s="8"/>
      <c r="B41725" s="12"/>
      <c r="C41725" s="8"/>
      <c r="D41725" s="8"/>
    </row>
    <row r="41726" spans="1:4" ht="15.75" customHeight="1">
      <c r="A41726" s="8"/>
      <c r="B41726" s="12"/>
      <c r="C41726" s="8"/>
      <c r="D41726" s="8"/>
    </row>
    <row r="41727" spans="1:4" ht="15.75" customHeight="1">
      <c r="A41727" s="8"/>
      <c r="B41727" s="12"/>
      <c r="C41727" s="8"/>
      <c r="D41727" s="8"/>
    </row>
    <row r="41728" spans="1:4" ht="15.75" customHeight="1">
      <c r="A41728" s="8"/>
      <c r="B41728" s="12"/>
      <c r="C41728" s="8"/>
      <c r="D41728" s="8"/>
    </row>
    <row r="41729" spans="1:4" ht="15.75" customHeight="1">
      <c r="A41729" s="8"/>
      <c r="B41729" s="12"/>
      <c r="C41729" s="8"/>
      <c r="D41729" s="8"/>
    </row>
    <row r="41730" spans="1:4" ht="15.75" customHeight="1">
      <c r="A41730" s="8"/>
      <c r="B41730" s="12"/>
      <c r="C41730" s="8"/>
      <c r="D41730" s="8"/>
    </row>
    <row r="41731" spans="1:4" ht="15.75" customHeight="1">
      <c r="A41731" s="8"/>
      <c r="B41731" s="12"/>
      <c r="C41731" s="8"/>
      <c r="D41731" s="8"/>
    </row>
    <row r="41732" spans="1:4" ht="15.75" customHeight="1">
      <c r="A41732" s="8"/>
      <c r="B41732" s="12"/>
      <c r="C41732" s="8"/>
      <c r="D41732" s="8"/>
    </row>
    <row r="41733" spans="1:4" ht="15.75" customHeight="1">
      <c r="A41733" s="8"/>
      <c r="B41733" s="12"/>
      <c r="C41733" s="8"/>
      <c r="D41733" s="8"/>
    </row>
    <row r="41734" spans="1:4" ht="15.75" customHeight="1">
      <c r="A41734" s="8"/>
      <c r="B41734" s="12"/>
      <c r="C41734" s="8"/>
      <c r="D41734" s="8"/>
    </row>
    <row r="41735" spans="1:4" ht="15.75" customHeight="1">
      <c r="A41735" s="8"/>
      <c r="B41735" s="12"/>
      <c r="C41735" s="8"/>
      <c r="D41735" s="8"/>
    </row>
    <row r="41736" spans="1:4" ht="15.75" customHeight="1">
      <c r="A41736" s="8"/>
      <c r="B41736" s="12"/>
      <c r="C41736" s="8"/>
      <c r="D41736" s="8"/>
    </row>
    <row r="41737" spans="1:4" ht="15.75" customHeight="1">
      <c r="A41737" s="8"/>
      <c r="B41737" s="12"/>
      <c r="C41737" s="8"/>
      <c r="D41737" s="8"/>
    </row>
    <row r="41738" spans="1:4" ht="15.75" customHeight="1">
      <c r="A41738" s="8"/>
      <c r="B41738" s="12"/>
      <c r="C41738" s="8"/>
      <c r="D41738" s="8"/>
    </row>
    <row r="41739" spans="1:4" ht="15.75" customHeight="1">
      <c r="A41739" s="8"/>
      <c r="B41739" s="12"/>
      <c r="C41739" s="8"/>
      <c r="D41739" s="8"/>
    </row>
    <row r="41740" spans="1:4" ht="15.75" customHeight="1">
      <c r="A41740" s="8"/>
      <c r="B41740" s="12"/>
      <c r="C41740" s="8"/>
      <c r="D41740" s="8"/>
    </row>
    <row r="41741" spans="1:4" ht="15.75" customHeight="1">
      <c r="A41741" s="8"/>
      <c r="B41741" s="12"/>
      <c r="C41741" s="8"/>
      <c r="D41741" s="8"/>
    </row>
    <row r="41742" spans="1:4" ht="15.75" customHeight="1">
      <c r="A41742" s="8"/>
      <c r="B41742" s="12"/>
      <c r="C41742" s="8"/>
      <c r="D41742" s="8"/>
    </row>
    <row r="41743" spans="1:4" ht="15.75" customHeight="1">
      <c r="A41743" s="8"/>
      <c r="B41743" s="12"/>
      <c r="C41743" s="8"/>
      <c r="D41743" s="8"/>
    </row>
    <row r="41744" spans="1:4" ht="15.75" customHeight="1">
      <c r="A41744" s="8"/>
      <c r="B41744" s="12"/>
      <c r="C41744" s="8"/>
      <c r="D41744" s="8"/>
    </row>
    <row r="41745" spans="1:4" ht="15.75" customHeight="1">
      <c r="A41745" s="8"/>
      <c r="B41745" s="12"/>
      <c r="C41745" s="8"/>
      <c r="D41745" s="8"/>
    </row>
    <row r="41746" spans="1:4" ht="15.75" customHeight="1">
      <c r="A41746" s="8"/>
      <c r="B41746" s="12"/>
      <c r="C41746" s="8"/>
      <c r="D41746" s="8"/>
    </row>
    <row r="41747" spans="1:4" ht="15.75" customHeight="1">
      <c r="A41747" s="8"/>
      <c r="B41747" s="12"/>
      <c r="C41747" s="8"/>
      <c r="D41747" s="8"/>
    </row>
    <row r="41748" spans="1:4" ht="15.75" customHeight="1">
      <c r="A41748" s="8"/>
      <c r="B41748" s="12"/>
      <c r="C41748" s="8"/>
      <c r="D41748" s="8"/>
    </row>
    <row r="41749" spans="1:4" ht="15.75" customHeight="1">
      <c r="A41749" s="8"/>
      <c r="B41749" s="12"/>
      <c r="C41749" s="8"/>
      <c r="D41749" s="8"/>
    </row>
    <row r="41750" spans="1:4" ht="15.75" customHeight="1">
      <c r="A41750" s="8"/>
      <c r="B41750" s="12"/>
      <c r="C41750" s="8"/>
      <c r="D41750" s="8"/>
    </row>
    <row r="41751" spans="1:4" ht="15.75" customHeight="1">
      <c r="A41751" s="8"/>
      <c r="B41751" s="12"/>
      <c r="C41751" s="8"/>
      <c r="D41751" s="8"/>
    </row>
    <row r="41752" spans="1:4" ht="15.75" customHeight="1">
      <c r="A41752" s="8"/>
      <c r="B41752" s="12"/>
      <c r="C41752" s="8"/>
      <c r="D41752" s="8"/>
    </row>
    <row r="41753" spans="1:4" ht="15.75" customHeight="1">
      <c r="A41753" s="8"/>
      <c r="B41753" s="12"/>
      <c r="C41753" s="8"/>
      <c r="D41753" s="8"/>
    </row>
    <row r="41754" spans="1:4" ht="15.75" customHeight="1">
      <c r="A41754" s="8"/>
      <c r="B41754" s="12"/>
      <c r="C41754" s="8"/>
      <c r="D41754" s="8"/>
    </row>
    <row r="41755" spans="1:4" ht="15.75" customHeight="1">
      <c r="A41755" s="8"/>
      <c r="B41755" s="12"/>
      <c r="C41755" s="8"/>
      <c r="D41755" s="8"/>
    </row>
    <row r="41756" spans="1:4" ht="15.75" customHeight="1">
      <c r="A41756" s="8"/>
      <c r="B41756" s="12"/>
      <c r="C41756" s="8"/>
      <c r="D41756" s="8"/>
    </row>
    <row r="41757" spans="1:4" ht="15.75" customHeight="1">
      <c r="A41757" s="8"/>
      <c r="B41757" s="12"/>
      <c r="C41757" s="8"/>
      <c r="D41757" s="8"/>
    </row>
    <row r="41758" spans="1:4" ht="15.75" customHeight="1">
      <c r="A41758" s="8"/>
      <c r="B41758" s="12"/>
      <c r="C41758" s="8"/>
      <c r="D41758" s="8"/>
    </row>
    <row r="41759" spans="1:4" ht="15.75" customHeight="1">
      <c r="A41759" s="8"/>
      <c r="B41759" s="12"/>
      <c r="C41759" s="8"/>
      <c r="D41759" s="8"/>
    </row>
    <row r="41760" spans="1:4" ht="15.75" customHeight="1">
      <c r="A41760" s="8"/>
      <c r="B41760" s="12"/>
      <c r="C41760" s="8"/>
      <c r="D41760" s="8"/>
    </row>
    <row r="41761" spans="1:4" ht="15.75" customHeight="1">
      <c r="A41761" s="8"/>
      <c r="B41761" s="12"/>
      <c r="C41761" s="8"/>
      <c r="D41761" s="8"/>
    </row>
    <row r="41762" spans="1:4" ht="15.75" customHeight="1">
      <c r="A41762" s="8"/>
      <c r="B41762" s="12"/>
      <c r="C41762" s="8"/>
      <c r="D41762" s="8"/>
    </row>
    <row r="41763" spans="1:4" ht="15.75" customHeight="1">
      <c r="A41763" s="8"/>
      <c r="B41763" s="12"/>
      <c r="C41763" s="8"/>
      <c r="D41763" s="8"/>
    </row>
    <row r="41764" spans="1:4" ht="15.75" customHeight="1">
      <c r="A41764" s="8"/>
      <c r="B41764" s="12"/>
      <c r="C41764" s="8"/>
      <c r="D41764" s="8"/>
    </row>
    <row r="41765" spans="1:4" ht="15.75" customHeight="1">
      <c r="A41765" s="8"/>
      <c r="B41765" s="12"/>
      <c r="C41765" s="8"/>
      <c r="D41765" s="8"/>
    </row>
    <row r="41766" spans="1:4" ht="15.75" customHeight="1">
      <c r="A41766" s="8"/>
      <c r="B41766" s="12"/>
      <c r="C41766" s="8"/>
      <c r="D41766" s="8"/>
    </row>
    <row r="41767" spans="1:4" ht="15.75" customHeight="1">
      <c r="A41767" s="8"/>
      <c r="B41767" s="12"/>
      <c r="C41767" s="8"/>
      <c r="D41767" s="8"/>
    </row>
    <row r="41768" spans="1:4" ht="15.75" customHeight="1">
      <c r="A41768" s="8"/>
      <c r="B41768" s="12"/>
      <c r="C41768" s="8"/>
      <c r="D41768" s="8"/>
    </row>
    <row r="41769" spans="1:4" ht="15.75" customHeight="1">
      <c r="A41769" s="8"/>
      <c r="B41769" s="12"/>
      <c r="C41769" s="8"/>
      <c r="D41769" s="8"/>
    </row>
    <row r="41770" spans="1:4" ht="15.75" customHeight="1">
      <c r="A41770" s="8"/>
      <c r="B41770" s="12"/>
      <c r="C41770" s="8"/>
      <c r="D41770" s="8"/>
    </row>
    <row r="41771" spans="1:4" ht="15.75" customHeight="1">
      <c r="A41771" s="8"/>
      <c r="B41771" s="12"/>
      <c r="C41771" s="8"/>
      <c r="D41771" s="8"/>
    </row>
    <row r="41772" spans="1:4" ht="15.75" customHeight="1">
      <c r="A41772" s="8"/>
      <c r="B41772" s="12"/>
      <c r="C41772" s="8"/>
      <c r="D41772" s="8"/>
    </row>
    <row r="41773" spans="1:4" ht="15.75" customHeight="1">
      <c r="A41773" s="8"/>
      <c r="B41773" s="12"/>
      <c r="C41773" s="8"/>
      <c r="D41773" s="8"/>
    </row>
    <row r="41774" spans="1:4" ht="15.75" customHeight="1">
      <c r="A41774" s="8"/>
      <c r="B41774" s="12"/>
      <c r="C41774" s="8"/>
      <c r="D41774" s="8"/>
    </row>
    <row r="41775" spans="1:4" ht="15.75" customHeight="1">
      <c r="A41775" s="8"/>
      <c r="B41775" s="12"/>
      <c r="C41775" s="8"/>
      <c r="D41775" s="8"/>
    </row>
    <row r="41776" spans="1:4" ht="15.75" customHeight="1">
      <c r="A41776" s="8"/>
      <c r="B41776" s="12"/>
      <c r="C41776" s="8"/>
      <c r="D41776" s="8"/>
    </row>
    <row r="41777" spans="1:4" ht="15.75" customHeight="1">
      <c r="A41777" s="8"/>
      <c r="B41777" s="12"/>
      <c r="C41777" s="8"/>
      <c r="D41777" s="8"/>
    </row>
    <row r="41778" spans="1:4" ht="15.75" customHeight="1">
      <c r="A41778" s="8"/>
      <c r="B41778" s="12"/>
      <c r="C41778" s="8"/>
      <c r="D41778" s="8"/>
    </row>
    <row r="41779" spans="1:4" ht="15.75" customHeight="1">
      <c r="A41779" s="8"/>
      <c r="B41779" s="12"/>
      <c r="C41779" s="8"/>
      <c r="D41779" s="8"/>
    </row>
    <row r="41780" spans="1:4" ht="15.75" customHeight="1">
      <c r="A41780" s="8"/>
      <c r="B41780" s="12"/>
      <c r="C41780" s="8"/>
      <c r="D41780" s="8"/>
    </row>
    <row r="41781" spans="1:4" ht="15.75" customHeight="1">
      <c r="A41781" s="8"/>
      <c r="B41781" s="12"/>
      <c r="C41781" s="8"/>
      <c r="D41781" s="8"/>
    </row>
    <row r="41782" spans="1:4" ht="15.75" customHeight="1">
      <c r="A41782" s="8"/>
      <c r="B41782" s="12"/>
      <c r="C41782" s="8"/>
      <c r="D41782" s="8"/>
    </row>
    <row r="41783" spans="1:4" ht="15.75" customHeight="1">
      <c r="A41783" s="8"/>
      <c r="B41783" s="12"/>
      <c r="C41783" s="8"/>
      <c r="D41783" s="8"/>
    </row>
    <row r="41784" spans="1:4" ht="15.75" customHeight="1">
      <c r="A41784" s="8"/>
      <c r="B41784" s="12"/>
      <c r="C41784" s="8"/>
      <c r="D41784" s="8"/>
    </row>
    <row r="41785" spans="1:4" ht="15.75" customHeight="1">
      <c r="A41785" s="8"/>
      <c r="B41785" s="12"/>
      <c r="C41785" s="8"/>
      <c r="D41785" s="8"/>
    </row>
    <row r="41786" spans="1:4" ht="15.75" customHeight="1">
      <c r="A41786" s="8"/>
      <c r="B41786" s="12"/>
      <c r="C41786" s="8"/>
      <c r="D41786" s="8"/>
    </row>
    <row r="41787" spans="1:4" ht="15.75" customHeight="1">
      <c r="A41787" s="8"/>
      <c r="B41787" s="12"/>
      <c r="C41787" s="8"/>
      <c r="D41787" s="8"/>
    </row>
    <row r="41788" spans="1:4" ht="15.75" customHeight="1">
      <c r="A41788" s="8"/>
      <c r="B41788" s="12"/>
      <c r="C41788" s="8"/>
      <c r="D41788" s="8"/>
    </row>
    <row r="41789" spans="1:4" ht="15.75" customHeight="1">
      <c r="A41789" s="8"/>
      <c r="B41789" s="12"/>
      <c r="C41789" s="8"/>
      <c r="D41789" s="8"/>
    </row>
    <row r="41790" spans="1:4" ht="15.75" customHeight="1">
      <c r="A41790" s="8"/>
      <c r="B41790" s="12"/>
      <c r="C41790" s="8"/>
      <c r="D41790" s="8"/>
    </row>
    <row r="41791" spans="1:4" ht="15.75" customHeight="1">
      <c r="A41791" s="8"/>
      <c r="B41791" s="12"/>
      <c r="C41791" s="8"/>
      <c r="D41791" s="8"/>
    </row>
    <row r="41792" spans="1:4" ht="15.75" customHeight="1">
      <c r="A41792" s="8"/>
      <c r="B41792" s="12"/>
      <c r="C41792" s="8"/>
      <c r="D41792" s="8"/>
    </row>
    <row r="41793" spans="1:4" ht="15.75" customHeight="1">
      <c r="A41793" s="8"/>
      <c r="B41793" s="12"/>
      <c r="C41793" s="8"/>
      <c r="D41793" s="8"/>
    </row>
    <row r="41794" spans="1:4" ht="15.75" customHeight="1">
      <c r="A41794" s="8"/>
      <c r="B41794" s="12"/>
      <c r="C41794" s="8"/>
      <c r="D41794" s="8"/>
    </row>
    <row r="41795" spans="1:4" ht="15.75" customHeight="1">
      <c r="A41795" s="8"/>
      <c r="B41795" s="12"/>
      <c r="C41795" s="8"/>
      <c r="D41795" s="8"/>
    </row>
    <row r="41796" spans="1:4" ht="15.75" customHeight="1">
      <c r="A41796" s="8"/>
      <c r="B41796" s="12"/>
      <c r="C41796" s="8"/>
      <c r="D41796" s="8"/>
    </row>
    <row r="41797" spans="1:4" ht="15.75" customHeight="1">
      <c r="A41797" s="8"/>
      <c r="B41797" s="12"/>
      <c r="C41797" s="8"/>
      <c r="D41797" s="8"/>
    </row>
    <row r="41798" spans="1:4" ht="15.75" customHeight="1">
      <c r="A41798" s="8"/>
      <c r="B41798" s="12"/>
      <c r="C41798" s="8"/>
      <c r="D41798" s="8"/>
    </row>
    <row r="41799" spans="1:4" ht="15.75" customHeight="1">
      <c r="A41799" s="8"/>
      <c r="B41799" s="12"/>
      <c r="C41799" s="8"/>
      <c r="D41799" s="8"/>
    </row>
    <row r="41800" spans="1:4" ht="15.75" customHeight="1">
      <c r="A41800" s="8"/>
      <c r="B41800" s="12"/>
      <c r="C41800" s="8"/>
      <c r="D41800" s="8"/>
    </row>
    <row r="41801" spans="1:4" ht="15.75" customHeight="1">
      <c r="A41801" s="8"/>
      <c r="B41801" s="12"/>
      <c r="C41801" s="8"/>
      <c r="D41801" s="8"/>
    </row>
    <row r="41802" spans="1:4" ht="15.75" customHeight="1">
      <c r="A41802" s="8"/>
      <c r="B41802" s="12"/>
      <c r="C41802" s="8"/>
      <c r="D41802" s="8"/>
    </row>
    <row r="41803" spans="1:4" ht="15.75" customHeight="1">
      <c r="A41803" s="8"/>
      <c r="B41803" s="12"/>
      <c r="C41803" s="8"/>
      <c r="D41803" s="8"/>
    </row>
    <row r="41804" spans="1:4" ht="15.75" customHeight="1">
      <c r="A41804" s="8"/>
      <c r="B41804" s="12"/>
      <c r="C41804" s="8"/>
      <c r="D41804" s="8"/>
    </row>
    <row r="41805" spans="1:4" ht="15.75" customHeight="1">
      <c r="A41805" s="8"/>
      <c r="B41805" s="12"/>
      <c r="C41805" s="8"/>
      <c r="D41805" s="8"/>
    </row>
    <row r="41806" spans="1:4" ht="15.75" customHeight="1">
      <c r="A41806" s="8"/>
      <c r="B41806" s="12"/>
      <c r="C41806" s="8"/>
      <c r="D41806" s="8"/>
    </row>
    <row r="41807" spans="1:4" ht="15.75" customHeight="1">
      <c r="A41807" s="8"/>
      <c r="B41807" s="12"/>
      <c r="C41807" s="8"/>
      <c r="D41807" s="8"/>
    </row>
    <row r="41808" spans="1:4" ht="15.75" customHeight="1">
      <c r="A41808" s="8"/>
      <c r="B41808" s="12"/>
      <c r="C41808" s="8"/>
      <c r="D41808" s="8"/>
    </row>
    <row r="41809" spans="1:4" ht="15.75" customHeight="1">
      <c r="A41809" s="8"/>
      <c r="B41809" s="12"/>
      <c r="C41809" s="8"/>
      <c r="D41809" s="8"/>
    </row>
    <row r="41810" spans="1:4" ht="15.75" customHeight="1">
      <c r="A41810" s="8"/>
      <c r="B41810" s="12"/>
      <c r="C41810" s="8"/>
      <c r="D41810" s="8"/>
    </row>
    <row r="41811" spans="1:4" ht="15.75" customHeight="1">
      <c r="A41811" s="8"/>
      <c r="B41811" s="12"/>
      <c r="C41811" s="8"/>
      <c r="D41811" s="8"/>
    </row>
    <row r="41812" spans="1:4" ht="15.75" customHeight="1">
      <c r="A41812" s="8"/>
      <c r="B41812" s="12"/>
      <c r="C41812" s="8"/>
      <c r="D41812" s="8"/>
    </row>
    <row r="41813" spans="1:4" ht="15.75" customHeight="1">
      <c r="A41813" s="8"/>
      <c r="B41813" s="12"/>
      <c r="C41813" s="8"/>
      <c r="D41813" s="8"/>
    </row>
    <row r="41814" spans="1:4" ht="15.75" customHeight="1">
      <c r="A41814" s="8"/>
      <c r="B41814" s="12"/>
      <c r="C41814" s="8"/>
      <c r="D41814" s="8"/>
    </row>
    <row r="41815" spans="1:4" ht="15.75" customHeight="1">
      <c r="A41815" s="8"/>
      <c r="B41815" s="12"/>
      <c r="C41815" s="8"/>
      <c r="D41815" s="8"/>
    </row>
    <row r="41816" spans="1:4" ht="15.75" customHeight="1">
      <c r="A41816" s="8"/>
      <c r="B41816" s="12"/>
      <c r="C41816" s="8"/>
      <c r="D41816" s="8"/>
    </row>
    <row r="41817" spans="1:4" ht="15.75" customHeight="1">
      <c r="A41817" s="8"/>
      <c r="B41817" s="12"/>
      <c r="C41817" s="8"/>
      <c r="D41817" s="8"/>
    </row>
    <row r="41818" spans="1:4" ht="15.75" customHeight="1">
      <c r="A41818" s="8"/>
      <c r="B41818" s="12"/>
      <c r="C41818" s="8"/>
      <c r="D41818" s="8"/>
    </row>
    <row r="41819" spans="1:4" ht="15.75" customHeight="1">
      <c r="A41819" s="8"/>
      <c r="B41819" s="12"/>
      <c r="C41819" s="8"/>
      <c r="D41819" s="8"/>
    </row>
    <row r="41820" spans="1:4" ht="15.75" customHeight="1">
      <c r="A41820" s="8"/>
      <c r="B41820" s="12"/>
      <c r="C41820" s="8"/>
      <c r="D41820" s="8"/>
    </row>
    <row r="41821" spans="1:4" ht="15.75" customHeight="1">
      <c r="A41821" s="8"/>
      <c r="B41821" s="12"/>
      <c r="C41821" s="8"/>
      <c r="D41821" s="8"/>
    </row>
    <row r="41822" spans="1:4" ht="15.75" customHeight="1">
      <c r="A41822" s="8"/>
      <c r="B41822" s="12"/>
      <c r="C41822" s="8"/>
      <c r="D41822" s="8"/>
    </row>
    <row r="41823" spans="1:4" ht="15.75" customHeight="1">
      <c r="A41823" s="8"/>
      <c r="B41823" s="12"/>
      <c r="C41823" s="8"/>
      <c r="D41823" s="8"/>
    </row>
    <row r="41824" spans="1:4" ht="15.75" customHeight="1">
      <c r="A41824" s="8"/>
      <c r="B41824" s="12"/>
      <c r="C41824" s="8"/>
      <c r="D41824" s="8"/>
    </row>
    <row r="41825" spans="1:4" ht="15.75" customHeight="1">
      <c r="A41825" s="8"/>
      <c r="B41825" s="12"/>
      <c r="C41825" s="8"/>
      <c r="D41825" s="8"/>
    </row>
    <row r="41826" spans="1:4" ht="15.75" customHeight="1">
      <c r="A41826" s="8"/>
      <c r="B41826" s="12"/>
      <c r="C41826" s="8"/>
      <c r="D41826" s="8"/>
    </row>
    <row r="41827" spans="1:4" ht="15.75" customHeight="1">
      <c r="A41827" s="8"/>
      <c r="B41827" s="12"/>
      <c r="C41827" s="8"/>
      <c r="D41827" s="8"/>
    </row>
    <row r="41828" spans="1:4" ht="15.75" customHeight="1">
      <c r="A41828" s="8"/>
      <c r="B41828" s="12"/>
      <c r="C41828" s="8"/>
      <c r="D41828" s="8"/>
    </row>
    <row r="41829" spans="1:4" ht="15.75" customHeight="1">
      <c r="A41829" s="8"/>
      <c r="B41829" s="12"/>
      <c r="C41829" s="8"/>
      <c r="D41829" s="8"/>
    </row>
    <row r="41830" spans="1:4" ht="15.75" customHeight="1">
      <c r="A41830" s="8"/>
      <c r="B41830" s="12"/>
      <c r="C41830" s="8"/>
      <c r="D41830" s="8"/>
    </row>
    <row r="41831" spans="1:4" ht="15.75" customHeight="1">
      <c r="A41831" s="8"/>
      <c r="B41831" s="12"/>
      <c r="C41831" s="8"/>
      <c r="D41831" s="8"/>
    </row>
    <row r="41832" spans="1:4" ht="15.75" customHeight="1">
      <c r="A41832" s="8"/>
      <c r="B41832" s="12"/>
      <c r="C41832" s="8"/>
      <c r="D41832" s="8"/>
    </row>
    <row r="41833" spans="1:4" ht="15.75" customHeight="1">
      <c r="A41833" s="8"/>
      <c r="B41833" s="12"/>
      <c r="C41833" s="8"/>
      <c r="D41833" s="8"/>
    </row>
    <row r="41834" spans="1:4" ht="15.75" customHeight="1">
      <c r="A41834" s="8"/>
      <c r="B41834" s="12"/>
      <c r="C41834" s="8"/>
      <c r="D41834" s="8"/>
    </row>
    <row r="41835" spans="1:4" ht="15.75" customHeight="1">
      <c r="A41835" s="8"/>
      <c r="B41835" s="12"/>
      <c r="C41835" s="8"/>
      <c r="D41835" s="8"/>
    </row>
    <row r="41836" spans="1:4" ht="15.75" customHeight="1">
      <c r="A41836" s="8"/>
      <c r="B41836" s="12"/>
      <c r="C41836" s="8"/>
      <c r="D41836" s="8"/>
    </row>
    <row r="41837" spans="1:4" ht="15.75" customHeight="1">
      <c r="A41837" s="8"/>
      <c r="B41837" s="12"/>
      <c r="C41837" s="8"/>
      <c r="D41837" s="8"/>
    </row>
    <row r="41838" spans="1:4" ht="15.75" customHeight="1">
      <c r="A41838" s="8"/>
      <c r="B41838" s="12"/>
      <c r="C41838" s="8"/>
      <c r="D41838" s="8"/>
    </row>
    <row r="41839" spans="1:4" ht="15.75" customHeight="1">
      <c r="A41839" s="8"/>
      <c r="B41839" s="12"/>
      <c r="C41839" s="8"/>
      <c r="D41839" s="8"/>
    </row>
    <row r="41840" spans="1:4" ht="15.75" customHeight="1">
      <c r="A41840" s="8"/>
      <c r="B41840" s="12"/>
      <c r="C41840" s="8"/>
      <c r="D41840" s="8"/>
    </row>
    <row r="41841" spans="1:4" ht="15.75" customHeight="1">
      <c r="A41841" s="8"/>
      <c r="B41841" s="12"/>
      <c r="C41841" s="8"/>
      <c r="D41841" s="8"/>
    </row>
    <row r="41842" spans="1:4" ht="15.75" customHeight="1">
      <c r="A41842" s="8"/>
      <c r="B41842" s="12"/>
      <c r="C41842" s="8"/>
      <c r="D41842" s="8"/>
    </row>
    <row r="41843" spans="1:4" ht="15.75" customHeight="1">
      <c r="A41843" s="8"/>
      <c r="B41843" s="12"/>
      <c r="C41843" s="8"/>
      <c r="D41843" s="8"/>
    </row>
    <row r="41844" spans="1:4" ht="15.75" customHeight="1">
      <c r="A41844" s="8"/>
      <c r="B41844" s="12"/>
      <c r="C41844" s="8"/>
      <c r="D41844" s="8"/>
    </row>
    <row r="41845" spans="1:4" ht="15.75" customHeight="1">
      <c r="A41845" s="8"/>
      <c r="B41845" s="12"/>
      <c r="C41845" s="8"/>
      <c r="D41845" s="8"/>
    </row>
    <row r="41846" spans="1:4" ht="15.75" customHeight="1">
      <c r="A41846" s="8"/>
      <c r="B41846" s="12"/>
      <c r="C41846" s="8"/>
      <c r="D41846" s="8"/>
    </row>
    <row r="41847" spans="1:4" ht="15.75" customHeight="1">
      <c r="A41847" s="8"/>
      <c r="B41847" s="12"/>
      <c r="C41847" s="8"/>
      <c r="D41847" s="8"/>
    </row>
    <row r="41848" spans="1:4" ht="15.75" customHeight="1">
      <c r="A41848" s="8"/>
      <c r="B41848" s="12"/>
      <c r="C41848" s="8"/>
      <c r="D41848" s="8"/>
    </row>
    <row r="41849" spans="1:4" ht="15.75" customHeight="1">
      <c r="A41849" s="8"/>
      <c r="B41849" s="12"/>
      <c r="C41849" s="8"/>
      <c r="D41849" s="8"/>
    </row>
    <row r="41850" spans="1:4" ht="15.75" customHeight="1">
      <c r="A41850" s="8"/>
      <c r="B41850" s="12"/>
      <c r="C41850" s="8"/>
      <c r="D41850" s="8"/>
    </row>
    <row r="41851" spans="1:4" ht="15.75" customHeight="1">
      <c r="A41851" s="8"/>
      <c r="B41851" s="12"/>
      <c r="C41851" s="8"/>
      <c r="D41851" s="8"/>
    </row>
    <row r="41852" spans="1:4" ht="15.75" customHeight="1">
      <c r="A41852" s="8"/>
      <c r="B41852" s="12"/>
      <c r="C41852" s="8"/>
      <c r="D41852" s="8"/>
    </row>
    <row r="41853" spans="1:4" ht="15.75" customHeight="1">
      <c r="A41853" s="8"/>
      <c r="B41853" s="12"/>
      <c r="C41853" s="8"/>
      <c r="D41853" s="8"/>
    </row>
    <row r="41854" spans="1:4" ht="15.75" customHeight="1">
      <c r="A41854" s="8"/>
      <c r="B41854" s="12"/>
      <c r="C41854" s="8"/>
      <c r="D41854" s="8"/>
    </row>
    <row r="41855" spans="1:4" ht="15.75" customHeight="1">
      <c r="A41855" s="8"/>
      <c r="B41855" s="12"/>
      <c r="C41855" s="8"/>
      <c r="D41855" s="8"/>
    </row>
    <row r="41856" spans="1:4" ht="15.75" customHeight="1">
      <c r="A41856" s="8"/>
      <c r="B41856" s="12"/>
      <c r="C41856" s="8"/>
      <c r="D41856" s="8"/>
    </row>
    <row r="41857" spans="1:4" ht="15.75" customHeight="1">
      <c r="A41857" s="8"/>
      <c r="B41857" s="12"/>
      <c r="C41857" s="8"/>
      <c r="D41857" s="8"/>
    </row>
    <row r="41858" spans="1:4" ht="15.75" customHeight="1">
      <c r="A41858" s="8"/>
      <c r="B41858" s="12"/>
      <c r="C41858" s="8"/>
      <c r="D41858" s="8"/>
    </row>
    <row r="41859" spans="1:4" ht="15.75" customHeight="1">
      <c r="A41859" s="8"/>
      <c r="B41859" s="12"/>
      <c r="C41859" s="8"/>
      <c r="D41859" s="8"/>
    </row>
    <row r="41860" spans="1:4" ht="15.75" customHeight="1">
      <c r="A41860" s="8"/>
      <c r="B41860" s="12"/>
      <c r="C41860" s="8"/>
      <c r="D41860" s="8"/>
    </row>
    <row r="41861" spans="1:4" ht="15.75" customHeight="1">
      <c r="A41861" s="8"/>
      <c r="B41861" s="12"/>
      <c r="C41861" s="8"/>
      <c r="D41861" s="8"/>
    </row>
    <row r="41862" spans="1:4" ht="15.75" customHeight="1">
      <c r="A41862" s="8"/>
      <c r="B41862" s="12"/>
      <c r="C41862" s="8"/>
      <c r="D41862" s="8"/>
    </row>
    <row r="41863" spans="1:4" ht="15.75" customHeight="1">
      <c r="A41863" s="8"/>
      <c r="B41863" s="12"/>
      <c r="C41863" s="8"/>
      <c r="D41863" s="8"/>
    </row>
    <row r="41864" spans="1:4" ht="15.75" customHeight="1">
      <c r="A41864" s="8"/>
      <c r="B41864" s="12"/>
      <c r="C41864" s="8"/>
      <c r="D41864" s="8"/>
    </row>
    <row r="41865" spans="1:4" ht="15.75" customHeight="1">
      <c r="A41865" s="8"/>
      <c r="B41865" s="12"/>
      <c r="C41865" s="8"/>
      <c r="D41865" s="8"/>
    </row>
    <row r="41866" spans="1:4" ht="15.75" customHeight="1">
      <c r="A41866" s="8"/>
      <c r="B41866" s="12"/>
      <c r="C41866" s="8"/>
      <c r="D41866" s="8"/>
    </row>
    <row r="41867" spans="1:4" ht="15.75" customHeight="1">
      <c r="A41867" s="8"/>
      <c r="B41867" s="12"/>
      <c r="C41867" s="8"/>
      <c r="D41867" s="8"/>
    </row>
    <row r="41868" spans="1:4" ht="15.75" customHeight="1">
      <c r="A41868" s="8"/>
      <c r="B41868" s="12"/>
      <c r="C41868" s="8"/>
      <c r="D41868" s="8"/>
    </row>
    <row r="41869" spans="1:4" ht="15.75" customHeight="1">
      <c r="A41869" s="8"/>
      <c r="B41869" s="12"/>
      <c r="C41869" s="8"/>
      <c r="D41869" s="8"/>
    </row>
    <row r="41870" spans="1:4" ht="15.75" customHeight="1">
      <c r="A41870" s="8"/>
      <c r="B41870" s="12"/>
      <c r="C41870" s="8"/>
      <c r="D41870" s="8"/>
    </row>
    <row r="41871" spans="1:4" ht="15.75" customHeight="1">
      <c r="A41871" s="8"/>
      <c r="B41871" s="12"/>
      <c r="C41871" s="8"/>
      <c r="D41871" s="8"/>
    </row>
    <row r="41872" spans="1:4" ht="15.75" customHeight="1">
      <c r="A41872" s="8"/>
      <c r="B41872" s="12"/>
      <c r="C41872" s="8"/>
      <c r="D41872" s="8"/>
    </row>
    <row r="41873" spans="1:4" ht="15.75" customHeight="1">
      <c r="A41873" s="8"/>
      <c r="B41873" s="12"/>
      <c r="C41873" s="8"/>
      <c r="D41873" s="8"/>
    </row>
    <row r="41874" spans="1:4" ht="15.75" customHeight="1">
      <c r="A41874" s="8"/>
      <c r="B41874" s="12"/>
      <c r="C41874" s="8"/>
      <c r="D41874" s="8"/>
    </row>
    <row r="41875" spans="1:4" ht="15.75" customHeight="1">
      <c r="A41875" s="8"/>
      <c r="B41875" s="12"/>
      <c r="C41875" s="8"/>
      <c r="D41875" s="8"/>
    </row>
    <row r="41876" spans="1:4" ht="15.75" customHeight="1">
      <c r="A41876" s="8"/>
      <c r="B41876" s="12"/>
      <c r="C41876" s="8"/>
      <c r="D41876" s="8"/>
    </row>
    <row r="41877" spans="1:4" ht="15.75" customHeight="1">
      <c r="A41877" s="8"/>
      <c r="B41877" s="12"/>
      <c r="C41877" s="8"/>
      <c r="D41877" s="8"/>
    </row>
    <row r="41878" spans="1:4" ht="15.75" customHeight="1">
      <c r="A41878" s="8"/>
      <c r="B41878" s="12"/>
      <c r="C41878" s="8"/>
      <c r="D41878" s="8"/>
    </row>
    <row r="41879" spans="1:4" ht="15.75" customHeight="1">
      <c r="A41879" s="8"/>
      <c r="B41879" s="12"/>
      <c r="C41879" s="8"/>
      <c r="D41879" s="8"/>
    </row>
    <row r="41880" spans="1:4" ht="15.75" customHeight="1">
      <c r="A41880" s="8"/>
      <c r="B41880" s="12"/>
      <c r="C41880" s="8"/>
      <c r="D41880" s="8"/>
    </row>
    <row r="41881" spans="1:4" ht="15.75" customHeight="1">
      <c r="A41881" s="8"/>
      <c r="B41881" s="12"/>
      <c r="C41881" s="8"/>
      <c r="D41881" s="8"/>
    </row>
    <row r="41882" spans="1:4" ht="15.75" customHeight="1">
      <c r="A41882" s="8"/>
      <c r="B41882" s="12"/>
      <c r="C41882" s="8"/>
      <c r="D41882" s="8"/>
    </row>
    <row r="41883" spans="1:4" ht="15.75" customHeight="1">
      <c r="A41883" s="8"/>
      <c r="B41883" s="12"/>
      <c r="C41883" s="8"/>
      <c r="D41883" s="8"/>
    </row>
    <row r="41884" spans="1:4" ht="15.75" customHeight="1">
      <c r="A41884" s="8"/>
      <c r="B41884" s="12"/>
      <c r="C41884" s="8"/>
      <c r="D41884" s="8"/>
    </row>
    <row r="41885" spans="1:4" ht="15.75" customHeight="1">
      <c r="A41885" s="8"/>
      <c r="B41885" s="12"/>
      <c r="C41885" s="8"/>
      <c r="D41885" s="8"/>
    </row>
    <row r="41886" spans="1:4" ht="15.75" customHeight="1">
      <c r="A41886" s="8"/>
      <c r="B41886" s="12"/>
      <c r="C41886" s="8"/>
      <c r="D41886" s="8"/>
    </row>
    <row r="41887" spans="1:4" ht="15.75" customHeight="1">
      <c r="A41887" s="8"/>
      <c r="B41887" s="12"/>
      <c r="C41887" s="8"/>
      <c r="D41887" s="8"/>
    </row>
    <row r="41888" spans="1:4" ht="15.75" customHeight="1">
      <c r="A41888" s="8"/>
      <c r="B41888" s="12"/>
      <c r="C41888" s="8"/>
      <c r="D41888" s="8"/>
    </row>
    <row r="41889" spans="1:4" ht="15.75" customHeight="1">
      <c r="A41889" s="8"/>
      <c r="B41889" s="12"/>
      <c r="C41889" s="8"/>
      <c r="D41889" s="8"/>
    </row>
    <row r="41890" spans="1:4" ht="15.75" customHeight="1">
      <c r="A41890" s="8"/>
      <c r="B41890" s="12"/>
      <c r="C41890" s="8"/>
      <c r="D41890" s="8"/>
    </row>
    <row r="41891" spans="1:4" ht="15.75" customHeight="1">
      <c r="A41891" s="8"/>
      <c r="B41891" s="12"/>
      <c r="C41891" s="8"/>
      <c r="D41891" s="8"/>
    </row>
    <row r="41892" spans="1:4" ht="15.75" customHeight="1">
      <c r="A41892" s="8"/>
      <c r="B41892" s="12"/>
      <c r="C41892" s="8"/>
      <c r="D41892" s="8"/>
    </row>
    <row r="41893" spans="1:4" ht="15.75" customHeight="1">
      <c r="A41893" s="8"/>
      <c r="B41893" s="12"/>
      <c r="C41893" s="8"/>
      <c r="D41893" s="8"/>
    </row>
    <row r="41894" spans="1:4" ht="15.75" customHeight="1">
      <c r="A41894" s="8"/>
      <c r="B41894" s="12"/>
      <c r="C41894" s="8"/>
      <c r="D41894" s="8"/>
    </row>
    <row r="41895" spans="1:4" ht="15.75" customHeight="1">
      <c r="A41895" s="8"/>
      <c r="B41895" s="12"/>
      <c r="C41895" s="8"/>
      <c r="D41895" s="8"/>
    </row>
    <row r="41896" spans="1:4" ht="15.75" customHeight="1">
      <c r="A41896" s="8"/>
      <c r="B41896" s="12"/>
      <c r="C41896" s="8"/>
      <c r="D41896" s="8"/>
    </row>
    <row r="41897" spans="1:4" ht="15.75" customHeight="1">
      <c r="A41897" s="8"/>
      <c r="B41897" s="12"/>
      <c r="C41897" s="8"/>
      <c r="D41897" s="8"/>
    </row>
    <row r="41898" spans="1:4" ht="15.75" customHeight="1">
      <c r="A41898" s="8"/>
      <c r="B41898" s="12"/>
      <c r="C41898" s="8"/>
      <c r="D41898" s="8"/>
    </row>
    <row r="41899" spans="1:4" ht="15.75" customHeight="1">
      <c r="A41899" s="8"/>
      <c r="B41899" s="12"/>
      <c r="C41899" s="8"/>
      <c r="D41899" s="8"/>
    </row>
    <row r="41900" spans="1:4" ht="15.75" customHeight="1">
      <c r="A41900" s="8"/>
      <c r="B41900" s="12"/>
      <c r="C41900" s="8"/>
      <c r="D41900" s="8"/>
    </row>
    <row r="41901" spans="1:4" ht="15.75" customHeight="1">
      <c r="A41901" s="8"/>
      <c r="B41901" s="12"/>
      <c r="C41901" s="8"/>
      <c r="D41901" s="8"/>
    </row>
    <row r="41902" spans="1:4" ht="15.75" customHeight="1">
      <c r="A41902" s="8"/>
      <c r="B41902" s="12"/>
      <c r="C41902" s="8"/>
      <c r="D41902" s="8"/>
    </row>
    <row r="41903" spans="1:4" ht="15.75" customHeight="1">
      <c r="A41903" s="8"/>
      <c r="B41903" s="12"/>
      <c r="C41903" s="8"/>
      <c r="D41903" s="8"/>
    </row>
    <row r="41904" spans="1:4" ht="15.75" customHeight="1">
      <c r="A41904" s="8"/>
      <c r="B41904" s="12"/>
      <c r="C41904" s="8"/>
      <c r="D41904" s="8"/>
    </row>
    <row r="41905" spans="1:4" ht="15.75" customHeight="1">
      <c r="A41905" s="8"/>
      <c r="B41905" s="12"/>
      <c r="C41905" s="8"/>
      <c r="D41905" s="8"/>
    </row>
    <row r="41906" spans="1:4" ht="15.75" customHeight="1">
      <c r="A41906" s="8"/>
      <c r="B41906" s="12"/>
      <c r="C41906" s="8"/>
      <c r="D41906" s="8"/>
    </row>
    <row r="41907" spans="1:4" ht="15.75" customHeight="1">
      <c r="A41907" s="8"/>
      <c r="B41907" s="12"/>
      <c r="C41907" s="8"/>
      <c r="D41907" s="8"/>
    </row>
    <row r="41908" spans="1:4" ht="15.75" customHeight="1">
      <c r="A41908" s="8"/>
      <c r="B41908" s="12"/>
      <c r="C41908" s="8"/>
      <c r="D41908" s="8"/>
    </row>
    <row r="41909" spans="1:4" ht="15.75" customHeight="1">
      <c r="A41909" s="8"/>
      <c r="B41909" s="12"/>
      <c r="C41909" s="8"/>
      <c r="D41909" s="8"/>
    </row>
    <row r="41910" spans="1:4" ht="15.75" customHeight="1">
      <c r="A41910" s="8"/>
      <c r="B41910" s="12"/>
      <c r="C41910" s="8"/>
      <c r="D41910" s="8"/>
    </row>
    <row r="41911" spans="1:4" ht="15.75" customHeight="1">
      <c r="A41911" s="8"/>
      <c r="B41911" s="12"/>
      <c r="C41911" s="8"/>
      <c r="D41911" s="8"/>
    </row>
    <row r="41912" spans="1:4" ht="15.75" customHeight="1">
      <c r="A41912" s="8"/>
      <c r="B41912" s="12"/>
      <c r="C41912" s="8"/>
      <c r="D41912" s="8"/>
    </row>
    <row r="41913" spans="1:4" ht="15.75" customHeight="1">
      <c r="A41913" s="8"/>
      <c r="B41913" s="12"/>
      <c r="C41913" s="8"/>
      <c r="D41913" s="8"/>
    </row>
    <row r="41914" spans="1:4" ht="15.75" customHeight="1">
      <c r="A41914" s="8"/>
      <c r="B41914" s="12"/>
      <c r="C41914" s="8"/>
      <c r="D41914" s="8"/>
    </row>
    <row r="41915" spans="1:4" ht="15.75" customHeight="1">
      <c r="A41915" s="8"/>
      <c r="B41915" s="12"/>
      <c r="C41915" s="8"/>
      <c r="D41915" s="8"/>
    </row>
    <row r="41916" spans="1:4" ht="15.75" customHeight="1">
      <c r="A41916" s="8"/>
      <c r="B41916" s="12"/>
      <c r="C41916" s="8"/>
      <c r="D41916" s="8"/>
    </row>
    <row r="41917" spans="1:4" ht="15.75" customHeight="1">
      <c r="A41917" s="8"/>
      <c r="B41917" s="12"/>
      <c r="C41917" s="8"/>
      <c r="D41917" s="8"/>
    </row>
    <row r="41918" spans="1:4" ht="15.75" customHeight="1">
      <c r="A41918" s="8"/>
      <c r="B41918" s="12"/>
      <c r="C41918" s="8"/>
      <c r="D41918" s="8"/>
    </row>
    <row r="41919" spans="1:4" ht="15.75" customHeight="1">
      <c r="A41919" s="8"/>
      <c r="B41919" s="12"/>
      <c r="C41919" s="8"/>
      <c r="D41919" s="8"/>
    </row>
    <row r="41920" spans="1:4" ht="15.75" customHeight="1">
      <c r="A41920" s="8"/>
      <c r="B41920" s="12"/>
      <c r="C41920" s="8"/>
      <c r="D41920" s="8"/>
    </row>
    <row r="41921" spans="1:4" ht="15.75" customHeight="1">
      <c r="A41921" s="8"/>
      <c r="B41921" s="12"/>
      <c r="C41921" s="8"/>
      <c r="D41921" s="8"/>
    </row>
    <row r="41922" spans="1:4" ht="15.75" customHeight="1">
      <c r="A41922" s="8"/>
      <c r="B41922" s="12"/>
      <c r="C41922" s="8"/>
      <c r="D41922" s="8"/>
    </row>
    <row r="41923" spans="1:4" ht="15.75" customHeight="1">
      <c r="A41923" s="8"/>
      <c r="B41923" s="12"/>
      <c r="C41923" s="8"/>
      <c r="D41923" s="8"/>
    </row>
    <row r="41924" spans="1:4" ht="15.75" customHeight="1">
      <c r="A41924" s="8"/>
      <c r="B41924" s="12"/>
      <c r="C41924" s="8"/>
      <c r="D41924" s="8"/>
    </row>
    <row r="41925" spans="1:4" ht="15.75" customHeight="1">
      <c r="A41925" s="8"/>
      <c r="B41925" s="12"/>
      <c r="C41925" s="8"/>
      <c r="D41925" s="8"/>
    </row>
    <row r="41926" spans="1:4" ht="15.75" customHeight="1">
      <c r="A41926" s="8"/>
      <c r="B41926" s="12"/>
      <c r="C41926" s="8"/>
      <c r="D41926" s="8"/>
    </row>
    <row r="41927" spans="1:4" ht="15.75" customHeight="1">
      <c r="A41927" s="8"/>
      <c r="B41927" s="12"/>
      <c r="C41927" s="8"/>
      <c r="D41927" s="8"/>
    </row>
    <row r="41928" spans="1:4" ht="15.75" customHeight="1">
      <c r="A41928" s="8"/>
      <c r="B41928" s="12"/>
      <c r="C41928" s="8"/>
      <c r="D41928" s="8"/>
    </row>
    <row r="41929" spans="1:4" ht="15.75" customHeight="1">
      <c r="A41929" s="8"/>
      <c r="B41929" s="12"/>
      <c r="C41929" s="8"/>
      <c r="D41929" s="8"/>
    </row>
    <row r="41930" spans="1:4" ht="15.75" customHeight="1">
      <c r="A41930" s="8"/>
      <c r="B41930" s="12"/>
      <c r="C41930" s="8"/>
      <c r="D41930" s="8"/>
    </row>
    <row r="41931" spans="1:4" ht="15.75" customHeight="1">
      <c r="A41931" s="8"/>
      <c r="B41931" s="12"/>
      <c r="C41931" s="8"/>
      <c r="D41931" s="8"/>
    </row>
    <row r="41932" spans="1:4" ht="15.75" customHeight="1">
      <c r="A41932" s="8"/>
      <c r="B41932" s="12"/>
      <c r="C41932" s="8"/>
      <c r="D41932" s="8"/>
    </row>
    <row r="41933" spans="1:4" ht="15.75" customHeight="1">
      <c r="A41933" s="8"/>
      <c r="B41933" s="12"/>
      <c r="C41933" s="8"/>
      <c r="D41933" s="8"/>
    </row>
    <row r="41934" spans="1:4" ht="15.75" customHeight="1">
      <c r="A41934" s="8"/>
      <c r="B41934" s="12"/>
      <c r="C41934" s="8"/>
      <c r="D41934" s="8"/>
    </row>
    <row r="41935" spans="1:4" ht="15.75" customHeight="1">
      <c r="A41935" s="8"/>
      <c r="B41935" s="12"/>
      <c r="C41935" s="8"/>
      <c r="D41935" s="8"/>
    </row>
    <row r="41936" spans="1:4" ht="15.75" customHeight="1">
      <c r="A41936" s="8"/>
      <c r="B41936" s="12"/>
      <c r="C41936" s="8"/>
      <c r="D41936" s="8"/>
    </row>
    <row r="41937" spans="1:4" ht="15.75" customHeight="1">
      <c r="A41937" s="8"/>
      <c r="B41937" s="12"/>
      <c r="C41937" s="8"/>
      <c r="D41937" s="8"/>
    </row>
    <row r="41938" spans="1:4" ht="15.75" customHeight="1">
      <c r="A41938" s="8"/>
      <c r="B41938" s="12"/>
      <c r="C41938" s="8"/>
      <c r="D41938" s="8"/>
    </row>
    <row r="41939" spans="1:4" ht="15.75" customHeight="1">
      <c r="A41939" s="8"/>
      <c r="B41939" s="12"/>
      <c r="C41939" s="8"/>
      <c r="D41939" s="8"/>
    </row>
    <row r="41940" spans="1:4" ht="15.75" customHeight="1">
      <c r="A41940" s="8"/>
      <c r="B41940" s="12"/>
      <c r="C41940" s="8"/>
      <c r="D41940" s="8"/>
    </row>
    <row r="41941" spans="1:4" ht="15.75" customHeight="1">
      <c r="A41941" s="8"/>
      <c r="B41941" s="12"/>
      <c r="C41941" s="8"/>
      <c r="D41941" s="8"/>
    </row>
    <row r="41942" spans="1:4" ht="15.75" customHeight="1">
      <c r="A41942" s="8"/>
      <c r="B41942" s="12"/>
      <c r="C41942" s="8"/>
      <c r="D41942" s="8"/>
    </row>
    <row r="41943" spans="1:4" ht="15.75" customHeight="1">
      <c r="A41943" s="8"/>
      <c r="B41943" s="12"/>
      <c r="C41943" s="8"/>
      <c r="D41943" s="8"/>
    </row>
    <row r="41944" spans="1:4" ht="15.75" customHeight="1">
      <c r="A41944" s="8"/>
      <c r="B41944" s="12"/>
      <c r="C41944" s="8"/>
      <c r="D41944" s="8"/>
    </row>
    <row r="41945" spans="1:4" ht="15.75" customHeight="1">
      <c r="A41945" s="8"/>
      <c r="B41945" s="12"/>
      <c r="C41945" s="8"/>
      <c r="D41945" s="8"/>
    </row>
    <row r="41946" spans="1:4" ht="15.75" customHeight="1">
      <c r="A41946" s="8"/>
      <c r="B41946" s="12"/>
      <c r="C41946" s="8"/>
      <c r="D41946" s="8"/>
    </row>
    <row r="41947" spans="1:4" ht="15.75" customHeight="1">
      <c r="A41947" s="8"/>
      <c r="B41947" s="12"/>
      <c r="C41947" s="8"/>
      <c r="D41947" s="8"/>
    </row>
    <row r="41948" spans="1:4" ht="15.75" customHeight="1">
      <c r="A41948" s="8"/>
      <c r="B41948" s="12"/>
      <c r="C41948" s="8"/>
      <c r="D41948" s="8"/>
    </row>
    <row r="41949" spans="1:4" ht="15.75" customHeight="1">
      <c r="A41949" s="8"/>
      <c r="B41949" s="12"/>
      <c r="C41949" s="8"/>
      <c r="D41949" s="8"/>
    </row>
    <row r="41950" spans="1:4" ht="15.75" customHeight="1">
      <c r="A41950" s="8"/>
      <c r="B41950" s="12"/>
      <c r="C41950" s="8"/>
      <c r="D41950" s="8"/>
    </row>
    <row r="41951" spans="1:4" ht="15.75" customHeight="1">
      <c r="A41951" s="8"/>
      <c r="B41951" s="12"/>
      <c r="C41951" s="8"/>
      <c r="D41951" s="8"/>
    </row>
    <row r="41952" spans="1:4" ht="15.75" customHeight="1">
      <c r="A41952" s="8"/>
      <c r="B41952" s="12"/>
      <c r="C41952" s="8"/>
      <c r="D41952" s="8"/>
    </row>
    <row r="41953" spans="1:4" ht="15.75" customHeight="1">
      <c r="A41953" s="8"/>
      <c r="B41953" s="12"/>
      <c r="C41953" s="8"/>
      <c r="D41953" s="8"/>
    </row>
    <row r="41954" spans="1:4" ht="15.75" customHeight="1">
      <c r="A41954" s="8"/>
      <c r="B41954" s="12"/>
      <c r="C41954" s="8"/>
      <c r="D41954" s="8"/>
    </row>
    <row r="41955" spans="1:4" ht="15.75" customHeight="1">
      <c r="A41955" s="8"/>
      <c r="B41955" s="12"/>
      <c r="C41955" s="8"/>
      <c r="D41955" s="8"/>
    </row>
    <row r="41956" spans="1:4" ht="15.75" customHeight="1">
      <c r="A41956" s="8"/>
      <c r="B41956" s="12"/>
      <c r="C41956" s="8"/>
      <c r="D41956" s="8"/>
    </row>
    <row r="41957" spans="1:4" ht="15.75" customHeight="1">
      <c r="A41957" s="8"/>
      <c r="B41957" s="12"/>
      <c r="C41957" s="8"/>
      <c r="D41957" s="8"/>
    </row>
    <row r="41958" spans="1:4" ht="15.75" customHeight="1">
      <c r="A41958" s="8"/>
      <c r="B41958" s="12"/>
      <c r="C41958" s="8"/>
      <c r="D41958" s="8"/>
    </row>
    <row r="41959" spans="1:4" ht="15.75" customHeight="1">
      <c r="A41959" s="8"/>
      <c r="B41959" s="12"/>
      <c r="C41959" s="8"/>
      <c r="D41959" s="8"/>
    </row>
    <row r="41960" spans="1:4" ht="15.75" customHeight="1">
      <c r="A41960" s="8"/>
      <c r="B41960" s="12"/>
      <c r="C41960" s="8"/>
      <c r="D41960" s="8"/>
    </row>
    <row r="41961" spans="1:4" ht="15.75" customHeight="1">
      <c r="A41961" s="8"/>
      <c r="B41961" s="12"/>
      <c r="C41961" s="8"/>
      <c r="D41961" s="8"/>
    </row>
    <row r="41962" spans="1:4" ht="15.75" customHeight="1">
      <c r="A41962" s="8"/>
      <c r="B41962" s="12"/>
      <c r="C41962" s="8"/>
      <c r="D41962" s="8"/>
    </row>
    <row r="41963" spans="1:4" ht="15.75" customHeight="1">
      <c r="A41963" s="8"/>
      <c r="B41963" s="12"/>
      <c r="C41963" s="8"/>
      <c r="D41963" s="8"/>
    </row>
    <row r="41964" spans="1:4" ht="15.75" customHeight="1">
      <c r="A41964" s="8"/>
      <c r="B41964" s="12"/>
      <c r="C41964" s="8"/>
      <c r="D41964" s="8"/>
    </row>
    <row r="41965" spans="1:4" ht="15.75" customHeight="1">
      <c r="A41965" s="8"/>
      <c r="B41965" s="12"/>
      <c r="C41965" s="8"/>
      <c r="D41965" s="8"/>
    </row>
    <row r="41966" spans="1:4" ht="15.75" customHeight="1">
      <c r="A41966" s="8"/>
      <c r="B41966" s="12"/>
      <c r="C41966" s="8"/>
      <c r="D41966" s="8"/>
    </row>
    <row r="41967" spans="1:4" ht="15.75" customHeight="1">
      <c r="A41967" s="8"/>
      <c r="B41967" s="12"/>
      <c r="C41967" s="8"/>
      <c r="D41967" s="8"/>
    </row>
    <row r="41968" spans="1:4" ht="15.75" customHeight="1">
      <c r="A41968" s="8"/>
      <c r="B41968" s="12"/>
      <c r="C41968" s="8"/>
      <c r="D41968" s="8"/>
    </row>
    <row r="41969" spans="1:4" ht="15.75" customHeight="1">
      <c r="A41969" s="8"/>
      <c r="B41969" s="12"/>
      <c r="C41969" s="8"/>
      <c r="D41969" s="8"/>
    </row>
    <row r="41970" spans="1:4" ht="15.75" customHeight="1">
      <c r="A41970" s="8"/>
      <c r="B41970" s="12"/>
      <c r="C41970" s="8"/>
      <c r="D41970" s="8"/>
    </row>
    <row r="41971" spans="1:4" ht="15.75" customHeight="1">
      <c r="A41971" s="8"/>
      <c r="B41971" s="12"/>
      <c r="C41971" s="8"/>
      <c r="D41971" s="8"/>
    </row>
    <row r="41972" spans="1:4" ht="15.75" customHeight="1">
      <c r="A41972" s="8"/>
      <c r="B41972" s="12"/>
      <c r="C41972" s="8"/>
      <c r="D41972" s="8"/>
    </row>
    <row r="41973" spans="1:4" ht="15.75" customHeight="1">
      <c r="A41973" s="8"/>
      <c r="B41973" s="12"/>
      <c r="C41973" s="8"/>
      <c r="D41973" s="8"/>
    </row>
    <row r="41974" spans="1:4" ht="15.75" customHeight="1">
      <c r="A41974" s="8"/>
      <c r="B41974" s="12"/>
      <c r="C41974" s="8"/>
      <c r="D41974" s="8"/>
    </row>
    <row r="41975" spans="1:4" ht="15.75" customHeight="1">
      <c r="A41975" s="8"/>
      <c r="B41975" s="12"/>
      <c r="C41975" s="8"/>
      <c r="D41975" s="8"/>
    </row>
    <row r="41976" spans="1:4" ht="15.75" customHeight="1">
      <c r="A41976" s="8"/>
      <c r="B41976" s="12"/>
      <c r="C41976" s="8"/>
      <c r="D41976" s="8"/>
    </row>
    <row r="41977" spans="1:4" ht="15.75" customHeight="1">
      <c r="A41977" s="8"/>
      <c r="B41977" s="12"/>
      <c r="C41977" s="8"/>
      <c r="D41977" s="8"/>
    </row>
    <row r="41978" spans="1:4" ht="15.75" customHeight="1">
      <c r="A41978" s="8"/>
      <c r="B41978" s="12"/>
      <c r="C41978" s="8"/>
      <c r="D41978" s="8"/>
    </row>
    <row r="41979" spans="1:4" ht="15.75" customHeight="1">
      <c r="A41979" s="8"/>
      <c r="B41979" s="12"/>
      <c r="C41979" s="8"/>
      <c r="D41979" s="8"/>
    </row>
    <row r="41980" spans="1:4" ht="15.75" customHeight="1">
      <c r="A41980" s="8"/>
      <c r="B41980" s="12"/>
      <c r="C41980" s="8"/>
      <c r="D41980" s="8"/>
    </row>
    <row r="41981" spans="1:4" ht="15.75" customHeight="1">
      <c r="A41981" s="8"/>
      <c r="B41981" s="12"/>
      <c r="C41981" s="8"/>
      <c r="D41981" s="8"/>
    </row>
    <row r="41982" spans="1:4" ht="15.75" customHeight="1">
      <c r="A41982" s="8"/>
      <c r="B41982" s="12"/>
      <c r="C41982" s="8"/>
      <c r="D41982" s="8"/>
    </row>
    <row r="41983" spans="1:4" ht="15.75" customHeight="1">
      <c r="A41983" s="8"/>
      <c r="B41983" s="12"/>
      <c r="C41983" s="8"/>
      <c r="D41983" s="8"/>
    </row>
    <row r="41984" spans="1:4" ht="15.75" customHeight="1">
      <c r="A41984" s="8"/>
      <c r="B41984" s="12"/>
      <c r="C41984" s="8"/>
      <c r="D41984" s="8"/>
    </row>
    <row r="41985" spans="1:4" ht="15.75" customHeight="1">
      <c r="A41985" s="8"/>
      <c r="B41985" s="12"/>
      <c r="C41985" s="8"/>
      <c r="D41985" s="8"/>
    </row>
    <row r="41986" spans="1:4" ht="15.75" customHeight="1">
      <c r="A41986" s="8"/>
      <c r="B41986" s="12"/>
      <c r="C41986" s="8"/>
      <c r="D41986" s="8"/>
    </row>
    <row r="41987" spans="1:4" ht="15.75" customHeight="1">
      <c r="A41987" s="8"/>
      <c r="B41987" s="12"/>
      <c r="C41987" s="8"/>
      <c r="D41987" s="8"/>
    </row>
    <row r="41988" spans="1:4" ht="15.75" customHeight="1">
      <c r="A41988" s="8"/>
      <c r="B41988" s="12"/>
      <c r="C41988" s="8"/>
      <c r="D41988" s="8"/>
    </row>
    <row r="41989" spans="1:4" ht="15.75" customHeight="1">
      <c r="A41989" s="8"/>
      <c r="B41989" s="12"/>
      <c r="C41989" s="8"/>
      <c r="D41989" s="8"/>
    </row>
    <row r="41990" spans="1:4" ht="15.75" customHeight="1">
      <c r="A41990" s="8"/>
      <c r="B41990" s="12"/>
      <c r="C41990" s="8"/>
      <c r="D41990" s="8"/>
    </row>
    <row r="41991" spans="1:4" ht="15.75" customHeight="1">
      <c r="A41991" s="8"/>
      <c r="B41991" s="12"/>
      <c r="C41991" s="8"/>
      <c r="D41991" s="8"/>
    </row>
    <row r="41992" spans="1:4" ht="15.75" customHeight="1">
      <c r="A41992" s="8"/>
      <c r="B41992" s="12"/>
      <c r="C41992" s="8"/>
      <c r="D41992" s="8"/>
    </row>
    <row r="41993" spans="1:4" ht="15.75" customHeight="1">
      <c r="A41993" s="8"/>
      <c r="B41993" s="12"/>
      <c r="C41993" s="8"/>
      <c r="D41993" s="8"/>
    </row>
    <row r="41994" spans="1:4" ht="15.75" customHeight="1">
      <c r="A41994" s="8"/>
      <c r="B41994" s="12"/>
      <c r="C41994" s="8"/>
      <c r="D41994" s="8"/>
    </row>
    <row r="41995" spans="1:4" ht="15.75" customHeight="1">
      <c r="A41995" s="8"/>
      <c r="B41995" s="12"/>
      <c r="C41995" s="8"/>
      <c r="D41995" s="8"/>
    </row>
    <row r="41996" spans="1:4" ht="15.75" customHeight="1">
      <c r="A41996" s="8"/>
      <c r="B41996" s="12"/>
      <c r="C41996" s="8"/>
      <c r="D41996" s="8"/>
    </row>
    <row r="41997" spans="1:4" ht="15.75" customHeight="1">
      <c r="A41997" s="8"/>
      <c r="B41997" s="12"/>
      <c r="C41997" s="8"/>
      <c r="D41997" s="8"/>
    </row>
    <row r="41998" spans="1:4" ht="15.75" customHeight="1">
      <c r="A41998" s="8"/>
      <c r="B41998" s="12"/>
      <c r="C41998" s="8"/>
      <c r="D41998" s="8"/>
    </row>
    <row r="41999" spans="1:4" ht="15.75" customHeight="1">
      <c r="A41999" s="8"/>
      <c r="B41999" s="12"/>
      <c r="C41999" s="8"/>
      <c r="D41999" s="8"/>
    </row>
    <row r="42000" spans="1:4" ht="15.75" customHeight="1">
      <c r="A42000" s="8"/>
      <c r="B42000" s="12"/>
      <c r="C42000" s="8"/>
      <c r="D42000" s="8"/>
    </row>
    <row r="42001" spans="1:4" ht="15.75" customHeight="1">
      <c r="A42001" s="8"/>
      <c r="B42001" s="12"/>
      <c r="C42001" s="8"/>
      <c r="D42001" s="8"/>
    </row>
    <row r="42002" spans="1:4" ht="15.75" customHeight="1">
      <c r="A42002" s="8"/>
      <c r="B42002" s="12"/>
      <c r="C42002" s="8"/>
      <c r="D42002" s="8"/>
    </row>
    <row r="42003" spans="1:4" ht="15.75" customHeight="1">
      <c r="A42003" s="8"/>
      <c r="B42003" s="12"/>
      <c r="C42003" s="8"/>
      <c r="D42003" s="8"/>
    </row>
    <row r="42004" spans="1:4" ht="15.75" customHeight="1">
      <c r="A42004" s="8"/>
      <c r="B42004" s="12"/>
      <c r="C42004" s="8"/>
      <c r="D42004" s="8"/>
    </row>
    <row r="42005" spans="1:4" ht="15.75" customHeight="1">
      <c r="A42005" s="8"/>
      <c r="B42005" s="12"/>
      <c r="C42005" s="8"/>
      <c r="D42005" s="8"/>
    </row>
    <row r="42006" spans="1:4" ht="15.75" customHeight="1">
      <c r="A42006" s="8"/>
      <c r="B42006" s="12"/>
      <c r="C42006" s="8"/>
      <c r="D42006" s="8"/>
    </row>
    <row r="42007" spans="1:4" ht="15.75" customHeight="1">
      <c r="A42007" s="8"/>
      <c r="B42007" s="12"/>
      <c r="C42007" s="8"/>
      <c r="D42007" s="8"/>
    </row>
    <row r="42008" spans="1:4" ht="15.75" customHeight="1">
      <c r="A42008" s="8"/>
      <c r="B42008" s="12"/>
      <c r="C42008" s="8"/>
      <c r="D42008" s="8"/>
    </row>
    <row r="42009" spans="1:4" ht="15.75" customHeight="1">
      <c r="A42009" s="8"/>
      <c r="B42009" s="12"/>
      <c r="C42009" s="8"/>
      <c r="D42009" s="8"/>
    </row>
    <row r="42010" spans="1:4" ht="15.75" customHeight="1">
      <c r="A42010" s="8"/>
      <c r="B42010" s="12"/>
      <c r="C42010" s="8"/>
      <c r="D42010" s="8"/>
    </row>
    <row r="42011" spans="1:4" ht="15.75" customHeight="1">
      <c r="A42011" s="8"/>
      <c r="B42011" s="12"/>
      <c r="C42011" s="8"/>
      <c r="D42011" s="8"/>
    </row>
    <row r="42012" spans="1:4" ht="15.75" customHeight="1">
      <c r="A42012" s="8"/>
      <c r="B42012" s="12"/>
      <c r="C42012" s="8"/>
      <c r="D42012" s="8"/>
    </row>
    <row r="42013" spans="1:4" ht="15.75" customHeight="1">
      <c r="A42013" s="8"/>
      <c r="B42013" s="12"/>
      <c r="C42013" s="8"/>
      <c r="D42013" s="8"/>
    </row>
    <row r="42014" spans="1:4" ht="15.75" customHeight="1">
      <c r="A42014" s="8"/>
      <c r="B42014" s="12"/>
      <c r="C42014" s="8"/>
      <c r="D42014" s="8"/>
    </row>
    <row r="42015" spans="1:4" ht="15.75" customHeight="1">
      <c r="A42015" s="8"/>
      <c r="B42015" s="12"/>
      <c r="C42015" s="8"/>
      <c r="D42015" s="8"/>
    </row>
    <row r="42016" spans="1:4" ht="15.75" customHeight="1">
      <c r="A42016" s="8"/>
      <c r="B42016" s="12"/>
      <c r="C42016" s="8"/>
      <c r="D42016" s="8"/>
    </row>
    <row r="42017" spans="1:4" ht="15.75" customHeight="1">
      <c r="A42017" s="8"/>
      <c r="B42017" s="12"/>
      <c r="C42017" s="8"/>
      <c r="D42017" s="8"/>
    </row>
    <row r="42018" spans="1:4" ht="15.75" customHeight="1">
      <c r="A42018" s="8"/>
      <c r="B42018" s="12"/>
      <c r="C42018" s="8"/>
      <c r="D42018" s="8"/>
    </row>
    <row r="42019" spans="1:4" ht="15.75" customHeight="1">
      <c r="A42019" s="8"/>
      <c r="B42019" s="12"/>
      <c r="C42019" s="8"/>
      <c r="D42019" s="8"/>
    </row>
    <row r="42020" spans="1:4" ht="15.75" customHeight="1">
      <c r="A42020" s="8"/>
      <c r="B42020" s="12"/>
      <c r="C42020" s="8"/>
      <c r="D42020" s="8"/>
    </row>
    <row r="42021" spans="1:4" ht="15.75" customHeight="1">
      <c r="A42021" s="8"/>
      <c r="B42021" s="12"/>
      <c r="C42021" s="8"/>
      <c r="D42021" s="8"/>
    </row>
    <row r="42022" spans="1:4" ht="15.75" customHeight="1">
      <c r="A42022" s="8"/>
      <c r="B42022" s="12"/>
      <c r="C42022" s="8"/>
      <c r="D42022" s="8"/>
    </row>
    <row r="42023" spans="1:4" ht="15.75" customHeight="1">
      <c r="A42023" s="8"/>
      <c r="B42023" s="12"/>
      <c r="C42023" s="8"/>
      <c r="D42023" s="8"/>
    </row>
    <row r="42024" spans="1:4" ht="15.75" customHeight="1">
      <c r="A42024" s="8"/>
      <c r="B42024" s="12"/>
      <c r="C42024" s="8"/>
      <c r="D42024" s="8"/>
    </row>
    <row r="42025" spans="1:4" ht="15.75" customHeight="1">
      <c r="A42025" s="8"/>
      <c r="B42025" s="12"/>
      <c r="C42025" s="8"/>
      <c r="D42025" s="8"/>
    </row>
    <row r="42026" spans="1:4" ht="15.75" customHeight="1">
      <c r="A42026" s="8"/>
      <c r="B42026" s="12"/>
      <c r="C42026" s="8"/>
      <c r="D42026" s="8"/>
    </row>
    <row r="42027" spans="1:4" ht="15.75" customHeight="1">
      <c r="A42027" s="8"/>
      <c r="B42027" s="12"/>
      <c r="C42027" s="8"/>
      <c r="D42027" s="8"/>
    </row>
    <row r="42028" spans="1:4" ht="15.75" customHeight="1">
      <c r="A42028" s="8"/>
      <c r="B42028" s="12"/>
      <c r="C42028" s="8"/>
      <c r="D42028" s="8"/>
    </row>
    <row r="42029" spans="1:4" ht="15.75" customHeight="1">
      <c r="A42029" s="8"/>
      <c r="B42029" s="12"/>
      <c r="C42029" s="8"/>
      <c r="D42029" s="8"/>
    </row>
    <row r="42030" spans="1:4" ht="15.75" customHeight="1">
      <c r="A42030" s="8"/>
      <c r="B42030" s="12"/>
      <c r="C42030" s="8"/>
      <c r="D42030" s="8"/>
    </row>
    <row r="42031" spans="1:4" ht="15.75" customHeight="1">
      <c r="A42031" s="8"/>
      <c r="B42031" s="12"/>
      <c r="C42031" s="8"/>
      <c r="D42031" s="8"/>
    </row>
    <row r="42032" spans="1:4" ht="15.75" customHeight="1">
      <c r="A42032" s="8"/>
      <c r="B42032" s="12"/>
      <c r="C42032" s="8"/>
      <c r="D42032" s="8"/>
    </row>
    <row r="42033" spans="1:4" ht="15.75" customHeight="1">
      <c r="A42033" s="8"/>
      <c r="B42033" s="12"/>
      <c r="C42033" s="8"/>
      <c r="D42033" s="8"/>
    </row>
    <row r="42034" spans="1:4" ht="15.75" customHeight="1">
      <c r="A42034" s="8"/>
      <c r="B42034" s="12"/>
      <c r="C42034" s="8"/>
      <c r="D42034" s="8"/>
    </row>
    <row r="42035" spans="1:4" ht="15.75" customHeight="1">
      <c r="A42035" s="8"/>
      <c r="B42035" s="12"/>
      <c r="C42035" s="8"/>
      <c r="D42035" s="8"/>
    </row>
    <row r="42036" spans="1:4" ht="15.75" customHeight="1">
      <c r="A42036" s="8"/>
      <c r="B42036" s="12"/>
      <c r="C42036" s="8"/>
      <c r="D42036" s="8"/>
    </row>
    <row r="42037" spans="1:4" ht="15.75" customHeight="1">
      <c r="A42037" s="8"/>
      <c r="B42037" s="12"/>
      <c r="C42037" s="8"/>
      <c r="D42037" s="8"/>
    </row>
    <row r="42038" spans="1:4" ht="15.75" customHeight="1">
      <c r="A42038" s="8"/>
      <c r="B42038" s="12"/>
      <c r="C42038" s="8"/>
      <c r="D42038" s="8"/>
    </row>
    <row r="42039" spans="1:4" ht="15.75" customHeight="1">
      <c r="A42039" s="8"/>
      <c r="B42039" s="12"/>
      <c r="C42039" s="8"/>
      <c r="D42039" s="8"/>
    </row>
    <row r="42040" spans="1:4" ht="15.75" customHeight="1">
      <c r="A42040" s="8"/>
      <c r="B42040" s="12"/>
      <c r="C42040" s="8"/>
      <c r="D42040" s="8"/>
    </row>
    <row r="42041" spans="1:4" ht="15.75" customHeight="1">
      <c r="A42041" s="8"/>
      <c r="B42041" s="12"/>
      <c r="C42041" s="8"/>
      <c r="D42041" s="8"/>
    </row>
    <row r="42042" spans="1:4" ht="15.75" customHeight="1">
      <c r="A42042" s="8"/>
      <c r="B42042" s="12"/>
      <c r="C42042" s="8"/>
      <c r="D42042" s="8"/>
    </row>
    <row r="42043" spans="1:4" ht="15.75" customHeight="1">
      <c r="A42043" s="8"/>
      <c r="B42043" s="12"/>
      <c r="C42043" s="8"/>
      <c r="D42043" s="8"/>
    </row>
    <row r="42044" spans="1:4" ht="15.75" customHeight="1">
      <c r="A42044" s="8"/>
      <c r="B42044" s="12"/>
      <c r="C42044" s="8"/>
      <c r="D42044" s="8"/>
    </row>
    <row r="42045" spans="1:4" ht="15.75" customHeight="1">
      <c r="A42045" s="8"/>
      <c r="B42045" s="12"/>
      <c r="C42045" s="8"/>
      <c r="D42045" s="8"/>
    </row>
    <row r="42046" spans="1:4" ht="15.75" customHeight="1">
      <c r="A42046" s="8"/>
      <c r="B42046" s="12"/>
      <c r="C42046" s="8"/>
      <c r="D42046" s="8"/>
    </row>
    <row r="42047" spans="1:4" ht="15.75" customHeight="1">
      <c r="A42047" s="8"/>
      <c r="B42047" s="12"/>
      <c r="C42047" s="8"/>
      <c r="D42047" s="8"/>
    </row>
    <row r="42048" spans="1:4" ht="15.75" customHeight="1">
      <c r="A42048" s="8"/>
      <c r="B42048" s="12"/>
      <c r="C42048" s="8"/>
      <c r="D42048" s="8"/>
    </row>
    <row r="42049" spans="1:4" ht="15.75" customHeight="1">
      <c r="A42049" s="8"/>
      <c r="B42049" s="12"/>
      <c r="C42049" s="8"/>
      <c r="D42049" s="8"/>
    </row>
    <row r="42050" spans="1:4" ht="15.75" customHeight="1">
      <c r="A42050" s="8"/>
      <c r="B42050" s="12"/>
      <c r="C42050" s="8"/>
      <c r="D42050" s="8"/>
    </row>
    <row r="42051" spans="1:4" ht="15.75" customHeight="1">
      <c r="A42051" s="8"/>
      <c r="B42051" s="12"/>
      <c r="C42051" s="8"/>
      <c r="D42051" s="8"/>
    </row>
    <row r="42052" spans="1:4" ht="15.75" customHeight="1">
      <c r="A42052" s="8"/>
      <c r="B42052" s="12"/>
      <c r="C42052" s="8"/>
      <c r="D42052" s="8"/>
    </row>
    <row r="42053" spans="1:4" ht="15.75" customHeight="1">
      <c r="A42053" s="8"/>
      <c r="B42053" s="12"/>
      <c r="C42053" s="8"/>
      <c r="D42053" s="8"/>
    </row>
    <row r="42054" spans="1:4" ht="15.75" customHeight="1">
      <c r="A42054" s="8"/>
      <c r="B42054" s="12"/>
      <c r="C42054" s="8"/>
      <c r="D42054" s="8"/>
    </row>
    <row r="42055" spans="1:4" ht="15.75" customHeight="1">
      <c r="A42055" s="8"/>
      <c r="B42055" s="12"/>
      <c r="C42055" s="8"/>
      <c r="D42055" s="8"/>
    </row>
    <row r="42056" spans="1:4" ht="15.75" customHeight="1">
      <c r="A42056" s="8"/>
      <c r="B42056" s="12"/>
      <c r="C42056" s="8"/>
      <c r="D42056" s="8"/>
    </row>
    <row r="42057" spans="1:4" ht="15.75" customHeight="1">
      <c r="A42057" s="8"/>
      <c r="B42057" s="12"/>
      <c r="C42057" s="8"/>
      <c r="D42057" s="8"/>
    </row>
    <row r="42058" spans="1:4" ht="15.75" customHeight="1">
      <c r="A42058" s="8"/>
      <c r="B42058" s="12"/>
      <c r="C42058" s="8"/>
      <c r="D42058" s="8"/>
    </row>
    <row r="42059" spans="1:4" ht="15.75" customHeight="1">
      <c r="A42059" s="8"/>
      <c r="B42059" s="12"/>
      <c r="C42059" s="8"/>
      <c r="D42059" s="8"/>
    </row>
    <row r="42060" spans="1:4" ht="15.75" customHeight="1">
      <c r="A42060" s="8"/>
      <c r="B42060" s="12"/>
      <c r="C42060" s="8"/>
      <c r="D42060" s="8"/>
    </row>
    <row r="42061" spans="1:4" ht="15.75" customHeight="1">
      <c r="A42061" s="8"/>
      <c r="B42061" s="12"/>
      <c r="C42061" s="8"/>
      <c r="D42061" s="8"/>
    </row>
    <row r="42062" spans="1:4" ht="15.75" customHeight="1">
      <c r="A42062" s="8"/>
      <c r="B42062" s="12"/>
      <c r="C42062" s="8"/>
      <c r="D42062" s="8"/>
    </row>
    <row r="42063" spans="1:4" ht="15.75" customHeight="1">
      <c r="A42063" s="8"/>
      <c r="B42063" s="12"/>
      <c r="C42063" s="8"/>
      <c r="D42063" s="8"/>
    </row>
    <row r="42064" spans="1:4" ht="15.75" customHeight="1">
      <c r="A42064" s="8"/>
      <c r="B42064" s="12"/>
      <c r="C42064" s="8"/>
      <c r="D42064" s="8"/>
    </row>
    <row r="42065" spans="1:4" ht="15.75" customHeight="1">
      <c r="A42065" s="8"/>
      <c r="B42065" s="12"/>
      <c r="C42065" s="8"/>
      <c r="D42065" s="8"/>
    </row>
    <row r="42066" spans="1:4" ht="15.75" customHeight="1">
      <c r="A42066" s="8"/>
      <c r="B42066" s="12"/>
      <c r="C42066" s="8"/>
      <c r="D42066" s="8"/>
    </row>
    <row r="42067" spans="1:4" ht="15.75" customHeight="1">
      <c r="A42067" s="8"/>
      <c r="B42067" s="12"/>
      <c r="C42067" s="8"/>
      <c r="D42067" s="8"/>
    </row>
    <row r="42068" spans="1:4" ht="15.75" customHeight="1">
      <c r="A42068" s="8"/>
      <c r="B42068" s="12"/>
      <c r="C42068" s="8"/>
      <c r="D42068" s="8"/>
    </row>
    <row r="42069" spans="1:4" ht="15.75" customHeight="1">
      <c r="A42069" s="8"/>
      <c r="B42069" s="12"/>
      <c r="C42069" s="8"/>
      <c r="D42069" s="8"/>
    </row>
    <row r="42070" spans="1:4" ht="15.75" customHeight="1">
      <c r="A42070" s="8"/>
      <c r="B42070" s="12"/>
      <c r="C42070" s="8"/>
      <c r="D42070" s="8"/>
    </row>
    <row r="42071" spans="1:4" ht="15.75" customHeight="1">
      <c r="A42071" s="8"/>
      <c r="B42071" s="12"/>
      <c r="C42071" s="8"/>
      <c r="D42071" s="8"/>
    </row>
    <row r="42072" spans="1:4" ht="15.75" customHeight="1">
      <c r="A42072" s="8"/>
      <c r="B42072" s="12"/>
      <c r="C42072" s="8"/>
      <c r="D42072" s="8"/>
    </row>
    <row r="42073" spans="1:4" ht="15.75" customHeight="1">
      <c r="A42073" s="8"/>
      <c r="B42073" s="12"/>
      <c r="C42073" s="8"/>
      <c r="D42073" s="8"/>
    </row>
    <row r="42074" spans="1:4" ht="15.75" customHeight="1">
      <c r="A42074" s="8"/>
      <c r="B42074" s="12"/>
      <c r="C42074" s="8"/>
      <c r="D42074" s="8"/>
    </row>
    <row r="42075" spans="1:4" ht="15.75" customHeight="1">
      <c r="A42075" s="8"/>
      <c r="B42075" s="12"/>
      <c r="C42075" s="8"/>
      <c r="D42075" s="8"/>
    </row>
    <row r="42076" spans="1:4" ht="15.75" customHeight="1">
      <c r="A42076" s="8"/>
      <c r="B42076" s="12"/>
      <c r="C42076" s="8"/>
      <c r="D42076" s="8"/>
    </row>
    <row r="42077" spans="1:4" ht="15.75" customHeight="1">
      <c r="A42077" s="8"/>
      <c r="B42077" s="12"/>
      <c r="C42077" s="8"/>
      <c r="D42077" s="8"/>
    </row>
    <row r="42078" spans="1:4" ht="15.75" customHeight="1">
      <c r="A42078" s="8"/>
      <c r="B42078" s="12"/>
      <c r="C42078" s="8"/>
      <c r="D42078" s="8"/>
    </row>
    <row r="42079" spans="1:4" ht="15.75" customHeight="1">
      <c r="A42079" s="8"/>
      <c r="B42079" s="12"/>
      <c r="C42079" s="8"/>
      <c r="D42079" s="8"/>
    </row>
    <row r="42080" spans="1:4" ht="15.75" customHeight="1">
      <c r="A42080" s="8"/>
      <c r="B42080" s="12"/>
      <c r="C42080" s="8"/>
      <c r="D42080" s="8"/>
    </row>
    <row r="42081" spans="1:4" ht="15.75" customHeight="1">
      <c r="A42081" s="8"/>
      <c r="B42081" s="12"/>
      <c r="C42081" s="8"/>
      <c r="D42081" s="8"/>
    </row>
    <row r="42082" spans="1:4" ht="15.75" customHeight="1">
      <c r="A42082" s="8"/>
      <c r="B42082" s="12"/>
      <c r="C42082" s="8"/>
      <c r="D42082" s="8"/>
    </row>
    <row r="42083" spans="1:4" ht="15.75" customHeight="1">
      <c r="A42083" s="8"/>
      <c r="B42083" s="12"/>
      <c r="C42083" s="8"/>
      <c r="D42083" s="8"/>
    </row>
    <row r="42084" spans="1:4" ht="15.75" customHeight="1">
      <c r="A42084" s="8"/>
      <c r="B42084" s="12"/>
      <c r="C42084" s="8"/>
      <c r="D42084" s="8"/>
    </row>
    <row r="42085" spans="1:4" ht="15.75" customHeight="1">
      <c r="A42085" s="8"/>
      <c r="B42085" s="12"/>
      <c r="C42085" s="8"/>
      <c r="D42085" s="8"/>
    </row>
    <row r="42086" spans="1:4" ht="15.75" customHeight="1">
      <c r="A42086" s="8"/>
      <c r="B42086" s="12"/>
      <c r="C42086" s="8"/>
      <c r="D42086" s="8"/>
    </row>
    <row r="42087" spans="1:4" ht="15.75" customHeight="1">
      <c r="A42087" s="8"/>
      <c r="B42087" s="12"/>
      <c r="C42087" s="8"/>
      <c r="D42087" s="8"/>
    </row>
    <row r="42088" spans="1:4" ht="15.75" customHeight="1">
      <c r="A42088" s="8"/>
      <c r="B42088" s="12"/>
      <c r="C42088" s="8"/>
      <c r="D42088" s="8"/>
    </row>
    <row r="42089" spans="1:4" ht="15.75" customHeight="1">
      <c r="A42089" s="8"/>
      <c r="B42089" s="12"/>
      <c r="C42089" s="8"/>
      <c r="D42089" s="8"/>
    </row>
    <row r="42090" spans="1:4" ht="15.75" customHeight="1">
      <c r="A42090" s="8"/>
      <c r="B42090" s="12"/>
      <c r="C42090" s="8"/>
      <c r="D42090" s="8"/>
    </row>
    <row r="42091" spans="1:4" ht="15.75" customHeight="1">
      <c r="A42091" s="8"/>
      <c r="B42091" s="12"/>
      <c r="C42091" s="8"/>
      <c r="D42091" s="8"/>
    </row>
    <row r="42092" spans="1:4" ht="15.75" customHeight="1">
      <c r="A42092" s="8"/>
      <c r="B42092" s="12"/>
      <c r="C42092" s="8"/>
      <c r="D42092" s="8"/>
    </row>
    <row r="42093" spans="1:4" ht="15.75" customHeight="1">
      <c r="A42093" s="8"/>
      <c r="B42093" s="12"/>
      <c r="C42093" s="8"/>
      <c r="D42093" s="8"/>
    </row>
    <row r="42094" spans="1:4" ht="15.75" customHeight="1">
      <c r="A42094" s="8"/>
      <c r="B42094" s="12"/>
      <c r="C42094" s="8"/>
      <c r="D42094" s="8"/>
    </row>
    <row r="42095" spans="1:4" ht="15.75" customHeight="1">
      <c r="A42095" s="8"/>
      <c r="B42095" s="12"/>
      <c r="C42095" s="8"/>
      <c r="D42095" s="8"/>
    </row>
    <row r="42096" spans="1:4" ht="15.75" customHeight="1">
      <c r="A42096" s="8"/>
      <c r="B42096" s="12"/>
      <c r="C42096" s="8"/>
      <c r="D42096" s="8"/>
    </row>
    <row r="42097" spans="1:4" ht="15.75" customHeight="1">
      <c r="A42097" s="8"/>
      <c r="B42097" s="12"/>
      <c r="C42097" s="8"/>
      <c r="D42097" s="8"/>
    </row>
    <row r="42098" spans="1:4" ht="15.75" customHeight="1">
      <c r="A42098" s="8"/>
      <c r="B42098" s="12"/>
      <c r="C42098" s="8"/>
      <c r="D42098" s="8"/>
    </row>
    <row r="42099" spans="1:4" ht="15.75" customHeight="1">
      <c r="A42099" s="8"/>
      <c r="B42099" s="12"/>
      <c r="C42099" s="8"/>
      <c r="D42099" s="8"/>
    </row>
    <row r="42100" spans="1:4" ht="15.75" customHeight="1">
      <c r="A42100" s="8"/>
      <c r="B42100" s="12"/>
      <c r="C42100" s="8"/>
      <c r="D42100" s="8"/>
    </row>
    <row r="42101" spans="1:4" ht="15.75" customHeight="1">
      <c r="A42101" s="8"/>
      <c r="B42101" s="12"/>
      <c r="C42101" s="8"/>
      <c r="D42101" s="8"/>
    </row>
    <row r="42102" spans="1:4" ht="15.75" customHeight="1">
      <c r="A42102" s="8"/>
      <c r="B42102" s="12"/>
      <c r="C42102" s="8"/>
      <c r="D42102" s="8"/>
    </row>
    <row r="42103" spans="1:4" ht="15.75" customHeight="1">
      <c r="A42103" s="8"/>
      <c r="B42103" s="12"/>
      <c r="C42103" s="8"/>
      <c r="D42103" s="8"/>
    </row>
    <row r="42104" spans="1:4" ht="15.75" customHeight="1">
      <c r="A42104" s="8"/>
      <c r="B42104" s="12"/>
      <c r="C42104" s="8"/>
      <c r="D42104" s="8"/>
    </row>
    <row r="42105" spans="1:4" ht="15.75" customHeight="1">
      <c r="A42105" s="8"/>
      <c r="B42105" s="12"/>
      <c r="C42105" s="8"/>
      <c r="D42105" s="8"/>
    </row>
    <row r="42106" spans="1:4" ht="15.75" customHeight="1">
      <c r="A42106" s="8"/>
      <c r="B42106" s="12"/>
      <c r="C42106" s="8"/>
      <c r="D42106" s="8"/>
    </row>
    <row r="42107" spans="1:4" ht="15.75" customHeight="1">
      <c r="A42107" s="8"/>
      <c r="B42107" s="12"/>
      <c r="C42107" s="8"/>
      <c r="D42107" s="8"/>
    </row>
    <row r="42108" spans="1:4" ht="15.75" customHeight="1">
      <c r="A42108" s="8"/>
      <c r="B42108" s="12"/>
      <c r="C42108" s="8"/>
      <c r="D42108" s="8"/>
    </row>
    <row r="42109" spans="1:4" ht="15.75" customHeight="1">
      <c r="A42109" s="8"/>
      <c r="B42109" s="12"/>
      <c r="C42109" s="8"/>
      <c r="D42109" s="8"/>
    </row>
    <row r="42110" spans="1:4" ht="15.75" customHeight="1">
      <c r="A42110" s="8"/>
      <c r="B42110" s="12"/>
      <c r="C42110" s="8"/>
      <c r="D42110" s="8"/>
    </row>
    <row r="42111" spans="1:4" ht="15.75" customHeight="1">
      <c r="A42111" s="8"/>
      <c r="B42111" s="12"/>
      <c r="C42111" s="8"/>
      <c r="D42111" s="8"/>
    </row>
    <row r="42112" spans="1:4" ht="15.75" customHeight="1">
      <c r="A42112" s="8"/>
      <c r="B42112" s="12"/>
      <c r="C42112" s="8"/>
      <c r="D42112" s="8"/>
    </row>
    <row r="42113" spans="1:4" ht="15.75" customHeight="1">
      <c r="A42113" s="8"/>
      <c r="B42113" s="12"/>
      <c r="C42113" s="8"/>
      <c r="D42113" s="8"/>
    </row>
    <row r="42114" spans="1:4" ht="15.75" customHeight="1">
      <c r="A42114" s="8"/>
      <c r="B42114" s="12"/>
      <c r="C42114" s="8"/>
      <c r="D42114" s="8"/>
    </row>
    <row r="42115" spans="1:4" ht="15.75" customHeight="1">
      <c r="A42115" s="8"/>
      <c r="B42115" s="12"/>
      <c r="C42115" s="8"/>
      <c r="D42115" s="8"/>
    </row>
    <row r="42116" spans="1:4" ht="15.75" customHeight="1">
      <c r="A42116" s="8"/>
      <c r="B42116" s="12"/>
      <c r="C42116" s="8"/>
      <c r="D42116" s="8"/>
    </row>
    <row r="42117" spans="1:4" ht="15.75" customHeight="1">
      <c r="A42117" s="8"/>
      <c r="B42117" s="12"/>
      <c r="C42117" s="8"/>
      <c r="D42117" s="8"/>
    </row>
    <row r="42118" spans="1:4" ht="15.75" customHeight="1">
      <c r="A42118" s="8"/>
      <c r="B42118" s="12"/>
      <c r="C42118" s="8"/>
      <c r="D42118" s="8"/>
    </row>
    <row r="42119" spans="1:4" ht="15.75" customHeight="1">
      <c r="A42119" s="8"/>
      <c r="B42119" s="12"/>
      <c r="C42119" s="8"/>
      <c r="D42119" s="8"/>
    </row>
    <row r="42120" spans="1:4" ht="15.75" customHeight="1">
      <c r="A42120" s="8"/>
      <c r="B42120" s="12"/>
      <c r="C42120" s="8"/>
      <c r="D42120" s="8"/>
    </row>
    <row r="42121" spans="1:4" ht="15.75" customHeight="1">
      <c r="A42121" s="8"/>
      <c r="B42121" s="12"/>
      <c r="C42121" s="8"/>
      <c r="D42121" s="8"/>
    </row>
    <row r="42122" spans="1:4" ht="15.75" customHeight="1">
      <c r="A42122" s="8"/>
      <c r="B42122" s="12"/>
      <c r="C42122" s="8"/>
      <c r="D42122" s="8"/>
    </row>
    <row r="42123" spans="1:4" ht="15.75" customHeight="1">
      <c r="A42123" s="8"/>
      <c r="B42123" s="12"/>
      <c r="C42123" s="8"/>
      <c r="D42123" s="8"/>
    </row>
    <row r="42124" spans="1:4" ht="15.75" customHeight="1">
      <c r="A42124" s="8"/>
      <c r="B42124" s="12"/>
      <c r="C42124" s="8"/>
      <c r="D42124" s="8"/>
    </row>
    <row r="42125" spans="1:4" ht="15.75" customHeight="1">
      <c r="A42125" s="8"/>
      <c r="B42125" s="12"/>
      <c r="C42125" s="8"/>
      <c r="D42125" s="8"/>
    </row>
    <row r="42126" spans="1:4" ht="15.75" customHeight="1">
      <c r="A42126" s="8"/>
      <c r="B42126" s="12"/>
      <c r="C42126" s="8"/>
      <c r="D42126" s="8"/>
    </row>
    <row r="42127" spans="1:4" ht="15.75" customHeight="1">
      <c r="A42127" s="8"/>
      <c r="B42127" s="12"/>
      <c r="C42127" s="8"/>
      <c r="D42127" s="8"/>
    </row>
    <row r="42128" spans="1:4" ht="15.75" customHeight="1">
      <c r="A42128" s="8"/>
      <c r="B42128" s="12"/>
      <c r="C42128" s="8"/>
      <c r="D42128" s="8"/>
    </row>
    <row r="42129" spans="1:4" ht="15.75" customHeight="1">
      <c r="A42129" s="8"/>
      <c r="B42129" s="12"/>
      <c r="C42129" s="8"/>
      <c r="D42129" s="8"/>
    </row>
    <row r="42130" spans="1:4" ht="15.75" customHeight="1">
      <c r="A42130" s="8"/>
      <c r="B42130" s="12"/>
      <c r="C42130" s="8"/>
      <c r="D42130" s="8"/>
    </row>
    <row r="42131" spans="1:4" ht="15.75" customHeight="1">
      <c r="A42131" s="8"/>
      <c r="B42131" s="12"/>
      <c r="C42131" s="8"/>
      <c r="D42131" s="8"/>
    </row>
    <row r="42132" spans="1:4" ht="15.75" customHeight="1">
      <c r="A42132" s="8"/>
      <c r="B42132" s="12"/>
      <c r="C42132" s="8"/>
      <c r="D42132" s="8"/>
    </row>
    <row r="42133" spans="1:4" ht="15.75" customHeight="1">
      <c r="A42133" s="8"/>
      <c r="B42133" s="12"/>
      <c r="C42133" s="8"/>
      <c r="D42133" s="8"/>
    </row>
    <row r="42134" spans="1:4" ht="15.75" customHeight="1">
      <c r="A42134" s="8"/>
      <c r="B42134" s="12"/>
      <c r="C42134" s="8"/>
      <c r="D42134" s="8"/>
    </row>
    <row r="42135" spans="1:4" ht="15.75" customHeight="1">
      <c r="A42135" s="8"/>
      <c r="B42135" s="12"/>
      <c r="C42135" s="8"/>
      <c r="D42135" s="8"/>
    </row>
    <row r="42136" spans="1:4" ht="15.75" customHeight="1">
      <c r="A42136" s="8"/>
      <c r="B42136" s="12"/>
      <c r="C42136" s="8"/>
      <c r="D42136" s="8"/>
    </row>
    <row r="42137" spans="1:4" ht="15.75" customHeight="1">
      <c r="A42137" s="8"/>
      <c r="B42137" s="12"/>
      <c r="C42137" s="8"/>
      <c r="D42137" s="8"/>
    </row>
    <row r="42138" spans="1:4" ht="15.75" customHeight="1">
      <c r="A42138" s="8"/>
      <c r="B42138" s="12"/>
      <c r="C42138" s="8"/>
      <c r="D42138" s="8"/>
    </row>
    <row r="42139" spans="1:4" ht="15.75" customHeight="1">
      <c r="A42139" s="8"/>
      <c r="B42139" s="12"/>
      <c r="C42139" s="8"/>
      <c r="D42139" s="8"/>
    </row>
    <row r="42140" spans="1:4" ht="15.75" customHeight="1">
      <c r="A42140" s="8"/>
      <c r="B42140" s="12"/>
      <c r="C42140" s="8"/>
      <c r="D42140" s="8"/>
    </row>
    <row r="42141" spans="1:4" ht="15.75" customHeight="1">
      <c r="A42141" s="8"/>
      <c r="B42141" s="12"/>
      <c r="C42141" s="8"/>
      <c r="D42141" s="8"/>
    </row>
    <row r="42142" spans="1:4" ht="15.75" customHeight="1">
      <c r="A42142" s="8"/>
      <c r="B42142" s="12"/>
      <c r="C42142" s="8"/>
      <c r="D42142" s="8"/>
    </row>
    <row r="42143" spans="1:4" ht="15.75" customHeight="1">
      <c r="A42143" s="8"/>
      <c r="B42143" s="12"/>
      <c r="C42143" s="8"/>
      <c r="D42143" s="8"/>
    </row>
    <row r="42144" spans="1:4" ht="15.75" customHeight="1">
      <c r="A42144" s="8"/>
      <c r="B42144" s="12"/>
      <c r="C42144" s="8"/>
      <c r="D42144" s="8"/>
    </row>
    <row r="42145" spans="1:4" ht="15.75" customHeight="1">
      <c r="A42145" s="8"/>
      <c r="B42145" s="12"/>
      <c r="C42145" s="8"/>
      <c r="D42145" s="8"/>
    </row>
    <row r="42146" spans="1:4" ht="15.75" customHeight="1">
      <c r="A42146" s="8"/>
      <c r="B42146" s="12"/>
      <c r="C42146" s="8"/>
      <c r="D42146" s="8"/>
    </row>
    <row r="42147" spans="1:4" ht="15.75" customHeight="1">
      <c r="A42147" s="8"/>
      <c r="B42147" s="12"/>
      <c r="C42147" s="8"/>
      <c r="D42147" s="8"/>
    </row>
    <row r="42148" spans="1:4" ht="15.75" customHeight="1">
      <c r="A42148" s="8"/>
      <c r="B42148" s="12"/>
      <c r="C42148" s="8"/>
      <c r="D42148" s="8"/>
    </row>
    <row r="42149" spans="1:4" ht="15.75" customHeight="1">
      <c r="A42149" s="8"/>
      <c r="B42149" s="12"/>
      <c r="C42149" s="8"/>
      <c r="D42149" s="8"/>
    </row>
    <row r="42150" spans="1:4" ht="15.75" customHeight="1">
      <c r="A42150" s="8"/>
      <c r="B42150" s="12"/>
      <c r="C42150" s="8"/>
      <c r="D42150" s="8"/>
    </row>
    <row r="42151" spans="1:4" ht="15.75" customHeight="1">
      <c r="A42151" s="8"/>
      <c r="B42151" s="12"/>
      <c r="C42151" s="8"/>
      <c r="D42151" s="8"/>
    </row>
    <row r="42152" spans="1:4" ht="15.75" customHeight="1">
      <c r="A42152" s="8"/>
      <c r="B42152" s="12"/>
      <c r="C42152" s="8"/>
      <c r="D42152" s="8"/>
    </row>
    <row r="42153" spans="1:4" ht="15.75" customHeight="1">
      <c r="A42153" s="8"/>
      <c r="B42153" s="12"/>
      <c r="C42153" s="8"/>
      <c r="D42153" s="8"/>
    </row>
    <row r="42154" spans="1:4" ht="15.75" customHeight="1">
      <c r="A42154" s="8"/>
      <c r="B42154" s="12"/>
      <c r="C42154" s="8"/>
      <c r="D42154" s="8"/>
    </row>
    <row r="42155" spans="1:4" ht="15.75" customHeight="1">
      <c r="A42155" s="8"/>
      <c r="B42155" s="12"/>
      <c r="C42155" s="8"/>
      <c r="D42155" s="8"/>
    </row>
    <row r="42156" spans="1:4" ht="15.75" customHeight="1">
      <c r="A42156" s="8"/>
      <c r="B42156" s="12"/>
      <c r="C42156" s="8"/>
      <c r="D42156" s="8"/>
    </row>
    <row r="42157" spans="1:4" ht="15.75" customHeight="1">
      <c r="A42157" s="8"/>
      <c r="B42157" s="12"/>
      <c r="C42157" s="8"/>
      <c r="D42157" s="8"/>
    </row>
    <row r="42158" spans="1:4" ht="15.75" customHeight="1">
      <c r="A42158" s="8"/>
      <c r="B42158" s="12"/>
      <c r="C42158" s="8"/>
      <c r="D42158" s="8"/>
    </row>
    <row r="42159" spans="1:4" ht="15.75" customHeight="1">
      <c r="A42159" s="8"/>
      <c r="B42159" s="12"/>
      <c r="C42159" s="8"/>
      <c r="D42159" s="8"/>
    </row>
    <row r="42160" spans="1:4" ht="15.75" customHeight="1">
      <c r="A42160" s="8"/>
      <c r="B42160" s="12"/>
      <c r="C42160" s="8"/>
      <c r="D42160" s="8"/>
    </row>
    <row r="42161" spans="1:4" ht="15.75" customHeight="1">
      <c r="A42161" s="8"/>
      <c r="B42161" s="12"/>
      <c r="C42161" s="8"/>
      <c r="D42161" s="8"/>
    </row>
    <row r="42162" spans="1:4" ht="15.75" customHeight="1">
      <c r="A42162" s="8"/>
      <c r="B42162" s="12"/>
      <c r="C42162" s="8"/>
      <c r="D42162" s="8"/>
    </row>
    <row r="42163" spans="1:4" ht="15.75" customHeight="1">
      <c r="A42163" s="8"/>
      <c r="B42163" s="12"/>
      <c r="C42163" s="8"/>
      <c r="D42163" s="8"/>
    </row>
    <row r="42164" spans="1:4" ht="15.75" customHeight="1">
      <c r="A42164" s="8"/>
      <c r="B42164" s="12"/>
      <c r="C42164" s="8"/>
      <c r="D42164" s="8"/>
    </row>
    <row r="42165" spans="1:4" ht="15.75" customHeight="1">
      <c r="A42165" s="8"/>
      <c r="B42165" s="12"/>
      <c r="C42165" s="8"/>
      <c r="D42165" s="8"/>
    </row>
    <row r="42166" spans="1:4" ht="15.75" customHeight="1">
      <c r="A42166" s="8"/>
      <c r="B42166" s="12"/>
      <c r="C42166" s="8"/>
      <c r="D42166" s="8"/>
    </row>
    <row r="42167" spans="1:4" ht="15.75" customHeight="1">
      <c r="A42167" s="8"/>
      <c r="B42167" s="12"/>
      <c r="C42167" s="8"/>
      <c r="D42167" s="8"/>
    </row>
    <row r="42168" spans="1:4" ht="15.75" customHeight="1">
      <c r="A42168" s="8"/>
      <c r="B42168" s="12"/>
      <c r="C42168" s="8"/>
      <c r="D42168" s="8"/>
    </row>
    <row r="42169" spans="1:4" ht="15.75" customHeight="1">
      <c r="A42169" s="8"/>
      <c r="B42169" s="12"/>
      <c r="C42169" s="8"/>
      <c r="D42169" s="8"/>
    </row>
    <row r="42170" spans="1:4" ht="15.75" customHeight="1">
      <c r="A42170" s="8"/>
      <c r="B42170" s="12"/>
      <c r="C42170" s="8"/>
      <c r="D42170" s="8"/>
    </row>
    <row r="42171" spans="1:4" ht="15.75" customHeight="1">
      <c r="A42171" s="8"/>
      <c r="B42171" s="12"/>
      <c r="C42171" s="8"/>
      <c r="D42171" s="8"/>
    </row>
    <row r="42172" spans="1:4" ht="15.75" customHeight="1">
      <c r="A42172" s="8"/>
      <c r="B42172" s="12"/>
      <c r="C42172" s="8"/>
      <c r="D42172" s="8"/>
    </row>
    <row r="42173" spans="1:4" ht="15.75" customHeight="1">
      <c r="A42173" s="8"/>
      <c r="B42173" s="12"/>
      <c r="C42173" s="8"/>
      <c r="D42173" s="8"/>
    </row>
    <row r="42174" spans="1:4" ht="15.75" customHeight="1">
      <c r="A42174" s="8"/>
      <c r="B42174" s="12"/>
      <c r="C42174" s="8"/>
      <c r="D42174" s="8"/>
    </row>
    <row r="42175" spans="1:4" ht="15.75" customHeight="1">
      <c r="A42175" s="8"/>
      <c r="B42175" s="12"/>
      <c r="C42175" s="8"/>
      <c r="D42175" s="8"/>
    </row>
    <row r="42176" spans="1:4" ht="15.75" customHeight="1">
      <c r="A42176" s="8"/>
      <c r="B42176" s="12"/>
      <c r="C42176" s="8"/>
      <c r="D42176" s="8"/>
    </row>
    <row r="42177" spans="1:4" ht="15.75" customHeight="1">
      <c r="A42177" s="8"/>
      <c r="B42177" s="12"/>
      <c r="C42177" s="8"/>
      <c r="D42177" s="8"/>
    </row>
    <row r="42178" spans="1:4" ht="15.75" customHeight="1">
      <c r="A42178" s="8"/>
      <c r="B42178" s="12"/>
      <c r="C42178" s="8"/>
      <c r="D42178" s="8"/>
    </row>
    <row r="42179" spans="1:4" ht="15.75" customHeight="1">
      <c r="A42179" s="8"/>
      <c r="B42179" s="12"/>
      <c r="C42179" s="8"/>
      <c r="D42179" s="8"/>
    </row>
    <row r="42180" spans="1:4" ht="15.75" customHeight="1">
      <c r="A42180" s="8"/>
      <c r="B42180" s="12"/>
      <c r="C42180" s="8"/>
      <c r="D42180" s="8"/>
    </row>
    <row r="42181" spans="1:4" ht="15.75" customHeight="1">
      <c r="A42181" s="8"/>
      <c r="B42181" s="12"/>
      <c r="C42181" s="8"/>
      <c r="D42181" s="8"/>
    </row>
    <row r="42182" spans="1:4" ht="15.75" customHeight="1">
      <c r="A42182" s="8"/>
      <c r="B42182" s="12"/>
      <c r="C42182" s="8"/>
      <c r="D42182" s="8"/>
    </row>
    <row r="42183" spans="1:4" ht="15.75" customHeight="1">
      <c r="A42183" s="8"/>
      <c r="B42183" s="12"/>
      <c r="C42183" s="8"/>
      <c r="D42183" s="8"/>
    </row>
    <row r="42184" spans="1:4" ht="15.75" customHeight="1">
      <c r="A42184" s="8"/>
      <c r="B42184" s="12"/>
      <c r="C42184" s="8"/>
      <c r="D42184" s="8"/>
    </row>
    <row r="42185" spans="1:4" ht="15.75" customHeight="1">
      <c r="A42185" s="8"/>
      <c r="B42185" s="12"/>
      <c r="C42185" s="8"/>
      <c r="D42185" s="8"/>
    </row>
    <row r="42186" spans="1:4" ht="15.75" customHeight="1">
      <c r="A42186" s="8"/>
      <c r="B42186" s="12"/>
      <c r="C42186" s="8"/>
      <c r="D42186" s="8"/>
    </row>
    <row r="42187" spans="1:4" ht="15.75" customHeight="1">
      <c r="A42187" s="8"/>
      <c r="B42187" s="12"/>
      <c r="C42187" s="8"/>
      <c r="D42187" s="8"/>
    </row>
    <row r="42188" spans="1:4" ht="15.75" customHeight="1">
      <c r="A42188" s="8"/>
      <c r="B42188" s="12"/>
      <c r="C42188" s="8"/>
      <c r="D42188" s="8"/>
    </row>
    <row r="42189" spans="1:4" ht="15.75" customHeight="1">
      <c r="A42189" s="8"/>
      <c r="B42189" s="12"/>
      <c r="C42189" s="8"/>
      <c r="D42189" s="8"/>
    </row>
    <row r="42190" spans="1:4" ht="15.75" customHeight="1">
      <c r="A42190" s="8"/>
      <c r="B42190" s="12"/>
      <c r="C42190" s="8"/>
      <c r="D42190" s="8"/>
    </row>
    <row r="42191" spans="1:4" ht="15.75" customHeight="1">
      <c r="A42191" s="8"/>
      <c r="B42191" s="12"/>
      <c r="C42191" s="8"/>
      <c r="D42191" s="8"/>
    </row>
    <row r="42192" spans="1:4" ht="15.75" customHeight="1">
      <c r="A42192" s="8"/>
      <c r="B42192" s="12"/>
      <c r="C42192" s="8"/>
      <c r="D42192" s="8"/>
    </row>
    <row r="42193" spans="1:4" ht="15.75" customHeight="1">
      <c r="A42193" s="8"/>
      <c r="B42193" s="12"/>
      <c r="C42193" s="8"/>
      <c r="D42193" s="8"/>
    </row>
    <row r="42194" spans="1:4" ht="15.75" customHeight="1">
      <c r="A42194" s="8"/>
      <c r="B42194" s="12"/>
      <c r="C42194" s="8"/>
      <c r="D42194" s="8"/>
    </row>
    <row r="42195" spans="1:4" ht="15.75" customHeight="1">
      <c r="A42195" s="8"/>
      <c r="B42195" s="12"/>
      <c r="C42195" s="8"/>
      <c r="D42195" s="8"/>
    </row>
    <row r="42196" spans="1:4" ht="15.75" customHeight="1">
      <c r="A42196" s="8"/>
      <c r="B42196" s="12"/>
      <c r="C42196" s="8"/>
      <c r="D42196" s="8"/>
    </row>
    <row r="42197" spans="1:4" ht="15.75" customHeight="1">
      <c r="A42197" s="8"/>
      <c r="B42197" s="12"/>
      <c r="C42197" s="8"/>
      <c r="D42197" s="8"/>
    </row>
    <row r="42198" spans="1:4" ht="15.75" customHeight="1">
      <c r="A42198" s="8"/>
      <c r="B42198" s="12"/>
      <c r="C42198" s="8"/>
      <c r="D42198" s="8"/>
    </row>
    <row r="42199" spans="1:4" ht="15.75" customHeight="1">
      <c r="A42199" s="8"/>
      <c r="B42199" s="12"/>
      <c r="C42199" s="8"/>
      <c r="D42199" s="8"/>
    </row>
    <row r="42200" spans="1:4" ht="15.75" customHeight="1">
      <c r="A42200" s="8"/>
      <c r="B42200" s="12"/>
      <c r="C42200" s="8"/>
      <c r="D42200" s="8"/>
    </row>
    <row r="42201" spans="1:4" ht="15.75" customHeight="1">
      <c r="A42201" s="8"/>
      <c r="B42201" s="12"/>
      <c r="C42201" s="8"/>
      <c r="D42201" s="8"/>
    </row>
    <row r="42202" spans="1:4" ht="15.75" customHeight="1">
      <c r="A42202" s="8"/>
      <c r="B42202" s="12"/>
      <c r="C42202" s="8"/>
      <c r="D42202" s="8"/>
    </row>
    <row r="42203" spans="1:4" ht="15.75" customHeight="1">
      <c r="A42203" s="8"/>
      <c r="B42203" s="12"/>
      <c r="C42203" s="8"/>
      <c r="D42203" s="8"/>
    </row>
    <row r="42204" spans="1:4" ht="15.75" customHeight="1">
      <c r="A42204" s="8"/>
      <c r="B42204" s="12"/>
      <c r="C42204" s="8"/>
      <c r="D42204" s="8"/>
    </row>
    <row r="42205" spans="1:4" ht="15.75" customHeight="1">
      <c r="A42205" s="8"/>
      <c r="B42205" s="12"/>
      <c r="C42205" s="8"/>
      <c r="D42205" s="8"/>
    </row>
    <row r="42206" spans="1:4" ht="15.75" customHeight="1">
      <c r="A42206" s="8"/>
      <c r="B42206" s="12"/>
      <c r="C42206" s="8"/>
      <c r="D42206" s="8"/>
    </row>
    <row r="42207" spans="1:4" ht="15.75" customHeight="1">
      <c r="A42207" s="8"/>
      <c r="B42207" s="12"/>
      <c r="C42207" s="8"/>
      <c r="D42207" s="8"/>
    </row>
    <row r="42208" spans="1:4" ht="15.75" customHeight="1">
      <c r="A42208" s="8"/>
      <c r="B42208" s="12"/>
      <c r="C42208" s="8"/>
      <c r="D42208" s="8"/>
    </row>
    <row r="42209" spans="1:4" ht="15.75" customHeight="1">
      <c r="A42209" s="8"/>
      <c r="B42209" s="12"/>
      <c r="C42209" s="8"/>
      <c r="D42209" s="8"/>
    </row>
    <row r="42210" spans="1:4" ht="15.75" customHeight="1">
      <c r="A42210" s="8"/>
      <c r="B42210" s="12"/>
      <c r="C42210" s="8"/>
      <c r="D42210" s="8"/>
    </row>
    <row r="42211" spans="1:4" ht="15.75" customHeight="1">
      <c r="A42211" s="8"/>
      <c r="B42211" s="12"/>
      <c r="C42211" s="8"/>
      <c r="D42211" s="8"/>
    </row>
    <row r="42212" spans="1:4" ht="15.75" customHeight="1">
      <c r="A42212" s="8"/>
      <c r="B42212" s="12"/>
      <c r="C42212" s="8"/>
      <c r="D42212" s="8"/>
    </row>
    <row r="42213" spans="1:4" ht="15.75" customHeight="1">
      <c r="A42213" s="8"/>
      <c r="B42213" s="12"/>
      <c r="C42213" s="8"/>
      <c r="D42213" s="8"/>
    </row>
    <row r="42214" spans="1:4" ht="15.75" customHeight="1">
      <c r="A42214" s="8"/>
      <c r="B42214" s="12"/>
      <c r="C42214" s="8"/>
      <c r="D42214" s="8"/>
    </row>
    <row r="42215" spans="1:4" ht="15.75" customHeight="1">
      <c r="A42215" s="8"/>
      <c r="B42215" s="12"/>
      <c r="C42215" s="8"/>
      <c r="D42215" s="8"/>
    </row>
    <row r="42216" spans="1:4" ht="15.75" customHeight="1">
      <c r="A42216" s="8"/>
      <c r="B42216" s="12"/>
      <c r="C42216" s="8"/>
      <c r="D42216" s="8"/>
    </row>
    <row r="42217" spans="1:4" ht="15.75" customHeight="1">
      <c r="A42217" s="8"/>
      <c r="B42217" s="12"/>
      <c r="C42217" s="8"/>
      <c r="D42217" s="8"/>
    </row>
    <row r="42218" spans="1:4" ht="15.75" customHeight="1">
      <c r="A42218" s="8"/>
      <c r="B42218" s="12"/>
      <c r="C42218" s="8"/>
      <c r="D42218" s="8"/>
    </row>
    <row r="42219" spans="1:4" ht="15.75" customHeight="1">
      <c r="A42219" s="8"/>
      <c r="B42219" s="12"/>
      <c r="C42219" s="8"/>
      <c r="D42219" s="8"/>
    </row>
    <row r="42220" spans="1:4" ht="15.75" customHeight="1">
      <c r="A42220" s="8"/>
      <c r="B42220" s="12"/>
      <c r="C42220" s="8"/>
      <c r="D42220" s="8"/>
    </row>
    <row r="42221" spans="1:4" ht="15.75" customHeight="1">
      <c r="A42221" s="8"/>
      <c r="B42221" s="12"/>
      <c r="C42221" s="8"/>
      <c r="D42221" s="8"/>
    </row>
    <row r="42222" spans="1:4" ht="15.75" customHeight="1">
      <c r="A42222" s="8"/>
      <c r="B42222" s="12"/>
      <c r="C42222" s="8"/>
      <c r="D42222" s="8"/>
    </row>
    <row r="42223" spans="1:4" ht="15.75" customHeight="1">
      <c r="A42223" s="8"/>
      <c r="B42223" s="12"/>
      <c r="C42223" s="8"/>
      <c r="D42223" s="8"/>
    </row>
    <row r="42224" spans="1:4" ht="15.75" customHeight="1">
      <c r="A42224" s="8"/>
      <c r="B42224" s="12"/>
      <c r="C42224" s="8"/>
      <c r="D42224" s="8"/>
    </row>
    <row r="42225" spans="1:4" ht="15.75" customHeight="1">
      <c r="A42225" s="8"/>
      <c r="B42225" s="12"/>
      <c r="C42225" s="8"/>
      <c r="D42225" s="8"/>
    </row>
    <row r="42226" spans="1:4" ht="15.75" customHeight="1">
      <c r="A42226" s="8"/>
      <c r="B42226" s="12"/>
      <c r="C42226" s="8"/>
      <c r="D42226" s="8"/>
    </row>
    <row r="42227" spans="1:4" ht="15.75" customHeight="1">
      <c r="A42227" s="8"/>
      <c r="B42227" s="12"/>
      <c r="C42227" s="8"/>
      <c r="D42227" s="8"/>
    </row>
    <row r="42228" spans="1:4" ht="15.75" customHeight="1">
      <c r="A42228" s="8"/>
      <c r="B42228" s="12"/>
      <c r="C42228" s="8"/>
      <c r="D42228" s="8"/>
    </row>
    <row r="42229" spans="1:4" ht="15.75" customHeight="1">
      <c r="A42229" s="8"/>
      <c r="B42229" s="12"/>
      <c r="C42229" s="8"/>
      <c r="D42229" s="8"/>
    </row>
    <row r="42230" spans="1:4" ht="15.75" customHeight="1">
      <c r="A42230" s="8"/>
      <c r="B42230" s="12"/>
      <c r="C42230" s="8"/>
      <c r="D42230" s="8"/>
    </row>
    <row r="42231" spans="1:4" ht="15.75" customHeight="1">
      <c r="A42231" s="8"/>
      <c r="B42231" s="12"/>
      <c r="C42231" s="8"/>
      <c r="D42231" s="8"/>
    </row>
    <row r="42232" spans="1:4" ht="15.75" customHeight="1">
      <c r="A42232" s="8"/>
      <c r="B42232" s="12"/>
      <c r="C42232" s="8"/>
      <c r="D42232" s="8"/>
    </row>
    <row r="42233" spans="1:4" ht="15.75" customHeight="1">
      <c r="A42233" s="8"/>
      <c r="B42233" s="12"/>
      <c r="C42233" s="8"/>
      <c r="D42233" s="8"/>
    </row>
    <row r="42234" spans="1:4" ht="15.75" customHeight="1">
      <c r="A42234" s="8"/>
      <c r="B42234" s="12"/>
      <c r="C42234" s="8"/>
      <c r="D42234" s="8"/>
    </row>
    <row r="42235" spans="1:4" ht="15.75" customHeight="1">
      <c r="A42235" s="8"/>
      <c r="B42235" s="12"/>
      <c r="C42235" s="8"/>
      <c r="D42235" s="8"/>
    </row>
    <row r="42236" spans="1:4" ht="15.75" customHeight="1">
      <c r="A42236" s="8"/>
      <c r="B42236" s="12"/>
      <c r="C42236" s="8"/>
      <c r="D42236" s="8"/>
    </row>
    <row r="42237" spans="1:4" ht="15.75" customHeight="1">
      <c r="A42237" s="8"/>
      <c r="B42237" s="12"/>
      <c r="C42237" s="8"/>
      <c r="D42237" s="8"/>
    </row>
    <row r="42238" spans="1:4" ht="15.75" customHeight="1">
      <c r="A42238" s="8"/>
      <c r="B42238" s="12"/>
      <c r="C42238" s="8"/>
      <c r="D42238" s="8"/>
    </row>
    <row r="42239" spans="1:4" ht="15.75" customHeight="1">
      <c r="A42239" s="8"/>
      <c r="B42239" s="12"/>
      <c r="C42239" s="8"/>
      <c r="D42239" s="8"/>
    </row>
    <row r="42240" spans="1:4" ht="15.75" customHeight="1">
      <c r="A42240" s="8"/>
      <c r="B42240" s="12"/>
      <c r="C42240" s="8"/>
      <c r="D42240" s="8"/>
    </row>
    <row r="42241" spans="1:4" ht="15.75" customHeight="1">
      <c r="A42241" s="8"/>
      <c r="B42241" s="12"/>
      <c r="C42241" s="8"/>
      <c r="D42241" s="8"/>
    </row>
    <row r="42242" spans="1:4" ht="15.75" customHeight="1">
      <c r="A42242" s="8"/>
      <c r="B42242" s="12"/>
      <c r="C42242" s="8"/>
      <c r="D42242" s="8"/>
    </row>
    <row r="42243" spans="1:4" ht="15.75" customHeight="1">
      <c r="A42243" s="8"/>
      <c r="B42243" s="12"/>
      <c r="C42243" s="8"/>
      <c r="D42243" s="8"/>
    </row>
    <row r="42244" spans="1:4" ht="15.75" customHeight="1">
      <c r="A42244" s="8"/>
      <c r="B42244" s="12"/>
      <c r="C42244" s="8"/>
      <c r="D42244" s="8"/>
    </row>
    <row r="42245" spans="1:4" ht="15.75" customHeight="1">
      <c r="A42245" s="8"/>
      <c r="B42245" s="12"/>
      <c r="C42245" s="8"/>
      <c r="D42245" s="8"/>
    </row>
    <row r="42246" spans="1:4" ht="15.75" customHeight="1">
      <c r="A42246" s="8"/>
      <c r="B42246" s="12"/>
      <c r="C42246" s="8"/>
      <c r="D42246" s="8"/>
    </row>
    <row r="42247" spans="1:4" ht="15.75" customHeight="1">
      <c r="A42247" s="8"/>
      <c r="B42247" s="12"/>
      <c r="C42247" s="8"/>
      <c r="D42247" s="8"/>
    </row>
    <row r="42248" spans="1:4" ht="15.75" customHeight="1">
      <c r="A42248" s="8"/>
      <c r="B42248" s="12"/>
      <c r="C42248" s="8"/>
      <c r="D42248" s="8"/>
    </row>
    <row r="42249" spans="1:4" ht="15.75" customHeight="1">
      <c r="A42249" s="8"/>
      <c r="B42249" s="12"/>
      <c r="C42249" s="8"/>
      <c r="D42249" s="8"/>
    </row>
    <row r="42250" spans="1:4" ht="15.75" customHeight="1">
      <c r="A42250" s="8"/>
      <c r="B42250" s="12"/>
      <c r="C42250" s="8"/>
      <c r="D42250" s="8"/>
    </row>
    <row r="42251" spans="1:4" ht="15.75" customHeight="1">
      <c r="A42251" s="8"/>
      <c r="B42251" s="12"/>
      <c r="C42251" s="8"/>
      <c r="D42251" s="8"/>
    </row>
    <row r="42252" spans="1:4" ht="15.75" customHeight="1">
      <c r="A42252" s="8"/>
      <c r="B42252" s="12"/>
      <c r="C42252" s="8"/>
      <c r="D42252" s="8"/>
    </row>
    <row r="42253" spans="1:4" ht="15.75" customHeight="1">
      <c r="A42253" s="8"/>
      <c r="B42253" s="12"/>
      <c r="C42253" s="8"/>
      <c r="D42253" s="8"/>
    </row>
    <row r="42254" spans="1:4" ht="15.75" customHeight="1">
      <c r="A42254" s="8"/>
      <c r="B42254" s="12"/>
      <c r="C42254" s="8"/>
      <c r="D42254" s="8"/>
    </row>
    <row r="42255" spans="1:4" ht="15.75" customHeight="1">
      <c r="A42255" s="8"/>
      <c r="B42255" s="12"/>
      <c r="C42255" s="8"/>
      <c r="D42255" s="8"/>
    </row>
    <row r="42256" spans="1:4" ht="15.75" customHeight="1">
      <c r="A42256" s="8"/>
      <c r="B42256" s="12"/>
      <c r="C42256" s="8"/>
      <c r="D42256" s="8"/>
    </row>
    <row r="42257" spans="1:4" ht="15.75" customHeight="1">
      <c r="A42257" s="8"/>
      <c r="B42257" s="12"/>
      <c r="C42257" s="8"/>
      <c r="D42257" s="8"/>
    </row>
    <row r="42258" spans="1:4" ht="15.75" customHeight="1">
      <c r="A42258" s="8"/>
      <c r="B42258" s="12"/>
      <c r="C42258" s="8"/>
      <c r="D42258" s="8"/>
    </row>
    <row r="42259" spans="1:4" ht="15.75" customHeight="1">
      <c r="A42259" s="8"/>
      <c r="B42259" s="12"/>
      <c r="C42259" s="8"/>
      <c r="D42259" s="8"/>
    </row>
    <row r="42260" spans="1:4" ht="15.75" customHeight="1">
      <c r="A42260" s="8"/>
      <c r="B42260" s="12"/>
      <c r="C42260" s="8"/>
      <c r="D42260" s="8"/>
    </row>
    <row r="42261" spans="1:4" ht="15.75" customHeight="1">
      <c r="A42261" s="8"/>
      <c r="B42261" s="12"/>
      <c r="C42261" s="8"/>
      <c r="D42261" s="8"/>
    </row>
    <row r="42262" spans="1:4" ht="15.75" customHeight="1">
      <c r="A42262" s="8"/>
      <c r="B42262" s="12"/>
      <c r="C42262" s="8"/>
      <c r="D42262" s="8"/>
    </row>
    <row r="42263" spans="1:4" ht="15.75" customHeight="1">
      <c r="A42263" s="8"/>
      <c r="B42263" s="12"/>
      <c r="C42263" s="8"/>
      <c r="D42263" s="8"/>
    </row>
    <row r="42264" spans="1:4" ht="15.75" customHeight="1">
      <c r="A42264" s="8"/>
      <c r="B42264" s="12"/>
      <c r="C42264" s="8"/>
      <c r="D42264" s="8"/>
    </row>
    <row r="42265" spans="1:4" ht="15.75" customHeight="1">
      <c r="A42265" s="8"/>
      <c r="B42265" s="12"/>
      <c r="C42265" s="8"/>
      <c r="D42265" s="8"/>
    </row>
    <row r="42266" spans="1:4" ht="15.75" customHeight="1">
      <c r="A42266" s="8"/>
      <c r="B42266" s="12"/>
      <c r="C42266" s="8"/>
      <c r="D42266" s="8"/>
    </row>
    <row r="42267" spans="1:4" ht="15.75" customHeight="1">
      <c r="A42267" s="8"/>
      <c r="B42267" s="12"/>
      <c r="C42267" s="8"/>
      <c r="D42267" s="8"/>
    </row>
    <row r="42268" spans="1:4" ht="15.75" customHeight="1">
      <c r="A42268" s="8"/>
      <c r="B42268" s="12"/>
      <c r="C42268" s="8"/>
      <c r="D42268" s="8"/>
    </row>
    <row r="42269" spans="1:4" ht="15.75" customHeight="1">
      <c r="A42269" s="8"/>
      <c r="B42269" s="12"/>
      <c r="C42269" s="8"/>
      <c r="D42269" s="8"/>
    </row>
    <row r="42270" spans="1:4" ht="15.75" customHeight="1">
      <c r="A42270" s="8"/>
      <c r="B42270" s="12"/>
      <c r="C42270" s="8"/>
      <c r="D42270" s="8"/>
    </row>
    <row r="42271" spans="1:4" ht="15.75" customHeight="1">
      <c r="A42271" s="8"/>
      <c r="B42271" s="12"/>
      <c r="C42271" s="8"/>
      <c r="D42271" s="8"/>
    </row>
    <row r="42272" spans="1:4" ht="15.75" customHeight="1">
      <c r="A42272" s="8"/>
      <c r="B42272" s="12"/>
      <c r="C42272" s="8"/>
      <c r="D42272" s="8"/>
    </row>
    <row r="42273" spans="1:4" ht="15.75" customHeight="1">
      <c r="A42273" s="8"/>
      <c r="B42273" s="12"/>
      <c r="C42273" s="8"/>
      <c r="D42273" s="8"/>
    </row>
    <row r="42274" spans="1:4" ht="15.75" customHeight="1">
      <c r="A42274" s="8"/>
      <c r="B42274" s="12"/>
      <c r="C42274" s="8"/>
      <c r="D42274" s="8"/>
    </row>
    <row r="42275" spans="1:4" ht="15.75" customHeight="1">
      <c r="A42275" s="8"/>
      <c r="B42275" s="12"/>
      <c r="C42275" s="8"/>
      <c r="D42275" s="8"/>
    </row>
    <row r="42276" spans="1:4" ht="15.75" customHeight="1">
      <c r="A42276" s="8"/>
      <c r="B42276" s="12"/>
      <c r="C42276" s="8"/>
      <c r="D42276" s="8"/>
    </row>
    <row r="42277" spans="1:4" ht="15.75" customHeight="1">
      <c r="A42277" s="8"/>
      <c r="B42277" s="12"/>
      <c r="C42277" s="8"/>
      <c r="D42277" s="8"/>
    </row>
    <row r="42278" spans="1:4" ht="15.75" customHeight="1">
      <c r="A42278" s="8"/>
      <c r="B42278" s="12"/>
      <c r="C42278" s="8"/>
      <c r="D42278" s="8"/>
    </row>
    <row r="42279" spans="1:4" ht="15.75" customHeight="1">
      <c r="A42279" s="8"/>
      <c r="B42279" s="12"/>
      <c r="C42279" s="8"/>
      <c r="D42279" s="8"/>
    </row>
    <row r="42280" spans="1:4" ht="15.75" customHeight="1">
      <c r="A42280" s="8"/>
      <c r="B42280" s="12"/>
      <c r="C42280" s="8"/>
      <c r="D42280" s="8"/>
    </row>
    <row r="42281" spans="1:4" ht="15.75" customHeight="1">
      <c r="A42281" s="8"/>
      <c r="B42281" s="12"/>
      <c r="C42281" s="8"/>
      <c r="D42281" s="8"/>
    </row>
    <row r="42282" spans="1:4" ht="15.75" customHeight="1">
      <c r="A42282" s="8"/>
      <c r="B42282" s="12"/>
      <c r="C42282" s="8"/>
      <c r="D42282" s="8"/>
    </row>
    <row r="42283" spans="1:4" ht="15.75" customHeight="1">
      <c r="A42283" s="8"/>
      <c r="B42283" s="12"/>
      <c r="C42283" s="8"/>
      <c r="D42283" s="8"/>
    </row>
    <row r="42284" spans="1:4" ht="15.75" customHeight="1">
      <c r="A42284" s="8"/>
      <c r="B42284" s="12"/>
      <c r="C42284" s="8"/>
      <c r="D42284" s="8"/>
    </row>
    <row r="42285" spans="1:4" ht="15.75" customHeight="1">
      <c r="A42285" s="8"/>
      <c r="B42285" s="12"/>
      <c r="C42285" s="8"/>
      <c r="D42285" s="8"/>
    </row>
    <row r="42286" spans="1:4" ht="15.75" customHeight="1">
      <c r="A42286" s="8"/>
      <c r="B42286" s="12"/>
      <c r="C42286" s="8"/>
      <c r="D42286" s="8"/>
    </row>
    <row r="42287" spans="1:4" ht="15.75" customHeight="1">
      <c r="A42287" s="8"/>
      <c r="B42287" s="12"/>
      <c r="C42287" s="8"/>
      <c r="D42287" s="8"/>
    </row>
    <row r="42288" spans="1:4" ht="15.75" customHeight="1">
      <c r="A42288" s="8"/>
      <c r="B42288" s="12"/>
      <c r="C42288" s="8"/>
      <c r="D42288" s="8"/>
    </row>
    <row r="42289" spans="1:4" ht="15.75" customHeight="1">
      <c r="A42289" s="8"/>
      <c r="B42289" s="12"/>
      <c r="C42289" s="8"/>
      <c r="D42289" s="8"/>
    </row>
    <row r="42290" spans="1:4" ht="15.75" customHeight="1">
      <c r="A42290" s="8"/>
      <c r="B42290" s="12"/>
      <c r="C42290" s="8"/>
      <c r="D42290" s="8"/>
    </row>
    <row r="42291" spans="1:4" ht="15.75" customHeight="1">
      <c r="A42291" s="8"/>
      <c r="B42291" s="12"/>
      <c r="C42291" s="8"/>
      <c r="D42291" s="8"/>
    </row>
    <row r="42292" spans="1:4" ht="15.75" customHeight="1">
      <c r="A42292" s="8"/>
      <c r="B42292" s="12"/>
      <c r="C42292" s="8"/>
      <c r="D42292" s="8"/>
    </row>
    <row r="42293" spans="1:4" ht="15.75" customHeight="1">
      <c r="A42293" s="8"/>
      <c r="B42293" s="12"/>
      <c r="C42293" s="8"/>
      <c r="D42293" s="8"/>
    </row>
    <row r="42294" spans="1:4" ht="15.75" customHeight="1">
      <c r="A42294" s="8"/>
      <c r="B42294" s="12"/>
      <c r="C42294" s="8"/>
      <c r="D42294" s="8"/>
    </row>
    <row r="42295" spans="1:4" ht="15.75" customHeight="1">
      <c r="A42295" s="8"/>
      <c r="B42295" s="12"/>
      <c r="C42295" s="8"/>
      <c r="D42295" s="8"/>
    </row>
    <row r="42296" spans="1:4" ht="15.75" customHeight="1">
      <c r="A42296" s="8"/>
      <c r="B42296" s="12"/>
      <c r="C42296" s="8"/>
      <c r="D42296" s="8"/>
    </row>
    <row r="42297" spans="1:4" ht="15.75" customHeight="1">
      <c r="A42297" s="8"/>
      <c r="B42297" s="12"/>
      <c r="C42297" s="8"/>
      <c r="D42297" s="8"/>
    </row>
    <row r="42298" spans="1:4" ht="15.75" customHeight="1">
      <c r="A42298" s="8"/>
      <c r="B42298" s="12"/>
      <c r="C42298" s="8"/>
      <c r="D42298" s="8"/>
    </row>
    <row r="42299" spans="1:4" ht="15.75" customHeight="1">
      <c r="A42299" s="8"/>
      <c r="B42299" s="12"/>
      <c r="C42299" s="8"/>
      <c r="D42299" s="8"/>
    </row>
    <row r="42300" spans="1:4" ht="15.75" customHeight="1">
      <c r="A42300" s="8"/>
      <c r="B42300" s="12"/>
      <c r="C42300" s="8"/>
      <c r="D42300" s="8"/>
    </row>
    <row r="42301" spans="1:4" ht="15.75" customHeight="1">
      <c r="A42301" s="8"/>
      <c r="B42301" s="12"/>
      <c r="C42301" s="8"/>
      <c r="D42301" s="8"/>
    </row>
    <row r="42302" spans="1:4" ht="15.75" customHeight="1">
      <c r="A42302" s="8"/>
      <c r="B42302" s="12"/>
      <c r="C42302" s="8"/>
      <c r="D42302" s="8"/>
    </row>
    <row r="42303" spans="1:4" ht="15.75" customHeight="1">
      <c r="A42303" s="8"/>
      <c r="B42303" s="12"/>
      <c r="C42303" s="8"/>
      <c r="D42303" s="8"/>
    </row>
    <row r="42304" spans="1:4" ht="15.75" customHeight="1">
      <c r="A42304" s="8"/>
      <c r="B42304" s="12"/>
      <c r="C42304" s="8"/>
      <c r="D42304" s="8"/>
    </row>
    <row r="42305" spans="1:4" ht="15.75" customHeight="1">
      <c r="A42305" s="8"/>
      <c r="B42305" s="12"/>
      <c r="C42305" s="8"/>
      <c r="D42305" s="8"/>
    </row>
    <row r="42306" spans="1:4" ht="15.75" customHeight="1">
      <c r="A42306" s="8"/>
      <c r="B42306" s="12"/>
      <c r="C42306" s="8"/>
      <c r="D42306" s="8"/>
    </row>
    <row r="42307" spans="1:4" ht="15.75" customHeight="1">
      <c r="A42307" s="8"/>
      <c r="B42307" s="12"/>
      <c r="C42307" s="8"/>
      <c r="D42307" s="8"/>
    </row>
    <row r="42308" spans="1:4" ht="15.75" customHeight="1">
      <c r="A42308" s="8"/>
      <c r="B42308" s="12"/>
      <c r="C42308" s="8"/>
      <c r="D42308" s="8"/>
    </row>
    <row r="42309" spans="1:4" ht="15.75" customHeight="1">
      <c r="A42309" s="8"/>
      <c r="B42309" s="12"/>
      <c r="C42309" s="8"/>
      <c r="D42309" s="8"/>
    </row>
    <row r="42310" spans="1:4" ht="15.75" customHeight="1">
      <c r="A42310" s="8"/>
      <c r="B42310" s="12"/>
      <c r="C42310" s="8"/>
      <c r="D42310" s="8"/>
    </row>
    <row r="42311" spans="1:4" ht="15.75" customHeight="1">
      <c r="A42311" s="8"/>
      <c r="B42311" s="12"/>
      <c r="C42311" s="8"/>
      <c r="D42311" s="8"/>
    </row>
    <row r="42312" spans="1:4" ht="15.75" customHeight="1">
      <c r="A42312" s="8"/>
      <c r="B42312" s="12"/>
      <c r="C42312" s="8"/>
      <c r="D42312" s="8"/>
    </row>
    <row r="42313" spans="1:4" ht="15.75" customHeight="1">
      <c r="A42313" s="8"/>
      <c r="B42313" s="12"/>
      <c r="C42313" s="8"/>
      <c r="D42313" s="8"/>
    </row>
    <row r="42314" spans="1:4" ht="15.75" customHeight="1">
      <c r="A42314" s="8"/>
      <c r="B42314" s="12"/>
      <c r="C42314" s="8"/>
      <c r="D42314" s="8"/>
    </row>
    <row r="42315" spans="1:4" ht="15.75" customHeight="1">
      <c r="A42315" s="8"/>
      <c r="B42315" s="12"/>
      <c r="C42315" s="8"/>
      <c r="D42315" s="8"/>
    </row>
    <row r="42316" spans="1:4" ht="15.75" customHeight="1">
      <c r="A42316" s="8"/>
      <c r="B42316" s="12"/>
      <c r="C42316" s="8"/>
      <c r="D42316" s="8"/>
    </row>
    <row r="42317" spans="1:4" ht="15.75" customHeight="1">
      <c r="A42317" s="8"/>
      <c r="B42317" s="12"/>
      <c r="C42317" s="8"/>
      <c r="D42317" s="8"/>
    </row>
    <row r="42318" spans="1:4" ht="15.75" customHeight="1">
      <c r="A42318" s="8"/>
      <c r="B42318" s="12"/>
      <c r="C42318" s="8"/>
      <c r="D42318" s="8"/>
    </row>
    <row r="42319" spans="1:4" ht="15.75" customHeight="1">
      <c r="A42319" s="8"/>
      <c r="B42319" s="12"/>
      <c r="C42319" s="8"/>
      <c r="D42319" s="8"/>
    </row>
    <row r="42320" spans="1:4" ht="15.75" customHeight="1">
      <c r="A42320" s="8"/>
      <c r="B42320" s="12"/>
      <c r="C42320" s="8"/>
      <c r="D42320" s="8"/>
    </row>
    <row r="42321" spans="1:4" ht="15.75" customHeight="1">
      <c r="A42321" s="8"/>
      <c r="B42321" s="12"/>
      <c r="C42321" s="8"/>
      <c r="D42321" s="8"/>
    </row>
    <row r="42322" spans="1:4" ht="15.75" customHeight="1">
      <c r="A42322" s="8"/>
      <c r="B42322" s="12"/>
      <c r="C42322" s="8"/>
      <c r="D42322" s="8"/>
    </row>
    <row r="42323" spans="1:4" ht="15.75" customHeight="1">
      <c r="A42323" s="8"/>
      <c r="B42323" s="12"/>
      <c r="C42323" s="8"/>
      <c r="D42323" s="8"/>
    </row>
    <row r="42324" spans="1:4" ht="15.75" customHeight="1">
      <c r="A42324" s="8"/>
      <c r="B42324" s="12"/>
      <c r="C42324" s="8"/>
      <c r="D42324" s="8"/>
    </row>
    <row r="42325" spans="1:4" ht="15.75" customHeight="1">
      <c r="A42325" s="8"/>
      <c r="B42325" s="12"/>
      <c r="C42325" s="8"/>
      <c r="D42325" s="8"/>
    </row>
    <row r="42326" spans="1:4" ht="15.75" customHeight="1">
      <c r="A42326" s="8"/>
      <c r="B42326" s="12"/>
      <c r="C42326" s="8"/>
      <c r="D42326" s="8"/>
    </row>
    <row r="42327" spans="1:4" ht="15.75" customHeight="1">
      <c r="A42327" s="8"/>
      <c r="B42327" s="12"/>
      <c r="C42327" s="8"/>
      <c r="D42327" s="8"/>
    </row>
    <row r="42328" spans="1:4" ht="15.75" customHeight="1">
      <c r="A42328" s="8"/>
      <c r="B42328" s="12"/>
      <c r="C42328" s="8"/>
      <c r="D42328" s="8"/>
    </row>
    <row r="42329" spans="1:4" ht="15.75" customHeight="1">
      <c r="A42329" s="8"/>
      <c r="B42329" s="12"/>
      <c r="C42329" s="8"/>
      <c r="D42329" s="8"/>
    </row>
    <row r="42330" spans="1:4" ht="15.75" customHeight="1">
      <c r="A42330" s="8"/>
      <c r="B42330" s="12"/>
      <c r="C42330" s="8"/>
      <c r="D42330" s="8"/>
    </row>
    <row r="42331" spans="1:4" ht="15.75" customHeight="1">
      <c r="A42331" s="8"/>
      <c r="B42331" s="12"/>
      <c r="C42331" s="8"/>
      <c r="D42331" s="8"/>
    </row>
    <row r="42332" spans="1:4" ht="15.75" customHeight="1">
      <c r="A42332" s="8"/>
      <c r="B42332" s="12"/>
      <c r="C42332" s="8"/>
      <c r="D42332" s="8"/>
    </row>
    <row r="42333" spans="1:4" ht="15.75" customHeight="1">
      <c r="A42333" s="8"/>
      <c r="B42333" s="12"/>
      <c r="C42333" s="8"/>
      <c r="D42333" s="8"/>
    </row>
    <row r="42334" spans="1:4" ht="15.75" customHeight="1">
      <c r="A42334" s="8"/>
      <c r="B42334" s="12"/>
      <c r="C42334" s="8"/>
      <c r="D42334" s="8"/>
    </row>
    <row r="42335" spans="1:4" ht="15.75" customHeight="1">
      <c r="A42335" s="8"/>
      <c r="B42335" s="12"/>
      <c r="C42335" s="8"/>
      <c r="D42335" s="8"/>
    </row>
    <row r="42336" spans="1:4" ht="15.75" customHeight="1">
      <c r="A42336" s="8"/>
      <c r="B42336" s="12"/>
      <c r="C42336" s="8"/>
      <c r="D42336" s="8"/>
    </row>
    <row r="42337" spans="1:4" ht="15.75" customHeight="1">
      <c r="A42337" s="8"/>
      <c r="B42337" s="12"/>
      <c r="C42337" s="8"/>
      <c r="D42337" s="8"/>
    </row>
    <row r="42338" spans="1:4" ht="15.75" customHeight="1">
      <c r="A42338" s="8"/>
      <c r="B42338" s="12"/>
      <c r="C42338" s="8"/>
      <c r="D42338" s="8"/>
    </row>
    <row r="42339" spans="1:4" ht="15.75" customHeight="1">
      <c r="A42339" s="8"/>
      <c r="B42339" s="12"/>
      <c r="C42339" s="8"/>
      <c r="D42339" s="8"/>
    </row>
    <row r="42340" spans="1:4" ht="15.75" customHeight="1">
      <c r="A42340" s="8"/>
      <c r="B42340" s="12"/>
      <c r="C42340" s="8"/>
      <c r="D42340" s="8"/>
    </row>
    <row r="42341" spans="1:4" ht="15.75" customHeight="1">
      <c r="A42341" s="8"/>
      <c r="B42341" s="12"/>
      <c r="C42341" s="8"/>
      <c r="D42341" s="8"/>
    </row>
    <row r="42342" spans="1:4" ht="15.75" customHeight="1">
      <c r="A42342" s="8"/>
      <c r="B42342" s="12"/>
      <c r="C42342" s="8"/>
      <c r="D42342" s="8"/>
    </row>
    <row r="42343" spans="1:4" ht="15.75" customHeight="1">
      <c r="A42343" s="8"/>
      <c r="B42343" s="12"/>
      <c r="C42343" s="8"/>
      <c r="D42343" s="8"/>
    </row>
    <row r="42344" spans="1:4" ht="15.75" customHeight="1">
      <c r="A42344" s="8"/>
      <c r="B42344" s="12"/>
      <c r="C42344" s="8"/>
      <c r="D42344" s="8"/>
    </row>
    <row r="42345" spans="1:4" ht="15.75" customHeight="1">
      <c r="A42345" s="8"/>
      <c r="B42345" s="12"/>
      <c r="C42345" s="8"/>
      <c r="D42345" s="8"/>
    </row>
    <row r="42346" spans="1:4" ht="15.75" customHeight="1">
      <c r="A42346" s="8"/>
      <c r="B42346" s="12"/>
      <c r="C42346" s="8"/>
      <c r="D42346" s="8"/>
    </row>
    <row r="42347" spans="1:4" ht="15.75" customHeight="1">
      <c r="A42347" s="8"/>
      <c r="B42347" s="12"/>
      <c r="C42347" s="8"/>
      <c r="D42347" s="8"/>
    </row>
    <row r="42348" spans="1:4" ht="15.75" customHeight="1">
      <c r="A42348" s="8"/>
      <c r="B42348" s="12"/>
      <c r="C42348" s="8"/>
      <c r="D42348" s="8"/>
    </row>
    <row r="42349" spans="1:4" ht="15.75" customHeight="1">
      <c r="A42349" s="8"/>
      <c r="B42349" s="12"/>
      <c r="C42349" s="8"/>
      <c r="D42349" s="8"/>
    </row>
    <row r="42350" spans="1:4" ht="15.75" customHeight="1">
      <c r="A42350" s="8"/>
      <c r="B42350" s="12"/>
      <c r="C42350" s="8"/>
      <c r="D42350" s="8"/>
    </row>
    <row r="42351" spans="1:4" ht="15.75" customHeight="1">
      <c r="A42351" s="8"/>
      <c r="B42351" s="12"/>
      <c r="C42351" s="8"/>
      <c r="D42351" s="8"/>
    </row>
    <row r="42352" spans="1:4" ht="15.75" customHeight="1">
      <c r="A42352" s="8"/>
      <c r="B42352" s="12"/>
      <c r="C42352" s="8"/>
      <c r="D42352" s="8"/>
    </row>
    <row r="42353" spans="1:4" ht="15.75" customHeight="1">
      <c r="A42353" s="8"/>
      <c r="B42353" s="12"/>
      <c r="C42353" s="8"/>
      <c r="D42353" s="8"/>
    </row>
    <row r="42354" spans="1:4" ht="15.75" customHeight="1">
      <c r="A42354" s="8"/>
      <c r="B42354" s="12"/>
      <c r="C42354" s="8"/>
      <c r="D42354" s="8"/>
    </row>
    <row r="42355" spans="1:4" ht="15.75" customHeight="1">
      <c r="A42355" s="8"/>
      <c r="B42355" s="12"/>
      <c r="C42355" s="8"/>
      <c r="D42355" s="8"/>
    </row>
    <row r="42356" spans="1:4" ht="15.75" customHeight="1">
      <c r="A42356" s="8"/>
      <c r="B42356" s="12"/>
      <c r="C42356" s="8"/>
      <c r="D42356" s="8"/>
    </row>
    <row r="42357" spans="1:4" ht="15.75" customHeight="1">
      <c r="A42357" s="8"/>
      <c r="B42357" s="12"/>
      <c r="C42357" s="8"/>
      <c r="D42357" s="8"/>
    </row>
    <row r="42358" spans="1:4" ht="15.75" customHeight="1">
      <c r="A42358" s="8"/>
      <c r="B42358" s="12"/>
      <c r="C42358" s="8"/>
      <c r="D42358" s="8"/>
    </row>
    <row r="42359" spans="1:4" ht="15.75" customHeight="1">
      <c r="A42359" s="8"/>
      <c r="B42359" s="12"/>
      <c r="C42359" s="8"/>
      <c r="D42359" s="8"/>
    </row>
    <row r="42360" spans="1:4" ht="15.75" customHeight="1">
      <c r="A42360" s="8"/>
      <c r="B42360" s="12"/>
      <c r="C42360" s="8"/>
      <c r="D42360" s="8"/>
    </row>
    <row r="42361" spans="1:4" ht="15.75" customHeight="1">
      <c r="A42361" s="8"/>
      <c r="B42361" s="12"/>
      <c r="C42361" s="8"/>
      <c r="D42361" s="8"/>
    </row>
    <row r="42362" spans="1:4" ht="15.75" customHeight="1">
      <c r="A42362" s="8"/>
      <c r="B42362" s="12"/>
      <c r="C42362" s="8"/>
      <c r="D42362" s="8"/>
    </row>
    <row r="42363" spans="1:4" ht="15.75" customHeight="1">
      <c r="A42363" s="8"/>
      <c r="B42363" s="12"/>
      <c r="C42363" s="8"/>
      <c r="D42363" s="8"/>
    </row>
    <row r="42364" spans="1:4" ht="15.75" customHeight="1">
      <c r="A42364" s="8"/>
      <c r="B42364" s="12"/>
      <c r="C42364" s="8"/>
      <c r="D42364" s="8"/>
    </row>
    <row r="42365" spans="1:4" ht="15.75" customHeight="1">
      <c r="A42365" s="8"/>
      <c r="B42365" s="12"/>
      <c r="C42365" s="8"/>
      <c r="D42365" s="8"/>
    </row>
    <row r="42366" spans="1:4" ht="15.75" customHeight="1">
      <c r="A42366" s="8"/>
      <c r="B42366" s="12"/>
      <c r="C42366" s="8"/>
      <c r="D42366" s="8"/>
    </row>
    <row r="42367" spans="1:4" ht="15.75" customHeight="1">
      <c r="A42367" s="8"/>
      <c r="B42367" s="12"/>
      <c r="C42367" s="8"/>
      <c r="D42367" s="8"/>
    </row>
    <row r="42368" spans="1:4" ht="15.75" customHeight="1">
      <c r="A42368" s="8"/>
      <c r="B42368" s="12"/>
      <c r="C42368" s="8"/>
      <c r="D42368" s="8"/>
    </row>
    <row r="42369" spans="1:4" ht="15.75" customHeight="1">
      <c r="A42369" s="8"/>
      <c r="B42369" s="12"/>
      <c r="C42369" s="8"/>
      <c r="D42369" s="8"/>
    </row>
    <row r="42370" spans="1:4" ht="15.75" customHeight="1">
      <c r="A42370" s="8"/>
      <c r="B42370" s="12"/>
      <c r="C42370" s="8"/>
      <c r="D42370" s="8"/>
    </row>
    <row r="42371" spans="1:4" ht="15.75" customHeight="1">
      <c r="A42371" s="8"/>
      <c r="B42371" s="12"/>
      <c r="C42371" s="8"/>
      <c r="D42371" s="8"/>
    </row>
    <row r="42372" spans="1:4" ht="15.75" customHeight="1">
      <c r="A42372" s="8"/>
      <c r="B42372" s="12"/>
      <c r="C42372" s="8"/>
      <c r="D42372" s="8"/>
    </row>
    <row r="42373" spans="1:4" ht="15.75" customHeight="1">
      <c r="A42373" s="8"/>
      <c r="B42373" s="12"/>
      <c r="C42373" s="8"/>
      <c r="D42373" s="8"/>
    </row>
    <row r="42374" spans="1:4" ht="15.75" customHeight="1">
      <c r="A42374" s="8"/>
      <c r="B42374" s="12"/>
      <c r="C42374" s="8"/>
      <c r="D42374" s="8"/>
    </row>
    <row r="42375" spans="1:4" ht="15.75" customHeight="1">
      <c r="A42375" s="8"/>
      <c r="B42375" s="12"/>
      <c r="C42375" s="8"/>
      <c r="D42375" s="8"/>
    </row>
    <row r="42376" spans="1:4" ht="15.75" customHeight="1">
      <c r="A42376" s="8"/>
      <c r="B42376" s="12"/>
      <c r="C42376" s="8"/>
      <c r="D42376" s="8"/>
    </row>
    <row r="42377" spans="1:4" ht="15.75" customHeight="1">
      <c r="A42377" s="8"/>
      <c r="B42377" s="12"/>
      <c r="C42377" s="8"/>
      <c r="D42377" s="8"/>
    </row>
    <row r="42378" spans="1:4" ht="15.75" customHeight="1">
      <c r="A42378" s="8"/>
      <c r="B42378" s="12"/>
      <c r="C42378" s="8"/>
      <c r="D42378" s="8"/>
    </row>
    <row r="42379" spans="1:4" ht="15.75" customHeight="1">
      <c r="A42379" s="8"/>
      <c r="B42379" s="12"/>
      <c r="C42379" s="8"/>
      <c r="D42379" s="8"/>
    </row>
    <row r="42380" spans="1:4" ht="15.75" customHeight="1">
      <c r="A42380" s="8"/>
      <c r="B42380" s="12"/>
      <c r="C42380" s="8"/>
      <c r="D42380" s="8"/>
    </row>
    <row r="42381" spans="1:4" ht="15.75" customHeight="1">
      <c r="A42381" s="8"/>
      <c r="B42381" s="12"/>
      <c r="C42381" s="8"/>
      <c r="D42381" s="8"/>
    </row>
    <row r="42382" spans="1:4" ht="15.75" customHeight="1">
      <c r="A42382" s="8"/>
      <c r="B42382" s="12"/>
      <c r="C42382" s="8"/>
      <c r="D42382" s="8"/>
    </row>
    <row r="42383" spans="1:4" ht="15.75" customHeight="1">
      <c r="A42383" s="8"/>
      <c r="B42383" s="12"/>
      <c r="C42383" s="8"/>
      <c r="D42383" s="8"/>
    </row>
    <row r="42384" spans="1:4" ht="15.75" customHeight="1">
      <c r="A42384" s="8"/>
      <c r="B42384" s="12"/>
      <c r="C42384" s="8"/>
      <c r="D42384" s="8"/>
    </row>
    <row r="42385" spans="1:4" ht="15.75" customHeight="1">
      <c r="A42385" s="8"/>
      <c r="B42385" s="12"/>
      <c r="C42385" s="8"/>
      <c r="D42385" s="8"/>
    </row>
    <row r="42386" spans="1:4" ht="15.75" customHeight="1">
      <c r="A42386" s="8"/>
      <c r="B42386" s="12"/>
      <c r="C42386" s="8"/>
      <c r="D42386" s="8"/>
    </row>
    <row r="42387" spans="1:4" ht="15.75" customHeight="1">
      <c r="A42387" s="8"/>
      <c r="B42387" s="12"/>
      <c r="C42387" s="8"/>
      <c r="D42387" s="8"/>
    </row>
    <row r="42388" spans="1:4" ht="15.75" customHeight="1">
      <c r="A42388" s="8"/>
      <c r="B42388" s="12"/>
      <c r="C42388" s="8"/>
      <c r="D42388" s="8"/>
    </row>
    <row r="42389" spans="1:4" ht="15.75" customHeight="1">
      <c r="A42389" s="8"/>
      <c r="B42389" s="12"/>
      <c r="C42389" s="8"/>
      <c r="D42389" s="8"/>
    </row>
    <row r="42390" spans="1:4" ht="15.75" customHeight="1">
      <c r="A42390" s="8"/>
      <c r="B42390" s="12"/>
      <c r="C42390" s="8"/>
      <c r="D42390" s="8"/>
    </row>
    <row r="42391" spans="1:4" ht="15.75" customHeight="1">
      <c r="A42391" s="8"/>
      <c r="B42391" s="12"/>
      <c r="C42391" s="8"/>
      <c r="D42391" s="8"/>
    </row>
    <row r="42392" spans="1:4" ht="15.75" customHeight="1">
      <c r="A42392" s="8"/>
      <c r="B42392" s="12"/>
      <c r="C42392" s="8"/>
      <c r="D42392" s="8"/>
    </row>
    <row r="42393" spans="1:4" ht="15.75" customHeight="1">
      <c r="A42393" s="8"/>
      <c r="B42393" s="12"/>
      <c r="C42393" s="8"/>
      <c r="D42393" s="8"/>
    </row>
    <row r="42394" spans="1:4" ht="15.75" customHeight="1">
      <c r="A42394" s="8"/>
      <c r="B42394" s="12"/>
      <c r="C42394" s="8"/>
      <c r="D42394" s="8"/>
    </row>
    <row r="42395" spans="1:4" ht="15.75" customHeight="1">
      <c r="A42395" s="8"/>
      <c r="B42395" s="12"/>
      <c r="C42395" s="8"/>
      <c r="D42395" s="8"/>
    </row>
    <row r="42396" spans="1:4" ht="15.75" customHeight="1">
      <c r="A42396" s="8"/>
      <c r="B42396" s="12"/>
      <c r="C42396" s="8"/>
      <c r="D42396" s="8"/>
    </row>
    <row r="42397" spans="1:4" ht="15.75" customHeight="1">
      <c r="A42397" s="8"/>
      <c r="B42397" s="12"/>
      <c r="C42397" s="8"/>
      <c r="D42397" s="8"/>
    </row>
    <row r="42398" spans="1:4" ht="15.75" customHeight="1">
      <c r="A42398" s="8"/>
      <c r="B42398" s="12"/>
      <c r="C42398" s="8"/>
      <c r="D42398" s="8"/>
    </row>
    <row r="42399" spans="1:4" ht="15.75" customHeight="1">
      <c r="A42399" s="8"/>
      <c r="B42399" s="12"/>
      <c r="C42399" s="8"/>
      <c r="D42399" s="8"/>
    </row>
    <row r="42400" spans="1:4" ht="15.75" customHeight="1">
      <c r="A42400" s="8"/>
      <c r="B42400" s="12"/>
      <c r="C42400" s="8"/>
      <c r="D42400" s="8"/>
    </row>
    <row r="42401" spans="1:4" ht="15.75" customHeight="1">
      <c r="A42401" s="8"/>
      <c r="B42401" s="12"/>
      <c r="C42401" s="8"/>
      <c r="D42401" s="8"/>
    </row>
    <row r="42402" spans="1:4" ht="15.75" customHeight="1">
      <c r="A42402" s="8"/>
      <c r="B42402" s="12"/>
      <c r="C42402" s="8"/>
      <c r="D42402" s="8"/>
    </row>
    <row r="42403" spans="1:4" ht="15.75" customHeight="1">
      <c r="A42403" s="8"/>
      <c r="B42403" s="12"/>
      <c r="C42403" s="8"/>
      <c r="D42403" s="8"/>
    </row>
    <row r="42404" spans="1:4" ht="15.75" customHeight="1">
      <c r="A42404" s="8"/>
      <c r="B42404" s="12"/>
      <c r="C42404" s="8"/>
      <c r="D42404" s="8"/>
    </row>
    <row r="42405" spans="1:4" ht="15.75" customHeight="1">
      <c r="A42405" s="8"/>
      <c r="B42405" s="12"/>
      <c r="C42405" s="8"/>
      <c r="D42405" s="8"/>
    </row>
    <row r="42406" spans="1:4" ht="15.75" customHeight="1">
      <c r="A42406" s="8"/>
      <c r="B42406" s="12"/>
      <c r="C42406" s="8"/>
      <c r="D42406" s="8"/>
    </row>
    <row r="42407" spans="1:4" ht="15.75" customHeight="1">
      <c r="A42407" s="8"/>
      <c r="B42407" s="12"/>
      <c r="C42407" s="8"/>
      <c r="D42407" s="8"/>
    </row>
    <row r="42408" spans="1:4" ht="15.75" customHeight="1">
      <c r="A42408" s="8"/>
      <c r="B42408" s="12"/>
      <c r="C42408" s="8"/>
      <c r="D42408" s="8"/>
    </row>
    <row r="42409" spans="1:4" ht="15.75" customHeight="1">
      <c r="A42409" s="8"/>
      <c r="B42409" s="12"/>
      <c r="C42409" s="8"/>
      <c r="D42409" s="8"/>
    </row>
    <row r="42410" spans="1:4" ht="15.75" customHeight="1">
      <c r="A42410" s="8"/>
      <c r="B42410" s="12"/>
      <c r="C42410" s="8"/>
      <c r="D42410" s="8"/>
    </row>
    <row r="42411" spans="1:4" ht="15.75" customHeight="1">
      <c r="A42411" s="8"/>
      <c r="B42411" s="12"/>
      <c r="C42411" s="8"/>
      <c r="D42411" s="8"/>
    </row>
    <row r="42412" spans="1:4" ht="15.75" customHeight="1">
      <c r="A42412" s="8"/>
      <c r="B42412" s="12"/>
      <c r="C42412" s="8"/>
      <c r="D42412" s="8"/>
    </row>
    <row r="42413" spans="1:4" ht="15.75" customHeight="1">
      <c r="A42413" s="8"/>
      <c r="B42413" s="12"/>
      <c r="C42413" s="8"/>
      <c r="D42413" s="8"/>
    </row>
    <row r="42414" spans="1:4" ht="15.75" customHeight="1">
      <c r="A42414" s="8"/>
      <c r="B42414" s="12"/>
      <c r="C42414" s="8"/>
      <c r="D42414" s="8"/>
    </row>
    <row r="42415" spans="1:4" ht="15.75" customHeight="1">
      <c r="A42415" s="8"/>
      <c r="B42415" s="12"/>
      <c r="C42415" s="8"/>
      <c r="D42415" s="8"/>
    </row>
    <row r="42416" spans="1:4" ht="15.75" customHeight="1">
      <c r="A42416" s="8"/>
      <c r="B42416" s="12"/>
      <c r="C42416" s="8"/>
      <c r="D42416" s="8"/>
    </row>
    <row r="42417" spans="1:4" ht="15.75" customHeight="1">
      <c r="A42417" s="8"/>
      <c r="B42417" s="12"/>
      <c r="C42417" s="8"/>
      <c r="D42417" s="8"/>
    </row>
    <row r="42418" spans="1:4" ht="15.75" customHeight="1">
      <c r="A42418" s="8"/>
      <c r="B42418" s="12"/>
      <c r="C42418" s="8"/>
      <c r="D42418" s="8"/>
    </row>
    <row r="42419" spans="1:4" ht="15.75" customHeight="1">
      <c r="A42419" s="8"/>
      <c r="B42419" s="12"/>
      <c r="C42419" s="8"/>
      <c r="D42419" s="8"/>
    </row>
    <row r="42420" spans="1:4" ht="15.75" customHeight="1">
      <c r="A42420" s="8"/>
      <c r="B42420" s="12"/>
      <c r="C42420" s="8"/>
      <c r="D42420" s="8"/>
    </row>
    <row r="42421" spans="1:4" ht="15.75" customHeight="1">
      <c r="A42421" s="8"/>
      <c r="B42421" s="12"/>
      <c r="C42421" s="8"/>
      <c r="D42421" s="8"/>
    </row>
    <row r="42422" spans="1:4" ht="15.75" customHeight="1">
      <c r="A42422" s="8"/>
      <c r="B42422" s="12"/>
      <c r="C42422" s="8"/>
      <c r="D42422" s="8"/>
    </row>
    <row r="42423" spans="1:4" ht="15.75" customHeight="1">
      <c r="A42423" s="8"/>
      <c r="B42423" s="12"/>
      <c r="C42423" s="8"/>
      <c r="D42423" s="8"/>
    </row>
    <row r="42424" spans="1:4" ht="15.75" customHeight="1">
      <c r="A42424" s="8"/>
      <c r="B42424" s="12"/>
      <c r="C42424" s="8"/>
      <c r="D42424" s="8"/>
    </row>
    <row r="42425" spans="1:4" ht="15.75" customHeight="1">
      <c r="A42425" s="8"/>
      <c r="B42425" s="12"/>
      <c r="C42425" s="8"/>
      <c r="D42425" s="8"/>
    </row>
    <row r="42426" spans="1:4" ht="15.75" customHeight="1">
      <c r="A42426" s="8"/>
      <c r="B42426" s="12"/>
      <c r="C42426" s="8"/>
      <c r="D42426" s="8"/>
    </row>
    <row r="42427" spans="1:4" ht="15.75" customHeight="1">
      <c r="A42427" s="8"/>
      <c r="B42427" s="12"/>
      <c r="C42427" s="8"/>
      <c r="D42427" s="8"/>
    </row>
    <row r="42428" spans="1:4" ht="15.75" customHeight="1">
      <c r="A42428" s="8"/>
      <c r="B42428" s="12"/>
      <c r="C42428" s="8"/>
      <c r="D42428" s="8"/>
    </row>
    <row r="42429" spans="1:4" ht="15.75" customHeight="1">
      <c r="A42429" s="8"/>
      <c r="B42429" s="12"/>
      <c r="C42429" s="8"/>
      <c r="D42429" s="8"/>
    </row>
    <row r="42430" spans="1:4" ht="15.75" customHeight="1">
      <c r="A42430" s="8"/>
      <c r="B42430" s="12"/>
      <c r="C42430" s="8"/>
      <c r="D42430" s="8"/>
    </row>
    <row r="42431" spans="1:4" ht="15.75" customHeight="1">
      <c r="A42431" s="8"/>
      <c r="B42431" s="12"/>
      <c r="C42431" s="8"/>
      <c r="D42431" s="8"/>
    </row>
    <row r="42432" spans="1:4" ht="15.75" customHeight="1">
      <c r="A42432" s="8"/>
      <c r="B42432" s="12"/>
      <c r="C42432" s="8"/>
      <c r="D42432" s="8"/>
    </row>
    <row r="42433" spans="1:4" ht="15.75" customHeight="1">
      <c r="A42433" s="8"/>
      <c r="B42433" s="12"/>
      <c r="C42433" s="8"/>
      <c r="D42433" s="8"/>
    </row>
    <row r="42434" spans="1:4" ht="15.75" customHeight="1">
      <c r="A42434" s="8"/>
      <c r="B42434" s="12"/>
      <c r="C42434" s="8"/>
      <c r="D42434" s="8"/>
    </row>
    <row r="42435" spans="1:4" ht="15.75" customHeight="1">
      <c r="A42435" s="8"/>
      <c r="B42435" s="12"/>
      <c r="C42435" s="8"/>
      <c r="D42435" s="8"/>
    </row>
    <row r="42436" spans="1:4" ht="15.75" customHeight="1">
      <c r="A42436" s="8"/>
      <c r="B42436" s="12"/>
      <c r="C42436" s="8"/>
      <c r="D42436" s="8"/>
    </row>
    <row r="42437" spans="1:4" ht="15.75" customHeight="1">
      <c r="A42437" s="8"/>
      <c r="B42437" s="12"/>
      <c r="C42437" s="8"/>
      <c r="D42437" s="8"/>
    </row>
    <row r="42438" spans="1:4" ht="15.75" customHeight="1">
      <c r="A42438" s="8"/>
      <c r="B42438" s="12"/>
      <c r="C42438" s="8"/>
      <c r="D42438" s="8"/>
    </row>
    <row r="42439" spans="1:4" ht="15.75" customHeight="1">
      <c r="A42439" s="8"/>
      <c r="B42439" s="12"/>
      <c r="C42439" s="8"/>
      <c r="D42439" s="8"/>
    </row>
    <row r="42440" spans="1:4" ht="15.75" customHeight="1">
      <c r="A42440" s="8"/>
      <c r="B42440" s="12"/>
      <c r="C42440" s="8"/>
      <c r="D42440" s="8"/>
    </row>
    <row r="42441" spans="1:4" ht="15.75" customHeight="1">
      <c r="A42441" s="8"/>
      <c r="B42441" s="12"/>
      <c r="C42441" s="8"/>
      <c r="D42441" s="8"/>
    </row>
    <row r="42442" spans="1:4" ht="15.75" customHeight="1">
      <c r="A42442" s="8"/>
      <c r="B42442" s="12"/>
      <c r="C42442" s="8"/>
      <c r="D42442" s="8"/>
    </row>
    <row r="42443" spans="1:4" ht="15.75" customHeight="1">
      <c r="A42443" s="8"/>
      <c r="B42443" s="12"/>
      <c r="C42443" s="8"/>
      <c r="D42443" s="8"/>
    </row>
    <row r="42444" spans="1:4" ht="15.75" customHeight="1">
      <c r="A42444" s="8"/>
      <c r="B42444" s="12"/>
      <c r="C42444" s="8"/>
      <c r="D42444" s="8"/>
    </row>
    <row r="42445" spans="1:4" ht="15.75" customHeight="1">
      <c r="A42445" s="8"/>
      <c r="B42445" s="12"/>
      <c r="C42445" s="8"/>
      <c r="D42445" s="8"/>
    </row>
    <row r="42446" spans="1:4" ht="15.75" customHeight="1">
      <c r="A42446" s="8"/>
      <c r="B42446" s="12"/>
      <c r="C42446" s="8"/>
      <c r="D42446" s="8"/>
    </row>
    <row r="42447" spans="1:4" ht="15.75" customHeight="1">
      <c r="A42447" s="8"/>
      <c r="B42447" s="12"/>
      <c r="C42447" s="8"/>
      <c r="D42447" s="8"/>
    </row>
    <row r="42448" spans="1:4" ht="15.75" customHeight="1">
      <c r="A42448" s="8"/>
      <c r="B42448" s="12"/>
      <c r="C42448" s="8"/>
      <c r="D42448" s="8"/>
    </row>
    <row r="42449" spans="1:4" ht="15.75" customHeight="1">
      <c r="A42449" s="8"/>
      <c r="B42449" s="12"/>
      <c r="C42449" s="8"/>
      <c r="D42449" s="8"/>
    </row>
    <row r="42450" spans="1:4" ht="15.75" customHeight="1">
      <c r="A42450" s="8"/>
      <c r="B42450" s="12"/>
      <c r="C42450" s="8"/>
      <c r="D42450" s="8"/>
    </row>
    <row r="42451" spans="1:4" ht="15.75" customHeight="1">
      <c r="A42451" s="8"/>
      <c r="B42451" s="12"/>
      <c r="C42451" s="8"/>
      <c r="D42451" s="8"/>
    </row>
    <row r="42452" spans="1:4" ht="15.75" customHeight="1">
      <c r="A42452" s="8"/>
      <c r="B42452" s="12"/>
      <c r="C42452" s="8"/>
      <c r="D42452" s="8"/>
    </row>
    <row r="42453" spans="1:4" ht="15.75" customHeight="1">
      <c r="A42453" s="8"/>
      <c r="B42453" s="12"/>
      <c r="C42453" s="8"/>
      <c r="D42453" s="8"/>
    </row>
    <row r="42454" spans="1:4" ht="15.75" customHeight="1">
      <c r="A42454" s="8"/>
      <c r="B42454" s="12"/>
      <c r="C42454" s="8"/>
      <c r="D42454" s="8"/>
    </row>
    <row r="42455" spans="1:4" ht="15.75" customHeight="1">
      <c r="A42455" s="8"/>
      <c r="B42455" s="12"/>
      <c r="C42455" s="8"/>
      <c r="D42455" s="8"/>
    </row>
    <row r="42456" spans="1:4" ht="15.75" customHeight="1">
      <c r="A42456" s="8"/>
      <c r="B42456" s="12"/>
      <c r="C42456" s="8"/>
      <c r="D42456" s="8"/>
    </row>
    <row r="42457" spans="1:4" ht="15.75" customHeight="1">
      <c r="A42457" s="8"/>
      <c r="B42457" s="12"/>
      <c r="C42457" s="8"/>
      <c r="D42457" s="8"/>
    </row>
    <row r="42458" spans="1:4" ht="15.75" customHeight="1">
      <c r="A42458" s="8"/>
      <c r="B42458" s="12"/>
      <c r="C42458" s="8"/>
      <c r="D42458" s="8"/>
    </row>
    <row r="42459" spans="1:4" ht="15.75" customHeight="1">
      <c r="A42459" s="8"/>
      <c r="B42459" s="12"/>
      <c r="C42459" s="8"/>
      <c r="D42459" s="8"/>
    </row>
    <row r="42460" spans="1:4" ht="15.75" customHeight="1">
      <c r="A42460" s="8"/>
      <c r="B42460" s="12"/>
      <c r="C42460" s="8"/>
      <c r="D42460" s="8"/>
    </row>
    <row r="42461" spans="1:4" ht="15.75" customHeight="1">
      <c r="A42461" s="8"/>
      <c r="B42461" s="12"/>
      <c r="C42461" s="8"/>
      <c r="D42461" s="8"/>
    </row>
    <row r="42462" spans="1:4" ht="15.75" customHeight="1">
      <c r="A42462" s="8"/>
      <c r="B42462" s="12"/>
      <c r="C42462" s="8"/>
      <c r="D42462" s="8"/>
    </row>
    <row r="42463" spans="1:4" ht="15.75" customHeight="1">
      <c r="A42463" s="8"/>
      <c r="B42463" s="12"/>
      <c r="C42463" s="8"/>
      <c r="D42463" s="8"/>
    </row>
    <row r="42464" spans="1:4" ht="15.75" customHeight="1">
      <c r="A42464" s="8"/>
      <c r="B42464" s="12"/>
      <c r="C42464" s="8"/>
      <c r="D42464" s="8"/>
    </row>
    <row r="42465" spans="1:4" ht="15.75" customHeight="1">
      <c r="A42465" s="8"/>
      <c r="B42465" s="12"/>
      <c r="C42465" s="8"/>
      <c r="D42465" s="8"/>
    </row>
    <row r="42466" spans="1:4" ht="15.75" customHeight="1">
      <c r="A42466" s="8"/>
      <c r="B42466" s="12"/>
      <c r="C42466" s="8"/>
      <c r="D42466" s="8"/>
    </row>
    <row r="42467" spans="1:4" ht="15.75" customHeight="1">
      <c r="A42467" s="8"/>
      <c r="B42467" s="12"/>
      <c r="C42467" s="8"/>
      <c r="D42467" s="8"/>
    </row>
    <row r="42468" spans="1:4" ht="15.75" customHeight="1">
      <c r="A42468" s="8"/>
      <c r="B42468" s="12"/>
      <c r="C42468" s="8"/>
      <c r="D42468" s="8"/>
    </row>
    <row r="42469" spans="1:4" ht="15.75" customHeight="1">
      <c r="A42469" s="8"/>
      <c r="B42469" s="12"/>
      <c r="C42469" s="8"/>
      <c r="D42469" s="8"/>
    </row>
    <row r="42470" spans="1:4" ht="15.75" customHeight="1">
      <c r="A42470" s="8"/>
      <c r="B42470" s="12"/>
      <c r="C42470" s="8"/>
      <c r="D42470" s="8"/>
    </row>
    <row r="42471" spans="1:4" ht="15.75" customHeight="1">
      <c r="A42471" s="8"/>
      <c r="B42471" s="12"/>
      <c r="C42471" s="8"/>
      <c r="D42471" s="8"/>
    </row>
    <row r="42472" spans="1:4" ht="15.75" customHeight="1">
      <c r="A42472" s="8"/>
      <c r="B42472" s="12"/>
      <c r="C42472" s="8"/>
      <c r="D42472" s="8"/>
    </row>
    <row r="42473" spans="1:4" ht="15.75" customHeight="1">
      <c r="A42473" s="8"/>
      <c r="B42473" s="12"/>
      <c r="C42473" s="8"/>
      <c r="D42473" s="8"/>
    </row>
    <row r="42474" spans="1:4" ht="15.75" customHeight="1">
      <c r="A42474" s="8"/>
      <c r="B42474" s="12"/>
      <c r="C42474" s="8"/>
      <c r="D42474" s="8"/>
    </row>
    <row r="42475" spans="1:4" ht="15.75" customHeight="1">
      <c r="A42475" s="8"/>
      <c r="B42475" s="12"/>
      <c r="C42475" s="8"/>
      <c r="D42475" s="8"/>
    </row>
    <row r="42476" spans="1:4" ht="15.75" customHeight="1">
      <c r="A42476" s="8"/>
      <c r="B42476" s="12"/>
      <c r="C42476" s="8"/>
      <c r="D42476" s="8"/>
    </row>
    <row r="42477" spans="1:4" ht="15.75" customHeight="1">
      <c r="A42477" s="8"/>
      <c r="B42477" s="12"/>
      <c r="C42477" s="8"/>
      <c r="D42477" s="8"/>
    </row>
    <row r="42478" spans="1:4" ht="15.75" customHeight="1">
      <c r="A42478" s="8"/>
      <c r="B42478" s="12"/>
      <c r="C42478" s="8"/>
      <c r="D42478" s="8"/>
    </row>
    <row r="42479" spans="1:4" ht="15.75" customHeight="1">
      <c r="A42479" s="8"/>
      <c r="B42479" s="12"/>
      <c r="C42479" s="8"/>
      <c r="D42479" s="8"/>
    </row>
    <row r="42480" spans="1:4" ht="15.75" customHeight="1">
      <c r="A42480" s="8"/>
      <c r="B42480" s="12"/>
      <c r="C42480" s="8"/>
      <c r="D42480" s="8"/>
    </row>
    <row r="42481" spans="1:4" ht="15.75" customHeight="1">
      <c r="A42481" s="8"/>
      <c r="B42481" s="12"/>
      <c r="C42481" s="8"/>
      <c r="D42481" s="8"/>
    </row>
    <row r="42482" spans="1:4" ht="15.75" customHeight="1">
      <c r="A42482" s="8"/>
      <c r="B42482" s="12"/>
      <c r="C42482" s="8"/>
      <c r="D42482" s="8"/>
    </row>
    <row r="42483" spans="1:4" ht="15.75" customHeight="1">
      <c r="A42483" s="8"/>
      <c r="B42483" s="12"/>
      <c r="C42483" s="8"/>
      <c r="D42483" s="8"/>
    </row>
    <row r="42484" spans="1:4" ht="15.75" customHeight="1">
      <c r="A42484" s="8"/>
      <c r="B42484" s="12"/>
      <c r="C42484" s="8"/>
      <c r="D42484" s="8"/>
    </row>
    <row r="42485" spans="1:4" ht="15.75" customHeight="1">
      <c r="A42485" s="8"/>
      <c r="B42485" s="12"/>
      <c r="C42485" s="8"/>
      <c r="D42485" s="8"/>
    </row>
    <row r="42486" spans="1:4" ht="15.75" customHeight="1">
      <c r="A42486" s="8"/>
      <c r="B42486" s="12"/>
      <c r="C42486" s="8"/>
      <c r="D42486" s="8"/>
    </row>
    <row r="42487" spans="1:4" ht="15.75" customHeight="1">
      <c r="A42487" s="8"/>
      <c r="B42487" s="12"/>
      <c r="C42487" s="8"/>
      <c r="D42487" s="8"/>
    </row>
    <row r="42488" spans="1:4" ht="15.75" customHeight="1">
      <c r="A42488" s="8"/>
      <c r="B42488" s="12"/>
      <c r="C42488" s="8"/>
      <c r="D42488" s="8"/>
    </row>
    <row r="42489" spans="1:4" ht="15.75" customHeight="1">
      <c r="A42489" s="8"/>
      <c r="B42489" s="12"/>
      <c r="C42489" s="8"/>
      <c r="D42489" s="8"/>
    </row>
    <row r="42490" spans="1:4" ht="15.75" customHeight="1">
      <c r="A42490" s="8"/>
      <c r="B42490" s="12"/>
      <c r="C42490" s="8"/>
      <c r="D42490" s="8"/>
    </row>
    <row r="42491" spans="1:4" ht="15.75" customHeight="1">
      <c r="A42491" s="8"/>
      <c r="B42491" s="12"/>
      <c r="C42491" s="8"/>
      <c r="D42491" s="8"/>
    </row>
    <row r="42492" spans="1:4" ht="15.75" customHeight="1">
      <c r="A42492" s="8"/>
      <c r="B42492" s="12"/>
      <c r="C42492" s="8"/>
      <c r="D42492" s="8"/>
    </row>
    <row r="42493" spans="1:4" ht="15.75" customHeight="1">
      <c r="A42493" s="8"/>
      <c r="B42493" s="12"/>
      <c r="C42493" s="8"/>
      <c r="D42493" s="8"/>
    </row>
    <row r="42494" spans="1:4" ht="15.75" customHeight="1">
      <c r="A42494" s="8"/>
      <c r="B42494" s="12"/>
      <c r="C42494" s="8"/>
      <c r="D42494" s="8"/>
    </row>
    <row r="42495" spans="1:4" ht="15.75" customHeight="1">
      <c r="A42495" s="8"/>
      <c r="B42495" s="12"/>
      <c r="C42495" s="8"/>
      <c r="D42495" s="8"/>
    </row>
    <row r="42496" spans="1:4" ht="15.75" customHeight="1">
      <c r="A42496" s="8"/>
      <c r="B42496" s="12"/>
      <c r="C42496" s="8"/>
      <c r="D42496" s="8"/>
    </row>
    <row r="42497" spans="1:4" ht="15.75" customHeight="1">
      <c r="A42497" s="8"/>
      <c r="B42497" s="12"/>
      <c r="C42497" s="8"/>
      <c r="D42497" s="8"/>
    </row>
    <row r="42498" spans="1:4" ht="15.75" customHeight="1">
      <c r="A42498" s="8"/>
      <c r="B42498" s="12"/>
      <c r="C42498" s="8"/>
      <c r="D42498" s="8"/>
    </row>
    <row r="42499" spans="1:4" ht="15.75" customHeight="1">
      <c r="A42499" s="8"/>
      <c r="B42499" s="12"/>
      <c r="C42499" s="8"/>
      <c r="D42499" s="8"/>
    </row>
    <row r="42500" spans="1:4" ht="15.75" customHeight="1">
      <c r="A42500" s="8"/>
      <c r="B42500" s="12"/>
      <c r="C42500" s="8"/>
      <c r="D42500" s="8"/>
    </row>
    <row r="42501" spans="1:4" ht="15.75" customHeight="1">
      <c r="A42501" s="8"/>
      <c r="B42501" s="12"/>
      <c r="C42501" s="8"/>
      <c r="D42501" s="8"/>
    </row>
    <row r="42502" spans="1:4" ht="15.75" customHeight="1">
      <c r="A42502" s="8"/>
      <c r="B42502" s="12"/>
      <c r="C42502" s="8"/>
      <c r="D42502" s="8"/>
    </row>
    <row r="42503" spans="1:4" ht="15.75" customHeight="1">
      <c r="A42503" s="8"/>
      <c r="B42503" s="12"/>
      <c r="C42503" s="8"/>
      <c r="D42503" s="8"/>
    </row>
    <row r="42504" spans="1:4" ht="15.75" customHeight="1">
      <c r="A42504" s="8"/>
      <c r="B42504" s="12"/>
      <c r="C42504" s="8"/>
      <c r="D42504" s="8"/>
    </row>
    <row r="42505" spans="1:4" ht="15.75" customHeight="1">
      <c r="A42505" s="8"/>
      <c r="B42505" s="12"/>
      <c r="C42505" s="8"/>
      <c r="D42505" s="8"/>
    </row>
    <row r="42506" spans="1:4" ht="15.75" customHeight="1">
      <c r="A42506" s="8"/>
      <c r="B42506" s="12"/>
      <c r="C42506" s="8"/>
      <c r="D42506" s="8"/>
    </row>
    <row r="42507" spans="1:4" ht="15.75" customHeight="1">
      <c r="A42507" s="8"/>
      <c r="B42507" s="12"/>
      <c r="C42507" s="8"/>
      <c r="D42507" s="8"/>
    </row>
    <row r="42508" spans="1:4" ht="15.75" customHeight="1">
      <c r="A42508" s="8"/>
      <c r="B42508" s="12"/>
      <c r="C42508" s="8"/>
      <c r="D42508" s="8"/>
    </row>
    <row r="42509" spans="1:4" ht="15.75" customHeight="1">
      <c r="A42509" s="8"/>
      <c r="B42509" s="12"/>
      <c r="C42509" s="8"/>
      <c r="D42509" s="8"/>
    </row>
    <row r="42510" spans="1:4" ht="15.75" customHeight="1">
      <c r="A42510" s="8"/>
      <c r="B42510" s="12"/>
      <c r="C42510" s="8"/>
      <c r="D42510" s="8"/>
    </row>
    <row r="42511" spans="1:4" ht="15.75" customHeight="1">
      <c r="A42511" s="8"/>
      <c r="B42511" s="12"/>
      <c r="C42511" s="8"/>
      <c r="D42511" s="8"/>
    </row>
    <row r="42512" spans="1:4" ht="15.75" customHeight="1">
      <c r="A42512" s="8"/>
      <c r="B42512" s="12"/>
      <c r="C42512" s="8"/>
      <c r="D42512" s="8"/>
    </row>
    <row r="42513" spans="1:4" ht="15.75" customHeight="1">
      <c r="A42513" s="8"/>
      <c r="B42513" s="12"/>
      <c r="C42513" s="8"/>
      <c r="D42513" s="8"/>
    </row>
    <row r="42514" spans="1:4" ht="15.75" customHeight="1">
      <c r="A42514" s="8"/>
      <c r="B42514" s="12"/>
      <c r="C42514" s="8"/>
      <c r="D42514" s="8"/>
    </row>
    <row r="42515" spans="1:4" ht="15.75" customHeight="1">
      <c r="A42515" s="8"/>
      <c r="B42515" s="12"/>
      <c r="C42515" s="8"/>
      <c r="D42515" s="8"/>
    </row>
    <row r="42516" spans="1:4" ht="15.75" customHeight="1">
      <c r="A42516" s="8"/>
      <c r="B42516" s="12"/>
      <c r="C42516" s="8"/>
      <c r="D42516" s="8"/>
    </row>
    <row r="42517" spans="1:4" ht="15.75" customHeight="1">
      <c r="A42517" s="8"/>
      <c r="B42517" s="12"/>
      <c r="C42517" s="8"/>
      <c r="D42517" s="8"/>
    </row>
    <row r="42518" spans="1:4" ht="15.75" customHeight="1">
      <c r="A42518" s="8"/>
      <c r="B42518" s="12"/>
      <c r="C42518" s="8"/>
      <c r="D42518" s="8"/>
    </row>
    <row r="42519" spans="1:4" ht="15.75" customHeight="1">
      <c r="A42519" s="8"/>
      <c r="B42519" s="12"/>
      <c r="C42519" s="8"/>
      <c r="D42519" s="8"/>
    </row>
    <row r="42520" spans="1:4" ht="15.75" customHeight="1">
      <c r="A42520" s="8"/>
      <c r="B42520" s="12"/>
      <c r="C42520" s="8"/>
      <c r="D42520" s="8"/>
    </row>
    <row r="42521" spans="1:4" ht="15.75" customHeight="1">
      <c r="A42521" s="8"/>
      <c r="B42521" s="12"/>
      <c r="C42521" s="8"/>
      <c r="D42521" s="8"/>
    </row>
    <row r="42522" spans="1:4" ht="15.75" customHeight="1">
      <c r="A42522" s="8"/>
      <c r="B42522" s="12"/>
      <c r="C42522" s="8"/>
      <c r="D42522" s="8"/>
    </row>
    <row r="42523" spans="1:4" ht="15.75" customHeight="1">
      <c r="A42523" s="8"/>
      <c r="B42523" s="12"/>
      <c r="C42523" s="8"/>
      <c r="D42523" s="8"/>
    </row>
    <row r="42524" spans="1:4" ht="15.75" customHeight="1">
      <c r="A42524" s="8"/>
      <c r="B42524" s="12"/>
      <c r="C42524" s="8"/>
      <c r="D42524" s="8"/>
    </row>
    <row r="42525" spans="1:4" ht="15.75" customHeight="1">
      <c r="A42525" s="8"/>
      <c r="B42525" s="12"/>
      <c r="C42525" s="8"/>
      <c r="D42525" s="8"/>
    </row>
    <row r="42526" spans="1:4" ht="15.75" customHeight="1">
      <c r="A42526" s="8"/>
      <c r="B42526" s="12"/>
      <c r="C42526" s="8"/>
      <c r="D42526" s="8"/>
    </row>
    <row r="42527" spans="1:4" ht="15.75" customHeight="1">
      <c r="A42527" s="8"/>
      <c r="B42527" s="12"/>
      <c r="C42527" s="8"/>
      <c r="D42527" s="8"/>
    </row>
    <row r="42528" spans="1:4" ht="15.75" customHeight="1">
      <c r="A42528" s="8"/>
      <c r="B42528" s="12"/>
      <c r="C42528" s="8"/>
      <c r="D42528" s="8"/>
    </row>
    <row r="42529" spans="1:4" ht="15.75" customHeight="1">
      <c r="A42529" s="8"/>
      <c r="B42529" s="12"/>
      <c r="C42529" s="8"/>
      <c r="D42529" s="8"/>
    </row>
    <row r="42530" spans="1:4" ht="15.75" customHeight="1">
      <c r="A42530" s="8"/>
      <c r="B42530" s="12"/>
      <c r="C42530" s="8"/>
      <c r="D42530" s="8"/>
    </row>
    <row r="42531" spans="1:4" ht="15.75" customHeight="1">
      <c r="A42531" s="8"/>
      <c r="B42531" s="12"/>
      <c r="C42531" s="8"/>
      <c r="D42531" s="8"/>
    </row>
    <row r="42532" spans="1:4" ht="15.75" customHeight="1">
      <c r="A42532" s="8"/>
      <c r="B42532" s="12"/>
      <c r="C42532" s="8"/>
      <c r="D42532" s="8"/>
    </row>
    <row r="42533" spans="1:4" ht="15.75" customHeight="1">
      <c r="A42533" s="8"/>
      <c r="B42533" s="12"/>
      <c r="C42533" s="8"/>
      <c r="D42533" s="8"/>
    </row>
    <row r="42534" spans="1:4" ht="15.75" customHeight="1">
      <c r="A42534" s="8"/>
      <c r="B42534" s="12"/>
      <c r="C42534" s="8"/>
      <c r="D42534" s="8"/>
    </row>
    <row r="42535" spans="1:4" ht="15.75" customHeight="1">
      <c r="A42535" s="8"/>
      <c r="B42535" s="12"/>
      <c r="C42535" s="8"/>
      <c r="D42535" s="8"/>
    </row>
    <row r="42536" spans="1:4" ht="15.75" customHeight="1">
      <c r="A42536" s="8"/>
      <c r="B42536" s="12"/>
      <c r="C42536" s="8"/>
      <c r="D42536" s="8"/>
    </row>
    <row r="42537" spans="1:4" ht="15.75" customHeight="1">
      <c r="A42537" s="8"/>
      <c r="B42537" s="12"/>
      <c r="C42537" s="8"/>
      <c r="D42537" s="8"/>
    </row>
    <row r="42538" spans="1:4" ht="15.75" customHeight="1">
      <c r="A42538" s="8"/>
      <c r="B42538" s="12"/>
      <c r="C42538" s="8"/>
      <c r="D42538" s="8"/>
    </row>
    <row r="42539" spans="1:4" ht="15.75" customHeight="1">
      <c r="A42539" s="8"/>
      <c r="B42539" s="12"/>
      <c r="C42539" s="8"/>
      <c r="D42539" s="8"/>
    </row>
    <row r="42540" spans="1:4" ht="15.75" customHeight="1">
      <c r="A42540" s="8"/>
      <c r="B42540" s="12"/>
      <c r="C42540" s="8"/>
      <c r="D42540" s="8"/>
    </row>
    <row r="42541" spans="1:4" ht="15.75" customHeight="1">
      <c r="A42541" s="8"/>
      <c r="B42541" s="12"/>
      <c r="C42541" s="8"/>
      <c r="D42541" s="8"/>
    </row>
    <row r="42542" spans="1:4" ht="15.75" customHeight="1">
      <c r="A42542" s="8"/>
      <c r="B42542" s="12"/>
      <c r="C42542" s="8"/>
      <c r="D42542" s="8"/>
    </row>
    <row r="42543" spans="1:4" ht="15.75" customHeight="1">
      <c r="A42543" s="8"/>
      <c r="B42543" s="12"/>
      <c r="C42543" s="8"/>
      <c r="D42543" s="8"/>
    </row>
    <row r="42544" spans="1:4" ht="15.75" customHeight="1">
      <c r="A42544" s="8"/>
      <c r="B42544" s="12"/>
      <c r="C42544" s="8"/>
      <c r="D42544" s="8"/>
    </row>
    <row r="42545" spans="1:4" ht="15.75" customHeight="1">
      <c r="A42545" s="8"/>
      <c r="B42545" s="12"/>
      <c r="C42545" s="8"/>
      <c r="D42545" s="8"/>
    </row>
    <row r="42546" spans="1:4" ht="15.75" customHeight="1">
      <c r="A42546" s="8"/>
      <c r="B42546" s="12"/>
      <c r="C42546" s="8"/>
      <c r="D42546" s="8"/>
    </row>
    <row r="42547" spans="1:4" ht="15.75" customHeight="1">
      <c r="A42547" s="8"/>
      <c r="B42547" s="12"/>
      <c r="C42547" s="8"/>
      <c r="D42547" s="8"/>
    </row>
    <row r="42548" spans="1:4" ht="15.75" customHeight="1">
      <c r="A42548" s="8"/>
      <c r="B42548" s="12"/>
      <c r="C42548" s="8"/>
      <c r="D42548" s="8"/>
    </row>
    <row r="42549" spans="1:4" ht="15.75" customHeight="1">
      <c r="A42549" s="8"/>
      <c r="B42549" s="12"/>
      <c r="C42549" s="8"/>
      <c r="D42549" s="8"/>
    </row>
    <row r="42550" spans="1:4" ht="15.75" customHeight="1">
      <c r="A42550" s="8"/>
      <c r="B42550" s="12"/>
      <c r="C42550" s="8"/>
      <c r="D42550" s="8"/>
    </row>
    <row r="42551" spans="1:4" ht="15.75" customHeight="1">
      <c r="A42551" s="8"/>
      <c r="B42551" s="12"/>
      <c r="C42551" s="8"/>
      <c r="D42551" s="8"/>
    </row>
    <row r="42552" spans="1:4" ht="15.75" customHeight="1">
      <c r="A42552" s="8"/>
      <c r="B42552" s="12"/>
      <c r="C42552" s="8"/>
      <c r="D42552" s="8"/>
    </row>
    <row r="42553" spans="1:4" ht="15.75" customHeight="1">
      <c r="A42553" s="8"/>
      <c r="B42553" s="12"/>
      <c r="C42553" s="8"/>
      <c r="D42553" s="8"/>
    </row>
    <row r="42554" spans="1:4" ht="15.75" customHeight="1">
      <c r="A42554" s="8"/>
      <c r="B42554" s="12"/>
      <c r="C42554" s="8"/>
      <c r="D42554" s="8"/>
    </row>
    <row r="42555" spans="1:4" ht="15.75" customHeight="1">
      <c r="A42555" s="8"/>
      <c r="B42555" s="12"/>
      <c r="C42555" s="8"/>
      <c r="D42555" s="8"/>
    </row>
    <row r="42556" spans="1:4" ht="15.75" customHeight="1">
      <c r="A42556" s="8"/>
      <c r="B42556" s="12"/>
      <c r="C42556" s="8"/>
      <c r="D42556" s="8"/>
    </row>
    <row r="42557" spans="1:4" ht="15.75" customHeight="1">
      <c r="A42557" s="8"/>
      <c r="B42557" s="12"/>
      <c r="C42557" s="8"/>
      <c r="D42557" s="8"/>
    </row>
    <row r="42558" spans="1:4" ht="15.75" customHeight="1">
      <c r="A42558" s="8"/>
      <c r="B42558" s="12"/>
      <c r="C42558" s="8"/>
      <c r="D42558" s="8"/>
    </row>
    <row r="42559" spans="1:4" ht="15.75" customHeight="1">
      <c r="A42559" s="8"/>
      <c r="B42559" s="12"/>
      <c r="C42559" s="8"/>
      <c r="D42559" s="8"/>
    </row>
    <row r="42560" spans="1:4" ht="15.75" customHeight="1">
      <c r="A42560" s="8"/>
      <c r="B42560" s="12"/>
      <c r="C42560" s="8"/>
      <c r="D42560" s="8"/>
    </row>
    <row r="42561" spans="1:4" ht="15.75" customHeight="1">
      <c r="A42561" s="8"/>
      <c r="B42561" s="12"/>
      <c r="C42561" s="8"/>
      <c r="D42561" s="8"/>
    </row>
    <row r="42562" spans="1:4" ht="15.75" customHeight="1">
      <c r="A42562" s="8"/>
      <c r="B42562" s="12"/>
      <c r="C42562" s="8"/>
      <c r="D42562" s="8"/>
    </row>
    <row r="42563" spans="1:4" ht="15.75" customHeight="1">
      <c r="A42563" s="8"/>
      <c r="B42563" s="12"/>
      <c r="C42563" s="8"/>
      <c r="D42563" s="8"/>
    </row>
    <row r="42564" spans="1:4" ht="15.75" customHeight="1">
      <c r="A42564" s="8"/>
      <c r="B42564" s="12"/>
      <c r="C42564" s="8"/>
      <c r="D42564" s="8"/>
    </row>
    <row r="42565" spans="1:4" ht="15.75" customHeight="1">
      <c r="A42565" s="8"/>
      <c r="B42565" s="12"/>
      <c r="C42565" s="8"/>
      <c r="D42565" s="8"/>
    </row>
    <row r="42566" spans="1:4" ht="15.75" customHeight="1">
      <c r="A42566" s="8"/>
      <c r="B42566" s="12"/>
      <c r="C42566" s="8"/>
      <c r="D42566" s="8"/>
    </row>
    <row r="42567" spans="1:4" ht="15.75" customHeight="1">
      <c r="A42567" s="8"/>
      <c r="B42567" s="12"/>
      <c r="C42567" s="8"/>
      <c r="D42567" s="8"/>
    </row>
    <row r="42568" spans="1:4" ht="15.75" customHeight="1">
      <c r="A42568" s="8"/>
      <c r="B42568" s="12"/>
      <c r="C42568" s="8"/>
      <c r="D42568" s="8"/>
    </row>
    <row r="42569" spans="1:4" ht="15.75" customHeight="1">
      <c r="A42569" s="8"/>
      <c r="B42569" s="12"/>
      <c r="C42569" s="8"/>
      <c r="D42569" s="8"/>
    </row>
    <row r="42570" spans="1:4" ht="15.75" customHeight="1">
      <c r="A42570" s="8"/>
      <c r="B42570" s="12"/>
      <c r="C42570" s="8"/>
      <c r="D42570" s="8"/>
    </row>
    <row r="42571" spans="1:4" ht="15.75" customHeight="1">
      <c r="A42571" s="8"/>
      <c r="B42571" s="12"/>
      <c r="C42571" s="8"/>
      <c r="D42571" s="8"/>
    </row>
    <row r="42572" spans="1:4" ht="15.75" customHeight="1">
      <c r="A42572" s="8"/>
      <c r="B42572" s="12"/>
      <c r="C42572" s="8"/>
      <c r="D42572" s="8"/>
    </row>
    <row r="42573" spans="1:4" ht="15.75" customHeight="1">
      <c r="A42573" s="8"/>
      <c r="B42573" s="12"/>
      <c r="C42573" s="8"/>
      <c r="D42573" s="8"/>
    </row>
    <row r="42574" spans="1:4" ht="15.75" customHeight="1">
      <c r="A42574" s="8"/>
      <c r="B42574" s="12"/>
      <c r="C42574" s="8"/>
      <c r="D42574" s="8"/>
    </row>
    <row r="42575" spans="1:4" ht="15.75" customHeight="1">
      <c r="A42575" s="8"/>
      <c r="B42575" s="12"/>
      <c r="C42575" s="8"/>
      <c r="D42575" s="8"/>
    </row>
    <row r="42576" spans="1:4" ht="15.75" customHeight="1">
      <c r="A42576" s="8"/>
      <c r="B42576" s="12"/>
      <c r="C42576" s="8"/>
      <c r="D42576" s="8"/>
    </row>
    <row r="42577" spans="1:4" ht="15.75" customHeight="1">
      <c r="A42577" s="8"/>
      <c r="B42577" s="12"/>
      <c r="C42577" s="8"/>
      <c r="D42577" s="8"/>
    </row>
    <row r="42578" spans="1:4" ht="15.75" customHeight="1">
      <c r="A42578" s="8"/>
      <c r="B42578" s="12"/>
      <c r="C42578" s="8"/>
      <c r="D42578" s="8"/>
    </row>
    <row r="42579" spans="1:4" ht="15.75" customHeight="1">
      <c r="A42579" s="8"/>
      <c r="B42579" s="12"/>
      <c r="C42579" s="8"/>
      <c r="D42579" s="8"/>
    </row>
    <row r="42580" spans="1:4" ht="15.75" customHeight="1">
      <c r="A42580" s="8"/>
      <c r="B42580" s="12"/>
      <c r="C42580" s="8"/>
      <c r="D42580" s="8"/>
    </row>
    <row r="42581" spans="1:4" ht="15.75" customHeight="1">
      <c r="A42581" s="8"/>
      <c r="B42581" s="12"/>
      <c r="C42581" s="8"/>
      <c r="D42581" s="8"/>
    </row>
    <row r="42582" spans="1:4" ht="15.75" customHeight="1">
      <c r="A42582" s="8"/>
      <c r="B42582" s="12"/>
      <c r="C42582" s="8"/>
      <c r="D42582" s="8"/>
    </row>
    <row r="42583" spans="1:4" ht="15.75" customHeight="1">
      <c r="A42583" s="8"/>
      <c r="B42583" s="12"/>
      <c r="C42583" s="8"/>
      <c r="D42583" s="8"/>
    </row>
    <row r="42584" spans="1:4" ht="15.75" customHeight="1">
      <c r="A42584" s="8"/>
      <c r="B42584" s="12"/>
      <c r="C42584" s="8"/>
      <c r="D42584" s="8"/>
    </row>
    <row r="42585" spans="1:4" ht="15.75" customHeight="1">
      <c r="A42585" s="8"/>
      <c r="B42585" s="12"/>
      <c r="C42585" s="8"/>
      <c r="D42585" s="8"/>
    </row>
    <row r="42586" spans="1:4" ht="15.75" customHeight="1">
      <c r="A42586" s="8"/>
      <c r="B42586" s="12"/>
      <c r="C42586" s="8"/>
      <c r="D42586" s="8"/>
    </row>
    <row r="42587" spans="1:4" ht="15.75" customHeight="1">
      <c r="A42587" s="8"/>
      <c r="B42587" s="12"/>
      <c r="C42587" s="8"/>
      <c r="D42587" s="8"/>
    </row>
    <row r="42588" spans="1:4" ht="15.75" customHeight="1">
      <c r="A42588" s="8"/>
      <c r="B42588" s="12"/>
      <c r="C42588" s="8"/>
      <c r="D42588" s="8"/>
    </row>
    <row r="42589" spans="1:4" ht="15.75" customHeight="1">
      <c r="A42589" s="8"/>
      <c r="B42589" s="12"/>
      <c r="C42589" s="8"/>
      <c r="D42589" s="8"/>
    </row>
    <row r="42590" spans="1:4" ht="15.75" customHeight="1">
      <c r="A42590" s="8"/>
      <c r="B42590" s="12"/>
      <c r="C42590" s="8"/>
      <c r="D42590" s="8"/>
    </row>
    <row r="42591" spans="1:4" ht="15.75" customHeight="1">
      <c r="A42591" s="8"/>
      <c r="B42591" s="12"/>
      <c r="C42591" s="8"/>
      <c r="D42591" s="8"/>
    </row>
    <row r="42592" spans="1:4" ht="15.75" customHeight="1">
      <c r="A42592" s="8"/>
      <c r="B42592" s="12"/>
      <c r="C42592" s="8"/>
      <c r="D42592" s="8"/>
    </row>
    <row r="42593" spans="1:4" ht="15.75" customHeight="1">
      <c r="A42593" s="8"/>
      <c r="B42593" s="12"/>
      <c r="C42593" s="8"/>
      <c r="D42593" s="8"/>
    </row>
    <row r="42594" spans="1:4" ht="15.75" customHeight="1">
      <c r="A42594" s="8"/>
      <c r="B42594" s="12"/>
      <c r="C42594" s="8"/>
      <c r="D42594" s="8"/>
    </row>
    <row r="42595" spans="1:4" ht="15.75" customHeight="1">
      <c r="A42595" s="8"/>
      <c r="B42595" s="12"/>
      <c r="C42595" s="8"/>
      <c r="D42595" s="8"/>
    </row>
    <row r="42596" spans="1:4" ht="15.75" customHeight="1">
      <c r="A42596" s="8"/>
      <c r="B42596" s="12"/>
      <c r="C42596" s="8"/>
      <c r="D42596" s="8"/>
    </row>
    <row r="42597" spans="1:4" ht="15.75" customHeight="1">
      <c r="A42597" s="8"/>
      <c r="B42597" s="12"/>
      <c r="C42597" s="8"/>
      <c r="D42597" s="8"/>
    </row>
    <row r="42598" spans="1:4" ht="15.75" customHeight="1">
      <c r="A42598" s="8"/>
      <c r="B42598" s="12"/>
      <c r="C42598" s="8"/>
      <c r="D42598" s="8"/>
    </row>
    <row r="42599" spans="1:4" ht="15.75" customHeight="1">
      <c r="A42599" s="8"/>
      <c r="B42599" s="12"/>
      <c r="C42599" s="8"/>
      <c r="D42599" s="8"/>
    </row>
    <row r="42600" spans="1:4" ht="15.75" customHeight="1">
      <c r="A42600" s="8"/>
      <c r="B42600" s="12"/>
      <c r="C42600" s="8"/>
      <c r="D42600" s="8"/>
    </row>
    <row r="42601" spans="1:4" ht="15.75" customHeight="1">
      <c r="A42601" s="8"/>
      <c r="B42601" s="12"/>
      <c r="C42601" s="8"/>
      <c r="D42601" s="8"/>
    </row>
    <row r="42602" spans="1:4" ht="15.75" customHeight="1">
      <c r="A42602" s="8"/>
      <c r="B42602" s="12"/>
      <c r="C42602" s="8"/>
      <c r="D42602" s="8"/>
    </row>
    <row r="42603" spans="1:4" ht="15.75" customHeight="1">
      <c r="A42603" s="8"/>
      <c r="B42603" s="12"/>
      <c r="C42603" s="8"/>
      <c r="D42603" s="8"/>
    </row>
    <row r="42604" spans="1:4" ht="15.75" customHeight="1">
      <c r="A42604" s="8"/>
      <c r="B42604" s="12"/>
      <c r="C42604" s="8"/>
      <c r="D42604" s="8"/>
    </row>
    <row r="42605" spans="1:4" ht="15.75" customHeight="1">
      <c r="A42605" s="8"/>
      <c r="B42605" s="12"/>
      <c r="C42605" s="8"/>
      <c r="D42605" s="8"/>
    </row>
    <row r="42606" spans="1:4" ht="15.75" customHeight="1">
      <c r="A42606" s="8"/>
      <c r="B42606" s="12"/>
      <c r="C42606" s="8"/>
      <c r="D42606" s="8"/>
    </row>
    <row r="42607" spans="1:4" ht="15.75" customHeight="1">
      <c r="A42607" s="8"/>
      <c r="B42607" s="12"/>
      <c r="C42607" s="8"/>
      <c r="D42607" s="8"/>
    </row>
    <row r="42608" spans="1:4" ht="15.75" customHeight="1">
      <c r="A42608" s="8"/>
      <c r="B42608" s="12"/>
      <c r="C42608" s="8"/>
      <c r="D42608" s="8"/>
    </row>
    <row r="42609" spans="1:4" ht="15.75" customHeight="1">
      <c r="A42609" s="8"/>
      <c r="B42609" s="12"/>
      <c r="C42609" s="8"/>
      <c r="D42609" s="8"/>
    </row>
    <row r="42610" spans="1:4" ht="15.75" customHeight="1">
      <c r="A42610" s="8"/>
      <c r="B42610" s="12"/>
      <c r="C42610" s="8"/>
      <c r="D42610" s="8"/>
    </row>
    <row r="42611" spans="1:4" ht="15.75" customHeight="1">
      <c r="A42611" s="8"/>
      <c r="B42611" s="12"/>
      <c r="C42611" s="8"/>
      <c r="D42611" s="8"/>
    </row>
    <row r="42612" spans="1:4" ht="15.75" customHeight="1">
      <c r="A42612" s="8"/>
      <c r="B42612" s="12"/>
      <c r="C42612" s="8"/>
      <c r="D42612" s="8"/>
    </row>
    <row r="42613" spans="1:4" ht="15.75" customHeight="1">
      <c r="A42613" s="8"/>
      <c r="B42613" s="12"/>
      <c r="C42613" s="8"/>
      <c r="D42613" s="8"/>
    </row>
    <row r="42614" spans="1:4" ht="15.75" customHeight="1">
      <c r="A42614" s="8"/>
      <c r="B42614" s="12"/>
      <c r="C42614" s="8"/>
      <c r="D42614" s="8"/>
    </row>
    <row r="42615" spans="1:4" ht="15.75" customHeight="1">
      <c r="A42615" s="8"/>
      <c r="B42615" s="12"/>
      <c r="C42615" s="8"/>
      <c r="D42615" s="8"/>
    </row>
    <row r="42616" spans="1:4" ht="15.75" customHeight="1">
      <c r="A42616" s="8"/>
      <c r="B42616" s="12"/>
      <c r="C42616" s="8"/>
      <c r="D42616" s="8"/>
    </row>
    <row r="42617" spans="1:4" ht="15.75" customHeight="1">
      <c r="A42617" s="8"/>
      <c r="B42617" s="12"/>
      <c r="C42617" s="8"/>
      <c r="D42617" s="8"/>
    </row>
    <row r="42618" spans="1:4" ht="15.75" customHeight="1">
      <c r="A42618" s="8"/>
      <c r="B42618" s="12"/>
      <c r="C42618" s="8"/>
      <c r="D42618" s="8"/>
    </row>
    <row r="42619" spans="1:4" ht="15.75" customHeight="1">
      <c r="A42619" s="8"/>
      <c r="B42619" s="12"/>
      <c r="C42619" s="8"/>
      <c r="D42619" s="8"/>
    </row>
    <row r="42620" spans="1:4" ht="15.75" customHeight="1">
      <c r="A42620" s="8"/>
      <c r="B42620" s="12"/>
      <c r="C42620" s="8"/>
      <c r="D42620" s="8"/>
    </row>
    <row r="42621" spans="1:4" ht="15.75" customHeight="1">
      <c r="A42621" s="8"/>
      <c r="B42621" s="12"/>
      <c r="C42621" s="8"/>
      <c r="D42621" s="8"/>
    </row>
    <row r="42622" spans="1:4" ht="15.75" customHeight="1">
      <c r="A42622" s="8"/>
      <c r="B42622" s="12"/>
      <c r="C42622" s="8"/>
      <c r="D42622" s="8"/>
    </row>
    <row r="42623" spans="1:4" ht="15.75" customHeight="1">
      <c r="A42623" s="8"/>
      <c r="B42623" s="12"/>
      <c r="C42623" s="8"/>
      <c r="D42623" s="8"/>
    </row>
    <row r="42624" spans="1:4" ht="15.75" customHeight="1">
      <c r="A42624" s="8"/>
      <c r="B42624" s="12"/>
      <c r="C42624" s="8"/>
      <c r="D42624" s="8"/>
    </row>
    <row r="42625" spans="1:4" ht="15.75" customHeight="1">
      <c r="A42625" s="8"/>
      <c r="B42625" s="12"/>
      <c r="C42625" s="8"/>
      <c r="D42625" s="8"/>
    </row>
    <row r="42626" spans="1:4" ht="15.75" customHeight="1">
      <c r="A42626" s="8"/>
      <c r="B42626" s="12"/>
      <c r="C42626" s="8"/>
      <c r="D42626" s="8"/>
    </row>
    <row r="42627" spans="1:4" ht="15.75" customHeight="1">
      <c r="A42627" s="8"/>
      <c r="B42627" s="12"/>
      <c r="C42627" s="8"/>
      <c r="D42627" s="8"/>
    </row>
    <row r="42628" spans="1:4" ht="15.75" customHeight="1">
      <c r="A42628" s="8"/>
      <c r="B42628" s="12"/>
      <c r="C42628" s="8"/>
      <c r="D42628" s="8"/>
    </row>
    <row r="42629" spans="1:4" ht="15.75" customHeight="1">
      <c r="A42629" s="8"/>
      <c r="B42629" s="12"/>
      <c r="C42629" s="8"/>
      <c r="D42629" s="8"/>
    </row>
    <row r="42630" spans="1:4" ht="15.75" customHeight="1">
      <c r="A42630" s="8"/>
      <c r="B42630" s="12"/>
      <c r="C42630" s="8"/>
      <c r="D42630" s="8"/>
    </row>
    <row r="42631" spans="1:4" ht="15.75" customHeight="1">
      <c r="A42631" s="8"/>
      <c r="B42631" s="12"/>
      <c r="C42631" s="8"/>
      <c r="D42631" s="8"/>
    </row>
    <row r="42632" spans="1:4" ht="15.75" customHeight="1">
      <c r="A42632" s="8"/>
      <c r="B42632" s="12"/>
      <c r="C42632" s="8"/>
      <c r="D42632" s="8"/>
    </row>
    <row r="42633" spans="1:4" ht="15.75" customHeight="1">
      <c r="A42633" s="8"/>
      <c r="B42633" s="12"/>
      <c r="C42633" s="8"/>
      <c r="D42633" s="8"/>
    </row>
    <row r="42634" spans="1:4" ht="15.75" customHeight="1">
      <c r="A42634" s="8"/>
      <c r="B42634" s="12"/>
      <c r="C42634" s="8"/>
      <c r="D42634" s="8"/>
    </row>
    <row r="42635" spans="1:4" ht="15.75" customHeight="1">
      <c r="A42635" s="8"/>
      <c r="B42635" s="12"/>
      <c r="C42635" s="8"/>
      <c r="D42635" s="8"/>
    </row>
    <row r="42636" spans="1:4" ht="15.75" customHeight="1">
      <c r="A42636" s="8"/>
      <c r="B42636" s="12"/>
      <c r="C42636" s="8"/>
      <c r="D42636" s="8"/>
    </row>
    <row r="42637" spans="1:4" ht="15.75" customHeight="1">
      <c r="A42637" s="8"/>
      <c r="B42637" s="12"/>
      <c r="C42637" s="8"/>
      <c r="D42637" s="8"/>
    </row>
    <row r="42638" spans="1:4" ht="15.75" customHeight="1">
      <c r="A42638" s="8"/>
      <c r="B42638" s="12"/>
      <c r="C42638" s="8"/>
      <c r="D42638" s="8"/>
    </row>
    <row r="42639" spans="1:4" ht="15.75" customHeight="1">
      <c r="A42639" s="8"/>
      <c r="B42639" s="12"/>
      <c r="C42639" s="8"/>
      <c r="D42639" s="8"/>
    </row>
    <row r="42640" spans="1:4" ht="15.75" customHeight="1">
      <c r="A42640" s="8"/>
      <c r="B42640" s="12"/>
      <c r="C42640" s="8"/>
      <c r="D42640" s="8"/>
    </row>
    <row r="42641" spans="1:4" ht="15.75" customHeight="1">
      <c r="A42641" s="8"/>
      <c r="B42641" s="12"/>
      <c r="C42641" s="8"/>
      <c r="D42641" s="8"/>
    </row>
    <row r="42642" spans="1:4" ht="15.75" customHeight="1">
      <c r="A42642" s="8"/>
      <c r="B42642" s="12"/>
      <c r="C42642" s="8"/>
      <c r="D42642" s="8"/>
    </row>
    <row r="42643" spans="1:4" ht="15.75" customHeight="1">
      <c r="A42643" s="8"/>
      <c r="B42643" s="12"/>
      <c r="C42643" s="8"/>
      <c r="D42643" s="8"/>
    </row>
    <row r="42644" spans="1:4" ht="15.75" customHeight="1">
      <c r="A42644" s="8"/>
      <c r="B42644" s="12"/>
      <c r="C42644" s="8"/>
      <c r="D42644" s="8"/>
    </row>
    <row r="42645" spans="1:4" ht="15.75" customHeight="1">
      <c r="A42645" s="8"/>
      <c r="B42645" s="12"/>
      <c r="C42645" s="8"/>
      <c r="D42645" s="8"/>
    </row>
    <row r="42646" spans="1:4" ht="15.75" customHeight="1">
      <c r="A42646" s="8"/>
      <c r="B42646" s="12"/>
      <c r="C42646" s="8"/>
      <c r="D42646" s="8"/>
    </row>
    <row r="42647" spans="1:4" ht="15.75" customHeight="1">
      <c r="A42647" s="8"/>
      <c r="B42647" s="12"/>
      <c r="C42647" s="8"/>
      <c r="D42647" s="8"/>
    </row>
    <row r="42648" spans="1:4" ht="15.75" customHeight="1">
      <c r="A42648" s="8"/>
      <c r="B42648" s="12"/>
      <c r="C42648" s="8"/>
      <c r="D42648" s="8"/>
    </row>
    <row r="42649" spans="1:4" ht="15.75" customHeight="1">
      <c r="A42649" s="8"/>
      <c r="B42649" s="12"/>
      <c r="C42649" s="8"/>
      <c r="D42649" s="8"/>
    </row>
    <row r="42650" spans="1:4" ht="15.75" customHeight="1">
      <c r="A42650" s="8"/>
      <c r="B42650" s="12"/>
      <c r="C42650" s="8"/>
      <c r="D42650" s="8"/>
    </row>
    <row r="42651" spans="1:4" ht="15.75" customHeight="1">
      <c r="A42651" s="8"/>
      <c r="B42651" s="12"/>
      <c r="C42651" s="8"/>
      <c r="D42651" s="8"/>
    </row>
    <row r="42652" spans="1:4" ht="15.75" customHeight="1">
      <c r="A42652" s="8"/>
      <c r="B42652" s="12"/>
      <c r="C42652" s="8"/>
      <c r="D42652" s="8"/>
    </row>
    <row r="42653" spans="1:4" ht="15.75" customHeight="1">
      <c r="A42653" s="8"/>
      <c r="B42653" s="12"/>
      <c r="C42653" s="8"/>
      <c r="D42653" s="8"/>
    </row>
    <row r="42654" spans="1:4" ht="15.75" customHeight="1">
      <c r="A42654" s="8"/>
      <c r="B42654" s="12"/>
      <c r="C42654" s="8"/>
      <c r="D42654" s="8"/>
    </row>
    <row r="42655" spans="1:4" ht="15.75" customHeight="1">
      <c r="A42655" s="8"/>
      <c r="B42655" s="12"/>
      <c r="C42655" s="8"/>
      <c r="D42655" s="8"/>
    </row>
    <row r="42656" spans="1:4" ht="15.75" customHeight="1">
      <c r="A42656" s="8"/>
      <c r="B42656" s="12"/>
      <c r="C42656" s="8"/>
      <c r="D42656" s="8"/>
    </row>
    <row r="42657" spans="1:4" ht="15.75" customHeight="1">
      <c r="A42657" s="8"/>
      <c r="B42657" s="12"/>
      <c r="C42657" s="8"/>
      <c r="D42657" s="8"/>
    </row>
    <row r="42658" spans="1:4" ht="15.75" customHeight="1">
      <c r="A42658" s="8"/>
      <c r="B42658" s="12"/>
      <c r="C42658" s="8"/>
      <c r="D42658" s="8"/>
    </row>
    <row r="42659" spans="1:4" ht="15.75" customHeight="1">
      <c r="A42659" s="8"/>
      <c r="B42659" s="12"/>
      <c r="C42659" s="8"/>
      <c r="D42659" s="8"/>
    </row>
    <row r="42660" spans="1:4" ht="15.75" customHeight="1">
      <c r="A42660" s="8"/>
      <c r="B42660" s="12"/>
      <c r="C42660" s="8"/>
      <c r="D42660" s="8"/>
    </row>
    <row r="42661" spans="1:4" ht="15.75" customHeight="1">
      <c r="A42661" s="8"/>
      <c r="B42661" s="12"/>
      <c r="C42661" s="8"/>
      <c r="D42661" s="8"/>
    </row>
    <row r="42662" spans="1:4" ht="15.75" customHeight="1">
      <c r="A42662" s="8"/>
      <c r="B42662" s="12"/>
      <c r="C42662" s="8"/>
      <c r="D42662" s="8"/>
    </row>
    <row r="42663" spans="1:4" ht="15.75" customHeight="1">
      <c r="A42663" s="8"/>
      <c r="B42663" s="12"/>
      <c r="C42663" s="8"/>
      <c r="D42663" s="8"/>
    </row>
    <row r="42664" spans="1:4" ht="15.75" customHeight="1">
      <c r="A42664" s="8"/>
      <c r="B42664" s="12"/>
      <c r="C42664" s="8"/>
      <c r="D42664" s="8"/>
    </row>
    <row r="42665" spans="1:4" ht="15.75" customHeight="1">
      <c r="A42665" s="8"/>
      <c r="B42665" s="12"/>
      <c r="C42665" s="8"/>
      <c r="D42665" s="8"/>
    </row>
    <row r="42666" spans="1:4" ht="15.75" customHeight="1">
      <c r="A42666" s="8"/>
      <c r="B42666" s="12"/>
      <c r="C42666" s="8"/>
      <c r="D42666" s="8"/>
    </row>
    <row r="42667" spans="1:4" ht="15.75" customHeight="1">
      <c r="A42667" s="8"/>
      <c r="B42667" s="12"/>
      <c r="C42667" s="8"/>
      <c r="D42667" s="8"/>
    </row>
    <row r="42668" spans="1:4" ht="15.75" customHeight="1">
      <c r="A42668" s="8"/>
      <c r="B42668" s="12"/>
      <c r="C42668" s="8"/>
      <c r="D42668" s="8"/>
    </row>
    <row r="42669" spans="1:4" ht="15.75" customHeight="1">
      <c r="A42669" s="8"/>
      <c r="B42669" s="12"/>
      <c r="C42669" s="8"/>
      <c r="D42669" s="8"/>
    </row>
    <row r="42670" spans="1:4" ht="15.75" customHeight="1">
      <c r="A42670" s="8"/>
      <c r="B42670" s="12"/>
      <c r="C42670" s="8"/>
      <c r="D42670" s="8"/>
    </row>
    <row r="42671" spans="1:4" ht="15.75" customHeight="1">
      <c r="A42671" s="8"/>
      <c r="B42671" s="12"/>
      <c r="C42671" s="8"/>
      <c r="D42671" s="8"/>
    </row>
    <row r="42672" spans="1:4" ht="15.75" customHeight="1">
      <c r="A42672" s="8"/>
      <c r="B42672" s="12"/>
      <c r="C42672" s="8"/>
      <c r="D42672" s="8"/>
    </row>
    <row r="42673" spans="1:4" ht="15.75" customHeight="1">
      <c r="A42673" s="8"/>
      <c r="B42673" s="12"/>
      <c r="C42673" s="8"/>
      <c r="D42673" s="8"/>
    </row>
    <row r="42674" spans="1:4" ht="15.75" customHeight="1">
      <c r="A42674" s="8"/>
      <c r="B42674" s="12"/>
      <c r="C42674" s="8"/>
      <c r="D42674" s="8"/>
    </row>
    <row r="42675" spans="1:4" ht="15.75" customHeight="1">
      <c r="A42675" s="8"/>
      <c r="B42675" s="12"/>
      <c r="C42675" s="8"/>
      <c r="D42675" s="8"/>
    </row>
    <row r="42676" spans="1:4" ht="15.75" customHeight="1">
      <c r="A42676" s="8"/>
      <c r="B42676" s="12"/>
      <c r="C42676" s="8"/>
      <c r="D42676" s="8"/>
    </row>
    <row r="42677" spans="1:4" ht="15.75" customHeight="1">
      <c r="A42677" s="8"/>
      <c r="B42677" s="12"/>
      <c r="C42677" s="8"/>
      <c r="D42677" s="8"/>
    </row>
    <row r="42678" spans="1:4" ht="15.75" customHeight="1">
      <c r="A42678" s="8"/>
      <c r="B42678" s="12"/>
      <c r="C42678" s="8"/>
      <c r="D42678" s="8"/>
    </row>
    <row r="42679" spans="1:4" ht="15.75" customHeight="1">
      <c r="A42679" s="8"/>
      <c r="B42679" s="12"/>
      <c r="C42679" s="8"/>
      <c r="D42679" s="8"/>
    </row>
    <row r="42680" spans="1:4" ht="15.75" customHeight="1">
      <c r="A42680" s="8"/>
      <c r="B42680" s="12"/>
      <c r="C42680" s="8"/>
      <c r="D42680" s="8"/>
    </row>
    <row r="42681" spans="1:4" ht="15.75" customHeight="1">
      <c r="A42681" s="8"/>
      <c r="B42681" s="12"/>
      <c r="C42681" s="8"/>
      <c r="D42681" s="8"/>
    </row>
    <row r="42682" spans="1:4" ht="15.75" customHeight="1">
      <c r="A42682" s="8"/>
      <c r="B42682" s="12"/>
      <c r="C42682" s="8"/>
      <c r="D42682" s="8"/>
    </row>
    <row r="42683" spans="1:4" ht="15.75" customHeight="1">
      <c r="A42683" s="8"/>
      <c r="B42683" s="12"/>
      <c r="C42683" s="8"/>
      <c r="D42683" s="8"/>
    </row>
    <row r="42684" spans="1:4" ht="15.75" customHeight="1">
      <c r="A42684" s="8"/>
      <c r="B42684" s="12"/>
      <c r="C42684" s="8"/>
      <c r="D42684" s="8"/>
    </row>
    <row r="42685" spans="1:4" ht="15.75" customHeight="1">
      <c r="A42685" s="8"/>
      <c r="B42685" s="12"/>
      <c r="C42685" s="8"/>
      <c r="D42685" s="8"/>
    </row>
    <row r="42686" spans="1:4" ht="15.75" customHeight="1">
      <c r="A42686" s="8"/>
      <c r="B42686" s="12"/>
      <c r="C42686" s="8"/>
      <c r="D42686" s="8"/>
    </row>
    <row r="42687" spans="1:4" ht="15.75" customHeight="1">
      <c r="A42687" s="8"/>
      <c r="B42687" s="12"/>
      <c r="C42687" s="8"/>
      <c r="D42687" s="8"/>
    </row>
    <row r="42688" spans="1:4" ht="15.75" customHeight="1">
      <c r="A42688" s="8"/>
      <c r="B42688" s="12"/>
      <c r="C42688" s="8"/>
      <c r="D42688" s="8"/>
    </row>
    <row r="42689" spans="1:4" ht="15.75" customHeight="1">
      <c r="A42689" s="8"/>
      <c r="B42689" s="12"/>
      <c r="C42689" s="8"/>
      <c r="D42689" s="8"/>
    </row>
    <row r="42690" spans="1:4" ht="15.75" customHeight="1">
      <c r="A42690" s="8"/>
      <c r="B42690" s="12"/>
      <c r="C42690" s="8"/>
      <c r="D42690" s="8"/>
    </row>
    <row r="42691" spans="1:4" ht="15.75" customHeight="1">
      <c r="A42691" s="8"/>
      <c r="B42691" s="12"/>
      <c r="C42691" s="8"/>
      <c r="D42691" s="8"/>
    </row>
    <row r="42692" spans="1:4" ht="15.75" customHeight="1">
      <c r="A42692" s="8"/>
      <c r="B42692" s="12"/>
      <c r="C42692" s="8"/>
      <c r="D42692" s="8"/>
    </row>
    <row r="42693" spans="1:4" ht="15.75" customHeight="1">
      <c r="A42693" s="8"/>
      <c r="B42693" s="12"/>
      <c r="C42693" s="8"/>
      <c r="D42693" s="8"/>
    </row>
    <row r="42694" spans="1:4" ht="15.75" customHeight="1">
      <c r="A42694" s="8"/>
      <c r="B42694" s="12"/>
      <c r="C42694" s="8"/>
      <c r="D42694" s="8"/>
    </row>
    <row r="42695" spans="1:4" ht="15.75" customHeight="1">
      <c r="A42695" s="8"/>
      <c r="B42695" s="12"/>
      <c r="C42695" s="8"/>
      <c r="D42695" s="8"/>
    </row>
    <row r="42696" spans="1:4" ht="15.75" customHeight="1">
      <c r="A42696" s="8"/>
      <c r="B42696" s="12"/>
      <c r="C42696" s="8"/>
      <c r="D42696" s="8"/>
    </row>
    <row r="42697" spans="1:4" ht="15.75" customHeight="1">
      <c r="A42697" s="8"/>
      <c r="B42697" s="12"/>
      <c r="C42697" s="8"/>
      <c r="D42697" s="8"/>
    </row>
    <row r="42698" spans="1:4" ht="15.75" customHeight="1">
      <c r="A42698" s="8"/>
      <c r="B42698" s="12"/>
      <c r="C42698" s="8"/>
      <c r="D42698" s="8"/>
    </row>
    <row r="42699" spans="1:4" ht="15.75" customHeight="1">
      <c r="A42699" s="8"/>
      <c r="B42699" s="12"/>
      <c r="C42699" s="8"/>
      <c r="D42699" s="8"/>
    </row>
    <row r="42700" spans="1:4" ht="15.75" customHeight="1">
      <c r="A42700" s="8"/>
      <c r="B42700" s="12"/>
      <c r="C42700" s="8"/>
      <c r="D42700" s="8"/>
    </row>
    <row r="42701" spans="1:4" ht="15.75" customHeight="1">
      <c r="A42701" s="8"/>
      <c r="B42701" s="12"/>
      <c r="C42701" s="8"/>
      <c r="D42701" s="8"/>
    </row>
    <row r="42702" spans="1:4" ht="15.75" customHeight="1">
      <c r="A42702" s="8"/>
      <c r="B42702" s="12"/>
      <c r="C42702" s="8"/>
      <c r="D42702" s="8"/>
    </row>
    <row r="42703" spans="1:4" ht="15.75" customHeight="1">
      <c r="A42703" s="8"/>
      <c r="B42703" s="12"/>
      <c r="C42703" s="8"/>
      <c r="D42703" s="8"/>
    </row>
    <row r="42704" spans="1:4" ht="15.75" customHeight="1">
      <c r="A42704" s="8"/>
      <c r="B42704" s="12"/>
      <c r="C42704" s="8"/>
      <c r="D42704" s="8"/>
    </row>
    <row r="42705" spans="1:4" ht="15.75" customHeight="1">
      <c r="A42705" s="8"/>
      <c r="B42705" s="12"/>
      <c r="C42705" s="8"/>
      <c r="D42705" s="8"/>
    </row>
    <row r="42706" spans="1:4" ht="15.75" customHeight="1">
      <c r="A42706" s="8"/>
      <c r="B42706" s="12"/>
      <c r="C42706" s="8"/>
      <c r="D42706" s="8"/>
    </row>
    <row r="42707" spans="1:4" ht="15.75" customHeight="1">
      <c r="A42707" s="8"/>
      <c r="B42707" s="12"/>
      <c r="C42707" s="8"/>
      <c r="D42707" s="8"/>
    </row>
    <row r="42708" spans="1:4" ht="15.75" customHeight="1">
      <c r="A42708" s="8"/>
      <c r="B42708" s="12"/>
      <c r="C42708" s="8"/>
      <c r="D42708" s="8"/>
    </row>
    <row r="42709" spans="1:4" ht="15.75" customHeight="1">
      <c r="A42709" s="8"/>
      <c r="B42709" s="12"/>
      <c r="C42709" s="8"/>
      <c r="D42709" s="8"/>
    </row>
    <row r="42710" spans="1:4" ht="15.75" customHeight="1">
      <c r="A42710" s="8"/>
      <c r="B42710" s="12"/>
      <c r="C42710" s="8"/>
      <c r="D42710" s="8"/>
    </row>
    <row r="42711" spans="1:4" ht="15.75" customHeight="1">
      <c r="A42711" s="8"/>
      <c r="B42711" s="12"/>
      <c r="C42711" s="8"/>
      <c r="D42711" s="8"/>
    </row>
    <row r="42712" spans="1:4" ht="15.75" customHeight="1">
      <c r="A42712" s="8"/>
      <c r="B42712" s="12"/>
      <c r="C42712" s="8"/>
      <c r="D42712" s="8"/>
    </row>
    <row r="42713" spans="1:4" ht="15.75" customHeight="1">
      <c r="A42713" s="8"/>
      <c r="B42713" s="12"/>
      <c r="C42713" s="8"/>
      <c r="D42713" s="8"/>
    </row>
    <row r="42714" spans="1:4" ht="15.75" customHeight="1">
      <c r="A42714" s="8"/>
      <c r="B42714" s="12"/>
      <c r="C42714" s="8"/>
      <c r="D42714" s="8"/>
    </row>
    <row r="42715" spans="1:4" ht="15.75" customHeight="1">
      <c r="A42715" s="8"/>
      <c r="B42715" s="12"/>
      <c r="C42715" s="8"/>
      <c r="D42715" s="8"/>
    </row>
    <row r="42716" spans="1:4" ht="15.75" customHeight="1">
      <c r="A42716" s="8"/>
      <c r="B42716" s="12"/>
      <c r="C42716" s="8"/>
      <c r="D42716" s="8"/>
    </row>
    <row r="42717" spans="1:4" ht="15.75" customHeight="1">
      <c r="A42717" s="8"/>
      <c r="B42717" s="12"/>
      <c r="C42717" s="8"/>
      <c r="D42717" s="8"/>
    </row>
    <row r="42718" spans="1:4" ht="15.75" customHeight="1">
      <c r="A42718" s="8"/>
      <c r="B42718" s="12"/>
      <c r="C42718" s="8"/>
      <c r="D42718" s="8"/>
    </row>
    <row r="42719" spans="1:4" ht="15.75" customHeight="1">
      <c r="A42719" s="8"/>
      <c r="B42719" s="12"/>
      <c r="C42719" s="8"/>
      <c r="D42719" s="8"/>
    </row>
    <row r="42720" spans="1:4" ht="15.75" customHeight="1">
      <c r="A42720" s="8"/>
      <c r="B42720" s="12"/>
      <c r="C42720" s="8"/>
      <c r="D42720" s="8"/>
    </row>
    <row r="42721" spans="1:4" ht="15.75" customHeight="1">
      <c r="A42721" s="8"/>
      <c r="B42721" s="12"/>
      <c r="C42721" s="8"/>
      <c r="D42721" s="8"/>
    </row>
    <row r="42722" spans="1:4" ht="15.75" customHeight="1">
      <c r="A42722" s="8"/>
      <c r="B42722" s="12"/>
      <c r="C42722" s="8"/>
      <c r="D42722" s="8"/>
    </row>
    <row r="42723" spans="1:4" ht="15.75" customHeight="1">
      <c r="A42723" s="8"/>
      <c r="B42723" s="12"/>
      <c r="C42723" s="8"/>
      <c r="D42723" s="8"/>
    </row>
    <row r="42724" spans="1:4" ht="15.75" customHeight="1">
      <c r="A42724" s="8"/>
      <c r="B42724" s="12"/>
      <c r="C42724" s="8"/>
      <c r="D42724" s="8"/>
    </row>
    <row r="42725" spans="1:4" ht="15.75" customHeight="1">
      <c r="A42725" s="8"/>
      <c r="B42725" s="12"/>
      <c r="C42725" s="8"/>
      <c r="D42725" s="8"/>
    </row>
    <row r="42726" spans="1:4" ht="15.75" customHeight="1">
      <c r="A42726" s="8"/>
      <c r="B42726" s="12"/>
      <c r="C42726" s="8"/>
      <c r="D42726" s="8"/>
    </row>
    <row r="42727" spans="1:4" ht="15.75" customHeight="1">
      <c r="A42727" s="8"/>
      <c r="B42727" s="12"/>
      <c r="C42727" s="8"/>
      <c r="D42727" s="8"/>
    </row>
    <row r="42728" spans="1:4" ht="15.75" customHeight="1">
      <c r="A42728" s="8"/>
      <c r="B42728" s="12"/>
      <c r="C42728" s="8"/>
      <c r="D42728" s="8"/>
    </row>
    <row r="42729" spans="1:4" ht="15.75" customHeight="1">
      <c r="A42729" s="8"/>
      <c r="B42729" s="12"/>
      <c r="C42729" s="8"/>
      <c r="D42729" s="8"/>
    </row>
    <row r="42730" spans="1:4" ht="15.75" customHeight="1">
      <c r="A42730" s="8"/>
      <c r="B42730" s="12"/>
      <c r="C42730" s="8"/>
      <c r="D42730" s="8"/>
    </row>
    <row r="42731" spans="1:4" ht="15.75" customHeight="1">
      <c r="A42731" s="8"/>
      <c r="B42731" s="12"/>
      <c r="C42731" s="8"/>
      <c r="D42731" s="8"/>
    </row>
    <row r="42732" spans="1:4" ht="15.75" customHeight="1">
      <c r="A42732" s="8"/>
      <c r="B42732" s="12"/>
      <c r="C42732" s="8"/>
      <c r="D42732" s="8"/>
    </row>
    <row r="42733" spans="1:4" ht="15.75" customHeight="1">
      <c r="A42733" s="8"/>
      <c r="B42733" s="12"/>
      <c r="C42733" s="8"/>
      <c r="D42733" s="8"/>
    </row>
    <row r="42734" spans="1:4" ht="15.75" customHeight="1">
      <c r="A42734" s="8"/>
      <c r="B42734" s="12"/>
      <c r="C42734" s="8"/>
      <c r="D42734" s="8"/>
    </row>
    <row r="42735" spans="1:4" ht="15.75" customHeight="1">
      <c r="A42735" s="8"/>
      <c r="B42735" s="12"/>
      <c r="C42735" s="8"/>
      <c r="D42735" s="8"/>
    </row>
    <row r="42736" spans="1:4" ht="15.75" customHeight="1">
      <c r="A42736" s="8"/>
      <c r="B42736" s="12"/>
      <c r="C42736" s="8"/>
      <c r="D42736" s="8"/>
    </row>
    <row r="42737" spans="1:4" ht="15.75" customHeight="1">
      <c r="A42737" s="8"/>
      <c r="B42737" s="12"/>
      <c r="C42737" s="8"/>
      <c r="D42737" s="8"/>
    </row>
    <row r="42738" spans="1:4" ht="15.75" customHeight="1">
      <c r="A42738" s="8"/>
      <c r="B42738" s="12"/>
      <c r="C42738" s="8"/>
      <c r="D42738" s="8"/>
    </row>
    <row r="42739" spans="1:4" ht="15.75" customHeight="1">
      <c r="A42739" s="8"/>
      <c r="B42739" s="12"/>
      <c r="C42739" s="8"/>
      <c r="D42739" s="8"/>
    </row>
    <row r="42740" spans="1:4" ht="15.75" customHeight="1">
      <c r="A42740" s="8"/>
      <c r="B42740" s="12"/>
      <c r="C42740" s="8"/>
      <c r="D42740" s="8"/>
    </row>
    <row r="42741" spans="1:4" ht="15.75" customHeight="1">
      <c r="A42741" s="8"/>
      <c r="B42741" s="12"/>
      <c r="C42741" s="8"/>
      <c r="D42741" s="8"/>
    </row>
    <row r="42742" spans="1:4" ht="15.75" customHeight="1">
      <c r="A42742" s="8"/>
      <c r="B42742" s="12"/>
      <c r="C42742" s="8"/>
      <c r="D42742" s="8"/>
    </row>
    <row r="42743" spans="1:4" ht="15.75" customHeight="1">
      <c r="A42743" s="8"/>
      <c r="B42743" s="12"/>
      <c r="C42743" s="8"/>
      <c r="D42743" s="8"/>
    </row>
    <row r="42744" spans="1:4" ht="15.75" customHeight="1">
      <c r="A42744" s="8"/>
      <c r="B42744" s="12"/>
      <c r="C42744" s="8"/>
      <c r="D42744" s="8"/>
    </row>
    <row r="42745" spans="1:4" ht="15.75" customHeight="1">
      <c r="A42745" s="8"/>
      <c r="B42745" s="12"/>
      <c r="C42745" s="8"/>
      <c r="D42745" s="8"/>
    </row>
    <row r="42746" spans="1:4" ht="15.75" customHeight="1">
      <c r="A42746" s="8"/>
      <c r="B42746" s="12"/>
      <c r="C42746" s="8"/>
      <c r="D42746" s="8"/>
    </row>
    <row r="42747" spans="1:4" ht="15.75" customHeight="1">
      <c r="A42747" s="8"/>
      <c r="B42747" s="12"/>
      <c r="C42747" s="8"/>
      <c r="D42747" s="8"/>
    </row>
    <row r="42748" spans="1:4" ht="15.75" customHeight="1">
      <c r="A42748" s="8"/>
      <c r="B42748" s="12"/>
      <c r="C42748" s="8"/>
      <c r="D42748" s="8"/>
    </row>
    <row r="42749" spans="1:4" ht="15.75" customHeight="1">
      <c r="A42749" s="8"/>
      <c r="B42749" s="12"/>
      <c r="C42749" s="8"/>
      <c r="D42749" s="8"/>
    </row>
    <row r="42750" spans="1:4" ht="15.75" customHeight="1">
      <c r="A42750" s="8"/>
      <c r="B42750" s="12"/>
      <c r="C42750" s="8"/>
      <c r="D42750" s="8"/>
    </row>
    <row r="42751" spans="1:4" ht="15.75" customHeight="1">
      <c r="A42751" s="8"/>
      <c r="B42751" s="12"/>
      <c r="C42751" s="8"/>
      <c r="D42751" s="8"/>
    </row>
    <row r="42752" spans="1:4" ht="15.75" customHeight="1">
      <c r="A42752" s="8"/>
      <c r="B42752" s="12"/>
      <c r="C42752" s="8"/>
      <c r="D42752" s="8"/>
    </row>
    <row r="42753" spans="1:4" ht="15.75" customHeight="1">
      <c r="A42753" s="8"/>
      <c r="B42753" s="12"/>
      <c r="C42753" s="8"/>
      <c r="D42753" s="8"/>
    </row>
    <row r="42754" spans="1:4" ht="15.75" customHeight="1">
      <c r="A42754" s="8"/>
      <c r="B42754" s="12"/>
      <c r="C42754" s="8"/>
      <c r="D42754" s="8"/>
    </row>
    <row r="42755" spans="1:4" ht="15.75" customHeight="1">
      <c r="A42755" s="8"/>
      <c r="B42755" s="12"/>
      <c r="C42755" s="8"/>
      <c r="D42755" s="8"/>
    </row>
    <row r="42756" spans="1:4" ht="15.75" customHeight="1">
      <c r="A42756" s="8"/>
      <c r="B42756" s="12"/>
      <c r="C42756" s="8"/>
      <c r="D42756" s="8"/>
    </row>
    <row r="42757" spans="1:4" ht="15.75" customHeight="1">
      <c r="A42757" s="8"/>
      <c r="B42757" s="12"/>
      <c r="C42757" s="8"/>
      <c r="D42757" s="8"/>
    </row>
    <row r="42758" spans="1:4" ht="15.75" customHeight="1">
      <c r="A42758" s="8"/>
      <c r="B42758" s="12"/>
      <c r="C42758" s="8"/>
      <c r="D42758" s="8"/>
    </row>
    <row r="42759" spans="1:4" ht="15.75" customHeight="1">
      <c r="A42759" s="8"/>
      <c r="B42759" s="12"/>
      <c r="C42759" s="8"/>
      <c r="D42759" s="8"/>
    </row>
    <row r="42760" spans="1:4" ht="15.75" customHeight="1">
      <c r="A42760" s="8"/>
      <c r="B42760" s="12"/>
      <c r="C42760" s="8"/>
      <c r="D42760" s="8"/>
    </row>
    <row r="42761" spans="1:4" ht="15.75" customHeight="1">
      <c r="A42761" s="8"/>
      <c r="B42761" s="12"/>
      <c r="C42761" s="8"/>
      <c r="D42761" s="8"/>
    </row>
    <row r="42762" spans="1:4" ht="15.75" customHeight="1">
      <c r="A42762" s="8"/>
      <c r="B42762" s="12"/>
      <c r="C42762" s="8"/>
      <c r="D42762" s="8"/>
    </row>
    <row r="42763" spans="1:4" ht="15.75" customHeight="1">
      <c r="A42763" s="8"/>
      <c r="B42763" s="12"/>
      <c r="C42763" s="8"/>
      <c r="D42763" s="8"/>
    </row>
    <row r="42764" spans="1:4" ht="15.75" customHeight="1">
      <c r="A42764" s="8"/>
      <c r="B42764" s="12"/>
      <c r="C42764" s="8"/>
      <c r="D42764" s="8"/>
    </row>
    <row r="42765" spans="1:4" ht="15.75" customHeight="1">
      <c r="A42765" s="8"/>
      <c r="B42765" s="12"/>
      <c r="C42765" s="8"/>
      <c r="D42765" s="8"/>
    </row>
    <row r="42766" spans="1:4" ht="15.75" customHeight="1">
      <c r="A42766" s="8"/>
      <c r="B42766" s="12"/>
      <c r="C42766" s="8"/>
      <c r="D42766" s="8"/>
    </row>
    <row r="42767" spans="1:4" ht="15.75" customHeight="1">
      <c r="A42767" s="8"/>
      <c r="B42767" s="12"/>
      <c r="C42767" s="8"/>
      <c r="D42767" s="8"/>
    </row>
    <row r="42768" spans="1:4" ht="15.75" customHeight="1">
      <c r="A42768" s="8"/>
      <c r="B42768" s="12"/>
      <c r="C42768" s="8"/>
      <c r="D42768" s="8"/>
    </row>
    <row r="42769" spans="1:4" ht="15.75" customHeight="1">
      <c r="A42769" s="8"/>
      <c r="B42769" s="12"/>
      <c r="C42769" s="8"/>
      <c r="D42769" s="8"/>
    </row>
    <row r="42770" spans="1:4" ht="15.75" customHeight="1">
      <c r="A42770" s="8"/>
      <c r="B42770" s="12"/>
      <c r="C42770" s="8"/>
      <c r="D42770" s="8"/>
    </row>
    <row r="42771" spans="1:4" ht="15.75" customHeight="1">
      <c r="A42771" s="8"/>
      <c r="B42771" s="12"/>
      <c r="C42771" s="8"/>
      <c r="D42771" s="8"/>
    </row>
    <row r="42772" spans="1:4" ht="15.75" customHeight="1">
      <c r="A42772" s="8"/>
      <c r="B42772" s="12"/>
      <c r="C42772" s="8"/>
      <c r="D42772" s="8"/>
    </row>
    <row r="42773" spans="1:4" ht="15.75" customHeight="1">
      <c r="A42773" s="8"/>
      <c r="B42773" s="12"/>
      <c r="C42773" s="8"/>
      <c r="D42773" s="8"/>
    </row>
    <row r="42774" spans="1:4" ht="15.75" customHeight="1">
      <c r="A42774" s="8"/>
      <c r="B42774" s="12"/>
      <c r="C42774" s="8"/>
      <c r="D42774" s="8"/>
    </row>
    <row r="42775" spans="1:4" ht="15.75" customHeight="1">
      <c r="A42775" s="8"/>
      <c r="B42775" s="12"/>
      <c r="C42775" s="8"/>
      <c r="D42775" s="8"/>
    </row>
    <row r="42776" spans="1:4" ht="15.75" customHeight="1">
      <c r="A42776" s="8"/>
      <c r="B42776" s="12"/>
      <c r="C42776" s="8"/>
      <c r="D42776" s="8"/>
    </row>
    <row r="42777" spans="1:4" ht="15.75" customHeight="1">
      <c r="A42777" s="8"/>
      <c r="B42777" s="12"/>
      <c r="C42777" s="8"/>
      <c r="D42777" s="8"/>
    </row>
    <row r="42778" spans="1:4" ht="15.75" customHeight="1">
      <c r="A42778" s="8"/>
      <c r="B42778" s="12"/>
      <c r="C42778" s="8"/>
      <c r="D42778" s="8"/>
    </row>
    <row r="42779" spans="1:4" ht="15.75" customHeight="1">
      <c r="A42779" s="8"/>
      <c r="B42779" s="12"/>
      <c r="C42779" s="8"/>
      <c r="D42779" s="8"/>
    </row>
    <row r="42780" spans="1:4" ht="15.75" customHeight="1">
      <c r="A42780" s="8"/>
      <c r="B42780" s="12"/>
      <c r="C42780" s="8"/>
      <c r="D42780" s="8"/>
    </row>
    <row r="42781" spans="1:4" ht="15.75" customHeight="1">
      <c r="A42781" s="8"/>
      <c r="B42781" s="12"/>
      <c r="C42781" s="8"/>
      <c r="D42781" s="8"/>
    </row>
    <row r="42782" spans="1:4" ht="15.75" customHeight="1">
      <c r="A42782" s="8"/>
      <c r="B42782" s="12"/>
      <c r="C42782" s="8"/>
      <c r="D42782" s="8"/>
    </row>
    <row r="42783" spans="1:4" ht="15.75" customHeight="1">
      <c r="A42783" s="8"/>
      <c r="B42783" s="12"/>
      <c r="C42783" s="8"/>
      <c r="D42783" s="8"/>
    </row>
    <row r="42784" spans="1:4" ht="15.75" customHeight="1">
      <c r="A42784" s="8"/>
      <c r="B42784" s="12"/>
      <c r="C42784" s="8"/>
      <c r="D42784" s="8"/>
    </row>
    <row r="42785" spans="1:4" ht="15.75" customHeight="1">
      <c r="A42785" s="8"/>
      <c r="B42785" s="12"/>
      <c r="C42785" s="8"/>
      <c r="D42785" s="8"/>
    </row>
    <row r="42786" spans="1:4" ht="15.75" customHeight="1">
      <c r="A42786" s="8"/>
      <c r="B42786" s="12"/>
      <c r="C42786" s="8"/>
      <c r="D42786" s="8"/>
    </row>
    <row r="42787" spans="1:4" ht="15.75" customHeight="1">
      <c r="A42787" s="8"/>
      <c r="B42787" s="12"/>
      <c r="C42787" s="8"/>
      <c r="D42787" s="8"/>
    </row>
    <row r="42788" spans="1:4" ht="15.75" customHeight="1">
      <c r="A42788" s="8"/>
      <c r="B42788" s="12"/>
      <c r="C42788" s="8"/>
      <c r="D42788" s="8"/>
    </row>
    <row r="42789" spans="1:4" ht="15.75" customHeight="1">
      <c r="A42789" s="8"/>
      <c r="B42789" s="12"/>
      <c r="C42789" s="8"/>
      <c r="D42789" s="8"/>
    </row>
    <row r="42790" spans="1:4" ht="15.75" customHeight="1">
      <c r="A42790" s="8"/>
      <c r="B42790" s="12"/>
      <c r="C42790" s="8"/>
      <c r="D42790" s="8"/>
    </row>
    <row r="42791" spans="1:4" ht="15.75" customHeight="1">
      <c r="A42791" s="8"/>
      <c r="B42791" s="12"/>
      <c r="C42791" s="8"/>
      <c r="D42791" s="8"/>
    </row>
    <row r="42792" spans="1:4" ht="15.75" customHeight="1">
      <c r="A42792" s="8"/>
      <c r="B42792" s="12"/>
      <c r="C42792" s="8"/>
      <c r="D42792" s="8"/>
    </row>
    <row r="42793" spans="1:4" ht="15.75" customHeight="1">
      <c r="A42793" s="8"/>
      <c r="B42793" s="12"/>
      <c r="C42793" s="8"/>
      <c r="D42793" s="8"/>
    </row>
    <row r="42794" spans="1:4" ht="15.75" customHeight="1">
      <c r="A42794" s="8"/>
      <c r="B42794" s="12"/>
      <c r="C42794" s="8"/>
      <c r="D42794" s="8"/>
    </row>
    <row r="42795" spans="1:4" ht="15.75" customHeight="1">
      <c r="A42795" s="8"/>
      <c r="B42795" s="12"/>
      <c r="C42795" s="8"/>
      <c r="D42795" s="8"/>
    </row>
    <row r="42796" spans="1:4" ht="15.75" customHeight="1">
      <c r="A42796" s="8"/>
      <c r="B42796" s="12"/>
      <c r="C42796" s="8"/>
      <c r="D42796" s="8"/>
    </row>
    <row r="42797" spans="1:4" ht="15.75" customHeight="1">
      <c r="A42797" s="8"/>
      <c r="B42797" s="12"/>
      <c r="C42797" s="8"/>
      <c r="D42797" s="8"/>
    </row>
    <row r="42798" spans="1:4" ht="15.75" customHeight="1">
      <c r="A42798" s="8"/>
      <c r="B42798" s="12"/>
      <c r="C42798" s="8"/>
      <c r="D42798" s="8"/>
    </row>
    <row r="42799" spans="1:4" ht="15.75" customHeight="1">
      <c r="A42799" s="8"/>
      <c r="B42799" s="12"/>
      <c r="C42799" s="8"/>
      <c r="D42799" s="8"/>
    </row>
    <row r="42800" spans="1:4" ht="15.75" customHeight="1">
      <c r="A42800" s="8"/>
      <c r="B42800" s="12"/>
      <c r="C42800" s="8"/>
      <c r="D42800" s="8"/>
    </row>
    <row r="42801" spans="1:4" ht="15.75" customHeight="1">
      <c r="A42801" s="8"/>
      <c r="B42801" s="12"/>
      <c r="C42801" s="8"/>
      <c r="D42801" s="8"/>
    </row>
    <row r="42802" spans="1:4" ht="15.75" customHeight="1">
      <c r="A42802" s="8"/>
      <c r="B42802" s="12"/>
      <c r="C42802" s="8"/>
      <c r="D42802" s="8"/>
    </row>
    <row r="42803" spans="1:4" ht="15.75" customHeight="1">
      <c r="A42803" s="8"/>
      <c r="B42803" s="12"/>
      <c r="C42803" s="8"/>
      <c r="D42803" s="8"/>
    </row>
    <row r="42804" spans="1:4" ht="15.75" customHeight="1">
      <c r="A42804" s="8"/>
      <c r="B42804" s="12"/>
      <c r="C42804" s="8"/>
      <c r="D42804" s="8"/>
    </row>
    <row r="42805" spans="1:4" ht="15.75" customHeight="1">
      <c r="A42805" s="8"/>
      <c r="B42805" s="12"/>
      <c r="C42805" s="8"/>
      <c r="D42805" s="8"/>
    </row>
    <row r="42806" spans="1:4" ht="15.75" customHeight="1">
      <c r="A42806" s="8"/>
      <c r="B42806" s="12"/>
      <c r="C42806" s="8"/>
      <c r="D42806" s="8"/>
    </row>
    <row r="42807" spans="1:4" ht="15.75" customHeight="1">
      <c r="A42807" s="8"/>
      <c r="B42807" s="12"/>
      <c r="C42807" s="8"/>
      <c r="D42807" s="8"/>
    </row>
    <row r="42808" spans="1:4" ht="15.75" customHeight="1">
      <c r="A42808" s="8"/>
      <c r="B42808" s="12"/>
      <c r="C42808" s="8"/>
      <c r="D42808" s="8"/>
    </row>
    <row r="42809" spans="1:4" ht="15.75" customHeight="1">
      <c r="A42809" s="8"/>
      <c r="B42809" s="12"/>
      <c r="C42809" s="8"/>
      <c r="D42809" s="8"/>
    </row>
    <row r="42810" spans="1:4" ht="15.75" customHeight="1">
      <c r="A42810" s="8"/>
      <c r="B42810" s="12"/>
      <c r="C42810" s="8"/>
      <c r="D42810" s="8"/>
    </row>
    <row r="42811" spans="1:4" ht="15.75" customHeight="1">
      <c r="A42811" s="8"/>
      <c r="B42811" s="12"/>
      <c r="C42811" s="8"/>
      <c r="D42811" s="8"/>
    </row>
    <row r="42812" spans="1:4" ht="15.75" customHeight="1">
      <c r="A42812" s="8"/>
      <c r="B42812" s="12"/>
      <c r="C42812" s="8"/>
      <c r="D42812" s="8"/>
    </row>
    <row r="42813" spans="1:4" ht="15.75" customHeight="1">
      <c r="A42813" s="8"/>
      <c r="B42813" s="12"/>
      <c r="C42813" s="8"/>
      <c r="D42813" s="8"/>
    </row>
    <row r="42814" spans="1:4" ht="15.75" customHeight="1">
      <c r="A42814" s="8"/>
      <c r="B42814" s="12"/>
      <c r="C42814" s="8"/>
      <c r="D42814" s="8"/>
    </row>
    <row r="42815" spans="1:4" ht="15.75" customHeight="1">
      <c r="A42815" s="8"/>
      <c r="B42815" s="12"/>
      <c r="C42815" s="8"/>
      <c r="D42815" s="8"/>
    </row>
    <row r="42816" spans="1:4" ht="15.75" customHeight="1">
      <c r="A42816" s="8"/>
      <c r="B42816" s="12"/>
      <c r="C42816" s="8"/>
      <c r="D42816" s="8"/>
    </row>
    <row r="42817" spans="1:4" ht="15.75" customHeight="1">
      <c r="A42817" s="8"/>
      <c r="B42817" s="12"/>
      <c r="C42817" s="8"/>
      <c r="D42817" s="8"/>
    </row>
    <row r="42818" spans="1:4" ht="15.75" customHeight="1">
      <c r="A42818" s="8"/>
      <c r="B42818" s="12"/>
      <c r="C42818" s="8"/>
      <c r="D42818" s="8"/>
    </row>
    <row r="42819" spans="1:4" ht="15.75" customHeight="1">
      <c r="A42819" s="8"/>
      <c r="B42819" s="12"/>
      <c r="C42819" s="8"/>
      <c r="D42819" s="8"/>
    </row>
    <row r="42820" spans="1:4" ht="15.75" customHeight="1">
      <c r="A42820" s="8"/>
      <c r="B42820" s="12"/>
      <c r="C42820" s="8"/>
      <c r="D42820" s="8"/>
    </row>
    <row r="42821" spans="1:4" ht="15.75" customHeight="1">
      <c r="A42821" s="8"/>
      <c r="B42821" s="12"/>
      <c r="C42821" s="8"/>
      <c r="D42821" s="8"/>
    </row>
    <row r="42822" spans="1:4" ht="15.75" customHeight="1">
      <c r="A42822" s="8"/>
      <c r="B42822" s="12"/>
      <c r="C42822" s="8"/>
      <c r="D42822" s="8"/>
    </row>
    <row r="42823" spans="1:4" ht="15.75" customHeight="1">
      <c r="A42823" s="8"/>
      <c r="B42823" s="12"/>
      <c r="C42823" s="8"/>
      <c r="D42823" s="8"/>
    </row>
    <row r="42824" spans="1:4" ht="15.75" customHeight="1">
      <c r="A42824" s="8"/>
      <c r="B42824" s="12"/>
      <c r="C42824" s="8"/>
      <c r="D42824" s="8"/>
    </row>
    <row r="42825" spans="1:4" ht="15.75" customHeight="1">
      <c r="A42825" s="8"/>
      <c r="B42825" s="12"/>
      <c r="C42825" s="8"/>
      <c r="D42825" s="8"/>
    </row>
    <row r="42826" spans="1:4" ht="15.75" customHeight="1">
      <c r="A42826" s="8"/>
      <c r="B42826" s="12"/>
      <c r="C42826" s="8"/>
      <c r="D42826" s="8"/>
    </row>
    <row r="42827" spans="1:4" ht="15.75" customHeight="1">
      <c r="A42827" s="8"/>
      <c r="B42827" s="12"/>
      <c r="C42827" s="8"/>
      <c r="D42827" s="8"/>
    </row>
    <row r="42828" spans="1:4" ht="15.75" customHeight="1">
      <c r="A42828" s="8"/>
      <c r="B42828" s="12"/>
      <c r="C42828" s="8"/>
      <c r="D42828" s="8"/>
    </row>
    <row r="42829" spans="1:4" ht="15.75" customHeight="1">
      <c r="A42829" s="8"/>
      <c r="B42829" s="12"/>
      <c r="C42829" s="8"/>
      <c r="D42829" s="8"/>
    </row>
    <row r="42830" spans="1:4" ht="15.75" customHeight="1">
      <c r="A42830" s="8"/>
      <c r="B42830" s="12"/>
      <c r="C42830" s="8"/>
      <c r="D42830" s="8"/>
    </row>
    <row r="42831" spans="1:4" ht="15.75" customHeight="1">
      <c r="A42831" s="8"/>
      <c r="B42831" s="12"/>
      <c r="C42831" s="8"/>
      <c r="D42831" s="8"/>
    </row>
    <row r="42832" spans="1:4" ht="15.75" customHeight="1">
      <c r="A42832" s="8"/>
      <c r="B42832" s="12"/>
      <c r="C42832" s="8"/>
      <c r="D42832" s="8"/>
    </row>
    <row r="42833" spans="1:4" ht="15.75" customHeight="1">
      <c r="A42833" s="8"/>
      <c r="B42833" s="12"/>
      <c r="C42833" s="8"/>
      <c r="D42833" s="8"/>
    </row>
    <row r="42834" spans="1:4" ht="15.75" customHeight="1">
      <c r="A42834" s="8"/>
      <c r="B42834" s="12"/>
      <c r="C42834" s="8"/>
      <c r="D42834" s="8"/>
    </row>
    <row r="42835" spans="1:4" ht="15.75" customHeight="1">
      <c r="A42835" s="8"/>
      <c r="B42835" s="12"/>
      <c r="C42835" s="8"/>
      <c r="D42835" s="8"/>
    </row>
    <row r="42836" spans="1:4" ht="15.75" customHeight="1">
      <c r="A42836" s="8"/>
      <c r="B42836" s="12"/>
      <c r="C42836" s="8"/>
      <c r="D42836" s="8"/>
    </row>
    <row r="42837" spans="1:4" ht="15.75" customHeight="1">
      <c r="A42837" s="8"/>
      <c r="B42837" s="12"/>
      <c r="C42837" s="8"/>
      <c r="D42837" s="8"/>
    </row>
    <row r="42838" spans="1:4" ht="15.75" customHeight="1">
      <c r="A42838" s="8"/>
      <c r="B42838" s="12"/>
      <c r="C42838" s="8"/>
      <c r="D42838" s="8"/>
    </row>
    <row r="42839" spans="1:4" ht="15.75" customHeight="1">
      <c r="A42839" s="8"/>
      <c r="B42839" s="12"/>
      <c r="C42839" s="8"/>
      <c r="D42839" s="8"/>
    </row>
    <row r="42840" spans="1:4" ht="15.75" customHeight="1">
      <c r="A42840" s="8"/>
      <c r="B42840" s="12"/>
      <c r="C42840" s="8"/>
      <c r="D42840" s="8"/>
    </row>
    <row r="42841" spans="1:4" ht="15.75" customHeight="1">
      <c r="A42841" s="8"/>
      <c r="B42841" s="12"/>
      <c r="C42841" s="8"/>
      <c r="D42841" s="8"/>
    </row>
    <row r="42842" spans="1:4" ht="15.75" customHeight="1">
      <c r="A42842" s="8"/>
      <c r="B42842" s="12"/>
      <c r="C42842" s="8"/>
      <c r="D42842" s="8"/>
    </row>
    <row r="42843" spans="1:4" ht="15.75" customHeight="1">
      <c r="A42843" s="8"/>
      <c r="B42843" s="12"/>
      <c r="C42843" s="8"/>
      <c r="D42843" s="8"/>
    </row>
    <row r="42844" spans="1:4" ht="15.75" customHeight="1">
      <c r="A42844" s="8"/>
      <c r="B42844" s="12"/>
      <c r="C42844" s="8"/>
      <c r="D42844" s="8"/>
    </row>
    <row r="42845" spans="1:4" ht="15.75" customHeight="1">
      <c r="A42845" s="8"/>
      <c r="B42845" s="12"/>
      <c r="C42845" s="8"/>
      <c r="D42845" s="8"/>
    </row>
    <row r="42846" spans="1:4" ht="15.75" customHeight="1">
      <c r="A42846" s="8"/>
      <c r="B42846" s="12"/>
      <c r="C42846" s="8"/>
      <c r="D42846" s="8"/>
    </row>
    <row r="42847" spans="1:4" ht="15.75" customHeight="1">
      <c r="A42847" s="8"/>
      <c r="B42847" s="12"/>
      <c r="C42847" s="8"/>
      <c r="D42847" s="8"/>
    </row>
    <row r="42848" spans="1:4" ht="15.75" customHeight="1">
      <c r="A42848" s="8"/>
      <c r="B42848" s="12"/>
      <c r="C42848" s="8"/>
      <c r="D42848" s="8"/>
    </row>
    <row r="42849" spans="1:4" ht="15.75" customHeight="1">
      <c r="A42849" s="8"/>
      <c r="B42849" s="12"/>
      <c r="C42849" s="8"/>
      <c r="D42849" s="8"/>
    </row>
    <row r="42850" spans="1:4" ht="15.75" customHeight="1">
      <c r="A42850" s="8"/>
      <c r="B42850" s="12"/>
      <c r="C42850" s="8"/>
      <c r="D42850" s="8"/>
    </row>
    <row r="42851" spans="1:4" ht="15.75" customHeight="1">
      <c r="A42851" s="8"/>
      <c r="B42851" s="12"/>
      <c r="C42851" s="8"/>
      <c r="D42851" s="8"/>
    </row>
    <row r="42852" spans="1:4" ht="15.75" customHeight="1">
      <c r="A42852" s="8"/>
      <c r="B42852" s="12"/>
      <c r="C42852" s="8"/>
      <c r="D42852" s="8"/>
    </row>
    <row r="42853" spans="1:4" ht="15.75" customHeight="1">
      <c r="A42853" s="8"/>
      <c r="B42853" s="12"/>
      <c r="C42853" s="8"/>
      <c r="D42853" s="8"/>
    </row>
    <row r="42854" spans="1:4" ht="15.75" customHeight="1">
      <c r="A42854" s="8"/>
      <c r="B42854" s="12"/>
      <c r="C42854" s="8"/>
      <c r="D42854" s="8"/>
    </row>
    <row r="42855" spans="1:4" ht="15.75" customHeight="1">
      <c r="A42855" s="8"/>
      <c r="B42855" s="12"/>
      <c r="C42855" s="8"/>
      <c r="D42855" s="8"/>
    </row>
    <row r="42856" spans="1:4" ht="15.75" customHeight="1">
      <c r="A42856" s="8"/>
      <c r="B42856" s="12"/>
      <c r="C42856" s="8"/>
      <c r="D42856" s="8"/>
    </row>
    <row r="42857" spans="1:4" ht="15.75" customHeight="1">
      <c r="A42857" s="8"/>
      <c r="B42857" s="12"/>
      <c r="C42857" s="8"/>
      <c r="D42857" s="8"/>
    </row>
    <row r="42858" spans="1:4" ht="15.75" customHeight="1">
      <c r="A42858" s="8"/>
      <c r="B42858" s="12"/>
      <c r="C42858" s="8"/>
      <c r="D42858" s="8"/>
    </row>
    <row r="42859" spans="1:4" ht="15.75" customHeight="1">
      <c r="A42859" s="8"/>
      <c r="B42859" s="12"/>
      <c r="C42859" s="8"/>
      <c r="D42859" s="8"/>
    </row>
    <row r="42860" spans="1:4" ht="15.75" customHeight="1">
      <c r="A42860" s="8"/>
      <c r="B42860" s="12"/>
      <c r="C42860" s="8"/>
      <c r="D42860" s="8"/>
    </row>
    <row r="42861" spans="1:4" ht="15.75" customHeight="1">
      <c r="A42861" s="8"/>
      <c r="B42861" s="12"/>
      <c r="C42861" s="8"/>
      <c r="D42861" s="8"/>
    </row>
    <row r="42862" spans="1:4" ht="15.75" customHeight="1">
      <c r="A42862" s="8"/>
      <c r="B42862" s="12"/>
      <c r="C42862" s="8"/>
      <c r="D42862" s="8"/>
    </row>
    <row r="42863" spans="1:4" ht="15.75" customHeight="1">
      <c r="A42863" s="8"/>
      <c r="B42863" s="12"/>
      <c r="C42863" s="8"/>
      <c r="D42863" s="8"/>
    </row>
    <row r="42864" spans="1:4" ht="15.75" customHeight="1">
      <c r="A42864" s="8"/>
      <c r="B42864" s="12"/>
      <c r="C42864" s="8"/>
      <c r="D42864" s="8"/>
    </row>
    <row r="42865" spans="1:4" ht="15.75" customHeight="1">
      <c r="A42865" s="8"/>
      <c r="B42865" s="12"/>
      <c r="C42865" s="8"/>
      <c r="D42865" s="8"/>
    </row>
    <row r="42866" spans="1:4" ht="15.75" customHeight="1">
      <c r="A42866" s="8"/>
      <c r="B42866" s="12"/>
      <c r="C42866" s="8"/>
      <c r="D42866" s="8"/>
    </row>
    <row r="42867" spans="1:4" ht="15.75" customHeight="1">
      <c r="A42867" s="8"/>
      <c r="B42867" s="12"/>
      <c r="C42867" s="8"/>
      <c r="D42867" s="8"/>
    </row>
    <row r="42868" spans="1:4" ht="15.75" customHeight="1">
      <c r="A42868" s="8"/>
      <c r="B42868" s="12"/>
      <c r="C42868" s="8"/>
      <c r="D42868" s="8"/>
    </row>
    <row r="42869" spans="1:4" ht="15.75" customHeight="1">
      <c r="A42869" s="8"/>
      <c r="B42869" s="12"/>
      <c r="C42869" s="8"/>
      <c r="D42869" s="8"/>
    </row>
    <row r="42870" spans="1:4" ht="15.75" customHeight="1">
      <c r="A42870" s="8"/>
      <c r="B42870" s="12"/>
      <c r="C42870" s="8"/>
      <c r="D42870" s="8"/>
    </row>
    <row r="42871" spans="1:4" ht="15.75" customHeight="1">
      <c r="A42871" s="8"/>
      <c r="B42871" s="12"/>
      <c r="C42871" s="8"/>
      <c r="D42871" s="8"/>
    </row>
    <row r="42872" spans="1:4" ht="15.75" customHeight="1">
      <c r="A42872" s="8"/>
      <c r="B42872" s="12"/>
      <c r="C42872" s="8"/>
      <c r="D42872" s="8"/>
    </row>
    <row r="42873" spans="1:4" ht="15.75" customHeight="1">
      <c r="A42873" s="8"/>
      <c r="B42873" s="12"/>
      <c r="C42873" s="8"/>
      <c r="D42873" s="8"/>
    </row>
    <row r="42874" spans="1:4" ht="15.75" customHeight="1">
      <c r="A42874" s="8"/>
      <c r="B42874" s="12"/>
      <c r="C42874" s="8"/>
      <c r="D42874" s="8"/>
    </row>
    <row r="42875" spans="1:4" ht="15.75" customHeight="1">
      <c r="A42875" s="8"/>
      <c r="B42875" s="12"/>
      <c r="C42875" s="8"/>
      <c r="D42875" s="8"/>
    </row>
    <row r="42876" spans="1:4" ht="15.75" customHeight="1">
      <c r="A42876" s="8"/>
      <c r="B42876" s="12"/>
      <c r="C42876" s="8"/>
      <c r="D42876" s="8"/>
    </row>
    <row r="42877" spans="1:4" ht="15.75" customHeight="1">
      <c r="A42877" s="8"/>
      <c r="B42877" s="12"/>
      <c r="C42877" s="8"/>
      <c r="D42877" s="8"/>
    </row>
    <row r="42878" spans="1:4" ht="15.75" customHeight="1">
      <c r="A42878" s="8"/>
      <c r="B42878" s="12"/>
      <c r="C42878" s="8"/>
      <c r="D42878" s="8"/>
    </row>
    <row r="42879" spans="1:4" ht="15.75" customHeight="1">
      <c r="A42879" s="8"/>
      <c r="B42879" s="12"/>
      <c r="C42879" s="8"/>
      <c r="D42879" s="8"/>
    </row>
    <row r="42880" spans="1:4" ht="15.75" customHeight="1">
      <c r="A42880" s="8"/>
      <c r="B42880" s="12"/>
      <c r="C42880" s="8"/>
      <c r="D42880" s="8"/>
    </row>
    <row r="42881" spans="1:4" ht="15.75" customHeight="1">
      <c r="A42881" s="8"/>
      <c r="B42881" s="12"/>
      <c r="C42881" s="8"/>
      <c r="D42881" s="8"/>
    </row>
    <row r="42882" spans="1:4" ht="15.75" customHeight="1">
      <c r="A42882" s="8"/>
      <c r="B42882" s="12"/>
      <c r="C42882" s="8"/>
      <c r="D42882" s="8"/>
    </row>
    <row r="42883" spans="1:4" ht="15.75" customHeight="1">
      <c r="A42883" s="8"/>
      <c r="B42883" s="12"/>
      <c r="C42883" s="8"/>
      <c r="D42883" s="8"/>
    </row>
    <row r="42884" spans="1:4" ht="15.75" customHeight="1">
      <c r="A42884" s="8"/>
      <c r="B42884" s="12"/>
      <c r="C42884" s="8"/>
      <c r="D42884" s="8"/>
    </row>
    <row r="42885" spans="1:4" ht="15.75" customHeight="1">
      <c r="A42885" s="8"/>
      <c r="B42885" s="12"/>
      <c r="C42885" s="8"/>
      <c r="D42885" s="8"/>
    </row>
    <row r="42886" spans="1:4" ht="15.75" customHeight="1">
      <c r="A42886" s="8"/>
      <c r="B42886" s="12"/>
      <c r="C42886" s="8"/>
      <c r="D42886" s="8"/>
    </row>
    <row r="42887" spans="1:4" ht="15.75" customHeight="1">
      <c r="A42887" s="8"/>
      <c r="B42887" s="12"/>
      <c r="C42887" s="8"/>
      <c r="D42887" s="8"/>
    </row>
    <row r="42888" spans="1:4" ht="15.75" customHeight="1">
      <c r="A42888" s="8"/>
      <c r="B42888" s="12"/>
      <c r="C42888" s="8"/>
      <c r="D42888" s="8"/>
    </row>
    <row r="42889" spans="1:4" ht="15.75" customHeight="1">
      <c r="A42889" s="8"/>
      <c r="B42889" s="12"/>
      <c r="C42889" s="8"/>
      <c r="D42889" s="8"/>
    </row>
    <row r="42890" spans="1:4" ht="15.75" customHeight="1">
      <c r="A42890" s="8"/>
      <c r="B42890" s="12"/>
      <c r="C42890" s="8"/>
      <c r="D42890" s="8"/>
    </row>
    <row r="42891" spans="1:4" ht="15.75" customHeight="1">
      <c r="A42891" s="8"/>
      <c r="B42891" s="12"/>
      <c r="C42891" s="8"/>
      <c r="D42891" s="8"/>
    </row>
    <row r="42892" spans="1:4" ht="15.75" customHeight="1">
      <c r="A42892" s="8"/>
      <c r="B42892" s="12"/>
      <c r="C42892" s="8"/>
      <c r="D42892" s="8"/>
    </row>
    <row r="42893" spans="1:4" ht="15.75" customHeight="1">
      <c r="A42893" s="8"/>
      <c r="B42893" s="12"/>
      <c r="C42893" s="8"/>
      <c r="D42893" s="8"/>
    </row>
    <row r="42894" spans="1:4" ht="15.75" customHeight="1">
      <c r="A42894" s="8"/>
      <c r="B42894" s="12"/>
      <c r="C42894" s="8"/>
      <c r="D42894" s="8"/>
    </row>
    <row r="42895" spans="1:4" ht="15.75" customHeight="1">
      <c r="A42895" s="8"/>
      <c r="B42895" s="12"/>
      <c r="C42895" s="8"/>
      <c r="D42895" s="8"/>
    </row>
    <row r="42896" spans="1:4" ht="15.75" customHeight="1">
      <c r="A42896" s="8"/>
      <c r="B42896" s="12"/>
      <c r="C42896" s="8"/>
      <c r="D42896" s="8"/>
    </row>
    <row r="42897" spans="1:4" ht="15.75" customHeight="1">
      <c r="A42897" s="8"/>
      <c r="B42897" s="12"/>
      <c r="C42897" s="8"/>
      <c r="D42897" s="8"/>
    </row>
    <row r="42898" spans="1:4" ht="15.75" customHeight="1">
      <c r="A42898" s="8"/>
      <c r="B42898" s="12"/>
      <c r="C42898" s="8"/>
      <c r="D42898" s="8"/>
    </row>
    <row r="42899" spans="1:4" ht="15.75" customHeight="1">
      <c r="A42899" s="8"/>
      <c r="B42899" s="12"/>
      <c r="C42899" s="8"/>
      <c r="D42899" s="8"/>
    </row>
    <row r="42900" spans="1:4" ht="15.75" customHeight="1">
      <c r="A42900" s="8"/>
      <c r="B42900" s="12"/>
      <c r="C42900" s="8"/>
      <c r="D42900" s="8"/>
    </row>
    <row r="42901" spans="1:4" ht="15.75" customHeight="1">
      <c r="A42901" s="8"/>
      <c r="B42901" s="12"/>
      <c r="C42901" s="8"/>
      <c r="D42901" s="8"/>
    </row>
    <row r="42902" spans="1:4" ht="15.75" customHeight="1">
      <c r="A42902" s="8"/>
      <c r="B42902" s="12"/>
      <c r="C42902" s="8"/>
      <c r="D42902" s="8"/>
    </row>
    <row r="42903" spans="1:4" ht="15.75" customHeight="1">
      <c r="A42903" s="8"/>
      <c r="B42903" s="12"/>
      <c r="C42903" s="8"/>
      <c r="D42903" s="8"/>
    </row>
    <row r="42904" spans="1:4" ht="15.75" customHeight="1">
      <c r="A42904" s="8"/>
      <c r="B42904" s="12"/>
      <c r="C42904" s="8"/>
      <c r="D42904" s="8"/>
    </row>
    <row r="42905" spans="1:4" ht="15.75" customHeight="1">
      <c r="A42905" s="8"/>
      <c r="B42905" s="12"/>
      <c r="C42905" s="8"/>
      <c r="D42905" s="8"/>
    </row>
    <row r="42906" spans="1:4" ht="15.75" customHeight="1">
      <c r="A42906" s="8"/>
      <c r="B42906" s="12"/>
      <c r="C42906" s="8"/>
      <c r="D42906" s="8"/>
    </row>
    <row r="42907" spans="1:4" ht="15.75" customHeight="1">
      <c r="A42907" s="8"/>
      <c r="B42907" s="12"/>
      <c r="C42907" s="8"/>
      <c r="D42907" s="8"/>
    </row>
    <row r="42908" spans="1:4" ht="15.75" customHeight="1">
      <c r="A42908" s="8"/>
      <c r="B42908" s="12"/>
      <c r="C42908" s="8"/>
      <c r="D42908" s="8"/>
    </row>
    <row r="42909" spans="1:4" ht="15.75" customHeight="1">
      <c r="A42909" s="8"/>
      <c r="B42909" s="12"/>
      <c r="C42909" s="8"/>
      <c r="D42909" s="8"/>
    </row>
    <row r="42910" spans="1:4" ht="15.75" customHeight="1">
      <c r="A42910" s="8"/>
      <c r="B42910" s="12"/>
      <c r="C42910" s="8"/>
      <c r="D42910" s="8"/>
    </row>
    <row r="42911" spans="1:4" ht="15.75" customHeight="1">
      <c r="A42911" s="8"/>
      <c r="B42911" s="12"/>
      <c r="C42911" s="8"/>
      <c r="D42911" s="8"/>
    </row>
    <row r="42912" spans="1:4" ht="15.75" customHeight="1">
      <c r="A42912" s="8"/>
      <c r="B42912" s="12"/>
      <c r="C42912" s="8"/>
      <c r="D42912" s="8"/>
    </row>
    <row r="42913" spans="1:4" ht="15.75" customHeight="1">
      <c r="A42913" s="8"/>
      <c r="B42913" s="12"/>
      <c r="C42913" s="8"/>
      <c r="D42913" s="8"/>
    </row>
    <row r="42914" spans="1:4" ht="15.75" customHeight="1">
      <c r="A42914" s="8"/>
      <c r="B42914" s="12"/>
      <c r="C42914" s="8"/>
      <c r="D42914" s="8"/>
    </row>
    <row r="42915" spans="1:4" ht="15.75" customHeight="1">
      <c r="A42915" s="8"/>
      <c r="B42915" s="12"/>
      <c r="C42915" s="8"/>
      <c r="D42915" s="8"/>
    </row>
    <row r="42916" spans="1:4" ht="15.75" customHeight="1">
      <c r="A42916" s="8"/>
      <c r="B42916" s="12"/>
      <c r="C42916" s="8"/>
      <c r="D42916" s="8"/>
    </row>
    <row r="42917" spans="1:4" ht="15.75" customHeight="1">
      <c r="A42917" s="8"/>
      <c r="B42917" s="12"/>
      <c r="C42917" s="8"/>
      <c r="D42917" s="8"/>
    </row>
    <row r="42918" spans="1:4" ht="15.75" customHeight="1">
      <c r="A42918" s="8"/>
      <c r="B42918" s="12"/>
      <c r="C42918" s="8"/>
      <c r="D42918" s="8"/>
    </row>
    <row r="42919" spans="1:4" ht="15.75" customHeight="1">
      <c r="A42919" s="8"/>
      <c r="B42919" s="12"/>
      <c r="C42919" s="8"/>
      <c r="D42919" s="8"/>
    </row>
    <row r="42920" spans="1:4" ht="15.75" customHeight="1">
      <c r="A42920" s="8"/>
      <c r="B42920" s="12"/>
      <c r="C42920" s="8"/>
      <c r="D42920" s="8"/>
    </row>
    <row r="42921" spans="1:4" ht="15.75" customHeight="1">
      <c r="A42921" s="8"/>
      <c r="B42921" s="12"/>
      <c r="C42921" s="8"/>
      <c r="D42921" s="8"/>
    </row>
    <row r="42922" spans="1:4" ht="15.75" customHeight="1">
      <c r="A42922" s="8"/>
      <c r="B42922" s="12"/>
      <c r="C42922" s="8"/>
      <c r="D42922" s="8"/>
    </row>
    <row r="42923" spans="1:4" ht="15.75" customHeight="1">
      <c r="A42923" s="8"/>
      <c r="B42923" s="12"/>
      <c r="C42923" s="8"/>
      <c r="D42923" s="8"/>
    </row>
    <row r="42924" spans="1:4" ht="15.75" customHeight="1">
      <c r="A42924" s="8"/>
      <c r="B42924" s="12"/>
      <c r="C42924" s="8"/>
      <c r="D42924" s="8"/>
    </row>
    <row r="42925" spans="1:4" ht="15.75" customHeight="1">
      <c r="A42925" s="8"/>
      <c r="B42925" s="12"/>
      <c r="C42925" s="8"/>
      <c r="D42925" s="8"/>
    </row>
    <row r="42926" spans="1:4" ht="15.75" customHeight="1">
      <c r="A42926" s="8"/>
      <c r="B42926" s="12"/>
      <c r="C42926" s="8"/>
      <c r="D42926" s="8"/>
    </row>
    <row r="42927" spans="1:4" ht="15.75" customHeight="1">
      <c r="A42927" s="8"/>
      <c r="B42927" s="12"/>
      <c r="C42927" s="8"/>
      <c r="D42927" s="8"/>
    </row>
    <row r="42928" spans="1:4" ht="15.75" customHeight="1">
      <c r="A42928" s="8"/>
      <c r="B42928" s="12"/>
      <c r="C42928" s="8"/>
      <c r="D42928" s="8"/>
    </row>
    <row r="42929" spans="1:4" ht="15.75" customHeight="1">
      <c r="A42929" s="8"/>
      <c r="B42929" s="12"/>
      <c r="C42929" s="8"/>
      <c r="D42929" s="8"/>
    </row>
    <row r="42930" spans="1:4" ht="15.75" customHeight="1">
      <c r="A42930" s="8"/>
      <c r="B42930" s="12"/>
      <c r="C42930" s="8"/>
      <c r="D42930" s="8"/>
    </row>
    <row r="42931" spans="1:4" ht="15.75" customHeight="1">
      <c r="A42931" s="8"/>
      <c r="B42931" s="12"/>
      <c r="C42931" s="8"/>
      <c r="D42931" s="8"/>
    </row>
    <row r="42932" spans="1:4" ht="15.75" customHeight="1">
      <c r="A42932" s="8"/>
      <c r="B42932" s="12"/>
      <c r="C42932" s="8"/>
      <c r="D42932" s="8"/>
    </row>
    <row r="42933" spans="1:4" ht="15.75" customHeight="1">
      <c r="A42933" s="8"/>
      <c r="B42933" s="12"/>
      <c r="C42933" s="8"/>
      <c r="D42933" s="8"/>
    </row>
    <row r="42934" spans="1:4" ht="15.75" customHeight="1">
      <c r="A42934" s="8"/>
      <c r="B42934" s="12"/>
      <c r="C42934" s="8"/>
      <c r="D42934" s="8"/>
    </row>
    <row r="42935" spans="1:4" ht="15.75" customHeight="1">
      <c r="A42935" s="8"/>
      <c r="B42935" s="12"/>
      <c r="C42935" s="8"/>
      <c r="D42935" s="8"/>
    </row>
    <row r="42936" spans="1:4" ht="15.75" customHeight="1">
      <c r="A42936" s="8"/>
      <c r="B42936" s="12"/>
      <c r="C42936" s="8"/>
      <c r="D42936" s="8"/>
    </row>
    <row r="42937" spans="1:4" ht="15.75" customHeight="1">
      <c r="A42937" s="8"/>
      <c r="B42937" s="12"/>
      <c r="C42937" s="8"/>
      <c r="D42937" s="8"/>
    </row>
    <row r="42938" spans="1:4" ht="15.75" customHeight="1">
      <c r="A42938" s="8"/>
      <c r="B42938" s="12"/>
      <c r="C42938" s="8"/>
      <c r="D42938" s="8"/>
    </row>
    <row r="42939" spans="1:4" ht="15.75" customHeight="1">
      <c r="A42939" s="8"/>
      <c r="B42939" s="12"/>
      <c r="C42939" s="8"/>
      <c r="D42939" s="8"/>
    </row>
    <row r="42940" spans="1:4" ht="15.75" customHeight="1">
      <c r="A42940" s="8"/>
      <c r="B42940" s="12"/>
      <c r="C42940" s="8"/>
      <c r="D42940" s="8"/>
    </row>
    <row r="42941" spans="1:4" ht="15.75" customHeight="1">
      <c r="A42941" s="8"/>
      <c r="B42941" s="12"/>
      <c r="C42941" s="8"/>
      <c r="D42941" s="8"/>
    </row>
    <row r="42942" spans="1:4" ht="15.75" customHeight="1">
      <c r="A42942" s="8"/>
      <c r="B42942" s="12"/>
      <c r="C42942" s="8"/>
      <c r="D42942" s="8"/>
    </row>
    <row r="42943" spans="1:4" ht="15.75" customHeight="1">
      <c r="A42943" s="8"/>
      <c r="B42943" s="12"/>
      <c r="C42943" s="8"/>
      <c r="D42943" s="8"/>
    </row>
    <row r="42944" spans="1:4" ht="15.75" customHeight="1">
      <c r="A42944" s="8"/>
      <c r="B42944" s="12"/>
      <c r="C42944" s="8"/>
      <c r="D42944" s="8"/>
    </row>
    <row r="42945" spans="1:4" ht="15.75" customHeight="1">
      <c r="A42945" s="8"/>
      <c r="B42945" s="12"/>
      <c r="C42945" s="8"/>
      <c r="D42945" s="8"/>
    </row>
    <row r="42946" spans="1:4" ht="15.75" customHeight="1">
      <c r="A42946" s="8"/>
      <c r="B42946" s="12"/>
      <c r="C42946" s="8"/>
      <c r="D42946" s="8"/>
    </row>
    <row r="42947" spans="1:4" ht="15.75" customHeight="1">
      <c r="A42947" s="8"/>
      <c r="B42947" s="12"/>
      <c r="C42947" s="8"/>
      <c r="D42947" s="8"/>
    </row>
    <row r="42948" spans="1:4" ht="15.75" customHeight="1">
      <c r="A42948" s="8"/>
      <c r="B42948" s="12"/>
      <c r="C42948" s="8"/>
      <c r="D42948" s="8"/>
    </row>
    <row r="42949" spans="1:4" ht="15.75" customHeight="1">
      <c r="A42949" s="8"/>
      <c r="B42949" s="12"/>
      <c r="C42949" s="8"/>
      <c r="D42949" s="8"/>
    </row>
    <row r="42950" spans="1:4" ht="15.75" customHeight="1">
      <c r="A42950" s="8"/>
      <c r="B42950" s="12"/>
      <c r="C42950" s="8"/>
      <c r="D42950" s="8"/>
    </row>
    <row r="42951" spans="1:4" ht="15.75" customHeight="1">
      <c r="A42951" s="8"/>
      <c r="B42951" s="12"/>
      <c r="C42951" s="8"/>
      <c r="D42951" s="8"/>
    </row>
    <row r="42952" spans="1:4" ht="15.75" customHeight="1">
      <c r="A42952" s="8"/>
      <c r="B42952" s="12"/>
      <c r="C42952" s="8"/>
      <c r="D42952" s="8"/>
    </row>
    <row r="42953" spans="1:4" ht="15.75" customHeight="1">
      <c r="A42953" s="8"/>
      <c r="B42953" s="12"/>
      <c r="C42953" s="8"/>
      <c r="D42953" s="8"/>
    </row>
    <row r="42954" spans="1:4" ht="15.75" customHeight="1">
      <c r="A42954" s="8"/>
      <c r="B42954" s="12"/>
      <c r="C42954" s="8"/>
      <c r="D42954" s="8"/>
    </row>
    <row r="42955" spans="1:4" ht="15.75" customHeight="1">
      <c r="A42955" s="8"/>
      <c r="B42955" s="12"/>
      <c r="C42955" s="8"/>
      <c r="D42955" s="8"/>
    </row>
    <row r="42956" spans="1:4" ht="15.75" customHeight="1">
      <c r="A42956" s="8"/>
      <c r="B42956" s="12"/>
      <c r="C42956" s="8"/>
      <c r="D42956" s="8"/>
    </row>
    <row r="42957" spans="1:4" ht="15.75" customHeight="1">
      <c r="A42957" s="8"/>
      <c r="B42957" s="12"/>
      <c r="C42957" s="8"/>
      <c r="D42957" s="8"/>
    </row>
    <row r="42958" spans="1:4" ht="15.75" customHeight="1">
      <c r="A42958" s="8"/>
      <c r="B42958" s="12"/>
      <c r="C42958" s="8"/>
      <c r="D42958" s="8"/>
    </row>
    <row r="42959" spans="1:4" ht="15.75" customHeight="1">
      <c r="A42959" s="8"/>
      <c r="B42959" s="12"/>
      <c r="C42959" s="8"/>
      <c r="D42959" s="8"/>
    </row>
    <row r="42960" spans="1:4" ht="15.75" customHeight="1">
      <c r="A42960" s="8"/>
      <c r="B42960" s="12"/>
      <c r="C42960" s="8"/>
      <c r="D42960" s="8"/>
    </row>
    <row r="42961" spans="1:4" ht="15.75" customHeight="1">
      <c r="A42961" s="8"/>
      <c r="B42961" s="12"/>
      <c r="C42961" s="8"/>
      <c r="D42961" s="8"/>
    </row>
    <row r="42962" spans="1:4" ht="15.75" customHeight="1">
      <c r="A42962" s="8"/>
      <c r="B42962" s="12"/>
      <c r="C42962" s="8"/>
      <c r="D42962" s="8"/>
    </row>
    <row r="42963" spans="1:4" ht="15.75" customHeight="1">
      <c r="A42963" s="8"/>
      <c r="B42963" s="12"/>
      <c r="C42963" s="8"/>
      <c r="D42963" s="8"/>
    </row>
    <row r="42964" spans="1:4" ht="15.75" customHeight="1">
      <c r="A42964" s="8"/>
      <c r="B42964" s="12"/>
      <c r="C42964" s="8"/>
      <c r="D42964" s="8"/>
    </row>
    <row r="42965" spans="1:4" ht="15.75" customHeight="1">
      <c r="A42965" s="8"/>
      <c r="B42965" s="12"/>
      <c r="C42965" s="8"/>
      <c r="D42965" s="8"/>
    </row>
    <row r="42966" spans="1:4" ht="15.75" customHeight="1">
      <c r="A42966" s="8"/>
      <c r="B42966" s="12"/>
      <c r="C42966" s="8"/>
      <c r="D42966" s="8"/>
    </row>
    <row r="42967" spans="1:4" ht="15.75" customHeight="1">
      <c r="A42967" s="8"/>
      <c r="B42967" s="12"/>
      <c r="C42967" s="8"/>
      <c r="D42967" s="8"/>
    </row>
    <row r="42968" spans="1:4" ht="15.75" customHeight="1">
      <c r="A42968" s="8"/>
      <c r="B42968" s="12"/>
      <c r="C42968" s="8"/>
      <c r="D42968" s="8"/>
    </row>
    <row r="42969" spans="1:4" ht="15.75" customHeight="1">
      <c r="A42969" s="8"/>
      <c r="B42969" s="12"/>
      <c r="C42969" s="8"/>
      <c r="D42969" s="8"/>
    </row>
    <row r="42970" spans="1:4" ht="15.75" customHeight="1">
      <c r="A42970" s="8"/>
      <c r="B42970" s="12"/>
      <c r="C42970" s="8"/>
      <c r="D42970" s="8"/>
    </row>
    <row r="42971" spans="1:4" ht="15.75" customHeight="1">
      <c r="A42971" s="8"/>
      <c r="B42971" s="12"/>
      <c r="C42971" s="8"/>
      <c r="D42971" s="8"/>
    </row>
    <row r="42972" spans="1:4" ht="15.75" customHeight="1">
      <c r="A42972" s="8"/>
      <c r="B42972" s="12"/>
      <c r="C42972" s="8"/>
      <c r="D42972" s="8"/>
    </row>
    <row r="42973" spans="1:4" ht="15.75" customHeight="1">
      <c r="A42973" s="8"/>
      <c r="B42973" s="12"/>
      <c r="C42973" s="8"/>
      <c r="D42973" s="8"/>
    </row>
    <row r="42974" spans="1:4" ht="15.75" customHeight="1">
      <c r="A42974" s="8"/>
      <c r="B42974" s="12"/>
      <c r="C42974" s="8"/>
      <c r="D42974" s="8"/>
    </row>
    <row r="42975" spans="1:4" ht="15.75" customHeight="1">
      <c r="A42975" s="8"/>
      <c r="B42975" s="12"/>
      <c r="C42975" s="8"/>
      <c r="D42975" s="8"/>
    </row>
    <row r="42976" spans="1:4" ht="15.75" customHeight="1">
      <c r="A42976" s="8"/>
      <c r="B42976" s="12"/>
      <c r="C42976" s="8"/>
      <c r="D42976" s="8"/>
    </row>
    <row r="42977" spans="1:4" ht="15.75" customHeight="1">
      <c r="A42977" s="8"/>
      <c r="B42977" s="12"/>
      <c r="C42977" s="8"/>
      <c r="D42977" s="8"/>
    </row>
    <row r="42978" spans="1:4" ht="15.75" customHeight="1">
      <c r="A42978" s="8"/>
      <c r="B42978" s="12"/>
      <c r="C42978" s="8"/>
      <c r="D42978" s="8"/>
    </row>
    <row r="42979" spans="1:4" ht="15.75" customHeight="1">
      <c r="A42979" s="8"/>
      <c r="B42979" s="12"/>
      <c r="C42979" s="8"/>
      <c r="D42979" s="8"/>
    </row>
    <row r="42980" spans="1:4" ht="15.75" customHeight="1">
      <c r="A42980" s="8"/>
      <c r="B42980" s="12"/>
      <c r="C42980" s="8"/>
      <c r="D42980" s="8"/>
    </row>
    <row r="42981" spans="1:4" ht="15.75" customHeight="1">
      <c r="A42981" s="8"/>
      <c r="B42981" s="12"/>
      <c r="C42981" s="8"/>
      <c r="D42981" s="8"/>
    </row>
    <row r="42982" spans="1:4" ht="15.75" customHeight="1">
      <c r="A42982" s="8"/>
      <c r="B42982" s="12"/>
      <c r="C42982" s="8"/>
      <c r="D42982" s="8"/>
    </row>
    <row r="42983" spans="1:4" ht="15.75" customHeight="1">
      <c r="A42983" s="8"/>
      <c r="B42983" s="12"/>
      <c r="C42983" s="8"/>
      <c r="D42983" s="8"/>
    </row>
    <row r="42984" spans="1:4" ht="15.75" customHeight="1">
      <c r="A42984" s="8"/>
      <c r="B42984" s="12"/>
      <c r="C42984" s="8"/>
      <c r="D42984" s="8"/>
    </row>
    <row r="42985" spans="1:4" ht="15.75" customHeight="1">
      <c r="A42985" s="8"/>
      <c r="B42985" s="12"/>
      <c r="C42985" s="8"/>
      <c r="D42985" s="8"/>
    </row>
    <row r="42986" spans="1:4" ht="15.75" customHeight="1">
      <c r="A42986" s="8"/>
      <c r="B42986" s="12"/>
      <c r="C42986" s="8"/>
      <c r="D42986" s="8"/>
    </row>
    <row r="42987" spans="1:4" ht="15.75" customHeight="1">
      <c r="A42987" s="8"/>
      <c r="B42987" s="12"/>
      <c r="C42987" s="8"/>
      <c r="D42987" s="8"/>
    </row>
    <row r="42988" spans="1:4" ht="15.75" customHeight="1">
      <c r="A42988" s="8"/>
      <c r="B42988" s="12"/>
      <c r="C42988" s="8"/>
      <c r="D42988" s="8"/>
    </row>
    <row r="42989" spans="1:4" ht="15.75" customHeight="1">
      <c r="A42989" s="8"/>
      <c r="B42989" s="12"/>
      <c r="C42989" s="8"/>
      <c r="D42989" s="8"/>
    </row>
    <row r="42990" spans="1:4" ht="15.75" customHeight="1">
      <c r="A42990" s="8"/>
      <c r="B42990" s="12"/>
      <c r="C42990" s="8"/>
      <c r="D42990" s="8"/>
    </row>
    <row r="42991" spans="1:4" ht="15.75" customHeight="1">
      <c r="A42991" s="8"/>
      <c r="B42991" s="12"/>
      <c r="C42991" s="8"/>
      <c r="D42991" s="8"/>
    </row>
    <row r="42992" spans="1:4" ht="15.75" customHeight="1">
      <c r="A42992" s="8"/>
      <c r="B42992" s="12"/>
      <c r="C42992" s="8"/>
      <c r="D42992" s="8"/>
    </row>
    <row r="42993" spans="1:4" ht="15.75" customHeight="1">
      <c r="A42993" s="8"/>
      <c r="B42993" s="12"/>
      <c r="C42993" s="8"/>
      <c r="D42993" s="8"/>
    </row>
    <row r="42994" spans="1:4" ht="15.75" customHeight="1">
      <c r="A42994" s="8"/>
      <c r="B42994" s="12"/>
      <c r="C42994" s="8"/>
      <c r="D42994" s="8"/>
    </row>
    <row r="42995" spans="1:4" ht="15.75" customHeight="1">
      <c r="A42995" s="8"/>
      <c r="B42995" s="12"/>
      <c r="C42995" s="8"/>
      <c r="D42995" s="8"/>
    </row>
    <row r="42996" spans="1:4" ht="15.75" customHeight="1">
      <c r="A42996" s="8"/>
      <c r="B42996" s="12"/>
      <c r="C42996" s="8"/>
      <c r="D42996" s="8"/>
    </row>
    <row r="42997" spans="1:4" ht="15.75" customHeight="1">
      <c r="A42997" s="8"/>
      <c r="B42997" s="12"/>
      <c r="C42997" s="8"/>
      <c r="D42997" s="8"/>
    </row>
    <row r="42998" spans="1:4" ht="15.75" customHeight="1">
      <c r="A42998" s="8"/>
      <c r="B42998" s="12"/>
      <c r="C42998" s="8"/>
      <c r="D42998" s="8"/>
    </row>
    <row r="42999" spans="1:4" ht="15.75" customHeight="1">
      <c r="A42999" s="8"/>
      <c r="B42999" s="12"/>
      <c r="C42999" s="8"/>
      <c r="D42999" s="8"/>
    </row>
    <row r="43000" spans="1:4" ht="15.75" customHeight="1">
      <c r="A43000" s="8"/>
      <c r="B43000" s="12"/>
      <c r="C43000" s="8"/>
      <c r="D43000" s="8"/>
    </row>
    <row r="43001" spans="1:4" ht="15.75" customHeight="1">
      <c r="A43001" s="8"/>
      <c r="B43001" s="12"/>
      <c r="C43001" s="8"/>
      <c r="D43001" s="8"/>
    </row>
    <row r="43002" spans="1:4" ht="15.75" customHeight="1">
      <c r="A43002" s="8"/>
      <c r="B43002" s="12"/>
      <c r="C43002" s="8"/>
      <c r="D43002" s="8"/>
    </row>
    <row r="43003" spans="1:4" ht="15.75" customHeight="1">
      <c r="A43003" s="8"/>
      <c r="B43003" s="12"/>
      <c r="C43003" s="8"/>
      <c r="D43003" s="8"/>
    </row>
    <row r="43004" spans="1:4" ht="15.75" customHeight="1">
      <c r="A43004" s="8"/>
      <c r="B43004" s="12"/>
      <c r="C43004" s="8"/>
      <c r="D43004" s="8"/>
    </row>
    <row r="43005" spans="1:4" ht="15.75" customHeight="1">
      <c r="A43005" s="8"/>
      <c r="B43005" s="12"/>
      <c r="C43005" s="8"/>
      <c r="D43005" s="8"/>
    </row>
    <row r="43006" spans="1:4" ht="15.75" customHeight="1">
      <c r="A43006" s="8"/>
      <c r="B43006" s="12"/>
      <c r="C43006" s="8"/>
      <c r="D43006" s="8"/>
    </row>
    <row r="43007" spans="1:4" ht="15.75" customHeight="1">
      <c r="A43007" s="8"/>
      <c r="B43007" s="12"/>
      <c r="C43007" s="8"/>
      <c r="D43007" s="8"/>
    </row>
    <row r="43008" spans="1:4" ht="15.75" customHeight="1">
      <c r="A43008" s="8"/>
      <c r="B43008" s="12"/>
      <c r="C43008" s="8"/>
      <c r="D43008" s="8"/>
    </row>
    <row r="43009" spans="1:4" ht="15.75" customHeight="1">
      <c r="A43009" s="8"/>
      <c r="B43009" s="12"/>
      <c r="C43009" s="8"/>
      <c r="D43009" s="8"/>
    </row>
    <row r="43010" spans="1:4" ht="15.75" customHeight="1">
      <c r="A43010" s="8"/>
      <c r="B43010" s="12"/>
      <c r="C43010" s="8"/>
      <c r="D43010" s="8"/>
    </row>
    <row r="43011" spans="1:4" ht="15.75" customHeight="1">
      <c r="A43011" s="8"/>
      <c r="B43011" s="12"/>
      <c r="C43011" s="8"/>
      <c r="D43011" s="8"/>
    </row>
    <row r="43012" spans="1:4" ht="15.75" customHeight="1">
      <c r="A43012" s="8"/>
      <c r="B43012" s="12"/>
      <c r="C43012" s="8"/>
      <c r="D43012" s="8"/>
    </row>
    <row r="43013" spans="1:4" ht="15.75" customHeight="1">
      <c r="A43013" s="8"/>
      <c r="B43013" s="12"/>
      <c r="C43013" s="8"/>
      <c r="D43013" s="8"/>
    </row>
    <row r="43014" spans="1:4" ht="15.75" customHeight="1">
      <c r="A43014" s="8"/>
      <c r="B43014" s="12"/>
      <c r="C43014" s="8"/>
      <c r="D43014" s="8"/>
    </row>
    <row r="43015" spans="1:4" ht="15.75" customHeight="1">
      <c r="A43015" s="8"/>
      <c r="B43015" s="12"/>
      <c r="C43015" s="8"/>
      <c r="D43015" s="8"/>
    </row>
    <row r="43016" spans="1:4" ht="15.75" customHeight="1">
      <c r="A43016" s="8"/>
      <c r="B43016" s="12"/>
      <c r="C43016" s="8"/>
      <c r="D43016" s="8"/>
    </row>
    <row r="43017" spans="1:4" ht="15.75" customHeight="1">
      <c r="A43017" s="8"/>
      <c r="B43017" s="12"/>
      <c r="C43017" s="8"/>
      <c r="D43017" s="8"/>
    </row>
    <row r="43018" spans="1:4" ht="15.75" customHeight="1">
      <c r="A43018" s="8"/>
      <c r="B43018" s="12"/>
      <c r="C43018" s="8"/>
      <c r="D43018" s="8"/>
    </row>
    <row r="43019" spans="1:4" ht="15.75" customHeight="1">
      <c r="A43019" s="8"/>
      <c r="B43019" s="12"/>
      <c r="C43019" s="8"/>
      <c r="D43019" s="8"/>
    </row>
    <row r="43020" spans="1:4" ht="15.75" customHeight="1">
      <c r="A43020" s="8"/>
      <c r="B43020" s="12"/>
      <c r="C43020" s="8"/>
      <c r="D43020" s="8"/>
    </row>
    <row r="43021" spans="1:4" ht="15.75" customHeight="1">
      <c r="A43021" s="8"/>
      <c r="B43021" s="12"/>
      <c r="C43021" s="8"/>
      <c r="D43021" s="8"/>
    </row>
    <row r="43022" spans="1:4" ht="15.75" customHeight="1">
      <c r="A43022" s="8"/>
      <c r="B43022" s="12"/>
      <c r="C43022" s="8"/>
      <c r="D43022" s="8"/>
    </row>
    <row r="43023" spans="1:4" ht="15.75" customHeight="1">
      <c r="A43023" s="8"/>
      <c r="B43023" s="12"/>
      <c r="C43023" s="8"/>
      <c r="D43023" s="8"/>
    </row>
    <row r="43024" spans="1:4" ht="15.75" customHeight="1">
      <c r="A43024" s="8"/>
      <c r="B43024" s="12"/>
      <c r="C43024" s="8"/>
      <c r="D43024" s="8"/>
    </row>
    <row r="43025" spans="1:4" ht="15.75" customHeight="1">
      <c r="A43025" s="8"/>
      <c r="B43025" s="12"/>
      <c r="C43025" s="8"/>
      <c r="D43025" s="8"/>
    </row>
    <row r="43026" spans="1:4" ht="15.75" customHeight="1">
      <c r="A43026" s="8"/>
      <c r="B43026" s="12"/>
      <c r="C43026" s="8"/>
      <c r="D43026" s="8"/>
    </row>
    <row r="43027" spans="1:4" ht="15.75" customHeight="1">
      <c r="A43027" s="8"/>
      <c r="B43027" s="12"/>
      <c r="C43027" s="8"/>
      <c r="D43027" s="8"/>
    </row>
    <row r="43028" spans="1:4" ht="15.75" customHeight="1">
      <c r="A43028" s="8"/>
      <c r="B43028" s="12"/>
      <c r="C43028" s="8"/>
      <c r="D43028" s="8"/>
    </row>
    <row r="43029" spans="1:4" ht="15.75" customHeight="1">
      <c r="A43029" s="8"/>
      <c r="B43029" s="12"/>
      <c r="C43029" s="8"/>
      <c r="D43029" s="8"/>
    </row>
    <row r="43030" spans="1:4" ht="15.75" customHeight="1">
      <c r="A43030" s="8"/>
      <c r="B43030" s="12"/>
      <c r="C43030" s="8"/>
      <c r="D43030" s="8"/>
    </row>
    <row r="43031" spans="1:4" ht="15.75" customHeight="1">
      <c r="A43031" s="8"/>
      <c r="B43031" s="12"/>
      <c r="C43031" s="8"/>
      <c r="D43031" s="8"/>
    </row>
    <row r="43032" spans="1:4" ht="15.75" customHeight="1">
      <c r="A43032" s="8"/>
      <c r="B43032" s="12"/>
      <c r="C43032" s="8"/>
      <c r="D43032" s="8"/>
    </row>
    <row r="43033" spans="1:4" ht="15.75" customHeight="1">
      <c r="A43033" s="8"/>
      <c r="B43033" s="12"/>
      <c r="C43033" s="8"/>
      <c r="D43033" s="8"/>
    </row>
    <row r="43034" spans="1:4" ht="15.75" customHeight="1">
      <c r="A43034" s="8"/>
      <c r="B43034" s="12"/>
      <c r="C43034" s="8"/>
      <c r="D43034" s="8"/>
    </row>
    <row r="43035" spans="1:4" ht="15.75" customHeight="1">
      <c r="A43035" s="8"/>
      <c r="B43035" s="12"/>
      <c r="C43035" s="8"/>
      <c r="D43035" s="8"/>
    </row>
    <row r="43036" spans="1:4" ht="15.75" customHeight="1">
      <c r="A43036" s="8"/>
      <c r="B43036" s="12"/>
      <c r="C43036" s="8"/>
      <c r="D43036" s="8"/>
    </row>
    <row r="43037" spans="1:4" ht="15.75" customHeight="1">
      <c r="A43037" s="8"/>
      <c r="B43037" s="12"/>
      <c r="C43037" s="8"/>
      <c r="D43037" s="8"/>
    </row>
    <row r="43038" spans="1:4" ht="15.75" customHeight="1">
      <c r="A43038" s="8"/>
      <c r="B43038" s="12"/>
      <c r="C43038" s="8"/>
      <c r="D43038" s="8"/>
    </row>
    <row r="43039" spans="1:4" ht="15.75" customHeight="1">
      <c r="A43039" s="8"/>
      <c r="B43039" s="12"/>
      <c r="C43039" s="8"/>
      <c r="D43039" s="8"/>
    </row>
    <row r="43040" spans="1:4" ht="15.75" customHeight="1">
      <c r="A43040" s="8"/>
      <c r="B43040" s="12"/>
      <c r="C43040" s="8"/>
      <c r="D43040" s="8"/>
    </row>
    <row r="43041" spans="1:4" ht="15.75" customHeight="1">
      <c r="A43041" s="8"/>
      <c r="B43041" s="12"/>
      <c r="C43041" s="8"/>
      <c r="D43041" s="8"/>
    </row>
    <row r="43042" spans="1:4" ht="15.75" customHeight="1">
      <c r="A43042" s="8"/>
      <c r="B43042" s="12"/>
      <c r="C43042" s="8"/>
      <c r="D43042" s="8"/>
    </row>
    <row r="43043" spans="1:4" ht="15.75" customHeight="1">
      <c r="A43043" s="8"/>
      <c r="B43043" s="12"/>
      <c r="C43043" s="8"/>
      <c r="D43043" s="8"/>
    </row>
    <row r="43044" spans="1:4" ht="15.75" customHeight="1">
      <c r="A43044" s="8"/>
      <c r="B43044" s="12"/>
      <c r="C43044" s="8"/>
      <c r="D43044" s="8"/>
    </row>
    <row r="43045" spans="1:4" ht="15.75" customHeight="1">
      <c r="A43045" s="8"/>
      <c r="B43045" s="12"/>
      <c r="C43045" s="8"/>
      <c r="D43045" s="8"/>
    </row>
    <row r="43046" spans="1:4" ht="15.75" customHeight="1">
      <c r="A43046" s="8"/>
      <c r="B43046" s="12"/>
      <c r="C43046" s="8"/>
      <c r="D43046" s="8"/>
    </row>
    <row r="43047" spans="1:4" ht="15.75" customHeight="1">
      <c r="A43047" s="8"/>
      <c r="B43047" s="12"/>
      <c r="C43047" s="8"/>
      <c r="D43047" s="8"/>
    </row>
    <row r="43048" spans="1:4" ht="15.75" customHeight="1">
      <c r="A43048" s="8"/>
      <c r="B43048" s="12"/>
      <c r="C43048" s="8"/>
      <c r="D43048" s="8"/>
    </row>
    <row r="43049" spans="1:4" ht="15.75" customHeight="1">
      <c r="A43049" s="8"/>
      <c r="B43049" s="12"/>
      <c r="C43049" s="8"/>
      <c r="D43049" s="8"/>
    </row>
    <row r="43050" spans="1:4" ht="15.75" customHeight="1">
      <c r="A43050" s="8"/>
      <c r="B43050" s="12"/>
      <c r="C43050" s="8"/>
      <c r="D43050" s="8"/>
    </row>
    <row r="43051" spans="1:4" ht="15.75" customHeight="1">
      <c r="A43051" s="8"/>
      <c r="B43051" s="12"/>
      <c r="C43051" s="8"/>
      <c r="D43051" s="8"/>
    </row>
    <row r="43052" spans="1:4" ht="15.75" customHeight="1">
      <c r="A43052" s="8"/>
      <c r="B43052" s="12"/>
      <c r="C43052" s="8"/>
      <c r="D43052" s="8"/>
    </row>
    <row r="43053" spans="1:4" ht="15.75" customHeight="1">
      <c r="A43053" s="8"/>
      <c r="B43053" s="12"/>
      <c r="C43053" s="8"/>
      <c r="D43053" s="8"/>
    </row>
    <row r="43054" spans="1:4" ht="15.75" customHeight="1">
      <c r="A43054" s="8"/>
      <c r="B43054" s="12"/>
      <c r="C43054" s="8"/>
      <c r="D43054" s="8"/>
    </row>
    <row r="43055" spans="1:4" ht="15.75" customHeight="1">
      <c r="A43055" s="8"/>
      <c r="B43055" s="12"/>
      <c r="C43055" s="8"/>
      <c r="D43055" s="8"/>
    </row>
    <row r="43056" spans="1:4" ht="15.75" customHeight="1">
      <c r="A43056" s="8"/>
      <c r="B43056" s="12"/>
      <c r="C43056" s="8"/>
      <c r="D43056" s="8"/>
    </row>
    <row r="43057" spans="1:4" ht="15.75" customHeight="1">
      <c r="A43057" s="8"/>
      <c r="B43057" s="12"/>
      <c r="C43057" s="8"/>
      <c r="D43057" s="8"/>
    </row>
    <row r="43058" spans="1:4" ht="15.75" customHeight="1">
      <c r="A43058" s="8"/>
      <c r="B43058" s="12"/>
      <c r="C43058" s="8"/>
      <c r="D43058" s="8"/>
    </row>
    <row r="43059" spans="1:4" ht="15.75" customHeight="1">
      <c r="A43059" s="8"/>
      <c r="B43059" s="12"/>
      <c r="C43059" s="8"/>
      <c r="D43059" s="8"/>
    </row>
    <row r="43060" spans="1:4" ht="15.75" customHeight="1">
      <c r="A43060" s="8"/>
      <c r="B43060" s="12"/>
      <c r="C43060" s="8"/>
      <c r="D43060" s="8"/>
    </row>
    <row r="43061" spans="1:4" ht="15.75" customHeight="1">
      <c r="A43061" s="8"/>
      <c r="B43061" s="12"/>
      <c r="C43061" s="8"/>
      <c r="D43061" s="8"/>
    </row>
    <row r="43062" spans="1:4" ht="15.75" customHeight="1">
      <c r="A43062" s="8"/>
      <c r="B43062" s="12"/>
      <c r="C43062" s="8"/>
      <c r="D43062" s="8"/>
    </row>
    <row r="43063" spans="1:4" ht="15.75" customHeight="1">
      <c r="A43063" s="8"/>
      <c r="B43063" s="12"/>
      <c r="C43063" s="8"/>
      <c r="D43063" s="8"/>
    </row>
    <row r="43064" spans="1:4" ht="15.75" customHeight="1">
      <c r="A43064" s="8"/>
      <c r="B43064" s="12"/>
      <c r="C43064" s="8"/>
      <c r="D43064" s="8"/>
    </row>
    <row r="43065" spans="1:4" ht="15.75" customHeight="1">
      <c r="A43065" s="8"/>
      <c r="B43065" s="12"/>
      <c r="C43065" s="8"/>
      <c r="D43065" s="8"/>
    </row>
    <row r="43066" spans="1:4" ht="15.75" customHeight="1">
      <c r="A43066" s="8"/>
      <c r="B43066" s="12"/>
      <c r="C43066" s="8"/>
      <c r="D43066" s="8"/>
    </row>
    <row r="43067" spans="1:4" ht="15.75" customHeight="1">
      <c r="A43067" s="8"/>
      <c r="B43067" s="12"/>
      <c r="C43067" s="8"/>
      <c r="D43067" s="8"/>
    </row>
    <row r="43068" spans="1:4" ht="15.75" customHeight="1">
      <c r="A43068" s="8"/>
      <c r="B43068" s="12"/>
      <c r="C43068" s="8"/>
      <c r="D43068" s="8"/>
    </row>
    <row r="43069" spans="1:4" ht="15.75" customHeight="1">
      <c r="A43069" s="8"/>
      <c r="B43069" s="12"/>
      <c r="C43069" s="8"/>
      <c r="D43069" s="8"/>
    </row>
    <row r="43070" spans="1:4" ht="15.75" customHeight="1">
      <c r="A43070" s="8"/>
      <c r="B43070" s="12"/>
      <c r="C43070" s="8"/>
      <c r="D43070" s="8"/>
    </row>
    <row r="43071" spans="1:4" ht="15.75" customHeight="1">
      <c r="A43071" s="8"/>
      <c r="B43071" s="12"/>
      <c r="C43071" s="8"/>
      <c r="D43071" s="8"/>
    </row>
    <row r="43072" spans="1:4" ht="15.75" customHeight="1">
      <c r="A43072" s="8"/>
      <c r="B43072" s="12"/>
      <c r="C43072" s="8"/>
      <c r="D43072" s="8"/>
    </row>
    <row r="43073" spans="1:4" ht="15.75" customHeight="1">
      <c r="A43073" s="8"/>
      <c r="B43073" s="12"/>
      <c r="C43073" s="8"/>
      <c r="D43073" s="8"/>
    </row>
    <row r="43074" spans="1:4" ht="15.75" customHeight="1">
      <c r="A43074" s="8"/>
      <c r="B43074" s="12"/>
      <c r="C43074" s="8"/>
      <c r="D43074" s="8"/>
    </row>
    <row r="43075" spans="1:4" ht="15.75" customHeight="1">
      <c r="A43075" s="8"/>
      <c r="B43075" s="12"/>
      <c r="C43075" s="8"/>
      <c r="D43075" s="8"/>
    </row>
    <row r="43076" spans="1:4" ht="15.75" customHeight="1">
      <c r="A43076" s="8"/>
      <c r="B43076" s="12"/>
      <c r="C43076" s="8"/>
      <c r="D43076" s="8"/>
    </row>
    <row r="43077" spans="1:4" ht="15.75" customHeight="1">
      <c r="A43077" s="8"/>
      <c r="B43077" s="12"/>
      <c r="C43077" s="8"/>
      <c r="D43077" s="8"/>
    </row>
    <row r="43078" spans="1:4" ht="15.75" customHeight="1">
      <c r="A43078" s="8"/>
      <c r="B43078" s="12"/>
      <c r="C43078" s="8"/>
      <c r="D43078" s="8"/>
    </row>
    <row r="43079" spans="1:4" ht="15.75" customHeight="1">
      <c r="A43079" s="8"/>
      <c r="B43079" s="12"/>
      <c r="C43079" s="8"/>
      <c r="D43079" s="8"/>
    </row>
    <row r="43080" spans="1:4" ht="15.75" customHeight="1">
      <c r="A43080" s="8"/>
      <c r="B43080" s="12"/>
      <c r="C43080" s="8"/>
      <c r="D43080" s="8"/>
    </row>
    <row r="43081" spans="1:4" ht="15.75" customHeight="1">
      <c r="A43081" s="8"/>
      <c r="B43081" s="12"/>
      <c r="C43081" s="8"/>
      <c r="D43081" s="8"/>
    </row>
    <row r="43082" spans="1:4" ht="15.75" customHeight="1">
      <c r="A43082" s="8"/>
      <c r="B43082" s="12"/>
      <c r="C43082" s="8"/>
      <c r="D43082" s="8"/>
    </row>
    <row r="43083" spans="1:4" ht="15.75" customHeight="1">
      <c r="A43083" s="8"/>
      <c r="B43083" s="12"/>
      <c r="C43083" s="8"/>
      <c r="D43083" s="8"/>
    </row>
    <row r="43084" spans="1:4" ht="15.75" customHeight="1">
      <c r="A43084" s="8"/>
      <c r="B43084" s="12"/>
      <c r="C43084" s="8"/>
      <c r="D43084" s="8"/>
    </row>
    <row r="43085" spans="1:4" ht="15.75" customHeight="1">
      <c r="A43085" s="8"/>
      <c r="B43085" s="12"/>
      <c r="C43085" s="8"/>
      <c r="D43085" s="8"/>
    </row>
    <row r="43086" spans="1:4" ht="15.75" customHeight="1">
      <c r="A43086" s="8"/>
      <c r="B43086" s="12"/>
      <c r="C43086" s="8"/>
      <c r="D43086" s="8"/>
    </row>
    <row r="43087" spans="1:4" ht="15.75" customHeight="1">
      <c r="A43087" s="8"/>
      <c r="B43087" s="12"/>
      <c r="C43087" s="8"/>
      <c r="D43087" s="8"/>
    </row>
    <row r="43088" spans="1:4" ht="15.75" customHeight="1">
      <c r="A43088" s="8"/>
      <c r="B43088" s="12"/>
      <c r="C43088" s="8"/>
      <c r="D43088" s="8"/>
    </row>
    <row r="43089" spans="1:4" ht="15.75" customHeight="1">
      <c r="A43089" s="8"/>
      <c r="B43089" s="12"/>
      <c r="C43089" s="8"/>
      <c r="D43089" s="8"/>
    </row>
    <row r="43090" spans="1:4" ht="15.75" customHeight="1">
      <c r="A43090" s="8"/>
      <c r="B43090" s="12"/>
      <c r="C43090" s="8"/>
      <c r="D43090" s="8"/>
    </row>
    <row r="43091" spans="1:4" ht="15.75" customHeight="1">
      <c r="A43091" s="8"/>
      <c r="B43091" s="12"/>
      <c r="C43091" s="8"/>
      <c r="D43091" s="8"/>
    </row>
    <row r="43092" spans="1:4" ht="15.75" customHeight="1">
      <c r="A43092" s="8"/>
      <c r="B43092" s="12"/>
      <c r="C43092" s="8"/>
      <c r="D43092" s="8"/>
    </row>
    <row r="43093" spans="1:4" ht="15.75" customHeight="1">
      <c r="A43093" s="8"/>
      <c r="B43093" s="12"/>
      <c r="C43093" s="8"/>
      <c r="D43093" s="8"/>
    </row>
    <row r="43094" spans="1:4" ht="15.75" customHeight="1">
      <c r="A43094" s="8"/>
      <c r="B43094" s="12"/>
      <c r="C43094" s="8"/>
      <c r="D43094" s="8"/>
    </row>
    <row r="43095" spans="1:4" ht="15.75" customHeight="1">
      <c r="A43095" s="8"/>
      <c r="B43095" s="12"/>
      <c r="C43095" s="8"/>
      <c r="D43095" s="8"/>
    </row>
    <row r="43096" spans="1:4" ht="15.75" customHeight="1">
      <c r="A43096" s="8"/>
      <c r="B43096" s="12"/>
      <c r="C43096" s="8"/>
      <c r="D43096" s="8"/>
    </row>
    <row r="43097" spans="1:4" ht="15.75" customHeight="1">
      <c r="A43097" s="8"/>
      <c r="B43097" s="12"/>
      <c r="C43097" s="8"/>
      <c r="D43097" s="8"/>
    </row>
    <row r="43098" spans="1:4" ht="15.75" customHeight="1">
      <c r="A43098" s="8"/>
      <c r="B43098" s="12"/>
      <c r="C43098" s="8"/>
      <c r="D43098" s="8"/>
    </row>
    <row r="43099" spans="1:4" ht="15.75" customHeight="1">
      <c r="A43099" s="8"/>
      <c r="B43099" s="12"/>
      <c r="C43099" s="8"/>
      <c r="D43099" s="8"/>
    </row>
    <row r="43100" spans="1:4" ht="15.75" customHeight="1">
      <c r="A43100" s="8"/>
      <c r="B43100" s="12"/>
      <c r="C43100" s="8"/>
      <c r="D43100" s="8"/>
    </row>
    <row r="43101" spans="1:4" ht="15.75" customHeight="1">
      <c r="A43101" s="8"/>
      <c r="B43101" s="12"/>
      <c r="C43101" s="8"/>
      <c r="D43101" s="8"/>
    </row>
    <row r="43102" spans="1:4" ht="15.75" customHeight="1">
      <c r="A43102" s="8"/>
      <c r="B43102" s="12"/>
      <c r="C43102" s="8"/>
      <c r="D43102" s="8"/>
    </row>
    <row r="43103" spans="1:4" ht="15.75" customHeight="1">
      <c r="A43103" s="8"/>
      <c r="B43103" s="12"/>
      <c r="C43103" s="8"/>
      <c r="D43103" s="8"/>
    </row>
    <row r="43104" spans="1:4" ht="15.75" customHeight="1">
      <c r="A43104" s="8"/>
      <c r="B43104" s="12"/>
      <c r="C43104" s="8"/>
      <c r="D43104" s="8"/>
    </row>
    <row r="43105" spans="1:4" ht="15.75" customHeight="1">
      <c r="A43105" s="8"/>
      <c r="B43105" s="12"/>
      <c r="C43105" s="8"/>
      <c r="D43105" s="8"/>
    </row>
    <row r="43106" spans="1:4" ht="15.75" customHeight="1">
      <c r="A43106" s="8"/>
      <c r="B43106" s="12"/>
      <c r="C43106" s="8"/>
      <c r="D43106" s="8"/>
    </row>
    <row r="43107" spans="1:4" ht="15.75" customHeight="1">
      <c r="A43107" s="8"/>
      <c r="B43107" s="12"/>
      <c r="C43107" s="8"/>
      <c r="D43107" s="8"/>
    </row>
    <row r="43108" spans="1:4" ht="15.75" customHeight="1">
      <c r="A43108" s="8"/>
      <c r="B43108" s="12"/>
      <c r="C43108" s="8"/>
      <c r="D43108" s="8"/>
    </row>
    <row r="43109" spans="1:4" ht="15.75" customHeight="1">
      <c r="A43109" s="8"/>
      <c r="B43109" s="12"/>
      <c r="C43109" s="8"/>
      <c r="D43109" s="8"/>
    </row>
    <row r="43110" spans="1:4" ht="15.75" customHeight="1">
      <c r="A43110" s="8"/>
      <c r="B43110" s="12"/>
      <c r="C43110" s="8"/>
      <c r="D43110" s="8"/>
    </row>
    <row r="43111" spans="1:4" ht="15.75" customHeight="1">
      <c r="A43111" s="8"/>
      <c r="B43111" s="12"/>
      <c r="C43111" s="8"/>
      <c r="D43111" s="8"/>
    </row>
    <row r="43112" spans="1:4" ht="15.75" customHeight="1">
      <c r="A43112" s="8"/>
      <c r="B43112" s="12"/>
      <c r="C43112" s="8"/>
      <c r="D43112" s="8"/>
    </row>
    <row r="43113" spans="1:4" ht="15.75" customHeight="1">
      <c r="A43113" s="8"/>
      <c r="B43113" s="12"/>
      <c r="C43113" s="8"/>
      <c r="D43113" s="8"/>
    </row>
    <row r="43114" spans="1:4" ht="15.75" customHeight="1">
      <c r="A43114" s="8"/>
      <c r="B43114" s="12"/>
      <c r="C43114" s="8"/>
      <c r="D43114" s="8"/>
    </row>
    <row r="43115" spans="1:4" ht="15.75" customHeight="1">
      <c r="A43115" s="8"/>
      <c r="B43115" s="12"/>
      <c r="C43115" s="8"/>
      <c r="D43115" s="8"/>
    </row>
    <row r="43116" spans="1:4" ht="15.75" customHeight="1">
      <c r="A43116" s="8"/>
      <c r="B43116" s="12"/>
      <c r="C43116" s="8"/>
      <c r="D43116" s="8"/>
    </row>
    <row r="43117" spans="1:4" ht="15.75" customHeight="1">
      <c r="A43117" s="8"/>
      <c r="B43117" s="12"/>
      <c r="C43117" s="8"/>
      <c r="D43117" s="8"/>
    </row>
    <row r="43118" spans="1:4" ht="15.75" customHeight="1">
      <c r="A43118" s="8"/>
      <c r="B43118" s="12"/>
      <c r="C43118" s="8"/>
      <c r="D43118" s="8"/>
    </row>
    <row r="43119" spans="1:4" ht="15.75" customHeight="1">
      <c r="A43119" s="8"/>
      <c r="B43119" s="12"/>
      <c r="C43119" s="8"/>
      <c r="D43119" s="8"/>
    </row>
    <row r="43120" spans="1:4" ht="15.75" customHeight="1">
      <c r="A43120" s="8"/>
      <c r="B43120" s="12"/>
      <c r="C43120" s="8"/>
      <c r="D43120" s="8"/>
    </row>
    <row r="43121" spans="1:4" ht="15.75" customHeight="1">
      <c r="A43121" s="8"/>
      <c r="B43121" s="12"/>
      <c r="C43121" s="8"/>
      <c r="D43121" s="8"/>
    </row>
    <row r="43122" spans="1:4" ht="15.75" customHeight="1">
      <c r="A43122" s="8"/>
      <c r="B43122" s="12"/>
      <c r="C43122" s="8"/>
      <c r="D43122" s="8"/>
    </row>
    <row r="43123" spans="1:4" ht="15.75" customHeight="1">
      <c r="A43123" s="8"/>
      <c r="B43123" s="12"/>
      <c r="C43123" s="8"/>
      <c r="D43123" s="8"/>
    </row>
    <row r="43124" spans="1:4" ht="15.75" customHeight="1">
      <c r="A43124" s="8"/>
      <c r="B43124" s="12"/>
      <c r="C43124" s="8"/>
      <c r="D43124" s="8"/>
    </row>
    <row r="43125" spans="1:4" ht="15.75" customHeight="1">
      <c r="A43125" s="8"/>
      <c r="B43125" s="12"/>
      <c r="C43125" s="8"/>
      <c r="D43125" s="8"/>
    </row>
    <row r="43126" spans="1:4" ht="15.75" customHeight="1">
      <c r="A43126" s="8"/>
      <c r="B43126" s="12"/>
      <c r="C43126" s="8"/>
      <c r="D43126" s="8"/>
    </row>
    <row r="43127" spans="1:4" ht="15.75" customHeight="1">
      <c r="A43127" s="8"/>
      <c r="B43127" s="12"/>
      <c r="C43127" s="8"/>
      <c r="D43127" s="8"/>
    </row>
    <row r="43128" spans="1:4" ht="15.75" customHeight="1">
      <c r="A43128" s="8"/>
      <c r="B43128" s="12"/>
      <c r="C43128" s="8"/>
      <c r="D43128" s="8"/>
    </row>
    <row r="43129" spans="1:4" ht="15.75" customHeight="1">
      <c r="A43129" s="8"/>
      <c r="B43129" s="12"/>
      <c r="C43129" s="8"/>
      <c r="D43129" s="8"/>
    </row>
    <row r="43130" spans="1:4" ht="15.75" customHeight="1">
      <c r="A43130" s="8"/>
      <c r="B43130" s="12"/>
      <c r="C43130" s="8"/>
      <c r="D43130" s="8"/>
    </row>
    <row r="43131" spans="1:4" ht="15.75" customHeight="1">
      <c r="A43131" s="8"/>
      <c r="B43131" s="12"/>
      <c r="C43131" s="8"/>
      <c r="D43131" s="8"/>
    </row>
    <row r="43132" spans="1:4" ht="15.75" customHeight="1">
      <c r="A43132" s="8"/>
      <c r="B43132" s="12"/>
      <c r="C43132" s="8"/>
      <c r="D43132" s="8"/>
    </row>
    <row r="43133" spans="1:4" ht="15.75" customHeight="1">
      <c r="A43133" s="8"/>
      <c r="B43133" s="12"/>
      <c r="C43133" s="8"/>
      <c r="D43133" s="8"/>
    </row>
    <row r="43134" spans="1:4" ht="15.75" customHeight="1">
      <c r="A43134" s="8"/>
      <c r="B43134" s="12"/>
      <c r="C43134" s="8"/>
      <c r="D43134" s="8"/>
    </row>
    <row r="43135" spans="1:4" ht="15.75" customHeight="1">
      <c r="A43135" s="8"/>
      <c r="B43135" s="12"/>
      <c r="C43135" s="8"/>
      <c r="D43135" s="8"/>
    </row>
    <row r="43136" spans="1:4" ht="15.75" customHeight="1">
      <c r="A43136" s="8"/>
      <c r="B43136" s="12"/>
      <c r="C43136" s="8"/>
      <c r="D43136" s="8"/>
    </row>
    <row r="43137" spans="1:4" ht="15.75" customHeight="1">
      <c r="A43137" s="8"/>
      <c r="B43137" s="12"/>
      <c r="C43137" s="8"/>
      <c r="D43137" s="8"/>
    </row>
    <row r="43138" spans="1:4" ht="15.75" customHeight="1">
      <c r="A43138" s="8"/>
      <c r="B43138" s="12"/>
      <c r="C43138" s="8"/>
      <c r="D43138" s="8"/>
    </row>
    <row r="43139" spans="1:4" ht="15.75" customHeight="1">
      <c r="A43139" s="8"/>
      <c r="B43139" s="12"/>
      <c r="C43139" s="8"/>
      <c r="D43139" s="8"/>
    </row>
    <row r="43140" spans="1:4" ht="15.75" customHeight="1">
      <c r="A43140" s="8"/>
      <c r="B43140" s="12"/>
      <c r="C43140" s="8"/>
      <c r="D43140" s="8"/>
    </row>
    <row r="43141" spans="1:4" ht="15.75" customHeight="1">
      <c r="A43141" s="8"/>
      <c r="B43141" s="12"/>
      <c r="C43141" s="8"/>
      <c r="D43141" s="8"/>
    </row>
    <row r="43142" spans="1:4" ht="15.75" customHeight="1">
      <c r="A43142" s="8"/>
      <c r="B43142" s="12"/>
      <c r="C43142" s="8"/>
      <c r="D43142" s="8"/>
    </row>
    <row r="43143" spans="1:4" ht="15.75" customHeight="1">
      <c r="A43143" s="8"/>
      <c r="B43143" s="12"/>
      <c r="C43143" s="8"/>
      <c r="D43143" s="8"/>
    </row>
    <row r="43144" spans="1:4" ht="15.75" customHeight="1">
      <c r="A43144" s="8"/>
      <c r="B43144" s="12"/>
      <c r="C43144" s="8"/>
      <c r="D43144" s="8"/>
    </row>
    <row r="43145" spans="1:4" ht="15.75" customHeight="1">
      <c r="A43145" s="8"/>
      <c r="B43145" s="12"/>
      <c r="C43145" s="8"/>
      <c r="D43145" s="8"/>
    </row>
    <row r="43146" spans="1:4" ht="15.75" customHeight="1">
      <c r="A43146" s="8"/>
      <c r="B43146" s="12"/>
      <c r="C43146" s="8"/>
      <c r="D43146" s="8"/>
    </row>
    <row r="43147" spans="1:4" ht="15.75" customHeight="1">
      <c r="A43147" s="8"/>
      <c r="B43147" s="12"/>
      <c r="C43147" s="8"/>
      <c r="D43147" s="8"/>
    </row>
    <row r="43148" spans="1:4" ht="15.75" customHeight="1">
      <c r="A43148" s="8"/>
      <c r="B43148" s="12"/>
      <c r="C43148" s="8"/>
      <c r="D43148" s="8"/>
    </row>
    <row r="43149" spans="1:4" ht="15.75" customHeight="1">
      <c r="A43149" s="8"/>
      <c r="B43149" s="12"/>
      <c r="C43149" s="8"/>
      <c r="D43149" s="8"/>
    </row>
    <row r="43150" spans="1:4" ht="15.75" customHeight="1">
      <c r="A43150" s="8"/>
      <c r="B43150" s="12"/>
      <c r="C43150" s="8"/>
      <c r="D43150" s="8"/>
    </row>
    <row r="43151" spans="1:4" ht="15.75" customHeight="1">
      <c r="A43151" s="8"/>
      <c r="B43151" s="12"/>
      <c r="C43151" s="8"/>
      <c r="D43151" s="8"/>
    </row>
    <row r="43152" spans="1:4" ht="15.75" customHeight="1">
      <c r="A43152" s="8"/>
      <c r="B43152" s="12"/>
      <c r="C43152" s="8"/>
      <c r="D43152" s="8"/>
    </row>
    <row r="43153" spans="1:4" ht="15.75" customHeight="1">
      <c r="A43153" s="8"/>
      <c r="B43153" s="12"/>
      <c r="C43153" s="8"/>
      <c r="D43153" s="8"/>
    </row>
    <row r="43154" spans="1:4" ht="15.75" customHeight="1">
      <c r="A43154" s="8"/>
      <c r="B43154" s="12"/>
      <c r="C43154" s="8"/>
      <c r="D43154" s="8"/>
    </row>
    <row r="43155" spans="1:4" ht="15.75" customHeight="1">
      <c r="A43155" s="8"/>
      <c r="B43155" s="12"/>
      <c r="C43155" s="8"/>
      <c r="D43155" s="8"/>
    </row>
    <row r="43156" spans="1:4" ht="15.75" customHeight="1">
      <c r="A43156" s="8"/>
      <c r="B43156" s="12"/>
      <c r="C43156" s="8"/>
      <c r="D43156" s="8"/>
    </row>
    <row r="43157" spans="1:4" ht="15.75" customHeight="1">
      <c r="A43157" s="8"/>
      <c r="B43157" s="12"/>
      <c r="C43157" s="8"/>
      <c r="D43157" s="8"/>
    </row>
    <row r="43158" spans="1:4" ht="15.75" customHeight="1">
      <c r="A43158" s="8"/>
      <c r="B43158" s="12"/>
      <c r="C43158" s="8"/>
      <c r="D43158" s="8"/>
    </row>
    <row r="43159" spans="1:4" ht="15.75" customHeight="1">
      <c r="A43159" s="8"/>
      <c r="B43159" s="12"/>
      <c r="C43159" s="8"/>
      <c r="D43159" s="8"/>
    </row>
    <row r="43160" spans="1:4" ht="15.75" customHeight="1">
      <c r="A43160" s="8"/>
      <c r="B43160" s="12"/>
      <c r="C43160" s="8"/>
      <c r="D43160" s="8"/>
    </row>
    <row r="43161" spans="1:4" ht="15.75" customHeight="1">
      <c r="A43161" s="8"/>
      <c r="B43161" s="12"/>
      <c r="C43161" s="8"/>
      <c r="D43161" s="8"/>
    </row>
    <row r="43162" spans="1:4" ht="15.75" customHeight="1">
      <c r="A43162" s="8"/>
      <c r="B43162" s="12"/>
      <c r="C43162" s="8"/>
      <c r="D43162" s="8"/>
    </row>
    <row r="43163" spans="1:4" ht="15.75" customHeight="1">
      <c r="A43163" s="8"/>
      <c r="B43163" s="12"/>
      <c r="C43163" s="8"/>
      <c r="D43163" s="8"/>
    </row>
    <row r="43164" spans="1:4" ht="15.75" customHeight="1">
      <c r="A43164" s="8"/>
      <c r="B43164" s="12"/>
      <c r="C43164" s="8"/>
      <c r="D43164" s="8"/>
    </row>
    <row r="43165" spans="1:4" ht="15.75" customHeight="1">
      <c r="A43165" s="8"/>
      <c r="B43165" s="12"/>
      <c r="C43165" s="8"/>
      <c r="D43165" s="8"/>
    </row>
    <row r="43166" spans="1:4" ht="15.75" customHeight="1">
      <c r="A43166" s="8"/>
      <c r="B43166" s="12"/>
      <c r="C43166" s="8"/>
      <c r="D43166" s="8"/>
    </row>
    <row r="43167" spans="1:4" ht="15.75" customHeight="1">
      <c r="A43167" s="8"/>
      <c r="B43167" s="12"/>
      <c r="C43167" s="8"/>
      <c r="D43167" s="8"/>
    </row>
    <row r="43168" spans="1:4" ht="15.75" customHeight="1">
      <c r="A43168" s="8"/>
      <c r="B43168" s="12"/>
      <c r="C43168" s="8"/>
      <c r="D43168" s="8"/>
    </row>
    <row r="43169" spans="1:4" ht="15.75" customHeight="1">
      <c r="A43169" s="8"/>
      <c r="B43169" s="12"/>
      <c r="C43169" s="8"/>
      <c r="D43169" s="8"/>
    </row>
    <row r="43170" spans="1:4" ht="15.75" customHeight="1">
      <c r="A43170" s="8"/>
      <c r="B43170" s="12"/>
      <c r="C43170" s="8"/>
      <c r="D43170" s="8"/>
    </row>
    <row r="43171" spans="1:4" ht="15.75" customHeight="1">
      <c r="A43171" s="8"/>
      <c r="B43171" s="12"/>
      <c r="C43171" s="8"/>
      <c r="D43171" s="8"/>
    </row>
    <row r="43172" spans="1:4" ht="15.75" customHeight="1">
      <c r="A43172" s="8"/>
      <c r="B43172" s="12"/>
      <c r="C43172" s="8"/>
      <c r="D43172" s="8"/>
    </row>
    <row r="43173" spans="1:4" ht="15.75" customHeight="1">
      <c r="A43173" s="8"/>
      <c r="B43173" s="12"/>
      <c r="C43173" s="8"/>
      <c r="D43173" s="8"/>
    </row>
    <row r="43174" spans="1:4" ht="15.75" customHeight="1">
      <c r="A43174" s="8"/>
      <c r="B43174" s="12"/>
      <c r="C43174" s="8"/>
      <c r="D43174" s="8"/>
    </row>
    <row r="43175" spans="1:4" ht="15.75" customHeight="1">
      <c r="A43175" s="8"/>
      <c r="B43175" s="12"/>
      <c r="C43175" s="8"/>
      <c r="D43175" s="8"/>
    </row>
    <row r="43176" spans="1:4" ht="15.75" customHeight="1">
      <c r="A43176" s="8"/>
      <c r="B43176" s="12"/>
      <c r="C43176" s="8"/>
      <c r="D43176" s="8"/>
    </row>
    <row r="43177" spans="1:4" ht="15.75" customHeight="1">
      <c r="A43177" s="8"/>
      <c r="B43177" s="12"/>
      <c r="C43177" s="8"/>
      <c r="D43177" s="8"/>
    </row>
    <row r="43178" spans="1:4" ht="15.75" customHeight="1">
      <c r="A43178" s="8"/>
      <c r="B43178" s="12"/>
      <c r="C43178" s="8"/>
      <c r="D43178" s="8"/>
    </row>
    <row r="43179" spans="1:4" ht="15.75" customHeight="1">
      <c r="A43179" s="8"/>
      <c r="B43179" s="12"/>
      <c r="C43179" s="8"/>
      <c r="D43179" s="8"/>
    </row>
    <row r="43180" spans="1:4" ht="15.75" customHeight="1">
      <c r="A43180" s="8"/>
      <c r="B43180" s="12"/>
      <c r="C43180" s="8"/>
      <c r="D43180" s="8"/>
    </row>
    <row r="43181" spans="1:4" ht="15.75" customHeight="1">
      <c r="A43181" s="8"/>
      <c r="B43181" s="12"/>
      <c r="C43181" s="8"/>
      <c r="D43181" s="8"/>
    </row>
    <row r="43182" spans="1:4" ht="15.75" customHeight="1">
      <c r="A43182" s="8"/>
      <c r="B43182" s="12"/>
      <c r="C43182" s="8"/>
      <c r="D43182" s="8"/>
    </row>
    <row r="43183" spans="1:4" ht="15.75" customHeight="1">
      <c r="A43183" s="8"/>
      <c r="B43183" s="12"/>
      <c r="C43183" s="8"/>
      <c r="D43183" s="8"/>
    </row>
    <row r="43184" spans="1:4" ht="15.75" customHeight="1">
      <c r="A43184" s="8"/>
      <c r="B43184" s="12"/>
      <c r="C43184" s="8"/>
      <c r="D43184" s="8"/>
    </row>
    <row r="43185" spans="1:4" ht="15.75" customHeight="1">
      <c r="A43185" s="8"/>
      <c r="B43185" s="12"/>
      <c r="C43185" s="8"/>
      <c r="D43185" s="8"/>
    </row>
    <row r="43186" spans="1:4" ht="15.75" customHeight="1">
      <c r="A43186" s="8"/>
      <c r="B43186" s="12"/>
      <c r="C43186" s="8"/>
      <c r="D43186" s="8"/>
    </row>
    <row r="43187" spans="1:4" ht="15.75" customHeight="1">
      <c r="A43187" s="8"/>
      <c r="B43187" s="12"/>
      <c r="C43187" s="8"/>
      <c r="D43187" s="8"/>
    </row>
    <row r="43188" spans="1:4" ht="15.75" customHeight="1">
      <c r="A43188" s="8"/>
      <c r="B43188" s="12"/>
      <c r="C43188" s="8"/>
      <c r="D43188" s="8"/>
    </row>
    <row r="43189" spans="1:4" ht="15.75" customHeight="1">
      <c r="A43189" s="8"/>
      <c r="B43189" s="12"/>
      <c r="C43189" s="8"/>
      <c r="D43189" s="8"/>
    </row>
    <row r="43190" spans="1:4" ht="15.75" customHeight="1">
      <c r="A43190" s="8"/>
      <c r="B43190" s="12"/>
      <c r="C43190" s="8"/>
      <c r="D43190" s="8"/>
    </row>
    <row r="43191" spans="1:4" ht="15.75" customHeight="1">
      <c r="A43191" s="8"/>
      <c r="B43191" s="12"/>
      <c r="C43191" s="8"/>
      <c r="D43191" s="8"/>
    </row>
    <row r="43192" spans="1:4" ht="15.75" customHeight="1">
      <c r="A43192" s="8"/>
      <c r="B43192" s="12"/>
      <c r="C43192" s="8"/>
      <c r="D43192" s="8"/>
    </row>
    <row r="43193" spans="1:4" ht="15.75" customHeight="1">
      <c r="A43193" s="8"/>
      <c r="B43193" s="12"/>
      <c r="C43193" s="8"/>
      <c r="D43193" s="8"/>
    </row>
    <row r="43194" spans="1:4" ht="15.75" customHeight="1">
      <c r="A43194" s="8"/>
      <c r="B43194" s="12"/>
      <c r="C43194" s="8"/>
      <c r="D43194" s="8"/>
    </row>
    <row r="43195" spans="1:4" ht="15.75" customHeight="1">
      <c r="A43195" s="8"/>
      <c r="B43195" s="12"/>
      <c r="C43195" s="8"/>
      <c r="D43195" s="8"/>
    </row>
    <row r="43196" spans="1:4" ht="15.75" customHeight="1">
      <c r="A43196" s="8"/>
      <c r="B43196" s="12"/>
      <c r="C43196" s="8"/>
      <c r="D43196" s="8"/>
    </row>
    <row r="43197" spans="1:4" ht="15.75" customHeight="1">
      <c r="A43197" s="8"/>
      <c r="B43197" s="12"/>
      <c r="C43197" s="8"/>
      <c r="D43197" s="8"/>
    </row>
    <row r="43198" spans="1:4" ht="15.75" customHeight="1">
      <c r="A43198" s="8"/>
      <c r="B43198" s="12"/>
      <c r="C43198" s="8"/>
      <c r="D43198" s="8"/>
    </row>
    <row r="43199" spans="1:4" ht="15.75" customHeight="1">
      <c r="A43199" s="8"/>
      <c r="B43199" s="12"/>
      <c r="C43199" s="8"/>
      <c r="D43199" s="8"/>
    </row>
    <row r="43200" spans="1:4" ht="15.75" customHeight="1">
      <c r="A43200" s="8"/>
      <c r="B43200" s="12"/>
      <c r="C43200" s="8"/>
      <c r="D43200" s="8"/>
    </row>
    <row r="43201" spans="1:4" ht="15.75" customHeight="1">
      <c r="A43201" s="8"/>
      <c r="B43201" s="12"/>
      <c r="C43201" s="8"/>
      <c r="D43201" s="8"/>
    </row>
    <row r="43202" spans="1:4" ht="15.75" customHeight="1">
      <c r="A43202" s="8"/>
      <c r="B43202" s="12"/>
      <c r="C43202" s="8"/>
      <c r="D43202" s="8"/>
    </row>
    <row r="43203" spans="1:4" ht="15.75" customHeight="1">
      <c r="A43203" s="8"/>
      <c r="B43203" s="12"/>
      <c r="C43203" s="8"/>
      <c r="D43203" s="8"/>
    </row>
    <row r="43204" spans="1:4" ht="15.75" customHeight="1">
      <c r="A43204" s="8"/>
      <c r="B43204" s="12"/>
      <c r="C43204" s="8"/>
      <c r="D43204" s="8"/>
    </row>
    <row r="43205" spans="1:4" ht="15.75" customHeight="1">
      <c r="A43205" s="8"/>
      <c r="B43205" s="12"/>
      <c r="C43205" s="8"/>
      <c r="D43205" s="8"/>
    </row>
    <row r="43206" spans="1:4" ht="15.75" customHeight="1">
      <c r="A43206" s="8"/>
      <c r="B43206" s="12"/>
      <c r="C43206" s="8"/>
      <c r="D43206" s="8"/>
    </row>
    <row r="43207" spans="1:4" ht="15.75" customHeight="1">
      <c r="A43207" s="8"/>
      <c r="B43207" s="12"/>
      <c r="C43207" s="8"/>
      <c r="D43207" s="8"/>
    </row>
    <row r="43208" spans="1:4" ht="15.75" customHeight="1">
      <c r="A43208" s="8"/>
      <c r="B43208" s="12"/>
      <c r="C43208" s="8"/>
      <c r="D43208" s="8"/>
    </row>
    <row r="43209" spans="1:4" ht="15.75" customHeight="1">
      <c r="A43209" s="8"/>
      <c r="B43209" s="12"/>
      <c r="C43209" s="8"/>
      <c r="D43209" s="8"/>
    </row>
    <row r="43210" spans="1:4" ht="15.75" customHeight="1">
      <c r="A43210" s="8"/>
      <c r="B43210" s="12"/>
      <c r="C43210" s="8"/>
      <c r="D43210" s="8"/>
    </row>
    <row r="43211" spans="1:4" ht="15.75" customHeight="1">
      <c r="A43211" s="8"/>
      <c r="B43211" s="12"/>
      <c r="C43211" s="8"/>
      <c r="D43211" s="8"/>
    </row>
    <row r="43212" spans="1:4" ht="15.75" customHeight="1">
      <c r="A43212" s="8"/>
      <c r="B43212" s="12"/>
      <c r="C43212" s="8"/>
      <c r="D43212" s="8"/>
    </row>
    <row r="43213" spans="1:4" ht="15.75" customHeight="1">
      <c r="A43213" s="8"/>
      <c r="B43213" s="12"/>
      <c r="C43213" s="8"/>
      <c r="D43213" s="8"/>
    </row>
    <row r="43214" spans="1:4" ht="15.75" customHeight="1">
      <c r="A43214" s="8"/>
      <c r="B43214" s="12"/>
      <c r="C43214" s="8"/>
      <c r="D43214" s="8"/>
    </row>
    <row r="43215" spans="1:4" ht="15.75" customHeight="1">
      <c r="A43215" s="8"/>
      <c r="B43215" s="12"/>
      <c r="C43215" s="8"/>
      <c r="D43215" s="8"/>
    </row>
    <row r="43216" spans="1:4" ht="15.75" customHeight="1">
      <c r="A43216" s="8"/>
      <c r="B43216" s="12"/>
      <c r="C43216" s="8"/>
      <c r="D43216" s="8"/>
    </row>
    <row r="43217" spans="1:4" ht="15.75" customHeight="1">
      <c r="A43217" s="8"/>
      <c r="B43217" s="12"/>
      <c r="C43217" s="8"/>
      <c r="D43217" s="8"/>
    </row>
    <row r="43218" spans="1:4" ht="15.75" customHeight="1">
      <c r="A43218" s="8"/>
      <c r="B43218" s="12"/>
      <c r="C43218" s="8"/>
      <c r="D43218" s="8"/>
    </row>
    <row r="43219" spans="1:4" ht="15.75" customHeight="1">
      <c r="A43219" s="8"/>
      <c r="B43219" s="12"/>
      <c r="C43219" s="8"/>
      <c r="D43219" s="8"/>
    </row>
    <row r="43220" spans="1:4" ht="15.75" customHeight="1">
      <c r="A43220" s="8"/>
      <c r="B43220" s="12"/>
      <c r="C43220" s="8"/>
      <c r="D43220" s="8"/>
    </row>
    <row r="43221" spans="1:4" ht="15.75" customHeight="1">
      <c r="A43221" s="8"/>
      <c r="B43221" s="12"/>
      <c r="C43221" s="8"/>
      <c r="D43221" s="8"/>
    </row>
    <row r="43222" spans="1:4" ht="15.75" customHeight="1">
      <c r="A43222" s="8"/>
      <c r="B43222" s="12"/>
      <c r="C43222" s="8"/>
      <c r="D43222" s="8"/>
    </row>
    <row r="43223" spans="1:4" ht="15.75" customHeight="1">
      <c r="A43223" s="8"/>
      <c r="B43223" s="12"/>
      <c r="C43223" s="8"/>
      <c r="D43223" s="8"/>
    </row>
    <row r="43224" spans="1:4" ht="15.75" customHeight="1">
      <c r="A43224" s="8"/>
      <c r="B43224" s="12"/>
      <c r="C43224" s="8"/>
      <c r="D43224" s="8"/>
    </row>
    <row r="43225" spans="1:4" ht="15.75" customHeight="1">
      <c r="A43225" s="8"/>
      <c r="B43225" s="12"/>
      <c r="C43225" s="8"/>
      <c r="D43225" s="8"/>
    </row>
    <row r="43226" spans="1:4" ht="15.75" customHeight="1">
      <c r="A43226" s="8"/>
      <c r="B43226" s="12"/>
      <c r="C43226" s="8"/>
      <c r="D43226" s="8"/>
    </row>
    <row r="43227" spans="1:4" ht="15.75" customHeight="1">
      <c r="A43227" s="8"/>
      <c r="B43227" s="12"/>
      <c r="C43227" s="8"/>
      <c r="D43227" s="8"/>
    </row>
    <row r="43228" spans="1:4" ht="15.75" customHeight="1">
      <c r="A43228" s="8"/>
      <c r="B43228" s="12"/>
      <c r="C43228" s="8"/>
      <c r="D43228" s="8"/>
    </row>
    <row r="43229" spans="1:4" ht="15.75" customHeight="1">
      <c r="A43229" s="8"/>
      <c r="B43229" s="12"/>
      <c r="C43229" s="8"/>
      <c r="D43229" s="8"/>
    </row>
    <row r="43230" spans="1:4" ht="15.75" customHeight="1">
      <c r="A43230" s="8"/>
      <c r="B43230" s="12"/>
      <c r="C43230" s="8"/>
      <c r="D43230" s="8"/>
    </row>
    <row r="43231" spans="1:4" ht="15.75" customHeight="1">
      <c r="A43231" s="8"/>
      <c r="B43231" s="12"/>
      <c r="C43231" s="8"/>
      <c r="D43231" s="8"/>
    </row>
    <row r="43232" spans="1:4" ht="15.75" customHeight="1">
      <c r="A43232" s="8"/>
      <c r="B43232" s="12"/>
      <c r="C43232" s="8"/>
      <c r="D43232" s="8"/>
    </row>
    <row r="43233" spans="1:4" ht="15.75" customHeight="1">
      <c r="A43233" s="8"/>
      <c r="B43233" s="12"/>
      <c r="C43233" s="8"/>
      <c r="D43233" s="8"/>
    </row>
    <row r="43234" spans="1:4" ht="15.75" customHeight="1">
      <c r="A43234" s="8"/>
      <c r="B43234" s="12"/>
      <c r="C43234" s="8"/>
      <c r="D43234" s="8"/>
    </row>
    <row r="43235" spans="1:4" ht="15.75" customHeight="1">
      <c r="A43235" s="8"/>
      <c r="B43235" s="12"/>
      <c r="C43235" s="8"/>
      <c r="D43235" s="8"/>
    </row>
    <row r="43236" spans="1:4" ht="15.75" customHeight="1">
      <c r="A43236" s="8"/>
      <c r="B43236" s="12"/>
      <c r="C43236" s="8"/>
      <c r="D43236" s="8"/>
    </row>
    <row r="43237" spans="1:4" ht="15.75" customHeight="1">
      <c r="A43237" s="8"/>
      <c r="B43237" s="12"/>
      <c r="C43237" s="8"/>
      <c r="D43237" s="8"/>
    </row>
    <row r="43238" spans="1:4" ht="15.75" customHeight="1">
      <c r="A43238" s="8"/>
      <c r="B43238" s="12"/>
      <c r="C43238" s="8"/>
      <c r="D43238" s="8"/>
    </row>
    <row r="43239" spans="1:4" ht="15.75" customHeight="1">
      <c r="A43239" s="8"/>
      <c r="B43239" s="12"/>
      <c r="C43239" s="8"/>
      <c r="D43239" s="8"/>
    </row>
    <row r="43240" spans="1:4" ht="15.75" customHeight="1">
      <c r="A43240" s="8"/>
      <c r="B43240" s="12"/>
      <c r="C43240" s="8"/>
      <c r="D43240" s="8"/>
    </row>
    <row r="43241" spans="1:4" ht="15.75" customHeight="1">
      <c r="A43241" s="8"/>
      <c r="B43241" s="12"/>
      <c r="C43241" s="8"/>
      <c r="D43241" s="8"/>
    </row>
    <row r="43242" spans="1:4" ht="15.75" customHeight="1">
      <c r="A43242" s="8"/>
      <c r="B43242" s="12"/>
      <c r="C43242" s="8"/>
      <c r="D43242" s="8"/>
    </row>
    <row r="43243" spans="1:4" ht="15.75" customHeight="1">
      <c r="A43243" s="8"/>
      <c r="B43243" s="12"/>
      <c r="C43243" s="8"/>
      <c r="D43243" s="8"/>
    </row>
    <row r="43244" spans="1:4" ht="15.75" customHeight="1">
      <c r="A43244" s="8"/>
      <c r="B43244" s="12"/>
      <c r="C43244" s="8"/>
      <c r="D43244" s="8"/>
    </row>
    <row r="43245" spans="1:4" ht="15.75" customHeight="1">
      <c r="A43245" s="8"/>
      <c r="B43245" s="12"/>
      <c r="C43245" s="8"/>
      <c r="D43245" s="8"/>
    </row>
    <row r="43246" spans="1:4" ht="15.75" customHeight="1">
      <c r="A43246" s="8"/>
      <c r="B43246" s="12"/>
      <c r="C43246" s="8"/>
      <c r="D43246" s="8"/>
    </row>
    <row r="43247" spans="1:4" ht="15.75" customHeight="1">
      <c r="A43247" s="8"/>
      <c r="B43247" s="12"/>
      <c r="C43247" s="8"/>
      <c r="D43247" s="8"/>
    </row>
    <row r="43248" spans="1:4" ht="15.75" customHeight="1">
      <c r="A43248" s="8"/>
      <c r="B43248" s="12"/>
      <c r="C43248" s="8"/>
      <c r="D43248" s="8"/>
    </row>
    <row r="43249" spans="1:4" ht="15.75" customHeight="1">
      <c r="A43249" s="8"/>
      <c r="B43249" s="12"/>
      <c r="C43249" s="8"/>
      <c r="D43249" s="8"/>
    </row>
    <row r="43250" spans="1:4" ht="15.75" customHeight="1">
      <c r="A43250" s="8"/>
      <c r="B43250" s="12"/>
      <c r="C43250" s="8"/>
      <c r="D43250" s="8"/>
    </row>
    <row r="43251" spans="1:4" ht="15.75" customHeight="1">
      <c r="A43251" s="8"/>
      <c r="B43251" s="12"/>
      <c r="C43251" s="8"/>
      <c r="D43251" s="8"/>
    </row>
    <row r="43252" spans="1:4" ht="15.75" customHeight="1">
      <c r="A43252" s="8"/>
      <c r="B43252" s="12"/>
      <c r="C43252" s="8"/>
      <c r="D43252" s="8"/>
    </row>
    <row r="43253" spans="1:4" ht="15.75" customHeight="1">
      <c r="A43253" s="8"/>
      <c r="B43253" s="12"/>
      <c r="C43253" s="8"/>
      <c r="D43253" s="8"/>
    </row>
    <row r="43254" spans="1:4" ht="15.75" customHeight="1">
      <c r="A43254" s="8"/>
      <c r="B43254" s="12"/>
      <c r="C43254" s="8"/>
      <c r="D43254" s="8"/>
    </row>
    <row r="43255" spans="1:4" ht="15.75" customHeight="1">
      <c r="A43255" s="8"/>
      <c r="B43255" s="12"/>
      <c r="C43255" s="8"/>
      <c r="D43255" s="8"/>
    </row>
    <row r="43256" spans="1:4" ht="15.75" customHeight="1">
      <c r="A43256" s="8"/>
      <c r="B43256" s="12"/>
      <c r="C43256" s="8"/>
      <c r="D43256" s="8"/>
    </row>
    <row r="43257" spans="1:4" ht="15.75" customHeight="1">
      <c r="A43257" s="8"/>
      <c r="B43257" s="12"/>
      <c r="C43257" s="8"/>
      <c r="D43257" s="8"/>
    </row>
    <row r="43258" spans="1:4" ht="15.75" customHeight="1">
      <c r="A43258" s="8"/>
      <c r="B43258" s="12"/>
      <c r="C43258" s="8"/>
      <c r="D43258" s="8"/>
    </row>
    <row r="43259" spans="1:4" ht="15.75" customHeight="1">
      <c r="A43259" s="8"/>
      <c r="B43259" s="12"/>
      <c r="C43259" s="8"/>
      <c r="D43259" s="8"/>
    </row>
    <row r="43260" spans="1:4" ht="15.75" customHeight="1">
      <c r="A43260" s="8"/>
      <c r="B43260" s="12"/>
      <c r="C43260" s="8"/>
      <c r="D43260" s="8"/>
    </row>
    <row r="43261" spans="1:4" ht="15.75" customHeight="1">
      <c r="A43261" s="8"/>
      <c r="B43261" s="12"/>
      <c r="C43261" s="8"/>
      <c r="D43261" s="8"/>
    </row>
    <row r="43262" spans="1:4" ht="15.75" customHeight="1">
      <c r="A43262" s="8"/>
      <c r="B43262" s="12"/>
      <c r="C43262" s="8"/>
      <c r="D43262" s="8"/>
    </row>
    <row r="43263" spans="1:4" ht="15.75" customHeight="1">
      <c r="A43263" s="8"/>
      <c r="B43263" s="12"/>
      <c r="C43263" s="8"/>
      <c r="D43263" s="8"/>
    </row>
    <row r="43264" spans="1:4" ht="15.75" customHeight="1">
      <c r="A43264" s="8"/>
      <c r="B43264" s="12"/>
      <c r="C43264" s="8"/>
      <c r="D43264" s="8"/>
    </row>
    <row r="43265" spans="1:4" ht="15.75" customHeight="1">
      <c r="A43265" s="8"/>
      <c r="B43265" s="12"/>
      <c r="C43265" s="8"/>
      <c r="D43265" s="8"/>
    </row>
    <row r="43266" spans="1:4" ht="15.75" customHeight="1">
      <c r="A43266" s="8"/>
      <c r="B43266" s="12"/>
      <c r="C43266" s="8"/>
      <c r="D43266" s="8"/>
    </row>
    <row r="43267" spans="1:4" ht="15.75" customHeight="1">
      <c r="A43267" s="8"/>
      <c r="B43267" s="12"/>
      <c r="C43267" s="8"/>
      <c r="D43267" s="8"/>
    </row>
    <row r="43268" spans="1:4" ht="15.75" customHeight="1">
      <c r="A43268" s="8"/>
      <c r="B43268" s="12"/>
      <c r="C43268" s="8"/>
      <c r="D43268" s="8"/>
    </row>
    <row r="43269" spans="1:4" ht="15.75" customHeight="1">
      <c r="A43269" s="8"/>
      <c r="B43269" s="12"/>
      <c r="C43269" s="8"/>
      <c r="D43269" s="8"/>
    </row>
    <row r="43270" spans="1:4" ht="15.75" customHeight="1">
      <c r="A43270" s="8"/>
      <c r="B43270" s="12"/>
      <c r="C43270" s="8"/>
      <c r="D43270" s="8"/>
    </row>
    <row r="43271" spans="1:4" ht="15.75" customHeight="1">
      <c r="A43271" s="8"/>
      <c r="B43271" s="12"/>
      <c r="C43271" s="8"/>
      <c r="D43271" s="8"/>
    </row>
    <row r="43272" spans="1:4" ht="15.75" customHeight="1">
      <c r="A43272" s="8"/>
      <c r="B43272" s="12"/>
      <c r="C43272" s="8"/>
      <c r="D43272" s="8"/>
    </row>
    <row r="43273" spans="1:4" ht="15.75" customHeight="1">
      <c r="A43273" s="8"/>
      <c r="B43273" s="12"/>
      <c r="C43273" s="8"/>
      <c r="D43273" s="8"/>
    </row>
    <row r="43274" spans="1:4" ht="15.75" customHeight="1">
      <c r="A43274" s="8"/>
      <c r="B43274" s="12"/>
      <c r="C43274" s="8"/>
      <c r="D43274" s="8"/>
    </row>
    <row r="43275" spans="1:4" ht="15.75" customHeight="1">
      <c r="A43275" s="8"/>
      <c r="B43275" s="12"/>
      <c r="C43275" s="8"/>
      <c r="D43275" s="8"/>
    </row>
    <row r="43276" spans="1:4" ht="15.75" customHeight="1">
      <c r="A43276" s="8"/>
      <c r="B43276" s="12"/>
      <c r="C43276" s="8"/>
      <c r="D43276" s="8"/>
    </row>
    <row r="43277" spans="1:4" ht="15.75" customHeight="1">
      <c r="A43277" s="8"/>
      <c r="B43277" s="12"/>
      <c r="C43277" s="8"/>
      <c r="D43277" s="8"/>
    </row>
    <row r="43278" spans="1:4" ht="15.75" customHeight="1">
      <c r="A43278" s="8"/>
      <c r="B43278" s="12"/>
      <c r="C43278" s="8"/>
      <c r="D43278" s="8"/>
    </row>
    <row r="43279" spans="1:4" ht="15.75" customHeight="1">
      <c r="A43279" s="8"/>
      <c r="B43279" s="12"/>
      <c r="C43279" s="8"/>
      <c r="D43279" s="8"/>
    </row>
    <row r="43280" spans="1:4" ht="15.75" customHeight="1">
      <c r="A43280" s="8"/>
      <c r="B43280" s="12"/>
      <c r="C43280" s="8"/>
      <c r="D43280" s="8"/>
    </row>
    <row r="43281" spans="1:4" ht="15.75" customHeight="1">
      <c r="A43281" s="8"/>
      <c r="B43281" s="12"/>
      <c r="C43281" s="8"/>
      <c r="D43281" s="8"/>
    </row>
    <row r="43282" spans="1:4" ht="15.75" customHeight="1">
      <c r="A43282" s="8"/>
      <c r="B43282" s="12"/>
      <c r="C43282" s="8"/>
      <c r="D43282" s="8"/>
    </row>
    <row r="43283" spans="1:4" ht="15.75" customHeight="1">
      <c r="A43283" s="8"/>
      <c r="B43283" s="12"/>
      <c r="C43283" s="8"/>
      <c r="D43283" s="8"/>
    </row>
    <row r="43284" spans="1:4" ht="15.75" customHeight="1">
      <c r="A43284" s="8"/>
      <c r="B43284" s="12"/>
      <c r="C43284" s="8"/>
      <c r="D43284" s="8"/>
    </row>
    <row r="43285" spans="1:4" ht="15.75" customHeight="1">
      <c r="A43285" s="8"/>
      <c r="B43285" s="12"/>
      <c r="C43285" s="8"/>
      <c r="D43285" s="8"/>
    </row>
    <row r="43286" spans="1:4" ht="15.75" customHeight="1">
      <c r="A43286" s="8"/>
      <c r="B43286" s="12"/>
      <c r="C43286" s="8"/>
      <c r="D43286" s="8"/>
    </row>
    <row r="43287" spans="1:4" ht="15.75" customHeight="1">
      <c r="A43287" s="8"/>
      <c r="B43287" s="12"/>
      <c r="C43287" s="8"/>
      <c r="D43287" s="8"/>
    </row>
    <row r="43288" spans="1:4" ht="15.75" customHeight="1">
      <c r="A43288" s="8"/>
      <c r="B43288" s="12"/>
      <c r="C43288" s="8"/>
      <c r="D43288" s="8"/>
    </row>
    <row r="43289" spans="1:4" ht="15.75" customHeight="1">
      <c r="A43289" s="8"/>
      <c r="B43289" s="12"/>
      <c r="C43289" s="8"/>
      <c r="D43289" s="8"/>
    </row>
    <row r="43290" spans="1:4" ht="15.75" customHeight="1">
      <c r="A43290" s="8"/>
      <c r="B43290" s="12"/>
      <c r="C43290" s="8"/>
      <c r="D43290" s="8"/>
    </row>
    <row r="43291" spans="1:4" ht="15.75" customHeight="1">
      <c r="A43291" s="8"/>
      <c r="B43291" s="12"/>
      <c r="C43291" s="8"/>
      <c r="D43291" s="8"/>
    </row>
    <row r="43292" spans="1:4" ht="15.75" customHeight="1">
      <c r="A43292" s="8"/>
      <c r="B43292" s="12"/>
      <c r="C43292" s="8"/>
      <c r="D43292" s="8"/>
    </row>
    <row r="43293" spans="1:4" ht="15.75" customHeight="1">
      <c r="A43293" s="8"/>
      <c r="B43293" s="12"/>
      <c r="C43293" s="8"/>
      <c r="D43293" s="8"/>
    </row>
    <row r="43294" spans="1:4" ht="15.75" customHeight="1">
      <c r="A43294" s="8"/>
      <c r="B43294" s="12"/>
      <c r="C43294" s="8"/>
      <c r="D43294" s="8"/>
    </row>
    <row r="43295" spans="1:4" ht="15.75" customHeight="1">
      <c r="A43295" s="8"/>
      <c r="B43295" s="12"/>
      <c r="C43295" s="8"/>
      <c r="D43295" s="8"/>
    </row>
    <row r="43296" spans="1:4" ht="15.75" customHeight="1">
      <c r="A43296" s="8"/>
      <c r="B43296" s="12"/>
      <c r="C43296" s="8"/>
      <c r="D43296" s="8"/>
    </row>
    <row r="43297" spans="1:4" ht="15.75" customHeight="1">
      <c r="A43297" s="8"/>
      <c r="B43297" s="12"/>
      <c r="C43297" s="8"/>
      <c r="D43297" s="8"/>
    </row>
    <row r="43298" spans="1:4" ht="15.75" customHeight="1">
      <c r="A43298" s="8"/>
      <c r="B43298" s="12"/>
      <c r="C43298" s="8"/>
      <c r="D43298" s="8"/>
    </row>
    <row r="43299" spans="1:4" ht="15.75" customHeight="1">
      <c r="A43299" s="8"/>
      <c r="B43299" s="12"/>
      <c r="C43299" s="8"/>
      <c r="D43299" s="8"/>
    </row>
    <row r="43300" spans="1:4" ht="15.75" customHeight="1">
      <c r="A43300" s="8"/>
      <c r="B43300" s="12"/>
      <c r="C43300" s="8"/>
      <c r="D43300" s="8"/>
    </row>
    <row r="43301" spans="1:4" ht="15.75" customHeight="1">
      <c r="A43301" s="8"/>
      <c r="B43301" s="12"/>
      <c r="C43301" s="8"/>
      <c r="D43301" s="8"/>
    </row>
    <row r="43302" spans="1:4" ht="15.75" customHeight="1">
      <c r="A43302" s="8"/>
      <c r="B43302" s="12"/>
      <c r="C43302" s="8"/>
      <c r="D43302" s="8"/>
    </row>
    <row r="43303" spans="1:4" ht="15.75" customHeight="1">
      <c r="A43303" s="8"/>
      <c r="B43303" s="12"/>
      <c r="C43303" s="8"/>
      <c r="D43303" s="8"/>
    </row>
    <row r="43304" spans="1:4" ht="15.75" customHeight="1">
      <c r="A43304" s="8"/>
      <c r="B43304" s="12"/>
      <c r="C43304" s="8"/>
      <c r="D43304" s="8"/>
    </row>
    <row r="43305" spans="1:4" ht="15.75" customHeight="1">
      <c r="A43305" s="8"/>
      <c r="B43305" s="12"/>
      <c r="C43305" s="8"/>
      <c r="D43305" s="8"/>
    </row>
    <row r="43306" spans="1:4" ht="15.75" customHeight="1">
      <c r="A43306" s="8"/>
      <c r="B43306" s="12"/>
      <c r="C43306" s="8"/>
      <c r="D43306" s="8"/>
    </row>
    <row r="43307" spans="1:4" ht="15.75" customHeight="1">
      <c r="A43307" s="8"/>
      <c r="B43307" s="12"/>
      <c r="C43307" s="8"/>
      <c r="D43307" s="8"/>
    </row>
    <row r="43308" spans="1:4" ht="15.75" customHeight="1">
      <c r="A43308" s="8"/>
      <c r="B43308" s="12"/>
      <c r="C43308" s="8"/>
      <c r="D43308" s="8"/>
    </row>
    <row r="43309" spans="1:4" ht="15.75" customHeight="1">
      <c r="A43309" s="8"/>
      <c r="B43309" s="12"/>
      <c r="C43309" s="8"/>
      <c r="D43309" s="8"/>
    </row>
    <row r="43310" spans="1:4" ht="15.75" customHeight="1">
      <c r="A43310" s="8"/>
      <c r="B43310" s="12"/>
      <c r="C43310" s="8"/>
      <c r="D43310" s="8"/>
    </row>
    <row r="43311" spans="1:4" ht="15.75" customHeight="1">
      <c r="A43311" s="8"/>
      <c r="B43311" s="12"/>
      <c r="C43311" s="8"/>
      <c r="D43311" s="8"/>
    </row>
    <row r="43312" spans="1:4" ht="15.75" customHeight="1">
      <c r="A43312" s="8"/>
      <c r="B43312" s="12"/>
      <c r="C43312" s="8"/>
      <c r="D43312" s="8"/>
    </row>
    <row r="43313" spans="1:4" ht="15.75" customHeight="1">
      <c r="A43313" s="8"/>
      <c r="B43313" s="12"/>
      <c r="C43313" s="8"/>
      <c r="D43313" s="8"/>
    </row>
    <row r="43314" spans="1:4" ht="15.75" customHeight="1">
      <c r="A43314" s="8"/>
      <c r="B43314" s="12"/>
      <c r="C43314" s="8"/>
      <c r="D43314" s="8"/>
    </row>
    <row r="43315" spans="1:4" ht="15.75" customHeight="1">
      <c r="A43315" s="8"/>
      <c r="B43315" s="12"/>
      <c r="C43315" s="8"/>
      <c r="D43315" s="8"/>
    </row>
    <row r="43316" spans="1:4" ht="15.75" customHeight="1">
      <c r="A43316" s="8"/>
      <c r="B43316" s="12"/>
      <c r="C43316" s="8"/>
      <c r="D43316" s="8"/>
    </row>
    <row r="43317" spans="1:4" ht="15.75" customHeight="1">
      <c r="A43317" s="8"/>
      <c r="B43317" s="12"/>
      <c r="C43317" s="8"/>
      <c r="D43317" s="8"/>
    </row>
    <row r="43318" spans="1:4" ht="15.75" customHeight="1">
      <c r="A43318" s="8"/>
      <c r="B43318" s="12"/>
      <c r="C43318" s="8"/>
      <c r="D43318" s="8"/>
    </row>
    <row r="43319" spans="1:4" ht="15.75" customHeight="1">
      <c r="A43319" s="8"/>
      <c r="B43319" s="12"/>
      <c r="C43319" s="8"/>
      <c r="D43319" s="8"/>
    </row>
    <row r="43320" spans="1:4" ht="15.75" customHeight="1">
      <c r="A43320" s="8"/>
      <c r="B43320" s="12"/>
      <c r="C43320" s="8"/>
      <c r="D43320" s="8"/>
    </row>
    <row r="43321" spans="1:4" ht="15.75" customHeight="1">
      <c r="A43321" s="8"/>
      <c r="B43321" s="12"/>
      <c r="C43321" s="8"/>
      <c r="D43321" s="8"/>
    </row>
    <row r="43322" spans="1:4" ht="15.75" customHeight="1">
      <c r="A43322" s="8"/>
      <c r="B43322" s="12"/>
      <c r="C43322" s="8"/>
      <c r="D43322" s="8"/>
    </row>
    <row r="43323" spans="1:4" ht="15.75" customHeight="1">
      <c r="A43323" s="8"/>
      <c r="B43323" s="12"/>
      <c r="C43323" s="8"/>
      <c r="D43323" s="8"/>
    </row>
    <row r="43324" spans="1:4" ht="15.75" customHeight="1">
      <c r="A43324" s="8"/>
      <c r="B43324" s="12"/>
      <c r="C43324" s="8"/>
      <c r="D43324" s="8"/>
    </row>
    <row r="43325" spans="1:4" ht="15.75" customHeight="1">
      <c r="A43325" s="8"/>
      <c r="B43325" s="12"/>
      <c r="C43325" s="8"/>
      <c r="D43325" s="8"/>
    </row>
    <row r="43326" spans="1:4" ht="15.75" customHeight="1">
      <c r="A43326" s="8"/>
      <c r="B43326" s="12"/>
      <c r="C43326" s="8"/>
      <c r="D43326" s="8"/>
    </row>
    <row r="43327" spans="1:4" ht="15.75" customHeight="1">
      <c r="A43327" s="8"/>
      <c r="B43327" s="12"/>
      <c r="C43327" s="8"/>
      <c r="D43327" s="8"/>
    </row>
    <row r="43328" spans="1:4" ht="15.75" customHeight="1">
      <c r="A43328" s="8"/>
      <c r="B43328" s="12"/>
      <c r="C43328" s="8"/>
      <c r="D43328" s="8"/>
    </row>
    <row r="43329" spans="1:4" ht="15.75" customHeight="1">
      <c r="A43329" s="8"/>
      <c r="B43329" s="12"/>
      <c r="C43329" s="8"/>
      <c r="D43329" s="8"/>
    </row>
    <row r="43330" spans="1:4" ht="15.75" customHeight="1">
      <c r="A43330" s="8"/>
      <c r="B43330" s="12"/>
      <c r="C43330" s="8"/>
      <c r="D43330" s="8"/>
    </row>
    <row r="43331" spans="1:4" ht="15.75" customHeight="1">
      <c r="A43331" s="8"/>
      <c r="B43331" s="12"/>
      <c r="C43331" s="8"/>
      <c r="D43331" s="8"/>
    </row>
    <row r="43332" spans="1:4" ht="15.75" customHeight="1">
      <c r="A43332" s="8"/>
      <c r="B43332" s="12"/>
      <c r="C43332" s="8"/>
      <c r="D43332" s="8"/>
    </row>
    <row r="43333" spans="1:4" ht="15.75" customHeight="1">
      <c r="A43333" s="8"/>
      <c r="B43333" s="12"/>
      <c r="C43333" s="8"/>
      <c r="D43333" s="8"/>
    </row>
    <row r="43334" spans="1:4" ht="15.75" customHeight="1">
      <c r="A43334" s="8"/>
      <c r="B43334" s="12"/>
      <c r="C43334" s="8"/>
      <c r="D43334" s="8"/>
    </row>
    <row r="43335" spans="1:4" ht="15.75" customHeight="1">
      <c r="A43335" s="8"/>
      <c r="B43335" s="12"/>
      <c r="C43335" s="8"/>
      <c r="D43335" s="8"/>
    </row>
    <row r="43336" spans="1:4" ht="15.75" customHeight="1">
      <c r="A43336" s="8"/>
      <c r="B43336" s="12"/>
      <c r="C43336" s="8"/>
      <c r="D43336" s="8"/>
    </row>
    <row r="43337" spans="1:4" ht="15.75" customHeight="1">
      <c r="A43337" s="8"/>
      <c r="B43337" s="12"/>
      <c r="C43337" s="8"/>
      <c r="D43337" s="8"/>
    </row>
    <row r="43338" spans="1:4" ht="15.75" customHeight="1">
      <c r="A43338" s="8"/>
      <c r="B43338" s="12"/>
      <c r="C43338" s="8"/>
      <c r="D43338" s="8"/>
    </row>
    <row r="43339" spans="1:4" ht="15.75" customHeight="1">
      <c r="A43339" s="8"/>
      <c r="B43339" s="12"/>
      <c r="C43339" s="8"/>
      <c r="D43339" s="8"/>
    </row>
    <row r="43340" spans="1:4" ht="15.75" customHeight="1">
      <c r="A43340" s="8"/>
      <c r="B43340" s="12"/>
      <c r="C43340" s="8"/>
      <c r="D43340" s="8"/>
    </row>
    <row r="43341" spans="1:4" ht="15.75" customHeight="1">
      <c r="A43341" s="8"/>
      <c r="B43341" s="12"/>
      <c r="C43341" s="8"/>
      <c r="D43341" s="8"/>
    </row>
    <row r="43342" spans="1:4" ht="15.75" customHeight="1">
      <c r="A43342" s="8"/>
      <c r="B43342" s="12"/>
      <c r="C43342" s="8"/>
      <c r="D43342" s="8"/>
    </row>
    <row r="43343" spans="1:4" ht="15.75" customHeight="1">
      <c r="A43343" s="8"/>
      <c r="B43343" s="12"/>
      <c r="C43343" s="8"/>
      <c r="D43343" s="8"/>
    </row>
    <row r="43344" spans="1:4" ht="15.75" customHeight="1">
      <c r="A43344" s="8"/>
      <c r="B43344" s="12"/>
      <c r="C43344" s="8"/>
      <c r="D43344" s="8"/>
    </row>
    <row r="43345" spans="1:4" ht="15.75" customHeight="1">
      <c r="A43345" s="8"/>
      <c r="B43345" s="12"/>
      <c r="C43345" s="8"/>
      <c r="D43345" s="8"/>
    </row>
    <row r="43346" spans="1:4" ht="15.75" customHeight="1">
      <c r="A43346" s="8"/>
      <c r="B43346" s="12"/>
      <c r="C43346" s="8"/>
      <c r="D43346" s="8"/>
    </row>
    <row r="43347" spans="1:4" ht="15.75" customHeight="1">
      <c r="A43347" s="8"/>
      <c r="B43347" s="12"/>
      <c r="C43347" s="8"/>
      <c r="D43347" s="8"/>
    </row>
    <row r="43348" spans="1:4" ht="15.75" customHeight="1">
      <c r="A43348" s="8"/>
      <c r="B43348" s="12"/>
      <c r="C43348" s="8"/>
      <c r="D43348" s="8"/>
    </row>
    <row r="43349" spans="1:4" ht="15.75" customHeight="1">
      <c r="A43349" s="8"/>
      <c r="B43349" s="12"/>
      <c r="C43349" s="8"/>
      <c r="D43349" s="8"/>
    </row>
    <row r="43350" spans="1:4" ht="15.75" customHeight="1">
      <c r="A43350" s="8"/>
      <c r="B43350" s="12"/>
      <c r="C43350" s="8"/>
      <c r="D43350" s="8"/>
    </row>
    <row r="43351" spans="1:4" ht="15.75" customHeight="1">
      <c r="A43351" s="8"/>
      <c r="B43351" s="12"/>
      <c r="C43351" s="8"/>
      <c r="D43351" s="8"/>
    </row>
    <row r="43352" spans="1:4" ht="15.75" customHeight="1">
      <c r="A43352" s="8"/>
      <c r="B43352" s="12"/>
      <c r="C43352" s="8"/>
      <c r="D43352" s="8"/>
    </row>
    <row r="43353" spans="1:4" ht="15.75" customHeight="1">
      <c r="A43353" s="8"/>
      <c r="B43353" s="12"/>
      <c r="C43353" s="8"/>
      <c r="D43353" s="8"/>
    </row>
    <row r="43354" spans="1:4" ht="15.75" customHeight="1">
      <c r="A43354" s="8"/>
      <c r="B43354" s="12"/>
      <c r="C43354" s="8"/>
      <c r="D43354" s="8"/>
    </row>
    <row r="43355" spans="1:4" ht="15.75" customHeight="1">
      <c r="A43355" s="8"/>
      <c r="B43355" s="12"/>
      <c r="C43355" s="8"/>
      <c r="D43355" s="8"/>
    </row>
    <row r="43356" spans="1:4" ht="15.75" customHeight="1">
      <c r="A43356" s="8"/>
      <c r="B43356" s="12"/>
      <c r="C43356" s="8"/>
      <c r="D43356" s="8"/>
    </row>
    <row r="43357" spans="1:4" ht="15.75" customHeight="1">
      <c r="A43357" s="8"/>
      <c r="B43357" s="12"/>
      <c r="C43357" s="8"/>
      <c r="D43357" s="8"/>
    </row>
    <row r="43358" spans="1:4" ht="15.75" customHeight="1">
      <c r="A43358" s="8"/>
      <c r="B43358" s="12"/>
      <c r="C43358" s="8"/>
      <c r="D43358" s="8"/>
    </row>
    <row r="43359" spans="1:4" ht="15.75" customHeight="1">
      <c r="A43359" s="8"/>
      <c r="B43359" s="12"/>
      <c r="C43359" s="8"/>
      <c r="D43359" s="8"/>
    </row>
    <row r="43360" spans="1:4" ht="15.75" customHeight="1">
      <c r="A43360" s="8"/>
      <c r="B43360" s="12"/>
      <c r="C43360" s="8"/>
      <c r="D43360" s="8"/>
    </row>
    <row r="43361" spans="1:4" ht="15.75" customHeight="1">
      <c r="A43361" s="8"/>
      <c r="B43361" s="12"/>
      <c r="C43361" s="8"/>
      <c r="D43361" s="8"/>
    </row>
    <row r="43362" spans="1:4" ht="15.75" customHeight="1">
      <c r="A43362" s="8"/>
      <c r="B43362" s="12"/>
      <c r="C43362" s="8"/>
      <c r="D43362" s="8"/>
    </row>
    <row r="43363" spans="1:4" ht="15.75" customHeight="1">
      <c r="A43363" s="8"/>
      <c r="B43363" s="12"/>
      <c r="C43363" s="8"/>
      <c r="D43363" s="8"/>
    </row>
    <row r="43364" spans="1:4" ht="15.75" customHeight="1">
      <c r="A43364" s="8"/>
      <c r="B43364" s="12"/>
      <c r="C43364" s="8"/>
      <c r="D43364" s="8"/>
    </row>
    <row r="43365" spans="1:4" ht="15.75" customHeight="1">
      <c r="A43365" s="8"/>
      <c r="B43365" s="12"/>
      <c r="C43365" s="8"/>
      <c r="D43365" s="8"/>
    </row>
    <row r="43366" spans="1:4" ht="15.75" customHeight="1">
      <c r="A43366" s="8"/>
      <c r="B43366" s="12"/>
      <c r="C43366" s="8"/>
      <c r="D43366" s="8"/>
    </row>
    <row r="43367" spans="1:4" ht="15.75" customHeight="1">
      <c r="A43367" s="8"/>
      <c r="B43367" s="12"/>
      <c r="C43367" s="8"/>
      <c r="D43367" s="8"/>
    </row>
    <row r="43368" spans="1:4" ht="15.75" customHeight="1">
      <c r="A43368" s="8"/>
      <c r="B43368" s="12"/>
      <c r="C43368" s="8"/>
      <c r="D43368" s="8"/>
    </row>
    <row r="43369" spans="1:4" ht="15.75" customHeight="1">
      <c r="A43369" s="8"/>
      <c r="B43369" s="12"/>
      <c r="C43369" s="8"/>
      <c r="D43369" s="8"/>
    </row>
    <row r="43370" spans="1:4" ht="15.75" customHeight="1">
      <c r="A43370" s="8"/>
      <c r="B43370" s="12"/>
      <c r="C43370" s="8"/>
      <c r="D43370" s="8"/>
    </row>
    <row r="43371" spans="1:4" ht="15.75" customHeight="1">
      <c r="A43371" s="8"/>
      <c r="B43371" s="12"/>
      <c r="C43371" s="8"/>
      <c r="D43371" s="8"/>
    </row>
    <row r="43372" spans="1:4" ht="15.75" customHeight="1">
      <c r="A43372" s="8"/>
      <c r="B43372" s="12"/>
      <c r="C43372" s="8"/>
      <c r="D43372" s="8"/>
    </row>
    <row r="43373" spans="1:4" ht="15.75" customHeight="1">
      <c r="A43373" s="8"/>
      <c r="B43373" s="12"/>
      <c r="C43373" s="8"/>
      <c r="D43373" s="8"/>
    </row>
    <row r="43374" spans="1:4" ht="15.75" customHeight="1">
      <c r="A43374" s="8"/>
      <c r="B43374" s="12"/>
      <c r="C43374" s="8"/>
      <c r="D43374" s="8"/>
    </row>
    <row r="43375" spans="1:4" ht="15.75" customHeight="1">
      <c r="A43375" s="8"/>
      <c r="B43375" s="12"/>
      <c r="C43375" s="8"/>
      <c r="D43375" s="8"/>
    </row>
    <row r="43376" spans="1:4" ht="15.75" customHeight="1">
      <c r="A43376" s="8"/>
      <c r="B43376" s="12"/>
      <c r="C43376" s="8"/>
      <c r="D43376" s="8"/>
    </row>
    <row r="43377" spans="1:4" ht="15.75" customHeight="1">
      <c r="A43377" s="8"/>
      <c r="B43377" s="12"/>
      <c r="C43377" s="8"/>
      <c r="D43377" s="8"/>
    </row>
    <row r="43378" spans="1:4" ht="15.75" customHeight="1">
      <c r="A43378" s="8"/>
      <c r="B43378" s="12"/>
      <c r="C43378" s="8"/>
      <c r="D43378" s="8"/>
    </row>
    <row r="43379" spans="1:4" ht="15.75" customHeight="1">
      <c r="A43379" s="8"/>
      <c r="B43379" s="12"/>
      <c r="C43379" s="8"/>
      <c r="D43379" s="8"/>
    </row>
    <row r="43380" spans="1:4" ht="15.75" customHeight="1">
      <c r="A43380" s="8"/>
      <c r="B43380" s="12"/>
      <c r="C43380" s="8"/>
      <c r="D43380" s="8"/>
    </row>
    <row r="43381" spans="1:4" ht="15.75" customHeight="1">
      <c r="A43381" s="8"/>
      <c r="B43381" s="12"/>
      <c r="C43381" s="8"/>
      <c r="D43381" s="8"/>
    </row>
    <row r="43382" spans="1:4" ht="15.75" customHeight="1">
      <c r="A43382" s="8"/>
      <c r="B43382" s="12"/>
      <c r="C43382" s="8"/>
      <c r="D43382" s="8"/>
    </row>
    <row r="43383" spans="1:4" ht="15.75" customHeight="1">
      <c r="A43383" s="8"/>
      <c r="B43383" s="12"/>
      <c r="C43383" s="8"/>
      <c r="D43383" s="8"/>
    </row>
    <row r="43384" spans="1:4" ht="15.75" customHeight="1">
      <c r="A43384" s="8"/>
      <c r="B43384" s="12"/>
      <c r="C43384" s="8"/>
      <c r="D43384" s="8"/>
    </row>
    <row r="43385" spans="1:4" ht="15.75" customHeight="1">
      <c r="A43385" s="8"/>
      <c r="B43385" s="12"/>
      <c r="C43385" s="8"/>
      <c r="D43385" s="8"/>
    </row>
    <row r="43386" spans="1:4" ht="15.75" customHeight="1">
      <c r="A43386" s="8"/>
      <c r="B43386" s="12"/>
      <c r="C43386" s="8"/>
      <c r="D43386" s="8"/>
    </row>
    <row r="43387" spans="1:4" ht="15.75" customHeight="1">
      <c r="A43387" s="8"/>
      <c r="B43387" s="12"/>
      <c r="C43387" s="8"/>
      <c r="D43387" s="8"/>
    </row>
    <row r="43388" spans="1:4" ht="15.75" customHeight="1">
      <c r="A43388" s="8"/>
      <c r="B43388" s="12"/>
      <c r="C43388" s="8"/>
      <c r="D43388" s="8"/>
    </row>
    <row r="43389" spans="1:4" ht="15.75" customHeight="1">
      <c r="A43389" s="8"/>
      <c r="B43389" s="12"/>
      <c r="C43389" s="8"/>
      <c r="D43389" s="8"/>
    </row>
    <row r="43390" spans="1:4" ht="15.75" customHeight="1">
      <c r="A43390" s="8"/>
      <c r="B43390" s="12"/>
      <c r="C43390" s="8"/>
      <c r="D43390" s="8"/>
    </row>
    <row r="43391" spans="1:4" ht="15.75" customHeight="1">
      <c r="A43391" s="8"/>
      <c r="B43391" s="12"/>
      <c r="C43391" s="8"/>
      <c r="D43391" s="8"/>
    </row>
    <row r="43392" spans="1:4" ht="15.75" customHeight="1">
      <c r="A43392" s="8"/>
      <c r="B43392" s="12"/>
      <c r="C43392" s="8"/>
      <c r="D43392" s="8"/>
    </row>
    <row r="43393" spans="1:4" ht="15.75" customHeight="1">
      <c r="A43393" s="8"/>
      <c r="B43393" s="12"/>
      <c r="C43393" s="8"/>
      <c r="D43393" s="8"/>
    </row>
    <row r="43394" spans="1:4" ht="15.75" customHeight="1">
      <c r="A43394" s="8"/>
      <c r="B43394" s="12"/>
      <c r="C43394" s="8"/>
      <c r="D43394" s="8"/>
    </row>
    <row r="43395" spans="1:4" ht="15.75" customHeight="1">
      <c r="A43395" s="8"/>
      <c r="B43395" s="12"/>
      <c r="C43395" s="8"/>
      <c r="D43395" s="8"/>
    </row>
    <row r="43396" spans="1:4" ht="15.75" customHeight="1">
      <c r="A43396" s="8"/>
      <c r="B43396" s="12"/>
      <c r="C43396" s="8"/>
      <c r="D43396" s="8"/>
    </row>
    <row r="43397" spans="1:4" ht="15.75" customHeight="1">
      <c r="A43397" s="8"/>
      <c r="B43397" s="12"/>
      <c r="C43397" s="8"/>
      <c r="D43397" s="8"/>
    </row>
    <row r="43398" spans="1:4" ht="15.75" customHeight="1">
      <c r="A43398" s="8"/>
      <c r="B43398" s="12"/>
      <c r="C43398" s="8"/>
      <c r="D43398" s="8"/>
    </row>
    <row r="43399" spans="1:4" ht="15.75" customHeight="1">
      <c r="A43399" s="8"/>
      <c r="B43399" s="12"/>
      <c r="C43399" s="8"/>
      <c r="D43399" s="8"/>
    </row>
    <row r="43400" spans="1:4" ht="15.75" customHeight="1">
      <c r="A43400" s="8"/>
      <c r="B43400" s="12"/>
      <c r="C43400" s="8"/>
      <c r="D43400" s="8"/>
    </row>
    <row r="43401" spans="1:4" ht="15.75" customHeight="1">
      <c r="A43401" s="8"/>
      <c r="B43401" s="12"/>
      <c r="C43401" s="8"/>
      <c r="D43401" s="8"/>
    </row>
    <row r="43402" spans="1:4" ht="15.75" customHeight="1">
      <c r="A43402" s="8"/>
      <c r="B43402" s="12"/>
      <c r="C43402" s="8"/>
      <c r="D43402" s="8"/>
    </row>
    <row r="43403" spans="1:4" ht="15.75" customHeight="1">
      <c r="A43403" s="8"/>
      <c r="B43403" s="12"/>
      <c r="C43403" s="8"/>
      <c r="D43403" s="8"/>
    </row>
    <row r="43404" spans="1:4" ht="15.75" customHeight="1">
      <c r="A43404" s="8"/>
      <c r="B43404" s="12"/>
      <c r="C43404" s="8"/>
      <c r="D43404" s="8"/>
    </row>
    <row r="43405" spans="1:4" ht="15.75" customHeight="1">
      <c r="A43405" s="8"/>
      <c r="B43405" s="12"/>
      <c r="C43405" s="8"/>
      <c r="D43405" s="8"/>
    </row>
    <row r="43406" spans="1:4" ht="15.75" customHeight="1">
      <c r="A43406" s="8"/>
      <c r="B43406" s="12"/>
      <c r="C43406" s="8"/>
      <c r="D43406" s="8"/>
    </row>
    <row r="43407" spans="1:4" ht="15.75" customHeight="1">
      <c r="A43407" s="8"/>
      <c r="B43407" s="12"/>
      <c r="C43407" s="8"/>
      <c r="D43407" s="8"/>
    </row>
    <row r="43408" spans="1:4" ht="15.75" customHeight="1">
      <c r="A43408" s="8"/>
      <c r="B43408" s="12"/>
      <c r="C43408" s="8"/>
      <c r="D43408" s="8"/>
    </row>
    <row r="43409" spans="1:4" ht="15.75" customHeight="1">
      <c r="A43409" s="8"/>
      <c r="B43409" s="12"/>
      <c r="C43409" s="8"/>
      <c r="D43409" s="8"/>
    </row>
    <row r="43410" spans="1:4" ht="15.75" customHeight="1">
      <c r="A43410" s="8"/>
      <c r="B43410" s="12"/>
      <c r="C43410" s="8"/>
      <c r="D43410" s="8"/>
    </row>
    <row r="43411" spans="1:4" ht="15.75" customHeight="1">
      <c r="A43411" s="8"/>
      <c r="B43411" s="12"/>
      <c r="C43411" s="8"/>
      <c r="D43411" s="8"/>
    </row>
    <row r="43412" spans="1:4" ht="15.75" customHeight="1">
      <c r="A43412" s="8"/>
      <c r="B43412" s="12"/>
      <c r="C43412" s="8"/>
      <c r="D43412" s="8"/>
    </row>
    <row r="43413" spans="1:4" ht="15.75" customHeight="1">
      <c r="A43413" s="8"/>
      <c r="B43413" s="12"/>
      <c r="C43413" s="8"/>
      <c r="D43413" s="8"/>
    </row>
    <row r="43414" spans="1:4" ht="15.75" customHeight="1">
      <c r="A43414" s="8"/>
      <c r="B43414" s="12"/>
      <c r="C43414" s="8"/>
      <c r="D43414" s="8"/>
    </row>
    <row r="43415" spans="1:4" ht="15.75" customHeight="1">
      <c r="A43415" s="8"/>
      <c r="B43415" s="12"/>
      <c r="C43415" s="8"/>
      <c r="D43415" s="8"/>
    </row>
    <row r="43416" spans="1:4" ht="15.75" customHeight="1">
      <c r="A43416" s="8"/>
      <c r="B43416" s="12"/>
      <c r="C43416" s="8"/>
      <c r="D43416" s="8"/>
    </row>
    <row r="43417" spans="1:4" ht="15.75" customHeight="1">
      <c r="A43417" s="8"/>
      <c r="B43417" s="12"/>
      <c r="C43417" s="8"/>
      <c r="D43417" s="8"/>
    </row>
    <row r="43418" spans="1:4" ht="15.75" customHeight="1">
      <c r="A43418" s="8"/>
      <c r="B43418" s="12"/>
      <c r="C43418" s="8"/>
      <c r="D43418" s="8"/>
    </row>
    <row r="43419" spans="1:4" ht="15.75" customHeight="1">
      <c r="A43419" s="8"/>
      <c r="B43419" s="12"/>
      <c r="C43419" s="8"/>
      <c r="D43419" s="8"/>
    </row>
    <row r="43420" spans="1:4" ht="15.75" customHeight="1">
      <c r="A43420" s="8"/>
      <c r="B43420" s="12"/>
      <c r="C43420" s="8"/>
      <c r="D43420" s="8"/>
    </row>
    <row r="43421" spans="1:4" ht="15.75" customHeight="1">
      <c r="A43421" s="8"/>
      <c r="B43421" s="12"/>
      <c r="C43421" s="8"/>
      <c r="D43421" s="8"/>
    </row>
    <row r="43422" spans="1:4" ht="15.75" customHeight="1">
      <c r="A43422" s="8"/>
      <c r="B43422" s="12"/>
      <c r="C43422" s="8"/>
      <c r="D43422" s="8"/>
    </row>
    <row r="43423" spans="1:4" ht="15.75" customHeight="1">
      <c r="A43423" s="8"/>
      <c r="B43423" s="12"/>
      <c r="C43423" s="8"/>
      <c r="D43423" s="8"/>
    </row>
    <row r="43424" spans="1:4" ht="15.75" customHeight="1">
      <c r="A43424" s="8"/>
      <c r="B43424" s="12"/>
      <c r="C43424" s="8"/>
      <c r="D43424" s="8"/>
    </row>
    <row r="43425" spans="1:4" ht="15.75" customHeight="1">
      <c r="A43425" s="8"/>
      <c r="B43425" s="12"/>
      <c r="C43425" s="8"/>
      <c r="D43425" s="8"/>
    </row>
    <row r="43426" spans="1:4" ht="15.75" customHeight="1">
      <c r="A43426" s="8"/>
      <c r="B43426" s="12"/>
      <c r="C43426" s="8"/>
      <c r="D43426" s="8"/>
    </row>
    <row r="43427" spans="1:4" ht="15.75" customHeight="1">
      <c r="A43427" s="8"/>
      <c r="B43427" s="12"/>
      <c r="C43427" s="8"/>
      <c r="D43427" s="8"/>
    </row>
    <row r="43428" spans="1:4" ht="15.75" customHeight="1">
      <c r="A43428" s="8"/>
      <c r="B43428" s="12"/>
      <c r="C43428" s="8"/>
      <c r="D43428" s="8"/>
    </row>
    <row r="43429" spans="1:4" ht="15.75" customHeight="1">
      <c r="A43429" s="8"/>
      <c r="B43429" s="12"/>
      <c r="C43429" s="8"/>
      <c r="D43429" s="8"/>
    </row>
    <row r="43430" spans="1:4" ht="15.75" customHeight="1">
      <c r="A43430" s="8"/>
      <c r="B43430" s="12"/>
      <c r="C43430" s="8"/>
      <c r="D43430" s="8"/>
    </row>
    <row r="43431" spans="1:4" ht="15.75" customHeight="1">
      <c r="A43431" s="8"/>
      <c r="B43431" s="12"/>
      <c r="C43431" s="8"/>
      <c r="D43431" s="8"/>
    </row>
    <row r="43432" spans="1:4" ht="15.75" customHeight="1">
      <c r="A43432" s="8"/>
      <c r="B43432" s="12"/>
      <c r="C43432" s="8"/>
      <c r="D43432" s="8"/>
    </row>
    <row r="43433" spans="1:4" ht="15.75" customHeight="1">
      <c r="A43433" s="8"/>
      <c r="B43433" s="12"/>
      <c r="C43433" s="8"/>
      <c r="D43433" s="8"/>
    </row>
    <row r="43434" spans="1:4" ht="15.75" customHeight="1">
      <c r="A43434" s="8"/>
      <c r="B43434" s="12"/>
      <c r="C43434" s="8"/>
      <c r="D43434" s="8"/>
    </row>
    <row r="43435" spans="1:4" ht="15.75" customHeight="1">
      <c r="A43435" s="8"/>
      <c r="B43435" s="12"/>
      <c r="C43435" s="8"/>
      <c r="D43435" s="8"/>
    </row>
    <row r="43436" spans="1:4" ht="15.75" customHeight="1">
      <c r="A43436" s="8"/>
      <c r="B43436" s="12"/>
      <c r="C43436" s="8"/>
      <c r="D43436" s="8"/>
    </row>
    <row r="43437" spans="1:4" ht="15.75" customHeight="1">
      <c r="A43437" s="8"/>
      <c r="B43437" s="12"/>
      <c r="C43437" s="8"/>
      <c r="D43437" s="8"/>
    </row>
    <row r="43438" spans="1:4" ht="15.75" customHeight="1">
      <c r="A43438" s="8"/>
      <c r="B43438" s="12"/>
      <c r="C43438" s="8"/>
      <c r="D43438" s="8"/>
    </row>
    <row r="43439" spans="1:4" ht="15.75" customHeight="1">
      <c r="A43439" s="8"/>
      <c r="B43439" s="12"/>
      <c r="C43439" s="8"/>
      <c r="D43439" s="8"/>
    </row>
    <row r="43440" spans="1:4" ht="15.75" customHeight="1">
      <c r="A43440" s="8"/>
      <c r="B43440" s="12"/>
      <c r="C43440" s="8"/>
      <c r="D43440" s="8"/>
    </row>
    <row r="43441" spans="1:4" ht="15.75" customHeight="1">
      <c r="A43441" s="8"/>
      <c r="B43441" s="12"/>
      <c r="C43441" s="8"/>
      <c r="D43441" s="8"/>
    </row>
    <row r="43442" spans="1:4" ht="15.75" customHeight="1">
      <c r="A43442" s="8"/>
      <c r="B43442" s="12"/>
      <c r="C43442" s="8"/>
      <c r="D43442" s="8"/>
    </row>
    <row r="43443" spans="1:4" ht="15.75" customHeight="1">
      <c r="A43443" s="8"/>
      <c r="B43443" s="12"/>
      <c r="C43443" s="8"/>
      <c r="D43443" s="8"/>
    </row>
    <row r="43444" spans="1:4" ht="15.75" customHeight="1">
      <c r="A43444" s="8"/>
      <c r="B43444" s="12"/>
      <c r="C43444" s="8"/>
      <c r="D43444" s="8"/>
    </row>
    <row r="43445" spans="1:4" ht="15.75" customHeight="1">
      <c r="A43445" s="8"/>
      <c r="B43445" s="12"/>
      <c r="C43445" s="8"/>
      <c r="D43445" s="8"/>
    </row>
    <row r="43446" spans="1:4" ht="15.75" customHeight="1">
      <c r="A43446" s="8"/>
      <c r="B43446" s="12"/>
      <c r="C43446" s="8"/>
      <c r="D43446" s="8"/>
    </row>
    <row r="43447" spans="1:4" ht="15.75" customHeight="1">
      <c r="A43447" s="8"/>
      <c r="B43447" s="12"/>
      <c r="C43447" s="8"/>
      <c r="D43447" s="8"/>
    </row>
    <row r="43448" spans="1:4" ht="15.75" customHeight="1">
      <c r="A43448" s="8"/>
      <c r="B43448" s="12"/>
      <c r="C43448" s="8"/>
      <c r="D43448" s="8"/>
    </row>
    <row r="43449" spans="1:4" ht="15.75" customHeight="1">
      <c r="A43449" s="8"/>
      <c r="B43449" s="12"/>
      <c r="C43449" s="8"/>
      <c r="D43449" s="8"/>
    </row>
    <row r="43450" spans="1:4" ht="15.75" customHeight="1">
      <c r="A43450" s="8"/>
      <c r="B43450" s="12"/>
      <c r="C43450" s="8"/>
      <c r="D43450" s="8"/>
    </row>
    <row r="43451" spans="1:4" ht="15.75" customHeight="1">
      <c r="A43451" s="8"/>
      <c r="B43451" s="12"/>
      <c r="C43451" s="8"/>
      <c r="D43451" s="8"/>
    </row>
    <row r="43452" spans="1:4" ht="15.75" customHeight="1">
      <c r="A43452" s="8"/>
      <c r="B43452" s="12"/>
      <c r="C43452" s="8"/>
      <c r="D43452" s="8"/>
    </row>
    <row r="43453" spans="1:4" ht="15.75" customHeight="1">
      <c r="A43453" s="8"/>
      <c r="B43453" s="12"/>
      <c r="C43453" s="8"/>
      <c r="D43453" s="8"/>
    </row>
    <row r="43454" spans="1:4" ht="15.75" customHeight="1">
      <c r="A43454" s="8"/>
      <c r="B43454" s="12"/>
      <c r="C43454" s="8"/>
      <c r="D43454" s="8"/>
    </row>
    <row r="43455" spans="1:4" ht="15.75" customHeight="1">
      <c r="A43455" s="8"/>
      <c r="B43455" s="12"/>
      <c r="C43455" s="8"/>
      <c r="D43455" s="8"/>
    </row>
    <row r="43456" spans="1:4" ht="15.75" customHeight="1">
      <c r="A43456" s="8"/>
      <c r="B43456" s="12"/>
      <c r="C43456" s="8"/>
      <c r="D43456" s="8"/>
    </row>
    <row r="43457" spans="1:4" ht="15.75" customHeight="1">
      <c r="A43457" s="8"/>
      <c r="B43457" s="12"/>
      <c r="C43457" s="8"/>
      <c r="D43457" s="8"/>
    </row>
    <row r="43458" spans="1:4" ht="15.75" customHeight="1">
      <c r="A43458" s="8"/>
      <c r="B43458" s="12"/>
      <c r="C43458" s="8"/>
      <c r="D43458" s="8"/>
    </row>
    <row r="43459" spans="1:4" ht="15.75" customHeight="1">
      <c r="A43459" s="8"/>
      <c r="B43459" s="12"/>
      <c r="C43459" s="8"/>
      <c r="D43459" s="8"/>
    </row>
    <row r="43460" spans="1:4" ht="15.75" customHeight="1">
      <c r="A43460" s="8"/>
      <c r="B43460" s="12"/>
      <c r="C43460" s="8"/>
      <c r="D43460" s="8"/>
    </row>
    <row r="43461" spans="1:4" ht="15.75" customHeight="1">
      <c r="A43461" s="8"/>
      <c r="B43461" s="12"/>
      <c r="C43461" s="8"/>
      <c r="D43461" s="8"/>
    </row>
    <row r="43462" spans="1:4" ht="15.75" customHeight="1">
      <c r="A43462" s="8"/>
      <c r="B43462" s="12"/>
      <c r="C43462" s="8"/>
      <c r="D43462" s="8"/>
    </row>
    <row r="43463" spans="1:4" ht="15.75" customHeight="1">
      <c r="A43463" s="8"/>
      <c r="B43463" s="12"/>
      <c r="C43463" s="8"/>
      <c r="D43463" s="8"/>
    </row>
    <row r="43464" spans="1:4" ht="15.75" customHeight="1">
      <c r="A43464" s="8"/>
      <c r="B43464" s="12"/>
      <c r="C43464" s="8"/>
      <c r="D43464" s="8"/>
    </row>
    <row r="43465" spans="1:4" ht="15.75" customHeight="1">
      <c r="A43465" s="8"/>
      <c r="B43465" s="12"/>
      <c r="C43465" s="8"/>
      <c r="D43465" s="8"/>
    </row>
    <row r="43466" spans="1:4" ht="15.75" customHeight="1">
      <c r="A43466" s="8"/>
      <c r="B43466" s="12"/>
      <c r="C43466" s="8"/>
      <c r="D43466" s="8"/>
    </row>
    <row r="43467" spans="1:4" ht="15.75" customHeight="1">
      <c r="A43467" s="8"/>
      <c r="B43467" s="12"/>
      <c r="C43467" s="8"/>
      <c r="D43467" s="8"/>
    </row>
    <row r="43468" spans="1:4" ht="15.75" customHeight="1">
      <c r="A43468" s="8"/>
      <c r="B43468" s="12"/>
      <c r="C43468" s="8"/>
      <c r="D43468" s="8"/>
    </row>
    <row r="43469" spans="1:4" ht="15.75" customHeight="1">
      <c r="A43469" s="8"/>
      <c r="B43469" s="12"/>
      <c r="C43469" s="8"/>
      <c r="D43469" s="8"/>
    </row>
    <row r="43470" spans="1:4" ht="15.75" customHeight="1">
      <c r="A43470" s="8"/>
      <c r="B43470" s="12"/>
      <c r="C43470" s="8"/>
      <c r="D43470" s="8"/>
    </row>
    <row r="43471" spans="1:4" ht="15.75" customHeight="1">
      <c r="A43471" s="8"/>
      <c r="B43471" s="12"/>
      <c r="C43471" s="8"/>
      <c r="D43471" s="8"/>
    </row>
    <row r="43472" spans="1:4" ht="15.75" customHeight="1">
      <c r="A43472" s="8"/>
      <c r="B43472" s="12"/>
      <c r="C43472" s="8"/>
      <c r="D43472" s="8"/>
    </row>
    <row r="43473" spans="1:4" ht="15.75" customHeight="1">
      <c r="A43473" s="8"/>
      <c r="B43473" s="12"/>
      <c r="C43473" s="8"/>
      <c r="D43473" s="8"/>
    </row>
    <row r="43474" spans="1:4" ht="15.75" customHeight="1">
      <c r="A43474" s="8"/>
      <c r="B43474" s="12"/>
      <c r="C43474" s="8"/>
      <c r="D43474" s="8"/>
    </row>
    <row r="43475" spans="1:4" ht="15.75" customHeight="1">
      <c r="A43475" s="8"/>
      <c r="B43475" s="12"/>
      <c r="C43475" s="8"/>
      <c r="D43475" s="8"/>
    </row>
    <row r="43476" spans="1:4" ht="15.75" customHeight="1">
      <c r="A43476" s="8"/>
      <c r="B43476" s="12"/>
      <c r="C43476" s="8"/>
      <c r="D43476" s="8"/>
    </row>
    <row r="43477" spans="1:4" ht="15.75" customHeight="1">
      <c r="A43477" s="8"/>
      <c r="B43477" s="12"/>
      <c r="C43477" s="8"/>
      <c r="D43477" s="8"/>
    </row>
    <row r="43478" spans="1:4" ht="15.75" customHeight="1">
      <c r="A43478" s="8"/>
      <c r="B43478" s="12"/>
      <c r="C43478" s="8"/>
      <c r="D43478" s="8"/>
    </row>
    <row r="43479" spans="1:4" ht="15.75" customHeight="1">
      <c r="A43479" s="8"/>
      <c r="B43479" s="12"/>
      <c r="C43479" s="8"/>
      <c r="D43479" s="8"/>
    </row>
    <row r="43480" spans="1:4" ht="15.75" customHeight="1">
      <c r="A43480" s="8"/>
      <c r="B43480" s="12"/>
      <c r="C43480" s="8"/>
      <c r="D43480" s="8"/>
    </row>
    <row r="43481" spans="1:4" ht="15.75" customHeight="1">
      <c r="A43481" s="8"/>
      <c r="B43481" s="12"/>
      <c r="C43481" s="8"/>
      <c r="D43481" s="8"/>
    </row>
    <row r="43482" spans="1:4" ht="15.75" customHeight="1">
      <c r="A43482" s="8"/>
      <c r="B43482" s="12"/>
      <c r="C43482" s="8"/>
      <c r="D43482" s="8"/>
    </row>
    <row r="43483" spans="1:4" ht="15.75" customHeight="1">
      <c r="A43483" s="8"/>
      <c r="B43483" s="12"/>
      <c r="C43483" s="8"/>
      <c r="D43483" s="8"/>
    </row>
    <row r="43484" spans="1:4" ht="15.75" customHeight="1">
      <c r="A43484" s="8"/>
      <c r="B43484" s="12"/>
      <c r="C43484" s="8"/>
      <c r="D43484" s="8"/>
    </row>
    <row r="43485" spans="1:4" ht="15.75" customHeight="1">
      <c r="A43485" s="8"/>
      <c r="B43485" s="12"/>
      <c r="C43485" s="8"/>
      <c r="D43485" s="8"/>
    </row>
    <row r="43486" spans="1:4" ht="15.75" customHeight="1">
      <c r="A43486" s="8"/>
      <c r="B43486" s="12"/>
      <c r="C43486" s="8"/>
      <c r="D43486" s="8"/>
    </row>
    <row r="43487" spans="1:4" ht="15.75" customHeight="1">
      <c r="A43487" s="8"/>
      <c r="B43487" s="12"/>
      <c r="C43487" s="8"/>
      <c r="D43487" s="8"/>
    </row>
    <row r="43488" spans="1:4" ht="15.75" customHeight="1">
      <c r="A43488" s="8"/>
      <c r="B43488" s="12"/>
      <c r="C43488" s="8"/>
      <c r="D43488" s="8"/>
    </row>
    <row r="43489" spans="1:4" ht="15.75" customHeight="1">
      <c r="A43489" s="8"/>
      <c r="B43489" s="12"/>
      <c r="C43489" s="8"/>
      <c r="D43489" s="8"/>
    </row>
    <row r="43490" spans="1:4" ht="15.75" customHeight="1">
      <c r="A43490" s="8"/>
      <c r="B43490" s="12"/>
      <c r="C43490" s="8"/>
      <c r="D43490" s="8"/>
    </row>
    <row r="43491" spans="1:4" ht="15.75" customHeight="1">
      <c r="A43491" s="8"/>
      <c r="B43491" s="12"/>
      <c r="C43491" s="8"/>
      <c r="D43491" s="8"/>
    </row>
    <row r="43492" spans="1:4" ht="15.75" customHeight="1">
      <c r="A43492" s="8"/>
      <c r="B43492" s="12"/>
      <c r="C43492" s="8"/>
      <c r="D43492" s="8"/>
    </row>
    <row r="43493" spans="1:4" ht="15.75" customHeight="1">
      <c r="A43493" s="8"/>
      <c r="B43493" s="12"/>
      <c r="C43493" s="8"/>
      <c r="D43493" s="8"/>
    </row>
    <row r="43494" spans="1:4" ht="15.75" customHeight="1">
      <c r="A43494" s="8"/>
      <c r="B43494" s="12"/>
      <c r="C43494" s="8"/>
      <c r="D43494" s="8"/>
    </row>
    <row r="43495" spans="1:4" ht="15.75" customHeight="1">
      <c r="A43495" s="8"/>
      <c r="B43495" s="12"/>
      <c r="C43495" s="8"/>
      <c r="D43495" s="8"/>
    </row>
    <row r="43496" spans="1:4" ht="15.75" customHeight="1">
      <c r="A43496" s="8"/>
      <c r="B43496" s="12"/>
      <c r="C43496" s="8"/>
      <c r="D43496" s="8"/>
    </row>
    <row r="43497" spans="1:4" ht="15.75" customHeight="1">
      <c r="A43497" s="8"/>
      <c r="B43497" s="12"/>
      <c r="C43497" s="8"/>
      <c r="D43497" s="8"/>
    </row>
    <row r="43498" spans="1:4" ht="15.75" customHeight="1">
      <c r="A43498" s="8"/>
      <c r="B43498" s="12"/>
      <c r="C43498" s="8"/>
      <c r="D43498" s="8"/>
    </row>
    <row r="43499" spans="1:4" ht="15.75" customHeight="1">
      <c r="A43499" s="8"/>
      <c r="B43499" s="12"/>
      <c r="C43499" s="8"/>
      <c r="D43499" s="8"/>
    </row>
    <row r="43500" spans="1:4" ht="15.75" customHeight="1">
      <c r="A43500" s="8"/>
      <c r="B43500" s="12"/>
      <c r="C43500" s="8"/>
      <c r="D43500" s="8"/>
    </row>
    <row r="43501" spans="1:4" ht="15.75" customHeight="1">
      <c r="A43501" s="8"/>
      <c r="B43501" s="12"/>
      <c r="C43501" s="8"/>
      <c r="D43501" s="8"/>
    </row>
    <row r="43502" spans="1:4" ht="15.75" customHeight="1">
      <c r="A43502" s="8"/>
      <c r="B43502" s="12"/>
      <c r="C43502" s="8"/>
      <c r="D43502" s="8"/>
    </row>
    <row r="43503" spans="1:4" ht="15.75" customHeight="1">
      <c r="A43503" s="8"/>
      <c r="B43503" s="12"/>
      <c r="C43503" s="8"/>
      <c r="D43503" s="8"/>
    </row>
    <row r="43504" spans="1:4" ht="15.75" customHeight="1">
      <c r="A43504" s="8"/>
      <c r="B43504" s="12"/>
      <c r="C43504" s="8"/>
      <c r="D43504" s="8"/>
    </row>
    <row r="43505" spans="1:4" ht="15.75" customHeight="1">
      <c r="A43505" s="8"/>
      <c r="B43505" s="12"/>
      <c r="C43505" s="8"/>
      <c r="D43505" s="8"/>
    </row>
    <row r="43506" spans="1:4" ht="15.75" customHeight="1">
      <c r="A43506" s="8"/>
      <c r="B43506" s="12"/>
      <c r="C43506" s="8"/>
      <c r="D43506" s="8"/>
    </row>
    <row r="43507" spans="1:4" ht="15.75" customHeight="1">
      <c r="A43507" s="8"/>
      <c r="B43507" s="12"/>
      <c r="C43507" s="8"/>
      <c r="D43507" s="8"/>
    </row>
    <row r="43508" spans="1:4" ht="15.75" customHeight="1">
      <c r="A43508" s="8"/>
      <c r="B43508" s="12"/>
      <c r="C43508" s="8"/>
      <c r="D43508" s="8"/>
    </row>
    <row r="43509" spans="1:4" ht="15.75" customHeight="1">
      <c r="A43509" s="8"/>
      <c r="B43509" s="12"/>
      <c r="C43509" s="8"/>
      <c r="D43509" s="8"/>
    </row>
    <row r="43510" spans="1:4" ht="15.75" customHeight="1">
      <c r="A43510" s="8"/>
      <c r="B43510" s="12"/>
      <c r="C43510" s="8"/>
      <c r="D43510" s="8"/>
    </row>
    <row r="43511" spans="1:4" ht="15.75" customHeight="1">
      <c r="A43511" s="8"/>
      <c r="B43511" s="12"/>
      <c r="C43511" s="8"/>
      <c r="D43511" s="8"/>
    </row>
    <row r="43512" spans="1:4" ht="15.75" customHeight="1">
      <c r="A43512" s="8"/>
      <c r="B43512" s="12"/>
      <c r="C43512" s="8"/>
      <c r="D43512" s="8"/>
    </row>
    <row r="43513" spans="1:4" ht="15.75" customHeight="1">
      <c r="A43513" s="8"/>
      <c r="B43513" s="12"/>
      <c r="C43513" s="8"/>
      <c r="D43513" s="8"/>
    </row>
    <row r="43514" spans="1:4" ht="15.75" customHeight="1">
      <c r="A43514" s="8"/>
      <c r="B43514" s="12"/>
      <c r="C43514" s="8"/>
      <c r="D43514" s="8"/>
    </row>
    <row r="43515" spans="1:4" ht="15.75" customHeight="1">
      <c r="A43515" s="8"/>
      <c r="B43515" s="12"/>
      <c r="C43515" s="8"/>
      <c r="D43515" s="8"/>
    </row>
    <row r="43516" spans="1:4" ht="15.75" customHeight="1">
      <c r="A43516" s="8"/>
      <c r="B43516" s="12"/>
      <c r="C43516" s="8"/>
      <c r="D43516" s="8"/>
    </row>
    <row r="43517" spans="1:4" ht="15.75" customHeight="1">
      <c r="A43517" s="8"/>
      <c r="B43517" s="12"/>
      <c r="C43517" s="8"/>
      <c r="D43517" s="8"/>
    </row>
    <row r="43518" spans="1:4" ht="15.75" customHeight="1">
      <c r="A43518" s="8"/>
      <c r="B43518" s="12"/>
      <c r="C43518" s="8"/>
      <c r="D43518" s="8"/>
    </row>
    <row r="43519" spans="1:4" ht="15.75" customHeight="1">
      <c r="A43519" s="8"/>
      <c r="B43519" s="12"/>
      <c r="C43519" s="8"/>
      <c r="D43519" s="8"/>
    </row>
    <row r="43520" spans="1:4" ht="15.75" customHeight="1">
      <c r="A43520" s="8"/>
      <c r="B43520" s="12"/>
      <c r="C43520" s="8"/>
      <c r="D43520" s="8"/>
    </row>
    <row r="43521" spans="1:4" ht="15.75" customHeight="1">
      <c r="A43521" s="8"/>
      <c r="B43521" s="12"/>
      <c r="C43521" s="8"/>
      <c r="D43521" s="8"/>
    </row>
    <row r="43522" spans="1:4" ht="15.75" customHeight="1">
      <c r="A43522" s="8"/>
      <c r="B43522" s="12"/>
      <c r="C43522" s="8"/>
      <c r="D43522" s="8"/>
    </row>
    <row r="43523" spans="1:4" ht="15.75" customHeight="1">
      <c r="A43523" s="8"/>
      <c r="B43523" s="12"/>
      <c r="C43523" s="8"/>
      <c r="D43523" s="8"/>
    </row>
    <row r="43524" spans="1:4" ht="15.75" customHeight="1">
      <c r="A43524" s="8"/>
      <c r="B43524" s="12"/>
      <c r="C43524" s="8"/>
      <c r="D43524" s="8"/>
    </row>
    <row r="43525" spans="1:4" ht="15.75" customHeight="1">
      <c r="A43525" s="8"/>
      <c r="B43525" s="12"/>
      <c r="C43525" s="8"/>
      <c r="D43525" s="8"/>
    </row>
    <row r="43526" spans="1:4" ht="15.75" customHeight="1">
      <c r="A43526" s="8"/>
      <c r="B43526" s="12"/>
      <c r="C43526" s="8"/>
      <c r="D43526" s="8"/>
    </row>
    <row r="43527" spans="1:4" ht="15.75" customHeight="1">
      <c r="A43527" s="8"/>
      <c r="B43527" s="12"/>
      <c r="C43527" s="8"/>
      <c r="D43527" s="8"/>
    </row>
    <row r="43528" spans="1:4" ht="15.75" customHeight="1">
      <c r="A43528" s="8"/>
      <c r="B43528" s="12"/>
      <c r="C43528" s="8"/>
      <c r="D43528" s="8"/>
    </row>
    <row r="43529" spans="1:4" ht="15.75" customHeight="1">
      <c r="A43529" s="8"/>
      <c r="B43529" s="12"/>
      <c r="C43529" s="8"/>
      <c r="D43529" s="8"/>
    </row>
    <row r="43530" spans="1:4" ht="15.75" customHeight="1">
      <c r="A43530" s="8"/>
      <c r="B43530" s="12"/>
      <c r="C43530" s="8"/>
      <c r="D43530" s="8"/>
    </row>
    <row r="43531" spans="1:4" ht="15.75" customHeight="1">
      <c r="A43531" s="8"/>
      <c r="B43531" s="12"/>
      <c r="C43531" s="8"/>
      <c r="D43531" s="8"/>
    </row>
    <row r="43532" spans="1:4" ht="15.75" customHeight="1">
      <c r="A43532" s="8"/>
      <c r="B43532" s="12"/>
      <c r="C43532" s="8"/>
      <c r="D43532" s="8"/>
    </row>
    <row r="43533" spans="1:4" ht="15.75" customHeight="1">
      <c r="A43533" s="8"/>
      <c r="B43533" s="12"/>
      <c r="C43533" s="8"/>
      <c r="D43533" s="8"/>
    </row>
    <row r="43534" spans="1:4" ht="15.75" customHeight="1">
      <c r="A43534" s="8"/>
      <c r="B43534" s="12"/>
      <c r="C43534" s="8"/>
      <c r="D43534" s="8"/>
    </row>
    <row r="43535" spans="1:4" ht="15.75" customHeight="1">
      <c r="A43535" s="8"/>
      <c r="B43535" s="12"/>
      <c r="C43535" s="8"/>
      <c r="D43535" s="8"/>
    </row>
    <row r="43536" spans="1:4" ht="15.75" customHeight="1">
      <c r="A43536" s="8"/>
      <c r="B43536" s="12"/>
      <c r="C43536" s="8"/>
      <c r="D43536" s="8"/>
    </row>
    <row r="43537" spans="1:4" ht="15.75" customHeight="1">
      <c r="A43537" s="8"/>
      <c r="B43537" s="12"/>
      <c r="C43537" s="8"/>
      <c r="D43537" s="8"/>
    </row>
    <row r="43538" spans="1:4" ht="15.75" customHeight="1">
      <c r="A43538" s="8"/>
      <c r="B43538" s="12"/>
      <c r="C43538" s="8"/>
      <c r="D43538" s="8"/>
    </row>
    <row r="43539" spans="1:4" ht="15.75" customHeight="1">
      <c r="A43539" s="8"/>
      <c r="B43539" s="12"/>
      <c r="C43539" s="8"/>
      <c r="D43539" s="8"/>
    </row>
    <row r="43540" spans="1:4" ht="15.75" customHeight="1">
      <c r="A43540" s="8"/>
      <c r="B43540" s="12"/>
      <c r="C43540" s="8"/>
      <c r="D43540" s="8"/>
    </row>
    <row r="43541" spans="1:4" ht="15.75" customHeight="1">
      <c r="A43541" s="8"/>
      <c r="B43541" s="12"/>
      <c r="C43541" s="8"/>
      <c r="D43541" s="8"/>
    </row>
    <row r="43542" spans="1:4" ht="15.75" customHeight="1">
      <c r="A43542" s="8"/>
      <c r="B43542" s="12"/>
      <c r="C43542" s="8"/>
      <c r="D43542" s="8"/>
    </row>
    <row r="43543" spans="1:4" ht="15.75" customHeight="1">
      <c r="A43543" s="8"/>
      <c r="B43543" s="12"/>
      <c r="C43543" s="8"/>
      <c r="D43543" s="8"/>
    </row>
    <row r="43544" spans="1:4" ht="15.75" customHeight="1">
      <c r="A43544" s="8"/>
      <c r="B43544" s="12"/>
      <c r="C43544" s="8"/>
      <c r="D43544" s="8"/>
    </row>
    <row r="43545" spans="1:4" ht="15.75" customHeight="1">
      <c r="A43545" s="8"/>
      <c r="B43545" s="12"/>
      <c r="C43545" s="8"/>
      <c r="D43545" s="8"/>
    </row>
    <row r="43546" spans="1:4" ht="15.75" customHeight="1">
      <c r="A43546" s="8"/>
      <c r="B43546" s="12"/>
      <c r="C43546" s="8"/>
      <c r="D43546" s="8"/>
    </row>
    <row r="43547" spans="1:4" ht="15.75" customHeight="1">
      <c r="A43547" s="8"/>
      <c r="B43547" s="12"/>
      <c r="C43547" s="8"/>
      <c r="D43547" s="8"/>
    </row>
    <row r="43548" spans="1:4" ht="15.75" customHeight="1">
      <c r="A43548" s="8"/>
      <c r="B43548" s="12"/>
      <c r="C43548" s="8"/>
      <c r="D43548" s="8"/>
    </row>
    <row r="43549" spans="1:4" ht="15.75" customHeight="1">
      <c r="A43549" s="8"/>
      <c r="B43549" s="12"/>
      <c r="C43549" s="8"/>
      <c r="D43549" s="8"/>
    </row>
    <row r="43550" spans="1:4" ht="15.75" customHeight="1">
      <c r="A43550" s="8"/>
      <c r="B43550" s="12"/>
      <c r="C43550" s="8"/>
      <c r="D43550" s="8"/>
    </row>
    <row r="43551" spans="1:4" ht="15.75" customHeight="1">
      <c r="A43551" s="8"/>
      <c r="B43551" s="12"/>
      <c r="C43551" s="8"/>
      <c r="D43551" s="8"/>
    </row>
    <row r="43552" spans="1:4" ht="15.75" customHeight="1">
      <c r="A43552" s="8"/>
      <c r="B43552" s="12"/>
      <c r="C43552" s="8"/>
      <c r="D43552" s="8"/>
    </row>
    <row r="43553" spans="1:4" ht="15.75" customHeight="1">
      <c r="A43553" s="8"/>
      <c r="B43553" s="12"/>
      <c r="C43553" s="8"/>
      <c r="D43553" s="8"/>
    </row>
    <row r="43554" spans="1:4" ht="15.75" customHeight="1">
      <c r="A43554" s="8"/>
      <c r="B43554" s="12"/>
      <c r="C43554" s="8"/>
      <c r="D43554" s="8"/>
    </row>
    <row r="43555" spans="1:4" ht="15.75" customHeight="1">
      <c r="A43555" s="8"/>
      <c r="B43555" s="12"/>
      <c r="C43555" s="8"/>
      <c r="D43555" s="8"/>
    </row>
    <row r="43556" spans="1:4" ht="15.75" customHeight="1">
      <c r="A43556" s="8"/>
      <c r="B43556" s="12"/>
      <c r="C43556" s="8"/>
      <c r="D43556" s="8"/>
    </row>
    <row r="43557" spans="1:4" ht="15.75" customHeight="1">
      <c r="A43557" s="8"/>
      <c r="B43557" s="12"/>
      <c r="C43557" s="8"/>
      <c r="D43557" s="8"/>
    </row>
    <row r="43558" spans="1:4" ht="15.75" customHeight="1">
      <c r="A43558" s="8"/>
      <c r="B43558" s="12"/>
      <c r="C43558" s="8"/>
      <c r="D43558" s="8"/>
    </row>
    <row r="43559" spans="1:4" ht="15.75" customHeight="1">
      <c r="A43559" s="8"/>
      <c r="B43559" s="12"/>
      <c r="C43559" s="8"/>
      <c r="D43559" s="8"/>
    </row>
    <row r="43560" spans="1:4" ht="15.75" customHeight="1">
      <c r="A43560" s="8"/>
      <c r="B43560" s="12"/>
      <c r="C43560" s="8"/>
      <c r="D43560" s="8"/>
    </row>
    <row r="43561" spans="1:4" ht="15.75" customHeight="1">
      <c r="A43561" s="8"/>
      <c r="B43561" s="12"/>
      <c r="C43561" s="8"/>
      <c r="D43561" s="8"/>
    </row>
    <row r="43562" spans="1:4" ht="15.75" customHeight="1">
      <c r="A43562" s="8"/>
      <c r="B43562" s="12"/>
      <c r="C43562" s="8"/>
      <c r="D43562" s="8"/>
    </row>
    <row r="43563" spans="1:4" ht="15.75" customHeight="1">
      <c r="A43563" s="8"/>
      <c r="B43563" s="12"/>
      <c r="C43563" s="8"/>
      <c r="D43563" s="8"/>
    </row>
    <row r="43564" spans="1:4" ht="15.75" customHeight="1">
      <c r="A43564" s="8"/>
      <c r="B43564" s="12"/>
      <c r="C43564" s="8"/>
      <c r="D43564" s="8"/>
    </row>
    <row r="43565" spans="1:4" ht="15.75" customHeight="1">
      <c r="A43565" s="8"/>
      <c r="B43565" s="12"/>
      <c r="C43565" s="8"/>
      <c r="D43565" s="8"/>
    </row>
    <row r="43566" spans="1:4" ht="15.75" customHeight="1">
      <c r="A43566" s="8"/>
      <c r="B43566" s="12"/>
      <c r="C43566" s="8"/>
      <c r="D43566" s="8"/>
    </row>
    <row r="43567" spans="1:4" ht="15.75" customHeight="1">
      <c r="A43567" s="8"/>
      <c r="B43567" s="12"/>
      <c r="C43567" s="8"/>
      <c r="D43567" s="8"/>
    </row>
    <row r="43568" spans="1:4" ht="15.75" customHeight="1">
      <c r="A43568" s="8"/>
      <c r="B43568" s="12"/>
      <c r="C43568" s="8"/>
      <c r="D43568" s="8"/>
    </row>
    <row r="43569" spans="1:4" ht="15.75" customHeight="1">
      <c r="A43569" s="8"/>
      <c r="B43569" s="12"/>
      <c r="C43569" s="8"/>
      <c r="D43569" s="8"/>
    </row>
    <row r="43570" spans="1:4" ht="15.75" customHeight="1">
      <c r="A43570" s="8"/>
      <c r="B43570" s="12"/>
      <c r="C43570" s="8"/>
      <c r="D43570" s="8"/>
    </row>
    <row r="43571" spans="1:4" ht="15.75" customHeight="1">
      <c r="A43571" s="8"/>
      <c r="B43571" s="12"/>
      <c r="C43571" s="8"/>
      <c r="D43571" s="8"/>
    </row>
    <row r="43572" spans="1:4" ht="15.75" customHeight="1">
      <c r="A43572" s="8"/>
      <c r="B43572" s="12"/>
      <c r="C43572" s="8"/>
      <c r="D43572" s="8"/>
    </row>
    <row r="43573" spans="1:4" ht="15.75" customHeight="1">
      <c r="A43573" s="8"/>
      <c r="B43573" s="12"/>
      <c r="C43573" s="8"/>
      <c r="D43573" s="8"/>
    </row>
    <row r="43574" spans="1:4" ht="15.75" customHeight="1">
      <c r="A43574" s="8"/>
      <c r="B43574" s="12"/>
      <c r="C43574" s="8"/>
      <c r="D43574" s="8"/>
    </row>
    <row r="43575" spans="1:4" ht="15.75" customHeight="1">
      <c r="A43575" s="8"/>
      <c r="B43575" s="12"/>
      <c r="C43575" s="8"/>
      <c r="D43575" s="8"/>
    </row>
    <row r="43576" spans="1:4" ht="15.75" customHeight="1">
      <c r="A43576" s="8"/>
      <c r="B43576" s="12"/>
      <c r="C43576" s="8"/>
      <c r="D43576" s="8"/>
    </row>
    <row r="43577" spans="1:4" ht="15.75" customHeight="1">
      <c r="A43577" s="8"/>
      <c r="B43577" s="12"/>
      <c r="C43577" s="8"/>
      <c r="D43577" s="8"/>
    </row>
    <row r="43578" spans="1:4" ht="15.75" customHeight="1">
      <c r="A43578" s="8"/>
      <c r="B43578" s="12"/>
      <c r="C43578" s="8"/>
      <c r="D43578" s="8"/>
    </row>
    <row r="43579" spans="1:4" ht="15.75" customHeight="1">
      <c r="A43579" s="8"/>
      <c r="B43579" s="12"/>
      <c r="C43579" s="8"/>
      <c r="D43579" s="8"/>
    </row>
    <row r="43580" spans="1:4" ht="15.75" customHeight="1">
      <c r="A43580" s="8"/>
      <c r="B43580" s="12"/>
      <c r="C43580" s="8"/>
      <c r="D43580" s="8"/>
    </row>
    <row r="43581" spans="1:4" ht="15.75" customHeight="1">
      <c r="A43581" s="8"/>
      <c r="B43581" s="12"/>
      <c r="C43581" s="8"/>
      <c r="D43581" s="8"/>
    </row>
    <row r="43582" spans="1:4" ht="15.75" customHeight="1">
      <c r="A43582" s="8"/>
      <c r="B43582" s="12"/>
      <c r="C43582" s="8"/>
      <c r="D43582" s="8"/>
    </row>
    <row r="43583" spans="1:4" ht="15.75" customHeight="1">
      <c r="A43583" s="8"/>
      <c r="B43583" s="12"/>
      <c r="C43583" s="8"/>
      <c r="D43583" s="8"/>
    </row>
    <row r="43584" spans="1:4" ht="15.75" customHeight="1">
      <c r="A43584" s="8"/>
      <c r="B43584" s="12"/>
      <c r="C43584" s="8"/>
      <c r="D43584" s="8"/>
    </row>
    <row r="43585" spans="1:4" ht="15.75" customHeight="1">
      <c r="A43585" s="8"/>
      <c r="B43585" s="12"/>
      <c r="C43585" s="8"/>
      <c r="D43585" s="8"/>
    </row>
    <row r="43586" spans="1:4" ht="15.75" customHeight="1">
      <c r="A43586" s="8"/>
      <c r="B43586" s="12"/>
      <c r="C43586" s="8"/>
      <c r="D43586" s="8"/>
    </row>
    <row r="43587" spans="1:4" ht="15.75" customHeight="1">
      <c r="A43587" s="8"/>
      <c r="B43587" s="12"/>
      <c r="C43587" s="8"/>
      <c r="D43587" s="8"/>
    </row>
    <row r="43588" spans="1:4" ht="15.75" customHeight="1">
      <c r="A43588" s="8"/>
      <c r="B43588" s="12"/>
      <c r="C43588" s="8"/>
      <c r="D43588" s="8"/>
    </row>
    <row r="43589" spans="1:4" ht="15.75" customHeight="1">
      <c r="A43589" s="8"/>
      <c r="B43589" s="12"/>
      <c r="C43589" s="8"/>
      <c r="D43589" s="8"/>
    </row>
    <row r="43590" spans="1:4" ht="15.75" customHeight="1">
      <c r="A43590" s="8"/>
      <c r="B43590" s="12"/>
      <c r="C43590" s="8"/>
      <c r="D43590" s="8"/>
    </row>
    <row r="43591" spans="1:4" ht="15.75" customHeight="1">
      <c r="A43591" s="8"/>
      <c r="B43591" s="12"/>
      <c r="C43591" s="8"/>
      <c r="D43591" s="8"/>
    </row>
    <row r="43592" spans="1:4" ht="15.75" customHeight="1">
      <c r="A43592" s="8"/>
      <c r="B43592" s="12"/>
      <c r="C43592" s="8"/>
      <c r="D43592" s="8"/>
    </row>
    <row r="43593" spans="1:4" ht="15.75" customHeight="1">
      <c r="A43593" s="8"/>
      <c r="B43593" s="12"/>
      <c r="C43593" s="8"/>
      <c r="D43593" s="8"/>
    </row>
    <row r="43594" spans="1:4" ht="15.75" customHeight="1">
      <c r="A43594" s="8"/>
      <c r="B43594" s="12"/>
      <c r="C43594" s="8"/>
      <c r="D43594" s="8"/>
    </row>
    <row r="43595" spans="1:4" ht="15.75" customHeight="1">
      <c r="A43595" s="8"/>
      <c r="B43595" s="12"/>
      <c r="C43595" s="8"/>
      <c r="D43595" s="8"/>
    </row>
    <row r="43596" spans="1:4" ht="15.75" customHeight="1">
      <c r="A43596" s="8"/>
      <c r="B43596" s="12"/>
      <c r="C43596" s="8"/>
      <c r="D43596" s="8"/>
    </row>
    <row r="43597" spans="1:4" ht="15.75" customHeight="1">
      <c r="A43597" s="8"/>
      <c r="B43597" s="12"/>
      <c r="C43597" s="8"/>
      <c r="D43597" s="8"/>
    </row>
    <row r="43598" spans="1:4" ht="15.75" customHeight="1">
      <c r="A43598" s="8"/>
      <c r="B43598" s="12"/>
      <c r="C43598" s="8"/>
      <c r="D43598" s="8"/>
    </row>
    <row r="43599" spans="1:4" ht="15.75" customHeight="1">
      <c r="A43599" s="8"/>
      <c r="B43599" s="12"/>
      <c r="C43599" s="8"/>
      <c r="D43599" s="8"/>
    </row>
    <row r="43600" spans="1:4" ht="15.75" customHeight="1">
      <c r="A43600" s="8"/>
      <c r="B43600" s="12"/>
      <c r="C43600" s="8"/>
      <c r="D43600" s="8"/>
    </row>
    <row r="43601" spans="1:4" ht="15.75" customHeight="1">
      <c r="A43601" s="8"/>
      <c r="B43601" s="12"/>
      <c r="C43601" s="8"/>
      <c r="D43601" s="8"/>
    </row>
    <row r="43602" spans="1:4" ht="15.75" customHeight="1">
      <c r="A43602" s="8"/>
      <c r="B43602" s="12"/>
      <c r="C43602" s="8"/>
      <c r="D43602" s="8"/>
    </row>
    <row r="43603" spans="1:4" ht="15.75" customHeight="1">
      <c r="A43603" s="8"/>
      <c r="B43603" s="12"/>
      <c r="C43603" s="8"/>
      <c r="D43603" s="8"/>
    </row>
    <row r="43604" spans="1:4" ht="15.75" customHeight="1">
      <c r="A43604" s="8"/>
      <c r="B43604" s="12"/>
      <c r="C43604" s="8"/>
      <c r="D43604" s="8"/>
    </row>
    <row r="43605" spans="1:4" ht="15.75" customHeight="1">
      <c r="A43605" s="8"/>
      <c r="B43605" s="12"/>
      <c r="C43605" s="8"/>
      <c r="D43605" s="8"/>
    </row>
    <row r="43606" spans="1:4" ht="15.75" customHeight="1">
      <c r="A43606" s="8"/>
      <c r="B43606" s="12"/>
      <c r="C43606" s="8"/>
      <c r="D43606" s="8"/>
    </row>
    <row r="43607" spans="1:4" ht="15.75" customHeight="1">
      <c r="A43607" s="8"/>
      <c r="B43607" s="12"/>
      <c r="C43607" s="8"/>
      <c r="D43607" s="8"/>
    </row>
    <row r="43608" spans="1:4" ht="15.75" customHeight="1">
      <c r="A43608" s="8"/>
      <c r="B43608" s="12"/>
      <c r="C43608" s="8"/>
      <c r="D43608" s="8"/>
    </row>
    <row r="43609" spans="1:4" ht="15.75" customHeight="1">
      <c r="A43609" s="8"/>
      <c r="B43609" s="12"/>
      <c r="C43609" s="8"/>
      <c r="D43609" s="8"/>
    </row>
    <row r="43610" spans="1:4" ht="15.75" customHeight="1">
      <c r="A43610" s="8"/>
      <c r="B43610" s="12"/>
      <c r="C43610" s="8"/>
      <c r="D43610" s="8"/>
    </row>
    <row r="43611" spans="1:4" ht="15.75" customHeight="1">
      <c r="A43611" s="8"/>
      <c r="B43611" s="12"/>
      <c r="C43611" s="8"/>
      <c r="D43611" s="8"/>
    </row>
    <row r="43612" spans="1:4" ht="15.75" customHeight="1">
      <c r="A43612" s="8"/>
      <c r="B43612" s="12"/>
      <c r="C43612" s="8"/>
      <c r="D43612" s="8"/>
    </row>
    <row r="43613" spans="1:4" ht="15.75" customHeight="1">
      <c r="A43613" s="8"/>
      <c r="B43613" s="12"/>
      <c r="C43613" s="8"/>
      <c r="D43613" s="8"/>
    </row>
    <row r="43614" spans="1:4" ht="15.75" customHeight="1">
      <c r="A43614" s="8"/>
      <c r="B43614" s="12"/>
      <c r="C43614" s="8"/>
      <c r="D43614" s="8"/>
    </row>
    <row r="43615" spans="1:4" ht="15.75" customHeight="1">
      <c r="A43615" s="8"/>
      <c r="B43615" s="12"/>
      <c r="C43615" s="8"/>
      <c r="D43615" s="8"/>
    </row>
    <row r="43616" spans="1:4" ht="15.75" customHeight="1">
      <c r="A43616" s="8"/>
      <c r="B43616" s="12"/>
      <c r="C43616" s="8"/>
      <c r="D43616" s="8"/>
    </row>
    <row r="43617" spans="1:4" ht="15.75" customHeight="1">
      <c r="A43617" s="8"/>
      <c r="B43617" s="12"/>
      <c r="C43617" s="8"/>
      <c r="D43617" s="8"/>
    </row>
    <row r="43618" spans="1:4" ht="15.75" customHeight="1">
      <c r="A43618" s="8"/>
      <c r="B43618" s="12"/>
      <c r="C43618" s="8"/>
      <c r="D43618" s="8"/>
    </row>
    <row r="43619" spans="1:4" ht="15.75" customHeight="1">
      <c r="A43619" s="8"/>
      <c r="B43619" s="12"/>
      <c r="C43619" s="8"/>
      <c r="D43619" s="8"/>
    </row>
    <row r="43620" spans="1:4" ht="15.75" customHeight="1">
      <c r="A43620" s="8"/>
      <c r="B43620" s="12"/>
      <c r="C43620" s="8"/>
      <c r="D43620" s="8"/>
    </row>
    <row r="43621" spans="1:4" ht="15.75" customHeight="1">
      <c r="A43621" s="8"/>
      <c r="B43621" s="12"/>
      <c r="C43621" s="8"/>
      <c r="D43621" s="8"/>
    </row>
    <row r="43622" spans="1:4" ht="15.75" customHeight="1">
      <c r="A43622" s="8"/>
      <c r="B43622" s="12"/>
      <c r="C43622" s="8"/>
      <c r="D43622" s="8"/>
    </row>
    <row r="43623" spans="1:4" ht="15.75" customHeight="1">
      <c r="A43623" s="8"/>
      <c r="B43623" s="12"/>
      <c r="C43623" s="8"/>
      <c r="D43623" s="8"/>
    </row>
    <row r="43624" spans="1:4" ht="15.75" customHeight="1">
      <c r="A43624" s="8"/>
      <c r="B43624" s="12"/>
      <c r="C43624" s="8"/>
      <c r="D43624" s="8"/>
    </row>
    <row r="43625" spans="1:4" ht="15.75" customHeight="1">
      <c r="A43625" s="8"/>
      <c r="B43625" s="12"/>
      <c r="C43625" s="8"/>
      <c r="D43625" s="8"/>
    </row>
    <row r="43626" spans="1:4" ht="15.75" customHeight="1">
      <c r="A43626" s="8"/>
      <c r="B43626" s="12"/>
      <c r="C43626" s="8"/>
      <c r="D43626" s="8"/>
    </row>
    <row r="43627" spans="1:4" ht="15.75" customHeight="1">
      <c r="A43627" s="8"/>
      <c r="B43627" s="12"/>
      <c r="C43627" s="8"/>
      <c r="D43627" s="8"/>
    </row>
    <row r="43628" spans="1:4" ht="15.75" customHeight="1">
      <c r="A43628" s="8"/>
      <c r="B43628" s="12"/>
      <c r="C43628" s="8"/>
      <c r="D43628" s="8"/>
    </row>
    <row r="43629" spans="1:4" ht="15.75" customHeight="1">
      <c r="A43629" s="8"/>
      <c r="B43629" s="12"/>
      <c r="C43629" s="8"/>
      <c r="D43629" s="8"/>
    </row>
    <row r="43630" spans="1:4" ht="15.75" customHeight="1">
      <c r="A43630" s="8"/>
      <c r="B43630" s="12"/>
      <c r="C43630" s="8"/>
      <c r="D43630" s="8"/>
    </row>
    <row r="43631" spans="1:4" ht="15.75" customHeight="1">
      <c r="A43631" s="8"/>
      <c r="B43631" s="12"/>
      <c r="C43631" s="8"/>
      <c r="D43631" s="8"/>
    </row>
    <row r="43632" spans="1:4" ht="15.75" customHeight="1">
      <c r="A43632" s="8"/>
      <c r="B43632" s="12"/>
      <c r="C43632" s="8"/>
      <c r="D43632" s="8"/>
    </row>
    <row r="43633" spans="1:4" ht="15.75" customHeight="1">
      <c r="A43633" s="8"/>
      <c r="B43633" s="12"/>
      <c r="C43633" s="8"/>
      <c r="D43633" s="8"/>
    </row>
    <row r="43634" spans="1:4" ht="15.75" customHeight="1">
      <c r="A43634" s="8"/>
      <c r="B43634" s="12"/>
      <c r="C43634" s="8"/>
      <c r="D43634" s="8"/>
    </row>
    <row r="43635" spans="1:4" ht="15.75" customHeight="1">
      <c r="A43635" s="8"/>
      <c r="B43635" s="12"/>
      <c r="C43635" s="8"/>
      <c r="D43635" s="8"/>
    </row>
    <row r="43636" spans="1:4" ht="15.75" customHeight="1">
      <c r="A43636" s="8"/>
      <c r="B43636" s="12"/>
      <c r="C43636" s="8"/>
      <c r="D43636" s="8"/>
    </row>
    <row r="43637" spans="1:4" ht="15.75" customHeight="1">
      <c r="A43637" s="8"/>
      <c r="B43637" s="12"/>
      <c r="C43637" s="8"/>
      <c r="D43637" s="8"/>
    </row>
    <row r="43638" spans="1:4" ht="15.75" customHeight="1">
      <c r="A43638" s="8"/>
      <c r="B43638" s="12"/>
      <c r="C43638" s="8"/>
      <c r="D43638" s="8"/>
    </row>
    <row r="43639" spans="1:4" ht="15.75" customHeight="1">
      <c r="A43639" s="8"/>
      <c r="B43639" s="12"/>
      <c r="C43639" s="8"/>
      <c r="D43639" s="8"/>
    </row>
    <row r="43640" spans="1:4" ht="15.75" customHeight="1">
      <c r="A43640" s="8"/>
      <c r="B43640" s="12"/>
      <c r="C43640" s="8"/>
      <c r="D43640" s="8"/>
    </row>
    <row r="43641" spans="1:4" ht="15.75" customHeight="1">
      <c r="A43641" s="8"/>
      <c r="B43641" s="12"/>
      <c r="C43641" s="8"/>
      <c r="D43641" s="8"/>
    </row>
    <row r="43642" spans="1:4" ht="15.75" customHeight="1">
      <c r="A43642" s="8"/>
      <c r="B43642" s="12"/>
      <c r="C43642" s="8"/>
      <c r="D43642" s="8"/>
    </row>
    <row r="43643" spans="1:4" ht="15.75" customHeight="1">
      <c r="A43643" s="8"/>
      <c r="B43643" s="12"/>
      <c r="C43643" s="8"/>
      <c r="D43643" s="8"/>
    </row>
    <row r="43644" spans="1:4" ht="15.75" customHeight="1">
      <c r="A43644" s="8"/>
      <c r="B43644" s="12"/>
      <c r="C43644" s="8"/>
      <c r="D43644" s="8"/>
    </row>
    <row r="43645" spans="1:4" ht="15.75" customHeight="1">
      <c r="A43645" s="8"/>
      <c r="B43645" s="12"/>
      <c r="C43645" s="8"/>
      <c r="D43645" s="8"/>
    </row>
    <row r="43646" spans="1:4" ht="15.75" customHeight="1">
      <c r="A43646" s="8"/>
      <c r="B43646" s="12"/>
      <c r="C43646" s="8"/>
      <c r="D43646" s="8"/>
    </row>
    <row r="43647" spans="1:4" ht="15.75" customHeight="1">
      <c r="A43647" s="8"/>
      <c r="B43647" s="12"/>
      <c r="C43647" s="8"/>
      <c r="D43647" s="8"/>
    </row>
    <row r="43648" spans="1:4" ht="15.75" customHeight="1">
      <c r="A43648" s="8"/>
      <c r="B43648" s="12"/>
      <c r="C43648" s="8"/>
      <c r="D43648" s="8"/>
    </row>
    <row r="43649" spans="1:4" ht="15.75" customHeight="1">
      <c r="A43649" s="8"/>
      <c r="B43649" s="12"/>
      <c r="C43649" s="8"/>
      <c r="D43649" s="8"/>
    </row>
    <row r="43650" spans="1:4" ht="15.75" customHeight="1">
      <c r="A43650" s="8"/>
      <c r="B43650" s="12"/>
      <c r="C43650" s="8"/>
      <c r="D43650" s="8"/>
    </row>
    <row r="43651" spans="1:4" ht="15.75" customHeight="1">
      <c r="A43651" s="8"/>
      <c r="B43651" s="12"/>
      <c r="C43651" s="8"/>
      <c r="D43651" s="8"/>
    </row>
    <row r="43652" spans="1:4" ht="15.75" customHeight="1">
      <c r="A43652" s="8"/>
      <c r="B43652" s="12"/>
      <c r="C43652" s="8"/>
      <c r="D43652" s="8"/>
    </row>
    <row r="43653" spans="1:4" ht="15.75" customHeight="1">
      <c r="A43653" s="8"/>
      <c r="B43653" s="12"/>
      <c r="C43653" s="8"/>
      <c r="D43653" s="8"/>
    </row>
    <row r="43654" spans="1:4" ht="15.75" customHeight="1">
      <c r="A43654" s="8"/>
      <c r="B43654" s="12"/>
      <c r="C43654" s="8"/>
      <c r="D43654" s="8"/>
    </row>
    <row r="43655" spans="1:4" ht="15.75" customHeight="1">
      <c r="A43655" s="8"/>
      <c r="B43655" s="12"/>
      <c r="C43655" s="8"/>
      <c r="D43655" s="8"/>
    </row>
    <row r="43656" spans="1:4" ht="15.75" customHeight="1">
      <c r="A43656" s="8"/>
      <c r="B43656" s="12"/>
      <c r="C43656" s="8"/>
      <c r="D43656" s="8"/>
    </row>
    <row r="43657" spans="1:4" ht="15.75" customHeight="1">
      <c r="A43657" s="8"/>
      <c r="B43657" s="12"/>
      <c r="C43657" s="8"/>
      <c r="D43657" s="8"/>
    </row>
    <row r="43658" spans="1:4" ht="15.75" customHeight="1">
      <c r="A43658" s="8"/>
      <c r="B43658" s="12"/>
      <c r="C43658" s="8"/>
      <c r="D43658" s="8"/>
    </row>
    <row r="43659" spans="1:4" ht="15.75" customHeight="1">
      <c r="A43659" s="8"/>
      <c r="B43659" s="12"/>
      <c r="C43659" s="8"/>
      <c r="D43659" s="8"/>
    </row>
    <row r="43660" spans="1:4" ht="15.75" customHeight="1">
      <c r="A43660" s="8"/>
      <c r="B43660" s="12"/>
      <c r="C43660" s="8"/>
      <c r="D43660" s="8"/>
    </row>
    <row r="43661" spans="1:4" ht="15.75" customHeight="1">
      <c r="A43661" s="8"/>
      <c r="B43661" s="12"/>
      <c r="C43661" s="8"/>
      <c r="D43661" s="8"/>
    </row>
    <row r="43662" spans="1:4" ht="15.75" customHeight="1">
      <c r="A43662" s="8"/>
      <c r="B43662" s="12"/>
      <c r="C43662" s="8"/>
      <c r="D43662" s="8"/>
    </row>
    <row r="43663" spans="1:4" ht="15.75" customHeight="1">
      <c r="A43663" s="8"/>
      <c r="B43663" s="12"/>
      <c r="C43663" s="8"/>
      <c r="D43663" s="8"/>
    </row>
    <row r="43664" spans="1:4" ht="15.75" customHeight="1">
      <c r="A43664" s="8"/>
      <c r="B43664" s="12"/>
      <c r="C43664" s="8"/>
      <c r="D43664" s="8"/>
    </row>
    <row r="43665" spans="1:4" ht="15.75" customHeight="1">
      <c r="A43665" s="8"/>
      <c r="B43665" s="12"/>
      <c r="C43665" s="8"/>
      <c r="D43665" s="8"/>
    </row>
    <row r="43666" spans="1:4" ht="15.75" customHeight="1">
      <c r="A43666" s="8"/>
      <c r="B43666" s="12"/>
      <c r="C43666" s="8"/>
      <c r="D43666" s="8"/>
    </row>
    <row r="43667" spans="1:4" ht="15.75" customHeight="1">
      <c r="A43667" s="8"/>
      <c r="B43667" s="12"/>
      <c r="C43667" s="8"/>
      <c r="D43667" s="8"/>
    </row>
    <row r="43668" spans="1:4" ht="15.75" customHeight="1">
      <c r="A43668" s="8"/>
      <c r="B43668" s="12"/>
      <c r="C43668" s="8"/>
      <c r="D43668" s="8"/>
    </row>
    <row r="43669" spans="1:4" ht="15.75" customHeight="1">
      <c r="A43669" s="8"/>
      <c r="B43669" s="12"/>
      <c r="C43669" s="8"/>
      <c r="D43669" s="8"/>
    </row>
    <row r="43670" spans="1:4" ht="15.75" customHeight="1">
      <c r="A43670" s="8"/>
      <c r="B43670" s="12"/>
      <c r="C43670" s="8"/>
      <c r="D43670" s="8"/>
    </row>
    <row r="43671" spans="1:4" ht="15.75" customHeight="1">
      <c r="A43671" s="8"/>
      <c r="B43671" s="12"/>
      <c r="C43671" s="8"/>
      <c r="D43671" s="8"/>
    </row>
    <row r="43672" spans="1:4" ht="15.75" customHeight="1">
      <c r="A43672" s="8"/>
      <c r="B43672" s="12"/>
      <c r="C43672" s="8"/>
      <c r="D43672" s="8"/>
    </row>
    <row r="43673" spans="1:4" ht="15.75" customHeight="1">
      <c r="A43673" s="8"/>
      <c r="B43673" s="12"/>
      <c r="C43673" s="8"/>
      <c r="D43673" s="8"/>
    </row>
    <row r="43674" spans="1:4" ht="15.75" customHeight="1">
      <c r="A43674" s="8"/>
      <c r="B43674" s="12"/>
      <c r="C43674" s="8"/>
      <c r="D43674" s="8"/>
    </row>
    <row r="43675" spans="1:4" ht="15.75" customHeight="1">
      <c r="A43675" s="8"/>
      <c r="B43675" s="12"/>
      <c r="C43675" s="8"/>
      <c r="D43675" s="8"/>
    </row>
    <row r="43676" spans="1:4" ht="15.75" customHeight="1">
      <c r="A43676" s="8"/>
      <c r="B43676" s="12"/>
      <c r="C43676" s="8"/>
      <c r="D43676" s="8"/>
    </row>
    <row r="43677" spans="1:4" ht="15.75" customHeight="1">
      <c r="A43677" s="8"/>
      <c r="B43677" s="12"/>
      <c r="C43677" s="8"/>
      <c r="D43677" s="8"/>
    </row>
    <row r="43678" spans="1:4" ht="15.75" customHeight="1">
      <c r="A43678" s="8"/>
      <c r="B43678" s="12"/>
      <c r="C43678" s="8"/>
      <c r="D43678" s="8"/>
    </row>
    <row r="43679" spans="1:4" ht="15.75" customHeight="1">
      <c r="A43679" s="8"/>
      <c r="B43679" s="12"/>
      <c r="C43679" s="8"/>
      <c r="D43679" s="8"/>
    </row>
    <row r="43680" spans="1:4" ht="15.75" customHeight="1">
      <c r="A43680" s="8"/>
      <c r="B43680" s="12"/>
      <c r="C43680" s="8"/>
      <c r="D43680" s="8"/>
    </row>
    <row r="43681" spans="1:4" ht="15.75" customHeight="1">
      <c r="A43681" s="8"/>
      <c r="B43681" s="12"/>
      <c r="C43681" s="8"/>
      <c r="D43681" s="8"/>
    </row>
    <row r="43682" spans="1:4" ht="15.75" customHeight="1">
      <c r="A43682" s="8"/>
      <c r="B43682" s="12"/>
      <c r="C43682" s="8"/>
      <c r="D43682" s="8"/>
    </row>
    <row r="43683" spans="1:4" ht="15.75" customHeight="1">
      <c r="A43683" s="8"/>
      <c r="B43683" s="12"/>
      <c r="C43683" s="8"/>
      <c r="D43683" s="8"/>
    </row>
    <row r="43684" spans="1:4" ht="15.75" customHeight="1">
      <c r="A43684" s="8"/>
      <c r="B43684" s="12"/>
      <c r="C43684" s="8"/>
      <c r="D43684" s="8"/>
    </row>
    <row r="43685" spans="1:4" ht="15.75" customHeight="1">
      <c r="A43685" s="8"/>
      <c r="B43685" s="12"/>
      <c r="C43685" s="8"/>
      <c r="D43685" s="8"/>
    </row>
    <row r="43686" spans="1:4" ht="15.75" customHeight="1">
      <c r="A43686" s="8"/>
      <c r="B43686" s="12"/>
      <c r="C43686" s="8"/>
      <c r="D43686" s="8"/>
    </row>
    <row r="43687" spans="1:4" ht="15.75" customHeight="1">
      <c r="A43687" s="8"/>
      <c r="B43687" s="12"/>
      <c r="C43687" s="8"/>
      <c r="D43687" s="8"/>
    </row>
    <row r="43688" spans="1:4" ht="15.75" customHeight="1">
      <c r="A43688" s="8"/>
      <c r="B43688" s="12"/>
      <c r="C43688" s="8"/>
      <c r="D43688" s="8"/>
    </row>
    <row r="43689" spans="1:4" ht="15.75" customHeight="1">
      <c r="A43689" s="8"/>
      <c r="B43689" s="12"/>
      <c r="C43689" s="8"/>
      <c r="D43689" s="8"/>
    </row>
    <row r="43690" spans="1:4" ht="15.75" customHeight="1">
      <c r="A43690" s="8"/>
      <c r="B43690" s="12"/>
      <c r="C43690" s="8"/>
      <c r="D43690" s="8"/>
    </row>
    <row r="43691" spans="1:4" ht="15.75" customHeight="1">
      <c r="A43691" s="8"/>
      <c r="B43691" s="12"/>
      <c r="C43691" s="8"/>
      <c r="D43691" s="8"/>
    </row>
    <row r="43692" spans="1:4" ht="15.75" customHeight="1">
      <c r="A43692" s="8"/>
      <c r="B43692" s="12"/>
      <c r="C43692" s="8"/>
      <c r="D43692" s="8"/>
    </row>
    <row r="43693" spans="1:4" ht="15.75" customHeight="1">
      <c r="A43693" s="8"/>
      <c r="B43693" s="12"/>
      <c r="C43693" s="8"/>
      <c r="D43693" s="8"/>
    </row>
    <row r="43694" spans="1:4" ht="15.75" customHeight="1">
      <c r="A43694" s="8"/>
      <c r="B43694" s="12"/>
      <c r="C43694" s="8"/>
      <c r="D43694" s="8"/>
    </row>
    <row r="43695" spans="1:4" ht="15.75" customHeight="1">
      <c r="A43695" s="8"/>
      <c r="B43695" s="12"/>
      <c r="C43695" s="8"/>
      <c r="D43695" s="8"/>
    </row>
    <row r="43696" spans="1:4" ht="15.75" customHeight="1">
      <c r="A43696" s="8"/>
      <c r="B43696" s="12"/>
      <c r="C43696" s="8"/>
      <c r="D43696" s="8"/>
    </row>
    <row r="43697" spans="1:4" ht="15.75" customHeight="1">
      <c r="A43697" s="8"/>
      <c r="B43697" s="12"/>
      <c r="C43697" s="8"/>
      <c r="D43697" s="8"/>
    </row>
    <row r="43698" spans="1:4" ht="15.75" customHeight="1">
      <c r="A43698" s="8"/>
      <c r="B43698" s="12"/>
      <c r="C43698" s="8"/>
      <c r="D43698" s="8"/>
    </row>
    <row r="43699" spans="1:4" ht="15.75" customHeight="1">
      <c r="A43699" s="8"/>
      <c r="B43699" s="12"/>
      <c r="C43699" s="8"/>
      <c r="D43699" s="8"/>
    </row>
    <row r="43700" spans="1:4" ht="15.75" customHeight="1">
      <c r="A43700" s="8"/>
      <c r="B43700" s="12"/>
      <c r="C43700" s="8"/>
      <c r="D43700" s="8"/>
    </row>
    <row r="43701" spans="1:4" ht="15.75" customHeight="1">
      <c r="A43701" s="8"/>
      <c r="B43701" s="12"/>
      <c r="C43701" s="8"/>
      <c r="D43701" s="8"/>
    </row>
    <row r="43702" spans="1:4" ht="15.75" customHeight="1">
      <c r="A43702" s="8"/>
      <c r="B43702" s="12"/>
      <c r="C43702" s="8"/>
      <c r="D43702" s="8"/>
    </row>
    <row r="43703" spans="1:4" ht="15.75" customHeight="1">
      <c r="A43703" s="8"/>
      <c r="B43703" s="12"/>
      <c r="C43703" s="8"/>
      <c r="D43703" s="8"/>
    </row>
    <row r="43704" spans="1:4" ht="15.75" customHeight="1">
      <c r="A43704" s="8"/>
      <c r="B43704" s="12"/>
      <c r="C43704" s="8"/>
      <c r="D43704" s="8"/>
    </row>
    <row r="43705" spans="1:4" ht="15.75" customHeight="1">
      <c r="A43705" s="8"/>
      <c r="B43705" s="12"/>
      <c r="C43705" s="8"/>
      <c r="D43705" s="8"/>
    </row>
    <row r="43706" spans="1:4" ht="15.75" customHeight="1">
      <c r="A43706" s="8"/>
      <c r="B43706" s="12"/>
      <c r="C43706" s="8"/>
      <c r="D43706" s="8"/>
    </row>
    <row r="43707" spans="1:4" ht="15.75" customHeight="1">
      <c r="A43707" s="8"/>
      <c r="B43707" s="12"/>
      <c r="C43707" s="8"/>
      <c r="D43707" s="8"/>
    </row>
    <row r="43708" spans="1:4" ht="15.75" customHeight="1">
      <c r="A43708" s="8"/>
      <c r="B43708" s="12"/>
      <c r="C43708" s="8"/>
      <c r="D43708" s="8"/>
    </row>
    <row r="43709" spans="1:4" ht="15.75" customHeight="1">
      <c r="A43709" s="8"/>
      <c r="B43709" s="12"/>
      <c r="C43709" s="8"/>
      <c r="D43709" s="8"/>
    </row>
    <row r="43710" spans="1:4" ht="15.75" customHeight="1">
      <c r="A43710" s="8"/>
      <c r="B43710" s="12"/>
      <c r="C43710" s="8"/>
      <c r="D43710" s="8"/>
    </row>
    <row r="43711" spans="1:4" ht="15.75" customHeight="1">
      <c r="A43711" s="8"/>
      <c r="B43711" s="12"/>
      <c r="C43711" s="8"/>
      <c r="D43711" s="8"/>
    </row>
    <row r="43712" spans="1:4" ht="15.75" customHeight="1">
      <c r="A43712" s="8"/>
      <c r="B43712" s="12"/>
      <c r="C43712" s="8"/>
      <c r="D43712" s="8"/>
    </row>
    <row r="43713" spans="1:4" ht="15.75" customHeight="1">
      <c r="A43713" s="8"/>
      <c r="B43713" s="12"/>
      <c r="C43713" s="8"/>
      <c r="D43713" s="8"/>
    </row>
    <row r="43714" spans="1:4" ht="15.75" customHeight="1">
      <c r="A43714" s="8"/>
      <c r="B43714" s="12"/>
      <c r="C43714" s="8"/>
      <c r="D43714" s="8"/>
    </row>
    <row r="43715" spans="1:4" ht="15.75" customHeight="1">
      <c r="A43715" s="8"/>
      <c r="B43715" s="12"/>
      <c r="C43715" s="8"/>
      <c r="D43715" s="8"/>
    </row>
    <row r="43716" spans="1:4" ht="15.75" customHeight="1">
      <c r="A43716" s="8"/>
      <c r="B43716" s="12"/>
      <c r="C43716" s="8"/>
      <c r="D43716" s="8"/>
    </row>
    <row r="43717" spans="1:4" ht="15.75" customHeight="1">
      <c r="A43717" s="8"/>
      <c r="B43717" s="12"/>
      <c r="C43717" s="8"/>
      <c r="D43717" s="8"/>
    </row>
    <row r="43718" spans="1:4" ht="15.75" customHeight="1">
      <c r="A43718" s="8"/>
      <c r="B43718" s="12"/>
      <c r="C43718" s="8"/>
      <c r="D43718" s="8"/>
    </row>
    <row r="43719" spans="1:4" ht="15.75" customHeight="1">
      <c r="A43719" s="8"/>
      <c r="B43719" s="12"/>
      <c r="C43719" s="8"/>
      <c r="D43719" s="8"/>
    </row>
    <row r="43720" spans="1:4" ht="15.75" customHeight="1">
      <c r="A43720" s="8"/>
      <c r="B43720" s="12"/>
      <c r="C43720" s="8"/>
      <c r="D43720" s="8"/>
    </row>
    <row r="43721" spans="1:4" ht="15.75" customHeight="1">
      <c r="A43721" s="8"/>
      <c r="B43721" s="12"/>
      <c r="C43721" s="8"/>
      <c r="D43721" s="8"/>
    </row>
    <row r="43722" spans="1:4" ht="15.75" customHeight="1">
      <c r="A43722" s="8"/>
      <c r="B43722" s="12"/>
      <c r="C43722" s="8"/>
      <c r="D43722" s="8"/>
    </row>
    <row r="43723" spans="1:4" ht="15.75" customHeight="1">
      <c r="A43723" s="8"/>
      <c r="B43723" s="12"/>
      <c r="C43723" s="8"/>
      <c r="D43723" s="8"/>
    </row>
    <row r="43724" spans="1:4" ht="15.75" customHeight="1">
      <c r="A43724" s="8"/>
      <c r="B43724" s="12"/>
      <c r="C43724" s="8"/>
      <c r="D43724" s="8"/>
    </row>
    <row r="43725" spans="1:4" ht="15.75" customHeight="1">
      <c r="A43725" s="8"/>
      <c r="B43725" s="12"/>
      <c r="C43725" s="8"/>
      <c r="D43725" s="8"/>
    </row>
    <row r="43726" spans="1:4" ht="15.75" customHeight="1">
      <c r="A43726" s="8"/>
      <c r="B43726" s="12"/>
      <c r="C43726" s="8"/>
      <c r="D43726" s="8"/>
    </row>
    <row r="43727" spans="1:4" ht="15.75" customHeight="1">
      <c r="A43727" s="8"/>
      <c r="B43727" s="12"/>
      <c r="C43727" s="8"/>
      <c r="D43727" s="8"/>
    </row>
    <row r="43728" spans="1:4" ht="15.75" customHeight="1">
      <c r="A43728" s="8"/>
      <c r="B43728" s="12"/>
      <c r="C43728" s="8"/>
      <c r="D43728" s="8"/>
    </row>
    <row r="43729" spans="1:4" ht="15.75" customHeight="1">
      <c r="A43729" s="8"/>
      <c r="B43729" s="12"/>
      <c r="C43729" s="8"/>
      <c r="D43729" s="8"/>
    </row>
    <row r="43730" spans="1:4" ht="15.75" customHeight="1">
      <c r="A43730" s="8"/>
      <c r="B43730" s="12"/>
      <c r="C43730" s="8"/>
      <c r="D43730" s="8"/>
    </row>
    <row r="43731" spans="1:4" ht="15.75" customHeight="1">
      <c r="A43731" s="8"/>
      <c r="B43731" s="12"/>
      <c r="C43731" s="8"/>
      <c r="D43731" s="8"/>
    </row>
    <row r="43732" spans="1:4" ht="15.75" customHeight="1">
      <c r="A43732" s="8"/>
      <c r="B43732" s="12"/>
      <c r="C43732" s="8"/>
      <c r="D43732" s="8"/>
    </row>
    <row r="43733" spans="1:4" ht="15.75" customHeight="1">
      <c r="A43733" s="8"/>
      <c r="B43733" s="12"/>
      <c r="C43733" s="8"/>
      <c r="D43733" s="8"/>
    </row>
    <row r="43734" spans="1:4" ht="15.75" customHeight="1">
      <c r="A43734" s="8"/>
      <c r="B43734" s="12"/>
      <c r="C43734" s="8"/>
      <c r="D43734" s="8"/>
    </row>
    <row r="43735" spans="1:4" ht="15.75" customHeight="1">
      <c r="A43735" s="8"/>
      <c r="B43735" s="12"/>
      <c r="C43735" s="8"/>
      <c r="D43735" s="8"/>
    </row>
    <row r="43736" spans="1:4" ht="15.75" customHeight="1">
      <c r="A43736" s="8"/>
      <c r="B43736" s="12"/>
      <c r="C43736" s="8"/>
      <c r="D43736" s="8"/>
    </row>
    <row r="43737" spans="1:4" ht="15.75" customHeight="1">
      <c r="A43737" s="8"/>
      <c r="B43737" s="12"/>
      <c r="C43737" s="8"/>
      <c r="D43737" s="8"/>
    </row>
    <row r="43738" spans="1:4" ht="15.75" customHeight="1">
      <c r="A43738" s="8"/>
      <c r="B43738" s="12"/>
      <c r="C43738" s="8"/>
      <c r="D43738" s="8"/>
    </row>
    <row r="43739" spans="1:4" ht="15.75" customHeight="1">
      <c r="A43739" s="8"/>
      <c r="B43739" s="12"/>
      <c r="C43739" s="8"/>
      <c r="D43739" s="8"/>
    </row>
    <row r="43740" spans="1:4" ht="15.75" customHeight="1">
      <c r="A43740" s="8"/>
      <c r="B43740" s="12"/>
      <c r="C43740" s="8"/>
      <c r="D43740" s="8"/>
    </row>
    <row r="43741" spans="1:4" ht="15.75" customHeight="1">
      <c r="A43741" s="8"/>
      <c r="B43741" s="12"/>
      <c r="C43741" s="8"/>
      <c r="D43741" s="8"/>
    </row>
    <row r="43742" spans="1:4" ht="15.75" customHeight="1">
      <c r="A43742" s="8"/>
      <c r="B43742" s="12"/>
      <c r="C43742" s="8"/>
      <c r="D43742" s="8"/>
    </row>
    <row r="43743" spans="1:4" ht="15.75" customHeight="1">
      <c r="A43743" s="8"/>
      <c r="B43743" s="12"/>
      <c r="C43743" s="8"/>
      <c r="D43743" s="8"/>
    </row>
    <row r="43744" spans="1:4" ht="15.75" customHeight="1">
      <c r="A43744" s="8"/>
      <c r="B43744" s="12"/>
      <c r="C43744" s="8"/>
      <c r="D43744" s="8"/>
    </row>
    <row r="43745" spans="1:4" ht="15.75" customHeight="1">
      <c r="A43745" s="8"/>
      <c r="B43745" s="12"/>
      <c r="C43745" s="8"/>
      <c r="D43745" s="8"/>
    </row>
    <row r="43746" spans="1:4" ht="15.75" customHeight="1">
      <c r="A43746" s="8"/>
      <c r="B43746" s="12"/>
      <c r="C43746" s="8"/>
      <c r="D43746" s="8"/>
    </row>
    <row r="43747" spans="1:4" ht="15.75" customHeight="1">
      <c r="A43747" s="8"/>
      <c r="B43747" s="12"/>
      <c r="C43747" s="8"/>
      <c r="D43747" s="8"/>
    </row>
    <row r="43748" spans="1:4" ht="15.75" customHeight="1">
      <c r="A43748" s="8"/>
      <c r="B43748" s="12"/>
      <c r="C43748" s="8"/>
      <c r="D43748" s="8"/>
    </row>
    <row r="43749" spans="1:4" ht="15.75" customHeight="1">
      <c r="A43749" s="8"/>
      <c r="B43749" s="12"/>
      <c r="C43749" s="8"/>
      <c r="D43749" s="8"/>
    </row>
    <row r="43750" spans="1:4" ht="15.75" customHeight="1">
      <c r="A43750" s="8"/>
      <c r="B43750" s="12"/>
      <c r="C43750" s="8"/>
      <c r="D43750" s="8"/>
    </row>
    <row r="43751" spans="1:4" ht="15.75" customHeight="1">
      <c r="A43751" s="8"/>
      <c r="B43751" s="12"/>
      <c r="C43751" s="8"/>
      <c r="D43751" s="8"/>
    </row>
    <row r="43752" spans="1:4" ht="15.75" customHeight="1">
      <c r="A43752" s="8"/>
      <c r="B43752" s="12"/>
      <c r="C43752" s="8"/>
      <c r="D43752" s="8"/>
    </row>
    <row r="43753" spans="1:4" ht="15.75" customHeight="1">
      <c r="A43753" s="8"/>
      <c r="B43753" s="12"/>
      <c r="C43753" s="8"/>
      <c r="D43753" s="8"/>
    </row>
    <row r="43754" spans="1:4" ht="15.75" customHeight="1">
      <c r="A43754" s="8"/>
      <c r="B43754" s="12"/>
      <c r="C43754" s="8"/>
      <c r="D43754" s="8"/>
    </row>
    <row r="43755" spans="1:4" ht="15.75" customHeight="1">
      <c r="A43755" s="8"/>
      <c r="B43755" s="12"/>
      <c r="C43755" s="8"/>
      <c r="D43755" s="8"/>
    </row>
    <row r="43756" spans="1:4" ht="15.75" customHeight="1">
      <c r="A43756" s="8"/>
      <c r="B43756" s="12"/>
      <c r="C43756" s="8"/>
      <c r="D43756" s="8"/>
    </row>
    <row r="43757" spans="1:4" ht="15.75" customHeight="1">
      <c r="A43757" s="8"/>
      <c r="B43757" s="12"/>
      <c r="C43757" s="8"/>
      <c r="D43757" s="8"/>
    </row>
    <row r="43758" spans="1:4" ht="15.75" customHeight="1">
      <c r="A43758" s="8"/>
      <c r="B43758" s="12"/>
      <c r="C43758" s="8"/>
      <c r="D43758" s="8"/>
    </row>
    <row r="43759" spans="1:4" ht="15.75" customHeight="1">
      <c r="A43759" s="8"/>
      <c r="B43759" s="12"/>
      <c r="C43759" s="8"/>
      <c r="D43759" s="8"/>
    </row>
    <row r="43760" spans="1:4" ht="15.75" customHeight="1">
      <c r="A43760" s="8"/>
      <c r="B43760" s="12"/>
      <c r="C43760" s="8"/>
      <c r="D43760" s="8"/>
    </row>
    <row r="43761" spans="1:4" ht="15.75" customHeight="1">
      <c r="A43761" s="8"/>
      <c r="B43761" s="12"/>
      <c r="C43761" s="8"/>
      <c r="D43761" s="8"/>
    </row>
    <row r="43762" spans="1:4" ht="15.75" customHeight="1">
      <c r="A43762" s="8"/>
      <c r="B43762" s="12"/>
      <c r="C43762" s="8"/>
      <c r="D43762" s="8"/>
    </row>
    <row r="43763" spans="1:4" ht="15.75" customHeight="1">
      <c r="A43763" s="8"/>
      <c r="B43763" s="12"/>
      <c r="C43763" s="8"/>
      <c r="D43763" s="8"/>
    </row>
    <row r="43764" spans="1:4" ht="15.75" customHeight="1">
      <c r="A43764" s="8"/>
      <c r="B43764" s="12"/>
      <c r="C43764" s="8"/>
      <c r="D43764" s="8"/>
    </row>
    <row r="43765" spans="1:4" ht="15.75" customHeight="1">
      <c r="A43765" s="8"/>
      <c r="B43765" s="12"/>
      <c r="C43765" s="8"/>
      <c r="D43765" s="8"/>
    </row>
    <row r="43766" spans="1:4" ht="15.75" customHeight="1">
      <c r="A43766" s="8"/>
      <c r="B43766" s="12"/>
      <c r="C43766" s="8"/>
      <c r="D43766" s="8"/>
    </row>
    <row r="43767" spans="1:4" ht="15.75" customHeight="1">
      <c r="A43767" s="8"/>
      <c r="B43767" s="12"/>
      <c r="C43767" s="8"/>
      <c r="D43767" s="8"/>
    </row>
    <row r="43768" spans="1:4" ht="15.75" customHeight="1">
      <c r="A43768" s="8"/>
      <c r="B43768" s="12"/>
      <c r="C43768" s="8"/>
      <c r="D43768" s="8"/>
    </row>
    <row r="43769" spans="1:4" ht="15.75" customHeight="1">
      <c r="A43769" s="8"/>
      <c r="B43769" s="12"/>
      <c r="C43769" s="8"/>
      <c r="D43769" s="8"/>
    </row>
    <row r="43770" spans="1:4" ht="15.75" customHeight="1">
      <c r="A43770" s="8"/>
      <c r="B43770" s="12"/>
      <c r="C43770" s="8"/>
      <c r="D43770" s="8"/>
    </row>
    <row r="43771" spans="1:4" ht="15.75" customHeight="1">
      <c r="A43771" s="8"/>
      <c r="B43771" s="12"/>
      <c r="C43771" s="8"/>
      <c r="D43771" s="8"/>
    </row>
    <row r="43772" spans="1:4" ht="15.75" customHeight="1">
      <c r="A43772" s="8"/>
      <c r="B43772" s="12"/>
      <c r="C43772" s="8"/>
      <c r="D43772" s="8"/>
    </row>
    <row r="43773" spans="1:4" ht="15.75" customHeight="1">
      <c r="A43773" s="8"/>
      <c r="B43773" s="12"/>
      <c r="C43773" s="8"/>
      <c r="D43773" s="8"/>
    </row>
    <row r="43774" spans="1:4" ht="15.75" customHeight="1">
      <c r="A43774" s="8"/>
      <c r="B43774" s="12"/>
      <c r="C43774" s="8"/>
      <c r="D43774" s="8"/>
    </row>
    <row r="43775" spans="1:4" ht="15.75" customHeight="1">
      <c r="A43775" s="8"/>
      <c r="B43775" s="12"/>
      <c r="C43775" s="8"/>
      <c r="D43775" s="8"/>
    </row>
    <row r="43776" spans="1:4" ht="15.75" customHeight="1">
      <c r="A43776" s="8"/>
      <c r="B43776" s="12"/>
      <c r="C43776" s="8"/>
      <c r="D43776" s="8"/>
    </row>
    <row r="43777" spans="1:4" ht="15.75" customHeight="1">
      <c r="A43777" s="8"/>
      <c r="B43777" s="12"/>
      <c r="C43777" s="8"/>
      <c r="D43777" s="8"/>
    </row>
    <row r="43778" spans="1:4" ht="15.75" customHeight="1">
      <c r="A43778" s="8"/>
      <c r="B43778" s="12"/>
      <c r="C43778" s="8"/>
      <c r="D43778" s="8"/>
    </row>
    <row r="43779" spans="1:4" ht="15.75" customHeight="1">
      <c r="A43779" s="8"/>
      <c r="B43779" s="12"/>
      <c r="C43779" s="8"/>
      <c r="D43779" s="8"/>
    </row>
    <row r="43780" spans="1:4" ht="15.75" customHeight="1">
      <c r="A43780" s="8"/>
      <c r="B43780" s="12"/>
      <c r="C43780" s="8"/>
      <c r="D43780" s="8"/>
    </row>
    <row r="43781" spans="1:4" ht="15.75" customHeight="1">
      <c r="A43781" s="8"/>
      <c r="B43781" s="12"/>
      <c r="C43781" s="8"/>
      <c r="D43781" s="8"/>
    </row>
    <row r="43782" spans="1:4" ht="15.75" customHeight="1">
      <c r="A43782" s="8"/>
      <c r="B43782" s="12"/>
      <c r="C43782" s="8"/>
      <c r="D43782" s="8"/>
    </row>
    <row r="43783" spans="1:4" ht="15.75" customHeight="1">
      <c r="A43783" s="8"/>
      <c r="B43783" s="12"/>
      <c r="C43783" s="8"/>
      <c r="D43783" s="8"/>
    </row>
    <row r="43784" spans="1:4" ht="15.75" customHeight="1">
      <c r="A43784" s="8"/>
      <c r="B43784" s="12"/>
      <c r="C43784" s="8"/>
      <c r="D43784" s="8"/>
    </row>
    <row r="43785" spans="1:4" ht="15.75" customHeight="1">
      <c r="A43785" s="8"/>
      <c r="B43785" s="12"/>
      <c r="C43785" s="8"/>
      <c r="D43785" s="8"/>
    </row>
    <row r="43786" spans="1:4" ht="15.75" customHeight="1">
      <c r="A43786" s="8"/>
      <c r="B43786" s="12"/>
      <c r="C43786" s="8"/>
      <c r="D43786" s="8"/>
    </row>
    <row r="43787" spans="1:4" ht="15.75" customHeight="1">
      <c r="A43787" s="8"/>
      <c r="B43787" s="12"/>
      <c r="C43787" s="8"/>
      <c r="D43787" s="8"/>
    </row>
    <row r="43788" spans="1:4" ht="15.75" customHeight="1">
      <c r="A43788" s="8"/>
      <c r="B43788" s="12"/>
      <c r="C43788" s="8"/>
      <c r="D43788" s="8"/>
    </row>
    <row r="43789" spans="1:4" ht="15.75" customHeight="1">
      <c r="A43789" s="8"/>
      <c r="B43789" s="12"/>
      <c r="C43789" s="8"/>
      <c r="D43789" s="8"/>
    </row>
    <row r="43790" spans="1:4" ht="15.75" customHeight="1">
      <c r="A43790" s="8"/>
      <c r="B43790" s="12"/>
      <c r="C43790" s="8"/>
      <c r="D43790" s="8"/>
    </row>
    <row r="43791" spans="1:4" ht="15.75" customHeight="1">
      <c r="A43791" s="8"/>
      <c r="B43791" s="12"/>
      <c r="C43791" s="8"/>
      <c r="D43791" s="8"/>
    </row>
    <row r="43792" spans="1:4" ht="15.75" customHeight="1">
      <c r="A43792" s="8"/>
      <c r="B43792" s="12"/>
      <c r="C43792" s="8"/>
      <c r="D43792" s="8"/>
    </row>
    <row r="43793" spans="1:4" ht="15.75" customHeight="1">
      <c r="A43793" s="8"/>
      <c r="B43793" s="12"/>
      <c r="C43793" s="8"/>
      <c r="D43793" s="8"/>
    </row>
    <row r="43794" spans="1:4" ht="15.75" customHeight="1">
      <c r="A43794" s="8"/>
      <c r="B43794" s="12"/>
      <c r="C43794" s="8"/>
      <c r="D43794" s="8"/>
    </row>
    <row r="43795" spans="1:4" ht="15.75" customHeight="1">
      <c r="A43795" s="8"/>
      <c r="B43795" s="12"/>
      <c r="C43795" s="8"/>
      <c r="D43795" s="8"/>
    </row>
    <row r="43796" spans="1:4" ht="15.75" customHeight="1">
      <c r="A43796" s="8"/>
      <c r="B43796" s="12"/>
      <c r="C43796" s="8"/>
      <c r="D43796" s="8"/>
    </row>
    <row r="43797" spans="1:4" ht="15.75" customHeight="1">
      <c r="A43797" s="8"/>
      <c r="B43797" s="12"/>
      <c r="C43797" s="8"/>
      <c r="D43797" s="8"/>
    </row>
    <row r="43798" spans="1:4" ht="15.75" customHeight="1">
      <c r="A43798" s="8"/>
      <c r="B43798" s="12"/>
      <c r="C43798" s="8"/>
      <c r="D43798" s="8"/>
    </row>
    <row r="43799" spans="1:4" ht="15.75" customHeight="1">
      <c r="A43799" s="8"/>
      <c r="B43799" s="12"/>
      <c r="C43799" s="8"/>
      <c r="D43799" s="8"/>
    </row>
    <row r="43800" spans="1:4" ht="15.75" customHeight="1">
      <c r="A43800" s="8"/>
      <c r="B43800" s="12"/>
      <c r="C43800" s="8"/>
      <c r="D43800" s="8"/>
    </row>
    <row r="43801" spans="1:4" ht="15.75" customHeight="1">
      <c r="A43801" s="8"/>
      <c r="B43801" s="12"/>
      <c r="C43801" s="8"/>
      <c r="D43801" s="8"/>
    </row>
    <row r="43802" spans="1:4" ht="15.75" customHeight="1">
      <c r="A43802" s="8"/>
      <c r="B43802" s="12"/>
      <c r="C43802" s="8"/>
      <c r="D43802" s="8"/>
    </row>
    <row r="43803" spans="1:4" ht="15.75" customHeight="1">
      <c r="A43803" s="8"/>
      <c r="B43803" s="12"/>
      <c r="C43803" s="8"/>
      <c r="D43803" s="8"/>
    </row>
    <row r="43804" spans="1:4" ht="15.75" customHeight="1">
      <c r="A43804" s="8"/>
      <c r="B43804" s="12"/>
      <c r="C43804" s="8"/>
      <c r="D43804" s="8"/>
    </row>
    <row r="43805" spans="1:4" ht="15.75" customHeight="1">
      <c r="A43805" s="8"/>
      <c r="B43805" s="12"/>
      <c r="C43805" s="8"/>
      <c r="D43805" s="8"/>
    </row>
    <row r="43806" spans="1:4" ht="15.75" customHeight="1">
      <c r="A43806" s="8"/>
      <c r="B43806" s="12"/>
      <c r="C43806" s="8"/>
      <c r="D43806" s="8"/>
    </row>
    <row r="43807" spans="1:4" ht="15.75" customHeight="1">
      <c r="A43807" s="8"/>
      <c r="B43807" s="12"/>
      <c r="C43807" s="8"/>
      <c r="D43807" s="8"/>
    </row>
    <row r="43808" spans="1:4" ht="15.75" customHeight="1">
      <c r="A43808" s="8"/>
      <c r="B43808" s="12"/>
      <c r="C43808" s="8"/>
      <c r="D43808" s="8"/>
    </row>
    <row r="43809" spans="1:4" ht="15.75" customHeight="1">
      <c r="A43809" s="8"/>
      <c r="B43809" s="12"/>
      <c r="C43809" s="8"/>
      <c r="D43809" s="8"/>
    </row>
    <row r="43810" spans="1:4" ht="15.75" customHeight="1">
      <c r="A43810" s="8"/>
      <c r="B43810" s="12"/>
      <c r="C43810" s="8"/>
      <c r="D43810" s="8"/>
    </row>
    <row r="43811" spans="1:4" ht="15.75" customHeight="1">
      <c r="A43811" s="8"/>
      <c r="B43811" s="12"/>
      <c r="C43811" s="8"/>
      <c r="D43811" s="8"/>
    </row>
    <row r="43812" spans="1:4" ht="15.75" customHeight="1">
      <c r="A43812" s="8"/>
      <c r="B43812" s="12"/>
      <c r="C43812" s="8"/>
      <c r="D43812" s="8"/>
    </row>
    <row r="43813" spans="1:4" ht="15.75" customHeight="1">
      <c r="A43813" s="8"/>
      <c r="B43813" s="12"/>
      <c r="C43813" s="8"/>
      <c r="D43813" s="8"/>
    </row>
    <row r="43814" spans="1:4" ht="15.75" customHeight="1">
      <c r="A43814" s="8"/>
      <c r="B43814" s="12"/>
      <c r="C43814" s="8"/>
      <c r="D43814" s="8"/>
    </row>
    <row r="43815" spans="1:4" ht="15.75" customHeight="1">
      <c r="A43815" s="8"/>
      <c r="B43815" s="12"/>
      <c r="C43815" s="8"/>
      <c r="D43815" s="8"/>
    </row>
    <row r="43816" spans="1:4" ht="15.75" customHeight="1">
      <c r="A43816" s="8"/>
      <c r="B43816" s="12"/>
      <c r="C43816" s="8"/>
      <c r="D43816" s="8"/>
    </row>
    <row r="43817" spans="1:4" ht="15.75" customHeight="1">
      <c r="A43817" s="8"/>
      <c r="B43817" s="12"/>
      <c r="C43817" s="8"/>
      <c r="D43817" s="8"/>
    </row>
    <row r="43818" spans="1:4" ht="15.75" customHeight="1">
      <c r="A43818" s="8"/>
      <c r="B43818" s="12"/>
      <c r="C43818" s="8"/>
      <c r="D43818" s="8"/>
    </row>
    <row r="43819" spans="1:4" ht="15.75" customHeight="1">
      <c r="A43819" s="8"/>
      <c r="B43819" s="12"/>
      <c r="C43819" s="8"/>
      <c r="D43819" s="8"/>
    </row>
    <row r="43820" spans="1:4" ht="15.75" customHeight="1">
      <c r="A43820" s="8"/>
      <c r="B43820" s="12"/>
      <c r="C43820" s="8"/>
      <c r="D43820" s="8"/>
    </row>
    <row r="43821" spans="1:4" ht="15.75" customHeight="1">
      <c r="A43821" s="8"/>
      <c r="B43821" s="12"/>
      <c r="C43821" s="8"/>
      <c r="D43821" s="8"/>
    </row>
    <row r="43822" spans="1:4" ht="15.75" customHeight="1">
      <c r="A43822" s="8"/>
      <c r="B43822" s="12"/>
      <c r="C43822" s="8"/>
      <c r="D43822" s="8"/>
    </row>
    <row r="43823" spans="1:4" ht="15.75" customHeight="1">
      <c r="A43823" s="8"/>
      <c r="B43823" s="12"/>
      <c r="C43823" s="8"/>
      <c r="D43823" s="8"/>
    </row>
    <row r="43824" spans="1:4" ht="15.75" customHeight="1">
      <c r="A43824" s="8"/>
      <c r="B43824" s="12"/>
      <c r="C43824" s="8"/>
      <c r="D43824" s="8"/>
    </row>
    <row r="43825" spans="1:4" ht="15.75" customHeight="1">
      <c r="A43825" s="8"/>
      <c r="B43825" s="12"/>
      <c r="C43825" s="8"/>
      <c r="D43825" s="8"/>
    </row>
    <row r="43826" spans="1:4" ht="15.75" customHeight="1">
      <c r="A43826" s="8"/>
      <c r="B43826" s="12"/>
      <c r="C43826" s="8"/>
      <c r="D43826" s="8"/>
    </row>
    <row r="43827" spans="1:4" ht="15.75" customHeight="1">
      <c r="A43827" s="8"/>
      <c r="B43827" s="12"/>
      <c r="C43827" s="8"/>
      <c r="D43827" s="8"/>
    </row>
    <row r="43828" spans="1:4" ht="15.75" customHeight="1">
      <c r="A43828" s="8"/>
      <c r="B43828" s="12"/>
      <c r="C43828" s="8"/>
      <c r="D43828" s="8"/>
    </row>
    <row r="43829" spans="1:4" ht="15.75" customHeight="1">
      <c r="A43829" s="8"/>
      <c r="B43829" s="12"/>
      <c r="C43829" s="8"/>
      <c r="D43829" s="8"/>
    </row>
    <row r="43830" spans="1:4" ht="15.75" customHeight="1">
      <c r="A43830" s="8"/>
      <c r="B43830" s="12"/>
      <c r="C43830" s="8"/>
      <c r="D43830" s="8"/>
    </row>
    <row r="43831" spans="1:4" ht="15.75" customHeight="1">
      <c r="A43831" s="8"/>
      <c r="B43831" s="12"/>
      <c r="C43831" s="8"/>
      <c r="D43831" s="8"/>
    </row>
    <row r="43832" spans="1:4" ht="15.75" customHeight="1">
      <c r="A43832" s="8"/>
      <c r="B43832" s="12"/>
      <c r="C43832" s="8"/>
      <c r="D43832" s="8"/>
    </row>
    <row r="43833" spans="1:4" ht="15.75" customHeight="1">
      <c r="A43833" s="8"/>
      <c r="B43833" s="12"/>
      <c r="C43833" s="8"/>
      <c r="D43833" s="8"/>
    </row>
    <row r="43834" spans="1:4" ht="15.75" customHeight="1">
      <c r="A43834" s="8"/>
      <c r="B43834" s="12"/>
      <c r="C43834" s="8"/>
      <c r="D43834" s="8"/>
    </row>
    <row r="43835" spans="1:4" ht="15.75" customHeight="1">
      <c r="A43835" s="8"/>
      <c r="B43835" s="12"/>
      <c r="C43835" s="8"/>
      <c r="D43835" s="8"/>
    </row>
    <row r="43836" spans="1:4" ht="15.75" customHeight="1">
      <c r="A43836" s="8"/>
      <c r="B43836" s="12"/>
      <c r="C43836" s="8"/>
      <c r="D43836" s="8"/>
    </row>
    <row r="43837" spans="1:4" ht="15.75" customHeight="1">
      <c r="A43837" s="8"/>
      <c r="B43837" s="12"/>
      <c r="C43837" s="8"/>
      <c r="D43837" s="8"/>
    </row>
    <row r="43838" spans="1:4" ht="15.75" customHeight="1">
      <c r="A43838" s="8"/>
      <c r="B43838" s="12"/>
      <c r="C43838" s="8"/>
      <c r="D43838" s="8"/>
    </row>
    <row r="43839" spans="1:4" ht="15.75" customHeight="1">
      <c r="A43839" s="8"/>
      <c r="B43839" s="12"/>
      <c r="C43839" s="8"/>
      <c r="D43839" s="8"/>
    </row>
    <row r="43840" spans="1:4" ht="15.75" customHeight="1">
      <c r="A43840" s="8"/>
      <c r="B43840" s="12"/>
      <c r="C43840" s="8"/>
      <c r="D43840" s="8"/>
    </row>
    <row r="43841" spans="1:4" ht="15.75" customHeight="1">
      <c r="A43841" s="8"/>
      <c r="B43841" s="12"/>
      <c r="C43841" s="8"/>
      <c r="D43841" s="8"/>
    </row>
    <row r="43842" spans="1:4" ht="15.75" customHeight="1">
      <c r="A43842" s="8"/>
      <c r="B43842" s="12"/>
      <c r="C43842" s="8"/>
      <c r="D43842" s="8"/>
    </row>
    <row r="43843" spans="1:4" ht="15.75" customHeight="1">
      <c r="A43843" s="8"/>
      <c r="B43843" s="12"/>
      <c r="C43843" s="8"/>
      <c r="D43843" s="8"/>
    </row>
    <row r="43844" spans="1:4" ht="15.75" customHeight="1">
      <c r="A43844" s="8"/>
      <c r="B43844" s="12"/>
      <c r="C43844" s="8"/>
      <c r="D43844" s="8"/>
    </row>
    <row r="43845" spans="1:4" ht="15.75" customHeight="1">
      <c r="A43845" s="8"/>
      <c r="B43845" s="12"/>
      <c r="C43845" s="8"/>
      <c r="D43845" s="8"/>
    </row>
    <row r="43846" spans="1:4" ht="15.75" customHeight="1">
      <c r="A43846" s="8"/>
      <c r="B43846" s="12"/>
      <c r="C43846" s="8"/>
      <c r="D43846" s="8"/>
    </row>
    <row r="43847" spans="1:4" ht="15.75" customHeight="1">
      <c r="A43847" s="8"/>
      <c r="B43847" s="12"/>
      <c r="C43847" s="8"/>
      <c r="D43847" s="8"/>
    </row>
    <row r="43848" spans="1:4" ht="15.75" customHeight="1">
      <c r="A43848" s="8"/>
      <c r="B43848" s="12"/>
      <c r="C43848" s="8"/>
      <c r="D43848" s="8"/>
    </row>
    <row r="43849" spans="1:4" ht="15.75" customHeight="1">
      <c r="A43849" s="8"/>
      <c r="B43849" s="12"/>
      <c r="C43849" s="8"/>
      <c r="D43849" s="8"/>
    </row>
    <row r="43850" spans="1:4" ht="15.75" customHeight="1">
      <c r="A43850" s="8"/>
      <c r="B43850" s="12"/>
      <c r="C43850" s="8"/>
      <c r="D43850" s="8"/>
    </row>
    <row r="43851" spans="1:4" ht="15.75" customHeight="1">
      <c r="A43851" s="8"/>
      <c r="B43851" s="12"/>
      <c r="C43851" s="8"/>
      <c r="D43851" s="8"/>
    </row>
    <row r="43852" spans="1:4" ht="15.75" customHeight="1">
      <c r="A43852" s="8"/>
      <c r="B43852" s="12"/>
      <c r="C43852" s="8"/>
      <c r="D43852" s="8"/>
    </row>
    <row r="43853" spans="1:4" ht="15.75" customHeight="1">
      <c r="A43853" s="8"/>
      <c r="B43853" s="12"/>
      <c r="C43853" s="8"/>
      <c r="D43853" s="8"/>
    </row>
    <row r="43854" spans="1:4" ht="15.75" customHeight="1">
      <c r="A43854" s="8"/>
      <c r="B43854" s="12"/>
      <c r="C43854" s="8"/>
      <c r="D43854" s="8"/>
    </row>
    <row r="43855" spans="1:4" ht="15.75" customHeight="1">
      <c r="A43855" s="8"/>
      <c r="B43855" s="12"/>
      <c r="C43855" s="8"/>
      <c r="D43855" s="8"/>
    </row>
    <row r="43856" spans="1:4" ht="15.75" customHeight="1">
      <c r="A43856" s="8"/>
      <c r="B43856" s="12"/>
      <c r="C43856" s="8"/>
      <c r="D43856" s="8"/>
    </row>
    <row r="43857" spans="1:4" ht="15.75" customHeight="1">
      <c r="A43857" s="8"/>
      <c r="B43857" s="12"/>
      <c r="C43857" s="8"/>
      <c r="D43857" s="8"/>
    </row>
    <row r="43858" spans="1:4" ht="15.75" customHeight="1">
      <c r="A43858" s="8"/>
      <c r="B43858" s="12"/>
      <c r="C43858" s="8"/>
      <c r="D43858" s="8"/>
    </row>
    <row r="43859" spans="1:4" ht="15.75" customHeight="1">
      <c r="A43859" s="8"/>
      <c r="B43859" s="12"/>
      <c r="C43859" s="8"/>
      <c r="D43859" s="8"/>
    </row>
    <row r="43860" spans="1:4" ht="15.75" customHeight="1">
      <c r="A43860" s="8"/>
      <c r="B43860" s="12"/>
      <c r="C43860" s="8"/>
      <c r="D43860" s="8"/>
    </row>
    <row r="43861" spans="1:4" ht="15.75" customHeight="1">
      <c r="A43861" s="8"/>
      <c r="B43861" s="12"/>
      <c r="C43861" s="8"/>
      <c r="D43861" s="8"/>
    </row>
    <row r="43862" spans="1:4" ht="15.75" customHeight="1">
      <c r="A43862" s="8"/>
      <c r="B43862" s="12"/>
      <c r="C43862" s="8"/>
      <c r="D43862" s="8"/>
    </row>
    <row r="43863" spans="1:4" ht="15.75" customHeight="1">
      <c r="A43863" s="8"/>
      <c r="B43863" s="12"/>
      <c r="C43863" s="8"/>
      <c r="D43863" s="8"/>
    </row>
    <row r="43864" spans="1:4" ht="15.75" customHeight="1">
      <c r="A43864" s="8"/>
      <c r="B43864" s="12"/>
      <c r="C43864" s="8"/>
      <c r="D43864" s="8"/>
    </row>
    <row r="43865" spans="1:4" ht="15.75" customHeight="1">
      <c r="A43865" s="8"/>
      <c r="B43865" s="12"/>
      <c r="C43865" s="8"/>
      <c r="D43865" s="8"/>
    </row>
    <row r="43866" spans="1:4" ht="15.75" customHeight="1">
      <c r="A43866" s="8"/>
      <c r="B43866" s="12"/>
      <c r="C43866" s="8"/>
      <c r="D43866" s="8"/>
    </row>
    <row r="43867" spans="1:4" ht="15.75" customHeight="1">
      <c r="A43867" s="8"/>
      <c r="B43867" s="12"/>
      <c r="C43867" s="8"/>
      <c r="D43867" s="8"/>
    </row>
    <row r="43868" spans="1:4" ht="15.75" customHeight="1">
      <c r="A43868" s="8"/>
      <c r="B43868" s="12"/>
      <c r="C43868" s="8"/>
      <c r="D43868" s="8"/>
    </row>
    <row r="43869" spans="1:4" ht="15.75" customHeight="1">
      <c r="A43869" s="8"/>
      <c r="B43869" s="12"/>
      <c r="C43869" s="8"/>
      <c r="D43869" s="8"/>
    </row>
    <row r="43870" spans="1:4" ht="15.75" customHeight="1">
      <c r="A43870" s="8"/>
      <c r="B43870" s="12"/>
      <c r="C43870" s="8"/>
      <c r="D43870" s="8"/>
    </row>
    <row r="43871" spans="1:4" ht="15.75" customHeight="1">
      <c r="A43871" s="8"/>
      <c r="B43871" s="12"/>
      <c r="C43871" s="8"/>
      <c r="D43871" s="8"/>
    </row>
    <row r="43872" spans="1:4" ht="15.75" customHeight="1">
      <c r="A43872" s="8"/>
      <c r="B43872" s="12"/>
      <c r="C43872" s="8"/>
      <c r="D43872" s="8"/>
    </row>
    <row r="43873" spans="1:4" ht="15.75" customHeight="1">
      <c r="A43873" s="8"/>
      <c r="B43873" s="12"/>
      <c r="C43873" s="8"/>
      <c r="D43873" s="8"/>
    </row>
    <row r="43874" spans="1:4" ht="15.75" customHeight="1">
      <c r="A43874" s="8"/>
      <c r="B43874" s="12"/>
      <c r="C43874" s="8"/>
      <c r="D43874" s="8"/>
    </row>
    <row r="43875" spans="1:4" ht="15.75" customHeight="1">
      <c r="A43875" s="8"/>
      <c r="B43875" s="12"/>
      <c r="C43875" s="8"/>
      <c r="D43875" s="8"/>
    </row>
    <row r="43876" spans="1:4" ht="15.75" customHeight="1">
      <c r="A43876" s="8"/>
      <c r="B43876" s="12"/>
      <c r="C43876" s="8"/>
      <c r="D43876" s="8"/>
    </row>
    <row r="43877" spans="1:4" ht="15.75" customHeight="1">
      <c r="A43877" s="8"/>
      <c r="B43877" s="12"/>
      <c r="C43877" s="8"/>
      <c r="D43877" s="8"/>
    </row>
    <row r="43878" spans="1:4" ht="15.75" customHeight="1">
      <c r="A43878" s="8"/>
      <c r="B43878" s="12"/>
      <c r="C43878" s="8"/>
      <c r="D43878" s="8"/>
    </row>
    <row r="43879" spans="1:4" ht="15.75" customHeight="1">
      <c r="A43879" s="8"/>
      <c r="B43879" s="12"/>
      <c r="C43879" s="8"/>
      <c r="D43879" s="8"/>
    </row>
    <row r="43880" spans="1:4" ht="15.75" customHeight="1">
      <c r="A43880" s="8"/>
      <c r="B43880" s="12"/>
      <c r="C43880" s="8"/>
      <c r="D43880" s="8"/>
    </row>
    <row r="43881" spans="1:4" ht="15.75" customHeight="1">
      <c r="A43881" s="8"/>
      <c r="B43881" s="12"/>
      <c r="C43881" s="8"/>
      <c r="D43881" s="8"/>
    </row>
    <row r="43882" spans="1:4" ht="15.75" customHeight="1">
      <c r="A43882" s="8"/>
      <c r="B43882" s="12"/>
      <c r="C43882" s="8"/>
      <c r="D43882" s="8"/>
    </row>
    <row r="43883" spans="1:4" ht="15.75" customHeight="1">
      <c r="A43883" s="8"/>
      <c r="B43883" s="12"/>
      <c r="C43883" s="8"/>
      <c r="D43883" s="8"/>
    </row>
    <row r="43884" spans="1:4" ht="15.75" customHeight="1">
      <c r="A43884" s="8"/>
      <c r="B43884" s="12"/>
      <c r="C43884" s="8"/>
      <c r="D43884" s="8"/>
    </row>
    <row r="43885" spans="1:4" ht="15.75" customHeight="1">
      <c r="A43885" s="8"/>
      <c r="B43885" s="12"/>
      <c r="C43885" s="8"/>
      <c r="D43885" s="8"/>
    </row>
    <row r="43886" spans="1:4" ht="15.75" customHeight="1">
      <c r="A43886" s="8"/>
      <c r="B43886" s="12"/>
      <c r="C43886" s="8"/>
      <c r="D43886" s="8"/>
    </row>
    <row r="43887" spans="1:4" ht="15.75" customHeight="1">
      <c r="A43887" s="8"/>
      <c r="B43887" s="12"/>
      <c r="C43887" s="8"/>
      <c r="D43887" s="8"/>
    </row>
    <row r="43888" spans="1:4" ht="15.75" customHeight="1">
      <c r="A43888" s="8"/>
      <c r="B43888" s="12"/>
      <c r="C43888" s="8"/>
      <c r="D43888" s="8"/>
    </row>
    <row r="43889" spans="1:4" ht="15.75" customHeight="1">
      <c r="A43889" s="8"/>
      <c r="B43889" s="12"/>
      <c r="C43889" s="8"/>
      <c r="D43889" s="8"/>
    </row>
    <row r="43890" spans="1:4" ht="15.75" customHeight="1">
      <c r="A43890" s="8"/>
      <c r="B43890" s="12"/>
      <c r="C43890" s="8"/>
      <c r="D43890" s="8"/>
    </row>
    <row r="43891" spans="1:4" ht="15.75" customHeight="1">
      <c r="A43891" s="8"/>
      <c r="B43891" s="12"/>
      <c r="C43891" s="8"/>
      <c r="D43891" s="8"/>
    </row>
    <row r="43892" spans="1:4" ht="15.75" customHeight="1">
      <c r="A43892" s="8"/>
      <c r="B43892" s="12"/>
      <c r="C43892" s="8"/>
      <c r="D43892" s="8"/>
    </row>
    <row r="43893" spans="1:4" ht="15.75" customHeight="1">
      <c r="A43893" s="8"/>
      <c r="B43893" s="12"/>
      <c r="C43893" s="8"/>
      <c r="D43893" s="8"/>
    </row>
    <row r="43894" spans="1:4" ht="15.75" customHeight="1">
      <c r="A43894" s="8"/>
      <c r="B43894" s="12"/>
      <c r="C43894" s="8"/>
      <c r="D43894" s="8"/>
    </row>
    <row r="43895" spans="1:4" ht="15.75" customHeight="1">
      <c r="A43895" s="8"/>
      <c r="B43895" s="12"/>
      <c r="C43895" s="8"/>
      <c r="D43895" s="8"/>
    </row>
    <row r="43896" spans="1:4" ht="15.75" customHeight="1">
      <c r="A43896" s="8"/>
      <c r="B43896" s="12"/>
      <c r="C43896" s="8"/>
      <c r="D43896" s="8"/>
    </row>
    <row r="43897" spans="1:4" ht="15.75" customHeight="1">
      <c r="A43897" s="8"/>
      <c r="B43897" s="12"/>
      <c r="C43897" s="8"/>
      <c r="D43897" s="8"/>
    </row>
    <row r="43898" spans="1:4" ht="15.75" customHeight="1">
      <c r="A43898" s="8"/>
      <c r="B43898" s="12"/>
      <c r="C43898" s="8"/>
      <c r="D43898" s="8"/>
    </row>
    <row r="43899" spans="1:4" ht="15.75" customHeight="1">
      <c r="A43899" s="8"/>
      <c r="B43899" s="12"/>
      <c r="C43899" s="8"/>
      <c r="D43899" s="8"/>
    </row>
    <row r="43900" spans="1:4" ht="15.75" customHeight="1">
      <c r="A43900" s="8"/>
      <c r="B43900" s="12"/>
      <c r="C43900" s="8"/>
      <c r="D43900" s="8"/>
    </row>
    <row r="43901" spans="1:4" ht="15.75" customHeight="1">
      <c r="A43901" s="8"/>
      <c r="B43901" s="12"/>
      <c r="C43901" s="8"/>
      <c r="D43901" s="8"/>
    </row>
    <row r="43902" spans="1:4" ht="15.75" customHeight="1">
      <c r="A43902" s="8"/>
      <c r="B43902" s="12"/>
      <c r="C43902" s="8"/>
      <c r="D43902" s="8"/>
    </row>
    <row r="43903" spans="1:4" ht="15.75" customHeight="1">
      <c r="A43903" s="8"/>
      <c r="B43903" s="12"/>
      <c r="C43903" s="8"/>
      <c r="D43903" s="8"/>
    </row>
    <row r="43904" spans="1:4" ht="15.75" customHeight="1">
      <c r="A43904" s="8"/>
      <c r="B43904" s="12"/>
      <c r="C43904" s="8"/>
      <c r="D43904" s="8"/>
    </row>
    <row r="43905" spans="1:4" ht="15.75" customHeight="1">
      <c r="A43905" s="8"/>
      <c r="B43905" s="12"/>
      <c r="C43905" s="8"/>
      <c r="D43905" s="8"/>
    </row>
    <row r="43906" spans="1:4" ht="15.75" customHeight="1">
      <c r="A43906" s="8"/>
      <c r="B43906" s="12"/>
      <c r="C43906" s="8"/>
      <c r="D43906" s="8"/>
    </row>
    <row r="43907" spans="1:4" ht="15.75" customHeight="1">
      <c r="A43907" s="8"/>
      <c r="B43907" s="12"/>
      <c r="C43907" s="8"/>
      <c r="D43907" s="8"/>
    </row>
    <row r="43908" spans="1:4" ht="15.75" customHeight="1">
      <c r="A43908" s="8"/>
      <c r="B43908" s="12"/>
      <c r="C43908" s="8"/>
      <c r="D43908" s="8"/>
    </row>
    <row r="43909" spans="1:4" ht="15.75" customHeight="1">
      <c r="A43909" s="8"/>
      <c r="B43909" s="12"/>
      <c r="C43909" s="8"/>
      <c r="D43909" s="8"/>
    </row>
    <row r="43910" spans="1:4" ht="15.75" customHeight="1">
      <c r="A43910" s="8"/>
      <c r="B43910" s="12"/>
      <c r="C43910" s="8"/>
      <c r="D43910" s="8"/>
    </row>
    <row r="43911" spans="1:4" ht="15.75" customHeight="1">
      <c r="A43911" s="8"/>
      <c r="B43911" s="12"/>
      <c r="C43911" s="8"/>
      <c r="D43911" s="8"/>
    </row>
    <row r="43912" spans="1:4" ht="15.75" customHeight="1">
      <c r="A43912" s="8"/>
      <c r="B43912" s="12"/>
      <c r="C43912" s="8"/>
      <c r="D43912" s="8"/>
    </row>
    <row r="43913" spans="1:4" ht="15.75" customHeight="1">
      <c r="A43913" s="8"/>
      <c r="B43913" s="12"/>
      <c r="C43913" s="8"/>
      <c r="D43913" s="8"/>
    </row>
    <row r="43914" spans="1:4" ht="15.75" customHeight="1">
      <c r="A43914" s="8"/>
      <c r="B43914" s="12"/>
      <c r="C43914" s="8"/>
      <c r="D43914" s="8"/>
    </row>
    <row r="43915" spans="1:4" ht="15.75" customHeight="1">
      <c r="A43915" s="8"/>
      <c r="B43915" s="12"/>
      <c r="C43915" s="8"/>
      <c r="D43915" s="8"/>
    </row>
    <row r="43916" spans="1:4" ht="15.75" customHeight="1">
      <c r="A43916" s="8"/>
      <c r="B43916" s="12"/>
      <c r="C43916" s="8"/>
      <c r="D43916" s="8"/>
    </row>
    <row r="43917" spans="1:4" ht="15.75" customHeight="1">
      <c r="A43917" s="8"/>
      <c r="B43917" s="12"/>
      <c r="C43917" s="8"/>
      <c r="D43917" s="8"/>
    </row>
    <row r="43918" spans="1:4" ht="15.75" customHeight="1">
      <c r="A43918" s="8"/>
      <c r="B43918" s="12"/>
      <c r="C43918" s="8"/>
      <c r="D43918" s="8"/>
    </row>
    <row r="43919" spans="1:4" ht="15.75" customHeight="1">
      <c r="A43919" s="8"/>
      <c r="B43919" s="12"/>
      <c r="C43919" s="8"/>
      <c r="D43919" s="8"/>
    </row>
    <row r="43920" spans="1:4" ht="15.75" customHeight="1">
      <c r="A43920" s="8"/>
      <c r="B43920" s="12"/>
      <c r="C43920" s="8"/>
      <c r="D43920" s="8"/>
    </row>
    <row r="43921" spans="1:4" ht="15.75" customHeight="1">
      <c r="A43921" s="8"/>
      <c r="B43921" s="12"/>
      <c r="C43921" s="8"/>
      <c r="D43921" s="8"/>
    </row>
    <row r="43922" spans="1:4" ht="15.75" customHeight="1">
      <c r="A43922" s="8"/>
      <c r="B43922" s="12"/>
      <c r="C43922" s="8"/>
      <c r="D43922" s="8"/>
    </row>
    <row r="43923" spans="1:4" ht="15.75" customHeight="1">
      <c r="A43923" s="8"/>
      <c r="B43923" s="12"/>
      <c r="C43923" s="8"/>
      <c r="D43923" s="8"/>
    </row>
    <row r="43924" spans="1:4" ht="15.75" customHeight="1">
      <c r="A43924" s="8"/>
      <c r="B43924" s="12"/>
      <c r="C43924" s="8"/>
      <c r="D43924" s="8"/>
    </row>
    <row r="43925" spans="1:4" ht="15.75" customHeight="1">
      <c r="A43925" s="8"/>
      <c r="B43925" s="12"/>
      <c r="C43925" s="8"/>
      <c r="D43925" s="8"/>
    </row>
    <row r="43926" spans="1:4" ht="15.75" customHeight="1">
      <c r="A43926" s="8"/>
      <c r="B43926" s="12"/>
      <c r="C43926" s="8"/>
      <c r="D43926" s="8"/>
    </row>
    <row r="43927" spans="1:4" ht="15.75" customHeight="1">
      <c r="A43927" s="8"/>
      <c r="B43927" s="12"/>
      <c r="C43927" s="8"/>
      <c r="D43927" s="8"/>
    </row>
    <row r="43928" spans="1:4" ht="15.75" customHeight="1">
      <c r="A43928" s="8"/>
      <c r="B43928" s="12"/>
      <c r="C43928" s="8"/>
      <c r="D43928" s="8"/>
    </row>
    <row r="43929" spans="1:4" ht="15.75" customHeight="1">
      <c r="A43929" s="8"/>
      <c r="B43929" s="12"/>
      <c r="C43929" s="8"/>
      <c r="D43929" s="8"/>
    </row>
    <row r="43930" spans="1:4" ht="15.75" customHeight="1">
      <c r="A43930" s="8"/>
      <c r="B43930" s="12"/>
      <c r="C43930" s="8"/>
      <c r="D43930" s="8"/>
    </row>
    <row r="43931" spans="1:4" ht="15.75" customHeight="1">
      <c r="A43931" s="8"/>
      <c r="B43931" s="12"/>
      <c r="C43931" s="8"/>
      <c r="D43931" s="8"/>
    </row>
    <row r="43932" spans="1:4" ht="15.75" customHeight="1">
      <c r="A43932" s="8"/>
      <c r="B43932" s="12"/>
      <c r="C43932" s="8"/>
      <c r="D43932" s="8"/>
    </row>
    <row r="43933" spans="1:4" ht="15.75" customHeight="1">
      <c r="A43933" s="8"/>
      <c r="B43933" s="12"/>
      <c r="C43933" s="8"/>
      <c r="D43933" s="8"/>
    </row>
    <row r="43934" spans="1:4" ht="15.75" customHeight="1">
      <c r="A43934" s="8"/>
      <c r="B43934" s="12"/>
      <c r="C43934" s="8"/>
      <c r="D43934" s="8"/>
    </row>
    <row r="43935" spans="1:4" ht="15.75" customHeight="1">
      <c r="A43935" s="8"/>
      <c r="B43935" s="12"/>
      <c r="C43935" s="8"/>
      <c r="D43935" s="8"/>
    </row>
    <row r="43936" spans="1:4" ht="15.75" customHeight="1">
      <c r="A43936" s="8"/>
      <c r="B43936" s="12"/>
      <c r="C43936" s="8"/>
      <c r="D43936" s="8"/>
    </row>
    <row r="43937" spans="1:4" ht="15.75" customHeight="1">
      <c r="A43937" s="8"/>
      <c r="B43937" s="12"/>
      <c r="C43937" s="8"/>
      <c r="D43937" s="8"/>
    </row>
    <row r="43938" spans="1:4" ht="15.75" customHeight="1">
      <c r="A43938" s="8"/>
      <c r="B43938" s="12"/>
      <c r="C43938" s="8"/>
      <c r="D43938" s="8"/>
    </row>
    <row r="43939" spans="1:4" ht="15.75" customHeight="1">
      <c r="A43939" s="8"/>
      <c r="B43939" s="12"/>
      <c r="C43939" s="8"/>
      <c r="D43939" s="8"/>
    </row>
    <row r="43940" spans="1:4" ht="15.75" customHeight="1">
      <c r="A43940" s="8"/>
      <c r="B43940" s="12"/>
      <c r="C43940" s="8"/>
      <c r="D43940" s="8"/>
    </row>
    <row r="43941" spans="1:4" ht="15.75" customHeight="1">
      <c r="A43941" s="8"/>
      <c r="B43941" s="12"/>
      <c r="C43941" s="8"/>
      <c r="D43941" s="8"/>
    </row>
    <row r="43942" spans="1:4" ht="15.75" customHeight="1">
      <c r="A43942" s="8"/>
      <c r="B43942" s="12"/>
      <c r="C43942" s="8"/>
      <c r="D43942" s="8"/>
    </row>
    <row r="43943" spans="1:4" ht="15.75" customHeight="1">
      <c r="A43943" s="8"/>
      <c r="B43943" s="12"/>
      <c r="C43943" s="8"/>
      <c r="D43943" s="8"/>
    </row>
    <row r="43944" spans="1:4" ht="15.75" customHeight="1">
      <c r="A43944" s="8"/>
      <c r="B43944" s="12"/>
      <c r="C43944" s="8"/>
      <c r="D43944" s="8"/>
    </row>
    <row r="43945" spans="1:4" ht="15.75" customHeight="1">
      <c r="A43945" s="8"/>
      <c r="B43945" s="12"/>
      <c r="C43945" s="8"/>
      <c r="D43945" s="8"/>
    </row>
    <row r="43946" spans="1:4" ht="15.75" customHeight="1">
      <c r="A43946" s="8"/>
      <c r="B43946" s="12"/>
      <c r="C43946" s="8"/>
      <c r="D43946" s="8"/>
    </row>
    <row r="43947" spans="1:4" ht="15.75" customHeight="1">
      <c r="A43947" s="8"/>
      <c r="B43947" s="12"/>
      <c r="C43947" s="8"/>
      <c r="D43947" s="8"/>
    </row>
    <row r="43948" spans="1:4" ht="15.75" customHeight="1">
      <c r="A43948" s="8"/>
      <c r="B43948" s="12"/>
      <c r="C43948" s="8"/>
      <c r="D43948" s="8"/>
    </row>
    <row r="43949" spans="1:4" ht="15.75" customHeight="1">
      <c r="A43949" s="8"/>
      <c r="B43949" s="12"/>
      <c r="C43949" s="8"/>
      <c r="D43949" s="8"/>
    </row>
    <row r="43950" spans="1:4" ht="15.75" customHeight="1">
      <c r="A43950" s="8"/>
      <c r="B43950" s="12"/>
      <c r="C43950" s="8"/>
      <c r="D43950" s="8"/>
    </row>
    <row r="43951" spans="1:4" ht="15.75" customHeight="1">
      <c r="A43951" s="8"/>
      <c r="B43951" s="12"/>
      <c r="C43951" s="8"/>
      <c r="D43951" s="8"/>
    </row>
    <row r="43952" spans="1:4" ht="15.75" customHeight="1">
      <c r="A43952" s="8"/>
      <c r="B43952" s="12"/>
      <c r="C43952" s="8"/>
      <c r="D43952" s="8"/>
    </row>
    <row r="43953" spans="1:4" ht="15.75" customHeight="1">
      <c r="A43953" s="8"/>
      <c r="B43953" s="12"/>
      <c r="C43953" s="8"/>
      <c r="D43953" s="8"/>
    </row>
    <row r="43954" spans="1:4" ht="15.75" customHeight="1">
      <c r="A43954" s="8"/>
      <c r="B43954" s="12"/>
      <c r="C43954" s="8"/>
      <c r="D43954" s="8"/>
    </row>
    <row r="43955" spans="1:4" ht="15.75" customHeight="1">
      <c r="A43955" s="8"/>
      <c r="B43955" s="12"/>
      <c r="C43955" s="8"/>
      <c r="D43955" s="8"/>
    </row>
    <row r="43956" spans="1:4" ht="15.75" customHeight="1">
      <c r="A43956" s="8"/>
      <c r="B43956" s="12"/>
      <c r="C43956" s="8"/>
      <c r="D43956" s="8"/>
    </row>
    <row r="43957" spans="1:4" ht="15.75" customHeight="1">
      <c r="A43957" s="8"/>
      <c r="B43957" s="12"/>
      <c r="C43957" s="8"/>
      <c r="D43957" s="8"/>
    </row>
    <row r="43958" spans="1:4" ht="15.75" customHeight="1">
      <c r="A43958" s="8"/>
      <c r="B43958" s="12"/>
      <c r="C43958" s="8"/>
      <c r="D43958" s="8"/>
    </row>
    <row r="43959" spans="1:4" ht="15.75" customHeight="1">
      <c r="A43959" s="8"/>
      <c r="B43959" s="12"/>
      <c r="C43959" s="8"/>
      <c r="D43959" s="8"/>
    </row>
    <row r="43960" spans="1:4" ht="15.75" customHeight="1">
      <c r="A43960" s="8"/>
      <c r="B43960" s="12"/>
      <c r="C43960" s="8"/>
      <c r="D43960" s="8"/>
    </row>
    <row r="43961" spans="1:4" ht="15.75" customHeight="1">
      <c r="A43961" s="8"/>
      <c r="B43961" s="12"/>
      <c r="C43961" s="8"/>
      <c r="D43961" s="8"/>
    </row>
    <row r="43962" spans="1:4" ht="15.75" customHeight="1">
      <c r="A43962" s="8"/>
      <c r="B43962" s="12"/>
      <c r="C43962" s="8"/>
      <c r="D43962" s="8"/>
    </row>
    <row r="43963" spans="1:4" ht="15.75" customHeight="1">
      <c r="A43963" s="8"/>
      <c r="B43963" s="12"/>
      <c r="C43963" s="8"/>
      <c r="D43963" s="8"/>
    </row>
    <row r="43964" spans="1:4" ht="15.75" customHeight="1">
      <c r="A43964" s="8"/>
      <c r="B43964" s="12"/>
      <c r="C43964" s="8"/>
      <c r="D43964" s="8"/>
    </row>
    <row r="43965" spans="1:4" ht="15.75" customHeight="1">
      <c r="A43965" s="8"/>
      <c r="B43965" s="12"/>
      <c r="C43965" s="8"/>
      <c r="D43965" s="8"/>
    </row>
    <row r="43966" spans="1:4" ht="15.75" customHeight="1">
      <c r="A43966" s="8"/>
      <c r="B43966" s="12"/>
      <c r="C43966" s="8"/>
      <c r="D43966" s="8"/>
    </row>
    <row r="43967" spans="1:4" ht="15.75" customHeight="1">
      <c r="A43967" s="8"/>
      <c r="B43967" s="12"/>
      <c r="C43967" s="8"/>
      <c r="D43967" s="8"/>
    </row>
    <row r="43968" spans="1:4" ht="15.75" customHeight="1">
      <c r="A43968" s="8"/>
      <c r="B43968" s="12"/>
      <c r="C43968" s="8"/>
      <c r="D43968" s="8"/>
    </row>
    <row r="43969" spans="1:4" ht="15.75" customHeight="1">
      <c r="A43969" s="8"/>
      <c r="B43969" s="12"/>
      <c r="C43969" s="8"/>
      <c r="D43969" s="8"/>
    </row>
    <row r="43970" spans="1:4" ht="15.75" customHeight="1">
      <c r="A43970" s="8"/>
      <c r="B43970" s="12"/>
      <c r="C43970" s="8"/>
      <c r="D43970" s="8"/>
    </row>
    <row r="43971" spans="1:4" ht="15.75" customHeight="1">
      <c r="A43971" s="8"/>
      <c r="B43971" s="12"/>
      <c r="C43971" s="8"/>
      <c r="D43971" s="8"/>
    </row>
    <row r="43972" spans="1:4" ht="15.75" customHeight="1">
      <c r="A43972" s="8"/>
      <c r="B43972" s="12"/>
      <c r="C43972" s="8"/>
      <c r="D43972" s="8"/>
    </row>
    <row r="43973" spans="1:4" ht="15.75" customHeight="1">
      <c r="A43973" s="8"/>
      <c r="B43973" s="12"/>
      <c r="C43973" s="8"/>
      <c r="D43973" s="8"/>
    </row>
    <row r="43974" spans="1:4" ht="15.75" customHeight="1">
      <c r="A43974" s="8"/>
      <c r="B43974" s="12"/>
      <c r="C43974" s="8"/>
      <c r="D43974" s="8"/>
    </row>
    <row r="43975" spans="1:4" ht="15.75" customHeight="1">
      <c r="A43975" s="8"/>
      <c r="B43975" s="12"/>
      <c r="C43975" s="8"/>
      <c r="D43975" s="8"/>
    </row>
    <row r="43976" spans="1:4" ht="15.75" customHeight="1">
      <c r="A43976" s="8"/>
      <c r="B43976" s="12"/>
      <c r="C43976" s="8"/>
      <c r="D43976" s="8"/>
    </row>
    <row r="43977" spans="1:4" ht="15.75" customHeight="1">
      <c r="A43977" s="8"/>
      <c r="B43977" s="12"/>
      <c r="C43977" s="8"/>
      <c r="D43977" s="8"/>
    </row>
    <row r="43978" spans="1:4" ht="15.75" customHeight="1">
      <c r="A43978" s="8"/>
      <c r="B43978" s="12"/>
      <c r="C43978" s="8"/>
      <c r="D43978" s="8"/>
    </row>
    <row r="43979" spans="1:4" ht="15.75" customHeight="1">
      <c r="A43979" s="8"/>
      <c r="B43979" s="12"/>
      <c r="C43979" s="8"/>
      <c r="D43979" s="8"/>
    </row>
    <row r="43980" spans="1:4" ht="15.75" customHeight="1">
      <c r="A43980" s="8"/>
      <c r="B43980" s="12"/>
      <c r="C43980" s="8"/>
      <c r="D43980" s="8"/>
    </row>
    <row r="43981" spans="1:4" ht="15.75" customHeight="1">
      <c r="A43981" s="8"/>
      <c r="B43981" s="12"/>
      <c r="C43981" s="8"/>
      <c r="D43981" s="8"/>
    </row>
    <row r="43982" spans="1:4" ht="15.75" customHeight="1">
      <c r="A43982" s="8"/>
      <c r="B43982" s="12"/>
      <c r="C43982" s="8"/>
      <c r="D43982" s="8"/>
    </row>
    <row r="43983" spans="1:4" ht="15.75" customHeight="1">
      <c r="A43983" s="8"/>
      <c r="B43983" s="12"/>
      <c r="C43983" s="8"/>
      <c r="D43983" s="8"/>
    </row>
    <row r="43984" spans="1:4" ht="15.75" customHeight="1">
      <c r="A43984" s="8"/>
      <c r="B43984" s="12"/>
      <c r="C43984" s="8"/>
      <c r="D43984" s="8"/>
    </row>
    <row r="43985" spans="1:4" ht="15.75" customHeight="1">
      <c r="A43985" s="8"/>
      <c r="B43985" s="12"/>
      <c r="C43985" s="8"/>
      <c r="D43985" s="8"/>
    </row>
    <row r="43986" spans="1:4" ht="15.75" customHeight="1">
      <c r="A43986" s="8"/>
      <c r="B43986" s="12"/>
      <c r="C43986" s="8"/>
      <c r="D43986" s="8"/>
    </row>
    <row r="43987" spans="1:4" ht="15.75" customHeight="1">
      <c r="A43987" s="8"/>
      <c r="B43987" s="12"/>
      <c r="C43987" s="8"/>
      <c r="D43987" s="8"/>
    </row>
    <row r="43988" spans="1:4" ht="15.75" customHeight="1">
      <c r="A43988" s="8"/>
      <c r="B43988" s="12"/>
      <c r="C43988" s="8"/>
      <c r="D43988" s="8"/>
    </row>
    <row r="43989" spans="1:4" ht="15.75" customHeight="1">
      <c r="A43989" s="8"/>
      <c r="B43989" s="12"/>
      <c r="C43989" s="8"/>
      <c r="D43989" s="8"/>
    </row>
    <row r="43990" spans="1:4" ht="15.75" customHeight="1">
      <c r="A43990" s="8"/>
      <c r="B43990" s="12"/>
      <c r="C43990" s="8"/>
      <c r="D43990" s="8"/>
    </row>
    <row r="43991" spans="1:4" ht="15.75" customHeight="1">
      <c r="A43991" s="8"/>
      <c r="B43991" s="12"/>
      <c r="C43991" s="8"/>
      <c r="D43991" s="8"/>
    </row>
    <row r="43992" spans="1:4" ht="15.75" customHeight="1">
      <c r="A43992" s="8"/>
      <c r="B43992" s="12"/>
      <c r="C43992" s="8"/>
      <c r="D43992" s="8"/>
    </row>
    <row r="43993" spans="1:4" ht="15.75" customHeight="1">
      <c r="A43993" s="8"/>
      <c r="B43993" s="12"/>
      <c r="C43993" s="8"/>
      <c r="D43993" s="8"/>
    </row>
    <row r="43994" spans="1:4" ht="15.75" customHeight="1">
      <c r="A43994" s="8"/>
      <c r="B43994" s="12"/>
      <c r="C43994" s="8"/>
      <c r="D43994" s="8"/>
    </row>
    <row r="43995" spans="1:4" ht="15.75" customHeight="1">
      <c r="A43995" s="8"/>
      <c r="B43995" s="12"/>
      <c r="C43995" s="8"/>
      <c r="D43995" s="8"/>
    </row>
    <row r="43996" spans="1:4" ht="15.75" customHeight="1">
      <c r="A43996" s="8"/>
      <c r="B43996" s="12"/>
      <c r="C43996" s="8"/>
      <c r="D43996" s="8"/>
    </row>
    <row r="43997" spans="1:4" ht="15.75" customHeight="1">
      <c r="A43997" s="8"/>
      <c r="B43997" s="12"/>
      <c r="C43997" s="8"/>
      <c r="D43997" s="8"/>
    </row>
    <row r="43998" spans="1:4" ht="15.75" customHeight="1">
      <c r="A43998" s="8"/>
      <c r="B43998" s="12"/>
      <c r="C43998" s="8"/>
      <c r="D43998" s="8"/>
    </row>
    <row r="43999" spans="1:4" ht="15.75" customHeight="1">
      <c r="A43999" s="8"/>
      <c r="B43999" s="12"/>
      <c r="C43999" s="8"/>
      <c r="D43999" s="8"/>
    </row>
    <row r="44000" spans="1:4" ht="15.75" customHeight="1">
      <c r="A44000" s="8"/>
      <c r="B44000" s="12"/>
      <c r="C44000" s="8"/>
      <c r="D44000" s="8"/>
    </row>
    <row r="44001" spans="1:4" ht="15.75" customHeight="1">
      <c r="A44001" s="8"/>
      <c r="B44001" s="12"/>
      <c r="C44001" s="8"/>
      <c r="D44001" s="8"/>
    </row>
    <row r="44002" spans="1:4" ht="15.75" customHeight="1">
      <c r="A44002" s="8"/>
      <c r="B44002" s="12"/>
      <c r="C44002" s="8"/>
      <c r="D44002" s="8"/>
    </row>
    <row r="44003" spans="1:4" ht="15.75" customHeight="1">
      <c r="A44003" s="8"/>
      <c r="B44003" s="12"/>
      <c r="C44003" s="8"/>
      <c r="D44003" s="8"/>
    </row>
    <row r="44004" spans="1:4" ht="15.75" customHeight="1">
      <c r="A44004" s="8"/>
      <c r="B44004" s="12"/>
      <c r="C44004" s="8"/>
      <c r="D44004" s="8"/>
    </row>
    <row r="44005" spans="1:4" ht="15.75" customHeight="1">
      <c r="A44005" s="8"/>
      <c r="B44005" s="12"/>
      <c r="C44005" s="8"/>
      <c r="D44005" s="8"/>
    </row>
    <row r="44006" spans="1:4" ht="15.75" customHeight="1">
      <c r="A44006" s="8"/>
      <c r="B44006" s="12"/>
      <c r="C44006" s="8"/>
      <c r="D44006" s="8"/>
    </row>
    <row r="44007" spans="1:4" ht="15.75" customHeight="1">
      <c r="A44007" s="8"/>
      <c r="B44007" s="12"/>
      <c r="C44007" s="8"/>
      <c r="D44007" s="8"/>
    </row>
    <row r="44008" spans="1:4" ht="15.75" customHeight="1">
      <c r="A44008" s="8"/>
      <c r="B44008" s="12"/>
      <c r="C44008" s="8"/>
      <c r="D44008" s="8"/>
    </row>
    <row r="44009" spans="1:4" ht="15.75" customHeight="1">
      <c r="A44009" s="8"/>
      <c r="B44009" s="12"/>
      <c r="C44009" s="8"/>
      <c r="D44009" s="8"/>
    </row>
    <row r="44010" spans="1:4" ht="15.75" customHeight="1">
      <c r="A44010" s="8"/>
      <c r="B44010" s="12"/>
      <c r="C44010" s="8"/>
      <c r="D44010" s="8"/>
    </row>
    <row r="44011" spans="1:4" ht="15.75" customHeight="1">
      <c r="A44011" s="8"/>
      <c r="B44011" s="12"/>
      <c r="C44011" s="8"/>
      <c r="D44011" s="8"/>
    </row>
    <row r="44012" spans="1:4" ht="15.75" customHeight="1">
      <c r="A44012" s="8"/>
      <c r="B44012" s="12"/>
      <c r="C44012" s="8"/>
      <c r="D44012" s="8"/>
    </row>
    <row r="44013" spans="1:4" ht="15.75" customHeight="1">
      <c r="A44013" s="8"/>
      <c r="B44013" s="12"/>
      <c r="C44013" s="8"/>
      <c r="D44013" s="8"/>
    </row>
    <row r="44014" spans="1:4" ht="15.75" customHeight="1">
      <c r="A44014" s="8"/>
      <c r="B44014" s="12"/>
      <c r="C44014" s="8"/>
      <c r="D44014" s="8"/>
    </row>
    <row r="44015" spans="1:4" ht="15.75" customHeight="1">
      <c r="A44015" s="8"/>
      <c r="B44015" s="12"/>
      <c r="C44015" s="8"/>
      <c r="D44015" s="8"/>
    </row>
    <row r="44016" spans="1:4" ht="15.75" customHeight="1">
      <c r="A44016" s="8"/>
      <c r="B44016" s="12"/>
      <c r="C44016" s="8"/>
      <c r="D44016" s="8"/>
    </row>
    <row r="44017" spans="1:4" ht="15.75" customHeight="1">
      <c r="A44017" s="8"/>
      <c r="B44017" s="12"/>
      <c r="C44017" s="8"/>
      <c r="D44017" s="8"/>
    </row>
    <row r="44018" spans="1:4" ht="15.75" customHeight="1">
      <c r="A44018" s="8"/>
      <c r="B44018" s="12"/>
      <c r="C44018" s="8"/>
      <c r="D44018" s="8"/>
    </row>
    <row r="44019" spans="1:4" ht="15.75" customHeight="1">
      <c r="A44019" s="8"/>
      <c r="B44019" s="12"/>
      <c r="C44019" s="8"/>
      <c r="D44019" s="8"/>
    </row>
    <row r="44020" spans="1:4" ht="15.75" customHeight="1">
      <c r="A44020" s="8"/>
      <c r="B44020" s="12"/>
      <c r="C44020" s="8"/>
      <c r="D44020" s="8"/>
    </row>
    <row r="44021" spans="1:4" ht="15.75" customHeight="1">
      <c r="A44021" s="8"/>
      <c r="B44021" s="12"/>
      <c r="C44021" s="8"/>
      <c r="D44021" s="8"/>
    </row>
    <row r="44022" spans="1:4" ht="15.75" customHeight="1">
      <c r="A44022" s="8"/>
      <c r="B44022" s="12"/>
      <c r="C44022" s="8"/>
      <c r="D44022" s="8"/>
    </row>
    <row r="44023" spans="1:4" ht="15.75" customHeight="1">
      <c r="A44023" s="8"/>
      <c r="B44023" s="12"/>
      <c r="C44023" s="8"/>
      <c r="D44023" s="8"/>
    </row>
    <row r="44024" spans="1:4" ht="15.75" customHeight="1">
      <c r="A44024" s="8"/>
      <c r="B44024" s="12"/>
      <c r="C44024" s="8"/>
      <c r="D44024" s="8"/>
    </row>
    <row r="44025" spans="1:4" ht="15.75" customHeight="1">
      <c r="A44025" s="8"/>
      <c r="B44025" s="12"/>
      <c r="C44025" s="8"/>
      <c r="D44025" s="8"/>
    </row>
    <row r="44026" spans="1:4" ht="15.75" customHeight="1">
      <c r="A44026" s="8"/>
      <c r="B44026" s="12"/>
      <c r="C44026" s="8"/>
      <c r="D44026" s="8"/>
    </row>
    <row r="44027" spans="1:4" ht="15.75" customHeight="1">
      <c r="A44027" s="8"/>
      <c r="B44027" s="12"/>
      <c r="C44027" s="8"/>
      <c r="D44027" s="8"/>
    </row>
    <row r="44028" spans="1:4" ht="15.75" customHeight="1">
      <c r="A44028" s="8"/>
      <c r="B44028" s="12"/>
      <c r="C44028" s="8"/>
      <c r="D44028" s="8"/>
    </row>
    <row r="44029" spans="1:4" ht="15.75" customHeight="1">
      <c r="A44029" s="8"/>
      <c r="B44029" s="12"/>
      <c r="C44029" s="8"/>
      <c r="D44029" s="8"/>
    </row>
    <row r="44030" spans="1:4" ht="15.75" customHeight="1">
      <c r="A44030" s="8"/>
      <c r="B44030" s="12"/>
      <c r="C44030" s="8"/>
      <c r="D44030" s="8"/>
    </row>
    <row r="44031" spans="1:4" ht="15.75" customHeight="1">
      <c r="A44031" s="8"/>
      <c r="B44031" s="12"/>
      <c r="C44031" s="8"/>
      <c r="D44031" s="8"/>
    </row>
    <row r="44032" spans="1:4" ht="15.75" customHeight="1">
      <c r="A44032" s="8"/>
      <c r="B44032" s="12"/>
      <c r="C44032" s="8"/>
      <c r="D44032" s="8"/>
    </row>
    <row r="44033" spans="1:4" ht="15.75" customHeight="1">
      <c r="A44033" s="8"/>
      <c r="B44033" s="12"/>
      <c r="C44033" s="8"/>
      <c r="D44033" s="8"/>
    </row>
    <row r="44034" spans="1:4" ht="15.75" customHeight="1">
      <c r="A44034" s="8"/>
      <c r="B44034" s="12"/>
      <c r="C44034" s="8"/>
      <c r="D44034" s="8"/>
    </row>
    <row r="44035" spans="1:4" ht="15.75" customHeight="1">
      <c r="A44035" s="8"/>
      <c r="B44035" s="12"/>
      <c r="C44035" s="8"/>
      <c r="D44035" s="8"/>
    </row>
    <row r="44036" spans="1:4" ht="15.75" customHeight="1">
      <c r="A44036" s="8"/>
      <c r="B44036" s="12"/>
      <c r="C44036" s="8"/>
      <c r="D44036" s="8"/>
    </row>
    <row r="44037" spans="1:4" ht="15.75" customHeight="1">
      <c r="A44037" s="8"/>
      <c r="B44037" s="12"/>
      <c r="C44037" s="8"/>
      <c r="D44037" s="8"/>
    </row>
    <row r="44038" spans="1:4" ht="15.75" customHeight="1">
      <c r="A44038" s="8"/>
      <c r="B44038" s="12"/>
      <c r="C44038" s="8"/>
      <c r="D44038" s="8"/>
    </row>
    <row r="44039" spans="1:4" ht="15.75" customHeight="1">
      <c r="A44039" s="8"/>
      <c r="B44039" s="12"/>
      <c r="C44039" s="8"/>
      <c r="D44039" s="8"/>
    </row>
    <row r="44040" spans="1:4" ht="15.75" customHeight="1">
      <c r="A44040" s="8"/>
      <c r="B44040" s="12"/>
      <c r="C44040" s="8"/>
      <c r="D44040" s="8"/>
    </row>
    <row r="44041" spans="1:4" ht="15.75" customHeight="1">
      <c r="A44041" s="8"/>
      <c r="B44041" s="12"/>
      <c r="C44041" s="8"/>
      <c r="D44041" s="8"/>
    </row>
    <row r="44042" spans="1:4" ht="15.75" customHeight="1">
      <c r="A44042" s="8"/>
      <c r="B44042" s="12"/>
      <c r="C44042" s="8"/>
      <c r="D44042" s="8"/>
    </row>
    <row r="44043" spans="1:4" ht="15.75" customHeight="1">
      <c r="A44043" s="8"/>
      <c r="B44043" s="12"/>
      <c r="C44043" s="8"/>
      <c r="D44043" s="8"/>
    </row>
    <row r="44044" spans="1:4" ht="15.75" customHeight="1">
      <c r="A44044" s="8"/>
      <c r="B44044" s="12"/>
      <c r="C44044" s="8"/>
      <c r="D44044" s="8"/>
    </row>
    <row r="44045" spans="1:4" ht="15.75" customHeight="1">
      <c r="A44045" s="8"/>
      <c r="B44045" s="12"/>
      <c r="C44045" s="8"/>
      <c r="D44045" s="8"/>
    </row>
    <row r="44046" spans="1:4" ht="15.75" customHeight="1">
      <c r="A44046" s="8"/>
      <c r="B44046" s="12"/>
      <c r="C44046" s="8"/>
      <c r="D44046" s="8"/>
    </row>
    <row r="44047" spans="1:4" ht="15.75" customHeight="1">
      <c r="A44047" s="8"/>
      <c r="B44047" s="12"/>
      <c r="C44047" s="8"/>
      <c r="D44047" s="8"/>
    </row>
    <row r="44048" spans="1:4" ht="15.75" customHeight="1">
      <c r="A44048" s="8"/>
      <c r="B44048" s="12"/>
      <c r="C44048" s="8"/>
      <c r="D44048" s="8"/>
    </row>
    <row r="44049" spans="1:4" ht="15.75" customHeight="1">
      <c r="A44049" s="8"/>
      <c r="B44049" s="12"/>
      <c r="C44049" s="8"/>
      <c r="D44049" s="8"/>
    </row>
    <row r="44050" spans="1:4" ht="15.75" customHeight="1">
      <c r="A44050" s="8"/>
      <c r="B44050" s="12"/>
      <c r="C44050" s="8"/>
      <c r="D44050" s="8"/>
    </row>
    <row r="44051" spans="1:4" ht="15.75" customHeight="1">
      <c r="A44051" s="8"/>
      <c r="B44051" s="12"/>
      <c r="C44051" s="8"/>
      <c r="D44051" s="8"/>
    </row>
    <row r="44052" spans="1:4" ht="15.75" customHeight="1">
      <c r="A44052" s="8"/>
      <c r="B44052" s="12"/>
      <c r="C44052" s="8"/>
      <c r="D44052" s="8"/>
    </row>
    <row r="44053" spans="1:4" ht="15.75" customHeight="1">
      <c r="A44053" s="8"/>
      <c r="B44053" s="12"/>
      <c r="C44053" s="8"/>
      <c r="D44053" s="8"/>
    </row>
    <row r="44054" spans="1:4" ht="15.75" customHeight="1">
      <c r="A44054" s="8"/>
      <c r="B44054" s="12"/>
      <c r="C44054" s="8"/>
      <c r="D44054" s="8"/>
    </row>
    <row r="44055" spans="1:4" ht="15.75" customHeight="1">
      <c r="A44055" s="8"/>
      <c r="B44055" s="12"/>
      <c r="C44055" s="8"/>
      <c r="D44055" s="8"/>
    </row>
    <row r="44056" spans="1:4" ht="15.75" customHeight="1">
      <c r="A44056" s="8"/>
      <c r="B44056" s="12"/>
      <c r="C44056" s="8"/>
      <c r="D44056" s="8"/>
    </row>
    <row r="44057" spans="1:4" ht="15.75" customHeight="1">
      <c r="A44057" s="8"/>
      <c r="B44057" s="12"/>
      <c r="C44057" s="8"/>
      <c r="D44057" s="8"/>
    </row>
    <row r="44058" spans="1:4" ht="15.75" customHeight="1">
      <c r="A44058" s="8"/>
      <c r="B44058" s="12"/>
      <c r="C44058" s="8"/>
      <c r="D44058" s="8"/>
    </row>
    <row r="44059" spans="1:4" ht="15.75" customHeight="1">
      <c r="A44059" s="8"/>
      <c r="B44059" s="12"/>
      <c r="C44059" s="8"/>
      <c r="D44059" s="8"/>
    </row>
    <row r="44060" spans="1:4" ht="15.75" customHeight="1">
      <c r="A44060" s="8"/>
      <c r="B44060" s="12"/>
      <c r="C44060" s="8"/>
      <c r="D44060" s="8"/>
    </row>
    <row r="44061" spans="1:4" ht="15.75" customHeight="1">
      <c r="A44061" s="8"/>
      <c r="B44061" s="12"/>
      <c r="C44061" s="8"/>
      <c r="D44061" s="8"/>
    </row>
    <row r="44062" spans="1:4" ht="15.75" customHeight="1">
      <c r="A44062" s="8"/>
      <c r="B44062" s="12"/>
      <c r="C44062" s="8"/>
      <c r="D44062" s="8"/>
    </row>
    <row r="44063" spans="1:4" ht="15.75" customHeight="1">
      <c r="A44063" s="8"/>
      <c r="B44063" s="12"/>
      <c r="C44063" s="8"/>
      <c r="D44063" s="8"/>
    </row>
    <row r="44064" spans="1:4" ht="15.75" customHeight="1">
      <c r="A44064" s="8"/>
      <c r="B44064" s="12"/>
      <c r="C44064" s="8"/>
      <c r="D44064" s="8"/>
    </row>
    <row r="44065" spans="1:4" ht="15.75" customHeight="1">
      <c r="A44065" s="8"/>
      <c r="B44065" s="12"/>
      <c r="C44065" s="8"/>
      <c r="D44065" s="8"/>
    </row>
    <row r="44066" spans="1:4" ht="15.75" customHeight="1">
      <c r="A44066" s="8"/>
      <c r="B44066" s="12"/>
      <c r="C44066" s="8"/>
      <c r="D44066" s="8"/>
    </row>
    <row r="44067" spans="1:4" ht="15.75" customHeight="1">
      <c r="A44067" s="8"/>
      <c r="B44067" s="12"/>
      <c r="C44067" s="8"/>
      <c r="D44067" s="8"/>
    </row>
    <row r="44068" spans="1:4" ht="15.75" customHeight="1">
      <c r="A44068" s="8"/>
      <c r="B44068" s="12"/>
      <c r="C44068" s="8"/>
      <c r="D44068" s="8"/>
    </row>
    <row r="44069" spans="1:4" ht="15.75" customHeight="1">
      <c r="A44069" s="8"/>
      <c r="B44069" s="12"/>
      <c r="C44069" s="8"/>
      <c r="D44069" s="8"/>
    </row>
    <row r="44070" spans="1:4" ht="15.75" customHeight="1">
      <c r="A44070" s="8"/>
      <c r="B44070" s="12"/>
      <c r="C44070" s="8"/>
      <c r="D44070" s="8"/>
    </row>
    <row r="44071" spans="1:4" ht="15.75" customHeight="1">
      <c r="A44071" s="8"/>
      <c r="B44071" s="12"/>
      <c r="C44071" s="8"/>
      <c r="D44071" s="8"/>
    </row>
    <row r="44072" spans="1:4" ht="15.75" customHeight="1">
      <c r="A44072" s="8"/>
      <c r="B44072" s="12"/>
      <c r="C44072" s="8"/>
      <c r="D44072" s="8"/>
    </row>
    <row r="44073" spans="1:4" ht="15.75" customHeight="1">
      <c r="A44073" s="8"/>
      <c r="B44073" s="12"/>
      <c r="C44073" s="8"/>
      <c r="D44073" s="8"/>
    </row>
    <row r="44074" spans="1:4" ht="15.75" customHeight="1">
      <c r="A44074" s="8"/>
      <c r="B44074" s="12"/>
      <c r="C44074" s="8"/>
      <c r="D44074" s="8"/>
    </row>
    <row r="44075" spans="1:4" ht="15.75" customHeight="1">
      <c r="A44075" s="8"/>
      <c r="B44075" s="12"/>
      <c r="C44075" s="8"/>
      <c r="D44075" s="8"/>
    </row>
    <row r="44076" spans="1:4" ht="15.75" customHeight="1">
      <c r="A44076" s="8"/>
      <c r="B44076" s="12"/>
      <c r="C44076" s="8"/>
      <c r="D44076" s="8"/>
    </row>
    <row r="44077" spans="1:4" ht="15.75" customHeight="1">
      <c r="A44077" s="8"/>
      <c r="B44077" s="12"/>
      <c r="C44077" s="8"/>
      <c r="D44077" s="8"/>
    </row>
    <row r="44078" spans="1:4" ht="15.75" customHeight="1">
      <c r="A44078" s="8"/>
      <c r="B44078" s="12"/>
      <c r="C44078" s="8"/>
      <c r="D44078" s="8"/>
    </row>
    <row r="44079" spans="1:4" ht="15.75" customHeight="1">
      <c r="A44079" s="8"/>
      <c r="B44079" s="12"/>
      <c r="C44079" s="8"/>
      <c r="D44079" s="8"/>
    </row>
    <row r="44080" spans="1:4" ht="15.75" customHeight="1">
      <c r="A44080" s="8"/>
      <c r="B44080" s="12"/>
      <c r="C44080" s="8"/>
      <c r="D44080" s="8"/>
    </row>
    <row r="44081" spans="1:4" ht="15.75" customHeight="1">
      <c r="A44081" s="8"/>
      <c r="B44081" s="12"/>
      <c r="C44081" s="8"/>
      <c r="D44081" s="8"/>
    </row>
    <row r="44082" spans="1:4" ht="15.75" customHeight="1">
      <c r="A44082" s="8"/>
      <c r="B44082" s="12"/>
      <c r="C44082" s="8"/>
      <c r="D44082" s="8"/>
    </row>
    <row r="44083" spans="1:4" ht="15.75" customHeight="1">
      <c r="A44083" s="8"/>
      <c r="B44083" s="12"/>
      <c r="C44083" s="8"/>
      <c r="D44083" s="8"/>
    </row>
    <row r="44084" spans="1:4" ht="15.75" customHeight="1">
      <c r="A44084" s="8"/>
      <c r="B44084" s="12"/>
      <c r="C44084" s="8"/>
      <c r="D44084" s="8"/>
    </row>
    <row r="44085" spans="1:4" ht="15.75" customHeight="1">
      <c r="A44085" s="8"/>
      <c r="B44085" s="12"/>
      <c r="C44085" s="8"/>
      <c r="D44085" s="8"/>
    </row>
    <row r="44086" spans="1:4" ht="15.75" customHeight="1">
      <c r="A44086" s="8"/>
      <c r="B44086" s="12"/>
      <c r="C44086" s="8"/>
      <c r="D44086" s="8"/>
    </row>
    <row r="44087" spans="1:4" ht="15.75" customHeight="1">
      <c r="A44087" s="8"/>
      <c r="B44087" s="12"/>
      <c r="C44087" s="8"/>
      <c r="D44087" s="8"/>
    </row>
    <row r="44088" spans="1:4" ht="15.75" customHeight="1">
      <c r="A44088" s="8"/>
      <c r="B44088" s="12"/>
      <c r="C44088" s="8"/>
      <c r="D44088" s="8"/>
    </row>
    <row r="44089" spans="1:4" ht="15.75" customHeight="1">
      <c r="A44089" s="8"/>
      <c r="B44089" s="12"/>
      <c r="C44089" s="8"/>
      <c r="D44089" s="8"/>
    </row>
    <row r="44090" spans="1:4" ht="15.75" customHeight="1">
      <c r="A44090" s="8"/>
      <c r="B44090" s="12"/>
      <c r="C44090" s="8"/>
      <c r="D44090" s="8"/>
    </row>
    <row r="44091" spans="1:4" ht="15.75" customHeight="1">
      <c r="A44091" s="8"/>
      <c r="B44091" s="12"/>
      <c r="C44091" s="8"/>
      <c r="D44091" s="8"/>
    </row>
    <row r="44092" spans="1:4" ht="15.75" customHeight="1">
      <c r="A44092" s="8"/>
      <c r="B44092" s="12"/>
      <c r="C44092" s="8"/>
      <c r="D44092" s="8"/>
    </row>
    <row r="44093" spans="1:4" ht="15.75" customHeight="1">
      <c r="A44093" s="8"/>
      <c r="B44093" s="12"/>
      <c r="C44093" s="8"/>
      <c r="D44093" s="8"/>
    </row>
    <row r="44094" spans="1:4" ht="15.75" customHeight="1">
      <c r="A44094" s="8"/>
      <c r="B44094" s="12"/>
      <c r="C44094" s="8"/>
      <c r="D44094" s="8"/>
    </row>
    <row r="44095" spans="1:4" ht="15.75" customHeight="1">
      <c r="A44095" s="8"/>
      <c r="B44095" s="12"/>
      <c r="C44095" s="8"/>
      <c r="D44095" s="8"/>
    </row>
    <row r="44096" spans="1:4" ht="15.75" customHeight="1">
      <c r="A44096" s="8"/>
      <c r="B44096" s="12"/>
      <c r="C44096" s="8"/>
      <c r="D44096" s="8"/>
    </row>
    <row r="44097" spans="1:4" ht="15.75" customHeight="1">
      <c r="A44097" s="8"/>
      <c r="B44097" s="12"/>
      <c r="C44097" s="8"/>
      <c r="D44097" s="8"/>
    </row>
    <row r="44098" spans="1:4" ht="15.75" customHeight="1">
      <c r="A44098" s="8"/>
      <c r="B44098" s="12"/>
      <c r="C44098" s="8"/>
      <c r="D44098" s="8"/>
    </row>
    <row r="44099" spans="1:4" ht="15.75" customHeight="1">
      <c r="A44099" s="8"/>
      <c r="B44099" s="12"/>
      <c r="C44099" s="8"/>
      <c r="D44099" s="8"/>
    </row>
    <row r="44100" spans="1:4" ht="15.75" customHeight="1">
      <c r="A44100" s="8"/>
      <c r="B44100" s="12"/>
      <c r="C44100" s="8"/>
      <c r="D44100" s="8"/>
    </row>
    <row r="44101" spans="1:4" ht="15.75" customHeight="1">
      <c r="A44101" s="8"/>
      <c r="B44101" s="12"/>
      <c r="C44101" s="8"/>
      <c r="D44101" s="8"/>
    </row>
    <row r="44102" spans="1:4" ht="15.75" customHeight="1">
      <c r="A44102" s="8"/>
      <c r="B44102" s="12"/>
      <c r="C44102" s="8"/>
      <c r="D44102" s="8"/>
    </row>
    <row r="44103" spans="1:4" ht="15.75" customHeight="1">
      <c r="A44103" s="8"/>
      <c r="B44103" s="12"/>
      <c r="C44103" s="8"/>
      <c r="D44103" s="8"/>
    </row>
    <row r="44104" spans="1:4" ht="15.75" customHeight="1">
      <c r="A44104" s="8"/>
      <c r="B44104" s="12"/>
      <c r="C44104" s="8"/>
      <c r="D44104" s="8"/>
    </row>
    <row r="44105" spans="1:4" ht="15.75" customHeight="1">
      <c r="A44105" s="8"/>
      <c r="B44105" s="12"/>
      <c r="C44105" s="8"/>
      <c r="D44105" s="8"/>
    </row>
    <row r="44106" spans="1:4" ht="15.75" customHeight="1">
      <c r="A44106" s="8"/>
      <c r="B44106" s="12"/>
      <c r="C44106" s="8"/>
      <c r="D44106" s="8"/>
    </row>
    <row r="44107" spans="1:4" ht="15.75" customHeight="1">
      <c r="A44107" s="8"/>
      <c r="B44107" s="12"/>
      <c r="C44107" s="8"/>
      <c r="D44107" s="8"/>
    </row>
    <row r="44108" spans="1:4" ht="15.75" customHeight="1">
      <c r="A44108" s="8"/>
      <c r="B44108" s="12"/>
      <c r="C44108" s="8"/>
      <c r="D44108" s="8"/>
    </row>
    <row r="44109" spans="1:4" ht="15.75" customHeight="1">
      <c r="A44109" s="8"/>
      <c r="B44109" s="12"/>
      <c r="C44109" s="8"/>
      <c r="D44109" s="8"/>
    </row>
    <row r="44110" spans="1:4" ht="15.75" customHeight="1">
      <c r="A44110" s="8"/>
      <c r="B44110" s="12"/>
      <c r="C44110" s="8"/>
      <c r="D44110" s="8"/>
    </row>
    <row r="44111" spans="1:4" ht="15.75" customHeight="1">
      <c r="A44111" s="8"/>
      <c r="B44111" s="12"/>
      <c r="C44111" s="8"/>
      <c r="D44111" s="8"/>
    </row>
    <row r="44112" spans="1:4" ht="15.75" customHeight="1">
      <c r="A44112" s="8"/>
      <c r="B44112" s="12"/>
      <c r="C44112" s="8"/>
      <c r="D44112" s="8"/>
    </row>
    <row r="44113" spans="1:4" ht="15.75" customHeight="1">
      <c r="A44113" s="8"/>
      <c r="B44113" s="12"/>
      <c r="C44113" s="8"/>
      <c r="D44113" s="8"/>
    </row>
    <row r="44114" spans="1:4" ht="15.75" customHeight="1">
      <c r="A44114" s="8"/>
      <c r="B44114" s="12"/>
      <c r="C44114" s="8"/>
      <c r="D44114" s="8"/>
    </row>
    <row r="44115" spans="1:4" ht="15.75" customHeight="1">
      <c r="A44115" s="8"/>
      <c r="B44115" s="12"/>
      <c r="C44115" s="8"/>
      <c r="D44115" s="8"/>
    </row>
    <row r="44116" spans="1:4" ht="15.75" customHeight="1">
      <c r="A44116" s="8"/>
      <c r="B44116" s="12"/>
      <c r="C44116" s="8"/>
      <c r="D44116" s="8"/>
    </row>
    <row r="44117" spans="1:4" ht="15.75" customHeight="1">
      <c r="A44117" s="8"/>
      <c r="B44117" s="12"/>
      <c r="C44117" s="8"/>
      <c r="D44117" s="8"/>
    </row>
    <row r="44118" spans="1:4" ht="15.75" customHeight="1">
      <c r="A44118" s="8"/>
      <c r="B44118" s="12"/>
      <c r="C44118" s="8"/>
      <c r="D44118" s="8"/>
    </row>
    <row r="44119" spans="1:4" ht="15.75" customHeight="1">
      <c r="A44119" s="8"/>
      <c r="B44119" s="12"/>
      <c r="C44119" s="8"/>
      <c r="D44119" s="8"/>
    </row>
    <row r="44120" spans="1:4" ht="15.75" customHeight="1">
      <c r="A44120" s="8"/>
      <c r="B44120" s="12"/>
      <c r="C44120" s="8"/>
      <c r="D44120" s="8"/>
    </row>
    <row r="44121" spans="1:4" ht="15.75" customHeight="1">
      <c r="A44121" s="8"/>
      <c r="B44121" s="12"/>
      <c r="C44121" s="8"/>
      <c r="D44121" s="8"/>
    </row>
    <row r="44122" spans="1:4" ht="15.75" customHeight="1">
      <c r="A44122" s="8"/>
      <c r="B44122" s="12"/>
      <c r="C44122" s="8"/>
      <c r="D44122" s="8"/>
    </row>
    <row r="44123" spans="1:4" ht="15.75" customHeight="1">
      <c r="A44123" s="8"/>
      <c r="B44123" s="12"/>
      <c r="C44123" s="8"/>
      <c r="D44123" s="8"/>
    </row>
    <row r="44124" spans="1:4" ht="15.75" customHeight="1">
      <c r="A44124" s="8"/>
      <c r="B44124" s="12"/>
      <c r="C44124" s="8"/>
      <c r="D44124" s="8"/>
    </row>
    <row r="44125" spans="1:4" ht="15.75" customHeight="1">
      <c r="A44125" s="8"/>
      <c r="B44125" s="12"/>
      <c r="C44125" s="8"/>
      <c r="D44125" s="8"/>
    </row>
    <row r="44126" spans="1:4" ht="15.75" customHeight="1">
      <c r="A44126" s="8"/>
      <c r="B44126" s="12"/>
      <c r="C44126" s="8"/>
      <c r="D44126" s="8"/>
    </row>
    <row r="44127" spans="1:4" ht="15.75" customHeight="1">
      <c r="A44127" s="8"/>
      <c r="B44127" s="12"/>
      <c r="C44127" s="8"/>
      <c r="D44127" s="8"/>
    </row>
    <row r="44128" spans="1:4" ht="15.75" customHeight="1">
      <c r="A44128" s="8"/>
      <c r="B44128" s="12"/>
      <c r="C44128" s="8"/>
      <c r="D44128" s="8"/>
    </row>
    <row r="44129" spans="1:4" ht="15.75" customHeight="1">
      <c r="A44129" s="8"/>
      <c r="B44129" s="12"/>
      <c r="C44129" s="8"/>
      <c r="D44129" s="8"/>
    </row>
    <row r="44130" spans="1:4" ht="15.75" customHeight="1">
      <c r="A44130" s="8"/>
      <c r="B44130" s="12"/>
      <c r="C44130" s="8"/>
      <c r="D44130" s="8"/>
    </row>
    <row r="44131" spans="1:4" ht="15.75" customHeight="1">
      <c r="A44131" s="8"/>
      <c r="B44131" s="12"/>
      <c r="C44131" s="8"/>
      <c r="D44131" s="8"/>
    </row>
    <row r="44132" spans="1:4" ht="15.75" customHeight="1">
      <c r="A44132" s="8"/>
      <c r="B44132" s="12"/>
      <c r="C44132" s="8"/>
      <c r="D44132" s="8"/>
    </row>
    <row r="44133" spans="1:4" ht="15.75" customHeight="1">
      <c r="A44133" s="8"/>
      <c r="B44133" s="12"/>
      <c r="C44133" s="8"/>
      <c r="D44133" s="8"/>
    </row>
    <row r="44134" spans="1:4" ht="15.75" customHeight="1">
      <c r="A44134" s="8"/>
      <c r="B44134" s="12"/>
      <c r="C44134" s="8"/>
      <c r="D44134" s="8"/>
    </row>
    <row r="44135" spans="1:4" ht="15.75" customHeight="1">
      <c r="A44135" s="8"/>
      <c r="B44135" s="12"/>
      <c r="C44135" s="8"/>
      <c r="D44135" s="8"/>
    </row>
    <row r="44136" spans="1:4" ht="15.75" customHeight="1">
      <c r="A44136" s="8"/>
      <c r="B44136" s="12"/>
      <c r="C44136" s="8"/>
      <c r="D44136" s="8"/>
    </row>
    <row r="44137" spans="1:4" ht="15.75" customHeight="1">
      <c r="A44137" s="8"/>
      <c r="B44137" s="12"/>
      <c r="C44137" s="8"/>
      <c r="D44137" s="8"/>
    </row>
    <row r="44138" spans="1:4" ht="15.75" customHeight="1">
      <c r="A44138" s="8"/>
      <c r="B44138" s="12"/>
      <c r="C44138" s="8"/>
      <c r="D44138" s="8"/>
    </row>
    <row r="44139" spans="1:4" ht="15.75" customHeight="1">
      <c r="A44139" s="8"/>
      <c r="B44139" s="12"/>
      <c r="C44139" s="8"/>
      <c r="D44139" s="8"/>
    </row>
    <row r="44140" spans="1:4" ht="15.75" customHeight="1">
      <c r="A44140" s="8"/>
      <c r="B44140" s="12"/>
      <c r="C44140" s="8"/>
      <c r="D44140" s="8"/>
    </row>
    <row r="44141" spans="1:4" ht="15.75" customHeight="1">
      <c r="A44141" s="8"/>
      <c r="B44141" s="12"/>
      <c r="C44141" s="8"/>
      <c r="D44141" s="8"/>
    </row>
    <row r="44142" spans="1:4" ht="15.75" customHeight="1">
      <c r="A44142" s="8"/>
      <c r="B44142" s="12"/>
      <c r="C44142" s="8"/>
      <c r="D44142" s="8"/>
    </row>
    <row r="44143" spans="1:4" ht="15.75" customHeight="1">
      <c r="A44143" s="8"/>
      <c r="B44143" s="12"/>
      <c r="C44143" s="8"/>
      <c r="D44143" s="8"/>
    </row>
    <row r="44144" spans="1:4" ht="15.75" customHeight="1">
      <c r="A44144" s="8"/>
      <c r="B44144" s="12"/>
      <c r="C44144" s="8"/>
      <c r="D44144" s="8"/>
    </row>
    <row r="44145" spans="1:4" ht="15.75" customHeight="1">
      <c r="A44145" s="8"/>
      <c r="B44145" s="12"/>
      <c r="C44145" s="8"/>
      <c r="D44145" s="8"/>
    </row>
    <row r="44146" spans="1:4" ht="15.75" customHeight="1">
      <c r="A44146" s="8"/>
      <c r="B44146" s="12"/>
      <c r="C44146" s="8"/>
      <c r="D44146" s="8"/>
    </row>
    <row r="44147" spans="1:4" ht="15.75" customHeight="1">
      <c r="A44147" s="8"/>
      <c r="B44147" s="12"/>
      <c r="C44147" s="8"/>
      <c r="D44147" s="8"/>
    </row>
    <row r="44148" spans="1:4" ht="15.75" customHeight="1">
      <c r="A44148" s="8"/>
      <c r="B44148" s="12"/>
      <c r="C44148" s="8"/>
      <c r="D44148" s="8"/>
    </row>
    <row r="44149" spans="1:4" ht="15.75" customHeight="1">
      <c r="A44149" s="8"/>
      <c r="B44149" s="12"/>
      <c r="C44149" s="8"/>
      <c r="D44149" s="8"/>
    </row>
    <row r="44150" spans="1:4" ht="15.75" customHeight="1">
      <c r="A44150" s="8"/>
      <c r="B44150" s="12"/>
      <c r="C44150" s="8"/>
      <c r="D44150" s="8"/>
    </row>
    <row r="44151" spans="1:4" ht="15.75" customHeight="1">
      <c r="A44151" s="8"/>
      <c r="B44151" s="12"/>
      <c r="C44151" s="8"/>
      <c r="D44151" s="8"/>
    </row>
    <row r="44152" spans="1:4" ht="15.75" customHeight="1">
      <c r="A44152" s="8"/>
      <c r="B44152" s="12"/>
      <c r="C44152" s="8"/>
      <c r="D44152" s="8"/>
    </row>
    <row r="44153" spans="1:4" ht="15.75" customHeight="1">
      <c r="A44153" s="8"/>
      <c r="B44153" s="12"/>
      <c r="C44153" s="8"/>
      <c r="D44153" s="8"/>
    </row>
    <row r="44154" spans="1:4" ht="15.75" customHeight="1">
      <c r="A44154" s="8"/>
      <c r="B44154" s="12"/>
      <c r="C44154" s="8"/>
      <c r="D44154" s="8"/>
    </row>
    <row r="44155" spans="1:4" ht="15.75" customHeight="1">
      <c r="A44155" s="8"/>
      <c r="B44155" s="12"/>
      <c r="C44155" s="8"/>
      <c r="D44155" s="8"/>
    </row>
    <row r="44156" spans="1:4" ht="15.75" customHeight="1">
      <c r="A44156" s="8"/>
      <c r="B44156" s="12"/>
      <c r="C44156" s="8"/>
      <c r="D44156" s="8"/>
    </row>
    <row r="44157" spans="1:4" ht="15.75" customHeight="1">
      <c r="A44157" s="8"/>
      <c r="B44157" s="12"/>
      <c r="C44157" s="8"/>
      <c r="D44157" s="8"/>
    </row>
    <row r="44158" spans="1:4" ht="15.75" customHeight="1">
      <c r="A44158" s="8"/>
      <c r="B44158" s="12"/>
      <c r="C44158" s="8"/>
      <c r="D44158" s="8"/>
    </row>
    <row r="44159" spans="1:4" ht="15.75" customHeight="1">
      <c r="A44159" s="8"/>
      <c r="B44159" s="12"/>
      <c r="C44159" s="8"/>
      <c r="D44159" s="8"/>
    </row>
    <row r="44160" spans="1:4" ht="15.75" customHeight="1">
      <c r="A44160" s="8"/>
      <c r="B44160" s="12"/>
      <c r="C44160" s="8"/>
      <c r="D44160" s="8"/>
    </row>
    <row r="44161" spans="1:4" ht="15.75" customHeight="1">
      <c r="A44161" s="8"/>
      <c r="B44161" s="12"/>
      <c r="C44161" s="8"/>
      <c r="D44161" s="8"/>
    </row>
    <row r="44162" spans="1:4" ht="15.75" customHeight="1">
      <c r="A44162" s="8"/>
      <c r="B44162" s="12"/>
      <c r="C44162" s="8"/>
      <c r="D44162" s="8"/>
    </row>
    <row r="44163" spans="1:4" ht="15.75" customHeight="1">
      <c r="A44163" s="8"/>
      <c r="B44163" s="12"/>
      <c r="C44163" s="8"/>
      <c r="D44163" s="8"/>
    </row>
    <row r="44164" spans="1:4" ht="15.75" customHeight="1">
      <c r="A44164" s="8"/>
      <c r="B44164" s="12"/>
      <c r="C44164" s="8"/>
      <c r="D44164" s="8"/>
    </row>
    <row r="44165" spans="1:4" ht="15.75" customHeight="1">
      <c r="A44165" s="8"/>
      <c r="B44165" s="12"/>
      <c r="C44165" s="8"/>
      <c r="D44165" s="8"/>
    </row>
    <row r="44166" spans="1:4" ht="15.75" customHeight="1">
      <c r="A44166" s="8"/>
      <c r="B44166" s="12"/>
      <c r="C44166" s="8"/>
      <c r="D44166" s="8"/>
    </row>
    <row r="44167" spans="1:4" ht="15.75" customHeight="1">
      <c r="A44167" s="8"/>
      <c r="B44167" s="12"/>
      <c r="C44167" s="8"/>
      <c r="D44167" s="8"/>
    </row>
    <row r="44168" spans="1:4" ht="15.75" customHeight="1">
      <c r="A44168" s="8"/>
      <c r="B44168" s="12"/>
      <c r="C44168" s="8"/>
      <c r="D44168" s="8"/>
    </row>
    <row r="44169" spans="1:4" ht="15.75" customHeight="1">
      <c r="A44169" s="8"/>
      <c r="B44169" s="12"/>
      <c r="C44169" s="8"/>
      <c r="D44169" s="8"/>
    </row>
    <row r="44170" spans="1:4" ht="15.75" customHeight="1">
      <c r="A44170" s="8"/>
      <c r="B44170" s="12"/>
      <c r="C44170" s="8"/>
      <c r="D44170" s="8"/>
    </row>
    <row r="44171" spans="1:4" ht="15.75" customHeight="1">
      <c r="A44171" s="8"/>
      <c r="B44171" s="12"/>
      <c r="C44171" s="8"/>
      <c r="D44171" s="8"/>
    </row>
    <row r="44172" spans="1:4" ht="15.75" customHeight="1">
      <c r="A44172" s="8"/>
      <c r="B44172" s="12"/>
      <c r="C44172" s="8"/>
      <c r="D44172" s="8"/>
    </row>
    <row r="44173" spans="1:4" ht="15.75" customHeight="1">
      <c r="A44173" s="8"/>
      <c r="B44173" s="12"/>
      <c r="C44173" s="8"/>
      <c r="D44173" s="8"/>
    </row>
    <row r="44174" spans="1:4" ht="15.75" customHeight="1">
      <c r="A44174" s="8"/>
      <c r="B44174" s="12"/>
      <c r="C44174" s="8"/>
      <c r="D44174" s="8"/>
    </row>
    <row r="44175" spans="1:4" ht="15.75" customHeight="1">
      <c r="A44175" s="8"/>
      <c r="B44175" s="12"/>
      <c r="C44175" s="8"/>
      <c r="D44175" s="8"/>
    </row>
    <row r="44176" spans="1:4" ht="15.75" customHeight="1">
      <c r="A44176" s="8"/>
      <c r="B44176" s="12"/>
      <c r="C44176" s="8"/>
      <c r="D44176" s="8"/>
    </row>
    <row r="44177" spans="1:4" ht="15.75" customHeight="1">
      <c r="A44177" s="8"/>
      <c r="B44177" s="12"/>
      <c r="C44177" s="8"/>
      <c r="D44177" s="8"/>
    </row>
    <row r="44178" spans="1:4" ht="15.75" customHeight="1">
      <c r="A44178" s="8"/>
      <c r="B44178" s="12"/>
      <c r="C44178" s="8"/>
      <c r="D44178" s="8"/>
    </row>
    <row r="44179" spans="1:4" ht="15.75" customHeight="1">
      <c r="A44179" s="8"/>
      <c r="B44179" s="12"/>
      <c r="C44179" s="8"/>
      <c r="D44179" s="8"/>
    </row>
    <row r="44180" spans="1:4" ht="15.75" customHeight="1">
      <c r="A44180" s="8"/>
      <c r="B44180" s="12"/>
      <c r="C44180" s="8"/>
      <c r="D44180" s="8"/>
    </row>
    <row r="44181" spans="1:4" ht="15.75" customHeight="1">
      <c r="A44181" s="8"/>
      <c r="B44181" s="12"/>
      <c r="C44181" s="8"/>
      <c r="D44181" s="8"/>
    </row>
    <row r="44182" spans="1:4" ht="15.75" customHeight="1">
      <c r="A44182" s="8"/>
      <c r="B44182" s="12"/>
      <c r="C44182" s="8"/>
      <c r="D44182" s="8"/>
    </row>
    <row r="44183" spans="1:4" ht="15.75" customHeight="1">
      <c r="A44183" s="8"/>
      <c r="B44183" s="12"/>
      <c r="C44183" s="8"/>
      <c r="D44183" s="8"/>
    </row>
    <row r="44184" spans="1:4" ht="15.75" customHeight="1">
      <c r="A44184" s="8"/>
      <c r="B44184" s="12"/>
      <c r="C44184" s="8"/>
      <c r="D44184" s="8"/>
    </row>
    <row r="44185" spans="1:4" ht="15.75" customHeight="1">
      <c r="A44185" s="8"/>
      <c r="B44185" s="12"/>
      <c r="C44185" s="8"/>
      <c r="D44185" s="8"/>
    </row>
    <row r="44186" spans="1:4" ht="15.75" customHeight="1">
      <c r="A44186" s="8"/>
      <c r="B44186" s="12"/>
      <c r="C44186" s="8"/>
      <c r="D44186" s="8"/>
    </row>
    <row r="44187" spans="1:4" ht="15.75" customHeight="1">
      <c r="A44187" s="8"/>
      <c r="B44187" s="12"/>
      <c r="C44187" s="8"/>
      <c r="D44187" s="8"/>
    </row>
    <row r="44188" spans="1:4" ht="15.75" customHeight="1">
      <c r="A44188" s="8"/>
      <c r="B44188" s="12"/>
      <c r="C44188" s="8"/>
      <c r="D44188" s="8"/>
    </row>
    <row r="44189" spans="1:4" ht="15.75" customHeight="1">
      <c r="A44189" s="8"/>
      <c r="B44189" s="12"/>
      <c r="C44189" s="8"/>
      <c r="D44189" s="8"/>
    </row>
    <row r="44190" spans="1:4" ht="15.75" customHeight="1">
      <c r="A44190" s="8"/>
      <c r="B44190" s="12"/>
      <c r="C44190" s="8"/>
      <c r="D44190" s="8"/>
    </row>
    <row r="44191" spans="1:4" ht="15.75" customHeight="1">
      <c r="A44191" s="8"/>
      <c r="B44191" s="12"/>
      <c r="C44191" s="8"/>
      <c r="D44191" s="8"/>
    </row>
    <row r="44192" spans="1:4" ht="15.75" customHeight="1">
      <c r="A44192" s="8"/>
      <c r="B44192" s="12"/>
      <c r="C44192" s="8"/>
      <c r="D44192" s="8"/>
    </row>
    <row r="44193" spans="1:4" ht="15.75" customHeight="1">
      <c r="A44193" s="8"/>
      <c r="B44193" s="12"/>
      <c r="C44193" s="8"/>
      <c r="D44193" s="8"/>
    </row>
    <row r="44194" spans="1:4" ht="15.75" customHeight="1">
      <c r="A44194" s="8"/>
      <c r="B44194" s="12"/>
      <c r="C44194" s="8"/>
      <c r="D44194" s="8"/>
    </row>
    <row r="44195" spans="1:4" ht="15.75" customHeight="1">
      <c r="A44195" s="8"/>
      <c r="B44195" s="12"/>
      <c r="C44195" s="8"/>
      <c r="D44195" s="8"/>
    </row>
    <row r="44196" spans="1:4" ht="15.75" customHeight="1">
      <c r="A44196" s="8"/>
      <c r="B44196" s="12"/>
      <c r="C44196" s="8"/>
      <c r="D44196" s="8"/>
    </row>
    <row r="44197" spans="1:4" ht="15.75" customHeight="1">
      <c r="A44197" s="8"/>
      <c r="B44197" s="12"/>
      <c r="C44197" s="8"/>
      <c r="D44197" s="8"/>
    </row>
    <row r="44198" spans="1:4" ht="15.75" customHeight="1">
      <c r="A44198" s="8"/>
      <c r="B44198" s="12"/>
      <c r="C44198" s="8"/>
      <c r="D44198" s="8"/>
    </row>
    <row r="44199" spans="1:4" ht="15.75" customHeight="1">
      <c r="A44199" s="8"/>
      <c r="B44199" s="12"/>
      <c r="C44199" s="8"/>
      <c r="D44199" s="8"/>
    </row>
    <row r="44200" spans="1:4" ht="15.75" customHeight="1">
      <c r="A44200" s="8"/>
      <c r="B44200" s="12"/>
      <c r="C44200" s="8"/>
      <c r="D44200" s="8"/>
    </row>
    <row r="44201" spans="1:4" ht="15.75" customHeight="1">
      <c r="A44201" s="8"/>
      <c r="B44201" s="12"/>
      <c r="C44201" s="8"/>
      <c r="D44201" s="8"/>
    </row>
    <row r="44202" spans="1:4" ht="15.75" customHeight="1">
      <c r="A44202" s="8"/>
      <c r="B44202" s="12"/>
      <c r="C44202" s="8"/>
      <c r="D44202" s="8"/>
    </row>
    <row r="44203" spans="1:4" ht="15.75" customHeight="1">
      <c r="A44203" s="8"/>
      <c r="B44203" s="12"/>
      <c r="C44203" s="8"/>
      <c r="D44203" s="8"/>
    </row>
    <row r="44204" spans="1:4" ht="15.75" customHeight="1">
      <c r="A44204" s="8"/>
      <c r="B44204" s="12"/>
      <c r="C44204" s="8"/>
      <c r="D44204" s="8"/>
    </row>
    <row r="44205" spans="1:4" ht="15.75" customHeight="1">
      <c r="A44205" s="8"/>
      <c r="B44205" s="12"/>
      <c r="C44205" s="8"/>
      <c r="D44205" s="8"/>
    </row>
    <row r="44206" spans="1:4" ht="15.75" customHeight="1">
      <c r="A44206" s="8"/>
      <c r="B44206" s="12"/>
      <c r="C44206" s="8"/>
      <c r="D44206" s="8"/>
    </row>
    <row r="44207" spans="1:4" ht="15.75" customHeight="1">
      <c r="A44207" s="8"/>
      <c r="B44207" s="12"/>
      <c r="C44207" s="8"/>
      <c r="D44207" s="8"/>
    </row>
    <row r="44208" spans="1:4" ht="15.75" customHeight="1">
      <c r="A44208" s="8"/>
      <c r="B44208" s="12"/>
      <c r="C44208" s="8"/>
      <c r="D44208" s="8"/>
    </row>
    <row r="44209" spans="1:4" ht="15.75" customHeight="1">
      <c r="A44209" s="8"/>
      <c r="B44209" s="12"/>
      <c r="C44209" s="8"/>
      <c r="D44209" s="8"/>
    </row>
    <row r="44210" spans="1:4" ht="15.75" customHeight="1">
      <c r="A44210" s="8"/>
      <c r="B44210" s="12"/>
      <c r="C44210" s="8"/>
      <c r="D44210" s="8"/>
    </row>
    <row r="44211" spans="1:4" ht="15.75" customHeight="1">
      <c r="A44211" s="8"/>
      <c r="B44211" s="12"/>
      <c r="C44211" s="8"/>
      <c r="D44211" s="8"/>
    </row>
    <row r="44212" spans="1:4" ht="15.75" customHeight="1">
      <c r="A44212" s="8"/>
      <c r="B44212" s="12"/>
      <c r="C44212" s="8"/>
      <c r="D44212" s="8"/>
    </row>
    <row r="44213" spans="1:4" ht="15.75" customHeight="1">
      <c r="A44213" s="8"/>
      <c r="B44213" s="12"/>
      <c r="C44213" s="8"/>
      <c r="D44213" s="8"/>
    </row>
    <row r="44214" spans="1:4" ht="15.75" customHeight="1">
      <c r="A44214" s="8"/>
      <c r="B44214" s="12"/>
      <c r="C44214" s="8"/>
      <c r="D44214" s="8"/>
    </row>
    <row r="44215" spans="1:4" ht="15.75" customHeight="1">
      <c r="A44215" s="8"/>
      <c r="B44215" s="12"/>
      <c r="C44215" s="8"/>
      <c r="D44215" s="8"/>
    </row>
    <row r="44216" spans="1:4" ht="15.75" customHeight="1">
      <c r="A44216" s="8"/>
      <c r="B44216" s="12"/>
      <c r="C44216" s="8"/>
      <c r="D44216" s="8"/>
    </row>
    <row r="44217" spans="1:4" ht="15.75" customHeight="1">
      <c r="A44217" s="8"/>
      <c r="B44217" s="12"/>
      <c r="C44217" s="8"/>
      <c r="D44217" s="8"/>
    </row>
    <row r="44218" spans="1:4" ht="15.75" customHeight="1">
      <c r="A44218" s="8"/>
      <c r="B44218" s="12"/>
      <c r="C44218" s="8"/>
      <c r="D44218" s="8"/>
    </row>
    <row r="44219" spans="1:4" ht="15.75" customHeight="1">
      <c r="A44219" s="8"/>
      <c r="B44219" s="12"/>
      <c r="C44219" s="8"/>
      <c r="D44219" s="8"/>
    </row>
    <row r="44220" spans="1:4" ht="15.75" customHeight="1">
      <c r="A44220" s="8"/>
      <c r="B44220" s="12"/>
      <c r="C44220" s="8"/>
      <c r="D44220" s="8"/>
    </row>
    <row r="44221" spans="1:4" ht="15.75" customHeight="1">
      <c r="A44221" s="8"/>
      <c r="B44221" s="12"/>
      <c r="C44221" s="8"/>
      <c r="D44221" s="8"/>
    </row>
    <row r="44222" spans="1:4" ht="15.75" customHeight="1">
      <c r="A44222" s="8"/>
      <c r="B44222" s="12"/>
      <c r="C44222" s="8"/>
      <c r="D44222" s="8"/>
    </row>
    <row r="44223" spans="1:4" ht="15.75" customHeight="1">
      <c r="A44223" s="8"/>
      <c r="B44223" s="12"/>
      <c r="C44223" s="8"/>
      <c r="D44223" s="8"/>
    </row>
    <row r="44224" spans="1:4" ht="15.75" customHeight="1">
      <c r="A44224" s="8"/>
      <c r="B44224" s="12"/>
      <c r="C44224" s="8"/>
      <c r="D44224" s="8"/>
    </row>
    <row r="44225" spans="1:4" ht="15.75" customHeight="1">
      <c r="A44225" s="8"/>
      <c r="B44225" s="12"/>
      <c r="C44225" s="8"/>
      <c r="D44225" s="8"/>
    </row>
    <row r="44226" spans="1:4" ht="15.75" customHeight="1">
      <c r="A44226" s="8"/>
      <c r="B44226" s="12"/>
      <c r="C44226" s="8"/>
      <c r="D44226" s="8"/>
    </row>
    <row r="44227" spans="1:4" ht="15.75" customHeight="1">
      <c r="A44227" s="8"/>
      <c r="B44227" s="12"/>
      <c r="C44227" s="8"/>
      <c r="D44227" s="8"/>
    </row>
    <row r="44228" spans="1:4" ht="15.75" customHeight="1">
      <c r="A44228" s="8"/>
      <c r="B44228" s="12"/>
      <c r="C44228" s="8"/>
      <c r="D44228" s="8"/>
    </row>
    <row r="44229" spans="1:4" ht="15.75" customHeight="1">
      <c r="A44229" s="8"/>
      <c r="B44229" s="12"/>
      <c r="C44229" s="8"/>
      <c r="D44229" s="8"/>
    </row>
    <row r="44230" spans="1:4" ht="15.75" customHeight="1">
      <c r="A44230" s="8"/>
      <c r="B44230" s="12"/>
      <c r="C44230" s="8"/>
      <c r="D44230" s="8"/>
    </row>
    <row r="44231" spans="1:4" ht="15.75" customHeight="1">
      <c r="A44231" s="8"/>
      <c r="B44231" s="12"/>
      <c r="C44231" s="8"/>
      <c r="D44231" s="8"/>
    </row>
    <row r="44232" spans="1:4" ht="15.75" customHeight="1">
      <c r="A44232" s="8"/>
      <c r="B44232" s="12"/>
      <c r="C44232" s="8"/>
      <c r="D44232" s="8"/>
    </row>
    <row r="44233" spans="1:4" ht="15.75" customHeight="1">
      <c r="A44233" s="8"/>
      <c r="B44233" s="12"/>
      <c r="C44233" s="8"/>
      <c r="D44233" s="8"/>
    </row>
    <row r="44234" spans="1:4" ht="15.75" customHeight="1">
      <c r="A44234" s="8"/>
      <c r="B44234" s="12"/>
      <c r="C44234" s="8"/>
      <c r="D44234" s="8"/>
    </row>
    <row r="44235" spans="1:4" ht="15.75" customHeight="1">
      <c r="A44235" s="8"/>
      <c r="B44235" s="12"/>
      <c r="C44235" s="8"/>
      <c r="D44235" s="8"/>
    </row>
    <row r="44236" spans="1:4" ht="15.75" customHeight="1">
      <c r="A44236" s="8"/>
      <c r="B44236" s="12"/>
      <c r="C44236" s="8"/>
      <c r="D44236" s="8"/>
    </row>
    <row r="44237" spans="1:4" ht="15.75" customHeight="1">
      <c r="A44237" s="8"/>
      <c r="B44237" s="12"/>
      <c r="C44237" s="8"/>
      <c r="D44237" s="8"/>
    </row>
    <row r="44238" spans="1:4" ht="15.75" customHeight="1">
      <c r="A44238" s="8"/>
      <c r="B44238" s="12"/>
      <c r="C44238" s="8"/>
      <c r="D44238" s="8"/>
    </row>
    <row r="44239" spans="1:4" ht="15.75" customHeight="1">
      <c r="A44239" s="8"/>
      <c r="B44239" s="12"/>
      <c r="C44239" s="8"/>
      <c r="D44239" s="8"/>
    </row>
    <row r="44240" spans="1:4" ht="15.75" customHeight="1">
      <c r="A44240" s="8"/>
      <c r="B44240" s="12"/>
      <c r="C44240" s="8"/>
      <c r="D44240" s="8"/>
    </row>
    <row r="44241" spans="1:4" ht="15.75" customHeight="1">
      <c r="A44241" s="8"/>
      <c r="B44241" s="12"/>
      <c r="C44241" s="8"/>
      <c r="D44241" s="8"/>
    </row>
    <row r="44242" spans="1:4" ht="15.75" customHeight="1">
      <c r="A44242" s="8"/>
      <c r="B44242" s="12"/>
      <c r="C44242" s="8"/>
      <c r="D44242" s="8"/>
    </row>
    <row r="44243" spans="1:4" ht="15.75" customHeight="1">
      <c r="A44243" s="8"/>
      <c r="B44243" s="12"/>
      <c r="C44243" s="8"/>
      <c r="D44243" s="8"/>
    </row>
    <row r="44244" spans="1:4" ht="15.75" customHeight="1">
      <c r="A44244" s="8"/>
      <c r="B44244" s="12"/>
      <c r="C44244" s="8"/>
      <c r="D44244" s="8"/>
    </row>
    <row r="44245" spans="1:4" ht="15.75" customHeight="1">
      <c r="A44245" s="8"/>
      <c r="B44245" s="12"/>
      <c r="C44245" s="8"/>
      <c r="D44245" s="8"/>
    </row>
    <row r="44246" spans="1:4" ht="15.75" customHeight="1">
      <c r="A44246" s="8"/>
      <c r="B44246" s="12"/>
      <c r="C44246" s="8"/>
      <c r="D44246" s="8"/>
    </row>
    <row r="44247" spans="1:4" ht="15.75" customHeight="1">
      <c r="A44247" s="8"/>
      <c r="B44247" s="12"/>
      <c r="C44247" s="8"/>
      <c r="D44247" s="8"/>
    </row>
    <row r="44248" spans="1:4" ht="15.75" customHeight="1">
      <c r="A44248" s="8"/>
      <c r="B44248" s="12"/>
      <c r="C44248" s="8"/>
      <c r="D44248" s="8"/>
    </row>
    <row r="44249" spans="1:4" ht="15.75" customHeight="1">
      <c r="A44249" s="8"/>
      <c r="B44249" s="12"/>
      <c r="C44249" s="8"/>
      <c r="D44249" s="8"/>
    </row>
    <row r="44250" spans="1:4" ht="15.75" customHeight="1">
      <c r="A44250" s="8"/>
      <c r="B44250" s="12"/>
      <c r="C44250" s="8"/>
      <c r="D44250" s="8"/>
    </row>
    <row r="44251" spans="1:4" ht="15.75" customHeight="1">
      <c r="A44251" s="8"/>
      <c r="B44251" s="12"/>
      <c r="C44251" s="8"/>
      <c r="D44251" s="8"/>
    </row>
    <row r="44252" spans="1:4" ht="15.75" customHeight="1">
      <c r="A44252" s="8"/>
      <c r="B44252" s="12"/>
      <c r="C44252" s="8"/>
      <c r="D44252" s="8"/>
    </row>
    <row r="44253" spans="1:4" ht="15.75" customHeight="1">
      <c r="A44253" s="8"/>
      <c r="B44253" s="12"/>
      <c r="C44253" s="8"/>
      <c r="D44253" s="8"/>
    </row>
    <row r="44254" spans="1:4" ht="15.75" customHeight="1">
      <c r="A44254" s="8"/>
      <c r="B44254" s="12"/>
      <c r="C44254" s="8"/>
      <c r="D44254" s="8"/>
    </row>
    <row r="44255" spans="1:4" ht="15.75" customHeight="1">
      <c r="A44255" s="8"/>
      <c r="B44255" s="12"/>
      <c r="C44255" s="8"/>
      <c r="D44255" s="8"/>
    </row>
    <row r="44256" spans="1:4" ht="15.75" customHeight="1">
      <c r="A44256" s="8"/>
      <c r="B44256" s="12"/>
      <c r="C44256" s="8"/>
      <c r="D44256" s="8"/>
    </row>
    <row r="44257" spans="1:4" ht="15.75" customHeight="1">
      <c r="A44257" s="8"/>
      <c r="B44257" s="12"/>
      <c r="C44257" s="8"/>
      <c r="D44257" s="8"/>
    </row>
    <row r="44258" spans="1:4" ht="15.75" customHeight="1">
      <c r="A44258" s="8"/>
      <c r="B44258" s="12"/>
      <c r="C44258" s="8"/>
      <c r="D44258" s="8"/>
    </row>
    <row r="44259" spans="1:4" ht="15.75" customHeight="1">
      <c r="A44259" s="8"/>
      <c r="B44259" s="12"/>
      <c r="C44259" s="8"/>
      <c r="D44259" s="8"/>
    </row>
    <row r="44260" spans="1:4" ht="15.75" customHeight="1">
      <c r="A44260" s="8"/>
      <c r="B44260" s="12"/>
      <c r="C44260" s="8"/>
      <c r="D44260" s="8"/>
    </row>
    <row r="44261" spans="1:4" ht="15.75" customHeight="1">
      <c r="A44261" s="8"/>
      <c r="B44261" s="12"/>
      <c r="C44261" s="8"/>
      <c r="D44261" s="8"/>
    </row>
    <row r="44262" spans="1:4" ht="15.75" customHeight="1">
      <c r="A44262" s="8"/>
      <c r="B44262" s="12"/>
      <c r="C44262" s="8"/>
      <c r="D44262" s="8"/>
    </row>
    <row r="44263" spans="1:4" ht="15.75" customHeight="1">
      <c r="A44263" s="8"/>
      <c r="B44263" s="12"/>
      <c r="C44263" s="8"/>
      <c r="D44263" s="8"/>
    </row>
    <row r="44264" spans="1:4" ht="15.75" customHeight="1">
      <c r="A44264" s="8"/>
      <c r="B44264" s="12"/>
      <c r="C44264" s="8"/>
      <c r="D44264" s="8"/>
    </row>
    <row r="44265" spans="1:4" ht="15.75" customHeight="1">
      <c r="A44265" s="8"/>
      <c r="B44265" s="12"/>
      <c r="C44265" s="8"/>
      <c r="D44265" s="8"/>
    </row>
    <row r="44266" spans="1:4" ht="15.75" customHeight="1">
      <c r="A44266" s="8"/>
      <c r="B44266" s="12"/>
      <c r="C44266" s="8"/>
      <c r="D44266" s="8"/>
    </row>
    <row r="44267" spans="1:4" ht="15.75" customHeight="1">
      <c r="A44267" s="8"/>
      <c r="B44267" s="12"/>
      <c r="C44267" s="8"/>
      <c r="D44267" s="8"/>
    </row>
    <row r="44268" spans="1:4" ht="15.75" customHeight="1">
      <c r="A44268" s="8"/>
      <c r="B44268" s="12"/>
      <c r="C44268" s="8"/>
      <c r="D44268" s="8"/>
    </row>
    <row r="44269" spans="1:4" ht="15.75" customHeight="1">
      <c r="A44269" s="8"/>
      <c r="B44269" s="12"/>
      <c r="C44269" s="8"/>
      <c r="D44269" s="8"/>
    </row>
    <row r="44270" spans="1:4" ht="15.75" customHeight="1">
      <c r="A44270" s="8"/>
      <c r="B44270" s="12"/>
      <c r="C44270" s="8"/>
      <c r="D44270" s="8"/>
    </row>
    <row r="44271" spans="1:4" ht="15.75" customHeight="1">
      <c r="A44271" s="8"/>
      <c r="B44271" s="12"/>
      <c r="C44271" s="8"/>
      <c r="D44271" s="8"/>
    </row>
    <row r="44272" spans="1:4" ht="15.75" customHeight="1">
      <c r="A44272" s="8"/>
      <c r="B44272" s="12"/>
      <c r="C44272" s="8"/>
      <c r="D44272" s="8"/>
    </row>
    <row r="44273" spans="1:4" ht="15.75" customHeight="1">
      <c r="A44273" s="8"/>
      <c r="B44273" s="12"/>
      <c r="C44273" s="8"/>
      <c r="D44273" s="8"/>
    </row>
    <row r="44274" spans="1:4" ht="15.75" customHeight="1">
      <c r="A44274" s="8"/>
      <c r="B44274" s="12"/>
      <c r="C44274" s="8"/>
      <c r="D44274" s="8"/>
    </row>
    <row r="44275" spans="1:4" ht="15.75" customHeight="1">
      <c r="A44275" s="8"/>
      <c r="B44275" s="12"/>
      <c r="C44275" s="8"/>
      <c r="D44275" s="8"/>
    </row>
    <row r="44276" spans="1:4" ht="15.75" customHeight="1">
      <c r="A44276" s="8"/>
      <c r="B44276" s="12"/>
      <c r="C44276" s="8"/>
      <c r="D44276" s="8"/>
    </row>
    <row r="44277" spans="1:4" ht="15.75" customHeight="1">
      <c r="A44277" s="8"/>
      <c r="B44277" s="12"/>
      <c r="C44277" s="8"/>
      <c r="D44277" s="8"/>
    </row>
    <row r="44278" spans="1:4" ht="15.75" customHeight="1">
      <c r="A44278" s="8"/>
      <c r="B44278" s="12"/>
      <c r="C44278" s="8"/>
      <c r="D44278" s="8"/>
    </row>
    <row r="44279" spans="1:4" ht="15.75" customHeight="1">
      <c r="A44279" s="8"/>
      <c r="B44279" s="12"/>
      <c r="C44279" s="8"/>
      <c r="D44279" s="8"/>
    </row>
    <row r="44280" spans="1:4" ht="15.75" customHeight="1">
      <c r="A44280" s="8"/>
      <c r="B44280" s="12"/>
      <c r="C44280" s="8"/>
      <c r="D44280" s="8"/>
    </row>
    <row r="44281" spans="1:4" ht="15.75" customHeight="1">
      <c r="A44281" s="8"/>
      <c r="B44281" s="12"/>
      <c r="C44281" s="8"/>
      <c r="D44281" s="8"/>
    </row>
    <row r="44282" spans="1:4" ht="15.75" customHeight="1">
      <c r="A44282" s="8"/>
      <c r="B44282" s="12"/>
      <c r="C44282" s="8"/>
      <c r="D44282" s="8"/>
    </row>
    <row r="44283" spans="1:4" ht="15.75" customHeight="1">
      <c r="A44283" s="8"/>
      <c r="B44283" s="12"/>
      <c r="C44283" s="8"/>
      <c r="D44283" s="8"/>
    </row>
    <row r="44284" spans="1:4" ht="15.75" customHeight="1">
      <c r="A44284" s="8"/>
      <c r="B44284" s="12"/>
      <c r="C44284" s="8"/>
      <c r="D44284" s="8"/>
    </row>
    <row r="44285" spans="1:4" ht="15.75" customHeight="1">
      <c r="A44285" s="8"/>
      <c r="B44285" s="12"/>
      <c r="C44285" s="8"/>
      <c r="D44285" s="8"/>
    </row>
    <row r="44286" spans="1:4" ht="15.75" customHeight="1">
      <c r="A44286" s="8"/>
      <c r="B44286" s="12"/>
      <c r="C44286" s="8"/>
      <c r="D44286" s="8"/>
    </row>
    <row r="44287" spans="1:4" ht="15.75" customHeight="1">
      <c r="A44287" s="8"/>
      <c r="B44287" s="12"/>
      <c r="C44287" s="8"/>
      <c r="D44287" s="8"/>
    </row>
    <row r="44288" spans="1:4" ht="15.75" customHeight="1">
      <c r="A44288" s="8"/>
      <c r="B44288" s="12"/>
      <c r="C44288" s="8"/>
      <c r="D44288" s="8"/>
    </row>
    <row r="44289" spans="1:4" ht="15.75" customHeight="1">
      <c r="A44289" s="8"/>
      <c r="B44289" s="12"/>
      <c r="C44289" s="8"/>
      <c r="D44289" s="8"/>
    </row>
    <row r="44290" spans="1:4" ht="15.75" customHeight="1">
      <c r="A44290" s="8"/>
      <c r="B44290" s="12"/>
      <c r="C44290" s="8"/>
      <c r="D44290" s="8"/>
    </row>
    <row r="44291" spans="1:4" ht="15.75" customHeight="1">
      <c r="A44291" s="8"/>
      <c r="B44291" s="12"/>
      <c r="C44291" s="8"/>
      <c r="D44291" s="8"/>
    </row>
    <row r="44292" spans="1:4" ht="15.75" customHeight="1">
      <c r="A44292" s="8"/>
      <c r="B44292" s="12"/>
      <c r="C44292" s="8"/>
      <c r="D44292" s="8"/>
    </row>
    <row r="44293" spans="1:4" ht="15.75" customHeight="1">
      <c r="A44293" s="8"/>
      <c r="B44293" s="12"/>
      <c r="C44293" s="8"/>
      <c r="D44293" s="8"/>
    </row>
    <row r="44294" spans="1:4" ht="15.75" customHeight="1">
      <c r="A44294" s="8"/>
      <c r="B44294" s="12"/>
      <c r="C44294" s="8"/>
      <c r="D44294" s="8"/>
    </row>
    <row r="44295" spans="1:4" ht="15.75" customHeight="1">
      <c r="A44295" s="8"/>
      <c r="B44295" s="12"/>
      <c r="C44295" s="8"/>
      <c r="D44295" s="8"/>
    </row>
    <row r="44296" spans="1:4" ht="15.75" customHeight="1">
      <c r="A44296" s="8"/>
      <c r="B44296" s="12"/>
      <c r="C44296" s="8"/>
      <c r="D44296" s="8"/>
    </row>
    <row r="44297" spans="1:4" ht="15.75" customHeight="1">
      <c r="A44297" s="8"/>
      <c r="B44297" s="12"/>
      <c r="C44297" s="8"/>
      <c r="D44297" s="8"/>
    </row>
    <row r="44298" spans="1:4" ht="15.75" customHeight="1">
      <c r="A44298" s="8"/>
      <c r="B44298" s="12"/>
      <c r="C44298" s="8"/>
      <c r="D44298" s="8"/>
    </row>
    <row r="44299" spans="1:4" ht="15.75" customHeight="1">
      <c r="A44299" s="8"/>
      <c r="B44299" s="12"/>
      <c r="C44299" s="8"/>
      <c r="D44299" s="8"/>
    </row>
    <row r="44300" spans="1:4" ht="15.75" customHeight="1">
      <c r="A44300" s="8"/>
      <c r="B44300" s="12"/>
      <c r="C44300" s="8"/>
      <c r="D44300" s="8"/>
    </row>
    <row r="44301" spans="1:4" ht="15.75" customHeight="1">
      <c r="A44301" s="8"/>
      <c r="B44301" s="12"/>
      <c r="C44301" s="8"/>
      <c r="D44301" s="8"/>
    </row>
    <row r="44302" spans="1:4" ht="15.75" customHeight="1">
      <c r="A44302" s="8"/>
      <c r="B44302" s="12"/>
      <c r="C44302" s="8"/>
      <c r="D44302" s="8"/>
    </row>
    <row r="44303" spans="1:4" ht="15.75" customHeight="1">
      <c r="A44303" s="8"/>
      <c r="B44303" s="12"/>
      <c r="C44303" s="8"/>
      <c r="D44303" s="8"/>
    </row>
    <row r="44304" spans="1:4" ht="15.75" customHeight="1">
      <c r="A44304" s="8"/>
      <c r="B44304" s="12"/>
      <c r="C44304" s="8"/>
      <c r="D44304" s="8"/>
    </row>
    <row r="44305" spans="1:4" ht="15.75" customHeight="1">
      <c r="A44305" s="8"/>
      <c r="B44305" s="12"/>
      <c r="C44305" s="8"/>
      <c r="D44305" s="8"/>
    </row>
    <row r="44306" spans="1:4" ht="15.75" customHeight="1">
      <c r="A44306" s="8"/>
      <c r="B44306" s="12"/>
      <c r="C44306" s="8"/>
      <c r="D44306" s="8"/>
    </row>
    <row r="44307" spans="1:4" ht="15.75" customHeight="1">
      <c r="A44307" s="8"/>
      <c r="B44307" s="12"/>
      <c r="C44307" s="8"/>
      <c r="D44307" s="8"/>
    </row>
    <row r="44308" spans="1:4" ht="15.75" customHeight="1">
      <c r="A44308" s="8"/>
      <c r="B44308" s="12"/>
      <c r="C44308" s="8"/>
      <c r="D44308" s="8"/>
    </row>
    <row r="44309" spans="1:4" ht="15.75" customHeight="1">
      <c r="A44309" s="8"/>
      <c r="B44309" s="12"/>
      <c r="C44309" s="8"/>
      <c r="D44309" s="8"/>
    </row>
    <row r="44310" spans="1:4" ht="15.75" customHeight="1">
      <c r="A44310" s="8"/>
      <c r="B44310" s="12"/>
      <c r="C44310" s="8"/>
      <c r="D44310" s="8"/>
    </row>
    <row r="44311" spans="1:4" ht="15.75" customHeight="1">
      <c r="A44311" s="8"/>
      <c r="B44311" s="12"/>
      <c r="C44311" s="8"/>
      <c r="D44311" s="8"/>
    </row>
    <row r="44312" spans="1:4" ht="15.75" customHeight="1">
      <c r="A44312" s="8"/>
      <c r="B44312" s="12"/>
      <c r="C44312" s="8"/>
      <c r="D44312" s="8"/>
    </row>
    <row r="44313" spans="1:4" ht="15.75" customHeight="1">
      <c r="A44313" s="8"/>
      <c r="B44313" s="12"/>
      <c r="C44313" s="8"/>
      <c r="D44313" s="8"/>
    </row>
    <row r="44314" spans="1:4" ht="15.75" customHeight="1">
      <c r="A44314" s="8"/>
      <c r="B44314" s="12"/>
      <c r="C44314" s="8"/>
      <c r="D44314" s="8"/>
    </row>
    <row r="44315" spans="1:4" ht="15.75" customHeight="1">
      <c r="A44315" s="8"/>
      <c r="B44315" s="12"/>
      <c r="C44315" s="8"/>
      <c r="D44315" s="8"/>
    </row>
    <row r="44316" spans="1:4" ht="15.75" customHeight="1">
      <c r="A44316" s="8"/>
      <c r="B44316" s="12"/>
      <c r="C44316" s="8"/>
      <c r="D44316" s="8"/>
    </row>
    <row r="44317" spans="1:4" ht="15.75" customHeight="1">
      <c r="A44317" s="8"/>
      <c r="B44317" s="12"/>
      <c r="C44317" s="8"/>
      <c r="D44317" s="8"/>
    </row>
    <row r="44318" spans="1:4" ht="15.75" customHeight="1">
      <c r="A44318" s="8"/>
      <c r="B44318" s="12"/>
      <c r="C44318" s="8"/>
      <c r="D44318" s="8"/>
    </row>
    <row r="44319" spans="1:4" ht="15.75" customHeight="1">
      <c r="A44319" s="8"/>
      <c r="B44319" s="12"/>
      <c r="C44319" s="8"/>
      <c r="D44319" s="8"/>
    </row>
    <row r="44320" spans="1:4" ht="15.75" customHeight="1">
      <c r="A44320" s="8"/>
      <c r="B44320" s="12"/>
      <c r="C44320" s="8"/>
      <c r="D44320" s="8"/>
    </row>
    <row r="44321" spans="1:4" ht="15.75" customHeight="1">
      <c r="A44321" s="8"/>
      <c r="B44321" s="12"/>
      <c r="C44321" s="8"/>
      <c r="D44321" s="8"/>
    </row>
    <row r="44322" spans="1:4" ht="15.75" customHeight="1">
      <c r="A44322" s="8"/>
      <c r="B44322" s="12"/>
      <c r="C44322" s="8"/>
      <c r="D44322" s="8"/>
    </row>
    <row r="44323" spans="1:4" ht="15.75" customHeight="1">
      <c r="A44323" s="8"/>
      <c r="B44323" s="12"/>
      <c r="C44323" s="8"/>
      <c r="D44323" s="8"/>
    </row>
    <row r="44324" spans="1:4" ht="15.75" customHeight="1">
      <c r="A44324" s="8"/>
      <c r="B44324" s="12"/>
      <c r="C44324" s="8"/>
      <c r="D44324" s="8"/>
    </row>
    <row r="44325" spans="1:4" ht="15.75" customHeight="1">
      <c r="A44325" s="8"/>
      <c r="B44325" s="12"/>
      <c r="C44325" s="8"/>
      <c r="D44325" s="8"/>
    </row>
    <row r="44326" spans="1:4" ht="15.75" customHeight="1">
      <c r="A44326" s="8"/>
      <c r="B44326" s="12"/>
      <c r="C44326" s="8"/>
      <c r="D44326" s="8"/>
    </row>
    <row r="44327" spans="1:4" ht="15.75" customHeight="1">
      <c r="A44327" s="8"/>
      <c r="B44327" s="12"/>
      <c r="C44327" s="8"/>
      <c r="D44327" s="8"/>
    </row>
    <row r="44328" spans="1:4" ht="15.75" customHeight="1">
      <c r="A44328" s="8"/>
      <c r="B44328" s="12"/>
      <c r="C44328" s="8"/>
      <c r="D44328" s="8"/>
    </row>
    <row r="44329" spans="1:4" ht="15.75" customHeight="1">
      <c r="A44329" s="8"/>
      <c r="B44329" s="12"/>
      <c r="C44329" s="8"/>
      <c r="D44329" s="8"/>
    </row>
    <row r="44330" spans="1:4" ht="15.75" customHeight="1">
      <c r="A44330" s="8"/>
      <c r="B44330" s="12"/>
      <c r="C44330" s="8"/>
      <c r="D44330" s="8"/>
    </row>
    <row r="44331" spans="1:4" ht="15.75" customHeight="1">
      <c r="A44331" s="8"/>
      <c r="B44331" s="12"/>
      <c r="C44331" s="8"/>
      <c r="D44331" s="8"/>
    </row>
    <row r="44332" spans="1:4" ht="15.75" customHeight="1">
      <c r="A44332" s="8"/>
      <c r="B44332" s="12"/>
      <c r="C44332" s="8"/>
      <c r="D44332" s="8"/>
    </row>
    <row r="44333" spans="1:4" ht="15.75" customHeight="1">
      <c r="A44333" s="8"/>
      <c r="B44333" s="12"/>
      <c r="C44333" s="8"/>
      <c r="D44333" s="8"/>
    </row>
    <row r="44334" spans="1:4" ht="15.75" customHeight="1">
      <c r="A44334" s="8"/>
      <c r="B44334" s="12"/>
      <c r="C44334" s="8"/>
      <c r="D44334" s="8"/>
    </row>
    <row r="44335" spans="1:4" ht="15.75" customHeight="1">
      <c r="A44335" s="8"/>
      <c r="B44335" s="12"/>
      <c r="C44335" s="8"/>
      <c r="D44335" s="8"/>
    </row>
    <row r="44336" spans="1:4" ht="15.75" customHeight="1">
      <c r="A44336" s="8"/>
      <c r="B44336" s="12"/>
      <c r="C44336" s="8"/>
      <c r="D44336" s="8"/>
    </row>
    <row r="44337" spans="1:4" ht="15.75" customHeight="1">
      <c r="A44337" s="8"/>
      <c r="B44337" s="12"/>
      <c r="C44337" s="8"/>
      <c r="D44337" s="8"/>
    </row>
    <row r="44338" spans="1:4" ht="15.75" customHeight="1">
      <c r="A44338" s="8"/>
      <c r="B44338" s="12"/>
      <c r="C44338" s="8"/>
      <c r="D44338" s="8"/>
    </row>
    <row r="44339" spans="1:4" ht="15.75" customHeight="1">
      <c r="A44339" s="8"/>
      <c r="B44339" s="12"/>
      <c r="C44339" s="8"/>
      <c r="D44339" s="8"/>
    </row>
    <row r="44340" spans="1:4" ht="15.75" customHeight="1">
      <c r="A44340" s="8"/>
      <c r="B44340" s="12"/>
      <c r="C44340" s="8"/>
      <c r="D44340" s="8"/>
    </row>
    <row r="44341" spans="1:4" ht="15.75" customHeight="1">
      <c r="A44341" s="8"/>
      <c r="B44341" s="12"/>
      <c r="C44341" s="8"/>
      <c r="D44341" s="8"/>
    </row>
    <row r="44342" spans="1:4" ht="15.75" customHeight="1">
      <c r="A44342" s="8"/>
      <c r="B44342" s="12"/>
      <c r="C44342" s="8"/>
      <c r="D44342" s="8"/>
    </row>
    <row r="44343" spans="1:4" ht="15.75" customHeight="1">
      <c r="A44343" s="8"/>
      <c r="B44343" s="12"/>
      <c r="C44343" s="8"/>
      <c r="D44343" s="8"/>
    </row>
    <row r="44344" spans="1:4" ht="15.75" customHeight="1">
      <c r="A44344" s="8"/>
      <c r="B44344" s="12"/>
      <c r="C44344" s="8"/>
      <c r="D44344" s="8"/>
    </row>
    <row r="44345" spans="1:4" ht="15.75" customHeight="1">
      <c r="A44345" s="8"/>
      <c r="B44345" s="12"/>
      <c r="C44345" s="8"/>
      <c r="D44345" s="8"/>
    </row>
    <row r="44346" spans="1:4" ht="15.75" customHeight="1">
      <c r="A44346" s="8"/>
      <c r="B44346" s="12"/>
      <c r="C44346" s="8"/>
      <c r="D44346" s="8"/>
    </row>
    <row r="44347" spans="1:4" ht="15.75" customHeight="1">
      <c r="A44347" s="8"/>
      <c r="B44347" s="12"/>
      <c r="C44347" s="8"/>
      <c r="D44347" s="8"/>
    </row>
    <row r="44348" spans="1:4" ht="15.75" customHeight="1">
      <c r="A44348" s="8"/>
      <c r="B44348" s="12"/>
      <c r="C44348" s="8"/>
      <c r="D44348" s="8"/>
    </row>
    <row r="44349" spans="1:4" ht="15.75" customHeight="1">
      <c r="A44349" s="8"/>
      <c r="B44349" s="12"/>
      <c r="C44349" s="8"/>
      <c r="D44349" s="8"/>
    </row>
    <row r="44350" spans="1:4" ht="15.75" customHeight="1">
      <c r="A44350" s="8"/>
      <c r="B44350" s="12"/>
      <c r="C44350" s="8"/>
      <c r="D44350" s="8"/>
    </row>
    <row r="44351" spans="1:4" ht="15.75" customHeight="1">
      <c r="A44351" s="8"/>
      <c r="B44351" s="12"/>
      <c r="C44351" s="8"/>
      <c r="D44351" s="8"/>
    </row>
    <row r="44352" spans="1:4" ht="15.75" customHeight="1">
      <c r="A44352" s="8"/>
      <c r="B44352" s="12"/>
      <c r="C44352" s="8"/>
      <c r="D44352" s="8"/>
    </row>
    <row r="44353" spans="1:4" ht="15.75" customHeight="1">
      <c r="A44353" s="8"/>
      <c r="B44353" s="12"/>
      <c r="C44353" s="8"/>
      <c r="D44353" s="8"/>
    </row>
    <row r="44354" spans="1:4" ht="15.75" customHeight="1">
      <c r="A44354" s="8"/>
      <c r="B44354" s="12"/>
      <c r="C44354" s="8"/>
      <c r="D44354" s="8"/>
    </row>
    <row r="44355" spans="1:4" ht="15.75" customHeight="1">
      <c r="A44355" s="8"/>
      <c r="B44355" s="12"/>
      <c r="C44355" s="8"/>
      <c r="D44355" s="8"/>
    </row>
    <row r="44356" spans="1:4" ht="15.75" customHeight="1">
      <c r="A44356" s="8"/>
      <c r="B44356" s="12"/>
      <c r="C44356" s="8"/>
      <c r="D44356" s="8"/>
    </row>
    <row r="44357" spans="1:4" ht="15.75" customHeight="1">
      <c r="A44357" s="8"/>
      <c r="B44357" s="12"/>
      <c r="C44357" s="8"/>
      <c r="D44357" s="8"/>
    </row>
    <row r="44358" spans="1:4" ht="15.75" customHeight="1">
      <c r="A44358" s="8"/>
      <c r="B44358" s="12"/>
      <c r="C44358" s="8"/>
      <c r="D44358" s="8"/>
    </row>
    <row r="44359" spans="1:4" ht="15.75" customHeight="1">
      <c r="A44359" s="8"/>
      <c r="B44359" s="12"/>
      <c r="C44359" s="8"/>
      <c r="D44359" s="8"/>
    </row>
    <row r="44360" spans="1:4" ht="15.75" customHeight="1">
      <c r="A44360" s="8"/>
      <c r="B44360" s="12"/>
      <c r="C44360" s="8"/>
      <c r="D44360" s="8"/>
    </row>
    <row r="44361" spans="1:4" ht="15.75" customHeight="1">
      <c r="A44361" s="8"/>
      <c r="B44361" s="12"/>
      <c r="C44361" s="8"/>
      <c r="D44361" s="8"/>
    </row>
    <row r="44362" spans="1:4" ht="15.75" customHeight="1">
      <c r="A44362" s="8"/>
      <c r="B44362" s="12"/>
      <c r="C44362" s="8"/>
      <c r="D44362" s="8"/>
    </row>
    <row r="44363" spans="1:4" ht="15.75" customHeight="1">
      <c r="A44363" s="8"/>
      <c r="B44363" s="12"/>
      <c r="C44363" s="8"/>
      <c r="D44363" s="8"/>
    </row>
    <row r="44364" spans="1:4" ht="15.75" customHeight="1">
      <c r="A44364" s="8"/>
      <c r="B44364" s="12"/>
      <c r="C44364" s="8"/>
      <c r="D44364" s="8"/>
    </row>
    <row r="44365" spans="1:4" ht="15.75" customHeight="1">
      <c r="A44365" s="8"/>
      <c r="B44365" s="12"/>
      <c r="C44365" s="8"/>
      <c r="D44365" s="8"/>
    </row>
    <row r="44366" spans="1:4" ht="15.75" customHeight="1">
      <c r="A44366" s="8"/>
      <c r="B44366" s="12"/>
      <c r="C44366" s="8"/>
      <c r="D44366" s="8"/>
    </row>
    <row r="44367" spans="1:4" ht="15.75" customHeight="1">
      <c r="A44367" s="8"/>
      <c r="B44367" s="12"/>
      <c r="C44367" s="8"/>
      <c r="D44367" s="8"/>
    </row>
    <row r="44368" spans="1:4" ht="15.75" customHeight="1">
      <c r="A44368" s="8"/>
      <c r="B44368" s="12"/>
      <c r="C44368" s="8"/>
      <c r="D44368" s="8"/>
    </row>
    <row r="44369" spans="1:4" ht="15.75" customHeight="1">
      <c r="A44369" s="8"/>
      <c r="B44369" s="12"/>
      <c r="C44369" s="8"/>
      <c r="D44369" s="8"/>
    </row>
    <row r="44370" spans="1:4" ht="15.75" customHeight="1">
      <c r="A44370" s="8"/>
      <c r="B44370" s="12"/>
      <c r="C44370" s="8"/>
      <c r="D44370" s="8"/>
    </row>
    <row r="44371" spans="1:4" ht="15.75" customHeight="1">
      <c r="A44371" s="8"/>
      <c r="B44371" s="12"/>
      <c r="C44371" s="8"/>
      <c r="D44371" s="8"/>
    </row>
    <row r="44372" spans="1:4" ht="15.75" customHeight="1">
      <c r="A44372" s="8"/>
      <c r="B44372" s="12"/>
      <c r="C44372" s="8"/>
      <c r="D44372" s="8"/>
    </row>
    <row r="44373" spans="1:4" ht="15.75" customHeight="1">
      <c r="A44373" s="8"/>
      <c r="B44373" s="12"/>
      <c r="C44373" s="8"/>
      <c r="D44373" s="8"/>
    </row>
    <row r="44374" spans="1:4" ht="15.75" customHeight="1">
      <c r="A44374" s="8"/>
      <c r="B44374" s="12"/>
      <c r="C44374" s="8"/>
      <c r="D44374" s="8"/>
    </row>
    <row r="44375" spans="1:4" ht="15.75" customHeight="1">
      <c r="A44375" s="8"/>
      <c r="B44375" s="12"/>
      <c r="C44375" s="8"/>
      <c r="D44375" s="8"/>
    </row>
    <row r="44376" spans="1:4" ht="15.75" customHeight="1">
      <c r="A44376" s="8"/>
      <c r="B44376" s="12"/>
      <c r="C44376" s="8"/>
      <c r="D44376" s="8"/>
    </row>
    <row r="44377" spans="1:4" ht="15.75" customHeight="1">
      <c r="A44377" s="8"/>
      <c r="B44377" s="12"/>
      <c r="C44377" s="8"/>
      <c r="D44377" s="8"/>
    </row>
    <row r="44378" spans="1:4" ht="15.75" customHeight="1">
      <c r="A44378" s="8"/>
      <c r="B44378" s="12"/>
      <c r="C44378" s="8"/>
      <c r="D44378" s="8"/>
    </row>
    <row r="44379" spans="1:4" ht="15.75" customHeight="1">
      <c r="A44379" s="8"/>
      <c r="B44379" s="12"/>
      <c r="C44379" s="8"/>
      <c r="D44379" s="8"/>
    </row>
    <row r="44380" spans="1:4" ht="15.75" customHeight="1">
      <c r="A44380" s="8"/>
      <c r="B44380" s="12"/>
      <c r="C44380" s="8"/>
      <c r="D44380" s="8"/>
    </row>
    <row r="44381" spans="1:4" ht="15.75" customHeight="1">
      <c r="A44381" s="8"/>
      <c r="B44381" s="12"/>
      <c r="C44381" s="8"/>
      <c r="D44381" s="8"/>
    </row>
    <row r="44382" spans="1:4" ht="15.75" customHeight="1">
      <c r="A44382" s="8"/>
      <c r="B44382" s="12"/>
      <c r="C44382" s="8"/>
      <c r="D44382" s="8"/>
    </row>
    <row r="44383" spans="1:4" ht="15.75" customHeight="1">
      <c r="A44383" s="8"/>
      <c r="B44383" s="12"/>
      <c r="C44383" s="8"/>
      <c r="D44383" s="8"/>
    </row>
    <row r="44384" spans="1:4" ht="15.75" customHeight="1">
      <c r="A44384" s="8"/>
      <c r="B44384" s="12"/>
      <c r="C44384" s="8"/>
      <c r="D44384" s="8"/>
    </row>
    <row r="44385" spans="1:4" ht="15.75" customHeight="1">
      <c r="A44385" s="8"/>
      <c r="B44385" s="12"/>
      <c r="C44385" s="8"/>
      <c r="D44385" s="8"/>
    </row>
    <row r="44386" spans="1:4" ht="15.75" customHeight="1">
      <c r="A44386" s="8"/>
      <c r="B44386" s="12"/>
      <c r="C44386" s="8"/>
      <c r="D44386" s="8"/>
    </row>
    <row r="44387" spans="1:4" ht="15.75" customHeight="1">
      <c r="A44387" s="8"/>
      <c r="B44387" s="12"/>
      <c r="C44387" s="8"/>
      <c r="D44387" s="8"/>
    </row>
    <row r="44388" spans="1:4" ht="15.75" customHeight="1">
      <c r="A44388" s="8"/>
      <c r="B44388" s="12"/>
      <c r="C44388" s="8"/>
      <c r="D44388" s="8"/>
    </row>
    <row r="44389" spans="1:4" ht="15.75" customHeight="1">
      <c r="A44389" s="8"/>
      <c r="B44389" s="12"/>
      <c r="C44389" s="8"/>
      <c r="D44389" s="8"/>
    </row>
    <row r="44390" spans="1:4" ht="15.75" customHeight="1">
      <c r="A44390" s="8"/>
      <c r="B44390" s="12"/>
      <c r="C44390" s="8"/>
      <c r="D44390" s="8"/>
    </row>
    <row r="44391" spans="1:4" ht="15.75" customHeight="1">
      <c r="A44391" s="8"/>
      <c r="B44391" s="12"/>
      <c r="C44391" s="8"/>
      <c r="D44391" s="8"/>
    </row>
    <row r="44392" spans="1:4" ht="15.75" customHeight="1">
      <c r="A44392" s="8"/>
      <c r="B44392" s="12"/>
      <c r="C44392" s="8"/>
      <c r="D44392" s="8"/>
    </row>
    <row r="44393" spans="1:4" ht="15.75" customHeight="1">
      <c r="A44393" s="8"/>
      <c r="B44393" s="12"/>
      <c r="C44393" s="8"/>
      <c r="D44393" s="8"/>
    </row>
    <row r="44394" spans="1:4" ht="15.75" customHeight="1">
      <c r="A44394" s="8"/>
      <c r="B44394" s="12"/>
      <c r="C44394" s="8"/>
      <c r="D44394" s="8"/>
    </row>
    <row r="44395" spans="1:4" ht="15.75" customHeight="1">
      <c r="A44395" s="8"/>
      <c r="B44395" s="12"/>
      <c r="C44395" s="8"/>
      <c r="D44395" s="8"/>
    </row>
    <row r="44396" spans="1:4" ht="15.75" customHeight="1">
      <c r="A44396" s="8"/>
      <c r="B44396" s="12"/>
      <c r="C44396" s="8"/>
      <c r="D44396" s="8"/>
    </row>
    <row r="44397" spans="1:4" ht="15.75" customHeight="1">
      <c r="A44397" s="8"/>
      <c r="B44397" s="12"/>
      <c r="C44397" s="8"/>
      <c r="D44397" s="8"/>
    </row>
    <row r="44398" spans="1:4" ht="15.75" customHeight="1">
      <c r="A44398" s="8"/>
      <c r="B44398" s="12"/>
      <c r="C44398" s="8"/>
      <c r="D44398" s="8"/>
    </row>
    <row r="44399" spans="1:4" ht="15.75" customHeight="1">
      <c r="A44399" s="8"/>
      <c r="B44399" s="12"/>
      <c r="C44399" s="8"/>
      <c r="D44399" s="8"/>
    </row>
    <row r="44400" spans="1:4" ht="15.75" customHeight="1">
      <c r="A44400" s="8"/>
      <c r="B44400" s="12"/>
      <c r="C44400" s="8"/>
      <c r="D44400" s="8"/>
    </row>
    <row r="44401" spans="1:4" ht="15.75" customHeight="1">
      <c r="A44401" s="8"/>
      <c r="B44401" s="12"/>
      <c r="C44401" s="8"/>
      <c r="D44401" s="8"/>
    </row>
    <row r="44402" spans="1:4" ht="15.75" customHeight="1">
      <c r="A44402" s="8"/>
      <c r="B44402" s="12"/>
      <c r="C44402" s="8"/>
      <c r="D44402" s="8"/>
    </row>
    <row r="44403" spans="1:4" ht="15.75" customHeight="1">
      <c r="A44403" s="8"/>
      <c r="B44403" s="12"/>
      <c r="C44403" s="8"/>
      <c r="D44403" s="8"/>
    </row>
    <row r="44404" spans="1:4" ht="15.75" customHeight="1">
      <c r="A44404" s="8"/>
      <c r="B44404" s="12"/>
      <c r="C44404" s="8"/>
      <c r="D44404" s="8"/>
    </row>
    <row r="44405" spans="1:4" ht="15.75" customHeight="1">
      <c r="A44405" s="8"/>
      <c r="B44405" s="12"/>
      <c r="C44405" s="8"/>
      <c r="D44405" s="8"/>
    </row>
    <row r="44406" spans="1:4" ht="15.75" customHeight="1">
      <c r="A44406" s="8"/>
      <c r="B44406" s="12"/>
      <c r="C44406" s="8"/>
      <c r="D44406" s="8"/>
    </row>
    <row r="44407" spans="1:4" ht="15.75" customHeight="1">
      <c r="A44407" s="8"/>
      <c r="B44407" s="12"/>
      <c r="C44407" s="8"/>
      <c r="D44407" s="8"/>
    </row>
    <row r="44408" spans="1:4" ht="15.75" customHeight="1">
      <c r="A44408" s="8"/>
      <c r="B44408" s="12"/>
      <c r="C44408" s="8"/>
      <c r="D44408" s="8"/>
    </row>
    <row r="44409" spans="1:4" ht="15.75" customHeight="1">
      <c r="A44409" s="8"/>
      <c r="B44409" s="12"/>
      <c r="C44409" s="8"/>
      <c r="D44409" s="8"/>
    </row>
    <row r="44410" spans="1:4" ht="15.75" customHeight="1">
      <c r="A44410" s="8"/>
      <c r="B44410" s="12"/>
      <c r="C44410" s="8"/>
      <c r="D44410" s="8"/>
    </row>
    <row r="44411" spans="1:4" ht="15.75" customHeight="1">
      <c r="A44411" s="8"/>
      <c r="B44411" s="12"/>
      <c r="C44411" s="8"/>
      <c r="D44411" s="8"/>
    </row>
    <row r="44412" spans="1:4" ht="15.75" customHeight="1">
      <c r="A44412" s="8"/>
      <c r="B44412" s="12"/>
      <c r="C44412" s="8"/>
      <c r="D44412" s="8"/>
    </row>
    <row r="44413" spans="1:4" ht="15.75" customHeight="1">
      <c r="A44413" s="8"/>
      <c r="B44413" s="12"/>
      <c r="C44413" s="8"/>
      <c r="D44413" s="8"/>
    </row>
    <row r="44414" spans="1:4" ht="15.75" customHeight="1">
      <c r="A44414" s="8"/>
      <c r="B44414" s="12"/>
      <c r="C44414" s="8"/>
      <c r="D44414" s="8"/>
    </row>
    <row r="44415" spans="1:4" ht="15.75" customHeight="1">
      <c r="A44415" s="8"/>
      <c r="B44415" s="12"/>
      <c r="C44415" s="8"/>
      <c r="D44415" s="8"/>
    </row>
    <row r="44416" spans="1:4" ht="15.75" customHeight="1">
      <c r="A44416" s="8"/>
      <c r="B44416" s="12"/>
      <c r="C44416" s="8"/>
      <c r="D44416" s="8"/>
    </row>
    <row r="44417" spans="1:4" ht="15.75" customHeight="1">
      <c r="A44417" s="8"/>
      <c r="B44417" s="12"/>
      <c r="C44417" s="8"/>
      <c r="D44417" s="8"/>
    </row>
    <row r="44418" spans="1:4" ht="15.75" customHeight="1">
      <c r="A44418" s="8"/>
      <c r="B44418" s="12"/>
      <c r="C44418" s="8"/>
      <c r="D44418" s="8"/>
    </row>
    <row r="44419" spans="1:4" ht="15.75" customHeight="1">
      <c r="A44419" s="8"/>
      <c r="B44419" s="12"/>
      <c r="C44419" s="8"/>
      <c r="D44419" s="8"/>
    </row>
    <row r="44420" spans="1:4" ht="15.75" customHeight="1">
      <c r="A44420" s="8"/>
      <c r="B44420" s="12"/>
      <c r="C44420" s="8"/>
      <c r="D44420" s="8"/>
    </row>
    <row r="44421" spans="1:4" ht="15.75" customHeight="1">
      <c r="A44421" s="8"/>
      <c r="B44421" s="12"/>
      <c r="C44421" s="8"/>
      <c r="D44421" s="8"/>
    </row>
    <row r="44422" spans="1:4" ht="15.75" customHeight="1">
      <c r="A44422" s="8"/>
      <c r="B44422" s="12"/>
      <c r="C44422" s="8"/>
      <c r="D44422" s="8"/>
    </row>
    <row r="44423" spans="1:4" ht="15.75" customHeight="1">
      <c r="A44423" s="8"/>
      <c r="B44423" s="12"/>
      <c r="C44423" s="8"/>
      <c r="D44423" s="8"/>
    </row>
    <row r="44424" spans="1:4" ht="15.75" customHeight="1">
      <c r="A44424" s="8"/>
      <c r="B44424" s="12"/>
      <c r="C44424" s="8"/>
      <c r="D44424" s="8"/>
    </row>
    <row r="44425" spans="1:4" ht="15.75" customHeight="1">
      <c r="A44425" s="8"/>
      <c r="B44425" s="12"/>
      <c r="C44425" s="8"/>
      <c r="D44425" s="8"/>
    </row>
    <row r="44426" spans="1:4" ht="15.75" customHeight="1">
      <c r="A44426" s="8"/>
      <c r="B44426" s="12"/>
      <c r="C44426" s="8"/>
      <c r="D44426" s="8"/>
    </row>
    <row r="44427" spans="1:4" ht="15.75" customHeight="1">
      <c r="A44427" s="8"/>
      <c r="B44427" s="12"/>
      <c r="C44427" s="8"/>
      <c r="D44427" s="8"/>
    </row>
    <row r="44428" spans="1:4" ht="15.75" customHeight="1">
      <c r="A44428" s="8"/>
      <c r="B44428" s="12"/>
      <c r="C44428" s="8"/>
      <c r="D44428" s="8"/>
    </row>
    <row r="44429" spans="1:4" ht="15.75" customHeight="1">
      <c r="A44429" s="8"/>
      <c r="B44429" s="12"/>
      <c r="C44429" s="8"/>
      <c r="D44429" s="8"/>
    </row>
    <row r="44430" spans="1:4" ht="15.75" customHeight="1">
      <c r="A44430" s="8"/>
      <c r="B44430" s="12"/>
      <c r="C44430" s="8"/>
      <c r="D44430" s="8"/>
    </row>
    <row r="44431" spans="1:4" ht="15.75" customHeight="1">
      <c r="A44431" s="8"/>
      <c r="B44431" s="12"/>
      <c r="C44431" s="8"/>
      <c r="D44431" s="8"/>
    </row>
    <row r="44432" spans="1:4" ht="15.75" customHeight="1">
      <c r="A44432" s="8"/>
      <c r="B44432" s="12"/>
      <c r="C44432" s="8"/>
      <c r="D44432" s="8"/>
    </row>
    <row r="44433" spans="1:4" ht="15.75" customHeight="1">
      <c r="A44433" s="8"/>
      <c r="B44433" s="12"/>
      <c r="C44433" s="8"/>
      <c r="D44433" s="8"/>
    </row>
    <row r="44434" spans="1:4" ht="15.75" customHeight="1">
      <c r="A44434" s="8"/>
      <c r="B44434" s="12"/>
      <c r="C44434" s="8"/>
      <c r="D44434" s="8"/>
    </row>
    <row r="44435" spans="1:4" ht="15.75" customHeight="1">
      <c r="A44435" s="8"/>
      <c r="B44435" s="12"/>
      <c r="C44435" s="8"/>
      <c r="D44435" s="8"/>
    </row>
    <row r="44436" spans="1:4" ht="15.75" customHeight="1">
      <c r="A44436" s="8"/>
      <c r="B44436" s="12"/>
      <c r="C44436" s="8"/>
      <c r="D44436" s="8"/>
    </row>
    <row r="44437" spans="1:4" ht="15.75" customHeight="1">
      <c r="A44437" s="8"/>
      <c r="B44437" s="12"/>
      <c r="C44437" s="8"/>
      <c r="D44437" s="8"/>
    </row>
    <row r="44438" spans="1:4" ht="15.75" customHeight="1">
      <c r="A44438" s="8"/>
      <c r="B44438" s="12"/>
      <c r="C44438" s="8"/>
      <c r="D44438" s="8"/>
    </row>
    <row r="44439" spans="1:4" ht="15.75" customHeight="1">
      <c r="A44439" s="8"/>
      <c r="B44439" s="12"/>
      <c r="C44439" s="8"/>
      <c r="D44439" s="8"/>
    </row>
    <row r="44440" spans="1:4" ht="15.75" customHeight="1">
      <c r="A44440" s="8"/>
      <c r="B44440" s="12"/>
      <c r="C44440" s="8"/>
      <c r="D44440" s="8"/>
    </row>
    <row r="44441" spans="1:4" ht="15.75" customHeight="1">
      <c r="A44441" s="8"/>
      <c r="B44441" s="12"/>
      <c r="C44441" s="8"/>
      <c r="D44441" s="8"/>
    </row>
    <row r="44442" spans="1:4" ht="15.75" customHeight="1">
      <c r="A44442" s="8"/>
      <c r="B44442" s="12"/>
      <c r="C44442" s="8"/>
      <c r="D44442" s="8"/>
    </row>
    <row r="44443" spans="1:4" ht="15.75" customHeight="1">
      <c r="A44443" s="8"/>
      <c r="B44443" s="12"/>
      <c r="C44443" s="8"/>
      <c r="D44443" s="8"/>
    </row>
    <row r="44444" spans="1:4" ht="15.75" customHeight="1">
      <c r="A44444" s="8"/>
      <c r="B44444" s="12"/>
      <c r="C44444" s="8"/>
      <c r="D44444" s="8"/>
    </row>
    <row r="44445" spans="1:4" ht="15.75" customHeight="1">
      <c r="A44445" s="8"/>
      <c r="B44445" s="12"/>
      <c r="C44445" s="8"/>
      <c r="D44445" s="8"/>
    </row>
    <row r="44446" spans="1:4" ht="15.75" customHeight="1">
      <c r="A44446" s="8"/>
      <c r="B44446" s="12"/>
      <c r="C44446" s="8"/>
      <c r="D44446" s="8"/>
    </row>
    <row r="44447" spans="1:4" ht="15.75" customHeight="1">
      <c r="A44447" s="8"/>
      <c r="B44447" s="12"/>
      <c r="C44447" s="8"/>
      <c r="D44447" s="8"/>
    </row>
    <row r="44448" spans="1:4" ht="15.75" customHeight="1">
      <c r="A44448" s="8"/>
      <c r="B44448" s="12"/>
      <c r="C44448" s="8"/>
      <c r="D44448" s="8"/>
    </row>
    <row r="44449" spans="1:4" ht="15.75" customHeight="1">
      <c r="A44449" s="8"/>
      <c r="B44449" s="12"/>
      <c r="C44449" s="8"/>
      <c r="D44449" s="8"/>
    </row>
    <row r="44450" spans="1:4" ht="15.75" customHeight="1">
      <c r="A44450" s="8"/>
      <c r="B44450" s="12"/>
      <c r="C44450" s="8"/>
      <c r="D44450" s="8"/>
    </row>
    <row r="44451" spans="1:4" ht="15.75" customHeight="1">
      <c r="A44451" s="8"/>
      <c r="B44451" s="12"/>
      <c r="C44451" s="8"/>
      <c r="D44451" s="8"/>
    </row>
    <row r="44452" spans="1:4" ht="15.75" customHeight="1">
      <c r="A44452" s="8"/>
      <c r="B44452" s="12"/>
      <c r="C44452" s="8"/>
      <c r="D44452" s="8"/>
    </row>
    <row r="44453" spans="1:4" ht="15.75" customHeight="1">
      <c r="A44453" s="8"/>
      <c r="B44453" s="12"/>
      <c r="C44453" s="8"/>
      <c r="D44453" s="8"/>
    </row>
    <row r="44454" spans="1:4" ht="15.75" customHeight="1">
      <c r="A44454" s="8"/>
      <c r="B44454" s="12"/>
      <c r="C44454" s="8"/>
      <c r="D44454" s="8"/>
    </row>
    <row r="44455" spans="1:4" ht="15.75" customHeight="1">
      <c r="A44455" s="8"/>
      <c r="B44455" s="12"/>
      <c r="C44455" s="8"/>
      <c r="D44455" s="8"/>
    </row>
    <row r="44456" spans="1:4" ht="15.75" customHeight="1">
      <c r="A44456" s="8"/>
      <c r="B44456" s="12"/>
      <c r="C44456" s="8"/>
      <c r="D44456" s="8"/>
    </row>
    <row r="44457" spans="1:4" ht="15.75" customHeight="1">
      <c r="A44457" s="8"/>
      <c r="B44457" s="12"/>
      <c r="C44457" s="8"/>
      <c r="D44457" s="8"/>
    </row>
    <row r="44458" spans="1:4" ht="15.75" customHeight="1">
      <c r="A44458" s="8"/>
      <c r="B44458" s="12"/>
      <c r="C44458" s="8"/>
      <c r="D44458" s="8"/>
    </row>
    <row r="44459" spans="1:4" ht="15.75" customHeight="1">
      <c r="A44459" s="8"/>
      <c r="B44459" s="12"/>
      <c r="C44459" s="8"/>
      <c r="D44459" s="8"/>
    </row>
    <row r="44460" spans="1:4" ht="15.75" customHeight="1">
      <c r="A44460" s="8"/>
      <c r="B44460" s="12"/>
      <c r="C44460" s="8"/>
      <c r="D44460" s="8"/>
    </row>
    <row r="44461" spans="1:4" ht="15.75" customHeight="1">
      <c r="A44461" s="8"/>
      <c r="B44461" s="12"/>
      <c r="C44461" s="8"/>
      <c r="D44461" s="8"/>
    </row>
    <row r="44462" spans="1:4" ht="15.75" customHeight="1">
      <c r="A44462" s="8"/>
      <c r="B44462" s="12"/>
      <c r="C44462" s="8"/>
      <c r="D44462" s="8"/>
    </row>
    <row r="44463" spans="1:4" ht="15.75" customHeight="1">
      <c r="A44463" s="8"/>
      <c r="B44463" s="12"/>
      <c r="C44463" s="8"/>
      <c r="D44463" s="8"/>
    </row>
    <row r="44464" spans="1:4" ht="15.75" customHeight="1">
      <c r="A44464" s="8"/>
      <c r="B44464" s="12"/>
      <c r="C44464" s="8"/>
      <c r="D44464" s="8"/>
    </row>
    <row r="44465" spans="1:4" ht="15.75" customHeight="1">
      <c r="A44465" s="8"/>
      <c r="B44465" s="12"/>
      <c r="C44465" s="8"/>
      <c r="D44465" s="8"/>
    </row>
    <row r="44466" spans="1:4" ht="15.75" customHeight="1">
      <c r="A44466" s="8"/>
      <c r="B44466" s="12"/>
      <c r="C44466" s="8"/>
      <c r="D44466" s="8"/>
    </row>
    <row r="44467" spans="1:4" ht="15.75" customHeight="1">
      <c r="A44467" s="8"/>
      <c r="B44467" s="12"/>
      <c r="C44467" s="8"/>
      <c r="D44467" s="8"/>
    </row>
    <row r="44468" spans="1:4" ht="15.75" customHeight="1">
      <c r="A44468" s="8"/>
      <c r="B44468" s="12"/>
      <c r="C44468" s="8"/>
      <c r="D44468" s="8"/>
    </row>
    <row r="44469" spans="1:4" ht="15.75" customHeight="1">
      <c r="A44469" s="8"/>
      <c r="B44469" s="12"/>
      <c r="C44469" s="8"/>
      <c r="D44469" s="8"/>
    </row>
    <row r="44470" spans="1:4" ht="15.75" customHeight="1">
      <c r="A44470" s="8"/>
      <c r="B44470" s="12"/>
      <c r="C44470" s="8"/>
      <c r="D44470" s="8"/>
    </row>
    <row r="44471" spans="1:4" ht="15.75" customHeight="1">
      <c r="A44471" s="8"/>
      <c r="B44471" s="12"/>
      <c r="C44471" s="8"/>
      <c r="D44471" s="8"/>
    </row>
    <row r="44472" spans="1:4" ht="15.75" customHeight="1">
      <c r="A44472" s="8"/>
      <c r="B44472" s="12"/>
      <c r="C44472" s="8"/>
      <c r="D44472" s="8"/>
    </row>
    <row r="44473" spans="1:4" ht="15.75" customHeight="1">
      <c r="A44473" s="8"/>
      <c r="B44473" s="12"/>
      <c r="C44473" s="8"/>
      <c r="D44473" s="8"/>
    </row>
    <row r="44474" spans="1:4" ht="15.75" customHeight="1">
      <c r="A44474" s="8"/>
      <c r="B44474" s="12"/>
      <c r="C44474" s="8"/>
      <c r="D44474" s="8"/>
    </row>
    <row r="44475" spans="1:4" ht="15.75" customHeight="1">
      <c r="A44475" s="8"/>
      <c r="B44475" s="12"/>
      <c r="C44475" s="8"/>
      <c r="D44475" s="8"/>
    </row>
    <row r="44476" spans="1:4" ht="15.75" customHeight="1">
      <c r="A44476" s="8"/>
      <c r="B44476" s="12"/>
      <c r="C44476" s="8"/>
      <c r="D44476" s="8"/>
    </row>
    <row r="44477" spans="1:4" ht="15.75" customHeight="1">
      <c r="A44477" s="8"/>
      <c r="B44477" s="12"/>
      <c r="C44477" s="8"/>
      <c r="D44477" s="8"/>
    </row>
    <row r="44478" spans="1:4" ht="15.75" customHeight="1">
      <c r="A44478" s="8"/>
      <c r="B44478" s="12"/>
      <c r="C44478" s="8"/>
      <c r="D44478" s="8"/>
    </row>
    <row r="44479" spans="1:4" ht="15.75" customHeight="1">
      <c r="A44479" s="8"/>
      <c r="B44479" s="12"/>
      <c r="C44479" s="8"/>
      <c r="D44479" s="8"/>
    </row>
    <row r="44480" spans="1:4" ht="15.75" customHeight="1">
      <c r="A44480" s="8"/>
      <c r="B44480" s="12"/>
      <c r="C44480" s="8"/>
      <c r="D44480" s="8"/>
    </row>
    <row r="44481" spans="1:4" ht="15.75" customHeight="1">
      <c r="A44481" s="8"/>
      <c r="B44481" s="12"/>
      <c r="C44481" s="8"/>
      <c r="D44481" s="8"/>
    </row>
    <row r="44482" spans="1:4" ht="15.75" customHeight="1">
      <c r="A44482" s="8"/>
      <c r="B44482" s="12"/>
      <c r="C44482" s="8"/>
      <c r="D44482" s="8"/>
    </row>
    <row r="44483" spans="1:4" ht="15.75" customHeight="1">
      <c r="A44483" s="8"/>
      <c r="B44483" s="12"/>
      <c r="C44483" s="8"/>
      <c r="D44483" s="8"/>
    </row>
    <row r="44484" spans="1:4" ht="15.75" customHeight="1">
      <c r="A44484" s="8"/>
      <c r="B44484" s="12"/>
      <c r="C44484" s="8"/>
      <c r="D44484" s="8"/>
    </row>
    <row r="44485" spans="1:4" ht="15.75" customHeight="1">
      <c r="A44485" s="8"/>
      <c r="B44485" s="12"/>
      <c r="C44485" s="8"/>
      <c r="D44485" s="8"/>
    </row>
    <row r="44486" spans="1:4" ht="15.75" customHeight="1">
      <c r="A44486" s="8"/>
      <c r="B44486" s="12"/>
      <c r="C44486" s="8"/>
      <c r="D44486" s="8"/>
    </row>
    <row r="44487" spans="1:4" ht="15.75" customHeight="1">
      <c r="A44487" s="8"/>
      <c r="B44487" s="12"/>
      <c r="C44487" s="8"/>
      <c r="D44487" s="8"/>
    </row>
    <row r="44488" spans="1:4" ht="15.75" customHeight="1">
      <c r="A44488" s="8"/>
      <c r="B44488" s="12"/>
      <c r="C44488" s="8"/>
      <c r="D44488" s="8"/>
    </row>
    <row r="44489" spans="1:4" ht="15.75" customHeight="1">
      <c r="A44489" s="8"/>
      <c r="B44489" s="12"/>
      <c r="C44489" s="8"/>
      <c r="D44489" s="8"/>
    </row>
    <row r="44490" spans="1:4" ht="15.75" customHeight="1">
      <c r="A44490" s="8"/>
      <c r="B44490" s="12"/>
      <c r="C44490" s="8"/>
      <c r="D44490" s="8"/>
    </row>
    <row r="44491" spans="1:4" ht="15.75" customHeight="1">
      <c r="A44491" s="8"/>
      <c r="B44491" s="12"/>
      <c r="C44491" s="8"/>
      <c r="D44491" s="8"/>
    </row>
    <row r="44492" spans="1:4" ht="15.75" customHeight="1">
      <c r="A44492" s="8"/>
      <c r="B44492" s="12"/>
      <c r="C44492" s="8"/>
      <c r="D44492" s="8"/>
    </row>
    <row r="44493" spans="1:4" ht="15.75" customHeight="1">
      <c r="A44493" s="8"/>
      <c r="B44493" s="12"/>
      <c r="C44493" s="8"/>
      <c r="D44493" s="8"/>
    </row>
    <row r="44494" spans="1:4" ht="15.75" customHeight="1">
      <c r="A44494" s="8"/>
      <c r="B44494" s="12"/>
      <c r="C44494" s="8"/>
      <c r="D44494" s="8"/>
    </row>
    <row r="44495" spans="1:4" ht="15.75" customHeight="1">
      <c r="A44495" s="8"/>
      <c r="B44495" s="12"/>
      <c r="C44495" s="8"/>
      <c r="D44495" s="8"/>
    </row>
    <row r="44496" spans="1:4" ht="15.75" customHeight="1">
      <c r="A44496" s="8"/>
      <c r="B44496" s="12"/>
      <c r="C44496" s="8"/>
      <c r="D44496" s="8"/>
    </row>
    <row r="44497" spans="1:4" ht="15.75" customHeight="1">
      <c r="A44497" s="8"/>
      <c r="B44497" s="12"/>
      <c r="C44497" s="8"/>
      <c r="D44497" s="8"/>
    </row>
    <row r="44498" spans="1:4" ht="15.75" customHeight="1">
      <c r="A44498" s="8"/>
      <c r="B44498" s="12"/>
      <c r="C44498" s="8"/>
      <c r="D44498" s="8"/>
    </row>
    <row r="44499" spans="1:4" ht="15.75" customHeight="1">
      <c r="A44499" s="8"/>
      <c r="B44499" s="12"/>
      <c r="C44499" s="8"/>
      <c r="D44499" s="8"/>
    </row>
    <row r="44500" spans="1:4" ht="15.75" customHeight="1">
      <c r="A44500" s="8"/>
      <c r="B44500" s="12"/>
      <c r="C44500" s="8"/>
      <c r="D44500" s="8"/>
    </row>
    <row r="44501" spans="1:4" ht="15.75" customHeight="1">
      <c r="A44501" s="8"/>
      <c r="B44501" s="12"/>
      <c r="C44501" s="8"/>
      <c r="D44501" s="8"/>
    </row>
    <row r="44502" spans="1:4" ht="15.75" customHeight="1">
      <c r="A44502" s="8"/>
      <c r="B44502" s="12"/>
      <c r="C44502" s="8"/>
      <c r="D44502" s="8"/>
    </row>
    <row r="44503" spans="1:4" ht="15.75" customHeight="1">
      <c r="A44503" s="8"/>
      <c r="B44503" s="12"/>
      <c r="C44503" s="8"/>
      <c r="D44503" s="8"/>
    </row>
    <row r="44504" spans="1:4" ht="15.75" customHeight="1">
      <c r="A44504" s="8"/>
      <c r="B44504" s="12"/>
      <c r="C44504" s="8"/>
      <c r="D44504" s="8"/>
    </row>
    <row r="44505" spans="1:4" ht="15.75" customHeight="1">
      <c r="A44505" s="8"/>
      <c r="B44505" s="12"/>
      <c r="C44505" s="8"/>
      <c r="D44505" s="8"/>
    </row>
    <row r="44506" spans="1:4" ht="15.75" customHeight="1">
      <c r="A44506" s="8"/>
      <c r="B44506" s="12"/>
      <c r="C44506" s="8"/>
      <c r="D44506" s="8"/>
    </row>
    <row r="44507" spans="1:4" ht="15.75" customHeight="1">
      <c r="A44507" s="8"/>
      <c r="B44507" s="12"/>
      <c r="C44507" s="8"/>
      <c r="D44507" s="8"/>
    </row>
    <row r="44508" spans="1:4" ht="15.75" customHeight="1">
      <c r="A44508" s="8"/>
      <c r="B44508" s="12"/>
      <c r="C44508" s="8"/>
      <c r="D44508" s="8"/>
    </row>
    <row r="44509" spans="1:4" ht="15.75" customHeight="1">
      <c r="A44509" s="8"/>
      <c r="B44509" s="12"/>
      <c r="C44509" s="8"/>
      <c r="D44509" s="8"/>
    </row>
    <row r="44510" spans="1:4" ht="15.75" customHeight="1">
      <c r="A44510" s="8"/>
      <c r="B44510" s="12"/>
      <c r="C44510" s="8"/>
      <c r="D44510" s="8"/>
    </row>
    <row r="44511" spans="1:4" ht="15.75" customHeight="1">
      <c r="A44511" s="8"/>
      <c r="B44511" s="12"/>
      <c r="C44511" s="8"/>
      <c r="D44511" s="8"/>
    </row>
    <row r="44512" spans="1:4" ht="15.75" customHeight="1">
      <c r="A44512" s="8"/>
      <c r="B44512" s="12"/>
      <c r="C44512" s="8"/>
      <c r="D44512" s="8"/>
    </row>
    <row r="44513" spans="1:4" ht="15.75" customHeight="1">
      <c r="A44513" s="8"/>
      <c r="B44513" s="12"/>
      <c r="C44513" s="8"/>
      <c r="D44513" s="8"/>
    </row>
    <row r="44514" spans="1:4" ht="15.75" customHeight="1">
      <c r="A44514" s="8"/>
      <c r="B44514" s="12"/>
      <c r="C44514" s="8"/>
      <c r="D44514" s="8"/>
    </row>
    <row r="44515" spans="1:4" ht="15.75" customHeight="1">
      <c r="A44515" s="8"/>
      <c r="B44515" s="12"/>
      <c r="C44515" s="8"/>
      <c r="D44515" s="8"/>
    </row>
    <row r="44516" spans="1:4" ht="15.75" customHeight="1">
      <c r="A44516" s="8"/>
      <c r="B44516" s="12"/>
      <c r="C44516" s="8"/>
      <c r="D44516" s="8"/>
    </row>
    <row r="44517" spans="1:4" ht="15.75" customHeight="1">
      <c r="A44517" s="8"/>
      <c r="B44517" s="12"/>
      <c r="C44517" s="8"/>
      <c r="D44517" s="8"/>
    </row>
    <row r="44518" spans="1:4" ht="15.75" customHeight="1">
      <c r="A44518" s="8"/>
      <c r="B44518" s="12"/>
      <c r="C44518" s="8"/>
      <c r="D44518" s="8"/>
    </row>
    <row r="44519" spans="1:4" ht="15.75" customHeight="1">
      <c r="A44519" s="8"/>
      <c r="B44519" s="12"/>
      <c r="C44519" s="8"/>
      <c r="D44519" s="8"/>
    </row>
    <row r="44520" spans="1:4" ht="15.75" customHeight="1">
      <c r="A44520" s="8"/>
      <c r="B44520" s="12"/>
      <c r="C44520" s="8"/>
      <c r="D44520" s="8"/>
    </row>
    <row r="44521" spans="1:4" ht="15.75" customHeight="1">
      <c r="A44521" s="8"/>
      <c r="B44521" s="12"/>
      <c r="C44521" s="8"/>
      <c r="D44521" s="8"/>
    </row>
    <row r="44522" spans="1:4" ht="15.75" customHeight="1">
      <c r="A44522" s="8"/>
      <c r="B44522" s="12"/>
      <c r="C44522" s="8"/>
      <c r="D44522" s="8"/>
    </row>
    <row r="44523" spans="1:4" ht="15.75" customHeight="1">
      <c r="A44523" s="8"/>
      <c r="B44523" s="12"/>
      <c r="C44523" s="8"/>
      <c r="D44523" s="8"/>
    </row>
    <row r="44524" spans="1:4" ht="15.75" customHeight="1">
      <c r="A44524" s="8"/>
      <c r="B44524" s="12"/>
      <c r="C44524" s="8"/>
      <c r="D44524" s="8"/>
    </row>
    <row r="44525" spans="1:4" ht="15.75" customHeight="1">
      <c r="A44525" s="8"/>
      <c r="B44525" s="12"/>
      <c r="C44525" s="8"/>
      <c r="D44525" s="8"/>
    </row>
    <row r="44526" spans="1:4" ht="15.75" customHeight="1">
      <c r="A44526" s="8"/>
      <c r="B44526" s="12"/>
      <c r="C44526" s="8"/>
      <c r="D44526" s="8"/>
    </row>
    <row r="44527" spans="1:4" ht="15.75" customHeight="1">
      <c r="A44527" s="8"/>
      <c r="B44527" s="12"/>
      <c r="C44527" s="8"/>
      <c r="D44527" s="8"/>
    </row>
    <row r="44528" spans="1:4" ht="15.75" customHeight="1">
      <c r="A44528" s="8"/>
      <c r="B44528" s="12"/>
      <c r="C44528" s="8"/>
      <c r="D44528" s="8"/>
    </row>
    <row r="44529" spans="1:4" ht="15.75" customHeight="1">
      <c r="A44529" s="8"/>
      <c r="B44529" s="12"/>
      <c r="C44529" s="8"/>
      <c r="D44529" s="8"/>
    </row>
    <row r="44530" spans="1:4" ht="15.75" customHeight="1">
      <c r="A44530" s="8"/>
      <c r="B44530" s="12"/>
      <c r="C44530" s="8"/>
      <c r="D44530" s="8"/>
    </row>
    <row r="44531" spans="1:4" ht="15.75" customHeight="1">
      <c r="A44531" s="8"/>
      <c r="B44531" s="12"/>
      <c r="C44531" s="8"/>
      <c r="D44531" s="8"/>
    </row>
    <row r="44532" spans="1:4" ht="15.75" customHeight="1">
      <c r="A44532" s="8"/>
      <c r="B44532" s="12"/>
      <c r="C44532" s="8"/>
      <c r="D44532" s="8"/>
    </row>
    <row r="44533" spans="1:4" ht="15.75" customHeight="1">
      <c r="A44533" s="8"/>
      <c r="B44533" s="12"/>
      <c r="C44533" s="8"/>
      <c r="D44533" s="8"/>
    </row>
    <row r="44534" spans="1:4" ht="15.75" customHeight="1">
      <c r="A44534" s="8"/>
      <c r="B44534" s="12"/>
      <c r="C44534" s="8"/>
      <c r="D44534" s="8"/>
    </row>
    <row r="44535" spans="1:4" ht="15.75" customHeight="1">
      <c r="A44535" s="8"/>
      <c r="B44535" s="12"/>
      <c r="C44535" s="8"/>
      <c r="D44535" s="8"/>
    </row>
    <row r="44536" spans="1:4" ht="15.75" customHeight="1">
      <c r="A44536" s="8"/>
      <c r="B44536" s="12"/>
      <c r="C44536" s="8"/>
      <c r="D44536" s="8"/>
    </row>
    <row r="44537" spans="1:4" ht="15.75" customHeight="1">
      <c r="A44537" s="8"/>
      <c r="B44537" s="12"/>
      <c r="C44537" s="8"/>
      <c r="D44537" s="8"/>
    </row>
    <row r="44538" spans="1:4" ht="15.75" customHeight="1">
      <c r="A44538" s="8"/>
      <c r="B44538" s="12"/>
      <c r="C44538" s="8"/>
      <c r="D44538" s="8"/>
    </row>
    <row r="44539" spans="1:4" ht="15.75" customHeight="1">
      <c r="A44539" s="8"/>
      <c r="B44539" s="12"/>
      <c r="C44539" s="8"/>
      <c r="D44539" s="8"/>
    </row>
    <row r="44540" spans="1:4" ht="15.75" customHeight="1">
      <c r="A44540" s="8"/>
      <c r="B44540" s="12"/>
      <c r="C44540" s="8"/>
      <c r="D44540" s="8"/>
    </row>
    <row r="44541" spans="1:4" ht="15.75" customHeight="1">
      <c r="A44541" s="8"/>
      <c r="B44541" s="12"/>
      <c r="C44541" s="8"/>
      <c r="D44541" s="8"/>
    </row>
    <row r="44542" spans="1:4" ht="15.75" customHeight="1">
      <c r="A44542" s="8"/>
      <c r="B44542" s="12"/>
      <c r="C44542" s="8"/>
      <c r="D44542" s="8"/>
    </row>
    <row r="44543" spans="1:4" ht="15.75" customHeight="1">
      <c r="A44543" s="8"/>
      <c r="B44543" s="12"/>
      <c r="C44543" s="8"/>
      <c r="D44543" s="8"/>
    </row>
    <row r="44544" spans="1:4" ht="15.75" customHeight="1">
      <c r="A44544" s="8"/>
      <c r="B44544" s="12"/>
      <c r="C44544" s="8"/>
      <c r="D44544" s="8"/>
    </row>
    <row r="44545" spans="1:4" ht="15.75" customHeight="1">
      <c r="A44545" s="8"/>
      <c r="B44545" s="12"/>
      <c r="C44545" s="8"/>
      <c r="D44545" s="8"/>
    </row>
    <row r="44546" spans="1:4" ht="15.75" customHeight="1">
      <c r="A44546" s="8"/>
      <c r="B44546" s="12"/>
      <c r="C44546" s="8"/>
      <c r="D44546" s="8"/>
    </row>
    <row r="44547" spans="1:4" ht="15.75" customHeight="1">
      <c r="A44547" s="8"/>
      <c r="B44547" s="12"/>
      <c r="C44547" s="8"/>
      <c r="D44547" s="8"/>
    </row>
    <row r="44548" spans="1:4" ht="15.75" customHeight="1">
      <c r="A44548" s="8"/>
      <c r="B44548" s="12"/>
      <c r="C44548" s="8"/>
      <c r="D44548" s="8"/>
    </row>
    <row r="44549" spans="1:4" ht="15.75" customHeight="1">
      <c r="A44549" s="8"/>
      <c r="B44549" s="12"/>
      <c r="C44549" s="8"/>
      <c r="D44549" s="8"/>
    </row>
    <row r="44550" spans="1:4" ht="15.75" customHeight="1">
      <c r="A44550" s="8"/>
      <c r="B44550" s="12"/>
      <c r="C44550" s="8"/>
      <c r="D44550" s="8"/>
    </row>
    <row r="44551" spans="1:4" ht="15.75" customHeight="1">
      <c r="A44551" s="8"/>
      <c r="B44551" s="12"/>
      <c r="C44551" s="8"/>
      <c r="D44551" s="8"/>
    </row>
    <row r="44552" spans="1:4" ht="15.75" customHeight="1">
      <c r="A44552" s="8"/>
      <c r="B44552" s="12"/>
      <c r="C44552" s="8"/>
      <c r="D44552" s="8"/>
    </row>
    <row r="44553" spans="1:4" ht="15.75" customHeight="1">
      <c r="A44553" s="8"/>
      <c r="B44553" s="12"/>
      <c r="C44553" s="8"/>
      <c r="D44553" s="8"/>
    </row>
    <row r="44554" spans="1:4" ht="15.75" customHeight="1">
      <c r="A44554" s="8"/>
      <c r="B44554" s="12"/>
      <c r="C44554" s="8"/>
      <c r="D44554" s="8"/>
    </row>
    <row r="44555" spans="1:4" ht="15.75" customHeight="1">
      <c r="A44555" s="8"/>
      <c r="B44555" s="12"/>
      <c r="C44555" s="8"/>
      <c r="D44555" s="8"/>
    </row>
    <row r="44556" spans="1:4" ht="15.75" customHeight="1">
      <c r="A44556" s="8"/>
      <c r="B44556" s="12"/>
      <c r="C44556" s="8"/>
      <c r="D44556" s="8"/>
    </row>
    <row r="44557" spans="1:4" ht="15.75" customHeight="1">
      <c r="A44557" s="8"/>
      <c r="B44557" s="12"/>
      <c r="C44557" s="8"/>
      <c r="D44557" s="8"/>
    </row>
    <row r="44558" spans="1:4" ht="15.75" customHeight="1">
      <c r="A44558" s="8"/>
      <c r="B44558" s="12"/>
      <c r="C44558" s="8"/>
      <c r="D44558" s="8"/>
    </row>
    <row r="44559" spans="1:4" ht="15.75" customHeight="1">
      <c r="A44559" s="8"/>
      <c r="B44559" s="12"/>
      <c r="C44559" s="8"/>
      <c r="D44559" s="8"/>
    </row>
    <row r="44560" spans="1:4" ht="15.75" customHeight="1">
      <c r="A44560" s="8"/>
      <c r="B44560" s="12"/>
      <c r="C44560" s="8"/>
      <c r="D44560" s="8"/>
    </row>
    <row r="44561" spans="1:4" ht="15.75" customHeight="1">
      <c r="A44561" s="8"/>
      <c r="B44561" s="12"/>
      <c r="C44561" s="8"/>
      <c r="D44561" s="8"/>
    </row>
    <row r="44562" spans="1:4" ht="15.75" customHeight="1">
      <c r="A44562" s="8"/>
      <c r="B44562" s="12"/>
      <c r="C44562" s="8"/>
      <c r="D44562" s="8"/>
    </row>
    <row r="44563" spans="1:4" ht="15.75" customHeight="1">
      <c r="A44563" s="8"/>
      <c r="B44563" s="12"/>
      <c r="C44563" s="8"/>
      <c r="D44563" s="8"/>
    </row>
    <row r="44564" spans="1:4" ht="15.75" customHeight="1">
      <c r="A44564" s="8"/>
      <c r="B44564" s="12"/>
      <c r="C44564" s="8"/>
      <c r="D44564" s="8"/>
    </row>
    <row r="44565" spans="1:4" ht="15.75" customHeight="1">
      <c r="A44565" s="8"/>
      <c r="B44565" s="12"/>
      <c r="C44565" s="8"/>
      <c r="D44565" s="8"/>
    </row>
    <row r="44566" spans="1:4" ht="15.75" customHeight="1">
      <c r="A44566" s="8"/>
      <c r="B44566" s="12"/>
      <c r="C44566" s="8"/>
      <c r="D44566" s="8"/>
    </row>
    <row r="44567" spans="1:4" ht="15.75" customHeight="1">
      <c r="A44567" s="8"/>
      <c r="B44567" s="12"/>
      <c r="C44567" s="8"/>
      <c r="D44567" s="8"/>
    </row>
    <row r="44568" spans="1:4" ht="15.75" customHeight="1">
      <c r="A44568" s="8"/>
      <c r="B44568" s="12"/>
      <c r="C44568" s="8"/>
      <c r="D44568" s="8"/>
    </row>
    <row r="44569" spans="1:4" ht="15.75" customHeight="1">
      <c r="A44569" s="8"/>
      <c r="B44569" s="12"/>
      <c r="C44569" s="8"/>
      <c r="D44569" s="8"/>
    </row>
    <row r="44570" spans="1:4" ht="15.75" customHeight="1">
      <c r="A44570" s="8"/>
      <c r="B44570" s="12"/>
      <c r="C44570" s="8"/>
      <c r="D44570" s="8"/>
    </row>
    <row r="44571" spans="1:4" ht="15.75" customHeight="1">
      <c r="A44571" s="8"/>
      <c r="B44571" s="12"/>
      <c r="C44571" s="8"/>
      <c r="D44571" s="8"/>
    </row>
    <row r="44572" spans="1:4" ht="15.75" customHeight="1">
      <c r="A44572" s="8"/>
      <c r="B44572" s="12"/>
      <c r="C44572" s="8"/>
      <c r="D44572" s="8"/>
    </row>
    <row r="44573" spans="1:4" ht="15.75" customHeight="1">
      <c r="A44573" s="8"/>
      <c r="B44573" s="12"/>
      <c r="C44573" s="8"/>
      <c r="D44573" s="8"/>
    </row>
    <row r="44574" spans="1:4" ht="15.75" customHeight="1">
      <c r="A44574" s="8"/>
      <c r="B44574" s="12"/>
      <c r="C44574" s="8"/>
      <c r="D44574" s="8"/>
    </row>
    <row r="44575" spans="1:4" ht="15.75" customHeight="1">
      <c r="A44575" s="8"/>
      <c r="B44575" s="12"/>
      <c r="C44575" s="8"/>
      <c r="D44575" s="8"/>
    </row>
    <row r="44576" spans="1:4" ht="15.75" customHeight="1">
      <c r="A44576" s="8"/>
      <c r="B44576" s="12"/>
      <c r="C44576" s="8"/>
      <c r="D44576" s="8"/>
    </row>
    <row r="44577" spans="1:4" ht="15.75" customHeight="1">
      <c r="A44577" s="8"/>
      <c r="B44577" s="12"/>
      <c r="C44577" s="8"/>
      <c r="D44577" s="8"/>
    </row>
    <row r="44578" spans="1:4" ht="15.75" customHeight="1">
      <c r="A44578" s="8"/>
      <c r="B44578" s="12"/>
      <c r="C44578" s="8"/>
      <c r="D44578" s="8"/>
    </row>
    <row r="44579" spans="1:4" ht="15.75" customHeight="1">
      <c r="A44579" s="8"/>
      <c r="B44579" s="12"/>
      <c r="C44579" s="8"/>
      <c r="D44579" s="8"/>
    </row>
    <row r="44580" spans="1:4" ht="15.75" customHeight="1">
      <c r="A44580" s="8"/>
      <c r="B44580" s="12"/>
      <c r="C44580" s="8"/>
      <c r="D44580" s="8"/>
    </row>
    <row r="44581" spans="1:4" ht="15.75" customHeight="1">
      <c r="A44581" s="8"/>
      <c r="B44581" s="12"/>
      <c r="C44581" s="8"/>
      <c r="D44581" s="8"/>
    </row>
    <row r="44582" spans="1:4" ht="15.75" customHeight="1">
      <c r="A44582" s="8"/>
      <c r="B44582" s="12"/>
      <c r="C44582" s="8"/>
      <c r="D44582" s="8"/>
    </row>
    <row r="44583" spans="1:4" ht="15.75" customHeight="1">
      <c r="A44583" s="8"/>
      <c r="B44583" s="12"/>
      <c r="C44583" s="8"/>
      <c r="D44583" s="8"/>
    </row>
    <row r="44584" spans="1:4" ht="15.75" customHeight="1">
      <c r="A44584" s="8"/>
      <c r="B44584" s="12"/>
      <c r="C44584" s="8"/>
      <c r="D44584" s="8"/>
    </row>
    <row r="44585" spans="1:4" ht="15.75" customHeight="1">
      <c r="A44585" s="8"/>
      <c r="B44585" s="12"/>
      <c r="C44585" s="8"/>
      <c r="D44585" s="8"/>
    </row>
    <row r="44586" spans="1:4" ht="15.75" customHeight="1">
      <c r="A44586" s="8"/>
      <c r="B44586" s="12"/>
      <c r="C44586" s="8"/>
      <c r="D44586" s="8"/>
    </row>
    <row r="44587" spans="1:4" ht="15.75" customHeight="1">
      <c r="A44587" s="8"/>
      <c r="B44587" s="12"/>
      <c r="C44587" s="8"/>
      <c r="D44587" s="8"/>
    </row>
    <row r="44588" spans="1:4" ht="15.75" customHeight="1">
      <c r="A44588" s="8"/>
      <c r="B44588" s="12"/>
      <c r="C44588" s="8"/>
      <c r="D44588" s="8"/>
    </row>
    <row r="44589" spans="1:4" ht="15.75" customHeight="1">
      <c r="A44589" s="8"/>
      <c r="B44589" s="12"/>
      <c r="C44589" s="8"/>
      <c r="D44589" s="8"/>
    </row>
    <row r="44590" spans="1:4" ht="15.75" customHeight="1">
      <c r="A44590" s="8"/>
      <c r="B44590" s="12"/>
      <c r="C44590" s="8"/>
      <c r="D44590" s="8"/>
    </row>
    <row r="44591" spans="1:4" ht="15.75" customHeight="1">
      <c r="A44591" s="8"/>
      <c r="B44591" s="12"/>
      <c r="C44591" s="8"/>
      <c r="D44591" s="8"/>
    </row>
    <row r="44592" spans="1:4" ht="15.75" customHeight="1">
      <c r="A44592" s="8"/>
      <c r="B44592" s="12"/>
      <c r="C44592" s="8"/>
      <c r="D44592" s="8"/>
    </row>
    <row r="44593" spans="1:4" ht="15.75" customHeight="1">
      <c r="A44593" s="8"/>
      <c r="B44593" s="12"/>
      <c r="C44593" s="8"/>
      <c r="D44593" s="8"/>
    </row>
    <row r="44594" spans="1:4" ht="15.75" customHeight="1">
      <c r="A44594" s="8"/>
      <c r="B44594" s="12"/>
      <c r="C44594" s="8"/>
      <c r="D44594" s="8"/>
    </row>
    <row r="44595" spans="1:4" ht="15.75" customHeight="1">
      <c r="A44595" s="8"/>
      <c r="B44595" s="12"/>
      <c r="C44595" s="8"/>
      <c r="D44595" s="8"/>
    </row>
    <row r="44596" spans="1:4" ht="15.75" customHeight="1">
      <c r="A44596" s="8"/>
      <c r="B44596" s="12"/>
      <c r="C44596" s="8"/>
      <c r="D44596" s="8"/>
    </row>
    <row r="44597" spans="1:4" ht="15.75" customHeight="1">
      <c r="A44597" s="8"/>
      <c r="B44597" s="12"/>
      <c r="C44597" s="8"/>
      <c r="D44597" s="8"/>
    </row>
    <row r="44598" spans="1:4" ht="15.75" customHeight="1">
      <c r="A44598" s="8"/>
      <c r="B44598" s="12"/>
      <c r="C44598" s="8"/>
      <c r="D44598" s="8"/>
    </row>
    <row r="44599" spans="1:4" ht="15.75" customHeight="1">
      <c r="A44599" s="8"/>
      <c r="B44599" s="12"/>
      <c r="C44599" s="8"/>
      <c r="D44599" s="8"/>
    </row>
    <row r="44600" spans="1:4" ht="15.75" customHeight="1">
      <c r="A44600" s="8"/>
      <c r="B44600" s="12"/>
      <c r="C44600" s="8"/>
      <c r="D44600" s="8"/>
    </row>
    <row r="44601" spans="1:4" ht="15.75" customHeight="1">
      <c r="A44601" s="8"/>
      <c r="B44601" s="12"/>
      <c r="C44601" s="8"/>
      <c r="D44601" s="8"/>
    </row>
    <row r="44602" spans="1:4" ht="15.75" customHeight="1">
      <c r="A44602" s="8"/>
      <c r="B44602" s="12"/>
      <c r="C44602" s="8"/>
      <c r="D44602" s="8"/>
    </row>
    <row r="44603" spans="1:4" ht="15.75" customHeight="1">
      <c r="A44603" s="8"/>
      <c r="B44603" s="12"/>
      <c r="C44603" s="8"/>
      <c r="D44603" s="8"/>
    </row>
    <row r="44604" spans="1:4" ht="15.75" customHeight="1">
      <c r="A44604" s="8"/>
      <c r="B44604" s="12"/>
      <c r="C44604" s="8"/>
      <c r="D44604" s="8"/>
    </row>
    <row r="44605" spans="1:4" ht="15.75" customHeight="1">
      <c r="A44605" s="8"/>
      <c r="B44605" s="12"/>
      <c r="C44605" s="8"/>
      <c r="D44605" s="8"/>
    </row>
    <row r="44606" spans="1:4" ht="15.75" customHeight="1">
      <c r="A44606" s="8"/>
      <c r="B44606" s="12"/>
      <c r="C44606" s="8"/>
      <c r="D44606" s="8"/>
    </row>
    <row r="44607" spans="1:4" ht="15.75" customHeight="1">
      <c r="A44607" s="8"/>
      <c r="B44607" s="12"/>
      <c r="C44607" s="8"/>
      <c r="D44607" s="8"/>
    </row>
    <row r="44608" spans="1:4" ht="15.75" customHeight="1">
      <c r="A44608" s="8"/>
      <c r="B44608" s="12"/>
      <c r="C44608" s="8"/>
      <c r="D44608" s="8"/>
    </row>
    <row r="44609" spans="1:4" ht="15.75" customHeight="1">
      <c r="A44609" s="8"/>
      <c r="B44609" s="12"/>
      <c r="C44609" s="8"/>
      <c r="D44609" s="8"/>
    </row>
    <row r="44610" spans="1:4" ht="15.75" customHeight="1">
      <c r="A44610" s="8"/>
      <c r="B44610" s="12"/>
      <c r="C44610" s="8"/>
      <c r="D44610" s="8"/>
    </row>
    <row r="44611" spans="1:4" ht="15.75" customHeight="1">
      <c r="A44611" s="8"/>
      <c r="B44611" s="12"/>
      <c r="C44611" s="8"/>
      <c r="D44611" s="8"/>
    </row>
    <row r="44612" spans="1:4" ht="15.75" customHeight="1">
      <c r="A44612" s="8"/>
      <c r="B44612" s="12"/>
      <c r="C44612" s="8"/>
      <c r="D44612" s="8"/>
    </row>
    <row r="44613" spans="1:4" ht="15.75" customHeight="1">
      <c r="A44613" s="8"/>
      <c r="B44613" s="12"/>
      <c r="C44613" s="8"/>
      <c r="D44613" s="8"/>
    </row>
    <row r="44614" spans="1:4" ht="15.75" customHeight="1">
      <c r="A44614" s="8"/>
      <c r="B44614" s="12"/>
      <c r="C44614" s="8"/>
      <c r="D44614" s="8"/>
    </row>
    <row r="44615" spans="1:4" ht="15.75" customHeight="1">
      <c r="A44615" s="8"/>
      <c r="B44615" s="12"/>
      <c r="C44615" s="8"/>
      <c r="D44615" s="8"/>
    </row>
    <row r="44616" spans="1:4" ht="15.75" customHeight="1">
      <c r="A44616" s="8"/>
      <c r="B44616" s="12"/>
      <c r="C44616" s="8"/>
      <c r="D44616" s="8"/>
    </row>
    <row r="44617" spans="1:4" ht="15.75" customHeight="1">
      <c r="A44617" s="8"/>
      <c r="B44617" s="12"/>
      <c r="C44617" s="8"/>
      <c r="D44617" s="8"/>
    </row>
    <row r="44618" spans="1:4" ht="15.75" customHeight="1">
      <c r="A44618" s="8"/>
      <c r="B44618" s="12"/>
      <c r="C44618" s="8"/>
      <c r="D44618" s="8"/>
    </row>
    <row r="44619" spans="1:4" ht="15.75" customHeight="1">
      <c r="A44619" s="8"/>
      <c r="B44619" s="12"/>
      <c r="C44619" s="8"/>
      <c r="D44619" s="8"/>
    </row>
    <row r="44620" spans="1:4" ht="15.75" customHeight="1">
      <c r="A44620" s="8"/>
      <c r="B44620" s="12"/>
      <c r="C44620" s="8"/>
      <c r="D44620" s="8"/>
    </row>
    <row r="44621" spans="1:4" ht="15.75" customHeight="1">
      <c r="A44621" s="8"/>
      <c r="B44621" s="12"/>
      <c r="C44621" s="8"/>
      <c r="D44621" s="8"/>
    </row>
    <row r="44622" spans="1:4" ht="15.75" customHeight="1">
      <c r="A44622" s="8"/>
      <c r="B44622" s="12"/>
      <c r="C44622" s="8"/>
      <c r="D44622" s="8"/>
    </row>
    <row r="44623" spans="1:4" ht="15.75" customHeight="1">
      <c r="A44623" s="8"/>
      <c r="B44623" s="12"/>
      <c r="C44623" s="8"/>
      <c r="D44623" s="8"/>
    </row>
    <row r="44624" spans="1:4" ht="15.75" customHeight="1">
      <c r="A44624" s="8"/>
      <c r="B44624" s="12"/>
      <c r="C44624" s="8"/>
      <c r="D44624" s="8"/>
    </row>
    <row r="44625" spans="1:4" ht="15.75" customHeight="1">
      <c r="A44625" s="8"/>
      <c r="B44625" s="12"/>
      <c r="C44625" s="8"/>
      <c r="D44625" s="8"/>
    </row>
    <row r="44626" spans="1:4" ht="15.75" customHeight="1">
      <c r="A44626" s="8"/>
      <c r="B44626" s="12"/>
      <c r="C44626" s="8"/>
      <c r="D44626" s="8"/>
    </row>
    <row r="44627" spans="1:4" ht="15.75" customHeight="1">
      <c r="A44627" s="8"/>
      <c r="B44627" s="12"/>
      <c r="C44627" s="8"/>
      <c r="D44627" s="8"/>
    </row>
    <row r="44628" spans="1:4" ht="15.75" customHeight="1">
      <c r="A44628" s="8"/>
      <c r="B44628" s="12"/>
      <c r="C44628" s="8"/>
      <c r="D44628" s="8"/>
    </row>
    <row r="44629" spans="1:4" ht="15.75" customHeight="1">
      <c r="A44629" s="8"/>
      <c r="B44629" s="12"/>
      <c r="C44629" s="8"/>
      <c r="D44629" s="8"/>
    </row>
    <row r="44630" spans="1:4" ht="15.75" customHeight="1">
      <c r="A44630" s="8"/>
      <c r="B44630" s="12"/>
      <c r="C44630" s="8"/>
      <c r="D44630" s="8"/>
    </row>
    <row r="44631" spans="1:4" ht="15.75" customHeight="1">
      <c r="A44631" s="8"/>
      <c r="B44631" s="12"/>
      <c r="C44631" s="8"/>
      <c r="D44631" s="8"/>
    </row>
    <row r="44632" spans="1:4" ht="15.75" customHeight="1">
      <c r="A44632" s="8"/>
      <c r="B44632" s="12"/>
      <c r="C44632" s="8"/>
      <c r="D44632" s="8"/>
    </row>
    <row r="44633" spans="1:4" ht="15.75" customHeight="1">
      <c r="A44633" s="8"/>
      <c r="B44633" s="12"/>
      <c r="C44633" s="8"/>
      <c r="D44633" s="8"/>
    </row>
    <row r="44634" spans="1:4" ht="15.75" customHeight="1">
      <c r="A44634" s="8"/>
      <c r="B44634" s="12"/>
      <c r="C44634" s="8"/>
      <c r="D44634" s="8"/>
    </row>
    <row r="44635" spans="1:4" ht="15.75" customHeight="1">
      <c r="A44635" s="8"/>
      <c r="B44635" s="12"/>
      <c r="C44635" s="8"/>
      <c r="D44635" s="8"/>
    </row>
    <row r="44636" spans="1:4" ht="15.75" customHeight="1">
      <c r="A44636" s="8"/>
      <c r="B44636" s="12"/>
      <c r="C44636" s="8"/>
      <c r="D44636" s="8"/>
    </row>
    <row r="44637" spans="1:4" ht="15.75" customHeight="1">
      <c r="A44637" s="8"/>
      <c r="B44637" s="12"/>
      <c r="C44637" s="8"/>
      <c r="D44637" s="8"/>
    </row>
    <row r="44638" spans="1:4" ht="15.75" customHeight="1">
      <c r="A44638" s="8"/>
      <c r="B44638" s="12"/>
      <c r="C44638" s="8"/>
      <c r="D44638" s="8"/>
    </row>
    <row r="44639" spans="1:4" ht="15.75" customHeight="1">
      <c r="A44639" s="8"/>
      <c r="B44639" s="12"/>
      <c r="C44639" s="8"/>
      <c r="D44639" s="8"/>
    </row>
    <row r="44640" spans="1:4" ht="15.75" customHeight="1">
      <c r="A44640" s="8"/>
      <c r="B44640" s="12"/>
      <c r="C44640" s="8"/>
      <c r="D44640" s="8"/>
    </row>
    <row r="44641" spans="1:4" ht="15.75" customHeight="1">
      <c r="A44641" s="8"/>
      <c r="B44641" s="12"/>
      <c r="C44641" s="8"/>
      <c r="D44641" s="8"/>
    </row>
    <row r="44642" spans="1:4" ht="15.75" customHeight="1">
      <c r="A44642" s="8"/>
      <c r="B44642" s="12"/>
      <c r="C44642" s="8"/>
      <c r="D44642" s="8"/>
    </row>
    <row r="44643" spans="1:4" ht="15.75" customHeight="1">
      <c r="A44643" s="8"/>
      <c r="B44643" s="12"/>
      <c r="C44643" s="8"/>
      <c r="D44643" s="8"/>
    </row>
    <row r="44644" spans="1:4" ht="15.75" customHeight="1">
      <c r="A44644" s="8"/>
      <c r="B44644" s="12"/>
      <c r="C44644" s="8"/>
      <c r="D44644" s="8"/>
    </row>
    <row r="44645" spans="1:4" ht="15.75" customHeight="1">
      <c r="A44645" s="8"/>
      <c r="B44645" s="12"/>
      <c r="C44645" s="8"/>
      <c r="D44645" s="8"/>
    </row>
    <row r="44646" spans="1:4" ht="15.75" customHeight="1">
      <c r="A44646" s="8"/>
      <c r="B44646" s="12"/>
      <c r="C44646" s="8"/>
      <c r="D44646" s="8"/>
    </row>
    <row r="44647" spans="1:4" ht="15.75" customHeight="1">
      <c r="A44647" s="8"/>
      <c r="B44647" s="12"/>
      <c r="C44647" s="8"/>
      <c r="D44647" s="8"/>
    </row>
    <row r="44648" spans="1:4" ht="15.75" customHeight="1">
      <c r="A44648" s="8"/>
      <c r="B44648" s="12"/>
      <c r="C44648" s="8"/>
      <c r="D44648" s="8"/>
    </row>
    <row r="44649" spans="1:4" ht="15.75" customHeight="1">
      <c r="A44649" s="8"/>
      <c r="B44649" s="12"/>
      <c r="C44649" s="8"/>
      <c r="D44649" s="8"/>
    </row>
    <row r="44650" spans="1:4" ht="15.75" customHeight="1">
      <c r="A44650" s="8"/>
      <c r="B44650" s="12"/>
      <c r="C44650" s="8"/>
      <c r="D44650" s="8"/>
    </row>
    <row r="44651" spans="1:4" ht="15.75" customHeight="1">
      <c r="A44651" s="8"/>
      <c r="B44651" s="12"/>
      <c r="C44651" s="8"/>
      <c r="D44651" s="8"/>
    </row>
    <row r="44652" spans="1:4" ht="15.75" customHeight="1">
      <c r="A44652" s="8"/>
      <c r="B44652" s="12"/>
      <c r="C44652" s="8"/>
      <c r="D44652" s="8"/>
    </row>
    <row r="44653" spans="1:4" ht="15.75" customHeight="1">
      <c r="A44653" s="8"/>
      <c r="B44653" s="12"/>
      <c r="C44653" s="8"/>
      <c r="D44653" s="8"/>
    </row>
    <row r="44654" spans="1:4" ht="15.75" customHeight="1">
      <c r="A44654" s="8"/>
      <c r="B44654" s="12"/>
      <c r="C44654" s="8"/>
      <c r="D44654" s="8"/>
    </row>
    <row r="44655" spans="1:4" ht="15.75" customHeight="1">
      <c r="A44655" s="8"/>
      <c r="B44655" s="12"/>
      <c r="C44655" s="8"/>
      <c r="D44655" s="8"/>
    </row>
    <row r="44656" spans="1:4" ht="15.75" customHeight="1">
      <c r="A44656" s="8"/>
      <c r="B44656" s="12"/>
      <c r="C44656" s="8"/>
      <c r="D44656" s="8"/>
    </row>
    <row r="44657" spans="1:4" ht="15.75" customHeight="1">
      <c r="A44657" s="8"/>
      <c r="B44657" s="12"/>
      <c r="C44657" s="8"/>
      <c r="D44657" s="8"/>
    </row>
    <row r="44658" spans="1:4" ht="15.75" customHeight="1">
      <c r="A44658" s="8"/>
      <c r="B44658" s="12"/>
      <c r="C44658" s="8"/>
      <c r="D44658" s="8"/>
    </row>
    <row r="44659" spans="1:4" ht="15.75" customHeight="1">
      <c r="A44659" s="8"/>
      <c r="B44659" s="12"/>
      <c r="C44659" s="8"/>
      <c r="D44659" s="8"/>
    </row>
    <row r="44660" spans="1:4" ht="15.75" customHeight="1">
      <c r="A44660" s="8"/>
      <c r="B44660" s="12"/>
      <c r="C44660" s="8"/>
      <c r="D44660" s="8"/>
    </row>
    <row r="44661" spans="1:4" ht="15.75" customHeight="1">
      <c r="A44661" s="8"/>
      <c r="B44661" s="12"/>
      <c r="C44661" s="8"/>
      <c r="D44661" s="8"/>
    </row>
    <row r="44662" spans="1:4" ht="15.75" customHeight="1">
      <c r="A44662" s="8"/>
      <c r="B44662" s="12"/>
      <c r="C44662" s="8"/>
      <c r="D44662" s="8"/>
    </row>
    <row r="44663" spans="1:4" ht="15.75" customHeight="1">
      <c r="A44663" s="8"/>
      <c r="B44663" s="12"/>
      <c r="C44663" s="8"/>
      <c r="D44663" s="8"/>
    </row>
    <row r="44664" spans="1:4" ht="15.75" customHeight="1">
      <c r="A44664" s="8"/>
      <c r="B44664" s="12"/>
      <c r="C44664" s="8"/>
      <c r="D44664" s="8"/>
    </row>
    <row r="44665" spans="1:4" ht="15.75" customHeight="1">
      <c r="A44665" s="8"/>
      <c r="B44665" s="12"/>
      <c r="C44665" s="8"/>
      <c r="D44665" s="8"/>
    </row>
    <row r="44666" spans="1:4" ht="15.75" customHeight="1">
      <c r="A44666" s="8"/>
      <c r="B44666" s="12"/>
      <c r="C44666" s="8"/>
      <c r="D44666" s="8"/>
    </row>
    <row r="44667" spans="1:4" ht="15.75" customHeight="1">
      <c r="A44667" s="8"/>
      <c r="B44667" s="12"/>
      <c r="C44667" s="8"/>
      <c r="D44667" s="8"/>
    </row>
    <row r="44668" spans="1:4" ht="15.75" customHeight="1">
      <c r="A44668" s="8"/>
      <c r="B44668" s="12"/>
      <c r="C44668" s="8"/>
      <c r="D44668" s="8"/>
    </row>
    <row r="44669" spans="1:4" ht="15.75" customHeight="1">
      <c r="A44669" s="8"/>
      <c r="B44669" s="12"/>
      <c r="C44669" s="8"/>
      <c r="D44669" s="8"/>
    </row>
    <row r="44670" spans="1:4" ht="15.75" customHeight="1">
      <c r="A44670" s="8"/>
      <c r="B44670" s="12"/>
      <c r="C44670" s="8"/>
      <c r="D44670" s="8"/>
    </row>
    <row r="44671" spans="1:4" ht="15.75" customHeight="1">
      <c r="A44671" s="8"/>
      <c r="B44671" s="12"/>
      <c r="C44671" s="8"/>
      <c r="D44671" s="8"/>
    </row>
    <row r="44672" spans="1:4" ht="15.75" customHeight="1">
      <c r="A44672" s="8"/>
      <c r="B44672" s="12"/>
      <c r="C44672" s="8"/>
      <c r="D44672" s="8"/>
    </row>
    <row r="44673" spans="1:4" ht="15.75" customHeight="1">
      <c r="A44673" s="8"/>
      <c r="B44673" s="12"/>
      <c r="C44673" s="8"/>
      <c r="D44673" s="8"/>
    </row>
    <row r="44674" spans="1:4" ht="15.75" customHeight="1">
      <c r="A44674" s="8"/>
      <c r="B44674" s="12"/>
      <c r="C44674" s="8"/>
      <c r="D44674" s="8"/>
    </row>
    <row r="44675" spans="1:4" ht="15.75" customHeight="1">
      <c r="A44675" s="8"/>
      <c r="B44675" s="12"/>
      <c r="C44675" s="8"/>
      <c r="D44675" s="8"/>
    </row>
    <row r="44676" spans="1:4" ht="15.75" customHeight="1">
      <c r="A44676" s="8"/>
      <c r="B44676" s="12"/>
      <c r="C44676" s="8"/>
      <c r="D44676" s="8"/>
    </row>
    <row r="44677" spans="1:4" ht="15.75" customHeight="1">
      <c r="A44677" s="8"/>
      <c r="B44677" s="12"/>
      <c r="C44677" s="8"/>
      <c r="D44677" s="8"/>
    </row>
    <row r="44678" spans="1:4" ht="15.75" customHeight="1">
      <c r="A44678" s="8"/>
      <c r="B44678" s="12"/>
      <c r="C44678" s="8"/>
      <c r="D44678" s="8"/>
    </row>
    <row r="44679" spans="1:4" ht="15.75" customHeight="1">
      <c r="A44679" s="8"/>
      <c r="B44679" s="12"/>
      <c r="C44679" s="8"/>
      <c r="D44679" s="8"/>
    </row>
    <row r="44680" spans="1:4" ht="15.75" customHeight="1">
      <c r="A44680" s="8"/>
      <c r="B44680" s="12"/>
      <c r="C44680" s="8"/>
      <c r="D44680" s="8"/>
    </row>
    <row r="44681" spans="1:4" ht="15.75" customHeight="1">
      <c r="A44681" s="8"/>
      <c r="B44681" s="12"/>
      <c r="C44681" s="8"/>
      <c r="D44681" s="8"/>
    </row>
    <row r="44682" spans="1:4" ht="15.75" customHeight="1">
      <c r="A44682" s="8"/>
      <c r="B44682" s="12"/>
      <c r="C44682" s="8"/>
      <c r="D44682" s="8"/>
    </row>
    <row r="44683" spans="1:4" ht="15.75" customHeight="1">
      <c r="A44683" s="8"/>
      <c r="B44683" s="12"/>
      <c r="C44683" s="8"/>
      <c r="D44683" s="8"/>
    </row>
    <row r="44684" spans="1:4" ht="15.75" customHeight="1">
      <c r="A44684" s="8"/>
      <c r="B44684" s="12"/>
      <c r="C44684" s="8"/>
      <c r="D44684" s="8"/>
    </row>
    <row r="44685" spans="1:4" ht="15.75" customHeight="1">
      <c r="A44685" s="8"/>
      <c r="B44685" s="12"/>
      <c r="C44685" s="8"/>
      <c r="D44685" s="8"/>
    </row>
    <row r="44686" spans="1:4" ht="15.75" customHeight="1">
      <c r="A44686" s="8"/>
      <c r="B44686" s="12"/>
      <c r="C44686" s="8"/>
      <c r="D44686" s="8"/>
    </row>
    <row r="44687" spans="1:4" ht="15.75" customHeight="1">
      <c r="A44687" s="8"/>
      <c r="B44687" s="12"/>
      <c r="C44687" s="8"/>
      <c r="D44687" s="8"/>
    </row>
    <row r="44688" spans="1:4" ht="15.75" customHeight="1">
      <c r="A44688" s="8"/>
      <c r="B44688" s="12"/>
      <c r="C44688" s="8"/>
      <c r="D44688" s="8"/>
    </row>
    <row r="44689" spans="1:4" ht="15.75" customHeight="1">
      <c r="A44689" s="8"/>
      <c r="B44689" s="12"/>
      <c r="C44689" s="8"/>
      <c r="D44689" s="8"/>
    </row>
    <row r="44690" spans="1:4" ht="15.75" customHeight="1">
      <c r="A44690" s="8"/>
      <c r="B44690" s="12"/>
      <c r="C44690" s="8"/>
      <c r="D44690" s="8"/>
    </row>
    <row r="44691" spans="1:4" ht="15.75" customHeight="1">
      <c r="A44691" s="8"/>
      <c r="B44691" s="12"/>
      <c r="C44691" s="8"/>
      <c r="D44691" s="8"/>
    </row>
    <row r="44692" spans="1:4" ht="15.75" customHeight="1">
      <c r="A44692" s="8"/>
      <c r="B44692" s="12"/>
      <c r="C44692" s="8"/>
      <c r="D44692" s="8"/>
    </row>
    <row r="44693" spans="1:4" ht="15.75" customHeight="1">
      <c r="A44693" s="8"/>
      <c r="B44693" s="12"/>
      <c r="C44693" s="8"/>
      <c r="D44693" s="8"/>
    </row>
    <row r="44694" spans="1:4" ht="15.75" customHeight="1">
      <c r="A44694" s="8"/>
      <c r="B44694" s="12"/>
      <c r="C44694" s="8"/>
      <c r="D44694" s="8"/>
    </row>
    <row r="44695" spans="1:4" ht="15.75" customHeight="1">
      <c r="A44695" s="8"/>
      <c r="B44695" s="12"/>
      <c r="C44695" s="8"/>
      <c r="D44695" s="8"/>
    </row>
    <row r="44696" spans="1:4" ht="15.75" customHeight="1">
      <c r="A44696" s="8"/>
      <c r="B44696" s="12"/>
      <c r="C44696" s="8"/>
      <c r="D44696" s="8"/>
    </row>
    <row r="44697" spans="1:4" ht="15.75" customHeight="1">
      <c r="A44697" s="8"/>
      <c r="B44697" s="12"/>
      <c r="C44697" s="8"/>
      <c r="D44697" s="8"/>
    </row>
    <row r="44698" spans="1:4" ht="15.75" customHeight="1">
      <c r="A44698" s="8"/>
      <c r="B44698" s="12"/>
      <c r="C44698" s="8"/>
      <c r="D44698" s="8"/>
    </row>
    <row r="44699" spans="1:4" ht="15.75" customHeight="1">
      <c r="A44699" s="8"/>
      <c r="B44699" s="12"/>
      <c r="C44699" s="8"/>
      <c r="D44699" s="8"/>
    </row>
    <row r="44700" spans="1:4" ht="15.75" customHeight="1">
      <c r="A44700" s="8"/>
      <c r="B44700" s="12"/>
      <c r="C44700" s="8"/>
      <c r="D44700" s="8"/>
    </row>
    <row r="44701" spans="1:4" ht="15.75" customHeight="1">
      <c r="A44701" s="8"/>
      <c r="B44701" s="12"/>
      <c r="C44701" s="8"/>
      <c r="D44701" s="8"/>
    </row>
    <row r="44702" spans="1:4" ht="15.75" customHeight="1">
      <c r="A44702" s="8"/>
      <c r="B44702" s="12"/>
      <c r="C44702" s="8"/>
      <c r="D44702" s="8"/>
    </row>
    <row r="44703" spans="1:4" ht="15.75" customHeight="1">
      <c r="A44703" s="8"/>
      <c r="B44703" s="12"/>
      <c r="C44703" s="8"/>
      <c r="D44703" s="8"/>
    </row>
    <row r="44704" spans="1:4" ht="15.75" customHeight="1">
      <c r="A44704" s="8"/>
      <c r="B44704" s="12"/>
      <c r="C44704" s="8"/>
      <c r="D44704" s="8"/>
    </row>
    <row r="44705" spans="1:4" ht="15.75" customHeight="1">
      <c r="A44705" s="8"/>
      <c r="B44705" s="12"/>
      <c r="C44705" s="8"/>
      <c r="D44705" s="8"/>
    </row>
    <row r="44706" spans="1:4" ht="15.75" customHeight="1">
      <c r="A44706" s="8"/>
      <c r="B44706" s="12"/>
      <c r="C44706" s="8"/>
      <c r="D44706" s="8"/>
    </row>
    <row r="44707" spans="1:4" ht="15.75" customHeight="1">
      <c r="A44707" s="8"/>
      <c r="B44707" s="12"/>
      <c r="C44707" s="8"/>
      <c r="D44707" s="8"/>
    </row>
    <row r="44708" spans="1:4" ht="15.75" customHeight="1">
      <c r="A44708" s="8"/>
      <c r="B44708" s="12"/>
      <c r="C44708" s="8"/>
      <c r="D44708" s="8"/>
    </row>
    <row r="44709" spans="1:4" ht="15.75" customHeight="1">
      <c r="A44709" s="8"/>
      <c r="B44709" s="12"/>
      <c r="C44709" s="8"/>
      <c r="D44709" s="8"/>
    </row>
    <row r="44710" spans="1:4" ht="15.75" customHeight="1">
      <c r="A44710" s="8"/>
      <c r="B44710" s="12"/>
      <c r="C44710" s="8"/>
      <c r="D44710" s="8"/>
    </row>
    <row r="44711" spans="1:4" ht="15.75" customHeight="1">
      <c r="A44711" s="8"/>
      <c r="B44711" s="12"/>
      <c r="C44711" s="8"/>
      <c r="D44711" s="8"/>
    </row>
    <row r="44712" spans="1:4" ht="15.75" customHeight="1">
      <c r="A44712" s="8"/>
      <c r="B44712" s="12"/>
      <c r="C44712" s="8"/>
      <c r="D44712" s="8"/>
    </row>
    <row r="44713" spans="1:4" ht="15.75" customHeight="1">
      <c r="A44713" s="8"/>
      <c r="B44713" s="12"/>
      <c r="C44713" s="8"/>
      <c r="D44713" s="8"/>
    </row>
    <row r="44714" spans="1:4" ht="15.75" customHeight="1">
      <c r="A44714" s="8"/>
      <c r="B44714" s="12"/>
      <c r="C44714" s="8"/>
      <c r="D44714" s="8"/>
    </row>
    <row r="44715" spans="1:4" ht="15.75" customHeight="1">
      <c r="A44715" s="8"/>
      <c r="B44715" s="12"/>
      <c r="C44715" s="8"/>
      <c r="D44715" s="8"/>
    </row>
    <row r="44716" spans="1:4" ht="15.75" customHeight="1">
      <c r="A44716" s="8"/>
      <c r="B44716" s="12"/>
      <c r="C44716" s="8"/>
      <c r="D44716" s="8"/>
    </row>
    <row r="44717" spans="1:4" ht="15.75" customHeight="1">
      <c r="A44717" s="8"/>
      <c r="B44717" s="12"/>
      <c r="C44717" s="8"/>
      <c r="D44717" s="8"/>
    </row>
    <row r="44718" spans="1:4" ht="15.75" customHeight="1">
      <c r="A44718" s="8"/>
      <c r="B44718" s="12"/>
      <c r="C44718" s="8"/>
      <c r="D44718" s="8"/>
    </row>
    <row r="44719" spans="1:4" ht="15.75" customHeight="1">
      <c r="A44719" s="8"/>
      <c r="B44719" s="12"/>
      <c r="C44719" s="8"/>
      <c r="D44719" s="8"/>
    </row>
    <row r="44720" spans="1:4" ht="15.75" customHeight="1">
      <c r="A44720" s="8"/>
      <c r="B44720" s="12"/>
      <c r="C44720" s="8"/>
      <c r="D44720" s="8"/>
    </row>
    <row r="44721" spans="1:4" ht="15.75" customHeight="1">
      <c r="A44721" s="8"/>
      <c r="B44721" s="12"/>
      <c r="C44721" s="8"/>
      <c r="D44721" s="8"/>
    </row>
    <row r="44722" spans="1:4" ht="15.75" customHeight="1">
      <c r="A44722" s="8"/>
      <c r="B44722" s="12"/>
      <c r="C44722" s="8"/>
      <c r="D44722" s="8"/>
    </row>
    <row r="44723" spans="1:4" ht="15.75" customHeight="1">
      <c r="A44723" s="8"/>
      <c r="B44723" s="12"/>
      <c r="C44723" s="8"/>
      <c r="D44723" s="8"/>
    </row>
    <row r="44724" spans="1:4" ht="15.75" customHeight="1">
      <c r="A44724" s="8"/>
      <c r="B44724" s="12"/>
      <c r="C44724" s="8"/>
      <c r="D44724" s="8"/>
    </row>
    <row r="44725" spans="1:4" ht="15.75" customHeight="1">
      <c r="A44725" s="8"/>
      <c r="B44725" s="12"/>
      <c r="C44725" s="8"/>
      <c r="D44725" s="8"/>
    </row>
    <row r="44726" spans="1:4" ht="15.75" customHeight="1">
      <c r="A44726" s="8"/>
      <c r="B44726" s="12"/>
      <c r="C44726" s="8"/>
      <c r="D44726" s="8"/>
    </row>
    <row r="44727" spans="1:4" ht="15.75" customHeight="1">
      <c r="A44727" s="8"/>
      <c r="B44727" s="12"/>
      <c r="C44727" s="8"/>
      <c r="D44727" s="8"/>
    </row>
    <row r="44728" spans="1:4" ht="15.75" customHeight="1">
      <c r="A44728" s="8"/>
      <c r="B44728" s="12"/>
      <c r="C44728" s="8"/>
      <c r="D44728" s="8"/>
    </row>
    <row r="44729" spans="1:4" ht="15.75" customHeight="1">
      <c r="A44729" s="8"/>
      <c r="B44729" s="12"/>
      <c r="C44729" s="8"/>
      <c r="D44729" s="8"/>
    </row>
    <row r="44730" spans="1:4" ht="15.75" customHeight="1">
      <c r="A44730" s="8"/>
      <c r="B44730" s="12"/>
      <c r="C44730" s="8"/>
      <c r="D44730" s="8"/>
    </row>
    <row r="44731" spans="1:4" ht="15.75" customHeight="1">
      <c r="A44731" s="8"/>
      <c r="B44731" s="12"/>
      <c r="C44731" s="8"/>
      <c r="D44731" s="8"/>
    </row>
    <row r="44732" spans="1:4" ht="15.75" customHeight="1">
      <c r="A44732" s="8"/>
      <c r="B44732" s="12"/>
      <c r="C44732" s="8"/>
      <c r="D44732" s="8"/>
    </row>
    <row r="44733" spans="1:4" ht="15.75" customHeight="1">
      <c r="A44733" s="8"/>
      <c r="B44733" s="12"/>
      <c r="C44733" s="8"/>
      <c r="D44733" s="8"/>
    </row>
    <row r="44734" spans="1:4" ht="15.75" customHeight="1">
      <c r="A44734" s="8"/>
      <c r="B44734" s="12"/>
      <c r="C44734" s="8"/>
      <c r="D44734" s="8"/>
    </row>
    <row r="44735" spans="1:4" ht="15.75" customHeight="1">
      <c r="A44735" s="8"/>
      <c r="B44735" s="12"/>
      <c r="C44735" s="8"/>
      <c r="D44735" s="8"/>
    </row>
    <row r="44736" spans="1:4" ht="15.75" customHeight="1">
      <c r="A44736" s="8"/>
      <c r="B44736" s="12"/>
      <c r="C44736" s="8"/>
      <c r="D44736" s="8"/>
    </row>
    <row r="44737" spans="1:4" ht="15.75" customHeight="1">
      <c r="A44737" s="8"/>
      <c r="B44737" s="12"/>
      <c r="C44737" s="8"/>
      <c r="D44737" s="8"/>
    </row>
    <row r="44738" spans="1:4" ht="15.75" customHeight="1">
      <c r="A44738" s="8"/>
      <c r="B44738" s="12"/>
      <c r="C44738" s="8"/>
      <c r="D44738" s="8"/>
    </row>
    <row r="44739" spans="1:4" ht="15.75" customHeight="1">
      <c r="A44739" s="8"/>
      <c r="B44739" s="12"/>
      <c r="C44739" s="8"/>
      <c r="D44739" s="8"/>
    </row>
    <row r="44740" spans="1:4" ht="15.75" customHeight="1">
      <c r="A44740" s="8"/>
      <c r="B44740" s="12"/>
      <c r="C44740" s="8"/>
      <c r="D44740" s="8"/>
    </row>
    <row r="44741" spans="1:4" ht="15.75" customHeight="1">
      <c r="A44741" s="8"/>
      <c r="B44741" s="12"/>
      <c r="C44741" s="8"/>
      <c r="D44741" s="8"/>
    </row>
    <row r="44742" spans="1:4" ht="15.75" customHeight="1">
      <c r="A44742" s="8"/>
      <c r="B44742" s="12"/>
      <c r="C44742" s="8"/>
      <c r="D44742" s="8"/>
    </row>
    <row r="44743" spans="1:4" ht="15.75" customHeight="1">
      <c r="A44743" s="8"/>
      <c r="B44743" s="12"/>
      <c r="C44743" s="8"/>
      <c r="D44743" s="8"/>
    </row>
    <row r="44744" spans="1:4" ht="15.75" customHeight="1">
      <c r="A44744" s="8"/>
      <c r="B44744" s="12"/>
      <c r="C44744" s="8"/>
      <c r="D44744" s="8"/>
    </row>
    <row r="44745" spans="1:4" ht="15.75" customHeight="1">
      <c r="A44745" s="8"/>
      <c r="B44745" s="12"/>
      <c r="C44745" s="8"/>
      <c r="D44745" s="8"/>
    </row>
    <row r="44746" spans="1:4" ht="15.75" customHeight="1">
      <c r="A44746" s="8"/>
      <c r="B44746" s="12"/>
      <c r="C44746" s="8"/>
      <c r="D44746" s="8"/>
    </row>
    <row r="44747" spans="1:4" ht="15.75" customHeight="1">
      <c r="A44747" s="8"/>
      <c r="B44747" s="12"/>
      <c r="C44747" s="8"/>
      <c r="D44747" s="8"/>
    </row>
    <row r="44748" spans="1:4" ht="15.75" customHeight="1">
      <c r="A44748" s="8"/>
      <c r="B44748" s="12"/>
      <c r="C44748" s="8"/>
      <c r="D44748" s="8"/>
    </row>
    <row r="44749" spans="1:4" ht="15.75" customHeight="1">
      <c r="A44749" s="8"/>
      <c r="B44749" s="12"/>
      <c r="C44749" s="8"/>
      <c r="D44749" s="8"/>
    </row>
    <row r="44750" spans="1:4" ht="15.75" customHeight="1">
      <c r="A44750" s="8"/>
      <c r="B44750" s="12"/>
      <c r="C44750" s="8"/>
      <c r="D44750" s="8"/>
    </row>
    <row r="44751" spans="1:4" ht="15.75" customHeight="1">
      <c r="A44751" s="8"/>
      <c r="B44751" s="12"/>
      <c r="C44751" s="8"/>
      <c r="D44751" s="8"/>
    </row>
    <row r="44752" spans="1:4" ht="15.75" customHeight="1">
      <c r="A44752" s="8"/>
      <c r="B44752" s="12"/>
      <c r="C44752" s="8"/>
      <c r="D44752" s="8"/>
    </row>
    <row r="44753" spans="1:4" ht="15.75" customHeight="1">
      <c r="A44753" s="8"/>
      <c r="B44753" s="12"/>
      <c r="C44753" s="8"/>
      <c r="D44753" s="8"/>
    </row>
    <row r="44754" spans="1:4" ht="15.75" customHeight="1">
      <c r="A44754" s="8"/>
      <c r="B44754" s="12"/>
      <c r="C44754" s="8"/>
      <c r="D44754" s="8"/>
    </row>
    <row r="44755" spans="1:4" ht="15.75" customHeight="1">
      <c r="A44755" s="8"/>
      <c r="B44755" s="12"/>
      <c r="C44755" s="8"/>
      <c r="D44755" s="8"/>
    </row>
    <row r="44756" spans="1:4" ht="15.75" customHeight="1">
      <c r="A44756" s="8"/>
      <c r="B44756" s="12"/>
      <c r="C44756" s="8"/>
      <c r="D44756" s="8"/>
    </row>
    <row r="44757" spans="1:4" ht="15.75" customHeight="1">
      <c r="A44757" s="8"/>
      <c r="B44757" s="12"/>
      <c r="C44757" s="8"/>
      <c r="D44757" s="8"/>
    </row>
    <row r="44758" spans="1:4" ht="15.75" customHeight="1">
      <c r="A44758" s="8"/>
      <c r="B44758" s="12"/>
      <c r="C44758" s="8"/>
      <c r="D44758" s="8"/>
    </row>
    <row r="44759" spans="1:4" ht="15.75" customHeight="1">
      <c r="A44759" s="8"/>
      <c r="B44759" s="12"/>
      <c r="C44759" s="8"/>
      <c r="D44759" s="8"/>
    </row>
    <row r="44760" spans="1:4" ht="15.75" customHeight="1">
      <c r="A44760" s="8"/>
      <c r="B44760" s="12"/>
      <c r="C44760" s="8"/>
      <c r="D44760" s="8"/>
    </row>
    <row r="44761" spans="1:4" ht="15.75" customHeight="1">
      <c r="A44761" s="8"/>
      <c r="B44761" s="12"/>
      <c r="C44761" s="8"/>
      <c r="D44761" s="8"/>
    </row>
    <row r="44762" spans="1:4" ht="15.75" customHeight="1">
      <c r="A44762" s="8"/>
      <c r="B44762" s="12"/>
      <c r="C44762" s="8"/>
      <c r="D44762" s="8"/>
    </row>
    <row r="44763" spans="1:4" ht="15.75" customHeight="1">
      <c r="A44763" s="8"/>
      <c r="B44763" s="12"/>
      <c r="C44763" s="8"/>
      <c r="D44763" s="8"/>
    </row>
    <row r="44764" spans="1:4" ht="15.75" customHeight="1">
      <c r="A44764" s="8"/>
      <c r="B44764" s="12"/>
      <c r="C44764" s="8"/>
      <c r="D44764" s="8"/>
    </row>
    <row r="44765" spans="1:4" ht="15.75" customHeight="1">
      <c r="A44765" s="8"/>
      <c r="B44765" s="12"/>
      <c r="C44765" s="8"/>
      <c r="D44765" s="8"/>
    </row>
    <row r="44766" spans="1:4" ht="15.75" customHeight="1">
      <c r="A44766" s="8"/>
      <c r="B44766" s="12"/>
      <c r="C44766" s="8"/>
      <c r="D44766" s="8"/>
    </row>
    <row r="44767" spans="1:4" ht="15.75" customHeight="1">
      <c r="A44767" s="8"/>
      <c r="B44767" s="12"/>
      <c r="C44767" s="8"/>
      <c r="D44767" s="8"/>
    </row>
    <row r="44768" spans="1:4" ht="15.75" customHeight="1">
      <c r="A44768" s="8"/>
      <c r="B44768" s="12"/>
      <c r="C44768" s="8"/>
      <c r="D44768" s="8"/>
    </row>
    <row r="44769" spans="1:4" ht="15.75" customHeight="1">
      <c r="A44769" s="8"/>
      <c r="B44769" s="12"/>
      <c r="C44769" s="8"/>
      <c r="D44769" s="8"/>
    </row>
    <row r="44770" spans="1:4" ht="15.75" customHeight="1">
      <c r="A44770" s="8"/>
      <c r="B44770" s="12"/>
      <c r="C44770" s="8"/>
      <c r="D44770" s="8"/>
    </row>
    <row r="44771" spans="1:4" ht="15.75" customHeight="1">
      <c r="A44771" s="8"/>
      <c r="B44771" s="12"/>
      <c r="C44771" s="8"/>
      <c r="D44771" s="8"/>
    </row>
    <row r="44772" spans="1:4" ht="15.75" customHeight="1">
      <c r="A44772" s="8"/>
      <c r="B44772" s="12"/>
      <c r="C44772" s="8"/>
      <c r="D44772" s="8"/>
    </row>
    <row r="44773" spans="1:4" ht="15.75" customHeight="1">
      <c r="A44773" s="8"/>
      <c r="B44773" s="12"/>
      <c r="C44773" s="8"/>
      <c r="D44773" s="8"/>
    </row>
    <row r="44774" spans="1:4" ht="15.75" customHeight="1">
      <c r="A44774" s="8"/>
      <c r="B44774" s="12"/>
      <c r="C44774" s="8"/>
      <c r="D44774" s="8"/>
    </row>
    <row r="44775" spans="1:4" ht="15.75" customHeight="1">
      <c r="A44775" s="8"/>
      <c r="B44775" s="12"/>
      <c r="C44775" s="8"/>
      <c r="D44775" s="8"/>
    </row>
    <row r="44776" spans="1:4" ht="15.75" customHeight="1">
      <c r="A44776" s="8"/>
      <c r="B44776" s="12"/>
      <c r="C44776" s="8"/>
      <c r="D44776" s="8"/>
    </row>
    <row r="44777" spans="1:4" ht="15.75" customHeight="1">
      <c r="A44777" s="8"/>
      <c r="B44777" s="12"/>
      <c r="C44777" s="8"/>
      <c r="D44777" s="8"/>
    </row>
    <row r="44778" spans="1:4" ht="15.75" customHeight="1">
      <c r="A44778" s="8"/>
      <c r="B44778" s="12"/>
      <c r="C44778" s="8"/>
      <c r="D44778" s="8"/>
    </row>
    <row r="44779" spans="1:4" ht="15.75" customHeight="1">
      <c r="A44779" s="8"/>
      <c r="B44779" s="12"/>
      <c r="C44779" s="8"/>
      <c r="D44779" s="8"/>
    </row>
    <row r="44780" spans="1:4" ht="15.75" customHeight="1">
      <c r="A44780" s="8"/>
      <c r="B44780" s="12"/>
      <c r="C44780" s="8"/>
      <c r="D44780" s="8"/>
    </row>
    <row r="44781" spans="1:4" ht="15.75" customHeight="1">
      <c r="A44781" s="8"/>
      <c r="B44781" s="12"/>
      <c r="C44781" s="8"/>
      <c r="D44781" s="8"/>
    </row>
    <row r="44782" spans="1:4" ht="15.75" customHeight="1">
      <c r="A44782" s="8"/>
      <c r="B44782" s="12"/>
      <c r="C44782" s="8"/>
      <c r="D44782" s="8"/>
    </row>
    <row r="44783" spans="1:4" ht="15.75" customHeight="1">
      <c r="A44783" s="8"/>
      <c r="B44783" s="12"/>
      <c r="C44783" s="8"/>
      <c r="D44783" s="8"/>
    </row>
    <row r="44784" spans="1:4" ht="15.75" customHeight="1">
      <c r="A44784" s="8"/>
      <c r="B44784" s="12"/>
      <c r="C44784" s="8"/>
      <c r="D44784" s="8"/>
    </row>
    <row r="44785" spans="1:4" ht="15.75" customHeight="1">
      <c r="A44785" s="8"/>
      <c r="B44785" s="12"/>
      <c r="C44785" s="8"/>
      <c r="D44785" s="8"/>
    </row>
    <row r="44786" spans="1:4" ht="15.75" customHeight="1">
      <c r="A44786" s="8"/>
      <c r="B44786" s="12"/>
      <c r="C44786" s="8"/>
      <c r="D44786" s="8"/>
    </row>
    <row r="44787" spans="1:4" ht="15.75" customHeight="1">
      <c r="A44787" s="8"/>
      <c r="B44787" s="12"/>
      <c r="C44787" s="8"/>
      <c r="D44787" s="8"/>
    </row>
    <row r="44788" spans="1:4" ht="15.75" customHeight="1">
      <c r="A44788" s="8"/>
      <c r="B44788" s="12"/>
      <c r="C44788" s="8"/>
      <c r="D44788" s="8"/>
    </row>
    <row r="44789" spans="1:4" ht="15.75" customHeight="1">
      <c r="A44789" s="8"/>
      <c r="B44789" s="12"/>
      <c r="C44789" s="8"/>
      <c r="D44789" s="8"/>
    </row>
    <row r="44790" spans="1:4" ht="15.75" customHeight="1">
      <c r="A44790" s="8"/>
      <c r="B44790" s="12"/>
      <c r="C44790" s="8"/>
      <c r="D44790" s="8"/>
    </row>
    <row r="44791" spans="1:4" ht="15.75" customHeight="1">
      <c r="A44791" s="8"/>
      <c r="B44791" s="12"/>
      <c r="C44791" s="8"/>
      <c r="D44791" s="8"/>
    </row>
    <row r="44792" spans="1:4" ht="15.75" customHeight="1">
      <c r="A44792" s="8"/>
      <c r="B44792" s="12"/>
      <c r="C44792" s="8"/>
      <c r="D44792" s="8"/>
    </row>
    <row r="44793" spans="1:4" ht="15.75" customHeight="1">
      <c r="A44793" s="8"/>
      <c r="B44793" s="12"/>
      <c r="C44793" s="8"/>
      <c r="D44793" s="8"/>
    </row>
    <row r="44794" spans="1:4" ht="15.75" customHeight="1">
      <c r="A44794" s="8"/>
      <c r="B44794" s="12"/>
      <c r="C44794" s="8"/>
      <c r="D44794" s="8"/>
    </row>
    <row r="44795" spans="1:4" ht="15.75" customHeight="1">
      <c r="A44795" s="8"/>
      <c r="B44795" s="12"/>
      <c r="C44795" s="8"/>
      <c r="D44795" s="8"/>
    </row>
    <row r="44796" spans="1:4" ht="15.75" customHeight="1">
      <c r="A44796" s="8"/>
      <c r="B44796" s="12"/>
      <c r="C44796" s="8"/>
      <c r="D44796" s="8"/>
    </row>
    <row r="44797" spans="1:4" ht="15.75" customHeight="1">
      <c r="A44797" s="8"/>
      <c r="B44797" s="12"/>
      <c r="C44797" s="8"/>
      <c r="D44797" s="8"/>
    </row>
    <row r="44798" spans="1:4" ht="15.75" customHeight="1">
      <c r="A44798" s="8"/>
      <c r="B44798" s="12"/>
      <c r="C44798" s="8"/>
      <c r="D44798" s="8"/>
    </row>
    <row r="44799" spans="1:4" ht="15.75" customHeight="1">
      <c r="A44799" s="8"/>
      <c r="B44799" s="12"/>
      <c r="C44799" s="8"/>
      <c r="D44799" s="8"/>
    </row>
    <row r="44800" spans="1:4" ht="15.75" customHeight="1">
      <c r="A44800" s="8"/>
      <c r="B44800" s="12"/>
      <c r="C44800" s="8"/>
      <c r="D44800" s="8"/>
    </row>
    <row r="44801" spans="1:4" ht="15.75" customHeight="1">
      <c r="A44801" s="8"/>
      <c r="B44801" s="12"/>
      <c r="C44801" s="8"/>
      <c r="D44801" s="8"/>
    </row>
    <row r="44802" spans="1:4" ht="15.75" customHeight="1">
      <c r="A44802" s="8"/>
      <c r="B44802" s="12"/>
      <c r="C44802" s="8"/>
      <c r="D44802" s="8"/>
    </row>
    <row r="44803" spans="1:4" ht="15.75" customHeight="1">
      <c r="A44803" s="8"/>
      <c r="B44803" s="12"/>
      <c r="C44803" s="8"/>
      <c r="D44803" s="8"/>
    </row>
    <row r="44804" spans="1:4" ht="15.75" customHeight="1">
      <c r="A44804" s="8"/>
      <c r="B44804" s="12"/>
      <c r="C44804" s="8"/>
      <c r="D44804" s="8"/>
    </row>
    <row r="44805" spans="1:4" ht="15.75" customHeight="1">
      <c r="A44805" s="8"/>
      <c r="B44805" s="12"/>
      <c r="C44805" s="8"/>
      <c r="D44805" s="8"/>
    </row>
    <row r="44806" spans="1:4" ht="15.75" customHeight="1">
      <c r="A44806" s="8"/>
      <c r="B44806" s="12"/>
      <c r="C44806" s="8"/>
      <c r="D44806" s="8"/>
    </row>
    <row r="44807" spans="1:4" ht="15.75" customHeight="1">
      <c r="A44807" s="8"/>
      <c r="B44807" s="12"/>
      <c r="C44807" s="8"/>
      <c r="D44807" s="8"/>
    </row>
    <row r="44808" spans="1:4" ht="15.75" customHeight="1">
      <c r="A44808" s="8"/>
      <c r="B44808" s="12"/>
      <c r="C44808" s="8"/>
      <c r="D44808" s="8"/>
    </row>
    <row r="44809" spans="1:4" ht="15.75" customHeight="1">
      <c r="A44809" s="8"/>
      <c r="B44809" s="12"/>
      <c r="C44809" s="8"/>
      <c r="D44809" s="8"/>
    </row>
    <row r="44810" spans="1:4" ht="15.75" customHeight="1">
      <c r="A44810" s="8"/>
      <c r="B44810" s="12"/>
      <c r="C44810" s="8"/>
      <c r="D44810" s="8"/>
    </row>
    <row r="44811" spans="1:4" ht="15.75" customHeight="1">
      <c r="A44811" s="8"/>
      <c r="B44811" s="12"/>
      <c r="C44811" s="8"/>
      <c r="D44811" s="8"/>
    </row>
    <row r="44812" spans="1:4" ht="15.75" customHeight="1">
      <c r="A44812" s="8"/>
      <c r="B44812" s="12"/>
      <c r="C44812" s="8"/>
      <c r="D44812" s="8"/>
    </row>
    <row r="44813" spans="1:4" ht="15.75" customHeight="1">
      <c r="A44813" s="8"/>
      <c r="B44813" s="12"/>
      <c r="C44813" s="8"/>
      <c r="D44813" s="8"/>
    </row>
    <row r="44814" spans="1:4" ht="15.75" customHeight="1">
      <c r="A44814" s="8"/>
      <c r="B44814" s="12"/>
      <c r="C44814" s="8"/>
      <c r="D44814" s="8"/>
    </row>
    <row r="44815" spans="1:4" ht="15.75" customHeight="1">
      <c r="A44815" s="8"/>
      <c r="B44815" s="12"/>
      <c r="C44815" s="8"/>
      <c r="D44815" s="8"/>
    </row>
    <row r="44816" spans="1:4" ht="15.75" customHeight="1">
      <c r="A44816" s="8"/>
      <c r="B44816" s="12"/>
      <c r="C44816" s="8"/>
      <c r="D44816" s="8"/>
    </row>
    <row r="44817" spans="1:4" ht="15.75" customHeight="1">
      <c r="A44817" s="8"/>
      <c r="B44817" s="12"/>
      <c r="C44817" s="8"/>
      <c r="D44817" s="8"/>
    </row>
    <row r="44818" spans="1:4" ht="15.75" customHeight="1">
      <c r="A44818" s="8"/>
      <c r="B44818" s="12"/>
      <c r="C44818" s="8"/>
      <c r="D44818" s="8"/>
    </row>
    <row r="44819" spans="1:4" ht="15.75" customHeight="1">
      <c r="A44819" s="8"/>
      <c r="B44819" s="12"/>
      <c r="C44819" s="8"/>
      <c r="D44819" s="8"/>
    </row>
    <row r="44820" spans="1:4" ht="15.75" customHeight="1">
      <c r="A44820" s="8"/>
      <c r="B44820" s="12"/>
      <c r="C44820" s="8"/>
      <c r="D44820" s="8"/>
    </row>
    <row r="44821" spans="1:4" ht="15.75" customHeight="1">
      <c r="A44821" s="8"/>
      <c r="B44821" s="12"/>
      <c r="C44821" s="8"/>
      <c r="D44821" s="8"/>
    </row>
    <row r="44822" spans="1:4" ht="15.75" customHeight="1">
      <c r="A44822" s="8"/>
      <c r="B44822" s="12"/>
      <c r="C44822" s="8"/>
      <c r="D44822" s="8"/>
    </row>
    <row r="44823" spans="1:4" ht="15.75" customHeight="1">
      <c r="A44823" s="8"/>
      <c r="B44823" s="12"/>
      <c r="C44823" s="8"/>
      <c r="D44823" s="8"/>
    </row>
    <row r="44824" spans="1:4" ht="15.75" customHeight="1">
      <c r="A44824" s="8"/>
      <c r="B44824" s="12"/>
      <c r="C44824" s="8"/>
      <c r="D44824" s="8"/>
    </row>
    <row r="44825" spans="1:4" ht="15.75" customHeight="1">
      <c r="A44825" s="8"/>
      <c r="B44825" s="12"/>
      <c r="C44825" s="8"/>
      <c r="D44825" s="8"/>
    </row>
    <row r="44826" spans="1:4" ht="15.75" customHeight="1">
      <c r="A44826" s="8"/>
      <c r="B44826" s="12"/>
      <c r="C44826" s="8"/>
      <c r="D44826" s="8"/>
    </row>
    <row r="44827" spans="1:4" ht="15.75" customHeight="1">
      <c r="A44827" s="8"/>
      <c r="B44827" s="12"/>
      <c r="C44827" s="8"/>
      <c r="D44827" s="8"/>
    </row>
    <row r="44828" spans="1:4" ht="15.75" customHeight="1">
      <c r="A44828" s="8"/>
      <c r="B44828" s="12"/>
      <c r="C44828" s="8"/>
      <c r="D44828" s="8"/>
    </row>
    <row r="44829" spans="1:4" ht="15.75" customHeight="1">
      <c r="A44829" s="8"/>
      <c r="B44829" s="12"/>
      <c r="C44829" s="8"/>
      <c r="D44829" s="8"/>
    </row>
    <row r="44830" spans="1:4" ht="15.75" customHeight="1">
      <c r="A44830" s="8"/>
      <c r="B44830" s="12"/>
      <c r="C44830" s="8"/>
      <c r="D44830" s="8"/>
    </row>
    <row r="44831" spans="1:4" ht="15.75" customHeight="1">
      <c r="A44831" s="8"/>
      <c r="B44831" s="12"/>
      <c r="C44831" s="8"/>
      <c r="D44831" s="8"/>
    </row>
    <row r="44832" spans="1:4" ht="15.75" customHeight="1">
      <c r="A44832" s="8"/>
      <c r="B44832" s="12"/>
      <c r="C44832" s="8"/>
      <c r="D44832" s="8"/>
    </row>
    <row r="44833" spans="1:4" ht="15.75" customHeight="1">
      <c r="A44833" s="8"/>
      <c r="B44833" s="12"/>
      <c r="C44833" s="8"/>
      <c r="D44833" s="8"/>
    </row>
    <row r="44834" spans="1:4" ht="15.75" customHeight="1">
      <c r="A44834" s="8"/>
      <c r="B44834" s="12"/>
      <c r="C44834" s="8"/>
      <c r="D44834" s="8"/>
    </row>
    <row r="44835" spans="1:4" ht="15.75" customHeight="1">
      <c r="A44835" s="8"/>
      <c r="B44835" s="12"/>
      <c r="C44835" s="8"/>
      <c r="D44835" s="8"/>
    </row>
    <row r="44836" spans="1:4" ht="15.75" customHeight="1">
      <c r="A44836" s="8"/>
      <c r="B44836" s="12"/>
      <c r="C44836" s="8"/>
      <c r="D44836" s="8"/>
    </row>
    <row r="44837" spans="1:4" ht="15.75" customHeight="1">
      <c r="A44837" s="8"/>
      <c r="B44837" s="12"/>
      <c r="C44837" s="8"/>
      <c r="D44837" s="8"/>
    </row>
    <row r="44838" spans="1:4" ht="15.75" customHeight="1">
      <c r="A44838" s="8"/>
      <c r="B44838" s="12"/>
      <c r="C44838" s="8"/>
      <c r="D44838" s="8"/>
    </row>
    <row r="44839" spans="1:4" ht="15.75" customHeight="1">
      <c r="A44839" s="8"/>
      <c r="B44839" s="12"/>
      <c r="C44839" s="8"/>
      <c r="D44839" s="8"/>
    </row>
    <row r="44840" spans="1:4" ht="15.75" customHeight="1">
      <c r="A44840" s="8"/>
      <c r="B44840" s="12"/>
      <c r="C44840" s="8"/>
      <c r="D44840" s="8"/>
    </row>
    <row r="44841" spans="1:4" ht="15.75" customHeight="1">
      <c r="A44841" s="8"/>
      <c r="B44841" s="12"/>
      <c r="C44841" s="8"/>
      <c r="D44841" s="8"/>
    </row>
    <row r="44842" spans="1:4" ht="15.75" customHeight="1">
      <c r="A44842" s="8"/>
      <c r="B44842" s="12"/>
      <c r="C44842" s="8"/>
      <c r="D44842" s="8"/>
    </row>
    <row r="44843" spans="1:4" ht="15.75" customHeight="1">
      <c r="A44843" s="8"/>
      <c r="B44843" s="12"/>
      <c r="C44843" s="8"/>
      <c r="D44843" s="8"/>
    </row>
    <row r="44844" spans="1:4" ht="15.75" customHeight="1">
      <c r="A44844" s="8"/>
      <c r="B44844" s="12"/>
      <c r="C44844" s="8"/>
      <c r="D44844" s="8"/>
    </row>
    <row r="44845" spans="1:4" ht="15.75" customHeight="1">
      <c r="A44845" s="8"/>
      <c r="B44845" s="12"/>
      <c r="C44845" s="8"/>
      <c r="D44845" s="8"/>
    </row>
    <row r="44846" spans="1:4" ht="15.75" customHeight="1">
      <c r="A44846" s="8"/>
      <c r="B44846" s="12"/>
      <c r="C44846" s="8"/>
      <c r="D44846" s="8"/>
    </row>
    <row r="44847" spans="1:4" ht="15.75" customHeight="1">
      <c r="A44847" s="8"/>
      <c r="B44847" s="12"/>
      <c r="C44847" s="8"/>
      <c r="D44847" s="8"/>
    </row>
    <row r="44848" spans="1:4" ht="15.75" customHeight="1">
      <c r="A44848" s="8"/>
      <c r="B44848" s="12"/>
      <c r="C44848" s="8"/>
      <c r="D44848" s="8"/>
    </row>
    <row r="44849" spans="1:4" ht="15.75" customHeight="1">
      <c r="A44849" s="8"/>
      <c r="B44849" s="12"/>
      <c r="C44849" s="8"/>
      <c r="D44849" s="8"/>
    </row>
    <row r="44850" spans="1:4" ht="15.75" customHeight="1">
      <c r="A44850" s="8"/>
      <c r="B44850" s="12"/>
      <c r="C44850" s="8"/>
      <c r="D44850" s="8"/>
    </row>
    <row r="44851" spans="1:4" ht="15.75" customHeight="1">
      <c r="A44851" s="8"/>
      <c r="B44851" s="12"/>
      <c r="C44851" s="8"/>
      <c r="D44851" s="8"/>
    </row>
    <row r="44852" spans="1:4" ht="15.75" customHeight="1">
      <c r="A44852" s="8"/>
      <c r="B44852" s="12"/>
      <c r="C44852" s="8"/>
      <c r="D44852" s="8"/>
    </row>
    <row r="44853" spans="1:4" ht="15.75" customHeight="1">
      <c r="A44853" s="8"/>
      <c r="B44853" s="12"/>
      <c r="C44853" s="8"/>
      <c r="D44853" s="8"/>
    </row>
    <row r="44854" spans="1:4" ht="15.75" customHeight="1">
      <c r="A44854" s="8"/>
      <c r="B44854" s="12"/>
      <c r="C44854" s="8"/>
      <c r="D44854" s="8"/>
    </row>
    <row r="44855" spans="1:4" ht="15.75" customHeight="1">
      <c r="A44855" s="8"/>
      <c r="B44855" s="12"/>
      <c r="C44855" s="8"/>
      <c r="D44855" s="8"/>
    </row>
    <row r="44856" spans="1:4" ht="15.75" customHeight="1">
      <c r="A44856" s="8"/>
      <c r="B44856" s="12"/>
      <c r="C44856" s="8"/>
      <c r="D44856" s="8"/>
    </row>
    <row r="44857" spans="1:4" ht="15.75" customHeight="1">
      <c r="A44857" s="8"/>
      <c r="B44857" s="12"/>
      <c r="C44857" s="8"/>
      <c r="D44857" s="8"/>
    </row>
    <row r="44858" spans="1:4" ht="15.75" customHeight="1">
      <c r="A44858" s="8"/>
      <c r="B44858" s="12"/>
      <c r="C44858" s="8"/>
      <c r="D44858" s="8"/>
    </row>
    <row r="44859" spans="1:4" ht="15.75" customHeight="1">
      <c r="A44859" s="8"/>
      <c r="B44859" s="12"/>
      <c r="C44859" s="8"/>
      <c r="D44859" s="8"/>
    </row>
    <row r="44860" spans="1:4" ht="15.75" customHeight="1">
      <c r="A44860" s="8"/>
      <c r="B44860" s="12"/>
      <c r="C44860" s="8"/>
      <c r="D44860" s="8"/>
    </row>
    <row r="44861" spans="1:4" ht="15.75" customHeight="1">
      <c r="A44861" s="8"/>
      <c r="B44861" s="12"/>
      <c r="C44861" s="8"/>
      <c r="D44861" s="8"/>
    </row>
    <row r="44862" spans="1:4" ht="15.75" customHeight="1">
      <c r="A44862" s="8"/>
      <c r="B44862" s="12"/>
      <c r="C44862" s="8"/>
      <c r="D44862" s="8"/>
    </row>
    <row r="44863" spans="1:4" ht="15.75" customHeight="1">
      <c r="A44863" s="8"/>
      <c r="B44863" s="12"/>
      <c r="C44863" s="8"/>
      <c r="D44863" s="8"/>
    </row>
    <row r="44864" spans="1:4" ht="15.75" customHeight="1">
      <c r="A44864" s="8"/>
      <c r="B44864" s="12"/>
      <c r="C44864" s="8"/>
      <c r="D44864" s="8"/>
    </row>
    <row r="44865" spans="1:4" ht="15.75" customHeight="1">
      <c r="A44865" s="8"/>
      <c r="B44865" s="12"/>
      <c r="C44865" s="8"/>
      <c r="D44865" s="8"/>
    </row>
    <row r="44866" spans="1:4" ht="15.75" customHeight="1">
      <c r="A44866" s="8"/>
      <c r="B44866" s="12"/>
      <c r="C44866" s="8"/>
      <c r="D44866" s="8"/>
    </row>
    <row r="44867" spans="1:4" ht="15.75" customHeight="1">
      <c r="A44867" s="8"/>
      <c r="B44867" s="12"/>
      <c r="C44867" s="8"/>
      <c r="D44867" s="8"/>
    </row>
    <row r="44868" spans="1:4" ht="15.75" customHeight="1">
      <c r="A44868" s="8"/>
      <c r="B44868" s="12"/>
      <c r="C44868" s="8"/>
      <c r="D44868" s="8"/>
    </row>
    <row r="44869" spans="1:4" ht="15.75" customHeight="1">
      <c r="A44869" s="8"/>
      <c r="B44869" s="12"/>
      <c r="C44869" s="8"/>
      <c r="D44869" s="8"/>
    </row>
    <row r="44870" spans="1:4" ht="15.75" customHeight="1">
      <c r="A44870" s="8"/>
      <c r="B44870" s="12"/>
      <c r="C44870" s="8"/>
      <c r="D44870" s="8"/>
    </row>
    <row r="44871" spans="1:4" ht="15.75" customHeight="1">
      <c r="A44871" s="8"/>
      <c r="B44871" s="12"/>
      <c r="C44871" s="8"/>
      <c r="D44871" s="8"/>
    </row>
    <row r="44872" spans="1:4" ht="15.75" customHeight="1">
      <c r="A44872" s="8"/>
      <c r="B44872" s="12"/>
      <c r="C44872" s="8"/>
      <c r="D44872" s="8"/>
    </row>
    <row r="44873" spans="1:4" ht="15.75" customHeight="1">
      <c r="A44873" s="8"/>
      <c r="B44873" s="12"/>
      <c r="C44873" s="8"/>
      <c r="D44873" s="8"/>
    </row>
    <row r="44874" spans="1:4" ht="15.75" customHeight="1">
      <c r="A44874" s="8"/>
      <c r="B44874" s="12"/>
      <c r="C44874" s="8"/>
      <c r="D44874" s="8"/>
    </row>
    <row r="44875" spans="1:4" ht="15.75" customHeight="1">
      <c r="A44875" s="8"/>
      <c r="B44875" s="12"/>
      <c r="C44875" s="8"/>
      <c r="D44875" s="8"/>
    </row>
    <row r="44876" spans="1:4" ht="15.75" customHeight="1">
      <c r="A44876" s="8"/>
      <c r="B44876" s="12"/>
      <c r="C44876" s="8"/>
      <c r="D44876" s="8"/>
    </row>
    <row r="44877" spans="1:4" ht="15.75" customHeight="1">
      <c r="A44877" s="8"/>
      <c r="B44877" s="12"/>
      <c r="C44877" s="8"/>
      <c r="D44877" s="8"/>
    </row>
    <row r="44878" spans="1:4" ht="15.75" customHeight="1">
      <c r="A44878" s="8"/>
      <c r="B44878" s="12"/>
      <c r="C44878" s="8"/>
      <c r="D44878" s="8"/>
    </row>
    <row r="44879" spans="1:4" ht="15.75" customHeight="1">
      <c r="A44879" s="8"/>
      <c r="B44879" s="12"/>
      <c r="C44879" s="8"/>
      <c r="D44879" s="8"/>
    </row>
    <row r="44880" spans="1:4" ht="15.75" customHeight="1">
      <c r="A44880" s="8"/>
      <c r="B44880" s="12"/>
      <c r="C44880" s="8"/>
      <c r="D44880" s="8"/>
    </row>
    <row r="44881" spans="1:4" ht="15.75" customHeight="1">
      <c r="A44881" s="8"/>
      <c r="B44881" s="12"/>
      <c r="C44881" s="8"/>
      <c r="D44881" s="8"/>
    </row>
    <row r="44882" spans="1:4" ht="15.75" customHeight="1">
      <c r="A44882" s="8"/>
      <c r="B44882" s="12"/>
      <c r="C44882" s="8"/>
      <c r="D44882" s="8"/>
    </row>
    <row r="44883" spans="1:4" ht="15.75" customHeight="1">
      <c r="A44883" s="8"/>
      <c r="B44883" s="12"/>
      <c r="C44883" s="8"/>
      <c r="D44883" s="8"/>
    </row>
    <row r="44884" spans="1:4" ht="15.75" customHeight="1">
      <c r="A44884" s="8"/>
      <c r="B44884" s="12"/>
      <c r="C44884" s="8"/>
      <c r="D44884" s="8"/>
    </row>
    <row r="44885" spans="1:4" ht="15.75" customHeight="1">
      <c r="A44885" s="8"/>
      <c r="B44885" s="12"/>
      <c r="C44885" s="8"/>
      <c r="D44885" s="8"/>
    </row>
    <row r="44886" spans="1:4" ht="15.75" customHeight="1">
      <c r="A44886" s="8"/>
      <c r="B44886" s="12"/>
      <c r="C44886" s="8"/>
      <c r="D44886" s="8"/>
    </row>
    <row r="44887" spans="1:4" ht="15.75" customHeight="1">
      <c r="A44887" s="8"/>
      <c r="B44887" s="12"/>
      <c r="C44887" s="8"/>
      <c r="D44887" s="8"/>
    </row>
    <row r="44888" spans="1:4" ht="15.75" customHeight="1">
      <c r="A44888" s="8"/>
      <c r="B44888" s="12"/>
      <c r="C44888" s="8"/>
      <c r="D44888" s="8"/>
    </row>
    <row r="44889" spans="1:4" ht="15.75" customHeight="1">
      <c r="A44889" s="8"/>
      <c r="B44889" s="12"/>
      <c r="C44889" s="8"/>
      <c r="D44889" s="8"/>
    </row>
    <row r="44890" spans="1:4" ht="15.75" customHeight="1">
      <c r="A44890" s="8"/>
      <c r="B44890" s="12"/>
      <c r="C44890" s="8"/>
      <c r="D44890" s="8"/>
    </row>
    <row r="44891" spans="1:4" ht="15.75" customHeight="1">
      <c r="A44891" s="8"/>
      <c r="B44891" s="12"/>
      <c r="C44891" s="8"/>
      <c r="D44891" s="8"/>
    </row>
    <row r="44892" spans="1:4" ht="15.75" customHeight="1">
      <c r="A44892" s="8"/>
      <c r="B44892" s="12"/>
      <c r="C44892" s="8"/>
      <c r="D44892" s="8"/>
    </row>
    <row r="44893" spans="1:4" ht="15.75" customHeight="1">
      <c r="A44893" s="8"/>
      <c r="B44893" s="12"/>
      <c r="C44893" s="8"/>
      <c r="D44893" s="8"/>
    </row>
    <row r="44894" spans="1:4" ht="15.75" customHeight="1">
      <c r="A44894" s="8"/>
      <c r="B44894" s="12"/>
      <c r="C44894" s="8"/>
      <c r="D44894" s="8"/>
    </row>
    <row r="44895" spans="1:4" ht="15.75" customHeight="1">
      <c r="A44895" s="8"/>
      <c r="B44895" s="12"/>
      <c r="C44895" s="8"/>
      <c r="D44895" s="8"/>
    </row>
    <row r="44896" spans="1:4" ht="15.75" customHeight="1">
      <c r="A44896" s="8"/>
      <c r="B44896" s="12"/>
      <c r="C44896" s="8"/>
      <c r="D44896" s="8"/>
    </row>
    <row r="44897" spans="1:4" ht="15.75" customHeight="1">
      <c r="A44897" s="8"/>
      <c r="B44897" s="12"/>
      <c r="C44897" s="8"/>
      <c r="D44897" s="8"/>
    </row>
    <row r="44898" spans="1:4" ht="15.75" customHeight="1">
      <c r="A44898" s="8"/>
      <c r="B44898" s="12"/>
      <c r="C44898" s="8"/>
      <c r="D44898" s="8"/>
    </row>
    <row r="44899" spans="1:4" ht="15.75" customHeight="1">
      <c r="A44899" s="8"/>
      <c r="B44899" s="12"/>
      <c r="C44899" s="8"/>
      <c r="D44899" s="8"/>
    </row>
    <row r="44900" spans="1:4" ht="15.75" customHeight="1">
      <c r="A44900" s="8"/>
      <c r="B44900" s="12"/>
      <c r="C44900" s="8"/>
      <c r="D44900" s="8"/>
    </row>
    <row r="44901" spans="1:4" ht="15.75" customHeight="1">
      <c r="A44901" s="8"/>
      <c r="B44901" s="12"/>
      <c r="C44901" s="8"/>
      <c r="D44901" s="8"/>
    </row>
    <row r="44902" spans="1:4" ht="15.75" customHeight="1">
      <c r="A44902" s="8"/>
      <c r="B44902" s="12"/>
      <c r="C44902" s="8"/>
      <c r="D44902" s="8"/>
    </row>
    <row r="44903" spans="1:4" ht="15.75" customHeight="1">
      <c r="A44903" s="8"/>
      <c r="B44903" s="12"/>
      <c r="C44903" s="8"/>
      <c r="D44903" s="8"/>
    </row>
    <row r="44904" spans="1:4" ht="15.75" customHeight="1">
      <c r="A44904" s="8"/>
      <c r="B44904" s="12"/>
      <c r="C44904" s="8"/>
      <c r="D44904" s="8"/>
    </row>
    <row r="44905" spans="1:4" ht="15.75" customHeight="1">
      <c r="A44905" s="8"/>
      <c r="B44905" s="12"/>
      <c r="C44905" s="8"/>
      <c r="D44905" s="8"/>
    </row>
    <row r="44906" spans="1:4" ht="15.75" customHeight="1">
      <c r="A44906" s="8"/>
      <c r="B44906" s="12"/>
      <c r="C44906" s="8"/>
      <c r="D44906" s="8"/>
    </row>
    <row r="44907" spans="1:4" ht="15.75" customHeight="1">
      <c r="A44907" s="8"/>
      <c r="B44907" s="12"/>
      <c r="C44907" s="8"/>
      <c r="D44907" s="8"/>
    </row>
    <row r="44908" spans="1:4" ht="15.75" customHeight="1">
      <c r="A44908" s="8"/>
      <c r="B44908" s="12"/>
      <c r="C44908" s="8"/>
      <c r="D44908" s="8"/>
    </row>
    <row r="44909" spans="1:4" ht="15.75" customHeight="1">
      <c r="A44909" s="8"/>
      <c r="B44909" s="12"/>
      <c r="C44909" s="8"/>
      <c r="D44909" s="8"/>
    </row>
    <row r="44910" spans="1:4" ht="15.75" customHeight="1">
      <c r="A44910" s="8"/>
      <c r="B44910" s="12"/>
      <c r="C44910" s="8"/>
      <c r="D44910" s="8"/>
    </row>
    <row r="44911" spans="1:4" ht="15.75" customHeight="1">
      <c r="A44911" s="8"/>
      <c r="B44911" s="12"/>
      <c r="C44911" s="8"/>
      <c r="D44911" s="8"/>
    </row>
    <row r="44912" spans="1:4" ht="15.75" customHeight="1">
      <c r="A44912" s="8"/>
      <c r="B44912" s="12"/>
      <c r="C44912" s="8"/>
      <c r="D44912" s="8"/>
    </row>
    <row r="44913" spans="1:4" ht="15.75" customHeight="1">
      <c r="A44913" s="8"/>
      <c r="B44913" s="12"/>
      <c r="C44913" s="8"/>
      <c r="D44913" s="8"/>
    </row>
    <row r="44914" spans="1:4" ht="15.75" customHeight="1">
      <c r="A44914" s="8"/>
      <c r="B44914" s="12"/>
      <c r="C44914" s="8"/>
      <c r="D44914" s="8"/>
    </row>
    <row r="44915" spans="1:4" ht="15.75" customHeight="1">
      <c r="A44915" s="8"/>
      <c r="B44915" s="12"/>
      <c r="C44915" s="8"/>
      <c r="D44915" s="8"/>
    </row>
    <row r="44916" spans="1:4" ht="15.75" customHeight="1">
      <c r="A44916" s="8"/>
      <c r="B44916" s="12"/>
      <c r="C44916" s="8"/>
      <c r="D44916" s="8"/>
    </row>
    <row r="44917" spans="1:4" ht="15.75" customHeight="1">
      <c r="A44917" s="8"/>
      <c r="B44917" s="12"/>
      <c r="C44917" s="8"/>
      <c r="D44917" s="8"/>
    </row>
    <row r="44918" spans="1:4" ht="15.75" customHeight="1">
      <c r="A44918" s="8"/>
      <c r="B44918" s="12"/>
      <c r="C44918" s="8"/>
      <c r="D44918" s="8"/>
    </row>
    <row r="44919" spans="1:4" ht="15.75" customHeight="1">
      <c r="A44919" s="8"/>
      <c r="B44919" s="12"/>
      <c r="C44919" s="8"/>
      <c r="D44919" s="8"/>
    </row>
    <row r="44920" spans="1:4" ht="15.75" customHeight="1">
      <c r="A44920" s="8"/>
      <c r="B44920" s="12"/>
      <c r="C44920" s="8"/>
      <c r="D44920" s="8"/>
    </row>
    <row r="44921" spans="1:4" ht="15.75" customHeight="1">
      <c r="A44921" s="8"/>
      <c r="B44921" s="12"/>
      <c r="C44921" s="8"/>
      <c r="D44921" s="8"/>
    </row>
    <row r="44922" spans="1:4" ht="15.75" customHeight="1">
      <c r="A44922" s="8"/>
      <c r="B44922" s="12"/>
      <c r="C44922" s="8"/>
      <c r="D44922" s="8"/>
    </row>
    <row r="44923" spans="1:4" ht="15.75" customHeight="1">
      <c r="A44923" s="8"/>
      <c r="B44923" s="12"/>
      <c r="C44923" s="8"/>
      <c r="D44923" s="8"/>
    </row>
    <row r="44924" spans="1:4" ht="15.75" customHeight="1">
      <c r="A44924" s="8"/>
      <c r="B44924" s="12"/>
      <c r="C44924" s="8"/>
      <c r="D44924" s="8"/>
    </row>
    <row r="44925" spans="1:4" ht="15.75" customHeight="1">
      <c r="A44925" s="8"/>
      <c r="B44925" s="12"/>
      <c r="C44925" s="8"/>
      <c r="D44925" s="8"/>
    </row>
    <row r="44926" spans="1:4" ht="15.75" customHeight="1">
      <c r="A44926" s="8"/>
      <c r="B44926" s="12"/>
      <c r="C44926" s="8"/>
      <c r="D44926" s="8"/>
    </row>
    <row r="44927" spans="1:4" ht="15.75" customHeight="1">
      <c r="A44927" s="8"/>
      <c r="B44927" s="12"/>
      <c r="C44927" s="8"/>
      <c r="D44927" s="8"/>
    </row>
    <row r="44928" spans="1:4" ht="15.75" customHeight="1">
      <c r="A44928" s="8"/>
      <c r="B44928" s="12"/>
      <c r="C44928" s="8"/>
      <c r="D44928" s="8"/>
    </row>
    <row r="44929" spans="1:4" ht="15.75" customHeight="1">
      <c r="A44929" s="8"/>
      <c r="B44929" s="12"/>
      <c r="C44929" s="8"/>
      <c r="D44929" s="8"/>
    </row>
    <row r="44930" spans="1:4" ht="15.75" customHeight="1">
      <c r="A44930" s="8"/>
      <c r="B44930" s="12"/>
      <c r="C44930" s="8"/>
      <c r="D44930" s="8"/>
    </row>
    <row r="44931" spans="1:4" ht="15.75" customHeight="1">
      <c r="A44931" s="8"/>
      <c r="B44931" s="12"/>
      <c r="C44931" s="8"/>
      <c r="D44931" s="8"/>
    </row>
    <row r="44932" spans="1:4" ht="15.75" customHeight="1">
      <c r="A44932" s="8"/>
      <c r="B44932" s="12"/>
      <c r="C44932" s="8"/>
      <c r="D44932" s="8"/>
    </row>
    <row r="44933" spans="1:4" ht="15.75" customHeight="1">
      <c r="A44933" s="8"/>
      <c r="B44933" s="12"/>
      <c r="C44933" s="8"/>
      <c r="D44933" s="8"/>
    </row>
    <row r="44934" spans="1:4" ht="15.75" customHeight="1">
      <c r="A44934" s="8"/>
      <c r="B44934" s="12"/>
      <c r="C44934" s="8"/>
      <c r="D44934" s="8"/>
    </row>
    <row r="44935" spans="1:4" ht="15.75" customHeight="1">
      <c r="A44935" s="8"/>
      <c r="B44935" s="12"/>
      <c r="C44935" s="8"/>
      <c r="D44935" s="8"/>
    </row>
    <row r="44936" spans="1:4" ht="15.75" customHeight="1">
      <c r="A44936" s="8"/>
      <c r="B44936" s="12"/>
      <c r="C44936" s="8"/>
      <c r="D44936" s="8"/>
    </row>
    <row r="44937" spans="1:4" ht="15.75" customHeight="1">
      <c r="A44937" s="8"/>
      <c r="B44937" s="12"/>
      <c r="C44937" s="8"/>
      <c r="D44937" s="8"/>
    </row>
    <row r="44938" spans="1:4" ht="15.75" customHeight="1">
      <c r="A44938" s="8"/>
      <c r="B44938" s="12"/>
      <c r="C44938" s="8"/>
      <c r="D44938" s="8"/>
    </row>
    <row r="44939" spans="1:4" ht="15.75" customHeight="1">
      <c r="A44939" s="8"/>
      <c r="B44939" s="12"/>
      <c r="C44939" s="8"/>
      <c r="D44939" s="8"/>
    </row>
    <row r="44940" spans="1:4" ht="15.75" customHeight="1">
      <c r="A44940" s="8"/>
      <c r="B44940" s="12"/>
      <c r="C44940" s="8"/>
      <c r="D44940" s="8"/>
    </row>
    <row r="44941" spans="1:4" ht="15.75" customHeight="1">
      <c r="A44941" s="8"/>
      <c r="B44941" s="12"/>
      <c r="C44941" s="8"/>
      <c r="D44941" s="8"/>
    </row>
    <row r="44942" spans="1:4" ht="15.75" customHeight="1">
      <c r="A44942" s="8"/>
      <c r="B44942" s="12"/>
      <c r="C44942" s="8"/>
      <c r="D44942" s="8"/>
    </row>
    <row r="44943" spans="1:4" ht="15.75" customHeight="1">
      <c r="A44943" s="8"/>
      <c r="B44943" s="12"/>
      <c r="C44943" s="8"/>
      <c r="D44943" s="8"/>
    </row>
    <row r="44944" spans="1:4" ht="15.75" customHeight="1">
      <c r="A44944" s="8"/>
      <c r="B44944" s="12"/>
      <c r="C44944" s="8"/>
      <c r="D44944" s="8"/>
    </row>
    <row r="44945" spans="1:4" ht="15.75" customHeight="1">
      <c r="A44945" s="8"/>
      <c r="B44945" s="12"/>
      <c r="C44945" s="8"/>
      <c r="D44945" s="8"/>
    </row>
    <row r="44946" spans="1:4" ht="15.75" customHeight="1">
      <c r="A44946" s="8"/>
      <c r="B44946" s="12"/>
      <c r="C44946" s="8"/>
      <c r="D44946" s="8"/>
    </row>
    <row r="44947" spans="1:4" ht="15.75" customHeight="1">
      <c r="A44947" s="8"/>
      <c r="B44947" s="12"/>
      <c r="C44947" s="8"/>
      <c r="D44947" s="8"/>
    </row>
    <row r="44948" spans="1:4" ht="15.75" customHeight="1">
      <c r="A44948" s="8"/>
      <c r="B44948" s="12"/>
      <c r="C44948" s="8"/>
      <c r="D44948" s="8"/>
    </row>
    <row r="44949" spans="1:4" ht="15.75" customHeight="1">
      <c r="A44949" s="8"/>
      <c r="B44949" s="12"/>
      <c r="C44949" s="8"/>
      <c r="D44949" s="8"/>
    </row>
    <row r="44950" spans="1:4" ht="15.75" customHeight="1">
      <c r="A44950" s="8"/>
      <c r="B44950" s="12"/>
      <c r="C44950" s="8"/>
      <c r="D44950" s="8"/>
    </row>
    <row r="44951" spans="1:4" ht="15.75" customHeight="1">
      <c r="A44951" s="8"/>
      <c r="B44951" s="12"/>
      <c r="C44951" s="8"/>
      <c r="D44951" s="8"/>
    </row>
    <row r="44952" spans="1:4" ht="15.75" customHeight="1">
      <c r="A44952" s="8"/>
      <c r="B44952" s="12"/>
      <c r="C44952" s="8"/>
      <c r="D44952" s="8"/>
    </row>
    <row r="44953" spans="1:4" ht="15.75" customHeight="1">
      <c r="A44953" s="8"/>
      <c r="B44953" s="12"/>
      <c r="C44953" s="8"/>
      <c r="D44953" s="8"/>
    </row>
    <row r="44954" spans="1:4" ht="15.75" customHeight="1">
      <c r="A44954" s="8"/>
      <c r="B44954" s="12"/>
      <c r="C44954" s="8"/>
      <c r="D44954" s="8"/>
    </row>
    <row r="44955" spans="1:4" ht="15.75" customHeight="1">
      <c r="A44955" s="8"/>
      <c r="B44955" s="12"/>
      <c r="C44955" s="8"/>
      <c r="D44955" s="8"/>
    </row>
    <row r="44956" spans="1:4" ht="15.75" customHeight="1">
      <c r="A44956" s="8"/>
      <c r="B44956" s="12"/>
      <c r="C44956" s="8"/>
      <c r="D44956" s="8"/>
    </row>
    <row r="44957" spans="1:4" ht="15.75" customHeight="1">
      <c r="A44957" s="8"/>
      <c r="B44957" s="12"/>
      <c r="C44957" s="8"/>
      <c r="D44957" s="8"/>
    </row>
    <row r="44958" spans="1:4" ht="15.75" customHeight="1">
      <c r="A44958" s="8"/>
      <c r="B44958" s="12"/>
      <c r="C44958" s="8"/>
      <c r="D44958" s="8"/>
    </row>
    <row r="44959" spans="1:4" ht="15.75" customHeight="1">
      <c r="A44959" s="8"/>
      <c r="B44959" s="12"/>
      <c r="C44959" s="8"/>
      <c r="D44959" s="8"/>
    </row>
    <row r="44960" spans="1:4" ht="15.75" customHeight="1">
      <c r="A44960" s="8"/>
      <c r="B44960" s="12"/>
      <c r="C44960" s="8"/>
      <c r="D44960" s="8"/>
    </row>
    <row r="44961" spans="1:4" ht="15.75" customHeight="1">
      <c r="A44961" s="8"/>
      <c r="B44961" s="12"/>
      <c r="C44961" s="8"/>
      <c r="D44961" s="8"/>
    </row>
    <row r="44962" spans="1:4" ht="15.75" customHeight="1">
      <c r="A44962" s="8"/>
      <c r="B44962" s="12"/>
      <c r="C44962" s="8"/>
      <c r="D44962" s="8"/>
    </row>
    <row r="44963" spans="1:4" ht="15.75" customHeight="1">
      <c r="A44963" s="8"/>
      <c r="B44963" s="12"/>
      <c r="C44963" s="8"/>
      <c r="D44963" s="8"/>
    </row>
    <row r="44964" spans="1:4" ht="15.75" customHeight="1">
      <c r="A44964" s="8"/>
      <c r="B44964" s="12"/>
      <c r="C44964" s="8"/>
      <c r="D44964" s="8"/>
    </row>
    <row r="44965" spans="1:4" ht="15.75" customHeight="1">
      <c r="A44965" s="8"/>
      <c r="B44965" s="12"/>
      <c r="C44965" s="8"/>
      <c r="D44965" s="8"/>
    </row>
    <row r="44966" spans="1:4" ht="15.75" customHeight="1">
      <c r="A44966" s="8"/>
      <c r="B44966" s="12"/>
      <c r="C44966" s="8"/>
      <c r="D44966" s="8"/>
    </row>
    <row r="44967" spans="1:4" ht="15.75" customHeight="1">
      <c r="A44967" s="8"/>
      <c r="B44967" s="12"/>
      <c r="C44967" s="8"/>
      <c r="D44967" s="8"/>
    </row>
    <row r="44968" spans="1:4" ht="15.75" customHeight="1">
      <c r="A44968" s="8"/>
      <c r="B44968" s="12"/>
      <c r="C44968" s="8"/>
      <c r="D44968" s="8"/>
    </row>
    <row r="44969" spans="1:4" ht="15.75" customHeight="1">
      <c r="A44969" s="8"/>
      <c r="B44969" s="12"/>
      <c r="C44969" s="8"/>
      <c r="D44969" s="8"/>
    </row>
    <row r="44970" spans="1:4" ht="15.75" customHeight="1">
      <c r="A44970" s="8"/>
      <c r="B44970" s="12"/>
      <c r="C44970" s="8"/>
      <c r="D44970" s="8"/>
    </row>
    <row r="44971" spans="1:4" ht="15.75" customHeight="1">
      <c r="A44971" s="8"/>
      <c r="B44971" s="12"/>
      <c r="C44971" s="8"/>
      <c r="D44971" s="8"/>
    </row>
    <row r="44972" spans="1:4" ht="15.75" customHeight="1">
      <c r="A44972" s="8"/>
      <c r="B44972" s="12"/>
      <c r="C44972" s="8"/>
      <c r="D44972" s="8"/>
    </row>
    <row r="44973" spans="1:4" ht="15.75" customHeight="1">
      <c r="A44973" s="8"/>
      <c r="B44973" s="12"/>
      <c r="C44973" s="8"/>
      <c r="D44973" s="8"/>
    </row>
    <row r="44974" spans="1:4" ht="15.75" customHeight="1">
      <c r="A44974" s="8"/>
      <c r="B44974" s="12"/>
      <c r="C44974" s="8"/>
      <c r="D44974" s="8"/>
    </row>
    <row r="44975" spans="1:4" ht="15.75" customHeight="1">
      <c r="A44975" s="8"/>
      <c r="B44975" s="12"/>
      <c r="C44975" s="8"/>
      <c r="D44975" s="8"/>
    </row>
    <row r="44976" spans="1:4" ht="15.75" customHeight="1">
      <c r="A44976" s="8"/>
      <c r="B44976" s="12"/>
      <c r="C44976" s="8"/>
      <c r="D44976" s="8"/>
    </row>
    <row r="44977" spans="1:4" ht="15.75" customHeight="1">
      <c r="A44977" s="8"/>
      <c r="B44977" s="12"/>
      <c r="C44977" s="8"/>
      <c r="D44977" s="8"/>
    </row>
    <row r="44978" spans="1:4" ht="15.75" customHeight="1">
      <c r="A44978" s="8"/>
      <c r="B44978" s="12"/>
      <c r="C44978" s="8"/>
      <c r="D44978" s="8"/>
    </row>
    <row r="44979" spans="1:4" ht="15.75" customHeight="1">
      <c r="A44979" s="8"/>
      <c r="B44979" s="12"/>
      <c r="C44979" s="8"/>
      <c r="D44979" s="8"/>
    </row>
    <row r="44980" spans="1:4" ht="15.75" customHeight="1">
      <c r="A44980" s="8"/>
      <c r="B44980" s="12"/>
      <c r="C44980" s="8"/>
      <c r="D44980" s="8"/>
    </row>
    <row r="44981" spans="1:4" ht="15.75" customHeight="1">
      <c r="A44981" s="8"/>
      <c r="B44981" s="12"/>
      <c r="C44981" s="8"/>
      <c r="D44981" s="8"/>
    </row>
    <row r="44982" spans="1:4" ht="15.75" customHeight="1">
      <c r="A44982" s="8"/>
      <c r="B44982" s="12"/>
      <c r="C44982" s="8"/>
      <c r="D44982" s="8"/>
    </row>
    <row r="44983" spans="1:4" ht="15.75" customHeight="1">
      <c r="A44983" s="8"/>
      <c r="B44983" s="12"/>
      <c r="C44983" s="8"/>
      <c r="D44983" s="8"/>
    </row>
    <row r="44984" spans="1:4" ht="15.75" customHeight="1">
      <c r="A44984" s="8"/>
      <c r="B44984" s="12"/>
      <c r="C44984" s="8"/>
      <c r="D44984" s="8"/>
    </row>
    <row r="44985" spans="1:4" ht="15.75" customHeight="1">
      <c r="A44985" s="8"/>
      <c r="B44985" s="12"/>
      <c r="C44985" s="8"/>
      <c r="D44985" s="8"/>
    </row>
    <row r="44986" spans="1:4" ht="15.75" customHeight="1">
      <c r="A44986" s="8"/>
      <c r="B44986" s="12"/>
      <c r="C44986" s="8"/>
      <c r="D44986" s="8"/>
    </row>
    <row r="44987" spans="1:4" ht="15.75" customHeight="1">
      <c r="A44987" s="8"/>
      <c r="B44987" s="12"/>
      <c r="C44987" s="8"/>
      <c r="D44987" s="8"/>
    </row>
    <row r="44988" spans="1:4" ht="15.75" customHeight="1">
      <c r="A44988" s="8"/>
      <c r="B44988" s="12"/>
      <c r="C44988" s="8"/>
      <c r="D44988" s="8"/>
    </row>
    <row r="44989" spans="1:4" ht="15.75" customHeight="1">
      <c r="A44989" s="8"/>
      <c r="B44989" s="12"/>
      <c r="C44989" s="8"/>
      <c r="D44989" s="8"/>
    </row>
    <row r="44990" spans="1:4" ht="15.75" customHeight="1">
      <c r="A44990" s="8"/>
      <c r="B44990" s="12"/>
      <c r="C44990" s="8"/>
      <c r="D44990" s="8"/>
    </row>
    <row r="44991" spans="1:4" ht="15.75" customHeight="1">
      <c r="A44991" s="8"/>
      <c r="B44991" s="12"/>
      <c r="C44991" s="8"/>
      <c r="D44991" s="8"/>
    </row>
    <row r="44992" spans="1:4" ht="15.75" customHeight="1">
      <c r="A44992" s="8"/>
      <c r="B44992" s="12"/>
      <c r="C44992" s="8"/>
      <c r="D44992" s="8"/>
    </row>
    <row r="44993" spans="1:4" ht="15.75" customHeight="1">
      <c r="A44993" s="8"/>
      <c r="B44993" s="12"/>
      <c r="C44993" s="8"/>
      <c r="D44993" s="8"/>
    </row>
    <row r="44994" spans="1:4" ht="15.75" customHeight="1">
      <c r="A44994" s="8"/>
      <c r="B44994" s="12"/>
      <c r="C44994" s="8"/>
      <c r="D44994" s="8"/>
    </row>
    <row r="44995" spans="1:4" ht="15.75" customHeight="1">
      <c r="A44995" s="8"/>
      <c r="B44995" s="12"/>
      <c r="C44995" s="8"/>
      <c r="D44995" s="8"/>
    </row>
    <row r="44996" spans="1:4" ht="15.75" customHeight="1">
      <c r="A44996" s="8"/>
      <c r="B44996" s="12"/>
      <c r="C44996" s="8"/>
      <c r="D44996" s="8"/>
    </row>
    <row r="44997" spans="1:4" ht="15.75" customHeight="1">
      <c r="A44997" s="8"/>
      <c r="B44997" s="12"/>
      <c r="C44997" s="8"/>
      <c r="D44997" s="8"/>
    </row>
    <row r="44998" spans="1:4" ht="15.75" customHeight="1">
      <c r="A44998" s="8"/>
      <c r="B44998" s="12"/>
      <c r="C44998" s="8"/>
      <c r="D44998" s="8"/>
    </row>
    <row r="44999" spans="1:4" ht="15.75" customHeight="1">
      <c r="A44999" s="8"/>
      <c r="B44999" s="12"/>
      <c r="C44999" s="8"/>
      <c r="D44999" s="8"/>
    </row>
    <row r="45000" spans="1:4" ht="15.75" customHeight="1">
      <c r="A45000" s="8"/>
      <c r="B45000" s="12"/>
      <c r="C45000" s="8"/>
      <c r="D45000" s="8"/>
    </row>
    <row r="45001" spans="1:4" ht="15.75" customHeight="1">
      <c r="A45001" s="8"/>
      <c r="B45001" s="12"/>
      <c r="C45001" s="8"/>
      <c r="D45001" s="8"/>
    </row>
    <row r="45002" spans="1:4" ht="15.75" customHeight="1">
      <c r="A45002" s="8"/>
      <c r="B45002" s="12"/>
      <c r="C45002" s="8"/>
      <c r="D45002" s="8"/>
    </row>
    <row r="45003" spans="1:4" ht="15.75" customHeight="1">
      <c r="A45003" s="8"/>
      <c r="B45003" s="12"/>
      <c r="C45003" s="8"/>
      <c r="D45003" s="8"/>
    </row>
    <row r="45004" spans="1:4" ht="15.75" customHeight="1">
      <c r="A45004" s="8"/>
      <c r="B45004" s="12"/>
      <c r="C45004" s="8"/>
      <c r="D45004" s="8"/>
    </row>
    <row r="45005" spans="1:4" ht="15.75" customHeight="1">
      <c r="A45005" s="8"/>
      <c r="B45005" s="12"/>
      <c r="C45005" s="8"/>
      <c r="D45005" s="8"/>
    </row>
    <row r="45006" spans="1:4" ht="15.75" customHeight="1">
      <c r="A45006" s="8"/>
      <c r="B45006" s="12"/>
      <c r="C45006" s="8"/>
      <c r="D45006" s="8"/>
    </row>
    <row r="45007" spans="1:4" ht="15.75" customHeight="1">
      <c r="A45007" s="8"/>
      <c r="B45007" s="12"/>
      <c r="C45007" s="8"/>
      <c r="D45007" s="8"/>
    </row>
    <row r="45008" spans="1:4" ht="15.75" customHeight="1">
      <c r="A45008" s="8"/>
      <c r="B45008" s="12"/>
      <c r="C45008" s="8"/>
      <c r="D45008" s="8"/>
    </row>
    <row r="45009" spans="1:4" ht="15.75" customHeight="1">
      <c r="A45009" s="8"/>
      <c r="B45009" s="12"/>
      <c r="C45009" s="8"/>
      <c r="D45009" s="8"/>
    </row>
    <row r="45010" spans="1:4" ht="15.75" customHeight="1">
      <c r="A45010" s="8"/>
      <c r="B45010" s="12"/>
      <c r="C45010" s="8"/>
      <c r="D45010" s="8"/>
    </row>
    <row r="45011" spans="1:4" ht="15.75" customHeight="1">
      <c r="A45011" s="8"/>
      <c r="B45011" s="12"/>
      <c r="C45011" s="8"/>
      <c r="D45011" s="8"/>
    </row>
    <row r="45012" spans="1:4" ht="15.75" customHeight="1">
      <c r="A45012" s="8"/>
      <c r="B45012" s="12"/>
      <c r="C45012" s="8"/>
      <c r="D45012" s="8"/>
    </row>
    <row r="45013" spans="1:4" ht="15.75" customHeight="1">
      <c r="A45013" s="8"/>
      <c r="B45013" s="12"/>
      <c r="C45013" s="8"/>
      <c r="D45013" s="8"/>
    </row>
    <row r="45014" spans="1:4" ht="15.75" customHeight="1">
      <c r="A45014" s="8"/>
      <c r="B45014" s="12"/>
      <c r="C45014" s="8"/>
      <c r="D45014" s="8"/>
    </row>
    <row r="45015" spans="1:4" ht="15.75" customHeight="1">
      <c r="A45015" s="8"/>
      <c r="B45015" s="12"/>
      <c r="C45015" s="8"/>
      <c r="D45015" s="8"/>
    </row>
    <row r="45016" spans="1:4" ht="15.75" customHeight="1">
      <c r="A45016" s="8"/>
      <c r="B45016" s="12"/>
      <c r="C45016" s="8"/>
      <c r="D45016" s="8"/>
    </row>
    <row r="45017" spans="1:4" ht="15.75" customHeight="1">
      <c r="A45017" s="8"/>
      <c r="B45017" s="12"/>
      <c r="C45017" s="8"/>
      <c r="D45017" s="8"/>
    </row>
    <row r="45018" spans="1:4" ht="15.75" customHeight="1">
      <c r="A45018" s="8"/>
      <c r="B45018" s="12"/>
      <c r="C45018" s="8"/>
      <c r="D45018" s="8"/>
    </row>
    <row r="45019" spans="1:4" ht="15.75" customHeight="1">
      <c r="A45019" s="8"/>
      <c r="B45019" s="12"/>
      <c r="C45019" s="8"/>
      <c r="D45019" s="8"/>
    </row>
    <row r="45020" spans="1:4" ht="15.75" customHeight="1">
      <c r="A45020" s="8"/>
      <c r="B45020" s="12"/>
      <c r="C45020" s="8"/>
      <c r="D45020" s="8"/>
    </row>
    <row r="45021" spans="1:4" ht="15.75" customHeight="1">
      <c r="A45021" s="8"/>
      <c r="B45021" s="12"/>
      <c r="C45021" s="8"/>
      <c r="D45021" s="8"/>
    </row>
    <row r="45022" spans="1:4" ht="15.75" customHeight="1">
      <c r="A45022" s="8"/>
      <c r="B45022" s="12"/>
      <c r="C45022" s="8"/>
      <c r="D45022" s="8"/>
    </row>
    <row r="45023" spans="1:4" ht="15.75" customHeight="1">
      <c r="A45023" s="8"/>
      <c r="B45023" s="12"/>
      <c r="C45023" s="8"/>
      <c r="D45023" s="8"/>
    </row>
    <row r="45024" spans="1:4" ht="15.75" customHeight="1">
      <c r="A45024" s="8"/>
      <c r="B45024" s="12"/>
      <c r="C45024" s="8"/>
      <c r="D45024" s="8"/>
    </row>
    <row r="45025" spans="1:4" ht="15.75" customHeight="1">
      <c r="A45025" s="8"/>
      <c r="B45025" s="12"/>
      <c r="C45025" s="8"/>
      <c r="D45025" s="8"/>
    </row>
    <row r="45026" spans="1:4" ht="15.75" customHeight="1">
      <c r="A45026" s="8"/>
      <c r="B45026" s="12"/>
      <c r="C45026" s="8"/>
      <c r="D45026" s="8"/>
    </row>
    <row r="45027" spans="1:4" ht="15.75" customHeight="1">
      <c r="A45027" s="8"/>
      <c r="B45027" s="12"/>
      <c r="C45027" s="8"/>
      <c r="D45027" s="8"/>
    </row>
    <row r="45028" spans="1:4" ht="15.75" customHeight="1">
      <c r="A45028" s="8"/>
      <c r="B45028" s="12"/>
      <c r="C45028" s="8"/>
      <c r="D45028" s="8"/>
    </row>
    <row r="45029" spans="1:4" ht="15.75" customHeight="1">
      <c r="A45029" s="8"/>
      <c r="B45029" s="12"/>
      <c r="C45029" s="8"/>
      <c r="D45029" s="8"/>
    </row>
    <row r="45030" spans="1:4" ht="15.75" customHeight="1">
      <c r="A45030" s="8"/>
      <c r="B45030" s="12"/>
      <c r="C45030" s="8"/>
      <c r="D45030" s="8"/>
    </row>
    <row r="45031" spans="1:4" ht="15.75" customHeight="1">
      <c r="A45031" s="8"/>
      <c r="B45031" s="12"/>
      <c r="C45031" s="8"/>
      <c r="D45031" s="8"/>
    </row>
    <row r="45032" spans="1:4" ht="15.75" customHeight="1">
      <c r="A45032" s="8"/>
      <c r="B45032" s="12"/>
      <c r="C45032" s="8"/>
      <c r="D45032" s="8"/>
    </row>
    <row r="45033" spans="1:4" ht="15.75" customHeight="1">
      <c r="A45033" s="8"/>
      <c r="B45033" s="12"/>
      <c r="C45033" s="8"/>
      <c r="D45033" s="8"/>
    </row>
    <row r="45034" spans="1:4" ht="15.75" customHeight="1">
      <c r="A45034" s="8"/>
      <c r="B45034" s="12"/>
      <c r="C45034" s="8"/>
      <c r="D45034" s="8"/>
    </row>
    <row r="45035" spans="1:4" ht="15.75" customHeight="1">
      <c r="A45035" s="8"/>
      <c r="B45035" s="12"/>
      <c r="C45035" s="8"/>
      <c r="D45035" s="8"/>
    </row>
    <row r="45036" spans="1:4" ht="15.75" customHeight="1">
      <c r="A45036" s="8"/>
      <c r="B45036" s="12"/>
      <c r="C45036" s="8"/>
      <c r="D45036" s="8"/>
    </row>
    <row r="45037" spans="1:4" ht="15.75" customHeight="1">
      <c r="A45037" s="8"/>
      <c r="B45037" s="12"/>
      <c r="C45037" s="8"/>
      <c r="D45037" s="8"/>
    </row>
    <row r="45038" spans="1:4" ht="15.75" customHeight="1">
      <c r="A45038" s="8"/>
      <c r="B45038" s="12"/>
      <c r="C45038" s="8"/>
      <c r="D45038" s="8"/>
    </row>
    <row r="45039" spans="1:4" ht="15.75" customHeight="1">
      <c r="A45039" s="8"/>
      <c r="B45039" s="12"/>
      <c r="C45039" s="8"/>
      <c r="D45039" s="8"/>
    </row>
    <row r="45040" spans="1:4" ht="15.75" customHeight="1">
      <c r="A45040" s="8"/>
      <c r="B45040" s="12"/>
      <c r="C45040" s="8"/>
      <c r="D45040" s="8"/>
    </row>
    <row r="45041" spans="1:4" ht="15.75" customHeight="1">
      <c r="A45041" s="8"/>
      <c r="B45041" s="12"/>
      <c r="C45041" s="8"/>
      <c r="D45041" s="8"/>
    </row>
    <row r="45042" spans="1:4" ht="15.75" customHeight="1">
      <c r="A45042" s="8"/>
      <c r="B45042" s="12"/>
      <c r="C45042" s="8"/>
      <c r="D45042" s="8"/>
    </row>
    <row r="45043" spans="1:4" ht="15.75" customHeight="1">
      <c r="A45043" s="8"/>
      <c r="B45043" s="12"/>
      <c r="C45043" s="8"/>
      <c r="D45043" s="8"/>
    </row>
    <row r="45044" spans="1:4" ht="15.75" customHeight="1">
      <c r="A45044" s="8"/>
      <c r="B45044" s="12"/>
      <c r="C45044" s="8"/>
      <c r="D45044" s="8"/>
    </row>
    <row r="45045" spans="1:4" ht="15.75" customHeight="1">
      <c r="A45045" s="8"/>
      <c r="B45045" s="12"/>
      <c r="C45045" s="8"/>
      <c r="D45045" s="8"/>
    </row>
    <row r="45046" spans="1:4" ht="15.75" customHeight="1">
      <c r="A45046" s="8"/>
      <c r="B45046" s="12"/>
      <c r="C45046" s="8"/>
      <c r="D45046" s="8"/>
    </row>
    <row r="45047" spans="1:4" ht="15.75" customHeight="1">
      <c r="A45047" s="8"/>
      <c r="B45047" s="12"/>
      <c r="C45047" s="8"/>
      <c r="D45047" s="8"/>
    </row>
    <row r="45048" spans="1:4" ht="15.75" customHeight="1">
      <c r="A45048" s="8"/>
      <c r="B45048" s="12"/>
      <c r="C45048" s="8"/>
      <c r="D45048" s="8"/>
    </row>
    <row r="45049" spans="1:4" ht="15.75" customHeight="1">
      <c r="A45049" s="8"/>
      <c r="B45049" s="12"/>
      <c r="C45049" s="8"/>
      <c r="D45049" s="8"/>
    </row>
    <row r="45050" spans="1:4" ht="15.75" customHeight="1">
      <c r="A45050" s="8"/>
      <c r="B45050" s="12"/>
      <c r="C45050" s="8"/>
      <c r="D45050" s="8"/>
    </row>
    <row r="45051" spans="1:4" ht="15.75" customHeight="1">
      <c r="A45051" s="8"/>
      <c r="B45051" s="12"/>
      <c r="C45051" s="8"/>
      <c r="D45051" s="8"/>
    </row>
    <row r="45052" spans="1:4" ht="15.75" customHeight="1">
      <c r="A45052" s="8"/>
      <c r="B45052" s="12"/>
      <c r="C45052" s="8"/>
      <c r="D45052" s="8"/>
    </row>
    <row r="45053" spans="1:4" ht="15.75" customHeight="1">
      <c r="A45053" s="8"/>
      <c r="B45053" s="12"/>
      <c r="C45053" s="8"/>
      <c r="D45053" s="8"/>
    </row>
    <row r="45054" spans="1:4" ht="15.75" customHeight="1">
      <c r="A45054" s="8"/>
      <c r="B45054" s="12"/>
      <c r="C45054" s="8"/>
      <c r="D45054" s="8"/>
    </row>
    <row r="45055" spans="1:4" ht="15.75" customHeight="1">
      <c r="A45055" s="8"/>
      <c r="B45055" s="12"/>
      <c r="C45055" s="8"/>
      <c r="D45055" s="8"/>
    </row>
    <row r="45056" spans="1:4" ht="15.75" customHeight="1">
      <c r="A45056" s="8"/>
      <c r="B45056" s="12"/>
      <c r="C45056" s="8"/>
      <c r="D45056" s="8"/>
    </row>
    <row r="45057" spans="1:4" ht="15.75" customHeight="1">
      <c r="A45057" s="8"/>
      <c r="B45057" s="12"/>
      <c r="C45057" s="8"/>
      <c r="D45057" s="8"/>
    </row>
    <row r="45058" spans="1:4" ht="15.75" customHeight="1">
      <c r="A45058" s="8"/>
      <c r="B45058" s="12"/>
      <c r="C45058" s="8"/>
      <c r="D45058" s="8"/>
    </row>
    <row r="45059" spans="1:4" ht="15.75" customHeight="1">
      <c r="A45059" s="8"/>
      <c r="B45059" s="12"/>
      <c r="C45059" s="8"/>
      <c r="D45059" s="8"/>
    </row>
    <row r="45060" spans="1:4" ht="15.75" customHeight="1">
      <c r="A45060" s="8"/>
      <c r="B45060" s="12"/>
      <c r="C45060" s="8"/>
      <c r="D45060" s="8"/>
    </row>
    <row r="45061" spans="1:4" ht="15.75" customHeight="1">
      <c r="A45061" s="8"/>
      <c r="B45061" s="12"/>
      <c r="C45061" s="8"/>
      <c r="D45061" s="8"/>
    </row>
    <row r="45062" spans="1:4" ht="15.75" customHeight="1">
      <c r="A45062" s="8"/>
      <c r="B45062" s="12"/>
      <c r="C45062" s="8"/>
      <c r="D45062" s="8"/>
    </row>
    <row r="45063" spans="1:4" ht="15.75" customHeight="1">
      <c r="A45063" s="8"/>
      <c r="B45063" s="12"/>
      <c r="C45063" s="8"/>
      <c r="D45063" s="8"/>
    </row>
    <row r="45064" spans="1:4" ht="15.75" customHeight="1">
      <c r="A45064" s="8"/>
      <c r="B45064" s="12"/>
      <c r="C45064" s="8"/>
      <c r="D45064" s="8"/>
    </row>
    <row r="45065" spans="1:4" ht="15.75" customHeight="1">
      <c r="A45065" s="8"/>
      <c r="B45065" s="12"/>
      <c r="C45065" s="8"/>
      <c r="D45065" s="8"/>
    </row>
    <row r="45066" spans="1:4" ht="15.75" customHeight="1">
      <c r="A45066" s="8"/>
      <c r="B45066" s="12"/>
      <c r="C45066" s="8"/>
      <c r="D45066" s="8"/>
    </row>
    <row r="45067" spans="1:4" ht="15.75" customHeight="1">
      <c r="A45067" s="8"/>
      <c r="B45067" s="12"/>
      <c r="C45067" s="8"/>
      <c r="D45067" s="8"/>
    </row>
    <row r="45068" spans="1:4" ht="15.75" customHeight="1">
      <c r="A45068" s="8"/>
      <c r="B45068" s="12"/>
      <c r="C45068" s="8"/>
      <c r="D45068" s="8"/>
    </row>
    <row r="45069" spans="1:4" ht="15.75" customHeight="1">
      <c r="A45069" s="8"/>
      <c r="B45069" s="12"/>
      <c r="C45069" s="8"/>
      <c r="D45069" s="8"/>
    </row>
    <row r="45070" spans="1:4" ht="15.75" customHeight="1">
      <c r="A45070" s="8"/>
      <c r="B45070" s="12"/>
      <c r="C45070" s="8"/>
      <c r="D45070" s="8"/>
    </row>
    <row r="45071" spans="1:4" ht="15.75" customHeight="1">
      <c r="A45071" s="8"/>
      <c r="B45071" s="12"/>
      <c r="C45071" s="8"/>
      <c r="D45071" s="8"/>
    </row>
    <row r="45072" spans="1:4" ht="15.75" customHeight="1">
      <c r="A45072" s="8"/>
      <c r="B45072" s="12"/>
      <c r="C45072" s="8"/>
      <c r="D45072" s="8"/>
    </row>
    <row r="45073" spans="1:4" ht="15.75" customHeight="1">
      <c r="A45073" s="8"/>
      <c r="B45073" s="12"/>
      <c r="C45073" s="8"/>
      <c r="D45073" s="8"/>
    </row>
    <row r="45074" spans="1:4" ht="15.75" customHeight="1">
      <c r="A45074" s="8"/>
      <c r="B45074" s="12"/>
      <c r="C45074" s="8"/>
      <c r="D45074" s="8"/>
    </row>
    <row r="45075" spans="1:4" ht="15.75" customHeight="1">
      <c r="A45075" s="8"/>
      <c r="B45075" s="12"/>
      <c r="C45075" s="8"/>
      <c r="D45075" s="8"/>
    </row>
    <row r="45076" spans="1:4" ht="15.75" customHeight="1">
      <c r="A45076" s="8"/>
      <c r="B45076" s="12"/>
      <c r="C45076" s="8"/>
      <c r="D45076" s="8"/>
    </row>
    <row r="45077" spans="1:4" ht="15.75" customHeight="1">
      <c r="A45077" s="8"/>
      <c r="B45077" s="12"/>
      <c r="C45077" s="8"/>
      <c r="D45077" s="8"/>
    </row>
    <row r="45078" spans="1:4" ht="15.75" customHeight="1">
      <c r="A45078" s="8"/>
      <c r="B45078" s="12"/>
      <c r="C45078" s="8"/>
      <c r="D45078" s="8"/>
    </row>
    <row r="45079" spans="1:4" ht="15.75" customHeight="1">
      <c r="A45079" s="8"/>
      <c r="B45079" s="12"/>
      <c r="C45079" s="8"/>
      <c r="D45079" s="8"/>
    </row>
    <row r="45080" spans="1:4" ht="15.75" customHeight="1">
      <c r="A45080" s="8"/>
      <c r="B45080" s="12"/>
      <c r="C45080" s="8"/>
      <c r="D45080" s="8"/>
    </row>
    <row r="45081" spans="1:4" ht="15.75" customHeight="1">
      <c r="A45081" s="8"/>
      <c r="B45081" s="12"/>
      <c r="C45081" s="8"/>
      <c r="D45081" s="8"/>
    </row>
    <row r="45082" spans="1:4" ht="15.75" customHeight="1">
      <c r="A45082" s="8"/>
      <c r="B45082" s="12"/>
      <c r="C45082" s="8"/>
      <c r="D45082" s="8"/>
    </row>
    <row r="45083" spans="1:4" ht="15.75" customHeight="1">
      <c r="A45083" s="8"/>
      <c r="B45083" s="12"/>
      <c r="C45083" s="8"/>
      <c r="D45083" s="8"/>
    </row>
    <row r="45084" spans="1:4" ht="15.75" customHeight="1">
      <c r="A45084" s="8"/>
      <c r="B45084" s="12"/>
      <c r="C45084" s="8"/>
      <c r="D45084" s="8"/>
    </row>
    <row r="45085" spans="1:4" ht="15.75" customHeight="1">
      <c r="A45085" s="8"/>
      <c r="B45085" s="12"/>
      <c r="C45085" s="8"/>
      <c r="D45085" s="8"/>
    </row>
    <row r="45086" spans="1:4" ht="15.75" customHeight="1">
      <c r="A45086" s="8"/>
      <c r="B45086" s="12"/>
      <c r="C45086" s="8"/>
      <c r="D45086" s="8"/>
    </row>
    <row r="45087" spans="1:4" ht="15.75" customHeight="1">
      <c r="A45087" s="8"/>
      <c r="B45087" s="12"/>
      <c r="C45087" s="8"/>
      <c r="D45087" s="8"/>
    </row>
    <row r="45088" spans="1:4" ht="15.75" customHeight="1">
      <c r="A45088" s="8"/>
      <c r="B45088" s="12"/>
      <c r="C45088" s="8"/>
      <c r="D45088" s="8"/>
    </row>
    <row r="45089" spans="1:4" ht="15.75" customHeight="1">
      <c r="A45089" s="8"/>
      <c r="B45089" s="12"/>
      <c r="C45089" s="8"/>
      <c r="D45089" s="8"/>
    </row>
    <row r="45090" spans="1:4" ht="15.75" customHeight="1">
      <c r="A45090" s="8"/>
      <c r="B45090" s="12"/>
      <c r="C45090" s="8"/>
      <c r="D45090" s="8"/>
    </row>
    <row r="45091" spans="1:4" ht="15.75" customHeight="1">
      <c r="A45091" s="8"/>
      <c r="B45091" s="12"/>
      <c r="C45091" s="8"/>
      <c r="D45091" s="8"/>
    </row>
    <row r="45092" spans="1:4" ht="15.75" customHeight="1">
      <c r="A45092" s="8"/>
      <c r="B45092" s="12"/>
      <c r="C45092" s="8"/>
      <c r="D45092" s="8"/>
    </row>
    <row r="45093" spans="1:4" ht="15.75" customHeight="1">
      <c r="A45093" s="8"/>
      <c r="B45093" s="12"/>
      <c r="C45093" s="8"/>
      <c r="D45093" s="8"/>
    </row>
    <row r="45094" spans="1:4" ht="15.75" customHeight="1">
      <c r="A45094" s="8"/>
      <c r="B45094" s="12"/>
      <c r="C45094" s="8"/>
      <c r="D45094" s="8"/>
    </row>
    <row r="45095" spans="1:4" ht="15.75" customHeight="1">
      <c r="A45095" s="8"/>
      <c r="B45095" s="12"/>
      <c r="C45095" s="8"/>
      <c r="D45095" s="8"/>
    </row>
    <row r="45096" spans="1:4" ht="15.75" customHeight="1">
      <c r="A45096" s="8"/>
      <c r="B45096" s="12"/>
      <c r="C45096" s="8"/>
      <c r="D45096" s="8"/>
    </row>
    <row r="45097" spans="1:4" ht="15.75" customHeight="1">
      <c r="A45097" s="8"/>
      <c r="B45097" s="12"/>
      <c r="C45097" s="8"/>
      <c r="D45097" s="8"/>
    </row>
    <row r="45098" spans="1:4" ht="15.75" customHeight="1">
      <c r="A45098" s="8"/>
      <c r="B45098" s="12"/>
      <c r="C45098" s="8"/>
      <c r="D45098" s="8"/>
    </row>
    <row r="45099" spans="1:4" ht="15.75" customHeight="1">
      <c r="A45099" s="8"/>
      <c r="B45099" s="12"/>
      <c r="C45099" s="8"/>
      <c r="D45099" s="8"/>
    </row>
    <row r="45100" spans="1:4" ht="15.75" customHeight="1">
      <c r="A45100" s="8"/>
      <c r="B45100" s="12"/>
      <c r="C45100" s="8"/>
      <c r="D45100" s="8"/>
    </row>
    <row r="45101" spans="1:4" ht="15.75" customHeight="1">
      <c r="A45101" s="8"/>
      <c r="B45101" s="12"/>
      <c r="C45101" s="8"/>
      <c r="D45101" s="8"/>
    </row>
    <row r="45102" spans="1:4" ht="15.75" customHeight="1">
      <c r="A45102" s="8"/>
      <c r="B45102" s="12"/>
      <c r="C45102" s="8"/>
      <c r="D45102" s="8"/>
    </row>
    <row r="45103" spans="1:4" ht="15.75" customHeight="1">
      <c r="A45103" s="8"/>
      <c r="B45103" s="12"/>
      <c r="C45103" s="8"/>
      <c r="D45103" s="8"/>
    </row>
    <row r="45104" spans="1:4" ht="15.75" customHeight="1">
      <c r="A45104" s="8"/>
      <c r="B45104" s="12"/>
      <c r="C45104" s="8"/>
      <c r="D45104" s="8"/>
    </row>
    <row r="45105" spans="1:4" ht="15.75" customHeight="1">
      <c r="A45105" s="8"/>
      <c r="B45105" s="12"/>
      <c r="C45105" s="8"/>
      <c r="D45105" s="8"/>
    </row>
    <row r="45106" spans="1:4" ht="15.75" customHeight="1">
      <c r="A45106" s="8"/>
      <c r="B45106" s="12"/>
      <c r="C45106" s="8"/>
      <c r="D45106" s="8"/>
    </row>
    <row r="45107" spans="1:4" ht="15.75" customHeight="1">
      <c r="A45107" s="8"/>
      <c r="B45107" s="12"/>
      <c r="C45107" s="8"/>
      <c r="D45107" s="8"/>
    </row>
    <row r="45108" spans="1:4" ht="15.75" customHeight="1">
      <c r="A45108" s="8"/>
      <c r="B45108" s="12"/>
      <c r="C45108" s="8"/>
      <c r="D45108" s="8"/>
    </row>
    <row r="45109" spans="1:4" ht="15.75" customHeight="1">
      <c r="A45109" s="8"/>
      <c r="B45109" s="12"/>
      <c r="C45109" s="8"/>
      <c r="D45109" s="8"/>
    </row>
    <row r="45110" spans="1:4" ht="15.75" customHeight="1">
      <c r="A45110" s="8"/>
      <c r="B45110" s="12"/>
      <c r="C45110" s="8"/>
      <c r="D45110" s="8"/>
    </row>
    <row r="45111" spans="1:4" ht="15.75" customHeight="1">
      <c r="A45111" s="8"/>
      <c r="B45111" s="12"/>
      <c r="C45111" s="8"/>
      <c r="D45111" s="8"/>
    </row>
    <row r="45112" spans="1:4" ht="15.75" customHeight="1">
      <c r="A45112" s="8"/>
      <c r="B45112" s="12"/>
      <c r="C45112" s="8"/>
      <c r="D45112" s="8"/>
    </row>
    <row r="45113" spans="1:4" ht="15.75" customHeight="1">
      <c r="A45113" s="8"/>
      <c r="B45113" s="12"/>
      <c r="C45113" s="8"/>
      <c r="D45113" s="8"/>
    </row>
    <row r="45114" spans="1:4" ht="15.75" customHeight="1">
      <c r="A45114" s="8"/>
      <c r="B45114" s="12"/>
      <c r="C45114" s="8"/>
      <c r="D45114" s="8"/>
    </row>
    <row r="45115" spans="1:4" ht="15.75" customHeight="1">
      <c r="A45115" s="8"/>
      <c r="B45115" s="12"/>
      <c r="C45115" s="8"/>
      <c r="D45115" s="8"/>
    </row>
    <row r="45116" spans="1:4" ht="15.75" customHeight="1">
      <c r="A45116" s="8"/>
      <c r="B45116" s="12"/>
      <c r="C45116" s="8"/>
      <c r="D45116" s="8"/>
    </row>
    <row r="45117" spans="1:4" ht="15.75" customHeight="1">
      <c r="A45117" s="8"/>
      <c r="B45117" s="12"/>
      <c r="C45117" s="8"/>
      <c r="D45117" s="8"/>
    </row>
    <row r="45118" spans="1:4" ht="15.75" customHeight="1">
      <c r="A45118" s="8"/>
      <c r="B45118" s="12"/>
      <c r="C45118" s="8"/>
      <c r="D45118" s="8"/>
    </row>
    <row r="45119" spans="1:4" ht="15.75" customHeight="1">
      <c r="A45119" s="8"/>
      <c r="B45119" s="12"/>
      <c r="C45119" s="8"/>
      <c r="D45119" s="8"/>
    </row>
    <row r="45120" spans="1:4" ht="15.75" customHeight="1">
      <c r="A45120" s="8"/>
      <c r="B45120" s="12"/>
      <c r="C45120" s="8"/>
      <c r="D45120" s="8"/>
    </row>
    <row r="45121" spans="1:4" ht="15.75" customHeight="1">
      <c r="A45121" s="8"/>
      <c r="B45121" s="12"/>
      <c r="C45121" s="8"/>
      <c r="D45121" s="8"/>
    </row>
    <row r="45122" spans="1:4" ht="15.75" customHeight="1">
      <c r="A45122" s="8"/>
      <c r="B45122" s="12"/>
      <c r="C45122" s="8"/>
      <c r="D45122" s="8"/>
    </row>
    <row r="45123" spans="1:4" ht="15.75" customHeight="1">
      <c r="A45123" s="8"/>
      <c r="B45123" s="12"/>
      <c r="C45123" s="8"/>
      <c r="D45123" s="8"/>
    </row>
    <row r="45124" spans="1:4" ht="15.75" customHeight="1">
      <c r="A45124" s="8"/>
      <c r="B45124" s="12"/>
      <c r="C45124" s="8"/>
      <c r="D45124" s="8"/>
    </row>
    <row r="45125" spans="1:4" ht="15.75" customHeight="1">
      <c r="A45125" s="8"/>
      <c r="B45125" s="12"/>
      <c r="C45125" s="8"/>
      <c r="D45125" s="8"/>
    </row>
    <row r="45126" spans="1:4" ht="15.75" customHeight="1">
      <c r="A45126" s="8"/>
      <c r="B45126" s="12"/>
      <c r="C45126" s="8"/>
      <c r="D45126" s="8"/>
    </row>
    <row r="45127" spans="1:4" ht="15.75" customHeight="1">
      <c r="A45127" s="8"/>
      <c r="B45127" s="12"/>
      <c r="C45127" s="8"/>
      <c r="D45127" s="8"/>
    </row>
    <row r="45128" spans="1:4" ht="15.75" customHeight="1">
      <c r="A45128" s="8"/>
      <c r="B45128" s="12"/>
      <c r="C45128" s="8"/>
      <c r="D45128" s="8"/>
    </row>
    <row r="45129" spans="1:4" ht="15.75" customHeight="1">
      <c r="A45129" s="8"/>
      <c r="B45129" s="12"/>
      <c r="C45129" s="8"/>
      <c r="D45129" s="8"/>
    </row>
    <row r="45130" spans="1:4" ht="15.75" customHeight="1">
      <c r="A45130" s="8"/>
      <c r="B45130" s="12"/>
      <c r="C45130" s="8"/>
      <c r="D45130" s="8"/>
    </row>
    <row r="45131" spans="1:4" ht="15.75" customHeight="1">
      <c r="A45131" s="8"/>
      <c r="B45131" s="12"/>
      <c r="C45131" s="8"/>
      <c r="D45131" s="8"/>
    </row>
    <row r="45132" spans="1:4" ht="15.75" customHeight="1">
      <c r="A45132" s="8"/>
      <c r="B45132" s="12"/>
      <c r="C45132" s="8"/>
      <c r="D45132" s="8"/>
    </row>
    <row r="45133" spans="1:4" ht="15.75" customHeight="1">
      <c r="A45133" s="8"/>
      <c r="B45133" s="12"/>
      <c r="C45133" s="8"/>
      <c r="D45133" s="8"/>
    </row>
    <row r="45134" spans="1:4" ht="15.75" customHeight="1">
      <c r="A45134" s="8"/>
      <c r="B45134" s="12"/>
      <c r="C45134" s="8"/>
      <c r="D45134" s="8"/>
    </row>
    <row r="45135" spans="1:4" ht="15.75" customHeight="1">
      <c r="A45135" s="8"/>
      <c r="B45135" s="12"/>
      <c r="C45135" s="8"/>
      <c r="D45135" s="8"/>
    </row>
    <row r="45136" spans="1:4" ht="15.75" customHeight="1">
      <c r="A45136" s="8"/>
      <c r="B45136" s="12"/>
      <c r="C45136" s="8"/>
      <c r="D45136" s="8"/>
    </row>
    <row r="45137" spans="1:4" ht="15.75" customHeight="1">
      <c r="A45137" s="8"/>
      <c r="B45137" s="12"/>
      <c r="C45137" s="8"/>
      <c r="D45137" s="8"/>
    </row>
    <row r="45138" spans="1:4" ht="15.75" customHeight="1">
      <c r="A45138" s="8"/>
      <c r="B45138" s="12"/>
      <c r="C45138" s="8"/>
      <c r="D45138" s="8"/>
    </row>
    <row r="45139" spans="1:4" ht="15.75" customHeight="1">
      <c r="A45139" s="8"/>
      <c r="B45139" s="12"/>
      <c r="C45139" s="8"/>
      <c r="D45139" s="8"/>
    </row>
    <row r="45140" spans="1:4" ht="15.75" customHeight="1">
      <c r="A45140" s="8"/>
      <c r="B45140" s="12"/>
      <c r="C45140" s="8"/>
      <c r="D45140" s="8"/>
    </row>
    <row r="45141" spans="1:4" ht="15.75" customHeight="1">
      <c r="A45141" s="8"/>
      <c r="B45141" s="12"/>
      <c r="C45141" s="8"/>
      <c r="D45141" s="8"/>
    </row>
    <row r="45142" spans="1:4" ht="15.75" customHeight="1">
      <c r="A45142" s="8"/>
      <c r="B45142" s="12"/>
      <c r="C45142" s="8"/>
      <c r="D45142" s="8"/>
    </row>
    <row r="45143" spans="1:4" ht="15.75" customHeight="1">
      <c r="A45143" s="8"/>
      <c r="B45143" s="12"/>
      <c r="C45143" s="8"/>
      <c r="D45143" s="8"/>
    </row>
    <row r="45144" spans="1:4" ht="15.75" customHeight="1">
      <c r="A45144" s="8"/>
      <c r="B45144" s="12"/>
      <c r="C45144" s="8"/>
      <c r="D45144" s="8"/>
    </row>
    <row r="45145" spans="1:4" ht="15.75" customHeight="1">
      <c r="A45145" s="8"/>
      <c r="B45145" s="12"/>
      <c r="C45145" s="8"/>
      <c r="D45145" s="8"/>
    </row>
    <row r="45146" spans="1:4" ht="15.75" customHeight="1">
      <c r="A45146" s="8"/>
      <c r="B45146" s="12"/>
      <c r="C45146" s="8"/>
      <c r="D45146" s="8"/>
    </row>
    <row r="45147" spans="1:4" ht="15.75" customHeight="1">
      <c r="A45147" s="8"/>
      <c r="B45147" s="12"/>
      <c r="C45147" s="8"/>
      <c r="D45147" s="8"/>
    </row>
    <row r="45148" spans="1:4" ht="15.75" customHeight="1">
      <c r="A45148" s="8"/>
      <c r="B45148" s="12"/>
      <c r="C45148" s="8"/>
      <c r="D45148" s="8"/>
    </row>
    <row r="45149" spans="1:4" ht="15.75" customHeight="1">
      <c r="A45149" s="8"/>
      <c r="B45149" s="12"/>
      <c r="C45149" s="8"/>
      <c r="D45149" s="8"/>
    </row>
    <row r="45150" spans="1:4" ht="15.75" customHeight="1">
      <c r="A45150" s="8"/>
      <c r="B45150" s="12"/>
      <c r="C45150" s="8"/>
      <c r="D45150" s="8"/>
    </row>
    <row r="45151" spans="1:4" ht="15.75" customHeight="1">
      <c r="A45151" s="8"/>
      <c r="B45151" s="12"/>
      <c r="C45151" s="8"/>
      <c r="D45151" s="8"/>
    </row>
    <row r="45152" spans="1:4" ht="15.75" customHeight="1">
      <c r="A45152" s="8"/>
      <c r="B45152" s="12"/>
      <c r="C45152" s="8"/>
      <c r="D45152" s="8"/>
    </row>
    <row r="45153" spans="1:4" ht="15.75" customHeight="1">
      <c r="A45153" s="8"/>
      <c r="B45153" s="12"/>
      <c r="C45153" s="8"/>
      <c r="D45153" s="8"/>
    </row>
    <row r="45154" spans="1:4" ht="15.75" customHeight="1">
      <c r="A45154" s="8"/>
      <c r="B45154" s="12"/>
      <c r="C45154" s="8"/>
      <c r="D45154" s="8"/>
    </row>
    <row r="45155" spans="1:4" ht="15.75" customHeight="1">
      <c r="A45155" s="8"/>
      <c r="B45155" s="12"/>
      <c r="C45155" s="8"/>
      <c r="D45155" s="8"/>
    </row>
    <row r="45156" spans="1:4" ht="15.75" customHeight="1">
      <c r="A45156" s="8"/>
      <c r="B45156" s="12"/>
      <c r="C45156" s="8"/>
      <c r="D45156" s="8"/>
    </row>
    <row r="45157" spans="1:4" ht="15.75" customHeight="1">
      <c r="A45157" s="8"/>
      <c r="B45157" s="12"/>
      <c r="C45157" s="8"/>
      <c r="D45157" s="8"/>
    </row>
    <row r="45158" spans="1:4" ht="15.75" customHeight="1">
      <c r="A45158" s="8"/>
      <c r="B45158" s="12"/>
      <c r="C45158" s="8"/>
      <c r="D45158" s="8"/>
    </row>
    <row r="45159" spans="1:4" ht="15.75" customHeight="1">
      <c r="A45159" s="8"/>
      <c r="B45159" s="12"/>
      <c r="C45159" s="8"/>
      <c r="D45159" s="8"/>
    </row>
    <row r="45160" spans="1:4" ht="15.75" customHeight="1">
      <c r="A45160" s="8"/>
      <c r="B45160" s="12"/>
      <c r="C45160" s="8"/>
      <c r="D45160" s="8"/>
    </row>
    <row r="45161" spans="1:4" ht="15.75" customHeight="1">
      <c r="A45161" s="8"/>
      <c r="B45161" s="12"/>
      <c r="C45161" s="8"/>
      <c r="D45161" s="8"/>
    </row>
    <row r="45162" spans="1:4" ht="15.75" customHeight="1">
      <c r="A45162" s="8"/>
      <c r="B45162" s="12"/>
      <c r="C45162" s="8"/>
      <c r="D45162" s="8"/>
    </row>
    <row r="45163" spans="1:4" ht="15.75" customHeight="1">
      <c r="A45163" s="8"/>
      <c r="B45163" s="12"/>
      <c r="C45163" s="8"/>
      <c r="D45163" s="8"/>
    </row>
    <row r="45164" spans="1:4" ht="15.75" customHeight="1">
      <c r="A45164" s="8"/>
      <c r="B45164" s="12"/>
      <c r="C45164" s="8"/>
      <c r="D45164" s="8"/>
    </row>
    <row r="45165" spans="1:4" ht="15.75" customHeight="1">
      <c r="A45165" s="8"/>
      <c r="B45165" s="12"/>
      <c r="C45165" s="8"/>
      <c r="D45165" s="8"/>
    </row>
    <row r="45166" spans="1:4" ht="15.75" customHeight="1">
      <c r="A45166" s="8"/>
      <c r="B45166" s="12"/>
      <c r="C45166" s="8"/>
      <c r="D45166" s="8"/>
    </row>
    <row r="45167" spans="1:4" ht="15.75" customHeight="1">
      <c r="A45167" s="8"/>
      <c r="B45167" s="12"/>
      <c r="C45167" s="8"/>
      <c r="D45167" s="8"/>
    </row>
    <row r="45168" spans="1:4" ht="15.75" customHeight="1">
      <c r="A45168" s="8"/>
      <c r="B45168" s="12"/>
      <c r="C45168" s="8"/>
      <c r="D45168" s="8"/>
    </row>
    <row r="45169" spans="1:4" ht="15.75" customHeight="1">
      <c r="A45169" s="8"/>
      <c r="B45169" s="12"/>
      <c r="C45169" s="8"/>
      <c r="D45169" s="8"/>
    </row>
    <row r="45170" spans="1:4" ht="15.75" customHeight="1">
      <c r="A45170" s="8"/>
      <c r="B45170" s="12"/>
      <c r="C45170" s="8"/>
      <c r="D45170" s="8"/>
    </row>
    <row r="45171" spans="1:4" ht="15.75" customHeight="1">
      <c r="A45171" s="8"/>
      <c r="B45171" s="12"/>
      <c r="C45171" s="8"/>
      <c r="D45171" s="8"/>
    </row>
    <row r="45172" spans="1:4" ht="15.75" customHeight="1">
      <c r="A45172" s="8"/>
      <c r="B45172" s="12"/>
      <c r="C45172" s="8"/>
      <c r="D45172" s="8"/>
    </row>
    <row r="45173" spans="1:4" ht="15.75" customHeight="1">
      <c r="A45173" s="8"/>
      <c r="B45173" s="12"/>
      <c r="C45173" s="8"/>
      <c r="D45173" s="8"/>
    </row>
    <row r="45174" spans="1:4" ht="15.75" customHeight="1">
      <c r="A45174" s="8"/>
      <c r="B45174" s="12"/>
      <c r="C45174" s="8"/>
      <c r="D45174" s="8"/>
    </row>
    <row r="45175" spans="1:4" ht="15.75" customHeight="1">
      <c r="A45175" s="8"/>
      <c r="B45175" s="12"/>
      <c r="C45175" s="8"/>
      <c r="D45175" s="8"/>
    </row>
    <row r="45176" spans="1:4" ht="15.75" customHeight="1">
      <c r="A45176" s="8"/>
      <c r="B45176" s="12"/>
      <c r="C45176" s="8"/>
      <c r="D45176" s="8"/>
    </row>
    <row r="45177" spans="1:4" ht="15.75" customHeight="1">
      <c r="A45177" s="8"/>
      <c r="B45177" s="12"/>
      <c r="C45177" s="8"/>
      <c r="D45177" s="8"/>
    </row>
    <row r="45178" spans="1:4" ht="15.75" customHeight="1">
      <c r="A45178" s="8"/>
      <c r="B45178" s="12"/>
      <c r="C45178" s="8"/>
      <c r="D45178" s="8"/>
    </row>
    <row r="45179" spans="1:4" ht="15.75" customHeight="1">
      <c r="A45179" s="8"/>
      <c r="B45179" s="12"/>
      <c r="C45179" s="8"/>
      <c r="D45179" s="8"/>
    </row>
    <row r="45180" spans="1:4" ht="15.75" customHeight="1">
      <c r="A45180" s="8"/>
      <c r="B45180" s="12"/>
      <c r="C45180" s="8"/>
      <c r="D45180" s="8"/>
    </row>
    <row r="45181" spans="1:4" ht="15.75" customHeight="1">
      <c r="A45181" s="8"/>
      <c r="B45181" s="12"/>
      <c r="C45181" s="8"/>
      <c r="D45181" s="8"/>
    </row>
    <row r="45182" spans="1:4" ht="15.75" customHeight="1">
      <c r="A45182" s="8"/>
      <c r="B45182" s="12"/>
      <c r="C45182" s="8"/>
      <c r="D45182" s="8"/>
    </row>
    <row r="45183" spans="1:4" ht="15.75" customHeight="1">
      <c r="A45183" s="8"/>
      <c r="B45183" s="12"/>
      <c r="C45183" s="8"/>
      <c r="D45183" s="8"/>
    </row>
    <row r="45184" spans="1:4" ht="15.75" customHeight="1">
      <c r="A45184" s="8"/>
      <c r="B45184" s="12"/>
      <c r="C45184" s="8"/>
      <c r="D45184" s="8"/>
    </row>
    <row r="45185" spans="1:4" ht="15.75" customHeight="1">
      <c r="A45185" s="8"/>
      <c r="B45185" s="12"/>
      <c r="C45185" s="8"/>
      <c r="D45185" s="8"/>
    </row>
    <row r="45186" spans="1:4" ht="15.75" customHeight="1">
      <c r="A45186" s="8"/>
      <c r="B45186" s="12"/>
      <c r="C45186" s="8"/>
      <c r="D45186" s="8"/>
    </row>
    <row r="45187" spans="1:4" ht="15.75" customHeight="1">
      <c r="A45187" s="8"/>
      <c r="B45187" s="12"/>
      <c r="C45187" s="8"/>
      <c r="D45187" s="8"/>
    </row>
    <row r="45188" spans="1:4" ht="15.75" customHeight="1">
      <c r="A45188" s="8"/>
      <c r="B45188" s="12"/>
      <c r="C45188" s="8"/>
      <c r="D45188" s="8"/>
    </row>
    <row r="45189" spans="1:4" ht="15.75" customHeight="1">
      <c r="A45189" s="8"/>
      <c r="B45189" s="12"/>
      <c r="C45189" s="8"/>
      <c r="D45189" s="8"/>
    </row>
    <row r="45190" spans="1:4" ht="15.75" customHeight="1">
      <c r="A45190" s="8"/>
      <c r="B45190" s="12"/>
      <c r="C45190" s="8"/>
      <c r="D45190" s="8"/>
    </row>
    <row r="45191" spans="1:4" ht="15.75" customHeight="1">
      <c r="A45191" s="8"/>
      <c r="B45191" s="12"/>
      <c r="C45191" s="8"/>
      <c r="D45191" s="8"/>
    </row>
    <row r="45192" spans="1:4" ht="15.75" customHeight="1">
      <c r="A45192" s="8"/>
      <c r="B45192" s="12"/>
      <c r="C45192" s="8"/>
      <c r="D45192" s="8"/>
    </row>
    <row r="45193" spans="1:4" ht="15.75" customHeight="1">
      <c r="A45193" s="8"/>
      <c r="B45193" s="12"/>
      <c r="C45193" s="8"/>
      <c r="D45193" s="8"/>
    </row>
    <row r="45194" spans="1:4" ht="15.75" customHeight="1">
      <c r="A45194" s="8"/>
      <c r="B45194" s="12"/>
      <c r="C45194" s="8"/>
      <c r="D45194" s="8"/>
    </row>
    <row r="45195" spans="1:4" ht="15.75" customHeight="1">
      <c r="A45195" s="8"/>
      <c r="B45195" s="12"/>
      <c r="C45195" s="8"/>
      <c r="D45195" s="8"/>
    </row>
    <row r="45196" spans="1:4" ht="15.75" customHeight="1">
      <c r="A45196" s="8"/>
      <c r="B45196" s="12"/>
      <c r="C45196" s="8"/>
      <c r="D45196" s="8"/>
    </row>
    <row r="45197" spans="1:4" ht="15.75" customHeight="1">
      <c r="A45197" s="8"/>
      <c r="B45197" s="12"/>
      <c r="C45197" s="8"/>
      <c r="D45197" s="8"/>
    </row>
    <row r="45198" spans="1:4" ht="15.75" customHeight="1">
      <c r="A45198" s="8"/>
      <c r="B45198" s="12"/>
      <c r="C45198" s="8"/>
      <c r="D45198" s="8"/>
    </row>
    <row r="45199" spans="1:4" ht="15.75" customHeight="1">
      <c r="A45199" s="8"/>
      <c r="B45199" s="12"/>
      <c r="C45199" s="8"/>
      <c r="D45199" s="8"/>
    </row>
    <row r="45200" spans="1:4" ht="15.75" customHeight="1">
      <c r="A45200" s="8"/>
      <c r="B45200" s="12"/>
      <c r="C45200" s="8"/>
      <c r="D45200" s="8"/>
    </row>
    <row r="45201" spans="1:4" ht="15.75" customHeight="1">
      <c r="A45201" s="8"/>
      <c r="B45201" s="12"/>
      <c r="C45201" s="8"/>
      <c r="D45201" s="8"/>
    </row>
    <row r="45202" spans="1:4" ht="15.75" customHeight="1">
      <c r="A45202" s="8"/>
      <c r="B45202" s="12"/>
      <c r="C45202" s="8"/>
      <c r="D45202" s="8"/>
    </row>
    <row r="45203" spans="1:4" ht="15.75" customHeight="1">
      <c r="A45203" s="8"/>
      <c r="B45203" s="12"/>
      <c r="C45203" s="8"/>
      <c r="D45203" s="8"/>
    </row>
    <row r="45204" spans="1:4" ht="15.75" customHeight="1">
      <c r="A45204" s="8"/>
      <c r="B45204" s="12"/>
      <c r="C45204" s="8"/>
      <c r="D45204" s="8"/>
    </row>
    <row r="45205" spans="1:4" ht="15.75" customHeight="1">
      <c r="A45205" s="8"/>
      <c r="B45205" s="12"/>
      <c r="C45205" s="8"/>
      <c r="D45205" s="8"/>
    </row>
    <row r="45206" spans="1:4" ht="15.75" customHeight="1">
      <c r="A45206" s="8"/>
      <c r="B45206" s="12"/>
      <c r="C45206" s="8"/>
      <c r="D45206" s="8"/>
    </row>
    <row r="45207" spans="1:4" ht="15.75" customHeight="1">
      <c r="A45207" s="8"/>
      <c r="B45207" s="12"/>
      <c r="C45207" s="8"/>
      <c r="D45207" s="8"/>
    </row>
    <row r="45208" spans="1:4" ht="15.75" customHeight="1">
      <c r="A45208" s="8"/>
      <c r="B45208" s="12"/>
      <c r="C45208" s="8"/>
      <c r="D45208" s="8"/>
    </row>
    <row r="45209" spans="1:4" ht="15.75" customHeight="1">
      <c r="A45209" s="8"/>
      <c r="B45209" s="12"/>
      <c r="C45209" s="8"/>
      <c r="D45209" s="8"/>
    </row>
    <row r="45210" spans="1:4" ht="15.75" customHeight="1">
      <c r="A45210" s="8"/>
      <c r="B45210" s="12"/>
      <c r="C45210" s="8"/>
      <c r="D45210" s="8"/>
    </row>
    <row r="45211" spans="1:4" ht="15.75" customHeight="1">
      <c r="A45211" s="8"/>
      <c r="B45211" s="12"/>
      <c r="C45211" s="8"/>
      <c r="D45211" s="8"/>
    </row>
    <row r="45212" spans="1:4" ht="15.75" customHeight="1">
      <c r="A45212" s="8"/>
      <c r="B45212" s="12"/>
      <c r="C45212" s="8"/>
      <c r="D45212" s="8"/>
    </row>
    <row r="45213" spans="1:4" ht="15.75" customHeight="1">
      <c r="A45213" s="8"/>
      <c r="B45213" s="12"/>
      <c r="C45213" s="8"/>
      <c r="D45213" s="8"/>
    </row>
    <row r="45214" spans="1:4" ht="15.75" customHeight="1">
      <c r="A45214" s="8"/>
      <c r="B45214" s="12"/>
      <c r="C45214" s="8"/>
      <c r="D45214" s="8"/>
    </row>
    <row r="45215" spans="1:4" ht="15.75" customHeight="1">
      <c r="A45215" s="8"/>
      <c r="B45215" s="12"/>
      <c r="C45215" s="8"/>
      <c r="D45215" s="8"/>
    </row>
    <row r="45216" spans="1:4" ht="15.75" customHeight="1">
      <c r="A45216" s="8"/>
      <c r="B45216" s="12"/>
      <c r="C45216" s="8"/>
      <c r="D45216" s="8"/>
    </row>
    <row r="45217" spans="1:4" ht="15.75" customHeight="1">
      <c r="A45217" s="8"/>
      <c r="B45217" s="12"/>
      <c r="C45217" s="8"/>
      <c r="D45217" s="8"/>
    </row>
    <row r="45218" spans="1:4" ht="15.75" customHeight="1">
      <c r="A45218" s="8"/>
      <c r="B45218" s="12"/>
      <c r="C45218" s="8"/>
      <c r="D45218" s="8"/>
    </row>
    <row r="45219" spans="1:4" ht="15.75" customHeight="1">
      <c r="A45219" s="8"/>
      <c r="B45219" s="12"/>
      <c r="C45219" s="8"/>
      <c r="D45219" s="8"/>
    </row>
    <row r="45220" spans="1:4" ht="15.75" customHeight="1">
      <c r="A45220" s="8"/>
      <c r="B45220" s="12"/>
      <c r="C45220" s="8"/>
      <c r="D45220" s="8"/>
    </row>
    <row r="45221" spans="1:4" ht="15.75" customHeight="1">
      <c r="A45221" s="8"/>
      <c r="B45221" s="12"/>
      <c r="C45221" s="8"/>
      <c r="D45221" s="8"/>
    </row>
    <row r="45222" spans="1:4" ht="15.75" customHeight="1">
      <c r="A45222" s="8"/>
      <c r="B45222" s="12"/>
      <c r="C45222" s="8"/>
      <c r="D45222" s="8"/>
    </row>
    <row r="45223" spans="1:4" ht="15.75" customHeight="1">
      <c r="A45223" s="8"/>
      <c r="B45223" s="12"/>
      <c r="C45223" s="8"/>
      <c r="D45223" s="8"/>
    </row>
    <row r="45224" spans="1:4" ht="15.75" customHeight="1">
      <c r="A45224" s="8"/>
      <c r="B45224" s="12"/>
      <c r="C45224" s="8"/>
      <c r="D45224" s="8"/>
    </row>
    <row r="45225" spans="1:4" ht="15.75" customHeight="1">
      <c r="A45225" s="8"/>
      <c r="B45225" s="12"/>
      <c r="C45225" s="8"/>
      <c r="D45225" s="8"/>
    </row>
    <row r="45226" spans="1:4" ht="15.75" customHeight="1">
      <c r="A45226" s="8"/>
      <c r="B45226" s="12"/>
      <c r="C45226" s="8"/>
      <c r="D45226" s="8"/>
    </row>
    <row r="45227" spans="1:4" ht="15.75" customHeight="1">
      <c r="A45227" s="8"/>
      <c r="B45227" s="12"/>
      <c r="C45227" s="8"/>
      <c r="D45227" s="8"/>
    </row>
    <row r="45228" spans="1:4" ht="15.75" customHeight="1">
      <c r="A45228" s="8"/>
      <c r="B45228" s="12"/>
      <c r="C45228" s="8"/>
      <c r="D45228" s="8"/>
    </row>
    <row r="45229" spans="1:4" ht="15.75" customHeight="1">
      <c r="A45229" s="8"/>
      <c r="B45229" s="12"/>
      <c r="C45229" s="8"/>
      <c r="D45229" s="8"/>
    </row>
    <row r="45230" spans="1:4" ht="15.75" customHeight="1">
      <c r="A45230" s="8"/>
      <c r="B45230" s="12"/>
      <c r="C45230" s="8"/>
      <c r="D45230" s="8"/>
    </row>
    <row r="45231" spans="1:4" ht="15.75" customHeight="1">
      <c r="A45231" s="8"/>
      <c r="B45231" s="12"/>
      <c r="C45231" s="8"/>
      <c r="D45231" s="8"/>
    </row>
    <row r="45232" spans="1:4" ht="15.75" customHeight="1">
      <c r="A45232" s="8"/>
      <c r="B45232" s="12"/>
      <c r="C45232" s="8"/>
      <c r="D45232" s="8"/>
    </row>
    <row r="45233" spans="1:4" ht="15.75" customHeight="1">
      <c r="A45233" s="8"/>
      <c r="B45233" s="12"/>
      <c r="C45233" s="8"/>
      <c r="D45233" s="8"/>
    </row>
    <row r="45234" spans="1:4" ht="15.75" customHeight="1">
      <c r="A45234" s="8"/>
      <c r="B45234" s="12"/>
      <c r="C45234" s="8"/>
      <c r="D45234" s="8"/>
    </row>
    <row r="45235" spans="1:4" ht="15.75" customHeight="1">
      <c r="A45235" s="8"/>
      <c r="B45235" s="12"/>
      <c r="C45235" s="8"/>
      <c r="D45235" s="8"/>
    </row>
    <row r="45236" spans="1:4" ht="15.75" customHeight="1">
      <c r="A45236" s="8"/>
      <c r="B45236" s="12"/>
      <c r="C45236" s="8"/>
      <c r="D45236" s="8"/>
    </row>
    <row r="45237" spans="1:4" ht="15.75" customHeight="1">
      <c r="A45237" s="8"/>
      <c r="B45237" s="12"/>
      <c r="C45237" s="8"/>
      <c r="D45237" s="8"/>
    </row>
    <row r="45238" spans="1:4" ht="15.75" customHeight="1">
      <c r="A45238" s="8"/>
      <c r="B45238" s="12"/>
      <c r="C45238" s="8"/>
      <c r="D45238" s="8"/>
    </row>
    <row r="45239" spans="1:4" ht="15.75" customHeight="1">
      <c r="A45239" s="8"/>
      <c r="B45239" s="12"/>
      <c r="C45239" s="8"/>
      <c r="D45239" s="8"/>
    </row>
    <row r="45240" spans="1:4" ht="15.75" customHeight="1">
      <c r="A45240" s="8"/>
      <c r="B45240" s="12"/>
      <c r="C45240" s="8"/>
      <c r="D45240" s="8"/>
    </row>
    <row r="45241" spans="1:4" ht="15.75" customHeight="1">
      <c r="A45241" s="8"/>
      <c r="B45241" s="12"/>
      <c r="C45241" s="8"/>
      <c r="D45241" s="8"/>
    </row>
    <row r="45242" spans="1:4" ht="15.75" customHeight="1">
      <c r="A45242" s="8"/>
      <c r="B45242" s="12"/>
      <c r="C45242" s="8"/>
      <c r="D45242" s="8"/>
    </row>
    <row r="45243" spans="1:4" ht="15.75" customHeight="1">
      <c r="A45243" s="8"/>
      <c r="B45243" s="12"/>
      <c r="C45243" s="8"/>
      <c r="D45243" s="8"/>
    </row>
    <row r="45244" spans="1:4" ht="15.75" customHeight="1">
      <c r="A45244" s="8"/>
      <c r="B45244" s="12"/>
      <c r="C45244" s="8"/>
      <c r="D45244" s="8"/>
    </row>
    <row r="45245" spans="1:4" ht="15.75" customHeight="1">
      <c r="A45245" s="8"/>
      <c r="B45245" s="12"/>
      <c r="C45245" s="8"/>
      <c r="D45245" s="8"/>
    </row>
    <row r="45246" spans="1:4" ht="15.75" customHeight="1">
      <c r="A45246" s="8"/>
      <c r="B45246" s="12"/>
      <c r="C45246" s="8"/>
      <c r="D45246" s="8"/>
    </row>
    <row r="45247" spans="1:4" ht="15.75" customHeight="1">
      <c r="A45247" s="8"/>
      <c r="B45247" s="12"/>
      <c r="C45247" s="8"/>
      <c r="D45247" s="8"/>
    </row>
    <row r="45248" spans="1:4" ht="15.75" customHeight="1">
      <c r="A45248" s="8"/>
      <c r="B45248" s="12"/>
      <c r="C45248" s="8"/>
      <c r="D45248" s="8"/>
    </row>
    <row r="45249" spans="1:4" ht="15.75" customHeight="1">
      <c r="A45249" s="8"/>
      <c r="B45249" s="12"/>
      <c r="C45249" s="8"/>
      <c r="D45249" s="8"/>
    </row>
    <row r="45250" spans="1:4" ht="15.75" customHeight="1">
      <c r="A45250" s="8"/>
      <c r="B45250" s="12"/>
      <c r="C45250" s="8"/>
      <c r="D45250" s="8"/>
    </row>
    <row r="45251" spans="1:4" ht="15.75" customHeight="1">
      <c r="A45251" s="8"/>
      <c r="B45251" s="12"/>
      <c r="C45251" s="8"/>
      <c r="D45251" s="8"/>
    </row>
    <row r="45252" spans="1:4" ht="15.75" customHeight="1">
      <c r="A45252" s="8"/>
      <c r="B45252" s="12"/>
      <c r="C45252" s="8"/>
      <c r="D45252" s="8"/>
    </row>
    <row r="45253" spans="1:4" ht="15.75" customHeight="1">
      <c r="A45253" s="8"/>
      <c r="B45253" s="12"/>
      <c r="C45253" s="8"/>
      <c r="D45253" s="8"/>
    </row>
    <row r="45254" spans="1:4" ht="15.75" customHeight="1">
      <c r="A45254" s="8"/>
      <c r="B45254" s="12"/>
      <c r="C45254" s="8"/>
      <c r="D45254" s="8"/>
    </row>
    <row r="45255" spans="1:4" ht="15.75" customHeight="1">
      <c r="A45255" s="8"/>
      <c r="B45255" s="12"/>
      <c r="C45255" s="8"/>
      <c r="D45255" s="8"/>
    </row>
    <row r="45256" spans="1:4" ht="15.75" customHeight="1">
      <c r="A45256" s="8"/>
      <c r="B45256" s="12"/>
      <c r="C45256" s="8"/>
      <c r="D45256" s="8"/>
    </row>
    <row r="45257" spans="1:4" ht="15.75" customHeight="1">
      <c r="A45257" s="8"/>
      <c r="B45257" s="12"/>
      <c r="C45257" s="8"/>
      <c r="D45257" s="8"/>
    </row>
    <row r="45258" spans="1:4" ht="15.75" customHeight="1">
      <c r="A45258" s="8"/>
      <c r="B45258" s="12"/>
      <c r="C45258" s="8"/>
      <c r="D45258" s="8"/>
    </row>
    <row r="45259" spans="1:4" ht="15.75" customHeight="1">
      <c r="A45259" s="8"/>
      <c r="B45259" s="12"/>
      <c r="C45259" s="8"/>
      <c r="D45259" s="8"/>
    </row>
    <row r="45260" spans="1:4" ht="15.75" customHeight="1">
      <c r="A45260" s="8"/>
      <c r="B45260" s="12"/>
      <c r="C45260" s="8"/>
      <c r="D45260" s="8"/>
    </row>
    <row r="45261" spans="1:4" ht="15.75" customHeight="1">
      <c r="A45261" s="8"/>
      <c r="B45261" s="12"/>
      <c r="C45261" s="8"/>
      <c r="D45261" s="8"/>
    </row>
    <row r="45262" spans="1:4" ht="15.75" customHeight="1">
      <c r="A45262" s="8"/>
      <c r="B45262" s="12"/>
      <c r="C45262" s="8"/>
      <c r="D45262" s="8"/>
    </row>
    <row r="45263" spans="1:4" ht="15.75" customHeight="1">
      <c r="A45263" s="8"/>
      <c r="B45263" s="12"/>
      <c r="C45263" s="8"/>
      <c r="D45263" s="8"/>
    </row>
    <row r="45264" spans="1:4" ht="15.75" customHeight="1">
      <c r="A45264" s="8"/>
      <c r="B45264" s="12"/>
      <c r="C45264" s="8"/>
      <c r="D45264" s="8"/>
    </row>
    <row r="45265" spans="1:4" ht="15.75" customHeight="1">
      <c r="A45265" s="8"/>
      <c r="B45265" s="12"/>
      <c r="C45265" s="8"/>
      <c r="D45265" s="8"/>
    </row>
    <row r="45266" spans="1:4" ht="15.75" customHeight="1">
      <c r="A45266" s="8"/>
      <c r="B45266" s="12"/>
      <c r="C45266" s="8"/>
      <c r="D45266" s="8"/>
    </row>
    <row r="45267" spans="1:4" ht="15.75" customHeight="1">
      <c r="A45267" s="8"/>
      <c r="B45267" s="12"/>
      <c r="C45267" s="8"/>
      <c r="D45267" s="8"/>
    </row>
    <row r="45268" spans="1:4" ht="15.75" customHeight="1">
      <c r="A45268" s="8"/>
      <c r="B45268" s="12"/>
      <c r="C45268" s="8"/>
      <c r="D45268" s="8"/>
    </row>
    <row r="45269" spans="1:4" ht="15.75" customHeight="1">
      <c r="A45269" s="8"/>
      <c r="B45269" s="12"/>
      <c r="C45269" s="8"/>
      <c r="D45269" s="8"/>
    </row>
    <row r="45270" spans="1:4" ht="15.75" customHeight="1">
      <c r="A45270" s="8"/>
      <c r="B45270" s="12"/>
      <c r="C45270" s="8"/>
      <c r="D45270" s="8"/>
    </row>
    <row r="45271" spans="1:4" ht="15.75" customHeight="1">
      <c r="A45271" s="8"/>
      <c r="B45271" s="12"/>
      <c r="C45271" s="8"/>
      <c r="D45271" s="8"/>
    </row>
    <row r="45272" spans="1:4" ht="15.75" customHeight="1">
      <c r="A45272" s="8"/>
      <c r="B45272" s="12"/>
      <c r="C45272" s="8"/>
      <c r="D45272" s="8"/>
    </row>
    <row r="45273" spans="1:4" ht="15.75" customHeight="1">
      <c r="A45273" s="8"/>
      <c r="B45273" s="12"/>
      <c r="C45273" s="8"/>
      <c r="D45273" s="8"/>
    </row>
    <row r="45274" spans="1:4" ht="15.75" customHeight="1">
      <c r="A45274" s="8"/>
      <c r="B45274" s="12"/>
      <c r="C45274" s="8"/>
      <c r="D45274" s="8"/>
    </row>
    <row r="45275" spans="1:4" ht="15.75" customHeight="1">
      <c r="A45275" s="8"/>
      <c r="B45275" s="12"/>
      <c r="C45275" s="8"/>
      <c r="D45275" s="8"/>
    </row>
    <row r="45276" spans="1:4" ht="15.75" customHeight="1">
      <c r="A45276" s="8"/>
      <c r="B45276" s="12"/>
      <c r="C45276" s="8"/>
      <c r="D45276" s="8"/>
    </row>
    <row r="45277" spans="1:4" ht="15.75" customHeight="1">
      <c r="A45277" s="8"/>
      <c r="B45277" s="12"/>
      <c r="C45277" s="8"/>
      <c r="D45277" s="8"/>
    </row>
    <row r="45278" spans="1:4" ht="15.75" customHeight="1">
      <c r="A45278" s="8"/>
      <c r="B45278" s="12"/>
      <c r="C45278" s="8"/>
      <c r="D45278" s="8"/>
    </row>
    <row r="45279" spans="1:4" ht="15.75" customHeight="1">
      <c r="A45279" s="8"/>
      <c r="B45279" s="12"/>
      <c r="C45279" s="8"/>
      <c r="D45279" s="8"/>
    </row>
    <row r="45280" spans="1:4" ht="15.75" customHeight="1">
      <c r="A45280" s="8"/>
      <c r="B45280" s="12"/>
      <c r="C45280" s="8"/>
      <c r="D45280" s="8"/>
    </row>
    <row r="45281" spans="1:4" ht="15.75" customHeight="1">
      <c r="A45281" s="8"/>
      <c r="B45281" s="12"/>
      <c r="C45281" s="8"/>
      <c r="D45281" s="8"/>
    </row>
    <row r="45282" spans="1:4" ht="15.75" customHeight="1">
      <c r="A45282" s="8"/>
      <c r="B45282" s="12"/>
      <c r="C45282" s="8"/>
      <c r="D45282" s="8"/>
    </row>
    <row r="45283" spans="1:4" ht="15.75" customHeight="1">
      <c r="A45283" s="8"/>
      <c r="B45283" s="12"/>
      <c r="C45283" s="8"/>
      <c r="D45283" s="8"/>
    </row>
    <row r="45284" spans="1:4" ht="15.75" customHeight="1">
      <c r="A45284" s="8"/>
      <c r="B45284" s="12"/>
      <c r="C45284" s="8"/>
      <c r="D45284" s="8"/>
    </row>
    <row r="45285" spans="1:4" ht="15.75" customHeight="1">
      <c r="A45285" s="8"/>
      <c r="B45285" s="12"/>
      <c r="C45285" s="8"/>
      <c r="D45285" s="8"/>
    </row>
    <row r="45286" spans="1:4" ht="15.75" customHeight="1">
      <c r="A45286" s="8"/>
      <c r="B45286" s="12"/>
      <c r="C45286" s="8"/>
      <c r="D45286" s="8"/>
    </row>
    <row r="45287" spans="1:4" ht="15.75" customHeight="1">
      <c r="A45287" s="8"/>
      <c r="B45287" s="12"/>
      <c r="C45287" s="8"/>
      <c r="D45287" s="8"/>
    </row>
    <row r="45288" spans="1:4" ht="15.75" customHeight="1">
      <c r="A45288" s="8"/>
      <c r="B45288" s="12"/>
      <c r="C45288" s="8"/>
      <c r="D45288" s="8"/>
    </row>
    <row r="45289" spans="1:4" ht="15.75" customHeight="1">
      <c r="A45289" s="8"/>
      <c r="B45289" s="12"/>
      <c r="C45289" s="8"/>
      <c r="D45289" s="8"/>
    </row>
    <row r="45290" spans="1:4" ht="15.75" customHeight="1">
      <c r="A45290" s="8"/>
      <c r="B45290" s="12"/>
      <c r="C45290" s="8"/>
      <c r="D45290" s="8"/>
    </row>
    <row r="45291" spans="1:4" ht="15.75" customHeight="1">
      <c r="A45291" s="8"/>
      <c r="B45291" s="12"/>
      <c r="C45291" s="8"/>
      <c r="D45291" s="8"/>
    </row>
    <row r="45292" spans="1:4" ht="15.75" customHeight="1">
      <c r="A45292" s="8"/>
      <c r="B45292" s="12"/>
      <c r="C45292" s="8"/>
      <c r="D45292" s="8"/>
    </row>
    <row r="45293" spans="1:4" ht="15.75" customHeight="1">
      <c r="A45293" s="8"/>
      <c r="B45293" s="12"/>
      <c r="C45293" s="8"/>
      <c r="D45293" s="8"/>
    </row>
    <row r="45294" spans="1:4" ht="15.75" customHeight="1">
      <c r="A45294" s="8"/>
      <c r="B45294" s="12"/>
      <c r="C45294" s="8"/>
      <c r="D45294" s="8"/>
    </row>
    <row r="45295" spans="1:4" ht="15.75" customHeight="1">
      <c r="A45295" s="8"/>
      <c r="B45295" s="12"/>
      <c r="C45295" s="8"/>
      <c r="D45295" s="8"/>
    </row>
    <row r="45296" spans="1:4" ht="15.75" customHeight="1">
      <c r="A45296" s="8"/>
      <c r="B45296" s="12"/>
      <c r="C45296" s="8"/>
      <c r="D45296" s="8"/>
    </row>
    <row r="45297" spans="1:4" ht="15.75" customHeight="1">
      <c r="A45297" s="8"/>
      <c r="B45297" s="12"/>
      <c r="C45297" s="8"/>
      <c r="D45297" s="8"/>
    </row>
    <row r="45298" spans="1:4" ht="15.75" customHeight="1">
      <c r="A45298" s="8"/>
      <c r="B45298" s="12"/>
      <c r="C45298" s="8"/>
      <c r="D45298" s="8"/>
    </row>
    <row r="45299" spans="1:4" ht="15.75" customHeight="1">
      <c r="A45299" s="8"/>
      <c r="B45299" s="12"/>
      <c r="C45299" s="8"/>
      <c r="D45299" s="8"/>
    </row>
    <row r="45300" spans="1:4" ht="15.75" customHeight="1">
      <c r="A45300" s="8"/>
      <c r="B45300" s="12"/>
      <c r="C45300" s="8"/>
      <c r="D45300" s="8"/>
    </row>
    <row r="45301" spans="1:4" ht="15.75" customHeight="1">
      <c r="A45301" s="8"/>
      <c r="B45301" s="12"/>
      <c r="C45301" s="8"/>
      <c r="D45301" s="8"/>
    </row>
    <row r="45302" spans="1:4" ht="15.75" customHeight="1">
      <c r="A45302" s="8"/>
      <c r="B45302" s="12"/>
      <c r="C45302" s="8"/>
      <c r="D45302" s="8"/>
    </row>
    <row r="45303" spans="1:4" ht="15.75" customHeight="1">
      <c r="A45303" s="8"/>
      <c r="B45303" s="12"/>
      <c r="C45303" s="8"/>
      <c r="D45303" s="8"/>
    </row>
    <row r="45304" spans="1:4" ht="15.75" customHeight="1">
      <c r="A45304" s="8"/>
      <c r="B45304" s="12"/>
      <c r="C45304" s="8"/>
      <c r="D45304" s="8"/>
    </row>
    <row r="45305" spans="1:4" ht="15.75" customHeight="1">
      <c r="A45305" s="8"/>
      <c r="B45305" s="12"/>
      <c r="C45305" s="8"/>
      <c r="D45305" s="8"/>
    </row>
    <row r="45306" spans="1:4" ht="15.75" customHeight="1">
      <c r="A45306" s="8"/>
      <c r="B45306" s="12"/>
      <c r="C45306" s="8"/>
      <c r="D45306" s="8"/>
    </row>
    <row r="45307" spans="1:4" ht="15.75" customHeight="1">
      <c r="A45307" s="8"/>
      <c r="B45307" s="12"/>
      <c r="C45307" s="8"/>
      <c r="D45307" s="8"/>
    </row>
    <row r="45308" spans="1:4" ht="15.75" customHeight="1">
      <c r="A45308" s="8"/>
      <c r="B45308" s="12"/>
      <c r="C45308" s="8"/>
      <c r="D45308" s="8"/>
    </row>
    <row r="45309" spans="1:4" ht="15.75" customHeight="1">
      <c r="A45309" s="8"/>
      <c r="B45309" s="12"/>
      <c r="C45309" s="8"/>
      <c r="D45309" s="8"/>
    </row>
    <row r="45310" spans="1:4" ht="15.75" customHeight="1">
      <c r="A45310" s="8"/>
      <c r="B45310" s="12"/>
      <c r="C45310" s="8"/>
      <c r="D45310" s="8"/>
    </row>
    <row r="45311" spans="1:4" ht="15.75" customHeight="1">
      <c r="A45311" s="8"/>
      <c r="B45311" s="12"/>
      <c r="C45311" s="8"/>
      <c r="D45311" s="8"/>
    </row>
    <row r="45312" spans="1:4" ht="15.75" customHeight="1">
      <c r="A45312" s="8"/>
      <c r="B45312" s="12"/>
      <c r="C45312" s="8"/>
      <c r="D45312" s="8"/>
    </row>
    <row r="45313" spans="1:4" ht="15.75" customHeight="1">
      <c r="A45313" s="8"/>
      <c r="B45313" s="12"/>
      <c r="C45313" s="8"/>
      <c r="D45313" s="8"/>
    </row>
    <row r="45314" spans="1:4" ht="15.75" customHeight="1">
      <c r="A45314" s="8"/>
      <c r="B45314" s="12"/>
      <c r="C45314" s="8"/>
      <c r="D45314" s="8"/>
    </row>
    <row r="45315" spans="1:4" ht="15.75" customHeight="1">
      <c r="A45315" s="8"/>
      <c r="B45315" s="12"/>
      <c r="C45315" s="8"/>
      <c r="D45315" s="8"/>
    </row>
    <row r="45316" spans="1:4" ht="15.75" customHeight="1">
      <c r="A45316" s="8"/>
      <c r="B45316" s="12"/>
      <c r="C45316" s="8"/>
      <c r="D45316" s="8"/>
    </row>
    <row r="45317" spans="1:4" ht="15.75" customHeight="1">
      <c r="A45317" s="8"/>
      <c r="B45317" s="12"/>
      <c r="C45317" s="8"/>
      <c r="D45317" s="8"/>
    </row>
    <row r="45318" spans="1:4" ht="15.75" customHeight="1">
      <c r="A45318" s="8"/>
      <c r="B45318" s="12"/>
      <c r="C45318" s="8"/>
      <c r="D45318" s="8"/>
    </row>
    <row r="45319" spans="1:4" ht="15.75" customHeight="1">
      <c r="A45319" s="8"/>
      <c r="B45319" s="12"/>
      <c r="C45319" s="8"/>
      <c r="D45319" s="8"/>
    </row>
    <row r="45320" spans="1:4" ht="15.75" customHeight="1">
      <c r="A45320" s="8"/>
      <c r="B45320" s="12"/>
      <c r="C45320" s="8"/>
      <c r="D45320" s="8"/>
    </row>
    <row r="45321" spans="1:4" ht="15.75" customHeight="1">
      <c r="A45321" s="8"/>
      <c r="B45321" s="12"/>
      <c r="C45321" s="8"/>
      <c r="D45321" s="8"/>
    </row>
    <row r="45322" spans="1:4" ht="15.75" customHeight="1">
      <c r="A45322" s="8"/>
      <c r="B45322" s="12"/>
      <c r="C45322" s="8"/>
      <c r="D45322" s="8"/>
    </row>
    <row r="45323" spans="1:4" ht="15.75" customHeight="1">
      <c r="A45323" s="8"/>
      <c r="B45323" s="12"/>
      <c r="C45323" s="8"/>
      <c r="D45323" s="8"/>
    </row>
    <row r="45324" spans="1:4" ht="15.75" customHeight="1">
      <c r="A45324" s="8"/>
      <c r="B45324" s="12"/>
      <c r="C45324" s="8"/>
      <c r="D45324" s="8"/>
    </row>
    <row r="45325" spans="1:4" ht="15.75" customHeight="1">
      <c r="A45325" s="8"/>
      <c r="B45325" s="12"/>
      <c r="C45325" s="8"/>
      <c r="D45325" s="8"/>
    </row>
    <row r="45326" spans="1:4" ht="15.75" customHeight="1">
      <c r="A45326" s="8"/>
      <c r="B45326" s="12"/>
      <c r="C45326" s="8"/>
      <c r="D45326" s="8"/>
    </row>
    <row r="45327" spans="1:4" ht="15.75" customHeight="1">
      <c r="A45327" s="8"/>
      <c r="B45327" s="12"/>
      <c r="C45327" s="8"/>
      <c r="D45327" s="8"/>
    </row>
    <row r="45328" spans="1:4" ht="15.75" customHeight="1">
      <c r="A45328" s="8"/>
      <c r="B45328" s="12"/>
      <c r="C45328" s="8"/>
      <c r="D45328" s="8"/>
    </row>
    <row r="45329" spans="1:4" ht="15.75" customHeight="1">
      <c r="A45329" s="8"/>
      <c r="B45329" s="12"/>
      <c r="C45329" s="8"/>
      <c r="D45329" s="8"/>
    </row>
    <row r="45330" spans="1:4" ht="15.75" customHeight="1">
      <c r="A45330" s="8"/>
      <c r="B45330" s="12"/>
      <c r="C45330" s="8"/>
      <c r="D45330" s="8"/>
    </row>
    <row r="45331" spans="1:4" ht="15.75" customHeight="1">
      <c r="A45331" s="8"/>
      <c r="B45331" s="12"/>
      <c r="C45331" s="8"/>
      <c r="D45331" s="8"/>
    </row>
    <row r="45332" spans="1:4" ht="15.75" customHeight="1">
      <c r="A45332" s="8"/>
      <c r="B45332" s="12"/>
      <c r="C45332" s="8"/>
      <c r="D45332" s="8"/>
    </row>
    <row r="45333" spans="1:4" ht="15.75" customHeight="1">
      <c r="A45333" s="8"/>
      <c r="B45333" s="12"/>
      <c r="C45333" s="8"/>
      <c r="D45333" s="8"/>
    </row>
    <row r="45334" spans="1:4" ht="15.75" customHeight="1">
      <c r="A45334" s="8"/>
      <c r="B45334" s="12"/>
      <c r="C45334" s="8"/>
      <c r="D45334" s="8"/>
    </row>
    <row r="45335" spans="1:4" ht="15.75" customHeight="1">
      <c r="A45335" s="8"/>
      <c r="B45335" s="12"/>
      <c r="C45335" s="8"/>
      <c r="D45335" s="8"/>
    </row>
    <row r="45336" spans="1:4" ht="15.75" customHeight="1">
      <c r="A45336" s="8"/>
      <c r="B45336" s="12"/>
      <c r="C45336" s="8"/>
      <c r="D45336" s="8"/>
    </row>
    <row r="45337" spans="1:4" ht="15.75" customHeight="1">
      <c r="A45337" s="8"/>
      <c r="B45337" s="12"/>
      <c r="C45337" s="8"/>
      <c r="D45337" s="8"/>
    </row>
    <row r="45338" spans="1:4" ht="15.75" customHeight="1">
      <c r="A45338" s="8"/>
      <c r="B45338" s="12"/>
      <c r="C45338" s="8"/>
      <c r="D45338" s="8"/>
    </row>
    <row r="45339" spans="1:4" ht="15.75" customHeight="1">
      <c r="A45339" s="8"/>
      <c r="B45339" s="12"/>
      <c r="C45339" s="8"/>
      <c r="D45339" s="8"/>
    </row>
    <row r="45340" spans="1:4" ht="15.75" customHeight="1">
      <c r="A45340" s="8"/>
      <c r="B45340" s="12"/>
      <c r="C45340" s="8"/>
      <c r="D45340" s="8"/>
    </row>
    <row r="45341" spans="1:4" ht="15.75" customHeight="1">
      <c r="A45341" s="8"/>
      <c r="B45341" s="12"/>
      <c r="C45341" s="8"/>
      <c r="D45341" s="8"/>
    </row>
    <row r="45342" spans="1:4" ht="15.75" customHeight="1">
      <c r="A45342" s="8"/>
      <c r="B45342" s="12"/>
      <c r="C45342" s="8"/>
      <c r="D45342" s="8"/>
    </row>
    <row r="45343" spans="1:4" ht="15.75" customHeight="1">
      <c r="A45343" s="8"/>
      <c r="B45343" s="12"/>
      <c r="C45343" s="8"/>
      <c r="D45343" s="8"/>
    </row>
    <row r="45344" spans="1:4" ht="15.75" customHeight="1">
      <c r="A45344" s="8"/>
      <c r="B45344" s="12"/>
      <c r="C45344" s="8"/>
      <c r="D45344" s="8"/>
    </row>
    <row r="45345" spans="1:4" ht="15.75" customHeight="1">
      <c r="A45345" s="8"/>
      <c r="B45345" s="12"/>
      <c r="C45345" s="8"/>
      <c r="D45345" s="8"/>
    </row>
    <row r="45346" spans="1:4" ht="15.75" customHeight="1">
      <c r="A45346" s="8"/>
      <c r="B45346" s="12"/>
      <c r="C45346" s="8"/>
      <c r="D45346" s="8"/>
    </row>
    <row r="45347" spans="1:4" ht="15.75" customHeight="1">
      <c r="A45347" s="8"/>
      <c r="B45347" s="12"/>
      <c r="C45347" s="8"/>
      <c r="D45347" s="8"/>
    </row>
    <row r="45348" spans="1:4" ht="15.75" customHeight="1">
      <c r="A45348" s="8"/>
      <c r="B45348" s="12"/>
      <c r="C45348" s="8"/>
      <c r="D45348" s="8"/>
    </row>
    <row r="45349" spans="1:4" ht="15.75" customHeight="1">
      <c r="A45349" s="8"/>
      <c r="B45349" s="12"/>
      <c r="C45349" s="8"/>
      <c r="D45349" s="8"/>
    </row>
    <row r="45350" spans="1:4" ht="15.75" customHeight="1">
      <c r="A45350" s="8"/>
      <c r="B45350" s="12"/>
      <c r="C45350" s="8"/>
      <c r="D45350" s="8"/>
    </row>
    <row r="45351" spans="1:4" ht="15.75" customHeight="1">
      <c r="A45351" s="8"/>
      <c r="B45351" s="12"/>
      <c r="C45351" s="8"/>
      <c r="D45351" s="8"/>
    </row>
    <row r="45352" spans="1:4" ht="15.75" customHeight="1">
      <c r="A45352" s="8"/>
      <c r="B45352" s="12"/>
      <c r="C45352" s="8"/>
      <c r="D45352" s="8"/>
    </row>
    <row r="45353" spans="1:4" ht="15.75" customHeight="1">
      <c r="A45353" s="8"/>
      <c r="B45353" s="12"/>
      <c r="C45353" s="8"/>
      <c r="D45353" s="8"/>
    </row>
    <row r="45354" spans="1:4" ht="15.75" customHeight="1">
      <c r="A45354" s="8"/>
      <c r="B45354" s="12"/>
      <c r="C45354" s="8"/>
      <c r="D45354" s="8"/>
    </row>
    <row r="45355" spans="1:4" ht="15.75" customHeight="1">
      <c r="A45355" s="8"/>
      <c r="B45355" s="12"/>
      <c r="C45355" s="8"/>
      <c r="D45355" s="8"/>
    </row>
    <row r="45356" spans="1:4" ht="15.75" customHeight="1">
      <c r="A45356" s="8"/>
      <c r="B45356" s="12"/>
      <c r="C45356" s="8"/>
      <c r="D45356" s="8"/>
    </row>
    <row r="45357" spans="1:4" ht="15.75" customHeight="1">
      <c r="A45357" s="8"/>
      <c r="B45357" s="12"/>
      <c r="C45357" s="8"/>
      <c r="D45357" s="8"/>
    </row>
    <row r="45358" spans="1:4" ht="15.75" customHeight="1">
      <c r="A45358" s="8"/>
      <c r="B45358" s="12"/>
      <c r="C45358" s="8"/>
      <c r="D45358" s="8"/>
    </row>
    <row r="45359" spans="1:4" ht="15.75" customHeight="1">
      <c r="A45359" s="8"/>
      <c r="B45359" s="12"/>
      <c r="C45359" s="8"/>
      <c r="D45359" s="8"/>
    </row>
    <row r="45360" spans="1:4" ht="15.75" customHeight="1">
      <c r="A45360" s="8"/>
      <c r="B45360" s="12"/>
      <c r="C45360" s="8"/>
      <c r="D45360" s="8"/>
    </row>
    <row r="45361" spans="1:4" ht="15.75" customHeight="1">
      <c r="A45361" s="8"/>
      <c r="B45361" s="12"/>
      <c r="C45361" s="8"/>
      <c r="D45361" s="8"/>
    </row>
    <row r="45362" spans="1:4" ht="15.75" customHeight="1">
      <c r="A45362" s="8"/>
      <c r="B45362" s="12"/>
      <c r="C45362" s="8"/>
      <c r="D45362" s="8"/>
    </row>
    <row r="45363" spans="1:4" ht="15.75" customHeight="1">
      <c r="A45363" s="8"/>
      <c r="B45363" s="12"/>
      <c r="C45363" s="8"/>
      <c r="D45363" s="8"/>
    </row>
    <row r="45364" spans="1:4" ht="15.75" customHeight="1">
      <c r="A45364" s="8"/>
      <c r="B45364" s="12"/>
      <c r="C45364" s="8"/>
      <c r="D45364" s="8"/>
    </row>
    <row r="45365" spans="1:4" ht="15.75" customHeight="1">
      <c r="A45365" s="8"/>
      <c r="B45365" s="12"/>
      <c r="C45365" s="8"/>
      <c r="D45365" s="8"/>
    </row>
    <row r="45366" spans="1:4" ht="15.75" customHeight="1">
      <c r="A45366" s="8"/>
      <c r="B45366" s="12"/>
      <c r="C45366" s="8"/>
      <c r="D45366" s="8"/>
    </row>
    <row r="45367" spans="1:4" ht="15.75" customHeight="1">
      <c r="A45367" s="8"/>
      <c r="B45367" s="12"/>
      <c r="C45367" s="8"/>
      <c r="D45367" s="8"/>
    </row>
    <row r="45368" spans="1:4" ht="15.75" customHeight="1">
      <c r="A45368" s="8"/>
      <c r="B45368" s="12"/>
      <c r="C45368" s="8"/>
      <c r="D45368" s="8"/>
    </row>
    <row r="45369" spans="1:4" ht="15.75" customHeight="1">
      <c r="A45369" s="8"/>
      <c r="B45369" s="12"/>
      <c r="C45369" s="8"/>
      <c r="D45369" s="8"/>
    </row>
    <row r="45370" spans="1:4" ht="15.75" customHeight="1">
      <c r="A45370" s="8"/>
      <c r="B45370" s="12"/>
      <c r="C45370" s="8"/>
      <c r="D45370" s="8"/>
    </row>
    <row r="45371" spans="1:4" ht="15.75" customHeight="1">
      <c r="A45371" s="8"/>
      <c r="B45371" s="12"/>
      <c r="C45371" s="8"/>
      <c r="D45371" s="8"/>
    </row>
    <row r="45372" spans="1:4" ht="15.75" customHeight="1">
      <c r="A45372" s="8"/>
      <c r="B45372" s="12"/>
      <c r="C45372" s="8"/>
      <c r="D45372" s="8"/>
    </row>
    <row r="45373" spans="1:4" ht="15.75" customHeight="1">
      <c r="A45373" s="8"/>
      <c r="B45373" s="12"/>
      <c r="C45373" s="8"/>
      <c r="D45373" s="8"/>
    </row>
    <row r="45374" spans="1:4" ht="15.75" customHeight="1">
      <c r="A45374" s="8"/>
      <c r="B45374" s="12"/>
      <c r="C45374" s="8"/>
      <c r="D45374" s="8"/>
    </row>
    <row r="45375" spans="1:4" ht="15.75" customHeight="1">
      <c r="A45375" s="8"/>
      <c r="B45375" s="12"/>
      <c r="C45375" s="8"/>
      <c r="D45375" s="8"/>
    </row>
    <row r="45376" spans="1:4" ht="15.75" customHeight="1">
      <c r="A45376" s="8"/>
      <c r="B45376" s="12"/>
      <c r="C45376" s="8"/>
      <c r="D45376" s="8"/>
    </row>
    <row r="45377" spans="1:4" ht="15.75" customHeight="1">
      <c r="A45377" s="8"/>
      <c r="B45377" s="12"/>
      <c r="C45377" s="8"/>
      <c r="D45377" s="8"/>
    </row>
    <row r="45378" spans="1:4" ht="15.75" customHeight="1">
      <c r="A45378" s="8"/>
      <c r="B45378" s="12"/>
      <c r="C45378" s="8"/>
      <c r="D45378" s="8"/>
    </row>
    <row r="45379" spans="1:4" ht="15.75" customHeight="1">
      <c r="A45379" s="8"/>
      <c r="B45379" s="12"/>
      <c r="C45379" s="8"/>
      <c r="D45379" s="8"/>
    </row>
    <row r="45380" spans="1:4" ht="15.75" customHeight="1">
      <c r="A45380" s="8"/>
      <c r="B45380" s="12"/>
      <c r="C45380" s="8"/>
      <c r="D45380" s="8"/>
    </row>
    <row r="45381" spans="1:4" ht="15.75" customHeight="1">
      <c r="A45381" s="8"/>
      <c r="B45381" s="12"/>
      <c r="C45381" s="8"/>
      <c r="D45381" s="8"/>
    </row>
    <row r="45382" spans="1:4" ht="15.75" customHeight="1">
      <c r="A45382" s="8"/>
      <c r="B45382" s="12"/>
      <c r="C45382" s="8"/>
      <c r="D45382" s="8"/>
    </row>
    <row r="45383" spans="1:4" ht="15.75" customHeight="1">
      <c r="A45383" s="8"/>
      <c r="B45383" s="12"/>
      <c r="C45383" s="8"/>
      <c r="D45383" s="8"/>
    </row>
    <row r="45384" spans="1:4" ht="15.75" customHeight="1">
      <c r="A45384" s="8"/>
      <c r="B45384" s="12"/>
      <c r="C45384" s="8"/>
      <c r="D45384" s="8"/>
    </row>
    <row r="45385" spans="1:4" ht="15.75" customHeight="1">
      <c r="A45385" s="8"/>
      <c r="B45385" s="12"/>
      <c r="C45385" s="8"/>
      <c r="D45385" s="8"/>
    </row>
    <row r="45386" spans="1:4" ht="15.75" customHeight="1">
      <c r="A45386" s="8"/>
      <c r="B45386" s="12"/>
      <c r="C45386" s="8"/>
      <c r="D45386" s="8"/>
    </row>
    <row r="45387" spans="1:4" ht="15.75" customHeight="1">
      <c r="A45387" s="8"/>
      <c r="B45387" s="12"/>
      <c r="C45387" s="8"/>
      <c r="D45387" s="8"/>
    </row>
    <row r="45388" spans="1:4" ht="15.75" customHeight="1">
      <c r="A45388" s="8"/>
      <c r="B45388" s="12"/>
      <c r="C45388" s="8"/>
      <c r="D45388" s="8"/>
    </row>
    <row r="45389" spans="1:4" ht="15.75" customHeight="1">
      <c r="A45389" s="8"/>
      <c r="B45389" s="12"/>
      <c r="C45389" s="8"/>
      <c r="D45389" s="8"/>
    </row>
    <row r="45390" spans="1:4" ht="15.75" customHeight="1">
      <c r="A45390" s="8"/>
      <c r="B45390" s="12"/>
      <c r="C45390" s="8"/>
      <c r="D45390" s="8"/>
    </row>
    <row r="45391" spans="1:4" ht="15.75" customHeight="1">
      <c r="A45391" s="8"/>
      <c r="B45391" s="12"/>
      <c r="C45391" s="8"/>
      <c r="D45391" s="8"/>
    </row>
    <row r="45392" spans="1:4" ht="15.75" customHeight="1">
      <c r="A45392" s="8"/>
      <c r="B45392" s="12"/>
      <c r="C45392" s="8"/>
      <c r="D45392" s="8"/>
    </row>
    <row r="45393" spans="1:4" ht="15.75" customHeight="1">
      <c r="A45393" s="8"/>
      <c r="B45393" s="12"/>
      <c r="C45393" s="8"/>
      <c r="D45393" s="8"/>
    </row>
    <row r="45394" spans="1:4" ht="15.75" customHeight="1">
      <c r="A45394" s="8"/>
      <c r="B45394" s="12"/>
      <c r="C45394" s="8"/>
      <c r="D45394" s="8"/>
    </row>
    <row r="45395" spans="1:4" ht="15.75" customHeight="1">
      <c r="A45395" s="8"/>
      <c r="B45395" s="12"/>
      <c r="C45395" s="8"/>
      <c r="D45395" s="8"/>
    </row>
    <row r="45396" spans="1:4" ht="15.75" customHeight="1">
      <c r="A45396" s="8"/>
      <c r="B45396" s="12"/>
      <c r="C45396" s="8"/>
      <c r="D45396" s="8"/>
    </row>
    <row r="45397" spans="1:4" ht="15.75" customHeight="1">
      <c r="A45397" s="8"/>
      <c r="B45397" s="12"/>
      <c r="C45397" s="8"/>
      <c r="D45397" s="8"/>
    </row>
    <row r="45398" spans="1:4" ht="15.75" customHeight="1">
      <c r="A45398" s="8"/>
      <c r="B45398" s="12"/>
      <c r="C45398" s="8"/>
      <c r="D45398" s="8"/>
    </row>
    <row r="45399" spans="1:4" ht="15.75" customHeight="1">
      <c r="A45399" s="8"/>
      <c r="B45399" s="12"/>
      <c r="C45399" s="8"/>
      <c r="D45399" s="8"/>
    </row>
    <row r="45400" spans="1:4" ht="15.75" customHeight="1">
      <c r="A45400" s="8"/>
      <c r="B45400" s="12"/>
      <c r="C45400" s="8"/>
      <c r="D45400" s="8"/>
    </row>
    <row r="45401" spans="1:4" ht="15.75" customHeight="1">
      <c r="A45401" s="8"/>
      <c r="B45401" s="12"/>
      <c r="C45401" s="8"/>
      <c r="D45401" s="8"/>
    </row>
    <row r="45402" spans="1:4" ht="15.75" customHeight="1">
      <c r="A45402" s="8"/>
      <c r="B45402" s="12"/>
      <c r="C45402" s="8"/>
      <c r="D45402" s="8"/>
    </row>
    <row r="45403" spans="1:4" ht="15.75" customHeight="1">
      <c r="A45403" s="8"/>
      <c r="B45403" s="12"/>
      <c r="C45403" s="8"/>
      <c r="D45403" s="8"/>
    </row>
    <row r="45404" spans="1:4" ht="15.75" customHeight="1">
      <c r="A45404" s="8"/>
      <c r="B45404" s="12"/>
      <c r="C45404" s="8"/>
      <c r="D45404" s="8"/>
    </row>
    <row r="45405" spans="1:4" ht="15.75" customHeight="1">
      <c r="A45405" s="8"/>
      <c r="B45405" s="12"/>
      <c r="C45405" s="8"/>
      <c r="D45405" s="8"/>
    </row>
    <row r="45406" spans="1:4" ht="15.75" customHeight="1">
      <c r="A45406" s="8"/>
      <c r="B45406" s="12"/>
      <c r="C45406" s="8"/>
      <c r="D45406" s="8"/>
    </row>
    <row r="45407" spans="1:4" ht="15.75" customHeight="1">
      <c r="A45407" s="8"/>
      <c r="B45407" s="12"/>
      <c r="C45407" s="8"/>
      <c r="D45407" s="8"/>
    </row>
    <row r="45408" spans="1:4" ht="15.75" customHeight="1">
      <c r="A45408" s="8"/>
      <c r="B45408" s="12"/>
      <c r="C45408" s="8"/>
      <c r="D45408" s="8"/>
    </row>
    <row r="45409" spans="1:4" ht="15.75" customHeight="1">
      <c r="A45409" s="8"/>
      <c r="B45409" s="12"/>
      <c r="C45409" s="8"/>
      <c r="D45409" s="8"/>
    </row>
    <row r="45410" spans="1:4" ht="15.75" customHeight="1">
      <c r="A45410" s="8"/>
      <c r="B45410" s="12"/>
      <c r="C45410" s="8"/>
      <c r="D45410" s="8"/>
    </row>
    <row r="45411" spans="1:4" ht="15.75" customHeight="1">
      <c r="A45411" s="8"/>
      <c r="B45411" s="12"/>
      <c r="C45411" s="8"/>
      <c r="D45411" s="8"/>
    </row>
    <row r="45412" spans="1:4" ht="15.75" customHeight="1">
      <c r="A45412" s="8"/>
      <c r="B45412" s="12"/>
      <c r="C45412" s="8"/>
      <c r="D45412" s="8"/>
    </row>
    <row r="45413" spans="1:4" ht="15.75" customHeight="1">
      <c r="A45413" s="8"/>
      <c r="B45413" s="12"/>
      <c r="C45413" s="8"/>
      <c r="D45413" s="8"/>
    </row>
    <row r="45414" spans="1:4" ht="15.75" customHeight="1">
      <c r="A45414" s="8"/>
      <c r="B45414" s="12"/>
      <c r="C45414" s="8"/>
      <c r="D45414" s="8"/>
    </row>
    <row r="45415" spans="1:4" ht="15.75" customHeight="1">
      <c r="A45415" s="8"/>
      <c r="B45415" s="12"/>
      <c r="C45415" s="8"/>
      <c r="D45415" s="8"/>
    </row>
    <row r="45416" spans="1:4" ht="15.75" customHeight="1">
      <c r="A45416" s="8"/>
      <c r="B45416" s="12"/>
      <c r="C45416" s="8"/>
      <c r="D45416" s="8"/>
    </row>
    <row r="45417" spans="1:4" ht="15.75" customHeight="1">
      <c r="A45417" s="8"/>
      <c r="B45417" s="12"/>
      <c r="C45417" s="8"/>
      <c r="D45417" s="8"/>
    </row>
    <row r="45418" spans="1:4" ht="15.75" customHeight="1">
      <c r="A45418" s="8"/>
      <c r="B45418" s="12"/>
      <c r="C45418" s="8"/>
      <c r="D45418" s="8"/>
    </row>
    <row r="45419" spans="1:4" ht="15.75" customHeight="1">
      <c r="A45419" s="8"/>
      <c r="B45419" s="12"/>
      <c r="C45419" s="8"/>
      <c r="D45419" s="8"/>
    </row>
    <row r="45420" spans="1:4" ht="15.75" customHeight="1">
      <c r="A45420" s="8"/>
      <c r="B45420" s="12"/>
      <c r="C45420" s="8"/>
      <c r="D45420" s="8"/>
    </row>
    <row r="45421" spans="1:4" ht="15.75" customHeight="1">
      <c r="A45421" s="8"/>
      <c r="B45421" s="12"/>
      <c r="C45421" s="8"/>
      <c r="D45421" s="8"/>
    </row>
    <row r="45422" spans="1:4" ht="15.75" customHeight="1">
      <c r="A45422" s="8"/>
      <c r="B45422" s="12"/>
      <c r="C45422" s="8"/>
      <c r="D45422" s="8"/>
    </row>
    <row r="45423" spans="1:4" ht="15.75" customHeight="1">
      <c r="A45423" s="8"/>
      <c r="B45423" s="12"/>
      <c r="C45423" s="8"/>
      <c r="D45423" s="8"/>
    </row>
    <row r="45424" spans="1:4" ht="15.75" customHeight="1">
      <c r="A45424" s="8"/>
      <c r="B45424" s="12"/>
      <c r="C45424" s="8"/>
      <c r="D45424" s="8"/>
    </row>
    <row r="45425" spans="1:4" ht="15.75" customHeight="1">
      <c r="A45425" s="8"/>
      <c r="B45425" s="12"/>
      <c r="C45425" s="8"/>
      <c r="D45425" s="8"/>
    </row>
    <row r="45426" spans="1:4" ht="15.75" customHeight="1">
      <c r="A45426" s="8"/>
      <c r="B45426" s="12"/>
      <c r="C45426" s="8"/>
      <c r="D45426" s="8"/>
    </row>
    <row r="45427" spans="1:4" ht="15.75" customHeight="1">
      <c r="A45427" s="8"/>
      <c r="B45427" s="12"/>
      <c r="C45427" s="8"/>
      <c r="D45427" s="8"/>
    </row>
    <row r="45428" spans="1:4" ht="15.75" customHeight="1">
      <c r="A45428" s="8"/>
      <c r="B45428" s="12"/>
      <c r="C45428" s="8"/>
      <c r="D45428" s="8"/>
    </row>
    <row r="45429" spans="1:4" ht="15.75" customHeight="1">
      <c r="A45429" s="8"/>
      <c r="B45429" s="12"/>
      <c r="C45429" s="8"/>
      <c r="D45429" s="8"/>
    </row>
    <row r="45430" spans="1:4" ht="15.75" customHeight="1">
      <c r="A45430" s="8"/>
      <c r="B45430" s="12"/>
      <c r="C45430" s="8"/>
      <c r="D45430" s="8"/>
    </row>
    <row r="45431" spans="1:4" ht="15.75" customHeight="1">
      <c r="A45431" s="8"/>
      <c r="B45431" s="12"/>
      <c r="C45431" s="8"/>
      <c r="D45431" s="8"/>
    </row>
    <row r="45432" spans="1:4" ht="15.75" customHeight="1">
      <c r="A45432" s="8"/>
      <c r="B45432" s="12"/>
      <c r="C45432" s="8"/>
      <c r="D45432" s="8"/>
    </row>
    <row r="45433" spans="1:4" ht="15.75" customHeight="1">
      <c r="A45433" s="8"/>
      <c r="B45433" s="12"/>
      <c r="C45433" s="8"/>
      <c r="D45433" s="8"/>
    </row>
    <row r="45434" spans="1:4" ht="15.75" customHeight="1">
      <c r="A45434" s="8"/>
      <c r="B45434" s="12"/>
      <c r="C45434" s="8"/>
      <c r="D45434" s="8"/>
    </row>
    <row r="45435" spans="1:4" ht="15.75" customHeight="1">
      <c r="A45435" s="8"/>
      <c r="B45435" s="12"/>
      <c r="C45435" s="8"/>
      <c r="D45435" s="8"/>
    </row>
    <row r="45436" spans="1:4" ht="15.75" customHeight="1">
      <c r="A45436" s="8"/>
      <c r="B45436" s="12"/>
      <c r="C45436" s="8"/>
      <c r="D45436" s="8"/>
    </row>
    <row r="45437" spans="1:4" ht="15.75" customHeight="1">
      <c r="A45437" s="8"/>
      <c r="B45437" s="12"/>
      <c r="C45437" s="8"/>
      <c r="D45437" s="8"/>
    </row>
    <row r="45438" spans="1:4" ht="15.75" customHeight="1">
      <c r="A45438" s="8"/>
      <c r="B45438" s="12"/>
      <c r="C45438" s="8"/>
      <c r="D45438" s="8"/>
    </row>
    <row r="45439" spans="1:4" ht="15.75" customHeight="1">
      <c r="A45439" s="8"/>
      <c r="B45439" s="12"/>
      <c r="C45439" s="8"/>
      <c r="D45439" s="8"/>
    </row>
    <row r="45440" spans="1:4" ht="15.75" customHeight="1">
      <c r="A45440" s="8"/>
      <c r="B45440" s="12"/>
      <c r="C45440" s="8"/>
      <c r="D45440" s="8"/>
    </row>
    <row r="45441" spans="1:4" ht="15.75" customHeight="1">
      <c r="A45441" s="8"/>
      <c r="B45441" s="12"/>
      <c r="C45441" s="8"/>
      <c r="D45441" s="8"/>
    </row>
    <row r="45442" spans="1:4" ht="15.75" customHeight="1">
      <c r="A45442" s="8"/>
      <c r="B45442" s="12"/>
      <c r="C45442" s="8"/>
      <c r="D45442" s="8"/>
    </row>
    <row r="45443" spans="1:4" ht="15.75" customHeight="1">
      <c r="A45443" s="8"/>
      <c r="B45443" s="12"/>
      <c r="C45443" s="8"/>
      <c r="D45443" s="8"/>
    </row>
    <row r="45444" spans="1:4" ht="15.75" customHeight="1">
      <c r="A45444" s="8"/>
      <c r="B45444" s="12"/>
      <c r="C45444" s="8"/>
      <c r="D45444" s="8"/>
    </row>
    <row r="45445" spans="1:4" ht="15.75" customHeight="1">
      <c r="A45445" s="8"/>
      <c r="B45445" s="12"/>
      <c r="C45445" s="8"/>
      <c r="D45445" s="8"/>
    </row>
    <row r="45446" spans="1:4" ht="15.75" customHeight="1">
      <c r="A45446" s="8"/>
      <c r="B45446" s="12"/>
      <c r="C45446" s="8"/>
      <c r="D45446" s="8"/>
    </row>
    <row r="45447" spans="1:4" ht="15.75" customHeight="1">
      <c r="A45447" s="8"/>
      <c r="B45447" s="12"/>
      <c r="C45447" s="8"/>
      <c r="D45447" s="8"/>
    </row>
    <row r="45448" spans="1:4" ht="15.75" customHeight="1">
      <c r="A45448" s="8"/>
      <c r="B45448" s="12"/>
      <c r="C45448" s="8"/>
      <c r="D45448" s="8"/>
    </row>
    <row r="45449" spans="1:4" ht="15.75" customHeight="1">
      <c r="A45449" s="8"/>
      <c r="B45449" s="12"/>
      <c r="C45449" s="8"/>
      <c r="D45449" s="8"/>
    </row>
    <row r="45450" spans="1:4" ht="15.75" customHeight="1">
      <c r="A45450" s="8"/>
      <c r="B45450" s="12"/>
      <c r="C45450" s="8"/>
      <c r="D45450" s="8"/>
    </row>
    <row r="45451" spans="1:4" ht="15.75" customHeight="1">
      <c r="A45451" s="8"/>
      <c r="B45451" s="12"/>
      <c r="C45451" s="8"/>
      <c r="D45451" s="8"/>
    </row>
    <row r="45452" spans="1:4" ht="15.75" customHeight="1">
      <c r="A45452" s="8"/>
      <c r="B45452" s="12"/>
      <c r="C45452" s="8"/>
      <c r="D45452" s="8"/>
    </row>
    <row r="45453" spans="1:4" ht="15.75" customHeight="1">
      <c r="A45453" s="8"/>
      <c r="B45453" s="12"/>
      <c r="C45453" s="8"/>
      <c r="D45453" s="8"/>
    </row>
    <row r="45454" spans="1:4" ht="15.75" customHeight="1">
      <c r="A45454" s="8"/>
      <c r="B45454" s="12"/>
      <c r="C45454" s="8"/>
      <c r="D45454" s="8"/>
    </row>
    <row r="45455" spans="1:4" ht="15.75" customHeight="1">
      <c r="A45455" s="8"/>
      <c r="B45455" s="12"/>
      <c r="C45455" s="8"/>
      <c r="D45455" s="8"/>
    </row>
    <row r="45456" spans="1:4" ht="15.75" customHeight="1">
      <c r="A45456" s="8"/>
      <c r="B45456" s="12"/>
      <c r="C45456" s="8"/>
      <c r="D45456" s="8"/>
    </row>
    <row r="45457" spans="1:4" ht="15.75" customHeight="1">
      <c r="A45457" s="8"/>
      <c r="B45457" s="12"/>
      <c r="C45457" s="8"/>
      <c r="D45457" s="8"/>
    </row>
    <row r="45458" spans="1:4" ht="15.75" customHeight="1">
      <c r="A45458" s="8"/>
      <c r="B45458" s="12"/>
      <c r="C45458" s="8"/>
      <c r="D45458" s="8"/>
    </row>
    <row r="45459" spans="1:4" ht="15.75" customHeight="1">
      <c r="A45459" s="8"/>
      <c r="B45459" s="12"/>
      <c r="C45459" s="8"/>
      <c r="D45459" s="8"/>
    </row>
    <row r="45460" spans="1:4" ht="15.75" customHeight="1">
      <c r="A45460" s="8"/>
      <c r="B45460" s="12"/>
      <c r="C45460" s="8"/>
      <c r="D45460" s="8"/>
    </row>
    <row r="45461" spans="1:4" ht="15.75" customHeight="1">
      <c r="A45461" s="8"/>
      <c r="B45461" s="12"/>
      <c r="C45461" s="8"/>
      <c r="D45461" s="8"/>
    </row>
    <row r="45462" spans="1:4" ht="15.75" customHeight="1">
      <c r="A45462" s="8"/>
      <c r="B45462" s="12"/>
      <c r="C45462" s="8"/>
      <c r="D45462" s="8"/>
    </row>
    <row r="45463" spans="1:4" ht="15.75" customHeight="1">
      <c r="A45463" s="8"/>
      <c r="B45463" s="12"/>
      <c r="C45463" s="8"/>
      <c r="D45463" s="8"/>
    </row>
    <row r="45464" spans="1:4" ht="15.75" customHeight="1">
      <c r="A45464" s="8"/>
      <c r="B45464" s="12"/>
      <c r="C45464" s="8"/>
      <c r="D45464" s="8"/>
    </row>
    <row r="45465" spans="1:4" ht="15.75" customHeight="1">
      <c r="A45465" s="8"/>
      <c r="B45465" s="12"/>
      <c r="C45465" s="8"/>
      <c r="D45465" s="8"/>
    </row>
    <row r="45466" spans="1:4" ht="15.75" customHeight="1">
      <c r="A45466" s="8"/>
      <c r="B45466" s="12"/>
      <c r="C45466" s="8"/>
      <c r="D45466" s="8"/>
    </row>
    <row r="45467" spans="1:4" ht="15.75" customHeight="1">
      <c r="A45467" s="8"/>
      <c r="B45467" s="12"/>
      <c r="C45467" s="8"/>
      <c r="D45467" s="8"/>
    </row>
    <row r="45468" spans="1:4" ht="15.75" customHeight="1">
      <c r="A45468" s="8"/>
      <c r="B45468" s="12"/>
      <c r="C45468" s="8"/>
      <c r="D45468" s="8"/>
    </row>
    <row r="45469" spans="1:4" ht="15.75" customHeight="1">
      <c r="A45469" s="8"/>
      <c r="B45469" s="12"/>
      <c r="C45469" s="8"/>
      <c r="D45469" s="8"/>
    </row>
    <row r="45470" spans="1:4" ht="15.75" customHeight="1">
      <c r="A45470" s="8"/>
      <c r="B45470" s="12"/>
      <c r="C45470" s="8"/>
      <c r="D45470" s="8"/>
    </row>
    <row r="45471" spans="1:4" ht="15.75" customHeight="1">
      <c r="A45471" s="8"/>
      <c r="B45471" s="12"/>
      <c r="C45471" s="8"/>
      <c r="D45471" s="8"/>
    </row>
    <row r="45472" spans="1:4" ht="15.75" customHeight="1">
      <c r="A45472" s="8"/>
      <c r="B45472" s="12"/>
      <c r="C45472" s="8"/>
      <c r="D45472" s="8"/>
    </row>
    <row r="45473" spans="1:4" ht="15.75" customHeight="1">
      <c r="A45473" s="8"/>
      <c r="B45473" s="12"/>
      <c r="C45473" s="8"/>
      <c r="D45473" s="8"/>
    </row>
    <row r="45474" spans="1:4" ht="15.75" customHeight="1">
      <c r="A45474" s="8"/>
      <c r="B45474" s="12"/>
      <c r="C45474" s="8"/>
      <c r="D45474" s="8"/>
    </row>
    <row r="45475" spans="1:4" ht="15.75" customHeight="1">
      <c r="A45475" s="8"/>
      <c r="B45475" s="12"/>
      <c r="C45475" s="8"/>
      <c r="D45475" s="8"/>
    </row>
    <row r="45476" spans="1:4" ht="15.75" customHeight="1">
      <c r="A45476" s="8"/>
      <c r="B45476" s="12"/>
      <c r="C45476" s="8"/>
      <c r="D45476" s="8"/>
    </row>
    <row r="45477" spans="1:4" ht="15.75" customHeight="1">
      <c r="A45477" s="8"/>
      <c r="B45477" s="12"/>
      <c r="C45477" s="8"/>
      <c r="D45477" s="8"/>
    </row>
    <row r="45478" spans="1:4" ht="15.75" customHeight="1">
      <c r="A45478" s="8"/>
      <c r="B45478" s="12"/>
      <c r="C45478" s="8"/>
      <c r="D45478" s="8"/>
    </row>
    <row r="45479" spans="1:4" ht="15.75" customHeight="1">
      <c r="A45479" s="8"/>
      <c r="B45479" s="12"/>
      <c r="C45479" s="8"/>
      <c r="D45479" s="8"/>
    </row>
    <row r="45480" spans="1:4" ht="15.75" customHeight="1">
      <c r="A45480" s="8"/>
      <c r="B45480" s="12"/>
      <c r="C45480" s="8"/>
      <c r="D45480" s="8"/>
    </row>
    <row r="45481" spans="1:4" ht="15.75" customHeight="1">
      <c r="A45481" s="8"/>
      <c r="B45481" s="12"/>
      <c r="C45481" s="8"/>
      <c r="D45481" s="8"/>
    </row>
    <row r="45482" spans="1:4" ht="15.75" customHeight="1">
      <c r="A45482" s="8"/>
      <c r="B45482" s="12"/>
      <c r="C45482" s="8"/>
      <c r="D45482" s="8"/>
    </row>
    <row r="45483" spans="1:4" ht="15.75" customHeight="1">
      <c r="A45483" s="8"/>
      <c r="B45483" s="12"/>
      <c r="C45483" s="8"/>
      <c r="D45483" s="8"/>
    </row>
    <row r="45484" spans="1:4" ht="15.75" customHeight="1">
      <c r="A45484" s="8"/>
      <c r="B45484" s="12"/>
      <c r="C45484" s="8"/>
      <c r="D45484" s="8"/>
    </row>
    <row r="45485" spans="1:4" ht="15.75" customHeight="1">
      <c r="A45485" s="8"/>
      <c r="B45485" s="12"/>
      <c r="C45485" s="8"/>
      <c r="D45485" s="8"/>
    </row>
    <row r="45486" spans="1:4" ht="15.75" customHeight="1">
      <c r="A45486" s="8"/>
      <c r="B45486" s="12"/>
      <c r="C45486" s="8"/>
      <c r="D45486" s="8"/>
    </row>
    <row r="45487" spans="1:4" ht="15.75" customHeight="1">
      <c r="A45487" s="8"/>
      <c r="B45487" s="12"/>
      <c r="C45487" s="8"/>
      <c r="D45487" s="8"/>
    </row>
    <row r="45488" spans="1:4" ht="15.75" customHeight="1">
      <c r="A45488" s="8"/>
      <c r="B45488" s="12"/>
      <c r="C45488" s="8"/>
      <c r="D45488" s="8"/>
    </row>
    <row r="45489" spans="1:4" ht="15.75" customHeight="1">
      <c r="A45489" s="8"/>
      <c r="B45489" s="12"/>
      <c r="C45489" s="8"/>
      <c r="D45489" s="8"/>
    </row>
    <row r="45490" spans="1:4" ht="15.75" customHeight="1">
      <c r="A45490" s="8"/>
      <c r="B45490" s="12"/>
      <c r="C45490" s="8"/>
      <c r="D45490" s="8"/>
    </row>
    <row r="45491" spans="1:4" ht="15.75" customHeight="1">
      <c r="A45491" s="8"/>
      <c r="B45491" s="12"/>
      <c r="C45491" s="8"/>
      <c r="D45491" s="8"/>
    </row>
    <row r="45492" spans="1:4" ht="15.75" customHeight="1">
      <c r="A45492" s="8"/>
      <c r="B45492" s="12"/>
      <c r="C45492" s="8"/>
      <c r="D45492" s="8"/>
    </row>
    <row r="45493" spans="1:4" ht="15.75" customHeight="1">
      <c r="A45493" s="8"/>
      <c r="B45493" s="12"/>
      <c r="C45493" s="8"/>
      <c r="D45493" s="8"/>
    </row>
    <row r="45494" spans="1:4" ht="15.75" customHeight="1">
      <c r="A45494" s="8"/>
      <c r="B45494" s="12"/>
      <c r="C45494" s="8"/>
      <c r="D45494" s="8"/>
    </row>
    <row r="45495" spans="1:4" ht="15.75" customHeight="1">
      <c r="A45495" s="8"/>
      <c r="B45495" s="12"/>
      <c r="C45495" s="8"/>
      <c r="D45495" s="8"/>
    </row>
    <row r="45496" spans="1:4" ht="15.75" customHeight="1">
      <c r="A45496" s="8"/>
      <c r="B45496" s="12"/>
      <c r="C45496" s="8"/>
      <c r="D45496" s="8"/>
    </row>
    <row r="45497" spans="1:4" ht="15.75" customHeight="1">
      <c r="A45497" s="8"/>
      <c r="B45497" s="12"/>
      <c r="C45497" s="8"/>
      <c r="D45497" s="8"/>
    </row>
    <row r="45498" spans="1:4" ht="15.75" customHeight="1">
      <c r="A45498" s="8"/>
      <c r="B45498" s="12"/>
      <c r="C45498" s="8"/>
      <c r="D45498" s="8"/>
    </row>
    <row r="45499" spans="1:4" ht="15.75" customHeight="1">
      <c r="A45499" s="8"/>
      <c r="B45499" s="12"/>
      <c r="C45499" s="8"/>
      <c r="D45499" s="8"/>
    </row>
    <row r="45500" spans="1:4" ht="15.75" customHeight="1">
      <c r="A45500" s="8"/>
      <c r="B45500" s="12"/>
      <c r="C45500" s="8"/>
      <c r="D45500" s="8"/>
    </row>
    <row r="45501" spans="1:4" ht="15.75" customHeight="1">
      <c r="A45501" s="8"/>
      <c r="B45501" s="12"/>
      <c r="C45501" s="8"/>
      <c r="D45501" s="8"/>
    </row>
    <row r="45502" spans="1:4" ht="15.75" customHeight="1">
      <c r="A45502" s="8"/>
      <c r="B45502" s="12"/>
      <c r="C45502" s="8"/>
      <c r="D45502" s="8"/>
    </row>
    <row r="45503" spans="1:4" ht="15.75" customHeight="1">
      <c r="A45503" s="8"/>
      <c r="B45503" s="12"/>
      <c r="C45503" s="8"/>
      <c r="D45503" s="8"/>
    </row>
    <row r="45504" spans="1:4" ht="15.75" customHeight="1">
      <c r="A45504" s="8"/>
      <c r="B45504" s="12"/>
      <c r="C45504" s="8"/>
      <c r="D45504" s="8"/>
    </row>
    <row r="45505" spans="1:4" ht="15.75" customHeight="1">
      <c r="A45505" s="8"/>
      <c r="B45505" s="12"/>
      <c r="C45505" s="8"/>
      <c r="D45505" s="8"/>
    </row>
    <row r="45506" spans="1:4" ht="15.75" customHeight="1">
      <c r="A45506" s="8"/>
      <c r="B45506" s="12"/>
      <c r="C45506" s="8"/>
      <c r="D45506" s="8"/>
    </row>
    <row r="45507" spans="1:4" ht="15.75" customHeight="1">
      <c r="A45507" s="8"/>
      <c r="B45507" s="12"/>
      <c r="C45507" s="8"/>
      <c r="D45507" s="8"/>
    </row>
    <row r="45508" spans="1:4" ht="15.75" customHeight="1">
      <c r="A45508" s="8"/>
      <c r="B45508" s="12"/>
      <c r="C45508" s="8"/>
      <c r="D45508" s="8"/>
    </row>
    <row r="45509" spans="1:4" ht="15.75" customHeight="1">
      <c r="A45509" s="8"/>
      <c r="B45509" s="12"/>
      <c r="C45509" s="8"/>
      <c r="D45509" s="8"/>
    </row>
    <row r="45510" spans="1:4" ht="15.75" customHeight="1">
      <c r="A45510" s="8"/>
      <c r="B45510" s="12"/>
      <c r="C45510" s="8"/>
      <c r="D45510" s="8"/>
    </row>
    <row r="45511" spans="1:4" ht="15.75" customHeight="1">
      <c r="A45511" s="8"/>
      <c r="B45511" s="12"/>
      <c r="C45511" s="8"/>
      <c r="D45511" s="8"/>
    </row>
    <row r="45512" spans="1:4" ht="15.75" customHeight="1">
      <c r="A45512" s="8"/>
      <c r="B45512" s="12"/>
      <c r="C45512" s="8"/>
      <c r="D45512" s="8"/>
    </row>
    <row r="45513" spans="1:4" ht="15.75" customHeight="1">
      <c r="A45513" s="8"/>
      <c r="B45513" s="12"/>
      <c r="C45513" s="8"/>
      <c r="D45513" s="8"/>
    </row>
    <row r="45514" spans="1:4" ht="15.75" customHeight="1">
      <c r="A45514" s="8"/>
      <c r="B45514" s="12"/>
      <c r="C45514" s="8"/>
      <c r="D45514" s="8"/>
    </row>
    <row r="45515" spans="1:4" ht="15.75" customHeight="1">
      <c r="A45515" s="8"/>
      <c r="B45515" s="12"/>
      <c r="C45515" s="8"/>
      <c r="D45515" s="8"/>
    </row>
    <row r="45516" spans="1:4" ht="15.75" customHeight="1">
      <c r="A45516" s="8"/>
      <c r="B45516" s="12"/>
      <c r="C45516" s="8"/>
      <c r="D45516" s="8"/>
    </row>
    <row r="45517" spans="1:4" ht="15.75" customHeight="1">
      <c r="A45517" s="8"/>
      <c r="B45517" s="12"/>
      <c r="C45517" s="8"/>
      <c r="D45517" s="8"/>
    </row>
    <row r="45518" spans="1:4" ht="15.75" customHeight="1">
      <c r="A45518" s="8"/>
      <c r="B45518" s="12"/>
      <c r="C45518" s="8"/>
      <c r="D45518" s="8"/>
    </row>
    <row r="45519" spans="1:4" ht="15.75" customHeight="1">
      <c r="A45519" s="8"/>
      <c r="B45519" s="12"/>
      <c r="C45519" s="8"/>
      <c r="D45519" s="8"/>
    </row>
    <row r="45520" spans="1:4" ht="15.75" customHeight="1">
      <c r="A45520" s="8"/>
      <c r="B45520" s="12"/>
      <c r="C45520" s="8"/>
      <c r="D45520" s="8"/>
    </row>
    <row r="45521" spans="1:4" ht="15.75" customHeight="1">
      <c r="A45521" s="8"/>
      <c r="B45521" s="12"/>
      <c r="C45521" s="8"/>
      <c r="D45521" s="8"/>
    </row>
    <row r="45522" spans="1:4" ht="15.75" customHeight="1">
      <c r="A45522" s="8"/>
      <c r="B45522" s="12"/>
      <c r="C45522" s="8"/>
      <c r="D45522" s="8"/>
    </row>
    <row r="45523" spans="1:4" ht="15.75" customHeight="1">
      <c r="A45523" s="8"/>
      <c r="B45523" s="12"/>
      <c r="C45523" s="8"/>
      <c r="D45523" s="8"/>
    </row>
    <row r="45524" spans="1:4" ht="15.75" customHeight="1">
      <c r="A45524" s="8"/>
      <c r="B45524" s="12"/>
      <c r="C45524" s="8"/>
      <c r="D45524" s="8"/>
    </row>
    <row r="45525" spans="1:4" ht="15.75" customHeight="1">
      <c r="A45525" s="8"/>
      <c r="B45525" s="12"/>
      <c r="C45525" s="8"/>
      <c r="D45525" s="8"/>
    </row>
    <row r="45526" spans="1:4" ht="15.75" customHeight="1">
      <c r="A45526" s="8"/>
      <c r="B45526" s="12"/>
      <c r="C45526" s="8"/>
      <c r="D45526" s="8"/>
    </row>
    <row r="45527" spans="1:4" ht="15.75" customHeight="1">
      <c r="A45527" s="8"/>
      <c r="B45527" s="12"/>
      <c r="C45527" s="8"/>
      <c r="D45527" s="8"/>
    </row>
    <row r="45528" spans="1:4" ht="15.75" customHeight="1">
      <c r="A45528" s="8"/>
      <c r="B45528" s="12"/>
      <c r="C45528" s="8"/>
      <c r="D45528" s="8"/>
    </row>
    <row r="45529" spans="1:4" ht="15.75" customHeight="1">
      <c r="A45529" s="8"/>
      <c r="B45529" s="12"/>
      <c r="C45529" s="8"/>
      <c r="D45529" s="8"/>
    </row>
    <row r="45530" spans="1:4" ht="15.75" customHeight="1">
      <c r="A45530" s="8"/>
      <c r="B45530" s="12"/>
      <c r="C45530" s="8"/>
      <c r="D45530" s="8"/>
    </row>
    <row r="45531" spans="1:4" ht="15.75" customHeight="1">
      <c r="A45531" s="8"/>
      <c r="B45531" s="12"/>
      <c r="C45531" s="8"/>
      <c r="D45531" s="8"/>
    </row>
    <row r="45532" spans="1:4" ht="15.75" customHeight="1">
      <c r="A45532" s="8"/>
      <c r="B45532" s="12"/>
      <c r="C45532" s="8"/>
      <c r="D45532" s="8"/>
    </row>
    <row r="45533" spans="1:4" ht="15.75" customHeight="1">
      <c r="A45533" s="8"/>
      <c r="B45533" s="12"/>
      <c r="C45533" s="8"/>
      <c r="D45533" s="8"/>
    </row>
    <row r="45534" spans="1:4" ht="15.75" customHeight="1">
      <c r="A45534" s="8"/>
      <c r="B45534" s="12"/>
      <c r="C45534" s="8"/>
      <c r="D45534" s="8"/>
    </row>
    <row r="45535" spans="1:4" ht="15.75" customHeight="1">
      <c r="A45535" s="8"/>
      <c r="B45535" s="12"/>
      <c r="C45535" s="8"/>
      <c r="D45535" s="8"/>
    </row>
    <row r="45536" spans="1:4" ht="15.75" customHeight="1">
      <c r="A45536" s="8"/>
      <c r="B45536" s="12"/>
      <c r="C45536" s="8"/>
      <c r="D45536" s="8"/>
    </row>
    <row r="45537" spans="1:4" ht="15.75" customHeight="1">
      <c r="A45537" s="8"/>
      <c r="B45537" s="12"/>
      <c r="C45537" s="8"/>
      <c r="D45537" s="8"/>
    </row>
    <row r="45538" spans="1:4" ht="15.75" customHeight="1">
      <c r="A45538" s="8"/>
      <c r="B45538" s="12"/>
      <c r="C45538" s="8"/>
      <c r="D45538" s="8"/>
    </row>
    <row r="45539" spans="1:4" ht="15.75" customHeight="1">
      <c r="A45539" s="8"/>
      <c r="B45539" s="12"/>
      <c r="C45539" s="8"/>
      <c r="D45539" s="8"/>
    </row>
    <row r="45540" spans="1:4" ht="15.75" customHeight="1">
      <c r="A45540" s="8"/>
      <c r="B45540" s="12"/>
      <c r="C45540" s="8"/>
      <c r="D45540" s="8"/>
    </row>
    <row r="45541" spans="1:4" ht="15.75" customHeight="1">
      <c r="A45541" s="8"/>
      <c r="B45541" s="12"/>
      <c r="C45541" s="8"/>
      <c r="D45541" s="8"/>
    </row>
    <row r="45542" spans="1:4" ht="15.75" customHeight="1">
      <c r="A45542" s="8"/>
      <c r="B45542" s="12"/>
      <c r="C45542" s="8"/>
      <c r="D45542" s="8"/>
    </row>
    <row r="45543" spans="1:4" ht="15.75" customHeight="1">
      <c r="A45543" s="8"/>
      <c r="B45543" s="12"/>
      <c r="C45543" s="8"/>
      <c r="D45543" s="8"/>
    </row>
    <row r="45544" spans="1:4" ht="15.75" customHeight="1">
      <c r="A45544" s="8"/>
      <c r="B45544" s="12"/>
      <c r="C45544" s="8"/>
      <c r="D45544" s="8"/>
    </row>
    <row r="45545" spans="1:4" ht="15.75" customHeight="1">
      <c r="A45545" s="8"/>
      <c r="B45545" s="12"/>
      <c r="C45545" s="8"/>
      <c r="D45545" s="8"/>
    </row>
    <row r="45546" spans="1:4" ht="15.75" customHeight="1">
      <c r="A45546" s="8"/>
      <c r="B45546" s="12"/>
      <c r="C45546" s="8"/>
      <c r="D45546" s="8"/>
    </row>
    <row r="45547" spans="1:4" ht="15.75" customHeight="1">
      <c r="A45547" s="8"/>
      <c r="B45547" s="12"/>
      <c r="C45547" s="8"/>
      <c r="D45547" s="8"/>
    </row>
    <row r="45548" spans="1:4" ht="15.75" customHeight="1">
      <c r="A45548" s="8"/>
      <c r="B45548" s="12"/>
      <c r="C45548" s="8"/>
      <c r="D45548" s="8"/>
    </row>
    <row r="45549" spans="1:4" ht="15.75" customHeight="1">
      <c r="A45549" s="8"/>
      <c r="B45549" s="12"/>
      <c r="C45549" s="8"/>
      <c r="D45549" s="8"/>
    </row>
    <row r="45550" spans="1:4" ht="15.75" customHeight="1">
      <c r="A45550" s="8"/>
      <c r="B45550" s="12"/>
      <c r="C45550" s="8"/>
      <c r="D45550" s="8"/>
    </row>
    <row r="45551" spans="1:4" ht="15.75" customHeight="1">
      <c r="A45551" s="8"/>
      <c r="B45551" s="12"/>
      <c r="C45551" s="8"/>
      <c r="D45551" s="8"/>
    </row>
    <row r="45552" spans="1:4" ht="15.75" customHeight="1">
      <c r="A45552" s="8"/>
      <c r="B45552" s="12"/>
      <c r="C45552" s="8"/>
      <c r="D45552" s="8"/>
    </row>
    <row r="45553" spans="1:4" ht="15.75" customHeight="1">
      <c r="A45553" s="8"/>
      <c r="B45553" s="12"/>
      <c r="C45553" s="8"/>
      <c r="D45553" s="8"/>
    </row>
    <row r="45554" spans="1:4" ht="15.75" customHeight="1">
      <c r="A45554" s="8"/>
      <c r="B45554" s="12"/>
      <c r="C45554" s="8"/>
      <c r="D45554" s="8"/>
    </row>
    <row r="45555" spans="1:4" ht="15.75" customHeight="1">
      <c r="A45555" s="8"/>
      <c r="B45555" s="12"/>
      <c r="C45555" s="8"/>
      <c r="D45555" s="8"/>
    </row>
    <row r="45556" spans="1:4" ht="15.75" customHeight="1">
      <c r="A45556" s="8"/>
      <c r="B45556" s="12"/>
      <c r="C45556" s="8"/>
      <c r="D45556" s="8"/>
    </row>
    <row r="45557" spans="1:4" ht="15.75" customHeight="1">
      <c r="A45557" s="8"/>
      <c r="B45557" s="12"/>
      <c r="C45557" s="8"/>
      <c r="D45557" s="8"/>
    </row>
    <row r="45558" spans="1:4" ht="15.75" customHeight="1">
      <c r="A45558" s="8"/>
      <c r="B45558" s="12"/>
      <c r="C45558" s="8"/>
      <c r="D45558" s="8"/>
    </row>
    <row r="45559" spans="1:4" ht="15.75" customHeight="1">
      <c r="A45559" s="8"/>
      <c r="B45559" s="12"/>
      <c r="C45559" s="8"/>
      <c r="D45559" s="8"/>
    </row>
    <row r="45560" spans="1:4" ht="15.75" customHeight="1">
      <c r="A45560" s="8"/>
      <c r="B45560" s="12"/>
      <c r="C45560" s="8"/>
      <c r="D45560" s="8"/>
    </row>
    <row r="45561" spans="1:4" ht="15.75" customHeight="1">
      <c r="A45561" s="8"/>
      <c r="B45561" s="12"/>
      <c r="C45561" s="8"/>
      <c r="D45561" s="8"/>
    </row>
    <row r="45562" spans="1:4" ht="15.75" customHeight="1">
      <c r="A45562" s="8"/>
      <c r="B45562" s="12"/>
      <c r="C45562" s="8"/>
      <c r="D45562" s="8"/>
    </row>
    <row r="45563" spans="1:4" ht="15.75" customHeight="1">
      <c r="A45563" s="8"/>
      <c r="B45563" s="12"/>
      <c r="C45563" s="8"/>
      <c r="D45563" s="8"/>
    </row>
    <row r="45564" spans="1:4" ht="15.75" customHeight="1">
      <c r="A45564" s="8"/>
      <c r="B45564" s="12"/>
      <c r="C45564" s="8"/>
      <c r="D45564" s="8"/>
    </row>
    <row r="45565" spans="1:4" ht="15.75" customHeight="1">
      <c r="A45565" s="8"/>
      <c r="B45565" s="12"/>
      <c r="C45565" s="8"/>
      <c r="D45565" s="8"/>
    </row>
    <row r="45566" spans="1:4" ht="15.75" customHeight="1">
      <c r="A45566" s="8"/>
      <c r="B45566" s="12"/>
      <c r="C45566" s="8"/>
      <c r="D45566" s="8"/>
    </row>
    <row r="45567" spans="1:4" ht="15.75" customHeight="1">
      <c r="A45567" s="8"/>
      <c r="B45567" s="12"/>
      <c r="C45567" s="8"/>
      <c r="D45567" s="8"/>
    </row>
    <row r="45568" spans="1:4" ht="15.75" customHeight="1">
      <c r="A45568" s="8"/>
      <c r="B45568" s="12"/>
      <c r="C45568" s="8"/>
      <c r="D45568" s="8"/>
    </row>
    <row r="45569" spans="1:4" ht="15.75" customHeight="1">
      <c r="A45569" s="8"/>
      <c r="B45569" s="12"/>
      <c r="C45569" s="8"/>
      <c r="D45569" s="8"/>
    </row>
    <row r="45570" spans="1:4" ht="15.75" customHeight="1">
      <c r="A45570" s="8"/>
      <c r="B45570" s="12"/>
      <c r="C45570" s="8"/>
      <c r="D45570" s="8"/>
    </row>
    <row r="45571" spans="1:4" ht="15.75" customHeight="1">
      <c r="A45571" s="8"/>
      <c r="B45571" s="12"/>
      <c r="C45571" s="8"/>
      <c r="D45571" s="8"/>
    </row>
    <row r="45572" spans="1:4" ht="15.75" customHeight="1">
      <c r="A45572" s="8"/>
      <c r="B45572" s="12"/>
      <c r="C45572" s="8"/>
      <c r="D45572" s="8"/>
    </row>
    <row r="45573" spans="1:4" ht="15.75" customHeight="1">
      <c r="A45573" s="8"/>
      <c r="B45573" s="12"/>
      <c r="C45573" s="8"/>
      <c r="D45573" s="8"/>
    </row>
    <row r="45574" spans="1:4" ht="15.75" customHeight="1">
      <c r="A45574" s="8"/>
      <c r="B45574" s="12"/>
      <c r="C45574" s="8"/>
      <c r="D45574" s="8"/>
    </row>
    <row r="45575" spans="1:4" ht="15.75" customHeight="1">
      <c r="A45575" s="8"/>
      <c r="B45575" s="12"/>
      <c r="C45575" s="8"/>
      <c r="D45575" s="8"/>
    </row>
    <row r="45576" spans="1:4" ht="15.75" customHeight="1">
      <c r="A45576" s="8"/>
      <c r="B45576" s="12"/>
      <c r="C45576" s="8"/>
      <c r="D45576" s="8"/>
    </row>
    <row r="45577" spans="1:4" ht="15.75" customHeight="1">
      <c r="A45577" s="8"/>
      <c r="B45577" s="12"/>
      <c r="C45577" s="8"/>
      <c r="D45577" s="8"/>
    </row>
    <row r="45578" spans="1:4" ht="15.75" customHeight="1">
      <c r="A45578" s="8"/>
      <c r="B45578" s="12"/>
      <c r="C45578" s="8"/>
      <c r="D45578" s="8"/>
    </row>
    <row r="45579" spans="1:4" ht="15.75" customHeight="1">
      <c r="A45579" s="8"/>
      <c r="B45579" s="12"/>
      <c r="C45579" s="8"/>
      <c r="D45579" s="8"/>
    </row>
    <row r="45580" spans="1:4" ht="15.75" customHeight="1">
      <c r="A45580" s="8"/>
      <c r="B45580" s="12"/>
      <c r="C45580" s="8"/>
      <c r="D45580" s="8"/>
    </row>
    <row r="45581" spans="1:4" ht="15.75" customHeight="1">
      <c r="A45581" s="8"/>
      <c r="B45581" s="12"/>
      <c r="C45581" s="8"/>
      <c r="D45581" s="8"/>
    </row>
    <row r="45582" spans="1:4" ht="15.75" customHeight="1">
      <c r="A45582" s="8"/>
      <c r="B45582" s="12"/>
      <c r="C45582" s="8"/>
      <c r="D45582" s="8"/>
    </row>
    <row r="45583" spans="1:4" ht="15.75" customHeight="1">
      <c r="A45583" s="8"/>
      <c r="B45583" s="12"/>
      <c r="C45583" s="8"/>
      <c r="D45583" s="8"/>
    </row>
    <row r="45584" spans="1:4" ht="15.75" customHeight="1">
      <c r="A45584" s="8"/>
      <c r="B45584" s="12"/>
      <c r="C45584" s="8"/>
      <c r="D45584" s="8"/>
    </row>
    <row r="45585" spans="1:4" ht="15.75" customHeight="1">
      <c r="A45585" s="8"/>
      <c r="B45585" s="12"/>
      <c r="C45585" s="8"/>
      <c r="D45585" s="8"/>
    </row>
    <row r="45586" spans="1:4" ht="15.75" customHeight="1">
      <c r="A45586" s="8"/>
      <c r="B45586" s="12"/>
      <c r="C45586" s="8"/>
      <c r="D45586" s="8"/>
    </row>
    <row r="45587" spans="1:4" ht="15.75" customHeight="1">
      <c r="A45587" s="8"/>
      <c r="B45587" s="12"/>
      <c r="C45587" s="8"/>
      <c r="D45587" s="8"/>
    </row>
    <row r="45588" spans="1:4" ht="15.75" customHeight="1">
      <c r="A45588" s="8"/>
      <c r="B45588" s="12"/>
      <c r="C45588" s="8"/>
      <c r="D45588" s="8"/>
    </row>
    <row r="45589" spans="1:4" ht="15.75" customHeight="1">
      <c r="A45589" s="8"/>
      <c r="B45589" s="12"/>
      <c r="C45589" s="8"/>
      <c r="D45589" s="8"/>
    </row>
    <row r="45590" spans="1:4" ht="15.75" customHeight="1">
      <c r="A45590" s="8"/>
      <c r="B45590" s="12"/>
      <c r="C45590" s="8"/>
      <c r="D45590" s="8"/>
    </row>
    <row r="45591" spans="1:4" ht="15.75" customHeight="1">
      <c r="A45591" s="8"/>
      <c r="B45591" s="12"/>
      <c r="C45591" s="8"/>
      <c r="D45591" s="8"/>
    </row>
    <row r="45592" spans="1:4" ht="15.75" customHeight="1">
      <c r="A45592" s="8"/>
      <c r="B45592" s="12"/>
      <c r="C45592" s="8"/>
      <c r="D45592" s="8"/>
    </row>
    <row r="45593" spans="1:4" ht="15.75" customHeight="1">
      <c r="A45593" s="8"/>
      <c r="B45593" s="12"/>
      <c r="C45593" s="8"/>
      <c r="D45593" s="8"/>
    </row>
    <row r="45594" spans="1:4" ht="15.75" customHeight="1">
      <c r="A45594" s="8"/>
      <c r="B45594" s="12"/>
      <c r="C45594" s="8"/>
      <c r="D45594" s="8"/>
    </row>
    <row r="45595" spans="1:4" ht="15.75" customHeight="1">
      <c r="A45595" s="8"/>
      <c r="B45595" s="12"/>
      <c r="C45595" s="8"/>
      <c r="D45595" s="8"/>
    </row>
    <row r="45596" spans="1:4" ht="15.75" customHeight="1">
      <c r="A45596" s="8"/>
      <c r="B45596" s="12"/>
      <c r="C45596" s="8"/>
      <c r="D45596" s="8"/>
    </row>
    <row r="45597" spans="1:4" ht="15.75" customHeight="1">
      <c r="A45597" s="8"/>
      <c r="B45597" s="12"/>
      <c r="C45597" s="8"/>
      <c r="D45597" s="8"/>
    </row>
    <row r="45598" spans="1:4" ht="15.75" customHeight="1">
      <c r="A45598" s="8"/>
      <c r="B45598" s="12"/>
      <c r="C45598" s="8"/>
      <c r="D45598" s="8"/>
    </row>
    <row r="45599" spans="1:4" ht="15.75" customHeight="1">
      <c r="A45599" s="8"/>
      <c r="B45599" s="12"/>
      <c r="C45599" s="8"/>
      <c r="D45599" s="8"/>
    </row>
    <row r="45600" spans="1:4" ht="15.75" customHeight="1">
      <c r="A45600" s="8"/>
      <c r="B45600" s="12"/>
      <c r="C45600" s="8"/>
      <c r="D45600" s="8"/>
    </row>
    <row r="45601" spans="1:4" ht="15.75" customHeight="1">
      <c r="A45601" s="8"/>
      <c r="B45601" s="12"/>
      <c r="C45601" s="8"/>
      <c r="D45601" s="8"/>
    </row>
    <row r="45602" spans="1:4" ht="15.75" customHeight="1">
      <c r="A45602" s="8"/>
      <c r="B45602" s="12"/>
      <c r="C45602" s="8"/>
      <c r="D45602" s="8"/>
    </row>
    <row r="45603" spans="1:4" ht="15.75" customHeight="1">
      <c r="A45603" s="8"/>
      <c r="B45603" s="12"/>
      <c r="C45603" s="8"/>
      <c r="D45603" s="8"/>
    </row>
    <row r="45604" spans="1:4" ht="15.75" customHeight="1">
      <c r="A45604" s="8"/>
      <c r="B45604" s="12"/>
      <c r="C45604" s="8"/>
      <c r="D45604" s="8"/>
    </row>
    <row r="45605" spans="1:4" ht="15.75" customHeight="1">
      <c r="A45605" s="8"/>
      <c r="B45605" s="12"/>
      <c r="C45605" s="8"/>
      <c r="D45605" s="8"/>
    </row>
    <row r="45606" spans="1:4" ht="15.75" customHeight="1">
      <c r="A45606" s="8"/>
      <c r="B45606" s="12"/>
      <c r="C45606" s="8"/>
      <c r="D45606" s="8"/>
    </row>
    <row r="45607" spans="1:4" ht="15.75" customHeight="1">
      <c r="A45607" s="8"/>
      <c r="B45607" s="12"/>
      <c r="C45607" s="8"/>
      <c r="D45607" s="8"/>
    </row>
    <row r="45608" spans="1:4" ht="15.75" customHeight="1">
      <c r="A45608" s="8"/>
      <c r="B45608" s="12"/>
      <c r="C45608" s="8"/>
      <c r="D45608" s="8"/>
    </row>
    <row r="45609" spans="1:4" ht="15.75" customHeight="1">
      <c r="A45609" s="8"/>
      <c r="B45609" s="12"/>
      <c r="C45609" s="8"/>
      <c r="D45609" s="8"/>
    </row>
    <row r="45610" spans="1:4" ht="15.75" customHeight="1">
      <c r="A45610" s="8"/>
      <c r="B45610" s="12"/>
      <c r="C45610" s="8"/>
      <c r="D45610" s="8"/>
    </row>
    <row r="45611" spans="1:4" ht="15.75" customHeight="1">
      <c r="A45611" s="8"/>
      <c r="B45611" s="12"/>
      <c r="C45611" s="8"/>
      <c r="D45611" s="8"/>
    </row>
    <row r="45612" spans="1:4" ht="15.75" customHeight="1">
      <c r="A45612" s="8"/>
      <c r="B45612" s="12"/>
      <c r="C45612" s="8"/>
      <c r="D45612" s="8"/>
    </row>
    <row r="45613" spans="1:4" ht="15.75" customHeight="1">
      <c r="A45613" s="8"/>
      <c r="B45613" s="12"/>
      <c r="C45613" s="8"/>
      <c r="D45613" s="8"/>
    </row>
    <row r="45614" spans="1:4" ht="15.75" customHeight="1">
      <c r="A45614" s="8"/>
      <c r="B45614" s="12"/>
      <c r="C45614" s="8"/>
      <c r="D45614" s="8"/>
    </row>
    <row r="45615" spans="1:4" ht="15.75" customHeight="1">
      <c r="A45615" s="8"/>
      <c r="B45615" s="12"/>
      <c r="C45615" s="8"/>
      <c r="D45615" s="8"/>
    </row>
    <row r="45616" spans="1:4" ht="15.75" customHeight="1">
      <c r="A45616" s="8"/>
      <c r="B45616" s="12"/>
      <c r="C45616" s="8"/>
      <c r="D45616" s="8"/>
    </row>
    <row r="45617" spans="1:4" ht="15.75" customHeight="1">
      <c r="A45617" s="8"/>
      <c r="B45617" s="12"/>
      <c r="C45617" s="8"/>
      <c r="D45617" s="8"/>
    </row>
    <row r="45618" spans="1:4" ht="15.75" customHeight="1">
      <c r="A45618" s="8"/>
      <c r="B45618" s="12"/>
      <c r="C45618" s="8"/>
      <c r="D45618" s="8"/>
    </row>
    <row r="45619" spans="1:4" ht="15.75" customHeight="1">
      <c r="A45619" s="8"/>
      <c r="B45619" s="12"/>
      <c r="C45619" s="8"/>
      <c r="D45619" s="8"/>
    </row>
    <row r="45620" spans="1:4" ht="15.75" customHeight="1">
      <c r="A45620" s="8"/>
      <c r="B45620" s="12"/>
      <c r="C45620" s="8"/>
      <c r="D45620" s="8"/>
    </row>
    <row r="45621" spans="1:4" ht="15.75" customHeight="1">
      <c r="A45621" s="8"/>
      <c r="B45621" s="12"/>
      <c r="C45621" s="8"/>
      <c r="D45621" s="8"/>
    </row>
    <row r="45622" spans="1:4" ht="15.75" customHeight="1">
      <c r="A45622" s="8"/>
      <c r="B45622" s="12"/>
      <c r="C45622" s="8"/>
      <c r="D45622" s="8"/>
    </row>
    <row r="45623" spans="1:4" ht="15.75" customHeight="1">
      <c r="A45623" s="8"/>
      <c r="B45623" s="12"/>
      <c r="C45623" s="8"/>
      <c r="D45623" s="8"/>
    </row>
    <row r="45624" spans="1:4" ht="15.75" customHeight="1">
      <c r="A45624" s="8"/>
      <c r="B45624" s="12"/>
      <c r="C45624" s="8"/>
      <c r="D45624" s="8"/>
    </row>
    <row r="45625" spans="1:4" ht="15.75" customHeight="1">
      <c r="A45625" s="8"/>
      <c r="B45625" s="12"/>
      <c r="C45625" s="8"/>
      <c r="D45625" s="8"/>
    </row>
    <row r="45626" spans="1:4" ht="15.75" customHeight="1">
      <c r="A45626" s="8"/>
      <c r="B45626" s="12"/>
      <c r="C45626" s="8"/>
      <c r="D45626" s="8"/>
    </row>
    <row r="45627" spans="1:4" ht="15.75" customHeight="1">
      <c r="A45627" s="8"/>
      <c r="B45627" s="12"/>
      <c r="C45627" s="8"/>
      <c r="D45627" s="8"/>
    </row>
    <row r="45628" spans="1:4" ht="15.75" customHeight="1">
      <c r="A45628" s="8"/>
      <c r="B45628" s="12"/>
      <c r="C45628" s="8"/>
      <c r="D45628" s="8"/>
    </row>
    <row r="45629" spans="1:4" ht="15.75" customHeight="1">
      <c r="A45629" s="8"/>
      <c r="B45629" s="12"/>
      <c r="C45629" s="8"/>
      <c r="D45629" s="8"/>
    </row>
    <row r="45630" spans="1:4" ht="15.75" customHeight="1">
      <c r="A45630" s="8"/>
      <c r="B45630" s="12"/>
      <c r="C45630" s="8"/>
      <c r="D45630" s="8"/>
    </row>
    <row r="45631" spans="1:4" ht="15.75" customHeight="1">
      <c r="A45631" s="8"/>
      <c r="B45631" s="12"/>
      <c r="C45631" s="8"/>
      <c r="D45631" s="8"/>
    </row>
    <row r="45632" spans="1:4" ht="15.75" customHeight="1">
      <c r="A45632" s="8"/>
      <c r="B45632" s="12"/>
      <c r="C45632" s="8"/>
      <c r="D45632" s="8"/>
    </row>
    <row r="45633" spans="1:4" ht="15.75" customHeight="1">
      <c r="A45633" s="8"/>
      <c r="B45633" s="12"/>
      <c r="C45633" s="8"/>
      <c r="D45633" s="8"/>
    </row>
    <row r="45634" spans="1:4" ht="15.75" customHeight="1">
      <c r="A45634" s="8"/>
      <c r="B45634" s="12"/>
      <c r="C45634" s="8"/>
      <c r="D45634" s="8"/>
    </row>
    <row r="45635" spans="1:4" ht="15.75" customHeight="1">
      <c r="A45635" s="8"/>
      <c r="B45635" s="12"/>
      <c r="C45635" s="8"/>
      <c r="D45635" s="8"/>
    </row>
    <row r="45636" spans="1:4" ht="15.75" customHeight="1">
      <c r="A45636" s="8"/>
      <c r="B45636" s="12"/>
      <c r="C45636" s="8"/>
      <c r="D45636" s="8"/>
    </row>
    <row r="45637" spans="1:4" ht="15.75" customHeight="1">
      <c r="A45637" s="8"/>
      <c r="B45637" s="12"/>
      <c r="C45637" s="8"/>
      <c r="D45637" s="8"/>
    </row>
    <row r="45638" spans="1:4" ht="15.75" customHeight="1">
      <c r="A45638" s="8"/>
      <c r="B45638" s="12"/>
      <c r="C45638" s="8"/>
      <c r="D45638" s="8"/>
    </row>
    <row r="45639" spans="1:4" ht="15.75" customHeight="1">
      <c r="A45639" s="8"/>
      <c r="B45639" s="12"/>
      <c r="C45639" s="8"/>
      <c r="D45639" s="8"/>
    </row>
    <row r="45640" spans="1:4" ht="15.75" customHeight="1">
      <c r="A45640" s="8"/>
      <c r="B45640" s="12"/>
      <c r="C45640" s="8"/>
      <c r="D45640" s="8"/>
    </row>
    <row r="45641" spans="1:4" ht="15.75" customHeight="1">
      <c r="A45641" s="8"/>
      <c r="B45641" s="12"/>
      <c r="C45641" s="8"/>
      <c r="D45641" s="8"/>
    </row>
    <row r="45642" spans="1:4" ht="15.75" customHeight="1">
      <c r="A45642" s="8"/>
      <c r="B45642" s="12"/>
      <c r="C45642" s="8"/>
      <c r="D45642" s="8"/>
    </row>
    <row r="45643" spans="1:4" ht="15.75" customHeight="1">
      <c r="A45643" s="8"/>
      <c r="B45643" s="12"/>
      <c r="C45643" s="8"/>
      <c r="D45643" s="8"/>
    </row>
    <row r="45644" spans="1:4" ht="15.75" customHeight="1">
      <c r="A45644" s="8"/>
      <c r="B45644" s="12"/>
      <c r="C45644" s="8"/>
      <c r="D45644" s="8"/>
    </row>
    <row r="45645" spans="1:4" ht="15.75" customHeight="1">
      <c r="A45645" s="8"/>
      <c r="B45645" s="12"/>
      <c r="C45645" s="8"/>
      <c r="D45645" s="8"/>
    </row>
    <row r="45646" spans="1:4" ht="15.75" customHeight="1">
      <c r="A45646" s="8"/>
      <c r="B45646" s="12"/>
      <c r="C45646" s="8"/>
      <c r="D45646" s="8"/>
    </row>
    <row r="45647" spans="1:4" ht="15.75" customHeight="1">
      <c r="A45647" s="8"/>
      <c r="B45647" s="12"/>
      <c r="C45647" s="8"/>
      <c r="D45647" s="8"/>
    </row>
    <row r="45648" spans="1:4" ht="15.75" customHeight="1">
      <c r="A45648" s="8"/>
      <c r="B45648" s="12"/>
      <c r="C45648" s="8"/>
      <c r="D45648" s="8"/>
    </row>
    <row r="45649" spans="1:4" ht="15.75" customHeight="1">
      <c r="A45649" s="8"/>
      <c r="B45649" s="12"/>
      <c r="C45649" s="8"/>
      <c r="D45649" s="8"/>
    </row>
    <row r="45650" spans="1:4" ht="15.75" customHeight="1">
      <c r="A45650" s="8"/>
      <c r="B45650" s="12"/>
      <c r="C45650" s="8"/>
      <c r="D45650" s="8"/>
    </row>
    <row r="45651" spans="1:4" ht="15.75" customHeight="1">
      <c r="A45651" s="8"/>
      <c r="B45651" s="12"/>
      <c r="C45651" s="8"/>
      <c r="D45651" s="8"/>
    </row>
    <row r="45652" spans="1:4" ht="15.75" customHeight="1">
      <c r="A45652" s="8"/>
      <c r="B45652" s="12"/>
      <c r="C45652" s="8"/>
      <c r="D45652" s="8"/>
    </row>
    <row r="45653" spans="1:4" ht="15.75" customHeight="1">
      <c r="A45653" s="8"/>
      <c r="B45653" s="12"/>
      <c r="C45653" s="8"/>
      <c r="D45653" s="8"/>
    </row>
    <row r="45654" spans="1:4" ht="15.75" customHeight="1">
      <c r="A45654" s="8"/>
      <c r="B45654" s="12"/>
      <c r="C45654" s="8"/>
      <c r="D45654" s="8"/>
    </row>
    <row r="45655" spans="1:4" ht="15.75" customHeight="1">
      <c r="A45655" s="8"/>
      <c r="B45655" s="12"/>
      <c r="C45655" s="8"/>
      <c r="D45655" s="8"/>
    </row>
    <row r="45656" spans="1:4" ht="15.75" customHeight="1">
      <c r="A45656" s="8"/>
      <c r="B45656" s="12"/>
      <c r="C45656" s="8"/>
      <c r="D45656" s="8"/>
    </row>
    <row r="45657" spans="1:4" ht="15.75" customHeight="1">
      <c r="A45657" s="8"/>
      <c r="B45657" s="12"/>
      <c r="C45657" s="8"/>
      <c r="D45657" s="8"/>
    </row>
    <row r="45658" spans="1:4" ht="15.75" customHeight="1">
      <c r="A45658" s="8"/>
      <c r="B45658" s="12"/>
      <c r="C45658" s="8"/>
      <c r="D45658" s="8"/>
    </row>
    <row r="45659" spans="1:4" ht="15.75" customHeight="1">
      <c r="A45659" s="8"/>
      <c r="B45659" s="12"/>
      <c r="C45659" s="8"/>
      <c r="D45659" s="8"/>
    </row>
    <row r="45660" spans="1:4" ht="15.75" customHeight="1">
      <c r="A45660" s="8"/>
      <c r="B45660" s="12"/>
      <c r="C45660" s="8"/>
      <c r="D45660" s="8"/>
    </row>
    <row r="45661" spans="1:4" ht="15.75" customHeight="1">
      <c r="A45661" s="8"/>
      <c r="B45661" s="12"/>
      <c r="C45661" s="8"/>
      <c r="D45661" s="8"/>
    </row>
    <row r="45662" spans="1:4" ht="15.75" customHeight="1">
      <c r="A45662" s="8"/>
      <c r="B45662" s="12"/>
      <c r="C45662" s="8"/>
      <c r="D45662" s="8"/>
    </row>
    <row r="45663" spans="1:4" ht="15.75" customHeight="1">
      <c r="A45663" s="8"/>
      <c r="B45663" s="12"/>
      <c r="C45663" s="8"/>
      <c r="D45663" s="8"/>
    </row>
    <row r="45664" spans="1:4" ht="15.75" customHeight="1">
      <c r="A45664" s="8"/>
      <c r="B45664" s="12"/>
      <c r="C45664" s="8"/>
      <c r="D45664" s="8"/>
    </row>
    <row r="45665" spans="1:4" ht="15.75" customHeight="1">
      <c r="A45665" s="8"/>
      <c r="B45665" s="12"/>
      <c r="C45665" s="8"/>
      <c r="D45665" s="8"/>
    </row>
    <row r="45666" spans="1:4" ht="15.75" customHeight="1">
      <c r="A45666" s="8"/>
      <c r="B45666" s="12"/>
      <c r="C45666" s="8"/>
      <c r="D45666" s="8"/>
    </row>
    <row r="45667" spans="1:4" ht="15.75" customHeight="1">
      <c r="A45667" s="8"/>
      <c r="B45667" s="12"/>
      <c r="C45667" s="8"/>
      <c r="D45667" s="8"/>
    </row>
    <row r="45668" spans="1:4" ht="15.75" customHeight="1">
      <c r="A45668" s="8"/>
      <c r="B45668" s="12"/>
      <c r="C45668" s="8"/>
      <c r="D45668" s="8"/>
    </row>
    <row r="45669" spans="1:4" ht="15.75" customHeight="1">
      <c r="A45669" s="8"/>
      <c r="B45669" s="12"/>
      <c r="C45669" s="8"/>
      <c r="D45669" s="8"/>
    </row>
    <row r="45670" spans="1:4" ht="15.75" customHeight="1">
      <c r="A45670" s="8"/>
      <c r="B45670" s="12"/>
      <c r="C45670" s="8"/>
      <c r="D45670" s="8"/>
    </row>
    <row r="45671" spans="1:4" ht="15.75" customHeight="1">
      <c r="A45671" s="8"/>
      <c r="B45671" s="12"/>
      <c r="C45671" s="8"/>
      <c r="D45671" s="8"/>
    </row>
    <row r="45672" spans="1:4" ht="15.75" customHeight="1">
      <c r="A45672" s="8"/>
      <c r="B45672" s="12"/>
      <c r="C45672" s="8"/>
      <c r="D45672" s="8"/>
    </row>
    <row r="45673" spans="1:4" ht="15.75" customHeight="1">
      <c r="A45673" s="8"/>
      <c r="B45673" s="12"/>
      <c r="C45673" s="8"/>
      <c r="D45673" s="8"/>
    </row>
    <row r="45674" spans="1:4" ht="15.75" customHeight="1">
      <c r="A45674" s="8"/>
      <c r="B45674" s="12"/>
      <c r="C45674" s="8"/>
      <c r="D45674" s="8"/>
    </row>
    <row r="45675" spans="1:4" ht="15.75" customHeight="1">
      <c r="A45675" s="8"/>
      <c r="B45675" s="12"/>
      <c r="C45675" s="8"/>
      <c r="D45675" s="8"/>
    </row>
    <row r="45676" spans="1:4" ht="15.75" customHeight="1">
      <c r="A45676" s="8"/>
      <c r="B45676" s="12"/>
      <c r="C45676" s="8"/>
      <c r="D45676" s="8"/>
    </row>
    <row r="45677" spans="1:4" ht="15.75" customHeight="1">
      <c r="A45677" s="8"/>
      <c r="B45677" s="12"/>
      <c r="C45677" s="8"/>
      <c r="D45677" s="8"/>
    </row>
    <row r="45678" spans="1:4" ht="15.75" customHeight="1">
      <c r="A45678" s="8"/>
      <c r="B45678" s="12"/>
      <c r="C45678" s="8"/>
      <c r="D45678" s="8"/>
    </row>
    <row r="45679" spans="1:4" ht="15.75" customHeight="1">
      <c r="A45679" s="8"/>
      <c r="B45679" s="12"/>
      <c r="C45679" s="8"/>
      <c r="D45679" s="8"/>
    </row>
    <row r="45680" spans="1:4" ht="15.75" customHeight="1">
      <c r="A45680" s="8"/>
      <c r="B45680" s="12"/>
      <c r="C45680" s="8"/>
      <c r="D45680" s="8"/>
    </row>
    <row r="45681" spans="1:4" ht="15.75" customHeight="1">
      <c r="A45681" s="8"/>
      <c r="B45681" s="12"/>
      <c r="C45681" s="8"/>
      <c r="D45681" s="8"/>
    </row>
    <row r="45682" spans="1:4" ht="15.75" customHeight="1">
      <c r="A45682" s="8"/>
      <c r="B45682" s="12"/>
      <c r="C45682" s="8"/>
      <c r="D45682" s="8"/>
    </row>
    <row r="45683" spans="1:4" ht="15.75" customHeight="1">
      <c r="A45683" s="8"/>
      <c r="B45683" s="12"/>
      <c r="C45683" s="8"/>
      <c r="D45683" s="8"/>
    </row>
    <row r="45684" spans="1:4" ht="15.75" customHeight="1">
      <c r="A45684" s="8"/>
      <c r="B45684" s="12"/>
      <c r="C45684" s="8"/>
      <c r="D45684" s="8"/>
    </row>
    <row r="45685" spans="1:4" ht="15.75" customHeight="1">
      <c r="A45685" s="8"/>
      <c r="B45685" s="12"/>
      <c r="C45685" s="8"/>
      <c r="D45685" s="8"/>
    </row>
    <row r="45686" spans="1:4" ht="15.75" customHeight="1">
      <c r="A45686" s="8"/>
      <c r="B45686" s="12"/>
      <c r="C45686" s="8"/>
      <c r="D45686" s="8"/>
    </row>
    <row r="45687" spans="1:4" ht="15.75" customHeight="1">
      <c r="A45687" s="8"/>
      <c r="B45687" s="12"/>
      <c r="C45687" s="8"/>
      <c r="D45687" s="8"/>
    </row>
    <row r="45688" spans="1:4" ht="15.75" customHeight="1">
      <c r="A45688" s="8"/>
      <c r="B45688" s="12"/>
      <c r="C45688" s="8"/>
      <c r="D45688" s="8"/>
    </row>
    <row r="45689" spans="1:4" ht="15.75" customHeight="1">
      <c r="A45689" s="8"/>
      <c r="B45689" s="12"/>
      <c r="C45689" s="8"/>
      <c r="D45689" s="8"/>
    </row>
    <row r="45690" spans="1:4" ht="15.75" customHeight="1">
      <c r="A45690" s="8"/>
      <c r="B45690" s="12"/>
      <c r="C45690" s="8"/>
      <c r="D45690" s="8"/>
    </row>
    <row r="45691" spans="1:4" ht="15.75" customHeight="1">
      <c r="A45691" s="8"/>
      <c r="B45691" s="12"/>
      <c r="C45691" s="8"/>
      <c r="D45691" s="8"/>
    </row>
    <row r="45692" spans="1:4" ht="15.75" customHeight="1">
      <c r="A45692" s="8"/>
      <c r="B45692" s="12"/>
      <c r="C45692" s="8"/>
      <c r="D45692" s="8"/>
    </row>
    <row r="45693" spans="1:4" ht="15.75" customHeight="1">
      <c r="A45693" s="8"/>
      <c r="B45693" s="12"/>
      <c r="C45693" s="8"/>
      <c r="D45693" s="8"/>
    </row>
    <row r="45694" spans="1:4" ht="15.75" customHeight="1">
      <c r="A45694" s="8"/>
      <c r="B45694" s="12"/>
      <c r="C45694" s="8"/>
      <c r="D45694" s="8"/>
    </row>
    <row r="45695" spans="1:4" ht="15.75" customHeight="1">
      <c r="A45695" s="8"/>
      <c r="B45695" s="12"/>
      <c r="C45695" s="8"/>
      <c r="D45695" s="8"/>
    </row>
    <row r="45696" spans="1:4" ht="15.75" customHeight="1">
      <c r="A45696" s="8"/>
      <c r="B45696" s="12"/>
      <c r="C45696" s="8"/>
      <c r="D45696" s="8"/>
    </row>
    <row r="45697" spans="1:4" ht="15.75" customHeight="1">
      <c r="A45697" s="8"/>
      <c r="B45697" s="12"/>
      <c r="C45697" s="8"/>
      <c r="D45697" s="8"/>
    </row>
    <row r="45698" spans="1:4" ht="15.75" customHeight="1">
      <c r="A45698" s="8"/>
      <c r="B45698" s="12"/>
      <c r="C45698" s="8"/>
      <c r="D45698" s="8"/>
    </row>
    <row r="45699" spans="1:4" ht="15.75" customHeight="1">
      <c r="A45699" s="8"/>
      <c r="B45699" s="12"/>
      <c r="C45699" s="8"/>
      <c r="D45699" s="8"/>
    </row>
    <row r="45700" spans="1:4" ht="15.75" customHeight="1">
      <c r="A45700" s="8"/>
      <c r="B45700" s="12"/>
      <c r="C45700" s="8"/>
      <c r="D45700" s="8"/>
    </row>
    <row r="45701" spans="1:4" ht="15.75" customHeight="1">
      <c r="A45701" s="8"/>
      <c r="B45701" s="12"/>
      <c r="C45701" s="8"/>
      <c r="D45701" s="8"/>
    </row>
    <row r="45702" spans="1:4" ht="15.75" customHeight="1">
      <c r="A45702" s="8"/>
      <c r="B45702" s="12"/>
      <c r="C45702" s="8"/>
      <c r="D45702" s="8"/>
    </row>
    <row r="45703" spans="1:4" ht="15.75" customHeight="1">
      <c r="A45703" s="8"/>
      <c r="B45703" s="12"/>
      <c r="C45703" s="8"/>
      <c r="D45703" s="8"/>
    </row>
    <row r="45704" spans="1:4" ht="15.75" customHeight="1">
      <c r="A45704" s="8"/>
      <c r="B45704" s="12"/>
      <c r="C45704" s="8"/>
      <c r="D45704" s="8"/>
    </row>
    <row r="45705" spans="1:4" ht="15.75" customHeight="1">
      <c r="A45705" s="8"/>
      <c r="B45705" s="12"/>
      <c r="C45705" s="8"/>
      <c r="D45705" s="8"/>
    </row>
    <row r="45706" spans="1:4" ht="15.75" customHeight="1">
      <c r="A45706" s="8"/>
      <c r="B45706" s="12"/>
      <c r="C45706" s="8"/>
      <c r="D45706" s="8"/>
    </row>
    <row r="45707" spans="1:4" ht="15.75" customHeight="1">
      <c r="A45707" s="8"/>
      <c r="B45707" s="12"/>
      <c r="C45707" s="8"/>
      <c r="D45707" s="8"/>
    </row>
    <row r="45708" spans="1:4" ht="15.75" customHeight="1">
      <c r="A45708" s="8"/>
      <c r="B45708" s="12"/>
      <c r="C45708" s="8"/>
      <c r="D45708" s="8"/>
    </row>
    <row r="45709" spans="1:4" ht="15.75" customHeight="1">
      <c r="A45709" s="8"/>
      <c r="B45709" s="12"/>
      <c r="C45709" s="8"/>
      <c r="D45709" s="8"/>
    </row>
    <row r="45710" spans="1:4" ht="15.75" customHeight="1">
      <c r="A45710" s="8"/>
      <c r="B45710" s="12"/>
      <c r="C45710" s="8"/>
      <c r="D45710" s="8"/>
    </row>
    <row r="45711" spans="1:4" ht="15.75" customHeight="1">
      <c r="A45711" s="8"/>
      <c r="B45711" s="12"/>
      <c r="C45711" s="8"/>
      <c r="D45711" s="8"/>
    </row>
    <row r="45712" spans="1:4" ht="15.75" customHeight="1">
      <c r="A45712" s="8"/>
      <c r="B45712" s="12"/>
      <c r="C45712" s="8"/>
      <c r="D45712" s="8"/>
    </row>
    <row r="45713" spans="1:4" ht="15.75" customHeight="1">
      <c r="A45713" s="8"/>
      <c r="B45713" s="12"/>
      <c r="C45713" s="8"/>
      <c r="D45713" s="8"/>
    </row>
    <row r="45714" spans="1:4" ht="15.75" customHeight="1">
      <c r="A45714" s="8"/>
      <c r="B45714" s="12"/>
      <c r="C45714" s="8"/>
      <c r="D45714" s="8"/>
    </row>
    <row r="45715" spans="1:4" ht="15.75" customHeight="1">
      <c r="A45715" s="8"/>
      <c r="B45715" s="12"/>
      <c r="C45715" s="8"/>
      <c r="D45715" s="8"/>
    </row>
    <row r="45716" spans="1:4" ht="15.75" customHeight="1">
      <c r="A45716" s="8"/>
      <c r="B45716" s="12"/>
      <c r="C45716" s="8"/>
      <c r="D45716" s="8"/>
    </row>
    <row r="45717" spans="1:4" ht="15.75" customHeight="1">
      <c r="A45717" s="8"/>
      <c r="B45717" s="12"/>
      <c r="C45717" s="8"/>
      <c r="D45717" s="8"/>
    </row>
    <row r="45718" spans="1:4" ht="15.75" customHeight="1">
      <c r="A45718" s="8"/>
      <c r="B45718" s="12"/>
      <c r="C45718" s="8"/>
      <c r="D45718" s="8"/>
    </row>
    <row r="45719" spans="1:4" ht="15.75" customHeight="1">
      <c r="A45719" s="8"/>
      <c r="B45719" s="12"/>
      <c r="C45719" s="8"/>
      <c r="D45719" s="8"/>
    </row>
    <row r="45720" spans="1:4" ht="15.75" customHeight="1">
      <c r="A45720" s="8"/>
      <c r="B45720" s="12"/>
      <c r="C45720" s="8"/>
      <c r="D45720" s="8"/>
    </row>
    <row r="45721" spans="1:4" ht="15.75" customHeight="1">
      <c r="A45721" s="8"/>
      <c r="B45721" s="12"/>
      <c r="C45721" s="8"/>
      <c r="D45721" s="8"/>
    </row>
    <row r="45722" spans="1:4" ht="15.75" customHeight="1">
      <c r="A45722" s="8"/>
      <c r="B45722" s="12"/>
      <c r="C45722" s="8"/>
      <c r="D45722" s="8"/>
    </row>
    <row r="45723" spans="1:4" ht="15.75" customHeight="1">
      <c r="A45723" s="8"/>
      <c r="B45723" s="12"/>
      <c r="C45723" s="8"/>
      <c r="D45723" s="8"/>
    </row>
    <row r="45724" spans="1:4" ht="15.75" customHeight="1">
      <c r="A45724" s="8"/>
      <c r="B45724" s="12"/>
      <c r="C45724" s="8"/>
      <c r="D45724" s="8"/>
    </row>
    <row r="45725" spans="1:4" ht="15.75" customHeight="1">
      <c r="A45725" s="8"/>
      <c r="B45725" s="12"/>
      <c r="C45725" s="8"/>
      <c r="D45725" s="8"/>
    </row>
    <row r="45726" spans="1:4" ht="15.75" customHeight="1">
      <c r="A45726" s="8"/>
      <c r="B45726" s="12"/>
      <c r="C45726" s="8"/>
      <c r="D45726" s="8"/>
    </row>
    <row r="45727" spans="1:4" ht="15.75" customHeight="1">
      <c r="A45727" s="8"/>
      <c r="B45727" s="12"/>
      <c r="C45727" s="8"/>
      <c r="D45727" s="8"/>
    </row>
    <row r="45728" spans="1:4" ht="15.75" customHeight="1">
      <c r="A45728" s="8"/>
      <c r="B45728" s="12"/>
      <c r="C45728" s="8"/>
      <c r="D45728" s="8"/>
    </row>
    <row r="45729" spans="1:4" ht="15.75" customHeight="1">
      <c r="A45729" s="8"/>
      <c r="B45729" s="12"/>
      <c r="C45729" s="8"/>
      <c r="D45729" s="8"/>
    </row>
    <row r="45730" spans="1:4" ht="15.75" customHeight="1">
      <c r="A45730" s="8"/>
      <c r="B45730" s="12"/>
      <c r="C45730" s="8"/>
      <c r="D45730" s="8"/>
    </row>
    <row r="45731" spans="1:4" ht="15.75" customHeight="1">
      <c r="A45731" s="8"/>
      <c r="B45731" s="12"/>
      <c r="C45731" s="8"/>
      <c r="D45731" s="8"/>
    </row>
    <row r="45732" spans="1:4" ht="15.75" customHeight="1">
      <c r="A45732" s="8"/>
      <c r="B45732" s="12"/>
      <c r="C45732" s="8"/>
      <c r="D45732" s="8"/>
    </row>
    <row r="45733" spans="1:4" ht="15.75" customHeight="1">
      <c r="A45733" s="8"/>
      <c r="B45733" s="12"/>
      <c r="C45733" s="8"/>
      <c r="D45733" s="8"/>
    </row>
    <row r="45734" spans="1:4" ht="15.75" customHeight="1">
      <c r="A45734" s="8"/>
      <c r="B45734" s="12"/>
      <c r="C45734" s="8"/>
      <c r="D45734" s="8"/>
    </row>
    <row r="45735" spans="1:4" ht="15.75" customHeight="1">
      <c r="A45735" s="8"/>
      <c r="B45735" s="12"/>
      <c r="C45735" s="8"/>
      <c r="D45735" s="8"/>
    </row>
    <row r="45736" spans="1:4" ht="15.75" customHeight="1">
      <c r="A45736" s="8"/>
      <c r="B45736" s="12"/>
      <c r="C45736" s="8"/>
      <c r="D45736" s="8"/>
    </row>
    <row r="45737" spans="1:4" ht="15.75" customHeight="1">
      <c r="A45737" s="8"/>
      <c r="B45737" s="12"/>
      <c r="C45737" s="8"/>
      <c r="D45737" s="8"/>
    </row>
    <row r="45738" spans="1:4" ht="15.75" customHeight="1">
      <c r="A45738" s="8"/>
      <c r="B45738" s="12"/>
      <c r="C45738" s="8"/>
      <c r="D45738" s="8"/>
    </row>
    <row r="45739" spans="1:4" ht="15.75" customHeight="1">
      <c r="A45739" s="8"/>
      <c r="B45739" s="12"/>
      <c r="C45739" s="8"/>
      <c r="D45739" s="8"/>
    </row>
    <row r="45740" spans="1:4" ht="15.75" customHeight="1">
      <c r="A45740" s="8"/>
      <c r="B45740" s="12"/>
      <c r="C45740" s="8"/>
      <c r="D45740" s="8"/>
    </row>
    <row r="45741" spans="1:4" ht="15.75" customHeight="1">
      <c r="A45741" s="8"/>
      <c r="B45741" s="12"/>
      <c r="C45741" s="8"/>
      <c r="D45741" s="8"/>
    </row>
    <row r="45742" spans="1:4" ht="15.75" customHeight="1">
      <c r="A45742" s="8"/>
      <c r="B45742" s="12"/>
      <c r="C45742" s="8"/>
      <c r="D45742" s="8"/>
    </row>
    <row r="45743" spans="1:4" ht="15.75" customHeight="1">
      <c r="A45743" s="8"/>
      <c r="B45743" s="12"/>
      <c r="C45743" s="8"/>
      <c r="D45743" s="8"/>
    </row>
    <row r="45744" spans="1:4" ht="15.75" customHeight="1">
      <c r="A45744" s="8"/>
      <c r="B45744" s="12"/>
      <c r="C45744" s="8"/>
      <c r="D45744" s="8"/>
    </row>
    <row r="45745" spans="1:4" ht="15.75" customHeight="1">
      <c r="A45745" s="8"/>
      <c r="B45745" s="12"/>
      <c r="C45745" s="8"/>
      <c r="D45745" s="8"/>
    </row>
    <row r="45746" spans="1:4" ht="15.75" customHeight="1">
      <c r="A45746" s="8"/>
      <c r="B45746" s="12"/>
      <c r="C45746" s="8"/>
      <c r="D45746" s="8"/>
    </row>
    <row r="45747" spans="1:4" ht="15.75" customHeight="1">
      <c r="A45747" s="8"/>
      <c r="B45747" s="12"/>
      <c r="C45747" s="8"/>
      <c r="D45747" s="8"/>
    </row>
    <row r="45748" spans="1:4" ht="15.75" customHeight="1">
      <c r="A45748" s="8"/>
      <c r="B45748" s="12"/>
      <c r="C45748" s="8"/>
      <c r="D45748" s="8"/>
    </row>
    <row r="45749" spans="1:4" ht="15.75" customHeight="1">
      <c r="A45749" s="8"/>
      <c r="B45749" s="12"/>
      <c r="C45749" s="8"/>
      <c r="D45749" s="8"/>
    </row>
    <row r="45750" spans="1:4" ht="15.75" customHeight="1">
      <c r="A45750" s="8"/>
      <c r="B45750" s="12"/>
      <c r="C45750" s="8"/>
      <c r="D45750" s="8"/>
    </row>
    <row r="45751" spans="1:4" ht="15.75" customHeight="1">
      <c r="A45751" s="8"/>
      <c r="B45751" s="12"/>
      <c r="C45751" s="8"/>
      <c r="D45751" s="8"/>
    </row>
    <row r="45752" spans="1:4" ht="15.75" customHeight="1">
      <c r="A45752" s="8"/>
      <c r="B45752" s="12"/>
      <c r="C45752" s="8"/>
      <c r="D45752" s="8"/>
    </row>
    <row r="45753" spans="1:4" ht="15.75" customHeight="1">
      <c r="A45753" s="8"/>
      <c r="B45753" s="12"/>
      <c r="C45753" s="8"/>
      <c r="D45753" s="8"/>
    </row>
    <row r="45754" spans="1:4" ht="15.75" customHeight="1">
      <c r="A45754" s="8"/>
      <c r="B45754" s="12"/>
      <c r="C45754" s="8"/>
      <c r="D45754" s="8"/>
    </row>
    <row r="45755" spans="1:4" ht="15.75" customHeight="1">
      <c r="A45755" s="8"/>
      <c r="B45755" s="12"/>
      <c r="C45755" s="8"/>
      <c r="D45755" s="8"/>
    </row>
    <row r="45756" spans="1:4" ht="15.75" customHeight="1">
      <c r="A45756" s="8"/>
      <c r="B45756" s="12"/>
      <c r="C45756" s="8"/>
      <c r="D45756" s="8"/>
    </row>
    <row r="45757" spans="1:4" ht="15.75" customHeight="1">
      <c r="A45757" s="8"/>
      <c r="B45757" s="12"/>
      <c r="C45757" s="8"/>
      <c r="D45757" s="8"/>
    </row>
    <row r="45758" spans="1:4" ht="15.75" customHeight="1">
      <c r="A45758" s="8"/>
      <c r="B45758" s="12"/>
      <c r="C45758" s="8"/>
      <c r="D45758" s="8"/>
    </row>
    <row r="45759" spans="1:4" ht="15.75" customHeight="1">
      <c r="A45759" s="8"/>
      <c r="B45759" s="12"/>
      <c r="C45759" s="8"/>
      <c r="D45759" s="8"/>
    </row>
    <row r="45760" spans="1:4" ht="15.75" customHeight="1">
      <c r="A45760" s="8"/>
      <c r="B45760" s="12"/>
      <c r="C45760" s="8"/>
      <c r="D45760" s="8"/>
    </row>
    <row r="45761" spans="1:4" ht="15.75" customHeight="1">
      <c r="A45761" s="8"/>
      <c r="B45761" s="12"/>
      <c r="C45761" s="8"/>
      <c r="D45761" s="8"/>
    </row>
    <row r="45762" spans="1:4" ht="15.75" customHeight="1">
      <c r="A45762" s="8"/>
      <c r="B45762" s="12"/>
      <c r="C45762" s="8"/>
      <c r="D45762" s="8"/>
    </row>
    <row r="45763" spans="1:4" ht="15.75" customHeight="1">
      <c r="A45763" s="8"/>
      <c r="B45763" s="12"/>
      <c r="C45763" s="8"/>
      <c r="D45763" s="8"/>
    </row>
    <row r="45764" spans="1:4" ht="15.75" customHeight="1">
      <c r="A45764" s="8"/>
      <c r="B45764" s="12"/>
      <c r="C45764" s="8"/>
      <c r="D45764" s="8"/>
    </row>
    <row r="45765" spans="1:4" ht="15.75" customHeight="1">
      <c r="A45765" s="8"/>
      <c r="B45765" s="12"/>
      <c r="C45765" s="8"/>
      <c r="D45765" s="8"/>
    </row>
    <row r="45766" spans="1:4" ht="15.75" customHeight="1">
      <c r="A45766" s="8"/>
      <c r="B45766" s="12"/>
      <c r="C45766" s="8"/>
      <c r="D45766" s="8"/>
    </row>
    <row r="45767" spans="1:4" ht="15.75" customHeight="1">
      <c r="A45767" s="8"/>
      <c r="B45767" s="12"/>
      <c r="C45767" s="8"/>
      <c r="D45767" s="8"/>
    </row>
    <row r="45768" spans="1:4" ht="15.75" customHeight="1">
      <c r="A45768" s="8"/>
      <c r="B45768" s="12"/>
      <c r="C45768" s="8"/>
      <c r="D45768" s="8"/>
    </row>
    <row r="45769" spans="1:4" ht="15.75" customHeight="1">
      <c r="A45769" s="8"/>
      <c r="B45769" s="12"/>
      <c r="C45769" s="8"/>
      <c r="D45769" s="8"/>
    </row>
    <row r="45770" spans="1:4" ht="15.75" customHeight="1">
      <c r="A45770" s="8"/>
      <c r="B45770" s="12"/>
      <c r="C45770" s="8"/>
      <c r="D45770" s="8"/>
    </row>
    <row r="45771" spans="1:4" ht="15.75" customHeight="1">
      <c r="A45771" s="8"/>
      <c r="B45771" s="12"/>
      <c r="C45771" s="8"/>
      <c r="D45771" s="8"/>
    </row>
    <row r="45772" spans="1:4" ht="15.75" customHeight="1">
      <c r="A45772" s="8"/>
      <c r="B45772" s="12"/>
      <c r="C45772" s="8"/>
      <c r="D45772" s="8"/>
    </row>
    <row r="45773" spans="1:4" ht="15.75" customHeight="1">
      <c r="A45773" s="8"/>
      <c r="B45773" s="12"/>
      <c r="C45773" s="8"/>
      <c r="D45773" s="8"/>
    </row>
    <row r="45774" spans="1:4" ht="15.75" customHeight="1">
      <c r="A45774" s="8"/>
      <c r="B45774" s="12"/>
      <c r="C45774" s="8"/>
      <c r="D45774" s="8"/>
    </row>
    <row r="45775" spans="1:4" ht="15.75" customHeight="1">
      <c r="A45775" s="8"/>
      <c r="B45775" s="12"/>
      <c r="C45775" s="8"/>
      <c r="D45775" s="8"/>
    </row>
    <row r="45776" spans="1:4" ht="15.75" customHeight="1">
      <c r="A45776" s="8"/>
      <c r="B45776" s="12"/>
      <c r="C45776" s="8"/>
      <c r="D45776" s="8"/>
    </row>
    <row r="45777" spans="1:4" ht="15.75" customHeight="1">
      <c r="A45777" s="8"/>
      <c r="B45777" s="12"/>
      <c r="C45777" s="8"/>
      <c r="D45777" s="8"/>
    </row>
    <row r="45778" spans="1:4" ht="15.75" customHeight="1">
      <c r="A45778" s="8"/>
      <c r="B45778" s="12"/>
      <c r="C45778" s="8"/>
      <c r="D45778" s="8"/>
    </row>
    <row r="45779" spans="1:4" ht="15.75" customHeight="1">
      <c r="A45779" s="8"/>
      <c r="B45779" s="12"/>
      <c r="C45779" s="8"/>
      <c r="D45779" s="8"/>
    </row>
    <row r="45780" spans="1:4" ht="15.75" customHeight="1">
      <c r="A45780" s="8"/>
      <c r="B45780" s="12"/>
      <c r="C45780" s="8"/>
      <c r="D45780" s="8"/>
    </row>
    <row r="45781" spans="1:4" ht="15.75" customHeight="1">
      <c r="A45781" s="8"/>
      <c r="B45781" s="12"/>
      <c r="C45781" s="8"/>
      <c r="D45781" s="8"/>
    </row>
    <row r="45782" spans="1:4" ht="15.75" customHeight="1">
      <c r="A45782" s="8"/>
      <c r="B45782" s="12"/>
      <c r="C45782" s="8"/>
      <c r="D45782" s="8"/>
    </row>
    <row r="45783" spans="1:4" ht="15.75" customHeight="1">
      <c r="A45783" s="8"/>
      <c r="B45783" s="12"/>
      <c r="C45783" s="8"/>
      <c r="D45783" s="8"/>
    </row>
    <row r="45784" spans="1:4" ht="15.75" customHeight="1">
      <c r="A45784" s="8"/>
      <c r="B45784" s="12"/>
      <c r="C45784" s="8"/>
      <c r="D45784" s="8"/>
    </row>
    <row r="45785" spans="1:4" ht="15.75" customHeight="1">
      <c r="A45785" s="8"/>
      <c r="B45785" s="12"/>
      <c r="C45785" s="8"/>
      <c r="D45785" s="8"/>
    </row>
    <row r="45786" spans="1:4" ht="15.75" customHeight="1">
      <c r="A45786" s="8"/>
      <c r="B45786" s="12"/>
      <c r="C45786" s="8"/>
      <c r="D45786" s="8"/>
    </row>
    <row r="45787" spans="1:4" ht="15.75" customHeight="1">
      <c r="A45787" s="8"/>
      <c r="B45787" s="12"/>
      <c r="C45787" s="8"/>
      <c r="D45787" s="8"/>
    </row>
    <row r="45788" spans="1:4" ht="15.75" customHeight="1">
      <c r="A45788" s="8"/>
      <c r="B45788" s="12"/>
      <c r="C45788" s="8"/>
      <c r="D45788" s="8"/>
    </row>
    <row r="45789" spans="1:4" ht="15.75" customHeight="1">
      <c r="A45789" s="8"/>
      <c r="B45789" s="12"/>
      <c r="C45789" s="8"/>
      <c r="D45789" s="8"/>
    </row>
    <row r="45790" spans="1:4" ht="15.75" customHeight="1">
      <c r="A45790" s="8"/>
      <c r="B45790" s="12"/>
      <c r="C45790" s="8"/>
      <c r="D45790" s="8"/>
    </row>
    <row r="45791" spans="1:4" ht="15.75" customHeight="1">
      <c r="A45791" s="8"/>
      <c r="B45791" s="12"/>
      <c r="C45791" s="8"/>
      <c r="D45791" s="8"/>
    </row>
    <row r="45792" spans="1:4" ht="15.75" customHeight="1">
      <c r="A45792" s="8"/>
      <c r="B45792" s="12"/>
      <c r="C45792" s="8"/>
      <c r="D45792" s="8"/>
    </row>
    <row r="45793" spans="1:4" ht="15.75" customHeight="1">
      <c r="A45793" s="8"/>
      <c r="B45793" s="12"/>
      <c r="C45793" s="8"/>
      <c r="D45793" s="8"/>
    </row>
    <row r="45794" spans="1:4" ht="15.75" customHeight="1">
      <c r="A45794" s="8"/>
      <c r="B45794" s="12"/>
      <c r="C45794" s="8"/>
      <c r="D45794" s="8"/>
    </row>
    <row r="45795" spans="1:4" ht="15.75" customHeight="1">
      <c r="A45795" s="8"/>
      <c r="B45795" s="12"/>
      <c r="C45795" s="8"/>
      <c r="D45795" s="8"/>
    </row>
    <row r="45796" spans="1:4" ht="15.75" customHeight="1">
      <c r="A45796" s="8"/>
      <c r="B45796" s="12"/>
      <c r="C45796" s="8"/>
      <c r="D45796" s="8"/>
    </row>
    <row r="45797" spans="1:4" ht="15.75" customHeight="1">
      <c r="A45797" s="8"/>
      <c r="B45797" s="12"/>
      <c r="C45797" s="8"/>
      <c r="D45797" s="8"/>
    </row>
    <row r="45798" spans="1:4" ht="15.75" customHeight="1">
      <c r="A45798" s="8"/>
      <c r="B45798" s="12"/>
      <c r="C45798" s="8"/>
      <c r="D45798" s="8"/>
    </row>
    <row r="45799" spans="1:4" ht="15.75" customHeight="1">
      <c r="A45799" s="8"/>
      <c r="B45799" s="12"/>
      <c r="C45799" s="8"/>
      <c r="D45799" s="8"/>
    </row>
    <row r="45800" spans="1:4" ht="15.75" customHeight="1">
      <c r="A45800" s="8"/>
      <c r="B45800" s="12"/>
      <c r="C45800" s="8"/>
      <c r="D45800" s="8"/>
    </row>
    <row r="45801" spans="1:4" ht="15.75" customHeight="1">
      <c r="A45801" s="8"/>
      <c r="B45801" s="12"/>
      <c r="C45801" s="8"/>
      <c r="D45801" s="8"/>
    </row>
    <row r="45802" spans="1:4" ht="15.75" customHeight="1">
      <c r="A45802" s="8"/>
      <c r="B45802" s="12"/>
      <c r="C45802" s="8"/>
      <c r="D45802" s="8"/>
    </row>
    <row r="45803" spans="1:4" ht="15.75" customHeight="1">
      <c r="A45803" s="8"/>
      <c r="B45803" s="12"/>
      <c r="C45803" s="8"/>
      <c r="D45803" s="8"/>
    </row>
    <row r="45804" spans="1:4" ht="15.75" customHeight="1">
      <c r="A45804" s="8"/>
      <c r="B45804" s="12"/>
      <c r="C45804" s="8"/>
      <c r="D45804" s="8"/>
    </row>
    <row r="45805" spans="1:4" ht="15.75" customHeight="1">
      <c r="A45805" s="8"/>
      <c r="B45805" s="12"/>
      <c r="C45805" s="8"/>
      <c r="D45805" s="8"/>
    </row>
    <row r="45806" spans="1:4" ht="15.75" customHeight="1">
      <c r="A45806" s="8"/>
      <c r="B45806" s="12"/>
      <c r="C45806" s="8"/>
      <c r="D45806" s="8"/>
    </row>
    <row r="45807" spans="1:4" ht="15.75" customHeight="1">
      <c r="A45807" s="8"/>
      <c r="B45807" s="12"/>
      <c r="C45807" s="8"/>
      <c r="D45807" s="8"/>
    </row>
    <row r="45808" spans="1:4" ht="15.75" customHeight="1">
      <c r="A45808" s="8"/>
      <c r="B45808" s="12"/>
      <c r="C45808" s="8"/>
      <c r="D45808" s="8"/>
    </row>
    <row r="45809" spans="1:4" ht="15.75" customHeight="1">
      <c r="A45809" s="8"/>
      <c r="B45809" s="12"/>
      <c r="C45809" s="8"/>
      <c r="D45809" s="8"/>
    </row>
    <row r="45810" spans="1:4" ht="15.75" customHeight="1">
      <c r="A45810" s="8"/>
      <c r="B45810" s="12"/>
      <c r="C45810" s="8"/>
      <c r="D45810" s="8"/>
    </row>
    <row r="45811" spans="1:4" ht="15.75" customHeight="1">
      <c r="A45811" s="8"/>
      <c r="B45811" s="12"/>
      <c r="C45811" s="8"/>
      <c r="D45811" s="8"/>
    </row>
    <row r="45812" spans="1:4" ht="15.75" customHeight="1">
      <c r="A45812" s="8"/>
      <c r="B45812" s="12"/>
      <c r="C45812" s="8"/>
      <c r="D45812" s="8"/>
    </row>
    <row r="45813" spans="1:4" ht="15.75" customHeight="1">
      <c r="A45813" s="8"/>
      <c r="B45813" s="12"/>
      <c r="C45813" s="8"/>
      <c r="D45813" s="8"/>
    </row>
    <row r="45814" spans="1:4" ht="15.75" customHeight="1">
      <c r="A45814" s="8"/>
      <c r="B45814" s="12"/>
      <c r="C45814" s="8"/>
      <c r="D45814" s="8"/>
    </row>
    <row r="45815" spans="1:4" ht="15.75" customHeight="1">
      <c r="A45815" s="8"/>
      <c r="B45815" s="12"/>
      <c r="C45815" s="8"/>
      <c r="D45815" s="8"/>
    </row>
    <row r="45816" spans="1:4" ht="15.75" customHeight="1">
      <c r="A45816" s="8"/>
      <c r="B45816" s="12"/>
      <c r="C45816" s="8"/>
      <c r="D45816" s="8"/>
    </row>
    <row r="45817" spans="1:4" ht="15.75" customHeight="1">
      <c r="A45817" s="8"/>
      <c r="B45817" s="12"/>
      <c r="C45817" s="8"/>
      <c r="D45817" s="8"/>
    </row>
    <row r="45818" spans="1:4" ht="15.75" customHeight="1">
      <c r="A45818" s="8"/>
      <c r="B45818" s="12"/>
      <c r="C45818" s="8"/>
      <c r="D45818" s="8"/>
    </row>
    <row r="45819" spans="1:4" ht="15.75" customHeight="1">
      <c r="A45819" s="8"/>
      <c r="B45819" s="12"/>
      <c r="C45819" s="8"/>
      <c r="D45819" s="8"/>
    </row>
    <row r="45820" spans="1:4" ht="15.75" customHeight="1">
      <c r="A45820" s="8"/>
      <c r="B45820" s="12"/>
      <c r="C45820" s="8"/>
      <c r="D45820" s="8"/>
    </row>
    <row r="45821" spans="1:4" ht="15.75" customHeight="1">
      <c r="A45821" s="8"/>
      <c r="B45821" s="12"/>
      <c r="C45821" s="8"/>
      <c r="D45821" s="8"/>
    </row>
    <row r="45822" spans="1:4" ht="15.75" customHeight="1">
      <c r="A45822" s="8"/>
      <c r="B45822" s="12"/>
      <c r="C45822" s="8"/>
      <c r="D45822" s="8"/>
    </row>
    <row r="45823" spans="1:4" ht="15.75" customHeight="1">
      <c r="A45823" s="8"/>
      <c r="B45823" s="12"/>
      <c r="C45823" s="8"/>
      <c r="D45823" s="8"/>
    </row>
    <row r="45824" spans="1:4" ht="15.75" customHeight="1">
      <c r="A45824" s="8"/>
      <c r="B45824" s="12"/>
      <c r="C45824" s="8"/>
      <c r="D45824" s="8"/>
    </row>
    <row r="45825" spans="1:4" ht="15.75" customHeight="1">
      <c r="A45825" s="8"/>
      <c r="B45825" s="12"/>
      <c r="C45825" s="8"/>
      <c r="D45825" s="8"/>
    </row>
    <row r="45826" spans="1:4" ht="15.75" customHeight="1">
      <c r="A45826" s="8"/>
      <c r="B45826" s="12"/>
      <c r="C45826" s="8"/>
      <c r="D45826" s="8"/>
    </row>
    <row r="45827" spans="1:4" ht="15.75" customHeight="1">
      <c r="A45827" s="8"/>
      <c r="B45827" s="12"/>
      <c r="C45827" s="8"/>
      <c r="D45827" s="8"/>
    </row>
    <row r="45828" spans="1:4" ht="15.75" customHeight="1">
      <c r="A45828" s="8"/>
      <c r="B45828" s="12"/>
      <c r="C45828" s="8"/>
      <c r="D45828" s="8"/>
    </row>
    <row r="45829" spans="1:4" ht="15.75" customHeight="1">
      <c r="A45829" s="8"/>
      <c r="B45829" s="12"/>
      <c r="C45829" s="8"/>
      <c r="D45829" s="8"/>
    </row>
    <row r="45830" spans="1:4" ht="15.75" customHeight="1">
      <c r="A45830" s="8"/>
      <c r="B45830" s="12"/>
      <c r="C45830" s="8"/>
      <c r="D45830" s="8"/>
    </row>
    <row r="45831" spans="1:4" ht="15.75" customHeight="1">
      <c r="A45831" s="8"/>
      <c r="B45831" s="12"/>
      <c r="C45831" s="8"/>
      <c r="D45831" s="8"/>
    </row>
    <row r="45832" spans="1:4" ht="15.75" customHeight="1">
      <c r="A45832" s="8"/>
      <c r="B45832" s="12"/>
      <c r="C45832" s="8"/>
      <c r="D45832" s="8"/>
    </row>
    <row r="45833" spans="1:4" ht="15.75" customHeight="1">
      <c r="A45833" s="8"/>
      <c r="B45833" s="12"/>
      <c r="C45833" s="8"/>
      <c r="D45833" s="8"/>
    </row>
    <row r="45834" spans="1:4" ht="15.75" customHeight="1">
      <c r="A45834" s="8"/>
      <c r="B45834" s="12"/>
      <c r="C45834" s="8"/>
      <c r="D45834" s="8"/>
    </row>
    <row r="45835" spans="1:4" ht="15.75" customHeight="1">
      <c r="A45835" s="8"/>
      <c r="B45835" s="12"/>
      <c r="C45835" s="8"/>
      <c r="D45835" s="8"/>
    </row>
    <row r="45836" spans="1:4" ht="15.75" customHeight="1">
      <c r="A45836" s="8"/>
      <c r="B45836" s="12"/>
      <c r="C45836" s="8"/>
      <c r="D45836" s="8"/>
    </row>
    <row r="45837" spans="1:4" ht="15.75" customHeight="1">
      <c r="A45837" s="8"/>
      <c r="B45837" s="12"/>
      <c r="C45837" s="8"/>
      <c r="D45837" s="8"/>
    </row>
    <row r="45838" spans="1:4" ht="15.75" customHeight="1">
      <c r="A45838" s="8"/>
      <c r="B45838" s="12"/>
      <c r="C45838" s="8"/>
      <c r="D45838" s="8"/>
    </row>
    <row r="45839" spans="1:4" ht="15.75" customHeight="1">
      <c r="A45839" s="8"/>
      <c r="B45839" s="12"/>
      <c r="C45839" s="8"/>
      <c r="D45839" s="8"/>
    </row>
    <row r="45840" spans="1:4" ht="15.75" customHeight="1">
      <c r="A45840" s="8"/>
      <c r="B45840" s="12"/>
      <c r="C45840" s="8"/>
      <c r="D45840" s="8"/>
    </row>
    <row r="45841" spans="1:4" ht="15.75" customHeight="1">
      <c r="A45841" s="8"/>
      <c r="B45841" s="12"/>
      <c r="C45841" s="8"/>
      <c r="D45841" s="8"/>
    </row>
    <row r="45842" spans="1:4" ht="15.75" customHeight="1">
      <c r="A45842" s="8"/>
      <c r="B45842" s="12"/>
      <c r="C45842" s="8"/>
      <c r="D45842" s="8"/>
    </row>
    <row r="45843" spans="1:4" ht="15.75" customHeight="1">
      <c r="A45843" s="8"/>
      <c r="B45843" s="12"/>
      <c r="C45843" s="8"/>
      <c r="D45843" s="8"/>
    </row>
    <row r="45844" spans="1:4" ht="15.75" customHeight="1">
      <c r="A45844" s="8"/>
      <c r="B45844" s="12"/>
      <c r="C45844" s="8"/>
      <c r="D45844" s="8"/>
    </row>
    <row r="45845" spans="1:4" ht="15.75" customHeight="1">
      <c r="A45845" s="8"/>
      <c r="B45845" s="12"/>
      <c r="C45845" s="8"/>
      <c r="D45845" s="8"/>
    </row>
    <row r="45846" spans="1:4" ht="15.75" customHeight="1">
      <c r="A45846" s="8"/>
      <c r="B45846" s="12"/>
      <c r="C45846" s="8"/>
      <c r="D45846" s="8"/>
    </row>
    <row r="45847" spans="1:4" ht="15.75" customHeight="1">
      <c r="A45847" s="8"/>
      <c r="B45847" s="12"/>
      <c r="C45847" s="8"/>
      <c r="D45847" s="8"/>
    </row>
    <row r="45848" spans="1:4" ht="15.75" customHeight="1">
      <c r="A45848" s="8"/>
      <c r="B45848" s="12"/>
      <c r="C45848" s="8"/>
      <c r="D45848" s="8"/>
    </row>
    <row r="45849" spans="1:4" ht="15.75" customHeight="1">
      <c r="A45849" s="8"/>
      <c r="B45849" s="12"/>
      <c r="C45849" s="8"/>
      <c r="D45849" s="8"/>
    </row>
    <row r="45850" spans="1:4" ht="15.75" customHeight="1">
      <c r="A45850" s="8"/>
      <c r="B45850" s="12"/>
      <c r="C45850" s="8"/>
      <c r="D45850" s="8"/>
    </row>
    <row r="45851" spans="1:4" ht="15.75" customHeight="1">
      <c r="A45851" s="8"/>
      <c r="B45851" s="12"/>
      <c r="C45851" s="8"/>
      <c r="D45851" s="8"/>
    </row>
    <row r="45852" spans="1:4" ht="15.75" customHeight="1">
      <c r="A45852" s="8"/>
      <c r="B45852" s="12"/>
      <c r="C45852" s="8"/>
      <c r="D45852" s="8"/>
    </row>
    <row r="45853" spans="1:4" ht="15.75" customHeight="1">
      <c r="A45853" s="8"/>
      <c r="B45853" s="12"/>
      <c r="C45853" s="8"/>
      <c r="D45853" s="8"/>
    </row>
    <row r="45854" spans="1:4" ht="15.75" customHeight="1">
      <c r="A45854" s="8"/>
      <c r="B45854" s="12"/>
      <c r="C45854" s="8"/>
      <c r="D45854" s="8"/>
    </row>
    <row r="45855" spans="1:4" ht="15.75" customHeight="1">
      <c r="A45855" s="8"/>
      <c r="B45855" s="12"/>
      <c r="C45855" s="8"/>
      <c r="D45855" s="8"/>
    </row>
    <row r="45856" spans="1:4" ht="15.75" customHeight="1">
      <c r="A45856" s="8"/>
      <c r="B45856" s="12"/>
      <c r="C45856" s="8"/>
      <c r="D45856" s="8"/>
    </row>
    <row r="45857" spans="1:4" ht="15.75" customHeight="1">
      <c r="A45857" s="8"/>
      <c r="B45857" s="12"/>
      <c r="C45857" s="8"/>
      <c r="D45857" s="8"/>
    </row>
    <row r="45858" spans="1:4" ht="15.75" customHeight="1">
      <c r="A45858" s="8"/>
      <c r="B45858" s="12"/>
      <c r="C45858" s="8"/>
      <c r="D45858" s="8"/>
    </row>
    <row r="45859" spans="1:4" ht="15.75" customHeight="1">
      <c r="A45859" s="8"/>
      <c r="B45859" s="12"/>
      <c r="C45859" s="8"/>
      <c r="D45859" s="8"/>
    </row>
    <row r="45860" spans="1:4" ht="15.75" customHeight="1">
      <c r="A45860" s="8"/>
      <c r="B45860" s="12"/>
      <c r="C45860" s="8"/>
      <c r="D45860" s="8"/>
    </row>
    <row r="45861" spans="1:4" ht="15.75" customHeight="1">
      <c r="A45861" s="8"/>
      <c r="B45861" s="12"/>
      <c r="C45861" s="8"/>
      <c r="D45861" s="8"/>
    </row>
    <row r="45862" spans="1:4" ht="15.75" customHeight="1">
      <c r="A45862" s="8"/>
      <c r="B45862" s="12"/>
      <c r="C45862" s="8"/>
      <c r="D45862" s="8"/>
    </row>
    <row r="45863" spans="1:4" ht="15.75" customHeight="1">
      <c r="A45863" s="8"/>
      <c r="B45863" s="12"/>
      <c r="C45863" s="8"/>
      <c r="D45863" s="8"/>
    </row>
    <row r="45864" spans="1:4" ht="15.75" customHeight="1">
      <c r="A45864" s="8"/>
      <c r="B45864" s="12"/>
      <c r="C45864" s="8"/>
      <c r="D45864" s="8"/>
    </row>
    <row r="45865" spans="1:4" ht="15.75" customHeight="1">
      <c r="A45865" s="8"/>
      <c r="B45865" s="12"/>
      <c r="C45865" s="8"/>
      <c r="D45865" s="8"/>
    </row>
    <row r="45866" spans="1:4" ht="15.75" customHeight="1">
      <c r="A45866" s="8"/>
      <c r="B45866" s="12"/>
      <c r="C45866" s="8"/>
      <c r="D45866" s="8"/>
    </row>
    <row r="45867" spans="1:4" ht="15.75" customHeight="1">
      <c r="A45867" s="8"/>
      <c r="B45867" s="12"/>
      <c r="C45867" s="8"/>
      <c r="D45867" s="8"/>
    </row>
    <row r="45868" spans="1:4" ht="15.75" customHeight="1">
      <c r="A45868" s="8"/>
      <c r="B45868" s="12"/>
      <c r="C45868" s="8"/>
      <c r="D45868" s="8"/>
    </row>
    <row r="45869" spans="1:4" ht="15.75" customHeight="1">
      <c r="A45869" s="8"/>
      <c r="B45869" s="12"/>
      <c r="C45869" s="8"/>
      <c r="D45869" s="8"/>
    </row>
    <row r="45870" spans="1:4" ht="15.75" customHeight="1">
      <c r="A45870" s="8"/>
      <c r="B45870" s="12"/>
      <c r="C45870" s="8"/>
      <c r="D45870" s="8"/>
    </row>
    <row r="45871" spans="1:4" ht="15.75" customHeight="1">
      <c r="A45871" s="8"/>
      <c r="B45871" s="12"/>
      <c r="C45871" s="8"/>
      <c r="D45871" s="8"/>
    </row>
    <row r="45872" spans="1:4" ht="15.75" customHeight="1">
      <c r="A45872" s="8"/>
      <c r="B45872" s="12"/>
      <c r="C45872" s="8"/>
      <c r="D45872" s="8"/>
    </row>
    <row r="45873" spans="1:4" ht="15.75" customHeight="1">
      <c r="A45873" s="8"/>
      <c r="B45873" s="12"/>
      <c r="C45873" s="8"/>
      <c r="D45873" s="8"/>
    </row>
    <row r="45874" spans="1:4" ht="15.75" customHeight="1">
      <c r="A45874" s="8"/>
      <c r="B45874" s="12"/>
      <c r="C45874" s="8"/>
      <c r="D45874" s="8"/>
    </row>
    <row r="45875" spans="1:4" ht="15.75" customHeight="1">
      <c r="A45875" s="8"/>
      <c r="B45875" s="12"/>
      <c r="C45875" s="8"/>
      <c r="D45875" s="8"/>
    </row>
    <row r="45876" spans="1:4" ht="15.75" customHeight="1">
      <c r="A45876" s="8"/>
      <c r="B45876" s="12"/>
      <c r="C45876" s="8"/>
      <c r="D45876" s="8"/>
    </row>
    <row r="45877" spans="1:4" ht="15.75" customHeight="1">
      <c r="A45877" s="8"/>
      <c r="B45877" s="12"/>
      <c r="C45877" s="8"/>
      <c r="D45877" s="8"/>
    </row>
    <row r="45878" spans="1:4" ht="15.75" customHeight="1">
      <c r="A45878" s="8"/>
      <c r="B45878" s="12"/>
      <c r="C45878" s="8"/>
      <c r="D45878" s="8"/>
    </row>
    <row r="45879" spans="1:4" ht="15.75" customHeight="1">
      <c r="A45879" s="8"/>
      <c r="B45879" s="12"/>
      <c r="C45879" s="8"/>
      <c r="D45879" s="8"/>
    </row>
    <row r="45880" spans="1:4" ht="15.75" customHeight="1">
      <c r="A45880" s="8"/>
      <c r="B45880" s="12"/>
      <c r="C45880" s="8"/>
      <c r="D45880" s="8"/>
    </row>
    <row r="45881" spans="1:4" ht="15.75" customHeight="1">
      <c r="A45881" s="8"/>
      <c r="B45881" s="12"/>
      <c r="C45881" s="8"/>
      <c r="D45881" s="8"/>
    </row>
    <row r="45882" spans="1:4" ht="15.75" customHeight="1">
      <c r="A45882" s="8"/>
      <c r="B45882" s="12"/>
      <c r="C45882" s="8"/>
      <c r="D45882" s="8"/>
    </row>
    <row r="45883" spans="1:4" ht="15.75" customHeight="1">
      <c r="A45883" s="8"/>
      <c r="B45883" s="12"/>
      <c r="C45883" s="8"/>
      <c r="D45883" s="8"/>
    </row>
    <row r="45884" spans="1:4" ht="15.75" customHeight="1">
      <c r="A45884" s="8"/>
      <c r="B45884" s="12"/>
      <c r="C45884" s="8"/>
      <c r="D45884" s="8"/>
    </row>
    <row r="45885" spans="1:4" ht="15.75" customHeight="1">
      <c r="A45885" s="8"/>
      <c r="B45885" s="12"/>
      <c r="C45885" s="8"/>
      <c r="D45885" s="8"/>
    </row>
    <row r="45886" spans="1:4" ht="15.75" customHeight="1">
      <c r="A45886" s="8"/>
      <c r="B45886" s="12"/>
      <c r="C45886" s="8"/>
      <c r="D45886" s="8"/>
    </row>
    <row r="45887" spans="1:4" ht="15.75" customHeight="1">
      <c r="A45887" s="8"/>
      <c r="B45887" s="12"/>
      <c r="C45887" s="8"/>
      <c r="D45887" s="8"/>
    </row>
    <row r="45888" spans="1:4" ht="15.75" customHeight="1">
      <c r="A45888" s="8"/>
      <c r="B45888" s="12"/>
      <c r="C45888" s="8"/>
      <c r="D45888" s="8"/>
    </row>
    <row r="45889" spans="1:4" ht="15.75" customHeight="1">
      <c r="A45889" s="8"/>
      <c r="B45889" s="12"/>
      <c r="C45889" s="8"/>
      <c r="D45889" s="8"/>
    </row>
    <row r="45890" spans="1:4" ht="15.75" customHeight="1">
      <c r="A45890" s="8"/>
      <c r="B45890" s="12"/>
      <c r="C45890" s="8"/>
      <c r="D45890" s="8"/>
    </row>
    <row r="45891" spans="1:4" ht="15.75" customHeight="1">
      <c r="A45891" s="8"/>
      <c r="B45891" s="12"/>
      <c r="C45891" s="8"/>
      <c r="D45891" s="8"/>
    </row>
    <row r="45892" spans="1:4" ht="15.75" customHeight="1">
      <c r="A45892" s="8"/>
      <c r="B45892" s="12"/>
      <c r="C45892" s="8"/>
      <c r="D45892" s="8"/>
    </row>
    <row r="45893" spans="1:4" ht="15.75" customHeight="1">
      <c r="A45893" s="8"/>
      <c r="B45893" s="12"/>
      <c r="C45893" s="8"/>
      <c r="D45893" s="8"/>
    </row>
    <row r="45894" spans="1:4" ht="15.75" customHeight="1">
      <c r="A45894" s="8"/>
      <c r="B45894" s="12"/>
      <c r="C45894" s="8"/>
      <c r="D45894" s="8"/>
    </row>
    <row r="45895" spans="1:4" ht="15.75" customHeight="1">
      <c r="A45895" s="8"/>
      <c r="B45895" s="12"/>
      <c r="C45895" s="8"/>
      <c r="D45895" s="8"/>
    </row>
    <row r="45896" spans="1:4" ht="15.75" customHeight="1">
      <c r="A45896" s="8"/>
      <c r="B45896" s="12"/>
      <c r="C45896" s="8"/>
      <c r="D45896" s="8"/>
    </row>
    <row r="45897" spans="1:4" ht="15.75" customHeight="1">
      <c r="A45897" s="8"/>
      <c r="B45897" s="12"/>
      <c r="C45897" s="8"/>
      <c r="D45897" s="8"/>
    </row>
    <row r="45898" spans="1:4" ht="15.75" customHeight="1">
      <c r="A45898" s="8"/>
      <c r="B45898" s="12"/>
      <c r="C45898" s="8"/>
      <c r="D45898" s="8"/>
    </row>
    <row r="45899" spans="1:4" ht="15.75" customHeight="1">
      <c r="A45899" s="8"/>
      <c r="B45899" s="12"/>
      <c r="C45899" s="8"/>
      <c r="D45899" s="8"/>
    </row>
    <row r="45900" spans="1:4" ht="15.75" customHeight="1">
      <c r="A45900" s="8"/>
      <c r="B45900" s="12"/>
      <c r="C45900" s="8"/>
      <c r="D45900" s="8"/>
    </row>
    <row r="45901" spans="1:4" ht="15.75" customHeight="1">
      <c r="A45901" s="8"/>
      <c r="B45901" s="12"/>
      <c r="C45901" s="8"/>
      <c r="D45901" s="8"/>
    </row>
    <row r="45902" spans="1:4" ht="15.75" customHeight="1">
      <c r="A45902" s="8"/>
      <c r="B45902" s="12"/>
      <c r="C45902" s="8"/>
      <c r="D45902" s="8"/>
    </row>
    <row r="45903" spans="1:4" ht="15.75" customHeight="1">
      <c r="A45903" s="8"/>
      <c r="B45903" s="12"/>
      <c r="C45903" s="8"/>
      <c r="D45903" s="8"/>
    </row>
    <row r="45904" spans="1:4" ht="15.75" customHeight="1">
      <c r="A45904" s="8"/>
      <c r="B45904" s="12"/>
      <c r="C45904" s="8"/>
      <c r="D45904" s="8"/>
    </row>
    <row r="45905" spans="1:4" ht="15.75" customHeight="1">
      <c r="A45905" s="8"/>
      <c r="B45905" s="12"/>
      <c r="C45905" s="8"/>
      <c r="D45905" s="8"/>
    </row>
    <row r="45906" spans="1:4" ht="15.75" customHeight="1">
      <c r="A45906" s="8"/>
      <c r="B45906" s="12"/>
      <c r="C45906" s="8"/>
      <c r="D45906" s="8"/>
    </row>
    <row r="45907" spans="1:4" ht="15.75" customHeight="1">
      <c r="A45907" s="8"/>
      <c r="B45907" s="12"/>
      <c r="C45907" s="8"/>
      <c r="D45907" s="8"/>
    </row>
    <row r="45908" spans="1:4" ht="15.75" customHeight="1">
      <c r="A45908" s="8"/>
      <c r="B45908" s="12"/>
      <c r="C45908" s="8"/>
      <c r="D45908" s="8"/>
    </row>
    <row r="45909" spans="1:4" ht="15.75" customHeight="1">
      <c r="A45909" s="8"/>
      <c r="B45909" s="12"/>
      <c r="C45909" s="8"/>
      <c r="D45909" s="8"/>
    </row>
    <row r="45910" spans="1:4" ht="15.75" customHeight="1">
      <c r="A45910" s="8"/>
      <c r="B45910" s="12"/>
      <c r="C45910" s="8"/>
      <c r="D45910" s="8"/>
    </row>
    <row r="45911" spans="1:4" ht="15.75" customHeight="1">
      <c r="A45911" s="8"/>
      <c r="B45911" s="12"/>
      <c r="C45911" s="8"/>
      <c r="D45911" s="8"/>
    </row>
    <row r="45912" spans="1:4" ht="15.75" customHeight="1">
      <c r="A45912" s="8"/>
      <c r="B45912" s="12"/>
      <c r="C45912" s="8"/>
      <c r="D45912" s="8"/>
    </row>
    <row r="45913" spans="1:4" ht="15.75" customHeight="1">
      <c r="A45913" s="8"/>
      <c r="B45913" s="12"/>
      <c r="C45913" s="8"/>
      <c r="D45913" s="8"/>
    </row>
    <row r="45914" spans="1:4" ht="15.75" customHeight="1">
      <c r="A45914" s="8"/>
      <c r="B45914" s="12"/>
      <c r="C45914" s="8"/>
      <c r="D45914" s="8"/>
    </row>
    <row r="45915" spans="1:4" ht="15.75" customHeight="1">
      <c r="A45915" s="8"/>
      <c r="B45915" s="12"/>
      <c r="C45915" s="8"/>
      <c r="D45915" s="8"/>
    </row>
    <row r="45916" spans="1:4" ht="15.75" customHeight="1">
      <c r="A45916" s="8"/>
      <c r="B45916" s="12"/>
      <c r="C45916" s="8"/>
      <c r="D45916" s="8"/>
    </row>
    <row r="45917" spans="1:4" ht="15.75" customHeight="1">
      <c r="A45917" s="8"/>
      <c r="B45917" s="12"/>
      <c r="C45917" s="8"/>
      <c r="D45917" s="8"/>
    </row>
    <row r="45918" spans="1:4" ht="15.75" customHeight="1">
      <c r="A45918" s="8"/>
      <c r="B45918" s="12"/>
      <c r="C45918" s="8"/>
      <c r="D45918" s="8"/>
    </row>
    <row r="45919" spans="1:4" ht="15.75" customHeight="1">
      <c r="A45919" s="8"/>
      <c r="B45919" s="12"/>
      <c r="C45919" s="8"/>
      <c r="D45919" s="8"/>
    </row>
    <row r="45920" spans="1:4" ht="15.75" customHeight="1">
      <c r="A45920" s="8"/>
      <c r="B45920" s="12"/>
      <c r="C45920" s="8"/>
      <c r="D45920" s="8"/>
    </row>
    <row r="45921" spans="1:4" ht="15.75" customHeight="1">
      <c r="A45921" s="8"/>
      <c r="B45921" s="12"/>
      <c r="C45921" s="8"/>
      <c r="D45921" s="8"/>
    </row>
    <row r="45922" spans="1:4" ht="15.75" customHeight="1">
      <c r="A45922" s="8"/>
      <c r="B45922" s="12"/>
      <c r="C45922" s="8"/>
      <c r="D45922" s="8"/>
    </row>
    <row r="45923" spans="1:4" ht="15.75" customHeight="1">
      <c r="A45923" s="8"/>
      <c r="B45923" s="12"/>
      <c r="C45923" s="8"/>
      <c r="D45923" s="8"/>
    </row>
    <row r="45924" spans="1:4" ht="15.75" customHeight="1">
      <c r="A45924" s="8"/>
      <c r="B45924" s="12"/>
      <c r="C45924" s="8"/>
      <c r="D45924" s="8"/>
    </row>
    <row r="45925" spans="1:4" ht="15.75" customHeight="1">
      <c r="A45925" s="8"/>
      <c r="B45925" s="12"/>
      <c r="C45925" s="8"/>
      <c r="D45925" s="8"/>
    </row>
    <row r="45926" spans="1:4" ht="15.75" customHeight="1">
      <c r="A45926" s="8"/>
      <c r="B45926" s="12"/>
      <c r="C45926" s="8"/>
      <c r="D45926" s="8"/>
    </row>
    <row r="45927" spans="1:4" ht="15.75" customHeight="1">
      <c r="A45927" s="8"/>
      <c r="B45927" s="12"/>
      <c r="C45927" s="8"/>
      <c r="D45927" s="8"/>
    </row>
    <row r="45928" spans="1:4" ht="15.75" customHeight="1">
      <c r="A45928" s="8"/>
      <c r="B45928" s="12"/>
      <c r="C45928" s="8"/>
      <c r="D45928" s="8"/>
    </row>
    <row r="45929" spans="1:4" ht="15.75" customHeight="1">
      <c r="A45929" s="8"/>
      <c r="B45929" s="12"/>
      <c r="C45929" s="8"/>
      <c r="D45929" s="8"/>
    </row>
    <row r="45930" spans="1:4" ht="15.75" customHeight="1">
      <c r="A45930" s="8"/>
      <c r="B45930" s="12"/>
      <c r="C45930" s="8"/>
      <c r="D45930" s="8"/>
    </row>
    <row r="45931" spans="1:4" ht="15.75" customHeight="1">
      <c r="A45931" s="8"/>
      <c r="B45931" s="12"/>
      <c r="C45931" s="8"/>
      <c r="D45931" s="8"/>
    </row>
    <row r="45932" spans="1:4" ht="15.75" customHeight="1">
      <c r="A45932" s="8"/>
      <c r="B45932" s="12"/>
      <c r="C45932" s="8"/>
      <c r="D45932" s="8"/>
    </row>
    <row r="45933" spans="1:4" ht="15.75" customHeight="1">
      <c r="A45933" s="8"/>
      <c r="B45933" s="12"/>
      <c r="C45933" s="8"/>
      <c r="D45933" s="8"/>
    </row>
    <row r="45934" spans="1:4" ht="15.75" customHeight="1">
      <c r="A45934" s="8"/>
      <c r="B45934" s="12"/>
      <c r="C45934" s="8"/>
      <c r="D45934" s="8"/>
    </row>
    <row r="45935" spans="1:4" ht="15.75" customHeight="1">
      <c r="A45935" s="8"/>
      <c r="B45935" s="12"/>
      <c r="C45935" s="8"/>
      <c r="D45935" s="8"/>
    </row>
    <row r="45936" spans="1:4" ht="15.75" customHeight="1">
      <c r="A45936" s="8"/>
      <c r="B45936" s="12"/>
      <c r="C45936" s="8"/>
      <c r="D45936" s="8"/>
    </row>
    <row r="45937" spans="1:4" ht="15.75" customHeight="1">
      <c r="A45937" s="8"/>
      <c r="B45937" s="12"/>
      <c r="C45937" s="8"/>
      <c r="D45937" s="8"/>
    </row>
    <row r="45938" spans="1:4" ht="15.75" customHeight="1">
      <c r="A45938" s="8"/>
      <c r="B45938" s="12"/>
      <c r="C45938" s="8"/>
      <c r="D45938" s="8"/>
    </row>
    <row r="45939" spans="1:4" ht="15.75" customHeight="1">
      <c r="A45939" s="8"/>
      <c r="B45939" s="12"/>
      <c r="C45939" s="8"/>
      <c r="D45939" s="8"/>
    </row>
    <row r="45940" spans="1:4" ht="15.75" customHeight="1">
      <c r="A45940" s="8"/>
      <c r="B45940" s="12"/>
      <c r="C45940" s="8"/>
      <c r="D45940" s="8"/>
    </row>
    <row r="45941" spans="1:4" ht="15.75" customHeight="1">
      <c r="A45941" s="8"/>
      <c r="B45941" s="12"/>
      <c r="C45941" s="8"/>
      <c r="D45941" s="8"/>
    </row>
    <row r="45942" spans="1:4" ht="15.75" customHeight="1">
      <c r="A45942" s="8"/>
      <c r="B45942" s="12"/>
      <c r="C45942" s="8"/>
      <c r="D45942" s="8"/>
    </row>
    <row r="45943" spans="1:4" ht="15.75" customHeight="1">
      <c r="A45943" s="8"/>
      <c r="B45943" s="12"/>
      <c r="C45943" s="8"/>
      <c r="D45943" s="8"/>
    </row>
    <row r="45944" spans="1:4" ht="15.75" customHeight="1">
      <c r="A45944" s="8"/>
      <c r="B45944" s="12"/>
      <c r="C45944" s="8"/>
      <c r="D45944" s="8"/>
    </row>
    <row r="45945" spans="1:4" ht="15.75" customHeight="1">
      <c r="A45945" s="8"/>
      <c r="B45945" s="12"/>
      <c r="C45945" s="8"/>
      <c r="D45945" s="8"/>
    </row>
    <row r="45946" spans="1:4" ht="15.75" customHeight="1">
      <c r="A45946" s="8"/>
      <c r="B45946" s="12"/>
      <c r="C45946" s="8"/>
      <c r="D45946" s="8"/>
    </row>
    <row r="45947" spans="1:4" ht="15.75" customHeight="1">
      <c r="A45947" s="8"/>
      <c r="B45947" s="12"/>
      <c r="C45947" s="8"/>
      <c r="D45947" s="8"/>
    </row>
    <row r="45948" spans="1:4" ht="15.75" customHeight="1">
      <c r="A45948" s="8"/>
      <c r="B45948" s="12"/>
      <c r="C45948" s="8"/>
      <c r="D45948" s="8"/>
    </row>
    <row r="45949" spans="1:4" ht="15.75" customHeight="1">
      <c r="A45949" s="8"/>
      <c r="B45949" s="12"/>
      <c r="C45949" s="8"/>
      <c r="D45949" s="8"/>
    </row>
    <row r="45950" spans="1:4" ht="15.75" customHeight="1">
      <c r="A45950" s="8"/>
      <c r="B45950" s="12"/>
      <c r="C45950" s="8"/>
      <c r="D45950" s="8"/>
    </row>
    <row r="45951" spans="1:4" ht="15.75" customHeight="1">
      <c r="A45951" s="8"/>
      <c r="B45951" s="12"/>
      <c r="C45951" s="8"/>
      <c r="D45951" s="8"/>
    </row>
    <row r="45952" spans="1:4" ht="15.75" customHeight="1">
      <c r="A45952" s="8"/>
      <c r="B45952" s="12"/>
      <c r="C45952" s="8"/>
      <c r="D45952" s="8"/>
    </row>
    <row r="45953" spans="1:4" ht="15.75" customHeight="1">
      <c r="A45953" s="8"/>
      <c r="B45953" s="12"/>
      <c r="C45953" s="8"/>
      <c r="D45953" s="8"/>
    </row>
    <row r="45954" spans="1:4" ht="15.75" customHeight="1">
      <c r="A45954" s="8"/>
      <c r="B45954" s="12"/>
      <c r="C45954" s="8"/>
      <c r="D45954" s="8"/>
    </row>
    <row r="45955" spans="1:4" ht="15.75" customHeight="1">
      <c r="A45955" s="8"/>
      <c r="B45955" s="12"/>
      <c r="C45955" s="8"/>
      <c r="D45955" s="8"/>
    </row>
    <row r="45956" spans="1:4" ht="15.75" customHeight="1">
      <c r="A45956" s="8"/>
      <c r="B45956" s="12"/>
      <c r="C45956" s="8"/>
      <c r="D45956" s="8"/>
    </row>
    <row r="45957" spans="1:4" ht="15.75" customHeight="1">
      <c r="A45957" s="8"/>
      <c r="B45957" s="12"/>
      <c r="C45957" s="8"/>
      <c r="D45957" s="8"/>
    </row>
    <row r="45958" spans="1:4" ht="15.75" customHeight="1">
      <c r="A45958" s="8"/>
      <c r="B45958" s="12"/>
      <c r="C45958" s="8"/>
      <c r="D45958" s="8"/>
    </row>
    <row r="45959" spans="1:4" ht="15.75" customHeight="1">
      <c r="A45959" s="8"/>
      <c r="B45959" s="12"/>
      <c r="C45959" s="8"/>
      <c r="D45959" s="8"/>
    </row>
    <row r="45960" spans="1:4" ht="15.75" customHeight="1">
      <c r="A45960" s="8"/>
      <c r="B45960" s="12"/>
      <c r="C45960" s="8"/>
      <c r="D45960" s="8"/>
    </row>
    <row r="45961" spans="1:4" ht="15.75" customHeight="1">
      <c r="A45961" s="8"/>
      <c r="B45961" s="12"/>
      <c r="C45961" s="8"/>
      <c r="D45961" s="8"/>
    </row>
    <row r="45962" spans="1:4" ht="15.75" customHeight="1">
      <c r="A45962" s="8"/>
      <c r="B45962" s="12"/>
      <c r="C45962" s="8"/>
      <c r="D45962" s="8"/>
    </row>
    <row r="45963" spans="1:4" ht="15.75" customHeight="1">
      <c r="A45963" s="8"/>
      <c r="B45963" s="12"/>
      <c r="C45963" s="8"/>
      <c r="D45963" s="8"/>
    </row>
    <row r="45964" spans="1:4" ht="15.75" customHeight="1">
      <c r="A45964" s="8"/>
      <c r="B45964" s="12"/>
      <c r="C45964" s="8"/>
      <c r="D45964" s="8"/>
    </row>
    <row r="45965" spans="1:4" ht="15.75" customHeight="1">
      <c r="A45965" s="8"/>
      <c r="B45965" s="12"/>
      <c r="C45965" s="8"/>
      <c r="D45965" s="8"/>
    </row>
    <row r="45966" spans="1:4" ht="15.75" customHeight="1">
      <c r="A45966" s="8"/>
      <c r="B45966" s="12"/>
      <c r="C45966" s="8"/>
      <c r="D45966" s="8"/>
    </row>
    <row r="45967" spans="1:4" ht="15.75" customHeight="1">
      <c r="A45967" s="8"/>
      <c r="B45967" s="12"/>
      <c r="C45967" s="8"/>
      <c r="D45967" s="8"/>
    </row>
    <row r="45968" spans="1:4" ht="15.75" customHeight="1">
      <c r="A45968" s="8"/>
      <c r="B45968" s="12"/>
      <c r="C45968" s="8"/>
      <c r="D45968" s="8"/>
    </row>
    <row r="45969" spans="1:4" ht="15.75" customHeight="1">
      <c r="A45969" s="8"/>
      <c r="B45969" s="12"/>
      <c r="C45969" s="8"/>
      <c r="D45969" s="8"/>
    </row>
    <row r="45970" spans="1:4" ht="15.75" customHeight="1">
      <c r="A45970" s="8"/>
      <c r="B45970" s="12"/>
      <c r="C45970" s="8"/>
      <c r="D45970" s="8"/>
    </row>
    <row r="45971" spans="1:4" ht="15.75" customHeight="1">
      <c r="A45971" s="8"/>
      <c r="B45971" s="12"/>
      <c r="C45971" s="8"/>
      <c r="D45971" s="8"/>
    </row>
    <row r="45972" spans="1:4" ht="15.75" customHeight="1">
      <c r="A45972" s="8"/>
      <c r="B45972" s="12"/>
      <c r="C45972" s="8"/>
      <c r="D45972" s="8"/>
    </row>
    <row r="45973" spans="1:4" ht="15.75" customHeight="1">
      <c r="A45973" s="8"/>
      <c r="B45973" s="12"/>
      <c r="C45973" s="8"/>
      <c r="D45973" s="8"/>
    </row>
    <row r="45974" spans="1:4" ht="15.75" customHeight="1">
      <c r="A45974" s="8"/>
      <c r="B45974" s="12"/>
      <c r="C45974" s="8"/>
      <c r="D45974" s="8"/>
    </row>
    <row r="45975" spans="1:4" ht="15.75" customHeight="1">
      <c r="A45975" s="8"/>
      <c r="B45975" s="12"/>
      <c r="C45975" s="8"/>
      <c r="D45975" s="8"/>
    </row>
    <row r="45976" spans="1:4" ht="15.75" customHeight="1">
      <c r="A45976" s="8"/>
      <c r="B45976" s="12"/>
      <c r="C45976" s="8"/>
      <c r="D45976" s="8"/>
    </row>
    <row r="45977" spans="1:4" ht="15.75" customHeight="1">
      <c r="A45977" s="8"/>
      <c r="B45977" s="12"/>
      <c r="C45977" s="8"/>
      <c r="D45977" s="8"/>
    </row>
    <row r="45978" spans="1:4" ht="15.75" customHeight="1">
      <c r="A45978" s="8"/>
      <c r="B45978" s="12"/>
      <c r="C45978" s="8"/>
      <c r="D45978" s="8"/>
    </row>
    <row r="45979" spans="1:4" ht="15.75" customHeight="1">
      <c r="A45979" s="8"/>
      <c r="B45979" s="12"/>
      <c r="C45979" s="8"/>
      <c r="D45979" s="8"/>
    </row>
    <row r="45980" spans="1:4" ht="15.75" customHeight="1">
      <c r="A45980" s="8"/>
      <c r="B45980" s="12"/>
      <c r="C45980" s="8"/>
      <c r="D45980" s="8"/>
    </row>
    <row r="45981" spans="1:4" ht="15.75" customHeight="1">
      <c r="A45981" s="8"/>
      <c r="B45981" s="12"/>
      <c r="C45981" s="8"/>
      <c r="D45981" s="8"/>
    </row>
    <row r="45982" spans="1:4" ht="15.75" customHeight="1">
      <c r="A45982" s="8"/>
      <c r="B45982" s="12"/>
      <c r="C45982" s="8"/>
      <c r="D45982" s="8"/>
    </row>
    <row r="45983" spans="1:4" ht="15.75" customHeight="1">
      <c r="A45983" s="8"/>
      <c r="B45983" s="12"/>
      <c r="C45983" s="8"/>
      <c r="D45983" s="8"/>
    </row>
    <row r="45984" spans="1:4" ht="15.75" customHeight="1">
      <c r="A45984" s="8"/>
      <c r="B45984" s="12"/>
      <c r="C45984" s="8"/>
      <c r="D45984" s="8"/>
    </row>
    <row r="45985" spans="1:4" ht="15.75" customHeight="1">
      <c r="A45985" s="8"/>
      <c r="B45985" s="12"/>
      <c r="C45985" s="8"/>
      <c r="D45985" s="8"/>
    </row>
    <row r="45986" spans="1:4" ht="15.75" customHeight="1">
      <c r="A45986" s="8"/>
      <c r="B45986" s="12"/>
      <c r="C45986" s="8"/>
      <c r="D45986" s="8"/>
    </row>
    <row r="45987" spans="1:4" ht="15.75" customHeight="1">
      <c r="A45987" s="8"/>
      <c r="B45987" s="12"/>
      <c r="C45987" s="8"/>
      <c r="D45987" s="8"/>
    </row>
    <row r="45988" spans="1:4" ht="15.75" customHeight="1">
      <c r="A45988" s="8"/>
      <c r="B45988" s="12"/>
      <c r="C45988" s="8"/>
      <c r="D45988" s="8"/>
    </row>
    <row r="45989" spans="1:4" ht="15.75" customHeight="1">
      <c r="A45989" s="8"/>
      <c r="B45989" s="12"/>
      <c r="C45989" s="8"/>
      <c r="D45989" s="8"/>
    </row>
    <row r="45990" spans="1:4" ht="15.75" customHeight="1">
      <c r="A45990" s="8"/>
      <c r="B45990" s="12"/>
      <c r="C45990" s="8"/>
      <c r="D45990" s="8"/>
    </row>
    <row r="45991" spans="1:4" ht="15.75" customHeight="1">
      <c r="A45991" s="8"/>
      <c r="B45991" s="12"/>
      <c r="C45991" s="8"/>
      <c r="D45991" s="8"/>
    </row>
    <row r="45992" spans="1:4" ht="15.75" customHeight="1">
      <c r="A45992" s="8"/>
      <c r="B45992" s="12"/>
      <c r="C45992" s="8"/>
      <c r="D45992" s="8"/>
    </row>
    <row r="45993" spans="1:4" ht="15.75" customHeight="1">
      <c r="A45993" s="8"/>
      <c r="B45993" s="12"/>
      <c r="C45993" s="8"/>
      <c r="D45993" s="8"/>
    </row>
    <row r="45994" spans="1:4" ht="15.75" customHeight="1">
      <c r="A45994" s="8"/>
      <c r="B45994" s="12"/>
      <c r="C45994" s="8"/>
      <c r="D45994" s="8"/>
    </row>
    <row r="45995" spans="1:4" ht="15.75" customHeight="1">
      <c r="A45995" s="8"/>
      <c r="B45995" s="12"/>
      <c r="C45995" s="8"/>
      <c r="D45995" s="8"/>
    </row>
    <row r="45996" spans="1:4" ht="15.75" customHeight="1">
      <c r="A45996" s="8"/>
      <c r="B45996" s="12"/>
      <c r="C45996" s="8"/>
      <c r="D45996" s="8"/>
    </row>
    <row r="45997" spans="1:4" ht="15.75" customHeight="1">
      <c r="A45997" s="8"/>
      <c r="B45997" s="12"/>
      <c r="C45997" s="8"/>
      <c r="D45997" s="8"/>
    </row>
    <row r="45998" spans="1:4" ht="15.75" customHeight="1">
      <c r="A45998" s="8"/>
      <c r="B45998" s="12"/>
      <c r="C45998" s="8"/>
      <c r="D45998" s="8"/>
    </row>
    <row r="45999" spans="1:4" ht="15.75" customHeight="1">
      <c r="A45999" s="8"/>
      <c r="B45999" s="12"/>
      <c r="C45999" s="8"/>
      <c r="D45999" s="8"/>
    </row>
    <row r="46000" spans="1:4" ht="15.75" customHeight="1">
      <c r="A46000" s="8"/>
      <c r="B46000" s="12"/>
      <c r="C46000" s="8"/>
      <c r="D46000" s="8"/>
    </row>
    <row r="46001" spans="1:4" ht="15.75" customHeight="1">
      <c r="A46001" s="8"/>
      <c r="B46001" s="12"/>
      <c r="C46001" s="8"/>
      <c r="D46001" s="8"/>
    </row>
    <row r="46002" spans="1:4" ht="15.75" customHeight="1">
      <c r="A46002" s="8"/>
      <c r="B46002" s="12"/>
      <c r="C46002" s="8"/>
      <c r="D46002" s="8"/>
    </row>
    <row r="46003" spans="1:4" ht="15.75" customHeight="1">
      <c r="A46003" s="8"/>
      <c r="B46003" s="12"/>
      <c r="C46003" s="8"/>
      <c r="D46003" s="8"/>
    </row>
    <row r="46004" spans="1:4" ht="15.75" customHeight="1">
      <c r="A46004" s="8"/>
      <c r="B46004" s="12"/>
      <c r="C46004" s="8"/>
      <c r="D46004" s="8"/>
    </row>
    <row r="46005" spans="1:4" ht="15.75" customHeight="1">
      <c r="A46005" s="8"/>
      <c r="B46005" s="12"/>
      <c r="C46005" s="8"/>
      <c r="D46005" s="8"/>
    </row>
    <row r="46006" spans="1:4" ht="15.75" customHeight="1">
      <c r="A46006" s="8"/>
      <c r="B46006" s="12"/>
      <c r="C46006" s="8"/>
      <c r="D46006" s="8"/>
    </row>
    <row r="46007" spans="1:4" ht="15.75" customHeight="1">
      <c r="A46007" s="8"/>
      <c r="B46007" s="12"/>
      <c r="C46007" s="8"/>
      <c r="D46007" s="8"/>
    </row>
    <row r="46008" spans="1:4" ht="15.75" customHeight="1">
      <c r="A46008" s="8"/>
      <c r="B46008" s="12"/>
      <c r="C46008" s="8"/>
      <c r="D46008" s="8"/>
    </row>
    <row r="46009" spans="1:4" ht="15.75" customHeight="1">
      <c r="A46009" s="8"/>
      <c r="B46009" s="12"/>
      <c r="C46009" s="8"/>
      <c r="D46009" s="8"/>
    </row>
    <row r="46010" spans="1:4" ht="15.75" customHeight="1">
      <c r="A46010" s="8"/>
      <c r="B46010" s="12"/>
      <c r="C46010" s="8"/>
      <c r="D46010" s="8"/>
    </row>
    <row r="46011" spans="1:4" ht="15.75" customHeight="1">
      <c r="A46011" s="8"/>
      <c r="B46011" s="12"/>
      <c r="C46011" s="8"/>
      <c r="D46011" s="8"/>
    </row>
    <row r="46012" spans="1:4" ht="15.75" customHeight="1">
      <c r="A46012" s="8"/>
      <c r="B46012" s="12"/>
      <c r="C46012" s="8"/>
      <c r="D46012" s="8"/>
    </row>
    <row r="46013" spans="1:4" ht="15.75" customHeight="1">
      <c r="A46013" s="8"/>
      <c r="B46013" s="12"/>
      <c r="C46013" s="8"/>
      <c r="D46013" s="8"/>
    </row>
    <row r="46014" spans="1:4" ht="15.75" customHeight="1">
      <c r="A46014" s="8"/>
      <c r="B46014" s="12"/>
      <c r="C46014" s="8"/>
      <c r="D46014" s="8"/>
    </row>
    <row r="46015" spans="1:4" ht="15.75" customHeight="1">
      <c r="A46015" s="8"/>
      <c r="B46015" s="12"/>
      <c r="C46015" s="8"/>
      <c r="D46015" s="8"/>
    </row>
    <row r="46016" spans="1:4" ht="15.75" customHeight="1">
      <c r="A46016" s="8"/>
      <c r="B46016" s="12"/>
      <c r="C46016" s="8"/>
      <c r="D46016" s="8"/>
    </row>
    <row r="46017" spans="1:4" ht="15.75" customHeight="1">
      <c r="A46017" s="8"/>
      <c r="B46017" s="12"/>
      <c r="C46017" s="8"/>
      <c r="D46017" s="8"/>
    </row>
    <row r="46018" spans="1:4" ht="15.75" customHeight="1">
      <c r="A46018" s="8"/>
      <c r="B46018" s="12"/>
      <c r="C46018" s="8"/>
      <c r="D46018" s="8"/>
    </row>
    <row r="46019" spans="1:4" ht="15.75" customHeight="1">
      <c r="A46019" s="8"/>
      <c r="B46019" s="12"/>
      <c r="C46019" s="8"/>
      <c r="D46019" s="8"/>
    </row>
    <row r="46020" spans="1:4" ht="15.75" customHeight="1">
      <c r="A46020" s="8"/>
      <c r="B46020" s="12"/>
      <c r="C46020" s="8"/>
      <c r="D46020" s="8"/>
    </row>
    <row r="46021" spans="1:4" ht="15.75" customHeight="1">
      <c r="A46021" s="8"/>
      <c r="B46021" s="12"/>
      <c r="C46021" s="8"/>
      <c r="D46021" s="8"/>
    </row>
    <row r="46022" spans="1:4" ht="15.75" customHeight="1">
      <c r="A46022" s="8"/>
      <c r="B46022" s="12"/>
      <c r="C46022" s="8"/>
      <c r="D46022" s="8"/>
    </row>
    <row r="46023" spans="1:4" ht="15.75" customHeight="1">
      <c r="A46023" s="8"/>
      <c r="B46023" s="12"/>
      <c r="C46023" s="8"/>
      <c r="D46023" s="8"/>
    </row>
    <row r="46024" spans="1:4" ht="15.75" customHeight="1">
      <c r="A46024" s="8"/>
      <c r="B46024" s="12"/>
      <c r="C46024" s="8"/>
      <c r="D46024" s="8"/>
    </row>
    <row r="46025" spans="1:4" ht="15.75" customHeight="1">
      <c r="A46025" s="8"/>
      <c r="B46025" s="12"/>
      <c r="C46025" s="8"/>
      <c r="D46025" s="8"/>
    </row>
    <row r="46026" spans="1:4" ht="15.75" customHeight="1">
      <c r="A46026" s="8"/>
      <c r="B46026" s="12"/>
      <c r="C46026" s="8"/>
      <c r="D46026" s="8"/>
    </row>
    <row r="46027" spans="1:4" ht="15.75" customHeight="1">
      <c r="A46027" s="8"/>
      <c r="B46027" s="12"/>
      <c r="C46027" s="8"/>
      <c r="D46027" s="8"/>
    </row>
    <row r="46028" spans="1:4" ht="15.75" customHeight="1">
      <c r="A46028" s="8"/>
      <c r="B46028" s="12"/>
      <c r="C46028" s="8"/>
      <c r="D46028" s="8"/>
    </row>
    <row r="46029" spans="1:4" ht="15.75" customHeight="1">
      <c r="A46029" s="8"/>
      <c r="B46029" s="12"/>
      <c r="C46029" s="8"/>
      <c r="D46029" s="8"/>
    </row>
    <row r="46030" spans="1:4" ht="15.75" customHeight="1">
      <c r="A46030" s="8"/>
      <c r="B46030" s="12"/>
      <c r="C46030" s="8"/>
      <c r="D46030" s="8"/>
    </row>
    <row r="46031" spans="1:4" ht="15.75" customHeight="1">
      <c r="A46031" s="8"/>
      <c r="B46031" s="12"/>
      <c r="C46031" s="8"/>
      <c r="D46031" s="8"/>
    </row>
    <row r="46032" spans="1:4" ht="15.75" customHeight="1">
      <c r="A46032" s="8"/>
      <c r="B46032" s="12"/>
      <c r="C46032" s="8"/>
      <c r="D46032" s="8"/>
    </row>
    <row r="46033" spans="1:4" ht="15.75" customHeight="1">
      <c r="A46033" s="8"/>
      <c r="B46033" s="12"/>
      <c r="C46033" s="8"/>
      <c r="D46033" s="8"/>
    </row>
    <row r="46034" spans="1:4" ht="15.75" customHeight="1">
      <c r="A46034" s="8"/>
      <c r="B46034" s="12"/>
      <c r="C46034" s="8"/>
      <c r="D46034" s="8"/>
    </row>
    <row r="46035" spans="1:4" ht="15.75" customHeight="1">
      <c r="A46035" s="8"/>
      <c r="B46035" s="12"/>
      <c r="C46035" s="8"/>
      <c r="D46035" s="8"/>
    </row>
    <row r="46036" spans="1:4" ht="15.75" customHeight="1">
      <c r="A46036" s="8"/>
      <c r="B46036" s="12"/>
      <c r="C46036" s="8"/>
      <c r="D46036" s="8"/>
    </row>
    <row r="46037" spans="1:4" ht="15.75" customHeight="1">
      <c r="A46037" s="8"/>
      <c r="B46037" s="12"/>
      <c r="C46037" s="8"/>
      <c r="D46037" s="8"/>
    </row>
    <row r="46038" spans="1:4" ht="15.75" customHeight="1">
      <c r="A46038" s="8"/>
      <c r="B46038" s="12"/>
      <c r="C46038" s="8"/>
      <c r="D46038" s="8"/>
    </row>
    <row r="46039" spans="1:4" ht="15.75" customHeight="1">
      <c r="A46039" s="8"/>
      <c r="B46039" s="12"/>
      <c r="C46039" s="8"/>
      <c r="D46039" s="8"/>
    </row>
    <row r="46040" spans="1:4" ht="15.75" customHeight="1">
      <c r="A46040" s="8"/>
      <c r="B46040" s="12"/>
      <c r="C46040" s="8"/>
      <c r="D46040" s="8"/>
    </row>
    <row r="46041" spans="1:4" ht="15.75" customHeight="1">
      <c r="A46041" s="8"/>
      <c r="B46041" s="12"/>
      <c r="C46041" s="8"/>
      <c r="D46041" s="8"/>
    </row>
    <row r="46042" spans="1:4" ht="15.75" customHeight="1">
      <c r="A46042" s="8"/>
      <c r="B46042" s="12"/>
      <c r="C46042" s="8"/>
      <c r="D46042" s="8"/>
    </row>
    <row r="46043" spans="1:4" ht="15.75" customHeight="1">
      <c r="A46043" s="8"/>
      <c r="B46043" s="12"/>
      <c r="C46043" s="8"/>
      <c r="D46043" s="8"/>
    </row>
    <row r="46044" spans="1:4" ht="15.75" customHeight="1">
      <c r="A46044" s="8"/>
      <c r="B46044" s="12"/>
      <c r="C46044" s="8"/>
      <c r="D46044" s="8"/>
    </row>
    <row r="46045" spans="1:4" ht="15.75" customHeight="1">
      <c r="A46045" s="8"/>
      <c r="B46045" s="12"/>
      <c r="C46045" s="8"/>
      <c r="D46045" s="8"/>
    </row>
    <row r="46046" spans="1:4" ht="15.75" customHeight="1">
      <c r="A46046" s="8"/>
      <c r="B46046" s="12"/>
      <c r="C46046" s="8"/>
      <c r="D46046" s="8"/>
    </row>
    <row r="46047" spans="1:4" ht="15.75" customHeight="1">
      <c r="A46047" s="8"/>
      <c r="B46047" s="12"/>
      <c r="C46047" s="8"/>
      <c r="D46047" s="8"/>
    </row>
    <row r="46048" spans="1:4" ht="15.75" customHeight="1">
      <c r="A46048" s="8"/>
      <c r="B46048" s="12"/>
      <c r="C46048" s="8"/>
      <c r="D46048" s="8"/>
    </row>
    <row r="46049" spans="1:4" ht="15.75" customHeight="1">
      <c r="A46049" s="8"/>
      <c r="B46049" s="12"/>
      <c r="C46049" s="8"/>
      <c r="D46049" s="8"/>
    </row>
    <row r="46050" spans="1:4" ht="15.75" customHeight="1">
      <c r="A46050" s="8"/>
      <c r="B46050" s="12"/>
      <c r="C46050" s="8"/>
      <c r="D46050" s="8"/>
    </row>
    <row r="46051" spans="1:4" ht="15.75" customHeight="1">
      <c r="A46051" s="8"/>
      <c r="B46051" s="12"/>
      <c r="C46051" s="8"/>
      <c r="D46051" s="8"/>
    </row>
    <row r="46052" spans="1:4" ht="15.75" customHeight="1">
      <c r="A46052" s="8"/>
      <c r="B46052" s="12"/>
      <c r="C46052" s="8"/>
      <c r="D46052" s="8"/>
    </row>
    <row r="46053" spans="1:4" ht="15.75" customHeight="1">
      <c r="A46053" s="8"/>
      <c r="B46053" s="12"/>
      <c r="C46053" s="8"/>
      <c r="D46053" s="8"/>
    </row>
    <row r="46054" spans="1:4" ht="15.75" customHeight="1">
      <c r="A46054" s="8"/>
      <c r="B46054" s="12"/>
      <c r="C46054" s="8"/>
      <c r="D46054" s="8"/>
    </row>
    <row r="46055" spans="1:4" ht="15.75" customHeight="1">
      <c r="A46055" s="8"/>
      <c r="B46055" s="12"/>
      <c r="C46055" s="8"/>
      <c r="D46055" s="8"/>
    </row>
    <row r="46056" spans="1:4" ht="15.75" customHeight="1">
      <c r="A46056" s="8"/>
      <c r="B46056" s="12"/>
      <c r="C46056" s="8"/>
      <c r="D46056" s="8"/>
    </row>
    <row r="46057" spans="1:4" ht="15.75" customHeight="1">
      <c r="A46057" s="8"/>
      <c r="B46057" s="12"/>
      <c r="C46057" s="8"/>
      <c r="D46057" s="8"/>
    </row>
    <row r="46058" spans="1:4" ht="15.75" customHeight="1">
      <c r="A46058" s="8"/>
      <c r="B46058" s="12"/>
      <c r="C46058" s="8"/>
      <c r="D46058" s="8"/>
    </row>
    <row r="46059" spans="1:4" ht="15.75" customHeight="1">
      <c r="A46059" s="8"/>
      <c r="B46059" s="12"/>
      <c r="C46059" s="8"/>
      <c r="D46059" s="8"/>
    </row>
    <row r="46060" spans="1:4" ht="15.75" customHeight="1">
      <c r="A46060" s="8"/>
      <c r="B46060" s="12"/>
      <c r="C46060" s="8"/>
      <c r="D46060" s="8"/>
    </row>
    <row r="46061" spans="1:4" ht="15.75" customHeight="1">
      <c r="A46061" s="8"/>
      <c r="B46061" s="12"/>
      <c r="C46061" s="8"/>
      <c r="D46061" s="8"/>
    </row>
    <row r="46062" spans="1:4" ht="15.75" customHeight="1">
      <c r="A46062" s="8"/>
      <c r="B46062" s="12"/>
      <c r="C46062" s="8"/>
      <c r="D46062" s="8"/>
    </row>
    <row r="46063" spans="1:4" ht="15.75" customHeight="1">
      <c r="A46063" s="8"/>
      <c r="B46063" s="12"/>
      <c r="C46063" s="8"/>
      <c r="D46063" s="8"/>
    </row>
    <row r="46064" spans="1:4" ht="15.75" customHeight="1">
      <c r="A46064" s="8"/>
      <c r="B46064" s="12"/>
      <c r="C46064" s="8"/>
      <c r="D46064" s="8"/>
    </row>
    <row r="46065" spans="1:4" ht="15.75" customHeight="1">
      <c r="A46065" s="8"/>
      <c r="B46065" s="12"/>
      <c r="C46065" s="8"/>
      <c r="D46065" s="8"/>
    </row>
    <row r="46066" spans="1:4" ht="15.75" customHeight="1">
      <c r="A46066" s="8"/>
      <c r="B46066" s="12"/>
      <c r="C46066" s="8"/>
      <c r="D46066" s="8"/>
    </row>
    <row r="46067" spans="1:4" ht="15.75" customHeight="1">
      <c r="A46067" s="8"/>
      <c r="B46067" s="12"/>
      <c r="C46067" s="8"/>
      <c r="D46067" s="8"/>
    </row>
    <row r="46068" spans="1:4" ht="15.75" customHeight="1">
      <c r="A46068" s="8"/>
      <c r="B46068" s="12"/>
      <c r="C46068" s="8"/>
      <c r="D46068" s="8"/>
    </row>
    <row r="46069" spans="1:4" ht="15.75" customHeight="1">
      <c r="A46069" s="8"/>
      <c r="B46069" s="12"/>
      <c r="C46069" s="8"/>
      <c r="D46069" s="8"/>
    </row>
    <row r="46070" spans="1:4" ht="15.75" customHeight="1">
      <c r="A46070" s="8"/>
      <c r="B46070" s="12"/>
      <c r="C46070" s="8"/>
      <c r="D46070" s="8"/>
    </row>
    <row r="46071" spans="1:4" ht="15.75" customHeight="1">
      <c r="A46071" s="8"/>
      <c r="B46071" s="12"/>
      <c r="C46071" s="8"/>
      <c r="D46071" s="8"/>
    </row>
    <row r="46072" spans="1:4" ht="15.75" customHeight="1">
      <c r="A46072" s="8"/>
      <c r="B46072" s="12"/>
      <c r="C46072" s="8"/>
      <c r="D46072" s="8"/>
    </row>
    <row r="46073" spans="1:4" ht="15.75" customHeight="1">
      <c r="A46073" s="8"/>
      <c r="B46073" s="12"/>
      <c r="C46073" s="8"/>
      <c r="D46073" s="8"/>
    </row>
    <row r="46074" spans="1:4" ht="15.75" customHeight="1">
      <c r="A46074" s="8"/>
      <c r="B46074" s="12"/>
      <c r="C46074" s="8"/>
      <c r="D46074" s="8"/>
    </row>
    <row r="46075" spans="1:4" ht="15.75" customHeight="1">
      <c r="A46075" s="8"/>
      <c r="B46075" s="12"/>
      <c r="C46075" s="8"/>
      <c r="D46075" s="8"/>
    </row>
    <row r="46076" spans="1:4" ht="15.75" customHeight="1">
      <c r="A46076" s="8"/>
      <c r="B46076" s="12"/>
      <c r="C46076" s="8"/>
      <c r="D46076" s="8"/>
    </row>
    <row r="46077" spans="1:4" ht="15.75" customHeight="1">
      <c r="A46077" s="8"/>
      <c r="B46077" s="12"/>
      <c r="C46077" s="8"/>
      <c r="D46077" s="8"/>
    </row>
    <row r="46078" spans="1:4" ht="15.75" customHeight="1">
      <c r="A46078" s="8"/>
      <c r="B46078" s="12"/>
      <c r="C46078" s="8"/>
      <c r="D46078" s="8"/>
    </row>
    <row r="46079" spans="1:4" ht="15.75" customHeight="1">
      <c r="A46079" s="8"/>
      <c r="B46079" s="12"/>
      <c r="C46079" s="8"/>
      <c r="D46079" s="8"/>
    </row>
    <row r="46080" spans="1:4" ht="15.75" customHeight="1">
      <c r="A46080" s="8"/>
      <c r="B46080" s="12"/>
      <c r="C46080" s="8"/>
      <c r="D46080" s="8"/>
    </row>
    <row r="46081" spans="1:4" ht="15.75" customHeight="1">
      <c r="A46081" s="8"/>
      <c r="B46081" s="12"/>
      <c r="C46081" s="8"/>
      <c r="D46081" s="8"/>
    </row>
    <row r="46082" spans="1:4" ht="15.75" customHeight="1">
      <c r="A46082" s="8"/>
      <c r="B46082" s="12"/>
      <c r="C46082" s="8"/>
      <c r="D46082" s="8"/>
    </row>
    <row r="46083" spans="1:4" ht="15.75" customHeight="1">
      <c r="A46083" s="8"/>
      <c r="B46083" s="12"/>
      <c r="C46083" s="8"/>
      <c r="D46083" s="8"/>
    </row>
    <row r="46084" spans="1:4" ht="15.75" customHeight="1">
      <c r="A46084" s="8"/>
      <c r="B46084" s="12"/>
      <c r="C46084" s="8"/>
      <c r="D46084" s="8"/>
    </row>
    <row r="46085" spans="1:4" ht="15.75" customHeight="1">
      <c r="A46085" s="8"/>
      <c r="B46085" s="12"/>
      <c r="C46085" s="8"/>
      <c r="D46085" s="8"/>
    </row>
    <row r="46086" spans="1:4" ht="15.75" customHeight="1">
      <c r="A46086" s="8"/>
      <c r="B46086" s="12"/>
      <c r="C46086" s="8"/>
      <c r="D46086" s="8"/>
    </row>
    <row r="46087" spans="1:4" ht="15.75" customHeight="1">
      <c r="A46087" s="8"/>
      <c r="B46087" s="12"/>
      <c r="C46087" s="8"/>
      <c r="D46087" s="8"/>
    </row>
    <row r="46088" spans="1:4" ht="15.75" customHeight="1">
      <c r="A46088" s="8"/>
      <c r="B46088" s="12"/>
      <c r="C46088" s="8"/>
      <c r="D46088" s="8"/>
    </row>
    <row r="46089" spans="1:4" ht="15.75" customHeight="1">
      <c r="A46089" s="8"/>
      <c r="B46089" s="12"/>
      <c r="C46089" s="8"/>
      <c r="D46089" s="8"/>
    </row>
    <row r="46090" spans="1:4" ht="15.75" customHeight="1">
      <c r="A46090" s="8"/>
      <c r="B46090" s="12"/>
      <c r="C46090" s="8"/>
      <c r="D46090" s="8"/>
    </row>
    <row r="46091" spans="1:4" ht="15.75" customHeight="1">
      <c r="A46091" s="8"/>
      <c r="B46091" s="12"/>
      <c r="C46091" s="8"/>
      <c r="D46091" s="8"/>
    </row>
    <row r="46092" spans="1:4" ht="15.75" customHeight="1">
      <c r="A46092" s="8"/>
      <c r="B46092" s="12"/>
      <c r="C46092" s="8"/>
      <c r="D46092" s="8"/>
    </row>
    <row r="46093" spans="1:4" ht="15.75" customHeight="1">
      <c r="A46093" s="8"/>
      <c r="B46093" s="12"/>
      <c r="C46093" s="8"/>
      <c r="D46093" s="8"/>
    </row>
    <row r="46094" spans="1:4" ht="15.75" customHeight="1">
      <c r="A46094" s="8"/>
      <c r="B46094" s="12"/>
      <c r="C46094" s="8"/>
      <c r="D46094" s="8"/>
    </row>
    <row r="46095" spans="1:4" ht="15.75" customHeight="1">
      <c r="A46095" s="8"/>
      <c r="B46095" s="12"/>
      <c r="C46095" s="8"/>
      <c r="D46095" s="8"/>
    </row>
    <row r="46096" spans="1:4" ht="15.75" customHeight="1">
      <c r="A46096" s="8"/>
      <c r="B46096" s="12"/>
      <c r="C46096" s="8"/>
      <c r="D46096" s="8"/>
    </row>
    <row r="46097" spans="1:4" ht="15.75" customHeight="1">
      <c r="A46097" s="8"/>
      <c r="B46097" s="12"/>
      <c r="C46097" s="8"/>
      <c r="D46097" s="8"/>
    </row>
    <row r="46098" spans="1:4" ht="15.75" customHeight="1">
      <c r="A46098" s="8"/>
      <c r="B46098" s="12"/>
      <c r="C46098" s="8"/>
      <c r="D46098" s="8"/>
    </row>
    <row r="46099" spans="1:4" ht="15.75" customHeight="1">
      <c r="A46099" s="8"/>
      <c r="B46099" s="12"/>
      <c r="C46099" s="8"/>
      <c r="D46099" s="8"/>
    </row>
    <row r="46100" spans="1:4" ht="15.75" customHeight="1">
      <c r="A46100" s="8"/>
      <c r="B46100" s="12"/>
      <c r="C46100" s="8"/>
      <c r="D46100" s="8"/>
    </row>
    <row r="46101" spans="1:4" ht="15.75" customHeight="1">
      <c r="A46101" s="8"/>
      <c r="B46101" s="12"/>
      <c r="C46101" s="8"/>
      <c r="D46101" s="8"/>
    </row>
    <row r="46102" spans="1:4" ht="15.75" customHeight="1">
      <c r="A46102" s="8"/>
      <c r="B46102" s="12"/>
      <c r="C46102" s="8"/>
      <c r="D46102" s="8"/>
    </row>
    <row r="46103" spans="1:4" ht="15.75" customHeight="1">
      <c r="A46103" s="8"/>
      <c r="B46103" s="12"/>
      <c r="C46103" s="8"/>
      <c r="D46103" s="8"/>
    </row>
    <row r="46104" spans="1:4" ht="15.75" customHeight="1">
      <c r="A46104" s="8"/>
      <c r="B46104" s="12"/>
      <c r="C46104" s="8"/>
      <c r="D46104" s="8"/>
    </row>
    <row r="46105" spans="1:4" ht="15.75" customHeight="1">
      <c r="A46105" s="8"/>
      <c r="B46105" s="12"/>
      <c r="C46105" s="8"/>
      <c r="D46105" s="8"/>
    </row>
    <row r="46106" spans="1:4" ht="15.75" customHeight="1">
      <c r="A46106" s="8"/>
      <c r="B46106" s="12"/>
      <c r="C46106" s="8"/>
      <c r="D46106" s="8"/>
    </row>
    <row r="46107" spans="1:4" ht="15.75" customHeight="1">
      <c r="A46107" s="8"/>
      <c r="B46107" s="12"/>
      <c r="C46107" s="8"/>
      <c r="D46107" s="8"/>
    </row>
    <row r="46108" spans="1:4" ht="15.75" customHeight="1">
      <c r="A46108" s="8"/>
      <c r="B46108" s="12"/>
      <c r="C46108" s="8"/>
      <c r="D46108" s="8"/>
    </row>
    <row r="46109" spans="1:4" ht="15.75" customHeight="1">
      <c r="A46109" s="8"/>
      <c r="B46109" s="12"/>
      <c r="C46109" s="8"/>
      <c r="D46109" s="8"/>
    </row>
    <row r="46110" spans="1:4" ht="15.75" customHeight="1">
      <c r="A46110" s="8"/>
      <c r="B46110" s="12"/>
      <c r="C46110" s="8"/>
      <c r="D46110" s="8"/>
    </row>
    <row r="46111" spans="1:4" ht="15.75" customHeight="1">
      <c r="A46111" s="8"/>
      <c r="B46111" s="12"/>
      <c r="C46111" s="8"/>
      <c r="D46111" s="8"/>
    </row>
    <row r="46112" spans="1:4" ht="15.75" customHeight="1">
      <c r="A46112" s="8"/>
      <c r="B46112" s="12"/>
      <c r="C46112" s="8"/>
      <c r="D46112" s="8"/>
    </row>
    <row r="46113" spans="1:4" ht="15.75" customHeight="1">
      <c r="A46113" s="8"/>
      <c r="B46113" s="12"/>
      <c r="C46113" s="8"/>
      <c r="D46113" s="8"/>
    </row>
    <row r="46114" spans="1:4" ht="15.75" customHeight="1">
      <c r="A46114" s="8"/>
      <c r="B46114" s="12"/>
      <c r="C46114" s="8"/>
      <c r="D46114" s="8"/>
    </row>
    <row r="46115" spans="1:4" ht="15.75" customHeight="1">
      <c r="A46115" s="8"/>
      <c r="B46115" s="12"/>
      <c r="C46115" s="8"/>
      <c r="D46115" s="8"/>
    </row>
    <row r="46116" spans="1:4" ht="15.75" customHeight="1">
      <c r="A46116" s="8"/>
      <c r="B46116" s="12"/>
      <c r="C46116" s="8"/>
      <c r="D46116" s="8"/>
    </row>
    <row r="46117" spans="1:4" ht="15.75" customHeight="1">
      <c r="A46117" s="8"/>
      <c r="B46117" s="12"/>
      <c r="C46117" s="8"/>
      <c r="D46117" s="8"/>
    </row>
    <row r="46118" spans="1:4" ht="15.75" customHeight="1">
      <c r="A46118" s="8"/>
      <c r="B46118" s="12"/>
      <c r="C46118" s="8"/>
      <c r="D46118" s="8"/>
    </row>
    <row r="46119" spans="1:4" ht="15.75" customHeight="1">
      <c r="A46119" s="8"/>
      <c r="B46119" s="12"/>
      <c r="C46119" s="8"/>
      <c r="D46119" s="8"/>
    </row>
    <row r="46120" spans="1:4" ht="15.75" customHeight="1">
      <c r="A46120" s="8"/>
      <c r="B46120" s="12"/>
      <c r="C46120" s="8"/>
      <c r="D46120" s="8"/>
    </row>
    <row r="46121" spans="1:4" ht="15.75" customHeight="1">
      <c r="A46121" s="8"/>
      <c r="B46121" s="12"/>
      <c r="C46121" s="8"/>
      <c r="D46121" s="8"/>
    </row>
    <row r="46122" spans="1:4" ht="15.75" customHeight="1">
      <c r="A46122" s="8"/>
      <c r="B46122" s="12"/>
      <c r="C46122" s="8"/>
      <c r="D46122" s="8"/>
    </row>
    <row r="46123" spans="1:4" ht="15.75" customHeight="1">
      <c r="A46123" s="8"/>
      <c r="B46123" s="12"/>
      <c r="C46123" s="8"/>
      <c r="D46123" s="8"/>
    </row>
    <row r="46124" spans="1:4" ht="15.75" customHeight="1">
      <c r="A46124" s="8"/>
      <c r="B46124" s="12"/>
      <c r="C46124" s="8"/>
      <c r="D46124" s="8"/>
    </row>
    <row r="46125" spans="1:4" ht="15.75" customHeight="1">
      <c r="A46125" s="8"/>
      <c r="B46125" s="12"/>
      <c r="C46125" s="8"/>
      <c r="D46125" s="8"/>
    </row>
    <row r="46126" spans="1:4" ht="15.75" customHeight="1">
      <c r="A46126" s="8"/>
      <c r="B46126" s="12"/>
      <c r="C46126" s="8"/>
      <c r="D46126" s="8"/>
    </row>
    <row r="46127" spans="1:4" ht="15.75" customHeight="1">
      <c r="A46127" s="8"/>
      <c r="B46127" s="12"/>
      <c r="C46127" s="8"/>
      <c r="D46127" s="8"/>
    </row>
    <row r="46128" spans="1:4" ht="15.75" customHeight="1">
      <c r="A46128" s="8"/>
      <c r="B46128" s="12"/>
      <c r="C46128" s="8"/>
      <c r="D46128" s="8"/>
    </row>
    <row r="46129" spans="1:4" ht="15.75" customHeight="1">
      <c r="A46129" s="8"/>
      <c r="B46129" s="12"/>
      <c r="C46129" s="8"/>
      <c r="D46129" s="8"/>
    </row>
    <row r="46130" spans="1:4" ht="15.75" customHeight="1">
      <c r="A46130" s="8"/>
      <c r="B46130" s="12"/>
      <c r="C46130" s="8"/>
      <c r="D46130" s="8"/>
    </row>
    <row r="46131" spans="1:4" ht="15.75" customHeight="1">
      <c r="A46131" s="8"/>
      <c r="B46131" s="12"/>
      <c r="C46131" s="8"/>
      <c r="D46131" s="8"/>
    </row>
    <row r="46132" spans="1:4" ht="15.75" customHeight="1">
      <c r="A46132" s="8"/>
      <c r="B46132" s="12"/>
      <c r="C46132" s="8"/>
      <c r="D46132" s="8"/>
    </row>
    <row r="46133" spans="1:4" ht="15.75" customHeight="1">
      <c r="A46133" s="8"/>
      <c r="B46133" s="12"/>
      <c r="C46133" s="8"/>
      <c r="D46133" s="8"/>
    </row>
    <row r="46134" spans="1:4" ht="15.75" customHeight="1">
      <c r="A46134" s="8"/>
      <c r="B46134" s="12"/>
      <c r="C46134" s="8"/>
      <c r="D46134" s="8"/>
    </row>
    <row r="46135" spans="1:4" ht="15.75" customHeight="1">
      <c r="A46135" s="8"/>
      <c r="B46135" s="12"/>
      <c r="C46135" s="8"/>
      <c r="D46135" s="8"/>
    </row>
    <row r="46136" spans="1:4" ht="15.75" customHeight="1">
      <c r="A46136" s="8"/>
      <c r="B46136" s="12"/>
      <c r="C46136" s="8"/>
      <c r="D46136" s="8"/>
    </row>
    <row r="46137" spans="1:4" ht="15.75" customHeight="1">
      <c r="A46137" s="8"/>
      <c r="B46137" s="12"/>
      <c r="C46137" s="8"/>
      <c r="D46137" s="8"/>
    </row>
    <row r="46138" spans="1:4" ht="15.75" customHeight="1">
      <c r="A46138" s="8"/>
      <c r="B46138" s="12"/>
      <c r="C46138" s="8"/>
      <c r="D46138" s="8"/>
    </row>
    <row r="46139" spans="1:4" ht="15.75" customHeight="1">
      <c r="A46139" s="8"/>
      <c r="B46139" s="12"/>
      <c r="C46139" s="8"/>
      <c r="D46139" s="8"/>
    </row>
    <row r="46140" spans="1:4" ht="15.75" customHeight="1">
      <c r="A46140" s="8"/>
      <c r="B46140" s="12"/>
      <c r="C46140" s="8"/>
      <c r="D46140" s="8"/>
    </row>
    <row r="46141" spans="1:4" ht="15.75" customHeight="1">
      <c r="A46141" s="8"/>
      <c r="B46141" s="12"/>
      <c r="C46141" s="8"/>
      <c r="D46141" s="8"/>
    </row>
    <row r="46142" spans="1:4" ht="15.75" customHeight="1">
      <c r="A46142" s="8"/>
      <c r="B46142" s="12"/>
      <c r="C46142" s="8"/>
      <c r="D46142" s="8"/>
    </row>
    <row r="46143" spans="1:4" ht="15.75" customHeight="1">
      <c r="A46143" s="8"/>
      <c r="B46143" s="12"/>
      <c r="C46143" s="8"/>
      <c r="D46143" s="8"/>
    </row>
    <row r="46144" spans="1:4" ht="15.75" customHeight="1">
      <c r="A46144" s="8"/>
      <c r="B46144" s="12"/>
      <c r="C46144" s="8"/>
      <c r="D46144" s="8"/>
    </row>
    <row r="46145" spans="1:4" ht="15.75" customHeight="1">
      <c r="A46145" s="8"/>
      <c r="B46145" s="12"/>
      <c r="C46145" s="8"/>
      <c r="D46145" s="8"/>
    </row>
    <row r="46146" spans="1:4" ht="15.75" customHeight="1">
      <c r="A46146" s="8"/>
      <c r="B46146" s="12"/>
      <c r="C46146" s="8"/>
      <c r="D46146" s="8"/>
    </row>
    <row r="46147" spans="1:4" ht="15.75" customHeight="1">
      <c r="A46147" s="8"/>
      <c r="B46147" s="12"/>
      <c r="C46147" s="8"/>
      <c r="D46147" s="8"/>
    </row>
    <row r="46148" spans="1:4" ht="15.75" customHeight="1">
      <c r="A46148" s="8"/>
      <c r="B46148" s="12"/>
      <c r="C46148" s="8"/>
      <c r="D46148" s="8"/>
    </row>
    <row r="46149" spans="1:4" ht="15.75" customHeight="1">
      <c r="A46149" s="8"/>
      <c r="B46149" s="12"/>
      <c r="C46149" s="8"/>
      <c r="D46149" s="8"/>
    </row>
    <row r="46150" spans="1:4" ht="15.75" customHeight="1">
      <c r="A46150" s="8"/>
      <c r="B46150" s="12"/>
      <c r="C46150" s="8"/>
      <c r="D46150" s="8"/>
    </row>
    <row r="46151" spans="1:4" ht="15.75" customHeight="1">
      <c r="A46151" s="8"/>
      <c r="B46151" s="12"/>
      <c r="C46151" s="8"/>
      <c r="D46151" s="8"/>
    </row>
    <row r="46152" spans="1:4" ht="15.75" customHeight="1">
      <c r="A46152" s="8"/>
      <c r="B46152" s="12"/>
      <c r="C46152" s="8"/>
      <c r="D46152" s="8"/>
    </row>
    <row r="46153" spans="1:4" ht="15.75" customHeight="1">
      <c r="A46153" s="8"/>
      <c r="B46153" s="12"/>
      <c r="C46153" s="8"/>
      <c r="D46153" s="8"/>
    </row>
    <row r="46154" spans="1:4" ht="15.75" customHeight="1">
      <c r="A46154" s="8"/>
      <c r="B46154" s="12"/>
      <c r="C46154" s="8"/>
      <c r="D46154" s="8"/>
    </row>
    <row r="46155" spans="1:4" ht="15.75" customHeight="1">
      <c r="A46155" s="8"/>
      <c r="B46155" s="12"/>
      <c r="C46155" s="8"/>
      <c r="D46155" s="8"/>
    </row>
    <row r="46156" spans="1:4" ht="15.75" customHeight="1">
      <c r="A46156" s="8"/>
      <c r="B46156" s="12"/>
      <c r="C46156" s="8"/>
      <c r="D46156" s="8"/>
    </row>
    <row r="46157" spans="1:4" ht="15.75" customHeight="1">
      <c r="A46157" s="8"/>
      <c r="B46157" s="12"/>
      <c r="C46157" s="8"/>
      <c r="D46157" s="8"/>
    </row>
    <row r="46158" spans="1:4" ht="15.75" customHeight="1">
      <c r="A46158" s="8"/>
      <c r="B46158" s="12"/>
      <c r="C46158" s="8"/>
      <c r="D46158" s="8"/>
    </row>
    <row r="46159" spans="1:4" ht="15.75" customHeight="1">
      <c r="A46159" s="8"/>
      <c r="B46159" s="12"/>
      <c r="C46159" s="8"/>
      <c r="D46159" s="8"/>
    </row>
    <row r="46160" spans="1:4" ht="15.75" customHeight="1">
      <c r="A46160" s="8"/>
      <c r="B46160" s="12"/>
      <c r="C46160" s="8"/>
      <c r="D46160" s="8"/>
    </row>
    <row r="46161" spans="1:4" ht="15.75" customHeight="1">
      <c r="A46161" s="8"/>
      <c r="B46161" s="12"/>
      <c r="C46161" s="8"/>
      <c r="D46161" s="8"/>
    </row>
    <row r="46162" spans="1:4" ht="15.75" customHeight="1">
      <c r="A46162" s="8"/>
      <c r="B46162" s="12"/>
      <c r="C46162" s="8"/>
      <c r="D46162" s="8"/>
    </row>
    <row r="46163" spans="1:4" ht="15.75" customHeight="1">
      <c r="A46163" s="8"/>
      <c r="B46163" s="12"/>
      <c r="C46163" s="8"/>
      <c r="D46163" s="8"/>
    </row>
    <row r="46164" spans="1:4" ht="15.75" customHeight="1">
      <c r="A46164" s="8"/>
      <c r="B46164" s="12"/>
      <c r="C46164" s="8"/>
      <c r="D46164" s="8"/>
    </row>
    <row r="46165" spans="1:4" ht="15.75" customHeight="1">
      <c r="A46165" s="8"/>
      <c r="B46165" s="12"/>
      <c r="C46165" s="8"/>
      <c r="D46165" s="8"/>
    </row>
    <row r="46166" spans="1:4" ht="15.75" customHeight="1">
      <c r="A46166" s="8"/>
      <c r="B46166" s="12"/>
      <c r="C46166" s="8"/>
      <c r="D46166" s="8"/>
    </row>
    <row r="46167" spans="1:4" ht="15.75" customHeight="1">
      <c r="A46167" s="8"/>
      <c r="B46167" s="12"/>
      <c r="C46167" s="8"/>
      <c r="D46167" s="8"/>
    </row>
    <row r="46168" spans="1:4" ht="15.75" customHeight="1">
      <c r="A46168" s="8"/>
      <c r="B46168" s="12"/>
      <c r="C46168" s="8"/>
      <c r="D46168" s="8"/>
    </row>
    <row r="46169" spans="1:4" ht="15.75" customHeight="1">
      <c r="A46169" s="8"/>
      <c r="B46169" s="12"/>
      <c r="C46169" s="8"/>
      <c r="D46169" s="8"/>
    </row>
    <row r="46170" spans="1:4" ht="15.75" customHeight="1">
      <c r="A46170" s="8"/>
      <c r="B46170" s="12"/>
      <c r="C46170" s="8"/>
      <c r="D46170" s="8"/>
    </row>
    <row r="46171" spans="1:4" ht="15.75" customHeight="1">
      <c r="A46171" s="8"/>
      <c r="B46171" s="12"/>
      <c r="C46171" s="8"/>
      <c r="D46171" s="8"/>
    </row>
    <row r="46172" spans="1:4" ht="15.75" customHeight="1">
      <c r="A46172" s="8"/>
      <c r="B46172" s="12"/>
      <c r="C46172" s="8"/>
      <c r="D46172" s="8"/>
    </row>
    <row r="46173" spans="1:4" ht="15.75" customHeight="1">
      <c r="A46173" s="8"/>
      <c r="B46173" s="12"/>
      <c r="C46173" s="8"/>
      <c r="D46173" s="8"/>
    </row>
    <row r="46174" spans="1:4" ht="15.75" customHeight="1">
      <c r="A46174" s="8"/>
      <c r="B46174" s="12"/>
      <c r="C46174" s="8"/>
      <c r="D46174" s="8"/>
    </row>
    <row r="46175" spans="1:4" ht="15.75" customHeight="1">
      <c r="A46175" s="8"/>
      <c r="B46175" s="12"/>
      <c r="C46175" s="8"/>
      <c r="D46175" s="8"/>
    </row>
    <row r="46176" spans="1:4" ht="15.75" customHeight="1">
      <c r="A46176" s="8"/>
      <c r="B46176" s="12"/>
      <c r="C46176" s="8"/>
      <c r="D46176" s="8"/>
    </row>
    <row r="46177" spans="1:4" ht="15.75" customHeight="1">
      <c r="A46177" s="8"/>
      <c r="B46177" s="12"/>
      <c r="C46177" s="8"/>
      <c r="D46177" s="8"/>
    </row>
    <row r="46178" spans="1:4" ht="15.75" customHeight="1">
      <c r="A46178" s="8"/>
      <c r="B46178" s="12"/>
      <c r="C46178" s="8"/>
      <c r="D46178" s="8"/>
    </row>
    <row r="46179" spans="1:4" ht="15.75" customHeight="1">
      <c r="A46179" s="8"/>
      <c r="B46179" s="12"/>
      <c r="C46179" s="8"/>
      <c r="D46179" s="8"/>
    </row>
    <row r="46180" spans="1:4" ht="15.75" customHeight="1">
      <c r="A46180" s="8"/>
      <c r="B46180" s="12"/>
      <c r="C46180" s="8"/>
      <c r="D46180" s="8"/>
    </row>
    <row r="46181" spans="1:4" ht="15.75" customHeight="1">
      <c r="A46181" s="8"/>
      <c r="B46181" s="12"/>
      <c r="C46181" s="8"/>
      <c r="D46181" s="8"/>
    </row>
    <row r="46182" spans="1:4" ht="15.75" customHeight="1">
      <c r="A46182" s="8"/>
      <c r="B46182" s="12"/>
      <c r="C46182" s="8"/>
      <c r="D46182" s="8"/>
    </row>
    <row r="46183" spans="1:4" ht="15.75" customHeight="1">
      <c r="A46183" s="8"/>
      <c r="B46183" s="12"/>
      <c r="C46183" s="8"/>
      <c r="D46183" s="8"/>
    </row>
    <row r="46184" spans="1:4" ht="15.75" customHeight="1">
      <c r="A46184" s="8"/>
      <c r="B46184" s="12"/>
      <c r="C46184" s="8"/>
      <c r="D46184" s="8"/>
    </row>
    <row r="46185" spans="1:4" ht="15.75" customHeight="1">
      <c r="A46185" s="8"/>
      <c r="B46185" s="12"/>
      <c r="C46185" s="8"/>
      <c r="D46185" s="8"/>
    </row>
    <row r="46186" spans="1:4" ht="15.75" customHeight="1">
      <c r="A46186" s="8"/>
      <c r="B46186" s="12"/>
      <c r="C46186" s="8"/>
      <c r="D46186" s="8"/>
    </row>
    <row r="46187" spans="1:4" ht="15.75" customHeight="1">
      <c r="A46187" s="8"/>
      <c r="B46187" s="12"/>
      <c r="C46187" s="8"/>
      <c r="D46187" s="8"/>
    </row>
    <row r="46188" spans="1:4" ht="15.75" customHeight="1">
      <c r="A46188" s="8"/>
      <c r="B46188" s="12"/>
      <c r="C46188" s="8"/>
      <c r="D46188" s="8"/>
    </row>
    <row r="46189" spans="1:4" ht="15.75" customHeight="1">
      <c r="A46189" s="8"/>
      <c r="B46189" s="12"/>
      <c r="C46189" s="8"/>
      <c r="D46189" s="8"/>
    </row>
    <row r="46190" spans="1:4" ht="15.75" customHeight="1">
      <c r="A46190" s="8"/>
      <c r="B46190" s="12"/>
      <c r="C46190" s="8"/>
      <c r="D46190" s="8"/>
    </row>
    <row r="46191" spans="1:4" ht="15.75" customHeight="1">
      <c r="A46191" s="8"/>
      <c r="B46191" s="12"/>
      <c r="C46191" s="8"/>
      <c r="D46191" s="8"/>
    </row>
    <row r="46192" spans="1:4" ht="15.75" customHeight="1">
      <c r="A46192" s="8"/>
      <c r="B46192" s="12"/>
      <c r="C46192" s="8"/>
      <c r="D46192" s="8"/>
    </row>
    <row r="46193" spans="1:4" ht="15.75" customHeight="1">
      <c r="A46193" s="8"/>
      <c r="B46193" s="12"/>
      <c r="C46193" s="8"/>
      <c r="D46193" s="8"/>
    </row>
    <row r="46194" spans="1:4" ht="15.75" customHeight="1">
      <c r="A46194" s="8"/>
      <c r="B46194" s="12"/>
      <c r="C46194" s="8"/>
      <c r="D46194" s="8"/>
    </row>
    <row r="46195" spans="1:4" ht="15.75" customHeight="1">
      <c r="A46195" s="8"/>
      <c r="B46195" s="12"/>
      <c r="C46195" s="8"/>
      <c r="D46195" s="8"/>
    </row>
    <row r="46196" spans="1:4" ht="15.75" customHeight="1">
      <c r="A46196" s="8"/>
      <c r="B46196" s="12"/>
      <c r="C46196" s="8"/>
      <c r="D46196" s="8"/>
    </row>
    <row r="46197" spans="1:4" ht="15.75" customHeight="1">
      <c r="A46197" s="8"/>
      <c r="B46197" s="12"/>
      <c r="C46197" s="8"/>
      <c r="D46197" s="8"/>
    </row>
    <row r="46198" spans="1:4" ht="15.75" customHeight="1">
      <c r="A46198" s="8"/>
      <c r="B46198" s="12"/>
      <c r="C46198" s="8"/>
      <c r="D46198" s="8"/>
    </row>
    <row r="46199" spans="1:4" ht="15.75" customHeight="1">
      <c r="A46199" s="8"/>
      <c r="B46199" s="12"/>
      <c r="C46199" s="8"/>
      <c r="D46199" s="8"/>
    </row>
    <row r="46200" spans="1:4" ht="15.75" customHeight="1">
      <c r="A46200" s="8"/>
      <c r="B46200" s="12"/>
      <c r="C46200" s="8"/>
      <c r="D46200" s="8"/>
    </row>
    <row r="46201" spans="1:4" ht="15.75" customHeight="1">
      <c r="A46201" s="8"/>
      <c r="B46201" s="12"/>
      <c r="C46201" s="8"/>
      <c r="D46201" s="8"/>
    </row>
    <row r="46202" spans="1:4" ht="15.75" customHeight="1">
      <c r="A46202" s="8"/>
      <c r="B46202" s="12"/>
      <c r="C46202" s="8"/>
      <c r="D46202" s="8"/>
    </row>
    <row r="46203" spans="1:4" ht="15.75" customHeight="1">
      <c r="A46203" s="8"/>
      <c r="B46203" s="12"/>
      <c r="C46203" s="8"/>
      <c r="D46203" s="8"/>
    </row>
    <row r="46204" spans="1:4" ht="15.75" customHeight="1">
      <c r="A46204" s="8"/>
      <c r="B46204" s="12"/>
      <c r="C46204" s="8"/>
      <c r="D46204" s="8"/>
    </row>
    <row r="46205" spans="1:4" ht="15.75" customHeight="1">
      <c r="A46205" s="8"/>
      <c r="B46205" s="12"/>
      <c r="C46205" s="8"/>
      <c r="D46205" s="8"/>
    </row>
    <row r="46206" spans="1:4" ht="15.75" customHeight="1">
      <c r="A46206" s="8"/>
      <c r="B46206" s="12"/>
      <c r="C46206" s="8"/>
      <c r="D46206" s="8"/>
    </row>
    <row r="46207" spans="1:4" ht="15.75" customHeight="1">
      <c r="A46207" s="8"/>
      <c r="B46207" s="12"/>
      <c r="C46207" s="8"/>
      <c r="D46207" s="8"/>
    </row>
    <row r="46208" spans="1:4" ht="15.75" customHeight="1">
      <c r="A46208" s="8"/>
      <c r="B46208" s="12"/>
      <c r="C46208" s="8"/>
      <c r="D46208" s="8"/>
    </row>
    <row r="46209" spans="1:4" ht="15.75" customHeight="1">
      <c r="A46209" s="8"/>
      <c r="B46209" s="12"/>
      <c r="C46209" s="8"/>
      <c r="D46209" s="8"/>
    </row>
    <row r="46210" spans="1:4" ht="15.75" customHeight="1">
      <c r="A46210" s="8"/>
      <c r="B46210" s="12"/>
      <c r="C46210" s="8"/>
      <c r="D46210" s="8"/>
    </row>
    <row r="46211" spans="1:4" ht="15.75" customHeight="1">
      <c r="A46211" s="8"/>
      <c r="B46211" s="12"/>
      <c r="C46211" s="8"/>
      <c r="D46211" s="8"/>
    </row>
    <row r="46212" spans="1:4" ht="15.75" customHeight="1">
      <c r="A46212" s="8"/>
      <c r="B46212" s="12"/>
      <c r="C46212" s="8"/>
      <c r="D46212" s="8"/>
    </row>
    <row r="46213" spans="1:4" ht="15.75" customHeight="1">
      <c r="A46213" s="8"/>
      <c r="B46213" s="12"/>
      <c r="C46213" s="8"/>
      <c r="D46213" s="8"/>
    </row>
    <row r="46214" spans="1:4" ht="15.75" customHeight="1">
      <c r="A46214" s="8"/>
      <c r="B46214" s="12"/>
      <c r="C46214" s="8"/>
      <c r="D46214" s="8"/>
    </row>
    <row r="46215" spans="1:4" ht="15.75" customHeight="1">
      <c r="A46215" s="8"/>
      <c r="B46215" s="12"/>
      <c r="C46215" s="8"/>
      <c r="D46215" s="8"/>
    </row>
    <row r="46216" spans="1:4" ht="15.75" customHeight="1">
      <c r="A46216" s="8"/>
      <c r="B46216" s="12"/>
      <c r="C46216" s="8"/>
      <c r="D46216" s="8"/>
    </row>
    <row r="46217" spans="1:4" ht="15.75" customHeight="1">
      <c r="A46217" s="8"/>
      <c r="B46217" s="12"/>
      <c r="C46217" s="8"/>
      <c r="D46217" s="8"/>
    </row>
    <row r="46218" spans="1:4" ht="15.75" customHeight="1">
      <c r="A46218" s="8"/>
      <c r="B46218" s="12"/>
      <c r="C46218" s="8"/>
      <c r="D46218" s="8"/>
    </row>
    <row r="46219" spans="1:4" ht="15.75" customHeight="1">
      <c r="A46219" s="8"/>
      <c r="B46219" s="12"/>
      <c r="C46219" s="8"/>
      <c r="D46219" s="8"/>
    </row>
    <row r="46220" spans="1:4" ht="15.75" customHeight="1">
      <c r="A46220" s="8"/>
      <c r="B46220" s="12"/>
      <c r="C46220" s="8"/>
      <c r="D46220" s="8"/>
    </row>
    <row r="46221" spans="1:4" ht="15.75" customHeight="1">
      <c r="A46221" s="8"/>
      <c r="B46221" s="12"/>
      <c r="C46221" s="8"/>
      <c r="D46221" s="8"/>
    </row>
    <row r="46222" spans="1:4" ht="15.75" customHeight="1">
      <c r="A46222" s="8"/>
      <c r="B46222" s="12"/>
      <c r="C46222" s="8"/>
      <c r="D46222" s="8"/>
    </row>
    <row r="46223" spans="1:4" ht="15.75" customHeight="1">
      <c r="A46223" s="8"/>
      <c r="B46223" s="12"/>
      <c r="C46223" s="8"/>
      <c r="D46223" s="8"/>
    </row>
    <row r="46224" spans="1:4" ht="15.75" customHeight="1">
      <c r="A46224" s="8"/>
      <c r="B46224" s="12"/>
      <c r="C46224" s="8"/>
      <c r="D46224" s="8"/>
    </row>
    <row r="46225" spans="1:4" ht="15.75" customHeight="1">
      <c r="A46225" s="8"/>
      <c r="B46225" s="12"/>
      <c r="C46225" s="8"/>
      <c r="D46225" s="8"/>
    </row>
    <row r="46226" spans="1:4" ht="15.75" customHeight="1">
      <c r="A46226" s="8"/>
      <c r="B46226" s="12"/>
      <c r="C46226" s="8"/>
      <c r="D46226" s="8"/>
    </row>
    <row r="46227" spans="1:4" ht="15.75" customHeight="1">
      <c r="A46227" s="8"/>
      <c r="B46227" s="12"/>
      <c r="C46227" s="8"/>
      <c r="D46227" s="8"/>
    </row>
    <row r="46228" spans="1:4" ht="15.75" customHeight="1">
      <c r="A46228" s="8"/>
      <c r="B46228" s="12"/>
      <c r="C46228" s="8"/>
      <c r="D46228" s="8"/>
    </row>
    <row r="46229" spans="1:4" ht="15.75" customHeight="1">
      <c r="A46229" s="8"/>
      <c r="B46229" s="12"/>
      <c r="C46229" s="8"/>
      <c r="D46229" s="8"/>
    </row>
    <row r="46230" spans="1:4" ht="15.75" customHeight="1">
      <c r="A46230" s="8"/>
      <c r="B46230" s="12"/>
      <c r="C46230" s="8"/>
      <c r="D46230" s="8"/>
    </row>
    <row r="46231" spans="1:4" ht="15.75" customHeight="1">
      <c r="A46231" s="8"/>
      <c r="B46231" s="12"/>
      <c r="C46231" s="8"/>
      <c r="D46231" s="8"/>
    </row>
    <row r="46232" spans="1:4" ht="15.75" customHeight="1">
      <c r="A46232" s="8"/>
      <c r="B46232" s="12"/>
      <c r="C46232" s="8"/>
      <c r="D46232" s="8"/>
    </row>
    <row r="46233" spans="1:4" ht="15.75" customHeight="1">
      <c r="A46233" s="8"/>
      <c r="B46233" s="12"/>
      <c r="C46233" s="8"/>
      <c r="D46233" s="8"/>
    </row>
    <row r="46234" spans="1:4" ht="15.75" customHeight="1">
      <c r="A46234" s="8"/>
      <c r="B46234" s="12"/>
      <c r="C46234" s="8"/>
      <c r="D46234" s="8"/>
    </row>
    <row r="46235" spans="1:4" ht="15.75" customHeight="1">
      <c r="A46235" s="8"/>
      <c r="B46235" s="12"/>
      <c r="C46235" s="8"/>
      <c r="D46235" s="8"/>
    </row>
    <row r="46236" spans="1:4" ht="15.75" customHeight="1">
      <c r="A46236" s="8"/>
      <c r="B46236" s="12"/>
      <c r="C46236" s="8"/>
      <c r="D46236" s="8"/>
    </row>
    <row r="46237" spans="1:4" ht="15.75" customHeight="1">
      <c r="A46237" s="8"/>
      <c r="B46237" s="12"/>
      <c r="C46237" s="8"/>
      <c r="D46237" s="8"/>
    </row>
    <row r="46238" spans="1:4" ht="15.75" customHeight="1">
      <c r="A46238" s="8"/>
      <c r="B46238" s="12"/>
      <c r="C46238" s="8"/>
      <c r="D46238" s="8"/>
    </row>
    <row r="46239" spans="1:4" ht="15.75" customHeight="1">
      <c r="A46239" s="8"/>
      <c r="B46239" s="12"/>
      <c r="C46239" s="8"/>
      <c r="D46239" s="8"/>
    </row>
    <row r="46240" spans="1:4" ht="15.75" customHeight="1">
      <c r="A46240" s="8"/>
      <c r="B46240" s="12"/>
      <c r="C46240" s="8"/>
      <c r="D46240" s="8"/>
    </row>
    <row r="46241" spans="1:4" ht="15.75" customHeight="1">
      <c r="A46241" s="8"/>
      <c r="B46241" s="12"/>
      <c r="C46241" s="8"/>
      <c r="D46241" s="8"/>
    </row>
    <row r="46242" spans="1:4" ht="15.75" customHeight="1">
      <c r="A46242" s="8"/>
      <c r="B46242" s="12"/>
      <c r="C46242" s="8"/>
      <c r="D46242" s="8"/>
    </row>
    <row r="46243" spans="1:4" ht="15.75" customHeight="1">
      <c r="A46243" s="8"/>
      <c r="B46243" s="12"/>
      <c r="C46243" s="8"/>
      <c r="D46243" s="8"/>
    </row>
    <row r="46244" spans="1:4" ht="15.75" customHeight="1">
      <c r="A46244" s="8"/>
      <c r="B46244" s="12"/>
      <c r="C46244" s="8"/>
      <c r="D46244" s="8"/>
    </row>
    <row r="46245" spans="1:4" ht="15.75" customHeight="1">
      <c r="A46245" s="8"/>
      <c r="B46245" s="12"/>
      <c r="C46245" s="8"/>
      <c r="D46245" s="8"/>
    </row>
    <row r="46246" spans="1:4" ht="15.75" customHeight="1">
      <c r="A46246" s="8"/>
      <c r="B46246" s="12"/>
      <c r="C46246" s="8"/>
      <c r="D46246" s="8"/>
    </row>
    <row r="46247" spans="1:4" ht="15.75" customHeight="1">
      <c r="A46247" s="8"/>
      <c r="B46247" s="12"/>
      <c r="C46247" s="8"/>
      <c r="D46247" s="8"/>
    </row>
    <row r="46248" spans="1:4" ht="15.75" customHeight="1">
      <c r="A46248" s="8"/>
      <c r="B46248" s="12"/>
      <c r="C46248" s="8"/>
      <c r="D46248" s="8"/>
    </row>
    <row r="46249" spans="1:4" ht="15.75" customHeight="1">
      <c r="A46249" s="8"/>
      <c r="B46249" s="12"/>
      <c r="C46249" s="8"/>
      <c r="D46249" s="8"/>
    </row>
    <row r="46250" spans="1:4" ht="15.75" customHeight="1">
      <c r="A46250" s="8"/>
      <c r="B46250" s="12"/>
      <c r="C46250" s="8"/>
      <c r="D46250" s="8"/>
    </row>
    <row r="46251" spans="1:4" ht="15.75" customHeight="1">
      <c r="A46251" s="8"/>
      <c r="B46251" s="12"/>
      <c r="C46251" s="8"/>
      <c r="D46251" s="8"/>
    </row>
    <row r="46252" spans="1:4" ht="15.75" customHeight="1">
      <c r="A46252" s="8"/>
      <c r="B46252" s="12"/>
      <c r="C46252" s="8"/>
      <c r="D46252" s="8"/>
    </row>
    <row r="46253" spans="1:4" ht="15.75" customHeight="1">
      <c r="A46253" s="8"/>
      <c r="B46253" s="12"/>
      <c r="C46253" s="8"/>
      <c r="D46253" s="8"/>
    </row>
    <row r="46254" spans="1:4" ht="15.75" customHeight="1">
      <c r="A46254" s="8"/>
      <c r="B46254" s="12"/>
      <c r="C46254" s="8"/>
      <c r="D46254" s="8"/>
    </row>
    <row r="46255" spans="1:4" ht="15.75" customHeight="1">
      <c r="A46255" s="8"/>
      <c r="B46255" s="12"/>
      <c r="C46255" s="8"/>
      <c r="D46255" s="8"/>
    </row>
    <row r="46256" spans="1:4" ht="15.75" customHeight="1">
      <c r="A46256" s="8"/>
      <c r="B46256" s="12"/>
      <c r="C46256" s="8"/>
      <c r="D46256" s="8"/>
    </row>
    <row r="46257" spans="1:4" ht="15.75" customHeight="1">
      <c r="A46257" s="8"/>
      <c r="B46257" s="12"/>
      <c r="C46257" s="8"/>
      <c r="D46257" s="8"/>
    </row>
    <row r="46258" spans="1:4" ht="15.75" customHeight="1">
      <c r="A46258" s="8"/>
      <c r="B46258" s="12"/>
      <c r="C46258" s="8"/>
      <c r="D46258" s="8"/>
    </row>
    <row r="46259" spans="1:4" ht="15.75" customHeight="1">
      <c r="A46259" s="8"/>
      <c r="B46259" s="12"/>
      <c r="C46259" s="8"/>
      <c r="D46259" s="8"/>
    </row>
    <row r="46260" spans="1:4" ht="15.75" customHeight="1">
      <c r="A46260" s="8"/>
      <c r="B46260" s="12"/>
      <c r="C46260" s="8"/>
      <c r="D46260" s="8"/>
    </row>
    <row r="46261" spans="1:4" ht="15.75" customHeight="1">
      <c r="A46261" s="8"/>
      <c r="B46261" s="12"/>
      <c r="C46261" s="8"/>
      <c r="D46261" s="8"/>
    </row>
    <row r="46262" spans="1:4" ht="15.75" customHeight="1">
      <c r="A46262" s="8"/>
      <c r="B46262" s="12"/>
      <c r="C46262" s="8"/>
      <c r="D46262" s="8"/>
    </row>
    <row r="46263" spans="1:4" ht="15.75" customHeight="1">
      <c r="A46263" s="8"/>
      <c r="B46263" s="12"/>
      <c r="C46263" s="8"/>
      <c r="D46263" s="8"/>
    </row>
    <row r="46264" spans="1:4" ht="15.75" customHeight="1">
      <c r="A46264" s="8"/>
      <c r="B46264" s="12"/>
      <c r="C46264" s="8"/>
      <c r="D46264" s="8"/>
    </row>
    <row r="46265" spans="1:4" ht="15.75" customHeight="1">
      <c r="A46265" s="8"/>
      <c r="B46265" s="12"/>
      <c r="C46265" s="8"/>
      <c r="D46265" s="8"/>
    </row>
    <row r="46266" spans="1:4" ht="15.75" customHeight="1">
      <c r="A46266" s="8"/>
      <c r="B46266" s="12"/>
      <c r="C46266" s="8"/>
      <c r="D46266" s="8"/>
    </row>
    <row r="46267" spans="1:4" ht="15.75" customHeight="1">
      <c r="A46267" s="8"/>
      <c r="B46267" s="12"/>
      <c r="C46267" s="8"/>
      <c r="D46267" s="8"/>
    </row>
    <row r="46268" spans="1:4" ht="15.75" customHeight="1">
      <c r="A46268" s="8"/>
      <c r="B46268" s="12"/>
      <c r="C46268" s="8"/>
      <c r="D46268" s="8"/>
    </row>
    <row r="46269" spans="1:4" ht="15.75" customHeight="1">
      <c r="A46269" s="8"/>
      <c r="B46269" s="12"/>
      <c r="C46269" s="8"/>
      <c r="D46269" s="8"/>
    </row>
    <row r="46270" spans="1:4" ht="15.75" customHeight="1">
      <c r="A46270" s="8"/>
      <c r="B46270" s="12"/>
      <c r="C46270" s="8"/>
      <c r="D46270" s="8"/>
    </row>
    <row r="46271" spans="1:4" ht="15.75" customHeight="1">
      <c r="A46271" s="8"/>
      <c r="B46271" s="12"/>
      <c r="C46271" s="8"/>
      <c r="D46271" s="8"/>
    </row>
    <row r="46272" spans="1:4" ht="15.75" customHeight="1">
      <c r="A46272" s="8"/>
      <c r="B46272" s="12"/>
      <c r="C46272" s="8"/>
      <c r="D46272" s="8"/>
    </row>
    <row r="46273" spans="1:4" ht="15.75" customHeight="1">
      <c r="A46273" s="8"/>
      <c r="B46273" s="12"/>
      <c r="C46273" s="8"/>
      <c r="D46273" s="8"/>
    </row>
    <row r="46274" spans="1:4" ht="15.75" customHeight="1">
      <c r="A46274" s="8"/>
      <c r="B46274" s="12"/>
      <c r="C46274" s="8"/>
      <c r="D46274" s="8"/>
    </row>
    <row r="46275" spans="1:4" ht="15.75" customHeight="1">
      <c r="A46275" s="8"/>
      <c r="B46275" s="12"/>
      <c r="C46275" s="8"/>
      <c r="D46275" s="8"/>
    </row>
    <row r="46276" spans="1:4" ht="15.75" customHeight="1">
      <c r="A46276" s="8"/>
      <c r="B46276" s="12"/>
      <c r="C46276" s="8"/>
      <c r="D46276" s="8"/>
    </row>
    <row r="46277" spans="1:4" ht="15.75" customHeight="1">
      <c r="A46277" s="8"/>
      <c r="B46277" s="12"/>
      <c r="C46277" s="8"/>
      <c r="D46277" s="8"/>
    </row>
    <row r="46278" spans="1:4" ht="15.75" customHeight="1">
      <c r="A46278" s="8"/>
      <c r="B46278" s="12"/>
      <c r="C46278" s="8"/>
      <c r="D46278" s="8"/>
    </row>
    <row r="46279" spans="1:4" ht="15.75" customHeight="1">
      <c r="A46279" s="8"/>
      <c r="B46279" s="12"/>
      <c r="C46279" s="8"/>
      <c r="D46279" s="8"/>
    </row>
    <row r="46280" spans="1:4" ht="15.75" customHeight="1">
      <c r="A46280" s="8"/>
      <c r="B46280" s="12"/>
      <c r="C46280" s="8"/>
      <c r="D46280" s="8"/>
    </row>
    <row r="46281" spans="1:4" ht="15.75" customHeight="1">
      <c r="A46281" s="8"/>
      <c r="B46281" s="12"/>
      <c r="C46281" s="8"/>
      <c r="D46281" s="8"/>
    </row>
    <row r="46282" spans="1:4" ht="15.75" customHeight="1">
      <c r="A46282" s="8"/>
      <c r="B46282" s="12"/>
      <c r="C46282" s="8"/>
      <c r="D46282" s="8"/>
    </row>
    <row r="46283" spans="1:4" ht="15.75" customHeight="1">
      <c r="A46283" s="8"/>
      <c r="B46283" s="12"/>
      <c r="C46283" s="8"/>
      <c r="D46283" s="8"/>
    </row>
    <row r="46284" spans="1:4" ht="15.75" customHeight="1">
      <c r="A46284" s="8"/>
      <c r="B46284" s="12"/>
      <c r="C46284" s="8"/>
      <c r="D46284" s="8"/>
    </row>
    <row r="46285" spans="1:4" ht="15.75" customHeight="1">
      <c r="A46285" s="8"/>
      <c r="B46285" s="12"/>
      <c r="C46285" s="8"/>
      <c r="D46285" s="8"/>
    </row>
    <row r="46286" spans="1:4" ht="15.75" customHeight="1">
      <c r="A46286" s="8"/>
      <c r="B46286" s="12"/>
      <c r="C46286" s="8"/>
      <c r="D46286" s="8"/>
    </row>
    <row r="46287" spans="1:4" ht="15.75" customHeight="1">
      <c r="A46287" s="8"/>
      <c r="B46287" s="12"/>
      <c r="C46287" s="8"/>
      <c r="D46287" s="8"/>
    </row>
    <row r="46288" spans="1:4" ht="15.75" customHeight="1">
      <c r="A46288" s="8"/>
      <c r="B46288" s="12"/>
      <c r="C46288" s="8"/>
      <c r="D46288" s="8"/>
    </row>
    <row r="46289" spans="1:4" ht="15.75" customHeight="1">
      <c r="A46289" s="8"/>
      <c r="B46289" s="12"/>
      <c r="C46289" s="8"/>
      <c r="D46289" s="8"/>
    </row>
    <row r="46290" spans="1:4" ht="15.75" customHeight="1">
      <c r="A46290" s="8"/>
      <c r="B46290" s="12"/>
      <c r="C46290" s="8"/>
      <c r="D46290" s="8"/>
    </row>
    <row r="46291" spans="1:4" ht="15.75" customHeight="1">
      <c r="A46291" s="8"/>
      <c r="B46291" s="12"/>
      <c r="C46291" s="8"/>
      <c r="D46291" s="8"/>
    </row>
    <row r="46292" spans="1:4" ht="15.75" customHeight="1">
      <c r="A46292" s="8"/>
      <c r="B46292" s="12"/>
      <c r="C46292" s="8"/>
      <c r="D46292" s="8"/>
    </row>
    <row r="46293" spans="1:4" ht="15.75" customHeight="1">
      <c r="A46293" s="8"/>
      <c r="B46293" s="12"/>
      <c r="C46293" s="8"/>
      <c r="D46293" s="8"/>
    </row>
    <row r="46294" spans="1:4" ht="15.75" customHeight="1">
      <c r="A46294" s="8"/>
      <c r="B46294" s="12"/>
      <c r="C46294" s="8"/>
      <c r="D46294" s="8"/>
    </row>
    <row r="46295" spans="1:4" ht="15.75" customHeight="1">
      <c r="A46295" s="8"/>
      <c r="B46295" s="12"/>
      <c r="C46295" s="8"/>
      <c r="D46295" s="8"/>
    </row>
    <row r="46296" spans="1:4" ht="15.75" customHeight="1">
      <c r="A46296" s="8"/>
      <c r="B46296" s="12"/>
      <c r="C46296" s="8"/>
      <c r="D46296" s="8"/>
    </row>
    <row r="46297" spans="1:4" ht="15.75" customHeight="1">
      <c r="A46297" s="8"/>
      <c r="B46297" s="12"/>
      <c r="C46297" s="8"/>
      <c r="D46297" s="8"/>
    </row>
    <row r="46298" spans="1:4" ht="15.75" customHeight="1">
      <c r="A46298" s="8"/>
      <c r="B46298" s="12"/>
      <c r="C46298" s="8"/>
      <c r="D46298" s="8"/>
    </row>
    <row r="46299" spans="1:4" ht="15.75" customHeight="1">
      <c r="A46299" s="8"/>
      <c r="B46299" s="12"/>
      <c r="C46299" s="8"/>
      <c r="D46299" s="8"/>
    </row>
    <row r="46300" spans="1:4" ht="15.75" customHeight="1">
      <c r="A46300" s="8"/>
      <c r="B46300" s="12"/>
      <c r="C46300" s="8"/>
      <c r="D46300" s="8"/>
    </row>
    <row r="46301" spans="1:4" ht="15.75" customHeight="1">
      <c r="A46301" s="8"/>
      <c r="B46301" s="12"/>
      <c r="C46301" s="8"/>
      <c r="D46301" s="8"/>
    </row>
    <row r="46302" spans="1:4" ht="15.75" customHeight="1">
      <c r="A46302" s="8"/>
      <c r="B46302" s="12"/>
      <c r="C46302" s="8"/>
      <c r="D46302" s="8"/>
    </row>
    <row r="46303" spans="1:4" ht="15.75" customHeight="1">
      <c r="A46303" s="8"/>
      <c r="B46303" s="12"/>
      <c r="C46303" s="8"/>
      <c r="D46303" s="8"/>
    </row>
    <row r="46304" spans="1:4" ht="15.75" customHeight="1">
      <c r="A46304" s="8"/>
      <c r="B46304" s="12"/>
      <c r="C46304" s="8"/>
      <c r="D46304" s="8"/>
    </row>
    <row r="46305" spans="1:4" ht="15.75" customHeight="1">
      <c r="A46305" s="8"/>
      <c r="B46305" s="12"/>
      <c r="C46305" s="8"/>
      <c r="D46305" s="8"/>
    </row>
    <row r="46306" spans="1:4" ht="15.75" customHeight="1">
      <c r="A46306" s="8"/>
      <c r="B46306" s="12"/>
      <c r="C46306" s="8"/>
      <c r="D46306" s="8"/>
    </row>
    <row r="46307" spans="1:4" ht="15.75" customHeight="1">
      <c r="A46307" s="8"/>
      <c r="B46307" s="12"/>
      <c r="C46307" s="8"/>
      <c r="D46307" s="8"/>
    </row>
    <row r="46308" spans="1:4" ht="15.75" customHeight="1">
      <c r="A46308" s="8"/>
      <c r="B46308" s="12"/>
      <c r="C46308" s="8"/>
      <c r="D46308" s="8"/>
    </row>
    <row r="46309" spans="1:4" ht="15.75" customHeight="1">
      <c r="A46309" s="8"/>
      <c r="B46309" s="12"/>
      <c r="C46309" s="8"/>
      <c r="D46309" s="8"/>
    </row>
    <row r="46310" spans="1:4" ht="15.75" customHeight="1">
      <c r="A46310" s="8"/>
      <c r="B46310" s="12"/>
      <c r="C46310" s="8"/>
      <c r="D46310" s="8"/>
    </row>
    <row r="46311" spans="1:4" ht="15.75" customHeight="1">
      <c r="A46311" s="8"/>
      <c r="B46311" s="12"/>
      <c r="C46311" s="8"/>
      <c r="D46311" s="8"/>
    </row>
    <row r="46312" spans="1:4" ht="15.75" customHeight="1">
      <c r="A46312" s="8"/>
      <c r="B46312" s="12"/>
      <c r="C46312" s="8"/>
      <c r="D46312" s="8"/>
    </row>
    <row r="46313" spans="1:4" ht="15.75" customHeight="1">
      <c r="A46313" s="8"/>
      <c r="B46313" s="12"/>
      <c r="C46313" s="8"/>
      <c r="D46313" s="8"/>
    </row>
    <row r="46314" spans="1:4" ht="15.75" customHeight="1">
      <c r="A46314" s="8"/>
      <c r="B46314" s="12"/>
      <c r="C46314" s="8"/>
      <c r="D46314" s="8"/>
    </row>
    <row r="46315" spans="1:4" ht="15.75" customHeight="1">
      <c r="A46315" s="8"/>
      <c r="B46315" s="12"/>
      <c r="C46315" s="8"/>
      <c r="D46315" s="8"/>
    </row>
    <row r="46316" spans="1:4" ht="15.75" customHeight="1">
      <c r="A46316" s="8"/>
      <c r="B46316" s="12"/>
      <c r="C46316" s="8"/>
      <c r="D46316" s="8"/>
    </row>
    <row r="46317" spans="1:4" ht="15.75" customHeight="1">
      <c r="A46317" s="8"/>
      <c r="B46317" s="12"/>
      <c r="C46317" s="8"/>
      <c r="D46317" s="8"/>
    </row>
    <row r="46318" spans="1:4" ht="15.75" customHeight="1">
      <c r="A46318" s="8"/>
      <c r="B46318" s="12"/>
      <c r="C46318" s="8"/>
      <c r="D46318" s="8"/>
    </row>
    <row r="46319" spans="1:4" ht="15.75" customHeight="1">
      <c r="A46319" s="8"/>
      <c r="B46319" s="12"/>
      <c r="C46319" s="8"/>
      <c r="D46319" s="8"/>
    </row>
    <row r="46320" spans="1:4" ht="15.75" customHeight="1">
      <c r="A46320" s="8"/>
      <c r="B46320" s="12"/>
      <c r="C46320" s="8"/>
      <c r="D46320" s="8"/>
    </row>
    <row r="46321" spans="1:4" ht="15.75" customHeight="1">
      <c r="A46321" s="8"/>
      <c r="B46321" s="12"/>
      <c r="C46321" s="8"/>
      <c r="D46321" s="8"/>
    </row>
    <row r="46322" spans="1:4" ht="15.75" customHeight="1">
      <c r="A46322" s="8"/>
      <c r="B46322" s="12"/>
      <c r="C46322" s="8"/>
      <c r="D46322" s="8"/>
    </row>
    <row r="46323" spans="1:4" ht="15.75" customHeight="1">
      <c r="A46323" s="8"/>
      <c r="B46323" s="12"/>
      <c r="C46323" s="8"/>
      <c r="D46323" s="8"/>
    </row>
    <row r="46324" spans="1:4" ht="15.75" customHeight="1">
      <c r="A46324" s="8"/>
      <c r="B46324" s="12"/>
      <c r="C46324" s="8"/>
      <c r="D46324" s="8"/>
    </row>
    <row r="46325" spans="1:4" ht="15.75" customHeight="1">
      <c r="A46325" s="8"/>
      <c r="B46325" s="12"/>
      <c r="C46325" s="8"/>
      <c r="D46325" s="8"/>
    </row>
    <row r="46326" spans="1:4" ht="15.75" customHeight="1">
      <c r="A46326" s="8"/>
      <c r="B46326" s="12"/>
      <c r="C46326" s="8"/>
      <c r="D46326" s="8"/>
    </row>
    <row r="46327" spans="1:4" ht="15.75" customHeight="1">
      <c r="A46327" s="8"/>
      <c r="B46327" s="12"/>
      <c r="C46327" s="8"/>
      <c r="D46327" s="8"/>
    </row>
    <row r="46328" spans="1:4" ht="15.75" customHeight="1">
      <c r="A46328" s="8"/>
      <c r="B46328" s="12"/>
      <c r="C46328" s="8"/>
      <c r="D46328" s="8"/>
    </row>
    <row r="46329" spans="1:4" ht="15.75" customHeight="1">
      <c r="A46329" s="8"/>
      <c r="B46329" s="12"/>
      <c r="C46329" s="8"/>
      <c r="D46329" s="8"/>
    </row>
    <row r="46330" spans="1:4" ht="15.75" customHeight="1">
      <c r="A46330" s="8"/>
      <c r="B46330" s="12"/>
      <c r="C46330" s="8"/>
      <c r="D46330" s="8"/>
    </row>
    <row r="46331" spans="1:4" ht="15.75" customHeight="1">
      <c r="A46331" s="8"/>
      <c r="B46331" s="12"/>
      <c r="C46331" s="8"/>
      <c r="D46331" s="8"/>
    </row>
    <row r="46332" spans="1:4" ht="15.75" customHeight="1">
      <c r="A46332" s="8"/>
      <c r="B46332" s="12"/>
      <c r="C46332" s="8"/>
      <c r="D46332" s="8"/>
    </row>
    <row r="46333" spans="1:4" ht="15.75" customHeight="1">
      <c r="A46333" s="8"/>
      <c r="B46333" s="12"/>
      <c r="C46333" s="8"/>
      <c r="D46333" s="8"/>
    </row>
    <row r="46334" spans="1:4" ht="15.75" customHeight="1">
      <c r="A46334" s="8"/>
      <c r="B46334" s="12"/>
      <c r="C46334" s="8"/>
      <c r="D46334" s="8"/>
    </row>
    <row r="46335" spans="1:4" ht="15.75" customHeight="1">
      <c r="A46335" s="8"/>
      <c r="B46335" s="12"/>
      <c r="C46335" s="8"/>
      <c r="D46335" s="8"/>
    </row>
    <row r="46336" spans="1:4" ht="15.75" customHeight="1">
      <c r="A46336" s="8"/>
      <c r="B46336" s="12"/>
      <c r="C46336" s="8"/>
      <c r="D46336" s="8"/>
    </row>
    <row r="46337" spans="1:4" ht="15.75" customHeight="1">
      <c r="A46337" s="8"/>
      <c r="B46337" s="12"/>
      <c r="C46337" s="8"/>
      <c r="D46337" s="8"/>
    </row>
    <row r="46338" spans="1:4" ht="15.75" customHeight="1">
      <c r="A46338" s="8"/>
      <c r="B46338" s="12"/>
      <c r="C46338" s="8"/>
      <c r="D46338" s="8"/>
    </row>
    <row r="46339" spans="1:4" ht="15.75" customHeight="1">
      <c r="A46339" s="8"/>
      <c r="B46339" s="12"/>
      <c r="C46339" s="8"/>
      <c r="D46339" s="8"/>
    </row>
    <row r="46340" spans="1:4" ht="15.75" customHeight="1">
      <c r="A46340" s="8"/>
      <c r="B46340" s="12"/>
      <c r="C46340" s="8"/>
      <c r="D46340" s="8"/>
    </row>
    <row r="46341" spans="1:4" ht="15.75" customHeight="1">
      <c r="A46341" s="8"/>
      <c r="B46341" s="12"/>
      <c r="C46341" s="8"/>
      <c r="D46341" s="8"/>
    </row>
    <row r="46342" spans="1:4" ht="15.75" customHeight="1">
      <c r="A46342" s="8"/>
      <c r="B46342" s="12"/>
      <c r="C46342" s="8"/>
      <c r="D46342" s="8"/>
    </row>
    <row r="46343" spans="1:4" ht="15.75" customHeight="1">
      <c r="A46343" s="8"/>
      <c r="B46343" s="12"/>
      <c r="C46343" s="8"/>
      <c r="D46343" s="8"/>
    </row>
    <row r="46344" spans="1:4" ht="15.75" customHeight="1">
      <c r="A46344" s="8"/>
      <c r="B46344" s="12"/>
      <c r="C46344" s="8"/>
      <c r="D46344" s="8"/>
    </row>
    <row r="46345" spans="1:4" ht="15.75" customHeight="1">
      <c r="A46345" s="8"/>
      <c r="B46345" s="12"/>
      <c r="C46345" s="8"/>
      <c r="D46345" s="8"/>
    </row>
    <row r="46346" spans="1:4" ht="15.75" customHeight="1">
      <c r="A46346" s="8"/>
      <c r="B46346" s="12"/>
      <c r="C46346" s="8"/>
      <c r="D46346" s="8"/>
    </row>
    <row r="46347" spans="1:4" ht="15.75" customHeight="1">
      <c r="A46347" s="8"/>
      <c r="B46347" s="12"/>
      <c r="C46347" s="8"/>
      <c r="D46347" s="8"/>
    </row>
    <row r="46348" spans="1:4" ht="15.75" customHeight="1">
      <c r="A46348" s="8"/>
      <c r="B46348" s="12"/>
      <c r="C46348" s="8"/>
      <c r="D46348" s="8"/>
    </row>
    <row r="46349" spans="1:4" ht="15.75" customHeight="1">
      <c r="A46349" s="8"/>
      <c r="B46349" s="12"/>
      <c r="C46349" s="8"/>
      <c r="D46349" s="8"/>
    </row>
    <row r="46350" spans="1:4" ht="15.75" customHeight="1">
      <c r="A46350" s="8"/>
      <c r="B46350" s="12"/>
      <c r="C46350" s="8"/>
      <c r="D46350" s="8"/>
    </row>
    <row r="46351" spans="1:4" ht="15.75" customHeight="1">
      <c r="A46351" s="8"/>
      <c r="B46351" s="12"/>
      <c r="C46351" s="8"/>
      <c r="D46351" s="8"/>
    </row>
    <row r="46352" spans="1:4" ht="15.75" customHeight="1">
      <c r="A46352" s="8"/>
      <c r="B46352" s="12"/>
      <c r="C46352" s="8"/>
      <c r="D46352" s="8"/>
    </row>
    <row r="46353" spans="1:4" ht="15.75" customHeight="1">
      <c r="A46353" s="8"/>
      <c r="B46353" s="12"/>
      <c r="C46353" s="8"/>
      <c r="D46353" s="8"/>
    </row>
    <row r="46354" spans="1:4" ht="15.75" customHeight="1">
      <c r="A46354" s="8"/>
      <c r="B46354" s="12"/>
      <c r="C46354" s="8"/>
      <c r="D46354" s="8"/>
    </row>
    <row r="46355" spans="1:4" ht="15.75" customHeight="1">
      <c r="A46355" s="8"/>
      <c r="B46355" s="12"/>
      <c r="C46355" s="8"/>
      <c r="D46355" s="8"/>
    </row>
    <row r="46356" spans="1:4" ht="15.75" customHeight="1">
      <c r="A46356" s="8"/>
      <c r="B46356" s="12"/>
      <c r="C46356" s="8"/>
      <c r="D46356" s="8"/>
    </row>
    <row r="46357" spans="1:4" ht="15.75" customHeight="1">
      <c r="A46357" s="8"/>
      <c r="B46357" s="12"/>
      <c r="C46357" s="8"/>
      <c r="D46357" s="8"/>
    </row>
    <row r="46358" spans="1:4" ht="15.75" customHeight="1">
      <c r="A46358" s="8"/>
      <c r="B46358" s="12"/>
      <c r="C46358" s="8"/>
      <c r="D46358" s="8"/>
    </row>
    <row r="46359" spans="1:4" ht="15.75" customHeight="1">
      <c r="A46359" s="8"/>
      <c r="B46359" s="12"/>
      <c r="C46359" s="8"/>
      <c r="D46359" s="8"/>
    </row>
    <row r="46360" spans="1:4" ht="15.75" customHeight="1">
      <c r="A46360" s="8"/>
      <c r="B46360" s="12"/>
      <c r="C46360" s="8"/>
      <c r="D46360" s="8"/>
    </row>
    <row r="46361" spans="1:4" ht="15.75" customHeight="1">
      <c r="A46361" s="8"/>
      <c r="B46361" s="12"/>
      <c r="C46361" s="8"/>
      <c r="D46361" s="8"/>
    </row>
    <row r="46362" spans="1:4" ht="15.75" customHeight="1">
      <c r="A46362" s="8"/>
      <c r="B46362" s="12"/>
      <c r="C46362" s="8"/>
      <c r="D46362" s="8"/>
    </row>
    <row r="46363" spans="1:4" ht="15.75" customHeight="1">
      <c r="A46363" s="8"/>
      <c r="B46363" s="12"/>
      <c r="C46363" s="8"/>
      <c r="D46363" s="8"/>
    </row>
    <row r="46364" spans="1:4" ht="15.75" customHeight="1">
      <c r="A46364" s="8"/>
      <c r="B46364" s="12"/>
      <c r="C46364" s="8"/>
      <c r="D46364" s="8"/>
    </row>
    <row r="46365" spans="1:4" ht="15.75" customHeight="1">
      <c r="A46365" s="8"/>
      <c r="B46365" s="12"/>
      <c r="C46365" s="8"/>
      <c r="D46365" s="8"/>
    </row>
    <row r="46366" spans="1:4" ht="15.75" customHeight="1">
      <c r="A46366" s="8"/>
      <c r="B46366" s="12"/>
      <c r="C46366" s="8"/>
      <c r="D46366" s="8"/>
    </row>
    <row r="46367" spans="1:4" ht="15.75" customHeight="1">
      <c r="A46367" s="8"/>
      <c r="B46367" s="12"/>
      <c r="C46367" s="8"/>
      <c r="D46367" s="8"/>
    </row>
    <row r="46368" spans="1:4" ht="15.75" customHeight="1">
      <c r="A46368" s="8"/>
      <c r="B46368" s="12"/>
      <c r="C46368" s="8"/>
      <c r="D46368" s="8"/>
    </row>
    <row r="46369" spans="1:4" ht="15.75" customHeight="1">
      <c r="A46369" s="8"/>
      <c r="B46369" s="12"/>
      <c r="C46369" s="8"/>
      <c r="D46369" s="8"/>
    </row>
    <row r="46370" spans="1:4" ht="15.75" customHeight="1">
      <c r="A46370" s="8"/>
      <c r="B46370" s="12"/>
      <c r="C46370" s="8"/>
      <c r="D46370" s="8"/>
    </row>
    <row r="46371" spans="1:4" ht="15.75" customHeight="1">
      <c r="A46371" s="8"/>
      <c r="B46371" s="12"/>
      <c r="C46371" s="8"/>
      <c r="D46371" s="8"/>
    </row>
    <row r="46372" spans="1:4" ht="15.75" customHeight="1">
      <c r="A46372" s="8"/>
      <c r="B46372" s="12"/>
      <c r="C46372" s="8"/>
      <c r="D46372" s="8"/>
    </row>
    <row r="46373" spans="1:4" ht="15.75" customHeight="1">
      <c r="A46373" s="8"/>
      <c r="B46373" s="12"/>
      <c r="C46373" s="8"/>
      <c r="D46373" s="8"/>
    </row>
    <row r="46374" spans="1:4" ht="15.75" customHeight="1">
      <c r="A46374" s="8"/>
      <c r="B46374" s="12"/>
      <c r="C46374" s="8"/>
      <c r="D46374" s="8"/>
    </row>
    <row r="46375" spans="1:4" ht="15.75" customHeight="1">
      <c r="A46375" s="8"/>
      <c r="B46375" s="12"/>
      <c r="C46375" s="8"/>
      <c r="D46375" s="8"/>
    </row>
    <row r="46376" spans="1:4" ht="15.75" customHeight="1">
      <c r="A46376" s="8"/>
      <c r="B46376" s="12"/>
      <c r="C46376" s="8"/>
      <c r="D46376" s="8"/>
    </row>
    <row r="46377" spans="1:4" ht="15.75" customHeight="1">
      <c r="A46377" s="8"/>
      <c r="B46377" s="12"/>
      <c r="C46377" s="8"/>
      <c r="D46377" s="8"/>
    </row>
    <row r="46378" spans="1:4" ht="15.75" customHeight="1">
      <c r="A46378" s="8"/>
      <c r="B46378" s="12"/>
      <c r="C46378" s="8"/>
      <c r="D46378" s="8"/>
    </row>
    <row r="46379" spans="1:4" ht="15.75" customHeight="1">
      <c r="A46379" s="8"/>
      <c r="B46379" s="12"/>
      <c r="C46379" s="8"/>
      <c r="D46379" s="8"/>
    </row>
    <row r="46380" spans="1:4" ht="15.75" customHeight="1">
      <c r="A46380" s="8"/>
      <c r="B46380" s="12"/>
      <c r="C46380" s="8"/>
      <c r="D46380" s="8"/>
    </row>
    <row r="46381" spans="1:4" ht="15.75" customHeight="1">
      <c r="A46381" s="8"/>
      <c r="B46381" s="12"/>
      <c r="C46381" s="8"/>
      <c r="D46381" s="8"/>
    </row>
    <row r="46382" spans="1:4" ht="15.75" customHeight="1">
      <c r="A46382" s="8"/>
      <c r="B46382" s="12"/>
      <c r="C46382" s="8"/>
      <c r="D46382" s="8"/>
    </row>
    <row r="46383" spans="1:4" ht="15.75" customHeight="1">
      <c r="A46383" s="8"/>
      <c r="B46383" s="12"/>
      <c r="C46383" s="8"/>
      <c r="D46383" s="8"/>
    </row>
    <row r="46384" spans="1:4" ht="15.75" customHeight="1">
      <c r="A46384" s="8"/>
      <c r="B46384" s="12"/>
      <c r="C46384" s="8"/>
      <c r="D46384" s="8"/>
    </row>
    <row r="46385" spans="1:4" ht="15.75" customHeight="1">
      <c r="A46385" s="8"/>
      <c r="B46385" s="12"/>
      <c r="C46385" s="8"/>
      <c r="D46385" s="8"/>
    </row>
    <row r="46386" spans="1:4" ht="15.75" customHeight="1">
      <c r="A46386" s="8"/>
      <c r="B46386" s="12"/>
      <c r="C46386" s="8"/>
      <c r="D46386" s="8"/>
    </row>
    <row r="46387" spans="1:4" ht="15.75" customHeight="1">
      <c r="A46387" s="8"/>
      <c r="B46387" s="12"/>
      <c r="C46387" s="8"/>
      <c r="D46387" s="8"/>
    </row>
    <row r="46388" spans="1:4" ht="15.75" customHeight="1">
      <c r="A46388" s="8"/>
      <c r="B46388" s="12"/>
      <c r="C46388" s="8"/>
      <c r="D46388" s="8"/>
    </row>
    <row r="46389" spans="1:4" ht="15.75" customHeight="1">
      <c r="A46389" s="8"/>
      <c r="B46389" s="12"/>
      <c r="C46389" s="8"/>
      <c r="D46389" s="8"/>
    </row>
    <row r="46390" spans="1:4" ht="15.75" customHeight="1">
      <c r="A46390" s="8"/>
      <c r="B46390" s="12"/>
      <c r="C46390" s="8"/>
      <c r="D46390" s="8"/>
    </row>
    <row r="46391" spans="1:4" ht="15.75" customHeight="1">
      <c r="A46391" s="8"/>
      <c r="B46391" s="12"/>
      <c r="C46391" s="8"/>
      <c r="D46391" s="8"/>
    </row>
    <row r="46392" spans="1:4" ht="15.75" customHeight="1">
      <c r="A46392" s="8"/>
      <c r="B46392" s="12"/>
      <c r="C46392" s="8"/>
      <c r="D46392" s="8"/>
    </row>
    <row r="46393" spans="1:4" ht="15.75" customHeight="1">
      <c r="A46393" s="8"/>
      <c r="B46393" s="12"/>
      <c r="C46393" s="8"/>
      <c r="D46393" s="8"/>
    </row>
    <row r="46394" spans="1:4" ht="15.75" customHeight="1">
      <c r="A46394" s="8"/>
      <c r="B46394" s="12"/>
      <c r="C46394" s="8"/>
      <c r="D46394" s="8"/>
    </row>
    <row r="46395" spans="1:4" ht="15.75" customHeight="1">
      <c r="A46395" s="8"/>
      <c r="B46395" s="12"/>
      <c r="C46395" s="8"/>
      <c r="D46395" s="8"/>
    </row>
    <row r="46396" spans="1:4" ht="15.75" customHeight="1">
      <c r="A46396" s="8"/>
      <c r="B46396" s="12"/>
      <c r="C46396" s="8"/>
      <c r="D46396" s="8"/>
    </row>
    <row r="46397" spans="1:4" ht="15.75" customHeight="1">
      <c r="A46397" s="8"/>
      <c r="B46397" s="12"/>
      <c r="C46397" s="8"/>
      <c r="D46397" s="8"/>
    </row>
    <row r="46398" spans="1:4" ht="15.75" customHeight="1">
      <c r="A46398" s="8"/>
      <c r="B46398" s="12"/>
      <c r="C46398" s="8"/>
      <c r="D46398" s="8"/>
    </row>
    <row r="46399" spans="1:4" ht="15.75" customHeight="1">
      <c r="A46399" s="8"/>
      <c r="B46399" s="12"/>
      <c r="C46399" s="8"/>
      <c r="D46399" s="8"/>
    </row>
    <row r="46400" spans="1:4" ht="15.75" customHeight="1">
      <c r="A46400" s="8"/>
      <c r="B46400" s="12"/>
      <c r="C46400" s="8"/>
      <c r="D46400" s="8"/>
    </row>
    <row r="46401" spans="1:4" ht="15.75" customHeight="1">
      <c r="A46401" s="8"/>
      <c r="B46401" s="12"/>
      <c r="C46401" s="8"/>
      <c r="D46401" s="8"/>
    </row>
    <row r="46402" spans="1:4" ht="15.75" customHeight="1">
      <c r="A46402" s="8"/>
      <c r="B46402" s="12"/>
      <c r="C46402" s="8"/>
      <c r="D46402" s="8"/>
    </row>
    <row r="46403" spans="1:4" ht="15.75" customHeight="1">
      <c r="A46403" s="8"/>
      <c r="B46403" s="12"/>
      <c r="C46403" s="8"/>
      <c r="D46403" s="8"/>
    </row>
    <row r="46404" spans="1:4" ht="15.75" customHeight="1">
      <c r="A46404" s="8"/>
      <c r="B46404" s="12"/>
      <c r="C46404" s="8"/>
      <c r="D46404" s="8"/>
    </row>
    <row r="46405" spans="1:4" ht="15.75" customHeight="1">
      <c r="A46405" s="8"/>
      <c r="B46405" s="12"/>
      <c r="C46405" s="8"/>
      <c r="D46405" s="8"/>
    </row>
    <row r="46406" spans="1:4" ht="15.75" customHeight="1">
      <c r="A46406" s="8"/>
      <c r="B46406" s="12"/>
      <c r="C46406" s="8"/>
      <c r="D46406" s="8"/>
    </row>
    <row r="46407" spans="1:4" ht="15.75" customHeight="1">
      <c r="A46407" s="8"/>
      <c r="B46407" s="12"/>
      <c r="C46407" s="8"/>
      <c r="D46407" s="8"/>
    </row>
    <row r="46408" spans="1:4" ht="15.75" customHeight="1">
      <c r="A46408" s="8"/>
      <c r="B46408" s="12"/>
      <c r="C46408" s="8"/>
      <c r="D46408" s="8"/>
    </row>
    <row r="46409" spans="1:4" ht="15.75" customHeight="1">
      <c r="A46409" s="8"/>
      <c r="B46409" s="12"/>
      <c r="C46409" s="8"/>
      <c r="D46409" s="8"/>
    </row>
    <row r="46410" spans="1:4" ht="15.75" customHeight="1">
      <c r="A46410" s="8"/>
      <c r="B46410" s="12"/>
      <c r="C46410" s="8"/>
      <c r="D46410" s="8"/>
    </row>
    <row r="46411" spans="1:4" ht="15.75" customHeight="1">
      <c r="A46411" s="8"/>
      <c r="B46411" s="12"/>
      <c r="C46411" s="8"/>
      <c r="D46411" s="8"/>
    </row>
    <row r="46412" spans="1:4" ht="15.75" customHeight="1">
      <c r="A46412" s="8"/>
      <c r="B46412" s="12"/>
      <c r="C46412" s="8"/>
      <c r="D46412" s="8"/>
    </row>
    <row r="46413" spans="1:4" ht="15.75" customHeight="1">
      <c r="A46413" s="8"/>
      <c r="B46413" s="12"/>
      <c r="C46413" s="8"/>
      <c r="D46413" s="8"/>
    </row>
    <row r="46414" spans="1:4" ht="15.75" customHeight="1">
      <c r="A46414" s="8"/>
      <c r="B46414" s="12"/>
      <c r="C46414" s="8"/>
      <c r="D46414" s="8"/>
    </row>
    <row r="46415" spans="1:4" ht="15.75" customHeight="1">
      <c r="A46415" s="8"/>
      <c r="B46415" s="12"/>
      <c r="C46415" s="8"/>
      <c r="D46415" s="8"/>
    </row>
    <row r="46416" spans="1:4" ht="15.75" customHeight="1">
      <c r="A46416" s="8"/>
      <c r="B46416" s="12"/>
      <c r="C46416" s="8"/>
      <c r="D46416" s="8"/>
    </row>
    <row r="46417" spans="1:4" ht="15.75" customHeight="1">
      <c r="A46417" s="8"/>
      <c r="B46417" s="12"/>
      <c r="C46417" s="8"/>
      <c r="D46417" s="8"/>
    </row>
    <row r="46418" spans="1:4" ht="15.75" customHeight="1">
      <c r="A46418" s="8"/>
      <c r="B46418" s="12"/>
      <c r="C46418" s="8"/>
      <c r="D46418" s="8"/>
    </row>
    <row r="46419" spans="1:4" ht="15.75" customHeight="1">
      <c r="A46419" s="8"/>
      <c r="B46419" s="12"/>
      <c r="C46419" s="8"/>
      <c r="D46419" s="8"/>
    </row>
    <row r="46420" spans="1:4" ht="15.75" customHeight="1">
      <c r="A46420" s="8"/>
      <c r="B46420" s="12"/>
      <c r="C46420" s="8"/>
      <c r="D46420" s="8"/>
    </row>
    <row r="46421" spans="1:4" ht="15.75" customHeight="1">
      <c r="A46421" s="8"/>
      <c r="B46421" s="12"/>
      <c r="C46421" s="8"/>
      <c r="D46421" s="8"/>
    </row>
    <row r="46422" spans="1:4" ht="15.75" customHeight="1">
      <c r="A46422" s="8"/>
      <c r="B46422" s="12"/>
      <c r="C46422" s="8"/>
      <c r="D46422" s="8"/>
    </row>
    <row r="46423" spans="1:4" ht="15.75" customHeight="1">
      <c r="A46423" s="8"/>
      <c r="B46423" s="12"/>
      <c r="C46423" s="8"/>
      <c r="D46423" s="8"/>
    </row>
    <row r="46424" spans="1:4" ht="15.75" customHeight="1">
      <c r="A46424" s="8"/>
      <c r="B46424" s="12"/>
      <c r="C46424" s="8"/>
      <c r="D46424" s="8"/>
    </row>
    <row r="46425" spans="1:4" ht="15.75" customHeight="1">
      <c r="A46425" s="8"/>
      <c r="B46425" s="12"/>
      <c r="C46425" s="8"/>
      <c r="D46425" s="8"/>
    </row>
    <row r="46426" spans="1:4" ht="15.75" customHeight="1">
      <c r="A46426" s="8"/>
      <c r="B46426" s="12"/>
      <c r="C46426" s="8"/>
      <c r="D46426" s="8"/>
    </row>
    <row r="46427" spans="1:4" ht="15.75" customHeight="1">
      <c r="A46427" s="8"/>
      <c r="B46427" s="12"/>
      <c r="C46427" s="8"/>
      <c r="D46427" s="8"/>
    </row>
    <row r="46428" spans="1:4" ht="15.75" customHeight="1">
      <c r="A46428" s="8"/>
      <c r="B46428" s="12"/>
      <c r="C46428" s="8"/>
      <c r="D46428" s="8"/>
    </row>
    <row r="46429" spans="1:4" ht="15.75" customHeight="1">
      <c r="A46429" s="8"/>
      <c r="B46429" s="12"/>
      <c r="C46429" s="8"/>
      <c r="D46429" s="8"/>
    </row>
    <row r="46430" spans="1:4" ht="15.75" customHeight="1">
      <c r="A46430" s="8"/>
      <c r="B46430" s="12"/>
      <c r="C46430" s="8"/>
      <c r="D46430" s="8"/>
    </row>
    <row r="46431" spans="1:4" ht="15.75" customHeight="1">
      <c r="A46431" s="8"/>
      <c r="B46431" s="12"/>
      <c r="C46431" s="8"/>
      <c r="D46431" s="8"/>
    </row>
    <row r="46432" spans="1:4" ht="15.75" customHeight="1">
      <c r="A46432" s="8"/>
      <c r="B46432" s="12"/>
      <c r="C46432" s="8"/>
      <c r="D46432" s="8"/>
    </row>
    <row r="46433" spans="1:4" ht="15.75" customHeight="1">
      <c r="A46433" s="8"/>
      <c r="B46433" s="12"/>
      <c r="C46433" s="8"/>
      <c r="D46433" s="8"/>
    </row>
    <row r="46434" spans="1:4" ht="15.75" customHeight="1">
      <c r="A46434" s="8"/>
      <c r="B46434" s="12"/>
      <c r="C46434" s="8"/>
      <c r="D46434" s="8"/>
    </row>
    <row r="46435" spans="1:4" ht="15.75" customHeight="1">
      <c r="A46435" s="8"/>
      <c r="B46435" s="12"/>
      <c r="C46435" s="8"/>
      <c r="D46435" s="8"/>
    </row>
    <row r="46436" spans="1:4" ht="15.75" customHeight="1">
      <c r="A46436" s="8"/>
      <c r="B46436" s="12"/>
      <c r="C46436" s="8"/>
      <c r="D46436" s="8"/>
    </row>
    <row r="46437" spans="1:4" ht="15.75" customHeight="1">
      <c r="A46437" s="8"/>
      <c r="B46437" s="12"/>
      <c r="C46437" s="8"/>
      <c r="D46437" s="8"/>
    </row>
    <row r="46438" spans="1:4" ht="15.75" customHeight="1">
      <c r="A46438" s="8"/>
      <c r="B46438" s="12"/>
      <c r="C46438" s="8"/>
      <c r="D46438" s="8"/>
    </row>
    <row r="46439" spans="1:4" ht="15.75" customHeight="1">
      <c r="A46439" s="8"/>
      <c r="B46439" s="12"/>
      <c r="C46439" s="8"/>
      <c r="D46439" s="8"/>
    </row>
    <row r="46440" spans="1:4" ht="15.75" customHeight="1">
      <c r="A46440" s="8"/>
      <c r="B46440" s="12"/>
      <c r="C46440" s="8"/>
      <c r="D46440" s="8"/>
    </row>
    <row r="46441" spans="1:4" ht="15.75" customHeight="1">
      <c r="A46441" s="8"/>
      <c r="B46441" s="12"/>
      <c r="C46441" s="8"/>
      <c r="D46441" s="8"/>
    </row>
    <row r="46442" spans="1:4" ht="15.75" customHeight="1">
      <c r="A46442" s="8"/>
      <c r="B46442" s="12"/>
      <c r="C46442" s="8"/>
      <c r="D46442" s="8"/>
    </row>
    <row r="46443" spans="1:4" ht="15.75" customHeight="1">
      <c r="A46443" s="8"/>
      <c r="B46443" s="12"/>
      <c r="C46443" s="8"/>
      <c r="D46443" s="8"/>
    </row>
    <row r="46444" spans="1:4" ht="15.75" customHeight="1">
      <c r="A46444" s="8"/>
      <c r="B46444" s="12"/>
      <c r="C46444" s="8"/>
      <c r="D46444" s="8"/>
    </row>
    <row r="46445" spans="1:4" ht="15.75" customHeight="1">
      <c r="A46445" s="8"/>
      <c r="B46445" s="12"/>
      <c r="C46445" s="8"/>
      <c r="D46445" s="8"/>
    </row>
    <row r="46446" spans="1:4" ht="15.75" customHeight="1">
      <c r="A46446" s="8"/>
      <c r="B46446" s="12"/>
      <c r="C46446" s="8"/>
      <c r="D46446" s="8"/>
    </row>
    <row r="46447" spans="1:4" ht="15.75" customHeight="1">
      <c r="A46447" s="8"/>
      <c r="B46447" s="12"/>
      <c r="C46447" s="8"/>
      <c r="D46447" s="8"/>
    </row>
    <row r="46448" spans="1:4" ht="15.75" customHeight="1">
      <c r="A46448" s="8"/>
      <c r="B46448" s="12"/>
      <c r="C46448" s="8"/>
      <c r="D46448" s="8"/>
    </row>
    <row r="46449" spans="1:4" ht="15.75" customHeight="1">
      <c r="A46449" s="8"/>
      <c r="B46449" s="12"/>
      <c r="C46449" s="8"/>
      <c r="D46449" s="8"/>
    </row>
    <row r="46450" spans="1:4" ht="15.75" customHeight="1">
      <c r="A46450" s="8"/>
      <c r="B46450" s="12"/>
      <c r="C46450" s="8"/>
      <c r="D46450" s="8"/>
    </row>
    <row r="46451" spans="1:4" ht="15.75" customHeight="1">
      <c r="A46451" s="8"/>
      <c r="B46451" s="12"/>
      <c r="C46451" s="8"/>
      <c r="D46451" s="8"/>
    </row>
    <row r="46452" spans="1:4" ht="15.75" customHeight="1">
      <c r="A46452" s="8"/>
      <c r="B46452" s="12"/>
      <c r="C46452" s="8"/>
      <c r="D46452" s="8"/>
    </row>
    <row r="46453" spans="1:4" ht="15.75" customHeight="1">
      <c r="A46453" s="8"/>
      <c r="B46453" s="12"/>
      <c r="C46453" s="8"/>
      <c r="D46453" s="8"/>
    </row>
    <row r="46454" spans="1:4" ht="15.75" customHeight="1">
      <c r="A46454" s="8"/>
      <c r="B46454" s="12"/>
      <c r="C46454" s="8"/>
      <c r="D46454" s="8"/>
    </row>
    <row r="46455" spans="1:4" ht="15.75" customHeight="1">
      <c r="A46455" s="8"/>
      <c r="B46455" s="12"/>
      <c r="C46455" s="8"/>
      <c r="D46455" s="8"/>
    </row>
    <row r="46456" spans="1:4" ht="15.75" customHeight="1">
      <c r="A46456" s="8"/>
      <c r="B46456" s="12"/>
      <c r="C46456" s="8"/>
      <c r="D46456" s="8"/>
    </row>
    <row r="46457" spans="1:4" ht="15.75" customHeight="1">
      <c r="A46457" s="8"/>
      <c r="B46457" s="12"/>
      <c r="C46457" s="8"/>
      <c r="D46457" s="8"/>
    </row>
    <row r="46458" spans="1:4" ht="15.75" customHeight="1">
      <c r="A46458" s="8"/>
      <c r="B46458" s="12"/>
      <c r="C46458" s="8"/>
      <c r="D46458" s="8"/>
    </row>
    <row r="46459" spans="1:4" ht="15.75" customHeight="1">
      <c r="A46459" s="8"/>
      <c r="B46459" s="12"/>
      <c r="C46459" s="8"/>
      <c r="D46459" s="8"/>
    </row>
    <row r="46460" spans="1:4" ht="15.75" customHeight="1">
      <c r="A46460" s="8"/>
      <c r="B46460" s="12"/>
      <c r="C46460" s="8"/>
      <c r="D46460" s="8"/>
    </row>
    <row r="46461" spans="1:4" ht="15.75" customHeight="1">
      <c r="A46461" s="8"/>
      <c r="B46461" s="12"/>
      <c r="C46461" s="8"/>
      <c r="D46461" s="8"/>
    </row>
    <row r="46462" spans="1:4" ht="15.75" customHeight="1">
      <c r="A46462" s="8"/>
      <c r="B46462" s="12"/>
      <c r="C46462" s="8"/>
      <c r="D46462" s="8"/>
    </row>
    <row r="46463" spans="1:4" ht="15.75" customHeight="1">
      <c r="A46463" s="8"/>
      <c r="B46463" s="12"/>
      <c r="C46463" s="8"/>
      <c r="D46463" s="8"/>
    </row>
    <row r="46464" spans="1:4" ht="15.75" customHeight="1">
      <c r="A46464" s="8"/>
      <c r="B46464" s="12"/>
      <c r="C46464" s="8"/>
      <c r="D46464" s="8"/>
    </row>
    <row r="46465" spans="1:4" ht="15.75" customHeight="1">
      <c r="A46465" s="8"/>
      <c r="B46465" s="12"/>
      <c r="C46465" s="8"/>
      <c r="D46465" s="8"/>
    </row>
    <row r="46466" spans="1:4" ht="15.75" customHeight="1">
      <c r="A46466" s="8"/>
      <c r="B46466" s="12"/>
      <c r="C46466" s="8"/>
      <c r="D46466" s="8"/>
    </row>
    <row r="46467" spans="1:4" ht="15.75" customHeight="1">
      <c r="A46467" s="8"/>
      <c r="B46467" s="12"/>
      <c r="C46467" s="8"/>
      <c r="D46467" s="8"/>
    </row>
    <row r="46468" spans="1:4" ht="15.75" customHeight="1">
      <c r="A46468" s="8"/>
      <c r="B46468" s="12"/>
      <c r="C46468" s="8"/>
      <c r="D46468" s="8"/>
    </row>
    <row r="46469" spans="1:4" ht="15.75" customHeight="1">
      <c r="A46469" s="8"/>
      <c r="B46469" s="12"/>
      <c r="C46469" s="8"/>
      <c r="D46469" s="8"/>
    </row>
    <row r="46470" spans="1:4" ht="15.75" customHeight="1">
      <c r="A46470" s="8"/>
      <c r="B46470" s="12"/>
      <c r="C46470" s="8"/>
      <c r="D46470" s="8"/>
    </row>
    <row r="46471" spans="1:4" ht="15.75" customHeight="1">
      <c r="A46471" s="8"/>
      <c r="B46471" s="12"/>
      <c r="C46471" s="8"/>
      <c r="D46471" s="8"/>
    </row>
    <row r="46472" spans="1:4" ht="15.75" customHeight="1">
      <c r="A46472" s="8"/>
      <c r="B46472" s="12"/>
      <c r="C46472" s="8"/>
      <c r="D46472" s="8"/>
    </row>
    <row r="46473" spans="1:4" ht="15.75" customHeight="1">
      <c r="A46473" s="8"/>
      <c r="B46473" s="12"/>
      <c r="C46473" s="8"/>
      <c r="D46473" s="8"/>
    </row>
    <row r="46474" spans="1:4" ht="15.75" customHeight="1">
      <c r="A46474" s="8"/>
      <c r="B46474" s="12"/>
      <c r="C46474" s="8"/>
      <c r="D46474" s="8"/>
    </row>
    <row r="46475" spans="1:4" ht="15.75" customHeight="1">
      <c r="A46475" s="8"/>
      <c r="B46475" s="12"/>
      <c r="C46475" s="8"/>
      <c r="D46475" s="8"/>
    </row>
    <row r="46476" spans="1:4" ht="15.75" customHeight="1">
      <c r="A46476" s="8"/>
      <c r="B46476" s="12"/>
      <c r="C46476" s="8"/>
      <c r="D46476" s="8"/>
    </row>
    <row r="46477" spans="1:4" ht="15.75" customHeight="1">
      <c r="A46477" s="8"/>
      <c r="B46477" s="12"/>
      <c r="C46477" s="8"/>
      <c r="D46477" s="8"/>
    </row>
    <row r="46478" spans="1:4" ht="15.75" customHeight="1">
      <c r="A46478" s="8"/>
      <c r="B46478" s="12"/>
      <c r="C46478" s="8"/>
      <c r="D46478" s="8"/>
    </row>
    <row r="46479" spans="1:4" ht="15.75" customHeight="1">
      <c r="A46479" s="8"/>
      <c r="B46479" s="12"/>
      <c r="C46479" s="8"/>
      <c r="D46479" s="8"/>
    </row>
    <row r="46480" spans="1:4" ht="15.75" customHeight="1">
      <c r="A46480" s="8"/>
      <c r="B46480" s="12"/>
      <c r="C46480" s="8"/>
      <c r="D46480" s="8"/>
    </row>
    <row r="46481" spans="1:4" ht="15.75" customHeight="1">
      <c r="A46481" s="8"/>
      <c r="B46481" s="12"/>
      <c r="C46481" s="8"/>
      <c r="D46481" s="8"/>
    </row>
    <row r="46482" spans="1:4" ht="15.75" customHeight="1">
      <c r="A46482" s="8"/>
      <c r="B46482" s="12"/>
      <c r="C46482" s="8"/>
      <c r="D46482" s="8"/>
    </row>
    <row r="46483" spans="1:4" ht="15.75" customHeight="1">
      <c r="A46483" s="8"/>
      <c r="B46483" s="12"/>
      <c r="C46483" s="8"/>
      <c r="D46483" s="8"/>
    </row>
    <row r="46484" spans="1:4" ht="15.75" customHeight="1">
      <c r="A46484" s="8"/>
      <c r="B46484" s="12"/>
      <c r="C46484" s="8"/>
      <c r="D46484" s="8"/>
    </row>
    <row r="46485" spans="1:4" ht="15.75" customHeight="1">
      <c r="A46485" s="8"/>
      <c r="B46485" s="12"/>
      <c r="C46485" s="8"/>
      <c r="D46485" s="8"/>
    </row>
    <row r="46486" spans="1:4" ht="15.75" customHeight="1">
      <c r="A46486" s="8"/>
      <c r="B46486" s="12"/>
      <c r="C46486" s="8"/>
      <c r="D46486" s="8"/>
    </row>
    <row r="46487" spans="1:4" ht="15.75" customHeight="1">
      <c r="A46487" s="8"/>
      <c r="B46487" s="12"/>
      <c r="C46487" s="8"/>
      <c r="D46487" s="8"/>
    </row>
    <row r="46488" spans="1:4" ht="15.75" customHeight="1">
      <c r="A46488" s="8"/>
      <c r="B46488" s="12"/>
      <c r="C46488" s="8"/>
      <c r="D46488" s="8"/>
    </row>
    <row r="46489" spans="1:4" ht="15.75" customHeight="1">
      <c r="A46489" s="8"/>
      <c r="B46489" s="12"/>
      <c r="C46489" s="8"/>
      <c r="D46489" s="8"/>
    </row>
    <row r="46490" spans="1:4" ht="15.75" customHeight="1">
      <c r="A46490" s="8"/>
      <c r="B46490" s="12"/>
      <c r="C46490" s="8"/>
      <c r="D46490" s="8"/>
    </row>
    <row r="46491" spans="1:4" ht="15.75" customHeight="1">
      <c r="A46491" s="8"/>
      <c r="B46491" s="12"/>
      <c r="C46491" s="8"/>
      <c r="D46491" s="8"/>
    </row>
    <row r="46492" spans="1:4" ht="15.75" customHeight="1">
      <c r="A46492" s="8"/>
      <c r="B46492" s="12"/>
      <c r="C46492" s="8"/>
      <c r="D46492" s="8"/>
    </row>
    <row r="46493" spans="1:4" ht="15.75" customHeight="1">
      <c r="A46493" s="8"/>
      <c r="B46493" s="12"/>
      <c r="C46493" s="8"/>
      <c r="D46493" s="8"/>
    </row>
    <row r="46494" spans="1:4" ht="15.75" customHeight="1">
      <c r="A46494" s="8"/>
      <c r="B46494" s="12"/>
      <c r="C46494" s="8"/>
      <c r="D46494" s="8"/>
    </row>
    <row r="46495" spans="1:4" ht="15.75" customHeight="1">
      <c r="A46495" s="8"/>
      <c r="B46495" s="12"/>
      <c r="C46495" s="8"/>
      <c r="D46495" s="8"/>
    </row>
    <row r="46496" spans="1:4" ht="15.75" customHeight="1">
      <c r="A46496" s="8"/>
      <c r="B46496" s="12"/>
      <c r="C46496" s="8"/>
      <c r="D46496" s="8"/>
    </row>
    <row r="46497" spans="1:4" ht="15.75" customHeight="1">
      <c r="A46497" s="8"/>
      <c r="B46497" s="12"/>
      <c r="C46497" s="8"/>
      <c r="D46497" s="8"/>
    </row>
    <row r="46498" spans="1:4" ht="15.75" customHeight="1">
      <c r="A46498" s="8"/>
      <c r="B46498" s="12"/>
      <c r="C46498" s="8"/>
      <c r="D46498" s="8"/>
    </row>
    <row r="46499" spans="1:4" ht="15.75" customHeight="1">
      <c r="A46499" s="8"/>
      <c r="B46499" s="12"/>
      <c r="C46499" s="8"/>
      <c r="D46499" s="8"/>
    </row>
    <row r="46500" spans="1:4" ht="15.75" customHeight="1">
      <c r="A46500" s="8"/>
      <c r="B46500" s="12"/>
      <c r="C46500" s="8"/>
      <c r="D46500" s="8"/>
    </row>
    <row r="46501" spans="1:4" ht="15.75" customHeight="1">
      <c r="A46501" s="8"/>
      <c r="B46501" s="12"/>
      <c r="C46501" s="8"/>
      <c r="D46501" s="8"/>
    </row>
    <row r="46502" spans="1:4" ht="15.75" customHeight="1">
      <c r="A46502" s="8"/>
      <c r="B46502" s="12"/>
      <c r="C46502" s="8"/>
      <c r="D46502" s="8"/>
    </row>
    <row r="46503" spans="1:4" ht="15.75" customHeight="1">
      <c r="A46503" s="8"/>
      <c r="B46503" s="12"/>
      <c r="C46503" s="8"/>
      <c r="D46503" s="8"/>
    </row>
    <row r="46504" spans="1:4" ht="15.75" customHeight="1">
      <c r="A46504" s="8"/>
      <c r="B46504" s="12"/>
      <c r="C46504" s="8"/>
      <c r="D46504" s="8"/>
    </row>
    <row r="46505" spans="1:4" ht="15.75" customHeight="1">
      <c r="A46505" s="8"/>
      <c r="B46505" s="12"/>
      <c r="C46505" s="8"/>
      <c r="D46505" s="8"/>
    </row>
    <row r="46506" spans="1:4" ht="15.75" customHeight="1">
      <c r="A46506" s="8"/>
      <c r="B46506" s="12"/>
      <c r="C46506" s="8"/>
      <c r="D46506" s="8"/>
    </row>
    <row r="46507" spans="1:4" ht="15.75" customHeight="1">
      <c r="A46507" s="8"/>
      <c r="B46507" s="12"/>
      <c r="C46507" s="8"/>
      <c r="D46507" s="8"/>
    </row>
    <row r="46508" spans="1:4" ht="15.75" customHeight="1">
      <c r="A46508" s="8"/>
      <c r="B46508" s="12"/>
      <c r="C46508" s="8"/>
      <c r="D46508" s="8"/>
    </row>
    <row r="46509" spans="1:4" ht="15.75" customHeight="1">
      <c r="A46509" s="8"/>
      <c r="B46509" s="12"/>
      <c r="C46509" s="8"/>
      <c r="D46509" s="8"/>
    </row>
    <row r="46510" spans="1:4" ht="15.75" customHeight="1">
      <c r="A46510" s="8"/>
      <c r="B46510" s="12"/>
      <c r="C46510" s="8"/>
      <c r="D46510" s="8"/>
    </row>
    <row r="46511" spans="1:4" ht="15.75" customHeight="1">
      <c r="A46511" s="8"/>
      <c r="B46511" s="12"/>
      <c r="C46511" s="8"/>
      <c r="D46511" s="8"/>
    </row>
    <row r="46512" spans="1:4" ht="15.75" customHeight="1">
      <c r="A46512" s="8"/>
      <c r="B46512" s="12"/>
      <c r="C46512" s="8"/>
      <c r="D46512" s="8"/>
    </row>
    <row r="46513" spans="1:4" ht="15.75" customHeight="1">
      <c r="A46513" s="8"/>
      <c r="B46513" s="12"/>
      <c r="C46513" s="8"/>
      <c r="D46513" s="8"/>
    </row>
    <row r="46514" spans="1:4" ht="15.75" customHeight="1">
      <c r="A46514" s="8"/>
      <c r="B46514" s="12"/>
      <c r="C46514" s="8"/>
      <c r="D46514" s="8"/>
    </row>
    <row r="46515" spans="1:4" ht="15.75" customHeight="1">
      <c r="A46515" s="8"/>
      <c r="B46515" s="12"/>
      <c r="C46515" s="8"/>
      <c r="D46515" s="8"/>
    </row>
    <row r="46516" spans="1:4" ht="15.75" customHeight="1">
      <c r="A46516" s="8"/>
      <c r="B46516" s="12"/>
      <c r="C46516" s="8"/>
      <c r="D46516" s="8"/>
    </row>
    <row r="46517" spans="1:4" ht="15.75" customHeight="1">
      <c r="A46517" s="8"/>
      <c r="B46517" s="12"/>
      <c r="C46517" s="8"/>
      <c r="D46517" s="8"/>
    </row>
    <row r="46518" spans="1:4" ht="15.75" customHeight="1">
      <c r="A46518" s="8"/>
      <c r="B46518" s="12"/>
      <c r="C46518" s="8"/>
      <c r="D46518" s="8"/>
    </row>
    <row r="46519" spans="1:4" ht="15.75" customHeight="1">
      <c r="A46519" s="8"/>
      <c r="B46519" s="12"/>
      <c r="C46519" s="8"/>
      <c r="D46519" s="8"/>
    </row>
    <row r="46520" spans="1:4" ht="15.75" customHeight="1">
      <c r="A46520" s="8"/>
      <c r="B46520" s="12"/>
      <c r="C46520" s="8"/>
      <c r="D46520" s="8"/>
    </row>
    <row r="46521" spans="1:4" ht="15.75" customHeight="1">
      <c r="A46521" s="8"/>
      <c r="B46521" s="12"/>
      <c r="C46521" s="8"/>
      <c r="D46521" s="8"/>
    </row>
    <row r="46522" spans="1:4" ht="15.75" customHeight="1">
      <c r="A46522" s="8"/>
      <c r="B46522" s="12"/>
      <c r="C46522" s="8"/>
      <c r="D46522" s="8"/>
    </row>
    <row r="46523" spans="1:4" ht="15.75" customHeight="1">
      <c r="A46523" s="8"/>
      <c r="B46523" s="12"/>
      <c r="C46523" s="8"/>
      <c r="D46523" s="8"/>
    </row>
    <row r="46524" spans="1:4" ht="15.75" customHeight="1">
      <c r="A46524" s="8"/>
      <c r="B46524" s="12"/>
      <c r="C46524" s="8"/>
      <c r="D46524" s="8"/>
    </row>
    <row r="46525" spans="1:4" ht="15.75" customHeight="1">
      <c r="A46525" s="8"/>
      <c r="B46525" s="12"/>
      <c r="C46525" s="8"/>
      <c r="D46525" s="8"/>
    </row>
    <row r="46526" spans="1:4" ht="15.75" customHeight="1">
      <c r="A46526" s="8"/>
      <c r="B46526" s="12"/>
      <c r="C46526" s="8"/>
      <c r="D46526" s="8"/>
    </row>
    <row r="46527" spans="1:4" ht="15.75" customHeight="1">
      <c r="A46527" s="8"/>
      <c r="B46527" s="12"/>
      <c r="C46527" s="8"/>
      <c r="D46527" s="8"/>
    </row>
    <row r="46528" spans="1:4" ht="15.75" customHeight="1">
      <c r="A46528" s="8"/>
      <c r="B46528" s="12"/>
      <c r="C46528" s="8"/>
      <c r="D46528" s="8"/>
    </row>
    <row r="46529" spans="1:4" ht="15.75" customHeight="1">
      <c r="A46529" s="8"/>
      <c r="B46529" s="12"/>
      <c r="C46529" s="8"/>
      <c r="D46529" s="8"/>
    </row>
    <row r="46530" spans="1:4" ht="15.75" customHeight="1">
      <c r="A46530" s="8"/>
      <c r="B46530" s="12"/>
      <c r="C46530" s="8"/>
      <c r="D46530" s="8"/>
    </row>
    <row r="46531" spans="1:4" ht="15.75" customHeight="1">
      <c r="A46531" s="8"/>
      <c r="B46531" s="12"/>
      <c r="C46531" s="8"/>
      <c r="D46531" s="8"/>
    </row>
    <row r="46532" spans="1:4" ht="15.75" customHeight="1">
      <c r="A46532" s="8"/>
      <c r="B46532" s="12"/>
      <c r="C46532" s="8"/>
      <c r="D46532" s="8"/>
    </row>
    <row r="46533" spans="1:4" ht="15.75" customHeight="1">
      <c r="A46533" s="8"/>
      <c r="B46533" s="12"/>
      <c r="C46533" s="8"/>
      <c r="D46533" s="8"/>
    </row>
    <row r="46534" spans="1:4" ht="15.75" customHeight="1">
      <c r="A46534" s="8"/>
      <c r="B46534" s="12"/>
      <c r="C46534" s="8"/>
      <c r="D46534" s="8"/>
    </row>
    <row r="46535" spans="1:4" ht="15.75" customHeight="1">
      <c r="A46535" s="8"/>
      <c r="B46535" s="12"/>
      <c r="C46535" s="8"/>
      <c r="D46535" s="8"/>
    </row>
    <row r="46536" spans="1:4" ht="15.75" customHeight="1">
      <c r="A46536" s="8"/>
      <c r="B46536" s="12"/>
      <c r="C46536" s="8"/>
      <c r="D46536" s="8"/>
    </row>
    <row r="46537" spans="1:4" ht="15.75" customHeight="1">
      <c r="A46537" s="8"/>
      <c r="B46537" s="12"/>
      <c r="C46537" s="8"/>
      <c r="D46537" s="8"/>
    </row>
    <row r="46538" spans="1:4" ht="15.75" customHeight="1">
      <c r="A46538" s="8"/>
      <c r="B46538" s="12"/>
      <c r="C46538" s="8"/>
      <c r="D46538" s="8"/>
    </row>
    <row r="46539" spans="1:4" ht="15.75" customHeight="1">
      <c r="A46539" s="8"/>
      <c r="B46539" s="12"/>
      <c r="C46539" s="8"/>
      <c r="D46539" s="8"/>
    </row>
    <row r="46540" spans="1:4" ht="15.75" customHeight="1">
      <c r="A46540" s="8"/>
      <c r="B46540" s="12"/>
      <c r="C46540" s="8"/>
      <c r="D46540" s="8"/>
    </row>
    <row r="46541" spans="1:4" ht="15.75" customHeight="1">
      <c r="A46541" s="8"/>
      <c r="B46541" s="12"/>
      <c r="C46541" s="8"/>
      <c r="D46541" s="8"/>
    </row>
    <row r="46542" spans="1:4" ht="15.75" customHeight="1">
      <c r="A46542" s="8"/>
      <c r="B46542" s="12"/>
      <c r="C46542" s="8"/>
      <c r="D46542" s="8"/>
    </row>
    <row r="46543" spans="1:4" ht="15.75" customHeight="1">
      <c r="A46543" s="8"/>
      <c r="B46543" s="12"/>
      <c r="C46543" s="8"/>
      <c r="D46543" s="8"/>
    </row>
    <row r="46544" spans="1:4" ht="15.75" customHeight="1">
      <c r="A46544" s="8"/>
      <c r="B46544" s="12"/>
      <c r="C46544" s="8"/>
      <c r="D46544" s="8"/>
    </row>
    <row r="46545" spans="1:4" ht="15.75" customHeight="1">
      <c r="A46545" s="8"/>
      <c r="B46545" s="12"/>
      <c r="C46545" s="8"/>
      <c r="D46545" s="8"/>
    </row>
    <row r="46546" spans="1:4" ht="15.75" customHeight="1">
      <c r="A46546" s="8"/>
      <c r="B46546" s="12"/>
      <c r="C46546" s="8"/>
      <c r="D46546" s="8"/>
    </row>
    <row r="46547" spans="1:4" ht="15.75" customHeight="1">
      <c r="A46547" s="8"/>
      <c r="B46547" s="12"/>
      <c r="C46547" s="8"/>
      <c r="D46547" s="8"/>
    </row>
    <row r="46548" spans="1:4" ht="15.75" customHeight="1">
      <c r="A46548" s="8"/>
      <c r="B46548" s="12"/>
      <c r="C46548" s="8"/>
      <c r="D46548" s="8"/>
    </row>
    <row r="46549" spans="1:4" ht="15.75" customHeight="1">
      <c r="A46549" s="8"/>
      <c r="B46549" s="12"/>
      <c r="C46549" s="8"/>
      <c r="D46549" s="8"/>
    </row>
    <row r="46550" spans="1:4" ht="15.75" customHeight="1">
      <c r="A46550" s="8"/>
      <c r="B46550" s="12"/>
      <c r="C46550" s="8"/>
      <c r="D46550" s="8"/>
    </row>
    <row r="46551" spans="1:4" ht="15.75" customHeight="1">
      <c r="A46551" s="8"/>
      <c r="B46551" s="12"/>
      <c r="C46551" s="8"/>
      <c r="D46551" s="8"/>
    </row>
    <row r="46552" spans="1:4" ht="15.75" customHeight="1">
      <c r="A46552" s="8"/>
      <c r="B46552" s="12"/>
      <c r="C46552" s="8"/>
      <c r="D46552" s="8"/>
    </row>
    <row r="46553" spans="1:4" ht="15.75" customHeight="1">
      <c r="A46553" s="8"/>
      <c r="B46553" s="12"/>
      <c r="C46553" s="8"/>
      <c r="D46553" s="8"/>
    </row>
    <row r="46554" spans="1:4" ht="15.75" customHeight="1">
      <c r="A46554" s="8"/>
      <c r="B46554" s="12"/>
      <c r="C46554" s="8"/>
      <c r="D46554" s="8"/>
    </row>
    <row r="46555" spans="1:4" ht="15.75" customHeight="1">
      <c r="A46555" s="8"/>
      <c r="B46555" s="12"/>
      <c r="C46555" s="8"/>
      <c r="D46555" s="8"/>
    </row>
    <row r="46556" spans="1:4" ht="15.75" customHeight="1">
      <c r="A46556" s="8"/>
      <c r="B46556" s="12"/>
      <c r="C46556" s="8"/>
      <c r="D46556" s="8"/>
    </row>
    <row r="46557" spans="1:4" ht="15.75" customHeight="1">
      <c r="A46557" s="8"/>
      <c r="B46557" s="12"/>
      <c r="C46557" s="8"/>
      <c r="D46557" s="8"/>
    </row>
    <row r="46558" spans="1:4" ht="15.75" customHeight="1">
      <c r="A46558" s="8"/>
      <c r="B46558" s="12"/>
      <c r="C46558" s="8"/>
      <c r="D46558" s="8"/>
    </row>
    <row r="46559" spans="1:4" ht="15.75" customHeight="1">
      <c r="A46559" s="8"/>
      <c r="B46559" s="12"/>
      <c r="C46559" s="8"/>
      <c r="D46559" s="8"/>
    </row>
    <row r="46560" spans="1:4" ht="15.75" customHeight="1">
      <c r="A46560" s="8"/>
      <c r="B46560" s="12"/>
      <c r="C46560" s="8"/>
      <c r="D46560" s="8"/>
    </row>
    <row r="46561" spans="1:4" ht="15.75" customHeight="1">
      <c r="A46561" s="8"/>
      <c r="B46561" s="12"/>
      <c r="C46561" s="8"/>
      <c r="D46561" s="8"/>
    </row>
    <row r="46562" spans="1:4" ht="15.75" customHeight="1">
      <c r="A46562" s="8"/>
      <c r="B46562" s="12"/>
      <c r="C46562" s="8"/>
      <c r="D46562" s="8"/>
    </row>
    <row r="46563" spans="1:4" ht="15.75" customHeight="1">
      <c r="A46563" s="8"/>
      <c r="B46563" s="12"/>
      <c r="C46563" s="8"/>
      <c r="D46563" s="8"/>
    </row>
    <row r="46564" spans="1:4" ht="15.75" customHeight="1">
      <c r="A46564" s="8"/>
      <c r="B46564" s="12"/>
      <c r="C46564" s="8"/>
      <c r="D46564" s="8"/>
    </row>
    <row r="46565" spans="1:4" ht="15.75" customHeight="1">
      <c r="A46565" s="8"/>
      <c r="B46565" s="12"/>
      <c r="C46565" s="8"/>
      <c r="D46565" s="8"/>
    </row>
    <row r="46566" spans="1:4" ht="15.75" customHeight="1">
      <c r="A46566" s="8"/>
      <c r="B46566" s="12"/>
      <c r="C46566" s="8"/>
      <c r="D46566" s="8"/>
    </row>
    <row r="46567" spans="1:4" ht="15.75" customHeight="1">
      <c r="A46567" s="8"/>
      <c r="B46567" s="12"/>
      <c r="C46567" s="8"/>
      <c r="D46567" s="8"/>
    </row>
    <row r="46568" spans="1:4" ht="15.75" customHeight="1">
      <c r="A46568" s="8"/>
      <c r="B46568" s="12"/>
      <c r="C46568" s="8"/>
      <c r="D46568" s="8"/>
    </row>
    <row r="46569" spans="1:4" ht="15.75" customHeight="1">
      <c r="A46569" s="8"/>
      <c r="B46569" s="12"/>
      <c r="C46569" s="8"/>
      <c r="D46569" s="8"/>
    </row>
    <row r="46570" spans="1:4" ht="15.75" customHeight="1">
      <c r="A46570" s="8"/>
      <c r="B46570" s="12"/>
      <c r="C46570" s="8"/>
      <c r="D46570" s="8"/>
    </row>
    <row r="46571" spans="1:4" ht="15.75" customHeight="1">
      <c r="A46571" s="8"/>
      <c r="B46571" s="12"/>
      <c r="C46571" s="8"/>
      <c r="D46571" s="8"/>
    </row>
    <row r="46572" spans="1:4" ht="15.75" customHeight="1">
      <c r="A46572" s="8"/>
      <c r="B46572" s="12"/>
      <c r="C46572" s="8"/>
      <c r="D46572" s="8"/>
    </row>
    <row r="46573" spans="1:4" ht="15.75" customHeight="1">
      <c r="A46573" s="8"/>
      <c r="B46573" s="12"/>
      <c r="C46573" s="8"/>
      <c r="D46573" s="8"/>
    </row>
    <row r="46574" spans="1:4" ht="15.75" customHeight="1">
      <c r="A46574" s="8"/>
      <c r="B46574" s="12"/>
      <c r="C46574" s="8"/>
      <c r="D46574" s="8"/>
    </row>
    <row r="46575" spans="1:4" ht="15.75" customHeight="1">
      <c r="A46575" s="8"/>
      <c r="B46575" s="12"/>
      <c r="C46575" s="8"/>
      <c r="D46575" s="8"/>
    </row>
    <row r="46576" spans="1:4" ht="15.75" customHeight="1">
      <c r="A46576" s="8"/>
      <c r="B46576" s="12"/>
      <c r="C46576" s="8"/>
      <c r="D46576" s="8"/>
    </row>
    <row r="46577" spans="1:4" ht="15.75" customHeight="1">
      <c r="A46577" s="8"/>
      <c r="B46577" s="12"/>
      <c r="C46577" s="8"/>
      <c r="D46577" s="8"/>
    </row>
    <row r="46578" spans="1:4" ht="15.75" customHeight="1">
      <c r="A46578" s="8"/>
      <c r="B46578" s="12"/>
      <c r="C46578" s="8"/>
      <c r="D46578" s="8"/>
    </row>
    <row r="46579" spans="1:4" ht="15.75" customHeight="1">
      <c r="A46579" s="8"/>
      <c r="B46579" s="12"/>
      <c r="C46579" s="8"/>
      <c r="D46579" s="8"/>
    </row>
    <row r="46580" spans="1:4" ht="15.75" customHeight="1">
      <c r="A46580" s="8"/>
      <c r="B46580" s="12"/>
      <c r="C46580" s="8"/>
      <c r="D46580" s="8"/>
    </row>
    <row r="46581" spans="1:4" ht="15.75" customHeight="1">
      <c r="A46581" s="8"/>
      <c r="B46581" s="12"/>
      <c r="C46581" s="8"/>
      <c r="D46581" s="8"/>
    </row>
    <row r="46582" spans="1:4" ht="15.75" customHeight="1">
      <c r="A46582" s="8"/>
      <c r="B46582" s="12"/>
      <c r="C46582" s="8"/>
      <c r="D46582" s="8"/>
    </row>
    <row r="46583" spans="1:4" ht="15.75" customHeight="1">
      <c r="A46583" s="8"/>
      <c r="B46583" s="12"/>
      <c r="C46583" s="8"/>
      <c r="D46583" s="8"/>
    </row>
    <row r="46584" spans="1:4" ht="15.75" customHeight="1">
      <c r="A46584" s="8"/>
      <c r="B46584" s="12"/>
      <c r="C46584" s="8"/>
      <c r="D46584" s="8"/>
    </row>
    <row r="46585" spans="1:4" ht="15.75" customHeight="1">
      <c r="A46585" s="8"/>
      <c r="B46585" s="12"/>
      <c r="C46585" s="8"/>
      <c r="D46585" s="8"/>
    </row>
    <row r="46586" spans="1:4" ht="15.75" customHeight="1">
      <c r="A46586" s="8"/>
      <c r="B46586" s="12"/>
      <c r="C46586" s="8"/>
      <c r="D46586" s="8"/>
    </row>
    <row r="46587" spans="1:4" ht="15.75" customHeight="1">
      <c r="A46587" s="8"/>
      <c r="B46587" s="12"/>
      <c r="C46587" s="8"/>
      <c r="D46587" s="8"/>
    </row>
    <row r="46588" spans="1:4" ht="15.75" customHeight="1">
      <c r="A46588" s="8"/>
      <c r="B46588" s="12"/>
      <c r="C46588" s="8"/>
      <c r="D46588" s="8"/>
    </row>
    <row r="46589" spans="1:4" ht="15.75" customHeight="1">
      <c r="A46589" s="8"/>
      <c r="B46589" s="12"/>
      <c r="C46589" s="8"/>
      <c r="D46589" s="8"/>
    </row>
    <row r="46590" spans="1:4" ht="15.75" customHeight="1">
      <c r="A46590" s="8"/>
      <c r="B46590" s="12"/>
      <c r="C46590" s="8"/>
      <c r="D46590" s="8"/>
    </row>
    <row r="46591" spans="1:4" ht="15.75" customHeight="1">
      <c r="A46591" s="8"/>
      <c r="B46591" s="12"/>
      <c r="C46591" s="8"/>
      <c r="D46591" s="8"/>
    </row>
    <row r="46592" spans="1:4" ht="15.75" customHeight="1">
      <c r="A46592" s="8"/>
      <c r="B46592" s="12"/>
      <c r="C46592" s="8"/>
      <c r="D46592" s="8"/>
    </row>
    <row r="46593" spans="1:4" ht="15.75" customHeight="1">
      <c r="A46593" s="8"/>
      <c r="B46593" s="12"/>
      <c r="C46593" s="8"/>
      <c r="D46593" s="8"/>
    </row>
    <row r="46594" spans="1:4" ht="15.75" customHeight="1">
      <c r="A46594" s="8"/>
      <c r="B46594" s="12"/>
      <c r="C46594" s="8"/>
      <c r="D46594" s="8"/>
    </row>
    <row r="46595" spans="1:4" ht="15.75" customHeight="1">
      <c r="A46595" s="8"/>
      <c r="B46595" s="12"/>
      <c r="C46595" s="8"/>
      <c r="D46595" s="8"/>
    </row>
    <row r="46596" spans="1:4" ht="15.75" customHeight="1">
      <c r="A46596" s="8"/>
      <c r="B46596" s="12"/>
      <c r="C46596" s="8"/>
      <c r="D46596" s="8"/>
    </row>
    <row r="46597" spans="1:4" ht="15.75" customHeight="1">
      <c r="A46597" s="8"/>
      <c r="B46597" s="12"/>
      <c r="C46597" s="8"/>
      <c r="D46597" s="8"/>
    </row>
    <row r="46598" spans="1:4" ht="15.75" customHeight="1">
      <c r="A46598" s="8"/>
      <c r="B46598" s="12"/>
      <c r="C46598" s="8"/>
      <c r="D46598" s="8"/>
    </row>
    <row r="46599" spans="1:4" ht="15.75" customHeight="1">
      <c r="A46599" s="8"/>
      <c r="B46599" s="12"/>
      <c r="C46599" s="8"/>
      <c r="D46599" s="8"/>
    </row>
    <row r="46600" spans="1:4" ht="15.75" customHeight="1">
      <c r="A46600" s="8"/>
      <c r="B46600" s="12"/>
      <c r="C46600" s="8"/>
      <c r="D46600" s="8"/>
    </row>
    <row r="46601" spans="1:4" ht="15.75" customHeight="1">
      <c r="A46601" s="8"/>
      <c r="B46601" s="12"/>
      <c r="C46601" s="8"/>
      <c r="D46601" s="8"/>
    </row>
    <row r="46602" spans="1:4" ht="15.75" customHeight="1">
      <c r="A46602" s="8"/>
      <c r="B46602" s="12"/>
      <c r="C46602" s="8"/>
      <c r="D46602" s="8"/>
    </row>
    <row r="46603" spans="1:4" ht="15.75" customHeight="1">
      <c r="A46603" s="8"/>
      <c r="B46603" s="12"/>
      <c r="C46603" s="8"/>
      <c r="D46603" s="8"/>
    </row>
    <row r="46604" spans="1:4" ht="15.75" customHeight="1">
      <c r="A46604" s="8"/>
      <c r="B46604" s="12"/>
      <c r="C46604" s="8"/>
      <c r="D46604" s="8"/>
    </row>
    <row r="46605" spans="1:4" ht="15.75" customHeight="1">
      <c r="A46605" s="8"/>
      <c r="B46605" s="12"/>
      <c r="C46605" s="8"/>
      <c r="D46605" s="8"/>
    </row>
    <row r="46606" spans="1:4" ht="15.75" customHeight="1">
      <c r="A46606" s="8"/>
      <c r="B46606" s="12"/>
      <c r="C46606" s="8"/>
      <c r="D46606" s="8"/>
    </row>
    <row r="46607" spans="1:4" ht="15.75" customHeight="1">
      <c r="A46607" s="8"/>
      <c r="B46607" s="12"/>
      <c r="C46607" s="8"/>
      <c r="D46607" s="8"/>
    </row>
    <row r="46608" spans="1:4" ht="15.75" customHeight="1">
      <c r="A46608" s="8"/>
      <c r="B46608" s="12"/>
      <c r="C46608" s="8"/>
      <c r="D46608" s="8"/>
    </row>
    <row r="46609" spans="1:4" ht="15.75" customHeight="1">
      <c r="A46609" s="8"/>
      <c r="B46609" s="12"/>
      <c r="C46609" s="8"/>
      <c r="D46609" s="8"/>
    </row>
    <row r="46610" spans="1:4" ht="15.75" customHeight="1">
      <c r="A46610" s="8"/>
      <c r="B46610" s="12"/>
      <c r="C46610" s="8"/>
      <c r="D46610" s="8"/>
    </row>
    <row r="46611" spans="1:4" ht="15.75" customHeight="1">
      <c r="A46611" s="8"/>
      <c r="B46611" s="12"/>
      <c r="C46611" s="8"/>
      <c r="D46611" s="8"/>
    </row>
    <row r="46612" spans="1:4" ht="15.75" customHeight="1">
      <c r="A46612" s="8"/>
      <c r="B46612" s="12"/>
      <c r="C46612" s="8"/>
      <c r="D46612" s="8"/>
    </row>
    <row r="46613" spans="1:4" ht="15.75" customHeight="1">
      <c r="A46613" s="8"/>
      <c r="B46613" s="12"/>
      <c r="C46613" s="8"/>
      <c r="D46613" s="8"/>
    </row>
    <row r="46614" spans="1:4" ht="15.75" customHeight="1">
      <c r="A46614" s="8"/>
      <c r="B46614" s="12"/>
      <c r="C46614" s="8"/>
      <c r="D46614" s="8"/>
    </row>
    <row r="46615" spans="1:4" ht="15.75" customHeight="1">
      <c r="A46615" s="8"/>
      <c r="B46615" s="12"/>
      <c r="C46615" s="8"/>
      <c r="D46615" s="8"/>
    </row>
    <row r="46616" spans="1:4" ht="15.75" customHeight="1">
      <c r="A46616" s="8"/>
      <c r="B46616" s="12"/>
      <c r="C46616" s="8"/>
      <c r="D46616" s="8"/>
    </row>
    <row r="46617" spans="1:4" ht="15.75" customHeight="1">
      <c r="A46617" s="8"/>
      <c r="B46617" s="12"/>
      <c r="C46617" s="8"/>
      <c r="D46617" s="8"/>
    </row>
    <row r="46618" spans="1:4" ht="15.75" customHeight="1">
      <c r="A46618" s="8"/>
      <c r="B46618" s="12"/>
      <c r="C46618" s="8"/>
      <c r="D46618" s="8"/>
    </row>
    <row r="46619" spans="1:4" ht="15.75" customHeight="1">
      <c r="A46619" s="8"/>
      <c r="B46619" s="12"/>
      <c r="C46619" s="8"/>
      <c r="D46619" s="8"/>
    </row>
    <row r="46620" spans="1:4" ht="15.75" customHeight="1">
      <c r="A46620" s="8"/>
      <c r="B46620" s="12"/>
      <c r="C46620" s="8"/>
      <c r="D46620" s="8"/>
    </row>
    <row r="46621" spans="1:4" ht="15.75" customHeight="1">
      <c r="A46621" s="8"/>
      <c r="B46621" s="12"/>
      <c r="C46621" s="8"/>
      <c r="D46621" s="8"/>
    </row>
    <row r="46622" spans="1:4" ht="15.75" customHeight="1">
      <c r="A46622" s="8"/>
      <c r="B46622" s="12"/>
      <c r="C46622" s="8"/>
      <c r="D46622" s="8"/>
    </row>
    <row r="46623" spans="1:4" ht="15.75" customHeight="1">
      <c r="A46623" s="8"/>
      <c r="B46623" s="12"/>
      <c r="C46623" s="8"/>
      <c r="D46623" s="8"/>
    </row>
    <row r="46624" spans="1:4" ht="15.75" customHeight="1">
      <c r="A46624" s="8"/>
      <c r="B46624" s="12"/>
      <c r="C46624" s="8"/>
      <c r="D46624" s="8"/>
    </row>
    <row r="46625" spans="1:4" ht="15.75" customHeight="1">
      <c r="A46625" s="8"/>
      <c r="B46625" s="12"/>
      <c r="C46625" s="8"/>
      <c r="D46625" s="8"/>
    </row>
    <row r="46626" spans="1:4" ht="15.75" customHeight="1">
      <c r="A46626" s="8"/>
      <c r="B46626" s="12"/>
      <c r="C46626" s="8"/>
      <c r="D46626" s="8"/>
    </row>
    <row r="46627" spans="1:4" ht="15.75" customHeight="1">
      <c r="A46627" s="8"/>
      <c r="B46627" s="12"/>
      <c r="C46627" s="8"/>
      <c r="D46627" s="8"/>
    </row>
    <row r="46628" spans="1:4" ht="15.75" customHeight="1">
      <c r="A46628" s="8"/>
      <c r="B46628" s="12"/>
      <c r="C46628" s="8"/>
      <c r="D46628" s="8"/>
    </row>
    <row r="46629" spans="1:4" ht="15.75" customHeight="1">
      <c r="A46629" s="8"/>
      <c r="B46629" s="12"/>
      <c r="C46629" s="8"/>
      <c r="D46629" s="8"/>
    </row>
    <row r="46630" spans="1:4" ht="15.75" customHeight="1">
      <c r="A46630" s="8"/>
      <c r="B46630" s="12"/>
      <c r="C46630" s="8"/>
      <c r="D46630" s="8"/>
    </row>
    <row r="46631" spans="1:4" ht="15.75" customHeight="1">
      <c r="A46631" s="8"/>
      <c r="B46631" s="12"/>
      <c r="C46631" s="8"/>
      <c r="D46631" s="8"/>
    </row>
    <row r="46632" spans="1:4" ht="15.75" customHeight="1">
      <c r="A46632" s="8"/>
      <c r="B46632" s="12"/>
      <c r="C46632" s="8"/>
      <c r="D46632" s="8"/>
    </row>
    <row r="46633" spans="1:4" ht="15.75" customHeight="1">
      <c r="A46633" s="8"/>
      <c r="B46633" s="12"/>
      <c r="C46633" s="8"/>
      <c r="D46633" s="8"/>
    </row>
    <row r="46634" spans="1:4" ht="15.75" customHeight="1">
      <c r="A46634" s="8"/>
      <c r="B46634" s="12"/>
      <c r="C46634" s="8"/>
      <c r="D46634" s="8"/>
    </row>
    <row r="46635" spans="1:4" ht="15.75" customHeight="1">
      <c r="A46635" s="8"/>
      <c r="B46635" s="12"/>
      <c r="C46635" s="8"/>
      <c r="D46635" s="8"/>
    </row>
    <row r="46636" spans="1:4" ht="15.75" customHeight="1">
      <c r="A46636" s="8"/>
      <c r="B46636" s="12"/>
      <c r="C46636" s="8"/>
      <c r="D46636" s="8"/>
    </row>
    <row r="46637" spans="1:4" ht="15.75" customHeight="1">
      <c r="A46637" s="8"/>
      <c r="B46637" s="12"/>
      <c r="C46637" s="8"/>
      <c r="D46637" s="8"/>
    </row>
    <row r="46638" spans="1:4" ht="15.75" customHeight="1">
      <c r="A46638" s="8"/>
      <c r="B46638" s="12"/>
      <c r="C46638" s="8"/>
      <c r="D46638" s="8"/>
    </row>
    <row r="46639" spans="1:4" ht="15.75" customHeight="1">
      <c r="A46639" s="8"/>
      <c r="B46639" s="12"/>
      <c r="C46639" s="8"/>
      <c r="D46639" s="8"/>
    </row>
    <row r="46640" spans="1:4" ht="15.75" customHeight="1">
      <c r="A46640" s="8"/>
      <c r="B46640" s="12"/>
      <c r="C46640" s="8"/>
      <c r="D46640" s="8"/>
    </row>
    <row r="46641" spans="1:4" ht="15.75" customHeight="1">
      <c r="A46641" s="8"/>
      <c r="B46641" s="12"/>
      <c r="C46641" s="8"/>
      <c r="D46641" s="8"/>
    </row>
    <row r="46642" spans="1:4" ht="15.75" customHeight="1">
      <c r="A46642" s="8"/>
      <c r="B46642" s="12"/>
      <c r="C46642" s="8"/>
      <c r="D46642" s="8"/>
    </row>
    <row r="46643" spans="1:4" ht="15.75" customHeight="1">
      <c r="A46643" s="8"/>
      <c r="B46643" s="12"/>
      <c r="C46643" s="8"/>
      <c r="D46643" s="8"/>
    </row>
    <row r="46644" spans="1:4" ht="15.75" customHeight="1">
      <c r="A46644" s="8"/>
      <c r="B46644" s="12"/>
      <c r="C46644" s="8"/>
      <c r="D46644" s="8"/>
    </row>
    <row r="46645" spans="1:4" ht="15.75" customHeight="1">
      <c r="A46645" s="8"/>
      <c r="B46645" s="12"/>
      <c r="C46645" s="8"/>
      <c r="D46645" s="8"/>
    </row>
    <row r="46646" spans="1:4" ht="15.75" customHeight="1">
      <c r="A46646" s="8"/>
      <c r="B46646" s="12"/>
      <c r="C46646" s="8"/>
      <c r="D46646" s="8"/>
    </row>
    <row r="46647" spans="1:4" ht="15.75" customHeight="1">
      <c r="A46647" s="8"/>
      <c r="B46647" s="12"/>
      <c r="C46647" s="8"/>
      <c r="D46647" s="8"/>
    </row>
    <row r="46648" spans="1:4" ht="15.75" customHeight="1">
      <c r="A46648" s="8"/>
      <c r="B46648" s="12"/>
      <c r="C46648" s="8"/>
      <c r="D46648" s="8"/>
    </row>
    <row r="46649" spans="1:4" ht="15.75" customHeight="1">
      <c r="A46649" s="8"/>
      <c r="B46649" s="12"/>
      <c r="C46649" s="8"/>
      <c r="D46649" s="8"/>
    </row>
    <row r="46650" spans="1:4" ht="15.75" customHeight="1">
      <c r="A46650" s="8"/>
      <c r="B46650" s="12"/>
      <c r="C46650" s="8"/>
      <c r="D46650" s="8"/>
    </row>
    <row r="46651" spans="1:4" ht="15.75" customHeight="1">
      <c r="A46651" s="8"/>
      <c r="B46651" s="12"/>
      <c r="C46651" s="8"/>
      <c r="D46651" s="8"/>
    </row>
    <row r="46652" spans="1:4" ht="15.75" customHeight="1">
      <c r="A46652" s="8"/>
      <c r="B46652" s="12"/>
      <c r="C46652" s="8"/>
      <c r="D46652" s="8"/>
    </row>
    <row r="46653" spans="1:4" ht="15.75" customHeight="1">
      <c r="A46653" s="8"/>
      <c r="B46653" s="12"/>
      <c r="C46653" s="8"/>
      <c r="D46653" s="8"/>
    </row>
    <row r="46654" spans="1:4" ht="15.75" customHeight="1">
      <c r="A46654" s="8"/>
      <c r="B46654" s="12"/>
      <c r="C46654" s="8"/>
      <c r="D46654" s="8"/>
    </row>
    <row r="46655" spans="1:4" ht="15.75" customHeight="1">
      <c r="A46655" s="8"/>
      <c r="B46655" s="12"/>
      <c r="C46655" s="8"/>
      <c r="D46655" s="8"/>
    </row>
    <row r="46656" spans="1:4" ht="15.75" customHeight="1">
      <c r="A46656" s="8"/>
      <c r="B46656" s="12"/>
      <c r="C46656" s="8"/>
      <c r="D46656" s="8"/>
    </row>
    <row r="46657" spans="1:4" ht="15.75" customHeight="1">
      <c r="A46657" s="8"/>
      <c r="B46657" s="12"/>
      <c r="C46657" s="8"/>
      <c r="D46657" s="8"/>
    </row>
    <row r="46658" spans="1:4" ht="15.75" customHeight="1">
      <c r="A46658" s="8"/>
      <c r="B46658" s="12"/>
      <c r="C46658" s="8"/>
      <c r="D46658" s="8"/>
    </row>
    <row r="46659" spans="1:4" ht="15.75" customHeight="1">
      <c r="A46659" s="8"/>
      <c r="B46659" s="12"/>
      <c r="C46659" s="8"/>
      <c r="D46659" s="8"/>
    </row>
    <row r="46660" spans="1:4" ht="15.75" customHeight="1">
      <c r="A46660" s="8"/>
      <c r="B46660" s="12"/>
      <c r="C46660" s="8"/>
      <c r="D46660" s="8"/>
    </row>
    <row r="46661" spans="1:4" ht="15.75" customHeight="1">
      <c r="A46661" s="8"/>
      <c r="B46661" s="12"/>
      <c r="C46661" s="8"/>
      <c r="D46661" s="8"/>
    </row>
    <row r="46662" spans="1:4" ht="15.75" customHeight="1">
      <c r="A46662" s="8"/>
      <c r="B46662" s="12"/>
      <c r="C46662" s="8"/>
      <c r="D46662" s="8"/>
    </row>
    <row r="46663" spans="1:4" ht="15.75" customHeight="1">
      <c r="A46663" s="8"/>
      <c r="B46663" s="12"/>
      <c r="C46663" s="8"/>
      <c r="D46663" s="8"/>
    </row>
    <row r="46664" spans="1:4" ht="15.75" customHeight="1">
      <c r="A46664" s="8"/>
      <c r="B46664" s="12"/>
      <c r="C46664" s="8"/>
      <c r="D46664" s="8"/>
    </row>
    <row r="46665" spans="1:4" ht="15.75" customHeight="1">
      <c r="A46665" s="8"/>
      <c r="B46665" s="12"/>
      <c r="C46665" s="8"/>
      <c r="D46665" s="8"/>
    </row>
    <row r="46666" spans="1:4" ht="15.75" customHeight="1">
      <c r="A46666" s="8"/>
      <c r="B46666" s="12"/>
      <c r="C46666" s="8"/>
      <c r="D46666" s="8"/>
    </row>
    <row r="46667" spans="1:4" ht="15.75" customHeight="1">
      <c r="A46667" s="8"/>
      <c r="B46667" s="12"/>
      <c r="C46667" s="8"/>
      <c r="D46667" s="8"/>
    </row>
    <row r="46668" spans="1:4" ht="15.75" customHeight="1">
      <c r="A46668" s="8"/>
      <c r="B46668" s="12"/>
      <c r="C46668" s="8"/>
      <c r="D46668" s="8"/>
    </row>
    <row r="46669" spans="1:4" ht="15.75" customHeight="1">
      <c r="A46669" s="8"/>
      <c r="B46669" s="12"/>
      <c r="C46669" s="8"/>
      <c r="D46669" s="8"/>
    </row>
    <row r="46670" spans="1:4" ht="15.75" customHeight="1">
      <c r="A46670" s="8"/>
      <c r="B46670" s="12"/>
      <c r="C46670" s="8"/>
      <c r="D46670" s="8"/>
    </row>
    <row r="46671" spans="1:4" ht="15.75" customHeight="1">
      <c r="A46671" s="8"/>
      <c r="B46671" s="12"/>
      <c r="C46671" s="8"/>
      <c r="D46671" s="8"/>
    </row>
    <row r="46672" spans="1:4" ht="15.75" customHeight="1">
      <c r="A46672" s="8"/>
      <c r="B46672" s="12"/>
      <c r="C46672" s="8"/>
      <c r="D46672" s="8"/>
    </row>
    <row r="46673" spans="1:4" ht="15.75" customHeight="1">
      <c r="A46673" s="8"/>
      <c r="B46673" s="12"/>
      <c r="C46673" s="8"/>
      <c r="D46673" s="8"/>
    </row>
    <row r="46674" spans="1:4" ht="15.75" customHeight="1">
      <c r="A46674" s="8"/>
      <c r="B46674" s="12"/>
      <c r="C46674" s="8"/>
      <c r="D46674" s="8"/>
    </row>
    <row r="46675" spans="1:4" ht="15.75" customHeight="1">
      <c r="A46675" s="8"/>
      <c r="B46675" s="12"/>
      <c r="C46675" s="8"/>
      <c r="D46675" s="8"/>
    </row>
    <row r="46676" spans="1:4" ht="15.75" customHeight="1">
      <c r="A46676" s="8"/>
      <c r="B46676" s="12"/>
      <c r="C46676" s="8"/>
      <c r="D46676" s="8"/>
    </row>
    <row r="46677" spans="1:4" ht="15.75" customHeight="1">
      <c r="A46677" s="8"/>
      <c r="B46677" s="12"/>
      <c r="C46677" s="8"/>
      <c r="D46677" s="8"/>
    </row>
    <row r="46678" spans="1:4" ht="15.75" customHeight="1">
      <c r="A46678" s="8"/>
      <c r="B46678" s="12"/>
      <c r="C46678" s="8"/>
      <c r="D46678" s="8"/>
    </row>
    <row r="46679" spans="1:4" ht="15.75" customHeight="1">
      <c r="A46679" s="8"/>
      <c r="B46679" s="12"/>
      <c r="C46679" s="8"/>
      <c r="D46679" s="8"/>
    </row>
    <row r="46680" spans="1:4" ht="15.75" customHeight="1">
      <c r="A46680" s="8"/>
      <c r="B46680" s="12"/>
      <c r="C46680" s="8"/>
      <c r="D46680" s="8"/>
    </row>
    <row r="46681" spans="1:4" ht="15.75" customHeight="1">
      <c r="A46681" s="8"/>
      <c r="B46681" s="12"/>
      <c r="C46681" s="8"/>
      <c r="D46681" s="8"/>
    </row>
    <row r="46682" spans="1:4" ht="15.75" customHeight="1">
      <c r="A46682" s="8"/>
      <c r="B46682" s="12"/>
      <c r="C46682" s="8"/>
      <c r="D46682" s="8"/>
    </row>
    <row r="46683" spans="1:4" ht="15.75" customHeight="1">
      <c r="A46683" s="8"/>
      <c r="B46683" s="12"/>
      <c r="C46683" s="8"/>
      <c r="D46683" s="8"/>
    </row>
    <row r="46684" spans="1:4" ht="15.75" customHeight="1">
      <c r="A46684" s="8"/>
      <c r="B46684" s="12"/>
      <c r="C46684" s="8"/>
      <c r="D46684" s="8"/>
    </row>
    <row r="46685" spans="1:4" ht="15.75" customHeight="1">
      <c r="A46685" s="8"/>
      <c r="B46685" s="12"/>
      <c r="C46685" s="8"/>
      <c r="D46685" s="8"/>
    </row>
    <row r="46686" spans="1:4" ht="15.75" customHeight="1">
      <c r="A46686" s="8"/>
      <c r="B46686" s="12"/>
      <c r="C46686" s="8"/>
      <c r="D46686" s="8"/>
    </row>
    <row r="46687" spans="1:4" ht="15.75" customHeight="1">
      <c r="A46687" s="8"/>
      <c r="B46687" s="12"/>
      <c r="C46687" s="8"/>
      <c r="D46687" s="8"/>
    </row>
    <row r="46688" spans="1:4" ht="15.75" customHeight="1">
      <c r="A46688" s="8"/>
      <c r="B46688" s="12"/>
      <c r="C46688" s="8"/>
      <c r="D46688" s="8"/>
    </row>
    <row r="46689" spans="1:4" ht="15.75" customHeight="1">
      <c r="A46689" s="8"/>
      <c r="B46689" s="12"/>
      <c r="C46689" s="8"/>
      <c r="D46689" s="8"/>
    </row>
    <row r="46690" spans="1:4" ht="15.75" customHeight="1">
      <c r="A46690" s="8"/>
      <c r="B46690" s="12"/>
      <c r="C46690" s="8"/>
      <c r="D46690" s="8"/>
    </row>
    <row r="46691" spans="1:4" ht="15.75" customHeight="1">
      <c r="A46691" s="8"/>
      <c r="B46691" s="12"/>
      <c r="C46691" s="8"/>
      <c r="D46691" s="8"/>
    </row>
    <row r="46692" spans="1:4" ht="15.75" customHeight="1">
      <c r="A46692" s="8"/>
      <c r="B46692" s="12"/>
      <c r="C46692" s="8"/>
      <c r="D46692" s="8"/>
    </row>
    <row r="46693" spans="1:4" ht="15.75" customHeight="1">
      <c r="A46693" s="8"/>
      <c r="B46693" s="12"/>
      <c r="C46693" s="8"/>
      <c r="D46693" s="8"/>
    </row>
    <row r="46694" spans="1:4" ht="15.75" customHeight="1">
      <c r="A46694" s="8"/>
      <c r="B46694" s="12"/>
      <c r="C46694" s="8"/>
      <c r="D46694" s="8"/>
    </row>
    <row r="46695" spans="1:4" ht="15.75" customHeight="1">
      <c r="A46695" s="8"/>
      <c r="B46695" s="12"/>
      <c r="C46695" s="8"/>
      <c r="D46695" s="8"/>
    </row>
    <row r="46696" spans="1:4" ht="15.75" customHeight="1">
      <c r="A46696" s="8"/>
      <c r="B46696" s="12"/>
      <c r="C46696" s="8"/>
      <c r="D46696" s="8"/>
    </row>
    <row r="46697" spans="1:4" ht="15.75" customHeight="1">
      <c r="A46697" s="8"/>
      <c r="B46697" s="12"/>
      <c r="C46697" s="8"/>
      <c r="D46697" s="8"/>
    </row>
    <row r="46698" spans="1:4" ht="15.75" customHeight="1">
      <c r="A46698" s="8"/>
      <c r="B46698" s="12"/>
      <c r="C46698" s="8"/>
      <c r="D46698" s="8"/>
    </row>
    <row r="46699" spans="1:4" ht="15.75" customHeight="1">
      <c r="A46699" s="8"/>
      <c r="B46699" s="12"/>
      <c r="C46699" s="8"/>
      <c r="D46699" s="8"/>
    </row>
    <row r="46700" spans="1:4" ht="15.75" customHeight="1">
      <c r="A46700" s="8"/>
      <c r="B46700" s="12"/>
      <c r="C46700" s="8"/>
      <c r="D46700" s="8"/>
    </row>
    <row r="46701" spans="1:4" ht="15.75" customHeight="1">
      <c r="A46701" s="8"/>
      <c r="B46701" s="12"/>
      <c r="C46701" s="8"/>
      <c r="D46701" s="8"/>
    </row>
    <row r="46702" spans="1:4" ht="15.75" customHeight="1">
      <c r="A46702" s="8"/>
      <c r="B46702" s="12"/>
      <c r="C46702" s="8"/>
      <c r="D46702" s="8"/>
    </row>
    <row r="46703" spans="1:4" ht="15.75" customHeight="1">
      <c r="A46703" s="8"/>
      <c r="B46703" s="12"/>
      <c r="C46703" s="8"/>
      <c r="D46703" s="8"/>
    </row>
    <row r="46704" spans="1:4" ht="15.75" customHeight="1">
      <c r="A46704" s="8"/>
      <c r="B46704" s="12"/>
      <c r="C46704" s="8"/>
      <c r="D46704" s="8"/>
    </row>
    <row r="46705" spans="1:4" ht="15.75" customHeight="1">
      <c r="A46705" s="8"/>
      <c r="B46705" s="12"/>
      <c r="C46705" s="8"/>
      <c r="D46705" s="8"/>
    </row>
    <row r="46706" spans="1:4" ht="15.75" customHeight="1">
      <c r="A46706" s="8"/>
      <c r="B46706" s="12"/>
      <c r="C46706" s="8"/>
      <c r="D46706" s="8"/>
    </row>
    <row r="46707" spans="1:4" ht="15.75" customHeight="1">
      <c r="A46707" s="8"/>
      <c r="B46707" s="12"/>
      <c r="C46707" s="8"/>
      <c r="D46707" s="8"/>
    </row>
    <row r="46708" spans="1:4" ht="15.75" customHeight="1">
      <c r="A46708" s="8"/>
      <c r="B46708" s="12"/>
      <c r="C46708" s="8"/>
      <c r="D46708" s="8"/>
    </row>
    <row r="46709" spans="1:4" ht="15.75" customHeight="1">
      <c r="A46709" s="8"/>
      <c r="B46709" s="12"/>
      <c r="C46709" s="8"/>
      <c r="D46709" s="8"/>
    </row>
    <row r="46710" spans="1:4" ht="15.75" customHeight="1">
      <c r="A46710" s="8"/>
      <c r="B46710" s="12"/>
      <c r="C46710" s="8"/>
      <c r="D46710" s="8"/>
    </row>
    <row r="46711" spans="1:4" ht="15.75" customHeight="1">
      <c r="A46711" s="8"/>
      <c r="B46711" s="12"/>
      <c r="C46711" s="8"/>
      <c r="D46711" s="8"/>
    </row>
    <row r="46712" spans="1:4" ht="15.75" customHeight="1">
      <c r="A46712" s="8"/>
      <c r="B46712" s="12"/>
      <c r="C46712" s="8"/>
      <c r="D46712" s="8"/>
    </row>
    <row r="46713" spans="1:4" ht="15.75" customHeight="1">
      <c r="A46713" s="8"/>
      <c r="B46713" s="12"/>
      <c r="C46713" s="8"/>
      <c r="D46713" s="8"/>
    </row>
    <row r="46714" spans="1:4" ht="15.75" customHeight="1">
      <c r="A46714" s="8"/>
      <c r="B46714" s="12"/>
      <c r="C46714" s="8"/>
      <c r="D46714" s="8"/>
    </row>
    <row r="46715" spans="1:4" ht="15.75" customHeight="1">
      <c r="A46715" s="8"/>
      <c r="B46715" s="12"/>
      <c r="C46715" s="8"/>
      <c r="D46715" s="8"/>
    </row>
    <row r="46716" spans="1:4" ht="15.75" customHeight="1">
      <c r="A46716" s="8"/>
      <c r="B46716" s="12"/>
      <c r="C46716" s="8"/>
      <c r="D46716" s="8"/>
    </row>
    <row r="46717" spans="1:4" ht="15.75" customHeight="1">
      <c r="A46717" s="8"/>
      <c r="B46717" s="12"/>
      <c r="C46717" s="8"/>
      <c r="D46717" s="8"/>
    </row>
    <row r="46718" spans="1:4" ht="15.75" customHeight="1">
      <c r="A46718" s="8"/>
      <c r="B46718" s="12"/>
      <c r="C46718" s="8"/>
      <c r="D46718" s="8"/>
    </row>
    <row r="46719" spans="1:4" ht="15.75" customHeight="1">
      <c r="A46719" s="8"/>
      <c r="B46719" s="12"/>
      <c r="C46719" s="8"/>
      <c r="D46719" s="8"/>
    </row>
    <row r="46720" spans="1:4" ht="15.75" customHeight="1">
      <c r="A46720" s="8"/>
      <c r="B46720" s="12"/>
      <c r="C46720" s="8"/>
      <c r="D46720" s="8"/>
    </row>
    <row r="46721" spans="1:4" ht="15.75" customHeight="1">
      <c r="A46721" s="8"/>
      <c r="B46721" s="12"/>
      <c r="C46721" s="8"/>
      <c r="D46721" s="8"/>
    </row>
    <row r="46722" spans="1:4" ht="15.75" customHeight="1">
      <c r="A46722" s="8"/>
      <c r="B46722" s="12"/>
      <c r="C46722" s="8"/>
      <c r="D46722" s="8"/>
    </row>
    <row r="46723" spans="1:4" ht="15.75" customHeight="1">
      <c r="A46723" s="8"/>
      <c r="B46723" s="12"/>
      <c r="C46723" s="8"/>
      <c r="D46723" s="8"/>
    </row>
    <row r="46724" spans="1:4" ht="15.75" customHeight="1">
      <c r="A46724" s="8"/>
      <c r="B46724" s="12"/>
      <c r="C46724" s="8"/>
      <c r="D46724" s="8"/>
    </row>
    <row r="46725" spans="1:4" ht="15.75" customHeight="1">
      <c r="A46725" s="8"/>
      <c r="B46725" s="12"/>
      <c r="C46725" s="8"/>
      <c r="D46725" s="8"/>
    </row>
    <row r="46726" spans="1:4" ht="15.75" customHeight="1">
      <c r="A46726" s="8"/>
      <c r="B46726" s="12"/>
      <c r="C46726" s="8"/>
      <c r="D46726" s="8"/>
    </row>
    <row r="46727" spans="1:4" ht="15.75" customHeight="1">
      <c r="A46727" s="8"/>
      <c r="B46727" s="12"/>
      <c r="C46727" s="8"/>
      <c r="D46727" s="8"/>
    </row>
    <row r="46728" spans="1:4" ht="15.75" customHeight="1">
      <c r="A46728" s="8"/>
      <c r="B46728" s="12"/>
      <c r="C46728" s="8"/>
      <c r="D46728" s="8"/>
    </row>
    <row r="46729" spans="1:4" ht="15.75" customHeight="1">
      <c r="A46729" s="8"/>
      <c r="B46729" s="12"/>
      <c r="C46729" s="8"/>
      <c r="D46729" s="8"/>
    </row>
    <row r="46730" spans="1:4" ht="15.75" customHeight="1">
      <c r="A46730" s="8"/>
      <c r="B46730" s="12"/>
      <c r="C46730" s="8"/>
      <c r="D46730" s="8"/>
    </row>
    <row r="46731" spans="1:4" ht="15.75" customHeight="1">
      <c r="A46731" s="8"/>
      <c r="B46731" s="12"/>
      <c r="C46731" s="8"/>
      <c r="D46731" s="8"/>
    </row>
    <row r="46732" spans="1:4" ht="15.75" customHeight="1">
      <c r="A46732" s="8"/>
      <c r="B46732" s="12"/>
      <c r="C46732" s="8"/>
      <c r="D46732" s="8"/>
    </row>
    <row r="46733" spans="1:4" ht="15.75" customHeight="1">
      <c r="A46733" s="8"/>
      <c r="B46733" s="12"/>
      <c r="C46733" s="8"/>
      <c r="D46733" s="8"/>
    </row>
    <row r="46734" spans="1:4" ht="15.75" customHeight="1">
      <c r="A46734" s="8"/>
      <c r="B46734" s="12"/>
      <c r="C46734" s="8"/>
      <c r="D46734" s="8"/>
    </row>
    <row r="46735" spans="1:4" ht="15.75" customHeight="1">
      <c r="A46735" s="8"/>
      <c r="B46735" s="12"/>
      <c r="C46735" s="8"/>
      <c r="D46735" s="8"/>
    </row>
    <row r="46736" spans="1:4" ht="15.75" customHeight="1">
      <c r="A46736" s="8"/>
      <c r="B46736" s="12"/>
      <c r="C46736" s="8"/>
      <c r="D46736" s="8"/>
    </row>
    <row r="46737" spans="1:4" ht="15.75" customHeight="1">
      <c r="A46737" s="8"/>
      <c r="B46737" s="12"/>
      <c r="C46737" s="8"/>
      <c r="D46737" s="8"/>
    </row>
    <row r="46738" spans="1:4" ht="15.75" customHeight="1">
      <c r="A46738" s="8"/>
      <c r="B46738" s="12"/>
      <c r="C46738" s="8"/>
      <c r="D46738" s="8"/>
    </row>
    <row r="46739" spans="1:4" ht="15.75" customHeight="1">
      <c r="A46739" s="8"/>
      <c r="B46739" s="12"/>
      <c r="C46739" s="8"/>
      <c r="D46739" s="8"/>
    </row>
    <row r="46740" spans="1:4" ht="15.75" customHeight="1">
      <c r="A46740" s="8"/>
      <c r="B46740" s="12"/>
      <c r="C46740" s="8"/>
      <c r="D46740" s="8"/>
    </row>
    <row r="46741" spans="1:4" ht="15.75" customHeight="1">
      <c r="A46741" s="8"/>
      <c r="B46741" s="12"/>
      <c r="C46741" s="8"/>
      <c r="D46741" s="8"/>
    </row>
    <row r="46742" spans="1:4" ht="15.75" customHeight="1">
      <c r="A46742" s="8"/>
      <c r="B46742" s="12"/>
      <c r="C46742" s="8"/>
      <c r="D46742" s="8"/>
    </row>
    <row r="46743" spans="1:4" ht="15.75" customHeight="1">
      <c r="A46743" s="8"/>
      <c r="B46743" s="12"/>
      <c r="C46743" s="8"/>
      <c r="D46743" s="8"/>
    </row>
    <row r="46744" spans="1:4" ht="15.75" customHeight="1">
      <c r="A46744" s="8"/>
      <c r="B46744" s="12"/>
      <c r="C46744" s="8"/>
      <c r="D46744" s="8"/>
    </row>
    <row r="46745" spans="1:4" ht="15.75" customHeight="1">
      <c r="A46745" s="8"/>
      <c r="B46745" s="12"/>
      <c r="C46745" s="8"/>
      <c r="D46745" s="8"/>
    </row>
    <row r="46746" spans="1:4" ht="15.75" customHeight="1">
      <c r="A46746" s="8"/>
      <c r="B46746" s="12"/>
      <c r="C46746" s="8"/>
      <c r="D46746" s="8"/>
    </row>
    <row r="46747" spans="1:4" ht="15.75" customHeight="1">
      <c r="A46747" s="8"/>
      <c r="B46747" s="12"/>
      <c r="C46747" s="8"/>
      <c r="D46747" s="8"/>
    </row>
    <row r="46748" spans="1:4" ht="15.75" customHeight="1">
      <c r="A46748" s="8"/>
      <c r="B46748" s="12"/>
      <c r="C46748" s="8"/>
      <c r="D46748" s="8"/>
    </row>
    <row r="46749" spans="1:4" ht="15.75" customHeight="1">
      <c r="A46749" s="8"/>
      <c r="B46749" s="12"/>
      <c r="C46749" s="8"/>
      <c r="D46749" s="8"/>
    </row>
    <row r="46750" spans="1:4" ht="15.75" customHeight="1">
      <c r="A46750" s="8"/>
      <c r="B46750" s="12"/>
      <c r="C46750" s="8"/>
      <c r="D46750" s="8"/>
    </row>
    <row r="46751" spans="1:4" ht="15.75" customHeight="1">
      <c r="A46751" s="8"/>
      <c r="B46751" s="12"/>
      <c r="C46751" s="8"/>
      <c r="D46751" s="8"/>
    </row>
    <row r="46752" spans="1:4" ht="15.75" customHeight="1">
      <c r="A46752" s="8"/>
      <c r="B46752" s="12"/>
      <c r="C46752" s="8"/>
      <c r="D46752" s="8"/>
    </row>
    <row r="46753" spans="1:4" ht="15.75" customHeight="1">
      <c r="A46753" s="8"/>
      <c r="B46753" s="12"/>
      <c r="C46753" s="8"/>
      <c r="D46753" s="8"/>
    </row>
    <row r="46754" spans="1:4" ht="15.75" customHeight="1">
      <c r="A46754" s="8"/>
      <c r="B46754" s="12"/>
      <c r="C46754" s="8"/>
      <c r="D46754" s="8"/>
    </row>
    <row r="46755" spans="1:4" ht="15.75" customHeight="1">
      <c r="A46755" s="8"/>
      <c r="B46755" s="12"/>
      <c r="C46755" s="8"/>
      <c r="D46755" s="8"/>
    </row>
    <row r="46756" spans="1:4" ht="15.75" customHeight="1">
      <c r="A46756" s="8"/>
      <c r="B46756" s="12"/>
      <c r="C46756" s="8"/>
      <c r="D46756" s="8"/>
    </row>
    <row r="46757" spans="1:4" ht="15.75" customHeight="1">
      <c r="A46757" s="8"/>
      <c r="B46757" s="12"/>
      <c r="C46757" s="8"/>
      <c r="D46757" s="8"/>
    </row>
    <row r="46758" spans="1:4" ht="15.75" customHeight="1">
      <c r="A46758" s="8"/>
      <c r="B46758" s="12"/>
      <c r="C46758" s="8"/>
      <c r="D46758" s="8"/>
    </row>
    <row r="46759" spans="1:4" ht="15.75" customHeight="1">
      <c r="A46759" s="8"/>
      <c r="B46759" s="12"/>
      <c r="C46759" s="8"/>
      <c r="D46759" s="8"/>
    </row>
    <row r="46760" spans="1:4" ht="15.75" customHeight="1">
      <c r="A46760" s="8"/>
      <c r="B46760" s="12"/>
      <c r="C46760" s="8"/>
      <c r="D46760" s="8"/>
    </row>
    <row r="46761" spans="1:4" ht="15.75" customHeight="1">
      <c r="A46761" s="8"/>
      <c r="B46761" s="12"/>
      <c r="C46761" s="8"/>
      <c r="D46761" s="8"/>
    </row>
    <row r="46762" spans="1:4" ht="15.75" customHeight="1">
      <c r="A46762" s="8"/>
      <c r="B46762" s="12"/>
      <c r="C46762" s="8"/>
      <c r="D46762" s="8"/>
    </row>
    <row r="46763" spans="1:4" ht="15.75" customHeight="1">
      <c r="A46763" s="8"/>
      <c r="B46763" s="12"/>
      <c r="C46763" s="8"/>
      <c r="D46763" s="8"/>
    </row>
    <row r="46764" spans="1:4" ht="15.75" customHeight="1">
      <c r="A46764" s="8"/>
      <c r="B46764" s="12"/>
      <c r="C46764" s="8"/>
      <c r="D46764" s="8"/>
    </row>
    <row r="46765" spans="1:4" ht="15.75" customHeight="1">
      <c r="A46765" s="8"/>
      <c r="B46765" s="12"/>
      <c r="C46765" s="8"/>
      <c r="D46765" s="8"/>
    </row>
    <row r="46766" spans="1:4" ht="15.75" customHeight="1">
      <c r="A46766" s="8"/>
      <c r="B46766" s="12"/>
      <c r="C46766" s="8"/>
      <c r="D46766" s="8"/>
    </row>
    <row r="46767" spans="1:4" ht="15.75" customHeight="1">
      <c r="A46767" s="8"/>
      <c r="B46767" s="12"/>
      <c r="C46767" s="8"/>
      <c r="D46767" s="8"/>
    </row>
    <row r="46768" spans="1:4" ht="15.75" customHeight="1">
      <c r="A46768" s="8"/>
      <c r="B46768" s="12"/>
      <c r="C46768" s="8"/>
      <c r="D46768" s="8"/>
    </row>
    <row r="46769" spans="1:4" ht="15.75" customHeight="1">
      <c r="A46769" s="8"/>
      <c r="B46769" s="12"/>
      <c r="C46769" s="8"/>
      <c r="D46769" s="8"/>
    </row>
    <row r="46770" spans="1:4" ht="15.75" customHeight="1">
      <c r="A46770" s="8"/>
      <c r="B46770" s="12"/>
      <c r="C46770" s="8"/>
      <c r="D46770" s="8"/>
    </row>
    <row r="46771" spans="1:4" ht="15.75" customHeight="1">
      <c r="A46771" s="8"/>
      <c r="B46771" s="12"/>
      <c r="C46771" s="8"/>
      <c r="D46771" s="8"/>
    </row>
    <row r="46772" spans="1:4" ht="15.75" customHeight="1">
      <c r="A46772" s="8"/>
      <c r="B46772" s="12"/>
      <c r="C46772" s="8"/>
      <c r="D46772" s="8"/>
    </row>
    <row r="46773" spans="1:4" ht="15.75" customHeight="1">
      <c r="A46773" s="8"/>
      <c r="B46773" s="12"/>
      <c r="C46773" s="8"/>
      <c r="D46773" s="8"/>
    </row>
    <row r="46774" spans="1:4" ht="15.75" customHeight="1">
      <c r="A46774" s="8"/>
      <c r="B46774" s="12"/>
      <c r="C46774" s="8"/>
      <c r="D46774" s="8"/>
    </row>
    <row r="46775" spans="1:4" ht="15.75" customHeight="1">
      <c r="A46775" s="8"/>
      <c r="B46775" s="12"/>
      <c r="C46775" s="8"/>
      <c r="D46775" s="8"/>
    </row>
    <row r="46776" spans="1:4" ht="15.75" customHeight="1">
      <c r="A46776" s="8"/>
      <c r="B46776" s="12"/>
      <c r="C46776" s="8"/>
      <c r="D46776" s="8"/>
    </row>
    <row r="46777" spans="1:4" ht="15.75" customHeight="1">
      <c r="A46777" s="8"/>
      <c r="B46777" s="12"/>
      <c r="C46777" s="8"/>
      <c r="D46777" s="8"/>
    </row>
    <row r="46778" spans="1:4" ht="15.75" customHeight="1">
      <c r="A46778" s="8"/>
      <c r="B46778" s="12"/>
      <c r="C46778" s="8"/>
      <c r="D46778" s="8"/>
    </row>
    <row r="46779" spans="1:4" ht="15.75" customHeight="1">
      <c r="A46779" s="8"/>
      <c r="B46779" s="12"/>
      <c r="C46779" s="8"/>
      <c r="D46779" s="8"/>
    </row>
    <row r="46780" spans="1:4" ht="15.75" customHeight="1">
      <c r="A46780" s="8"/>
      <c r="B46780" s="12"/>
      <c r="C46780" s="8"/>
      <c r="D46780" s="8"/>
    </row>
    <row r="46781" spans="1:4" ht="15.75" customHeight="1">
      <c r="A46781" s="8"/>
      <c r="B46781" s="12"/>
      <c r="C46781" s="8"/>
      <c r="D46781" s="8"/>
    </row>
    <row r="46782" spans="1:4" ht="15.75" customHeight="1">
      <c r="A46782" s="8"/>
      <c r="B46782" s="12"/>
      <c r="C46782" s="8"/>
      <c r="D46782" s="8"/>
    </row>
    <row r="46783" spans="1:4" ht="15.75" customHeight="1">
      <c r="A46783" s="8"/>
      <c r="B46783" s="12"/>
      <c r="C46783" s="8"/>
      <c r="D46783" s="8"/>
    </row>
    <row r="46784" spans="1:4" ht="15.75" customHeight="1">
      <c r="A46784" s="8"/>
      <c r="B46784" s="12"/>
      <c r="C46784" s="8"/>
      <c r="D46784" s="8"/>
    </row>
    <row r="46785" spans="1:4" ht="15.75" customHeight="1">
      <c r="A46785" s="8"/>
      <c r="B46785" s="12"/>
      <c r="C46785" s="8"/>
      <c r="D46785" s="8"/>
    </row>
    <row r="46786" spans="1:4" ht="15.75" customHeight="1">
      <c r="A46786" s="8"/>
      <c r="B46786" s="12"/>
      <c r="C46786" s="8"/>
      <c r="D46786" s="8"/>
    </row>
    <row r="46787" spans="1:4" ht="15.75" customHeight="1">
      <c r="A46787" s="8"/>
      <c r="B46787" s="12"/>
      <c r="C46787" s="8"/>
      <c r="D46787" s="8"/>
    </row>
    <row r="46788" spans="1:4" ht="15.75" customHeight="1">
      <c r="A46788" s="8"/>
      <c r="B46788" s="12"/>
      <c r="C46788" s="8"/>
      <c r="D46788" s="8"/>
    </row>
    <row r="46789" spans="1:4" ht="15.75" customHeight="1">
      <c r="A46789" s="8"/>
      <c r="B46789" s="12"/>
      <c r="C46789" s="8"/>
      <c r="D46789" s="8"/>
    </row>
    <row r="46790" spans="1:4" ht="15.75" customHeight="1">
      <c r="A46790" s="8"/>
      <c r="B46790" s="12"/>
      <c r="C46790" s="8"/>
      <c r="D46790" s="8"/>
    </row>
    <row r="46791" spans="1:4" ht="15.75" customHeight="1">
      <c r="A46791" s="8"/>
      <c r="B46791" s="12"/>
      <c r="C46791" s="8"/>
      <c r="D46791" s="8"/>
    </row>
    <row r="46792" spans="1:4" ht="15.75" customHeight="1">
      <c r="A46792" s="8"/>
      <c r="B46792" s="12"/>
      <c r="C46792" s="8"/>
      <c r="D46792" s="8"/>
    </row>
    <row r="46793" spans="1:4" ht="15.75" customHeight="1">
      <c r="A46793" s="8"/>
      <c r="B46793" s="12"/>
      <c r="C46793" s="8"/>
      <c r="D46793" s="8"/>
    </row>
    <row r="46794" spans="1:4" ht="15.75" customHeight="1">
      <c r="A46794" s="8"/>
      <c r="B46794" s="12"/>
      <c r="C46794" s="8"/>
      <c r="D46794" s="8"/>
    </row>
    <row r="46795" spans="1:4" ht="15.75" customHeight="1">
      <c r="A46795" s="8"/>
      <c r="B46795" s="12"/>
      <c r="C46795" s="8"/>
      <c r="D46795" s="8"/>
    </row>
    <row r="46796" spans="1:4" ht="15.75" customHeight="1">
      <c r="A46796" s="8"/>
      <c r="B46796" s="12"/>
      <c r="C46796" s="8"/>
      <c r="D46796" s="8"/>
    </row>
    <row r="46797" spans="1:4" ht="15.75" customHeight="1">
      <c r="A46797" s="8"/>
      <c r="B46797" s="12"/>
      <c r="C46797" s="8"/>
      <c r="D46797" s="8"/>
    </row>
    <row r="46798" spans="1:4" ht="15.75" customHeight="1">
      <c r="A46798" s="8"/>
      <c r="B46798" s="12"/>
      <c r="C46798" s="8"/>
      <c r="D46798" s="8"/>
    </row>
    <row r="46799" spans="1:4" ht="15.75" customHeight="1">
      <c r="A46799" s="8"/>
      <c r="B46799" s="12"/>
      <c r="C46799" s="8"/>
      <c r="D46799" s="8"/>
    </row>
    <row r="46800" spans="1:4" ht="15.75" customHeight="1">
      <c r="A46800" s="8"/>
      <c r="B46800" s="12"/>
      <c r="C46800" s="8"/>
      <c r="D46800" s="8"/>
    </row>
    <row r="46801" spans="1:4" ht="15.75" customHeight="1">
      <c r="A46801" s="8"/>
      <c r="B46801" s="12"/>
      <c r="C46801" s="8"/>
      <c r="D46801" s="8"/>
    </row>
    <row r="46802" spans="1:4" ht="15.75" customHeight="1">
      <c r="A46802" s="8"/>
      <c r="B46802" s="12"/>
      <c r="C46802" s="8"/>
      <c r="D46802" s="8"/>
    </row>
    <row r="46803" spans="1:4" ht="15.75" customHeight="1">
      <c r="A46803" s="8"/>
      <c r="B46803" s="12"/>
      <c r="C46803" s="8"/>
      <c r="D46803" s="8"/>
    </row>
    <row r="46804" spans="1:4" ht="15.75" customHeight="1">
      <c r="A46804" s="8"/>
      <c r="B46804" s="12"/>
      <c r="C46804" s="8"/>
      <c r="D46804" s="8"/>
    </row>
    <row r="46805" spans="1:4" ht="15.75" customHeight="1">
      <c r="A46805" s="8"/>
      <c r="B46805" s="12"/>
      <c r="C46805" s="8"/>
      <c r="D46805" s="8"/>
    </row>
    <row r="46806" spans="1:4" ht="15.75" customHeight="1">
      <c r="A46806" s="8"/>
      <c r="B46806" s="12"/>
      <c r="C46806" s="8"/>
      <c r="D46806" s="8"/>
    </row>
    <row r="46807" spans="1:4" ht="15.75" customHeight="1">
      <c r="A46807" s="8"/>
      <c r="B46807" s="12"/>
      <c r="C46807" s="8"/>
      <c r="D46807" s="8"/>
    </row>
    <row r="46808" spans="1:4" ht="15.75" customHeight="1">
      <c r="A46808" s="8"/>
      <c r="B46808" s="12"/>
      <c r="C46808" s="8"/>
      <c r="D46808" s="8"/>
    </row>
    <row r="46809" spans="1:4" ht="15.75" customHeight="1">
      <c r="A46809" s="8"/>
      <c r="B46809" s="12"/>
      <c r="C46809" s="8"/>
      <c r="D46809" s="8"/>
    </row>
    <row r="46810" spans="1:4" ht="15.75" customHeight="1">
      <c r="A46810" s="8"/>
      <c r="B46810" s="12"/>
      <c r="C46810" s="8"/>
      <c r="D46810" s="8"/>
    </row>
    <row r="46811" spans="1:4" ht="15.75" customHeight="1">
      <c r="A46811" s="8"/>
      <c r="B46811" s="12"/>
      <c r="C46811" s="8"/>
      <c r="D46811" s="8"/>
    </row>
    <row r="46812" spans="1:4" ht="15.75" customHeight="1">
      <c r="A46812" s="8"/>
      <c r="B46812" s="12"/>
      <c r="C46812" s="8"/>
      <c r="D46812" s="8"/>
    </row>
    <row r="46813" spans="1:4" ht="15.75" customHeight="1">
      <c r="A46813" s="8"/>
      <c r="B46813" s="12"/>
      <c r="C46813" s="8"/>
      <c r="D46813" s="8"/>
    </row>
    <row r="46814" spans="1:4" ht="15.75" customHeight="1">
      <c r="A46814" s="8"/>
      <c r="B46814" s="12"/>
      <c r="C46814" s="8"/>
      <c r="D46814" s="8"/>
    </row>
    <row r="46815" spans="1:4" ht="15.75" customHeight="1">
      <c r="A46815" s="8"/>
      <c r="B46815" s="12"/>
      <c r="C46815" s="8"/>
      <c r="D46815" s="8"/>
    </row>
    <row r="46816" spans="1:4" ht="15.75" customHeight="1">
      <c r="A46816" s="8"/>
      <c r="B46816" s="12"/>
      <c r="C46816" s="8"/>
      <c r="D46816" s="8"/>
    </row>
    <row r="46817" spans="1:4" ht="15.75" customHeight="1">
      <c r="A46817" s="8"/>
      <c r="B46817" s="12"/>
      <c r="C46817" s="8"/>
      <c r="D46817" s="8"/>
    </row>
    <row r="46818" spans="1:4" ht="15.75" customHeight="1">
      <c r="A46818" s="8"/>
      <c r="B46818" s="12"/>
      <c r="C46818" s="8"/>
      <c r="D46818" s="8"/>
    </row>
    <row r="46819" spans="1:4" ht="15.75" customHeight="1">
      <c r="A46819" s="8"/>
      <c r="B46819" s="12"/>
      <c r="C46819" s="8"/>
      <c r="D46819" s="8"/>
    </row>
    <row r="46820" spans="1:4" ht="15.75" customHeight="1">
      <c r="A46820" s="8"/>
      <c r="B46820" s="12"/>
      <c r="C46820" s="8"/>
      <c r="D46820" s="8"/>
    </row>
    <row r="46821" spans="1:4" ht="15.75" customHeight="1">
      <c r="A46821" s="8"/>
      <c r="B46821" s="12"/>
      <c r="C46821" s="8"/>
      <c r="D46821" s="8"/>
    </row>
    <row r="46822" spans="1:4" ht="15.75" customHeight="1">
      <c r="A46822" s="8"/>
      <c r="B46822" s="12"/>
      <c r="C46822" s="8"/>
      <c r="D46822" s="8"/>
    </row>
    <row r="46823" spans="1:4" ht="15.75" customHeight="1">
      <c r="A46823" s="8"/>
      <c r="B46823" s="12"/>
      <c r="C46823" s="8"/>
      <c r="D46823" s="8"/>
    </row>
    <row r="46824" spans="1:4" ht="15.75" customHeight="1">
      <c r="A46824" s="8"/>
      <c r="B46824" s="12"/>
      <c r="C46824" s="8"/>
      <c r="D46824" s="8"/>
    </row>
    <row r="46825" spans="1:4" ht="15.75" customHeight="1">
      <c r="A46825" s="8"/>
      <c r="B46825" s="12"/>
      <c r="C46825" s="8"/>
      <c r="D46825" s="8"/>
    </row>
    <row r="46826" spans="1:4" ht="15.75" customHeight="1">
      <c r="A46826" s="8"/>
      <c r="B46826" s="12"/>
      <c r="C46826" s="8"/>
      <c r="D46826" s="8"/>
    </row>
    <row r="46827" spans="1:4" ht="15.75" customHeight="1">
      <c r="A46827" s="8"/>
      <c r="B46827" s="12"/>
      <c r="C46827" s="8"/>
      <c r="D46827" s="8"/>
    </row>
    <row r="46828" spans="1:4" ht="15.75" customHeight="1">
      <c r="A46828" s="8"/>
      <c r="B46828" s="12"/>
      <c r="C46828" s="8"/>
      <c r="D46828" s="8"/>
    </row>
    <row r="46829" spans="1:4" ht="15.75" customHeight="1">
      <c r="A46829" s="8"/>
      <c r="B46829" s="12"/>
      <c r="C46829" s="8"/>
      <c r="D46829" s="8"/>
    </row>
    <row r="46830" spans="1:4" ht="15.75" customHeight="1">
      <c r="A46830" s="8"/>
      <c r="B46830" s="12"/>
      <c r="C46830" s="8"/>
      <c r="D46830" s="8"/>
    </row>
    <row r="46831" spans="1:4" ht="15.75" customHeight="1">
      <c r="A46831" s="8"/>
      <c r="B46831" s="12"/>
      <c r="C46831" s="8"/>
      <c r="D46831" s="8"/>
    </row>
    <row r="46832" spans="1:4" ht="15.75" customHeight="1">
      <c r="A46832" s="8"/>
      <c r="B46832" s="12"/>
      <c r="C46832" s="8"/>
      <c r="D46832" s="8"/>
    </row>
    <row r="46833" spans="1:4" ht="15.75" customHeight="1">
      <c r="A46833" s="8"/>
      <c r="B46833" s="12"/>
      <c r="C46833" s="8"/>
      <c r="D46833" s="8"/>
    </row>
    <row r="46834" spans="1:4" ht="15.75" customHeight="1">
      <c r="A46834" s="8"/>
      <c r="B46834" s="12"/>
      <c r="C46834" s="8"/>
      <c r="D46834" s="8"/>
    </row>
    <row r="46835" spans="1:4" ht="15.75" customHeight="1">
      <c r="A46835" s="8"/>
      <c r="B46835" s="12"/>
      <c r="C46835" s="8"/>
      <c r="D46835" s="8"/>
    </row>
    <row r="46836" spans="1:4" ht="15.75" customHeight="1">
      <c r="A46836" s="8"/>
      <c r="B46836" s="12"/>
      <c r="C46836" s="8"/>
      <c r="D46836" s="8"/>
    </row>
    <row r="46837" spans="1:4" ht="15.75" customHeight="1">
      <c r="A46837" s="8"/>
      <c r="B46837" s="12"/>
      <c r="C46837" s="8"/>
      <c r="D46837" s="8"/>
    </row>
    <row r="46838" spans="1:4" ht="15.75" customHeight="1">
      <c r="A46838" s="8"/>
      <c r="B46838" s="12"/>
      <c r="C46838" s="8"/>
      <c r="D46838" s="8"/>
    </row>
    <row r="46839" spans="1:4" ht="15.75" customHeight="1">
      <c r="A46839" s="8"/>
      <c r="B46839" s="12"/>
      <c r="C46839" s="8"/>
      <c r="D46839" s="8"/>
    </row>
    <row r="46840" spans="1:4" ht="15.75" customHeight="1">
      <c r="A46840" s="8"/>
      <c r="B46840" s="12"/>
      <c r="C46840" s="8"/>
      <c r="D46840" s="8"/>
    </row>
    <row r="46841" spans="1:4" ht="15.75" customHeight="1">
      <c r="A46841" s="8"/>
      <c r="B46841" s="12"/>
      <c r="C46841" s="8"/>
      <c r="D46841" s="8"/>
    </row>
    <row r="46842" spans="1:4" ht="15.75" customHeight="1">
      <c r="A46842" s="8"/>
      <c r="B46842" s="12"/>
      <c r="C46842" s="8"/>
      <c r="D46842" s="8"/>
    </row>
    <row r="46843" spans="1:4" ht="15.75" customHeight="1">
      <c r="A46843" s="8"/>
      <c r="B46843" s="12"/>
      <c r="C46843" s="8"/>
      <c r="D46843" s="8"/>
    </row>
    <row r="46844" spans="1:4" ht="15.75" customHeight="1">
      <c r="A46844" s="8"/>
      <c r="B46844" s="12"/>
      <c r="C46844" s="8"/>
      <c r="D46844" s="8"/>
    </row>
    <row r="46845" spans="1:4" ht="15.75" customHeight="1">
      <c r="A46845" s="8"/>
      <c r="B46845" s="12"/>
      <c r="C46845" s="8"/>
      <c r="D46845" s="8"/>
    </row>
    <row r="46846" spans="1:4" ht="15.75" customHeight="1">
      <c r="A46846" s="8"/>
      <c r="B46846" s="12"/>
      <c r="C46846" s="8"/>
      <c r="D46846" s="8"/>
    </row>
    <row r="46847" spans="1:4" ht="15.75" customHeight="1">
      <c r="A46847" s="8"/>
      <c r="B46847" s="12"/>
      <c r="C46847" s="8"/>
      <c r="D46847" s="8"/>
    </row>
    <row r="46848" spans="1:4" ht="15.75" customHeight="1">
      <c r="A46848" s="8"/>
      <c r="B46848" s="12"/>
      <c r="C46848" s="8"/>
      <c r="D46848" s="8"/>
    </row>
    <row r="46849" spans="1:4" ht="15.75" customHeight="1">
      <c r="A46849" s="8"/>
      <c r="B46849" s="12"/>
      <c r="C46849" s="8"/>
      <c r="D46849" s="8"/>
    </row>
    <row r="46850" spans="1:4" ht="15.75" customHeight="1">
      <c r="A46850" s="8"/>
      <c r="B46850" s="12"/>
      <c r="C46850" s="8"/>
      <c r="D46850" s="8"/>
    </row>
    <row r="46851" spans="1:4" ht="15.75" customHeight="1">
      <c r="A46851" s="8"/>
      <c r="B46851" s="12"/>
      <c r="C46851" s="8"/>
      <c r="D46851" s="8"/>
    </row>
    <row r="46852" spans="1:4" ht="15.75" customHeight="1">
      <c r="A46852" s="8"/>
      <c r="B46852" s="12"/>
      <c r="C46852" s="8"/>
      <c r="D46852" s="8"/>
    </row>
    <row r="46853" spans="1:4" ht="15.75" customHeight="1">
      <c r="A46853" s="8"/>
      <c r="B46853" s="12"/>
      <c r="C46853" s="8"/>
      <c r="D46853" s="8"/>
    </row>
    <row r="46854" spans="1:4" ht="15.75" customHeight="1">
      <c r="A46854" s="8"/>
      <c r="B46854" s="12"/>
      <c r="C46854" s="8"/>
      <c r="D46854" s="8"/>
    </row>
    <row r="46855" spans="1:4" ht="15.75" customHeight="1">
      <c r="A46855" s="8"/>
      <c r="B46855" s="12"/>
      <c r="C46855" s="8"/>
      <c r="D46855" s="8"/>
    </row>
    <row r="46856" spans="1:4" ht="15.75" customHeight="1">
      <c r="A46856" s="8"/>
      <c r="B46856" s="12"/>
      <c r="C46856" s="8"/>
      <c r="D46856" s="8"/>
    </row>
    <row r="46857" spans="1:4" ht="15.75" customHeight="1">
      <c r="A46857" s="8"/>
      <c r="B46857" s="12"/>
      <c r="C46857" s="8"/>
      <c r="D46857" s="8"/>
    </row>
    <row r="46858" spans="1:4" ht="15.75" customHeight="1">
      <c r="A46858" s="8"/>
      <c r="B46858" s="12"/>
      <c r="C46858" s="8"/>
      <c r="D46858" s="8"/>
    </row>
    <row r="46859" spans="1:4" ht="15.75" customHeight="1">
      <c r="A46859" s="8"/>
      <c r="B46859" s="12"/>
      <c r="C46859" s="8"/>
      <c r="D46859" s="8"/>
    </row>
    <row r="46860" spans="1:4" ht="15.75" customHeight="1">
      <c r="A46860" s="8"/>
      <c r="B46860" s="12"/>
      <c r="C46860" s="8"/>
      <c r="D46860" s="8"/>
    </row>
    <row r="46861" spans="1:4" ht="15.75" customHeight="1">
      <c r="A46861" s="8"/>
      <c r="B46861" s="12"/>
      <c r="C46861" s="8"/>
      <c r="D46861" s="8"/>
    </row>
    <row r="46862" spans="1:4" ht="15.75" customHeight="1">
      <c r="A46862" s="8"/>
      <c r="B46862" s="12"/>
      <c r="C46862" s="8"/>
      <c r="D46862" s="8"/>
    </row>
    <row r="46863" spans="1:4" ht="15.75" customHeight="1">
      <c r="A46863" s="8"/>
      <c r="B46863" s="12"/>
      <c r="C46863" s="8"/>
      <c r="D46863" s="8"/>
    </row>
    <row r="46864" spans="1:4" ht="15.75" customHeight="1">
      <c r="A46864" s="8"/>
      <c r="B46864" s="12"/>
      <c r="C46864" s="8"/>
      <c r="D46864" s="8"/>
    </row>
    <row r="46865" spans="1:4" ht="15.75" customHeight="1">
      <c r="A46865" s="8"/>
      <c r="B46865" s="12"/>
      <c r="C46865" s="8"/>
      <c r="D46865" s="8"/>
    </row>
    <row r="46866" spans="1:4" ht="15.75" customHeight="1">
      <c r="A46866" s="8"/>
      <c r="B46866" s="12"/>
      <c r="C46866" s="8"/>
      <c r="D46866" s="8"/>
    </row>
    <row r="46867" spans="1:4" ht="15.75" customHeight="1">
      <c r="A46867" s="8"/>
      <c r="B46867" s="12"/>
      <c r="C46867" s="8"/>
      <c r="D46867" s="8"/>
    </row>
    <row r="46868" spans="1:4" ht="15.75" customHeight="1">
      <c r="A46868" s="8"/>
      <c r="B46868" s="12"/>
      <c r="C46868" s="8"/>
      <c r="D46868" s="8"/>
    </row>
    <row r="46869" spans="1:4" ht="15.75" customHeight="1">
      <c r="A46869" s="8"/>
      <c r="B46869" s="12"/>
      <c r="C46869" s="8"/>
      <c r="D46869" s="8"/>
    </row>
    <row r="46870" spans="1:4" ht="15.75" customHeight="1">
      <c r="A46870" s="8"/>
      <c r="B46870" s="12"/>
      <c r="C46870" s="8"/>
      <c r="D46870" s="8"/>
    </row>
    <row r="46871" spans="1:4" ht="15.75" customHeight="1">
      <c r="A46871" s="8"/>
      <c r="B46871" s="12"/>
      <c r="C46871" s="8"/>
      <c r="D46871" s="8"/>
    </row>
    <row r="46872" spans="1:4" ht="15.75" customHeight="1">
      <c r="A46872" s="8"/>
      <c r="B46872" s="12"/>
      <c r="C46872" s="8"/>
      <c r="D46872" s="8"/>
    </row>
    <row r="46873" spans="1:4" ht="15.75" customHeight="1">
      <c r="A46873" s="8"/>
      <c r="B46873" s="12"/>
      <c r="C46873" s="8"/>
      <c r="D46873" s="8"/>
    </row>
    <row r="46874" spans="1:4" ht="15.75" customHeight="1">
      <c r="A46874" s="8"/>
      <c r="B46874" s="12"/>
      <c r="C46874" s="8"/>
      <c r="D46874" s="8"/>
    </row>
    <row r="46875" spans="1:4" ht="15.75" customHeight="1">
      <c r="A46875" s="8"/>
      <c r="B46875" s="12"/>
      <c r="C46875" s="8"/>
      <c r="D46875" s="8"/>
    </row>
    <row r="46876" spans="1:4" ht="15.75" customHeight="1">
      <c r="A46876" s="8"/>
      <c r="B46876" s="12"/>
      <c r="C46876" s="8"/>
      <c r="D46876" s="8"/>
    </row>
    <row r="46877" spans="1:4" ht="15.75" customHeight="1">
      <c r="A46877" s="8"/>
      <c r="B46877" s="12"/>
      <c r="C46877" s="8"/>
      <c r="D46877" s="8"/>
    </row>
    <row r="46878" spans="1:4" ht="15.75" customHeight="1">
      <c r="A46878" s="8"/>
      <c r="B46878" s="12"/>
      <c r="C46878" s="8"/>
      <c r="D46878" s="8"/>
    </row>
    <row r="46879" spans="1:4" ht="15.75" customHeight="1">
      <c r="A46879" s="8"/>
      <c r="B46879" s="12"/>
      <c r="C46879" s="8"/>
      <c r="D46879" s="8"/>
    </row>
    <row r="46880" spans="1:4" ht="15.75" customHeight="1">
      <c r="A46880" s="8"/>
      <c r="B46880" s="12"/>
      <c r="C46880" s="8"/>
      <c r="D46880" s="8"/>
    </row>
    <row r="46881" spans="1:4" ht="15.75" customHeight="1">
      <c r="A46881" s="8"/>
      <c r="B46881" s="12"/>
      <c r="C46881" s="8"/>
      <c r="D46881" s="8"/>
    </row>
    <row r="46882" spans="1:4" ht="15.75" customHeight="1">
      <c r="A46882" s="8"/>
      <c r="B46882" s="12"/>
      <c r="C46882" s="8"/>
      <c r="D46882" s="8"/>
    </row>
    <row r="46883" spans="1:4" ht="15.75" customHeight="1">
      <c r="A46883" s="8"/>
      <c r="B46883" s="12"/>
      <c r="C46883" s="8"/>
      <c r="D46883" s="8"/>
    </row>
    <row r="46884" spans="1:4" ht="15.75" customHeight="1">
      <c r="A46884" s="8"/>
      <c r="B46884" s="12"/>
      <c r="C46884" s="8"/>
      <c r="D46884" s="8"/>
    </row>
    <row r="46885" spans="1:4" ht="15.75" customHeight="1">
      <c r="A46885" s="8"/>
      <c r="B46885" s="12"/>
      <c r="C46885" s="8"/>
      <c r="D46885" s="8"/>
    </row>
    <row r="46886" spans="1:4" ht="15.75" customHeight="1">
      <c r="A46886" s="8"/>
      <c r="B46886" s="12"/>
      <c r="C46886" s="8"/>
      <c r="D46886" s="8"/>
    </row>
    <row r="46887" spans="1:4" ht="15.75" customHeight="1">
      <c r="A46887" s="8"/>
      <c r="B46887" s="12"/>
      <c r="C46887" s="8"/>
      <c r="D46887" s="8"/>
    </row>
    <row r="46888" spans="1:4" ht="15.75" customHeight="1">
      <c r="A46888" s="8"/>
      <c r="B46888" s="12"/>
      <c r="C46888" s="8"/>
      <c r="D46888" s="8"/>
    </row>
    <row r="46889" spans="1:4" ht="15.75" customHeight="1">
      <c r="A46889" s="8"/>
      <c r="B46889" s="12"/>
      <c r="C46889" s="8"/>
      <c r="D46889" s="8"/>
    </row>
    <row r="46890" spans="1:4" ht="15.75" customHeight="1">
      <c r="A46890" s="8"/>
      <c r="B46890" s="12"/>
      <c r="C46890" s="8"/>
      <c r="D46890" s="8"/>
    </row>
    <row r="46891" spans="1:4" ht="15.75" customHeight="1">
      <c r="A46891" s="8"/>
      <c r="B46891" s="12"/>
      <c r="C46891" s="8"/>
      <c r="D46891" s="8"/>
    </row>
    <row r="46892" spans="1:4" ht="15.75" customHeight="1">
      <c r="A46892" s="8"/>
      <c r="B46892" s="12"/>
      <c r="C46892" s="8"/>
      <c r="D46892" s="8"/>
    </row>
    <row r="46893" spans="1:4" ht="15.75" customHeight="1">
      <c r="A46893" s="8"/>
      <c r="B46893" s="12"/>
      <c r="C46893" s="8"/>
      <c r="D46893" s="8"/>
    </row>
    <row r="46894" spans="1:4" ht="15.75" customHeight="1">
      <c r="A46894" s="8"/>
      <c r="B46894" s="12"/>
      <c r="C46894" s="8"/>
      <c r="D46894" s="8"/>
    </row>
    <row r="46895" spans="1:4" ht="15.75" customHeight="1">
      <c r="A46895" s="8"/>
      <c r="B46895" s="12"/>
      <c r="C46895" s="8"/>
      <c r="D46895" s="8"/>
    </row>
    <row r="46896" spans="1:4" ht="15.75" customHeight="1">
      <c r="A46896" s="8"/>
      <c r="B46896" s="12"/>
      <c r="C46896" s="8"/>
      <c r="D46896" s="8"/>
    </row>
    <row r="46897" spans="1:4" ht="15.75" customHeight="1">
      <c r="A46897" s="8"/>
      <c r="B46897" s="12"/>
      <c r="C46897" s="8"/>
      <c r="D46897" s="8"/>
    </row>
    <row r="46898" spans="1:4" ht="15.75" customHeight="1">
      <c r="A46898" s="8"/>
      <c r="B46898" s="12"/>
      <c r="C46898" s="8"/>
      <c r="D46898" s="8"/>
    </row>
    <row r="46899" spans="1:4" ht="15.75" customHeight="1">
      <c r="A46899" s="8"/>
      <c r="B46899" s="12"/>
      <c r="C46899" s="8"/>
      <c r="D46899" s="8"/>
    </row>
    <row r="46900" spans="1:4" ht="15.75" customHeight="1">
      <c r="A46900" s="8"/>
      <c r="B46900" s="12"/>
      <c r="C46900" s="8"/>
      <c r="D46900" s="8"/>
    </row>
    <row r="46901" spans="1:4" ht="15.75" customHeight="1">
      <c r="A46901" s="8"/>
      <c r="B46901" s="12"/>
      <c r="C46901" s="8"/>
      <c r="D46901" s="8"/>
    </row>
    <row r="46902" spans="1:4" ht="15.75" customHeight="1">
      <c r="A46902" s="8"/>
      <c r="B46902" s="12"/>
      <c r="C46902" s="8"/>
      <c r="D46902" s="8"/>
    </row>
    <row r="46903" spans="1:4" ht="15.75" customHeight="1">
      <c r="A46903" s="8"/>
      <c r="B46903" s="12"/>
      <c r="C46903" s="8"/>
      <c r="D46903" s="8"/>
    </row>
    <row r="46904" spans="1:4" ht="15.75" customHeight="1">
      <c r="A46904" s="8"/>
      <c r="B46904" s="12"/>
      <c r="C46904" s="8"/>
      <c r="D46904" s="8"/>
    </row>
    <row r="46905" spans="1:4" ht="15.75" customHeight="1">
      <c r="A46905" s="8"/>
      <c r="B46905" s="12"/>
      <c r="C46905" s="8"/>
      <c r="D46905" s="8"/>
    </row>
    <row r="46906" spans="1:4" ht="15.75" customHeight="1">
      <c r="A46906" s="8"/>
      <c r="B46906" s="12"/>
      <c r="C46906" s="8"/>
      <c r="D46906" s="8"/>
    </row>
    <row r="46907" spans="1:4" ht="15.75" customHeight="1">
      <c r="A46907" s="8"/>
      <c r="B46907" s="12"/>
      <c r="C46907" s="8"/>
      <c r="D46907" s="8"/>
    </row>
    <row r="46908" spans="1:4" ht="15.75" customHeight="1">
      <c r="A46908" s="8"/>
      <c r="B46908" s="12"/>
      <c r="C46908" s="8"/>
      <c r="D46908" s="8"/>
    </row>
    <row r="46909" spans="1:4" ht="15.75" customHeight="1">
      <c r="A46909" s="8"/>
      <c r="B46909" s="12"/>
      <c r="C46909" s="8"/>
      <c r="D46909" s="8"/>
    </row>
    <row r="46910" spans="1:4" ht="15.75" customHeight="1">
      <c r="A46910" s="8"/>
      <c r="B46910" s="12"/>
      <c r="C46910" s="8"/>
      <c r="D46910" s="8"/>
    </row>
    <row r="46911" spans="1:4" ht="15.75" customHeight="1">
      <c r="A46911" s="8"/>
      <c r="B46911" s="12"/>
      <c r="C46911" s="8"/>
      <c r="D46911" s="8"/>
    </row>
    <row r="46912" spans="1:4" ht="15.75" customHeight="1">
      <c r="A46912" s="8"/>
      <c r="B46912" s="12"/>
      <c r="C46912" s="8"/>
      <c r="D46912" s="8"/>
    </row>
    <row r="46913" spans="1:4" ht="15.75" customHeight="1">
      <c r="A46913" s="8"/>
      <c r="B46913" s="12"/>
      <c r="C46913" s="8"/>
      <c r="D46913" s="8"/>
    </row>
    <row r="46914" spans="1:4" ht="15.75" customHeight="1">
      <c r="A46914" s="8"/>
      <c r="B46914" s="12"/>
      <c r="C46914" s="8"/>
      <c r="D46914" s="8"/>
    </row>
    <row r="46915" spans="1:4" ht="15.75" customHeight="1">
      <c r="A46915" s="8"/>
      <c r="B46915" s="12"/>
      <c r="C46915" s="8"/>
      <c r="D46915" s="8"/>
    </row>
    <row r="46916" spans="1:4" ht="15.75" customHeight="1">
      <c r="A46916" s="8"/>
      <c r="B46916" s="12"/>
      <c r="C46916" s="8"/>
      <c r="D46916" s="8"/>
    </row>
    <row r="46917" spans="1:4" ht="15.75" customHeight="1">
      <c r="A46917" s="8"/>
      <c r="B46917" s="12"/>
      <c r="C46917" s="8"/>
      <c r="D46917" s="8"/>
    </row>
    <row r="46918" spans="1:4" ht="15.75" customHeight="1">
      <c r="A46918" s="8"/>
      <c r="B46918" s="12"/>
      <c r="C46918" s="8"/>
      <c r="D46918" s="8"/>
    </row>
    <row r="46919" spans="1:4" ht="15.75" customHeight="1">
      <c r="A46919" s="8"/>
      <c r="B46919" s="12"/>
      <c r="C46919" s="8"/>
      <c r="D46919" s="8"/>
    </row>
    <row r="46920" spans="1:4" ht="15.75" customHeight="1">
      <c r="A46920" s="8"/>
      <c r="B46920" s="12"/>
      <c r="C46920" s="8"/>
      <c r="D46920" s="8"/>
    </row>
    <row r="46921" spans="1:4" ht="15.75" customHeight="1">
      <c r="A46921" s="8"/>
      <c r="B46921" s="12"/>
      <c r="C46921" s="8"/>
      <c r="D46921" s="8"/>
    </row>
    <row r="46922" spans="1:4" ht="15.75" customHeight="1">
      <c r="A46922" s="8"/>
      <c r="B46922" s="12"/>
      <c r="C46922" s="8"/>
      <c r="D46922" s="8"/>
    </row>
    <row r="46923" spans="1:4" ht="15.75" customHeight="1">
      <c r="A46923" s="8"/>
      <c r="B46923" s="12"/>
      <c r="C46923" s="8"/>
      <c r="D46923" s="8"/>
    </row>
    <row r="46924" spans="1:4" ht="15.75" customHeight="1">
      <c r="A46924" s="8"/>
      <c r="B46924" s="12"/>
      <c r="C46924" s="8"/>
      <c r="D46924" s="8"/>
    </row>
    <row r="46925" spans="1:4" ht="15.75" customHeight="1">
      <c r="A46925" s="8"/>
      <c r="B46925" s="12"/>
      <c r="C46925" s="8"/>
      <c r="D46925" s="8"/>
    </row>
    <row r="46926" spans="1:4" ht="15.75" customHeight="1">
      <c r="A46926" s="8"/>
      <c r="B46926" s="12"/>
      <c r="C46926" s="8"/>
      <c r="D46926" s="8"/>
    </row>
    <row r="46927" spans="1:4" ht="15.75" customHeight="1">
      <c r="A46927" s="8"/>
      <c r="B46927" s="12"/>
      <c r="C46927" s="8"/>
      <c r="D46927" s="8"/>
    </row>
    <row r="46928" spans="1:4" ht="15.75" customHeight="1">
      <c r="A46928" s="8"/>
      <c r="B46928" s="12"/>
      <c r="C46928" s="8"/>
      <c r="D46928" s="8"/>
    </row>
    <row r="46929" spans="1:4" ht="15.75" customHeight="1">
      <c r="A46929" s="8"/>
      <c r="B46929" s="12"/>
      <c r="C46929" s="8"/>
      <c r="D46929" s="8"/>
    </row>
    <row r="46930" spans="1:4" ht="15.75" customHeight="1">
      <c r="A46930" s="8"/>
      <c r="B46930" s="12"/>
      <c r="C46930" s="8"/>
      <c r="D46930" s="8"/>
    </row>
    <row r="46931" spans="1:4" ht="15.75" customHeight="1">
      <c r="A46931" s="8"/>
      <c r="B46931" s="12"/>
      <c r="C46931" s="8"/>
      <c r="D46931" s="8"/>
    </row>
    <row r="46932" spans="1:4" ht="15.75" customHeight="1">
      <c r="A46932" s="8"/>
      <c r="B46932" s="12"/>
      <c r="C46932" s="8"/>
      <c r="D46932" s="8"/>
    </row>
    <row r="46933" spans="1:4" ht="15.75" customHeight="1">
      <c r="A46933" s="8"/>
      <c r="B46933" s="12"/>
      <c r="C46933" s="8"/>
      <c r="D46933" s="8"/>
    </row>
    <row r="46934" spans="1:4" ht="15.75" customHeight="1">
      <c r="A46934" s="8"/>
      <c r="B46934" s="12"/>
      <c r="C46934" s="8"/>
      <c r="D46934" s="8"/>
    </row>
    <row r="46935" spans="1:4" ht="15.75" customHeight="1">
      <c r="A46935" s="8"/>
      <c r="B46935" s="12"/>
      <c r="C46935" s="8"/>
      <c r="D46935" s="8"/>
    </row>
    <row r="46936" spans="1:4" ht="15.75" customHeight="1">
      <c r="A46936" s="8"/>
      <c r="B46936" s="12"/>
      <c r="C46936" s="8"/>
      <c r="D46936" s="8"/>
    </row>
    <row r="46937" spans="1:4" ht="15.75" customHeight="1">
      <c r="A46937" s="8"/>
      <c r="B46937" s="12"/>
      <c r="C46937" s="8"/>
      <c r="D46937" s="8"/>
    </row>
    <row r="46938" spans="1:4" ht="15.75" customHeight="1">
      <c r="A46938" s="8"/>
      <c r="B46938" s="12"/>
      <c r="C46938" s="8"/>
      <c r="D46938" s="8"/>
    </row>
    <row r="46939" spans="1:4" ht="15.75" customHeight="1">
      <c r="A46939" s="8"/>
      <c r="B46939" s="12"/>
      <c r="C46939" s="8"/>
      <c r="D46939" s="8"/>
    </row>
    <row r="46940" spans="1:4" ht="15.75" customHeight="1">
      <c r="A46940" s="8"/>
      <c r="B46940" s="12"/>
      <c r="C46940" s="8"/>
      <c r="D46940" s="8"/>
    </row>
    <row r="46941" spans="1:4" ht="15.75" customHeight="1">
      <c r="A46941" s="8"/>
      <c r="B46941" s="12"/>
      <c r="C46941" s="8"/>
      <c r="D46941" s="8"/>
    </row>
    <row r="46942" spans="1:4" ht="15.75" customHeight="1">
      <c r="A46942" s="8"/>
      <c r="B46942" s="12"/>
      <c r="C46942" s="8"/>
      <c r="D46942" s="8"/>
    </row>
    <row r="46943" spans="1:4" ht="15.75" customHeight="1">
      <c r="A46943" s="8"/>
      <c r="B46943" s="12"/>
      <c r="C46943" s="8"/>
      <c r="D46943" s="8"/>
    </row>
    <row r="46944" spans="1:4" ht="15.75" customHeight="1">
      <c r="A46944" s="8"/>
      <c r="B46944" s="12"/>
      <c r="C46944" s="8"/>
      <c r="D46944" s="8"/>
    </row>
    <row r="46945" spans="1:4" ht="15.75" customHeight="1">
      <c r="A46945" s="8"/>
      <c r="B46945" s="12"/>
      <c r="C46945" s="8"/>
      <c r="D46945" s="8"/>
    </row>
    <row r="46946" spans="1:4" ht="15.75" customHeight="1">
      <c r="A46946" s="8"/>
      <c r="B46946" s="12"/>
      <c r="C46946" s="8"/>
      <c r="D46946" s="8"/>
    </row>
    <row r="46947" spans="1:4" ht="15.75" customHeight="1">
      <c r="A46947" s="8"/>
      <c r="B46947" s="12"/>
      <c r="C46947" s="8"/>
      <c r="D46947" s="8"/>
    </row>
    <row r="46948" spans="1:4" ht="15.75" customHeight="1">
      <c r="A46948" s="8"/>
      <c r="B46948" s="12"/>
      <c r="C46948" s="8"/>
      <c r="D46948" s="8"/>
    </row>
    <row r="46949" spans="1:4" ht="15.75" customHeight="1">
      <c r="A46949" s="8"/>
      <c r="B46949" s="12"/>
      <c r="C46949" s="8"/>
      <c r="D46949" s="8"/>
    </row>
    <row r="46950" spans="1:4" ht="15.75" customHeight="1">
      <c r="A46950" s="8"/>
      <c r="B46950" s="12"/>
      <c r="C46950" s="8"/>
      <c r="D46950" s="8"/>
    </row>
    <row r="46951" spans="1:4" ht="15.75" customHeight="1">
      <c r="A46951" s="8"/>
      <c r="B46951" s="12"/>
      <c r="C46951" s="8"/>
      <c r="D46951" s="8"/>
    </row>
    <row r="46952" spans="1:4" ht="15.75" customHeight="1">
      <c r="A46952" s="8"/>
      <c r="B46952" s="12"/>
      <c r="C46952" s="8"/>
      <c r="D46952" s="8"/>
    </row>
    <row r="46953" spans="1:4" ht="15.75" customHeight="1">
      <c r="A46953" s="8"/>
      <c r="B46953" s="12"/>
      <c r="C46953" s="8"/>
      <c r="D46953" s="8"/>
    </row>
    <row r="46954" spans="1:4" ht="15.75" customHeight="1">
      <c r="A46954" s="8"/>
      <c r="B46954" s="12"/>
      <c r="C46954" s="8"/>
      <c r="D46954" s="8"/>
    </row>
    <row r="46955" spans="1:4" ht="15.75" customHeight="1">
      <c r="A46955" s="8"/>
      <c r="B46955" s="12"/>
      <c r="C46955" s="8"/>
      <c r="D46955" s="8"/>
    </row>
    <row r="46956" spans="1:4" ht="15.75" customHeight="1">
      <c r="A46956" s="8"/>
      <c r="B46956" s="12"/>
      <c r="C46956" s="8"/>
      <c r="D46956" s="8"/>
    </row>
    <row r="46957" spans="1:4" ht="15.75" customHeight="1">
      <c r="A46957" s="8"/>
      <c r="B46957" s="12"/>
      <c r="C46957" s="8"/>
      <c r="D46957" s="8"/>
    </row>
    <row r="46958" spans="1:4" ht="15.75" customHeight="1">
      <c r="A46958" s="8"/>
      <c r="B46958" s="12"/>
      <c r="C46958" s="8"/>
      <c r="D46958" s="8"/>
    </row>
    <row r="46959" spans="1:4" ht="15.75" customHeight="1">
      <c r="A46959" s="8"/>
      <c r="B46959" s="12"/>
      <c r="C46959" s="8"/>
      <c r="D46959" s="8"/>
    </row>
    <row r="46960" spans="1:4" ht="15.75" customHeight="1">
      <c r="A46960" s="8"/>
      <c r="B46960" s="12"/>
      <c r="C46960" s="8"/>
      <c r="D46960" s="8"/>
    </row>
    <row r="46961" spans="1:4" ht="15.75" customHeight="1">
      <c r="A46961" s="8"/>
      <c r="B46961" s="12"/>
      <c r="C46961" s="8"/>
      <c r="D46961" s="8"/>
    </row>
    <row r="46962" spans="1:4" ht="15.75" customHeight="1">
      <c r="A46962" s="8"/>
      <c r="B46962" s="12"/>
      <c r="C46962" s="8"/>
      <c r="D46962" s="8"/>
    </row>
    <row r="46963" spans="1:4" ht="15.75" customHeight="1">
      <c r="A46963" s="8"/>
      <c r="B46963" s="12"/>
      <c r="C46963" s="8"/>
      <c r="D46963" s="8"/>
    </row>
    <row r="46964" spans="1:4" ht="15.75" customHeight="1">
      <c r="A46964" s="8"/>
      <c r="B46964" s="12"/>
      <c r="C46964" s="8"/>
      <c r="D46964" s="8"/>
    </row>
    <row r="46965" spans="1:4" ht="15.75" customHeight="1">
      <c r="A46965" s="8"/>
      <c r="B46965" s="12"/>
      <c r="C46965" s="8"/>
      <c r="D46965" s="8"/>
    </row>
    <row r="46966" spans="1:4" ht="15.75" customHeight="1">
      <c r="A46966" s="8"/>
      <c r="B46966" s="12"/>
      <c r="C46966" s="8"/>
      <c r="D46966" s="8"/>
    </row>
    <row r="46967" spans="1:4" ht="15.75" customHeight="1">
      <c r="A46967" s="8"/>
      <c r="B46967" s="12"/>
      <c r="C46967" s="8"/>
      <c r="D46967" s="8"/>
    </row>
    <row r="46968" spans="1:4" ht="15.75" customHeight="1">
      <c r="A46968" s="8"/>
      <c r="B46968" s="12"/>
      <c r="C46968" s="8"/>
      <c r="D46968" s="8"/>
    </row>
    <row r="46969" spans="1:4" ht="15.75" customHeight="1">
      <c r="A46969" s="8"/>
      <c r="B46969" s="12"/>
      <c r="C46969" s="8"/>
      <c r="D46969" s="8"/>
    </row>
    <row r="46970" spans="1:4" ht="15.75" customHeight="1">
      <c r="A46970" s="8"/>
      <c r="B46970" s="12"/>
      <c r="C46970" s="8"/>
      <c r="D46970" s="8"/>
    </row>
    <row r="46971" spans="1:4" ht="15.75" customHeight="1">
      <c r="A46971" s="8"/>
      <c r="B46971" s="12"/>
      <c r="C46971" s="8"/>
      <c r="D46971" s="8"/>
    </row>
    <row r="46972" spans="1:4" ht="15.75" customHeight="1">
      <c r="A46972" s="8"/>
      <c r="B46972" s="12"/>
      <c r="C46972" s="8"/>
      <c r="D46972" s="8"/>
    </row>
    <row r="46973" spans="1:4" ht="15.75" customHeight="1">
      <c r="A46973" s="8"/>
      <c r="B46973" s="12"/>
      <c r="C46973" s="8"/>
      <c r="D46973" s="8"/>
    </row>
    <row r="46974" spans="1:4" ht="15.75" customHeight="1">
      <c r="A46974" s="8"/>
      <c r="B46974" s="12"/>
      <c r="C46974" s="8"/>
      <c r="D46974" s="8"/>
    </row>
    <row r="46975" spans="1:4" ht="15.75" customHeight="1">
      <c r="A46975" s="8"/>
      <c r="B46975" s="12"/>
      <c r="C46975" s="8"/>
      <c r="D46975" s="8"/>
    </row>
    <row r="46976" spans="1:4" ht="15.75" customHeight="1">
      <c r="A46976" s="8"/>
      <c r="B46976" s="12"/>
      <c r="C46976" s="8"/>
      <c r="D46976" s="8"/>
    </row>
    <row r="46977" spans="1:4" ht="15.75" customHeight="1">
      <c r="A46977" s="8"/>
      <c r="B46977" s="12"/>
      <c r="C46977" s="8"/>
      <c r="D46977" s="8"/>
    </row>
    <row r="46978" spans="1:4" ht="15.75" customHeight="1">
      <c r="A46978" s="8"/>
      <c r="B46978" s="12"/>
      <c r="C46978" s="8"/>
      <c r="D46978" s="8"/>
    </row>
    <row r="46979" spans="1:4" ht="15.75" customHeight="1">
      <c r="A46979" s="8"/>
      <c r="B46979" s="12"/>
      <c r="C46979" s="8"/>
      <c r="D46979" s="8"/>
    </row>
    <row r="46980" spans="1:4" ht="15.75" customHeight="1">
      <c r="A46980" s="8"/>
      <c r="B46980" s="12"/>
      <c r="C46980" s="8"/>
      <c r="D46980" s="8"/>
    </row>
    <row r="46981" spans="1:4" ht="15.75" customHeight="1">
      <c r="A46981" s="8"/>
      <c r="B46981" s="12"/>
      <c r="C46981" s="8"/>
      <c r="D46981" s="8"/>
    </row>
    <row r="46982" spans="1:4" ht="15.75" customHeight="1">
      <c r="A46982" s="8"/>
      <c r="B46982" s="12"/>
      <c r="C46982" s="8"/>
      <c r="D46982" s="8"/>
    </row>
    <row r="46983" spans="1:4" ht="15.75" customHeight="1">
      <c r="A46983" s="8"/>
      <c r="B46983" s="12"/>
      <c r="C46983" s="8"/>
      <c r="D46983" s="8"/>
    </row>
    <row r="46984" spans="1:4" ht="15.75" customHeight="1">
      <c r="A46984" s="8"/>
      <c r="B46984" s="12"/>
      <c r="C46984" s="8"/>
      <c r="D46984" s="8"/>
    </row>
    <row r="46985" spans="1:4" ht="15.75" customHeight="1">
      <c r="A46985" s="8"/>
      <c r="B46985" s="12"/>
      <c r="C46985" s="8"/>
      <c r="D46985" s="8"/>
    </row>
    <row r="46986" spans="1:4" ht="15.75" customHeight="1">
      <c r="A46986" s="8"/>
      <c r="B46986" s="12"/>
      <c r="C46986" s="8"/>
      <c r="D46986" s="8"/>
    </row>
    <row r="46987" spans="1:4" ht="15.75" customHeight="1">
      <c r="A46987" s="8"/>
      <c r="B46987" s="12"/>
      <c r="C46987" s="8"/>
      <c r="D46987" s="8"/>
    </row>
    <row r="46988" spans="1:4" ht="15.75" customHeight="1">
      <c r="A46988" s="8"/>
      <c r="B46988" s="12"/>
      <c r="C46988" s="8"/>
      <c r="D46988" s="8"/>
    </row>
    <row r="46989" spans="1:4" ht="15.75" customHeight="1">
      <c r="A46989" s="8"/>
      <c r="B46989" s="12"/>
      <c r="C46989" s="8"/>
      <c r="D46989" s="8"/>
    </row>
    <row r="46990" spans="1:4" ht="15.75" customHeight="1">
      <c r="A46990" s="8"/>
      <c r="B46990" s="12"/>
      <c r="C46990" s="8"/>
      <c r="D46990" s="8"/>
    </row>
    <row r="46991" spans="1:4" ht="15.75" customHeight="1">
      <c r="A46991" s="8"/>
      <c r="B46991" s="12"/>
      <c r="C46991" s="8"/>
      <c r="D46991" s="8"/>
    </row>
    <row r="46992" spans="1:4" ht="15.75" customHeight="1">
      <c r="A46992" s="8"/>
      <c r="B46992" s="12"/>
      <c r="C46992" s="8"/>
      <c r="D46992" s="8"/>
    </row>
    <row r="46993" spans="1:4" ht="15.75" customHeight="1">
      <c r="A46993" s="8"/>
      <c r="B46993" s="12"/>
      <c r="C46993" s="8"/>
      <c r="D46993" s="8"/>
    </row>
    <row r="46994" spans="1:4" ht="15.75" customHeight="1">
      <c r="A46994" s="8"/>
      <c r="B46994" s="12"/>
      <c r="C46994" s="8"/>
      <c r="D46994" s="8"/>
    </row>
    <row r="46995" spans="1:4" ht="15.75" customHeight="1">
      <c r="A46995" s="8"/>
      <c r="B46995" s="12"/>
      <c r="C46995" s="8"/>
      <c r="D46995" s="8"/>
    </row>
    <row r="46996" spans="1:4" ht="15.75" customHeight="1">
      <c r="A46996" s="8"/>
      <c r="B46996" s="12"/>
      <c r="C46996" s="8"/>
      <c r="D46996" s="8"/>
    </row>
    <row r="46997" spans="1:4" ht="15.75" customHeight="1">
      <c r="A46997" s="8"/>
      <c r="B46997" s="12"/>
      <c r="C46997" s="8"/>
      <c r="D46997" s="8"/>
    </row>
    <row r="46998" spans="1:4" ht="15.75" customHeight="1">
      <c r="A46998" s="8"/>
      <c r="B46998" s="12"/>
      <c r="C46998" s="8"/>
      <c r="D46998" s="8"/>
    </row>
    <row r="46999" spans="1:4" ht="15.75" customHeight="1">
      <c r="A46999" s="8"/>
      <c r="B46999" s="12"/>
      <c r="C46999" s="8"/>
      <c r="D46999" s="8"/>
    </row>
    <row r="47000" spans="1:4" ht="15.75" customHeight="1">
      <c r="A47000" s="8"/>
      <c r="B47000" s="12"/>
      <c r="C47000" s="8"/>
      <c r="D47000" s="8"/>
    </row>
    <row r="47001" spans="1:4" ht="15.75" customHeight="1">
      <c r="A47001" s="8"/>
      <c r="B47001" s="12"/>
      <c r="C47001" s="8"/>
      <c r="D47001" s="8"/>
    </row>
    <row r="47002" spans="1:4" ht="15.75" customHeight="1">
      <c r="A47002" s="8"/>
      <c r="B47002" s="12"/>
      <c r="C47002" s="8"/>
      <c r="D47002" s="8"/>
    </row>
    <row r="47003" spans="1:4" ht="15.75" customHeight="1">
      <c r="A47003" s="8"/>
      <c r="B47003" s="12"/>
      <c r="C47003" s="8"/>
      <c r="D47003" s="8"/>
    </row>
    <row r="47004" spans="1:4" ht="15.75" customHeight="1">
      <c r="A47004" s="8"/>
      <c r="B47004" s="12"/>
      <c r="C47004" s="8"/>
      <c r="D47004" s="8"/>
    </row>
    <row r="47005" spans="1:4" ht="15.75" customHeight="1">
      <c r="A47005" s="8"/>
      <c r="B47005" s="12"/>
      <c r="C47005" s="8"/>
      <c r="D47005" s="8"/>
    </row>
    <row r="47006" spans="1:4" ht="15.75" customHeight="1">
      <c r="A47006" s="8"/>
      <c r="B47006" s="12"/>
      <c r="C47006" s="8"/>
      <c r="D47006" s="8"/>
    </row>
    <row r="47007" spans="1:4" ht="15.75" customHeight="1">
      <c r="A47007" s="8"/>
      <c r="B47007" s="12"/>
      <c r="C47007" s="8"/>
      <c r="D47007" s="8"/>
    </row>
    <row r="47008" spans="1:4" ht="15.75" customHeight="1">
      <c r="A47008" s="8"/>
      <c r="B47008" s="12"/>
      <c r="C47008" s="8"/>
      <c r="D47008" s="8"/>
    </row>
    <row r="47009" spans="1:4" ht="15.75" customHeight="1">
      <c r="A47009" s="8"/>
      <c r="B47009" s="12"/>
      <c r="C47009" s="8"/>
      <c r="D47009" s="8"/>
    </row>
    <row r="47010" spans="1:4" ht="15.75" customHeight="1">
      <c r="A47010" s="8"/>
      <c r="B47010" s="12"/>
      <c r="C47010" s="8"/>
      <c r="D47010" s="8"/>
    </row>
    <row r="47011" spans="1:4" ht="15.75" customHeight="1">
      <c r="A47011" s="8"/>
      <c r="B47011" s="12"/>
      <c r="C47011" s="8"/>
      <c r="D47011" s="8"/>
    </row>
    <row r="47012" spans="1:4" ht="15.75" customHeight="1">
      <c r="A47012" s="8"/>
      <c r="B47012" s="12"/>
      <c r="C47012" s="8"/>
      <c r="D47012" s="8"/>
    </row>
    <row r="47013" spans="1:4" ht="15.75" customHeight="1">
      <c r="A47013" s="8"/>
      <c r="B47013" s="12"/>
      <c r="C47013" s="8"/>
      <c r="D47013" s="8"/>
    </row>
    <row r="47014" spans="1:4" ht="15.75" customHeight="1">
      <c r="A47014" s="8"/>
      <c r="B47014" s="12"/>
      <c r="C47014" s="8"/>
      <c r="D47014" s="8"/>
    </row>
    <row r="47015" spans="1:4" ht="15.75" customHeight="1">
      <c r="A47015" s="8"/>
      <c r="B47015" s="12"/>
      <c r="C47015" s="8"/>
      <c r="D47015" s="8"/>
    </row>
    <row r="47016" spans="1:4" ht="15.75" customHeight="1">
      <c r="A47016" s="8"/>
      <c r="B47016" s="12"/>
      <c r="C47016" s="8"/>
      <c r="D47016" s="8"/>
    </row>
    <row r="47017" spans="1:4" ht="15.75" customHeight="1">
      <c r="A47017" s="8"/>
      <c r="B47017" s="12"/>
      <c r="C47017" s="8"/>
      <c r="D47017" s="8"/>
    </row>
    <row r="47018" spans="1:4" ht="15.75" customHeight="1">
      <c r="A47018" s="8"/>
      <c r="B47018" s="12"/>
      <c r="C47018" s="8"/>
      <c r="D47018" s="8"/>
    </row>
    <row r="47019" spans="1:4" ht="15.75" customHeight="1">
      <c r="A47019" s="8"/>
      <c r="B47019" s="12"/>
      <c r="C47019" s="8"/>
      <c r="D47019" s="8"/>
    </row>
    <row r="47020" spans="1:4" ht="15.75" customHeight="1">
      <c r="A47020" s="8"/>
      <c r="B47020" s="12"/>
      <c r="C47020" s="8"/>
      <c r="D47020" s="8"/>
    </row>
    <row r="47021" spans="1:4" ht="15.75" customHeight="1">
      <c r="A47021" s="8"/>
      <c r="B47021" s="12"/>
      <c r="C47021" s="8"/>
      <c r="D47021" s="8"/>
    </row>
    <row r="47022" spans="1:4" ht="15.75" customHeight="1">
      <c r="A47022" s="8"/>
      <c r="B47022" s="12"/>
      <c r="C47022" s="8"/>
      <c r="D47022" s="8"/>
    </row>
    <row r="47023" spans="1:4" ht="15.75" customHeight="1">
      <c r="A47023" s="8"/>
      <c r="B47023" s="12"/>
      <c r="C47023" s="8"/>
      <c r="D47023" s="8"/>
    </row>
    <row r="47024" spans="1:4" ht="15.75" customHeight="1">
      <c r="A47024" s="8"/>
      <c r="B47024" s="12"/>
      <c r="C47024" s="8"/>
      <c r="D47024" s="8"/>
    </row>
    <row r="47025" spans="1:4" ht="15.75" customHeight="1">
      <c r="A47025" s="8"/>
      <c r="B47025" s="12"/>
      <c r="C47025" s="8"/>
      <c r="D47025" s="8"/>
    </row>
    <row r="47026" spans="1:4" ht="15.75" customHeight="1">
      <c r="A47026" s="8"/>
      <c r="B47026" s="12"/>
      <c r="C47026" s="8"/>
      <c r="D47026" s="8"/>
    </row>
    <row r="47027" spans="1:4" ht="15.75" customHeight="1">
      <c r="A47027" s="8"/>
      <c r="B47027" s="12"/>
      <c r="C47027" s="8"/>
      <c r="D47027" s="8"/>
    </row>
    <row r="47028" spans="1:4" ht="15.75" customHeight="1">
      <c r="A47028" s="8"/>
      <c r="B47028" s="12"/>
      <c r="C47028" s="8"/>
      <c r="D47028" s="8"/>
    </row>
    <row r="47029" spans="1:4" ht="15.75" customHeight="1">
      <c r="A47029" s="8"/>
      <c r="B47029" s="12"/>
      <c r="C47029" s="8"/>
      <c r="D47029" s="8"/>
    </row>
    <row r="47030" spans="1:4" ht="15.75" customHeight="1">
      <c r="A47030" s="8"/>
      <c r="B47030" s="12"/>
      <c r="C47030" s="8"/>
      <c r="D47030" s="8"/>
    </row>
    <row r="47031" spans="1:4" ht="15.75" customHeight="1">
      <c r="A47031" s="8"/>
      <c r="B47031" s="12"/>
      <c r="C47031" s="8"/>
      <c r="D47031" s="8"/>
    </row>
    <row r="47032" spans="1:4" ht="15.75" customHeight="1">
      <c r="A47032" s="8"/>
      <c r="B47032" s="12"/>
      <c r="C47032" s="8"/>
      <c r="D47032" s="8"/>
    </row>
    <row r="47033" spans="1:4" ht="15.75" customHeight="1">
      <c r="A47033" s="8"/>
      <c r="B47033" s="12"/>
      <c r="C47033" s="8"/>
      <c r="D47033" s="8"/>
    </row>
    <row r="47034" spans="1:4" ht="15.75" customHeight="1">
      <c r="A47034" s="8"/>
      <c r="B47034" s="12"/>
      <c r="C47034" s="8"/>
      <c r="D47034" s="8"/>
    </row>
    <row r="47035" spans="1:4" ht="15.75" customHeight="1">
      <c r="A47035" s="8"/>
      <c r="B47035" s="12"/>
      <c r="C47035" s="8"/>
      <c r="D47035" s="8"/>
    </row>
    <row r="47036" spans="1:4" ht="15.75" customHeight="1">
      <c r="A47036" s="8"/>
      <c r="B47036" s="12"/>
      <c r="C47036" s="8"/>
      <c r="D47036" s="8"/>
    </row>
    <row r="47037" spans="1:4" ht="15.75" customHeight="1">
      <c r="A47037" s="8"/>
      <c r="B47037" s="12"/>
      <c r="C47037" s="8"/>
      <c r="D47037" s="8"/>
    </row>
    <row r="47038" spans="1:4" ht="15.75" customHeight="1">
      <c r="A47038" s="8"/>
      <c r="B47038" s="12"/>
      <c r="C47038" s="8"/>
      <c r="D47038" s="8"/>
    </row>
    <row r="47039" spans="1:4" ht="15.75" customHeight="1">
      <c r="A47039" s="8"/>
      <c r="B47039" s="12"/>
      <c r="C47039" s="8"/>
      <c r="D47039" s="8"/>
    </row>
    <row r="47040" spans="1:4" ht="15.75" customHeight="1">
      <c r="A47040" s="8"/>
      <c r="B47040" s="12"/>
      <c r="C47040" s="8"/>
      <c r="D47040" s="8"/>
    </row>
    <row r="47041" spans="1:4" ht="15.75" customHeight="1">
      <c r="A47041" s="8"/>
      <c r="B47041" s="12"/>
      <c r="C47041" s="8"/>
      <c r="D47041" s="8"/>
    </row>
    <row r="47042" spans="1:4" ht="15.75" customHeight="1">
      <c r="A47042" s="8"/>
      <c r="B47042" s="12"/>
      <c r="C47042" s="8"/>
      <c r="D47042" s="8"/>
    </row>
    <row r="47043" spans="1:4" ht="15.75" customHeight="1">
      <c r="A47043" s="8"/>
      <c r="B47043" s="12"/>
      <c r="C47043" s="8"/>
      <c r="D47043" s="8"/>
    </row>
    <row r="47044" spans="1:4" ht="15.75" customHeight="1">
      <c r="A47044" s="8"/>
      <c r="B47044" s="12"/>
      <c r="C47044" s="8"/>
      <c r="D47044" s="8"/>
    </row>
    <row r="47045" spans="1:4" ht="15.75" customHeight="1">
      <c r="A47045" s="8"/>
      <c r="B47045" s="12"/>
      <c r="C47045" s="8"/>
      <c r="D47045" s="8"/>
    </row>
    <row r="47046" spans="1:4" ht="15.75" customHeight="1">
      <c r="A47046" s="8"/>
      <c r="B47046" s="12"/>
      <c r="C47046" s="8"/>
      <c r="D47046" s="8"/>
    </row>
    <row r="47047" spans="1:4" ht="15.75" customHeight="1">
      <c r="A47047" s="8"/>
      <c r="B47047" s="12"/>
      <c r="C47047" s="8"/>
      <c r="D47047" s="8"/>
    </row>
    <row r="47048" spans="1:4" ht="15.75" customHeight="1">
      <c r="A47048" s="8"/>
      <c r="B47048" s="12"/>
      <c r="C47048" s="8"/>
      <c r="D47048" s="8"/>
    </row>
    <row r="47049" spans="1:4" ht="15.75" customHeight="1">
      <c r="A47049" s="8"/>
      <c r="B47049" s="12"/>
      <c r="C47049" s="8"/>
      <c r="D47049" s="8"/>
    </row>
    <row r="47050" spans="1:4" ht="15.75" customHeight="1">
      <c r="A47050" s="8"/>
      <c r="B47050" s="12"/>
      <c r="C47050" s="8"/>
      <c r="D47050" s="8"/>
    </row>
    <row r="47051" spans="1:4" ht="15.75" customHeight="1">
      <c r="A47051" s="8"/>
      <c r="B47051" s="12"/>
      <c r="C47051" s="8"/>
      <c r="D47051" s="8"/>
    </row>
    <row r="47052" spans="1:4" ht="15.75" customHeight="1">
      <c r="A47052" s="8"/>
      <c r="B47052" s="12"/>
      <c r="C47052" s="8"/>
      <c r="D47052" s="8"/>
    </row>
    <row r="47053" spans="1:4" ht="15.75" customHeight="1">
      <c r="A47053" s="8"/>
      <c r="B47053" s="12"/>
      <c r="C47053" s="8"/>
      <c r="D47053" s="8"/>
    </row>
    <row r="47054" spans="1:4" ht="15.75" customHeight="1">
      <c r="A47054" s="8"/>
      <c r="B47054" s="12"/>
      <c r="C47054" s="8"/>
      <c r="D47054" s="8"/>
    </row>
    <row r="47055" spans="1:4" ht="15.75" customHeight="1">
      <c r="A47055" s="8"/>
      <c r="B47055" s="12"/>
      <c r="C47055" s="8"/>
      <c r="D47055" s="8"/>
    </row>
    <row r="47056" spans="1:4" ht="15.75" customHeight="1">
      <c r="A47056" s="8"/>
      <c r="B47056" s="12"/>
      <c r="C47056" s="8"/>
      <c r="D47056" s="8"/>
    </row>
    <row r="47057" spans="1:4" ht="15.75" customHeight="1">
      <c r="A47057" s="8"/>
      <c r="B47057" s="12"/>
      <c r="C47057" s="8"/>
      <c r="D47057" s="8"/>
    </row>
    <row r="47058" spans="1:4" ht="15.75" customHeight="1">
      <c r="A47058" s="8"/>
      <c r="B47058" s="12"/>
      <c r="C47058" s="8"/>
      <c r="D47058" s="8"/>
    </row>
    <row r="47059" spans="1:4" ht="15.75" customHeight="1">
      <c r="A47059" s="8"/>
      <c r="B47059" s="12"/>
      <c r="C47059" s="8"/>
      <c r="D47059" s="8"/>
    </row>
    <row r="47060" spans="1:4" ht="15.75" customHeight="1">
      <c r="A47060" s="8"/>
      <c r="B47060" s="12"/>
      <c r="C47060" s="8"/>
      <c r="D47060" s="8"/>
    </row>
    <row r="47061" spans="1:4" ht="15.75" customHeight="1">
      <c r="A47061" s="8"/>
      <c r="B47061" s="12"/>
      <c r="C47061" s="8"/>
      <c r="D47061" s="8"/>
    </row>
    <row r="47062" spans="1:4" ht="15.75" customHeight="1">
      <c r="A47062" s="8"/>
      <c r="B47062" s="12"/>
      <c r="C47062" s="8"/>
      <c r="D47062" s="8"/>
    </row>
    <row r="47063" spans="1:4" ht="15.75" customHeight="1">
      <c r="A47063" s="8"/>
      <c r="B47063" s="12"/>
      <c r="C47063" s="8"/>
      <c r="D47063" s="8"/>
    </row>
    <row r="47064" spans="1:4" ht="15.75" customHeight="1">
      <c r="A47064" s="8"/>
      <c r="B47064" s="12"/>
      <c r="C47064" s="8"/>
      <c r="D47064" s="8"/>
    </row>
    <row r="47065" spans="1:4" ht="15.75" customHeight="1">
      <c r="A47065" s="8"/>
      <c r="B47065" s="12"/>
      <c r="C47065" s="8"/>
      <c r="D47065" s="8"/>
    </row>
    <row r="47066" spans="1:4" ht="15.75" customHeight="1">
      <c r="A47066" s="8"/>
      <c r="B47066" s="12"/>
      <c r="C47066" s="8"/>
      <c r="D47066" s="8"/>
    </row>
    <row r="47067" spans="1:4" ht="15.75" customHeight="1">
      <c r="A47067" s="8"/>
      <c r="B47067" s="12"/>
      <c r="C47067" s="8"/>
      <c r="D47067" s="8"/>
    </row>
    <row r="47068" spans="1:4" ht="15.75" customHeight="1">
      <c r="A47068" s="8"/>
      <c r="B47068" s="12"/>
      <c r="C47068" s="8"/>
      <c r="D47068" s="8"/>
    </row>
    <row r="47069" spans="1:4" ht="15.75" customHeight="1">
      <c r="A47069" s="8"/>
      <c r="B47069" s="12"/>
      <c r="C47069" s="8"/>
      <c r="D47069" s="8"/>
    </row>
    <row r="47070" spans="1:4" ht="15.75" customHeight="1">
      <c r="A47070" s="8"/>
      <c r="B47070" s="12"/>
      <c r="C47070" s="8"/>
      <c r="D47070" s="8"/>
    </row>
    <row r="47071" spans="1:4" ht="15.75" customHeight="1">
      <c r="A47071" s="8"/>
      <c r="B47071" s="12"/>
      <c r="C47071" s="8"/>
      <c r="D47071" s="8"/>
    </row>
    <row r="47072" spans="1:4" ht="15.75" customHeight="1">
      <c r="A47072" s="8"/>
      <c r="B47072" s="12"/>
      <c r="C47072" s="8"/>
      <c r="D47072" s="8"/>
    </row>
    <row r="47073" spans="1:4" ht="15.75" customHeight="1">
      <c r="A47073" s="8"/>
      <c r="B47073" s="12"/>
      <c r="C47073" s="8"/>
      <c r="D47073" s="8"/>
    </row>
    <row r="47074" spans="1:4" ht="15.75" customHeight="1">
      <c r="A47074" s="8"/>
      <c r="B47074" s="12"/>
      <c r="C47074" s="8"/>
      <c r="D47074" s="8"/>
    </row>
    <row r="47075" spans="1:4" ht="15.75" customHeight="1">
      <c r="A47075" s="8"/>
      <c r="B47075" s="12"/>
      <c r="C47075" s="8"/>
      <c r="D47075" s="8"/>
    </row>
    <row r="47076" spans="1:4" ht="15.75" customHeight="1">
      <c r="A47076" s="8"/>
      <c r="B47076" s="12"/>
      <c r="C47076" s="8"/>
      <c r="D47076" s="8"/>
    </row>
    <row r="47077" spans="1:4" ht="15.75" customHeight="1">
      <c r="A47077" s="8"/>
      <c r="B47077" s="12"/>
      <c r="C47077" s="8"/>
      <c r="D47077" s="8"/>
    </row>
    <row r="47078" spans="1:4" ht="15.75" customHeight="1">
      <c r="A47078" s="8"/>
      <c r="B47078" s="12"/>
      <c r="C47078" s="8"/>
      <c r="D47078" s="8"/>
    </row>
    <row r="47079" spans="1:4" ht="15.75" customHeight="1">
      <c r="A47079" s="8"/>
      <c r="B47079" s="12"/>
      <c r="C47079" s="8"/>
      <c r="D47079" s="8"/>
    </row>
    <row r="47080" spans="1:4" ht="15.75" customHeight="1">
      <c r="A47080" s="8"/>
      <c r="B47080" s="12"/>
      <c r="C47080" s="8"/>
      <c r="D47080" s="8"/>
    </row>
    <row r="47081" spans="1:4" ht="15.75" customHeight="1">
      <c r="A47081" s="8"/>
      <c r="B47081" s="12"/>
      <c r="C47081" s="8"/>
      <c r="D47081" s="8"/>
    </row>
    <row r="47082" spans="1:4" ht="15.75" customHeight="1">
      <c r="A47082" s="8"/>
      <c r="B47082" s="12"/>
      <c r="C47082" s="8"/>
      <c r="D47082" s="8"/>
    </row>
    <row r="47083" spans="1:4" ht="15.75" customHeight="1">
      <c r="A47083" s="8"/>
      <c r="B47083" s="12"/>
      <c r="C47083" s="8"/>
      <c r="D47083" s="8"/>
    </row>
    <row r="47084" spans="1:4" ht="15.75" customHeight="1">
      <c r="A47084" s="8"/>
      <c r="B47084" s="12"/>
      <c r="C47084" s="8"/>
      <c r="D47084" s="8"/>
    </row>
    <row r="47085" spans="1:4" ht="15.75" customHeight="1">
      <c r="A47085" s="8"/>
      <c r="B47085" s="12"/>
      <c r="C47085" s="8"/>
      <c r="D47085" s="8"/>
    </row>
    <row r="47086" spans="1:4" ht="15.75" customHeight="1">
      <c r="A47086" s="8"/>
      <c r="B47086" s="12"/>
      <c r="C47086" s="8"/>
      <c r="D47086" s="8"/>
    </row>
    <row r="47087" spans="1:4" ht="15.75" customHeight="1">
      <c r="A47087" s="8"/>
      <c r="B47087" s="12"/>
      <c r="C47087" s="8"/>
      <c r="D47087" s="8"/>
    </row>
    <row r="47088" spans="1:4" ht="15.75" customHeight="1">
      <c r="A47088" s="8"/>
      <c r="B47088" s="12"/>
      <c r="C47088" s="8"/>
      <c r="D47088" s="8"/>
    </row>
    <row r="47089" spans="1:4" ht="15.75" customHeight="1">
      <c r="A47089" s="8"/>
      <c r="B47089" s="12"/>
      <c r="C47089" s="8"/>
      <c r="D47089" s="8"/>
    </row>
    <row r="47090" spans="1:4" ht="15.75" customHeight="1">
      <c r="A47090" s="8"/>
      <c r="B47090" s="12"/>
      <c r="C47090" s="8"/>
      <c r="D47090" s="8"/>
    </row>
    <row r="47091" spans="1:4" ht="15.75" customHeight="1">
      <c r="A47091" s="8"/>
      <c r="B47091" s="12"/>
      <c r="C47091" s="8"/>
      <c r="D47091" s="8"/>
    </row>
    <row r="47092" spans="1:4" ht="15.75" customHeight="1">
      <c r="A47092" s="8"/>
      <c r="B47092" s="12"/>
      <c r="C47092" s="8"/>
      <c r="D47092" s="8"/>
    </row>
    <row r="47093" spans="1:4" ht="15.75" customHeight="1">
      <c r="A47093" s="8"/>
      <c r="B47093" s="12"/>
      <c r="C47093" s="8"/>
      <c r="D47093" s="8"/>
    </row>
    <row r="47094" spans="1:4" ht="15.75" customHeight="1">
      <c r="A47094" s="8"/>
      <c r="B47094" s="12"/>
      <c r="C47094" s="8"/>
      <c r="D47094" s="8"/>
    </row>
    <row r="47095" spans="1:4" ht="15.75" customHeight="1">
      <c r="A47095" s="8"/>
      <c r="B47095" s="12"/>
      <c r="C47095" s="8"/>
      <c r="D47095" s="8"/>
    </row>
    <row r="47096" spans="1:4" ht="15.75" customHeight="1">
      <c r="A47096" s="8"/>
      <c r="B47096" s="12"/>
      <c r="C47096" s="8"/>
      <c r="D47096" s="8"/>
    </row>
    <row r="47097" spans="1:4" ht="15.75" customHeight="1">
      <c r="A47097" s="8"/>
      <c r="B47097" s="12"/>
      <c r="C47097" s="8"/>
      <c r="D47097" s="8"/>
    </row>
    <row r="47098" spans="1:4" ht="15.75" customHeight="1">
      <c r="A47098" s="8"/>
      <c r="B47098" s="12"/>
      <c r="C47098" s="8"/>
      <c r="D47098" s="8"/>
    </row>
    <row r="47099" spans="1:4" ht="15.75" customHeight="1">
      <c r="A47099" s="8"/>
      <c r="B47099" s="12"/>
      <c r="C47099" s="8"/>
      <c r="D47099" s="8"/>
    </row>
    <row r="47100" spans="1:4" ht="15.75" customHeight="1">
      <c r="A47100" s="8"/>
      <c r="B47100" s="12"/>
      <c r="C47100" s="8"/>
      <c r="D47100" s="8"/>
    </row>
    <row r="47101" spans="1:4" ht="15.75" customHeight="1">
      <c r="A47101" s="8"/>
      <c r="B47101" s="12"/>
      <c r="C47101" s="8"/>
      <c r="D47101" s="8"/>
    </row>
    <row r="47102" spans="1:4" ht="15.75" customHeight="1">
      <c r="A47102" s="8"/>
      <c r="B47102" s="12"/>
      <c r="C47102" s="8"/>
      <c r="D47102" s="8"/>
    </row>
    <row r="47103" spans="1:4" ht="15.75" customHeight="1">
      <c r="A47103" s="8"/>
      <c r="B47103" s="12"/>
      <c r="C47103" s="8"/>
      <c r="D47103" s="8"/>
    </row>
    <row r="47104" spans="1:4" ht="15.75" customHeight="1">
      <c r="A47104" s="8"/>
      <c r="B47104" s="12"/>
      <c r="C47104" s="8"/>
      <c r="D47104" s="8"/>
    </row>
    <row r="47105" spans="1:4" ht="15.75" customHeight="1">
      <c r="A47105" s="8"/>
      <c r="B47105" s="12"/>
      <c r="C47105" s="8"/>
      <c r="D47105" s="8"/>
    </row>
    <row r="47106" spans="1:4" ht="15.75" customHeight="1">
      <c r="A47106" s="8"/>
      <c r="B47106" s="12"/>
      <c r="C47106" s="8"/>
      <c r="D47106" s="8"/>
    </row>
    <row r="47107" spans="1:4" ht="15.75" customHeight="1">
      <c r="A47107" s="8"/>
      <c r="B47107" s="12"/>
      <c r="C47107" s="8"/>
      <c r="D47107" s="8"/>
    </row>
    <row r="47108" spans="1:4" ht="15.75" customHeight="1">
      <c r="A47108" s="8"/>
      <c r="B47108" s="12"/>
      <c r="C47108" s="8"/>
      <c r="D47108" s="8"/>
    </row>
    <row r="47109" spans="1:4" ht="15.75" customHeight="1">
      <c r="A47109" s="8"/>
      <c r="B47109" s="12"/>
      <c r="C47109" s="8"/>
      <c r="D47109" s="8"/>
    </row>
    <row r="47110" spans="1:4" ht="15.75" customHeight="1">
      <c r="A47110" s="8"/>
      <c r="B47110" s="12"/>
      <c r="C47110" s="8"/>
      <c r="D47110" s="8"/>
    </row>
    <row r="47111" spans="1:4" ht="15.75" customHeight="1">
      <c r="A47111" s="8"/>
      <c r="B47111" s="12"/>
      <c r="C47111" s="8"/>
      <c r="D47111" s="8"/>
    </row>
    <row r="47112" spans="1:4" ht="15.75" customHeight="1">
      <c r="A47112" s="8"/>
      <c r="B47112" s="12"/>
      <c r="C47112" s="8"/>
      <c r="D47112" s="8"/>
    </row>
    <row r="47113" spans="1:4" ht="15.75" customHeight="1">
      <c r="A47113" s="8"/>
      <c r="B47113" s="12"/>
      <c r="C47113" s="8"/>
      <c r="D47113" s="8"/>
    </row>
    <row r="47114" spans="1:4" ht="15.75" customHeight="1">
      <c r="A47114" s="8"/>
      <c r="B47114" s="12"/>
      <c r="C47114" s="8"/>
      <c r="D47114" s="8"/>
    </row>
    <row r="47115" spans="1:4" ht="15.75" customHeight="1">
      <c r="A47115" s="8"/>
      <c r="B47115" s="12"/>
      <c r="C47115" s="8"/>
      <c r="D47115" s="8"/>
    </row>
    <row r="47116" spans="1:4" ht="15.75" customHeight="1">
      <c r="A47116" s="8"/>
      <c r="B47116" s="12"/>
      <c r="C47116" s="8"/>
      <c r="D47116" s="8"/>
    </row>
    <row r="47117" spans="1:4" ht="15.75" customHeight="1">
      <c r="A47117" s="8"/>
      <c r="B47117" s="12"/>
      <c r="C47117" s="8"/>
      <c r="D47117" s="8"/>
    </row>
    <row r="47118" spans="1:4" ht="15.75" customHeight="1">
      <c r="A47118" s="8"/>
      <c r="B47118" s="12"/>
      <c r="C47118" s="8"/>
      <c r="D47118" s="8"/>
    </row>
    <row r="47119" spans="1:4" ht="15.75" customHeight="1">
      <c r="A47119" s="8"/>
      <c r="B47119" s="12"/>
      <c r="C47119" s="8"/>
      <c r="D47119" s="8"/>
    </row>
    <row r="47120" spans="1:4" ht="15.75" customHeight="1">
      <c r="A47120" s="8"/>
      <c r="B47120" s="12"/>
      <c r="C47120" s="8"/>
      <c r="D47120" s="8"/>
    </row>
    <row r="47121" spans="1:4" ht="15.75" customHeight="1">
      <c r="A47121" s="8"/>
      <c r="B47121" s="12"/>
      <c r="C47121" s="8"/>
      <c r="D47121" s="8"/>
    </row>
    <row r="47122" spans="1:4" ht="15.75" customHeight="1">
      <c r="A47122" s="8"/>
      <c r="B47122" s="12"/>
      <c r="C47122" s="8"/>
      <c r="D47122" s="8"/>
    </row>
    <row r="47123" spans="1:4" ht="15.75" customHeight="1">
      <c r="A47123" s="8"/>
      <c r="B47123" s="12"/>
      <c r="C47123" s="8"/>
      <c r="D47123" s="8"/>
    </row>
    <row r="47124" spans="1:4" ht="15.75" customHeight="1">
      <c r="A47124" s="8"/>
      <c r="B47124" s="12"/>
      <c r="C47124" s="8"/>
      <c r="D47124" s="8"/>
    </row>
    <row r="47125" spans="1:4" ht="15.75" customHeight="1">
      <c r="A47125" s="8"/>
      <c r="B47125" s="12"/>
      <c r="C47125" s="8"/>
      <c r="D47125" s="8"/>
    </row>
    <row r="47126" spans="1:4" ht="15.75" customHeight="1">
      <c r="A47126" s="8"/>
      <c r="B47126" s="12"/>
      <c r="C47126" s="8"/>
      <c r="D47126" s="8"/>
    </row>
    <row r="47127" spans="1:4" ht="15.75" customHeight="1">
      <c r="A47127" s="8"/>
      <c r="B47127" s="12"/>
      <c r="C47127" s="8"/>
      <c r="D47127" s="8"/>
    </row>
    <row r="47128" spans="1:4" ht="15.75" customHeight="1">
      <c r="A47128" s="8"/>
      <c r="B47128" s="12"/>
      <c r="C47128" s="8"/>
      <c r="D47128" s="8"/>
    </row>
    <row r="47129" spans="1:4" ht="15.75" customHeight="1">
      <c r="A47129" s="8"/>
      <c r="B47129" s="12"/>
      <c r="C47129" s="8"/>
      <c r="D47129" s="8"/>
    </row>
    <row r="47130" spans="1:4" ht="15.75" customHeight="1">
      <c r="A47130" s="8"/>
      <c r="B47130" s="12"/>
      <c r="C47130" s="8"/>
      <c r="D47130" s="8"/>
    </row>
    <row r="47131" spans="1:4" ht="15.75" customHeight="1">
      <c r="A47131" s="8"/>
      <c r="B47131" s="12"/>
      <c r="C47131" s="8"/>
      <c r="D47131" s="8"/>
    </row>
    <row r="47132" spans="1:4" ht="15.75" customHeight="1">
      <c r="A47132" s="8"/>
      <c r="B47132" s="12"/>
      <c r="C47132" s="8"/>
      <c r="D47132" s="8"/>
    </row>
    <row r="47133" spans="1:4" ht="15.75" customHeight="1">
      <c r="A47133" s="8"/>
      <c r="B47133" s="12"/>
      <c r="C47133" s="8"/>
      <c r="D47133" s="8"/>
    </row>
    <row r="47134" spans="1:4" ht="15.75" customHeight="1">
      <c r="A47134" s="8"/>
      <c r="B47134" s="12"/>
      <c r="C47134" s="8"/>
      <c r="D47134" s="8"/>
    </row>
    <row r="47135" spans="1:4" ht="15.75" customHeight="1">
      <c r="A47135" s="8"/>
      <c r="B47135" s="12"/>
      <c r="C47135" s="8"/>
      <c r="D47135" s="8"/>
    </row>
    <row r="47136" spans="1:4" ht="15.75" customHeight="1">
      <c r="A47136" s="8"/>
      <c r="B47136" s="12"/>
      <c r="C47136" s="8"/>
      <c r="D47136" s="8"/>
    </row>
    <row r="47137" spans="1:4" ht="15.75" customHeight="1">
      <c r="A47137" s="8"/>
      <c r="B47137" s="12"/>
      <c r="C47137" s="8"/>
      <c r="D47137" s="8"/>
    </row>
    <row r="47138" spans="1:4" ht="15.75" customHeight="1">
      <c r="A47138" s="8"/>
      <c r="B47138" s="12"/>
      <c r="C47138" s="8"/>
      <c r="D47138" s="8"/>
    </row>
    <row r="47139" spans="1:4" ht="15.75" customHeight="1">
      <c r="A47139" s="8"/>
      <c r="B47139" s="12"/>
      <c r="C47139" s="8"/>
      <c r="D47139" s="8"/>
    </row>
    <row r="47140" spans="1:4" ht="15.75" customHeight="1">
      <c r="A47140" s="8"/>
      <c r="B47140" s="12"/>
      <c r="C47140" s="8"/>
      <c r="D47140" s="8"/>
    </row>
    <row r="47141" spans="1:4" ht="15.75" customHeight="1">
      <c r="A47141" s="8"/>
      <c r="B47141" s="12"/>
      <c r="C47141" s="8"/>
      <c r="D47141" s="8"/>
    </row>
    <row r="47142" spans="1:4" ht="15.75" customHeight="1">
      <c r="A47142" s="8"/>
      <c r="B47142" s="12"/>
      <c r="C47142" s="8"/>
      <c r="D47142" s="8"/>
    </row>
    <row r="47143" spans="1:4" ht="15.75" customHeight="1">
      <c r="A47143" s="8"/>
      <c r="B47143" s="12"/>
      <c r="C47143" s="8"/>
      <c r="D47143" s="8"/>
    </row>
    <row r="47144" spans="1:4" ht="15.75" customHeight="1">
      <c r="A47144" s="8"/>
      <c r="B47144" s="12"/>
      <c r="C47144" s="8"/>
      <c r="D47144" s="8"/>
    </row>
    <row r="47145" spans="1:4" ht="15.75" customHeight="1">
      <c r="A47145" s="8"/>
      <c r="B47145" s="12"/>
      <c r="C47145" s="8"/>
      <c r="D47145" s="8"/>
    </row>
    <row r="47146" spans="1:4" ht="15.75" customHeight="1">
      <c r="A47146" s="8"/>
      <c r="B47146" s="12"/>
      <c r="C47146" s="8"/>
      <c r="D47146" s="8"/>
    </row>
    <row r="47147" spans="1:4" ht="15.75" customHeight="1">
      <c r="A47147" s="8"/>
      <c r="B47147" s="12"/>
      <c r="C47147" s="8"/>
      <c r="D47147" s="8"/>
    </row>
    <row r="47148" spans="1:4" ht="15.75" customHeight="1">
      <c r="A47148" s="8"/>
      <c r="B47148" s="12"/>
      <c r="C47148" s="8"/>
      <c r="D47148" s="8"/>
    </row>
    <row r="47149" spans="1:4" ht="15.75" customHeight="1">
      <c r="A47149" s="8"/>
      <c r="B47149" s="12"/>
      <c r="C47149" s="8"/>
      <c r="D47149" s="8"/>
    </row>
    <row r="47150" spans="1:4" ht="15.75" customHeight="1">
      <c r="A47150" s="8"/>
      <c r="B47150" s="12"/>
      <c r="C47150" s="8"/>
      <c r="D47150" s="8"/>
    </row>
    <row r="47151" spans="1:4" ht="15.75" customHeight="1">
      <c r="A47151" s="8"/>
      <c r="B47151" s="12"/>
      <c r="C47151" s="8"/>
      <c r="D47151" s="8"/>
    </row>
    <row r="47152" spans="1:4" ht="15.75" customHeight="1">
      <c r="A47152" s="8"/>
      <c r="B47152" s="12"/>
      <c r="C47152" s="8"/>
      <c r="D47152" s="8"/>
    </row>
    <row r="47153" spans="1:4" ht="15.75" customHeight="1">
      <c r="A47153" s="8"/>
      <c r="B47153" s="12"/>
      <c r="C47153" s="8"/>
      <c r="D47153" s="8"/>
    </row>
    <row r="47154" spans="1:4" ht="15.75" customHeight="1">
      <c r="A47154" s="8"/>
      <c r="B47154" s="12"/>
      <c r="C47154" s="8"/>
      <c r="D47154" s="8"/>
    </row>
    <row r="47155" spans="1:4" ht="15.75" customHeight="1">
      <c r="A47155" s="8"/>
      <c r="B47155" s="12"/>
      <c r="C47155" s="8"/>
      <c r="D47155" s="8"/>
    </row>
    <row r="47156" spans="1:4" ht="15.75" customHeight="1">
      <c r="A47156" s="8"/>
      <c r="B47156" s="12"/>
      <c r="C47156" s="8"/>
      <c r="D47156" s="8"/>
    </row>
    <row r="47157" spans="1:4" ht="15.75" customHeight="1">
      <c r="A47157" s="8"/>
      <c r="B47157" s="12"/>
      <c r="C47157" s="8"/>
      <c r="D47157" s="8"/>
    </row>
    <row r="47158" spans="1:4" ht="15.75" customHeight="1">
      <c r="A47158" s="8"/>
      <c r="B47158" s="12"/>
      <c r="C47158" s="8"/>
      <c r="D47158" s="8"/>
    </row>
    <row r="47159" spans="1:4" ht="15.75" customHeight="1">
      <c r="A47159" s="8"/>
      <c r="B47159" s="12"/>
      <c r="C47159" s="8"/>
      <c r="D47159" s="8"/>
    </row>
    <row r="47160" spans="1:4" ht="15.75" customHeight="1">
      <c r="A47160" s="8"/>
      <c r="B47160" s="12"/>
      <c r="C47160" s="8"/>
      <c r="D47160" s="8"/>
    </row>
    <row r="47161" spans="1:4" ht="15.75" customHeight="1">
      <c r="A47161" s="8"/>
      <c r="B47161" s="12"/>
      <c r="C47161" s="8"/>
      <c r="D47161" s="8"/>
    </row>
    <row r="47162" spans="1:4" ht="15.75" customHeight="1">
      <c r="A47162" s="8"/>
      <c r="B47162" s="12"/>
      <c r="C47162" s="8"/>
      <c r="D47162" s="8"/>
    </row>
    <row r="47163" spans="1:4" ht="15.75" customHeight="1">
      <c r="A47163" s="8"/>
      <c r="B47163" s="12"/>
      <c r="C47163" s="8"/>
      <c r="D47163" s="8"/>
    </row>
    <row r="47164" spans="1:4" ht="15.75" customHeight="1">
      <c r="A47164" s="8"/>
      <c r="B47164" s="12"/>
      <c r="C47164" s="8"/>
      <c r="D47164" s="8"/>
    </row>
    <row r="47165" spans="1:4" ht="15.75" customHeight="1">
      <c r="A47165" s="8"/>
      <c r="B47165" s="12"/>
      <c r="C47165" s="8"/>
      <c r="D47165" s="8"/>
    </row>
    <row r="47166" spans="1:4" ht="15.75" customHeight="1">
      <c r="A47166" s="8"/>
      <c r="B47166" s="12"/>
      <c r="C47166" s="8"/>
      <c r="D47166" s="8"/>
    </row>
    <row r="47167" spans="1:4" ht="15.75" customHeight="1">
      <c r="A47167" s="8"/>
      <c r="B47167" s="12"/>
      <c r="C47167" s="8"/>
      <c r="D47167" s="8"/>
    </row>
    <row r="47168" spans="1:4" ht="15.75" customHeight="1">
      <c r="A47168" s="8"/>
      <c r="B47168" s="12"/>
      <c r="C47168" s="8"/>
      <c r="D47168" s="8"/>
    </row>
    <row r="47169" spans="1:4" ht="15.75" customHeight="1">
      <c r="A47169" s="8"/>
      <c r="B47169" s="12"/>
      <c r="C47169" s="8"/>
      <c r="D47169" s="8"/>
    </row>
    <row r="47170" spans="1:4" ht="15.75" customHeight="1">
      <c r="A47170" s="8"/>
      <c r="B47170" s="12"/>
      <c r="C47170" s="8"/>
      <c r="D47170" s="8"/>
    </row>
    <row r="47171" spans="1:4" ht="15.75" customHeight="1">
      <c r="A47171" s="8"/>
      <c r="B47171" s="12"/>
      <c r="C47171" s="8"/>
      <c r="D47171" s="8"/>
    </row>
    <row r="47172" spans="1:4" ht="15.75" customHeight="1">
      <c r="A47172" s="8"/>
      <c r="B47172" s="12"/>
      <c r="C47172" s="8"/>
      <c r="D47172" s="8"/>
    </row>
    <row r="47173" spans="1:4" ht="15.75" customHeight="1">
      <c r="A47173" s="8"/>
      <c r="B47173" s="12"/>
      <c r="C47173" s="8"/>
      <c r="D47173" s="8"/>
    </row>
    <row r="47174" spans="1:4" ht="15.75" customHeight="1">
      <c r="A47174" s="8"/>
      <c r="B47174" s="12"/>
      <c r="C47174" s="8"/>
      <c r="D47174" s="8"/>
    </row>
    <row r="47175" spans="1:4" ht="15.75" customHeight="1">
      <c r="A47175" s="8"/>
      <c r="B47175" s="12"/>
      <c r="C47175" s="8"/>
      <c r="D47175" s="8"/>
    </row>
    <row r="47176" spans="1:4" ht="15.75" customHeight="1">
      <c r="A47176" s="8"/>
      <c r="B47176" s="12"/>
      <c r="C47176" s="8"/>
      <c r="D47176" s="8"/>
    </row>
    <row r="47177" spans="1:4" ht="15.75" customHeight="1">
      <c r="A47177" s="8"/>
      <c r="B47177" s="12"/>
      <c r="C47177" s="8"/>
      <c r="D47177" s="8"/>
    </row>
    <row r="47178" spans="1:4" ht="15.75" customHeight="1">
      <c r="A47178" s="8"/>
      <c r="B47178" s="12"/>
      <c r="C47178" s="8"/>
      <c r="D47178" s="8"/>
    </row>
    <row r="47179" spans="1:4" ht="15.75" customHeight="1">
      <c r="A47179" s="8"/>
      <c r="B47179" s="12"/>
      <c r="C47179" s="8"/>
      <c r="D47179" s="8"/>
    </row>
    <row r="47180" spans="1:4" ht="15.75" customHeight="1">
      <c r="A47180" s="8"/>
      <c r="B47180" s="12"/>
      <c r="C47180" s="8"/>
      <c r="D47180" s="8"/>
    </row>
    <row r="47181" spans="1:4" ht="15.75" customHeight="1">
      <c r="A47181" s="8"/>
      <c r="B47181" s="12"/>
      <c r="C47181" s="8"/>
      <c r="D47181" s="8"/>
    </row>
    <row r="47182" spans="1:4" ht="15.75" customHeight="1">
      <c r="A47182" s="8"/>
      <c r="B47182" s="12"/>
      <c r="C47182" s="8"/>
      <c r="D47182" s="8"/>
    </row>
    <row r="47183" spans="1:4" ht="15.75" customHeight="1">
      <c r="A47183" s="8"/>
      <c r="B47183" s="12"/>
      <c r="C47183" s="8"/>
      <c r="D47183" s="8"/>
    </row>
    <row r="47184" spans="1:4" ht="15.75" customHeight="1">
      <c r="A47184" s="8"/>
      <c r="B47184" s="12"/>
      <c r="C47184" s="8"/>
      <c r="D47184" s="8"/>
    </row>
    <row r="47185" spans="1:4" ht="15.75" customHeight="1">
      <c r="A47185" s="8"/>
      <c r="B47185" s="12"/>
      <c r="C47185" s="8"/>
      <c r="D47185" s="8"/>
    </row>
    <row r="47186" spans="1:4" ht="15.75" customHeight="1">
      <c r="A47186" s="8"/>
      <c r="B47186" s="12"/>
      <c r="C47186" s="8"/>
      <c r="D47186" s="8"/>
    </row>
    <row r="47187" spans="1:4" ht="15.75" customHeight="1">
      <c r="A47187" s="8"/>
      <c r="B47187" s="12"/>
      <c r="C47187" s="8"/>
      <c r="D47187" s="8"/>
    </row>
    <row r="47188" spans="1:4" ht="15.75" customHeight="1">
      <c r="A47188" s="8"/>
      <c r="B47188" s="12"/>
      <c r="C47188" s="8"/>
      <c r="D47188" s="8"/>
    </row>
    <row r="47189" spans="1:4" ht="15.75" customHeight="1">
      <c r="A47189" s="8"/>
      <c r="B47189" s="12"/>
      <c r="C47189" s="8"/>
      <c r="D47189" s="8"/>
    </row>
    <row r="47190" spans="1:4" ht="15.75" customHeight="1">
      <c r="A47190" s="8"/>
      <c r="B47190" s="12"/>
      <c r="C47190" s="8"/>
      <c r="D47190" s="8"/>
    </row>
    <row r="47191" spans="1:4" ht="15.75" customHeight="1">
      <c r="A47191" s="8"/>
      <c r="B47191" s="12"/>
      <c r="C47191" s="8"/>
      <c r="D47191" s="8"/>
    </row>
    <row r="47192" spans="1:4" ht="15.75" customHeight="1">
      <c r="A47192" s="8"/>
      <c r="B47192" s="12"/>
      <c r="C47192" s="8"/>
      <c r="D47192" s="8"/>
    </row>
    <row r="47193" spans="1:4" ht="15.75" customHeight="1">
      <c r="A47193" s="8"/>
      <c r="B47193" s="12"/>
      <c r="C47193" s="8"/>
      <c r="D47193" s="8"/>
    </row>
    <row r="47194" spans="1:4" ht="15.75" customHeight="1">
      <c r="A47194" s="8"/>
      <c r="B47194" s="12"/>
      <c r="C47194" s="8"/>
      <c r="D47194" s="8"/>
    </row>
    <row r="47195" spans="1:4" ht="15.75" customHeight="1">
      <c r="A47195" s="8"/>
      <c r="B47195" s="12"/>
      <c r="C47195" s="8"/>
      <c r="D47195" s="8"/>
    </row>
    <row r="47196" spans="1:4" ht="15.75" customHeight="1">
      <c r="A47196" s="8"/>
      <c r="B47196" s="12"/>
      <c r="C47196" s="8"/>
      <c r="D47196" s="8"/>
    </row>
    <row r="47197" spans="1:4" ht="15.75" customHeight="1">
      <c r="A47197" s="8"/>
      <c r="B47197" s="12"/>
      <c r="C47197" s="8"/>
      <c r="D47197" s="8"/>
    </row>
    <row r="47198" spans="1:4" ht="15.75" customHeight="1">
      <c r="A47198" s="8"/>
      <c r="B47198" s="12"/>
      <c r="C47198" s="8"/>
      <c r="D47198" s="8"/>
    </row>
    <row r="47199" spans="1:4" ht="15.75" customHeight="1">
      <c r="A47199" s="8"/>
      <c r="B47199" s="12"/>
      <c r="C47199" s="8"/>
      <c r="D47199" s="8"/>
    </row>
    <row r="47200" spans="1:4" ht="15.75" customHeight="1">
      <c r="A47200" s="8"/>
      <c r="B47200" s="12"/>
      <c r="C47200" s="8"/>
      <c r="D47200" s="8"/>
    </row>
    <row r="47201" spans="1:4" ht="15.75" customHeight="1">
      <c r="A47201" s="8"/>
      <c r="B47201" s="12"/>
      <c r="C47201" s="8"/>
      <c r="D47201" s="8"/>
    </row>
    <row r="47202" spans="1:4" ht="15.75" customHeight="1">
      <c r="A47202" s="8"/>
      <c r="B47202" s="12"/>
      <c r="C47202" s="8"/>
      <c r="D47202" s="8"/>
    </row>
    <row r="47203" spans="1:4" ht="15.75" customHeight="1">
      <c r="A47203" s="8"/>
      <c r="B47203" s="12"/>
      <c r="C47203" s="8"/>
      <c r="D47203" s="8"/>
    </row>
    <row r="47204" spans="1:4" ht="15.75" customHeight="1">
      <c r="A47204" s="8"/>
      <c r="B47204" s="12"/>
      <c r="C47204" s="8"/>
      <c r="D47204" s="8"/>
    </row>
    <row r="47205" spans="1:4" ht="15.75" customHeight="1">
      <c r="A47205" s="8"/>
      <c r="B47205" s="12"/>
      <c r="C47205" s="8"/>
      <c r="D47205" s="8"/>
    </row>
    <row r="47206" spans="1:4" ht="15.75" customHeight="1">
      <c r="A47206" s="8"/>
      <c r="B47206" s="12"/>
      <c r="C47206" s="8"/>
      <c r="D47206" s="8"/>
    </row>
    <row r="47207" spans="1:4" ht="15.75" customHeight="1">
      <c r="A47207" s="8"/>
      <c r="B47207" s="12"/>
      <c r="C47207" s="8"/>
      <c r="D47207" s="8"/>
    </row>
    <row r="47208" spans="1:4" ht="15.75" customHeight="1">
      <c r="A47208" s="8"/>
      <c r="B47208" s="12"/>
      <c r="C47208" s="8"/>
      <c r="D47208" s="8"/>
    </row>
    <row r="47209" spans="1:4" ht="15.75" customHeight="1">
      <c r="A47209" s="8"/>
      <c r="B47209" s="12"/>
      <c r="C47209" s="8"/>
      <c r="D47209" s="8"/>
    </row>
    <row r="47210" spans="1:4" ht="15.75" customHeight="1">
      <c r="A47210" s="8"/>
      <c r="B47210" s="12"/>
      <c r="C47210" s="8"/>
      <c r="D47210" s="8"/>
    </row>
    <row r="47211" spans="1:4" ht="15.75" customHeight="1">
      <c r="A47211" s="8"/>
      <c r="B47211" s="12"/>
      <c r="C47211" s="8"/>
      <c r="D47211" s="8"/>
    </row>
    <row r="47212" spans="1:4" ht="15.75" customHeight="1">
      <c r="A47212" s="8"/>
      <c r="B47212" s="12"/>
      <c r="C47212" s="8"/>
      <c r="D47212" s="8"/>
    </row>
    <row r="47213" spans="1:4" ht="15.75" customHeight="1">
      <c r="A47213" s="8"/>
      <c r="B47213" s="12"/>
      <c r="C47213" s="8"/>
      <c r="D47213" s="8"/>
    </row>
    <row r="47214" spans="1:4" ht="15.75" customHeight="1">
      <c r="A47214" s="8"/>
      <c r="B47214" s="12"/>
      <c r="C47214" s="8"/>
      <c r="D47214" s="8"/>
    </row>
    <row r="47215" spans="1:4" ht="15.75" customHeight="1">
      <c r="A47215" s="8"/>
      <c r="B47215" s="12"/>
      <c r="C47215" s="8"/>
      <c r="D47215" s="8"/>
    </row>
    <row r="47216" spans="1:4" ht="15.75" customHeight="1">
      <c r="A47216" s="8"/>
      <c r="B47216" s="12"/>
      <c r="C47216" s="8"/>
      <c r="D47216" s="8"/>
    </row>
    <row r="47217" spans="1:4" ht="15.75" customHeight="1">
      <c r="A47217" s="8"/>
      <c r="B47217" s="12"/>
      <c r="C47217" s="8"/>
      <c r="D47217" s="8"/>
    </row>
    <row r="47218" spans="1:4" ht="15.75" customHeight="1">
      <c r="A47218" s="8"/>
      <c r="B47218" s="12"/>
      <c r="C47218" s="8"/>
      <c r="D47218" s="8"/>
    </row>
    <row r="47219" spans="1:4" ht="15.75" customHeight="1">
      <c r="A47219" s="8"/>
      <c r="B47219" s="12"/>
      <c r="C47219" s="8"/>
      <c r="D47219" s="8"/>
    </row>
    <row r="47220" spans="1:4" ht="15.75" customHeight="1">
      <c r="A47220" s="8"/>
      <c r="B47220" s="12"/>
      <c r="C47220" s="8"/>
      <c r="D47220" s="8"/>
    </row>
    <row r="47221" spans="1:4" ht="15.75" customHeight="1">
      <c r="A47221" s="8"/>
      <c r="B47221" s="12"/>
      <c r="C47221" s="8"/>
      <c r="D47221" s="8"/>
    </row>
    <row r="47222" spans="1:4" ht="15.75" customHeight="1">
      <c r="A47222" s="8"/>
      <c r="B47222" s="12"/>
      <c r="C47222" s="8"/>
      <c r="D47222" s="8"/>
    </row>
    <row r="47223" spans="1:4" ht="15.75" customHeight="1">
      <c r="A47223" s="8"/>
      <c r="B47223" s="12"/>
      <c r="C47223" s="8"/>
      <c r="D47223" s="8"/>
    </row>
    <row r="47224" spans="1:4" ht="15.75" customHeight="1">
      <c r="A47224" s="8"/>
      <c r="B47224" s="12"/>
      <c r="C47224" s="8"/>
      <c r="D47224" s="8"/>
    </row>
    <row r="47225" spans="1:4" ht="15.75" customHeight="1">
      <c r="A47225" s="8"/>
      <c r="B47225" s="12"/>
      <c r="C47225" s="8"/>
      <c r="D47225" s="8"/>
    </row>
    <row r="47226" spans="1:4" ht="15.75" customHeight="1">
      <c r="A47226" s="8"/>
      <c r="B47226" s="12"/>
      <c r="C47226" s="8"/>
      <c r="D47226" s="8"/>
    </row>
    <row r="47227" spans="1:4" ht="15.75" customHeight="1">
      <c r="A47227" s="8"/>
      <c r="B47227" s="12"/>
      <c r="C47227" s="8"/>
      <c r="D47227" s="8"/>
    </row>
    <row r="47228" spans="1:4" ht="15.75" customHeight="1">
      <c r="A47228" s="8"/>
      <c r="B47228" s="12"/>
      <c r="C47228" s="8"/>
      <c r="D47228" s="8"/>
    </row>
    <row r="47229" spans="1:4" ht="15.75" customHeight="1">
      <c r="A47229" s="8"/>
      <c r="B47229" s="12"/>
      <c r="C47229" s="8"/>
      <c r="D47229" s="8"/>
    </row>
    <row r="47230" spans="1:4" ht="15.75" customHeight="1">
      <c r="A47230" s="8"/>
      <c r="B47230" s="12"/>
      <c r="C47230" s="8"/>
      <c r="D47230" s="8"/>
    </row>
    <row r="47231" spans="1:4" ht="15.75" customHeight="1">
      <c r="A47231" s="8"/>
      <c r="B47231" s="12"/>
      <c r="C47231" s="8"/>
      <c r="D47231" s="8"/>
    </row>
    <row r="47232" spans="1:4" ht="15.75" customHeight="1">
      <c r="A47232" s="8"/>
      <c r="B47232" s="12"/>
      <c r="C47232" s="8"/>
      <c r="D47232" s="8"/>
    </row>
    <row r="47233" spans="1:4" ht="15.75" customHeight="1">
      <c r="A47233" s="8"/>
      <c r="B47233" s="12"/>
      <c r="C47233" s="8"/>
      <c r="D47233" s="8"/>
    </row>
    <row r="47234" spans="1:4" ht="15.75" customHeight="1">
      <c r="A47234" s="8"/>
      <c r="B47234" s="12"/>
      <c r="C47234" s="8"/>
      <c r="D47234" s="8"/>
    </row>
    <row r="47235" spans="1:4" ht="15.75" customHeight="1">
      <c r="A47235" s="8"/>
      <c r="B47235" s="12"/>
      <c r="C47235" s="8"/>
      <c r="D47235" s="8"/>
    </row>
    <row r="47236" spans="1:4" ht="15.75" customHeight="1">
      <c r="A47236" s="8"/>
      <c r="B47236" s="12"/>
      <c r="C47236" s="8"/>
      <c r="D47236" s="8"/>
    </row>
    <row r="47237" spans="1:4" ht="15.75" customHeight="1">
      <c r="A47237" s="8"/>
      <c r="B47237" s="12"/>
      <c r="C47237" s="8"/>
      <c r="D47237" s="8"/>
    </row>
    <row r="47238" spans="1:4" ht="15.75" customHeight="1">
      <c r="A47238" s="8"/>
      <c r="B47238" s="12"/>
      <c r="C47238" s="8"/>
      <c r="D47238" s="8"/>
    </row>
    <row r="47239" spans="1:4" ht="15.75" customHeight="1">
      <c r="A47239" s="8"/>
      <c r="B47239" s="12"/>
      <c r="C47239" s="8"/>
      <c r="D47239" s="8"/>
    </row>
    <row r="47240" spans="1:4" ht="15.75" customHeight="1">
      <c r="A47240" s="8"/>
      <c r="B47240" s="12"/>
      <c r="C47240" s="8"/>
      <c r="D47240" s="8"/>
    </row>
    <row r="47241" spans="1:4" ht="15.75" customHeight="1">
      <c r="A47241" s="8"/>
      <c r="B47241" s="12"/>
      <c r="C47241" s="8"/>
      <c r="D47241" s="8"/>
    </row>
    <row r="47242" spans="1:4" ht="15.75" customHeight="1">
      <c r="A47242" s="8"/>
      <c r="B47242" s="12"/>
      <c r="C47242" s="8"/>
      <c r="D47242" s="8"/>
    </row>
    <row r="47243" spans="1:4" ht="15.75" customHeight="1">
      <c r="A47243" s="8"/>
      <c r="B47243" s="12"/>
      <c r="C47243" s="8"/>
      <c r="D47243" s="8"/>
    </row>
    <row r="47244" spans="1:4" ht="15.75" customHeight="1">
      <c r="A47244" s="8"/>
      <c r="B47244" s="12"/>
      <c r="C47244" s="8"/>
      <c r="D47244" s="8"/>
    </row>
    <row r="47245" spans="1:4" ht="15.75" customHeight="1">
      <c r="A47245" s="8"/>
      <c r="B47245" s="12"/>
      <c r="C47245" s="8"/>
      <c r="D47245" s="8"/>
    </row>
    <row r="47246" spans="1:4" ht="15.75" customHeight="1">
      <c r="A47246" s="8"/>
      <c r="B47246" s="12"/>
      <c r="C47246" s="8"/>
      <c r="D47246" s="8"/>
    </row>
    <row r="47247" spans="1:4" ht="15.75" customHeight="1">
      <c r="A47247" s="8"/>
      <c r="B47247" s="12"/>
      <c r="C47247" s="8"/>
      <c r="D47247" s="8"/>
    </row>
    <row r="47248" spans="1:4" ht="15.75" customHeight="1">
      <c r="A47248" s="8"/>
      <c r="B47248" s="12"/>
      <c r="C47248" s="8"/>
      <c r="D47248" s="8"/>
    </row>
    <row r="47249" spans="1:4" ht="15.75" customHeight="1">
      <c r="A47249" s="8"/>
      <c r="B47249" s="12"/>
      <c r="C47249" s="8"/>
      <c r="D47249" s="8"/>
    </row>
    <row r="47250" spans="1:4" ht="15.75" customHeight="1">
      <c r="A47250" s="8"/>
      <c r="B47250" s="12"/>
      <c r="C47250" s="8"/>
      <c r="D47250" s="8"/>
    </row>
    <row r="47251" spans="1:4" ht="15.75" customHeight="1">
      <c r="A47251" s="8"/>
      <c r="B47251" s="12"/>
      <c r="C47251" s="8"/>
      <c r="D47251" s="8"/>
    </row>
    <row r="47252" spans="1:4" ht="15.75" customHeight="1">
      <c r="A47252" s="8"/>
      <c r="B47252" s="12"/>
      <c r="C47252" s="8"/>
      <c r="D47252" s="8"/>
    </row>
    <row r="47253" spans="1:4" ht="15.75" customHeight="1">
      <c r="A47253" s="8"/>
      <c r="B47253" s="12"/>
      <c r="C47253" s="8"/>
      <c r="D47253" s="8"/>
    </row>
    <row r="47254" spans="1:4" ht="15.75" customHeight="1">
      <c r="A47254" s="8"/>
      <c r="B47254" s="12"/>
      <c r="C47254" s="8"/>
      <c r="D47254" s="8"/>
    </row>
    <row r="47255" spans="1:4" ht="15.75" customHeight="1">
      <c r="A47255" s="8"/>
      <c r="B47255" s="12"/>
      <c r="C47255" s="8"/>
      <c r="D47255" s="8"/>
    </row>
    <row r="47256" spans="1:4" ht="15.75" customHeight="1">
      <c r="A47256" s="8"/>
      <c r="B47256" s="12"/>
      <c r="C47256" s="8"/>
      <c r="D47256" s="8"/>
    </row>
    <row r="47257" spans="1:4" ht="15.75" customHeight="1">
      <c r="A47257" s="8"/>
      <c r="B47257" s="12"/>
      <c r="C47257" s="8"/>
      <c r="D47257" s="8"/>
    </row>
    <row r="47258" spans="1:4" ht="15.75" customHeight="1">
      <c r="A47258" s="8"/>
      <c r="B47258" s="12"/>
      <c r="C47258" s="8"/>
      <c r="D47258" s="8"/>
    </row>
    <row r="47259" spans="1:4" ht="15.75" customHeight="1">
      <c r="A47259" s="8"/>
      <c r="B47259" s="12"/>
      <c r="C47259" s="8"/>
      <c r="D47259" s="8"/>
    </row>
    <row r="47260" spans="1:4" ht="15.75" customHeight="1">
      <c r="A47260" s="8"/>
      <c r="B47260" s="12"/>
      <c r="C47260" s="8"/>
      <c r="D47260" s="8"/>
    </row>
    <row r="47261" spans="1:4" ht="15.75" customHeight="1">
      <c r="A47261" s="8"/>
      <c r="B47261" s="12"/>
      <c r="C47261" s="8"/>
      <c r="D47261" s="8"/>
    </row>
    <row r="47262" spans="1:4" ht="15.75" customHeight="1">
      <c r="A47262" s="8"/>
      <c r="B47262" s="12"/>
      <c r="C47262" s="8"/>
      <c r="D47262" s="8"/>
    </row>
    <row r="47263" spans="1:4" ht="15.75" customHeight="1">
      <c r="A47263" s="8"/>
      <c r="B47263" s="12"/>
      <c r="C47263" s="8"/>
      <c r="D47263" s="8"/>
    </row>
    <row r="47264" spans="1:4" ht="15.75" customHeight="1">
      <c r="A47264" s="8"/>
      <c r="B47264" s="12"/>
      <c r="C47264" s="8"/>
      <c r="D47264" s="8"/>
    </row>
    <row r="47265" spans="1:4" ht="15.75" customHeight="1">
      <c r="A47265" s="8"/>
      <c r="B47265" s="12"/>
      <c r="C47265" s="8"/>
      <c r="D47265" s="8"/>
    </row>
    <row r="47266" spans="1:4" ht="15.75" customHeight="1">
      <c r="A47266" s="8"/>
      <c r="B47266" s="12"/>
      <c r="C47266" s="8"/>
      <c r="D47266" s="8"/>
    </row>
    <row r="47267" spans="1:4" ht="15.75" customHeight="1">
      <c r="A47267" s="8"/>
      <c r="B47267" s="12"/>
      <c r="C47267" s="8"/>
      <c r="D47267" s="8"/>
    </row>
    <row r="47268" spans="1:4" ht="15.75" customHeight="1">
      <c r="A47268" s="8"/>
      <c r="B47268" s="12"/>
      <c r="C47268" s="8"/>
      <c r="D47268" s="8"/>
    </row>
    <row r="47269" spans="1:4" ht="15.75" customHeight="1">
      <c r="A47269" s="8"/>
      <c r="B47269" s="12"/>
      <c r="C47269" s="8"/>
      <c r="D47269" s="8"/>
    </row>
    <row r="47270" spans="1:4" ht="15.75" customHeight="1">
      <c r="A47270" s="8"/>
      <c r="B47270" s="12"/>
      <c r="C47270" s="8"/>
      <c r="D47270" s="8"/>
    </row>
    <row r="47271" spans="1:4" ht="15.75" customHeight="1">
      <c r="A47271" s="8"/>
      <c r="B47271" s="12"/>
      <c r="C47271" s="8"/>
      <c r="D47271" s="8"/>
    </row>
    <row r="47272" spans="1:4" ht="15.75" customHeight="1">
      <c r="A47272" s="8"/>
      <c r="B47272" s="12"/>
      <c r="C47272" s="8"/>
      <c r="D47272" s="8"/>
    </row>
    <row r="47273" spans="1:4" ht="15.75" customHeight="1">
      <c r="A47273" s="8"/>
      <c r="B47273" s="12"/>
      <c r="C47273" s="8"/>
      <c r="D47273" s="8"/>
    </row>
    <row r="47274" spans="1:4" ht="15.75" customHeight="1">
      <c r="A47274" s="8"/>
      <c r="B47274" s="12"/>
      <c r="C47274" s="8"/>
      <c r="D47274" s="8"/>
    </row>
    <row r="47275" spans="1:4" ht="15.75" customHeight="1">
      <c r="A47275" s="8"/>
      <c r="B47275" s="12"/>
      <c r="C47275" s="8"/>
      <c r="D47275" s="8"/>
    </row>
    <row r="47276" spans="1:4" ht="15.75" customHeight="1">
      <c r="A47276" s="8"/>
      <c r="B47276" s="12"/>
      <c r="C47276" s="8"/>
      <c r="D47276" s="8"/>
    </row>
    <row r="47277" spans="1:4" ht="15.75" customHeight="1">
      <c r="A47277" s="8"/>
      <c r="B47277" s="12"/>
      <c r="C47277" s="8"/>
      <c r="D47277" s="8"/>
    </row>
    <row r="47278" spans="1:4" ht="15.75" customHeight="1">
      <c r="A47278" s="8"/>
      <c r="B47278" s="12"/>
      <c r="C47278" s="8"/>
      <c r="D47278" s="8"/>
    </row>
    <row r="47279" spans="1:4" ht="15.75" customHeight="1">
      <c r="A47279" s="8"/>
      <c r="B47279" s="12"/>
      <c r="C47279" s="8"/>
      <c r="D47279" s="8"/>
    </row>
    <row r="47280" spans="1:4" ht="15.75" customHeight="1">
      <c r="A47280" s="8"/>
      <c r="B47280" s="12"/>
      <c r="C47280" s="8"/>
      <c r="D47280" s="8"/>
    </row>
    <row r="47281" spans="1:4" ht="15.75" customHeight="1">
      <c r="A47281" s="8"/>
      <c r="B47281" s="12"/>
      <c r="C47281" s="8"/>
      <c r="D47281" s="8"/>
    </row>
    <row r="47282" spans="1:4" ht="15.75" customHeight="1">
      <c r="A47282" s="8"/>
      <c r="B47282" s="12"/>
      <c r="C47282" s="8"/>
      <c r="D47282" s="8"/>
    </row>
    <row r="47283" spans="1:4" ht="15.75" customHeight="1">
      <c r="A47283" s="8"/>
      <c r="B47283" s="12"/>
      <c r="C47283" s="8"/>
      <c r="D47283" s="8"/>
    </row>
    <row r="47284" spans="1:4" ht="15.75" customHeight="1">
      <c r="A47284" s="8"/>
      <c r="B47284" s="12"/>
      <c r="C47284" s="8"/>
      <c r="D47284" s="8"/>
    </row>
    <row r="47285" spans="1:4" ht="15.75" customHeight="1">
      <c r="A47285" s="8"/>
      <c r="B47285" s="12"/>
      <c r="C47285" s="8"/>
      <c r="D47285" s="8"/>
    </row>
    <row r="47286" spans="1:4" ht="15.75" customHeight="1">
      <c r="A47286" s="8"/>
      <c r="B47286" s="12"/>
      <c r="C47286" s="8"/>
      <c r="D47286" s="8"/>
    </row>
    <row r="47287" spans="1:4" ht="15.75" customHeight="1">
      <c r="A47287" s="8"/>
      <c r="B47287" s="12"/>
      <c r="C47287" s="8"/>
      <c r="D47287" s="8"/>
    </row>
    <row r="47288" spans="1:4" ht="15.75" customHeight="1">
      <c r="A47288" s="8"/>
      <c r="B47288" s="12"/>
      <c r="C47288" s="8"/>
      <c r="D47288" s="8"/>
    </row>
    <row r="47289" spans="1:4" ht="15.75" customHeight="1">
      <c r="A47289" s="8"/>
      <c r="B47289" s="12"/>
      <c r="C47289" s="8"/>
      <c r="D47289" s="8"/>
    </row>
    <row r="47290" spans="1:4" ht="15.75" customHeight="1">
      <c r="A47290" s="8"/>
      <c r="B47290" s="12"/>
      <c r="C47290" s="8"/>
      <c r="D47290" s="8"/>
    </row>
    <row r="47291" spans="1:4" ht="15.75" customHeight="1">
      <c r="A47291" s="8"/>
      <c r="B47291" s="12"/>
      <c r="C47291" s="8"/>
      <c r="D47291" s="8"/>
    </row>
    <row r="47292" spans="1:4" ht="15.75" customHeight="1">
      <c r="A47292" s="8"/>
      <c r="B47292" s="12"/>
      <c r="C47292" s="8"/>
      <c r="D47292" s="8"/>
    </row>
    <row r="47293" spans="1:4" ht="15.75" customHeight="1">
      <c r="A47293" s="8"/>
      <c r="B47293" s="12"/>
      <c r="C47293" s="8"/>
      <c r="D47293" s="8"/>
    </row>
    <row r="47294" spans="1:4" ht="15.75" customHeight="1">
      <c r="A47294" s="8"/>
      <c r="B47294" s="12"/>
      <c r="C47294" s="8"/>
      <c r="D47294" s="8"/>
    </row>
    <row r="47295" spans="1:4" ht="15.75" customHeight="1">
      <c r="A47295" s="8"/>
      <c r="B47295" s="12"/>
      <c r="C47295" s="8"/>
      <c r="D47295" s="8"/>
    </row>
    <row r="47296" spans="1:4" ht="15.75" customHeight="1">
      <c r="A47296" s="8"/>
      <c r="B47296" s="12"/>
      <c r="C47296" s="8"/>
      <c r="D47296" s="8"/>
    </row>
    <row r="47297" spans="1:4" ht="15.75" customHeight="1">
      <c r="A47297" s="8"/>
      <c r="B47297" s="12"/>
      <c r="C47297" s="8"/>
      <c r="D47297" s="8"/>
    </row>
    <row r="47298" spans="1:4" ht="15.75" customHeight="1">
      <c r="A47298" s="8"/>
      <c r="B47298" s="12"/>
      <c r="C47298" s="8"/>
      <c r="D47298" s="8"/>
    </row>
    <row r="47299" spans="1:4" ht="15.75" customHeight="1">
      <c r="A47299" s="8"/>
      <c r="B47299" s="12"/>
      <c r="C47299" s="8"/>
      <c r="D47299" s="8"/>
    </row>
    <row r="47300" spans="1:4" ht="15.75" customHeight="1">
      <c r="A47300" s="8"/>
      <c r="B47300" s="12"/>
      <c r="C47300" s="8"/>
      <c r="D47300" s="8"/>
    </row>
    <row r="47301" spans="1:4" ht="15.75" customHeight="1">
      <c r="A47301" s="8"/>
      <c r="B47301" s="12"/>
      <c r="C47301" s="8"/>
      <c r="D47301" s="8"/>
    </row>
    <row r="47302" spans="1:4" ht="15.75" customHeight="1">
      <c r="A47302" s="8"/>
      <c r="B47302" s="12"/>
      <c r="C47302" s="8"/>
      <c r="D47302" s="8"/>
    </row>
    <row r="47303" spans="1:4" ht="15.75" customHeight="1">
      <c r="A47303" s="8"/>
      <c r="B47303" s="12"/>
      <c r="C47303" s="8"/>
      <c r="D47303" s="8"/>
    </row>
    <row r="47304" spans="1:4" ht="15.75" customHeight="1">
      <c r="A47304" s="8"/>
      <c r="B47304" s="12"/>
      <c r="C47304" s="8"/>
      <c r="D47304" s="8"/>
    </row>
    <row r="47305" spans="1:4" ht="15.75" customHeight="1">
      <c r="A47305" s="8"/>
      <c r="B47305" s="12"/>
      <c r="C47305" s="8"/>
      <c r="D47305" s="8"/>
    </row>
    <row r="47306" spans="1:4" ht="15.75" customHeight="1">
      <c r="A47306" s="8"/>
      <c r="B47306" s="12"/>
      <c r="C47306" s="8"/>
      <c r="D47306" s="8"/>
    </row>
    <row r="47307" spans="1:4" ht="15.75" customHeight="1">
      <c r="A47307" s="8"/>
      <c r="B47307" s="12"/>
      <c r="C47307" s="8"/>
      <c r="D47307" s="8"/>
    </row>
    <row r="47308" spans="1:4" ht="15.75" customHeight="1">
      <c r="A47308" s="8"/>
      <c r="B47308" s="12"/>
      <c r="C47308" s="8"/>
      <c r="D47308" s="8"/>
    </row>
    <row r="47309" spans="1:4" ht="15.75" customHeight="1">
      <c r="A47309" s="8"/>
      <c r="B47309" s="12"/>
      <c r="C47309" s="8"/>
      <c r="D47309" s="8"/>
    </row>
    <row r="47310" spans="1:4" ht="15.75" customHeight="1">
      <c r="A47310" s="8"/>
      <c r="B47310" s="12"/>
      <c r="C47310" s="8"/>
      <c r="D47310" s="8"/>
    </row>
    <row r="47311" spans="1:4" ht="15.75" customHeight="1">
      <c r="A47311" s="8"/>
      <c r="B47311" s="12"/>
      <c r="C47311" s="8"/>
      <c r="D47311" s="8"/>
    </row>
    <row r="47312" spans="1:4" ht="15.75" customHeight="1">
      <c r="A47312" s="8"/>
      <c r="B47312" s="12"/>
      <c r="C47312" s="8"/>
      <c r="D47312" s="8"/>
    </row>
    <row r="47313" spans="1:4" ht="15.75" customHeight="1">
      <c r="A47313" s="8"/>
      <c r="B47313" s="12"/>
      <c r="C47313" s="8"/>
      <c r="D47313" s="8"/>
    </row>
    <row r="47314" spans="1:4" ht="15.75" customHeight="1">
      <c r="A47314" s="8"/>
      <c r="B47314" s="12"/>
      <c r="C47314" s="8"/>
      <c r="D47314" s="8"/>
    </row>
    <row r="47315" spans="1:4" ht="15.75" customHeight="1">
      <c r="A47315" s="8"/>
      <c r="B47315" s="12"/>
      <c r="C47315" s="8"/>
      <c r="D47315" s="8"/>
    </row>
    <row r="47316" spans="1:4" ht="15.75" customHeight="1">
      <c r="A47316" s="8"/>
      <c r="B47316" s="12"/>
      <c r="C47316" s="8"/>
      <c r="D47316" s="8"/>
    </row>
    <row r="47317" spans="1:4" ht="15.75" customHeight="1">
      <c r="A47317" s="8"/>
      <c r="B47317" s="12"/>
      <c r="C47317" s="8"/>
      <c r="D47317" s="8"/>
    </row>
    <row r="47318" spans="1:4" ht="15.75" customHeight="1">
      <c r="A47318" s="8"/>
      <c r="B47318" s="12"/>
      <c r="C47318" s="8"/>
      <c r="D47318" s="8"/>
    </row>
    <row r="47319" spans="1:4" ht="15.75" customHeight="1">
      <c r="A47319" s="8"/>
      <c r="B47319" s="12"/>
      <c r="C47319" s="8"/>
      <c r="D47319" s="8"/>
    </row>
    <row r="47320" spans="1:4" ht="15.75" customHeight="1">
      <c r="A47320" s="8"/>
      <c r="B47320" s="12"/>
      <c r="C47320" s="8"/>
      <c r="D47320" s="8"/>
    </row>
    <row r="47321" spans="1:4" ht="15.75" customHeight="1">
      <c r="A47321" s="8"/>
      <c r="B47321" s="12"/>
      <c r="C47321" s="8"/>
      <c r="D47321" s="8"/>
    </row>
    <row r="47322" spans="1:4" ht="15.75" customHeight="1">
      <c r="A47322" s="8"/>
      <c r="B47322" s="12"/>
      <c r="C47322" s="8"/>
      <c r="D47322" s="8"/>
    </row>
    <row r="47323" spans="1:4" ht="15.75" customHeight="1">
      <c r="A47323" s="8"/>
      <c r="B47323" s="12"/>
      <c r="C47323" s="8"/>
      <c r="D47323" s="8"/>
    </row>
    <row r="47324" spans="1:4" ht="15.75" customHeight="1">
      <c r="A47324" s="8"/>
      <c r="B47324" s="12"/>
      <c r="C47324" s="8"/>
      <c r="D47324" s="8"/>
    </row>
    <row r="47325" spans="1:4" ht="15.75" customHeight="1">
      <c r="A47325" s="8"/>
      <c r="B47325" s="12"/>
      <c r="C47325" s="8"/>
      <c r="D47325" s="8"/>
    </row>
    <row r="47326" spans="1:4" ht="15.75" customHeight="1">
      <c r="A47326" s="8"/>
      <c r="B47326" s="12"/>
      <c r="C47326" s="8"/>
      <c r="D47326" s="8"/>
    </row>
    <row r="47327" spans="1:4" ht="15.75" customHeight="1">
      <c r="A47327" s="8"/>
      <c r="B47327" s="12"/>
      <c r="C47327" s="8"/>
      <c r="D47327" s="8"/>
    </row>
    <row r="47328" spans="1:4" ht="15.75" customHeight="1">
      <c r="A47328" s="8"/>
      <c r="B47328" s="12"/>
      <c r="C47328" s="8"/>
      <c r="D47328" s="8"/>
    </row>
    <row r="47329" spans="1:4" ht="15.75" customHeight="1">
      <c r="A47329" s="8"/>
      <c r="B47329" s="12"/>
      <c r="C47329" s="8"/>
      <c r="D47329" s="8"/>
    </row>
    <row r="47330" spans="1:4" ht="15.75" customHeight="1">
      <c r="A47330" s="8"/>
      <c r="B47330" s="12"/>
      <c r="C47330" s="8"/>
      <c r="D47330" s="8"/>
    </row>
    <row r="47331" spans="1:4" ht="15.75" customHeight="1">
      <c r="A47331" s="8"/>
      <c r="B47331" s="12"/>
      <c r="C47331" s="8"/>
      <c r="D47331" s="8"/>
    </row>
    <row r="47332" spans="1:4" ht="15.75" customHeight="1">
      <c r="A47332" s="8"/>
      <c r="B47332" s="12"/>
      <c r="C47332" s="8"/>
      <c r="D47332" s="8"/>
    </row>
    <row r="47333" spans="1:4" ht="15.75" customHeight="1">
      <c r="A47333" s="8"/>
      <c r="B47333" s="12"/>
      <c r="C47333" s="8"/>
      <c r="D47333" s="8"/>
    </row>
    <row r="47334" spans="1:4" ht="15.75" customHeight="1">
      <c r="A47334" s="8"/>
      <c r="B47334" s="12"/>
      <c r="C47334" s="8"/>
      <c r="D47334" s="8"/>
    </row>
    <row r="47335" spans="1:4" ht="15.75" customHeight="1">
      <c r="A47335" s="8"/>
      <c r="B47335" s="12"/>
      <c r="C47335" s="8"/>
      <c r="D47335" s="8"/>
    </row>
    <row r="47336" spans="1:4" ht="15.75" customHeight="1">
      <c r="A47336" s="8"/>
      <c r="B47336" s="12"/>
      <c r="C47336" s="8"/>
      <c r="D47336" s="8"/>
    </row>
    <row r="47337" spans="1:4" ht="15.75" customHeight="1">
      <c r="A47337" s="8"/>
      <c r="B47337" s="12"/>
      <c r="C47337" s="8"/>
      <c r="D47337" s="8"/>
    </row>
    <row r="47338" spans="1:4" ht="15.75" customHeight="1">
      <c r="A47338" s="8"/>
      <c r="B47338" s="12"/>
      <c r="C47338" s="8"/>
      <c r="D47338" s="8"/>
    </row>
    <row r="47339" spans="1:4" ht="15.75" customHeight="1">
      <c r="A47339" s="8"/>
      <c r="B47339" s="12"/>
      <c r="C47339" s="8"/>
      <c r="D47339" s="8"/>
    </row>
    <row r="47340" spans="1:4" ht="15.75" customHeight="1">
      <c r="A47340" s="8"/>
      <c r="B47340" s="12"/>
      <c r="C47340" s="8"/>
      <c r="D47340" s="8"/>
    </row>
    <row r="47341" spans="1:4" ht="15.75" customHeight="1">
      <c r="A47341" s="8"/>
      <c r="B47341" s="12"/>
      <c r="C47341" s="8"/>
      <c r="D47341" s="8"/>
    </row>
    <row r="47342" spans="1:4" ht="15.75" customHeight="1">
      <c r="A47342" s="8"/>
      <c r="B47342" s="12"/>
      <c r="C47342" s="8"/>
      <c r="D47342" s="8"/>
    </row>
    <row r="47343" spans="1:4" ht="15.75" customHeight="1">
      <c r="A47343" s="8"/>
      <c r="B47343" s="12"/>
      <c r="C47343" s="8"/>
      <c r="D47343" s="8"/>
    </row>
    <row r="47344" spans="1:4" ht="15.75" customHeight="1">
      <c r="A47344" s="8"/>
      <c r="B47344" s="12"/>
      <c r="C47344" s="8"/>
      <c r="D47344" s="8"/>
    </row>
    <row r="47345" spans="1:4" ht="15.75" customHeight="1">
      <c r="A47345" s="8"/>
      <c r="B47345" s="12"/>
      <c r="C47345" s="8"/>
      <c r="D47345" s="8"/>
    </row>
    <row r="47346" spans="1:4" ht="15.75" customHeight="1">
      <c r="A47346" s="8"/>
      <c r="B47346" s="12"/>
      <c r="C47346" s="8"/>
      <c r="D47346" s="8"/>
    </row>
    <row r="47347" spans="1:4" ht="15.75" customHeight="1">
      <c r="A47347" s="8"/>
      <c r="B47347" s="12"/>
      <c r="C47347" s="8"/>
      <c r="D47347" s="8"/>
    </row>
    <row r="47348" spans="1:4" ht="15.75" customHeight="1">
      <c r="A47348" s="8"/>
      <c r="B47348" s="12"/>
      <c r="C47348" s="8"/>
      <c r="D47348" s="8"/>
    </row>
    <row r="47349" spans="1:4" ht="15.75" customHeight="1">
      <c r="A47349" s="8"/>
      <c r="B47349" s="12"/>
      <c r="C47349" s="8"/>
      <c r="D47349" s="8"/>
    </row>
    <row r="47350" spans="1:4" ht="15.75" customHeight="1">
      <c r="A47350" s="8"/>
      <c r="B47350" s="12"/>
      <c r="C47350" s="8"/>
      <c r="D47350" s="8"/>
    </row>
    <row r="47351" spans="1:4" ht="15.75" customHeight="1">
      <c r="A47351" s="8"/>
      <c r="B47351" s="12"/>
      <c r="C47351" s="8"/>
      <c r="D47351" s="8"/>
    </row>
    <row r="47352" spans="1:4" ht="15.75" customHeight="1">
      <c r="A47352" s="8"/>
      <c r="B47352" s="12"/>
      <c r="C47352" s="8"/>
      <c r="D47352" s="8"/>
    </row>
    <row r="47353" spans="1:4" ht="15.75" customHeight="1">
      <c r="A47353" s="8"/>
      <c r="B47353" s="12"/>
      <c r="C47353" s="8"/>
      <c r="D47353" s="8"/>
    </row>
    <row r="47354" spans="1:4" ht="15.75" customHeight="1">
      <c r="A47354" s="8"/>
      <c r="B47354" s="12"/>
      <c r="C47354" s="8"/>
      <c r="D47354" s="8"/>
    </row>
    <row r="47355" spans="1:4" ht="15.75" customHeight="1">
      <c r="A47355" s="8"/>
      <c r="B47355" s="12"/>
      <c r="C47355" s="8"/>
      <c r="D47355" s="8"/>
    </row>
    <row r="47356" spans="1:4" ht="15.75" customHeight="1">
      <c r="A47356" s="8"/>
      <c r="B47356" s="12"/>
      <c r="C47356" s="8"/>
      <c r="D47356" s="8"/>
    </row>
    <row r="47357" spans="1:4" ht="15.75" customHeight="1">
      <c r="A47357" s="8"/>
      <c r="B47357" s="12"/>
      <c r="C47357" s="8"/>
      <c r="D47357" s="8"/>
    </row>
    <row r="47358" spans="1:4" ht="15.75" customHeight="1">
      <c r="A47358" s="8"/>
      <c r="B47358" s="12"/>
      <c r="C47358" s="8"/>
      <c r="D47358" s="8"/>
    </row>
    <row r="47359" spans="1:4" ht="15.75" customHeight="1">
      <c r="A47359" s="8"/>
      <c r="B47359" s="12"/>
      <c r="C47359" s="8"/>
      <c r="D47359" s="8"/>
    </row>
    <row r="47360" spans="1:4" ht="15.75" customHeight="1">
      <c r="A47360" s="8"/>
      <c r="B47360" s="12"/>
      <c r="C47360" s="8"/>
      <c r="D47360" s="8"/>
    </row>
    <row r="47361" spans="1:4" ht="15.75" customHeight="1">
      <c r="A47361" s="8"/>
      <c r="B47361" s="12"/>
      <c r="C47361" s="8"/>
      <c r="D47361" s="8"/>
    </row>
    <row r="47362" spans="1:4" ht="15.75" customHeight="1">
      <c r="A47362" s="8"/>
      <c r="B47362" s="12"/>
      <c r="C47362" s="8"/>
      <c r="D47362" s="8"/>
    </row>
    <row r="47363" spans="1:4" ht="15.75" customHeight="1">
      <c r="A47363" s="8"/>
      <c r="B47363" s="12"/>
      <c r="C47363" s="8"/>
      <c r="D47363" s="8"/>
    </row>
    <row r="47364" spans="1:4" ht="15.75" customHeight="1">
      <c r="A47364" s="8"/>
      <c r="B47364" s="12"/>
      <c r="C47364" s="8"/>
      <c r="D47364" s="8"/>
    </row>
    <row r="47365" spans="1:4" ht="15.75" customHeight="1">
      <c r="A47365" s="8"/>
      <c r="B47365" s="12"/>
      <c r="C47365" s="8"/>
      <c r="D47365" s="8"/>
    </row>
    <row r="47366" spans="1:4" ht="15.75" customHeight="1">
      <c r="A47366" s="8"/>
      <c r="B47366" s="12"/>
      <c r="C47366" s="8"/>
      <c r="D47366" s="8"/>
    </row>
    <row r="47367" spans="1:4" ht="15.75" customHeight="1">
      <c r="A47367" s="8"/>
      <c r="B47367" s="12"/>
      <c r="C47367" s="8"/>
      <c r="D47367" s="8"/>
    </row>
    <row r="47368" spans="1:4" ht="15.75" customHeight="1">
      <c r="A47368" s="8"/>
      <c r="B47368" s="12"/>
      <c r="C47368" s="8"/>
      <c r="D47368" s="8"/>
    </row>
    <row r="47369" spans="1:4" ht="15.75" customHeight="1">
      <c r="A47369" s="8"/>
      <c r="B47369" s="12"/>
      <c r="C47369" s="8"/>
      <c r="D47369" s="8"/>
    </row>
    <row r="47370" spans="1:4" ht="15.75" customHeight="1">
      <c r="A47370" s="8"/>
      <c r="B47370" s="12"/>
      <c r="C47370" s="8"/>
      <c r="D47370" s="8"/>
    </row>
    <row r="47371" spans="1:4" ht="15.75" customHeight="1">
      <c r="A47371" s="8"/>
      <c r="B47371" s="12"/>
      <c r="C47371" s="8"/>
      <c r="D47371" s="8"/>
    </row>
    <row r="47372" spans="1:4" ht="15.75" customHeight="1">
      <c r="A47372" s="8"/>
      <c r="B47372" s="12"/>
      <c r="C47372" s="8"/>
      <c r="D47372" s="8"/>
    </row>
    <row r="47373" spans="1:4" ht="15.75" customHeight="1">
      <c r="A47373" s="8"/>
      <c r="B47373" s="12"/>
      <c r="C47373" s="8"/>
      <c r="D47373" s="8"/>
    </row>
    <row r="47374" spans="1:4" ht="15.75" customHeight="1">
      <c r="A47374" s="8"/>
      <c r="B47374" s="12"/>
      <c r="C47374" s="8"/>
      <c r="D47374" s="8"/>
    </row>
    <row r="47375" spans="1:4" ht="15.75" customHeight="1">
      <c r="A47375" s="8"/>
      <c r="B47375" s="12"/>
      <c r="C47375" s="8"/>
      <c r="D47375" s="8"/>
    </row>
    <row r="47376" spans="1:4" ht="15.75" customHeight="1">
      <c r="A47376" s="8"/>
      <c r="B47376" s="12"/>
      <c r="C47376" s="8"/>
      <c r="D47376" s="8"/>
    </row>
    <row r="47377" spans="1:4" ht="15.75" customHeight="1">
      <c r="A47377" s="8"/>
      <c r="B47377" s="12"/>
      <c r="C47377" s="8"/>
      <c r="D47377" s="8"/>
    </row>
    <row r="47378" spans="1:4" ht="15.75" customHeight="1">
      <c r="A47378" s="8"/>
      <c r="B47378" s="12"/>
      <c r="C47378" s="8"/>
      <c r="D47378" s="8"/>
    </row>
    <row r="47379" spans="1:4" ht="15.75" customHeight="1">
      <c r="A47379" s="8"/>
      <c r="B47379" s="12"/>
      <c r="C47379" s="8"/>
      <c r="D47379" s="8"/>
    </row>
    <row r="47380" spans="1:4" ht="15.75" customHeight="1">
      <c r="A47380" s="8"/>
      <c r="B47380" s="12"/>
      <c r="C47380" s="8"/>
      <c r="D47380" s="8"/>
    </row>
    <row r="47381" spans="1:4" ht="15.75" customHeight="1">
      <c r="A47381" s="8"/>
      <c r="B47381" s="12"/>
      <c r="C47381" s="8"/>
      <c r="D47381" s="8"/>
    </row>
    <row r="47382" spans="1:4" ht="15.75" customHeight="1">
      <c r="A47382" s="8"/>
      <c r="B47382" s="12"/>
      <c r="C47382" s="8"/>
      <c r="D47382" s="8"/>
    </row>
    <row r="47383" spans="1:4" ht="15.75" customHeight="1">
      <c r="A47383" s="8"/>
      <c r="B47383" s="12"/>
      <c r="C47383" s="8"/>
      <c r="D47383" s="8"/>
    </row>
    <row r="47384" spans="1:4" ht="15.75" customHeight="1">
      <c r="A47384" s="8"/>
      <c r="B47384" s="12"/>
      <c r="C47384" s="8"/>
      <c r="D47384" s="8"/>
    </row>
    <row r="47385" spans="1:4" ht="15.75" customHeight="1">
      <c r="A47385" s="8"/>
      <c r="B47385" s="12"/>
      <c r="C47385" s="8"/>
      <c r="D47385" s="8"/>
    </row>
    <row r="47386" spans="1:4" ht="15.75" customHeight="1">
      <c r="A47386" s="8"/>
      <c r="B47386" s="12"/>
      <c r="C47386" s="8"/>
      <c r="D47386" s="8"/>
    </row>
    <row r="47387" spans="1:4" ht="15.75" customHeight="1">
      <c r="A47387" s="8"/>
      <c r="B47387" s="12"/>
      <c r="C47387" s="8"/>
      <c r="D47387" s="8"/>
    </row>
    <row r="47388" spans="1:4" ht="15.75" customHeight="1">
      <c r="A47388" s="8"/>
      <c r="B47388" s="12"/>
      <c r="C47388" s="8"/>
      <c r="D47388" s="8"/>
    </row>
    <row r="47389" spans="1:4" ht="15.75" customHeight="1">
      <c r="A47389" s="8"/>
      <c r="B47389" s="12"/>
      <c r="C47389" s="8"/>
      <c r="D47389" s="8"/>
    </row>
    <row r="47390" spans="1:4" ht="15.75" customHeight="1">
      <c r="A47390" s="8"/>
      <c r="B47390" s="12"/>
      <c r="C47390" s="8"/>
      <c r="D47390" s="8"/>
    </row>
    <row r="47391" spans="1:4" ht="15.75" customHeight="1">
      <c r="A47391" s="8"/>
      <c r="B47391" s="12"/>
      <c r="C47391" s="8"/>
      <c r="D47391" s="8"/>
    </row>
    <row r="47392" spans="1:4" ht="15.75" customHeight="1">
      <c r="A47392" s="8"/>
      <c r="B47392" s="12"/>
      <c r="C47392" s="8"/>
      <c r="D47392" s="8"/>
    </row>
    <row r="47393" spans="1:4" ht="15.75" customHeight="1">
      <c r="A47393" s="8"/>
      <c r="B47393" s="12"/>
      <c r="C47393" s="8"/>
      <c r="D47393" s="8"/>
    </row>
    <row r="47394" spans="1:4" ht="15.75" customHeight="1">
      <c r="A47394" s="8"/>
      <c r="B47394" s="12"/>
      <c r="C47394" s="8"/>
      <c r="D47394" s="8"/>
    </row>
    <row r="47395" spans="1:4" ht="15.75" customHeight="1">
      <c r="A47395" s="8"/>
      <c r="B47395" s="12"/>
      <c r="C47395" s="8"/>
      <c r="D47395" s="8"/>
    </row>
    <row r="47396" spans="1:4" ht="15.75" customHeight="1">
      <c r="A47396" s="8"/>
      <c r="B47396" s="12"/>
      <c r="C47396" s="8"/>
      <c r="D47396" s="8"/>
    </row>
    <row r="47397" spans="1:4" ht="15.75" customHeight="1">
      <c r="A47397" s="8"/>
      <c r="B47397" s="12"/>
      <c r="C47397" s="8"/>
      <c r="D47397" s="8"/>
    </row>
    <row r="47398" spans="1:4" ht="15.75" customHeight="1">
      <c r="A47398" s="8"/>
      <c r="B47398" s="12"/>
      <c r="C47398" s="8"/>
      <c r="D47398" s="8"/>
    </row>
    <row r="47399" spans="1:4" ht="15.75" customHeight="1">
      <c r="A47399" s="8"/>
      <c r="B47399" s="12"/>
      <c r="C47399" s="8"/>
      <c r="D47399" s="8"/>
    </row>
    <row r="47400" spans="1:4" ht="15.75" customHeight="1">
      <c r="A47400" s="8"/>
      <c r="B47400" s="12"/>
      <c r="C47400" s="8"/>
      <c r="D47400" s="8"/>
    </row>
    <row r="47401" spans="1:4" ht="15.75" customHeight="1">
      <c r="A47401" s="8"/>
      <c r="B47401" s="12"/>
      <c r="C47401" s="8"/>
      <c r="D47401" s="8"/>
    </row>
    <row r="47402" spans="1:4" ht="15.75" customHeight="1">
      <c r="A47402" s="8"/>
      <c r="B47402" s="12"/>
      <c r="C47402" s="8"/>
      <c r="D47402" s="8"/>
    </row>
    <row r="47403" spans="1:4" ht="15.75" customHeight="1">
      <c r="A47403" s="8"/>
      <c r="B47403" s="12"/>
      <c r="C47403" s="8"/>
      <c r="D47403" s="8"/>
    </row>
    <row r="47404" spans="1:4" ht="15.75" customHeight="1">
      <c r="A47404" s="8"/>
      <c r="B47404" s="12"/>
      <c r="C47404" s="8"/>
      <c r="D47404" s="8"/>
    </row>
    <row r="47405" spans="1:4" ht="15.75" customHeight="1">
      <c r="A47405" s="8"/>
      <c r="B47405" s="12"/>
      <c r="C47405" s="8"/>
      <c r="D47405" s="8"/>
    </row>
    <row r="47406" spans="1:4" ht="15.75" customHeight="1">
      <c r="A47406" s="8"/>
      <c r="B47406" s="12"/>
      <c r="C47406" s="8"/>
      <c r="D47406" s="8"/>
    </row>
    <row r="47407" spans="1:4" ht="15.75" customHeight="1">
      <c r="A47407" s="8"/>
      <c r="B47407" s="12"/>
      <c r="C47407" s="8"/>
      <c r="D47407" s="8"/>
    </row>
    <row r="47408" spans="1:4" ht="15.75" customHeight="1">
      <c r="A47408" s="8"/>
      <c r="B47408" s="12"/>
      <c r="C47408" s="8"/>
      <c r="D47408" s="8"/>
    </row>
    <row r="47409" spans="1:4" ht="15.75" customHeight="1">
      <c r="A47409" s="8"/>
      <c r="B47409" s="12"/>
      <c r="C47409" s="8"/>
      <c r="D47409" s="8"/>
    </row>
    <row r="47410" spans="1:4" ht="15.75" customHeight="1">
      <c r="A47410" s="8"/>
      <c r="B47410" s="12"/>
      <c r="C47410" s="8"/>
      <c r="D47410" s="8"/>
    </row>
    <row r="47411" spans="1:4" ht="15.75" customHeight="1">
      <c r="A47411" s="8"/>
      <c r="B47411" s="12"/>
      <c r="C47411" s="8"/>
      <c r="D47411" s="8"/>
    </row>
    <row r="47412" spans="1:4" ht="15.75" customHeight="1">
      <c r="A47412" s="8"/>
      <c r="B47412" s="12"/>
      <c r="C47412" s="8"/>
      <c r="D47412" s="8"/>
    </row>
    <row r="47413" spans="1:4" ht="15.75" customHeight="1">
      <c r="A47413" s="8"/>
      <c r="B47413" s="12"/>
      <c r="C47413" s="8"/>
      <c r="D47413" s="8"/>
    </row>
    <row r="47414" spans="1:4" ht="15.75" customHeight="1">
      <c r="A47414" s="8"/>
      <c r="B47414" s="12"/>
      <c r="C47414" s="8"/>
      <c r="D47414" s="8"/>
    </row>
    <row r="47415" spans="1:4" ht="15.75" customHeight="1">
      <c r="A47415" s="8"/>
      <c r="B47415" s="12"/>
      <c r="C47415" s="8"/>
      <c r="D47415" s="8"/>
    </row>
    <row r="47416" spans="1:4" ht="15.75" customHeight="1">
      <c r="A47416" s="8"/>
      <c r="B47416" s="12"/>
      <c r="C47416" s="8"/>
      <c r="D47416" s="8"/>
    </row>
    <row r="47417" spans="1:4" ht="15.75" customHeight="1">
      <c r="A47417" s="8"/>
      <c r="B47417" s="12"/>
      <c r="C47417" s="8"/>
      <c r="D47417" s="8"/>
    </row>
    <row r="47418" spans="1:4" ht="15.75" customHeight="1">
      <c r="A47418" s="8"/>
      <c r="B47418" s="12"/>
      <c r="C47418" s="8"/>
      <c r="D47418" s="8"/>
    </row>
    <row r="47419" spans="1:4" ht="15.75" customHeight="1">
      <c r="A47419" s="8"/>
      <c r="B47419" s="12"/>
      <c r="C47419" s="8"/>
      <c r="D47419" s="8"/>
    </row>
    <row r="47420" spans="1:4" ht="15.75" customHeight="1">
      <c r="A47420" s="8"/>
      <c r="B47420" s="12"/>
      <c r="C47420" s="8"/>
      <c r="D47420" s="8"/>
    </row>
    <row r="47421" spans="1:4" ht="15.75" customHeight="1">
      <c r="A47421" s="8"/>
      <c r="B47421" s="12"/>
      <c r="C47421" s="8"/>
      <c r="D47421" s="8"/>
    </row>
    <row r="47422" spans="1:4" ht="15.75" customHeight="1">
      <c r="A47422" s="8"/>
      <c r="B47422" s="12"/>
      <c r="C47422" s="8"/>
      <c r="D47422" s="8"/>
    </row>
    <row r="47423" spans="1:4" ht="15.75" customHeight="1">
      <c r="A47423" s="8"/>
      <c r="B47423" s="12"/>
      <c r="C47423" s="8"/>
      <c r="D47423" s="8"/>
    </row>
    <row r="47424" spans="1:4" ht="15.75" customHeight="1">
      <c r="A47424" s="8"/>
      <c r="B47424" s="12"/>
      <c r="C47424" s="8"/>
      <c r="D47424" s="8"/>
    </row>
    <row r="47425" spans="1:4" ht="15.75" customHeight="1">
      <c r="A47425" s="8"/>
      <c r="B47425" s="12"/>
      <c r="C47425" s="8"/>
      <c r="D47425" s="8"/>
    </row>
    <row r="47426" spans="1:4" ht="15.75" customHeight="1">
      <c r="A47426" s="8"/>
      <c r="B47426" s="12"/>
      <c r="C47426" s="8"/>
      <c r="D47426" s="8"/>
    </row>
    <row r="47427" spans="1:4" ht="15.75" customHeight="1">
      <c r="A47427" s="8"/>
      <c r="B47427" s="12"/>
      <c r="C47427" s="8"/>
      <c r="D47427" s="8"/>
    </row>
    <row r="47428" spans="1:4" ht="15.75" customHeight="1">
      <c r="A47428" s="8"/>
      <c r="B47428" s="12"/>
      <c r="C47428" s="8"/>
      <c r="D47428" s="8"/>
    </row>
    <row r="47429" spans="1:4" ht="15.75" customHeight="1">
      <c r="A47429" s="8"/>
      <c r="B47429" s="12"/>
      <c r="C47429" s="8"/>
      <c r="D47429" s="8"/>
    </row>
    <row r="47430" spans="1:4" ht="15.75" customHeight="1">
      <c r="A47430" s="8"/>
      <c r="B47430" s="12"/>
      <c r="C47430" s="8"/>
      <c r="D47430" s="8"/>
    </row>
    <row r="47431" spans="1:4" ht="15.75" customHeight="1">
      <c r="A47431" s="8"/>
      <c r="B47431" s="12"/>
      <c r="C47431" s="8"/>
      <c r="D47431" s="8"/>
    </row>
    <row r="47432" spans="1:4" ht="15.75" customHeight="1">
      <c r="A47432" s="8"/>
      <c r="B47432" s="12"/>
      <c r="C47432" s="8"/>
      <c r="D47432" s="8"/>
    </row>
    <row r="47433" spans="1:4" ht="15.75" customHeight="1">
      <c r="A47433" s="8"/>
      <c r="B47433" s="12"/>
      <c r="C47433" s="8"/>
      <c r="D47433" s="8"/>
    </row>
    <row r="47434" spans="1:4" ht="15.75" customHeight="1">
      <c r="A47434" s="8"/>
      <c r="B47434" s="12"/>
      <c r="C47434" s="8"/>
      <c r="D47434" s="8"/>
    </row>
    <row r="47435" spans="1:4" ht="15.75" customHeight="1">
      <c r="A47435" s="8"/>
      <c r="B47435" s="12"/>
      <c r="C47435" s="8"/>
      <c r="D47435" s="8"/>
    </row>
    <row r="47436" spans="1:4" ht="15.75" customHeight="1">
      <c r="A47436" s="8"/>
      <c r="B47436" s="12"/>
      <c r="C47436" s="8"/>
      <c r="D47436" s="8"/>
    </row>
    <row r="47437" spans="1:4" ht="15.75" customHeight="1">
      <c r="A47437" s="8"/>
      <c r="B47437" s="12"/>
      <c r="C47437" s="8"/>
      <c r="D47437" s="8"/>
    </row>
    <row r="47438" spans="1:4" ht="15.75" customHeight="1">
      <c r="A47438" s="8"/>
      <c r="B47438" s="12"/>
      <c r="C47438" s="8"/>
      <c r="D47438" s="8"/>
    </row>
    <row r="47439" spans="1:4" ht="15.75" customHeight="1">
      <c r="A47439" s="8"/>
      <c r="B47439" s="12"/>
      <c r="C47439" s="8"/>
      <c r="D47439" s="8"/>
    </row>
    <row r="47440" spans="1:4" ht="15.75" customHeight="1">
      <c r="A47440" s="8"/>
      <c r="B47440" s="12"/>
      <c r="C47440" s="8"/>
      <c r="D47440" s="8"/>
    </row>
    <row r="47441" spans="1:4" ht="15.75" customHeight="1">
      <c r="A47441" s="8"/>
      <c r="B47441" s="12"/>
      <c r="C47441" s="8"/>
      <c r="D47441" s="8"/>
    </row>
    <row r="47442" spans="1:4" ht="15.75" customHeight="1">
      <c r="A47442" s="8"/>
      <c r="B47442" s="12"/>
      <c r="C47442" s="8"/>
      <c r="D47442" s="8"/>
    </row>
    <row r="47443" spans="1:4" ht="15.75" customHeight="1">
      <c r="A47443" s="8"/>
      <c r="B47443" s="12"/>
      <c r="C47443" s="8"/>
      <c r="D47443" s="8"/>
    </row>
    <row r="47444" spans="1:4" ht="15.75" customHeight="1">
      <c r="A47444" s="8"/>
      <c r="B47444" s="12"/>
      <c r="C47444" s="8"/>
      <c r="D47444" s="8"/>
    </row>
    <row r="47445" spans="1:4" ht="15.75" customHeight="1">
      <c r="A47445" s="8"/>
      <c r="B47445" s="12"/>
      <c r="C47445" s="8"/>
      <c r="D47445" s="8"/>
    </row>
    <row r="47446" spans="1:4" ht="15.75" customHeight="1">
      <c r="A47446" s="8"/>
      <c r="B47446" s="12"/>
      <c r="C47446" s="8"/>
      <c r="D47446" s="8"/>
    </row>
    <row r="47447" spans="1:4" ht="15.75" customHeight="1">
      <c r="A47447" s="8"/>
      <c r="B47447" s="12"/>
      <c r="C47447" s="8"/>
      <c r="D47447" s="8"/>
    </row>
    <row r="47448" spans="1:4" ht="15.75" customHeight="1">
      <c r="A47448" s="8"/>
      <c r="B47448" s="12"/>
      <c r="C47448" s="8"/>
      <c r="D47448" s="8"/>
    </row>
    <row r="47449" spans="1:4" ht="15.75" customHeight="1">
      <c r="A47449" s="8"/>
      <c r="B47449" s="12"/>
      <c r="C47449" s="8"/>
      <c r="D47449" s="8"/>
    </row>
    <row r="47450" spans="1:4" ht="15.75" customHeight="1">
      <c r="A47450" s="8"/>
      <c r="B47450" s="12"/>
      <c r="C47450" s="8"/>
      <c r="D47450" s="8"/>
    </row>
    <row r="47451" spans="1:4" ht="15.75" customHeight="1">
      <c r="A47451" s="8"/>
      <c r="B47451" s="12"/>
      <c r="C47451" s="8"/>
      <c r="D47451" s="8"/>
    </row>
    <row r="47452" spans="1:4" ht="15.75" customHeight="1">
      <c r="A47452" s="8"/>
      <c r="B47452" s="12"/>
      <c r="C47452" s="8"/>
      <c r="D47452" s="8"/>
    </row>
    <row r="47453" spans="1:4" ht="15.75" customHeight="1">
      <c r="A47453" s="8"/>
      <c r="B47453" s="12"/>
      <c r="C47453" s="8"/>
      <c r="D47453" s="8"/>
    </row>
    <row r="47454" spans="1:4" ht="15.75" customHeight="1">
      <c r="A47454" s="8"/>
      <c r="B47454" s="12"/>
      <c r="C47454" s="8"/>
      <c r="D47454" s="8"/>
    </row>
    <row r="47455" spans="1:4" ht="15.75" customHeight="1">
      <c r="A47455" s="8"/>
      <c r="B47455" s="12"/>
      <c r="C47455" s="8"/>
      <c r="D47455" s="8"/>
    </row>
    <row r="47456" spans="1:4" ht="15.75" customHeight="1">
      <c r="A47456" s="8"/>
      <c r="B47456" s="12"/>
      <c r="C47456" s="8"/>
      <c r="D47456" s="8"/>
    </row>
    <row r="47457" spans="1:4" ht="15.75" customHeight="1">
      <c r="A47457" s="8"/>
      <c r="B47457" s="12"/>
      <c r="C47457" s="8"/>
      <c r="D47457" s="8"/>
    </row>
    <row r="47458" spans="1:4" ht="15.75" customHeight="1">
      <c r="A47458" s="8"/>
      <c r="B47458" s="12"/>
      <c r="C47458" s="8"/>
      <c r="D47458" s="8"/>
    </row>
    <row r="47459" spans="1:4" ht="15.75" customHeight="1">
      <c r="A47459" s="8"/>
      <c r="B47459" s="12"/>
      <c r="C47459" s="8"/>
      <c r="D47459" s="8"/>
    </row>
    <row r="47460" spans="1:4" ht="15.75" customHeight="1">
      <c r="A47460" s="8"/>
      <c r="B47460" s="12"/>
      <c r="C47460" s="8"/>
      <c r="D47460" s="8"/>
    </row>
    <row r="47461" spans="1:4" ht="15.75" customHeight="1">
      <c r="A47461" s="8"/>
      <c r="B47461" s="12"/>
      <c r="C47461" s="8"/>
      <c r="D47461" s="8"/>
    </row>
    <row r="47462" spans="1:4" ht="15.75" customHeight="1">
      <c r="A47462" s="8"/>
      <c r="B47462" s="12"/>
      <c r="C47462" s="8"/>
      <c r="D47462" s="8"/>
    </row>
    <row r="47463" spans="1:4" ht="15.75" customHeight="1">
      <c r="A47463" s="8"/>
      <c r="B47463" s="12"/>
      <c r="C47463" s="8"/>
      <c r="D47463" s="8"/>
    </row>
    <row r="47464" spans="1:4" ht="15.75" customHeight="1">
      <c r="A47464" s="8"/>
      <c r="B47464" s="12"/>
      <c r="C47464" s="8"/>
      <c r="D47464" s="8"/>
    </row>
    <row r="47465" spans="1:4" ht="15.75" customHeight="1">
      <c r="A47465" s="8"/>
      <c r="B47465" s="12"/>
      <c r="C47465" s="8"/>
      <c r="D47465" s="8"/>
    </row>
    <row r="47466" spans="1:4" ht="15.75" customHeight="1">
      <c r="A47466" s="8"/>
      <c r="B47466" s="12"/>
      <c r="C47466" s="8"/>
      <c r="D47466" s="8"/>
    </row>
    <row r="47467" spans="1:4" ht="15.75" customHeight="1">
      <c r="A47467" s="8"/>
      <c r="B47467" s="12"/>
      <c r="C47467" s="8"/>
      <c r="D47467" s="8"/>
    </row>
    <row r="47468" spans="1:4" ht="15.75" customHeight="1">
      <c r="A47468" s="8"/>
      <c r="B47468" s="12"/>
      <c r="C47468" s="8"/>
      <c r="D47468" s="8"/>
    </row>
    <row r="47469" spans="1:4" ht="15.75" customHeight="1">
      <c r="A47469" s="8"/>
      <c r="B47469" s="12"/>
      <c r="C47469" s="8"/>
      <c r="D47469" s="8"/>
    </row>
    <row r="47470" spans="1:4" ht="15.75" customHeight="1">
      <c r="A47470" s="8"/>
      <c r="B47470" s="12"/>
      <c r="C47470" s="8"/>
      <c r="D47470" s="8"/>
    </row>
    <row r="47471" spans="1:4" ht="15.75" customHeight="1">
      <c r="A47471" s="8"/>
      <c r="B47471" s="12"/>
      <c r="C47471" s="8"/>
      <c r="D47471" s="8"/>
    </row>
    <row r="47472" spans="1:4" ht="15.75" customHeight="1">
      <c r="A47472" s="8"/>
      <c r="B47472" s="12"/>
      <c r="C47472" s="8"/>
      <c r="D47472" s="8"/>
    </row>
    <row r="47473" spans="1:4" ht="15.75" customHeight="1">
      <c r="A47473" s="8"/>
      <c r="B47473" s="12"/>
      <c r="C47473" s="8"/>
      <c r="D47473" s="8"/>
    </row>
    <row r="47474" spans="1:4" ht="15.75" customHeight="1">
      <c r="A47474" s="8"/>
      <c r="B47474" s="12"/>
      <c r="C47474" s="8"/>
      <c r="D47474" s="8"/>
    </row>
    <row r="47475" spans="1:4" ht="15.75" customHeight="1">
      <c r="A47475" s="8"/>
      <c r="B47475" s="12"/>
      <c r="C47475" s="8"/>
      <c r="D47475" s="8"/>
    </row>
    <row r="47476" spans="1:4" ht="15.75" customHeight="1">
      <c r="A47476" s="8"/>
      <c r="B47476" s="12"/>
      <c r="C47476" s="8"/>
      <c r="D47476" s="8"/>
    </row>
    <row r="47477" spans="1:4" ht="15.75" customHeight="1">
      <c r="A47477" s="8"/>
      <c r="B47477" s="12"/>
      <c r="C47477" s="8"/>
      <c r="D47477" s="8"/>
    </row>
    <row r="47478" spans="1:4" ht="15.75" customHeight="1">
      <c r="A47478" s="8"/>
      <c r="B47478" s="12"/>
      <c r="C47478" s="8"/>
      <c r="D47478" s="8"/>
    </row>
    <row r="47479" spans="1:4" ht="15.75" customHeight="1">
      <c r="A47479" s="8"/>
      <c r="B47479" s="12"/>
      <c r="C47479" s="8"/>
      <c r="D47479" s="8"/>
    </row>
    <row r="47480" spans="1:4" ht="15.75" customHeight="1">
      <c r="A47480" s="8"/>
      <c r="B47480" s="12"/>
      <c r="C47480" s="8"/>
      <c r="D47480" s="8"/>
    </row>
    <row r="47481" spans="1:4" ht="15.75" customHeight="1">
      <c r="A47481" s="8"/>
      <c r="B47481" s="12"/>
      <c r="C47481" s="8"/>
      <c r="D47481" s="8"/>
    </row>
    <row r="47482" spans="1:4" ht="15.75" customHeight="1">
      <c r="A47482" s="8"/>
      <c r="B47482" s="12"/>
      <c r="C47482" s="8"/>
      <c r="D47482" s="8"/>
    </row>
    <row r="47483" spans="1:4" ht="15.75" customHeight="1">
      <c r="A47483" s="8"/>
      <c r="B47483" s="12"/>
      <c r="C47483" s="8"/>
      <c r="D47483" s="8"/>
    </row>
    <row r="47484" spans="1:4" ht="15.75" customHeight="1">
      <c r="A47484" s="8"/>
      <c r="B47484" s="12"/>
      <c r="C47484" s="8"/>
      <c r="D47484" s="8"/>
    </row>
    <row r="47485" spans="1:4" ht="15.75" customHeight="1">
      <c r="A47485" s="8"/>
      <c r="B47485" s="12"/>
      <c r="C47485" s="8"/>
      <c r="D47485" s="8"/>
    </row>
    <row r="47486" spans="1:4" ht="15.75" customHeight="1">
      <c r="A47486" s="8"/>
      <c r="B47486" s="12"/>
      <c r="C47486" s="8"/>
      <c r="D47486" s="8"/>
    </row>
    <row r="47487" spans="1:4" ht="15.75" customHeight="1">
      <c r="A47487" s="8"/>
      <c r="B47487" s="12"/>
      <c r="C47487" s="8"/>
      <c r="D47487" s="8"/>
    </row>
    <row r="47488" spans="1:4" ht="15.75" customHeight="1">
      <c r="A47488" s="8"/>
      <c r="B47488" s="12"/>
      <c r="C47488" s="8"/>
      <c r="D47488" s="8"/>
    </row>
    <row r="47489" spans="1:4" ht="15.75" customHeight="1">
      <c r="A47489" s="8"/>
      <c r="B47489" s="12"/>
      <c r="C47489" s="8"/>
      <c r="D47489" s="8"/>
    </row>
    <row r="47490" spans="1:4" ht="15.75" customHeight="1">
      <c r="A47490" s="8"/>
      <c r="B47490" s="12"/>
      <c r="C47490" s="8"/>
      <c r="D47490" s="8"/>
    </row>
    <row r="47491" spans="1:4" ht="15.75" customHeight="1">
      <c r="A47491" s="8"/>
      <c r="B47491" s="12"/>
      <c r="C47491" s="8"/>
      <c r="D47491" s="8"/>
    </row>
    <row r="47492" spans="1:4" ht="15.75" customHeight="1">
      <c r="A47492" s="8"/>
      <c r="B47492" s="12"/>
      <c r="C47492" s="8"/>
      <c r="D47492" s="8"/>
    </row>
    <row r="47493" spans="1:4" ht="15.75" customHeight="1">
      <c r="A47493" s="8"/>
      <c r="B47493" s="12"/>
      <c r="C47493" s="8"/>
      <c r="D47493" s="8"/>
    </row>
    <row r="47494" spans="1:4" ht="15.75" customHeight="1">
      <c r="A47494" s="8"/>
      <c r="B47494" s="12"/>
      <c r="C47494" s="8"/>
      <c r="D47494" s="8"/>
    </row>
    <row r="47495" spans="1:4" ht="15.75" customHeight="1">
      <c r="A47495" s="8"/>
      <c r="B47495" s="12"/>
      <c r="C47495" s="8"/>
      <c r="D47495" s="8"/>
    </row>
    <row r="47496" spans="1:4" ht="15.75" customHeight="1">
      <c r="A47496" s="8"/>
      <c r="B47496" s="12"/>
      <c r="C47496" s="8"/>
      <c r="D47496" s="8"/>
    </row>
    <row r="47497" spans="1:4" ht="15.75" customHeight="1">
      <c r="A47497" s="8"/>
      <c r="B47497" s="12"/>
      <c r="C47497" s="8"/>
      <c r="D47497" s="8"/>
    </row>
    <row r="47498" spans="1:4" ht="15.75" customHeight="1">
      <c r="A47498" s="8"/>
      <c r="B47498" s="12"/>
      <c r="C47498" s="8"/>
      <c r="D47498" s="8"/>
    </row>
    <row r="47499" spans="1:4" ht="15.75" customHeight="1">
      <c r="A47499" s="8"/>
      <c r="B47499" s="12"/>
      <c r="C47499" s="8"/>
      <c r="D47499" s="8"/>
    </row>
    <row r="47500" spans="1:4" ht="15.75" customHeight="1">
      <c r="A47500" s="8"/>
      <c r="B47500" s="12"/>
      <c r="C47500" s="8"/>
      <c r="D47500" s="8"/>
    </row>
    <row r="47501" spans="1:4" ht="15.75" customHeight="1">
      <c r="A47501" s="8"/>
      <c r="B47501" s="12"/>
      <c r="C47501" s="8"/>
      <c r="D47501" s="8"/>
    </row>
    <row r="47502" spans="1:4" ht="15.75" customHeight="1">
      <c r="A47502" s="8"/>
      <c r="B47502" s="12"/>
      <c r="C47502" s="8"/>
      <c r="D47502" s="8"/>
    </row>
    <row r="47503" spans="1:4" ht="15.75" customHeight="1">
      <c r="A47503" s="8"/>
      <c r="B47503" s="12"/>
      <c r="C47503" s="8"/>
      <c r="D47503" s="8"/>
    </row>
    <row r="47504" spans="1:4" ht="15.75" customHeight="1">
      <c r="A47504" s="8"/>
      <c r="B47504" s="12"/>
      <c r="C47504" s="8"/>
      <c r="D47504" s="8"/>
    </row>
    <row r="47505" spans="1:4" ht="15.75" customHeight="1">
      <c r="A47505" s="8"/>
      <c r="B47505" s="12"/>
      <c r="C47505" s="8"/>
      <c r="D47505" s="8"/>
    </row>
    <row r="47506" spans="1:4" ht="15.75" customHeight="1">
      <c r="A47506" s="8"/>
      <c r="B47506" s="12"/>
      <c r="C47506" s="8"/>
      <c r="D47506" s="8"/>
    </row>
    <row r="47507" spans="1:4" ht="15.75" customHeight="1">
      <c r="A47507" s="8"/>
      <c r="B47507" s="12"/>
      <c r="C47507" s="8"/>
      <c r="D47507" s="8"/>
    </row>
    <row r="47508" spans="1:4" ht="15.75" customHeight="1">
      <c r="A47508" s="8"/>
      <c r="B47508" s="12"/>
      <c r="C47508" s="8"/>
      <c r="D47508" s="8"/>
    </row>
    <row r="47509" spans="1:4" ht="15.75" customHeight="1">
      <c r="A47509" s="8"/>
      <c r="B47509" s="12"/>
      <c r="C47509" s="8"/>
      <c r="D47509" s="8"/>
    </row>
    <row r="47510" spans="1:4" ht="15.75" customHeight="1">
      <c r="A47510" s="8"/>
      <c r="B47510" s="12"/>
      <c r="C47510" s="8"/>
      <c r="D47510" s="8"/>
    </row>
    <row r="47511" spans="1:4" ht="15.75" customHeight="1">
      <c r="A47511" s="8"/>
      <c r="B47511" s="12"/>
      <c r="C47511" s="8"/>
      <c r="D47511" s="8"/>
    </row>
    <row r="47512" spans="1:4" ht="15.75" customHeight="1">
      <c r="A47512" s="8"/>
      <c r="B47512" s="12"/>
      <c r="C47512" s="8"/>
      <c r="D47512" s="8"/>
    </row>
    <row r="47513" spans="1:4" ht="15.75" customHeight="1">
      <c r="A47513" s="8"/>
      <c r="B47513" s="12"/>
      <c r="C47513" s="8"/>
      <c r="D47513" s="8"/>
    </row>
    <row r="47514" spans="1:4" ht="15.75" customHeight="1">
      <c r="A47514" s="8"/>
      <c r="B47514" s="12"/>
      <c r="C47514" s="8"/>
      <c r="D47514" s="8"/>
    </row>
    <row r="47515" spans="1:4" ht="15.75" customHeight="1">
      <c r="A47515" s="8"/>
      <c r="B47515" s="12"/>
      <c r="C47515" s="8"/>
      <c r="D47515" s="8"/>
    </row>
    <row r="47516" spans="1:4" ht="15.75" customHeight="1">
      <c r="A47516" s="8"/>
      <c r="B47516" s="12"/>
      <c r="C47516" s="8"/>
      <c r="D47516" s="8"/>
    </row>
    <row r="47517" spans="1:4" ht="15.75" customHeight="1">
      <c r="A47517" s="8"/>
      <c r="B47517" s="12"/>
      <c r="C47517" s="8"/>
      <c r="D47517" s="8"/>
    </row>
    <row r="47518" spans="1:4" ht="15.75" customHeight="1">
      <c r="A47518" s="8"/>
      <c r="B47518" s="12"/>
      <c r="C47518" s="8"/>
      <c r="D47518" s="8"/>
    </row>
    <row r="47519" spans="1:4" ht="15.75" customHeight="1">
      <c r="A47519" s="8"/>
      <c r="B47519" s="12"/>
      <c r="C47519" s="8"/>
      <c r="D47519" s="8"/>
    </row>
    <row r="47520" spans="1:4" ht="15.75" customHeight="1">
      <c r="A47520" s="8"/>
      <c r="B47520" s="12"/>
      <c r="C47520" s="8"/>
      <c r="D47520" s="8"/>
    </row>
    <row r="47521" spans="1:4" ht="15.75" customHeight="1">
      <c r="A47521" s="8"/>
      <c r="B47521" s="12"/>
      <c r="C47521" s="8"/>
      <c r="D47521" s="8"/>
    </row>
    <row r="47522" spans="1:4" ht="15.75" customHeight="1">
      <c r="A47522" s="8"/>
      <c r="B47522" s="12"/>
      <c r="C47522" s="8"/>
      <c r="D47522" s="8"/>
    </row>
    <row r="47523" spans="1:4" ht="15.75" customHeight="1">
      <c r="A47523" s="8"/>
      <c r="B47523" s="12"/>
      <c r="C47523" s="8"/>
      <c r="D47523" s="8"/>
    </row>
    <row r="47524" spans="1:4" ht="15.75" customHeight="1">
      <c r="A47524" s="8"/>
      <c r="B47524" s="12"/>
      <c r="C47524" s="8"/>
      <c r="D47524" s="8"/>
    </row>
    <row r="47525" spans="1:4" ht="15.75" customHeight="1">
      <c r="A47525" s="8"/>
      <c r="B47525" s="12"/>
      <c r="C47525" s="8"/>
      <c r="D47525" s="8"/>
    </row>
    <row r="47526" spans="1:4" ht="15.75" customHeight="1">
      <c r="A47526" s="8"/>
      <c r="B47526" s="12"/>
      <c r="C47526" s="8"/>
      <c r="D47526" s="8"/>
    </row>
    <row r="47527" spans="1:4" ht="15.75" customHeight="1">
      <c r="A47527" s="8"/>
      <c r="B47527" s="12"/>
      <c r="C47527" s="8"/>
      <c r="D47527" s="8"/>
    </row>
    <row r="47528" spans="1:4" ht="15.75" customHeight="1">
      <c r="A47528" s="8"/>
      <c r="B47528" s="12"/>
      <c r="C47528" s="8"/>
      <c r="D47528" s="8"/>
    </row>
    <row r="47529" spans="1:4" ht="15.75" customHeight="1">
      <c r="A47529" s="8"/>
      <c r="B47529" s="12"/>
      <c r="C47529" s="8"/>
      <c r="D47529" s="8"/>
    </row>
    <row r="47530" spans="1:4" ht="15.75" customHeight="1">
      <c r="A47530" s="8"/>
      <c r="B47530" s="12"/>
      <c r="C47530" s="8"/>
      <c r="D47530" s="8"/>
    </row>
    <row r="47531" spans="1:4" ht="15.75" customHeight="1">
      <c r="A47531" s="8"/>
      <c r="B47531" s="12"/>
      <c r="C47531" s="8"/>
      <c r="D47531" s="8"/>
    </row>
    <row r="47532" spans="1:4" ht="15.75" customHeight="1">
      <c r="A47532" s="8"/>
      <c r="B47532" s="12"/>
      <c r="C47532" s="8"/>
      <c r="D47532" s="8"/>
    </row>
    <row r="47533" spans="1:4" ht="15.75" customHeight="1">
      <c r="A47533" s="8"/>
      <c r="B47533" s="12"/>
      <c r="C47533" s="8"/>
      <c r="D47533" s="8"/>
    </row>
    <row r="47534" spans="1:4" ht="15.75" customHeight="1">
      <c r="A47534" s="8"/>
      <c r="B47534" s="12"/>
      <c r="C47534" s="8"/>
      <c r="D47534" s="8"/>
    </row>
    <row r="47535" spans="1:4" ht="15.75" customHeight="1">
      <c r="A47535" s="8"/>
      <c r="B47535" s="12"/>
      <c r="C47535" s="8"/>
      <c r="D47535" s="8"/>
    </row>
    <row r="47536" spans="1:4" ht="15.75" customHeight="1">
      <c r="A47536" s="8"/>
      <c r="B47536" s="12"/>
      <c r="C47536" s="8"/>
      <c r="D47536" s="8"/>
    </row>
    <row r="47537" spans="1:4" ht="15.75" customHeight="1">
      <c r="A47537" s="8"/>
      <c r="B47537" s="12"/>
      <c r="C47537" s="8"/>
      <c r="D47537" s="8"/>
    </row>
    <row r="47538" spans="1:4" ht="15.75" customHeight="1">
      <c r="A47538" s="8"/>
      <c r="B47538" s="12"/>
      <c r="C47538" s="8"/>
      <c r="D47538" s="8"/>
    </row>
    <row r="47539" spans="1:4" ht="15.75" customHeight="1">
      <c r="A47539" s="8"/>
      <c r="B47539" s="12"/>
      <c r="C47539" s="8"/>
      <c r="D47539" s="8"/>
    </row>
    <row r="47540" spans="1:4" ht="15.75" customHeight="1">
      <c r="A47540" s="8"/>
      <c r="B47540" s="12"/>
      <c r="C47540" s="8"/>
      <c r="D47540" s="8"/>
    </row>
    <row r="47541" spans="1:4" ht="15.75" customHeight="1">
      <c r="A47541" s="8"/>
      <c r="B47541" s="12"/>
      <c r="C47541" s="8"/>
      <c r="D47541" s="8"/>
    </row>
    <row r="47542" spans="1:4" ht="15.75" customHeight="1">
      <c r="A47542" s="8"/>
      <c r="B47542" s="12"/>
      <c r="C47542" s="8"/>
      <c r="D47542" s="8"/>
    </row>
    <row r="47543" spans="1:4" ht="15.75" customHeight="1">
      <c r="A47543" s="8"/>
      <c r="B47543" s="12"/>
      <c r="C47543" s="8"/>
      <c r="D47543" s="8"/>
    </row>
    <row r="47544" spans="1:4" ht="15.75" customHeight="1">
      <c r="A47544" s="8"/>
      <c r="B47544" s="12"/>
      <c r="C47544" s="8"/>
      <c r="D47544" s="8"/>
    </row>
    <row r="47545" spans="1:4" ht="15.75" customHeight="1">
      <c r="A47545" s="8"/>
      <c r="B47545" s="12"/>
      <c r="C47545" s="8"/>
      <c r="D47545" s="8"/>
    </row>
    <row r="47546" spans="1:4" ht="15.75" customHeight="1">
      <c r="A47546" s="8"/>
      <c r="B47546" s="12"/>
      <c r="C47546" s="8"/>
      <c r="D47546" s="8"/>
    </row>
    <row r="47547" spans="1:4" ht="15.75" customHeight="1">
      <c r="A47547" s="8"/>
      <c r="B47547" s="12"/>
      <c r="C47547" s="8"/>
      <c r="D47547" s="8"/>
    </row>
    <row r="47548" spans="1:4" ht="15.75" customHeight="1">
      <c r="A47548" s="8"/>
      <c r="B47548" s="12"/>
      <c r="C47548" s="8"/>
      <c r="D47548" s="8"/>
    </row>
    <row r="47549" spans="1:4" ht="15.75" customHeight="1">
      <c r="A47549" s="8"/>
      <c r="B47549" s="12"/>
      <c r="C47549" s="8"/>
      <c r="D47549" s="8"/>
    </row>
    <row r="47550" spans="1:4" ht="15.75" customHeight="1">
      <c r="A47550" s="8"/>
      <c r="B47550" s="12"/>
      <c r="C47550" s="8"/>
      <c r="D47550" s="8"/>
    </row>
    <row r="47551" spans="1:4" ht="15.75" customHeight="1">
      <c r="A47551" s="8"/>
      <c r="B47551" s="12"/>
      <c r="C47551" s="8"/>
      <c r="D47551" s="8"/>
    </row>
    <row r="47552" spans="1:4" ht="15.75" customHeight="1">
      <c r="A47552" s="8"/>
      <c r="B47552" s="12"/>
      <c r="C47552" s="8"/>
      <c r="D47552" s="8"/>
    </row>
    <row r="47553" spans="1:4" ht="15.75" customHeight="1">
      <c r="A47553" s="8"/>
      <c r="B47553" s="12"/>
      <c r="C47553" s="8"/>
      <c r="D47553" s="8"/>
    </row>
    <row r="47554" spans="1:4" ht="15.75" customHeight="1">
      <c r="A47554" s="8"/>
      <c r="B47554" s="12"/>
      <c r="C47554" s="8"/>
      <c r="D47554" s="8"/>
    </row>
    <row r="47555" spans="1:4" ht="15.75" customHeight="1">
      <c r="A47555" s="8"/>
      <c r="B47555" s="12"/>
      <c r="C47555" s="8"/>
      <c r="D47555" s="8"/>
    </row>
    <row r="47556" spans="1:4" ht="15.75" customHeight="1">
      <c r="A47556" s="8"/>
      <c r="B47556" s="12"/>
      <c r="C47556" s="8"/>
      <c r="D47556" s="8"/>
    </row>
    <row r="47557" spans="1:4" ht="15.75" customHeight="1">
      <c r="A47557" s="8"/>
      <c r="B47557" s="12"/>
      <c r="C47557" s="8"/>
      <c r="D47557" s="8"/>
    </row>
    <row r="47558" spans="1:4" ht="15.75" customHeight="1">
      <c r="A47558" s="8"/>
      <c r="B47558" s="12"/>
      <c r="C47558" s="8"/>
      <c r="D47558" s="8"/>
    </row>
    <row r="47559" spans="1:4" ht="15.75" customHeight="1">
      <c r="A47559" s="8"/>
      <c r="B47559" s="12"/>
      <c r="C47559" s="8"/>
      <c r="D47559" s="8"/>
    </row>
    <row r="47560" spans="1:4" ht="15.75" customHeight="1">
      <c r="A47560" s="8"/>
      <c r="B47560" s="12"/>
      <c r="C47560" s="8"/>
      <c r="D47560" s="8"/>
    </row>
    <row r="47561" spans="1:4" ht="15.75" customHeight="1">
      <c r="A47561" s="8"/>
      <c r="B47561" s="12"/>
      <c r="C47561" s="8"/>
      <c r="D47561" s="8"/>
    </row>
    <row r="47562" spans="1:4" ht="15.75" customHeight="1">
      <c r="A47562" s="8"/>
      <c r="B47562" s="12"/>
      <c r="C47562" s="8"/>
      <c r="D47562" s="8"/>
    </row>
    <row r="47563" spans="1:4" ht="15.75" customHeight="1">
      <c r="A47563" s="8"/>
      <c r="B47563" s="12"/>
      <c r="C47563" s="8"/>
      <c r="D47563" s="8"/>
    </row>
    <row r="47564" spans="1:4" ht="15.75" customHeight="1">
      <c r="A47564" s="8"/>
      <c r="B47564" s="12"/>
      <c r="C47564" s="8"/>
      <c r="D47564" s="8"/>
    </row>
    <row r="47565" spans="1:4" ht="15.75" customHeight="1">
      <c r="A47565" s="8"/>
      <c r="B47565" s="12"/>
      <c r="C47565" s="8"/>
      <c r="D47565" s="8"/>
    </row>
    <row r="47566" spans="1:4" ht="15.75" customHeight="1">
      <c r="A47566" s="8"/>
      <c r="B47566" s="12"/>
      <c r="C47566" s="8"/>
      <c r="D47566" s="8"/>
    </row>
    <row r="47567" spans="1:4" ht="15.75" customHeight="1">
      <c r="A47567" s="8"/>
      <c r="B47567" s="12"/>
      <c r="C47567" s="8"/>
      <c r="D47567" s="8"/>
    </row>
    <row r="47568" spans="1:4" ht="15.75" customHeight="1">
      <c r="A47568" s="8"/>
      <c r="B47568" s="12"/>
      <c r="C47568" s="8"/>
      <c r="D47568" s="8"/>
    </row>
    <row r="47569" spans="1:4" ht="15.75" customHeight="1">
      <c r="A47569" s="8"/>
      <c r="B47569" s="12"/>
      <c r="C47569" s="8"/>
      <c r="D47569" s="8"/>
    </row>
    <row r="47570" spans="1:4" ht="15.75" customHeight="1">
      <c r="A47570" s="8"/>
      <c r="B47570" s="12"/>
      <c r="C47570" s="8"/>
      <c r="D47570" s="8"/>
    </row>
    <row r="47571" spans="1:4" ht="15.75" customHeight="1">
      <c r="A47571" s="8"/>
      <c r="B47571" s="12"/>
      <c r="C47571" s="8"/>
      <c r="D47571" s="8"/>
    </row>
    <row r="47572" spans="1:4" ht="15.75" customHeight="1">
      <c r="A47572" s="8"/>
      <c r="B47572" s="12"/>
      <c r="C47572" s="8"/>
      <c r="D47572" s="8"/>
    </row>
    <row r="47573" spans="1:4" ht="15.75" customHeight="1">
      <c r="A47573" s="8"/>
      <c r="B47573" s="12"/>
      <c r="C47573" s="8"/>
      <c r="D47573" s="8"/>
    </row>
    <row r="47574" spans="1:4" ht="15.75" customHeight="1">
      <c r="A47574" s="8"/>
      <c r="B47574" s="12"/>
      <c r="C47574" s="8"/>
      <c r="D47574" s="8"/>
    </row>
    <row r="47575" spans="1:4" ht="15.75" customHeight="1">
      <c r="A47575" s="8"/>
      <c r="B47575" s="12"/>
      <c r="C47575" s="8"/>
      <c r="D47575" s="8"/>
    </row>
    <row r="47576" spans="1:4" ht="15.75" customHeight="1">
      <c r="A47576" s="8"/>
      <c r="B47576" s="12"/>
      <c r="C47576" s="8"/>
      <c r="D47576" s="8"/>
    </row>
    <row r="47577" spans="1:4" ht="15.75" customHeight="1">
      <c r="A47577" s="8"/>
      <c r="B47577" s="12"/>
      <c r="C47577" s="8"/>
      <c r="D47577" s="8"/>
    </row>
    <row r="47578" spans="1:4" ht="15.75" customHeight="1">
      <c r="A47578" s="8"/>
      <c r="B47578" s="12"/>
      <c r="C47578" s="8"/>
      <c r="D47578" s="8"/>
    </row>
    <row r="47579" spans="1:4" ht="15.75" customHeight="1">
      <c r="A47579" s="8"/>
      <c r="B47579" s="12"/>
      <c r="C47579" s="8"/>
      <c r="D47579" s="8"/>
    </row>
    <row r="47580" spans="1:4" ht="15.75" customHeight="1">
      <c r="A47580" s="8"/>
      <c r="B47580" s="12"/>
      <c r="C47580" s="8"/>
      <c r="D47580" s="8"/>
    </row>
    <row r="47581" spans="1:4" ht="15.75" customHeight="1">
      <c r="A47581" s="8"/>
      <c r="B47581" s="12"/>
      <c r="C47581" s="8"/>
      <c r="D47581" s="8"/>
    </row>
    <row r="47582" spans="1:4" ht="15.75" customHeight="1">
      <c r="A47582" s="8"/>
      <c r="B47582" s="12"/>
      <c r="C47582" s="8"/>
      <c r="D47582" s="8"/>
    </row>
    <row r="47583" spans="1:4" ht="15.75" customHeight="1">
      <c r="A47583" s="8"/>
      <c r="B47583" s="12"/>
      <c r="C47583" s="8"/>
      <c r="D47583" s="8"/>
    </row>
    <row r="47584" spans="1:4" ht="15.75" customHeight="1">
      <c r="A47584" s="8"/>
      <c r="B47584" s="12"/>
      <c r="C47584" s="8"/>
      <c r="D47584" s="8"/>
    </row>
    <row r="47585" spans="1:4" ht="15.75" customHeight="1">
      <c r="A47585" s="8"/>
      <c r="B47585" s="12"/>
      <c r="C47585" s="8"/>
      <c r="D47585" s="8"/>
    </row>
    <row r="47586" spans="1:4" ht="15.75" customHeight="1">
      <c r="A47586" s="8"/>
      <c r="B47586" s="12"/>
      <c r="C47586" s="8"/>
      <c r="D47586" s="8"/>
    </row>
    <row r="47587" spans="1:4" ht="15.75" customHeight="1">
      <c r="A47587" s="8"/>
      <c r="B47587" s="12"/>
      <c r="C47587" s="8"/>
      <c r="D47587" s="8"/>
    </row>
    <row r="47588" spans="1:4" ht="15.75" customHeight="1">
      <c r="A47588" s="8"/>
      <c r="B47588" s="12"/>
      <c r="C47588" s="8"/>
      <c r="D47588" s="8"/>
    </row>
    <row r="47589" spans="1:4" ht="15.75" customHeight="1">
      <c r="A47589" s="8"/>
      <c r="B47589" s="12"/>
      <c r="C47589" s="8"/>
      <c r="D47589" s="8"/>
    </row>
    <row r="47590" spans="1:4" ht="15.75" customHeight="1">
      <c r="A47590" s="8"/>
      <c r="B47590" s="12"/>
      <c r="C47590" s="8"/>
      <c r="D47590" s="8"/>
    </row>
    <row r="47591" spans="1:4" ht="15.75" customHeight="1">
      <c r="A47591" s="8"/>
      <c r="B47591" s="12"/>
      <c r="C47591" s="8"/>
      <c r="D47591" s="8"/>
    </row>
    <row r="47592" spans="1:4" ht="15.75" customHeight="1">
      <c r="A47592" s="8"/>
      <c r="B47592" s="12"/>
      <c r="C47592" s="8"/>
      <c r="D47592" s="8"/>
    </row>
    <row r="47593" spans="1:4" ht="15.75" customHeight="1">
      <c r="A47593" s="8"/>
      <c r="B47593" s="12"/>
      <c r="C47593" s="8"/>
      <c r="D47593" s="8"/>
    </row>
    <row r="47594" spans="1:4" ht="15.75" customHeight="1">
      <c r="A47594" s="8"/>
      <c r="B47594" s="12"/>
      <c r="C47594" s="8"/>
      <c r="D47594" s="8"/>
    </row>
    <row r="47595" spans="1:4" ht="15.75" customHeight="1">
      <c r="A47595" s="8"/>
      <c r="B47595" s="12"/>
      <c r="C47595" s="8"/>
      <c r="D47595" s="8"/>
    </row>
    <row r="47596" spans="1:4" ht="15.75" customHeight="1">
      <c r="A47596" s="8"/>
      <c r="B47596" s="12"/>
      <c r="C47596" s="8"/>
      <c r="D47596" s="8"/>
    </row>
    <row r="47597" spans="1:4" ht="15.75" customHeight="1">
      <c r="A47597" s="8"/>
      <c r="B47597" s="12"/>
      <c r="C47597" s="8"/>
      <c r="D47597" s="8"/>
    </row>
    <row r="47598" spans="1:4" ht="15.75" customHeight="1">
      <c r="A47598" s="8"/>
      <c r="B47598" s="12"/>
      <c r="C47598" s="8"/>
      <c r="D47598" s="8"/>
    </row>
    <row r="47599" spans="1:4" ht="15.75" customHeight="1">
      <c r="A47599" s="8"/>
      <c r="B47599" s="12"/>
      <c r="C47599" s="8"/>
      <c r="D47599" s="8"/>
    </row>
    <row r="47600" spans="1:4" ht="15.75" customHeight="1">
      <c r="A47600" s="8"/>
      <c r="B47600" s="12"/>
      <c r="C47600" s="8"/>
      <c r="D47600" s="8"/>
    </row>
    <row r="47601" spans="1:4" ht="15.75" customHeight="1">
      <c r="A47601" s="8"/>
      <c r="B47601" s="12"/>
      <c r="C47601" s="8"/>
      <c r="D47601" s="8"/>
    </row>
    <row r="47602" spans="1:4" ht="15.75" customHeight="1">
      <c r="A47602" s="8"/>
      <c r="B47602" s="12"/>
      <c r="C47602" s="8"/>
      <c r="D47602" s="8"/>
    </row>
    <row r="47603" spans="1:4" ht="15.75" customHeight="1">
      <c r="A47603" s="8"/>
      <c r="B47603" s="12"/>
      <c r="C47603" s="8"/>
      <c r="D47603" s="8"/>
    </row>
    <row r="47604" spans="1:4" ht="15.75" customHeight="1">
      <c r="A47604" s="8"/>
      <c r="B47604" s="12"/>
      <c r="C47604" s="8"/>
      <c r="D47604" s="8"/>
    </row>
    <row r="47605" spans="1:4" ht="15.75" customHeight="1">
      <c r="A47605" s="8"/>
      <c r="B47605" s="12"/>
      <c r="C47605" s="8"/>
      <c r="D47605" s="8"/>
    </row>
    <row r="47606" spans="1:4" ht="15.75" customHeight="1">
      <c r="A47606" s="8"/>
      <c r="B47606" s="12"/>
      <c r="C47606" s="8"/>
      <c r="D47606" s="8"/>
    </row>
    <row r="47607" spans="1:4" ht="15.75" customHeight="1">
      <c r="A47607" s="8"/>
      <c r="B47607" s="12"/>
      <c r="C47607" s="8"/>
      <c r="D47607" s="8"/>
    </row>
    <row r="47608" spans="1:4" ht="15.75" customHeight="1">
      <c r="A47608" s="8"/>
      <c r="B47608" s="12"/>
      <c r="C47608" s="8"/>
      <c r="D47608" s="8"/>
    </row>
    <row r="47609" spans="1:4" ht="15.75" customHeight="1">
      <c r="A47609" s="8"/>
      <c r="B47609" s="12"/>
      <c r="C47609" s="8"/>
      <c r="D47609" s="8"/>
    </row>
    <row r="47610" spans="1:4" ht="15.75" customHeight="1">
      <c r="A47610" s="8"/>
      <c r="B47610" s="12"/>
      <c r="C47610" s="8"/>
      <c r="D47610" s="8"/>
    </row>
    <row r="47611" spans="1:4" ht="15.75" customHeight="1">
      <c r="A47611" s="8"/>
      <c r="B47611" s="12"/>
      <c r="C47611" s="8"/>
      <c r="D47611" s="8"/>
    </row>
    <row r="47612" spans="1:4" ht="15.75" customHeight="1">
      <c r="A47612" s="8"/>
      <c r="B47612" s="12"/>
      <c r="C47612" s="8"/>
      <c r="D47612" s="8"/>
    </row>
    <row r="47613" spans="1:4" ht="15.75" customHeight="1">
      <c r="A47613" s="8"/>
      <c r="B47613" s="12"/>
      <c r="C47613" s="8"/>
      <c r="D47613" s="8"/>
    </row>
    <row r="47614" spans="1:4" ht="15.75" customHeight="1">
      <c r="A47614" s="8"/>
      <c r="B47614" s="12"/>
      <c r="C47614" s="8"/>
      <c r="D47614" s="8"/>
    </row>
    <row r="47615" spans="1:4" ht="15.75" customHeight="1">
      <c r="A47615" s="8"/>
      <c r="B47615" s="12"/>
      <c r="C47615" s="8"/>
      <c r="D47615" s="8"/>
    </row>
    <row r="47616" spans="1:4" ht="15.75" customHeight="1">
      <c r="A47616" s="8"/>
      <c r="B47616" s="12"/>
      <c r="C47616" s="8"/>
      <c r="D47616" s="8"/>
    </row>
    <row r="47617" spans="1:4" ht="15.75" customHeight="1">
      <c r="A47617" s="8"/>
      <c r="B47617" s="12"/>
      <c r="C47617" s="8"/>
      <c r="D47617" s="8"/>
    </row>
    <row r="47618" spans="1:4" ht="15.75" customHeight="1">
      <c r="A47618" s="8"/>
      <c r="B47618" s="12"/>
      <c r="C47618" s="8"/>
      <c r="D47618" s="8"/>
    </row>
    <row r="47619" spans="1:4" ht="15.75" customHeight="1">
      <c r="A47619" s="8"/>
      <c r="B47619" s="12"/>
      <c r="C47619" s="8"/>
      <c r="D47619" s="8"/>
    </row>
    <row r="47620" spans="1:4" ht="15.75" customHeight="1">
      <c r="A47620" s="8"/>
      <c r="B47620" s="12"/>
      <c r="C47620" s="8"/>
      <c r="D47620" s="8"/>
    </row>
    <row r="47621" spans="1:4" ht="15.75" customHeight="1">
      <c r="A47621" s="8"/>
      <c r="B47621" s="12"/>
      <c r="C47621" s="8"/>
      <c r="D47621" s="8"/>
    </row>
    <row r="47622" spans="1:4" ht="15.75" customHeight="1">
      <c r="A47622" s="8"/>
      <c r="B47622" s="12"/>
      <c r="C47622" s="8"/>
      <c r="D47622" s="8"/>
    </row>
    <row r="47623" spans="1:4" ht="15.75" customHeight="1">
      <c r="A47623" s="8"/>
      <c r="B47623" s="12"/>
      <c r="C47623" s="8"/>
      <c r="D47623" s="8"/>
    </row>
    <row r="47624" spans="1:4" ht="15.75" customHeight="1">
      <c r="A47624" s="8"/>
      <c r="B47624" s="12"/>
      <c r="C47624" s="8"/>
      <c r="D47624" s="8"/>
    </row>
    <row r="47625" spans="1:4" ht="15.75" customHeight="1">
      <c r="A47625" s="8"/>
      <c r="B47625" s="12"/>
      <c r="C47625" s="8"/>
      <c r="D47625" s="8"/>
    </row>
    <row r="47626" spans="1:4" ht="15.75" customHeight="1">
      <c r="A47626" s="8"/>
      <c r="B47626" s="12"/>
      <c r="C47626" s="8"/>
      <c r="D47626" s="8"/>
    </row>
    <row r="47627" spans="1:4" ht="15.75" customHeight="1">
      <c r="A47627" s="8"/>
      <c r="B47627" s="12"/>
      <c r="C47627" s="8"/>
      <c r="D47627" s="8"/>
    </row>
    <row r="47628" spans="1:4" ht="15.75" customHeight="1">
      <c r="A47628" s="8"/>
      <c r="B47628" s="12"/>
      <c r="C47628" s="8"/>
      <c r="D47628" s="8"/>
    </row>
    <row r="47629" spans="1:4" ht="15.75" customHeight="1">
      <c r="A47629" s="8"/>
      <c r="B47629" s="12"/>
      <c r="C47629" s="8"/>
      <c r="D47629" s="8"/>
    </row>
    <row r="47630" spans="1:4" ht="15.75" customHeight="1">
      <c r="A47630" s="8"/>
      <c r="B47630" s="12"/>
      <c r="C47630" s="8"/>
      <c r="D47630" s="8"/>
    </row>
    <row r="47631" spans="1:4" ht="15.75" customHeight="1">
      <c r="A47631" s="8"/>
      <c r="B47631" s="12"/>
      <c r="C47631" s="8"/>
      <c r="D47631" s="8"/>
    </row>
    <row r="47632" spans="1:4" ht="15.75" customHeight="1">
      <c r="A47632" s="8"/>
      <c r="B47632" s="12"/>
      <c r="C47632" s="8"/>
      <c r="D47632" s="8"/>
    </row>
    <row r="47633" spans="1:4" ht="15.75" customHeight="1">
      <c r="A47633" s="8"/>
      <c r="B47633" s="12"/>
      <c r="C47633" s="8"/>
      <c r="D47633" s="8"/>
    </row>
    <row r="47634" spans="1:4" ht="15.75" customHeight="1">
      <c r="A47634" s="8"/>
      <c r="B47634" s="12"/>
      <c r="C47634" s="8"/>
      <c r="D47634" s="8"/>
    </row>
    <row r="47635" spans="1:4" ht="15.75" customHeight="1">
      <c r="A47635" s="8"/>
      <c r="B47635" s="12"/>
      <c r="C47635" s="8"/>
      <c r="D47635" s="8"/>
    </row>
    <row r="47636" spans="1:4" ht="15.75" customHeight="1">
      <c r="A47636" s="8"/>
      <c r="B47636" s="12"/>
      <c r="C47636" s="8"/>
      <c r="D47636" s="8"/>
    </row>
    <row r="47637" spans="1:4" ht="15.75" customHeight="1">
      <c r="A47637" s="8"/>
      <c r="B47637" s="12"/>
      <c r="C47637" s="8"/>
      <c r="D47637" s="8"/>
    </row>
    <row r="47638" spans="1:4" ht="15.75" customHeight="1">
      <c r="A47638" s="8"/>
      <c r="B47638" s="12"/>
      <c r="C47638" s="8"/>
      <c r="D47638" s="8"/>
    </row>
    <row r="47639" spans="1:4" ht="15.75" customHeight="1">
      <c r="A47639" s="8"/>
      <c r="B47639" s="12"/>
      <c r="C47639" s="8"/>
      <c r="D47639" s="8"/>
    </row>
    <row r="47640" spans="1:4" ht="15.75" customHeight="1">
      <c r="A47640" s="8"/>
      <c r="B47640" s="12"/>
      <c r="C47640" s="8"/>
      <c r="D47640" s="8"/>
    </row>
    <row r="47641" spans="1:4" ht="15.75" customHeight="1">
      <c r="A47641" s="8"/>
      <c r="B47641" s="12"/>
      <c r="C47641" s="8"/>
      <c r="D47641" s="8"/>
    </row>
    <row r="47642" spans="1:4" ht="15.75" customHeight="1">
      <c r="A47642" s="8"/>
      <c r="B47642" s="12"/>
      <c r="C47642" s="8"/>
      <c r="D47642" s="8"/>
    </row>
    <row r="47643" spans="1:4" ht="15.75" customHeight="1">
      <c r="A47643" s="8"/>
      <c r="B47643" s="12"/>
      <c r="C47643" s="8"/>
      <c r="D47643" s="8"/>
    </row>
    <row r="47644" spans="1:4" ht="15.75" customHeight="1">
      <c r="A47644" s="8"/>
      <c r="B47644" s="12"/>
      <c r="C47644" s="8"/>
      <c r="D47644" s="8"/>
    </row>
    <row r="47645" spans="1:4" ht="15.75" customHeight="1">
      <c r="A47645" s="8"/>
      <c r="B47645" s="12"/>
      <c r="C47645" s="8"/>
      <c r="D47645" s="8"/>
    </row>
    <row r="47646" spans="1:4" ht="15.75" customHeight="1">
      <c r="A47646" s="8"/>
      <c r="B47646" s="12"/>
      <c r="C47646" s="8"/>
      <c r="D47646" s="8"/>
    </row>
    <row r="47647" spans="1:4" ht="15.75" customHeight="1">
      <c r="A47647" s="8"/>
      <c r="B47647" s="12"/>
      <c r="C47647" s="8"/>
      <c r="D47647" s="8"/>
    </row>
    <row r="47648" spans="1:4" ht="15.75" customHeight="1">
      <c r="A47648" s="8"/>
      <c r="B47648" s="12"/>
      <c r="C47648" s="8"/>
      <c r="D47648" s="8"/>
    </row>
    <row r="47649" spans="1:4" ht="15.75" customHeight="1">
      <c r="A47649" s="8"/>
      <c r="B47649" s="12"/>
      <c r="C47649" s="8"/>
      <c r="D47649" s="8"/>
    </row>
    <row r="47650" spans="1:4" ht="15.75" customHeight="1">
      <c r="A47650" s="8"/>
      <c r="B47650" s="12"/>
      <c r="C47650" s="8"/>
      <c r="D47650" s="8"/>
    </row>
    <row r="47651" spans="1:4" ht="15.75" customHeight="1">
      <c r="A47651" s="8"/>
      <c r="B47651" s="12"/>
      <c r="C47651" s="8"/>
      <c r="D47651" s="8"/>
    </row>
    <row r="47652" spans="1:4" ht="15.75" customHeight="1">
      <c r="A47652" s="8"/>
      <c r="B47652" s="12"/>
      <c r="C47652" s="8"/>
      <c r="D47652" s="8"/>
    </row>
    <row r="47653" spans="1:4" ht="15.75" customHeight="1">
      <c r="A47653" s="8"/>
      <c r="B47653" s="12"/>
      <c r="C47653" s="8"/>
      <c r="D47653" s="8"/>
    </row>
    <row r="47654" spans="1:4" ht="15.75" customHeight="1">
      <c r="A47654" s="8"/>
      <c r="B47654" s="12"/>
      <c r="C47654" s="8"/>
      <c r="D47654" s="8"/>
    </row>
    <row r="47655" spans="1:4" ht="15.75" customHeight="1">
      <c r="A47655" s="8"/>
      <c r="B47655" s="12"/>
      <c r="C47655" s="8"/>
      <c r="D47655" s="8"/>
    </row>
    <row r="47656" spans="1:4" ht="15.75" customHeight="1">
      <c r="A47656" s="8"/>
      <c r="B47656" s="12"/>
      <c r="C47656" s="8"/>
      <c r="D47656" s="8"/>
    </row>
    <row r="47657" spans="1:4" ht="15.75" customHeight="1">
      <c r="A47657" s="8"/>
      <c r="B47657" s="12"/>
      <c r="C47657" s="8"/>
      <c r="D47657" s="8"/>
    </row>
    <row r="47658" spans="1:4" ht="15.75" customHeight="1">
      <c r="A47658" s="8"/>
      <c r="B47658" s="12"/>
      <c r="C47658" s="8"/>
      <c r="D47658" s="8"/>
    </row>
    <row r="47659" spans="1:4" ht="15.75" customHeight="1">
      <c r="A47659" s="8"/>
      <c r="B47659" s="12"/>
      <c r="C47659" s="8"/>
      <c r="D47659" s="8"/>
    </row>
    <row r="47660" spans="1:4" ht="15.75" customHeight="1">
      <c r="A47660" s="8"/>
      <c r="B47660" s="12"/>
      <c r="C47660" s="8"/>
      <c r="D47660" s="8"/>
    </row>
    <row r="47661" spans="1:4" ht="15.75" customHeight="1">
      <c r="A47661" s="8"/>
      <c r="B47661" s="12"/>
      <c r="C47661" s="8"/>
      <c r="D47661" s="8"/>
    </row>
    <row r="47662" spans="1:4" ht="15.75" customHeight="1">
      <c r="A47662" s="8"/>
      <c r="B47662" s="12"/>
      <c r="C47662" s="8"/>
      <c r="D47662" s="8"/>
    </row>
    <row r="47663" spans="1:4" ht="15.75" customHeight="1">
      <c r="A47663" s="8"/>
      <c r="B47663" s="12"/>
      <c r="C47663" s="8"/>
      <c r="D47663" s="8"/>
    </row>
    <row r="47664" spans="1:4" ht="15.75" customHeight="1">
      <c r="A47664" s="8"/>
      <c r="B47664" s="12"/>
      <c r="C47664" s="8"/>
      <c r="D47664" s="8"/>
    </row>
    <row r="47665" spans="1:4" ht="15.75" customHeight="1">
      <c r="A47665" s="8"/>
      <c r="B47665" s="12"/>
      <c r="C47665" s="8"/>
      <c r="D47665" s="8"/>
    </row>
    <row r="47666" spans="1:4" ht="15.75" customHeight="1">
      <c r="A47666" s="8"/>
      <c r="B47666" s="12"/>
      <c r="C47666" s="8"/>
      <c r="D47666" s="8"/>
    </row>
    <row r="47667" spans="1:4" ht="15.75" customHeight="1">
      <c r="A47667" s="8"/>
      <c r="B47667" s="12"/>
      <c r="C47667" s="8"/>
      <c r="D47667" s="8"/>
    </row>
    <row r="47668" spans="1:4" ht="15.75" customHeight="1">
      <c r="A47668" s="8"/>
      <c r="B47668" s="12"/>
      <c r="C47668" s="8"/>
      <c r="D47668" s="8"/>
    </row>
    <row r="47669" spans="1:4" ht="15.75" customHeight="1">
      <c r="A47669" s="8"/>
      <c r="B47669" s="12"/>
      <c r="C47669" s="8"/>
      <c r="D47669" s="8"/>
    </row>
    <row r="47670" spans="1:4" ht="15.75" customHeight="1">
      <c r="A47670" s="8"/>
      <c r="B47670" s="12"/>
      <c r="C47670" s="8"/>
      <c r="D47670" s="8"/>
    </row>
    <row r="47671" spans="1:4" ht="15.75" customHeight="1">
      <c r="A47671" s="8"/>
      <c r="B47671" s="12"/>
      <c r="C47671" s="8"/>
      <c r="D47671" s="8"/>
    </row>
    <row r="47672" spans="1:4" ht="15.75" customHeight="1">
      <c r="A47672" s="8"/>
      <c r="B47672" s="12"/>
      <c r="C47672" s="8"/>
      <c r="D47672" s="8"/>
    </row>
    <row r="47673" spans="1:4" ht="15.75" customHeight="1">
      <c r="A47673" s="8"/>
      <c r="B47673" s="12"/>
      <c r="C47673" s="8"/>
      <c r="D47673" s="8"/>
    </row>
    <row r="47674" spans="1:4" ht="15.75" customHeight="1">
      <c r="A47674" s="8"/>
      <c r="B47674" s="12"/>
      <c r="C47674" s="8"/>
      <c r="D47674" s="8"/>
    </row>
    <row r="47675" spans="1:4" ht="15.75" customHeight="1">
      <c r="A47675" s="8"/>
      <c r="B47675" s="12"/>
      <c r="C47675" s="8"/>
      <c r="D47675" s="8"/>
    </row>
    <row r="47676" spans="1:4" ht="15.75" customHeight="1">
      <c r="A47676" s="8"/>
      <c r="B47676" s="12"/>
      <c r="C47676" s="8"/>
      <c r="D47676" s="8"/>
    </row>
    <row r="47677" spans="1:4" ht="15.75" customHeight="1">
      <c r="A47677" s="8"/>
      <c r="B47677" s="12"/>
      <c r="C47677" s="8"/>
      <c r="D47677" s="8"/>
    </row>
    <row r="47678" spans="1:4" ht="15.75" customHeight="1">
      <c r="A47678" s="8"/>
      <c r="B47678" s="12"/>
      <c r="C47678" s="8"/>
      <c r="D47678" s="8"/>
    </row>
    <row r="47679" spans="1:4" ht="15.75" customHeight="1">
      <c r="A47679" s="8"/>
      <c r="B47679" s="12"/>
      <c r="C47679" s="8"/>
      <c r="D47679" s="8"/>
    </row>
    <row r="47680" spans="1:4" ht="15.75" customHeight="1">
      <c r="A47680" s="8"/>
      <c r="B47680" s="12"/>
      <c r="C47680" s="8"/>
      <c r="D47680" s="8"/>
    </row>
    <row r="47681" spans="1:4" ht="15.75" customHeight="1">
      <c r="A47681" s="8"/>
      <c r="B47681" s="12"/>
      <c r="C47681" s="8"/>
      <c r="D47681" s="8"/>
    </row>
    <row r="47682" spans="1:4" ht="15.75" customHeight="1">
      <c r="A47682" s="8"/>
      <c r="B47682" s="12"/>
      <c r="C47682" s="8"/>
      <c r="D47682" s="8"/>
    </row>
    <row r="47683" spans="1:4" ht="15.75" customHeight="1">
      <c r="A47683" s="8"/>
      <c r="B47683" s="12"/>
      <c r="C47683" s="8"/>
      <c r="D47683" s="8"/>
    </row>
    <row r="47684" spans="1:4" ht="15.75" customHeight="1">
      <c r="A47684" s="8"/>
      <c r="B47684" s="12"/>
      <c r="C47684" s="8"/>
      <c r="D47684" s="8"/>
    </row>
    <row r="47685" spans="1:4" ht="15.75" customHeight="1">
      <c r="A47685" s="8"/>
      <c r="B47685" s="12"/>
      <c r="C47685" s="8"/>
      <c r="D47685" s="8"/>
    </row>
    <row r="47686" spans="1:4" ht="15.75" customHeight="1">
      <c r="A47686" s="8"/>
      <c r="B47686" s="12"/>
      <c r="C47686" s="8"/>
      <c r="D47686" s="8"/>
    </row>
    <row r="47687" spans="1:4" ht="15.75" customHeight="1">
      <c r="A47687" s="8"/>
      <c r="B47687" s="12"/>
      <c r="C47687" s="8"/>
      <c r="D47687" s="8"/>
    </row>
    <row r="47688" spans="1:4" ht="15.75" customHeight="1">
      <c r="A47688" s="8"/>
      <c r="B47688" s="12"/>
      <c r="C47688" s="8"/>
      <c r="D47688" s="8"/>
    </row>
    <row r="47689" spans="1:4" ht="15.75" customHeight="1">
      <c r="A47689" s="8"/>
      <c r="B47689" s="12"/>
      <c r="C47689" s="8"/>
      <c r="D47689" s="8"/>
    </row>
    <row r="47690" spans="1:4" ht="15.75" customHeight="1">
      <c r="A47690" s="8"/>
      <c r="B47690" s="12"/>
      <c r="C47690" s="8"/>
      <c r="D47690" s="8"/>
    </row>
    <row r="47691" spans="1:4" ht="15.75" customHeight="1">
      <c r="A47691" s="8"/>
      <c r="B47691" s="12"/>
      <c r="C47691" s="8"/>
      <c r="D47691" s="8"/>
    </row>
    <row r="47692" spans="1:4" ht="15.75" customHeight="1">
      <c r="A47692" s="8"/>
      <c r="B47692" s="12"/>
      <c r="C47692" s="8"/>
      <c r="D47692" s="8"/>
    </row>
    <row r="47693" spans="1:4" ht="15.75" customHeight="1">
      <c r="A47693" s="8"/>
      <c r="B47693" s="12"/>
      <c r="C47693" s="8"/>
      <c r="D47693" s="8"/>
    </row>
    <row r="47694" spans="1:4" ht="15.75" customHeight="1">
      <c r="A47694" s="8"/>
      <c r="B47694" s="12"/>
      <c r="C47694" s="8"/>
      <c r="D47694" s="8"/>
    </row>
    <row r="47695" spans="1:4" ht="15.75" customHeight="1">
      <c r="A47695" s="8"/>
      <c r="B47695" s="12"/>
      <c r="C47695" s="8"/>
      <c r="D47695" s="8"/>
    </row>
    <row r="47696" spans="1:4" ht="15.75" customHeight="1">
      <c r="A47696" s="8"/>
      <c r="B47696" s="12"/>
      <c r="C47696" s="8"/>
      <c r="D47696" s="8"/>
    </row>
    <row r="47697" spans="1:4" ht="15.75" customHeight="1">
      <c r="A47697" s="8"/>
      <c r="B47697" s="12"/>
      <c r="C47697" s="8"/>
      <c r="D47697" s="8"/>
    </row>
    <row r="47698" spans="1:4" ht="15.75" customHeight="1">
      <c r="A47698" s="8"/>
      <c r="B47698" s="12"/>
      <c r="C47698" s="8"/>
      <c r="D47698" s="8"/>
    </row>
    <row r="47699" spans="1:4" ht="15.75" customHeight="1">
      <c r="A47699" s="8"/>
      <c r="B47699" s="12"/>
      <c r="C47699" s="8"/>
      <c r="D47699" s="8"/>
    </row>
    <row r="47700" spans="1:4" ht="15.75" customHeight="1">
      <c r="A47700" s="8"/>
      <c r="B47700" s="12"/>
      <c r="C47700" s="8"/>
      <c r="D47700" s="8"/>
    </row>
    <row r="47701" spans="1:4" ht="15.75" customHeight="1">
      <c r="A47701" s="8"/>
      <c r="B47701" s="12"/>
      <c r="C47701" s="8"/>
      <c r="D47701" s="8"/>
    </row>
    <row r="47702" spans="1:4" ht="15.75" customHeight="1">
      <c r="A47702" s="8"/>
      <c r="B47702" s="12"/>
      <c r="C47702" s="8"/>
      <c r="D47702" s="8"/>
    </row>
    <row r="47703" spans="1:4" ht="15.75" customHeight="1">
      <c r="A47703" s="8"/>
      <c r="B47703" s="12"/>
      <c r="C47703" s="8"/>
      <c r="D47703" s="8"/>
    </row>
    <row r="47704" spans="1:4" ht="15.75" customHeight="1">
      <c r="A47704" s="8"/>
      <c r="B47704" s="12"/>
      <c r="C47704" s="8"/>
      <c r="D47704" s="8"/>
    </row>
    <row r="47705" spans="1:4" ht="15.75" customHeight="1">
      <c r="A47705" s="8"/>
      <c r="B47705" s="12"/>
      <c r="C47705" s="8"/>
      <c r="D47705" s="8"/>
    </row>
    <row r="47706" spans="1:4" ht="15.75" customHeight="1">
      <c r="A47706" s="8"/>
      <c r="B47706" s="12"/>
      <c r="C47706" s="8"/>
      <c r="D47706" s="8"/>
    </row>
    <row r="47707" spans="1:4" ht="15.75" customHeight="1">
      <c r="A47707" s="8"/>
      <c r="B47707" s="12"/>
      <c r="C47707" s="8"/>
      <c r="D47707" s="8"/>
    </row>
    <row r="47708" spans="1:4" ht="15.75" customHeight="1">
      <c r="A47708" s="8"/>
      <c r="B47708" s="12"/>
      <c r="C47708" s="8"/>
      <c r="D47708" s="8"/>
    </row>
    <row r="47709" spans="1:4" ht="15.75" customHeight="1">
      <c r="A47709" s="8"/>
      <c r="B47709" s="12"/>
      <c r="C47709" s="8"/>
      <c r="D47709" s="8"/>
    </row>
    <row r="47710" spans="1:4" ht="15.75" customHeight="1">
      <c r="A47710" s="8"/>
      <c r="B47710" s="12"/>
      <c r="C47710" s="8"/>
      <c r="D47710" s="8"/>
    </row>
    <row r="47711" spans="1:4" ht="15.75" customHeight="1">
      <c r="A47711" s="8"/>
      <c r="B47711" s="12"/>
      <c r="C47711" s="8"/>
      <c r="D47711" s="8"/>
    </row>
    <row r="47712" spans="1:4" ht="15.75" customHeight="1">
      <c r="A47712" s="8"/>
      <c r="B47712" s="12"/>
      <c r="C47712" s="8"/>
      <c r="D47712" s="8"/>
    </row>
    <row r="47713" spans="1:4" ht="15.75" customHeight="1">
      <c r="A47713" s="8"/>
      <c r="B47713" s="12"/>
      <c r="C47713" s="8"/>
      <c r="D47713" s="8"/>
    </row>
    <row r="47714" spans="1:4" ht="15.75" customHeight="1">
      <c r="A47714" s="8"/>
      <c r="B47714" s="12"/>
      <c r="C47714" s="8"/>
      <c r="D47714" s="8"/>
    </row>
    <row r="47715" spans="1:4" ht="15.75" customHeight="1">
      <c r="A47715" s="8"/>
      <c r="B47715" s="12"/>
      <c r="C47715" s="8"/>
      <c r="D47715" s="8"/>
    </row>
    <row r="47716" spans="1:4" ht="15.75" customHeight="1">
      <c r="A47716" s="8"/>
      <c r="B47716" s="12"/>
      <c r="C47716" s="8"/>
      <c r="D47716" s="8"/>
    </row>
    <row r="47717" spans="1:4" ht="15.75" customHeight="1">
      <c r="A47717" s="8"/>
      <c r="B47717" s="12"/>
      <c r="C47717" s="8"/>
      <c r="D47717" s="8"/>
    </row>
    <row r="47718" spans="1:4" ht="15.75" customHeight="1">
      <c r="A47718" s="8"/>
      <c r="B47718" s="12"/>
      <c r="C47718" s="8"/>
      <c r="D47718" s="8"/>
    </row>
    <row r="47719" spans="1:4" ht="15.75" customHeight="1">
      <c r="A47719" s="8"/>
      <c r="B47719" s="12"/>
      <c r="C47719" s="8"/>
      <c r="D47719" s="8"/>
    </row>
    <row r="47720" spans="1:4" ht="15.75" customHeight="1">
      <c r="A47720" s="8"/>
      <c r="B47720" s="12"/>
      <c r="C47720" s="8"/>
      <c r="D47720" s="8"/>
    </row>
    <row r="47721" spans="1:4" ht="15.75" customHeight="1">
      <c r="A47721" s="8"/>
      <c r="B47721" s="12"/>
      <c r="C47721" s="8"/>
      <c r="D47721" s="8"/>
    </row>
    <row r="47722" spans="1:4" ht="15.75" customHeight="1">
      <c r="A47722" s="8"/>
      <c r="B47722" s="12"/>
      <c r="C47722" s="8"/>
      <c r="D47722" s="8"/>
    </row>
    <row r="47723" spans="1:4" ht="15.75" customHeight="1">
      <c r="A47723" s="8"/>
      <c r="B47723" s="12"/>
      <c r="C47723" s="8"/>
      <c r="D47723" s="8"/>
    </row>
    <row r="47724" spans="1:4" ht="15.75" customHeight="1">
      <c r="A47724" s="8"/>
      <c r="B47724" s="12"/>
      <c r="C47724" s="8"/>
      <c r="D47724" s="8"/>
    </row>
    <row r="47725" spans="1:4" ht="15.75" customHeight="1">
      <c r="A47725" s="8"/>
      <c r="B47725" s="12"/>
      <c r="C47725" s="8"/>
      <c r="D47725" s="8"/>
    </row>
    <row r="47726" spans="1:4" ht="15.75" customHeight="1">
      <c r="A47726" s="8"/>
      <c r="B47726" s="12"/>
      <c r="C47726" s="8"/>
      <c r="D47726" s="8"/>
    </row>
    <row r="47727" spans="1:4" ht="15.75" customHeight="1">
      <c r="A47727" s="8"/>
      <c r="B47727" s="12"/>
      <c r="C47727" s="8"/>
      <c r="D47727" s="8"/>
    </row>
    <row r="47728" spans="1:4" ht="15.75" customHeight="1">
      <c r="A47728" s="8"/>
      <c r="B47728" s="12"/>
      <c r="C47728" s="8"/>
      <c r="D47728" s="8"/>
    </row>
    <row r="47729" spans="1:4" ht="15.75" customHeight="1">
      <c r="A47729" s="8"/>
      <c r="B47729" s="12"/>
      <c r="C47729" s="8"/>
      <c r="D47729" s="8"/>
    </row>
    <row r="47730" spans="1:4" ht="15.75" customHeight="1">
      <c r="A47730" s="8"/>
      <c r="B47730" s="12"/>
      <c r="C47730" s="8"/>
      <c r="D47730" s="8"/>
    </row>
    <row r="47731" spans="1:4" ht="15.75" customHeight="1">
      <c r="A47731" s="8"/>
      <c r="B47731" s="12"/>
      <c r="C47731" s="8"/>
      <c r="D47731" s="8"/>
    </row>
    <row r="47732" spans="1:4" ht="15.75" customHeight="1">
      <c r="A47732" s="8"/>
      <c r="B47732" s="12"/>
      <c r="C47732" s="8"/>
      <c r="D47732" s="8"/>
    </row>
    <row r="47733" spans="1:4" ht="15.75" customHeight="1">
      <c r="A47733" s="8"/>
      <c r="B47733" s="12"/>
      <c r="C47733" s="8"/>
      <c r="D47733" s="8"/>
    </row>
    <row r="47734" spans="1:4" ht="15.75" customHeight="1">
      <c r="A47734" s="8"/>
      <c r="B47734" s="12"/>
      <c r="C47734" s="8"/>
      <c r="D47734" s="8"/>
    </row>
    <row r="47735" spans="1:4" ht="15.75" customHeight="1">
      <c r="A47735" s="8"/>
      <c r="B47735" s="12"/>
      <c r="C47735" s="8"/>
      <c r="D47735" s="8"/>
    </row>
    <row r="47736" spans="1:4" ht="15.75" customHeight="1">
      <c r="A47736" s="8"/>
      <c r="B47736" s="12"/>
      <c r="C47736" s="8"/>
      <c r="D47736" s="8"/>
    </row>
    <row r="47737" spans="1:4" ht="15.75" customHeight="1">
      <c r="A47737" s="8"/>
      <c r="B47737" s="12"/>
      <c r="C47737" s="8"/>
      <c r="D47737" s="8"/>
    </row>
    <row r="47738" spans="1:4" ht="15.75" customHeight="1">
      <c r="A47738" s="8"/>
      <c r="B47738" s="12"/>
      <c r="C47738" s="8"/>
      <c r="D47738" s="8"/>
    </row>
    <row r="47739" spans="1:4" ht="15.75" customHeight="1">
      <c r="A47739" s="8"/>
      <c r="B47739" s="12"/>
      <c r="C47739" s="8"/>
      <c r="D47739" s="8"/>
    </row>
    <row r="47740" spans="1:4" ht="15.75" customHeight="1">
      <c r="A47740" s="8"/>
      <c r="B47740" s="12"/>
      <c r="C47740" s="8"/>
      <c r="D47740" s="8"/>
    </row>
    <row r="47741" spans="1:4" ht="15.75" customHeight="1">
      <c r="A47741" s="8"/>
      <c r="B47741" s="12"/>
      <c r="C47741" s="8"/>
      <c r="D47741" s="8"/>
    </row>
    <row r="47742" spans="1:4" ht="15.75" customHeight="1">
      <c r="A47742" s="8"/>
      <c r="B47742" s="12"/>
      <c r="C47742" s="8"/>
      <c r="D47742" s="8"/>
    </row>
    <row r="47743" spans="1:4" ht="15.75" customHeight="1">
      <c r="A47743" s="8"/>
      <c r="B47743" s="12"/>
      <c r="C47743" s="8"/>
      <c r="D47743" s="8"/>
    </row>
    <row r="47744" spans="1:4" ht="15.75" customHeight="1">
      <c r="A47744" s="8"/>
      <c r="B47744" s="12"/>
      <c r="C47744" s="8"/>
      <c r="D47744" s="8"/>
    </row>
    <row r="47745" spans="1:4" ht="15.75" customHeight="1">
      <c r="A47745" s="8"/>
      <c r="B47745" s="12"/>
      <c r="C47745" s="8"/>
      <c r="D47745" s="8"/>
    </row>
    <row r="47746" spans="1:4" ht="15.75" customHeight="1">
      <c r="A47746" s="8"/>
      <c r="B47746" s="12"/>
      <c r="C47746" s="8"/>
      <c r="D47746" s="8"/>
    </row>
    <row r="47747" spans="1:4" ht="15.75" customHeight="1">
      <c r="A47747" s="8"/>
      <c r="B47747" s="12"/>
      <c r="C47747" s="8"/>
      <c r="D47747" s="8"/>
    </row>
    <row r="47748" spans="1:4" ht="15.75" customHeight="1">
      <c r="A47748" s="8"/>
      <c r="B47748" s="12"/>
      <c r="C47748" s="8"/>
      <c r="D47748" s="8"/>
    </row>
    <row r="47749" spans="1:4" ht="15.75" customHeight="1">
      <c r="A47749" s="8"/>
      <c r="B47749" s="12"/>
      <c r="C47749" s="8"/>
      <c r="D47749" s="8"/>
    </row>
    <row r="47750" spans="1:4" ht="15.75" customHeight="1">
      <c r="A47750" s="8"/>
      <c r="B47750" s="12"/>
      <c r="C47750" s="8"/>
      <c r="D47750" s="8"/>
    </row>
    <row r="47751" spans="1:4" ht="15.75" customHeight="1">
      <c r="A47751" s="8"/>
      <c r="B47751" s="12"/>
      <c r="C47751" s="8"/>
      <c r="D47751" s="8"/>
    </row>
    <row r="47752" spans="1:4" ht="15.75" customHeight="1">
      <c r="A47752" s="8"/>
      <c r="B47752" s="12"/>
      <c r="C47752" s="8"/>
      <c r="D47752" s="8"/>
    </row>
    <row r="47753" spans="1:4" ht="15.75" customHeight="1">
      <c r="A47753" s="8"/>
      <c r="B47753" s="12"/>
      <c r="C47753" s="8"/>
      <c r="D47753" s="8"/>
    </row>
    <row r="47754" spans="1:4" ht="15.75" customHeight="1">
      <c r="A47754" s="8"/>
      <c r="B47754" s="12"/>
      <c r="C47754" s="8"/>
      <c r="D47754" s="8"/>
    </row>
    <row r="47755" spans="1:4" ht="15.75" customHeight="1">
      <c r="A47755" s="8"/>
      <c r="B47755" s="12"/>
      <c r="C47755" s="8"/>
      <c r="D47755" s="8"/>
    </row>
    <row r="47756" spans="1:4" ht="15.75" customHeight="1">
      <c r="A47756" s="8"/>
      <c r="B47756" s="12"/>
      <c r="C47756" s="8"/>
      <c r="D47756" s="8"/>
    </row>
    <row r="47757" spans="1:4" ht="15.75" customHeight="1">
      <c r="A47757" s="8"/>
      <c r="B47757" s="12"/>
      <c r="C47757" s="8"/>
      <c r="D47757" s="8"/>
    </row>
    <row r="47758" spans="1:4" ht="15.75" customHeight="1">
      <c r="A47758" s="8"/>
      <c r="B47758" s="12"/>
      <c r="C47758" s="8"/>
      <c r="D47758" s="8"/>
    </row>
    <row r="47759" spans="1:4" ht="15.75" customHeight="1">
      <c r="A47759" s="8"/>
      <c r="B47759" s="12"/>
      <c r="C47759" s="8"/>
      <c r="D47759" s="8"/>
    </row>
    <row r="47760" spans="1:4" ht="15.75" customHeight="1">
      <c r="A47760" s="8"/>
      <c r="B47760" s="12"/>
      <c r="C47760" s="8"/>
      <c r="D47760" s="8"/>
    </row>
    <row r="47761" spans="1:4" ht="15.75" customHeight="1">
      <c r="A47761" s="8"/>
      <c r="B47761" s="12"/>
      <c r="C47761" s="8"/>
      <c r="D47761" s="8"/>
    </row>
    <row r="47762" spans="1:4" ht="15.75" customHeight="1">
      <c r="A47762" s="8"/>
      <c r="B47762" s="12"/>
      <c r="C47762" s="8"/>
      <c r="D47762" s="8"/>
    </row>
    <row r="47763" spans="1:4" ht="15.75" customHeight="1">
      <c r="A47763" s="8"/>
      <c r="B47763" s="12"/>
      <c r="C47763" s="8"/>
      <c r="D47763" s="8"/>
    </row>
    <row r="47764" spans="1:4" ht="15.75" customHeight="1">
      <c r="A47764" s="8"/>
      <c r="B47764" s="12"/>
      <c r="C47764" s="8"/>
      <c r="D47764" s="8"/>
    </row>
    <row r="47765" spans="1:4" ht="15.75" customHeight="1">
      <c r="A47765" s="8"/>
      <c r="B47765" s="12"/>
      <c r="C47765" s="8"/>
      <c r="D47765" s="8"/>
    </row>
    <row r="47766" spans="1:4" ht="15.75" customHeight="1">
      <c r="A47766" s="8"/>
      <c r="B47766" s="12"/>
      <c r="C47766" s="8"/>
      <c r="D47766" s="8"/>
    </row>
    <row r="47767" spans="1:4" ht="15.75" customHeight="1">
      <c r="A47767" s="8"/>
      <c r="B47767" s="12"/>
      <c r="C47767" s="8"/>
      <c r="D47767" s="8"/>
    </row>
    <row r="47768" spans="1:4" ht="15.75" customHeight="1">
      <c r="A47768" s="8"/>
      <c r="B47768" s="12"/>
      <c r="C47768" s="8"/>
      <c r="D47768" s="8"/>
    </row>
    <row r="47769" spans="1:4" ht="15.75" customHeight="1">
      <c r="A47769" s="8"/>
      <c r="B47769" s="12"/>
      <c r="C47769" s="8"/>
      <c r="D47769" s="8"/>
    </row>
    <row r="47770" spans="1:4" ht="15.75" customHeight="1">
      <c r="A47770" s="8"/>
      <c r="B47770" s="12"/>
      <c r="C47770" s="8"/>
      <c r="D47770" s="8"/>
    </row>
    <row r="47771" spans="1:4" ht="15.75" customHeight="1">
      <c r="A47771" s="8"/>
      <c r="B47771" s="12"/>
      <c r="C47771" s="8"/>
      <c r="D47771" s="8"/>
    </row>
    <row r="47772" spans="1:4" ht="15.75" customHeight="1">
      <c r="A47772" s="8"/>
      <c r="B47772" s="12"/>
      <c r="C47772" s="8"/>
      <c r="D47772" s="8"/>
    </row>
    <row r="47773" spans="1:4" ht="15.75" customHeight="1">
      <c r="A47773" s="8"/>
      <c r="B47773" s="12"/>
      <c r="C47773" s="8"/>
      <c r="D47773" s="8"/>
    </row>
    <row r="47774" spans="1:4" ht="15.75" customHeight="1">
      <c r="A47774" s="8"/>
      <c r="B47774" s="12"/>
      <c r="C47774" s="8"/>
      <c r="D47774" s="8"/>
    </row>
    <row r="47775" spans="1:4" ht="15.75" customHeight="1">
      <c r="A47775" s="8"/>
      <c r="B47775" s="12"/>
      <c r="C47775" s="8"/>
      <c r="D47775" s="8"/>
    </row>
    <row r="47776" spans="1:4" ht="15.75" customHeight="1">
      <c r="A47776" s="8"/>
      <c r="B47776" s="12"/>
      <c r="C47776" s="8"/>
      <c r="D47776" s="8"/>
    </row>
    <row r="47777" spans="1:4" ht="15.75" customHeight="1">
      <c r="A47777" s="8"/>
      <c r="B47777" s="12"/>
      <c r="C47777" s="8"/>
      <c r="D47777" s="8"/>
    </row>
    <row r="47778" spans="1:4" ht="15.75" customHeight="1">
      <c r="A47778" s="8"/>
      <c r="B47778" s="12"/>
      <c r="C47778" s="8"/>
      <c r="D47778" s="8"/>
    </row>
    <row r="47779" spans="1:4" ht="15.75" customHeight="1">
      <c r="A47779" s="8"/>
      <c r="B47779" s="12"/>
      <c r="C47779" s="8"/>
      <c r="D47779" s="8"/>
    </row>
    <row r="47780" spans="1:4" ht="15.75" customHeight="1">
      <c r="A47780" s="8"/>
      <c r="B47780" s="12"/>
      <c r="C47780" s="8"/>
      <c r="D47780" s="8"/>
    </row>
    <row r="47781" spans="1:4" ht="15.75" customHeight="1">
      <c r="A47781" s="8"/>
      <c r="B47781" s="12"/>
      <c r="C47781" s="8"/>
      <c r="D47781" s="8"/>
    </row>
    <row r="47782" spans="1:4" ht="15.75" customHeight="1">
      <c r="A47782" s="8"/>
      <c r="B47782" s="12"/>
      <c r="C47782" s="8"/>
      <c r="D47782" s="8"/>
    </row>
    <row r="47783" spans="1:4" ht="15.75" customHeight="1">
      <c r="A47783" s="8"/>
      <c r="B47783" s="12"/>
      <c r="C47783" s="8"/>
      <c r="D47783" s="8"/>
    </row>
    <row r="47784" spans="1:4" ht="15.75" customHeight="1">
      <c r="A47784" s="8"/>
      <c r="B47784" s="12"/>
      <c r="C47784" s="8"/>
      <c r="D47784" s="8"/>
    </row>
    <row r="47785" spans="1:4" ht="15.75" customHeight="1">
      <c r="A47785" s="8"/>
      <c r="B47785" s="12"/>
      <c r="C47785" s="8"/>
      <c r="D47785" s="8"/>
    </row>
    <row r="47786" spans="1:4" ht="15.75" customHeight="1">
      <c r="A47786" s="8"/>
      <c r="B47786" s="12"/>
      <c r="C47786" s="8"/>
      <c r="D47786" s="8"/>
    </row>
    <row r="47787" spans="1:4" ht="15.75" customHeight="1">
      <c r="A47787" s="8"/>
      <c r="B47787" s="12"/>
      <c r="C47787" s="8"/>
      <c r="D47787" s="8"/>
    </row>
    <row r="47788" spans="1:4" ht="15.75" customHeight="1">
      <c r="A47788" s="8"/>
      <c r="B47788" s="12"/>
      <c r="C47788" s="8"/>
      <c r="D47788" s="8"/>
    </row>
    <row r="47789" spans="1:4" ht="15.75" customHeight="1">
      <c r="A47789" s="8"/>
      <c r="B47789" s="12"/>
      <c r="C47789" s="8"/>
      <c r="D47789" s="8"/>
    </row>
    <row r="47790" spans="1:4" ht="15.75" customHeight="1">
      <c r="A47790" s="8"/>
      <c r="B47790" s="12"/>
      <c r="C47790" s="8"/>
      <c r="D47790" s="8"/>
    </row>
    <row r="47791" spans="1:4" ht="15.75" customHeight="1">
      <c r="A47791" s="8"/>
      <c r="B47791" s="12"/>
      <c r="C47791" s="8"/>
      <c r="D47791" s="8"/>
    </row>
    <row r="47792" spans="1:4" ht="15.75" customHeight="1">
      <c r="A47792" s="8"/>
      <c r="B47792" s="12"/>
      <c r="C47792" s="8"/>
      <c r="D47792" s="8"/>
    </row>
    <row r="47793" spans="1:4" ht="15.75" customHeight="1">
      <c r="A47793" s="8"/>
      <c r="B47793" s="12"/>
      <c r="C47793" s="8"/>
      <c r="D47793" s="8"/>
    </row>
    <row r="47794" spans="1:4" ht="15.75" customHeight="1">
      <c r="A47794" s="8"/>
      <c r="B47794" s="12"/>
      <c r="C47794" s="8"/>
      <c r="D47794" s="8"/>
    </row>
    <row r="47795" spans="1:4" ht="15.75" customHeight="1">
      <c r="A47795" s="8"/>
      <c r="B47795" s="12"/>
      <c r="C47795" s="8"/>
      <c r="D47795" s="8"/>
    </row>
    <row r="47796" spans="1:4" ht="15.75" customHeight="1">
      <c r="A47796" s="8"/>
      <c r="B47796" s="12"/>
      <c r="C47796" s="8"/>
      <c r="D47796" s="8"/>
    </row>
    <row r="47797" spans="1:4" ht="15.75" customHeight="1">
      <c r="A47797" s="8"/>
      <c r="B47797" s="12"/>
      <c r="C47797" s="8"/>
      <c r="D47797" s="8"/>
    </row>
    <row r="47798" spans="1:4" ht="15.75" customHeight="1">
      <c r="A47798" s="8"/>
      <c r="B47798" s="12"/>
      <c r="C47798" s="8"/>
      <c r="D47798" s="8"/>
    </row>
    <row r="47799" spans="1:4" ht="15.75" customHeight="1">
      <c r="A47799" s="8"/>
      <c r="B47799" s="12"/>
      <c r="C47799" s="8"/>
      <c r="D47799" s="8"/>
    </row>
    <row r="47800" spans="1:4" ht="15.75" customHeight="1">
      <c r="A47800" s="8"/>
      <c r="B47800" s="12"/>
      <c r="C47800" s="8"/>
      <c r="D47800" s="8"/>
    </row>
    <row r="47801" spans="1:4" ht="15.75" customHeight="1">
      <c r="A47801" s="8"/>
      <c r="B47801" s="12"/>
      <c r="C47801" s="8"/>
      <c r="D47801" s="8"/>
    </row>
    <row r="47802" spans="1:4" ht="15.75" customHeight="1">
      <c r="A47802" s="8"/>
      <c r="B47802" s="12"/>
      <c r="C47802" s="8"/>
      <c r="D47802" s="8"/>
    </row>
    <row r="47803" spans="1:4" ht="15.75" customHeight="1">
      <c r="A47803" s="8"/>
      <c r="B47803" s="12"/>
      <c r="C47803" s="8"/>
      <c r="D47803" s="8"/>
    </row>
    <row r="47804" spans="1:4" ht="15.75" customHeight="1">
      <c r="A47804" s="8"/>
      <c r="B47804" s="12"/>
      <c r="C47804" s="8"/>
      <c r="D47804" s="8"/>
    </row>
    <row r="47805" spans="1:4" ht="15.75" customHeight="1">
      <c r="A47805" s="8"/>
      <c r="B47805" s="12"/>
      <c r="C47805" s="8"/>
      <c r="D47805" s="8"/>
    </row>
    <row r="47806" spans="1:4" ht="15.75" customHeight="1">
      <c r="A47806" s="8"/>
      <c r="B47806" s="12"/>
      <c r="C47806" s="8"/>
      <c r="D47806" s="8"/>
    </row>
    <row r="47807" spans="1:4" ht="15.75" customHeight="1">
      <c r="A47807" s="8"/>
      <c r="B47807" s="12"/>
      <c r="C47807" s="8"/>
      <c r="D47807" s="8"/>
    </row>
    <row r="47808" spans="1:4" ht="15.75" customHeight="1">
      <c r="A47808" s="8"/>
      <c r="B47808" s="12"/>
      <c r="C47808" s="8"/>
      <c r="D47808" s="8"/>
    </row>
    <row r="47809" spans="1:4" ht="15.75" customHeight="1">
      <c r="A47809" s="8"/>
      <c r="B47809" s="12"/>
      <c r="C47809" s="8"/>
      <c r="D47809" s="8"/>
    </row>
    <row r="47810" spans="1:4" ht="15.75" customHeight="1">
      <c r="A47810" s="8"/>
      <c r="B47810" s="12"/>
      <c r="C47810" s="8"/>
      <c r="D47810" s="8"/>
    </row>
    <row r="47811" spans="1:4" ht="15.75" customHeight="1">
      <c r="A47811" s="8"/>
      <c r="B47811" s="12"/>
      <c r="C47811" s="8"/>
      <c r="D47811" s="8"/>
    </row>
    <row r="47812" spans="1:4" ht="15.75" customHeight="1">
      <c r="A47812" s="8"/>
      <c r="B47812" s="12"/>
      <c r="C47812" s="8"/>
      <c r="D47812" s="8"/>
    </row>
    <row r="47813" spans="1:4" ht="15.75" customHeight="1">
      <c r="A47813" s="8"/>
      <c r="B47813" s="12"/>
      <c r="C47813" s="8"/>
      <c r="D47813" s="8"/>
    </row>
    <row r="47814" spans="1:4" ht="15.75" customHeight="1">
      <c r="A47814" s="8"/>
      <c r="B47814" s="12"/>
      <c r="C47814" s="8"/>
      <c r="D47814" s="8"/>
    </row>
    <row r="47815" spans="1:4" ht="15.75" customHeight="1">
      <c r="A47815" s="8"/>
      <c r="B47815" s="12"/>
      <c r="C47815" s="8"/>
      <c r="D47815" s="8"/>
    </row>
    <row r="47816" spans="1:4" ht="15.75" customHeight="1">
      <c r="A47816" s="8"/>
      <c r="B47816" s="12"/>
      <c r="C47816" s="8"/>
      <c r="D47816" s="8"/>
    </row>
    <row r="47817" spans="1:4" ht="15.75" customHeight="1">
      <c r="A47817" s="8"/>
      <c r="B47817" s="12"/>
      <c r="C47817" s="8"/>
      <c r="D47817" s="8"/>
    </row>
    <row r="47818" spans="1:4" ht="15.75" customHeight="1">
      <c r="A47818" s="8"/>
      <c r="B47818" s="12"/>
      <c r="C47818" s="8"/>
      <c r="D47818" s="8"/>
    </row>
    <row r="47819" spans="1:4" ht="15.75" customHeight="1">
      <c r="A47819" s="8"/>
      <c r="B47819" s="12"/>
      <c r="C47819" s="8"/>
      <c r="D47819" s="8"/>
    </row>
    <row r="47820" spans="1:4" ht="15.75" customHeight="1">
      <c r="A47820" s="8"/>
      <c r="B47820" s="12"/>
      <c r="C47820" s="8"/>
      <c r="D47820" s="8"/>
    </row>
    <row r="47821" spans="1:4" ht="15.75" customHeight="1">
      <c r="A47821" s="8"/>
      <c r="B47821" s="12"/>
      <c r="C47821" s="8"/>
      <c r="D47821" s="8"/>
    </row>
    <row r="47822" spans="1:4" ht="15.75" customHeight="1">
      <c r="A47822" s="8"/>
      <c r="B47822" s="12"/>
      <c r="C47822" s="8"/>
      <c r="D47822" s="8"/>
    </row>
    <row r="47823" spans="1:4" ht="15.75" customHeight="1">
      <c r="A47823" s="8"/>
      <c r="B47823" s="12"/>
      <c r="C47823" s="8"/>
      <c r="D47823" s="8"/>
    </row>
    <row r="47824" spans="1:4" ht="15.75" customHeight="1">
      <c r="A47824" s="8"/>
      <c r="B47824" s="12"/>
      <c r="C47824" s="8"/>
      <c r="D47824" s="8"/>
    </row>
    <row r="47825" spans="1:4" ht="15.75" customHeight="1">
      <c r="A47825" s="8"/>
      <c r="B47825" s="12"/>
      <c r="C47825" s="8"/>
      <c r="D47825" s="8"/>
    </row>
    <row r="47826" spans="1:4" ht="15.75" customHeight="1">
      <c r="A47826" s="8"/>
      <c r="B47826" s="12"/>
      <c r="C47826" s="8"/>
      <c r="D47826" s="8"/>
    </row>
    <row r="47827" spans="1:4" ht="15.75" customHeight="1">
      <c r="A47827" s="8"/>
      <c r="B47827" s="12"/>
      <c r="C47827" s="8"/>
      <c r="D47827" s="8"/>
    </row>
    <row r="47828" spans="1:4" ht="15.75" customHeight="1">
      <c r="A47828" s="8"/>
      <c r="B47828" s="12"/>
      <c r="C47828" s="8"/>
      <c r="D47828" s="8"/>
    </row>
    <row r="47829" spans="1:4" ht="15.75" customHeight="1">
      <c r="A47829" s="8"/>
      <c r="B47829" s="12"/>
      <c r="C47829" s="8"/>
      <c r="D47829" s="8"/>
    </row>
    <row r="47830" spans="1:4" ht="15.75" customHeight="1">
      <c r="A47830" s="8"/>
      <c r="B47830" s="12"/>
      <c r="C47830" s="8"/>
      <c r="D47830" s="8"/>
    </row>
    <row r="47831" spans="1:4" ht="15.75" customHeight="1">
      <c r="A47831" s="8"/>
      <c r="B47831" s="12"/>
      <c r="C47831" s="8"/>
      <c r="D47831" s="8"/>
    </row>
    <row r="47832" spans="1:4" ht="15.75" customHeight="1">
      <c r="A47832" s="8"/>
      <c r="B47832" s="12"/>
      <c r="C47832" s="8"/>
      <c r="D47832" s="8"/>
    </row>
    <row r="47833" spans="1:4" ht="15.75" customHeight="1">
      <c r="A47833" s="8"/>
      <c r="B47833" s="12"/>
      <c r="C47833" s="8"/>
      <c r="D47833" s="8"/>
    </row>
    <row r="47834" spans="1:4" ht="15.75" customHeight="1">
      <c r="A47834" s="8"/>
      <c r="B47834" s="12"/>
      <c r="C47834" s="8"/>
      <c r="D47834" s="8"/>
    </row>
    <row r="47835" spans="1:4" ht="15.75" customHeight="1">
      <c r="A47835" s="8"/>
      <c r="B47835" s="12"/>
      <c r="C47835" s="8"/>
      <c r="D47835" s="8"/>
    </row>
    <row r="47836" spans="1:4" ht="15.75" customHeight="1">
      <c r="A47836" s="8"/>
      <c r="B47836" s="12"/>
      <c r="C47836" s="8"/>
      <c r="D47836" s="8"/>
    </row>
    <row r="47837" spans="1:4" ht="15.75" customHeight="1">
      <c r="A47837" s="8"/>
      <c r="B47837" s="12"/>
      <c r="C47837" s="8"/>
      <c r="D47837" s="8"/>
    </row>
    <row r="47838" spans="1:4" ht="15.75" customHeight="1">
      <c r="A47838" s="8"/>
      <c r="B47838" s="12"/>
      <c r="C47838" s="8"/>
      <c r="D47838" s="8"/>
    </row>
    <row r="47839" spans="1:4" ht="15.75" customHeight="1">
      <c r="A47839" s="8"/>
      <c r="B47839" s="12"/>
      <c r="C47839" s="8"/>
      <c r="D47839" s="8"/>
    </row>
    <row r="47840" spans="1:4" ht="15.75" customHeight="1">
      <c r="A47840" s="8"/>
      <c r="B47840" s="12"/>
      <c r="C47840" s="8"/>
      <c r="D47840" s="8"/>
    </row>
    <row r="47841" spans="1:4" ht="15.75" customHeight="1">
      <c r="A47841" s="8"/>
      <c r="B47841" s="12"/>
      <c r="C47841" s="8"/>
      <c r="D47841" s="8"/>
    </row>
    <row r="47842" spans="1:4" ht="15.75" customHeight="1">
      <c r="A47842" s="8"/>
      <c r="B47842" s="12"/>
      <c r="C47842" s="8"/>
      <c r="D47842" s="8"/>
    </row>
    <row r="47843" spans="1:4" ht="15.75" customHeight="1">
      <c r="A47843" s="8"/>
      <c r="B47843" s="12"/>
      <c r="C47843" s="8"/>
      <c r="D47843" s="8"/>
    </row>
    <row r="47844" spans="1:4" ht="15.75" customHeight="1">
      <c r="A47844" s="8"/>
      <c r="B47844" s="12"/>
      <c r="C47844" s="8"/>
      <c r="D47844" s="8"/>
    </row>
    <row r="47845" spans="1:4" ht="15.75" customHeight="1">
      <c r="A47845" s="8"/>
      <c r="B47845" s="12"/>
      <c r="C47845" s="8"/>
      <c r="D47845" s="8"/>
    </row>
    <row r="47846" spans="1:4" ht="15.75" customHeight="1">
      <c r="A47846" s="8"/>
      <c r="B47846" s="12"/>
      <c r="C47846" s="8"/>
      <c r="D47846" s="8"/>
    </row>
    <row r="47847" spans="1:4" ht="15.75" customHeight="1">
      <c r="A47847" s="8"/>
      <c r="B47847" s="12"/>
      <c r="C47847" s="8"/>
      <c r="D47847" s="8"/>
    </row>
    <row r="47848" spans="1:4" ht="15.75" customHeight="1">
      <c r="A47848" s="8"/>
      <c r="B47848" s="12"/>
      <c r="C47848" s="8"/>
      <c r="D47848" s="8"/>
    </row>
    <row r="47849" spans="1:4" ht="15.75" customHeight="1">
      <c r="A47849" s="8"/>
      <c r="B47849" s="12"/>
      <c r="C47849" s="8"/>
      <c r="D47849" s="8"/>
    </row>
    <row r="47850" spans="1:4" ht="15.75" customHeight="1">
      <c r="A47850" s="8"/>
      <c r="B47850" s="12"/>
      <c r="C47850" s="8"/>
      <c r="D47850" s="8"/>
    </row>
    <row r="47851" spans="1:4" ht="15.75" customHeight="1">
      <c r="A47851" s="8"/>
      <c r="B47851" s="12"/>
      <c r="C47851" s="8"/>
      <c r="D47851" s="8"/>
    </row>
    <row r="47852" spans="1:4" ht="15.75" customHeight="1">
      <c r="A47852" s="8"/>
      <c r="B47852" s="12"/>
      <c r="C47852" s="8"/>
      <c r="D47852" s="8"/>
    </row>
    <row r="47853" spans="1:4" ht="15.75" customHeight="1">
      <c r="A47853" s="8"/>
      <c r="B47853" s="12"/>
      <c r="C47853" s="8"/>
      <c r="D47853" s="8"/>
    </row>
    <row r="47854" spans="1:4" ht="15.75" customHeight="1">
      <c r="A47854" s="8"/>
      <c r="B47854" s="12"/>
      <c r="C47854" s="8"/>
      <c r="D47854" s="8"/>
    </row>
    <row r="47855" spans="1:4" ht="15.75" customHeight="1">
      <c r="A47855" s="8"/>
      <c r="B47855" s="12"/>
      <c r="C47855" s="8"/>
      <c r="D47855" s="8"/>
    </row>
    <row r="47856" spans="1:4" ht="15.75" customHeight="1">
      <c r="A47856" s="8"/>
      <c r="B47856" s="12"/>
      <c r="C47856" s="8"/>
      <c r="D47856" s="8"/>
    </row>
    <row r="47857" spans="1:4" ht="15.75" customHeight="1">
      <c r="A47857" s="8"/>
      <c r="B47857" s="12"/>
      <c r="C47857" s="8"/>
      <c r="D47857" s="8"/>
    </row>
    <row r="47858" spans="1:4" ht="15.75" customHeight="1">
      <c r="A47858" s="8"/>
      <c r="B47858" s="12"/>
      <c r="C47858" s="8"/>
      <c r="D47858" s="8"/>
    </row>
    <row r="47859" spans="1:4" ht="15.75" customHeight="1">
      <c r="A47859" s="8"/>
      <c r="B47859" s="12"/>
      <c r="C47859" s="8"/>
      <c r="D47859" s="8"/>
    </row>
    <row r="47860" spans="1:4" ht="15.75" customHeight="1">
      <c r="A47860" s="8"/>
      <c r="B47860" s="12"/>
      <c r="C47860" s="8"/>
      <c r="D47860" s="8"/>
    </row>
    <row r="47861" spans="1:4" ht="15.75" customHeight="1">
      <c r="A47861" s="8"/>
      <c r="B47861" s="12"/>
      <c r="C47861" s="8"/>
      <c r="D47861" s="8"/>
    </row>
    <row r="47862" spans="1:4" ht="15.75" customHeight="1">
      <c r="A47862" s="8"/>
      <c r="B47862" s="12"/>
      <c r="C47862" s="8"/>
      <c r="D47862" s="8"/>
    </row>
    <row r="47863" spans="1:4" ht="15.75" customHeight="1">
      <c r="A47863" s="8"/>
      <c r="B47863" s="12"/>
      <c r="C47863" s="8"/>
      <c r="D47863" s="8"/>
    </row>
    <row r="47864" spans="1:4" ht="15.75" customHeight="1">
      <c r="A47864" s="8"/>
      <c r="B47864" s="12"/>
      <c r="C47864" s="8"/>
      <c r="D47864" s="8"/>
    </row>
    <row r="47865" spans="1:4" ht="15.75" customHeight="1">
      <c r="A47865" s="8"/>
      <c r="B47865" s="12"/>
      <c r="C47865" s="8"/>
      <c r="D47865" s="8"/>
    </row>
    <row r="47866" spans="1:4" ht="15.75" customHeight="1">
      <c r="A47866" s="8"/>
      <c r="B47866" s="12"/>
      <c r="C47866" s="8"/>
      <c r="D47866" s="8"/>
    </row>
    <row r="47867" spans="1:4" ht="15.75" customHeight="1">
      <c r="A47867" s="8"/>
      <c r="B47867" s="12"/>
      <c r="C47867" s="8"/>
      <c r="D47867" s="8"/>
    </row>
    <row r="47868" spans="1:4" ht="15.75" customHeight="1">
      <c r="A47868" s="8"/>
      <c r="B47868" s="12"/>
      <c r="C47868" s="8"/>
      <c r="D47868" s="8"/>
    </row>
    <row r="47869" spans="1:4" ht="15.75" customHeight="1">
      <c r="A47869" s="8"/>
      <c r="B47869" s="12"/>
      <c r="C47869" s="8"/>
      <c r="D47869" s="8"/>
    </row>
    <row r="47870" spans="1:4" ht="15.75" customHeight="1">
      <c r="A47870" s="8"/>
      <c r="B47870" s="12"/>
      <c r="C47870" s="8"/>
      <c r="D47870" s="8"/>
    </row>
    <row r="47871" spans="1:4" ht="15.75" customHeight="1">
      <c r="A47871" s="8"/>
      <c r="B47871" s="12"/>
      <c r="C47871" s="8"/>
      <c r="D47871" s="8"/>
    </row>
    <row r="47872" spans="1:4" ht="15.75" customHeight="1">
      <c r="A47872" s="8"/>
      <c r="B47872" s="12"/>
      <c r="C47872" s="8"/>
      <c r="D47872" s="8"/>
    </row>
    <row r="47873" spans="1:4" ht="15.75" customHeight="1">
      <c r="A47873" s="8"/>
      <c r="B47873" s="12"/>
      <c r="C47873" s="8"/>
      <c r="D47873" s="8"/>
    </row>
    <row r="47874" spans="1:4" ht="15.75" customHeight="1">
      <c r="A47874" s="8"/>
      <c r="B47874" s="12"/>
      <c r="C47874" s="8"/>
      <c r="D47874" s="8"/>
    </row>
    <row r="47875" spans="1:4" ht="15.75" customHeight="1">
      <c r="A47875" s="8"/>
      <c r="B47875" s="12"/>
      <c r="C47875" s="8"/>
      <c r="D47875" s="8"/>
    </row>
    <row r="47876" spans="1:4" ht="15.75" customHeight="1">
      <c r="A47876" s="8"/>
      <c r="B47876" s="12"/>
      <c r="C47876" s="8"/>
      <c r="D47876" s="8"/>
    </row>
    <row r="47877" spans="1:4" ht="15.75" customHeight="1">
      <c r="A47877" s="8"/>
      <c r="B47877" s="12"/>
      <c r="C47877" s="8"/>
      <c r="D47877" s="8"/>
    </row>
    <row r="47878" spans="1:4" ht="15.75" customHeight="1">
      <c r="A47878" s="8"/>
      <c r="B47878" s="12"/>
      <c r="C47878" s="8"/>
      <c r="D47878" s="8"/>
    </row>
    <row r="47879" spans="1:4" ht="15.75" customHeight="1">
      <c r="A47879" s="8"/>
      <c r="B47879" s="12"/>
      <c r="C47879" s="8"/>
      <c r="D47879" s="8"/>
    </row>
    <row r="47880" spans="1:4" ht="15.75" customHeight="1">
      <c r="A47880" s="8"/>
      <c r="B47880" s="12"/>
      <c r="C47880" s="8"/>
      <c r="D47880" s="8"/>
    </row>
    <row r="47881" spans="1:4" ht="15.75" customHeight="1">
      <c r="A47881" s="8"/>
      <c r="B47881" s="12"/>
      <c r="C47881" s="8"/>
      <c r="D47881" s="8"/>
    </row>
    <row r="47882" spans="1:4" ht="15.75" customHeight="1">
      <c r="A47882" s="8"/>
      <c r="B47882" s="12"/>
      <c r="C47882" s="8"/>
      <c r="D47882" s="8"/>
    </row>
    <row r="47883" spans="1:4" ht="15.75" customHeight="1">
      <c r="A47883" s="8"/>
      <c r="B47883" s="12"/>
      <c r="C47883" s="8"/>
      <c r="D47883" s="8"/>
    </row>
    <row r="47884" spans="1:4" ht="15.75" customHeight="1">
      <c r="A47884" s="8"/>
      <c r="B47884" s="12"/>
      <c r="C47884" s="8"/>
      <c r="D47884" s="8"/>
    </row>
    <row r="47885" spans="1:4" ht="15.75" customHeight="1">
      <c r="A47885" s="8"/>
      <c r="B47885" s="12"/>
      <c r="C47885" s="8"/>
      <c r="D47885" s="8"/>
    </row>
    <row r="47886" spans="1:4" ht="15.75" customHeight="1">
      <c r="A47886" s="8"/>
      <c r="B47886" s="12"/>
      <c r="C47886" s="8"/>
      <c r="D47886" s="8"/>
    </row>
    <row r="47887" spans="1:4" ht="15.75" customHeight="1">
      <c r="A47887" s="8"/>
      <c r="B47887" s="12"/>
      <c r="C47887" s="8"/>
      <c r="D47887" s="8"/>
    </row>
    <row r="47888" spans="1:4" ht="15.75" customHeight="1">
      <c r="A47888" s="8"/>
      <c r="B47888" s="12"/>
      <c r="C47888" s="8"/>
      <c r="D47888" s="8"/>
    </row>
    <row r="47889" spans="1:4" ht="15.75" customHeight="1">
      <c r="A47889" s="8"/>
      <c r="B47889" s="12"/>
      <c r="C47889" s="8"/>
      <c r="D47889" s="8"/>
    </row>
    <row r="47890" spans="1:4" ht="15.75" customHeight="1">
      <c r="A47890" s="8"/>
      <c r="B47890" s="12"/>
      <c r="C47890" s="8"/>
      <c r="D47890" s="8"/>
    </row>
    <row r="47891" spans="1:4" ht="15.75" customHeight="1">
      <c r="A47891" s="8"/>
      <c r="B47891" s="12"/>
      <c r="C47891" s="8"/>
      <c r="D47891" s="8"/>
    </row>
    <row r="47892" spans="1:4" ht="15.75" customHeight="1">
      <c r="A47892" s="8"/>
      <c r="B47892" s="12"/>
      <c r="C47892" s="8"/>
      <c r="D47892" s="8"/>
    </row>
    <row r="47893" spans="1:4" ht="15.75" customHeight="1">
      <c r="A47893" s="8"/>
      <c r="B47893" s="12"/>
      <c r="C47893" s="8"/>
      <c r="D47893" s="8"/>
    </row>
    <row r="47894" spans="1:4" ht="15.75" customHeight="1">
      <c r="A47894" s="8"/>
      <c r="B47894" s="12"/>
      <c r="C47894" s="8"/>
      <c r="D47894" s="8"/>
    </row>
    <row r="47895" spans="1:4" ht="15.75" customHeight="1">
      <c r="A47895" s="8"/>
      <c r="B47895" s="12"/>
      <c r="C47895" s="8"/>
      <c r="D47895" s="8"/>
    </row>
    <row r="47896" spans="1:4" ht="15.75" customHeight="1">
      <c r="A47896" s="8"/>
      <c r="B47896" s="12"/>
      <c r="C47896" s="8"/>
      <c r="D47896" s="8"/>
    </row>
    <row r="47897" spans="1:4" ht="15.75" customHeight="1">
      <c r="A47897" s="8"/>
      <c r="B47897" s="12"/>
      <c r="C47897" s="8"/>
      <c r="D47897" s="8"/>
    </row>
    <row r="47898" spans="1:4" ht="15.75" customHeight="1">
      <c r="A47898" s="8"/>
      <c r="B47898" s="12"/>
      <c r="C47898" s="8"/>
      <c r="D47898" s="8"/>
    </row>
    <row r="47899" spans="1:4" ht="15.75" customHeight="1">
      <c r="A47899" s="8"/>
      <c r="B47899" s="12"/>
      <c r="C47899" s="8"/>
      <c r="D47899" s="8"/>
    </row>
    <row r="47900" spans="1:4" ht="15.75" customHeight="1">
      <c r="A47900" s="8"/>
      <c r="B47900" s="12"/>
      <c r="C47900" s="8"/>
      <c r="D47900" s="8"/>
    </row>
    <row r="47901" spans="1:4" ht="15.75" customHeight="1">
      <c r="A47901" s="8"/>
      <c r="B47901" s="12"/>
      <c r="C47901" s="8"/>
      <c r="D47901" s="8"/>
    </row>
    <row r="47902" spans="1:4" ht="15.75" customHeight="1">
      <c r="A47902" s="8"/>
      <c r="B47902" s="12"/>
      <c r="C47902" s="8"/>
      <c r="D47902" s="8"/>
    </row>
    <row r="47903" spans="1:4" ht="15.75" customHeight="1">
      <c r="A47903" s="8"/>
      <c r="B47903" s="12"/>
      <c r="C47903" s="8"/>
      <c r="D47903" s="8"/>
    </row>
    <row r="47904" spans="1:4" ht="15.75" customHeight="1">
      <c r="A47904" s="8"/>
      <c r="B47904" s="12"/>
      <c r="C47904" s="8"/>
      <c r="D47904" s="8"/>
    </row>
    <row r="47905" spans="1:4" ht="15.75" customHeight="1">
      <c r="A47905" s="8"/>
      <c r="B47905" s="12"/>
      <c r="C47905" s="8"/>
      <c r="D47905" s="8"/>
    </row>
    <row r="47906" spans="1:4" ht="15.75" customHeight="1">
      <c r="A47906" s="8"/>
      <c r="B47906" s="12"/>
      <c r="C47906" s="8"/>
      <c r="D47906" s="8"/>
    </row>
    <row r="47907" spans="1:4" ht="15.75" customHeight="1">
      <c r="A47907" s="8"/>
      <c r="B47907" s="12"/>
      <c r="C47907" s="8"/>
      <c r="D47907" s="8"/>
    </row>
    <row r="47908" spans="1:4" ht="15.75" customHeight="1">
      <c r="A47908" s="8"/>
      <c r="B47908" s="12"/>
      <c r="C47908" s="8"/>
      <c r="D47908" s="8"/>
    </row>
    <row r="47909" spans="1:4" ht="15.75" customHeight="1">
      <c r="A47909" s="8"/>
      <c r="B47909" s="12"/>
      <c r="C47909" s="8"/>
      <c r="D47909" s="8"/>
    </row>
    <row r="47910" spans="1:4" ht="15.75" customHeight="1">
      <c r="A47910" s="8"/>
      <c r="B47910" s="12"/>
      <c r="C47910" s="8"/>
      <c r="D47910" s="8"/>
    </row>
    <row r="47911" spans="1:4" ht="15.75" customHeight="1">
      <c r="A47911" s="8"/>
      <c r="B47911" s="12"/>
      <c r="C47911" s="8"/>
      <c r="D47911" s="8"/>
    </row>
    <row r="47912" spans="1:4" ht="15.75" customHeight="1">
      <c r="A47912" s="8"/>
      <c r="B47912" s="12"/>
      <c r="C47912" s="8"/>
      <c r="D47912" s="8"/>
    </row>
    <row r="47913" spans="1:4" ht="15.75" customHeight="1">
      <c r="A47913" s="8"/>
      <c r="B47913" s="12"/>
      <c r="C47913" s="8"/>
      <c r="D47913" s="8"/>
    </row>
    <row r="47914" spans="1:4" ht="15.75" customHeight="1">
      <c r="A47914" s="8"/>
      <c r="B47914" s="12"/>
      <c r="C47914" s="8"/>
      <c r="D47914" s="8"/>
    </row>
    <row r="47915" spans="1:4" ht="15.75" customHeight="1">
      <c r="A47915" s="8"/>
      <c r="B47915" s="12"/>
      <c r="C47915" s="8"/>
      <c r="D47915" s="8"/>
    </row>
    <row r="47916" spans="1:4" ht="15.75" customHeight="1">
      <c r="A47916" s="8"/>
      <c r="B47916" s="12"/>
      <c r="C47916" s="8"/>
      <c r="D47916" s="8"/>
    </row>
    <row r="47917" spans="1:4" ht="15.75" customHeight="1">
      <c r="A47917" s="8"/>
      <c r="B47917" s="12"/>
      <c r="C47917" s="8"/>
      <c r="D47917" s="8"/>
    </row>
    <row r="47918" spans="1:4" ht="15.75" customHeight="1">
      <c r="A47918" s="8"/>
      <c r="B47918" s="12"/>
      <c r="C47918" s="8"/>
      <c r="D47918" s="8"/>
    </row>
    <row r="47919" spans="1:4" ht="15.75" customHeight="1">
      <c r="A47919" s="8"/>
      <c r="B47919" s="12"/>
      <c r="C47919" s="8"/>
      <c r="D47919" s="8"/>
    </row>
    <row r="47920" spans="1:4" ht="15.75" customHeight="1">
      <c r="A47920" s="8"/>
      <c r="B47920" s="12"/>
      <c r="C47920" s="8"/>
      <c r="D47920" s="8"/>
    </row>
    <row r="47921" spans="1:4" ht="15.75" customHeight="1">
      <c r="A47921" s="8"/>
      <c r="B47921" s="12"/>
      <c r="C47921" s="8"/>
      <c r="D47921" s="8"/>
    </row>
    <row r="47922" spans="1:4" ht="15.75" customHeight="1">
      <c r="A47922" s="8"/>
      <c r="B47922" s="12"/>
      <c r="C47922" s="8"/>
      <c r="D47922" s="8"/>
    </row>
    <row r="47923" spans="1:4" ht="15.75" customHeight="1">
      <c r="A47923" s="8"/>
      <c r="B47923" s="12"/>
      <c r="C47923" s="8"/>
      <c r="D47923" s="8"/>
    </row>
    <row r="47924" spans="1:4" ht="15.75" customHeight="1">
      <c r="A47924" s="8"/>
      <c r="B47924" s="12"/>
      <c r="C47924" s="8"/>
      <c r="D47924" s="8"/>
    </row>
    <row r="47925" spans="1:4" ht="15.75" customHeight="1">
      <c r="A47925" s="8"/>
      <c r="B47925" s="12"/>
      <c r="C47925" s="8"/>
      <c r="D47925" s="8"/>
    </row>
    <row r="47926" spans="1:4" ht="15.75" customHeight="1">
      <c r="A47926" s="8"/>
      <c r="B47926" s="12"/>
      <c r="C47926" s="8"/>
      <c r="D47926" s="8"/>
    </row>
    <row r="47927" spans="1:4" ht="15.75" customHeight="1">
      <c r="A47927" s="8"/>
      <c r="B47927" s="12"/>
      <c r="C47927" s="8"/>
      <c r="D47927" s="8"/>
    </row>
    <row r="47928" spans="1:4" ht="15.75" customHeight="1">
      <c r="A47928" s="8"/>
      <c r="B47928" s="12"/>
      <c r="C47928" s="8"/>
      <c r="D47928" s="8"/>
    </row>
    <row r="47929" spans="1:4" ht="15.75" customHeight="1">
      <c r="A47929" s="8"/>
      <c r="B47929" s="12"/>
      <c r="C47929" s="8"/>
      <c r="D47929" s="8"/>
    </row>
    <row r="47930" spans="1:4" ht="15.75" customHeight="1">
      <c r="A47930" s="8"/>
      <c r="B47930" s="12"/>
      <c r="C47930" s="8"/>
      <c r="D47930" s="8"/>
    </row>
    <row r="47931" spans="1:4" ht="15.75" customHeight="1">
      <c r="A47931" s="8"/>
      <c r="B47931" s="12"/>
      <c r="C47931" s="8"/>
      <c r="D47931" s="8"/>
    </row>
    <row r="47932" spans="1:4" ht="15.75" customHeight="1">
      <c r="A47932" s="8"/>
      <c r="B47932" s="12"/>
      <c r="C47932" s="8"/>
      <c r="D47932" s="8"/>
    </row>
    <row r="47933" spans="1:4" ht="15.75" customHeight="1">
      <c r="A47933" s="8"/>
      <c r="B47933" s="12"/>
      <c r="C47933" s="8"/>
      <c r="D47933" s="8"/>
    </row>
    <row r="47934" spans="1:4" ht="15.75" customHeight="1">
      <c r="A47934" s="8"/>
      <c r="B47934" s="12"/>
      <c r="C47934" s="8"/>
      <c r="D47934" s="8"/>
    </row>
    <row r="47935" spans="1:4" ht="15.75" customHeight="1">
      <c r="A47935" s="8"/>
      <c r="B47935" s="12"/>
      <c r="C47935" s="8"/>
      <c r="D47935" s="8"/>
    </row>
    <row r="47936" spans="1:4" ht="15.75" customHeight="1">
      <c r="A47936" s="8"/>
      <c r="B47936" s="12"/>
      <c r="C47936" s="8"/>
      <c r="D47936" s="8"/>
    </row>
    <row r="47937" spans="1:4" ht="15.75" customHeight="1">
      <c r="A47937" s="8"/>
      <c r="B47937" s="12"/>
      <c r="C47937" s="8"/>
      <c r="D47937" s="8"/>
    </row>
    <row r="47938" spans="1:4" ht="15.75" customHeight="1">
      <c r="A47938" s="8"/>
      <c r="B47938" s="12"/>
      <c r="C47938" s="8"/>
      <c r="D47938" s="8"/>
    </row>
    <row r="47939" spans="1:4" ht="15.75" customHeight="1">
      <c r="A47939" s="8"/>
      <c r="B47939" s="12"/>
      <c r="C47939" s="8"/>
      <c r="D47939" s="8"/>
    </row>
    <row r="47940" spans="1:4" ht="15.75" customHeight="1">
      <c r="A47940" s="8"/>
      <c r="B47940" s="12"/>
      <c r="C47940" s="8"/>
      <c r="D47940" s="8"/>
    </row>
    <row r="47941" spans="1:4" ht="15.75" customHeight="1">
      <c r="A47941" s="8"/>
      <c r="B47941" s="12"/>
      <c r="C47941" s="8"/>
      <c r="D47941" s="8"/>
    </row>
    <row r="47942" spans="1:4" ht="15.75" customHeight="1">
      <c r="A47942" s="8"/>
      <c r="B47942" s="12"/>
      <c r="C47942" s="8"/>
      <c r="D47942" s="8"/>
    </row>
    <row r="47943" spans="1:4" ht="15.75" customHeight="1">
      <c r="A47943" s="8"/>
      <c r="B47943" s="12"/>
      <c r="C47943" s="8"/>
      <c r="D47943" s="8"/>
    </row>
    <row r="47944" spans="1:4" ht="15.75" customHeight="1">
      <c r="A47944" s="8"/>
      <c r="B47944" s="12"/>
      <c r="C47944" s="8"/>
      <c r="D47944" s="8"/>
    </row>
    <row r="47945" spans="1:4" ht="15.75" customHeight="1">
      <c r="A47945" s="8"/>
      <c r="B47945" s="12"/>
      <c r="C47945" s="8"/>
      <c r="D47945" s="8"/>
    </row>
    <row r="47946" spans="1:4" ht="15.75" customHeight="1">
      <c r="A47946" s="8"/>
      <c r="B47946" s="12"/>
      <c r="C47946" s="8"/>
      <c r="D47946" s="8"/>
    </row>
    <row r="47947" spans="1:4" ht="15.75" customHeight="1">
      <c r="A47947" s="8"/>
      <c r="B47947" s="12"/>
      <c r="C47947" s="8"/>
      <c r="D47947" s="8"/>
    </row>
    <row r="47948" spans="1:4" ht="15.75" customHeight="1">
      <c r="A47948" s="8"/>
      <c r="B47948" s="12"/>
      <c r="C47948" s="8"/>
      <c r="D47948" s="8"/>
    </row>
    <row r="47949" spans="1:4" ht="15.75" customHeight="1">
      <c r="A47949" s="8"/>
      <c r="B47949" s="12"/>
      <c r="C47949" s="8"/>
      <c r="D47949" s="8"/>
    </row>
    <row r="47950" spans="1:4" ht="15.75" customHeight="1">
      <c r="A47950" s="8"/>
      <c r="B47950" s="12"/>
      <c r="C47950" s="8"/>
      <c r="D47950" s="8"/>
    </row>
    <row r="47951" spans="1:4" ht="15.75" customHeight="1">
      <c r="A47951" s="8"/>
      <c r="B47951" s="12"/>
      <c r="C47951" s="8"/>
      <c r="D47951" s="8"/>
    </row>
    <row r="47952" spans="1:4" ht="15.75" customHeight="1">
      <c r="A47952" s="8"/>
      <c r="B47952" s="12"/>
      <c r="C47952" s="8"/>
      <c r="D47952" s="8"/>
    </row>
    <row r="47953" spans="1:4" ht="15.75" customHeight="1">
      <c r="A47953" s="8"/>
      <c r="B47953" s="12"/>
      <c r="C47953" s="8"/>
      <c r="D47953" s="8"/>
    </row>
    <row r="47954" spans="1:4" ht="15.75" customHeight="1">
      <c r="A47954" s="8"/>
      <c r="B47954" s="12"/>
      <c r="C47954" s="8"/>
      <c r="D47954" s="8"/>
    </row>
    <row r="47955" spans="1:4" ht="15.75" customHeight="1">
      <c r="A47955" s="8"/>
      <c r="B47955" s="12"/>
      <c r="C47955" s="8"/>
      <c r="D47955" s="8"/>
    </row>
    <row r="47956" spans="1:4" ht="15.75" customHeight="1">
      <c r="A47956" s="8"/>
      <c r="B47956" s="12"/>
      <c r="C47956" s="8"/>
      <c r="D47956" s="8"/>
    </row>
    <row r="47957" spans="1:4" ht="15.75" customHeight="1">
      <c r="A47957" s="8"/>
      <c r="B47957" s="12"/>
      <c r="C47957" s="8"/>
      <c r="D47957" s="8"/>
    </row>
    <row r="47958" spans="1:4" ht="15.75" customHeight="1">
      <c r="A47958" s="8"/>
      <c r="B47958" s="12"/>
      <c r="C47958" s="8"/>
      <c r="D47958" s="8"/>
    </row>
    <row r="47959" spans="1:4" ht="15.75" customHeight="1">
      <c r="A47959" s="8"/>
      <c r="B47959" s="12"/>
      <c r="C47959" s="8"/>
      <c r="D47959" s="8"/>
    </row>
    <row r="47960" spans="1:4" ht="15.75" customHeight="1">
      <c r="A47960" s="8"/>
      <c r="B47960" s="12"/>
      <c r="C47960" s="8"/>
      <c r="D47960" s="8"/>
    </row>
    <row r="47961" spans="1:4" ht="15.75" customHeight="1">
      <c r="A47961" s="8"/>
      <c r="B47961" s="12"/>
      <c r="C47961" s="8"/>
      <c r="D47961" s="8"/>
    </row>
    <row r="47962" spans="1:4" ht="15.75" customHeight="1">
      <c r="A47962" s="8"/>
      <c r="B47962" s="12"/>
      <c r="C47962" s="8"/>
      <c r="D47962" s="8"/>
    </row>
    <row r="47963" spans="1:4" ht="15.75" customHeight="1">
      <c r="A47963" s="8"/>
      <c r="B47963" s="12"/>
      <c r="C47963" s="8"/>
      <c r="D47963" s="8"/>
    </row>
    <row r="47964" spans="1:4" ht="15.75" customHeight="1">
      <c r="A47964" s="8"/>
      <c r="B47964" s="12"/>
      <c r="C47964" s="8"/>
      <c r="D47964" s="8"/>
    </row>
    <row r="47965" spans="1:4" ht="15.75" customHeight="1">
      <c r="A47965" s="8"/>
      <c r="B47965" s="12"/>
      <c r="C47965" s="8"/>
      <c r="D47965" s="8"/>
    </row>
    <row r="47966" spans="1:4" ht="15.75" customHeight="1">
      <c r="A47966" s="8"/>
      <c r="B47966" s="12"/>
      <c r="C47966" s="8"/>
      <c r="D47966" s="8"/>
    </row>
    <row r="47967" spans="1:4" ht="15.75" customHeight="1">
      <c r="A47967" s="8"/>
      <c r="B47967" s="12"/>
      <c r="C47967" s="8"/>
      <c r="D47967" s="8"/>
    </row>
    <row r="47968" spans="1:4" ht="15.75" customHeight="1">
      <c r="A47968" s="8"/>
      <c r="B47968" s="12"/>
      <c r="C47968" s="8"/>
      <c r="D47968" s="8"/>
    </row>
    <row r="47969" spans="1:4" ht="15.75" customHeight="1">
      <c r="A47969" s="8"/>
      <c r="B47969" s="12"/>
      <c r="C47969" s="8"/>
      <c r="D47969" s="8"/>
    </row>
    <row r="47970" spans="1:4" ht="15.75" customHeight="1">
      <c r="A47970" s="8"/>
      <c r="B47970" s="12"/>
      <c r="C47970" s="8"/>
      <c r="D47970" s="8"/>
    </row>
    <row r="47971" spans="1:4" ht="15.75" customHeight="1">
      <c r="A47971" s="8"/>
      <c r="B47971" s="12"/>
      <c r="C47971" s="8"/>
      <c r="D47971" s="8"/>
    </row>
    <row r="47972" spans="1:4" ht="15.75" customHeight="1">
      <c r="A47972" s="8"/>
      <c r="B47972" s="12"/>
      <c r="C47972" s="8"/>
      <c r="D47972" s="8"/>
    </row>
    <row r="47973" spans="1:4" ht="15.75" customHeight="1">
      <c r="A47973" s="8"/>
      <c r="B47973" s="12"/>
      <c r="C47973" s="8"/>
      <c r="D47973" s="8"/>
    </row>
    <row r="47974" spans="1:4" ht="15.75" customHeight="1">
      <c r="A47974" s="8"/>
      <c r="B47974" s="12"/>
      <c r="C47974" s="8"/>
      <c r="D47974" s="8"/>
    </row>
    <row r="47975" spans="1:4" ht="15.75" customHeight="1">
      <c r="A47975" s="8"/>
      <c r="B47975" s="12"/>
      <c r="C47975" s="8"/>
      <c r="D47975" s="8"/>
    </row>
    <row r="47976" spans="1:4" ht="15.75" customHeight="1">
      <c r="A47976" s="8"/>
      <c r="B47976" s="12"/>
      <c r="C47976" s="8"/>
      <c r="D47976" s="8"/>
    </row>
    <row r="47977" spans="1:4" ht="15.75" customHeight="1">
      <c r="A47977" s="8"/>
      <c r="B47977" s="12"/>
      <c r="C47977" s="8"/>
      <c r="D47977" s="8"/>
    </row>
    <row r="47978" spans="1:4" ht="15.75" customHeight="1">
      <c r="A47978" s="8"/>
      <c r="B47978" s="12"/>
      <c r="C47978" s="8"/>
      <c r="D47978" s="8"/>
    </row>
    <row r="47979" spans="1:4" ht="15.75" customHeight="1">
      <c r="A47979" s="8"/>
      <c r="B47979" s="12"/>
      <c r="C47979" s="8"/>
      <c r="D47979" s="8"/>
    </row>
    <row r="47980" spans="1:4" ht="15.75" customHeight="1">
      <c r="A47980" s="8"/>
      <c r="B47980" s="12"/>
      <c r="C47980" s="8"/>
      <c r="D47980" s="8"/>
    </row>
    <row r="47981" spans="1:4" ht="15.75" customHeight="1">
      <c r="A47981" s="8"/>
      <c r="B47981" s="12"/>
      <c r="C47981" s="8"/>
      <c r="D47981" s="8"/>
    </row>
    <row r="47982" spans="1:4" ht="15.75" customHeight="1">
      <c r="A47982" s="8"/>
      <c r="B47982" s="12"/>
      <c r="C47982" s="8"/>
      <c r="D47982" s="8"/>
    </row>
    <row r="47983" spans="1:4" ht="15.75" customHeight="1">
      <c r="A47983" s="8"/>
      <c r="B47983" s="12"/>
      <c r="C47983" s="8"/>
      <c r="D47983" s="8"/>
    </row>
    <row r="47984" spans="1:4" ht="15.75" customHeight="1">
      <c r="A47984" s="8"/>
      <c r="B47984" s="12"/>
      <c r="C47984" s="8"/>
      <c r="D47984" s="8"/>
    </row>
    <row r="47985" spans="1:4" ht="15.75" customHeight="1">
      <c r="A47985" s="8"/>
      <c r="B47985" s="12"/>
      <c r="C47985" s="8"/>
      <c r="D47985" s="8"/>
    </row>
    <row r="47986" spans="1:4" ht="15.75" customHeight="1">
      <c r="A47986" s="8"/>
      <c r="B47986" s="12"/>
      <c r="C47986" s="8"/>
      <c r="D47986" s="8"/>
    </row>
    <row r="47987" spans="1:4" ht="15.75" customHeight="1">
      <c r="A47987" s="8"/>
      <c r="B47987" s="12"/>
      <c r="C47987" s="8"/>
      <c r="D47987" s="8"/>
    </row>
    <row r="47988" spans="1:4" ht="15.75" customHeight="1">
      <c r="A47988" s="8"/>
      <c r="B47988" s="12"/>
      <c r="C47988" s="8"/>
      <c r="D47988" s="8"/>
    </row>
    <row r="47989" spans="1:4" ht="15.75" customHeight="1">
      <c r="A47989" s="8"/>
      <c r="B47989" s="12"/>
      <c r="C47989" s="8"/>
      <c r="D47989" s="8"/>
    </row>
    <row r="47990" spans="1:4" ht="15.75" customHeight="1">
      <c r="A47990" s="8"/>
      <c r="B47990" s="12"/>
      <c r="C47990" s="8"/>
      <c r="D47990" s="8"/>
    </row>
    <row r="47991" spans="1:4" ht="15.75" customHeight="1">
      <c r="A47991" s="8"/>
      <c r="B47991" s="12"/>
      <c r="C47991" s="8"/>
      <c r="D47991" s="8"/>
    </row>
    <row r="47992" spans="1:4" ht="15.75" customHeight="1">
      <c r="A47992" s="8"/>
      <c r="B47992" s="12"/>
      <c r="C47992" s="8"/>
      <c r="D47992" s="8"/>
    </row>
    <row r="47993" spans="1:4" ht="15.75" customHeight="1">
      <c r="A47993" s="8"/>
      <c r="B47993" s="12"/>
      <c r="C47993" s="8"/>
      <c r="D47993" s="8"/>
    </row>
    <row r="47994" spans="1:4" ht="15.75" customHeight="1">
      <c r="A47994" s="8"/>
      <c r="B47994" s="12"/>
      <c r="C47994" s="8"/>
      <c r="D47994" s="8"/>
    </row>
    <row r="47995" spans="1:4" ht="15.75" customHeight="1">
      <c r="A47995" s="8"/>
      <c r="B47995" s="12"/>
      <c r="C47995" s="8"/>
      <c r="D47995" s="8"/>
    </row>
    <row r="47996" spans="1:4" ht="15.75" customHeight="1">
      <c r="A47996" s="8"/>
      <c r="B47996" s="12"/>
      <c r="C47996" s="8"/>
      <c r="D47996" s="8"/>
    </row>
    <row r="47997" spans="1:4" ht="15.75" customHeight="1">
      <c r="A47997" s="8"/>
      <c r="B47997" s="12"/>
      <c r="C47997" s="8"/>
      <c r="D47997" s="8"/>
    </row>
    <row r="47998" spans="1:4" ht="15.75" customHeight="1">
      <c r="A47998" s="8"/>
      <c r="B47998" s="12"/>
      <c r="C47998" s="8"/>
      <c r="D47998" s="8"/>
    </row>
    <row r="47999" spans="1:4" ht="15.75" customHeight="1">
      <c r="A47999" s="8"/>
      <c r="B47999" s="12"/>
      <c r="C47999" s="8"/>
      <c r="D47999" s="8"/>
    </row>
    <row r="48000" spans="1:4" ht="15.75" customHeight="1">
      <c r="A48000" s="8"/>
      <c r="B48000" s="12"/>
      <c r="C48000" s="8"/>
      <c r="D48000" s="8"/>
    </row>
    <row r="48001" spans="1:4" ht="15.75" customHeight="1">
      <c r="A48001" s="8"/>
      <c r="B48001" s="12"/>
      <c r="C48001" s="8"/>
      <c r="D48001" s="8"/>
    </row>
    <row r="48002" spans="1:4" ht="15.75" customHeight="1">
      <c r="A48002" s="8"/>
      <c r="B48002" s="12"/>
      <c r="C48002" s="8"/>
      <c r="D48002" s="8"/>
    </row>
    <row r="48003" spans="1:4" ht="15.75" customHeight="1">
      <c r="A48003" s="8"/>
      <c r="B48003" s="12"/>
      <c r="C48003" s="8"/>
      <c r="D48003" s="8"/>
    </row>
    <row r="48004" spans="1:4" ht="15.75" customHeight="1">
      <c r="A48004" s="8"/>
      <c r="B48004" s="12"/>
      <c r="C48004" s="8"/>
      <c r="D48004" s="8"/>
    </row>
    <row r="48005" spans="1:4" ht="15.75" customHeight="1">
      <c r="A48005" s="8"/>
      <c r="B48005" s="12"/>
      <c r="C48005" s="8"/>
      <c r="D48005" s="8"/>
    </row>
    <row r="48006" spans="1:4" ht="15.75" customHeight="1">
      <c r="A48006" s="8"/>
      <c r="B48006" s="12"/>
      <c r="C48006" s="8"/>
      <c r="D48006" s="8"/>
    </row>
    <row r="48007" spans="1:4" ht="15.75" customHeight="1">
      <c r="A48007" s="8"/>
      <c r="B48007" s="12"/>
      <c r="C48007" s="8"/>
      <c r="D48007" s="8"/>
    </row>
    <row r="48008" spans="1:4" ht="15.75" customHeight="1">
      <c r="A48008" s="8"/>
      <c r="B48008" s="12"/>
      <c r="C48008" s="8"/>
      <c r="D48008" s="8"/>
    </row>
    <row r="48009" spans="1:4" ht="15.75" customHeight="1">
      <c r="A48009" s="8"/>
      <c r="B48009" s="12"/>
      <c r="C48009" s="8"/>
      <c r="D48009" s="8"/>
    </row>
    <row r="48010" spans="1:4" ht="15.75" customHeight="1">
      <c r="A48010" s="8"/>
      <c r="B48010" s="12"/>
      <c r="C48010" s="8"/>
      <c r="D48010" s="8"/>
    </row>
    <row r="48011" spans="1:4" ht="15.75" customHeight="1">
      <c r="A48011" s="8"/>
      <c r="B48011" s="12"/>
      <c r="C48011" s="8"/>
      <c r="D48011" s="8"/>
    </row>
    <row r="48012" spans="1:4" ht="15.75" customHeight="1">
      <c r="A48012" s="8"/>
      <c r="B48012" s="12"/>
      <c r="C48012" s="8"/>
      <c r="D48012" s="8"/>
    </row>
    <row r="48013" spans="1:4" ht="15.75" customHeight="1">
      <c r="A48013" s="8"/>
      <c r="B48013" s="12"/>
      <c r="C48013" s="8"/>
      <c r="D48013" s="8"/>
    </row>
    <row r="48014" spans="1:4" ht="15.75" customHeight="1">
      <c r="A48014" s="8"/>
      <c r="B48014" s="12"/>
      <c r="C48014" s="8"/>
      <c r="D48014" s="8"/>
    </row>
    <row r="48015" spans="1:4" ht="15.75" customHeight="1">
      <c r="A48015" s="8"/>
      <c r="B48015" s="12"/>
      <c r="C48015" s="8"/>
      <c r="D48015" s="8"/>
    </row>
    <row r="48016" spans="1:4" ht="15.75" customHeight="1">
      <c r="A48016" s="8"/>
      <c r="B48016" s="12"/>
      <c r="C48016" s="8"/>
      <c r="D48016" s="8"/>
    </row>
    <row r="48017" spans="1:4" ht="15.75" customHeight="1">
      <c r="A48017" s="8"/>
      <c r="B48017" s="12"/>
      <c r="C48017" s="8"/>
      <c r="D48017" s="8"/>
    </row>
    <row r="48018" spans="1:4" ht="15.75" customHeight="1">
      <c r="A48018" s="8"/>
      <c r="B48018" s="12"/>
      <c r="C48018" s="8"/>
      <c r="D48018" s="8"/>
    </row>
    <row r="48019" spans="1:4" ht="15.75" customHeight="1">
      <c r="A48019" s="8"/>
      <c r="B48019" s="12"/>
      <c r="C48019" s="8"/>
      <c r="D48019" s="8"/>
    </row>
    <row r="48020" spans="1:4" ht="15.75" customHeight="1">
      <c r="A48020" s="8"/>
      <c r="B48020" s="12"/>
      <c r="C48020" s="8"/>
      <c r="D48020" s="8"/>
    </row>
    <row r="48021" spans="1:4" ht="15.75" customHeight="1">
      <c r="A48021" s="8"/>
      <c r="B48021" s="12"/>
      <c r="C48021" s="8"/>
      <c r="D48021" s="8"/>
    </row>
    <row r="48022" spans="1:4" ht="15.75" customHeight="1">
      <c r="A48022" s="8"/>
      <c r="B48022" s="12"/>
      <c r="C48022" s="8"/>
      <c r="D48022" s="8"/>
    </row>
    <row r="48023" spans="1:4" ht="15.75" customHeight="1">
      <c r="A48023" s="8"/>
      <c r="B48023" s="12"/>
      <c r="C48023" s="8"/>
      <c r="D48023" s="8"/>
    </row>
    <row r="48024" spans="1:4" ht="15.75" customHeight="1">
      <c r="A48024" s="8"/>
      <c r="B48024" s="12"/>
      <c r="C48024" s="8"/>
      <c r="D48024" s="8"/>
    </row>
    <row r="48025" spans="1:4" ht="15.75" customHeight="1">
      <c r="A48025" s="8"/>
      <c r="B48025" s="12"/>
      <c r="C48025" s="8"/>
      <c r="D48025" s="8"/>
    </row>
    <row r="48026" spans="1:4" ht="15.75" customHeight="1">
      <c r="A48026" s="8"/>
      <c r="B48026" s="12"/>
      <c r="C48026" s="8"/>
      <c r="D48026" s="8"/>
    </row>
    <row r="48027" spans="1:4" ht="15.75" customHeight="1">
      <c r="A48027" s="8"/>
      <c r="B48027" s="12"/>
      <c r="C48027" s="8"/>
      <c r="D48027" s="8"/>
    </row>
    <row r="48028" spans="1:4" ht="15.75" customHeight="1">
      <c r="A48028" s="8"/>
      <c r="B48028" s="12"/>
      <c r="C48028" s="8"/>
      <c r="D48028" s="8"/>
    </row>
    <row r="48029" spans="1:4" ht="15.75" customHeight="1">
      <c r="A48029" s="8"/>
      <c r="B48029" s="12"/>
      <c r="C48029" s="8"/>
      <c r="D48029" s="8"/>
    </row>
    <row r="48030" spans="1:4" ht="15.75" customHeight="1">
      <c r="A48030" s="8"/>
      <c r="B48030" s="12"/>
      <c r="C48030" s="8"/>
      <c r="D48030" s="8"/>
    </row>
    <row r="48031" spans="1:4" ht="15.75" customHeight="1">
      <c r="A48031" s="8"/>
      <c r="B48031" s="12"/>
      <c r="C48031" s="8"/>
      <c r="D48031" s="8"/>
    </row>
    <row r="48032" spans="1:4" ht="15.75" customHeight="1">
      <c r="A48032" s="8"/>
      <c r="B48032" s="12"/>
      <c r="C48032" s="8"/>
      <c r="D48032" s="8"/>
    </row>
    <row r="48033" spans="1:4" ht="15.75" customHeight="1">
      <c r="A48033" s="8"/>
      <c r="B48033" s="12"/>
      <c r="C48033" s="8"/>
      <c r="D48033" s="8"/>
    </row>
    <row r="48034" spans="1:4" ht="15.75" customHeight="1">
      <c r="A48034" s="8"/>
      <c r="B48034" s="12"/>
      <c r="C48034" s="8"/>
      <c r="D48034" s="8"/>
    </row>
    <row r="48035" spans="1:4" ht="15.75" customHeight="1">
      <c r="A48035" s="8"/>
      <c r="B48035" s="12"/>
      <c r="C48035" s="8"/>
      <c r="D48035" s="8"/>
    </row>
    <row r="48036" spans="1:4" ht="15.75" customHeight="1">
      <c r="A48036" s="8"/>
      <c r="B48036" s="12"/>
      <c r="C48036" s="8"/>
      <c r="D48036" s="8"/>
    </row>
    <row r="48037" spans="1:4" ht="15.75" customHeight="1">
      <c r="A48037" s="8"/>
      <c r="B48037" s="12"/>
      <c r="C48037" s="8"/>
      <c r="D48037" s="8"/>
    </row>
    <row r="48038" spans="1:4" ht="15.75" customHeight="1">
      <c r="A48038" s="8"/>
      <c r="B48038" s="12"/>
      <c r="C48038" s="8"/>
      <c r="D48038" s="8"/>
    </row>
    <row r="48039" spans="1:4" ht="15.75" customHeight="1">
      <c r="A48039" s="8"/>
      <c r="B48039" s="12"/>
      <c r="C48039" s="8"/>
      <c r="D48039" s="8"/>
    </row>
    <row r="48040" spans="1:4" ht="15.75" customHeight="1">
      <c r="A48040" s="8"/>
      <c r="B48040" s="12"/>
      <c r="C48040" s="8"/>
      <c r="D48040" s="8"/>
    </row>
    <row r="48041" spans="1:4" ht="15.75" customHeight="1">
      <c r="A48041" s="8"/>
      <c r="B48041" s="12"/>
      <c r="C48041" s="8"/>
      <c r="D48041" s="8"/>
    </row>
    <row r="48042" spans="1:4" ht="15.75" customHeight="1">
      <c r="A48042" s="8"/>
      <c r="B48042" s="12"/>
      <c r="C48042" s="8"/>
      <c r="D48042" s="8"/>
    </row>
    <row r="48043" spans="1:4" ht="15.75" customHeight="1">
      <c r="A48043" s="8"/>
      <c r="B48043" s="12"/>
      <c r="C48043" s="8"/>
      <c r="D48043" s="8"/>
    </row>
    <row r="48044" spans="1:4" ht="15.75" customHeight="1">
      <c r="A48044" s="8"/>
      <c r="B48044" s="12"/>
      <c r="C48044" s="8"/>
      <c r="D48044" s="8"/>
    </row>
    <row r="48045" spans="1:4" ht="15.75" customHeight="1">
      <c r="A48045" s="8"/>
      <c r="B48045" s="12"/>
      <c r="C48045" s="8"/>
      <c r="D48045" s="8"/>
    </row>
    <row r="48046" spans="1:4" ht="15.75" customHeight="1">
      <c r="A48046" s="8"/>
      <c r="B48046" s="12"/>
      <c r="C48046" s="8"/>
      <c r="D48046" s="8"/>
    </row>
    <row r="48047" spans="1:4" ht="15.75" customHeight="1">
      <c r="A48047" s="8"/>
      <c r="B48047" s="12"/>
      <c r="C48047" s="8"/>
      <c r="D48047" s="8"/>
    </row>
    <row r="48048" spans="1:4" ht="15.75" customHeight="1">
      <c r="A48048" s="8"/>
      <c r="B48048" s="12"/>
      <c r="C48048" s="8"/>
      <c r="D48048" s="8"/>
    </row>
    <row r="48049" spans="1:4" ht="15.75" customHeight="1">
      <c r="A48049" s="8"/>
      <c r="B48049" s="12"/>
      <c r="C48049" s="8"/>
      <c r="D48049" s="8"/>
    </row>
    <row r="48050" spans="1:4" ht="15.75" customHeight="1">
      <c r="A48050" s="8"/>
      <c r="B48050" s="12"/>
      <c r="C48050" s="8"/>
      <c r="D48050" s="8"/>
    </row>
    <row r="48051" spans="1:4" ht="15.75" customHeight="1">
      <c r="A48051" s="8"/>
      <c r="B48051" s="12"/>
      <c r="C48051" s="8"/>
      <c r="D48051" s="8"/>
    </row>
    <row r="48052" spans="1:4" ht="15.75" customHeight="1">
      <c r="A48052" s="8"/>
      <c r="B48052" s="12"/>
      <c r="C48052" s="8"/>
      <c r="D48052" s="8"/>
    </row>
    <row r="48053" spans="1:4" ht="15.75" customHeight="1">
      <c r="A48053" s="8"/>
      <c r="B48053" s="12"/>
      <c r="C48053" s="8"/>
      <c r="D48053" s="8"/>
    </row>
    <row r="48054" spans="1:4" ht="15.75" customHeight="1">
      <c r="A48054" s="8"/>
      <c r="B48054" s="12"/>
      <c r="C48054" s="8"/>
      <c r="D48054" s="8"/>
    </row>
    <row r="48055" spans="1:4" ht="15.75" customHeight="1">
      <c r="A48055" s="8"/>
      <c r="B48055" s="12"/>
      <c r="C48055" s="8"/>
      <c r="D48055" s="8"/>
    </row>
    <row r="48056" spans="1:4" ht="15.75" customHeight="1">
      <c r="A48056" s="8"/>
      <c r="B48056" s="12"/>
      <c r="C48056" s="8"/>
      <c r="D48056" s="8"/>
    </row>
    <row r="48057" spans="1:4" ht="15.75" customHeight="1">
      <c r="A48057" s="8"/>
      <c r="B48057" s="12"/>
      <c r="C48057" s="8"/>
      <c r="D48057" s="8"/>
    </row>
    <row r="48058" spans="1:4" ht="15.75" customHeight="1">
      <c r="A48058" s="8"/>
      <c r="B48058" s="12"/>
      <c r="C48058" s="8"/>
      <c r="D48058" s="8"/>
    </row>
    <row r="48059" spans="1:4" ht="15.75" customHeight="1">
      <c r="A48059" s="8"/>
      <c r="B48059" s="12"/>
      <c r="C48059" s="8"/>
      <c r="D48059" s="8"/>
    </row>
    <row r="48060" spans="1:4" ht="15.75" customHeight="1">
      <c r="A48060" s="8"/>
      <c r="B48060" s="12"/>
      <c r="C48060" s="8"/>
      <c r="D48060" s="8"/>
    </row>
    <row r="48061" spans="1:4" ht="15.75" customHeight="1">
      <c r="A48061" s="8"/>
      <c r="B48061" s="12"/>
      <c r="C48061" s="8"/>
      <c r="D48061" s="8"/>
    </row>
    <row r="48062" spans="1:4" ht="15.75" customHeight="1">
      <c r="A48062" s="8"/>
      <c r="B48062" s="12"/>
      <c r="C48062" s="8"/>
      <c r="D48062" s="8"/>
    </row>
    <row r="48063" spans="1:4" ht="15.75" customHeight="1">
      <c r="A48063" s="8"/>
      <c r="B48063" s="12"/>
      <c r="C48063" s="8"/>
      <c r="D48063" s="8"/>
    </row>
    <row r="48064" spans="1:4" ht="15.75" customHeight="1">
      <c r="A48064" s="8"/>
      <c r="B48064" s="12"/>
      <c r="C48064" s="8"/>
      <c r="D48064" s="8"/>
    </row>
    <row r="48065" spans="1:4" ht="15.75" customHeight="1">
      <c r="A48065" s="8"/>
      <c r="B48065" s="12"/>
      <c r="C48065" s="8"/>
      <c r="D48065" s="8"/>
    </row>
    <row r="48066" spans="1:4" ht="15.75" customHeight="1">
      <c r="A48066" s="8"/>
      <c r="B48066" s="12"/>
      <c r="C48066" s="8"/>
      <c r="D48066" s="8"/>
    </row>
    <row r="48067" spans="1:4" ht="15.75" customHeight="1">
      <c r="A48067" s="8"/>
      <c r="B48067" s="12"/>
      <c r="C48067" s="8"/>
      <c r="D48067" s="8"/>
    </row>
    <row r="48068" spans="1:4" ht="15.75" customHeight="1">
      <c r="A48068" s="8"/>
      <c r="B48068" s="12"/>
      <c r="C48068" s="8"/>
      <c r="D48068" s="8"/>
    </row>
    <row r="48069" spans="1:4" ht="15.75" customHeight="1">
      <c r="A48069" s="8"/>
      <c r="B48069" s="12"/>
      <c r="C48069" s="8"/>
      <c r="D48069" s="8"/>
    </row>
    <row r="48070" spans="1:4" ht="15.75" customHeight="1">
      <c r="A48070" s="8"/>
      <c r="B48070" s="12"/>
      <c r="C48070" s="8"/>
      <c r="D48070" s="8"/>
    </row>
    <row r="48071" spans="1:4" ht="15.75" customHeight="1">
      <c r="A48071" s="8"/>
      <c r="B48071" s="12"/>
      <c r="C48071" s="8"/>
      <c r="D48071" s="8"/>
    </row>
    <row r="48072" spans="1:4" ht="15.75" customHeight="1">
      <c r="A48072" s="8"/>
      <c r="B48072" s="12"/>
      <c r="C48072" s="8"/>
      <c r="D48072" s="8"/>
    </row>
    <row r="48073" spans="1:4" ht="15.75" customHeight="1">
      <c r="A48073" s="8"/>
      <c r="B48073" s="12"/>
      <c r="C48073" s="8"/>
      <c r="D48073" s="8"/>
    </row>
    <row r="48074" spans="1:4" ht="15.75" customHeight="1">
      <c r="A48074" s="8"/>
      <c r="B48074" s="12"/>
      <c r="C48074" s="8"/>
      <c r="D48074" s="8"/>
    </row>
    <row r="48075" spans="1:4" ht="15.75" customHeight="1">
      <c r="A48075" s="8"/>
      <c r="B48075" s="12"/>
      <c r="C48075" s="8"/>
      <c r="D48075" s="8"/>
    </row>
    <row r="48076" spans="1:4" ht="15.75" customHeight="1">
      <c r="A48076" s="8"/>
      <c r="B48076" s="12"/>
      <c r="C48076" s="8"/>
      <c r="D48076" s="8"/>
    </row>
    <row r="48077" spans="1:4" ht="15.75" customHeight="1">
      <c r="A48077" s="8"/>
      <c r="B48077" s="12"/>
      <c r="C48077" s="8"/>
      <c r="D48077" s="8"/>
    </row>
    <row r="48078" spans="1:4" ht="15.75" customHeight="1">
      <c r="A48078" s="8"/>
      <c r="B48078" s="12"/>
      <c r="C48078" s="8"/>
      <c r="D48078" s="8"/>
    </row>
    <row r="48079" spans="1:4" ht="15.75" customHeight="1">
      <c r="A48079" s="8"/>
      <c r="B48079" s="12"/>
      <c r="C48079" s="8"/>
      <c r="D48079" s="8"/>
    </row>
    <row r="48080" spans="1:4" ht="15.75" customHeight="1">
      <c r="A48080" s="8"/>
      <c r="B48080" s="12"/>
      <c r="C48080" s="8"/>
      <c r="D48080" s="8"/>
    </row>
    <row r="48081" spans="1:4" ht="15.75" customHeight="1">
      <c r="A48081" s="8"/>
      <c r="B48081" s="12"/>
      <c r="C48081" s="8"/>
      <c r="D48081" s="8"/>
    </row>
    <row r="48082" spans="1:4" ht="15.75" customHeight="1">
      <c r="A48082" s="8"/>
      <c r="B48082" s="12"/>
      <c r="C48082" s="8"/>
      <c r="D48082" s="8"/>
    </row>
    <row r="48083" spans="1:4" ht="15.75" customHeight="1">
      <c r="A48083" s="8"/>
      <c r="B48083" s="12"/>
      <c r="C48083" s="8"/>
      <c r="D48083" s="8"/>
    </row>
    <row r="48084" spans="1:4" ht="15.75" customHeight="1">
      <c r="A48084" s="8"/>
      <c r="B48084" s="12"/>
      <c r="C48084" s="8"/>
      <c r="D48084" s="8"/>
    </row>
    <row r="48085" spans="1:4" ht="15.75" customHeight="1">
      <c r="A48085" s="8"/>
      <c r="B48085" s="12"/>
      <c r="C48085" s="8"/>
      <c r="D48085" s="8"/>
    </row>
    <row r="48086" spans="1:4" ht="15.75" customHeight="1">
      <c r="A48086" s="8"/>
      <c r="B48086" s="12"/>
      <c r="C48086" s="8"/>
      <c r="D48086" s="8"/>
    </row>
    <row r="48087" spans="1:4" ht="15.75" customHeight="1">
      <c r="A48087" s="8"/>
      <c r="B48087" s="12"/>
      <c r="C48087" s="8"/>
      <c r="D48087" s="8"/>
    </row>
    <row r="48088" spans="1:4" ht="15.75" customHeight="1">
      <c r="A48088" s="8"/>
      <c r="B48088" s="12"/>
      <c r="C48088" s="8"/>
      <c r="D48088" s="8"/>
    </row>
    <row r="48089" spans="1:4" ht="15.75" customHeight="1">
      <c r="A48089" s="8"/>
      <c r="B48089" s="12"/>
      <c r="C48089" s="8"/>
      <c r="D48089" s="8"/>
    </row>
    <row r="48090" spans="1:4" ht="15.75" customHeight="1">
      <c r="A48090" s="8"/>
      <c r="B48090" s="12"/>
      <c r="C48090" s="8"/>
      <c r="D48090" s="8"/>
    </row>
    <row r="48091" spans="1:4" ht="15.75" customHeight="1">
      <c r="A48091" s="8"/>
      <c r="B48091" s="12"/>
      <c r="C48091" s="8"/>
      <c r="D48091" s="8"/>
    </row>
    <row r="48092" spans="1:4" ht="15.75" customHeight="1">
      <c r="A48092" s="8"/>
      <c r="B48092" s="12"/>
      <c r="C48092" s="8"/>
      <c r="D48092" s="8"/>
    </row>
    <row r="48093" spans="1:4" ht="15.75" customHeight="1">
      <c r="A48093" s="8"/>
      <c r="B48093" s="12"/>
      <c r="C48093" s="8"/>
      <c r="D48093" s="8"/>
    </row>
    <row r="48094" spans="1:4" ht="15.75" customHeight="1">
      <c r="A48094" s="8"/>
      <c r="B48094" s="12"/>
      <c r="C48094" s="8"/>
      <c r="D48094" s="8"/>
    </row>
    <row r="48095" spans="1:4" ht="15.75" customHeight="1">
      <c r="A48095" s="8"/>
      <c r="B48095" s="12"/>
      <c r="C48095" s="8"/>
      <c r="D48095" s="8"/>
    </row>
    <row r="48096" spans="1:4" ht="15.75" customHeight="1">
      <c r="A48096" s="8"/>
      <c r="B48096" s="12"/>
      <c r="C48096" s="8"/>
      <c r="D48096" s="8"/>
    </row>
    <row r="48097" spans="1:4" ht="15.75" customHeight="1">
      <c r="A48097" s="8"/>
      <c r="B48097" s="12"/>
      <c r="C48097" s="8"/>
      <c r="D48097" s="8"/>
    </row>
    <row r="48098" spans="1:4" ht="15.75" customHeight="1">
      <c r="A48098" s="8"/>
      <c r="B48098" s="12"/>
      <c r="C48098" s="8"/>
      <c r="D48098" s="8"/>
    </row>
    <row r="48099" spans="1:4" ht="15.75" customHeight="1">
      <c r="A48099" s="8"/>
      <c r="B48099" s="12"/>
      <c r="C48099" s="8"/>
      <c r="D48099" s="8"/>
    </row>
    <row r="48100" spans="1:4" ht="15.75" customHeight="1">
      <c r="A48100" s="8"/>
      <c r="B48100" s="12"/>
      <c r="C48100" s="8"/>
      <c r="D48100" s="8"/>
    </row>
    <row r="48101" spans="1:4" ht="15.75" customHeight="1">
      <c r="A48101" s="8"/>
      <c r="B48101" s="12"/>
      <c r="C48101" s="8"/>
      <c r="D48101" s="8"/>
    </row>
    <row r="48102" spans="1:4" ht="15.75" customHeight="1">
      <c r="A48102" s="8"/>
      <c r="B48102" s="12"/>
      <c r="C48102" s="8"/>
      <c r="D48102" s="8"/>
    </row>
    <row r="48103" spans="1:4" ht="15.75" customHeight="1">
      <c r="A48103" s="8"/>
      <c r="B48103" s="12"/>
      <c r="C48103" s="8"/>
      <c r="D48103" s="8"/>
    </row>
    <row r="48104" spans="1:4" ht="15.75" customHeight="1">
      <c r="A48104" s="8"/>
      <c r="B48104" s="12"/>
      <c r="C48104" s="8"/>
      <c r="D48104" s="8"/>
    </row>
    <row r="48105" spans="1:4" ht="15.75" customHeight="1">
      <c r="A48105" s="8"/>
      <c r="B48105" s="12"/>
      <c r="C48105" s="8"/>
      <c r="D48105" s="8"/>
    </row>
    <row r="48106" spans="1:4" ht="15.75" customHeight="1">
      <c r="A48106" s="8"/>
      <c r="B48106" s="12"/>
      <c r="C48106" s="8"/>
      <c r="D48106" s="8"/>
    </row>
    <row r="48107" spans="1:4" ht="15.75" customHeight="1">
      <c r="A48107" s="8"/>
      <c r="B48107" s="12"/>
      <c r="C48107" s="8"/>
      <c r="D48107" s="8"/>
    </row>
    <row r="48108" spans="1:4" ht="15.75" customHeight="1">
      <c r="A48108" s="8"/>
      <c r="B48108" s="12"/>
      <c r="C48108" s="8"/>
      <c r="D48108" s="8"/>
    </row>
    <row r="48109" spans="1:4" ht="15.75" customHeight="1">
      <c r="A48109" s="8"/>
      <c r="B48109" s="12"/>
      <c r="C48109" s="8"/>
      <c r="D48109" s="8"/>
    </row>
    <row r="48110" spans="1:4" ht="15.75" customHeight="1">
      <c r="A48110" s="8"/>
      <c r="B48110" s="12"/>
      <c r="C48110" s="8"/>
      <c r="D48110" s="8"/>
    </row>
    <row r="48111" spans="1:4" ht="15.75" customHeight="1">
      <c r="A48111" s="8"/>
      <c r="B48111" s="12"/>
      <c r="C48111" s="8"/>
      <c r="D48111" s="8"/>
    </row>
    <row r="48112" spans="1:4" ht="15.75" customHeight="1">
      <c r="A48112" s="8"/>
      <c r="B48112" s="12"/>
      <c r="C48112" s="8"/>
      <c r="D48112" s="8"/>
    </row>
    <row r="48113" spans="1:4" ht="15.75" customHeight="1">
      <c r="A48113" s="8"/>
      <c r="B48113" s="12"/>
      <c r="C48113" s="8"/>
      <c r="D48113" s="8"/>
    </row>
    <row r="48114" spans="1:4" ht="15.75" customHeight="1">
      <c r="A48114" s="8"/>
      <c r="B48114" s="12"/>
      <c r="C48114" s="8"/>
      <c r="D48114" s="8"/>
    </row>
    <row r="48115" spans="1:4" ht="15.75" customHeight="1">
      <c r="A48115" s="8"/>
      <c r="B48115" s="12"/>
      <c r="C48115" s="8"/>
      <c r="D48115" s="8"/>
    </row>
    <row r="48116" spans="1:4" ht="15.75" customHeight="1">
      <c r="A48116" s="8"/>
      <c r="B48116" s="12"/>
      <c r="C48116" s="8"/>
      <c r="D48116" s="8"/>
    </row>
    <row r="48117" spans="1:4" ht="15.75" customHeight="1">
      <c r="A48117" s="8"/>
      <c r="B48117" s="12"/>
      <c r="C48117" s="8"/>
      <c r="D48117" s="8"/>
    </row>
    <row r="48118" spans="1:4" ht="15.75" customHeight="1">
      <c r="A48118" s="8"/>
      <c r="B48118" s="12"/>
      <c r="C48118" s="8"/>
      <c r="D48118" s="8"/>
    </row>
    <row r="48119" spans="1:4" ht="15.75" customHeight="1">
      <c r="A48119" s="8"/>
      <c r="B48119" s="12"/>
      <c r="C48119" s="8"/>
      <c r="D48119" s="8"/>
    </row>
    <row r="48120" spans="1:4" ht="15.75" customHeight="1">
      <c r="A48120" s="8"/>
      <c r="B48120" s="12"/>
      <c r="C48120" s="8"/>
      <c r="D48120" s="8"/>
    </row>
    <row r="48121" spans="1:4" ht="15.75" customHeight="1">
      <c r="A48121" s="8"/>
      <c r="B48121" s="12"/>
      <c r="C48121" s="8"/>
      <c r="D48121" s="8"/>
    </row>
    <row r="48122" spans="1:4" ht="15.75" customHeight="1">
      <c r="A48122" s="8"/>
      <c r="B48122" s="12"/>
      <c r="C48122" s="8"/>
      <c r="D48122" s="8"/>
    </row>
    <row r="48123" spans="1:4" ht="15.75" customHeight="1">
      <c r="A48123" s="8"/>
      <c r="B48123" s="12"/>
      <c r="C48123" s="8"/>
      <c r="D48123" s="8"/>
    </row>
    <row r="48124" spans="1:4" ht="15.75" customHeight="1">
      <c r="A48124" s="8"/>
      <c r="B48124" s="12"/>
      <c r="C48124" s="8"/>
      <c r="D48124" s="8"/>
    </row>
    <row r="48125" spans="1:4" ht="15.75" customHeight="1">
      <c r="A48125" s="8"/>
      <c r="B48125" s="12"/>
      <c r="C48125" s="8"/>
      <c r="D48125" s="8"/>
    </row>
    <row r="48126" spans="1:4" ht="15.75" customHeight="1">
      <c r="A48126" s="8"/>
      <c r="B48126" s="12"/>
      <c r="C48126" s="8"/>
      <c r="D48126" s="8"/>
    </row>
    <row r="48127" spans="1:4" ht="15.75" customHeight="1">
      <c r="A48127" s="8"/>
      <c r="B48127" s="12"/>
      <c r="C48127" s="8"/>
      <c r="D48127" s="8"/>
    </row>
    <row r="48128" spans="1:4" ht="15.75" customHeight="1">
      <c r="A48128" s="8"/>
      <c r="B48128" s="12"/>
      <c r="C48128" s="8"/>
      <c r="D48128" s="8"/>
    </row>
    <row r="48129" spans="1:4" ht="15.75" customHeight="1">
      <c r="A48129" s="8"/>
      <c r="B48129" s="12"/>
      <c r="C48129" s="8"/>
      <c r="D48129" s="8"/>
    </row>
    <row r="48130" spans="1:4" ht="15.75" customHeight="1">
      <c r="A48130" s="8"/>
      <c r="B48130" s="12"/>
      <c r="C48130" s="8"/>
      <c r="D48130" s="8"/>
    </row>
    <row r="48131" spans="1:4" ht="15.75" customHeight="1">
      <c r="A48131" s="8"/>
      <c r="B48131" s="12"/>
      <c r="C48131" s="8"/>
      <c r="D48131" s="8"/>
    </row>
    <row r="48132" spans="1:4" ht="15.75" customHeight="1">
      <c r="A48132" s="8"/>
      <c r="B48132" s="12"/>
      <c r="C48132" s="8"/>
      <c r="D48132" s="8"/>
    </row>
    <row r="48133" spans="1:4" ht="15.75" customHeight="1">
      <c r="A48133" s="8"/>
      <c r="B48133" s="12"/>
      <c r="C48133" s="8"/>
      <c r="D48133" s="8"/>
    </row>
    <row r="48134" spans="1:4" ht="15.75" customHeight="1">
      <c r="A48134" s="8"/>
      <c r="B48134" s="12"/>
      <c r="C48134" s="8"/>
      <c r="D48134" s="8"/>
    </row>
    <row r="48135" spans="1:4" ht="15.75" customHeight="1">
      <c r="A48135" s="8"/>
      <c r="B48135" s="12"/>
      <c r="C48135" s="8"/>
      <c r="D48135" s="8"/>
    </row>
    <row r="48136" spans="1:4" ht="15.75" customHeight="1">
      <c r="A48136" s="8"/>
      <c r="B48136" s="12"/>
      <c r="C48136" s="8"/>
      <c r="D48136" s="8"/>
    </row>
    <row r="48137" spans="1:4" ht="15.75" customHeight="1">
      <c r="A48137" s="8"/>
      <c r="B48137" s="12"/>
      <c r="C48137" s="8"/>
      <c r="D48137" s="8"/>
    </row>
    <row r="48138" spans="1:4" ht="15.75" customHeight="1">
      <c r="A48138" s="8"/>
      <c r="B48138" s="12"/>
      <c r="C48138" s="8"/>
      <c r="D48138" s="8"/>
    </row>
    <row r="48139" spans="1:4" ht="15.75" customHeight="1">
      <c r="A48139" s="8"/>
      <c r="B48139" s="12"/>
      <c r="C48139" s="8"/>
      <c r="D48139" s="8"/>
    </row>
    <row r="48140" spans="1:4" ht="15.75" customHeight="1">
      <c r="A48140" s="8"/>
      <c r="B48140" s="12"/>
      <c r="C48140" s="8"/>
      <c r="D48140" s="8"/>
    </row>
    <row r="48141" spans="1:4" ht="15.75" customHeight="1">
      <c r="A48141" s="8"/>
      <c r="B48141" s="12"/>
      <c r="C48141" s="8"/>
      <c r="D48141" s="8"/>
    </row>
    <row r="48142" spans="1:4" ht="15.75" customHeight="1">
      <c r="A48142" s="8"/>
      <c r="B48142" s="12"/>
      <c r="C48142" s="8"/>
      <c r="D48142" s="8"/>
    </row>
    <row r="48143" spans="1:4" ht="15.75" customHeight="1">
      <c r="A48143" s="8"/>
      <c r="B48143" s="12"/>
      <c r="C48143" s="8"/>
      <c r="D48143" s="8"/>
    </row>
    <row r="48144" spans="1:4" ht="15.75" customHeight="1">
      <c r="A48144" s="8"/>
      <c r="B48144" s="12"/>
      <c r="C48144" s="8"/>
      <c r="D48144" s="8"/>
    </row>
    <row r="48145" spans="1:4" ht="15.75" customHeight="1">
      <c r="A48145" s="8"/>
      <c r="B48145" s="12"/>
      <c r="C48145" s="8"/>
      <c r="D48145" s="8"/>
    </row>
    <row r="48146" spans="1:4" ht="15.75" customHeight="1">
      <c r="A48146" s="8"/>
      <c r="B48146" s="12"/>
      <c r="C48146" s="8"/>
      <c r="D48146" s="8"/>
    </row>
    <row r="48147" spans="1:4" ht="15.75" customHeight="1">
      <c r="A48147" s="8"/>
      <c r="B48147" s="12"/>
      <c r="C48147" s="8"/>
      <c r="D48147" s="8"/>
    </row>
    <row r="48148" spans="1:4" ht="15.75" customHeight="1">
      <c r="A48148" s="8"/>
      <c r="B48148" s="12"/>
      <c r="C48148" s="8"/>
      <c r="D48148" s="8"/>
    </row>
    <row r="48149" spans="1:4" ht="15.75" customHeight="1">
      <c r="A48149" s="8"/>
      <c r="B48149" s="12"/>
      <c r="C48149" s="8"/>
      <c r="D48149" s="8"/>
    </row>
    <row r="48150" spans="1:4" ht="15.75" customHeight="1">
      <c r="A48150" s="8"/>
      <c r="B48150" s="12"/>
      <c r="C48150" s="8"/>
      <c r="D48150" s="8"/>
    </row>
    <row r="48151" spans="1:4" ht="15.75" customHeight="1">
      <c r="A48151" s="8"/>
      <c r="B48151" s="12"/>
      <c r="C48151" s="8"/>
      <c r="D48151" s="8"/>
    </row>
    <row r="48152" spans="1:4" ht="15.75" customHeight="1">
      <c r="A48152" s="8"/>
      <c r="B48152" s="12"/>
      <c r="C48152" s="8"/>
      <c r="D48152" s="8"/>
    </row>
    <row r="48153" spans="1:4" ht="15.75" customHeight="1">
      <c r="A48153" s="8"/>
      <c r="B48153" s="12"/>
      <c r="C48153" s="8"/>
      <c r="D48153" s="8"/>
    </row>
    <row r="48154" spans="1:4" ht="15.75" customHeight="1">
      <c r="A48154" s="8"/>
      <c r="B48154" s="12"/>
      <c r="C48154" s="8"/>
      <c r="D48154" s="8"/>
    </row>
    <row r="48155" spans="1:4" ht="15.75" customHeight="1">
      <c r="A48155" s="8"/>
      <c r="B48155" s="12"/>
      <c r="C48155" s="8"/>
      <c r="D48155" s="8"/>
    </row>
    <row r="48156" spans="1:4" ht="15.75" customHeight="1">
      <c r="A48156" s="8"/>
      <c r="B48156" s="12"/>
      <c r="C48156" s="8"/>
      <c r="D48156" s="8"/>
    </row>
    <row r="48157" spans="1:4" ht="15.75" customHeight="1">
      <c r="A48157" s="8"/>
      <c r="B48157" s="12"/>
      <c r="C48157" s="8"/>
      <c r="D48157" s="8"/>
    </row>
    <row r="48158" spans="1:4" ht="15.75" customHeight="1">
      <c r="A48158" s="8"/>
      <c r="B48158" s="12"/>
      <c r="C48158" s="8"/>
      <c r="D48158" s="8"/>
    </row>
    <row r="48159" spans="1:4" ht="15.75" customHeight="1">
      <c r="A48159" s="8"/>
      <c r="B48159" s="12"/>
      <c r="C48159" s="8"/>
      <c r="D48159" s="8"/>
    </row>
    <row r="48160" spans="1:4" ht="15.75" customHeight="1">
      <c r="A48160" s="8"/>
      <c r="B48160" s="12"/>
      <c r="C48160" s="8"/>
      <c r="D48160" s="8"/>
    </row>
    <row r="48161" spans="1:4" ht="15.75" customHeight="1">
      <c r="A48161" s="8"/>
      <c r="B48161" s="12"/>
      <c r="C48161" s="8"/>
      <c r="D48161" s="8"/>
    </row>
    <row r="48162" spans="1:4" ht="15.75" customHeight="1">
      <c r="A48162" s="8"/>
      <c r="B48162" s="12"/>
      <c r="C48162" s="8"/>
      <c r="D48162" s="8"/>
    </row>
    <row r="48163" spans="1:4" ht="15.75" customHeight="1">
      <c r="A48163" s="8"/>
      <c r="B48163" s="12"/>
      <c r="C48163" s="8"/>
      <c r="D48163" s="8"/>
    </row>
    <row r="48164" spans="1:4" ht="15.75" customHeight="1">
      <c r="A48164" s="8"/>
      <c r="B48164" s="12"/>
      <c r="C48164" s="8"/>
      <c r="D48164" s="8"/>
    </row>
    <row r="48165" spans="1:4" ht="15.75" customHeight="1">
      <c r="A48165" s="8"/>
      <c r="B48165" s="12"/>
      <c r="C48165" s="8"/>
      <c r="D48165" s="8"/>
    </row>
    <row r="48166" spans="1:4" ht="15.75" customHeight="1">
      <c r="A48166" s="8"/>
      <c r="B48166" s="12"/>
      <c r="C48166" s="8"/>
      <c r="D48166" s="8"/>
    </row>
    <row r="48167" spans="1:4" ht="15.75" customHeight="1">
      <c r="A48167" s="8"/>
      <c r="B48167" s="12"/>
      <c r="C48167" s="8"/>
      <c r="D48167" s="8"/>
    </row>
    <row r="48168" spans="1:4" ht="15.75" customHeight="1">
      <c r="A48168" s="8"/>
      <c r="B48168" s="12"/>
      <c r="C48168" s="8"/>
      <c r="D48168" s="8"/>
    </row>
    <row r="48169" spans="1:4" ht="15.75" customHeight="1">
      <c r="A48169" s="8"/>
      <c r="B48169" s="12"/>
      <c r="C48169" s="8"/>
      <c r="D48169" s="8"/>
    </row>
    <row r="48170" spans="1:4" ht="15.75" customHeight="1">
      <c r="A48170" s="8"/>
      <c r="B48170" s="12"/>
      <c r="C48170" s="8"/>
      <c r="D48170" s="8"/>
    </row>
    <row r="48171" spans="1:4" ht="15.75" customHeight="1">
      <c r="A48171" s="8"/>
      <c r="B48171" s="12"/>
      <c r="C48171" s="8"/>
      <c r="D48171" s="8"/>
    </row>
    <row r="48172" spans="1:4" ht="15.75" customHeight="1">
      <c r="A48172" s="8"/>
      <c r="B48172" s="12"/>
      <c r="C48172" s="8"/>
      <c r="D48172" s="8"/>
    </row>
    <row r="48173" spans="1:4" ht="15.75" customHeight="1">
      <c r="A48173" s="8"/>
      <c r="B48173" s="12"/>
      <c r="C48173" s="8"/>
      <c r="D48173" s="8"/>
    </row>
    <row r="48174" spans="1:4" ht="15.75" customHeight="1">
      <c r="A48174" s="8"/>
      <c r="B48174" s="12"/>
      <c r="C48174" s="8"/>
      <c r="D48174" s="8"/>
    </row>
    <row r="48175" spans="1:4" ht="15.75" customHeight="1">
      <c r="A48175" s="8"/>
      <c r="B48175" s="12"/>
      <c r="C48175" s="8"/>
      <c r="D48175" s="8"/>
    </row>
    <row r="48176" spans="1:4" ht="15.75" customHeight="1">
      <c r="A48176" s="8"/>
      <c r="B48176" s="12"/>
      <c r="C48176" s="8"/>
      <c r="D48176" s="8"/>
    </row>
    <row r="48177" spans="1:4" ht="15.75" customHeight="1">
      <c r="A48177" s="8"/>
      <c r="B48177" s="12"/>
      <c r="C48177" s="8"/>
      <c r="D48177" s="8"/>
    </row>
    <row r="48178" spans="1:4" ht="15.75" customHeight="1">
      <c r="A48178" s="8"/>
      <c r="B48178" s="12"/>
      <c r="C48178" s="8"/>
      <c r="D48178" s="8"/>
    </row>
    <row r="48179" spans="1:4" ht="15.75" customHeight="1">
      <c r="A48179" s="8"/>
      <c r="B48179" s="12"/>
      <c r="C48179" s="8"/>
      <c r="D48179" s="8"/>
    </row>
    <row r="48180" spans="1:4" ht="15.75" customHeight="1">
      <c r="A48180" s="8"/>
      <c r="B48180" s="12"/>
      <c r="C48180" s="8"/>
      <c r="D48180" s="8"/>
    </row>
    <row r="48181" spans="1:4" ht="15.75" customHeight="1">
      <c r="A48181" s="8"/>
      <c r="B48181" s="12"/>
      <c r="C48181" s="8"/>
      <c r="D48181" s="8"/>
    </row>
    <row r="48182" spans="1:4" ht="15.75" customHeight="1">
      <c r="A48182" s="8"/>
      <c r="B48182" s="12"/>
      <c r="C48182" s="8"/>
      <c r="D48182" s="8"/>
    </row>
    <row r="48183" spans="1:4" ht="15.75" customHeight="1">
      <c r="A48183" s="8"/>
      <c r="B48183" s="12"/>
      <c r="C48183" s="8"/>
      <c r="D48183" s="8"/>
    </row>
    <row r="48184" spans="1:4" ht="15.75" customHeight="1">
      <c r="A48184" s="8"/>
      <c r="B48184" s="12"/>
      <c r="C48184" s="8"/>
      <c r="D48184" s="8"/>
    </row>
    <row r="48185" spans="1:4" ht="15.75" customHeight="1">
      <c r="A48185" s="8"/>
      <c r="B48185" s="12"/>
      <c r="C48185" s="8"/>
      <c r="D48185" s="8"/>
    </row>
    <row r="48186" spans="1:4" ht="15.75" customHeight="1">
      <c r="A48186" s="8"/>
      <c r="B48186" s="12"/>
      <c r="C48186" s="8"/>
      <c r="D48186" s="8"/>
    </row>
    <row r="48187" spans="1:4" ht="15.75" customHeight="1">
      <c r="A48187" s="8"/>
      <c r="B48187" s="12"/>
      <c r="C48187" s="8"/>
      <c r="D48187" s="8"/>
    </row>
    <row r="48188" spans="1:4" ht="15.75" customHeight="1">
      <c r="A48188" s="8"/>
      <c r="B48188" s="12"/>
      <c r="C48188" s="8"/>
      <c r="D48188" s="8"/>
    </row>
    <row r="48189" spans="1:4" ht="15.75" customHeight="1">
      <c r="A48189" s="8"/>
      <c r="B48189" s="12"/>
      <c r="C48189" s="8"/>
      <c r="D48189" s="8"/>
    </row>
    <row r="48190" spans="1:4" ht="15.75" customHeight="1">
      <c r="A48190" s="8"/>
      <c r="B48190" s="12"/>
      <c r="C48190" s="8"/>
      <c r="D48190" s="8"/>
    </row>
    <row r="48191" spans="1:4" ht="15.75" customHeight="1">
      <c r="A48191" s="8"/>
      <c r="B48191" s="12"/>
      <c r="C48191" s="8"/>
      <c r="D48191" s="8"/>
    </row>
    <row r="48192" spans="1:4" ht="15.75" customHeight="1">
      <c r="A48192" s="8"/>
      <c r="B48192" s="12"/>
      <c r="C48192" s="8"/>
      <c r="D48192" s="8"/>
    </row>
    <row r="48193" spans="1:4" ht="15.75" customHeight="1">
      <c r="A48193" s="8"/>
      <c r="B48193" s="12"/>
      <c r="C48193" s="8"/>
      <c r="D48193" s="8"/>
    </row>
    <row r="48194" spans="1:4" ht="15.75" customHeight="1">
      <c r="A48194" s="8"/>
      <c r="B48194" s="12"/>
      <c r="C48194" s="8"/>
      <c r="D48194" s="8"/>
    </row>
    <row r="48195" spans="1:4" ht="15.75" customHeight="1">
      <c r="A48195" s="8"/>
      <c r="B48195" s="12"/>
      <c r="C48195" s="8"/>
      <c r="D48195" s="8"/>
    </row>
    <row r="48196" spans="1:4" ht="15.75" customHeight="1">
      <c r="A48196" s="8"/>
      <c r="B48196" s="12"/>
      <c r="C48196" s="8"/>
      <c r="D48196" s="8"/>
    </row>
    <row r="48197" spans="1:4" ht="15.75" customHeight="1">
      <c r="A48197" s="8"/>
      <c r="B48197" s="12"/>
      <c r="C48197" s="8"/>
      <c r="D48197" s="8"/>
    </row>
    <row r="48198" spans="1:4" ht="15.75" customHeight="1">
      <c r="A48198" s="8"/>
      <c r="B48198" s="12"/>
      <c r="C48198" s="8"/>
      <c r="D48198" s="8"/>
    </row>
    <row r="48199" spans="1:4" ht="15.75" customHeight="1">
      <c r="A48199" s="8"/>
      <c r="B48199" s="12"/>
      <c r="C48199" s="8"/>
      <c r="D48199" s="8"/>
    </row>
    <row r="48200" spans="1:4" ht="15.75" customHeight="1">
      <c r="A48200" s="8"/>
      <c r="B48200" s="12"/>
      <c r="C48200" s="8"/>
      <c r="D48200" s="8"/>
    </row>
    <row r="48201" spans="1:4" ht="15.75" customHeight="1">
      <c r="A48201" s="8"/>
      <c r="B48201" s="12"/>
      <c r="C48201" s="8"/>
      <c r="D48201" s="8"/>
    </row>
    <row r="48202" spans="1:4" ht="15.75" customHeight="1">
      <c r="A48202" s="8"/>
      <c r="B48202" s="12"/>
      <c r="C48202" s="8"/>
      <c r="D48202" s="8"/>
    </row>
    <row r="48203" spans="1:4" ht="15.75" customHeight="1">
      <c r="A48203" s="8"/>
      <c r="B48203" s="12"/>
      <c r="C48203" s="8"/>
      <c r="D48203" s="8"/>
    </row>
    <row r="48204" spans="1:4" ht="15.75" customHeight="1">
      <c r="A48204" s="8"/>
      <c r="B48204" s="12"/>
      <c r="C48204" s="8"/>
      <c r="D48204" s="8"/>
    </row>
    <row r="48205" spans="1:4" ht="15.75" customHeight="1">
      <c r="A48205" s="8"/>
      <c r="B48205" s="12"/>
      <c r="C48205" s="8"/>
      <c r="D48205" s="8"/>
    </row>
    <row r="48206" spans="1:4" ht="15.75" customHeight="1">
      <c r="A48206" s="8"/>
      <c r="B48206" s="12"/>
      <c r="C48206" s="8"/>
      <c r="D48206" s="8"/>
    </row>
    <row r="48207" spans="1:4" ht="15.75" customHeight="1">
      <c r="A48207" s="8"/>
      <c r="B48207" s="12"/>
      <c r="C48207" s="8"/>
      <c r="D48207" s="8"/>
    </row>
    <row r="48208" spans="1:4" ht="15.75" customHeight="1">
      <c r="A48208" s="8"/>
      <c r="B48208" s="12"/>
      <c r="C48208" s="8"/>
      <c r="D48208" s="8"/>
    </row>
    <row r="48209" spans="1:4" ht="15.75" customHeight="1">
      <c r="A48209" s="8"/>
      <c r="B48209" s="12"/>
      <c r="C48209" s="8"/>
      <c r="D48209" s="8"/>
    </row>
    <row r="48210" spans="1:4" ht="15.75" customHeight="1">
      <c r="A48210" s="8"/>
      <c r="B48210" s="12"/>
      <c r="C48210" s="8"/>
      <c r="D48210" s="8"/>
    </row>
    <row r="48211" spans="1:4" ht="15.75" customHeight="1">
      <c r="A48211" s="8"/>
      <c r="B48211" s="12"/>
      <c r="C48211" s="8"/>
      <c r="D48211" s="8"/>
    </row>
    <row r="48212" spans="1:4" ht="15.75" customHeight="1">
      <c r="A48212" s="8"/>
      <c r="B48212" s="12"/>
      <c r="C48212" s="8"/>
      <c r="D48212" s="8"/>
    </row>
    <row r="48213" spans="1:4" ht="15.75" customHeight="1">
      <c r="A48213" s="8"/>
      <c r="B48213" s="12"/>
      <c r="C48213" s="8"/>
      <c r="D48213" s="8"/>
    </row>
    <row r="48214" spans="1:4" ht="15.75" customHeight="1">
      <c r="A48214" s="8"/>
      <c r="B48214" s="12"/>
      <c r="C48214" s="8"/>
      <c r="D48214" s="8"/>
    </row>
    <row r="48215" spans="1:4" ht="15.75" customHeight="1">
      <c r="A48215" s="8"/>
      <c r="B48215" s="12"/>
      <c r="C48215" s="8"/>
      <c r="D48215" s="8"/>
    </row>
    <row r="48216" spans="1:4" ht="15.75" customHeight="1">
      <c r="A48216" s="8"/>
      <c r="B48216" s="12"/>
      <c r="C48216" s="8"/>
      <c r="D48216" s="8"/>
    </row>
    <row r="48217" spans="1:4" ht="15.75" customHeight="1">
      <c r="A48217" s="8"/>
      <c r="B48217" s="12"/>
      <c r="C48217" s="8"/>
      <c r="D48217" s="8"/>
    </row>
    <row r="48218" spans="1:4" ht="15.75" customHeight="1">
      <c r="A48218" s="8"/>
      <c r="B48218" s="12"/>
      <c r="C48218" s="8"/>
      <c r="D48218" s="8"/>
    </row>
    <row r="48219" spans="1:4" ht="15.75" customHeight="1">
      <c r="A48219" s="8"/>
      <c r="B48219" s="12"/>
      <c r="C48219" s="8"/>
      <c r="D48219" s="8"/>
    </row>
    <row r="48220" spans="1:4" ht="15.75" customHeight="1">
      <c r="A48220" s="8"/>
      <c r="B48220" s="12"/>
      <c r="C48220" s="8"/>
      <c r="D48220" s="8"/>
    </row>
    <row r="48221" spans="1:4" ht="15.75" customHeight="1">
      <c r="A48221" s="8"/>
      <c r="B48221" s="12"/>
      <c r="C48221" s="8"/>
      <c r="D48221" s="8"/>
    </row>
    <row r="48222" spans="1:4" ht="15.75" customHeight="1">
      <c r="A48222" s="8"/>
      <c r="B48222" s="12"/>
      <c r="C48222" s="8"/>
      <c r="D48222" s="8"/>
    </row>
    <row r="48223" spans="1:4" ht="15.75" customHeight="1">
      <c r="A48223" s="8"/>
      <c r="B48223" s="12"/>
      <c r="C48223" s="8"/>
      <c r="D48223" s="8"/>
    </row>
    <row r="48224" spans="1:4" ht="15.75" customHeight="1">
      <c r="A48224" s="8"/>
      <c r="B48224" s="12"/>
      <c r="C48224" s="8"/>
      <c r="D48224" s="8"/>
    </row>
    <row r="48225" spans="1:4" ht="15.75" customHeight="1">
      <c r="A48225" s="8"/>
      <c r="B48225" s="12"/>
      <c r="C48225" s="8"/>
      <c r="D48225" s="8"/>
    </row>
    <row r="48226" spans="1:4" ht="15.75" customHeight="1">
      <c r="A48226" s="8"/>
      <c r="B48226" s="12"/>
      <c r="C48226" s="8"/>
      <c r="D48226" s="8"/>
    </row>
    <row r="48227" spans="1:4" ht="15.75" customHeight="1">
      <c r="A48227" s="8"/>
      <c r="B48227" s="12"/>
      <c r="C48227" s="8"/>
      <c r="D48227" s="8"/>
    </row>
    <row r="48228" spans="1:4" ht="15.75" customHeight="1">
      <c r="A48228" s="8"/>
      <c r="B48228" s="12"/>
      <c r="C48228" s="8"/>
      <c r="D48228" s="8"/>
    </row>
    <row r="48229" spans="1:4" ht="15.75" customHeight="1">
      <c r="A48229" s="8"/>
      <c r="B48229" s="12"/>
      <c r="C48229" s="8"/>
      <c r="D48229" s="8"/>
    </row>
    <row r="48230" spans="1:4" ht="15.75" customHeight="1">
      <c r="A48230" s="8"/>
      <c r="B48230" s="12"/>
      <c r="C48230" s="8"/>
      <c r="D48230" s="8"/>
    </row>
    <row r="48231" spans="1:4" ht="15.75" customHeight="1">
      <c r="A48231" s="8"/>
      <c r="B48231" s="12"/>
      <c r="C48231" s="8"/>
      <c r="D48231" s="8"/>
    </row>
    <row r="48232" spans="1:4" ht="15.75" customHeight="1">
      <c r="A48232" s="8"/>
      <c r="B48232" s="12"/>
      <c r="C48232" s="8"/>
      <c r="D48232" s="8"/>
    </row>
    <row r="48233" spans="1:4" ht="15.75" customHeight="1">
      <c r="A48233" s="8"/>
      <c r="B48233" s="12"/>
      <c r="C48233" s="8"/>
      <c r="D48233" s="8"/>
    </row>
    <row r="48234" spans="1:4" ht="15.75" customHeight="1">
      <c r="A48234" s="8"/>
      <c r="B48234" s="12"/>
      <c r="C48234" s="8"/>
      <c r="D48234" s="8"/>
    </row>
    <row r="48235" spans="1:4" ht="15.75" customHeight="1">
      <c r="A48235" s="8"/>
      <c r="B48235" s="12"/>
      <c r="C48235" s="8"/>
      <c r="D48235" s="8"/>
    </row>
    <row r="48236" spans="1:4" ht="15.75" customHeight="1">
      <c r="A48236" s="8"/>
      <c r="B48236" s="12"/>
      <c r="C48236" s="8"/>
      <c r="D48236" s="8"/>
    </row>
    <row r="48237" spans="1:4" ht="15.75" customHeight="1">
      <c r="A48237" s="8"/>
      <c r="B48237" s="12"/>
      <c r="C48237" s="8"/>
      <c r="D48237" s="8"/>
    </row>
    <row r="48238" spans="1:4" ht="15.75" customHeight="1">
      <c r="A48238" s="8"/>
      <c r="B48238" s="12"/>
      <c r="C48238" s="8"/>
      <c r="D48238" s="8"/>
    </row>
    <row r="48239" spans="1:4" ht="15.75" customHeight="1">
      <c r="A48239" s="8"/>
      <c r="B48239" s="12"/>
      <c r="C48239" s="8"/>
      <c r="D48239" s="8"/>
    </row>
    <row r="48240" spans="1:4" ht="15.75" customHeight="1">
      <c r="A48240" s="8"/>
      <c r="B48240" s="12"/>
      <c r="C48240" s="8"/>
      <c r="D48240" s="8"/>
    </row>
    <row r="48241" spans="1:4" ht="15.75" customHeight="1">
      <c r="A48241" s="8"/>
      <c r="B48241" s="12"/>
      <c r="C48241" s="8"/>
      <c r="D48241" s="8"/>
    </row>
    <row r="48242" spans="1:4" ht="15.75" customHeight="1">
      <c r="A48242" s="8"/>
      <c r="B48242" s="12"/>
      <c r="C48242" s="8"/>
      <c r="D48242" s="8"/>
    </row>
    <row r="48243" spans="1:4" ht="15.75" customHeight="1">
      <c r="A48243" s="8"/>
      <c r="B48243" s="12"/>
      <c r="C48243" s="8"/>
      <c r="D48243" s="8"/>
    </row>
    <row r="48244" spans="1:4" ht="15.75" customHeight="1">
      <c r="A48244" s="8"/>
      <c r="B48244" s="12"/>
      <c r="C48244" s="8"/>
      <c r="D48244" s="8"/>
    </row>
    <row r="48245" spans="1:4" ht="15.75" customHeight="1">
      <c r="A48245" s="8"/>
      <c r="B48245" s="12"/>
      <c r="C48245" s="8"/>
      <c r="D48245" s="8"/>
    </row>
    <row r="48246" spans="1:4" ht="15.75" customHeight="1">
      <c r="A48246" s="8"/>
      <c r="B48246" s="12"/>
      <c r="C48246" s="8"/>
      <c r="D48246" s="8"/>
    </row>
    <row r="48247" spans="1:4" ht="15.75" customHeight="1">
      <c r="A48247" s="8"/>
      <c r="B48247" s="12"/>
      <c r="C48247" s="8"/>
      <c r="D48247" s="8"/>
    </row>
    <row r="48248" spans="1:4" ht="15.75" customHeight="1">
      <c r="A48248" s="8"/>
      <c r="B48248" s="12"/>
      <c r="C48248" s="8"/>
      <c r="D48248" s="8"/>
    </row>
    <row r="48249" spans="1:4" ht="15.75" customHeight="1">
      <c r="A48249" s="8"/>
      <c r="B48249" s="12"/>
      <c r="C48249" s="8"/>
      <c r="D48249" s="8"/>
    </row>
    <row r="48250" spans="1:4" ht="15.75" customHeight="1">
      <c r="A48250" s="8"/>
      <c r="B48250" s="12"/>
      <c r="C48250" s="8"/>
      <c r="D48250" s="8"/>
    </row>
    <row r="48251" spans="1:4" ht="15.75" customHeight="1">
      <c r="A48251" s="8"/>
      <c r="B48251" s="12"/>
      <c r="C48251" s="8"/>
      <c r="D48251" s="8"/>
    </row>
    <row r="48252" spans="1:4" ht="15.75" customHeight="1">
      <c r="A48252" s="8"/>
      <c r="B48252" s="12"/>
      <c r="C48252" s="8"/>
      <c r="D48252" s="8"/>
    </row>
    <row r="48253" spans="1:4" ht="15.75" customHeight="1">
      <c r="A48253" s="8"/>
      <c r="B48253" s="12"/>
      <c r="C48253" s="8"/>
      <c r="D48253" s="8"/>
    </row>
    <row r="48254" spans="1:4" ht="15.75" customHeight="1">
      <c r="A48254" s="8"/>
      <c r="B48254" s="12"/>
      <c r="C48254" s="8"/>
      <c r="D48254" s="8"/>
    </row>
    <row r="48255" spans="1:4" ht="15.75" customHeight="1">
      <c r="A48255" s="8"/>
      <c r="B48255" s="12"/>
      <c r="C48255" s="8"/>
      <c r="D48255" s="8"/>
    </row>
    <row r="48256" spans="1:4" ht="15.75" customHeight="1">
      <c r="A48256" s="8"/>
      <c r="B48256" s="12"/>
      <c r="C48256" s="8"/>
      <c r="D48256" s="8"/>
    </row>
    <row r="48257" spans="1:4" ht="15.75" customHeight="1">
      <c r="A48257" s="8"/>
      <c r="B48257" s="12"/>
      <c r="C48257" s="8"/>
      <c r="D48257" s="8"/>
    </row>
    <row r="48258" spans="1:4" ht="15.75" customHeight="1">
      <c r="A48258" s="8"/>
      <c r="B48258" s="12"/>
      <c r="C48258" s="8"/>
      <c r="D48258" s="8"/>
    </row>
    <row r="48259" spans="1:4" ht="15.75" customHeight="1">
      <c r="A48259" s="8"/>
      <c r="B48259" s="12"/>
      <c r="C48259" s="8"/>
      <c r="D48259" s="8"/>
    </row>
    <row r="48260" spans="1:4" ht="15.75" customHeight="1">
      <c r="A48260" s="8"/>
      <c r="B48260" s="12"/>
      <c r="C48260" s="8"/>
      <c r="D48260" s="8"/>
    </row>
    <row r="48261" spans="1:4" ht="15.75" customHeight="1">
      <c r="A48261" s="8"/>
      <c r="B48261" s="12"/>
      <c r="C48261" s="8"/>
      <c r="D48261" s="8"/>
    </row>
    <row r="48262" spans="1:4" ht="15.75" customHeight="1">
      <c r="A48262" s="8"/>
      <c r="B48262" s="12"/>
      <c r="C48262" s="8"/>
      <c r="D48262" s="8"/>
    </row>
    <row r="48263" spans="1:4" ht="15.75" customHeight="1">
      <c r="A48263" s="8"/>
      <c r="B48263" s="12"/>
      <c r="C48263" s="8"/>
      <c r="D48263" s="8"/>
    </row>
    <row r="48264" spans="1:4" ht="15.75" customHeight="1">
      <c r="A48264" s="8"/>
      <c r="B48264" s="12"/>
      <c r="C48264" s="8"/>
      <c r="D48264" s="8"/>
    </row>
    <row r="48265" spans="1:4" ht="15.75" customHeight="1">
      <c r="A48265" s="8"/>
      <c r="B48265" s="12"/>
      <c r="C48265" s="8"/>
      <c r="D48265" s="8"/>
    </row>
    <row r="48266" spans="1:4" ht="15.75" customHeight="1">
      <c r="A48266" s="8"/>
      <c r="B48266" s="12"/>
      <c r="C48266" s="8"/>
      <c r="D48266" s="8"/>
    </row>
    <row r="48267" spans="1:4" ht="15.75" customHeight="1">
      <c r="A48267" s="8"/>
      <c r="B48267" s="12"/>
      <c r="C48267" s="8"/>
      <c r="D48267" s="8"/>
    </row>
    <row r="48268" spans="1:4" ht="15.75" customHeight="1">
      <c r="A48268" s="8"/>
      <c r="B48268" s="12"/>
      <c r="C48268" s="8"/>
      <c r="D48268" s="8"/>
    </row>
    <row r="48269" spans="1:4" ht="15.75" customHeight="1">
      <c r="A48269" s="8"/>
      <c r="B48269" s="12"/>
      <c r="C48269" s="8"/>
      <c r="D48269" s="8"/>
    </row>
    <row r="48270" spans="1:4" ht="15.75" customHeight="1">
      <c r="A48270" s="8"/>
      <c r="B48270" s="12"/>
      <c r="C48270" s="8"/>
      <c r="D48270" s="8"/>
    </row>
    <row r="48271" spans="1:4" ht="15.75" customHeight="1">
      <c r="A48271" s="8"/>
      <c r="B48271" s="12"/>
      <c r="C48271" s="8"/>
      <c r="D48271" s="8"/>
    </row>
    <row r="48272" spans="1:4" ht="15.75" customHeight="1">
      <c r="A48272" s="8"/>
      <c r="B48272" s="12"/>
      <c r="C48272" s="8"/>
      <c r="D48272" s="8"/>
    </row>
    <row r="48273" spans="1:4" ht="15.75" customHeight="1">
      <c r="A48273" s="8"/>
      <c r="B48273" s="12"/>
      <c r="C48273" s="8"/>
      <c r="D48273" s="8"/>
    </row>
    <row r="48274" spans="1:4" ht="15.75" customHeight="1">
      <c r="A48274" s="8"/>
      <c r="B48274" s="12"/>
      <c r="C48274" s="8"/>
      <c r="D48274" s="8"/>
    </row>
    <row r="48275" spans="1:4" ht="15.75" customHeight="1">
      <c r="A48275" s="8"/>
      <c r="B48275" s="12"/>
      <c r="C48275" s="8"/>
      <c r="D48275" s="8"/>
    </row>
    <row r="48276" spans="1:4" ht="15.75" customHeight="1">
      <c r="A48276" s="8"/>
      <c r="B48276" s="12"/>
      <c r="C48276" s="8"/>
      <c r="D48276" s="8"/>
    </row>
    <row r="48277" spans="1:4" ht="15.75" customHeight="1">
      <c r="A48277" s="8"/>
      <c r="B48277" s="12"/>
      <c r="C48277" s="8"/>
      <c r="D48277" s="8"/>
    </row>
    <row r="48278" spans="1:4" ht="15.75" customHeight="1">
      <c r="A48278" s="8"/>
      <c r="B48278" s="12"/>
      <c r="C48278" s="8"/>
      <c r="D48278" s="8"/>
    </row>
    <row r="48279" spans="1:4" ht="15.75" customHeight="1">
      <c r="A48279" s="8"/>
      <c r="B48279" s="12"/>
      <c r="C48279" s="8"/>
      <c r="D48279" s="8"/>
    </row>
    <row r="48280" spans="1:4" ht="15.75" customHeight="1">
      <c r="A48280" s="8"/>
      <c r="B48280" s="12"/>
      <c r="C48280" s="8"/>
      <c r="D48280" s="8"/>
    </row>
    <row r="48281" spans="1:4" ht="15.75" customHeight="1">
      <c r="A48281" s="8"/>
      <c r="B48281" s="12"/>
      <c r="C48281" s="8"/>
      <c r="D48281" s="8"/>
    </row>
    <row r="48282" spans="1:4" ht="15.75" customHeight="1">
      <c r="A48282" s="8"/>
      <c r="B48282" s="12"/>
      <c r="C48282" s="8"/>
      <c r="D48282" s="8"/>
    </row>
    <row r="48283" spans="1:4" ht="15.75" customHeight="1">
      <c r="A48283" s="8"/>
      <c r="B48283" s="12"/>
      <c r="C48283" s="8"/>
      <c r="D48283" s="8"/>
    </row>
    <row r="48284" spans="1:4" ht="15.75" customHeight="1">
      <c r="A48284" s="8"/>
      <c r="B48284" s="12"/>
      <c r="C48284" s="8"/>
      <c r="D48284" s="8"/>
    </row>
    <row r="48285" spans="1:4" ht="15.75" customHeight="1">
      <c r="A48285" s="8"/>
      <c r="B48285" s="12"/>
      <c r="C48285" s="8"/>
      <c r="D48285" s="8"/>
    </row>
    <row r="48286" spans="1:4" ht="15.75" customHeight="1">
      <c r="A48286" s="8"/>
      <c r="B48286" s="12"/>
      <c r="C48286" s="8"/>
      <c r="D48286" s="8"/>
    </row>
    <row r="48287" spans="1:4" ht="15.75" customHeight="1">
      <c r="A48287" s="8"/>
      <c r="B48287" s="12"/>
      <c r="C48287" s="8"/>
      <c r="D48287" s="8"/>
    </row>
    <row r="48288" spans="1:4" ht="15.75" customHeight="1">
      <c r="A48288" s="8"/>
      <c r="B48288" s="12"/>
      <c r="C48288" s="8"/>
      <c r="D48288" s="8"/>
    </row>
    <row r="48289" spans="1:4" ht="15.75" customHeight="1">
      <c r="A48289" s="8"/>
      <c r="B48289" s="12"/>
      <c r="C48289" s="8"/>
      <c r="D48289" s="8"/>
    </row>
    <row r="48290" spans="1:4" ht="15.75" customHeight="1">
      <c r="A48290" s="8"/>
      <c r="B48290" s="12"/>
      <c r="C48290" s="8"/>
      <c r="D48290" s="8"/>
    </row>
    <row r="48291" spans="1:4" ht="15.75" customHeight="1">
      <c r="A48291" s="8"/>
      <c r="B48291" s="12"/>
      <c r="C48291" s="8"/>
      <c r="D48291" s="8"/>
    </row>
    <row r="48292" spans="1:4" ht="15.75" customHeight="1">
      <c r="A48292" s="8"/>
      <c r="B48292" s="12"/>
      <c r="C48292" s="8"/>
      <c r="D48292" s="8"/>
    </row>
    <row r="48293" spans="1:4" ht="15.75" customHeight="1">
      <c r="A48293" s="8"/>
      <c r="B48293" s="12"/>
      <c r="C48293" s="8"/>
      <c r="D48293" s="8"/>
    </row>
    <row r="48294" spans="1:4" ht="15.75" customHeight="1">
      <c r="A48294" s="8"/>
      <c r="B48294" s="12"/>
      <c r="C48294" s="8"/>
      <c r="D48294" s="8"/>
    </row>
    <row r="48295" spans="1:4" ht="15.75" customHeight="1">
      <c r="A48295" s="8"/>
      <c r="B48295" s="12"/>
      <c r="C48295" s="8"/>
      <c r="D48295" s="8"/>
    </row>
    <row r="48296" spans="1:4" ht="15.75" customHeight="1">
      <c r="A48296" s="8"/>
      <c r="B48296" s="12"/>
      <c r="C48296" s="8"/>
      <c r="D48296" s="8"/>
    </row>
    <row r="48297" spans="1:4" ht="15.75" customHeight="1">
      <c r="A48297" s="8"/>
      <c r="B48297" s="12"/>
      <c r="C48297" s="8"/>
      <c r="D48297" s="8"/>
    </row>
    <row r="48298" spans="1:4" ht="15.75" customHeight="1">
      <c r="A48298" s="8"/>
      <c r="B48298" s="12"/>
      <c r="C48298" s="8"/>
      <c r="D48298" s="8"/>
    </row>
    <row r="48299" spans="1:4" ht="15.75" customHeight="1">
      <c r="A48299" s="8"/>
      <c r="B48299" s="12"/>
      <c r="C48299" s="8"/>
      <c r="D48299" s="8"/>
    </row>
    <row r="48300" spans="1:4" ht="15.75" customHeight="1">
      <c r="A48300" s="8"/>
      <c r="B48300" s="12"/>
      <c r="C48300" s="8"/>
      <c r="D48300" s="8"/>
    </row>
    <row r="48301" spans="1:4" ht="15.75" customHeight="1">
      <c r="A48301" s="8"/>
      <c r="B48301" s="12"/>
      <c r="C48301" s="8"/>
      <c r="D48301" s="8"/>
    </row>
    <row r="48302" spans="1:4" ht="15.75" customHeight="1">
      <c r="A48302" s="8"/>
      <c r="B48302" s="12"/>
      <c r="C48302" s="8"/>
      <c r="D48302" s="8"/>
    </row>
    <row r="48303" spans="1:4" ht="15.75" customHeight="1">
      <c r="A48303" s="8"/>
      <c r="B48303" s="12"/>
      <c r="C48303" s="8"/>
      <c r="D48303" s="8"/>
    </row>
    <row r="48304" spans="1:4" ht="15.75" customHeight="1">
      <c r="A48304" s="8"/>
      <c r="B48304" s="12"/>
      <c r="C48304" s="8"/>
      <c r="D48304" s="8"/>
    </row>
    <row r="48305" spans="1:4" ht="15.75" customHeight="1">
      <c r="A48305" s="8"/>
      <c r="B48305" s="12"/>
      <c r="C48305" s="8"/>
      <c r="D48305" s="8"/>
    </row>
    <row r="48306" spans="1:4" ht="15.75" customHeight="1">
      <c r="A48306" s="8"/>
      <c r="B48306" s="12"/>
      <c r="C48306" s="8"/>
      <c r="D48306" s="8"/>
    </row>
    <row r="48307" spans="1:4" ht="15.75" customHeight="1">
      <c r="A48307" s="8"/>
      <c r="B48307" s="12"/>
      <c r="C48307" s="8"/>
      <c r="D48307" s="8"/>
    </row>
    <row r="48308" spans="1:4" ht="15.75" customHeight="1">
      <c r="A48308" s="8"/>
      <c r="B48308" s="12"/>
      <c r="C48308" s="8"/>
      <c r="D48308" s="8"/>
    </row>
    <row r="48309" spans="1:4" ht="15.75" customHeight="1">
      <c r="A48309" s="8"/>
      <c r="B48309" s="12"/>
      <c r="C48309" s="8"/>
      <c r="D48309" s="8"/>
    </row>
    <row r="48310" spans="1:4" ht="15.75" customHeight="1">
      <c r="A48310" s="8"/>
      <c r="B48310" s="12"/>
      <c r="C48310" s="8"/>
      <c r="D48310" s="8"/>
    </row>
    <row r="48311" spans="1:4" ht="15.75" customHeight="1">
      <c r="A48311" s="8"/>
      <c r="B48311" s="12"/>
      <c r="C48311" s="8"/>
      <c r="D48311" s="8"/>
    </row>
    <row r="48312" spans="1:4" ht="15.75" customHeight="1">
      <c r="A48312" s="8"/>
      <c r="B48312" s="12"/>
      <c r="C48312" s="8"/>
      <c r="D48312" s="8"/>
    </row>
    <row r="48313" spans="1:4" ht="15.75" customHeight="1">
      <c r="A48313" s="8"/>
      <c r="B48313" s="12"/>
      <c r="C48313" s="8"/>
      <c r="D48313" s="8"/>
    </row>
    <row r="48314" spans="1:4" ht="15.75" customHeight="1">
      <c r="A48314" s="8"/>
      <c r="B48314" s="12"/>
      <c r="C48314" s="8"/>
      <c r="D48314" s="8"/>
    </row>
    <row r="48315" spans="1:4" ht="15.75" customHeight="1">
      <c r="A48315" s="8"/>
      <c r="B48315" s="12"/>
      <c r="C48315" s="8"/>
      <c r="D48315" s="8"/>
    </row>
    <row r="48316" spans="1:4" ht="15.75" customHeight="1">
      <c r="A48316" s="8"/>
      <c r="B48316" s="12"/>
      <c r="C48316" s="8"/>
      <c r="D48316" s="8"/>
    </row>
    <row r="48317" spans="1:4" ht="15.75" customHeight="1">
      <c r="A48317" s="8"/>
      <c r="B48317" s="12"/>
      <c r="C48317" s="8"/>
      <c r="D48317" s="8"/>
    </row>
    <row r="48318" spans="1:4" ht="15.75" customHeight="1">
      <c r="A48318" s="8"/>
      <c r="B48318" s="12"/>
      <c r="C48318" s="8"/>
      <c r="D48318" s="8"/>
    </row>
    <row r="48319" spans="1:4" ht="15.75" customHeight="1">
      <c r="A48319" s="8"/>
      <c r="B48319" s="12"/>
      <c r="C48319" s="8"/>
      <c r="D48319" s="8"/>
    </row>
    <row r="48320" spans="1:4" ht="15.75" customHeight="1">
      <c r="A48320" s="8"/>
      <c r="B48320" s="12"/>
      <c r="C48320" s="8"/>
      <c r="D48320" s="8"/>
    </row>
    <row r="48321" spans="1:4" ht="15.75" customHeight="1">
      <c r="A48321" s="8"/>
      <c r="B48321" s="12"/>
      <c r="C48321" s="8"/>
      <c r="D48321" s="8"/>
    </row>
    <row r="48322" spans="1:4" ht="15.75" customHeight="1">
      <c r="A48322" s="8"/>
      <c r="B48322" s="12"/>
      <c r="C48322" s="8"/>
      <c r="D48322" s="8"/>
    </row>
    <row r="48323" spans="1:4" ht="15.75" customHeight="1">
      <c r="A48323" s="8"/>
      <c r="B48323" s="12"/>
      <c r="C48323" s="8"/>
      <c r="D48323" s="8"/>
    </row>
    <row r="48324" spans="1:4" ht="15.75" customHeight="1">
      <c r="A48324" s="8"/>
      <c r="B48324" s="12"/>
      <c r="C48324" s="8"/>
      <c r="D48324" s="8"/>
    </row>
    <row r="48325" spans="1:4" ht="15.75" customHeight="1">
      <c r="A48325" s="8"/>
      <c r="B48325" s="12"/>
      <c r="C48325" s="8"/>
      <c r="D48325" s="8"/>
    </row>
    <row r="48326" spans="1:4" ht="15.75" customHeight="1">
      <c r="A48326" s="8"/>
      <c r="B48326" s="12"/>
      <c r="C48326" s="8"/>
      <c r="D48326" s="8"/>
    </row>
    <row r="48327" spans="1:4" ht="15.75" customHeight="1">
      <c r="A48327" s="8"/>
      <c r="B48327" s="12"/>
      <c r="C48327" s="8"/>
      <c r="D48327" s="8"/>
    </row>
    <row r="48328" spans="1:4" ht="15.75" customHeight="1">
      <c r="A48328" s="8"/>
      <c r="B48328" s="12"/>
      <c r="C48328" s="8"/>
      <c r="D48328" s="8"/>
    </row>
    <row r="48329" spans="1:4" ht="15.75" customHeight="1">
      <c r="A48329" s="8"/>
      <c r="B48329" s="12"/>
      <c r="C48329" s="8"/>
      <c r="D48329" s="8"/>
    </row>
    <row r="48330" spans="1:4" ht="15.75" customHeight="1">
      <c r="A48330" s="8"/>
      <c r="B48330" s="12"/>
      <c r="C48330" s="8"/>
      <c r="D48330" s="8"/>
    </row>
    <row r="48331" spans="1:4" ht="15.75" customHeight="1">
      <c r="A48331" s="8"/>
      <c r="B48331" s="12"/>
      <c r="C48331" s="8"/>
      <c r="D48331" s="8"/>
    </row>
    <row r="48332" spans="1:4" ht="15.75" customHeight="1">
      <c r="A48332" s="8"/>
      <c r="B48332" s="12"/>
      <c r="C48332" s="8"/>
      <c r="D48332" s="8"/>
    </row>
    <row r="48333" spans="1:4" ht="15.75" customHeight="1">
      <c r="A48333" s="8"/>
      <c r="B48333" s="12"/>
      <c r="C48333" s="8"/>
      <c r="D48333" s="8"/>
    </row>
    <row r="48334" spans="1:4" ht="15.75" customHeight="1">
      <c r="A48334" s="8"/>
      <c r="B48334" s="12"/>
      <c r="C48334" s="8"/>
      <c r="D48334" s="8"/>
    </row>
    <row r="48335" spans="1:4" ht="15.75" customHeight="1">
      <c r="A48335" s="8"/>
      <c r="B48335" s="12"/>
      <c r="C48335" s="8"/>
      <c r="D48335" s="8"/>
    </row>
    <row r="48336" spans="1:4" ht="15.75" customHeight="1">
      <c r="A48336" s="8"/>
      <c r="B48336" s="12"/>
      <c r="C48336" s="8"/>
      <c r="D48336" s="8"/>
    </row>
    <row r="48337" spans="1:4" ht="15.75" customHeight="1">
      <c r="A48337" s="8"/>
      <c r="B48337" s="12"/>
      <c r="C48337" s="8"/>
      <c r="D48337" s="8"/>
    </row>
    <row r="48338" spans="1:4" ht="15.75" customHeight="1">
      <c r="A48338" s="8"/>
      <c r="B48338" s="12"/>
      <c r="C48338" s="8"/>
      <c r="D48338" s="8"/>
    </row>
    <row r="48339" spans="1:4" ht="15.75" customHeight="1">
      <c r="A48339" s="8"/>
      <c r="B48339" s="12"/>
      <c r="C48339" s="8"/>
      <c r="D48339" s="8"/>
    </row>
    <row r="48340" spans="1:4" ht="15.75" customHeight="1">
      <c r="A48340" s="8"/>
      <c r="B48340" s="12"/>
      <c r="C48340" s="8"/>
      <c r="D48340" s="8"/>
    </row>
    <row r="48341" spans="1:4" ht="15.75" customHeight="1">
      <c r="A48341" s="8"/>
      <c r="B48341" s="12"/>
      <c r="C48341" s="8"/>
      <c r="D48341" s="8"/>
    </row>
    <row r="48342" spans="1:4" ht="15.75" customHeight="1">
      <c r="A48342" s="8"/>
      <c r="B48342" s="12"/>
      <c r="C48342" s="8"/>
      <c r="D48342" s="8"/>
    </row>
    <row r="48343" spans="1:4" ht="15.75" customHeight="1">
      <c r="A48343" s="8"/>
      <c r="B48343" s="12"/>
      <c r="C48343" s="8"/>
      <c r="D48343" s="8"/>
    </row>
    <row r="48344" spans="1:4" ht="15.75" customHeight="1">
      <c r="A48344" s="8"/>
      <c r="B48344" s="12"/>
      <c r="C48344" s="8"/>
      <c r="D48344" s="8"/>
    </row>
    <row r="48345" spans="1:4" ht="15.75" customHeight="1">
      <c r="A48345" s="8"/>
      <c r="B48345" s="12"/>
      <c r="C48345" s="8"/>
      <c r="D48345" s="8"/>
    </row>
    <row r="48346" spans="1:4" ht="15.75" customHeight="1">
      <c r="A48346" s="8"/>
      <c r="B48346" s="12"/>
      <c r="C48346" s="8"/>
      <c r="D48346" s="8"/>
    </row>
    <row r="48347" spans="1:4" ht="15.75" customHeight="1">
      <c r="A48347" s="8"/>
      <c r="B48347" s="12"/>
      <c r="C48347" s="8"/>
      <c r="D48347" s="8"/>
    </row>
    <row r="48348" spans="1:4" ht="15.75" customHeight="1">
      <c r="A48348" s="8"/>
      <c r="B48348" s="12"/>
      <c r="C48348" s="8"/>
      <c r="D48348" s="8"/>
    </row>
    <row r="48349" spans="1:4" ht="15.75" customHeight="1">
      <c r="A48349" s="8"/>
      <c r="B48349" s="12"/>
      <c r="C48349" s="8"/>
      <c r="D48349" s="8"/>
    </row>
    <row r="48350" spans="1:4" ht="15.75" customHeight="1">
      <c r="A48350" s="8"/>
      <c r="B48350" s="12"/>
      <c r="C48350" s="8"/>
      <c r="D48350" s="8"/>
    </row>
    <row r="48351" spans="1:4" ht="15.75" customHeight="1">
      <c r="A48351" s="8"/>
      <c r="B48351" s="12"/>
      <c r="C48351" s="8"/>
      <c r="D48351" s="8"/>
    </row>
    <row r="48352" spans="1:4" ht="15.75" customHeight="1">
      <c r="A48352" s="8"/>
      <c r="B48352" s="12"/>
      <c r="C48352" s="8"/>
      <c r="D48352" s="8"/>
    </row>
    <row r="48353" spans="1:4" ht="15.75" customHeight="1">
      <c r="A48353" s="8"/>
      <c r="B48353" s="12"/>
      <c r="C48353" s="8"/>
      <c r="D48353" s="8"/>
    </row>
    <row r="48354" spans="1:4" ht="15.75" customHeight="1">
      <c r="A48354" s="8"/>
      <c r="B48354" s="12"/>
      <c r="C48354" s="8"/>
      <c r="D48354" s="8"/>
    </row>
    <row r="48355" spans="1:4" ht="15.75" customHeight="1">
      <c r="A48355" s="8"/>
      <c r="B48355" s="12"/>
      <c r="C48355" s="8"/>
      <c r="D48355" s="8"/>
    </row>
    <row r="48356" spans="1:4" ht="15.75" customHeight="1">
      <c r="A48356" s="8"/>
      <c r="B48356" s="12"/>
      <c r="C48356" s="8"/>
      <c r="D48356" s="8"/>
    </row>
    <row r="48357" spans="1:4" ht="15.75" customHeight="1">
      <c r="A48357" s="8"/>
      <c r="B48357" s="12"/>
      <c r="C48357" s="8"/>
      <c r="D48357" s="8"/>
    </row>
    <row r="48358" spans="1:4" ht="15.75" customHeight="1">
      <c r="A48358" s="8"/>
      <c r="B48358" s="12"/>
      <c r="C48358" s="8"/>
      <c r="D48358" s="8"/>
    </row>
    <row r="48359" spans="1:4" ht="15.75" customHeight="1">
      <c r="A48359" s="8"/>
      <c r="B48359" s="12"/>
      <c r="C48359" s="8"/>
      <c r="D48359" s="8"/>
    </row>
    <row r="48360" spans="1:4" ht="15.75" customHeight="1">
      <c r="A48360" s="8"/>
      <c r="B48360" s="12"/>
      <c r="C48360" s="8"/>
      <c r="D48360" s="8"/>
    </row>
    <row r="48361" spans="1:4" ht="15.75" customHeight="1">
      <c r="A48361" s="8"/>
      <c r="B48361" s="12"/>
      <c r="C48361" s="8"/>
      <c r="D48361" s="8"/>
    </row>
    <row r="48362" spans="1:4" ht="15.75" customHeight="1">
      <c r="A48362" s="8"/>
      <c r="B48362" s="12"/>
      <c r="C48362" s="8"/>
      <c r="D48362" s="8"/>
    </row>
    <row r="48363" spans="1:4" ht="15.75" customHeight="1">
      <c r="A48363" s="8"/>
      <c r="B48363" s="12"/>
      <c r="C48363" s="8"/>
      <c r="D48363" s="8"/>
    </row>
    <row r="48364" spans="1:4" ht="15.75" customHeight="1">
      <c r="A48364" s="8"/>
      <c r="B48364" s="12"/>
      <c r="C48364" s="8"/>
      <c r="D48364" s="8"/>
    </row>
    <row r="48365" spans="1:4" ht="15.75" customHeight="1">
      <c r="A48365" s="8"/>
      <c r="B48365" s="12"/>
      <c r="C48365" s="8"/>
      <c r="D48365" s="8"/>
    </row>
    <row r="48366" spans="1:4" ht="15.75" customHeight="1">
      <c r="A48366" s="8"/>
      <c r="B48366" s="12"/>
      <c r="C48366" s="8"/>
      <c r="D48366" s="8"/>
    </row>
    <row r="48367" spans="1:4" ht="15.75" customHeight="1">
      <c r="A48367" s="8"/>
      <c r="B48367" s="12"/>
      <c r="C48367" s="8"/>
      <c r="D48367" s="8"/>
    </row>
    <row r="48368" spans="1:4" ht="15.75" customHeight="1">
      <c r="A48368" s="8"/>
      <c r="B48368" s="12"/>
      <c r="C48368" s="8"/>
      <c r="D48368" s="8"/>
    </row>
    <row r="48369" spans="1:4" ht="15.75" customHeight="1">
      <c r="A48369" s="8"/>
      <c r="B48369" s="12"/>
      <c r="C48369" s="8"/>
      <c r="D48369" s="8"/>
    </row>
    <row r="48370" spans="1:4" ht="15.75" customHeight="1">
      <c r="A48370" s="8"/>
      <c r="B48370" s="12"/>
      <c r="C48370" s="8"/>
      <c r="D48370" s="8"/>
    </row>
    <row r="48371" spans="1:4" ht="15.75" customHeight="1">
      <c r="A48371" s="8"/>
      <c r="B48371" s="12"/>
      <c r="C48371" s="8"/>
      <c r="D48371" s="8"/>
    </row>
    <row r="48372" spans="1:4" ht="15.75" customHeight="1">
      <c r="A48372" s="8"/>
      <c r="B48372" s="12"/>
      <c r="C48372" s="8"/>
      <c r="D48372" s="8"/>
    </row>
    <row r="48373" spans="1:4" ht="15.75" customHeight="1">
      <c r="A48373" s="8"/>
      <c r="B48373" s="12"/>
      <c r="C48373" s="8"/>
      <c r="D48373" s="8"/>
    </row>
    <row r="48374" spans="1:4" ht="15.75" customHeight="1">
      <c r="A48374" s="8"/>
      <c r="B48374" s="12"/>
      <c r="C48374" s="8"/>
      <c r="D48374" s="8"/>
    </row>
    <row r="48375" spans="1:4" ht="15.75" customHeight="1">
      <c r="A48375" s="8"/>
      <c r="B48375" s="12"/>
      <c r="C48375" s="8"/>
      <c r="D48375" s="8"/>
    </row>
    <row r="48376" spans="1:4" ht="15.75" customHeight="1">
      <c r="A48376" s="8"/>
      <c r="B48376" s="12"/>
      <c r="C48376" s="8"/>
      <c r="D48376" s="8"/>
    </row>
    <row r="48377" spans="1:4" ht="15.75" customHeight="1">
      <c r="A48377" s="8"/>
      <c r="B48377" s="12"/>
      <c r="C48377" s="8"/>
      <c r="D48377" s="8"/>
    </row>
    <row r="48378" spans="1:4" ht="15.75" customHeight="1">
      <c r="A48378" s="8"/>
      <c r="B48378" s="12"/>
      <c r="C48378" s="8"/>
      <c r="D48378" s="8"/>
    </row>
    <row r="48379" spans="1:4" ht="15.75" customHeight="1">
      <c r="A48379" s="8"/>
      <c r="B48379" s="12"/>
      <c r="C48379" s="8"/>
      <c r="D48379" s="8"/>
    </row>
    <row r="48380" spans="1:4" ht="15.75" customHeight="1">
      <c r="A48380" s="8"/>
      <c r="B48380" s="12"/>
      <c r="C48380" s="8"/>
      <c r="D48380" s="8"/>
    </row>
    <row r="48381" spans="1:4" ht="15.75" customHeight="1">
      <c r="A48381" s="8"/>
      <c r="B48381" s="12"/>
      <c r="C48381" s="8"/>
      <c r="D48381" s="8"/>
    </row>
    <row r="48382" spans="1:4" ht="15.75" customHeight="1">
      <c r="A48382" s="8"/>
      <c r="B48382" s="12"/>
      <c r="C48382" s="8"/>
      <c r="D48382" s="8"/>
    </row>
    <row r="48383" spans="1:4" ht="15.75" customHeight="1">
      <c r="A48383" s="8"/>
      <c r="B48383" s="12"/>
      <c r="C48383" s="8"/>
      <c r="D48383" s="8"/>
    </row>
    <row r="48384" spans="1:4" ht="15.75" customHeight="1">
      <c r="A48384" s="8"/>
      <c r="B48384" s="12"/>
      <c r="C48384" s="8"/>
      <c r="D48384" s="8"/>
    </row>
    <row r="48385" spans="1:4" ht="15.75" customHeight="1">
      <c r="A48385" s="8"/>
      <c r="B48385" s="12"/>
      <c r="C48385" s="8"/>
      <c r="D48385" s="8"/>
    </row>
    <row r="48386" spans="1:4" ht="15.75" customHeight="1">
      <c r="A48386" s="8"/>
      <c r="B48386" s="12"/>
      <c r="C48386" s="8"/>
      <c r="D48386" s="8"/>
    </row>
    <row r="48387" spans="1:4" ht="15.75" customHeight="1">
      <c r="A48387" s="8"/>
      <c r="B48387" s="12"/>
      <c r="C48387" s="8"/>
      <c r="D48387" s="8"/>
    </row>
    <row r="48388" spans="1:4" ht="15.75" customHeight="1">
      <c r="A48388" s="8"/>
      <c r="B48388" s="12"/>
      <c r="C48388" s="8"/>
      <c r="D48388" s="8"/>
    </row>
    <row r="48389" spans="1:4" ht="15.75" customHeight="1">
      <c r="A48389" s="8"/>
      <c r="B48389" s="12"/>
      <c r="C48389" s="8"/>
      <c r="D48389" s="8"/>
    </row>
    <row r="48390" spans="1:4" ht="15.75" customHeight="1">
      <c r="A48390" s="8"/>
      <c r="B48390" s="12"/>
      <c r="C48390" s="8"/>
      <c r="D48390" s="8"/>
    </row>
    <row r="48391" spans="1:4" ht="15.75" customHeight="1">
      <c r="A48391" s="8"/>
      <c r="B48391" s="12"/>
      <c r="C48391" s="8"/>
      <c r="D48391" s="8"/>
    </row>
    <row r="48392" spans="1:4" ht="15.75" customHeight="1">
      <c r="A48392" s="8"/>
      <c r="B48392" s="12"/>
      <c r="C48392" s="8"/>
      <c r="D48392" s="8"/>
    </row>
    <row r="48393" spans="1:4" ht="15.75" customHeight="1">
      <c r="A48393" s="8"/>
      <c r="B48393" s="12"/>
      <c r="C48393" s="8"/>
      <c r="D48393" s="8"/>
    </row>
    <row r="48394" spans="1:4" ht="15.75" customHeight="1">
      <c r="A48394" s="8"/>
      <c r="B48394" s="12"/>
      <c r="C48394" s="8"/>
      <c r="D48394" s="8"/>
    </row>
    <row r="48395" spans="1:4" ht="15.75" customHeight="1">
      <c r="A48395" s="8"/>
      <c r="B48395" s="12"/>
      <c r="C48395" s="8"/>
      <c r="D48395" s="8"/>
    </row>
    <row r="48396" spans="1:4" ht="15.75" customHeight="1">
      <c r="A48396" s="8"/>
      <c r="B48396" s="12"/>
      <c r="C48396" s="8"/>
      <c r="D48396" s="8"/>
    </row>
    <row r="48397" spans="1:4" ht="15.75" customHeight="1">
      <c r="A48397" s="8"/>
      <c r="B48397" s="12"/>
      <c r="C48397" s="8"/>
      <c r="D48397" s="8"/>
    </row>
    <row r="48398" spans="1:4" ht="15.75" customHeight="1">
      <c r="A48398" s="8"/>
      <c r="B48398" s="12"/>
      <c r="C48398" s="8"/>
      <c r="D48398" s="8"/>
    </row>
    <row r="48399" spans="1:4" ht="15.75" customHeight="1">
      <c r="A48399" s="8"/>
      <c r="B48399" s="12"/>
      <c r="C48399" s="8"/>
      <c r="D48399" s="8"/>
    </row>
    <row r="48400" spans="1:4" ht="15.75" customHeight="1">
      <c r="A48400" s="8"/>
      <c r="B48400" s="12"/>
      <c r="C48400" s="8"/>
      <c r="D48400" s="8"/>
    </row>
    <row r="48401" spans="1:4" ht="15.75" customHeight="1">
      <c r="A48401" s="8"/>
      <c r="B48401" s="12"/>
      <c r="C48401" s="8"/>
      <c r="D48401" s="8"/>
    </row>
    <row r="48402" spans="1:4" ht="15.75" customHeight="1">
      <c r="A48402" s="8"/>
      <c r="B48402" s="12"/>
      <c r="C48402" s="8"/>
      <c r="D48402" s="8"/>
    </row>
    <row r="48403" spans="1:4" ht="15.75" customHeight="1">
      <c r="A48403" s="8"/>
      <c r="B48403" s="12"/>
      <c r="C48403" s="8"/>
      <c r="D48403" s="8"/>
    </row>
    <row r="48404" spans="1:4" ht="15.75" customHeight="1">
      <c r="A48404" s="8"/>
      <c r="B48404" s="12"/>
      <c r="C48404" s="8"/>
      <c r="D48404" s="8"/>
    </row>
    <row r="48405" spans="1:4" ht="15.75" customHeight="1">
      <c r="A48405" s="8"/>
      <c r="B48405" s="12"/>
      <c r="C48405" s="8"/>
      <c r="D48405" s="8"/>
    </row>
    <row r="48406" spans="1:4" ht="15.75" customHeight="1">
      <c r="A48406" s="8"/>
      <c r="B48406" s="12"/>
      <c r="C48406" s="8"/>
      <c r="D48406" s="8"/>
    </row>
    <row r="48407" spans="1:4" ht="15.75" customHeight="1">
      <c r="A48407" s="8"/>
      <c r="B48407" s="12"/>
      <c r="C48407" s="8"/>
      <c r="D48407" s="8"/>
    </row>
    <row r="48408" spans="1:4" ht="15.75" customHeight="1">
      <c r="A48408" s="8"/>
      <c r="B48408" s="12"/>
      <c r="C48408" s="8"/>
      <c r="D48408" s="8"/>
    </row>
    <row r="48409" spans="1:4" ht="15.75" customHeight="1">
      <c r="A48409" s="8"/>
      <c r="B48409" s="12"/>
      <c r="C48409" s="8"/>
      <c r="D48409" s="8"/>
    </row>
    <row r="48410" spans="1:4" ht="15.75" customHeight="1">
      <c r="A48410" s="8"/>
      <c r="B48410" s="12"/>
      <c r="C48410" s="8"/>
      <c r="D48410" s="8"/>
    </row>
    <row r="48411" spans="1:4" ht="15.75" customHeight="1">
      <c r="A48411" s="8"/>
      <c r="B48411" s="12"/>
      <c r="C48411" s="8"/>
      <c r="D48411" s="8"/>
    </row>
    <row r="48412" spans="1:4" ht="15.75" customHeight="1">
      <c r="A48412" s="8"/>
      <c r="B48412" s="12"/>
      <c r="C48412" s="8"/>
      <c r="D48412" s="8"/>
    </row>
    <row r="48413" spans="1:4" ht="15.75" customHeight="1">
      <c r="A48413" s="8"/>
      <c r="B48413" s="12"/>
      <c r="C48413" s="8"/>
      <c r="D48413" s="8"/>
    </row>
    <row r="48414" spans="1:4" ht="15.75" customHeight="1">
      <c r="A48414" s="8"/>
      <c r="B48414" s="12"/>
      <c r="C48414" s="8"/>
      <c r="D48414" s="8"/>
    </row>
    <row r="48415" spans="1:4" ht="15.75" customHeight="1">
      <c r="A48415" s="8"/>
      <c r="B48415" s="12"/>
      <c r="C48415" s="8"/>
      <c r="D48415" s="8"/>
    </row>
    <row r="48416" spans="1:4" ht="15.75" customHeight="1">
      <c r="A48416" s="8"/>
      <c r="B48416" s="12"/>
      <c r="C48416" s="8"/>
      <c r="D48416" s="8"/>
    </row>
    <row r="48417" spans="1:4" ht="15.75" customHeight="1">
      <c r="A48417" s="8"/>
      <c r="B48417" s="12"/>
      <c r="C48417" s="8"/>
      <c r="D48417" s="8"/>
    </row>
    <row r="48418" spans="1:4" ht="15.75" customHeight="1">
      <c r="A48418" s="8"/>
      <c r="B48418" s="12"/>
      <c r="C48418" s="8"/>
      <c r="D48418" s="8"/>
    </row>
    <row r="48419" spans="1:4" ht="15.75" customHeight="1">
      <c r="A48419" s="8"/>
      <c r="B48419" s="12"/>
      <c r="C48419" s="8"/>
      <c r="D48419" s="8"/>
    </row>
    <row r="48420" spans="1:4" ht="15.75" customHeight="1">
      <c r="A48420" s="8"/>
      <c r="B48420" s="12"/>
      <c r="C48420" s="8"/>
      <c r="D48420" s="8"/>
    </row>
    <row r="48421" spans="1:4" ht="15.75" customHeight="1">
      <c r="A48421" s="8"/>
      <c r="B48421" s="12"/>
      <c r="C48421" s="8"/>
      <c r="D48421" s="8"/>
    </row>
    <row r="48422" spans="1:4" ht="15.75" customHeight="1">
      <c r="A48422" s="8"/>
      <c r="B48422" s="12"/>
      <c r="C48422" s="8"/>
      <c r="D48422" s="8"/>
    </row>
    <row r="48423" spans="1:4" ht="15.75" customHeight="1">
      <c r="A48423" s="8"/>
      <c r="B48423" s="12"/>
      <c r="C48423" s="8"/>
      <c r="D48423" s="8"/>
    </row>
    <row r="48424" spans="1:4" ht="15.75" customHeight="1">
      <c r="A48424" s="8"/>
      <c r="B48424" s="12"/>
      <c r="C48424" s="8"/>
      <c r="D48424" s="8"/>
    </row>
    <row r="48425" spans="1:4" ht="15.75" customHeight="1">
      <c r="A48425" s="8"/>
      <c r="B48425" s="12"/>
      <c r="C48425" s="8"/>
      <c r="D48425" s="8"/>
    </row>
    <row r="48426" spans="1:4" ht="15.75" customHeight="1">
      <c r="A48426" s="8"/>
      <c r="B48426" s="12"/>
      <c r="C48426" s="8"/>
      <c r="D48426" s="8"/>
    </row>
    <row r="48427" spans="1:4" ht="15.75" customHeight="1">
      <c r="A48427" s="8"/>
      <c r="B48427" s="12"/>
      <c r="C48427" s="8"/>
      <c r="D48427" s="8"/>
    </row>
    <row r="48428" spans="1:4" ht="15.75" customHeight="1">
      <c r="A48428" s="8"/>
      <c r="B48428" s="12"/>
      <c r="C48428" s="8"/>
      <c r="D48428" s="8"/>
    </row>
    <row r="48429" spans="1:4" ht="15.75" customHeight="1">
      <c r="A48429" s="8"/>
      <c r="B48429" s="12"/>
      <c r="C48429" s="8"/>
      <c r="D48429" s="8"/>
    </row>
    <row r="48430" spans="1:4" ht="15.75" customHeight="1">
      <c r="A48430" s="8"/>
      <c r="B48430" s="12"/>
      <c r="C48430" s="8"/>
      <c r="D48430" s="8"/>
    </row>
    <row r="48431" spans="1:4" ht="15.75" customHeight="1">
      <c r="A48431" s="8"/>
      <c r="B48431" s="12"/>
      <c r="C48431" s="8"/>
      <c r="D48431" s="8"/>
    </row>
    <row r="48432" spans="1:4" ht="15.75" customHeight="1">
      <c r="A48432" s="8"/>
      <c r="B48432" s="12"/>
      <c r="C48432" s="8"/>
      <c r="D48432" s="8"/>
    </row>
    <row r="48433" spans="1:4" ht="15.75" customHeight="1">
      <c r="A48433" s="8"/>
      <c r="B48433" s="12"/>
      <c r="C48433" s="8"/>
      <c r="D48433" s="8"/>
    </row>
    <row r="48434" spans="1:4" ht="15.75" customHeight="1">
      <c r="A48434" s="8"/>
      <c r="B48434" s="12"/>
      <c r="C48434" s="8"/>
      <c r="D48434" s="8"/>
    </row>
    <row r="48435" spans="1:4" ht="15.75" customHeight="1">
      <c r="A48435" s="8"/>
      <c r="B48435" s="12"/>
      <c r="C48435" s="8"/>
      <c r="D48435" s="8"/>
    </row>
    <row r="48436" spans="1:4" ht="15.75" customHeight="1">
      <c r="A48436" s="8"/>
      <c r="B48436" s="12"/>
      <c r="C48436" s="8"/>
      <c r="D48436" s="8"/>
    </row>
    <row r="48437" spans="1:4" ht="15.75" customHeight="1">
      <c r="A48437" s="8"/>
      <c r="B48437" s="12"/>
      <c r="C48437" s="8"/>
      <c r="D48437" s="8"/>
    </row>
    <row r="48438" spans="1:4" ht="15.75" customHeight="1">
      <c r="A48438" s="8"/>
      <c r="B48438" s="12"/>
      <c r="C48438" s="8"/>
      <c r="D48438" s="8"/>
    </row>
    <row r="48439" spans="1:4" ht="15.75" customHeight="1">
      <c r="A48439" s="8"/>
      <c r="B48439" s="12"/>
      <c r="C48439" s="8"/>
      <c r="D48439" s="8"/>
    </row>
    <row r="48440" spans="1:4" ht="15.75" customHeight="1">
      <c r="A48440" s="8"/>
      <c r="B48440" s="12"/>
      <c r="C48440" s="8"/>
      <c r="D48440" s="8"/>
    </row>
    <row r="48441" spans="1:4" ht="15.75" customHeight="1">
      <c r="A48441" s="8"/>
      <c r="B48441" s="12"/>
      <c r="C48441" s="8"/>
      <c r="D48441" s="8"/>
    </row>
    <row r="48442" spans="1:4" ht="15.75" customHeight="1">
      <c r="A48442" s="8"/>
      <c r="B48442" s="12"/>
      <c r="C48442" s="8"/>
      <c r="D48442" s="8"/>
    </row>
    <row r="48443" spans="1:4" ht="15.75" customHeight="1">
      <c r="A48443" s="8"/>
      <c r="B48443" s="12"/>
      <c r="C48443" s="8"/>
      <c r="D48443" s="8"/>
    </row>
    <row r="48444" spans="1:4" ht="15.75" customHeight="1">
      <c r="A48444" s="8"/>
      <c r="B48444" s="12"/>
      <c r="C48444" s="8"/>
      <c r="D48444" s="8"/>
    </row>
    <row r="48445" spans="1:4" ht="15.75" customHeight="1">
      <c r="A48445" s="8"/>
      <c r="B48445" s="12"/>
      <c r="C48445" s="8"/>
      <c r="D48445" s="8"/>
    </row>
    <row r="48446" spans="1:4" ht="15.75" customHeight="1">
      <c r="A48446" s="8"/>
      <c r="B48446" s="12"/>
      <c r="C48446" s="8"/>
      <c r="D48446" s="8"/>
    </row>
    <row r="48447" spans="1:4" ht="15.75" customHeight="1">
      <c r="A48447" s="8"/>
      <c r="B48447" s="12"/>
      <c r="C48447" s="8"/>
      <c r="D48447" s="8"/>
    </row>
    <row r="48448" spans="1:4" ht="15.75" customHeight="1">
      <c r="A48448" s="8"/>
      <c r="B48448" s="12"/>
      <c r="C48448" s="8"/>
      <c r="D48448" s="8"/>
    </row>
    <row r="48449" spans="1:4" ht="15.75" customHeight="1">
      <c r="A48449" s="8"/>
      <c r="B48449" s="12"/>
      <c r="C48449" s="8"/>
      <c r="D48449" s="8"/>
    </row>
    <row r="48450" spans="1:4" ht="15.75" customHeight="1">
      <c r="A48450" s="8"/>
      <c r="B48450" s="12"/>
      <c r="C48450" s="8"/>
      <c r="D48450" s="8"/>
    </row>
    <row r="48451" spans="1:4" ht="15.75" customHeight="1">
      <c r="A48451" s="8"/>
      <c r="B48451" s="12"/>
      <c r="C48451" s="8"/>
      <c r="D48451" s="8"/>
    </row>
    <row r="48452" spans="1:4" ht="15.75" customHeight="1">
      <c r="A48452" s="8"/>
      <c r="B48452" s="12"/>
      <c r="C48452" s="8"/>
      <c r="D48452" s="8"/>
    </row>
    <row r="48453" spans="1:4" ht="15.75" customHeight="1">
      <c r="A48453" s="8"/>
      <c r="B48453" s="12"/>
      <c r="C48453" s="8"/>
      <c r="D48453" s="8"/>
    </row>
    <row r="48454" spans="1:4" ht="15.75" customHeight="1">
      <c r="A48454" s="8"/>
      <c r="B48454" s="12"/>
      <c r="C48454" s="8"/>
      <c r="D48454" s="8"/>
    </row>
    <row r="48455" spans="1:4" ht="15.75" customHeight="1">
      <c r="A48455" s="8"/>
      <c r="B48455" s="12"/>
      <c r="C48455" s="8"/>
      <c r="D48455" s="8"/>
    </row>
    <row r="48456" spans="1:4" ht="15.75" customHeight="1">
      <c r="A48456" s="8"/>
      <c r="B48456" s="12"/>
      <c r="C48456" s="8"/>
      <c r="D48456" s="8"/>
    </row>
    <row r="48457" spans="1:4" ht="15.75" customHeight="1">
      <c r="A48457" s="8"/>
      <c r="B48457" s="12"/>
      <c r="C48457" s="8"/>
      <c r="D48457" s="8"/>
    </row>
    <row r="48458" spans="1:4" ht="15.75" customHeight="1">
      <c r="A48458" s="8"/>
      <c r="B48458" s="12"/>
      <c r="C48458" s="8"/>
      <c r="D48458" s="8"/>
    </row>
    <row r="48459" spans="1:4" ht="15.75" customHeight="1">
      <c r="A48459" s="8"/>
      <c r="B48459" s="12"/>
      <c r="C48459" s="8"/>
      <c r="D48459" s="8"/>
    </row>
    <row r="48460" spans="1:4" ht="15.75" customHeight="1">
      <c r="A48460" s="8"/>
      <c r="B48460" s="12"/>
      <c r="C48460" s="8"/>
      <c r="D48460" s="8"/>
    </row>
    <row r="48461" spans="1:4" ht="15.75" customHeight="1">
      <c r="A48461" s="8"/>
      <c r="B48461" s="12"/>
      <c r="C48461" s="8"/>
      <c r="D48461" s="8"/>
    </row>
    <row r="48462" spans="1:4" ht="15.75" customHeight="1">
      <c r="A48462" s="8"/>
      <c r="B48462" s="12"/>
      <c r="C48462" s="8"/>
      <c r="D48462" s="8"/>
    </row>
    <row r="48463" spans="1:4" ht="15.75" customHeight="1">
      <c r="A48463" s="8"/>
      <c r="B48463" s="12"/>
      <c r="C48463" s="8"/>
      <c r="D48463" s="8"/>
    </row>
    <row r="48464" spans="1:4" ht="15.75" customHeight="1">
      <c r="A48464" s="8"/>
      <c r="B48464" s="12"/>
      <c r="C48464" s="8"/>
      <c r="D48464" s="8"/>
    </row>
    <row r="48465" spans="1:4" ht="15.75" customHeight="1">
      <c r="A48465" s="8"/>
      <c r="B48465" s="12"/>
      <c r="C48465" s="8"/>
      <c r="D48465" s="8"/>
    </row>
    <row r="48466" spans="1:4" ht="15.75" customHeight="1">
      <c r="A48466" s="8"/>
      <c r="B48466" s="12"/>
      <c r="C48466" s="8"/>
      <c r="D48466" s="8"/>
    </row>
    <row r="48467" spans="1:4" ht="15.75" customHeight="1">
      <c r="A48467" s="8"/>
      <c r="B48467" s="12"/>
      <c r="C48467" s="8"/>
      <c r="D48467" s="8"/>
    </row>
    <row r="48468" spans="1:4" ht="15.75" customHeight="1">
      <c r="A48468" s="8"/>
      <c r="B48468" s="12"/>
      <c r="C48468" s="8"/>
      <c r="D48468" s="8"/>
    </row>
    <row r="48469" spans="1:4" ht="15.75" customHeight="1">
      <c r="A48469" s="8"/>
      <c r="B48469" s="12"/>
      <c r="C48469" s="8"/>
      <c r="D48469" s="8"/>
    </row>
    <row r="48470" spans="1:4" ht="15.75" customHeight="1">
      <c r="A48470" s="8"/>
      <c r="B48470" s="12"/>
      <c r="C48470" s="8"/>
      <c r="D48470" s="8"/>
    </row>
    <row r="48471" spans="1:4" ht="15.75" customHeight="1">
      <c r="A48471" s="8"/>
      <c r="B48471" s="12"/>
      <c r="C48471" s="8"/>
      <c r="D48471" s="8"/>
    </row>
    <row r="48472" spans="1:4" ht="15.75" customHeight="1">
      <c r="A48472" s="8"/>
      <c r="B48472" s="12"/>
      <c r="C48472" s="8"/>
      <c r="D48472" s="8"/>
    </row>
    <row r="48473" spans="1:4" ht="15.75" customHeight="1">
      <c r="A48473" s="8"/>
      <c r="B48473" s="12"/>
      <c r="C48473" s="8"/>
      <c r="D48473" s="8"/>
    </row>
    <row r="48474" spans="1:4" ht="15.75" customHeight="1">
      <c r="A48474" s="8"/>
      <c r="B48474" s="12"/>
      <c r="C48474" s="8"/>
      <c r="D48474" s="8"/>
    </row>
    <row r="48475" spans="1:4" ht="15.75" customHeight="1">
      <c r="A48475" s="8"/>
      <c r="B48475" s="12"/>
      <c r="C48475" s="8"/>
      <c r="D48475" s="8"/>
    </row>
    <row r="48476" spans="1:4" ht="15.75" customHeight="1">
      <c r="A48476" s="8"/>
      <c r="B48476" s="12"/>
      <c r="C48476" s="8"/>
      <c r="D48476" s="8"/>
    </row>
    <row r="48477" spans="1:4" ht="15.75" customHeight="1">
      <c r="A48477" s="8"/>
      <c r="B48477" s="12"/>
      <c r="C48477" s="8"/>
      <c r="D48477" s="8"/>
    </row>
    <row r="48478" spans="1:4" ht="15.75" customHeight="1">
      <c r="A48478" s="8"/>
      <c r="B48478" s="12"/>
      <c r="C48478" s="8"/>
      <c r="D48478" s="8"/>
    </row>
    <row r="48479" spans="1:4" ht="15.75" customHeight="1">
      <c r="A48479" s="8"/>
      <c r="B48479" s="12"/>
      <c r="C48479" s="8"/>
      <c r="D48479" s="8"/>
    </row>
    <row r="48480" spans="1:4" ht="15.75" customHeight="1">
      <c r="A48480" s="8"/>
      <c r="B48480" s="12"/>
      <c r="C48480" s="8"/>
      <c r="D48480" s="8"/>
    </row>
    <row r="48481" spans="1:4" ht="15.75" customHeight="1">
      <c r="A48481" s="8"/>
      <c r="B48481" s="12"/>
      <c r="C48481" s="8"/>
      <c r="D48481" s="8"/>
    </row>
    <row r="48482" spans="1:4" ht="15.75" customHeight="1">
      <c r="A48482" s="8"/>
      <c r="B48482" s="12"/>
      <c r="C48482" s="8"/>
      <c r="D48482" s="8"/>
    </row>
    <row r="48483" spans="1:4" ht="15.75" customHeight="1">
      <c r="A48483" s="8"/>
      <c r="B48483" s="12"/>
      <c r="C48483" s="8"/>
      <c r="D48483" s="8"/>
    </row>
    <row r="48484" spans="1:4" ht="15.75" customHeight="1">
      <c r="A48484" s="8"/>
      <c r="B48484" s="12"/>
      <c r="C48484" s="8"/>
      <c r="D48484" s="8"/>
    </row>
    <row r="48485" spans="1:4" ht="15.75" customHeight="1">
      <c r="A48485" s="8"/>
      <c r="B48485" s="12"/>
      <c r="C48485" s="8"/>
      <c r="D48485" s="8"/>
    </row>
    <row r="48486" spans="1:4" ht="15.75" customHeight="1">
      <c r="A48486" s="8"/>
      <c r="B48486" s="12"/>
      <c r="C48486" s="8"/>
      <c r="D48486" s="8"/>
    </row>
    <row r="48487" spans="1:4" ht="15.75" customHeight="1">
      <c r="A48487" s="8"/>
      <c r="B48487" s="12"/>
      <c r="C48487" s="8"/>
      <c r="D48487" s="8"/>
    </row>
    <row r="48488" spans="1:4" ht="15.75" customHeight="1">
      <c r="A48488" s="8"/>
      <c r="B48488" s="12"/>
      <c r="C48488" s="8"/>
      <c r="D48488" s="8"/>
    </row>
    <row r="48489" spans="1:4" ht="15.75" customHeight="1">
      <c r="A48489" s="8"/>
      <c r="B48489" s="12"/>
      <c r="C48489" s="8"/>
      <c r="D48489" s="8"/>
    </row>
    <row r="48490" spans="1:4" ht="15.75" customHeight="1">
      <c r="A48490" s="8"/>
      <c r="B48490" s="12"/>
      <c r="C48490" s="8"/>
      <c r="D48490" s="8"/>
    </row>
    <row r="48491" spans="1:4" ht="15.75" customHeight="1">
      <c r="A48491" s="8"/>
      <c r="B48491" s="12"/>
      <c r="C48491" s="8"/>
      <c r="D48491" s="8"/>
    </row>
    <row r="48492" spans="1:4" ht="15.75" customHeight="1">
      <c r="A48492" s="8"/>
      <c r="B48492" s="12"/>
      <c r="C48492" s="8"/>
      <c r="D48492" s="8"/>
    </row>
    <row r="48493" spans="1:4" ht="15.75" customHeight="1">
      <c r="A48493" s="8"/>
      <c r="B48493" s="12"/>
      <c r="C48493" s="8"/>
      <c r="D48493" s="8"/>
    </row>
    <row r="48494" spans="1:4" ht="15.75" customHeight="1">
      <c r="A48494" s="8"/>
      <c r="B48494" s="12"/>
      <c r="C48494" s="8"/>
      <c r="D48494" s="8"/>
    </row>
    <row r="48495" spans="1:4" ht="15.75" customHeight="1">
      <c r="A48495" s="8"/>
      <c r="B48495" s="12"/>
      <c r="C48495" s="8"/>
      <c r="D48495" s="8"/>
    </row>
    <row r="48496" spans="1:4" ht="15.75" customHeight="1">
      <c r="A48496" s="8"/>
      <c r="B48496" s="12"/>
      <c r="C48496" s="8"/>
      <c r="D48496" s="8"/>
    </row>
    <row r="48497" spans="1:4" ht="15.75" customHeight="1">
      <c r="A48497" s="8"/>
      <c r="B48497" s="12"/>
      <c r="C48497" s="8"/>
      <c r="D48497" s="8"/>
    </row>
    <row r="48498" spans="1:4" ht="15.75" customHeight="1">
      <c r="A48498" s="8"/>
      <c r="B48498" s="12"/>
      <c r="C48498" s="8"/>
      <c r="D48498" s="8"/>
    </row>
    <row r="48499" spans="1:4" ht="15.75" customHeight="1">
      <c r="A48499" s="8"/>
      <c r="B48499" s="12"/>
      <c r="C48499" s="8"/>
      <c r="D48499" s="8"/>
    </row>
    <row r="48500" spans="1:4" ht="15.75" customHeight="1">
      <c r="A48500" s="8"/>
      <c r="B48500" s="12"/>
      <c r="C48500" s="8"/>
      <c r="D48500" s="8"/>
    </row>
    <row r="48501" spans="1:4" ht="15.75" customHeight="1">
      <c r="A48501" s="8"/>
      <c r="B48501" s="12"/>
      <c r="C48501" s="8"/>
      <c r="D48501" s="8"/>
    </row>
    <row r="48502" spans="1:4" ht="15.75" customHeight="1">
      <c r="A48502" s="8"/>
      <c r="B48502" s="12"/>
      <c r="C48502" s="8"/>
      <c r="D48502" s="8"/>
    </row>
    <row r="48503" spans="1:4" ht="15.75" customHeight="1">
      <c r="A48503" s="8"/>
      <c r="B48503" s="12"/>
      <c r="C48503" s="8"/>
      <c r="D48503" s="8"/>
    </row>
    <row r="48504" spans="1:4" ht="15.75" customHeight="1">
      <c r="A48504" s="8"/>
      <c r="B48504" s="12"/>
      <c r="C48504" s="8"/>
      <c r="D48504" s="8"/>
    </row>
    <row r="48505" spans="1:4" ht="15.75" customHeight="1">
      <c r="A48505" s="8"/>
      <c r="B48505" s="12"/>
      <c r="C48505" s="8"/>
      <c r="D48505" s="8"/>
    </row>
    <row r="48506" spans="1:4" ht="15.75" customHeight="1">
      <c r="A48506" s="8"/>
      <c r="B48506" s="12"/>
      <c r="C48506" s="8"/>
      <c r="D48506" s="8"/>
    </row>
    <row r="48507" spans="1:4" ht="15.75" customHeight="1">
      <c r="A48507" s="8"/>
      <c r="B48507" s="12"/>
      <c r="C48507" s="8"/>
      <c r="D48507" s="8"/>
    </row>
    <row r="48508" spans="1:4" ht="15.75" customHeight="1">
      <c r="A48508" s="8"/>
      <c r="B48508" s="12"/>
      <c r="C48508" s="8"/>
      <c r="D48508" s="8"/>
    </row>
    <row r="48509" spans="1:4" ht="15.75" customHeight="1">
      <c r="A48509" s="8"/>
      <c r="B48509" s="12"/>
      <c r="C48509" s="8"/>
      <c r="D48509" s="8"/>
    </row>
    <row r="48510" spans="1:4" ht="15.75" customHeight="1">
      <c r="A48510" s="8"/>
      <c r="B48510" s="12"/>
      <c r="C48510" s="8"/>
      <c r="D48510" s="8"/>
    </row>
    <row r="48511" spans="1:4" ht="15.75" customHeight="1">
      <c r="A48511" s="8"/>
      <c r="B48511" s="12"/>
      <c r="C48511" s="8"/>
      <c r="D48511" s="8"/>
    </row>
    <row r="48512" spans="1:4" ht="15.75" customHeight="1">
      <c r="A48512" s="8"/>
      <c r="B48512" s="12"/>
      <c r="C48512" s="8"/>
      <c r="D48512" s="8"/>
    </row>
    <row r="48513" spans="1:4" ht="15.75" customHeight="1">
      <c r="A48513" s="8"/>
      <c r="B48513" s="12"/>
      <c r="C48513" s="8"/>
      <c r="D48513" s="8"/>
    </row>
    <row r="48514" spans="1:4" ht="15.75" customHeight="1">
      <c r="A48514" s="8"/>
      <c r="B48514" s="12"/>
      <c r="C48514" s="8"/>
      <c r="D48514" s="8"/>
    </row>
    <row r="48515" spans="1:4" ht="15.75" customHeight="1">
      <c r="A48515" s="8"/>
      <c r="B48515" s="12"/>
      <c r="C48515" s="8"/>
      <c r="D48515" s="8"/>
    </row>
    <row r="48516" spans="1:4" ht="15.75" customHeight="1">
      <c r="A48516" s="8"/>
      <c r="B48516" s="12"/>
      <c r="C48516" s="8"/>
      <c r="D48516" s="8"/>
    </row>
    <row r="48517" spans="1:4" ht="15.75" customHeight="1">
      <c r="A48517" s="8"/>
      <c r="B48517" s="12"/>
      <c r="C48517" s="8"/>
      <c r="D48517" s="8"/>
    </row>
    <row r="48518" spans="1:4" ht="15.75" customHeight="1">
      <c r="A48518" s="8"/>
      <c r="B48518" s="12"/>
      <c r="C48518" s="8"/>
      <c r="D48518" s="8"/>
    </row>
    <row r="48519" spans="1:4" ht="15.75" customHeight="1">
      <c r="A48519" s="8"/>
      <c r="B48519" s="12"/>
      <c r="C48519" s="8"/>
      <c r="D48519" s="8"/>
    </row>
    <row r="48520" spans="1:4" ht="15.75" customHeight="1">
      <c r="A48520" s="8"/>
      <c r="B48520" s="12"/>
      <c r="C48520" s="8"/>
      <c r="D48520" s="8"/>
    </row>
    <row r="48521" spans="1:4" ht="15.75" customHeight="1">
      <c r="A48521" s="8"/>
      <c r="B48521" s="12"/>
      <c r="C48521" s="8"/>
      <c r="D48521" s="8"/>
    </row>
    <row r="48522" spans="1:4" ht="15.75" customHeight="1">
      <c r="A48522" s="8"/>
      <c r="B48522" s="12"/>
      <c r="C48522" s="8"/>
      <c r="D48522" s="8"/>
    </row>
    <row r="48523" spans="1:4" ht="15.75" customHeight="1">
      <c r="A48523" s="8"/>
      <c r="B48523" s="12"/>
      <c r="C48523" s="8"/>
      <c r="D48523" s="8"/>
    </row>
    <row r="48524" spans="1:4" ht="15.75" customHeight="1">
      <c r="A48524" s="8"/>
      <c r="B48524" s="12"/>
      <c r="C48524" s="8"/>
      <c r="D48524" s="8"/>
    </row>
    <row r="48525" spans="1:4" ht="15.75" customHeight="1">
      <c r="A48525" s="8"/>
      <c r="B48525" s="12"/>
      <c r="C48525" s="8"/>
      <c r="D48525" s="8"/>
    </row>
    <row r="48526" spans="1:4" ht="15.75" customHeight="1">
      <c r="A48526" s="8"/>
      <c r="B48526" s="12"/>
      <c r="C48526" s="8"/>
      <c r="D48526" s="8"/>
    </row>
    <row r="48527" spans="1:4" ht="15.75" customHeight="1">
      <c r="A48527" s="8"/>
      <c r="B48527" s="12"/>
      <c r="C48527" s="8"/>
      <c r="D48527" s="8"/>
    </row>
    <row r="48528" spans="1:4" ht="15.75" customHeight="1">
      <c r="A48528" s="8"/>
      <c r="B48528" s="12"/>
      <c r="C48528" s="8"/>
      <c r="D48528" s="8"/>
    </row>
    <row r="48529" spans="1:4" ht="15.75" customHeight="1">
      <c r="A48529" s="8"/>
      <c r="B48529" s="12"/>
      <c r="C48529" s="8"/>
      <c r="D48529" s="8"/>
    </row>
    <row r="48530" spans="1:4" ht="15.75" customHeight="1">
      <c r="A48530" s="8"/>
      <c r="B48530" s="12"/>
      <c r="C48530" s="8"/>
      <c r="D48530" s="8"/>
    </row>
    <row r="48531" spans="1:4" ht="15.75" customHeight="1">
      <c r="A48531" s="8"/>
      <c r="B48531" s="12"/>
      <c r="C48531" s="8"/>
      <c r="D48531" s="8"/>
    </row>
    <row r="48532" spans="1:4" ht="15.75" customHeight="1">
      <c r="A48532" s="8"/>
      <c r="B48532" s="12"/>
      <c r="C48532" s="8"/>
      <c r="D48532" s="8"/>
    </row>
    <row r="48533" spans="1:4" ht="15.75" customHeight="1">
      <c r="A48533" s="8"/>
      <c r="B48533" s="12"/>
      <c r="C48533" s="8"/>
      <c r="D48533" s="8"/>
    </row>
    <row r="48534" spans="1:4" ht="15.75" customHeight="1">
      <c r="A48534" s="8"/>
      <c r="B48534" s="12"/>
      <c r="C48534" s="8"/>
      <c r="D48534" s="8"/>
    </row>
    <row r="48535" spans="1:4" ht="15.75" customHeight="1">
      <c r="A48535" s="8"/>
      <c r="B48535" s="12"/>
      <c r="C48535" s="8"/>
      <c r="D48535" s="8"/>
    </row>
    <row r="48536" spans="1:4" ht="15.75" customHeight="1">
      <c r="A48536" s="8"/>
      <c r="B48536" s="12"/>
      <c r="C48536" s="8"/>
      <c r="D48536" s="8"/>
    </row>
    <row r="48537" spans="1:4" ht="15.75" customHeight="1">
      <c r="A48537" s="8"/>
      <c r="B48537" s="12"/>
      <c r="C48537" s="8"/>
      <c r="D48537" s="8"/>
    </row>
    <row r="48538" spans="1:4" ht="15.75" customHeight="1">
      <c r="A48538" s="8"/>
      <c r="B48538" s="12"/>
      <c r="C48538" s="8"/>
      <c r="D48538" s="8"/>
    </row>
    <row r="48539" spans="1:4" ht="15.75" customHeight="1">
      <c r="A48539" s="8"/>
      <c r="B48539" s="12"/>
      <c r="C48539" s="8"/>
      <c r="D48539" s="8"/>
    </row>
    <row r="48540" spans="1:4" ht="15.75" customHeight="1">
      <c r="A48540" s="8"/>
      <c r="B48540" s="12"/>
      <c r="C48540" s="8"/>
      <c r="D48540" s="8"/>
    </row>
    <row r="48541" spans="1:4" ht="15.75" customHeight="1">
      <c r="A48541" s="8"/>
      <c r="B48541" s="12"/>
      <c r="C48541" s="8"/>
      <c r="D48541" s="8"/>
    </row>
    <row r="48542" spans="1:4" ht="15.75" customHeight="1">
      <c r="A48542" s="8"/>
      <c r="B48542" s="12"/>
      <c r="C48542" s="8"/>
      <c r="D48542" s="8"/>
    </row>
    <row r="48543" spans="1:4" ht="15.75" customHeight="1">
      <c r="A48543" s="8"/>
      <c r="B48543" s="12"/>
      <c r="C48543" s="8"/>
      <c r="D48543" s="8"/>
    </row>
    <row r="48544" spans="1:4" ht="15.75" customHeight="1">
      <c r="A48544" s="8"/>
      <c r="B48544" s="12"/>
      <c r="C48544" s="8"/>
      <c r="D48544" s="8"/>
    </row>
    <row r="48545" spans="1:4" ht="15.75" customHeight="1">
      <c r="A48545" s="8"/>
      <c r="B48545" s="12"/>
      <c r="C48545" s="8"/>
      <c r="D48545" s="8"/>
    </row>
    <row r="48546" spans="1:4" ht="15.75" customHeight="1">
      <c r="A48546" s="8"/>
      <c r="B48546" s="12"/>
      <c r="C48546" s="8"/>
      <c r="D48546" s="8"/>
    </row>
    <row r="48547" spans="1:4" ht="15.75" customHeight="1">
      <c r="A48547" s="8"/>
      <c r="B48547" s="12"/>
      <c r="C48547" s="8"/>
      <c r="D48547" s="8"/>
    </row>
    <row r="48548" spans="1:4" ht="15.75" customHeight="1">
      <c r="A48548" s="8"/>
      <c r="B48548" s="12"/>
      <c r="C48548" s="8"/>
      <c r="D48548" s="8"/>
    </row>
    <row r="48549" spans="1:4" ht="15.75" customHeight="1">
      <c r="A48549" s="8"/>
      <c r="B48549" s="12"/>
      <c r="C48549" s="8"/>
      <c r="D48549" s="8"/>
    </row>
    <row r="48550" spans="1:4" ht="15.75" customHeight="1">
      <c r="A48550" s="8"/>
      <c r="B48550" s="12"/>
      <c r="C48550" s="8"/>
      <c r="D48550" s="8"/>
    </row>
    <row r="48551" spans="1:4" ht="15.75" customHeight="1">
      <c r="A48551" s="8"/>
      <c r="B48551" s="12"/>
      <c r="C48551" s="8"/>
      <c r="D48551" s="8"/>
    </row>
    <row r="48552" spans="1:4" ht="15.75" customHeight="1">
      <c r="A48552" s="8"/>
      <c r="B48552" s="12"/>
      <c r="C48552" s="8"/>
      <c r="D48552" s="8"/>
    </row>
    <row r="48553" spans="1:4" ht="15.75" customHeight="1">
      <c r="A48553" s="8"/>
      <c r="B48553" s="12"/>
      <c r="C48553" s="8"/>
      <c r="D48553" s="8"/>
    </row>
    <row r="48554" spans="1:4" ht="15.75" customHeight="1">
      <c r="A48554" s="8"/>
      <c r="B48554" s="12"/>
      <c r="C48554" s="8"/>
      <c r="D48554" s="8"/>
    </row>
    <row r="48555" spans="1:4" ht="15.75" customHeight="1">
      <c r="A48555" s="8"/>
      <c r="B48555" s="12"/>
      <c r="C48555" s="8"/>
      <c r="D48555" s="8"/>
    </row>
    <row r="48556" spans="1:4" ht="15.75" customHeight="1">
      <c r="A48556" s="8"/>
      <c r="B48556" s="12"/>
      <c r="C48556" s="8"/>
      <c r="D48556" s="8"/>
    </row>
    <row r="48557" spans="1:4" ht="15.75" customHeight="1">
      <c r="A48557" s="8"/>
      <c r="B48557" s="12"/>
      <c r="C48557" s="8"/>
      <c r="D48557" s="8"/>
    </row>
    <row r="48558" spans="1:4" ht="15.75" customHeight="1">
      <c r="A48558" s="8"/>
      <c r="B48558" s="12"/>
      <c r="C48558" s="8"/>
      <c r="D48558" s="8"/>
    </row>
    <row r="48559" spans="1:4" ht="15.75" customHeight="1">
      <c r="A48559" s="8"/>
      <c r="B48559" s="12"/>
      <c r="C48559" s="8"/>
      <c r="D48559" s="8"/>
    </row>
    <row r="48560" spans="1:4" ht="15.75" customHeight="1">
      <c r="A48560" s="8"/>
      <c r="B48560" s="12"/>
      <c r="C48560" s="8"/>
      <c r="D48560" s="8"/>
    </row>
    <row r="48561" spans="1:4" ht="15.75" customHeight="1">
      <c r="A48561" s="8"/>
      <c r="B48561" s="12"/>
      <c r="C48561" s="8"/>
      <c r="D48561" s="8"/>
    </row>
    <row r="48562" spans="1:4" ht="15.75" customHeight="1">
      <c r="A48562" s="8"/>
      <c r="B48562" s="12"/>
      <c r="C48562" s="8"/>
      <c r="D48562" s="8"/>
    </row>
    <row r="48563" spans="1:4" ht="15.75" customHeight="1">
      <c r="A48563" s="8"/>
      <c r="B48563" s="12"/>
      <c r="C48563" s="8"/>
      <c r="D48563" s="8"/>
    </row>
    <row r="48564" spans="1:4" ht="15.75" customHeight="1">
      <c r="A48564" s="8"/>
      <c r="B48564" s="12"/>
      <c r="C48564" s="8"/>
      <c r="D48564" s="8"/>
    </row>
    <row r="48565" spans="1:4" ht="15.75" customHeight="1">
      <c r="A48565" s="8"/>
      <c r="B48565" s="12"/>
      <c r="C48565" s="8"/>
      <c r="D48565" s="8"/>
    </row>
    <row r="48566" spans="1:4" ht="15.75" customHeight="1">
      <c r="A48566" s="8"/>
      <c r="B48566" s="12"/>
      <c r="C48566" s="8"/>
      <c r="D48566" s="8"/>
    </row>
    <row r="48567" spans="1:4" ht="15.75" customHeight="1">
      <c r="A48567" s="8"/>
      <c r="B48567" s="12"/>
      <c r="C48567" s="8"/>
      <c r="D48567" s="8"/>
    </row>
    <row r="48568" spans="1:4" ht="15.75" customHeight="1">
      <c r="A48568" s="8"/>
      <c r="B48568" s="12"/>
      <c r="C48568" s="8"/>
      <c r="D48568" s="8"/>
    </row>
    <row r="48569" spans="1:4" ht="15.75" customHeight="1">
      <c r="A48569" s="8"/>
      <c r="B48569" s="12"/>
      <c r="C48569" s="8"/>
      <c r="D48569" s="8"/>
    </row>
    <row r="48570" spans="1:4" ht="15.75" customHeight="1">
      <c r="A48570" s="8"/>
      <c r="B48570" s="12"/>
      <c r="C48570" s="8"/>
      <c r="D48570" s="8"/>
    </row>
    <row r="48571" spans="1:4" ht="15.75" customHeight="1">
      <c r="A48571" s="8"/>
      <c r="B48571" s="12"/>
      <c r="C48571" s="8"/>
      <c r="D48571" s="8"/>
    </row>
    <row r="48572" spans="1:4" ht="15.75" customHeight="1">
      <c r="A48572" s="8"/>
      <c r="B48572" s="12"/>
      <c r="C48572" s="8"/>
      <c r="D48572" s="8"/>
    </row>
    <row r="48573" spans="1:4" ht="15.75" customHeight="1">
      <c r="A48573" s="8"/>
      <c r="B48573" s="12"/>
      <c r="C48573" s="8"/>
      <c r="D48573" s="8"/>
    </row>
    <row r="48574" spans="1:4" ht="15.75" customHeight="1">
      <c r="A48574" s="8"/>
      <c r="B48574" s="12"/>
      <c r="C48574" s="8"/>
      <c r="D48574" s="8"/>
    </row>
    <row r="48575" spans="1:4" ht="15.75" customHeight="1">
      <c r="A48575" s="8"/>
      <c r="B48575" s="12"/>
      <c r="C48575" s="8"/>
      <c r="D48575" s="8"/>
    </row>
    <row r="48576" spans="1:4" ht="15.75" customHeight="1">
      <c r="A48576" s="8"/>
      <c r="B48576" s="12"/>
      <c r="C48576" s="8"/>
      <c r="D48576" s="8"/>
    </row>
    <row r="48577" spans="1:4" ht="15.75" customHeight="1">
      <c r="A48577" s="8"/>
      <c r="B48577" s="12"/>
      <c r="C48577" s="8"/>
      <c r="D48577" s="8"/>
    </row>
    <row r="48578" spans="1:4" ht="15.75" customHeight="1">
      <c r="A48578" s="8"/>
      <c r="B48578" s="12"/>
      <c r="C48578" s="8"/>
      <c r="D48578" s="8"/>
    </row>
    <row r="48579" spans="1:4" ht="15.75" customHeight="1">
      <c r="A48579" s="8"/>
      <c r="B48579" s="12"/>
      <c r="C48579" s="8"/>
      <c r="D48579" s="8"/>
    </row>
    <row r="48580" spans="1:4" ht="15.75" customHeight="1">
      <c r="A48580" s="8"/>
      <c r="B48580" s="12"/>
      <c r="C48580" s="8"/>
      <c r="D48580" s="8"/>
    </row>
    <row r="48581" spans="1:4" ht="15.75" customHeight="1">
      <c r="A48581" s="8"/>
      <c r="B48581" s="12"/>
      <c r="C48581" s="8"/>
      <c r="D48581" s="8"/>
    </row>
    <row r="48582" spans="1:4" ht="15.75" customHeight="1">
      <c r="A48582" s="8"/>
      <c r="B48582" s="12"/>
      <c r="C48582" s="8"/>
      <c r="D48582" s="8"/>
    </row>
    <row r="48583" spans="1:4" ht="15.75" customHeight="1">
      <c r="A48583" s="8"/>
      <c r="B48583" s="12"/>
      <c r="C48583" s="8"/>
      <c r="D48583" s="8"/>
    </row>
    <row r="48584" spans="1:4" ht="15.75" customHeight="1">
      <c r="A48584" s="8"/>
      <c r="B48584" s="12"/>
      <c r="C48584" s="8"/>
      <c r="D48584" s="8"/>
    </row>
    <row r="48585" spans="1:4" ht="15.75" customHeight="1">
      <c r="A48585" s="8"/>
      <c r="B48585" s="12"/>
      <c r="C48585" s="8"/>
      <c r="D48585" s="8"/>
    </row>
    <row r="48586" spans="1:4" ht="15.75" customHeight="1">
      <c r="A48586" s="8"/>
      <c r="B48586" s="12"/>
      <c r="C48586" s="8"/>
      <c r="D48586" s="8"/>
    </row>
    <row r="48587" spans="1:4" ht="15.75" customHeight="1">
      <c r="A48587" s="8"/>
      <c r="B48587" s="12"/>
      <c r="C48587" s="8"/>
      <c r="D48587" s="8"/>
    </row>
    <row r="48588" spans="1:4" ht="15.75" customHeight="1">
      <c r="A48588" s="8"/>
      <c r="B48588" s="12"/>
      <c r="C48588" s="8"/>
      <c r="D48588" s="8"/>
    </row>
    <row r="48589" spans="1:4" ht="15.75" customHeight="1">
      <c r="A48589" s="8"/>
      <c r="B48589" s="12"/>
      <c r="C48589" s="8"/>
      <c r="D48589" s="8"/>
    </row>
    <row r="48590" spans="1:4" ht="15.75" customHeight="1">
      <c r="A48590" s="8"/>
      <c r="B48590" s="12"/>
      <c r="C48590" s="8"/>
      <c r="D48590" s="8"/>
    </row>
    <row r="48591" spans="1:4" ht="15.75" customHeight="1">
      <c r="A48591" s="8"/>
      <c r="B48591" s="12"/>
      <c r="C48591" s="8"/>
      <c r="D48591" s="8"/>
    </row>
    <row r="48592" spans="1:4" ht="15.75" customHeight="1">
      <c r="A48592" s="8"/>
      <c r="B48592" s="12"/>
      <c r="C48592" s="8"/>
      <c r="D48592" s="8"/>
    </row>
    <row r="48593" spans="1:4" ht="15.75" customHeight="1">
      <c r="A48593" s="8"/>
      <c r="B48593" s="12"/>
      <c r="C48593" s="8"/>
      <c r="D48593" s="8"/>
    </row>
    <row r="48594" spans="1:4" ht="15.75" customHeight="1">
      <c r="A48594" s="8"/>
      <c r="B48594" s="12"/>
      <c r="C48594" s="8"/>
      <c r="D48594" s="8"/>
    </row>
    <row r="48595" spans="1:4" ht="15.75" customHeight="1">
      <c r="A48595" s="8"/>
      <c r="B48595" s="12"/>
      <c r="C48595" s="8"/>
      <c r="D48595" s="8"/>
    </row>
    <row r="48596" spans="1:4" ht="15.75" customHeight="1">
      <c r="A48596" s="8"/>
      <c r="B48596" s="12"/>
      <c r="C48596" s="8"/>
      <c r="D48596" s="8"/>
    </row>
    <row r="48597" spans="1:4" ht="15.75" customHeight="1">
      <c r="A48597" s="8"/>
      <c r="B48597" s="12"/>
      <c r="C48597" s="8"/>
      <c r="D48597" s="8"/>
    </row>
    <row r="48598" spans="1:4" ht="15.75" customHeight="1">
      <c r="A48598" s="8"/>
      <c r="B48598" s="12"/>
      <c r="C48598" s="8"/>
      <c r="D48598" s="8"/>
    </row>
    <row r="48599" spans="1:4" ht="15.75" customHeight="1">
      <c r="A48599" s="8"/>
      <c r="B48599" s="12"/>
      <c r="C48599" s="8"/>
      <c r="D48599" s="8"/>
    </row>
    <row r="48600" spans="1:4" ht="15.75" customHeight="1">
      <c r="A48600" s="8"/>
      <c r="B48600" s="12"/>
      <c r="C48600" s="8"/>
      <c r="D48600" s="8"/>
    </row>
    <row r="48601" spans="1:4" ht="15.75" customHeight="1">
      <c r="A48601" s="8"/>
      <c r="B48601" s="12"/>
      <c r="C48601" s="8"/>
      <c r="D48601" s="8"/>
    </row>
    <row r="48602" spans="1:4" ht="15.75" customHeight="1">
      <c r="A48602" s="8"/>
      <c r="B48602" s="12"/>
      <c r="C48602" s="8"/>
      <c r="D48602" s="8"/>
    </row>
    <row r="48603" spans="1:4" ht="15.75" customHeight="1">
      <c r="A48603" s="8"/>
      <c r="B48603" s="12"/>
      <c r="C48603" s="8"/>
      <c r="D48603" s="8"/>
    </row>
    <row r="48604" spans="1:4" ht="15.75" customHeight="1">
      <c r="A48604" s="8"/>
      <c r="B48604" s="12"/>
      <c r="C48604" s="8"/>
      <c r="D48604" s="8"/>
    </row>
    <row r="48605" spans="1:4" ht="15.75" customHeight="1">
      <c r="A48605" s="8"/>
      <c r="B48605" s="12"/>
      <c r="C48605" s="8"/>
      <c r="D48605" s="8"/>
    </row>
    <row r="48606" spans="1:4" ht="15.75" customHeight="1">
      <c r="A48606" s="8"/>
      <c r="B48606" s="12"/>
      <c r="C48606" s="8"/>
      <c r="D48606" s="8"/>
    </row>
    <row r="48607" spans="1:4" ht="15.75" customHeight="1">
      <c r="A48607" s="8"/>
      <c r="B48607" s="12"/>
      <c r="C48607" s="8"/>
      <c r="D48607" s="8"/>
    </row>
    <row r="48608" spans="1:4" ht="15.75" customHeight="1">
      <c r="A48608" s="8"/>
      <c r="B48608" s="12"/>
      <c r="C48608" s="8"/>
      <c r="D48608" s="8"/>
    </row>
    <row r="48609" spans="1:4" ht="15.75" customHeight="1">
      <c r="A48609" s="8"/>
      <c r="B48609" s="12"/>
      <c r="C48609" s="8"/>
      <c r="D48609" s="8"/>
    </row>
    <row r="48610" spans="1:4" ht="15.75" customHeight="1">
      <c r="A48610" s="8"/>
      <c r="B48610" s="12"/>
      <c r="C48610" s="8"/>
      <c r="D48610" s="8"/>
    </row>
    <row r="48611" spans="1:4" ht="15.75" customHeight="1">
      <c r="A48611" s="8"/>
      <c r="B48611" s="12"/>
      <c r="C48611" s="8"/>
      <c r="D48611" s="8"/>
    </row>
    <row r="48612" spans="1:4" ht="15.75" customHeight="1">
      <c r="A48612" s="8"/>
      <c r="B48612" s="12"/>
      <c r="C48612" s="8"/>
      <c r="D48612" s="8"/>
    </row>
    <row r="48613" spans="1:4" ht="15.75" customHeight="1">
      <c r="A48613" s="8"/>
      <c r="B48613" s="12"/>
      <c r="C48613" s="8"/>
      <c r="D48613" s="8"/>
    </row>
    <row r="48614" spans="1:4" ht="15.75" customHeight="1">
      <c r="A48614" s="8"/>
      <c r="B48614" s="12"/>
      <c r="C48614" s="8"/>
      <c r="D48614" s="8"/>
    </row>
    <row r="48615" spans="1:4" ht="15.75" customHeight="1">
      <c r="A48615" s="8"/>
      <c r="B48615" s="12"/>
      <c r="C48615" s="8"/>
      <c r="D48615" s="8"/>
    </row>
    <row r="48616" spans="1:4" ht="15.75" customHeight="1">
      <c r="A48616" s="8"/>
      <c r="B48616" s="12"/>
      <c r="C48616" s="8"/>
      <c r="D48616" s="8"/>
    </row>
    <row r="48617" spans="1:4" ht="15.75" customHeight="1">
      <c r="A48617" s="8"/>
      <c r="B48617" s="12"/>
      <c r="C48617" s="8"/>
      <c r="D48617" s="8"/>
    </row>
    <row r="48618" spans="1:4" ht="15.75" customHeight="1">
      <c r="A48618" s="8"/>
      <c r="B48618" s="12"/>
      <c r="C48618" s="8"/>
      <c r="D48618" s="8"/>
    </row>
    <row r="48619" spans="1:4" ht="15.75" customHeight="1">
      <c r="A48619" s="8"/>
      <c r="B48619" s="12"/>
      <c r="C48619" s="8"/>
      <c r="D48619" s="8"/>
    </row>
    <row r="48620" spans="1:4" ht="15.75" customHeight="1">
      <c r="A48620" s="8"/>
      <c r="B48620" s="12"/>
      <c r="C48620" s="8"/>
      <c r="D48620" s="8"/>
    </row>
    <row r="48621" spans="1:4" ht="15.75" customHeight="1">
      <c r="A48621" s="8"/>
      <c r="B48621" s="12"/>
      <c r="C48621" s="8"/>
      <c r="D48621" s="8"/>
    </row>
    <row r="48622" spans="1:4" ht="15.75" customHeight="1">
      <c r="A48622" s="8"/>
      <c r="B48622" s="12"/>
      <c r="C48622" s="8"/>
      <c r="D48622" s="8"/>
    </row>
    <row r="48623" spans="1:4" ht="15.75" customHeight="1">
      <c r="A48623" s="8"/>
      <c r="B48623" s="12"/>
      <c r="C48623" s="8"/>
      <c r="D48623" s="8"/>
    </row>
    <row r="48624" spans="1:4" ht="15.75" customHeight="1">
      <c r="A48624" s="8"/>
      <c r="B48624" s="12"/>
      <c r="C48624" s="8"/>
      <c r="D48624" s="8"/>
    </row>
    <row r="48625" spans="1:4" ht="15.75" customHeight="1">
      <c r="A48625" s="8"/>
      <c r="B48625" s="12"/>
      <c r="C48625" s="8"/>
      <c r="D48625" s="8"/>
    </row>
    <row r="48626" spans="1:4" ht="15.75" customHeight="1">
      <c r="A48626" s="8"/>
      <c r="B48626" s="12"/>
      <c r="C48626" s="8"/>
      <c r="D48626" s="8"/>
    </row>
    <row r="48627" spans="1:4" ht="15.75" customHeight="1">
      <c r="A48627" s="8"/>
      <c r="B48627" s="12"/>
      <c r="C48627" s="8"/>
      <c r="D48627" s="8"/>
    </row>
    <row r="48628" spans="1:4" ht="15.75" customHeight="1">
      <c r="A48628" s="8"/>
      <c r="B48628" s="12"/>
      <c r="C48628" s="8"/>
      <c r="D48628" s="8"/>
    </row>
    <row r="48629" spans="1:4" ht="15.75" customHeight="1">
      <c r="A48629" s="8"/>
      <c r="B48629" s="12"/>
      <c r="C48629" s="8"/>
      <c r="D48629" s="8"/>
    </row>
    <row r="48630" spans="1:4" ht="15.75" customHeight="1">
      <c r="A48630" s="8"/>
      <c r="B48630" s="12"/>
      <c r="C48630" s="8"/>
      <c r="D48630" s="8"/>
    </row>
    <row r="48631" spans="1:4" ht="15.75" customHeight="1">
      <c r="A48631" s="8"/>
      <c r="B48631" s="12"/>
      <c r="C48631" s="8"/>
      <c r="D48631" s="8"/>
    </row>
    <row r="48632" spans="1:4" ht="15.75" customHeight="1">
      <c r="A48632" s="8"/>
      <c r="B48632" s="12"/>
      <c r="C48632" s="8"/>
      <c r="D48632" s="8"/>
    </row>
    <row r="48633" spans="1:4" ht="15.75" customHeight="1">
      <c r="A48633" s="8"/>
      <c r="B48633" s="12"/>
      <c r="C48633" s="8"/>
      <c r="D48633" s="8"/>
    </row>
    <row r="48634" spans="1:4" ht="15.75" customHeight="1">
      <c r="A48634" s="8"/>
      <c r="B48634" s="12"/>
      <c r="C48634" s="8"/>
      <c r="D48634" s="8"/>
    </row>
    <row r="48635" spans="1:4" ht="15.75" customHeight="1">
      <c r="A48635" s="8"/>
      <c r="B48635" s="12"/>
      <c r="C48635" s="8"/>
      <c r="D48635" s="8"/>
    </row>
    <row r="48636" spans="1:4" ht="15.75" customHeight="1">
      <c r="A48636" s="8"/>
      <c r="B48636" s="12"/>
      <c r="C48636" s="8"/>
      <c r="D48636" s="8"/>
    </row>
    <row r="48637" spans="1:4" ht="15.75" customHeight="1">
      <c r="A48637" s="8"/>
      <c r="B48637" s="12"/>
      <c r="C48637" s="8"/>
      <c r="D48637" s="8"/>
    </row>
    <row r="48638" spans="1:4" ht="15.75" customHeight="1">
      <c r="A48638" s="8"/>
      <c r="B48638" s="12"/>
      <c r="C48638" s="8"/>
      <c r="D48638" s="8"/>
    </row>
    <row r="48639" spans="1:4" ht="15.75" customHeight="1">
      <c r="A48639" s="8"/>
      <c r="B48639" s="12"/>
      <c r="C48639" s="8"/>
      <c r="D48639" s="8"/>
    </row>
    <row r="48640" spans="1:4" ht="15.75" customHeight="1">
      <c r="A48640" s="8"/>
      <c r="B48640" s="12"/>
      <c r="C48640" s="8"/>
      <c r="D48640" s="8"/>
    </row>
    <row r="48641" spans="1:4" ht="15.75" customHeight="1">
      <c r="A48641" s="8"/>
      <c r="B48641" s="12"/>
      <c r="C48641" s="8"/>
      <c r="D48641" s="8"/>
    </row>
    <row r="48642" spans="1:4" ht="15.75" customHeight="1">
      <c r="A48642" s="8"/>
      <c r="B48642" s="12"/>
      <c r="C48642" s="8"/>
      <c r="D48642" s="8"/>
    </row>
    <row r="48643" spans="1:4" ht="15.75" customHeight="1">
      <c r="A48643" s="8"/>
      <c r="B48643" s="12"/>
      <c r="C48643" s="8"/>
      <c r="D48643" s="8"/>
    </row>
    <row r="48644" spans="1:4" ht="15.75" customHeight="1">
      <c r="A48644" s="8"/>
      <c r="B48644" s="12"/>
      <c r="C48644" s="8"/>
      <c r="D48644" s="8"/>
    </row>
    <row r="48645" spans="1:4" ht="15.75" customHeight="1">
      <c r="A48645" s="8"/>
      <c r="B48645" s="12"/>
      <c r="C48645" s="8"/>
      <c r="D48645" s="8"/>
    </row>
    <row r="48646" spans="1:4" ht="15.75" customHeight="1">
      <c r="A48646" s="8"/>
      <c r="B48646" s="12"/>
      <c r="C48646" s="8"/>
      <c r="D48646" s="8"/>
    </row>
    <row r="48647" spans="1:4" ht="15.75" customHeight="1">
      <c r="A48647" s="8"/>
      <c r="B48647" s="12"/>
      <c r="C48647" s="8"/>
      <c r="D48647" s="8"/>
    </row>
    <row r="48648" spans="1:4" ht="15.75" customHeight="1">
      <c r="A48648" s="8"/>
      <c r="B48648" s="12"/>
      <c r="C48648" s="8"/>
      <c r="D48648" s="8"/>
    </row>
    <row r="48649" spans="1:4" ht="15.75" customHeight="1">
      <c r="A48649" s="8"/>
      <c r="B48649" s="12"/>
      <c r="C48649" s="8"/>
      <c r="D48649" s="8"/>
    </row>
    <row r="48650" spans="1:4" ht="15.75" customHeight="1">
      <c r="A48650" s="8"/>
      <c r="B48650" s="12"/>
      <c r="C48650" s="8"/>
      <c r="D48650" s="8"/>
    </row>
    <row r="48651" spans="1:4" ht="15.75" customHeight="1">
      <c r="A48651" s="8"/>
      <c r="B48651" s="12"/>
      <c r="C48651" s="8"/>
      <c r="D48651" s="8"/>
    </row>
    <row r="48652" spans="1:4" ht="15.75" customHeight="1">
      <c r="A48652" s="8"/>
      <c r="B48652" s="12"/>
      <c r="C48652" s="8"/>
      <c r="D48652" s="8"/>
    </row>
    <row r="48653" spans="1:4" ht="15.75" customHeight="1">
      <c r="A48653" s="8"/>
      <c r="B48653" s="12"/>
      <c r="C48653" s="8"/>
      <c r="D48653" s="8"/>
    </row>
    <row r="48654" spans="1:4" ht="15.75" customHeight="1">
      <c r="A48654" s="8"/>
      <c r="B48654" s="12"/>
      <c r="C48654" s="8"/>
      <c r="D48654" s="8"/>
    </row>
    <row r="48655" spans="1:4" ht="15.75" customHeight="1">
      <c r="A48655" s="8"/>
      <c r="B48655" s="12"/>
      <c r="C48655" s="8"/>
      <c r="D48655" s="8"/>
    </row>
    <row r="48656" spans="1:4" ht="15.75" customHeight="1">
      <c r="A48656" s="8"/>
      <c r="B48656" s="12"/>
      <c r="C48656" s="8"/>
      <c r="D48656" s="8"/>
    </row>
    <row r="48657" spans="1:4" ht="15.75" customHeight="1">
      <c r="A48657" s="8"/>
      <c r="B48657" s="12"/>
      <c r="C48657" s="8"/>
      <c r="D48657" s="8"/>
    </row>
    <row r="48658" spans="1:4" ht="15.75" customHeight="1">
      <c r="A48658" s="8"/>
      <c r="B48658" s="12"/>
      <c r="C48658" s="8"/>
      <c r="D48658" s="8"/>
    </row>
    <row r="48659" spans="1:4" ht="15.75" customHeight="1">
      <c r="A48659" s="8"/>
      <c r="B48659" s="12"/>
      <c r="C48659" s="8"/>
      <c r="D48659" s="8"/>
    </row>
    <row r="48660" spans="1:4" ht="15.75" customHeight="1">
      <c r="A48660" s="8"/>
      <c r="B48660" s="12"/>
      <c r="C48660" s="8"/>
      <c r="D48660" s="8"/>
    </row>
    <row r="48661" spans="1:4" ht="15.75" customHeight="1">
      <c r="A48661" s="8"/>
      <c r="B48661" s="12"/>
      <c r="C48661" s="8"/>
      <c r="D48661" s="8"/>
    </row>
    <row r="48662" spans="1:4" ht="15.75" customHeight="1">
      <c r="A48662" s="8"/>
      <c r="B48662" s="12"/>
      <c r="C48662" s="8"/>
      <c r="D48662" s="8"/>
    </row>
    <row r="48663" spans="1:4" ht="15.75" customHeight="1">
      <c r="A48663" s="8"/>
      <c r="B48663" s="12"/>
      <c r="C48663" s="8"/>
      <c r="D48663" s="8"/>
    </row>
    <row r="48664" spans="1:4" ht="15.75" customHeight="1">
      <c r="A48664" s="8"/>
      <c r="B48664" s="12"/>
      <c r="C48664" s="8"/>
      <c r="D48664" s="8"/>
    </row>
    <row r="48665" spans="1:4" ht="15.75" customHeight="1">
      <c r="A48665" s="8"/>
      <c r="B48665" s="12"/>
      <c r="C48665" s="8"/>
      <c r="D48665" s="8"/>
    </row>
    <row r="48666" spans="1:4" ht="15.75" customHeight="1">
      <c r="A48666" s="8"/>
      <c r="B48666" s="12"/>
      <c r="C48666" s="8"/>
      <c r="D48666" s="8"/>
    </row>
    <row r="48667" spans="1:4" ht="15.75" customHeight="1">
      <c r="A48667" s="8"/>
      <c r="B48667" s="12"/>
      <c r="C48667" s="8"/>
      <c r="D48667" s="8"/>
    </row>
    <row r="48668" spans="1:4" ht="15.75" customHeight="1">
      <c r="A48668" s="8"/>
      <c r="B48668" s="12"/>
      <c r="C48668" s="8"/>
      <c r="D48668" s="8"/>
    </row>
    <row r="48669" spans="1:4" ht="15.75" customHeight="1">
      <c r="A48669" s="8"/>
      <c r="B48669" s="12"/>
      <c r="C48669" s="8"/>
      <c r="D48669" s="8"/>
    </row>
    <row r="48670" spans="1:4" ht="15.75" customHeight="1">
      <c r="A48670" s="8"/>
      <c r="B48670" s="12"/>
      <c r="C48670" s="8"/>
      <c r="D48670" s="8"/>
    </row>
    <row r="48671" spans="1:4" ht="15.75" customHeight="1">
      <c r="A48671" s="8"/>
      <c r="B48671" s="12"/>
      <c r="C48671" s="8"/>
      <c r="D48671" s="8"/>
    </row>
    <row r="48672" spans="1:4" ht="15.75" customHeight="1">
      <c r="A48672" s="8"/>
      <c r="B48672" s="12"/>
      <c r="C48672" s="8"/>
      <c r="D48672" s="8"/>
    </row>
    <row r="48673" spans="1:4" ht="15.75" customHeight="1">
      <c r="A48673" s="8"/>
      <c r="B48673" s="12"/>
      <c r="C48673" s="8"/>
      <c r="D48673" s="8"/>
    </row>
    <row r="48674" spans="1:4" ht="15.75" customHeight="1">
      <c r="A48674" s="8"/>
      <c r="B48674" s="12"/>
      <c r="C48674" s="8"/>
      <c r="D48674" s="8"/>
    </row>
    <row r="48675" spans="1:4" ht="15.75" customHeight="1">
      <c r="A48675" s="8"/>
      <c r="B48675" s="12"/>
      <c r="C48675" s="8"/>
      <c r="D48675" s="8"/>
    </row>
    <row r="48676" spans="1:4" ht="15.75" customHeight="1">
      <c r="A48676" s="8"/>
      <c r="B48676" s="12"/>
      <c r="C48676" s="8"/>
      <c r="D48676" s="8"/>
    </row>
    <row r="48677" spans="1:4" ht="15.75" customHeight="1">
      <c r="A48677" s="8"/>
      <c r="B48677" s="12"/>
      <c r="C48677" s="8"/>
      <c r="D48677" s="8"/>
    </row>
    <row r="48678" spans="1:4" ht="15.75" customHeight="1">
      <c r="A48678" s="8"/>
      <c r="B48678" s="12"/>
      <c r="C48678" s="8"/>
      <c r="D48678" s="8"/>
    </row>
    <row r="48679" spans="1:4" ht="15.75" customHeight="1">
      <c r="A48679" s="8"/>
      <c r="B48679" s="12"/>
      <c r="C48679" s="8"/>
      <c r="D48679" s="8"/>
    </row>
    <row r="48680" spans="1:4" ht="15.75" customHeight="1">
      <c r="A48680" s="8"/>
      <c r="B48680" s="12"/>
      <c r="C48680" s="8"/>
      <c r="D48680" s="8"/>
    </row>
    <row r="48681" spans="1:4" ht="15.75" customHeight="1">
      <c r="A48681" s="8"/>
      <c r="B48681" s="12"/>
      <c r="C48681" s="8"/>
      <c r="D48681" s="8"/>
    </row>
    <row r="48682" spans="1:4" ht="15.75" customHeight="1">
      <c r="A48682" s="8"/>
      <c r="B48682" s="12"/>
      <c r="C48682" s="8"/>
      <c r="D48682" s="8"/>
    </row>
    <row r="48683" spans="1:4" ht="15.75" customHeight="1">
      <c r="A48683" s="8"/>
      <c r="B48683" s="12"/>
      <c r="C48683" s="8"/>
      <c r="D48683" s="8"/>
    </row>
    <row r="48684" spans="1:4" ht="15.75" customHeight="1">
      <c r="A48684" s="8"/>
      <c r="B48684" s="12"/>
      <c r="C48684" s="8"/>
      <c r="D48684" s="8"/>
    </row>
    <row r="48685" spans="1:4" ht="15.75" customHeight="1">
      <c r="A48685" s="8"/>
      <c r="B48685" s="12"/>
      <c r="C48685" s="8"/>
      <c r="D48685" s="8"/>
    </row>
    <row r="48686" spans="1:4" ht="15.75" customHeight="1">
      <c r="A48686" s="8"/>
      <c r="B48686" s="12"/>
      <c r="C48686" s="8"/>
      <c r="D48686" s="8"/>
    </row>
    <row r="48687" spans="1:4" ht="15.75" customHeight="1">
      <c r="A48687" s="8"/>
      <c r="B48687" s="12"/>
      <c r="C48687" s="8"/>
      <c r="D48687" s="8"/>
    </row>
    <row r="48688" spans="1:4" ht="15.75" customHeight="1">
      <c r="A48688" s="8"/>
      <c r="B48688" s="12"/>
      <c r="C48688" s="8"/>
      <c r="D48688" s="8"/>
    </row>
    <row r="48689" spans="1:4" ht="15.75" customHeight="1">
      <c r="A48689" s="8"/>
      <c r="B48689" s="12"/>
      <c r="C48689" s="8"/>
      <c r="D48689" s="8"/>
    </row>
    <row r="48690" spans="1:4" ht="15.75" customHeight="1">
      <c r="A48690" s="8"/>
      <c r="B48690" s="12"/>
      <c r="C48690" s="8"/>
      <c r="D48690" s="8"/>
    </row>
    <row r="48691" spans="1:4" ht="15.75" customHeight="1">
      <c r="A48691" s="8"/>
      <c r="B48691" s="12"/>
      <c r="C48691" s="8"/>
      <c r="D48691" s="8"/>
    </row>
    <row r="48692" spans="1:4" ht="15.75" customHeight="1">
      <c r="A48692" s="8"/>
      <c r="B48692" s="12"/>
      <c r="C48692" s="8"/>
      <c r="D48692" s="8"/>
    </row>
    <row r="48693" spans="1:4" ht="15.75" customHeight="1">
      <c r="A48693" s="8"/>
      <c r="B48693" s="12"/>
      <c r="C48693" s="8"/>
      <c r="D48693" s="8"/>
    </row>
    <row r="48694" spans="1:4" ht="15.75" customHeight="1">
      <c r="A48694" s="8"/>
      <c r="B48694" s="12"/>
      <c r="C48694" s="8"/>
      <c r="D48694" s="8"/>
    </row>
    <row r="48695" spans="1:4" ht="15.75" customHeight="1">
      <c r="A48695" s="8"/>
      <c r="B48695" s="12"/>
      <c r="C48695" s="8"/>
      <c r="D48695" s="8"/>
    </row>
    <row r="48696" spans="1:4" ht="15.75" customHeight="1">
      <c r="A48696" s="8"/>
      <c r="B48696" s="12"/>
      <c r="C48696" s="8"/>
      <c r="D48696" s="8"/>
    </row>
    <row r="48697" spans="1:4" ht="15.75" customHeight="1">
      <c r="A48697" s="8"/>
      <c r="B48697" s="12"/>
      <c r="C48697" s="8"/>
      <c r="D48697" s="8"/>
    </row>
    <row r="48698" spans="1:4" ht="15.75" customHeight="1">
      <c r="A48698" s="8"/>
      <c r="B48698" s="12"/>
      <c r="C48698" s="8"/>
      <c r="D48698" s="8"/>
    </row>
    <row r="48699" spans="1:4" ht="15.75" customHeight="1">
      <c r="A48699" s="8"/>
      <c r="B48699" s="12"/>
      <c r="C48699" s="8"/>
      <c r="D48699" s="8"/>
    </row>
    <row r="48700" spans="1:4" ht="15.75" customHeight="1">
      <c r="A48700" s="8"/>
      <c r="B48700" s="12"/>
      <c r="C48700" s="8"/>
      <c r="D48700" s="8"/>
    </row>
    <row r="48701" spans="1:4" ht="15.75" customHeight="1">
      <c r="A48701" s="8"/>
      <c r="B48701" s="12"/>
      <c r="C48701" s="8"/>
      <c r="D48701" s="8"/>
    </row>
    <row r="48702" spans="1:4" ht="15.75" customHeight="1">
      <c r="A48702" s="8"/>
      <c r="B48702" s="12"/>
      <c r="C48702" s="8"/>
      <c r="D48702" s="8"/>
    </row>
    <row r="48703" spans="1:4" ht="15.75" customHeight="1">
      <c r="A48703" s="8"/>
      <c r="B48703" s="12"/>
      <c r="C48703" s="8"/>
      <c r="D48703" s="8"/>
    </row>
    <row r="48704" spans="1:4" ht="15.75" customHeight="1">
      <c r="A48704" s="8"/>
      <c r="B48704" s="12"/>
      <c r="C48704" s="8"/>
      <c r="D48704" s="8"/>
    </row>
    <row r="48705" spans="1:4" ht="15.75" customHeight="1">
      <c r="A48705" s="8"/>
      <c r="B48705" s="12"/>
      <c r="C48705" s="8"/>
      <c r="D48705" s="8"/>
    </row>
    <row r="48706" spans="1:4" ht="15.75" customHeight="1">
      <c r="A48706" s="8"/>
      <c r="B48706" s="12"/>
      <c r="C48706" s="8"/>
      <c r="D48706" s="8"/>
    </row>
    <row r="48707" spans="1:4" ht="15.75" customHeight="1">
      <c r="A48707" s="8"/>
      <c r="B48707" s="12"/>
      <c r="C48707" s="8"/>
      <c r="D48707" s="8"/>
    </row>
    <row r="48708" spans="1:4" ht="15.75" customHeight="1">
      <c r="A48708" s="8"/>
      <c r="B48708" s="12"/>
      <c r="C48708" s="8"/>
      <c r="D48708" s="8"/>
    </row>
    <row r="48709" spans="1:4" ht="15.75" customHeight="1">
      <c r="A48709" s="8"/>
      <c r="B48709" s="12"/>
      <c r="C48709" s="8"/>
      <c r="D48709" s="8"/>
    </row>
    <row r="48710" spans="1:4" ht="15.75" customHeight="1">
      <c r="A48710" s="8"/>
      <c r="B48710" s="12"/>
      <c r="C48710" s="8"/>
      <c r="D48710" s="8"/>
    </row>
    <row r="48711" spans="1:4" ht="15.75" customHeight="1">
      <c r="A48711" s="8"/>
      <c r="B48711" s="12"/>
      <c r="C48711" s="8"/>
      <c r="D48711" s="8"/>
    </row>
    <row r="48712" spans="1:4" ht="15.75" customHeight="1">
      <c r="A48712" s="8"/>
      <c r="B48712" s="12"/>
      <c r="C48712" s="8"/>
      <c r="D48712" s="8"/>
    </row>
    <row r="48713" spans="1:4" ht="15.75" customHeight="1">
      <c r="A48713" s="8"/>
      <c r="B48713" s="12"/>
      <c r="C48713" s="8"/>
      <c r="D48713" s="8"/>
    </row>
    <row r="48714" spans="1:4" ht="15.75" customHeight="1">
      <c r="A48714" s="8"/>
      <c r="B48714" s="12"/>
      <c r="C48714" s="8"/>
      <c r="D48714" s="8"/>
    </row>
    <row r="48715" spans="1:4" ht="15.75" customHeight="1">
      <c r="A48715" s="8"/>
      <c r="B48715" s="12"/>
      <c r="C48715" s="8"/>
      <c r="D48715" s="8"/>
    </row>
    <row r="48716" spans="1:4" ht="15.75" customHeight="1">
      <c r="A48716" s="8"/>
      <c r="B48716" s="12"/>
      <c r="C48716" s="8"/>
      <c r="D48716" s="8"/>
    </row>
    <row r="48717" spans="1:4" ht="15.75" customHeight="1">
      <c r="A48717" s="8"/>
      <c r="B48717" s="12"/>
      <c r="C48717" s="8"/>
      <c r="D48717" s="8"/>
    </row>
    <row r="48718" spans="1:4" ht="15.75" customHeight="1">
      <c r="A48718" s="8"/>
      <c r="B48718" s="12"/>
      <c r="C48718" s="8"/>
      <c r="D48718" s="8"/>
    </row>
    <row r="48719" spans="1:4" ht="15.75" customHeight="1">
      <c r="A48719" s="8"/>
      <c r="B48719" s="12"/>
      <c r="C48719" s="8"/>
      <c r="D48719" s="8"/>
    </row>
    <row r="48720" spans="1:4" ht="15.75" customHeight="1">
      <c r="A48720" s="8"/>
      <c r="B48720" s="12"/>
      <c r="C48720" s="8"/>
      <c r="D48720" s="8"/>
    </row>
    <row r="48721" spans="1:4" ht="15.75" customHeight="1">
      <c r="A48721" s="8"/>
      <c r="B48721" s="12"/>
      <c r="C48721" s="8"/>
      <c r="D48721" s="8"/>
    </row>
    <row r="48722" spans="1:4" ht="15.75" customHeight="1">
      <c r="A48722" s="8"/>
      <c r="B48722" s="12"/>
      <c r="C48722" s="8"/>
      <c r="D48722" s="8"/>
    </row>
    <row r="48723" spans="1:4" ht="15.75" customHeight="1">
      <c r="A48723" s="8"/>
      <c r="B48723" s="12"/>
      <c r="C48723" s="8"/>
      <c r="D48723" s="8"/>
    </row>
    <row r="48724" spans="1:4" ht="15.75" customHeight="1">
      <c r="A48724" s="8"/>
      <c r="B48724" s="12"/>
      <c r="C48724" s="8"/>
      <c r="D48724" s="8"/>
    </row>
    <row r="48725" spans="1:4" ht="15.75" customHeight="1">
      <c r="A48725" s="8"/>
      <c r="B48725" s="12"/>
      <c r="C48725" s="8"/>
      <c r="D48725" s="8"/>
    </row>
    <row r="48726" spans="1:4" ht="15.75" customHeight="1">
      <c r="A48726" s="8"/>
      <c r="B48726" s="12"/>
      <c r="C48726" s="8"/>
      <c r="D48726" s="8"/>
    </row>
    <row r="48727" spans="1:4" ht="15.75" customHeight="1">
      <c r="A48727" s="8"/>
      <c r="B48727" s="12"/>
      <c r="C48727" s="8"/>
      <c r="D48727" s="8"/>
    </row>
    <row r="48728" spans="1:4" ht="15.75" customHeight="1">
      <c r="A48728" s="8"/>
      <c r="B48728" s="12"/>
      <c r="C48728" s="8"/>
      <c r="D48728" s="8"/>
    </row>
    <row r="48729" spans="1:4" ht="15.75" customHeight="1">
      <c r="A48729" s="8"/>
      <c r="B48729" s="12"/>
      <c r="C48729" s="8"/>
      <c r="D48729" s="8"/>
    </row>
    <row r="48730" spans="1:4" ht="15.75" customHeight="1">
      <c r="A48730" s="8"/>
      <c r="B48730" s="12"/>
      <c r="C48730" s="8"/>
      <c r="D48730" s="8"/>
    </row>
    <row r="48731" spans="1:4" ht="15.75" customHeight="1">
      <c r="A48731" s="8"/>
      <c r="B48731" s="12"/>
      <c r="C48731" s="8"/>
      <c r="D48731" s="8"/>
    </row>
    <row r="48732" spans="1:4" ht="15.75" customHeight="1">
      <c r="A48732" s="8"/>
      <c r="B48732" s="12"/>
      <c r="C48732" s="8"/>
      <c r="D48732" s="8"/>
    </row>
    <row r="48733" spans="1:4" ht="15.75" customHeight="1">
      <c r="A48733" s="8"/>
      <c r="B48733" s="12"/>
      <c r="C48733" s="8"/>
      <c r="D48733" s="8"/>
    </row>
    <row r="48734" spans="1:4" ht="15.75" customHeight="1">
      <c r="A48734" s="8"/>
      <c r="B48734" s="12"/>
      <c r="C48734" s="8"/>
      <c r="D48734" s="8"/>
    </row>
    <row r="48735" spans="1:4" ht="15.75" customHeight="1">
      <c r="A48735" s="8"/>
      <c r="B48735" s="12"/>
      <c r="C48735" s="8"/>
      <c r="D48735" s="8"/>
    </row>
    <row r="48736" spans="1:4" ht="15.75" customHeight="1">
      <c r="A48736" s="8"/>
      <c r="B48736" s="12"/>
      <c r="C48736" s="8"/>
      <c r="D48736" s="8"/>
    </row>
    <row r="48737" spans="1:4" ht="15.75" customHeight="1">
      <c r="A48737" s="8"/>
      <c r="B48737" s="12"/>
      <c r="C48737" s="8"/>
      <c r="D48737" s="8"/>
    </row>
    <row r="48738" spans="1:4" ht="15.75" customHeight="1">
      <c r="A48738" s="8"/>
      <c r="B48738" s="12"/>
      <c r="C48738" s="8"/>
      <c r="D48738" s="8"/>
    </row>
    <row r="48739" spans="1:4" ht="15.75" customHeight="1">
      <c r="A48739" s="8"/>
      <c r="B48739" s="12"/>
      <c r="C48739" s="8"/>
      <c r="D48739" s="8"/>
    </row>
    <row r="48740" spans="1:4" ht="15.75" customHeight="1">
      <c r="A48740" s="8"/>
      <c r="B48740" s="12"/>
      <c r="C48740" s="8"/>
      <c r="D48740" s="8"/>
    </row>
    <row r="48741" spans="1:4" ht="15.75" customHeight="1">
      <c r="A48741" s="8"/>
      <c r="B48741" s="12"/>
      <c r="C48741" s="8"/>
      <c r="D48741" s="8"/>
    </row>
    <row r="48742" spans="1:4" ht="15.75" customHeight="1">
      <c r="A48742" s="8"/>
      <c r="B48742" s="12"/>
      <c r="C48742" s="8"/>
      <c r="D48742" s="8"/>
    </row>
    <row r="48743" spans="1:4" ht="15.75" customHeight="1">
      <c r="A48743" s="8"/>
      <c r="B48743" s="12"/>
      <c r="C48743" s="8"/>
      <c r="D48743" s="8"/>
    </row>
    <row r="48744" spans="1:4" ht="15.75" customHeight="1">
      <c r="A48744" s="8"/>
      <c r="B48744" s="12"/>
      <c r="C48744" s="8"/>
      <c r="D48744" s="8"/>
    </row>
    <row r="48745" spans="1:4" ht="15.75" customHeight="1">
      <c r="A48745" s="8"/>
      <c r="B48745" s="12"/>
      <c r="C48745" s="8"/>
      <c r="D48745" s="8"/>
    </row>
    <row r="48746" spans="1:4" ht="15.75" customHeight="1">
      <c r="A48746" s="8"/>
      <c r="B48746" s="12"/>
      <c r="C48746" s="8"/>
      <c r="D48746" s="8"/>
    </row>
    <row r="48747" spans="1:4" ht="15.75" customHeight="1">
      <c r="A48747" s="8"/>
      <c r="B48747" s="12"/>
      <c r="C48747" s="8"/>
      <c r="D48747" s="8"/>
    </row>
    <row r="48748" spans="1:4" ht="15.75" customHeight="1">
      <c r="A48748" s="8"/>
      <c r="B48748" s="12"/>
      <c r="C48748" s="8"/>
      <c r="D48748" s="8"/>
    </row>
    <row r="48749" spans="1:4" ht="15.75" customHeight="1">
      <c r="A48749" s="8"/>
      <c r="B48749" s="12"/>
      <c r="C48749" s="8"/>
      <c r="D48749" s="8"/>
    </row>
    <row r="48750" spans="1:4" ht="15.75" customHeight="1">
      <c r="A48750" s="8"/>
      <c r="B48750" s="12"/>
      <c r="C48750" s="8"/>
      <c r="D48750" s="8"/>
    </row>
    <row r="48751" spans="1:4" ht="15.75" customHeight="1">
      <c r="A48751" s="8"/>
      <c r="B48751" s="12"/>
      <c r="C48751" s="8"/>
      <c r="D48751" s="8"/>
    </row>
    <row r="48752" spans="1:4" ht="15.75" customHeight="1">
      <c r="A48752" s="8"/>
      <c r="B48752" s="12"/>
      <c r="C48752" s="8"/>
      <c r="D48752" s="8"/>
    </row>
    <row r="48753" spans="1:4" ht="15.75" customHeight="1">
      <c r="A48753" s="8"/>
      <c r="B48753" s="12"/>
      <c r="C48753" s="8"/>
      <c r="D48753" s="8"/>
    </row>
    <row r="48754" spans="1:4" ht="15.75" customHeight="1">
      <c r="A48754" s="8"/>
      <c r="B48754" s="12"/>
      <c r="C48754" s="8"/>
      <c r="D48754" s="8"/>
    </row>
    <row r="48755" spans="1:4" ht="15.75" customHeight="1">
      <c r="A48755" s="8"/>
      <c r="B48755" s="12"/>
      <c r="C48755" s="8"/>
      <c r="D48755" s="8"/>
    </row>
    <row r="48756" spans="1:4" ht="15.75" customHeight="1">
      <c r="A48756" s="8"/>
      <c r="B48756" s="12"/>
      <c r="C48756" s="8"/>
      <c r="D48756" s="8"/>
    </row>
    <row r="48757" spans="1:4" ht="15.75" customHeight="1">
      <c r="A48757" s="8"/>
      <c r="B48757" s="12"/>
      <c r="C48757" s="8"/>
      <c r="D48757" s="8"/>
    </row>
    <row r="48758" spans="1:4" ht="15.75" customHeight="1">
      <c r="A48758" s="8"/>
      <c r="B48758" s="12"/>
      <c r="C48758" s="8"/>
      <c r="D48758" s="8"/>
    </row>
    <row r="48759" spans="1:4" ht="15.75" customHeight="1">
      <c r="A48759" s="8"/>
      <c r="B48759" s="12"/>
      <c r="C48759" s="8"/>
      <c r="D48759" s="8"/>
    </row>
    <row r="48760" spans="1:4" ht="15.75" customHeight="1">
      <c r="A48760" s="8"/>
      <c r="B48760" s="12"/>
      <c r="C48760" s="8"/>
      <c r="D48760" s="8"/>
    </row>
    <row r="48761" spans="1:4" ht="15.75" customHeight="1">
      <c r="A48761" s="8"/>
      <c r="B48761" s="12"/>
      <c r="C48761" s="8"/>
      <c r="D48761" s="8"/>
    </row>
    <row r="48762" spans="1:4" ht="15.75" customHeight="1">
      <c r="A48762" s="8"/>
      <c r="B48762" s="12"/>
      <c r="C48762" s="8"/>
      <c r="D48762" s="8"/>
    </row>
    <row r="48763" spans="1:4" ht="15.75" customHeight="1">
      <c r="A48763" s="8"/>
      <c r="B48763" s="12"/>
      <c r="C48763" s="8"/>
      <c r="D48763" s="8"/>
    </row>
    <row r="48764" spans="1:4" ht="15.75" customHeight="1">
      <c r="A48764" s="8"/>
      <c r="B48764" s="12"/>
      <c r="C48764" s="8"/>
      <c r="D48764" s="8"/>
    </row>
    <row r="48765" spans="1:4" ht="15.75" customHeight="1">
      <c r="A48765" s="8"/>
      <c r="B48765" s="12"/>
      <c r="C48765" s="8"/>
      <c r="D48765" s="8"/>
    </row>
    <row r="48766" spans="1:4" ht="15.75" customHeight="1">
      <c r="A48766" s="8"/>
      <c r="B48766" s="12"/>
      <c r="C48766" s="8"/>
      <c r="D48766" s="8"/>
    </row>
    <row r="48767" spans="1:4" ht="15.75" customHeight="1">
      <c r="A48767" s="8"/>
      <c r="B48767" s="12"/>
      <c r="C48767" s="8"/>
      <c r="D48767" s="8"/>
    </row>
    <row r="48768" spans="1:4" ht="15.75" customHeight="1">
      <c r="A48768" s="8"/>
      <c r="B48768" s="12"/>
      <c r="C48768" s="8"/>
      <c r="D48768" s="8"/>
    </row>
    <row r="48769" spans="1:4" ht="15.75" customHeight="1">
      <c r="A48769" s="8"/>
      <c r="B48769" s="12"/>
      <c r="C48769" s="8"/>
      <c r="D48769" s="8"/>
    </row>
    <row r="48770" spans="1:4" ht="15.75" customHeight="1">
      <c r="A48770" s="8"/>
      <c r="B48770" s="12"/>
      <c r="C48770" s="8"/>
      <c r="D48770" s="8"/>
    </row>
    <row r="48771" spans="1:4" ht="15.75" customHeight="1">
      <c r="A48771" s="8"/>
      <c r="B48771" s="12"/>
      <c r="C48771" s="8"/>
      <c r="D48771" s="8"/>
    </row>
    <row r="48772" spans="1:4" ht="15.75" customHeight="1">
      <c r="A48772" s="8"/>
      <c r="B48772" s="12"/>
      <c r="C48772" s="8"/>
      <c r="D48772" s="8"/>
    </row>
    <row r="48773" spans="1:4" ht="15.75" customHeight="1">
      <c r="A48773" s="8"/>
      <c r="B48773" s="12"/>
      <c r="C48773" s="8"/>
      <c r="D48773" s="8"/>
    </row>
    <row r="48774" spans="1:4" ht="15.75" customHeight="1">
      <c r="A48774" s="8"/>
      <c r="B48774" s="12"/>
      <c r="C48774" s="8"/>
      <c r="D48774" s="8"/>
    </row>
    <row r="48775" spans="1:4" ht="15.75" customHeight="1">
      <c r="A48775" s="8"/>
      <c r="B48775" s="12"/>
      <c r="C48775" s="8"/>
      <c r="D48775" s="8"/>
    </row>
    <row r="48776" spans="1:4" ht="15.75" customHeight="1">
      <c r="A48776" s="8"/>
      <c r="B48776" s="12"/>
      <c r="C48776" s="8"/>
      <c r="D48776" s="8"/>
    </row>
    <row r="48777" spans="1:4" ht="15.75" customHeight="1">
      <c r="A48777" s="8"/>
      <c r="B48777" s="12"/>
      <c r="C48777" s="8"/>
      <c r="D48777" s="8"/>
    </row>
    <row r="48778" spans="1:4" ht="15.75" customHeight="1">
      <c r="A48778" s="8"/>
      <c r="B48778" s="12"/>
      <c r="C48778" s="8"/>
      <c r="D48778" s="8"/>
    </row>
    <row r="48779" spans="1:4" ht="15.75" customHeight="1">
      <c r="A48779" s="8"/>
      <c r="B48779" s="12"/>
      <c r="C48779" s="8"/>
      <c r="D48779" s="8"/>
    </row>
    <row r="48780" spans="1:4" ht="15.75" customHeight="1">
      <c r="A48780" s="8"/>
      <c r="B48780" s="12"/>
      <c r="C48780" s="8"/>
      <c r="D48780" s="8"/>
    </row>
    <row r="48781" spans="1:4" ht="15.75" customHeight="1">
      <c r="A48781" s="8"/>
      <c r="B48781" s="12"/>
      <c r="C48781" s="8"/>
      <c r="D48781" s="8"/>
    </row>
    <row r="48782" spans="1:4" ht="15.75" customHeight="1">
      <c r="A48782" s="8"/>
      <c r="B48782" s="12"/>
      <c r="C48782" s="8"/>
      <c r="D48782" s="8"/>
    </row>
    <row r="48783" spans="1:4" ht="15.75" customHeight="1">
      <c r="A48783" s="8"/>
      <c r="B48783" s="12"/>
      <c r="C48783" s="8"/>
      <c r="D48783" s="8"/>
    </row>
    <row r="48784" spans="1:4" ht="15.75" customHeight="1">
      <c r="A48784" s="8"/>
      <c r="B48784" s="12"/>
      <c r="C48784" s="8"/>
      <c r="D48784" s="8"/>
    </row>
    <row r="48785" spans="1:4" ht="15.75" customHeight="1">
      <c r="A48785" s="8"/>
      <c r="B48785" s="12"/>
      <c r="C48785" s="8"/>
      <c r="D48785" s="8"/>
    </row>
    <row r="48786" spans="1:4" ht="15.75" customHeight="1">
      <c r="A48786" s="8"/>
      <c r="B48786" s="12"/>
      <c r="C48786" s="8"/>
      <c r="D48786" s="8"/>
    </row>
    <row r="48787" spans="1:4" ht="15.75" customHeight="1">
      <c r="A48787" s="8"/>
      <c r="B48787" s="12"/>
      <c r="C48787" s="8"/>
      <c r="D48787" s="8"/>
    </row>
    <row r="48788" spans="1:4" ht="15.75" customHeight="1">
      <c r="A48788" s="8"/>
      <c r="B48788" s="12"/>
      <c r="C48788" s="8"/>
      <c r="D48788" s="8"/>
    </row>
    <row r="48789" spans="1:4" ht="15.75" customHeight="1">
      <c r="A48789" s="8"/>
      <c r="B48789" s="12"/>
      <c r="C48789" s="8"/>
      <c r="D48789" s="8"/>
    </row>
    <row r="48790" spans="1:4" ht="15.75" customHeight="1">
      <c r="A48790" s="8"/>
      <c r="B48790" s="12"/>
      <c r="C48790" s="8"/>
      <c r="D48790" s="8"/>
    </row>
    <row r="48791" spans="1:4" ht="15.75" customHeight="1">
      <c r="A48791" s="8"/>
      <c r="B48791" s="12"/>
      <c r="C48791" s="8"/>
      <c r="D48791" s="8"/>
    </row>
    <row r="48792" spans="1:4" ht="15.75" customHeight="1">
      <c r="A48792" s="8"/>
      <c r="B48792" s="12"/>
      <c r="C48792" s="8"/>
      <c r="D48792" s="8"/>
    </row>
    <row r="48793" spans="1:4" ht="15.75" customHeight="1">
      <c r="A48793" s="8"/>
      <c r="B48793" s="12"/>
      <c r="C48793" s="8"/>
      <c r="D48793" s="8"/>
    </row>
    <row r="48794" spans="1:4" ht="15.75" customHeight="1">
      <c r="A48794" s="8"/>
      <c r="B48794" s="12"/>
      <c r="C48794" s="8"/>
      <c r="D48794" s="8"/>
    </row>
    <row r="48795" spans="1:4" ht="15.75" customHeight="1">
      <c r="A48795" s="8"/>
      <c r="B48795" s="12"/>
      <c r="C48795" s="8"/>
      <c r="D48795" s="8"/>
    </row>
    <row r="48796" spans="1:4" ht="15.75" customHeight="1">
      <c r="A48796" s="8"/>
      <c r="B48796" s="12"/>
      <c r="C48796" s="8"/>
      <c r="D48796" s="8"/>
    </row>
    <row r="48797" spans="1:4" ht="15.75" customHeight="1">
      <c r="A48797" s="8"/>
      <c r="B48797" s="12"/>
      <c r="C48797" s="8"/>
      <c r="D48797" s="8"/>
    </row>
    <row r="48798" spans="1:4" ht="15.75" customHeight="1">
      <c r="A48798" s="8"/>
      <c r="B48798" s="12"/>
      <c r="C48798" s="8"/>
      <c r="D48798" s="8"/>
    </row>
    <row r="48799" spans="1:4" ht="15.75" customHeight="1">
      <c r="A48799" s="8"/>
      <c r="B48799" s="12"/>
      <c r="C48799" s="8"/>
      <c r="D48799" s="8"/>
    </row>
    <row r="48800" spans="1:4" ht="15.75" customHeight="1">
      <c r="A48800" s="8"/>
      <c r="B48800" s="12"/>
      <c r="C48800" s="8"/>
      <c r="D48800" s="8"/>
    </row>
    <row r="48801" spans="1:4" ht="15.75" customHeight="1">
      <c r="A48801" s="8"/>
      <c r="B48801" s="12"/>
      <c r="C48801" s="8"/>
      <c r="D48801" s="8"/>
    </row>
    <row r="48802" spans="1:4" ht="15.75" customHeight="1">
      <c r="A48802" s="8"/>
      <c r="B48802" s="12"/>
      <c r="C48802" s="8"/>
      <c r="D48802" s="8"/>
    </row>
    <row r="48803" spans="1:4" ht="15.75" customHeight="1">
      <c r="A48803" s="8"/>
      <c r="B48803" s="12"/>
      <c r="C48803" s="8"/>
      <c r="D48803" s="8"/>
    </row>
    <row r="48804" spans="1:4" ht="15.75" customHeight="1">
      <c r="A48804" s="8"/>
      <c r="B48804" s="12"/>
      <c r="C48804" s="8"/>
      <c r="D48804" s="8"/>
    </row>
    <row r="48805" spans="1:4" ht="15.75" customHeight="1">
      <c r="A48805" s="8"/>
      <c r="B48805" s="12"/>
      <c r="C48805" s="8"/>
      <c r="D48805" s="8"/>
    </row>
    <row r="48806" spans="1:4" ht="15.75" customHeight="1">
      <c r="A48806" s="8"/>
      <c r="B48806" s="12"/>
      <c r="C48806" s="8"/>
      <c r="D48806" s="8"/>
    </row>
    <row r="48807" spans="1:4" ht="15.75" customHeight="1">
      <c r="A48807" s="8"/>
      <c r="B48807" s="12"/>
      <c r="C48807" s="8"/>
      <c r="D48807" s="8"/>
    </row>
    <row r="48808" spans="1:4" ht="15.75" customHeight="1">
      <c r="A48808" s="8"/>
      <c r="B48808" s="12"/>
      <c r="C48808" s="8"/>
      <c r="D48808" s="8"/>
    </row>
    <row r="48809" spans="1:4" ht="15.75" customHeight="1">
      <c r="A48809" s="8"/>
      <c r="B48809" s="12"/>
      <c r="C48809" s="8"/>
      <c r="D48809" s="8"/>
    </row>
    <row r="48810" spans="1:4" ht="15.75" customHeight="1">
      <c r="A48810" s="8"/>
      <c r="B48810" s="12"/>
      <c r="C48810" s="8"/>
      <c r="D48810" s="8"/>
    </row>
    <row r="48811" spans="1:4" ht="15.75" customHeight="1">
      <c r="A48811" s="8"/>
      <c r="B48811" s="12"/>
      <c r="C48811" s="8"/>
      <c r="D48811" s="8"/>
    </row>
    <row r="48812" spans="1:4" ht="15.75" customHeight="1">
      <c r="A48812" s="8"/>
      <c r="B48812" s="12"/>
      <c r="C48812" s="8"/>
      <c r="D48812" s="8"/>
    </row>
    <row r="48813" spans="1:4" ht="15.75" customHeight="1">
      <c r="A48813" s="8"/>
      <c r="B48813" s="12"/>
      <c r="C48813" s="8"/>
      <c r="D48813" s="8"/>
    </row>
    <row r="48814" spans="1:4" ht="15.75" customHeight="1">
      <c r="A48814" s="8"/>
      <c r="B48814" s="12"/>
      <c r="C48814" s="8"/>
      <c r="D48814" s="8"/>
    </row>
    <row r="48815" spans="1:4" ht="15.75" customHeight="1">
      <c r="A48815" s="8"/>
      <c r="B48815" s="12"/>
      <c r="C48815" s="8"/>
      <c r="D48815" s="8"/>
    </row>
    <row r="48816" spans="1:4" ht="15.75" customHeight="1">
      <c r="A48816" s="8"/>
      <c r="B48816" s="12"/>
      <c r="C48816" s="8"/>
      <c r="D48816" s="8"/>
    </row>
    <row r="48817" spans="1:4" ht="15.75" customHeight="1">
      <c r="A48817" s="8"/>
      <c r="B48817" s="12"/>
      <c r="C48817" s="8"/>
      <c r="D48817" s="8"/>
    </row>
    <row r="48818" spans="1:4" ht="15.75" customHeight="1">
      <c r="A48818" s="8"/>
      <c r="B48818" s="12"/>
      <c r="C48818" s="8"/>
      <c r="D48818" s="8"/>
    </row>
    <row r="48819" spans="1:4" ht="15.75" customHeight="1">
      <c r="A48819" s="8"/>
      <c r="B48819" s="12"/>
      <c r="C48819" s="8"/>
      <c r="D48819" s="8"/>
    </row>
    <row r="48820" spans="1:4" ht="15.75" customHeight="1">
      <c r="A48820" s="8"/>
      <c r="B48820" s="12"/>
      <c r="C48820" s="8"/>
      <c r="D48820" s="8"/>
    </row>
    <row r="48821" spans="1:4" ht="15.75" customHeight="1">
      <c r="A48821" s="8"/>
      <c r="B48821" s="12"/>
      <c r="C48821" s="8"/>
      <c r="D48821" s="8"/>
    </row>
    <row r="48822" spans="1:4" ht="15.75" customHeight="1">
      <c r="A48822" s="8"/>
      <c r="B48822" s="12"/>
      <c r="C48822" s="8"/>
      <c r="D48822" s="8"/>
    </row>
    <row r="48823" spans="1:4" ht="15.75" customHeight="1">
      <c r="A48823" s="8"/>
      <c r="B48823" s="12"/>
      <c r="C48823" s="8"/>
      <c r="D48823" s="8"/>
    </row>
    <row r="48824" spans="1:4" ht="15.75" customHeight="1">
      <c r="A48824" s="8"/>
      <c r="B48824" s="12"/>
      <c r="C48824" s="8"/>
      <c r="D48824" s="8"/>
    </row>
    <row r="48825" spans="1:4" ht="15.75" customHeight="1">
      <c r="A48825" s="8"/>
      <c r="B48825" s="12"/>
      <c r="C48825" s="8"/>
      <c r="D48825" s="8"/>
    </row>
    <row r="48826" spans="1:4" ht="15.75" customHeight="1">
      <c r="A48826" s="8"/>
      <c r="B48826" s="12"/>
      <c r="C48826" s="8"/>
      <c r="D48826" s="8"/>
    </row>
    <row r="48827" spans="1:4" ht="15.75" customHeight="1">
      <c r="A48827" s="8"/>
      <c r="B48827" s="12"/>
      <c r="C48827" s="8"/>
      <c r="D48827" s="8"/>
    </row>
    <row r="48828" spans="1:4" ht="15.75" customHeight="1">
      <c r="A48828" s="8"/>
      <c r="B48828" s="12"/>
      <c r="C48828" s="8"/>
      <c r="D48828" s="8"/>
    </row>
    <row r="48829" spans="1:4" ht="15.75" customHeight="1">
      <c r="A48829" s="8"/>
      <c r="B48829" s="12"/>
      <c r="C48829" s="8"/>
      <c r="D48829" s="8"/>
    </row>
    <row r="48830" spans="1:4" ht="15.75" customHeight="1">
      <c r="A48830" s="8"/>
      <c r="B48830" s="12"/>
      <c r="C48830" s="8"/>
      <c r="D48830" s="8"/>
    </row>
    <row r="48831" spans="1:4" ht="15.75" customHeight="1">
      <c r="A48831" s="8"/>
      <c r="B48831" s="12"/>
      <c r="C48831" s="8"/>
      <c r="D48831" s="8"/>
    </row>
    <row r="48832" spans="1:4" ht="15.75" customHeight="1">
      <c r="A48832" s="8"/>
      <c r="B48832" s="12"/>
      <c r="C48832" s="8"/>
      <c r="D48832" s="8"/>
    </row>
    <row r="48833" spans="1:4" ht="15.75" customHeight="1">
      <c r="A48833" s="8"/>
      <c r="B48833" s="12"/>
      <c r="C48833" s="8"/>
      <c r="D48833" s="8"/>
    </row>
    <row r="48834" spans="1:4" ht="15.75" customHeight="1">
      <c r="A48834" s="8"/>
      <c r="B48834" s="12"/>
      <c r="C48834" s="8"/>
      <c r="D48834" s="8"/>
    </row>
    <row r="48835" spans="1:4" ht="15.75" customHeight="1">
      <c r="A48835" s="8"/>
      <c r="B48835" s="12"/>
      <c r="C48835" s="8"/>
      <c r="D48835" s="8"/>
    </row>
    <row r="48836" spans="1:4" ht="15.75" customHeight="1">
      <c r="A48836" s="8"/>
      <c r="B48836" s="12"/>
      <c r="C48836" s="8"/>
      <c r="D48836" s="8"/>
    </row>
    <row r="48837" spans="1:4" ht="15.75" customHeight="1">
      <c r="A48837" s="8"/>
      <c r="B48837" s="12"/>
      <c r="C48837" s="8"/>
      <c r="D48837" s="8"/>
    </row>
    <row r="48838" spans="1:4" ht="15.75" customHeight="1">
      <c r="A48838" s="8"/>
      <c r="B48838" s="12"/>
      <c r="C48838" s="8"/>
      <c r="D48838" s="8"/>
    </row>
    <row r="48839" spans="1:4" ht="15.75" customHeight="1">
      <c r="A48839" s="8"/>
      <c r="B48839" s="12"/>
      <c r="C48839" s="8"/>
      <c r="D48839" s="8"/>
    </row>
    <row r="48840" spans="1:4" ht="15.75" customHeight="1">
      <c r="A48840" s="8"/>
      <c r="B48840" s="12"/>
      <c r="C48840" s="8"/>
      <c r="D48840" s="8"/>
    </row>
    <row r="48841" spans="1:4" ht="15.75" customHeight="1">
      <c r="A48841" s="8"/>
      <c r="B48841" s="12"/>
      <c r="C48841" s="8"/>
      <c r="D48841" s="8"/>
    </row>
    <row r="48842" spans="1:4" ht="15.75" customHeight="1">
      <c r="A48842" s="8"/>
      <c r="B48842" s="12"/>
      <c r="C48842" s="8"/>
      <c r="D48842" s="8"/>
    </row>
    <row r="48843" spans="1:4" ht="15.75" customHeight="1">
      <c r="A48843" s="8"/>
      <c r="B48843" s="12"/>
      <c r="C48843" s="8"/>
      <c r="D48843" s="8"/>
    </row>
    <row r="48844" spans="1:4" ht="15.75" customHeight="1">
      <c r="A48844" s="8"/>
      <c r="B48844" s="12"/>
      <c r="C48844" s="8"/>
      <c r="D48844" s="8"/>
    </row>
    <row r="48845" spans="1:4" ht="15.75" customHeight="1">
      <c r="A48845" s="8"/>
      <c r="B48845" s="12"/>
      <c r="C48845" s="8"/>
      <c r="D48845" s="8"/>
    </row>
    <row r="48846" spans="1:4" ht="15.75" customHeight="1">
      <c r="A48846" s="8"/>
      <c r="B48846" s="12"/>
      <c r="C48846" s="8"/>
      <c r="D48846" s="8"/>
    </row>
    <row r="48847" spans="1:4" ht="15.75" customHeight="1">
      <c r="A48847" s="8"/>
      <c r="B48847" s="12"/>
      <c r="C48847" s="8"/>
      <c r="D48847" s="8"/>
    </row>
    <row r="48848" spans="1:4" ht="15.75" customHeight="1">
      <c r="A48848" s="8"/>
      <c r="B48848" s="12"/>
      <c r="C48848" s="8"/>
      <c r="D48848" s="8"/>
    </row>
    <row r="48849" spans="1:4" ht="15.75" customHeight="1">
      <c r="A48849" s="8"/>
      <c r="B48849" s="12"/>
      <c r="C48849" s="8"/>
      <c r="D48849" s="8"/>
    </row>
    <row r="48850" spans="1:4" ht="15.75" customHeight="1">
      <c r="A48850" s="8"/>
      <c r="B48850" s="12"/>
      <c r="C48850" s="8"/>
      <c r="D48850" s="8"/>
    </row>
    <row r="48851" spans="1:4" ht="15.75" customHeight="1">
      <c r="A48851" s="8"/>
      <c r="B48851" s="12"/>
      <c r="C48851" s="8"/>
      <c r="D48851" s="8"/>
    </row>
    <row r="48852" spans="1:4" ht="15.75" customHeight="1">
      <c r="A48852" s="8"/>
      <c r="B48852" s="12"/>
      <c r="C48852" s="8"/>
      <c r="D48852" s="8"/>
    </row>
    <row r="48853" spans="1:4" ht="15.75" customHeight="1">
      <c r="A48853" s="8"/>
      <c r="B48853" s="12"/>
      <c r="C48853" s="8"/>
      <c r="D48853" s="8"/>
    </row>
    <row r="48854" spans="1:4" ht="15.75" customHeight="1">
      <c r="A48854" s="8"/>
      <c r="B48854" s="12"/>
      <c r="C48854" s="8"/>
      <c r="D48854" s="8"/>
    </row>
    <row r="48855" spans="1:4" ht="15.75" customHeight="1">
      <c r="A48855" s="8"/>
      <c r="B48855" s="12"/>
      <c r="C48855" s="8"/>
      <c r="D48855" s="8"/>
    </row>
    <row r="48856" spans="1:4" ht="15.75" customHeight="1">
      <c r="A48856" s="8"/>
      <c r="B48856" s="12"/>
      <c r="C48856" s="8"/>
      <c r="D48856" s="8"/>
    </row>
    <row r="48857" spans="1:4" ht="15.75" customHeight="1">
      <c r="A48857" s="8"/>
      <c r="B48857" s="12"/>
      <c r="C48857" s="8"/>
      <c r="D48857" s="8"/>
    </row>
    <row r="48858" spans="1:4" ht="15.75" customHeight="1">
      <c r="A48858" s="8"/>
      <c r="B48858" s="12"/>
      <c r="C48858" s="8"/>
      <c r="D48858" s="8"/>
    </row>
    <row r="48859" spans="1:4" ht="15.75" customHeight="1">
      <c r="A48859" s="8"/>
      <c r="B48859" s="12"/>
      <c r="C48859" s="8"/>
      <c r="D48859" s="8"/>
    </row>
    <row r="48860" spans="1:4" ht="15.75" customHeight="1">
      <c r="A48860" s="8"/>
      <c r="B48860" s="12"/>
      <c r="C48860" s="8"/>
      <c r="D48860" s="8"/>
    </row>
    <row r="48861" spans="1:4" ht="15.75" customHeight="1">
      <c r="A48861" s="8"/>
      <c r="B48861" s="12"/>
      <c r="C48861" s="8"/>
      <c r="D48861" s="8"/>
    </row>
    <row r="48862" spans="1:4" ht="15.75" customHeight="1">
      <c r="A48862" s="8"/>
      <c r="B48862" s="12"/>
      <c r="C48862" s="8"/>
      <c r="D48862" s="8"/>
    </row>
    <row r="48863" spans="1:4" ht="15.75" customHeight="1">
      <c r="A48863" s="8"/>
      <c r="B48863" s="12"/>
      <c r="C48863" s="8"/>
      <c r="D48863" s="8"/>
    </row>
    <row r="48864" spans="1:4" ht="15.75" customHeight="1">
      <c r="A48864" s="8"/>
      <c r="B48864" s="12"/>
      <c r="C48864" s="8"/>
      <c r="D48864" s="8"/>
    </row>
    <row r="48865" spans="1:4" ht="15.75" customHeight="1">
      <c r="A48865" s="8"/>
      <c r="B48865" s="12"/>
      <c r="C48865" s="8"/>
      <c r="D48865" s="8"/>
    </row>
    <row r="48866" spans="1:4" ht="15.75" customHeight="1">
      <c r="A48866" s="8"/>
      <c r="B48866" s="12"/>
      <c r="C48866" s="8"/>
      <c r="D48866" s="8"/>
    </row>
    <row r="48867" spans="1:4" ht="15.75" customHeight="1">
      <c r="A48867" s="8"/>
      <c r="B48867" s="12"/>
      <c r="C48867" s="8"/>
      <c r="D48867" s="8"/>
    </row>
    <row r="48868" spans="1:4" ht="15.75" customHeight="1">
      <c r="A48868" s="8"/>
      <c r="B48868" s="12"/>
      <c r="C48868" s="8"/>
      <c r="D48868" s="8"/>
    </row>
    <row r="48869" spans="1:4" ht="15.75" customHeight="1">
      <c r="A48869" s="8"/>
      <c r="B48869" s="12"/>
      <c r="C48869" s="8"/>
      <c r="D48869" s="8"/>
    </row>
    <row r="48870" spans="1:4" ht="15.75" customHeight="1">
      <c r="A48870" s="8"/>
      <c r="B48870" s="12"/>
      <c r="C48870" s="8"/>
      <c r="D48870" s="8"/>
    </row>
    <row r="48871" spans="1:4" ht="15.75" customHeight="1">
      <c r="A48871" s="8"/>
      <c r="B48871" s="12"/>
      <c r="C48871" s="8"/>
      <c r="D48871" s="8"/>
    </row>
    <row r="48872" spans="1:4" ht="15.75" customHeight="1">
      <c r="A48872" s="8"/>
      <c r="B48872" s="12"/>
      <c r="C48872" s="8"/>
      <c r="D48872" s="8"/>
    </row>
    <row r="48873" spans="1:4" ht="15.75" customHeight="1">
      <c r="A48873" s="8"/>
      <c r="B48873" s="12"/>
      <c r="C48873" s="8"/>
      <c r="D48873" s="8"/>
    </row>
    <row r="48874" spans="1:4" ht="15.75" customHeight="1">
      <c r="A48874" s="8"/>
      <c r="B48874" s="12"/>
      <c r="C48874" s="8"/>
      <c r="D48874" s="8"/>
    </row>
    <row r="48875" spans="1:4" ht="15.75" customHeight="1">
      <c r="A48875" s="8"/>
      <c r="B48875" s="12"/>
      <c r="C48875" s="8"/>
      <c r="D48875" s="8"/>
    </row>
    <row r="48876" spans="1:4" ht="15.75" customHeight="1">
      <c r="A48876" s="8"/>
      <c r="B48876" s="12"/>
      <c r="C48876" s="8"/>
      <c r="D48876" s="8"/>
    </row>
    <row r="48877" spans="1:4" ht="15.75" customHeight="1">
      <c r="A48877" s="8"/>
      <c r="B48877" s="12"/>
      <c r="C48877" s="8"/>
      <c r="D48877" s="8"/>
    </row>
    <row r="48878" spans="1:4" ht="15.75" customHeight="1">
      <c r="A48878" s="8"/>
      <c r="B48878" s="12"/>
      <c r="C48878" s="8"/>
      <c r="D48878" s="8"/>
    </row>
    <row r="48879" spans="1:4" ht="15.75" customHeight="1">
      <c r="A48879" s="8"/>
      <c r="B48879" s="12"/>
      <c r="C48879" s="8"/>
      <c r="D48879" s="8"/>
    </row>
    <row r="48880" spans="1:4" ht="15.75" customHeight="1">
      <c r="A48880" s="8"/>
      <c r="B48880" s="12"/>
      <c r="C48880" s="8"/>
      <c r="D48880" s="8"/>
    </row>
    <row r="48881" spans="1:4" ht="15.75" customHeight="1">
      <c r="A48881" s="8"/>
      <c r="B48881" s="12"/>
      <c r="C48881" s="8"/>
      <c r="D48881" s="8"/>
    </row>
    <row r="48882" spans="1:4" ht="15.75" customHeight="1">
      <c r="A48882" s="8"/>
      <c r="B48882" s="12"/>
      <c r="C48882" s="8"/>
      <c r="D48882" s="8"/>
    </row>
    <row r="48883" spans="1:4" ht="15.75" customHeight="1">
      <c r="A48883" s="8"/>
      <c r="B48883" s="12"/>
      <c r="C48883" s="8"/>
      <c r="D48883" s="8"/>
    </row>
    <row r="48884" spans="1:4" ht="15.75" customHeight="1">
      <c r="A48884" s="8"/>
      <c r="B48884" s="12"/>
      <c r="C48884" s="8"/>
      <c r="D48884" s="8"/>
    </row>
    <row r="48885" spans="1:4" ht="15.75" customHeight="1">
      <c r="A48885" s="8"/>
      <c r="B48885" s="12"/>
      <c r="C48885" s="8"/>
      <c r="D48885" s="8"/>
    </row>
    <row r="48886" spans="1:4" ht="15.75" customHeight="1">
      <c r="A48886" s="8"/>
      <c r="B48886" s="12"/>
      <c r="C48886" s="8"/>
      <c r="D48886" s="8"/>
    </row>
    <row r="48887" spans="1:4" ht="15.75" customHeight="1">
      <c r="A48887" s="8"/>
      <c r="B48887" s="12"/>
      <c r="C48887" s="8"/>
      <c r="D48887" s="8"/>
    </row>
    <row r="48888" spans="1:4" ht="15.75" customHeight="1">
      <c r="A48888" s="8"/>
      <c r="B48888" s="12"/>
      <c r="C48888" s="8"/>
      <c r="D48888" s="8"/>
    </row>
    <row r="48889" spans="1:4" ht="15.75" customHeight="1">
      <c r="A48889" s="8"/>
      <c r="B48889" s="12"/>
      <c r="C48889" s="8"/>
      <c r="D48889" s="8"/>
    </row>
    <row r="48890" spans="1:4" ht="15.75" customHeight="1">
      <c r="A48890" s="8"/>
      <c r="B48890" s="12"/>
      <c r="C48890" s="8"/>
      <c r="D48890" s="8"/>
    </row>
    <row r="48891" spans="1:4" ht="15.75" customHeight="1">
      <c r="A48891" s="8"/>
      <c r="B48891" s="12"/>
      <c r="C48891" s="8"/>
      <c r="D48891" s="8"/>
    </row>
    <row r="48892" spans="1:4" ht="15.75" customHeight="1">
      <c r="A48892" s="8"/>
      <c r="B48892" s="12"/>
      <c r="C48892" s="8"/>
      <c r="D48892" s="8"/>
    </row>
    <row r="48893" spans="1:4" ht="15.75" customHeight="1">
      <c r="A48893" s="8"/>
      <c r="B48893" s="12"/>
      <c r="C48893" s="8"/>
      <c r="D48893" s="8"/>
    </row>
    <row r="48894" spans="1:4" ht="15.75" customHeight="1">
      <c r="A48894" s="8"/>
      <c r="B48894" s="12"/>
      <c r="C48894" s="8"/>
      <c r="D48894" s="8"/>
    </row>
    <row r="48895" spans="1:4" ht="15.75" customHeight="1">
      <c r="A48895" s="8"/>
      <c r="B48895" s="12"/>
      <c r="C48895" s="8"/>
      <c r="D48895" s="8"/>
    </row>
    <row r="48896" spans="1:4" ht="15.75" customHeight="1">
      <c r="A48896" s="8"/>
      <c r="B48896" s="12"/>
      <c r="C48896" s="8"/>
      <c r="D48896" s="8"/>
    </row>
    <row r="48897" spans="1:4" ht="15.75" customHeight="1">
      <c r="A48897" s="8"/>
      <c r="B48897" s="12"/>
      <c r="C48897" s="8"/>
      <c r="D48897" s="8"/>
    </row>
    <row r="48898" spans="1:4" ht="15.75" customHeight="1">
      <c r="A48898" s="8"/>
      <c r="B48898" s="12"/>
      <c r="C48898" s="8"/>
      <c r="D48898" s="8"/>
    </row>
    <row r="48899" spans="1:4" ht="15.75" customHeight="1">
      <c r="A48899" s="8"/>
      <c r="B48899" s="12"/>
      <c r="C48899" s="8"/>
      <c r="D48899" s="8"/>
    </row>
    <row r="48900" spans="1:4" ht="15.75" customHeight="1">
      <c r="A48900" s="8"/>
      <c r="B48900" s="12"/>
      <c r="C48900" s="8"/>
      <c r="D48900" s="8"/>
    </row>
    <row r="48901" spans="1:4" ht="15.75" customHeight="1">
      <c r="A48901" s="8"/>
      <c r="B48901" s="12"/>
      <c r="C48901" s="8"/>
      <c r="D48901" s="8"/>
    </row>
    <row r="48902" spans="1:4" ht="15.75" customHeight="1">
      <c r="A48902" s="8"/>
      <c r="B48902" s="12"/>
      <c r="C48902" s="8"/>
      <c r="D48902" s="8"/>
    </row>
    <row r="48903" spans="1:4" ht="15.75" customHeight="1">
      <c r="A48903" s="8"/>
      <c r="B48903" s="12"/>
      <c r="C48903" s="8"/>
      <c r="D48903" s="8"/>
    </row>
    <row r="48904" spans="1:4" ht="15.75" customHeight="1">
      <c r="A48904" s="8"/>
      <c r="B48904" s="12"/>
      <c r="C48904" s="8"/>
      <c r="D48904" s="8"/>
    </row>
    <row r="48905" spans="1:4" ht="15.75" customHeight="1">
      <c r="A48905" s="8"/>
      <c r="B48905" s="12"/>
      <c r="C48905" s="8"/>
      <c r="D48905" s="8"/>
    </row>
    <row r="48906" spans="1:4" ht="15.75" customHeight="1">
      <c r="A48906" s="8"/>
      <c r="B48906" s="12"/>
      <c r="C48906" s="8"/>
      <c r="D48906" s="8"/>
    </row>
    <row r="48907" spans="1:4" ht="15.75" customHeight="1">
      <c r="A48907" s="8"/>
      <c r="B48907" s="12"/>
      <c r="C48907" s="8"/>
      <c r="D48907" s="8"/>
    </row>
    <row r="48908" spans="1:4" ht="15.75" customHeight="1">
      <c r="A48908" s="8"/>
      <c r="B48908" s="12"/>
      <c r="C48908" s="8"/>
      <c r="D48908" s="8"/>
    </row>
    <row r="48909" spans="1:4" ht="15.75" customHeight="1">
      <c r="A48909" s="8"/>
      <c r="B48909" s="12"/>
      <c r="C48909" s="8"/>
      <c r="D48909" s="8"/>
    </row>
    <row r="48910" spans="1:4" ht="15.75" customHeight="1">
      <c r="A48910" s="8"/>
      <c r="B48910" s="12"/>
      <c r="C48910" s="8"/>
      <c r="D48910" s="8"/>
    </row>
    <row r="48911" spans="1:4" ht="15.75" customHeight="1">
      <c r="A48911" s="8"/>
      <c r="B48911" s="12"/>
      <c r="C48911" s="8"/>
      <c r="D48911" s="8"/>
    </row>
    <row r="48912" spans="1:4" ht="15.75" customHeight="1">
      <c r="A48912" s="8"/>
      <c r="B48912" s="12"/>
      <c r="C48912" s="8"/>
      <c r="D48912" s="8"/>
    </row>
    <row r="48913" spans="1:4" ht="15.75" customHeight="1">
      <c r="A48913" s="8"/>
      <c r="B48913" s="12"/>
      <c r="C48913" s="8"/>
      <c r="D48913" s="8"/>
    </row>
    <row r="48914" spans="1:4" ht="15.75" customHeight="1">
      <c r="A48914" s="8"/>
      <c r="B48914" s="12"/>
      <c r="C48914" s="8"/>
      <c r="D48914" s="8"/>
    </row>
    <row r="48915" spans="1:4" ht="15.75" customHeight="1">
      <c r="A48915" s="8"/>
      <c r="B48915" s="12"/>
      <c r="C48915" s="8"/>
      <c r="D48915" s="8"/>
    </row>
    <row r="48916" spans="1:4" ht="15.75" customHeight="1">
      <c r="A48916" s="8"/>
      <c r="B48916" s="12"/>
      <c r="C48916" s="8"/>
      <c r="D48916" s="8"/>
    </row>
    <row r="48917" spans="1:4" ht="15.75" customHeight="1">
      <c r="A48917" s="8"/>
      <c r="B48917" s="12"/>
      <c r="C48917" s="8"/>
      <c r="D48917" s="8"/>
    </row>
    <row r="48918" spans="1:4" ht="15.75" customHeight="1">
      <c r="A48918" s="8"/>
      <c r="B48918" s="12"/>
      <c r="C48918" s="8"/>
      <c r="D48918" s="8"/>
    </row>
    <row r="48919" spans="1:4" ht="15.75" customHeight="1">
      <c r="A48919" s="8"/>
      <c r="B48919" s="12"/>
      <c r="C48919" s="8"/>
      <c r="D48919" s="8"/>
    </row>
    <row r="48920" spans="1:4" ht="15.75" customHeight="1">
      <c r="A48920" s="8"/>
      <c r="B48920" s="12"/>
      <c r="C48920" s="8"/>
      <c r="D48920" s="8"/>
    </row>
    <row r="48921" spans="1:4" ht="15.75" customHeight="1">
      <c r="A48921" s="8"/>
      <c r="B48921" s="12"/>
      <c r="C48921" s="8"/>
      <c r="D48921" s="8"/>
    </row>
    <row r="48922" spans="1:4" ht="15.75" customHeight="1">
      <c r="A48922" s="8"/>
      <c r="B48922" s="12"/>
      <c r="C48922" s="8"/>
      <c r="D48922" s="8"/>
    </row>
    <row r="48923" spans="1:4" ht="15.75" customHeight="1">
      <c r="A48923" s="8"/>
      <c r="B48923" s="12"/>
      <c r="C48923" s="8"/>
      <c r="D48923" s="8"/>
    </row>
    <row r="48924" spans="1:4" ht="15.75" customHeight="1">
      <c r="A48924" s="8"/>
      <c r="B48924" s="12"/>
      <c r="C48924" s="8"/>
      <c r="D48924" s="8"/>
    </row>
    <row r="48925" spans="1:4" ht="15.75" customHeight="1">
      <c r="A48925" s="8"/>
      <c r="B48925" s="12"/>
      <c r="C48925" s="8"/>
      <c r="D48925" s="8"/>
    </row>
    <row r="48926" spans="1:4" ht="15.75" customHeight="1">
      <c r="A48926" s="8"/>
      <c r="B48926" s="12"/>
      <c r="C48926" s="8"/>
      <c r="D48926" s="8"/>
    </row>
    <row r="48927" spans="1:4" ht="15.75" customHeight="1">
      <c r="A48927" s="8"/>
      <c r="B48927" s="12"/>
      <c r="C48927" s="8"/>
      <c r="D48927" s="8"/>
    </row>
    <row r="48928" spans="1:4" ht="15.75" customHeight="1">
      <c r="A48928" s="8"/>
      <c r="B48928" s="12"/>
      <c r="C48928" s="8"/>
      <c r="D48928" s="8"/>
    </row>
    <row r="48929" spans="1:4" ht="15.75" customHeight="1">
      <c r="A48929" s="8"/>
      <c r="B48929" s="12"/>
      <c r="C48929" s="8"/>
      <c r="D48929" s="8"/>
    </row>
    <row r="48930" spans="1:4" ht="15.75" customHeight="1">
      <c r="A48930" s="8"/>
      <c r="B48930" s="12"/>
      <c r="C48930" s="8"/>
      <c r="D48930" s="8"/>
    </row>
    <row r="48931" spans="1:4" ht="15.75" customHeight="1">
      <c r="A48931" s="8"/>
      <c r="B48931" s="12"/>
      <c r="C48931" s="8"/>
      <c r="D48931" s="8"/>
    </row>
    <row r="48932" spans="1:4" ht="15.75" customHeight="1">
      <c r="A48932" s="8"/>
      <c r="B48932" s="12"/>
      <c r="C48932" s="8"/>
      <c r="D48932" s="8"/>
    </row>
    <row r="48933" spans="1:4" ht="15.75" customHeight="1">
      <c r="A48933" s="8"/>
      <c r="B48933" s="12"/>
      <c r="C48933" s="8"/>
      <c r="D48933" s="8"/>
    </row>
    <row r="48934" spans="1:4" ht="15.75" customHeight="1">
      <c r="A48934" s="8"/>
      <c r="B48934" s="12"/>
      <c r="C48934" s="8"/>
      <c r="D48934" s="8"/>
    </row>
    <row r="48935" spans="1:4" ht="15.75" customHeight="1">
      <c r="A48935" s="8"/>
      <c r="B48935" s="12"/>
      <c r="C48935" s="8"/>
      <c r="D48935" s="8"/>
    </row>
    <row r="48936" spans="1:4" ht="15.75" customHeight="1">
      <c r="A48936" s="8"/>
      <c r="B48936" s="12"/>
      <c r="C48936" s="8"/>
      <c r="D48936" s="8"/>
    </row>
    <row r="48937" spans="1:4" ht="15.75" customHeight="1">
      <c r="A48937" s="8"/>
      <c r="B48937" s="12"/>
      <c r="C48937" s="8"/>
      <c r="D48937" s="8"/>
    </row>
    <row r="48938" spans="1:4" ht="15.75" customHeight="1">
      <c r="A48938" s="8"/>
      <c r="B48938" s="12"/>
      <c r="C48938" s="8"/>
      <c r="D48938" s="8"/>
    </row>
    <row r="48939" spans="1:4" ht="15.75" customHeight="1">
      <c r="A48939" s="8"/>
      <c r="B48939" s="12"/>
      <c r="C48939" s="8"/>
      <c r="D48939" s="8"/>
    </row>
    <row r="48940" spans="1:4" ht="15.75" customHeight="1">
      <c r="A48940" s="8"/>
      <c r="B48940" s="12"/>
      <c r="C48940" s="8"/>
      <c r="D48940" s="8"/>
    </row>
    <row r="48941" spans="1:4" ht="15.75" customHeight="1">
      <c r="A48941" s="8"/>
      <c r="B48941" s="12"/>
      <c r="C48941" s="8"/>
      <c r="D48941" s="8"/>
    </row>
    <row r="48942" spans="1:4" ht="15.75" customHeight="1">
      <c r="A48942" s="8"/>
      <c r="B48942" s="12"/>
      <c r="C48942" s="8"/>
      <c r="D48942" s="8"/>
    </row>
    <row r="48943" spans="1:4" ht="15.75" customHeight="1">
      <c r="A48943" s="8"/>
      <c r="B48943" s="12"/>
      <c r="C48943" s="8"/>
      <c r="D48943" s="8"/>
    </row>
    <row r="48944" spans="1:4" ht="15.75" customHeight="1">
      <c r="A48944" s="8"/>
      <c r="B48944" s="12"/>
      <c r="C48944" s="8"/>
      <c r="D48944" s="8"/>
    </row>
    <row r="48945" spans="1:4" ht="15.75" customHeight="1">
      <c r="A48945" s="8"/>
      <c r="B48945" s="12"/>
      <c r="C48945" s="8"/>
      <c r="D48945" s="8"/>
    </row>
    <row r="48946" spans="1:4" ht="15.75" customHeight="1">
      <c r="A48946" s="8"/>
      <c r="B48946" s="12"/>
      <c r="C48946" s="8"/>
      <c r="D48946" s="8"/>
    </row>
    <row r="48947" spans="1:4" ht="15.75" customHeight="1">
      <c r="A48947" s="8"/>
      <c r="B48947" s="12"/>
      <c r="C48947" s="8"/>
      <c r="D48947" s="8"/>
    </row>
    <row r="48948" spans="1:4" ht="15.75" customHeight="1">
      <c r="A48948" s="8"/>
      <c r="B48948" s="12"/>
      <c r="C48948" s="8"/>
      <c r="D48948" s="8"/>
    </row>
    <row r="48949" spans="1:4" ht="15.75" customHeight="1">
      <c r="A48949" s="8"/>
      <c r="B48949" s="12"/>
      <c r="C48949" s="8"/>
      <c r="D48949" s="8"/>
    </row>
    <row r="48950" spans="1:4" ht="15.75" customHeight="1">
      <c r="A48950" s="8"/>
      <c r="B48950" s="12"/>
      <c r="C48950" s="8"/>
      <c r="D48950" s="8"/>
    </row>
    <row r="48951" spans="1:4" ht="15.75" customHeight="1">
      <c r="A48951" s="8"/>
      <c r="B48951" s="12"/>
      <c r="C48951" s="8"/>
      <c r="D48951" s="8"/>
    </row>
    <row r="48952" spans="1:4" ht="15.75" customHeight="1">
      <c r="A48952" s="8"/>
      <c r="B48952" s="12"/>
      <c r="C48952" s="8"/>
      <c r="D48952" s="8"/>
    </row>
    <row r="48953" spans="1:4" ht="15.75" customHeight="1">
      <c r="A48953" s="8"/>
      <c r="B48953" s="12"/>
      <c r="C48953" s="8"/>
      <c r="D48953" s="8"/>
    </row>
    <row r="48954" spans="1:4" ht="15.75" customHeight="1">
      <c r="A48954" s="8"/>
      <c r="B48954" s="12"/>
      <c r="C48954" s="8"/>
      <c r="D48954" s="8"/>
    </row>
    <row r="48955" spans="1:4" ht="15.75" customHeight="1">
      <c r="A48955" s="8"/>
      <c r="B48955" s="12"/>
      <c r="C48955" s="8"/>
      <c r="D48955" s="8"/>
    </row>
    <row r="48956" spans="1:4" ht="15.75" customHeight="1">
      <c r="A48956" s="8"/>
      <c r="B48956" s="12"/>
      <c r="C48956" s="8"/>
      <c r="D48956" s="8"/>
    </row>
    <row r="48957" spans="1:4" ht="15.75" customHeight="1">
      <c r="A48957" s="8"/>
      <c r="B48957" s="12"/>
      <c r="C48957" s="8"/>
      <c r="D48957" s="8"/>
    </row>
    <row r="48958" spans="1:4" ht="15.75" customHeight="1">
      <c r="A48958" s="8"/>
      <c r="B48958" s="12"/>
      <c r="C48958" s="8"/>
      <c r="D48958" s="8"/>
    </row>
    <row r="48959" spans="1:4" ht="15.75" customHeight="1">
      <c r="A48959" s="8"/>
      <c r="B48959" s="12"/>
      <c r="C48959" s="8"/>
      <c r="D48959" s="8"/>
    </row>
    <row r="48960" spans="1:4" ht="15.75" customHeight="1">
      <c r="A48960" s="8"/>
      <c r="B48960" s="12"/>
      <c r="C48960" s="8"/>
      <c r="D48960" s="8"/>
    </row>
    <row r="48961" spans="1:4" ht="15.75" customHeight="1">
      <c r="A48961" s="8"/>
      <c r="B48961" s="12"/>
      <c r="C48961" s="8"/>
      <c r="D48961" s="8"/>
    </row>
    <row r="48962" spans="1:4" ht="15.75" customHeight="1">
      <c r="A48962" s="8"/>
      <c r="B48962" s="12"/>
      <c r="C48962" s="8"/>
      <c r="D48962" s="8"/>
    </row>
    <row r="48963" spans="1:4" ht="15.75" customHeight="1">
      <c r="A48963" s="8"/>
      <c r="B48963" s="12"/>
      <c r="C48963" s="8"/>
      <c r="D48963" s="8"/>
    </row>
    <row r="48964" spans="1:4" ht="15.75" customHeight="1">
      <c r="A48964" s="8"/>
      <c r="B48964" s="12"/>
      <c r="C48964" s="8"/>
      <c r="D48964" s="8"/>
    </row>
    <row r="48965" spans="1:4" ht="15.75" customHeight="1">
      <c r="A48965" s="8"/>
      <c r="B48965" s="12"/>
      <c r="C48965" s="8"/>
      <c r="D48965" s="8"/>
    </row>
    <row r="48966" spans="1:4" ht="15.75" customHeight="1">
      <c r="A48966" s="8"/>
      <c r="B48966" s="12"/>
      <c r="C48966" s="8"/>
      <c r="D48966" s="8"/>
    </row>
    <row r="48967" spans="1:4" ht="15.75" customHeight="1">
      <c r="A48967" s="8"/>
      <c r="B48967" s="12"/>
      <c r="C48967" s="8"/>
      <c r="D48967" s="8"/>
    </row>
    <row r="48968" spans="1:4" ht="15.75" customHeight="1">
      <c r="A48968" s="8"/>
      <c r="B48968" s="12"/>
      <c r="C48968" s="8"/>
      <c r="D48968" s="8"/>
    </row>
    <row r="48969" spans="1:4" ht="15.75" customHeight="1">
      <c r="A48969" s="8"/>
      <c r="B48969" s="12"/>
      <c r="C48969" s="8"/>
      <c r="D48969" s="8"/>
    </row>
    <row r="48970" spans="1:4" ht="15.75" customHeight="1">
      <c r="A48970" s="8"/>
      <c r="B48970" s="12"/>
      <c r="C48970" s="8"/>
      <c r="D48970" s="8"/>
    </row>
    <row r="48971" spans="1:4" ht="15.75" customHeight="1">
      <c r="A48971" s="8"/>
      <c r="B48971" s="12"/>
      <c r="C48971" s="8"/>
      <c r="D48971" s="8"/>
    </row>
    <row r="48972" spans="1:4" ht="15.75" customHeight="1">
      <c r="A48972" s="8"/>
      <c r="B48972" s="12"/>
      <c r="C48972" s="8"/>
      <c r="D48972" s="8"/>
    </row>
    <row r="48973" spans="1:4" ht="15.75" customHeight="1">
      <c r="A48973" s="8"/>
      <c r="B48973" s="12"/>
      <c r="C48973" s="8"/>
      <c r="D48973" s="8"/>
    </row>
    <row r="48974" spans="1:4" ht="15.75" customHeight="1">
      <c r="A48974" s="8"/>
      <c r="B48974" s="12"/>
      <c r="C48974" s="8"/>
      <c r="D48974" s="8"/>
    </row>
    <row r="48975" spans="1:4" ht="15.75" customHeight="1">
      <c r="A48975" s="8"/>
      <c r="B48975" s="12"/>
      <c r="C48975" s="8"/>
      <c r="D48975" s="8"/>
    </row>
    <row r="48976" spans="1:4" ht="15.75" customHeight="1">
      <c r="A48976" s="8"/>
      <c r="B48976" s="12"/>
      <c r="C48976" s="8"/>
      <c r="D48976" s="8"/>
    </row>
    <row r="48977" spans="1:4" ht="15.75" customHeight="1">
      <c r="A48977" s="8"/>
      <c r="B48977" s="12"/>
      <c r="C48977" s="8"/>
      <c r="D48977" s="8"/>
    </row>
    <row r="48978" spans="1:4" ht="15.75" customHeight="1">
      <c r="A48978" s="8"/>
      <c r="B48978" s="12"/>
      <c r="C48978" s="8"/>
      <c r="D48978" s="8"/>
    </row>
    <row r="48979" spans="1:4" ht="15.75" customHeight="1">
      <c r="A48979" s="8"/>
      <c r="B48979" s="12"/>
      <c r="C48979" s="8"/>
      <c r="D48979" s="8"/>
    </row>
    <row r="48980" spans="1:4" ht="15.75" customHeight="1">
      <c r="A48980" s="8"/>
      <c r="B48980" s="12"/>
      <c r="C48980" s="8"/>
      <c r="D48980" s="8"/>
    </row>
    <row r="48981" spans="1:4" ht="15.75" customHeight="1">
      <c r="A48981" s="8"/>
      <c r="B48981" s="12"/>
      <c r="C48981" s="8"/>
      <c r="D48981" s="8"/>
    </row>
    <row r="48982" spans="1:4" ht="15.75" customHeight="1">
      <c r="A48982" s="8"/>
      <c r="B48982" s="12"/>
      <c r="C48982" s="8"/>
      <c r="D48982" s="8"/>
    </row>
    <row r="48983" spans="1:4" ht="15.75" customHeight="1">
      <c r="A48983" s="8"/>
      <c r="B48983" s="12"/>
      <c r="C48983" s="8"/>
      <c r="D48983" s="8"/>
    </row>
    <row r="48984" spans="1:4" ht="15.75" customHeight="1">
      <c r="A48984" s="8"/>
      <c r="B48984" s="12"/>
      <c r="C48984" s="8"/>
      <c r="D48984" s="8"/>
    </row>
    <row r="48985" spans="1:4" ht="15.75" customHeight="1">
      <c r="A48985" s="8"/>
      <c r="B48985" s="12"/>
      <c r="C48985" s="8"/>
      <c r="D48985" s="8"/>
    </row>
    <row r="48986" spans="1:4" ht="15.75" customHeight="1">
      <c r="A48986" s="8"/>
      <c r="B48986" s="12"/>
      <c r="C48986" s="8"/>
      <c r="D48986" s="8"/>
    </row>
    <row r="48987" spans="1:4" ht="15.75" customHeight="1">
      <c r="A48987" s="8"/>
      <c r="B48987" s="12"/>
      <c r="C48987" s="8"/>
      <c r="D48987" s="8"/>
    </row>
    <row r="48988" spans="1:4" ht="15.75" customHeight="1">
      <c r="A48988" s="8"/>
      <c r="B48988" s="12"/>
      <c r="C48988" s="8"/>
      <c r="D48988" s="8"/>
    </row>
    <row r="48989" spans="1:4" ht="15.75" customHeight="1">
      <c r="A48989" s="8"/>
      <c r="B48989" s="12"/>
      <c r="C48989" s="8"/>
      <c r="D48989" s="8"/>
    </row>
    <row r="48990" spans="1:4" ht="15.75" customHeight="1">
      <c r="A48990" s="8"/>
      <c r="B48990" s="12"/>
      <c r="C48990" s="8"/>
      <c r="D48990" s="8"/>
    </row>
    <row r="48991" spans="1:4" ht="15.75" customHeight="1">
      <c r="A48991" s="8"/>
      <c r="B48991" s="12"/>
      <c r="C48991" s="8"/>
      <c r="D48991" s="8"/>
    </row>
    <row r="48992" spans="1:4" ht="15.75" customHeight="1">
      <c r="A48992" s="8"/>
      <c r="B48992" s="12"/>
      <c r="C48992" s="8"/>
      <c r="D48992" s="8"/>
    </row>
    <row r="48993" spans="1:4" ht="15.75" customHeight="1">
      <c r="A48993" s="8"/>
      <c r="B48993" s="12"/>
      <c r="C48993" s="8"/>
      <c r="D48993" s="8"/>
    </row>
    <row r="48994" spans="1:4" ht="15.75" customHeight="1">
      <c r="A48994" s="8"/>
      <c r="B48994" s="12"/>
      <c r="C48994" s="8"/>
      <c r="D48994" s="8"/>
    </row>
    <row r="48995" spans="1:4" ht="15.75" customHeight="1">
      <c r="A48995" s="8"/>
      <c r="B48995" s="12"/>
      <c r="C48995" s="8"/>
      <c r="D48995" s="8"/>
    </row>
    <row r="48996" spans="1:4" ht="15.75" customHeight="1">
      <c r="A48996" s="8"/>
      <c r="B48996" s="12"/>
      <c r="C48996" s="8"/>
      <c r="D48996" s="8"/>
    </row>
    <row r="48997" spans="1:4" ht="15.75" customHeight="1">
      <c r="A48997" s="8"/>
      <c r="B48997" s="12"/>
      <c r="C48997" s="8"/>
      <c r="D48997" s="8"/>
    </row>
    <row r="48998" spans="1:4" ht="15.75" customHeight="1">
      <c r="A48998" s="8"/>
      <c r="B48998" s="12"/>
      <c r="C48998" s="8"/>
      <c r="D48998" s="8"/>
    </row>
    <row r="48999" spans="1:4" ht="15.75" customHeight="1">
      <c r="A48999" s="8"/>
      <c r="B48999" s="12"/>
      <c r="C48999" s="8"/>
      <c r="D48999" s="8"/>
    </row>
    <row r="49000" spans="1:4" ht="15.75" customHeight="1">
      <c r="A49000" s="8"/>
      <c r="B49000" s="12"/>
      <c r="C49000" s="8"/>
      <c r="D49000" s="8"/>
    </row>
    <row r="49001" spans="1:4" ht="15.75" customHeight="1">
      <c r="A49001" s="8"/>
      <c r="B49001" s="12"/>
      <c r="C49001" s="8"/>
      <c r="D49001" s="8"/>
    </row>
    <row r="49002" spans="1:4" ht="15.75" customHeight="1">
      <c r="A49002" s="8"/>
      <c r="B49002" s="12"/>
      <c r="C49002" s="8"/>
      <c r="D49002" s="8"/>
    </row>
    <row r="49003" spans="1:4" ht="15.75" customHeight="1">
      <c r="A49003" s="8"/>
      <c r="B49003" s="12"/>
      <c r="C49003" s="8"/>
      <c r="D49003" s="8"/>
    </row>
    <row r="49004" spans="1:4" ht="15.75" customHeight="1">
      <c r="A49004" s="8"/>
      <c r="B49004" s="12"/>
      <c r="C49004" s="8"/>
      <c r="D49004" s="8"/>
    </row>
    <row r="49005" spans="1:4" ht="15.75" customHeight="1">
      <c r="A49005" s="8"/>
      <c r="B49005" s="12"/>
      <c r="C49005" s="8"/>
      <c r="D49005" s="8"/>
    </row>
    <row r="49006" spans="1:4" ht="15.75" customHeight="1">
      <c r="A49006" s="8"/>
      <c r="B49006" s="12"/>
      <c r="C49006" s="8"/>
      <c r="D49006" s="8"/>
    </row>
    <row r="49007" spans="1:4" ht="15.75" customHeight="1">
      <c r="A49007" s="8"/>
      <c r="B49007" s="12"/>
      <c r="C49007" s="8"/>
      <c r="D49007" s="8"/>
    </row>
    <row r="49008" spans="1:4" ht="15.75" customHeight="1">
      <c r="A49008" s="8"/>
      <c r="B49008" s="12"/>
      <c r="C49008" s="8"/>
      <c r="D49008" s="8"/>
    </row>
    <row r="49009" spans="1:4" ht="15.75" customHeight="1">
      <c r="A49009" s="8"/>
      <c r="B49009" s="12"/>
      <c r="C49009" s="8"/>
      <c r="D49009" s="8"/>
    </row>
    <row r="49010" spans="1:4" ht="15.75" customHeight="1">
      <c r="A49010" s="8"/>
      <c r="B49010" s="12"/>
      <c r="C49010" s="8"/>
      <c r="D49010" s="8"/>
    </row>
    <row r="49011" spans="1:4" ht="15.75" customHeight="1">
      <c r="A49011" s="8"/>
      <c r="B49011" s="12"/>
      <c r="C49011" s="8"/>
      <c r="D49011" s="8"/>
    </row>
    <row r="49012" spans="1:4" ht="15.75" customHeight="1">
      <c r="A49012" s="8"/>
      <c r="B49012" s="12"/>
      <c r="C49012" s="8"/>
      <c r="D49012" s="8"/>
    </row>
    <row r="49013" spans="1:4" ht="15.75" customHeight="1">
      <c r="A49013" s="8"/>
      <c r="B49013" s="12"/>
      <c r="C49013" s="8"/>
      <c r="D49013" s="8"/>
    </row>
    <row r="49014" spans="1:4" ht="15.75" customHeight="1">
      <c r="A49014" s="8"/>
      <c r="B49014" s="12"/>
      <c r="C49014" s="8"/>
      <c r="D49014" s="8"/>
    </row>
    <row r="49015" spans="1:4" ht="15.75" customHeight="1">
      <c r="A49015" s="8"/>
      <c r="B49015" s="12"/>
      <c r="C49015" s="8"/>
      <c r="D49015" s="8"/>
    </row>
    <row r="49016" spans="1:4" ht="15.75" customHeight="1">
      <c r="A49016" s="8"/>
      <c r="B49016" s="12"/>
      <c r="C49016" s="8"/>
      <c r="D49016" s="8"/>
    </row>
    <row r="49017" spans="1:4" ht="15.75" customHeight="1">
      <c r="A49017" s="8"/>
      <c r="B49017" s="12"/>
      <c r="C49017" s="8"/>
      <c r="D49017" s="8"/>
    </row>
    <row r="49018" spans="1:4" ht="15.75" customHeight="1">
      <c r="A49018" s="8"/>
      <c r="B49018" s="12"/>
      <c r="C49018" s="8"/>
      <c r="D49018" s="8"/>
    </row>
    <row r="49019" spans="1:4" ht="15.75" customHeight="1">
      <c r="A49019" s="8"/>
      <c r="B49019" s="12"/>
      <c r="C49019" s="8"/>
      <c r="D49019" s="8"/>
    </row>
    <row r="49020" spans="1:4" ht="15.75" customHeight="1">
      <c r="A49020" s="8"/>
      <c r="B49020" s="12"/>
      <c r="C49020" s="8"/>
      <c r="D49020" s="8"/>
    </row>
    <row r="49021" spans="1:4" ht="15.75" customHeight="1">
      <c r="A49021" s="8"/>
      <c r="B49021" s="12"/>
      <c r="C49021" s="8"/>
      <c r="D49021" s="8"/>
    </row>
    <row r="49022" spans="1:4" ht="15.75" customHeight="1">
      <c r="A49022" s="8"/>
      <c r="B49022" s="12"/>
      <c r="C49022" s="8"/>
      <c r="D49022" s="8"/>
    </row>
    <row r="49023" spans="1:4" ht="15.75" customHeight="1">
      <c r="A49023" s="8"/>
      <c r="B49023" s="12"/>
      <c r="C49023" s="8"/>
      <c r="D49023" s="8"/>
    </row>
    <row r="49024" spans="1:4" ht="15.75" customHeight="1">
      <c r="A49024" s="8"/>
      <c r="B49024" s="12"/>
      <c r="C49024" s="8"/>
      <c r="D49024" s="8"/>
    </row>
    <row r="49025" spans="1:4" ht="15.75" customHeight="1">
      <c r="A49025" s="8"/>
      <c r="B49025" s="12"/>
      <c r="C49025" s="8"/>
      <c r="D49025" s="8"/>
    </row>
    <row r="49026" spans="1:4" ht="15.75" customHeight="1">
      <c r="A49026" s="8"/>
      <c r="B49026" s="12"/>
      <c r="C49026" s="8"/>
      <c r="D49026" s="8"/>
    </row>
    <row r="49027" spans="1:4" ht="15.75" customHeight="1">
      <c r="A49027" s="8"/>
      <c r="B49027" s="12"/>
      <c r="C49027" s="8"/>
      <c r="D49027" s="8"/>
    </row>
    <row r="49028" spans="1:4" ht="15.75" customHeight="1">
      <c r="A49028" s="8"/>
      <c r="B49028" s="12"/>
      <c r="C49028" s="8"/>
      <c r="D49028" s="8"/>
    </row>
    <row r="49029" spans="1:4" ht="15.75" customHeight="1">
      <c r="A49029" s="8"/>
      <c r="B49029" s="12"/>
      <c r="C49029" s="8"/>
      <c r="D49029" s="8"/>
    </row>
    <row r="49030" spans="1:4" ht="15.75" customHeight="1">
      <c r="A49030" s="8"/>
      <c r="B49030" s="12"/>
      <c r="C49030" s="8"/>
      <c r="D49030" s="8"/>
    </row>
    <row r="49031" spans="1:4" ht="15.75" customHeight="1">
      <c r="A49031" s="8"/>
      <c r="B49031" s="12"/>
      <c r="C49031" s="8"/>
      <c r="D49031" s="8"/>
    </row>
    <row r="49032" spans="1:4" ht="15.75" customHeight="1">
      <c r="A49032" s="8"/>
      <c r="B49032" s="12"/>
      <c r="C49032" s="8"/>
      <c r="D49032" s="8"/>
    </row>
    <row r="49033" spans="1:4" ht="15.75" customHeight="1">
      <c r="A49033" s="8"/>
      <c r="B49033" s="12"/>
      <c r="C49033" s="8"/>
      <c r="D49033" s="8"/>
    </row>
    <row r="49034" spans="1:4" ht="15.75" customHeight="1">
      <c r="A49034" s="8"/>
      <c r="B49034" s="12"/>
      <c r="C49034" s="8"/>
      <c r="D49034" s="8"/>
    </row>
    <row r="49035" spans="1:4" ht="15.75" customHeight="1">
      <c r="A49035" s="8"/>
      <c r="B49035" s="12"/>
      <c r="C49035" s="8"/>
      <c r="D49035" s="8"/>
    </row>
    <row r="49036" spans="1:4" ht="15.75" customHeight="1">
      <c r="A49036" s="8"/>
      <c r="B49036" s="12"/>
      <c r="C49036" s="8"/>
      <c r="D49036" s="8"/>
    </row>
    <row r="49037" spans="1:4" ht="15.75" customHeight="1">
      <c r="A49037" s="8"/>
      <c r="B49037" s="12"/>
      <c r="C49037" s="8"/>
      <c r="D49037" s="8"/>
    </row>
    <row r="49038" spans="1:4" ht="15.75" customHeight="1">
      <c r="A49038" s="8"/>
      <c r="B49038" s="12"/>
      <c r="C49038" s="8"/>
      <c r="D49038" s="8"/>
    </row>
    <row r="49039" spans="1:4" ht="15.75" customHeight="1">
      <c r="A49039" s="8"/>
      <c r="B49039" s="12"/>
      <c r="C49039" s="8"/>
      <c r="D49039" s="8"/>
    </row>
    <row r="49040" spans="1:4" ht="15.75" customHeight="1">
      <c r="A49040" s="8"/>
      <c r="B49040" s="12"/>
      <c r="C49040" s="8"/>
      <c r="D49040" s="8"/>
    </row>
    <row r="49041" spans="1:4" ht="15.75" customHeight="1">
      <c r="A49041" s="8"/>
      <c r="B49041" s="12"/>
      <c r="C49041" s="8"/>
      <c r="D49041" s="8"/>
    </row>
    <row r="49042" spans="1:4" ht="15.75" customHeight="1">
      <c r="A49042" s="8"/>
      <c r="B49042" s="12"/>
      <c r="C49042" s="8"/>
      <c r="D49042" s="8"/>
    </row>
    <row r="49043" spans="1:4" ht="15.75" customHeight="1">
      <c r="A49043" s="8"/>
      <c r="B49043" s="12"/>
      <c r="C49043" s="8"/>
      <c r="D49043" s="8"/>
    </row>
    <row r="49044" spans="1:4" ht="15.75" customHeight="1">
      <c r="A49044" s="8"/>
      <c r="B49044" s="12"/>
      <c r="C49044" s="8"/>
      <c r="D49044" s="8"/>
    </row>
    <row r="49045" spans="1:4" ht="15.75" customHeight="1">
      <c r="A49045" s="8"/>
      <c r="B49045" s="12"/>
      <c r="C49045" s="8"/>
      <c r="D49045" s="8"/>
    </row>
    <row r="49046" spans="1:4" ht="15.75" customHeight="1">
      <c r="A49046" s="8"/>
      <c r="B49046" s="12"/>
      <c r="C49046" s="8"/>
      <c r="D49046" s="8"/>
    </row>
    <row r="49047" spans="1:4" ht="15.75" customHeight="1">
      <c r="A49047" s="8"/>
      <c r="B49047" s="12"/>
      <c r="C49047" s="8"/>
      <c r="D49047" s="8"/>
    </row>
    <row r="49048" spans="1:4" ht="15.75" customHeight="1">
      <c r="A49048" s="8"/>
      <c r="B49048" s="12"/>
      <c r="C49048" s="8"/>
      <c r="D49048" s="8"/>
    </row>
    <row r="49049" spans="1:4" ht="15.75" customHeight="1">
      <c r="A49049" s="8"/>
      <c r="B49049" s="12"/>
      <c r="C49049" s="8"/>
      <c r="D49049" s="8"/>
    </row>
    <row r="49050" spans="1:4" ht="15.75" customHeight="1">
      <c r="A49050" s="8"/>
      <c r="B49050" s="12"/>
      <c r="C49050" s="8"/>
      <c r="D49050" s="8"/>
    </row>
    <row r="49051" spans="1:4" ht="15.75" customHeight="1">
      <c r="A49051" s="8"/>
      <c r="B49051" s="12"/>
      <c r="C49051" s="8"/>
      <c r="D49051" s="8"/>
    </row>
    <row r="49052" spans="1:4" ht="15.75" customHeight="1">
      <c r="A49052" s="8"/>
      <c r="B49052" s="12"/>
      <c r="C49052" s="8"/>
      <c r="D49052" s="8"/>
    </row>
    <row r="49053" spans="1:4" ht="15.75" customHeight="1">
      <c r="A49053" s="8"/>
      <c r="B49053" s="12"/>
      <c r="C49053" s="8"/>
      <c r="D49053" s="8"/>
    </row>
    <row r="49054" spans="1:4" ht="15.75" customHeight="1">
      <c r="A49054" s="8"/>
      <c r="B49054" s="12"/>
      <c r="C49054" s="8"/>
      <c r="D49054" s="8"/>
    </row>
    <row r="49055" spans="1:4" ht="15.75" customHeight="1">
      <c r="A49055" s="8"/>
      <c r="B49055" s="12"/>
      <c r="C49055" s="8"/>
      <c r="D49055" s="8"/>
    </row>
    <row r="49056" spans="1:4" ht="15.75" customHeight="1">
      <c r="A49056" s="8"/>
      <c r="B49056" s="12"/>
      <c r="C49056" s="8"/>
      <c r="D49056" s="8"/>
    </row>
    <row r="49057" spans="1:4" ht="15.75" customHeight="1">
      <c r="A49057" s="8"/>
      <c r="B49057" s="12"/>
      <c r="C49057" s="8"/>
      <c r="D49057" s="8"/>
    </row>
    <row r="49058" spans="1:4" ht="15.75" customHeight="1">
      <c r="A49058" s="8"/>
      <c r="B49058" s="12"/>
      <c r="C49058" s="8"/>
      <c r="D49058" s="8"/>
    </row>
    <row r="49059" spans="1:4" ht="15.75" customHeight="1">
      <c r="A49059" s="8"/>
      <c r="B49059" s="12"/>
      <c r="C49059" s="8"/>
      <c r="D49059" s="8"/>
    </row>
    <row r="49060" spans="1:4" ht="15.75" customHeight="1">
      <c r="A49060" s="8"/>
      <c r="B49060" s="12"/>
      <c r="C49060" s="8"/>
      <c r="D49060" s="8"/>
    </row>
    <row r="49061" spans="1:4" ht="15.75" customHeight="1">
      <c r="A49061" s="8"/>
      <c r="B49061" s="12"/>
      <c r="C49061" s="8"/>
      <c r="D49061" s="8"/>
    </row>
    <row r="49062" spans="1:4" ht="15.75" customHeight="1">
      <c r="A49062" s="8"/>
      <c r="B49062" s="12"/>
      <c r="C49062" s="8"/>
      <c r="D49062" s="8"/>
    </row>
    <row r="49063" spans="1:4" ht="15.75" customHeight="1">
      <c r="A49063" s="8"/>
      <c r="B49063" s="12"/>
      <c r="C49063" s="8"/>
      <c r="D49063" s="8"/>
    </row>
    <row r="49064" spans="1:4" ht="15.75" customHeight="1">
      <c r="A49064" s="8"/>
      <c r="B49064" s="12"/>
      <c r="C49064" s="8"/>
      <c r="D49064" s="8"/>
    </row>
    <row r="49065" spans="1:4" ht="15.75" customHeight="1">
      <c r="A49065" s="8"/>
      <c r="B49065" s="12"/>
      <c r="C49065" s="8"/>
      <c r="D49065" s="8"/>
    </row>
    <row r="49066" spans="1:4" ht="15.75" customHeight="1">
      <c r="A49066" s="8"/>
      <c r="B49066" s="12"/>
      <c r="C49066" s="8"/>
      <c r="D49066" s="8"/>
    </row>
    <row r="49067" spans="1:4" ht="15.75" customHeight="1">
      <c r="A49067" s="8"/>
      <c r="B49067" s="12"/>
      <c r="C49067" s="8"/>
      <c r="D49067" s="8"/>
    </row>
    <row r="49068" spans="1:4" ht="15.75" customHeight="1">
      <c r="A49068" s="8"/>
      <c r="B49068" s="12"/>
      <c r="C49068" s="8"/>
      <c r="D49068" s="8"/>
    </row>
    <row r="49069" spans="1:4" ht="15.75" customHeight="1">
      <c r="A49069" s="8"/>
      <c r="B49069" s="12"/>
      <c r="C49069" s="8"/>
      <c r="D49069" s="8"/>
    </row>
    <row r="49070" spans="1:4" ht="15.75" customHeight="1">
      <c r="A49070" s="8"/>
      <c r="B49070" s="12"/>
      <c r="C49070" s="8"/>
      <c r="D49070" s="8"/>
    </row>
    <row r="49071" spans="1:4" ht="15.75" customHeight="1">
      <c r="A49071" s="8"/>
      <c r="B49071" s="12"/>
      <c r="C49071" s="8"/>
      <c r="D49071" s="8"/>
    </row>
    <row r="49072" spans="1:4" ht="15.75" customHeight="1">
      <c r="A49072" s="8"/>
      <c r="B49072" s="12"/>
      <c r="C49072" s="8"/>
      <c r="D49072" s="8"/>
    </row>
    <row r="49073" spans="1:4" ht="15.75" customHeight="1">
      <c r="A49073" s="8"/>
      <c r="B49073" s="12"/>
      <c r="C49073" s="8"/>
      <c r="D49073" s="8"/>
    </row>
    <row r="49074" spans="1:4" ht="15.75" customHeight="1">
      <c r="A49074" s="8"/>
      <c r="B49074" s="12"/>
      <c r="C49074" s="8"/>
      <c r="D49074" s="8"/>
    </row>
    <row r="49075" spans="1:4" ht="15.75" customHeight="1">
      <c r="A49075" s="8"/>
      <c r="B49075" s="12"/>
      <c r="C49075" s="8"/>
      <c r="D49075" s="8"/>
    </row>
    <row r="49076" spans="1:4" ht="15.75" customHeight="1">
      <c r="A49076" s="8"/>
      <c r="B49076" s="12"/>
      <c r="C49076" s="8"/>
      <c r="D49076" s="8"/>
    </row>
    <row r="49077" spans="1:4" ht="15.75" customHeight="1">
      <c r="A49077" s="8"/>
      <c r="B49077" s="12"/>
      <c r="C49077" s="8"/>
      <c r="D49077" s="8"/>
    </row>
    <row r="49078" spans="1:4" ht="15.75" customHeight="1">
      <c r="A49078" s="8"/>
      <c r="B49078" s="12"/>
      <c r="C49078" s="8"/>
      <c r="D49078" s="8"/>
    </row>
    <row r="49079" spans="1:4" ht="15.75" customHeight="1">
      <c r="A49079" s="8"/>
      <c r="B49079" s="12"/>
      <c r="C49079" s="8"/>
      <c r="D49079" s="8"/>
    </row>
    <row r="49080" spans="1:4" ht="15.75" customHeight="1">
      <c r="A49080" s="8"/>
      <c r="B49080" s="12"/>
      <c r="C49080" s="8"/>
      <c r="D49080" s="8"/>
    </row>
    <row r="49081" spans="1:4" ht="15.75" customHeight="1">
      <c r="A49081" s="8"/>
      <c r="B49081" s="12"/>
      <c r="C49081" s="8"/>
      <c r="D49081" s="8"/>
    </row>
    <row r="49082" spans="1:4" ht="15.75" customHeight="1">
      <c r="A49082" s="8"/>
      <c r="B49082" s="12"/>
      <c r="C49082" s="8"/>
      <c r="D49082" s="8"/>
    </row>
    <row r="49083" spans="1:4" ht="15.75" customHeight="1">
      <c r="A49083" s="8"/>
      <c r="B49083" s="12"/>
      <c r="C49083" s="8"/>
      <c r="D49083" s="8"/>
    </row>
    <row r="49084" spans="1:4" ht="15.75" customHeight="1">
      <c r="A49084" s="8"/>
      <c r="B49084" s="12"/>
      <c r="C49084" s="8"/>
      <c r="D49084" s="8"/>
    </row>
    <row r="49085" spans="1:4" ht="15.75" customHeight="1">
      <c r="A49085" s="8"/>
      <c r="B49085" s="12"/>
      <c r="C49085" s="8"/>
      <c r="D49085" s="8"/>
    </row>
    <row r="49086" spans="1:4" ht="15.75" customHeight="1">
      <c r="A49086" s="8"/>
      <c r="B49086" s="12"/>
      <c r="C49086" s="8"/>
      <c r="D49086" s="8"/>
    </row>
    <row r="49087" spans="1:4" ht="15.75" customHeight="1">
      <c r="A49087" s="8"/>
      <c r="B49087" s="12"/>
      <c r="C49087" s="8"/>
      <c r="D49087" s="8"/>
    </row>
    <row r="49088" spans="1:4" ht="15.75" customHeight="1">
      <c r="A49088" s="8"/>
      <c r="B49088" s="12"/>
      <c r="C49088" s="8"/>
      <c r="D49088" s="8"/>
    </row>
    <row r="49089" spans="1:4" ht="15.75" customHeight="1">
      <c r="A49089" s="8"/>
      <c r="B49089" s="12"/>
      <c r="C49089" s="8"/>
      <c r="D49089" s="8"/>
    </row>
    <row r="49090" spans="1:4" ht="15.75" customHeight="1">
      <c r="A49090" s="8"/>
      <c r="B49090" s="12"/>
      <c r="C49090" s="8"/>
      <c r="D49090" s="8"/>
    </row>
    <row r="49091" spans="1:4" ht="15.75" customHeight="1">
      <c r="A49091" s="8"/>
      <c r="B49091" s="12"/>
      <c r="C49091" s="8"/>
      <c r="D49091" s="8"/>
    </row>
    <row r="49092" spans="1:4" ht="15.75" customHeight="1">
      <c r="A49092" s="8"/>
      <c r="B49092" s="12"/>
      <c r="C49092" s="8"/>
      <c r="D49092" s="8"/>
    </row>
    <row r="49093" spans="1:4" ht="15.75" customHeight="1">
      <c r="A49093" s="8"/>
      <c r="B49093" s="12"/>
      <c r="C49093" s="8"/>
      <c r="D49093" s="8"/>
    </row>
    <row r="49094" spans="1:4" ht="15.75" customHeight="1">
      <c r="A49094" s="8"/>
      <c r="B49094" s="12"/>
      <c r="C49094" s="8"/>
      <c r="D49094" s="8"/>
    </row>
    <row r="49095" spans="1:4" ht="15.75" customHeight="1">
      <c r="A49095" s="8"/>
      <c r="B49095" s="12"/>
      <c r="C49095" s="8"/>
      <c r="D49095" s="8"/>
    </row>
    <row r="49096" spans="1:4" ht="15.75" customHeight="1">
      <c r="A49096" s="8"/>
      <c r="B49096" s="12"/>
      <c r="C49096" s="8"/>
      <c r="D49096" s="8"/>
    </row>
    <row r="49097" spans="1:4" ht="15.75" customHeight="1">
      <c r="A49097" s="8"/>
      <c r="B49097" s="12"/>
      <c r="C49097" s="8"/>
      <c r="D49097" s="8"/>
    </row>
    <row r="49098" spans="1:4" ht="15.75" customHeight="1">
      <c r="A49098" s="8"/>
      <c r="B49098" s="12"/>
      <c r="C49098" s="8"/>
      <c r="D49098" s="8"/>
    </row>
    <row r="49099" spans="1:4" ht="15.75" customHeight="1">
      <c r="A49099" s="8"/>
      <c r="B49099" s="12"/>
      <c r="C49099" s="8"/>
      <c r="D49099" s="8"/>
    </row>
    <row r="49100" spans="1:4" ht="15.75" customHeight="1">
      <c r="A49100" s="8"/>
      <c r="B49100" s="12"/>
      <c r="C49100" s="8"/>
      <c r="D49100" s="8"/>
    </row>
    <row r="49101" spans="1:4" ht="15.75" customHeight="1">
      <c r="A49101" s="8"/>
      <c r="B49101" s="12"/>
      <c r="C49101" s="8"/>
      <c r="D49101" s="8"/>
    </row>
    <row r="49102" spans="1:4" ht="15.75" customHeight="1">
      <c r="A49102" s="8"/>
      <c r="B49102" s="12"/>
      <c r="C49102" s="8"/>
      <c r="D49102" s="8"/>
    </row>
    <row r="49103" spans="1:4" ht="15.75" customHeight="1">
      <c r="A49103" s="8"/>
      <c r="B49103" s="12"/>
      <c r="C49103" s="8"/>
      <c r="D49103" s="8"/>
    </row>
    <row r="49104" spans="1:4" ht="15.75" customHeight="1">
      <c r="A49104" s="8"/>
      <c r="B49104" s="12"/>
      <c r="C49104" s="8"/>
      <c r="D49104" s="8"/>
    </row>
    <row r="49105" spans="1:4" ht="15.75" customHeight="1">
      <c r="A49105" s="8"/>
      <c r="B49105" s="12"/>
      <c r="C49105" s="8"/>
      <c r="D49105" s="8"/>
    </row>
    <row r="49106" spans="1:4" ht="15.75" customHeight="1">
      <c r="A49106" s="8"/>
      <c r="B49106" s="12"/>
      <c r="C49106" s="8"/>
      <c r="D49106" s="8"/>
    </row>
    <row r="49107" spans="1:4" ht="15.75" customHeight="1">
      <c r="A49107" s="8"/>
      <c r="B49107" s="12"/>
      <c r="C49107" s="8"/>
      <c r="D49107" s="8"/>
    </row>
    <row r="49108" spans="1:4" ht="15.75" customHeight="1">
      <c r="A49108" s="8"/>
      <c r="B49108" s="12"/>
      <c r="C49108" s="8"/>
      <c r="D49108" s="8"/>
    </row>
    <row r="49109" spans="1:4" ht="15.75" customHeight="1">
      <c r="A49109" s="8"/>
      <c r="B49109" s="12"/>
      <c r="C49109" s="8"/>
      <c r="D49109" s="8"/>
    </row>
    <row r="49110" spans="1:4" ht="15.75" customHeight="1">
      <c r="A49110" s="8"/>
      <c r="B49110" s="12"/>
      <c r="C49110" s="8"/>
      <c r="D49110" s="8"/>
    </row>
    <row r="49111" spans="1:4" ht="15.75" customHeight="1">
      <c r="A49111" s="8"/>
      <c r="B49111" s="12"/>
      <c r="C49111" s="8"/>
      <c r="D49111" s="8"/>
    </row>
    <row r="49112" spans="1:4" ht="15.75" customHeight="1">
      <c r="A49112" s="8"/>
      <c r="B49112" s="12"/>
      <c r="C49112" s="8"/>
      <c r="D49112" s="8"/>
    </row>
    <row r="49113" spans="1:4" ht="15.75" customHeight="1">
      <c r="A49113" s="8"/>
      <c r="B49113" s="12"/>
      <c r="C49113" s="8"/>
      <c r="D49113" s="8"/>
    </row>
    <row r="49114" spans="1:4" ht="15.75" customHeight="1">
      <c r="A49114" s="8"/>
      <c r="B49114" s="12"/>
      <c r="C49114" s="8"/>
      <c r="D49114" s="8"/>
    </row>
    <row r="49115" spans="1:4" ht="15.75" customHeight="1">
      <c r="A49115" s="8"/>
      <c r="B49115" s="12"/>
      <c r="C49115" s="8"/>
      <c r="D49115" s="8"/>
    </row>
    <row r="49116" spans="1:4" ht="15.75" customHeight="1">
      <c r="A49116" s="8"/>
      <c r="B49116" s="12"/>
      <c r="C49116" s="8"/>
      <c r="D49116" s="8"/>
    </row>
    <row r="49117" spans="1:4" ht="15.75" customHeight="1">
      <c r="A49117" s="8"/>
      <c r="B49117" s="12"/>
      <c r="C49117" s="8"/>
      <c r="D49117" s="8"/>
    </row>
    <row r="49118" spans="1:4" ht="15.75" customHeight="1">
      <c r="A49118" s="8"/>
      <c r="B49118" s="12"/>
      <c r="C49118" s="8"/>
      <c r="D49118" s="8"/>
    </row>
    <row r="49119" spans="1:4" ht="15.75" customHeight="1">
      <c r="A49119" s="8"/>
      <c r="B49119" s="12"/>
      <c r="C49119" s="8"/>
      <c r="D49119" s="8"/>
    </row>
    <row r="49120" spans="1:4" ht="15.75" customHeight="1">
      <c r="A49120" s="8"/>
      <c r="B49120" s="12"/>
      <c r="C49120" s="8"/>
      <c r="D49120" s="8"/>
    </row>
    <row r="49121" spans="1:4" ht="15.75" customHeight="1">
      <c r="A49121" s="8"/>
      <c r="B49121" s="12"/>
      <c r="C49121" s="8"/>
      <c r="D49121" s="8"/>
    </row>
    <row r="49122" spans="1:4" ht="15.75" customHeight="1">
      <c r="A49122" s="8"/>
      <c r="B49122" s="12"/>
      <c r="C49122" s="8"/>
      <c r="D49122" s="8"/>
    </row>
    <row r="49123" spans="1:4" ht="15.75" customHeight="1">
      <c r="A49123" s="8"/>
      <c r="B49123" s="12"/>
      <c r="C49123" s="8"/>
      <c r="D49123" s="8"/>
    </row>
    <row r="49124" spans="1:4" ht="15.75" customHeight="1">
      <c r="A49124" s="8"/>
      <c r="B49124" s="12"/>
      <c r="C49124" s="8"/>
      <c r="D49124" s="8"/>
    </row>
    <row r="49125" spans="1:4" ht="15.75" customHeight="1">
      <c r="A49125" s="8"/>
      <c r="B49125" s="12"/>
      <c r="C49125" s="8"/>
      <c r="D49125" s="8"/>
    </row>
    <row r="49126" spans="1:4" ht="15.75" customHeight="1">
      <c r="A49126" s="8"/>
      <c r="B49126" s="12"/>
      <c r="C49126" s="8"/>
      <c r="D49126" s="8"/>
    </row>
    <row r="49127" spans="1:4" ht="15.75" customHeight="1">
      <c r="A49127" s="8"/>
      <c r="B49127" s="12"/>
      <c r="C49127" s="8"/>
      <c r="D49127" s="8"/>
    </row>
    <row r="49128" spans="1:4" ht="15.75" customHeight="1">
      <c r="A49128" s="8"/>
      <c r="B49128" s="12"/>
      <c r="C49128" s="8"/>
      <c r="D49128" s="8"/>
    </row>
    <row r="49129" spans="1:4" ht="15.75" customHeight="1">
      <c r="A49129" s="8"/>
      <c r="B49129" s="12"/>
      <c r="C49129" s="8"/>
      <c r="D49129" s="8"/>
    </row>
    <row r="49130" spans="1:4" ht="15.75" customHeight="1">
      <c r="A49130" s="8"/>
      <c r="B49130" s="12"/>
      <c r="C49130" s="8"/>
      <c r="D49130" s="8"/>
    </row>
    <row r="49131" spans="1:4" ht="15.75" customHeight="1">
      <c r="A49131" s="8"/>
      <c r="B49131" s="12"/>
      <c r="C49131" s="8"/>
      <c r="D49131" s="8"/>
    </row>
    <row r="49132" spans="1:4" ht="15.75" customHeight="1">
      <c r="A49132" s="8"/>
      <c r="B49132" s="12"/>
      <c r="C49132" s="8"/>
      <c r="D49132" s="8"/>
    </row>
    <row r="49133" spans="1:4" ht="15.75" customHeight="1">
      <c r="A49133" s="8"/>
      <c r="B49133" s="12"/>
      <c r="C49133" s="8"/>
      <c r="D49133" s="8"/>
    </row>
    <row r="49134" spans="1:4" ht="15.75" customHeight="1">
      <c r="A49134" s="8"/>
      <c r="B49134" s="12"/>
      <c r="C49134" s="8"/>
      <c r="D49134" s="8"/>
    </row>
    <row r="49135" spans="1:4" ht="15.75" customHeight="1">
      <c r="A49135" s="8"/>
      <c r="B49135" s="12"/>
      <c r="C49135" s="8"/>
      <c r="D49135" s="8"/>
    </row>
    <row r="49136" spans="1:4" ht="15.75" customHeight="1">
      <c r="A49136" s="8"/>
      <c r="B49136" s="12"/>
      <c r="C49136" s="8"/>
      <c r="D49136" s="8"/>
    </row>
    <row r="49137" spans="1:4" ht="15.75" customHeight="1">
      <c r="A49137" s="8"/>
      <c r="B49137" s="12"/>
      <c r="C49137" s="8"/>
      <c r="D49137" s="8"/>
    </row>
    <row r="49138" spans="1:4" ht="15.75" customHeight="1">
      <c r="A49138" s="8"/>
      <c r="B49138" s="12"/>
      <c r="C49138" s="8"/>
      <c r="D49138" s="8"/>
    </row>
    <row r="49139" spans="1:4" ht="15.75" customHeight="1">
      <c r="A49139" s="8"/>
      <c r="B49139" s="12"/>
      <c r="C49139" s="8"/>
      <c r="D49139" s="8"/>
    </row>
    <row r="49140" spans="1:4" ht="15.75" customHeight="1">
      <c r="A49140" s="8"/>
      <c r="B49140" s="12"/>
      <c r="C49140" s="8"/>
      <c r="D49140" s="8"/>
    </row>
    <row r="49141" spans="1:4" ht="15.75" customHeight="1">
      <c r="A49141" s="8"/>
      <c r="B49141" s="12"/>
      <c r="C49141" s="8"/>
      <c r="D49141" s="8"/>
    </row>
    <row r="49142" spans="1:4" ht="15.75" customHeight="1">
      <c r="A49142" s="8"/>
      <c r="B49142" s="12"/>
      <c r="C49142" s="8"/>
      <c r="D49142" s="8"/>
    </row>
    <row r="49143" spans="1:4" ht="15.75" customHeight="1">
      <c r="A49143" s="8"/>
      <c r="B49143" s="12"/>
      <c r="C49143" s="8"/>
      <c r="D49143" s="8"/>
    </row>
    <row r="49144" spans="1:4" ht="15.75" customHeight="1">
      <c r="A49144" s="8"/>
      <c r="B49144" s="12"/>
      <c r="C49144" s="8"/>
      <c r="D49144" s="8"/>
    </row>
    <row r="49145" spans="1:4" ht="15.75" customHeight="1">
      <c r="A49145" s="8"/>
      <c r="B49145" s="12"/>
      <c r="C49145" s="8"/>
      <c r="D49145" s="8"/>
    </row>
    <row r="49146" spans="1:4" ht="15.75" customHeight="1">
      <c r="A49146" s="8"/>
      <c r="B49146" s="12"/>
      <c r="C49146" s="8"/>
      <c r="D49146" s="8"/>
    </row>
    <row r="49147" spans="1:4" ht="15.75" customHeight="1">
      <c r="A49147" s="8"/>
      <c r="B49147" s="12"/>
      <c r="C49147" s="8"/>
      <c r="D49147" s="8"/>
    </row>
    <row r="49148" spans="1:4" ht="15.75" customHeight="1">
      <c r="A49148" s="8"/>
      <c r="B49148" s="12"/>
      <c r="C49148" s="8"/>
      <c r="D49148" s="8"/>
    </row>
    <row r="49149" spans="1:4" ht="15.75" customHeight="1">
      <c r="A49149" s="8"/>
      <c r="B49149" s="12"/>
      <c r="C49149" s="8"/>
      <c r="D49149" s="8"/>
    </row>
    <row r="49150" spans="1:4" ht="15.75" customHeight="1">
      <c r="A49150" s="8"/>
      <c r="B49150" s="12"/>
      <c r="C49150" s="8"/>
      <c r="D49150" s="8"/>
    </row>
    <row r="49151" spans="1:4" ht="15.75" customHeight="1">
      <c r="A49151" s="8"/>
      <c r="B49151" s="12"/>
      <c r="C49151" s="8"/>
      <c r="D49151" s="8"/>
    </row>
    <row r="49152" spans="1:4" ht="15.75" customHeight="1">
      <c r="A49152" s="8"/>
      <c r="B49152" s="12"/>
      <c r="C49152" s="8"/>
      <c r="D49152" s="8"/>
    </row>
    <row r="49153" spans="1:4" ht="15.75" customHeight="1">
      <c r="A49153" s="8"/>
      <c r="B49153" s="12"/>
      <c r="C49153" s="8"/>
      <c r="D49153" s="8"/>
    </row>
    <row r="49154" spans="1:4" ht="15.75" customHeight="1">
      <c r="A49154" s="8"/>
      <c r="B49154" s="12"/>
      <c r="C49154" s="8"/>
      <c r="D49154" s="8"/>
    </row>
    <row r="49155" spans="1:4" ht="15.75" customHeight="1">
      <c r="A49155" s="8"/>
      <c r="B49155" s="12"/>
      <c r="C49155" s="8"/>
      <c r="D49155" s="8"/>
    </row>
    <row r="49156" spans="1:4" ht="15.75" customHeight="1">
      <c r="A49156" s="8"/>
      <c r="B49156" s="12"/>
      <c r="C49156" s="8"/>
      <c r="D49156" s="8"/>
    </row>
    <row r="49157" spans="1:4" ht="15.75" customHeight="1">
      <c r="A49157" s="8"/>
      <c r="B49157" s="12"/>
      <c r="C49157" s="8"/>
      <c r="D49157" s="8"/>
    </row>
    <row r="49158" spans="1:4" ht="15.75" customHeight="1">
      <c r="A49158" s="8"/>
      <c r="B49158" s="12"/>
      <c r="C49158" s="8"/>
      <c r="D49158" s="8"/>
    </row>
    <row r="49159" spans="1:4" ht="15.75" customHeight="1">
      <c r="A49159" s="8"/>
      <c r="B49159" s="12"/>
      <c r="C49159" s="8"/>
      <c r="D49159" s="8"/>
    </row>
    <row r="49160" spans="1:4" ht="15.75" customHeight="1">
      <c r="A49160" s="8"/>
      <c r="B49160" s="12"/>
      <c r="C49160" s="8"/>
      <c r="D49160" s="8"/>
    </row>
    <row r="49161" spans="1:4" ht="15.75" customHeight="1">
      <c r="A49161" s="8"/>
      <c r="B49161" s="12"/>
      <c r="C49161" s="8"/>
      <c r="D49161" s="8"/>
    </row>
    <row r="49162" spans="1:4" ht="15.75" customHeight="1">
      <c r="A49162" s="8"/>
      <c r="B49162" s="12"/>
      <c r="C49162" s="8"/>
      <c r="D49162" s="8"/>
    </row>
    <row r="49163" spans="1:4" ht="15.75" customHeight="1">
      <c r="A49163" s="8"/>
      <c r="B49163" s="12"/>
      <c r="C49163" s="8"/>
      <c r="D49163" s="8"/>
    </row>
    <row r="49164" spans="1:4" ht="15.75" customHeight="1">
      <c r="A49164" s="8"/>
      <c r="B49164" s="12"/>
      <c r="C49164" s="8"/>
      <c r="D49164" s="8"/>
    </row>
    <row r="49165" spans="1:4" ht="15.75" customHeight="1">
      <c r="A49165" s="8"/>
      <c r="B49165" s="12"/>
      <c r="C49165" s="8"/>
      <c r="D49165" s="8"/>
    </row>
    <row r="49166" spans="1:4" ht="15.75" customHeight="1">
      <c r="A49166" s="8"/>
      <c r="B49166" s="12"/>
      <c r="C49166" s="8"/>
      <c r="D49166" s="8"/>
    </row>
    <row r="49167" spans="1:4" ht="15.75" customHeight="1">
      <c r="A49167" s="8"/>
      <c r="B49167" s="12"/>
      <c r="C49167" s="8"/>
      <c r="D49167" s="8"/>
    </row>
    <row r="49168" spans="1:4" ht="15.75" customHeight="1">
      <c r="A49168" s="8"/>
      <c r="B49168" s="12"/>
      <c r="C49168" s="8"/>
      <c r="D49168" s="8"/>
    </row>
    <row r="49169" spans="1:4" ht="15.75" customHeight="1">
      <c r="A49169" s="8"/>
      <c r="B49169" s="12"/>
      <c r="C49169" s="8"/>
      <c r="D49169" s="8"/>
    </row>
    <row r="49170" spans="1:4" ht="15.75" customHeight="1">
      <c r="A49170" s="8"/>
      <c r="B49170" s="12"/>
      <c r="C49170" s="8"/>
      <c r="D49170" s="8"/>
    </row>
    <row r="49171" spans="1:4" ht="15.75" customHeight="1">
      <c r="A49171" s="8"/>
      <c r="B49171" s="12"/>
      <c r="C49171" s="8"/>
      <c r="D49171" s="8"/>
    </row>
    <row r="49172" spans="1:4" ht="15.75" customHeight="1">
      <c r="A49172" s="8"/>
      <c r="B49172" s="12"/>
      <c r="C49172" s="8"/>
      <c r="D49172" s="8"/>
    </row>
    <row r="49173" spans="1:4" ht="15.75" customHeight="1">
      <c r="A49173" s="8"/>
      <c r="B49173" s="12"/>
      <c r="C49173" s="8"/>
      <c r="D49173" s="8"/>
    </row>
    <row r="49174" spans="1:4" ht="15.75" customHeight="1">
      <c r="A49174" s="8"/>
      <c r="B49174" s="12"/>
      <c r="C49174" s="8"/>
      <c r="D49174" s="8"/>
    </row>
    <row r="49175" spans="1:4" ht="15.75" customHeight="1">
      <c r="A49175" s="8"/>
      <c r="B49175" s="12"/>
      <c r="C49175" s="8"/>
      <c r="D49175" s="8"/>
    </row>
    <row r="49176" spans="1:4" ht="15.75" customHeight="1">
      <c r="A49176" s="8"/>
      <c r="B49176" s="12"/>
      <c r="C49176" s="8"/>
      <c r="D49176" s="8"/>
    </row>
    <row r="49177" spans="1:4" ht="15.75" customHeight="1">
      <c r="A49177" s="8"/>
      <c r="B49177" s="12"/>
      <c r="C49177" s="8"/>
      <c r="D49177" s="8"/>
    </row>
    <row r="49178" spans="1:4" ht="15.75" customHeight="1">
      <c r="A49178" s="8"/>
      <c r="B49178" s="12"/>
      <c r="C49178" s="8"/>
      <c r="D49178" s="8"/>
    </row>
    <row r="49179" spans="1:4" ht="15.75" customHeight="1">
      <c r="A49179" s="8"/>
      <c r="B49179" s="12"/>
      <c r="C49179" s="8"/>
      <c r="D49179" s="8"/>
    </row>
    <row r="49180" spans="1:4" ht="15.75" customHeight="1">
      <c r="A49180" s="8"/>
      <c r="B49180" s="12"/>
      <c r="C49180" s="8"/>
      <c r="D49180" s="8"/>
    </row>
    <row r="49181" spans="1:4" ht="15.75" customHeight="1">
      <c r="A49181" s="8"/>
      <c r="B49181" s="12"/>
      <c r="C49181" s="8"/>
      <c r="D49181" s="8"/>
    </row>
    <row r="49182" spans="1:4" ht="15.75" customHeight="1">
      <c r="A49182" s="8"/>
      <c r="B49182" s="12"/>
      <c r="C49182" s="8"/>
      <c r="D49182" s="8"/>
    </row>
    <row r="49183" spans="1:4" ht="15.75" customHeight="1">
      <c r="A49183" s="8"/>
      <c r="B49183" s="12"/>
      <c r="C49183" s="8"/>
      <c r="D49183" s="8"/>
    </row>
    <row r="49184" spans="1:4" ht="15.75" customHeight="1">
      <c r="A49184" s="8"/>
      <c r="B49184" s="12"/>
      <c r="C49184" s="8"/>
      <c r="D49184" s="8"/>
    </row>
    <row r="49185" spans="1:4" ht="15.75" customHeight="1">
      <c r="A49185" s="8"/>
      <c r="B49185" s="12"/>
      <c r="C49185" s="8"/>
      <c r="D49185" s="8"/>
    </row>
    <row r="49186" spans="1:4" ht="15.75" customHeight="1">
      <c r="A49186" s="8"/>
      <c r="B49186" s="12"/>
      <c r="C49186" s="8"/>
      <c r="D49186" s="8"/>
    </row>
    <row r="49187" spans="1:4" ht="15.75" customHeight="1">
      <c r="A49187" s="8"/>
      <c r="B49187" s="12"/>
      <c r="C49187" s="8"/>
      <c r="D49187" s="8"/>
    </row>
    <row r="49188" spans="1:4" ht="15.75" customHeight="1">
      <c r="A49188" s="8"/>
      <c r="B49188" s="12"/>
      <c r="C49188" s="8"/>
      <c r="D49188" s="8"/>
    </row>
    <row r="49189" spans="1:4" ht="15.75" customHeight="1">
      <c r="A49189" s="8"/>
      <c r="B49189" s="12"/>
      <c r="C49189" s="8"/>
      <c r="D49189" s="8"/>
    </row>
    <row r="49190" spans="1:4" ht="15.75" customHeight="1">
      <c r="A49190" s="8"/>
      <c r="B49190" s="12"/>
      <c r="C49190" s="8"/>
      <c r="D49190" s="8"/>
    </row>
    <row r="49191" spans="1:4" ht="15.75" customHeight="1">
      <c r="A49191" s="8"/>
      <c r="B49191" s="12"/>
      <c r="C49191" s="8"/>
      <c r="D49191" s="8"/>
    </row>
    <row r="49192" spans="1:4" ht="15.75" customHeight="1">
      <c r="A49192" s="8"/>
      <c r="B49192" s="12"/>
      <c r="C49192" s="8"/>
      <c r="D49192" s="8"/>
    </row>
    <row r="49193" spans="1:4" ht="15.75" customHeight="1">
      <c r="A49193" s="8"/>
      <c r="B49193" s="12"/>
      <c r="C49193" s="8"/>
      <c r="D49193" s="8"/>
    </row>
    <row r="49194" spans="1:4" ht="15.75" customHeight="1">
      <c r="A49194" s="8"/>
      <c r="B49194" s="12"/>
      <c r="C49194" s="8"/>
      <c r="D49194" s="8"/>
    </row>
    <row r="49195" spans="1:4" ht="15.75" customHeight="1">
      <c r="A49195" s="8"/>
      <c r="B49195" s="12"/>
      <c r="C49195" s="8"/>
      <c r="D49195" s="8"/>
    </row>
    <row r="49196" spans="1:4" ht="15.75" customHeight="1">
      <c r="A49196" s="8"/>
      <c r="B49196" s="12"/>
      <c r="C49196" s="8"/>
      <c r="D49196" s="8"/>
    </row>
    <row r="49197" spans="1:4" ht="15.75" customHeight="1">
      <c r="A49197" s="8"/>
      <c r="B49197" s="12"/>
      <c r="C49197" s="8"/>
      <c r="D49197" s="8"/>
    </row>
    <row r="49198" spans="1:4" ht="15.75" customHeight="1">
      <c r="A49198" s="8"/>
      <c r="B49198" s="12"/>
      <c r="C49198" s="8"/>
      <c r="D49198" s="8"/>
    </row>
    <row r="49199" spans="1:4" ht="15.75" customHeight="1">
      <c r="A49199" s="8"/>
      <c r="B49199" s="12"/>
      <c r="C49199" s="8"/>
      <c r="D49199" s="8"/>
    </row>
    <row r="49200" spans="1:4" ht="15.75" customHeight="1">
      <c r="A49200" s="8"/>
      <c r="B49200" s="12"/>
      <c r="C49200" s="8"/>
      <c r="D49200" s="8"/>
    </row>
    <row r="49201" spans="1:4" ht="15.75" customHeight="1">
      <c r="A49201" s="8"/>
      <c r="B49201" s="12"/>
      <c r="C49201" s="8"/>
      <c r="D49201" s="8"/>
    </row>
    <row r="49202" spans="1:4" ht="15.75" customHeight="1">
      <c r="A49202" s="8"/>
      <c r="B49202" s="12"/>
      <c r="C49202" s="8"/>
      <c r="D49202" s="8"/>
    </row>
    <row r="49203" spans="1:4" ht="15.75" customHeight="1">
      <c r="A49203" s="8"/>
      <c r="B49203" s="12"/>
      <c r="C49203" s="8"/>
      <c r="D49203" s="8"/>
    </row>
    <row r="49204" spans="1:4" ht="15.75" customHeight="1">
      <c r="A49204" s="8"/>
      <c r="B49204" s="12"/>
      <c r="C49204" s="8"/>
      <c r="D49204" s="8"/>
    </row>
    <row r="49205" spans="1:4" ht="15.75" customHeight="1">
      <c r="A49205" s="8"/>
      <c r="B49205" s="12"/>
      <c r="C49205" s="8"/>
      <c r="D49205" s="8"/>
    </row>
    <row r="49206" spans="1:4" ht="15.75" customHeight="1">
      <c r="A49206" s="8"/>
      <c r="B49206" s="12"/>
      <c r="C49206" s="8"/>
      <c r="D49206" s="8"/>
    </row>
    <row r="49207" spans="1:4" ht="15.75" customHeight="1">
      <c r="A49207" s="8"/>
      <c r="B49207" s="12"/>
      <c r="C49207" s="8"/>
      <c r="D49207" s="8"/>
    </row>
    <row r="49208" spans="1:4" ht="15.75" customHeight="1">
      <c r="A49208" s="8"/>
      <c r="B49208" s="12"/>
      <c r="C49208" s="8"/>
      <c r="D49208" s="8"/>
    </row>
    <row r="49209" spans="1:4" ht="15.75" customHeight="1">
      <c r="A49209" s="8"/>
      <c r="B49209" s="12"/>
      <c r="C49209" s="8"/>
      <c r="D49209" s="8"/>
    </row>
    <row r="49210" spans="1:4" ht="15.75" customHeight="1">
      <c r="A49210" s="8"/>
      <c r="B49210" s="12"/>
      <c r="C49210" s="8"/>
      <c r="D49210" s="8"/>
    </row>
    <row r="49211" spans="1:4" ht="15.75" customHeight="1">
      <c r="A49211" s="8"/>
      <c r="B49211" s="12"/>
      <c r="C49211" s="8"/>
      <c r="D49211" s="8"/>
    </row>
    <row r="49212" spans="1:4" ht="15.75" customHeight="1">
      <c r="A49212" s="8"/>
      <c r="B49212" s="12"/>
      <c r="C49212" s="8"/>
      <c r="D49212" s="8"/>
    </row>
    <row r="49213" spans="1:4" ht="15.75" customHeight="1">
      <c r="A49213" s="8"/>
      <c r="B49213" s="12"/>
      <c r="C49213" s="8"/>
      <c r="D49213" s="8"/>
    </row>
    <row r="49214" spans="1:4" ht="15.75" customHeight="1">
      <c r="A49214" s="8"/>
      <c r="B49214" s="12"/>
      <c r="C49214" s="8"/>
      <c r="D49214" s="8"/>
    </row>
    <row r="49215" spans="1:4" ht="15.75" customHeight="1">
      <c r="A49215" s="8"/>
      <c r="B49215" s="12"/>
      <c r="C49215" s="8"/>
      <c r="D49215" s="8"/>
    </row>
    <row r="49216" spans="1:4" ht="15.75" customHeight="1">
      <c r="A49216" s="8"/>
      <c r="B49216" s="12"/>
      <c r="C49216" s="8"/>
      <c r="D49216" s="8"/>
    </row>
    <row r="49217" spans="1:4" ht="15.75" customHeight="1">
      <c r="A49217" s="8"/>
      <c r="B49217" s="12"/>
      <c r="C49217" s="8"/>
      <c r="D49217" s="8"/>
    </row>
    <row r="49218" spans="1:4" ht="15.75" customHeight="1">
      <c r="A49218" s="8"/>
      <c r="B49218" s="12"/>
      <c r="C49218" s="8"/>
      <c r="D49218" s="8"/>
    </row>
    <row r="49219" spans="1:4" ht="15.75" customHeight="1">
      <c r="A49219" s="8"/>
      <c r="B49219" s="12"/>
      <c r="C49219" s="8"/>
      <c r="D49219" s="8"/>
    </row>
    <row r="49220" spans="1:4" ht="15.75" customHeight="1">
      <c r="A49220" s="8"/>
      <c r="B49220" s="12"/>
      <c r="C49220" s="8"/>
      <c r="D49220" s="8"/>
    </row>
    <row r="49221" spans="1:4" ht="15.75" customHeight="1">
      <c r="A49221" s="8"/>
      <c r="B49221" s="12"/>
      <c r="C49221" s="8"/>
      <c r="D49221" s="8"/>
    </row>
    <row r="49222" spans="1:4" ht="15.75" customHeight="1">
      <c r="A49222" s="8"/>
      <c r="B49222" s="12"/>
      <c r="C49222" s="8"/>
      <c r="D49222" s="8"/>
    </row>
    <row r="49223" spans="1:4" ht="15.75" customHeight="1">
      <c r="A49223" s="8"/>
      <c r="B49223" s="12"/>
      <c r="C49223" s="8"/>
      <c r="D49223" s="8"/>
    </row>
    <row r="49224" spans="1:4" ht="15.75" customHeight="1">
      <c r="A49224" s="8"/>
      <c r="B49224" s="12"/>
      <c r="C49224" s="8"/>
      <c r="D49224" s="8"/>
    </row>
    <row r="49225" spans="1:4" ht="15.75" customHeight="1">
      <c r="A49225" s="8"/>
      <c r="B49225" s="12"/>
      <c r="C49225" s="8"/>
      <c r="D49225" s="8"/>
    </row>
    <row r="49226" spans="1:4" ht="15.75" customHeight="1">
      <c r="A49226" s="8"/>
      <c r="B49226" s="12"/>
      <c r="C49226" s="8"/>
      <c r="D49226" s="8"/>
    </row>
    <row r="49227" spans="1:4" ht="15.75" customHeight="1">
      <c r="A49227" s="8"/>
      <c r="B49227" s="12"/>
      <c r="C49227" s="8"/>
      <c r="D49227" s="8"/>
    </row>
    <row r="49228" spans="1:4" ht="15.75" customHeight="1">
      <c r="A49228" s="8"/>
      <c r="B49228" s="12"/>
      <c r="C49228" s="8"/>
      <c r="D49228" s="8"/>
    </row>
    <row r="49229" spans="1:4" ht="15.75" customHeight="1">
      <c r="A49229" s="8"/>
      <c r="B49229" s="12"/>
      <c r="C49229" s="8"/>
      <c r="D49229" s="8"/>
    </row>
    <row r="49230" spans="1:4" ht="15.75" customHeight="1">
      <c r="A49230" s="8"/>
      <c r="B49230" s="12"/>
      <c r="C49230" s="8"/>
      <c r="D49230" s="8"/>
    </row>
    <row r="49231" spans="1:4" ht="15.75" customHeight="1">
      <c r="A49231" s="8"/>
      <c r="B49231" s="12"/>
      <c r="C49231" s="8"/>
      <c r="D49231" s="8"/>
    </row>
    <row r="49232" spans="1:4" ht="15.75" customHeight="1">
      <c r="A49232" s="8"/>
      <c r="B49232" s="12"/>
      <c r="C49232" s="8"/>
      <c r="D49232" s="8"/>
    </row>
    <row r="49233" spans="1:4" ht="15.75" customHeight="1">
      <c r="A49233" s="8"/>
      <c r="B49233" s="12"/>
      <c r="C49233" s="8"/>
      <c r="D49233" s="8"/>
    </row>
    <row r="49234" spans="1:4" ht="15.75" customHeight="1">
      <c r="A49234" s="8"/>
      <c r="B49234" s="12"/>
      <c r="C49234" s="8"/>
      <c r="D49234" s="8"/>
    </row>
    <row r="49235" spans="1:4" ht="15.75" customHeight="1">
      <c r="A49235" s="8"/>
      <c r="B49235" s="12"/>
      <c r="C49235" s="8"/>
      <c r="D49235" s="8"/>
    </row>
    <row r="49236" spans="1:4" ht="15.75" customHeight="1">
      <c r="A49236" s="8"/>
      <c r="B49236" s="12"/>
      <c r="C49236" s="8"/>
      <c r="D49236" s="8"/>
    </row>
    <row r="49237" spans="1:4" ht="15.75" customHeight="1">
      <c r="A49237" s="8"/>
      <c r="B49237" s="12"/>
      <c r="C49237" s="8"/>
      <c r="D49237" s="8"/>
    </row>
    <row r="49238" spans="1:4" ht="15.75" customHeight="1">
      <c r="A49238" s="8"/>
      <c r="B49238" s="12"/>
      <c r="C49238" s="8"/>
      <c r="D49238" s="8"/>
    </row>
    <row r="49239" spans="1:4" ht="15.75" customHeight="1">
      <c r="A49239" s="8"/>
      <c r="B49239" s="12"/>
      <c r="C49239" s="8"/>
      <c r="D49239" s="8"/>
    </row>
    <row r="49240" spans="1:4" ht="15.75" customHeight="1">
      <c r="A49240" s="8"/>
      <c r="B49240" s="12"/>
      <c r="C49240" s="8"/>
      <c r="D49240" s="8"/>
    </row>
    <row r="49241" spans="1:4" ht="15.75" customHeight="1">
      <c r="A49241" s="8"/>
      <c r="B49241" s="12"/>
      <c r="C49241" s="8"/>
      <c r="D49241" s="8"/>
    </row>
    <row r="49242" spans="1:4" ht="15.75" customHeight="1">
      <c r="A49242" s="8"/>
      <c r="B49242" s="12"/>
      <c r="C49242" s="8"/>
      <c r="D49242" s="8"/>
    </row>
    <row r="49243" spans="1:4" ht="15.75" customHeight="1">
      <c r="A49243" s="8"/>
      <c r="B49243" s="12"/>
      <c r="C49243" s="8"/>
      <c r="D49243" s="8"/>
    </row>
    <row r="49244" spans="1:4" ht="15.75" customHeight="1">
      <c r="A49244" s="8"/>
      <c r="B49244" s="12"/>
      <c r="C49244" s="8"/>
      <c r="D49244" s="8"/>
    </row>
    <row r="49245" spans="1:4" ht="15.75" customHeight="1">
      <c r="A49245" s="8"/>
      <c r="B49245" s="12"/>
      <c r="C49245" s="8"/>
      <c r="D49245" s="8"/>
    </row>
    <row r="49246" spans="1:4" ht="15.75" customHeight="1">
      <c r="A49246" s="8"/>
      <c r="B49246" s="12"/>
      <c r="C49246" s="8"/>
      <c r="D49246" s="8"/>
    </row>
    <row r="49247" spans="1:4" ht="15.75" customHeight="1">
      <c r="A49247" s="8"/>
      <c r="B49247" s="12"/>
      <c r="C49247" s="8"/>
      <c r="D49247" s="8"/>
    </row>
    <row r="49248" spans="1:4" ht="15.75" customHeight="1">
      <c r="A49248" s="8"/>
      <c r="B49248" s="12"/>
      <c r="C49248" s="8"/>
      <c r="D49248" s="8"/>
    </row>
    <row r="49249" spans="1:4" ht="15.75" customHeight="1">
      <c r="A49249" s="8"/>
      <c r="B49249" s="12"/>
      <c r="C49249" s="8"/>
      <c r="D49249" s="8"/>
    </row>
    <row r="49250" spans="1:4" ht="15.75" customHeight="1">
      <c r="A49250" s="8"/>
      <c r="B49250" s="12"/>
      <c r="C49250" s="8"/>
      <c r="D49250" s="8"/>
    </row>
    <row r="49251" spans="1:4" ht="15.75" customHeight="1">
      <c r="A49251" s="8"/>
      <c r="B49251" s="12"/>
      <c r="C49251" s="8"/>
      <c r="D49251" s="8"/>
    </row>
    <row r="49252" spans="1:4" ht="15.75" customHeight="1">
      <c r="A49252" s="8"/>
      <c r="B49252" s="12"/>
      <c r="C49252" s="8"/>
      <c r="D49252" s="8"/>
    </row>
    <row r="49253" spans="1:4" ht="15.75" customHeight="1">
      <c r="A49253" s="8"/>
      <c r="B49253" s="12"/>
      <c r="C49253" s="8"/>
      <c r="D49253" s="8"/>
    </row>
    <row r="49254" spans="1:4" ht="15.75" customHeight="1">
      <c r="A49254" s="8"/>
      <c r="B49254" s="12"/>
      <c r="C49254" s="8"/>
      <c r="D49254" s="8"/>
    </row>
    <row r="49255" spans="1:4" ht="15.75" customHeight="1">
      <c r="A49255" s="8"/>
      <c r="B49255" s="12"/>
      <c r="C49255" s="8"/>
      <c r="D49255" s="8"/>
    </row>
    <row r="49256" spans="1:4" ht="15.75" customHeight="1">
      <c r="A49256" s="8"/>
      <c r="B49256" s="12"/>
      <c r="C49256" s="8"/>
      <c r="D49256" s="8"/>
    </row>
    <row r="49257" spans="1:4" ht="15.75" customHeight="1">
      <c r="A49257" s="8"/>
      <c r="B49257" s="12"/>
      <c r="C49257" s="8"/>
      <c r="D49257" s="8"/>
    </row>
    <row r="49258" spans="1:4" ht="15.75" customHeight="1">
      <c r="A49258" s="8"/>
      <c r="B49258" s="12"/>
      <c r="C49258" s="8"/>
      <c r="D49258" s="8"/>
    </row>
    <row r="49259" spans="1:4" ht="15.75" customHeight="1">
      <c r="A49259" s="8"/>
      <c r="B49259" s="12"/>
      <c r="C49259" s="8"/>
      <c r="D49259" s="8"/>
    </row>
    <row r="49260" spans="1:4" ht="15.75" customHeight="1">
      <c r="A49260" s="8"/>
      <c r="B49260" s="12"/>
      <c r="C49260" s="8"/>
      <c r="D49260" s="8"/>
    </row>
    <row r="49261" spans="1:4" ht="15.75" customHeight="1">
      <c r="A49261" s="8"/>
      <c r="B49261" s="12"/>
      <c r="C49261" s="8"/>
      <c r="D49261" s="8"/>
    </row>
    <row r="49262" spans="1:4" ht="15.75" customHeight="1">
      <c r="A49262" s="8"/>
      <c r="B49262" s="12"/>
      <c r="C49262" s="8"/>
      <c r="D49262" s="8"/>
    </row>
    <row r="49263" spans="1:4" ht="15.75" customHeight="1">
      <c r="A49263" s="8"/>
      <c r="B49263" s="12"/>
      <c r="C49263" s="8"/>
      <c r="D49263" s="8"/>
    </row>
    <row r="49264" spans="1:4" ht="15.75" customHeight="1">
      <c r="A49264" s="8"/>
      <c r="B49264" s="12"/>
      <c r="C49264" s="8"/>
      <c r="D49264" s="8"/>
    </row>
    <row r="49265" spans="1:4" ht="15.75" customHeight="1">
      <c r="A49265" s="8"/>
      <c r="B49265" s="12"/>
      <c r="C49265" s="8"/>
      <c r="D49265" s="8"/>
    </row>
    <row r="49266" spans="1:4" ht="15.75" customHeight="1">
      <c r="A49266" s="8"/>
      <c r="B49266" s="12"/>
      <c r="C49266" s="8"/>
      <c r="D49266" s="8"/>
    </row>
    <row r="49267" spans="1:4" ht="15.75" customHeight="1">
      <c r="A49267" s="8"/>
      <c r="B49267" s="12"/>
      <c r="C49267" s="8"/>
      <c r="D49267" s="8"/>
    </row>
    <row r="49268" spans="1:4" ht="15.75" customHeight="1">
      <c r="A49268" s="8"/>
      <c r="B49268" s="12"/>
      <c r="C49268" s="8"/>
      <c r="D49268" s="8"/>
    </row>
    <row r="49269" spans="1:4" ht="15.75" customHeight="1">
      <c r="A49269" s="8"/>
      <c r="B49269" s="12"/>
      <c r="C49269" s="8"/>
      <c r="D49269" s="8"/>
    </row>
    <row r="49270" spans="1:4" ht="15.75" customHeight="1">
      <c r="A49270" s="8"/>
      <c r="B49270" s="12"/>
      <c r="C49270" s="8"/>
      <c r="D49270" s="8"/>
    </row>
    <row r="49271" spans="1:4" ht="15.75" customHeight="1">
      <c r="A49271" s="8"/>
      <c r="B49271" s="12"/>
      <c r="C49271" s="8"/>
      <c r="D49271" s="8"/>
    </row>
    <row r="49272" spans="1:4" ht="15.75" customHeight="1">
      <c r="A49272" s="8"/>
      <c r="B49272" s="12"/>
      <c r="C49272" s="8"/>
      <c r="D49272" s="8"/>
    </row>
    <row r="49273" spans="1:4" ht="15.75" customHeight="1">
      <c r="A49273" s="8"/>
      <c r="B49273" s="12"/>
      <c r="C49273" s="8"/>
      <c r="D49273" s="8"/>
    </row>
    <row r="49274" spans="1:4" ht="15.75" customHeight="1">
      <c r="A49274" s="8"/>
      <c r="B49274" s="12"/>
      <c r="C49274" s="8"/>
      <c r="D49274" s="8"/>
    </row>
    <row r="49275" spans="1:4" ht="15.75" customHeight="1">
      <c r="A49275" s="8"/>
      <c r="B49275" s="12"/>
      <c r="C49275" s="8"/>
      <c r="D49275" s="8"/>
    </row>
    <row r="49276" spans="1:4" ht="15.75" customHeight="1">
      <c r="A49276" s="8"/>
      <c r="B49276" s="12"/>
      <c r="C49276" s="8"/>
      <c r="D49276" s="8"/>
    </row>
    <row r="49277" spans="1:4" ht="15.75" customHeight="1">
      <c r="A49277" s="8"/>
      <c r="B49277" s="12"/>
      <c r="C49277" s="8"/>
      <c r="D49277" s="8"/>
    </row>
    <row r="49278" spans="1:4" ht="15.75" customHeight="1">
      <c r="A49278" s="8"/>
      <c r="B49278" s="12"/>
      <c r="C49278" s="8"/>
      <c r="D49278" s="8"/>
    </row>
    <row r="49279" spans="1:4" ht="15.75" customHeight="1">
      <c r="A49279" s="8"/>
      <c r="B49279" s="12"/>
      <c r="C49279" s="8"/>
      <c r="D49279" s="8"/>
    </row>
    <row r="49280" spans="1:4" ht="15.75" customHeight="1">
      <c r="A49280" s="8"/>
      <c r="B49280" s="12"/>
      <c r="C49280" s="8"/>
      <c r="D49280" s="8"/>
    </row>
    <row r="49281" spans="1:4" ht="15.75" customHeight="1">
      <c r="A49281" s="8"/>
      <c r="B49281" s="12"/>
      <c r="C49281" s="8"/>
      <c r="D49281" s="8"/>
    </row>
    <row r="49282" spans="1:4" ht="15.75" customHeight="1">
      <c r="A49282" s="8"/>
      <c r="B49282" s="12"/>
      <c r="C49282" s="8"/>
      <c r="D49282" s="8"/>
    </row>
    <row r="49283" spans="1:4" ht="15.75" customHeight="1">
      <c r="A49283" s="8"/>
      <c r="B49283" s="12"/>
      <c r="C49283" s="8"/>
      <c r="D49283" s="8"/>
    </row>
    <row r="49284" spans="1:4" ht="15.75" customHeight="1">
      <c r="A49284" s="8"/>
      <c r="B49284" s="12"/>
      <c r="C49284" s="8"/>
      <c r="D49284" s="8"/>
    </row>
    <row r="49285" spans="1:4" ht="15.75" customHeight="1">
      <c r="A49285" s="8"/>
      <c r="B49285" s="12"/>
      <c r="C49285" s="8"/>
      <c r="D49285" s="8"/>
    </row>
    <row r="49286" spans="1:4" ht="15.75" customHeight="1">
      <c r="A49286" s="8"/>
      <c r="B49286" s="12"/>
      <c r="C49286" s="8"/>
      <c r="D49286" s="8"/>
    </row>
    <row r="49287" spans="1:4" ht="15.75" customHeight="1">
      <c r="A49287" s="8"/>
      <c r="B49287" s="12"/>
      <c r="C49287" s="8"/>
      <c r="D49287" s="8"/>
    </row>
    <row r="49288" spans="1:4" ht="15.75" customHeight="1">
      <c r="A49288" s="8"/>
      <c r="B49288" s="12"/>
      <c r="C49288" s="8"/>
      <c r="D49288" s="8"/>
    </row>
    <row r="49289" spans="1:4" ht="15.75" customHeight="1">
      <c r="A49289" s="8"/>
      <c r="B49289" s="12"/>
      <c r="C49289" s="8"/>
      <c r="D49289" s="8"/>
    </row>
    <row r="49290" spans="1:4" ht="15.75" customHeight="1">
      <c r="A49290" s="8"/>
      <c r="B49290" s="12"/>
      <c r="C49290" s="8"/>
      <c r="D49290" s="8"/>
    </row>
    <row r="49291" spans="1:4" ht="15.75" customHeight="1">
      <c r="A49291" s="8"/>
      <c r="B49291" s="12"/>
      <c r="C49291" s="8"/>
      <c r="D49291" s="8"/>
    </row>
    <row r="49292" spans="1:4" ht="15.75" customHeight="1">
      <c r="A49292" s="8"/>
      <c r="B49292" s="12"/>
      <c r="C49292" s="8"/>
      <c r="D49292" s="8"/>
    </row>
    <row r="49293" spans="1:4" ht="15.75" customHeight="1">
      <c r="A49293" s="8"/>
      <c r="B49293" s="12"/>
      <c r="C49293" s="8"/>
      <c r="D49293" s="8"/>
    </row>
    <row r="49294" spans="1:4" ht="15.75" customHeight="1">
      <c r="A49294" s="8"/>
      <c r="B49294" s="12"/>
      <c r="C49294" s="8"/>
      <c r="D49294" s="8"/>
    </row>
    <row r="49295" spans="1:4" ht="15.75" customHeight="1">
      <c r="A49295" s="8"/>
      <c r="B49295" s="12"/>
      <c r="C49295" s="8"/>
      <c r="D49295" s="8"/>
    </row>
    <row r="49296" spans="1:4" ht="15.75" customHeight="1">
      <c r="A49296" s="8"/>
      <c r="B49296" s="12"/>
      <c r="C49296" s="8"/>
      <c r="D49296" s="8"/>
    </row>
    <row r="49297" spans="1:4" ht="15.75" customHeight="1">
      <c r="A49297" s="8"/>
      <c r="B49297" s="12"/>
      <c r="C49297" s="8"/>
      <c r="D49297" s="8"/>
    </row>
    <row r="49298" spans="1:4" ht="15.75" customHeight="1">
      <c r="A49298" s="8"/>
      <c r="B49298" s="12"/>
      <c r="C49298" s="8"/>
      <c r="D49298" s="8"/>
    </row>
    <row r="49299" spans="1:4" ht="15.75" customHeight="1">
      <c r="A49299" s="8"/>
      <c r="B49299" s="12"/>
      <c r="C49299" s="8"/>
      <c r="D49299" s="8"/>
    </row>
    <row r="49300" spans="1:4" ht="15.75" customHeight="1">
      <c r="A49300" s="8"/>
      <c r="B49300" s="12"/>
      <c r="C49300" s="8"/>
      <c r="D49300" s="8"/>
    </row>
    <row r="49301" spans="1:4" ht="15.75" customHeight="1">
      <c r="A49301" s="8"/>
      <c r="B49301" s="12"/>
      <c r="C49301" s="8"/>
      <c r="D49301" s="8"/>
    </row>
    <row r="49302" spans="1:4" ht="15.75" customHeight="1">
      <c r="A49302" s="8"/>
      <c r="B49302" s="12"/>
      <c r="C49302" s="8"/>
      <c r="D49302" s="8"/>
    </row>
    <row r="49303" spans="1:4" ht="15.75" customHeight="1">
      <c r="A49303" s="8"/>
      <c r="B49303" s="12"/>
      <c r="C49303" s="8"/>
      <c r="D49303" s="8"/>
    </row>
    <row r="49304" spans="1:4" ht="15.75" customHeight="1">
      <c r="A49304" s="8"/>
      <c r="B49304" s="12"/>
      <c r="C49304" s="8"/>
      <c r="D49304" s="8"/>
    </row>
    <row r="49305" spans="1:4" ht="15.75" customHeight="1">
      <c r="A49305" s="8"/>
      <c r="B49305" s="12"/>
      <c r="C49305" s="8"/>
      <c r="D49305" s="8"/>
    </row>
    <row r="49306" spans="1:4" ht="15.75" customHeight="1">
      <c r="A49306" s="8"/>
      <c r="B49306" s="12"/>
      <c r="C49306" s="8"/>
      <c r="D49306" s="8"/>
    </row>
    <row r="49307" spans="1:4" ht="15.75" customHeight="1">
      <c r="A49307" s="8"/>
      <c r="B49307" s="12"/>
      <c r="C49307" s="8"/>
      <c r="D49307" s="8"/>
    </row>
    <row r="49308" spans="1:4" ht="15.75" customHeight="1">
      <c r="A49308" s="8"/>
      <c r="B49308" s="12"/>
      <c r="C49308" s="8"/>
      <c r="D49308" s="8"/>
    </row>
    <row r="49309" spans="1:4" ht="15.75" customHeight="1">
      <c r="A49309" s="8"/>
      <c r="B49309" s="12"/>
      <c r="C49309" s="8"/>
      <c r="D49309" s="8"/>
    </row>
    <row r="49310" spans="1:4" ht="15.75" customHeight="1">
      <c r="A49310" s="8"/>
      <c r="B49310" s="12"/>
      <c r="C49310" s="8"/>
      <c r="D49310" s="8"/>
    </row>
    <row r="49311" spans="1:4" ht="15.75" customHeight="1">
      <c r="A49311" s="8"/>
      <c r="B49311" s="12"/>
      <c r="C49311" s="8"/>
      <c r="D49311" s="8"/>
    </row>
    <row r="49312" spans="1:4" ht="15.75" customHeight="1">
      <c r="A49312" s="8"/>
      <c r="B49312" s="12"/>
      <c r="C49312" s="8"/>
      <c r="D49312" s="8"/>
    </row>
    <row r="49313" spans="1:4" ht="15.75" customHeight="1">
      <c r="A49313" s="8"/>
      <c r="B49313" s="12"/>
      <c r="C49313" s="8"/>
      <c r="D49313" s="8"/>
    </row>
    <row r="49314" spans="1:4" ht="15.75" customHeight="1">
      <c r="A49314" s="8"/>
      <c r="B49314" s="12"/>
      <c r="C49314" s="8"/>
      <c r="D49314" s="8"/>
    </row>
    <row r="49315" spans="1:4" ht="15.75" customHeight="1">
      <c r="A49315" s="8"/>
      <c r="B49315" s="12"/>
      <c r="C49315" s="8"/>
      <c r="D49315" s="8"/>
    </row>
    <row r="49316" spans="1:4" ht="15.75" customHeight="1">
      <c r="A49316" s="8"/>
      <c r="B49316" s="12"/>
      <c r="C49316" s="8"/>
      <c r="D49316" s="8"/>
    </row>
    <row r="49317" spans="1:4" ht="15.75" customHeight="1">
      <c r="A49317" s="8"/>
      <c r="B49317" s="12"/>
      <c r="C49317" s="8"/>
      <c r="D49317" s="8"/>
    </row>
    <row r="49318" spans="1:4" ht="15.75" customHeight="1">
      <c r="A49318" s="8"/>
      <c r="B49318" s="12"/>
      <c r="C49318" s="8"/>
      <c r="D49318" s="8"/>
    </row>
    <row r="49319" spans="1:4" ht="15.75" customHeight="1">
      <c r="A49319" s="8"/>
      <c r="B49319" s="12"/>
      <c r="C49319" s="8"/>
      <c r="D49319" s="8"/>
    </row>
    <row r="49320" spans="1:4" ht="15.75" customHeight="1">
      <c r="A49320" s="8"/>
      <c r="B49320" s="12"/>
      <c r="C49320" s="8"/>
      <c r="D49320" s="8"/>
    </row>
    <row r="49321" spans="1:4" ht="15.75" customHeight="1">
      <c r="A49321" s="8"/>
      <c r="B49321" s="12"/>
      <c r="C49321" s="8"/>
      <c r="D49321" s="8"/>
    </row>
    <row r="49322" spans="1:4" ht="15.75" customHeight="1">
      <c r="A49322" s="8"/>
      <c r="B49322" s="12"/>
      <c r="C49322" s="8"/>
      <c r="D49322" s="8"/>
    </row>
    <row r="49323" spans="1:4" ht="15.75" customHeight="1">
      <c r="A49323" s="8"/>
      <c r="B49323" s="12"/>
      <c r="C49323" s="8"/>
      <c r="D49323" s="8"/>
    </row>
    <row r="49324" spans="1:4" ht="15.75" customHeight="1">
      <c r="A49324" s="8"/>
      <c r="B49324" s="12"/>
      <c r="C49324" s="8"/>
      <c r="D49324" s="8"/>
    </row>
    <row r="49325" spans="1:4" ht="15.75" customHeight="1">
      <c r="A49325" s="8"/>
      <c r="B49325" s="12"/>
      <c r="C49325" s="8"/>
      <c r="D49325" s="8"/>
    </row>
    <row r="49326" spans="1:4" ht="15.75" customHeight="1">
      <c r="A49326" s="8"/>
      <c r="B49326" s="12"/>
      <c r="C49326" s="8"/>
      <c r="D49326" s="8"/>
    </row>
    <row r="49327" spans="1:4" ht="15.75" customHeight="1">
      <c r="A49327" s="8"/>
      <c r="B49327" s="12"/>
      <c r="C49327" s="8"/>
      <c r="D49327" s="8"/>
    </row>
    <row r="49328" spans="1:4" ht="15.75" customHeight="1">
      <c r="A49328" s="8"/>
      <c r="B49328" s="12"/>
      <c r="C49328" s="8"/>
      <c r="D49328" s="8"/>
    </row>
    <row r="49329" spans="1:4" ht="15.75" customHeight="1">
      <c r="A49329" s="8"/>
      <c r="B49329" s="12"/>
      <c r="C49329" s="8"/>
      <c r="D49329" s="8"/>
    </row>
    <row r="49330" spans="1:4" ht="15.75" customHeight="1">
      <c r="A49330" s="8"/>
      <c r="B49330" s="12"/>
      <c r="C49330" s="8"/>
      <c r="D49330" s="8"/>
    </row>
    <row r="49331" spans="1:4" ht="15.75" customHeight="1">
      <c r="A49331" s="8"/>
      <c r="B49331" s="12"/>
      <c r="C49331" s="8"/>
      <c r="D49331" s="8"/>
    </row>
    <row r="49332" spans="1:4" ht="15.75" customHeight="1">
      <c r="A49332" s="8"/>
      <c r="B49332" s="12"/>
      <c r="C49332" s="8"/>
      <c r="D49332" s="8"/>
    </row>
    <row r="49333" spans="1:4" ht="15.75" customHeight="1">
      <c r="A49333" s="8"/>
      <c r="B49333" s="12"/>
      <c r="C49333" s="8"/>
      <c r="D49333" s="8"/>
    </row>
    <row r="49334" spans="1:4" ht="15.75" customHeight="1">
      <c r="A49334" s="8"/>
      <c r="B49334" s="12"/>
      <c r="C49334" s="8"/>
      <c r="D49334" s="8"/>
    </row>
    <row r="49335" spans="1:4" ht="15.75" customHeight="1">
      <c r="A49335" s="8"/>
      <c r="B49335" s="12"/>
      <c r="C49335" s="8"/>
      <c r="D49335" s="8"/>
    </row>
    <row r="49336" spans="1:4" ht="15.75" customHeight="1">
      <c r="A49336" s="8"/>
      <c r="B49336" s="12"/>
      <c r="C49336" s="8"/>
      <c r="D49336" s="8"/>
    </row>
    <row r="49337" spans="1:4" ht="15.75" customHeight="1">
      <c r="A49337" s="8"/>
      <c r="B49337" s="12"/>
      <c r="C49337" s="8"/>
      <c r="D49337" s="8"/>
    </row>
    <row r="49338" spans="1:4" ht="15.75" customHeight="1">
      <c r="A49338" s="8"/>
      <c r="B49338" s="12"/>
      <c r="C49338" s="8"/>
      <c r="D49338" s="8"/>
    </row>
    <row r="49339" spans="1:4" ht="15.75" customHeight="1">
      <c r="A49339" s="8"/>
      <c r="B49339" s="12"/>
      <c r="C49339" s="8"/>
      <c r="D49339" s="8"/>
    </row>
    <row r="49340" spans="1:4" ht="15.75" customHeight="1">
      <c r="A49340" s="8"/>
      <c r="B49340" s="12"/>
      <c r="C49340" s="8"/>
      <c r="D49340" s="8"/>
    </row>
    <row r="49341" spans="1:4" ht="15.75" customHeight="1">
      <c r="A49341" s="8"/>
      <c r="B49341" s="12"/>
      <c r="C49341" s="8"/>
      <c r="D49341" s="8"/>
    </row>
    <row r="49342" spans="1:4" ht="15.75" customHeight="1">
      <c r="A49342" s="8"/>
      <c r="B49342" s="12"/>
      <c r="C49342" s="8"/>
      <c r="D49342" s="8"/>
    </row>
    <row r="49343" spans="1:4" ht="15.75" customHeight="1">
      <c r="A49343" s="8"/>
      <c r="B49343" s="12"/>
      <c r="C49343" s="8"/>
      <c r="D49343" s="8"/>
    </row>
    <row r="49344" spans="1:4" ht="15.75" customHeight="1">
      <c r="A49344" s="8"/>
      <c r="B49344" s="12"/>
      <c r="C49344" s="8"/>
      <c r="D49344" s="8"/>
    </row>
    <row r="49345" spans="1:4" ht="15.75" customHeight="1">
      <c r="A49345" s="8"/>
      <c r="B49345" s="12"/>
      <c r="C49345" s="8"/>
      <c r="D49345" s="8"/>
    </row>
    <row r="49346" spans="1:4" ht="15.75" customHeight="1">
      <c r="A49346" s="8"/>
      <c r="B49346" s="12"/>
      <c r="C49346" s="8"/>
      <c r="D49346" s="8"/>
    </row>
    <row r="49347" spans="1:4" ht="15.75" customHeight="1">
      <c r="A49347" s="8"/>
      <c r="B49347" s="12"/>
      <c r="C49347" s="8"/>
      <c r="D49347" s="8"/>
    </row>
    <row r="49348" spans="1:4" ht="15.75" customHeight="1">
      <c r="A49348" s="8"/>
      <c r="B49348" s="12"/>
      <c r="C49348" s="8"/>
      <c r="D49348" s="8"/>
    </row>
    <row r="49349" spans="1:4" ht="15.75" customHeight="1">
      <c r="A49349" s="8"/>
      <c r="B49349" s="12"/>
      <c r="C49349" s="8"/>
      <c r="D49349" s="8"/>
    </row>
    <row r="49350" spans="1:4" ht="15.75" customHeight="1">
      <c r="A49350" s="8"/>
      <c r="B49350" s="12"/>
      <c r="C49350" s="8"/>
      <c r="D49350" s="8"/>
    </row>
    <row r="49351" spans="1:4" ht="15.75" customHeight="1">
      <c r="A49351" s="8"/>
      <c r="B49351" s="12"/>
      <c r="C49351" s="8"/>
      <c r="D49351" s="8"/>
    </row>
    <row r="49352" spans="1:4" ht="15.75" customHeight="1">
      <c r="A49352" s="8"/>
      <c r="B49352" s="12"/>
      <c r="C49352" s="8"/>
      <c r="D49352" s="8"/>
    </row>
    <row r="49353" spans="1:4" ht="15.75" customHeight="1">
      <c r="A49353" s="8"/>
      <c r="B49353" s="12"/>
      <c r="C49353" s="8"/>
      <c r="D49353" s="8"/>
    </row>
    <row r="49354" spans="1:4" ht="15.75" customHeight="1">
      <c r="A49354" s="8"/>
      <c r="B49354" s="12"/>
      <c r="C49354" s="8"/>
      <c r="D49354" s="8"/>
    </row>
    <row r="49355" spans="1:4" ht="15.75" customHeight="1">
      <c r="A49355" s="8"/>
      <c r="B49355" s="12"/>
      <c r="C49355" s="8"/>
      <c r="D49355" s="8"/>
    </row>
    <row r="49356" spans="1:4" ht="15.75" customHeight="1">
      <c r="A49356" s="8"/>
      <c r="B49356" s="12"/>
      <c r="C49356" s="8"/>
      <c r="D49356" s="8"/>
    </row>
    <row r="49357" spans="1:4" ht="15.75" customHeight="1">
      <c r="A49357" s="8"/>
      <c r="B49357" s="12"/>
      <c r="C49357" s="8"/>
      <c r="D49357" s="8"/>
    </row>
    <row r="49358" spans="1:4" ht="15.75" customHeight="1">
      <c r="A49358" s="8"/>
      <c r="B49358" s="12"/>
      <c r="C49358" s="8"/>
      <c r="D49358" s="8"/>
    </row>
    <row r="49359" spans="1:4" ht="15.75" customHeight="1">
      <c r="A49359" s="8"/>
      <c r="B49359" s="12"/>
      <c r="C49359" s="8"/>
      <c r="D49359" s="8"/>
    </row>
    <row r="49360" spans="1:4" ht="15.75" customHeight="1">
      <c r="A49360" s="8"/>
      <c r="B49360" s="12"/>
      <c r="C49360" s="8"/>
      <c r="D49360" s="8"/>
    </row>
    <row r="49361" spans="1:4" ht="15.75" customHeight="1">
      <c r="A49361" s="8"/>
      <c r="B49361" s="12"/>
      <c r="C49361" s="8"/>
      <c r="D49361" s="8"/>
    </row>
    <row r="49362" spans="1:4" ht="15.75" customHeight="1">
      <c r="A49362" s="8"/>
      <c r="B49362" s="12"/>
      <c r="C49362" s="8"/>
      <c r="D49362" s="8"/>
    </row>
    <row r="49363" spans="1:4" ht="15.75" customHeight="1">
      <c r="A49363" s="8"/>
      <c r="B49363" s="12"/>
      <c r="C49363" s="8"/>
      <c r="D49363" s="8"/>
    </row>
    <row r="49364" spans="1:4" ht="15.75" customHeight="1">
      <c r="A49364" s="8"/>
      <c r="B49364" s="12"/>
      <c r="C49364" s="8"/>
      <c r="D49364" s="8"/>
    </row>
    <row r="49365" spans="1:4" ht="15.75" customHeight="1">
      <c r="A49365" s="8"/>
      <c r="B49365" s="12"/>
      <c r="C49365" s="8"/>
      <c r="D49365" s="8"/>
    </row>
    <row r="49366" spans="1:4" ht="15.75" customHeight="1">
      <c r="A49366" s="8"/>
      <c r="B49366" s="12"/>
      <c r="C49366" s="8"/>
      <c r="D49366" s="8"/>
    </row>
    <row r="49367" spans="1:4" ht="15.75" customHeight="1">
      <c r="A49367" s="8"/>
      <c r="B49367" s="12"/>
      <c r="C49367" s="8"/>
      <c r="D49367" s="8"/>
    </row>
    <row r="49368" spans="1:4" ht="15.75" customHeight="1">
      <c r="A49368" s="8"/>
      <c r="B49368" s="12"/>
      <c r="C49368" s="8"/>
      <c r="D49368" s="8"/>
    </row>
    <row r="49369" spans="1:4" ht="15.75" customHeight="1">
      <c r="A49369" s="8"/>
      <c r="B49369" s="12"/>
      <c r="C49369" s="8"/>
      <c r="D49369" s="8"/>
    </row>
    <row r="49370" spans="1:4" ht="15.75" customHeight="1">
      <c r="A49370" s="8"/>
      <c r="B49370" s="12"/>
      <c r="C49370" s="8"/>
      <c r="D49370" s="8"/>
    </row>
    <row r="49371" spans="1:4" ht="15.75" customHeight="1">
      <c r="A49371" s="8"/>
      <c r="B49371" s="12"/>
      <c r="C49371" s="8"/>
      <c r="D49371" s="8"/>
    </row>
    <row r="49372" spans="1:4" ht="15.75" customHeight="1">
      <c r="A49372" s="8"/>
      <c r="B49372" s="12"/>
      <c r="C49372" s="8"/>
      <c r="D49372" s="8"/>
    </row>
    <row r="49373" spans="1:4" ht="15.75" customHeight="1">
      <c r="A49373" s="8"/>
      <c r="B49373" s="12"/>
      <c r="C49373" s="8"/>
      <c r="D49373" s="8"/>
    </row>
    <row r="49374" spans="1:4" ht="15.75" customHeight="1">
      <c r="A49374" s="8"/>
      <c r="B49374" s="12"/>
      <c r="C49374" s="8"/>
      <c r="D49374" s="8"/>
    </row>
    <row r="49375" spans="1:4" ht="15.75" customHeight="1">
      <c r="A49375" s="8"/>
      <c r="B49375" s="12"/>
      <c r="C49375" s="8"/>
      <c r="D49375" s="8"/>
    </row>
    <row r="49376" spans="1:4" ht="15.75" customHeight="1">
      <c r="A49376" s="8"/>
      <c r="B49376" s="12"/>
      <c r="C49376" s="8"/>
      <c r="D49376" s="8"/>
    </row>
    <row r="49377" spans="1:4" ht="15.75" customHeight="1">
      <c r="A49377" s="8"/>
      <c r="B49377" s="12"/>
      <c r="C49377" s="8"/>
      <c r="D49377" s="8"/>
    </row>
    <row r="49378" spans="1:4" ht="15.75" customHeight="1">
      <c r="A49378" s="8"/>
      <c r="B49378" s="12"/>
      <c r="C49378" s="8"/>
      <c r="D49378" s="8"/>
    </row>
    <row r="49379" spans="1:4" ht="15.75" customHeight="1">
      <c r="A49379" s="8"/>
      <c r="B49379" s="12"/>
      <c r="C49379" s="8"/>
      <c r="D49379" s="8"/>
    </row>
    <row r="49380" spans="1:4" ht="15.75" customHeight="1">
      <c r="A49380" s="8"/>
      <c r="B49380" s="12"/>
      <c r="C49380" s="8"/>
      <c r="D49380" s="8"/>
    </row>
    <row r="49381" spans="1:4" ht="15.75" customHeight="1">
      <c r="A49381" s="8"/>
      <c r="B49381" s="12"/>
      <c r="C49381" s="8"/>
      <c r="D49381" s="8"/>
    </row>
    <row r="49382" spans="1:4" ht="15.75" customHeight="1">
      <c r="A49382" s="8"/>
      <c r="B49382" s="12"/>
      <c r="C49382" s="8"/>
      <c r="D49382" s="8"/>
    </row>
    <row r="49383" spans="1:4" ht="15.75" customHeight="1">
      <c r="A49383" s="8"/>
      <c r="B49383" s="12"/>
      <c r="C49383" s="8"/>
      <c r="D49383" s="8"/>
    </row>
    <row r="49384" spans="1:4" ht="15.75" customHeight="1">
      <c r="A49384" s="8"/>
      <c r="B49384" s="12"/>
      <c r="C49384" s="8"/>
      <c r="D49384" s="8"/>
    </row>
    <row r="49385" spans="1:4" ht="15.75" customHeight="1">
      <c r="A49385" s="8"/>
      <c r="B49385" s="12"/>
      <c r="C49385" s="8"/>
      <c r="D49385" s="8"/>
    </row>
    <row r="49386" spans="1:4" ht="15.75" customHeight="1">
      <c r="A49386" s="8"/>
      <c r="B49386" s="12"/>
      <c r="C49386" s="8"/>
      <c r="D49386" s="8"/>
    </row>
    <row r="49387" spans="1:4" ht="15.75" customHeight="1">
      <c r="A49387" s="8"/>
      <c r="B49387" s="12"/>
      <c r="C49387" s="8"/>
      <c r="D49387" s="8"/>
    </row>
    <row r="49388" spans="1:4" ht="15.75" customHeight="1">
      <c r="A49388" s="8"/>
      <c r="B49388" s="12"/>
      <c r="C49388" s="8"/>
      <c r="D49388" s="8"/>
    </row>
    <row r="49389" spans="1:4" ht="15.75" customHeight="1">
      <c r="A49389" s="8"/>
      <c r="B49389" s="12"/>
      <c r="C49389" s="8"/>
      <c r="D49389" s="8"/>
    </row>
    <row r="49390" spans="1:4" ht="15.75" customHeight="1">
      <c r="A49390" s="8"/>
      <c r="B49390" s="12"/>
      <c r="C49390" s="8"/>
      <c r="D49390" s="8"/>
    </row>
    <row r="49391" spans="1:4" ht="15.75" customHeight="1">
      <c r="A49391" s="8"/>
      <c r="B49391" s="12"/>
      <c r="C49391" s="8"/>
      <c r="D49391" s="8"/>
    </row>
    <row r="49392" spans="1:4" ht="15.75" customHeight="1">
      <c r="A49392" s="8"/>
      <c r="B49392" s="12"/>
      <c r="C49392" s="8"/>
      <c r="D49392" s="8"/>
    </row>
    <row r="49393" spans="1:4" ht="15.75" customHeight="1">
      <c r="A49393" s="8"/>
      <c r="B49393" s="12"/>
      <c r="C49393" s="8"/>
      <c r="D49393" s="8"/>
    </row>
    <row r="49394" spans="1:4" ht="15.75" customHeight="1">
      <c r="A49394" s="8"/>
      <c r="B49394" s="12"/>
      <c r="C49394" s="8"/>
      <c r="D49394" s="8"/>
    </row>
    <row r="49395" spans="1:4" ht="15.75" customHeight="1">
      <c r="A49395" s="8"/>
      <c r="B49395" s="12"/>
      <c r="C49395" s="8"/>
      <c r="D49395" s="8"/>
    </row>
    <row r="49396" spans="1:4" ht="15.75" customHeight="1">
      <c r="A49396" s="8"/>
      <c r="B49396" s="12"/>
      <c r="C49396" s="8"/>
      <c r="D49396" s="8"/>
    </row>
    <row r="49397" spans="1:4" ht="15.75" customHeight="1">
      <c r="A49397" s="8"/>
      <c r="B49397" s="12"/>
      <c r="C49397" s="8"/>
      <c r="D49397" s="8"/>
    </row>
    <row r="49398" spans="1:4" ht="15.75" customHeight="1">
      <c r="A49398" s="8"/>
      <c r="B49398" s="12"/>
      <c r="C49398" s="8"/>
      <c r="D49398" s="8"/>
    </row>
    <row r="49399" spans="1:4" ht="15.75" customHeight="1">
      <c r="A49399" s="8"/>
      <c r="B49399" s="12"/>
      <c r="C49399" s="8"/>
      <c r="D49399" s="8"/>
    </row>
    <row r="49400" spans="1:4" ht="15.75" customHeight="1">
      <c r="A49400" s="8"/>
      <c r="B49400" s="12"/>
      <c r="C49400" s="8"/>
      <c r="D49400" s="8"/>
    </row>
    <row r="49401" spans="1:4" ht="15.75" customHeight="1">
      <c r="A49401" s="8"/>
      <c r="B49401" s="12"/>
      <c r="C49401" s="8"/>
      <c r="D49401" s="8"/>
    </row>
    <row r="49402" spans="1:4" ht="15.75" customHeight="1">
      <c r="A49402" s="8"/>
      <c r="B49402" s="12"/>
      <c r="C49402" s="8"/>
      <c r="D49402" s="8"/>
    </row>
    <row r="49403" spans="1:4" ht="15.75" customHeight="1">
      <c r="A49403" s="8"/>
      <c r="B49403" s="12"/>
      <c r="C49403" s="8"/>
      <c r="D49403" s="8"/>
    </row>
    <row r="49404" spans="1:4" ht="15.75" customHeight="1">
      <c r="A49404" s="8"/>
      <c r="B49404" s="12"/>
      <c r="C49404" s="8"/>
      <c r="D49404" s="8"/>
    </row>
    <row r="49405" spans="1:4" ht="15.75" customHeight="1">
      <c r="A49405" s="8"/>
      <c r="B49405" s="12"/>
      <c r="C49405" s="8"/>
      <c r="D49405" s="8"/>
    </row>
    <row r="49406" spans="1:4" ht="15.75" customHeight="1">
      <c r="A49406" s="8"/>
      <c r="B49406" s="12"/>
      <c r="C49406" s="8"/>
      <c r="D49406" s="8"/>
    </row>
    <row r="49407" spans="1:4" ht="15.75" customHeight="1">
      <c r="A49407" s="8"/>
      <c r="B49407" s="12"/>
      <c r="C49407" s="8"/>
      <c r="D49407" s="8"/>
    </row>
    <row r="49408" spans="1:4" ht="15.75" customHeight="1">
      <c r="A49408" s="8"/>
      <c r="B49408" s="12"/>
      <c r="C49408" s="8"/>
      <c r="D49408" s="8"/>
    </row>
    <row r="49409" spans="1:4" ht="15.75" customHeight="1">
      <c r="A49409" s="8"/>
      <c r="B49409" s="12"/>
      <c r="C49409" s="8"/>
      <c r="D49409" s="8"/>
    </row>
    <row r="49410" spans="1:4" ht="15.75" customHeight="1">
      <c r="A49410" s="8"/>
      <c r="B49410" s="12"/>
      <c r="C49410" s="8"/>
      <c r="D49410" s="8"/>
    </row>
    <row r="49411" spans="1:4" ht="15.75" customHeight="1">
      <c r="A49411" s="8"/>
      <c r="B49411" s="12"/>
      <c r="C49411" s="8"/>
      <c r="D49411" s="8"/>
    </row>
    <row r="49412" spans="1:4" ht="15.75" customHeight="1">
      <c r="A49412" s="8"/>
      <c r="B49412" s="12"/>
      <c r="C49412" s="8"/>
      <c r="D49412" s="8"/>
    </row>
    <row r="49413" spans="1:4" ht="15.75" customHeight="1">
      <c r="A49413" s="8"/>
      <c r="B49413" s="12"/>
      <c r="C49413" s="8"/>
      <c r="D49413" s="8"/>
    </row>
    <row r="49414" spans="1:4" ht="15.75" customHeight="1">
      <c r="A49414" s="8"/>
      <c r="B49414" s="12"/>
      <c r="C49414" s="8"/>
      <c r="D49414" s="8"/>
    </row>
    <row r="49415" spans="1:4" ht="15.75" customHeight="1">
      <c r="A49415" s="8"/>
      <c r="B49415" s="12"/>
      <c r="C49415" s="8"/>
      <c r="D49415" s="8"/>
    </row>
    <row r="49416" spans="1:4" ht="15.75" customHeight="1">
      <c r="A49416" s="8"/>
      <c r="B49416" s="12"/>
      <c r="C49416" s="8"/>
      <c r="D49416" s="8"/>
    </row>
    <row r="49417" spans="1:4" ht="15.75" customHeight="1">
      <c r="A49417" s="8"/>
      <c r="B49417" s="12"/>
      <c r="C49417" s="8"/>
      <c r="D49417" s="8"/>
    </row>
    <row r="49418" spans="1:4" ht="15.75" customHeight="1">
      <c r="A49418" s="8"/>
      <c r="B49418" s="12"/>
      <c r="C49418" s="8"/>
      <c r="D49418" s="8"/>
    </row>
    <row r="49419" spans="1:4" ht="15.75" customHeight="1">
      <c r="A49419" s="8"/>
      <c r="B49419" s="12"/>
      <c r="C49419" s="8"/>
      <c r="D49419" s="8"/>
    </row>
    <row r="49420" spans="1:4" ht="15.75" customHeight="1">
      <c r="A49420" s="8"/>
      <c r="B49420" s="12"/>
      <c r="C49420" s="8"/>
      <c r="D49420" s="8"/>
    </row>
    <row r="49421" spans="1:4" ht="15.75" customHeight="1">
      <c r="A49421" s="8"/>
      <c r="B49421" s="12"/>
      <c r="C49421" s="8"/>
      <c r="D49421" s="8"/>
    </row>
    <row r="49422" spans="1:4" ht="15.75" customHeight="1">
      <c r="A49422" s="8"/>
      <c r="B49422" s="12"/>
      <c r="C49422" s="8"/>
      <c r="D49422" s="8"/>
    </row>
    <row r="49423" spans="1:4" ht="15.75" customHeight="1">
      <c r="A49423" s="8"/>
      <c r="B49423" s="12"/>
      <c r="C49423" s="8"/>
      <c r="D49423" s="8"/>
    </row>
    <row r="49424" spans="1:4" ht="15.75" customHeight="1">
      <c r="A49424" s="8"/>
      <c r="B49424" s="12"/>
      <c r="C49424" s="8"/>
      <c r="D49424" s="8"/>
    </row>
    <row r="49425" spans="1:4" ht="15.75" customHeight="1">
      <c r="A49425" s="8"/>
      <c r="B49425" s="12"/>
      <c r="C49425" s="8"/>
      <c r="D49425" s="8"/>
    </row>
    <row r="49426" spans="1:4" ht="15.75" customHeight="1">
      <c r="A49426" s="8"/>
      <c r="B49426" s="12"/>
      <c r="C49426" s="8"/>
      <c r="D49426" s="8"/>
    </row>
    <row r="49427" spans="1:4" ht="15.75" customHeight="1">
      <c r="A49427" s="8"/>
      <c r="B49427" s="12"/>
      <c r="C49427" s="8"/>
      <c r="D49427" s="8"/>
    </row>
    <row r="49428" spans="1:4" ht="15.75" customHeight="1">
      <c r="A49428" s="8"/>
      <c r="B49428" s="12"/>
      <c r="C49428" s="8"/>
      <c r="D49428" s="8"/>
    </row>
    <row r="49429" spans="1:4" ht="15.75" customHeight="1">
      <c r="A49429" s="8"/>
      <c r="B49429" s="12"/>
      <c r="C49429" s="8"/>
      <c r="D49429" s="8"/>
    </row>
    <row r="49430" spans="1:4" ht="15.75" customHeight="1">
      <c r="A49430" s="8"/>
      <c r="B49430" s="12"/>
      <c r="C49430" s="8"/>
      <c r="D49430" s="8"/>
    </row>
    <row r="49431" spans="1:4" ht="15.75" customHeight="1">
      <c r="A49431" s="8"/>
      <c r="B49431" s="12"/>
      <c r="C49431" s="8"/>
      <c r="D49431" s="8"/>
    </row>
    <row r="49432" spans="1:4" ht="15.75" customHeight="1">
      <c r="A49432" s="8"/>
      <c r="B49432" s="12"/>
      <c r="C49432" s="8"/>
      <c r="D49432" s="8"/>
    </row>
    <row r="49433" spans="1:4" ht="15.75" customHeight="1">
      <c r="A49433" s="8"/>
      <c r="B49433" s="12"/>
      <c r="C49433" s="8"/>
      <c r="D49433" s="8"/>
    </row>
    <row r="49434" spans="1:4" ht="15.75" customHeight="1">
      <c r="A49434" s="8"/>
      <c r="B49434" s="12"/>
      <c r="C49434" s="8"/>
      <c r="D49434" s="8"/>
    </row>
    <row r="49435" spans="1:4" ht="15.75" customHeight="1">
      <c r="A49435" s="8"/>
      <c r="B49435" s="12"/>
      <c r="C49435" s="8"/>
      <c r="D49435" s="8"/>
    </row>
    <row r="49436" spans="1:4" ht="15.75" customHeight="1">
      <c r="A49436" s="8"/>
      <c r="B49436" s="12"/>
      <c r="C49436" s="8"/>
      <c r="D49436" s="8"/>
    </row>
    <row r="49437" spans="1:4" ht="15.75" customHeight="1">
      <c r="A49437" s="8"/>
      <c r="B49437" s="12"/>
      <c r="C49437" s="8"/>
      <c r="D49437" s="8"/>
    </row>
    <row r="49438" spans="1:4" ht="15.75" customHeight="1">
      <c r="A49438" s="8"/>
      <c r="B49438" s="12"/>
      <c r="C49438" s="8"/>
      <c r="D49438" s="8"/>
    </row>
    <row r="49439" spans="1:4" ht="15.75" customHeight="1">
      <c r="A49439" s="8"/>
      <c r="B49439" s="12"/>
      <c r="C49439" s="8"/>
      <c r="D49439" s="8"/>
    </row>
    <row r="49440" spans="1:4" ht="15.75" customHeight="1">
      <c r="A49440" s="8"/>
      <c r="B49440" s="12"/>
      <c r="C49440" s="8"/>
      <c r="D49440" s="8"/>
    </row>
    <row r="49441" spans="1:4" ht="15.75" customHeight="1">
      <c r="A49441" s="8"/>
      <c r="B49441" s="12"/>
      <c r="C49441" s="8"/>
      <c r="D49441" s="8"/>
    </row>
    <row r="49442" spans="1:4" ht="15.75" customHeight="1">
      <c r="A49442" s="8"/>
      <c r="B49442" s="12"/>
      <c r="C49442" s="8"/>
      <c r="D49442" s="8"/>
    </row>
    <row r="49443" spans="1:4" ht="15.75" customHeight="1">
      <c r="A49443" s="8"/>
      <c r="B49443" s="12"/>
      <c r="C49443" s="8"/>
      <c r="D49443" s="8"/>
    </row>
    <row r="49444" spans="1:4" ht="15.75" customHeight="1">
      <c r="A49444" s="8"/>
      <c r="B49444" s="12"/>
      <c r="C49444" s="8"/>
      <c r="D49444" s="8"/>
    </row>
    <row r="49445" spans="1:4" ht="15.75" customHeight="1">
      <c r="A49445" s="8"/>
      <c r="B49445" s="12"/>
      <c r="C49445" s="8"/>
      <c r="D49445" s="8"/>
    </row>
    <row r="49446" spans="1:4" ht="15.75" customHeight="1">
      <c r="A49446" s="8"/>
      <c r="B49446" s="12"/>
      <c r="C49446" s="8"/>
      <c r="D49446" s="8"/>
    </row>
    <row r="49447" spans="1:4" ht="15.75" customHeight="1">
      <c r="A49447" s="8"/>
      <c r="B49447" s="12"/>
      <c r="C49447" s="8"/>
      <c r="D49447" s="8"/>
    </row>
    <row r="49448" spans="1:4" ht="15.75" customHeight="1">
      <c r="A49448" s="8"/>
      <c r="B49448" s="12"/>
      <c r="C49448" s="8"/>
      <c r="D49448" s="8"/>
    </row>
    <row r="49449" spans="1:4" ht="15.75" customHeight="1">
      <c r="A49449" s="8"/>
      <c r="B49449" s="12"/>
      <c r="C49449" s="8"/>
      <c r="D49449" s="8"/>
    </row>
    <row r="49450" spans="1:4" ht="15.75" customHeight="1">
      <c r="A49450" s="8"/>
      <c r="B49450" s="12"/>
      <c r="C49450" s="8"/>
      <c r="D49450" s="8"/>
    </row>
    <row r="49451" spans="1:4" ht="15.75" customHeight="1">
      <c r="A49451" s="8"/>
      <c r="B49451" s="12"/>
      <c r="C49451" s="8"/>
      <c r="D49451" s="8"/>
    </row>
    <row r="49452" spans="1:4" ht="15.75" customHeight="1">
      <c r="A49452" s="8"/>
      <c r="B49452" s="12"/>
      <c r="C49452" s="8"/>
      <c r="D49452" s="8"/>
    </row>
    <row r="49453" spans="1:4" ht="15.75" customHeight="1">
      <c r="A49453" s="8"/>
      <c r="B49453" s="12"/>
      <c r="C49453" s="8"/>
      <c r="D49453" s="8"/>
    </row>
    <row r="49454" spans="1:4" ht="15.75" customHeight="1">
      <c r="A49454" s="8"/>
      <c r="B49454" s="12"/>
      <c r="C49454" s="8"/>
      <c r="D49454" s="8"/>
    </row>
    <row r="49455" spans="1:4" ht="15.75" customHeight="1">
      <c r="A49455" s="8"/>
      <c r="B49455" s="12"/>
      <c r="C49455" s="8"/>
      <c r="D49455" s="8"/>
    </row>
    <row r="49456" spans="1:4" ht="15.75" customHeight="1">
      <c r="A49456" s="8"/>
      <c r="B49456" s="12"/>
      <c r="C49456" s="8"/>
      <c r="D49456" s="8"/>
    </row>
    <row r="49457" spans="1:4" ht="15.75" customHeight="1">
      <c r="A49457" s="8"/>
      <c r="B49457" s="12"/>
      <c r="C49457" s="8"/>
      <c r="D49457" s="8"/>
    </row>
    <row r="49458" spans="1:4" ht="15.75" customHeight="1">
      <c r="A49458" s="8"/>
      <c r="B49458" s="12"/>
      <c r="C49458" s="8"/>
      <c r="D49458" s="8"/>
    </row>
    <row r="49459" spans="1:4" ht="15.75" customHeight="1">
      <c r="A49459" s="8"/>
      <c r="B49459" s="12"/>
      <c r="C49459" s="8"/>
      <c r="D49459" s="8"/>
    </row>
    <row r="49460" spans="1:4" ht="15.75" customHeight="1">
      <c r="A49460" s="8"/>
      <c r="B49460" s="12"/>
      <c r="C49460" s="8"/>
      <c r="D49460" s="8"/>
    </row>
    <row r="49461" spans="1:4" ht="15.75" customHeight="1">
      <c r="A49461" s="8"/>
      <c r="B49461" s="12"/>
      <c r="C49461" s="8"/>
      <c r="D49461" s="8"/>
    </row>
    <row r="49462" spans="1:4" ht="15.75" customHeight="1">
      <c r="A49462" s="8"/>
      <c r="B49462" s="12"/>
      <c r="C49462" s="8"/>
      <c r="D49462" s="8"/>
    </row>
    <row r="49463" spans="1:4" ht="15.75" customHeight="1">
      <c r="A49463" s="8"/>
      <c r="B49463" s="12"/>
      <c r="C49463" s="8"/>
      <c r="D49463" s="8"/>
    </row>
    <row r="49464" spans="1:4" ht="15.75" customHeight="1">
      <c r="A49464" s="8"/>
      <c r="B49464" s="12"/>
      <c r="C49464" s="8"/>
      <c r="D49464" s="8"/>
    </row>
    <row r="49465" spans="1:4" ht="15.75" customHeight="1">
      <c r="A49465" s="8"/>
      <c r="B49465" s="12"/>
      <c r="C49465" s="8"/>
      <c r="D49465" s="8"/>
    </row>
    <row r="49466" spans="1:4" ht="15.75" customHeight="1">
      <c r="A49466" s="8"/>
      <c r="B49466" s="12"/>
      <c r="C49466" s="8"/>
      <c r="D49466" s="8"/>
    </row>
    <row r="49467" spans="1:4" ht="15.75" customHeight="1">
      <c r="A49467" s="8"/>
      <c r="B49467" s="12"/>
      <c r="C49467" s="8"/>
      <c r="D49467" s="8"/>
    </row>
    <row r="49468" spans="1:4" ht="15.75" customHeight="1">
      <c r="A49468" s="8"/>
      <c r="B49468" s="12"/>
      <c r="C49468" s="8"/>
      <c r="D49468" s="8"/>
    </row>
    <row r="49469" spans="1:4" ht="15.75" customHeight="1">
      <c r="A49469" s="8"/>
      <c r="B49469" s="12"/>
      <c r="C49469" s="8"/>
      <c r="D49469" s="8"/>
    </row>
    <row r="49470" spans="1:4" ht="15.75" customHeight="1">
      <c r="A49470" s="8"/>
      <c r="B49470" s="12"/>
      <c r="C49470" s="8"/>
      <c r="D49470" s="8"/>
    </row>
    <row r="49471" spans="1:4" ht="15.75" customHeight="1">
      <c r="A49471" s="8"/>
      <c r="B49471" s="12"/>
      <c r="C49471" s="8"/>
      <c r="D49471" s="8"/>
    </row>
    <row r="49472" spans="1:4" ht="15.75" customHeight="1">
      <c r="A49472" s="8"/>
      <c r="B49472" s="12"/>
      <c r="C49472" s="8"/>
      <c r="D49472" s="8"/>
    </row>
    <row r="49473" spans="1:4" ht="15.75" customHeight="1">
      <c r="A49473" s="8"/>
      <c r="B49473" s="12"/>
      <c r="C49473" s="8"/>
      <c r="D49473" s="8"/>
    </row>
    <row r="49474" spans="1:4" ht="15.75" customHeight="1">
      <c r="A49474" s="8"/>
      <c r="B49474" s="12"/>
      <c r="C49474" s="8"/>
      <c r="D49474" s="8"/>
    </row>
    <row r="49475" spans="1:4" ht="15.75" customHeight="1">
      <c r="A49475" s="8"/>
      <c r="B49475" s="12"/>
      <c r="C49475" s="8"/>
      <c r="D49475" s="8"/>
    </row>
    <row r="49476" spans="1:4" ht="15.75" customHeight="1">
      <c r="A49476" s="8"/>
      <c r="B49476" s="12"/>
      <c r="C49476" s="8"/>
      <c r="D49476" s="8"/>
    </row>
    <row r="49477" spans="1:4" ht="15.75" customHeight="1">
      <c r="A49477" s="8"/>
      <c r="B49477" s="12"/>
      <c r="C49477" s="8"/>
      <c r="D49477" s="8"/>
    </row>
    <row r="49478" spans="1:4" ht="15.75" customHeight="1">
      <c r="A49478" s="8"/>
      <c r="B49478" s="12"/>
      <c r="C49478" s="8"/>
      <c r="D49478" s="8"/>
    </row>
    <row r="49479" spans="1:4" ht="15.75" customHeight="1">
      <c r="A49479" s="8"/>
      <c r="B49479" s="12"/>
      <c r="C49479" s="8"/>
      <c r="D49479" s="8"/>
    </row>
    <row r="49480" spans="1:4" ht="15.75" customHeight="1">
      <c r="A49480" s="8"/>
      <c r="B49480" s="12"/>
      <c r="C49480" s="8"/>
      <c r="D49480" s="8"/>
    </row>
    <row r="49481" spans="1:4" ht="15.75" customHeight="1">
      <c r="A49481" s="8"/>
      <c r="B49481" s="12"/>
      <c r="C49481" s="8"/>
      <c r="D49481" s="8"/>
    </row>
    <row r="49482" spans="1:4" ht="15.75" customHeight="1">
      <c r="A49482" s="8"/>
      <c r="B49482" s="12"/>
      <c r="C49482" s="8"/>
      <c r="D49482" s="8"/>
    </row>
    <row r="49483" spans="1:4" ht="15.75" customHeight="1">
      <c r="A49483" s="8"/>
      <c r="B49483" s="12"/>
      <c r="C49483" s="8"/>
      <c r="D49483" s="8"/>
    </row>
    <row r="49484" spans="1:4" ht="15.75" customHeight="1">
      <c r="A49484" s="8"/>
      <c r="B49484" s="12"/>
      <c r="C49484" s="8"/>
      <c r="D49484" s="8"/>
    </row>
    <row r="49485" spans="1:4" ht="15.75" customHeight="1">
      <c r="A49485" s="8"/>
      <c r="B49485" s="12"/>
      <c r="C49485" s="8"/>
      <c r="D49485" s="8"/>
    </row>
    <row r="49486" spans="1:4" ht="15.75" customHeight="1">
      <c r="A49486" s="8"/>
      <c r="B49486" s="12"/>
      <c r="C49486" s="8"/>
      <c r="D49486" s="8"/>
    </row>
    <row r="49487" spans="1:4" ht="15.75" customHeight="1">
      <c r="A49487" s="8"/>
      <c r="B49487" s="12"/>
      <c r="C49487" s="8"/>
      <c r="D49487" s="8"/>
    </row>
    <row r="49488" spans="1:4" ht="15.75" customHeight="1">
      <c r="A49488" s="8"/>
      <c r="B49488" s="12"/>
      <c r="C49488" s="8"/>
      <c r="D49488" s="8"/>
    </row>
    <row r="49489" spans="1:4" ht="15.75" customHeight="1">
      <c r="A49489" s="8"/>
      <c r="B49489" s="12"/>
      <c r="C49489" s="8"/>
      <c r="D49489" s="8"/>
    </row>
    <row r="49490" spans="1:4" ht="15.75" customHeight="1">
      <c r="A49490" s="8"/>
      <c r="B49490" s="12"/>
      <c r="C49490" s="8"/>
      <c r="D49490" s="8"/>
    </row>
    <row r="49491" spans="1:4" ht="15.75" customHeight="1">
      <c r="A49491" s="8"/>
      <c r="B49491" s="12"/>
      <c r="C49491" s="8"/>
      <c r="D49491" s="8"/>
    </row>
    <row r="49492" spans="1:4" ht="15.75" customHeight="1">
      <c r="A49492" s="8"/>
      <c r="B49492" s="12"/>
      <c r="C49492" s="8"/>
      <c r="D49492" s="8"/>
    </row>
    <row r="49493" spans="1:4" ht="15.75" customHeight="1">
      <c r="A49493" s="8"/>
      <c r="B49493" s="12"/>
      <c r="C49493" s="8"/>
      <c r="D49493" s="8"/>
    </row>
    <row r="49494" spans="1:4" ht="15.75" customHeight="1">
      <c r="A49494" s="8"/>
      <c r="B49494" s="12"/>
      <c r="C49494" s="8"/>
      <c r="D49494" s="8"/>
    </row>
    <row r="49495" spans="1:4" ht="15.75" customHeight="1">
      <c r="A49495" s="8"/>
      <c r="B49495" s="12"/>
      <c r="C49495" s="8"/>
      <c r="D49495" s="8"/>
    </row>
    <row r="49496" spans="1:4" ht="15.75" customHeight="1">
      <c r="A49496" s="8"/>
      <c r="B49496" s="12"/>
      <c r="C49496" s="8"/>
      <c r="D49496" s="8"/>
    </row>
    <row r="49497" spans="1:4" ht="15.75" customHeight="1">
      <c r="A49497" s="8"/>
      <c r="B49497" s="12"/>
      <c r="C49497" s="8"/>
      <c r="D49497" s="8"/>
    </row>
    <row r="49498" spans="1:4" ht="15.75" customHeight="1">
      <c r="A49498" s="8"/>
      <c r="B49498" s="12"/>
      <c r="C49498" s="8"/>
      <c r="D49498" s="8"/>
    </row>
    <row r="49499" spans="1:4" ht="15.75" customHeight="1">
      <c r="A49499" s="8"/>
      <c r="B49499" s="12"/>
      <c r="C49499" s="8"/>
      <c r="D49499" s="8"/>
    </row>
    <row r="49500" spans="1:4" ht="15.75" customHeight="1">
      <c r="A49500" s="8"/>
      <c r="B49500" s="12"/>
      <c r="C49500" s="8"/>
      <c r="D49500" s="8"/>
    </row>
    <row r="49501" spans="1:4" ht="15.75" customHeight="1">
      <c r="A49501" s="8"/>
      <c r="B49501" s="12"/>
      <c r="C49501" s="8"/>
      <c r="D49501" s="8"/>
    </row>
    <row r="49502" spans="1:4" ht="15.75" customHeight="1">
      <c r="A49502" s="8"/>
      <c r="B49502" s="12"/>
      <c r="C49502" s="8"/>
      <c r="D49502" s="8"/>
    </row>
    <row r="49503" spans="1:4" ht="15.75" customHeight="1">
      <c r="A49503" s="8"/>
      <c r="B49503" s="12"/>
      <c r="C49503" s="8"/>
      <c r="D49503" s="8"/>
    </row>
    <row r="49504" spans="1:4" ht="15.75" customHeight="1">
      <c r="A49504" s="8"/>
      <c r="B49504" s="12"/>
      <c r="C49504" s="8"/>
      <c r="D49504" s="8"/>
    </row>
    <row r="49505" spans="1:4" ht="15.75" customHeight="1">
      <c r="A49505" s="8"/>
      <c r="B49505" s="12"/>
      <c r="C49505" s="8"/>
      <c r="D49505" s="8"/>
    </row>
    <row r="49506" spans="1:4" ht="15.75" customHeight="1">
      <c r="A49506" s="8"/>
      <c r="B49506" s="12"/>
      <c r="C49506" s="8"/>
      <c r="D49506" s="8"/>
    </row>
    <row r="49507" spans="1:4" ht="15.75" customHeight="1">
      <c r="A49507" s="8"/>
      <c r="B49507" s="12"/>
      <c r="C49507" s="8"/>
      <c r="D49507" s="8"/>
    </row>
    <row r="49508" spans="1:4" ht="15.75" customHeight="1">
      <c r="A49508" s="8"/>
      <c r="B49508" s="12"/>
      <c r="C49508" s="8"/>
      <c r="D49508" s="8"/>
    </row>
    <row r="49509" spans="1:4" ht="15.75" customHeight="1">
      <c r="A49509" s="8"/>
      <c r="B49509" s="12"/>
      <c r="C49509" s="8"/>
      <c r="D49509" s="8"/>
    </row>
    <row r="49510" spans="1:4" ht="15.75" customHeight="1">
      <c r="A49510" s="8"/>
      <c r="B49510" s="12"/>
      <c r="C49510" s="8"/>
      <c r="D49510" s="8"/>
    </row>
    <row r="49511" spans="1:4" ht="15.75" customHeight="1">
      <c r="A49511" s="8"/>
      <c r="B49511" s="12"/>
      <c r="C49511" s="8"/>
      <c r="D49511" s="8"/>
    </row>
    <row r="49512" spans="1:4" ht="15.75" customHeight="1">
      <c r="A49512" s="8"/>
      <c r="B49512" s="12"/>
      <c r="C49512" s="8"/>
      <c r="D49512" s="8"/>
    </row>
    <row r="49513" spans="1:4" ht="15.75" customHeight="1">
      <c r="A49513" s="8"/>
      <c r="B49513" s="12"/>
      <c r="C49513" s="8"/>
      <c r="D49513" s="8"/>
    </row>
    <row r="49514" spans="1:4" ht="15.75" customHeight="1">
      <c r="A49514" s="8"/>
      <c r="B49514" s="12"/>
      <c r="C49514" s="8"/>
      <c r="D49514" s="8"/>
    </row>
    <row r="49515" spans="1:4" ht="15.75" customHeight="1">
      <c r="A49515" s="8"/>
      <c r="B49515" s="12"/>
      <c r="C49515" s="8"/>
      <c r="D49515" s="8"/>
    </row>
    <row r="49516" spans="1:4" ht="15.75" customHeight="1">
      <c r="A49516" s="8"/>
      <c r="B49516" s="12"/>
      <c r="C49516" s="8"/>
      <c r="D49516" s="8"/>
    </row>
    <row r="49517" spans="1:4" ht="15.75" customHeight="1">
      <c r="A49517" s="8"/>
      <c r="B49517" s="12"/>
      <c r="C49517" s="8"/>
      <c r="D49517" s="8"/>
    </row>
    <row r="49518" spans="1:4" ht="15.75" customHeight="1">
      <c r="A49518" s="8"/>
      <c r="B49518" s="12"/>
      <c r="C49518" s="8"/>
      <c r="D49518" s="8"/>
    </row>
    <row r="49519" spans="1:4" ht="15.75" customHeight="1">
      <c r="A49519" s="8"/>
      <c r="B49519" s="12"/>
      <c r="C49519" s="8"/>
      <c r="D49519" s="8"/>
    </row>
    <row r="49520" spans="1:4" ht="15.75" customHeight="1">
      <c r="A49520" s="8"/>
      <c r="B49520" s="12"/>
      <c r="C49520" s="8"/>
      <c r="D49520" s="8"/>
    </row>
    <row r="49521" spans="1:4" ht="15.75" customHeight="1">
      <c r="A49521" s="8"/>
      <c r="B49521" s="12"/>
      <c r="C49521" s="8"/>
      <c r="D49521" s="8"/>
    </row>
    <row r="49522" spans="1:4" ht="15.75" customHeight="1">
      <c r="A49522" s="8"/>
      <c r="B49522" s="12"/>
      <c r="C49522" s="8"/>
      <c r="D49522" s="8"/>
    </row>
    <row r="49523" spans="1:4" ht="15.75" customHeight="1">
      <c r="A49523" s="8"/>
      <c r="B49523" s="12"/>
      <c r="C49523" s="8"/>
      <c r="D49523" s="8"/>
    </row>
    <row r="49524" spans="1:4" ht="15.75" customHeight="1">
      <c r="A49524" s="8"/>
      <c r="B49524" s="12"/>
      <c r="C49524" s="8"/>
      <c r="D49524" s="8"/>
    </row>
    <row r="49525" spans="1:4" ht="15.75" customHeight="1">
      <c r="A49525" s="8"/>
      <c r="B49525" s="12"/>
      <c r="C49525" s="8"/>
      <c r="D49525" s="8"/>
    </row>
    <row r="49526" spans="1:4" ht="15.75" customHeight="1">
      <c r="A49526" s="8"/>
      <c r="B49526" s="12"/>
      <c r="C49526" s="8"/>
      <c r="D49526" s="8"/>
    </row>
    <row r="49527" spans="1:4" ht="15.75" customHeight="1">
      <c r="A49527" s="8"/>
      <c r="B49527" s="12"/>
      <c r="C49527" s="8"/>
      <c r="D49527" s="8"/>
    </row>
    <row r="49528" spans="1:4" ht="15.75" customHeight="1">
      <c r="A49528" s="8"/>
      <c r="B49528" s="12"/>
      <c r="C49528" s="8"/>
      <c r="D49528" s="8"/>
    </row>
    <row r="49529" spans="1:4" ht="15.75" customHeight="1">
      <c r="A49529" s="8"/>
      <c r="B49529" s="12"/>
      <c r="C49529" s="8"/>
      <c r="D49529" s="8"/>
    </row>
    <row r="49530" spans="1:4" ht="15.75" customHeight="1">
      <c r="A49530" s="8"/>
      <c r="B49530" s="12"/>
      <c r="C49530" s="8"/>
      <c r="D49530" s="8"/>
    </row>
    <row r="49531" spans="1:4" ht="15.75" customHeight="1">
      <c r="A49531" s="8"/>
      <c r="B49531" s="12"/>
      <c r="C49531" s="8"/>
      <c r="D49531" s="8"/>
    </row>
    <row r="49532" spans="1:4" ht="15.75" customHeight="1">
      <c r="A49532" s="8"/>
      <c r="B49532" s="12"/>
      <c r="C49532" s="8"/>
      <c r="D49532" s="8"/>
    </row>
    <row r="49533" spans="1:4" ht="15.75" customHeight="1">
      <c r="A49533" s="8"/>
      <c r="B49533" s="12"/>
      <c r="C49533" s="8"/>
      <c r="D49533" s="8"/>
    </row>
    <row r="49534" spans="1:4" ht="15.75" customHeight="1">
      <c r="A49534" s="8"/>
      <c r="B49534" s="12"/>
      <c r="C49534" s="8"/>
      <c r="D49534" s="8"/>
    </row>
    <row r="49535" spans="1:4" ht="15.75" customHeight="1">
      <c r="A49535" s="8"/>
      <c r="B49535" s="12"/>
      <c r="C49535" s="8"/>
      <c r="D49535" s="8"/>
    </row>
    <row r="49536" spans="1:4" ht="15.75" customHeight="1">
      <c r="A49536" s="8"/>
      <c r="B49536" s="12"/>
      <c r="C49536" s="8"/>
      <c r="D49536" s="8"/>
    </row>
    <row r="49537" spans="1:4" ht="15.75" customHeight="1">
      <c r="A49537" s="8"/>
      <c r="B49537" s="12"/>
      <c r="C49537" s="8"/>
      <c r="D49537" s="8"/>
    </row>
    <row r="49538" spans="1:4" ht="15.75" customHeight="1">
      <c r="A49538" s="8"/>
      <c r="B49538" s="12"/>
      <c r="C49538" s="8"/>
      <c r="D49538" s="8"/>
    </row>
    <row r="49539" spans="1:4" ht="15.75" customHeight="1">
      <c r="A49539" s="8"/>
      <c r="B49539" s="12"/>
      <c r="C49539" s="8"/>
      <c r="D49539" s="8"/>
    </row>
    <row r="49540" spans="1:4" ht="15.75" customHeight="1">
      <c r="A49540" s="8"/>
      <c r="B49540" s="12"/>
      <c r="C49540" s="8"/>
      <c r="D49540" s="8"/>
    </row>
    <row r="49541" spans="1:4" ht="15.75" customHeight="1">
      <c r="A49541" s="8"/>
      <c r="B49541" s="12"/>
      <c r="C49541" s="8"/>
      <c r="D49541" s="8"/>
    </row>
    <row r="49542" spans="1:4" ht="15.75" customHeight="1">
      <c r="A49542" s="8"/>
      <c r="B49542" s="12"/>
      <c r="C49542" s="8"/>
      <c r="D49542" s="8"/>
    </row>
    <row r="49543" spans="1:4" ht="15.75" customHeight="1">
      <c r="A49543" s="8"/>
      <c r="B49543" s="12"/>
      <c r="C49543" s="8"/>
      <c r="D49543" s="8"/>
    </row>
    <row r="49544" spans="1:4" ht="15.75" customHeight="1">
      <c r="A49544" s="8"/>
      <c r="B49544" s="12"/>
      <c r="C49544" s="8"/>
      <c r="D49544" s="8"/>
    </row>
    <row r="49545" spans="1:4" ht="15.75" customHeight="1">
      <c r="A49545" s="8"/>
      <c r="B49545" s="12"/>
      <c r="C49545" s="8"/>
      <c r="D49545" s="8"/>
    </row>
    <row r="49546" spans="1:4" ht="15.75" customHeight="1">
      <c r="A49546" s="8"/>
      <c r="B49546" s="12"/>
      <c r="C49546" s="8"/>
      <c r="D49546" s="8"/>
    </row>
    <row r="49547" spans="1:4" ht="15.75" customHeight="1">
      <c r="A49547" s="8"/>
      <c r="B49547" s="12"/>
      <c r="C49547" s="8"/>
      <c r="D49547" s="8"/>
    </row>
    <row r="49548" spans="1:4" ht="15.75" customHeight="1">
      <c r="A49548" s="8"/>
      <c r="B49548" s="12"/>
      <c r="C49548" s="8"/>
      <c r="D49548" s="8"/>
    </row>
    <row r="49549" spans="1:4" ht="15.75" customHeight="1">
      <c r="A49549" s="8"/>
      <c r="B49549" s="12"/>
      <c r="C49549" s="8"/>
      <c r="D49549" s="8"/>
    </row>
    <row r="49550" spans="1:4" ht="15.75" customHeight="1">
      <c r="A49550" s="8"/>
      <c r="B49550" s="12"/>
      <c r="C49550" s="8"/>
      <c r="D49550" s="8"/>
    </row>
    <row r="49551" spans="1:4" ht="15.75" customHeight="1">
      <c r="A49551" s="8"/>
      <c r="B49551" s="12"/>
      <c r="C49551" s="8"/>
      <c r="D49551" s="8"/>
    </row>
    <row r="49552" spans="1:4" ht="15.75" customHeight="1">
      <c r="A49552" s="8"/>
      <c r="B49552" s="12"/>
      <c r="C49552" s="8"/>
      <c r="D49552" s="8"/>
    </row>
    <row r="49553" spans="1:4" ht="15.75" customHeight="1">
      <c r="A49553" s="8"/>
      <c r="B49553" s="12"/>
      <c r="C49553" s="8"/>
      <c r="D49553" s="8"/>
    </row>
    <row r="49554" spans="1:4" ht="15.75" customHeight="1">
      <c r="A49554" s="8"/>
      <c r="B49554" s="12"/>
      <c r="C49554" s="8"/>
      <c r="D49554" s="8"/>
    </row>
    <row r="49555" spans="1:4" ht="15.75" customHeight="1">
      <c r="A49555" s="8"/>
      <c r="B49555" s="12"/>
      <c r="C49555" s="8"/>
      <c r="D49555" s="8"/>
    </row>
    <row r="49556" spans="1:4" ht="15.75" customHeight="1">
      <c r="A49556" s="8"/>
      <c r="B49556" s="12"/>
      <c r="C49556" s="8"/>
      <c r="D49556" s="8"/>
    </row>
    <row r="49557" spans="1:4" ht="15.75" customHeight="1">
      <c r="A49557" s="8"/>
      <c r="B49557" s="12"/>
      <c r="C49557" s="8"/>
      <c r="D49557" s="8"/>
    </row>
    <row r="49558" spans="1:4" ht="15.75" customHeight="1">
      <c r="A49558" s="8"/>
      <c r="B49558" s="12"/>
      <c r="C49558" s="8"/>
      <c r="D49558" s="8"/>
    </row>
    <row r="49559" spans="1:4" ht="15.75" customHeight="1">
      <c r="A49559" s="8"/>
      <c r="B49559" s="12"/>
      <c r="C49559" s="8"/>
      <c r="D49559" s="8"/>
    </row>
    <row r="49560" spans="1:4" ht="15.75" customHeight="1">
      <c r="A49560" s="8"/>
      <c r="B49560" s="12"/>
      <c r="C49560" s="8"/>
      <c r="D49560" s="8"/>
    </row>
    <row r="49561" spans="1:4" ht="15.75" customHeight="1">
      <c r="A49561" s="8"/>
      <c r="B49561" s="12"/>
      <c r="C49561" s="8"/>
      <c r="D49561" s="8"/>
    </row>
    <row r="49562" spans="1:4" ht="15.75" customHeight="1">
      <c r="A49562" s="8"/>
      <c r="B49562" s="12"/>
      <c r="C49562" s="8"/>
      <c r="D49562" s="8"/>
    </row>
    <row r="49563" spans="1:4" ht="15.75" customHeight="1">
      <c r="A49563" s="8"/>
      <c r="B49563" s="12"/>
      <c r="C49563" s="8"/>
      <c r="D49563" s="8"/>
    </row>
    <row r="49564" spans="1:4" ht="15.75" customHeight="1">
      <c r="A49564" s="8"/>
      <c r="B49564" s="12"/>
      <c r="C49564" s="8"/>
      <c r="D49564" s="8"/>
    </row>
    <row r="49565" spans="1:4" ht="15.75" customHeight="1">
      <c r="A49565" s="8"/>
      <c r="B49565" s="12"/>
      <c r="C49565" s="8"/>
      <c r="D49565" s="8"/>
    </row>
    <row r="49566" spans="1:4" ht="15.75" customHeight="1">
      <c r="A49566" s="8"/>
      <c r="B49566" s="12"/>
      <c r="C49566" s="8"/>
      <c r="D49566" s="8"/>
    </row>
    <row r="49567" spans="1:4" ht="15.75" customHeight="1">
      <c r="A49567" s="8"/>
      <c r="B49567" s="12"/>
      <c r="C49567" s="8"/>
      <c r="D49567" s="8"/>
    </row>
    <row r="49568" spans="1:4" ht="15.75" customHeight="1">
      <c r="A49568" s="8"/>
      <c r="B49568" s="12"/>
      <c r="C49568" s="8"/>
      <c r="D49568" s="8"/>
    </row>
    <row r="49569" spans="1:4" ht="15.75" customHeight="1">
      <c r="A49569" s="8"/>
      <c r="B49569" s="12"/>
      <c r="C49569" s="8"/>
      <c r="D49569" s="8"/>
    </row>
    <row r="49570" spans="1:4" ht="15.75" customHeight="1">
      <c r="A49570" s="8"/>
      <c r="B49570" s="12"/>
      <c r="C49570" s="8"/>
      <c r="D49570" s="8"/>
    </row>
    <row r="49571" spans="1:4" ht="15.75" customHeight="1">
      <c r="A49571" s="8"/>
      <c r="B49571" s="12"/>
      <c r="C49571" s="8"/>
      <c r="D49571" s="8"/>
    </row>
    <row r="49572" spans="1:4" ht="15.75" customHeight="1">
      <c r="A49572" s="8"/>
      <c r="B49572" s="12"/>
      <c r="C49572" s="8"/>
      <c r="D49572" s="8"/>
    </row>
    <row r="49573" spans="1:4" ht="15.75" customHeight="1">
      <c r="A49573" s="8"/>
      <c r="B49573" s="12"/>
      <c r="C49573" s="8"/>
      <c r="D49573" s="8"/>
    </row>
    <row r="49574" spans="1:4" ht="15.75" customHeight="1">
      <c r="A49574" s="8"/>
      <c r="B49574" s="12"/>
      <c r="C49574" s="8"/>
      <c r="D49574" s="8"/>
    </row>
    <row r="49575" spans="1:4" ht="15.75" customHeight="1">
      <c r="A49575" s="8"/>
      <c r="B49575" s="12"/>
      <c r="C49575" s="8"/>
      <c r="D49575" s="8"/>
    </row>
    <row r="49576" spans="1:4" ht="15.75" customHeight="1">
      <c r="A49576" s="8"/>
      <c r="B49576" s="12"/>
      <c r="C49576" s="8"/>
      <c r="D49576" s="8"/>
    </row>
    <row r="49577" spans="1:4" ht="15.75" customHeight="1">
      <c r="A49577" s="8"/>
      <c r="B49577" s="12"/>
      <c r="C49577" s="8"/>
      <c r="D49577" s="8"/>
    </row>
    <row r="49578" spans="1:4" ht="15.75" customHeight="1">
      <c r="A49578" s="8"/>
      <c r="B49578" s="12"/>
      <c r="C49578" s="8"/>
      <c r="D49578" s="8"/>
    </row>
    <row r="49579" spans="1:4" ht="15.75" customHeight="1">
      <c r="A49579" s="8"/>
      <c r="B49579" s="12"/>
      <c r="C49579" s="8"/>
      <c r="D49579" s="8"/>
    </row>
    <row r="49580" spans="1:4" ht="15.75" customHeight="1">
      <c r="A49580" s="8"/>
      <c r="B49580" s="12"/>
      <c r="C49580" s="8"/>
      <c r="D49580" s="8"/>
    </row>
    <row r="49581" spans="1:4" ht="15.75" customHeight="1">
      <c r="A49581" s="8"/>
      <c r="B49581" s="12"/>
      <c r="C49581" s="8"/>
      <c r="D49581" s="8"/>
    </row>
    <row r="49582" spans="1:4" ht="15.75" customHeight="1">
      <c r="A49582" s="8"/>
      <c r="B49582" s="12"/>
      <c r="C49582" s="8"/>
      <c r="D49582" s="8"/>
    </row>
    <row r="49583" spans="1:4" ht="15.75" customHeight="1">
      <c r="A49583" s="8"/>
      <c r="B49583" s="12"/>
      <c r="C49583" s="8"/>
      <c r="D49583" s="8"/>
    </row>
    <row r="49584" spans="1:4" ht="15.75" customHeight="1">
      <c r="A49584" s="8"/>
      <c r="B49584" s="12"/>
      <c r="C49584" s="8"/>
      <c r="D49584" s="8"/>
    </row>
    <row r="49585" spans="1:4" ht="15.75" customHeight="1">
      <c r="A49585" s="8"/>
      <c r="B49585" s="12"/>
      <c r="C49585" s="8"/>
      <c r="D49585" s="8"/>
    </row>
    <row r="49586" spans="1:4" ht="15.75" customHeight="1">
      <c r="A49586" s="8"/>
      <c r="B49586" s="12"/>
      <c r="C49586" s="8"/>
      <c r="D49586" s="8"/>
    </row>
    <row r="49587" spans="1:4" ht="15.75" customHeight="1">
      <c r="A49587" s="8"/>
      <c r="B49587" s="12"/>
      <c r="C49587" s="8"/>
      <c r="D49587" s="8"/>
    </row>
    <row r="49588" spans="1:4" ht="15.75" customHeight="1">
      <c r="A49588" s="8"/>
      <c r="B49588" s="12"/>
      <c r="C49588" s="8"/>
      <c r="D49588" s="8"/>
    </row>
    <row r="49589" spans="1:4" ht="15.75" customHeight="1">
      <c r="A49589" s="8"/>
      <c r="B49589" s="12"/>
      <c r="C49589" s="8"/>
      <c r="D49589" s="8"/>
    </row>
    <row r="49590" spans="1:4" ht="15.75" customHeight="1">
      <c r="A49590" s="8"/>
      <c r="B49590" s="12"/>
      <c r="C49590" s="8"/>
      <c r="D49590" s="8"/>
    </row>
    <row r="49591" spans="1:4" ht="15.75" customHeight="1">
      <c r="A49591" s="8"/>
      <c r="B49591" s="12"/>
      <c r="C49591" s="8"/>
      <c r="D49591" s="8"/>
    </row>
    <row r="49592" spans="1:4" ht="15.75" customHeight="1">
      <c r="A49592" s="8"/>
      <c r="B49592" s="12"/>
      <c r="C49592" s="8"/>
      <c r="D49592" s="8"/>
    </row>
    <row r="49593" spans="1:4" ht="15.75" customHeight="1">
      <c r="A49593" s="8"/>
      <c r="B49593" s="12"/>
      <c r="C49593" s="8"/>
      <c r="D49593" s="8"/>
    </row>
    <row r="49594" spans="1:4" ht="15.75" customHeight="1">
      <c r="A49594" s="8"/>
      <c r="B49594" s="12"/>
      <c r="C49594" s="8"/>
      <c r="D49594" s="8"/>
    </row>
    <row r="49595" spans="1:4" ht="15.75" customHeight="1">
      <c r="A49595" s="8"/>
      <c r="B49595" s="12"/>
      <c r="C49595" s="8"/>
      <c r="D49595" s="8"/>
    </row>
    <row r="49596" spans="1:4" ht="15.75" customHeight="1">
      <c r="A49596" s="8"/>
      <c r="B49596" s="12"/>
      <c r="C49596" s="8"/>
      <c r="D49596" s="8"/>
    </row>
    <row r="49597" spans="1:4" ht="15.75" customHeight="1">
      <c r="A49597" s="8"/>
      <c r="B49597" s="12"/>
      <c r="C49597" s="8"/>
      <c r="D49597" s="8"/>
    </row>
    <row r="49598" spans="1:4" ht="15.75" customHeight="1">
      <c r="A49598" s="8"/>
      <c r="B49598" s="12"/>
      <c r="C49598" s="8"/>
      <c r="D49598" s="8"/>
    </row>
    <row r="49599" spans="1:4" ht="15.75" customHeight="1">
      <c r="A49599" s="8"/>
      <c r="B49599" s="12"/>
      <c r="C49599" s="8"/>
      <c r="D49599" s="8"/>
    </row>
    <row r="49600" spans="1:4" ht="15.75" customHeight="1">
      <c r="A49600" s="8"/>
      <c r="B49600" s="12"/>
      <c r="C49600" s="8"/>
      <c r="D49600" s="8"/>
    </row>
    <row r="49601" spans="1:4" ht="15.75" customHeight="1">
      <c r="A49601" s="8"/>
      <c r="B49601" s="12"/>
      <c r="C49601" s="8"/>
      <c r="D49601" s="8"/>
    </row>
    <row r="49602" spans="1:4" ht="15.75" customHeight="1">
      <c r="A49602" s="8"/>
      <c r="B49602" s="12"/>
      <c r="C49602" s="8"/>
      <c r="D49602" s="8"/>
    </row>
    <row r="49603" spans="1:4" ht="15.75" customHeight="1">
      <c r="A49603" s="8"/>
      <c r="B49603" s="12"/>
      <c r="C49603" s="8"/>
      <c r="D49603" s="8"/>
    </row>
    <row r="49604" spans="1:4" ht="15.75" customHeight="1">
      <c r="A49604" s="8"/>
      <c r="B49604" s="12"/>
      <c r="C49604" s="8"/>
      <c r="D49604" s="8"/>
    </row>
    <row r="49605" spans="1:4" ht="15.75" customHeight="1">
      <c r="A49605" s="8"/>
      <c r="B49605" s="12"/>
      <c r="C49605" s="8"/>
      <c r="D49605" s="8"/>
    </row>
    <row r="49606" spans="1:4" ht="15.75" customHeight="1">
      <c r="A49606" s="8"/>
      <c r="B49606" s="12"/>
      <c r="C49606" s="8"/>
      <c r="D49606" s="8"/>
    </row>
    <row r="49607" spans="1:4" ht="15.75" customHeight="1">
      <c r="A49607" s="8"/>
      <c r="B49607" s="12"/>
      <c r="C49607" s="8"/>
      <c r="D49607" s="8"/>
    </row>
    <row r="49608" spans="1:4" ht="15.75" customHeight="1">
      <c r="A49608" s="8"/>
      <c r="B49608" s="12"/>
      <c r="C49608" s="8"/>
      <c r="D49608" s="8"/>
    </row>
    <row r="49609" spans="1:4" ht="15.75" customHeight="1">
      <c r="A49609" s="8"/>
      <c r="B49609" s="12"/>
      <c r="C49609" s="8"/>
      <c r="D49609" s="8"/>
    </row>
    <row r="49610" spans="1:4" ht="15.75" customHeight="1">
      <c r="A49610" s="8"/>
      <c r="B49610" s="12"/>
      <c r="C49610" s="8"/>
      <c r="D49610" s="8"/>
    </row>
    <row r="49611" spans="1:4" ht="15.75" customHeight="1">
      <c r="A49611" s="8"/>
      <c r="B49611" s="12"/>
      <c r="C49611" s="8"/>
      <c r="D49611" s="8"/>
    </row>
    <row r="49612" spans="1:4" ht="15.75" customHeight="1">
      <c r="A49612" s="8"/>
      <c r="B49612" s="12"/>
      <c r="C49612" s="8"/>
      <c r="D49612" s="8"/>
    </row>
    <row r="49613" spans="1:4" ht="15.75" customHeight="1">
      <c r="A49613" s="8"/>
      <c r="B49613" s="12"/>
      <c r="C49613" s="8"/>
      <c r="D49613" s="8"/>
    </row>
    <row r="49614" spans="1:4" ht="15.75" customHeight="1">
      <c r="A49614" s="8"/>
      <c r="B49614" s="12"/>
      <c r="C49614" s="8"/>
      <c r="D49614" s="8"/>
    </row>
    <row r="49615" spans="1:4" ht="15.75" customHeight="1">
      <c r="A49615" s="8"/>
      <c r="B49615" s="12"/>
      <c r="C49615" s="8"/>
      <c r="D49615" s="8"/>
    </row>
    <row r="49616" spans="1:4" ht="15.75" customHeight="1">
      <c r="A49616" s="8"/>
      <c r="B49616" s="12"/>
      <c r="C49616" s="8"/>
      <c r="D49616" s="8"/>
    </row>
    <row r="49617" spans="1:4" ht="15.75" customHeight="1">
      <c r="A49617" s="8"/>
      <c r="B49617" s="12"/>
      <c r="C49617" s="8"/>
      <c r="D49617" s="8"/>
    </row>
    <row r="49618" spans="1:4" ht="15.75" customHeight="1">
      <c r="A49618" s="8"/>
      <c r="B49618" s="12"/>
      <c r="C49618" s="8"/>
      <c r="D49618" s="8"/>
    </row>
    <row r="49619" spans="1:4" ht="15.75" customHeight="1">
      <c r="A49619" s="8"/>
      <c r="B49619" s="12"/>
      <c r="C49619" s="8"/>
      <c r="D49619" s="8"/>
    </row>
    <row r="49620" spans="1:4" ht="15.75" customHeight="1">
      <c r="A49620" s="8"/>
      <c r="B49620" s="12"/>
      <c r="C49620" s="8"/>
      <c r="D49620" s="8"/>
    </row>
    <row r="49621" spans="1:4" ht="15.75" customHeight="1">
      <c r="A49621" s="8"/>
      <c r="B49621" s="12"/>
      <c r="C49621" s="8"/>
      <c r="D49621" s="8"/>
    </row>
    <row r="49622" spans="1:4" ht="15.75" customHeight="1">
      <c r="A49622" s="8"/>
      <c r="B49622" s="12"/>
      <c r="C49622" s="8"/>
      <c r="D49622" s="8"/>
    </row>
    <row r="49623" spans="1:4" ht="15.75" customHeight="1">
      <c r="A49623" s="8"/>
      <c r="B49623" s="12"/>
      <c r="C49623" s="8"/>
      <c r="D49623" s="8"/>
    </row>
    <row r="49624" spans="1:4" ht="15.75" customHeight="1">
      <c r="A49624" s="8"/>
      <c r="B49624" s="12"/>
      <c r="C49624" s="8"/>
      <c r="D49624" s="8"/>
    </row>
    <row r="49625" spans="1:4" ht="15.75" customHeight="1">
      <c r="A49625" s="8"/>
      <c r="B49625" s="12"/>
      <c r="C49625" s="8"/>
      <c r="D49625" s="8"/>
    </row>
    <row r="49626" spans="1:4" ht="15.75" customHeight="1">
      <c r="A49626" s="8"/>
      <c r="B49626" s="12"/>
      <c r="C49626" s="8"/>
      <c r="D49626" s="8"/>
    </row>
    <row r="49627" spans="1:4" ht="15.75" customHeight="1">
      <c r="A49627" s="8"/>
      <c r="B49627" s="12"/>
      <c r="C49627" s="8"/>
      <c r="D49627" s="8"/>
    </row>
    <row r="49628" spans="1:4" ht="15.75" customHeight="1">
      <c r="A49628" s="8"/>
      <c r="B49628" s="12"/>
      <c r="C49628" s="8"/>
      <c r="D49628" s="8"/>
    </row>
    <row r="49629" spans="1:4" ht="15.75" customHeight="1">
      <c r="A49629" s="8"/>
      <c r="B49629" s="12"/>
      <c r="C49629" s="8"/>
      <c r="D49629" s="8"/>
    </row>
    <row r="49630" spans="1:4" ht="15.75" customHeight="1">
      <c r="A49630" s="8"/>
      <c r="B49630" s="12"/>
      <c r="C49630" s="8"/>
      <c r="D49630" s="8"/>
    </row>
    <row r="49631" spans="1:4" ht="15.75" customHeight="1">
      <c r="A49631" s="8"/>
      <c r="B49631" s="12"/>
      <c r="C49631" s="8"/>
      <c r="D49631" s="8"/>
    </row>
    <row r="49632" spans="1:4" ht="15.75" customHeight="1">
      <c r="A49632" s="8"/>
      <c r="B49632" s="12"/>
      <c r="C49632" s="8"/>
      <c r="D49632" s="8"/>
    </row>
    <row r="49633" spans="1:4" ht="15.75" customHeight="1">
      <c r="A49633" s="8"/>
      <c r="B49633" s="12"/>
      <c r="C49633" s="8"/>
      <c r="D49633" s="8"/>
    </row>
    <row r="49634" spans="1:4" ht="15.75" customHeight="1">
      <c r="A49634" s="8"/>
      <c r="B49634" s="12"/>
      <c r="C49634" s="8"/>
      <c r="D49634" s="8"/>
    </row>
    <row r="49635" spans="1:4" ht="15.75" customHeight="1">
      <c r="A49635" s="8"/>
      <c r="B49635" s="12"/>
      <c r="C49635" s="8"/>
      <c r="D49635" s="8"/>
    </row>
    <row r="49636" spans="1:4" ht="15.75" customHeight="1">
      <c r="A49636" s="8"/>
      <c r="B49636" s="12"/>
      <c r="C49636" s="8"/>
      <c r="D49636" s="8"/>
    </row>
    <row r="49637" spans="1:4" ht="15.75" customHeight="1">
      <c r="A49637" s="8"/>
      <c r="B49637" s="12"/>
      <c r="C49637" s="8"/>
      <c r="D49637" s="8"/>
    </row>
    <row r="49638" spans="1:4" ht="15.75" customHeight="1">
      <c r="A49638" s="8"/>
      <c r="B49638" s="12"/>
      <c r="C49638" s="8"/>
      <c r="D49638" s="8"/>
    </row>
    <row r="49639" spans="1:4" ht="15.75" customHeight="1">
      <c r="A49639" s="8"/>
      <c r="B49639" s="12"/>
      <c r="C49639" s="8"/>
      <c r="D49639" s="8"/>
    </row>
    <row r="49640" spans="1:4" ht="15.75" customHeight="1">
      <c r="A49640" s="8"/>
      <c r="B49640" s="12"/>
      <c r="C49640" s="8"/>
      <c r="D49640" s="8"/>
    </row>
    <row r="49641" spans="1:4" ht="15.75" customHeight="1">
      <c r="A49641" s="8"/>
      <c r="B49641" s="12"/>
      <c r="C49641" s="8"/>
      <c r="D49641" s="8"/>
    </row>
    <row r="49642" spans="1:4" ht="15.75" customHeight="1">
      <c r="A49642" s="8"/>
      <c r="B49642" s="12"/>
      <c r="C49642" s="8"/>
      <c r="D49642" s="8"/>
    </row>
    <row r="49643" spans="1:4" ht="15.75" customHeight="1">
      <c r="A49643" s="8"/>
      <c r="B49643" s="12"/>
      <c r="C49643" s="8"/>
      <c r="D49643" s="8"/>
    </row>
    <row r="49644" spans="1:4" ht="15.75" customHeight="1">
      <c r="A49644" s="8"/>
      <c r="B49644" s="12"/>
      <c r="C49644" s="8"/>
      <c r="D49644" s="8"/>
    </row>
    <row r="49645" spans="1:4" ht="15.75" customHeight="1">
      <c r="A49645" s="8"/>
      <c r="B49645" s="12"/>
      <c r="C49645" s="8"/>
      <c r="D49645" s="8"/>
    </row>
    <row r="49646" spans="1:4" ht="15.75" customHeight="1">
      <c r="A49646" s="8"/>
      <c r="B49646" s="12"/>
      <c r="C49646" s="8"/>
      <c r="D49646" s="8"/>
    </row>
    <row r="49647" spans="1:4" ht="15.75" customHeight="1">
      <c r="A49647" s="8"/>
      <c r="B49647" s="12"/>
      <c r="C49647" s="8"/>
      <c r="D49647" s="8"/>
    </row>
    <row r="49648" spans="1:4" ht="15.75" customHeight="1">
      <c r="A49648" s="8"/>
      <c r="B49648" s="12"/>
      <c r="C49648" s="8"/>
      <c r="D49648" s="8"/>
    </row>
    <row r="49649" spans="1:4" ht="15.75" customHeight="1">
      <c r="A49649" s="8"/>
      <c r="B49649" s="12"/>
      <c r="C49649" s="8"/>
      <c r="D49649" s="8"/>
    </row>
    <row r="49650" spans="1:4" ht="15.75" customHeight="1">
      <c r="A49650" s="8"/>
      <c r="B49650" s="12"/>
      <c r="C49650" s="8"/>
      <c r="D49650" s="8"/>
    </row>
    <row r="49651" spans="1:4" ht="15.75" customHeight="1">
      <c r="A49651" s="8"/>
      <c r="B49651" s="12"/>
      <c r="C49651" s="8"/>
      <c r="D49651" s="8"/>
    </row>
    <row r="49652" spans="1:4" ht="15.75" customHeight="1">
      <c r="A49652" s="8"/>
      <c r="B49652" s="12"/>
      <c r="C49652" s="8"/>
      <c r="D49652" s="8"/>
    </row>
    <row r="49653" spans="1:4" ht="15.75" customHeight="1">
      <c r="A49653" s="8"/>
      <c r="B49653" s="12"/>
      <c r="C49653" s="8"/>
      <c r="D49653" s="8"/>
    </row>
    <row r="49654" spans="1:4" ht="15.75" customHeight="1">
      <c r="A49654" s="8"/>
      <c r="B49654" s="12"/>
      <c r="C49654" s="8"/>
      <c r="D49654" s="8"/>
    </row>
    <row r="49655" spans="1:4" ht="15.75" customHeight="1">
      <c r="A49655" s="8"/>
      <c r="B49655" s="12"/>
      <c r="C49655" s="8"/>
      <c r="D49655" s="8"/>
    </row>
    <row r="49656" spans="1:4" ht="15.75" customHeight="1">
      <c r="A49656" s="8"/>
      <c r="B49656" s="12"/>
      <c r="C49656" s="8"/>
      <c r="D49656" s="8"/>
    </row>
    <row r="49657" spans="1:4" ht="15.75" customHeight="1">
      <c r="A49657" s="8"/>
      <c r="B49657" s="12"/>
      <c r="C49657" s="8"/>
      <c r="D49657" s="8"/>
    </row>
    <row r="49658" spans="1:4" ht="15.75" customHeight="1">
      <c r="A49658" s="8"/>
      <c r="B49658" s="12"/>
      <c r="C49658" s="8"/>
      <c r="D49658" s="8"/>
    </row>
    <row r="49659" spans="1:4" ht="15.75" customHeight="1">
      <c r="A49659" s="8"/>
      <c r="B49659" s="12"/>
      <c r="C49659" s="8"/>
      <c r="D49659" s="8"/>
    </row>
    <row r="49660" spans="1:4" ht="15.75" customHeight="1">
      <c r="A49660" s="8"/>
      <c r="B49660" s="12"/>
      <c r="C49660" s="8"/>
      <c r="D49660" s="8"/>
    </row>
    <row r="49661" spans="1:4" ht="15.75" customHeight="1">
      <c r="A49661" s="8"/>
      <c r="B49661" s="12"/>
      <c r="C49661" s="8"/>
      <c r="D49661" s="8"/>
    </row>
    <row r="49662" spans="1:4" ht="15.75" customHeight="1">
      <c r="A49662" s="8"/>
      <c r="B49662" s="12"/>
      <c r="C49662" s="8"/>
      <c r="D49662" s="8"/>
    </row>
    <row r="49663" spans="1:4" ht="15.75" customHeight="1">
      <c r="A49663" s="8"/>
      <c r="B49663" s="12"/>
      <c r="C49663" s="8"/>
      <c r="D49663" s="8"/>
    </row>
    <row r="49664" spans="1:4" ht="15.75" customHeight="1">
      <c r="A49664" s="8"/>
      <c r="B49664" s="12"/>
      <c r="C49664" s="8"/>
      <c r="D49664" s="8"/>
    </row>
    <row r="49665" spans="1:4" ht="15.75" customHeight="1">
      <c r="A49665" s="8"/>
      <c r="B49665" s="12"/>
      <c r="C49665" s="8"/>
      <c r="D49665" s="8"/>
    </row>
    <row r="49666" spans="1:4" ht="15.75" customHeight="1">
      <c r="A49666" s="8"/>
      <c r="B49666" s="12"/>
      <c r="C49666" s="8"/>
      <c r="D49666" s="8"/>
    </row>
    <row r="49667" spans="1:4" ht="15.75" customHeight="1">
      <c r="A49667" s="8"/>
      <c r="B49667" s="12"/>
      <c r="C49667" s="8"/>
      <c r="D49667" s="8"/>
    </row>
    <row r="49668" spans="1:4" ht="15.75" customHeight="1">
      <c r="A49668" s="8"/>
      <c r="B49668" s="12"/>
      <c r="C49668" s="8"/>
      <c r="D49668" s="8"/>
    </row>
    <row r="49669" spans="1:4" ht="15.75" customHeight="1">
      <c r="A49669" s="8"/>
      <c r="B49669" s="12"/>
      <c r="C49669" s="8"/>
      <c r="D49669" s="8"/>
    </row>
    <row r="49670" spans="1:4" ht="15.75" customHeight="1">
      <c r="A49670" s="8"/>
      <c r="B49670" s="12"/>
      <c r="C49670" s="8"/>
      <c r="D49670" s="8"/>
    </row>
    <row r="49671" spans="1:4" ht="15.75" customHeight="1">
      <c r="A49671" s="8"/>
      <c r="B49671" s="12"/>
      <c r="C49671" s="8"/>
      <c r="D49671" s="8"/>
    </row>
    <row r="49672" spans="1:4" ht="15.75" customHeight="1">
      <c r="A49672" s="8"/>
      <c r="B49672" s="12"/>
      <c r="C49672" s="8"/>
      <c r="D49672" s="8"/>
    </row>
    <row r="49673" spans="1:4" ht="15.75" customHeight="1">
      <c r="A49673" s="8"/>
      <c r="B49673" s="12"/>
      <c r="C49673" s="8"/>
      <c r="D49673" s="8"/>
    </row>
    <row r="49674" spans="1:4" ht="15.75" customHeight="1">
      <c r="A49674" s="8"/>
      <c r="B49674" s="12"/>
      <c r="C49674" s="8"/>
      <c r="D49674" s="8"/>
    </row>
    <row r="49675" spans="1:4" ht="15.75" customHeight="1">
      <c r="A49675" s="8"/>
      <c r="B49675" s="12"/>
      <c r="C49675" s="8"/>
      <c r="D49675" s="8"/>
    </row>
    <row r="49676" spans="1:4" ht="15.75" customHeight="1">
      <c r="A49676" s="8"/>
      <c r="B49676" s="12"/>
      <c r="C49676" s="8"/>
      <c r="D49676" s="8"/>
    </row>
    <row r="49677" spans="1:4" ht="15.75" customHeight="1">
      <c r="A49677" s="8"/>
      <c r="B49677" s="12"/>
      <c r="C49677" s="8"/>
      <c r="D49677" s="8"/>
    </row>
    <row r="49678" spans="1:4" ht="15.75" customHeight="1">
      <c r="A49678" s="8"/>
      <c r="B49678" s="12"/>
      <c r="C49678" s="8"/>
      <c r="D49678" s="8"/>
    </row>
    <row r="49679" spans="1:4" ht="15.75" customHeight="1">
      <c r="A49679" s="8"/>
      <c r="B49679" s="12"/>
      <c r="C49679" s="8"/>
      <c r="D49679" s="8"/>
    </row>
    <row r="49680" spans="1:4" ht="15.75" customHeight="1">
      <c r="A49680" s="8"/>
      <c r="B49680" s="12"/>
      <c r="C49680" s="8"/>
      <c r="D49680" s="8"/>
    </row>
    <row r="49681" spans="1:4" ht="15.75" customHeight="1">
      <c r="A49681" s="8"/>
      <c r="B49681" s="12"/>
      <c r="C49681" s="8"/>
      <c r="D49681" s="8"/>
    </row>
    <row r="49682" spans="1:4" ht="15.75" customHeight="1">
      <c r="A49682" s="8"/>
      <c r="B49682" s="12"/>
      <c r="C49682" s="8"/>
      <c r="D49682" s="8"/>
    </row>
    <row r="49683" spans="1:4" ht="15.75" customHeight="1">
      <c r="A49683" s="8"/>
      <c r="B49683" s="12"/>
      <c r="C49683" s="8"/>
      <c r="D49683" s="8"/>
    </row>
    <row r="49684" spans="1:4" ht="15.75" customHeight="1">
      <c r="A49684" s="8"/>
      <c r="B49684" s="12"/>
      <c r="C49684" s="8"/>
      <c r="D49684" s="8"/>
    </row>
    <row r="49685" spans="1:4" ht="15.75" customHeight="1">
      <c r="A49685" s="8"/>
      <c r="B49685" s="12"/>
      <c r="C49685" s="8"/>
      <c r="D49685" s="8"/>
    </row>
    <row r="49686" spans="1:4" ht="15.75" customHeight="1">
      <c r="A49686" s="8"/>
      <c r="B49686" s="12"/>
      <c r="C49686" s="8"/>
      <c r="D49686" s="8"/>
    </row>
    <row r="49687" spans="1:4" ht="15.75" customHeight="1">
      <c r="A49687" s="8"/>
      <c r="B49687" s="12"/>
      <c r="C49687" s="8"/>
      <c r="D49687" s="8"/>
    </row>
    <row r="49688" spans="1:4" ht="15.75" customHeight="1">
      <c r="A49688" s="8"/>
      <c r="B49688" s="12"/>
      <c r="C49688" s="8"/>
      <c r="D49688" s="8"/>
    </row>
    <row r="49689" spans="1:4" ht="15.75" customHeight="1">
      <c r="A49689" s="8"/>
      <c r="B49689" s="12"/>
      <c r="C49689" s="8"/>
      <c r="D49689" s="8"/>
    </row>
    <row r="49690" spans="1:4" ht="15.75" customHeight="1">
      <c r="A49690" s="8"/>
      <c r="B49690" s="12"/>
      <c r="C49690" s="8"/>
      <c r="D49690" s="8"/>
    </row>
    <row r="49691" spans="1:4" ht="15.75" customHeight="1">
      <c r="A49691" s="8"/>
      <c r="B49691" s="12"/>
      <c r="C49691" s="8"/>
      <c r="D49691" s="8"/>
    </row>
    <row r="49692" spans="1:4" ht="15.75" customHeight="1">
      <c r="A49692" s="8"/>
      <c r="B49692" s="12"/>
      <c r="C49692" s="8"/>
      <c r="D49692" s="8"/>
    </row>
    <row r="49693" spans="1:4" ht="15.75" customHeight="1">
      <c r="A49693" s="8"/>
      <c r="B49693" s="12"/>
      <c r="C49693" s="8"/>
      <c r="D49693" s="8"/>
    </row>
    <row r="49694" spans="1:4" ht="15.75" customHeight="1">
      <c r="A49694" s="8"/>
      <c r="B49694" s="12"/>
      <c r="C49694" s="8"/>
      <c r="D49694" s="8"/>
    </row>
    <row r="49695" spans="1:4" ht="15.75" customHeight="1">
      <c r="A49695" s="8"/>
      <c r="B49695" s="12"/>
      <c r="C49695" s="8"/>
      <c r="D49695" s="8"/>
    </row>
    <row r="49696" spans="1:4" ht="15.75" customHeight="1">
      <c r="A49696" s="8"/>
      <c r="B49696" s="12"/>
      <c r="C49696" s="8"/>
      <c r="D49696" s="8"/>
    </row>
    <row r="49697" spans="1:4" ht="15.75" customHeight="1">
      <c r="A49697" s="8"/>
      <c r="B49697" s="12"/>
      <c r="C49697" s="8"/>
      <c r="D49697" s="8"/>
    </row>
    <row r="49698" spans="1:4" ht="15.75" customHeight="1">
      <c r="A49698" s="8"/>
      <c r="B49698" s="12"/>
      <c r="C49698" s="8"/>
      <c r="D49698" s="8"/>
    </row>
    <row r="49699" spans="1:4" ht="15.75" customHeight="1">
      <c r="A49699" s="8"/>
      <c r="B49699" s="12"/>
      <c r="C49699" s="8"/>
      <c r="D49699" s="8"/>
    </row>
    <row r="49700" spans="1:4" ht="15.75" customHeight="1">
      <c r="A49700" s="8"/>
      <c r="B49700" s="12"/>
      <c r="C49700" s="8"/>
      <c r="D49700" s="8"/>
    </row>
    <row r="49701" spans="1:4" ht="15.75" customHeight="1">
      <c r="A49701" s="8"/>
      <c r="B49701" s="12"/>
      <c r="C49701" s="8"/>
      <c r="D49701" s="8"/>
    </row>
    <row r="49702" spans="1:4" ht="15.75" customHeight="1">
      <c r="A49702" s="8"/>
      <c r="B49702" s="12"/>
      <c r="C49702" s="8"/>
      <c r="D49702" s="8"/>
    </row>
    <row r="49703" spans="1:4" ht="15.75" customHeight="1">
      <c r="A49703" s="8"/>
      <c r="B49703" s="12"/>
      <c r="C49703" s="8"/>
      <c r="D49703" s="8"/>
    </row>
    <row r="49704" spans="1:4" ht="15.75" customHeight="1">
      <c r="A49704" s="8"/>
      <c r="B49704" s="12"/>
      <c r="C49704" s="8"/>
      <c r="D49704" s="8"/>
    </row>
    <row r="49705" spans="1:4" ht="15.75" customHeight="1">
      <c r="A49705" s="8"/>
      <c r="B49705" s="12"/>
      <c r="C49705" s="8"/>
      <c r="D49705" s="8"/>
    </row>
    <row r="49706" spans="1:4" ht="15.75" customHeight="1">
      <c r="A49706" s="8"/>
      <c r="B49706" s="12"/>
      <c r="C49706" s="8"/>
      <c r="D49706" s="8"/>
    </row>
    <row r="49707" spans="1:4" ht="15.75" customHeight="1">
      <c r="A49707" s="8"/>
      <c r="B49707" s="12"/>
      <c r="C49707" s="8"/>
      <c r="D49707" s="8"/>
    </row>
    <row r="49708" spans="1:4" ht="15.75" customHeight="1">
      <c r="A49708" s="8"/>
      <c r="B49708" s="12"/>
      <c r="C49708" s="8"/>
      <c r="D49708" s="8"/>
    </row>
    <row r="49709" spans="1:4" ht="15.75" customHeight="1">
      <c r="A49709" s="8"/>
      <c r="B49709" s="12"/>
      <c r="C49709" s="8"/>
      <c r="D49709" s="8"/>
    </row>
    <row r="49710" spans="1:4" ht="15.75" customHeight="1">
      <c r="A49710" s="8"/>
      <c r="B49710" s="12"/>
      <c r="C49710" s="8"/>
      <c r="D49710" s="8"/>
    </row>
    <row r="49711" spans="1:4" ht="15.75" customHeight="1">
      <c r="A49711" s="8"/>
      <c r="B49711" s="12"/>
      <c r="C49711" s="8"/>
      <c r="D49711" s="8"/>
    </row>
    <row r="49712" spans="1:4" ht="15.75" customHeight="1">
      <c r="A49712" s="8"/>
      <c r="B49712" s="12"/>
      <c r="C49712" s="8"/>
      <c r="D49712" s="8"/>
    </row>
    <row r="49713" spans="1:4" ht="15.75" customHeight="1">
      <c r="A49713" s="8"/>
      <c r="B49713" s="12"/>
      <c r="C49713" s="8"/>
      <c r="D49713" s="8"/>
    </row>
    <row r="49714" spans="1:4" ht="15.75" customHeight="1">
      <c r="A49714" s="8"/>
      <c r="B49714" s="12"/>
      <c r="C49714" s="8"/>
      <c r="D49714" s="8"/>
    </row>
    <row r="49715" spans="1:4" ht="15.75" customHeight="1">
      <c r="A49715" s="8"/>
      <c r="B49715" s="12"/>
      <c r="C49715" s="8"/>
      <c r="D49715" s="8"/>
    </row>
    <row r="49716" spans="1:4" ht="15.75" customHeight="1">
      <c r="A49716" s="8"/>
      <c r="B49716" s="12"/>
      <c r="C49716" s="8"/>
      <c r="D49716" s="8"/>
    </row>
    <row r="49717" spans="1:4" ht="15.75" customHeight="1">
      <c r="A49717" s="8"/>
      <c r="B49717" s="12"/>
      <c r="C49717" s="8"/>
      <c r="D49717" s="8"/>
    </row>
    <row r="49718" spans="1:4" ht="15.75" customHeight="1">
      <c r="A49718" s="8"/>
      <c r="B49718" s="12"/>
      <c r="C49718" s="8"/>
      <c r="D49718" s="8"/>
    </row>
    <row r="49719" spans="1:4" ht="15.75" customHeight="1">
      <c r="A49719" s="8"/>
      <c r="B49719" s="12"/>
      <c r="C49719" s="8"/>
      <c r="D49719" s="8"/>
    </row>
    <row r="49720" spans="1:4" ht="15.75" customHeight="1">
      <c r="A49720" s="8"/>
      <c r="B49720" s="12"/>
      <c r="C49720" s="8"/>
      <c r="D49720" s="8"/>
    </row>
    <row r="49721" spans="1:4" ht="15.75" customHeight="1">
      <c r="A49721" s="8"/>
      <c r="B49721" s="12"/>
      <c r="C49721" s="8"/>
      <c r="D49721" s="8"/>
    </row>
    <row r="49722" spans="1:4" ht="15.75" customHeight="1">
      <c r="A49722" s="8"/>
      <c r="B49722" s="12"/>
      <c r="C49722" s="8"/>
      <c r="D49722" s="8"/>
    </row>
    <row r="49723" spans="1:4" ht="15.75" customHeight="1">
      <c r="A49723" s="8"/>
      <c r="B49723" s="12"/>
      <c r="C49723" s="8"/>
      <c r="D49723" s="8"/>
    </row>
    <row r="49724" spans="1:4" ht="15.75" customHeight="1">
      <c r="A49724" s="8"/>
      <c r="B49724" s="12"/>
      <c r="C49724" s="8"/>
      <c r="D49724" s="8"/>
    </row>
    <row r="49725" spans="1:4" ht="15.75" customHeight="1">
      <c r="A49725" s="8"/>
      <c r="B49725" s="12"/>
      <c r="C49725" s="8"/>
      <c r="D49725" s="8"/>
    </row>
    <row r="49726" spans="1:4" ht="15.75" customHeight="1">
      <c r="A49726" s="8"/>
      <c r="B49726" s="12"/>
      <c r="C49726" s="8"/>
      <c r="D49726" s="8"/>
    </row>
    <row r="49727" spans="1:4" ht="15.75" customHeight="1">
      <c r="A49727" s="8"/>
      <c r="B49727" s="12"/>
      <c r="C49727" s="8"/>
      <c r="D49727" s="8"/>
    </row>
    <row r="49728" spans="1:4" ht="15.75" customHeight="1">
      <c r="A49728" s="8"/>
      <c r="B49728" s="12"/>
      <c r="C49728" s="8"/>
      <c r="D49728" s="8"/>
    </row>
    <row r="49729" spans="1:4" ht="15.75" customHeight="1">
      <c r="A49729" s="8"/>
      <c r="B49729" s="12"/>
      <c r="C49729" s="8"/>
      <c r="D49729" s="8"/>
    </row>
    <row r="49730" spans="1:4" ht="15.75" customHeight="1">
      <c r="A49730" s="8"/>
      <c r="B49730" s="12"/>
      <c r="C49730" s="8"/>
      <c r="D49730" s="8"/>
    </row>
    <row r="49731" spans="1:4" ht="15.75" customHeight="1">
      <c r="A49731" s="8"/>
      <c r="B49731" s="12"/>
      <c r="C49731" s="8"/>
      <c r="D49731" s="8"/>
    </row>
    <row r="49732" spans="1:4" ht="15.75" customHeight="1">
      <c r="A49732" s="8"/>
      <c r="B49732" s="12"/>
      <c r="C49732" s="8"/>
      <c r="D49732" s="8"/>
    </row>
    <row r="49733" spans="1:4" ht="15.75" customHeight="1">
      <c r="A49733" s="8"/>
      <c r="B49733" s="12"/>
      <c r="C49733" s="8"/>
      <c r="D49733" s="8"/>
    </row>
    <row r="49734" spans="1:4" ht="15.75" customHeight="1">
      <c r="A49734" s="8"/>
      <c r="B49734" s="12"/>
      <c r="C49734" s="8"/>
      <c r="D49734" s="8"/>
    </row>
    <row r="49735" spans="1:4" ht="15.75" customHeight="1">
      <c r="A49735" s="8"/>
      <c r="B49735" s="12"/>
      <c r="C49735" s="8"/>
      <c r="D49735" s="8"/>
    </row>
    <row r="49736" spans="1:4" ht="15.75" customHeight="1">
      <c r="A49736" s="8"/>
      <c r="B49736" s="12"/>
      <c r="C49736" s="8"/>
      <c r="D49736" s="8"/>
    </row>
    <row r="49737" spans="1:4" ht="15.75" customHeight="1">
      <c r="A49737" s="8"/>
      <c r="B49737" s="12"/>
      <c r="C49737" s="8"/>
      <c r="D49737" s="8"/>
    </row>
    <row r="49738" spans="1:4" ht="15.75" customHeight="1">
      <c r="A49738" s="8"/>
      <c r="B49738" s="12"/>
      <c r="C49738" s="8"/>
      <c r="D49738" s="8"/>
    </row>
    <row r="49739" spans="1:4" ht="15.75" customHeight="1">
      <c r="A49739" s="8"/>
      <c r="B49739" s="12"/>
      <c r="C49739" s="8"/>
      <c r="D49739" s="8"/>
    </row>
    <row r="49740" spans="1:4" ht="15.75" customHeight="1">
      <c r="A49740" s="8"/>
      <c r="B49740" s="12"/>
      <c r="C49740" s="8"/>
      <c r="D49740" s="8"/>
    </row>
    <row r="49741" spans="1:4" ht="15.75" customHeight="1">
      <c r="A49741" s="8"/>
      <c r="B49741" s="12"/>
      <c r="C49741" s="8"/>
      <c r="D49741" s="8"/>
    </row>
    <row r="49742" spans="1:4" ht="15.75" customHeight="1">
      <c r="A49742" s="8"/>
      <c r="B49742" s="12"/>
      <c r="C49742" s="8"/>
      <c r="D49742" s="8"/>
    </row>
    <row r="49743" spans="1:4" ht="15.75" customHeight="1">
      <c r="A49743" s="8"/>
      <c r="B49743" s="12"/>
      <c r="C49743" s="8"/>
      <c r="D49743" s="8"/>
    </row>
    <row r="49744" spans="1:4" ht="15.75" customHeight="1">
      <c r="A49744" s="8"/>
      <c r="B49744" s="12"/>
      <c r="C49744" s="8"/>
      <c r="D49744" s="8"/>
    </row>
    <row r="49745" spans="1:4" ht="15.75" customHeight="1">
      <c r="A49745" s="8"/>
      <c r="B49745" s="12"/>
      <c r="C49745" s="8"/>
      <c r="D49745" s="8"/>
    </row>
    <row r="49746" spans="1:4" ht="15.75" customHeight="1">
      <c r="A49746" s="8"/>
      <c r="B49746" s="12"/>
      <c r="C49746" s="8"/>
      <c r="D49746" s="8"/>
    </row>
    <row r="49747" spans="1:4" ht="15.75" customHeight="1">
      <c r="A49747" s="8"/>
      <c r="B49747" s="12"/>
      <c r="C49747" s="8"/>
      <c r="D49747" s="8"/>
    </row>
    <row r="49748" spans="1:4" ht="15.75" customHeight="1">
      <c r="A49748" s="8"/>
      <c r="B49748" s="12"/>
      <c r="C49748" s="8"/>
      <c r="D49748" s="8"/>
    </row>
    <row r="49749" spans="1:4" ht="15.75" customHeight="1">
      <c r="A49749" s="8"/>
      <c r="B49749" s="12"/>
      <c r="C49749" s="8"/>
      <c r="D49749" s="8"/>
    </row>
    <row r="49750" spans="1:4" ht="15.75" customHeight="1">
      <c r="A49750" s="8"/>
      <c r="B49750" s="12"/>
      <c r="C49750" s="8"/>
      <c r="D49750" s="8"/>
    </row>
    <row r="49751" spans="1:4" ht="15.75" customHeight="1">
      <c r="A49751" s="8"/>
      <c r="B49751" s="12"/>
      <c r="C49751" s="8"/>
      <c r="D49751" s="8"/>
    </row>
    <row r="49752" spans="1:4" ht="15.75" customHeight="1">
      <c r="A49752" s="8"/>
      <c r="B49752" s="12"/>
      <c r="C49752" s="8"/>
      <c r="D49752" s="8"/>
    </row>
    <row r="49753" spans="1:4" ht="15.75" customHeight="1">
      <c r="A49753" s="8"/>
      <c r="B49753" s="12"/>
      <c r="C49753" s="8"/>
      <c r="D49753" s="8"/>
    </row>
    <row r="49754" spans="1:4" ht="15.75" customHeight="1">
      <c r="A49754" s="8"/>
      <c r="B49754" s="12"/>
      <c r="C49754" s="8"/>
      <c r="D49754" s="8"/>
    </row>
    <row r="49755" spans="1:4" ht="15.75" customHeight="1">
      <c r="A49755" s="8"/>
      <c r="B49755" s="12"/>
      <c r="C49755" s="8"/>
      <c r="D49755" s="8"/>
    </row>
    <row r="49756" spans="1:4" ht="15.75" customHeight="1">
      <c r="A49756" s="8"/>
      <c r="B49756" s="12"/>
      <c r="C49756" s="8"/>
      <c r="D49756" s="8"/>
    </row>
    <row r="49757" spans="1:4" ht="15.75" customHeight="1">
      <c r="A49757" s="8"/>
      <c r="B49757" s="12"/>
      <c r="C49757" s="8"/>
      <c r="D49757" s="8"/>
    </row>
    <row r="49758" spans="1:4" ht="15.75" customHeight="1">
      <c r="A49758" s="8"/>
      <c r="B49758" s="12"/>
      <c r="C49758" s="8"/>
      <c r="D49758" s="8"/>
    </row>
    <row r="49759" spans="1:4" ht="15.75" customHeight="1">
      <c r="A49759" s="8"/>
      <c r="B49759" s="12"/>
      <c r="C49759" s="8"/>
      <c r="D49759" s="8"/>
    </row>
    <row r="49760" spans="1:4" ht="15.75" customHeight="1">
      <c r="A49760" s="8"/>
      <c r="B49760" s="12"/>
      <c r="C49760" s="8"/>
      <c r="D49760" s="8"/>
    </row>
    <row r="49761" spans="1:4" ht="15.75" customHeight="1">
      <c r="A49761" s="8"/>
      <c r="B49761" s="12"/>
      <c r="C49761" s="8"/>
      <c r="D49761" s="8"/>
    </row>
    <row r="49762" spans="1:4" ht="15.75" customHeight="1">
      <c r="A49762" s="8"/>
      <c r="B49762" s="12"/>
      <c r="C49762" s="8"/>
      <c r="D49762" s="8"/>
    </row>
    <row r="49763" spans="1:4" ht="15.75" customHeight="1">
      <c r="A49763" s="8"/>
      <c r="B49763" s="12"/>
      <c r="C49763" s="8"/>
      <c r="D49763" s="8"/>
    </row>
    <row r="49764" spans="1:4" ht="15.75" customHeight="1">
      <c r="A49764" s="8"/>
      <c r="B49764" s="12"/>
      <c r="C49764" s="8"/>
      <c r="D49764" s="8"/>
    </row>
    <row r="49765" spans="1:4" ht="15.75" customHeight="1">
      <c r="A49765" s="8"/>
      <c r="B49765" s="12"/>
      <c r="C49765" s="8"/>
      <c r="D49765" s="8"/>
    </row>
    <row r="49766" spans="1:4" ht="15.75" customHeight="1">
      <c r="A49766" s="8"/>
      <c r="B49766" s="12"/>
      <c r="C49766" s="8"/>
      <c r="D49766" s="8"/>
    </row>
    <row r="49767" spans="1:4" ht="15.75" customHeight="1">
      <c r="A49767" s="8"/>
      <c r="B49767" s="12"/>
      <c r="C49767" s="8"/>
      <c r="D49767" s="8"/>
    </row>
    <row r="49768" spans="1:4" ht="15.75" customHeight="1">
      <c r="A49768" s="8"/>
      <c r="B49768" s="12"/>
      <c r="C49768" s="8"/>
      <c r="D49768" s="8"/>
    </row>
    <row r="49769" spans="1:4" ht="15.75" customHeight="1">
      <c r="A49769" s="8"/>
      <c r="B49769" s="12"/>
      <c r="C49769" s="8"/>
      <c r="D49769" s="8"/>
    </row>
    <row r="49770" spans="1:4" ht="15.75" customHeight="1">
      <c r="A49770" s="8"/>
      <c r="B49770" s="12"/>
      <c r="C49770" s="8"/>
      <c r="D49770" s="8"/>
    </row>
    <row r="49771" spans="1:4" ht="15.75" customHeight="1">
      <c r="A49771" s="8"/>
      <c r="B49771" s="12"/>
      <c r="C49771" s="8"/>
      <c r="D49771" s="8"/>
    </row>
    <row r="49772" spans="1:4" ht="15.75" customHeight="1">
      <c r="A49772" s="8"/>
      <c r="B49772" s="12"/>
      <c r="C49772" s="8"/>
      <c r="D49772" s="8"/>
    </row>
    <row r="49773" spans="1:4" ht="15.75" customHeight="1">
      <c r="A49773" s="8"/>
      <c r="B49773" s="12"/>
      <c r="C49773" s="8"/>
      <c r="D49773" s="8"/>
    </row>
    <row r="49774" spans="1:4" ht="15.75" customHeight="1">
      <c r="A49774" s="8"/>
      <c r="B49774" s="12"/>
      <c r="C49774" s="8"/>
      <c r="D49774" s="8"/>
    </row>
    <row r="49775" spans="1:4" ht="15.75" customHeight="1">
      <c r="A49775" s="8"/>
      <c r="B49775" s="12"/>
      <c r="C49775" s="8"/>
      <c r="D49775" s="8"/>
    </row>
    <row r="49776" spans="1:4" ht="15.75" customHeight="1">
      <c r="A49776" s="8"/>
      <c r="B49776" s="12"/>
      <c r="C49776" s="8"/>
      <c r="D49776" s="8"/>
    </row>
    <row r="49777" spans="1:4" ht="15.75" customHeight="1">
      <c r="A49777" s="8"/>
      <c r="B49777" s="12"/>
      <c r="C49777" s="8"/>
      <c r="D49777" s="8"/>
    </row>
    <row r="49778" spans="1:4" ht="15.75" customHeight="1">
      <c r="A49778" s="8"/>
      <c r="B49778" s="12"/>
      <c r="C49778" s="8"/>
      <c r="D49778" s="8"/>
    </row>
    <row r="49779" spans="1:4" ht="15.75" customHeight="1">
      <c r="A49779" s="8"/>
      <c r="B49779" s="12"/>
      <c r="C49779" s="8"/>
      <c r="D49779" s="8"/>
    </row>
    <row r="49780" spans="1:4" ht="15.75" customHeight="1">
      <c r="A49780" s="8"/>
      <c r="B49780" s="12"/>
      <c r="C49780" s="8"/>
      <c r="D49780" s="8"/>
    </row>
    <row r="49781" spans="1:4" ht="15.75" customHeight="1">
      <c r="A49781" s="8"/>
      <c r="B49781" s="12"/>
      <c r="C49781" s="8"/>
      <c r="D49781" s="8"/>
    </row>
    <row r="49782" spans="1:4" ht="15.75" customHeight="1">
      <c r="A49782" s="8"/>
      <c r="B49782" s="12"/>
      <c r="C49782" s="8"/>
      <c r="D49782" s="8"/>
    </row>
    <row r="49783" spans="1:4" ht="15.75" customHeight="1">
      <c r="A49783" s="8"/>
      <c r="B49783" s="12"/>
      <c r="C49783" s="8"/>
      <c r="D49783" s="8"/>
    </row>
    <row r="49784" spans="1:4" ht="15.75" customHeight="1">
      <c r="A49784" s="8"/>
      <c r="B49784" s="12"/>
      <c r="C49784" s="8"/>
      <c r="D49784" s="8"/>
    </row>
    <row r="49785" spans="1:4" ht="15.75" customHeight="1">
      <c r="A49785" s="8"/>
      <c r="B49785" s="12"/>
      <c r="C49785" s="8"/>
      <c r="D49785" s="8"/>
    </row>
    <row r="49786" spans="1:4" ht="15.75" customHeight="1">
      <c r="A49786" s="8"/>
      <c r="B49786" s="12"/>
      <c r="C49786" s="8"/>
      <c r="D49786" s="8"/>
    </row>
    <row r="49787" spans="1:4" ht="15.75" customHeight="1">
      <c r="A49787" s="8"/>
      <c r="B49787" s="12"/>
      <c r="C49787" s="8"/>
      <c r="D49787" s="8"/>
    </row>
    <row r="49788" spans="1:4" ht="15.75" customHeight="1">
      <c r="A49788" s="8"/>
      <c r="B49788" s="12"/>
      <c r="C49788" s="8"/>
      <c r="D49788" s="8"/>
    </row>
    <row r="49789" spans="1:4" ht="15.75" customHeight="1">
      <c r="A49789" s="8"/>
      <c r="B49789" s="12"/>
      <c r="C49789" s="8"/>
      <c r="D49789" s="8"/>
    </row>
    <row r="49790" spans="1:4" ht="15.75" customHeight="1">
      <c r="A49790" s="8"/>
      <c r="B49790" s="12"/>
      <c r="C49790" s="8"/>
      <c r="D49790" s="8"/>
    </row>
    <row r="49791" spans="1:4" ht="15.75" customHeight="1">
      <c r="A49791" s="8"/>
      <c r="B49791" s="12"/>
      <c r="C49791" s="8"/>
      <c r="D49791" s="8"/>
    </row>
    <row r="49792" spans="1:4" ht="15.75" customHeight="1">
      <c r="A49792" s="8"/>
      <c r="B49792" s="12"/>
      <c r="C49792" s="8"/>
      <c r="D49792" s="8"/>
    </row>
    <row r="49793" spans="1:4" ht="15.75" customHeight="1">
      <c r="A49793" s="8"/>
      <c r="B49793" s="12"/>
      <c r="C49793" s="8"/>
      <c r="D49793" s="8"/>
    </row>
    <row r="49794" spans="1:4" ht="15.75" customHeight="1">
      <c r="A49794" s="8"/>
      <c r="B49794" s="12"/>
      <c r="C49794" s="8"/>
      <c r="D49794" s="8"/>
    </row>
    <row r="49795" spans="1:4" ht="15.75" customHeight="1">
      <c r="A49795" s="8"/>
      <c r="B49795" s="12"/>
      <c r="C49795" s="8"/>
      <c r="D49795" s="8"/>
    </row>
    <row r="49796" spans="1:4" ht="15.75" customHeight="1">
      <c r="A49796" s="8"/>
      <c r="B49796" s="12"/>
      <c r="C49796" s="8"/>
      <c r="D49796" s="8"/>
    </row>
    <row r="49797" spans="1:4" ht="15.75" customHeight="1">
      <c r="A49797" s="8"/>
      <c r="B49797" s="12"/>
      <c r="C49797" s="8"/>
      <c r="D49797" s="8"/>
    </row>
    <row r="49798" spans="1:4" ht="15.75" customHeight="1">
      <c r="A49798" s="8"/>
      <c r="B49798" s="12"/>
      <c r="C49798" s="8"/>
      <c r="D49798" s="8"/>
    </row>
    <row r="49799" spans="1:4" ht="15.75" customHeight="1">
      <c r="A49799" s="8"/>
      <c r="B49799" s="12"/>
      <c r="C49799" s="8"/>
      <c r="D49799" s="8"/>
    </row>
    <row r="49800" spans="1:4" ht="15.75" customHeight="1">
      <c r="A49800" s="8"/>
      <c r="B49800" s="12"/>
      <c r="C49800" s="8"/>
      <c r="D49800" s="8"/>
    </row>
    <row r="49801" spans="1:4" ht="15.75" customHeight="1">
      <c r="A49801" s="8"/>
      <c r="B49801" s="12"/>
      <c r="C49801" s="8"/>
      <c r="D49801" s="8"/>
    </row>
    <row r="49802" spans="1:4" ht="15.75" customHeight="1">
      <c r="A49802" s="8"/>
      <c r="B49802" s="12"/>
      <c r="C49802" s="8"/>
      <c r="D49802" s="8"/>
    </row>
    <row r="49803" spans="1:4" ht="15.75" customHeight="1">
      <c r="A49803" s="8"/>
      <c r="B49803" s="12"/>
      <c r="C49803" s="8"/>
      <c r="D49803" s="8"/>
    </row>
    <row r="49804" spans="1:4" ht="15.75" customHeight="1">
      <c r="A49804" s="8"/>
      <c r="B49804" s="12"/>
      <c r="C49804" s="8"/>
      <c r="D49804" s="8"/>
    </row>
    <row r="49805" spans="1:4" ht="15.75" customHeight="1">
      <c r="A49805" s="8"/>
      <c r="B49805" s="12"/>
      <c r="C49805" s="8"/>
      <c r="D49805" s="8"/>
    </row>
    <row r="49806" spans="1:4" ht="15.75" customHeight="1">
      <c r="A49806" s="8"/>
      <c r="B49806" s="12"/>
      <c r="C49806" s="8"/>
      <c r="D49806" s="8"/>
    </row>
    <row r="49807" spans="1:4" ht="15.75" customHeight="1">
      <c r="A49807" s="8"/>
      <c r="B49807" s="12"/>
      <c r="C49807" s="8"/>
      <c r="D49807" s="8"/>
    </row>
    <row r="49808" spans="1:4" ht="15.75" customHeight="1">
      <c r="A49808" s="8"/>
      <c r="B49808" s="12"/>
      <c r="C49808" s="8"/>
      <c r="D49808" s="8"/>
    </row>
    <row r="49809" spans="1:4" ht="15.75" customHeight="1">
      <c r="A49809" s="8"/>
      <c r="B49809" s="12"/>
      <c r="C49809" s="8"/>
      <c r="D49809" s="8"/>
    </row>
    <row r="49810" spans="1:4" ht="15.75" customHeight="1">
      <c r="A49810" s="8"/>
      <c r="B49810" s="12"/>
      <c r="C49810" s="8"/>
      <c r="D49810" s="8"/>
    </row>
    <row r="49811" spans="1:4" ht="15.75" customHeight="1">
      <c r="A49811" s="8"/>
      <c r="B49811" s="12"/>
      <c r="C49811" s="8"/>
      <c r="D49811" s="8"/>
    </row>
    <row r="49812" spans="1:4" ht="15.75" customHeight="1">
      <c r="A49812" s="8"/>
      <c r="B49812" s="12"/>
      <c r="C49812" s="8"/>
      <c r="D49812" s="8"/>
    </row>
    <row r="49813" spans="1:4" ht="15.75" customHeight="1">
      <c r="A49813" s="8"/>
      <c r="B49813" s="12"/>
      <c r="C49813" s="8"/>
      <c r="D49813" s="8"/>
    </row>
    <row r="49814" spans="1:4" ht="15.75" customHeight="1">
      <c r="A49814" s="8"/>
      <c r="B49814" s="12"/>
      <c r="C49814" s="8"/>
      <c r="D49814" s="8"/>
    </row>
    <row r="49815" spans="1:4" ht="15.75" customHeight="1">
      <c r="A49815" s="8"/>
      <c r="B49815" s="12"/>
      <c r="C49815" s="8"/>
      <c r="D49815" s="8"/>
    </row>
    <row r="49816" spans="1:4" ht="15.75" customHeight="1">
      <c r="A49816" s="8"/>
      <c r="B49816" s="12"/>
      <c r="C49816" s="8"/>
      <c r="D49816" s="8"/>
    </row>
    <row r="49817" spans="1:4" ht="15.75" customHeight="1">
      <c r="A49817" s="8"/>
      <c r="B49817" s="12"/>
      <c r="C49817" s="8"/>
      <c r="D49817" s="8"/>
    </row>
    <row r="49818" spans="1:4" ht="15.75" customHeight="1">
      <c r="A49818" s="8"/>
      <c r="B49818" s="12"/>
      <c r="C49818" s="8"/>
      <c r="D49818" s="8"/>
    </row>
    <row r="49819" spans="1:4" ht="15.75" customHeight="1">
      <c r="A49819" s="8"/>
      <c r="B49819" s="12"/>
      <c r="C49819" s="8"/>
      <c r="D49819" s="8"/>
    </row>
    <row r="49820" spans="1:4" ht="15.75" customHeight="1">
      <c r="A49820" s="8"/>
      <c r="B49820" s="12"/>
      <c r="C49820" s="8"/>
      <c r="D49820" s="8"/>
    </row>
    <row r="49821" spans="1:4" ht="15.75" customHeight="1">
      <c r="A49821" s="8"/>
      <c r="B49821" s="12"/>
      <c r="C49821" s="8"/>
      <c r="D49821" s="8"/>
    </row>
    <row r="49822" spans="1:4" ht="15.75" customHeight="1">
      <c r="A49822" s="8"/>
      <c r="B49822" s="12"/>
      <c r="C49822" s="8"/>
      <c r="D49822" s="8"/>
    </row>
    <row r="49823" spans="1:4" ht="15.75" customHeight="1">
      <c r="A49823" s="8"/>
      <c r="B49823" s="12"/>
      <c r="C49823" s="8"/>
      <c r="D49823" s="8"/>
    </row>
    <row r="49824" spans="1:4" ht="15.75" customHeight="1">
      <c r="A49824" s="8"/>
      <c r="B49824" s="12"/>
      <c r="C49824" s="8"/>
      <c r="D49824" s="8"/>
    </row>
    <row r="49825" spans="1:4" ht="15.75" customHeight="1">
      <c r="A49825" s="8"/>
      <c r="B49825" s="12"/>
      <c r="C49825" s="8"/>
      <c r="D49825" s="8"/>
    </row>
    <row r="49826" spans="1:4" ht="15.75" customHeight="1">
      <c r="A49826" s="8"/>
      <c r="B49826" s="12"/>
      <c r="C49826" s="8"/>
      <c r="D49826" s="8"/>
    </row>
    <row r="49827" spans="1:4" ht="15.75" customHeight="1">
      <c r="A49827" s="8"/>
      <c r="B49827" s="12"/>
      <c r="C49827" s="8"/>
      <c r="D49827" s="8"/>
    </row>
    <row r="49828" spans="1:4" ht="15.75" customHeight="1">
      <c r="A49828" s="8"/>
      <c r="B49828" s="12"/>
      <c r="C49828" s="8"/>
      <c r="D49828" s="8"/>
    </row>
    <row r="49829" spans="1:4" ht="15.75" customHeight="1">
      <c r="A49829" s="8"/>
      <c r="B49829" s="12"/>
      <c r="C49829" s="8"/>
      <c r="D49829" s="8"/>
    </row>
    <row r="49830" spans="1:4" ht="15.75" customHeight="1">
      <c r="A49830" s="8"/>
      <c r="B49830" s="12"/>
      <c r="C49830" s="8"/>
      <c r="D49830" s="8"/>
    </row>
    <row r="49831" spans="1:4" ht="15.75" customHeight="1">
      <c r="A49831" s="8"/>
      <c r="B49831" s="12"/>
      <c r="C49831" s="8"/>
      <c r="D49831" s="8"/>
    </row>
    <row r="49832" spans="1:4" ht="15.75" customHeight="1">
      <c r="A49832" s="8"/>
      <c r="B49832" s="12"/>
      <c r="C49832" s="8"/>
      <c r="D49832" s="8"/>
    </row>
    <row r="49833" spans="1:4" ht="15.75" customHeight="1">
      <c r="A49833" s="8"/>
      <c r="B49833" s="12"/>
      <c r="C49833" s="8"/>
      <c r="D49833" s="8"/>
    </row>
    <row r="49834" spans="1:4" ht="15.75" customHeight="1">
      <c r="A49834" s="8"/>
      <c r="B49834" s="12"/>
      <c r="C49834" s="8"/>
      <c r="D49834" s="8"/>
    </row>
    <row r="49835" spans="1:4" ht="15.75" customHeight="1">
      <c r="A49835" s="8"/>
      <c r="B49835" s="12"/>
      <c r="C49835" s="8"/>
      <c r="D49835" s="8"/>
    </row>
    <row r="49836" spans="1:4" ht="15.75" customHeight="1">
      <c r="A49836" s="8"/>
      <c r="B49836" s="12"/>
      <c r="C49836" s="8"/>
      <c r="D49836" s="8"/>
    </row>
    <row r="49837" spans="1:4" ht="15.75" customHeight="1">
      <c r="A49837" s="8"/>
      <c r="B49837" s="12"/>
      <c r="C49837" s="8"/>
      <c r="D49837" s="8"/>
    </row>
    <row r="49838" spans="1:4" ht="15.75" customHeight="1">
      <c r="A49838" s="8"/>
      <c r="B49838" s="12"/>
      <c r="C49838" s="8"/>
      <c r="D49838" s="8"/>
    </row>
    <row r="49839" spans="1:4" ht="15.75" customHeight="1">
      <c r="A49839" s="8"/>
      <c r="B49839" s="12"/>
      <c r="C49839" s="8"/>
      <c r="D49839" s="8"/>
    </row>
    <row r="49840" spans="1:4" ht="15.75" customHeight="1">
      <c r="A49840" s="8"/>
      <c r="B49840" s="12"/>
      <c r="C49840" s="8"/>
      <c r="D49840" s="8"/>
    </row>
    <row r="49841" spans="1:4" ht="15.75" customHeight="1">
      <c r="A49841" s="8"/>
      <c r="B49841" s="12"/>
      <c r="C49841" s="8"/>
      <c r="D49841" s="8"/>
    </row>
    <row r="49842" spans="1:4" ht="15.75" customHeight="1">
      <c r="A49842" s="8"/>
      <c r="B49842" s="12"/>
      <c r="C49842" s="8"/>
      <c r="D49842" s="8"/>
    </row>
    <row r="49843" spans="1:4" ht="15.75" customHeight="1">
      <c r="A49843" s="8"/>
      <c r="B49843" s="12"/>
      <c r="C49843" s="8"/>
      <c r="D49843" s="8"/>
    </row>
    <row r="49844" spans="1:4" ht="15.75" customHeight="1">
      <c r="A49844" s="8"/>
      <c r="B49844" s="12"/>
      <c r="C49844" s="8"/>
      <c r="D49844" s="8"/>
    </row>
    <row r="49845" spans="1:4" ht="15.75" customHeight="1">
      <c r="A49845" s="8"/>
      <c r="B49845" s="12"/>
      <c r="C49845" s="8"/>
      <c r="D49845" s="8"/>
    </row>
    <row r="49846" spans="1:4" ht="15.75" customHeight="1">
      <c r="A49846" s="8"/>
      <c r="B49846" s="12"/>
      <c r="C49846" s="8"/>
      <c r="D49846" s="8"/>
    </row>
    <row r="49847" spans="1:4" ht="15.75" customHeight="1">
      <c r="A49847" s="8"/>
      <c r="B49847" s="12"/>
      <c r="C49847" s="8"/>
      <c r="D49847" s="8"/>
    </row>
    <row r="49848" spans="1:4" ht="15.75" customHeight="1">
      <c r="A49848" s="8"/>
      <c r="B49848" s="12"/>
      <c r="C49848" s="8"/>
      <c r="D49848" s="8"/>
    </row>
    <row r="49849" spans="1:4" ht="15.75" customHeight="1">
      <c r="A49849" s="8"/>
      <c r="B49849" s="12"/>
      <c r="C49849" s="8"/>
      <c r="D49849" s="8"/>
    </row>
    <row r="49850" spans="1:4" ht="15.75" customHeight="1">
      <c r="A49850" s="8"/>
      <c r="B49850" s="12"/>
      <c r="C49850" s="8"/>
      <c r="D49850" s="8"/>
    </row>
    <row r="49851" spans="1:4" ht="15.75" customHeight="1">
      <c r="A49851" s="8"/>
      <c r="B49851" s="12"/>
      <c r="C49851" s="8"/>
      <c r="D49851" s="8"/>
    </row>
    <row r="49852" spans="1:4" ht="15.75" customHeight="1">
      <c r="A49852" s="8"/>
      <c r="B49852" s="12"/>
      <c r="C49852" s="8"/>
      <c r="D49852" s="8"/>
    </row>
    <row r="49853" spans="1:4" ht="15.75" customHeight="1">
      <c r="A49853" s="8"/>
      <c r="B49853" s="12"/>
      <c r="C49853" s="8"/>
      <c r="D49853" s="8"/>
    </row>
    <row r="49854" spans="1:4" ht="15.75" customHeight="1">
      <c r="A49854" s="8"/>
      <c r="B49854" s="12"/>
      <c r="C49854" s="8"/>
      <c r="D49854" s="8"/>
    </row>
    <row r="49855" spans="1:4" ht="15.75" customHeight="1">
      <c r="A49855" s="8"/>
      <c r="B49855" s="12"/>
      <c r="C49855" s="8"/>
      <c r="D49855" s="8"/>
    </row>
    <row r="49856" spans="1:4" ht="15.75" customHeight="1">
      <c r="A49856" s="8"/>
      <c r="B49856" s="12"/>
      <c r="C49856" s="8"/>
      <c r="D49856" s="8"/>
    </row>
    <row r="49857" spans="1:4" ht="15.75" customHeight="1">
      <c r="A49857" s="8"/>
      <c r="B49857" s="12"/>
      <c r="C49857" s="8"/>
      <c r="D49857" s="8"/>
    </row>
    <row r="49858" spans="1:4" ht="15.75" customHeight="1">
      <c r="A49858" s="8"/>
      <c r="B49858" s="12"/>
      <c r="C49858" s="8"/>
      <c r="D49858" s="8"/>
    </row>
    <row r="49859" spans="1:4" ht="15.75" customHeight="1">
      <c r="A49859" s="8"/>
      <c r="B49859" s="12"/>
      <c r="C49859" s="8"/>
      <c r="D49859" s="8"/>
    </row>
    <row r="49860" spans="1:4" ht="15.75" customHeight="1">
      <c r="A49860" s="8"/>
      <c r="B49860" s="12"/>
      <c r="C49860" s="8"/>
      <c r="D49860" s="8"/>
    </row>
    <row r="49861" spans="1:4" ht="15.75" customHeight="1">
      <c r="A49861" s="8"/>
      <c r="B49861" s="12"/>
      <c r="C49861" s="8"/>
      <c r="D49861" s="8"/>
    </row>
    <row r="49862" spans="1:4" ht="15.75" customHeight="1">
      <c r="A49862" s="8"/>
      <c r="B49862" s="12"/>
      <c r="C49862" s="8"/>
      <c r="D49862" s="8"/>
    </row>
    <row r="49863" spans="1:4" ht="15.75" customHeight="1">
      <c r="A49863" s="8"/>
      <c r="B49863" s="12"/>
      <c r="C49863" s="8"/>
      <c r="D49863" s="8"/>
    </row>
    <row r="49864" spans="1:4" ht="15.75" customHeight="1">
      <c r="A49864" s="8"/>
      <c r="B49864" s="12"/>
      <c r="C49864" s="8"/>
      <c r="D49864" s="8"/>
    </row>
    <row r="49865" spans="1:4" ht="15.75" customHeight="1">
      <c r="A49865" s="8"/>
      <c r="B49865" s="12"/>
      <c r="C49865" s="8"/>
      <c r="D49865" s="8"/>
    </row>
    <row r="49866" spans="1:4" ht="15.75" customHeight="1">
      <c r="A49866" s="8"/>
      <c r="B49866" s="12"/>
      <c r="C49866" s="8"/>
      <c r="D49866" s="8"/>
    </row>
    <row r="49867" spans="1:4" ht="15.75" customHeight="1">
      <c r="A49867" s="8"/>
      <c r="B49867" s="12"/>
      <c r="C49867" s="8"/>
      <c r="D49867" s="8"/>
    </row>
    <row r="49868" spans="1:4" ht="15.75" customHeight="1">
      <c r="A49868" s="8"/>
      <c r="B49868" s="12"/>
      <c r="C49868" s="8"/>
      <c r="D49868" s="8"/>
    </row>
    <row r="49869" spans="1:4" ht="15.75" customHeight="1">
      <c r="A49869" s="8"/>
      <c r="B49869" s="12"/>
      <c r="C49869" s="8"/>
      <c r="D49869" s="8"/>
    </row>
    <row r="49870" spans="1:4" ht="15.75" customHeight="1">
      <c r="A49870" s="8"/>
      <c r="B49870" s="12"/>
      <c r="C49870" s="8"/>
      <c r="D49870" s="8"/>
    </row>
    <row r="49871" spans="1:4" ht="15.75" customHeight="1">
      <c r="A49871" s="8"/>
      <c r="B49871" s="12"/>
      <c r="C49871" s="8"/>
      <c r="D49871" s="8"/>
    </row>
    <row r="49872" spans="1:4" ht="15.75" customHeight="1">
      <c r="A49872" s="8"/>
      <c r="B49872" s="12"/>
      <c r="C49872" s="8"/>
      <c r="D49872" s="8"/>
    </row>
    <row r="49873" spans="1:4" ht="15.75" customHeight="1">
      <c r="A49873" s="8"/>
      <c r="B49873" s="12"/>
      <c r="C49873" s="8"/>
      <c r="D49873" s="8"/>
    </row>
    <row r="49874" spans="1:4" ht="15.75" customHeight="1">
      <c r="A49874" s="8"/>
      <c r="B49874" s="12"/>
      <c r="C49874" s="8"/>
      <c r="D49874" s="8"/>
    </row>
    <row r="49875" spans="1:4" ht="15.75" customHeight="1">
      <c r="A49875" s="8"/>
      <c r="B49875" s="12"/>
      <c r="C49875" s="8"/>
      <c r="D49875" s="8"/>
    </row>
    <row r="49876" spans="1:4" ht="15.75" customHeight="1">
      <c r="A49876" s="8"/>
      <c r="B49876" s="12"/>
      <c r="C49876" s="8"/>
      <c r="D49876" s="8"/>
    </row>
    <row r="49877" spans="1:4" ht="15.75" customHeight="1">
      <c r="A49877" s="8"/>
      <c r="B49877" s="12"/>
      <c r="C49877" s="8"/>
      <c r="D49877" s="8"/>
    </row>
    <row r="49878" spans="1:4" ht="15.75" customHeight="1">
      <c r="A49878" s="8"/>
      <c r="B49878" s="12"/>
      <c r="C49878" s="8"/>
      <c r="D49878" s="8"/>
    </row>
    <row r="49879" spans="1:4" ht="15.75" customHeight="1">
      <c r="A49879" s="8"/>
      <c r="B49879" s="12"/>
      <c r="C49879" s="8"/>
      <c r="D49879" s="8"/>
    </row>
    <row r="49880" spans="1:4" ht="15.75" customHeight="1">
      <c r="A49880" s="8"/>
      <c r="B49880" s="12"/>
      <c r="C49880" s="8"/>
      <c r="D49880" s="8"/>
    </row>
    <row r="49881" spans="1:4" ht="15.75" customHeight="1">
      <c r="A49881" s="8"/>
      <c r="B49881" s="12"/>
      <c r="C49881" s="8"/>
      <c r="D49881" s="8"/>
    </row>
    <row r="49882" spans="1:4" ht="15.75" customHeight="1">
      <c r="A49882" s="8"/>
      <c r="B49882" s="12"/>
      <c r="C49882" s="8"/>
      <c r="D49882" s="8"/>
    </row>
    <row r="49883" spans="1:4" ht="15.75" customHeight="1">
      <c r="A49883" s="8"/>
      <c r="B49883" s="12"/>
      <c r="C49883" s="8"/>
      <c r="D49883" s="8"/>
    </row>
    <row r="49884" spans="1:4" ht="15.75" customHeight="1">
      <c r="A49884" s="8"/>
      <c r="B49884" s="12"/>
      <c r="C49884" s="8"/>
      <c r="D49884" s="8"/>
    </row>
    <row r="49885" spans="1:4" ht="15.75" customHeight="1">
      <c r="A49885" s="8"/>
      <c r="B49885" s="12"/>
      <c r="C49885" s="8"/>
      <c r="D49885" s="8"/>
    </row>
    <row r="49886" spans="1:4" ht="15.75" customHeight="1">
      <c r="A49886" s="8"/>
      <c r="B49886" s="12"/>
      <c r="C49886" s="8"/>
      <c r="D49886" s="8"/>
    </row>
    <row r="49887" spans="1:4" ht="15.75" customHeight="1">
      <c r="A49887" s="8"/>
      <c r="B49887" s="12"/>
      <c r="C49887" s="8"/>
      <c r="D49887" s="8"/>
    </row>
    <row r="49888" spans="1:4" ht="15.75" customHeight="1">
      <c r="A49888" s="8"/>
      <c r="B49888" s="12"/>
      <c r="C49888" s="8"/>
      <c r="D49888" s="8"/>
    </row>
    <row r="49889" spans="1:4" ht="15.75" customHeight="1">
      <c r="A49889" s="8"/>
      <c r="B49889" s="12"/>
      <c r="C49889" s="8"/>
      <c r="D49889" s="8"/>
    </row>
    <row r="49890" spans="1:4" ht="15.75" customHeight="1">
      <c r="A49890" s="8"/>
      <c r="B49890" s="12"/>
      <c r="C49890" s="8"/>
      <c r="D49890" s="8"/>
    </row>
    <row r="49891" spans="1:4" ht="15.75" customHeight="1">
      <c r="A49891" s="8"/>
      <c r="B49891" s="12"/>
      <c r="C49891" s="8"/>
      <c r="D49891" s="8"/>
    </row>
    <row r="49892" spans="1:4" ht="15.75" customHeight="1">
      <c r="A49892" s="8"/>
      <c r="B49892" s="12"/>
      <c r="C49892" s="8"/>
      <c r="D49892" s="8"/>
    </row>
    <row r="49893" spans="1:4" ht="15.75" customHeight="1">
      <c r="A49893" s="8"/>
      <c r="B49893" s="12"/>
      <c r="C49893" s="8"/>
      <c r="D49893" s="8"/>
    </row>
    <row r="49894" spans="1:4" ht="15.75" customHeight="1">
      <c r="A49894" s="8"/>
      <c r="B49894" s="12"/>
      <c r="C49894" s="8"/>
      <c r="D49894" s="8"/>
    </row>
    <row r="49895" spans="1:4" ht="15.75" customHeight="1">
      <c r="A49895" s="8"/>
      <c r="B49895" s="12"/>
      <c r="C49895" s="8"/>
      <c r="D49895" s="8"/>
    </row>
    <row r="49896" spans="1:4" ht="15.75" customHeight="1">
      <c r="A49896" s="8"/>
      <c r="B49896" s="12"/>
      <c r="C49896" s="8"/>
      <c r="D49896" s="8"/>
    </row>
    <row r="49897" spans="1:4" ht="15.75" customHeight="1">
      <c r="A49897" s="8"/>
      <c r="B49897" s="12"/>
      <c r="C49897" s="8"/>
      <c r="D49897" s="8"/>
    </row>
    <row r="49898" spans="1:4" ht="15.75" customHeight="1">
      <c r="A49898" s="8"/>
      <c r="B49898" s="12"/>
      <c r="C49898" s="8"/>
      <c r="D49898" s="8"/>
    </row>
    <row r="49899" spans="1:4" ht="15.75" customHeight="1">
      <c r="A49899" s="8"/>
      <c r="B49899" s="12"/>
      <c r="C49899" s="8"/>
      <c r="D49899" s="8"/>
    </row>
    <row r="49900" spans="1:4" ht="15.75" customHeight="1">
      <c r="A49900" s="8"/>
      <c r="B49900" s="12"/>
      <c r="C49900" s="8"/>
      <c r="D49900" s="8"/>
    </row>
    <row r="49901" spans="1:4" ht="15.75" customHeight="1">
      <c r="A49901" s="8"/>
      <c r="B49901" s="12"/>
      <c r="C49901" s="8"/>
      <c r="D49901" s="8"/>
    </row>
    <row r="49902" spans="1:4" ht="15.75" customHeight="1">
      <c r="A49902" s="8"/>
      <c r="B49902" s="12"/>
      <c r="C49902" s="8"/>
      <c r="D49902" s="8"/>
    </row>
    <row r="49903" spans="1:4" ht="15.75" customHeight="1">
      <c r="A49903" s="8"/>
      <c r="B49903" s="12"/>
      <c r="C49903" s="8"/>
      <c r="D49903" s="8"/>
    </row>
    <row r="49904" spans="1:4" ht="15.75" customHeight="1">
      <c r="A49904" s="8"/>
      <c r="B49904" s="12"/>
      <c r="C49904" s="8"/>
      <c r="D49904" s="8"/>
    </row>
    <row r="49905" spans="1:4" ht="15.75" customHeight="1">
      <c r="A49905" s="8"/>
      <c r="B49905" s="12"/>
      <c r="C49905" s="8"/>
      <c r="D49905" s="8"/>
    </row>
    <row r="49906" spans="1:4" ht="15.75" customHeight="1">
      <c r="A49906" s="8"/>
      <c r="B49906" s="12"/>
      <c r="C49906" s="8"/>
      <c r="D49906" s="8"/>
    </row>
    <row r="49907" spans="1:4" ht="15.75" customHeight="1">
      <c r="A49907" s="8"/>
      <c r="B49907" s="12"/>
      <c r="C49907" s="8"/>
      <c r="D49907" s="8"/>
    </row>
    <row r="49908" spans="1:4" ht="15.75" customHeight="1">
      <c r="A49908" s="8"/>
      <c r="B49908" s="12"/>
      <c r="C49908" s="8"/>
      <c r="D49908" s="8"/>
    </row>
    <row r="49909" spans="1:4" ht="15.75" customHeight="1">
      <c r="A49909" s="8"/>
      <c r="B49909" s="12"/>
      <c r="C49909" s="8"/>
      <c r="D49909" s="8"/>
    </row>
    <row r="49910" spans="1:4" ht="15.75" customHeight="1">
      <c r="A49910" s="8"/>
      <c r="B49910" s="12"/>
      <c r="C49910" s="8"/>
      <c r="D49910" s="8"/>
    </row>
    <row r="49911" spans="1:4" ht="15.75" customHeight="1">
      <c r="A49911" s="8"/>
      <c r="B49911" s="12"/>
      <c r="C49911" s="8"/>
      <c r="D49911" s="8"/>
    </row>
    <row r="49912" spans="1:4" ht="15.75" customHeight="1">
      <c r="A49912" s="8"/>
      <c r="B49912" s="12"/>
      <c r="C49912" s="8"/>
      <c r="D49912" s="8"/>
    </row>
    <row r="49913" spans="1:4" ht="15.75" customHeight="1">
      <c r="A49913" s="8"/>
      <c r="B49913" s="12"/>
      <c r="C49913" s="8"/>
      <c r="D49913" s="8"/>
    </row>
    <row r="49914" spans="1:4" ht="15.75" customHeight="1">
      <c r="A49914" s="8"/>
      <c r="B49914" s="12"/>
      <c r="C49914" s="8"/>
      <c r="D49914" s="8"/>
    </row>
    <row r="49915" spans="1:4" ht="15.75" customHeight="1">
      <c r="A49915" s="8"/>
      <c r="B49915" s="12"/>
      <c r="C49915" s="8"/>
      <c r="D49915" s="8"/>
    </row>
    <row r="49916" spans="1:4" ht="15.75" customHeight="1">
      <c r="A49916" s="8"/>
      <c r="B49916" s="12"/>
      <c r="C49916" s="8"/>
      <c r="D49916" s="8"/>
    </row>
    <row r="49917" spans="1:4" ht="15.75" customHeight="1">
      <c r="A49917" s="8"/>
      <c r="B49917" s="12"/>
      <c r="C49917" s="8"/>
      <c r="D49917" s="8"/>
    </row>
    <row r="49918" spans="1:4" ht="15.75" customHeight="1">
      <c r="A49918" s="8"/>
      <c r="B49918" s="12"/>
      <c r="C49918" s="8"/>
      <c r="D49918" s="8"/>
    </row>
    <row r="49919" spans="1:4" ht="15.75" customHeight="1">
      <c r="A49919" s="8"/>
      <c r="B49919" s="12"/>
      <c r="C49919" s="8"/>
      <c r="D49919" s="8"/>
    </row>
    <row r="49920" spans="1:4" ht="15.75" customHeight="1">
      <c r="A49920" s="8"/>
      <c r="B49920" s="12"/>
      <c r="C49920" s="8"/>
      <c r="D49920" s="8"/>
    </row>
    <row r="49921" spans="1:4" ht="15.75" customHeight="1">
      <c r="A49921" s="8"/>
      <c r="B49921" s="12"/>
      <c r="C49921" s="8"/>
      <c r="D49921" s="8"/>
    </row>
    <row r="49922" spans="1:4" ht="15.75" customHeight="1">
      <c r="A49922" s="8"/>
      <c r="B49922" s="12"/>
      <c r="C49922" s="8"/>
      <c r="D49922" s="8"/>
    </row>
    <row r="49923" spans="1:4" ht="15.75" customHeight="1">
      <c r="A49923" s="8"/>
      <c r="B49923" s="12"/>
      <c r="C49923" s="8"/>
      <c r="D49923" s="8"/>
    </row>
    <row r="49924" spans="1:4" ht="15.75" customHeight="1">
      <c r="A49924" s="8"/>
      <c r="B49924" s="12"/>
      <c r="C49924" s="8"/>
      <c r="D49924" s="8"/>
    </row>
    <row r="49925" spans="1:4" ht="15.75" customHeight="1">
      <c r="A49925" s="8"/>
      <c r="B49925" s="12"/>
      <c r="C49925" s="8"/>
      <c r="D49925" s="8"/>
    </row>
    <row r="49926" spans="1:4" ht="15.75" customHeight="1">
      <c r="A49926" s="8"/>
      <c r="B49926" s="12"/>
      <c r="C49926" s="8"/>
      <c r="D49926" s="8"/>
    </row>
    <row r="49927" spans="1:4" ht="15.75" customHeight="1">
      <c r="A49927" s="8"/>
      <c r="B49927" s="12"/>
      <c r="C49927" s="8"/>
      <c r="D49927" s="8"/>
    </row>
    <row r="49928" spans="1:4" ht="15.75" customHeight="1">
      <c r="A49928" s="8"/>
      <c r="B49928" s="12"/>
      <c r="C49928" s="8"/>
      <c r="D49928" s="8"/>
    </row>
    <row r="49929" spans="1:4" ht="15.75" customHeight="1">
      <c r="A49929" s="8"/>
      <c r="B49929" s="12"/>
      <c r="C49929" s="8"/>
      <c r="D49929" s="8"/>
    </row>
    <row r="49930" spans="1:4" ht="15.75" customHeight="1">
      <c r="A49930" s="8"/>
      <c r="B49930" s="12"/>
      <c r="C49930" s="8"/>
      <c r="D49930" s="8"/>
    </row>
    <row r="49931" spans="1:4" ht="15.75" customHeight="1">
      <c r="A49931" s="8"/>
      <c r="B49931" s="12"/>
      <c r="C49931" s="8"/>
      <c r="D49931" s="8"/>
    </row>
    <row r="49932" spans="1:4" ht="15.75" customHeight="1">
      <c r="A49932" s="8"/>
      <c r="B49932" s="12"/>
      <c r="C49932" s="8"/>
      <c r="D49932" s="8"/>
    </row>
    <row r="49933" spans="1:4" ht="15.75" customHeight="1">
      <c r="A49933" s="8"/>
      <c r="B49933" s="12"/>
      <c r="C49933" s="8"/>
      <c r="D49933" s="8"/>
    </row>
    <row r="49934" spans="1:4" ht="15.75" customHeight="1">
      <c r="A49934" s="8"/>
      <c r="B49934" s="12"/>
      <c r="C49934" s="8"/>
      <c r="D49934" s="8"/>
    </row>
    <row r="49935" spans="1:4" ht="15.75" customHeight="1">
      <c r="A49935" s="8"/>
      <c r="B49935" s="12"/>
      <c r="C49935" s="8"/>
      <c r="D49935" s="8"/>
    </row>
    <row r="49936" spans="1:4" ht="15.75" customHeight="1">
      <c r="A49936" s="8"/>
      <c r="B49936" s="12"/>
      <c r="C49936" s="8"/>
      <c r="D49936" s="8"/>
    </row>
    <row r="49937" spans="1:4" ht="15.75" customHeight="1">
      <c r="A49937" s="8"/>
      <c r="B49937" s="12"/>
      <c r="C49937" s="8"/>
      <c r="D49937" s="8"/>
    </row>
    <row r="49938" spans="1:4" ht="15.75" customHeight="1">
      <c r="A49938" s="8"/>
      <c r="B49938" s="12"/>
      <c r="C49938" s="8"/>
      <c r="D49938" s="8"/>
    </row>
    <row r="49939" spans="1:4" ht="15.75" customHeight="1">
      <c r="A49939" s="8"/>
      <c r="B49939" s="12"/>
      <c r="C49939" s="8"/>
      <c r="D49939" s="8"/>
    </row>
    <row r="49940" spans="1:4" ht="15.75" customHeight="1">
      <c r="A49940" s="8"/>
      <c r="B49940" s="12"/>
      <c r="C49940" s="8"/>
      <c r="D49940" s="8"/>
    </row>
    <row r="49941" spans="1:4" ht="15.75" customHeight="1">
      <c r="A49941" s="8"/>
      <c r="B49941" s="12"/>
      <c r="C49941" s="8"/>
      <c r="D49941" s="8"/>
    </row>
    <row r="49942" spans="1:4" ht="15.75" customHeight="1">
      <c r="A49942" s="8"/>
      <c r="B49942" s="12"/>
      <c r="C49942" s="8"/>
      <c r="D49942" s="8"/>
    </row>
    <row r="49943" spans="1:4" ht="15.75" customHeight="1">
      <c r="A49943" s="8"/>
      <c r="B49943" s="12"/>
      <c r="C49943" s="8"/>
      <c r="D49943" s="8"/>
    </row>
    <row r="49944" spans="1:4" ht="15.75" customHeight="1">
      <c r="A49944" s="8"/>
      <c r="B49944" s="12"/>
      <c r="C49944" s="8"/>
      <c r="D49944" s="8"/>
    </row>
    <row r="49945" spans="1:4" ht="15.75" customHeight="1">
      <c r="A49945" s="8"/>
      <c r="B49945" s="12"/>
      <c r="C49945" s="8"/>
      <c r="D49945" s="8"/>
    </row>
    <row r="49946" spans="1:4" ht="15.75" customHeight="1">
      <c r="A49946" s="8"/>
      <c r="B49946" s="12"/>
      <c r="C49946" s="8"/>
      <c r="D49946" s="8"/>
    </row>
    <row r="49947" spans="1:4" ht="15.75" customHeight="1">
      <c r="A49947" s="8"/>
      <c r="B49947" s="12"/>
      <c r="C49947" s="8"/>
      <c r="D49947" s="8"/>
    </row>
    <row r="49948" spans="1:4" ht="15.75" customHeight="1">
      <c r="A49948" s="8"/>
      <c r="B49948" s="12"/>
      <c r="C49948" s="8"/>
      <c r="D49948" s="8"/>
    </row>
    <row r="49949" spans="1:4" ht="15.75" customHeight="1">
      <c r="A49949" s="8"/>
      <c r="B49949" s="12"/>
      <c r="C49949" s="8"/>
      <c r="D49949" s="8"/>
    </row>
    <row r="49950" spans="1:4" ht="15.75" customHeight="1">
      <c r="A49950" s="8"/>
      <c r="B49950" s="12"/>
      <c r="C49950" s="8"/>
      <c r="D49950" s="8"/>
    </row>
    <row r="49951" spans="1:4" ht="15.75" customHeight="1">
      <c r="A49951" s="8"/>
      <c r="B49951" s="12"/>
      <c r="C49951" s="8"/>
      <c r="D49951" s="8"/>
    </row>
    <row r="49952" spans="1:4" ht="15.75" customHeight="1">
      <c r="A49952" s="8"/>
      <c r="B49952" s="12"/>
      <c r="C49952" s="8"/>
      <c r="D49952" s="8"/>
    </row>
    <row r="49953" spans="1:4" ht="15.75" customHeight="1">
      <c r="A49953" s="8"/>
      <c r="B49953" s="12"/>
      <c r="C49953" s="8"/>
      <c r="D49953" s="8"/>
    </row>
    <row r="49954" spans="1:4" ht="15.75" customHeight="1">
      <c r="A49954" s="8"/>
      <c r="B49954" s="12"/>
      <c r="C49954" s="8"/>
      <c r="D49954" s="8"/>
    </row>
    <row r="49955" spans="1:4" ht="15.75" customHeight="1">
      <c r="A49955" s="8"/>
      <c r="B49955" s="12"/>
      <c r="C49955" s="8"/>
      <c r="D49955" s="8"/>
    </row>
    <row r="49956" spans="1:4" ht="15.75" customHeight="1">
      <c r="A49956" s="8"/>
      <c r="B49956" s="12"/>
      <c r="C49956" s="8"/>
      <c r="D49956" s="8"/>
    </row>
    <row r="49957" spans="1:4" ht="15.75" customHeight="1">
      <c r="A49957" s="8"/>
      <c r="B49957" s="12"/>
      <c r="C49957" s="8"/>
      <c r="D49957" s="8"/>
    </row>
    <row r="49958" spans="1:4" ht="15.75" customHeight="1">
      <c r="A49958" s="8"/>
      <c r="B49958" s="12"/>
      <c r="C49958" s="8"/>
      <c r="D49958" s="8"/>
    </row>
    <row r="49959" spans="1:4" ht="15.75" customHeight="1">
      <c r="A49959" s="8"/>
      <c r="B49959" s="12"/>
      <c r="C49959" s="8"/>
      <c r="D49959" s="8"/>
    </row>
    <row r="49960" spans="1:4" ht="15.75" customHeight="1">
      <c r="A49960" s="8"/>
      <c r="B49960" s="12"/>
      <c r="C49960" s="8"/>
      <c r="D49960" s="8"/>
    </row>
    <row r="49961" spans="1:4" ht="15.75" customHeight="1">
      <c r="A49961" s="8"/>
      <c r="B49961" s="12"/>
      <c r="C49961" s="8"/>
      <c r="D49961" s="8"/>
    </row>
    <row r="49962" spans="1:4" ht="15.75" customHeight="1">
      <c r="A49962" s="8"/>
      <c r="B49962" s="12"/>
      <c r="C49962" s="8"/>
      <c r="D49962" s="8"/>
    </row>
    <row r="49963" spans="1:4" ht="15.75" customHeight="1">
      <c r="A49963" s="8"/>
      <c r="B49963" s="12"/>
      <c r="C49963" s="8"/>
      <c r="D49963" s="8"/>
    </row>
    <row r="49964" spans="1:4" ht="15.75" customHeight="1">
      <c r="A49964" s="8"/>
      <c r="B49964" s="12"/>
      <c r="C49964" s="8"/>
      <c r="D49964" s="8"/>
    </row>
    <row r="49965" spans="1:4" ht="15.75" customHeight="1">
      <c r="A49965" s="8"/>
      <c r="B49965" s="12"/>
      <c r="C49965" s="8"/>
      <c r="D49965" s="8"/>
    </row>
    <row r="49966" spans="1:4" ht="15.75" customHeight="1">
      <c r="A49966" s="8"/>
      <c r="B49966" s="12"/>
      <c r="C49966" s="8"/>
      <c r="D49966" s="8"/>
    </row>
    <row r="49967" spans="1:4" ht="15.75" customHeight="1">
      <c r="A49967" s="8"/>
      <c r="B49967" s="12"/>
      <c r="C49967" s="8"/>
      <c r="D49967" s="8"/>
    </row>
    <row r="49968" spans="1:4" ht="15.75" customHeight="1">
      <c r="A49968" s="8"/>
      <c r="B49968" s="12"/>
      <c r="C49968" s="8"/>
      <c r="D49968" s="8"/>
    </row>
    <row r="49969" spans="1:4" ht="15.75" customHeight="1">
      <c r="A49969" s="8"/>
      <c r="B49969" s="12"/>
      <c r="C49969" s="8"/>
      <c r="D49969" s="8"/>
    </row>
    <row r="49970" spans="1:4" ht="15.75" customHeight="1">
      <c r="A49970" s="8"/>
      <c r="B49970" s="12"/>
      <c r="C49970" s="8"/>
      <c r="D49970" s="8"/>
    </row>
    <row r="49971" spans="1:4" ht="15.75" customHeight="1">
      <c r="A49971" s="8"/>
      <c r="B49971" s="12"/>
      <c r="C49971" s="8"/>
      <c r="D49971" s="8"/>
    </row>
    <row r="49972" spans="1:4" ht="15.75" customHeight="1">
      <c r="A49972" s="8"/>
      <c r="B49972" s="12"/>
      <c r="C49972" s="8"/>
      <c r="D49972" s="8"/>
    </row>
    <row r="49973" spans="1:4" ht="15.75" customHeight="1">
      <c r="A49973" s="8"/>
      <c r="B49973" s="12"/>
      <c r="C49973" s="8"/>
      <c r="D49973" s="8"/>
    </row>
    <row r="49974" spans="1:4" ht="15.75" customHeight="1">
      <c r="A49974" s="8"/>
      <c r="B49974" s="12"/>
      <c r="C49974" s="8"/>
      <c r="D49974" s="8"/>
    </row>
    <row r="49975" spans="1:4" ht="15.75" customHeight="1">
      <c r="A49975" s="8"/>
      <c r="B49975" s="12"/>
      <c r="C49975" s="8"/>
      <c r="D49975" s="8"/>
    </row>
    <row r="49976" spans="1:4" ht="15.75" customHeight="1">
      <c r="A49976" s="8"/>
      <c r="B49976" s="12"/>
      <c r="C49976" s="8"/>
      <c r="D49976" s="8"/>
    </row>
    <row r="49977" spans="1:4" ht="15.75" customHeight="1">
      <c r="A49977" s="8"/>
      <c r="B49977" s="12"/>
      <c r="C49977" s="8"/>
      <c r="D49977" s="8"/>
    </row>
    <row r="49978" spans="1:4" ht="15.75" customHeight="1">
      <c r="A49978" s="8"/>
      <c r="B49978" s="12"/>
      <c r="C49978" s="8"/>
      <c r="D49978" s="8"/>
    </row>
    <row r="49979" spans="1:4" ht="15.75" customHeight="1">
      <c r="A49979" s="8"/>
      <c r="B49979" s="12"/>
      <c r="C49979" s="8"/>
      <c r="D49979" s="8"/>
    </row>
    <row r="49980" spans="1:4" ht="15.75" customHeight="1">
      <c r="A49980" s="8"/>
      <c r="B49980" s="12"/>
      <c r="C49980" s="8"/>
      <c r="D49980" s="8"/>
    </row>
    <row r="49981" spans="1:4" ht="15.75" customHeight="1">
      <c r="A49981" s="8"/>
      <c r="B49981" s="12"/>
      <c r="C49981" s="8"/>
      <c r="D49981" s="8"/>
    </row>
    <row r="49982" spans="1:4" ht="15.75" customHeight="1">
      <c r="A49982" s="8"/>
      <c r="B49982" s="12"/>
      <c r="C49982" s="8"/>
      <c r="D49982" s="8"/>
    </row>
    <row r="49983" spans="1:4" ht="15.75" customHeight="1">
      <c r="A49983" s="8"/>
      <c r="B49983" s="12"/>
      <c r="C49983" s="8"/>
      <c r="D49983" s="8"/>
    </row>
    <row r="49984" spans="1:4" ht="15.75" customHeight="1">
      <c r="A49984" s="8"/>
      <c r="B49984" s="12"/>
      <c r="C49984" s="8"/>
      <c r="D49984" s="8"/>
    </row>
    <row r="49985" spans="1:4" ht="15.75" customHeight="1">
      <c r="A49985" s="8"/>
      <c r="B49985" s="12"/>
      <c r="C49985" s="8"/>
      <c r="D49985" s="8"/>
    </row>
    <row r="49986" spans="1:4" ht="15.75" customHeight="1">
      <c r="A49986" s="8"/>
      <c r="B49986" s="12"/>
      <c r="C49986" s="8"/>
      <c r="D49986" s="8"/>
    </row>
    <row r="49987" spans="1:4" ht="15.75" customHeight="1">
      <c r="A49987" s="8"/>
      <c r="B49987" s="12"/>
      <c r="C49987" s="8"/>
      <c r="D49987" s="8"/>
    </row>
    <row r="49988" spans="1:4" ht="15.75" customHeight="1">
      <c r="A49988" s="8"/>
      <c r="B49988" s="12"/>
      <c r="C49988" s="8"/>
      <c r="D49988" s="8"/>
    </row>
    <row r="49989" spans="1:4" ht="15.75" customHeight="1">
      <c r="A49989" s="8"/>
      <c r="B49989" s="12"/>
      <c r="C49989" s="8"/>
      <c r="D49989" s="8"/>
    </row>
    <row r="49990" spans="1:4" ht="15.75" customHeight="1">
      <c r="A49990" s="8"/>
      <c r="B49990" s="12"/>
      <c r="C49990" s="8"/>
      <c r="D49990" s="8"/>
    </row>
    <row r="49991" spans="1:4" ht="15.75" customHeight="1">
      <c r="A49991" s="8"/>
      <c r="B49991" s="12"/>
      <c r="C49991" s="8"/>
      <c r="D49991" s="8"/>
    </row>
    <row r="49992" spans="1:4" ht="15.75" customHeight="1">
      <c r="A49992" s="8"/>
      <c r="B49992" s="12"/>
      <c r="C49992" s="8"/>
      <c r="D49992" s="8"/>
    </row>
    <row r="49993" spans="1:4" ht="15.75" customHeight="1">
      <c r="A49993" s="8"/>
      <c r="B49993" s="12"/>
      <c r="C49993" s="8"/>
      <c r="D49993" s="8"/>
    </row>
    <row r="49994" spans="1:4" ht="15.75" customHeight="1">
      <c r="A49994" s="8"/>
      <c r="B49994" s="12"/>
      <c r="C49994" s="8"/>
      <c r="D49994" s="8"/>
    </row>
    <row r="49995" spans="1:4" ht="15.75" customHeight="1">
      <c r="A49995" s="8"/>
      <c r="B49995" s="12"/>
      <c r="C49995" s="8"/>
      <c r="D49995" s="8"/>
    </row>
    <row r="49996" spans="1:4" ht="15.75" customHeight="1">
      <c r="A49996" s="8"/>
      <c r="B49996" s="12"/>
      <c r="C49996" s="8"/>
      <c r="D49996" s="8"/>
    </row>
    <row r="49997" spans="1:4" ht="15.75" customHeight="1">
      <c r="A49997" s="8"/>
      <c r="B49997" s="12"/>
      <c r="C49997" s="8"/>
      <c r="D49997" s="8"/>
    </row>
    <row r="49998" spans="1:4" ht="15.75" customHeight="1">
      <c r="A49998" s="8"/>
      <c r="B49998" s="12"/>
      <c r="C49998" s="8"/>
      <c r="D49998" s="8"/>
    </row>
    <row r="49999" spans="1:4" ht="15.75" customHeight="1">
      <c r="A49999" s="8"/>
      <c r="B49999" s="12"/>
      <c r="C49999" s="8"/>
      <c r="D49999" s="8"/>
    </row>
    <row r="50000" spans="1:4" ht="15.75" customHeight="1">
      <c r="A50000" s="8"/>
      <c r="B50000" s="12"/>
      <c r="C50000" s="8"/>
      <c r="D50000" s="8"/>
    </row>
    <row r="50001" spans="1:4" ht="15.75" customHeight="1">
      <c r="A50001" s="8"/>
      <c r="B50001" s="12"/>
      <c r="C50001" s="8"/>
      <c r="D50001" s="8"/>
    </row>
    <row r="50002" spans="1:4" ht="15.75" customHeight="1">
      <c r="A50002" s="8"/>
      <c r="B50002" s="12"/>
      <c r="C50002" s="8"/>
      <c r="D50002" s="8"/>
    </row>
    <row r="50003" spans="1:4" ht="15.75" customHeight="1">
      <c r="A50003" s="8"/>
      <c r="B50003" s="12"/>
      <c r="C50003" s="8"/>
      <c r="D50003" s="8"/>
    </row>
    <row r="50004" spans="1:4" ht="15.75" customHeight="1">
      <c r="A50004" s="8"/>
      <c r="B50004" s="12"/>
      <c r="C50004" s="8"/>
      <c r="D50004" s="8"/>
    </row>
    <row r="50005" spans="1:4" ht="15.75" customHeight="1">
      <c r="A50005" s="8"/>
      <c r="B50005" s="12"/>
      <c r="C50005" s="8"/>
      <c r="D50005" s="8"/>
    </row>
    <row r="50006" spans="1:4" ht="15.75" customHeight="1">
      <c r="A50006" s="8"/>
      <c r="B50006" s="12"/>
      <c r="C50006" s="8"/>
      <c r="D50006" s="8"/>
    </row>
    <row r="50007" spans="1:4" ht="15.75" customHeight="1">
      <c r="A50007" s="8"/>
      <c r="B50007" s="12"/>
      <c r="C50007" s="8"/>
      <c r="D50007" s="8"/>
    </row>
    <row r="50008" spans="1:4" ht="15.75" customHeight="1">
      <c r="A50008" s="8"/>
      <c r="B50008" s="12"/>
      <c r="C50008" s="8"/>
      <c r="D50008" s="8"/>
    </row>
    <row r="50009" spans="1:4" ht="15.75" customHeight="1">
      <c r="A50009" s="8"/>
      <c r="B50009" s="12"/>
      <c r="C50009" s="8"/>
      <c r="D50009" s="8"/>
    </row>
    <row r="50010" spans="1:4" ht="15.75" customHeight="1">
      <c r="A50010" s="8"/>
      <c r="B50010" s="12"/>
      <c r="C50010" s="8"/>
      <c r="D50010" s="8"/>
    </row>
    <row r="50011" spans="1:4" ht="15.75" customHeight="1">
      <c r="A50011" s="8"/>
      <c r="B50011" s="12"/>
      <c r="C50011" s="8"/>
      <c r="D50011" s="8"/>
    </row>
    <row r="50012" spans="1:4" ht="15.75" customHeight="1">
      <c r="A50012" s="8"/>
      <c r="B50012" s="12"/>
      <c r="C50012" s="8"/>
      <c r="D50012" s="8"/>
    </row>
    <row r="50013" spans="1:4" ht="15.75" customHeight="1">
      <c r="A50013" s="8"/>
      <c r="B50013" s="12"/>
      <c r="C50013" s="8"/>
      <c r="D50013" s="8"/>
    </row>
    <row r="50014" spans="1:4" ht="15.75" customHeight="1">
      <c r="A50014" s="8"/>
      <c r="B50014" s="12"/>
      <c r="C50014" s="8"/>
      <c r="D50014" s="8"/>
    </row>
    <row r="50015" spans="1:4" ht="15.75" customHeight="1">
      <c r="A50015" s="8"/>
      <c r="B50015" s="12"/>
      <c r="C50015" s="8"/>
      <c r="D50015" s="8"/>
    </row>
    <row r="50016" spans="1:4" ht="15.75" customHeight="1">
      <c r="A50016" s="8"/>
      <c r="B50016" s="12"/>
      <c r="C50016" s="8"/>
      <c r="D50016" s="8"/>
    </row>
    <row r="50017" spans="1:4" ht="15.75" customHeight="1">
      <c r="A50017" s="8"/>
      <c r="B50017" s="12"/>
      <c r="C50017" s="8"/>
      <c r="D50017" s="8"/>
    </row>
    <row r="50018" spans="1:4" ht="15.75" customHeight="1">
      <c r="A50018" s="8"/>
      <c r="B50018" s="12"/>
      <c r="C50018" s="8"/>
      <c r="D50018" s="8"/>
    </row>
    <row r="50019" spans="1:4" ht="15.75" customHeight="1">
      <c r="A50019" s="8"/>
      <c r="B50019" s="12"/>
      <c r="C50019" s="8"/>
      <c r="D50019" s="8"/>
    </row>
    <row r="50020" spans="1:4" ht="15.75" customHeight="1">
      <c r="A50020" s="8"/>
      <c r="B50020" s="12"/>
      <c r="C50020" s="8"/>
      <c r="D50020" s="8"/>
    </row>
    <row r="50021" spans="1:4" ht="15.75" customHeight="1">
      <c r="A50021" s="8"/>
      <c r="B50021" s="12"/>
      <c r="C50021" s="8"/>
      <c r="D50021" s="8"/>
    </row>
    <row r="50022" spans="1:4" ht="15.75" customHeight="1">
      <c r="A50022" s="8"/>
      <c r="B50022" s="12"/>
      <c r="C50022" s="8"/>
      <c r="D50022" s="8"/>
    </row>
    <row r="50023" spans="1:4" ht="15.75" customHeight="1">
      <c r="A50023" s="8"/>
      <c r="B50023" s="12"/>
      <c r="C50023" s="8"/>
      <c r="D50023" s="8"/>
    </row>
    <row r="50024" spans="1:4" ht="15.75" customHeight="1">
      <c r="A50024" s="8"/>
      <c r="B50024" s="12"/>
      <c r="C50024" s="8"/>
      <c r="D50024" s="8"/>
    </row>
    <row r="50025" spans="1:4" ht="15.75" customHeight="1">
      <c r="A50025" s="8"/>
      <c r="B50025" s="12"/>
      <c r="C50025" s="8"/>
      <c r="D50025" s="8"/>
    </row>
    <row r="50026" spans="1:4" ht="15.75" customHeight="1">
      <c r="A50026" s="8"/>
      <c r="B50026" s="12"/>
      <c r="C50026" s="8"/>
      <c r="D50026" s="8"/>
    </row>
    <row r="50027" spans="1:4" ht="15.75" customHeight="1">
      <c r="A50027" s="8"/>
      <c r="B50027" s="12"/>
      <c r="C50027" s="8"/>
      <c r="D50027" s="8"/>
    </row>
    <row r="50028" spans="1:4" ht="15.75" customHeight="1">
      <c r="A50028" s="8"/>
      <c r="B50028" s="12"/>
      <c r="C50028" s="8"/>
      <c r="D50028" s="8"/>
    </row>
    <row r="50029" spans="1:4" ht="15.75" customHeight="1">
      <c r="A50029" s="8"/>
      <c r="B50029" s="12"/>
      <c r="C50029" s="8"/>
      <c r="D50029" s="8"/>
    </row>
    <row r="50030" spans="1:4" ht="15.75" customHeight="1">
      <c r="A50030" s="8"/>
      <c r="B50030" s="12"/>
      <c r="C50030" s="8"/>
      <c r="D50030" s="8"/>
    </row>
    <row r="50031" spans="1:4" ht="15.75" customHeight="1">
      <c r="A50031" s="8"/>
      <c r="B50031" s="12"/>
      <c r="C50031" s="8"/>
      <c r="D50031" s="8"/>
    </row>
    <row r="50032" spans="1:4" ht="15.75" customHeight="1">
      <c r="A50032" s="8"/>
      <c r="B50032" s="12"/>
      <c r="C50032" s="8"/>
      <c r="D50032" s="8"/>
    </row>
    <row r="50033" spans="1:4" ht="15.75" customHeight="1">
      <c r="A50033" s="8"/>
      <c r="B50033" s="12"/>
      <c r="C50033" s="8"/>
      <c r="D50033" s="8"/>
    </row>
    <row r="50034" spans="1:4" ht="15.75" customHeight="1">
      <c r="A50034" s="8"/>
      <c r="B50034" s="12"/>
      <c r="C50034" s="8"/>
      <c r="D50034" s="8"/>
    </row>
    <row r="50035" spans="1:4" ht="15.75" customHeight="1">
      <c r="A50035" s="8"/>
      <c r="B50035" s="12"/>
      <c r="C50035" s="8"/>
      <c r="D50035" s="8"/>
    </row>
    <row r="50036" spans="1:4" ht="15.75" customHeight="1">
      <c r="A50036" s="8"/>
      <c r="B50036" s="12"/>
      <c r="C50036" s="8"/>
      <c r="D50036" s="8"/>
    </row>
    <row r="50037" spans="1:4" ht="15.75" customHeight="1">
      <c r="A50037" s="8"/>
      <c r="B50037" s="12"/>
      <c r="C50037" s="8"/>
      <c r="D50037" s="8"/>
    </row>
    <row r="50038" spans="1:4" ht="15.75" customHeight="1">
      <c r="A50038" s="8"/>
      <c r="B50038" s="12"/>
      <c r="C50038" s="8"/>
      <c r="D50038" s="8"/>
    </row>
    <row r="50039" spans="1:4" ht="15.75" customHeight="1">
      <c r="A50039" s="8"/>
      <c r="B50039" s="12"/>
      <c r="C50039" s="8"/>
      <c r="D50039" s="8"/>
    </row>
    <row r="50040" spans="1:4" ht="15.75" customHeight="1">
      <c r="A50040" s="8"/>
      <c r="B50040" s="12"/>
      <c r="C50040" s="8"/>
      <c r="D50040" s="8"/>
    </row>
    <row r="50041" spans="1:4" ht="15.75" customHeight="1">
      <c r="A50041" s="8"/>
      <c r="B50041" s="12"/>
      <c r="C50041" s="8"/>
      <c r="D50041" s="8"/>
    </row>
    <row r="50042" spans="1:4" ht="15.75" customHeight="1">
      <c r="A50042" s="8"/>
      <c r="B50042" s="12"/>
      <c r="C50042" s="8"/>
      <c r="D50042" s="8"/>
    </row>
    <row r="50043" spans="1:4" ht="15.75" customHeight="1">
      <c r="A50043" s="8"/>
      <c r="B50043" s="12"/>
      <c r="C50043" s="8"/>
      <c r="D50043" s="8"/>
    </row>
    <row r="50044" spans="1:4" ht="15.75" customHeight="1">
      <c r="A50044" s="8"/>
      <c r="B50044" s="12"/>
      <c r="C50044" s="8"/>
      <c r="D50044" s="8"/>
    </row>
    <row r="50045" spans="1:4" ht="15.75" customHeight="1">
      <c r="A50045" s="8"/>
      <c r="B50045" s="12"/>
      <c r="C50045" s="8"/>
      <c r="D50045" s="8"/>
    </row>
    <row r="50046" spans="1:4" ht="15.75" customHeight="1">
      <c r="A50046" s="8"/>
      <c r="B50046" s="12"/>
      <c r="C50046" s="8"/>
      <c r="D50046" s="8"/>
    </row>
    <row r="50047" spans="1:4" ht="15.75" customHeight="1">
      <c r="A50047" s="8"/>
      <c r="B50047" s="12"/>
      <c r="C50047" s="8"/>
      <c r="D50047" s="8"/>
    </row>
    <row r="50048" spans="1:4" ht="15.75" customHeight="1">
      <c r="A50048" s="8"/>
      <c r="B50048" s="12"/>
      <c r="C50048" s="8"/>
      <c r="D50048" s="8"/>
    </row>
    <row r="50049" spans="1:4" ht="15.75" customHeight="1">
      <c r="A50049" s="8"/>
      <c r="B50049" s="12"/>
      <c r="C50049" s="8"/>
      <c r="D50049" s="8"/>
    </row>
    <row r="50050" spans="1:4" ht="15.75" customHeight="1">
      <c r="A50050" s="8"/>
      <c r="B50050" s="12"/>
      <c r="C50050" s="8"/>
      <c r="D50050" s="8"/>
    </row>
    <row r="50051" spans="1:4" ht="15.75" customHeight="1">
      <c r="A50051" s="8"/>
      <c r="B50051" s="12"/>
      <c r="C50051" s="8"/>
      <c r="D50051" s="8"/>
    </row>
    <row r="50052" spans="1:4" ht="15.75" customHeight="1">
      <c r="A50052" s="8"/>
      <c r="B50052" s="12"/>
      <c r="C50052" s="8"/>
      <c r="D50052" s="8"/>
    </row>
    <row r="50053" spans="1:4" ht="15.75" customHeight="1">
      <c r="A50053" s="8"/>
      <c r="B50053" s="12"/>
      <c r="C50053" s="8"/>
      <c r="D50053" s="8"/>
    </row>
    <row r="50054" spans="1:4" ht="15.75" customHeight="1">
      <c r="A50054" s="8"/>
      <c r="B50054" s="12"/>
      <c r="C50054" s="8"/>
      <c r="D50054" s="8"/>
    </row>
    <row r="50055" spans="1:4" ht="15.75" customHeight="1">
      <c r="A50055" s="8"/>
      <c r="B50055" s="12"/>
      <c r="C50055" s="8"/>
      <c r="D50055" s="8"/>
    </row>
    <row r="50056" spans="1:4" ht="15.75" customHeight="1">
      <c r="A50056" s="8"/>
      <c r="B50056" s="12"/>
      <c r="C50056" s="8"/>
      <c r="D50056" s="8"/>
    </row>
    <row r="50057" spans="1:4" ht="15.75" customHeight="1">
      <c r="A50057" s="8"/>
      <c r="B50057" s="12"/>
      <c r="C50057" s="8"/>
      <c r="D50057" s="8"/>
    </row>
    <row r="50058" spans="1:4" ht="15.75" customHeight="1">
      <c r="A50058" s="8"/>
      <c r="B50058" s="12"/>
      <c r="C50058" s="8"/>
      <c r="D50058" s="8"/>
    </row>
    <row r="50059" spans="1:4" ht="15.75" customHeight="1">
      <c r="A50059" s="8"/>
      <c r="B50059" s="12"/>
      <c r="C50059" s="8"/>
      <c r="D50059" s="8"/>
    </row>
    <row r="50060" spans="1:4" ht="15.75" customHeight="1">
      <c r="A50060" s="8"/>
      <c r="B50060" s="12"/>
      <c r="C50060" s="8"/>
      <c r="D50060" s="8"/>
    </row>
    <row r="50061" spans="1:4" ht="15.75" customHeight="1">
      <c r="A50061" s="8"/>
      <c r="B50061" s="12"/>
      <c r="C50061" s="8"/>
      <c r="D50061" s="8"/>
    </row>
    <row r="50062" spans="1:4" ht="15.75" customHeight="1">
      <c r="A50062" s="8"/>
      <c r="B50062" s="12"/>
      <c r="C50062" s="8"/>
      <c r="D50062" s="8"/>
    </row>
    <row r="50063" spans="1:4" ht="15.75" customHeight="1">
      <c r="A50063" s="8"/>
      <c r="B50063" s="12"/>
      <c r="C50063" s="8"/>
      <c r="D50063" s="8"/>
    </row>
    <row r="50064" spans="1:4" ht="15.75" customHeight="1">
      <c r="A50064" s="8"/>
      <c r="B50064" s="12"/>
      <c r="C50064" s="8"/>
      <c r="D50064" s="8"/>
    </row>
    <row r="50065" spans="1:4" ht="15.75" customHeight="1">
      <c r="A50065" s="8"/>
      <c r="B50065" s="12"/>
      <c r="C50065" s="8"/>
      <c r="D50065" s="8"/>
    </row>
    <row r="50066" spans="1:4" ht="15.75" customHeight="1">
      <c r="A50066" s="8"/>
      <c r="B50066" s="12"/>
      <c r="C50066" s="8"/>
      <c r="D50066" s="8"/>
    </row>
    <row r="50067" spans="1:4" ht="15.75" customHeight="1">
      <c r="A50067" s="8"/>
      <c r="B50067" s="12"/>
      <c r="C50067" s="8"/>
      <c r="D50067" s="8"/>
    </row>
    <row r="50068" spans="1:4" ht="15.75" customHeight="1">
      <c r="A50068" s="8"/>
      <c r="B50068" s="12"/>
      <c r="C50068" s="8"/>
      <c r="D50068" s="8"/>
    </row>
    <row r="50069" spans="1:4" ht="15.75" customHeight="1">
      <c r="A50069" s="8"/>
      <c r="B50069" s="12"/>
      <c r="C50069" s="8"/>
      <c r="D50069" s="8"/>
    </row>
    <row r="50070" spans="1:4" ht="15.75" customHeight="1">
      <c r="A50070" s="8"/>
      <c r="B50070" s="12"/>
      <c r="C50070" s="8"/>
      <c r="D50070" s="8"/>
    </row>
    <row r="50071" spans="1:4" ht="15.75" customHeight="1">
      <c r="A50071" s="8"/>
      <c r="B50071" s="12"/>
      <c r="C50071" s="8"/>
      <c r="D50071" s="8"/>
    </row>
    <row r="50072" spans="1:4" ht="15.75" customHeight="1">
      <c r="A50072" s="8"/>
      <c r="B50072" s="12"/>
      <c r="C50072" s="8"/>
      <c r="D50072" s="8"/>
    </row>
    <row r="50073" spans="1:4" ht="15.75" customHeight="1">
      <c r="A50073" s="8"/>
      <c r="B50073" s="12"/>
      <c r="C50073" s="8"/>
      <c r="D50073" s="8"/>
    </row>
    <row r="50074" spans="1:4" ht="15.75" customHeight="1">
      <c r="A50074" s="8"/>
      <c r="B50074" s="12"/>
      <c r="C50074" s="8"/>
      <c r="D50074" s="8"/>
    </row>
    <row r="50075" spans="1:4" ht="15.75" customHeight="1">
      <c r="A50075" s="8"/>
      <c r="B50075" s="12"/>
      <c r="C50075" s="8"/>
      <c r="D50075" s="8"/>
    </row>
    <row r="50076" spans="1:4" ht="15.75" customHeight="1">
      <c r="A50076" s="8"/>
      <c r="B50076" s="12"/>
      <c r="C50076" s="8"/>
      <c r="D50076" s="8"/>
    </row>
    <row r="50077" spans="1:4" ht="15.75" customHeight="1">
      <c r="A50077" s="8"/>
      <c r="B50077" s="12"/>
      <c r="C50077" s="8"/>
      <c r="D50077" s="8"/>
    </row>
    <row r="50078" spans="1:4" ht="15.75" customHeight="1">
      <c r="A50078" s="8"/>
      <c r="B50078" s="12"/>
      <c r="C50078" s="8"/>
      <c r="D50078" s="8"/>
    </row>
    <row r="50079" spans="1:4" ht="15.75" customHeight="1">
      <c r="A50079" s="8"/>
      <c r="B50079" s="12"/>
      <c r="C50079" s="8"/>
      <c r="D50079" s="8"/>
    </row>
    <row r="50080" spans="1:4" ht="15.75" customHeight="1">
      <c r="A50080" s="8"/>
      <c r="B50080" s="12"/>
      <c r="C50080" s="8"/>
      <c r="D50080" s="8"/>
    </row>
    <row r="50081" spans="1:4" ht="15.75" customHeight="1">
      <c r="A50081" s="8"/>
      <c r="B50081" s="12"/>
      <c r="C50081" s="8"/>
      <c r="D50081" s="8"/>
    </row>
    <row r="50082" spans="1:4" ht="15.75" customHeight="1">
      <c r="A50082" s="8"/>
      <c r="B50082" s="12"/>
      <c r="C50082" s="8"/>
      <c r="D50082" s="8"/>
    </row>
    <row r="50083" spans="1:4" ht="15.75" customHeight="1">
      <c r="A50083" s="8"/>
      <c r="B50083" s="12"/>
      <c r="C50083" s="8"/>
      <c r="D50083" s="8"/>
    </row>
    <row r="50084" spans="1:4" ht="15.75" customHeight="1">
      <c r="A50084" s="8"/>
      <c r="B50084" s="12"/>
      <c r="C50084" s="8"/>
      <c r="D50084" s="8"/>
    </row>
    <row r="50085" spans="1:4" ht="15.75" customHeight="1">
      <c r="A50085" s="8"/>
      <c r="B50085" s="12"/>
      <c r="C50085" s="8"/>
      <c r="D50085" s="8"/>
    </row>
    <row r="50086" spans="1:4" ht="15.75" customHeight="1">
      <c r="A50086" s="8"/>
      <c r="B50086" s="12"/>
      <c r="C50086" s="8"/>
      <c r="D50086" s="8"/>
    </row>
    <row r="50087" spans="1:4" ht="15.75" customHeight="1">
      <c r="A50087" s="8"/>
      <c r="B50087" s="12"/>
      <c r="C50087" s="8"/>
      <c r="D50087" s="8"/>
    </row>
    <row r="50088" spans="1:4" ht="15.75" customHeight="1">
      <c r="A50088" s="8"/>
      <c r="B50088" s="12"/>
      <c r="C50088" s="8"/>
      <c r="D50088" s="8"/>
    </row>
    <row r="50089" spans="1:4" ht="15.75" customHeight="1">
      <c r="A50089" s="8"/>
      <c r="B50089" s="12"/>
      <c r="C50089" s="8"/>
      <c r="D50089" s="8"/>
    </row>
    <row r="50090" spans="1:4" ht="15.75" customHeight="1">
      <c r="A50090" s="8"/>
      <c r="B50090" s="12"/>
      <c r="C50090" s="8"/>
      <c r="D50090" s="8"/>
    </row>
    <row r="50091" spans="1:4" ht="15.75" customHeight="1">
      <c r="A50091" s="8"/>
      <c r="B50091" s="12"/>
      <c r="C50091" s="8"/>
      <c r="D50091" s="8"/>
    </row>
    <row r="50092" spans="1:4" ht="15.75" customHeight="1">
      <c r="A50092" s="8"/>
      <c r="B50092" s="12"/>
      <c r="C50092" s="8"/>
      <c r="D50092" s="8"/>
    </row>
    <row r="50093" spans="1:4" ht="15.75" customHeight="1">
      <c r="A50093" s="8"/>
      <c r="B50093" s="12"/>
      <c r="C50093" s="8"/>
      <c r="D50093" s="8"/>
    </row>
    <row r="50094" spans="1:4" ht="15.75" customHeight="1">
      <c r="A50094" s="8"/>
      <c r="B50094" s="12"/>
      <c r="C50094" s="8"/>
      <c r="D50094" s="8"/>
    </row>
    <row r="50095" spans="1:4" ht="15.75" customHeight="1">
      <c r="A50095" s="8"/>
      <c r="B50095" s="12"/>
      <c r="C50095" s="8"/>
      <c r="D50095" s="8"/>
    </row>
    <row r="50096" spans="1:4" ht="15.75" customHeight="1">
      <c r="A50096" s="8"/>
      <c r="B50096" s="12"/>
      <c r="C50096" s="8"/>
      <c r="D50096" s="8"/>
    </row>
    <row r="50097" spans="1:4" ht="15.75" customHeight="1">
      <c r="A50097" s="8"/>
      <c r="B50097" s="12"/>
      <c r="C50097" s="8"/>
      <c r="D50097" s="8"/>
    </row>
    <row r="50098" spans="1:4" ht="15.75" customHeight="1">
      <c r="A50098" s="8"/>
      <c r="B50098" s="12"/>
      <c r="C50098" s="8"/>
      <c r="D50098" s="8"/>
    </row>
    <row r="50099" spans="1:4" ht="15.75" customHeight="1">
      <c r="A50099" s="8"/>
      <c r="B50099" s="12"/>
      <c r="C50099" s="8"/>
      <c r="D50099" s="8"/>
    </row>
    <row r="50100" spans="1:4" ht="15.75" customHeight="1">
      <c r="A50100" s="8"/>
      <c r="B50100" s="12"/>
      <c r="C50100" s="8"/>
      <c r="D50100" s="8"/>
    </row>
    <row r="50101" spans="1:4" ht="15.75" customHeight="1">
      <c r="A50101" s="8"/>
      <c r="B50101" s="12"/>
      <c r="C50101" s="8"/>
      <c r="D50101" s="8"/>
    </row>
    <row r="50102" spans="1:4" ht="15.75" customHeight="1">
      <c r="A50102" s="8"/>
      <c r="B50102" s="12"/>
      <c r="C50102" s="8"/>
      <c r="D50102" s="8"/>
    </row>
    <row r="50103" spans="1:4" ht="15.75" customHeight="1">
      <c r="A50103" s="8"/>
      <c r="B50103" s="12"/>
      <c r="C50103" s="8"/>
      <c r="D50103" s="8"/>
    </row>
    <row r="50104" spans="1:4" ht="15.75" customHeight="1">
      <c r="A50104" s="8"/>
      <c r="B50104" s="12"/>
      <c r="C50104" s="8"/>
      <c r="D50104" s="8"/>
    </row>
    <row r="50105" spans="1:4" ht="15.75" customHeight="1">
      <c r="A50105" s="8"/>
      <c r="B50105" s="12"/>
      <c r="C50105" s="8"/>
      <c r="D50105" s="8"/>
    </row>
    <row r="50106" spans="1:4" ht="15.75" customHeight="1">
      <c r="A50106" s="8"/>
      <c r="B50106" s="12"/>
      <c r="C50106" s="8"/>
      <c r="D50106" s="8"/>
    </row>
    <row r="50107" spans="1:4" ht="15.75" customHeight="1">
      <c r="A50107" s="8"/>
      <c r="B50107" s="12"/>
      <c r="C50107" s="8"/>
      <c r="D50107" s="8"/>
    </row>
    <row r="50108" spans="1:4" ht="15.75" customHeight="1">
      <c r="A50108" s="8"/>
      <c r="B50108" s="12"/>
      <c r="C50108" s="8"/>
      <c r="D50108" s="8"/>
    </row>
    <row r="50109" spans="1:4" ht="15.75" customHeight="1">
      <c r="A50109" s="8"/>
      <c r="B50109" s="12"/>
      <c r="C50109" s="8"/>
      <c r="D50109" s="8"/>
    </row>
    <row r="50110" spans="1:4" ht="15.75" customHeight="1">
      <c r="A50110" s="8"/>
      <c r="B50110" s="12"/>
      <c r="C50110" s="8"/>
      <c r="D50110" s="8"/>
    </row>
    <row r="50111" spans="1:4" ht="15.75" customHeight="1">
      <c r="A50111" s="8"/>
      <c r="B50111" s="12"/>
      <c r="C50111" s="8"/>
      <c r="D50111" s="8"/>
    </row>
    <row r="50112" spans="1:4" ht="15.75" customHeight="1">
      <c r="A50112" s="8"/>
      <c r="B50112" s="12"/>
      <c r="C50112" s="8"/>
      <c r="D50112" s="8"/>
    </row>
    <row r="50113" spans="1:4" ht="15.75" customHeight="1">
      <c r="A50113" s="8"/>
      <c r="B50113" s="12"/>
      <c r="C50113" s="8"/>
      <c r="D50113" s="8"/>
    </row>
    <row r="50114" spans="1:4" ht="15.75" customHeight="1">
      <c r="A50114" s="8"/>
      <c r="B50114" s="12"/>
      <c r="C50114" s="8"/>
      <c r="D50114" s="8"/>
    </row>
    <row r="50115" spans="1:4" ht="15.75" customHeight="1">
      <c r="A50115" s="8"/>
      <c r="B50115" s="12"/>
      <c r="C50115" s="8"/>
      <c r="D50115" s="8"/>
    </row>
    <row r="50116" spans="1:4" ht="15.75" customHeight="1">
      <c r="A50116" s="8"/>
      <c r="B50116" s="12"/>
      <c r="C50116" s="8"/>
      <c r="D50116" s="8"/>
    </row>
    <row r="50117" spans="1:4" ht="15.75" customHeight="1">
      <c r="A50117" s="8"/>
      <c r="B50117" s="12"/>
      <c r="C50117" s="8"/>
      <c r="D50117" s="8"/>
    </row>
    <row r="50118" spans="1:4" ht="15.75" customHeight="1">
      <c r="A50118" s="8"/>
      <c r="B50118" s="12"/>
      <c r="C50118" s="8"/>
      <c r="D50118" s="8"/>
    </row>
    <row r="50119" spans="1:4" ht="15.75" customHeight="1">
      <c r="A50119" s="8"/>
      <c r="B50119" s="12"/>
      <c r="C50119" s="8"/>
      <c r="D50119" s="8"/>
    </row>
    <row r="50120" spans="1:4" ht="15.75" customHeight="1">
      <c r="A50120" s="8"/>
      <c r="B50120" s="12"/>
      <c r="C50120" s="8"/>
      <c r="D50120" s="8"/>
    </row>
    <row r="50121" spans="1:4" ht="15.75" customHeight="1">
      <c r="A50121" s="8"/>
      <c r="B50121" s="12"/>
      <c r="C50121" s="8"/>
      <c r="D50121" s="8"/>
    </row>
    <row r="50122" spans="1:4" ht="15.75" customHeight="1">
      <c r="A50122" s="8"/>
      <c r="B50122" s="12"/>
      <c r="C50122" s="8"/>
      <c r="D50122" s="8"/>
    </row>
    <row r="50123" spans="1:4" ht="15.75" customHeight="1">
      <c r="A50123" s="8"/>
      <c r="B50123" s="12"/>
      <c r="C50123" s="8"/>
      <c r="D50123" s="8"/>
    </row>
    <row r="50124" spans="1:4" ht="15.75" customHeight="1">
      <c r="A50124" s="8"/>
      <c r="B50124" s="12"/>
      <c r="C50124" s="8"/>
      <c r="D50124" s="8"/>
    </row>
    <row r="50125" spans="1:4" ht="15.75" customHeight="1">
      <c r="A50125" s="8"/>
      <c r="B50125" s="12"/>
      <c r="C50125" s="8"/>
      <c r="D50125" s="8"/>
    </row>
    <row r="50126" spans="1:4" ht="15.75" customHeight="1">
      <c r="A50126" s="8"/>
      <c r="B50126" s="12"/>
      <c r="C50126" s="8"/>
      <c r="D50126" s="8"/>
    </row>
    <row r="50127" spans="1:4" ht="15.75" customHeight="1">
      <c r="A50127" s="8"/>
      <c r="B50127" s="12"/>
      <c r="C50127" s="8"/>
      <c r="D50127" s="8"/>
    </row>
    <row r="50128" spans="1:4" ht="15.75" customHeight="1">
      <c r="A50128" s="8"/>
      <c r="B50128" s="12"/>
      <c r="C50128" s="8"/>
      <c r="D50128" s="8"/>
    </row>
    <row r="50129" spans="1:4" ht="15.75" customHeight="1">
      <c r="A50129" s="8"/>
      <c r="B50129" s="12"/>
      <c r="C50129" s="8"/>
      <c r="D50129" s="8"/>
    </row>
    <row r="50130" spans="1:4" ht="15.75" customHeight="1">
      <c r="A50130" s="8"/>
      <c r="B50130" s="12"/>
      <c r="C50130" s="8"/>
      <c r="D50130" s="8"/>
    </row>
    <row r="50131" spans="1:4" ht="15.75" customHeight="1">
      <c r="A50131" s="8"/>
      <c r="B50131" s="12"/>
      <c r="C50131" s="8"/>
      <c r="D50131" s="8"/>
    </row>
    <row r="50132" spans="1:4" ht="15.75" customHeight="1">
      <c r="A50132" s="8"/>
      <c r="B50132" s="12"/>
      <c r="C50132" s="8"/>
      <c r="D50132" s="8"/>
    </row>
    <row r="50133" spans="1:4" ht="15.75" customHeight="1">
      <c r="A50133" s="8"/>
      <c r="B50133" s="12"/>
      <c r="C50133" s="8"/>
      <c r="D50133" s="8"/>
    </row>
    <row r="50134" spans="1:4" ht="15.75" customHeight="1">
      <c r="A50134" s="8"/>
      <c r="B50134" s="12"/>
      <c r="C50134" s="8"/>
      <c r="D50134" s="8"/>
    </row>
    <row r="50135" spans="1:4" ht="15.75" customHeight="1">
      <c r="A50135" s="8"/>
      <c r="B50135" s="12"/>
      <c r="C50135" s="8"/>
      <c r="D50135" s="8"/>
    </row>
    <row r="50136" spans="1:4" ht="15.75" customHeight="1">
      <c r="A50136" s="8"/>
      <c r="B50136" s="12"/>
      <c r="C50136" s="8"/>
      <c r="D50136" s="8"/>
    </row>
    <row r="50137" spans="1:4" ht="15.75" customHeight="1">
      <c r="A50137" s="8"/>
      <c r="B50137" s="12"/>
      <c r="C50137" s="8"/>
      <c r="D50137" s="8"/>
    </row>
    <row r="50138" spans="1:4" ht="15.75" customHeight="1">
      <c r="A50138" s="8"/>
      <c r="B50138" s="12"/>
      <c r="C50138" s="8"/>
      <c r="D50138" s="8"/>
    </row>
    <row r="50139" spans="1:4" ht="15.75" customHeight="1">
      <c r="A50139" s="8"/>
      <c r="B50139" s="12"/>
      <c r="C50139" s="8"/>
      <c r="D50139" s="8"/>
    </row>
    <row r="50140" spans="1:4" ht="15.75" customHeight="1">
      <c r="A50140" s="8"/>
      <c r="B50140" s="12"/>
      <c r="C50140" s="8"/>
      <c r="D50140" s="8"/>
    </row>
    <row r="50141" spans="1:4" ht="15.75" customHeight="1">
      <c r="A50141" s="8"/>
      <c r="B50141" s="12"/>
      <c r="C50141" s="8"/>
      <c r="D50141" s="8"/>
    </row>
    <row r="50142" spans="1:4" ht="15.75" customHeight="1">
      <c r="A50142" s="8"/>
      <c r="B50142" s="12"/>
      <c r="C50142" s="8"/>
      <c r="D50142" s="8"/>
    </row>
    <row r="50143" spans="1:4" ht="15.75" customHeight="1">
      <c r="A50143" s="8"/>
      <c r="B50143" s="12"/>
      <c r="C50143" s="8"/>
      <c r="D50143" s="8"/>
    </row>
    <row r="50144" spans="1:4" ht="15.75" customHeight="1">
      <c r="A50144" s="8"/>
      <c r="B50144" s="12"/>
      <c r="C50144" s="8"/>
      <c r="D50144" s="8"/>
    </row>
    <row r="50145" spans="1:4" ht="15.75" customHeight="1">
      <c r="A50145" s="8"/>
      <c r="B50145" s="12"/>
      <c r="C50145" s="8"/>
      <c r="D50145" s="8"/>
    </row>
    <row r="50146" spans="1:4" ht="15.75" customHeight="1">
      <c r="A50146" s="8"/>
      <c r="B50146" s="12"/>
      <c r="C50146" s="8"/>
      <c r="D50146" s="8"/>
    </row>
    <row r="50147" spans="1:4" ht="15.75" customHeight="1">
      <c r="A50147" s="8"/>
      <c r="B50147" s="12"/>
      <c r="C50147" s="8"/>
      <c r="D50147" s="8"/>
    </row>
    <row r="50148" spans="1:4" ht="15.75" customHeight="1">
      <c r="A50148" s="8"/>
      <c r="B50148" s="12"/>
      <c r="C50148" s="8"/>
      <c r="D50148" s="8"/>
    </row>
    <row r="50149" spans="1:4" ht="15.75" customHeight="1">
      <c r="A50149" s="8"/>
      <c r="B50149" s="12"/>
      <c r="C50149" s="8"/>
      <c r="D50149" s="8"/>
    </row>
    <row r="50150" spans="1:4" ht="15.75" customHeight="1">
      <c r="A50150" s="8"/>
      <c r="B50150" s="12"/>
      <c r="C50150" s="8"/>
      <c r="D50150" s="8"/>
    </row>
    <row r="50151" spans="1:4" ht="15.75" customHeight="1">
      <c r="A50151" s="8"/>
      <c r="B50151" s="12"/>
      <c r="C50151" s="8"/>
      <c r="D50151" s="8"/>
    </row>
    <row r="50152" spans="1:4" ht="15.75" customHeight="1">
      <c r="A50152" s="8"/>
      <c r="B50152" s="12"/>
      <c r="C50152" s="8"/>
      <c r="D50152" s="8"/>
    </row>
    <row r="50153" spans="1:4" ht="15.75" customHeight="1">
      <c r="A50153" s="8"/>
      <c r="B50153" s="12"/>
      <c r="C50153" s="8"/>
      <c r="D50153" s="8"/>
    </row>
    <row r="50154" spans="1:4" ht="15.75" customHeight="1">
      <c r="A50154" s="8"/>
      <c r="B50154" s="12"/>
      <c r="C50154" s="8"/>
      <c r="D50154" s="8"/>
    </row>
    <row r="50155" spans="1:4" ht="15.75" customHeight="1">
      <c r="A50155" s="8"/>
      <c r="B50155" s="12"/>
      <c r="C50155" s="8"/>
      <c r="D50155" s="8"/>
    </row>
    <row r="50156" spans="1:4" ht="15.75" customHeight="1">
      <c r="A50156" s="8"/>
      <c r="B50156" s="12"/>
      <c r="C50156" s="8"/>
      <c r="D50156" s="8"/>
    </row>
    <row r="50157" spans="1:4" ht="15.75" customHeight="1">
      <c r="A50157" s="8"/>
      <c r="B50157" s="12"/>
      <c r="C50157" s="8"/>
      <c r="D50157" s="8"/>
    </row>
    <row r="50158" spans="1:4" ht="15.75" customHeight="1">
      <c r="A50158" s="8"/>
      <c r="B50158" s="12"/>
      <c r="C50158" s="8"/>
      <c r="D50158" s="8"/>
    </row>
    <row r="50159" spans="1:4" ht="15.75" customHeight="1">
      <c r="A50159" s="8"/>
      <c r="B50159" s="12"/>
      <c r="C50159" s="8"/>
      <c r="D50159" s="8"/>
    </row>
    <row r="50160" spans="1:4" ht="15.75" customHeight="1">
      <c r="A50160" s="8"/>
      <c r="B50160" s="12"/>
      <c r="C50160" s="8"/>
      <c r="D50160" s="8"/>
    </row>
    <row r="50161" spans="1:4" ht="15.75" customHeight="1">
      <c r="A50161" s="8"/>
      <c r="B50161" s="12"/>
      <c r="C50161" s="8"/>
      <c r="D50161" s="8"/>
    </row>
    <row r="50162" spans="1:4" ht="15.75" customHeight="1">
      <c r="A50162" s="8"/>
      <c r="B50162" s="12"/>
      <c r="C50162" s="8"/>
      <c r="D50162" s="8"/>
    </row>
    <row r="50163" spans="1:4" ht="15.75" customHeight="1">
      <c r="A50163" s="8"/>
      <c r="B50163" s="12"/>
      <c r="C50163" s="8"/>
      <c r="D50163" s="8"/>
    </row>
    <row r="50164" spans="1:4" ht="15.75" customHeight="1">
      <c r="A50164" s="8"/>
      <c r="B50164" s="12"/>
      <c r="C50164" s="8"/>
      <c r="D50164" s="8"/>
    </row>
    <row r="50165" spans="1:4" ht="15.75" customHeight="1">
      <c r="A50165" s="8"/>
      <c r="B50165" s="12"/>
      <c r="C50165" s="8"/>
      <c r="D50165" s="8"/>
    </row>
    <row r="50166" spans="1:4" ht="15.75" customHeight="1">
      <c r="A50166" s="8"/>
      <c r="B50166" s="12"/>
      <c r="C50166" s="8"/>
      <c r="D50166" s="8"/>
    </row>
    <row r="50167" spans="1:4" ht="15.75" customHeight="1">
      <c r="A50167" s="8"/>
      <c r="B50167" s="12"/>
      <c r="C50167" s="8"/>
      <c r="D50167" s="8"/>
    </row>
    <row r="50168" spans="1:4" ht="15.75" customHeight="1">
      <c r="A50168" s="8"/>
      <c r="B50168" s="12"/>
      <c r="C50168" s="8"/>
      <c r="D50168" s="8"/>
    </row>
    <row r="50169" spans="1:4" ht="15.75" customHeight="1">
      <c r="A50169" s="8"/>
      <c r="B50169" s="12"/>
      <c r="C50169" s="8"/>
      <c r="D50169" s="8"/>
    </row>
    <row r="50170" spans="1:4" ht="15.75" customHeight="1">
      <c r="A50170" s="8"/>
      <c r="B50170" s="12"/>
      <c r="C50170" s="8"/>
      <c r="D50170" s="8"/>
    </row>
    <row r="50171" spans="1:4" ht="15.75" customHeight="1">
      <c r="A50171" s="8"/>
      <c r="B50171" s="12"/>
      <c r="C50171" s="8"/>
      <c r="D50171" s="8"/>
    </row>
    <row r="50172" spans="1:4" ht="15.75" customHeight="1">
      <c r="A50172" s="8"/>
      <c r="B50172" s="12"/>
      <c r="C50172" s="8"/>
      <c r="D50172" s="8"/>
    </row>
    <row r="50173" spans="1:4" ht="15.75" customHeight="1">
      <c r="A50173" s="8"/>
      <c r="B50173" s="12"/>
      <c r="C50173" s="8"/>
      <c r="D50173" s="8"/>
    </row>
    <row r="50174" spans="1:4" ht="15.75" customHeight="1">
      <c r="A50174" s="8"/>
      <c r="B50174" s="12"/>
      <c r="C50174" s="8"/>
      <c r="D50174" s="8"/>
    </row>
    <row r="50175" spans="1:4" ht="15.75" customHeight="1">
      <c r="A50175" s="8"/>
      <c r="B50175" s="12"/>
      <c r="C50175" s="8"/>
      <c r="D50175" s="8"/>
    </row>
    <row r="50176" spans="1:4" ht="15.75" customHeight="1">
      <c r="A50176" s="8"/>
      <c r="B50176" s="12"/>
      <c r="C50176" s="8"/>
      <c r="D50176" s="8"/>
    </row>
    <row r="50177" spans="1:4" ht="15.75" customHeight="1">
      <c r="A50177" s="8"/>
      <c r="B50177" s="12"/>
      <c r="C50177" s="8"/>
      <c r="D50177" s="8"/>
    </row>
    <row r="50178" spans="1:4" ht="15.75" customHeight="1">
      <c r="A50178" s="8"/>
      <c r="B50178" s="12"/>
      <c r="C50178" s="8"/>
      <c r="D50178" s="8"/>
    </row>
    <row r="50179" spans="1:4" ht="15.75" customHeight="1">
      <c r="A50179" s="8"/>
      <c r="B50179" s="12"/>
      <c r="C50179" s="8"/>
      <c r="D50179" s="8"/>
    </row>
    <row r="50180" spans="1:4" ht="15.75" customHeight="1">
      <c r="A50180" s="8"/>
      <c r="B50180" s="12"/>
      <c r="C50180" s="8"/>
      <c r="D50180" s="8"/>
    </row>
    <row r="50181" spans="1:4" ht="15.75" customHeight="1">
      <c r="A50181" s="8"/>
      <c r="B50181" s="12"/>
      <c r="C50181" s="8"/>
      <c r="D50181" s="8"/>
    </row>
    <row r="50182" spans="1:4" ht="15.75" customHeight="1">
      <c r="A50182" s="8"/>
      <c r="B50182" s="12"/>
      <c r="C50182" s="8"/>
      <c r="D50182" s="8"/>
    </row>
    <row r="50183" spans="1:4" ht="15.75" customHeight="1">
      <c r="A50183" s="8"/>
      <c r="B50183" s="12"/>
      <c r="C50183" s="8"/>
      <c r="D50183" s="8"/>
    </row>
    <row r="50184" spans="1:4" ht="15.75" customHeight="1">
      <c r="A50184" s="8"/>
      <c r="B50184" s="12"/>
      <c r="C50184" s="8"/>
      <c r="D50184" s="8"/>
    </row>
    <row r="50185" spans="1:4" ht="15.75" customHeight="1">
      <c r="A50185" s="8"/>
      <c r="B50185" s="12"/>
      <c r="C50185" s="8"/>
      <c r="D50185" s="8"/>
    </row>
    <row r="50186" spans="1:4" ht="15.75" customHeight="1">
      <c r="A50186" s="8"/>
      <c r="B50186" s="12"/>
      <c r="C50186" s="8"/>
      <c r="D50186" s="8"/>
    </row>
    <row r="50187" spans="1:4" ht="15.75" customHeight="1">
      <c r="A50187" s="8"/>
      <c r="B50187" s="12"/>
      <c r="C50187" s="8"/>
      <c r="D50187" s="8"/>
    </row>
    <row r="50188" spans="1:4" ht="15.75" customHeight="1">
      <c r="A50188" s="8"/>
      <c r="B50188" s="12"/>
      <c r="C50188" s="8"/>
      <c r="D50188" s="8"/>
    </row>
    <row r="50189" spans="1:4" ht="15.75" customHeight="1">
      <c r="A50189" s="8"/>
      <c r="B50189" s="12"/>
      <c r="C50189" s="8"/>
      <c r="D50189" s="8"/>
    </row>
    <row r="50190" spans="1:4" ht="15.75" customHeight="1">
      <c r="A50190" s="8"/>
      <c r="B50190" s="12"/>
      <c r="C50190" s="8"/>
      <c r="D50190" s="8"/>
    </row>
    <row r="50191" spans="1:4" ht="15.75" customHeight="1">
      <c r="A50191" s="8"/>
      <c r="B50191" s="12"/>
      <c r="C50191" s="8"/>
      <c r="D50191" s="8"/>
    </row>
    <row r="50192" spans="1:4" ht="15.75" customHeight="1">
      <c r="A50192" s="8"/>
      <c r="B50192" s="12"/>
      <c r="C50192" s="8"/>
      <c r="D50192" s="8"/>
    </row>
    <row r="50193" spans="1:4" ht="15.75" customHeight="1">
      <c r="A50193" s="8"/>
      <c r="B50193" s="12"/>
      <c r="C50193" s="8"/>
      <c r="D50193" s="8"/>
    </row>
    <row r="50194" spans="1:4" ht="15.75" customHeight="1">
      <c r="A50194" s="8"/>
      <c r="B50194" s="12"/>
      <c r="C50194" s="8"/>
      <c r="D50194" s="8"/>
    </row>
    <row r="50195" spans="1:4" ht="15.75" customHeight="1">
      <c r="A50195" s="8"/>
      <c r="B50195" s="12"/>
      <c r="C50195" s="8"/>
      <c r="D50195" s="8"/>
    </row>
    <row r="50196" spans="1:4" ht="15.75" customHeight="1">
      <c r="A50196" s="8"/>
      <c r="B50196" s="12"/>
      <c r="C50196" s="8"/>
      <c r="D50196" s="8"/>
    </row>
    <row r="50197" spans="1:4" ht="15.75" customHeight="1">
      <c r="A50197" s="8"/>
      <c r="B50197" s="12"/>
      <c r="C50197" s="8"/>
      <c r="D50197" s="8"/>
    </row>
    <row r="50198" spans="1:4" ht="15.75" customHeight="1">
      <c r="A50198" s="8"/>
      <c r="B50198" s="12"/>
      <c r="C50198" s="8"/>
      <c r="D50198" s="8"/>
    </row>
    <row r="50199" spans="1:4" ht="15.75" customHeight="1">
      <c r="A50199" s="8"/>
      <c r="B50199" s="12"/>
      <c r="C50199" s="8"/>
      <c r="D50199" s="8"/>
    </row>
    <row r="50200" spans="1:4" ht="15.75" customHeight="1">
      <c r="A50200" s="8"/>
      <c r="B50200" s="12"/>
      <c r="C50200" s="8"/>
      <c r="D50200" s="8"/>
    </row>
    <row r="50201" spans="1:4" ht="15.75" customHeight="1">
      <c r="A50201" s="8"/>
      <c r="B50201" s="12"/>
      <c r="C50201" s="8"/>
      <c r="D50201" s="8"/>
    </row>
    <row r="50202" spans="1:4" ht="15.75" customHeight="1">
      <c r="A50202" s="8"/>
      <c r="B50202" s="12"/>
      <c r="C50202" s="8"/>
      <c r="D50202" s="8"/>
    </row>
    <row r="50203" spans="1:4" ht="15.75" customHeight="1">
      <c r="A50203" s="8"/>
      <c r="B50203" s="12"/>
      <c r="C50203" s="8"/>
      <c r="D50203" s="8"/>
    </row>
    <row r="50204" spans="1:4" ht="15.75" customHeight="1">
      <c r="A50204" s="8"/>
      <c r="B50204" s="12"/>
      <c r="C50204" s="8"/>
      <c r="D50204" s="8"/>
    </row>
    <row r="50205" spans="1:4" ht="15.75" customHeight="1">
      <c r="A50205" s="8"/>
      <c r="B50205" s="12"/>
      <c r="C50205" s="8"/>
      <c r="D50205" s="8"/>
    </row>
    <row r="50206" spans="1:4" ht="15.75" customHeight="1">
      <c r="A50206" s="8"/>
      <c r="B50206" s="12"/>
      <c r="C50206" s="8"/>
      <c r="D50206" s="8"/>
    </row>
    <row r="50207" spans="1:4" ht="15.75" customHeight="1">
      <c r="A50207" s="8"/>
      <c r="B50207" s="12"/>
      <c r="C50207" s="8"/>
      <c r="D50207" s="8"/>
    </row>
    <row r="50208" spans="1:4" ht="15.75" customHeight="1">
      <c r="A50208" s="8"/>
      <c r="B50208" s="12"/>
      <c r="C50208" s="8"/>
      <c r="D50208" s="8"/>
    </row>
    <row r="50209" spans="1:4" ht="15.75" customHeight="1">
      <c r="A50209" s="8"/>
      <c r="B50209" s="12"/>
      <c r="C50209" s="8"/>
      <c r="D50209" s="8"/>
    </row>
    <row r="50210" spans="1:4" ht="15.75" customHeight="1">
      <c r="A50210" s="8"/>
      <c r="B50210" s="12"/>
      <c r="C50210" s="8"/>
      <c r="D50210" s="8"/>
    </row>
    <row r="50211" spans="1:4" ht="15.75" customHeight="1">
      <c r="A50211" s="8"/>
      <c r="B50211" s="12"/>
      <c r="C50211" s="8"/>
      <c r="D50211" s="8"/>
    </row>
    <row r="50212" spans="1:4" ht="15.75" customHeight="1">
      <c r="A50212" s="8"/>
      <c r="B50212" s="12"/>
      <c r="C50212" s="8"/>
      <c r="D50212" s="8"/>
    </row>
    <row r="50213" spans="1:4" ht="15.75" customHeight="1">
      <c r="A50213" s="8"/>
      <c r="B50213" s="12"/>
      <c r="C50213" s="8"/>
      <c r="D50213" s="8"/>
    </row>
    <row r="50214" spans="1:4" ht="15.75" customHeight="1">
      <c r="A50214" s="8"/>
      <c r="B50214" s="12"/>
      <c r="C50214" s="8"/>
      <c r="D50214" s="8"/>
    </row>
    <row r="50215" spans="1:4" ht="15.75" customHeight="1">
      <c r="A50215" s="8"/>
      <c r="B50215" s="12"/>
      <c r="C50215" s="8"/>
      <c r="D50215" s="8"/>
    </row>
    <row r="50216" spans="1:4" ht="15.75" customHeight="1">
      <c r="A50216" s="8"/>
      <c r="B50216" s="12"/>
      <c r="C50216" s="8"/>
      <c r="D50216" s="8"/>
    </row>
    <row r="50217" spans="1:4" ht="15.75" customHeight="1">
      <c r="A50217" s="8"/>
      <c r="B50217" s="12"/>
      <c r="C50217" s="8"/>
      <c r="D50217" s="8"/>
    </row>
    <row r="50218" spans="1:4" ht="15.75" customHeight="1">
      <c r="A50218" s="8"/>
      <c r="B50218" s="12"/>
      <c r="C50218" s="8"/>
      <c r="D50218" s="8"/>
    </row>
    <row r="50219" spans="1:4" ht="15.75" customHeight="1">
      <c r="A50219" s="8"/>
      <c r="B50219" s="12"/>
      <c r="C50219" s="8"/>
      <c r="D50219" s="8"/>
    </row>
    <row r="50220" spans="1:4" ht="15.75" customHeight="1">
      <c r="A50220" s="8"/>
      <c r="B50220" s="12"/>
      <c r="C50220" s="8"/>
      <c r="D50220" s="8"/>
    </row>
    <row r="50221" spans="1:4" ht="15.75" customHeight="1">
      <c r="A50221" s="8"/>
      <c r="B50221" s="12"/>
      <c r="C50221" s="8"/>
      <c r="D50221" s="8"/>
    </row>
    <row r="50222" spans="1:4" ht="15.75" customHeight="1">
      <c r="A50222" s="8"/>
      <c r="B50222" s="12"/>
      <c r="C50222" s="8"/>
      <c r="D50222" s="8"/>
    </row>
    <row r="50223" spans="1:4" ht="15.75" customHeight="1">
      <c r="A50223" s="8"/>
      <c r="B50223" s="12"/>
      <c r="C50223" s="8"/>
      <c r="D50223" s="8"/>
    </row>
    <row r="50224" spans="1:4" ht="15.75" customHeight="1">
      <c r="A50224" s="8"/>
      <c r="B50224" s="12"/>
      <c r="C50224" s="8"/>
      <c r="D50224" s="8"/>
    </row>
    <row r="50225" spans="1:4" ht="15.75" customHeight="1">
      <c r="A50225" s="8"/>
      <c r="B50225" s="12"/>
      <c r="C50225" s="8"/>
      <c r="D50225" s="8"/>
    </row>
    <row r="50226" spans="1:4" ht="15.75" customHeight="1">
      <c r="A50226" s="8"/>
      <c r="B50226" s="12"/>
      <c r="C50226" s="8"/>
      <c r="D50226" s="8"/>
    </row>
    <row r="50227" spans="1:4" ht="15.75" customHeight="1">
      <c r="A50227" s="8"/>
      <c r="B50227" s="12"/>
      <c r="C50227" s="8"/>
      <c r="D50227" s="8"/>
    </row>
    <row r="50228" spans="1:4" ht="15.75" customHeight="1">
      <c r="A50228" s="8"/>
      <c r="B50228" s="12"/>
      <c r="C50228" s="8"/>
      <c r="D50228" s="8"/>
    </row>
    <row r="50229" spans="1:4" ht="15.75" customHeight="1">
      <c r="A50229" s="8"/>
      <c r="B50229" s="12"/>
      <c r="C50229" s="8"/>
      <c r="D50229" s="8"/>
    </row>
    <row r="50230" spans="1:4" ht="15.75" customHeight="1">
      <c r="A50230" s="8"/>
      <c r="B50230" s="12"/>
      <c r="C50230" s="8"/>
      <c r="D50230" s="8"/>
    </row>
    <row r="50231" spans="1:4" ht="15.75" customHeight="1">
      <c r="A50231" s="8"/>
      <c r="B50231" s="12"/>
      <c r="C50231" s="8"/>
      <c r="D50231" s="8"/>
    </row>
    <row r="50232" spans="1:4" ht="15.75" customHeight="1">
      <c r="A50232" s="8"/>
      <c r="B50232" s="12"/>
      <c r="C50232" s="8"/>
      <c r="D50232" s="8"/>
    </row>
    <row r="50233" spans="1:4" ht="15.75" customHeight="1">
      <c r="A50233" s="8"/>
      <c r="B50233" s="12"/>
      <c r="C50233" s="8"/>
      <c r="D50233" s="8"/>
    </row>
    <row r="50234" spans="1:4" ht="15.75" customHeight="1">
      <c r="A50234" s="8"/>
      <c r="B50234" s="12"/>
      <c r="C50234" s="8"/>
      <c r="D50234" s="8"/>
    </row>
    <row r="50235" spans="1:4" ht="15.75" customHeight="1">
      <c r="A50235" s="8"/>
      <c r="B50235" s="12"/>
      <c r="C50235" s="8"/>
      <c r="D50235" s="8"/>
    </row>
    <row r="50236" spans="1:4" ht="15.75" customHeight="1">
      <c r="A50236" s="8"/>
      <c r="B50236" s="12"/>
      <c r="C50236" s="8"/>
      <c r="D50236" s="8"/>
    </row>
    <row r="50237" spans="1:4" ht="15.75" customHeight="1">
      <c r="A50237" s="8"/>
      <c r="B50237" s="12"/>
      <c r="C50237" s="8"/>
      <c r="D50237" s="8"/>
    </row>
    <row r="50238" spans="1:4" ht="15.75" customHeight="1">
      <c r="A50238" s="8"/>
      <c r="B50238" s="12"/>
      <c r="C50238" s="8"/>
      <c r="D50238" s="8"/>
    </row>
    <row r="50239" spans="1:4" ht="15.75" customHeight="1">
      <c r="A50239" s="8"/>
      <c r="B50239" s="12"/>
      <c r="C50239" s="8"/>
      <c r="D50239" s="8"/>
    </row>
    <row r="50240" spans="1:4" ht="15.75" customHeight="1">
      <c r="A50240" s="8"/>
      <c r="B50240" s="12"/>
      <c r="C50240" s="8"/>
      <c r="D50240" s="8"/>
    </row>
    <row r="50241" spans="1:4" ht="15.75" customHeight="1">
      <c r="A50241" s="8"/>
      <c r="B50241" s="12"/>
      <c r="C50241" s="8"/>
      <c r="D50241" s="8"/>
    </row>
    <row r="50242" spans="1:4" ht="15.75" customHeight="1">
      <c r="A50242" s="8"/>
      <c r="B50242" s="12"/>
      <c r="C50242" s="8"/>
      <c r="D50242" s="8"/>
    </row>
    <row r="50243" spans="1:4" ht="15.75" customHeight="1">
      <c r="A50243" s="8"/>
      <c r="B50243" s="12"/>
      <c r="C50243" s="8"/>
      <c r="D50243" s="8"/>
    </row>
    <row r="50244" spans="1:4" ht="15.75" customHeight="1">
      <c r="A50244" s="8"/>
      <c r="B50244" s="12"/>
      <c r="C50244" s="8"/>
      <c r="D50244" s="8"/>
    </row>
    <row r="50245" spans="1:4" ht="15.75" customHeight="1">
      <c r="A50245" s="8"/>
      <c r="B50245" s="12"/>
      <c r="C50245" s="8"/>
      <c r="D50245" s="8"/>
    </row>
    <row r="50246" spans="1:4" ht="15.75" customHeight="1">
      <c r="A50246" s="8"/>
      <c r="B50246" s="12"/>
      <c r="C50246" s="8"/>
      <c r="D50246" s="8"/>
    </row>
    <row r="50247" spans="1:4" ht="15.75" customHeight="1">
      <c r="A50247" s="8"/>
      <c r="B50247" s="12"/>
      <c r="C50247" s="8"/>
      <c r="D50247" s="8"/>
    </row>
    <row r="50248" spans="1:4" ht="15.75" customHeight="1">
      <c r="A50248" s="8"/>
      <c r="B50248" s="12"/>
      <c r="C50248" s="8"/>
      <c r="D50248" s="8"/>
    </row>
    <row r="50249" spans="1:4" ht="15.75" customHeight="1">
      <c r="A50249" s="8"/>
      <c r="B50249" s="12"/>
      <c r="C50249" s="8"/>
      <c r="D50249" s="8"/>
    </row>
    <row r="50250" spans="1:4" ht="15.75" customHeight="1">
      <c r="A50250" s="8"/>
      <c r="B50250" s="12"/>
      <c r="C50250" s="8"/>
      <c r="D50250" s="8"/>
    </row>
    <row r="50251" spans="1:4" ht="15.75" customHeight="1">
      <c r="A50251" s="8"/>
      <c r="B50251" s="12"/>
      <c r="C50251" s="8"/>
      <c r="D50251" s="8"/>
    </row>
    <row r="50252" spans="1:4" ht="15.75" customHeight="1">
      <c r="A50252" s="8"/>
      <c r="B50252" s="12"/>
      <c r="C50252" s="8"/>
      <c r="D50252" s="8"/>
    </row>
    <row r="50253" spans="1:4" ht="15.75" customHeight="1">
      <c r="A50253" s="8"/>
      <c r="B50253" s="12"/>
      <c r="C50253" s="8"/>
      <c r="D50253" s="8"/>
    </row>
    <row r="50254" spans="1:4" ht="15.75" customHeight="1">
      <c r="A50254" s="8"/>
      <c r="B50254" s="12"/>
      <c r="C50254" s="8"/>
      <c r="D50254" s="8"/>
    </row>
    <row r="50255" spans="1:4" ht="15.75" customHeight="1">
      <c r="A50255" s="8"/>
      <c r="B50255" s="12"/>
      <c r="C50255" s="8"/>
      <c r="D50255" s="8"/>
    </row>
    <row r="50256" spans="1:4" ht="15.75" customHeight="1">
      <c r="A50256" s="8"/>
      <c r="B50256" s="12"/>
      <c r="C50256" s="8"/>
      <c r="D50256" s="8"/>
    </row>
    <row r="50257" spans="1:4" ht="15.75" customHeight="1">
      <c r="A50257" s="8"/>
      <c r="B50257" s="12"/>
      <c r="C50257" s="8"/>
      <c r="D50257" s="8"/>
    </row>
    <row r="50258" spans="1:4" ht="15.75" customHeight="1">
      <c r="A50258" s="8"/>
      <c r="B50258" s="12"/>
      <c r="C50258" s="8"/>
      <c r="D50258" s="8"/>
    </row>
    <row r="50259" spans="1:4" ht="15.75" customHeight="1">
      <c r="A50259" s="8"/>
      <c r="B50259" s="12"/>
      <c r="C50259" s="8"/>
      <c r="D50259" s="8"/>
    </row>
    <row r="50260" spans="1:4" ht="15.75" customHeight="1">
      <c r="A50260" s="8"/>
      <c r="B50260" s="12"/>
      <c r="C50260" s="8"/>
      <c r="D50260" s="8"/>
    </row>
    <row r="50261" spans="1:4" ht="15.75" customHeight="1">
      <c r="A50261" s="8"/>
      <c r="B50261" s="12"/>
      <c r="C50261" s="8"/>
      <c r="D50261" s="8"/>
    </row>
    <row r="50262" spans="1:4" ht="15.75" customHeight="1">
      <c r="A50262" s="8"/>
      <c r="B50262" s="12"/>
      <c r="C50262" s="8"/>
      <c r="D50262" s="8"/>
    </row>
    <row r="50263" spans="1:4" ht="15.75" customHeight="1">
      <c r="A50263" s="8"/>
      <c r="B50263" s="12"/>
      <c r="C50263" s="8"/>
      <c r="D50263" s="8"/>
    </row>
    <row r="50264" spans="1:4" ht="15.75" customHeight="1">
      <c r="A50264" s="8"/>
      <c r="B50264" s="12"/>
      <c r="C50264" s="8"/>
      <c r="D50264" s="8"/>
    </row>
    <row r="50265" spans="1:4" ht="15.75" customHeight="1">
      <c r="A50265" s="8"/>
      <c r="B50265" s="12"/>
      <c r="C50265" s="8"/>
      <c r="D50265" s="8"/>
    </row>
    <row r="50266" spans="1:4" ht="15.75" customHeight="1">
      <c r="A50266" s="8"/>
      <c r="B50266" s="12"/>
      <c r="C50266" s="8"/>
      <c r="D50266" s="8"/>
    </row>
    <row r="50267" spans="1:4" ht="15.75" customHeight="1">
      <c r="A50267" s="8"/>
      <c r="B50267" s="12"/>
      <c r="C50267" s="8"/>
      <c r="D50267" s="8"/>
    </row>
    <row r="50268" spans="1:4" ht="15.75" customHeight="1">
      <c r="A50268" s="8"/>
      <c r="B50268" s="12"/>
      <c r="C50268" s="8"/>
      <c r="D50268" s="8"/>
    </row>
    <row r="50269" spans="1:4" ht="15.75" customHeight="1">
      <c r="A50269" s="8"/>
      <c r="B50269" s="12"/>
      <c r="C50269" s="8"/>
      <c r="D50269" s="8"/>
    </row>
    <row r="50270" spans="1:4" ht="15.75" customHeight="1">
      <c r="A50270" s="8"/>
      <c r="B50270" s="12"/>
      <c r="C50270" s="8"/>
      <c r="D50270" s="8"/>
    </row>
    <row r="50271" spans="1:4" ht="15.75" customHeight="1">
      <c r="A50271" s="8"/>
      <c r="B50271" s="12"/>
      <c r="C50271" s="8"/>
      <c r="D50271" s="8"/>
    </row>
    <row r="50272" spans="1:4" ht="15.75" customHeight="1">
      <c r="A50272" s="8"/>
      <c r="B50272" s="12"/>
      <c r="C50272" s="8"/>
      <c r="D50272" s="8"/>
    </row>
    <row r="50273" spans="1:4" ht="15.75" customHeight="1">
      <c r="A50273" s="8"/>
      <c r="B50273" s="12"/>
      <c r="C50273" s="8"/>
      <c r="D50273" s="8"/>
    </row>
    <row r="50274" spans="1:4" ht="15.75" customHeight="1">
      <c r="A50274" s="8"/>
      <c r="B50274" s="12"/>
      <c r="C50274" s="8"/>
      <c r="D50274" s="8"/>
    </row>
    <row r="50275" spans="1:4" ht="15.75" customHeight="1">
      <c r="A50275" s="8"/>
      <c r="B50275" s="12"/>
      <c r="C50275" s="8"/>
      <c r="D50275" s="8"/>
    </row>
    <row r="50276" spans="1:4" ht="15.75" customHeight="1">
      <c r="A50276" s="8"/>
      <c r="B50276" s="12"/>
      <c r="C50276" s="8"/>
      <c r="D50276" s="8"/>
    </row>
    <row r="50277" spans="1:4" ht="15.75" customHeight="1">
      <c r="A50277" s="8"/>
      <c r="B50277" s="12"/>
      <c r="C50277" s="8"/>
      <c r="D50277" s="8"/>
    </row>
    <row r="50278" spans="1:4" ht="15.75" customHeight="1">
      <c r="A50278" s="8"/>
      <c r="B50278" s="12"/>
      <c r="C50278" s="8"/>
      <c r="D50278" s="8"/>
    </row>
    <row r="50279" spans="1:4" ht="15.75" customHeight="1">
      <c r="A50279" s="8"/>
      <c r="B50279" s="12"/>
      <c r="C50279" s="8"/>
      <c r="D50279" s="8"/>
    </row>
    <row r="50280" spans="1:4" ht="15.75" customHeight="1">
      <c r="A50280" s="8"/>
      <c r="B50280" s="12"/>
      <c r="C50280" s="8"/>
      <c r="D50280" s="8"/>
    </row>
    <row r="50281" spans="1:4" ht="15.75" customHeight="1">
      <c r="A50281" s="8"/>
      <c r="B50281" s="12"/>
      <c r="C50281" s="8"/>
      <c r="D50281" s="8"/>
    </row>
    <row r="50282" spans="1:4" ht="15.75" customHeight="1">
      <c r="A50282" s="8"/>
      <c r="B50282" s="12"/>
      <c r="C50282" s="8"/>
      <c r="D50282" s="8"/>
    </row>
    <row r="50283" spans="1:4" ht="15.75" customHeight="1">
      <c r="A50283" s="8"/>
      <c r="B50283" s="12"/>
      <c r="C50283" s="8"/>
      <c r="D50283" s="8"/>
    </row>
    <row r="50284" spans="1:4" ht="15.75" customHeight="1">
      <c r="A50284" s="8"/>
      <c r="B50284" s="12"/>
      <c r="C50284" s="8"/>
      <c r="D50284" s="8"/>
    </row>
    <row r="50285" spans="1:4" ht="15.75" customHeight="1">
      <c r="A50285" s="8"/>
      <c r="B50285" s="12"/>
      <c r="C50285" s="8"/>
      <c r="D50285" s="8"/>
    </row>
    <row r="50286" spans="1:4" ht="15.75" customHeight="1">
      <c r="A50286" s="8"/>
      <c r="B50286" s="12"/>
      <c r="C50286" s="8"/>
      <c r="D50286" s="8"/>
    </row>
    <row r="50287" spans="1:4" ht="15.75" customHeight="1">
      <c r="A50287" s="8"/>
      <c r="B50287" s="12"/>
      <c r="C50287" s="8"/>
      <c r="D50287" s="8"/>
    </row>
    <row r="50288" spans="1:4" ht="15.75" customHeight="1">
      <c r="A50288" s="8"/>
      <c r="B50288" s="12"/>
      <c r="C50288" s="8"/>
      <c r="D50288" s="8"/>
    </row>
    <row r="50289" spans="1:4" ht="15.75" customHeight="1">
      <c r="A50289" s="8"/>
      <c r="B50289" s="12"/>
      <c r="C50289" s="8"/>
      <c r="D50289" s="8"/>
    </row>
    <row r="50290" spans="1:4" ht="15.75" customHeight="1">
      <c r="A50290" s="8"/>
      <c r="B50290" s="12"/>
      <c r="C50290" s="8"/>
      <c r="D50290" s="8"/>
    </row>
    <row r="50291" spans="1:4" ht="15.75" customHeight="1">
      <c r="A50291" s="8"/>
      <c r="B50291" s="12"/>
      <c r="C50291" s="8"/>
      <c r="D50291" s="8"/>
    </row>
    <row r="50292" spans="1:4" ht="15.75" customHeight="1">
      <c r="A50292" s="8"/>
      <c r="B50292" s="12"/>
      <c r="C50292" s="8"/>
      <c r="D50292" s="8"/>
    </row>
    <row r="50293" spans="1:4" ht="15.75" customHeight="1">
      <c r="A50293" s="8"/>
      <c r="B50293" s="12"/>
      <c r="C50293" s="8"/>
      <c r="D50293" s="8"/>
    </row>
    <row r="50294" spans="1:4" ht="15.75" customHeight="1">
      <c r="A50294" s="8"/>
      <c r="B50294" s="12"/>
      <c r="C50294" s="8"/>
      <c r="D50294" s="8"/>
    </row>
    <row r="50295" spans="1:4" ht="15.75" customHeight="1">
      <c r="A50295" s="8"/>
      <c r="B50295" s="12"/>
      <c r="C50295" s="8"/>
      <c r="D50295" s="8"/>
    </row>
    <row r="50296" spans="1:4" ht="15.75" customHeight="1">
      <c r="A50296" s="8"/>
      <c r="B50296" s="12"/>
      <c r="C50296" s="8"/>
      <c r="D50296" s="8"/>
    </row>
    <row r="50297" spans="1:4" ht="15.75" customHeight="1">
      <c r="A50297" s="8"/>
      <c r="B50297" s="12"/>
      <c r="C50297" s="8"/>
      <c r="D50297" s="8"/>
    </row>
    <row r="50298" spans="1:4" ht="15.75" customHeight="1">
      <c r="A50298" s="8"/>
      <c r="B50298" s="12"/>
      <c r="C50298" s="8"/>
      <c r="D50298" s="8"/>
    </row>
    <row r="50299" spans="1:4" ht="15.75" customHeight="1">
      <c r="A50299" s="8"/>
      <c r="B50299" s="12"/>
      <c r="C50299" s="8"/>
      <c r="D50299" s="8"/>
    </row>
    <row r="50300" spans="1:4" ht="15.75" customHeight="1">
      <c r="A50300" s="8"/>
      <c r="B50300" s="12"/>
      <c r="C50300" s="8"/>
      <c r="D50300" s="8"/>
    </row>
    <row r="50301" spans="1:4" ht="15.75" customHeight="1">
      <c r="A50301" s="8"/>
      <c r="B50301" s="12"/>
      <c r="C50301" s="8"/>
      <c r="D50301" s="8"/>
    </row>
    <row r="50302" spans="1:4" ht="15.75" customHeight="1">
      <c r="A50302" s="8"/>
      <c r="B50302" s="12"/>
      <c r="C50302" s="8"/>
      <c r="D50302" s="8"/>
    </row>
    <row r="50303" spans="1:4" ht="15.75" customHeight="1">
      <c r="A50303" s="8"/>
      <c r="B50303" s="12"/>
      <c r="C50303" s="8"/>
      <c r="D50303" s="8"/>
    </row>
    <row r="50304" spans="1:4" ht="15.75" customHeight="1">
      <c r="A50304" s="8"/>
      <c r="B50304" s="12"/>
      <c r="C50304" s="8"/>
      <c r="D50304" s="8"/>
    </row>
    <row r="50305" spans="1:4" ht="15.75" customHeight="1">
      <c r="A50305" s="8"/>
      <c r="B50305" s="12"/>
      <c r="C50305" s="8"/>
      <c r="D50305" s="8"/>
    </row>
    <row r="50306" spans="1:4" ht="15.75" customHeight="1">
      <c r="A50306" s="8"/>
      <c r="B50306" s="12"/>
      <c r="C50306" s="8"/>
      <c r="D50306" s="8"/>
    </row>
    <row r="50307" spans="1:4" ht="15.75" customHeight="1">
      <c r="A50307" s="8"/>
      <c r="B50307" s="12"/>
      <c r="C50307" s="8"/>
      <c r="D50307" s="8"/>
    </row>
    <row r="50308" spans="1:4" ht="15.75" customHeight="1">
      <c r="A50308" s="8"/>
      <c r="B50308" s="12"/>
      <c r="C50308" s="8"/>
      <c r="D50308" s="8"/>
    </row>
    <row r="50309" spans="1:4" ht="15.75" customHeight="1">
      <c r="A50309" s="8"/>
      <c r="B50309" s="12"/>
      <c r="C50309" s="8"/>
      <c r="D50309" s="8"/>
    </row>
    <row r="50310" spans="1:4" ht="15.75" customHeight="1">
      <c r="A50310" s="8"/>
      <c r="B50310" s="12"/>
      <c r="C50310" s="8"/>
      <c r="D50310" s="8"/>
    </row>
    <row r="50311" spans="1:4" ht="15.75" customHeight="1">
      <c r="A50311" s="8"/>
      <c r="B50311" s="12"/>
      <c r="C50311" s="8"/>
      <c r="D50311" s="8"/>
    </row>
    <row r="50312" spans="1:4" ht="15.75" customHeight="1">
      <c r="A50312" s="8"/>
      <c r="B50312" s="12"/>
      <c r="C50312" s="8"/>
      <c r="D50312" s="8"/>
    </row>
    <row r="50313" spans="1:4" ht="15.75" customHeight="1">
      <c r="A50313" s="8"/>
      <c r="B50313" s="12"/>
      <c r="C50313" s="8"/>
      <c r="D50313" s="8"/>
    </row>
    <row r="50314" spans="1:4" ht="15.75" customHeight="1">
      <c r="A50314" s="8"/>
      <c r="B50314" s="12"/>
      <c r="C50314" s="8"/>
      <c r="D50314" s="8"/>
    </row>
    <row r="50315" spans="1:4" ht="15.75" customHeight="1">
      <c r="A50315" s="8"/>
      <c r="B50315" s="12"/>
      <c r="C50315" s="8"/>
      <c r="D50315" s="8"/>
    </row>
    <row r="50316" spans="1:4" ht="15.75" customHeight="1">
      <c r="A50316" s="8"/>
      <c r="B50316" s="12"/>
      <c r="C50316" s="8"/>
      <c r="D50316" s="8"/>
    </row>
    <row r="50317" spans="1:4" ht="15.75" customHeight="1">
      <c r="A50317" s="8"/>
      <c r="B50317" s="12"/>
      <c r="C50317" s="8"/>
      <c r="D50317" s="8"/>
    </row>
    <row r="50318" spans="1:4" ht="15.75" customHeight="1">
      <c r="A50318" s="8"/>
      <c r="B50318" s="12"/>
      <c r="C50318" s="8"/>
      <c r="D50318" s="8"/>
    </row>
    <row r="50319" spans="1:4" ht="15.75" customHeight="1">
      <c r="A50319" s="8"/>
      <c r="B50319" s="12"/>
      <c r="C50319" s="8"/>
      <c r="D50319" s="8"/>
    </row>
    <row r="50320" spans="1:4" ht="15.75" customHeight="1">
      <c r="A50320" s="8"/>
      <c r="B50320" s="12"/>
      <c r="C50320" s="8"/>
      <c r="D50320" s="8"/>
    </row>
    <row r="50321" spans="1:4" ht="15.75" customHeight="1">
      <c r="A50321" s="8"/>
      <c r="B50321" s="12"/>
      <c r="C50321" s="8"/>
      <c r="D50321" s="8"/>
    </row>
    <row r="50322" spans="1:4" ht="15.75" customHeight="1">
      <c r="A50322" s="8"/>
      <c r="B50322" s="12"/>
      <c r="C50322" s="8"/>
      <c r="D50322" s="8"/>
    </row>
    <row r="50323" spans="1:4" ht="15.75" customHeight="1">
      <c r="A50323" s="8"/>
      <c r="B50323" s="12"/>
      <c r="C50323" s="8"/>
      <c r="D50323" s="8"/>
    </row>
    <row r="50324" spans="1:4" ht="15.75" customHeight="1">
      <c r="A50324" s="8"/>
      <c r="B50324" s="12"/>
      <c r="C50324" s="8"/>
      <c r="D50324" s="8"/>
    </row>
    <row r="50325" spans="1:4" ht="15.75" customHeight="1">
      <c r="A50325" s="8"/>
      <c r="B50325" s="12"/>
      <c r="C50325" s="8"/>
      <c r="D50325" s="8"/>
    </row>
    <row r="50326" spans="1:4" ht="15.75" customHeight="1">
      <c r="A50326" s="8"/>
      <c r="B50326" s="12"/>
      <c r="C50326" s="8"/>
      <c r="D50326" s="8"/>
    </row>
    <row r="50327" spans="1:4" ht="15.75" customHeight="1">
      <c r="A50327" s="8"/>
      <c r="B50327" s="12"/>
      <c r="C50327" s="8"/>
      <c r="D50327" s="8"/>
    </row>
    <row r="50328" spans="1:4" ht="15.75" customHeight="1">
      <c r="A50328" s="8"/>
      <c r="B50328" s="12"/>
      <c r="C50328" s="8"/>
      <c r="D50328" s="8"/>
    </row>
    <row r="50329" spans="1:4" ht="15.75" customHeight="1">
      <c r="A50329" s="8"/>
      <c r="B50329" s="12"/>
      <c r="C50329" s="8"/>
      <c r="D50329" s="8"/>
    </row>
    <row r="50330" spans="1:4" ht="15.75" customHeight="1">
      <c r="A50330" s="8"/>
      <c r="B50330" s="12"/>
      <c r="C50330" s="8"/>
      <c r="D50330" s="8"/>
    </row>
    <row r="50331" spans="1:4" ht="15.75" customHeight="1">
      <c r="A50331" s="8"/>
      <c r="B50331" s="12"/>
      <c r="C50331" s="8"/>
      <c r="D50331" s="8"/>
    </row>
    <row r="50332" spans="1:4" ht="15.75" customHeight="1">
      <c r="A50332" s="8"/>
      <c r="B50332" s="12"/>
      <c r="C50332" s="8"/>
      <c r="D50332" s="8"/>
    </row>
    <row r="50333" spans="1:4" ht="15.75" customHeight="1">
      <c r="A50333" s="8"/>
      <c r="B50333" s="12"/>
      <c r="C50333" s="8"/>
      <c r="D50333" s="8"/>
    </row>
    <row r="50334" spans="1:4" ht="15.75" customHeight="1">
      <c r="A50334" s="8"/>
      <c r="B50334" s="12"/>
      <c r="C50334" s="8"/>
      <c r="D50334" s="8"/>
    </row>
    <row r="50335" spans="1:4" ht="15.75" customHeight="1">
      <c r="A50335" s="8"/>
      <c r="B50335" s="12"/>
      <c r="C50335" s="8"/>
      <c r="D50335" s="8"/>
    </row>
    <row r="50336" spans="1:4" ht="15.75" customHeight="1">
      <c r="A50336" s="8"/>
      <c r="B50336" s="12"/>
      <c r="C50336" s="8"/>
      <c r="D50336" s="8"/>
    </row>
    <row r="50337" spans="1:4" ht="15.75" customHeight="1">
      <c r="A50337" s="8"/>
      <c r="B50337" s="12"/>
      <c r="C50337" s="8"/>
      <c r="D50337" s="8"/>
    </row>
    <row r="50338" spans="1:4" ht="15.75" customHeight="1">
      <c r="A50338" s="8"/>
      <c r="B50338" s="12"/>
      <c r="C50338" s="8"/>
      <c r="D50338" s="8"/>
    </row>
    <row r="50339" spans="1:4" ht="15.75" customHeight="1">
      <c r="A50339" s="8"/>
      <c r="B50339" s="12"/>
      <c r="C50339" s="8"/>
      <c r="D50339" s="8"/>
    </row>
    <row r="50340" spans="1:4" ht="15.75" customHeight="1">
      <c r="A50340" s="8"/>
      <c r="B50340" s="12"/>
      <c r="C50340" s="8"/>
      <c r="D50340" s="8"/>
    </row>
    <row r="50341" spans="1:4" ht="15.75" customHeight="1">
      <c r="A50341" s="8"/>
      <c r="B50341" s="12"/>
      <c r="C50341" s="8"/>
      <c r="D50341" s="8"/>
    </row>
    <row r="50342" spans="1:4" ht="15.75" customHeight="1">
      <c r="A50342" s="8"/>
      <c r="B50342" s="12"/>
      <c r="C50342" s="8"/>
      <c r="D50342" s="8"/>
    </row>
    <row r="50343" spans="1:4" ht="15.75" customHeight="1">
      <c r="A50343" s="8"/>
      <c r="B50343" s="12"/>
      <c r="C50343" s="8"/>
      <c r="D50343" s="8"/>
    </row>
    <row r="50344" spans="1:4" ht="15.75" customHeight="1">
      <c r="A50344" s="8"/>
      <c r="B50344" s="12"/>
      <c r="C50344" s="8"/>
      <c r="D50344" s="8"/>
    </row>
    <row r="50345" spans="1:4" ht="15.75" customHeight="1">
      <c r="A50345" s="8"/>
      <c r="B50345" s="12"/>
      <c r="C50345" s="8"/>
      <c r="D50345" s="8"/>
    </row>
    <row r="50346" spans="1:4" ht="15.75" customHeight="1">
      <c r="A50346" s="8"/>
      <c r="B50346" s="12"/>
      <c r="C50346" s="8"/>
      <c r="D50346" s="8"/>
    </row>
    <row r="50347" spans="1:4" ht="15.75" customHeight="1">
      <c r="A50347" s="8"/>
      <c r="B50347" s="12"/>
      <c r="C50347" s="8"/>
      <c r="D50347" s="8"/>
    </row>
    <row r="50348" spans="1:4" ht="15.75" customHeight="1">
      <c r="A50348" s="8"/>
      <c r="B50348" s="12"/>
      <c r="C50348" s="8"/>
      <c r="D50348" s="8"/>
    </row>
    <row r="50349" spans="1:4" ht="15.75" customHeight="1">
      <c r="A50349" s="8"/>
      <c r="B50349" s="12"/>
      <c r="C50349" s="8"/>
      <c r="D50349" s="8"/>
    </row>
    <row r="50350" spans="1:4" ht="15.75" customHeight="1">
      <c r="A50350" s="8"/>
      <c r="B50350" s="12"/>
      <c r="C50350" s="8"/>
      <c r="D50350" s="8"/>
    </row>
    <row r="50351" spans="1:4" ht="15.75" customHeight="1">
      <c r="A50351" s="8"/>
      <c r="B50351" s="12"/>
      <c r="C50351" s="8"/>
      <c r="D50351" s="8"/>
    </row>
    <row r="50352" spans="1:4" ht="15.75" customHeight="1">
      <c r="A50352" s="8"/>
      <c r="B50352" s="12"/>
      <c r="C50352" s="8"/>
      <c r="D50352" s="8"/>
    </row>
    <row r="50353" spans="1:4" ht="15.75" customHeight="1">
      <c r="A50353" s="8"/>
      <c r="B50353" s="12"/>
      <c r="C50353" s="8"/>
      <c r="D50353" s="8"/>
    </row>
    <row r="50354" spans="1:4" ht="15.75" customHeight="1">
      <c r="A50354" s="8"/>
      <c r="B50354" s="12"/>
      <c r="C50354" s="8"/>
      <c r="D50354" s="8"/>
    </row>
    <row r="50355" spans="1:4" ht="15.75" customHeight="1">
      <c r="A50355" s="8"/>
      <c r="B50355" s="12"/>
      <c r="C50355" s="8"/>
      <c r="D50355" s="8"/>
    </row>
    <row r="50356" spans="1:4" ht="15.75" customHeight="1">
      <c r="A50356" s="8"/>
      <c r="B50356" s="12"/>
      <c r="C50356" s="8"/>
      <c r="D50356" s="8"/>
    </row>
    <row r="50357" spans="1:4" ht="15.75" customHeight="1">
      <c r="A50357" s="8"/>
      <c r="B50357" s="12"/>
      <c r="C50357" s="8"/>
      <c r="D50357" s="8"/>
    </row>
    <row r="50358" spans="1:4" ht="15.75" customHeight="1">
      <c r="A50358" s="8"/>
      <c r="B50358" s="12"/>
      <c r="C50358" s="8"/>
      <c r="D50358" s="8"/>
    </row>
    <row r="50359" spans="1:4" ht="15.75" customHeight="1">
      <c r="A50359" s="8"/>
      <c r="B50359" s="12"/>
      <c r="C50359" s="8"/>
      <c r="D50359" s="8"/>
    </row>
    <row r="50360" spans="1:4" ht="15.75" customHeight="1">
      <c r="A50360" s="8"/>
      <c r="B50360" s="12"/>
      <c r="C50360" s="8"/>
      <c r="D50360" s="8"/>
    </row>
    <row r="50361" spans="1:4" ht="15.75" customHeight="1">
      <c r="A50361" s="8"/>
      <c r="B50361" s="12"/>
      <c r="C50361" s="8"/>
      <c r="D50361" s="8"/>
    </row>
    <row r="50362" spans="1:4" ht="15.75" customHeight="1">
      <c r="A50362" s="8"/>
      <c r="B50362" s="12"/>
      <c r="C50362" s="8"/>
      <c r="D50362" s="8"/>
    </row>
    <row r="50363" spans="1:4" ht="15.75" customHeight="1">
      <c r="A50363" s="8"/>
      <c r="B50363" s="12"/>
      <c r="C50363" s="8"/>
      <c r="D50363" s="8"/>
    </row>
    <row r="50364" spans="1:4" ht="15.75" customHeight="1">
      <c r="A50364" s="8"/>
      <c r="B50364" s="12"/>
      <c r="C50364" s="8"/>
      <c r="D50364" s="8"/>
    </row>
    <row r="50365" spans="1:4" ht="15.75" customHeight="1">
      <c r="A50365" s="8"/>
      <c r="B50365" s="12"/>
      <c r="C50365" s="8"/>
      <c r="D50365" s="8"/>
    </row>
    <row r="50366" spans="1:4" ht="15.75" customHeight="1">
      <c r="A50366" s="8"/>
      <c r="B50366" s="12"/>
      <c r="C50366" s="8"/>
      <c r="D50366" s="8"/>
    </row>
    <row r="50367" spans="1:4" ht="15.75" customHeight="1">
      <c r="A50367" s="8"/>
      <c r="B50367" s="12"/>
      <c r="C50367" s="8"/>
      <c r="D50367" s="8"/>
    </row>
    <row r="50368" spans="1:4" ht="15.75" customHeight="1">
      <c r="A50368" s="8"/>
      <c r="B50368" s="12"/>
      <c r="C50368" s="8"/>
      <c r="D50368" s="8"/>
    </row>
    <row r="50369" spans="1:4" ht="15.75" customHeight="1">
      <c r="A50369" s="8"/>
      <c r="B50369" s="12"/>
      <c r="C50369" s="8"/>
      <c r="D50369" s="8"/>
    </row>
    <row r="50370" spans="1:4" ht="15.75" customHeight="1">
      <c r="A50370" s="8"/>
      <c r="B50370" s="12"/>
      <c r="C50370" s="8"/>
      <c r="D50370" s="8"/>
    </row>
    <row r="50371" spans="1:4" ht="15.75" customHeight="1">
      <c r="A50371" s="8"/>
      <c r="B50371" s="12"/>
      <c r="C50371" s="8"/>
      <c r="D50371" s="8"/>
    </row>
    <row r="50372" spans="1:4" ht="15.75" customHeight="1">
      <c r="A50372" s="8"/>
      <c r="B50372" s="12"/>
      <c r="C50372" s="8"/>
      <c r="D50372" s="8"/>
    </row>
    <row r="50373" spans="1:4" ht="15.75" customHeight="1">
      <c r="A50373" s="8"/>
      <c r="B50373" s="12"/>
      <c r="C50373" s="8"/>
      <c r="D50373" s="8"/>
    </row>
    <row r="50374" spans="1:4" ht="15.75" customHeight="1">
      <c r="A50374" s="8"/>
      <c r="B50374" s="12"/>
      <c r="C50374" s="8"/>
      <c r="D50374" s="8"/>
    </row>
    <row r="50375" spans="1:4" ht="15.75" customHeight="1">
      <c r="A50375" s="8"/>
      <c r="B50375" s="12"/>
      <c r="C50375" s="8"/>
      <c r="D50375" s="8"/>
    </row>
    <row r="50376" spans="1:4" ht="15.75" customHeight="1">
      <c r="A50376" s="8"/>
      <c r="B50376" s="12"/>
      <c r="C50376" s="8"/>
      <c r="D50376" s="8"/>
    </row>
    <row r="50377" spans="1:4" ht="15.75" customHeight="1">
      <c r="A50377" s="8"/>
      <c r="B50377" s="12"/>
      <c r="C50377" s="8"/>
      <c r="D50377" s="8"/>
    </row>
    <row r="50378" spans="1:4" ht="15.75" customHeight="1">
      <c r="A50378" s="8"/>
      <c r="B50378" s="12"/>
      <c r="C50378" s="8"/>
      <c r="D50378" s="8"/>
    </row>
    <row r="50379" spans="1:4" ht="15.75" customHeight="1">
      <c r="A50379" s="8"/>
      <c r="B50379" s="12"/>
      <c r="C50379" s="8"/>
      <c r="D50379" s="8"/>
    </row>
    <row r="50380" spans="1:4" ht="15.75" customHeight="1">
      <c r="A50380" s="8"/>
      <c r="B50380" s="12"/>
      <c r="C50380" s="8"/>
      <c r="D50380" s="8"/>
    </row>
    <row r="50381" spans="1:4" ht="15.75" customHeight="1">
      <c r="A50381" s="8"/>
      <c r="B50381" s="12"/>
      <c r="C50381" s="8"/>
      <c r="D50381" s="8"/>
    </row>
    <row r="50382" spans="1:4" ht="15.75" customHeight="1">
      <c r="A50382" s="8"/>
      <c r="B50382" s="12"/>
      <c r="C50382" s="8"/>
      <c r="D50382" s="8"/>
    </row>
    <row r="50383" spans="1:4" ht="15.75" customHeight="1">
      <c r="A50383" s="8"/>
      <c r="B50383" s="12"/>
      <c r="C50383" s="8"/>
      <c r="D50383" s="8"/>
    </row>
    <row r="50384" spans="1:4" ht="15.75" customHeight="1">
      <c r="A50384" s="8"/>
      <c r="B50384" s="12"/>
      <c r="C50384" s="8"/>
      <c r="D50384" s="8"/>
    </row>
    <row r="50385" spans="1:4" ht="15.75" customHeight="1">
      <c r="A50385" s="8"/>
      <c r="B50385" s="12"/>
      <c r="C50385" s="8"/>
      <c r="D50385" s="8"/>
    </row>
    <row r="50386" spans="1:4" ht="15.75" customHeight="1">
      <c r="A50386" s="8"/>
      <c r="B50386" s="12"/>
      <c r="C50386" s="8"/>
      <c r="D50386" s="8"/>
    </row>
    <row r="50387" spans="1:4" ht="15.75" customHeight="1">
      <c r="A50387" s="8"/>
      <c r="B50387" s="12"/>
      <c r="C50387" s="8"/>
      <c r="D50387" s="8"/>
    </row>
    <row r="50388" spans="1:4" ht="15.75" customHeight="1">
      <c r="A50388" s="8"/>
      <c r="B50388" s="12"/>
      <c r="C50388" s="8"/>
      <c r="D50388" s="8"/>
    </row>
    <row r="50389" spans="1:4" ht="15.75" customHeight="1">
      <c r="A50389" s="8"/>
      <c r="B50389" s="12"/>
      <c r="C50389" s="8"/>
      <c r="D50389" s="8"/>
    </row>
    <row r="50390" spans="1:4" ht="15.75" customHeight="1">
      <c r="A50390" s="8"/>
      <c r="B50390" s="12"/>
      <c r="C50390" s="8"/>
      <c r="D50390" s="8"/>
    </row>
    <row r="50391" spans="1:4" ht="15.75" customHeight="1">
      <c r="A50391" s="8"/>
      <c r="B50391" s="12"/>
      <c r="C50391" s="8"/>
      <c r="D50391" s="8"/>
    </row>
    <row r="50392" spans="1:4" ht="15.75" customHeight="1">
      <c r="A50392" s="8"/>
      <c r="B50392" s="12"/>
      <c r="C50392" s="8"/>
      <c r="D50392" s="8"/>
    </row>
    <row r="50393" spans="1:4" ht="15.75" customHeight="1">
      <c r="A50393" s="8"/>
      <c r="B50393" s="12"/>
      <c r="C50393" s="8"/>
      <c r="D50393" s="8"/>
    </row>
    <row r="50394" spans="1:4" ht="15.75" customHeight="1">
      <c r="A50394" s="8"/>
      <c r="B50394" s="12"/>
      <c r="C50394" s="8"/>
      <c r="D50394" s="8"/>
    </row>
    <row r="50395" spans="1:4" ht="15.75" customHeight="1">
      <c r="A50395" s="8"/>
      <c r="B50395" s="12"/>
      <c r="C50395" s="8"/>
      <c r="D50395" s="8"/>
    </row>
    <row r="50396" spans="1:4" ht="15.75" customHeight="1">
      <c r="A50396" s="8"/>
      <c r="B50396" s="12"/>
      <c r="C50396" s="8"/>
      <c r="D50396" s="8"/>
    </row>
    <row r="50397" spans="1:4" ht="15.75" customHeight="1">
      <c r="A50397" s="8"/>
      <c r="B50397" s="12"/>
      <c r="C50397" s="8"/>
      <c r="D50397" s="8"/>
    </row>
    <row r="50398" spans="1:4" ht="15.75" customHeight="1">
      <c r="A50398" s="8"/>
      <c r="B50398" s="12"/>
      <c r="C50398" s="8"/>
      <c r="D50398" s="8"/>
    </row>
    <row r="50399" spans="1:4" ht="15.75" customHeight="1">
      <c r="A50399" s="8"/>
      <c r="B50399" s="12"/>
      <c r="C50399" s="8"/>
      <c r="D50399" s="8"/>
    </row>
    <row r="50400" spans="1:4" ht="15.75" customHeight="1">
      <c r="A50400" s="8"/>
      <c r="B50400" s="12"/>
      <c r="C50400" s="8"/>
      <c r="D50400" s="8"/>
    </row>
    <row r="50401" spans="1:4" ht="15.75" customHeight="1">
      <c r="A50401" s="8"/>
      <c r="B50401" s="12"/>
      <c r="C50401" s="8"/>
      <c r="D50401" s="8"/>
    </row>
    <row r="50402" spans="1:4" ht="15.75" customHeight="1">
      <c r="A50402" s="8"/>
      <c r="B50402" s="12"/>
      <c r="C50402" s="8"/>
      <c r="D50402" s="8"/>
    </row>
    <row r="50403" spans="1:4" ht="15.75" customHeight="1">
      <c r="A50403" s="8"/>
      <c r="B50403" s="12"/>
      <c r="C50403" s="8"/>
      <c r="D50403" s="8"/>
    </row>
    <row r="50404" spans="1:4" ht="15.75" customHeight="1">
      <c r="A50404" s="8"/>
      <c r="B50404" s="12"/>
      <c r="C50404" s="8"/>
      <c r="D50404" s="8"/>
    </row>
    <row r="50405" spans="1:4" ht="15.75" customHeight="1">
      <c r="A50405" s="8"/>
      <c r="B50405" s="12"/>
      <c r="C50405" s="8"/>
      <c r="D50405" s="8"/>
    </row>
    <row r="50406" spans="1:4" ht="15.75" customHeight="1">
      <c r="A50406" s="8"/>
      <c r="B50406" s="12"/>
      <c r="C50406" s="8"/>
      <c r="D50406" s="8"/>
    </row>
    <row r="50407" spans="1:4" ht="15.75" customHeight="1">
      <c r="A50407" s="8"/>
      <c r="B50407" s="12"/>
      <c r="C50407" s="8"/>
      <c r="D50407" s="8"/>
    </row>
    <row r="50408" spans="1:4" ht="15.75" customHeight="1">
      <c r="A50408" s="8"/>
      <c r="B50408" s="12"/>
      <c r="C50408" s="8"/>
      <c r="D50408" s="8"/>
    </row>
    <row r="50409" spans="1:4" ht="15.75" customHeight="1">
      <c r="A50409" s="8"/>
      <c r="B50409" s="12"/>
      <c r="C50409" s="8"/>
      <c r="D50409" s="8"/>
    </row>
    <row r="50410" spans="1:4" ht="15.75" customHeight="1">
      <c r="A50410" s="8"/>
      <c r="B50410" s="12"/>
      <c r="C50410" s="8"/>
      <c r="D50410" s="8"/>
    </row>
    <row r="50411" spans="1:4" ht="15.75" customHeight="1">
      <c r="A50411" s="8"/>
      <c r="B50411" s="12"/>
      <c r="C50411" s="8"/>
      <c r="D50411" s="8"/>
    </row>
    <row r="50412" spans="1:4" ht="15.75" customHeight="1">
      <c r="A50412" s="8"/>
      <c r="B50412" s="12"/>
      <c r="C50412" s="8"/>
      <c r="D50412" s="8"/>
    </row>
    <row r="50413" spans="1:4" ht="15.75" customHeight="1">
      <c r="A50413" s="8"/>
      <c r="B50413" s="12"/>
      <c r="C50413" s="8"/>
      <c r="D50413" s="8"/>
    </row>
    <row r="50414" spans="1:4" ht="15.75" customHeight="1">
      <c r="A50414" s="8"/>
      <c r="B50414" s="12"/>
      <c r="C50414" s="8"/>
      <c r="D50414" s="8"/>
    </row>
    <row r="50415" spans="1:4" ht="15.75" customHeight="1">
      <c r="A50415" s="8"/>
      <c r="B50415" s="12"/>
      <c r="C50415" s="8"/>
      <c r="D50415" s="8"/>
    </row>
    <row r="50416" spans="1:4" ht="15.75" customHeight="1">
      <c r="A50416" s="8"/>
      <c r="B50416" s="12"/>
      <c r="C50416" s="8"/>
      <c r="D50416" s="8"/>
    </row>
    <row r="50417" spans="1:4" ht="15.75" customHeight="1">
      <c r="A50417" s="8"/>
      <c r="B50417" s="12"/>
      <c r="C50417" s="8"/>
      <c r="D50417" s="8"/>
    </row>
    <row r="50418" spans="1:4" ht="15.75" customHeight="1">
      <c r="A50418" s="8"/>
      <c r="B50418" s="12"/>
      <c r="C50418" s="8"/>
      <c r="D50418" s="8"/>
    </row>
    <row r="50419" spans="1:4" ht="15.75" customHeight="1">
      <c r="A50419" s="8"/>
      <c r="B50419" s="12"/>
      <c r="C50419" s="8"/>
      <c r="D50419" s="8"/>
    </row>
    <row r="50420" spans="1:4" ht="15.75" customHeight="1">
      <c r="A50420" s="8"/>
      <c r="B50420" s="12"/>
      <c r="C50420" s="8"/>
      <c r="D50420" s="8"/>
    </row>
    <row r="50421" spans="1:4" ht="15.75" customHeight="1">
      <c r="A50421" s="8"/>
      <c r="B50421" s="12"/>
      <c r="C50421" s="8"/>
      <c r="D50421" s="8"/>
    </row>
    <row r="50422" spans="1:4" ht="15.75" customHeight="1">
      <c r="A50422" s="8"/>
      <c r="B50422" s="12"/>
      <c r="C50422" s="8"/>
      <c r="D50422" s="8"/>
    </row>
    <row r="50423" spans="1:4" ht="15.75" customHeight="1">
      <c r="A50423" s="8"/>
      <c r="B50423" s="12"/>
      <c r="C50423" s="8"/>
      <c r="D50423" s="8"/>
    </row>
    <row r="50424" spans="1:4" ht="15.75" customHeight="1">
      <c r="A50424" s="8"/>
      <c r="B50424" s="12"/>
      <c r="C50424" s="8"/>
      <c r="D50424" s="8"/>
    </row>
    <row r="50425" spans="1:4" ht="15.75" customHeight="1">
      <c r="A50425" s="8"/>
      <c r="B50425" s="12"/>
      <c r="C50425" s="8"/>
      <c r="D50425" s="8"/>
    </row>
    <row r="50426" spans="1:4" ht="15.75" customHeight="1">
      <c r="A50426" s="8"/>
      <c r="B50426" s="12"/>
      <c r="C50426" s="8"/>
      <c r="D50426" s="8"/>
    </row>
    <row r="50427" spans="1:4" ht="15.75" customHeight="1">
      <c r="A50427" s="8"/>
      <c r="B50427" s="12"/>
      <c r="C50427" s="8"/>
      <c r="D50427" s="8"/>
    </row>
    <row r="50428" spans="1:4" ht="15.75" customHeight="1">
      <c r="A50428" s="8"/>
      <c r="B50428" s="12"/>
      <c r="C50428" s="8"/>
      <c r="D50428" s="8"/>
    </row>
    <row r="50429" spans="1:4" ht="15.75" customHeight="1">
      <c r="A50429" s="8"/>
      <c r="B50429" s="12"/>
      <c r="C50429" s="8"/>
      <c r="D50429" s="8"/>
    </row>
    <row r="50430" spans="1:4" ht="15.75" customHeight="1">
      <c r="A50430" s="8"/>
      <c r="B50430" s="12"/>
      <c r="C50430" s="8"/>
      <c r="D50430" s="8"/>
    </row>
    <row r="50431" spans="1:4" ht="15.75" customHeight="1">
      <c r="A50431" s="8"/>
      <c r="B50431" s="12"/>
      <c r="C50431" s="8"/>
      <c r="D50431" s="8"/>
    </row>
    <row r="50432" spans="1:4" ht="15.75" customHeight="1">
      <c r="A50432" s="8"/>
      <c r="B50432" s="12"/>
      <c r="C50432" s="8"/>
      <c r="D50432" s="8"/>
    </row>
    <row r="50433" spans="1:4" ht="15.75" customHeight="1">
      <c r="A50433" s="8"/>
      <c r="B50433" s="12"/>
      <c r="C50433" s="8"/>
      <c r="D50433" s="8"/>
    </row>
    <row r="50434" spans="1:4" ht="15.75" customHeight="1">
      <c r="A50434" s="8"/>
      <c r="B50434" s="12"/>
      <c r="C50434" s="8"/>
      <c r="D50434" s="8"/>
    </row>
    <row r="50435" spans="1:4" ht="15.75" customHeight="1">
      <c r="A50435" s="8"/>
      <c r="B50435" s="12"/>
      <c r="C50435" s="8"/>
      <c r="D50435" s="8"/>
    </row>
    <row r="50436" spans="1:4" ht="15.75" customHeight="1">
      <c r="A50436" s="8"/>
      <c r="B50436" s="12"/>
      <c r="C50436" s="8"/>
      <c r="D50436" s="8"/>
    </row>
    <row r="50437" spans="1:4" ht="15.75" customHeight="1">
      <c r="A50437" s="8"/>
      <c r="B50437" s="12"/>
      <c r="C50437" s="8"/>
      <c r="D50437" s="8"/>
    </row>
    <row r="50438" spans="1:4" ht="15.75" customHeight="1">
      <c r="A50438" s="8"/>
      <c r="B50438" s="12"/>
      <c r="C50438" s="8"/>
      <c r="D50438" s="8"/>
    </row>
    <row r="50439" spans="1:4" ht="15.75" customHeight="1">
      <c r="A50439" s="8"/>
      <c r="B50439" s="12"/>
      <c r="C50439" s="8"/>
      <c r="D50439" s="8"/>
    </row>
    <row r="50440" spans="1:4" ht="15.75" customHeight="1">
      <c r="A50440" s="8"/>
      <c r="B50440" s="12"/>
      <c r="C50440" s="8"/>
      <c r="D50440" s="8"/>
    </row>
    <row r="50441" spans="1:4" ht="15.75" customHeight="1">
      <c r="A50441" s="8"/>
      <c r="B50441" s="12"/>
      <c r="C50441" s="8"/>
      <c r="D50441" s="8"/>
    </row>
    <row r="50442" spans="1:4" ht="15.75" customHeight="1">
      <c r="A50442" s="8"/>
      <c r="B50442" s="12"/>
      <c r="C50442" s="8"/>
      <c r="D50442" s="8"/>
    </row>
    <row r="50443" spans="1:4" ht="15.75" customHeight="1">
      <c r="A50443" s="8"/>
      <c r="B50443" s="12"/>
      <c r="C50443" s="8"/>
      <c r="D50443" s="8"/>
    </row>
    <row r="50444" spans="1:4" ht="15.75" customHeight="1">
      <c r="A50444" s="8"/>
      <c r="B50444" s="12"/>
      <c r="C50444" s="8"/>
      <c r="D50444" s="8"/>
    </row>
    <row r="50445" spans="1:4" ht="15.75" customHeight="1">
      <c r="A50445" s="8"/>
      <c r="B50445" s="12"/>
      <c r="C50445" s="8"/>
      <c r="D50445" s="8"/>
    </row>
    <row r="50446" spans="1:4" ht="15.75" customHeight="1">
      <c r="A50446" s="8"/>
      <c r="B50446" s="12"/>
      <c r="C50446" s="8"/>
      <c r="D50446" s="8"/>
    </row>
    <row r="50447" spans="1:4" ht="15.75" customHeight="1">
      <c r="A50447" s="8"/>
      <c r="B50447" s="12"/>
      <c r="C50447" s="8"/>
      <c r="D50447" s="8"/>
    </row>
    <row r="50448" spans="1:4" ht="15.75" customHeight="1">
      <c r="A50448" s="8"/>
      <c r="B50448" s="12"/>
      <c r="C50448" s="8"/>
      <c r="D50448" s="8"/>
    </row>
    <row r="50449" spans="1:4" ht="15.75" customHeight="1">
      <c r="A50449" s="8"/>
      <c r="B50449" s="12"/>
      <c r="C50449" s="8"/>
      <c r="D50449" s="8"/>
    </row>
    <row r="50450" spans="1:4" ht="15.75" customHeight="1">
      <c r="A50450" s="8"/>
      <c r="B50450" s="12"/>
      <c r="C50450" s="8"/>
      <c r="D50450" s="8"/>
    </row>
    <row r="50451" spans="1:4" ht="15.75" customHeight="1">
      <c r="A50451" s="8"/>
      <c r="B50451" s="12"/>
      <c r="C50451" s="8"/>
      <c r="D50451" s="8"/>
    </row>
    <row r="50452" spans="1:4" ht="15.75" customHeight="1">
      <c r="A50452" s="8"/>
      <c r="B50452" s="12"/>
      <c r="C50452" s="8"/>
      <c r="D50452" s="8"/>
    </row>
    <row r="50453" spans="1:4" ht="15.75" customHeight="1">
      <c r="A50453" s="8"/>
      <c r="B50453" s="12"/>
      <c r="C50453" s="8"/>
      <c r="D50453" s="8"/>
    </row>
    <row r="50454" spans="1:4" ht="15.75" customHeight="1">
      <c r="A50454" s="8"/>
      <c r="B50454" s="12"/>
      <c r="C50454" s="8"/>
      <c r="D50454" s="8"/>
    </row>
    <row r="50455" spans="1:4" ht="15.75" customHeight="1">
      <c r="A50455" s="8"/>
      <c r="B50455" s="12"/>
      <c r="C50455" s="8"/>
      <c r="D50455" s="8"/>
    </row>
    <row r="50456" spans="1:4" ht="15.75" customHeight="1">
      <c r="A50456" s="8"/>
      <c r="B50456" s="12"/>
      <c r="C50456" s="8"/>
      <c r="D50456" s="8"/>
    </row>
    <row r="50457" spans="1:4" ht="15.75" customHeight="1">
      <c r="A50457" s="8"/>
      <c r="B50457" s="12"/>
      <c r="C50457" s="8"/>
      <c r="D50457" s="8"/>
    </row>
    <row r="50458" spans="1:4" ht="15.75" customHeight="1">
      <c r="A50458" s="8"/>
      <c r="B50458" s="12"/>
      <c r="C50458" s="8"/>
      <c r="D50458" s="8"/>
    </row>
    <row r="50459" spans="1:4" ht="15.75" customHeight="1">
      <c r="A50459" s="8"/>
      <c r="B50459" s="12"/>
      <c r="C50459" s="8"/>
      <c r="D50459" s="8"/>
    </row>
    <row r="50460" spans="1:4" ht="15.75" customHeight="1">
      <c r="A50460" s="8"/>
      <c r="B50460" s="12"/>
      <c r="C50460" s="8"/>
      <c r="D50460" s="8"/>
    </row>
    <row r="50461" spans="1:4" ht="15.75" customHeight="1">
      <c r="A50461" s="8"/>
      <c r="B50461" s="12"/>
      <c r="C50461" s="8"/>
      <c r="D50461" s="8"/>
    </row>
    <row r="50462" spans="1:4" ht="15.75" customHeight="1">
      <c r="A50462" s="8"/>
      <c r="B50462" s="12"/>
      <c r="C50462" s="8"/>
      <c r="D50462" s="8"/>
    </row>
    <row r="50463" spans="1:4" ht="15.75" customHeight="1">
      <c r="A50463" s="8"/>
      <c r="B50463" s="12"/>
      <c r="C50463" s="8"/>
      <c r="D50463" s="8"/>
    </row>
    <row r="50464" spans="1:4" ht="15.75" customHeight="1">
      <c r="A50464" s="8"/>
      <c r="B50464" s="12"/>
      <c r="C50464" s="8"/>
      <c r="D50464" s="8"/>
    </row>
    <row r="50465" spans="1:4" ht="15.75" customHeight="1">
      <c r="A50465" s="8"/>
      <c r="B50465" s="12"/>
      <c r="C50465" s="8"/>
      <c r="D50465" s="8"/>
    </row>
    <row r="50466" spans="1:4" ht="15.75" customHeight="1">
      <c r="A50466" s="8"/>
      <c r="B50466" s="12"/>
      <c r="C50466" s="8"/>
      <c r="D50466" s="8"/>
    </row>
    <row r="50467" spans="1:4" ht="15.75" customHeight="1">
      <c r="A50467" s="8"/>
      <c r="B50467" s="12"/>
      <c r="C50467" s="8"/>
      <c r="D50467" s="8"/>
    </row>
    <row r="50468" spans="1:4" ht="15.75" customHeight="1">
      <c r="A50468" s="8"/>
      <c r="B50468" s="12"/>
      <c r="C50468" s="8"/>
      <c r="D50468" s="8"/>
    </row>
    <row r="50469" spans="1:4" ht="15.75" customHeight="1">
      <c r="A50469" s="8"/>
      <c r="B50469" s="12"/>
      <c r="C50469" s="8"/>
      <c r="D50469" s="8"/>
    </row>
    <row r="50470" spans="1:4" ht="15.75" customHeight="1">
      <c r="A50470" s="8"/>
      <c r="B50470" s="12"/>
      <c r="C50470" s="8"/>
      <c r="D50470" s="8"/>
    </row>
    <row r="50471" spans="1:4" ht="15.75" customHeight="1">
      <c r="A50471" s="8"/>
      <c r="B50471" s="12"/>
      <c r="C50471" s="8"/>
      <c r="D50471" s="8"/>
    </row>
    <row r="50472" spans="1:4" ht="15.75" customHeight="1">
      <c r="A50472" s="8"/>
      <c r="B50472" s="12"/>
      <c r="C50472" s="8"/>
      <c r="D50472" s="8"/>
    </row>
    <row r="50473" spans="1:4" ht="15.75" customHeight="1">
      <c r="A50473" s="8"/>
      <c r="B50473" s="12"/>
      <c r="C50473" s="8"/>
      <c r="D50473" s="8"/>
    </row>
    <row r="50474" spans="1:4" ht="15.75" customHeight="1">
      <c r="A50474" s="8"/>
      <c r="B50474" s="12"/>
      <c r="C50474" s="8"/>
      <c r="D50474" s="8"/>
    </row>
    <row r="50475" spans="1:4" ht="15.75" customHeight="1">
      <c r="A50475" s="8"/>
      <c r="B50475" s="12"/>
      <c r="C50475" s="8"/>
      <c r="D50475" s="8"/>
    </row>
    <row r="50476" spans="1:4" ht="15.75" customHeight="1">
      <c r="A50476" s="8"/>
      <c r="B50476" s="12"/>
      <c r="C50476" s="8"/>
      <c r="D50476" s="8"/>
    </row>
    <row r="50477" spans="1:4" ht="15.75" customHeight="1">
      <c r="A50477" s="8"/>
      <c r="B50477" s="12"/>
      <c r="C50477" s="8"/>
      <c r="D50477" s="8"/>
    </row>
    <row r="50478" spans="1:4" ht="15.75" customHeight="1">
      <c r="A50478" s="8"/>
      <c r="B50478" s="12"/>
      <c r="C50478" s="8"/>
      <c r="D50478" s="8"/>
    </row>
    <row r="50479" spans="1:4" ht="15.75" customHeight="1">
      <c r="A50479" s="8"/>
      <c r="B50479" s="12"/>
      <c r="C50479" s="8"/>
      <c r="D50479" s="8"/>
    </row>
    <row r="50480" spans="1:4" ht="15.75" customHeight="1">
      <c r="A50480" s="8"/>
      <c r="B50480" s="12"/>
      <c r="C50480" s="8"/>
      <c r="D50480" s="8"/>
    </row>
    <row r="50481" spans="1:4" ht="15.75" customHeight="1">
      <c r="A50481" s="8"/>
      <c r="B50481" s="12"/>
      <c r="C50481" s="8"/>
      <c r="D50481" s="8"/>
    </row>
    <row r="50482" spans="1:4" ht="15.75" customHeight="1">
      <c r="A50482" s="8"/>
      <c r="B50482" s="12"/>
      <c r="C50482" s="8"/>
      <c r="D50482" s="8"/>
    </row>
    <row r="50483" spans="1:4" ht="15.75" customHeight="1">
      <c r="A50483" s="8"/>
      <c r="B50483" s="12"/>
      <c r="C50483" s="8"/>
      <c r="D50483" s="8"/>
    </row>
    <row r="50484" spans="1:4" ht="15.75" customHeight="1">
      <c r="A50484" s="8"/>
      <c r="B50484" s="12"/>
      <c r="C50484" s="8"/>
      <c r="D50484" s="8"/>
    </row>
    <row r="50485" spans="1:4" ht="15.75" customHeight="1">
      <c r="A50485" s="8"/>
      <c r="B50485" s="12"/>
      <c r="C50485" s="8"/>
      <c r="D50485" s="8"/>
    </row>
    <row r="50486" spans="1:4" ht="15.75" customHeight="1">
      <c r="A50486" s="8"/>
      <c r="B50486" s="12"/>
      <c r="C50486" s="8"/>
      <c r="D50486" s="8"/>
    </row>
    <row r="50487" spans="1:4" ht="15.75" customHeight="1">
      <c r="A50487" s="8"/>
      <c r="B50487" s="12"/>
      <c r="C50487" s="8"/>
      <c r="D50487" s="8"/>
    </row>
    <row r="50488" spans="1:4" ht="15.75" customHeight="1">
      <c r="A50488" s="8"/>
      <c r="B50488" s="12"/>
      <c r="C50488" s="8"/>
      <c r="D50488" s="8"/>
    </row>
    <row r="50489" spans="1:4" ht="15.75" customHeight="1">
      <c r="A50489" s="8"/>
      <c r="B50489" s="12"/>
      <c r="C50489" s="8"/>
      <c r="D50489" s="8"/>
    </row>
    <row r="50490" spans="1:4" ht="15.75" customHeight="1">
      <c r="A50490" s="8"/>
      <c r="B50490" s="12"/>
      <c r="C50490" s="8"/>
      <c r="D50490" s="8"/>
    </row>
    <row r="50491" spans="1:4" ht="15.75" customHeight="1">
      <c r="A50491" s="8"/>
      <c r="B50491" s="12"/>
      <c r="C50491" s="8"/>
      <c r="D50491" s="8"/>
    </row>
    <row r="50492" spans="1:4" ht="15.75" customHeight="1">
      <c r="A50492" s="8"/>
      <c r="B50492" s="12"/>
      <c r="C50492" s="8"/>
      <c r="D50492" s="8"/>
    </row>
    <row r="50493" spans="1:4" ht="15.75" customHeight="1">
      <c r="A50493" s="8"/>
      <c r="B50493" s="12"/>
      <c r="C50493" s="8"/>
      <c r="D50493" s="8"/>
    </row>
    <row r="50494" spans="1:4" ht="15.75" customHeight="1">
      <c r="A50494" s="8"/>
      <c r="B50494" s="12"/>
      <c r="C50494" s="8"/>
      <c r="D50494" s="8"/>
    </row>
    <row r="50495" spans="1:4" ht="15.75" customHeight="1">
      <c r="A50495" s="8"/>
      <c r="B50495" s="12"/>
      <c r="C50495" s="8"/>
      <c r="D50495" s="8"/>
    </row>
    <row r="50496" spans="1:4" ht="15.75" customHeight="1">
      <c r="A50496" s="8"/>
      <c r="B50496" s="12"/>
      <c r="C50496" s="8"/>
      <c r="D50496" s="8"/>
    </row>
    <row r="50497" spans="1:4" ht="15.75" customHeight="1">
      <c r="A50497" s="8"/>
      <c r="B50497" s="12"/>
      <c r="C50497" s="8"/>
      <c r="D50497" s="8"/>
    </row>
    <row r="50498" spans="1:4" ht="15.75" customHeight="1">
      <c r="A50498" s="8"/>
      <c r="B50498" s="12"/>
      <c r="C50498" s="8"/>
      <c r="D50498" s="8"/>
    </row>
    <row r="50499" spans="1:4" ht="15.75" customHeight="1">
      <c r="A50499" s="8"/>
      <c r="B50499" s="12"/>
      <c r="C50499" s="8"/>
      <c r="D50499" s="8"/>
    </row>
    <row r="50500" spans="1:4" ht="15.75" customHeight="1">
      <c r="A50500" s="8"/>
      <c r="B50500" s="12"/>
      <c r="C50500" s="8"/>
      <c r="D50500" s="8"/>
    </row>
    <row r="50501" spans="1:4" ht="15.75" customHeight="1">
      <c r="A50501" s="8"/>
      <c r="B50501" s="12"/>
      <c r="C50501" s="8"/>
      <c r="D50501" s="8"/>
    </row>
    <row r="50502" spans="1:4" ht="15.75" customHeight="1">
      <c r="A50502" s="8"/>
      <c r="B50502" s="12"/>
      <c r="C50502" s="8"/>
      <c r="D50502" s="8"/>
    </row>
    <row r="50503" spans="1:4" ht="15.75" customHeight="1">
      <c r="A50503" s="8"/>
      <c r="B50503" s="12"/>
      <c r="C50503" s="8"/>
      <c r="D50503" s="8"/>
    </row>
    <row r="50504" spans="1:4" ht="15.75" customHeight="1">
      <c r="A50504" s="8"/>
      <c r="B50504" s="12"/>
      <c r="C50504" s="8"/>
      <c r="D50504" s="8"/>
    </row>
    <row r="50505" spans="1:4" ht="15.75" customHeight="1">
      <c r="A50505" s="8"/>
      <c r="B50505" s="12"/>
      <c r="C50505" s="8"/>
      <c r="D50505" s="8"/>
    </row>
    <row r="50506" spans="1:4" ht="15.75" customHeight="1">
      <c r="A50506" s="8"/>
      <c r="B50506" s="12"/>
      <c r="C50506" s="8"/>
      <c r="D50506" s="8"/>
    </row>
    <row r="50507" spans="1:4" ht="15.75" customHeight="1">
      <c r="A50507" s="8"/>
      <c r="B50507" s="12"/>
      <c r="C50507" s="8"/>
      <c r="D50507" s="8"/>
    </row>
    <row r="50508" spans="1:4" ht="15.75" customHeight="1">
      <c r="A50508" s="8"/>
      <c r="B50508" s="12"/>
      <c r="C50508" s="8"/>
      <c r="D50508" s="8"/>
    </row>
    <row r="50509" spans="1:4" ht="15.75" customHeight="1">
      <c r="A50509" s="8"/>
      <c r="B50509" s="12"/>
      <c r="C50509" s="8"/>
      <c r="D50509" s="8"/>
    </row>
    <row r="50510" spans="1:4" ht="15.75" customHeight="1">
      <c r="A50510" s="8"/>
      <c r="B50510" s="12"/>
      <c r="C50510" s="8"/>
      <c r="D50510" s="8"/>
    </row>
    <row r="50511" spans="1:4" ht="15.75" customHeight="1">
      <c r="A50511" s="8"/>
      <c r="B50511" s="12"/>
      <c r="C50511" s="8"/>
      <c r="D50511" s="8"/>
    </row>
    <row r="50512" spans="1:4" ht="15.75" customHeight="1">
      <c r="A50512" s="8"/>
      <c r="B50512" s="12"/>
      <c r="C50512" s="8"/>
      <c r="D50512" s="8"/>
    </row>
    <row r="50513" spans="1:4" ht="15.75" customHeight="1">
      <c r="A50513" s="8"/>
      <c r="B50513" s="12"/>
      <c r="C50513" s="8"/>
      <c r="D50513" s="8"/>
    </row>
    <row r="50514" spans="1:4" ht="15.75" customHeight="1">
      <c r="A50514" s="8"/>
      <c r="B50514" s="12"/>
      <c r="C50514" s="8"/>
      <c r="D50514" s="8"/>
    </row>
    <row r="50515" spans="1:4" ht="15.75" customHeight="1">
      <c r="A50515" s="8"/>
      <c r="B50515" s="12"/>
      <c r="C50515" s="8"/>
      <c r="D50515" s="8"/>
    </row>
    <row r="50516" spans="1:4" ht="15.75" customHeight="1">
      <c r="A50516" s="8"/>
      <c r="B50516" s="12"/>
      <c r="C50516" s="8"/>
      <c r="D50516" s="8"/>
    </row>
    <row r="50517" spans="1:4" ht="15.75" customHeight="1">
      <c r="A50517" s="8"/>
      <c r="B50517" s="12"/>
      <c r="C50517" s="8"/>
      <c r="D50517" s="8"/>
    </row>
    <row r="50518" spans="1:4" ht="15.75" customHeight="1">
      <c r="A50518" s="8"/>
      <c r="B50518" s="12"/>
      <c r="C50518" s="8"/>
      <c r="D50518" s="8"/>
    </row>
    <row r="50519" spans="1:4" ht="15.75" customHeight="1">
      <c r="A50519" s="8"/>
      <c r="B50519" s="12"/>
      <c r="C50519" s="8"/>
      <c r="D50519" s="8"/>
    </row>
    <row r="50520" spans="1:4" ht="15.75" customHeight="1">
      <c r="A50520" s="8"/>
      <c r="B50520" s="12"/>
      <c r="C50520" s="8"/>
      <c r="D50520" s="8"/>
    </row>
    <row r="50521" spans="1:4" ht="15.75" customHeight="1">
      <c r="A50521" s="8"/>
      <c r="B50521" s="12"/>
      <c r="C50521" s="8"/>
      <c r="D50521" s="8"/>
    </row>
    <row r="50522" spans="1:4" ht="15.75" customHeight="1">
      <c r="A50522" s="8"/>
      <c r="B50522" s="12"/>
      <c r="C50522" s="8"/>
      <c r="D50522" s="8"/>
    </row>
    <row r="50523" spans="1:4" ht="15.75" customHeight="1">
      <c r="A50523" s="8"/>
      <c r="B50523" s="12"/>
      <c r="C50523" s="8"/>
      <c r="D50523" s="8"/>
    </row>
    <row r="50524" spans="1:4" ht="15.75" customHeight="1">
      <c r="A50524" s="8"/>
      <c r="B50524" s="12"/>
      <c r="C50524" s="8"/>
      <c r="D50524" s="8"/>
    </row>
    <row r="50525" spans="1:4" ht="15.75" customHeight="1">
      <c r="A50525" s="8"/>
      <c r="B50525" s="12"/>
      <c r="C50525" s="8"/>
      <c r="D50525" s="8"/>
    </row>
    <row r="50526" spans="1:4" ht="15.75" customHeight="1">
      <c r="A50526" s="8"/>
      <c r="B50526" s="12"/>
      <c r="C50526" s="8"/>
      <c r="D50526" s="8"/>
    </row>
    <row r="50527" spans="1:4" ht="15.75" customHeight="1">
      <c r="A50527" s="8"/>
      <c r="B50527" s="12"/>
      <c r="C50527" s="8"/>
      <c r="D50527" s="8"/>
    </row>
    <row r="50528" spans="1:4" ht="15.75" customHeight="1">
      <c r="A50528" s="8"/>
      <c r="B50528" s="12"/>
      <c r="C50528" s="8"/>
      <c r="D50528" s="8"/>
    </row>
    <row r="50529" spans="1:4" ht="15.75" customHeight="1">
      <c r="A50529" s="8"/>
      <c r="B50529" s="12"/>
      <c r="C50529" s="8"/>
      <c r="D50529" s="8"/>
    </row>
    <row r="50530" spans="1:4" ht="15.75" customHeight="1">
      <c r="A50530" s="8"/>
      <c r="B50530" s="12"/>
      <c r="C50530" s="8"/>
      <c r="D50530" s="8"/>
    </row>
    <row r="50531" spans="1:4" ht="15.75" customHeight="1">
      <c r="A50531" s="8"/>
      <c r="B50531" s="12"/>
      <c r="C50531" s="8"/>
      <c r="D50531" s="8"/>
    </row>
    <row r="50532" spans="1:4" ht="15.75" customHeight="1">
      <c r="A50532" s="8"/>
      <c r="B50532" s="12"/>
      <c r="C50532" s="8"/>
      <c r="D50532" s="8"/>
    </row>
    <row r="50533" spans="1:4" ht="15.75" customHeight="1">
      <c r="A50533" s="8"/>
      <c r="B50533" s="12"/>
      <c r="C50533" s="8"/>
      <c r="D50533" s="8"/>
    </row>
    <row r="50534" spans="1:4" ht="15.75" customHeight="1">
      <c r="A50534" s="8"/>
      <c r="B50534" s="12"/>
      <c r="C50534" s="8"/>
      <c r="D50534" s="8"/>
    </row>
    <row r="50535" spans="1:4" ht="15.75" customHeight="1">
      <c r="A50535" s="8"/>
      <c r="B50535" s="12"/>
      <c r="C50535" s="8"/>
      <c r="D50535" s="8"/>
    </row>
    <row r="50536" spans="1:4" ht="15.75" customHeight="1">
      <c r="A50536" s="8"/>
      <c r="B50536" s="12"/>
      <c r="C50536" s="8"/>
      <c r="D50536" s="8"/>
    </row>
    <row r="50537" spans="1:4" ht="15.75" customHeight="1">
      <c r="A50537" s="8"/>
      <c r="B50537" s="12"/>
      <c r="C50537" s="8"/>
      <c r="D50537" s="8"/>
    </row>
    <row r="50538" spans="1:4" ht="15.75" customHeight="1">
      <c r="A50538" s="8"/>
      <c r="B50538" s="12"/>
      <c r="C50538" s="8"/>
      <c r="D50538" s="8"/>
    </row>
    <row r="50539" spans="1:4" ht="15.75" customHeight="1">
      <c r="A50539" s="8"/>
      <c r="B50539" s="12"/>
      <c r="C50539" s="8"/>
      <c r="D50539" s="8"/>
    </row>
    <row r="50540" spans="1:4" ht="15.75" customHeight="1">
      <c r="A50540" s="8"/>
      <c r="B50540" s="12"/>
      <c r="C50540" s="8"/>
      <c r="D50540" s="8"/>
    </row>
    <row r="50541" spans="1:4" ht="15.75" customHeight="1">
      <c r="A50541" s="8"/>
      <c r="B50541" s="12"/>
      <c r="C50541" s="8"/>
      <c r="D50541" s="8"/>
    </row>
    <row r="50542" spans="1:4" ht="15.75" customHeight="1">
      <c r="A50542" s="8"/>
      <c r="B50542" s="12"/>
      <c r="C50542" s="8"/>
      <c r="D50542" s="8"/>
    </row>
    <row r="50543" spans="1:4" ht="15.75" customHeight="1">
      <c r="A50543" s="8"/>
      <c r="B50543" s="12"/>
      <c r="C50543" s="8"/>
      <c r="D50543" s="8"/>
    </row>
    <row r="50544" spans="1:4" ht="15.75" customHeight="1">
      <c r="A50544" s="8"/>
      <c r="B50544" s="12"/>
      <c r="C50544" s="8"/>
      <c r="D50544" s="8"/>
    </row>
    <row r="50545" spans="1:4" ht="15.75" customHeight="1">
      <c r="A50545" s="8"/>
      <c r="B50545" s="12"/>
      <c r="C50545" s="8"/>
      <c r="D50545" s="8"/>
    </row>
    <row r="50546" spans="1:4" ht="15.75" customHeight="1">
      <c r="A50546" s="8"/>
      <c r="B50546" s="12"/>
      <c r="C50546" s="8"/>
      <c r="D50546" s="8"/>
    </row>
    <row r="50547" spans="1:4" ht="15.75" customHeight="1">
      <c r="A50547" s="8"/>
      <c r="B50547" s="12"/>
      <c r="C50547" s="8"/>
      <c r="D50547" s="8"/>
    </row>
    <row r="50548" spans="1:4" ht="15.75" customHeight="1">
      <c r="A50548" s="8"/>
      <c r="B50548" s="12"/>
      <c r="C50548" s="8"/>
      <c r="D50548" s="8"/>
    </row>
    <row r="50549" spans="1:4" ht="15.75" customHeight="1">
      <c r="A50549" s="8"/>
      <c r="B50549" s="12"/>
      <c r="C50549" s="8"/>
      <c r="D50549" s="8"/>
    </row>
    <row r="50550" spans="1:4" ht="15.75" customHeight="1">
      <c r="A50550" s="8"/>
      <c r="B50550" s="12"/>
      <c r="C50550" s="8"/>
      <c r="D50550" s="8"/>
    </row>
    <row r="50551" spans="1:4" ht="15.75" customHeight="1">
      <c r="A50551" s="8"/>
      <c r="B50551" s="12"/>
      <c r="C50551" s="8"/>
      <c r="D50551" s="8"/>
    </row>
    <row r="50552" spans="1:4" ht="15.75" customHeight="1">
      <c r="A50552" s="8"/>
      <c r="B50552" s="12"/>
      <c r="C50552" s="8"/>
      <c r="D50552" s="8"/>
    </row>
    <row r="50553" spans="1:4" ht="15.75" customHeight="1">
      <c r="A50553" s="8"/>
      <c r="B50553" s="12"/>
      <c r="C50553" s="8"/>
      <c r="D50553" s="8"/>
    </row>
    <row r="50554" spans="1:4" ht="15.75" customHeight="1">
      <c r="A50554" s="8"/>
      <c r="B50554" s="12"/>
      <c r="C50554" s="8"/>
      <c r="D50554" s="8"/>
    </row>
    <row r="50555" spans="1:4" ht="15.75" customHeight="1">
      <c r="A50555" s="8"/>
      <c r="B50555" s="12"/>
      <c r="C50555" s="8"/>
      <c r="D50555" s="8"/>
    </row>
    <row r="50556" spans="1:4" ht="15.75" customHeight="1">
      <c r="A50556" s="8"/>
      <c r="B50556" s="12"/>
      <c r="C50556" s="8"/>
      <c r="D50556" s="8"/>
    </row>
    <row r="50557" spans="1:4" ht="15.75" customHeight="1">
      <c r="A50557" s="8"/>
      <c r="B50557" s="12"/>
      <c r="C50557" s="8"/>
      <c r="D50557" s="8"/>
    </row>
    <row r="50558" spans="1:4" ht="15.75" customHeight="1">
      <c r="A50558" s="8"/>
      <c r="B50558" s="12"/>
      <c r="C50558" s="8"/>
      <c r="D50558" s="8"/>
    </row>
    <row r="50559" spans="1:4" ht="15.75" customHeight="1">
      <c r="A50559" s="8"/>
      <c r="B50559" s="12"/>
      <c r="C50559" s="8"/>
      <c r="D50559" s="8"/>
    </row>
    <row r="50560" spans="1:4" ht="15.75" customHeight="1">
      <c r="A50560" s="8"/>
      <c r="B50560" s="12"/>
      <c r="C50560" s="8"/>
      <c r="D50560" s="8"/>
    </row>
    <row r="50561" spans="1:4" ht="15.75" customHeight="1">
      <c r="A50561" s="8"/>
      <c r="B50561" s="12"/>
      <c r="C50561" s="8"/>
      <c r="D50561" s="8"/>
    </row>
    <row r="50562" spans="1:4" ht="15.75" customHeight="1">
      <c r="A50562" s="8"/>
      <c r="B50562" s="12"/>
      <c r="C50562" s="8"/>
      <c r="D50562" s="8"/>
    </row>
    <row r="50563" spans="1:4" ht="15.75" customHeight="1">
      <c r="A50563" s="8"/>
      <c r="B50563" s="12"/>
      <c r="C50563" s="8"/>
      <c r="D50563" s="8"/>
    </row>
    <row r="50564" spans="1:4" ht="15.75" customHeight="1">
      <c r="A50564" s="8"/>
      <c r="B50564" s="12"/>
      <c r="C50564" s="8"/>
      <c r="D50564" s="8"/>
    </row>
    <row r="50565" spans="1:4" ht="15.75" customHeight="1">
      <c r="A50565" s="8"/>
      <c r="B50565" s="12"/>
      <c r="C50565" s="8"/>
      <c r="D50565" s="8"/>
    </row>
    <row r="50566" spans="1:4" ht="15.75" customHeight="1">
      <c r="A50566" s="8"/>
      <c r="B50566" s="12"/>
      <c r="C50566" s="8"/>
      <c r="D50566" s="8"/>
    </row>
    <row r="50567" spans="1:4" ht="15.75" customHeight="1">
      <c r="A50567" s="8"/>
      <c r="B50567" s="12"/>
      <c r="C50567" s="8"/>
      <c r="D50567" s="8"/>
    </row>
    <row r="50568" spans="1:4" ht="15.75" customHeight="1">
      <c r="A50568" s="8"/>
      <c r="B50568" s="12"/>
      <c r="C50568" s="8"/>
      <c r="D50568" s="8"/>
    </row>
    <row r="50569" spans="1:4" ht="15.75" customHeight="1">
      <c r="A50569" s="8"/>
      <c r="B50569" s="12"/>
      <c r="C50569" s="8"/>
      <c r="D50569" s="8"/>
    </row>
    <row r="50570" spans="1:4" ht="15.75" customHeight="1">
      <c r="A50570" s="8"/>
      <c r="B50570" s="12"/>
      <c r="C50570" s="8"/>
      <c r="D50570" s="8"/>
    </row>
    <row r="50571" spans="1:4" ht="15.75" customHeight="1">
      <c r="A50571" s="8"/>
      <c r="B50571" s="12"/>
      <c r="C50571" s="8"/>
      <c r="D50571" s="8"/>
    </row>
    <row r="50572" spans="1:4" ht="15.75" customHeight="1">
      <c r="A50572" s="8"/>
      <c r="B50572" s="12"/>
      <c r="C50572" s="8"/>
      <c r="D50572" s="8"/>
    </row>
    <row r="50573" spans="1:4" ht="15.75" customHeight="1">
      <c r="A50573" s="8"/>
      <c r="B50573" s="12"/>
      <c r="C50573" s="8"/>
      <c r="D50573" s="8"/>
    </row>
    <row r="50574" spans="1:4" ht="15.75" customHeight="1">
      <c r="A50574" s="8"/>
      <c r="B50574" s="12"/>
      <c r="C50574" s="8"/>
      <c r="D50574" s="8"/>
    </row>
    <row r="50575" spans="1:4" ht="15.75" customHeight="1">
      <c r="A50575" s="8"/>
      <c r="B50575" s="12"/>
      <c r="C50575" s="8"/>
      <c r="D50575" s="8"/>
    </row>
    <row r="50576" spans="1:4" ht="15.75" customHeight="1">
      <c r="A50576" s="8"/>
      <c r="B50576" s="12"/>
      <c r="C50576" s="8"/>
      <c r="D50576" s="8"/>
    </row>
    <row r="50577" spans="1:4" ht="15.75" customHeight="1">
      <c r="A50577" s="8"/>
      <c r="B50577" s="12"/>
      <c r="C50577" s="8"/>
      <c r="D50577" s="8"/>
    </row>
    <row r="50578" spans="1:4" ht="15.75" customHeight="1">
      <c r="A50578" s="8"/>
      <c r="B50578" s="12"/>
      <c r="C50578" s="8"/>
      <c r="D50578" s="8"/>
    </row>
    <row r="50579" spans="1:4" ht="15.75" customHeight="1">
      <c r="A50579" s="8"/>
      <c r="B50579" s="12"/>
      <c r="C50579" s="8"/>
      <c r="D50579" s="8"/>
    </row>
    <row r="50580" spans="1:4" ht="15.75" customHeight="1">
      <c r="A50580" s="8"/>
      <c r="B50580" s="12"/>
      <c r="C50580" s="8"/>
      <c r="D50580" s="8"/>
    </row>
    <row r="50581" spans="1:4" ht="15.75" customHeight="1">
      <c r="A50581" s="8"/>
      <c r="B50581" s="12"/>
      <c r="C50581" s="8"/>
      <c r="D50581" s="8"/>
    </row>
    <row r="50582" spans="1:4" ht="15.75" customHeight="1">
      <c r="A50582" s="8"/>
      <c r="B50582" s="12"/>
      <c r="C50582" s="8"/>
      <c r="D50582" s="8"/>
    </row>
    <row r="50583" spans="1:4" ht="15.75" customHeight="1">
      <c r="A50583" s="8"/>
      <c r="B50583" s="12"/>
      <c r="C50583" s="8"/>
      <c r="D50583" s="8"/>
    </row>
    <row r="50584" spans="1:4" ht="15.75" customHeight="1">
      <c r="A50584" s="8"/>
      <c r="B50584" s="12"/>
      <c r="C50584" s="8"/>
      <c r="D50584" s="8"/>
    </row>
    <row r="50585" spans="1:4" ht="15.75" customHeight="1">
      <c r="A50585" s="8"/>
      <c r="B50585" s="12"/>
      <c r="C50585" s="8"/>
      <c r="D50585" s="8"/>
    </row>
    <row r="50586" spans="1:4" ht="15.75" customHeight="1">
      <c r="A50586" s="8"/>
      <c r="B50586" s="12"/>
      <c r="C50586" s="8"/>
      <c r="D50586" s="8"/>
    </row>
    <row r="50587" spans="1:4" ht="15.75" customHeight="1">
      <c r="A50587" s="8"/>
      <c r="B50587" s="12"/>
      <c r="C50587" s="8"/>
      <c r="D50587" s="8"/>
    </row>
    <row r="50588" spans="1:4" ht="15.75" customHeight="1">
      <c r="A50588" s="8"/>
      <c r="B50588" s="12"/>
      <c r="C50588" s="8"/>
      <c r="D50588" s="8"/>
    </row>
    <row r="50589" spans="1:4" ht="15.75" customHeight="1">
      <c r="A50589" s="8"/>
      <c r="B50589" s="12"/>
      <c r="C50589" s="8"/>
      <c r="D50589" s="8"/>
    </row>
    <row r="50590" spans="1:4" ht="15.75" customHeight="1">
      <c r="A50590" s="8"/>
      <c r="B50590" s="12"/>
      <c r="C50590" s="8"/>
      <c r="D50590" s="8"/>
    </row>
    <row r="50591" spans="1:4" ht="15.75" customHeight="1">
      <c r="A50591" s="8"/>
      <c r="B50591" s="12"/>
      <c r="C50591" s="8"/>
      <c r="D50591" s="8"/>
    </row>
    <row r="50592" spans="1:4" ht="15.75" customHeight="1">
      <c r="A50592" s="8"/>
      <c r="B50592" s="12"/>
      <c r="C50592" s="8"/>
      <c r="D50592" s="8"/>
    </row>
    <row r="50593" spans="1:4" ht="15.75" customHeight="1">
      <c r="A50593" s="8"/>
      <c r="B50593" s="12"/>
      <c r="C50593" s="8"/>
      <c r="D50593" s="8"/>
    </row>
    <row r="50594" spans="1:4" ht="15.75" customHeight="1">
      <c r="A50594" s="8"/>
      <c r="B50594" s="12"/>
      <c r="C50594" s="8"/>
      <c r="D50594" s="8"/>
    </row>
    <row r="50595" spans="1:4" ht="15.75" customHeight="1">
      <c r="A50595" s="8"/>
      <c r="B50595" s="12"/>
      <c r="C50595" s="8"/>
      <c r="D50595" s="8"/>
    </row>
    <row r="50596" spans="1:4" ht="15.75" customHeight="1">
      <c r="A50596" s="8"/>
      <c r="B50596" s="12"/>
      <c r="C50596" s="8"/>
      <c r="D50596" s="8"/>
    </row>
    <row r="50597" spans="1:4" ht="15.75" customHeight="1">
      <c r="A50597" s="8"/>
      <c r="B50597" s="12"/>
      <c r="C50597" s="8"/>
      <c r="D50597" s="8"/>
    </row>
    <row r="50598" spans="1:4" ht="15.75" customHeight="1">
      <c r="A50598" s="8"/>
      <c r="B50598" s="12"/>
      <c r="C50598" s="8"/>
      <c r="D50598" s="8"/>
    </row>
    <row r="50599" spans="1:4" ht="15.75" customHeight="1">
      <c r="A50599" s="8"/>
      <c r="B50599" s="12"/>
      <c r="C50599" s="8"/>
      <c r="D50599" s="8"/>
    </row>
    <row r="50600" spans="1:4" ht="15.75" customHeight="1">
      <c r="A50600" s="8"/>
      <c r="B50600" s="12"/>
      <c r="C50600" s="8"/>
      <c r="D50600" s="8"/>
    </row>
    <row r="50601" spans="1:4" ht="15.75" customHeight="1">
      <c r="A50601" s="8"/>
      <c r="B50601" s="12"/>
      <c r="C50601" s="8"/>
      <c r="D50601" s="8"/>
    </row>
    <row r="50602" spans="1:4" ht="15.75" customHeight="1">
      <c r="A50602" s="8"/>
      <c r="B50602" s="12"/>
      <c r="C50602" s="8"/>
      <c r="D50602" s="8"/>
    </row>
    <row r="50603" spans="1:4" ht="15.75" customHeight="1">
      <c r="A50603" s="8"/>
      <c r="B50603" s="12"/>
      <c r="C50603" s="8"/>
      <c r="D50603" s="8"/>
    </row>
    <row r="50604" spans="1:4" ht="15.75" customHeight="1">
      <c r="A50604" s="8"/>
      <c r="B50604" s="12"/>
      <c r="C50604" s="8"/>
      <c r="D50604" s="8"/>
    </row>
    <row r="50605" spans="1:4" ht="15.75" customHeight="1">
      <c r="A50605" s="8"/>
      <c r="B50605" s="12"/>
      <c r="C50605" s="8"/>
      <c r="D50605" s="8"/>
    </row>
    <row r="50606" spans="1:4" ht="15.75" customHeight="1">
      <c r="A50606" s="8"/>
      <c r="B50606" s="12"/>
      <c r="C50606" s="8"/>
      <c r="D50606" s="8"/>
    </row>
    <row r="50607" spans="1:4" ht="15.75" customHeight="1">
      <c r="A50607" s="8"/>
      <c r="B50607" s="12"/>
      <c r="C50607" s="8"/>
      <c r="D50607" s="8"/>
    </row>
    <row r="50608" spans="1:4" ht="15.75" customHeight="1">
      <c r="A50608" s="8"/>
      <c r="B50608" s="12"/>
      <c r="C50608" s="8"/>
      <c r="D50608" s="8"/>
    </row>
    <row r="50609" spans="1:4" ht="15.75" customHeight="1">
      <c r="A50609" s="8"/>
      <c r="B50609" s="12"/>
      <c r="C50609" s="8"/>
      <c r="D50609" s="8"/>
    </row>
    <row r="50610" spans="1:4" ht="15.75" customHeight="1">
      <c r="A50610" s="8"/>
      <c r="B50610" s="12"/>
      <c r="C50610" s="8"/>
      <c r="D50610" s="8"/>
    </row>
    <row r="50611" spans="1:4" ht="15.75" customHeight="1">
      <c r="A50611" s="8"/>
      <c r="B50611" s="12"/>
      <c r="C50611" s="8"/>
      <c r="D50611" s="8"/>
    </row>
    <row r="50612" spans="1:4" ht="15.75" customHeight="1">
      <c r="A50612" s="8"/>
      <c r="B50612" s="12"/>
      <c r="C50612" s="8"/>
      <c r="D50612" s="8"/>
    </row>
    <row r="50613" spans="1:4" ht="15.75" customHeight="1">
      <c r="A50613" s="8"/>
      <c r="B50613" s="12"/>
      <c r="C50613" s="8"/>
      <c r="D50613" s="8"/>
    </row>
    <row r="50614" spans="1:4" ht="15.75" customHeight="1">
      <c r="A50614" s="8"/>
      <c r="B50614" s="12"/>
      <c r="C50614" s="8"/>
      <c r="D50614" s="8"/>
    </row>
    <row r="50615" spans="1:4" ht="15.75" customHeight="1">
      <c r="A50615" s="8"/>
      <c r="B50615" s="12"/>
      <c r="C50615" s="8"/>
      <c r="D50615" s="8"/>
    </row>
    <row r="50616" spans="1:4" ht="15.75" customHeight="1">
      <c r="A50616" s="8"/>
      <c r="B50616" s="12"/>
      <c r="C50616" s="8"/>
      <c r="D50616" s="8"/>
    </row>
    <row r="50617" spans="1:4" ht="15.75" customHeight="1">
      <c r="A50617" s="8"/>
      <c r="B50617" s="12"/>
      <c r="C50617" s="8"/>
      <c r="D50617" s="8"/>
    </row>
    <row r="50618" spans="1:4" ht="15.75" customHeight="1">
      <c r="A50618" s="8"/>
      <c r="B50618" s="12"/>
      <c r="C50618" s="8"/>
      <c r="D50618" s="8"/>
    </row>
    <row r="50619" spans="1:4" ht="15.75" customHeight="1">
      <c r="A50619" s="8"/>
      <c r="B50619" s="12"/>
      <c r="C50619" s="8"/>
      <c r="D50619" s="8"/>
    </row>
    <row r="50620" spans="1:4" ht="15.75" customHeight="1">
      <c r="A50620" s="8"/>
      <c r="B50620" s="12"/>
      <c r="C50620" s="8"/>
      <c r="D50620" s="8"/>
    </row>
    <row r="50621" spans="1:4" ht="15.75" customHeight="1">
      <c r="A50621" s="8"/>
      <c r="B50621" s="12"/>
      <c r="C50621" s="8"/>
      <c r="D50621" s="8"/>
    </row>
    <row r="50622" spans="1:4" ht="15.75" customHeight="1">
      <c r="A50622" s="8"/>
      <c r="B50622" s="12"/>
      <c r="C50622" s="8"/>
      <c r="D50622" s="8"/>
    </row>
    <row r="50623" spans="1:4" ht="15.75" customHeight="1">
      <c r="A50623" s="8"/>
      <c r="B50623" s="12"/>
      <c r="C50623" s="8"/>
      <c r="D50623" s="8"/>
    </row>
    <row r="50624" spans="1:4" ht="15.75" customHeight="1">
      <c r="A50624" s="8"/>
      <c r="B50624" s="12"/>
      <c r="C50624" s="8"/>
      <c r="D50624" s="8"/>
    </row>
    <row r="50625" spans="1:4" ht="15.75" customHeight="1">
      <c r="A50625" s="8"/>
      <c r="B50625" s="12"/>
      <c r="C50625" s="8"/>
      <c r="D50625" s="8"/>
    </row>
    <row r="50626" spans="1:4" ht="15.75" customHeight="1">
      <c r="A50626" s="8"/>
      <c r="B50626" s="12"/>
      <c r="C50626" s="8"/>
      <c r="D50626" s="8"/>
    </row>
    <row r="50627" spans="1:4" ht="15.75" customHeight="1">
      <c r="A50627" s="8"/>
      <c r="B50627" s="12"/>
      <c r="C50627" s="8"/>
      <c r="D50627" s="8"/>
    </row>
    <row r="50628" spans="1:4" ht="15.75" customHeight="1">
      <c r="A50628" s="8"/>
      <c r="B50628" s="12"/>
      <c r="C50628" s="8"/>
      <c r="D50628" s="8"/>
    </row>
    <row r="50629" spans="1:4" ht="15.75" customHeight="1">
      <c r="A50629" s="8"/>
      <c r="B50629" s="12"/>
      <c r="C50629" s="8"/>
      <c r="D50629" s="8"/>
    </row>
    <row r="50630" spans="1:4" ht="15.75" customHeight="1">
      <c r="A50630" s="8"/>
      <c r="B50630" s="12"/>
      <c r="C50630" s="8"/>
      <c r="D50630" s="8"/>
    </row>
    <row r="50631" spans="1:4" ht="15.75" customHeight="1">
      <c r="A50631" s="8"/>
      <c r="B50631" s="12"/>
      <c r="C50631" s="8"/>
      <c r="D50631" s="8"/>
    </row>
    <row r="50632" spans="1:4" ht="15.75" customHeight="1">
      <c r="A50632" s="8"/>
      <c r="B50632" s="12"/>
      <c r="C50632" s="8"/>
      <c r="D50632" s="8"/>
    </row>
    <row r="50633" spans="1:4" ht="15.75" customHeight="1">
      <c r="A50633" s="8"/>
      <c r="B50633" s="12"/>
      <c r="C50633" s="8"/>
      <c r="D50633" s="8"/>
    </row>
    <row r="50634" spans="1:4" ht="15.75" customHeight="1">
      <c r="A50634" s="8"/>
      <c r="B50634" s="12"/>
      <c r="C50634" s="8"/>
      <c r="D50634" s="8"/>
    </row>
    <row r="50635" spans="1:4" ht="15.75" customHeight="1">
      <c r="A50635" s="8"/>
      <c r="B50635" s="12"/>
      <c r="C50635" s="8"/>
      <c r="D50635" s="8"/>
    </row>
    <row r="50636" spans="1:4" ht="15.75" customHeight="1">
      <c r="A50636" s="8"/>
      <c r="B50636" s="12"/>
      <c r="C50636" s="8"/>
      <c r="D50636" s="8"/>
    </row>
    <row r="50637" spans="1:4" ht="15.75" customHeight="1">
      <c r="A50637" s="8"/>
      <c r="B50637" s="12"/>
      <c r="C50637" s="8"/>
      <c r="D50637" s="8"/>
    </row>
    <row r="50638" spans="1:4" ht="15.75" customHeight="1">
      <c r="A50638" s="8"/>
      <c r="B50638" s="12"/>
      <c r="C50638" s="8"/>
      <c r="D50638" s="8"/>
    </row>
    <row r="50639" spans="1:4" ht="15.75" customHeight="1">
      <c r="A50639" s="8"/>
      <c r="B50639" s="12"/>
      <c r="C50639" s="8"/>
      <c r="D50639" s="8"/>
    </row>
    <row r="50640" spans="1:4" ht="15.75" customHeight="1">
      <c r="A50640" s="8"/>
      <c r="B50640" s="12"/>
      <c r="C50640" s="8"/>
      <c r="D50640" s="8"/>
    </row>
    <row r="50641" spans="1:4" ht="15.75" customHeight="1">
      <c r="A50641" s="8"/>
      <c r="B50641" s="12"/>
      <c r="C50641" s="8"/>
      <c r="D50641" s="8"/>
    </row>
    <row r="50642" spans="1:4" ht="15.75" customHeight="1">
      <c r="A50642" s="8"/>
      <c r="B50642" s="12"/>
      <c r="C50642" s="8"/>
      <c r="D50642" s="8"/>
    </row>
    <row r="50643" spans="1:4" ht="15.75" customHeight="1">
      <c r="A50643" s="8"/>
      <c r="B50643" s="12"/>
      <c r="C50643" s="8"/>
      <c r="D50643" s="8"/>
    </row>
    <row r="50644" spans="1:4" ht="15.75" customHeight="1">
      <c r="A50644" s="8"/>
      <c r="B50644" s="12"/>
      <c r="C50644" s="8"/>
      <c r="D50644" s="8"/>
    </row>
    <row r="50645" spans="1:4" ht="15.75" customHeight="1">
      <c r="A50645" s="8"/>
      <c r="B50645" s="12"/>
      <c r="C50645" s="8"/>
      <c r="D50645" s="8"/>
    </row>
    <row r="50646" spans="1:4" ht="15.75" customHeight="1">
      <c r="A50646" s="8"/>
      <c r="B50646" s="12"/>
      <c r="C50646" s="8"/>
      <c r="D50646" s="8"/>
    </row>
    <row r="50647" spans="1:4" ht="15.75" customHeight="1">
      <c r="A50647" s="8"/>
      <c r="B50647" s="12"/>
      <c r="C50647" s="8"/>
      <c r="D50647" s="8"/>
    </row>
    <row r="50648" spans="1:4" ht="15.75" customHeight="1">
      <c r="A50648" s="8"/>
      <c r="B50648" s="12"/>
      <c r="C50648" s="8"/>
      <c r="D50648" s="8"/>
    </row>
    <row r="50649" spans="1:4" ht="15.75" customHeight="1">
      <c r="A50649" s="8"/>
      <c r="B50649" s="12"/>
      <c r="C50649" s="8"/>
      <c r="D50649" s="8"/>
    </row>
    <row r="50650" spans="1:4" ht="15.75" customHeight="1">
      <c r="A50650" s="8"/>
      <c r="B50650" s="12"/>
      <c r="C50650" s="8"/>
      <c r="D50650" s="8"/>
    </row>
    <row r="50651" spans="1:4" ht="15.75" customHeight="1">
      <c r="A50651" s="8"/>
      <c r="B50651" s="12"/>
      <c r="C50651" s="8"/>
      <c r="D50651" s="8"/>
    </row>
    <row r="50652" spans="1:4" ht="15.75" customHeight="1">
      <c r="A50652" s="8"/>
      <c r="B50652" s="12"/>
      <c r="C50652" s="8"/>
      <c r="D50652" s="8"/>
    </row>
    <row r="50653" spans="1:4" ht="15.75" customHeight="1">
      <c r="A50653" s="8"/>
      <c r="B50653" s="12"/>
      <c r="C50653" s="8"/>
      <c r="D50653" s="8"/>
    </row>
    <row r="50654" spans="1:4" ht="15.75" customHeight="1">
      <c r="A50654" s="8"/>
      <c r="B50654" s="12"/>
      <c r="C50654" s="8"/>
      <c r="D50654" s="8"/>
    </row>
    <row r="50655" spans="1:4" ht="15.75" customHeight="1">
      <c r="A50655" s="8"/>
      <c r="B50655" s="12"/>
      <c r="C50655" s="8"/>
      <c r="D50655" s="8"/>
    </row>
    <row r="50656" spans="1:4" ht="15.75" customHeight="1">
      <c r="A50656" s="8"/>
      <c r="B50656" s="12"/>
      <c r="C50656" s="8"/>
      <c r="D50656" s="8"/>
    </row>
    <row r="50657" spans="1:4" ht="15.75" customHeight="1">
      <c r="A50657" s="8"/>
      <c r="B50657" s="12"/>
      <c r="C50657" s="8"/>
      <c r="D50657" s="8"/>
    </row>
    <row r="50658" spans="1:4" ht="15.75" customHeight="1">
      <c r="A50658" s="8"/>
      <c r="B50658" s="12"/>
      <c r="C50658" s="8"/>
      <c r="D50658" s="8"/>
    </row>
    <row r="50659" spans="1:4" ht="15.75" customHeight="1">
      <c r="A50659" s="8"/>
      <c r="B50659" s="12"/>
      <c r="C50659" s="8"/>
      <c r="D50659" s="8"/>
    </row>
    <row r="50660" spans="1:4" ht="15.75" customHeight="1">
      <c r="A50660" s="8"/>
      <c r="B50660" s="12"/>
      <c r="C50660" s="8"/>
      <c r="D50660" s="8"/>
    </row>
    <row r="50661" spans="1:4" ht="15.75" customHeight="1">
      <c r="A50661" s="8"/>
      <c r="B50661" s="12"/>
      <c r="C50661" s="8"/>
      <c r="D50661" s="8"/>
    </row>
    <row r="50662" spans="1:4" ht="15.75" customHeight="1">
      <c r="A50662" s="8"/>
      <c r="B50662" s="12"/>
      <c r="C50662" s="8"/>
      <c r="D50662" s="8"/>
    </row>
    <row r="50663" spans="1:4" ht="15.75" customHeight="1">
      <c r="A50663" s="8"/>
      <c r="B50663" s="12"/>
      <c r="C50663" s="8"/>
      <c r="D50663" s="8"/>
    </row>
    <row r="50664" spans="1:4" ht="15.75" customHeight="1">
      <c r="A50664" s="8"/>
      <c r="B50664" s="12"/>
      <c r="C50664" s="8"/>
      <c r="D50664" s="8"/>
    </row>
    <row r="50665" spans="1:4" ht="15.75" customHeight="1">
      <c r="A50665" s="8"/>
      <c r="B50665" s="12"/>
      <c r="C50665" s="8"/>
      <c r="D50665" s="8"/>
    </row>
    <row r="50666" spans="1:4" ht="15.75" customHeight="1">
      <c r="A50666" s="8"/>
      <c r="B50666" s="12"/>
      <c r="C50666" s="8"/>
      <c r="D50666" s="8"/>
    </row>
    <row r="50667" spans="1:4" ht="15.75" customHeight="1">
      <c r="A50667" s="8"/>
      <c r="B50667" s="12"/>
      <c r="C50667" s="8"/>
      <c r="D50667" s="8"/>
    </row>
    <row r="50668" spans="1:4" ht="15.75" customHeight="1">
      <c r="A50668" s="8"/>
      <c r="B50668" s="12"/>
      <c r="C50668" s="8"/>
      <c r="D50668" s="8"/>
    </row>
    <row r="50669" spans="1:4" ht="15.75" customHeight="1">
      <c r="A50669" s="8"/>
      <c r="B50669" s="12"/>
      <c r="C50669" s="8"/>
      <c r="D50669" s="8"/>
    </row>
    <row r="50670" spans="1:4" ht="15.75" customHeight="1">
      <c r="A50670" s="8"/>
      <c r="B50670" s="12"/>
      <c r="C50670" s="8"/>
      <c r="D50670" s="8"/>
    </row>
    <row r="50671" spans="1:4" ht="15.75" customHeight="1">
      <c r="A50671" s="8"/>
      <c r="B50671" s="12"/>
      <c r="C50671" s="8"/>
      <c r="D50671" s="8"/>
    </row>
    <row r="50672" spans="1:4" ht="15.75" customHeight="1">
      <c r="A50672" s="8"/>
      <c r="B50672" s="12"/>
      <c r="C50672" s="8"/>
      <c r="D50672" s="8"/>
    </row>
    <row r="50673" spans="1:4" ht="15.75" customHeight="1">
      <c r="A50673" s="8"/>
      <c r="B50673" s="12"/>
      <c r="C50673" s="8"/>
      <c r="D50673" s="8"/>
    </row>
    <row r="50674" spans="1:4" ht="15.75" customHeight="1">
      <c r="A50674" s="8"/>
      <c r="B50674" s="12"/>
      <c r="C50674" s="8"/>
      <c r="D50674" s="8"/>
    </row>
    <row r="50675" spans="1:4" ht="15.75" customHeight="1">
      <c r="A50675" s="8"/>
      <c r="B50675" s="12"/>
      <c r="C50675" s="8"/>
      <c r="D50675" s="8"/>
    </row>
    <row r="50676" spans="1:4" ht="15.75" customHeight="1">
      <c r="A50676" s="8"/>
      <c r="B50676" s="12"/>
      <c r="C50676" s="8"/>
      <c r="D50676" s="8"/>
    </row>
    <row r="50677" spans="1:4" ht="15.75" customHeight="1">
      <c r="A50677" s="8"/>
      <c r="B50677" s="12"/>
      <c r="C50677" s="8"/>
      <c r="D50677" s="8"/>
    </row>
    <row r="50678" spans="1:4" ht="15.75" customHeight="1">
      <c r="A50678" s="8"/>
      <c r="B50678" s="12"/>
      <c r="C50678" s="8"/>
      <c r="D50678" s="8"/>
    </row>
    <row r="50679" spans="1:4" ht="15.75" customHeight="1">
      <c r="A50679" s="8"/>
      <c r="B50679" s="12"/>
      <c r="C50679" s="8"/>
      <c r="D50679" s="8"/>
    </row>
    <row r="50680" spans="1:4" ht="15.75" customHeight="1">
      <c r="A50680" s="8"/>
      <c r="B50680" s="12"/>
      <c r="C50680" s="8"/>
      <c r="D50680" s="8"/>
    </row>
    <row r="50681" spans="1:4" ht="15.75" customHeight="1">
      <c r="A50681" s="8"/>
      <c r="B50681" s="12"/>
      <c r="C50681" s="8"/>
      <c r="D50681" s="8"/>
    </row>
    <row r="50682" spans="1:4" ht="15.75" customHeight="1">
      <c r="A50682" s="8"/>
      <c r="B50682" s="12"/>
      <c r="C50682" s="8"/>
      <c r="D50682" s="8"/>
    </row>
    <row r="50683" spans="1:4" ht="15.75" customHeight="1">
      <c r="A50683" s="8"/>
      <c r="B50683" s="12"/>
      <c r="C50683" s="8"/>
      <c r="D50683" s="8"/>
    </row>
    <row r="50684" spans="1:4" ht="15.75" customHeight="1">
      <c r="A50684" s="8"/>
      <c r="B50684" s="12"/>
      <c r="C50684" s="8"/>
      <c r="D50684" s="8"/>
    </row>
    <row r="50685" spans="1:4" ht="15.75" customHeight="1">
      <c r="A50685" s="8"/>
      <c r="B50685" s="12"/>
      <c r="C50685" s="8"/>
      <c r="D50685" s="8"/>
    </row>
    <row r="50686" spans="1:4" ht="15.75" customHeight="1">
      <c r="A50686" s="8"/>
      <c r="B50686" s="12"/>
      <c r="C50686" s="8"/>
      <c r="D50686" s="8"/>
    </row>
    <row r="50687" spans="1:4" ht="15.75" customHeight="1">
      <c r="A50687" s="8"/>
      <c r="B50687" s="12"/>
      <c r="C50687" s="8"/>
      <c r="D50687" s="8"/>
    </row>
    <row r="50688" spans="1:4" ht="15.75" customHeight="1">
      <c r="A50688" s="8"/>
      <c r="B50688" s="12"/>
      <c r="C50688" s="8"/>
      <c r="D50688" s="8"/>
    </row>
    <row r="50689" spans="1:4" ht="15.75" customHeight="1">
      <c r="A50689" s="8"/>
      <c r="B50689" s="12"/>
      <c r="C50689" s="8"/>
      <c r="D50689" s="8"/>
    </row>
    <row r="50690" spans="1:4" ht="15.75" customHeight="1">
      <c r="A50690" s="8"/>
      <c r="B50690" s="12"/>
      <c r="C50690" s="8"/>
      <c r="D50690" s="8"/>
    </row>
    <row r="50691" spans="1:4" ht="15.75" customHeight="1">
      <c r="A50691" s="8"/>
      <c r="B50691" s="12"/>
      <c r="C50691" s="8"/>
      <c r="D50691" s="8"/>
    </row>
    <row r="50692" spans="1:4" ht="15.75" customHeight="1">
      <c r="A50692" s="8"/>
      <c r="B50692" s="12"/>
      <c r="C50692" s="8"/>
      <c r="D50692" s="8"/>
    </row>
    <row r="50693" spans="1:4" ht="15.75" customHeight="1">
      <c r="A50693" s="8"/>
      <c r="B50693" s="12"/>
      <c r="C50693" s="8"/>
      <c r="D50693" s="8"/>
    </row>
    <row r="50694" spans="1:4" ht="15.75" customHeight="1">
      <c r="A50694" s="8"/>
      <c r="B50694" s="12"/>
      <c r="C50694" s="8"/>
      <c r="D50694" s="8"/>
    </row>
    <row r="50695" spans="1:4" ht="15.75" customHeight="1">
      <c r="A50695" s="8"/>
      <c r="B50695" s="12"/>
      <c r="C50695" s="8"/>
      <c r="D50695" s="8"/>
    </row>
    <row r="50696" spans="1:4" ht="15.75" customHeight="1">
      <c r="A50696" s="8"/>
      <c r="B50696" s="12"/>
      <c r="C50696" s="8"/>
      <c r="D50696" s="8"/>
    </row>
    <row r="50697" spans="1:4" ht="15.75" customHeight="1">
      <c r="A50697" s="8"/>
      <c r="B50697" s="12"/>
      <c r="C50697" s="8"/>
      <c r="D50697" s="8"/>
    </row>
    <row r="50698" spans="1:4" ht="15.75" customHeight="1">
      <c r="A50698" s="8"/>
      <c r="B50698" s="12"/>
      <c r="C50698" s="8"/>
      <c r="D50698" s="8"/>
    </row>
    <row r="50699" spans="1:4" ht="15.75" customHeight="1">
      <c r="A50699" s="8"/>
      <c r="B50699" s="12"/>
      <c r="C50699" s="8"/>
      <c r="D50699" s="8"/>
    </row>
    <row r="50700" spans="1:4" ht="15.75" customHeight="1">
      <c r="A50700" s="8"/>
      <c r="B50700" s="12"/>
      <c r="C50700" s="8"/>
      <c r="D50700" s="8"/>
    </row>
    <row r="50701" spans="1:4" ht="15.75" customHeight="1">
      <c r="A50701" s="8"/>
      <c r="B50701" s="12"/>
      <c r="C50701" s="8"/>
      <c r="D50701" s="8"/>
    </row>
    <row r="50702" spans="1:4" ht="15.75" customHeight="1">
      <c r="A50702" s="8"/>
      <c r="B50702" s="12"/>
      <c r="C50702" s="8"/>
      <c r="D50702" s="8"/>
    </row>
    <row r="50703" spans="1:4" ht="15.75" customHeight="1">
      <c r="A50703" s="8"/>
      <c r="B50703" s="12"/>
      <c r="C50703" s="8"/>
      <c r="D50703" s="8"/>
    </row>
    <row r="50704" spans="1:4" ht="15.75" customHeight="1">
      <c r="A50704" s="8"/>
      <c r="B50704" s="12"/>
      <c r="C50704" s="8"/>
      <c r="D50704" s="8"/>
    </row>
    <row r="50705" spans="1:4" ht="15.75" customHeight="1">
      <c r="A50705" s="8"/>
      <c r="B50705" s="12"/>
      <c r="C50705" s="8"/>
      <c r="D50705" s="8"/>
    </row>
    <row r="50706" spans="1:4" ht="15.75" customHeight="1">
      <c r="A50706" s="8"/>
      <c r="B50706" s="12"/>
      <c r="C50706" s="8"/>
      <c r="D50706" s="8"/>
    </row>
    <row r="50707" spans="1:4" ht="15.75" customHeight="1">
      <c r="A50707" s="8"/>
      <c r="B50707" s="12"/>
      <c r="C50707" s="8"/>
      <c r="D50707" s="8"/>
    </row>
    <row r="50708" spans="1:4" ht="15.75" customHeight="1">
      <c r="A50708" s="8"/>
      <c r="B50708" s="12"/>
      <c r="C50708" s="8"/>
      <c r="D50708" s="8"/>
    </row>
    <row r="50709" spans="1:4" ht="15.75" customHeight="1">
      <c r="A50709" s="8"/>
      <c r="B50709" s="12"/>
      <c r="C50709" s="8"/>
      <c r="D50709" s="8"/>
    </row>
    <row r="50710" spans="1:4" ht="15.75" customHeight="1">
      <c r="A50710" s="8"/>
      <c r="B50710" s="12"/>
      <c r="C50710" s="8"/>
      <c r="D50710" s="8"/>
    </row>
    <row r="50711" spans="1:4" ht="15.75" customHeight="1">
      <c r="A50711" s="8"/>
      <c r="B50711" s="12"/>
      <c r="C50711" s="8"/>
      <c r="D50711" s="8"/>
    </row>
    <row r="50712" spans="1:4" ht="15.75" customHeight="1">
      <c r="A50712" s="8"/>
      <c r="B50712" s="12"/>
      <c r="C50712" s="8"/>
      <c r="D50712" s="8"/>
    </row>
    <row r="50713" spans="1:4" ht="15.75" customHeight="1">
      <c r="A50713" s="8"/>
      <c r="B50713" s="12"/>
      <c r="C50713" s="8"/>
      <c r="D50713" s="8"/>
    </row>
    <row r="50714" spans="1:4" ht="15.75" customHeight="1">
      <c r="A50714" s="8"/>
      <c r="B50714" s="12"/>
      <c r="C50714" s="8"/>
      <c r="D50714" s="8"/>
    </row>
    <row r="50715" spans="1:4" ht="15.75" customHeight="1">
      <c r="A50715" s="8"/>
      <c r="B50715" s="12"/>
      <c r="C50715" s="8"/>
      <c r="D50715" s="8"/>
    </row>
    <row r="50716" spans="1:4" ht="15.75" customHeight="1">
      <c r="A50716" s="8"/>
      <c r="B50716" s="12"/>
      <c r="C50716" s="8"/>
      <c r="D50716" s="8"/>
    </row>
    <row r="50717" spans="1:4" ht="15.75" customHeight="1">
      <c r="A50717" s="8"/>
      <c r="B50717" s="12"/>
      <c r="C50717" s="8"/>
      <c r="D50717" s="8"/>
    </row>
    <row r="50718" spans="1:4" ht="15.75" customHeight="1">
      <c r="A50718" s="8"/>
      <c r="B50718" s="12"/>
      <c r="C50718" s="8"/>
      <c r="D50718" s="8"/>
    </row>
    <row r="50719" spans="1:4" ht="15.75" customHeight="1">
      <c r="A50719" s="8"/>
      <c r="B50719" s="12"/>
      <c r="C50719" s="8"/>
      <c r="D50719" s="8"/>
    </row>
    <row r="50720" spans="1:4" ht="15.75" customHeight="1">
      <c r="A50720" s="8"/>
      <c r="B50720" s="12"/>
      <c r="C50720" s="8"/>
      <c r="D50720" s="8"/>
    </row>
    <row r="50721" spans="1:4" ht="15.75" customHeight="1">
      <c r="A50721" s="8"/>
      <c r="B50721" s="12"/>
      <c r="C50721" s="8"/>
      <c r="D50721" s="8"/>
    </row>
    <row r="50722" spans="1:4" ht="15.75" customHeight="1">
      <c r="A50722" s="8"/>
      <c r="B50722" s="12"/>
      <c r="C50722" s="8"/>
      <c r="D50722" s="8"/>
    </row>
    <row r="50723" spans="1:4" ht="15.75" customHeight="1">
      <c r="A50723" s="8"/>
      <c r="B50723" s="12"/>
      <c r="C50723" s="8"/>
      <c r="D50723" s="8"/>
    </row>
    <row r="50724" spans="1:4" ht="15.75" customHeight="1">
      <c r="A50724" s="8"/>
      <c r="B50724" s="12"/>
      <c r="C50724" s="8"/>
      <c r="D50724" s="8"/>
    </row>
    <row r="50725" spans="1:4" ht="15.75" customHeight="1">
      <c r="A50725" s="8"/>
      <c r="B50725" s="12"/>
      <c r="C50725" s="8"/>
      <c r="D50725" s="8"/>
    </row>
    <row r="50726" spans="1:4" ht="15.75" customHeight="1">
      <c r="A50726" s="8"/>
      <c r="B50726" s="12"/>
      <c r="C50726" s="8"/>
      <c r="D50726" s="8"/>
    </row>
    <row r="50727" spans="1:4" ht="15.75" customHeight="1">
      <c r="A50727" s="8"/>
      <c r="B50727" s="12"/>
      <c r="C50727" s="8"/>
      <c r="D50727" s="8"/>
    </row>
    <row r="50728" spans="1:4" ht="15.75" customHeight="1">
      <c r="A50728" s="8"/>
      <c r="B50728" s="12"/>
      <c r="C50728" s="8"/>
      <c r="D50728" s="8"/>
    </row>
    <row r="50729" spans="1:4" ht="15.75" customHeight="1">
      <c r="A50729" s="8"/>
      <c r="B50729" s="12"/>
      <c r="C50729" s="8"/>
      <c r="D50729" s="8"/>
    </row>
    <row r="50730" spans="1:4" ht="15.75" customHeight="1">
      <c r="A50730" s="8"/>
      <c r="B50730" s="12"/>
      <c r="C50730" s="8"/>
      <c r="D50730" s="8"/>
    </row>
    <row r="50731" spans="1:4" ht="15.75" customHeight="1">
      <c r="A50731" s="8"/>
      <c r="B50731" s="12"/>
      <c r="C50731" s="8"/>
      <c r="D50731" s="8"/>
    </row>
    <row r="50732" spans="1:4" ht="15.75" customHeight="1">
      <c r="A50732" s="8"/>
      <c r="B50732" s="12"/>
      <c r="C50732" s="8"/>
      <c r="D50732" s="8"/>
    </row>
    <row r="50733" spans="1:4" ht="15.75" customHeight="1">
      <c r="A50733" s="8"/>
      <c r="B50733" s="12"/>
      <c r="C50733" s="8"/>
      <c r="D50733" s="8"/>
    </row>
    <row r="50734" spans="1:4" ht="15.75" customHeight="1">
      <c r="A50734" s="8"/>
      <c r="B50734" s="12"/>
      <c r="C50734" s="8"/>
      <c r="D50734" s="8"/>
    </row>
    <row r="50735" spans="1:4" ht="15.75" customHeight="1">
      <c r="A50735" s="8"/>
      <c r="B50735" s="12"/>
      <c r="C50735" s="8"/>
      <c r="D50735" s="8"/>
    </row>
    <row r="50736" spans="1:4" ht="15.75" customHeight="1">
      <c r="A50736" s="8"/>
      <c r="B50736" s="12"/>
      <c r="C50736" s="8"/>
      <c r="D50736" s="8"/>
    </row>
    <row r="50737" spans="1:4" ht="15.75" customHeight="1">
      <c r="A50737" s="8"/>
      <c r="B50737" s="12"/>
      <c r="C50737" s="8"/>
      <c r="D50737" s="8"/>
    </row>
    <row r="50738" spans="1:4" ht="15.75" customHeight="1">
      <c r="A50738" s="8"/>
      <c r="B50738" s="12"/>
      <c r="C50738" s="8"/>
      <c r="D50738" s="8"/>
    </row>
    <row r="50739" spans="1:4" ht="15.75" customHeight="1">
      <c r="A50739" s="8"/>
      <c r="B50739" s="12"/>
      <c r="C50739" s="8"/>
      <c r="D50739" s="8"/>
    </row>
    <row r="50740" spans="1:4" ht="15.75" customHeight="1">
      <c r="A50740" s="8"/>
      <c r="B50740" s="12"/>
      <c r="C50740" s="8"/>
      <c r="D50740" s="8"/>
    </row>
    <row r="50741" spans="1:4" ht="15.75" customHeight="1">
      <c r="A50741" s="8"/>
      <c r="B50741" s="12"/>
      <c r="C50741" s="8"/>
      <c r="D50741" s="8"/>
    </row>
    <row r="50742" spans="1:4" ht="15.75" customHeight="1">
      <c r="A50742" s="8"/>
      <c r="B50742" s="12"/>
      <c r="C50742" s="8"/>
      <c r="D50742" s="8"/>
    </row>
    <row r="50743" spans="1:4" ht="15.75" customHeight="1">
      <c r="A50743" s="8"/>
      <c r="B50743" s="12"/>
      <c r="C50743" s="8"/>
      <c r="D50743" s="8"/>
    </row>
    <row r="50744" spans="1:4" ht="15.75" customHeight="1">
      <c r="A50744" s="8"/>
      <c r="B50744" s="12"/>
      <c r="C50744" s="8"/>
      <c r="D50744" s="8"/>
    </row>
    <row r="50745" spans="1:4" ht="15.75" customHeight="1">
      <c r="A50745" s="8"/>
      <c r="B50745" s="12"/>
      <c r="C50745" s="8"/>
      <c r="D50745" s="8"/>
    </row>
    <row r="50746" spans="1:4" ht="15.75" customHeight="1">
      <c r="A50746" s="8"/>
      <c r="B50746" s="12"/>
      <c r="C50746" s="8"/>
      <c r="D50746" s="8"/>
    </row>
    <row r="50747" spans="1:4" ht="15.75" customHeight="1">
      <c r="A50747" s="8"/>
      <c r="B50747" s="12"/>
      <c r="C50747" s="8"/>
      <c r="D50747" s="8"/>
    </row>
    <row r="50748" spans="1:4" ht="15.75" customHeight="1">
      <c r="A50748" s="8"/>
      <c r="B50748" s="12"/>
      <c r="C50748" s="8"/>
      <c r="D50748" s="8"/>
    </row>
    <row r="50749" spans="1:4" ht="15.75" customHeight="1">
      <c r="A50749" s="8"/>
      <c r="B50749" s="12"/>
      <c r="C50749" s="8"/>
      <c r="D50749" s="8"/>
    </row>
    <row r="50750" spans="1:4" ht="15.75" customHeight="1">
      <c r="A50750" s="8"/>
      <c r="B50750" s="12"/>
      <c r="C50750" s="8"/>
      <c r="D50750" s="8"/>
    </row>
    <row r="50751" spans="1:4" ht="15.75" customHeight="1">
      <c r="A50751" s="8"/>
      <c r="B50751" s="12"/>
      <c r="C50751" s="8"/>
      <c r="D50751" s="8"/>
    </row>
    <row r="50752" spans="1:4" ht="15.75" customHeight="1">
      <c r="A50752" s="8"/>
      <c r="B50752" s="12"/>
      <c r="C50752" s="8"/>
      <c r="D50752" s="8"/>
    </row>
    <row r="50753" spans="1:4" ht="15.75" customHeight="1">
      <c r="A50753" s="8"/>
      <c r="B50753" s="12"/>
      <c r="C50753" s="8"/>
      <c r="D50753" s="8"/>
    </row>
    <row r="50754" spans="1:4" ht="15.75" customHeight="1">
      <c r="A50754" s="8"/>
      <c r="B50754" s="12"/>
      <c r="C50754" s="8"/>
      <c r="D50754" s="8"/>
    </row>
    <row r="50755" spans="1:4" ht="15.75" customHeight="1">
      <c r="A50755" s="8"/>
      <c r="B50755" s="12"/>
      <c r="C50755" s="8"/>
      <c r="D50755" s="8"/>
    </row>
    <row r="50756" spans="1:4" ht="15.75" customHeight="1">
      <c r="A50756" s="8"/>
      <c r="B50756" s="12"/>
      <c r="C50756" s="8"/>
      <c r="D50756" s="8"/>
    </row>
    <row r="50757" spans="1:4" ht="15.75" customHeight="1">
      <c r="A50757" s="8"/>
      <c r="B50757" s="12"/>
      <c r="C50757" s="8"/>
      <c r="D50757" s="8"/>
    </row>
    <row r="50758" spans="1:4" ht="15.75" customHeight="1">
      <c r="A50758" s="8"/>
      <c r="B50758" s="12"/>
      <c r="C50758" s="8"/>
      <c r="D50758" s="8"/>
    </row>
    <row r="50759" spans="1:4" ht="15.75" customHeight="1">
      <c r="A50759" s="8"/>
      <c r="B50759" s="12"/>
      <c r="C50759" s="8"/>
      <c r="D50759" s="8"/>
    </row>
    <row r="50760" spans="1:4" ht="15.75" customHeight="1">
      <c r="A50760" s="8"/>
      <c r="B50760" s="12"/>
      <c r="C50760" s="8"/>
      <c r="D50760" s="8"/>
    </row>
    <row r="50761" spans="1:4" ht="15.75" customHeight="1">
      <c r="A50761" s="8"/>
      <c r="B50761" s="12"/>
      <c r="C50761" s="8"/>
      <c r="D50761" s="8"/>
    </row>
    <row r="50762" spans="1:4" ht="15.75" customHeight="1">
      <c r="A50762" s="8"/>
      <c r="B50762" s="12"/>
      <c r="C50762" s="8"/>
      <c r="D50762" s="8"/>
    </row>
    <row r="50763" spans="1:4" ht="15.75" customHeight="1">
      <c r="A50763" s="8"/>
      <c r="B50763" s="12"/>
      <c r="C50763" s="8"/>
      <c r="D50763" s="8"/>
    </row>
    <row r="50764" spans="1:4" ht="15.75" customHeight="1">
      <c r="A50764" s="8"/>
      <c r="B50764" s="12"/>
      <c r="C50764" s="8"/>
      <c r="D50764" s="8"/>
    </row>
    <row r="50765" spans="1:4" ht="15.75" customHeight="1">
      <c r="A50765" s="8"/>
      <c r="B50765" s="12"/>
      <c r="C50765" s="8"/>
      <c r="D50765" s="8"/>
    </row>
    <row r="50766" spans="1:4" ht="15.75" customHeight="1">
      <c r="A50766" s="8"/>
      <c r="B50766" s="12"/>
      <c r="C50766" s="8"/>
      <c r="D50766" s="8"/>
    </row>
    <row r="50767" spans="1:4" ht="15.75" customHeight="1">
      <c r="A50767" s="8"/>
      <c r="B50767" s="12"/>
      <c r="C50767" s="8"/>
      <c r="D50767" s="8"/>
    </row>
    <row r="50768" spans="1:4" ht="15.75" customHeight="1">
      <c r="A50768" s="8"/>
      <c r="B50768" s="12"/>
      <c r="C50768" s="8"/>
      <c r="D50768" s="8"/>
    </row>
    <row r="50769" spans="1:4" ht="15.75" customHeight="1">
      <c r="A50769" s="8"/>
      <c r="B50769" s="12"/>
      <c r="C50769" s="8"/>
      <c r="D50769" s="8"/>
    </row>
    <row r="50770" spans="1:4" ht="15.75" customHeight="1">
      <c r="A50770" s="8"/>
      <c r="B50770" s="12"/>
      <c r="C50770" s="8"/>
      <c r="D50770" s="8"/>
    </row>
    <row r="50771" spans="1:4" ht="15.75" customHeight="1">
      <c r="A50771" s="8"/>
      <c r="B50771" s="12"/>
      <c r="C50771" s="8"/>
      <c r="D50771" s="8"/>
    </row>
    <row r="50772" spans="1:4" ht="15.75" customHeight="1">
      <c r="A50772" s="8"/>
      <c r="B50772" s="12"/>
      <c r="C50772" s="8"/>
      <c r="D50772" s="8"/>
    </row>
    <row r="50773" spans="1:4" ht="15.75" customHeight="1">
      <c r="A50773" s="8"/>
      <c r="B50773" s="12"/>
      <c r="C50773" s="8"/>
      <c r="D50773" s="8"/>
    </row>
    <row r="50774" spans="1:4" ht="15.75" customHeight="1">
      <c r="A50774" s="8"/>
      <c r="B50774" s="12"/>
      <c r="C50774" s="8"/>
      <c r="D50774" s="8"/>
    </row>
    <row r="50775" spans="1:4" ht="15.75" customHeight="1">
      <c r="A50775" s="8"/>
      <c r="B50775" s="12"/>
      <c r="C50775" s="8"/>
      <c r="D50775" s="8"/>
    </row>
    <row r="50776" spans="1:4" ht="15.75" customHeight="1">
      <c r="A50776" s="8"/>
      <c r="B50776" s="12"/>
      <c r="C50776" s="8"/>
      <c r="D50776" s="8"/>
    </row>
    <row r="50777" spans="1:4" ht="15.75" customHeight="1">
      <c r="A50777" s="8"/>
      <c r="B50777" s="12"/>
      <c r="C50777" s="8"/>
      <c r="D50777" s="8"/>
    </row>
    <row r="50778" spans="1:4" ht="15.75" customHeight="1">
      <c r="A50778" s="8"/>
      <c r="B50778" s="12"/>
      <c r="C50778" s="8"/>
      <c r="D50778" s="8"/>
    </row>
    <row r="50779" spans="1:4" ht="15.75" customHeight="1">
      <c r="A50779" s="8"/>
      <c r="B50779" s="12"/>
      <c r="C50779" s="8"/>
      <c r="D50779" s="8"/>
    </row>
    <row r="50780" spans="1:4" ht="15.75" customHeight="1">
      <c r="A50780" s="8"/>
      <c r="B50780" s="12"/>
      <c r="C50780" s="8"/>
      <c r="D50780" s="8"/>
    </row>
    <row r="50781" spans="1:4" ht="15.75" customHeight="1">
      <c r="A50781" s="8"/>
      <c r="B50781" s="12"/>
      <c r="C50781" s="8"/>
      <c r="D50781" s="8"/>
    </row>
    <row r="50782" spans="1:4" ht="15.75" customHeight="1">
      <c r="A50782" s="8"/>
      <c r="B50782" s="12"/>
      <c r="C50782" s="8"/>
      <c r="D50782" s="8"/>
    </row>
    <row r="50783" spans="1:4" ht="15.75" customHeight="1">
      <c r="A50783" s="8"/>
      <c r="B50783" s="12"/>
      <c r="C50783" s="8"/>
      <c r="D50783" s="8"/>
    </row>
    <row r="50784" spans="1:4" ht="15.75" customHeight="1">
      <c r="A50784" s="8"/>
      <c r="B50784" s="12"/>
      <c r="C50784" s="8"/>
      <c r="D50784" s="8"/>
    </row>
    <row r="50785" spans="1:4" ht="15.75" customHeight="1">
      <c r="A50785" s="8"/>
      <c r="B50785" s="12"/>
      <c r="C50785" s="8"/>
      <c r="D50785" s="8"/>
    </row>
    <row r="50786" spans="1:4" ht="15.75" customHeight="1">
      <c r="A50786" s="8"/>
      <c r="B50786" s="12"/>
      <c r="C50786" s="8"/>
      <c r="D50786" s="8"/>
    </row>
    <row r="50787" spans="1:4" ht="15.75" customHeight="1">
      <c r="A50787" s="8"/>
      <c r="B50787" s="12"/>
      <c r="C50787" s="8"/>
      <c r="D50787" s="8"/>
    </row>
    <row r="50788" spans="1:4" ht="15.75" customHeight="1">
      <c r="A50788" s="8"/>
      <c r="B50788" s="12"/>
      <c r="C50788" s="8"/>
      <c r="D50788" s="8"/>
    </row>
    <row r="50789" spans="1:4" ht="15.75" customHeight="1">
      <c r="A50789" s="8"/>
      <c r="B50789" s="12"/>
      <c r="C50789" s="8"/>
      <c r="D50789" s="8"/>
    </row>
    <row r="50790" spans="1:4" ht="15.75" customHeight="1">
      <c r="A50790" s="8"/>
      <c r="B50790" s="12"/>
      <c r="C50790" s="8"/>
      <c r="D50790" s="8"/>
    </row>
    <row r="50791" spans="1:4" ht="15.75" customHeight="1">
      <c r="A50791" s="8"/>
      <c r="B50791" s="12"/>
      <c r="C50791" s="8"/>
      <c r="D50791" s="8"/>
    </row>
    <row r="50792" spans="1:4" ht="15.75" customHeight="1">
      <c r="A50792" s="8"/>
      <c r="B50792" s="12"/>
      <c r="C50792" s="8"/>
      <c r="D50792" s="8"/>
    </row>
    <row r="50793" spans="1:4" ht="15.75" customHeight="1">
      <c r="A50793" s="8"/>
      <c r="B50793" s="12"/>
      <c r="C50793" s="8"/>
      <c r="D50793" s="8"/>
    </row>
    <row r="50794" spans="1:4" ht="15.75" customHeight="1">
      <c r="A50794" s="8"/>
      <c r="B50794" s="12"/>
      <c r="C50794" s="8"/>
      <c r="D50794" s="8"/>
    </row>
    <row r="50795" spans="1:4" ht="15.75" customHeight="1">
      <c r="A50795" s="8"/>
      <c r="B50795" s="12"/>
      <c r="C50795" s="8"/>
      <c r="D50795" s="8"/>
    </row>
    <row r="50796" spans="1:4" ht="15.75" customHeight="1">
      <c r="A50796" s="8"/>
      <c r="B50796" s="12"/>
      <c r="C50796" s="8"/>
      <c r="D50796" s="8"/>
    </row>
    <row r="50797" spans="1:4" ht="15.75" customHeight="1">
      <c r="A50797" s="8"/>
      <c r="B50797" s="12"/>
      <c r="C50797" s="8"/>
      <c r="D50797" s="8"/>
    </row>
    <row r="50798" spans="1:4" ht="15.75" customHeight="1">
      <c r="A50798" s="8"/>
      <c r="B50798" s="12"/>
      <c r="C50798" s="8"/>
      <c r="D50798" s="8"/>
    </row>
    <row r="50799" spans="1:4" ht="15.75" customHeight="1">
      <c r="A50799" s="8"/>
      <c r="B50799" s="12"/>
      <c r="C50799" s="8"/>
      <c r="D50799" s="8"/>
    </row>
    <row r="50800" spans="1:4" ht="15.75" customHeight="1">
      <c r="A50800" s="8"/>
      <c r="B50800" s="12"/>
      <c r="C50800" s="8"/>
      <c r="D50800" s="8"/>
    </row>
    <row r="50801" spans="1:4" ht="15.75" customHeight="1">
      <c r="A50801" s="8"/>
      <c r="B50801" s="12"/>
      <c r="C50801" s="8"/>
      <c r="D50801" s="8"/>
    </row>
    <row r="50802" spans="1:4" ht="15.75" customHeight="1">
      <c r="A50802" s="8"/>
      <c r="B50802" s="12"/>
      <c r="C50802" s="8"/>
      <c r="D50802" s="8"/>
    </row>
    <row r="50803" spans="1:4" ht="15.75" customHeight="1">
      <c r="A50803" s="8"/>
      <c r="B50803" s="12"/>
      <c r="C50803" s="8"/>
      <c r="D50803" s="8"/>
    </row>
    <row r="50804" spans="1:4" ht="15.75" customHeight="1">
      <c r="A50804" s="8"/>
      <c r="B50804" s="12"/>
      <c r="C50804" s="8"/>
      <c r="D50804" s="8"/>
    </row>
    <row r="50805" spans="1:4" ht="15.75" customHeight="1">
      <c r="A50805" s="8"/>
      <c r="B50805" s="12"/>
      <c r="C50805" s="8"/>
      <c r="D50805" s="8"/>
    </row>
    <row r="50806" spans="1:4" ht="15.75" customHeight="1">
      <c r="A50806" s="8"/>
      <c r="B50806" s="12"/>
      <c r="C50806" s="8"/>
      <c r="D50806" s="8"/>
    </row>
    <row r="50807" spans="1:4" ht="15.75" customHeight="1">
      <c r="A50807" s="8"/>
      <c r="B50807" s="12"/>
      <c r="C50807" s="8"/>
      <c r="D50807" s="8"/>
    </row>
    <row r="50808" spans="1:4" ht="15.75" customHeight="1">
      <c r="A50808" s="8"/>
      <c r="B50808" s="12"/>
      <c r="C50808" s="8"/>
      <c r="D50808" s="8"/>
    </row>
    <row r="50809" spans="1:4" ht="15.75" customHeight="1">
      <c r="A50809" s="8"/>
      <c r="B50809" s="12"/>
      <c r="C50809" s="8"/>
      <c r="D50809" s="8"/>
    </row>
    <row r="50810" spans="1:4" ht="15.75" customHeight="1">
      <c r="A50810" s="8"/>
      <c r="B50810" s="12"/>
      <c r="C50810" s="8"/>
      <c r="D50810" s="8"/>
    </row>
    <row r="50811" spans="1:4" ht="15.75" customHeight="1">
      <c r="A50811" s="8"/>
      <c r="B50811" s="12"/>
      <c r="C50811" s="8"/>
      <c r="D50811" s="8"/>
    </row>
    <row r="50812" spans="1:4" ht="15.75" customHeight="1">
      <c r="A50812" s="8"/>
      <c r="B50812" s="12"/>
      <c r="C50812" s="8"/>
      <c r="D50812" s="8"/>
    </row>
    <row r="50813" spans="1:4" ht="15.75" customHeight="1">
      <c r="A50813" s="8"/>
      <c r="B50813" s="12"/>
      <c r="C50813" s="8"/>
      <c r="D50813" s="8"/>
    </row>
    <row r="50814" spans="1:4" ht="15.75" customHeight="1">
      <c r="A50814" s="8"/>
      <c r="B50814" s="12"/>
      <c r="C50814" s="8"/>
      <c r="D50814" s="8"/>
    </row>
    <row r="50815" spans="1:4" ht="15.75" customHeight="1">
      <c r="A50815" s="8"/>
      <c r="B50815" s="12"/>
      <c r="C50815" s="8"/>
      <c r="D50815" s="8"/>
    </row>
    <row r="50816" spans="1:4" ht="15.75" customHeight="1">
      <c r="A50816" s="8"/>
      <c r="B50816" s="12"/>
      <c r="C50816" s="8"/>
      <c r="D50816" s="8"/>
    </row>
    <row r="50817" spans="1:4" ht="15.75" customHeight="1">
      <c r="A50817" s="8"/>
      <c r="B50817" s="12"/>
      <c r="C50817" s="8"/>
      <c r="D50817" s="8"/>
    </row>
    <row r="50818" spans="1:4" ht="15.75" customHeight="1">
      <c r="A50818" s="8"/>
      <c r="B50818" s="12"/>
      <c r="C50818" s="8"/>
      <c r="D50818" s="8"/>
    </row>
    <row r="50819" spans="1:4" ht="15.75" customHeight="1">
      <c r="A50819" s="8"/>
      <c r="B50819" s="12"/>
      <c r="C50819" s="8"/>
      <c r="D50819" s="8"/>
    </row>
    <row r="50820" spans="1:4" ht="15.75" customHeight="1">
      <c r="A50820" s="8"/>
      <c r="B50820" s="12"/>
      <c r="C50820" s="8"/>
      <c r="D50820" s="8"/>
    </row>
    <row r="50821" spans="1:4" ht="15.75" customHeight="1">
      <c r="A50821" s="8"/>
      <c r="B50821" s="12"/>
      <c r="C50821" s="8"/>
      <c r="D50821" s="8"/>
    </row>
    <row r="50822" spans="1:4" ht="15.75" customHeight="1">
      <c r="A50822" s="8"/>
      <c r="B50822" s="12"/>
      <c r="C50822" s="8"/>
      <c r="D50822" s="8"/>
    </row>
    <row r="50823" spans="1:4" ht="15.75" customHeight="1">
      <c r="A50823" s="8"/>
      <c r="B50823" s="12"/>
      <c r="C50823" s="8"/>
      <c r="D50823" s="8"/>
    </row>
    <row r="50824" spans="1:4" ht="15.75" customHeight="1">
      <c r="A50824" s="8"/>
      <c r="B50824" s="12"/>
      <c r="C50824" s="8"/>
      <c r="D50824" s="8"/>
    </row>
    <row r="50825" spans="1:4" ht="15.75" customHeight="1">
      <c r="A50825" s="8"/>
      <c r="B50825" s="12"/>
      <c r="C50825" s="8"/>
      <c r="D50825" s="8"/>
    </row>
    <row r="50826" spans="1:4" ht="15.75" customHeight="1">
      <c r="A50826" s="8"/>
      <c r="B50826" s="12"/>
      <c r="C50826" s="8"/>
      <c r="D50826" s="8"/>
    </row>
    <row r="50827" spans="1:4" ht="15.75" customHeight="1">
      <c r="A50827" s="8"/>
      <c r="B50827" s="12"/>
      <c r="C50827" s="8"/>
      <c r="D50827" s="8"/>
    </row>
    <row r="50828" spans="1:4" ht="15.75" customHeight="1">
      <c r="A50828" s="8"/>
      <c r="B50828" s="12"/>
      <c r="C50828" s="8"/>
      <c r="D50828" s="8"/>
    </row>
    <row r="50829" spans="1:4" ht="15.75" customHeight="1">
      <c r="A50829" s="8"/>
      <c r="B50829" s="12"/>
      <c r="C50829" s="8"/>
      <c r="D50829" s="8"/>
    </row>
    <row r="50830" spans="1:4" ht="15.75" customHeight="1">
      <c r="A50830" s="8"/>
      <c r="B50830" s="12"/>
      <c r="C50830" s="8"/>
      <c r="D50830" s="8"/>
    </row>
    <row r="50831" spans="1:4" ht="15.75" customHeight="1">
      <c r="A50831" s="8"/>
      <c r="B50831" s="12"/>
      <c r="C50831" s="8"/>
      <c r="D50831" s="8"/>
    </row>
    <row r="50832" spans="1:4" ht="15.75" customHeight="1">
      <c r="A50832" s="8"/>
      <c r="B50832" s="12"/>
      <c r="C50832" s="8"/>
      <c r="D50832" s="8"/>
    </row>
    <row r="50833" spans="1:4" ht="15.75" customHeight="1">
      <c r="A50833" s="8"/>
      <c r="B50833" s="12"/>
      <c r="C50833" s="8"/>
      <c r="D50833" s="8"/>
    </row>
    <row r="50834" spans="1:4" ht="15.75" customHeight="1">
      <c r="A50834" s="8"/>
      <c r="B50834" s="12"/>
      <c r="C50834" s="8"/>
      <c r="D50834" s="8"/>
    </row>
    <row r="50835" spans="1:4" ht="15.75" customHeight="1">
      <c r="A50835" s="8"/>
      <c r="B50835" s="12"/>
      <c r="C50835" s="8"/>
      <c r="D50835" s="8"/>
    </row>
    <row r="50836" spans="1:4" ht="15.75" customHeight="1">
      <c r="A50836" s="8"/>
      <c r="B50836" s="12"/>
      <c r="C50836" s="8"/>
      <c r="D50836" s="8"/>
    </row>
    <row r="50837" spans="1:4" ht="15.75" customHeight="1">
      <c r="A50837" s="8"/>
      <c r="B50837" s="12"/>
      <c r="C50837" s="8"/>
      <c r="D50837" s="8"/>
    </row>
    <row r="50838" spans="1:4" ht="15.75" customHeight="1">
      <c r="A50838" s="8"/>
      <c r="B50838" s="12"/>
      <c r="C50838" s="8"/>
      <c r="D50838" s="8"/>
    </row>
    <row r="50839" spans="1:4" ht="15.75" customHeight="1">
      <c r="A50839" s="8"/>
      <c r="B50839" s="12"/>
      <c r="C50839" s="8"/>
      <c r="D50839" s="8"/>
    </row>
    <row r="50840" spans="1:4" ht="15.75" customHeight="1">
      <c r="A50840" s="8"/>
      <c r="B50840" s="12"/>
      <c r="C50840" s="8"/>
      <c r="D50840" s="8"/>
    </row>
    <row r="50841" spans="1:4" ht="15.75" customHeight="1">
      <c r="A50841" s="8"/>
      <c r="B50841" s="12"/>
      <c r="C50841" s="8"/>
      <c r="D50841" s="8"/>
    </row>
    <row r="50842" spans="1:4" ht="15.75" customHeight="1">
      <c r="A50842" s="8"/>
      <c r="B50842" s="12"/>
      <c r="C50842" s="8"/>
      <c r="D50842" s="8"/>
    </row>
    <row r="50843" spans="1:4" ht="15.75" customHeight="1">
      <c r="A50843" s="8"/>
      <c r="B50843" s="12"/>
      <c r="C50843" s="8"/>
      <c r="D50843" s="8"/>
    </row>
    <row r="50844" spans="1:4" ht="15.75" customHeight="1">
      <c r="A50844" s="8"/>
      <c r="B50844" s="12"/>
      <c r="C50844" s="8"/>
      <c r="D50844" s="8"/>
    </row>
    <row r="50845" spans="1:4" ht="15.75" customHeight="1">
      <c r="A50845" s="8"/>
      <c r="B50845" s="12"/>
      <c r="C50845" s="8"/>
      <c r="D50845" s="8"/>
    </row>
    <row r="50846" spans="1:4" ht="15.75" customHeight="1">
      <c r="A50846" s="8"/>
      <c r="B50846" s="12"/>
      <c r="C50846" s="8"/>
      <c r="D50846" s="8"/>
    </row>
    <row r="50847" spans="1:4" ht="15.75" customHeight="1">
      <c r="A50847" s="8"/>
      <c r="B50847" s="12"/>
      <c r="C50847" s="8"/>
      <c r="D50847" s="8"/>
    </row>
    <row r="50848" spans="1:4" ht="15.75" customHeight="1">
      <c r="A50848" s="8"/>
      <c r="B50848" s="12"/>
      <c r="C50848" s="8"/>
      <c r="D50848" s="8"/>
    </row>
    <row r="50849" spans="1:4" ht="15.75" customHeight="1">
      <c r="A50849" s="8"/>
      <c r="B50849" s="12"/>
      <c r="C50849" s="8"/>
      <c r="D50849" s="8"/>
    </row>
    <row r="50850" spans="1:4" ht="15.75" customHeight="1">
      <c r="A50850" s="8"/>
      <c r="B50850" s="12"/>
      <c r="C50850" s="8"/>
      <c r="D50850" s="8"/>
    </row>
    <row r="50851" spans="1:4" ht="15.75" customHeight="1">
      <c r="A50851" s="8"/>
      <c r="B50851" s="12"/>
      <c r="C50851" s="8"/>
      <c r="D50851" s="8"/>
    </row>
    <row r="50852" spans="1:4" ht="15.75" customHeight="1">
      <c r="A50852" s="8"/>
      <c r="B50852" s="12"/>
      <c r="C50852" s="8"/>
      <c r="D50852" s="8"/>
    </row>
    <row r="50853" spans="1:4" ht="15.75" customHeight="1">
      <c r="A50853" s="8"/>
      <c r="B50853" s="12"/>
      <c r="C50853" s="8"/>
      <c r="D50853" s="8"/>
    </row>
    <row r="50854" spans="1:4" ht="15.75" customHeight="1">
      <c r="A50854" s="8"/>
      <c r="B50854" s="12"/>
      <c r="C50854" s="8"/>
      <c r="D50854" s="8"/>
    </row>
    <row r="50855" spans="1:4" ht="15.75" customHeight="1">
      <c r="A50855" s="8"/>
      <c r="B50855" s="12"/>
      <c r="C50855" s="8"/>
      <c r="D50855" s="8"/>
    </row>
    <row r="50856" spans="1:4" ht="15.75" customHeight="1">
      <c r="A50856" s="8"/>
      <c r="B50856" s="12"/>
      <c r="C50856" s="8"/>
      <c r="D50856" s="8"/>
    </row>
    <row r="50857" spans="1:4" ht="15.75" customHeight="1">
      <c r="A50857" s="8"/>
      <c r="B50857" s="12"/>
      <c r="C50857" s="8"/>
      <c r="D50857" s="8"/>
    </row>
    <row r="50858" spans="1:4" ht="15.75" customHeight="1">
      <c r="A50858" s="8"/>
      <c r="B50858" s="12"/>
      <c r="C50858" s="8"/>
      <c r="D50858" s="8"/>
    </row>
    <row r="50859" spans="1:4" ht="15.75" customHeight="1">
      <c r="A50859" s="8"/>
      <c r="B50859" s="12"/>
      <c r="C50859" s="8"/>
      <c r="D50859" s="8"/>
    </row>
    <row r="50860" spans="1:4" ht="15.75" customHeight="1">
      <c r="A50860" s="8"/>
      <c r="B50860" s="12"/>
      <c r="C50860" s="8"/>
      <c r="D50860" s="8"/>
    </row>
    <row r="50861" spans="1:4" ht="15.75" customHeight="1">
      <c r="A50861" s="8"/>
      <c r="B50861" s="12"/>
      <c r="C50861" s="8"/>
      <c r="D50861" s="8"/>
    </row>
    <row r="50862" spans="1:4" ht="15.75" customHeight="1">
      <c r="A50862" s="8"/>
      <c r="B50862" s="12"/>
      <c r="C50862" s="8"/>
      <c r="D50862" s="8"/>
    </row>
    <row r="50863" spans="1:4" ht="15.75" customHeight="1">
      <c r="A50863" s="8"/>
      <c r="B50863" s="12"/>
      <c r="C50863" s="8"/>
      <c r="D50863" s="8"/>
    </row>
    <row r="50864" spans="1:4" ht="15.75" customHeight="1">
      <c r="A50864" s="8"/>
      <c r="B50864" s="12"/>
      <c r="C50864" s="8"/>
      <c r="D50864" s="8"/>
    </row>
    <row r="50865" spans="1:4" ht="15.75" customHeight="1">
      <c r="A50865" s="8"/>
      <c r="B50865" s="12"/>
      <c r="C50865" s="8"/>
      <c r="D50865" s="8"/>
    </row>
    <row r="50866" spans="1:4" ht="15.75" customHeight="1">
      <c r="A50866" s="8"/>
      <c r="B50866" s="12"/>
      <c r="C50866" s="8"/>
      <c r="D50866" s="8"/>
    </row>
    <row r="50867" spans="1:4" ht="15.75" customHeight="1">
      <c r="A50867" s="8"/>
      <c r="B50867" s="12"/>
      <c r="C50867" s="8"/>
      <c r="D50867" s="8"/>
    </row>
    <row r="50868" spans="1:4" ht="15.75" customHeight="1">
      <c r="A50868" s="8"/>
      <c r="B50868" s="12"/>
      <c r="C50868" s="8"/>
      <c r="D50868" s="8"/>
    </row>
    <row r="50869" spans="1:4" ht="15.75" customHeight="1">
      <c r="A50869" s="8"/>
      <c r="B50869" s="12"/>
      <c r="C50869" s="8"/>
      <c r="D50869" s="8"/>
    </row>
    <row r="50870" spans="1:4" ht="15.75" customHeight="1">
      <c r="A50870" s="8"/>
      <c r="B50870" s="12"/>
      <c r="C50870" s="8"/>
      <c r="D50870" s="8"/>
    </row>
    <row r="50871" spans="1:4" ht="15.75" customHeight="1">
      <c r="A50871" s="8"/>
      <c r="B50871" s="12"/>
      <c r="C50871" s="8"/>
      <c r="D50871" s="8"/>
    </row>
    <row r="50872" spans="1:4" ht="15.75" customHeight="1">
      <c r="A50872" s="8"/>
      <c r="B50872" s="12"/>
      <c r="C50872" s="8"/>
      <c r="D50872" s="8"/>
    </row>
    <row r="50873" spans="1:4" ht="15.75" customHeight="1">
      <c r="A50873" s="8"/>
      <c r="B50873" s="12"/>
      <c r="C50873" s="8"/>
      <c r="D50873" s="8"/>
    </row>
    <row r="50874" spans="1:4" ht="15.75" customHeight="1">
      <c r="A50874" s="8"/>
      <c r="B50874" s="12"/>
      <c r="C50874" s="8"/>
      <c r="D50874" s="8"/>
    </row>
    <row r="50875" spans="1:4" ht="15.75" customHeight="1">
      <c r="A50875" s="8"/>
      <c r="B50875" s="12"/>
      <c r="C50875" s="8"/>
      <c r="D50875" s="8"/>
    </row>
    <row r="50876" spans="1:4" ht="15.75" customHeight="1">
      <c r="A50876" s="8"/>
      <c r="B50876" s="12"/>
      <c r="C50876" s="8"/>
      <c r="D50876" s="8"/>
    </row>
    <row r="50877" spans="1:4" ht="15.75" customHeight="1">
      <c r="A50877" s="8"/>
      <c r="B50877" s="12"/>
      <c r="C50877" s="8"/>
      <c r="D50877" s="8"/>
    </row>
    <row r="50878" spans="1:4" ht="15.75" customHeight="1">
      <c r="A50878" s="8"/>
      <c r="B50878" s="12"/>
      <c r="C50878" s="8"/>
      <c r="D50878" s="8"/>
    </row>
    <row r="50879" spans="1:4" ht="15.75" customHeight="1">
      <c r="A50879" s="8"/>
      <c r="B50879" s="12"/>
      <c r="C50879" s="8"/>
      <c r="D50879" s="8"/>
    </row>
    <row r="50880" spans="1:4" ht="15.75" customHeight="1">
      <c r="A50880" s="8"/>
      <c r="B50880" s="12"/>
      <c r="C50880" s="8"/>
      <c r="D50880" s="8"/>
    </row>
    <row r="50881" spans="1:4" ht="15.75" customHeight="1">
      <c r="A50881" s="8"/>
      <c r="B50881" s="12"/>
      <c r="C50881" s="8"/>
      <c r="D50881" s="8"/>
    </row>
    <row r="50882" spans="1:4" ht="15.75" customHeight="1">
      <c r="A50882" s="8"/>
      <c r="B50882" s="12"/>
      <c r="C50882" s="8"/>
      <c r="D50882" s="8"/>
    </row>
    <row r="50883" spans="1:4" ht="15.75" customHeight="1">
      <c r="A50883" s="8"/>
      <c r="B50883" s="12"/>
      <c r="C50883" s="8"/>
      <c r="D50883" s="8"/>
    </row>
    <row r="50884" spans="1:4" ht="15.75" customHeight="1">
      <c r="A50884" s="8"/>
      <c r="B50884" s="12"/>
      <c r="C50884" s="8"/>
      <c r="D50884" s="8"/>
    </row>
    <row r="50885" spans="1:4" ht="15.75" customHeight="1">
      <c r="A50885" s="8"/>
      <c r="B50885" s="12"/>
      <c r="C50885" s="8"/>
      <c r="D50885" s="8"/>
    </row>
    <row r="50886" spans="1:4" ht="15.75" customHeight="1">
      <c r="A50886" s="8"/>
      <c r="B50886" s="12"/>
      <c r="C50886" s="8"/>
      <c r="D50886" s="8"/>
    </row>
    <row r="50887" spans="1:4" ht="15.75" customHeight="1">
      <c r="A50887" s="8"/>
      <c r="B50887" s="12"/>
      <c r="C50887" s="8"/>
      <c r="D50887" s="8"/>
    </row>
    <row r="50888" spans="1:4" ht="15.75" customHeight="1">
      <c r="A50888" s="8"/>
      <c r="B50888" s="12"/>
      <c r="C50888" s="8"/>
      <c r="D50888" s="8"/>
    </row>
    <row r="50889" spans="1:4" ht="15.75" customHeight="1">
      <c r="A50889" s="8"/>
      <c r="B50889" s="12"/>
      <c r="C50889" s="8"/>
      <c r="D50889" s="8"/>
    </row>
    <row r="50890" spans="1:4" ht="15.75" customHeight="1">
      <c r="A50890" s="8"/>
      <c r="B50890" s="12"/>
      <c r="C50890" s="8"/>
      <c r="D50890" s="8"/>
    </row>
    <row r="50891" spans="1:4" ht="15.75" customHeight="1">
      <c r="A50891" s="8"/>
      <c r="B50891" s="12"/>
      <c r="C50891" s="8"/>
      <c r="D50891" s="8"/>
    </row>
    <row r="50892" spans="1:4" ht="15.75" customHeight="1">
      <c r="A50892" s="8"/>
      <c r="B50892" s="12"/>
      <c r="C50892" s="8"/>
      <c r="D50892" s="8"/>
    </row>
    <row r="50893" spans="1:4" ht="15.75" customHeight="1">
      <c r="A50893" s="8"/>
      <c r="B50893" s="12"/>
      <c r="C50893" s="8"/>
      <c r="D50893" s="8"/>
    </row>
    <row r="50894" spans="1:4" ht="15.75" customHeight="1">
      <c r="A50894" s="8"/>
      <c r="B50894" s="12"/>
      <c r="C50894" s="8"/>
      <c r="D50894" s="8"/>
    </row>
    <row r="50895" spans="1:4" ht="15.75" customHeight="1">
      <c r="A50895" s="8"/>
      <c r="B50895" s="12"/>
      <c r="C50895" s="8"/>
      <c r="D50895" s="8"/>
    </row>
    <row r="50896" spans="1:4" ht="15.75" customHeight="1">
      <c r="A50896" s="8"/>
      <c r="B50896" s="12"/>
      <c r="C50896" s="8"/>
      <c r="D50896" s="8"/>
    </row>
    <row r="50897" spans="1:4" ht="15.75" customHeight="1">
      <c r="A50897" s="8"/>
      <c r="B50897" s="12"/>
      <c r="C50897" s="8"/>
      <c r="D50897" s="8"/>
    </row>
    <row r="50898" spans="1:4" ht="15.75" customHeight="1">
      <c r="A50898" s="8"/>
      <c r="B50898" s="12"/>
      <c r="C50898" s="8"/>
      <c r="D50898" s="8"/>
    </row>
    <row r="50899" spans="1:4" ht="15.75" customHeight="1">
      <c r="A50899" s="8"/>
      <c r="B50899" s="12"/>
      <c r="C50899" s="8"/>
      <c r="D50899" s="8"/>
    </row>
    <row r="50900" spans="1:4" ht="15.75" customHeight="1">
      <c r="A50900" s="8"/>
      <c r="B50900" s="12"/>
      <c r="C50900" s="8"/>
      <c r="D50900" s="8"/>
    </row>
    <row r="50901" spans="1:4" ht="15.75" customHeight="1">
      <c r="A50901" s="8"/>
      <c r="B50901" s="12"/>
      <c r="C50901" s="8"/>
      <c r="D50901" s="8"/>
    </row>
    <row r="50902" spans="1:4" ht="15.75" customHeight="1">
      <c r="A50902" s="8"/>
      <c r="B50902" s="12"/>
      <c r="C50902" s="8"/>
      <c r="D50902" s="8"/>
    </row>
    <row r="50903" spans="1:4" ht="15.75" customHeight="1">
      <c r="A50903" s="8"/>
      <c r="B50903" s="12"/>
      <c r="C50903" s="8"/>
      <c r="D50903" s="8"/>
    </row>
    <row r="50904" spans="1:4" ht="15.75" customHeight="1">
      <c r="A50904" s="8"/>
      <c r="B50904" s="12"/>
      <c r="C50904" s="8"/>
      <c r="D50904" s="8"/>
    </row>
    <row r="50905" spans="1:4" ht="15.75" customHeight="1">
      <c r="A50905" s="8"/>
      <c r="B50905" s="12"/>
      <c r="C50905" s="8"/>
      <c r="D50905" s="8"/>
    </row>
    <row r="50906" spans="1:4" ht="15.75" customHeight="1">
      <c r="A50906" s="8"/>
      <c r="B50906" s="12"/>
      <c r="C50906" s="8"/>
      <c r="D50906" s="8"/>
    </row>
    <row r="50907" spans="1:4" ht="15.75" customHeight="1">
      <c r="A50907" s="8"/>
      <c r="B50907" s="12"/>
      <c r="C50907" s="8"/>
      <c r="D50907" s="8"/>
    </row>
    <row r="50908" spans="1:4" ht="15.75" customHeight="1">
      <c r="A50908" s="8"/>
      <c r="B50908" s="12"/>
      <c r="C50908" s="8"/>
      <c r="D50908" s="8"/>
    </row>
    <row r="50909" spans="1:4" ht="15.75" customHeight="1">
      <c r="A50909" s="8"/>
      <c r="B50909" s="12"/>
      <c r="C50909" s="8"/>
      <c r="D50909" s="8"/>
    </row>
    <row r="50910" spans="1:4" ht="15.75" customHeight="1">
      <c r="A50910" s="8"/>
      <c r="B50910" s="12"/>
      <c r="C50910" s="8"/>
      <c r="D50910" s="8"/>
    </row>
    <row r="50911" spans="1:4" ht="15.75" customHeight="1">
      <c r="A50911" s="8"/>
      <c r="B50911" s="12"/>
      <c r="C50911" s="8"/>
      <c r="D50911" s="8"/>
    </row>
    <row r="50912" spans="1:4" ht="15.75" customHeight="1">
      <c r="A50912" s="8"/>
      <c r="B50912" s="12"/>
      <c r="C50912" s="8"/>
      <c r="D50912" s="8"/>
    </row>
    <row r="50913" spans="1:4" ht="15.75" customHeight="1">
      <c r="A50913" s="8"/>
      <c r="B50913" s="12"/>
      <c r="C50913" s="8"/>
      <c r="D50913" s="8"/>
    </row>
    <row r="50914" spans="1:4" ht="15.75" customHeight="1">
      <c r="A50914" s="8"/>
      <c r="B50914" s="12"/>
      <c r="C50914" s="8"/>
      <c r="D50914" s="8"/>
    </row>
    <row r="50915" spans="1:4" ht="15.75" customHeight="1">
      <c r="A50915" s="8"/>
      <c r="B50915" s="12"/>
      <c r="C50915" s="8"/>
      <c r="D50915" s="8"/>
    </row>
    <row r="50916" spans="1:4" ht="15.75" customHeight="1">
      <c r="A50916" s="8"/>
      <c r="B50916" s="12"/>
      <c r="C50916" s="8"/>
      <c r="D50916" s="8"/>
    </row>
    <row r="50917" spans="1:4" ht="15.75" customHeight="1">
      <c r="A50917" s="8"/>
      <c r="B50917" s="12"/>
      <c r="C50917" s="8"/>
      <c r="D50917" s="8"/>
    </row>
    <row r="50918" spans="1:4" ht="15.75" customHeight="1">
      <c r="A50918" s="8"/>
      <c r="B50918" s="12"/>
      <c r="C50918" s="8"/>
      <c r="D50918" s="8"/>
    </row>
    <row r="50919" spans="1:4" ht="15.75" customHeight="1">
      <c r="A50919" s="8"/>
      <c r="B50919" s="12"/>
      <c r="C50919" s="8"/>
      <c r="D50919" s="8"/>
    </row>
    <row r="50920" spans="1:4" ht="15.75" customHeight="1">
      <c r="A50920" s="8"/>
      <c r="B50920" s="12"/>
      <c r="C50920" s="8"/>
      <c r="D50920" s="8"/>
    </row>
    <row r="50921" spans="1:4" ht="15.75" customHeight="1">
      <c r="A50921" s="8"/>
      <c r="B50921" s="12"/>
      <c r="C50921" s="8"/>
      <c r="D50921" s="8"/>
    </row>
    <row r="50922" spans="1:4" ht="15.75" customHeight="1">
      <c r="A50922" s="8"/>
      <c r="B50922" s="12"/>
      <c r="C50922" s="8"/>
      <c r="D50922" s="8"/>
    </row>
    <row r="50923" spans="1:4" ht="15.75" customHeight="1">
      <c r="A50923" s="8"/>
      <c r="B50923" s="12"/>
      <c r="C50923" s="8"/>
      <c r="D50923" s="8"/>
    </row>
    <row r="50924" spans="1:4" ht="15.75" customHeight="1">
      <c r="A50924" s="8"/>
      <c r="B50924" s="12"/>
      <c r="C50924" s="8"/>
      <c r="D50924" s="8"/>
    </row>
    <row r="50925" spans="1:4" ht="15.75" customHeight="1">
      <c r="A50925" s="8"/>
      <c r="B50925" s="12"/>
      <c r="C50925" s="8"/>
      <c r="D50925" s="8"/>
    </row>
    <row r="50926" spans="1:4" ht="15.75" customHeight="1">
      <c r="A50926" s="8"/>
      <c r="B50926" s="12"/>
      <c r="C50926" s="8"/>
      <c r="D50926" s="8"/>
    </row>
    <row r="50927" spans="1:4" ht="15.75" customHeight="1">
      <c r="A50927" s="8"/>
      <c r="B50927" s="12"/>
      <c r="C50927" s="8"/>
      <c r="D50927" s="8"/>
    </row>
    <row r="50928" spans="1:4" ht="15.75" customHeight="1">
      <c r="A50928" s="8"/>
      <c r="B50928" s="12"/>
      <c r="C50928" s="8"/>
      <c r="D50928" s="8"/>
    </row>
    <row r="50929" spans="1:4" ht="15.75" customHeight="1">
      <c r="A50929" s="8"/>
      <c r="B50929" s="12"/>
      <c r="C50929" s="8"/>
      <c r="D50929" s="8"/>
    </row>
    <row r="50930" spans="1:4" ht="15.75" customHeight="1">
      <c r="A50930" s="8"/>
      <c r="B50930" s="12"/>
      <c r="C50930" s="8"/>
      <c r="D50930" s="8"/>
    </row>
    <row r="50931" spans="1:4" ht="15.75" customHeight="1">
      <c r="A50931" s="8"/>
      <c r="B50931" s="12"/>
      <c r="C50931" s="8"/>
      <c r="D50931" s="8"/>
    </row>
    <row r="50932" spans="1:4" ht="15.75" customHeight="1">
      <c r="A50932" s="8"/>
      <c r="B50932" s="12"/>
      <c r="C50932" s="8"/>
      <c r="D50932" s="8"/>
    </row>
    <row r="50933" spans="1:4" ht="15.75" customHeight="1">
      <c r="A50933" s="8"/>
      <c r="B50933" s="12"/>
      <c r="C50933" s="8"/>
      <c r="D50933" s="8"/>
    </row>
    <row r="50934" spans="1:4" ht="15.75" customHeight="1">
      <c r="A50934" s="8"/>
      <c r="B50934" s="12"/>
      <c r="C50934" s="8"/>
      <c r="D50934" s="8"/>
    </row>
    <row r="50935" spans="1:4" ht="15.75" customHeight="1">
      <c r="A50935" s="8"/>
      <c r="B50935" s="12"/>
      <c r="C50935" s="8"/>
      <c r="D50935" s="8"/>
    </row>
    <row r="50936" spans="1:4" ht="15.75" customHeight="1">
      <c r="A50936" s="8"/>
      <c r="B50936" s="12"/>
      <c r="C50936" s="8"/>
      <c r="D50936" s="8"/>
    </row>
    <row r="50937" spans="1:4" ht="15.75" customHeight="1">
      <c r="A50937" s="8"/>
      <c r="B50937" s="12"/>
      <c r="C50937" s="8"/>
      <c r="D50937" s="8"/>
    </row>
    <row r="50938" spans="1:4" ht="15.75" customHeight="1">
      <c r="A50938" s="8"/>
      <c r="B50938" s="12"/>
      <c r="C50938" s="8"/>
      <c r="D50938" s="8"/>
    </row>
    <row r="50939" spans="1:4" ht="15.75" customHeight="1">
      <c r="A50939" s="8"/>
      <c r="B50939" s="12"/>
      <c r="C50939" s="8"/>
      <c r="D50939" s="8"/>
    </row>
    <row r="50940" spans="1:4" ht="15.75" customHeight="1">
      <c r="A50940" s="8"/>
      <c r="B50940" s="12"/>
      <c r="C50940" s="8"/>
      <c r="D50940" s="8"/>
    </row>
    <row r="50941" spans="1:4" ht="15.75" customHeight="1">
      <c r="A50941" s="8"/>
      <c r="B50941" s="12"/>
      <c r="C50941" s="8"/>
      <c r="D50941" s="8"/>
    </row>
    <row r="50942" spans="1:4" ht="15.75" customHeight="1">
      <c r="A50942" s="8"/>
      <c r="B50942" s="12"/>
      <c r="C50942" s="8"/>
      <c r="D50942" s="8"/>
    </row>
    <row r="50943" spans="1:4" ht="15.75" customHeight="1">
      <c r="A50943" s="8"/>
      <c r="B50943" s="12"/>
      <c r="C50943" s="8"/>
      <c r="D50943" s="8"/>
    </row>
    <row r="50944" spans="1:4" ht="15.75" customHeight="1">
      <c r="A50944" s="8"/>
      <c r="B50944" s="12"/>
      <c r="C50944" s="8"/>
      <c r="D50944" s="8"/>
    </row>
    <row r="50945" spans="1:4" ht="15.75" customHeight="1">
      <c r="A50945" s="8"/>
      <c r="B50945" s="12"/>
      <c r="C50945" s="8"/>
      <c r="D50945" s="8"/>
    </row>
    <row r="50946" spans="1:4" ht="15.75" customHeight="1">
      <c r="A50946" s="8"/>
      <c r="B50946" s="12"/>
      <c r="C50946" s="8"/>
      <c r="D50946" s="8"/>
    </row>
    <row r="50947" spans="1:4" ht="15.75" customHeight="1">
      <c r="A50947" s="8"/>
      <c r="B50947" s="12"/>
      <c r="C50947" s="8"/>
      <c r="D50947" s="8"/>
    </row>
    <row r="50948" spans="1:4" ht="15.75" customHeight="1">
      <c r="A50948" s="8"/>
      <c r="B50948" s="12"/>
      <c r="C50948" s="8"/>
      <c r="D50948" s="8"/>
    </row>
    <row r="50949" spans="1:4" ht="15.75" customHeight="1">
      <c r="A50949" s="8"/>
      <c r="B50949" s="12"/>
      <c r="C50949" s="8"/>
      <c r="D50949" s="8"/>
    </row>
    <row r="50950" spans="1:4" ht="15.75" customHeight="1">
      <c r="A50950" s="8"/>
      <c r="B50950" s="12"/>
      <c r="C50950" s="8"/>
      <c r="D50950" s="8"/>
    </row>
    <row r="50951" spans="1:4" ht="15.75" customHeight="1">
      <c r="A50951" s="8"/>
      <c r="B50951" s="12"/>
      <c r="C50951" s="8"/>
      <c r="D50951" s="8"/>
    </row>
    <row r="50952" spans="1:4" ht="15.75" customHeight="1">
      <c r="A50952" s="8"/>
      <c r="B50952" s="12"/>
      <c r="C50952" s="8"/>
      <c r="D50952" s="8"/>
    </row>
    <row r="50953" spans="1:4" ht="15.75" customHeight="1">
      <c r="A50953" s="8"/>
      <c r="B50953" s="12"/>
      <c r="C50953" s="8"/>
      <c r="D50953" s="8"/>
    </row>
    <row r="50954" spans="1:4" ht="15.75" customHeight="1">
      <c r="A50954" s="8"/>
      <c r="B50954" s="12"/>
      <c r="C50954" s="8"/>
      <c r="D50954" s="8"/>
    </row>
    <row r="50955" spans="1:4" ht="15.75" customHeight="1">
      <c r="A50955" s="8"/>
      <c r="B50955" s="12"/>
      <c r="C50955" s="8"/>
      <c r="D50955" s="8"/>
    </row>
    <row r="50956" spans="1:4" ht="15.75" customHeight="1">
      <c r="A50956" s="8"/>
      <c r="B50956" s="12"/>
      <c r="C50956" s="8"/>
      <c r="D50956" s="8"/>
    </row>
    <row r="50957" spans="1:4" ht="15.75" customHeight="1">
      <c r="A50957" s="8"/>
      <c r="B50957" s="12"/>
      <c r="C50957" s="8"/>
      <c r="D50957" s="8"/>
    </row>
    <row r="50958" spans="1:4" ht="15.75" customHeight="1">
      <c r="A50958" s="8"/>
      <c r="B50958" s="12"/>
      <c r="C50958" s="8"/>
      <c r="D50958" s="8"/>
    </row>
    <row r="50959" spans="1:4" ht="15.75" customHeight="1">
      <c r="A50959" s="8"/>
      <c r="B50959" s="12"/>
      <c r="C50959" s="8"/>
      <c r="D50959" s="8"/>
    </row>
    <row r="50960" spans="1:4" ht="15.75" customHeight="1">
      <c r="A50960" s="8"/>
      <c r="B50960" s="12"/>
      <c r="C50960" s="8"/>
      <c r="D50960" s="8"/>
    </row>
    <row r="50961" spans="1:4" ht="15.75" customHeight="1">
      <c r="A50961" s="8"/>
      <c r="B50961" s="12"/>
      <c r="C50961" s="8"/>
      <c r="D50961" s="8"/>
    </row>
    <row r="50962" spans="1:4" ht="15.75" customHeight="1">
      <c r="A50962" s="8"/>
      <c r="B50962" s="12"/>
      <c r="C50962" s="8"/>
      <c r="D50962" s="8"/>
    </row>
    <row r="50963" spans="1:4" ht="15.75" customHeight="1">
      <c r="A50963" s="8"/>
      <c r="B50963" s="12"/>
      <c r="C50963" s="8"/>
      <c r="D50963" s="8"/>
    </row>
    <row r="50964" spans="1:4" ht="15.75" customHeight="1">
      <c r="A50964" s="8"/>
      <c r="B50964" s="12"/>
      <c r="C50964" s="8"/>
      <c r="D50964" s="8"/>
    </row>
    <row r="50965" spans="1:4" ht="15.75" customHeight="1">
      <c r="A50965" s="8"/>
      <c r="B50965" s="12"/>
      <c r="C50965" s="8"/>
      <c r="D50965" s="8"/>
    </row>
    <row r="50966" spans="1:4" ht="15.75" customHeight="1">
      <c r="A50966" s="8"/>
      <c r="B50966" s="12"/>
      <c r="C50966" s="8"/>
      <c r="D50966" s="8"/>
    </row>
    <row r="50967" spans="1:4" ht="15.75" customHeight="1">
      <c r="A50967" s="8"/>
      <c r="B50967" s="12"/>
      <c r="C50967" s="8"/>
      <c r="D50967" s="8"/>
    </row>
    <row r="50968" spans="1:4" ht="15.75" customHeight="1">
      <c r="A50968" s="8"/>
      <c r="B50968" s="12"/>
      <c r="C50968" s="8"/>
      <c r="D50968" s="8"/>
    </row>
    <row r="50969" spans="1:4" ht="15.75" customHeight="1">
      <c r="A50969" s="8"/>
      <c r="B50969" s="12"/>
      <c r="C50969" s="8"/>
      <c r="D50969" s="8"/>
    </row>
    <row r="50970" spans="1:4" ht="15.75" customHeight="1">
      <c r="A50970" s="8"/>
      <c r="B50970" s="12"/>
      <c r="C50970" s="8"/>
      <c r="D50970" s="8"/>
    </row>
    <row r="50971" spans="1:4" ht="15.75" customHeight="1">
      <c r="A50971" s="8"/>
      <c r="B50971" s="12"/>
      <c r="C50971" s="8"/>
      <c r="D50971" s="8"/>
    </row>
    <row r="50972" spans="1:4" ht="15.75" customHeight="1">
      <c r="A50972" s="8"/>
      <c r="B50972" s="12"/>
      <c r="C50972" s="8"/>
      <c r="D50972" s="8"/>
    </row>
    <row r="50973" spans="1:4" ht="15.75" customHeight="1">
      <c r="A50973" s="8"/>
      <c r="B50973" s="12"/>
      <c r="C50973" s="8"/>
      <c r="D50973" s="8"/>
    </row>
    <row r="50974" spans="1:4" ht="15.75" customHeight="1">
      <c r="A50974" s="8"/>
      <c r="B50974" s="12"/>
      <c r="C50974" s="8"/>
      <c r="D50974" s="8"/>
    </row>
    <row r="50975" spans="1:4" ht="15.75" customHeight="1">
      <c r="A50975" s="8"/>
      <c r="B50975" s="12"/>
      <c r="C50975" s="8"/>
      <c r="D50975" s="8"/>
    </row>
    <row r="50976" spans="1:4" ht="15.75" customHeight="1">
      <c r="A50976" s="8"/>
      <c r="B50976" s="12"/>
      <c r="C50976" s="8"/>
      <c r="D50976" s="8"/>
    </row>
    <row r="50977" spans="1:4" ht="15.75" customHeight="1">
      <c r="A50977" s="8"/>
      <c r="B50977" s="12"/>
      <c r="C50977" s="8"/>
      <c r="D50977" s="8"/>
    </row>
    <row r="50978" spans="1:4" ht="15.75" customHeight="1">
      <c r="A50978" s="8"/>
      <c r="B50978" s="12"/>
      <c r="C50978" s="8"/>
      <c r="D50978" s="8"/>
    </row>
    <row r="50979" spans="1:4" ht="15.75" customHeight="1">
      <c r="A50979" s="8"/>
      <c r="B50979" s="12"/>
      <c r="C50979" s="8"/>
      <c r="D50979" s="8"/>
    </row>
    <row r="50980" spans="1:4" ht="15.75" customHeight="1">
      <c r="A50980" s="8"/>
      <c r="B50980" s="12"/>
      <c r="C50980" s="8"/>
      <c r="D50980" s="8"/>
    </row>
    <row r="50981" spans="1:4" ht="15.75" customHeight="1">
      <c r="A50981" s="8"/>
      <c r="B50981" s="12"/>
      <c r="C50981" s="8"/>
      <c r="D50981" s="8"/>
    </row>
    <row r="50982" spans="1:4" ht="15.75" customHeight="1">
      <c r="A50982" s="8"/>
      <c r="B50982" s="12"/>
      <c r="C50982" s="8"/>
      <c r="D50982" s="8"/>
    </row>
    <row r="50983" spans="1:4" ht="15.75" customHeight="1">
      <c r="A50983" s="8"/>
      <c r="B50983" s="12"/>
      <c r="C50983" s="8"/>
      <c r="D50983" s="8"/>
    </row>
    <row r="50984" spans="1:4" ht="15.75" customHeight="1">
      <c r="A50984" s="8"/>
      <c r="B50984" s="12"/>
      <c r="C50984" s="8"/>
      <c r="D50984" s="8"/>
    </row>
    <row r="50985" spans="1:4" ht="15.75" customHeight="1">
      <c r="A50985" s="8"/>
      <c r="B50985" s="12"/>
      <c r="C50985" s="8"/>
      <c r="D50985" s="8"/>
    </row>
    <row r="50986" spans="1:4" ht="15.75" customHeight="1">
      <c r="A50986" s="8"/>
      <c r="B50986" s="12"/>
      <c r="C50986" s="8"/>
      <c r="D50986" s="8"/>
    </row>
    <row r="50987" spans="1:4" ht="15.75" customHeight="1">
      <c r="A50987" s="8"/>
      <c r="B50987" s="12"/>
      <c r="C50987" s="8"/>
      <c r="D50987" s="8"/>
    </row>
    <row r="50988" spans="1:4" ht="15.75" customHeight="1">
      <c r="A50988" s="8"/>
      <c r="B50988" s="12"/>
      <c r="C50988" s="8"/>
      <c r="D50988" s="8"/>
    </row>
    <row r="50989" spans="1:4" ht="15.75" customHeight="1">
      <c r="A50989" s="8"/>
      <c r="B50989" s="12"/>
      <c r="C50989" s="8"/>
      <c r="D50989" s="8"/>
    </row>
    <row r="50990" spans="1:4" ht="15.75" customHeight="1">
      <c r="A50990" s="8"/>
      <c r="B50990" s="12"/>
      <c r="C50990" s="8"/>
      <c r="D50990" s="8"/>
    </row>
    <row r="50991" spans="1:4" ht="15.75" customHeight="1">
      <c r="A50991" s="8"/>
      <c r="B50991" s="12"/>
      <c r="C50991" s="8"/>
      <c r="D50991" s="8"/>
    </row>
    <row r="50992" spans="1:4" ht="15.75" customHeight="1">
      <c r="A50992" s="8"/>
      <c r="B50992" s="12"/>
      <c r="C50992" s="8"/>
      <c r="D50992" s="8"/>
    </row>
    <row r="50993" spans="1:4" ht="15.75" customHeight="1">
      <c r="A50993" s="8"/>
      <c r="B50993" s="12"/>
      <c r="C50993" s="8"/>
      <c r="D50993" s="8"/>
    </row>
    <row r="50994" spans="1:4" ht="15.75" customHeight="1">
      <c r="A50994" s="8"/>
      <c r="B50994" s="12"/>
      <c r="C50994" s="8"/>
      <c r="D50994" s="8"/>
    </row>
    <row r="50995" spans="1:4" ht="15.75" customHeight="1">
      <c r="A50995" s="8"/>
      <c r="B50995" s="12"/>
      <c r="C50995" s="8"/>
      <c r="D50995" s="8"/>
    </row>
    <row r="50996" spans="1:4" ht="15.75" customHeight="1">
      <c r="A50996" s="8"/>
      <c r="B50996" s="12"/>
      <c r="C50996" s="8"/>
      <c r="D50996" s="8"/>
    </row>
    <row r="50997" spans="1:4" ht="15.75" customHeight="1">
      <c r="A50997" s="8"/>
      <c r="B50997" s="12"/>
      <c r="C50997" s="8"/>
      <c r="D50997" s="8"/>
    </row>
    <row r="50998" spans="1:4" ht="15.75" customHeight="1">
      <c r="A50998" s="8"/>
      <c r="B50998" s="12"/>
      <c r="C50998" s="8"/>
      <c r="D50998" s="8"/>
    </row>
    <row r="50999" spans="1:4" ht="15.75" customHeight="1">
      <c r="A50999" s="8"/>
      <c r="B50999" s="12"/>
      <c r="C50999" s="8"/>
      <c r="D50999" s="8"/>
    </row>
    <row r="51000" spans="1:4" ht="15.75" customHeight="1">
      <c r="A51000" s="8"/>
      <c r="B51000" s="12"/>
      <c r="C51000" s="8"/>
      <c r="D51000" s="8"/>
    </row>
    <row r="51001" spans="1:4" ht="15.75" customHeight="1">
      <c r="A51001" s="8"/>
      <c r="B51001" s="12"/>
      <c r="C51001" s="8"/>
      <c r="D51001" s="8"/>
    </row>
    <row r="51002" spans="1:4" ht="15.75" customHeight="1">
      <c r="A51002" s="8"/>
      <c r="B51002" s="12"/>
      <c r="C51002" s="8"/>
      <c r="D51002" s="8"/>
    </row>
    <row r="51003" spans="1:4" ht="15.75" customHeight="1">
      <c r="A51003" s="8"/>
      <c r="B51003" s="12"/>
      <c r="C51003" s="8"/>
      <c r="D51003" s="8"/>
    </row>
    <row r="51004" spans="1:4" ht="15.75" customHeight="1">
      <c r="A51004" s="8"/>
      <c r="B51004" s="12"/>
      <c r="C51004" s="8"/>
      <c r="D51004" s="8"/>
    </row>
    <row r="51005" spans="1:4" ht="15.75" customHeight="1">
      <c r="A51005" s="8"/>
      <c r="B51005" s="12"/>
      <c r="C51005" s="8"/>
      <c r="D51005" s="8"/>
    </row>
    <row r="51006" spans="1:4" ht="15.75" customHeight="1">
      <c r="A51006" s="8"/>
      <c r="B51006" s="12"/>
      <c r="C51006" s="8"/>
      <c r="D51006" s="8"/>
    </row>
    <row r="51007" spans="1:4" ht="15.75" customHeight="1">
      <c r="A51007" s="8"/>
      <c r="B51007" s="12"/>
      <c r="C51007" s="8"/>
      <c r="D51007" s="8"/>
    </row>
    <row r="51008" spans="1:4" ht="15.75" customHeight="1">
      <c r="A51008" s="8"/>
      <c r="B51008" s="12"/>
      <c r="C51008" s="8"/>
      <c r="D51008" s="8"/>
    </row>
    <row r="51009" spans="1:4" ht="15.75" customHeight="1">
      <c r="A51009" s="8"/>
      <c r="B51009" s="12"/>
      <c r="C51009" s="8"/>
      <c r="D51009" s="8"/>
    </row>
    <row r="51010" spans="1:4" ht="15.75" customHeight="1">
      <c r="A51010" s="8"/>
      <c r="B51010" s="12"/>
      <c r="C51010" s="8"/>
      <c r="D51010" s="8"/>
    </row>
    <row r="51011" spans="1:4" ht="15.75" customHeight="1">
      <c r="A51011" s="8"/>
      <c r="B51011" s="12"/>
      <c r="C51011" s="8"/>
      <c r="D51011" s="8"/>
    </row>
    <row r="51012" spans="1:4" ht="15.75" customHeight="1">
      <c r="A51012" s="8"/>
      <c r="B51012" s="12"/>
      <c r="C51012" s="8"/>
      <c r="D51012" s="8"/>
    </row>
    <row r="51013" spans="1:4" ht="15.75" customHeight="1">
      <c r="A51013" s="8"/>
      <c r="B51013" s="12"/>
      <c r="C51013" s="8"/>
      <c r="D51013" s="8"/>
    </row>
    <row r="51014" spans="1:4" ht="15.75" customHeight="1">
      <c r="A51014" s="8"/>
      <c r="B51014" s="12"/>
      <c r="C51014" s="8"/>
      <c r="D51014" s="8"/>
    </row>
    <row r="51015" spans="1:4" ht="15.75" customHeight="1">
      <c r="A51015" s="8"/>
      <c r="B51015" s="12"/>
      <c r="C51015" s="8"/>
      <c r="D51015" s="8"/>
    </row>
    <row r="51016" spans="1:4" ht="15.75" customHeight="1">
      <c r="A51016" s="8"/>
      <c r="B51016" s="12"/>
      <c r="C51016" s="8"/>
      <c r="D51016" s="8"/>
    </row>
    <row r="51017" spans="1:4" ht="15.75" customHeight="1">
      <c r="A51017" s="8"/>
      <c r="B51017" s="12"/>
      <c r="C51017" s="8"/>
      <c r="D51017" s="8"/>
    </row>
    <row r="51018" spans="1:4" ht="15.75" customHeight="1">
      <c r="A51018" s="8"/>
      <c r="B51018" s="12"/>
      <c r="C51018" s="8"/>
      <c r="D51018" s="8"/>
    </row>
    <row r="51019" spans="1:4" ht="15.75" customHeight="1">
      <c r="A51019" s="8"/>
      <c r="B51019" s="12"/>
      <c r="C51019" s="8"/>
      <c r="D51019" s="8"/>
    </row>
    <row r="51020" spans="1:4" ht="15.75" customHeight="1">
      <c r="A51020" s="8"/>
      <c r="B51020" s="12"/>
      <c r="C51020" s="8"/>
      <c r="D51020" s="8"/>
    </row>
    <row r="51021" spans="1:4" ht="15.75" customHeight="1">
      <c r="A51021" s="8"/>
      <c r="B51021" s="12"/>
      <c r="C51021" s="8"/>
      <c r="D51021" s="8"/>
    </row>
    <row r="51022" spans="1:4" ht="15.75" customHeight="1">
      <c r="A51022" s="8"/>
      <c r="B51022" s="12"/>
      <c r="C51022" s="8"/>
      <c r="D51022" s="8"/>
    </row>
    <row r="51023" spans="1:4" ht="15.75" customHeight="1">
      <c r="A51023" s="8"/>
      <c r="B51023" s="12"/>
      <c r="C51023" s="8"/>
      <c r="D51023" s="8"/>
    </row>
    <row r="51024" spans="1:4" ht="15.75" customHeight="1">
      <c r="A51024" s="8"/>
      <c r="B51024" s="12"/>
      <c r="C51024" s="8"/>
      <c r="D51024" s="8"/>
    </row>
    <row r="51025" spans="1:4" ht="15.75" customHeight="1">
      <c r="A51025" s="8"/>
      <c r="B51025" s="12"/>
      <c r="C51025" s="8"/>
      <c r="D51025" s="8"/>
    </row>
    <row r="51026" spans="1:4" ht="15.75" customHeight="1">
      <c r="A51026" s="8"/>
      <c r="B51026" s="12"/>
      <c r="C51026" s="8"/>
      <c r="D51026" s="8"/>
    </row>
    <row r="51027" spans="1:4" ht="15.75" customHeight="1">
      <c r="A51027" s="8"/>
      <c r="B51027" s="12"/>
      <c r="C51027" s="8"/>
      <c r="D51027" s="8"/>
    </row>
    <row r="51028" spans="1:4" ht="15.75" customHeight="1">
      <c r="A51028" s="8"/>
      <c r="B51028" s="12"/>
      <c r="C51028" s="8"/>
      <c r="D51028" s="8"/>
    </row>
    <row r="51029" spans="1:4" ht="15.75" customHeight="1">
      <c r="A51029" s="8"/>
      <c r="B51029" s="12"/>
      <c r="C51029" s="8"/>
      <c r="D51029" s="8"/>
    </row>
    <row r="51030" spans="1:4" ht="15.75" customHeight="1">
      <c r="A51030" s="8"/>
      <c r="B51030" s="12"/>
      <c r="C51030" s="8"/>
      <c r="D51030" s="8"/>
    </row>
    <row r="51031" spans="1:4" ht="15.75" customHeight="1">
      <c r="A51031" s="8"/>
      <c r="B51031" s="12"/>
      <c r="C51031" s="8"/>
      <c r="D51031" s="8"/>
    </row>
    <row r="51032" spans="1:4" ht="15.75" customHeight="1">
      <c r="A51032" s="8"/>
      <c r="B51032" s="12"/>
      <c r="C51032" s="8"/>
      <c r="D51032" s="8"/>
    </row>
    <row r="51033" spans="1:4" ht="15.75" customHeight="1">
      <c r="A51033" s="8"/>
      <c r="B51033" s="12"/>
      <c r="C51033" s="8"/>
      <c r="D51033" s="8"/>
    </row>
    <row r="51034" spans="1:4" ht="15.75" customHeight="1">
      <c r="A51034" s="8"/>
      <c r="B51034" s="12"/>
      <c r="C51034" s="8"/>
      <c r="D51034" s="8"/>
    </row>
    <row r="51035" spans="1:4" ht="15.75" customHeight="1">
      <c r="A51035" s="8"/>
      <c r="B51035" s="12"/>
      <c r="C51035" s="8"/>
      <c r="D51035" s="8"/>
    </row>
    <row r="51036" spans="1:4" ht="15.75" customHeight="1">
      <c r="A51036" s="8"/>
      <c r="B51036" s="12"/>
      <c r="C51036" s="8"/>
      <c r="D51036" s="8"/>
    </row>
    <row r="51037" spans="1:4" ht="15.75" customHeight="1">
      <c r="A51037" s="8"/>
      <c r="B51037" s="12"/>
      <c r="C51037" s="8"/>
      <c r="D51037" s="8"/>
    </row>
    <row r="51038" spans="1:4" ht="15.75" customHeight="1">
      <c r="A51038" s="8"/>
      <c r="B51038" s="12"/>
      <c r="C51038" s="8"/>
      <c r="D51038" s="8"/>
    </row>
    <row r="51039" spans="1:4" ht="15.75" customHeight="1">
      <c r="A51039" s="8"/>
      <c r="B51039" s="12"/>
      <c r="C51039" s="8"/>
      <c r="D51039" s="8"/>
    </row>
    <row r="51040" spans="1:4" ht="15.75" customHeight="1">
      <c r="A51040" s="8"/>
      <c r="B51040" s="12"/>
      <c r="C51040" s="8"/>
      <c r="D51040" s="8"/>
    </row>
    <row r="51041" spans="1:4" ht="15.75" customHeight="1">
      <c r="A51041" s="8"/>
      <c r="B51041" s="12"/>
      <c r="C51041" s="8"/>
      <c r="D51041" s="8"/>
    </row>
    <row r="51042" spans="1:4" ht="15.75" customHeight="1">
      <c r="A51042" s="8"/>
      <c r="B51042" s="12"/>
      <c r="C51042" s="8"/>
      <c r="D51042" s="8"/>
    </row>
    <row r="51043" spans="1:4" ht="15.75" customHeight="1">
      <c r="A51043" s="8"/>
      <c r="B51043" s="12"/>
      <c r="C51043" s="8"/>
      <c r="D51043" s="8"/>
    </row>
    <row r="51044" spans="1:4" ht="15.75" customHeight="1">
      <c r="A51044" s="8"/>
      <c r="B51044" s="12"/>
      <c r="C51044" s="8"/>
      <c r="D51044" s="8"/>
    </row>
    <row r="51045" spans="1:4" ht="15.75" customHeight="1">
      <c r="A51045" s="8"/>
      <c r="B51045" s="12"/>
      <c r="C51045" s="8"/>
      <c r="D51045" s="8"/>
    </row>
    <row r="51046" spans="1:4" ht="15.75" customHeight="1">
      <c r="A51046" s="8"/>
      <c r="B51046" s="12"/>
      <c r="C51046" s="8"/>
      <c r="D51046" s="8"/>
    </row>
    <row r="51047" spans="1:4" ht="15.75" customHeight="1">
      <c r="A51047" s="8"/>
      <c r="B51047" s="12"/>
      <c r="C51047" s="8"/>
      <c r="D51047" s="8"/>
    </row>
    <row r="51048" spans="1:4" ht="15.75" customHeight="1">
      <c r="A51048" s="8"/>
      <c r="B51048" s="12"/>
      <c r="C51048" s="8"/>
      <c r="D51048" s="8"/>
    </row>
    <row r="51049" spans="1:4" ht="15.75" customHeight="1">
      <c r="A51049" s="8"/>
      <c r="B51049" s="12"/>
      <c r="C51049" s="8"/>
      <c r="D51049" s="8"/>
    </row>
    <row r="51050" spans="1:4" ht="15.75" customHeight="1">
      <c r="A51050" s="8"/>
      <c r="B51050" s="12"/>
      <c r="C51050" s="8"/>
      <c r="D51050" s="8"/>
    </row>
    <row r="51051" spans="1:4" ht="15.75" customHeight="1">
      <c r="A51051" s="8"/>
      <c r="B51051" s="12"/>
      <c r="C51051" s="8"/>
      <c r="D51051" s="8"/>
    </row>
    <row r="51052" spans="1:4" ht="15.75" customHeight="1">
      <c r="A51052" s="8"/>
      <c r="B51052" s="12"/>
      <c r="C51052" s="8"/>
      <c r="D51052" s="8"/>
    </row>
    <row r="51053" spans="1:4" ht="15.75" customHeight="1">
      <c r="A51053" s="8"/>
      <c r="B51053" s="12"/>
      <c r="C51053" s="8"/>
      <c r="D51053" s="8"/>
    </row>
    <row r="51054" spans="1:4" ht="15.75" customHeight="1">
      <c r="A51054" s="8"/>
      <c r="B51054" s="12"/>
      <c r="C51054" s="8"/>
      <c r="D51054" s="8"/>
    </row>
    <row r="51055" spans="1:4" ht="15.75" customHeight="1">
      <c r="A51055" s="8"/>
      <c r="B51055" s="12"/>
      <c r="C51055" s="8"/>
      <c r="D51055" s="8"/>
    </row>
    <row r="51056" spans="1:4" ht="15.75" customHeight="1">
      <c r="A51056" s="8"/>
      <c r="B51056" s="12"/>
      <c r="C51056" s="8"/>
      <c r="D51056" s="8"/>
    </row>
    <row r="51057" spans="1:4" ht="15.75" customHeight="1">
      <c r="A51057" s="8"/>
      <c r="B51057" s="12"/>
      <c r="C51057" s="8"/>
      <c r="D51057" s="8"/>
    </row>
    <row r="51058" spans="1:4" ht="15.75" customHeight="1">
      <c r="A51058" s="8"/>
      <c r="B51058" s="12"/>
      <c r="C51058" s="8"/>
      <c r="D51058" s="8"/>
    </row>
    <row r="51059" spans="1:4" ht="15.75" customHeight="1">
      <c r="A51059" s="8"/>
      <c r="B51059" s="12"/>
      <c r="C51059" s="8"/>
      <c r="D51059" s="8"/>
    </row>
    <row r="51060" spans="1:4" ht="15.75" customHeight="1">
      <c r="A51060" s="8"/>
      <c r="B51060" s="12"/>
      <c r="C51060" s="8"/>
      <c r="D51060" s="8"/>
    </row>
    <row r="51061" spans="1:4" ht="15.75" customHeight="1">
      <c r="A51061" s="8"/>
      <c r="B51061" s="12"/>
      <c r="C51061" s="8"/>
      <c r="D51061" s="8"/>
    </row>
    <row r="51062" spans="1:4" ht="15.75" customHeight="1">
      <c r="A51062" s="8"/>
      <c r="B51062" s="12"/>
      <c r="C51062" s="8"/>
      <c r="D51062" s="8"/>
    </row>
    <row r="51063" spans="1:4" ht="15.75" customHeight="1">
      <c r="A51063" s="8"/>
      <c r="B51063" s="12"/>
      <c r="C51063" s="8"/>
      <c r="D51063" s="8"/>
    </row>
    <row r="51064" spans="1:4" ht="15.75" customHeight="1">
      <c r="A51064" s="8"/>
      <c r="B51064" s="12"/>
      <c r="C51064" s="8"/>
      <c r="D51064" s="8"/>
    </row>
    <row r="51065" spans="1:4" ht="15.75" customHeight="1">
      <c r="A51065" s="8"/>
      <c r="B51065" s="12"/>
      <c r="C51065" s="8"/>
      <c r="D51065" s="8"/>
    </row>
    <row r="51066" spans="1:4" ht="15.75" customHeight="1">
      <c r="A51066" s="8"/>
      <c r="B51066" s="12"/>
      <c r="C51066" s="8"/>
      <c r="D51066" s="8"/>
    </row>
    <row r="51067" spans="1:4" ht="15.75" customHeight="1">
      <c r="A51067" s="8"/>
      <c r="B51067" s="12"/>
      <c r="C51067" s="8"/>
      <c r="D51067" s="8"/>
    </row>
    <row r="51068" spans="1:4" ht="15.75" customHeight="1">
      <c r="A51068" s="8"/>
      <c r="B51068" s="12"/>
      <c r="C51068" s="8"/>
      <c r="D51068" s="8"/>
    </row>
    <row r="51069" spans="1:4" ht="15.75" customHeight="1">
      <c r="A51069" s="8"/>
      <c r="B51069" s="12"/>
      <c r="C51069" s="8"/>
      <c r="D51069" s="8"/>
    </row>
    <row r="51070" spans="1:4" ht="15.75" customHeight="1">
      <c r="A51070" s="8"/>
      <c r="B51070" s="12"/>
      <c r="C51070" s="8"/>
      <c r="D51070" s="8"/>
    </row>
    <row r="51071" spans="1:4" ht="15.75" customHeight="1">
      <c r="A51071" s="8"/>
      <c r="B51071" s="12"/>
      <c r="C51071" s="8"/>
      <c r="D51071" s="8"/>
    </row>
    <row r="51072" spans="1:4" ht="15.75" customHeight="1">
      <c r="A51072" s="8"/>
      <c r="B51072" s="12"/>
      <c r="C51072" s="8"/>
      <c r="D51072" s="8"/>
    </row>
    <row r="51073" spans="1:4" ht="15.75" customHeight="1">
      <c r="A51073" s="8"/>
      <c r="B51073" s="12"/>
      <c r="C51073" s="8"/>
      <c r="D51073" s="8"/>
    </row>
    <row r="51074" spans="1:4" ht="15.75" customHeight="1">
      <c r="A51074" s="8"/>
      <c r="B51074" s="12"/>
      <c r="C51074" s="8"/>
      <c r="D51074" s="8"/>
    </row>
    <row r="51075" spans="1:4" ht="15.75" customHeight="1">
      <c r="A51075" s="8"/>
      <c r="B51075" s="12"/>
      <c r="C51075" s="8"/>
      <c r="D51075" s="8"/>
    </row>
    <row r="51076" spans="1:4" ht="15.75" customHeight="1">
      <c r="A51076" s="8"/>
      <c r="B51076" s="12"/>
      <c r="C51076" s="8"/>
      <c r="D51076" s="8"/>
    </row>
    <row r="51077" spans="1:4" ht="15.75" customHeight="1">
      <c r="A51077" s="8"/>
      <c r="B51077" s="12"/>
      <c r="C51077" s="8"/>
      <c r="D51077" s="8"/>
    </row>
    <row r="51078" spans="1:4" ht="15.75" customHeight="1">
      <c r="A51078" s="8"/>
      <c r="B51078" s="12"/>
      <c r="C51078" s="8"/>
      <c r="D51078" s="8"/>
    </row>
    <row r="51079" spans="1:4" ht="15.75" customHeight="1">
      <c r="A51079" s="8"/>
      <c r="B51079" s="12"/>
      <c r="C51079" s="8"/>
      <c r="D51079" s="8"/>
    </row>
    <row r="51080" spans="1:4" ht="15.75" customHeight="1">
      <c r="A51080" s="8"/>
      <c r="B51080" s="12"/>
      <c r="C51080" s="8"/>
      <c r="D51080" s="8"/>
    </row>
    <row r="51081" spans="1:4" ht="15.75" customHeight="1">
      <c r="A51081" s="8"/>
      <c r="B51081" s="12"/>
      <c r="C51081" s="8"/>
      <c r="D51081" s="8"/>
    </row>
    <row r="51082" spans="1:4" ht="15.75" customHeight="1">
      <c r="A51082" s="8"/>
      <c r="B51082" s="12"/>
      <c r="C51082" s="8"/>
      <c r="D51082" s="8"/>
    </row>
    <row r="51083" spans="1:4" ht="15.75" customHeight="1">
      <c r="A51083" s="8"/>
      <c r="B51083" s="12"/>
      <c r="C51083" s="8"/>
      <c r="D51083" s="8"/>
    </row>
    <row r="51084" spans="1:4" ht="15.75" customHeight="1">
      <c r="A51084" s="8"/>
      <c r="B51084" s="12"/>
      <c r="C51084" s="8"/>
      <c r="D51084" s="8"/>
    </row>
    <row r="51085" spans="1:4" ht="15.75" customHeight="1">
      <c r="A51085" s="8"/>
      <c r="B51085" s="12"/>
      <c r="C51085" s="8"/>
      <c r="D51085" s="8"/>
    </row>
    <row r="51086" spans="1:4" ht="15.75" customHeight="1">
      <c r="A51086" s="8"/>
      <c r="B51086" s="12"/>
      <c r="C51086" s="8"/>
      <c r="D51086" s="8"/>
    </row>
    <row r="51087" spans="1:4" ht="15.75" customHeight="1">
      <c r="A51087" s="8"/>
      <c r="B51087" s="12"/>
      <c r="C51087" s="8"/>
      <c r="D51087" s="8"/>
    </row>
    <row r="51088" spans="1:4" ht="15.75" customHeight="1">
      <c r="A51088" s="8"/>
      <c r="B51088" s="12"/>
      <c r="C51088" s="8"/>
      <c r="D51088" s="8"/>
    </row>
    <row r="51089" spans="1:4" ht="15.75" customHeight="1">
      <c r="A51089" s="8"/>
      <c r="B51089" s="12"/>
      <c r="C51089" s="8"/>
      <c r="D51089" s="8"/>
    </row>
    <row r="51090" spans="1:4" ht="15.75" customHeight="1">
      <c r="A51090" s="8"/>
      <c r="B51090" s="12"/>
      <c r="C51090" s="8"/>
      <c r="D51090" s="8"/>
    </row>
    <row r="51091" spans="1:4" ht="15.75" customHeight="1">
      <c r="A51091" s="8"/>
      <c r="B51091" s="12"/>
      <c r="C51091" s="8"/>
      <c r="D51091" s="8"/>
    </row>
    <row r="51092" spans="1:4" ht="15.75" customHeight="1">
      <c r="A51092" s="8"/>
      <c r="B51092" s="12"/>
      <c r="C51092" s="8"/>
      <c r="D51092" s="8"/>
    </row>
    <row r="51093" spans="1:4" ht="15.75" customHeight="1">
      <c r="A51093" s="8"/>
      <c r="B51093" s="12"/>
      <c r="C51093" s="8"/>
      <c r="D51093" s="8"/>
    </row>
    <row r="51094" spans="1:4" ht="15.75" customHeight="1">
      <c r="A51094" s="8"/>
      <c r="B51094" s="12"/>
      <c r="C51094" s="8"/>
      <c r="D51094" s="8"/>
    </row>
    <row r="51095" spans="1:4" ht="15.75" customHeight="1">
      <c r="A51095" s="8"/>
      <c r="B51095" s="12"/>
      <c r="C51095" s="8"/>
      <c r="D51095" s="8"/>
    </row>
    <row r="51096" spans="1:4" ht="15.75" customHeight="1">
      <c r="A51096" s="8"/>
      <c r="B51096" s="12"/>
      <c r="C51096" s="8"/>
      <c r="D51096" s="8"/>
    </row>
    <row r="51097" spans="1:4" ht="15.75" customHeight="1">
      <c r="A51097" s="8"/>
      <c r="B51097" s="12"/>
      <c r="C51097" s="8"/>
      <c r="D51097" s="8"/>
    </row>
    <row r="51098" spans="1:4" ht="15.75" customHeight="1">
      <c r="A51098" s="8"/>
      <c r="B51098" s="12"/>
      <c r="C51098" s="8"/>
      <c r="D51098" s="8"/>
    </row>
    <row r="51099" spans="1:4" ht="15.75" customHeight="1">
      <c r="A51099" s="8"/>
      <c r="B51099" s="12"/>
      <c r="C51099" s="8"/>
      <c r="D51099" s="8"/>
    </row>
    <row r="51100" spans="1:4" ht="15.75" customHeight="1">
      <c r="A51100" s="8"/>
      <c r="B51100" s="12"/>
      <c r="C51100" s="8"/>
      <c r="D51100" s="8"/>
    </row>
    <row r="51101" spans="1:4" ht="15.75" customHeight="1">
      <c r="A51101" s="8"/>
      <c r="B51101" s="12"/>
      <c r="C51101" s="8"/>
      <c r="D51101" s="8"/>
    </row>
    <row r="51102" spans="1:4" ht="15.75" customHeight="1">
      <c r="A51102" s="8"/>
      <c r="B51102" s="12"/>
      <c r="C51102" s="8"/>
      <c r="D51102" s="8"/>
    </row>
    <row r="51103" spans="1:4" ht="15.75" customHeight="1">
      <c r="A51103" s="8"/>
      <c r="B51103" s="12"/>
      <c r="C51103" s="8"/>
      <c r="D51103" s="8"/>
    </row>
    <row r="51104" spans="1:4" ht="15.75" customHeight="1">
      <c r="A51104" s="8"/>
      <c r="B51104" s="12"/>
      <c r="C51104" s="8"/>
      <c r="D51104" s="8"/>
    </row>
    <row r="51105" spans="1:4" ht="15.75" customHeight="1">
      <c r="A51105" s="8"/>
      <c r="B51105" s="12"/>
      <c r="C51105" s="8"/>
      <c r="D51105" s="8"/>
    </row>
    <row r="51106" spans="1:4" ht="15.75" customHeight="1">
      <c r="A51106" s="8"/>
      <c r="B51106" s="12"/>
      <c r="C51106" s="8"/>
      <c r="D51106" s="8"/>
    </row>
    <row r="51107" spans="1:4" ht="15.75" customHeight="1">
      <c r="A51107" s="8"/>
      <c r="B51107" s="12"/>
      <c r="C51107" s="8"/>
      <c r="D51107" s="8"/>
    </row>
    <row r="51108" spans="1:4" ht="15.75" customHeight="1">
      <c r="A51108" s="8"/>
      <c r="B51108" s="12"/>
      <c r="C51108" s="8"/>
      <c r="D51108" s="8"/>
    </row>
    <row r="51109" spans="1:4" ht="15.75" customHeight="1">
      <c r="A51109" s="8"/>
      <c r="B51109" s="12"/>
      <c r="C51109" s="8"/>
      <c r="D51109" s="8"/>
    </row>
    <row r="51110" spans="1:4" ht="15.75" customHeight="1">
      <c r="A51110" s="8"/>
      <c r="B51110" s="12"/>
      <c r="C51110" s="8"/>
      <c r="D51110" s="8"/>
    </row>
    <row r="51111" spans="1:4" ht="15.75" customHeight="1">
      <c r="A51111" s="8"/>
      <c r="B51111" s="12"/>
      <c r="C51111" s="8"/>
      <c r="D51111" s="8"/>
    </row>
    <row r="51112" spans="1:4" ht="15.75" customHeight="1">
      <c r="A51112" s="8"/>
      <c r="B51112" s="12"/>
      <c r="C51112" s="8"/>
      <c r="D51112" s="8"/>
    </row>
    <row r="51113" spans="1:4" ht="15.75" customHeight="1">
      <c r="A51113" s="8"/>
      <c r="B51113" s="12"/>
      <c r="C51113" s="8"/>
      <c r="D51113" s="8"/>
    </row>
    <row r="51114" spans="1:4" ht="15.75" customHeight="1">
      <c r="A51114" s="8"/>
      <c r="B51114" s="12"/>
      <c r="C51114" s="8"/>
      <c r="D51114" s="8"/>
    </row>
    <row r="51115" spans="1:4" ht="15.75" customHeight="1">
      <c r="A51115" s="8"/>
      <c r="B51115" s="12"/>
      <c r="C51115" s="8"/>
      <c r="D51115" s="8"/>
    </row>
    <row r="51116" spans="1:4" ht="15.75" customHeight="1">
      <c r="A51116" s="8"/>
      <c r="B51116" s="12"/>
      <c r="C51116" s="8"/>
      <c r="D51116" s="8"/>
    </row>
    <row r="51117" spans="1:4" ht="15.75" customHeight="1">
      <c r="A51117" s="8"/>
      <c r="B51117" s="12"/>
      <c r="C51117" s="8"/>
      <c r="D51117" s="8"/>
    </row>
    <row r="51118" spans="1:4" ht="15.75" customHeight="1">
      <c r="A51118" s="8"/>
      <c r="B51118" s="12"/>
      <c r="C51118" s="8"/>
      <c r="D51118" s="8"/>
    </row>
    <row r="51119" spans="1:4" ht="15.75" customHeight="1">
      <c r="A51119" s="8"/>
      <c r="B51119" s="12"/>
      <c r="C51119" s="8"/>
      <c r="D51119" s="8"/>
    </row>
    <row r="51120" spans="1:4" ht="15.75" customHeight="1">
      <c r="A51120" s="8"/>
      <c r="B51120" s="12"/>
      <c r="C51120" s="8"/>
      <c r="D51120" s="8"/>
    </row>
    <row r="51121" spans="1:4" ht="15.75" customHeight="1">
      <c r="A51121" s="8"/>
      <c r="B51121" s="12"/>
      <c r="C51121" s="8"/>
      <c r="D51121" s="8"/>
    </row>
    <row r="51122" spans="1:4" ht="15.75" customHeight="1">
      <c r="A51122" s="8"/>
      <c r="B51122" s="12"/>
      <c r="C51122" s="8"/>
      <c r="D51122" s="8"/>
    </row>
    <row r="51123" spans="1:4" ht="15.75" customHeight="1">
      <c r="A51123" s="8"/>
      <c r="B51123" s="12"/>
      <c r="C51123" s="8"/>
      <c r="D51123" s="8"/>
    </row>
    <row r="51124" spans="1:4" ht="15.75" customHeight="1">
      <c r="A51124" s="8"/>
      <c r="B51124" s="12"/>
      <c r="C51124" s="8"/>
      <c r="D51124" s="8"/>
    </row>
    <row r="51125" spans="1:4" ht="15.75" customHeight="1">
      <c r="A51125" s="8"/>
      <c r="B51125" s="12"/>
      <c r="C51125" s="8"/>
      <c r="D51125" s="8"/>
    </row>
    <row r="51126" spans="1:4" ht="15.75" customHeight="1">
      <c r="A51126" s="8"/>
      <c r="B51126" s="12"/>
      <c r="C51126" s="8"/>
      <c r="D51126" s="8"/>
    </row>
    <row r="51127" spans="1:4" ht="15.75" customHeight="1">
      <c r="A51127" s="8"/>
      <c r="B51127" s="12"/>
      <c r="C51127" s="8"/>
      <c r="D51127" s="8"/>
    </row>
    <row r="51128" spans="1:4" ht="15.75" customHeight="1">
      <c r="A51128" s="8"/>
      <c r="B51128" s="12"/>
      <c r="C51128" s="8"/>
      <c r="D51128" s="8"/>
    </row>
    <row r="51129" spans="1:4" ht="15.75" customHeight="1">
      <c r="A51129" s="8"/>
      <c r="B51129" s="12"/>
      <c r="C51129" s="8"/>
      <c r="D51129" s="8"/>
    </row>
    <row r="51130" spans="1:4" ht="15.75" customHeight="1">
      <c r="A51130" s="8"/>
      <c r="B51130" s="12"/>
      <c r="C51130" s="8"/>
      <c r="D51130" s="8"/>
    </row>
    <row r="51131" spans="1:4" ht="15.75" customHeight="1">
      <c r="A51131" s="8"/>
      <c r="B51131" s="12"/>
      <c r="C51131" s="8"/>
      <c r="D51131" s="8"/>
    </row>
    <row r="51132" spans="1:4" ht="15.75" customHeight="1">
      <c r="A51132" s="8"/>
      <c r="B51132" s="12"/>
      <c r="C51132" s="8"/>
      <c r="D51132" s="8"/>
    </row>
    <row r="51133" spans="1:4" ht="15.75" customHeight="1">
      <c r="A51133" s="8"/>
      <c r="B51133" s="12"/>
      <c r="C51133" s="8"/>
      <c r="D51133" s="8"/>
    </row>
    <row r="51134" spans="1:4" ht="15.75" customHeight="1">
      <c r="A51134" s="8"/>
      <c r="B51134" s="12"/>
      <c r="C51134" s="8"/>
      <c r="D51134" s="8"/>
    </row>
    <row r="51135" spans="1:4" ht="15.75" customHeight="1">
      <c r="A51135" s="8"/>
      <c r="B51135" s="12"/>
      <c r="C51135" s="8"/>
      <c r="D51135" s="8"/>
    </row>
    <row r="51136" spans="1:4" ht="15.75" customHeight="1">
      <c r="A51136" s="8"/>
      <c r="B51136" s="12"/>
      <c r="C51136" s="8"/>
      <c r="D51136" s="8"/>
    </row>
    <row r="51137" spans="1:4" ht="15.75" customHeight="1">
      <c r="A51137" s="8"/>
      <c r="B51137" s="12"/>
      <c r="C51137" s="8"/>
      <c r="D51137" s="8"/>
    </row>
    <row r="51138" spans="1:4" ht="15.75" customHeight="1">
      <c r="A51138" s="8"/>
      <c r="B51138" s="12"/>
      <c r="C51138" s="8"/>
      <c r="D51138" s="8"/>
    </row>
    <row r="51139" spans="1:4" ht="15.75" customHeight="1">
      <c r="A51139" s="8"/>
      <c r="B51139" s="12"/>
      <c r="C51139" s="8"/>
      <c r="D51139" s="8"/>
    </row>
    <row r="51140" spans="1:4" ht="15.75" customHeight="1">
      <c r="A51140" s="8"/>
      <c r="B51140" s="12"/>
      <c r="C51140" s="8"/>
      <c r="D51140" s="8"/>
    </row>
    <row r="51141" spans="1:4" ht="15.75" customHeight="1">
      <c r="A51141" s="8"/>
      <c r="B51141" s="12"/>
      <c r="C51141" s="8"/>
      <c r="D51141" s="8"/>
    </row>
    <row r="51142" spans="1:4" ht="15.75" customHeight="1">
      <c r="A51142" s="8"/>
      <c r="B51142" s="12"/>
      <c r="C51142" s="8"/>
      <c r="D51142" s="8"/>
    </row>
    <row r="51143" spans="1:4" ht="15.75" customHeight="1">
      <c r="A51143" s="8"/>
      <c r="B51143" s="12"/>
      <c r="C51143" s="8"/>
      <c r="D51143" s="8"/>
    </row>
    <row r="51144" spans="1:4" ht="15.75" customHeight="1">
      <c r="A51144" s="8"/>
      <c r="B51144" s="12"/>
      <c r="C51144" s="8"/>
      <c r="D51144" s="8"/>
    </row>
    <row r="51145" spans="1:4" ht="15.75" customHeight="1">
      <c r="A51145" s="8"/>
      <c r="B51145" s="12"/>
      <c r="C51145" s="8"/>
      <c r="D51145" s="8"/>
    </row>
    <row r="51146" spans="1:4" ht="15.75" customHeight="1">
      <c r="A51146" s="8"/>
      <c r="B51146" s="12"/>
      <c r="C51146" s="8"/>
      <c r="D51146" s="8"/>
    </row>
    <row r="51147" spans="1:4" ht="15.75" customHeight="1">
      <c r="A51147" s="8"/>
      <c r="B51147" s="12"/>
      <c r="C51147" s="8"/>
      <c r="D51147" s="8"/>
    </row>
    <row r="51148" spans="1:4" ht="15.75" customHeight="1">
      <c r="A51148" s="8"/>
      <c r="B51148" s="12"/>
      <c r="C51148" s="8"/>
      <c r="D51148" s="8"/>
    </row>
    <row r="51149" spans="1:4" ht="15.75" customHeight="1">
      <c r="A51149" s="8"/>
      <c r="B51149" s="12"/>
      <c r="C51149" s="8"/>
      <c r="D51149" s="8"/>
    </row>
    <row r="51150" spans="1:4" ht="15.75" customHeight="1">
      <c r="A51150" s="8"/>
      <c r="B51150" s="12"/>
      <c r="C51150" s="8"/>
      <c r="D51150" s="8"/>
    </row>
    <row r="51151" spans="1:4" ht="15.75" customHeight="1">
      <c r="A51151" s="8"/>
      <c r="B51151" s="12"/>
      <c r="C51151" s="8"/>
      <c r="D51151" s="8"/>
    </row>
    <row r="51152" spans="1:4" ht="15.75" customHeight="1">
      <c r="A51152" s="8"/>
      <c r="B51152" s="12"/>
      <c r="C51152" s="8"/>
      <c r="D51152" s="8"/>
    </row>
    <row r="51153" spans="1:4" ht="15.75" customHeight="1">
      <c r="A51153" s="8"/>
      <c r="B51153" s="12"/>
      <c r="C51153" s="8"/>
      <c r="D51153" s="8"/>
    </row>
    <row r="51154" spans="1:4" ht="15.75" customHeight="1">
      <c r="A51154" s="8"/>
      <c r="B51154" s="12"/>
      <c r="C51154" s="8"/>
      <c r="D51154" s="8"/>
    </row>
    <row r="51155" spans="1:4" ht="15.75" customHeight="1">
      <c r="A51155" s="8"/>
      <c r="B51155" s="12"/>
      <c r="C51155" s="8"/>
      <c r="D51155" s="8"/>
    </row>
    <row r="51156" spans="1:4" ht="15.75" customHeight="1">
      <c r="A51156" s="8"/>
      <c r="B51156" s="12"/>
      <c r="C51156" s="8"/>
      <c r="D51156" s="8"/>
    </row>
    <row r="51157" spans="1:4" ht="15.75" customHeight="1">
      <c r="A51157" s="8"/>
      <c r="B51157" s="12"/>
      <c r="C51157" s="8"/>
      <c r="D51157" s="8"/>
    </row>
    <row r="51158" spans="1:4" ht="15.75" customHeight="1">
      <c r="A51158" s="8"/>
      <c r="B51158" s="12"/>
      <c r="C51158" s="8"/>
      <c r="D51158" s="8"/>
    </row>
    <row r="51159" spans="1:4" ht="15.75" customHeight="1">
      <c r="A51159" s="8"/>
      <c r="B51159" s="12"/>
      <c r="C51159" s="8"/>
      <c r="D51159" s="8"/>
    </row>
    <row r="51160" spans="1:4" ht="15.75" customHeight="1">
      <c r="A51160" s="8"/>
      <c r="B51160" s="12"/>
      <c r="C51160" s="8"/>
      <c r="D51160" s="8"/>
    </row>
    <row r="51161" spans="1:4" ht="15.75" customHeight="1">
      <c r="A51161" s="8"/>
      <c r="B51161" s="12"/>
      <c r="C51161" s="8"/>
      <c r="D51161" s="8"/>
    </row>
    <row r="51162" spans="1:4" ht="15.75" customHeight="1">
      <c r="A51162" s="8"/>
      <c r="B51162" s="12"/>
      <c r="C51162" s="8"/>
      <c r="D51162" s="8"/>
    </row>
    <row r="51163" spans="1:4" ht="15.75" customHeight="1">
      <c r="A51163" s="8"/>
      <c r="B51163" s="12"/>
      <c r="C51163" s="8"/>
      <c r="D51163" s="8"/>
    </row>
    <row r="51164" spans="1:4" ht="15.75" customHeight="1">
      <c r="A51164" s="8"/>
      <c r="B51164" s="12"/>
      <c r="C51164" s="8"/>
      <c r="D51164" s="8"/>
    </row>
    <row r="51165" spans="1:4" ht="15.75" customHeight="1">
      <c r="A51165" s="8"/>
      <c r="B51165" s="12"/>
      <c r="C51165" s="8"/>
      <c r="D51165" s="8"/>
    </row>
    <row r="51166" spans="1:4" ht="15.75" customHeight="1">
      <c r="A51166" s="8"/>
      <c r="B51166" s="12"/>
      <c r="C51166" s="8"/>
      <c r="D51166" s="8"/>
    </row>
    <row r="51167" spans="1:4" ht="15.75" customHeight="1">
      <c r="A51167" s="8"/>
      <c r="B51167" s="12"/>
      <c r="C51167" s="8"/>
      <c r="D51167" s="8"/>
    </row>
    <row r="51168" spans="1:4" ht="15.75" customHeight="1">
      <c r="A51168" s="8"/>
      <c r="B51168" s="12"/>
      <c r="C51168" s="8"/>
      <c r="D51168" s="8"/>
    </row>
    <row r="51169" spans="1:4" ht="15.75" customHeight="1">
      <c r="A51169" s="8"/>
      <c r="B51169" s="12"/>
      <c r="C51169" s="8"/>
      <c r="D51169" s="8"/>
    </row>
    <row r="51170" spans="1:4" ht="15.75" customHeight="1">
      <c r="A51170" s="8"/>
      <c r="B51170" s="12"/>
      <c r="C51170" s="8"/>
      <c r="D51170" s="8"/>
    </row>
    <row r="51171" spans="1:4" ht="15.75" customHeight="1">
      <c r="A51171" s="8"/>
      <c r="B51171" s="12"/>
      <c r="C51171" s="8"/>
      <c r="D51171" s="8"/>
    </row>
    <row r="51172" spans="1:4" ht="15.75" customHeight="1">
      <c r="A51172" s="8"/>
      <c r="B51172" s="12"/>
      <c r="C51172" s="8"/>
      <c r="D51172" s="8"/>
    </row>
    <row r="51173" spans="1:4" ht="15.75" customHeight="1">
      <c r="A51173" s="8"/>
      <c r="B51173" s="12"/>
      <c r="C51173" s="8"/>
      <c r="D51173" s="8"/>
    </row>
    <row r="51174" spans="1:4" ht="15.75" customHeight="1">
      <c r="A51174" s="8"/>
      <c r="B51174" s="12"/>
      <c r="C51174" s="8"/>
      <c r="D51174" s="8"/>
    </row>
    <row r="51175" spans="1:4" ht="15.75" customHeight="1">
      <c r="A51175" s="8"/>
      <c r="B51175" s="12"/>
      <c r="C51175" s="8"/>
      <c r="D51175" s="8"/>
    </row>
    <row r="51176" spans="1:4" ht="15.75" customHeight="1">
      <c r="A51176" s="8"/>
      <c r="B51176" s="12"/>
      <c r="C51176" s="8"/>
      <c r="D51176" s="8"/>
    </row>
    <row r="51177" spans="1:4" ht="15.75" customHeight="1">
      <c r="A51177" s="8"/>
      <c r="B51177" s="12"/>
      <c r="C51177" s="8"/>
      <c r="D51177" s="8"/>
    </row>
    <row r="51178" spans="1:4" ht="15.75" customHeight="1">
      <c r="A51178" s="8"/>
      <c r="B51178" s="12"/>
      <c r="C51178" s="8"/>
      <c r="D51178" s="8"/>
    </row>
    <row r="51179" spans="1:4" ht="15.75" customHeight="1">
      <c r="A51179" s="8"/>
      <c r="B51179" s="12"/>
      <c r="C51179" s="8"/>
      <c r="D51179" s="8"/>
    </row>
    <row r="51180" spans="1:4" ht="15.75" customHeight="1">
      <c r="A51180" s="8"/>
      <c r="B51180" s="12"/>
      <c r="C51180" s="8"/>
      <c r="D51180" s="8"/>
    </row>
    <row r="51181" spans="1:4" ht="15.75" customHeight="1">
      <c r="A51181" s="8"/>
      <c r="B51181" s="12"/>
      <c r="C51181" s="8"/>
      <c r="D51181" s="8"/>
    </row>
    <row r="51182" spans="1:4" ht="15.75" customHeight="1">
      <c r="A51182" s="8"/>
      <c r="B51182" s="12"/>
      <c r="C51182" s="8"/>
      <c r="D51182" s="8"/>
    </row>
    <row r="51183" spans="1:4" ht="15.75" customHeight="1">
      <c r="A51183" s="8"/>
      <c r="B51183" s="12"/>
      <c r="C51183" s="8"/>
      <c r="D51183" s="8"/>
    </row>
    <row r="51184" spans="1:4" ht="15.75" customHeight="1">
      <c r="A51184" s="8"/>
      <c r="B51184" s="12"/>
      <c r="C51184" s="8"/>
      <c r="D51184" s="8"/>
    </row>
    <row r="51185" spans="1:4" ht="15.75" customHeight="1">
      <c r="A51185" s="8"/>
      <c r="B51185" s="12"/>
      <c r="C51185" s="8"/>
      <c r="D51185" s="8"/>
    </row>
    <row r="51186" spans="1:4" ht="15.75" customHeight="1">
      <c r="A51186" s="8"/>
      <c r="B51186" s="12"/>
      <c r="C51186" s="8"/>
      <c r="D51186" s="8"/>
    </row>
    <row r="51187" spans="1:4" ht="15.75" customHeight="1">
      <c r="A51187" s="8"/>
      <c r="B51187" s="12"/>
      <c r="C51187" s="8"/>
      <c r="D51187" s="8"/>
    </row>
    <row r="51188" spans="1:4" ht="15.75" customHeight="1">
      <c r="A51188" s="8"/>
      <c r="B51188" s="12"/>
      <c r="C51188" s="8"/>
      <c r="D51188" s="8"/>
    </row>
    <row r="51189" spans="1:4" ht="15.75" customHeight="1">
      <c r="A51189" s="8"/>
      <c r="B51189" s="12"/>
      <c r="C51189" s="8"/>
      <c r="D51189" s="8"/>
    </row>
    <row r="51190" spans="1:4" ht="15.75" customHeight="1">
      <c r="A51190" s="8"/>
      <c r="B51190" s="12"/>
      <c r="C51190" s="8"/>
      <c r="D51190" s="8"/>
    </row>
    <row r="51191" spans="1:4" ht="15.75" customHeight="1">
      <c r="A51191" s="8"/>
      <c r="B51191" s="12"/>
      <c r="C51191" s="8"/>
      <c r="D51191" s="8"/>
    </row>
    <row r="51192" spans="1:4" ht="15.75" customHeight="1">
      <c r="A51192" s="8"/>
      <c r="B51192" s="12"/>
      <c r="C51192" s="8"/>
      <c r="D51192" s="8"/>
    </row>
    <row r="51193" spans="1:4" ht="15.75" customHeight="1">
      <c r="A51193" s="8"/>
      <c r="B51193" s="12"/>
      <c r="C51193" s="8"/>
      <c r="D51193" s="8"/>
    </row>
    <row r="51194" spans="1:4" ht="15.75" customHeight="1">
      <c r="A51194" s="8"/>
      <c r="B51194" s="12"/>
      <c r="C51194" s="8"/>
      <c r="D51194" s="8"/>
    </row>
    <row r="51195" spans="1:4" ht="15.75" customHeight="1">
      <c r="A51195" s="8"/>
      <c r="B51195" s="12"/>
      <c r="C51195" s="8"/>
      <c r="D51195" s="8"/>
    </row>
    <row r="51196" spans="1:4" ht="15.75" customHeight="1">
      <c r="A51196" s="8"/>
      <c r="B51196" s="12"/>
      <c r="C51196" s="8"/>
      <c r="D51196" s="8"/>
    </row>
    <row r="51197" spans="1:4" ht="15.75" customHeight="1">
      <c r="A51197" s="8"/>
      <c r="B51197" s="12"/>
      <c r="C51197" s="8"/>
      <c r="D51197" s="8"/>
    </row>
    <row r="51198" spans="1:4" ht="15.75" customHeight="1">
      <c r="A51198" s="8"/>
      <c r="B51198" s="12"/>
      <c r="C51198" s="8"/>
      <c r="D51198" s="8"/>
    </row>
    <row r="51199" spans="1:4" ht="15.75" customHeight="1">
      <c r="A51199" s="8"/>
      <c r="B51199" s="12"/>
      <c r="C51199" s="8"/>
      <c r="D51199" s="8"/>
    </row>
    <row r="51200" spans="1:4" ht="15.75" customHeight="1">
      <c r="A51200" s="8"/>
      <c r="B51200" s="12"/>
      <c r="C51200" s="8"/>
      <c r="D51200" s="8"/>
    </row>
    <row r="51201" spans="1:4" ht="15.75" customHeight="1">
      <c r="A51201" s="8"/>
      <c r="B51201" s="12"/>
      <c r="C51201" s="8"/>
      <c r="D51201" s="8"/>
    </row>
    <row r="51202" spans="1:4" ht="15.75" customHeight="1">
      <c r="A51202" s="8"/>
      <c r="B51202" s="12"/>
      <c r="C51202" s="8"/>
      <c r="D51202" s="8"/>
    </row>
    <row r="51203" spans="1:4" ht="15.75" customHeight="1">
      <c r="A51203" s="8"/>
      <c r="B51203" s="12"/>
      <c r="C51203" s="8"/>
      <c r="D51203" s="8"/>
    </row>
    <row r="51204" spans="1:4" ht="15.75" customHeight="1">
      <c r="A51204" s="8"/>
      <c r="B51204" s="12"/>
      <c r="C51204" s="8"/>
      <c r="D51204" s="8"/>
    </row>
    <row r="51205" spans="1:4" ht="15.75" customHeight="1">
      <c r="A51205" s="8"/>
      <c r="B51205" s="12"/>
      <c r="C51205" s="8"/>
      <c r="D51205" s="8"/>
    </row>
    <row r="51206" spans="1:4" ht="15.75" customHeight="1">
      <c r="A51206" s="8"/>
      <c r="B51206" s="12"/>
      <c r="C51206" s="8"/>
      <c r="D51206" s="8"/>
    </row>
    <row r="51207" spans="1:4" ht="15.75" customHeight="1">
      <c r="A51207" s="8"/>
      <c r="B51207" s="12"/>
      <c r="C51207" s="8"/>
      <c r="D51207" s="8"/>
    </row>
    <row r="51208" spans="1:4" ht="15.75" customHeight="1">
      <c r="A51208" s="8"/>
      <c r="B51208" s="12"/>
      <c r="C51208" s="8"/>
      <c r="D51208" s="8"/>
    </row>
    <row r="51209" spans="1:4" ht="15.75" customHeight="1">
      <c r="A51209" s="8"/>
      <c r="B51209" s="12"/>
      <c r="C51209" s="8"/>
      <c r="D51209" s="8"/>
    </row>
    <row r="51210" spans="1:4" ht="15.75" customHeight="1">
      <c r="A51210" s="8"/>
      <c r="B51210" s="12"/>
      <c r="C51210" s="8"/>
      <c r="D51210" s="8"/>
    </row>
    <row r="51211" spans="1:4" ht="15.75" customHeight="1">
      <c r="A51211" s="8"/>
      <c r="B51211" s="12"/>
      <c r="C51211" s="8"/>
      <c r="D51211" s="8"/>
    </row>
    <row r="51212" spans="1:4" ht="15.75" customHeight="1">
      <c r="A51212" s="8"/>
      <c r="B51212" s="12"/>
      <c r="C51212" s="8"/>
      <c r="D51212" s="8"/>
    </row>
    <row r="51213" spans="1:4" ht="15.75" customHeight="1">
      <c r="A51213" s="8"/>
      <c r="B51213" s="12"/>
      <c r="C51213" s="8"/>
      <c r="D51213" s="8"/>
    </row>
    <row r="51214" spans="1:4" ht="15.75" customHeight="1">
      <c r="A51214" s="8"/>
      <c r="B51214" s="12"/>
      <c r="C51214" s="8"/>
      <c r="D51214" s="8"/>
    </row>
    <row r="51215" spans="1:4" ht="15.75" customHeight="1">
      <c r="A51215" s="8"/>
      <c r="B51215" s="12"/>
      <c r="C51215" s="8"/>
      <c r="D51215" s="8"/>
    </row>
    <row r="51216" spans="1:4" ht="15.75" customHeight="1">
      <c r="A51216" s="8"/>
      <c r="B51216" s="12"/>
      <c r="C51216" s="8"/>
      <c r="D51216" s="8"/>
    </row>
    <row r="51217" spans="1:4" ht="15.75" customHeight="1">
      <c r="A51217" s="8"/>
      <c r="B51217" s="12"/>
      <c r="C51217" s="8"/>
      <c r="D51217" s="8"/>
    </row>
    <row r="51218" spans="1:4" ht="15.75" customHeight="1">
      <c r="A51218" s="8"/>
      <c r="B51218" s="12"/>
      <c r="C51218" s="8"/>
      <c r="D51218" s="8"/>
    </row>
    <row r="51219" spans="1:4" ht="15.75" customHeight="1">
      <c r="A51219" s="8"/>
      <c r="B51219" s="12"/>
      <c r="C51219" s="8"/>
      <c r="D51219" s="8"/>
    </row>
    <row r="51220" spans="1:4" ht="15.75" customHeight="1">
      <c r="A51220" s="8"/>
      <c r="B51220" s="12"/>
      <c r="C51220" s="8"/>
      <c r="D51220" s="8"/>
    </row>
    <row r="51221" spans="1:4" ht="15.75" customHeight="1">
      <c r="A51221" s="8"/>
      <c r="B51221" s="12"/>
      <c r="C51221" s="8"/>
      <c r="D51221" s="8"/>
    </row>
    <row r="51222" spans="1:4" ht="15.75" customHeight="1">
      <c r="A51222" s="8"/>
      <c r="B51222" s="12"/>
      <c r="C51222" s="8"/>
      <c r="D51222" s="8"/>
    </row>
    <row r="51223" spans="1:4" ht="15.75" customHeight="1">
      <c r="A51223" s="8"/>
      <c r="B51223" s="12"/>
      <c r="C51223" s="8"/>
      <c r="D51223" s="8"/>
    </row>
    <row r="51224" spans="1:4" ht="15.75" customHeight="1">
      <c r="A51224" s="8"/>
      <c r="B51224" s="12"/>
      <c r="C51224" s="8"/>
      <c r="D51224" s="8"/>
    </row>
    <row r="51225" spans="1:4" ht="15.75" customHeight="1">
      <c r="A51225" s="8"/>
      <c r="B51225" s="12"/>
      <c r="C51225" s="8"/>
      <c r="D51225" s="8"/>
    </row>
    <row r="51226" spans="1:4" ht="15.75" customHeight="1">
      <c r="A51226" s="8"/>
      <c r="B51226" s="12"/>
      <c r="C51226" s="8"/>
      <c r="D51226" s="8"/>
    </row>
    <row r="51227" spans="1:4" ht="15.75" customHeight="1">
      <c r="A51227" s="8"/>
      <c r="B51227" s="12"/>
      <c r="C51227" s="8"/>
      <c r="D51227" s="8"/>
    </row>
    <row r="51228" spans="1:4" ht="15.75" customHeight="1">
      <c r="A51228" s="8"/>
      <c r="B51228" s="12"/>
      <c r="C51228" s="8"/>
      <c r="D51228" s="8"/>
    </row>
    <row r="51229" spans="1:4" ht="15.75" customHeight="1">
      <c r="A51229" s="8"/>
      <c r="B51229" s="12"/>
      <c r="C51229" s="8"/>
      <c r="D51229" s="8"/>
    </row>
    <row r="51230" spans="1:4" ht="15.75" customHeight="1">
      <c r="A51230" s="8"/>
      <c r="B51230" s="12"/>
      <c r="C51230" s="8"/>
      <c r="D51230" s="8"/>
    </row>
    <row r="51231" spans="1:4" ht="15.75" customHeight="1">
      <c r="A51231" s="8"/>
      <c r="B51231" s="12"/>
      <c r="C51231" s="8"/>
      <c r="D51231" s="8"/>
    </row>
    <row r="51232" spans="1:4" ht="15.75" customHeight="1">
      <c r="A51232" s="8"/>
      <c r="B51232" s="12"/>
      <c r="C51232" s="8"/>
      <c r="D51232" s="8"/>
    </row>
    <row r="51233" spans="1:4" ht="15.75" customHeight="1">
      <c r="A51233" s="8"/>
      <c r="B51233" s="12"/>
      <c r="C51233" s="8"/>
      <c r="D51233" s="8"/>
    </row>
    <row r="51234" spans="1:4" ht="15.75" customHeight="1">
      <c r="A51234" s="8"/>
      <c r="B51234" s="12"/>
      <c r="C51234" s="8"/>
      <c r="D51234" s="8"/>
    </row>
    <row r="51235" spans="1:4" ht="15.75" customHeight="1">
      <c r="A51235" s="8"/>
      <c r="B51235" s="12"/>
      <c r="C51235" s="8"/>
      <c r="D51235" s="8"/>
    </row>
    <row r="51236" spans="1:4" ht="15.75" customHeight="1">
      <c r="A51236" s="8"/>
      <c r="B51236" s="12"/>
      <c r="C51236" s="8"/>
      <c r="D51236" s="8"/>
    </row>
    <row r="51237" spans="1:4" ht="15.75" customHeight="1">
      <c r="A51237" s="8"/>
      <c r="B51237" s="12"/>
      <c r="C51237" s="8"/>
      <c r="D51237" s="8"/>
    </row>
    <row r="51238" spans="1:4" ht="15.75" customHeight="1">
      <c r="A51238" s="8"/>
      <c r="B51238" s="12"/>
      <c r="C51238" s="8"/>
      <c r="D51238" s="8"/>
    </row>
    <row r="51239" spans="1:4" ht="15.75" customHeight="1">
      <c r="A51239" s="8"/>
      <c r="B51239" s="12"/>
      <c r="C51239" s="8"/>
      <c r="D51239" s="8"/>
    </row>
    <row r="51240" spans="1:4" ht="15.75" customHeight="1">
      <c r="A51240" s="8"/>
      <c r="B51240" s="12"/>
      <c r="C51240" s="8"/>
      <c r="D51240" s="8"/>
    </row>
    <row r="51241" spans="1:4" ht="15.75" customHeight="1">
      <c r="A51241" s="8"/>
      <c r="B51241" s="12"/>
      <c r="C51241" s="8"/>
      <c r="D51241" s="8"/>
    </row>
    <row r="51242" spans="1:4" ht="15.75" customHeight="1">
      <c r="A51242" s="8"/>
      <c r="B51242" s="12"/>
      <c r="C51242" s="8"/>
      <c r="D51242" s="8"/>
    </row>
    <row r="51243" spans="1:4" ht="15.75" customHeight="1">
      <c r="A51243" s="8"/>
      <c r="B51243" s="12"/>
      <c r="C51243" s="8"/>
      <c r="D51243" s="8"/>
    </row>
    <row r="51244" spans="1:4" ht="15.75" customHeight="1">
      <c r="A51244" s="8"/>
      <c r="B51244" s="12"/>
      <c r="C51244" s="8"/>
      <c r="D51244" s="8"/>
    </row>
    <row r="51245" spans="1:4" ht="15.75" customHeight="1">
      <c r="A51245" s="8"/>
      <c r="B51245" s="12"/>
      <c r="C51245" s="8"/>
      <c r="D51245" s="8"/>
    </row>
    <row r="51246" spans="1:4" ht="15.75" customHeight="1">
      <c r="A51246" s="8"/>
      <c r="B51246" s="12"/>
      <c r="C51246" s="8"/>
      <c r="D51246" s="8"/>
    </row>
    <row r="51247" spans="1:4" ht="15.75" customHeight="1">
      <c r="A51247" s="8"/>
      <c r="B51247" s="12"/>
      <c r="C51247" s="8"/>
      <c r="D51247" s="8"/>
    </row>
    <row r="51248" spans="1:4" ht="15.75" customHeight="1">
      <c r="A51248" s="8"/>
      <c r="B51248" s="12"/>
      <c r="C51248" s="8"/>
      <c r="D51248" s="8"/>
    </row>
    <row r="51249" spans="1:4" ht="15.75" customHeight="1">
      <c r="A51249" s="8"/>
      <c r="B51249" s="12"/>
      <c r="C51249" s="8"/>
      <c r="D51249" s="8"/>
    </row>
    <row r="51250" spans="1:4" ht="15.75" customHeight="1">
      <c r="A51250" s="8"/>
      <c r="B51250" s="12"/>
      <c r="C51250" s="8"/>
      <c r="D51250" s="8"/>
    </row>
    <row r="51251" spans="1:4" ht="15.75" customHeight="1">
      <c r="A51251" s="8"/>
      <c r="B51251" s="12"/>
      <c r="C51251" s="8"/>
      <c r="D51251" s="8"/>
    </row>
    <row r="51252" spans="1:4" ht="15.75" customHeight="1">
      <c r="A51252" s="8"/>
      <c r="B51252" s="12"/>
      <c r="C51252" s="8"/>
      <c r="D51252" s="8"/>
    </row>
    <row r="51253" spans="1:4" ht="15.75" customHeight="1">
      <c r="A51253" s="8"/>
      <c r="B51253" s="12"/>
      <c r="C51253" s="8"/>
      <c r="D51253" s="8"/>
    </row>
    <row r="51254" spans="1:4" ht="15.75" customHeight="1">
      <c r="A51254" s="8"/>
      <c r="B51254" s="12"/>
      <c r="C51254" s="8"/>
      <c r="D51254" s="8"/>
    </row>
    <row r="51255" spans="1:4" ht="15.75" customHeight="1">
      <c r="A51255" s="8"/>
      <c r="B51255" s="12"/>
      <c r="C51255" s="8"/>
      <c r="D51255" s="8"/>
    </row>
    <row r="51256" spans="1:4" ht="15.75" customHeight="1">
      <c r="A51256" s="8"/>
      <c r="B51256" s="12"/>
      <c r="C51256" s="8"/>
      <c r="D51256" s="8"/>
    </row>
    <row r="51257" spans="1:4" ht="15.75" customHeight="1">
      <c r="A51257" s="8"/>
      <c r="B51257" s="12"/>
      <c r="C51257" s="8"/>
      <c r="D51257" s="8"/>
    </row>
    <row r="51258" spans="1:4" ht="15.75" customHeight="1">
      <c r="A51258" s="8"/>
      <c r="B51258" s="12"/>
      <c r="C51258" s="8"/>
      <c r="D51258" s="8"/>
    </row>
    <row r="51259" spans="1:4" ht="15.75" customHeight="1">
      <c r="A51259" s="8"/>
      <c r="B51259" s="12"/>
      <c r="C51259" s="8"/>
      <c r="D51259" s="8"/>
    </row>
    <row r="51260" spans="1:4" ht="15.75" customHeight="1">
      <c r="A51260" s="8"/>
      <c r="B51260" s="12"/>
      <c r="C51260" s="8"/>
      <c r="D51260" s="8"/>
    </row>
    <row r="51261" spans="1:4" ht="15.75" customHeight="1">
      <c r="A51261" s="8"/>
      <c r="B51261" s="12"/>
      <c r="C51261" s="8"/>
      <c r="D51261" s="8"/>
    </row>
    <row r="51262" spans="1:4" ht="15.75" customHeight="1">
      <c r="A51262" s="8"/>
      <c r="B51262" s="12"/>
      <c r="C51262" s="8"/>
      <c r="D51262" s="8"/>
    </row>
    <row r="51263" spans="1:4" ht="15.75" customHeight="1">
      <c r="A51263" s="8"/>
      <c r="B51263" s="12"/>
      <c r="C51263" s="8"/>
      <c r="D51263" s="8"/>
    </row>
    <row r="51264" spans="1:4" ht="15.75" customHeight="1">
      <c r="A51264" s="8"/>
      <c r="B51264" s="12"/>
      <c r="C51264" s="8"/>
      <c r="D51264" s="8"/>
    </row>
    <row r="51265" spans="1:4" ht="15.75" customHeight="1">
      <c r="A51265" s="8"/>
      <c r="B51265" s="12"/>
      <c r="C51265" s="8"/>
      <c r="D51265" s="8"/>
    </row>
    <row r="51266" spans="1:4" ht="15.75" customHeight="1">
      <c r="A51266" s="8"/>
      <c r="B51266" s="12"/>
      <c r="C51266" s="8"/>
      <c r="D51266" s="8"/>
    </row>
    <row r="51267" spans="1:4" ht="15.75" customHeight="1">
      <c r="A51267" s="8"/>
      <c r="B51267" s="12"/>
      <c r="C51267" s="8"/>
      <c r="D51267" s="8"/>
    </row>
    <row r="51268" spans="1:4" ht="15.75" customHeight="1">
      <c r="A51268" s="8"/>
      <c r="B51268" s="12"/>
      <c r="C51268" s="8"/>
      <c r="D51268" s="8"/>
    </row>
    <row r="51269" spans="1:4" ht="15.75" customHeight="1">
      <c r="A51269" s="8"/>
      <c r="B51269" s="12"/>
      <c r="C51269" s="8"/>
      <c r="D51269" s="8"/>
    </row>
    <row r="51270" spans="1:4" ht="15.75" customHeight="1">
      <c r="A51270" s="8"/>
      <c r="B51270" s="12"/>
      <c r="C51270" s="8"/>
      <c r="D51270" s="8"/>
    </row>
    <row r="51271" spans="1:4" ht="15.75" customHeight="1">
      <c r="A51271" s="8"/>
      <c r="B51271" s="12"/>
      <c r="C51271" s="8"/>
      <c r="D51271" s="8"/>
    </row>
    <row r="51272" spans="1:4" ht="15.75" customHeight="1">
      <c r="A51272" s="8"/>
      <c r="B51272" s="12"/>
      <c r="C51272" s="8"/>
      <c r="D51272" s="8"/>
    </row>
    <row r="51273" spans="1:4" ht="15.75" customHeight="1">
      <c r="A51273" s="8"/>
      <c r="B51273" s="12"/>
      <c r="C51273" s="8"/>
      <c r="D51273" s="8"/>
    </row>
    <row r="51274" spans="1:4" ht="15.75" customHeight="1">
      <c r="A51274" s="8"/>
      <c r="B51274" s="12"/>
      <c r="C51274" s="8"/>
      <c r="D51274" s="8"/>
    </row>
    <row r="51275" spans="1:4" ht="15.75" customHeight="1">
      <c r="A51275" s="8"/>
      <c r="B51275" s="12"/>
      <c r="C51275" s="8"/>
      <c r="D51275" s="8"/>
    </row>
    <row r="51276" spans="1:4" ht="15.75" customHeight="1">
      <c r="A51276" s="8"/>
      <c r="B51276" s="12"/>
      <c r="C51276" s="8"/>
      <c r="D51276" s="8"/>
    </row>
    <row r="51277" spans="1:4" ht="15.75" customHeight="1">
      <c r="A51277" s="8"/>
      <c r="B51277" s="12"/>
      <c r="C51277" s="8"/>
      <c r="D51277" s="8"/>
    </row>
    <row r="51278" spans="1:4" ht="15.75" customHeight="1">
      <c r="A51278" s="8"/>
      <c r="B51278" s="12"/>
      <c r="C51278" s="8"/>
      <c r="D51278" s="8"/>
    </row>
    <row r="51279" spans="1:4" ht="15.75" customHeight="1">
      <c r="A51279" s="8"/>
      <c r="B51279" s="12"/>
      <c r="C51279" s="8"/>
      <c r="D51279" s="8"/>
    </row>
    <row r="51280" spans="1:4" ht="15.75" customHeight="1">
      <c r="A51280" s="8"/>
      <c r="B51280" s="12"/>
      <c r="C51280" s="8"/>
      <c r="D51280" s="8"/>
    </row>
    <row r="51281" spans="1:4" ht="15.75" customHeight="1">
      <c r="A51281" s="8"/>
      <c r="B51281" s="12"/>
      <c r="C51281" s="8"/>
      <c r="D51281" s="8"/>
    </row>
    <row r="51282" spans="1:4" ht="15.75" customHeight="1">
      <c r="A51282" s="8"/>
      <c r="B51282" s="12"/>
      <c r="C51282" s="8"/>
      <c r="D51282" s="8"/>
    </row>
    <row r="51283" spans="1:4" ht="15.75" customHeight="1">
      <c r="A51283" s="8"/>
      <c r="B51283" s="12"/>
      <c r="C51283" s="8"/>
      <c r="D51283" s="8"/>
    </row>
    <row r="51284" spans="1:4" ht="15.75" customHeight="1">
      <c r="A51284" s="8"/>
      <c r="B51284" s="12"/>
      <c r="C51284" s="8"/>
      <c r="D51284" s="8"/>
    </row>
    <row r="51285" spans="1:4" ht="15.75" customHeight="1">
      <c r="A51285" s="8"/>
      <c r="B51285" s="12"/>
      <c r="C51285" s="8"/>
      <c r="D51285" s="8"/>
    </row>
    <row r="51286" spans="1:4" ht="15.75" customHeight="1">
      <c r="A51286" s="8"/>
      <c r="B51286" s="12"/>
      <c r="C51286" s="8"/>
      <c r="D51286" s="8"/>
    </row>
    <row r="51287" spans="1:4" ht="15.75" customHeight="1">
      <c r="A51287" s="8"/>
      <c r="B51287" s="12"/>
      <c r="C51287" s="8"/>
      <c r="D51287" s="8"/>
    </row>
    <row r="51288" spans="1:4" ht="15.75" customHeight="1">
      <c r="A51288" s="8"/>
      <c r="B51288" s="12"/>
      <c r="C51288" s="8"/>
      <c r="D51288" s="8"/>
    </row>
    <row r="51289" spans="1:4" ht="15.75" customHeight="1">
      <c r="A51289" s="8"/>
      <c r="B51289" s="12"/>
      <c r="C51289" s="8"/>
      <c r="D51289" s="8"/>
    </row>
    <row r="51290" spans="1:4" ht="15.75" customHeight="1">
      <c r="A51290" s="8"/>
      <c r="B51290" s="12"/>
      <c r="C51290" s="8"/>
      <c r="D51290" s="8"/>
    </row>
    <row r="51291" spans="1:4" ht="15.75" customHeight="1">
      <c r="A51291" s="8"/>
      <c r="B51291" s="12"/>
      <c r="C51291" s="8"/>
      <c r="D51291" s="8"/>
    </row>
    <row r="51292" spans="1:4" ht="15.75" customHeight="1">
      <c r="A51292" s="8"/>
      <c r="B51292" s="12"/>
      <c r="C51292" s="8"/>
      <c r="D51292" s="8"/>
    </row>
    <row r="51293" spans="1:4" ht="15.75" customHeight="1">
      <c r="A51293" s="8"/>
      <c r="B51293" s="12"/>
      <c r="C51293" s="8"/>
      <c r="D51293" s="8"/>
    </row>
    <row r="51294" spans="1:4" ht="15.75" customHeight="1">
      <c r="A51294" s="8"/>
      <c r="B51294" s="12"/>
      <c r="C51294" s="8"/>
      <c r="D51294" s="8"/>
    </row>
    <row r="51295" spans="1:4" ht="15.75" customHeight="1">
      <c r="A51295" s="8"/>
      <c r="B51295" s="12"/>
      <c r="C51295" s="8"/>
      <c r="D51295" s="8"/>
    </row>
    <row r="51296" spans="1:4" ht="15.75" customHeight="1">
      <c r="A51296" s="8"/>
      <c r="B51296" s="12"/>
      <c r="C51296" s="8"/>
      <c r="D51296" s="8"/>
    </row>
    <row r="51297" spans="1:4" ht="15.75" customHeight="1">
      <c r="A51297" s="8"/>
      <c r="B51297" s="12"/>
      <c r="C51297" s="8"/>
      <c r="D51297" s="8"/>
    </row>
    <row r="51298" spans="1:4" ht="15.75" customHeight="1">
      <c r="A51298" s="8"/>
      <c r="B51298" s="12"/>
      <c r="C51298" s="8"/>
      <c r="D51298" s="8"/>
    </row>
    <row r="51299" spans="1:4" ht="15.75" customHeight="1">
      <c r="A51299" s="8"/>
      <c r="B51299" s="12"/>
      <c r="C51299" s="8"/>
      <c r="D51299" s="8"/>
    </row>
    <row r="51300" spans="1:4" ht="15.75" customHeight="1">
      <c r="A51300" s="8"/>
      <c r="B51300" s="12"/>
      <c r="C51300" s="8"/>
      <c r="D51300" s="8"/>
    </row>
    <row r="51301" spans="1:4" ht="15.75" customHeight="1">
      <c r="A51301" s="8"/>
      <c r="B51301" s="12"/>
      <c r="C51301" s="8"/>
      <c r="D51301" s="8"/>
    </row>
    <row r="51302" spans="1:4" ht="15.75" customHeight="1">
      <c r="A51302" s="8"/>
      <c r="B51302" s="12"/>
      <c r="C51302" s="8"/>
      <c r="D51302" s="8"/>
    </row>
    <row r="51303" spans="1:4" ht="15.75" customHeight="1">
      <c r="A51303" s="8"/>
      <c r="B51303" s="12"/>
      <c r="C51303" s="8"/>
      <c r="D51303" s="8"/>
    </row>
    <row r="51304" spans="1:4" ht="15.75" customHeight="1">
      <c r="A51304" s="8"/>
      <c r="B51304" s="12"/>
      <c r="C51304" s="8"/>
      <c r="D51304" s="8"/>
    </row>
    <row r="51305" spans="1:4" ht="15.75" customHeight="1">
      <c r="A51305" s="8"/>
      <c r="B51305" s="12"/>
      <c r="C51305" s="8"/>
      <c r="D51305" s="8"/>
    </row>
    <row r="51306" spans="1:4" ht="15.75" customHeight="1">
      <c r="A51306" s="8"/>
      <c r="B51306" s="12"/>
      <c r="C51306" s="8"/>
      <c r="D51306" s="8"/>
    </row>
    <row r="51307" spans="1:4" ht="15.75" customHeight="1">
      <c r="A51307" s="8"/>
      <c r="B51307" s="12"/>
      <c r="C51307" s="8"/>
      <c r="D51307" s="8"/>
    </row>
    <row r="51308" spans="1:4" ht="15.75" customHeight="1">
      <c r="A51308" s="8"/>
      <c r="B51308" s="12"/>
      <c r="C51308" s="8"/>
      <c r="D51308" s="8"/>
    </row>
    <row r="51309" spans="1:4" ht="15.75" customHeight="1">
      <c r="A51309" s="8"/>
      <c r="B51309" s="12"/>
      <c r="C51309" s="8"/>
      <c r="D51309" s="8"/>
    </row>
    <row r="51310" spans="1:4" ht="15.75" customHeight="1">
      <c r="A51310" s="8"/>
      <c r="B51310" s="12"/>
      <c r="C51310" s="8"/>
      <c r="D51310" s="8"/>
    </row>
    <row r="51311" spans="1:4" ht="15.75" customHeight="1">
      <c r="A51311" s="8"/>
      <c r="B51311" s="12"/>
      <c r="C51311" s="8"/>
      <c r="D51311" s="8"/>
    </row>
    <row r="51312" spans="1:4" ht="15.75" customHeight="1">
      <c r="A51312" s="8"/>
      <c r="B51312" s="12"/>
      <c r="C51312" s="8"/>
      <c r="D51312" s="8"/>
    </row>
    <row r="51313" spans="1:4" ht="15.75" customHeight="1">
      <c r="A51313" s="8"/>
      <c r="B51313" s="12"/>
      <c r="C51313" s="8"/>
      <c r="D51313" s="8"/>
    </row>
    <row r="51314" spans="1:4" ht="15.75" customHeight="1">
      <c r="A51314" s="8"/>
      <c r="B51314" s="12"/>
      <c r="C51314" s="8"/>
      <c r="D51314" s="8"/>
    </row>
    <row r="51315" spans="1:4" ht="15.75" customHeight="1">
      <c r="A51315" s="8"/>
      <c r="B51315" s="12"/>
      <c r="C51315" s="8"/>
      <c r="D51315" s="8"/>
    </row>
    <row r="51316" spans="1:4" ht="15.75" customHeight="1">
      <c r="A51316" s="8"/>
      <c r="B51316" s="12"/>
      <c r="C51316" s="8"/>
      <c r="D51316" s="8"/>
    </row>
    <row r="51317" spans="1:4" ht="15.75" customHeight="1">
      <c r="A51317" s="8"/>
      <c r="B51317" s="12"/>
      <c r="C51317" s="8"/>
      <c r="D51317" s="8"/>
    </row>
    <row r="51318" spans="1:4" ht="15.75" customHeight="1">
      <c r="A51318" s="8"/>
      <c r="B51318" s="12"/>
      <c r="C51318" s="8"/>
      <c r="D51318" s="8"/>
    </row>
    <row r="51319" spans="1:4" ht="15.75" customHeight="1">
      <c r="A51319" s="8"/>
      <c r="B51319" s="12"/>
      <c r="C51319" s="8"/>
      <c r="D51319" s="8"/>
    </row>
    <row r="51320" spans="1:4" ht="15.75" customHeight="1">
      <c r="A51320" s="8"/>
      <c r="B51320" s="12"/>
      <c r="C51320" s="8"/>
      <c r="D51320" s="8"/>
    </row>
    <row r="51321" spans="1:4" ht="15.75" customHeight="1">
      <c r="A51321" s="8"/>
      <c r="B51321" s="12"/>
      <c r="C51321" s="8"/>
      <c r="D51321" s="8"/>
    </row>
    <row r="51322" spans="1:4" ht="15.75" customHeight="1">
      <c r="A51322" s="8"/>
      <c r="B51322" s="12"/>
      <c r="C51322" s="8"/>
      <c r="D51322" s="8"/>
    </row>
    <row r="51323" spans="1:4" ht="15.75" customHeight="1">
      <c r="A51323" s="8"/>
      <c r="B51323" s="12"/>
      <c r="C51323" s="8"/>
      <c r="D51323" s="8"/>
    </row>
    <row r="51324" spans="1:4" ht="15.75" customHeight="1">
      <c r="A51324" s="8"/>
      <c r="B51324" s="12"/>
      <c r="C51324" s="8"/>
      <c r="D51324" s="8"/>
    </row>
    <row r="51325" spans="1:4" ht="15.75" customHeight="1">
      <c r="A51325" s="8"/>
      <c r="B51325" s="12"/>
      <c r="C51325" s="8"/>
      <c r="D51325" s="8"/>
    </row>
    <row r="51326" spans="1:4" ht="15.75" customHeight="1">
      <c r="A51326" s="8"/>
      <c r="B51326" s="12"/>
      <c r="C51326" s="8"/>
      <c r="D51326" s="8"/>
    </row>
    <row r="51327" spans="1:4" ht="15.75" customHeight="1">
      <c r="A51327" s="8"/>
      <c r="B51327" s="12"/>
      <c r="C51327" s="8"/>
      <c r="D51327" s="8"/>
    </row>
    <row r="51328" spans="1:4" ht="15.75" customHeight="1">
      <c r="A51328" s="8"/>
      <c r="B51328" s="12"/>
      <c r="C51328" s="8"/>
      <c r="D51328" s="8"/>
    </row>
    <row r="51329" spans="1:4" ht="15.75" customHeight="1">
      <c r="A51329" s="8"/>
      <c r="B51329" s="12"/>
      <c r="C51329" s="8"/>
      <c r="D51329" s="8"/>
    </row>
    <row r="51330" spans="1:4" ht="15.75" customHeight="1">
      <c r="A51330" s="8"/>
      <c r="B51330" s="12"/>
      <c r="C51330" s="8"/>
      <c r="D51330" s="8"/>
    </row>
    <row r="51331" spans="1:4" ht="15.75" customHeight="1">
      <c r="A51331" s="8"/>
      <c r="B51331" s="12"/>
      <c r="C51331" s="8"/>
      <c r="D51331" s="8"/>
    </row>
    <row r="51332" spans="1:4" ht="15.75" customHeight="1">
      <c r="A51332" s="8"/>
      <c r="B51332" s="12"/>
      <c r="C51332" s="8"/>
      <c r="D51332" s="8"/>
    </row>
    <row r="51333" spans="1:4" ht="15.75" customHeight="1">
      <c r="A51333" s="8"/>
      <c r="B51333" s="12"/>
      <c r="C51333" s="8"/>
      <c r="D51333" s="8"/>
    </row>
    <row r="51334" spans="1:4" ht="15.75" customHeight="1">
      <c r="A51334" s="8"/>
      <c r="B51334" s="12"/>
      <c r="C51334" s="8"/>
      <c r="D51334" s="8"/>
    </row>
    <row r="51335" spans="1:4" ht="15.75" customHeight="1">
      <c r="A51335" s="8"/>
      <c r="B51335" s="12"/>
      <c r="C51335" s="8"/>
      <c r="D51335" s="8"/>
    </row>
    <row r="51336" spans="1:4" ht="15.75" customHeight="1">
      <c r="A51336" s="8"/>
      <c r="B51336" s="12"/>
      <c r="C51336" s="8"/>
      <c r="D51336" s="8"/>
    </row>
    <row r="51337" spans="1:4" ht="15.75" customHeight="1">
      <c r="A51337" s="8"/>
      <c r="B51337" s="12"/>
      <c r="C51337" s="8"/>
      <c r="D51337" s="8"/>
    </row>
    <row r="51338" spans="1:4" ht="15.75" customHeight="1">
      <c r="A51338" s="8"/>
      <c r="B51338" s="12"/>
      <c r="C51338" s="8"/>
      <c r="D51338" s="8"/>
    </row>
    <row r="51339" spans="1:4" ht="15.75" customHeight="1">
      <c r="A51339" s="8"/>
      <c r="B51339" s="12"/>
      <c r="C51339" s="8"/>
      <c r="D51339" s="8"/>
    </row>
    <row r="51340" spans="1:4" ht="15.75" customHeight="1">
      <c r="A51340" s="8"/>
      <c r="B51340" s="12"/>
      <c r="C51340" s="8"/>
      <c r="D51340" s="8"/>
    </row>
    <row r="51341" spans="1:4" ht="15.75" customHeight="1">
      <c r="A51341" s="8"/>
      <c r="B51341" s="12"/>
      <c r="C51341" s="8"/>
      <c r="D51341" s="8"/>
    </row>
    <row r="51342" spans="1:4" ht="15.75" customHeight="1">
      <c r="A51342" s="8"/>
      <c r="B51342" s="12"/>
      <c r="C51342" s="8"/>
      <c r="D51342" s="8"/>
    </row>
    <row r="51343" spans="1:4" ht="15.75" customHeight="1">
      <c r="A51343" s="8"/>
      <c r="B51343" s="12"/>
      <c r="C51343" s="8"/>
      <c r="D51343" s="8"/>
    </row>
    <row r="51344" spans="1:4" ht="15.75" customHeight="1">
      <c r="A51344" s="8"/>
      <c r="B51344" s="12"/>
      <c r="C51344" s="8"/>
      <c r="D51344" s="8"/>
    </row>
    <row r="51345" spans="1:4" ht="15.75" customHeight="1">
      <c r="A51345" s="8"/>
      <c r="B51345" s="12"/>
      <c r="C51345" s="8"/>
      <c r="D51345" s="8"/>
    </row>
    <row r="51346" spans="1:4" ht="15.75" customHeight="1">
      <c r="A51346" s="8"/>
      <c r="B51346" s="12"/>
      <c r="C51346" s="8"/>
      <c r="D51346" s="8"/>
    </row>
    <row r="51347" spans="1:4" ht="15.75" customHeight="1">
      <c r="A51347" s="8"/>
      <c r="B51347" s="12"/>
      <c r="C51347" s="8"/>
      <c r="D51347" s="8"/>
    </row>
    <row r="51348" spans="1:4" ht="15.75" customHeight="1">
      <c r="A51348" s="8"/>
      <c r="B51348" s="12"/>
      <c r="C51348" s="8"/>
      <c r="D51348" s="8"/>
    </row>
    <row r="51349" spans="1:4" ht="15.75" customHeight="1">
      <c r="A51349" s="8"/>
      <c r="B51349" s="12"/>
      <c r="C51349" s="8"/>
      <c r="D51349" s="8"/>
    </row>
    <row r="51350" spans="1:4" ht="15.75" customHeight="1">
      <c r="A51350" s="8"/>
      <c r="B51350" s="12"/>
      <c r="C51350" s="8"/>
      <c r="D51350" s="8"/>
    </row>
    <row r="51351" spans="1:4" ht="15.75" customHeight="1">
      <c r="A51351" s="8"/>
      <c r="B51351" s="12"/>
      <c r="C51351" s="8"/>
      <c r="D51351" s="8"/>
    </row>
    <row r="51352" spans="1:4" ht="15.75" customHeight="1">
      <c r="A51352" s="8"/>
      <c r="B51352" s="12"/>
      <c r="C51352" s="8"/>
      <c r="D51352" s="8"/>
    </row>
    <row r="51353" spans="1:4" ht="15.75" customHeight="1">
      <c r="A51353" s="8"/>
      <c r="B51353" s="12"/>
      <c r="C51353" s="8"/>
      <c r="D51353" s="8"/>
    </row>
    <row r="51354" spans="1:4" ht="15.75" customHeight="1">
      <c r="A51354" s="8"/>
      <c r="B51354" s="12"/>
      <c r="C51354" s="8"/>
      <c r="D51354" s="8"/>
    </row>
    <row r="51355" spans="1:4" ht="15.75" customHeight="1">
      <c r="A51355" s="8"/>
      <c r="B51355" s="12"/>
      <c r="C51355" s="8"/>
      <c r="D51355" s="8"/>
    </row>
    <row r="51356" spans="1:4" ht="15.75" customHeight="1">
      <c r="A51356" s="8"/>
      <c r="B51356" s="12"/>
      <c r="C51356" s="8"/>
      <c r="D51356" s="8"/>
    </row>
    <row r="51357" spans="1:4" ht="15.75" customHeight="1">
      <c r="A51357" s="8"/>
      <c r="B51357" s="12"/>
      <c r="C51357" s="8"/>
      <c r="D51357" s="8"/>
    </row>
    <row r="51358" spans="1:4" ht="15.75" customHeight="1">
      <c r="A51358" s="8"/>
      <c r="B51358" s="12"/>
      <c r="C51358" s="8"/>
      <c r="D51358" s="8"/>
    </row>
    <row r="51359" spans="1:4" ht="15.75" customHeight="1">
      <c r="A51359" s="8"/>
      <c r="B51359" s="12"/>
      <c r="C51359" s="8"/>
      <c r="D51359" s="8"/>
    </row>
    <row r="51360" spans="1:4" ht="15.75" customHeight="1">
      <c r="A51360" s="8"/>
      <c r="B51360" s="12"/>
      <c r="C51360" s="8"/>
      <c r="D51360" s="8"/>
    </row>
    <row r="51361" spans="1:4" ht="15.75" customHeight="1">
      <c r="A51361" s="8"/>
      <c r="B51361" s="12"/>
      <c r="C51361" s="8"/>
      <c r="D51361" s="8"/>
    </row>
    <row r="51362" spans="1:4" ht="15.75" customHeight="1">
      <c r="A51362" s="8"/>
      <c r="B51362" s="12"/>
      <c r="C51362" s="8"/>
      <c r="D51362" s="8"/>
    </row>
    <row r="51363" spans="1:4" ht="15.75" customHeight="1">
      <c r="A51363" s="8"/>
      <c r="B51363" s="12"/>
      <c r="C51363" s="8"/>
      <c r="D51363" s="8"/>
    </row>
    <row r="51364" spans="1:4" ht="15.75" customHeight="1">
      <c r="A51364" s="8"/>
      <c r="B51364" s="12"/>
      <c r="C51364" s="8"/>
      <c r="D51364" s="8"/>
    </row>
    <row r="51365" spans="1:4" ht="15.75" customHeight="1">
      <c r="A51365" s="8"/>
      <c r="B51365" s="12"/>
      <c r="C51365" s="8"/>
      <c r="D51365" s="8"/>
    </row>
    <row r="51366" spans="1:4" ht="15.75" customHeight="1">
      <c r="A51366" s="8"/>
      <c r="B51366" s="12"/>
      <c r="C51366" s="8"/>
      <c r="D51366" s="8"/>
    </row>
    <row r="51367" spans="1:4" ht="15.75" customHeight="1">
      <c r="A51367" s="8"/>
      <c r="B51367" s="12"/>
      <c r="C51367" s="8"/>
      <c r="D51367" s="8"/>
    </row>
    <row r="51368" spans="1:4" ht="15.75" customHeight="1">
      <c r="A51368" s="8"/>
      <c r="B51368" s="12"/>
      <c r="C51368" s="8"/>
      <c r="D51368" s="8"/>
    </row>
    <row r="51369" spans="1:4" ht="15.75" customHeight="1">
      <c r="A51369" s="8"/>
      <c r="B51369" s="12"/>
      <c r="C51369" s="8"/>
      <c r="D51369" s="8"/>
    </row>
    <row r="51370" spans="1:4" ht="15.75" customHeight="1">
      <c r="A51370" s="8"/>
      <c r="B51370" s="12"/>
      <c r="C51370" s="8"/>
      <c r="D51370" s="8"/>
    </row>
    <row r="51371" spans="1:4" ht="15.75" customHeight="1">
      <c r="A51371" s="8"/>
      <c r="B51371" s="12"/>
      <c r="C51371" s="8"/>
      <c r="D51371" s="8"/>
    </row>
    <row r="51372" spans="1:4" ht="15.75" customHeight="1">
      <c r="A51372" s="8"/>
      <c r="B51372" s="12"/>
      <c r="C51372" s="8"/>
      <c r="D51372" s="8"/>
    </row>
    <row r="51373" spans="1:4" ht="15.75" customHeight="1">
      <c r="A51373" s="8"/>
      <c r="B51373" s="12"/>
      <c r="C51373" s="8"/>
      <c r="D51373" s="8"/>
    </row>
    <row r="51374" spans="1:4" ht="15.75" customHeight="1">
      <c r="A51374" s="8"/>
      <c r="B51374" s="12"/>
      <c r="C51374" s="8"/>
      <c r="D51374" s="8"/>
    </row>
    <row r="51375" spans="1:4" ht="15.75" customHeight="1">
      <c r="A51375" s="8"/>
      <c r="B51375" s="12"/>
      <c r="C51375" s="8"/>
      <c r="D51375" s="8"/>
    </row>
    <row r="51376" spans="1:4" ht="15.75" customHeight="1">
      <c r="A51376" s="8"/>
      <c r="B51376" s="12"/>
      <c r="C51376" s="8"/>
      <c r="D51376" s="8"/>
    </row>
    <row r="51377" spans="1:4" ht="15.75" customHeight="1">
      <c r="A51377" s="8"/>
      <c r="B51377" s="12"/>
      <c r="C51377" s="8"/>
      <c r="D51377" s="8"/>
    </row>
    <row r="51378" spans="1:4" ht="15.75" customHeight="1">
      <c r="A51378" s="8"/>
      <c r="B51378" s="12"/>
      <c r="C51378" s="8"/>
      <c r="D51378" s="8"/>
    </row>
    <row r="51379" spans="1:4" ht="15.75" customHeight="1">
      <c r="A51379" s="8"/>
      <c r="B51379" s="12"/>
      <c r="C51379" s="8"/>
      <c r="D51379" s="8"/>
    </row>
    <row r="51380" spans="1:4" ht="15.75" customHeight="1">
      <c r="A51380" s="8"/>
      <c r="B51380" s="12"/>
      <c r="C51380" s="8"/>
      <c r="D51380" s="8"/>
    </row>
    <row r="51381" spans="1:4" ht="15.75" customHeight="1">
      <c r="A51381" s="8"/>
      <c r="B51381" s="12"/>
      <c r="C51381" s="8"/>
      <c r="D51381" s="8"/>
    </row>
    <row r="51382" spans="1:4" ht="15.75" customHeight="1">
      <c r="A51382" s="8"/>
      <c r="B51382" s="12"/>
      <c r="C51382" s="8"/>
      <c r="D51382" s="8"/>
    </row>
    <row r="51383" spans="1:4" ht="15.75" customHeight="1">
      <c r="A51383" s="8"/>
      <c r="B51383" s="12"/>
      <c r="C51383" s="8"/>
      <c r="D51383" s="8"/>
    </row>
    <row r="51384" spans="1:4" ht="15.75" customHeight="1">
      <c r="A51384" s="8"/>
      <c r="B51384" s="12"/>
      <c r="C51384" s="8"/>
      <c r="D51384" s="8"/>
    </row>
    <row r="51385" spans="1:4" ht="15.75" customHeight="1">
      <c r="A51385" s="8"/>
      <c r="B51385" s="12"/>
      <c r="C51385" s="8"/>
      <c r="D51385" s="8"/>
    </row>
    <row r="51386" spans="1:4" ht="15.75" customHeight="1">
      <c r="A51386" s="8"/>
      <c r="B51386" s="12"/>
      <c r="C51386" s="8"/>
      <c r="D51386" s="8"/>
    </row>
    <row r="51387" spans="1:4" ht="15.75" customHeight="1">
      <c r="A51387" s="8"/>
      <c r="B51387" s="12"/>
      <c r="C51387" s="8"/>
      <c r="D51387" s="8"/>
    </row>
    <row r="51388" spans="1:4" ht="15.75" customHeight="1">
      <c r="A51388" s="8"/>
      <c r="B51388" s="12"/>
      <c r="C51388" s="8"/>
      <c r="D51388" s="8"/>
    </row>
    <row r="51389" spans="1:4" ht="15.75" customHeight="1">
      <c r="A51389" s="8"/>
      <c r="B51389" s="12"/>
      <c r="C51389" s="8"/>
      <c r="D51389" s="8"/>
    </row>
    <row r="51390" spans="1:4" ht="15.75" customHeight="1">
      <c r="A51390" s="8"/>
      <c r="B51390" s="12"/>
      <c r="C51390" s="8"/>
      <c r="D51390" s="8"/>
    </row>
    <row r="51391" spans="1:4" ht="15.75" customHeight="1">
      <c r="A51391" s="8"/>
      <c r="B51391" s="12"/>
      <c r="C51391" s="8"/>
      <c r="D51391" s="8"/>
    </row>
    <row r="51392" spans="1:4" ht="15.75" customHeight="1">
      <c r="A51392" s="8"/>
      <c r="B51392" s="12"/>
      <c r="C51392" s="8"/>
      <c r="D51392" s="8"/>
    </row>
    <row r="51393" spans="1:4" ht="15.75" customHeight="1">
      <c r="A51393" s="8"/>
      <c r="B51393" s="12"/>
      <c r="C51393" s="8"/>
      <c r="D51393" s="8"/>
    </row>
    <row r="51394" spans="1:4" ht="15.75" customHeight="1">
      <c r="A51394" s="8"/>
      <c r="B51394" s="12"/>
      <c r="C51394" s="8"/>
      <c r="D51394" s="8"/>
    </row>
    <row r="51395" spans="1:4" ht="15.75" customHeight="1">
      <c r="A51395" s="8"/>
      <c r="B51395" s="12"/>
      <c r="C51395" s="8"/>
      <c r="D51395" s="8"/>
    </row>
    <row r="51396" spans="1:4" ht="15.75" customHeight="1">
      <c r="A51396" s="8"/>
      <c r="B51396" s="12"/>
      <c r="C51396" s="8"/>
      <c r="D51396" s="8"/>
    </row>
    <row r="51397" spans="1:4" ht="15.75" customHeight="1">
      <c r="A51397" s="8"/>
      <c r="B51397" s="12"/>
      <c r="C51397" s="8"/>
      <c r="D51397" s="8"/>
    </row>
    <row r="51398" spans="1:4" ht="15.75" customHeight="1">
      <c r="A51398" s="8"/>
      <c r="B51398" s="12"/>
      <c r="C51398" s="8"/>
      <c r="D51398" s="8"/>
    </row>
    <row r="51399" spans="1:4" ht="15.75" customHeight="1">
      <c r="A51399" s="8"/>
      <c r="B51399" s="12"/>
      <c r="C51399" s="8"/>
      <c r="D51399" s="8"/>
    </row>
    <row r="51400" spans="1:4" ht="15.75" customHeight="1">
      <c r="A51400" s="8"/>
      <c r="B51400" s="12"/>
      <c r="C51400" s="8"/>
      <c r="D51400" s="8"/>
    </row>
    <row r="51401" spans="1:4" ht="15.75" customHeight="1">
      <c r="A51401" s="8"/>
      <c r="B51401" s="12"/>
      <c r="C51401" s="8"/>
      <c r="D51401" s="8"/>
    </row>
    <row r="51402" spans="1:4" ht="15.75" customHeight="1">
      <c r="A51402" s="8"/>
      <c r="B51402" s="12"/>
      <c r="C51402" s="8"/>
      <c r="D51402" s="8"/>
    </row>
    <row r="51403" spans="1:4" ht="15.75" customHeight="1">
      <c r="A51403" s="8"/>
      <c r="B51403" s="12"/>
      <c r="C51403" s="8"/>
      <c r="D51403" s="8"/>
    </row>
    <row r="51404" spans="1:4" ht="15.75" customHeight="1">
      <c r="A51404" s="8"/>
      <c r="B51404" s="12"/>
      <c r="C51404" s="8"/>
      <c r="D51404" s="8"/>
    </row>
    <row r="51405" spans="1:4" ht="15.75" customHeight="1">
      <c r="A51405" s="8"/>
      <c r="B51405" s="12"/>
      <c r="C51405" s="8"/>
      <c r="D51405" s="8"/>
    </row>
    <row r="51406" spans="1:4" ht="15.75" customHeight="1">
      <c r="A51406" s="8"/>
      <c r="B51406" s="12"/>
      <c r="C51406" s="8"/>
      <c r="D51406" s="8"/>
    </row>
    <row r="51407" spans="1:4" ht="15.75" customHeight="1">
      <c r="A51407" s="8"/>
      <c r="B51407" s="12"/>
      <c r="C51407" s="8"/>
      <c r="D51407" s="8"/>
    </row>
    <row r="51408" spans="1:4" ht="15.75" customHeight="1">
      <c r="A51408" s="8"/>
      <c r="B51408" s="12"/>
      <c r="C51408" s="8"/>
      <c r="D51408" s="8"/>
    </row>
    <row r="51409" spans="1:4" ht="15.75" customHeight="1">
      <c r="A51409" s="8"/>
      <c r="B51409" s="12"/>
      <c r="C51409" s="8"/>
      <c r="D51409" s="8"/>
    </row>
    <row r="51410" spans="1:4" ht="15.75" customHeight="1">
      <c r="A51410" s="8"/>
      <c r="B51410" s="12"/>
      <c r="C51410" s="8"/>
      <c r="D51410" s="8"/>
    </row>
    <row r="51411" spans="1:4" ht="15.75" customHeight="1">
      <c r="A51411" s="8"/>
      <c r="B51411" s="12"/>
      <c r="C51411" s="8"/>
      <c r="D51411" s="8"/>
    </row>
    <row r="51412" spans="1:4" ht="15.75" customHeight="1">
      <c r="A51412" s="8"/>
      <c r="B51412" s="12"/>
      <c r="C51412" s="8"/>
      <c r="D51412" s="8"/>
    </row>
    <row r="51413" spans="1:4" ht="15.75" customHeight="1">
      <c r="A51413" s="8"/>
      <c r="B51413" s="12"/>
      <c r="C51413" s="8"/>
      <c r="D51413" s="8"/>
    </row>
    <row r="51414" spans="1:4" ht="15.75" customHeight="1">
      <c r="A51414" s="8"/>
      <c r="B51414" s="12"/>
      <c r="C51414" s="8"/>
      <c r="D51414" s="8"/>
    </row>
    <row r="51415" spans="1:4" ht="15.75" customHeight="1">
      <c r="A51415" s="8"/>
      <c r="B51415" s="12"/>
      <c r="C51415" s="8"/>
      <c r="D51415" s="8"/>
    </row>
    <row r="51416" spans="1:4" ht="15.75" customHeight="1">
      <c r="A51416" s="8"/>
      <c r="B51416" s="12"/>
      <c r="C51416" s="8"/>
      <c r="D51416" s="8"/>
    </row>
    <row r="51417" spans="1:4" ht="15.75" customHeight="1">
      <c r="A51417" s="8"/>
      <c r="B51417" s="12"/>
      <c r="C51417" s="8"/>
      <c r="D51417" s="8"/>
    </row>
    <row r="51418" spans="1:4" ht="15.75" customHeight="1">
      <c r="A51418" s="8"/>
      <c r="B51418" s="12"/>
      <c r="C51418" s="8"/>
      <c r="D51418" s="8"/>
    </row>
    <row r="51419" spans="1:4" ht="15.75" customHeight="1">
      <c r="A51419" s="8"/>
      <c r="B51419" s="12"/>
      <c r="C51419" s="8"/>
      <c r="D51419" s="8"/>
    </row>
    <row r="51420" spans="1:4" ht="15.75" customHeight="1">
      <c r="A51420" s="8"/>
      <c r="B51420" s="12"/>
      <c r="C51420" s="8"/>
      <c r="D51420" s="8"/>
    </row>
    <row r="51421" spans="1:4" ht="15.75" customHeight="1">
      <c r="A51421" s="8"/>
      <c r="B51421" s="12"/>
      <c r="C51421" s="8"/>
      <c r="D51421" s="8"/>
    </row>
    <row r="51422" spans="1:4" ht="15.75" customHeight="1">
      <c r="A51422" s="8"/>
      <c r="B51422" s="12"/>
      <c r="C51422" s="8"/>
      <c r="D51422" s="8"/>
    </row>
    <row r="51423" spans="1:4" ht="15.75" customHeight="1">
      <c r="A51423" s="8"/>
      <c r="B51423" s="12"/>
      <c r="C51423" s="8"/>
      <c r="D51423" s="8"/>
    </row>
    <row r="51424" spans="1:4" ht="15.75" customHeight="1">
      <c r="A51424" s="8"/>
      <c r="B51424" s="12"/>
      <c r="C51424" s="8"/>
      <c r="D51424" s="8"/>
    </row>
    <row r="51425" spans="1:4" ht="15.75" customHeight="1">
      <c r="A51425" s="8"/>
      <c r="B51425" s="12"/>
      <c r="C51425" s="8"/>
      <c r="D51425" s="8"/>
    </row>
    <row r="51426" spans="1:4" ht="15.75" customHeight="1">
      <c r="A51426" s="8"/>
      <c r="B51426" s="12"/>
      <c r="C51426" s="8"/>
      <c r="D51426" s="8"/>
    </row>
    <row r="51427" spans="1:4" ht="15.75" customHeight="1">
      <c r="A51427" s="8"/>
      <c r="B51427" s="12"/>
      <c r="C51427" s="8"/>
      <c r="D51427" s="8"/>
    </row>
    <row r="51428" spans="1:4" ht="15.75" customHeight="1">
      <c r="A51428" s="8"/>
      <c r="B51428" s="12"/>
      <c r="C51428" s="8"/>
      <c r="D51428" s="8"/>
    </row>
    <row r="51429" spans="1:4" ht="15.75" customHeight="1">
      <c r="A51429" s="8"/>
      <c r="B51429" s="12"/>
      <c r="C51429" s="8"/>
      <c r="D51429" s="8"/>
    </row>
    <row r="51430" spans="1:4" ht="15.75" customHeight="1">
      <c r="A51430" s="8"/>
      <c r="B51430" s="12"/>
      <c r="C51430" s="8"/>
      <c r="D51430" s="8"/>
    </row>
    <row r="51431" spans="1:4" ht="15.75" customHeight="1">
      <c r="A51431" s="8"/>
      <c r="B51431" s="12"/>
      <c r="C51431" s="8"/>
      <c r="D51431" s="8"/>
    </row>
    <row r="51432" spans="1:4" ht="15.75" customHeight="1">
      <c r="A51432" s="8"/>
      <c r="B51432" s="12"/>
      <c r="C51432" s="8"/>
      <c r="D51432" s="8"/>
    </row>
    <row r="51433" spans="1:4" ht="15.75" customHeight="1">
      <c r="A51433" s="8"/>
      <c r="B51433" s="12"/>
      <c r="C51433" s="8"/>
      <c r="D51433" s="8"/>
    </row>
    <row r="51434" spans="1:4" ht="15.75" customHeight="1">
      <c r="A51434" s="8"/>
      <c r="B51434" s="12"/>
      <c r="C51434" s="8"/>
      <c r="D51434" s="8"/>
    </row>
    <row r="51435" spans="1:4" ht="15.75" customHeight="1">
      <c r="A51435" s="8"/>
      <c r="B51435" s="12"/>
      <c r="C51435" s="8"/>
      <c r="D51435" s="8"/>
    </row>
    <row r="51436" spans="1:4" ht="15.75" customHeight="1">
      <c r="A51436" s="8"/>
      <c r="B51436" s="12"/>
      <c r="C51436" s="8"/>
      <c r="D51436" s="8"/>
    </row>
    <row r="51437" spans="1:4" ht="15.75" customHeight="1">
      <c r="A51437" s="8"/>
      <c r="B51437" s="12"/>
      <c r="C51437" s="8"/>
      <c r="D51437" s="8"/>
    </row>
    <row r="51438" spans="1:4" ht="15.75" customHeight="1">
      <c r="A51438" s="8"/>
      <c r="B51438" s="12"/>
      <c r="C51438" s="8"/>
      <c r="D51438" s="8"/>
    </row>
    <row r="51439" spans="1:4" ht="15.75" customHeight="1">
      <c r="A51439" s="8"/>
      <c r="B51439" s="12"/>
      <c r="C51439" s="8"/>
      <c r="D51439" s="8"/>
    </row>
    <row r="51440" spans="1:4" ht="15.75" customHeight="1">
      <c r="A51440" s="8"/>
      <c r="B51440" s="12"/>
      <c r="C51440" s="8"/>
      <c r="D51440" s="8"/>
    </row>
    <row r="51441" spans="1:4" ht="15.75" customHeight="1">
      <c r="A51441" s="8"/>
      <c r="B51441" s="12"/>
      <c r="C51441" s="8"/>
      <c r="D51441" s="8"/>
    </row>
    <row r="51442" spans="1:4" ht="15.75" customHeight="1">
      <c r="A51442" s="8"/>
      <c r="B51442" s="12"/>
      <c r="C51442" s="8"/>
      <c r="D51442" s="8"/>
    </row>
    <row r="51443" spans="1:4" ht="15.75" customHeight="1">
      <c r="A51443" s="8"/>
      <c r="B51443" s="12"/>
      <c r="C51443" s="8"/>
      <c r="D51443" s="8"/>
    </row>
    <row r="51444" spans="1:4" ht="15.75" customHeight="1">
      <c r="A51444" s="8"/>
      <c r="B51444" s="12"/>
      <c r="C51444" s="8"/>
      <c r="D51444" s="8"/>
    </row>
    <row r="51445" spans="1:4" ht="15.75" customHeight="1">
      <c r="A51445" s="8"/>
      <c r="B51445" s="12"/>
      <c r="C51445" s="8"/>
      <c r="D51445" s="8"/>
    </row>
    <row r="51446" spans="1:4" ht="15.75" customHeight="1">
      <c r="A51446" s="8"/>
      <c r="B51446" s="12"/>
      <c r="C51446" s="8"/>
      <c r="D51446" s="8"/>
    </row>
    <row r="51447" spans="1:4" ht="15.75" customHeight="1">
      <c r="A51447" s="8"/>
      <c r="B51447" s="12"/>
      <c r="C51447" s="8"/>
      <c r="D51447" s="8"/>
    </row>
    <row r="51448" spans="1:4" ht="15.75" customHeight="1">
      <c r="A51448" s="8"/>
      <c r="B51448" s="12"/>
      <c r="C51448" s="8"/>
      <c r="D51448" s="8"/>
    </row>
    <row r="51449" spans="1:4" ht="15.75" customHeight="1">
      <c r="A51449" s="8"/>
      <c r="B51449" s="12"/>
      <c r="C51449" s="8"/>
      <c r="D51449" s="8"/>
    </row>
    <row r="51450" spans="1:4" ht="15.75" customHeight="1">
      <c r="A51450" s="8"/>
      <c r="B51450" s="12"/>
      <c r="C51450" s="8"/>
      <c r="D51450" s="8"/>
    </row>
    <row r="51451" spans="1:4" ht="15.75" customHeight="1">
      <c r="A51451" s="8"/>
      <c r="B51451" s="12"/>
      <c r="C51451" s="8"/>
      <c r="D51451" s="8"/>
    </row>
    <row r="51452" spans="1:4" ht="15.75" customHeight="1">
      <c r="A51452" s="8"/>
      <c r="B51452" s="12"/>
      <c r="C51452" s="8"/>
      <c r="D51452" s="8"/>
    </row>
    <row r="51453" spans="1:4" ht="15.75" customHeight="1">
      <c r="A51453" s="8"/>
      <c r="B51453" s="12"/>
      <c r="C51453" s="8"/>
      <c r="D51453" s="8"/>
    </row>
    <row r="51454" spans="1:4" ht="15.75" customHeight="1">
      <c r="A51454" s="8"/>
      <c r="B51454" s="12"/>
      <c r="C51454" s="8"/>
      <c r="D51454" s="8"/>
    </row>
    <row r="51455" spans="1:4" ht="15.75" customHeight="1">
      <c r="A51455" s="8"/>
      <c r="B51455" s="12"/>
      <c r="C51455" s="8"/>
      <c r="D51455" s="8"/>
    </row>
    <row r="51456" spans="1:4" ht="15.75" customHeight="1">
      <c r="A51456" s="8"/>
      <c r="B51456" s="12"/>
      <c r="C51456" s="8"/>
      <c r="D51456" s="8"/>
    </row>
    <row r="51457" spans="1:4" ht="15.75" customHeight="1">
      <c r="A51457" s="8"/>
      <c r="B51457" s="12"/>
      <c r="C51457" s="8"/>
      <c r="D51457" s="8"/>
    </row>
    <row r="51458" spans="1:4" ht="15.75" customHeight="1">
      <c r="A51458" s="8"/>
      <c r="B51458" s="12"/>
      <c r="C51458" s="8"/>
      <c r="D51458" s="8"/>
    </row>
    <row r="51459" spans="1:4" ht="15.75" customHeight="1">
      <c r="A51459" s="8"/>
      <c r="B51459" s="12"/>
      <c r="C51459" s="8"/>
      <c r="D51459" s="8"/>
    </row>
    <row r="51460" spans="1:4" ht="15.75" customHeight="1">
      <c r="A51460" s="8"/>
      <c r="B51460" s="12"/>
      <c r="C51460" s="8"/>
      <c r="D51460" s="8"/>
    </row>
    <row r="51461" spans="1:4" ht="15.75" customHeight="1">
      <c r="A51461" s="8"/>
      <c r="B51461" s="12"/>
      <c r="C51461" s="8"/>
      <c r="D51461" s="8"/>
    </row>
    <row r="51462" spans="1:4" ht="15.75" customHeight="1">
      <c r="A51462" s="8"/>
      <c r="B51462" s="12"/>
      <c r="C51462" s="8"/>
      <c r="D51462" s="8"/>
    </row>
    <row r="51463" spans="1:4" ht="15.75" customHeight="1">
      <c r="A51463" s="8"/>
      <c r="B51463" s="12"/>
      <c r="C51463" s="8"/>
      <c r="D51463" s="8"/>
    </row>
    <row r="51464" spans="1:4" ht="15.75" customHeight="1">
      <c r="A51464" s="8"/>
      <c r="B51464" s="12"/>
      <c r="C51464" s="8"/>
      <c r="D51464" s="8"/>
    </row>
    <row r="51465" spans="1:4" ht="15.75" customHeight="1">
      <c r="A51465" s="8"/>
      <c r="B51465" s="12"/>
      <c r="C51465" s="8"/>
      <c r="D51465" s="8"/>
    </row>
    <row r="51466" spans="1:4" ht="15.75" customHeight="1">
      <c r="A51466" s="8"/>
      <c r="B51466" s="12"/>
      <c r="C51466" s="8"/>
      <c r="D51466" s="8"/>
    </row>
    <row r="51467" spans="1:4" ht="15.75" customHeight="1">
      <c r="A51467" s="8"/>
      <c r="B51467" s="12"/>
      <c r="C51467" s="8"/>
      <c r="D51467" s="8"/>
    </row>
    <row r="51468" spans="1:4" ht="15.75" customHeight="1">
      <c r="A51468" s="8"/>
      <c r="B51468" s="12"/>
      <c r="C51468" s="8"/>
      <c r="D51468" s="8"/>
    </row>
    <row r="51469" spans="1:4" ht="15.75" customHeight="1">
      <c r="A51469" s="8"/>
      <c r="B51469" s="12"/>
      <c r="C51469" s="8"/>
      <c r="D51469" s="8"/>
    </row>
    <row r="51470" spans="1:4" ht="15.75" customHeight="1">
      <c r="A51470" s="8"/>
      <c r="B51470" s="12"/>
      <c r="C51470" s="8"/>
      <c r="D51470" s="8"/>
    </row>
    <row r="51471" spans="1:4" ht="15.75" customHeight="1">
      <c r="A51471" s="8"/>
      <c r="B51471" s="12"/>
      <c r="C51471" s="8"/>
      <c r="D51471" s="8"/>
    </row>
    <row r="51472" spans="1:4" ht="15.75" customHeight="1">
      <c r="A51472" s="8"/>
      <c r="B51472" s="12"/>
      <c r="C51472" s="8"/>
      <c r="D51472" s="8"/>
    </row>
    <row r="51473" spans="1:4" ht="15.75" customHeight="1">
      <c r="A51473" s="8"/>
      <c r="B51473" s="12"/>
      <c r="C51473" s="8"/>
      <c r="D51473" s="8"/>
    </row>
    <row r="51474" spans="1:4" ht="15.75" customHeight="1">
      <c r="A51474" s="8"/>
      <c r="B51474" s="12"/>
      <c r="C51474" s="8"/>
      <c r="D51474" s="8"/>
    </row>
    <row r="51475" spans="1:4" ht="15.75" customHeight="1">
      <c r="A51475" s="8"/>
      <c r="B51475" s="12"/>
      <c r="C51475" s="8"/>
      <c r="D51475" s="8"/>
    </row>
    <row r="51476" spans="1:4" ht="15.75" customHeight="1">
      <c r="A51476" s="8"/>
      <c r="B51476" s="12"/>
      <c r="C51476" s="8"/>
      <c r="D51476" s="8"/>
    </row>
    <row r="51477" spans="1:4" ht="15.75" customHeight="1">
      <c r="A51477" s="8"/>
      <c r="B51477" s="12"/>
      <c r="C51477" s="8"/>
      <c r="D51477" s="8"/>
    </row>
    <row r="51478" spans="1:4" ht="15.75" customHeight="1">
      <c r="A51478" s="8"/>
      <c r="B51478" s="12"/>
      <c r="C51478" s="8"/>
      <c r="D51478" s="8"/>
    </row>
    <row r="51479" spans="1:4" ht="15.75" customHeight="1">
      <c r="A51479" s="8"/>
      <c r="B51479" s="12"/>
      <c r="C51479" s="8"/>
      <c r="D51479" s="8"/>
    </row>
    <row r="51480" spans="1:4" ht="15.75" customHeight="1">
      <c r="A51480" s="8"/>
      <c r="B51480" s="12"/>
      <c r="C51480" s="8"/>
      <c r="D51480" s="8"/>
    </row>
    <row r="51481" spans="1:4" ht="15.75" customHeight="1">
      <c r="A51481" s="8"/>
      <c r="B51481" s="12"/>
      <c r="C51481" s="8"/>
      <c r="D51481" s="8"/>
    </row>
    <row r="51482" spans="1:4" ht="15.75" customHeight="1">
      <c r="A51482" s="8"/>
      <c r="B51482" s="12"/>
      <c r="C51482" s="8"/>
      <c r="D51482" s="8"/>
    </row>
    <row r="51483" spans="1:4" ht="15.75" customHeight="1">
      <c r="A51483" s="8"/>
      <c r="B51483" s="12"/>
      <c r="C51483" s="8"/>
      <c r="D51483" s="8"/>
    </row>
    <row r="51484" spans="1:4" ht="15.75" customHeight="1">
      <c r="A51484" s="8"/>
      <c r="B51484" s="12"/>
      <c r="C51484" s="8"/>
      <c r="D51484" s="8"/>
    </row>
    <row r="51485" spans="1:4" ht="15.75" customHeight="1">
      <c r="A51485" s="8"/>
      <c r="B51485" s="12"/>
      <c r="C51485" s="8"/>
      <c r="D51485" s="8"/>
    </row>
    <row r="51486" spans="1:4" ht="15.75" customHeight="1">
      <c r="A51486" s="8"/>
      <c r="B51486" s="12"/>
      <c r="C51486" s="8"/>
      <c r="D51486" s="8"/>
    </row>
    <row r="51487" spans="1:4" ht="15.75" customHeight="1">
      <c r="A51487" s="8"/>
      <c r="B51487" s="12"/>
      <c r="C51487" s="8"/>
      <c r="D51487" s="8"/>
    </row>
    <row r="51488" spans="1:4" ht="15.75" customHeight="1">
      <c r="A51488" s="8"/>
      <c r="B51488" s="12"/>
      <c r="C51488" s="8"/>
      <c r="D51488" s="8"/>
    </row>
    <row r="51489" spans="1:4" ht="15.75" customHeight="1">
      <c r="A51489" s="8"/>
      <c r="B51489" s="12"/>
      <c r="C51489" s="8"/>
      <c r="D51489" s="8"/>
    </row>
    <row r="51490" spans="1:4" ht="15.75" customHeight="1">
      <c r="A51490" s="8"/>
      <c r="B51490" s="12"/>
      <c r="C51490" s="8"/>
      <c r="D51490" s="8"/>
    </row>
    <row r="51491" spans="1:4" ht="15.75" customHeight="1">
      <c r="A51491" s="8"/>
      <c r="B51491" s="12"/>
      <c r="C51491" s="8"/>
      <c r="D51491" s="8"/>
    </row>
    <row r="51492" spans="1:4" ht="15.75" customHeight="1">
      <c r="A51492" s="8"/>
      <c r="B51492" s="12"/>
      <c r="C51492" s="8"/>
      <c r="D51492" s="8"/>
    </row>
    <row r="51493" spans="1:4" ht="15.75" customHeight="1">
      <c r="A51493" s="8"/>
      <c r="B51493" s="12"/>
      <c r="C51493" s="8"/>
      <c r="D51493" s="8"/>
    </row>
    <row r="51494" spans="1:4" ht="15.75" customHeight="1">
      <c r="A51494" s="8"/>
      <c r="B51494" s="12"/>
      <c r="C51494" s="8"/>
      <c r="D51494" s="8"/>
    </row>
    <row r="51495" spans="1:4" ht="15.75" customHeight="1">
      <c r="A51495" s="8"/>
      <c r="B51495" s="12"/>
      <c r="C51495" s="8"/>
      <c r="D51495" s="8"/>
    </row>
    <row r="51496" spans="1:4" ht="15.75" customHeight="1">
      <c r="A51496" s="8"/>
      <c r="B51496" s="12"/>
      <c r="C51496" s="8"/>
      <c r="D51496" s="8"/>
    </row>
    <row r="51497" spans="1:4" ht="15.75" customHeight="1">
      <c r="A51497" s="8"/>
      <c r="B51497" s="12"/>
      <c r="C51497" s="8"/>
      <c r="D51497" s="8"/>
    </row>
    <row r="51498" spans="1:4" ht="15.75" customHeight="1">
      <c r="A51498" s="8"/>
      <c r="B51498" s="12"/>
      <c r="C51498" s="8"/>
      <c r="D51498" s="8"/>
    </row>
    <row r="51499" spans="1:4" ht="15.75" customHeight="1">
      <c r="A51499" s="8"/>
      <c r="B51499" s="12"/>
      <c r="C51499" s="8"/>
      <c r="D51499" s="8"/>
    </row>
    <row r="51500" spans="1:4" ht="15.75" customHeight="1">
      <c r="A51500" s="8"/>
      <c r="B51500" s="12"/>
      <c r="C51500" s="8"/>
      <c r="D51500" s="8"/>
    </row>
    <row r="51501" spans="1:4" ht="15.75" customHeight="1">
      <c r="A51501" s="8"/>
      <c r="B51501" s="12"/>
      <c r="C51501" s="8"/>
      <c r="D51501" s="8"/>
    </row>
    <row r="51502" spans="1:4" ht="15.75" customHeight="1">
      <c r="A51502" s="8"/>
      <c r="B51502" s="12"/>
      <c r="C51502" s="8"/>
      <c r="D51502" s="8"/>
    </row>
    <row r="51503" spans="1:4" ht="15.75" customHeight="1">
      <c r="A51503" s="8"/>
      <c r="B51503" s="12"/>
      <c r="C51503" s="8"/>
      <c r="D51503" s="8"/>
    </row>
    <row r="51504" spans="1:4" ht="15.75" customHeight="1">
      <c r="A51504" s="8"/>
      <c r="B51504" s="12"/>
      <c r="C51504" s="8"/>
      <c r="D51504" s="8"/>
    </row>
    <row r="51505" spans="1:4" ht="15.75" customHeight="1">
      <c r="A51505" s="8"/>
      <c r="B51505" s="12"/>
      <c r="C51505" s="8"/>
      <c r="D51505" s="8"/>
    </row>
    <row r="51506" spans="1:4" ht="15.75" customHeight="1">
      <c r="A51506" s="8"/>
      <c r="B51506" s="12"/>
      <c r="C51506" s="8"/>
      <c r="D51506" s="8"/>
    </row>
    <row r="51507" spans="1:4" ht="15.75" customHeight="1">
      <c r="A51507" s="8"/>
      <c r="B51507" s="12"/>
      <c r="C51507" s="8"/>
      <c r="D51507" s="8"/>
    </row>
    <row r="51508" spans="1:4" ht="15.75" customHeight="1">
      <c r="A51508" s="8"/>
      <c r="B51508" s="12"/>
      <c r="C51508" s="8"/>
      <c r="D51508" s="8"/>
    </row>
    <row r="51509" spans="1:4" ht="15.75" customHeight="1">
      <c r="A51509" s="8"/>
      <c r="B51509" s="12"/>
      <c r="C51509" s="8"/>
      <c r="D51509" s="8"/>
    </row>
    <row r="51510" spans="1:4" ht="15.75" customHeight="1">
      <c r="A51510" s="8"/>
      <c r="B51510" s="12"/>
      <c r="C51510" s="8"/>
      <c r="D51510" s="8"/>
    </row>
    <row r="51511" spans="1:4" ht="15.75" customHeight="1">
      <c r="A51511" s="8"/>
      <c r="B51511" s="12"/>
      <c r="C51511" s="8"/>
      <c r="D51511" s="8"/>
    </row>
    <row r="51512" spans="1:4" ht="15.75" customHeight="1">
      <c r="A51512" s="8"/>
      <c r="B51512" s="12"/>
      <c r="C51512" s="8"/>
      <c r="D51512" s="8"/>
    </row>
    <row r="51513" spans="1:4" ht="15.75" customHeight="1">
      <c r="A51513" s="8"/>
      <c r="B51513" s="12"/>
      <c r="C51513" s="8"/>
      <c r="D51513" s="8"/>
    </row>
    <row r="51514" spans="1:4" ht="15.75" customHeight="1">
      <c r="A51514" s="8"/>
      <c r="B51514" s="12"/>
      <c r="C51514" s="8"/>
      <c r="D51514" s="8"/>
    </row>
    <row r="51515" spans="1:4" ht="15.75" customHeight="1">
      <c r="A51515" s="8"/>
      <c r="B51515" s="12"/>
      <c r="C51515" s="8"/>
      <c r="D51515" s="8"/>
    </row>
    <row r="51516" spans="1:4" ht="15.75" customHeight="1">
      <c r="A51516" s="8"/>
      <c r="B51516" s="12"/>
      <c r="C51516" s="8"/>
      <c r="D51516" s="8"/>
    </row>
    <row r="51517" spans="1:4" ht="15.75" customHeight="1">
      <c r="A51517" s="8"/>
      <c r="B51517" s="12"/>
      <c r="C51517" s="8"/>
      <c r="D51517" s="8"/>
    </row>
    <row r="51518" spans="1:4" ht="15.75" customHeight="1">
      <c r="A51518" s="8"/>
      <c r="B51518" s="12"/>
      <c r="C51518" s="8"/>
      <c r="D51518" s="8"/>
    </row>
    <row r="51519" spans="1:4" ht="15.75" customHeight="1">
      <c r="A51519" s="8"/>
      <c r="B51519" s="12"/>
      <c r="C51519" s="8"/>
      <c r="D51519" s="8"/>
    </row>
    <row r="51520" spans="1:4" ht="15.75" customHeight="1">
      <c r="A51520" s="8"/>
      <c r="B51520" s="12"/>
      <c r="C51520" s="8"/>
      <c r="D51520" s="8"/>
    </row>
    <row r="51521" spans="1:4" ht="15.75" customHeight="1">
      <c r="A51521" s="8"/>
      <c r="B51521" s="12"/>
      <c r="C51521" s="8"/>
      <c r="D51521" s="8"/>
    </row>
    <row r="51522" spans="1:4" ht="15.75" customHeight="1">
      <c r="A51522" s="8"/>
      <c r="B51522" s="12"/>
      <c r="C51522" s="8"/>
      <c r="D51522" s="8"/>
    </row>
    <row r="51523" spans="1:4" ht="15.75" customHeight="1">
      <c r="A51523" s="8"/>
      <c r="B51523" s="12"/>
      <c r="C51523" s="8"/>
      <c r="D51523" s="8"/>
    </row>
    <row r="51524" spans="1:4" ht="15.75" customHeight="1">
      <c r="A51524" s="8"/>
      <c r="B51524" s="12"/>
      <c r="C51524" s="8"/>
      <c r="D51524" s="8"/>
    </row>
    <row r="51525" spans="1:4" ht="15.75" customHeight="1">
      <c r="A51525" s="8"/>
      <c r="B51525" s="12"/>
      <c r="C51525" s="8"/>
      <c r="D51525" s="8"/>
    </row>
    <row r="51526" spans="1:4" ht="15.75" customHeight="1">
      <c r="A51526" s="8"/>
      <c r="B51526" s="12"/>
      <c r="C51526" s="8"/>
      <c r="D51526" s="8"/>
    </row>
    <row r="51527" spans="1:4" ht="15.75" customHeight="1">
      <c r="A51527" s="8"/>
      <c r="B51527" s="12"/>
      <c r="C51527" s="8"/>
      <c r="D51527" s="8"/>
    </row>
    <row r="51528" spans="1:4" ht="15.75" customHeight="1">
      <c r="A51528" s="8"/>
      <c r="B51528" s="12"/>
      <c r="C51528" s="8"/>
      <c r="D51528" s="8"/>
    </row>
    <row r="51529" spans="1:4" ht="15.75" customHeight="1">
      <c r="A51529" s="8"/>
      <c r="B51529" s="12"/>
      <c r="C51529" s="8"/>
      <c r="D51529" s="8"/>
    </row>
    <row r="51530" spans="1:4" ht="15.75" customHeight="1">
      <c r="A51530" s="8"/>
      <c r="B51530" s="12"/>
      <c r="C51530" s="8"/>
      <c r="D51530" s="8"/>
    </row>
    <row r="51531" spans="1:4" ht="15.75" customHeight="1">
      <c r="A51531" s="8"/>
      <c r="B51531" s="12"/>
      <c r="C51531" s="8"/>
      <c r="D51531" s="8"/>
    </row>
    <row r="51532" spans="1:4" ht="15.75" customHeight="1">
      <c r="A51532" s="8"/>
      <c r="B51532" s="12"/>
      <c r="C51532" s="8"/>
      <c r="D51532" s="8"/>
    </row>
    <row r="51533" spans="1:4" ht="15.75" customHeight="1">
      <c r="A51533" s="8"/>
      <c r="B51533" s="12"/>
      <c r="C51533" s="8"/>
      <c r="D51533" s="8"/>
    </row>
    <row r="51534" spans="1:4" ht="15.75" customHeight="1">
      <c r="A51534" s="8"/>
      <c r="B51534" s="12"/>
      <c r="C51534" s="8"/>
      <c r="D51534" s="8"/>
    </row>
    <row r="51535" spans="1:4" ht="15.75" customHeight="1">
      <c r="A51535" s="8"/>
      <c r="B51535" s="12"/>
      <c r="C51535" s="8"/>
      <c r="D51535" s="8"/>
    </row>
    <row r="51536" spans="1:4" ht="15.75" customHeight="1">
      <c r="A51536" s="8"/>
      <c r="B51536" s="12"/>
      <c r="C51536" s="8"/>
      <c r="D51536" s="8"/>
    </row>
    <row r="51537" spans="1:4" ht="15.75" customHeight="1">
      <c r="A51537" s="8"/>
      <c r="B51537" s="12"/>
      <c r="C51537" s="8"/>
      <c r="D51537" s="8"/>
    </row>
    <row r="51538" spans="1:4" ht="15.75" customHeight="1">
      <c r="A51538" s="8"/>
      <c r="B51538" s="12"/>
      <c r="C51538" s="8"/>
      <c r="D51538" s="8"/>
    </row>
    <row r="51539" spans="1:4" ht="15.75" customHeight="1">
      <c r="A51539" s="8"/>
      <c r="B51539" s="12"/>
      <c r="C51539" s="8"/>
      <c r="D51539" s="8"/>
    </row>
    <row r="51540" spans="1:4" ht="15.75" customHeight="1">
      <c r="A51540" s="8"/>
      <c r="B51540" s="12"/>
      <c r="C51540" s="8"/>
      <c r="D51540" s="8"/>
    </row>
    <row r="51541" spans="1:4" ht="15.75" customHeight="1">
      <c r="A51541" s="8"/>
      <c r="B51541" s="12"/>
      <c r="C51541" s="8"/>
      <c r="D51541" s="8"/>
    </row>
    <row r="51542" spans="1:4" ht="15.75" customHeight="1">
      <c r="A51542" s="8"/>
      <c r="B51542" s="12"/>
      <c r="C51542" s="8"/>
      <c r="D51542" s="8"/>
    </row>
    <row r="51543" spans="1:4" ht="15.75" customHeight="1">
      <c r="A51543" s="8"/>
      <c r="B51543" s="12"/>
      <c r="C51543" s="8"/>
      <c r="D51543" s="8"/>
    </row>
    <row r="51544" spans="1:4" ht="15.75" customHeight="1">
      <c r="A51544" s="8"/>
      <c r="B51544" s="12"/>
      <c r="C51544" s="8"/>
      <c r="D51544" s="8"/>
    </row>
    <row r="51545" spans="1:4" ht="15.75" customHeight="1">
      <c r="A51545" s="8"/>
      <c r="B51545" s="12"/>
      <c r="C51545" s="8"/>
      <c r="D51545" s="8"/>
    </row>
    <row r="51546" spans="1:4" ht="15.75" customHeight="1">
      <c r="A51546" s="8"/>
      <c r="B51546" s="12"/>
      <c r="C51546" s="8"/>
      <c r="D51546" s="8"/>
    </row>
    <row r="51547" spans="1:4" ht="15.75" customHeight="1">
      <c r="A51547" s="8"/>
      <c r="B51547" s="12"/>
      <c r="C51547" s="8"/>
      <c r="D51547" s="8"/>
    </row>
    <row r="51548" spans="1:4" ht="15.75" customHeight="1">
      <c r="A51548" s="8"/>
      <c r="B51548" s="12"/>
      <c r="C51548" s="8"/>
      <c r="D51548" s="8"/>
    </row>
    <row r="51549" spans="1:4" ht="15.75" customHeight="1">
      <c r="A51549" s="8"/>
      <c r="B51549" s="12"/>
      <c r="C51549" s="8"/>
      <c r="D51549" s="8"/>
    </row>
    <row r="51550" spans="1:4" ht="15.75" customHeight="1">
      <c r="A51550" s="8"/>
      <c r="B51550" s="12"/>
      <c r="C51550" s="8"/>
      <c r="D51550" s="8"/>
    </row>
    <row r="51551" spans="1:4" ht="15.75" customHeight="1">
      <c r="A51551" s="8"/>
      <c r="B51551" s="12"/>
      <c r="C51551" s="8"/>
      <c r="D51551" s="8"/>
    </row>
    <row r="51552" spans="1:4" ht="15.75" customHeight="1">
      <c r="A51552" s="8"/>
      <c r="B51552" s="12"/>
      <c r="C51552" s="8"/>
      <c r="D51552" s="8"/>
    </row>
    <row r="51553" spans="1:4" ht="15.75" customHeight="1">
      <c r="A51553" s="8"/>
      <c r="B51553" s="12"/>
      <c r="C51553" s="8"/>
      <c r="D51553" s="8"/>
    </row>
    <row r="51554" spans="1:4" ht="15.75" customHeight="1">
      <c r="A51554" s="8"/>
      <c r="B51554" s="12"/>
      <c r="C51554" s="8"/>
      <c r="D51554" s="8"/>
    </row>
    <row r="51555" spans="1:4" ht="15.75" customHeight="1">
      <c r="A51555" s="8"/>
      <c r="B51555" s="12"/>
      <c r="C51555" s="8"/>
      <c r="D51555" s="8"/>
    </row>
    <row r="51556" spans="1:4" ht="15.75" customHeight="1">
      <c r="A51556" s="8"/>
      <c r="B51556" s="12"/>
      <c r="C51556" s="8"/>
      <c r="D51556" s="8"/>
    </row>
    <row r="51557" spans="1:4" ht="15.75" customHeight="1">
      <c r="A51557" s="8"/>
      <c r="B51557" s="12"/>
      <c r="C51557" s="8"/>
      <c r="D51557" s="8"/>
    </row>
    <row r="51558" spans="1:4" ht="15.75" customHeight="1">
      <c r="A51558" s="8"/>
      <c r="B51558" s="12"/>
      <c r="C51558" s="8"/>
      <c r="D51558" s="8"/>
    </row>
    <row r="51559" spans="1:4" ht="15.75" customHeight="1">
      <c r="A51559" s="8"/>
      <c r="B51559" s="12"/>
      <c r="C51559" s="8"/>
      <c r="D51559" s="8"/>
    </row>
    <row r="51560" spans="1:4" ht="15.75" customHeight="1">
      <c r="A51560" s="8"/>
      <c r="B51560" s="12"/>
      <c r="C51560" s="8"/>
      <c r="D51560" s="8"/>
    </row>
    <row r="51561" spans="1:4" ht="15.75" customHeight="1">
      <c r="A51561" s="8"/>
      <c r="B51561" s="12"/>
      <c r="C51561" s="8"/>
      <c r="D51561" s="8"/>
    </row>
    <row r="51562" spans="1:4" ht="15.75" customHeight="1">
      <c r="A51562" s="8"/>
      <c r="B51562" s="12"/>
      <c r="C51562" s="8"/>
      <c r="D51562" s="8"/>
    </row>
    <row r="51563" spans="1:4" ht="15.75" customHeight="1">
      <c r="A51563" s="8"/>
      <c r="B51563" s="12"/>
      <c r="C51563" s="8"/>
      <c r="D51563" s="8"/>
    </row>
    <row r="51564" spans="1:4" ht="15.75" customHeight="1">
      <c r="A51564" s="8"/>
      <c r="B51564" s="12"/>
      <c r="C51564" s="8"/>
      <c r="D51564" s="8"/>
    </row>
    <row r="51565" spans="1:4" ht="15.75" customHeight="1">
      <c r="A51565" s="8"/>
      <c r="B51565" s="12"/>
      <c r="C51565" s="8"/>
      <c r="D51565" s="8"/>
    </row>
    <row r="51566" spans="1:4" ht="15.75" customHeight="1">
      <c r="A51566" s="8"/>
      <c r="B51566" s="12"/>
      <c r="C51566" s="8"/>
      <c r="D51566" s="8"/>
    </row>
    <row r="51567" spans="1:4" ht="15.75" customHeight="1">
      <c r="A51567" s="8"/>
      <c r="B51567" s="12"/>
      <c r="C51567" s="8"/>
      <c r="D51567" s="8"/>
    </row>
    <row r="51568" spans="1:4" ht="15.75" customHeight="1">
      <c r="A51568" s="8"/>
      <c r="B51568" s="12"/>
      <c r="C51568" s="8"/>
      <c r="D51568" s="8"/>
    </row>
    <row r="51569" spans="1:4" ht="15.75" customHeight="1">
      <c r="A51569" s="8"/>
      <c r="B51569" s="12"/>
      <c r="C51569" s="8"/>
      <c r="D51569" s="8"/>
    </row>
    <row r="51570" spans="1:4" ht="15.75" customHeight="1">
      <c r="A51570" s="8"/>
      <c r="B51570" s="12"/>
      <c r="C51570" s="8"/>
      <c r="D51570" s="8"/>
    </row>
    <row r="51571" spans="1:4" ht="15.75" customHeight="1">
      <c r="A51571" s="8"/>
      <c r="B51571" s="12"/>
      <c r="C51571" s="8"/>
      <c r="D51571" s="8"/>
    </row>
    <row r="51572" spans="1:4" ht="15.75" customHeight="1">
      <c r="A51572" s="8"/>
      <c r="B51572" s="12"/>
      <c r="C51572" s="8"/>
      <c r="D51572" s="8"/>
    </row>
    <row r="51573" spans="1:4" ht="15.75" customHeight="1">
      <c r="A51573" s="8"/>
      <c r="B51573" s="12"/>
      <c r="C51573" s="8"/>
      <c r="D51573" s="8"/>
    </row>
    <row r="51574" spans="1:4" ht="15.75" customHeight="1">
      <c r="A51574" s="8"/>
      <c r="B51574" s="12"/>
      <c r="C51574" s="8"/>
      <c r="D51574" s="8"/>
    </row>
    <row r="51575" spans="1:4" ht="15.75" customHeight="1">
      <c r="A51575" s="8"/>
      <c r="B51575" s="12"/>
      <c r="C51575" s="8"/>
      <c r="D51575" s="8"/>
    </row>
    <row r="51576" spans="1:4" ht="15.75" customHeight="1">
      <c r="A51576" s="8"/>
      <c r="B51576" s="12"/>
      <c r="C51576" s="8"/>
      <c r="D51576" s="8"/>
    </row>
    <row r="51577" spans="1:4" ht="15.75" customHeight="1">
      <c r="A51577" s="8"/>
      <c r="B51577" s="12"/>
      <c r="C51577" s="8"/>
      <c r="D51577" s="8"/>
    </row>
    <row r="51578" spans="1:4" ht="15.75" customHeight="1">
      <c r="A51578" s="8"/>
      <c r="B51578" s="12"/>
      <c r="C51578" s="8"/>
      <c r="D51578" s="8"/>
    </row>
    <row r="51579" spans="1:4" ht="15.75" customHeight="1">
      <c r="A51579" s="8"/>
      <c r="B51579" s="12"/>
      <c r="C51579" s="8"/>
      <c r="D51579" s="8"/>
    </row>
    <row r="51580" spans="1:4" ht="15.75" customHeight="1">
      <c r="A51580" s="8"/>
      <c r="B51580" s="12"/>
      <c r="C51580" s="8"/>
      <c r="D51580" s="8"/>
    </row>
    <row r="51581" spans="1:4" ht="15.75" customHeight="1">
      <c r="A51581" s="8"/>
      <c r="B51581" s="12"/>
      <c r="C51581" s="8"/>
      <c r="D51581" s="8"/>
    </row>
    <row r="51582" spans="1:4" ht="15.75" customHeight="1">
      <c r="A51582" s="8"/>
      <c r="B51582" s="12"/>
      <c r="C51582" s="8"/>
      <c r="D51582" s="8"/>
    </row>
    <row r="51583" spans="1:4" ht="15.75" customHeight="1">
      <c r="A51583" s="8"/>
      <c r="B51583" s="12"/>
      <c r="C51583" s="8"/>
      <c r="D51583" s="8"/>
    </row>
    <row r="51584" spans="1:4" ht="15.75" customHeight="1">
      <c r="A51584" s="8"/>
      <c r="B51584" s="12"/>
      <c r="C51584" s="8"/>
      <c r="D51584" s="8"/>
    </row>
    <row r="51585" spans="1:4" ht="15.75" customHeight="1">
      <c r="A51585" s="8"/>
      <c r="B51585" s="12"/>
      <c r="C51585" s="8"/>
      <c r="D51585" s="8"/>
    </row>
    <row r="51586" spans="1:4" ht="15.75" customHeight="1">
      <c r="A51586" s="8"/>
      <c r="B51586" s="12"/>
      <c r="C51586" s="8"/>
      <c r="D51586" s="8"/>
    </row>
    <row r="51587" spans="1:4" ht="15.75" customHeight="1">
      <c r="A51587" s="8"/>
      <c r="B51587" s="12"/>
      <c r="C51587" s="8"/>
      <c r="D51587" s="8"/>
    </row>
    <row r="51588" spans="1:4" ht="15.75" customHeight="1">
      <c r="A51588" s="8"/>
      <c r="B51588" s="12"/>
      <c r="C51588" s="8"/>
      <c r="D51588" s="8"/>
    </row>
    <row r="51589" spans="1:4" ht="15.75" customHeight="1">
      <c r="A51589" s="8"/>
      <c r="B51589" s="12"/>
      <c r="C51589" s="8"/>
      <c r="D51589" s="8"/>
    </row>
    <row r="51590" spans="1:4" ht="15.75" customHeight="1">
      <c r="A51590" s="8"/>
      <c r="B51590" s="12"/>
      <c r="C51590" s="8"/>
      <c r="D51590" s="8"/>
    </row>
    <row r="51591" spans="1:4" ht="15.75" customHeight="1">
      <c r="A51591" s="8"/>
      <c r="B51591" s="12"/>
      <c r="C51591" s="8"/>
      <c r="D51591" s="8"/>
    </row>
    <row r="51592" spans="1:4" ht="15.75" customHeight="1">
      <c r="A51592" s="8"/>
      <c r="B51592" s="12"/>
      <c r="C51592" s="8"/>
      <c r="D51592" s="8"/>
    </row>
    <row r="51593" spans="1:4" ht="15.75" customHeight="1">
      <c r="A51593" s="8"/>
      <c r="B51593" s="12"/>
      <c r="C51593" s="8"/>
      <c r="D51593" s="8"/>
    </row>
    <row r="51594" spans="1:4" ht="15.75" customHeight="1">
      <c r="A51594" s="8"/>
      <c r="B51594" s="12"/>
      <c r="C51594" s="8"/>
      <c r="D51594" s="8"/>
    </row>
    <row r="51595" spans="1:4" ht="15.75" customHeight="1">
      <c r="A51595" s="8"/>
      <c r="B51595" s="12"/>
      <c r="C51595" s="8"/>
      <c r="D51595" s="8"/>
    </row>
    <row r="51596" spans="1:4" ht="15.75" customHeight="1">
      <c r="A51596" s="8"/>
      <c r="B51596" s="12"/>
      <c r="C51596" s="8"/>
      <c r="D51596" s="8"/>
    </row>
    <row r="51597" spans="1:4" ht="15.75" customHeight="1">
      <c r="A51597" s="8"/>
      <c r="B51597" s="12"/>
      <c r="C51597" s="8"/>
      <c r="D51597" s="8"/>
    </row>
    <row r="51598" spans="1:4" ht="15.75" customHeight="1">
      <c r="A51598" s="8"/>
      <c r="B51598" s="12"/>
      <c r="C51598" s="8"/>
      <c r="D51598" s="8"/>
    </row>
    <row r="51599" spans="1:4" ht="15.75" customHeight="1">
      <c r="A51599" s="8"/>
      <c r="B51599" s="12"/>
      <c r="C51599" s="8"/>
      <c r="D51599" s="8"/>
    </row>
    <row r="51600" spans="1:4" ht="15.75" customHeight="1">
      <c r="A51600" s="8"/>
      <c r="B51600" s="12"/>
      <c r="C51600" s="8"/>
      <c r="D51600" s="8"/>
    </row>
    <row r="51601" spans="1:4" ht="15.75" customHeight="1">
      <c r="A51601" s="8"/>
      <c r="B51601" s="12"/>
      <c r="C51601" s="8"/>
      <c r="D51601" s="8"/>
    </row>
    <row r="51602" spans="1:4" ht="15.75" customHeight="1">
      <c r="A51602" s="8"/>
      <c r="B51602" s="12"/>
      <c r="C51602" s="8"/>
      <c r="D51602" s="8"/>
    </row>
    <row r="51603" spans="1:4" ht="15.75" customHeight="1">
      <c r="A51603" s="8"/>
      <c r="B51603" s="12"/>
      <c r="C51603" s="8"/>
      <c r="D51603" s="8"/>
    </row>
    <row r="51604" spans="1:4" ht="15.75" customHeight="1">
      <c r="A51604" s="8"/>
      <c r="B51604" s="12"/>
      <c r="C51604" s="8"/>
      <c r="D51604" s="8"/>
    </row>
    <row r="51605" spans="1:4" ht="15.75" customHeight="1">
      <c r="A51605" s="8"/>
      <c r="B51605" s="12"/>
      <c r="C51605" s="8"/>
      <c r="D51605" s="8"/>
    </row>
    <row r="51606" spans="1:4" ht="15.75" customHeight="1">
      <c r="A51606" s="8"/>
      <c r="B51606" s="12"/>
      <c r="C51606" s="8"/>
      <c r="D51606" s="8"/>
    </row>
    <row r="51607" spans="1:4" ht="15.75" customHeight="1">
      <c r="A51607" s="8"/>
      <c r="B51607" s="12"/>
      <c r="C51607" s="8"/>
      <c r="D51607" s="8"/>
    </row>
    <row r="51608" spans="1:4" ht="15.75" customHeight="1">
      <c r="A51608" s="8"/>
      <c r="B51608" s="12"/>
      <c r="C51608" s="8"/>
      <c r="D51608" s="8"/>
    </row>
    <row r="51609" spans="1:4" ht="15.75" customHeight="1">
      <c r="A51609" s="8"/>
      <c r="B51609" s="12"/>
      <c r="C51609" s="8"/>
      <c r="D51609" s="8"/>
    </row>
    <row r="51610" spans="1:4" ht="15.75" customHeight="1">
      <c r="A51610" s="8"/>
      <c r="B51610" s="12"/>
      <c r="C51610" s="8"/>
      <c r="D51610" s="8"/>
    </row>
    <row r="51611" spans="1:4" ht="15.75" customHeight="1">
      <c r="A51611" s="8"/>
      <c r="B51611" s="12"/>
      <c r="C51611" s="8"/>
      <c r="D51611" s="8"/>
    </row>
    <row r="51612" spans="1:4" ht="15.75" customHeight="1">
      <c r="A51612" s="8"/>
      <c r="B51612" s="12"/>
      <c r="C51612" s="8"/>
      <c r="D51612" s="8"/>
    </row>
    <row r="51613" spans="1:4" ht="15.75" customHeight="1">
      <c r="A51613" s="8"/>
      <c r="B51613" s="12"/>
      <c r="C51613" s="8"/>
      <c r="D51613" s="8"/>
    </row>
    <row r="51614" spans="1:4" ht="15.75" customHeight="1">
      <c r="A51614" s="8"/>
      <c r="B51614" s="12"/>
      <c r="C51614" s="8"/>
      <c r="D51614" s="8"/>
    </row>
    <row r="51615" spans="1:4" ht="15.75" customHeight="1">
      <c r="A51615" s="8"/>
      <c r="B51615" s="12"/>
      <c r="C51615" s="8"/>
      <c r="D51615" s="8"/>
    </row>
    <row r="51616" spans="1:4" ht="15.75" customHeight="1">
      <c r="A51616" s="8"/>
      <c r="B51616" s="12"/>
      <c r="C51616" s="8"/>
      <c r="D51616" s="8"/>
    </row>
    <row r="51617" spans="1:4" ht="15.75" customHeight="1">
      <c r="A51617" s="8"/>
      <c r="B51617" s="12"/>
      <c r="C51617" s="8"/>
      <c r="D51617" s="8"/>
    </row>
    <row r="51618" spans="1:4" ht="15.75" customHeight="1">
      <c r="A51618" s="8"/>
      <c r="B51618" s="12"/>
      <c r="C51618" s="8"/>
      <c r="D51618" s="8"/>
    </row>
    <row r="51619" spans="1:4" ht="15.75" customHeight="1">
      <c r="A51619" s="8"/>
      <c r="B51619" s="12"/>
      <c r="C51619" s="8"/>
      <c r="D51619" s="8"/>
    </row>
    <row r="51620" spans="1:4" ht="15.75" customHeight="1">
      <c r="A51620" s="8"/>
      <c r="B51620" s="12"/>
      <c r="C51620" s="8"/>
      <c r="D51620" s="8"/>
    </row>
    <row r="51621" spans="1:4" ht="15.75" customHeight="1">
      <c r="A51621" s="8"/>
      <c r="B51621" s="12"/>
      <c r="C51621" s="8"/>
      <c r="D51621" s="8"/>
    </row>
    <row r="51622" spans="1:4" ht="15.75" customHeight="1">
      <c r="A51622" s="8"/>
      <c r="B51622" s="12"/>
      <c r="C51622" s="8"/>
      <c r="D51622" s="8"/>
    </row>
    <row r="51623" spans="1:4" ht="15.75" customHeight="1">
      <c r="A51623" s="8"/>
      <c r="B51623" s="12"/>
      <c r="C51623" s="8"/>
      <c r="D51623" s="8"/>
    </row>
    <row r="51624" spans="1:4" ht="15.75" customHeight="1">
      <c r="A51624" s="8"/>
      <c r="B51624" s="12"/>
      <c r="C51624" s="8"/>
      <c r="D51624" s="8"/>
    </row>
    <row r="51625" spans="1:4" ht="15.75" customHeight="1">
      <c r="A51625" s="8"/>
      <c r="B51625" s="12"/>
      <c r="C51625" s="8"/>
      <c r="D51625" s="8"/>
    </row>
    <row r="51626" spans="1:4" ht="15.75" customHeight="1">
      <c r="A51626" s="8"/>
      <c r="B51626" s="12"/>
      <c r="C51626" s="8"/>
      <c r="D51626" s="8"/>
    </row>
    <row r="51627" spans="1:4" ht="15.75" customHeight="1">
      <c r="A51627" s="8"/>
      <c r="B51627" s="12"/>
      <c r="C51627" s="8"/>
      <c r="D51627" s="8"/>
    </row>
    <row r="51628" spans="1:4" ht="15.75" customHeight="1">
      <c r="A51628" s="8"/>
      <c r="B51628" s="12"/>
      <c r="C51628" s="8"/>
      <c r="D51628" s="8"/>
    </row>
    <row r="51629" spans="1:4" ht="15.75" customHeight="1">
      <c r="A51629" s="8"/>
      <c r="B51629" s="12"/>
      <c r="C51629" s="8"/>
      <c r="D51629" s="8"/>
    </row>
    <row r="51630" spans="1:4" ht="15.75" customHeight="1">
      <c r="A51630" s="8"/>
      <c r="B51630" s="12"/>
      <c r="C51630" s="8"/>
      <c r="D51630" s="8"/>
    </row>
    <row r="51631" spans="1:4" ht="15.75" customHeight="1">
      <c r="A51631" s="8"/>
      <c r="B51631" s="12"/>
      <c r="C51631" s="8"/>
      <c r="D51631" s="8"/>
    </row>
    <row r="51632" spans="1:4" ht="15.75" customHeight="1">
      <c r="A51632" s="8"/>
      <c r="B51632" s="12"/>
      <c r="C51632" s="8"/>
      <c r="D51632" s="8"/>
    </row>
    <row r="51633" spans="1:4" ht="15.75" customHeight="1">
      <c r="A51633" s="8"/>
      <c r="B51633" s="12"/>
      <c r="C51633" s="8"/>
      <c r="D51633" s="8"/>
    </row>
    <row r="51634" spans="1:4" ht="15.75" customHeight="1">
      <c r="A51634" s="8"/>
      <c r="B51634" s="12"/>
      <c r="C51634" s="8"/>
      <c r="D51634" s="8"/>
    </row>
    <row r="51635" spans="1:4" ht="15.75" customHeight="1">
      <c r="A51635" s="8"/>
      <c r="B51635" s="12"/>
      <c r="C51635" s="8"/>
      <c r="D51635" s="8"/>
    </row>
    <row r="51636" spans="1:4" ht="15.75" customHeight="1">
      <c r="A51636" s="8"/>
      <c r="B51636" s="12"/>
      <c r="C51636" s="8"/>
      <c r="D51636" s="8"/>
    </row>
    <row r="51637" spans="1:4" ht="15.75" customHeight="1">
      <c r="A51637" s="8"/>
      <c r="B51637" s="12"/>
      <c r="C51637" s="8"/>
      <c r="D51637" s="8"/>
    </row>
    <row r="51638" spans="1:4" ht="15.75" customHeight="1">
      <c r="A51638" s="8"/>
      <c r="B51638" s="12"/>
      <c r="C51638" s="8"/>
      <c r="D51638" s="8"/>
    </row>
    <row r="51639" spans="1:4" ht="15.75" customHeight="1">
      <c r="A51639" s="8"/>
      <c r="B51639" s="12"/>
      <c r="C51639" s="8"/>
      <c r="D51639" s="8"/>
    </row>
    <row r="51640" spans="1:4" ht="15.75" customHeight="1">
      <c r="A51640" s="8"/>
      <c r="B51640" s="12"/>
      <c r="C51640" s="8"/>
      <c r="D51640" s="8"/>
    </row>
    <row r="51641" spans="1:4" ht="15.75" customHeight="1">
      <c r="A51641" s="8"/>
      <c r="B51641" s="12"/>
      <c r="C51641" s="8"/>
      <c r="D51641" s="8"/>
    </row>
    <row r="51642" spans="1:4" ht="15.75" customHeight="1">
      <c r="A51642" s="8"/>
      <c r="B51642" s="12"/>
      <c r="C51642" s="8"/>
      <c r="D51642" s="8"/>
    </row>
    <row r="51643" spans="1:4" ht="15.75" customHeight="1">
      <c r="A51643" s="8"/>
      <c r="B51643" s="12"/>
      <c r="C51643" s="8"/>
      <c r="D51643" s="8"/>
    </row>
    <row r="51644" spans="1:4" ht="15.75" customHeight="1">
      <c r="A51644" s="8"/>
      <c r="B51644" s="12"/>
      <c r="C51644" s="8"/>
      <c r="D51644" s="8"/>
    </row>
    <row r="51645" spans="1:4" ht="15.75" customHeight="1">
      <c r="A51645" s="8"/>
      <c r="B51645" s="12"/>
      <c r="C51645" s="8"/>
      <c r="D51645" s="8"/>
    </row>
    <row r="51646" spans="1:4" ht="15.75" customHeight="1">
      <c r="A51646" s="8"/>
      <c r="B51646" s="12"/>
      <c r="C51646" s="8"/>
      <c r="D51646" s="8"/>
    </row>
    <row r="51647" spans="1:4" ht="15.75" customHeight="1">
      <c r="A51647" s="8"/>
      <c r="B51647" s="12"/>
      <c r="C51647" s="8"/>
      <c r="D51647" s="8"/>
    </row>
    <row r="51648" spans="1:4" ht="15.75" customHeight="1">
      <c r="A51648" s="8"/>
      <c r="B51648" s="12"/>
      <c r="C51648" s="8"/>
      <c r="D51648" s="8"/>
    </row>
    <row r="51649" spans="1:4" ht="15.75" customHeight="1">
      <c r="A51649" s="8"/>
      <c r="B51649" s="12"/>
      <c r="C51649" s="8"/>
      <c r="D51649" s="8"/>
    </row>
    <row r="51650" spans="1:4" ht="15.75" customHeight="1">
      <c r="A51650" s="8"/>
      <c r="B51650" s="12"/>
      <c r="C51650" s="8"/>
      <c r="D51650" s="8"/>
    </row>
    <row r="51651" spans="1:4" ht="15.75" customHeight="1">
      <c r="A51651" s="8"/>
      <c r="B51651" s="12"/>
      <c r="C51651" s="8"/>
      <c r="D51651" s="8"/>
    </row>
    <row r="51652" spans="1:4" ht="15.75" customHeight="1">
      <c r="A51652" s="8"/>
      <c r="B51652" s="12"/>
      <c r="C51652" s="8"/>
      <c r="D51652" s="8"/>
    </row>
    <row r="51653" spans="1:4" ht="15.75" customHeight="1">
      <c r="A51653" s="8"/>
      <c r="B51653" s="12"/>
      <c r="C51653" s="8"/>
      <c r="D51653" s="8"/>
    </row>
    <row r="51654" spans="1:4" ht="15.75" customHeight="1">
      <c r="A51654" s="8"/>
      <c r="B51654" s="12"/>
      <c r="C51654" s="8"/>
      <c r="D51654" s="8"/>
    </row>
    <row r="51655" spans="1:4" ht="15.75" customHeight="1">
      <c r="A51655" s="8"/>
      <c r="B51655" s="12"/>
      <c r="C51655" s="8"/>
      <c r="D51655" s="8"/>
    </row>
    <row r="51656" spans="1:4" ht="15.75" customHeight="1">
      <c r="A51656" s="8"/>
      <c r="B51656" s="12"/>
      <c r="C51656" s="8"/>
      <c r="D51656" s="8"/>
    </row>
    <row r="51657" spans="1:4" ht="15.75" customHeight="1">
      <c r="A51657" s="8"/>
      <c r="B51657" s="12"/>
      <c r="C51657" s="8"/>
      <c r="D51657" s="8"/>
    </row>
    <row r="51658" spans="1:4" ht="15.75" customHeight="1">
      <c r="A51658" s="8"/>
      <c r="B51658" s="12"/>
      <c r="C51658" s="8"/>
      <c r="D51658" s="8"/>
    </row>
    <row r="51659" spans="1:4" ht="15.75" customHeight="1">
      <c r="A51659" s="8"/>
      <c r="B51659" s="12"/>
      <c r="C51659" s="8"/>
      <c r="D51659" s="8"/>
    </row>
    <row r="51660" spans="1:4" ht="15.75" customHeight="1">
      <c r="A51660" s="8"/>
      <c r="B51660" s="12"/>
      <c r="C51660" s="8"/>
      <c r="D51660" s="8"/>
    </row>
    <row r="51661" spans="1:4" ht="15.75" customHeight="1">
      <c r="A51661" s="8"/>
      <c r="B51661" s="12"/>
      <c r="C51661" s="8"/>
      <c r="D51661" s="8"/>
    </row>
    <row r="51662" spans="1:4" ht="15.75" customHeight="1">
      <c r="A51662" s="8"/>
      <c r="B51662" s="12"/>
      <c r="C51662" s="8"/>
      <c r="D51662" s="8"/>
    </row>
    <row r="51663" spans="1:4" ht="15.75" customHeight="1">
      <c r="A51663" s="8"/>
      <c r="B51663" s="12"/>
      <c r="C51663" s="8"/>
      <c r="D51663" s="8"/>
    </row>
    <row r="51664" spans="1:4" ht="15.75" customHeight="1">
      <c r="A51664" s="8"/>
      <c r="B51664" s="12"/>
      <c r="C51664" s="8"/>
      <c r="D51664" s="8"/>
    </row>
    <row r="51665" spans="1:4" ht="15.75" customHeight="1">
      <c r="A51665" s="8"/>
      <c r="B51665" s="12"/>
      <c r="C51665" s="8"/>
      <c r="D51665" s="8"/>
    </row>
    <row r="51666" spans="1:4" ht="15.75" customHeight="1">
      <c r="A51666" s="8"/>
      <c r="B51666" s="12"/>
      <c r="C51666" s="8"/>
      <c r="D51666" s="8"/>
    </row>
    <row r="51667" spans="1:4" ht="15.75" customHeight="1">
      <c r="A51667" s="8"/>
      <c r="B51667" s="12"/>
      <c r="C51667" s="8"/>
      <c r="D51667" s="8"/>
    </row>
    <row r="51668" spans="1:4" ht="15.75" customHeight="1">
      <c r="A51668" s="8"/>
      <c r="B51668" s="12"/>
      <c r="C51668" s="8"/>
      <c r="D51668" s="8"/>
    </row>
    <row r="51669" spans="1:4" ht="15.75" customHeight="1">
      <c r="A51669" s="8"/>
      <c r="B51669" s="12"/>
      <c r="C51669" s="8"/>
      <c r="D51669" s="8"/>
    </row>
    <row r="51670" spans="1:4" ht="15.75" customHeight="1">
      <c r="A51670" s="8"/>
      <c r="B51670" s="12"/>
      <c r="C51670" s="8"/>
      <c r="D51670" s="8"/>
    </row>
    <row r="51671" spans="1:4" ht="15.75" customHeight="1">
      <c r="A51671" s="8"/>
      <c r="B51671" s="12"/>
      <c r="C51671" s="8"/>
      <c r="D51671" s="8"/>
    </row>
    <row r="51672" spans="1:4" ht="15.75" customHeight="1">
      <c r="A51672" s="8"/>
      <c r="B51672" s="12"/>
      <c r="C51672" s="8"/>
      <c r="D51672" s="8"/>
    </row>
    <row r="51673" spans="1:4" ht="15.75" customHeight="1">
      <c r="A51673" s="8"/>
      <c r="B51673" s="12"/>
      <c r="C51673" s="8"/>
      <c r="D51673" s="8"/>
    </row>
    <row r="51674" spans="1:4" ht="15.75" customHeight="1">
      <c r="A51674" s="8"/>
      <c r="B51674" s="12"/>
      <c r="C51674" s="8"/>
      <c r="D51674" s="8"/>
    </row>
    <row r="51675" spans="1:4" ht="15.75" customHeight="1">
      <c r="A51675" s="8"/>
      <c r="B51675" s="12"/>
      <c r="C51675" s="8"/>
      <c r="D51675" s="8"/>
    </row>
    <row r="51676" spans="1:4" ht="15.75" customHeight="1">
      <c r="A51676" s="8"/>
      <c r="B51676" s="12"/>
      <c r="C51676" s="8"/>
      <c r="D51676" s="8"/>
    </row>
    <row r="51677" spans="1:4" ht="15.75" customHeight="1">
      <c r="A51677" s="8"/>
      <c r="B51677" s="12"/>
      <c r="C51677" s="8"/>
      <c r="D51677" s="8"/>
    </row>
    <row r="51678" spans="1:4" ht="15.75" customHeight="1">
      <c r="A51678" s="8"/>
      <c r="B51678" s="12"/>
      <c r="C51678" s="8"/>
      <c r="D51678" s="8"/>
    </row>
    <row r="51679" spans="1:4" ht="15.75" customHeight="1">
      <c r="A51679" s="8"/>
      <c r="B51679" s="12"/>
      <c r="C51679" s="8"/>
      <c r="D51679" s="8"/>
    </row>
    <row r="51680" spans="1:4" ht="15.75" customHeight="1">
      <c r="A51680" s="8"/>
      <c r="B51680" s="12"/>
      <c r="C51680" s="8"/>
      <c r="D51680" s="8"/>
    </row>
    <row r="51681" spans="1:4" ht="15.75" customHeight="1">
      <c r="A51681" s="8"/>
      <c r="B51681" s="12"/>
      <c r="C51681" s="8"/>
      <c r="D51681" s="8"/>
    </row>
    <row r="51682" spans="1:4" ht="15.75" customHeight="1">
      <c r="A51682" s="8"/>
      <c r="B51682" s="12"/>
      <c r="C51682" s="8"/>
      <c r="D51682" s="8"/>
    </row>
    <row r="51683" spans="1:4" ht="15.75" customHeight="1">
      <c r="A51683" s="8"/>
      <c r="B51683" s="12"/>
      <c r="C51683" s="8"/>
      <c r="D51683" s="8"/>
    </row>
    <row r="51684" spans="1:4" ht="15.75" customHeight="1">
      <c r="A51684" s="8"/>
      <c r="B51684" s="12"/>
      <c r="C51684" s="8"/>
      <c r="D51684" s="8"/>
    </row>
    <row r="51685" spans="1:4" ht="15.75" customHeight="1">
      <c r="A51685" s="8"/>
      <c r="B51685" s="12"/>
      <c r="C51685" s="8"/>
      <c r="D51685" s="8"/>
    </row>
    <row r="51686" spans="1:4" ht="15.75" customHeight="1">
      <c r="A51686" s="8"/>
      <c r="B51686" s="12"/>
      <c r="C51686" s="8"/>
      <c r="D51686" s="8"/>
    </row>
    <row r="51687" spans="1:4" ht="15.75" customHeight="1">
      <c r="A51687" s="8"/>
      <c r="B51687" s="12"/>
      <c r="C51687" s="8"/>
      <c r="D51687" s="8"/>
    </row>
    <row r="51688" spans="1:4" ht="15.75" customHeight="1">
      <c r="A51688" s="8"/>
      <c r="B51688" s="12"/>
      <c r="C51688" s="8"/>
      <c r="D51688" s="8"/>
    </row>
    <row r="51689" spans="1:4" ht="15.75" customHeight="1">
      <c r="A51689" s="8"/>
      <c r="B51689" s="12"/>
      <c r="C51689" s="8"/>
      <c r="D51689" s="8"/>
    </row>
    <row r="51690" spans="1:4" ht="15.75" customHeight="1">
      <c r="A51690" s="8"/>
      <c r="B51690" s="12"/>
      <c r="C51690" s="8"/>
      <c r="D51690" s="8"/>
    </row>
    <row r="51691" spans="1:4" ht="15.75" customHeight="1">
      <c r="A51691" s="8"/>
      <c r="B51691" s="12"/>
      <c r="C51691" s="8"/>
      <c r="D51691" s="8"/>
    </row>
    <row r="51692" spans="1:4" ht="15.75" customHeight="1">
      <c r="A51692" s="8"/>
      <c r="B51692" s="12"/>
      <c r="C51692" s="8"/>
      <c r="D51692" s="8"/>
    </row>
    <row r="51693" spans="1:4" ht="15.75" customHeight="1">
      <c r="A51693" s="8"/>
      <c r="B51693" s="12"/>
      <c r="C51693" s="8"/>
      <c r="D51693" s="8"/>
    </row>
    <row r="51694" spans="1:4" ht="15.75" customHeight="1">
      <c r="A51694" s="8"/>
      <c r="B51694" s="12"/>
      <c r="C51694" s="8"/>
      <c r="D51694" s="8"/>
    </row>
    <row r="51695" spans="1:4" ht="15.75" customHeight="1">
      <c r="A51695" s="8"/>
      <c r="B51695" s="12"/>
      <c r="C51695" s="8"/>
      <c r="D51695" s="8"/>
    </row>
    <row r="51696" spans="1:4" ht="15.75" customHeight="1">
      <c r="A51696" s="8"/>
      <c r="B51696" s="12"/>
      <c r="C51696" s="8"/>
      <c r="D51696" s="8"/>
    </row>
    <row r="51697" spans="1:4" ht="15.75" customHeight="1">
      <c r="A51697" s="8"/>
      <c r="B51697" s="12"/>
      <c r="C51697" s="8"/>
      <c r="D51697" s="8"/>
    </row>
    <row r="51698" spans="1:4" ht="15.75" customHeight="1">
      <c r="A51698" s="8"/>
      <c r="B51698" s="12"/>
      <c r="C51698" s="8"/>
      <c r="D51698" s="8"/>
    </row>
    <row r="51699" spans="1:4" ht="15.75" customHeight="1">
      <c r="A51699" s="8"/>
      <c r="B51699" s="12"/>
      <c r="C51699" s="8"/>
      <c r="D51699" s="8"/>
    </row>
    <row r="51700" spans="1:4" ht="15.75" customHeight="1">
      <c r="A51700" s="8"/>
      <c r="B51700" s="12"/>
      <c r="C51700" s="8"/>
      <c r="D51700" s="8"/>
    </row>
    <row r="51701" spans="1:4" ht="15.75" customHeight="1">
      <c r="A51701" s="8"/>
      <c r="B51701" s="12"/>
      <c r="C51701" s="8"/>
      <c r="D51701" s="8"/>
    </row>
    <row r="51702" spans="1:4" ht="15.75" customHeight="1">
      <c r="A51702" s="8"/>
      <c r="B51702" s="12"/>
      <c r="C51702" s="8"/>
      <c r="D51702" s="8"/>
    </row>
    <row r="51703" spans="1:4" ht="15.75" customHeight="1">
      <c r="A51703" s="8"/>
      <c r="B51703" s="12"/>
      <c r="C51703" s="8"/>
      <c r="D51703" s="8"/>
    </row>
    <row r="51704" spans="1:4" ht="15.75" customHeight="1">
      <c r="A51704" s="8"/>
      <c r="B51704" s="12"/>
      <c r="C51704" s="8"/>
      <c r="D51704" s="8"/>
    </row>
    <row r="51705" spans="1:4" ht="15.75" customHeight="1">
      <c r="A51705" s="8"/>
      <c r="B51705" s="12"/>
      <c r="C51705" s="8"/>
      <c r="D51705" s="8"/>
    </row>
    <row r="51706" spans="1:4" ht="15.75" customHeight="1">
      <c r="A51706" s="8"/>
      <c r="B51706" s="12"/>
      <c r="C51706" s="8"/>
      <c r="D51706" s="8"/>
    </row>
    <row r="51707" spans="1:4" ht="15.75" customHeight="1">
      <c r="A51707" s="8"/>
      <c r="B51707" s="12"/>
      <c r="C51707" s="8"/>
      <c r="D51707" s="8"/>
    </row>
    <row r="51708" spans="1:4" ht="15.75" customHeight="1">
      <c r="A51708" s="8"/>
      <c r="B51708" s="12"/>
      <c r="C51708" s="8"/>
      <c r="D51708" s="8"/>
    </row>
    <row r="51709" spans="1:4" ht="15.75" customHeight="1">
      <c r="A51709" s="8"/>
      <c r="B51709" s="12"/>
      <c r="C51709" s="8"/>
      <c r="D51709" s="8"/>
    </row>
    <row r="51710" spans="1:4" ht="15.75" customHeight="1">
      <c r="A51710" s="8"/>
      <c r="B51710" s="12"/>
      <c r="C51710" s="8"/>
      <c r="D51710" s="8"/>
    </row>
    <row r="51711" spans="1:4" ht="15.75" customHeight="1">
      <c r="A51711" s="8"/>
      <c r="B51711" s="12"/>
      <c r="C51711" s="8"/>
      <c r="D51711" s="8"/>
    </row>
    <row r="51712" spans="1:4" ht="15.75" customHeight="1">
      <c r="A51712" s="8"/>
      <c r="B51712" s="12"/>
      <c r="C51712" s="8"/>
      <c r="D51712" s="8"/>
    </row>
    <row r="51713" spans="1:4" ht="15.75" customHeight="1">
      <c r="A51713" s="8"/>
      <c r="B51713" s="12"/>
      <c r="C51713" s="8"/>
      <c r="D51713" s="8"/>
    </row>
    <row r="51714" spans="1:4" ht="15.75" customHeight="1">
      <c r="A51714" s="8"/>
      <c r="B51714" s="12"/>
      <c r="C51714" s="8"/>
      <c r="D51714" s="8"/>
    </row>
    <row r="51715" spans="1:4" ht="15.75" customHeight="1">
      <c r="A51715" s="8"/>
      <c r="B51715" s="12"/>
      <c r="C51715" s="8"/>
      <c r="D51715" s="8"/>
    </row>
    <row r="51716" spans="1:4" ht="15.75" customHeight="1">
      <c r="A51716" s="8"/>
      <c r="B51716" s="12"/>
      <c r="C51716" s="8"/>
      <c r="D51716" s="8"/>
    </row>
    <row r="51717" spans="1:4" ht="15.75" customHeight="1">
      <c r="A51717" s="8"/>
      <c r="B51717" s="12"/>
      <c r="C51717" s="8"/>
      <c r="D51717" s="8"/>
    </row>
    <row r="51718" spans="1:4" ht="15.75" customHeight="1">
      <c r="A51718" s="8"/>
      <c r="B51718" s="12"/>
      <c r="C51718" s="8"/>
      <c r="D51718" s="8"/>
    </row>
    <row r="51719" spans="1:4" ht="15.75" customHeight="1">
      <c r="A51719" s="8"/>
      <c r="B51719" s="12"/>
      <c r="C51719" s="8"/>
      <c r="D51719" s="8"/>
    </row>
    <row r="51720" spans="1:4" ht="15.75" customHeight="1">
      <c r="A51720" s="8"/>
      <c r="B51720" s="12"/>
      <c r="C51720" s="8"/>
      <c r="D51720" s="8"/>
    </row>
    <row r="51721" spans="1:4" ht="15.75" customHeight="1">
      <c r="A51721" s="8"/>
      <c r="B51721" s="12"/>
      <c r="C51721" s="8"/>
      <c r="D51721" s="8"/>
    </row>
    <row r="51722" spans="1:4" ht="15.75" customHeight="1">
      <c r="A51722" s="8"/>
      <c r="B51722" s="12"/>
      <c r="C51722" s="8"/>
      <c r="D51722" s="8"/>
    </row>
    <row r="51723" spans="1:4" ht="15.75" customHeight="1">
      <c r="A51723" s="8"/>
      <c r="B51723" s="12"/>
      <c r="C51723" s="8"/>
      <c r="D51723" s="8"/>
    </row>
    <row r="51724" spans="1:4" ht="15.75" customHeight="1">
      <c r="A51724" s="8"/>
      <c r="B51724" s="12"/>
      <c r="C51724" s="8"/>
      <c r="D51724" s="8"/>
    </row>
    <row r="51725" spans="1:4" ht="15.75" customHeight="1">
      <c r="A51725" s="8"/>
      <c r="B51725" s="12"/>
      <c r="C51725" s="8"/>
      <c r="D51725" s="8"/>
    </row>
    <row r="51726" spans="1:4" ht="15.75" customHeight="1">
      <c r="A51726" s="8"/>
      <c r="B51726" s="12"/>
      <c r="C51726" s="8"/>
      <c r="D51726" s="8"/>
    </row>
    <row r="51727" spans="1:4" ht="15.75" customHeight="1">
      <c r="A51727" s="8"/>
      <c r="B51727" s="12"/>
      <c r="C51727" s="8"/>
      <c r="D51727" s="8"/>
    </row>
    <row r="51728" spans="1:4" ht="15.75" customHeight="1">
      <c r="A51728" s="8"/>
      <c r="B51728" s="12"/>
      <c r="C51728" s="8"/>
      <c r="D51728" s="8"/>
    </row>
    <row r="51729" spans="1:4" ht="15.75" customHeight="1">
      <c r="A51729" s="8"/>
      <c r="B51729" s="12"/>
      <c r="C51729" s="8"/>
      <c r="D51729" s="8"/>
    </row>
    <row r="51730" spans="1:4" ht="15.75" customHeight="1">
      <c r="A51730" s="8"/>
      <c r="B51730" s="12"/>
      <c r="C51730" s="8"/>
      <c r="D51730" s="8"/>
    </row>
    <row r="51731" spans="1:4" ht="15.75" customHeight="1">
      <c r="A51731" s="8"/>
      <c r="B51731" s="12"/>
      <c r="C51731" s="8"/>
      <c r="D51731" s="8"/>
    </row>
    <row r="51732" spans="1:4" ht="15.75" customHeight="1">
      <c r="A51732" s="8"/>
      <c r="B51732" s="12"/>
      <c r="C51732" s="8"/>
      <c r="D51732" s="8"/>
    </row>
    <row r="51733" spans="1:4" ht="15.75" customHeight="1">
      <c r="A51733" s="8"/>
      <c r="B51733" s="12"/>
      <c r="C51733" s="8"/>
      <c r="D51733" s="8"/>
    </row>
    <row r="51734" spans="1:4" ht="15.75" customHeight="1">
      <c r="A51734" s="8"/>
      <c r="B51734" s="12"/>
      <c r="C51734" s="8"/>
      <c r="D51734" s="8"/>
    </row>
    <row r="51735" spans="1:4" ht="15.75" customHeight="1">
      <c r="A51735" s="8"/>
      <c r="B51735" s="12"/>
      <c r="C51735" s="8"/>
      <c r="D51735" s="8"/>
    </row>
    <row r="51736" spans="1:4" ht="15.75" customHeight="1">
      <c r="A51736" s="8"/>
      <c r="B51736" s="12"/>
      <c r="C51736" s="8"/>
      <c r="D51736" s="8"/>
    </row>
    <row r="51737" spans="1:4" ht="15.75" customHeight="1">
      <c r="A51737" s="8"/>
      <c r="B51737" s="12"/>
      <c r="C51737" s="8"/>
      <c r="D51737" s="8"/>
    </row>
    <row r="51738" spans="1:4" ht="15.75" customHeight="1">
      <c r="A51738" s="8"/>
      <c r="B51738" s="12"/>
      <c r="C51738" s="8"/>
      <c r="D51738" s="8"/>
    </row>
    <row r="51739" spans="1:4" ht="15.75" customHeight="1">
      <c r="A51739" s="8"/>
      <c r="B51739" s="12"/>
      <c r="C51739" s="8"/>
      <c r="D51739" s="8"/>
    </row>
    <row r="51740" spans="1:4" ht="15.75" customHeight="1">
      <c r="A51740" s="8"/>
      <c r="B51740" s="12"/>
      <c r="C51740" s="8"/>
      <c r="D51740" s="8"/>
    </row>
    <row r="51741" spans="1:4" ht="15.75" customHeight="1">
      <c r="A51741" s="8"/>
      <c r="B51741" s="12"/>
      <c r="C51741" s="8"/>
      <c r="D51741" s="8"/>
    </row>
    <row r="51742" spans="1:4" ht="15.75" customHeight="1">
      <c r="A51742" s="8"/>
      <c r="B51742" s="12"/>
      <c r="C51742" s="8"/>
      <c r="D51742" s="8"/>
    </row>
    <row r="51743" spans="1:4" ht="15.75" customHeight="1">
      <c r="A51743" s="8"/>
      <c r="B51743" s="12"/>
      <c r="C51743" s="8"/>
      <c r="D51743" s="8"/>
    </row>
    <row r="51744" spans="1:4" ht="15.75" customHeight="1">
      <c r="A51744" s="8"/>
      <c r="B51744" s="12"/>
      <c r="C51744" s="8"/>
      <c r="D51744" s="8"/>
    </row>
    <row r="51745" spans="1:4" ht="15.75" customHeight="1">
      <c r="A51745" s="8"/>
      <c r="B51745" s="12"/>
      <c r="C51745" s="8"/>
      <c r="D51745" s="8"/>
    </row>
    <row r="51746" spans="1:4" ht="15.75" customHeight="1">
      <c r="A51746" s="8"/>
      <c r="B51746" s="12"/>
      <c r="C51746" s="8"/>
      <c r="D51746" s="8"/>
    </row>
    <row r="51747" spans="1:4" ht="15.75" customHeight="1">
      <c r="A51747" s="8"/>
      <c r="B51747" s="12"/>
      <c r="C51747" s="8"/>
      <c r="D51747" s="8"/>
    </row>
    <row r="51748" spans="1:4" ht="15.75" customHeight="1">
      <c r="A51748" s="8"/>
      <c r="B51748" s="12"/>
      <c r="C51748" s="8"/>
      <c r="D51748" s="8"/>
    </row>
    <row r="51749" spans="1:4" ht="15.75" customHeight="1">
      <c r="A51749" s="8"/>
      <c r="B51749" s="12"/>
      <c r="C51749" s="8"/>
      <c r="D51749" s="8"/>
    </row>
    <row r="51750" spans="1:4" ht="15.75" customHeight="1">
      <c r="A51750" s="8"/>
      <c r="B51750" s="12"/>
      <c r="C51750" s="8"/>
      <c r="D51750" s="8"/>
    </row>
    <row r="51751" spans="1:4" ht="15.75" customHeight="1">
      <c r="A51751" s="8"/>
      <c r="B51751" s="12"/>
      <c r="C51751" s="8"/>
      <c r="D51751" s="8"/>
    </row>
    <row r="51752" spans="1:4" ht="15.75" customHeight="1">
      <c r="A51752" s="8"/>
      <c r="B51752" s="12"/>
      <c r="C51752" s="8"/>
      <c r="D51752" s="8"/>
    </row>
    <row r="51753" spans="1:4" ht="15.75" customHeight="1">
      <c r="A51753" s="8"/>
      <c r="B51753" s="12"/>
      <c r="C51753" s="8"/>
      <c r="D51753" s="8"/>
    </row>
    <row r="51754" spans="1:4" ht="15.75" customHeight="1">
      <c r="A51754" s="8"/>
      <c r="B51754" s="12"/>
      <c r="C51754" s="8"/>
      <c r="D51754" s="8"/>
    </row>
    <row r="51755" spans="1:4" ht="15.75" customHeight="1">
      <c r="A51755" s="8"/>
      <c r="B51755" s="12"/>
      <c r="C51755" s="8"/>
      <c r="D51755" s="8"/>
    </row>
    <row r="51756" spans="1:4" ht="15.75" customHeight="1">
      <c r="A51756" s="8"/>
      <c r="B51756" s="12"/>
      <c r="C51756" s="8"/>
      <c r="D51756" s="8"/>
    </row>
    <row r="51757" spans="1:4" ht="15.75" customHeight="1">
      <c r="A51757" s="8"/>
      <c r="B51757" s="12"/>
      <c r="C51757" s="8"/>
      <c r="D51757" s="8"/>
    </row>
    <row r="51758" spans="1:4" ht="15.75" customHeight="1">
      <c r="A51758" s="8"/>
      <c r="B51758" s="12"/>
      <c r="C51758" s="8"/>
      <c r="D51758" s="8"/>
    </row>
    <row r="51759" spans="1:4" ht="15.75" customHeight="1">
      <c r="A51759" s="8"/>
      <c r="B51759" s="12"/>
      <c r="C51759" s="8"/>
      <c r="D51759" s="8"/>
    </row>
    <row r="51760" spans="1:4" ht="15.75" customHeight="1">
      <c r="A51760" s="8"/>
      <c r="B51760" s="12"/>
      <c r="C51760" s="8"/>
      <c r="D51760" s="8"/>
    </row>
    <row r="51761" spans="1:4" ht="15.75" customHeight="1">
      <c r="A51761" s="8"/>
      <c r="B51761" s="12"/>
      <c r="C51761" s="8"/>
      <c r="D51761" s="8"/>
    </row>
    <row r="51762" spans="1:4" ht="15.75" customHeight="1">
      <c r="A51762" s="8"/>
      <c r="B51762" s="12"/>
      <c r="C51762" s="8"/>
      <c r="D51762" s="8"/>
    </row>
    <row r="51763" spans="1:4" ht="15.75" customHeight="1">
      <c r="A51763" s="8"/>
      <c r="B51763" s="12"/>
      <c r="C51763" s="8"/>
      <c r="D51763" s="8"/>
    </row>
    <row r="51764" spans="1:4" ht="15.75" customHeight="1">
      <c r="A51764" s="8"/>
      <c r="B51764" s="12"/>
      <c r="C51764" s="8"/>
      <c r="D51764" s="8"/>
    </row>
    <row r="51765" spans="1:4" ht="15.75" customHeight="1">
      <c r="A51765" s="8"/>
      <c r="B51765" s="12"/>
      <c r="C51765" s="8"/>
      <c r="D51765" s="8"/>
    </row>
    <row r="51766" spans="1:4" ht="15.75" customHeight="1">
      <c r="A51766" s="8"/>
      <c r="B51766" s="12"/>
      <c r="C51766" s="8"/>
      <c r="D51766" s="8"/>
    </row>
    <row r="51767" spans="1:4" ht="15.75" customHeight="1">
      <c r="A51767" s="8"/>
      <c r="B51767" s="12"/>
      <c r="C51767" s="8"/>
      <c r="D51767" s="8"/>
    </row>
    <row r="51768" spans="1:4" ht="15.75" customHeight="1">
      <c r="A51768" s="8"/>
      <c r="B51768" s="12"/>
      <c r="C51768" s="8"/>
      <c r="D51768" s="8"/>
    </row>
    <row r="51769" spans="1:4" ht="15.75" customHeight="1">
      <c r="A51769" s="8"/>
      <c r="B51769" s="12"/>
      <c r="C51769" s="8"/>
      <c r="D51769" s="8"/>
    </row>
    <row r="51770" spans="1:4" ht="15.75" customHeight="1">
      <c r="A51770" s="8"/>
      <c r="B51770" s="12"/>
      <c r="C51770" s="8"/>
      <c r="D51770" s="8"/>
    </row>
    <row r="51771" spans="1:4" ht="15.75" customHeight="1">
      <c r="A51771" s="8"/>
      <c r="B51771" s="12"/>
      <c r="C51771" s="8"/>
      <c r="D51771" s="8"/>
    </row>
    <row r="51772" spans="1:4" ht="15.75" customHeight="1">
      <c r="A51772" s="8"/>
      <c r="B51772" s="12"/>
      <c r="C51772" s="8"/>
      <c r="D51772" s="8"/>
    </row>
    <row r="51773" spans="1:4" ht="15.75" customHeight="1">
      <c r="A51773" s="8"/>
      <c r="B51773" s="12"/>
      <c r="C51773" s="8"/>
      <c r="D51773" s="8"/>
    </row>
    <row r="51774" spans="1:4" ht="15.75" customHeight="1">
      <c r="A51774" s="8"/>
      <c r="B51774" s="12"/>
      <c r="C51774" s="8"/>
      <c r="D51774" s="8"/>
    </row>
    <row r="51775" spans="1:4" ht="15.75" customHeight="1">
      <c r="A51775" s="8"/>
      <c r="B51775" s="12"/>
      <c r="C51775" s="8"/>
      <c r="D51775" s="8"/>
    </row>
    <row r="51776" spans="1:4" ht="15.75" customHeight="1">
      <c r="A51776" s="8"/>
      <c r="B51776" s="12"/>
      <c r="C51776" s="8"/>
      <c r="D51776" s="8"/>
    </row>
    <row r="51777" spans="1:4" ht="15.75" customHeight="1">
      <c r="A51777" s="8"/>
      <c r="B51777" s="12"/>
      <c r="C51777" s="8"/>
      <c r="D51777" s="8"/>
    </row>
    <row r="51778" spans="1:4" ht="15.75" customHeight="1">
      <c r="A51778" s="8"/>
      <c r="B51778" s="12"/>
      <c r="C51778" s="8"/>
      <c r="D51778" s="8"/>
    </row>
    <row r="51779" spans="1:4" ht="15.75" customHeight="1">
      <c r="A51779" s="8"/>
      <c r="B51779" s="12"/>
      <c r="C51779" s="8"/>
      <c r="D51779" s="8"/>
    </row>
    <row r="51780" spans="1:4" ht="15.75" customHeight="1">
      <c r="A51780" s="8"/>
      <c r="B51780" s="12"/>
      <c r="C51780" s="8"/>
      <c r="D51780" s="8"/>
    </row>
    <row r="51781" spans="1:4" ht="15.75" customHeight="1">
      <c r="A51781" s="8"/>
      <c r="B51781" s="12"/>
      <c r="C51781" s="8"/>
      <c r="D51781" s="8"/>
    </row>
    <row r="51782" spans="1:4" ht="15.75" customHeight="1">
      <c r="A51782" s="8"/>
      <c r="B51782" s="12"/>
      <c r="C51782" s="8"/>
      <c r="D51782" s="8"/>
    </row>
    <row r="51783" spans="1:4" ht="15.75" customHeight="1">
      <c r="A51783" s="8"/>
      <c r="B51783" s="12"/>
      <c r="C51783" s="8"/>
      <c r="D51783" s="8"/>
    </row>
    <row r="51784" spans="1:4" ht="15.75" customHeight="1">
      <c r="A51784" s="8"/>
      <c r="B51784" s="12"/>
      <c r="C51784" s="8"/>
      <c r="D51784" s="8"/>
    </row>
    <row r="51785" spans="1:4" ht="15.75" customHeight="1">
      <c r="A51785" s="8"/>
      <c r="B51785" s="12"/>
      <c r="C51785" s="8"/>
      <c r="D51785" s="8"/>
    </row>
    <row r="51786" spans="1:4" ht="15.75" customHeight="1">
      <c r="A51786" s="8"/>
      <c r="B51786" s="12"/>
      <c r="C51786" s="8"/>
      <c r="D51786" s="8"/>
    </row>
    <row r="51787" spans="1:4" ht="15.75" customHeight="1">
      <c r="A51787" s="8"/>
      <c r="B51787" s="12"/>
      <c r="C51787" s="8"/>
      <c r="D51787" s="8"/>
    </row>
    <row r="51788" spans="1:4" ht="15.75" customHeight="1">
      <c r="A51788" s="8"/>
      <c r="B51788" s="12"/>
      <c r="C51788" s="8"/>
      <c r="D51788" s="8"/>
    </row>
    <row r="51789" spans="1:4" ht="15.75" customHeight="1">
      <c r="A51789" s="8"/>
      <c r="B51789" s="12"/>
      <c r="C51789" s="8"/>
      <c r="D51789" s="8"/>
    </row>
    <row r="51790" spans="1:4" ht="15.75" customHeight="1">
      <c r="A51790" s="8"/>
      <c r="B51790" s="12"/>
      <c r="C51790" s="8"/>
      <c r="D51790" s="8"/>
    </row>
    <row r="51791" spans="1:4" ht="15.75" customHeight="1">
      <c r="A51791" s="8"/>
      <c r="B51791" s="12"/>
      <c r="C51791" s="8"/>
      <c r="D51791" s="8"/>
    </row>
    <row r="51792" spans="1:4" ht="15.75" customHeight="1">
      <c r="A51792" s="8"/>
      <c r="B51792" s="12"/>
      <c r="C51792" s="8"/>
      <c r="D51792" s="8"/>
    </row>
    <row r="51793" spans="1:4" ht="15.75" customHeight="1">
      <c r="A51793" s="8"/>
      <c r="B51793" s="12"/>
      <c r="C51793" s="8"/>
      <c r="D51793" s="8"/>
    </row>
    <row r="51794" spans="1:4" ht="15.75" customHeight="1">
      <c r="A51794" s="8"/>
      <c r="B51794" s="12"/>
      <c r="C51794" s="8"/>
      <c r="D51794" s="8"/>
    </row>
    <row r="51795" spans="1:4" ht="15.75" customHeight="1">
      <c r="A51795" s="8"/>
      <c r="B51795" s="12"/>
      <c r="C51795" s="8"/>
      <c r="D51795" s="8"/>
    </row>
    <row r="51796" spans="1:4" ht="15.75" customHeight="1">
      <c r="A51796" s="8"/>
      <c r="B51796" s="12"/>
      <c r="C51796" s="8"/>
      <c r="D51796" s="8"/>
    </row>
    <row r="51797" spans="1:4" ht="15.75" customHeight="1">
      <c r="A51797" s="8"/>
      <c r="B51797" s="12"/>
      <c r="C51797" s="8"/>
      <c r="D51797" s="8"/>
    </row>
    <row r="51798" spans="1:4" ht="15.75" customHeight="1">
      <c r="A51798" s="8"/>
      <c r="B51798" s="12"/>
      <c r="C51798" s="8"/>
      <c r="D51798" s="8"/>
    </row>
    <row r="51799" spans="1:4" ht="15.75" customHeight="1">
      <c r="A51799" s="8"/>
      <c r="B51799" s="12"/>
      <c r="C51799" s="8"/>
      <c r="D51799" s="8"/>
    </row>
    <row r="51800" spans="1:4" ht="15.75" customHeight="1">
      <c r="A51800" s="8"/>
      <c r="B51800" s="12"/>
      <c r="C51800" s="8"/>
      <c r="D51800" s="8"/>
    </row>
    <row r="51801" spans="1:4" ht="15.75" customHeight="1">
      <c r="A51801" s="8"/>
      <c r="B51801" s="12"/>
      <c r="C51801" s="8"/>
      <c r="D51801" s="8"/>
    </row>
    <row r="51802" spans="1:4" ht="15.75" customHeight="1">
      <c r="A51802" s="8"/>
      <c r="B51802" s="12"/>
      <c r="C51802" s="8"/>
      <c r="D51802" s="8"/>
    </row>
    <row r="51803" spans="1:4" ht="15.75" customHeight="1">
      <c r="A51803" s="8"/>
      <c r="B51803" s="12"/>
      <c r="C51803" s="8"/>
      <c r="D51803" s="8"/>
    </row>
    <row r="51804" spans="1:4" ht="15.75" customHeight="1">
      <c r="A51804" s="8"/>
      <c r="B51804" s="12"/>
      <c r="C51804" s="8"/>
      <c r="D51804" s="8"/>
    </row>
    <row r="51805" spans="1:4" ht="15.75" customHeight="1">
      <c r="A51805" s="8"/>
      <c r="B51805" s="12"/>
      <c r="C51805" s="8"/>
      <c r="D51805" s="8"/>
    </row>
    <row r="51806" spans="1:4" ht="15.75" customHeight="1">
      <c r="A51806" s="8"/>
      <c r="B51806" s="12"/>
      <c r="C51806" s="8"/>
      <c r="D51806" s="8"/>
    </row>
    <row r="51807" spans="1:4" ht="15.75" customHeight="1">
      <c r="A51807" s="8"/>
      <c r="B51807" s="12"/>
      <c r="C51807" s="8"/>
      <c r="D51807" s="8"/>
    </row>
    <row r="51808" spans="1:4" ht="15.75" customHeight="1">
      <c r="A51808" s="8"/>
      <c r="B51808" s="12"/>
      <c r="C51808" s="8"/>
      <c r="D51808" s="8"/>
    </row>
    <row r="51809" spans="1:4" ht="15.75" customHeight="1">
      <c r="A51809" s="8"/>
      <c r="B51809" s="12"/>
      <c r="C51809" s="8"/>
      <c r="D51809" s="8"/>
    </row>
    <row r="51810" spans="1:4" ht="15.75" customHeight="1">
      <c r="A51810" s="8"/>
      <c r="B51810" s="12"/>
      <c r="C51810" s="8"/>
      <c r="D51810" s="8"/>
    </row>
    <row r="51811" spans="1:4" ht="15.75" customHeight="1">
      <c r="A51811" s="8"/>
      <c r="B51811" s="12"/>
      <c r="C51811" s="8"/>
      <c r="D51811" s="8"/>
    </row>
    <row r="51812" spans="1:4" ht="15.75" customHeight="1">
      <c r="A51812" s="8"/>
      <c r="B51812" s="12"/>
      <c r="C51812" s="8"/>
      <c r="D51812" s="8"/>
    </row>
    <row r="51813" spans="1:4" ht="15.75" customHeight="1">
      <c r="A51813" s="8"/>
      <c r="B51813" s="12"/>
      <c r="C51813" s="8"/>
      <c r="D51813" s="8"/>
    </row>
    <row r="51814" spans="1:4" ht="15.75" customHeight="1">
      <c r="A51814" s="8"/>
      <c r="B51814" s="12"/>
      <c r="C51814" s="8"/>
      <c r="D51814" s="8"/>
    </row>
    <row r="51815" spans="1:4" ht="15.75" customHeight="1">
      <c r="A51815" s="8"/>
      <c r="B51815" s="12"/>
      <c r="C51815" s="8"/>
      <c r="D51815" s="8"/>
    </row>
    <row r="51816" spans="1:4" ht="15.75" customHeight="1">
      <c r="A51816" s="8"/>
      <c r="B51816" s="12"/>
      <c r="C51816" s="8"/>
      <c r="D51816" s="8"/>
    </row>
    <row r="51817" spans="1:4" ht="15.75" customHeight="1">
      <c r="A51817" s="8"/>
      <c r="B51817" s="12"/>
      <c r="C51817" s="8"/>
      <c r="D51817" s="8"/>
    </row>
    <row r="51818" spans="1:4" ht="15.75" customHeight="1">
      <c r="A51818" s="8"/>
      <c r="B51818" s="12"/>
      <c r="C51818" s="8"/>
      <c r="D51818" s="8"/>
    </row>
    <row r="51819" spans="1:4" ht="15.75" customHeight="1">
      <c r="A51819" s="8"/>
      <c r="B51819" s="12"/>
      <c r="C51819" s="8"/>
      <c r="D51819" s="8"/>
    </row>
    <row r="51820" spans="1:4" ht="15.75" customHeight="1">
      <c r="A51820" s="8"/>
      <c r="B51820" s="12"/>
      <c r="C51820" s="8"/>
      <c r="D51820" s="8"/>
    </row>
    <row r="51821" spans="1:4" ht="15.75" customHeight="1">
      <c r="A51821" s="8"/>
      <c r="B51821" s="12"/>
      <c r="C51821" s="8"/>
      <c r="D51821" s="8"/>
    </row>
    <row r="51822" spans="1:4" ht="15.75" customHeight="1">
      <c r="A51822" s="8"/>
      <c r="B51822" s="12"/>
      <c r="C51822" s="8"/>
      <c r="D51822" s="8"/>
    </row>
    <row r="51823" spans="1:4" ht="15.75" customHeight="1">
      <c r="A51823" s="8"/>
      <c r="B51823" s="12"/>
      <c r="C51823" s="8"/>
      <c r="D51823" s="8"/>
    </row>
    <row r="51824" spans="1:4" ht="15.75" customHeight="1">
      <c r="A51824" s="8"/>
      <c r="B51824" s="12"/>
      <c r="C51824" s="8"/>
      <c r="D51824" s="8"/>
    </row>
    <row r="51825" spans="1:4" ht="15.75" customHeight="1">
      <c r="A51825" s="8"/>
      <c r="B51825" s="12"/>
      <c r="C51825" s="8"/>
      <c r="D51825" s="8"/>
    </row>
    <row r="51826" spans="1:4" ht="15.75" customHeight="1">
      <c r="A51826" s="8"/>
      <c r="B51826" s="12"/>
      <c r="C51826" s="8"/>
      <c r="D51826" s="8"/>
    </row>
    <row r="51827" spans="1:4" ht="15.75" customHeight="1">
      <c r="A51827" s="8"/>
      <c r="B51827" s="12"/>
      <c r="C51827" s="8"/>
      <c r="D51827" s="8"/>
    </row>
    <row r="51828" spans="1:4" ht="15.75" customHeight="1">
      <c r="A51828" s="8"/>
      <c r="B51828" s="12"/>
      <c r="C51828" s="8"/>
      <c r="D51828" s="8"/>
    </row>
    <row r="51829" spans="1:4" ht="15.75" customHeight="1">
      <c r="A51829" s="8"/>
      <c r="B51829" s="12"/>
      <c r="C51829" s="8"/>
      <c r="D51829" s="8"/>
    </row>
    <row r="51830" spans="1:4" ht="15.75" customHeight="1">
      <c r="A51830" s="8"/>
      <c r="B51830" s="12"/>
      <c r="C51830" s="8"/>
      <c r="D51830" s="8"/>
    </row>
    <row r="51831" spans="1:4" ht="15.75" customHeight="1">
      <c r="A51831" s="8"/>
      <c r="B51831" s="12"/>
      <c r="C51831" s="8"/>
      <c r="D51831" s="8"/>
    </row>
    <row r="51832" spans="1:4" ht="15.75" customHeight="1">
      <c r="A51832" s="8"/>
      <c r="B51832" s="12"/>
      <c r="C51832" s="8"/>
      <c r="D51832" s="8"/>
    </row>
    <row r="51833" spans="1:4" ht="15.75" customHeight="1">
      <c r="A51833" s="8"/>
      <c r="B51833" s="12"/>
      <c r="C51833" s="8"/>
      <c r="D51833" s="8"/>
    </row>
    <row r="51834" spans="1:4" ht="15.75" customHeight="1">
      <c r="A51834" s="8"/>
      <c r="B51834" s="12"/>
      <c r="C51834" s="8"/>
      <c r="D51834" s="8"/>
    </row>
    <row r="51835" spans="1:4" ht="15.75" customHeight="1">
      <c r="A51835" s="8"/>
      <c r="B51835" s="12"/>
      <c r="C51835" s="8"/>
      <c r="D51835" s="8"/>
    </row>
    <row r="51836" spans="1:4" ht="15.75" customHeight="1">
      <c r="A51836" s="8"/>
      <c r="B51836" s="12"/>
      <c r="C51836" s="8"/>
      <c r="D51836" s="8"/>
    </row>
    <row r="51837" spans="1:4" ht="15.75" customHeight="1">
      <c r="A51837" s="8"/>
      <c r="B51837" s="12"/>
      <c r="C51837" s="8"/>
      <c r="D51837" s="8"/>
    </row>
    <row r="51838" spans="1:4" ht="15.75" customHeight="1">
      <c r="A51838" s="8"/>
      <c r="B51838" s="12"/>
      <c r="C51838" s="8"/>
      <c r="D51838" s="8"/>
    </row>
    <row r="51839" spans="1:4" ht="15.75" customHeight="1">
      <c r="A51839" s="8"/>
      <c r="B51839" s="12"/>
      <c r="C51839" s="8"/>
      <c r="D51839" s="8"/>
    </row>
    <row r="51840" spans="1:4" ht="15.75" customHeight="1">
      <c r="A51840" s="8"/>
      <c r="B51840" s="12"/>
      <c r="C51840" s="8"/>
      <c r="D51840" s="8"/>
    </row>
    <row r="51841" spans="1:4" ht="15.75" customHeight="1">
      <c r="A51841" s="8"/>
      <c r="B51841" s="12"/>
      <c r="C51841" s="8"/>
      <c r="D51841" s="8"/>
    </row>
    <row r="51842" spans="1:4" ht="15.75" customHeight="1">
      <c r="A51842" s="8"/>
      <c r="B51842" s="12"/>
      <c r="C51842" s="8"/>
      <c r="D51842" s="8"/>
    </row>
    <row r="51843" spans="1:4" ht="15.75" customHeight="1">
      <c r="A51843" s="8"/>
      <c r="B51843" s="12"/>
      <c r="C51843" s="8"/>
      <c r="D51843" s="8"/>
    </row>
    <row r="51844" spans="1:4" ht="15.75" customHeight="1">
      <c r="A51844" s="8"/>
      <c r="B51844" s="12"/>
      <c r="C51844" s="8"/>
      <c r="D51844" s="8"/>
    </row>
    <row r="51845" spans="1:4" ht="15.75" customHeight="1">
      <c r="A51845" s="8"/>
      <c r="B51845" s="12"/>
      <c r="C51845" s="8"/>
      <c r="D51845" s="8"/>
    </row>
    <row r="51846" spans="1:4" ht="15.75" customHeight="1">
      <c r="A51846" s="8"/>
      <c r="B51846" s="12"/>
      <c r="C51846" s="8"/>
      <c r="D51846" s="8"/>
    </row>
    <row r="51847" spans="1:4" ht="15.75" customHeight="1">
      <c r="A51847" s="8"/>
      <c r="B51847" s="12"/>
      <c r="C51847" s="8"/>
      <c r="D51847" s="8"/>
    </row>
    <row r="51848" spans="1:4" ht="15.75" customHeight="1">
      <c r="A51848" s="8"/>
      <c r="B51848" s="12"/>
      <c r="C51848" s="8"/>
      <c r="D51848" s="8"/>
    </row>
    <row r="51849" spans="1:4" ht="15.75" customHeight="1">
      <c r="A51849" s="8"/>
      <c r="B51849" s="12"/>
      <c r="C51849" s="8"/>
      <c r="D51849" s="8"/>
    </row>
    <row r="51850" spans="1:4" ht="15.75" customHeight="1">
      <c r="A51850" s="8"/>
      <c r="B51850" s="12"/>
      <c r="C51850" s="8"/>
      <c r="D51850" s="8"/>
    </row>
    <row r="51851" spans="1:4" ht="15.75" customHeight="1">
      <c r="A51851" s="8"/>
      <c r="B51851" s="12"/>
      <c r="C51851" s="8"/>
      <c r="D51851" s="8"/>
    </row>
    <row r="51852" spans="1:4" ht="15.75" customHeight="1">
      <c r="A51852" s="8"/>
      <c r="B51852" s="12"/>
      <c r="C51852" s="8"/>
      <c r="D51852" s="8"/>
    </row>
    <row r="51853" spans="1:4" ht="15.75" customHeight="1">
      <c r="A51853" s="8"/>
      <c r="B51853" s="12"/>
      <c r="C51853" s="8"/>
      <c r="D51853" s="8"/>
    </row>
    <row r="51854" spans="1:4" ht="15.75" customHeight="1">
      <c r="A51854" s="8"/>
      <c r="B51854" s="12"/>
      <c r="C51854" s="8"/>
      <c r="D51854" s="8"/>
    </row>
    <row r="51855" spans="1:4" ht="15.75" customHeight="1">
      <c r="A51855" s="8"/>
      <c r="B51855" s="12"/>
      <c r="C51855" s="8"/>
      <c r="D51855" s="8"/>
    </row>
    <row r="51856" spans="1:4" ht="15.75" customHeight="1">
      <c r="A51856" s="8"/>
      <c r="B51856" s="12"/>
      <c r="C51856" s="8"/>
      <c r="D51856" s="8"/>
    </row>
    <row r="51857" spans="1:4" ht="15.75" customHeight="1">
      <c r="A51857" s="8"/>
      <c r="B51857" s="12"/>
      <c r="C51857" s="8"/>
      <c r="D51857" s="8"/>
    </row>
    <row r="51858" spans="1:4" ht="15.75" customHeight="1">
      <c r="A51858" s="8"/>
      <c r="B51858" s="12"/>
      <c r="C51858" s="8"/>
      <c r="D51858" s="8"/>
    </row>
    <row r="51859" spans="1:4" ht="15.75" customHeight="1">
      <c r="A51859" s="8"/>
      <c r="B51859" s="12"/>
      <c r="C51859" s="8"/>
      <c r="D51859" s="8"/>
    </row>
    <row r="51860" spans="1:4" ht="15.75" customHeight="1">
      <c r="A51860" s="8"/>
      <c r="B51860" s="12"/>
      <c r="C51860" s="8"/>
      <c r="D51860" s="8"/>
    </row>
    <row r="51861" spans="1:4" ht="15.75" customHeight="1">
      <c r="A51861" s="8"/>
      <c r="B51861" s="12"/>
      <c r="C51861" s="8"/>
      <c r="D51861" s="8"/>
    </row>
    <row r="51862" spans="1:4" ht="15.75" customHeight="1">
      <c r="A51862" s="8"/>
      <c r="B51862" s="12"/>
      <c r="C51862" s="8"/>
      <c r="D51862" s="8"/>
    </row>
    <row r="51863" spans="1:4" ht="15.75" customHeight="1">
      <c r="A51863" s="8"/>
      <c r="B51863" s="12"/>
      <c r="C51863" s="8"/>
      <c r="D51863" s="8"/>
    </row>
    <row r="51864" spans="1:4" ht="15.75" customHeight="1">
      <c r="A51864" s="8"/>
      <c r="B51864" s="12"/>
      <c r="C51864" s="8"/>
      <c r="D51864" s="8"/>
    </row>
    <row r="51865" spans="1:4" ht="15.75" customHeight="1">
      <c r="A51865" s="8"/>
      <c r="B51865" s="12"/>
      <c r="C51865" s="8"/>
      <c r="D51865" s="8"/>
    </row>
    <row r="51866" spans="1:4" ht="15.75" customHeight="1">
      <c r="A51866" s="8"/>
      <c r="B51866" s="12"/>
      <c r="C51866" s="8"/>
      <c r="D51866" s="8"/>
    </row>
    <row r="51867" spans="1:4" ht="15.75" customHeight="1">
      <c r="A51867" s="8"/>
      <c r="B51867" s="12"/>
      <c r="C51867" s="8"/>
      <c r="D51867" s="8"/>
    </row>
    <row r="51868" spans="1:4" ht="15.75" customHeight="1">
      <c r="A51868" s="8"/>
      <c r="B51868" s="12"/>
      <c r="C51868" s="8"/>
      <c r="D51868" s="8"/>
    </row>
    <row r="51869" spans="1:4" ht="15.75" customHeight="1">
      <c r="A51869" s="8"/>
      <c r="B51869" s="12"/>
      <c r="C51869" s="8"/>
      <c r="D51869" s="8"/>
    </row>
    <row r="51870" spans="1:4" ht="15.75" customHeight="1">
      <c r="A51870" s="8"/>
      <c r="B51870" s="12"/>
      <c r="C51870" s="8"/>
      <c r="D51870" s="8"/>
    </row>
    <row r="51871" spans="1:4" ht="15.75" customHeight="1">
      <c r="A51871" s="8"/>
      <c r="B51871" s="12"/>
      <c r="C51871" s="8"/>
      <c r="D51871" s="8"/>
    </row>
    <row r="51872" spans="1:4" ht="15.75" customHeight="1">
      <c r="A51872" s="8"/>
      <c r="B51872" s="12"/>
      <c r="C51872" s="8"/>
      <c r="D51872" s="8"/>
    </row>
    <row r="51873" spans="1:4" ht="15.75" customHeight="1">
      <c r="A51873" s="8"/>
      <c r="B51873" s="12"/>
      <c r="C51873" s="8"/>
      <c r="D51873" s="8"/>
    </row>
    <row r="51874" spans="1:4" ht="15.75" customHeight="1">
      <c r="A51874" s="8"/>
      <c r="B51874" s="12"/>
      <c r="C51874" s="8"/>
      <c r="D51874" s="8"/>
    </row>
    <row r="51875" spans="1:4" ht="15.75" customHeight="1">
      <c r="A51875" s="8"/>
      <c r="B51875" s="12"/>
      <c r="C51875" s="8"/>
      <c r="D51875" s="8"/>
    </row>
    <row r="51876" spans="1:4" ht="15.75" customHeight="1">
      <c r="A51876" s="8"/>
      <c r="B51876" s="12"/>
      <c r="C51876" s="8"/>
      <c r="D51876" s="8"/>
    </row>
    <row r="51877" spans="1:4" ht="15.75" customHeight="1">
      <c r="A51877" s="8"/>
      <c r="B51877" s="12"/>
      <c r="C51877" s="8"/>
      <c r="D51877" s="8"/>
    </row>
    <row r="51878" spans="1:4" ht="15.75" customHeight="1">
      <c r="A51878" s="8"/>
      <c r="B51878" s="12"/>
      <c r="C51878" s="8"/>
      <c r="D51878" s="8"/>
    </row>
    <row r="51879" spans="1:4" ht="15.75" customHeight="1">
      <c r="A51879" s="8"/>
      <c r="B51879" s="12"/>
      <c r="C51879" s="8"/>
      <c r="D51879" s="8"/>
    </row>
    <row r="51880" spans="1:4" ht="15.75" customHeight="1">
      <c r="A51880" s="8"/>
      <c r="B51880" s="12"/>
      <c r="C51880" s="8"/>
      <c r="D51880" s="8"/>
    </row>
    <row r="51881" spans="1:4" ht="15.75" customHeight="1">
      <c r="A51881" s="8"/>
      <c r="B51881" s="12"/>
      <c r="C51881" s="8"/>
      <c r="D51881" s="8"/>
    </row>
    <row r="51882" spans="1:4" ht="15.75" customHeight="1">
      <c r="A51882" s="8"/>
      <c r="B51882" s="12"/>
      <c r="C51882" s="8"/>
      <c r="D51882" s="8"/>
    </row>
    <row r="51883" spans="1:4" ht="15.75" customHeight="1">
      <c r="A51883" s="8"/>
      <c r="B51883" s="12"/>
      <c r="C51883" s="8"/>
      <c r="D51883" s="8"/>
    </row>
    <row r="51884" spans="1:4" ht="15.75" customHeight="1">
      <c r="A51884" s="8"/>
      <c r="B51884" s="12"/>
      <c r="C51884" s="8"/>
      <c r="D51884" s="8"/>
    </row>
    <row r="51885" spans="1:4" ht="15.75" customHeight="1">
      <c r="A51885" s="8"/>
      <c r="B51885" s="12"/>
      <c r="C51885" s="8"/>
      <c r="D51885" s="8"/>
    </row>
    <row r="51886" spans="1:4" ht="15.75" customHeight="1">
      <c r="A51886" s="8"/>
      <c r="B51886" s="12"/>
      <c r="C51886" s="8"/>
      <c r="D51886" s="8"/>
    </row>
    <row r="51887" spans="1:4" ht="15.75" customHeight="1">
      <c r="A51887" s="8"/>
      <c r="B51887" s="12"/>
      <c r="C51887" s="8"/>
      <c r="D51887" s="8"/>
    </row>
    <row r="51888" spans="1:4" ht="15.75" customHeight="1">
      <c r="A51888" s="8"/>
      <c r="B51888" s="12"/>
      <c r="C51888" s="8"/>
      <c r="D51888" s="8"/>
    </row>
    <row r="51889" spans="1:4" ht="15.75" customHeight="1">
      <c r="A51889" s="8"/>
      <c r="B51889" s="12"/>
      <c r="C51889" s="8"/>
      <c r="D51889" s="8"/>
    </row>
    <row r="51890" spans="1:4" ht="15.75" customHeight="1">
      <c r="A51890" s="8"/>
      <c r="B51890" s="12"/>
      <c r="C51890" s="8"/>
      <c r="D51890" s="8"/>
    </row>
    <row r="51891" spans="1:4" ht="15.75" customHeight="1">
      <c r="A51891" s="8"/>
      <c r="B51891" s="12"/>
      <c r="C51891" s="8"/>
      <c r="D51891" s="8"/>
    </row>
    <row r="51892" spans="1:4" ht="15.75" customHeight="1">
      <c r="A51892" s="8"/>
      <c r="B51892" s="12"/>
      <c r="C51892" s="8"/>
      <c r="D51892" s="8"/>
    </row>
    <row r="51893" spans="1:4" ht="15.75" customHeight="1">
      <c r="A51893" s="8"/>
      <c r="B51893" s="12"/>
      <c r="C51893" s="8"/>
      <c r="D51893" s="8"/>
    </row>
    <row r="51894" spans="1:4" ht="15.75" customHeight="1">
      <c r="A51894" s="8"/>
      <c r="B51894" s="12"/>
      <c r="C51894" s="8"/>
      <c r="D51894" s="8"/>
    </row>
    <row r="51895" spans="1:4" ht="15.75" customHeight="1">
      <c r="A51895" s="8"/>
      <c r="B51895" s="12"/>
      <c r="C51895" s="8"/>
      <c r="D51895" s="8"/>
    </row>
    <row r="51896" spans="1:4" ht="15.75" customHeight="1">
      <c r="A51896" s="8"/>
      <c r="B51896" s="12"/>
      <c r="C51896" s="8"/>
      <c r="D51896" s="8"/>
    </row>
    <row r="51897" spans="1:4" ht="15.75" customHeight="1">
      <c r="A51897" s="8"/>
      <c r="B51897" s="12"/>
      <c r="C51897" s="8"/>
      <c r="D51897" s="8"/>
    </row>
    <row r="51898" spans="1:4" ht="15.75" customHeight="1">
      <c r="A51898" s="8"/>
      <c r="B51898" s="12"/>
      <c r="C51898" s="8"/>
      <c r="D51898" s="8"/>
    </row>
    <row r="51899" spans="1:4" ht="15.75" customHeight="1">
      <c r="A51899" s="8"/>
      <c r="B51899" s="12"/>
      <c r="C51899" s="8"/>
      <c r="D51899" s="8"/>
    </row>
    <row r="51900" spans="1:4" ht="15.75" customHeight="1">
      <c r="A51900" s="8"/>
      <c r="B51900" s="12"/>
      <c r="C51900" s="8"/>
      <c r="D51900" s="8"/>
    </row>
    <row r="51901" spans="1:4" ht="15.75" customHeight="1">
      <c r="A51901" s="8"/>
      <c r="B51901" s="12"/>
      <c r="C51901" s="8"/>
      <c r="D51901" s="8"/>
    </row>
    <row r="51902" spans="1:4" ht="15.75" customHeight="1">
      <c r="A51902" s="8"/>
      <c r="B51902" s="12"/>
      <c r="C51902" s="8"/>
      <c r="D51902" s="8"/>
    </row>
    <row r="51903" spans="1:4" ht="15.75" customHeight="1">
      <c r="A51903" s="8"/>
      <c r="B51903" s="12"/>
      <c r="C51903" s="8"/>
      <c r="D51903" s="8"/>
    </row>
    <row r="51904" spans="1:4" ht="15.75" customHeight="1">
      <c r="A51904" s="8"/>
      <c r="B51904" s="12"/>
      <c r="C51904" s="8"/>
      <c r="D51904" s="8"/>
    </row>
    <row r="51905" spans="1:4" ht="15.75" customHeight="1">
      <c r="A51905" s="8"/>
      <c r="B51905" s="12"/>
      <c r="C51905" s="8"/>
      <c r="D51905" s="8"/>
    </row>
    <row r="51906" spans="1:4" ht="15.75" customHeight="1">
      <c r="A51906" s="8"/>
      <c r="B51906" s="12"/>
      <c r="C51906" s="8"/>
      <c r="D51906" s="8"/>
    </row>
    <row r="51907" spans="1:4" ht="15.75" customHeight="1">
      <c r="A51907" s="8"/>
      <c r="B51907" s="12"/>
      <c r="C51907" s="8"/>
      <c r="D51907" s="8"/>
    </row>
    <row r="51908" spans="1:4" ht="15.75" customHeight="1">
      <c r="A51908" s="8"/>
      <c r="B51908" s="12"/>
      <c r="C51908" s="8"/>
      <c r="D51908" s="8"/>
    </row>
    <row r="51909" spans="1:4" ht="15.75" customHeight="1">
      <c r="A51909" s="8"/>
      <c r="B51909" s="12"/>
      <c r="C51909" s="8"/>
      <c r="D51909" s="8"/>
    </row>
    <row r="51910" spans="1:4" ht="15.75" customHeight="1">
      <c r="A51910" s="8"/>
      <c r="B51910" s="12"/>
      <c r="C51910" s="8"/>
      <c r="D51910" s="8"/>
    </row>
    <row r="51911" spans="1:4" ht="15.75" customHeight="1">
      <c r="A51911" s="8"/>
      <c r="B51911" s="12"/>
      <c r="C51911" s="8"/>
      <c r="D51911" s="8"/>
    </row>
    <row r="51912" spans="1:4" ht="15.75" customHeight="1">
      <c r="A51912" s="8"/>
      <c r="B51912" s="12"/>
      <c r="C51912" s="8"/>
      <c r="D51912" s="8"/>
    </row>
    <row r="51913" spans="1:4" ht="15.75" customHeight="1">
      <c r="A51913" s="8"/>
      <c r="B51913" s="12"/>
      <c r="C51913" s="8"/>
      <c r="D51913" s="8"/>
    </row>
    <row r="51914" spans="1:4" ht="15.75" customHeight="1">
      <c r="A51914" s="8"/>
      <c r="B51914" s="12"/>
      <c r="C51914" s="8"/>
      <c r="D51914" s="8"/>
    </row>
    <row r="51915" spans="1:4" ht="15.75" customHeight="1">
      <c r="A51915" s="8"/>
      <c r="B51915" s="12"/>
      <c r="C51915" s="8"/>
      <c r="D51915" s="8"/>
    </row>
    <row r="51916" spans="1:4" ht="15.75" customHeight="1">
      <c r="A51916" s="8"/>
      <c r="B51916" s="12"/>
      <c r="C51916" s="8"/>
      <c r="D51916" s="8"/>
    </row>
    <row r="51917" spans="1:4" ht="15.75" customHeight="1">
      <c r="A51917" s="8"/>
      <c r="B51917" s="12"/>
      <c r="C51917" s="8"/>
      <c r="D51917" s="8"/>
    </row>
    <row r="51918" spans="1:4" ht="15.75" customHeight="1">
      <c r="A51918" s="8"/>
      <c r="B51918" s="12"/>
      <c r="C51918" s="8"/>
      <c r="D51918" s="8"/>
    </row>
    <row r="51919" spans="1:4" ht="15.75" customHeight="1">
      <c r="A51919" s="8"/>
      <c r="B51919" s="12"/>
      <c r="C51919" s="8"/>
      <c r="D51919" s="8"/>
    </row>
    <row r="51920" spans="1:4" ht="15.75" customHeight="1">
      <c r="A51920" s="8"/>
      <c r="B51920" s="12"/>
      <c r="C51920" s="8"/>
      <c r="D51920" s="8"/>
    </row>
    <row r="51921" spans="1:4" ht="15.75" customHeight="1">
      <c r="A51921" s="8"/>
      <c r="B51921" s="12"/>
      <c r="C51921" s="8"/>
      <c r="D51921" s="8"/>
    </row>
    <row r="51922" spans="1:4" ht="15.75" customHeight="1">
      <c r="A51922" s="8"/>
      <c r="B51922" s="12"/>
      <c r="C51922" s="8"/>
      <c r="D51922" s="8"/>
    </row>
    <row r="51923" spans="1:4" ht="15.75" customHeight="1">
      <c r="A51923" s="8"/>
      <c r="B51923" s="12"/>
      <c r="C51923" s="8"/>
      <c r="D51923" s="8"/>
    </row>
    <row r="51924" spans="1:4" ht="15.75" customHeight="1">
      <c r="A51924" s="8"/>
      <c r="B51924" s="12"/>
      <c r="C51924" s="8"/>
      <c r="D51924" s="8"/>
    </row>
    <row r="51925" spans="1:4" ht="15.75" customHeight="1">
      <c r="A51925" s="8"/>
      <c r="B51925" s="12"/>
      <c r="C51925" s="8"/>
      <c r="D51925" s="8"/>
    </row>
    <row r="51926" spans="1:4" ht="15.75" customHeight="1">
      <c r="A51926" s="8"/>
      <c r="B51926" s="12"/>
      <c r="C51926" s="8"/>
      <c r="D51926" s="8"/>
    </row>
    <row r="51927" spans="1:4" ht="15.75" customHeight="1">
      <c r="A51927" s="8"/>
      <c r="B51927" s="12"/>
      <c r="C51927" s="8"/>
      <c r="D51927" s="8"/>
    </row>
    <row r="51928" spans="1:4" ht="15.75" customHeight="1">
      <c r="A51928" s="8"/>
      <c r="B51928" s="12"/>
      <c r="C51928" s="8"/>
      <c r="D51928" s="8"/>
    </row>
    <row r="51929" spans="1:4" ht="15.75" customHeight="1">
      <c r="A51929" s="8"/>
      <c r="B51929" s="12"/>
      <c r="C51929" s="8"/>
      <c r="D51929" s="8"/>
    </row>
    <row r="51930" spans="1:4" ht="15.75" customHeight="1">
      <c r="A51930" s="8"/>
      <c r="B51930" s="12"/>
      <c r="C51930" s="8"/>
      <c r="D51930" s="8"/>
    </row>
    <row r="51931" spans="1:4" ht="15.75" customHeight="1">
      <c r="A51931" s="8"/>
      <c r="B51931" s="12"/>
      <c r="C51931" s="8"/>
      <c r="D51931" s="8"/>
    </row>
    <row r="51932" spans="1:4" ht="15.75" customHeight="1">
      <c r="A51932" s="8"/>
      <c r="B51932" s="12"/>
      <c r="C51932" s="8"/>
      <c r="D51932" s="8"/>
    </row>
    <row r="51933" spans="1:4" ht="15.75" customHeight="1">
      <c r="A51933" s="8"/>
      <c r="B51933" s="12"/>
      <c r="C51933" s="8"/>
      <c r="D51933" s="8"/>
    </row>
    <row r="51934" spans="1:4" ht="15.75" customHeight="1">
      <c r="A51934" s="8"/>
      <c r="B51934" s="12"/>
      <c r="C51934" s="8"/>
      <c r="D51934" s="8"/>
    </row>
    <row r="51935" spans="1:4" ht="15.75" customHeight="1">
      <c r="A51935" s="8"/>
      <c r="B51935" s="12"/>
      <c r="C51935" s="8"/>
      <c r="D51935" s="8"/>
    </row>
    <row r="51936" spans="1:4" ht="15.75" customHeight="1">
      <c r="A51936" s="8"/>
      <c r="B51936" s="12"/>
      <c r="C51936" s="8"/>
      <c r="D51936" s="8"/>
    </row>
    <row r="51937" spans="1:4" ht="15.75" customHeight="1">
      <c r="A51937" s="8"/>
      <c r="B51937" s="12"/>
      <c r="C51937" s="8"/>
      <c r="D51937" s="8"/>
    </row>
    <row r="51938" spans="1:4" ht="15.75" customHeight="1">
      <c r="A51938" s="8"/>
      <c r="B51938" s="12"/>
      <c r="C51938" s="8"/>
      <c r="D51938" s="8"/>
    </row>
    <row r="51939" spans="1:4" ht="15.75" customHeight="1">
      <c r="A51939" s="8"/>
      <c r="B51939" s="12"/>
      <c r="C51939" s="8"/>
      <c r="D51939" s="8"/>
    </row>
    <row r="51940" spans="1:4" ht="15.75" customHeight="1">
      <c r="A51940" s="8"/>
      <c r="B51940" s="12"/>
      <c r="C51940" s="8"/>
      <c r="D51940" s="8"/>
    </row>
    <row r="51941" spans="1:4" ht="15.75" customHeight="1">
      <c r="A51941" s="8"/>
      <c r="B51941" s="12"/>
      <c r="C51941" s="8"/>
      <c r="D51941" s="8"/>
    </row>
    <row r="51942" spans="1:4" ht="15.75" customHeight="1">
      <c r="A51942" s="8"/>
      <c r="B51942" s="12"/>
      <c r="C51942" s="8"/>
      <c r="D51942" s="8"/>
    </row>
    <row r="51943" spans="1:4" ht="15.75" customHeight="1">
      <c r="A51943" s="8"/>
      <c r="B51943" s="12"/>
      <c r="C51943" s="8"/>
      <c r="D51943" s="8"/>
    </row>
    <row r="51944" spans="1:4" ht="15.75" customHeight="1">
      <c r="A51944" s="8"/>
      <c r="B51944" s="12"/>
      <c r="C51944" s="8"/>
      <c r="D51944" s="8"/>
    </row>
    <row r="51945" spans="1:4" ht="15.75" customHeight="1">
      <c r="A51945" s="8"/>
      <c r="B51945" s="12"/>
      <c r="C51945" s="8"/>
      <c r="D51945" s="8"/>
    </row>
    <row r="51946" spans="1:4" ht="15.75" customHeight="1">
      <c r="A51946" s="8"/>
      <c r="B51946" s="12"/>
      <c r="C51946" s="8"/>
      <c r="D51946" s="8"/>
    </row>
    <row r="51947" spans="1:4" ht="15.75" customHeight="1">
      <c r="A51947" s="8"/>
      <c r="B51947" s="12"/>
      <c r="C51947" s="8"/>
      <c r="D51947" s="8"/>
    </row>
    <row r="51948" spans="1:4" ht="15.75" customHeight="1">
      <c r="A51948" s="8"/>
      <c r="B51948" s="12"/>
      <c r="C51948" s="8"/>
      <c r="D51948" s="8"/>
    </row>
    <row r="51949" spans="1:4" ht="15.75" customHeight="1">
      <c r="A51949" s="8"/>
      <c r="B51949" s="12"/>
      <c r="C51949" s="8"/>
      <c r="D51949" s="8"/>
    </row>
    <row r="51950" spans="1:4" ht="15.75" customHeight="1">
      <c r="A51950" s="8"/>
      <c r="B51950" s="12"/>
      <c r="C51950" s="8"/>
      <c r="D51950" s="8"/>
    </row>
    <row r="51951" spans="1:4" ht="15.75" customHeight="1">
      <c r="A51951" s="8"/>
      <c r="B51951" s="12"/>
      <c r="C51951" s="8"/>
      <c r="D51951" s="8"/>
    </row>
    <row r="51952" spans="1:4" ht="15.75" customHeight="1">
      <c r="A51952" s="8"/>
      <c r="B51952" s="12"/>
      <c r="C51952" s="8"/>
      <c r="D51952" s="8"/>
    </row>
    <row r="51953" spans="1:4" ht="15.75" customHeight="1">
      <c r="A51953" s="8"/>
      <c r="B51953" s="12"/>
      <c r="C51953" s="8"/>
      <c r="D51953" s="8"/>
    </row>
    <row r="51954" spans="1:4" ht="15.75" customHeight="1">
      <c r="A51954" s="8"/>
      <c r="B51954" s="12"/>
      <c r="C51954" s="8"/>
      <c r="D51954" s="8"/>
    </row>
    <row r="51955" spans="1:4" ht="15.75" customHeight="1">
      <c r="A51955" s="8"/>
      <c r="B51955" s="12"/>
      <c r="C51955" s="8"/>
      <c r="D51955" s="8"/>
    </row>
    <row r="51956" spans="1:4" ht="15.75" customHeight="1">
      <c r="A51956" s="8"/>
      <c r="B51956" s="12"/>
      <c r="C51956" s="8"/>
      <c r="D51956" s="8"/>
    </row>
    <row r="51957" spans="1:4" ht="15.75" customHeight="1">
      <c r="A51957" s="8"/>
      <c r="B51957" s="12"/>
      <c r="C51957" s="8"/>
      <c r="D51957" s="8"/>
    </row>
    <row r="51958" spans="1:4" ht="15.75" customHeight="1">
      <c r="A51958" s="8"/>
      <c r="B51958" s="12"/>
      <c r="C51958" s="8"/>
      <c r="D51958" s="8"/>
    </row>
    <row r="51959" spans="1:4" ht="15.75" customHeight="1">
      <c r="A51959" s="8"/>
      <c r="B51959" s="12"/>
      <c r="C51959" s="8"/>
      <c r="D51959" s="8"/>
    </row>
    <row r="51960" spans="1:4" ht="15.75" customHeight="1">
      <c r="A51960" s="8"/>
      <c r="B51960" s="12"/>
      <c r="C51960" s="8"/>
      <c r="D51960" s="8"/>
    </row>
    <row r="51961" spans="1:4" ht="15.75" customHeight="1">
      <c r="A51961" s="8"/>
      <c r="B51961" s="12"/>
      <c r="C51961" s="8"/>
      <c r="D51961" s="8"/>
    </row>
    <row r="51962" spans="1:4" ht="15.75" customHeight="1">
      <c r="A51962" s="8"/>
      <c r="B51962" s="12"/>
      <c r="C51962" s="8"/>
      <c r="D51962" s="8"/>
    </row>
    <row r="51963" spans="1:4" ht="15.75" customHeight="1">
      <c r="A51963" s="8"/>
      <c r="B51963" s="12"/>
      <c r="C51963" s="8"/>
      <c r="D51963" s="8"/>
    </row>
    <row r="51964" spans="1:4" ht="15.75" customHeight="1">
      <c r="A51964" s="8"/>
      <c r="B51964" s="12"/>
      <c r="C51964" s="8"/>
      <c r="D51964" s="8"/>
    </row>
    <row r="51965" spans="1:4" ht="15.75" customHeight="1">
      <c r="A51965" s="8"/>
      <c r="B51965" s="12"/>
      <c r="C51965" s="8"/>
      <c r="D51965" s="8"/>
    </row>
    <row r="51966" spans="1:4" ht="15.75" customHeight="1">
      <c r="A51966" s="8"/>
      <c r="B51966" s="12"/>
      <c r="C51966" s="8"/>
      <c r="D51966" s="8"/>
    </row>
    <row r="51967" spans="1:4" ht="15.75" customHeight="1">
      <c r="A51967" s="8"/>
      <c r="B51967" s="12"/>
      <c r="C51967" s="8"/>
      <c r="D51967" s="8"/>
    </row>
    <row r="51968" spans="1:4" ht="15.75" customHeight="1">
      <c r="A51968" s="8"/>
      <c r="B51968" s="12"/>
      <c r="C51968" s="8"/>
      <c r="D51968" s="8"/>
    </row>
    <row r="51969" spans="1:4" ht="15.75" customHeight="1">
      <c r="A51969" s="8"/>
      <c r="B51969" s="12"/>
      <c r="C51969" s="8"/>
      <c r="D51969" s="8"/>
    </row>
    <row r="51970" spans="1:4" ht="15.75" customHeight="1">
      <c r="A51970" s="8"/>
      <c r="B51970" s="12"/>
      <c r="C51970" s="8"/>
      <c r="D51970" s="8"/>
    </row>
    <row r="51971" spans="1:4" ht="15.75" customHeight="1">
      <c r="A51971" s="8"/>
      <c r="B51971" s="12"/>
      <c r="C51971" s="8"/>
      <c r="D51971" s="8"/>
    </row>
    <row r="51972" spans="1:4" ht="15.75" customHeight="1">
      <c r="A51972" s="8"/>
      <c r="B51972" s="12"/>
      <c r="C51972" s="8"/>
      <c r="D51972" s="8"/>
    </row>
    <row r="51973" spans="1:4" ht="15.75" customHeight="1">
      <c r="A51973" s="8"/>
      <c r="B51973" s="12"/>
      <c r="C51973" s="8"/>
      <c r="D51973" s="8"/>
    </row>
    <row r="51974" spans="1:4" ht="15.75" customHeight="1">
      <c r="A51974" s="8"/>
      <c r="B51974" s="12"/>
      <c r="C51974" s="8"/>
      <c r="D51974" s="8"/>
    </row>
    <row r="51975" spans="1:4" ht="15.75" customHeight="1">
      <c r="A51975" s="8"/>
      <c r="B51975" s="12"/>
      <c r="C51975" s="8"/>
      <c r="D51975" s="8"/>
    </row>
    <row r="51976" spans="1:4" ht="15.75" customHeight="1">
      <c r="A51976" s="8"/>
      <c r="B51976" s="12"/>
      <c r="C51976" s="8"/>
      <c r="D51976" s="8"/>
    </row>
    <row r="51977" spans="1:4" ht="15.75" customHeight="1">
      <c r="A51977" s="8"/>
      <c r="B51977" s="12"/>
      <c r="C51977" s="8"/>
      <c r="D51977" s="8"/>
    </row>
    <row r="51978" spans="1:4" ht="15.75" customHeight="1">
      <c r="A51978" s="8"/>
      <c r="B51978" s="12"/>
      <c r="C51978" s="8"/>
      <c r="D51978" s="8"/>
    </row>
    <row r="51979" spans="1:4" ht="15.75" customHeight="1">
      <c r="A51979" s="8"/>
      <c r="B51979" s="12"/>
      <c r="C51979" s="8"/>
      <c r="D51979" s="8"/>
    </row>
    <row r="51980" spans="1:4" ht="15.75" customHeight="1">
      <c r="A51980" s="8"/>
      <c r="B51980" s="12"/>
      <c r="C51980" s="8"/>
      <c r="D51980" s="8"/>
    </row>
    <row r="51981" spans="1:4" ht="15.75" customHeight="1">
      <c r="A51981" s="8"/>
      <c r="B51981" s="12"/>
      <c r="C51981" s="8"/>
      <c r="D51981" s="8"/>
    </row>
    <row r="51982" spans="1:4" ht="15.75" customHeight="1">
      <c r="A51982" s="8"/>
      <c r="B51982" s="12"/>
      <c r="C51982" s="8"/>
      <c r="D51982" s="8"/>
    </row>
    <row r="51983" spans="1:4" ht="15.75" customHeight="1">
      <c r="A51983" s="8"/>
      <c r="B51983" s="12"/>
      <c r="C51983" s="8"/>
      <c r="D51983" s="8"/>
    </row>
    <row r="51984" spans="1:4" ht="15.75" customHeight="1">
      <c r="A51984" s="8"/>
      <c r="B51984" s="12"/>
      <c r="C51984" s="8"/>
      <c r="D51984" s="8"/>
    </row>
    <row r="51985" spans="1:4" ht="15.75" customHeight="1">
      <c r="A51985" s="8"/>
      <c r="B51985" s="12"/>
      <c r="C51985" s="8"/>
      <c r="D51985" s="8"/>
    </row>
    <row r="51986" spans="1:4" ht="15.75" customHeight="1">
      <c r="A51986" s="8"/>
      <c r="B51986" s="12"/>
      <c r="C51986" s="8"/>
      <c r="D51986" s="8"/>
    </row>
    <row r="51987" spans="1:4" ht="15.75" customHeight="1">
      <c r="A51987" s="8"/>
      <c r="B51987" s="12"/>
      <c r="C51987" s="8"/>
      <c r="D51987" s="8"/>
    </row>
    <row r="51988" spans="1:4" ht="15.75" customHeight="1">
      <c r="A51988" s="8"/>
      <c r="B51988" s="12"/>
      <c r="C51988" s="8"/>
      <c r="D51988" s="8"/>
    </row>
    <row r="51989" spans="1:4" ht="15.75" customHeight="1">
      <c r="A51989" s="8"/>
      <c r="B51989" s="12"/>
      <c r="C51989" s="8"/>
      <c r="D51989" s="8"/>
    </row>
    <row r="51990" spans="1:4" ht="15.75" customHeight="1">
      <c r="A51990" s="8"/>
      <c r="B51990" s="12"/>
      <c r="C51990" s="8"/>
      <c r="D51990" s="8"/>
    </row>
    <row r="51991" spans="1:4" ht="15.75" customHeight="1">
      <c r="A51991" s="8"/>
      <c r="B51991" s="12"/>
      <c r="C51991" s="8"/>
      <c r="D51991" s="8"/>
    </row>
    <row r="51992" spans="1:4" ht="15.75" customHeight="1">
      <c r="A51992" s="8"/>
      <c r="B51992" s="12"/>
      <c r="C51992" s="8"/>
      <c r="D51992" s="8"/>
    </row>
    <row r="51993" spans="1:4" ht="15.75" customHeight="1">
      <c r="A51993" s="8"/>
      <c r="B51993" s="12"/>
      <c r="C51993" s="8"/>
      <c r="D51993" s="8"/>
    </row>
    <row r="51994" spans="1:4" ht="15.75" customHeight="1">
      <c r="A51994" s="8"/>
      <c r="B51994" s="12"/>
      <c r="C51994" s="8"/>
      <c r="D51994" s="8"/>
    </row>
    <row r="51995" spans="1:4" ht="15.75" customHeight="1">
      <c r="A51995" s="8"/>
      <c r="B51995" s="12"/>
      <c r="C51995" s="8"/>
      <c r="D51995" s="8"/>
    </row>
    <row r="51996" spans="1:4" ht="15.75" customHeight="1">
      <c r="A51996" s="8"/>
      <c r="B51996" s="12"/>
      <c r="C51996" s="8"/>
      <c r="D51996" s="8"/>
    </row>
    <row r="51997" spans="1:4" ht="15.75" customHeight="1">
      <c r="A51997" s="8"/>
      <c r="B51997" s="12"/>
      <c r="C51997" s="8"/>
      <c r="D51997" s="8"/>
    </row>
    <row r="51998" spans="1:4" ht="15.75" customHeight="1">
      <c r="A51998" s="8"/>
      <c r="B51998" s="12"/>
      <c r="C51998" s="8"/>
      <c r="D51998" s="8"/>
    </row>
    <row r="51999" spans="1:4" ht="15.75" customHeight="1">
      <c r="A51999" s="8"/>
      <c r="B51999" s="12"/>
      <c r="C51999" s="8"/>
      <c r="D51999" s="8"/>
    </row>
    <row r="52000" spans="1:4" ht="15.75" customHeight="1">
      <c r="A52000" s="8"/>
      <c r="B52000" s="12"/>
      <c r="C52000" s="8"/>
      <c r="D52000" s="8"/>
    </row>
    <row r="52001" spans="1:4" ht="15.75" customHeight="1">
      <c r="A52001" s="8"/>
      <c r="B52001" s="12"/>
      <c r="C52001" s="8"/>
      <c r="D52001" s="8"/>
    </row>
    <row r="52002" spans="1:4" ht="15.75" customHeight="1">
      <c r="A52002" s="8"/>
      <c r="B52002" s="12"/>
      <c r="C52002" s="8"/>
      <c r="D52002" s="8"/>
    </row>
    <row r="52003" spans="1:4" ht="15.75" customHeight="1">
      <c r="A52003" s="8"/>
      <c r="B52003" s="12"/>
      <c r="C52003" s="8"/>
      <c r="D52003" s="8"/>
    </row>
    <row r="52004" spans="1:4" ht="15.75" customHeight="1">
      <c r="A52004" s="8"/>
      <c r="B52004" s="12"/>
      <c r="C52004" s="8"/>
      <c r="D52004" s="8"/>
    </row>
    <row r="52005" spans="1:4" ht="15.75" customHeight="1">
      <c r="A52005" s="8"/>
      <c r="B52005" s="12"/>
      <c r="C52005" s="8"/>
      <c r="D52005" s="8"/>
    </row>
    <row r="52006" spans="1:4" ht="15.75" customHeight="1">
      <c r="A52006" s="8"/>
      <c r="B52006" s="12"/>
      <c r="C52006" s="8"/>
      <c r="D52006" s="8"/>
    </row>
    <row r="52007" spans="1:4" ht="15.75" customHeight="1">
      <c r="A52007" s="8"/>
      <c r="B52007" s="12"/>
      <c r="C52007" s="8"/>
      <c r="D52007" s="8"/>
    </row>
    <row r="52008" spans="1:4" ht="15.75" customHeight="1">
      <c r="A52008" s="8"/>
      <c r="B52008" s="12"/>
      <c r="C52008" s="8"/>
      <c r="D52008" s="8"/>
    </row>
    <row r="52009" spans="1:4" ht="15.75" customHeight="1">
      <c r="A52009" s="8"/>
      <c r="B52009" s="12"/>
      <c r="C52009" s="8"/>
      <c r="D52009" s="8"/>
    </row>
    <row r="52010" spans="1:4" ht="15.75" customHeight="1">
      <c r="A52010" s="8"/>
      <c r="B52010" s="12"/>
      <c r="C52010" s="8"/>
      <c r="D52010" s="8"/>
    </row>
    <row r="52011" spans="1:4" ht="15.75" customHeight="1">
      <c r="A52011" s="8"/>
      <c r="B52011" s="12"/>
      <c r="C52011" s="8"/>
      <c r="D52011" s="8"/>
    </row>
    <row r="52012" spans="1:4" ht="15.75" customHeight="1">
      <c r="A52012" s="8"/>
      <c r="B52012" s="12"/>
      <c r="C52012" s="8"/>
      <c r="D52012" s="8"/>
    </row>
    <row r="52013" spans="1:4" ht="15.75" customHeight="1">
      <c r="A52013" s="8"/>
      <c r="B52013" s="12"/>
      <c r="C52013" s="8"/>
      <c r="D52013" s="8"/>
    </row>
    <row r="52014" spans="1:4" ht="15.75" customHeight="1">
      <c r="A52014" s="8"/>
      <c r="B52014" s="12"/>
      <c r="C52014" s="8"/>
      <c r="D52014" s="8"/>
    </row>
    <row r="52015" spans="1:4" ht="15.75" customHeight="1">
      <c r="A52015" s="8"/>
      <c r="B52015" s="12"/>
      <c r="C52015" s="8"/>
      <c r="D52015" s="8"/>
    </row>
    <row r="52016" spans="1:4" ht="15.75" customHeight="1">
      <c r="A52016" s="8"/>
      <c r="B52016" s="12"/>
      <c r="C52016" s="8"/>
      <c r="D52016" s="8"/>
    </row>
    <row r="52017" spans="1:4" ht="15.75" customHeight="1">
      <c r="A52017" s="8"/>
      <c r="B52017" s="12"/>
      <c r="C52017" s="8"/>
      <c r="D52017" s="8"/>
    </row>
    <row r="52018" spans="1:4" ht="15.75" customHeight="1">
      <c r="A52018" s="8"/>
      <c r="B52018" s="12"/>
      <c r="C52018" s="8"/>
      <c r="D52018" s="8"/>
    </row>
    <row r="52019" spans="1:4" ht="15.75" customHeight="1">
      <c r="A52019" s="8"/>
      <c r="B52019" s="12"/>
      <c r="C52019" s="8"/>
      <c r="D52019" s="8"/>
    </row>
    <row r="52020" spans="1:4" ht="15.75" customHeight="1">
      <c r="A52020" s="8"/>
      <c r="B52020" s="12"/>
      <c r="C52020" s="8"/>
      <c r="D52020" s="8"/>
    </row>
    <row r="52021" spans="1:4" ht="15.75" customHeight="1">
      <c r="A52021" s="8"/>
      <c r="B52021" s="12"/>
      <c r="C52021" s="8"/>
      <c r="D52021" s="8"/>
    </row>
    <row r="52022" spans="1:4" ht="15.75" customHeight="1">
      <c r="A52022" s="8"/>
      <c r="B52022" s="12"/>
      <c r="C52022" s="8"/>
      <c r="D52022" s="8"/>
    </row>
    <row r="52023" spans="1:4" ht="15.75" customHeight="1">
      <c r="A52023" s="8"/>
      <c r="B52023" s="12"/>
      <c r="C52023" s="8"/>
      <c r="D52023" s="8"/>
    </row>
    <row r="52024" spans="1:4" ht="15.75" customHeight="1">
      <c r="A52024" s="8"/>
      <c r="B52024" s="12"/>
      <c r="C52024" s="8"/>
      <c r="D52024" s="8"/>
    </row>
    <row r="52025" spans="1:4" ht="15.75" customHeight="1">
      <c r="A52025" s="8"/>
      <c r="B52025" s="12"/>
      <c r="C52025" s="8"/>
      <c r="D52025" s="8"/>
    </row>
    <row r="52026" spans="1:4" ht="15.75" customHeight="1">
      <c r="A52026" s="8"/>
      <c r="B52026" s="12"/>
      <c r="C52026" s="8"/>
      <c r="D52026" s="8"/>
    </row>
    <row r="52027" spans="1:4" ht="15.75" customHeight="1">
      <c r="A52027" s="8"/>
      <c r="B52027" s="12"/>
      <c r="C52027" s="8"/>
      <c r="D52027" s="8"/>
    </row>
    <row r="52028" spans="1:4" ht="15.75" customHeight="1">
      <c r="A52028" s="8"/>
      <c r="B52028" s="12"/>
      <c r="C52028" s="8"/>
      <c r="D52028" s="8"/>
    </row>
    <row r="52029" spans="1:4" ht="15.75" customHeight="1">
      <c r="A52029" s="8"/>
      <c r="B52029" s="12"/>
      <c r="C52029" s="8"/>
      <c r="D52029" s="8"/>
    </row>
    <row r="52030" spans="1:4" ht="15.75" customHeight="1">
      <c r="A52030" s="8"/>
      <c r="B52030" s="12"/>
      <c r="C52030" s="8"/>
      <c r="D52030" s="8"/>
    </row>
    <row r="52031" spans="1:4" ht="15.75" customHeight="1">
      <c r="A52031" s="8"/>
      <c r="B52031" s="12"/>
      <c r="C52031" s="8"/>
      <c r="D52031" s="8"/>
    </row>
    <row r="52032" spans="1:4" ht="15.75" customHeight="1">
      <c r="A52032" s="8"/>
      <c r="B52032" s="12"/>
      <c r="C52032" s="8"/>
      <c r="D52032" s="8"/>
    </row>
    <row r="52033" spans="1:4" ht="15.75" customHeight="1">
      <c r="A52033" s="8"/>
      <c r="B52033" s="12"/>
      <c r="C52033" s="8"/>
      <c r="D52033" s="8"/>
    </row>
    <row r="52034" spans="1:4" ht="15.75" customHeight="1">
      <c r="A52034" s="8"/>
      <c r="B52034" s="12"/>
      <c r="C52034" s="8"/>
      <c r="D52034" s="8"/>
    </row>
    <row r="52035" spans="1:4" ht="15.75" customHeight="1">
      <c r="A52035" s="8"/>
      <c r="B52035" s="12"/>
      <c r="C52035" s="8"/>
      <c r="D52035" s="8"/>
    </row>
    <row r="52036" spans="1:4" ht="15.75" customHeight="1">
      <c r="A52036" s="8"/>
      <c r="B52036" s="12"/>
      <c r="C52036" s="8"/>
      <c r="D52036" s="8"/>
    </row>
    <row r="52037" spans="1:4" ht="15.75" customHeight="1">
      <c r="A52037" s="8"/>
      <c r="B52037" s="12"/>
      <c r="C52037" s="8"/>
      <c r="D52037" s="8"/>
    </row>
    <row r="52038" spans="1:4" ht="15.75" customHeight="1">
      <c r="A52038" s="8"/>
      <c r="B52038" s="12"/>
      <c r="C52038" s="8"/>
      <c r="D52038" s="8"/>
    </row>
    <row r="52039" spans="1:4" ht="15.75" customHeight="1">
      <c r="A52039" s="8"/>
      <c r="B52039" s="12"/>
      <c r="C52039" s="8"/>
      <c r="D52039" s="8"/>
    </row>
    <row r="52040" spans="1:4" ht="15.75" customHeight="1">
      <c r="A52040" s="8"/>
      <c r="B52040" s="12"/>
      <c r="C52040" s="8"/>
      <c r="D52040" s="8"/>
    </row>
    <row r="52041" spans="1:4" ht="15.75" customHeight="1">
      <c r="A52041" s="8"/>
      <c r="B52041" s="12"/>
      <c r="C52041" s="8"/>
      <c r="D52041" s="8"/>
    </row>
    <row r="52042" spans="1:4" ht="15.75" customHeight="1">
      <c r="A52042" s="8"/>
      <c r="B52042" s="12"/>
      <c r="C52042" s="8"/>
      <c r="D52042" s="8"/>
    </row>
    <row r="52043" spans="1:4" ht="15.75" customHeight="1">
      <c r="A52043" s="8"/>
      <c r="B52043" s="12"/>
      <c r="C52043" s="8"/>
      <c r="D52043" s="8"/>
    </row>
    <row r="52044" spans="1:4" ht="15.75" customHeight="1">
      <c r="A52044" s="8"/>
      <c r="B52044" s="12"/>
      <c r="C52044" s="8"/>
      <c r="D52044" s="8"/>
    </row>
    <row r="52045" spans="1:4" ht="15.75" customHeight="1">
      <c r="A52045" s="8"/>
      <c r="B52045" s="12"/>
      <c r="C52045" s="8"/>
      <c r="D52045" s="8"/>
    </row>
    <row r="52046" spans="1:4" ht="15.75" customHeight="1">
      <c r="A52046" s="8"/>
      <c r="B52046" s="12"/>
      <c r="C52046" s="8"/>
      <c r="D52046" s="8"/>
    </row>
    <row r="52047" spans="1:4" ht="15.75" customHeight="1">
      <c r="A52047" s="8"/>
      <c r="B52047" s="12"/>
      <c r="C52047" s="8"/>
      <c r="D52047" s="8"/>
    </row>
    <row r="52048" spans="1:4" ht="15.75" customHeight="1">
      <c r="A52048" s="8"/>
      <c r="B52048" s="12"/>
      <c r="C52048" s="8"/>
      <c r="D52048" s="8"/>
    </row>
    <row r="52049" spans="1:4" ht="15.75" customHeight="1">
      <c r="A52049" s="8"/>
      <c r="B52049" s="12"/>
      <c r="C52049" s="8"/>
      <c r="D52049" s="8"/>
    </row>
    <row r="52050" spans="1:4" ht="15.75" customHeight="1">
      <c r="A52050" s="8"/>
      <c r="B52050" s="12"/>
      <c r="C52050" s="8"/>
      <c r="D52050" s="8"/>
    </row>
    <row r="52051" spans="1:4" ht="15.75" customHeight="1">
      <c r="A52051" s="8"/>
      <c r="B52051" s="12"/>
      <c r="C52051" s="8"/>
      <c r="D52051" s="8"/>
    </row>
    <row r="52052" spans="1:4" ht="15.75" customHeight="1">
      <c r="A52052" s="8"/>
      <c r="B52052" s="12"/>
      <c r="C52052" s="8"/>
      <c r="D52052" s="8"/>
    </row>
    <row r="52053" spans="1:4" ht="15.75" customHeight="1">
      <c r="A52053" s="8"/>
      <c r="B52053" s="12"/>
      <c r="C52053" s="8"/>
      <c r="D52053" s="8"/>
    </row>
    <row r="52054" spans="1:4" ht="15.75" customHeight="1">
      <c r="A52054" s="8"/>
      <c r="B52054" s="12"/>
      <c r="C52054" s="8"/>
      <c r="D52054" s="8"/>
    </row>
    <row r="52055" spans="1:4" ht="15.75" customHeight="1">
      <c r="A52055" s="8"/>
      <c r="B52055" s="12"/>
      <c r="C52055" s="8"/>
      <c r="D52055" s="8"/>
    </row>
    <row r="52056" spans="1:4" ht="15.75" customHeight="1">
      <c r="A52056" s="8"/>
      <c r="B52056" s="12"/>
      <c r="C52056" s="8"/>
      <c r="D52056" s="8"/>
    </row>
    <row r="52057" spans="1:4" ht="15.75" customHeight="1">
      <c r="A52057" s="8"/>
      <c r="B52057" s="12"/>
      <c r="C52057" s="8"/>
      <c r="D52057" s="8"/>
    </row>
    <row r="52058" spans="1:4" ht="15.75" customHeight="1">
      <c r="A52058" s="8"/>
      <c r="B52058" s="12"/>
      <c r="C52058" s="8"/>
      <c r="D52058" s="8"/>
    </row>
    <row r="52059" spans="1:4" ht="15.75" customHeight="1">
      <c r="A52059" s="8"/>
      <c r="B52059" s="12"/>
      <c r="C52059" s="8"/>
      <c r="D52059" s="8"/>
    </row>
    <row r="52060" spans="1:4" ht="15.75" customHeight="1">
      <c r="A52060" s="8"/>
      <c r="B52060" s="12"/>
      <c r="C52060" s="8"/>
      <c r="D52060" s="8"/>
    </row>
    <row r="52061" spans="1:4" ht="15.75" customHeight="1">
      <c r="A52061" s="8"/>
      <c r="B52061" s="12"/>
      <c r="C52061" s="8"/>
      <c r="D52061" s="8"/>
    </row>
    <row r="52062" spans="1:4" ht="15.75" customHeight="1">
      <c r="A52062" s="8"/>
      <c r="B52062" s="12"/>
      <c r="C52062" s="8"/>
      <c r="D52062" s="8"/>
    </row>
    <row r="52063" spans="1:4" ht="15.75" customHeight="1">
      <c r="A52063" s="8"/>
      <c r="B52063" s="12"/>
      <c r="C52063" s="8"/>
      <c r="D52063" s="8"/>
    </row>
    <row r="52064" spans="1:4" ht="15.75" customHeight="1">
      <c r="A52064" s="8"/>
      <c r="B52064" s="12"/>
      <c r="C52064" s="8"/>
      <c r="D52064" s="8"/>
    </row>
    <row r="52065" spans="1:4" ht="15.75" customHeight="1">
      <c r="A52065" s="8"/>
      <c r="B52065" s="12"/>
      <c r="C52065" s="8"/>
      <c r="D52065" s="8"/>
    </row>
    <row r="52066" spans="1:4" ht="15.75" customHeight="1">
      <c r="A52066" s="8"/>
      <c r="B52066" s="12"/>
      <c r="C52066" s="8"/>
      <c r="D52066" s="8"/>
    </row>
    <row r="52067" spans="1:4" ht="15.75" customHeight="1">
      <c r="A52067" s="8"/>
      <c r="B52067" s="12"/>
      <c r="C52067" s="8"/>
      <c r="D52067" s="8"/>
    </row>
    <row r="52068" spans="1:4" ht="15.75" customHeight="1">
      <c r="A52068" s="8"/>
      <c r="B52068" s="12"/>
      <c r="C52068" s="8"/>
      <c r="D52068" s="8"/>
    </row>
    <row r="52069" spans="1:4" ht="15.75" customHeight="1">
      <c r="A52069" s="8"/>
      <c r="B52069" s="12"/>
      <c r="C52069" s="8"/>
      <c r="D52069" s="8"/>
    </row>
    <row r="52070" spans="1:4" ht="15.75" customHeight="1">
      <c r="A52070" s="8"/>
      <c r="B52070" s="12"/>
      <c r="C52070" s="8"/>
      <c r="D52070" s="8"/>
    </row>
    <row r="52071" spans="1:4" ht="15.75" customHeight="1">
      <c r="A52071" s="8"/>
      <c r="B52071" s="12"/>
      <c r="C52071" s="8"/>
      <c r="D52071" s="8"/>
    </row>
    <row r="52072" spans="1:4" ht="15.75" customHeight="1">
      <c r="A52072" s="8"/>
      <c r="B52072" s="12"/>
      <c r="C52072" s="8"/>
      <c r="D52072" s="8"/>
    </row>
    <row r="52073" spans="1:4" ht="15.75" customHeight="1">
      <c r="A52073" s="8"/>
      <c r="B52073" s="12"/>
      <c r="C52073" s="8"/>
      <c r="D52073" s="8"/>
    </row>
    <row r="52074" spans="1:4" ht="15.75" customHeight="1">
      <c r="A52074" s="8"/>
      <c r="B52074" s="12"/>
      <c r="C52074" s="8"/>
      <c r="D52074" s="8"/>
    </row>
    <row r="52075" spans="1:4" ht="15.75" customHeight="1">
      <c r="A52075" s="8"/>
      <c r="B52075" s="12"/>
      <c r="C52075" s="8"/>
      <c r="D52075" s="8"/>
    </row>
    <row r="52076" spans="1:4" ht="15.75" customHeight="1">
      <c r="A52076" s="8"/>
      <c r="B52076" s="12"/>
      <c r="C52076" s="8"/>
      <c r="D52076" s="8"/>
    </row>
    <row r="52077" spans="1:4" ht="15.75" customHeight="1">
      <c r="A52077" s="8"/>
      <c r="B52077" s="12"/>
      <c r="C52077" s="8"/>
      <c r="D52077" s="8"/>
    </row>
    <row r="52078" spans="1:4" ht="15.75" customHeight="1">
      <c r="A52078" s="8"/>
      <c r="B52078" s="12"/>
      <c r="C52078" s="8"/>
      <c r="D52078" s="8"/>
    </row>
    <row r="52079" spans="1:4" ht="15.75" customHeight="1">
      <c r="A52079" s="8"/>
      <c r="B52079" s="12"/>
      <c r="C52079" s="8"/>
      <c r="D52079" s="8"/>
    </row>
    <row r="52080" spans="1:4" ht="15.75" customHeight="1">
      <c r="A52080" s="8"/>
      <c r="B52080" s="12"/>
      <c r="C52080" s="8"/>
      <c r="D52080" s="8"/>
    </row>
    <row r="52081" spans="1:4" ht="15.75" customHeight="1">
      <c r="A52081" s="8"/>
      <c r="B52081" s="12"/>
      <c r="C52081" s="8"/>
      <c r="D52081" s="8"/>
    </row>
    <row r="52082" spans="1:4" ht="15.75" customHeight="1">
      <c r="A52082" s="8"/>
      <c r="B52082" s="12"/>
      <c r="C52082" s="8"/>
      <c r="D52082" s="8"/>
    </row>
    <row r="52083" spans="1:4" ht="15.75" customHeight="1">
      <c r="A52083" s="8"/>
      <c r="B52083" s="12"/>
      <c r="C52083" s="8"/>
      <c r="D52083" s="8"/>
    </row>
    <row r="52084" spans="1:4" ht="15.75" customHeight="1">
      <c r="A52084" s="8"/>
      <c r="B52084" s="12"/>
      <c r="C52084" s="8"/>
      <c r="D52084" s="8"/>
    </row>
    <row r="52085" spans="1:4" ht="15.75" customHeight="1">
      <c r="A52085" s="8"/>
      <c r="B52085" s="12"/>
      <c r="C52085" s="8"/>
      <c r="D52085" s="8"/>
    </row>
    <row r="52086" spans="1:4" ht="15.75" customHeight="1">
      <c r="A52086" s="8"/>
      <c r="B52086" s="12"/>
      <c r="C52086" s="8"/>
      <c r="D52086" s="8"/>
    </row>
    <row r="52087" spans="1:4" ht="15.75" customHeight="1">
      <c r="A52087" s="8"/>
      <c r="B52087" s="12"/>
      <c r="C52087" s="8"/>
      <c r="D52087" s="8"/>
    </row>
    <row r="52088" spans="1:4" ht="15.75" customHeight="1">
      <c r="A52088" s="8"/>
      <c r="B52088" s="12"/>
      <c r="C52088" s="8"/>
      <c r="D52088" s="8"/>
    </row>
    <row r="52089" spans="1:4" ht="15.75" customHeight="1">
      <c r="A52089" s="8"/>
      <c r="B52089" s="12"/>
      <c r="C52089" s="8"/>
      <c r="D52089" s="8"/>
    </row>
    <row r="52090" spans="1:4" ht="15.75" customHeight="1">
      <c r="A52090" s="8"/>
      <c r="B52090" s="12"/>
      <c r="C52090" s="8"/>
      <c r="D52090" s="8"/>
    </row>
    <row r="52091" spans="1:4" ht="15.75" customHeight="1">
      <c r="A52091" s="8"/>
      <c r="B52091" s="12"/>
      <c r="C52091" s="8"/>
      <c r="D52091" s="8"/>
    </row>
    <row r="52092" spans="1:4" ht="15.75" customHeight="1">
      <c r="A52092" s="8"/>
      <c r="B52092" s="12"/>
      <c r="C52092" s="8"/>
      <c r="D52092" s="8"/>
    </row>
    <row r="52093" spans="1:4" ht="15.75" customHeight="1">
      <c r="A52093" s="8"/>
      <c r="B52093" s="12"/>
      <c r="C52093" s="8"/>
      <c r="D52093" s="8"/>
    </row>
    <row r="52094" spans="1:4" ht="15.75" customHeight="1">
      <c r="A52094" s="8"/>
      <c r="B52094" s="12"/>
      <c r="C52094" s="8"/>
      <c r="D52094" s="8"/>
    </row>
    <row r="52095" spans="1:4" ht="15.75" customHeight="1">
      <c r="A52095" s="8"/>
      <c r="B52095" s="12"/>
      <c r="C52095" s="8"/>
      <c r="D52095" s="8"/>
    </row>
    <row r="52096" spans="1:4" ht="15.75" customHeight="1">
      <c r="A52096" s="8"/>
      <c r="B52096" s="12"/>
      <c r="C52096" s="8"/>
      <c r="D52096" s="8"/>
    </row>
    <row r="52097" spans="1:4" ht="15.75" customHeight="1">
      <c r="A52097" s="8"/>
      <c r="B52097" s="12"/>
      <c r="C52097" s="8"/>
      <c r="D52097" s="8"/>
    </row>
    <row r="52098" spans="1:4" ht="15.75" customHeight="1">
      <c r="A52098" s="8"/>
      <c r="B52098" s="12"/>
      <c r="C52098" s="8"/>
      <c r="D52098" s="8"/>
    </row>
    <row r="52099" spans="1:4" ht="15.75" customHeight="1">
      <c r="A52099" s="8"/>
      <c r="B52099" s="12"/>
      <c r="C52099" s="8"/>
      <c r="D52099" s="8"/>
    </row>
    <row r="52100" spans="1:4" ht="15.75" customHeight="1">
      <c r="A52100" s="8"/>
      <c r="B52100" s="12"/>
      <c r="C52100" s="8"/>
      <c r="D52100" s="8"/>
    </row>
    <row r="52101" spans="1:4" ht="15.75" customHeight="1">
      <c r="A52101" s="8"/>
      <c r="B52101" s="12"/>
      <c r="C52101" s="8"/>
      <c r="D52101" s="8"/>
    </row>
    <row r="52102" spans="1:4" ht="15.75" customHeight="1">
      <c r="A52102" s="8"/>
      <c r="B52102" s="12"/>
      <c r="C52102" s="8"/>
      <c r="D52102" s="8"/>
    </row>
    <row r="52103" spans="1:4" ht="15.75" customHeight="1">
      <c r="A52103" s="8"/>
      <c r="B52103" s="12"/>
      <c r="C52103" s="8"/>
      <c r="D52103" s="8"/>
    </row>
    <row r="52104" spans="1:4" ht="15.75" customHeight="1">
      <c r="A52104" s="8"/>
      <c r="B52104" s="12"/>
      <c r="C52104" s="8"/>
      <c r="D52104" s="8"/>
    </row>
    <row r="52105" spans="1:4" ht="15.75" customHeight="1">
      <c r="A52105" s="8"/>
      <c r="B52105" s="12"/>
      <c r="C52105" s="8"/>
      <c r="D52105" s="8"/>
    </row>
    <row r="52106" spans="1:4" ht="15.75" customHeight="1">
      <c r="A52106" s="8"/>
      <c r="B52106" s="12"/>
      <c r="C52106" s="8"/>
      <c r="D52106" s="8"/>
    </row>
    <row r="52107" spans="1:4" ht="15.75" customHeight="1">
      <c r="A52107" s="8"/>
      <c r="B52107" s="12"/>
      <c r="C52107" s="8"/>
      <c r="D52107" s="8"/>
    </row>
    <row r="52108" spans="1:4" ht="15.75" customHeight="1">
      <c r="A52108" s="8"/>
      <c r="B52108" s="12"/>
      <c r="C52108" s="8"/>
      <c r="D52108" s="8"/>
    </row>
    <row r="52109" spans="1:4" ht="15.75" customHeight="1">
      <c r="A52109" s="8"/>
      <c r="B52109" s="12"/>
      <c r="C52109" s="8"/>
      <c r="D52109" s="8"/>
    </row>
    <row r="52110" spans="1:4" ht="15.75" customHeight="1">
      <c r="A52110" s="8"/>
      <c r="B52110" s="12"/>
      <c r="C52110" s="8"/>
      <c r="D52110" s="8"/>
    </row>
    <row r="52111" spans="1:4" ht="15.75" customHeight="1">
      <c r="A52111" s="8"/>
      <c r="B52111" s="12"/>
      <c r="C52111" s="8"/>
      <c r="D52111" s="8"/>
    </row>
    <row r="52112" spans="1:4" ht="15.75" customHeight="1">
      <c r="A52112" s="8"/>
      <c r="B52112" s="12"/>
      <c r="C52112" s="8"/>
      <c r="D52112" s="8"/>
    </row>
    <row r="52113" spans="1:4" ht="15.75" customHeight="1">
      <c r="A52113" s="8"/>
      <c r="B52113" s="12"/>
      <c r="C52113" s="8"/>
      <c r="D52113" s="8"/>
    </row>
    <row r="52114" spans="1:4" ht="15.75" customHeight="1">
      <c r="A52114" s="8"/>
      <c r="B52114" s="12"/>
      <c r="C52114" s="8"/>
      <c r="D52114" s="8"/>
    </row>
    <row r="52115" spans="1:4" ht="15.75" customHeight="1">
      <c r="A52115" s="8"/>
      <c r="B52115" s="12"/>
      <c r="C52115" s="8"/>
      <c r="D52115" s="8"/>
    </row>
    <row r="52116" spans="1:4" ht="15.75" customHeight="1">
      <c r="A52116" s="8"/>
      <c r="B52116" s="12"/>
      <c r="C52116" s="8"/>
      <c r="D52116" s="8"/>
    </row>
    <row r="52117" spans="1:4" ht="15.75" customHeight="1">
      <c r="A52117" s="8"/>
      <c r="B52117" s="12"/>
      <c r="C52117" s="8"/>
      <c r="D52117" s="8"/>
    </row>
    <row r="52118" spans="1:4" ht="15.75" customHeight="1">
      <c r="A52118" s="8"/>
      <c r="B52118" s="12"/>
      <c r="C52118" s="8"/>
      <c r="D52118" s="8"/>
    </row>
    <row r="52119" spans="1:4" ht="15.75" customHeight="1">
      <c r="A52119" s="8"/>
      <c r="B52119" s="12"/>
      <c r="C52119" s="8"/>
      <c r="D52119" s="8"/>
    </row>
    <row r="52120" spans="1:4" ht="15.75" customHeight="1">
      <c r="A52120" s="8"/>
      <c r="B52120" s="12"/>
      <c r="C52120" s="8"/>
      <c r="D52120" s="8"/>
    </row>
    <row r="52121" spans="1:4" ht="15.75" customHeight="1">
      <c r="A52121" s="8"/>
      <c r="B52121" s="12"/>
      <c r="C52121" s="8"/>
      <c r="D52121" s="8"/>
    </row>
    <row r="52122" spans="1:4" ht="15.75" customHeight="1">
      <c r="A52122" s="8"/>
      <c r="B52122" s="12"/>
      <c r="C52122" s="8"/>
      <c r="D52122" s="8"/>
    </row>
    <row r="52123" spans="1:4" ht="15.75" customHeight="1">
      <c r="A52123" s="8"/>
      <c r="B52123" s="12"/>
      <c r="C52123" s="8"/>
      <c r="D52123" s="8"/>
    </row>
    <row r="52124" spans="1:4" ht="15.75" customHeight="1">
      <c r="A52124" s="8"/>
      <c r="B52124" s="12"/>
      <c r="C52124" s="8"/>
      <c r="D52124" s="8"/>
    </row>
    <row r="52125" spans="1:4" ht="15.75" customHeight="1">
      <c r="A52125" s="8"/>
      <c r="B52125" s="12"/>
      <c r="C52125" s="8"/>
      <c r="D52125" s="8"/>
    </row>
    <row r="52126" spans="1:4" ht="15.75" customHeight="1">
      <c r="A52126" s="8"/>
      <c r="B52126" s="12"/>
      <c r="C52126" s="8"/>
      <c r="D52126" s="8"/>
    </row>
    <row r="52127" spans="1:4" ht="15.75" customHeight="1">
      <c r="A52127" s="8"/>
      <c r="B52127" s="12"/>
      <c r="C52127" s="8"/>
      <c r="D52127" s="8"/>
    </row>
    <row r="52128" spans="1:4" ht="15.75" customHeight="1">
      <c r="A52128" s="8"/>
      <c r="B52128" s="12"/>
      <c r="C52128" s="8"/>
      <c r="D52128" s="8"/>
    </row>
    <row r="52129" spans="1:4" ht="15.75" customHeight="1">
      <c r="A52129" s="8"/>
      <c r="B52129" s="12"/>
      <c r="C52129" s="8"/>
      <c r="D52129" s="8"/>
    </row>
    <row r="52130" spans="1:4" ht="15.75" customHeight="1">
      <c r="A52130" s="8"/>
      <c r="B52130" s="12"/>
      <c r="C52130" s="8"/>
      <c r="D52130" s="8"/>
    </row>
    <row r="52131" spans="1:4" ht="15.75" customHeight="1">
      <c r="A52131" s="8"/>
      <c r="B52131" s="12"/>
      <c r="C52131" s="8"/>
      <c r="D52131" s="8"/>
    </row>
    <row r="52132" spans="1:4" ht="15.75" customHeight="1">
      <c r="A52132" s="8"/>
      <c r="B52132" s="12"/>
      <c r="C52132" s="8"/>
      <c r="D52132" s="8"/>
    </row>
    <row r="52133" spans="1:4" ht="15.75" customHeight="1">
      <c r="A52133" s="8"/>
      <c r="B52133" s="12"/>
      <c r="C52133" s="8"/>
      <c r="D52133" s="8"/>
    </row>
    <row r="52134" spans="1:4" ht="15.75" customHeight="1">
      <c r="A52134" s="8"/>
      <c r="B52134" s="12"/>
      <c r="C52134" s="8"/>
      <c r="D52134" s="8"/>
    </row>
    <row r="52135" spans="1:4" ht="15.75" customHeight="1">
      <c r="A52135" s="8"/>
      <c r="B52135" s="12"/>
      <c r="C52135" s="8"/>
      <c r="D52135" s="8"/>
    </row>
    <row r="52136" spans="1:4" ht="15.75" customHeight="1">
      <c r="A52136" s="8"/>
      <c r="B52136" s="12"/>
      <c r="C52136" s="8"/>
      <c r="D52136" s="8"/>
    </row>
    <row r="52137" spans="1:4" ht="15.75" customHeight="1">
      <c r="A52137" s="8"/>
      <c r="B52137" s="12"/>
      <c r="C52137" s="8"/>
      <c r="D52137" s="8"/>
    </row>
    <row r="52138" spans="1:4" ht="15.75" customHeight="1">
      <c r="A52138" s="8"/>
      <c r="B52138" s="12"/>
      <c r="C52138" s="8"/>
      <c r="D52138" s="8"/>
    </row>
    <row r="52139" spans="1:4" ht="15.75" customHeight="1">
      <c r="A52139" s="8"/>
      <c r="B52139" s="12"/>
      <c r="C52139" s="8"/>
      <c r="D52139" s="8"/>
    </row>
    <row r="52140" spans="1:4" ht="15.75" customHeight="1">
      <c r="A52140" s="8"/>
      <c r="B52140" s="12"/>
      <c r="C52140" s="8"/>
      <c r="D52140" s="8"/>
    </row>
    <row r="52141" spans="1:4" ht="15.75" customHeight="1">
      <c r="A52141" s="8"/>
      <c r="B52141" s="12"/>
      <c r="C52141" s="8"/>
      <c r="D52141" s="8"/>
    </row>
    <row r="52142" spans="1:4" ht="15.75" customHeight="1">
      <c r="A52142" s="8"/>
      <c r="B52142" s="12"/>
      <c r="C52142" s="8"/>
      <c r="D52142" s="8"/>
    </row>
    <row r="52143" spans="1:4" ht="15.75" customHeight="1">
      <c r="A52143" s="8"/>
      <c r="B52143" s="12"/>
      <c r="C52143" s="8"/>
      <c r="D52143" s="8"/>
    </row>
    <row r="52144" spans="1:4" ht="15.75" customHeight="1">
      <c r="A52144" s="8"/>
      <c r="B52144" s="12"/>
      <c r="C52144" s="8"/>
      <c r="D52144" s="8"/>
    </row>
    <row r="52145" spans="1:4" ht="15.75" customHeight="1">
      <c r="A52145" s="8"/>
      <c r="B52145" s="12"/>
      <c r="C52145" s="8"/>
      <c r="D52145" s="8"/>
    </row>
    <row r="52146" spans="1:4" ht="15.75" customHeight="1">
      <c r="A52146" s="8"/>
      <c r="B52146" s="12"/>
      <c r="C52146" s="8"/>
      <c r="D52146" s="8"/>
    </row>
    <row r="52147" spans="1:4" ht="15.75" customHeight="1">
      <c r="A52147" s="8"/>
      <c r="B52147" s="12"/>
      <c r="C52147" s="8"/>
      <c r="D52147" s="8"/>
    </row>
    <row r="52148" spans="1:4" ht="15.75" customHeight="1">
      <c r="A52148" s="8"/>
      <c r="B52148" s="12"/>
      <c r="C52148" s="8"/>
      <c r="D52148" s="8"/>
    </row>
    <row r="52149" spans="1:4" ht="15.75" customHeight="1">
      <c r="A52149" s="8"/>
      <c r="B52149" s="12"/>
      <c r="C52149" s="8"/>
      <c r="D52149" s="8"/>
    </row>
    <row r="52150" spans="1:4" ht="15.75" customHeight="1">
      <c r="A52150" s="8"/>
      <c r="B52150" s="12"/>
      <c r="C52150" s="8"/>
      <c r="D52150" s="8"/>
    </row>
    <row r="52151" spans="1:4" ht="15.75" customHeight="1">
      <c r="A52151" s="8"/>
      <c r="B52151" s="12"/>
      <c r="C52151" s="8"/>
      <c r="D52151" s="8"/>
    </row>
    <row r="52152" spans="1:4" ht="15.75" customHeight="1">
      <c r="A52152" s="8"/>
      <c r="B52152" s="12"/>
      <c r="C52152" s="8"/>
      <c r="D52152" s="8"/>
    </row>
    <row r="52153" spans="1:4" ht="15.75" customHeight="1">
      <c r="A52153" s="8"/>
      <c r="B52153" s="12"/>
      <c r="C52153" s="8"/>
      <c r="D52153" s="8"/>
    </row>
    <row r="52154" spans="1:4" ht="15.75" customHeight="1">
      <c r="A52154" s="8"/>
      <c r="B52154" s="12"/>
      <c r="C52154" s="8"/>
      <c r="D52154" s="8"/>
    </row>
    <row r="52155" spans="1:4" ht="15.75" customHeight="1">
      <c r="A52155" s="8"/>
      <c r="B52155" s="12"/>
      <c r="C52155" s="8"/>
      <c r="D52155" s="8"/>
    </row>
    <row r="52156" spans="1:4" ht="15.75" customHeight="1">
      <c r="A52156" s="8"/>
      <c r="B52156" s="12"/>
      <c r="C52156" s="8"/>
      <c r="D52156" s="8"/>
    </row>
    <row r="52157" spans="1:4" ht="15.75" customHeight="1">
      <c r="A52157" s="8"/>
      <c r="B52157" s="12"/>
      <c r="C52157" s="8"/>
      <c r="D52157" s="8"/>
    </row>
    <row r="52158" spans="1:4" ht="15.75" customHeight="1">
      <c r="A52158" s="8"/>
      <c r="B52158" s="12"/>
      <c r="C52158" s="8"/>
      <c r="D52158" s="8"/>
    </row>
    <row r="52159" spans="1:4" ht="15.75" customHeight="1">
      <c r="A52159" s="8"/>
      <c r="B52159" s="12"/>
      <c r="C52159" s="8"/>
      <c r="D52159" s="8"/>
    </row>
    <row r="52160" spans="1:4" ht="15.75" customHeight="1">
      <c r="A52160" s="8"/>
      <c r="B52160" s="12"/>
      <c r="C52160" s="8"/>
      <c r="D52160" s="8"/>
    </row>
    <row r="52161" spans="1:4" ht="15.75" customHeight="1">
      <c r="A52161" s="8"/>
      <c r="B52161" s="12"/>
      <c r="C52161" s="8"/>
      <c r="D52161" s="8"/>
    </row>
    <row r="52162" spans="1:4" ht="15.75" customHeight="1">
      <c r="A52162" s="8"/>
      <c r="B52162" s="12"/>
      <c r="C52162" s="8"/>
      <c r="D52162" s="8"/>
    </row>
    <row r="52163" spans="1:4" ht="15.75" customHeight="1">
      <c r="A52163" s="8"/>
      <c r="B52163" s="12"/>
      <c r="C52163" s="8"/>
      <c r="D52163" s="8"/>
    </row>
    <row r="52164" spans="1:4" ht="15.75" customHeight="1">
      <c r="A52164" s="8"/>
      <c r="B52164" s="12"/>
      <c r="C52164" s="8"/>
      <c r="D52164" s="8"/>
    </row>
    <row r="52165" spans="1:4" ht="15.75" customHeight="1">
      <c r="A52165" s="8"/>
      <c r="B52165" s="12"/>
      <c r="C52165" s="8"/>
      <c r="D52165" s="8"/>
    </row>
    <row r="52166" spans="1:4" ht="15.75" customHeight="1">
      <c r="A52166" s="8"/>
      <c r="B52166" s="12"/>
      <c r="C52166" s="8"/>
      <c r="D52166" s="8"/>
    </row>
    <row r="52167" spans="1:4" ht="15.75" customHeight="1">
      <c r="A52167" s="8"/>
      <c r="B52167" s="12"/>
      <c r="C52167" s="8"/>
      <c r="D52167" s="8"/>
    </row>
    <row r="52168" spans="1:4" ht="15.75" customHeight="1">
      <c r="A52168" s="8"/>
      <c r="B52168" s="12"/>
      <c r="C52168" s="8"/>
      <c r="D52168" s="8"/>
    </row>
    <row r="52169" spans="1:4" ht="15.75" customHeight="1">
      <c r="A52169" s="8"/>
      <c r="B52169" s="12"/>
      <c r="C52169" s="8"/>
      <c r="D52169" s="8"/>
    </row>
    <row r="52170" spans="1:4" ht="15.75" customHeight="1">
      <c r="A52170" s="8"/>
      <c r="B52170" s="12"/>
      <c r="C52170" s="8"/>
      <c r="D52170" s="8"/>
    </row>
    <row r="52171" spans="1:4" ht="15.75" customHeight="1">
      <c r="A52171" s="8"/>
      <c r="B52171" s="12"/>
      <c r="C52171" s="8"/>
      <c r="D52171" s="8"/>
    </row>
    <row r="52172" spans="1:4" ht="15.75" customHeight="1">
      <c r="A52172" s="8"/>
      <c r="B52172" s="12"/>
      <c r="C52172" s="8"/>
      <c r="D52172" s="8"/>
    </row>
    <row r="52173" spans="1:4" ht="15.75" customHeight="1">
      <c r="A52173" s="8"/>
      <c r="B52173" s="12"/>
      <c r="C52173" s="8"/>
      <c r="D52173" s="8"/>
    </row>
    <row r="52174" spans="1:4" ht="15.75" customHeight="1">
      <c r="A52174" s="8"/>
      <c r="B52174" s="12"/>
      <c r="C52174" s="8"/>
      <c r="D52174" s="8"/>
    </row>
    <row r="52175" spans="1:4" ht="15.75" customHeight="1">
      <c r="A52175" s="8"/>
      <c r="B52175" s="12"/>
      <c r="C52175" s="8"/>
      <c r="D52175" s="8"/>
    </row>
    <row r="52176" spans="1:4" ht="15.75" customHeight="1">
      <c r="A52176" s="8"/>
      <c r="B52176" s="12"/>
      <c r="C52176" s="8"/>
      <c r="D52176" s="8"/>
    </row>
    <row r="52177" spans="1:4" ht="15.75" customHeight="1">
      <c r="A52177" s="8"/>
      <c r="B52177" s="12"/>
      <c r="C52177" s="8"/>
      <c r="D52177" s="8"/>
    </row>
    <row r="52178" spans="1:4" ht="15.75" customHeight="1">
      <c r="A52178" s="8"/>
      <c r="B52178" s="12"/>
      <c r="C52178" s="8"/>
      <c r="D52178" s="8"/>
    </row>
    <row r="52179" spans="1:4" ht="15.75" customHeight="1">
      <c r="A52179" s="8"/>
      <c r="B52179" s="12"/>
      <c r="C52179" s="8"/>
      <c r="D52179" s="8"/>
    </row>
    <row r="52180" spans="1:4" ht="15.75" customHeight="1">
      <c r="A52180" s="8"/>
      <c r="B52180" s="12"/>
      <c r="C52180" s="8"/>
      <c r="D52180" s="8"/>
    </row>
    <row r="52181" spans="1:4" ht="15.75" customHeight="1">
      <c r="A52181" s="8"/>
      <c r="B52181" s="12"/>
      <c r="C52181" s="8"/>
      <c r="D52181" s="8"/>
    </row>
    <row r="52182" spans="1:4" ht="15.75" customHeight="1">
      <c r="A52182" s="8"/>
      <c r="B52182" s="12"/>
      <c r="C52182" s="8"/>
      <c r="D52182" s="8"/>
    </row>
    <row r="52183" spans="1:4" ht="15.75" customHeight="1">
      <c r="A52183" s="8"/>
      <c r="B52183" s="12"/>
      <c r="C52183" s="8"/>
      <c r="D52183" s="8"/>
    </row>
    <row r="52184" spans="1:4" ht="15.75" customHeight="1">
      <c r="A52184" s="8"/>
      <c r="B52184" s="12"/>
      <c r="C52184" s="8"/>
      <c r="D52184" s="8"/>
    </row>
    <row r="52185" spans="1:4" ht="15.75" customHeight="1">
      <c r="A52185" s="8"/>
      <c r="B52185" s="12"/>
      <c r="C52185" s="8"/>
      <c r="D52185" s="8"/>
    </row>
    <row r="52186" spans="1:4" ht="15.75" customHeight="1">
      <c r="A52186" s="8"/>
      <c r="B52186" s="12"/>
      <c r="C52186" s="8"/>
      <c r="D52186" s="8"/>
    </row>
    <row r="52187" spans="1:4" ht="15.75" customHeight="1">
      <c r="A52187" s="8"/>
      <c r="B52187" s="12"/>
      <c r="C52187" s="8"/>
      <c r="D52187" s="8"/>
    </row>
    <row r="52188" spans="1:4" ht="15.75" customHeight="1">
      <c r="A52188" s="8"/>
      <c r="B52188" s="12"/>
      <c r="C52188" s="8"/>
      <c r="D52188" s="8"/>
    </row>
    <row r="52189" spans="1:4" ht="15.75" customHeight="1">
      <c r="A52189" s="8"/>
      <c r="B52189" s="12"/>
      <c r="C52189" s="8"/>
      <c r="D52189" s="8"/>
    </row>
    <row r="52190" spans="1:4" ht="15.75" customHeight="1">
      <c r="A52190" s="8"/>
      <c r="B52190" s="12"/>
      <c r="C52190" s="8"/>
      <c r="D52190" s="8"/>
    </row>
    <row r="52191" spans="1:4" ht="15.75" customHeight="1">
      <c r="A52191" s="8"/>
      <c r="B52191" s="12"/>
      <c r="C52191" s="8"/>
      <c r="D52191" s="8"/>
    </row>
    <row r="52192" spans="1:4" ht="15.75" customHeight="1">
      <c r="A52192" s="8"/>
      <c r="B52192" s="12"/>
      <c r="C52192" s="8"/>
      <c r="D52192" s="8"/>
    </row>
    <row r="52193" spans="1:4" ht="15.75" customHeight="1">
      <c r="A52193" s="8"/>
      <c r="B52193" s="12"/>
      <c r="C52193" s="8"/>
      <c r="D52193" s="8"/>
    </row>
    <row r="52194" spans="1:4" ht="15.75" customHeight="1">
      <c r="A52194" s="8"/>
      <c r="B52194" s="12"/>
      <c r="C52194" s="8"/>
      <c r="D52194" s="8"/>
    </row>
    <row r="52195" spans="1:4" ht="15.75" customHeight="1">
      <c r="A52195" s="8"/>
      <c r="B52195" s="12"/>
      <c r="C52195" s="8"/>
      <c r="D52195" s="8"/>
    </row>
    <row r="52196" spans="1:4" ht="15.75" customHeight="1">
      <c r="A52196" s="8"/>
      <c r="B52196" s="12"/>
      <c r="C52196" s="8"/>
      <c r="D52196" s="8"/>
    </row>
    <row r="52197" spans="1:4" ht="15.75" customHeight="1">
      <c r="A52197" s="8"/>
      <c r="B52197" s="12"/>
      <c r="C52197" s="8"/>
      <c r="D52197" s="8"/>
    </row>
    <row r="52198" spans="1:4" ht="15.75" customHeight="1">
      <c r="A52198" s="8"/>
      <c r="B52198" s="12"/>
      <c r="C52198" s="8"/>
      <c r="D52198" s="8"/>
    </row>
    <row r="52199" spans="1:4" ht="15.75" customHeight="1">
      <c r="A52199" s="8"/>
      <c r="B52199" s="12"/>
      <c r="C52199" s="8"/>
      <c r="D52199" s="8"/>
    </row>
    <row r="52200" spans="1:4" ht="15.75" customHeight="1">
      <c r="A52200" s="8"/>
      <c r="B52200" s="12"/>
      <c r="C52200" s="8"/>
      <c r="D52200" s="8"/>
    </row>
    <row r="52201" spans="1:4" ht="15.75" customHeight="1">
      <c r="A52201" s="8"/>
      <c r="B52201" s="12"/>
      <c r="C52201" s="8"/>
      <c r="D52201" s="8"/>
    </row>
    <row r="52202" spans="1:4" ht="15.75" customHeight="1">
      <c r="A52202" s="8"/>
      <c r="B52202" s="12"/>
      <c r="C52202" s="8"/>
      <c r="D52202" s="8"/>
    </row>
    <row r="52203" spans="1:4" ht="15.75" customHeight="1">
      <c r="A52203" s="8"/>
      <c r="B52203" s="12"/>
      <c r="C52203" s="8"/>
      <c r="D52203" s="8"/>
    </row>
    <row r="52204" spans="1:4" ht="15.75" customHeight="1">
      <c r="A52204" s="8"/>
      <c r="B52204" s="12"/>
      <c r="C52204" s="8"/>
      <c r="D52204" s="8"/>
    </row>
    <row r="52205" spans="1:4" ht="15.75" customHeight="1">
      <c r="A52205" s="8"/>
      <c r="B52205" s="12"/>
      <c r="C52205" s="8"/>
      <c r="D52205" s="8"/>
    </row>
    <row r="52206" spans="1:4" ht="15.75" customHeight="1">
      <c r="A52206" s="8"/>
      <c r="B52206" s="12"/>
      <c r="C52206" s="8"/>
      <c r="D52206" s="8"/>
    </row>
    <row r="52207" spans="1:4" ht="15.75" customHeight="1">
      <c r="A52207" s="8"/>
      <c r="B52207" s="12"/>
      <c r="C52207" s="8"/>
      <c r="D52207" s="8"/>
    </row>
    <row r="52208" spans="1:4" ht="15.75" customHeight="1">
      <c r="A52208" s="8"/>
      <c r="B52208" s="12"/>
      <c r="C52208" s="8"/>
      <c r="D52208" s="8"/>
    </row>
    <row r="52209" spans="1:4" ht="15.75" customHeight="1">
      <c r="A52209" s="8"/>
      <c r="B52209" s="12"/>
      <c r="C52209" s="8"/>
      <c r="D52209" s="8"/>
    </row>
    <row r="52210" spans="1:4" ht="15.75" customHeight="1">
      <c r="A52210" s="8"/>
      <c r="B52210" s="12"/>
      <c r="C52210" s="8"/>
      <c r="D52210" s="8"/>
    </row>
    <row r="52211" spans="1:4" ht="15.75" customHeight="1">
      <c r="A52211" s="8"/>
      <c r="B52211" s="12"/>
      <c r="C52211" s="8"/>
      <c r="D52211" s="8"/>
    </row>
    <row r="52212" spans="1:4" ht="15.75" customHeight="1">
      <c r="A52212" s="8"/>
      <c r="B52212" s="12"/>
      <c r="C52212" s="8"/>
      <c r="D52212" s="8"/>
    </row>
    <row r="52213" spans="1:4" ht="15.75" customHeight="1">
      <c r="A52213" s="8"/>
      <c r="B52213" s="12"/>
      <c r="C52213" s="8"/>
      <c r="D52213" s="8"/>
    </row>
    <row r="52214" spans="1:4" ht="15.75" customHeight="1">
      <c r="A52214" s="8"/>
      <c r="B52214" s="12"/>
      <c r="C52214" s="8"/>
      <c r="D52214" s="8"/>
    </row>
    <row r="52215" spans="1:4" ht="15.75" customHeight="1">
      <c r="A52215" s="8"/>
      <c r="B52215" s="12"/>
      <c r="C52215" s="8"/>
      <c r="D52215" s="8"/>
    </row>
    <row r="52216" spans="1:4" ht="15.75" customHeight="1">
      <c r="A52216" s="8"/>
      <c r="B52216" s="12"/>
      <c r="C52216" s="8"/>
      <c r="D52216" s="8"/>
    </row>
    <row r="52217" spans="1:4" ht="15.75" customHeight="1">
      <c r="A52217" s="8"/>
      <c r="B52217" s="12"/>
      <c r="C52217" s="8"/>
      <c r="D52217" s="8"/>
    </row>
    <row r="52218" spans="1:4" ht="15.75" customHeight="1">
      <c r="A52218" s="8"/>
      <c r="B52218" s="12"/>
      <c r="C52218" s="8"/>
      <c r="D52218" s="8"/>
    </row>
    <row r="52219" spans="1:4" ht="15.75" customHeight="1">
      <c r="A52219" s="8"/>
      <c r="B52219" s="12"/>
      <c r="C52219" s="8"/>
      <c r="D52219" s="8"/>
    </row>
    <row r="52220" spans="1:4" ht="15.75" customHeight="1">
      <c r="A52220" s="8"/>
      <c r="B52220" s="12"/>
      <c r="C52220" s="8"/>
      <c r="D52220" s="8"/>
    </row>
    <row r="52221" spans="1:4" ht="15.75" customHeight="1">
      <c r="A52221" s="8"/>
      <c r="B52221" s="12"/>
      <c r="C52221" s="8"/>
      <c r="D52221" s="8"/>
    </row>
    <row r="52222" spans="1:4" ht="15.75" customHeight="1">
      <c r="A52222" s="8"/>
      <c r="B52222" s="12"/>
      <c r="C52222" s="8"/>
      <c r="D52222" s="8"/>
    </row>
    <row r="52223" spans="1:4" ht="15.75" customHeight="1">
      <c r="A52223" s="8"/>
      <c r="B52223" s="12"/>
      <c r="C52223" s="8"/>
      <c r="D52223" s="8"/>
    </row>
    <row r="52224" spans="1:4" ht="15.75" customHeight="1">
      <c r="A52224" s="8"/>
      <c r="B52224" s="12"/>
      <c r="C52224" s="8"/>
      <c r="D52224" s="8"/>
    </row>
    <row r="52225" spans="1:4" ht="15.75" customHeight="1">
      <c r="A52225" s="8"/>
      <c r="B52225" s="12"/>
      <c r="C52225" s="8"/>
      <c r="D52225" s="8"/>
    </row>
    <row r="52226" spans="1:4" ht="15.75" customHeight="1">
      <c r="A52226" s="8"/>
      <c r="B52226" s="12"/>
      <c r="C52226" s="8"/>
      <c r="D52226" s="8"/>
    </row>
    <row r="52227" spans="1:4" ht="15.75" customHeight="1">
      <c r="A52227" s="8"/>
      <c r="B52227" s="12"/>
      <c r="C52227" s="8"/>
      <c r="D52227" s="8"/>
    </row>
    <row r="52228" spans="1:4" ht="15.75" customHeight="1">
      <c r="A52228" s="8"/>
      <c r="B52228" s="12"/>
      <c r="C52228" s="8"/>
      <c r="D52228" s="8"/>
    </row>
    <row r="52229" spans="1:4" ht="15.75" customHeight="1">
      <c r="A52229" s="8"/>
      <c r="B52229" s="12"/>
      <c r="C52229" s="8"/>
      <c r="D52229" s="8"/>
    </row>
    <row r="52230" spans="1:4" ht="15.75" customHeight="1">
      <c r="A52230" s="8"/>
      <c r="B52230" s="12"/>
      <c r="C52230" s="8"/>
      <c r="D52230" s="8"/>
    </row>
    <row r="52231" spans="1:4" ht="15.75" customHeight="1">
      <c r="A52231" s="8"/>
      <c r="B52231" s="12"/>
      <c r="C52231" s="8"/>
      <c r="D52231" s="8"/>
    </row>
    <row r="52232" spans="1:4" ht="15.75" customHeight="1">
      <c r="A52232" s="8"/>
      <c r="B52232" s="12"/>
      <c r="C52232" s="8"/>
      <c r="D52232" s="8"/>
    </row>
    <row r="52233" spans="1:4" ht="15.75" customHeight="1">
      <c r="A52233" s="8"/>
      <c r="B52233" s="12"/>
      <c r="C52233" s="8"/>
      <c r="D52233" s="8"/>
    </row>
    <row r="52234" spans="1:4" ht="15.75" customHeight="1">
      <c r="A52234" s="8"/>
      <c r="B52234" s="12"/>
      <c r="C52234" s="8"/>
      <c r="D52234" s="8"/>
    </row>
    <row r="52235" spans="1:4" ht="15.75" customHeight="1">
      <c r="A52235" s="8"/>
      <c r="B52235" s="12"/>
      <c r="C52235" s="8"/>
      <c r="D52235" s="8"/>
    </row>
    <row r="52236" spans="1:4" ht="15.75" customHeight="1">
      <c r="A52236" s="8"/>
      <c r="B52236" s="12"/>
      <c r="C52236" s="8"/>
      <c r="D52236" s="8"/>
    </row>
    <row r="52237" spans="1:4" ht="15.75" customHeight="1">
      <c r="A52237" s="8"/>
      <c r="B52237" s="12"/>
      <c r="C52237" s="8"/>
      <c r="D52237" s="8"/>
    </row>
    <row r="52238" spans="1:4" ht="15.75" customHeight="1">
      <c r="A52238" s="8"/>
      <c r="B52238" s="12"/>
      <c r="C52238" s="8"/>
      <c r="D52238" s="8"/>
    </row>
    <row r="52239" spans="1:4" ht="15.75" customHeight="1">
      <c r="A52239" s="8"/>
      <c r="B52239" s="12"/>
      <c r="C52239" s="8"/>
      <c r="D52239" s="8"/>
    </row>
    <row r="52240" spans="1:4" ht="15.75" customHeight="1">
      <c r="A52240" s="8"/>
      <c r="B52240" s="12"/>
      <c r="C52240" s="8"/>
      <c r="D52240" s="8"/>
    </row>
    <row r="52241" spans="1:4" ht="15.75" customHeight="1">
      <c r="A52241" s="8"/>
      <c r="B52241" s="12"/>
      <c r="C52241" s="8"/>
      <c r="D52241" s="8"/>
    </row>
    <row r="52242" spans="1:4" ht="15.75" customHeight="1">
      <c r="A52242" s="8"/>
      <c r="B52242" s="12"/>
      <c r="C52242" s="8"/>
      <c r="D52242" s="8"/>
    </row>
    <row r="52243" spans="1:4" ht="15.75" customHeight="1">
      <c r="A52243" s="8"/>
      <c r="B52243" s="12"/>
      <c r="C52243" s="8"/>
      <c r="D52243" s="8"/>
    </row>
    <row r="52244" spans="1:4" ht="15.75" customHeight="1">
      <c r="A52244" s="8"/>
      <c r="B52244" s="12"/>
      <c r="C52244" s="8"/>
      <c r="D52244" s="8"/>
    </row>
    <row r="52245" spans="1:4" ht="15.75" customHeight="1">
      <c r="A52245" s="8"/>
      <c r="B52245" s="12"/>
      <c r="C52245" s="8"/>
      <c r="D52245" s="8"/>
    </row>
    <row r="52246" spans="1:4" ht="15.75" customHeight="1">
      <c r="A52246" s="8"/>
      <c r="B52246" s="12"/>
      <c r="C52246" s="8"/>
      <c r="D52246" s="8"/>
    </row>
    <row r="52247" spans="1:4" ht="15.75" customHeight="1">
      <c r="A52247" s="8"/>
      <c r="B52247" s="12"/>
      <c r="C52247" s="8"/>
      <c r="D52247" s="8"/>
    </row>
    <row r="52248" spans="1:4" ht="15.75" customHeight="1">
      <c r="A52248" s="8"/>
      <c r="B52248" s="12"/>
      <c r="C52248" s="8"/>
      <c r="D52248" s="8"/>
    </row>
    <row r="52249" spans="1:4" ht="15.75" customHeight="1">
      <c r="A52249" s="8"/>
      <c r="B52249" s="12"/>
      <c r="C52249" s="8"/>
      <c r="D52249" s="8"/>
    </row>
    <row r="52250" spans="1:4" ht="15.75" customHeight="1">
      <c r="A52250" s="8"/>
      <c r="B52250" s="12"/>
      <c r="C52250" s="8"/>
      <c r="D52250" s="8"/>
    </row>
    <row r="52251" spans="1:4" ht="15.75" customHeight="1">
      <c r="A52251" s="8"/>
      <c r="B52251" s="12"/>
      <c r="C52251" s="8"/>
      <c r="D52251" s="8"/>
    </row>
    <row r="52252" spans="1:4" ht="15.75" customHeight="1">
      <c r="A52252" s="8"/>
      <c r="B52252" s="12"/>
      <c r="C52252" s="8"/>
      <c r="D52252" s="8"/>
    </row>
    <row r="52253" spans="1:4" ht="15.75" customHeight="1">
      <c r="A52253" s="8"/>
      <c r="B52253" s="12"/>
      <c r="C52253" s="8"/>
      <c r="D52253" s="8"/>
    </row>
    <row r="52254" spans="1:4" ht="15.75" customHeight="1">
      <c r="A52254" s="8"/>
      <c r="B52254" s="12"/>
      <c r="C52254" s="8"/>
      <c r="D52254" s="8"/>
    </row>
    <row r="52255" spans="1:4" ht="15.75" customHeight="1">
      <c r="A52255" s="8"/>
      <c r="B52255" s="12"/>
      <c r="C52255" s="8"/>
      <c r="D52255" s="8"/>
    </row>
    <row r="52256" spans="1:4" ht="15.75" customHeight="1">
      <c r="A52256" s="8"/>
      <c r="B52256" s="12"/>
      <c r="C52256" s="8"/>
      <c r="D52256" s="8"/>
    </row>
    <row r="52257" spans="1:4" ht="15.75" customHeight="1">
      <c r="A52257" s="8"/>
      <c r="B52257" s="12"/>
      <c r="C52257" s="8"/>
      <c r="D52257" s="8"/>
    </row>
    <row r="52258" spans="1:4" ht="15.75" customHeight="1">
      <c r="A52258" s="8"/>
      <c r="B52258" s="12"/>
      <c r="C52258" s="8"/>
      <c r="D52258" s="8"/>
    </row>
    <row r="52259" spans="1:4" ht="15.75" customHeight="1">
      <c r="A52259" s="8"/>
      <c r="B52259" s="12"/>
      <c r="C52259" s="8"/>
      <c r="D52259" s="8"/>
    </row>
    <row r="52260" spans="1:4" ht="15.75" customHeight="1">
      <c r="A52260" s="8"/>
      <c r="B52260" s="12"/>
      <c r="C52260" s="8"/>
      <c r="D52260" s="8"/>
    </row>
    <row r="52261" spans="1:4" ht="15.75" customHeight="1">
      <c r="A52261" s="8"/>
      <c r="B52261" s="12"/>
      <c r="C52261" s="8"/>
      <c r="D52261" s="8"/>
    </row>
    <row r="52262" spans="1:4" ht="15.75" customHeight="1">
      <c r="A52262" s="8"/>
      <c r="B52262" s="12"/>
      <c r="C52262" s="8"/>
      <c r="D52262" s="8"/>
    </row>
    <row r="52263" spans="1:4" ht="15.75" customHeight="1">
      <c r="A52263" s="8"/>
      <c r="B52263" s="12"/>
      <c r="C52263" s="8"/>
      <c r="D52263" s="8"/>
    </row>
    <row r="52264" spans="1:4" ht="15.75" customHeight="1">
      <c r="A52264" s="8"/>
      <c r="B52264" s="12"/>
      <c r="C52264" s="8"/>
      <c r="D52264" s="8"/>
    </row>
    <row r="52265" spans="1:4" ht="15.75" customHeight="1">
      <c r="A52265" s="8"/>
      <c r="B52265" s="12"/>
      <c r="C52265" s="8"/>
      <c r="D52265" s="8"/>
    </row>
    <row r="52266" spans="1:4" ht="15.75" customHeight="1">
      <c r="A52266" s="8"/>
      <c r="B52266" s="12"/>
      <c r="C52266" s="8"/>
      <c r="D52266" s="8"/>
    </row>
    <row r="52267" spans="1:4" ht="15.75" customHeight="1">
      <c r="A52267" s="8"/>
      <c r="B52267" s="12"/>
      <c r="C52267" s="8"/>
      <c r="D52267" s="8"/>
    </row>
    <row r="52268" spans="1:4" ht="15.75" customHeight="1">
      <c r="A52268" s="8"/>
      <c r="B52268" s="12"/>
      <c r="C52268" s="8"/>
      <c r="D52268" s="8"/>
    </row>
    <row r="52269" spans="1:4" ht="15.75" customHeight="1">
      <c r="A52269" s="8"/>
      <c r="B52269" s="12"/>
      <c r="C52269" s="8"/>
      <c r="D52269" s="8"/>
    </row>
    <row r="52270" spans="1:4" ht="15.75" customHeight="1">
      <c r="A52270" s="8"/>
      <c r="B52270" s="12"/>
      <c r="C52270" s="8"/>
      <c r="D52270" s="8"/>
    </row>
    <row r="52271" spans="1:4" ht="15.75" customHeight="1">
      <c r="A52271" s="8"/>
      <c r="B52271" s="12"/>
      <c r="C52271" s="8"/>
      <c r="D52271" s="8"/>
    </row>
    <row r="52272" spans="1:4" ht="15.75" customHeight="1">
      <c r="A52272" s="8"/>
      <c r="B52272" s="12"/>
      <c r="C52272" s="8"/>
      <c r="D52272" s="8"/>
    </row>
    <row r="52273" spans="1:4" ht="15.75" customHeight="1">
      <c r="A52273" s="8"/>
      <c r="B52273" s="12"/>
      <c r="C52273" s="8"/>
      <c r="D52273" s="8"/>
    </row>
    <row r="52274" spans="1:4" ht="15.75" customHeight="1">
      <c r="A52274" s="8"/>
      <c r="B52274" s="12"/>
      <c r="C52274" s="8"/>
      <c r="D52274" s="8"/>
    </row>
    <row r="52275" spans="1:4" ht="15.75" customHeight="1">
      <c r="A52275" s="8"/>
      <c r="B52275" s="12"/>
      <c r="C52275" s="8"/>
      <c r="D52275" s="8"/>
    </row>
    <row r="52276" spans="1:4" ht="15.75" customHeight="1">
      <c r="A52276" s="8"/>
      <c r="B52276" s="12"/>
      <c r="C52276" s="8"/>
      <c r="D52276" s="8"/>
    </row>
    <row r="52277" spans="1:4" ht="15.75" customHeight="1">
      <c r="A52277" s="8"/>
      <c r="B52277" s="12"/>
      <c r="C52277" s="8"/>
      <c r="D52277" s="8"/>
    </row>
    <row r="52278" spans="1:4" ht="15.75" customHeight="1">
      <c r="A52278" s="8"/>
      <c r="B52278" s="12"/>
      <c r="C52278" s="8"/>
      <c r="D52278" s="8"/>
    </row>
    <row r="52279" spans="1:4" ht="15.75" customHeight="1">
      <c r="A52279" s="8"/>
      <c r="B52279" s="12"/>
      <c r="C52279" s="8"/>
      <c r="D52279" s="8"/>
    </row>
    <row r="52280" spans="1:4" ht="15.75" customHeight="1">
      <c r="A52280" s="8"/>
      <c r="B52280" s="12"/>
      <c r="C52280" s="8"/>
      <c r="D52280" s="8"/>
    </row>
    <row r="52281" spans="1:4" ht="15.75" customHeight="1">
      <c r="A52281" s="8"/>
      <c r="B52281" s="12"/>
      <c r="C52281" s="8"/>
      <c r="D52281" s="8"/>
    </row>
    <row r="52282" spans="1:4" ht="15.75" customHeight="1">
      <c r="A52282" s="8"/>
      <c r="B52282" s="12"/>
      <c r="C52282" s="8"/>
      <c r="D52282" s="8"/>
    </row>
    <row r="52283" spans="1:4" ht="15.75" customHeight="1">
      <c r="A52283" s="8"/>
      <c r="B52283" s="12"/>
      <c r="C52283" s="8"/>
      <c r="D52283" s="8"/>
    </row>
    <row r="52284" spans="1:4" ht="15.75" customHeight="1">
      <c r="A52284" s="8"/>
      <c r="B52284" s="12"/>
      <c r="C52284" s="8"/>
      <c r="D52284" s="8"/>
    </row>
    <row r="52285" spans="1:4" ht="15.75" customHeight="1">
      <c r="A52285" s="8"/>
      <c r="B52285" s="12"/>
      <c r="C52285" s="8"/>
      <c r="D52285" s="8"/>
    </row>
    <row r="52286" spans="1:4" ht="15.75" customHeight="1">
      <c r="A52286" s="8"/>
      <c r="B52286" s="12"/>
      <c r="C52286" s="8"/>
      <c r="D52286" s="8"/>
    </row>
    <row r="52287" spans="1:4" ht="15.75" customHeight="1">
      <c r="A52287" s="8"/>
      <c r="B52287" s="12"/>
      <c r="C52287" s="8"/>
      <c r="D52287" s="8"/>
    </row>
    <row r="52288" spans="1:4" ht="15.75" customHeight="1">
      <c r="A52288" s="8"/>
      <c r="B52288" s="12"/>
      <c r="C52288" s="8"/>
      <c r="D52288" s="8"/>
    </row>
    <row r="52289" spans="1:4" ht="15.75" customHeight="1">
      <c r="A52289" s="8"/>
      <c r="B52289" s="12"/>
      <c r="C52289" s="8"/>
      <c r="D52289" s="8"/>
    </row>
    <row r="52290" spans="1:4" ht="15.75" customHeight="1">
      <c r="A52290" s="8"/>
      <c r="B52290" s="12"/>
      <c r="C52290" s="8"/>
      <c r="D52290" s="8"/>
    </row>
    <row r="52291" spans="1:4" ht="15.75" customHeight="1">
      <c r="A52291" s="8"/>
      <c r="B52291" s="12"/>
      <c r="C52291" s="8"/>
      <c r="D52291" s="8"/>
    </row>
    <row r="52292" spans="1:4" ht="15.75" customHeight="1">
      <c r="A52292" s="8"/>
      <c r="B52292" s="12"/>
      <c r="C52292" s="8"/>
      <c r="D52292" s="8"/>
    </row>
    <row r="52293" spans="1:4" ht="15.75" customHeight="1">
      <c r="A52293" s="8"/>
      <c r="B52293" s="12"/>
      <c r="C52293" s="8"/>
      <c r="D52293" s="8"/>
    </row>
    <row r="52294" spans="1:4" ht="15.75" customHeight="1">
      <c r="A52294" s="8"/>
      <c r="B52294" s="12"/>
      <c r="C52294" s="8"/>
      <c r="D52294" s="8"/>
    </row>
    <row r="52295" spans="1:4" ht="15.75" customHeight="1">
      <c r="A52295" s="8"/>
      <c r="B52295" s="12"/>
      <c r="C52295" s="8"/>
      <c r="D52295" s="8"/>
    </row>
    <row r="52296" spans="1:4" ht="15.75" customHeight="1">
      <c r="A52296" s="8"/>
      <c r="B52296" s="12"/>
      <c r="C52296" s="8"/>
      <c r="D52296" s="8"/>
    </row>
    <row r="52297" spans="1:4" ht="15.75" customHeight="1">
      <c r="A52297" s="8"/>
      <c r="B52297" s="12"/>
      <c r="C52297" s="8"/>
      <c r="D52297" s="8"/>
    </row>
    <row r="52298" spans="1:4" ht="15.75" customHeight="1">
      <c r="A52298" s="8"/>
      <c r="B52298" s="12"/>
      <c r="C52298" s="8"/>
      <c r="D52298" s="8"/>
    </row>
    <row r="52299" spans="1:4" ht="15.75" customHeight="1">
      <c r="A52299" s="8"/>
      <c r="B52299" s="12"/>
      <c r="C52299" s="8"/>
      <c r="D52299" s="8"/>
    </row>
    <row r="52300" spans="1:4" ht="15.75" customHeight="1">
      <c r="A52300" s="8"/>
      <c r="B52300" s="12"/>
      <c r="C52300" s="8"/>
      <c r="D52300" s="8"/>
    </row>
    <row r="52301" spans="1:4" ht="15.75" customHeight="1">
      <c r="A52301" s="8"/>
      <c r="B52301" s="12"/>
      <c r="C52301" s="8"/>
      <c r="D52301" s="8"/>
    </row>
    <row r="52302" spans="1:4" ht="15.75" customHeight="1">
      <c r="A52302" s="8"/>
      <c r="B52302" s="12"/>
      <c r="C52302" s="8"/>
      <c r="D52302" s="8"/>
    </row>
    <row r="52303" spans="1:4" ht="15.75" customHeight="1">
      <c r="A52303" s="8"/>
      <c r="B52303" s="12"/>
      <c r="C52303" s="8"/>
      <c r="D52303" s="8"/>
    </row>
    <row r="52304" spans="1:4" ht="15.75" customHeight="1">
      <c r="A52304" s="8"/>
      <c r="B52304" s="12"/>
      <c r="C52304" s="8"/>
      <c r="D52304" s="8"/>
    </row>
    <row r="52305" spans="1:4" ht="15.75" customHeight="1">
      <c r="A52305" s="8"/>
      <c r="B52305" s="12"/>
      <c r="C52305" s="8"/>
      <c r="D52305" s="8"/>
    </row>
    <row r="52306" spans="1:4" ht="15.75" customHeight="1">
      <c r="A52306" s="8"/>
      <c r="B52306" s="12"/>
      <c r="C52306" s="8"/>
      <c r="D52306" s="8"/>
    </row>
    <row r="52307" spans="1:4" ht="15.75" customHeight="1">
      <c r="A52307" s="8"/>
      <c r="B52307" s="12"/>
      <c r="C52307" s="8"/>
      <c r="D52307" s="8"/>
    </row>
    <row r="52308" spans="1:4" ht="15.75" customHeight="1">
      <c r="A52308" s="8"/>
      <c r="B52308" s="12"/>
      <c r="C52308" s="8"/>
      <c r="D52308" s="8"/>
    </row>
    <row r="52309" spans="1:4" ht="15.75" customHeight="1">
      <c r="A52309" s="8"/>
      <c r="B52309" s="12"/>
      <c r="C52309" s="8"/>
      <c r="D52309" s="8"/>
    </row>
    <row r="52310" spans="1:4" ht="15.75" customHeight="1">
      <c r="A52310" s="8"/>
      <c r="B52310" s="12"/>
      <c r="C52310" s="8"/>
      <c r="D52310" s="8"/>
    </row>
    <row r="52311" spans="1:4" ht="15.75" customHeight="1">
      <c r="A52311" s="8"/>
      <c r="B52311" s="12"/>
      <c r="C52311" s="8"/>
      <c r="D52311" s="8"/>
    </row>
    <row r="52312" spans="1:4" ht="15.75" customHeight="1">
      <c r="A52312" s="8"/>
      <c r="B52312" s="12"/>
      <c r="C52312" s="8"/>
      <c r="D52312" s="8"/>
    </row>
    <row r="52313" spans="1:4" ht="15.75" customHeight="1">
      <c r="A52313" s="8"/>
      <c r="B52313" s="12"/>
      <c r="C52313" s="8"/>
      <c r="D52313" s="8"/>
    </row>
    <row r="52314" spans="1:4" ht="15.75" customHeight="1">
      <c r="A52314" s="8"/>
      <c r="B52314" s="12"/>
      <c r="C52314" s="8"/>
      <c r="D52314" s="8"/>
    </row>
    <row r="52315" spans="1:4" ht="15.75" customHeight="1">
      <c r="A52315" s="8"/>
      <c r="B52315" s="12"/>
      <c r="C52315" s="8"/>
      <c r="D52315" s="8"/>
    </row>
    <row r="52316" spans="1:4" ht="15.75" customHeight="1">
      <c r="A52316" s="8"/>
      <c r="B52316" s="12"/>
      <c r="C52316" s="8"/>
      <c r="D52316" s="8"/>
    </row>
    <row r="52317" spans="1:4" ht="15.75" customHeight="1">
      <c r="A52317" s="8"/>
      <c r="B52317" s="12"/>
      <c r="C52317" s="8"/>
      <c r="D52317" s="8"/>
    </row>
    <row r="52318" spans="1:4" ht="15.75" customHeight="1">
      <c r="A52318" s="8"/>
      <c r="B52318" s="12"/>
      <c r="C52318" s="8"/>
      <c r="D52318" s="8"/>
    </row>
    <row r="52319" spans="1:4" ht="15.75" customHeight="1">
      <c r="A52319" s="8"/>
      <c r="B52319" s="12"/>
      <c r="C52319" s="8"/>
      <c r="D52319" s="8"/>
    </row>
    <row r="52320" spans="1:4" ht="15.75" customHeight="1">
      <c r="A52320" s="8"/>
      <c r="B52320" s="12"/>
      <c r="C52320" s="8"/>
      <c r="D52320" s="8"/>
    </row>
    <row r="52321" spans="1:4" ht="15.75" customHeight="1">
      <c r="A52321" s="8"/>
      <c r="B52321" s="12"/>
      <c r="C52321" s="8"/>
      <c r="D52321" s="8"/>
    </row>
    <row r="52322" spans="1:4" ht="15.75" customHeight="1">
      <c r="A52322" s="8"/>
      <c r="B52322" s="12"/>
      <c r="C52322" s="8"/>
      <c r="D52322" s="8"/>
    </row>
    <row r="52323" spans="1:4" ht="15.75" customHeight="1">
      <c r="A52323" s="8"/>
      <c r="B52323" s="12"/>
      <c r="C52323" s="8"/>
      <c r="D52323" s="8"/>
    </row>
    <row r="52324" spans="1:4" ht="15.75" customHeight="1">
      <c r="A52324" s="8"/>
      <c r="B52324" s="12"/>
      <c r="C52324" s="8"/>
      <c r="D52324" s="8"/>
    </row>
    <row r="52325" spans="1:4" ht="15.75" customHeight="1">
      <c r="A52325" s="8"/>
      <c r="B52325" s="12"/>
      <c r="C52325" s="8"/>
      <c r="D52325" s="8"/>
    </row>
    <row r="52326" spans="1:4" ht="15.75" customHeight="1">
      <c r="A52326" s="8"/>
      <c r="B52326" s="12"/>
      <c r="C52326" s="8"/>
      <c r="D52326" s="8"/>
    </row>
    <row r="52327" spans="1:4" ht="15.75" customHeight="1">
      <c r="A52327" s="8"/>
      <c r="B52327" s="12"/>
      <c r="C52327" s="8"/>
      <c r="D52327" s="8"/>
    </row>
    <row r="52328" spans="1:4" ht="15.75" customHeight="1">
      <c r="A52328" s="8"/>
      <c r="B52328" s="12"/>
      <c r="C52328" s="8"/>
      <c r="D52328" s="8"/>
    </row>
    <row r="52329" spans="1:4" ht="15.75" customHeight="1">
      <c r="A52329" s="8"/>
      <c r="B52329" s="12"/>
      <c r="C52329" s="8"/>
      <c r="D52329" s="8"/>
    </row>
    <row r="52330" spans="1:4" ht="15.75" customHeight="1">
      <c r="A52330" s="8"/>
      <c r="B52330" s="12"/>
      <c r="C52330" s="8"/>
      <c r="D52330" s="8"/>
    </row>
    <row r="52331" spans="1:4" ht="15.75" customHeight="1">
      <c r="A52331" s="8"/>
      <c r="B52331" s="12"/>
      <c r="C52331" s="8"/>
      <c r="D52331" s="8"/>
    </row>
    <row r="52332" spans="1:4" ht="15.75" customHeight="1">
      <c r="A52332" s="8"/>
      <c r="B52332" s="12"/>
      <c r="C52332" s="8"/>
      <c r="D52332" s="8"/>
    </row>
    <row r="52333" spans="1:4" ht="15.75" customHeight="1">
      <c r="A52333" s="8"/>
      <c r="B52333" s="12"/>
      <c r="C52333" s="8"/>
      <c r="D52333" s="8"/>
    </row>
    <row r="52334" spans="1:4" ht="15.75" customHeight="1">
      <c r="A52334" s="8"/>
      <c r="B52334" s="12"/>
      <c r="C52334" s="8"/>
      <c r="D52334" s="8"/>
    </row>
    <row r="52335" spans="1:4" ht="15.75" customHeight="1">
      <c r="A52335" s="8"/>
      <c r="B52335" s="12"/>
      <c r="C52335" s="8"/>
      <c r="D52335" s="8"/>
    </row>
    <row r="52336" spans="1:4" ht="15.75" customHeight="1">
      <c r="A52336" s="8"/>
      <c r="B52336" s="12"/>
      <c r="C52336" s="8"/>
      <c r="D52336" s="8"/>
    </row>
    <row r="52337" spans="1:4" ht="15.75" customHeight="1">
      <c r="A52337" s="8"/>
      <c r="B52337" s="12"/>
      <c r="C52337" s="8"/>
      <c r="D52337" s="8"/>
    </row>
    <row r="52338" spans="1:4" ht="15.75" customHeight="1">
      <c r="A52338" s="8"/>
      <c r="B52338" s="12"/>
      <c r="C52338" s="8"/>
      <c r="D52338" s="8"/>
    </row>
    <row r="52339" spans="1:4" ht="15.75" customHeight="1">
      <c r="A52339" s="8"/>
      <c r="B52339" s="12"/>
      <c r="C52339" s="8"/>
      <c r="D52339" s="8"/>
    </row>
    <row r="52340" spans="1:4" ht="15.75" customHeight="1">
      <c r="A52340" s="8"/>
      <c r="B52340" s="12"/>
      <c r="C52340" s="8"/>
      <c r="D52340" s="8"/>
    </row>
    <row r="52341" spans="1:4" ht="15.75" customHeight="1">
      <c r="A52341" s="8"/>
      <c r="B52341" s="12"/>
      <c r="C52341" s="8"/>
      <c r="D52341" s="8"/>
    </row>
    <row r="52342" spans="1:4" ht="15.75" customHeight="1">
      <c r="A52342" s="8"/>
      <c r="B52342" s="12"/>
      <c r="C52342" s="8"/>
      <c r="D52342" s="8"/>
    </row>
    <row r="52343" spans="1:4" ht="15.75" customHeight="1">
      <c r="A52343" s="8"/>
      <c r="B52343" s="12"/>
      <c r="C52343" s="8"/>
      <c r="D52343" s="8"/>
    </row>
    <row r="52344" spans="1:4" ht="15.75" customHeight="1">
      <c r="A52344" s="8"/>
      <c r="B52344" s="12"/>
      <c r="C52344" s="8"/>
      <c r="D52344" s="8"/>
    </row>
    <row r="52345" spans="1:4" ht="15.75" customHeight="1">
      <c r="A52345" s="8"/>
      <c r="B52345" s="12"/>
      <c r="C52345" s="8"/>
      <c r="D52345" s="8"/>
    </row>
    <row r="52346" spans="1:4" ht="15.75" customHeight="1">
      <c r="A52346" s="8"/>
      <c r="B52346" s="12"/>
      <c r="C52346" s="8"/>
      <c r="D52346" s="8"/>
    </row>
    <row r="52347" spans="1:4" ht="15.75" customHeight="1">
      <c r="A52347" s="8"/>
      <c r="B52347" s="12"/>
      <c r="C52347" s="8"/>
      <c r="D52347" s="8"/>
    </row>
    <row r="52348" spans="1:4" ht="15.75" customHeight="1">
      <c r="A52348" s="8"/>
      <c r="B52348" s="12"/>
      <c r="C52348" s="8"/>
      <c r="D52348" s="8"/>
    </row>
    <row r="52349" spans="1:4" ht="15.75" customHeight="1">
      <c r="A52349" s="8"/>
      <c r="B52349" s="12"/>
      <c r="C52349" s="8"/>
      <c r="D52349" s="8"/>
    </row>
    <row r="52350" spans="1:4" ht="15.75" customHeight="1">
      <c r="A52350" s="8"/>
      <c r="B52350" s="12"/>
      <c r="C52350" s="8"/>
      <c r="D52350" s="8"/>
    </row>
    <row r="52351" spans="1:4" ht="15.75" customHeight="1">
      <c r="A52351" s="8"/>
      <c r="B52351" s="12"/>
      <c r="C52351" s="8"/>
      <c r="D52351" s="8"/>
    </row>
    <row r="52352" spans="1:4" ht="15.75" customHeight="1">
      <c r="A52352" s="8"/>
      <c r="B52352" s="12"/>
      <c r="C52352" s="8"/>
      <c r="D52352" s="8"/>
    </row>
    <row r="52353" spans="1:4" ht="15.75" customHeight="1">
      <c r="A52353" s="8"/>
      <c r="B52353" s="12"/>
      <c r="C52353" s="8"/>
      <c r="D52353" s="8"/>
    </row>
    <row r="52354" spans="1:4" ht="15.75" customHeight="1">
      <c r="A52354" s="8"/>
      <c r="B52354" s="12"/>
      <c r="C52354" s="8"/>
      <c r="D52354" s="8"/>
    </row>
    <row r="52355" spans="1:4" ht="15.75" customHeight="1">
      <c r="A52355" s="8"/>
      <c r="B52355" s="12"/>
      <c r="C52355" s="8"/>
      <c r="D52355" s="8"/>
    </row>
    <row r="52356" spans="1:4" ht="15.75" customHeight="1">
      <c r="A52356" s="8"/>
      <c r="B52356" s="12"/>
      <c r="C52356" s="8"/>
      <c r="D52356" s="8"/>
    </row>
    <row r="52357" spans="1:4" ht="15.75" customHeight="1">
      <c r="A52357" s="8"/>
      <c r="B52357" s="12"/>
      <c r="C52357" s="8"/>
      <c r="D52357" s="8"/>
    </row>
    <row r="52358" spans="1:4" ht="15.75" customHeight="1">
      <c r="A52358" s="8"/>
      <c r="B52358" s="12"/>
      <c r="C52358" s="8"/>
      <c r="D52358" s="8"/>
    </row>
    <row r="52359" spans="1:4" ht="15.75" customHeight="1">
      <c r="A52359" s="8"/>
      <c r="B52359" s="12"/>
      <c r="C52359" s="8"/>
      <c r="D52359" s="8"/>
    </row>
    <row r="52360" spans="1:4" ht="15.75" customHeight="1">
      <c r="A52360" s="8"/>
      <c r="B52360" s="12"/>
      <c r="C52360" s="8"/>
      <c r="D52360" s="8"/>
    </row>
    <row r="52361" spans="1:4" ht="15.75" customHeight="1">
      <c r="A52361" s="8"/>
      <c r="B52361" s="12"/>
      <c r="C52361" s="8"/>
      <c r="D52361" s="8"/>
    </row>
    <row r="52362" spans="1:4" ht="15.75" customHeight="1">
      <c r="A52362" s="8"/>
      <c r="B52362" s="12"/>
      <c r="C52362" s="8"/>
      <c r="D52362" s="8"/>
    </row>
    <row r="52363" spans="1:4" ht="15.75" customHeight="1">
      <c r="A52363" s="8"/>
      <c r="B52363" s="12"/>
      <c r="C52363" s="8"/>
      <c r="D52363" s="8"/>
    </row>
    <row r="52364" spans="1:4" ht="15.75" customHeight="1">
      <c r="A52364" s="8"/>
      <c r="B52364" s="12"/>
      <c r="C52364" s="8"/>
      <c r="D52364" s="8"/>
    </row>
    <row r="52365" spans="1:4" ht="15.75" customHeight="1">
      <c r="A52365" s="8"/>
      <c r="B52365" s="12"/>
      <c r="C52365" s="8"/>
      <c r="D52365" s="8"/>
    </row>
    <row r="52366" spans="1:4" ht="15.75" customHeight="1">
      <c r="A52366" s="8"/>
      <c r="B52366" s="12"/>
      <c r="C52366" s="8"/>
      <c r="D52366" s="8"/>
    </row>
    <row r="52367" spans="1:4" ht="15.75" customHeight="1">
      <c r="A52367" s="8"/>
      <c r="B52367" s="12"/>
      <c r="C52367" s="8"/>
      <c r="D52367" s="8"/>
    </row>
    <row r="52368" spans="1:4" ht="15.75" customHeight="1">
      <c r="A52368" s="8"/>
      <c r="B52368" s="12"/>
      <c r="C52368" s="8"/>
      <c r="D52368" s="8"/>
    </row>
    <row r="52369" spans="1:4" ht="15.75" customHeight="1">
      <c r="A52369" s="8"/>
      <c r="B52369" s="12"/>
      <c r="C52369" s="8"/>
      <c r="D52369" s="8"/>
    </row>
    <row r="52370" spans="1:4" ht="15.75" customHeight="1">
      <c r="A52370" s="8"/>
      <c r="B52370" s="12"/>
      <c r="C52370" s="8"/>
      <c r="D52370" s="8"/>
    </row>
    <row r="52371" spans="1:4" ht="15.75" customHeight="1">
      <c r="A52371" s="8"/>
      <c r="B52371" s="12"/>
      <c r="C52371" s="8"/>
      <c r="D52371" s="8"/>
    </row>
    <row r="52372" spans="1:4" ht="15.75" customHeight="1">
      <c r="A52372" s="8"/>
      <c r="B52372" s="12"/>
      <c r="C52372" s="8"/>
      <c r="D52372" s="8"/>
    </row>
    <row r="52373" spans="1:4" ht="15.75" customHeight="1">
      <c r="A52373" s="8"/>
      <c r="B52373" s="12"/>
      <c r="C52373" s="8"/>
      <c r="D52373" s="8"/>
    </row>
    <row r="52374" spans="1:4" ht="15.75" customHeight="1">
      <c r="A52374" s="8"/>
      <c r="B52374" s="12"/>
      <c r="C52374" s="8"/>
      <c r="D52374" s="8"/>
    </row>
    <row r="52375" spans="1:4" ht="15.75" customHeight="1">
      <c r="A52375" s="8"/>
      <c r="B52375" s="12"/>
      <c r="C52375" s="8"/>
      <c r="D52375" s="8"/>
    </row>
    <row r="52376" spans="1:4" ht="15.75" customHeight="1">
      <c r="A52376" s="8"/>
      <c r="B52376" s="12"/>
      <c r="C52376" s="8"/>
      <c r="D52376" s="8"/>
    </row>
    <row r="52377" spans="1:4" ht="15.75" customHeight="1">
      <c r="A52377" s="8"/>
      <c r="B52377" s="12"/>
      <c r="C52377" s="8"/>
      <c r="D52377" s="8"/>
    </row>
    <row r="52378" spans="1:4" ht="15.75" customHeight="1">
      <c r="A52378" s="8"/>
      <c r="B52378" s="12"/>
      <c r="C52378" s="8"/>
      <c r="D52378" s="8"/>
    </row>
    <row r="52379" spans="1:4" ht="15.75" customHeight="1">
      <c r="A52379" s="8"/>
      <c r="B52379" s="12"/>
      <c r="C52379" s="8"/>
      <c r="D52379" s="8"/>
    </row>
    <row r="52380" spans="1:4" ht="15.75" customHeight="1">
      <c r="A52380" s="8"/>
      <c r="B52380" s="12"/>
      <c r="C52380" s="8"/>
      <c r="D52380" s="8"/>
    </row>
    <row r="52381" spans="1:4" ht="15.75" customHeight="1">
      <c r="A52381" s="8"/>
      <c r="B52381" s="12"/>
      <c r="C52381" s="8"/>
      <c r="D52381" s="8"/>
    </row>
    <row r="52382" spans="1:4" ht="15.75" customHeight="1">
      <c r="A52382" s="8"/>
      <c r="B52382" s="12"/>
      <c r="C52382" s="8"/>
      <c r="D52382" s="8"/>
    </row>
    <row r="52383" spans="1:4" ht="15.75" customHeight="1">
      <c r="A52383" s="8"/>
      <c r="B52383" s="12"/>
      <c r="C52383" s="8"/>
      <c r="D52383" s="8"/>
    </row>
    <row r="52384" spans="1:4" ht="15.75" customHeight="1">
      <c r="A52384" s="8"/>
      <c r="B52384" s="12"/>
      <c r="C52384" s="8"/>
      <c r="D52384" s="8"/>
    </row>
    <row r="52385" spans="1:4" ht="15.75" customHeight="1">
      <c r="A52385" s="8"/>
      <c r="B52385" s="12"/>
      <c r="C52385" s="8"/>
      <c r="D52385" s="8"/>
    </row>
    <row r="52386" spans="1:4" ht="15.75" customHeight="1">
      <c r="A52386" s="8"/>
      <c r="B52386" s="12"/>
      <c r="C52386" s="8"/>
      <c r="D52386" s="8"/>
    </row>
    <row r="52387" spans="1:4" ht="15.75" customHeight="1">
      <c r="A52387" s="8"/>
      <c r="B52387" s="12"/>
      <c r="C52387" s="8"/>
      <c r="D52387" s="8"/>
    </row>
    <row r="52388" spans="1:4" ht="15.75" customHeight="1">
      <c r="A52388" s="8"/>
      <c r="B52388" s="12"/>
      <c r="C52388" s="8"/>
      <c r="D52388" s="8"/>
    </row>
    <row r="52389" spans="1:4" ht="15.75" customHeight="1">
      <c r="A52389" s="8"/>
      <c r="B52389" s="12"/>
      <c r="C52389" s="8"/>
      <c r="D52389" s="8"/>
    </row>
    <row r="52390" spans="1:4" ht="15.75" customHeight="1">
      <c r="A52390" s="8"/>
      <c r="B52390" s="12"/>
      <c r="C52390" s="8"/>
      <c r="D52390" s="8"/>
    </row>
    <row r="52391" spans="1:4" ht="15.75" customHeight="1">
      <c r="A52391" s="8"/>
      <c r="B52391" s="12"/>
      <c r="C52391" s="8"/>
      <c r="D52391" s="8"/>
    </row>
    <row r="52392" spans="1:4" ht="15.75" customHeight="1">
      <c r="A52392" s="8"/>
      <c r="B52392" s="12"/>
      <c r="C52392" s="8"/>
      <c r="D52392" s="8"/>
    </row>
    <row r="52393" spans="1:4" ht="15.75" customHeight="1">
      <c r="A52393" s="8"/>
      <c r="B52393" s="12"/>
      <c r="C52393" s="8"/>
      <c r="D52393" s="8"/>
    </row>
    <row r="52394" spans="1:4" ht="15.75" customHeight="1">
      <c r="A52394" s="8"/>
      <c r="B52394" s="12"/>
      <c r="C52394" s="8"/>
      <c r="D52394" s="8"/>
    </row>
    <row r="52395" spans="1:4" ht="15.75" customHeight="1">
      <c r="A52395" s="8"/>
      <c r="B52395" s="12"/>
      <c r="C52395" s="8"/>
      <c r="D52395" s="8"/>
    </row>
    <row r="52396" spans="1:4" ht="15.75" customHeight="1">
      <c r="A52396" s="8"/>
      <c r="B52396" s="12"/>
      <c r="C52396" s="8"/>
      <c r="D52396" s="8"/>
    </row>
    <row r="52397" spans="1:4" ht="15.75" customHeight="1">
      <c r="A52397" s="8"/>
      <c r="B52397" s="12"/>
      <c r="C52397" s="8"/>
      <c r="D52397" s="8"/>
    </row>
    <row r="52398" spans="1:4" ht="15.75" customHeight="1">
      <c r="A52398" s="8"/>
      <c r="B52398" s="12"/>
      <c r="C52398" s="8"/>
      <c r="D52398" s="8"/>
    </row>
    <row r="52399" spans="1:4" ht="15.75" customHeight="1">
      <c r="A52399" s="8"/>
      <c r="B52399" s="12"/>
      <c r="C52399" s="8"/>
      <c r="D52399" s="8"/>
    </row>
    <row r="52400" spans="1:4" ht="15.75" customHeight="1">
      <c r="A52400" s="8"/>
      <c r="B52400" s="12"/>
      <c r="C52400" s="8"/>
      <c r="D52400" s="8"/>
    </row>
    <row r="52401" spans="1:4" ht="15.75" customHeight="1">
      <c r="A52401" s="8"/>
      <c r="B52401" s="12"/>
      <c r="C52401" s="8"/>
      <c r="D52401" s="8"/>
    </row>
    <row r="52402" spans="1:4" ht="15.75" customHeight="1">
      <c r="A52402" s="8"/>
      <c r="B52402" s="12"/>
      <c r="C52402" s="8"/>
      <c r="D52402" s="8"/>
    </row>
    <row r="52403" spans="1:4" ht="15.75" customHeight="1">
      <c r="A52403" s="8"/>
      <c r="B52403" s="12"/>
      <c r="C52403" s="8"/>
      <c r="D52403" s="8"/>
    </row>
    <row r="52404" spans="1:4" ht="15.75" customHeight="1">
      <c r="A52404" s="8"/>
      <c r="B52404" s="12"/>
      <c r="C52404" s="8"/>
      <c r="D52404" s="8"/>
    </row>
    <row r="52405" spans="1:4" ht="15.75" customHeight="1">
      <c r="A52405" s="8"/>
      <c r="B52405" s="12"/>
      <c r="C52405" s="8"/>
      <c r="D52405" s="8"/>
    </row>
    <row r="52406" spans="1:4" ht="15.75" customHeight="1">
      <c r="A52406" s="8"/>
      <c r="B52406" s="12"/>
      <c r="C52406" s="8"/>
      <c r="D52406" s="8"/>
    </row>
    <row r="52407" spans="1:4" ht="15.75" customHeight="1">
      <c r="A52407" s="8"/>
      <c r="B52407" s="12"/>
      <c r="C52407" s="8"/>
      <c r="D52407" s="8"/>
    </row>
    <row r="52408" spans="1:4" ht="15.75" customHeight="1">
      <c r="A52408" s="8"/>
      <c r="B52408" s="12"/>
      <c r="C52408" s="8"/>
      <c r="D52408" s="8"/>
    </row>
    <row r="52409" spans="1:4" ht="15.75" customHeight="1">
      <c r="A52409" s="8"/>
      <c r="B52409" s="12"/>
      <c r="C52409" s="8"/>
      <c r="D52409" s="8"/>
    </row>
    <row r="52410" spans="1:4" ht="15.75" customHeight="1">
      <c r="A52410" s="8"/>
      <c r="B52410" s="12"/>
      <c r="C52410" s="8"/>
      <c r="D52410" s="8"/>
    </row>
    <row r="52411" spans="1:4" ht="15.75" customHeight="1">
      <c r="A52411" s="8"/>
      <c r="B52411" s="12"/>
      <c r="C52411" s="8"/>
      <c r="D52411" s="8"/>
    </row>
    <row r="52412" spans="1:4" ht="15.75" customHeight="1">
      <c r="A52412" s="8"/>
      <c r="B52412" s="12"/>
      <c r="C52412" s="8"/>
      <c r="D52412" s="8"/>
    </row>
    <row r="52413" spans="1:4" ht="15.75" customHeight="1">
      <c r="A52413" s="8"/>
      <c r="B52413" s="12"/>
      <c r="C52413" s="8"/>
      <c r="D52413" s="8"/>
    </row>
    <row r="52414" spans="1:4" ht="15.75" customHeight="1">
      <c r="A52414" s="8"/>
      <c r="B52414" s="12"/>
      <c r="C52414" s="8"/>
      <c r="D52414" s="8"/>
    </row>
    <row r="52415" spans="1:4" ht="15.75" customHeight="1">
      <c r="A52415" s="8"/>
      <c r="B52415" s="12"/>
      <c r="C52415" s="8"/>
      <c r="D52415" s="8"/>
    </row>
    <row r="52416" spans="1:4" ht="15.75" customHeight="1">
      <c r="A52416" s="8"/>
      <c r="B52416" s="12"/>
      <c r="C52416" s="8"/>
      <c r="D52416" s="8"/>
    </row>
    <row r="52417" spans="1:4" ht="15.75" customHeight="1">
      <c r="A52417" s="8"/>
      <c r="B52417" s="12"/>
      <c r="C52417" s="8"/>
      <c r="D52417" s="8"/>
    </row>
    <row r="52418" spans="1:4" ht="15.75" customHeight="1">
      <c r="A52418" s="8"/>
      <c r="B52418" s="12"/>
      <c r="C52418" s="8"/>
      <c r="D52418" s="8"/>
    </row>
    <row r="52419" spans="1:4" ht="15.75" customHeight="1">
      <c r="A52419" s="8"/>
      <c r="B52419" s="12"/>
      <c r="C52419" s="8"/>
      <c r="D52419" s="8"/>
    </row>
    <row r="52420" spans="1:4" ht="15.75" customHeight="1">
      <c r="A52420" s="8"/>
      <c r="B52420" s="12"/>
      <c r="C52420" s="8"/>
      <c r="D52420" s="8"/>
    </row>
    <row r="52421" spans="1:4" ht="15.75" customHeight="1">
      <c r="A52421" s="8"/>
      <c r="B52421" s="12"/>
      <c r="C52421" s="8"/>
      <c r="D52421" s="8"/>
    </row>
    <row r="52422" spans="1:4" ht="15.75" customHeight="1">
      <c r="A52422" s="8"/>
      <c r="B52422" s="12"/>
      <c r="C52422" s="8"/>
      <c r="D52422" s="8"/>
    </row>
    <row r="52423" spans="1:4" ht="15.75" customHeight="1">
      <c r="A52423" s="8"/>
      <c r="B52423" s="12"/>
      <c r="C52423" s="8"/>
      <c r="D52423" s="8"/>
    </row>
    <row r="52424" spans="1:4" ht="15.75" customHeight="1">
      <c r="A52424" s="8"/>
      <c r="B52424" s="12"/>
      <c r="C52424" s="8"/>
      <c r="D52424" s="8"/>
    </row>
    <row r="52425" spans="1:4" ht="15.75" customHeight="1">
      <c r="A52425" s="8"/>
      <c r="B52425" s="12"/>
      <c r="C52425" s="8"/>
      <c r="D52425" s="8"/>
    </row>
    <row r="52426" spans="1:4" ht="15.75" customHeight="1">
      <c r="A52426" s="8"/>
      <c r="B52426" s="12"/>
      <c r="C52426" s="8"/>
      <c r="D52426" s="8"/>
    </row>
    <row r="52427" spans="1:4" ht="15.75" customHeight="1">
      <c r="A52427" s="8"/>
      <c r="B52427" s="12"/>
      <c r="C52427" s="8"/>
      <c r="D52427" s="8"/>
    </row>
    <row r="52428" spans="1:4" ht="15.75" customHeight="1">
      <c r="A52428" s="8"/>
      <c r="B52428" s="12"/>
      <c r="C52428" s="8"/>
      <c r="D52428" s="8"/>
    </row>
    <row r="52429" spans="1:4" ht="15.75" customHeight="1">
      <c r="A52429" s="8"/>
      <c r="B52429" s="12"/>
      <c r="C52429" s="8"/>
      <c r="D52429" s="8"/>
    </row>
    <row r="52430" spans="1:4" ht="15.75" customHeight="1">
      <c r="A52430" s="8"/>
      <c r="B52430" s="12"/>
      <c r="C52430" s="8"/>
      <c r="D52430" s="8"/>
    </row>
    <row r="52431" spans="1:4" ht="15.75" customHeight="1">
      <c r="A52431" s="8"/>
      <c r="B52431" s="12"/>
      <c r="C52431" s="8"/>
      <c r="D52431" s="8"/>
    </row>
    <row r="52432" spans="1:4" ht="15.75" customHeight="1">
      <c r="A52432" s="8"/>
      <c r="B52432" s="12"/>
      <c r="C52432" s="8"/>
      <c r="D52432" s="8"/>
    </row>
    <row r="52433" spans="1:4" ht="15.75" customHeight="1">
      <c r="A52433" s="8"/>
      <c r="B52433" s="12"/>
      <c r="C52433" s="8"/>
      <c r="D52433" s="8"/>
    </row>
    <row r="52434" spans="1:4" ht="15.75" customHeight="1">
      <c r="A52434" s="8"/>
      <c r="B52434" s="12"/>
      <c r="C52434" s="8"/>
      <c r="D52434" s="8"/>
    </row>
    <row r="52435" spans="1:4" ht="15.75" customHeight="1">
      <c r="A52435" s="8"/>
      <c r="B52435" s="12"/>
      <c r="C52435" s="8"/>
      <c r="D52435" s="8"/>
    </row>
    <row r="52436" spans="1:4" ht="15.75" customHeight="1">
      <c r="A52436" s="8"/>
      <c r="B52436" s="12"/>
      <c r="C52436" s="8"/>
      <c r="D52436" s="8"/>
    </row>
    <row r="52437" spans="1:4" ht="15.75" customHeight="1">
      <c r="A52437" s="8"/>
      <c r="B52437" s="12"/>
      <c r="C52437" s="8"/>
      <c r="D52437" s="8"/>
    </row>
    <row r="52438" spans="1:4" ht="15.75" customHeight="1">
      <c r="A52438" s="8"/>
      <c r="B52438" s="12"/>
      <c r="C52438" s="8"/>
      <c r="D52438" s="8"/>
    </row>
    <row r="52439" spans="1:4" ht="15.75" customHeight="1">
      <c r="A52439" s="8"/>
      <c r="B52439" s="12"/>
      <c r="C52439" s="8"/>
      <c r="D52439" s="8"/>
    </row>
    <row r="52440" spans="1:4" ht="15.75" customHeight="1">
      <c r="A52440" s="8"/>
      <c r="B52440" s="12"/>
      <c r="C52440" s="8"/>
      <c r="D52440" s="8"/>
    </row>
    <row r="52441" spans="1:4" ht="15.75" customHeight="1">
      <c r="A52441" s="8"/>
      <c r="B52441" s="12"/>
      <c r="C52441" s="8"/>
      <c r="D52441" s="8"/>
    </row>
    <row r="52442" spans="1:4" ht="15.75" customHeight="1">
      <c r="A52442" s="8"/>
      <c r="B52442" s="12"/>
      <c r="C52442" s="8"/>
      <c r="D52442" s="8"/>
    </row>
    <row r="52443" spans="1:4" ht="15.75" customHeight="1">
      <c r="A52443" s="8"/>
      <c r="B52443" s="12"/>
      <c r="C52443" s="8"/>
      <c r="D52443" s="8"/>
    </row>
    <row r="52444" spans="1:4" ht="15.75" customHeight="1">
      <c r="A52444" s="8"/>
      <c r="B52444" s="12"/>
      <c r="C52444" s="8"/>
      <c r="D52444" s="8"/>
    </row>
    <row r="52445" spans="1:4" ht="15.75" customHeight="1">
      <c r="A52445" s="8"/>
      <c r="B52445" s="12"/>
      <c r="C52445" s="8"/>
      <c r="D52445" s="8"/>
    </row>
    <row r="52446" spans="1:4" ht="15.75" customHeight="1">
      <c r="A52446" s="8"/>
      <c r="B52446" s="12"/>
      <c r="C52446" s="8"/>
      <c r="D52446" s="8"/>
    </row>
    <row r="52447" spans="1:4" ht="15.75" customHeight="1">
      <c r="A52447" s="8"/>
      <c r="B52447" s="12"/>
      <c r="C52447" s="8"/>
      <c r="D52447" s="8"/>
    </row>
    <row r="52448" spans="1:4" ht="15.75" customHeight="1">
      <c r="A52448" s="8"/>
      <c r="B52448" s="12"/>
      <c r="C52448" s="8"/>
      <c r="D52448" s="8"/>
    </row>
    <row r="52449" spans="1:4" ht="15.75" customHeight="1">
      <c r="A52449" s="8"/>
      <c r="B52449" s="12"/>
      <c r="C52449" s="8"/>
      <c r="D52449" s="8"/>
    </row>
    <row r="52450" spans="1:4" ht="15.75" customHeight="1">
      <c r="A52450" s="8"/>
      <c r="B52450" s="12"/>
      <c r="C52450" s="8"/>
      <c r="D52450" s="8"/>
    </row>
    <row r="52451" spans="1:4" ht="15.75" customHeight="1">
      <c r="A52451" s="8"/>
      <c r="B52451" s="12"/>
      <c r="C52451" s="8"/>
      <c r="D52451" s="8"/>
    </row>
    <row r="52452" spans="1:4" ht="15.75" customHeight="1">
      <c r="A52452" s="8"/>
      <c r="B52452" s="12"/>
      <c r="C52452" s="8"/>
      <c r="D52452" s="8"/>
    </row>
    <row r="52453" spans="1:4" ht="15.75" customHeight="1">
      <c r="A52453" s="8"/>
      <c r="B52453" s="12"/>
      <c r="C52453" s="8"/>
      <c r="D52453" s="8"/>
    </row>
    <row r="52454" spans="1:4" ht="15.75" customHeight="1">
      <c r="A52454" s="8"/>
      <c r="B52454" s="12"/>
      <c r="C52454" s="8"/>
      <c r="D52454" s="8"/>
    </row>
    <row r="52455" spans="1:4" ht="15.75" customHeight="1">
      <c r="A52455" s="8"/>
      <c r="B52455" s="12"/>
      <c r="C52455" s="8"/>
      <c r="D52455" s="8"/>
    </row>
    <row r="52456" spans="1:4" ht="15.75" customHeight="1">
      <c r="A52456" s="8"/>
      <c r="B52456" s="12"/>
      <c r="C52456" s="8"/>
      <c r="D52456" s="8"/>
    </row>
    <row r="52457" spans="1:4" ht="15.75" customHeight="1">
      <c r="A52457" s="8"/>
      <c r="B52457" s="12"/>
      <c r="C52457" s="8"/>
      <c r="D52457" s="8"/>
    </row>
    <row r="52458" spans="1:4" ht="15.75" customHeight="1">
      <c r="A52458" s="8"/>
      <c r="B52458" s="12"/>
      <c r="C52458" s="8"/>
      <c r="D52458" s="8"/>
    </row>
    <row r="52459" spans="1:4" ht="15.75" customHeight="1">
      <c r="A52459" s="8"/>
      <c r="B52459" s="12"/>
      <c r="C52459" s="8"/>
      <c r="D52459" s="8"/>
    </row>
    <row r="52460" spans="1:4" ht="15.75" customHeight="1">
      <c r="A52460" s="8"/>
      <c r="B52460" s="12"/>
      <c r="C52460" s="8"/>
      <c r="D52460" s="8"/>
    </row>
    <row r="52461" spans="1:4" ht="15.75" customHeight="1">
      <c r="A52461" s="8"/>
      <c r="B52461" s="12"/>
      <c r="C52461" s="8"/>
      <c r="D52461" s="8"/>
    </row>
    <row r="52462" spans="1:4" ht="15.75" customHeight="1">
      <c r="A52462" s="8"/>
      <c r="B52462" s="12"/>
      <c r="C52462" s="8"/>
      <c r="D52462" s="8"/>
    </row>
    <row r="52463" spans="1:4" ht="15.75" customHeight="1">
      <c r="A52463" s="8"/>
      <c r="B52463" s="12"/>
      <c r="C52463" s="8"/>
      <c r="D52463" s="8"/>
    </row>
    <row r="52464" spans="1:4" ht="15.75" customHeight="1">
      <c r="A52464" s="8"/>
      <c r="B52464" s="12"/>
      <c r="C52464" s="8"/>
      <c r="D52464" s="8"/>
    </row>
    <row r="52465" spans="1:4" ht="15.75" customHeight="1">
      <c r="A52465" s="8"/>
      <c r="B52465" s="12"/>
      <c r="C52465" s="8"/>
      <c r="D52465" s="8"/>
    </row>
    <row r="52466" spans="1:4" ht="15.75" customHeight="1">
      <c r="A52466" s="8"/>
      <c r="B52466" s="12"/>
      <c r="C52466" s="8"/>
      <c r="D52466" s="8"/>
    </row>
    <row r="52467" spans="1:4" ht="15.75" customHeight="1">
      <c r="A52467" s="8"/>
      <c r="B52467" s="12"/>
      <c r="C52467" s="8"/>
      <c r="D52467" s="8"/>
    </row>
    <row r="52468" spans="1:4" ht="15.75" customHeight="1">
      <c r="A52468" s="8"/>
      <c r="B52468" s="12"/>
      <c r="C52468" s="8"/>
      <c r="D52468" s="8"/>
    </row>
    <row r="52469" spans="1:4" ht="15.75" customHeight="1">
      <c r="A52469" s="8"/>
      <c r="B52469" s="12"/>
      <c r="C52469" s="8"/>
      <c r="D52469" s="8"/>
    </row>
    <row r="52470" spans="1:4" ht="15.75" customHeight="1">
      <c r="A52470" s="8"/>
      <c r="B52470" s="12"/>
      <c r="C52470" s="8"/>
      <c r="D52470" s="8"/>
    </row>
    <row r="52471" spans="1:4" ht="15.75" customHeight="1">
      <c r="A52471" s="8"/>
      <c r="B52471" s="12"/>
      <c r="C52471" s="8"/>
      <c r="D52471" s="8"/>
    </row>
    <row r="52472" spans="1:4" ht="15.75" customHeight="1">
      <c r="A52472" s="8"/>
      <c r="B52472" s="12"/>
      <c r="C52472" s="8"/>
      <c r="D52472" s="8"/>
    </row>
    <row r="52473" spans="1:4" ht="15.75" customHeight="1">
      <c r="A52473" s="8"/>
      <c r="B52473" s="12"/>
      <c r="C52473" s="8"/>
      <c r="D52473" s="8"/>
    </row>
    <row r="52474" spans="1:4" ht="15.75" customHeight="1">
      <c r="A52474" s="8"/>
      <c r="B52474" s="12"/>
      <c r="C52474" s="8"/>
      <c r="D52474" s="8"/>
    </row>
    <row r="52475" spans="1:4" ht="15.75" customHeight="1">
      <c r="A52475" s="8"/>
      <c r="B52475" s="12"/>
      <c r="C52475" s="8"/>
      <c r="D52475" s="8"/>
    </row>
    <row r="52476" spans="1:4" ht="15.75" customHeight="1">
      <c r="A52476" s="8"/>
      <c r="B52476" s="12"/>
      <c r="C52476" s="8"/>
      <c r="D52476" s="8"/>
    </row>
    <row r="52477" spans="1:4" ht="15.75" customHeight="1">
      <c r="A52477" s="8"/>
      <c r="B52477" s="12"/>
      <c r="C52477" s="8"/>
      <c r="D52477" s="8"/>
    </row>
    <row r="52478" spans="1:4" ht="15.75" customHeight="1">
      <c r="A52478" s="8"/>
      <c r="B52478" s="12"/>
      <c r="C52478" s="8"/>
      <c r="D52478" s="8"/>
    </row>
    <row r="52479" spans="1:4" ht="15.75" customHeight="1">
      <c r="A52479" s="8"/>
      <c r="B52479" s="12"/>
      <c r="C52479" s="8"/>
      <c r="D52479" s="8"/>
    </row>
    <row r="52480" spans="1:4" ht="15.75" customHeight="1">
      <c r="A52480" s="8"/>
      <c r="B52480" s="12"/>
      <c r="C52480" s="8"/>
      <c r="D52480" s="8"/>
    </row>
    <row r="52481" spans="1:4" ht="15.75" customHeight="1">
      <c r="A52481" s="8"/>
      <c r="B52481" s="12"/>
      <c r="C52481" s="8"/>
      <c r="D52481" s="8"/>
    </row>
    <row r="52482" spans="1:4" ht="15.75" customHeight="1">
      <c r="A52482" s="8"/>
      <c r="B52482" s="12"/>
      <c r="C52482" s="8"/>
      <c r="D52482" s="8"/>
    </row>
    <row r="52483" spans="1:4" ht="15.75" customHeight="1">
      <c r="A52483" s="8"/>
      <c r="B52483" s="12"/>
      <c r="C52483" s="8"/>
      <c r="D52483" s="8"/>
    </row>
    <row r="52484" spans="1:4" ht="15.75" customHeight="1">
      <c r="A52484" s="8"/>
      <c r="B52484" s="12"/>
      <c r="C52484" s="8"/>
      <c r="D52484" s="8"/>
    </row>
    <row r="52485" spans="1:4" ht="15.75" customHeight="1">
      <c r="A52485" s="8"/>
      <c r="B52485" s="12"/>
      <c r="C52485" s="8"/>
      <c r="D52485" s="8"/>
    </row>
    <row r="52486" spans="1:4" ht="15.75" customHeight="1">
      <c r="A52486" s="8"/>
      <c r="B52486" s="12"/>
      <c r="C52486" s="8"/>
      <c r="D52486" s="8"/>
    </row>
    <row r="52487" spans="1:4" ht="15.75" customHeight="1">
      <c r="A52487" s="8"/>
      <c r="B52487" s="12"/>
      <c r="C52487" s="8"/>
      <c r="D52487" s="8"/>
    </row>
    <row r="52488" spans="1:4" ht="15.75" customHeight="1">
      <c r="A52488" s="8"/>
      <c r="B52488" s="12"/>
      <c r="C52488" s="8"/>
      <c r="D52488" s="8"/>
    </row>
    <row r="52489" spans="1:4" ht="15.75" customHeight="1">
      <c r="A52489" s="8"/>
      <c r="B52489" s="12"/>
      <c r="C52489" s="8"/>
      <c r="D52489" s="8"/>
    </row>
    <row r="52490" spans="1:4" ht="15.75" customHeight="1">
      <c r="A52490" s="8"/>
      <c r="B52490" s="12"/>
      <c r="C52490" s="8"/>
      <c r="D52490" s="8"/>
    </row>
    <row r="52491" spans="1:4" ht="15.75" customHeight="1">
      <c r="A52491" s="8"/>
      <c r="B52491" s="12"/>
      <c r="C52491" s="8"/>
      <c r="D52491" s="8"/>
    </row>
    <row r="52492" spans="1:4" ht="15.75" customHeight="1">
      <c r="A52492" s="8"/>
      <c r="B52492" s="12"/>
      <c r="C52492" s="8"/>
      <c r="D52492" s="8"/>
    </row>
    <row r="52493" spans="1:4" ht="15.75" customHeight="1">
      <c r="A52493" s="8"/>
      <c r="B52493" s="12"/>
      <c r="C52493" s="8"/>
      <c r="D52493" s="8"/>
    </row>
    <row r="52494" spans="1:4" ht="15.75" customHeight="1">
      <c r="A52494" s="8"/>
      <c r="B52494" s="12"/>
      <c r="C52494" s="8"/>
      <c r="D52494" s="8"/>
    </row>
    <row r="52495" spans="1:4" ht="15.75" customHeight="1">
      <c r="A52495" s="8"/>
      <c r="B52495" s="12"/>
      <c r="C52495" s="8"/>
      <c r="D52495" s="8"/>
    </row>
    <row r="52496" spans="1:4" ht="15.75" customHeight="1">
      <c r="A52496" s="8"/>
      <c r="B52496" s="12"/>
      <c r="C52496" s="8"/>
      <c r="D52496" s="8"/>
    </row>
    <row r="52497" spans="1:4" ht="15.75" customHeight="1">
      <c r="A52497" s="8"/>
      <c r="B52497" s="12"/>
      <c r="C52497" s="8"/>
      <c r="D52497" s="8"/>
    </row>
    <row r="52498" spans="1:4" ht="15.75" customHeight="1">
      <c r="A52498" s="8"/>
      <c r="B52498" s="12"/>
      <c r="C52498" s="8"/>
      <c r="D52498" s="8"/>
    </row>
    <row r="52499" spans="1:4" ht="15.75" customHeight="1">
      <c r="A52499" s="8"/>
      <c r="B52499" s="12"/>
      <c r="C52499" s="8"/>
      <c r="D52499" s="8"/>
    </row>
    <row r="52500" spans="1:4" ht="15.75" customHeight="1">
      <c r="A52500" s="8"/>
      <c r="B52500" s="12"/>
      <c r="C52500" s="8"/>
      <c r="D52500" s="8"/>
    </row>
    <row r="52501" spans="1:4" ht="15.75" customHeight="1">
      <c r="A52501" s="8"/>
      <c r="B52501" s="12"/>
      <c r="C52501" s="8"/>
      <c r="D52501" s="8"/>
    </row>
    <row r="52502" spans="1:4" ht="15.75" customHeight="1">
      <c r="A52502" s="8"/>
      <c r="B52502" s="12"/>
      <c r="C52502" s="8"/>
      <c r="D52502" s="8"/>
    </row>
    <row r="52503" spans="1:4" ht="15.75" customHeight="1">
      <c r="A52503" s="8"/>
      <c r="B52503" s="12"/>
      <c r="C52503" s="8"/>
      <c r="D52503" s="8"/>
    </row>
    <row r="52504" spans="1:4" ht="15.75" customHeight="1">
      <c r="A52504" s="8"/>
      <c r="B52504" s="12"/>
      <c r="C52504" s="8"/>
      <c r="D52504" s="8"/>
    </row>
    <row r="52505" spans="1:4" ht="15.75" customHeight="1">
      <c r="A52505" s="8"/>
      <c r="B52505" s="12"/>
      <c r="C52505" s="8"/>
      <c r="D52505" s="8"/>
    </row>
    <row r="52506" spans="1:4" ht="15.75" customHeight="1">
      <c r="A52506" s="8"/>
      <c r="B52506" s="12"/>
      <c r="C52506" s="8"/>
      <c r="D52506" s="8"/>
    </row>
    <row r="52507" spans="1:4" ht="15.75" customHeight="1">
      <c r="A52507" s="8"/>
      <c r="B52507" s="12"/>
      <c r="C52507" s="8"/>
      <c r="D52507" s="8"/>
    </row>
    <row r="52508" spans="1:4" ht="15.75" customHeight="1">
      <c r="A52508" s="8"/>
      <c r="B52508" s="12"/>
      <c r="C52508" s="8"/>
      <c r="D52508" s="8"/>
    </row>
    <row r="52509" spans="1:4" ht="15.75" customHeight="1">
      <c r="A52509" s="8"/>
      <c r="B52509" s="12"/>
      <c r="C52509" s="8"/>
      <c r="D52509" s="8"/>
    </row>
    <row r="52510" spans="1:4" ht="15.75" customHeight="1">
      <c r="A52510" s="8"/>
      <c r="B52510" s="12"/>
      <c r="C52510" s="8"/>
      <c r="D52510" s="8"/>
    </row>
    <row r="52511" spans="1:4" ht="15.75" customHeight="1">
      <c r="A52511" s="8"/>
      <c r="B52511" s="12"/>
      <c r="C52511" s="8"/>
      <c r="D52511" s="8"/>
    </row>
    <row r="52512" spans="1:4" ht="15.75" customHeight="1">
      <c r="A52512" s="8"/>
      <c r="B52512" s="12"/>
      <c r="C52512" s="8"/>
      <c r="D52512" s="8"/>
    </row>
    <row r="52513" spans="1:4" ht="15.75" customHeight="1">
      <c r="A52513" s="8"/>
      <c r="B52513" s="12"/>
      <c r="C52513" s="8"/>
      <c r="D52513" s="8"/>
    </row>
    <row r="52514" spans="1:4" ht="15.75" customHeight="1">
      <c r="A52514" s="8"/>
      <c r="B52514" s="12"/>
      <c r="C52514" s="8"/>
      <c r="D52514" s="8"/>
    </row>
    <row r="52515" spans="1:4" ht="15.75" customHeight="1">
      <c r="A52515" s="8"/>
      <c r="B52515" s="12"/>
      <c r="C52515" s="8"/>
      <c r="D52515" s="8"/>
    </row>
    <row r="52516" spans="1:4" ht="15.75" customHeight="1">
      <c r="A52516" s="8"/>
      <c r="B52516" s="12"/>
      <c r="C52516" s="8"/>
      <c r="D52516" s="8"/>
    </row>
    <row r="52517" spans="1:4" ht="15.75" customHeight="1">
      <c r="A52517" s="8"/>
      <c r="B52517" s="12"/>
      <c r="C52517" s="8"/>
      <c r="D52517" s="8"/>
    </row>
    <row r="52518" spans="1:4" ht="15.75" customHeight="1">
      <c r="A52518" s="8"/>
      <c r="B52518" s="12"/>
      <c r="C52518" s="8"/>
      <c r="D52518" s="8"/>
    </row>
    <row r="52519" spans="1:4" ht="15.75" customHeight="1">
      <c r="A52519" s="8"/>
      <c r="B52519" s="12"/>
      <c r="C52519" s="8"/>
      <c r="D52519" s="8"/>
    </row>
    <row r="52520" spans="1:4" ht="15.75" customHeight="1">
      <c r="A52520" s="8"/>
      <c r="B52520" s="12"/>
      <c r="C52520" s="8"/>
      <c r="D52520" s="8"/>
    </row>
    <row r="52521" spans="1:4" ht="15.75" customHeight="1">
      <c r="A52521" s="8"/>
      <c r="B52521" s="12"/>
      <c r="C52521" s="8"/>
      <c r="D52521" s="8"/>
    </row>
    <row r="52522" spans="1:4" ht="15.75" customHeight="1">
      <c r="A52522" s="8"/>
      <c r="B52522" s="12"/>
      <c r="C52522" s="8"/>
      <c r="D52522" s="8"/>
    </row>
    <row r="52523" spans="1:4" ht="15.75" customHeight="1">
      <c r="A52523" s="8"/>
      <c r="B52523" s="12"/>
      <c r="C52523" s="8"/>
      <c r="D52523" s="8"/>
    </row>
    <row r="52524" spans="1:4" ht="15.75" customHeight="1">
      <c r="A52524" s="8"/>
      <c r="B52524" s="12"/>
      <c r="C52524" s="8"/>
      <c r="D52524" s="8"/>
    </row>
    <row r="52525" spans="1:4" ht="15.75" customHeight="1">
      <c r="A52525" s="8"/>
      <c r="B52525" s="12"/>
      <c r="C52525" s="8"/>
      <c r="D52525" s="8"/>
    </row>
    <row r="52526" spans="1:4" ht="15.75" customHeight="1">
      <c r="A52526" s="8"/>
      <c r="B52526" s="12"/>
      <c r="C52526" s="8"/>
      <c r="D52526" s="8"/>
    </row>
    <row r="52527" spans="1:4" ht="15.75" customHeight="1">
      <c r="A52527" s="8"/>
      <c r="B52527" s="12"/>
      <c r="C52527" s="8"/>
      <c r="D52527" s="8"/>
    </row>
    <row r="52528" spans="1:4" ht="15.75" customHeight="1">
      <c r="A52528" s="8"/>
      <c r="B52528" s="12"/>
      <c r="C52528" s="8"/>
      <c r="D52528" s="8"/>
    </row>
    <row r="52529" spans="1:4" ht="15.75" customHeight="1">
      <c r="A52529" s="8"/>
      <c r="B52529" s="12"/>
      <c r="C52529" s="8"/>
      <c r="D52529" s="8"/>
    </row>
    <row r="52530" spans="1:4" ht="15.75" customHeight="1">
      <c r="A52530" s="8"/>
      <c r="B52530" s="12"/>
      <c r="C52530" s="8"/>
      <c r="D52530" s="8"/>
    </row>
    <row r="52531" spans="1:4" ht="15.75" customHeight="1">
      <c r="A52531" s="8"/>
      <c r="B52531" s="12"/>
      <c r="C52531" s="8"/>
      <c r="D52531" s="8"/>
    </row>
    <row r="52532" spans="1:4" ht="15.75" customHeight="1">
      <c r="A52532" s="8"/>
      <c r="B52532" s="12"/>
      <c r="C52532" s="8"/>
      <c r="D52532" s="8"/>
    </row>
    <row r="52533" spans="1:4" ht="15.75" customHeight="1">
      <c r="A52533" s="8"/>
      <c r="B52533" s="12"/>
      <c r="C52533" s="8"/>
      <c r="D52533" s="8"/>
    </row>
    <row r="52534" spans="1:4" ht="15.75" customHeight="1">
      <c r="A52534" s="8"/>
      <c r="B52534" s="12"/>
      <c r="C52534" s="8"/>
      <c r="D52534" s="8"/>
    </row>
    <row r="52535" spans="1:4" ht="15.75" customHeight="1">
      <c r="A52535" s="8"/>
      <c r="B52535" s="12"/>
      <c r="C52535" s="8"/>
      <c r="D52535" s="8"/>
    </row>
    <row r="52536" spans="1:4" ht="15.75" customHeight="1">
      <c r="A52536" s="8"/>
      <c r="B52536" s="12"/>
      <c r="C52536" s="8"/>
      <c r="D52536" s="8"/>
    </row>
    <row r="52537" spans="1:4" ht="15.75" customHeight="1">
      <c r="A52537" s="8"/>
      <c r="B52537" s="12"/>
      <c r="C52537" s="8"/>
      <c r="D52537" s="8"/>
    </row>
    <row r="52538" spans="1:4" ht="15.75" customHeight="1">
      <c r="A52538" s="8"/>
      <c r="B52538" s="12"/>
      <c r="C52538" s="8"/>
      <c r="D52538" s="8"/>
    </row>
    <row r="52539" spans="1:4" ht="15.75" customHeight="1">
      <c r="A52539" s="8"/>
      <c r="B52539" s="12"/>
      <c r="C52539" s="8"/>
      <c r="D52539" s="8"/>
    </row>
    <row r="52540" spans="1:4" ht="15.75" customHeight="1">
      <c r="A52540" s="8"/>
      <c r="B52540" s="12"/>
      <c r="C52540" s="8"/>
      <c r="D52540" s="8"/>
    </row>
    <row r="52541" spans="1:4" ht="15.75" customHeight="1">
      <c r="A52541" s="8"/>
      <c r="B52541" s="12"/>
      <c r="C52541" s="8"/>
      <c r="D52541" s="8"/>
    </row>
    <row r="52542" spans="1:4" ht="15.75" customHeight="1">
      <c r="A52542" s="8"/>
      <c r="B52542" s="12"/>
      <c r="C52542" s="8"/>
      <c r="D52542" s="8"/>
    </row>
    <row r="52543" spans="1:4" ht="15.75" customHeight="1">
      <c r="A52543" s="8"/>
      <c r="B52543" s="12"/>
      <c r="C52543" s="8"/>
      <c r="D52543" s="8"/>
    </row>
    <row r="52544" spans="1:4" ht="15.75" customHeight="1">
      <c r="A52544" s="8"/>
      <c r="B52544" s="12"/>
      <c r="C52544" s="8"/>
      <c r="D52544" s="8"/>
    </row>
    <row r="52545" spans="1:4" ht="15.75" customHeight="1">
      <c r="A52545" s="8"/>
      <c r="B52545" s="12"/>
      <c r="C52545" s="8"/>
      <c r="D52545" s="8"/>
    </row>
    <row r="52546" spans="1:4" ht="15.75" customHeight="1">
      <c r="A52546" s="8"/>
      <c r="B52546" s="12"/>
      <c r="C52546" s="8"/>
      <c r="D52546" s="8"/>
    </row>
    <row r="52547" spans="1:4" ht="15.75" customHeight="1">
      <c r="A52547" s="8"/>
      <c r="B52547" s="12"/>
      <c r="C52547" s="8"/>
      <c r="D52547" s="8"/>
    </row>
    <row r="52548" spans="1:4" ht="15.75" customHeight="1">
      <c r="A52548" s="8"/>
      <c r="B52548" s="12"/>
      <c r="C52548" s="8"/>
      <c r="D52548" s="8"/>
    </row>
    <row r="52549" spans="1:4" ht="15.75" customHeight="1">
      <c r="A52549" s="8"/>
      <c r="B52549" s="12"/>
      <c r="C52549" s="8"/>
      <c r="D52549" s="8"/>
    </row>
    <row r="52550" spans="1:4" ht="15.75" customHeight="1">
      <c r="A52550" s="8"/>
      <c r="B52550" s="12"/>
      <c r="C52550" s="8"/>
      <c r="D52550" s="8"/>
    </row>
    <row r="52551" spans="1:4" ht="15.75" customHeight="1">
      <c r="A52551" s="8"/>
      <c r="B52551" s="12"/>
      <c r="C52551" s="8"/>
      <c r="D52551" s="8"/>
    </row>
    <row r="52552" spans="1:4" ht="15.75" customHeight="1">
      <c r="A52552" s="8"/>
      <c r="B52552" s="12"/>
      <c r="C52552" s="8"/>
      <c r="D52552" s="8"/>
    </row>
    <row r="52553" spans="1:4" ht="15.75" customHeight="1">
      <c r="A52553" s="8"/>
      <c r="B52553" s="12"/>
      <c r="C52553" s="8"/>
      <c r="D52553" s="8"/>
    </row>
    <row r="52554" spans="1:4" ht="15.75" customHeight="1">
      <c r="A52554" s="8"/>
      <c r="B52554" s="12"/>
      <c r="C52554" s="8"/>
      <c r="D52554" s="8"/>
    </row>
    <row r="52555" spans="1:4" ht="15.75" customHeight="1">
      <c r="A52555" s="8"/>
      <c r="B52555" s="12"/>
      <c r="C52555" s="8"/>
      <c r="D52555" s="8"/>
    </row>
    <row r="52556" spans="1:4" ht="15.75" customHeight="1">
      <c r="A52556" s="8"/>
      <c r="B52556" s="12"/>
      <c r="C52556" s="8"/>
      <c r="D52556" s="8"/>
    </row>
    <row r="52557" spans="1:4" ht="15.75" customHeight="1">
      <c r="A52557" s="8"/>
      <c r="B52557" s="12"/>
      <c r="C52557" s="8"/>
      <c r="D52557" s="8"/>
    </row>
    <row r="52558" spans="1:4" ht="15.75" customHeight="1">
      <c r="A52558" s="8"/>
      <c r="B52558" s="12"/>
      <c r="C52558" s="8"/>
      <c r="D52558" s="8"/>
    </row>
    <row r="52559" spans="1:4" ht="15.75" customHeight="1">
      <c r="A52559" s="8"/>
      <c r="B52559" s="12"/>
      <c r="C52559" s="8"/>
      <c r="D52559" s="8"/>
    </row>
    <row r="52560" spans="1:4" ht="15.75" customHeight="1">
      <c r="A52560" s="8"/>
      <c r="B52560" s="12"/>
      <c r="C52560" s="8"/>
      <c r="D52560" s="8"/>
    </row>
    <row r="52561" spans="1:4" ht="15.75" customHeight="1">
      <c r="A52561" s="8"/>
      <c r="B52561" s="12"/>
      <c r="C52561" s="8"/>
      <c r="D52561" s="8"/>
    </row>
    <row r="52562" spans="1:4" ht="15.75" customHeight="1">
      <c r="A52562" s="8"/>
      <c r="B52562" s="12"/>
      <c r="C52562" s="8"/>
      <c r="D52562" s="8"/>
    </row>
    <row r="52563" spans="1:4" ht="15.75" customHeight="1">
      <c r="A52563" s="8"/>
      <c r="B52563" s="12"/>
      <c r="C52563" s="8"/>
      <c r="D52563" s="8"/>
    </row>
    <row r="52564" spans="1:4" ht="15.75" customHeight="1">
      <c r="A52564" s="8"/>
      <c r="B52564" s="12"/>
      <c r="C52564" s="8"/>
      <c r="D52564" s="8"/>
    </row>
    <row r="52565" spans="1:4" ht="15.75" customHeight="1">
      <c r="A52565" s="8"/>
      <c r="B52565" s="12"/>
      <c r="C52565" s="8"/>
      <c r="D52565" s="8"/>
    </row>
    <row r="52566" spans="1:4" ht="15.75" customHeight="1">
      <c r="A52566" s="8"/>
      <c r="B52566" s="12"/>
      <c r="C52566" s="8"/>
      <c r="D52566" s="8"/>
    </row>
    <row r="52567" spans="1:4" ht="15.75" customHeight="1">
      <c r="A52567" s="8"/>
      <c r="B52567" s="12"/>
      <c r="C52567" s="8"/>
      <c r="D52567" s="8"/>
    </row>
    <row r="52568" spans="1:4" ht="15.75" customHeight="1">
      <c r="A52568" s="8"/>
      <c r="B52568" s="12"/>
      <c r="C52568" s="8"/>
      <c r="D52568" s="8"/>
    </row>
    <row r="52569" spans="1:4" ht="15.75" customHeight="1">
      <c r="A52569" s="8"/>
      <c r="B52569" s="12"/>
      <c r="C52569" s="8"/>
      <c r="D52569" s="8"/>
    </row>
    <row r="52570" spans="1:4" ht="15.75" customHeight="1">
      <c r="A52570" s="8"/>
      <c r="B52570" s="12"/>
      <c r="C52570" s="8"/>
      <c r="D52570" s="8"/>
    </row>
    <row r="52571" spans="1:4" ht="15.75" customHeight="1">
      <c r="A52571" s="8"/>
      <c r="B52571" s="12"/>
      <c r="C52571" s="8"/>
      <c r="D52571" s="8"/>
    </row>
    <row r="52572" spans="1:4" ht="15.75" customHeight="1">
      <c r="A52572" s="8"/>
      <c r="B52572" s="12"/>
      <c r="C52572" s="8"/>
      <c r="D52572" s="8"/>
    </row>
    <row r="52573" spans="1:4" ht="15.75" customHeight="1">
      <c r="A52573" s="8"/>
      <c r="B52573" s="12"/>
      <c r="C52573" s="8"/>
      <c r="D52573" s="8"/>
    </row>
    <row r="52574" spans="1:4" ht="15.75" customHeight="1">
      <c r="A52574" s="8"/>
      <c r="B52574" s="12"/>
      <c r="C52574" s="8"/>
      <c r="D52574" s="8"/>
    </row>
    <row r="52575" spans="1:4" ht="15.75" customHeight="1">
      <c r="A52575" s="8"/>
      <c r="B52575" s="12"/>
      <c r="C52575" s="8"/>
      <c r="D52575" s="8"/>
    </row>
    <row r="52576" spans="1:4" ht="15.75" customHeight="1">
      <c r="A52576" s="8"/>
      <c r="B52576" s="12"/>
      <c r="C52576" s="8"/>
      <c r="D52576" s="8"/>
    </row>
    <row r="52577" spans="1:4" ht="15.75" customHeight="1">
      <c r="A52577" s="8"/>
      <c r="B52577" s="12"/>
      <c r="C52577" s="8"/>
      <c r="D52577" s="8"/>
    </row>
    <row r="52578" spans="1:4" ht="15.75" customHeight="1">
      <c r="A52578" s="8"/>
      <c r="B52578" s="12"/>
      <c r="C52578" s="8"/>
      <c r="D52578" s="8"/>
    </row>
    <row r="52579" spans="1:4" ht="15.75" customHeight="1">
      <c r="A52579" s="8"/>
      <c r="B52579" s="12"/>
      <c r="C52579" s="8"/>
      <c r="D52579" s="8"/>
    </row>
    <row r="52580" spans="1:4" ht="15.75" customHeight="1">
      <c r="A52580" s="8"/>
      <c r="B52580" s="12"/>
      <c r="C52580" s="8"/>
      <c r="D52580" s="8"/>
    </row>
    <row r="52581" spans="1:4" ht="15.75" customHeight="1">
      <c r="A52581" s="8"/>
      <c r="B52581" s="12"/>
      <c r="C52581" s="8"/>
      <c r="D52581" s="8"/>
    </row>
    <row r="52582" spans="1:4" ht="15.75" customHeight="1">
      <c r="A52582" s="8"/>
      <c r="B52582" s="12"/>
      <c r="C52582" s="8"/>
      <c r="D52582" s="8"/>
    </row>
    <row r="52583" spans="1:4" ht="15.75" customHeight="1">
      <c r="A52583" s="8"/>
      <c r="B52583" s="12"/>
      <c r="C52583" s="8"/>
      <c r="D52583" s="8"/>
    </row>
    <row r="52584" spans="1:4" ht="15.75" customHeight="1">
      <c r="A52584" s="8"/>
      <c r="B52584" s="12"/>
      <c r="C52584" s="8"/>
      <c r="D52584" s="8"/>
    </row>
    <row r="52585" spans="1:4" ht="15.75" customHeight="1">
      <c r="A52585" s="8"/>
      <c r="B52585" s="12"/>
      <c r="C52585" s="8"/>
      <c r="D52585" s="8"/>
    </row>
    <row r="52586" spans="1:4" ht="15.75" customHeight="1">
      <c r="A52586" s="8"/>
      <c r="B52586" s="12"/>
      <c r="C52586" s="8"/>
      <c r="D52586" s="8"/>
    </row>
    <row r="52587" spans="1:4" ht="15.75" customHeight="1">
      <c r="A52587" s="8"/>
      <c r="B52587" s="12"/>
      <c r="C52587" s="8"/>
      <c r="D52587" s="8"/>
    </row>
    <row r="52588" spans="1:4" ht="15.75" customHeight="1">
      <c r="A52588" s="8"/>
      <c r="B52588" s="12"/>
      <c r="C52588" s="8"/>
      <c r="D52588" s="8"/>
    </row>
    <row r="52589" spans="1:4" ht="15.75" customHeight="1">
      <c r="A52589" s="8"/>
      <c r="B52589" s="12"/>
      <c r="C52589" s="8"/>
      <c r="D52589" s="8"/>
    </row>
    <row r="52590" spans="1:4" ht="15.75" customHeight="1">
      <c r="A52590" s="8"/>
      <c r="B52590" s="12"/>
      <c r="C52590" s="8"/>
      <c r="D52590" s="8"/>
    </row>
    <row r="52591" spans="1:4" ht="15.75" customHeight="1">
      <c r="A52591" s="8"/>
      <c r="B52591" s="12"/>
      <c r="C52591" s="8"/>
      <c r="D52591" s="8"/>
    </row>
    <row r="52592" spans="1:4" ht="15.75" customHeight="1">
      <c r="A52592" s="8"/>
      <c r="B52592" s="12"/>
      <c r="C52592" s="8"/>
      <c r="D52592" s="8"/>
    </row>
    <row r="52593" spans="1:4" ht="15.75" customHeight="1">
      <c r="A52593" s="8"/>
      <c r="B52593" s="12"/>
      <c r="C52593" s="8"/>
      <c r="D52593" s="8"/>
    </row>
    <row r="52594" spans="1:4" ht="15.75" customHeight="1">
      <c r="A52594" s="8"/>
      <c r="B52594" s="12"/>
      <c r="C52594" s="8"/>
      <c r="D52594" s="8"/>
    </row>
    <row r="52595" spans="1:4" ht="15.75" customHeight="1">
      <c r="A52595" s="8"/>
      <c r="B52595" s="12"/>
      <c r="C52595" s="8"/>
      <c r="D52595" s="8"/>
    </row>
    <row r="52596" spans="1:4" ht="15.75" customHeight="1">
      <c r="A52596" s="8"/>
      <c r="B52596" s="12"/>
      <c r="C52596" s="8"/>
      <c r="D52596" s="8"/>
    </row>
    <row r="52597" spans="1:4" ht="15.75" customHeight="1">
      <c r="A52597" s="8"/>
      <c r="B52597" s="12"/>
      <c r="C52597" s="8"/>
      <c r="D52597" s="8"/>
    </row>
    <row r="52598" spans="1:4" ht="15.75" customHeight="1">
      <c r="A52598" s="8"/>
      <c r="B52598" s="12"/>
      <c r="C52598" s="8"/>
      <c r="D52598" s="8"/>
    </row>
    <row r="52599" spans="1:4" ht="15.75" customHeight="1">
      <c r="A52599" s="8"/>
      <c r="B52599" s="12"/>
      <c r="C52599" s="8"/>
      <c r="D52599" s="8"/>
    </row>
    <row r="52600" spans="1:4" ht="15.75" customHeight="1">
      <c r="A52600" s="8"/>
      <c r="B52600" s="12"/>
      <c r="C52600" s="8"/>
      <c r="D52600" s="8"/>
    </row>
    <row r="52601" spans="1:4" ht="15.75" customHeight="1">
      <c r="A52601" s="8"/>
      <c r="B52601" s="12"/>
      <c r="C52601" s="8"/>
      <c r="D52601" s="8"/>
    </row>
    <row r="52602" spans="1:4" ht="15.75" customHeight="1">
      <c r="A52602" s="8"/>
      <c r="B52602" s="12"/>
      <c r="C52602" s="8"/>
      <c r="D52602" s="8"/>
    </row>
    <row r="52603" spans="1:4" ht="15.75" customHeight="1">
      <c r="A52603" s="8"/>
      <c r="B52603" s="12"/>
      <c r="C52603" s="8"/>
      <c r="D52603" s="8"/>
    </row>
    <row r="52604" spans="1:4" ht="15.75" customHeight="1">
      <c r="A52604" s="8"/>
      <c r="B52604" s="12"/>
      <c r="C52604" s="8"/>
      <c r="D52604" s="8"/>
    </row>
    <row r="52605" spans="1:4" ht="15.75" customHeight="1">
      <c r="A52605" s="8"/>
      <c r="B52605" s="12"/>
      <c r="C52605" s="8"/>
      <c r="D52605" s="8"/>
    </row>
    <row r="52606" spans="1:4" ht="15.75" customHeight="1">
      <c r="A52606" s="8"/>
      <c r="B52606" s="12"/>
      <c r="C52606" s="8"/>
      <c r="D52606" s="8"/>
    </row>
    <row r="52607" spans="1:4" ht="15.75" customHeight="1">
      <c r="A52607" s="8"/>
      <c r="B52607" s="12"/>
      <c r="C52607" s="8"/>
      <c r="D52607" s="8"/>
    </row>
    <row r="52608" spans="1:4" ht="15.75" customHeight="1">
      <c r="A52608" s="8"/>
      <c r="B52608" s="12"/>
      <c r="C52608" s="8"/>
      <c r="D52608" s="8"/>
    </row>
    <row r="52609" spans="1:4" ht="15.75" customHeight="1">
      <c r="A52609" s="8"/>
      <c r="B52609" s="12"/>
      <c r="C52609" s="8"/>
      <c r="D52609" s="8"/>
    </row>
    <row r="52610" spans="1:4" ht="15.75" customHeight="1">
      <c r="A52610" s="8"/>
      <c r="B52610" s="12"/>
      <c r="C52610" s="8"/>
      <c r="D52610" s="8"/>
    </row>
    <row r="52611" spans="1:4" ht="15.75" customHeight="1">
      <c r="A52611" s="8"/>
      <c r="B52611" s="12"/>
      <c r="C52611" s="8"/>
      <c r="D52611" s="8"/>
    </row>
    <row r="52612" spans="1:4" ht="15.75" customHeight="1">
      <c r="A52612" s="8"/>
      <c r="B52612" s="12"/>
      <c r="C52612" s="8"/>
      <c r="D52612" s="8"/>
    </row>
    <row r="52613" spans="1:4" ht="15.75" customHeight="1">
      <c r="A52613" s="8"/>
      <c r="B52613" s="12"/>
      <c r="C52613" s="8"/>
      <c r="D52613" s="8"/>
    </row>
    <row r="52614" spans="1:4" ht="15.75" customHeight="1">
      <c r="A52614" s="8"/>
      <c r="B52614" s="12"/>
      <c r="C52614" s="8"/>
      <c r="D52614" s="8"/>
    </row>
    <row r="52615" spans="1:4" ht="15.75" customHeight="1">
      <c r="A52615" s="8"/>
      <c r="B52615" s="12"/>
      <c r="C52615" s="8"/>
      <c r="D52615" s="8"/>
    </row>
    <row r="52616" spans="1:4" ht="15.75" customHeight="1">
      <c r="A52616" s="8"/>
      <c r="B52616" s="12"/>
      <c r="C52616" s="8"/>
      <c r="D52616" s="8"/>
    </row>
    <row r="52617" spans="1:4" ht="15.75" customHeight="1">
      <c r="A52617" s="8"/>
      <c r="B52617" s="12"/>
      <c r="C52617" s="8"/>
      <c r="D52617" s="8"/>
    </row>
    <row r="52618" spans="1:4" ht="15.75" customHeight="1">
      <c r="A52618" s="8"/>
      <c r="B52618" s="12"/>
      <c r="C52618" s="8"/>
      <c r="D52618" s="8"/>
    </row>
    <row r="52619" spans="1:4" ht="15.75" customHeight="1">
      <c r="A52619" s="8"/>
      <c r="B52619" s="12"/>
      <c r="C52619" s="8"/>
      <c r="D52619" s="8"/>
    </row>
    <row r="52620" spans="1:4" ht="15.75" customHeight="1">
      <c r="A52620" s="8"/>
      <c r="B52620" s="12"/>
      <c r="C52620" s="8"/>
      <c r="D52620" s="8"/>
    </row>
    <row r="52621" spans="1:4" ht="15.75" customHeight="1">
      <c r="A52621" s="8"/>
      <c r="B52621" s="12"/>
      <c r="C52621" s="8"/>
      <c r="D52621" s="8"/>
    </row>
    <row r="52622" spans="1:4" ht="15.75" customHeight="1">
      <c r="A52622" s="8"/>
      <c r="B52622" s="12"/>
      <c r="C52622" s="8"/>
      <c r="D52622" s="8"/>
    </row>
    <row r="52623" spans="1:4" ht="15.75" customHeight="1">
      <c r="A52623" s="8"/>
      <c r="B52623" s="12"/>
      <c r="C52623" s="8"/>
      <c r="D52623" s="8"/>
    </row>
    <row r="52624" spans="1:4" ht="15.75" customHeight="1">
      <c r="A52624" s="8"/>
      <c r="B52624" s="12"/>
      <c r="C52624" s="8"/>
      <c r="D52624" s="8"/>
    </row>
    <row r="52625" spans="1:4" ht="15.75" customHeight="1">
      <c r="A52625" s="8"/>
      <c r="B52625" s="12"/>
      <c r="C52625" s="8"/>
      <c r="D52625" s="8"/>
    </row>
    <row r="52626" spans="1:4" ht="15.75" customHeight="1">
      <c r="A52626" s="8"/>
      <c r="B52626" s="12"/>
      <c r="C52626" s="8"/>
      <c r="D52626" s="8"/>
    </row>
    <row r="52627" spans="1:4" ht="15.75" customHeight="1">
      <c r="A52627" s="8"/>
      <c r="B52627" s="12"/>
      <c r="C52627" s="8"/>
      <c r="D52627" s="8"/>
    </row>
    <row r="52628" spans="1:4" ht="15.75" customHeight="1">
      <c r="A52628" s="8"/>
      <c r="B52628" s="12"/>
      <c r="C52628" s="8"/>
      <c r="D52628" s="8"/>
    </row>
    <row r="52629" spans="1:4" ht="15.75" customHeight="1">
      <c r="A52629" s="8"/>
      <c r="B52629" s="12"/>
      <c r="C52629" s="8"/>
      <c r="D52629" s="8"/>
    </row>
    <row r="52630" spans="1:4" ht="15.75" customHeight="1">
      <c r="A52630" s="8"/>
      <c r="B52630" s="12"/>
      <c r="C52630" s="8"/>
      <c r="D52630" s="8"/>
    </row>
    <row r="52631" spans="1:4" ht="15.75" customHeight="1">
      <c r="A52631" s="8"/>
      <c r="B52631" s="12"/>
      <c r="C52631" s="8"/>
      <c r="D52631" s="8"/>
    </row>
    <row r="52632" spans="1:4" ht="15.75" customHeight="1">
      <c r="A52632" s="8"/>
      <c r="B52632" s="12"/>
      <c r="C52632" s="8"/>
      <c r="D52632" s="8"/>
    </row>
    <row r="52633" spans="1:4" ht="15.75" customHeight="1">
      <c r="A52633" s="8"/>
      <c r="B52633" s="12"/>
      <c r="C52633" s="8"/>
      <c r="D52633" s="8"/>
    </row>
    <row r="52634" spans="1:4" ht="15.75" customHeight="1">
      <c r="A52634" s="8"/>
      <c r="B52634" s="12"/>
      <c r="C52634" s="8"/>
      <c r="D52634" s="8"/>
    </row>
    <row r="52635" spans="1:4" ht="15.75" customHeight="1">
      <c r="A52635" s="8"/>
      <c r="B52635" s="12"/>
      <c r="C52635" s="8"/>
      <c r="D52635" s="8"/>
    </row>
    <row r="52636" spans="1:4" ht="15.75" customHeight="1">
      <c r="A52636" s="8"/>
      <c r="B52636" s="12"/>
      <c r="C52636" s="8"/>
      <c r="D52636" s="8"/>
    </row>
    <row r="52637" spans="1:4" ht="15.75" customHeight="1">
      <c r="A52637" s="8"/>
      <c r="B52637" s="12"/>
      <c r="C52637" s="8"/>
      <c r="D52637" s="8"/>
    </row>
    <row r="52638" spans="1:4" ht="15.75" customHeight="1">
      <c r="A52638" s="8"/>
      <c r="B52638" s="12"/>
      <c r="C52638" s="8"/>
      <c r="D52638" s="8"/>
    </row>
    <row r="52639" spans="1:4" ht="15.75" customHeight="1">
      <c r="A52639" s="8"/>
      <c r="B52639" s="12"/>
      <c r="C52639" s="8"/>
      <c r="D52639" s="8"/>
    </row>
    <row r="52640" spans="1:4" ht="15.75" customHeight="1">
      <c r="A52640" s="8"/>
      <c r="B52640" s="12"/>
      <c r="C52640" s="8"/>
      <c r="D52640" s="8"/>
    </row>
    <row r="52641" spans="1:4" ht="15.75" customHeight="1">
      <c r="A52641" s="8"/>
      <c r="B52641" s="12"/>
      <c r="C52641" s="8"/>
      <c r="D52641" s="8"/>
    </row>
    <row r="52642" spans="1:4" ht="15.75" customHeight="1">
      <c r="A52642" s="8"/>
      <c r="B52642" s="12"/>
      <c r="C52642" s="8"/>
      <c r="D52642" s="8"/>
    </row>
    <row r="52643" spans="1:4" ht="15.75" customHeight="1">
      <c r="A52643" s="8"/>
      <c r="B52643" s="12"/>
      <c r="C52643" s="8"/>
      <c r="D52643" s="8"/>
    </row>
    <row r="52644" spans="1:4" ht="15.75" customHeight="1">
      <c r="A52644" s="8"/>
      <c r="B52644" s="12"/>
      <c r="C52644" s="8"/>
      <c r="D52644" s="8"/>
    </row>
    <row r="52645" spans="1:4" ht="15.75" customHeight="1">
      <c r="A52645" s="8"/>
      <c r="B52645" s="12"/>
      <c r="C52645" s="8"/>
      <c r="D52645" s="8"/>
    </row>
    <row r="52646" spans="1:4" ht="15.75" customHeight="1">
      <c r="A52646" s="8"/>
      <c r="B52646" s="12"/>
      <c r="C52646" s="8"/>
      <c r="D52646" s="8"/>
    </row>
    <row r="52647" spans="1:4" ht="15.75" customHeight="1">
      <c r="A52647" s="8"/>
      <c r="B52647" s="12"/>
      <c r="C52647" s="8"/>
      <c r="D52647" s="8"/>
    </row>
    <row r="52648" spans="1:4" ht="15.75" customHeight="1">
      <c r="A52648" s="8"/>
      <c r="B52648" s="12"/>
      <c r="C52648" s="8"/>
      <c r="D52648" s="8"/>
    </row>
    <row r="52649" spans="1:4" ht="15.75" customHeight="1">
      <c r="A52649" s="8"/>
      <c r="B52649" s="12"/>
      <c r="C52649" s="8"/>
      <c r="D52649" s="8"/>
    </row>
    <row r="52650" spans="1:4" ht="15.75" customHeight="1">
      <c r="A52650" s="8"/>
      <c r="B52650" s="12"/>
      <c r="C52650" s="8"/>
      <c r="D52650" s="8"/>
    </row>
    <row r="52651" spans="1:4" ht="15.75" customHeight="1">
      <c r="A52651" s="8"/>
      <c r="B52651" s="12"/>
      <c r="C52651" s="8"/>
      <c r="D52651" s="8"/>
    </row>
    <row r="52652" spans="1:4" ht="15.75" customHeight="1">
      <c r="A52652" s="8"/>
      <c r="B52652" s="12"/>
      <c r="C52652" s="8"/>
      <c r="D52652" s="8"/>
    </row>
    <row r="52653" spans="1:4" ht="15.75" customHeight="1">
      <c r="A52653" s="8"/>
      <c r="B52653" s="12"/>
      <c r="C52653" s="8"/>
      <c r="D52653" s="8"/>
    </row>
    <row r="52654" spans="1:4" ht="15.75" customHeight="1">
      <c r="A52654" s="8"/>
      <c r="B52654" s="12"/>
      <c r="C52654" s="8"/>
      <c r="D52654" s="8"/>
    </row>
    <row r="52655" spans="1:4" ht="15.75" customHeight="1">
      <c r="A52655" s="8"/>
      <c r="B52655" s="12"/>
      <c r="C52655" s="8"/>
      <c r="D52655" s="8"/>
    </row>
    <row r="52656" spans="1:4" ht="15.75" customHeight="1">
      <c r="A52656" s="8"/>
      <c r="B52656" s="12"/>
      <c r="C52656" s="8"/>
      <c r="D52656" s="8"/>
    </row>
    <row r="52657" spans="1:4" ht="15.75" customHeight="1">
      <c r="A52657" s="8"/>
      <c r="B52657" s="12"/>
      <c r="C52657" s="8"/>
      <c r="D52657" s="8"/>
    </row>
    <row r="52658" spans="1:4" ht="15.75" customHeight="1">
      <c r="A52658" s="8"/>
      <c r="B52658" s="12"/>
      <c r="C52658" s="8"/>
      <c r="D52658" s="8"/>
    </row>
    <row r="52659" spans="1:4" ht="15.75" customHeight="1">
      <c r="A52659" s="8"/>
      <c r="B52659" s="12"/>
      <c r="C52659" s="8"/>
      <c r="D52659" s="8"/>
    </row>
    <row r="52660" spans="1:4" ht="15.75" customHeight="1">
      <c r="A52660" s="8"/>
      <c r="B52660" s="12"/>
      <c r="C52660" s="8"/>
      <c r="D52660" s="8"/>
    </row>
    <row r="52661" spans="1:4" ht="15.75" customHeight="1">
      <c r="A52661" s="8"/>
      <c r="B52661" s="12"/>
      <c r="C52661" s="8"/>
      <c r="D52661" s="8"/>
    </row>
    <row r="52662" spans="1:4" ht="15.75" customHeight="1">
      <c r="A52662" s="8"/>
      <c r="B52662" s="12"/>
      <c r="C52662" s="8"/>
      <c r="D52662" s="8"/>
    </row>
    <row r="52663" spans="1:4" ht="15.75" customHeight="1">
      <c r="A52663" s="8"/>
      <c r="B52663" s="12"/>
      <c r="C52663" s="8"/>
      <c r="D52663" s="8"/>
    </row>
    <row r="52664" spans="1:4" ht="15.75" customHeight="1">
      <c r="A52664" s="8"/>
      <c r="B52664" s="12"/>
      <c r="C52664" s="8"/>
      <c r="D52664" s="8"/>
    </row>
    <row r="52665" spans="1:4" ht="15.75" customHeight="1">
      <c r="A52665" s="8"/>
      <c r="B52665" s="12"/>
      <c r="C52665" s="8"/>
      <c r="D52665" s="8"/>
    </row>
    <row r="52666" spans="1:4" ht="15.75" customHeight="1">
      <c r="A52666" s="8"/>
      <c r="B52666" s="12"/>
      <c r="C52666" s="8"/>
      <c r="D52666" s="8"/>
    </row>
    <row r="52667" spans="1:4" ht="15.75" customHeight="1">
      <c r="A52667" s="8"/>
      <c r="B52667" s="12"/>
      <c r="C52667" s="8"/>
      <c r="D52667" s="8"/>
    </row>
    <row r="52668" spans="1:4" ht="15.75" customHeight="1">
      <c r="A52668" s="8"/>
      <c r="B52668" s="12"/>
      <c r="C52668" s="8"/>
      <c r="D52668" s="8"/>
    </row>
    <row r="52669" spans="1:4" ht="15.75" customHeight="1">
      <c r="A52669" s="8"/>
      <c r="B52669" s="12"/>
      <c r="C52669" s="8"/>
      <c r="D52669" s="8"/>
    </row>
    <row r="52670" spans="1:4" ht="15.75" customHeight="1">
      <c r="A52670" s="8"/>
      <c r="B52670" s="12"/>
      <c r="C52670" s="8"/>
      <c r="D52670" s="8"/>
    </row>
    <row r="52671" spans="1:4" ht="15.75" customHeight="1">
      <c r="A52671" s="8"/>
      <c r="B52671" s="12"/>
      <c r="C52671" s="8"/>
      <c r="D52671" s="8"/>
    </row>
    <row r="52672" spans="1:4" ht="15.75" customHeight="1">
      <c r="A52672" s="8"/>
      <c r="B52672" s="12"/>
      <c r="C52672" s="8"/>
      <c r="D52672" s="8"/>
    </row>
    <row r="52673" spans="1:4" ht="15.75" customHeight="1">
      <c r="A52673" s="8"/>
      <c r="B52673" s="12"/>
      <c r="C52673" s="8"/>
      <c r="D52673" s="8"/>
    </row>
    <row r="52674" spans="1:4" ht="15.75" customHeight="1">
      <c r="A52674" s="8"/>
      <c r="B52674" s="12"/>
      <c r="C52674" s="8"/>
      <c r="D52674" s="8"/>
    </row>
    <row r="52675" spans="1:4" ht="15.75" customHeight="1">
      <c r="A52675" s="8"/>
      <c r="B52675" s="12"/>
      <c r="C52675" s="8"/>
      <c r="D52675" s="8"/>
    </row>
    <row r="52676" spans="1:4" ht="15.75" customHeight="1">
      <c r="A52676" s="8"/>
      <c r="B52676" s="12"/>
      <c r="C52676" s="8"/>
      <c r="D52676" s="8"/>
    </row>
    <row r="52677" spans="1:4" ht="15.75" customHeight="1">
      <c r="A52677" s="8"/>
      <c r="B52677" s="12"/>
      <c r="C52677" s="8"/>
      <c r="D52677" s="8"/>
    </row>
    <row r="52678" spans="1:4" ht="15.75" customHeight="1">
      <c r="A52678" s="8"/>
      <c r="B52678" s="12"/>
      <c r="C52678" s="8"/>
      <c r="D52678" s="8"/>
    </row>
    <row r="52679" spans="1:4" ht="15.75" customHeight="1">
      <c r="A52679" s="8"/>
      <c r="B52679" s="12"/>
      <c r="C52679" s="8"/>
      <c r="D52679" s="8"/>
    </row>
    <row r="52680" spans="1:4" ht="15.75" customHeight="1">
      <c r="A52680" s="8"/>
      <c r="B52680" s="12"/>
      <c r="C52680" s="8"/>
      <c r="D52680" s="8"/>
    </row>
    <row r="52681" spans="1:4" ht="15.75" customHeight="1">
      <c r="A52681" s="8"/>
      <c r="B52681" s="12"/>
      <c r="C52681" s="8"/>
      <c r="D52681" s="8"/>
    </row>
    <row r="52682" spans="1:4" ht="15.75" customHeight="1">
      <c r="A52682" s="8"/>
      <c r="B52682" s="12"/>
      <c r="C52682" s="8"/>
      <c r="D52682" s="8"/>
    </row>
    <row r="52683" spans="1:4" ht="15.75" customHeight="1">
      <c r="A52683" s="8"/>
      <c r="B52683" s="12"/>
      <c r="C52683" s="8"/>
      <c r="D52683" s="8"/>
    </row>
    <row r="52684" spans="1:4" ht="15.75" customHeight="1">
      <c r="A52684" s="8"/>
      <c r="B52684" s="12"/>
      <c r="C52684" s="8"/>
      <c r="D52684" s="8"/>
    </row>
    <row r="52685" spans="1:4" ht="15.75" customHeight="1">
      <c r="A52685" s="8"/>
      <c r="B52685" s="12"/>
      <c r="C52685" s="8"/>
      <c r="D52685" s="8"/>
    </row>
    <row r="52686" spans="1:4" ht="15.75" customHeight="1">
      <c r="A52686" s="8"/>
      <c r="B52686" s="12"/>
      <c r="C52686" s="8"/>
      <c r="D52686" s="8"/>
    </row>
    <row r="52687" spans="1:4" ht="15.75" customHeight="1">
      <c r="A52687" s="8"/>
      <c r="B52687" s="12"/>
      <c r="C52687" s="8"/>
      <c r="D52687" s="8"/>
    </row>
    <row r="52688" spans="1:4" ht="15.75" customHeight="1">
      <c r="A52688" s="8"/>
      <c r="B52688" s="12"/>
      <c r="C52688" s="8"/>
      <c r="D52688" s="8"/>
    </row>
    <row r="52689" spans="1:4" ht="15.75" customHeight="1">
      <c r="A52689" s="8"/>
      <c r="B52689" s="12"/>
      <c r="C52689" s="8"/>
      <c r="D52689" s="8"/>
    </row>
    <row r="52690" spans="1:4" ht="15.75" customHeight="1">
      <c r="A52690" s="8"/>
      <c r="B52690" s="12"/>
      <c r="C52690" s="8"/>
      <c r="D52690" s="8"/>
    </row>
    <row r="52691" spans="1:4" ht="15.75" customHeight="1">
      <c r="A52691" s="8"/>
      <c r="B52691" s="12"/>
      <c r="C52691" s="8"/>
      <c r="D52691" s="8"/>
    </row>
    <row r="52692" spans="1:4" ht="15.75" customHeight="1">
      <c r="A52692" s="8"/>
      <c r="B52692" s="12"/>
      <c r="C52692" s="8"/>
      <c r="D52692" s="8"/>
    </row>
    <row r="52693" spans="1:4" ht="15.75" customHeight="1">
      <c r="A52693" s="8"/>
      <c r="B52693" s="12"/>
      <c r="C52693" s="8"/>
      <c r="D52693" s="8"/>
    </row>
    <row r="52694" spans="1:4" ht="15.75" customHeight="1">
      <c r="A52694" s="8"/>
      <c r="B52694" s="12"/>
      <c r="C52694" s="8"/>
      <c r="D52694" s="8"/>
    </row>
    <row r="52695" spans="1:4" ht="15.75" customHeight="1">
      <c r="A52695" s="8"/>
      <c r="B52695" s="12"/>
      <c r="C52695" s="8"/>
      <c r="D52695" s="8"/>
    </row>
    <row r="52696" spans="1:4" ht="15.75" customHeight="1">
      <c r="A52696" s="8"/>
      <c r="B52696" s="12"/>
      <c r="C52696" s="8"/>
      <c r="D52696" s="8"/>
    </row>
    <row r="52697" spans="1:4" ht="15.75" customHeight="1">
      <c r="A52697" s="8"/>
      <c r="B52697" s="12"/>
      <c r="C52697" s="8"/>
      <c r="D52697" s="8"/>
    </row>
    <row r="52698" spans="1:4" ht="15.75" customHeight="1">
      <c r="A52698" s="8"/>
      <c r="B52698" s="12"/>
      <c r="C52698" s="8"/>
      <c r="D52698" s="8"/>
    </row>
    <row r="52699" spans="1:4" ht="15.75" customHeight="1">
      <c r="A52699" s="8"/>
      <c r="B52699" s="12"/>
      <c r="C52699" s="8"/>
      <c r="D52699" s="8"/>
    </row>
    <row r="52700" spans="1:4" ht="15.75" customHeight="1">
      <c r="A52700" s="8"/>
      <c r="B52700" s="12"/>
      <c r="C52700" s="8"/>
      <c r="D52700" s="8"/>
    </row>
    <row r="52701" spans="1:4" ht="15.75" customHeight="1">
      <c r="A52701" s="8"/>
      <c r="B52701" s="12"/>
      <c r="C52701" s="8"/>
      <c r="D52701" s="8"/>
    </row>
    <row r="52702" spans="1:4" ht="15.75" customHeight="1">
      <c r="A52702" s="8"/>
      <c r="B52702" s="12"/>
      <c r="C52702" s="8"/>
      <c r="D52702" s="8"/>
    </row>
    <row r="52703" spans="1:4" ht="15.75" customHeight="1">
      <c r="A52703" s="8"/>
      <c r="B52703" s="12"/>
      <c r="C52703" s="8"/>
      <c r="D52703" s="8"/>
    </row>
    <row r="52704" spans="1:4" ht="15.75" customHeight="1">
      <c r="A52704" s="8"/>
      <c r="B52704" s="12"/>
      <c r="C52704" s="8"/>
      <c r="D52704" s="8"/>
    </row>
    <row r="52705" spans="1:4" ht="15.75" customHeight="1">
      <c r="A52705" s="8"/>
      <c r="B52705" s="12"/>
      <c r="C52705" s="8"/>
      <c r="D52705" s="8"/>
    </row>
    <row r="52706" spans="1:4" ht="15.75" customHeight="1">
      <c r="A52706" s="8"/>
      <c r="B52706" s="12"/>
      <c r="C52706" s="8"/>
      <c r="D52706" s="8"/>
    </row>
    <row r="52707" spans="1:4" ht="15.75" customHeight="1">
      <c r="A52707" s="8"/>
      <c r="B52707" s="12"/>
      <c r="C52707" s="8"/>
      <c r="D52707" s="8"/>
    </row>
    <row r="52708" spans="1:4" ht="15.75" customHeight="1">
      <c r="A52708" s="8"/>
      <c r="B52708" s="12"/>
      <c r="C52708" s="8"/>
      <c r="D52708" s="8"/>
    </row>
    <row r="52709" spans="1:4" ht="15.75" customHeight="1">
      <c r="A52709" s="8"/>
      <c r="B52709" s="12"/>
      <c r="C52709" s="8"/>
      <c r="D52709" s="8"/>
    </row>
    <row r="52710" spans="1:4" ht="15.75" customHeight="1">
      <c r="A52710" s="8"/>
      <c r="B52710" s="12"/>
      <c r="C52710" s="8"/>
      <c r="D52710" s="8"/>
    </row>
    <row r="52711" spans="1:4" ht="15.75" customHeight="1">
      <c r="A52711" s="8"/>
      <c r="B52711" s="12"/>
      <c r="C52711" s="8"/>
      <c r="D52711" s="8"/>
    </row>
    <row r="52712" spans="1:4" ht="15.75" customHeight="1">
      <c r="A52712" s="8"/>
      <c r="B52712" s="12"/>
      <c r="C52712" s="8"/>
      <c r="D52712" s="8"/>
    </row>
    <row r="52713" spans="1:4" ht="15.75" customHeight="1">
      <c r="A52713" s="8"/>
      <c r="B52713" s="12"/>
      <c r="C52713" s="8"/>
      <c r="D52713" s="8"/>
    </row>
    <row r="52714" spans="1:4" ht="15.75" customHeight="1">
      <c r="A52714" s="8"/>
      <c r="B52714" s="12"/>
      <c r="C52714" s="8"/>
      <c r="D52714" s="8"/>
    </row>
    <row r="52715" spans="1:4" ht="15.75" customHeight="1">
      <c r="A52715" s="8"/>
      <c r="B52715" s="12"/>
      <c r="C52715" s="8"/>
      <c r="D52715" s="8"/>
    </row>
    <row r="52716" spans="1:4" ht="15.75" customHeight="1">
      <c r="A52716" s="8"/>
      <c r="B52716" s="12"/>
      <c r="C52716" s="8"/>
      <c r="D52716" s="8"/>
    </row>
    <row r="52717" spans="1:4" ht="15.75" customHeight="1">
      <c r="A52717" s="8"/>
      <c r="B52717" s="12"/>
      <c r="C52717" s="8"/>
      <c r="D52717" s="8"/>
    </row>
    <row r="52718" spans="1:4" ht="15.75" customHeight="1">
      <c r="A52718" s="8"/>
      <c r="B52718" s="12"/>
      <c r="C52718" s="8"/>
      <c r="D52718" s="8"/>
    </row>
    <row r="52719" spans="1:4" ht="15.75" customHeight="1">
      <c r="A52719" s="8"/>
      <c r="B52719" s="12"/>
      <c r="C52719" s="8"/>
      <c r="D52719" s="8"/>
    </row>
    <row r="52720" spans="1:4" ht="15.75" customHeight="1">
      <c r="A52720" s="8"/>
      <c r="B52720" s="12"/>
      <c r="C52720" s="8"/>
      <c r="D52720" s="8"/>
    </row>
    <row r="52721" spans="1:4" ht="15.75" customHeight="1">
      <c r="A52721" s="8"/>
      <c r="B52721" s="12"/>
      <c r="C52721" s="8"/>
      <c r="D52721" s="8"/>
    </row>
    <row r="52722" spans="1:4" ht="15.75" customHeight="1">
      <c r="A52722" s="8"/>
      <c r="B52722" s="12"/>
      <c r="C52722" s="8"/>
      <c r="D52722" s="8"/>
    </row>
    <row r="52723" spans="1:4" ht="15.75" customHeight="1">
      <c r="A52723" s="8"/>
      <c r="B52723" s="12"/>
      <c r="C52723" s="8"/>
      <c r="D52723" s="8"/>
    </row>
    <row r="52724" spans="1:4" ht="15.75" customHeight="1">
      <c r="A52724" s="8"/>
      <c r="B52724" s="12"/>
      <c r="C52724" s="8"/>
      <c r="D52724" s="8"/>
    </row>
    <row r="52725" spans="1:4" ht="15.75" customHeight="1">
      <c r="A52725" s="8"/>
      <c r="B52725" s="12"/>
      <c r="C52725" s="8"/>
      <c r="D52725" s="8"/>
    </row>
    <row r="52726" spans="1:4" ht="15.75" customHeight="1">
      <c r="A52726" s="8"/>
      <c r="B52726" s="12"/>
      <c r="C52726" s="8"/>
      <c r="D52726" s="8"/>
    </row>
    <row r="52727" spans="1:4" ht="15.75" customHeight="1">
      <c r="A52727" s="8"/>
      <c r="B52727" s="12"/>
      <c r="C52727" s="8"/>
      <c r="D52727" s="8"/>
    </row>
    <row r="52728" spans="1:4" ht="15.75" customHeight="1">
      <c r="A52728" s="8"/>
      <c r="B52728" s="12"/>
      <c r="C52728" s="8"/>
      <c r="D52728" s="8"/>
    </row>
    <row r="52729" spans="1:4" ht="15.75" customHeight="1">
      <c r="A52729" s="8"/>
      <c r="B52729" s="12"/>
      <c r="C52729" s="8"/>
      <c r="D52729" s="8"/>
    </row>
    <row r="52730" spans="1:4" ht="15.75" customHeight="1">
      <c r="A52730" s="8"/>
      <c r="B52730" s="12"/>
      <c r="C52730" s="8"/>
      <c r="D52730" s="8"/>
    </row>
    <row r="52731" spans="1:4" ht="15.75" customHeight="1">
      <c r="A52731" s="8"/>
      <c r="B52731" s="12"/>
      <c r="C52731" s="8"/>
      <c r="D52731" s="8"/>
    </row>
    <row r="52732" spans="1:4" ht="15.75" customHeight="1">
      <c r="A52732" s="8"/>
      <c r="B52732" s="12"/>
      <c r="C52732" s="8"/>
      <c r="D52732" s="8"/>
    </row>
    <row r="52733" spans="1:4" ht="15.75" customHeight="1">
      <c r="A52733" s="8"/>
      <c r="B52733" s="12"/>
      <c r="C52733" s="8"/>
      <c r="D52733" s="8"/>
    </row>
    <row r="52734" spans="1:4" ht="15.75" customHeight="1">
      <c r="A52734" s="8"/>
      <c r="B52734" s="12"/>
      <c r="C52734" s="8"/>
      <c r="D52734" s="8"/>
    </row>
    <row r="52735" spans="1:4" ht="15.75" customHeight="1">
      <c r="A52735" s="8"/>
      <c r="B52735" s="12"/>
      <c r="C52735" s="8"/>
      <c r="D52735" s="8"/>
    </row>
    <row r="52736" spans="1:4" ht="15.75" customHeight="1">
      <c r="A52736" s="8"/>
      <c r="B52736" s="12"/>
      <c r="C52736" s="8"/>
      <c r="D52736" s="8"/>
    </row>
    <row r="52737" spans="1:4" ht="15.75" customHeight="1">
      <c r="A52737" s="8"/>
      <c r="B52737" s="12"/>
      <c r="C52737" s="8"/>
      <c r="D52737" s="8"/>
    </row>
    <row r="52738" spans="1:4" ht="15.75" customHeight="1">
      <c r="A52738" s="8"/>
      <c r="B52738" s="12"/>
      <c r="C52738" s="8"/>
      <c r="D52738" s="8"/>
    </row>
    <row r="52739" spans="1:4" ht="15.75" customHeight="1">
      <c r="A52739" s="8"/>
      <c r="B52739" s="12"/>
      <c r="C52739" s="8"/>
      <c r="D52739" s="8"/>
    </row>
    <row r="52740" spans="1:4" ht="15.75" customHeight="1">
      <c r="A52740" s="8"/>
      <c r="B52740" s="12"/>
      <c r="C52740" s="8"/>
      <c r="D52740" s="8"/>
    </row>
    <row r="52741" spans="1:4" ht="15.75" customHeight="1">
      <c r="A52741" s="8"/>
      <c r="B52741" s="12"/>
      <c r="C52741" s="8"/>
      <c r="D52741" s="8"/>
    </row>
    <row r="52742" spans="1:4" ht="15.75" customHeight="1">
      <c r="A52742" s="8"/>
      <c r="B52742" s="12"/>
      <c r="C52742" s="8"/>
      <c r="D52742" s="8"/>
    </row>
    <row r="52743" spans="1:4" ht="15.75" customHeight="1">
      <c r="A52743" s="8"/>
      <c r="B52743" s="12"/>
      <c r="C52743" s="8"/>
      <c r="D52743" s="8"/>
    </row>
    <row r="52744" spans="1:4" ht="15.75" customHeight="1">
      <c r="A52744" s="8"/>
      <c r="B52744" s="12"/>
      <c r="C52744" s="8"/>
      <c r="D52744" s="8"/>
    </row>
    <row r="52745" spans="1:4" ht="15.75" customHeight="1">
      <c r="A52745" s="8"/>
      <c r="B52745" s="12"/>
      <c r="C52745" s="8"/>
      <c r="D52745" s="8"/>
    </row>
    <row r="52746" spans="1:4" ht="15.75" customHeight="1">
      <c r="A52746" s="8"/>
      <c r="B52746" s="12"/>
      <c r="C52746" s="8"/>
      <c r="D52746" s="8"/>
    </row>
    <row r="52747" spans="1:4" ht="15.75" customHeight="1">
      <c r="A52747" s="8"/>
      <c r="B52747" s="12"/>
      <c r="C52747" s="8"/>
      <c r="D52747" s="8"/>
    </row>
    <row r="52748" spans="1:4" ht="15.75" customHeight="1">
      <c r="A52748" s="8"/>
      <c r="B52748" s="12"/>
      <c r="C52748" s="8"/>
      <c r="D52748" s="8"/>
    </row>
    <row r="52749" spans="1:4" ht="15.75" customHeight="1">
      <c r="A52749" s="8"/>
      <c r="B52749" s="12"/>
      <c r="C52749" s="8"/>
      <c r="D52749" s="8"/>
    </row>
    <row r="52750" spans="1:4" ht="15.75" customHeight="1">
      <c r="A52750" s="8"/>
      <c r="B52750" s="12"/>
      <c r="C52750" s="8"/>
      <c r="D52750" s="8"/>
    </row>
    <row r="52751" spans="1:4" ht="15.75" customHeight="1">
      <c r="A52751" s="8"/>
      <c r="B52751" s="12"/>
      <c r="C52751" s="8"/>
      <c r="D52751" s="8"/>
    </row>
    <row r="52752" spans="1:4" ht="15.75" customHeight="1">
      <c r="A52752" s="8"/>
      <c r="B52752" s="12"/>
      <c r="C52752" s="8"/>
      <c r="D52752" s="8"/>
    </row>
    <row r="52753" spans="1:4" ht="15.75" customHeight="1">
      <c r="A52753" s="8"/>
      <c r="B52753" s="12"/>
      <c r="C52753" s="8"/>
      <c r="D52753" s="8"/>
    </row>
    <row r="52754" spans="1:4" ht="15.75" customHeight="1">
      <c r="A52754" s="8"/>
      <c r="B52754" s="12"/>
      <c r="C52754" s="8"/>
      <c r="D52754" s="8"/>
    </row>
    <row r="52755" spans="1:4" ht="15.75" customHeight="1">
      <c r="A52755" s="8"/>
      <c r="B52755" s="12"/>
      <c r="C52755" s="8"/>
      <c r="D52755" s="8"/>
    </row>
    <row r="52756" spans="1:4" ht="15.75" customHeight="1">
      <c r="A52756" s="8"/>
      <c r="B52756" s="12"/>
      <c r="C52756" s="8"/>
      <c r="D52756" s="8"/>
    </row>
    <row r="52757" spans="1:4" ht="15.75" customHeight="1">
      <c r="A52757" s="8"/>
      <c r="B52757" s="12"/>
      <c r="C52757" s="8"/>
      <c r="D52757" s="8"/>
    </row>
    <row r="52758" spans="1:4" ht="15.75" customHeight="1">
      <c r="A52758" s="8"/>
      <c r="B52758" s="12"/>
      <c r="C52758" s="8"/>
      <c r="D52758" s="8"/>
    </row>
    <row r="52759" spans="1:4" ht="15.75" customHeight="1">
      <c r="A52759" s="8"/>
      <c r="B52759" s="12"/>
      <c r="C52759" s="8"/>
      <c r="D52759" s="8"/>
    </row>
    <row r="52760" spans="1:4" ht="15.75" customHeight="1">
      <c r="A52760" s="8"/>
      <c r="B52760" s="12"/>
      <c r="C52760" s="8"/>
      <c r="D52760" s="8"/>
    </row>
    <row r="52761" spans="1:4" ht="15.75" customHeight="1">
      <c r="A52761" s="8"/>
      <c r="B52761" s="12"/>
      <c r="C52761" s="8"/>
      <c r="D52761" s="8"/>
    </row>
    <row r="52762" spans="1:4" ht="15.75" customHeight="1">
      <c r="A52762" s="8"/>
      <c r="B52762" s="12"/>
      <c r="C52762" s="8"/>
      <c r="D52762" s="8"/>
    </row>
    <row r="52763" spans="1:4" ht="15.75" customHeight="1">
      <c r="A52763" s="8"/>
      <c r="B52763" s="12"/>
      <c r="C52763" s="8"/>
      <c r="D52763" s="8"/>
    </row>
    <row r="52764" spans="1:4" ht="15.75" customHeight="1">
      <c r="A52764" s="8"/>
      <c r="B52764" s="12"/>
      <c r="C52764" s="8"/>
      <c r="D52764" s="8"/>
    </row>
    <row r="52765" spans="1:4" ht="15.75" customHeight="1">
      <c r="A52765" s="8"/>
      <c r="B52765" s="12"/>
      <c r="C52765" s="8"/>
      <c r="D52765" s="8"/>
    </row>
    <row r="52766" spans="1:4" ht="15.75" customHeight="1">
      <c r="A52766" s="8"/>
      <c r="B52766" s="12"/>
      <c r="C52766" s="8"/>
      <c r="D52766" s="8"/>
    </row>
    <row r="52767" spans="1:4" ht="15.75" customHeight="1">
      <c r="A52767" s="8"/>
      <c r="B52767" s="12"/>
      <c r="C52767" s="8"/>
      <c r="D52767" s="8"/>
    </row>
    <row r="52768" spans="1:4" ht="15.75" customHeight="1">
      <c r="A52768" s="8"/>
      <c r="B52768" s="12"/>
      <c r="C52768" s="8"/>
      <c r="D52768" s="8"/>
    </row>
    <row r="52769" spans="1:4" ht="15.75" customHeight="1">
      <c r="A52769" s="8"/>
      <c r="B52769" s="12"/>
      <c r="C52769" s="8"/>
      <c r="D52769" s="8"/>
    </row>
    <row r="52770" spans="1:4" ht="15.75" customHeight="1">
      <c r="A52770" s="8"/>
      <c r="B52770" s="12"/>
      <c r="C52770" s="8"/>
      <c r="D52770" s="8"/>
    </row>
    <row r="52771" spans="1:4" ht="15.75" customHeight="1">
      <c r="A52771" s="8"/>
      <c r="B52771" s="12"/>
      <c r="C52771" s="8"/>
      <c r="D52771" s="8"/>
    </row>
    <row r="52772" spans="1:4" ht="15.75" customHeight="1">
      <c r="A52772" s="8"/>
      <c r="B52772" s="12"/>
      <c r="C52772" s="8"/>
      <c r="D52772" s="8"/>
    </row>
    <row r="52773" spans="1:4" ht="15.75" customHeight="1">
      <c r="A52773" s="8"/>
      <c r="B52773" s="12"/>
      <c r="C52773" s="8"/>
      <c r="D52773" s="8"/>
    </row>
    <row r="52774" spans="1:4" ht="15.75" customHeight="1">
      <c r="A52774" s="8"/>
      <c r="B52774" s="12"/>
      <c r="C52774" s="8"/>
      <c r="D52774" s="8"/>
    </row>
    <row r="52775" spans="1:4" ht="15.75" customHeight="1">
      <c r="A52775" s="8"/>
      <c r="B52775" s="12"/>
      <c r="C52775" s="8"/>
      <c r="D52775" s="8"/>
    </row>
    <row r="52776" spans="1:4" ht="15.75" customHeight="1">
      <c r="A52776" s="8"/>
      <c r="B52776" s="12"/>
      <c r="C52776" s="8"/>
      <c r="D52776" s="8"/>
    </row>
    <row r="52777" spans="1:4" ht="15.75" customHeight="1">
      <c r="A52777" s="8"/>
      <c r="B52777" s="12"/>
      <c r="C52777" s="8"/>
      <c r="D52777" s="8"/>
    </row>
    <row r="52778" spans="1:4" ht="15.75" customHeight="1">
      <c r="A52778" s="8"/>
      <c r="B52778" s="12"/>
      <c r="C52778" s="8"/>
      <c r="D52778" s="8"/>
    </row>
    <row r="52779" spans="1:4" ht="15.75" customHeight="1">
      <c r="A52779" s="8"/>
      <c r="B52779" s="12"/>
      <c r="C52779" s="8"/>
      <c r="D52779" s="8"/>
    </row>
    <row r="52780" spans="1:4" ht="15.75" customHeight="1">
      <c r="A52780" s="8"/>
      <c r="B52780" s="12"/>
      <c r="C52780" s="8"/>
      <c r="D52780" s="8"/>
    </row>
    <row r="52781" spans="1:4" ht="15.75" customHeight="1">
      <c r="A52781" s="8"/>
      <c r="B52781" s="12"/>
      <c r="C52781" s="8"/>
      <c r="D52781" s="8"/>
    </row>
    <row r="52782" spans="1:4" ht="15.75" customHeight="1">
      <c r="A52782" s="8"/>
      <c r="B52782" s="12"/>
      <c r="C52782" s="8"/>
      <c r="D52782" s="8"/>
    </row>
    <row r="52783" spans="1:4" ht="15.75" customHeight="1">
      <c r="A52783" s="8"/>
      <c r="B52783" s="12"/>
      <c r="C52783" s="8"/>
      <c r="D52783" s="8"/>
    </row>
    <row r="52784" spans="1:4" ht="15.75" customHeight="1">
      <c r="A52784" s="8"/>
      <c r="B52784" s="12"/>
      <c r="C52784" s="8"/>
      <c r="D52784" s="8"/>
    </row>
    <row r="52785" spans="1:4" ht="15.75" customHeight="1">
      <c r="A52785" s="8"/>
      <c r="B52785" s="12"/>
      <c r="C52785" s="8"/>
      <c r="D52785" s="8"/>
    </row>
    <row r="52786" spans="1:4" ht="15.75" customHeight="1">
      <c r="A52786" s="8"/>
      <c r="B52786" s="12"/>
      <c r="C52786" s="8"/>
      <c r="D52786" s="8"/>
    </row>
    <row r="52787" spans="1:4" ht="15.75" customHeight="1">
      <c r="A52787" s="8"/>
      <c r="B52787" s="12"/>
      <c r="C52787" s="8"/>
      <c r="D52787" s="8"/>
    </row>
    <row r="52788" spans="1:4" ht="15.75" customHeight="1">
      <c r="A52788" s="8"/>
      <c r="B52788" s="12"/>
      <c r="C52788" s="8"/>
      <c r="D52788" s="8"/>
    </row>
    <row r="52789" spans="1:4" ht="15.75" customHeight="1">
      <c r="A52789" s="8"/>
      <c r="B52789" s="12"/>
      <c r="C52789" s="8"/>
      <c r="D52789" s="8"/>
    </row>
    <row r="52790" spans="1:4" ht="15.75" customHeight="1">
      <c r="A52790" s="8"/>
      <c r="B52790" s="12"/>
      <c r="C52790" s="8"/>
      <c r="D52790" s="8"/>
    </row>
    <row r="52791" spans="1:4" ht="15.75" customHeight="1">
      <c r="A52791" s="8"/>
      <c r="B52791" s="12"/>
      <c r="C52791" s="8"/>
      <c r="D52791" s="8"/>
    </row>
    <row r="52792" spans="1:4" ht="15.75" customHeight="1">
      <c r="A52792" s="8"/>
      <c r="B52792" s="12"/>
      <c r="C52792" s="8"/>
      <c r="D52792" s="8"/>
    </row>
    <row r="52793" spans="1:4" ht="15.75" customHeight="1">
      <c r="A52793" s="8"/>
      <c r="B52793" s="12"/>
      <c r="C52793" s="8"/>
      <c r="D52793" s="8"/>
    </row>
    <row r="52794" spans="1:4" ht="15.75" customHeight="1">
      <c r="A52794" s="8"/>
      <c r="B52794" s="12"/>
      <c r="C52794" s="8"/>
      <c r="D52794" s="8"/>
    </row>
    <row r="52795" spans="1:4" ht="15.75" customHeight="1">
      <c r="A52795" s="8"/>
      <c r="B52795" s="12"/>
      <c r="C52795" s="8"/>
      <c r="D52795" s="8"/>
    </row>
    <row r="52796" spans="1:4" ht="15.75" customHeight="1">
      <c r="A52796" s="8"/>
      <c r="B52796" s="12"/>
      <c r="C52796" s="8"/>
      <c r="D52796" s="8"/>
    </row>
    <row r="52797" spans="1:4" ht="15.75" customHeight="1">
      <c r="A52797" s="8"/>
      <c r="B52797" s="12"/>
      <c r="C52797" s="8"/>
      <c r="D52797" s="8"/>
    </row>
    <row r="52798" spans="1:4" ht="15.75" customHeight="1">
      <c r="A52798" s="8"/>
      <c r="B52798" s="12"/>
      <c r="C52798" s="8"/>
      <c r="D52798" s="8"/>
    </row>
    <row r="52799" spans="1:4" ht="15.75" customHeight="1">
      <c r="A52799" s="8"/>
      <c r="B52799" s="12"/>
      <c r="C52799" s="8"/>
      <c r="D52799" s="8"/>
    </row>
    <row r="52800" spans="1:4" ht="15.75" customHeight="1">
      <c r="A52800" s="8"/>
      <c r="B52800" s="12"/>
      <c r="C52800" s="8"/>
      <c r="D52800" s="8"/>
    </row>
    <row r="52801" spans="1:4" ht="15.75" customHeight="1">
      <c r="A52801" s="8"/>
      <c r="B52801" s="12"/>
      <c r="C52801" s="8"/>
      <c r="D52801" s="8"/>
    </row>
    <row r="52802" spans="1:4" ht="15.75" customHeight="1">
      <c r="A52802" s="8"/>
      <c r="B52802" s="12"/>
      <c r="C52802" s="8"/>
      <c r="D52802" s="8"/>
    </row>
    <row r="52803" spans="1:4" ht="15.75" customHeight="1">
      <c r="A52803" s="8"/>
      <c r="B52803" s="12"/>
      <c r="C52803" s="8"/>
      <c r="D52803" s="8"/>
    </row>
    <row r="52804" spans="1:4" ht="15.75" customHeight="1">
      <c r="A52804" s="8"/>
      <c r="B52804" s="12"/>
      <c r="C52804" s="8"/>
      <c r="D52804" s="8"/>
    </row>
    <row r="52805" spans="1:4" ht="15.75" customHeight="1">
      <c r="A52805" s="8"/>
      <c r="B52805" s="12"/>
      <c r="C52805" s="8"/>
      <c r="D52805" s="8"/>
    </row>
    <row r="52806" spans="1:4" ht="15.75" customHeight="1">
      <c r="A52806" s="8"/>
      <c r="B52806" s="12"/>
      <c r="C52806" s="8"/>
      <c r="D52806" s="8"/>
    </row>
    <row r="52807" spans="1:4" ht="15.75" customHeight="1">
      <c r="A52807" s="8"/>
      <c r="B52807" s="12"/>
      <c r="C52807" s="8"/>
      <c r="D52807" s="8"/>
    </row>
    <row r="52808" spans="1:4" ht="15.75" customHeight="1">
      <c r="A52808" s="8"/>
      <c r="B52808" s="12"/>
      <c r="C52808" s="8"/>
      <c r="D52808" s="8"/>
    </row>
    <row r="52809" spans="1:4" ht="15.75" customHeight="1">
      <c r="A52809" s="8"/>
      <c r="B52809" s="12"/>
      <c r="C52809" s="8"/>
      <c r="D52809" s="8"/>
    </row>
    <row r="52810" spans="1:4" ht="15.75" customHeight="1">
      <c r="A52810" s="8"/>
      <c r="B52810" s="12"/>
      <c r="C52810" s="8"/>
      <c r="D52810" s="8"/>
    </row>
    <row r="52811" spans="1:4" ht="15.75" customHeight="1">
      <c r="A52811" s="8"/>
      <c r="B52811" s="12"/>
      <c r="C52811" s="8"/>
      <c r="D52811" s="8"/>
    </row>
    <row r="52812" spans="1:4" ht="15.75" customHeight="1">
      <c r="A52812" s="8"/>
      <c r="B52812" s="12"/>
      <c r="C52812" s="8"/>
      <c r="D52812" s="8"/>
    </row>
    <row r="52813" spans="1:4" ht="15.75" customHeight="1">
      <c r="A52813" s="8"/>
      <c r="B52813" s="12"/>
      <c r="C52813" s="8"/>
      <c r="D52813" s="8"/>
    </row>
    <row r="52814" spans="1:4" ht="15.75" customHeight="1">
      <c r="A52814" s="8"/>
      <c r="B52814" s="12"/>
      <c r="C52814" s="8"/>
      <c r="D52814" s="8"/>
    </row>
    <row r="52815" spans="1:4" ht="15.75" customHeight="1">
      <c r="A52815" s="8"/>
      <c r="B52815" s="12"/>
      <c r="C52815" s="8"/>
      <c r="D52815" s="8"/>
    </row>
    <row r="52816" spans="1:4" ht="15.75" customHeight="1">
      <c r="A52816" s="8"/>
      <c r="B52816" s="12"/>
      <c r="C52816" s="8"/>
      <c r="D52816" s="8"/>
    </row>
    <row r="52817" spans="1:4" ht="15.75" customHeight="1">
      <c r="A52817" s="8"/>
      <c r="B52817" s="12"/>
      <c r="C52817" s="8"/>
      <c r="D52817" s="8"/>
    </row>
    <row r="52818" spans="1:4" ht="15.75" customHeight="1">
      <c r="A52818" s="8"/>
      <c r="B52818" s="12"/>
      <c r="C52818" s="8"/>
      <c r="D52818" s="8"/>
    </row>
    <row r="52819" spans="1:4" ht="15.75" customHeight="1">
      <c r="A52819" s="8"/>
      <c r="B52819" s="12"/>
      <c r="C52819" s="8"/>
      <c r="D52819" s="8"/>
    </row>
    <row r="52820" spans="1:4" ht="15.75" customHeight="1">
      <c r="A52820" s="8"/>
      <c r="B52820" s="12"/>
      <c r="C52820" s="8"/>
      <c r="D52820" s="8"/>
    </row>
    <row r="52821" spans="1:4" ht="15.75" customHeight="1">
      <c r="A52821" s="8"/>
      <c r="B52821" s="12"/>
      <c r="C52821" s="8"/>
      <c r="D52821" s="8"/>
    </row>
    <row r="52822" spans="1:4" ht="15.75" customHeight="1">
      <c r="A52822" s="8"/>
      <c r="B52822" s="12"/>
      <c r="C52822" s="8"/>
      <c r="D52822" s="8"/>
    </row>
    <row r="52823" spans="1:4" ht="15.75" customHeight="1">
      <c r="A52823" s="8"/>
      <c r="B52823" s="12"/>
      <c r="C52823" s="8"/>
      <c r="D52823" s="8"/>
    </row>
    <row r="52824" spans="1:4" ht="15.75" customHeight="1">
      <c r="A52824" s="8"/>
      <c r="B52824" s="12"/>
      <c r="C52824" s="8"/>
      <c r="D52824" s="8"/>
    </row>
    <row r="52825" spans="1:4" ht="15.75" customHeight="1">
      <c r="A52825" s="8"/>
      <c r="B52825" s="12"/>
      <c r="C52825" s="8"/>
      <c r="D52825" s="8"/>
    </row>
    <row r="52826" spans="1:4" ht="15.75" customHeight="1">
      <c r="A52826" s="8"/>
      <c r="B52826" s="12"/>
      <c r="C52826" s="8"/>
      <c r="D52826" s="8"/>
    </row>
    <row r="52827" spans="1:4" ht="15.75" customHeight="1">
      <c r="A52827" s="8"/>
      <c r="B52827" s="12"/>
      <c r="C52827" s="8"/>
      <c r="D52827" s="8"/>
    </row>
    <row r="52828" spans="1:4" ht="15.75" customHeight="1">
      <c r="A52828" s="8"/>
      <c r="B52828" s="12"/>
      <c r="C52828" s="8"/>
      <c r="D52828" s="8"/>
    </row>
    <row r="52829" spans="1:4" ht="15.75" customHeight="1">
      <c r="A52829" s="8"/>
      <c r="B52829" s="12"/>
      <c r="C52829" s="8"/>
      <c r="D52829" s="8"/>
    </row>
    <row r="52830" spans="1:4" ht="15.75" customHeight="1">
      <c r="A52830" s="8"/>
      <c r="B52830" s="12"/>
      <c r="C52830" s="8"/>
      <c r="D52830" s="8"/>
    </row>
    <row r="52831" spans="1:4" ht="15.75" customHeight="1">
      <c r="A52831" s="8"/>
      <c r="B52831" s="12"/>
      <c r="C52831" s="8"/>
      <c r="D52831" s="8"/>
    </row>
    <row r="52832" spans="1:4" ht="15.75" customHeight="1">
      <c r="A52832" s="8"/>
      <c r="B52832" s="12"/>
      <c r="C52832" s="8"/>
      <c r="D52832" s="8"/>
    </row>
    <row r="52833" spans="1:4" ht="15.75" customHeight="1">
      <c r="A52833" s="8"/>
      <c r="B52833" s="12"/>
      <c r="C52833" s="8"/>
      <c r="D52833" s="8"/>
    </row>
    <row r="52834" spans="1:4" ht="15.75" customHeight="1">
      <c r="A52834" s="8"/>
      <c r="B52834" s="12"/>
      <c r="C52834" s="8"/>
      <c r="D52834" s="8"/>
    </row>
    <row r="52835" spans="1:4" ht="15.75" customHeight="1">
      <c r="A52835" s="8"/>
      <c r="B52835" s="12"/>
      <c r="C52835" s="8"/>
      <c r="D52835" s="8"/>
    </row>
    <row r="52836" spans="1:4" ht="15.75" customHeight="1">
      <c r="A52836" s="8"/>
      <c r="B52836" s="12"/>
      <c r="C52836" s="8"/>
      <c r="D52836" s="8"/>
    </row>
    <row r="52837" spans="1:4" ht="15.75" customHeight="1">
      <c r="A52837" s="8"/>
      <c r="B52837" s="12"/>
      <c r="C52837" s="8"/>
      <c r="D52837" s="8"/>
    </row>
    <row r="52838" spans="1:4" ht="15.75" customHeight="1">
      <c r="A52838" s="8"/>
      <c r="B52838" s="12"/>
      <c r="C52838" s="8"/>
      <c r="D52838" s="8"/>
    </row>
    <row r="52839" spans="1:4" ht="15.75" customHeight="1">
      <c r="A52839" s="8"/>
      <c r="B52839" s="12"/>
      <c r="C52839" s="8"/>
      <c r="D52839" s="8"/>
    </row>
    <row r="52840" spans="1:4" ht="15.75" customHeight="1">
      <c r="A52840" s="8"/>
      <c r="B52840" s="12"/>
      <c r="C52840" s="8"/>
      <c r="D52840" s="8"/>
    </row>
    <row r="52841" spans="1:4" ht="15.75" customHeight="1">
      <c r="A52841" s="8"/>
      <c r="B52841" s="12"/>
      <c r="C52841" s="8"/>
      <c r="D52841" s="8"/>
    </row>
    <row r="52842" spans="1:4" ht="15.75" customHeight="1">
      <c r="A52842" s="8"/>
      <c r="B52842" s="12"/>
      <c r="C52842" s="8"/>
      <c r="D52842" s="8"/>
    </row>
    <row r="52843" spans="1:4" ht="15.75" customHeight="1">
      <c r="A52843" s="8"/>
      <c r="B52843" s="12"/>
      <c r="C52843" s="8"/>
      <c r="D52843" s="8"/>
    </row>
    <row r="52844" spans="1:4" ht="15.75" customHeight="1">
      <c r="A52844" s="8"/>
      <c r="B52844" s="12"/>
      <c r="C52844" s="8"/>
      <c r="D52844" s="8"/>
    </row>
    <row r="52845" spans="1:4" ht="15.75" customHeight="1">
      <c r="A52845" s="8"/>
      <c r="B52845" s="12"/>
      <c r="C52845" s="8"/>
      <c r="D52845" s="8"/>
    </row>
    <row r="52846" spans="1:4" ht="15.75" customHeight="1">
      <c r="A52846" s="8"/>
      <c r="B52846" s="12"/>
      <c r="C52846" s="8"/>
      <c r="D52846" s="8"/>
    </row>
    <row r="52847" spans="1:4" ht="15.75" customHeight="1">
      <c r="A52847" s="8"/>
      <c r="B52847" s="12"/>
      <c r="C52847" s="8"/>
      <c r="D52847" s="8"/>
    </row>
    <row r="52848" spans="1:4" ht="15.75" customHeight="1">
      <c r="A52848" s="8"/>
      <c r="B52848" s="12"/>
      <c r="C52848" s="8"/>
      <c r="D52848" s="8"/>
    </row>
    <row r="52849" spans="1:4" ht="15.75" customHeight="1">
      <c r="A52849" s="8"/>
      <c r="B52849" s="12"/>
      <c r="C52849" s="8"/>
      <c r="D52849" s="8"/>
    </row>
    <row r="52850" spans="1:4" ht="15.75" customHeight="1">
      <c r="A52850" s="8"/>
      <c r="B52850" s="12"/>
      <c r="C52850" s="8"/>
      <c r="D52850" s="8"/>
    </row>
    <row r="52851" spans="1:4" ht="15.75" customHeight="1">
      <c r="A52851" s="8"/>
      <c r="B52851" s="12"/>
      <c r="C52851" s="8"/>
      <c r="D52851" s="8"/>
    </row>
    <row r="52852" spans="1:4" ht="15.75" customHeight="1">
      <c r="A52852" s="8"/>
      <c r="B52852" s="12"/>
      <c r="C52852" s="8"/>
      <c r="D52852" s="8"/>
    </row>
    <row r="52853" spans="1:4" ht="15.75" customHeight="1">
      <c r="A52853" s="8"/>
      <c r="B52853" s="12"/>
      <c r="C52853" s="8"/>
      <c r="D52853" s="8"/>
    </row>
    <row r="52854" spans="1:4" ht="15.75" customHeight="1">
      <c r="A52854" s="8"/>
      <c r="B52854" s="12"/>
      <c r="C52854" s="8"/>
      <c r="D52854" s="8"/>
    </row>
    <row r="52855" spans="1:4" ht="15.75" customHeight="1">
      <c r="A52855" s="8"/>
      <c r="B52855" s="12"/>
      <c r="C52855" s="8"/>
      <c r="D52855" s="8"/>
    </row>
    <row r="52856" spans="1:4" ht="15.75" customHeight="1">
      <c r="A52856" s="8"/>
      <c r="B52856" s="12"/>
      <c r="C52856" s="8"/>
      <c r="D52856" s="8"/>
    </row>
    <row r="52857" spans="1:4" ht="15.75" customHeight="1">
      <c r="A52857" s="8"/>
      <c r="B52857" s="12"/>
      <c r="C52857" s="8"/>
      <c r="D52857" s="8"/>
    </row>
    <row r="52858" spans="1:4" ht="15.75" customHeight="1">
      <c r="A52858" s="8"/>
      <c r="B52858" s="12"/>
      <c r="C52858" s="8"/>
      <c r="D52858" s="8"/>
    </row>
    <row r="52859" spans="1:4" ht="15.75" customHeight="1">
      <c r="A52859" s="8"/>
      <c r="B52859" s="12"/>
      <c r="C52859" s="8"/>
      <c r="D52859" s="8"/>
    </row>
    <row r="52860" spans="1:4" ht="15.75" customHeight="1">
      <c r="A52860" s="8"/>
      <c r="B52860" s="12"/>
      <c r="C52860" s="8"/>
      <c r="D52860" s="8"/>
    </row>
    <row r="52861" spans="1:4" ht="15.75" customHeight="1">
      <c r="A52861" s="8"/>
      <c r="B52861" s="12"/>
      <c r="C52861" s="8"/>
      <c r="D52861" s="8"/>
    </row>
    <row r="52862" spans="1:4" ht="15.75" customHeight="1">
      <c r="A52862" s="8"/>
      <c r="B52862" s="12"/>
      <c r="C52862" s="8"/>
      <c r="D52862" s="8"/>
    </row>
    <row r="52863" spans="1:4" ht="15.75" customHeight="1">
      <c r="A52863" s="8"/>
      <c r="B52863" s="12"/>
      <c r="C52863" s="8"/>
      <c r="D52863" s="8"/>
    </row>
    <row r="52864" spans="1:4" ht="15.75" customHeight="1">
      <c r="A52864" s="8"/>
      <c r="B52864" s="12"/>
      <c r="C52864" s="8"/>
      <c r="D52864" s="8"/>
    </row>
    <row r="52865" spans="1:4" ht="15.75" customHeight="1">
      <c r="A52865" s="8"/>
      <c r="B52865" s="12"/>
      <c r="C52865" s="8"/>
      <c r="D52865" s="8"/>
    </row>
    <row r="52866" spans="1:4" ht="15.75" customHeight="1">
      <c r="A52866" s="8"/>
      <c r="B52866" s="12"/>
      <c r="C52866" s="8"/>
      <c r="D52866" s="8"/>
    </row>
    <row r="52867" spans="1:4" ht="15.75" customHeight="1">
      <c r="A52867" s="8"/>
      <c r="B52867" s="12"/>
      <c r="C52867" s="8"/>
      <c r="D52867" s="8"/>
    </row>
    <row r="52868" spans="1:4" ht="15.75" customHeight="1">
      <c r="A52868" s="8"/>
      <c r="B52868" s="12"/>
      <c r="C52868" s="8"/>
      <c r="D52868" s="8"/>
    </row>
    <row r="52869" spans="1:4" ht="15.75" customHeight="1">
      <c r="A52869" s="8"/>
      <c r="B52869" s="12"/>
      <c r="C52869" s="8"/>
      <c r="D52869" s="8"/>
    </row>
    <row r="52870" spans="1:4" ht="15.75" customHeight="1">
      <c r="A52870" s="8"/>
      <c r="B52870" s="12"/>
      <c r="C52870" s="8"/>
      <c r="D52870" s="8"/>
    </row>
    <row r="52871" spans="1:4" ht="15.75" customHeight="1">
      <c r="A52871" s="8"/>
      <c r="B52871" s="12"/>
      <c r="C52871" s="8"/>
      <c r="D52871" s="8"/>
    </row>
    <row r="52872" spans="1:4" ht="15.75" customHeight="1">
      <c r="A52872" s="8"/>
      <c r="B52872" s="12"/>
      <c r="C52872" s="8"/>
      <c r="D52872" s="8"/>
    </row>
    <row r="52873" spans="1:4" ht="15.75" customHeight="1">
      <c r="A52873" s="8"/>
      <c r="B52873" s="12"/>
      <c r="C52873" s="8"/>
      <c r="D52873" s="8"/>
    </row>
    <row r="52874" spans="1:4" ht="15.75" customHeight="1">
      <c r="A52874" s="8"/>
      <c r="B52874" s="12"/>
      <c r="C52874" s="8"/>
      <c r="D52874" s="8"/>
    </row>
    <row r="52875" spans="1:4" ht="15.75" customHeight="1">
      <c r="A52875" s="8"/>
      <c r="B52875" s="12"/>
      <c r="C52875" s="8"/>
      <c r="D52875" s="8"/>
    </row>
    <row r="52876" spans="1:4" ht="15.75" customHeight="1">
      <c r="A52876" s="8"/>
      <c r="B52876" s="12"/>
      <c r="C52876" s="8"/>
      <c r="D52876" s="8"/>
    </row>
    <row r="52877" spans="1:4" ht="15.75" customHeight="1">
      <c r="A52877" s="8"/>
      <c r="B52877" s="12"/>
      <c r="C52877" s="8"/>
      <c r="D52877" s="8"/>
    </row>
    <row r="52878" spans="1:4" ht="15.75" customHeight="1">
      <c r="A52878" s="8"/>
      <c r="B52878" s="12"/>
      <c r="C52878" s="8"/>
      <c r="D52878" s="8"/>
    </row>
    <row r="52879" spans="1:4" ht="15.75" customHeight="1">
      <c r="A52879" s="8"/>
      <c r="B52879" s="12"/>
      <c r="C52879" s="8"/>
      <c r="D52879" s="8"/>
    </row>
    <row r="52880" spans="1:4" ht="15.75" customHeight="1">
      <c r="A52880" s="8"/>
      <c r="B52880" s="12"/>
      <c r="C52880" s="8"/>
      <c r="D52880" s="8"/>
    </row>
    <row r="52881" spans="1:4" ht="15.75" customHeight="1">
      <c r="A52881" s="8"/>
      <c r="B52881" s="12"/>
      <c r="C52881" s="8"/>
      <c r="D52881" s="8"/>
    </row>
    <row r="52882" spans="1:4" ht="15.75" customHeight="1">
      <c r="A52882" s="8"/>
      <c r="B52882" s="12"/>
      <c r="C52882" s="8"/>
      <c r="D52882" s="8"/>
    </row>
    <row r="52883" spans="1:4" ht="15.75" customHeight="1">
      <c r="A52883" s="8"/>
      <c r="B52883" s="12"/>
      <c r="C52883" s="8"/>
      <c r="D52883" s="8"/>
    </row>
    <row r="52884" spans="1:4" ht="15.75" customHeight="1">
      <c r="A52884" s="8"/>
      <c r="B52884" s="12"/>
      <c r="C52884" s="8"/>
      <c r="D52884" s="8"/>
    </row>
    <row r="52885" spans="1:4" ht="15.75" customHeight="1">
      <c r="A52885" s="8"/>
      <c r="B52885" s="12"/>
      <c r="C52885" s="8"/>
      <c r="D52885" s="8"/>
    </row>
    <row r="52886" spans="1:4" ht="15.75" customHeight="1">
      <c r="A52886" s="8"/>
      <c r="B52886" s="12"/>
      <c r="C52886" s="8"/>
      <c r="D52886" s="8"/>
    </row>
    <row r="52887" spans="1:4" ht="15.75" customHeight="1">
      <c r="A52887" s="8"/>
      <c r="B52887" s="12"/>
      <c r="C52887" s="8"/>
      <c r="D52887" s="8"/>
    </row>
    <row r="52888" spans="1:4" ht="15.75" customHeight="1">
      <c r="A52888" s="8"/>
      <c r="B52888" s="12"/>
      <c r="C52888" s="8"/>
      <c r="D52888" s="8"/>
    </row>
    <row r="52889" spans="1:4" ht="15.75" customHeight="1">
      <c r="A52889" s="8"/>
      <c r="B52889" s="12"/>
      <c r="C52889" s="8"/>
      <c r="D52889" s="8"/>
    </row>
    <row r="52890" spans="1:4" ht="15.75" customHeight="1">
      <c r="A52890" s="8"/>
      <c r="B52890" s="12"/>
      <c r="C52890" s="8"/>
      <c r="D52890" s="8"/>
    </row>
    <row r="52891" spans="1:4" ht="15.75" customHeight="1">
      <c r="A52891" s="8"/>
      <c r="B52891" s="12"/>
      <c r="C52891" s="8"/>
      <c r="D52891" s="8"/>
    </row>
    <row r="52892" spans="1:4" ht="15.75" customHeight="1">
      <c r="A52892" s="8"/>
      <c r="B52892" s="12"/>
      <c r="C52892" s="8"/>
      <c r="D52892" s="8"/>
    </row>
    <row r="52893" spans="1:4" ht="15.75" customHeight="1">
      <c r="A52893" s="8"/>
      <c r="B52893" s="12"/>
      <c r="C52893" s="8"/>
      <c r="D52893" s="8"/>
    </row>
    <row r="52894" spans="1:4" ht="15.75" customHeight="1">
      <c r="A52894" s="8"/>
      <c r="B52894" s="12"/>
      <c r="C52894" s="8"/>
      <c r="D52894" s="8"/>
    </row>
    <row r="52895" spans="1:4" ht="15.75" customHeight="1">
      <c r="A52895" s="8"/>
      <c r="B52895" s="12"/>
      <c r="C52895" s="8"/>
      <c r="D52895" s="8"/>
    </row>
    <row r="52896" spans="1:4" ht="15.75" customHeight="1">
      <c r="A52896" s="8"/>
      <c r="B52896" s="12"/>
      <c r="C52896" s="8"/>
      <c r="D52896" s="8"/>
    </row>
    <row r="52897" spans="1:4" ht="15.75" customHeight="1">
      <c r="A52897" s="8"/>
      <c r="B52897" s="12"/>
      <c r="C52897" s="8"/>
      <c r="D52897" s="8"/>
    </row>
    <row r="52898" spans="1:4" ht="15.75" customHeight="1">
      <c r="A52898" s="8"/>
      <c r="B52898" s="12"/>
      <c r="C52898" s="8"/>
      <c r="D52898" s="8"/>
    </row>
    <row r="52899" spans="1:4" ht="15.75" customHeight="1">
      <c r="A52899" s="8"/>
      <c r="B52899" s="12"/>
      <c r="C52899" s="8"/>
      <c r="D52899" s="8"/>
    </row>
    <row r="52900" spans="1:4" ht="15.75" customHeight="1">
      <c r="A52900" s="8"/>
      <c r="B52900" s="12"/>
      <c r="C52900" s="8"/>
      <c r="D52900" s="8"/>
    </row>
    <row r="52901" spans="1:4" ht="15.75" customHeight="1">
      <c r="A52901" s="8"/>
      <c r="B52901" s="12"/>
      <c r="C52901" s="8"/>
      <c r="D52901" s="8"/>
    </row>
    <row r="52902" spans="1:4" ht="15.75" customHeight="1">
      <c r="A52902" s="8"/>
      <c r="B52902" s="12"/>
      <c r="C52902" s="8"/>
      <c r="D52902" s="8"/>
    </row>
    <row r="52903" spans="1:4" ht="15.75" customHeight="1">
      <c r="A52903" s="8"/>
      <c r="B52903" s="12"/>
      <c r="C52903" s="8"/>
      <c r="D52903" s="8"/>
    </row>
    <row r="52904" spans="1:4" ht="15.75" customHeight="1">
      <c r="A52904" s="8"/>
      <c r="B52904" s="12"/>
      <c r="C52904" s="8"/>
      <c r="D52904" s="8"/>
    </row>
    <row r="52905" spans="1:4" ht="15.75" customHeight="1">
      <c r="A52905" s="8"/>
      <c r="B52905" s="12"/>
      <c r="C52905" s="8"/>
      <c r="D52905" s="8"/>
    </row>
    <row r="52906" spans="1:4" ht="15.75" customHeight="1">
      <c r="A52906" s="8"/>
      <c r="B52906" s="12"/>
      <c r="C52906" s="8"/>
      <c r="D52906" s="8"/>
    </row>
    <row r="52907" spans="1:4" ht="15.75" customHeight="1">
      <c r="A52907" s="8"/>
      <c r="B52907" s="12"/>
      <c r="C52907" s="8"/>
      <c r="D52907" s="8"/>
    </row>
    <row r="52908" spans="1:4" ht="15.75" customHeight="1">
      <c r="A52908" s="8"/>
      <c r="B52908" s="12"/>
      <c r="C52908" s="8"/>
      <c r="D52908" s="8"/>
    </row>
    <row r="52909" spans="1:4" ht="15.75" customHeight="1">
      <c r="A52909" s="8"/>
      <c r="B52909" s="12"/>
      <c r="C52909" s="8"/>
      <c r="D52909" s="8"/>
    </row>
    <row r="52910" spans="1:4" ht="15.75" customHeight="1">
      <c r="A52910" s="8"/>
      <c r="B52910" s="12"/>
      <c r="C52910" s="8"/>
      <c r="D52910" s="8"/>
    </row>
    <row r="52911" spans="1:4" ht="15.75" customHeight="1">
      <c r="A52911" s="8"/>
      <c r="B52911" s="12"/>
      <c r="C52911" s="8"/>
      <c r="D52911" s="8"/>
    </row>
    <row r="52912" spans="1:4" ht="15.75" customHeight="1">
      <c r="A52912" s="8"/>
      <c r="B52912" s="12"/>
      <c r="C52912" s="8"/>
      <c r="D52912" s="8"/>
    </row>
    <row r="52913" spans="1:4" ht="15.75" customHeight="1">
      <c r="A52913" s="8"/>
      <c r="B52913" s="12"/>
      <c r="C52913" s="8"/>
      <c r="D52913" s="8"/>
    </row>
    <row r="52914" spans="1:4" ht="15.75" customHeight="1">
      <c r="A52914" s="8"/>
      <c r="B52914" s="12"/>
      <c r="C52914" s="8"/>
      <c r="D52914" s="8"/>
    </row>
    <row r="52915" spans="1:4" ht="15.75" customHeight="1">
      <c r="A52915" s="8"/>
      <c r="B52915" s="12"/>
      <c r="C52915" s="8"/>
      <c r="D52915" s="8"/>
    </row>
    <row r="52916" spans="1:4" ht="15.75" customHeight="1">
      <c r="A52916" s="8"/>
      <c r="B52916" s="12"/>
      <c r="C52916" s="8"/>
      <c r="D52916" s="8"/>
    </row>
    <row r="52917" spans="1:4" ht="15.75" customHeight="1">
      <c r="A52917" s="8"/>
      <c r="B52917" s="12"/>
      <c r="C52917" s="8"/>
      <c r="D52917" s="8"/>
    </row>
    <row r="52918" spans="1:4" ht="15.75" customHeight="1">
      <c r="A52918" s="8"/>
      <c r="B52918" s="12"/>
      <c r="C52918" s="8"/>
      <c r="D52918" s="8"/>
    </row>
    <row r="52919" spans="1:4" ht="15.75" customHeight="1">
      <c r="A52919" s="8"/>
      <c r="B52919" s="12"/>
      <c r="C52919" s="8"/>
      <c r="D52919" s="8"/>
    </row>
    <row r="52920" spans="1:4" ht="15.75" customHeight="1">
      <c r="A52920" s="8"/>
      <c r="B52920" s="12"/>
      <c r="C52920" s="8"/>
      <c r="D52920" s="8"/>
    </row>
    <row r="52921" spans="1:4" ht="15.75" customHeight="1">
      <c r="A52921" s="8"/>
      <c r="B52921" s="12"/>
      <c r="C52921" s="8"/>
      <c r="D52921" s="8"/>
    </row>
    <row r="52922" spans="1:4" ht="15.75" customHeight="1">
      <c r="A52922" s="8"/>
      <c r="B52922" s="12"/>
      <c r="C52922" s="8"/>
      <c r="D52922" s="8"/>
    </row>
    <row r="52923" spans="1:4" ht="15.75" customHeight="1">
      <c r="A52923" s="8"/>
      <c r="B52923" s="12"/>
      <c r="C52923" s="8"/>
      <c r="D52923" s="8"/>
    </row>
    <row r="52924" spans="1:4" ht="15.75" customHeight="1">
      <c r="A52924" s="8"/>
      <c r="B52924" s="12"/>
      <c r="C52924" s="8"/>
      <c r="D52924" s="8"/>
    </row>
    <row r="52925" spans="1:4" ht="15.75" customHeight="1">
      <c r="A52925" s="8"/>
      <c r="B52925" s="12"/>
      <c r="C52925" s="8"/>
      <c r="D52925" s="8"/>
    </row>
    <row r="52926" spans="1:4" ht="15.75" customHeight="1">
      <c r="A52926" s="8"/>
      <c r="B52926" s="12"/>
      <c r="C52926" s="8"/>
      <c r="D52926" s="8"/>
    </row>
    <row r="52927" spans="1:4" ht="15.75" customHeight="1">
      <c r="A52927" s="8"/>
      <c r="B52927" s="12"/>
      <c r="C52927" s="8"/>
      <c r="D52927" s="8"/>
    </row>
    <row r="52928" spans="1:4" ht="15.75" customHeight="1">
      <c r="A52928" s="8"/>
      <c r="B52928" s="12"/>
      <c r="C52928" s="8"/>
      <c r="D52928" s="8"/>
    </row>
    <row r="52929" spans="1:4" ht="15.75" customHeight="1">
      <c r="A52929" s="8"/>
      <c r="B52929" s="12"/>
      <c r="C52929" s="8"/>
      <c r="D52929" s="8"/>
    </row>
    <row r="52930" spans="1:4" ht="15.75" customHeight="1">
      <c r="A52930" s="8"/>
      <c r="B52930" s="12"/>
      <c r="C52930" s="8"/>
      <c r="D52930" s="8"/>
    </row>
    <row r="52931" spans="1:4" ht="15.75" customHeight="1">
      <c r="A52931" s="8"/>
      <c r="B52931" s="12"/>
      <c r="C52931" s="8"/>
      <c r="D52931" s="8"/>
    </row>
    <row r="52932" spans="1:4" ht="15.75" customHeight="1">
      <c r="A52932" s="8"/>
      <c r="B52932" s="12"/>
      <c r="C52932" s="8"/>
      <c r="D52932" s="8"/>
    </row>
    <row r="52933" spans="1:4" ht="15.75" customHeight="1">
      <c r="A52933" s="8"/>
      <c r="B52933" s="12"/>
      <c r="C52933" s="8"/>
      <c r="D52933" s="8"/>
    </row>
    <row r="52934" spans="1:4" ht="15.75" customHeight="1">
      <c r="A52934" s="8"/>
      <c r="B52934" s="12"/>
      <c r="C52934" s="8"/>
      <c r="D52934" s="8"/>
    </row>
    <row r="52935" spans="1:4" ht="15.75" customHeight="1">
      <c r="A52935" s="8"/>
      <c r="B52935" s="12"/>
      <c r="C52935" s="8"/>
      <c r="D52935" s="8"/>
    </row>
    <row r="52936" spans="1:4" ht="15.75" customHeight="1">
      <c r="A52936" s="8"/>
      <c r="B52936" s="12"/>
      <c r="C52936" s="8"/>
      <c r="D52936" s="8"/>
    </row>
    <row r="52937" spans="1:4" ht="15.75" customHeight="1">
      <c r="A52937" s="8"/>
      <c r="B52937" s="12"/>
      <c r="C52937" s="8"/>
      <c r="D52937" s="8"/>
    </row>
    <row r="52938" spans="1:4" ht="15.75" customHeight="1">
      <c r="A52938" s="8"/>
      <c r="B52938" s="12"/>
      <c r="C52938" s="8"/>
      <c r="D52938" s="8"/>
    </row>
    <row r="52939" spans="1:4" ht="15.75" customHeight="1">
      <c r="A52939" s="8"/>
      <c r="B52939" s="12"/>
      <c r="C52939" s="8"/>
      <c r="D52939" s="8"/>
    </row>
    <row r="52940" spans="1:4" ht="15.75" customHeight="1">
      <c r="A52940" s="8"/>
      <c r="B52940" s="12"/>
      <c r="C52940" s="8"/>
      <c r="D52940" s="8"/>
    </row>
    <row r="52941" spans="1:4" ht="15.75" customHeight="1">
      <c r="A52941" s="8"/>
      <c r="B52941" s="12"/>
      <c r="C52941" s="8"/>
      <c r="D52941" s="8"/>
    </row>
    <row r="52942" spans="1:4" ht="15.75" customHeight="1">
      <c r="A52942" s="8"/>
      <c r="B52942" s="12"/>
      <c r="C52942" s="8"/>
      <c r="D52942" s="8"/>
    </row>
    <row r="52943" spans="1:4" ht="15.75" customHeight="1">
      <c r="A52943" s="8"/>
      <c r="B52943" s="12"/>
      <c r="C52943" s="8"/>
      <c r="D52943" s="8"/>
    </row>
    <row r="52944" spans="1:4" ht="15.75" customHeight="1">
      <c r="A52944" s="8"/>
      <c r="B52944" s="12"/>
      <c r="C52944" s="8"/>
      <c r="D52944" s="8"/>
    </row>
    <row r="52945" spans="1:4" ht="15.75" customHeight="1">
      <c r="A52945" s="8"/>
      <c r="B52945" s="12"/>
      <c r="C52945" s="8"/>
      <c r="D52945" s="8"/>
    </row>
    <row r="52946" spans="1:4" ht="15.75" customHeight="1">
      <c r="A52946" s="8"/>
      <c r="B52946" s="12"/>
      <c r="C52946" s="8"/>
      <c r="D52946" s="8"/>
    </row>
    <row r="52947" spans="1:4" ht="15.75" customHeight="1">
      <c r="A52947" s="8"/>
      <c r="B52947" s="12"/>
      <c r="C52947" s="8"/>
      <c r="D52947" s="8"/>
    </row>
    <row r="52948" spans="1:4" ht="15.75" customHeight="1">
      <c r="A52948" s="8"/>
      <c r="B52948" s="12"/>
      <c r="C52948" s="8"/>
      <c r="D52948" s="8"/>
    </row>
    <row r="52949" spans="1:4" ht="15.75" customHeight="1">
      <c r="A52949" s="8"/>
      <c r="B52949" s="12"/>
      <c r="C52949" s="8"/>
      <c r="D52949" s="8"/>
    </row>
    <row r="52950" spans="1:4" ht="15.75" customHeight="1">
      <c r="A52950" s="8"/>
      <c r="B52950" s="12"/>
      <c r="C52950" s="8"/>
      <c r="D52950" s="8"/>
    </row>
    <row r="52951" spans="1:4" ht="15.75" customHeight="1">
      <c r="A52951" s="8"/>
      <c r="B52951" s="12"/>
      <c r="C52951" s="8"/>
      <c r="D52951" s="8"/>
    </row>
    <row r="52952" spans="1:4" ht="15.75" customHeight="1">
      <c r="A52952" s="8"/>
      <c r="B52952" s="12"/>
      <c r="C52952" s="8"/>
      <c r="D52952" s="8"/>
    </row>
    <row r="52953" spans="1:4" ht="15.75" customHeight="1">
      <c r="A52953" s="8"/>
      <c r="B52953" s="12"/>
      <c r="C52953" s="8"/>
      <c r="D52953" s="8"/>
    </row>
    <row r="52954" spans="1:4" ht="15.75" customHeight="1">
      <c r="A52954" s="8"/>
      <c r="B52954" s="12"/>
      <c r="C52954" s="8"/>
      <c r="D52954" s="8"/>
    </row>
    <row r="52955" spans="1:4" ht="15.75" customHeight="1">
      <c r="A52955" s="8"/>
      <c r="B52955" s="12"/>
      <c r="C52955" s="8"/>
      <c r="D52955" s="8"/>
    </row>
    <row r="52956" spans="1:4" ht="15.75" customHeight="1">
      <c r="A52956" s="8"/>
      <c r="B52956" s="12"/>
      <c r="C52956" s="8"/>
      <c r="D52956" s="8"/>
    </row>
    <row r="52957" spans="1:4" ht="15.75" customHeight="1">
      <c r="A52957" s="8"/>
      <c r="B52957" s="12"/>
      <c r="C52957" s="8"/>
      <c r="D52957" s="8"/>
    </row>
    <row r="52958" spans="1:4" ht="15.75" customHeight="1">
      <c r="A52958" s="8"/>
      <c r="B52958" s="12"/>
      <c r="C52958" s="8"/>
      <c r="D52958" s="8"/>
    </row>
    <row r="52959" spans="1:4" ht="15.75" customHeight="1">
      <c r="A52959" s="8"/>
      <c r="B52959" s="12"/>
      <c r="C52959" s="8"/>
      <c r="D52959" s="8"/>
    </row>
    <row r="52960" spans="1:4" ht="15.75" customHeight="1">
      <c r="A52960" s="8"/>
      <c r="B52960" s="12"/>
      <c r="C52960" s="8"/>
      <c r="D52960" s="8"/>
    </row>
    <row r="52961" spans="1:4" ht="15.75" customHeight="1">
      <c r="A52961" s="8"/>
      <c r="B52961" s="12"/>
      <c r="C52961" s="8"/>
      <c r="D52961" s="8"/>
    </row>
    <row r="52962" spans="1:4" ht="15.75" customHeight="1">
      <c r="A52962" s="8"/>
      <c r="B52962" s="12"/>
      <c r="C52962" s="8"/>
      <c r="D52962" s="8"/>
    </row>
    <row r="52963" spans="1:4" ht="15.75" customHeight="1">
      <c r="A52963" s="8"/>
      <c r="B52963" s="12"/>
      <c r="C52963" s="8"/>
      <c r="D52963" s="8"/>
    </row>
    <row r="52964" spans="1:4" ht="15.75" customHeight="1">
      <c r="A52964" s="8"/>
      <c r="B52964" s="12"/>
      <c r="C52964" s="8"/>
      <c r="D52964" s="8"/>
    </row>
    <row r="52965" spans="1:4" ht="15.75" customHeight="1">
      <c r="A52965" s="8"/>
      <c r="B52965" s="12"/>
      <c r="C52965" s="8"/>
      <c r="D52965" s="8"/>
    </row>
    <row r="52966" spans="1:4" ht="15.75" customHeight="1">
      <c r="A52966" s="8"/>
      <c r="B52966" s="12"/>
      <c r="C52966" s="8"/>
      <c r="D52966" s="8"/>
    </row>
    <row r="52967" spans="1:4" ht="15.75" customHeight="1">
      <c r="A52967" s="8"/>
      <c r="B52967" s="12"/>
      <c r="C52967" s="8"/>
      <c r="D52967" s="8"/>
    </row>
    <row r="52968" spans="1:4" ht="15.75" customHeight="1">
      <c r="A52968" s="8"/>
      <c r="B52968" s="12"/>
      <c r="C52968" s="8"/>
      <c r="D52968" s="8"/>
    </row>
    <row r="52969" spans="1:4" ht="15.75" customHeight="1">
      <c r="A52969" s="8"/>
      <c r="B52969" s="12"/>
      <c r="C52969" s="8"/>
      <c r="D52969" s="8"/>
    </row>
    <row r="52970" spans="1:4" ht="15.75" customHeight="1">
      <c r="A52970" s="8"/>
      <c r="B52970" s="12"/>
      <c r="C52970" s="8"/>
      <c r="D52970" s="8"/>
    </row>
    <row r="52971" spans="1:4" ht="15.75" customHeight="1">
      <c r="A52971" s="8"/>
      <c r="B52971" s="12"/>
      <c r="C52971" s="8"/>
      <c r="D52971" s="8"/>
    </row>
    <row r="52972" spans="1:4" ht="15.75" customHeight="1">
      <c r="A52972" s="8"/>
      <c r="B52972" s="12"/>
      <c r="C52972" s="8"/>
      <c r="D52972" s="8"/>
    </row>
    <row r="52973" spans="1:4" ht="15.75" customHeight="1">
      <c r="A52973" s="8"/>
      <c r="B52973" s="12"/>
      <c r="C52973" s="8"/>
      <c r="D52973" s="8"/>
    </row>
    <row r="52974" spans="1:4" ht="15.75" customHeight="1">
      <c r="A52974" s="8"/>
      <c r="B52974" s="12"/>
      <c r="C52974" s="8"/>
      <c r="D52974" s="8"/>
    </row>
    <row r="52975" spans="1:4" ht="15.75" customHeight="1">
      <c r="A52975" s="8"/>
      <c r="B52975" s="12"/>
      <c r="C52975" s="8"/>
      <c r="D52975" s="8"/>
    </row>
    <row r="52976" spans="1:4" ht="15.75" customHeight="1">
      <c r="A52976" s="8"/>
      <c r="B52976" s="12"/>
      <c r="C52976" s="8"/>
      <c r="D52976" s="8"/>
    </row>
    <row r="52977" spans="1:4" ht="15.75" customHeight="1">
      <c r="A52977" s="8"/>
      <c r="B52977" s="12"/>
      <c r="C52977" s="8"/>
      <c r="D52977" s="8"/>
    </row>
    <row r="52978" spans="1:4" ht="15.75" customHeight="1">
      <c r="A52978" s="8"/>
      <c r="B52978" s="12"/>
      <c r="C52978" s="8"/>
      <c r="D52978" s="8"/>
    </row>
    <row r="52979" spans="1:4" ht="15.75" customHeight="1">
      <c r="A52979" s="8"/>
      <c r="B52979" s="12"/>
      <c r="C52979" s="8"/>
      <c r="D52979" s="8"/>
    </row>
    <row r="52980" spans="1:4" ht="15.75" customHeight="1">
      <c r="A52980" s="8"/>
      <c r="B52980" s="12"/>
      <c r="C52980" s="8"/>
      <c r="D52980" s="8"/>
    </row>
    <row r="52981" spans="1:4" ht="15.75" customHeight="1">
      <c r="A52981" s="8"/>
      <c r="B52981" s="12"/>
      <c r="C52981" s="8"/>
      <c r="D52981" s="8"/>
    </row>
    <row r="52982" spans="1:4" ht="15.75" customHeight="1">
      <c r="A52982" s="8"/>
      <c r="B52982" s="12"/>
      <c r="C52982" s="8"/>
      <c r="D52982" s="8"/>
    </row>
    <row r="52983" spans="1:4" ht="15.75" customHeight="1">
      <c r="A52983" s="8"/>
      <c r="B52983" s="12"/>
      <c r="C52983" s="8"/>
      <c r="D52983" s="8"/>
    </row>
    <row r="52984" spans="1:4" ht="15.75" customHeight="1">
      <c r="A52984" s="8"/>
      <c r="B52984" s="12"/>
      <c r="C52984" s="8"/>
      <c r="D52984" s="8"/>
    </row>
    <row r="52985" spans="1:4" ht="15.75" customHeight="1">
      <c r="A52985" s="8"/>
      <c r="B52985" s="12"/>
      <c r="C52985" s="8"/>
      <c r="D52985" s="8"/>
    </row>
    <row r="52986" spans="1:4" ht="15.75" customHeight="1">
      <c r="A52986" s="8"/>
      <c r="B52986" s="12"/>
      <c r="C52986" s="8"/>
      <c r="D52986" s="8"/>
    </row>
    <row r="52987" spans="1:4" ht="15.75" customHeight="1">
      <c r="A52987" s="8"/>
      <c r="B52987" s="12"/>
      <c r="C52987" s="8"/>
      <c r="D52987" s="8"/>
    </row>
    <row r="52988" spans="1:4" ht="15.75" customHeight="1">
      <c r="A52988" s="8"/>
      <c r="B52988" s="12"/>
      <c r="C52988" s="8"/>
      <c r="D52988" s="8"/>
    </row>
    <row r="52989" spans="1:4" ht="15.75" customHeight="1">
      <c r="A52989" s="8"/>
      <c r="B52989" s="12"/>
      <c r="C52989" s="8"/>
      <c r="D52989" s="8"/>
    </row>
    <row r="52990" spans="1:4" ht="15.75" customHeight="1">
      <c r="A52990" s="8"/>
      <c r="B52990" s="12"/>
      <c r="C52990" s="8"/>
      <c r="D52990" s="8"/>
    </row>
    <row r="52991" spans="1:4" ht="15.75" customHeight="1">
      <c r="A52991" s="8"/>
      <c r="B52991" s="12"/>
      <c r="C52991" s="8"/>
      <c r="D52991" s="8"/>
    </row>
    <row r="52992" spans="1:4" ht="15.75" customHeight="1">
      <c r="A52992" s="8"/>
      <c r="B52992" s="12"/>
      <c r="C52992" s="8"/>
      <c r="D52992" s="8"/>
    </row>
    <row r="52993" spans="1:4" ht="15.75" customHeight="1">
      <c r="A52993" s="8"/>
      <c r="B52993" s="12"/>
      <c r="C52993" s="8"/>
      <c r="D52993" s="8"/>
    </row>
    <row r="52994" spans="1:4" ht="15.75" customHeight="1">
      <c r="A52994" s="8"/>
      <c r="B52994" s="12"/>
      <c r="C52994" s="8"/>
      <c r="D52994" s="8"/>
    </row>
    <row r="52995" spans="1:4" ht="15.75" customHeight="1">
      <c r="A52995" s="8"/>
      <c r="B52995" s="12"/>
      <c r="C52995" s="8"/>
      <c r="D52995" s="8"/>
    </row>
    <row r="52996" spans="1:4" ht="15.75" customHeight="1">
      <c r="A52996" s="8"/>
      <c r="B52996" s="12"/>
      <c r="C52996" s="8"/>
      <c r="D52996" s="8"/>
    </row>
    <row r="52997" spans="1:4" ht="15.75" customHeight="1">
      <c r="A52997" s="8"/>
      <c r="B52997" s="12"/>
      <c r="C52997" s="8"/>
      <c r="D52997" s="8"/>
    </row>
    <row r="52998" spans="1:4" ht="15.75" customHeight="1">
      <c r="A52998" s="8"/>
      <c r="B52998" s="12"/>
      <c r="C52998" s="8"/>
      <c r="D52998" s="8"/>
    </row>
    <row r="52999" spans="1:4" ht="15.75" customHeight="1">
      <c r="A52999" s="8"/>
      <c r="B52999" s="12"/>
      <c r="C52999" s="8"/>
      <c r="D52999" s="8"/>
    </row>
    <row r="53000" spans="1:4" ht="15.75" customHeight="1">
      <c r="A53000" s="8"/>
      <c r="B53000" s="12"/>
      <c r="C53000" s="8"/>
      <c r="D53000" s="8"/>
    </row>
    <row r="53001" spans="1:4" ht="15.75" customHeight="1">
      <c r="A53001" s="8"/>
      <c r="B53001" s="12"/>
      <c r="C53001" s="8"/>
      <c r="D53001" s="8"/>
    </row>
    <row r="53002" spans="1:4" ht="15.75" customHeight="1">
      <c r="A53002" s="8"/>
      <c r="B53002" s="12"/>
      <c r="C53002" s="8"/>
      <c r="D53002" s="8"/>
    </row>
    <row r="53003" spans="1:4" ht="15.75" customHeight="1">
      <c r="A53003" s="8"/>
      <c r="B53003" s="12"/>
      <c r="C53003" s="8"/>
      <c r="D53003" s="8"/>
    </row>
    <row r="53004" spans="1:4" ht="15.75" customHeight="1">
      <c r="A53004" s="8"/>
      <c r="B53004" s="12"/>
      <c r="C53004" s="8"/>
      <c r="D53004" s="8"/>
    </row>
    <row r="53005" spans="1:4" ht="15.75" customHeight="1">
      <c r="A53005" s="8"/>
      <c r="B53005" s="12"/>
      <c r="C53005" s="8"/>
      <c r="D53005" s="8"/>
    </row>
    <row r="53006" spans="1:4" ht="15.75" customHeight="1">
      <c r="A53006" s="8"/>
      <c r="B53006" s="12"/>
      <c r="C53006" s="8"/>
      <c r="D53006" s="8"/>
    </row>
    <row r="53007" spans="1:4" ht="15.75" customHeight="1">
      <c r="A53007" s="8"/>
      <c r="B53007" s="12"/>
      <c r="C53007" s="8"/>
      <c r="D53007" s="8"/>
    </row>
    <row r="53008" spans="1:4" ht="15.75" customHeight="1">
      <c r="A53008" s="8"/>
      <c r="B53008" s="12"/>
      <c r="C53008" s="8"/>
      <c r="D53008" s="8"/>
    </row>
    <row r="53009" spans="1:4" ht="15.75" customHeight="1">
      <c r="A53009" s="8"/>
      <c r="B53009" s="12"/>
      <c r="C53009" s="8"/>
      <c r="D53009" s="8"/>
    </row>
    <row r="53010" spans="1:4" ht="15.75" customHeight="1">
      <c r="A53010" s="8"/>
      <c r="B53010" s="12"/>
      <c r="C53010" s="8"/>
      <c r="D53010" s="8"/>
    </row>
    <row r="53011" spans="1:4" ht="15.75" customHeight="1">
      <c r="A53011" s="8"/>
      <c r="B53011" s="12"/>
      <c r="C53011" s="8"/>
      <c r="D53011" s="8"/>
    </row>
    <row r="53012" spans="1:4" ht="15.75" customHeight="1">
      <c r="A53012" s="8"/>
      <c r="B53012" s="12"/>
      <c r="C53012" s="8"/>
      <c r="D53012" s="8"/>
    </row>
    <row r="53013" spans="1:4" ht="15.75" customHeight="1">
      <c r="A53013" s="8"/>
      <c r="B53013" s="12"/>
      <c r="C53013" s="8"/>
      <c r="D53013" s="8"/>
    </row>
    <row r="53014" spans="1:4" ht="15.75" customHeight="1">
      <c r="A53014" s="8"/>
      <c r="B53014" s="12"/>
      <c r="C53014" s="8"/>
      <c r="D53014" s="8"/>
    </row>
    <row r="53015" spans="1:4" ht="15.75" customHeight="1">
      <c r="A53015" s="8"/>
      <c r="B53015" s="12"/>
      <c r="C53015" s="8"/>
      <c r="D53015" s="8"/>
    </row>
    <row r="53016" spans="1:4" ht="15.75" customHeight="1">
      <c r="A53016" s="8"/>
      <c r="B53016" s="12"/>
      <c r="C53016" s="8"/>
      <c r="D53016" s="8"/>
    </row>
    <row r="53017" spans="1:4" ht="15.75" customHeight="1">
      <c r="A53017" s="8"/>
      <c r="B53017" s="12"/>
      <c r="C53017" s="8"/>
      <c r="D53017" s="8"/>
    </row>
    <row r="53018" spans="1:4" ht="15.75" customHeight="1">
      <c r="A53018" s="8"/>
      <c r="B53018" s="12"/>
      <c r="C53018" s="8"/>
      <c r="D53018" s="8"/>
    </row>
    <row r="53019" spans="1:4" ht="15.75" customHeight="1">
      <c r="A53019" s="8"/>
      <c r="B53019" s="12"/>
      <c r="C53019" s="8"/>
      <c r="D53019" s="8"/>
    </row>
    <row r="53020" spans="1:4" ht="15.75" customHeight="1">
      <c r="A53020" s="8"/>
      <c r="B53020" s="12"/>
      <c r="C53020" s="8"/>
      <c r="D53020" s="8"/>
    </row>
    <row r="53021" spans="1:4" ht="15.75" customHeight="1">
      <c r="A53021" s="8"/>
      <c r="B53021" s="12"/>
      <c r="C53021" s="8"/>
      <c r="D53021" s="8"/>
    </row>
    <row r="53022" spans="1:4" ht="15.75" customHeight="1">
      <c r="A53022" s="8"/>
      <c r="B53022" s="12"/>
      <c r="C53022" s="8"/>
      <c r="D53022" s="8"/>
    </row>
    <row r="53023" spans="1:4" ht="15.75" customHeight="1">
      <c r="A53023" s="8"/>
      <c r="B53023" s="12"/>
      <c r="C53023" s="8"/>
      <c r="D53023" s="8"/>
    </row>
    <row r="53024" spans="1:4" ht="15.75" customHeight="1">
      <c r="A53024" s="8"/>
      <c r="B53024" s="12"/>
      <c r="C53024" s="8"/>
      <c r="D53024" s="8"/>
    </row>
    <row r="53025" spans="1:4" ht="15.75" customHeight="1">
      <c r="A53025" s="8"/>
      <c r="B53025" s="12"/>
      <c r="C53025" s="8"/>
      <c r="D53025" s="8"/>
    </row>
    <row r="53026" spans="1:4" ht="15.75" customHeight="1">
      <c r="A53026" s="8"/>
      <c r="B53026" s="12"/>
      <c r="C53026" s="8"/>
      <c r="D53026" s="8"/>
    </row>
    <row r="53027" spans="1:4" ht="15.75" customHeight="1">
      <c r="A53027" s="8"/>
      <c r="B53027" s="12"/>
      <c r="C53027" s="8"/>
      <c r="D53027" s="8"/>
    </row>
    <row r="53028" spans="1:4" ht="15.75" customHeight="1">
      <c r="A53028" s="8"/>
      <c r="B53028" s="12"/>
      <c r="C53028" s="8"/>
      <c r="D53028" s="8"/>
    </row>
    <row r="53029" spans="1:4" ht="15.75" customHeight="1">
      <c r="A53029" s="8"/>
      <c r="B53029" s="12"/>
      <c r="C53029" s="8"/>
      <c r="D53029" s="8"/>
    </row>
    <row r="53030" spans="1:4" ht="15.75" customHeight="1">
      <c r="A53030" s="8"/>
      <c r="B53030" s="12"/>
      <c r="C53030" s="8"/>
      <c r="D53030" s="8"/>
    </row>
    <row r="53031" spans="1:4" ht="15.75" customHeight="1">
      <c r="A53031" s="8"/>
      <c r="B53031" s="12"/>
      <c r="C53031" s="8"/>
      <c r="D53031" s="8"/>
    </row>
    <row r="53032" spans="1:4" ht="15.75" customHeight="1">
      <c r="A53032" s="8"/>
      <c r="B53032" s="12"/>
      <c r="C53032" s="8"/>
      <c r="D53032" s="8"/>
    </row>
    <row r="53033" spans="1:4" ht="15.75" customHeight="1">
      <c r="A53033" s="8"/>
      <c r="B53033" s="12"/>
      <c r="C53033" s="8"/>
      <c r="D53033" s="8"/>
    </row>
    <row r="53034" spans="1:4" ht="15.75" customHeight="1">
      <c r="A53034" s="8"/>
      <c r="B53034" s="12"/>
      <c r="C53034" s="8"/>
      <c r="D53034" s="8"/>
    </row>
    <row r="53035" spans="1:4" ht="15.75" customHeight="1">
      <c r="A53035" s="8"/>
      <c r="B53035" s="12"/>
      <c r="C53035" s="8"/>
      <c r="D53035" s="8"/>
    </row>
    <row r="53036" spans="1:4" ht="15.75" customHeight="1">
      <c r="A53036" s="8"/>
      <c r="B53036" s="12"/>
      <c r="C53036" s="8"/>
      <c r="D53036" s="8"/>
    </row>
    <row r="53037" spans="1:4" ht="15.75" customHeight="1">
      <c r="A53037" s="8"/>
      <c r="B53037" s="12"/>
      <c r="C53037" s="8"/>
      <c r="D53037" s="8"/>
    </row>
    <row r="53038" spans="1:4" ht="15.75" customHeight="1">
      <c r="A53038" s="8"/>
      <c r="B53038" s="12"/>
      <c r="C53038" s="8"/>
      <c r="D53038" s="8"/>
    </row>
    <row r="53039" spans="1:4" ht="15.75" customHeight="1">
      <c r="A53039" s="8"/>
      <c r="B53039" s="12"/>
      <c r="C53039" s="8"/>
      <c r="D53039" s="8"/>
    </row>
    <row r="53040" spans="1:4" ht="15.75" customHeight="1">
      <c r="A53040" s="8"/>
      <c r="B53040" s="12"/>
      <c r="C53040" s="8"/>
      <c r="D53040" s="8"/>
    </row>
    <row r="53041" spans="1:4" ht="15.75" customHeight="1">
      <c r="A53041" s="8"/>
      <c r="B53041" s="12"/>
      <c r="C53041" s="8"/>
      <c r="D53041" s="8"/>
    </row>
    <row r="53042" spans="1:4" ht="15.75" customHeight="1">
      <c r="A53042" s="8"/>
      <c r="B53042" s="12"/>
      <c r="C53042" s="8"/>
      <c r="D53042" s="8"/>
    </row>
    <row r="53043" spans="1:4" ht="15.75" customHeight="1">
      <c r="A53043" s="8"/>
      <c r="B53043" s="12"/>
      <c r="C53043" s="8"/>
      <c r="D53043" s="8"/>
    </row>
    <row r="53044" spans="1:4" ht="15.75" customHeight="1">
      <c r="A53044" s="8"/>
      <c r="B53044" s="12"/>
      <c r="C53044" s="8"/>
      <c r="D53044" s="8"/>
    </row>
    <row r="53045" spans="1:4" ht="15.75" customHeight="1">
      <c r="A53045" s="8"/>
      <c r="B53045" s="12"/>
      <c r="C53045" s="8"/>
      <c r="D53045" s="8"/>
    </row>
    <row r="53046" spans="1:4" ht="15.75" customHeight="1">
      <c r="A53046" s="8"/>
      <c r="B53046" s="12"/>
      <c r="C53046" s="8"/>
      <c r="D53046" s="8"/>
    </row>
    <row r="53047" spans="1:4" ht="15.75" customHeight="1">
      <c r="A53047" s="8"/>
      <c r="B53047" s="12"/>
      <c r="C53047" s="8"/>
      <c r="D53047" s="8"/>
    </row>
    <row r="53048" spans="1:4" ht="15.75" customHeight="1">
      <c r="A53048" s="8"/>
      <c r="B53048" s="12"/>
      <c r="C53048" s="8"/>
      <c r="D53048" s="8"/>
    </row>
    <row r="53049" spans="1:4" ht="15.75" customHeight="1">
      <c r="A53049" s="8"/>
      <c r="B53049" s="12"/>
      <c r="C53049" s="8"/>
      <c r="D53049" s="8"/>
    </row>
    <row r="53050" spans="1:4" ht="15.75" customHeight="1">
      <c r="A53050" s="8"/>
      <c r="B53050" s="12"/>
      <c r="C53050" s="8"/>
      <c r="D53050" s="8"/>
    </row>
    <row r="53051" spans="1:4" ht="15.75" customHeight="1">
      <c r="A53051" s="8"/>
      <c r="B53051" s="12"/>
      <c r="C53051" s="8"/>
      <c r="D53051" s="8"/>
    </row>
    <row r="53052" spans="1:4" ht="15.75" customHeight="1">
      <c r="A53052" s="8"/>
      <c r="B53052" s="12"/>
      <c r="C53052" s="8"/>
      <c r="D53052" s="8"/>
    </row>
    <row r="53053" spans="1:4" ht="15.75" customHeight="1">
      <c r="A53053" s="8"/>
      <c r="B53053" s="12"/>
      <c r="C53053" s="8"/>
      <c r="D53053" s="8"/>
    </row>
    <row r="53054" spans="1:4" ht="15.75" customHeight="1">
      <c r="A53054" s="8"/>
      <c r="B53054" s="12"/>
      <c r="C53054" s="8"/>
      <c r="D53054" s="8"/>
    </row>
    <row r="53055" spans="1:4" ht="15.75" customHeight="1">
      <c r="A53055" s="8"/>
      <c r="B53055" s="12"/>
      <c r="C53055" s="8"/>
      <c r="D53055" s="8"/>
    </row>
    <row r="53056" spans="1:4" ht="15.75" customHeight="1">
      <c r="A53056" s="8"/>
      <c r="B53056" s="12"/>
      <c r="C53056" s="8"/>
      <c r="D53056" s="8"/>
    </row>
    <row r="53057" spans="1:4" ht="15.75" customHeight="1">
      <c r="A53057" s="8"/>
      <c r="B53057" s="12"/>
      <c r="C53057" s="8"/>
      <c r="D53057" s="8"/>
    </row>
    <row r="53058" spans="1:4" ht="15.75" customHeight="1">
      <c r="A53058" s="8"/>
      <c r="B53058" s="12"/>
      <c r="C53058" s="8"/>
      <c r="D53058" s="8"/>
    </row>
    <row r="53059" spans="1:4" ht="15.75" customHeight="1">
      <c r="A53059" s="8"/>
      <c r="B53059" s="12"/>
      <c r="C53059" s="8"/>
      <c r="D53059" s="8"/>
    </row>
    <row r="53060" spans="1:4" ht="15.75" customHeight="1">
      <c r="A53060" s="8"/>
      <c r="B53060" s="12"/>
      <c r="C53060" s="8"/>
      <c r="D53060" s="8"/>
    </row>
    <row r="53061" spans="1:4" ht="15.75" customHeight="1">
      <c r="A53061" s="8"/>
      <c r="B53061" s="12"/>
      <c r="C53061" s="8"/>
      <c r="D53061" s="8"/>
    </row>
    <row r="53062" spans="1:4" ht="15.75" customHeight="1">
      <c r="A53062" s="8"/>
      <c r="B53062" s="12"/>
      <c r="C53062" s="8"/>
      <c r="D53062" s="8"/>
    </row>
    <row r="53063" spans="1:4" ht="15.75" customHeight="1">
      <c r="A53063" s="8"/>
      <c r="B53063" s="12"/>
      <c r="C53063" s="8"/>
      <c r="D53063" s="8"/>
    </row>
    <row r="53064" spans="1:4" ht="15.75" customHeight="1">
      <c r="A53064" s="8"/>
      <c r="B53064" s="12"/>
      <c r="C53064" s="8"/>
      <c r="D53064" s="8"/>
    </row>
    <row r="53065" spans="1:4" ht="15.75" customHeight="1">
      <c r="A53065" s="8"/>
      <c r="B53065" s="12"/>
      <c r="C53065" s="8"/>
      <c r="D53065" s="8"/>
    </row>
    <row r="53066" spans="1:4" ht="15.75" customHeight="1">
      <c r="A53066" s="8"/>
      <c r="B53066" s="12"/>
      <c r="C53066" s="8"/>
      <c r="D53066" s="8"/>
    </row>
    <row r="53067" spans="1:4" ht="15.75" customHeight="1">
      <c r="A53067" s="8"/>
      <c r="B53067" s="12"/>
      <c r="C53067" s="8"/>
      <c r="D53067" s="8"/>
    </row>
    <row r="53068" spans="1:4" ht="15.75" customHeight="1">
      <c r="A53068" s="8"/>
      <c r="B53068" s="12"/>
      <c r="C53068" s="8"/>
      <c r="D53068" s="8"/>
    </row>
    <row r="53069" spans="1:4" ht="15.75" customHeight="1">
      <c r="A53069" s="8"/>
      <c r="B53069" s="12"/>
      <c r="C53069" s="8"/>
      <c r="D53069" s="8"/>
    </row>
    <row r="53070" spans="1:4" ht="15.75" customHeight="1">
      <c r="A53070" s="8"/>
      <c r="B53070" s="12"/>
      <c r="C53070" s="8"/>
      <c r="D53070" s="8"/>
    </row>
    <row r="53071" spans="1:4" ht="15.75" customHeight="1">
      <c r="A53071" s="8"/>
      <c r="B53071" s="12"/>
      <c r="C53071" s="8"/>
      <c r="D53071" s="8"/>
    </row>
    <row r="53072" spans="1:4" ht="15.75" customHeight="1">
      <c r="A53072" s="8"/>
      <c r="B53072" s="12"/>
      <c r="C53072" s="8"/>
      <c r="D53072" s="8"/>
    </row>
    <row r="53073" spans="1:4" ht="15.75" customHeight="1">
      <c r="A53073" s="8"/>
      <c r="B53073" s="12"/>
      <c r="C53073" s="8"/>
      <c r="D53073" s="8"/>
    </row>
    <row r="53074" spans="1:4" ht="15.75" customHeight="1">
      <c r="A53074" s="8"/>
      <c r="B53074" s="12"/>
      <c r="C53074" s="8"/>
      <c r="D53074" s="8"/>
    </row>
    <row r="53075" spans="1:4" ht="15.75" customHeight="1">
      <c r="A53075" s="8"/>
      <c r="B53075" s="12"/>
      <c r="C53075" s="8"/>
      <c r="D53075" s="8"/>
    </row>
    <row r="53076" spans="1:4" ht="15.75" customHeight="1">
      <c r="A53076" s="8"/>
      <c r="B53076" s="12"/>
      <c r="C53076" s="8"/>
      <c r="D53076" s="8"/>
    </row>
    <row r="53077" spans="1:4" ht="15.75" customHeight="1">
      <c r="A53077" s="8"/>
      <c r="B53077" s="12"/>
      <c r="C53077" s="8"/>
      <c r="D53077" s="8"/>
    </row>
    <row r="53078" spans="1:4" ht="15.75" customHeight="1">
      <c r="A53078" s="8"/>
      <c r="B53078" s="12"/>
      <c r="C53078" s="8"/>
      <c r="D53078" s="8"/>
    </row>
    <row r="53079" spans="1:4" ht="15.75" customHeight="1">
      <c r="A53079" s="8"/>
      <c r="B53079" s="12"/>
      <c r="C53079" s="8"/>
      <c r="D53079" s="8"/>
    </row>
    <row r="53080" spans="1:4" ht="15.75" customHeight="1">
      <c r="A53080" s="8"/>
      <c r="B53080" s="12"/>
      <c r="C53080" s="8"/>
      <c r="D53080" s="8"/>
    </row>
    <row r="53081" spans="1:4" ht="15.75" customHeight="1">
      <c r="A53081" s="8"/>
      <c r="B53081" s="12"/>
      <c r="C53081" s="8"/>
      <c r="D53081" s="8"/>
    </row>
    <row r="53082" spans="1:4" ht="15.75" customHeight="1">
      <c r="A53082" s="8"/>
      <c r="B53082" s="12"/>
      <c r="C53082" s="8"/>
      <c r="D53082" s="8"/>
    </row>
    <row r="53083" spans="1:4" ht="15.75" customHeight="1">
      <c r="A53083" s="8"/>
      <c r="B53083" s="12"/>
      <c r="C53083" s="8"/>
      <c r="D53083" s="8"/>
    </row>
    <row r="53084" spans="1:4" ht="15.75" customHeight="1">
      <c r="A53084" s="8"/>
      <c r="B53084" s="12"/>
      <c r="C53084" s="8"/>
      <c r="D53084" s="8"/>
    </row>
    <row r="53085" spans="1:4" ht="15.75" customHeight="1">
      <c r="A53085" s="8"/>
      <c r="B53085" s="12"/>
      <c r="C53085" s="8"/>
      <c r="D53085" s="8"/>
    </row>
    <row r="53086" spans="1:4" ht="15.75" customHeight="1">
      <c r="A53086" s="8"/>
      <c r="B53086" s="12"/>
      <c r="C53086" s="8"/>
      <c r="D53086" s="8"/>
    </row>
    <row r="53087" spans="1:4" ht="15.75" customHeight="1">
      <c r="A53087" s="8"/>
      <c r="B53087" s="12"/>
      <c r="C53087" s="8"/>
      <c r="D53087" s="8"/>
    </row>
    <row r="53088" spans="1:4" ht="15.75" customHeight="1">
      <c r="A53088" s="8"/>
      <c r="B53088" s="12"/>
      <c r="C53088" s="8"/>
      <c r="D53088" s="8"/>
    </row>
    <row r="53089" spans="1:4" ht="15.75" customHeight="1">
      <c r="A53089" s="8"/>
      <c r="B53089" s="12"/>
      <c r="C53089" s="8"/>
      <c r="D53089" s="8"/>
    </row>
    <row r="53090" spans="1:4" ht="15.75" customHeight="1">
      <c r="A53090" s="8"/>
      <c r="B53090" s="12"/>
      <c r="C53090" s="8"/>
      <c r="D53090" s="8"/>
    </row>
    <row r="53091" spans="1:4" ht="15.75" customHeight="1">
      <c r="A53091" s="8"/>
      <c r="B53091" s="12"/>
      <c r="C53091" s="8"/>
      <c r="D53091" s="8"/>
    </row>
    <row r="53092" spans="1:4" ht="15.75" customHeight="1">
      <c r="A53092" s="8"/>
      <c r="B53092" s="12"/>
      <c r="C53092" s="8"/>
      <c r="D53092" s="8"/>
    </row>
    <row r="53093" spans="1:4" ht="15.75" customHeight="1">
      <c r="A53093" s="8"/>
      <c r="B53093" s="12"/>
      <c r="C53093" s="8"/>
      <c r="D53093" s="8"/>
    </row>
    <row r="53094" spans="1:4" ht="15.75" customHeight="1">
      <c r="A53094" s="8"/>
      <c r="B53094" s="12"/>
      <c r="C53094" s="8"/>
      <c r="D53094" s="8"/>
    </row>
    <row r="53095" spans="1:4" ht="15.75" customHeight="1">
      <c r="A53095" s="8"/>
      <c r="B53095" s="12"/>
      <c r="C53095" s="8"/>
      <c r="D53095" s="8"/>
    </row>
    <row r="53096" spans="1:4" ht="15.75" customHeight="1">
      <c r="A53096" s="8"/>
      <c r="B53096" s="12"/>
      <c r="C53096" s="8"/>
      <c r="D53096" s="8"/>
    </row>
    <row r="53097" spans="1:4" ht="15.75" customHeight="1">
      <c r="A53097" s="8"/>
      <c r="B53097" s="12"/>
      <c r="C53097" s="8"/>
      <c r="D53097" s="8"/>
    </row>
    <row r="53098" spans="1:4" ht="15.75" customHeight="1">
      <c r="A53098" s="8"/>
      <c r="B53098" s="12"/>
      <c r="C53098" s="8"/>
      <c r="D53098" s="8"/>
    </row>
    <row r="53099" spans="1:4" ht="15.75" customHeight="1">
      <c r="A53099" s="8"/>
      <c r="B53099" s="12"/>
      <c r="C53099" s="8"/>
      <c r="D53099" s="8"/>
    </row>
    <row r="53100" spans="1:4" ht="15.75" customHeight="1">
      <c r="A53100" s="8"/>
      <c r="B53100" s="12"/>
      <c r="C53100" s="8"/>
      <c r="D53100" s="8"/>
    </row>
    <row r="53101" spans="1:4" ht="15.75" customHeight="1">
      <c r="A53101" s="8"/>
      <c r="B53101" s="12"/>
      <c r="C53101" s="8"/>
      <c r="D53101" s="8"/>
    </row>
    <row r="53102" spans="1:4" ht="15.75" customHeight="1">
      <c r="A53102" s="8"/>
      <c r="B53102" s="12"/>
      <c r="C53102" s="8"/>
      <c r="D53102" s="8"/>
    </row>
    <row r="53103" spans="1:4" ht="15.75" customHeight="1">
      <c r="A53103" s="8"/>
      <c r="B53103" s="12"/>
      <c r="C53103" s="8"/>
      <c r="D53103" s="8"/>
    </row>
    <row r="53104" spans="1:4" ht="15.75" customHeight="1">
      <c r="A53104" s="8"/>
      <c r="B53104" s="12"/>
      <c r="C53104" s="8"/>
      <c r="D53104" s="8"/>
    </row>
    <row r="53105" spans="1:4" ht="15.75" customHeight="1">
      <c r="A53105" s="8"/>
      <c r="B53105" s="12"/>
      <c r="C53105" s="8"/>
      <c r="D53105" s="8"/>
    </row>
    <row r="53106" spans="1:4" ht="15.75" customHeight="1">
      <c r="A53106" s="8"/>
      <c r="B53106" s="12"/>
      <c r="C53106" s="8"/>
      <c r="D53106" s="8"/>
    </row>
    <row r="53107" spans="1:4" ht="15.75" customHeight="1">
      <c r="A53107" s="8"/>
      <c r="B53107" s="12"/>
      <c r="C53107" s="8"/>
      <c r="D53107" s="8"/>
    </row>
    <row r="53108" spans="1:4" ht="15.75" customHeight="1">
      <c r="A53108" s="8"/>
      <c r="B53108" s="12"/>
      <c r="C53108" s="8"/>
      <c r="D53108" s="8"/>
    </row>
    <row r="53109" spans="1:4" ht="15.75" customHeight="1">
      <c r="A53109" s="8"/>
      <c r="B53109" s="12"/>
      <c r="C53109" s="8"/>
      <c r="D53109" s="8"/>
    </row>
    <row r="53110" spans="1:4" ht="15.75" customHeight="1">
      <c r="A53110" s="8"/>
      <c r="B53110" s="12"/>
      <c r="C53110" s="8"/>
      <c r="D53110" s="8"/>
    </row>
    <row r="53111" spans="1:4" ht="15.75" customHeight="1">
      <c r="A53111" s="8"/>
      <c r="B53111" s="12"/>
      <c r="C53111" s="8"/>
      <c r="D53111" s="8"/>
    </row>
    <row r="53112" spans="1:4" ht="15.75" customHeight="1">
      <c r="A53112" s="8"/>
      <c r="B53112" s="12"/>
      <c r="C53112" s="8"/>
      <c r="D53112" s="8"/>
    </row>
    <row r="53113" spans="1:4" ht="15.75" customHeight="1">
      <c r="A53113" s="8"/>
      <c r="B53113" s="12"/>
      <c r="C53113" s="8"/>
      <c r="D53113" s="8"/>
    </row>
    <row r="53114" spans="1:4" ht="15.75" customHeight="1">
      <c r="A53114" s="8"/>
      <c r="B53114" s="12"/>
      <c r="C53114" s="8"/>
      <c r="D53114" s="8"/>
    </row>
    <row r="53115" spans="1:4" ht="15.75" customHeight="1">
      <c r="A53115" s="8"/>
      <c r="B53115" s="12"/>
      <c r="C53115" s="8"/>
      <c r="D53115" s="8"/>
    </row>
    <row r="53116" spans="1:4" ht="15.75" customHeight="1">
      <c r="A53116" s="8"/>
      <c r="B53116" s="12"/>
      <c r="C53116" s="8"/>
      <c r="D53116" s="8"/>
    </row>
    <row r="53117" spans="1:4" ht="15.75" customHeight="1">
      <c r="A53117" s="8"/>
      <c r="B53117" s="12"/>
      <c r="C53117" s="8"/>
      <c r="D53117" s="8"/>
    </row>
    <row r="53118" spans="1:4" ht="15.75" customHeight="1">
      <c r="A53118" s="8"/>
      <c r="B53118" s="12"/>
      <c r="C53118" s="8"/>
      <c r="D53118" s="8"/>
    </row>
    <row r="53119" spans="1:4" ht="15.75" customHeight="1">
      <c r="A53119" s="8"/>
      <c r="B53119" s="12"/>
      <c r="C53119" s="8"/>
      <c r="D53119" s="8"/>
    </row>
    <row r="53120" spans="1:4" ht="15.75" customHeight="1">
      <c r="A53120" s="8"/>
      <c r="B53120" s="12"/>
      <c r="C53120" s="8"/>
      <c r="D53120" s="8"/>
    </row>
    <row r="53121" spans="1:4" ht="15.75" customHeight="1">
      <c r="A53121" s="8"/>
      <c r="B53121" s="12"/>
      <c r="C53121" s="8"/>
      <c r="D53121" s="8"/>
    </row>
    <row r="53122" spans="1:4" ht="15.75" customHeight="1">
      <c r="A53122" s="8"/>
      <c r="B53122" s="12"/>
      <c r="C53122" s="8"/>
      <c r="D53122" s="8"/>
    </row>
    <row r="53123" spans="1:4" ht="15.75" customHeight="1">
      <c r="A53123" s="8"/>
      <c r="B53123" s="12"/>
      <c r="C53123" s="8"/>
      <c r="D53123" s="8"/>
    </row>
    <row r="53124" spans="1:4" ht="15.75" customHeight="1">
      <c r="A53124" s="8"/>
      <c r="B53124" s="12"/>
      <c r="C53124" s="8"/>
      <c r="D53124" s="8"/>
    </row>
    <row r="53125" spans="1:4" ht="15.75" customHeight="1">
      <c r="A53125" s="8"/>
      <c r="B53125" s="12"/>
      <c r="C53125" s="8"/>
      <c r="D53125" s="8"/>
    </row>
    <row r="53126" spans="1:4" ht="15.75" customHeight="1">
      <c r="A53126" s="8"/>
      <c r="B53126" s="12"/>
      <c r="C53126" s="8"/>
      <c r="D53126" s="8"/>
    </row>
    <row r="53127" spans="1:4" ht="15.75" customHeight="1">
      <c r="A53127" s="8"/>
      <c r="B53127" s="12"/>
      <c r="C53127" s="8"/>
      <c r="D53127" s="8"/>
    </row>
    <row r="53128" spans="1:4" ht="15.75" customHeight="1">
      <c r="A53128" s="8"/>
      <c r="B53128" s="12"/>
      <c r="C53128" s="8"/>
      <c r="D53128" s="8"/>
    </row>
    <row r="53129" spans="1:4" ht="15.75" customHeight="1">
      <c r="A53129" s="8"/>
      <c r="B53129" s="12"/>
      <c r="C53129" s="8"/>
      <c r="D53129" s="8"/>
    </row>
    <row r="53130" spans="1:4" ht="15.75" customHeight="1">
      <c r="A53130" s="8"/>
      <c r="B53130" s="12"/>
      <c r="C53130" s="8"/>
      <c r="D53130" s="8"/>
    </row>
    <row r="53131" spans="1:4" ht="15.75" customHeight="1">
      <c r="A53131" s="8"/>
      <c r="B53131" s="12"/>
      <c r="C53131" s="8"/>
      <c r="D53131" s="8"/>
    </row>
    <row r="53132" spans="1:4" ht="15.75" customHeight="1">
      <c r="A53132" s="8"/>
      <c r="B53132" s="12"/>
      <c r="C53132" s="8"/>
      <c r="D53132" s="8"/>
    </row>
    <row r="53133" spans="1:4" ht="15.75" customHeight="1">
      <c r="A53133" s="8"/>
      <c r="B53133" s="12"/>
      <c r="C53133" s="8"/>
      <c r="D53133" s="8"/>
    </row>
    <row r="53134" spans="1:4" ht="15.75" customHeight="1">
      <c r="A53134" s="8"/>
      <c r="B53134" s="12"/>
      <c r="C53134" s="8"/>
      <c r="D53134" s="8"/>
    </row>
    <row r="53135" spans="1:4" ht="15.75" customHeight="1">
      <c r="A53135" s="8"/>
      <c r="B53135" s="12"/>
      <c r="C53135" s="8"/>
      <c r="D53135" s="8"/>
    </row>
    <row r="53136" spans="1:4" ht="15.75" customHeight="1">
      <c r="A53136" s="8"/>
      <c r="B53136" s="12"/>
      <c r="C53136" s="8"/>
      <c r="D53136" s="8"/>
    </row>
    <row r="53137" spans="1:4" ht="15.75" customHeight="1">
      <c r="A53137" s="8"/>
      <c r="B53137" s="12"/>
      <c r="C53137" s="8"/>
      <c r="D53137" s="8"/>
    </row>
    <row r="53138" spans="1:4" ht="15.75" customHeight="1">
      <c r="A53138" s="8"/>
      <c r="B53138" s="12"/>
      <c r="C53138" s="8"/>
      <c r="D53138" s="8"/>
    </row>
    <row r="53139" spans="1:4" ht="15.75" customHeight="1">
      <c r="A53139" s="8"/>
      <c r="B53139" s="12"/>
      <c r="C53139" s="8"/>
      <c r="D53139" s="8"/>
    </row>
    <row r="53140" spans="1:4" ht="15.75" customHeight="1">
      <c r="A53140" s="8"/>
      <c r="B53140" s="12"/>
      <c r="C53140" s="8"/>
      <c r="D53140" s="8"/>
    </row>
    <row r="53141" spans="1:4" ht="15.75" customHeight="1">
      <c r="A53141" s="8"/>
      <c r="B53141" s="12"/>
      <c r="C53141" s="8"/>
      <c r="D53141" s="8"/>
    </row>
    <row r="53142" spans="1:4" ht="15.75" customHeight="1">
      <c r="A53142" s="8"/>
      <c r="B53142" s="12"/>
      <c r="C53142" s="8"/>
      <c r="D53142" s="8"/>
    </row>
    <row r="53143" spans="1:4" ht="15.75" customHeight="1">
      <c r="A53143" s="8"/>
      <c r="B53143" s="12"/>
      <c r="C53143" s="8"/>
      <c r="D53143" s="8"/>
    </row>
    <row r="53144" spans="1:4" ht="15.75" customHeight="1">
      <c r="A53144" s="8"/>
      <c r="B53144" s="12"/>
      <c r="C53144" s="8"/>
      <c r="D53144" s="8"/>
    </row>
    <row r="53145" spans="1:4" ht="15.75" customHeight="1">
      <c r="A53145" s="8"/>
      <c r="B53145" s="12"/>
      <c r="C53145" s="8"/>
      <c r="D53145" s="8"/>
    </row>
    <row r="53146" spans="1:4" ht="15.75" customHeight="1">
      <c r="A53146" s="8"/>
      <c r="B53146" s="12"/>
      <c r="C53146" s="8"/>
      <c r="D53146" s="8"/>
    </row>
    <row r="53147" spans="1:4" ht="15.75" customHeight="1">
      <c r="A53147" s="8"/>
      <c r="B53147" s="12"/>
      <c r="C53147" s="8"/>
      <c r="D53147" s="8"/>
    </row>
    <row r="53148" spans="1:4" ht="15.75" customHeight="1">
      <c r="A53148" s="8"/>
      <c r="B53148" s="12"/>
      <c r="C53148" s="8"/>
      <c r="D53148" s="8"/>
    </row>
    <row r="53149" spans="1:4" ht="15.75" customHeight="1">
      <c r="A53149" s="8"/>
      <c r="B53149" s="12"/>
      <c r="C53149" s="8"/>
      <c r="D53149" s="8"/>
    </row>
    <row r="53150" spans="1:4" ht="15.75" customHeight="1">
      <c r="A53150" s="8"/>
      <c r="B53150" s="12"/>
      <c r="C53150" s="8"/>
      <c r="D53150" s="8"/>
    </row>
    <row r="53151" spans="1:4" ht="15.75" customHeight="1">
      <c r="A53151" s="8"/>
      <c r="B53151" s="12"/>
      <c r="C53151" s="8"/>
      <c r="D53151" s="8"/>
    </row>
    <row r="53152" spans="1:4" ht="15.75" customHeight="1">
      <c r="A53152" s="8"/>
      <c r="B53152" s="12"/>
      <c r="C53152" s="8"/>
      <c r="D53152" s="8"/>
    </row>
    <row r="53153" spans="1:4" ht="15.75" customHeight="1">
      <c r="A53153" s="8"/>
      <c r="B53153" s="12"/>
      <c r="C53153" s="8"/>
      <c r="D53153" s="8"/>
    </row>
    <row r="53154" spans="1:4" ht="15.75" customHeight="1">
      <c r="A53154" s="8"/>
      <c r="B53154" s="12"/>
      <c r="C53154" s="8"/>
      <c r="D53154" s="8"/>
    </row>
    <row r="53155" spans="1:4" ht="15.75" customHeight="1">
      <c r="A53155" s="8"/>
      <c r="B53155" s="12"/>
      <c r="C53155" s="8"/>
      <c r="D53155" s="8"/>
    </row>
    <row r="53156" spans="1:4" ht="15.75" customHeight="1">
      <c r="A53156" s="8"/>
      <c r="B53156" s="12"/>
      <c r="C53156" s="8"/>
      <c r="D53156" s="8"/>
    </row>
    <row r="53157" spans="1:4" ht="15.75" customHeight="1">
      <c r="A53157" s="8"/>
      <c r="B53157" s="12"/>
      <c r="C53157" s="8"/>
      <c r="D53157" s="8"/>
    </row>
    <row r="53158" spans="1:4" ht="15.75" customHeight="1">
      <c r="A53158" s="8"/>
      <c r="B53158" s="12"/>
      <c r="C53158" s="8"/>
      <c r="D53158" s="8"/>
    </row>
    <row r="53159" spans="1:4" ht="15.75" customHeight="1">
      <c r="A53159" s="8"/>
      <c r="B53159" s="12"/>
      <c r="C53159" s="8"/>
      <c r="D53159" s="8"/>
    </row>
    <row r="53160" spans="1:4" ht="15.75" customHeight="1">
      <c r="A53160" s="8"/>
      <c r="B53160" s="12"/>
      <c r="C53160" s="8"/>
      <c r="D53160" s="8"/>
    </row>
    <row r="53161" spans="1:4" ht="15.75" customHeight="1">
      <c r="A53161" s="8"/>
      <c r="B53161" s="12"/>
      <c r="C53161" s="8"/>
      <c r="D53161" s="8"/>
    </row>
    <row r="53162" spans="1:4" ht="15.75" customHeight="1">
      <c r="A53162" s="8"/>
      <c r="B53162" s="12"/>
      <c r="C53162" s="8"/>
      <c r="D53162" s="8"/>
    </row>
    <row r="53163" spans="1:4" ht="15.75" customHeight="1">
      <c r="A53163" s="8"/>
      <c r="B53163" s="12"/>
      <c r="C53163" s="8"/>
      <c r="D53163" s="8"/>
    </row>
    <row r="53164" spans="1:4" ht="15.75" customHeight="1">
      <c r="A53164" s="8"/>
      <c r="B53164" s="12"/>
      <c r="C53164" s="8"/>
      <c r="D53164" s="8"/>
    </row>
    <row r="53165" spans="1:4" ht="15.75" customHeight="1">
      <c r="A53165" s="8"/>
      <c r="B53165" s="12"/>
      <c r="C53165" s="8"/>
      <c r="D53165" s="8"/>
    </row>
    <row r="53166" spans="1:4" ht="15.75" customHeight="1">
      <c r="A53166" s="8"/>
      <c r="B53166" s="12"/>
      <c r="C53166" s="8"/>
      <c r="D53166" s="8"/>
    </row>
    <row r="53167" spans="1:4" ht="15.75" customHeight="1">
      <c r="A53167" s="8"/>
      <c r="B53167" s="12"/>
      <c r="C53167" s="8"/>
      <c r="D53167" s="8"/>
    </row>
    <row r="53168" spans="1:4" ht="15.75" customHeight="1">
      <c r="A53168" s="8"/>
      <c r="B53168" s="12"/>
      <c r="C53168" s="8"/>
      <c r="D53168" s="8"/>
    </row>
    <row r="53169" spans="1:4" ht="15.75" customHeight="1">
      <c r="A53169" s="8"/>
      <c r="B53169" s="12"/>
      <c r="C53169" s="8"/>
      <c r="D53169" s="8"/>
    </row>
    <row r="53170" spans="1:4" ht="15.75" customHeight="1">
      <c r="A53170" s="8"/>
      <c r="B53170" s="12"/>
      <c r="C53170" s="8"/>
      <c r="D53170" s="8"/>
    </row>
    <row r="53171" spans="1:4" ht="15.75" customHeight="1">
      <c r="A53171" s="8"/>
      <c r="B53171" s="12"/>
      <c r="C53171" s="8"/>
      <c r="D53171" s="8"/>
    </row>
    <row r="53172" spans="1:4" ht="15.75" customHeight="1">
      <c r="A53172" s="8"/>
      <c r="B53172" s="12"/>
      <c r="C53172" s="8"/>
      <c r="D53172" s="8"/>
    </row>
    <row r="53173" spans="1:4" ht="15.75" customHeight="1">
      <c r="A53173" s="8"/>
      <c r="B53173" s="12"/>
      <c r="C53173" s="8"/>
      <c r="D53173" s="8"/>
    </row>
    <row r="53174" spans="1:4" ht="15.75" customHeight="1">
      <c r="A53174" s="8"/>
      <c r="B53174" s="12"/>
      <c r="C53174" s="8"/>
      <c r="D53174" s="8"/>
    </row>
    <row r="53175" spans="1:4" ht="15.75" customHeight="1">
      <c r="A53175" s="8"/>
      <c r="B53175" s="12"/>
      <c r="C53175" s="8"/>
      <c r="D53175" s="8"/>
    </row>
    <row r="53176" spans="1:4" ht="15.75" customHeight="1">
      <c r="A53176" s="8"/>
      <c r="B53176" s="12"/>
      <c r="C53176" s="8"/>
      <c r="D53176" s="8"/>
    </row>
    <row r="53177" spans="1:4" ht="15.75" customHeight="1">
      <c r="A53177" s="8"/>
      <c r="B53177" s="12"/>
      <c r="C53177" s="8"/>
      <c r="D53177" s="8"/>
    </row>
    <row r="53178" spans="1:4" ht="15.75" customHeight="1">
      <c r="A53178" s="8"/>
      <c r="B53178" s="12"/>
      <c r="C53178" s="8"/>
      <c r="D53178" s="8"/>
    </row>
    <row r="53179" spans="1:4" ht="15.75" customHeight="1">
      <c r="A53179" s="8"/>
      <c r="B53179" s="12"/>
      <c r="C53179" s="8"/>
      <c r="D53179" s="8"/>
    </row>
    <row r="53180" spans="1:4" ht="15.75" customHeight="1">
      <c r="A53180" s="8"/>
      <c r="B53180" s="12"/>
      <c r="C53180" s="8"/>
      <c r="D53180" s="8"/>
    </row>
    <row r="53181" spans="1:4" ht="15.75" customHeight="1">
      <c r="A53181" s="8"/>
      <c r="B53181" s="12"/>
      <c r="C53181" s="8"/>
      <c r="D53181" s="8"/>
    </row>
    <row r="53182" spans="1:4" ht="15.75" customHeight="1">
      <c r="A53182" s="8"/>
      <c r="B53182" s="12"/>
      <c r="C53182" s="8"/>
      <c r="D53182" s="8"/>
    </row>
    <row r="53183" spans="1:4" ht="15.75" customHeight="1">
      <c r="A53183" s="8"/>
      <c r="B53183" s="12"/>
      <c r="C53183" s="8"/>
      <c r="D53183" s="8"/>
    </row>
    <row r="53184" spans="1:4" ht="15.75" customHeight="1">
      <c r="A53184" s="8"/>
      <c r="B53184" s="12"/>
      <c r="C53184" s="8"/>
      <c r="D53184" s="8"/>
    </row>
    <row r="53185" spans="1:4" ht="15.75" customHeight="1">
      <c r="A53185" s="8"/>
      <c r="B53185" s="12"/>
      <c r="C53185" s="8"/>
      <c r="D53185" s="8"/>
    </row>
    <row r="53186" spans="1:4" ht="15.75" customHeight="1">
      <c r="A53186" s="8"/>
      <c r="B53186" s="12"/>
      <c r="C53186" s="8"/>
      <c r="D53186" s="8"/>
    </row>
    <row r="53187" spans="1:4" ht="15.75" customHeight="1">
      <c r="A53187" s="8"/>
      <c r="B53187" s="12"/>
      <c r="C53187" s="8"/>
      <c r="D53187" s="8"/>
    </row>
    <row r="53188" spans="1:4" ht="15.75" customHeight="1">
      <c r="A53188" s="8"/>
      <c r="B53188" s="12"/>
      <c r="C53188" s="8"/>
      <c r="D53188" s="8"/>
    </row>
    <row r="53189" spans="1:4" ht="15.75" customHeight="1">
      <c r="A53189" s="8"/>
      <c r="B53189" s="12"/>
      <c r="C53189" s="8"/>
      <c r="D53189" s="8"/>
    </row>
    <row r="53190" spans="1:4" ht="15.75" customHeight="1">
      <c r="A53190" s="8"/>
      <c r="B53190" s="12"/>
      <c r="C53190" s="8"/>
      <c r="D53190" s="8"/>
    </row>
    <row r="53191" spans="1:4" ht="15.75" customHeight="1">
      <c r="A53191" s="8"/>
      <c r="B53191" s="12"/>
      <c r="C53191" s="8"/>
      <c r="D53191" s="8"/>
    </row>
    <row r="53192" spans="1:4" ht="15.75" customHeight="1">
      <c r="A53192" s="8"/>
      <c r="B53192" s="12"/>
      <c r="C53192" s="8"/>
      <c r="D53192" s="8"/>
    </row>
    <row r="53193" spans="1:4" ht="15.75" customHeight="1">
      <c r="A53193" s="8"/>
      <c r="B53193" s="12"/>
      <c r="C53193" s="8"/>
      <c r="D53193" s="8"/>
    </row>
    <row r="53194" spans="1:4" ht="15.75" customHeight="1">
      <c r="A53194" s="8"/>
      <c r="B53194" s="12"/>
      <c r="C53194" s="8"/>
      <c r="D53194" s="8"/>
    </row>
    <row r="53195" spans="1:4" ht="15.75" customHeight="1">
      <c r="A53195" s="8"/>
      <c r="B53195" s="12"/>
      <c r="C53195" s="8"/>
      <c r="D53195" s="8"/>
    </row>
    <row r="53196" spans="1:4" ht="15.75" customHeight="1">
      <c r="A53196" s="8"/>
      <c r="B53196" s="12"/>
      <c r="C53196" s="8"/>
      <c r="D53196" s="8"/>
    </row>
    <row r="53197" spans="1:4" ht="15.75" customHeight="1">
      <c r="A53197" s="8"/>
      <c r="B53197" s="12"/>
      <c r="C53197" s="8"/>
      <c r="D53197" s="8"/>
    </row>
    <row r="53198" spans="1:4" ht="15.75" customHeight="1">
      <c r="A53198" s="8"/>
      <c r="B53198" s="12"/>
      <c r="C53198" s="8"/>
      <c r="D53198" s="8"/>
    </row>
    <row r="53199" spans="1:4" ht="15.75" customHeight="1">
      <c r="A53199" s="8"/>
      <c r="B53199" s="12"/>
      <c r="C53199" s="8"/>
      <c r="D53199" s="8"/>
    </row>
    <row r="53200" spans="1:4" ht="15.75" customHeight="1">
      <c r="A53200" s="8"/>
      <c r="B53200" s="12"/>
      <c r="C53200" s="8"/>
      <c r="D53200" s="8"/>
    </row>
    <row r="53201" spans="1:4" ht="15.75" customHeight="1">
      <c r="A53201" s="8"/>
      <c r="B53201" s="12"/>
      <c r="C53201" s="8"/>
      <c r="D53201" s="8"/>
    </row>
    <row r="53202" spans="1:4" ht="15.75" customHeight="1">
      <c r="A53202" s="8"/>
      <c r="B53202" s="12"/>
      <c r="C53202" s="8"/>
      <c r="D53202" s="8"/>
    </row>
    <row r="53203" spans="1:4" ht="15.75" customHeight="1">
      <c r="A53203" s="8"/>
      <c r="B53203" s="12"/>
      <c r="C53203" s="8"/>
      <c r="D53203" s="8"/>
    </row>
    <row r="53204" spans="1:4" ht="15.75" customHeight="1">
      <c r="A53204" s="8"/>
      <c r="B53204" s="12"/>
      <c r="C53204" s="8"/>
      <c r="D53204" s="8"/>
    </row>
    <row r="53205" spans="1:4" ht="15.75" customHeight="1">
      <c r="A53205" s="8"/>
      <c r="B53205" s="12"/>
      <c r="C53205" s="8"/>
      <c r="D53205" s="8"/>
    </row>
    <row r="53206" spans="1:4" ht="15.75" customHeight="1">
      <c r="A53206" s="8"/>
      <c r="B53206" s="12"/>
      <c r="C53206" s="8"/>
      <c r="D53206" s="8"/>
    </row>
    <row r="53207" spans="1:4" ht="15.75" customHeight="1">
      <c r="A53207" s="8"/>
      <c r="B53207" s="12"/>
      <c r="C53207" s="8"/>
      <c r="D53207" s="8"/>
    </row>
    <row r="53208" spans="1:4" ht="15.75" customHeight="1">
      <c r="A53208" s="8"/>
      <c r="B53208" s="12"/>
      <c r="C53208" s="8"/>
      <c r="D53208" s="8"/>
    </row>
    <row r="53209" spans="1:4" ht="15.75" customHeight="1">
      <c r="A53209" s="8"/>
      <c r="B53209" s="12"/>
      <c r="C53209" s="8"/>
      <c r="D53209" s="8"/>
    </row>
    <row r="53210" spans="1:4" ht="15.75" customHeight="1">
      <c r="A53210" s="8"/>
      <c r="B53210" s="12"/>
      <c r="C53210" s="8"/>
      <c r="D53210" s="8"/>
    </row>
    <row r="53211" spans="1:4" ht="15.75" customHeight="1">
      <c r="A53211" s="8"/>
      <c r="B53211" s="12"/>
      <c r="C53211" s="8"/>
      <c r="D53211" s="8"/>
    </row>
    <row r="53212" spans="1:4" ht="15.75" customHeight="1">
      <c r="A53212" s="8"/>
      <c r="B53212" s="12"/>
      <c r="C53212" s="8"/>
      <c r="D53212" s="8"/>
    </row>
    <row r="53213" spans="1:4" ht="15.75" customHeight="1">
      <c r="A53213" s="8"/>
      <c r="B53213" s="12"/>
      <c r="C53213" s="8"/>
      <c r="D53213" s="8"/>
    </row>
    <row r="53214" spans="1:4" ht="15.75" customHeight="1">
      <c r="A53214" s="8"/>
      <c r="B53214" s="12"/>
      <c r="C53214" s="8"/>
      <c r="D53214" s="8"/>
    </row>
    <row r="53215" spans="1:4" ht="15.75" customHeight="1">
      <c r="A53215" s="8"/>
      <c r="B53215" s="12"/>
      <c r="C53215" s="8"/>
      <c r="D53215" s="8"/>
    </row>
    <row r="53216" spans="1:4" ht="15.75" customHeight="1">
      <c r="A53216" s="8"/>
      <c r="B53216" s="12"/>
      <c r="C53216" s="8"/>
      <c r="D53216" s="8"/>
    </row>
    <row r="53217" spans="1:4" ht="15.75" customHeight="1">
      <c r="A53217" s="8"/>
      <c r="B53217" s="12"/>
      <c r="C53217" s="8"/>
      <c r="D53217" s="8"/>
    </row>
    <row r="53218" spans="1:4" ht="15.75" customHeight="1">
      <c r="A53218" s="8"/>
      <c r="B53218" s="12"/>
      <c r="C53218" s="8"/>
      <c r="D53218" s="8"/>
    </row>
    <row r="53219" spans="1:4" ht="15.75" customHeight="1">
      <c r="A53219" s="8"/>
      <c r="B53219" s="12"/>
      <c r="C53219" s="8"/>
      <c r="D53219" s="8"/>
    </row>
    <row r="53220" spans="1:4" ht="15.75" customHeight="1">
      <c r="A53220" s="8"/>
      <c r="B53220" s="12"/>
      <c r="C53220" s="8"/>
      <c r="D53220" s="8"/>
    </row>
    <row r="53221" spans="1:4" ht="15.75" customHeight="1">
      <c r="A53221" s="8"/>
      <c r="B53221" s="12"/>
      <c r="C53221" s="8"/>
      <c r="D53221" s="8"/>
    </row>
    <row r="53222" spans="1:4" ht="15.75" customHeight="1">
      <c r="A53222" s="8"/>
      <c r="B53222" s="12"/>
      <c r="C53222" s="8"/>
      <c r="D53222" s="8"/>
    </row>
    <row r="53223" spans="1:4" ht="15.75" customHeight="1">
      <c r="A53223" s="8"/>
      <c r="B53223" s="12"/>
      <c r="C53223" s="8"/>
      <c r="D53223" s="8"/>
    </row>
    <row r="53224" spans="1:4" ht="15.75" customHeight="1">
      <c r="A53224" s="8"/>
      <c r="B53224" s="12"/>
      <c r="C53224" s="8"/>
      <c r="D53224" s="8"/>
    </row>
    <row r="53225" spans="1:4" ht="15.75" customHeight="1">
      <c r="A53225" s="8"/>
      <c r="B53225" s="12"/>
      <c r="C53225" s="8"/>
      <c r="D53225" s="8"/>
    </row>
    <row r="53226" spans="1:4" ht="15.75" customHeight="1">
      <c r="A53226" s="8"/>
      <c r="B53226" s="12"/>
      <c r="C53226" s="8"/>
      <c r="D53226" s="8"/>
    </row>
    <row r="53227" spans="1:4" ht="15.75" customHeight="1">
      <c r="A53227" s="8"/>
      <c r="B53227" s="12"/>
      <c r="C53227" s="8"/>
      <c r="D53227" s="8"/>
    </row>
    <row r="53228" spans="1:4" ht="15.75" customHeight="1">
      <c r="A53228" s="8"/>
      <c r="B53228" s="12"/>
      <c r="C53228" s="8"/>
      <c r="D53228" s="8"/>
    </row>
    <row r="53229" spans="1:4" ht="15.75" customHeight="1">
      <c r="A53229" s="8"/>
      <c r="B53229" s="12"/>
      <c r="C53229" s="8"/>
      <c r="D53229" s="8"/>
    </row>
    <row r="53230" spans="1:4" ht="15.75" customHeight="1">
      <c r="A53230" s="8"/>
      <c r="B53230" s="12"/>
      <c r="C53230" s="8"/>
      <c r="D53230" s="8"/>
    </row>
    <row r="53231" spans="1:4" ht="15.75" customHeight="1">
      <c r="A53231" s="8"/>
      <c r="B53231" s="12"/>
      <c r="C53231" s="8"/>
      <c r="D53231" s="8"/>
    </row>
    <row r="53232" spans="1:4" ht="15.75" customHeight="1">
      <c r="A53232" s="8"/>
      <c r="B53232" s="12"/>
      <c r="C53232" s="8"/>
      <c r="D53232" s="8"/>
    </row>
    <row r="53233" spans="1:4" ht="15.75" customHeight="1">
      <c r="A53233" s="8"/>
      <c r="B53233" s="12"/>
      <c r="C53233" s="8"/>
      <c r="D53233" s="8"/>
    </row>
    <row r="53234" spans="1:4" ht="15.75" customHeight="1">
      <c r="A53234" s="8"/>
      <c r="B53234" s="12"/>
      <c r="C53234" s="8"/>
      <c r="D53234" s="8"/>
    </row>
    <row r="53235" spans="1:4" ht="15.75" customHeight="1">
      <c r="A53235" s="8"/>
      <c r="B53235" s="12"/>
      <c r="C53235" s="8"/>
      <c r="D53235" s="8"/>
    </row>
    <row r="53236" spans="1:4" ht="15.75" customHeight="1">
      <c r="A53236" s="8"/>
      <c r="B53236" s="12"/>
      <c r="C53236" s="8"/>
      <c r="D53236" s="8"/>
    </row>
    <row r="53237" spans="1:4" ht="15.75" customHeight="1">
      <c r="A53237" s="8"/>
      <c r="B53237" s="12"/>
      <c r="C53237" s="8"/>
      <c r="D53237" s="8"/>
    </row>
    <row r="53238" spans="1:4" ht="15.75" customHeight="1">
      <c r="A53238" s="8"/>
      <c r="B53238" s="12"/>
      <c r="C53238" s="8"/>
      <c r="D53238" s="8"/>
    </row>
    <row r="53239" spans="1:4" ht="15.75" customHeight="1">
      <c r="A53239" s="8"/>
      <c r="B53239" s="12"/>
      <c r="C53239" s="8"/>
      <c r="D53239" s="8"/>
    </row>
    <row r="53240" spans="1:4" ht="15.75" customHeight="1">
      <c r="A53240" s="8"/>
      <c r="B53240" s="12"/>
      <c r="C53240" s="8"/>
      <c r="D53240" s="8"/>
    </row>
    <row r="53241" spans="1:4" ht="15.75" customHeight="1">
      <c r="A53241" s="8"/>
      <c r="B53241" s="12"/>
      <c r="C53241" s="8"/>
      <c r="D53241" s="8"/>
    </row>
    <row r="53242" spans="1:4" ht="15.75" customHeight="1">
      <c r="A53242" s="8"/>
      <c r="B53242" s="12"/>
      <c r="C53242" s="8"/>
      <c r="D53242" s="8"/>
    </row>
    <row r="53243" spans="1:4" ht="15.75" customHeight="1">
      <c r="A53243" s="8"/>
      <c r="B53243" s="12"/>
      <c r="C53243" s="8"/>
      <c r="D53243" s="8"/>
    </row>
    <row r="53244" spans="1:4" ht="15.75" customHeight="1">
      <c r="A53244" s="8"/>
      <c r="B53244" s="12"/>
      <c r="C53244" s="8"/>
      <c r="D53244" s="8"/>
    </row>
    <row r="53245" spans="1:4" ht="15.75" customHeight="1">
      <c r="A53245" s="8"/>
      <c r="B53245" s="12"/>
      <c r="C53245" s="8"/>
      <c r="D53245" s="8"/>
    </row>
    <row r="53246" spans="1:4" ht="15.75" customHeight="1">
      <c r="A53246" s="8"/>
      <c r="B53246" s="12"/>
      <c r="C53246" s="8"/>
      <c r="D53246" s="8"/>
    </row>
    <row r="53247" spans="1:4" ht="15.75" customHeight="1">
      <c r="A53247" s="8"/>
      <c r="B53247" s="12"/>
      <c r="C53247" s="8"/>
      <c r="D53247" s="8"/>
    </row>
    <row r="53248" spans="1:4" ht="15.75" customHeight="1">
      <c r="A53248" s="8"/>
      <c r="B53248" s="12"/>
      <c r="C53248" s="8"/>
      <c r="D53248" s="8"/>
    </row>
    <row r="53249" spans="1:4" ht="15.75" customHeight="1">
      <c r="A53249" s="8"/>
      <c r="B53249" s="12"/>
      <c r="C53249" s="8"/>
      <c r="D53249" s="8"/>
    </row>
    <row r="53250" spans="1:4" ht="15.75" customHeight="1">
      <c r="A53250" s="8"/>
      <c r="B53250" s="12"/>
      <c r="C53250" s="8"/>
      <c r="D53250" s="8"/>
    </row>
    <row r="53251" spans="1:4" ht="15.75" customHeight="1">
      <c r="A53251" s="8"/>
      <c r="B53251" s="12"/>
      <c r="C53251" s="8"/>
      <c r="D53251" s="8"/>
    </row>
    <row r="53252" spans="1:4" ht="15.75" customHeight="1">
      <c r="A53252" s="8"/>
      <c r="B53252" s="12"/>
      <c r="C53252" s="8"/>
      <c r="D53252" s="8"/>
    </row>
    <row r="53253" spans="1:4" ht="15.75" customHeight="1">
      <c r="A53253" s="8"/>
      <c r="B53253" s="12"/>
      <c r="C53253" s="8"/>
      <c r="D53253" s="8"/>
    </row>
    <row r="53254" spans="1:4" ht="15.75" customHeight="1">
      <c r="A53254" s="8"/>
      <c r="B53254" s="12"/>
      <c r="C53254" s="8"/>
      <c r="D53254" s="8"/>
    </row>
    <row r="53255" spans="1:4" ht="15.75" customHeight="1">
      <c r="A53255" s="8"/>
      <c r="B53255" s="12"/>
      <c r="C53255" s="8"/>
      <c r="D53255" s="8"/>
    </row>
    <row r="53256" spans="1:4" ht="15.75" customHeight="1">
      <c r="A53256" s="8"/>
      <c r="B53256" s="12"/>
      <c r="C53256" s="8"/>
      <c r="D53256" s="8"/>
    </row>
    <row r="53257" spans="1:4" ht="15.75" customHeight="1">
      <c r="A53257" s="8"/>
      <c r="B53257" s="12"/>
      <c r="C53257" s="8"/>
      <c r="D53257" s="8"/>
    </row>
    <row r="53258" spans="1:4" ht="15.75" customHeight="1">
      <c r="A53258" s="8"/>
      <c r="B53258" s="12"/>
      <c r="C53258" s="8"/>
      <c r="D53258" s="8"/>
    </row>
    <row r="53259" spans="1:4" ht="15.75" customHeight="1">
      <c r="A53259" s="8"/>
      <c r="B53259" s="12"/>
      <c r="C53259" s="8"/>
      <c r="D53259" s="8"/>
    </row>
    <row r="53260" spans="1:4" ht="15.75" customHeight="1">
      <c r="A53260" s="8"/>
      <c r="B53260" s="12"/>
      <c r="C53260" s="8"/>
      <c r="D53260" s="8"/>
    </row>
    <row r="53261" spans="1:4" ht="15.75" customHeight="1">
      <c r="A53261" s="8"/>
      <c r="B53261" s="12"/>
      <c r="C53261" s="8"/>
      <c r="D53261" s="8"/>
    </row>
    <row r="53262" spans="1:4" ht="15.75" customHeight="1">
      <c r="A53262" s="8"/>
      <c r="B53262" s="12"/>
      <c r="C53262" s="8"/>
      <c r="D53262" s="8"/>
    </row>
    <row r="53263" spans="1:4" ht="15.75" customHeight="1">
      <c r="A53263" s="8"/>
      <c r="B53263" s="12"/>
      <c r="C53263" s="8"/>
      <c r="D53263" s="8"/>
    </row>
    <row r="53264" spans="1:4" ht="15.75" customHeight="1">
      <c r="A53264" s="8"/>
      <c r="B53264" s="12"/>
      <c r="C53264" s="8"/>
      <c r="D53264" s="8"/>
    </row>
    <row r="53265" spans="1:4" ht="15.75" customHeight="1">
      <c r="A53265" s="8"/>
      <c r="B53265" s="12"/>
      <c r="C53265" s="8"/>
      <c r="D53265" s="8"/>
    </row>
    <row r="53266" spans="1:4" ht="15.75" customHeight="1">
      <c r="A53266" s="8"/>
      <c r="B53266" s="12"/>
      <c r="C53266" s="8"/>
      <c r="D53266" s="8"/>
    </row>
    <row r="53267" spans="1:4" ht="15.75" customHeight="1">
      <c r="A53267" s="8"/>
      <c r="B53267" s="12"/>
      <c r="C53267" s="8"/>
      <c r="D53267" s="8"/>
    </row>
    <row r="53268" spans="1:4" ht="15.75" customHeight="1">
      <c r="A53268" s="8"/>
      <c r="B53268" s="12"/>
      <c r="C53268" s="8"/>
      <c r="D53268" s="8"/>
    </row>
    <row r="53269" spans="1:4" ht="15.75" customHeight="1">
      <c r="A53269" s="8"/>
      <c r="B53269" s="12"/>
      <c r="C53269" s="8"/>
      <c r="D53269" s="8"/>
    </row>
    <row r="53270" spans="1:4" ht="15.75" customHeight="1">
      <c r="A53270" s="8"/>
      <c r="B53270" s="12"/>
      <c r="C53270" s="8"/>
      <c r="D53270" s="8"/>
    </row>
    <row r="53271" spans="1:4" ht="15.75" customHeight="1">
      <c r="A53271" s="8"/>
      <c r="B53271" s="12"/>
      <c r="C53271" s="8"/>
      <c r="D53271" s="8"/>
    </row>
    <row r="53272" spans="1:4" ht="15.75" customHeight="1">
      <c r="A53272" s="8"/>
      <c r="B53272" s="12"/>
      <c r="C53272" s="8"/>
      <c r="D53272" s="8"/>
    </row>
    <row r="53273" spans="1:4" ht="15.75" customHeight="1">
      <c r="A53273" s="8"/>
      <c r="B53273" s="12"/>
      <c r="C53273" s="8"/>
      <c r="D53273" s="8"/>
    </row>
    <row r="53274" spans="1:4" ht="15.75" customHeight="1">
      <c r="A53274" s="8"/>
      <c r="B53274" s="12"/>
      <c r="C53274" s="8"/>
      <c r="D53274" s="8"/>
    </row>
    <row r="53275" spans="1:4" ht="15.75" customHeight="1">
      <c r="A53275" s="8"/>
      <c r="B53275" s="12"/>
      <c r="C53275" s="8"/>
      <c r="D53275" s="8"/>
    </row>
    <row r="53276" spans="1:4" ht="15.75" customHeight="1">
      <c r="A53276" s="8"/>
      <c r="B53276" s="12"/>
      <c r="C53276" s="8"/>
      <c r="D53276" s="8"/>
    </row>
    <row r="53277" spans="1:4" ht="15.75" customHeight="1">
      <c r="A53277" s="8"/>
      <c r="B53277" s="12"/>
      <c r="C53277" s="8"/>
      <c r="D53277" s="8"/>
    </row>
    <row r="53278" spans="1:4" ht="15.75" customHeight="1">
      <c r="A53278" s="8"/>
      <c r="B53278" s="12"/>
      <c r="C53278" s="8"/>
      <c r="D53278" s="8"/>
    </row>
    <row r="53279" spans="1:4" ht="15.75" customHeight="1">
      <c r="A53279" s="8"/>
      <c r="B53279" s="12"/>
      <c r="C53279" s="8"/>
      <c r="D53279" s="8"/>
    </row>
    <row r="53280" spans="1:4" ht="15.75" customHeight="1">
      <c r="A53280" s="8"/>
      <c r="B53280" s="12"/>
      <c r="C53280" s="8"/>
      <c r="D53280" s="8"/>
    </row>
    <row r="53281" spans="1:4" ht="15.75" customHeight="1">
      <c r="A53281" s="8"/>
      <c r="B53281" s="12"/>
      <c r="C53281" s="8"/>
      <c r="D53281" s="8"/>
    </row>
    <row r="53282" spans="1:4" ht="15.75" customHeight="1">
      <c r="A53282" s="8"/>
      <c r="B53282" s="12"/>
      <c r="C53282" s="8"/>
      <c r="D53282" s="8"/>
    </row>
    <row r="53283" spans="1:4" ht="15.75" customHeight="1">
      <c r="A53283" s="8"/>
      <c r="B53283" s="12"/>
      <c r="C53283" s="8"/>
      <c r="D53283" s="8"/>
    </row>
    <row r="53284" spans="1:4" ht="15.75" customHeight="1">
      <c r="A53284" s="8"/>
      <c r="B53284" s="12"/>
      <c r="C53284" s="8"/>
      <c r="D53284" s="8"/>
    </row>
    <row r="53285" spans="1:4" ht="15.75" customHeight="1">
      <c r="A53285" s="8"/>
      <c r="B53285" s="12"/>
      <c r="C53285" s="8"/>
      <c r="D53285" s="8"/>
    </row>
    <row r="53286" spans="1:4" ht="15.75" customHeight="1">
      <c r="A53286" s="8"/>
      <c r="B53286" s="12"/>
      <c r="C53286" s="8"/>
      <c r="D53286" s="8"/>
    </row>
    <row r="53287" spans="1:4" ht="15.75" customHeight="1">
      <c r="A53287" s="8"/>
      <c r="B53287" s="12"/>
      <c r="C53287" s="8"/>
      <c r="D53287" s="8"/>
    </row>
    <row r="53288" spans="1:4" ht="15.75" customHeight="1">
      <c r="A53288" s="8"/>
      <c r="B53288" s="12"/>
      <c r="C53288" s="8"/>
      <c r="D53288" s="8"/>
    </row>
    <row r="53289" spans="1:4" ht="15.75" customHeight="1">
      <c r="A53289" s="8"/>
      <c r="B53289" s="12"/>
      <c r="C53289" s="8"/>
      <c r="D53289" s="8"/>
    </row>
    <row r="53290" spans="1:4" ht="15.75" customHeight="1">
      <c r="A53290" s="8"/>
      <c r="B53290" s="12"/>
      <c r="C53290" s="8"/>
      <c r="D53290" s="8"/>
    </row>
    <row r="53291" spans="1:4" ht="15.75" customHeight="1">
      <c r="A53291" s="8"/>
      <c r="B53291" s="12"/>
      <c r="C53291" s="8"/>
      <c r="D53291" s="8"/>
    </row>
    <row r="53292" spans="1:4" ht="15.75" customHeight="1">
      <c r="A53292" s="8"/>
      <c r="B53292" s="12"/>
      <c r="C53292" s="8"/>
      <c r="D53292" s="8"/>
    </row>
    <row r="53293" spans="1:4" ht="15.75" customHeight="1">
      <c r="A53293" s="8"/>
      <c r="B53293" s="12"/>
      <c r="C53293" s="8"/>
      <c r="D53293" s="8"/>
    </row>
    <row r="53294" spans="1:4" ht="15.75" customHeight="1">
      <c r="A53294" s="8"/>
      <c r="B53294" s="12"/>
      <c r="C53294" s="8"/>
      <c r="D53294" s="8"/>
    </row>
    <row r="53295" spans="1:4" ht="15.75" customHeight="1">
      <c r="A53295" s="8"/>
      <c r="B53295" s="12"/>
      <c r="C53295" s="8"/>
      <c r="D53295" s="8"/>
    </row>
    <row r="53296" spans="1:4" ht="15.75" customHeight="1">
      <c r="A53296" s="8"/>
      <c r="B53296" s="12"/>
      <c r="C53296" s="8"/>
      <c r="D53296" s="8"/>
    </row>
    <row r="53297" spans="1:4" ht="15.75" customHeight="1">
      <c r="A53297" s="8"/>
      <c r="B53297" s="12"/>
      <c r="C53297" s="8"/>
      <c r="D53297" s="8"/>
    </row>
    <row r="53298" spans="1:4" ht="15.75" customHeight="1">
      <c r="A53298" s="8"/>
      <c r="B53298" s="12"/>
      <c r="C53298" s="8"/>
      <c r="D53298" s="8"/>
    </row>
    <row r="53299" spans="1:4" ht="15.75" customHeight="1">
      <c r="A53299" s="8"/>
      <c r="B53299" s="12"/>
      <c r="C53299" s="8"/>
      <c r="D53299" s="8"/>
    </row>
    <row r="53300" spans="1:4" ht="15.75" customHeight="1">
      <c r="A53300" s="8"/>
      <c r="B53300" s="12"/>
      <c r="C53300" s="8"/>
      <c r="D53300" s="8"/>
    </row>
    <row r="53301" spans="1:4" ht="15.75" customHeight="1">
      <c r="A53301" s="8"/>
      <c r="B53301" s="12"/>
      <c r="C53301" s="8"/>
      <c r="D53301" s="8"/>
    </row>
    <row r="53302" spans="1:4" ht="15.75" customHeight="1">
      <c r="A53302" s="8"/>
      <c r="B53302" s="12"/>
      <c r="C53302" s="8"/>
      <c r="D53302" s="8"/>
    </row>
    <row r="53303" spans="1:4" ht="15.75" customHeight="1">
      <c r="A53303" s="8"/>
      <c r="B53303" s="12"/>
      <c r="C53303" s="8"/>
      <c r="D53303" s="8"/>
    </row>
    <row r="53304" spans="1:4" ht="15.75" customHeight="1">
      <c r="A53304" s="8"/>
      <c r="B53304" s="12"/>
      <c r="C53304" s="8"/>
      <c r="D53304" s="8"/>
    </row>
    <row r="53305" spans="1:4" ht="15.75" customHeight="1">
      <c r="A53305" s="8"/>
      <c r="B53305" s="12"/>
      <c r="C53305" s="8"/>
      <c r="D53305" s="8"/>
    </row>
    <row r="53306" spans="1:4" ht="15.75" customHeight="1">
      <c r="A53306" s="8"/>
      <c r="B53306" s="12"/>
      <c r="C53306" s="8"/>
      <c r="D53306" s="8"/>
    </row>
    <row r="53307" spans="1:4" ht="15.75" customHeight="1">
      <c r="A53307" s="8"/>
      <c r="B53307" s="12"/>
      <c r="C53307" s="8"/>
      <c r="D53307" s="8"/>
    </row>
    <row r="53308" spans="1:4" ht="15.75" customHeight="1">
      <c r="A53308" s="8"/>
      <c r="B53308" s="12"/>
      <c r="C53308" s="8"/>
      <c r="D53308" s="8"/>
    </row>
    <row r="53309" spans="1:4" ht="15.75" customHeight="1">
      <c r="A53309" s="8"/>
      <c r="B53309" s="12"/>
      <c r="C53309" s="8"/>
      <c r="D53309" s="8"/>
    </row>
    <row r="53310" spans="1:4" ht="15.75" customHeight="1">
      <c r="A53310" s="8"/>
      <c r="B53310" s="12"/>
      <c r="C53310" s="8"/>
      <c r="D53310" s="8"/>
    </row>
    <row r="53311" spans="1:4" ht="15.75" customHeight="1">
      <c r="A53311" s="8"/>
      <c r="B53311" s="12"/>
      <c r="C53311" s="8"/>
      <c r="D53311" s="8"/>
    </row>
    <row r="53312" spans="1:4" ht="15.75" customHeight="1">
      <c r="A53312" s="8"/>
      <c r="B53312" s="12"/>
      <c r="C53312" s="8"/>
      <c r="D53312" s="8"/>
    </row>
    <row r="53313" spans="1:4" ht="15.75" customHeight="1">
      <c r="A53313" s="8"/>
      <c r="B53313" s="12"/>
      <c r="C53313" s="8"/>
      <c r="D53313" s="8"/>
    </row>
    <row r="53314" spans="1:4" ht="15.75" customHeight="1">
      <c r="A53314" s="8"/>
      <c r="B53314" s="12"/>
      <c r="C53314" s="8"/>
      <c r="D53314" s="8"/>
    </row>
    <row r="53315" spans="1:4" ht="15.75" customHeight="1">
      <c r="A53315" s="8"/>
      <c r="B53315" s="12"/>
      <c r="C53315" s="8"/>
      <c r="D53315" s="8"/>
    </row>
    <row r="53316" spans="1:4" ht="15.75" customHeight="1">
      <c r="A53316" s="8"/>
      <c r="B53316" s="12"/>
      <c r="C53316" s="8"/>
      <c r="D53316" s="8"/>
    </row>
    <row r="53317" spans="1:4" ht="15.75" customHeight="1">
      <c r="A53317" s="8"/>
      <c r="B53317" s="12"/>
      <c r="C53317" s="8"/>
      <c r="D53317" s="8"/>
    </row>
    <row r="53318" spans="1:4" ht="15.75" customHeight="1">
      <c r="A53318" s="8"/>
      <c r="B53318" s="12"/>
      <c r="C53318" s="8"/>
      <c r="D53318" s="8"/>
    </row>
    <row r="53319" spans="1:4" ht="15.75" customHeight="1">
      <c r="A53319" s="8"/>
      <c r="B53319" s="12"/>
      <c r="C53319" s="8"/>
      <c r="D53319" s="8"/>
    </row>
    <row r="53320" spans="1:4" ht="15.75" customHeight="1">
      <c r="A53320" s="8"/>
      <c r="B53320" s="12"/>
      <c r="C53320" s="8"/>
      <c r="D53320" s="8"/>
    </row>
    <row r="53321" spans="1:4" ht="15.75" customHeight="1">
      <c r="A53321" s="8"/>
      <c r="B53321" s="12"/>
      <c r="C53321" s="8"/>
      <c r="D53321" s="8"/>
    </row>
    <row r="53322" spans="1:4" ht="15.75" customHeight="1">
      <c r="A53322" s="8"/>
      <c r="B53322" s="12"/>
      <c r="C53322" s="8"/>
      <c r="D53322" s="8"/>
    </row>
    <row r="53323" spans="1:4" ht="15.75" customHeight="1">
      <c r="A53323" s="8"/>
      <c r="B53323" s="12"/>
      <c r="C53323" s="8"/>
      <c r="D53323" s="8"/>
    </row>
    <row r="53324" spans="1:4" ht="15.75" customHeight="1">
      <c r="A53324" s="8"/>
      <c r="B53324" s="12"/>
      <c r="C53324" s="8"/>
      <c r="D53324" s="8"/>
    </row>
    <row r="53325" spans="1:4" ht="15.75" customHeight="1">
      <c r="A53325" s="8"/>
      <c r="B53325" s="12"/>
      <c r="C53325" s="8"/>
      <c r="D53325" s="8"/>
    </row>
    <row r="53326" spans="1:4" ht="15.75" customHeight="1">
      <c r="A53326" s="8"/>
      <c r="B53326" s="12"/>
      <c r="C53326" s="8"/>
      <c r="D53326" s="8"/>
    </row>
    <row r="53327" spans="1:4" ht="15.75" customHeight="1">
      <c r="A53327" s="8"/>
      <c r="B53327" s="12"/>
      <c r="C53327" s="8"/>
      <c r="D53327" s="8"/>
    </row>
    <row r="53328" spans="1:4" ht="15.75" customHeight="1">
      <c r="A53328" s="8"/>
      <c r="B53328" s="12"/>
      <c r="C53328" s="8"/>
      <c r="D53328" s="8"/>
    </row>
    <row r="53329" spans="1:4" ht="15.75" customHeight="1">
      <c r="A53329" s="8"/>
      <c r="B53329" s="12"/>
      <c r="C53329" s="8"/>
      <c r="D53329" s="8"/>
    </row>
    <row r="53330" spans="1:4" ht="15.75" customHeight="1">
      <c r="A53330" s="8"/>
      <c r="B53330" s="12"/>
      <c r="C53330" s="8"/>
      <c r="D53330" s="8"/>
    </row>
    <row r="53331" spans="1:4" ht="15.75" customHeight="1">
      <c r="A53331" s="8"/>
      <c r="B53331" s="12"/>
      <c r="C53331" s="8"/>
      <c r="D53331" s="8"/>
    </row>
    <row r="53332" spans="1:4" ht="15.75" customHeight="1">
      <c r="A53332" s="8"/>
      <c r="B53332" s="12"/>
      <c r="C53332" s="8"/>
      <c r="D53332" s="8"/>
    </row>
    <row r="53333" spans="1:4" ht="15.75" customHeight="1">
      <c r="A53333" s="8"/>
      <c r="B53333" s="12"/>
      <c r="C53333" s="8"/>
      <c r="D53333" s="8"/>
    </row>
    <row r="53334" spans="1:4" ht="15.75" customHeight="1">
      <c r="A53334" s="8"/>
      <c r="B53334" s="12"/>
      <c r="C53334" s="8"/>
      <c r="D53334" s="8"/>
    </row>
    <row r="53335" spans="1:4" ht="15.75" customHeight="1">
      <c r="A53335" s="8"/>
      <c r="B53335" s="12"/>
      <c r="C53335" s="8"/>
      <c r="D53335" s="8"/>
    </row>
    <row r="53336" spans="1:4" ht="15.75" customHeight="1">
      <c r="A53336" s="8"/>
      <c r="B53336" s="12"/>
      <c r="C53336" s="8"/>
      <c r="D53336" s="8"/>
    </row>
    <row r="53337" spans="1:4" ht="15.75" customHeight="1">
      <c r="A53337" s="8"/>
      <c r="B53337" s="12"/>
      <c r="C53337" s="8"/>
      <c r="D53337" s="8"/>
    </row>
    <row r="53338" spans="1:4" ht="15.75" customHeight="1">
      <c r="A53338" s="8"/>
      <c r="B53338" s="12"/>
      <c r="C53338" s="8"/>
      <c r="D53338" s="8"/>
    </row>
    <row r="53339" spans="1:4" ht="15.75" customHeight="1">
      <c r="A53339" s="8"/>
      <c r="B53339" s="12"/>
      <c r="C53339" s="8"/>
      <c r="D53339" s="8"/>
    </row>
    <row r="53340" spans="1:4" ht="15.75" customHeight="1">
      <c r="A53340" s="8"/>
      <c r="B53340" s="12"/>
      <c r="C53340" s="8"/>
      <c r="D53340" s="8"/>
    </row>
    <row r="53341" spans="1:4" ht="15.75" customHeight="1">
      <c r="A53341" s="8"/>
      <c r="B53341" s="12"/>
      <c r="C53341" s="8"/>
      <c r="D53341" s="8"/>
    </row>
    <row r="53342" spans="1:4" ht="15.75" customHeight="1">
      <c r="A53342" s="8"/>
      <c r="B53342" s="12"/>
      <c r="C53342" s="8"/>
      <c r="D53342" s="8"/>
    </row>
    <row r="53343" spans="1:4" ht="15.75" customHeight="1">
      <c r="A53343" s="8"/>
      <c r="B53343" s="12"/>
      <c r="C53343" s="8"/>
      <c r="D53343" s="8"/>
    </row>
    <row r="53344" spans="1:4" ht="15.75" customHeight="1">
      <c r="A53344" s="8"/>
      <c r="B53344" s="12"/>
      <c r="C53344" s="8"/>
      <c r="D53344" s="8"/>
    </row>
    <row r="53345" spans="1:4" ht="15.75" customHeight="1">
      <c r="A53345" s="8"/>
      <c r="B53345" s="12"/>
      <c r="C53345" s="8"/>
      <c r="D53345" s="8"/>
    </row>
    <row r="53346" spans="1:4" ht="15.75" customHeight="1">
      <c r="A53346" s="8"/>
      <c r="B53346" s="12"/>
      <c r="C53346" s="8"/>
      <c r="D53346" s="8"/>
    </row>
    <row r="53347" spans="1:4" ht="15.75" customHeight="1">
      <c r="A53347" s="8"/>
      <c r="B53347" s="12"/>
      <c r="C53347" s="8"/>
      <c r="D53347" s="8"/>
    </row>
    <row r="53348" spans="1:4" ht="15.75" customHeight="1">
      <c r="A53348" s="8"/>
      <c r="B53348" s="12"/>
      <c r="C53348" s="8"/>
      <c r="D53348" s="8"/>
    </row>
    <row r="53349" spans="1:4" ht="15.75" customHeight="1">
      <c r="A53349" s="8"/>
      <c r="B53349" s="12"/>
      <c r="C53349" s="8"/>
      <c r="D53349" s="8"/>
    </row>
    <row r="53350" spans="1:4" ht="15.75" customHeight="1">
      <c r="A53350" s="8"/>
      <c r="B53350" s="12"/>
      <c r="C53350" s="8"/>
      <c r="D53350" s="8"/>
    </row>
    <row r="53351" spans="1:4" ht="15.75" customHeight="1">
      <c r="A53351" s="8"/>
      <c r="B53351" s="12"/>
      <c r="C53351" s="8"/>
      <c r="D53351" s="8"/>
    </row>
    <row r="53352" spans="1:4" ht="15.75" customHeight="1">
      <c r="A53352" s="8"/>
      <c r="B53352" s="12"/>
      <c r="C53352" s="8"/>
      <c r="D53352" s="8"/>
    </row>
    <row r="53353" spans="1:4" ht="15.75" customHeight="1">
      <c r="A53353" s="8"/>
      <c r="B53353" s="12"/>
      <c r="C53353" s="8"/>
      <c r="D53353" s="8"/>
    </row>
    <row r="53354" spans="1:4" ht="15.75" customHeight="1">
      <c r="A53354" s="8"/>
      <c r="B53354" s="12"/>
      <c r="C53354" s="8"/>
      <c r="D53354" s="8"/>
    </row>
    <row r="53355" spans="1:4" ht="15.75" customHeight="1">
      <c r="A53355" s="8"/>
      <c r="B53355" s="12"/>
      <c r="C53355" s="8"/>
      <c r="D53355" s="8"/>
    </row>
    <row r="53356" spans="1:4" ht="15.75" customHeight="1">
      <c r="A53356" s="8"/>
      <c r="B53356" s="12"/>
      <c r="C53356" s="8"/>
      <c r="D53356" s="8"/>
    </row>
    <row r="53357" spans="1:4" ht="15.75" customHeight="1">
      <c r="A53357" s="8"/>
      <c r="B53357" s="12"/>
      <c r="C53357" s="8"/>
      <c r="D53357" s="8"/>
    </row>
    <row r="53358" spans="1:4" ht="15.75" customHeight="1">
      <c r="A53358" s="8"/>
      <c r="B53358" s="12"/>
      <c r="C53358" s="8"/>
      <c r="D53358" s="8"/>
    </row>
    <row r="53359" spans="1:4" ht="15.75" customHeight="1">
      <c r="A53359" s="8"/>
      <c r="B53359" s="12"/>
      <c r="C53359" s="8"/>
      <c r="D53359" s="8"/>
    </row>
    <row r="53360" spans="1:4" ht="15.75" customHeight="1">
      <c r="A53360" s="8"/>
      <c r="B53360" s="12"/>
      <c r="C53360" s="8"/>
      <c r="D53360" s="8"/>
    </row>
    <row r="53361" spans="1:4" ht="15.75" customHeight="1">
      <c r="A53361" s="8"/>
      <c r="B53361" s="12"/>
      <c r="C53361" s="8"/>
      <c r="D53361" s="8"/>
    </row>
    <row r="53362" spans="1:4" ht="15.75" customHeight="1">
      <c r="A53362" s="8"/>
      <c r="B53362" s="12"/>
      <c r="C53362" s="8"/>
      <c r="D53362" s="8"/>
    </row>
    <row r="53363" spans="1:4" ht="15.75" customHeight="1">
      <c r="A53363" s="8"/>
      <c r="B53363" s="12"/>
      <c r="C53363" s="8"/>
      <c r="D53363" s="8"/>
    </row>
    <row r="53364" spans="1:4" ht="15.75" customHeight="1">
      <c r="A53364" s="8"/>
      <c r="B53364" s="12"/>
      <c r="C53364" s="8"/>
      <c r="D53364" s="8"/>
    </row>
    <row r="53365" spans="1:4" ht="15.75" customHeight="1">
      <c r="A53365" s="8"/>
      <c r="B53365" s="12"/>
      <c r="C53365" s="8"/>
      <c r="D53365" s="8"/>
    </row>
    <row r="53366" spans="1:4" ht="15.75" customHeight="1">
      <c r="A53366" s="8"/>
      <c r="B53366" s="12"/>
      <c r="C53366" s="8"/>
      <c r="D53366" s="8"/>
    </row>
    <row r="53367" spans="1:4" ht="15.75" customHeight="1">
      <c r="A53367" s="8"/>
      <c r="B53367" s="12"/>
      <c r="C53367" s="8"/>
      <c r="D53367" s="8"/>
    </row>
    <row r="53368" spans="1:4" ht="15.75" customHeight="1">
      <c r="A53368" s="8"/>
      <c r="B53368" s="12"/>
      <c r="C53368" s="8"/>
      <c r="D53368" s="8"/>
    </row>
    <row r="53369" spans="1:4" ht="15.75" customHeight="1">
      <c r="A53369" s="8"/>
      <c r="B53369" s="12"/>
      <c r="C53369" s="8"/>
      <c r="D53369" s="8"/>
    </row>
    <row r="53370" spans="1:4" ht="15.75" customHeight="1">
      <c r="A53370" s="8"/>
      <c r="B53370" s="12"/>
      <c r="C53370" s="8"/>
      <c r="D53370" s="8"/>
    </row>
    <row r="53371" spans="1:4" ht="15.75" customHeight="1">
      <c r="A53371" s="8"/>
      <c r="B53371" s="12"/>
      <c r="C53371" s="8"/>
      <c r="D53371" s="8"/>
    </row>
    <row r="53372" spans="1:4" ht="15.75" customHeight="1">
      <c r="A53372" s="8"/>
      <c r="B53372" s="12"/>
      <c r="C53372" s="8"/>
      <c r="D53372" s="8"/>
    </row>
    <row r="53373" spans="1:4" ht="15.75" customHeight="1">
      <c r="A53373" s="8"/>
      <c r="B53373" s="12"/>
      <c r="C53373" s="8"/>
      <c r="D53373" s="8"/>
    </row>
    <row r="53374" spans="1:4" ht="15.75" customHeight="1">
      <c r="A53374" s="8"/>
      <c r="B53374" s="12"/>
      <c r="C53374" s="8"/>
      <c r="D53374" s="8"/>
    </row>
    <row r="53375" spans="1:4" ht="15.75" customHeight="1">
      <c r="A53375" s="8"/>
      <c r="B53375" s="12"/>
      <c r="C53375" s="8"/>
      <c r="D53375" s="8"/>
    </row>
    <row r="53376" spans="1:4" ht="15.75" customHeight="1">
      <c r="A53376" s="8"/>
      <c r="B53376" s="12"/>
      <c r="C53376" s="8"/>
      <c r="D53376" s="8"/>
    </row>
    <row r="53377" spans="1:4" ht="15.75" customHeight="1">
      <c r="A53377" s="8"/>
      <c r="B53377" s="12"/>
      <c r="C53377" s="8"/>
      <c r="D53377" s="8"/>
    </row>
    <row r="53378" spans="1:4" ht="15.75" customHeight="1">
      <c r="A53378" s="8"/>
      <c r="B53378" s="12"/>
      <c r="C53378" s="8"/>
      <c r="D53378" s="8"/>
    </row>
    <row r="53379" spans="1:4" ht="15.75" customHeight="1">
      <c r="A53379" s="8"/>
      <c r="B53379" s="12"/>
      <c r="C53379" s="8"/>
      <c r="D53379" s="8"/>
    </row>
    <row r="53380" spans="1:4" ht="15.75" customHeight="1">
      <c r="A53380" s="8"/>
      <c r="B53380" s="12"/>
      <c r="C53380" s="8"/>
      <c r="D53380" s="8"/>
    </row>
    <row r="53381" spans="1:4" ht="15.75" customHeight="1">
      <c r="A53381" s="8"/>
      <c r="B53381" s="12"/>
      <c r="C53381" s="8"/>
      <c r="D53381" s="8"/>
    </row>
    <row r="53382" spans="1:4" ht="15.75" customHeight="1">
      <c r="A53382" s="8"/>
      <c r="B53382" s="12"/>
      <c r="C53382" s="8"/>
      <c r="D53382" s="8"/>
    </row>
    <row r="53383" spans="1:4" ht="15.75" customHeight="1">
      <c r="A53383" s="8"/>
      <c r="B53383" s="12"/>
      <c r="C53383" s="8"/>
      <c r="D53383" s="8"/>
    </row>
    <row r="53384" spans="1:4" ht="15.75" customHeight="1">
      <c r="A53384" s="8"/>
      <c r="B53384" s="12"/>
      <c r="C53384" s="8"/>
      <c r="D53384" s="8"/>
    </row>
    <row r="53385" spans="1:4" ht="15.75" customHeight="1">
      <c r="A53385" s="8"/>
      <c r="B53385" s="12"/>
      <c r="C53385" s="8"/>
      <c r="D53385" s="8"/>
    </row>
    <row r="53386" spans="1:4" ht="15.75" customHeight="1">
      <c r="A53386" s="8"/>
      <c r="B53386" s="12"/>
      <c r="C53386" s="8"/>
      <c r="D53386" s="8"/>
    </row>
    <row r="53387" spans="1:4" ht="15.75" customHeight="1">
      <c r="A53387" s="8"/>
      <c r="B53387" s="12"/>
      <c r="C53387" s="8"/>
      <c r="D53387" s="8"/>
    </row>
    <row r="53388" spans="1:4" ht="15.75" customHeight="1">
      <c r="A53388" s="8"/>
      <c r="B53388" s="12"/>
      <c r="C53388" s="8"/>
      <c r="D53388" s="8"/>
    </row>
    <row r="53389" spans="1:4" ht="15.75" customHeight="1">
      <c r="A53389" s="8"/>
      <c r="B53389" s="12"/>
      <c r="C53389" s="8"/>
      <c r="D53389" s="8"/>
    </row>
    <row r="53390" spans="1:4" ht="15.75" customHeight="1">
      <c r="A53390" s="8"/>
      <c r="B53390" s="12"/>
      <c r="C53390" s="8"/>
      <c r="D53390" s="8"/>
    </row>
    <row r="53391" spans="1:4" ht="15.75" customHeight="1">
      <c r="A53391" s="8"/>
      <c r="B53391" s="12"/>
      <c r="C53391" s="8"/>
      <c r="D53391" s="8"/>
    </row>
    <row r="53392" spans="1:4" ht="15.75" customHeight="1">
      <c r="A53392" s="8"/>
      <c r="B53392" s="12"/>
      <c r="C53392" s="8"/>
      <c r="D53392" s="8"/>
    </row>
    <row r="53393" spans="1:4" ht="15.75" customHeight="1">
      <c r="A53393" s="8"/>
      <c r="B53393" s="12"/>
      <c r="C53393" s="8"/>
      <c r="D53393" s="8"/>
    </row>
    <row r="53394" spans="1:4" ht="15.75" customHeight="1">
      <c r="A53394" s="8"/>
      <c r="B53394" s="12"/>
      <c r="C53394" s="8"/>
      <c r="D53394" s="8"/>
    </row>
    <row r="53395" spans="1:4" ht="15.75" customHeight="1">
      <c r="A53395" s="8"/>
      <c r="B53395" s="12"/>
      <c r="C53395" s="8"/>
      <c r="D53395" s="8"/>
    </row>
    <row r="53396" spans="1:4" ht="15.75" customHeight="1">
      <c r="A53396" s="8"/>
      <c r="B53396" s="12"/>
      <c r="C53396" s="8"/>
      <c r="D53396" s="8"/>
    </row>
    <row r="53397" spans="1:4" ht="15.75" customHeight="1">
      <c r="A53397" s="8"/>
      <c r="B53397" s="12"/>
      <c r="C53397" s="8"/>
      <c r="D53397" s="8"/>
    </row>
    <row r="53398" spans="1:4" ht="15.75" customHeight="1">
      <c r="A53398" s="8"/>
      <c r="B53398" s="12"/>
      <c r="C53398" s="8"/>
      <c r="D53398" s="8"/>
    </row>
    <row r="53399" spans="1:4" ht="15.75" customHeight="1">
      <c r="A53399" s="8"/>
      <c r="B53399" s="12"/>
      <c r="C53399" s="8"/>
      <c r="D53399" s="8"/>
    </row>
    <row r="53400" spans="1:4" ht="15.75" customHeight="1">
      <c r="A53400" s="8"/>
      <c r="B53400" s="12"/>
      <c r="C53400" s="8"/>
      <c r="D53400" s="8"/>
    </row>
    <row r="53401" spans="1:4" ht="15.75" customHeight="1">
      <c r="A53401" s="8"/>
      <c r="B53401" s="12"/>
      <c r="C53401" s="8"/>
      <c r="D53401" s="8"/>
    </row>
    <row r="53402" spans="1:4" ht="15.75" customHeight="1">
      <c r="A53402" s="8"/>
      <c r="B53402" s="12"/>
      <c r="C53402" s="8"/>
      <c r="D53402" s="8"/>
    </row>
    <row r="53403" spans="1:4" ht="15.75" customHeight="1">
      <c r="A53403" s="8"/>
      <c r="B53403" s="12"/>
      <c r="C53403" s="8"/>
      <c r="D53403" s="8"/>
    </row>
    <row r="53404" spans="1:4" ht="15.75" customHeight="1">
      <c r="A53404" s="8"/>
      <c r="B53404" s="12"/>
      <c r="C53404" s="8"/>
      <c r="D53404" s="8"/>
    </row>
    <row r="53405" spans="1:4" ht="15.75" customHeight="1">
      <c r="A53405" s="8"/>
      <c r="B53405" s="12"/>
      <c r="C53405" s="8"/>
      <c r="D53405" s="8"/>
    </row>
    <row r="53406" spans="1:4" ht="15.75" customHeight="1">
      <c r="A53406" s="8"/>
      <c r="B53406" s="12"/>
      <c r="C53406" s="8"/>
      <c r="D53406" s="8"/>
    </row>
    <row r="53407" spans="1:4" ht="15.75" customHeight="1">
      <c r="A53407" s="8"/>
      <c r="B53407" s="12"/>
      <c r="C53407" s="8"/>
      <c r="D53407" s="8"/>
    </row>
    <row r="53408" spans="1:4" ht="15.75" customHeight="1">
      <c r="A53408" s="8"/>
      <c r="B53408" s="12"/>
      <c r="C53408" s="8"/>
      <c r="D53408" s="8"/>
    </row>
    <row r="53409" spans="1:4" ht="15.75" customHeight="1">
      <c r="A53409" s="8"/>
      <c r="B53409" s="12"/>
      <c r="C53409" s="8"/>
      <c r="D53409" s="8"/>
    </row>
    <row r="53410" spans="1:4" ht="15.75" customHeight="1">
      <c r="A53410" s="8"/>
      <c r="B53410" s="12"/>
      <c r="C53410" s="8"/>
      <c r="D53410" s="8"/>
    </row>
    <row r="53411" spans="1:4" ht="15.75" customHeight="1">
      <c r="A53411" s="8"/>
      <c r="B53411" s="12"/>
      <c r="C53411" s="8"/>
      <c r="D53411" s="8"/>
    </row>
    <row r="53412" spans="1:4" ht="15.75" customHeight="1">
      <c r="A53412" s="8"/>
      <c r="B53412" s="12"/>
      <c r="C53412" s="8"/>
      <c r="D53412" s="8"/>
    </row>
    <row r="53413" spans="1:4" ht="15.75" customHeight="1">
      <c r="A53413" s="8"/>
      <c r="B53413" s="12"/>
      <c r="C53413" s="8"/>
      <c r="D53413" s="8"/>
    </row>
    <row r="53414" spans="1:4" ht="15.75" customHeight="1">
      <c r="A53414" s="8"/>
      <c r="B53414" s="12"/>
      <c r="C53414" s="8"/>
      <c r="D53414" s="8"/>
    </row>
    <row r="53415" spans="1:4" ht="15.75" customHeight="1">
      <c r="A53415" s="8"/>
      <c r="B53415" s="12"/>
      <c r="C53415" s="8"/>
      <c r="D53415" s="8"/>
    </row>
    <row r="53416" spans="1:4" ht="15.75" customHeight="1">
      <c r="A53416" s="8"/>
      <c r="B53416" s="12"/>
      <c r="C53416" s="8"/>
      <c r="D53416" s="8"/>
    </row>
    <row r="53417" spans="1:4" ht="15.75" customHeight="1">
      <c r="A53417" s="8"/>
      <c r="B53417" s="12"/>
      <c r="C53417" s="8"/>
      <c r="D53417" s="8"/>
    </row>
    <row r="53418" spans="1:4" ht="15.75" customHeight="1">
      <c r="A53418" s="8"/>
      <c r="B53418" s="12"/>
      <c r="C53418" s="8"/>
      <c r="D53418" s="8"/>
    </row>
    <row r="53419" spans="1:4" ht="15.75" customHeight="1">
      <c r="A53419" s="8"/>
      <c r="B53419" s="12"/>
      <c r="C53419" s="8"/>
      <c r="D53419" s="8"/>
    </row>
    <row r="53420" spans="1:4" ht="15.75" customHeight="1">
      <c r="A53420" s="8"/>
      <c r="B53420" s="12"/>
      <c r="C53420" s="8"/>
      <c r="D53420" s="8"/>
    </row>
    <row r="53421" spans="1:4" ht="15.75" customHeight="1">
      <c r="A53421" s="8"/>
      <c r="B53421" s="12"/>
      <c r="C53421" s="8"/>
      <c r="D53421" s="8"/>
    </row>
    <row r="53422" spans="1:4" ht="15.75" customHeight="1">
      <c r="A53422" s="8"/>
      <c r="B53422" s="12"/>
      <c r="C53422" s="8"/>
      <c r="D53422" s="8"/>
    </row>
    <row r="53423" spans="1:4" ht="15.75" customHeight="1">
      <c r="A53423" s="8"/>
      <c r="B53423" s="12"/>
      <c r="C53423" s="8"/>
      <c r="D53423" s="8"/>
    </row>
    <row r="53424" spans="1:4" ht="15.75" customHeight="1">
      <c r="A53424" s="8"/>
      <c r="B53424" s="12"/>
      <c r="C53424" s="8"/>
      <c r="D53424" s="8"/>
    </row>
    <row r="53425" spans="1:4" ht="15.75" customHeight="1">
      <c r="A53425" s="8"/>
      <c r="B53425" s="12"/>
      <c r="C53425" s="8"/>
      <c r="D53425" s="8"/>
    </row>
    <row r="53426" spans="1:4" ht="15.75" customHeight="1">
      <c r="A53426" s="8"/>
      <c r="B53426" s="12"/>
      <c r="C53426" s="8"/>
      <c r="D53426" s="8"/>
    </row>
    <row r="53427" spans="1:4" ht="15.75" customHeight="1">
      <c r="A53427" s="8"/>
      <c r="B53427" s="12"/>
      <c r="C53427" s="8"/>
      <c r="D53427" s="8"/>
    </row>
    <row r="53428" spans="1:4" ht="15.75" customHeight="1">
      <c r="A53428" s="8"/>
      <c r="B53428" s="12"/>
      <c r="C53428" s="8"/>
      <c r="D53428" s="8"/>
    </row>
    <row r="53429" spans="1:4" ht="15.75" customHeight="1">
      <c r="A53429" s="8"/>
      <c r="B53429" s="12"/>
      <c r="C53429" s="8"/>
      <c r="D53429" s="8"/>
    </row>
    <row r="53430" spans="1:4" ht="15.75" customHeight="1">
      <c r="A53430" s="8"/>
      <c r="B53430" s="12"/>
      <c r="C53430" s="8"/>
      <c r="D53430" s="8"/>
    </row>
    <row r="53431" spans="1:4" ht="15.75" customHeight="1">
      <c r="A53431" s="8"/>
      <c r="B53431" s="12"/>
      <c r="C53431" s="8"/>
      <c r="D53431" s="8"/>
    </row>
    <row r="53432" spans="1:4" ht="15.75" customHeight="1">
      <c r="A53432" s="8"/>
      <c r="B53432" s="12"/>
      <c r="C53432" s="8"/>
      <c r="D53432" s="8"/>
    </row>
    <row r="53433" spans="1:4" ht="15.75" customHeight="1">
      <c r="A53433" s="8"/>
      <c r="B53433" s="12"/>
      <c r="C53433" s="8"/>
      <c r="D53433" s="8"/>
    </row>
    <row r="53434" spans="1:4" ht="15.75" customHeight="1">
      <c r="A53434" s="8"/>
      <c r="B53434" s="12"/>
      <c r="C53434" s="8"/>
      <c r="D53434" s="8"/>
    </row>
    <row r="53435" spans="1:4" ht="15.75" customHeight="1">
      <c r="A53435" s="8"/>
      <c r="B53435" s="12"/>
      <c r="C53435" s="8"/>
      <c r="D53435" s="8"/>
    </row>
    <row r="53436" spans="1:4" ht="15.75" customHeight="1">
      <c r="A53436" s="8"/>
      <c r="B53436" s="12"/>
      <c r="C53436" s="8"/>
      <c r="D53436" s="8"/>
    </row>
    <row r="53437" spans="1:4" ht="15.75" customHeight="1">
      <c r="A53437" s="8"/>
      <c r="B53437" s="12"/>
      <c r="C53437" s="8"/>
      <c r="D53437" s="8"/>
    </row>
    <row r="53438" spans="1:4" ht="15.75" customHeight="1">
      <c r="A53438" s="8"/>
      <c r="B53438" s="12"/>
      <c r="C53438" s="8"/>
      <c r="D53438" s="8"/>
    </row>
    <row r="53439" spans="1:4" ht="15.75" customHeight="1">
      <c r="A53439" s="8"/>
      <c r="B53439" s="12"/>
      <c r="C53439" s="8"/>
      <c r="D53439" s="8"/>
    </row>
    <row r="53440" spans="1:4" ht="15.75" customHeight="1">
      <c r="A53440" s="8"/>
      <c r="B53440" s="12"/>
      <c r="C53440" s="8"/>
      <c r="D53440" s="8"/>
    </row>
    <row r="53441" spans="1:4" ht="15.75" customHeight="1">
      <c r="A53441" s="8"/>
      <c r="B53441" s="12"/>
      <c r="C53441" s="8"/>
      <c r="D53441" s="8"/>
    </row>
    <row r="53442" spans="1:4" ht="15.75" customHeight="1">
      <c r="A53442" s="8"/>
      <c r="B53442" s="12"/>
      <c r="C53442" s="8"/>
      <c r="D53442" s="8"/>
    </row>
    <row r="53443" spans="1:4" ht="15.75" customHeight="1">
      <c r="A53443" s="8"/>
      <c r="B53443" s="12"/>
      <c r="C53443" s="8"/>
      <c r="D53443" s="8"/>
    </row>
    <row r="53444" spans="1:4" ht="15.75" customHeight="1">
      <c r="A53444" s="8"/>
      <c r="B53444" s="12"/>
      <c r="C53444" s="8"/>
      <c r="D53444" s="8"/>
    </row>
    <row r="53445" spans="1:4" ht="15.75" customHeight="1">
      <c r="A53445" s="8"/>
      <c r="B53445" s="12"/>
      <c r="C53445" s="8"/>
      <c r="D53445" s="8"/>
    </row>
    <row r="53446" spans="1:4" ht="15.75" customHeight="1">
      <c r="A53446" s="8"/>
      <c r="B53446" s="12"/>
      <c r="C53446" s="8"/>
      <c r="D53446" s="8"/>
    </row>
    <row r="53447" spans="1:4" ht="15.75" customHeight="1">
      <c r="A53447" s="8"/>
      <c r="B53447" s="12"/>
      <c r="C53447" s="8"/>
      <c r="D53447" s="8"/>
    </row>
    <row r="53448" spans="1:4" ht="15.75" customHeight="1">
      <c r="A53448" s="8"/>
      <c r="B53448" s="12"/>
      <c r="C53448" s="8"/>
      <c r="D53448" s="8"/>
    </row>
    <row r="53449" spans="1:4" ht="15.75" customHeight="1">
      <c r="A53449" s="8"/>
      <c r="B53449" s="12"/>
      <c r="C53449" s="8"/>
      <c r="D53449" s="8"/>
    </row>
    <row r="53450" spans="1:4" ht="15.75" customHeight="1">
      <c r="A53450" s="8"/>
      <c r="B53450" s="12"/>
      <c r="C53450" s="8"/>
      <c r="D53450" s="8"/>
    </row>
    <row r="53451" spans="1:4" ht="15.75" customHeight="1">
      <c r="A53451" s="8"/>
      <c r="B53451" s="12"/>
      <c r="C53451" s="8"/>
      <c r="D53451" s="8"/>
    </row>
    <row r="53452" spans="1:4" ht="15.75" customHeight="1">
      <c r="A53452" s="8"/>
      <c r="B53452" s="12"/>
      <c r="C53452" s="8"/>
      <c r="D53452" s="8"/>
    </row>
    <row r="53453" spans="1:4" ht="15.75" customHeight="1">
      <c r="A53453" s="8"/>
      <c r="B53453" s="12"/>
      <c r="C53453" s="8"/>
      <c r="D53453" s="8"/>
    </row>
    <row r="53454" spans="1:4" ht="15.75" customHeight="1">
      <c r="A53454" s="8"/>
      <c r="B53454" s="12"/>
      <c r="C53454" s="8"/>
      <c r="D53454" s="8"/>
    </row>
    <row r="53455" spans="1:4" ht="15.75" customHeight="1">
      <c r="A53455" s="8"/>
      <c r="B53455" s="12"/>
      <c r="C53455" s="8"/>
      <c r="D53455" s="8"/>
    </row>
    <row r="53456" spans="1:4" ht="15.75" customHeight="1">
      <c r="A53456" s="8"/>
      <c r="B53456" s="12"/>
      <c r="C53456" s="8"/>
      <c r="D53456" s="8"/>
    </row>
    <row r="53457" spans="1:4" ht="15.75" customHeight="1">
      <c r="A53457" s="8"/>
      <c r="B53457" s="12"/>
      <c r="C53457" s="8"/>
      <c r="D53457" s="8"/>
    </row>
    <row r="53458" spans="1:4" ht="15.75" customHeight="1">
      <c r="A53458" s="8"/>
      <c r="B53458" s="12"/>
      <c r="C53458" s="8"/>
      <c r="D53458" s="8"/>
    </row>
    <row r="53459" spans="1:4" ht="15.75" customHeight="1">
      <c r="A53459" s="8"/>
      <c r="B53459" s="12"/>
      <c r="C53459" s="8"/>
      <c r="D53459" s="8"/>
    </row>
    <row r="53460" spans="1:4" ht="15.75" customHeight="1">
      <c r="A53460" s="8"/>
      <c r="B53460" s="12"/>
      <c r="C53460" s="8"/>
      <c r="D53460" s="8"/>
    </row>
    <row r="53461" spans="1:4" ht="15.75" customHeight="1">
      <c r="A53461" s="8"/>
      <c r="B53461" s="12"/>
      <c r="C53461" s="8"/>
      <c r="D53461" s="8"/>
    </row>
    <row r="53462" spans="1:4" ht="15.75" customHeight="1">
      <c r="A53462" s="8"/>
      <c r="B53462" s="12"/>
      <c r="C53462" s="8"/>
      <c r="D53462" s="8"/>
    </row>
    <row r="53463" spans="1:4" ht="15.75" customHeight="1">
      <c r="A53463" s="8"/>
      <c r="B53463" s="12"/>
      <c r="C53463" s="8"/>
      <c r="D53463" s="8"/>
    </row>
    <row r="53464" spans="1:4" ht="15.75" customHeight="1">
      <c r="A53464" s="8"/>
      <c r="B53464" s="12"/>
      <c r="C53464" s="8"/>
      <c r="D53464" s="8"/>
    </row>
    <row r="53465" spans="1:4" ht="15.75" customHeight="1">
      <c r="A53465" s="8"/>
      <c r="B53465" s="12"/>
      <c r="C53465" s="8"/>
      <c r="D53465" s="8"/>
    </row>
    <row r="53466" spans="1:4" ht="15.75" customHeight="1">
      <c r="A53466" s="8"/>
      <c r="B53466" s="12"/>
      <c r="C53466" s="8"/>
      <c r="D53466" s="8"/>
    </row>
    <row r="53467" spans="1:4" ht="15.75" customHeight="1">
      <c r="A53467" s="8"/>
      <c r="B53467" s="12"/>
      <c r="C53467" s="8"/>
      <c r="D53467" s="8"/>
    </row>
    <row r="53468" spans="1:4" ht="15.75" customHeight="1">
      <c r="A53468" s="8"/>
      <c r="B53468" s="12"/>
      <c r="C53468" s="8"/>
      <c r="D53468" s="8"/>
    </row>
    <row r="53469" spans="1:4" ht="15.75" customHeight="1">
      <c r="A53469" s="8"/>
      <c r="B53469" s="12"/>
      <c r="C53469" s="8"/>
      <c r="D53469" s="8"/>
    </row>
    <row r="53470" spans="1:4" ht="15.75" customHeight="1">
      <c r="A53470" s="8"/>
      <c r="B53470" s="12"/>
      <c r="C53470" s="8"/>
      <c r="D53470" s="8"/>
    </row>
    <row r="53471" spans="1:4" ht="15.75" customHeight="1">
      <c r="A53471" s="8"/>
      <c r="B53471" s="12"/>
      <c r="C53471" s="8"/>
      <c r="D53471" s="8"/>
    </row>
    <row r="53472" spans="1:4" ht="15.75" customHeight="1">
      <c r="A53472" s="8"/>
      <c r="B53472" s="12"/>
      <c r="C53472" s="8"/>
      <c r="D53472" s="8"/>
    </row>
    <row r="53473" spans="1:4" ht="15.75" customHeight="1">
      <c r="A53473" s="8"/>
      <c r="B53473" s="12"/>
      <c r="C53473" s="8"/>
      <c r="D53473" s="8"/>
    </row>
    <row r="53474" spans="1:4" ht="15.75" customHeight="1">
      <c r="A53474" s="8"/>
      <c r="B53474" s="12"/>
      <c r="C53474" s="8"/>
      <c r="D53474" s="8"/>
    </row>
    <row r="53475" spans="1:4" ht="15.75" customHeight="1">
      <c r="A53475" s="8"/>
      <c r="B53475" s="12"/>
      <c r="C53475" s="8"/>
      <c r="D53475" s="8"/>
    </row>
    <row r="53476" spans="1:4" ht="15.75" customHeight="1">
      <c r="A53476" s="8"/>
      <c r="B53476" s="12"/>
      <c r="C53476" s="8"/>
      <c r="D53476" s="8"/>
    </row>
    <row r="53477" spans="1:4" ht="15.75" customHeight="1">
      <c r="A53477" s="8"/>
      <c r="B53477" s="12"/>
      <c r="C53477" s="8"/>
      <c r="D53477" s="8"/>
    </row>
    <row r="53478" spans="1:4" ht="15.75" customHeight="1">
      <c r="A53478" s="8"/>
      <c r="B53478" s="12"/>
      <c r="C53478" s="8"/>
      <c r="D53478" s="8"/>
    </row>
    <row r="53479" spans="1:4" ht="15.75" customHeight="1">
      <c r="A53479" s="8"/>
      <c r="B53479" s="12"/>
      <c r="C53479" s="8"/>
      <c r="D53479" s="8"/>
    </row>
    <row r="53480" spans="1:4" ht="15.75" customHeight="1">
      <c r="A53480" s="8"/>
      <c r="B53480" s="12"/>
      <c r="C53480" s="8"/>
      <c r="D53480" s="8"/>
    </row>
    <row r="53481" spans="1:4" ht="15.75" customHeight="1">
      <c r="A53481" s="8"/>
      <c r="B53481" s="12"/>
      <c r="C53481" s="8"/>
      <c r="D53481" s="8"/>
    </row>
    <row r="53482" spans="1:4" ht="15.75" customHeight="1">
      <c r="A53482" s="8"/>
      <c r="B53482" s="12"/>
      <c r="C53482" s="8"/>
      <c r="D53482" s="8"/>
    </row>
    <row r="53483" spans="1:4" ht="15.75" customHeight="1">
      <c r="A53483" s="8"/>
      <c r="B53483" s="12"/>
      <c r="C53483" s="8"/>
      <c r="D53483" s="8"/>
    </row>
    <row r="53484" spans="1:4" ht="15.75" customHeight="1">
      <c r="A53484" s="8"/>
      <c r="B53484" s="12"/>
      <c r="C53484" s="8"/>
      <c r="D53484" s="8"/>
    </row>
    <row r="53485" spans="1:4" ht="15.75" customHeight="1">
      <c r="A53485" s="8"/>
      <c r="B53485" s="12"/>
      <c r="C53485" s="8"/>
      <c r="D53485" s="8"/>
    </row>
    <row r="53486" spans="1:4" ht="15.75" customHeight="1">
      <c r="A53486" s="8"/>
      <c r="B53486" s="12"/>
      <c r="C53486" s="8"/>
      <c r="D53486" s="8"/>
    </row>
    <row r="53487" spans="1:4" ht="15.75" customHeight="1">
      <c r="A53487" s="8"/>
      <c r="B53487" s="12"/>
      <c r="C53487" s="8"/>
      <c r="D53487" s="8"/>
    </row>
    <row r="53488" spans="1:4" ht="15.75" customHeight="1">
      <c r="A53488" s="8"/>
      <c r="B53488" s="12"/>
      <c r="C53488" s="8"/>
      <c r="D53488" s="8"/>
    </row>
    <row r="53489" spans="1:4" ht="15.75" customHeight="1">
      <c r="A53489" s="8"/>
      <c r="B53489" s="12"/>
      <c r="C53489" s="8"/>
      <c r="D53489" s="8"/>
    </row>
    <row r="53490" spans="1:4" ht="15.75" customHeight="1">
      <c r="A53490" s="8"/>
      <c r="B53490" s="12"/>
      <c r="C53490" s="8"/>
      <c r="D53490" s="8"/>
    </row>
    <row r="53491" spans="1:4" ht="15.75" customHeight="1">
      <c r="A53491" s="8"/>
      <c r="B53491" s="12"/>
      <c r="C53491" s="8"/>
      <c r="D53491" s="8"/>
    </row>
    <row r="53492" spans="1:4" ht="15.75" customHeight="1">
      <c r="A53492" s="8"/>
      <c r="B53492" s="12"/>
      <c r="C53492" s="8"/>
      <c r="D53492" s="8"/>
    </row>
    <row r="53493" spans="1:4" ht="15.75" customHeight="1">
      <c r="A53493" s="8"/>
      <c r="B53493" s="12"/>
      <c r="C53493" s="8"/>
      <c r="D53493" s="8"/>
    </row>
    <row r="53494" spans="1:4" ht="15.75" customHeight="1">
      <c r="A53494" s="8"/>
      <c r="B53494" s="12"/>
      <c r="C53494" s="8"/>
      <c r="D53494" s="8"/>
    </row>
    <row r="53495" spans="1:4" ht="15.75" customHeight="1">
      <c r="A53495" s="8"/>
      <c r="B53495" s="12"/>
      <c r="C53495" s="8"/>
      <c r="D53495" s="8"/>
    </row>
    <row r="53496" spans="1:4" ht="15.75" customHeight="1">
      <c r="A53496" s="8"/>
      <c r="B53496" s="12"/>
      <c r="C53496" s="8"/>
      <c r="D53496" s="8"/>
    </row>
    <row r="53497" spans="1:4" ht="15.75" customHeight="1">
      <c r="A53497" s="8"/>
      <c r="B53497" s="12"/>
      <c r="C53497" s="8"/>
      <c r="D53497" s="8"/>
    </row>
    <row r="53498" spans="1:4" ht="15.75" customHeight="1">
      <c r="A53498" s="8"/>
      <c r="B53498" s="12"/>
      <c r="C53498" s="8"/>
      <c r="D53498" s="8"/>
    </row>
    <row r="53499" spans="1:4" ht="15.75" customHeight="1">
      <c r="A53499" s="8"/>
      <c r="B53499" s="12"/>
      <c r="C53499" s="8"/>
      <c r="D53499" s="8"/>
    </row>
    <row r="53500" spans="1:4" ht="15.75" customHeight="1">
      <c r="A53500" s="8"/>
      <c r="B53500" s="12"/>
      <c r="C53500" s="8"/>
      <c r="D53500" s="8"/>
    </row>
    <row r="53501" spans="1:4" ht="15.75" customHeight="1">
      <c r="A53501" s="8"/>
      <c r="B53501" s="12"/>
      <c r="C53501" s="8"/>
      <c r="D53501" s="8"/>
    </row>
    <row r="53502" spans="1:4" ht="15.75" customHeight="1">
      <c r="A53502" s="8"/>
      <c r="B53502" s="12"/>
      <c r="C53502" s="8"/>
      <c r="D53502" s="8"/>
    </row>
    <row r="53503" spans="1:4" ht="15.75" customHeight="1">
      <c r="A53503" s="8"/>
      <c r="B53503" s="12"/>
      <c r="C53503" s="8"/>
      <c r="D53503" s="8"/>
    </row>
    <row r="53504" spans="1:4" ht="15.75" customHeight="1">
      <c r="A53504" s="8"/>
      <c r="B53504" s="12"/>
      <c r="C53504" s="8"/>
      <c r="D53504" s="8"/>
    </row>
    <row r="53505" spans="1:4" ht="15.75" customHeight="1">
      <c r="A53505" s="8"/>
      <c r="B53505" s="12"/>
      <c r="C53505" s="8"/>
      <c r="D53505" s="8"/>
    </row>
    <row r="53506" spans="1:4" ht="15.75" customHeight="1">
      <c r="A53506" s="8"/>
      <c r="B53506" s="12"/>
      <c r="C53506" s="8"/>
      <c r="D53506" s="8"/>
    </row>
    <row r="53507" spans="1:4" ht="15.75" customHeight="1">
      <c r="A53507" s="8"/>
      <c r="B53507" s="12"/>
      <c r="C53507" s="8"/>
      <c r="D53507" s="8"/>
    </row>
    <row r="53508" spans="1:4" ht="15.75" customHeight="1">
      <c r="A53508" s="8"/>
      <c r="B53508" s="12"/>
      <c r="C53508" s="8"/>
      <c r="D53508" s="8"/>
    </row>
    <row r="53509" spans="1:4" ht="15.75" customHeight="1">
      <c r="A53509" s="8"/>
      <c r="B53509" s="12"/>
      <c r="C53509" s="8"/>
      <c r="D53509" s="8"/>
    </row>
    <row r="53510" spans="1:4" ht="15.75" customHeight="1">
      <c r="A53510" s="8"/>
      <c r="B53510" s="12"/>
      <c r="C53510" s="8"/>
      <c r="D53510" s="8"/>
    </row>
    <row r="53511" spans="1:4" ht="15.75" customHeight="1">
      <c r="A53511" s="8"/>
      <c r="B53511" s="12"/>
      <c r="C53511" s="8"/>
      <c r="D53511" s="8"/>
    </row>
    <row r="53512" spans="1:4" ht="15.75" customHeight="1">
      <c r="A53512" s="8"/>
      <c r="B53512" s="12"/>
      <c r="C53512" s="8"/>
      <c r="D53512" s="8"/>
    </row>
    <row r="53513" spans="1:4" ht="15.75" customHeight="1">
      <c r="A53513" s="8"/>
      <c r="B53513" s="12"/>
      <c r="C53513" s="8"/>
      <c r="D53513" s="8"/>
    </row>
    <row r="53514" spans="1:4" ht="15.75" customHeight="1">
      <c r="A53514" s="8"/>
      <c r="B53514" s="12"/>
      <c r="C53514" s="8"/>
      <c r="D53514" s="8"/>
    </row>
    <row r="53515" spans="1:4" ht="15.75" customHeight="1">
      <c r="A53515" s="8"/>
      <c r="B53515" s="12"/>
      <c r="C53515" s="8"/>
      <c r="D53515" s="8"/>
    </row>
    <row r="53516" spans="1:4" ht="15.75" customHeight="1">
      <c r="A53516" s="8"/>
      <c r="B53516" s="12"/>
      <c r="C53516" s="8"/>
      <c r="D53516" s="8"/>
    </row>
    <row r="53517" spans="1:4" ht="15.75" customHeight="1">
      <c r="A53517" s="8"/>
      <c r="B53517" s="12"/>
      <c r="C53517" s="8"/>
      <c r="D53517" s="8"/>
    </row>
    <row r="53518" spans="1:4" ht="15.75" customHeight="1">
      <c r="A53518" s="8"/>
      <c r="B53518" s="12"/>
      <c r="C53518" s="8"/>
      <c r="D53518" s="8"/>
    </row>
    <row r="53519" spans="1:4" ht="15.75" customHeight="1">
      <c r="A53519" s="8"/>
      <c r="B53519" s="12"/>
      <c r="C53519" s="8"/>
      <c r="D53519" s="8"/>
    </row>
    <row r="53520" spans="1:4" ht="15.75" customHeight="1">
      <c r="A53520" s="8"/>
      <c r="B53520" s="12"/>
      <c r="C53520" s="8"/>
      <c r="D53520" s="8"/>
    </row>
    <row r="53521" spans="1:4" ht="15.75" customHeight="1">
      <c r="A53521" s="8"/>
      <c r="B53521" s="12"/>
      <c r="C53521" s="8"/>
      <c r="D53521" s="8"/>
    </row>
    <row r="53522" spans="1:4" ht="15.75" customHeight="1">
      <c r="A53522" s="8"/>
      <c r="B53522" s="12"/>
      <c r="C53522" s="8"/>
      <c r="D53522" s="8"/>
    </row>
    <row r="53523" spans="1:4" ht="15.75" customHeight="1">
      <c r="A53523" s="8"/>
      <c r="B53523" s="12"/>
      <c r="C53523" s="8"/>
      <c r="D53523" s="8"/>
    </row>
    <row r="53524" spans="1:4" ht="15.75" customHeight="1">
      <c r="A53524" s="8"/>
      <c r="B53524" s="12"/>
      <c r="C53524" s="8"/>
      <c r="D53524" s="8"/>
    </row>
    <row r="53525" spans="1:4" ht="15.75" customHeight="1">
      <c r="A53525" s="8"/>
      <c r="B53525" s="12"/>
      <c r="C53525" s="8"/>
      <c r="D53525" s="8"/>
    </row>
    <row r="53526" spans="1:4" ht="15.75" customHeight="1">
      <c r="A53526" s="8"/>
      <c r="B53526" s="12"/>
      <c r="C53526" s="8"/>
      <c r="D53526" s="8"/>
    </row>
    <row r="53527" spans="1:4" ht="15.75" customHeight="1">
      <c r="A53527" s="8"/>
      <c r="B53527" s="12"/>
      <c r="C53527" s="8"/>
      <c r="D53527" s="8"/>
    </row>
    <row r="53528" spans="1:4" ht="15.75" customHeight="1">
      <c r="A53528" s="8"/>
      <c r="B53528" s="12"/>
      <c r="C53528" s="8"/>
      <c r="D53528" s="8"/>
    </row>
    <row r="53529" spans="1:4" ht="15.75" customHeight="1">
      <c r="A53529" s="8"/>
      <c r="B53529" s="12"/>
      <c r="C53529" s="8"/>
      <c r="D53529" s="8"/>
    </row>
    <row r="53530" spans="1:4" ht="15.75" customHeight="1">
      <c r="A53530" s="8"/>
      <c r="B53530" s="12"/>
      <c r="C53530" s="8"/>
      <c r="D53530" s="8"/>
    </row>
    <row r="53531" spans="1:4" ht="15.75" customHeight="1">
      <c r="A53531" s="8"/>
      <c r="B53531" s="12"/>
      <c r="C53531" s="8"/>
      <c r="D53531" s="8"/>
    </row>
    <row r="53532" spans="1:4" ht="15.75" customHeight="1">
      <c r="A53532" s="8"/>
      <c r="B53532" s="12"/>
      <c r="C53532" s="8"/>
      <c r="D53532" s="8"/>
    </row>
    <row r="53533" spans="1:4" ht="15.75" customHeight="1">
      <c r="A53533" s="8"/>
      <c r="B53533" s="12"/>
      <c r="C53533" s="8"/>
      <c r="D53533" s="8"/>
    </row>
    <row r="53534" spans="1:4" ht="15.75" customHeight="1">
      <c r="A53534" s="8"/>
      <c r="B53534" s="12"/>
      <c r="C53534" s="8"/>
      <c r="D53534" s="8"/>
    </row>
    <row r="53535" spans="1:4" ht="15.75" customHeight="1">
      <c r="A53535" s="8"/>
      <c r="B53535" s="12"/>
      <c r="C53535" s="8"/>
      <c r="D53535" s="8"/>
    </row>
    <row r="53536" spans="1:4" ht="15.75" customHeight="1">
      <c r="A53536" s="8"/>
      <c r="B53536" s="12"/>
      <c r="C53536" s="8"/>
      <c r="D53536" s="8"/>
    </row>
    <row r="53537" spans="1:4" ht="15.75" customHeight="1">
      <c r="A53537" s="8"/>
      <c r="B53537" s="12"/>
      <c r="C53537" s="8"/>
      <c r="D53537" s="8"/>
    </row>
    <row r="53538" spans="1:4" ht="15.75" customHeight="1">
      <c r="A53538" s="8"/>
      <c r="B53538" s="12"/>
      <c r="C53538" s="8"/>
      <c r="D53538" s="8"/>
    </row>
    <row r="53539" spans="1:4" ht="15.75" customHeight="1">
      <c r="A53539" s="8"/>
      <c r="B53539" s="12"/>
      <c r="C53539" s="8"/>
      <c r="D53539" s="8"/>
    </row>
    <row r="53540" spans="1:4" ht="15.75" customHeight="1">
      <c r="A53540" s="8"/>
      <c r="B53540" s="12"/>
      <c r="C53540" s="8"/>
      <c r="D53540" s="8"/>
    </row>
    <row r="53541" spans="1:4" ht="15.75" customHeight="1">
      <c r="A53541" s="8"/>
      <c r="B53541" s="12"/>
      <c r="C53541" s="8"/>
      <c r="D53541" s="8"/>
    </row>
    <row r="53542" spans="1:4" ht="15.75" customHeight="1">
      <c r="A53542" s="8"/>
      <c r="B53542" s="12"/>
      <c r="C53542" s="8"/>
      <c r="D53542" s="8"/>
    </row>
    <row r="53543" spans="1:4" ht="15.75" customHeight="1">
      <c r="A53543" s="8"/>
      <c r="B53543" s="12"/>
      <c r="C53543" s="8"/>
      <c r="D53543" s="8"/>
    </row>
    <row r="53544" spans="1:4" ht="15.75" customHeight="1">
      <c r="A53544" s="8"/>
      <c r="B53544" s="12"/>
      <c r="C53544" s="8"/>
      <c r="D53544" s="8"/>
    </row>
    <row r="53545" spans="1:4" ht="15.75" customHeight="1">
      <c r="A53545" s="8"/>
      <c r="B53545" s="12"/>
      <c r="C53545" s="8"/>
      <c r="D53545" s="8"/>
    </row>
    <row r="53546" spans="1:4" ht="15.75" customHeight="1">
      <c r="A53546" s="8"/>
      <c r="B53546" s="12"/>
      <c r="C53546" s="8"/>
      <c r="D53546" s="8"/>
    </row>
    <row r="53547" spans="1:4" ht="15.75" customHeight="1">
      <c r="A53547" s="8"/>
      <c r="B53547" s="12"/>
      <c r="C53547" s="8"/>
      <c r="D53547" s="8"/>
    </row>
    <row r="53548" spans="1:4" ht="15.75" customHeight="1">
      <c r="A53548" s="8"/>
      <c r="B53548" s="12"/>
      <c r="C53548" s="8"/>
      <c r="D53548" s="8"/>
    </row>
    <row r="53549" spans="1:4" ht="15.75" customHeight="1">
      <c r="A53549" s="8"/>
      <c r="B53549" s="12"/>
      <c r="C53549" s="8"/>
      <c r="D53549" s="8"/>
    </row>
    <row r="53550" spans="1:4" ht="15.75" customHeight="1">
      <c r="A53550" s="8"/>
      <c r="B53550" s="12"/>
      <c r="C53550" s="8"/>
      <c r="D53550" s="8"/>
    </row>
    <row r="53551" spans="1:4" ht="15.75" customHeight="1">
      <c r="A53551" s="8"/>
      <c r="B53551" s="12"/>
      <c r="C53551" s="8"/>
      <c r="D53551" s="8"/>
    </row>
    <row r="53552" spans="1:4" ht="15.75" customHeight="1">
      <c r="A53552" s="8"/>
      <c r="B53552" s="12"/>
      <c r="C53552" s="8"/>
      <c r="D53552" s="8"/>
    </row>
    <row r="53553" spans="1:4" ht="15.75" customHeight="1">
      <c r="A53553" s="8"/>
      <c r="B53553" s="12"/>
      <c r="C53553" s="8"/>
      <c r="D53553" s="8"/>
    </row>
    <row r="53554" spans="1:4" ht="15.75" customHeight="1">
      <c r="A53554" s="8"/>
      <c r="B53554" s="12"/>
      <c r="C53554" s="8"/>
      <c r="D53554" s="8"/>
    </row>
    <row r="53555" spans="1:4" ht="15.75" customHeight="1">
      <c r="A53555" s="8"/>
      <c r="B53555" s="12"/>
      <c r="C53555" s="8"/>
      <c r="D53555" s="8"/>
    </row>
    <row r="53556" spans="1:4" ht="15.75" customHeight="1">
      <c r="A53556" s="8"/>
      <c r="B53556" s="12"/>
      <c r="C53556" s="8"/>
      <c r="D53556" s="8"/>
    </row>
    <row r="53557" spans="1:4" ht="15.75" customHeight="1">
      <c r="A53557" s="8"/>
      <c r="B53557" s="12"/>
      <c r="C53557" s="8"/>
      <c r="D53557" s="8"/>
    </row>
    <row r="53558" spans="1:4" ht="15.75" customHeight="1">
      <c r="A53558" s="8"/>
      <c r="B53558" s="12"/>
      <c r="C53558" s="8"/>
      <c r="D53558" s="8"/>
    </row>
    <row r="53559" spans="1:4" ht="15.75" customHeight="1">
      <c r="A53559" s="8"/>
      <c r="B53559" s="12"/>
      <c r="C53559" s="8"/>
      <c r="D53559" s="8"/>
    </row>
    <row r="53560" spans="1:4" ht="15.75" customHeight="1">
      <c r="A53560" s="8"/>
      <c r="B53560" s="12"/>
      <c r="C53560" s="8"/>
      <c r="D53560" s="8"/>
    </row>
    <row r="53561" spans="1:4" ht="15.75" customHeight="1">
      <c r="A53561" s="8"/>
      <c r="B53561" s="12"/>
      <c r="C53561" s="8"/>
      <c r="D53561" s="8"/>
    </row>
    <row r="53562" spans="1:4" ht="15.75" customHeight="1">
      <c r="A53562" s="8"/>
      <c r="B53562" s="12"/>
      <c r="C53562" s="8"/>
      <c r="D53562" s="8"/>
    </row>
    <row r="53563" spans="1:4" ht="15.75" customHeight="1">
      <c r="A53563" s="8"/>
      <c r="B53563" s="12"/>
      <c r="C53563" s="8"/>
      <c r="D53563" s="8"/>
    </row>
    <row r="53564" spans="1:4" ht="15.75" customHeight="1">
      <c r="A53564" s="8"/>
      <c r="B53564" s="12"/>
      <c r="C53564" s="8"/>
      <c r="D53564" s="8"/>
    </row>
    <row r="53565" spans="1:4" ht="15.75" customHeight="1">
      <c r="A53565" s="8"/>
      <c r="B53565" s="12"/>
      <c r="C53565" s="8"/>
      <c r="D53565" s="8"/>
    </row>
    <row r="53566" spans="1:4" ht="15.75" customHeight="1">
      <c r="A53566" s="8"/>
      <c r="B53566" s="12"/>
      <c r="C53566" s="8"/>
      <c r="D53566" s="8"/>
    </row>
    <row r="53567" spans="1:4" ht="15.75" customHeight="1">
      <c r="A53567" s="8"/>
      <c r="B53567" s="12"/>
      <c r="C53567" s="8"/>
      <c r="D53567" s="8"/>
    </row>
    <row r="53568" spans="1:4" ht="15.75" customHeight="1">
      <c r="A53568" s="8"/>
      <c r="B53568" s="12"/>
      <c r="C53568" s="8"/>
      <c r="D53568" s="8"/>
    </row>
    <row r="53569" spans="1:4" ht="15.75" customHeight="1">
      <c r="A53569" s="8"/>
      <c r="B53569" s="12"/>
      <c r="C53569" s="8"/>
      <c r="D53569" s="8"/>
    </row>
    <row r="53570" spans="1:4" ht="15.75" customHeight="1">
      <c r="A53570" s="8"/>
      <c r="B53570" s="12"/>
      <c r="C53570" s="8"/>
      <c r="D53570" s="8"/>
    </row>
    <row r="53571" spans="1:4" ht="15.75" customHeight="1">
      <c r="A53571" s="8"/>
      <c r="B53571" s="12"/>
      <c r="C53571" s="8"/>
      <c r="D53571" s="8"/>
    </row>
    <row r="53572" spans="1:4" ht="15.75" customHeight="1">
      <c r="A53572" s="8"/>
      <c r="B53572" s="12"/>
      <c r="C53572" s="8"/>
      <c r="D53572" s="8"/>
    </row>
    <row r="53573" spans="1:4" ht="15.75" customHeight="1">
      <c r="A53573" s="8"/>
      <c r="B53573" s="12"/>
      <c r="C53573" s="8"/>
      <c r="D53573" s="8"/>
    </row>
    <row r="53574" spans="1:4" ht="15.75" customHeight="1">
      <c r="A53574" s="8"/>
      <c r="B53574" s="12"/>
      <c r="C53574" s="8"/>
      <c r="D53574" s="8"/>
    </row>
    <row r="53575" spans="1:4" ht="15.75" customHeight="1">
      <c r="A53575" s="8"/>
      <c r="B53575" s="12"/>
      <c r="C53575" s="8"/>
      <c r="D53575" s="8"/>
    </row>
    <row r="53576" spans="1:4" ht="15.75" customHeight="1">
      <c r="A53576" s="8"/>
      <c r="B53576" s="12"/>
      <c r="C53576" s="8"/>
      <c r="D53576" s="8"/>
    </row>
    <row r="53577" spans="1:4" ht="15.75" customHeight="1">
      <c r="A53577" s="8"/>
      <c r="B53577" s="12"/>
      <c r="C53577" s="8"/>
      <c r="D53577" s="8"/>
    </row>
    <row r="53578" spans="1:4" ht="15.75" customHeight="1">
      <c r="A53578" s="8"/>
      <c r="B53578" s="12"/>
      <c r="C53578" s="8"/>
      <c r="D53578" s="8"/>
    </row>
    <row r="53579" spans="1:4" ht="15.75" customHeight="1">
      <c r="A53579" s="8"/>
      <c r="B53579" s="12"/>
      <c r="C53579" s="8"/>
      <c r="D53579" s="8"/>
    </row>
    <row r="53580" spans="1:4" ht="15.75" customHeight="1">
      <c r="A53580" s="8"/>
      <c r="B53580" s="12"/>
      <c r="C53580" s="8"/>
      <c r="D53580" s="8"/>
    </row>
    <row r="53581" spans="1:4" ht="15.75" customHeight="1">
      <c r="A53581" s="8"/>
      <c r="B53581" s="12"/>
      <c r="C53581" s="8"/>
      <c r="D53581" s="8"/>
    </row>
    <row r="53582" spans="1:4" ht="15.75" customHeight="1">
      <c r="A53582" s="8"/>
      <c r="B53582" s="12"/>
      <c r="C53582" s="8"/>
      <c r="D53582" s="8"/>
    </row>
    <row r="53583" spans="1:4" ht="15.75" customHeight="1">
      <c r="A53583" s="8"/>
      <c r="B53583" s="12"/>
      <c r="C53583" s="8"/>
      <c r="D53583" s="8"/>
    </row>
    <row r="53584" spans="1:4" ht="15.75" customHeight="1">
      <c r="A53584" s="8"/>
      <c r="B53584" s="12"/>
      <c r="C53584" s="8"/>
      <c r="D53584" s="8"/>
    </row>
    <row r="53585" spans="1:4" ht="15.75" customHeight="1">
      <c r="A53585" s="8"/>
      <c r="B53585" s="12"/>
      <c r="C53585" s="8"/>
      <c r="D53585" s="8"/>
    </row>
    <row r="53586" spans="1:4" ht="15.75" customHeight="1">
      <c r="A53586" s="8"/>
      <c r="B53586" s="12"/>
      <c r="C53586" s="8"/>
      <c r="D53586" s="8"/>
    </row>
    <row r="53587" spans="1:4" ht="15.75" customHeight="1">
      <c r="A53587" s="8"/>
      <c r="B53587" s="12"/>
      <c r="C53587" s="8"/>
      <c r="D53587" s="8"/>
    </row>
    <row r="53588" spans="1:4" ht="15.75" customHeight="1">
      <c r="A53588" s="8"/>
      <c r="B53588" s="12"/>
      <c r="C53588" s="8"/>
      <c r="D53588" s="8"/>
    </row>
    <row r="53589" spans="1:4" ht="15.75" customHeight="1">
      <c r="A53589" s="8"/>
      <c r="B53589" s="12"/>
      <c r="C53589" s="8"/>
      <c r="D53589" s="8"/>
    </row>
    <row r="53590" spans="1:4" ht="15.75" customHeight="1">
      <c r="A53590" s="8"/>
      <c r="B53590" s="12"/>
      <c r="C53590" s="8"/>
      <c r="D53590" s="8"/>
    </row>
    <row r="53591" spans="1:4" ht="15.75" customHeight="1">
      <c r="A53591" s="8"/>
      <c r="B53591" s="12"/>
      <c r="C53591" s="8"/>
      <c r="D53591" s="8"/>
    </row>
    <row r="53592" spans="1:4" ht="15.75" customHeight="1">
      <c r="A53592" s="8"/>
      <c r="B53592" s="12"/>
      <c r="C53592" s="8"/>
      <c r="D53592" s="8"/>
    </row>
    <row r="53593" spans="1:4" ht="15.75" customHeight="1">
      <c r="A53593" s="8"/>
      <c r="B53593" s="12"/>
      <c r="C53593" s="8"/>
      <c r="D53593" s="8"/>
    </row>
    <row r="53594" spans="1:4" ht="15.75" customHeight="1">
      <c r="A53594" s="8"/>
      <c r="B53594" s="12"/>
      <c r="C53594" s="8"/>
      <c r="D53594" s="8"/>
    </row>
    <row r="53595" spans="1:4" ht="15.75" customHeight="1">
      <c r="A53595" s="8"/>
      <c r="B53595" s="12"/>
      <c r="C53595" s="8"/>
      <c r="D53595" s="8"/>
    </row>
    <row r="53596" spans="1:4" ht="15.75" customHeight="1">
      <c r="A53596" s="8"/>
      <c r="B53596" s="12"/>
      <c r="C53596" s="8"/>
      <c r="D53596" s="8"/>
    </row>
    <row r="53597" spans="1:4" ht="15.75" customHeight="1">
      <c r="A53597" s="8"/>
      <c r="B53597" s="12"/>
      <c r="C53597" s="8"/>
      <c r="D53597" s="8"/>
    </row>
    <row r="53598" spans="1:4" ht="15.75" customHeight="1">
      <c r="A53598" s="8"/>
      <c r="B53598" s="12"/>
      <c r="C53598" s="8"/>
      <c r="D53598" s="8"/>
    </row>
    <row r="53599" spans="1:4" ht="15.75" customHeight="1">
      <c r="A53599" s="8"/>
      <c r="B53599" s="12"/>
      <c r="C53599" s="8"/>
      <c r="D53599" s="8"/>
    </row>
    <row r="53600" spans="1:4" ht="15.75" customHeight="1">
      <c r="A53600" s="8"/>
      <c r="B53600" s="12"/>
      <c r="C53600" s="8"/>
      <c r="D53600" s="8"/>
    </row>
    <row r="53601" spans="1:4" ht="15.75" customHeight="1">
      <c r="A53601" s="8"/>
      <c r="B53601" s="12"/>
      <c r="C53601" s="8"/>
      <c r="D53601" s="8"/>
    </row>
    <row r="53602" spans="1:4" ht="15.75" customHeight="1">
      <c r="A53602" s="8"/>
      <c r="B53602" s="12"/>
      <c r="C53602" s="8"/>
      <c r="D53602" s="8"/>
    </row>
    <row r="53603" spans="1:4" ht="15.75" customHeight="1">
      <c r="A53603" s="8"/>
      <c r="B53603" s="12"/>
      <c r="C53603" s="8"/>
      <c r="D53603" s="8"/>
    </row>
    <row r="53604" spans="1:4" ht="15.75" customHeight="1">
      <c r="A53604" s="8"/>
      <c r="B53604" s="12"/>
      <c r="C53604" s="8"/>
      <c r="D53604" s="8"/>
    </row>
    <row r="53605" spans="1:4" ht="15.75" customHeight="1">
      <c r="A53605" s="8"/>
      <c r="B53605" s="12"/>
      <c r="C53605" s="8"/>
      <c r="D53605" s="8"/>
    </row>
    <row r="53606" spans="1:4" ht="15.75" customHeight="1">
      <c r="A53606" s="8"/>
      <c r="B53606" s="12"/>
      <c r="C53606" s="8"/>
      <c r="D53606" s="8"/>
    </row>
    <row r="53607" spans="1:4" ht="15.75" customHeight="1">
      <c r="A53607" s="8"/>
      <c r="B53607" s="12"/>
      <c r="C53607" s="8"/>
      <c r="D53607" s="8"/>
    </row>
    <row r="53608" spans="1:4" ht="15.75" customHeight="1">
      <c r="A53608" s="8"/>
      <c r="B53608" s="12"/>
      <c r="C53608" s="8"/>
      <c r="D53608" s="8"/>
    </row>
    <row r="53609" spans="1:4" ht="15.75" customHeight="1">
      <c r="A53609" s="8"/>
      <c r="B53609" s="12"/>
      <c r="C53609" s="8"/>
      <c r="D53609" s="8"/>
    </row>
    <row r="53610" spans="1:4" ht="15.75" customHeight="1">
      <c r="A53610" s="8"/>
      <c r="B53610" s="12"/>
      <c r="C53610" s="8"/>
      <c r="D53610" s="8"/>
    </row>
    <row r="53611" spans="1:4" ht="15.75" customHeight="1">
      <c r="A53611" s="8"/>
      <c r="B53611" s="12"/>
      <c r="C53611" s="8"/>
      <c r="D53611" s="8"/>
    </row>
    <row r="53612" spans="1:4" ht="15.75" customHeight="1">
      <c r="A53612" s="8"/>
      <c r="B53612" s="12"/>
      <c r="C53612" s="8"/>
      <c r="D53612" s="8"/>
    </row>
    <row r="53613" spans="1:4" ht="15.75" customHeight="1">
      <c r="A53613" s="8"/>
      <c r="B53613" s="12"/>
      <c r="C53613" s="8"/>
      <c r="D53613" s="8"/>
    </row>
    <row r="53614" spans="1:4" ht="15.75" customHeight="1">
      <c r="A53614" s="8"/>
      <c r="B53614" s="12"/>
      <c r="C53614" s="8"/>
      <c r="D53614" s="8"/>
    </row>
    <row r="53615" spans="1:4" ht="15.75" customHeight="1">
      <c r="A53615" s="8"/>
      <c r="B53615" s="12"/>
      <c r="C53615" s="8"/>
      <c r="D53615" s="8"/>
    </row>
    <row r="53616" spans="1:4" ht="15.75" customHeight="1">
      <c r="A53616" s="8"/>
      <c r="B53616" s="12"/>
      <c r="C53616" s="8"/>
      <c r="D53616" s="8"/>
    </row>
    <row r="53617" spans="1:4" ht="15.75" customHeight="1">
      <c r="A53617" s="8"/>
      <c r="B53617" s="12"/>
      <c r="C53617" s="8"/>
      <c r="D53617" s="8"/>
    </row>
    <row r="53618" spans="1:4" ht="15.75" customHeight="1">
      <c r="A53618" s="8"/>
      <c r="B53618" s="12"/>
      <c r="C53618" s="8"/>
      <c r="D53618" s="8"/>
    </row>
    <row r="53619" spans="1:4" ht="15.75" customHeight="1">
      <c r="A53619" s="8"/>
      <c r="B53619" s="12"/>
      <c r="C53619" s="8"/>
      <c r="D53619" s="8"/>
    </row>
    <row r="53620" spans="1:4" ht="15.75" customHeight="1">
      <c r="A53620" s="8"/>
      <c r="B53620" s="12"/>
      <c r="C53620" s="8"/>
      <c r="D53620" s="8"/>
    </row>
    <row r="53621" spans="1:4" ht="15.75" customHeight="1">
      <c r="A53621" s="8"/>
      <c r="B53621" s="12"/>
      <c r="C53621" s="8"/>
      <c r="D53621" s="8"/>
    </row>
    <row r="53622" spans="1:4" ht="15.75" customHeight="1">
      <c r="A53622" s="8"/>
      <c r="B53622" s="12"/>
      <c r="C53622" s="8"/>
      <c r="D53622" s="8"/>
    </row>
    <row r="53623" spans="1:4" ht="15.75" customHeight="1">
      <c r="A53623" s="8"/>
      <c r="B53623" s="12"/>
      <c r="C53623" s="8"/>
      <c r="D53623" s="8"/>
    </row>
    <row r="53624" spans="1:4" ht="15.75" customHeight="1">
      <c r="A53624" s="8"/>
      <c r="B53624" s="12"/>
      <c r="C53624" s="8"/>
      <c r="D53624" s="8"/>
    </row>
    <row r="53625" spans="1:4" ht="15.75" customHeight="1">
      <c r="A53625" s="8"/>
      <c r="B53625" s="12"/>
      <c r="C53625" s="8"/>
      <c r="D53625" s="8"/>
    </row>
    <row r="53626" spans="1:4" ht="15.75" customHeight="1">
      <c r="A53626" s="8"/>
      <c r="B53626" s="12"/>
      <c r="C53626" s="8"/>
      <c r="D53626" s="8"/>
    </row>
    <row r="53627" spans="1:4" ht="15.75" customHeight="1">
      <c r="A53627" s="8"/>
      <c r="B53627" s="12"/>
      <c r="C53627" s="8"/>
      <c r="D53627" s="8"/>
    </row>
    <row r="53628" spans="1:4" ht="15.75" customHeight="1">
      <c r="A53628" s="8"/>
      <c r="B53628" s="12"/>
      <c r="C53628" s="8"/>
      <c r="D53628" s="8"/>
    </row>
    <row r="53629" spans="1:4" ht="15.75" customHeight="1">
      <c r="A53629" s="8"/>
      <c r="B53629" s="12"/>
      <c r="C53629" s="8"/>
      <c r="D53629" s="8"/>
    </row>
    <row r="53630" spans="1:4" ht="15.75" customHeight="1">
      <c r="A53630" s="8"/>
      <c r="B53630" s="12"/>
      <c r="C53630" s="8"/>
      <c r="D53630" s="8"/>
    </row>
    <row r="53631" spans="1:4" ht="15.75" customHeight="1">
      <c r="A53631" s="8"/>
      <c r="B53631" s="12"/>
      <c r="C53631" s="8"/>
      <c r="D53631" s="8"/>
    </row>
    <row r="53632" spans="1:4" ht="15.75" customHeight="1">
      <c r="A53632" s="8"/>
      <c r="B53632" s="12"/>
      <c r="C53632" s="8"/>
      <c r="D53632" s="8"/>
    </row>
    <row r="53633" spans="1:4" ht="15.75" customHeight="1">
      <c r="A53633" s="8"/>
      <c r="B53633" s="12"/>
      <c r="C53633" s="8"/>
      <c r="D53633" s="8"/>
    </row>
    <row r="53634" spans="1:4" ht="15.75" customHeight="1">
      <c r="A53634" s="8"/>
      <c r="B53634" s="12"/>
      <c r="C53634" s="8"/>
      <c r="D53634" s="8"/>
    </row>
    <row r="53635" spans="1:4" ht="15.75" customHeight="1">
      <c r="A53635" s="8"/>
      <c r="B53635" s="12"/>
      <c r="C53635" s="8"/>
      <c r="D53635" s="8"/>
    </row>
    <row r="53636" spans="1:4" ht="15.75" customHeight="1">
      <c r="A53636" s="8"/>
      <c r="B53636" s="12"/>
      <c r="C53636" s="8"/>
      <c r="D53636" s="8"/>
    </row>
    <row r="53637" spans="1:4" ht="15.75" customHeight="1">
      <c r="A53637" s="8"/>
      <c r="B53637" s="12"/>
      <c r="C53637" s="8"/>
      <c r="D53637" s="8"/>
    </row>
    <row r="53638" spans="1:4" ht="15.75" customHeight="1">
      <c r="A53638" s="8"/>
      <c r="B53638" s="12"/>
      <c r="C53638" s="8"/>
      <c r="D53638" s="8"/>
    </row>
    <row r="53639" spans="1:4" ht="15.75" customHeight="1">
      <c r="A53639" s="8"/>
      <c r="B53639" s="12"/>
      <c r="C53639" s="8"/>
      <c r="D53639" s="8"/>
    </row>
    <row r="53640" spans="1:4" ht="15.75" customHeight="1">
      <c r="A53640" s="8"/>
      <c r="B53640" s="12"/>
      <c r="C53640" s="8"/>
      <c r="D53640" s="8"/>
    </row>
    <row r="53641" spans="1:4" ht="15.75" customHeight="1">
      <c r="A53641" s="8"/>
      <c r="B53641" s="12"/>
      <c r="C53641" s="8"/>
      <c r="D53641" s="8"/>
    </row>
    <row r="53642" spans="1:4" ht="15.75" customHeight="1">
      <c r="A53642" s="8"/>
      <c r="B53642" s="12"/>
      <c r="C53642" s="8"/>
      <c r="D53642" s="8"/>
    </row>
    <row r="53643" spans="1:4" ht="15.75" customHeight="1">
      <c r="A53643" s="8"/>
      <c r="B53643" s="12"/>
      <c r="C53643" s="8"/>
      <c r="D53643" s="8"/>
    </row>
    <row r="53644" spans="1:4" ht="15.75" customHeight="1">
      <c r="A53644" s="8"/>
      <c r="B53644" s="12"/>
      <c r="C53644" s="8"/>
      <c r="D53644" s="8"/>
    </row>
    <row r="53645" spans="1:4" ht="15.75" customHeight="1">
      <c r="A53645" s="8"/>
      <c r="B53645" s="12"/>
      <c r="C53645" s="8"/>
      <c r="D53645" s="8"/>
    </row>
    <row r="53646" spans="1:4" ht="15.75" customHeight="1">
      <c r="A53646" s="8"/>
      <c r="B53646" s="12"/>
      <c r="C53646" s="8"/>
      <c r="D53646" s="8"/>
    </row>
    <row r="53647" spans="1:4" ht="15.75" customHeight="1">
      <c r="A53647" s="8"/>
      <c r="B53647" s="12"/>
      <c r="C53647" s="8"/>
      <c r="D53647" s="8"/>
    </row>
    <row r="53648" spans="1:4" ht="15.75" customHeight="1">
      <c r="A53648" s="8"/>
      <c r="B53648" s="12"/>
      <c r="C53648" s="8"/>
      <c r="D53648" s="8"/>
    </row>
    <row r="53649" spans="1:4" ht="15.75" customHeight="1">
      <c r="A53649" s="8"/>
      <c r="B53649" s="12"/>
      <c r="C53649" s="8"/>
      <c r="D53649" s="8"/>
    </row>
    <row r="53650" spans="1:4" ht="15.75" customHeight="1">
      <c r="A53650" s="8"/>
      <c r="B53650" s="12"/>
      <c r="C53650" s="8"/>
      <c r="D53650" s="8"/>
    </row>
    <row r="53651" spans="1:4" ht="15.75" customHeight="1">
      <c r="A53651" s="8"/>
      <c r="B53651" s="12"/>
      <c r="C53651" s="8"/>
      <c r="D53651" s="8"/>
    </row>
    <row r="53652" spans="1:4" ht="15.75" customHeight="1">
      <c r="A53652" s="8"/>
      <c r="B53652" s="12"/>
      <c r="C53652" s="8"/>
      <c r="D53652" s="8"/>
    </row>
    <row r="53653" spans="1:4" ht="15.75" customHeight="1">
      <c r="A53653" s="8"/>
      <c r="B53653" s="12"/>
      <c r="C53653" s="8"/>
      <c r="D53653" s="8"/>
    </row>
    <row r="53654" spans="1:4" ht="15.75" customHeight="1">
      <c r="A53654" s="8"/>
      <c r="B53654" s="12"/>
      <c r="C53654" s="8"/>
      <c r="D53654" s="8"/>
    </row>
    <row r="53655" spans="1:4" ht="15.75" customHeight="1">
      <c r="A53655" s="8"/>
      <c r="B53655" s="12"/>
      <c r="C53655" s="8"/>
      <c r="D53655" s="8"/>
    </row>
    <row r="53656" spans="1:4" ht="15.75" customHeight="1">
      <c r="A53656" s="8"/>
      <c r="B53656" s="12"/>
      <c r="C53656" s="8"/>
      <c r="D53656" s="8"/>
    </row>
    <row r="53657" spans="1:4" ht="15.75" customHeight="1">
      <c r="A53657" s="8"/>
      <c r="B53657" s="12"/>
      <c r="C53657" s="8"/>
      <c r="D53657" s="8"/>
    </row>
    <row r="53658" spans="1:4" ht="15.75" customHeight="1">
      <c r="A53658" s="8"/>
      <c r="B53658" s="12"/>
      <c r="C53658" s="8"/>
      <c r="D53658" s="8"/>
    </row>
    <row r="53659" spans="1:4" ht="15.75" customHeight="1">
      <c r="A53659" s="8"/>
      <c r="B53659" s="12"/>
      <c r="C53659" s="8"/>
      <c r="D53659" s="8"/>
    </row>
    <row r="53660" spans="1:4" ht="15.75" customHeight="1">
      <c r="A53660" s="8"/>
      <c r="B53660" s="12"/>
      <c r="C53660" s="8"/>
      <c r="D53660" s="8"/>
    </row>
    <row r="53661" spans="1:4" ht="15.75" customHeight="1">
      <c r="A53661" s="8"/>
      <c r="B53661" s="12"/>
      <c r="C53661" s="8"/>
      <c r="D53661" s="8"/>
    </row>
    <row r="53662" spans="1:4" ht="15.75" customHeight="1">
      <c r="A53662" s="8"/>
      <c r="B53662" s="12"/>
      <c r="C53662" s="8"/>
      <c r="D53662" s="8"/>
    </row>
    <row r="53663" spans="1:4" ht="15.75" customHeight="1">
      <c r="A53663" s="8"/>
      <c r="B53663" s="12"/>
      <c r="C53663" s="8"/>
      <c r="D53663" s="8"/>
    </row>
    <row r="53664" spans="1:4" ht="15.75" customHeight="1">
      <c r="A53664" s="8"/>
      <c r="B53664" s="12"/>
      <c r="C53664" s="8"/>
      <c r="D53664" s="8"/>
    </row>
    <row r="53665" spans="1:4" ht="15.75" customHeight="1">
      <c r="A53665" s="8"/>
      <c r="B53665" s="12"/>
      <c r="C53665" s="8"/>
      <c r="D53665" s="8"/>
    </row>
    <row r="53666" spans="1:4" ht="15.75" customHeight="1">
      <c r="A53666" s="8"/>
      <c r="B53666" s="12"/>
      <c r="C53666" s="8"/>
      <c r="D53666" s="8"/>
    </row>
    <row r="53667" spans="1:4" ht="15.75" customHeight="1">
      <c r="A53667" s="8"/>
      <c r="B53667" s="12"/>
      <c r="C53667" s="8"/>
      <c r="D53667" s="8"/>
    </row>
    <row r="53668" spans="1:4" ht="15.75" customHeight="1">
      <c r="A53668" s="8"/>
      <c r="B53668" s="12"/>
      <c r="C53668" s="8"/>
      <c r="D53668" s="8"/>
    </row>
    <row r="53669" spans="1:4" ht="15.75" customHeight="1">
      <c r="A53669" s="8"/>
      <c r="B53669" s="12"/>
      <c r="C53669" s="8"/>
      <c r="D53669" s="8"/>
    </row>
    <row r="53670" spans="1:4" ht="15.75" customHeight="1">
      <c r="A53670" s="8"/>
      <c r="B53670" s="12"/>
      <c r="C53670" s="8"/>
      <c r="D53670" s="8"/>
    </row>
    <row r="53671" spans="1:4" ht="15.75" customHeight="1">
      <c r="A53671" s="8"/>
      <c r="B53671" s="12"/>
      <c r="C53671" s="8"/>
      <c r="D53671" s="8"/>
    </row>
    <row r="53672" spans="1:4" ht="15.75" customHeight="1">
      <c r="A53672" s="8"/>
      <c r="B53672" s="12"/>
      <c r="C53672" s="8"/>
      <c r="D53672" s="8"/>
    </row>
    <row r="53673" spans="1:4" ht="15.75" customHeight="1">
      <c r="A53673" s="8"/>
      <c r="B53673" s="12"/>
      <c r="C53673" s="8"/>
      <c r="D53673" s="8"/>
    </row>
    <row r="53674" spans="1:4" ht="15.75" customHeight="1">
      <c r="A53674" s="8"/>
      <c r="B53674" s="12"/>
      <c r="C53674" s="8"/>
      <c r="D53674" s="8"/>
    </row>
    <row r="53675" spans="1:4" ht="15.75" customHeight="1">
      <c r="A53675" s="8"/>
      <c r="B53675" s="12"/>
      <c r="C53675" s="8"/>
      <c r="D53675" s="8"/>
    </row>
    <row r="53676" spans="1:4" ht="15.75" customHeight="1">
      <c r="A53676" s="8"/>
      <c r="B53676" s="12"/>
      <c r="C53676" s="8"/>
      <c r="D53676" s="8"/>
    </row>
    <row r="53677" spans="1:4" ht="15.75" customHeight="1">
      <c r="A53677" s="8"/>
      <c r="B53677" s="12"/>
      <c r="C53677" s="8"/>
      <c r="D53677" s="8"/>
    </row>
    <row r="53678" spans="1:4" ht="15.75" customHeight="1">
      <c r="A53678" s="8"/>
      <c r="B53678" s="12"/>
      <c r="C53678" s="8"/>
      <c r="D53678" s="8"/>
    </row>
    <row r="53679" spans="1:4" ht="15.75" customHeight="1">
      <c r="A53679" s="8"/>
      <c r="B53679" s="12"/>
      <c r="C53679" s="8"/>
      <c r="D53679" s="8"/>
    </row>
    <row r="53680" spans="1:4" ht="15.75" customHeight="1">
      <c r="A53680" s="8"/>
      <c r="B53680" s="12"/>
      <c r="C53680" s="8"/>
      <c r="D53680" s="8"/>
    </row>
    <row r="53681" spans="1:4" ht="15.75" customHeight="1">
      <c r="A53681" s="8"/>
      <c r="B53681" s="12"/>
      <c r="C53681" s="8"/>
      <c r="D53681" s="8"/>
    </row>
    <row r="53682" spans="1:4" ht="15.75" customHeight="1">
      <c r="A53682" s="8"/>
      <c r="B53682" s="12"/>
      <c r="C53682" s="8"/>
      <c r="D53682" s="8"/>
    </row>
    <row r="53683" spans="1:4" ht="15.75" customHeight="1">
      <c r="A53683" s="8"/>
      <c r="B53683" s="12"/>
      <c r="C53683" s="8"/>
      <c r="D53683" s="8"/>
    </row>
    <row r="53684" spans="1:4" ht="15.75" customHeight="1">
      <c r="A53684" s="8"/>
      <c r="B53684" s="12"/>
      <c r="C53684" s="8"/>
      <c r="D53684" s="8"/>
    </row>
    <row r="53685" spans="1:4" ht="15.75" customHeight="1">
      <c r="A53685" s="8"/>
      <c r="B53685" s="12"/>
      <c r="C53685" s="8"/>
      <c r="D53685" s="8"/>
    </row>
    <row r="53686" spans="1:4" ht="15.75" customHeight="1">
      <c r="A53686" s="8"/>
      <c r="B53686" s="12"/>
      <c r="C53686" s="8"/>
      <c r="D53686" s="8"/>
    </row>
    <row r="53687" spans="1:4" ht="15.75" customHeight="1">
      <c r="A53687" s="8"/>
      <c r="B53687" s="12"/>
      <c r="C53687" s="8"/>
      <c r="D53687" s="8"/>
    </row>
    <row r="53688" spans="1:4" ht="15.75" customHeight="1">
      <c r="A53688" s="8"/>
      <c r="B53688" s="12"/>
      <c r="C53688" s="8"/>
      <c r="D53688" s="8"/>
    </row>
    <row r="53689" spans="1:4" ht="15.75" customHeight="1">
      <c r="A53689" s="8"/>
      <c r="B53689" s="12"/>
      <c r="C53689" s="8"/>
      <c r="D53689" s="8"/>
    </row>
    <row r="53690" spans="1:4" ht="15.75" customHeight="1">
      <c r="A53690" s="8"/>
      <c r="B53690" s="12"/>
      <c r="C53690" s="8"/>
      <c r="D53690" s="8"/>
    </row>
    <row r="53691" spans="1:4" ht="15.75" customHeight="1">
      <c r="A53691" s="8"/>
      <c r="B53691" s="12"/>
      <c r="C53691" s="8"/>
      <c r="D53691" s="8"/>
    </row>
    <row r="53692" spans="1:4" ht="15.75" customHeight="1">
      <c r="A53692" s="8"/>
      <c r="B53692" s="12"/>
      <c r="C53692" s="8"/>
      <c r="D53692" s="8"/>
    </row>
    <row r="53693" spans="1:4" ht="15.75" customHeight="1">
      <c r="A53693" s="8"/>
      <c r="B53693" s="12"/>
      <c r="C53693" s="8"/>
      <c r="D53693" s="8"/>
    </row>
    <row r="53694" spans="1:4" ht="15.75" customHeight="1">
      <c r="A53694" s="8"/>
      <c r="B53694" s="12"/>
      <c r="C53694" s="8"/>
      <c r="D53694" s="8"/>
    </row>
    <row r="53695" spans="1:4" ht="15.75" customHeight="1">
      <c r="A53695" s="8"/>
      <c r="B53695" s="12"/>
      <c r="C53695" s="8"/>
      <c r="D53695" s="8"/>
    </row>
    <row r="53696" spans="1:4" ht="15.75" customHeight="1">
      <c r="A53696" s="8"/>
      <c r="B53696" s="12"/>
      <c r="C53696" s="8"/>
      <c r="D53696" s="8"/>
    </row>
    <row r="53697" spans="1:4" ht="15.75" customHeight="1">
      <c r="A53697" s="8"/>
      <c r="B53697" s="12"/>
      <c r="C53697" s="8"/>
      <c r="D53697" s="8"/>
    </row>
    <row r="53698" spans="1:4" ht="15.75" customHeight="1">
      <c r="A53698" s="8"/>
      <c r="B53698" s="12"/>
      <c r="C53698" s="8"/>
      <c r="D53698" s="8"/>
    </row>
    <row r="53699" spans="1:4" ht="15.75" customHeight="1">
      <c r="A53699" s="8"/>
      <c r="B53699" s="12"/>
      <c r="C53699" s="8"/>
      <c r="D53699" s="8"/>
    </row>
    <row r="53700" spans="1:4" ht="15.75" customHeight="1">
      <c r="A53700" s="8"/>
      <c r="B53700" s="12"/>
      <c r="C53700" s="8"/>
      <c r="D53700" s="8"/>
    </row>
    <row r="53701" spans="1:4" ht="15.75" customHeight="1">
      <c r="A53701" s="8"/>
      <c r="B53701" s="12"/>
      <c r="C53701" s="8"/>
      <c r="D53701" s="8"/>
    </row>
    <row r="53702" spans="1:4" ht="15.75" customHeight="1">
      <c r="A53702" s="8"/>
      <c r="B53702" s="12"/>
      <c r="C53702" s="8"/>
      <c r="D53702" s="8"/>
    </row>
    <row r="53703" spans="1:4" ht="15.75" customHeight="1">
      <c r="A53703" s="8"/>
      <c r="B53703" s="12"/>
      <c r="C53703" s="8"/>
      <c r="D53703" s="8"/>
    </row>
    <row r="53704" spans="1:4" ht="15.75" customHeight="1">
      <c r="A53704" s="8"/>
      <c r="B53704" s="12"/>
      <c r="C53704" s="8"/>
      <c r="D53704" s="8"/>
    </row>
    <row r="53705" spans="1:4" ht="15.75" customHeight="1">
      <c r="A53705" s="8"/>
      <c r="B53705" s="12"/>
      <c r="C53705" s="8"/>
      <c r="D53705" s="8"/>
    </row>
    <row r="53706" spans="1:4" ht="15.75" customHeight="1">
      <c r="A53706" s="8"/>
      <c r="B53706" s="12"/>
      <c r="C53706" s="8"/>
      <c r="D53706" s="8"/>
    </row>
    <row r="53707" spans="1:4" ht="15.75" customHeight="1">
      <c r="A53707" s="8"/>
      <c r="B53707" s="12"/>
      <c r="C53707" s="8"/>
      <c r="D53707" s="8"/>
    </row>
    <row r="53708" spans="1:4" ht="15.75" customHeight="1">
      <c r="A53708" s="8"/>
      <c r="B53708" s="12"/>
      <c r="C53708" s="8"/>
      <c r="D53708" s="8"/>
    </row>
    <row r="53709" spans="1:4" ht="15.75" customHeight="1">
      <c r="A53709" s="8"/>
      <c r="B53709" s="12"/>
      <c r="C53709" s="8"/>
      <c r="D53709" s="8"/>
    </row>
    <row r="53710" spans="1:4" ht="15.75" customHeight="1">
      <c r="A53710" s="8"/>
      <c r="B53710" s="12"/>
      <c r="C53710" s="8"/>
      <c r="D53710" s="8"/>
    </row>
    <row r="53711" spans="1:4" ht="15.75" customHeight="1">
      <c r="A53711" s="8"/>
      <c r="B53711" s="12"/>
      <c r="C53711" s="8"/>
      <c r="D53711" s="8"/>
    </row>
    <row r="53712" spans="1:4" ht="15.75" customHeight="1">
      <c r="A53712" s="8"/>
      <c r="B53712" s="12"/>
      <c r="C53712" s="8"/>
      <c r="D53712" s="8"/>
    </row>
    <row r="53713" spans="1:4" ht="15.75" customHeight="1">
      <c r="A53713" s="8"/>
      <c r="B53713" s="12"/>
      <c r="C53713" s="8"/>
      <c r="D53713" s="8"/>
    </row>
    <row r="53714" spans="1:4" ht="15.75" customHeight="1">
      <c r="A53714" s="8"/>
      <c r="B53714" s="12"/>
      <c r="C53714" s="8"/>
      <c r="D53714" s="8"/>
    </row>
    <row r="53715" spans="1:4" ht="15.75" customHeight="1">
      <c r="A53715" s="8"/>
      <c r="B53715" s="12"/>
      <c r="C53715" s="8"/>
      <c r="D53715" s="8"/>
    </row>
    <row r="53716" spans="1:4" ht="15.75" customHeight="1">
      <c r="A53716" s="8"/>
      <c r="B53716" s="12"/>
      <c r="C53716" s="8"/>
      <c r="D53716" s="8"/>
    </row>
    <row r="53717" spans="1:4" ht="15.75" customHeight="1">
      <c r="A53717" s="8"/>
      <c r="B53717" s="12"/>
      <c r="C53717" s="8"/>
      <c r="D53717" s="8"/>
    </row>
    <row r="53718" spans="1:4" ht="15.75" customHeight="1">
      <c r="A53718" s="8"/>
      <c r="B53718" s="12"/>
      <c r="C53718" s="8"/>
      <c r="D53718" s="8"/>
    </row>
    <row r="53719" spans="1:4" ht="15.75" customHeight="1">
      <c r="A53719" s="8"/>
      <c r="B53719" s="12"/>
      <c r="C53719" s="8"/>
      <c r="D53719" s="8"/>
    </row>
    <row r="53720" spans="1:4" ht="15.75" customHeight="1">
      <c r="A53720" s="8"/>
      <c r="B53720" s="12"/>
      <c r="C53720" s="8"/>
      <c r="D53720" s="8"/>
    </row>
    <row r="53721" spans="1:4" ht="15.75" customHeight="1">
      <c r="A53721" s="8"/>
      <c r="B53721" s="12"/>
      <c r="C53721" s="8"/>
      <c r="D53721" s="8"/>
    </row>
    <row r="53722" spans="1:4" ht="15.75" customHeight="1">
      <c r="A53722" s="8"/>
      <c r="B53722" s="12"/>
      <c r="C53722" s="8"/>
      <c r="D53722" s="8"/>
    </row>
    <row r="53723" spans="1:4" ht="15.75" customHeight="1">
      <c r="A53723" s="8"/>
      <c r="B53723" s="12"/>
      <c r="C53723" s="8"/>
      <c r="D53723" s="8"/>
    </row>
    <row r="53724" spans="1:4" ht="15.75" customHeight="1">
      <c r="A53724" s="8"/>
      <c r="B53724" s="12"/>
      <c r="C53724" s="8"/>
      <c r="D53724" s="8"/>
    </row>
    <row r="53725" spans="1:4" ht="15.75" customHeight="1">
      <c r="A53725" s="8"/>
      <c r="B53725" s="12"/>
      <c r="C53725" s="8"/>
      <c r="D53725" s="8"/>
    </row>
    <row r="53726" spans="1:4" ht="15.75" customHeight="1">
      <c r="A53726" s="8"/>
      <c r="B53726" s="12"/>
      <c r="C53726" s="8"/>
      <c r="D53726" s="8"/>
    </row>
    <row r="53727" spans="1:4" ht="15.75" customHeight="1">
      <c r="A53727" s="8"/>
      <c r="B53727" s="12"/>
      <c r="C53727" s="8"/>
      <c r="D53727" s="8"/>
    </row>
    <row r="53728" spans="1:4" ht="15.75" customHeight="1">
      <c r="A53728" s="8"/>
      <c r="B53728" s="12"/>
      <c r="C53728" s="8"/>
      <c r="D53728" s="8"/>
    </row>
    <row r="53729" spans="1:4" ht="15.75" customHeight="1">
      <c r="A53729" s="8"/>
      <c r="B53729" s="12"/>
      <c r="C53729" s="8"/>
      <c r="D53729" s="8"/>
    </row>
    <row r="53730" spans="1:4" ht="15.75" customHeight="1">
      <c r="A53730" s="8"/>
      <c r="B53730" s="12"/>
      <c r="C53730" s="8"/>
      <c r="D53730" s="8"/>
    </row>
    <row r="53731" spans="1:4" ht="15.75" customHeight="1">
      <c r="A53731" s="8"/>
      <c r="B53731" s="12"/>
      <c r="C53731" s="8"/>
      <c r="D53731" s="8"/>
    </row>
    <row r="53732" spans="1:4" ht="15.75" customHeight="1">
      <c r="A53732" s="8"/>
      <c r="B53732" s="12"/>
      <c r="C53732" s="8"/>
      <c r="D53732" s="8"/>
    </row>
    <row r="53733" spans="1:4" ht="15.75" customHeight="1">
      <c r="A53733" s="8"/>
      <c r="B53733" s="12"/>
      <c r="C53733" s="8"/>
      <c r="D53733" s="8"/>
    </row>
    <row r="53734" spans="1:4" ht="15.75" customHeight="1">
      <c r="A53734" s="8"/>
      <c r="B53734" s="12"/>
      <c r="C53734" s="8"/>
      <c r="D53734" s="8"/>
    </row>
    <row r="53735" spans="1:4" ht="15.75" customHeight="1">
      <c r="A53735" s="8"/>
      <c r="B53735" s="12"/>
      <c r="C53735" s="8"/>
      <c r="D53735" s="8"/>
    </row>
    <row r="53736" spans="1:4" ht="15.75" customHeight="1">
      <c r="A53736" s="8"/>
      <c r="B53736" s="12"/>
      <c r="C53736" s="8"/>
      <c r="D53736" s="8"/>
    </row>
    <row r="53737" spans="1:4" ht="15.75" customHeight="1">
      <c r="A53737" s="8"/>
      <c r="B53737" s="12"/>
      <c r="C53737" s="8"/>
      <c r="D53737" s="8"/>
    </row>
    <row r="53738" spans="1:4" ht="15.75" customHeight="1">
      <c r="A53738" s="8"/>
      <c r="B53738" s="12"/>
      <c r="C53738" s="8"/>
      <c r="D53738" s="8"/>
    </row>
    <row r="53739" spans="1:4" ht="15.75" customHeight="1">
      <c r="A53739" s="8"/>
      <c r="B53739" s="12"/>
      <c r="C53739" s="8"/>
      <c r="D53739" s="8"/>
    </row>
    <row r="53740" spans="1:4" ht="15.75" customHeight="1">
      <c r="A53740" s="8"/>
      <c r="B53740" s="12"/>
      <c r="C53740" s="8"/>
      <c r="D53740" s="8"/>
    </row>
    <row r="53741" spans="1:4" ht="15.75" customHeight="1">
      <c r="A53741" s="8"/>
      <c r="B53741" s="12"/>
      <c r="C53741" s="8"/>
      <c r="D53741" s="8"/>
    </row>
    <row r="53742" spans="1:4" ht="15.75" customHeight="1">
      <c r="A53742" s="8"/>
      <c r="B53742" s="12"/>
      <c r="C53742" s="8"/>
      <c r="D53742" s="8"/>
    </row>
    <row r="53743" spans="1:4" ht="15.75" customHeight="1">
      <c r="A53743" s="8"/>
      <c r="B53743" s="12"/>
      <c r="C53743" s="8"/>
      <c r="D53743" s="8"/>
    </row>
    <row r="53744" spans="1:4" ht="15.75" customHeight="1">
      <c r="A53744" s="8"/>
      <c r="B53744" s="12"/>
      <c r="C53744" s="8"/>
      <c r="D53744" s="8"/>
    </row>
    <row r="53745" spans="1:4" ht="15.75" customHeight="1">
      <c r="A53745" s="8"/>
      <c r="B53745" s="12"/>
      <c r="C53745" s="8"/>
      <c r="D53745" s="8"/>
    </row>
    <row r="53746" spans="1:4" ht="15.75" customHeight="1">
      <c r="A53746" s="8"/>
      <c r="B53746" s="12"/>
      <c r="C53746" s="8"/>
      <c r="D53746" s="8"/>
    </row>
    <row r="53747" spans="1:4" ht="15.75" customHeight="1">
      <c r="A53747" s="8"/>
      <c r="B53747" s="12"/>
      <c r="C53747" s="8"/>
      <c r="D53747" s="8"/>
    </row>
    <row r="53748" spans="1:4" ht="15.75" customHeight="1">
      <c r="A53748" s="8"/>
      <c r="B53748" s="12"/>
      <c r="C53748" s="8"/>
      <c r="D53748" s="8"/>
    </row>
    <row r="53749" spans="1:4" ht="15.75" customHeight="1">
      <c r="A53749" s="8"/>
      <c r="B53749" s="12"/>
      <c r="C53749" s="8"/>
      <c r="D53749" s="8"/>
    </row>
    <row r="53750" spans="1:4" ht="15.75" customHeight="1">
      <c r="A53750" s="8"/>
      <c r="B53750" s="12"/>
      <c r="C53750" s="8"/>
      <c r="D53750" s="8"/>
    </row>
    <row r="53751" spans="1:4" ht="15.75" customHeight="1">
      <c r="A53751" s="8"/>
      <c r="B53751" s="12"/>
      <c r="C53751" s="8"/>
      <c r="D53751" s="8"/>
    </row>
    <row r="53752" spans="1:4" ht="15.75" customHeight="1">
      <c r="A53752" s="8"/>
      <c r="B53752" s="12"/>
      <c r="C53752" s="8"/>
      <c r="D53752" s="8"/>
    </row>
    <row r="53753" spans="1:4" ht="15.75" customHeight="1">
      <c r="A53753" s="8"/>
      <c r="B53753" s="12"/>
      <c r="C53753" s="8"/>
      <c r="D53753" s="8"/>
    </row>
    <row r="53754" spans="1:4" ht="15.75" customHeight="1">
      <c r="A53754" s="8"/>
      <c r="B53754" s="12"/>
      <c r="C53754" s="8"/>
      <c r="D53754" s="8"/>
    </row>
    <row r="53755" spans="1:4" ht="15.75" customHeight="1">
      <c r="A53755" s="8"/>
      <c r="B53755" s="12"/>
      <c r="C53755" s="8"/>
      <c r="D53755" s="8"/>
    </row>
    <row r="53756" spans="1:4" ht="15.75" customHeight="1">
      <c r="A53756" s="8"/>
      <c r="B53756" s="12"/>
      <c r="C53756" s="8"/>
      <c r="D53756" s="8"/>
    </row>
    <row r="53757" spans="1:4" ht="15.75" customHeight="1">
      <c r="A53757" s="8"/>
      <c r="B53757" s="12"/>
      <c r="C53757" s="8"/>
      <c r="D53757" s="8"/>
    </row>
    <row r="53758" spans="1:4" ht="15.75" customHeight="1">
      <c r="A53758" s="8"/>
      <c r="B53758" s="12"/>
      <c r="C53758" s="8"/>
      <c r="D53758" s="8"/>
    </row>
    <row r="53759" spans="1:4" ht="15.75" customHeight="1">
      <c r="A53759" s="8"/>
      <c r="B53759" s="12"/>
      <c r="C53759" s="8"/>
      <c r="D53759" s="8"/>
    </row>
    <row r="53760" spans="1:4" ht="15.75" customHeight="1">
      <c r="A53760" s="8"/>
      <c r="B53760" s="12"/>
      <c r="C53760" s="8"/>
      <c r="D53760" s="8"/>
    </row>
    <row r="53761" spans="1:4" ht="15.75" customHeight="1">
      <c r="A53761" s="8"/>
      <c r="B53761" s="12"/>
      <c r="C53761" s="8"/>
      <c r="D53761" s="8"/>
    </row>
    <row r="53762" spans="1:4" ht="15.75" customHeight="1">
      <c r="A53762" s="8"/>
      <c r="B53762" s="12"/>
      <c r="C53762" s="8"/>
      <c r="D53762" s="8"/>
    </row>
    <row r="53763" spans="1:4" ht="15.75" customHeight="1">
      <c r="A53763" s="8"/>
      <c r="B53763" s="12"/>
      <c r="C53763" s="8"/>
      <c r="D53763" s="8"/>
    </row>
    <row r="53764" spans="1:4" ht="15.75" customHeight="1">
      <c r="A53764" s="8"/>
      <c r="B53764" s="12"/>
      <c r="C53764" s="8"/>
      <c r="D53764" s="8"/>
    </row>
    <row r="53765" spans="1:4" ht="15.75" customHeight="1">
      <c r="A53765" s="8"/>
      <c r="B53765" s="12"/>
      <c r="C53765" s="8"/>
      <c r="D53765" s="8"/>
    </row>
    <row r="53766" spans="1:4" ht="15.75" customHeight="1">
      <c r="A53766" s="8"/>
      <c r="B53766" s="12"/>
      <c r="C53766" s="8"/>
      <c r="D53766" s="8"/>
    </row>
    <row r="53767" spans="1:4" ht="15.75" customHeight="1">
      <c r="A53767" s="8"/>
      <c r="B53767" s="12"/>
      <c r="C53767" s="8"/>
      <c r="D53767" s="8"/>
    </row>
    <row r="53768" spans="1:4" ht="15.75" customHeight="1">
      <c r="A53768" s="8"/>
      <c r="B53768" s="12"/>
      <c r="C53768" s="8"/>
      <c r="D53768" s="8"/>
    </row>
    <row r="53769" spans="1:4" ht="15.75" customHeight="1">
      <c r="A53769" s="8"/>
      <c r="B53769" s="12"/>
      <c r="C53769" s="8"/>
      <c r="D53769" s="8"/>
    </row>
    <row r="53770" spans="1:4" ht="15.75" customHeight="1">
      <c r="A53770" s="8"/>
      <c r="B53770" s="12"/>
      <c r="C53770" s="8"/>
      <c r="D53770" s="8"/>
    </row>
    <row r="53771" spans="1:4" ht="15.75" customHeight="1">
      <c r="A53771" s="8"/>
      <c r="B53771" s="12"/>
      <c r="C53771" s="8"/>
      <c r="D53771" s="8"/>
    </row>
    <row r="53772" spans="1:4" ht="15.75" customHeight="1">
      <c r="A53772" s="8"/>
      <c r="B53772" s="12"/>
      <c r="C53772" s="8"/>
      <c r="D53772" s="8"/>
    </row>
    <row r="53773" spans="1:4" ht="15.75" customHeight="1">
      <c r="A53773" s="8"/>
      <c r="B53773" s="12"/>
      <c r="C53773" s="8"/>
      <c r="D53773" s="8"/>
    </row>
    <row r="53774" spans="1:4" ht="15.75" customHeight="1">
      <c r="A53774" s="8"/>
      <c r="B53774" s="12"/>
      <c r="C53774" s="8"/>
      <c r="D53774" s="8"/>
    </row>
    <row r="53775" spans="1:4" ht="15.75" customHeight="1">
      <c r="A53775" s="8"/>
      <c r="B53775" s="12"/>
      <c r="C53775" s="8"/>
      <c r="D53775" s="8"/>
    </row>
    <row r="53776" spans="1:4" ht="15.75" customHeight="1">
      <c r="A53776" s="8"/>
      <c r="B53776" s="12"/>
      <c r="C53776" s="8"/>
      <c r="D53776" s="8"/>
    </row>
    <row r="53777" spans="1:4" ht="15.75" customHeight="1">
      <c r="A53777" s="8"/>
      <c r="B53777" s="12"/>
      <c r="C53777" s="8"/>
      <c r="D53777" s="8"/>
    </row>
    <row r="53778" spans="1:4" ht="15.75" customHeight="1">
      <c r="A53778" s="8"/>
      <c r="B53778" s="12"/>
      <c r="C53778" s="8"/>
      <c r="D53778" s="8"/>
    </row>
    <row r="53779" spans="1:4" ht="15.75" customHeight="1">
      <c r="A53779" s="8"/>
      <c r="B53779" s="12"/>
      <c r="C53779" s="8"/>
      <c r="D53779" s="8"/>
    </row>
    <row r="53780" spans="1:4" ht="15.75" customHeight="1">
      <c r="A53780" s="8"/>
      <c r="B53780" s="12"/>
      <c r="C53780" s="8"/>
      <c r="D53780" s="8"/>
    </row>
    <row r="53781" spans="1:4" ht="15.75" customHeight="1">
      <c r="A53781" s="8"/>
      <c r="B53781" s="12"/>
      <c r="C53781" s="8"/>
      <c r="D53781" s="8"/>
    </row>
    <row r="53782" spans="1:4" ht="15.75" customHeight="1">
      <c r="A53782" s="8"/>
      <c r="B53782" s="12"/>
      <c r="C53782" s="8"/>
      <c r="D53782" s="8"/>
    </row>
    <row r="53783" spans="1:4" ht="15.75" customHeight="1">
      <c r="A53783" s="8"/>
      <c r="B53783" s="12"/>
      <c r="C53783" s="8"/>
      <c r="D53783" s="8"/>
    </row>
    <row r="53784" spans="1:4" ht="15.75" customHeight="1">
      <c r="A53784" s="8"/>
      <c r="B53784" s="12"/>
      <c r="C53784" s="8"/>
      <c r="D53784" s="8"/>
    </row>
    <row r="53785" spans="1:4" ht="15.75" customHeight="1">
      <c r="A53785" s="8"/>
      <c r="B53785" s="12"/>
      <c r="C53785" s="8"/>
      <c r="D53785" s="8"/>
    </row>
    <row r="53786" spans="1:4" ht="15.75" customHeight="1">
      <c r="A53786" s="8"/>
      <c r="B53786" s="12"/>
      <c r="C53786" s="8"/>
      <c r="D53786" s="8"/>
    </row>
    <row r="53787" spans="1:4" ht="15.75" customHeight="1">
      <c r="A53787" s="8"/>
      <c r="B53787" s="12"/>
      <c r="C53787" s="8"/>
      <c r="D53787" s="8"/>
    </row>
    <row r="53788" spans="1:4" ht="15.75" customHeight="1">
      <c r="A53788" s="8"/>
      <c r="B53788" s="12"/>
      <c r="C53788" s="8"/>
      <c r="D53788" s="8"/>
    </row>
    <row r="53789" spans="1:4" ht="15.75" customHeight="1">
      <c r="A53789" s="8"/>
      <c r="B53789" s="12"/>
      <c r="C53789" s="8"/>
      <c r="D53789" s="8"/>
    </row>
    <row r="53790" spans="1:4" ht="15.75" customHeight="1">
      <c r="A53790" s="8"/>
      <c r="B53790" s="12"/>
      <c r="C53790" s="8"/>
      <c r="D53790" s="8"/>
    </row>
    <row r="53791" spans="1:4" ht="15.75" customHeight="1">
      <c r="A53791" s="8"/>
      <c r="B53791" s="12"/>
      <c r="C53791" s="8"/>
      <c r="D53791" s="8"/>
    </row>
    <row r="53792" spans="1:4" ht="15.75" customHeight="1">
      <c r="A53792" s="8"/>
      <c r="B53792" s="12"/>
      <c r="C53792" s="8"/>
      <c r="D53792" s="8"/>
    </row>
    <row r="53793" spans="1:4" ht="15.75" customHeight="1">
      <c r="A53793" s="8"/>
      <c r="B53793" s="12"/>
      <c r="C53793" s="8"/>
      <c r="D53793" s="8"/>
    </row>
    <row r="53794" spans="1:4" ht="15.75" customHeight="1">
      <c r="A53794" s="8"/>
      <c r="B53794" s="12"/>
      <c r="C53794" s="8"/>
      <c r="D53794" s="8"/>
    </row>
    <row r="53795" spans="1:4" ht="15.75" customHeight="1">
      <c r="A53795" s="8"/>
      <c r="B53795" s="12"/>
      <c r="C53795" s="8"/>
      <c r="D53795" s="8"/>
    </row>
    <row r="53796" spans="1:4" ht="15.75" customHeight="1">
      <c r="A53796" s="8"/>
      <c r="B53796" s="12"/>
      <c r="C53796" s="8"/>
      <c r="D53796" s="8"/>
    </row>
    <row r="53797" spans="1:4" ht="15.75" customHeight="1">
      <c r="A53797" s="8"/>
      <c r="B53797" s="12"/>
      <c r="C53797" s="8"/>
      <c r="D53797" s="8"/>
    </row>
    <row r="53798" spans="1:4" ht="15.75" customHeight="1">
      <c r="A53798" s="8"/>
      <c r="B53798" s="12"/>
      <c r="C53798" s="8"/>
      <c r="D53798" s="8"/>
    </row>
    <row r="53799" spans="1:4" ht="15.75" customHeight="1">
      <c r="A53799" s="8"/>
      <c r="B53799" s="12"/>
      <c r="C53799" s="8"/>
      <c r="D53799" s="8"/>
    </row>
    <row r="53800" spans="1:4" ht="15.75" customHeight="1">
      <c r="A53800" s="8"/>
      <c r="B53800" s="12"/>
      <c r="C53800" s="8"/>
      <c r="D53800" s="8"/>
    </row>
    <row r="53801" spans="1:4" ht="15.75" customHeight="1">
      <c r="A53801" s="8"/>
      <c r="B53801" s="12"/>
      <c r="C53801" s="8"/>
      <c r="D53801" s="8"/>
    </row>
    <row r="53802" spans="1:4" ht="15.75" customHeight="1">
      <c r="A53802" s="8"/>
      <c r="B53802" s="12"/>
      <c r="C53802" s="8"/>
      <c r="D53802" s="8"/>
    </row>
    <row r="53803" spans="1:4" ht="15.75" customHeight="1">
      <c r="A53803" s="8"/>
      <c r="B53803" s="12"/>
      <c r="C53803" s="8"/>
      <c r="D53803" s="8"/>
    </row>
    <row r="53804" spans="1:4" ht="15.75" customHeight="1">
      <c r="A53804" s="8"/>
      <c r="B53804" s="12"/>
      <c r="C53804" s="8"/>
      <c r="D53804" s="8"/>
    </row>
    <row r="53805" spans="1:4" ht="15.75" customHeight="1">
      <c r="A53805" s="8"/>
      <c r="B53805" s="12"/>
      <c r="C53805" s="8"/>
      <c r="D53805" s="8"/>
    </row>
    <row r="53806" spans="1:4" ht="15.75" customHeight="1">
      <c r="A53806" s="8"/>
      <c r="B53806" s="12"/>
      <c r="C53806" s="8"/>
      <c r="D53806" s="8"/>
    </row>
    <row r="53807" spans="1:4" ht="15.75" customHeight="1">
      <c r="A53807" s="8"/>
      <c r="B53807" s="12"/>
      <c r="C53807" s="8"/>
      <c r="D53807" s="8"/>
    </row>
    <row r="53808" spans="1:4" ht="15.75" customHeight="1">
      <c r="A53808" s="8"/>
      <c r="B53808" s="12"/>
      <c r="C53808" s="8"/>
      <c r="D53808" s="8"/>
    </row>
    <row r="53809" spans="1:4" ht="15.75" customHeight="1">
      <c r="A53809" s="8"/>
      <c r="B53809" s="12"/>
      <c r="C53809" s="8"/>
      <c r="D53809" s="8"/>
    </row>
    <row r="53810" spans="1:4" ht="15.75" customHeight="1">
      <c r="A53810" s="8"/>
      <c r="B53810" s="12"/>
      <c r="C53810" s="8"/>
      <c r="D53810" s="8"/>
    </row>
    <row r="53811" spans="1:4" ht="15.75" customHeight="1">
      <c r="A53811" s="8"/>
      <c r="B53811" s="12"/>
      <c r="C53811" s="8"/>
      <c r="D53811" s="8"/>
    </row>
    <row r="53812" spans="1:4" ht="15.75" customHeight="1">
      <c r="A53812" s="8"/>
      <c r="B53812" s="12"/>
      <c r="C53812" s="8"/>
      <c r="D53812" s="8"/>
    </row>
    <row r="53813" spans="1:4" ht="15.75" customHeight="1">
      <c r="A53813" s="8"/>
      <c r="B53813" s="12"/>
      <c r="C53813" s="8"/>
      <c r="D53813" s="8"/>
    </row>
    <row r="53814" spans="1:4" ht="15.75" customHeight="1">
      <c r="A53814" s="8"/>
      <c r="B53814" s="12"/>
      <c r="C53814" s="8"/>
      <c r="D53814" s="8"/>
    </row>
    <row r="53815" spans="1:4" ht="15.75" customHeight="1">
      <c r="A53815" s="8"/>
      <c r="B53815" s="12"/>
      <c r="C53815" s="8"/>
      <c r="D53815" s="8"/>
    </row>
    <row r="53816" spans="1:4" ht="15.75" customHeight="1">
      <c r="A53816" s="8"/>
      <c r="B53816" s="12"/>
      <c r="C53816" s="8"/>
      <c r="D53816" s="8"/>
    </row>
    <row r="53817" spans="1:4" ht="15.75" customHeight="1">
      <c r="A53817" s="8"/>
      <c r="B53817" s="12"/>
      <c r="C53817" s="8"/>
      <c r="D53817" s="8"/>
    </row>
    <row r="53818" spans="1:4" ht="15.75" customHeight="1">
      <c r="A53818" s="8"/>
      <c r="B53818" s="12"/>
      <c r="C53818" s="8"/>
      <c r="D53818" s="8"/>
    </row>
    <row r="53819" spans="1:4" ht="15.75" customHeight="1">
      <c r="A53819" s="8"/>
      <c r="B53819" s="12"/>
      <c r="C53819" s="8"/>
      <c r="D53819" s="8"/>
    </row>
    <row r="53820" spans="1:4" ht="15.75" customHeight="1">
      <c r="A53820" s="8"/>
      <c r="B53820" s="12"/>
      <c r="C53820" s="8"/>
      <c r="D53820" s="8"/>
    </row>
    <row r="53821" spans="1:4" ht="15.75" customHeight="1">
      <c r="A53821" s="8"/>
      <c r="B53821" s="12"/>
      <c r="C53821" s="8"/>
      <c r="D53821" s="8"/>
    </row>
    <row r="53822" spans="1:4" ht="15.75" customHeight="1">
      <c r="A53822" s="8"/>
      <c r="B53822" s="12"/>
      <c r="C53822" s="8"/>
      <c r="D53822" s="8"/>
    </row>
    <row r="53823" spans="1:4" ht="15.75" customHeight="1">
      <c r="A53823" s="8"/>
      <c r="B53823" s="12"/>
      <c r="C53823" s="8"/>
      <c r="D53823" s="8"/>
    </row>
    <row r="53824" spans="1:4" ht="15.75" customHeight="1">
      <c r="A53824" s="8"/>
      <c r="B53824" s="12"/>
      <c r="C53824" s="8"/>
      <c r="D53824" s="8"/>
    </row>
    <row r="53825" spans="1:4" ht="15.75" customHeight="1">
      <c r="A53825" s="8"/>
      <c r="B53825" s="12"/>
      <c r="C53825" s="8"/>
      <c r="D53825" s="8"/>
    </row>
    <row r="53826" spans="1:4" ht="15.75" customHeight="1">
      <c r="A53826" s="8"/>
      <c r="B53826" s="12"/>
      <c r="C53826" s="8"/>
      <c r="D53826" s="8"/>
    </row>
    <row r="53827" spans="1:4" ht="15.75" customHeight="1">
      <c r="A53827" s="8"/>
      <c r="B53827" s="12"/>
      <c r="C53827" s="8"/>
      <c r="D53827" s="8"/>
    </row>
    <row r="53828" spans="1:4" ht="15.75" customHeight="1">
      <c r="A53828" s="8"/>
      <c r="B53828" s="12"/>
      <c r="C53828" s="8"/>
      <c r="D53828" s="8"/>
    </row>
    <row r="53829" spans="1:4" ht="15.75" customHeight="1">
      <c r="A53829" s="8"/>
      <c r="B53829" s="12"/>
      <c r="C53829" s="8"/>
      <c r="D53829" s="8"/>
    </row>
    <row r="53830" spans="1:4" ht="15.75" customHeight="1">
      <c r="A53830" s="8"/>
      <c r="B53830" s="12"/>
      <c r="C53830" s="8"/>
      <c r="D53830" s="8"/>
    </row>
    <row r="53831" spans="1:4" ht="15.75" customHeight="1">
      <c r="A53831" s="8"/>
      <c r="B53831" s="12"/>
      <c r="C53831" s="8"/>
      <c r="D53831" s="8"/>
    </row>
    <row r="53832" spans="1:4" ht="15.75" customHeight="1">
      <c r="A53832" s="8"/>
      <c r="B53832" s="12"/>
      <c r="C53832" s="8"/>
      <c r="D53832" s="8"/>
    </row>
    <row r="53833" spans="1:4" ht="15.75" customHeight="1">
      <c r="A53833" s="8"/>
      <c r="B53833" s="12"/>
      <c r="C53833" s="8"/>
      <c r="D53833" s="8"/>
    </row>
    <row r="53834" spans="1:4" ht="15.75" customHeight="1">
      <c r="A53834" s="8"/>
      <c r="B53834" s="12"/>
      <c r="C53834" s="8"/>
      <c r="D53834" s="8"/>
    </row>
    <row r="53835" spans="1:4" ht="15.75" customHeight="1">
      <c r="A53835" s="8"/>
      <c r="B53835" s="12"/>
      <c r="C53835" s="8"/>
      <c r="D53835" s="8"/>
    </row>
    <row r="53836" spans="1:4" ht="15.75" customHeight="1">
      <c r="A53836" s="8"/>
      <c r="B53836" s="12"/>
      <c r="C53836" s="8"/>
      <c r="D53836" s="8"/>
    </row>
    <row r="53837" spans="1:4" ht="15.75" customHeight="1">
      <c r="A53837" s="8"/>
      <c r="B53837" s="12"/>
      <c r="C53837" s="8"/>
      <c r="D53837" s="8"/>
    </row>
    <row r="53838" spans="1:4" ht="15.75" customHeight="1">
      <c r="A53838" s="8"/>
      <c r="B53838" s="12"/>
      <c r="C53838" s="8"/>
      <c r="D53838" s="8"/>
    </row>
    <row r="53839" spans="1:4" ht="15.75" customHeight="1">
      <c r="A53839" s="8"/>
      <c r="B53839" s="12"/>
      <c r="C53839" s="8"/>
      <c r="D53839" s="8"/>
    </row>
    <row r="53840" spans="1:4" ht="15.75" customHeight="1">
      <c r="A53840" s="8"/>
      <c r="B53840" s="12"/>
      <c r="C53840" s="8"/>
      <c r="D53840" s="8"/>
    </row>
    <row r="53841" spans="1:4" ht="15.75" customHeight="1">
      <c r="A53841" s="8"/>
      <c r="B53841" s="12"/>
      <c r="C53841" s="8"/>
      <c r="D53841" s="8"/>
    </row>
    <row r="53842" spans="1:4" ht="15.75" customHeight="1">
      <c r="A53842" s="8"/>
      <c r="B53842" s="12"/>
      <c r="C53842" s="8"/>
      <c r="D53842" s="8"/>
    </row>
    <row r="53843" spans="1:4" ht="15.75" customHeight="1">
      <c r="A53843" s="8"/>
      <c r="B53843" s="12"/>
      <c r="C53843" s="8"/>
      <c r="D53843" s="8"/>
    </row>
    <row r="53844" spans="1:4" ht="15.75" customHeight="1">
      <c r="A53844" s="8"/>
      <c r="B53844" s="12"/>
      <c r="C53844" s="8"/>
      <c r="D53844" s="8"/>
    </row>
    <row r="53845" spans="1:4" ht="15.75" customHeight="1">
      <c r="A53845" s="8"/>
      <c r="B53845" s="12"/>
      <c r="C53845" s="8"/>
      <c r="D53845" s="8"/>
    </row>
    <row r="53846" spans="1:4" ht="15.75" customHeight="1">
      <c r="A53846" s="8"/>
      <c r="B53846" s="12"/>
      <c r="C53846" s="8"/>
      <c r="D53846" s="8"/>
    </row>
    <row r="53847" spans="1:4" ht="15.75" customHeight="1">
      <c r="A53847" s="8"/>
      <c r="B53847" s="12"/>
      <c r="C53847" s="8"/>
      <c r="D53847" s="8"/>
    </row>
    <row r="53848" spans="1:4" ht="15.75" customHeight="1">
      <c r="A53848" s="8"/>
      <c r="B53848" s="12"/>
      <c r="C53848" s="8"/>
      <c r="D53848" s="8"/>
    </row>
    <row r="53849" spans="1:4" ht="15.75" customHeight="1">
      <c r="A53849" s="8"/>
      <c r="B53849" s="12"/>
      <c r="C53849" s="8"/>
      <c r="D53849" s="8"/>
    </row>
    <row r="53850" spans="1:4" ht="15.75" customHeight="1">
      <c r="A53850" s="8"/>
      <c r="B53850" s="12"/>
      <c r="C53850" s="8"/>
      <c r="D53850" s="8"/>
    </row>
    <row r="53851" spans="1:4" ht="15.75" customHeight="1">
      <c r="A53851" s="8"/>
      <c r="B53851" s="12"/>
      <c r="C53851" s="8"/>
      <c r="D53851" s="8"/>
    </row>
    <row r="53852" spans="1:4" ht="15.75" customHeight="1">
      <c r="A53852" s="8"/>
      <c r="B53852" s="12"/>
      <c r="C53852" s="8"/>
      <c r="D53852" s="8"/>
    </row>
    <row r="53853" spans="1:4" ht="15.75" customHeight="1">
      <c r="A53853" s="8"/>
      <c r="B53853" s="12"/>
      <c r="C53853" s="8"/>
      <c r="D53853" s="8"/>
    </row>
    <row r="53854" spans="1:4" ht="15.75" customHeight="1">
      <c r="A53854" s="8"/>
      <c r="B53854" s="12"/>
      <c r="C53854" s="8"/>
      <c r="D53854" s="8"/>
    </row>
    <row r="53855" spans="1:4" ht="15.75" customHeight="1">
      <c r="A53855" s="8"/>
      <c r="B53855" s="12"/>
      <c r="C53855" s="8"/>
      <c r="D53855" s="8"/>
    </row>
    <row r="53856" spans="1:4" ht="15.75" customHeight="1">
      <c r="A53856" s="8"/>
      <c r="B53856" s="12"/>
      <c r="C53856" s="8"/>
      <c r="D53856" s="8"/>
    </row>
    <row r="53857" spans="1:4" ht="15.75" customHeight="1">
      <c r="A53857" s="8"/>
      <c r="B53857" s="12"/>
      <c r="C53857" s="8"/>
      <c r="D53857" s="8"/>
    </row>
    <row r="53858" spans="1:4" ht="15.75" customHeight="1">
      <c r="A53858" s="8"/>
      <c r="B53858" s="12"/>
      <c r="C53858" s="8"/>
      <c r="D53858" s="8"/>
    </row>
    <row r="53859" spans="1:4" ht="15.75" customHeight="1">
      <c r="A53859" s="8"/>
      <c r="B53859" s="12"/>
      <c r="C53859" s="8"/>
      <c r="D53859" s="8"/>
    </row>
    <row r="53860" spans="1:4" ht="15.75" customHeight="1">
      <c r="A53860" s="8"/>
      <c r="B53860" s="12"/>
      <c r="C53860" s="8"/>
      <c r="D53860" s="8"/>
    </row>
    <row r="53861" spans="1:4" ht="15.75" customHeight="1">
      <c r="A53861" s="8"/>
      <c r="B53861" s="12"/>
      <c r="C53861" s="8"/>
      <c r="D53861" s="8"/>
    </row>
    <row r="53862" spans="1:4" ht="15.75" customHeight="1">
      <c r="A53862" s="8"/>
      <c r="B53862" s="12"/>
      <c r="C53862" s="8"/>
      <c r="D53862" s="8"/>
    </row>
    <row r="53863" spans="1:4" ht="15.75" customHeight="1">
      <c r="A53863" s="8"/>
      <c r="B53863" s="12"/>
      <c r="C53863" s="8"/>
      <c r="D53863" s="8"/>
    </row>
    <row r="53864" spans="1:4" ht="15.75" customHeight="1">
      <c r="A53864" s="8"/>
      <c r="B53864" s="12"/>
      <c r="C53864" s="8"/>
      <c r="D53864" s="8"/>
    </row>
    <row r="53865" spans="1:4" ht="15.75" customHeight="1">
      <c r="A53865" s="8"/>
      <c r="B53865" s="12"/>
      <c r="C53865" s="8"/>
      <c r="D53865" s="8"/>
    </row>
    <row r="53866" spans="1:4" ht="15.75" customHeight="1">
      <c r="A53866" s="8"/>
      <c r="B53866" s="12"/>
      <c r="C53866" s="8"/>
      <c r="D53866" s="8"/>
    </row>
    <row r="53867" spans="1:4" ht="15.75" customHeight="1">
      <c r="A53867" s="8"/>
      <c r="B53867" s="12"/>
      <c r="C53867" s="8"/>
      <c r="D53867" s="8"/>
    </row>
    <row r="53868" spans="1:4" ht="15.75" customHeight="1">
      <c r="A53868" s="8"/>
      <c r="B53868" s="12"/>
      <c r="C53868" s="8"/>
      <c r="D53868" s="8"/>
    </row>
    <row r="53869" spans="1:4" ht="15.75" customHeight="1">
      <c r="A53869" s="8"/>
      <c r="B53869" s="12"/>
      <c r="C53869" s="8"/>
      <c r="D53869" s="8"/>
    </row>
    <row r="53870" spans="1:4" ht="15.75" customHeight="1">
      <c r="A53870" s="8"/>
      <c r="B53870" s="12"/>
      <c r="C53870" s="8"/>
      <c r="D53870" s="8"/>
    </row>
    <row r="53871" spans="1:4" ht="15.75" customHeight="1">
      <c r="A53871" s="8"/>
      <c r="B53871" s="12"/>
      <c r="C53871" s="8"/>
      <c r="D53871" s="8"/>
    </row>
    <row r="53872" spans="1:4" ht="15.75" customHeight="1">
      <c r="A53872" s="8"/>
      <c r="B53872" s="12"/>
      <c r="C53872" s="8"/>
      <c r="D53872" s="8"/>
    </row>
    <row r="53873" spans="1:4" ht="15.75" customHeight="1">
      <c r="A53873" s="8"/>
      <c r="B53873" s="12"/>
      <c r="C53873" s="8"/>
      <c r="D53873" s="8"/>
    </row>
    <row r="53874" spans="1:4" ht="15.75" customHeight="1">
      <c r="A53874" s="8"/>
      <c r="B53874" s="12"/>
      <c r="C53874" s="8"/>
      <c r="D53874" s="8"/>
    </row>
    <row r="53875" spans="1:4" ht="15.75" customHeight="1">
      <c r="A53875" s="8"/>
      <c r="B53875" s="12"/>
      <c r="C53875" s="8"/>
      <c r="D53875" s="8"/>
    </row>
    <row r="53876" spans="1:4" ht="15.75" customHeight="1">
      <c r="A53876" s="8"/>
      <c r="B53876" s="12"/>
      <c r="C53876" s="8"/>
      <c r="D53876" s="8"/>
    </row>
    <row r="53877" spans="1:4" ht="15.75" customHeight="1">
      <c r="A53877" s="8"/>
      <c r="B53877" s="12"/>
      <c r="C53877" s="8"/>
      <c r="D53877" s="8"/>
    </row>
    <row r="53878" spans="1:4" ht="15.75" customHeight="1">
      <c r="A53878" s="8"/>
      <c r="B53878" s="12"/>
      <c r="C53878" s="8"/>
      <c r="D53878" s="8"/>
    </row>
    <row r="53879" spans="1:4" ht="15.75" customHeight="1">
      <c r="A53879" s="8"/>
      <c r="B53879" s="12"/>
      <c r="C53879" s="8"/>
      <c r="D53879" s="8"/>
    </row>
    <row r="53880" spans="1:4" ht="15.75" customHeight="1">
      <c r="A53880" s="8"/>
      <c r="B53880" s="12"/>
      <c r="C53880" s="8"/>
      <c r="D53880" s="8"/>
    </row>
    <row r="53881" spans="1:4" ht="15.75" customHeight="1">
      <c r="A53881" s="8"/>
      <c r="B53881" s="12"/>
      <c r="C53881" s="8"/>
      <c r="D53881" s="8"/>
    </row>
    <row r="53882" spans="1:4" ht="15.75" customHeight="1">
      <c r="A53882" s="8"/>
      <c r="B53882" s="12"/>
      <c r="C53882" s="8"/>
      <c r="D53882" s="8"/>
    </row>
    <row r="53883" spans="1:4" ht="15.75" customHeight="1">
      <c r="A53883" s="8"/>
      <c r="B53883" s="12"/>
      <c r="C53883" s="8"/>
      <c r="D53883" s="8"/>
    </row>
    <row r="53884" spans="1:4" ht="15.75" customHeight="1">
      <c r="A53884" s="8"/>
      <c r="B53884" s="12"/>
      <c r="C53884" s="8"/>
      <c r="D53884" s="8"/>
    </row>
    <row r="53885" spans="1:4" ht="15.75" customHeight="1">
      <c r="A53885" s="8"/>
      <c r="B53885" s="12"/>
      <c r="C53885" s="8"/>
      <c r="D53885" s="8"/>
    </row>
    <row r="53886" spans="1:4" ht="15.75" customHeight="1">
      <c r="A53886" s="8"/>
      <c r="B53886" s="12"/>
      <c r="C53886" s="8"/>
      <c r="D53886" s="8"/>
    </row>
    <row r="53887" spans="1:4" ht="15.75" customHeight="1">
      <c r="A53887" s="8"/>
      <c r="B53887" s="12"/>
      <c r="C53887" s="8"/>
      <c r="D53887" s="8"/>
    </row>
    <row r="53888" spans="1:4" ht="15.75" customHeight="1">
      <c r="A53888" s="8"/>
      <c r="B53888" s="12"/>
      <c r="C53888" s="8"/>
      <c r="D53888" s="8"/>
    </row>
    <row r="53889" spans="1:4" ht="15.75" customHeight="1">
      <c r="A53889" s="8"/>
      <c r="B53889" s="12"/>
      <c r="C53889" s="8"/>
      <c r="D53889" s="8"/>
    </row>
    <row r="53890" spans="1:4" ht="15.75" customHeight="1">
      <c r="A53890" s="8"/>
      <c r="B53890" s="12"/>
      <c r="C53890" s="8"/>
      <c r="D53890" s="8"/>
    </row>
    <row r="53891" spans="1:4" ht="15.75" customHeight="1">
      <c r="A53891" s="8"/>
      <c r="B53891" s="12"/>
      <c r="C53891" s="8"/>
      <c r="D53891" s="8"/>
    </row>
    <row r="53892" spans="1:4" ht="15.75" customHeight="1">
      <c r="A53892" s="8"/>
      <c r="B53892" s="12"/>
      <c r="C53892" s="8"/>
      <c r="D53892" s="8"/>
    </row>
    <row r="53893" spans="1:4" ht="15.75" customHeight="1">
      <c r="A53893" s="8"/>
      <c r="B53893" s="12"/>
      <c r="C53893" s="8"/>
      <c r="D53893" s="8"/>
    </row>
    <row r="53894" spans="1:4" ht="15.75" customHeight="1">
      <c r="A53894" s="8"/>
      <c r="B53894" s="12"/>
      <c r="C53894" s="8"/>
      <c r="D53894" s="8"/>
    </row>
    <row r="53895" spans="1:4" ht="15.75" customHeight="1">
      <c r="A53895" s="8"/>
      <c r="B53895" s="12"/>
      <c r="C53895" s="8"/>
      <c r="D53895" s="8"/>
    </row>
    <row r="53896" spans="1:4" ht="15.75" customHeight="1">
      <c r="A53896" s="8"/>
      <c r="B53896" s="12"/>
      <c r="C53896" s="8"/>
      <c r="D53896" s="8"/>
    </row>
    <row r="53897" spans="1:4" ht="15.75" customHeight="1">
      <c r="A53897" s="8"/>
      <c r="B53897" s="12"/>
      <c r="C53897" s="8"/>
      <c r="D53897" s="8"/>
    </row>
    <row r="53898" spans="1:4" ht="15.75" customHeight="1">
      <c r="A53898" s="8"/>
      <c r="B53898" s="12"/>
      <c r="C53898" s="8"/>
      <c r="D53898" s="8"/>
    </row>
    <row r="53899" spans="1:4" ht="15.75" customHeight="1">
      <c r="A53899" s="8"/>
      <c r="B53899" s="12"/>
      <c r="C53899" s="8"/>
      <c r="D53899" s="8"/>
    </row>
    <row r="53900" spans="1:4" ht="15.75" customHeight="1">
      <c r="A53900" s="8"/>
      <c r="B53900" s="12"/>
      <c r="C53900" s="8"/>
      <c r="D53900" s="8"/>
    </row>
    <row r="53901" spans="1:4" ht="15.75" customHeight="1">
      <c r="A53901" s="8"/>
      <c r="B53901" s="12"/>
      <c r="C53901" s="8"/>
      <c r="D53901" s="8"/>
    </row>
    <row r="53902" spans="1:4" ht="15.75" customHeight="1">
      <c r="A53902" s="8"/>
      <c r="B53902" s="12"/>
      <c r="C53902" s="8"/>
      <c r="D53902" s="8"/>
    </row>
    <row r="53903" spans="1:4" ht="15.75" customHeight="1">
      <c r="A53903" s="8"/>
      <c r="B53903" s="12"/>
      <c r="C53903" s="8"/>
      <c r="D53903" s="8"/>
    </row>
    <row r="53904" spans="1:4" ht="15.75" customHeight="1">
      <c r="A53904" s="8"/>
      <c r="B53904" s="12"/>
      <c r="C53904" s="8"/>
      <c r="D53904" s="8"/>
    </row>
    <row r="53905" spans="1:4" ht="15.75" customHeight="1">
      <c r="A53905" s="8"/>
      <c r="B53905" s="12"/>
      <c r="C53905" s="8"/>
      <c r="D53905" s="8"/>
    </row>
    <row r="53906" spans="1:4" ht="15.75" customHeight="1">
      <c r="A53906" s="8"/>
      <c r="B53906" s="12"/>
      <c r="C53906" s="8"/>
      <c r="D53906" s="8"/>
    </row>
    <row r="53907" spans="1:4" ht="15.75" customHeight="1">
      <c r="A53907" s="8"/>
      <c r="B53907" s="12"/>
      <c r="C53907" s="8"/>
      <c r="D53907" s="8"/>
    </row>
    <row r="53908" spans="1:4" ht="15.75" customHeight="1">
      <c r="A53908" s="8"/>
      <c r="B53908" s="12"/>
      <c r="C53908" s="8"/>
      <c r="D53908" s="8"/>
    </row>
    <row r="53909" spans="1:4" ht="15.75" customHeight="1">
      <c r="A53909" s="8"/>
      <c r="B53909" s="12"/>
      <c r="C53909" s="8"/>
      <c r="D53909" s="8"/>
    </row>
    <row r="53910" spans="1:4" ht="15.75" customHeight="1">
      <c r="A53910" s="8"/>
      <c r="B53910" s="12"/>
      <c r="C53910" s="8"/>
      <c r="D53910" s="8"/>
    </row>
    <row r="53911" spans="1:4" ht="15.75" customHeight="1">
      <c r="A53911" s="8"/>
      <c r="B53911" s="12"/>
      <c r="C53911" s="8"/>
      <c r="D53911" s="8"/>
    </row>
    <row r="53912" spans="1:4" ht="15.75" customHeight="1">
      <c r="A53912" s="8"/>
      <c r="B53912" s="12"/>
      <c r="C53912" s="8"/>
      <c r="D53912" s="8"/>
    </row>
    <row r="53913" spans="1:4" ht="15.75" customHeight="1">
      <c r="A53913" s="8"/>
      <c r="B53913" s="12"/>
      <c r="C53913" s="8"/>
      <c r="D53913" s="8"/>
    </row>
    <row r="53914" spans="1:4" ht="15.75" customHeight="1">
      <c r="A53914" s="8"/>
      <c r="B53914" s="12"/>
      <c r="C53914" s="8"/>
      <c r="D53914" s="8"/>
    </row>
    <row r="53915" spans="1:4" ht="15.75" customHeight="1">
      <c r="A53915" s="8"/>
      <c r="B53915" s="12"/>
      <c r="C53915" s="8"/>
      <c r="D53915" s="8"/>
    </row>
    <row r="53916" spans="1:4" ht="15.75" customHeight="1">
      <c r="A53916" s="8"/>
      <c r="B53916" s="12"/>
      <c r="C53916" s="8"/>
      <c r="D53916" s="8"/>
    </row>
    <row r="53917" spans="1:4" ht="15.75" customHeight="1">
      <c r="A53917" s="8"/>
      <c r="B53917" s="12"/>
      <c r="C53917" s="8"/>
      <c r="D53917" s="8"/>
    </row>
    <row r="53918" spans="1:4" ht="15.75" customHeight="1">
      <c r="A53918" s="8"/>
      <c r="B53918" s="12"/>
      <c r="C53918" s="8"/>
      <c r="D53918" s="8"/>
    </row>
    <row r="53919" spans="1:4" ht="15.75" customHeight="1">
      <c r="A53919" s="8"/>
      <c r="B53919" s="12"/>
      <c r="C53919" s="8"/>
      <c r="D53919" s="8"/>
    </row>
    <row r="53920" spans="1:4" ht="15.75" customHeight="1">
      <c r="A53920" s="8"/>
      <c r="B53920" s="12"/>
      <c r="C53920" s="8"/>
      <c r="D53920" s="8"/>
    </row>
    <row r="53921" spans="1:4" ht="15.75" customHeight="1">
      <c r="A53921" s="8"/>
      <c r="B53921" s="12"/>
      <c r="C53921" s="8"/>
      <c r="D53921" s="8"/>
    </row>
    <row r="53922" spans="1:4" ht="15.75" customHeight="1">
      <c r="A53922" s="8"/>
      <c r="B53922" s="12"/>
      <c r="C53922" s="8"/>
      <c r="D53922" s="8"/>
    </row>
    <row r="53923" spans="1:4" ht="15.75" customHeight="1">
      <c r="A53923" s="8"/>
      <c r="B53923" s="12"/>
      <c r="C53923" s="8"/>
      <c r="D53923" s="8"/>
    </row>
    <row r="53924" spans="1:4" ht="15.75" customHeight="1">
      <c r="A53924" s="8"/>
      <c r="B53924" s="12"/>
      <c r="C53924" s="8"/>
      <c r="D53924" s="8"/>
    </row>
    <row r="53925" spans="1:4" ht="15.75" customHeight="1">
      <c r="A53925" s="8"/>
      <c r="B53925" s="12"/>
      <c r="C53925" s="8"/>
      <c r="D53925" s="8"/>
    </row>
    <row r="53926" spans="1:4" ht="15.75" customHeight="1">
      <c r="A53926" s="8"/>
      <c r="B53926" s="12"/>
      <c r="C53926" s="8"/>
      <c r="D53926" s="8"/>
    </row>
    <row r="53927" spans="1:4" ht="15.75" customHeight="1">
      <c r="A53927" s="8"/>
      <c r="B53927" s="12"/>
      <c r="C53927" s="8"/>
      <c r="D53927" s="8"/>
    </row>
    <row r="53928" spans="1:4" ht="15.75" customHeight="1">
      <c r="A53928" s="8"/>
      <c r="B53928" s="12"/>
      <c r="C53928" s="8"/>
      <c r="D53928" s="8"/>
    </row>
    <row r="53929" spans="1:4" ht="15.75" customHeight="1">
      <c r="A53929" s="8"/>
      <c r="B53929" s="12"/>
      <c r="C53929" s="8"/>
      <c r="D53929" s="8"/>
    </row>
    <row r="53930" spans="1:4" ht="15.75" customHeight="1">
      <c r="A53930" s="8"/>
      <c r="B53930" s="12"/>
      <c r="C53930" s="8"/>
      <c r="D53930" s="8"/>
    </row>
    <row r="53931" spans="1:4" ht="15.75" customHeight="1">
      <c r="A53931" s="8"/>
      <c r="B53931" s="12"/>
      <c r="C53931" s="8"/>
      <c r="D53931" s="8"/>
    </row>
    <row r="53932" spans="1:4" ht="15.75" customHeight="1">
      <c r="A53932" s="8"/>
      <c r="B53932" s="12"/>
      <c r="C53932" s="8"/>
      <c r="D53932" s="8"/>
    </row>
    <row r="53933" spans="1:4" ht="15.75" customHeight="1">
      <c r="A53933" s="8"/>
      <c r="B53933" s="12"/>
      <c r="C53933" s="8"/>
      <c r="D53933" s="8"/>
    </row>
    <row r="53934" spans="1:4" ht="15.75" customHeight="1">
      <c r="A53934" s="8"/>
      <c r="B53934" s="12"/>
      <c r="C53934" s="8"/>
      <c r="D53934" s="8"/>
    </row>
    <row r="53935" spans="1:4" ht="15.75" customHeight="1">
      <c r="A53935" s="8"/>
      <c r="B53935" s="12"/>
      <c r="C53935" s="8"/>
      <c r="D53935" s="8"/>
    </row>
    <row r="53936" spans="1:4" ht="15.75" customHeight="1">
      <c r="A53936" s="8"/>
      <c r="B53936" s="12"/>
      <c r="C53936" s="8"/>
      <c r="D53936" s="8"/>
    </row>
    <row r="53937" spans="1:4" ht="15.75" customHeight="1">
      <c r="A53937" s="8"/>
      <c r="B53937" s="12"/>
      <c r="C53937" s="8"/>
      <c r="D53937" s="8"/>
    </row>
    <row r="53938" spans="1:4" ht="15.75" customHeight="1">
      <c r="A53938" s="8"/>
      <c r="B53938" s="12"/>
      <c r="C53938" s="8"/>
      <c r="D53938" s="8"/>
    </row>
    <row r="53939" spans="1:4" ht="15.75" customHeight="1">
      <c r="A53939" s="8"/>
      <c r="B53939" s="12"/>
      <c r="C53939" s="8"/>
      <c r="D53939" s="8"/>
    </row>
    <row r="53940" spans="1:4" ht="15.75" customHeight="1">
      <c r="A53940" s="8"/>
      <c r="B53940" s="12"/>
      <c r="C53940" s="8"/>
      <c r="D53940" s="8"/>
    </row>
    <row r="53941" spans="1:4" ht="15.75" customHeight="1">
      <c r="A53941" s="8"/>
      <c r="B53941" s="12"/>
      <c r="C53941" s="8"/>
      <c r="D53941" s="8"/>
    </row>
    <row r="53942" spans="1:4" ht="15.75" customHeight="1">
      <c r="A53942" s="8"/>
      <c r="B53942" s="12"/>
      <c r="C53942" s="8"/>
      <c r="D53942" s="8"/>
    </row>
    <row r="53943" spans="1:4" ht="15.75" customHeight="1">
      <c r="A53943" s="8"/>
      <c r="B53943" s="12"/>
      <c r="C53943" s="8"/>
      <c r="D53943" s="8"/>
    </row>
    <row r="53944" spans="1:4" ht="15.75" customHeight="1">
      <c r="A53944" s="8"/>
      <c r="B53944" s="12"/>
      <c r="C53944" s="8"/>
      <c r="D53944" s="8"/>
    </row>
    <row r="53945" spans="1:4" ht="15.75" customHeight="1">
      <c r="A53945" s="8"/>
      <c r="B53945" s="12"/>
      <c r="C53945" s="8"/>
      <c r="D53945" s="8"/>
    </row>
    <row r="53946" spans="1:4" ht="15.75" customHeight="1">
      <c r="A53946" s="8"/>
      <c r="B53946" s="12"/>
      <c r="C53946" s="8"/>
      <c r="D53946" s="8"/>
    </row>
    <row r="53947" spans="1:4" ht="15.75" customHeight="1">
      <c r="A53947" s="8"/>
      <c r="B53947" s="12"/>
      <c r="C53947" s="8"/>
      <c r="D53947" s="8"/>
    </row>
    <row r="53948" spans="1:4" ht="15.75" customHeight="1">
      <c r="A53948" s="8"/>
      <c r="B53948" s="12"/>
      <c r="C53948" s="8"/>
      <c r="D53948" s="8"/>
    </row>
    <row r="53949" spans="1:4" ht="15.75" customHeight="1">
      <c r="A53949" s="8"/>
      <c r="B53949" s="12"/>
      <c r="C53949" s="8"/>
      <c r="D53949" s="8"/>
    </row>
    <row r="53950" spans="1:4" ht="15.75" customHeight="1">
      <c r="A53950" s="8"/>
      <c r="B53950" s="12"/>
      <c r="C53950" s="8"/>
      <c r="D53950" s="8"/>
    </row>
    <row r="53951" spans="1:4" ht="15.75" customHeight="1">
      <c r="A53951" s="8"/>
      <c r="B53951" s="12"/>
      <c r="C53951" s="8"/>
      <c r="D53951" s="8"/>
    </row>
    <row r="53952" spans="1:4" ht="15.75" customHeight="1">
      <c r="A53952" s="8"/>
      <c r="B53952" s="12"/>
      <c r="C53952" s="8"/>
      <c r="D53952" s="8"/>
    </row>
    <row r="53953" spans="1:4" ht="15.75" customHeight="1">
      <c r="A53953" s="8"/>
      <c r="B53953" s="12"/>
      <c r="C53953" s="8"/>
      <c r="D53953" s="8"/>
    </row>
    <row r="53954" spans="1:4" ht="15.75" customHeight="1">
      <c r="A53954" s="8"/>
      <c r="B53954" s="12"/>
      <c r="C53954" s="8"/>
      <c r="D53954" s="8"/>
    </row>
    <row r="53955" spans="1:4" ht="15.75" customHeight="1">
      <c r="A53955" s="8"/>
      <c r="B53955" s="12"/>
      <c r="C53955" s="8"/>
      <c r="D53955" s="8"/>
    </row>
    <row r="53956" spans="1:4" ht="15.75" customHeight="1">
      <c r="A53956" s="8"/>
      <c r="B53956" s="12"/>
      <c r="C53956" s="8"/>
      <c r="D53956" s="8"/>
    </row>
    <row r="53957" spans="1:4" ht="15.75" customHeight="1">
      <c r="A53957" s="8"/>
      <c r="B53957" s="12"/>
      <c r="C53957" s="8"/>
      <c r="D53957" s="8"/>
    </row>
    <row r="53958" spans="1:4" ht="15.75" customHeight="1">
      <c r="A53958" s="8"/>
      <c r="B53958" s="12"/>
      <c r="C53958" s="8"/>
      <c r="D53958" s="8"/>
    </row>
    <row r="53959" spans="1:4" ht="15.75" customHeight="1">
      <c r="A53959" s="8"/>
      <c r="B53959" s="12"/>
      <c r="C53959" s="8"/>
      <c r="D53959" s="8"/>
    </row>
    <row r="53960" spans="1:4" ht="15.75" customHeight="1">
      <c r="A53960" s="8"/>
      <c r="B53960" s="12"/>
      <c r="C53960" s="8"/>
      <c r="D53960" s="8"/>
    </row>
    <row r="53961" spans="1:4" ht="15.75" customHeight="1">
      <c r="A53961" s="8"/>
      <c r="B53961" s="12"/>
      <c r="C53961" s="8"/>
      <c r="D53961" s="8"/>
    </row>
    <row r="53962" spans="1:4" ht="15.75" customHeight="1">
      <c r="A53962" s="8"/>
      <c r="B53962" s="12"/>
      <c r="C53962" s="8"/>
      <c r="D53962" s="8"/>
    </row>
    <row r="53963" spans="1:4" ht="15.75" customHeight="1">
      <c r="A53963" s="8"/>
      <c r="B53963" s="12"/>
      <c r="C53963" s="8"/>
      <c r="D53963" s="8"/>
    </row>
    <row r="53964" spans="1:4" ht="15.75" customHeight="1">
      <c r="A53964" s="8"/>
      <c r="B53964" s="12"/>
      <c r="C53964" s="8"/>
      <c r="D53964" s="8"/>
    </row>
    <row r="53965" spans="1:4" ht="15.75" customHeight="1">
      <c r="A53965" s="8"/>
      <c r="B53965" s="12"/>
      <c r="C53965" s="8"/>
      <c r="D53965" s="8"/>
    </row>
    <row r="53966" spans="1:4" ht="15.75" customHeight="1">
      <c r="A53966" s="8"/>
      <c r="B53966" s="12"/>
      <c r="C53966" s="8"/>
      <c r="D53966" s="8"/>
    </row>
    <row r="53967" spans="1:4" ht="15.75" customHeight="1">
      <c r="A53967" s="8"/>
      <c r="B53967" s="12"/>
      <c r="C53967" s="8"/>
      <c r="D53967" s="8"/>
    </row>
    <row r="53968" spans="1:4" ht="15.75" customHeight="1">
      <c r="A53968" s="8"/>
      <c r="B53968" s="12"/>
      <c r="C53968" s="8"/>
      <c r="D53968" s="8"/>
    </row>
    <row r="53969" spans="1:4" ht="15.75" customHeight="1">
      <c r="A53969" s="8"/>
      <c r="B53969" s="12"/>
      <c r="C53969" s="8"/>
      <c r="D53969" s="8"/>
    </row>
    <row r="53970" spans="1:4" ht="15.75" customHeight="1">
      <c r="A53970" s="8"/>
      <c r="B53970" s="12"/>
      <c r="C53970" s="8"/>
      <c r="D53970" s="8"/>
    </row>
    <row r="53971" spans="1:4" ht="15.75" customHeight="1">
      <c r="A53971" s="8"/>
      <c r="B53971" s="12"/>
      <c r="C53971" s="8"/>
      <c r="D53971" s="8"/>
    </row>
    <row r="53972" spans="1:4" ht="15.75" customHeight="1">
      <c r="A53972" s="8"/>
      <c r="B53972" s="12"/>
      <c r="C53972" s="8"/>
      <c r="D53972" s="8"/>
    </row>
    <row r="53973" spans="1:4" ht="15.75" customHeight="1">
      <c r="A53973" s="8"/>
      <c r="B53973" s="12"/>
      <c r="C53973" s="8"/>
      <c r="D53973" s="8"/>
    </row>
    <row r="53974" spans="1:4" ht="15.75" customHeight="1">
      <c r="A53974" s="8"/>
      <c r="B53974" s="12"/>
      <c r="C53974" s="8"/>
      <c r="D53974" s="8"/>
    </row>
    <row r="53975" spans="1:4" ht="15.75" customHeight="1">
      <c r="A53975" s="8"/>
      <c r="B53975" s="12"/>
      <c r="C53975" s="8"/>
      <c r="D53975" s="8"/>
    </row>
    <row r="53976" spans="1:4" ht="15.75" customHeight="1">
      <c r="A53976" s="8"/>
      <c r="B53976" s="12"/>
      <c r="C53976" s="8"/>
      <c r="D53976" s="8"/>
    </row>
    <row r="53977" spans="1:4" ht="15.75" customHeight="1">
      <c r="A53977" s="8"/>
      <c r="B53977" s="12"/>
      <c r="C53977" s="8"/>
      <c r="D53977" s="8"/>
    </row>
    <row r="53978" spans="1:4" ht="15.75" customHeight="1">
      <c r="A53978" s="8"/>
      <c r="B53978" s="12"/>
      <c r="C53978" s="8"/>
      <c r="D53978" s="8"/>
    </row>
    <row r="53979" spans="1:4" ht="15.75" customHeight="1">
      <c r="A53979" s="8"/>
      <c r="B53979" s="12"/>
      <c r="C53979" s="8"/>
      <c r="D53979" s="8"/>
    </row>
    <row r="53980" spans="1:4" ht="15.75" customHeight="1">
      <c r="A53980" s="8"/>
      <c r="B53980" s="12"/>
      <c r="C53980" s="8"/>
      <c r="D53980" s="8"/>
    </row>
    <row r="53981" spans="1:4" ht="15.75" customHeight="1">
      <c r="A53981" s="8"/>
      <c r="B53981" s="12"/>
      <c r="C53981" s="8"/>
      <c r="D53981" s="8"/>
    </row>
    <row r="53982" spans="1:4" ht="15.75" customHeight="1">
      <c r="A53982" s="8"/>
      <c r="B53982" s="12"/>
      <c r="C53982" s="8"/>
      <c r="D53982" s="8"/>
    </row>
    <row r="53983" spans="1:4" ht="15.75" customHeight="1">
      <c r="A53983" s="8"/>
      <c r="B53983" s="12"/>
      <c r="C53983" s="8"/>
      <c r="D53983" s="8"/>
    </row>
    <row r="53984" spans="1:4" ht="15.75" customHeight="1">
      <c r="A53984" s="8"/>
      <c r="B53984" s="12"/>
      <c r="C53984" s="8"/>
      <c r="D53984" s="8"/>
    </row>
    <row r="53985" spans="1:4" ht="15.75" customHeight="1">
      <c r="A53985" s="8"/>
      <c r="B53985" s="12"/>
      <c r="C53985" s="8"/>
      <c r="D53985" s="8"/>
    </row>
    <row r="53986" spans="1:4" ht="15.75" customHeight="1">
      <c r="A53986" s="8"/>
      <c r="B53986" s="12"/>
      <c r="C53986" s="8"/>
      <c r="D53986" s="8"/>
    </row>
    <row r="53987" spans="1:4" ht="15.75" customHeight="1">
      <c r="A53987" s="8"/>
      <c r="B53987" s="12"/>
      <c r="C53987" s="8"/>
      <c r="D53987" s="8"/>
    </row>
    <row r="53988" spans="1:4" ht="15.75" customHeight="1">
      <c r="A53988" s="8"/>
      <c r="B53988" s="12"/>
      <c r="C53988" s="8"/>
      <c r="D53988" s="8"/>
    </row>
    <row r="53989" spans="1:4" ht="15.75" customHeight="1">
      <c r="A53989" s="8"/>
      <c r="B53989" s="12"/>
      <c r="C53989" s="8"/>
      <c r="D53989" s="8"/>
    </row>
    <row r="53990" spans="1:4" ht="15.75" customHeight="1">
      <c r="A53990" s="8"/>
      <c r="B53990" s="12"/>
      <c r="C53990" s="8"/>
      <c r="D53990" s="8"/>
    </row>
    <row r="53991" spans="1:4" ht="15.75" customHeight="1">
      <c r="A53991" s="8"/>
      <c r="B53991" s="12"/>
      <c r="C53991" s="8"/>
      <c r="D53991" s="8"/>
    </row>
    <row r="53992" spans="1:4" ht="15.75" customHeight="1">
      <c r="A53992" s="8"/>
      <c r="B53992" s="12"/>
      <c r="C53992" s="8"/>
      <c r="D53992" s="8"/>
    </row>
    <row r="53993" spans="1:4" ht="15.75" customHeight="1">
      <c r="A53993" s="8"/>
      <c r="B53993" s="12"/>
      <c r="C53993" s="8"/>
      <c r="D53993" s="8"/>
    </row>
    <row r="53994" spans="1:4" ht="15.75" customHeight="1">
      <c r="A53994" s="8"/>
      <c r="B53994" s="12"/>
      <c r="C53994" s="8"/>
      <c r="D53994" s="8"/>
    </row>
    <row r="53995" spans="1:4" ht="15.75" customHeight="1">
      <c r="A53995" s="8"/>
      <c r="B53995" s="12"/>
      <c r="C53995" s="8"/>
      <c r="D53995" s="8"/>
    </row>
    <row r="53996" spans="1:4" ht="15.75" customHeight="1">
      <c r="A53996" s="8"/>
      <c r="B53996" s="12"/>
      <c r="C53996" s="8"/>
      <c r="D53996" s="8"/>
    </row>
    <row r="53997" spans="1:4" ht="15.75" customHeight="1">
      <c r="A53997" s="8"/>
      <c r="B53997" s="12"/>
      <c r="C53997" s="8"/>
      <c r="D53997" s="8"/>
    </row>
    <row r="53998" spans="1:4" ht="15.75" customHeight="1">
      <c r="A53998" s="8"/>
      <c r="B53998" s="12"/>
      <c r="C53998" s="8"/>
      <c r="D53998" s="8"/>
    </row>
    <row r="53999" spans="1:4" ht="15.75" customHeight="1">
      <c r="A53999" s="8"/>
      <c r="B53999" s="12"/>
      <c r="C53999" s="8"/>
      <c r="D53999" s="8"/>
    </row>
    <row r="54000" spans="1:4" ht="15.75" customHeight="1">
      <c r="A54000" s="8"/>
      <c r="B54000" s="12"/>
      <c r="C54000" s="8"/>
      <c r="D54000" s="8"/>
    </row>
    <row r="54001" spans="1:4" ht="15.75" customHeight="1">
      <c r="A54001" s="8"/>
      <c r="B54001" s="12"/>
      <c r="C54001" s="8"/>
      <c r="D54001" s="8"/>
    </row>
    <row r="54002" spans="1:4" ht="15.75" customHeight="1">
      <c r="A54002" s="8"/>
      <c r="B54002" s="12"/>
      <c r="C54002" s="8"/>
      <c r="D54002" s="8"/>
    </row>
    <row r="54003" spans="1:4" ht="15.75" customHeight="1">
      <c r="A54003" s="8"/>
      <c r="B54003" s="12"/>
      <c r="C54003" s="8"/>
      <c r="D54003" s="8"/>
    </row>
    <row r="54004" spans="1:4" ht="15.75" customHeight="1">
      <c r="A54004" s="8"/>
      <c r="B54004" s="12"/>
      <c r="C54004" s="8"/>
      <c r="D54004" s="8"/>
    </row>
    <row r="54005" spans="1:4" ht="15.75" customHeight="1">
      <c r="A54005" s="8"/>
      <c r="B54005" s="12"/>
      <c r="C54005" s="8"/>
      <c r="D54005" s="8"/>
    </row>
    <row r="54006" spans="1:4" ht="15.75" customHeight="1">
      <c r="A54006" s="8"/>
      <c r="B54006" s="12"/>
      <c r="C54006" s="8"/>
      <c r="D54006" s="8"/>
    </row>
    <row r="54007" spans="1:4" ht="15.75" customHeight="1">
      <c r="A54007" s="8"/>
      <c r="B54007" s="12"/>
      <c r="C54007" s="8"/>
      <c r="D54007" s="8"/>
    </row>
    <row r="54008" spans="1:4" ht="15.75" customHeight="1">
      <c r="A54008" s="8"/>
      <c r="B54008" s="12"/>
      <c r="C54008" s="8"/>
      <c r="D54008" s="8"/>
    </row>
    <row r="54009" spans="1:4" ht="15.75" customHeight="1">
      <c r="A54009" s="8"/>
      <c r="B54009" s="12"/>
      <c r="C54009" s="8"/>
      <c r="D54009" s="8"/>
    </row>
    <row r="54010" spans="1:4" ht="15.75" customHeight="1">
      <c r="A54010" s="8"/>
      <c r="B54010" s="12"/>
      <c r="C54010" s="8"/>
      <c r="D54010" s="8"/>
    </row>
    <row r="54011" spans="1:4" ht="15.75" customHeight="1">
      <c r="A54011" s="8"/>
      <c r="B54011" s="12"/>
      <c r="C54011" s="8"/>
      <c r="D54011" s="8"/>
    </row>
    <row r="54012" spans="1:4" ht="15.75" customHeight="1">
      <c r="A54012" s="8"/>
      <c r="B54012" s="12"/>
      <c r="C54012" s="8"/>
      <c r="D54012" s="8"/>
    </row>
    <row r="54013" spans="1:4" ht="15.75" customHeight="1">
      <c r="A54013" s="8"/>
      <c r="B54013" s="12"/>
      <c r="C54013" s="8"/>
      <c r="D54013" s="8"/>
    </row>
    <row r="54014" spans="1:4" ht="15.75" customHeight="1">
      <c r="A54014" s="8"/>
      <c r="B54014" s="12"/>
      <c r="C54014" s="8"/>
      <c r="D54014" s="8"/>
    </row>
    <row r="54015" spans="1:4" ht="15.75" customHeight="1">
      <c r="A54015" s="8"/>
      <c r="B54015" s="12"/>
      <c r="C54015" s="8"/>
      <c r="D54015" s="8"/>
    </row>
    <row r="54016" spans="1:4" ht="15.75" customHeight="1">
      <c r="A54016" s="8"/>
      <c r="B54016" s="12"/>
      <c r="C54016" s="8"/>
      <c r="D54016" s="8"/>
    </row>
    <row r="54017" spans="1:4" ht="15.75" customHeight="1">
      <c r="A54017" s="8"/>
      <c r="B54017" s="12"/>
      <c r="C54017" s="8"/>
      <c r="D54017" s="8"/>
    </row>
    <row r="54018" spans="1:4" ht="15.75" customHeight="1">
      <c r="A54018" s="8"/>
      <c r="B54018" s="12"/>
      <c r="C54018" s="8"/>
      <c r="D54018" s="8"/>
    </row>
    <row r="54019" spans="1:4" ht="15.75" customHeight="1">
      <c r="A54019" s="8"/>
      <c r="B54019" s="12"/>
      <c r="C54019" s="8"/>
      <c r="D54019" s="8"/>
    </row>
    <row r="54020" spans="1:4" ht="15.75" customHeight="1">
      <c r="A54020" s="8"/>
      <c r="B54020" s="12"/>
      <c r="C54020" s="8"/>
      <c r="D54020" s="8"/>
    </row>
    <row r="54021" spans="1:4" ht="15.75" customHeight="1">
      <c r="A54021" s="8"/>
      <c r="B54021" s="12"/>
      <c r="C54021" s="8"/>
      <c r="D54021" s="8"/>
    </row>
    <row r="54022" spans="1:4" ht="15.75" customHeight="1">
      <c r="A54022" s="8"/>
      <c r="B54022" s="12"/>
      <c r="C54022" s="8"/>
      <c r="D54022" s="8"/>
    </row>
    <row r="54023" spans="1:4" ht="15.75" customHeight="1">
      <c r="A54023" s="8"/>
      <c r="B54023" s="12"/>
      <c r="C54023" s="8"/>
      <c r="D54023" s="8"/>
    </row>
    <row r="54024" spans="1:4" ht="15.75" customHeight="1">
      <c r="A54024" s="8"/>
      <c r="B54024" s="12"/>
      <c r="C54024" s="8"/>
      <c r="D54024" s="8"/>
    </row>
    <row r="54025" spans="1:4" ht="15.75" customHeight="1">
      <c r="A54025" s="8"/>
      <c r="B54025" s="12"/>
      <c r="C54025" s="8"/>
      <c r="D54025" s="8"/>
    </row>
    <row r="54026" spans="1:4" ht="15.75" customHeight="1">
      <c r="A54026" s="8"/>
      <c r="B54026" s="12"/>
      <c r="C54026" s="8"/>
      <c r="D54026" s="8"/>
    </row>
    <row r="54027" spans="1:4" ht="15.75" customHeight="1">
      <c r="A54027" s="8"/>
      <c r="B54027" s="12"/>
      <c r="C54027" s="8"/>
      <c r="D54027" s="8"/>
    </row>
    <row r="54028" spans="1:4" ht="15.75" customHeight="1">
      <c r="A54028" s="8"/>
      <c r="B54028" s="12"/>
      <c r="C54028" s="8"/>
      <c r="D54028" s="8"/>
    </row>
    <row r="54029" spans="1:4" ht="15.75" customHeight="1">
      <c r="A54029" s="8"/>
      <c r="B54029" s="12"/>
      <c r="C54029" s="8"/>
      <c r="D54029" s="8"/>
    </row>
    <row r="54030" spans="1:4" ht="15.75" customHeight="1">
      <c r="A54030" s="8"/>
      <c r="B54030" s="12"/>
      <c r="C54030" s="8"/>
      <c r="D54030" s="8"/>
    </row>
    <row r="54031" spans="1:4" ht="15.75" customHeight="1">
      <c r="A54031" s="8"/>
      <c r="B54031" s="12"/>
      <c r="C54031" s="8"/>
      <c r="D54031" s="8"/>
    </row>
    <row r="54032" spans="1:4" ht="15.75" customHeight="1">
      <c r="A54032" s="8"/>
      <c r="B54032" s="12"/>
      <c r="C54032" s="8"/>
      <c r="D54032" s="8"/>
    </row>
    <row r="54033" spans="1:4" ht="15.75" customHeight="1">
      <c r="A54033" s="8"/>
      <c r="B54033" s="12"/>
      <c r="C54033" s="8"/>
      <c r="D54033" s="8"/>
    </row>
    <row r="54034" spans="1:4" ht="15.75" customHeight="1">
      <c r="A54034" s="8"/>
      <c r="B54034" s="12"/>
      <c r="C54034" s="8"/>
      <c r="D54034" s="8"/>
    </row>
    <row r="54035" spans="1:4" ht="15.75" customHeight="1">
      <c r="A54035" s="8"/>
      <c r="B54035" s="12"/>
      <c r="C54035" s="8"/>
      <c r="D54035" s="8"/>
    </row>
    <row r="54036" spans="1:4" ht="15.75" customHeight="1">
      <c r="A54036" s="8"/>
      <c r="B54036" s="12"/>
      <c r="C54036" s="8"/>
      <c r="D54036" s="8"/>
    </row>
    <row r="54037" spans="1:4" ht="15.75" customHeight="1">
      <c r="A54037" s="8"/>
      <c r="B54037" s="12"/>
      <c r="C54037" s="8"/>
      <c r="D54037" s="8"/>
    </row>
    <row r="54038" spans="1:4" ht="15.75" customHeight="1">
      <c r="A54038" s="8"/>
      <c r="B54038" s="12"/>
      <c r="C54038" s="8"/>
      <c r="D54038" s="8"/>
    </row>
    <row r="54039" spans="1:4" ht="15.75" customHeight="1">
      <c r="A54039" s="8"/>
      <c r="B54039" s="12"/>
      <c r="C54039" s="8"/>
      <c r="D54039" s="8"/>
    </row>
    <row r="54040" spans="1:4" ht="15.75" customHeight="1">
      <c r="A54040" s="8"/>
      <c r="B54040" s="12"/>
      <c r="C54040" s="8"/>
      <c r="D54040" s="8"/>
    </row>
    <row r="54041" spans="1:4" ht="15.75" customHeight="1">
      <c r="A54041" s="8"/>
      <c r="B54041" s="12"/>
      <c r="C54041" s="8"/>
      <c r="D54041" s="8"/>
    </row>
    <row r="54042" spans="1:4" ht="15.75" customHeight="1">
      <c r="A54042" s="8"/>
      <c r="B54042" s="12"/>
      <c r="C54042" s="8"/>
      <c r="D54042" s="8"/>
    </row>
    <row r="54043" spans="1:4" ht="15.75" customHeight="1">
      <c r="A54043" s="8"/>
      <c r="B54043" s="12"/>
      <c r="C54043" s="8"/>
      <c r="D54043" s="8"/>
    </row>
    <row r="54044" spans="1:4" ht="15.75" customHeight="1">
      <c r="A54044" s="8"/>
      <c r="B54044" s="12"/>
      <c r="C54044" s="8"/>
      <c r="D54044" s="8"/>
    </row>
    <row r="54045" spans="1:4" ht="15.75" customHeight="1">
      <c r="A54045" s="8"/>
      <c r="B54045" s="12"/>
      <c r="C54045" s="8"/>
      <c r="D54045" s="8"/>
    </row>
    <row r="54046" spans="1:4" ht="15.75" customHeight="1">
      <c r="A54046" s="8"/>
      <c r="B54046" s="12"/>
      <c r="C54046" s="8"/>
      <c r="D54046" s="8"/>
    </row>
    <row r="54047" spans="1:4" ht="15.75" customHeight="1">
      <c r="A54047" s="8"/>
      <c r="B54047" s="12"/>
      <c r="C54047" s="8"/>
      <c r="D54047" s="8"/>
    </row>
    <row r="54048" spans="1:4" ht="15.75" customHeight="1">
      <c r="A54048" s="8"/>
      <c r="B54048" s="12"/>
      <c r="C54048" s="8"/>
      <c r="D54048" s="8"/>
    </row>
    <row r="54049" spans="1:4" ht="15.75" customHeight="1">
      <c r="A54049" s="8"/>
      <c r="B54049" s="12"/>
      <c r="C54049" s="8"/>
      <c r="D54049" s="8"/>
    </row>
    <row r="54050" spans="1:4" ht="15.75" customHeight="1">
      <c r="A54050" s="8"/>
      <c r="B54050" s="12"/>
      <c r="C54050" s="8"/>
      <c r="D54050" s="8"/>
    </row>
    <row r="54051" spans="1:4" ht="15.75" customHeight="1">
      <c r="A54051" s="8"/>
      <c r="B54051" s="12"/>
      <c r="C54051" s="8"/>
      <c r="D54051" s="8"/>
    </row>
    <row r="54052" spans="1:4" ht="15.75" customHeight="1">
      <c r="A54052" s="8"/>
      <c r="B54052" s="12"/>
      <c r="C54052" s="8"/>
      <c r="D54052" s="8"/>
    </row>
    <row r="54053" spans="1:4" ht="15.75" customHeight="1">
      <c r="A54053" s="8"/>
      <c r="B54053" s="12"/>
      <c r="C54053" s="8"/>
      <c r="D54053" s="8"/>
    </row>
    <row r="54054" spans="1:4" ht="15.75" customHeight="1">
      <c r="A54054" s="8"/>
      <c r="B54054" s="12"/>
      <c r="C54054" s="8"/>
      <c r="D54054" s="8"/>
    </row>
    <row r="54055" spans="1:4" ht="15.75" customHeight="1">
      <c r="A54055" s="8"/>
      <c r="B54055" s="12"/>
      <c r="C54055" s="8"/>
      <c r="D54055" s="8"/>
    </row>
    <row r="54056" spans="1:4" ht="15.75" customHeight="1">
      <c r="A54056" s="8"/>
      <c r="B54056" s="12"/>
      <c r="C54056" s="8"/>
      <c r="D54056" s="8"/>
    </row>
    <row r="54057" spans="1:4" ht="15.75" customHeight="1">
      <c r="A54057" s="8"/>
      <c r="B54057" s="12"/>
      <c r="C54057" s="8"/>
      <c r="D54057" s="8"/>
    </row>
    <row r="54058" spans="1:4" ht="15.75" customHeight="1">
      <c r="A54058" s="8"/>
      <c r="B54058" s="12"/>
      <c r="C54058" s="8"/>
      <c r="D54058" s="8"/>
    </row>
    <row r="54059" spans="1:4" ht="15.75" customHeight="1">
      <c r="A54059" s="8"/>
      <c r="B54059" s="12"/>
      <c r="C54059" s="8"/>
      <c r="D54059" s="8"/>
    </row>
    <row r="54060" spans="1:4" ht="15.75" customHeight="1">
      <c r="A54060" s="8"/>
      <c r="B54060" s="12"/>
      <c r="C54060" s="8"/>
      <c r="D54060" s="8"/>
    </row>
    <row r="54061" spans="1:4" ht="15.75" customHeight="1">
      <c r="A54061" s="8"/>
      <c r="B54061" s="12"/>
      <c r="C54061" s="8"/>
      <c r="D54061" s="8"/>
    </row>
    <row r="54062" spans="1:4" ht="15.75" customHeight="1">
      <c r="A54062" s="8"/>
      <c r="B54062" s="12"/>
      <c r="C54062" s="8"/>
      <c r="D54062" s="8"/>
    </row>
    <row r="54063" spans="1:4" ht="15.75" customHeight="1">
      <c r="A54063" s="8"/>
      <c r="B54063" s="12"/>
      <c r="C54063" s="8"/>
      <c r="D54063" s="8"/>
    </row>
    <row r="54064" spans="1:4" ht="15.75" customHeight="1">
      <c r="A54064" s="8"/>
      <c r="B54064" s="12"/>
      <c r="C54064" s="8"/>
      <c r="D54064" s="8"/>
    </row>
    <row r="54065" spans="1:4" ht="15.75" customHeight="1">
      <c r="A54065" s="8"/>
      <c r="B54065" s="12"/>
      <c r="C54065" s="8"/>
      <c r="D54065" s="8"/>
    </row>
    <row r="54066" spans="1:4" ht="15.75" customHeight="1">
      <c r="A54066" s="8"/>
      <c r="B54066" s="12"/>
      <c r="C54066" s="8"/>
      <c r="D54066" s="8"/>
    </row>
    <row r="54067" spans="1:4" ht="15.75" customHeight="1">
      <c r="A54067" s="8"/>
      <c r="B54067" s="12"/>
      <c r="C54067" s="8"/>
      <c r="D54067" s="8"/>
    </row>
    <row r="54068" spans="1:4" ht="15.75" customHeight="1">
      <c r="A54068" s="8"/>
      <c r="B54068" s="12"/>
      <c r="C54068" s="8"/>
      <c r="D54068" s="8"/>
    </row>
    <row r="54069" spans="1:4" ht="15.75" customHeight="1">
      <c r="A54069" s="8"/>
      <c r="B54069" s="12"/>
      <c r="C54069" s="8"/>
      <c r="D54069" s="8"/>
    </row>
    <row r="54070" spans="1:4" ht="15.75" customHeight="1">
      <c r="A54070" s="8"/>
      <c r="B54070" s="12"/>
      <c r="C54070" s="8"/>
      <c r="D54070" s="8"/>
    </row>
    <row r="54071" spans="1:4" ht="15.75" customHeight="1">
      <c r="A54071" s="8"/>
      <c r="B54071" s="12"/>
      <c r="C54071" s="8"/>
      <c r="D54071" s="8"/>
    </row>
    <row r="54072" spans="1:4" ht="15.75" customHeight="1">
      <c r="A54072" s="8"/>
      <c r="B54072" s="12"/>
      <c r="C54072" s="8"/>
      <c r="D54072" s="8"/>
    </row>
    <row r="54073" spans="1:4" ht="15.75" customHeight="1">
      <c r="A54073" s="8"/>
      <c r="B54073" s="12"/>
      <c r="C54073" s="8"/>
      <c r="D54073" s="8"/>
    </row>
    <row r="54074" spans="1:4" ht="15.75" customHeight="1">
      <c r="A54074" s="8"/>
      <c r="B54074" s="12"/>
      <c r="C54074" s="8"/>
      <c r="D54074" s="8"/>
    </row>
    <row r="54075" spans="1:4" ht="15.75" customHeight="1">
      <c r="A54075" s="8"/>
      <c r="B54075" s="12"/>
      <c r="C54075" s="8"/>
      <c r="D54075" s="8"/>
    </row>
    <row r="54076" spans="1:4" ht="15.75" customHeight="1">
      <c r="A54076" s="8"/>
      <c r="B54076" s="12"/>
      <c r="C54076" s="8"/>
      <c r="D54076" s="8"/>
    </row>
    <row r="54077" spans="1:4" ht="15.75" customHeight="1">
      <c r="A54077" s="8"/>
      <c r="B54077" s="12"/>
      <c r="C54077" s="8"/>
      <c r="D54077" s="8"/>
    </row>
    <row r="54078" spans="1:4" ht="15.75" customHeight="1">
      <c r="A54078" s="8"/>
      <c r="B54078" s="12"/>
      <c r="C54078" s="8"/>
      <c r="D54078" s="8"/>
    </row>
    <row r="54079" spans="1:4" ht="15.75" customHeight="1">
      <c r="A54079" s="8"/>
      <c r="B54079" s="12"/>
      <c r="C54079" s="8"/>
      <c r="D54079" s="8"/>
    </row>
    <row r="54080" spans="1:4" ht="15.75" customHeight="1">
      <c r="A54080" s="8"/>
      <c r="B54080" s="12"/>
      <c r="C54080" s="8"/>
      <c r="D54080" s="8"/>
    </row>
    <row r="54081" spans="1:4" ht="15.75" customHeight="1">
      <c r="A54081" s="8"/>
      <c r="B54081" s="12"/>
      <c r="C54081" s="8"/>
      <c r="D54081" s="8"/>
    </row>
    <row r="54082" spans="1:4" ht="15.75" customHeight="1">
      <c r="A54082" s="8"/>
      <c r="B54082" s="12"/>
      <c r="C54082" s="8"/>
      <c r="D54082" s="8"/>
    </row>
    <row r="54083" spans="1:4" ht="15.75" customHeight="1">
      <c r="A54083" s="8"/>
      <c r="B54083" s="12"/>
      <c r="C54083" s="8"/>
      <c r="D54083" s="8"/>
    </row>
    <row r="54084" spans="1:4" ht="15.75" customHeight="1">
      <c r="A54084" s="8"/>
      <c r="B54084" s="12"/>
      <c r="C54084" s="8"/>
      <c r="D54084" s="8"/>
    </row>
    <row r="54085" spans="1:4" ht="15.75" customHeight="1">
      <c r="A54085" s="8"/>
      <c r="B54085" s="12"/>
      <c r="C54085" s="8"/>
      <c r="D54085" s="8"/>
    </row>
    <row r="54086" spans="1:4" ht="15.75" customHeight="1">
      <c r="A54086" s="8"/>
      <c r="B54086" s="12"/>
      <c r="C54086" s="8"/>
      <c r="D54086" s="8"/>
    </row>
    <row r="54087" spans="1:4" ht="15.75" customHeight="1">
      <c r="A54087" s="8"/>
      <c r="B54087" s="12"/>
      <c r="C54087" s="8"/>
      <c r="D54087" s="8"/>
    </row>
    <row r="54088" spans="1:4" ht="15.75" customHeight="1">
      <c r="A54088" s="8"/>
      <c r="B54088" s="12"/>
      <c r="C54088" s="8"/>
      <c r="D54088" s="8"/>
    </row>
    <row r="54089" spans="1:4" ht="15.75" customHeight="1">
      <c r="A54089" s="8"/>
      <c r="B54089" s="12"/>
      <c r="C54089" s="8"/>
      <c r="D54089" s="8"/>
    </row>
    <row r="54090" spans="1:4" ht="15.75" customHeight="1">
      <c r="A54090" s="8"/>
      <c r="B54090" s="12"/>
      <c r="C54090" s="8"/>
      <c r="D54090" s="8"/>
    </row>
    <row r="54091" spans="1:4" ht="15.75" customHeight="1">
      <c r="A54091" s="8"/>
      <c r="B54091" s="12"/>
      <c r="C54091" s="8"/>
      <c r="D54091" s="8"/>
    </row>
    <row r="54092" spans="1:4" ht="15.75" customHeight="1">
      <c r="A54092" s="8"/>
      <c r="B54092" s="12"/>
      <c r="C54092" s="8"/>
      <c r="D54092" s="8"/>
    </row>
    <row r="54093" spans="1:4" ht="15.75" customHeight="1">
      <c r="A54093" s="8"/>
      <c r="B54093" s="12"/>
      <c r="C54093" s="8"/>
      <c r="D54093" s="8"/>
    </row>
    <row r="54094" spans="1:4" ht="15.75" customHeight="1">
      <c r="A54094" s="8"/>
      <c r="B54094" s="12"/>
      <c r="C54094" s="8"/>
      <c r="D54094" s="8"/>
    </row>
    <row r="54095" spans="1:4" ht="15.75" customHeight="1">
      <c r="A54095" s="8"/>
      <c r="B54095" s="12"/>
      <c r="C54095" s="8"/>
      <c r="D54095" s="8"/>
    </row>
    <row r="54096" spans="1:4" ht="15.75" customHeight="1">
      <c r="A54096" s="8"/>
      <c r="B54096" s="12"/>
      <c r="C54096" s="8"/>
      <c r="D54096" s="8"/>
    </row>
    <row r="54097" spans="1:4" ht="15.75" customHeight="1">
      <c r="A54097" s="8"/>
      <c r="B54097" s="12"/>
      <c r="C54097" s="8"/>
      <c r="D54097" s="8"/>
    </row>
    <row r="54098" spans="1:4" ht="15.75" customHeight="1">
      <c r="A54098" s="8"/>
      <c r="B54098" s="12"/>
      <c r="C54098" s="8"/>
      <c r="D54098" s="8"/>
    </row>
    <row r="54099" spans="1:4" ht="15.75" customHeight="1">
      <c r="A54099" s="8"/>
      <c r="B54099" s="12"/>
      <c r="C54099" s="8"/>
      <c r="D54099" s="8"/>
    </row>
    <row r="54100" spans="1:4" ht="15.75" customHeight="1">
      <c r="A54100" s="8"/>
      <c r="B54100" s="12"/>
      <c r="C54100" s="8"/>
      <c r="D54100" s="8"/>
    </row>
    <row r="54101" spans="1:4" ht="15.75" customHeight="1">
      <c r="A54101" s="8"/>
      <c r="B54101" s="12"/>
      <c r="C54101" s="8"/>
      <c r="D54101" s="8"/>
    </row>
    <row r="54102" spans="1:4" ht="15.75" customHeight="1">
      <c r="A54102" s="8"/>
      <c r="B54102" s="12"/>
      <c r="C54102" s="8"/>
      <c r="D54102" s="8"/>
    </row>
    <row r="54103" spans="1:4" ht="15.75" customHeight="1">
      <c r="A54103" s="8"/>
      <c r="B54103" s="12"/>
      <c r="C54103" s="8"/>
      <c r="D54103" s="8"/>
    </row>
    <row r="54104" spans="1:4" ht="15.75" customHeight="1">
      <c r="A54104" s="8"/>
      <c r="B54104" s="12"/>
      <c r="C54104" s="8"/>
      <c r="D54104" s="8"/>
    </row>
    <row r="54105" spans="1:4" ht="15.75" customHeight="1">
      <c r="A54105" s="8"/>
      <c r="B54105" s="12"/>
      <c r="C54105" s="8"/>
      <c r="D54105" s="8"/>
    </row>
    <row r="54106" spans="1:4" ht="15.75" customHeight="1">
      <c r="A54106" s="8"/>
      <c r="B54106" s="12"/>
      <c r="C54106" s="8"/>
      <c r="D54106" s="8"/>
    </row>
    <row r="54107" spans="1:4" ht="15.75" customHeight="1">
      <c r="A54107" s="8"/>
      <c r="B54107" s="12"/>
      <c r="C54107" s="8"/>
      <c r="D54107" s="8"/>
    </row>
    <row r="54108" spans="1:4" ht="15.75" customHeight="1">
      <c r="A54108" s="8"/>
      <c r="B54108" s="12"/>
      <c r="C54108" s="8"/>
      <c r="D54108" s="8"/>
    </row>
    <row r="54109" spans="1:4" ht="15.75" customHeight="1">
      <c r="A54109" s="8"/>
      <c r="B54109" s="12"/>
      <c r="C54109" s="8"/>
      <c r="D54109" s="8"/>
    </row>
    <row r="54110" spans="1:4" ht="15.75" customHeight="1">
      <c r="A54110" s="8"/>
      <c r="B54110" s="12"/>
      <c r="C54110" s="8"/>
      <c r="D54110" s="8"/>
    </row>
    <row r="54111" spans="1:4" ht="15.75" customHeight="1">
      <c r="A54111" s="8"/>
      <c r="B54111" s="12"/>
      <c r="C54111" s="8"/>
      <c r="D54111" s="8"/>
    </row>
    <row r="54112" spans="1:4" ht="15.75" customHeight="1">
      <c r="A54112" s="8"/>
      <c r="B54112" s="12"/>
      <c r="C54112" s="8"/>
      <c r="D54112" s="8"/>
    </row>
    <row r="54113" spans="1:4" ht="15.75" customHeight="1">
      <c r="A54113" s="8"/>
      <c r="B54113" s="12"/>
      <c r="C54113" s="8"/>
      <c r="D54113" s="8"/>
    </row>
    <row r="54114" spans="1:4" ht="15.75" customHeight="1">
      <c r="A54114" s="8"/>
      <c r="B54114" s="12"/>
      <c r="C54114" s="8"/>
      <c r="D54114" s="8"/>
    </row>
    <row r="54115" spans="1:4" ht="15.75" customHeight="1">
      <c r="A54115" s="8"/>
      <c r="B54115" s="12"/>
      <c r="C54115" s="8"/>
      <c r="D54115" s="8"/>
    </row>
    <row r="54116" spans="1:4" ht="15.75" customHeight="1">
      <c r="A54116" s="8"/>
      <c r="B54116" s="12"/>
      <c r="C54116" s="8"/>
      <c r="D54116" s="8"/>
    </row>
    <row r="54117" spans="1:4" ht="15.75" customHeight="1">
      <c r="A54117" s="8"/>
      <c r="B54117" s="12"/>
      <c r="C54117" s="8"/>
      <c r="D54117" s="8"/>
    </row>
    <row r="54118" spans="1:4" ht="15.75" customHeight="1">
      <c r="A54118" s="8"/>
      <c r="B54118" s="12"/>
      <c r="C54118" s="8"/>
      <c r="D54118" s="8"/>
    </row>
    <row r="54119" spans="1:4" ht="15.75" customHeight="1">
      <c r="A54119" s="8"/>
      <c r="B54119" s="12"/>
      <c r="C54119" s="8"/>
      <c r="D54119" s="8"/>
    </row>
    <row r="54120" spans="1:4" ht="15.75" customHeight="1">
      <c r="A54120" s="8"/>
      <c r="B54120" s="12"/>
      <c r="C54120" s="8"/>
      <c r="D54120" s="8"/>
    </row>
    <row r="54121" spans="1:4" ht="15.75" customHeight="1">
      <c r="A54121" s="8"/>
      <c r="B54121" s="12"/>
      <c r="C54121" s="8"/>
      <c r="D54121" s="8"/>
    </row>
    <row r="54122" spans="1:4" ht="15.75" customHeight="1">
      <c r="A54122" s="8"/>
      <c r="B54122" s="12"/>
      <c r="C54122" s="8"/>
      <c r="D54122" s="8"/>
    </row>
    <row r="54123" spans="1:4" ht="15.75" customHeight="1">
      <c r="A54123" s="8"/>
      <c r="B54123" s="12"/>
      <c r="C54123" s="8"/>
      <c r="D54123" s="8"/>
    </row>
    <row r="54124" spans="1:4" ht="15.75" customHeight="1">
      <c r="A54124" s="8"/>
      <c r="B54124" s="12"/>
      <c r="C54124" s="8"/>
      <c r="D54124" s="8"/>
    </row>
    <row r="54125" spans="1:4" ht="15.75" customHeight="1">
      <c r="A54125" s="8"/>
      <c r="B54125" s="12"/>
      <c r="C54125" s="8"/>
      <c r="D54125" s="8"/>
    </row>
    <row r="54126" spans="1:4" ht="15.75" customHeight="1">
      <c r="A54126" s="8"/>
      <c r="B54126" s="12"/>
      <c r="C54126" s="8"/>
      <c r="D54126" s="8"/>
    </row>
    <row r="54127" spans="1:4" ht="15.75" customHeight="1">
      <c r="A54127" s="8"/>
      <c r="B54127" s="12"/>
      <c r="C54127" s="8"/>
      <c r="D54127" s="8"/>
    </row>
    <row r="54128" spans="1:4" ht="15.75" customHeight="1">
      <c r="A54128" s="8"/>
      <c r="B54128" s="12"/>
      <c r="C54128" s="8"/>
      <c r="D54128" s="8"/>
    </row>
    <row r="54129" spans="1:4" ht="15.75" customHeight="1">
      <c r="A54129" s="8"/>
      <c r="B54129" s="12"/>
      <c r="C54129" s="8"/>
      <c r="D54129" s="8"/>
    </row>
    <row r="54130" spans="1:4" ht="15.75" customHeight="1">
      <c r="A54130" s="8"/>
      <c r="B54130" s="12"/>
      <c r="C54130" s="8"/>
      <c r="D54130" s="8"/>
    </row>
    <row r="54131" spans="1:4" ht="15.75" customHeight="1">
      <c r="A54131" s="8"/>
      <c r="B54131" s="12"/>
      <c r="C54131" s="8"/>
      <c r="D54131" s="8"/>
    </row>
    <row r="54132" spans="1:4" ht="15.75" customHeight="1">
      <c r="A54132" s="8"/>
      <c r="B54132" s="12"/>
      <c r="C54132" s="8"/>
      <c r="D54132" s="8"/>
    </row>
    <row r="54133" spans="1:4" ht="15.75" customHeight="1">
      <c r="A54133" s="8"/>
      <c r="B54133" s="12"/>
      <c r="C54133" s="8"/>
      <c r="D54133" s="8"/>
    </row>
    <row r="54134" spans="1:4" ht="15.75" customHeight="1">
      <c r="A54134" s="8"/>
      <c r="B54134" s="12"/>
      <c r="C54134" s="8"/>
      <c r="D54134" s="8"/>
    </row>
    <row r="54135" spans="1:4" ht="15.75" customHeight="1">
      <c r="A54135" s="8"/>
      <c r="B54135" s="12"/>
      <c r="C54135" s="8"/>
      <c r="D54135" s="8"/>
    </row>
    <row r="54136" spans="1:4" ht="15.75" customHeight="1">
      <c r="A54136" s="8"/>
      <c r="B54136" s="12"/>
      <c r="C54136" s="8"/>
      <c r="D54136" s="8"/>
    </row>
    <row r="54137" spans="1:4" ht="15.75" customHeight="1">
      <c r="A54137" s="8"/>
      <c r="B54137" s="12"/>
      <c r="C54137" s="8"/>
      <c r="D54137" s="8"/>
    </row>
    <row r="54138" spans="1:4" ht="15.75" customHeight="1">
      <c r="A54138" s="8"/>
      <c r="B54138" s="12"/>
      <c r="C54138" s="8"/>
      <c r="D54138" s="8"/>
    </row>
    <row r="54139" spans="1:4" ht="15.75" customHeight="1">
      <c r="A54139" s="8"/>
      <c r="B54139" s="12"/>
      <c r="C54139" s="8"/>
      <c r="D54139" s="8"/>
    </row>
    <row r="54140" spans="1:4" ht="15.75" customHeight="1">
      <c r="A54140" s="8"/>
      <c r="B54140" s="12"/>
      <c r="C54140" s="8"/>
      <c r="D54140" s="8"/>
    </row>
    <row r="54141" spans="1:4" ht="15.75" customHeight="1">
      <c r="A54141" s="8"/>
      <c r="B54141" s="12"/>
      <c r="C54141" s="8"/>
      <c r="D54141" s="8"/>
    </row>
    <row r="54142" spans="1:4" ht="15.75" customHeight="1">
      <c r="A54142" s="8"/>
      <c r="B54142" s="12"/>
      <c r="C54142" s="8"/>
      <c r="D54142" s="8"/>
    </row>
    <row r="54143" spans="1:4" ht="15.75" customHeight="1">
      <c r="A54143" s="8"/>
      <c r="B54143" s="12"/>
      <c r="C54143" s="8"/>
      <c r="D54143" s="8"/>
    </row>
    <row r="54144" spans="1:4" ht="15.75" customHeight="1">
      <c r="A54144" s="8"/>
      <c r="B54144" s="12"/>
      <c r="C54144" s="8"/>
      <c r="D54144" s="8"/>
    </row>
    <row r="54145" spans="1:4" ht="15.75" customHeight="1">
      <c r="A54145" s="8"/>
      <c r="B54145" s="12"/>
      <c r="C54145" s="8"/>
      <c r="D54145" s="8"/>
    </row>
    <row r="54146" spans="1:4" ht="15.75" customHeight="1">
      <c r="A54146" s="8"/>
      <c r="B54146" s="12"/>
      <c r="C54146" s="8"/>
      <c r="D54146" s="8"/>
    </row>
    <row r="54147" spans="1:4" ht="15.75" customHeight="1">
      <c r="A54147" s="8"/>
      <c r="B54147" s="12"/>
      <c r="C54147" s="8"/>
      <c r="D54147" s="8"/>
    </row>
    <row r="54148" spans="1:4" ht="15.75" customHeight="1">
      <c r="A54148" s="8"/>
      <c r="B54148" s="12"/>
      <c r="C54148" s="8"/>
      <c r="D54148" s="8"/>
    </row>
    <row r="54149" spans="1:4" ht="15.75" customHeight="1">
      <c r="A54149" s="8"/>
      <c r="B54149" s="12"/>
      <c r="C54149" s="8"/>
      <c r="D54149" s="8"/>
    </row>
    <row r="54150" spans="1:4" ht="15.75" customHeight="1">
      <c r="A54150" s="8"/>
      <c r="B54150" s="12"/>
      <c r="C54150" s="8"/>
      <c r="D54150" s="8"/>
    </row>
    <row r="54151" spans="1:4" ht="15.75" customHeight="1">
      <c r="A54151" s="8"/>
      <c r="B54151" s="12"/>
      <c r="C54151" s="8"/>
      <c r="D54151" s="8"/>
    </row>
    <row r="54152" spans="1:4" ht="15.75" customHeight="1">
      <c r="A54152" s="8"/>
      <c r="B54152" s="12"/>
      <c r="C54152" s="8"/>
      <c r="D54152" s="8"/>
    </row>
    <row r="54153" spans="1:4" ht="15.75" customHeight="1">
      <c r="A54153" s="8"/>
      <c r="B54153" s="12"/>
      <c r="C54153" s="8"/>
      <c r="D54153" s="8"/>
    </row>
    <row r="54154" spans="1:4" ht="15.75" customHeight="1">
      <c r="A54154" s="8"/>
      <c r="B54154" s="12"/>
      <c r="C54154" s="8"/>
      <c r="D54154" s="8"/>
    </row>
    <row r="54155" spans="1:4" ht="15.75" customHeight="1">
      <c r="A54155" s="8"/>
      <c r="B54155" s="12"/>
      <c r="C54155" s="8"/>
      <c r="D54155" s="8"/>
    </row>
    <row r="54156" spans="1:4" ht="15.75" customHeight="1">
      <c r="A54156" s="8"/>
      <c r="B54156" s="12"/>
      <c r="C54156" s="8"/>
      <c r="D54156" s="8"/>
    </row>
    <row r="54157" spans="1:4" ht="15.75" customHeight="1">
      <c r="A54157" s="8"/>
      <c r="B54157" s="12"/>
      <c r="C54157" s="8"/>
      <c r="D54157" s="8"/>
    </row>
    <row r="54158" spans="1:4" ht="15.75" customHeight="1">
      <c r="A54158" s="8"/>
      <c r="B54158" s="12"/>
      <c r="C54158" s="8"/>
      <c r="D54158" s="8"/>
    </row>
    <row r="54159" spans="1:4" ht="15.75" customHeight="1">
      <c r="A54159" s="8"/>
      <c r="B54159" s="12"/>
      <c r="C54159" s="8"/>
      <c r="D54159" s="8"/>
    </row>
    <row r="54160" spans="1:4" ht="15.75" customHeight="1">
      <c r="A54160" s="8"/>
      <c r="B54160" s="12"/>
      <c r="C54160" s="8"/>
      <c r="D54160" s="8"/>
    </row>
    <row r="54161" spans="1:4" ht="15.75" customHeight="1">
      <c r="A54161" s="8"/>
      <c r="B54161" s="12"/>
      <c r="C54161" s="8"/>
      <c r="D54161" s="8"/>
    </row>
    <row r="54162" spans="1:4" ht="15.75" customHeight="1">
      <c r="A54162" s="8"/>
      <c r="B54162" s="12"/>
      <c r="C54162" s="8"/>
      <c r="D54162" s="8"/>
    </row>
    <row r="54163" spans="1:4" ht="15.75" customHeight="1">
      <c r="A54163" s="8"/>
      <c r="B54163" s="12"/>
      <c r="C54163" s="8"/>
      <c r="D54163" s="8"/>
    </row>
    <row r="54164" spans="1:4" ht="15.75" customHeight="1">
      <c r="A54164" s="8"/>
      <c r="B54164" s="12"/>
      <c r="C54164" s="8"/>
      <c r="D54164" s="8"/>
    </row>
    <row r="54165" spans="1:4" ht="15.75" customHeight="1">
      <c r="A54165" s="8"/>
      <c r="B54165" s="12"/>
      <c r="C54165" s="8"/>
      <c r="D54165" s="8"/>
    </row>
    <row r="54166" spans="1:4" ht="15.75" customHeight="1">
      <c r="A54166" s="8"/>
      <c r="B54166" s="12"/>
      <c r="C54166" s="8"/>
      <c r="D54166" s="8"/>
    </row>
    <row r="54167" spans="1:4" ht="15.75" customHeight="1">
      <c r="A54167" s="8"/>
      <c r="B54167" s="12"/>
      <c r="C54167" s="8"/>
      <c r="D54167" s="8"/>
    </row>
    <row r="54168" spans="1:4" ht="15.75" customHeight="1">
      <c r="A54168" s="8"/>
      <c r="B54168" s="12"/>
      <c r="C54168" s="8"/>
      <c r="D54168" s="8"/>
    </row>
    <row r="54169" spans="1:4" ht="15.75" customHeight="1">
      <c r="A54169" s="8"/>
      <c r="B54169" s="12"/>
      <c r="C54169" s="8"/>
      <c r="D54169" s="8"/>
    </row>
    <row r="54170" spans="1:4" ht="15.75" customHeight="1">
      <c r="A54170" s="8"/>
      <c r="B54170" s="12"/>
      <c r="C54170" s="8"/>
      <c r="D54170" s="8"/>
    </row>
    <row r="54171" spans="1:4" ht="15.75" customHeight="1">
      <c r="A54171" s="8"/>
      <c r="B54171" s="12"/>
      <c r="C54171" s="8"/>
      <c r="D54171" s="8"/>
    </row>
    <row r="54172" spans="1:4" ht="15.75" customHeight="1">
      <c r="A54172" s="8"/>
      <c r="B54172" s="12"/>
      <c r="C54172" s="8"/>
      <c r="D54172" s="8"/>
    </row>
    <row r="54173" spans="1:4" ht="15.75" customHeight="1">
      <c r="A54173" s="8"/>
      <c r="B54173" s="12"/>
      <c r="C54173" s="8"/>
      <c r="D54173" s="8"/>
    </row>
    <row r="54174" spans="1:4" ht="15.75" customHeight="1">
      <c r="A54174" s="8"/>
      <c r="B54174" s="12"/>
      <c r="C54174" s="8"/>
      <c r="D54174" s="8"/>
    </row>
    <row r="54175" spans="1:4" ht="15.75" customHeight="1">
      <c r="A54175" s="8"/>
      <c r="B54175" s="12"/>
      <c r="C54175" s="8"/>
      <c r="D54175" s="8"/>
    </row>
    <row r="54176" spans="1:4" ht="15.75" customHeight="1">
      <c r="A54176" s="8"/>
      <c r="B54176" s="12"/>
      <c r="C54176" s="8"/>
      <c r="D54176" s="8"/>
    </row>
    <row r="54177" spans="1:4" ht="15.75" customHeight="1">
      <c r="A54177" s="8"/>
      <c r="B54177" s="12"/>
      <c r="C54177" s="8"/>
      <c r="D54177" s="8"/>
    </row>
    <row r="54178" spans="1:4" ht="15.75" customHeight="1">
      <c r="A54178" s="8"/>
      <c r="B54178" s="12"/>
      <c r="C54178" s="8"/>
      <c r="D54178" s="8"/>
    </row>
    <row r="54179" spans="1:4" ht="15.75" customHeight="1">
      <c r="A54179" s="8"/>
      <c r="B54179" s="12"/>
      <c r="C54179" s="8"/>
      <c r="D54179" s="8"/>
    </row>
    <row r="54180" spans="1:4" ht="15.75" customHeight="1">
      <c r="A54180" s="8"/>
      <c r="B54180" s="12"/>
      <c r="C54180" s="8"/>
      <c r="D54180" s="8"/>
    </row>
    <row r="54181" spans="1:4" ht="15.75" customHeight="1">
      <c r="A54181" s="8"/>
      <c r="B54181" s="12"/>
      <c r="C54181" s="8"/>
      <c r="D54181" s="8"/>
    </row>
    <row r="54182" spans="1:4" ht="15.75" customHeight="1">
      <c r="A54182" s="8"/>
      <c r="B54182" s="12"/>
      <c r="C54182" s="8"/>
      <c r="D54182" s="8"/>
    </row>
    <row r="54183" spans="1:4" ht="15.75" customHeight="1">
      <c r="A54183" s="8"/>
      <c r="B54183" s="12"/>
      <c r="C54183" s="8"/>
      <c r="D54183" s="8"/>
    </row>
    <row r="54184" spans="1:4" ht="15.75" customHeight="1">
      <c r="A54184" s="8"/>
      <c r="B54184" s="12"/>
      <c r="C54184" s="8"/>
      <c r="D54184" s="8"/>
    </row>
    <row r="54185" spans="1:4" ht="15.75" customHeight="1">
      <c r="A54185" s="8"/>
      <c r="B54185" s="12"/>
      <c r="C54185" s="8"/>
      <c r="D54185" s="8"/>
    </row>
    <row r="54186" spans="1:4" ht="15.75" customHeight="1">
      <c r="A54186" s="8"/>
      <c r="B54186" s="12"/>
      <c r="C54186" s="8"/>
      <c r="D54186" s="8"/>
    </row>
    <row r="54187" spans="1:4" ht="15.75" customHeight="1">
      <c r="A54187" s="8"/>
      <c r="B54187" s="12"/>
      <c r="C54187" s="8"/>
      <c r="D54187" s="8"/>
    </row>
    <row r="54188" spans="1:4" ht="15.75" customHeight="1">
      <c r="A54188" s="8"/>
      <c r="B54188" s="12"/>
      <c r="C54188" s="8"/>
      <c r="D54188" s="8"/>
    </row>
    <row r="54189" spans="1:4" ht="15.75" customHeight="1">
      <c r="A54189" s="8"/>
      <c r="B54189" s="12"/>
      <c r="C54189" s="8"/>
      <c r="D54189" s="8"/>
    </row>
    <row r="54190" spans="1:4" ht="15.75" customHeight="1">
      <c r="A54190" s="8"/>
      <c r="B54190" s="12"/>
      <c r="C54190" s="8"/>
      <c r="D54190" s="8"/>
    </row>
    <row r="54191" spans="1:4" ht="15.75" customHeight="1">
      <c r="A54191" s="8"/>
      <c r="B54191" s="12"/>
      <c r="C54191" s="8"/>
      <c r="D54191" s="8"/>
    </row>
    <row r="54192" spans="1:4" ht="15.75" customHeight="1">
      <c r="A54192" s="8"/>
      <c r="B54192" s="12"/>
      <c r="C54192" s="8"/>
      <c r="D54192" s="8"/>
    </row>
    <row r="54193" spans="1:4" ht="15.75" customHeight="1">
      <c r="A54193" s="8"/>
      <c r="B54193" s="12"/>
      <c r="C54193" s="8"/>
      <c r="D54193" s="8"/>
    </row>
    <row r="54194" spans="1:4" ht="15.75" customHeight="1">
      <c r="A54194" s="8"/>
      <c r="B54194" s="12"/>
      <c r="C54194" s="8"/>
      <c r="D54194" s="8"/>
    </row>
    <row r="54195" spans="1:4" ht="15.75" customHeight="1">
      <c r="A54195" s="8"/>
      <c r="B54195" s="12"/>
      <c r="C54195" s="8"/>
      <c r="D54195" s="8"/>
    </row>
    <row r="54196" spans="1:4" ht="15.75" customHeight="1">
      <c r="A54196" s="8"/>
      <c r="B54196" s="12"/>
      <c r="C54196" s="8"/>
      <c r="D54196" s="8"/>
    </row>
    <row r="54197" spans="1:4" ht="15.75" customHeight="1">
      <c r="A54197" s="8"/>
      <c r="B54197" s="12"/>
      <c r="C54197" s="8"/>
      <c r="D54197" s="8"/>
    </row>
    <row r="54198" spans="1:4" ht="15.75" customHeight="1">
      <c r="A54198" s="8"/>
      <c r="B54198" s="12"/>
      <c r="C54198" s="8"/>
      <c r="D54198" s="8"/>
    </row>
    <row r="54199" spans="1:4" ht="15.75" customHeight="1">
      <c r="A54199" s="8"/>
      <c r="B54199" s="12"/>
      <c r="C54199" s="8"/>
      <c r="D54199" s="8"/>
    </row>
    <row r="54200" spans="1:4" ht="15.75" customHeight="1">
      <c r="A54200" s="8"/>
      <c r="B54200" s="12"/>
      <c r="C54200" s="8"/>
      <c r="D54200" s="8"/>
    </row>
    <row r="54201" spans="1:4" ht="15.75" customHeight="1">
      <c r="A54201" s="8"/>
      <c r="B54201" s="12"/>
      <c r="C54201" s="8"/>
      <c r="D54201" s="8"/>
    </row>
    <row r="54202" spans="1:4" ht="15.75" customHeight="1">
      <c r="A54202" s="8"/>
      <c r="B54202" s="12"/>
      <c r="C54202" s="8"/>
      <c r="D54202" s="8"/>
    </row>
    <row r="54203" spans="1:4" ht="15.75" customHeight="1">
      <c r="A54203" s="8"/>
      <c r="B54203" s="12"/>
      <c r="C54203" s="8"/>
      <c r="D54203" s="8"/>
    </row>
    <row r="54204" spans="1:4" ht="15.75" customHeight="1">
      <c r="A54204" s="8"/>
      <c r="B54204" s="12"/>
      <c r="C54204" s="8"/>
      <c r="D54204" s="8"/>
    </row>
    <row r="54205" spans="1:4" ht="15.75" customHeight="1">
      <c r="A54205" s="8"/>
      <c r="B54205" s="12"/>
      <c r="C54205" s="8"/>
      <c r="D54205" s="8"/>
    </row>
    <row r="54206" spans="1:4" ht="15.75" customHeight="1">
      <c r="A54206" s="8"/>
      <c r="B54206" s="12"/>
      <c r="C54206" s="8"/>
      <c r="D54206" s="8"/>
    </row>
    <row r="54207" spans="1:4" ht="15.75" customHeight="1">
      <c r="A54207" s="8"/>
      <c r="B54207" s="12"/>
      <c r="C54207" s="8"/>
      <c r="D54207" s="8"/>
    </row>
    <row r="54208" spans="1:4" ht="15.75" customHeight="1">
      <c r="A54208" s="8"/>
      <c r="B54208" s="12"/>
      <c r="C54208" s="8"/>
      <c r="D54208" s="8"/>
    </row>
    <row r="54209" spans="1:4" ht="15.75" customHeight="1">
      <c r="A54209" s="8"/>
      <c r="B54209" s="12"/>
      <c r="C54209" s="8"/>
      <c r="D54209" s="8"/>
    </row>
    <row r="54210" spans="1:4" ht="15.75" customHeight="1">
      <c r="A54210" s="8"/>
      <c r="B54210" s="12"/>
      <c r="C54210" s="8"/>
      <c r="D54210" s="8"/>
    </row>
    <row r="54211" spans="1:4" ht="15.75" customHeight="1">
      <c r="A54211" s="8"/>
      <c r="B54211" s="12"/>
      <c r="C54211" s="8"/>
      <c r="D54211" s="8"/>
    </row>
    <row r="54212" spans="1:4" ht="15.75" customHeight="1">
      <c r="A54212" s="8"/>
      <c r="B54212" s="12"/>
      <c r="C54212" s="8"/>
      <c r="D54212" s="8"/>
    </row>
    <row r="54213" spans="1:4" ht="15.75" customHeight="1">
      <c r="A54213" s="8"/>
      <c r="B54213" s="12"/>
      <c r="C54213" s="8"/>
      <c r="D54213" s="8"/>
    </row>
    <row r="54214" spans="1:4" ht="15.75" customHeight="1">
      <c r="A54214" s="8"/>
      <c r="B54214" s="12"/>
      <c r="C54214" s="8"/>
      <c r="D54214" s="8"/>
    </row>
    <row r="54215" spans="1:4" ht="15.75" customHeight="1">
      <c r="A54215" s="8"/>
      <c r="B54215" s="12"/>
      <c r="C54215" s="8"/>
      <c r="D54215" s="8"/>
    </row>
    <row r="54216" spans="1:4" ht="15.75" customHeight="1">
      <c r="A54216" s="8"/>
      <c r="B54216" s="12"/>
      <c r="C54216" s="8"/>
      <c r="D54216" s="8"/>
    </row>
    <row r="54217" spans="1:4" ht="15.75" customHeight="1">
      <c r="A54217" s="8"/>
      <c r="B54217" s="12"/>
      <c r="C54217" s="8"/>
      <c r="D54217" s="8"/>
    </row>
    <row r="54218" spans="1:4" ht="15.75" customHeight="1">
      <c r="A54218" s="8"/>
      <c r="B54218" s="12"/>
      <c r="C54218" s="8"/>
      <c r="D54218" s="8"/>
    </row>
    <row r="54219" spans="1:4" ht="15.75" customHeight="1">
      <c r="A54219" s="8"/>
      <c r="B54219" s="12"/>
      <c r="C54219" s="8"/>
      <c r="D54219" s="8"/>
    </row>
    <row r="54220" spans="1:4" ht="15.75" customHeight="1">
      <c r="A54220" s="8"/>
      <c r="B54220" s="12"/>
      <c r="C54220" s="8"/>
      <c r="D54220" s="8"/>
    </row>
    <row r="54221" spans="1:4" ht="15.75" customHeight="1">
      <c r="A54221" s="8"/>
      <c r="B54221" s="12"/>
      <c r="C54221" s="8"/>
      <c r="D54221" s="8"/>
    </row>
    <row r="54222" spans="1:4" ht="15.75" customHeight="1">
      <c r="A54222" s="8"/>
      <c r="B54222" s="12"/>
      <c r="C54222" s="8"/>
      <c r="D54222" s="8"/>
    </row>
    <row r="54223" spans="1:4" ht="15.75" customHeight="1">
      <c r="A54223" s="8"/>
      <c r="B54223" s="12"/>
      <c r="C54223" s="8"/>
      <c r="D54223" s="8"/>
    </row>
    <row r="54224" spans="1:4" ht="15.75" customHeight="1">
      <c r="A54224" s="8"/>
      <c r="B54224" s="12"/>
      <c r="C54224" s="8"/>
      <c r="D54224" s="8"/>
    </row>
    <row r="54225" spans="1:4" ht="15.75" customHeight="1">
      <c r="A54225" s="8"/>
      <c r="B54225" s="12"/>
      <c r="C54225" s="8"/>
      <c r="D54225" s="8"/>
    </row>
    <row r="54226" spans="1:4" ht="15.75" customHeight="1">
      <c r="A54226" s="8"/>
      <c r="B54226" s="12"/>
      <c r="C54226" s="8"/>
      <c r="D54226" s="8"/>
    </row>
    <row r="54227" spans="1:4" ht="15.75" customHeight="1">
      <c r="A54227" s="8"/>
      <c r="B54227" s="12"/>
      <c r="C54227" s="8"/>
      <c r="D54227" s="8"/>
    </row>
    <row r="54228" spans="1:4" ht="15.75" customHeight="1">
      <c r="A54228" s="8"/>
      <c r="B54228" s="12"/>
      <c r="C54228" s="8"/>
      <c r="D54228" s="8"/>
    </row>
    <row r="54229" spans="1:4" ht="15.75" customHeight="1">
      <c r="A54229" s="8"/>
      <c r="B54229" s="12"/>
      <c r="C54229" s="8"/>
      <c r="D54229" s="8"/>
    </row>
    <row r="54230" spans="1:4" ht="15.75" customHeight="1">
      <c r="A54230" s="8"/>
      <c r="B54230" s="12"/>
      <c r="C54230" s="8"/>
      <c r="D54230" s="8"/>
    </row>
    <row r="54231" spans="1:4" ht="15.75" customHeight="1">
      <c r="A54231" s="8"/>
      <c r="B54231" s="12"/>
      <c r="C54231" s="8"/>
      <c r="D54231" s="8"/>
    </row>
    <row r="54232" spans="1:4" ht="15.75" customHeight="1">
      <c r="A54232" s="8"/>
      <c r="B54232" s="12"/>
      <c r="C54232" s="8"/>
      <c r="D54232" s="8"/>
    </row>
    <row r="54233" spans="1:4" ht="15.75" customHeight="1">
      <c r="A54233" s="8"/>
      <c r="B54233" s="12"/>
      <c r="C54233" s="8"/>
      <c r="D54233" s="8"/>
    </row>
    <row r="54234" spans="1:4" ht="15.75" customHeight="1">
      <c r="A54234" s="8"/>
      <c r="B54234" s="12"/>
      <c r="C54234" s="8"/>
      <c r="D54234" s="8"/>
    </row>
    <row r="54235" spans="1:4" ht="15.75" customHeight="1">
      <c r="A54235" s="8"/>
      <c r="B54235" s="12"/>
      <c r="C54235" s="8"/>
      <c r="D54235" s="8"/>
    </row>
    <row r="54236" spans="1:4" ht="15.75" customHeight="1">
      <c r="A54236" s="8"/>
      <c r="B54236" s="12"/>
      <c r="C54236" s="8"/>
      <c r="D54236" s="8"/>
    </row>
    <row r="54237" spans="1:4" ht="15.75" customHeight="1">
      <c r="A54237" s="8"/>
      <c r="B54237" s="12"/>
      <c r="C54237" s="8"/>
      <c r="D54237" s="8"/>
    </row>
    <row r="54238" spans="1:4" ht="15.75" customHeight="1">
      <c r="A54238" s="8"/>
      <c r="B54238" s="12"/>
      <c r="C54238" s="8"/>
      <c r="D54238" s="8"/>
    </row>
    <row r="54239" spans="1:4" ht="15.75" customHeight="1">
      <c r="A54239" s="8"/>
      <c r="B54239" s="12"/>
      <c r="C54239" s="8"/>
      <c r="D54239" s="8"/>
    </row>
    <row r="54240" spans="1:4" ht="15.75" customHeight="1">
      <c r="A54240" s="8"/>
      <c r="B54240" s="12"/>
      <c r="C54240" s="8"/>
      <c r="D54240" s="8"/>
    </row>
    <row r="54241" spans="1:4" ht="15.75" customHeight="1">
      <c r="A54241" s="8"/>
      <c r="B54241" s="12"/>
      <c r="C54241" s="8"/>
      <c r="D54241" s="8"/>
    </row>
    <row r="54242" spans="1:4" ht="15.75" customHeight="1">
      <c r="A54242" s="8"/>
      <c r="B54242" s="12"/>
      <c r="C54242" s="8"/>
      <c r="D54242" s="8"/>
    </row>
    <row r="54243" spans="1:4" ht="15.75" customHeight="1">
      <c r="A54243" s="8"/>
      <c r="B54243" s="12"/>
      <c r="C54243" s="8"/>
      <c r="D54243" s="8"/>
    </row>
    <row r="54244" spans="1:4" ht="15.75" customHeight="1">
      <c r="A54244" s="8"/>
      <c r="B54244" s="12"/>
      <c r="C54244" s="8"/>
      <c r="D54244" s="8"/>
    </row>
    <row r="54245" spans="1:4" ht="15.75" customHeight="1">
      <c r="A54245" s="8"/>
      <c r="B54245" s="12"/>
      <c r="C54245" s="8"/>
      <c r="D54245" s="8"/>
    </row>
    <row r="54246" spans="1:4" ht="15.75" customHeight="1">
      <c r="A54246" s="8"/>
      <c r="B54246" s="12"/>
      <c r="C54246" s="8"/>
      <c r="D54246" s="8"/>
    </row>
    <row r="54247" spans="1:4" ht="15.75" customHeight="1">
      <c r="A54247" s="8"/>
      <c r="B54247" s="12"/>
      <c r="C54247" s="8"/>
      <c r="D54247" s="8"/>
    </row>
    <row r="54248" spans="1:4" ht="15.75" customHeight="1">
      <c r="A54248" s="8"/>
      <c r="B54248" s="12"/>
      <c r="C54248" s="8"/>
      <c r="D54248" s="8"/>
    </row>
    <row r="54249" spans="1:4" ht="15.75" customHeight="1">
      <c r="A54249" s="8"/>
      <c r="B54249" s="12"/>
      <c r="C54249" s="8"/>
      <c r="D54249" s="8"/>
    </row>
    <row r="54250" spans="1:4" ht="15.75" customHeight="1">
      <c r="A54250" s="8"/>
      <c r="B54250" s="12"/>
      <c r="C54250" s="8"/>
      <c r="D54250" s="8"/>
    </row>
    <row r="54251" spans="1:4" ht="15.75" customHeight="1">
      <c r="A54251" s="8"/>
      <c r="B54251" s="12"/>
      <c r="C54251" s="8"/>
      <c r="D54251" s="8"/>
    </row>
    <row r="54252" spans="1:4" ht="15.75" customHeight="1">
      <c r="A54252" s="8"/>
      <c r="B54252" s="12"/>
      <c r="C54252" s="8"/>
      <c r="D54252" s="8"/>
    </row>
    <row r="54253" spans="1:4" ht="15.75" customHeight="1">
      <c r="A54253" s="8"/>
      <c r="B54253" s="12"/>
      <c r="C54253" s="8"/>
      <c r="D54253" s="8"/>
    </row>
    <row r="54254" spans="1:4" ht="15.75" customHeight="1">
      <c r="A54254" s="8"/>
      <c r="B54254" s="12"/>
      <c r="C54254" s="8"/>
      <c r="D54254" s="8"/>
    </row>
    <row r="54255" spans="1:4" ht="15.75" customHeight="1">
      <c r="A54255" s="8"/>
      <c r="B54255" s="12"/>
      <c r="C54255" s="8"/>
      <c r="D54255" s="8"/>
    </row>
    <row r="54256" spans="1:4" ht="15.75" customHeight="1">
      <c r="A54256" s="8"/>
      <c r="B54256" s="12"/>
      <c r="C54256" s="8"/>
      <c r="D54256" s="8"/>
    </row>
    <row r="54257" spans="1:4" ht="15.75" customHeight="1">
      <c r="A54257" s="8"/>
      <c r="B54257" s="12"/>
      <c r="C54257" s="8"/>
      <c r="D54257" s="8"/>
    </row>
    <row r="54258" spans="1:4" ht="15.75" customHeight="1">
      <c r="A54258" s="8"/>
      <c r="B54258" s="12"/>
      <c r="C54258" s="8"/>
      <c r="D54258" s="8"/>
    </row>
    <row r="54259" spans="1:4" ht="15.75" customHeight="1">
      <c r="A54259" s="8"/>
      <c r="B54259" s="12"/>
      <c r="C54259" s="8"/>
      <c r="D54259" s="8"/>
    </row>
    <row r="54260" spans="1:4" ht="15.75" customHeight="1">
      <c r="A54260" s="8"/>
      <c r="B54260" s="12"/>
      <c r="C54260" s="8"/>
      <c r="D54260" s="8"/>
    </row>
    <row r="54261" spans="1:4" ht="15.75" customHeight="1">
      <c r="A54261" s="8"/>
      <c r="B54261" s="12"/>
      <c r="C54261" s="8"/>
      <c r="D54261" s="8"/>
    </row>
    <row r="54262" spans="1:4" ht="15.75" customHeight="1">
      <c r="A54262" s="8"/>
      <c r="B54262" s="12"/>
      <c r="C54262" s="8"/>
      <c r="D54262" s="8"/>
    </row>
    <row r="54263" spans="1:4" ht="15.75" customHeight="1">
      <c r="A54263" s="8"/>
      <c r="B54263" s="12"/>
      <c r="C54263" s="8"/>
      <c r="D54263" s="8"/>
    </row>
    <row r="54264" spans="1:4" ht="15.75" customHeight="1">
      <c r="A54264" s="8"/>
      <c r="B54264" s="12"/>
      <c r="C54264" s="8"/>
      <c r="D54264" s="8"/>
    </row>
    <row r="54265" spans="1:4" ht="15.75" customHeight="1">
      <c r="A54265" s="8"/>
      <c r="B54265" s="12"/>
      <c r="C54265" s="8"/>
      <c r="D54265" s="8"/>
    </row>
    <row r="54266" spans="1:4" ht="15.75" customHeight="1">
      <c r="A54266" s="8"/>
      <c r="B54266" s="12"/>
      <c r="C54266" s="8"/>
      <c r="D54266" s="8"/>
    </row>
    <row r="54267" spans="1:4" ht="15.75" customHeight="1">
      <c r="A54267" s="8"/>
      <c r="B54267" s="12"/>
      <c r="C54267" s="8"/>
      <c r="D54267" s="8"/>
    </row>
    <row r="54268" spans="1:4" ht="15.75" customHeight="1">
      <c r="A54268" s="8"/>
      <c r="B54268" s="12"/>
      <c r="C54268" s="8"/>
      <c r="D54268" s="8"/>
    </row>
    <row r="54269" spans="1:4" ht="15.75" customHeight="1">
      <c r="A54269" s="8"/>
      <c r="B54269" s="12"/>
      <c r="C54269" s="8"/>
      <c r="D54269" s="8"/>
    </row>
    <row r="54270" spans="1:4" ht="15.75" customHeight="1">
      <c r="A54270" s="8"/>
      <c r="B54270" s="12"/>
      <c r="C54270" s="8"/>
      <c r="D54270" s="8"/>
    </row>
    <row r="54271" spans="1:4" ht="15.75" customHeight="1">
      <c r="A54271" s="8"/>
      <c r="B54271" s="12"/>
      <c r="C54271" s="8"/>
      <c r="D54271" s="8"/>
    </row>
    <row r="54272" spans="1:4" ht="15.75" customHeight="1">
      <c r="A54272" s="8"/>
      <c r="B54272" s="12"/>
      <c r="C54272" s="8"/>
      <c r="D54272" s="8"/>
    </row>
    <row r="54273" spans="1:4" ht="15.75" customHeight="1">
      <c r="A54273" s="8"/>
      <c r="B54273" s="12"/>
      <c r="C54273" s="8"/>
      <c r="D54273" s="8"/>
    </row>
    <row r="54274" spans="1:4" ht="15.75" customHeight="1">
      <c r="A54274" s="8"/>
      <c r="B54274" s="12"/>
      <c r="C54274" s="8"/>
      <c r="D54274" s="8"/>
    </row>
    <row r="54275" spans="1:4" ht="15.75" customHeight="1">
      <c r="A54275" s="8"/>
      <c r="B54275" s="12"/>
      <c r="C54275" s="8"/>
      <c r="D54275" s="8"/>
    </row>
    <row r="54276" spans="1:4" ht="15.75" customHeight="1">
      <c r="A54276" s="8"/>
      <c r="B54276" s="12"/>
      <c r="C54276" s="8"/>
      <c r="D54276" s="8"/>
    </row>
    <row r="54277" spans="1:4" ht="15.75" customHeight="1">
      <c r="A54277" s="8"/>
      <c r="B54277" s="12"/>
      <c r="C54277" s="8"/>
      <c r="D54277" s="8"/>
    </row>
    <row r="54278" spans="1:4" ht="15.75" customHeight="1">
      <c r="A54278" s="8"/>
      <c r="B54278" s="12"/>
      <c r="C54278" s="8"/>
      <c r="D54278" s="8"/>
    </row>
    <row r="54279" spans="1:4" ht="15.75" customHeight="1">
      <c r="A54279" s="8"/>
      <c r="B54279" s="12"/>
      <c r="C54279" s="8"/>
      <c r="D54279" s="8"/>
    </row>
    <row r="54280" spans="1:4" ht="15.75" customHeight="1">
      <c r="A54280" s="8"/>
      <c r="B54280" s="12"/>
      <c r="C54280" s="8"/>
      <c r="D54280" s="8"/>
    </row>
    <row r="54281" spans="1:4" ht="15.75" customHeight="1">
      <c r="A54281" s="8"/>
      <c r="B54281" s="12"/>
      <c r="C54281" s="8"/>
      <c r="D54281" s="8"/>
    </row>
    <row r="54282" spans="1:4" ht="15.75" customHeight="1">
      <c r="A54282" s="8"/>
      <c r="B54282" s="12"/>
      <c r="C54282" s="8"/>
      <c r="D54282" s="8"/>
    </row>
    <row r="54283" spans="1:4" ht="15.75" customHeight="1">
      <c r="A54283" s="8"/>
      <c r="B54283" s="12"/>
      <c r="C54283" s="8"/>
      <c r="D54283" s="8"/>
    </row>
    <row r="54284" spans="1:4" ht="15.75" customHeight="1">
      <c r="A54284" s="8"/>
      <c r="B54284" s="12"/>
      <c r="C54284" s="8"/>
      <c r="D54284" s="8"/>
    </row>
    <row r="54285" spans="1:4" ht="15.75" customHeight="1">
      <c r="A54285" s="8"/>
      <c r="B54285" s="12"/>
      <c r="C54285" s="8"/>
      <c r="D54285" s="8"/>
    </row>
    <row r="54286" spans="1:4" ht="15.75" customHeight="1">
      <c r="A54286" s="8"/>
      <c r="B54286" s="12"/>
      <c r="C54286" s="8"/>
      <c r="D54286" s="8"/>
    </row>
    <row r="54287" spans="1:4" ht="15.75" customHeight="1">
      <c r="A54287" s="8"/>
      <c r="B54287" s="12"/>
      <c r="C54287" s="8"/>
      <c r="D54287" s="8"/>
    </row>
    <row r="54288" spans="1:4" ht="15.75" customHeight="1">
      <c r="A54288" s="8"/>
      <c r="B54288" s="12"/>
      <c r="C54288" s="8"/>
      <c r="D54288" s="8"/>
    </row>
    <row r="54289" spans="1:4" ht="15.75" customHeight="1">
      <c r="A54289" s="8"/>
      <c r="B54289" s="12"/>
      <c r="C54289" s="8"/>
      <c r="D54289" s="8"/>
    </row>
    <row r="54290" spans="1:4" ht="15.75" customHeight="1">
      <c r="A54290" s="8"/>
      <c r="B54290" s="12"/>
      <c r="C54290" s="8"/>
      <c r="D54290" s="8"/>
    </row>
    <row r="54291" spans="1:4" ht="15.75" customHeight="1">
      <c r="A54291" s="8"/>
      <c r="B54291" s="12"/>
      <c r="C54291" s="8"/>
      <c r="D54291" s="8"/>
    </row>
    <row r="54292" spans="1:4" ht="15.75" customHeight="1">
      <c r="A54292" s="8"/>
      <c r="B54292" s="12"/>
      <c r="C54292" s="8"/>
      <c r="D54292" s="8"/>
    </row>
    <row r="54293" spans="1:4" ht="15.75" customHeight="1">
      <c r="A54293" s="8"/>
      <c r="B54293" s="12"/>
      <c r="C54293" s="8"/>
      <c r="D54293" s="8"/>
    </row>
    <row r="54294" spans="1:4" ht="15.75" customHeight="1">
      <c r="A54294" s="8"/>
      <c r="B54294" s="12"/>
      <c r="C54294" s="8"/>
      <c r="D54294" s="8"/>
    </row>
    <row r="54295" spans="1:4" ht="15.75" customHeight="1">
      <c r="A54295" s="8"/>
      <c r="B54295" s="12"/>
      <c r="C54295" s="8"/>
      <c r="D54295" s="8"/>
    </row>
    <row r="54296" spans="1:4" ht="15.75" customHeight="1">
      <c r="A54296" s="8"/>
      <c r="B54296" s="12"/>
      <c r="C54296" s="8"/>
      <c r="D54296" s="8"/>
    </row>
    <row r="54297" spans="1:4" ht="15.75" customHeight="1">
      <c r="A54297" s="8"/>
      <c r="B54297" s="12"/>
      <c r="C54297" s="8"/>
      <c r="D54297" s="8"/>
    </row>
    <row r="54298" spans="1:4" ht="15.75" customHeight="1">
      <c r="A54298" s="8"/>
      <c r="B54298" s="12"/>
      <c r="C54298" s="8"/>
      <c r="D54298" s="8"/>
    </row>
    <row r="54299" spans="1:4" ht="15.75" customHeight="1">
      <c r="A54299" s="8"/>
      <c r="B54299" s="12"/>
      <c r="C54299" s="8"/>
      <c r="D54299" s="8"/>
    </row>
    <row r="54300" spans="1:4" ht="15.75" customHeight="1">
      <c r="A54300" s="8"/>
      <c r="B54300" s="12"/>
      <c r="C54300" s="8"/>
      <c r="D54300" s="8"/>
    </row>
    <row r="54301" spans="1:4" ht="15.75" customHeight="1">
      <c r="A54301" s="8"/>
      <c r="B54301" s="12"/>
      <c r="C54301" s="8"/>
      <c r="D54301" s="8"/>
    </row>
    <row r="54302" spans="1:4" ht="15.75" customHeight="1">
      <c r="A54302" s="8"/>
      <c r="B54302" s="12"/>
      <c r="C54302" s="8"/>
      <c r="D54302" s="8"/>
    </row>
    <row r="54303" spans="1:4" ht="15.75" customHeight="1">
      <c r="A54303" s="8"/>
      <c r="B54303" s="12"/>
      <c r="C54303" s="8"/>
      <c r="D54303" s="8"/>
    </row>
    <row r="54304" spans="1:4" ht="15.75" customHeight="1">
      <c r="A54304" s="8"/>
      <c r="B54304" s="12"/>
      <c r="C54304" s="8"/>
      <c r="D54304" s="8"/>
    </row>
    <row r="54305" spans="1:4" ht="15.75" customHeight="1">
      <c r="A54305" s="8"/>
      <c r="B54305" s="12"/>
      <c r="C54305" s="8"/>
      <c r="D54305" s="8"/>
    </row>
    <row r="54306" spans="1:4" ht="15.75" customHeight="1">
      <c r="A54306" s="8"/>
      <c r="B54306" s="12"/>
      <c r="C54306" s="8"/>
      <c r="D54306" s="8"/>
    </row>
    <row r="54307" spans="1:4" ht="15.75" customHeight="1">
      <c r="A54307" s="8"/>
      <c r="B54307" s="12"/>
      <c r="C54307" s="8"/>
      <c r="D54307" s="8"/>
    </row>
    <row r="54308" spans="1:4" ht="15.75" customHeight="1">
      <c r="A54308" s="8"/>
      <c r="B54308" s="12"/>
      <c r="C54308" s="8"/>
      <c r="D54308" s="8"/>
    </row>
    <row r="54309" spans="1:4" ht="15.75" customHeight="1">
      <c r="A54309" s="8"/>
      <c r="B54309" s="12"/>
      <c r="C54309" s="8"/>
      <c r="D54309" s="8"/>
    </row>
    <row r="54310" spans="1:4" ht="15.75" customHeight="1">
      <c r="A54310" s="8"/>
      <c r="B54310" s="12"/>
      <c r="C54310" s="8"/>
      <c r="D54310" s="8"/>
    </row>
    <row r="54311" spans="1:4" ht="15.75" customHeight="1">
      <c r="A54311" s="8"/>
      <c r="B54311" s="12"/>
      <c r="C54311" s="8"/>
      <c r="D54311" s="8"/>
    </row>
    <row r="54312" spans="1:4" ht="15.75" customHeight="1">
      <c r="A54312" s="8"/>
      <c r="B54312" s="12"/>
      <c r="C54312" s="8"/>
      <c r="D54312" s="8"/>
    </row>
    <row r="54313" spans="1:4" ht="15.75" customHeight="1">
      <c r="A54313" s="8"/>
      <c r="B54313" s="12"/>
      <c r="C54313" s="8"/>
      <c r="D54313" s="8"/>
    </row>
    <row r="54314" spans="1:4" ht="15.75" customHeight="1">
      <c r="A54314" s="8"/>
      <c r="B54314" s="12"/>
      <c r="C54314" s="8"/>
      <c r="D54314" s="8"/>
    </row>
    <row r="54315" spans="1:4" ht="15.75" customHeight="1">
      <c r="A54315" s="8"/>
      <c r="B54315" s="12"/>
      <c r="C54315" s="8"/>
      <c r="D54315" s="8"/>
    </row>
    <row r="54316" spans="1:4" ht="15.75" customHeight="1">
      <c r="A54316" s="8"/>
      <c r="B54316" s="12"/>
      <c r="C54316" s="8"/>
      <c r="D54316" s="8"/>
    </row>
    <row r="54317" spans="1:4" ht="15.75" customHeight="1">
      <c r="A54317" s="8"/>
      <c r="B54317" s="12"/>
      <c r="C54317" s="8"/>
      <c r="D54317" s="8"/>
    </row>
    <row r="54318" spans="1:4" ht="15.75" customHeight="1">
      <c r="A54318" s="8"/>
      <c r="B54318" s="12"/>
      <c r="C54318" s="8"/>
      <c r="D54318" s="8"/>
    </row>
    <row r="54319" spans="1:4" ht="15.75" customHeight="1">
      <c r="A54319" s="8"/>
      <c r="B54319" s="12"/>
      <c r="C54319" s="8"/>
      <c r="D54319" s="8"/>
    </row>
    <row r="54320" spans="1:4" ht="15.75" customHeight="1">
      <c r="A54320" s="8"/>
      <c r="B54320" s="12"/>
      <c r="C54320" s="8"/>
      <c r="D54320" s="8"/>
    </row>
    <row r="54321" spans="1:4" ht="15.75" customHeight="1">
      <c r="A54321" s="8"/>
      <c r="B54321" s="12"/>
      <c r="C54321" s="8"/>
      <c r="D54321" s="8"/>
    </row>
    <row r="54322" spans="1:4" ht="15.75" customHeight="1">
      <c r="A54322" s="8"/>
      <c r="B54322" s="12"/>
      <c r="C54322" s="8"/>
      <c r="D54322" s="8"/>
    </row>
    <row r="54323" spans="1:4" ht="15.75" customHeight="1">
      <c r="A54323" s="8"/>
      <c r="B54323" s="12"/>
      <c r="C54323" s="8"/>
      <c r="D54323" s="8"/>
    </row>
    <row r="54324" spans="1:4" ht="15.75" customHeight="1">
      <c r="A54324" s="8"/>
      <c r="B54324" s="12"/>
      <c r="C54324" s="8"/>
      <c r="D54324" s="8"/>
    </row>
    <row r="54325" spans="1:4" ht="15.75" customHeight="1">
      <c r="A54325" s="8"/>
      <c r="B54325" s="12"/>
      <c r="C54325" s="8"/>
      <c r="D54325" s="8"/>
    </row>
    <row r="54326" spans="1:4" ht="15.75" customHeight="1">
      <c r="A54326" s="8"/>
      <c r="B54326" s="12"/>
      <c r="C54326" s="8"/>
      <c r="D54326" s="8"/>
    </row>
    <row r="54327" spans="1:4" ht="15.75" customHeight="1">
      <c r="A54327" s="8"/>
      <c r="B54327" s="12"/>
      <c r="C54327" s="8"/>
      <c r="D54327" s="8"/>
    </row>
    <row r="54328" spans="1:4" ht="15.75" customHeight="1">
      <c r="A54328" s="8"/>
      <c r="B54328" s="12"/>
      <c r="C54328" s="8"/>
      <c r="D54328" s="8"/>
    </row>
    <row r="54329" spans="1:4" ht="15.75" customHeight="1">
      <c r="A54329" s="8"/>
      <c r="B54329" s="12"/>
      <c r="C54329" s="8"/>
      <c r="D54329" s="8"/>
    </row>
    <row r="54330" spans="1:4" ht="15.75" customHeight="1">
      <c r="A54330" s="8"/>
      <c r="B54330" s="12"/>
      <c r="C54330" s="8"/>
      <c r="D54330" s="8"/>
    </row>
    <row r="54331" spans="1:4" ht="15.75" customHeight="1">
      <c r="A54331" s="8"/>
      <c r="B54331" s="12"/>
      <c r="C54331" s="8"/>
      <c r="D54331" s="8"/>
    </row>
    <row r="54332" spans="1:4" ht="15.75" customHeight="1">
      <c r="A54332" s="8"/>
      <c r="B54332" s="12"/>
      <c r="C54332" s="8"/>
      <c r="D54332" s="8"/>
    </row>
    <row r="54333" spans="1:4" ht="15.75" customHeight="1">
      <c r="A54333" s="8"/>
      <c r="B54333" s="12"/>
      <c r="C54333" s="8"/>
      <c r="D54333" s="8"/>
    </row>
    <row r="54334" spans="1:4" ht="15.75" customHeight="1">
      <c r="A54334" s="8"/>
      <c r="B54334" s="12"/>
      <c r="C54334" s="8"/>
      <c r="D54334" s="8"/>
    </row>
    <row r="54335" spans="1:4" ht="15.75" customHeight="1">
      <c r="A54335" s="8"/>
      <c r="B54335" s="12"/>
      <c r="C54335" s="8"/>
      <c r="D54335" s="8"/>
    </row>
    <row r="54336" spans="1:4" ht="15.75" customHeight="1">
      <c r="A54336" s="8"/>
      <c r="B54336" s="12"/>
      <c r="C54336" s="8"/>
      <c r="D54336" s="8"/>
    </row>
    <row r="54337" spans="1:4" ht="15.75" customHeight="1">
      <c r="A54337" s="8"/>
      <c r="B54337" s="12"/>
      <c r="C54337" s="8"/>
      <c r="D54337" s="8"/>
    </row>
    <row r="54338" spans="1:4" ht="15.75" customHeight="1">
      <c r="A54338" s="8"/>
      <c r="B54338" s="12"/>
      <c r="C54338" s="8"/>
      <c r="D54338" s="8"/>
    </row>
    <row r="54339" spans="1:4" ht="15.75" customHeight="1">
      <c r="A54339" s="8"/>
      <c r="B54339" s="12"/>
      <c r="C54339" s="8"/>
      <c r="D54339" s="8"/>
    </row>
    <row r="54340" spans="1:4" ht="15.75" customHeight="1">
      <c r="A54340" s="8"/>
      <c r="B54340" s="12"/>
      <c r="C54340" s="8"/>
      <c r="D54340" s="8"/>
    </row>
    <row r="54341" spans="1:4" ht="15.75" customHeight="1">
      <c r="A54341" s="8"/>
      <c r="B54341" s="12"/>
      <c r="C54341" s="8"/>
      <c r="D54341" s="8"/>
    </row>
    <row r="54342" spans="1:4" ht="15.75" customHeight="1">
      <c r="A54342" s="8"/>
      <c r="B54342" s="12"/>
      <c r="C54342" s="8"/>
      <c r="D54342" s="8"/>
    </row>
    <row r="54343" spans="1:4" ht="15.75" customHeight="1">
      <c r="A54343" s="8"/>
      <c r="B54343" s="12"/>
      <c r="C54343" s="8"/>
      <c r="D54343" s="8"/>
    </row>
    <row r="54344" spans="1:4" ht="15.75" customHeight="1">
      <c r="A54344" s="8"/>
      <c r="B54344" s="12"/>
      <c r="C54344" s="8"/>
      <c r="D54344" s="8"/>
    </row>
    <row r="54345" spans="1:4" ht="15.75" customHeight="1">
      <c r="A54345" s="8"/>
      <c r="B54345" s="12"/>
      <c r="C54345" s="8"/>
      <c r="D54345" s="8"/>
    </row>
    <row r="54346" spans="1:4" ht="15.75" customHeight="1">
      <c r="A54346" s="8"/>
      <c r="B54346" s="12"/>
      <c r="C54346" s="8"/>
      <c r="D54346" s="8"/>
    </row>
    <row r="54347" spans="1:4" ht="15.75" customHeight="1">
      <c r="A54347" s="8"/>
      <c r="B54347" s="12"/>
      <c r="C54347" s="8"/>
      <c r="D54347" s="8"/>
    </row>
    <row r="54348" spans="1:4" ht="15.75" customHeight="1">
      <c r="A54348" s="8"/>
      <c r="B54348" s="12"/>
      <c r="C54348" s="8"/>
      <c r="D54348" s="8"/>
    </row>
    <row r="54349" spans="1:4" ht="15.75" customHeight="1">
      <c r="A54349" s="8"/>
      <c r="B54349" s="12"/>
      <c r="C54349" s="8"/>
      <c r="D54349" s="8"/>
    </row>
    <row r="54350" spans="1:4" ht="15.75" customHeight="1">
      <c r="A54350" s="8"/>
      <c r="B54350" s="12"/>
      <c r="C54350" s="8"/>
      <c r="D54350" s="8"/>
    </row>
    <row r="54351" spans="1:4" ht="15.75" customHeight="1">
      <c r="A54351" s="8"/>
      <c r="B54351" s="12"/>
      <c r="C54351" s="8"/>
      <c r="D54351" s="8"/>
    </row>
    <row r="54352" spans="1:4" ht="15.75" customHeight="1">
      <c r="A54352" s="8"/>
      <c r="B54352" s="12"/>
      <c r="C54352" s="8"/>
      <c r="D54352" s="8"/>
    </row>
    <row r="54353" spans="1:4" ht="15.75" customHeight="1">
      <c r="A54353" s="8"/>
      <c r="B54353" s="12"/>
      <c r="C54353" s="8"/>
      <c r="D54353" s="8"/>
    </row>
    <row r="54354" spans="1:4" ht="15.75" customHeight="1">
      <c r="A54354" s="8"/>
      <c r="B54354" s="12"/>
      <c r="C54354" s="8"/>
      <c r="D54354" s="8"/>
    </row>
    <row r="54355" spans="1:4" ht="15.75" customHeight="1">
      <c r="A54355" s="8"/>
      <c r="B54355" s="12"/>
      <c r="C54355" s="8"/>
      <c r="D54355" s="8"/>
    </row>
    <row r="54356" spans="1:4" ht="15.75" customHeight="1">
      <c r="A54356" s="8"/>
      <c r="B54356" s="12"/>
      <c r="C54356" s="8"/>
      <c r="D54356" s="8"/>
    </row>
    <row r="54357" spans="1:4" ht="15.75" customHeight="1">
      <c r="A54357" s="8"/>
      <c r="B54357" s="12"/>
      <c r="C54357" s="8"/>
      <c r="D54357" s="8"/>
    </row>
    <row r="54358" spans="1:4" ht="15.75" customHeight="1">
      <c r="A54358" s="8"/>
      <c r="B54358" s="12"/>
      <c r="C54358" s="8"/>
      <c r="D54358" s="8"/>
    </row>
    <row r="54359" spans="1:4" ht="15.75" customHeight="1">
      <c r="A54359" s="8"/>
      <c r="B54359" s="12"/>
      <c r="C54359" s="8"/>
      <c r="D54359" s="8"/>
    </row>
    <row r="54360" spans="1:4" ht="15.75" customHeight="1">
      <c r="A54360" s="8"/>
      <c r="B54360" s="12"/>
      <c r="C54360" s="8"/>
      <c r="D54360" s="8"/>
    </row>
    <row r="54361" spans="1:4" ht="15.75" customHeight="1">
      <c r="A54361" s="8"/>
      <c r="B54361" s="12"/>
      <c r="C54361" s="8"/>
      <c r="D54361" s="8"/>
    </row>
    <row r="54362" spans="1:4" ht="15.75" customHeight="1">
      <c r="A54362" s="8"/>
      <c r="B54362" s="12"/>
      <c r="C54362" s="8"/>
      <c r="D54362" s="8"/>
    </row>
    <row r="54363" spans="1:4" ht="15.75" customHeight="1">
      <c r="A54363" s="8"/>
      <c r="B54363" s="12"/>
      <c r="C54363" s="8"/>
      <c r="D54363" s="8"/>
    </row>
    <row r="54364" spans="1:4" ht="15.75" customHeight="1">
      <c r="A54364" s="8"/>
      <c r="B54364" s="12"/>
      <c r="C54364" s="8"/>
      <c r="D54364" s="8"/>
    </row>
    <row r="54365" spans="1:4" ht="15.75" customHeight="1">
      <c r="A54365" s="8"/>
      <c r="B54365" s="12"/>
      <c r="C54365" s="8"/>
      <c r="D54365" s="8"/>
    </row>
    <row r="54366" spans="1:4" ht="15.75" customHeight="1">
      <c r="A54366" s="8"/>
      <c r="B54366" s="12"/>
      <c r="C54366" s="8"/>
      <c r="D54366" s="8"/>
    </row>
    <row r="54367" spans="1:4" ht="15.75" customHeight="1">
      <c r="A54367" s="8"/>
      <c r="B54367" s="12"/>
      <c r="C54367" s="8"/>
      <c r="D54367" s="8"/>
    </row>
    <row r="54368" spans="1:4" ht="15.75" customHeight="1">
      <c r="A54368" s="8"/>
      <c r="B54368" s="12"/>
      <c r="C54368" s="8"/>
      <c r="D54368" s="8"/>
    </row>
    <row r="54369" spans="1:4" ht="15.75" customHeight="1">
      <c r="A54369" s="8"/>
      <c r="B54369" s="12"/>
      <c r="C54369" s="8"/>
      <c r="D54369" s="8"/>
    </row>
    <row r="54370" spans="1:4" ht="15.75" customHeight="1">
      <c r="A54370" s="8"/>
      <c r="B54370" s="12"/>
      <c r="C54370" s="8"/>
      <c r="D54370" s="8"/>
    </row>
    <row r="54371" spans="1:4" ht="15.75" customHeight="1">
      <c r="A54371" s="8"/>
      <c r="B54371" s="12"/>
      <c r="C54371" s="8"/>
      <c r="D54371" s="8"/>
    </row>
    <row r="54372" spans="1:4" ht="15.75" customHeight="1">
      <c r="A54372" s="8"/>
      <c r="B54372" s="12"/>
      <c r="C54372" s="8"/>
      <c r="D54372" s="8"/>
    </row>
    <row r="54373" spans="1:4" ht="15.75" customHeight="1">
      <c r="A54373" s="8"/>
      <c r="B54373" s="12"/>
      <c r="C54373" s="8"/>
      <c r="D54373" s="8"/>
    </row>
    <row r="54374" spans="1:4" ht="15.75" customHeight="1">
      <c r="A54374" s="8"/>
      <c r="B54374" s="12"/>
      <c r="C54374" s="8"/>
      <c r="D54374" s="8"/>
    </row>
    <row r="54375" spans="1:4" ht="15.75" customHeight="1">
      <c r="A54375" s="8"/>
      <c r="B54375" s="12"/>
      <c r="C54375" s="8"/>
      <c r="D54375" s="8"/>
    </row>
    <row r="54376" spans="1:4" ht="15.75" customHeight="1">
      <c r="A54376" s="8"/>
      <c r="B54376" s="12"/>
      <c r="C54376" s="8"/>
      <c r="D54376" s="8"/>
    </row>
    <row r="54377" spans="1:4" ht="15.75" customHeight="1">
      <c r="A54377" s="8"/>
      <c r="B54377" s="12"/>
      <c r="C54377" s="8"/>
      <c r="D54377" s="8"/>
    </row>
    <row r="54378" spans="1:4" ht="15.75" customHeight="1">
      <c r="A54378" s="8"/>
      <c r="B54378" s="12"/>
      <c r="C54378" s="8"/>
      <c r="D54378" s="8"/>
    </row>
    <row r="54379" spans="1:4" ht="15.75" customHeight="1">
      <c r="A54379" s="8"/>
      <c r="B54379" s="12"/>
      <c r="C54379" s="8"/>
      <c r="D54379" s="8"/>
    </row>
    <row r="54380" spans="1:4" ht="15.75" customHeight="1">
      <c r="A54380" s="8"/>
      <c r="B54380" s="12"/>
      <c r="C54380" s="8"/>
      <c r="D54380" s="8"/>
    </row>
    <row r="54381" spans="1:4" ht="15.75" customHeight="1">
      <c r="A54381" s="8"/>
      <c r="B54381" s="12"/>
      <c r="C54381" s="8"/>
      <c r="D54381" s="8"/>
    </row>
    <row r="54382" spans="1:4" ht="15.75" customHeight="1">
      <c r="A54382" s="8"/>
      <c r="B54382" s="12"/>
      <c r="C54382" s="8"/>
      <c r="D54382" s="8"/>
    </row>
    <row r="54383" spans="1:4" ht="15.75" customHeight="1">
      <c r="A54383" s="8"/>
      <c r="B54383" s="12"/>
      <c r="C54383" s="8"/>
      <c r="D54383" s="8"/>
    </row>
    <row r="54384" spans="1:4" ht="15.75" customHeight="1">
      <c r="A54384" s="8"/>
      <c r="B54384" s="12"/>
      <c r="C54384" s="8"/>
      <c r="D54384" s="8"/>
    </row>
    <row r="54385" spans="1:4" ht="15.75" customHeight="1">
      <c r="A54385" s="8"/>
      <c r="B54385" s="12"/>
      <c r="C54385" s="8"/>
      <c r="D54385" s="8"/>
    </row>
    <row r="54386" spans="1:4" ht="15.75" customHeight="1">
      <c r="A54386" s="8"/>
      <c r="B54386" s="12"/>
      <c r="C54386" s="8"/>
      <c r="D54386" s="8"/>
    </row>
    <row r="54387" spans="1:4" ht="15.75" customHeight="1">
      <c r="A54387" s="8"/>
      <c r="B54387" s="12"/>
      <c r="C54387" s="8"/>
      <c r="D54387" s="8"/>
    </row>
    <row r="54388" spans="1:4" ht="15.75" customHeight="1">
      <c r="A54388" s="8"/>
      <c r="B54388" s="12"/>
      <c r="C54388" s="8"/>
      <c r="D54388" s="8"/>
    </row>
    <row r="54389" spans="1:4" ht="15.75" customHeight="1">
      <c r="A54389" s="8"/>
      <c r="B54389" s="12"/>
      <c r="C54389" s="8"/>
      <c r="D54389" s="8"/>
    </row>
    <row r="54390" spans="1:4" ht="15.75" customHeight="1">
      <c r="A54390" s="8"/>
      <c r="B54390" s="12"/>
      <c r="C54390" s="8"/>
      <c r="D54390" s="8"/>
    </row>
    <row r="54391" spans="1:4" ht="15.75" customHeight="1">
      <c r="A54391" s="8"/>
      <c r="B54391" s="12"/>
      <c r="C54391" s="8"/>
      <c r="D54391" s="8"/>
    </row>
    <row r="54392" spans="1:4" ht="15.75" customHeight="1">
      <c r="A54392" s="8"/>
      <c r="B54392" s="12"/>
      <c r="C54392" s="8"/>
      <c r="D54392" s="8"/>
    </row>
    <row r="54393" spans="1:4" ht="15.75" customHeight="1">
      <c r="A54393" s="8"/>
      <c r="B54393" s="12"/>
      <c r="C54393" s="8"/>
      <c r="D54393" s="8"/>
    </row>
    <row r="54394" spans="1:4" ht="15.75" customHeight="1">
      <c r="A54394" s="8"/>
      <c r="B54394" s="12"/>
      <c r="C54394" s="8"/>
      <c r="D54394" s="8"/>
    </row>
    <row r="54395" spans="1:4" ht="15.75" customHeight="1">
      <c r="A54395" s="8"/>
      <c r="B54395" s="12"/>
      <c r="C54395" s="8"/>
      <c r="D54395" s="8"/>
    </row>
    <row r="54396" spans="1:4" ht="15.75" customHeight="1">
      <c r="A54396" s="8"/>
      <c r="B54396" s="12"/>
      <c r="C54396" s="8"/>
      <c r="D54396" s="8"/>
    </row>
    <row r="54397" spans="1:4" ht="15.75" customHeight="1">
      <c r="A54397" s="8"/>
      <c r="B54397" s="12"/>
      <c r="C54397" s="8"/>
      <c r="D54397" s="8"/>
    </row>
    <row r="54398" spans="1:4" ht="15.75" customHeight="1">
      <c r="A54398" s="8"/>
      <c r="B54398" s="12"/>
      <c r="C54398" s="8"/>
      <c r="D54398" s="8"/>
    </row>
    <row r="54399" spans="1:4" ht="15.75" customHeight="1">
      <c r="A54399" s="8"/>
      <c r="B54399" s="12"/>
      <c r="C54399" s="8"/>
      <c r="D54399" s="8"/>
    </row>
    <row r="54400" spans="1:4" ht="15.75" customHeight="1">
      <c r="A54400" s="8"/>
      <c r="B54400" s="12"/>
      <c r="C54400" s="8"/>
      <c r="D54400" s="8"/>
    </row>
    <row r="54401" spans="1:4" ht="15.75" customHeight="1">
      <c r="A54401" s="8"/>
      <c r="B54401" s="12"/>
      <c r="C54401" s="8"/>
      <c r="D54401" s="8"/>
    </row>
    <row r="54402" spans="1:4" ht="15.75" customHeight="1">
      <c r="A54402" s="8"/>
      <c r="B54402" s="12"/>
      <c r="C54402" s="8"/>
      <c r="D54402" s="8"/>
    </row>
    <row r="54403" spans="1:4" ht="15.75" customHeight="1">
      <c r="A54403" s="8"/>
      <c r="B54403" s="12"/>
      <c r="C54403" s="8"/>
      <c r="D54403" s="8"/>
    </row>
    <row r="54404" spans="1:4" ht="15.75" customHeight="1">
      <c r="A54404" s="8"/>
      <c r="B54404" s="12"/>
      <c r="C54404" s="8"/>
      <c r="D54404" s="8"/>
    </row>
    <row r="54405" spans="1:4" ht="15.75" customHeight="1">
      <c r="A54405" s="8"/>
      <c r="B54405" s="12"/>
      <c r="C54405" s="8"/>
      <c r="D54405" s="8"/>
    </row>
    <row r="54406" spans="1:4" ht="15.75" customHeight="1">
      <c r="A54406" s="8"/>
      <c r="B54406" s="12"/>
      <c r="C54406" s="8"/>
      <c r="D54406" s="8"/>
    </row>
    <row r="54407" spans="1:4" ht="15.75" customHeight="1">
      <c r="A54407" s="8"/>
      <c r="B54407" s="12"/>
      <c r="C54407" s="8"/>
      <c r="D54407" s="8"/>
    </row>
    <row r="54408" spans="1:4" ht="15.75" customHeight="1">
      <c r="A54408" s="8"/>
      <c r="B54408" s="12"/>
      <c r="C54408" s="8"/>
      <c r="D54408" s="8"/>
    </row>
    <row r="54409" spans="1:4" ht="15.75" customHeight="1">
      <c r="A54409" s="8"/>
      <c r="B54409" s="12"/>
      <c r="C54409" s="8"/>
      <c r="D54409" s="8"/>
    </row>
    <row r="54410" spans="1:4" ht="15.75" customHeight="1">
      <c r="A54410" s="8"/>
      <c r="B54410" s="12"/>
      <c r="C54410" s="8"/>
      <c r="D54410" s="8"/>
    </row>
    <row r="54411" spans="1:4" ht="15.75" customHeight="1">
      <c r="A54411" s="8"/>
      <c r="B54411" s="12"/>
      <c r="C54411" s="8"/>
      <c r="D54411" s="8"/>
    </row>
    <row r="54412" spans="1:4" ht="15.75" customHeight="1">
      <c r="A54412" s="8"/>
      <c r="B54412" s="12"/>
      <c r="C54412" s="8"/>
      <c r="D54412" s="8"/>
    </row>
    <row r="54413" spans="1:4" ht="15.75" customHeight="1">
      <c r="A54413" s="8"/>
      <c r="B54413" s="12"/>
      <c r="C54413" s="8"/>
      <c r="D54413" s="8"/>
    </row>
    <row r="54414" spans="1:4" ht="15.75" customHeight="1">
      <c r="A54414" s="8"/>
      <c r="B54414" s="12"/>
      <c r="C54414" s="8"/>
      <c r="D54414" s="8"/>
    </row>
    <row r="54415" spans="1:4" ht="15.75" customHeight="1">
      <c r="A54415" s="8"/>
      <c r="B54415" s="12"/>
      <c r="C54415" s="8"/>
      <c r="D54415" s="8"/>
    </row>
    <row r="54416" spans="1:4" ht="15.75" customHeight="1">
      <c r="A54416" s="8"/>
      <c r="B54416" s="12"/>
      <c r="C54416" s="8"/>
      <c r="D54416" s="8"/>
    </row>
    <row r="54417" spans="1:4" ht="15.75" customHeight="1">
      <c r="A54417" s="8"/>
      <c r="B54417" s="12"/>
      <c r="C54417" s="8"/>
      <c r="D54417" s="8"/>
    </row>
    <row r="54418" spans="1:4" ht="15.75" customHeight="1">
      <c r="A54418" s="8"/>
      <c r="B54418" s="12"/>
      <c r="C54418" s="8"/>
      <c r="D54418" s="8"/>
    </row>
    <row r="54419" spans="1:4" ht="15.75" customHeight="1">
      <c r="A54419" s="8"/>
      <c r="B54419" s="12"/>
      <c r="C54419" s="8"/>
      <c r="D54419" s="8"/>
    </row>
    <row r="54420" spans="1:4" ht="15.75" customHeight="1">
      <c r="A54420" s="8"/>
      <c r="B54420" s="12"/>
      <c r="C54420" s="8"/>
      <c r="D54420" s="8"/>
    </row>
    <row r="54421" spans="1:4" ht="15.75" customHeight="1">
      <c r="A54421" s="8"/>
      <c r="B54421" s="12"/>
      <c r="C54421" s="8"/>
      <c r="D54421" s="8"/>
    </row>
    <row r="54422" spans="1:4" ht="15.75" customHeight="1">
      <c r="A54422" s="8"/>
      <c r="B54422" s="12"/>
      <c r="C54422" s="8"/>
      <c r="D54422" s="8"/>
    </row>
    <row r="54423" spans="1:4" ht="15.75" customHeight="1">
      <c r="A54423" s="8"/>
      <c r="B54423" s="12"/>
      <c r="C54423" s="8"/>
      <c r="D54423" s="8"/>
    </row>
    <row r="54424" spans="1:4" ht="15.75" customHeight="1">
      <c r="A54424" s="8"/>
      <c r="B54424" s="12"/>
      <c r="C54424" s="8"/>
      <c r="D54424" s="8"/>
    </row>
    <row r="54425" spans="1:4" ht="15.75" customHeight="1">
      <c r="A54425" s="8"/>
      <c r="B54425" s="12"/>
      <c r="C54425" s="8"/>
      <c r="D54425" s="8"/>
    </row>
    <row r="54426" spans="1:4" ht="15.75" customHeight="1">
      <c r="A54426" s="8"/>
      <c r="B54426" s="12"/>
      <c r="C54426" s="8"/>
      <c r="D54426" s="8"/>
    </row>
    <row r="54427" spans="1:4" ht="15.75" customHeight="1">
      <c r="A54427" s="8"/>
      <c r="B54427" s="12"/>
      <c r="C54427" s="8"/>
      <c r="D54427" s="8"/>
    </row>
    <row r="54428" spans="1:4" ht="15.75" customHeight="1">
      <c r="A54428" s="8"/>
      <c r="B54428" s="12"/>
      <c r="C54428" s="8"/>
      <c r="D54428" s="8"/>
    </row>
    <row r="54429" spans="1:4" ht="15.75" customHeight="1">
      <c r="A54429" s="8"/>
      <c r="B54429" s="12"/>
      <c r="C54429" s="8"/>
      <c r="D54429" s="8"/>
    </row>
    <row r="54430" spans="1:4" ht="15.75" customHeight="1">
      <c r="A54430" s="8"/>
      <c r="B54430" s="12"/>
      <c r="C54430" s="8"/>
      <c r="D54430" s="8"/>
    </row>
    <row r="54431" spans="1:4" ht="15.75" customHeight="1">
      <c r="A54431" s="8"/>
      <c r="B54431" s="12"/>
      <c r="C54431" s="8"/>
      <c r="D54431" s="8"/>
    </row>
    <row r="54432" spans="1:4" ht="15.75" customHeight="1">
      <c r="A54432" s="8"/>
      <c r="B54432" s="12"/>
      <c r="C54432" s="8"/>
      <c r="D54432" s="8"/>
    </row>
    <row r="54433" spans="1:4" ht="15.75" customHeight="1">
      <c r="A54433" s="8"/>
      <c r="B54433" s="12"/>
      <c r="C54433" s="8"/>
      <c r="D54433" s="8"/>
    </row>
    <row r="54434" spans="1:4" ht="15.75" customHeight="1">
      <c r="A54434" s="8"/>
      <c r="B54434" s="12"/>
      <c r="C54434" s="8"/>
      <c r="D54434" s="8"/>
    </row>
    <row r="54435" spans="1:4" ht="15.75" customHeight="1">
      <c r="A54435" s="8"/>
      <c r="B54435" s="12"/>
      <c r="C54435" s="8"/>
      <c r="D54435" s="8"/>
    </row>
    <row r="54436" spans="1:4" ht="15.75" customHeight="1">
      <c r="A54436" s="8"/>
      <c r="B54436" s="12"/>
      <c r="C54436" s="8"/>
      <c r="D54436" s="8"/>
    </row>
    <row r="54437" spans="1:4" ht="15.75" customHeight="1">
      <c r="A54437" s="8"/>
      <c r="B54437" s="12"/>
      <c r="C54437" s="8"/>
      <c r="D54437" s="8"/>
    </row>
    <row r="54438" spans="1:4" ht="15.75" customHeight="1">
      <c r="A54438" s="8"/>
      <c r="B54438" s="12"/>
      <c r="C54438" s="8"/>
      <c r="D54438" s="8"/>
    </row>
    <row r="54439" spans="1:4" ht="15.75" customHeight="1">
      <c r="A54439" s="8"/>
      <c r="B54439" s="12"/>
      <c r="C54439" s="8"/>
      <c r="D54439" s="8"/>
    </row>
    <row r="54440" spans="1:4" ht="15.75" customHeight="1">
      <c r="A54440" s="8"/>
      <c r="B54440" s="12"/>
      <c r="C54440" s="8"/>
      <c r="D54440" s="8"/>
    </row>
    <row r="54441" spans="1:4" ht="15.75" customHeight="1">
      <c r="A54441" s="8"/>
      <c r="B54441" s="12"/>
      <c r="C54441" s="8"/>
      <c r="D54441" s="8"/>
    </row>
    <row r="54442" spans="1:4" ht="15.75" customHeight="1">
      <c r="A54442" s="8"/>
      <c r="B54442" s="12"/>
      <c r="C54442" s="8"/>
      <c r="D54442" s="8"/>
    </row>
    <row r="54443" spans="1:4" ht="15.75" customHeight="1">
      <c r="A54443" s="8"/>
      <c r="B54443" s="12"/>
      <c r="C54443" s="8"/>
      <c r="D54443" s="8"/>
    </row>
    <row r="54444" spans="1:4" ht="15.75" customHeight="1">
      <c r="A54444" s="8"/>
      <c r="B54444" s="12"/>
      <c r="C54444" s="8"/>
      <c r="D54444" s="8"/>
    </row>
    <row r="54445" spans="1:4" ht="15.75" customHeight="1">
      <c r="A54445" s="8"/>
      <c r="B54445" s="12"/>
      <c r="C54445" s="8"/>
      <c r="D54445" s="8"/>
    </row>
    <row r="54446" spans="1:4" ht="15.75" customHeight="1">
      <c r="A54446" s="8"/>
      <c r="B54446" s="12"/>
      <c r="C54446" s="8"/>
      <c r="D54446" s="8"/>
    </row>
    <row r="54447" spans="1:4" ht="15.75" customHeight="1">
      <c r="A54447" s="8"/>
      <c r="B54447" s="12"/>
      <c r="C54447" s="8"/>
      <c r="D54447" s="8"/>
    </row>
    <row r="54448" spans="1:4" ht="15.75" customHeight="1">
      <c r="A54448" s="8"/>
      <c r="B54448" s="12"/>
      <c r="C54448" s="8"/>
      <c r="D54448" s="8"/>
    </row>
    <row r="54449" spans="1:4" ht="15.75" customHeight="1">
      <c r="A54449" s="8"/>
      <c r="B54449" s="12"/>
      <c r="C54449" s="8"/>
      <c r="D54449" s="8"/>
    </row>
    <row r="54450" spans="1:4" ht="15.75" customHeight="1">
      <c r="A54450" s="8"/>
      <c r="B54450" s="12"/>
      <c r="C54450" s="8"/>
      <c r="D54450" s="8"/>
    </row>
    <row r="54451" spans="1:4" ht="15.75" customHeight="1">
      <c r="A54451" s="8"/>
      <c r="B54451" s="12"/>
      <c r="C54451" s="8"/>
      <c r="D54451" s="8"/>
    </row>
    <row r="54452" spans="1:4" ht="15.75" customHeight="1">
      <c r="A54452" s="8"/>
      <c r="B54452" s="12"/>
      <c r="C54452" s="8"/>
      <c r="D54452" s="8"/>
    </row>
    <row r="54453" spans="1:4" ht="15.75" customHeight="1">
      <c r="A54453" s="8"/>
      <c r="B54453" s="12"/>
      <c r="C54453" s="8"/>
      <c r="D54453" s="8"/>
    </row>
    <row r="54454" spans="1:4" ht="15.75" customHeight="1">
      <c r="A54454" s="8"/>
      <c r="B54454" s="12"/>
      <c r="C54454" s="8"/>
      <c r="D54454" s="8"/>
    </row>
    <row r="54455" spans="1:4" ht="15.75" customHeight="1">
      <c r="A54455" s="8"/>
      <c r="B54455" s="12"/>
      <c r="C54455" s="8"/>
      <c r="D54455" s="8"/>
    </row>
    <row r="54456" spans="1:4" ht="15.75" customHeight="1">
      <c r="A54456" s="8"/>
      <c r="B54456" s="12"/>
      <c r="C54456" s="8"/>
      <c r="D54456" s="8"/>
    </row>
    <row r="54457" spans="1:4" ht="15.75" customHeight="1">
      <c r="A54457" s="8"/>
      <c r="B54457" s="12"/>
      <c r="C54457" s="8"/>
      <c r="D54457" s="8"/>
    </row>
    <row r="54458" spans="1:4" ht="15.75" customHeight="1">
      <c r="A54458" s="8"/>
      <c r="B54458" s="12"/>
      <c r="C54458" s="8"/>
      <c r="D54458" s="8"/>
    </row>
    <row r="54459" spans="1:4" ht="15.75" customHeight="1">
      <c r="A54459" s="8"/>
      <c r="B54459" s="12"/>
      <c r="C54459" s="8"/>
      <c r="D54459" s="8"/>
    </row>
    <row r="54460" spans="1:4" ht="15.75" customHeight="1">
      <c r="A54460" s="8"/>
      <c r="B54460" s="12"/>
      <c r="C54460" s="8"/>
      <c r="D54460" s="8"/>
    </row>
    <row r="54461" spans="1:4" ht="15.75" customHeight="1">
      <c r="A54461" s="8"/>
      <c r="B54461" s="12"/>
      <c r="C54461" s="8"/>
      <c r="D54461" s="8"/>
    </row>
    <row r="54462" spans="1:4" ht="15.75" customHeight="1">
      <c r="A54462" s="8"/>
      <c r="B54462" s="12"/>
      <c r="C54462" s="8"/>
      <c r="D54462" s="8"/>
    </row>
    <row r="54463" spans="1:4" ht="15.75" customHeight="1">
      <c r="A54463" s="8"/>
      <c r="B54463" s="12"/>
      <c r="C54463" s="8"/>
      <c r="D54463" s="8"/>
    </row>
    <row r="54464" spans="1:4" ht="15.75" customHeight="1">
      <c r="A54464" s="8"/>
      <c r="B54464" s="12"/>
      <c r="C54464" s="8"/>
      <c r="D54464" s="8"/>
    </row>
    <row r="54465" spans="1:4" ht="15.75" customHeight="1">
      <c r="A54465" s="8"/>
      <c r="B54465" s="12"/>
      <c r="C54465" s="8"/>
      <c r="D54465" s="8"/>
    </row>
    <row r="54466" spans="1:4" ht="15.75" customHeight="1">
      <c r="A54466" s="8"/>
      <c r="B54466" s="12"/>
      <c r="C54466" s="8"/>
      <c r="D54466" s="8"/>
    </row>
    <row r="54467" spans="1:4" ht="15.75" customHeight="1">
      <c r="A54467" s="8"/>
      <c r="B54467" s="12"/>
      <c r="C54467" s="8"/>
      <c r="D54467" s="8"/>
    </row>
    <row r="54468" spans="1:4" ht="15.75" customHeight="1">
      <c r="A54468" s="8"/>
      <c r="B54468" s="12"/>
      <c r="C54468" s="8"/>
      <c r="D54468" s="8"/>
    </row>
    <row r="54469" spans="1:4" ht="15.75" customHeight="1">
      <c r="A54469" s="8"/>
      <c r="B54469" s="12"/>
      <c r="C54469" s="8"/>
      <c r="D54469" s="8"/>
    </row>
    <row r="54470" spans="1:4" ht="15.75" customHeight="1">
      <c r="A54470" s="8"/>
      <c r="B54470" s="12"/>
      <c r="C54470" s="8"/>
      <c r="D54470" s="8"/>
    </row>
    <row r="54471" spans="1:4" ht="15.75" customHeight="1">
      <c r="A54471" s="8"/>
      <c r="B54471" s="12"/>
      <c r="C54471" s="8"/>
      <c r="D54471" s="8"/>
    </row>
    <row r="54472" spans="1:4" ht="15.75" customHeight="1">
      <c r="A54472" s="8"/>
      <c r="B54472" s="12"/>
      <c r="C54472" s="8"/>
      <c r="D54472" s="8"/>
    </row>
    <row r="54473" spans="1:4" ht="15.75" customHeight="1">
      <c r="A54473" s="8"/>
      <c r="B54473" s="12"/>
      <c r="C54473" s="8"/>
      <c r="D54473" s="8"/>
    </row>
    <row r="54474" spans="1:4" ht="15.75" customHeight="1">
      <c r="A54474" s="8"/>
      <c r="B54474" s="12"/>
      <c r="C54474" s="8"/>
      <c r="D54474" s="8"/>
    </row>
    <row r="54475" spans="1:4" ht="15.75" customHeight="1">
      <c r="A54475" s="8"/>
      <c r="B54475" s="12"/>
      <c r="C54475" s="8"/>
      <c r="D54475" s="8"/>
    </row>
    <row r="54476" spans="1:4" ht="15.75" customHeight="1">
      <c r="A54476" s="8"/>
      <c r="B54476" s="12"/>
      <c r="C54476" s="8"/>
      <c r="D54476" s="8"/>
    </row>
    <row r="54477" spans="1:4" ht="15.75" customHeight="1">
      <c r="A54477" s="8"/>
      <c r="B54477" s="12"/>
      <c r="C54477" s="8"/>
      <c r="D54477" s="8"/>
    </row>
    <row r="54478" spans="1:4" ht="15.75" customHeight="1">
      <c r="A54478" s="8"/>
      <c r="B54478" s="12"/>
      <c r="C54478" s="8"/>
      <c r="D54478" s="8"/>
    </row>
    <row r="54479" spans="1:4" ht="15.75" customHeight="1">
      <c r="A54479" s="8"/>
      <c r="B54479" s="12"/>
      <c r="C54479" s="8"/>
      <c r="D54479" s="8"/>
    </row>
    <row r="54480" spans="1:4" ht="15.75" customHeight="1">
      <c r="A54480" s="8"/>
      <c r="B54480" s="12"/>
      <c r="C54480" s="8"/>
      <c r="D54480" s="8"/>
    </row>
    <row r="54481" spans="1:4" ht="15.75" customHeight="1">
      <c r="A54481" s="8"/>
      <c r="B54481" s="12"/>
      <c r="C54481" s="8"/>
      <c r="D54481" s="8"/>
    </row>
    <row r="54482" spans="1:4" ht="15.75" customHeight="1">
      <c r="A54482" s="8"/>
      <c r="B54482" s="12"/>
      <c r="C54482" s="8"/>
      <c r="D54482" s="8"/>
    </row>
    <row r="54483" spans="1:4" ht="15.75" customHeight="1">
      <c r="A54483" s="8"/>
      <c r="B54483" s="12"/>
      <c r="C54483" s="8"/>
      <c r="D54483" s="8"/>
    </row>
    <row r="54484" spans="1:4" ht="15.75" customHeight="1">
      <c r="A54484" s="8"/>
      <c r="B54484" s="12"/>
      <c r="C54484" s="8"/>
      <c r="D54484" s="8"/>
    </row>
    <row r="54485" spans="1:4" ht="15.75" customHeight="1">
      <c r="A54485" s="8"/>
      <c r="B54485" s="12"/>
      <c r="C54485" s="8"/>
      <c r="D54485" s="8"/>
    </row>
    <row r="54486" spans="1:4" ht="15.75" customHeight="1">
      <c r="A54486" s="8"/>
      <c r="B54486" s="12"/>
      <c r="C54486" s="8"/>
      <c r="D54486" s="8"/>
    </row>
    <row r="54487" spans="1:4" ht="15.75" customHeight="1">
      <c r="A54487" s="8"/>
      <c r="B54487" s="12"/>
      <c r="C54487" s="8"/>
      <c r="D54487" s="8"/>
    </row>
    <row r="54488" spans="1:4" ht="15.75" customHeight="1">
      <c r="A54488" s="8"/>
      <c r="B54488" s="12"/>
      <c r="C54488" s="8"/>
      <c r="D54488" s="8"/>
    </row>
    <row r="54489" spans="1:4" ht="15.75" customHeight="1">
      <c r="A54489" s="8"/>
      <c r="B54489" s="12"/>
      <c r="C54489" s="8"/>
      <c r="D54489" s="8"/>
    </row>
    <row r="54490" spans="1:4" ht="15.75" customHeight="1">
      <c r="A54490" s="8"/>
      <c r="B54490" s="12"/>
      <c r="C54490" s="8"/>
      <c r="D54490" s="8"/>
    </row>
    <row r="54491" spans="1:4" ht="15.75" customHeight="1">
      <c r="A54491" s="8"/>
      <c r="B54491" s="12"/>
      <c r="C54491" s="8"/>
      <c r="D54491" s="8"/>
    </row>
    <row r="54492" spans="1:4" ht="15.75" customHeight="1">
      <c r="A54492" s="8"/>
      <c r="B54492" s="12"/>
      <c r="C54492" s="8"/>
      <c r="D54492" s="8"/>
    </row>
    <row r="54493" spans="1:4" ht="15.75" customHeight="1">
      <c r="A54493" s="8"/>
      <c r="B54493" s="12"/>
      <c r="C54493" s="8"/>
      <c r="D54493" s="8"/>
    </row>
    <row r="54494" spans="1:4" ht="15.75" customHeight="1">
      <c r="A54494" s="8"/>
      <c r="B54494" s="12"/>
      <c r="C54494" s="8"/>
      <c r="D54494" s="8"/>
    </row>
    <row r="54495" spans="1:4" ht="15.75" customHeight="1">
      <c r="A54495" s="8"/>
      <c r="B54495" s="12"/>
      <c r="C54495" s="8"/>
      <c r="D54495" s="8"/>
    </row>
    <row r="54496" spans="1:4" ht="15.75" customHeight="1">
      <c r="A54496" s="8"/>
      <c r="B54496" s="12"/>
      <c r="C54496" s="8"/>
      <c r="D54496" s="8"/>
    </row>
    <row r="54497" spans="1:4" ht="15.75" customHeight="1">
      <c r="A54497" s="8"/>
      <c r="B54497" s="12"/>
      <c r="C54497" s="8"/>
      <c r="D54497" s="8"/>
    </row>
    <row r="54498" spans="1:4" ht="15.75" customHeight="1">
      <c r="A54498" s="8"/>
      <c r="B54498" s="12"/>
      <c r="C54498" s="8"/>
      <c r="D54498" s="8"/>
    </row>
    <row r="54499" spans="1:4" ht="15.75" customHeight="1">
      <c r="A54499" s="8"/>
      <c r="B54499" s="12"/>
      <c r="C54499" s="8"/>
      <c r="D54499" s="8"/>
    </row>
    <row r="54500" spans="1:4" ht="15.75" customHeight="1">
      <c r="A54500" s="8"/>
      <c r="B54500" s="12"/>
      <c r="C54500" s="8"/>
      <c r="D54500" s="8"/>
    </row>
    <row r="54501" spans="1:4" ht="15.75" customHeight="1">
      <c r="A54501" s="8"/>
      <c r="B54501" s="12"/>
      <c r="C54501" s="8"/>
      <c r="D54501" s="8"/>
    </row>
    <row r="54502" spans="1:4" ht="15.75" customHeight="1">
      <c r="A54502" s="8"/>
      <c r="B54502" s="12"/>
      <c r="C54502" s="8"/>
      <c r="D54502" s="8"/>
    </row>
    <row r="54503" spans="1:4" ht="15.75" customHeight="1">
      <c r="A54503" s="8"/>
      <c r="B54503" s="12"/>
      <c r="C54503" s="8"/>
      <c r="D54503" s="8"/>
    </row>
    <row r="54504" spans="1:4" ht="15.75" customHeight="1">
      <c r="A54504" s="8"/>
      <c r="B54504" s="12"/>
      <c r="C54504" s="8"/>
      <c r="D54504" s="8"/>
    </row>
    <row r="54505" spans="1:4" ht="15.75" customHeight="1">
      <c r="A54505" s="8"/>
      <c r="B54505" s="12"/>
      <c r="C54505" s="8"/>
      <c r="D54505" s="8"/>
    </row>
    <row r="54506" spans="1:4" ht="15.75" customHeight="1">
      <c r="A54506" s="8"/>
      <c r="B54506" s="12"/>
      <c r="C54506" s="8"/>
      <c r="D54506" s="8"/>
    </row>
    <row r="54507" spans="1:4" ht="15.75" customHeight="1">
      <c r="A54507" s="8"/>
      <c r="B54507" s="12"/>
      <c r="C54507" s="8"/>
      <c r="D54507" s="8"/>
    </row>
    <row r="54508" spans="1:4" ht="15.75" customHeight="1">
      <c r="A54508" s="8"/>
      <c r="B54508" s="12"/>
      <c r="C54508" s="8"/>
      <c r="D54508" s="8"/>
    </row>
    <row r="54509" spans="1:4" ht="15.75" customHeight="1">
      <c r="A54509" s="8"/>
      <c r="B54509" s="12"/>
      <c r="C54509" s="8"/>
      <c r="D54509" s="8"/>
    </row>
    <row r="54510" spans="1:4" ht="15.75" customHeight="1">
      <c r="A54510" s="8"/>
      <c r="B54510" s="12"/>
      <c r="C54510" s="8"/>
      <c r="D54510" s="8"/>
    </row>
    <row r="54511" spans="1:4" ht="15.75" customHeight="1">
      <c r="A54511" s="8"/>
      <c r="B54511" s="12"/>
      <c r="C54511" s="8"/>
      <c r="D54511" s="8"/>
    </row>
    <row r="54512" spans="1:4" ht="15.75" customHeight="1">
      <c r="A54512" s="8"/>
      <c r="B54512" s="12"/>
      <c r="C54512" s="8"/>
      <c r="D54512" s="8"/>
    </row>
    <row r="54513" spans="1:4" ht="15.75" customHeight="1">
      <c r="A54513" s="8"/>
      <c r="B54513" s="12"/>
      <c r="C54513" s="8"/>
      <c r="D54513" s="8"/>
    </row>
    <row r="54514" spans="1:4" ht="15.75" customHeight="1">
      <c r="A54514" s="8"/>
      <c r="B54514" s="12"/>
      <c r="C54514" s="8"/>
      <c r="D54514" s="8"/>
    </row>
    <row r="54515" spans="1:4" ht="15.75" customHeight="1">
      <c r="A54515" s="8"/>
      <c r="B54515" s="12"/>
      <c r="C54515" s="8"/>
      <c r="D54515" s="8"/>
    </row>
    <row r="54516" spans="1:4" ht="15.75" customHeight="1">
      <c r="A54516" s="8"/>
      <c r="B54516" s="12"/>
      <c r="C54516" s="8"/>
      <c r="D54516" s="8"/>
    </row>
    <row r="54517" spans="1:4" ht="15.75" customHeight="1">
      <c r="A54517" s="8"/>
      <c r="B54517" s="12"/>
      <c r="C54517" s="8"/>
      <c r="D54517" s="8"/>
    </row>
    <row r="54518" spans="1:4" ht="15.75" customHeight="1">
      <c r="A54518" s="8"/>
      <c r="B54518" s="12"/>
      <c r="C54518" s="8"/>
      <c r="D54518" s="8"/>
    </row>
    <row r="54519" spans="1:4" ht="15.75" customHeight="1">
      <c r="A54519" s="8"/>
      <c r="B54519" s="12"/>
      <c r="C54519" s="8"/>
      <c r="D54519" s="8"/>
    </row>
    <row r="54520" spans="1:4" ht="15.75" customHeight="1">
      <c r="A54520" s="8"/>
      <c r="B54520" s="12"/>
      <c r="C54520" s="8"/>
      <c r="D54520" s="8"/>
    </row>
    <row r="54521" spans="1:4" ht="15.75" customHeight="1">
      <c r="A54521" s="8"/>
      <c r="B54521" s="12"/>
      <c r="C54521" s="8"/>
      <c r="D54521" s="8"/>
    </row>
    <row r="54522" spans="1:4" ht="15.75" customHeight="1">
      <c r="A54522" s="8"/>
      <c r="B54522" s="12"/>
      <c r="C54522" s="8"/>
      <c r="D54522" s="8"/>
    </row>
    <row r="54523" spans="1:4" ht="15.75" customHeight="1">
      <c r="A54523" s="8"/>
      <c r="B54523" s="12"/>
      <c r="C54523" s="8"/>
      <c r="D54523" s="8"/>
    </row>
    <row r="54524" spans="1:4" ht="15.75" customHeight="1">
      <c r="A54524" s="8"/>
      <c r="B54524" s="12"/>
      <c r="C54524" s="8"/>
      <c r="D54524" s="8"/>
    </row>
    <row r="54525" spans="1:4" ht="15.75" customHeight="1">
      <c r="A54525" s="8"/>
      <c r="B54525" s="12"/>
      <c r="C54525" s="8"/>
      <c r="D54525" s="8"/>
    </row>
    <row r="54526" spans="1:4" ht="15.75" customHeight="1">
      <c r="A54526" s="8"/>
      <c r="B54526" s="12"/>
      <c r="C54526" s="8"/>
      <c r="D54526" s="8"/>
    </row>
    <row r="54527" spans="1:4" ht="15.75" customHeight="1">
      <c r="A54527" s="8"/>
      <c r="B54527" s="12"/>
      <c r="C54527" s="8"/>
      <c r="D54527" s="8"/>
    </row>
    <row r="54528" spans="1:4" ht="15.75" customHeight="1">
      <c r="A54528" s="8"/>
      <c r="B54528" s="12"/>
      <c r="C54528" s="8"/>
      <c r="D54528" s="8"/>
    </row>
    <row r="54529" spans="1:4" ht="15.75" customHeight="1">
      <c r="A54529" s="8"/>
      <c r="B54529" s="12"/>
      <c r="C54529" s="8"/>
      <c r="D54529" s="8"/>
    </row>
    <row r="54530" spans="1:4" ht="15.75" customHeight="1">
      <c r="A54530" s="8"/>
      <c r="B54530" s="12"/>
      <c r="C54530" s="8"/>
      <c r="D54530" s="8"/>
    </row>
    <row r="54531" spans="1:4" ht="15.75" customHeight="1">
      <c r="A54531" s="8"/>
      <c r="B54531" s="12"/>
      <c r="C54531" s="8"/>
      <c r="D54531" s="8"/>
    </row>
    <row r="54532" spans="1:4" ht="15.75" customHeight="1">
      <c r="A54532" s="8"/>
      <c r="B54532" s="12"/>
      <c r="C54532" s="8"/>
      <c r="D54532" s="8"/>
    </row>
    <row r="54533" spans="1:4" ht="15.75" customHeight="1">
      <c r="A54533" s="8"/>
      <c r="B54533" s="12"/>
      <c r="C54533" s="8"/>
      <c r="D54533" s="8"/>
    </row>
    <row r="54534" spans="1:4" ht="15.75" customHeight="1">
      <c r="A54534" s="8"/>
      <c r="B54534" s="12"/>
      <c r="C54534" s="8"/>
      <c r="D54534" s="8"/>
    </row>
    <row r="54535" spans="1:4" ht="15.75" customHeight="1">
      <c r="A54535" s="8"/>
      <c r="B54535" s="12"/>
      <c r="C54535" s="8"/>
      <c r="D54535" s="8"/>
    </row>
    <row r="54536" spans="1:4" ht="15.75" customHeight="1">
      <c r="A54536" s="8"/>
      <c r="B54536" s="12"/>
      <c r="C54536" s="8"/>
      <c r="D54536" s="8"/>
    </row>
    <row r="54537" spans="1:4" ht="15.75" customHeight="1">
      <c r="A54537" s="8"/>
      <c r="B54537" s="12"/>
      <c r="C54537" s="8"/>
      <c r="D54537" s="8"/>
    </row>
    <row r="54538" spans="1:4" ht="15.75" customHeight="1">
      <c r="A54538" s="8"/>
      <c r="B54538" s="12"/>
      <c r="C54538" s="8"/>
      <c r="D54538" s="8"/>
    </row>
    <row r="54539" spans="1:4" ht="15.75" customHeight="1">
      <c r="A54539" s="8"/>
      <c r="B54539" s="12"/>
      <c r="C54539" s="8"/>
      <c r="D54539" s="8"/>
    </row>
    <row r="54540" spans="1:4" ht="15.75" customHeight="1">
      <c r="A54540" s="8"/>
      <c r="B54540" s="12"/>
      <c r="C54540" s="8"/>
      <c r="D54540" s="8"/>
    </row>
    <row r="54541" spans="1:4" ht="15.75" customHeight="1">
      <c r="A54541" s="8"/>
      <c r="B54541" s="12"/>
      <c r="C54541" s="8"/>
      <c r="D54541" s="8"/>
    </row>
    <row r="54542" spans="1:4" ht="15.75" customHeight="1">
      <c r="A54542" s="8"/>
      <c r="B54542" s="12"/>
      <c r="C54542" s="8"/>
      <c r="D54542" s="8"/>
    </row>
    <row r="54543" spans="1:4" ht="15.75" customHeight="1">
      <c r="A54543" s="8"/>
      <c r="B54543" s="12"/>
      <c r="C54543" s="8"/>
      <c r="D54543" s="8"/>
    </row>
    <row r="54544" spans="1:4" ht="15.75" customHeight="1">
      <c r="A54544" s="8"/>
      <c r="B54544" s="12"/>
      <c r="C54544" s="8"/>
      <c r="D54544" s="8"/>
    </row>
    <row r="54545" spans="1:4" ht="15.75" customHeight="1">
      <c r="A54545" s="8"/>
      <c r="B54545" s="12"/>
      <c r="C54545" s="8"/>
      <c r="D54545" s="8"/>
    </row>
    <row r="54546" spans="1:4" ht="15.75" customHeight="1">
      <c r="A54546" s="8"/>
      <c r="B54546" s="12"/>
      <c r="C54546" s="8"/>
      <c r="D54546" s="8"/>
    </row>
    <row r="54547" spans="1:4" ht="15.75" customHeight="1">
      <c r="A54547" s="8"/>
      <c r="B54547" s="12"/>
      <c r="C54547" s="8"/>
      <c r="D54547" s="8"/>
    </row>
    <row r="54548" spans="1:4" ht="15.75" customHeight="1">
      <c r="A54548" s="8"/>
      <c r="B54548" s="12"/>
      <c r="C54548" s="8"/>
      <c r="D54548" s="8"/>
    </row>
    <row r="54549" spans="1:4" ht="15.75" customHeight="1">
      <c r="A54549" s="8"/>
      <c r="B54549" s="12"/>
      <c r="C54549" s="8"/>
      <c r="D54549" s="8"/>
    </row>
    <row r="54550" spans="1:4" ht="15.75" customHeight="1">
      <c r="A54550" s="8"/>
      <c r="B54550" s="12"/>
      <c r="C54550" s="8"/>
      <c r="D54550" s="8"/>
    </row>
    <row r="54551" spans="1:4" ht="15.75" customHeight="1">
      <c r="A54551" s="8"/>
      <c r="B54551" s="12"/>
      <c r="C54551" s="8"/>
      <c r="D54551" s="8"/>
    </row>
    <row r="54552" spans="1:4" ht="15.75" customHeight="1">
      <c r="A54552" s="8"/>
      <c r="B54552" s="12"/>
      <c r="C54552" s="8"/>
      <c r="D54552" s="8"/>
    </row>
    <row r="54553" spans="1:4" ht="15.75" customHeight="1">
      <c r="A54553" s="8"/>
      <c r="B54553" s="12"/>
      <c r="C54553" s="8"/>
      <c r="D54553" s="8"/>
    </row>
    <row r="54554" spans="1:4" ht="15.75" customHeight="1">
      <c r="A54554" s="8"/>
      <c r="B54554" s="12"/>
      <c r="C54554" s="8"/>
      <c r="D54554" s="8"/>
    </row>
    <row r="54555" spans="1:4" ht="15.75" customHeight="1">
      <c r="A54555" s="8"/>
      <c r="B54555" s="12"/>
      <c r="C54555" s="8"/>
      <c r="D54555" s="8"/>
    </row>
    <row r="54556" spans="1:4" ht="15.75" customHeight="1">
      <c r="A54556" s="8"/>
      <c r="B54556" s="12"/>
      <c r="C54556" s="8"/>
      <c r="D54556" s="8"/>
    </row>
    <row r="54557" spans="1:4" ht="15.75" customHeight="1">
      <c r="A54557" s="8"/>
      <c r="B54557" s="12"/>
      <c r="C54557" s="8"/>
      <c r="D54557" s="8"/>
    </row>
    <row r="54558" spans="1:4" ht="15.75" customHeight="1">
      <c r="A54558" s="8"/>
      <c r="B54558" s="12"/>
      <c r="C54558" s="8"/>
      <c r="D54558" s="8"/>
    </row>
    <row r="54559" spans="1:4" ht="15.75" customHeight="1">
      <c r="A54559" s="8"/>
      <c r="B54559" s="12"/>
      <c r="C54559" s="8"/>
      <c r="D54559" s="8"/>
    </row>
    <row r="54560" spans="1:4" ht="15.75" customHeight="1">
      <c r="A54560" s="8"/>
      <c r="B54560" s="12"/>
      <c r="C54560" s="8"/>
      <c r="D54560" s="8"/>
    </row>
    <row r="54561" spans="1:4" ht="15.75" customHeight="1">
      <c r="A54561" s="8"/>
      <c r="B54561" s="12"/>
      <c r="C54561" s="8"/>
      <c r="D54561" s="8"/>
    </row>
    <row r="54562" spans="1:4" ht="15.75" customHeight="1">
      <c r="A54562" s="8"/>
      <c r="B54562" s="12"/>
      <c r="C54562" s="8"/>
      <c r="D54562" s="8"/>
    </row>
    <row r="54563" spans="1:4" ht="15.75" customHeight="1">
      <c r="A54563" s="8"/>
      <c r="B54563" s="12"/>
      <c r="C54563" s="8"/>
      <c r="D54563" s="8"/>
    </row>
    <row r="54564" spans="1:4" ht="15.75" customHeight="1">
      <c r="A54564" s="8"/>
      <c r="B54564" s="12"/>
      <c r="C54564" s="8"/>
      <c r="D54564" s="8"/>
    </row>
    <row r="54565" spans="1:4" ht="15.75" customHeight="1">
      <c r="A54565" s="8"/>
      <c r="B54565" s="12"/>
      <c r="C54565" s="8"/>
      <c r="D54565" s="8"/>
    </row>
    <row r="54566" spans="1:4" ht="15.75" customHeight="1">
      <c r="A54566" s="8"/>
      <c r="B54566" s="12"/>
      <c r="C54566" s="8"/>
      <c r="D54566" s="8"/>
    </row>
    <row r="54567" spans="1:4" ht="15.75" customHeight="1">
      <c r="A54567" s="8"/>
      <c r="B54567" s="12"/>
      <c r="C54567" s="8"/>
      <c r="D54567" s="8"/>
    </row>
    <row r="54568" spans="1:4" ht="15.75" customHeight="1">
      <c r="A54568" s="8"/>
      <c r="B54568" s="12"/>
      <c r="C54568" s="8"/>
      <c r="D54568" s="8"/>
    </row>
    <row r="54569" spans="1:4" ht="15.75" customHeight="1">
      <c r="A54569" s="8"/>
      <c r="B54569" s="12"/>
      <c r="C54569" s="8"/>
      <c r="D54569" s="8"/>
    </row>
    <row r="54570" spans="1:4" ht="15.75" customHeight="1">
      <c r="A54570" s="8"/>
      <c r="B54570" s="12"/>
      <c r="C54570" s="8"/>
      <c r="D54570" s="8"/>
    </row>
    <row r="54571" spans="1:4" ht="15.75" customHeight="1">
      <c r="A54571" s="8"/>
      <c r="B54571" s="12"/>
      <c r="C54571" s="8"/>
      <c r="D54571" s="8"/>
    </row>
    <row r="54572" spans="1:4" ht="15.75" customHeight="1">
      <c r="A54572" s="8"/>
      <c r="B54572" s="12"/>
      <c r="C54572" s="8"/>
      <c r="D54572" s="8"/>
    </row>
    <row r="54573" spans="1:4" ht="15.75" customHeight="1">
      <c r="A54573" s="8"/>
      <c r="B54573" s="12"/>
      <c r="C54573" s="8"/>
      <c r="D54573" s="8"/>
    </row>
    <row r="54574" spans="1:4" ht="15.75" customHeight="1">
      <c r="A54574" s="8"/>
      <c r="B54574" s="12"/>
      <c r="C54574" s="8"/>
      <c r="D54574" s="8"/>
    </row>
    <row r="54575" spans="1:4" ht="15.75" customHeight="1">
      <c r="A54575" s="8"/>
      <c r="B54575" s="12"/>
      <c r="C54575" s="8"/>
      <c r="D54575" s="8"/>
    </row>
    <row r="54576" spans="1:4" ht="15.75" customHeight="1">
      <c r="A54576" s="8"/>
      <c r="B54576" s="12"/>
      <c r="C54576" s="8"/>
      <c r="D54576" s="8"/>
    </row>
    <row r="54577" spans="1:4" ht="15.75" customHeight="1">
      <c r="A54577" s="8"/>
      <c r="B54577" s="12"/>
      <c r="C54577" s="8"/>
      <c r="D54577" s="8"/>
    </row>
    <row r="54578" spans="1:4" ht="15.75" customHeight="1">
      <c r="A54578" s="8"/>
      <c r="B54578" s="12"/>
      <c r="C54578" s="8"/>
      <c r="D54578" s="8"/>
    </row>
    <row r="54579" spans="1:4" ht="15.75" customHeight="1">
      <c r="A54579" s="8"/>
      <c r="B54579" s="12"/>
      <c r="C54579" s="8"/>
      <c r="D54579" s="8"/>
    </row>
    <row r="54580" spans="1:4" ht="15.75" customHeight="1">
      <c r="A54580" s="8"/>
      <c r="B54580" s="12"/>
      <c r="C54580" s="8"/>
      <c r="D54580" s="8"/>
    </row>
    <row r="54581" spans="1:4" ht="15.75" customHeight="1">
      <c r="A54581" s="8"/>
      <c r="B54581" s="12"/>
      <c r="C54581" s="8"/>
      <c r="D54581" s="8"/>
    </row>
    <row r="54582" spans="1:4" ht="15.75" customHeight="1">
      <c r="A54582" s="8"/>
      <c r="B54582" s="12"/>
      <c r="C54582" s="8"/>
      <c r="D54582" s="8"/>
    </row>
    <row r="54583" spans="1:4" ht="15.75" customHeight="1">
      <c r="A54583" s="8"/>
      <c r="B54583" s="12"/>
      <c r="C54583" s="8"/>
      <c r="D54583" s="8"/>
    </row>
    <row r="54584" spans="1:4" ht="15.75" customHeight="1">
      <c r="A54584" s="8"/>
      <c r="B54584" s="12"/>
      <c r="C54584" s="8"/>
      <c r="D54584" s="8"/>
    </row>
    <row r="54585" spans="1:4" ht="15.75" customHeight="1">
      <c r="A54585" s="8"/>
      <c r="B54585" s="12"/>
      <c r="C54585" s="8"/>
      <c r="D54585" s="8"/>
    </row>
    <row r="54586" spans="1:4" ht="15.75" customHeight="1">
      <c r="A54586" s="8"/>
      <c r="B54586" s="12"/>
      <c r="C54586" s="8"/>
      <c r="D54586" s="8"/>
    </row>
    <row r="54587" spans="1:4" ht="15.75" customHeight="1">
      <c r="A54587" s="8"/>
      <c r="B54587" s="12"/>
      <c r="C54587" s="8"/>
      <c r="D54587" s="8"/>
    </row>
    <row r="54588" spans="1:4" ht="15.75" customHeight="1">
      <c r="A54588" s="8"/>
      <c r="B54588" s="12"/>
      <c r="C54588" s="8"/>
      <c r="D54588" s="8"/>
    </row>
    <row r="54589" spans="1:4" ht="15.75" customHeight="1">
      <c r="A54589" s="8"/>
      <c r="B54589" s="12"/>
      <c r="C54589" s="8"/>
      <c r="D54589" s="8"/>
    </row>
    <row r="54590" spans="1:4" ht="15.75" customHeight="1">
      <c r="A54590" s="8"/>
      <c r="B54590" s="12"/>
      <c r="C54590" s="8"/>
      <c r="D54590" s="8"/>
    </row>
    <row r="54591" spans="1:4" ht="15.75" customHeight="1">
      <c r="A54591" s="8"/>
      <c r="B54591" s="12"/>
      <c r="C54591" s="8"/>
      <c r="D54591" s="8"/>
    </row>
    <row r="54592" spans="1:4" ht="15.75" customHeight="1">
      <c r="A54592" s="8"/>
      <c r="B54592" s="12"/>
      <c r="C54592" s="8"/>
      <c r="D54592" s="8"/>
    </row>
    <row r="54593" spans="1:4" ht="15.75" customHeight="1">
      <c r="A54593" s="8"/>
      <c r="B54593" s="12"/>
      <c r="C54593" s="8"/>
      <c r="D54593" s="8"/>
    </row>
    <row r="54594" spans="1:4" ht="15.75" customHeight="1">
      <c r="A54594" s="8"/>
      <c r="B54594" s="12"/>
      <c r="C54594" s="8"/>
      <c r="D54594" s="8"/>
    </row>
    <row r="54595" spans="1:4" ht="15.75" customHeight="1">
      <c r="A54595" s="8"/>
      <c r="B54595" s="12"/>
      <c r="C54595" s="8"/>
      <c r="D54595" s="8"/>
    </row>
    <row r="54596" spans="1:4" ht="15.75" customHeight="1">
      <c r="A54596" s="8"/>
      <c r="B54596" s="12"/>
      <c r="C54596" s="8"/>
      <c r="D54596" s="8"/>
    </row>
    <row r="54597" spans="1:4" ht="15.75" customHeight="1">
      <c r="A54597" s="8"/>
      <c r="B54597" s="12"/>
      <c r="C54597" s="8"/>
      <c r="D54597" s="8"/>
    </row>
    <row r="54598" spans="1:4" ht="15.75" customHeight="1">
      <c r="A54598" s="8"/>
      <c r="B54598" s="12"/>
      <c r="C54598" s="8"/>
      <c r="D54598" s="8"/>
    </row>
    <row r="54599" spans="1:4" ht="15.75" customHeight="1">
      <c r="A54599" s="8"/>
      <c r="B54599" s="12"/>
      <c r="C54599" s="8"/>
      <c r="D54599" s="8"/>
    </row>
    <row r="54600" spans="1:4" ht="15.75" customHeight="1">
      <c r="A54600" s="8"/>
      <c r="B54600" s="12"/>
      <c r="C54600" s="8"/>
      <c r="D54600" s="8"/>
    </row>
    <row r="54601" spans="1:4" ht="15.75" customHeight="1">
      <c r="A54601" s="8"/>
      <c r="B54601" s="12"/>
      <c r="C54601" s="8"/>
      <c r="D54601" s="8"/>
    </row>
    <row r="54602" spans="1:4" ht="15.75" customHeight="1">
      <c r="A54602" s="8"/>
      <c r="B54602" s="12"/>
      <c r="C54602" s="8"/>
      <c r="D54602" s="8"/>
    </row>
    <row r="54603" spans="1:4" ht="15.75" customHeight="1">
      <c r="A54603" s="8"/>
      <c r="B54603" s="12"/>
      <c r="C54603" s="8"/>
      <c r="D54603" s="8"/>
    </row>
    <row r="54604" spans="1:4" ht="15.75" customHeight="1">
      <c r="A54604" s="8"/>
      <c r="B54604" s="12"/>
      <c r="C54604" s="8"/>
      <c r="D54604" s="8"/>
    </row>
    <row r="54605" spans="1:4" ht="15.75" customHeight="1">
      <c r="A54605" s="8"/>
      <c r="B54605" s="12"/>
      <c r="C54605" s="8"/>
      <c r="D54605" s="8"/>
    </row>
    <row r="54606" spans="1:4" ht="15.75" customHeight="1">
      <c r="A54606" s="8"/>
      <c r="B54606" s="12"/>
      <c r="C54606" s="8"/>
      <c r="D54606" s="8"/>
    </row>
    <row r="54607" spans="1:4" ht="15.75" customHeight="1">
      <c r="A54607" s="8"/>
      <c r="B54607" s="12"/>
      <c r="C54607" s="8"/>
      <c r="D54607" s="8"/>
    </row>
    <row r="54608" spans="1:4" ht="15.75" customHeight="1">
      <c r="A54608" s="8"/>
      <c r="B54608" s="12"/>
      <c r="C54608" s="8"/>
      <c r="D54608" s="8"/>
    </row>
    <row r="54609" spans="1:4" ht="15.75" customHeight="1">
      <c r="A54609" s="8"/>
      <c r="B54609" s="12"/>
      <c r="C54609" s="8"/>
      <c r="D54609" s="8"/>
    </row>
    <row r="54610" spans="1:4" ht="15.75" customHeight="1">
      <c r="A54610" s="8"/>
      <c r="B54610" s="12"/>
      <c r="C54610" s="8"/>
      <c r="D54610" s="8"/>
    </row>
    <row r="54611" spans="1:4" ht="15.75" customHeight="1">
      <c r="A54611" s="8"/>
      <c r="B54611" s="12"/>
      <c r="C54611" s="8"/>
      <c r="D54611" s="8"/>
    </row>
    <row r="54612" spans="1:4" ht="15.75" customHeight="1">
      <c r="A54612" s="8"/>
      <c r="B54612" s="12"/>
      <c r="C54612" s="8"/>
      <c r="D54612" s="8"/>
    </row>
    <row r="54613" spans="1:4" ht="15.75" customHeight="1">
      <c r="A54613" s="8"/>
      <c r="B54613" s="12"/>
      <c r="C54613" s="8"/>
      <c r="D54613" s="8"/>
    </row>
    <row r="54614" spans="1:4" ht="15.75" customHeight="1">
      <c r="A54614" s="8"/>
      <c r="B54614" s="12"/>
      <c r="C54614" s="8"/>
      <c r="D54614" s="8"/>
    </row>
    <row r="54615" spans="1:4" ht="15.75" customHeight="1">
      <c r="A54615" s="8"/>
      <c r="B54615" s="12"/>
      <c r="C54615" s="8"/>
      <c r="D54615" s="8"/>
    </row>
    <row r="54616" spans="1:4" ht="15.75" customHeight="1">
      <c r="A54616" s="8"/>
      <c r="B54616" s="12"/>
      <c r="C54616" s="8"/>
      <c r="D54616" s="8"/>
    </row>
    <row r="54617" spans="1:4" ht="15.75" customHeight="1">
      <c r="A54617" s="8"/>
      <c r="B54617" s="12"/>
      <c r="C54617" s="8"/>
      <c r="D54617" s="8"/>
    </row>
    <row r="54618" spans="1:4" ht="15.75" customHeight="1">
      <c r="A54618" s="8"/>
      <c r="B54618" s="12"/>
      <c r="C54618" s="8"/>
      <c r="D54618" s="8"/>
    </row>
    <row r="54619" spans="1:4" ht="15.75" customHeight="1">
      <c r="A54619" s="8"/>
      <c r="B54619" s="12"/>
      <c r="C54619" s="8"/>
      <c r="D54619" s="8"/>
    </row>
    <row r="54620" spans="1:4" ht="15.75" customHeight="1">
      <c r="A54620" s="8"/>
      <c r="B54620" s="12"/>
      <c r="C54620" s="8"/>
      <c r="D54620" s="8"/>
    </row>
    <row r="54621" spans="1:4" ht="15.75" customHeight="1">
      <c r="A54621" s="8"/>
      <c r="B54621" s="12"/>
      <c r="C54621" s="8"/>
      <c r="D54621" s="8"/>
    </row>
    <row r="54622" spans="1:4" ht="15.75" customHeight="1">
      <c r="A54622" s="8"/>
      <c r="B54622" s="12"/>
      <c r="C54622" s="8"/>
      <c r="D54622" s="8"/>
    </row>
    <row r="54623" spans="1:4" ht="15.75" customHeight="1">
      <c r="A54623" s="8"/>
      <c r="B54623" s="12"/>
      <c r="C54623" s="8"/>
      <c r="D54623" s="8"/>
    </row>
    <row r="54624" spans="1:4" ht="15.75" customHeight="1">
      <c r="A54624" s="8"/>
      <c r="B54624" s="12"/>
      <c r="C54624" s="8"/>
      <c r="D54624" s="8"/>
    </row>
    <row r="54625" spans="1:4" ht="15.75" customHeight="1">
      <c r="A54625" s="8"/>
      <c r="B54625" s="12"/>
      <c r="C54625" s="8"/>
      <c r="D54625" s="8"/>
    </row>
    <row r="54626" spans="1:4" ht="15.75" customHeight="1">
      <c r="A54626" s="8"/>
      <c r="B54626" s="12"/>
      <c r="C54626" s="8"/>
      <c r="D54626" s="8"/>
    </row>
    <row r="54627" spans="1:4" ht="15.75" customHeight="1">
      <c r="A54627" s="8"/>
      <c r="B54627" s="12"/>
      <c r="C54627" s="8"/>
      <c r="D54627" s="8"/>
    </row>
    <row r="54628" spans="1:4" ht="15.75" customHeight="1">
      <c r="A54628" s="8"/>
      <c r="B54628" s="12"/>
      <c r="C54628" s="8"/>
      <c r="D54628" s="8"/>
    </row>
    <row r="54629" spans="1:4" ht="15.75" customHeight="1">
      <c r="A54629" s="8"/>
      <c r="B54629" s="12"/>
      <c r="C54629" s="8"/>
      <c r="D54629" s="8"/>
    </row>
    <row r="54630" spans="1:4" ht="15.75" customHeight="1">
      <c r="A54630" s="8"/>
      <c r="B54630" s="12"/>
      <c r="C54630" s="8"/>
      <c r="D54630" s="8"/>
    </row>
    <row r="54631" spans="1:4" ht="15.75" customHeight="1">
      <c r="A54631" s="8"/>
      <c r="B54631" s="12"/>
      <c r="C54631" s="8"/>
      <c r="D54631" s="8"/>
    </row>
    <row r="54632" spans="1:4" ht="15.75" customHeight="1">
      <c r="A54632" s="8"/>
      <c r="B54632" s="12"/>
      <c r="C54632" s="8"/>
      <c r="D54632" s="8"/>
    </row>
    <row r="54633" spans="1:4" ht="15.75" customHeight="1">
      <c r="A54633" s="8"/>
      <c r="B54633" s="12"/>
      <c r="C54633" s="8"/>
      <c r="D54633" s="8"/>
    </row>
    <row r="54634" spans="1:4" ht="15.75" customHeight="1">
      <c r="A54634" s="8"/>
      <c r="B54634" s="12"/>
      <c r="C54634" s="8"/>
      <c r="D54634" s="8"/>
    </row>
    <row r="54635" spans="1:4" ht="15.75" customHeight="1">
      <c r="A54635" s="8"/>
      <c r="B54635" s="12"/>
      <c r="C54635" s="8"/>
      <c r="D54635" s="8"/>
    </row>
    <row r="54636" spans="1:4" ht="15.75" customHeight="1">
      <c r="A54636" s="8"/>
      <c r="B54636" s="12"/>
      <c r="C54636" s="8"/>
      <c r="D54636" s="8"/>
    </row>
    <row r="54637" spans="1:4" ht="15.75" customHeight="1">
      <c r="A54637" s="8"/>
      <c r="B54637" s="12"/>
      <c r="C54637" s="8"/>
      <c r="D54637" s="8"/>
    </row>
    <row r="54638" spans="1:4" ht="15.75" customHeight="1">
      <c r="A54638" s="8"/>
      <c r="B54638" s="12"/>
      <c r="C54638" s="8"/>
      <c r="D54638" s="8"/>
    </row>
    <row r="54639" spans="1:4" ht="15.75" customHeight="1">
      <c r="A54639" s="8"/>
      <c r="B54639" s="12"/>
      <c r="C54639" s="8"/>
      <c r="D54639" s="8"/>
    </row>
    <row r="54640" spans="1:4" ht="15.75" customHeight="1">
      <c r="A54640" s="8"/>
      <c r="B54640" s="12"/>
      <c r="C54640" s="8"/>
      <c r="D54640" s="8"/>
    </row>
    <row r="54641" spans="1:4" ht="15.75" customHeight="1">
      <c r="A54641" s="8"/>
      <c r="B54641" s="12"/>
      <c r="C54641" s="8"/>
      <c r="D54641" s="8"/>
    </row>
    <row r="54642" spans="1:4" ht="15.75" customHeight="1">
      <c r="A54642" s="8"/>
      <c r="B54642" s="12"/>
      <c r="C54642" s="8"/>
      <c r="D54642" s="8"/>
    </row>
    <row r="54643" spans="1:4" ht="15.75" customHeight="1">
      <c r="A54643" s="8"/>
      <c r="B54643" s="12"/>
      <c r="C54643" s="8"/>
      <c r="D54643" s="8"/>
    </row>
    <row r="54644" spans="1:4" ht="15.75" customHeight="1">
      <c r="A54644" s="8"/>
      <c r="B54644" s="12"/>
      <c r="C54644" s="8"/>
      <c r="D54644" s="8"/>
    </row>
    <row r="54645" spans="1:4" ht="15.75" customHeight="1">
      <c r="A54645" s="8"/>
      <c r="B54645" s="12"/>
      <c r="C54645" s="8"/>
      <c r="D54645" s="8"/>
    </row>
    <row r="54646" spans="1:4" ht="15.75" customHeight="1">
      <c r="A54646" s="8"/>
      <c r="B54646" s="12"/>
      <c r="C54646" s="8"/>
      <c r="D54646" s="8"/>
    </row>
    <row r="54647" spans="1:4" ht="15.75" customHeight="1">
      <c r="A54647" s="8"/>
      <c r="B54647" s="12"/>
      <c r="C54647" s="8"/>
      <c r="D54647" s="8"/>
    </row>
    <row r="54648" spans="1:4" ht="15.75" customHeight="1">
      <c r="A54648" s="8"/>
      <c r="B54648" s="12"/>
      <c r="C54648" s="8"/>
      <c r="D54648" s="8"/>
    </row>
  </sheetData>
  <autoFilter ref="A1:F36680">
    <sortState ref="A2:F36680">
      <sortCondition descending="1" ref="B1:B36680"/>
    </sortState>
  </autoFilter>
  <pageMargins left="0.511811024" right="0.511811024" top="0.78740157499999996" bottom="0.78740157499999996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21" customWidth="1"/>
    <col min="2" max="2" width="22.140625" customWidth="1"/>
    <col min="3" max="3" width="19.42578125" customWidth="1"/>
    <col min="4" max="4" width="22" customWidth="1"/>
    <col min="5" max="26" width="8.7109375" customWidth="1"/>
  </cols>
  <sheetData>
    <row r="1" spans="1:5">
      <c r="A1" s="13" t="s">
        <v>36231</v>
      </c>
      <c r="B1" s="14" t="s">
        <v>36232</v>
      </c>
      <c r="C1" s="13" t="s">
        <v>36231</v>
      </c>
      <c r="D1" s="14" t="s">
        <v>36232</v>
      </c>
    </row>
    <row r="2" spans="1:5">
      <c r="A2" s="1" t="s">
        <v>8027</v>
      </c>
      <c r="B2" s="7" t="s">
        <v>8027</v>
      </c>
      <c r="C2" s="2" t="str">
        <f t="shared" ref="C2:D2" si="0">IF(A2=A1,"",A2)</f>
        <v>Aachen</v>
      </c>
      <c r="D2" s="2" t="str">
        <f t="shared" si="0"/>
        <v>Aachen</v>
      </c>
      <c r="E2" s="2" t="s">
        <v>36233</v>
      </c>
    </row>
    <row r="3" spans="1:5" hidden="1">
      <c r="A3" s="1" t="s">
        <v>8027</v>
      </c>
      <c r="B3" s="7" t="s">
        <v>8027</v>
      </c>
      <c r="C3" s="2" t="str">
        <f t="shared" ref="C3:D3" si="1">IF(A3=A2,"",A3)</f>
        <v/>
      </c>
      <c r="D3" s="2" t="str">
        <f t="shared" si="1"/>
        <v/>
      </c>
    </row>
    <row r="4" spans="1:5" hidden="1">
      <c r="A4" s="1" t="s">
        <v>8027</v>
      </c>
      <c r="B4" s="7" t="s">
        <v>8027</v>
      </c>
      <c r="C4" s="2" t="str">
        <f t="shared" ref="C4:D4" si="2">IF(A4=A3,"",A4)</f>
        <v/>
      </c>
      <c r="D4" s="2" t="str">
        <f t="shared" si="2"/>
        <v/>
      </c>
    </row>
    <row r="5" spans="1:5" hidden="1">
      <c r="A5" s="1" t="s">
        <v>8027</v>
      </c>
      <c r="B5" s="7" t="s">
        <v>8027</v>
      </c>
      <c r="C5" s="2" t="str">
        <f t="shared" ref="C5:D5" si="3">IF(A5=A4,"",A5)</f>
        <v/>
      </c>
      <c r="D5" s="2" t="str">
        <f t="shared" si="3"/>
        <v/>
      </c>
    </row>
    <row r="6" spans="1:5" hidden="1">
      <c r="A6" s="1" t="s">
        <v>8027</v>
      </c>
      <c r="B6" s="7" t="s">
        <v>8027</v>
      </c>
      <c r="C6" s="2" t="str">
        <f t="shared" ref="C6:D6" si="4">IF(A6=A5,"",A6)</f>
        <v/>
      </c>
      <c r="D6" s="2" t="str">
        <f t="shared" si="4"/>
        <v/>
      </c>
    </row>
    <row r="7" spans="1:5" hidden="1">
      <c r="A7" s="1" t="s">
        <v>8027</v>
      </c>
      <c r="B7" s="7" t="s">
        <v>8027</v>
      </c>
      <c r="C7" s="2" t="str">
        <f t="shared" ref="C7:D7" si="5">IF(A7=A6,"",A7)</f>
        <v/>
      </c>
      <c r="D7" s="2" t="str">
        <f t="shared" si="5"/>
        <v/>
      </c>
    </row>
    <row r="8" spans="1:5">
      <c r="A8" s="1" t="s">
        <v>6207</v>
      </c>
      <c r="B8" s="7" t="s">
        <v>6207</v>
      </c>
      <c r="C8" s="2" t="str">
        <f t="shared" ref="C8:D8" si="6">IF(A8=A7,"",A8)</f>
        <v>Århus</v>
      </c>
      <c r="D8" s="2" t="str">
        <f t="shared" si="6"/>
        <v>Århus</v>
      </c>
      <c r="E8" s="2" t="s">
        <v>36233</v>
      </c>
    </row>
    <row r="9" spans="1:5" hidden="1">
      <c r="A9" s="1" t="s">
        <v>6207</v>
      </c>
      <c r="B9" s="7" t="s">
        <v>6207</v>
      </c>
      <c r="C9" s="2" t="str">
        <f t="shared" ref="C9:D9" si="7">IF(A9=A8,"",A9)</f>
        <v/>
      </c>
      <c r="D9" s="2" t="str">
        <f t="shared" si="7"/>
        <v/>
      </c>
    </row>
    <row r="10" spans="1:5" hidden="1">
      <c r="A10" s="1" t="s">
        <v>6207</v>
      </c>
      <c r="B10" s="7" t="s">
        <v>6207</v>
      </c>
      <c r="C10" s="2" t="str">
        <f t="shared" ref="C10:D10" si="8">IF(A10=A9,"",A10)</f>
        <v/>
      </c>
      <c r="D10" s="2" t="str">
        <f t="shared" si="8"/>
        <v/>
      </c>
    </row>
    <row r="11" spans="1:5" hidden="1">
      <c r="A11" s="1" t="s">
        <v>6207</v>
      </c>
      <c r="B11" s="7" t="s">
        <v>6207</v>
      </c>
      <c r="C11" s="2" t="str">
        <f t="shared" ref="C11:D11" si="9">IF(A11=A10,"",A11)</f>
        <v/>
      </c>
      <c r="D11" s="2" t="str">
        <f t="shared" si="9"/>
        <v/>
      </c>
    </row>
    <row r="12" spans="1:5" hidden="1">
      <c r="A12" s="1" t="s">
        <v>6207</v>
      </c>
      <c r="B12" s="7" t="s">
        <v>6207</v>
      </c>
      <c r="C12" s="2" t="str">
        <f t="shared" ref="C12:D12" si="10">IF(A12=A11,"",A12)</f>
        <v/>
      </c>
      <c r="D12" s="2" t="str">
        <f t="shared" si="10"/>
        <v/>
      </c>
    </row>
    <row r="13" spans="1:5" hidden="1">
      <c r="A13" s="1" t="s">
        <v>6207</v>
      </c>
      <c r="B13" s="7" t="s">
        <v>6207</v>
      </c>
      <c r="C13" s="2" t="str">
        <f t="shared" ref="C13:D13" si="11">IF(A13=A12,"",A13)</f>
        <v/>
      </c>
      <c r="D13" s="2" t="str">
        <f t="shared" si="11"/>
        <v/>
      </c>
    </row>
    <row r="14" spans="1:5" hidden="1">
      <c r="A14" s="1" t="s">
        <v>6207</v>
      </c>
      <c r="B14" s="7" t="s">
        <v>6207</v>
      </c>
      <c r="C14" s="2" t="str">
        <f t="shared" ref="C14:D14" si="12">IF(A14=A13,"",A14)</f>
        <v/>
      </c>
      <c r="D14" s="2" t="str">
        <f t="shared" si="12"/>
        <v/>
      </c>
    </row>
    <row r="15" spans="1:5" hidden="1">
      <c r="A15" s="1" t="s">
        <v>6207</v>
      </c>
      <c r="B15" s="7" t="s">
        <v>6207</v>
      </c>
      <c r="C15" s="2" t="str">
        <f t="shared" ref="C15:D15" si="13">IF(A15=A14,"",A15)</f>
        <v/>
      </c>
      <c r="D15" s="2" t="str">
        <f t="shared" si="13"/>
        <v/>
      </c>
    </row>
    <row r="16" spans="1:5" hidden="1">
      <c r="A16" s="1" t="s">
        <v>6207</v>
      </c>
      <c r="B16" s="7" t="s">
        <v>6207</v>
      </c>
      <c r="C16" s="2" t="str">
        <f t="shared" ref="C16:D16" si="14">IF(A16=A15,"",A16)</f>
        <v/>
      </c>
      <c r="D16" s="2" t="str">
        <f t="shared" si="14"/>
        <v/>
      </c>
    </row>
    <row r="17" spans="1:5" hidden="1">
      <c r="A17" s="1" t="s">
        <v>6207</v>
      </c>
      <c r="B17" s="7" t="s">
        <v>6207</v>
      </c>
      <c r="C17" s="2" t="str">
        <f t="shared" ref="C17:D17" si="15">IF(A17=A16,"",A17)</f>
        <v/>
      </c>
      <c r="D17" s="2" t="str">
        <f t="shared" si="15"/>
        <v/>
      </c>
    </row>
    <row r="18" spans="1:5" hidden="1">
      <c r="A18" s="1" t="s">
        <v>6207</v>
      </c>
      <c r="B18" s="7" t="s">
        <v>6207</v>
      </c>
      <c r="C18" s="2" t="str">
        <f t="shared" ref="C18:D18" si="16">IF(A18=A17,"",A18)</f>
        <v/>
      </c>
      <c r="D18" s="2" t="str">
        <f t="shared" si="16"/>
        <v/>
      </c>
    </row>
    <row r="19" spans="1:5">
      <c r="A19" s="1" t="s">
        <v>24327</v>
      </c>
      <c r="B19" s="7" t="s">
        <v>24327</v>
      </c>
      <c r="C19" s="2" t="str">
        <f t="shared" ref="C19:D19" si="17">IF(A19=A18,"",A19)</f>
        <v>Barcelona</v>
      </c>
      <c r="D19" s="2" t="str">
        <f t="shared" si="17"/>
        <v>Barcelona</v>
      </c>
      <c r="E19" s="2" t="s">
        <v>36233</v>
      </c>
    </row>
    <row r="20" spans="1:5" hidden="1">
      <c r="A20" s="1" t="s">
        <v>24327</v>
      </c>
      <c r="B20" s="7" t="s">
        <v>24327</v>
      </c>
      <c r="C20" s="2" t="str">
        <f t="shared" ref="C20:D20" si="18">IF(A20=A19,"",A20)</f>
        <v/>
      </c>
      <c r="D20" s="2" t="str">
        <f t="shared" si="18"/>
        <v/>
      </c>
    </row>
    <row r="21" spans="1:5" ht="15.75" hidden="1" customHeight="1">
      <c r="A21" s="1" t="s">
        <v>24327</v>
      </c>
      <c r="B21" s="7" t="s">
        <v>24327</v>
      </c>
      <c r="C21" s="2" t="str">
        <f t="shared" ref="C21:D21" si="19">IF(A21=A20,"",A21)</f>
        <v/>
      </c>
      <c r="D21" s="2" t="str">
        <f t="shared" si="19"/>
        <v/>
      </c>
    </row>
    <row r="22" spans="1:5" ht="15.75" hidden="1" customHeight="1">
      <c r="A22" s="1" t="s">
        <v>24327</v>
      </c>
      <c r="B22" s="7" t="s">
        <v>24327</v>
      </c>
      <c r="C22" s="2" t="str">
        <f t="shared" ref="C22:D22" si="20">IF(A22=A21,"",A22)</f>
        <v/>
      </c>
      <c r="D22" s="2" t="str">
        <f t="shared" si="20"/>
        <v/>
      </c>
    </row>
    <row r="23" spans="1:5" ht="15.75" hidden="1" customHeight="1">
      <c r="A23" s="1" t="s">
        <v>24327</v>
      </c>
      <c r="B23" s="7" t="s">
        <v>24327</v>
      </c>
      <c r="C23" s="2" t="str">
        <f t="shared" ref="C23:D23" si="21">IF(A23=A22,"",A23)</f>
        <v/>
      </c>
      <c r="D23" s="2" t="str">
        <f t="shared" si="21"/>
        <v/>
      </c>
    </row>
    <row r="24" spans="1:5" ht="15.75" customHeight="1">
      <c r="A24" s="1" t="s">
        <v>14977</v>
      </c>
      <c r="B24" s="7" t="s">
        <v>14977</v>
      </c>
      <c r="C24" s="2" t="str">
        <f t="shared" ref="C24:D24" si="22">IF(A24=A23,"",A24)</f>
        <v>Bergamo</v>
      </c>
      <c r="D24" s="2" t="str">
        <f t="shared" si="22"/>
        <v>Bergamo</v>
      </c>
      <c r="E24" s="2" t="s">
        <v>36233</v>
      </c>
    </row>
    <row r="25" spans="1:5" ht="15.75" hidden="1" customHeight="1">
      <c r="A25" s="1" t="s">
        <v>14977</v>
      </c>
      <c r="B25" s="7" t="s">
        <v>14977</v>
      </c>
      <c r="C25" s="2" t="str">
        <f t="shared" ref="C25:D25" si="23">IF(A25=A24,"",A25)</f>
        <v/>
      </c>
      <c r="D25" s="2" t="str">
        <f t="shared" si="23"/>
        <v/>
      </c>
    </row>
    <row r="26" spans="1:5" ht="15.75" hidden="1" customHeight="1">
      <c r="A26" s="1" t="s">
        <v>14977</v>
      </c>
      <c r="B26" s="7" t="s">
        <v>14977</v>
      </c>
      <c r="C26" s="2" t="str">
        <f t="shared" ref="C26:D26" si="24">IF(A26=A25,"",A26)</f>
        <v/>
      </c>
      <c r="D26" s="2" t="str">
        <f t="shared" si="24"/>
        <v/>
      </c>
    </row>
    <row r="27" spans="1:5" ht="15.75" hidden="1" customHeight="1">
      <c r="A27" s="1" t="s">
        <v>14977</v>
      </c>
      <c r="B27" s="7" t="s">
        <v>14977</v>
      </c>
      <c r="C27" s="2" t="str">
        <f t="shared" ref="C27:D27" si="25">IF(A27=A26,"",A27)</f>
        <v/>
      </c>
      <c r="D27" s="2" t="str">
        <f t="shared" si="25"/>
        <v/>
      </c>
    </row>
    <row r="28" spans="1:5" ht="15.75" hidden="1" customHeight="1">
      <c r="A28" s="1" t="s">
        <v>14977</v>
      </c>
      <c r="B28" s="7" t="s">
        <v>14977</v>
      </c>
      <c r="C28" s="2" t="str">
        <f t="shared" ref="C28:D28" si="26">IF(A28=A27,"",A28)</f>
        <v/>
      </c>
      <c r="D28" s="2" t="str">
        <f t="shared" si="26"/>
        <v/>
      </c>
    </row>
    <row r="29" spans="1:5" ht="15.75" hidden="1" customHeight="1">
      <c r="A29" s="1" t="s">
        <v>14977</v>
      </c>
      <c r="B29" s="7" t="s">
        <v>14977</v>
      </c>
      <c r="C29" s="2" t="str">
        <f t="shared" ref="C29:D29" si="27">IF(A29=A28,"",A29)</f>
        <v/>
      </c>
      <c r="D29" s="2" t="str">
        <f t="shared" si="27"/>
        <v/>
      </c>
    </row>
    <row r="30" spans="1:5" ht="15.75" hidden="1" customHeight="1">
      <c r="A30" s="1" t="s">
        <v>14977</v>
      </c>
      <c r="B30" s="7" t="s">
        <v>14977</v>
      </c>
      <c r="C30" s="2" t="str">
        <f t="shared" ref="C30:D30" si="28">IF(A30=A29,"",A30)</f>
        <v/>
      </c>
      <c r="D30" s="2" t="str">
        <f t="shared" si="28"/>
        <v/>
      </c>
    </row>
    <row r="31" spans="1:5" ht="15.75" hidden="1" customHeight="1">
      <c r="A31" s="1" t="s">
        <v>14977</v>
      </c>
      <c r="B31" s="7" t="s">
        <v>14977</v>
      </c>
      <c r="C31" s="2" t="str">
        <f t="shared" ref="C31:D31" si="29">IF(A31=A30,"",A31)</f>
        <v/>
      </c>
      <c r="D31" s="2" t="str">
        <f t="shared" si="29"/>
        <v/>
      </c>
    </row>
    <row r="32" spans="1:5" ht="15.75" hidden="1" customHeight="1">
      <c r="A32" s="1" t="s">
        <v>14977</v>
      </c>
      <c r="B32" s="7" t="s">
        <v>14977</v>
      </c>
      <c r="C32" s="2" t="str">
        <f t="shared" ref="C32:D32" si="30">IF(A32=A31,"",A32)</f>
        <v/>
      </c>
      <c r="D32" s="2" t="str">
        <f t="shared" si="30"/>
        <v/>
      </c>
    </row>
    <row r="33" spans="1:5" ht="15.75" hidden="1" customHeight="1">
      <c r="A33" s="1" t="s">
        <v>14977</v>
      </c>
      <c r="B33" s="7" t="s">
        <v>14977</v>
      </c>
      <c r="C33" s="2" t="str">
        <f t="shared" ref="C33:D33" si="31">IF(A33=A32,"",A33)</f>
        <v/>
      </c>
      <c r="D33" s="2" t="str">
        <f t="shared" si="31"/>
        <v/>
      </c>
    </row>
    <row r="34" spans="1:5" ht="15.75" customHeight="1">
      <c r="A34" s="1" t="s">
        <v>8187</v>
      </c>
      <c r="B34" s="7" t="s">
        <v>8036</v>
      </c>
      <c r="C34" s="2" t="str">
        <f t="shared" ref="C34:D34" si="32">IF(A34=A33,"",A34)</f>
        <v>Berlim</v>
      </c>
      <c r="D34" s="2" t="str">
        <f t="shared" si="32"/>
        <v>Berlin</v>
      </c>
      <c r="E34" s="2" t="s">
        <v>36233</v>
      </c>
    </row>
    <row r="35" spans="1:5" ht="15.75" hidden="1" customHeight="1">
      <c r="A35" s="1" t="s">
        <v>8187</v>
      </c>
      <c r="B35" s="7" t="s">
        <v>8036</v>
      </c>
      <c r="C35" s="2" t="str">
        <f t="shared" ref="C35:D35" si="33">IF(A35=A34,"",A35)</f>
        <v/>
      </c>
      <c r="D35" s="2" t="str">
        <f t="shared" si="33"/>
        <v/>
      </c>
    </row>
    <row r="36" spans="1:5" ht="15.75" hidden="1" customHeight="1">
      <c r="A36" s="1" t="s">
        <v>8187</v>
      </c>
      <c r="B36" s="7" t="s">
        <v>8036</v>
      </c>
      <c r="C36" s="2" t="str">
        <f t="shared" ref="C36:D36" si="34">IF(A36=A35,"",A36)</f>
        <v/>
      </c>
      <c r="D36" s="2" t="str">
        <f t="shared" si="34"/>
        <v/>
      </c>
    </row>
    <row r="37" spans="1:5" ht="15.75" hidden="1" customHeight="1">
      <c r="A37" s="1" t="s">
        <v>8187</v>
      </c>
      <c r="B37" s="7" t="s">
        <v>8036</v>
      </c>
      <c r="C37" s="2" t="str">
        <f t="shared" ref="C37:D37" si="35">IF(A37=A36,"",A37)</f>
        <v/>
      </c>
      <c r="D37" s="2" t="str">
        <f t="shared" si="35"/>
        <v/>
      </c>
    </row>
    <row r="38" spans="1:5" ht="15.75" hidden="1" customHeight="1">
      <c r="A38" s="1" t="s">
        <v>8187</v>
      </c>
      <c r="B38" s="7" t="s">
        <v>8036</v>
      </c>
      <c r="C38" s="2" t="str">
        <f t="shared" ref="C38:D38" si="36">IF(A38=A37,"",A38)</f>
        <v/>
      </c>
      <c r="D38" s="2" t="str">
        <f t="shared" si="36"/>
        <v/>
      </c>
    </row>
    <row r="39" spans="1:5" ht="15.75" hidden="1" customHeight="1">
      <c r="A39" s="1" t="s">
        <v>8187</v>
      </c>
      <c r="B39" s="7" t="s">
        <v>8036</v>
      </c>
      <c r="C39" s="2" t="str">
        <f t="shared" ref="C39:D39" si="37">IF(A39=A38,"",A39)</f>
        <v/>
      </c>
      <c r="D39" s="2" t="str">
        <f t="shared" si="37"/>
        <v/>
      </c>
    </row>
    <row r="40" spans="1:5" ht="15.75" customHeight="1">
      <c r="A40" s="1" t="s">
        <v>25250</v>
      </c>
      <c r="B40" s="7" t="s">
        <v>25250</v>
      </c>
      <c r="C40" s="2" t="str">
        <f t="shared" ref="C40:D40" si="38">IF(A40=A39,"",A40)</f>
        <v>Bern</v>
      </c>
      <c r="D40" s="2" t="str">
        <f t="shared" si="38"/>
        <v>Bern</v>
      </c>
      <c r="E40" s="2" t="s">
        <v>36233</v>
      </c>
    </row>
    <row r="41" spans="1:5" ht="15.75" hidden="1" customHeight="1">
      <c r="A41" s="1" t="s">
        <v>25250</v>
      </c>
      <c r="B41" s="7" t="s">
        <v>25250</v>
      </c>
      <c r="C41" s="2" t="str">
        <f t="shared" ref="C41:D41" si="39">IF(A41=A40,"",A41)</f>
        <v/>
      </c>
      <c r="D41" s="2" t="str">
        <f t="shared" si="39"/>
        <v/>
      </c>
    </row>
    <row r="42" spans="1:5" ht="15.75" hidden="1" customHeight="1">
      <c r="A42" s="1" t="s">
        <v>25250</v>
      </c>
      <c r="B42" s="7" t="s">
        <v>25250</v>
      </c>
      <c r="C42" s="2" t="str">
        <f t="shared" ref="C42:D42" si="40">IF(A42=A41,"",A42)</f>
        <v/>
      </c>
      <c r="D42" s="2" t="str">
        <f t="shared" si="40"/>
        <v/>
      </c>
    </row>
    <row r="43" spans="1:5" ht="15.75" hidden="1" customHeight="1">
      <c r="A43" s="1" t="s">
        <v>25250</v>
      </c>
      <c r="B43" s="7" t="s">
        <v>25250</v>
      </c>
      <c r="C43" s="2" t="str">
        <f t="shared" ref="C43:D43" si="41">IF(A43=A42,"",A43)</f>
        <v/>
      </c>
      <c r="D43" s="2" t="str">
        <f t="shared" si="41"/>
        <v/>
      </c>
    </row>
    <row r="44" spans="1:5" ht="15.75" hidden="1" customHeight="1">
      <c r="A44" s="1" t="s">
        <v>25250</v>
      </c>
      <c r="B44" s="7" t="s">
        <v>25250</v>
      </c>
      <c r="C44" s="2" t="str">
        <f t="shared" ref="C44:D44" si="42">IF(A44=A43,"",A44)</f>
        <v/>
      </c>
      <c r="D44" s="2" t="str">
        <f t="shared" si="42"/>
        <v/>
      </c>
    </row>
    <row r="45" spans="1:5" ht="15.75" hidden="1" customHeight="1">
      <c r="A45" s="1" t="s">
        <v>25250</v>
      </c>
      <c r="B45" s="7" t="s">
        <v>25250</v>
      </c>
      <c r="C45" s="2" t="str">
        <f t="shared" ref="C45:D45" si="43">IF(A45=A44,"",A45)</f>
        <v/>
      </c>
      <c r="D45" s="2" t="str">
        <f t="shared" si="43"/>
        <v/>
      </c>
    </row>
    <row r="46" spans="1:5" ht="15.75" hidden="1" customHeight="1">
      <c r="A46" s="1" t="s">
        <v>25250</v>
      </c>
      <c r="B46" s="7" t="s">
        <v>25250</v>
      </c>
      <c r="C46" s="2" t="str">
        <f t="shared" ref="C46:D46" si="44">IF(A46=A45,"",A46)</f>
        <v/>
      </c>
      <c r="D46" s="2" t="str">
        <f t="shared" si="44"/>
        <v/>
      </c>
    </row>
    <row r="47" spans="1:5" ht="15.75" hidden="1" customHeight="1">
      <c r="A47" s="1" t="s">
        <v>25250</v>
      </c>
      <c r="B47" s="7" t="s">
        <v>25250</v>
      </c>
      <c r="C47" s="2" t="str">
        <f t="shared" ref="C47:D47" si="45">IF(A47=A46,"",A47)</f>
        <v/>
      </c>
      <c r="D47" s="2" t="str">
        <f t="shared" si="45"/>
        <v/>
      </c>
    </row>
    <row r="48" spans="1:5" ht="15.75" customHeight="1">
      <c r="A48" s="1" t="s">
        <v>25099</v>
      </c>
      <c r="B48" s="7" t="s">
        <v>25099</v>
      </c>
      <c r="C48" s="2" t="str">
        <f t="shared" ref="C48:D48" si="46">IF(A48=A47,"",A48)</f>
        <v>Bräcke</v>
      </c>
      <c r="D48" s="2" t="str">
        <f t="shared" si="46"/>
        <v>Bräcke</v>
      </c>
      <c r="E48" s="2" t="s">
        <v>36233</v>
      </c>
    </row>
    <row r="49" spans="1:4" ht="15.75" hidden="1" customHeight="1">
      <c r="A49" s="1" t="s">
        <v>25099</v>
      </c>
      <c r="B49" s="7" t="s">
        <v>25099</v>
      </c>
      <c r="C49" s="2" t="str">
        <f t="shared" ref="C49:D49" si="47">IF(A49=A48,"",A49)</f>
        <v/>
      </c>
      <c r="D49" s="2" t="str">
        <f t="shared" si="47"/>
        <v/>
      </c>
    </row>
    <row r="50" spans="1:4" ht="15.75" hidden="1" customHeight="1">
      <c r="A50" s="1" t="s">
        <v>25099</v>
      </c>
      <c r="B50" s="7" t="s">
        <v>25099</v>
      </c>
      <c r="C50" s="2" t="str">
        <f t="shared" ref="C50:D50" si="48">IF(A50=A49,"",A50)</f>
        <v/>
      </c>
      <c r="D50" s="2" t="str">
        <f t="shared" si="48"/>
        <v/>
      </c>
    </row>
    <row r="51" spans="1:4" ht="15.75" hidden="1" customHeight="1">
      <c r="A51" s="1" t="s">
        <v>25099</v>
      </c>
      <c r="B51" s="7" t="s">
        <v>25099</v>
      </c>
      <c r="C51" s="2" t="str">
        <f t="shared" ref="C51:D51" si="49">IF(A51=A50,"",A51)</f>
        <v/>
      </c>
      <c r="D51" s="2" t="str">
        <f t="shared" si="49"/>
        <v/>
      </c>
    </row>
    <row r="52" spans="1:4" ht="15.75" hidden="1" customHeight="1">
      <c r="A52" s="1" t="s">
        <v>25099</v>
      </c>
      <c r="B52" s="7" t="s">
        <v>25099</v>
      </c>
      <c r="C52" s="2" t="str">
        <f t="shared" ref="C52:D52" si="50">IF(A52=A51,"",A52)</f>
        <v/>
      </c>
      <c r="D52" s="2" t="str">
        <f t="shared" si="50"/>
        <v/>
      </c>
    </row>
    <row r="53" spans="1:4" ht="15.75" hidden="1" customHeight="1">
      <c r="A53" s="1" t="s">
        <v>25099</v>
      </c>
      <c r="B53" s="7" t="s">
        <v>25099</v>
      </c>
      <c r="C53" s="2" t="str">
        <f t="shared" ref="C53:D53" si="51">IF(A53=A52,"",A53)</f>
        <v/>
      </c>
      <c r="D53" s="2" t="str">
        <f t="shared" si="51"/>
        <v/>
      </c>
    </row>
    <row r="54" spans="1:4" ht="15.75" hidden="1" customHeight="1">
      <c r="A54" s="1" t="s">
        <v>25099</v>
      </c>
      <c r="B54" s="7" t="s">
        <v>25099</v>
      </c>
      <c r="C54" s="2" t="str">
        <f t="shared" ref="C54:D54" si="52">IF(A54=A53,"",A54)</f>
        <v/>
      </c>
      <c r="D54" s="2" t="str">
        <f t="shared" si="52"/>
        <v/>
      </c>
    </row>
    <row r="55" spans="1:4" ht="15.75" hidden="1" customHeight="1">
      <c r="A55" s="1" t="s">
        <v>25099</v>
      </c>
      <c r="B55" s="7" t="s">
        <v>25099</v>
      </c>
      <c r="C55" s="2" t="str">
        <f t="shared" ref="C55:D55" si="53">IF(A55=A54,"",A55)</f>
        <v/>
      </c>
      <c r="D55" s="2" t="str">
        <f t="shared" si="53"/>
        <v/>
      </c>
    </row>
    <row r="56" spans="1:4" ht="15.75" hidden="1" customHeight="1">
      <c r="A56" s="1" t="s">
        <v>25099</v>
      </c>
      <c r="B56" s="7" t="s">
        <v>25099</v>
      </c>
      <c r="C56" s="2" t="str">
        <f t="shared" ref="C56:D56" si="54">IF(A56=A55,"",A56)</f>
        <v/>
      </c>
      <c r="D56" s="2" t="str">
        <f t="shared" si="54"/>
        <v/>
      </c>
    </row>
    <row r="57" spans="1:4" ht="15.75" hidden="1" customHeight="1">
      <c r="A57" s="1" t="s">
        <v>25099</v>
      </c>
      <c r="B57" s="7" t="s">
        <v>25099</v>
      </c>
      <c r="C57" s="2" t="str">
        <f t="shared" ref="C57:D57" si="55">IF(A57=A56,"",A57)</f>
        <v/>
      </c>
      <c r="D57" s="2" t="str">
        <f t="shared" si="55"/>
        <v/>
      </c>
    </row>
    <row r="58" spans="1:4" ht="15.75" hidden="1" customHeight="1">
      <c r="A58" s="1" t="s">
        <v>25099</v>
      </c>
      <c r="B58" s="7" t="s">
        <v>25099</v>
      </c>
      <c r="C58" s="2" t="str">
        <f t="shared" ref="C58:D58" si="56">IF(A58=A57,"",A58)</f>
        <v/>
      </c>
      <c r="D58" s="2" t="str">
        <f t="shared" si="56"/>
        <v/>
      </c>
    </row>
    <row r="59" spans="1:4" ht="15.75" hidden="1" customHeight="1">
      <c r="A59" s="1" t="s">
        <v>25099</v>
      </c>
      <c r="B59" s="7" t="s">
        <v>25099</v>
      </c>
      <c r="C59" s="2" t="str">
        <f t="shared" ref="C59:D59" si="57">IF(A59=A58,"",A59)</f>
        <v/>
      </c>
      <c r="D59" s="2" t="str">
        <f t="shared" si="57"/>
        <v/>
      </c>
    </row>
    <row r="60" spans="1:4" ht="15.75" hidden="1" customHeight="1">
      <c r="A60" s="1" t="s">
        <v>25099</v>
      </c>
      <c r="B60" s="7" t="s">
        <v>25099</v>
      </c>
      <c r="C60" s="2" t="str">
        <f t="shared" ref="C60:D60" si="58">IF(A60=A59,"",A60)</f>
        <v/>
      </c>
      <c r="D60" s="2" t="str">
        <f t="shared" si="58"/>
        <v/>
      </c>
    </row>
    <row r="61" spans="1:4" ht="15.75" hidden="1" customHeight="1">
      <c r="A61" s="1" t="s">
        <v>25099</v>
      </c>
      <c r="B61" s="7" t="s">
        <v>25099</v>
      </c>
      <c r="C61" s="2" t="str">
        <f t="shared" ref="C61:D61" si="59">IF(A61=A60,"",A61)</f>
        <v/>
      </c>
      <c r="D61" s="2" t="str">
        <f t="shared" si="59"/>
        <v/>
      </c>
    </row>
    <row r="62" spans="1:4" ht="15.75" hidden="1" customHeight="1">
      <c r="A62" s="1" t="s">
        <v>25099</v>
      </c>
      <c r="B62" s="7" t="s">
        <v>25099</v>
      </c>
      <c r="C62" s="2" t="str">
        <f t="shared" ref="C62:D62" si="60">IF(A62=A61,"",A62)</f>
        <v/>
      </c>
      <c r="D62" s="2" t="str">
        <f t="shared" si="60"/>
        <v/>
      </c>
    </row>
    <row r="63" spans="1:4" ht="15.75" hidden="1" customHeight="1">
      <c r="A63" s="1" t="s">
        <v>25099</v>
      </c>
      <c r="B63" s="7" t="s">
        <v>25099</v>
      </c>
      <c r="C63" s="2" t="str">
        <f t="shared" ref="C63:D63" si="61">IF(A63=A62,"",A63)</f>
        <v/>
      </c>
      <c r="D63" s="2" t="str">
        <f t="shared" si="61"/>
        <v/>
      </c>
    </row>
    <row r="64" spans="1:4" ht="15.75" hidden="1" customHeight="1">
      <c r="A64" s="1" t="s">
        <v>25099</v>
      </c>
      <c r="B64" s="7" t="s">
        <v>25099</v>
      </c>
      <c r="C64" s="2" t="str">
        <f t="shared" ref="C64:D64" si="62">IF(A64=A63,"",A64)</f>
        <v/>
      </c>
      <c r="D64" s="2" t="str">
        <f t="shared" si="62"/>
        <v/>
      </c>
    </row>
    <row r="65" spans="1:5" ht="15.75" hidden="1" customHeight="1">
      <c r="A65" s="1" t="s">
        <v>25099</v>
      </c>
      <c r="B65" s="7" t="s">
        <v>25099</v>
      </c>
      <c r="C65" s="2" t="str">
        <f t="shared" ref="C65:D65" si="63">IF(A65=A64,"",A65)</f>
        <v/>
      </c>
      <c r="D65" s="2" t="str">
        <f t="shared" si="63"/>
        <v/>
      </c>
    </row>
    <row r="66" spans="1:5" ht="15.75" hidden="1" customHeight="1">
      <c r="A66" s="1" t="s">
        <v>25099</v>
      </c>
      <c r="B66" s="7" t="s">
        <v>25099</v>
      </c>
      <c r="C66" s="2" t="str">
        <f t="shared" ref="C66:D66" si="64">IF(A66=A65,"",A66)</f>
        <v/>
      </c>
      <c r="D66" s="2" t="str">
        <f t="shared" si="64"/>
        <v/>
      </c>
    </row>
    <row r="67" spans="1:5" ht="15.75" customHeight="1">
      <c r="A67" s="1" t="s">
        <v>8070</v>
      </c>
      <c r="B67" s="7" t="s">
        <v>8070</v>
      </c>
      <c r="C67" s="2" t="str">
        <f t="shared" ref="C67:D67" si="65">IF(A67=A66,"",A67)</f>
        <v>Brandenburg</v>
      </c>
      <c r="D67" s="2" t="str">
        <f t="shared" si="65"/>
        <v>Brandenburg</v>
      </c>
      <c r="E67" s="2" t="s">
        <v>36233</v>
      </c>
    </row>
    <row r="68" spans="1:5" ht="15.75" hidden="1" customHeight="1">
      <c r="A68" s="1" t="s">
        <v>8070</v>
      </c>
      <c r="B68" s="7" t="s">
        <v>8070</v>
      </c>
      <c r="C68" s="2" t="str">
        <f t="shared" ref="C68:D68" si="66">IF(A68=A67,"",A68)</f>
        <v/>
      </c>
      <c r="D68" s="2" t="str">
        <f t="shared" si="66"/>
        <v/>
      </c>
    </row>
    <row r="69" spans="1:5" ht="15.75" hidden="1" customHeight="1">
      <c r="A69" s="1" t="s">
        <v>8070</v>
      </c>
      <c r="B69" s="7" t="s">
        <v>8070</v>
      </c>
      <c r="C69" s="2" t="str">
        <f t="shared" ref="C69:D69" si="67">IF(A69=A68,"",A69)</f>
        <v/>
      </c>
      <c r="D69" s="2" t="str">
        <f t="shared" si="67"/>
        <v/>
      </c>
    </row>
    <row r="70" spans="1:5" ht="15.75" hidden="1" customHeight="1">
      <c r="A70" s="1" t="s">
        <v>8070</v>
      </c>
      <c r="B70" s="7" t="s">
        <v>8070</v>
      </c>
      <c r="C70" s="2" t="str">
        <f t="shared" ref="C70:D70" si="68">IF(A70=A69,"",A70)</f>
        <v/>
      </c>
      <c r="D70" s="2" t="str">
        <f t="shared" si="68"/>
        <v/>
      </c>
    </row>
    <row r="71" spans="1:5" ht="15.75" hidden="1" customHeight="1">
      <c r="A71" s="1" t="s">
        <v>8070</v>
      </c>
      <c r="B71" s="7" t="s">
        <v>8070</v>
      </c>
      <c r="C71" s="2" t="str">
        <f t="shared" ref="C71:D71" si="69">IF(A71=A70,"",A71)</f>
        <v/>
      </c>
      <c r="D71" s="2" t="str">
        <f t="shared" si="69"/>
        <v/>
      </c>
    </row>
    <row r="72" spans="1:5" ht="15.75" hidden="1" customHeight="1">
      <c r="A72" s="1" t="s">
        <v>8070</v>
      </c>
      <c r="B72" s="7" t="s">
        <v>8070</v>
      </c>
      <c r="C72" s="2" t="str">
        <f t="shared" ref="C72:D72" si="70">IF(A72=A71,"",A72)</f>
        <v/>
      </c>
      <c r="D72" s="2" t="str">
        <f t="shared" si="70"/>
        <v/>
      </c>
    </row>
    <row r="73" spans="1:5" ht="15.75" hidden="1" customHeight="1">
      <c r="A73" s="1" t="s">
        <v>8070</v>
      </c>
      <c r="B73" s="7" t="s">
        <v>8070</v>
      </c>
      <c r="C73" s="2" t="str">
        <f t="shared" ref="C73:D73" si="71">IF(A73=A72,"",A73)</f>
        <v/>
      </c>
      <c r="D73" s="2" t="str">
        <f t="shared" si="71"/>
        <v/>
      </c>
    </row>
    <row r="74" spans="1:5" ht="15.75" hidden="1" customHeight="1">
      <c r="A74" s="1" t="s">
        <v>8070</v>
      </c>
      <c r="B74" s="7" t="s">
        <v>8070</v>
      </c>
      <c r="C74" s="2" t="str">
        <f t="shared" ref="C74:D74" si="72">IF(A74=A73,"",A74)</f>
        <v/>
      </c>
      <c r="D74" s="2" t="str">
        <f t="shared" si="72"/>
        <v/>
      </c>
    </row>
    <row r="75" spans="1:5" ht="15.75" hidden="1" customHeight="1">
      <c r="A75" s="1" t="s">
        <v>8070</v>
      </c>
      <c r="B75" s="7" t="s">
        <v>8070</v>
      </c>
      <c r="C75" s="2" t="str">
        <f t="shared" ref="C75:D75" si="73">IF(A75=A74,"",A75)</f>
        <v/>
      </c>
      <c r="D75" s="2" t="str">
        <f t="shared" si="73"/>
        <v/>
      </c>
    </row>
    <row r="76" spans="1:5" ht="15.75" hidden="1" customHeight="1">
      <c r="A76" s="1" t="s">
        <v>8070</v>
      </c>
      <c r="B76" s="7" t="s">
        <v>8070</v>
      </c>
      <c r="C76" s="2" t="str">
        <f t="shared" ref="C76:D76" si="74">IF(A76=A75,"",A76)</f>
        <v/>
      </c>
      <c r="D76" s="2" t="str">
        <f t="shared" si="74"/>
        <v/>
      </c>
    </row>
    <row r="77" spans="1:5" ht="15.75" hidden="1" customHeight="1">
      <c r="A77" s="1" t="s">
        <v>8070</v>
      </c>
      <c r="B77" s="7" t="s">
        <v>8070</v>
      </c>
      <c r="C77" s="2" t="str">
        <f t="shared" ref="C77:D77" si="75">IF(A77=A76,"",A77)</f>
        <v/>
      </c>
      <c r="D77" s="2" t="str">
        <f t="shared" si="75"/>
        <v/>
      </c>
    </row>
    <row r="78" spans="1:5" ht="15.75" hidden="1" customHeight="1">
      <c r="A78" s="1" t="s">
        <v>8070</v>
      </c>
      <c r="B78" s="7" t="s">
        <v>8070</v>
      </c>
      <c r="C78" s="2" t="str">
        <f t="shared" ref="C78:D78" si="76">IF(A78=A77,"",A78)</f>
        <v/>
      </c>
      <c r="D78" s="2" t="str">
        <f t="shared" si="76"/>
        <v/>
      </c>
    </row>
    <row r="79" spans="1:5" ht="15.75" hidden="1" customHeight="1">
      <c r="A79" s="1" t="s">
        <v>8070</v>
      </c>
      <c r="B79" s="7" t="s">
        <v>8070</v>
      </c>
      <c r="C79" s="2" t="str">
        <f t="shared" ref="C79:D79" si="77">IF(A79=A78,"",A79)</f>
        <v/>
      </c>
      <c r="D79" s="2" t="str">
        <f t="shared" si="77"/>
        <v/>
      </c>
    </row>
    <row r="80" spans="1:5" ht="15.75" hidden="1" customHeight="1">
      <c r="A80" s="1" t="s">
        <v>8070</v>
      </c>
      <c r="B80" s="7" t="s">
        <v>8070</v>
      </c>
      <c r="C80" s="2" t="str">
        <f t="shared" ref="C80:D80" si="78">IF(A80=A79,"",A80)</f>
        <v/>
      </c>
      <c r="D80" s="2" t="str">
        <f t="shared" si="78"/>
        <v/>
      </c>
    </row>
    <row r="81" spans="1:5" ht="15.75" customHeight="1">
      <c r="A81" s="1" t="s">
        <v>1547</v>
      </c>
      <c r="B81" s="7" t="s">
        <v>1547</v>
      </c>
      <c r="C81" s="2" t="str">
        <f t="shared" ref="C81:D81" si="79">IF(A81=A80,"",A81)</f>
        <v>Bruxelles</v>
      </c>
      <c r="D81" s="2" t="str">
        <f t="shared" si="79"/>
        <v>Bruxelles</v>
      </c>
      <c r="E81" s="2" t="s">
        <v>36233</v>
      </c>
    </row>
    <row r="82" spans="1:5" ht="15.75" hidden="1" customHeight="1">
      <c r="A82" s="1" t="s">
        <v>1547</v>
      </c>
      <c r="B82" s="7" t="s">
        <v>1547</v>
      </c>
      <c r="C82" s="2" t="str">
        <f t="shared" ref="C82:D82" si="80">IF(A82=A81,"",A82)</f>
        <v/>
      </c>
      <c r="D82" s="2" t="str">
        <f t="shared" si="80"/>
        <v/>
      </c>
    </row>
    <row r="83" spans="1:5" ht="15.75" hidden="1" customHeight="1">
      <c r="A83" s="1" t="s">
        <v>1547</v>
      </c>
      <c r="B83" s="7" t="s">
        <v>1547</v>
      </c>
      <c r="C83" s="2" t="str">
        <f t="shared" ref="C83:D83" si="81">IF(A83=A82,"",A83)</f>
        <v/>
      </c>
      <c r="D83" s="2" t="str">
        <f t="shared" si="81"/>
        <v/>
      </c>
    </row>
    <row r="84" spans="1:5" ht="15.75" hidden="1" customHeight="1">
      <c r="A84" s="1" t="s">
        <v>1547</v>
      </c>
      <c r="B84" s="7" t="s">
        <v>1547</v>
      </c>
      <c r="C84" s="2" t="str">
        <f t="shared" ref="C84:D84" si="82">IF(A84=A83,"",A84)</f>
        <v/>
      </c>
      <c r="D84" s="2" t="str">
        <f t="shared" si="82"/>
        <v/>
      </c>
    </row>
    <row r="85" spans="1:5" ht="15.75" hidden="1" customHeight="1">
      <c r="A85" s="1" t="s">
        <v>1547</v>
      </c>
      <c r="B85" s="7" t="s">
        <v>1547</v>
      </c>
      <c r="C85" s="2" t="str">
        <f t="shared" ref="C85:D85" si="83">IF(A85=A84,"",A85)</f>
        <v/>
      </c>
      <c r="D85" s="2" t="str">
        <f t="shared" si="83"/>
        <v/>
      </c>
    </row>
    <row r="86" spans="1:5" ht="15.75" hidden="1" customHeight="1">
      <c r="A86" s="1" t="s">
        <v>1547</v>
      </c>
      <c r="B86" s="7" t="s">
        <v>1547</v>
      </c>
      <c r="C86" s="2" t="str">
        <f t="shared" ref="C86:D86" si="84">IF(A86=A85,"",A86)</f>
        <v/>
      </c>
      <c r="D86" s="2" t="str">
        <f t="shared" si="84"/>
        <v/>
      </c>
    </row>
    <row r="87" spans="1:5" ht="15.75" hidden="1" customHeight="1">
      <c r="A87" s="1" t="s">
        <v>1547</v>
      </c>
      <c r="B87" s="7" t="s">
        <v>1547</v>
      </c>
      <c r="C87" s="2" t="str">
        <f t="shared" ref="C87:D87" si="85">IF(A87=A86,"",A87)</f>
        <v/>
      </c>
      <c r="D87" s="2" t="str">
        <f t="shared" si="85"/>
        <v/>
      </c>
    </row>
    <row r="88" spans="1:5" ht="15.75" customHeight="1">
      <c r="A88" s="1" t="s">
        <v>562</v>
      </c>
      <c r="B88" s="7" t="s">
        <v>562</v>
      </c>
      <c r="C88" s="2" t="str">
        <f t="shared" ref="C88:D88" si="86">IF(A88=A87,"",A88)</f>
        <v>Buenos Aires</v>
      </c>
      <c r="D88" s="2" t="str">
        <f t="shared" si="86"/>
        <v>Buenos Aires</v>
      </c>
      <c r="E88" s="2" t="s">
        <v>36233</v>
      </c>
    </row>
    <row r="89" spans="1:5" ht="15.75" hidden="1" customHeight="1">
      <c r="A89" s="1" t="s">
        <v>562</v>
      </c>
      <c r="B89" s="7" t="s">
        <v>562</v>
      </c>
      <c r="C89" s="2" t="str">
        <f t="shared" ref="C89:D89" si="87">IF(A89=A88,"",A89)</f>
        <v/>
      </c>
      <c r="D89" s="2" t="str">
        <f t="shared" si="87"/>
        <v/>
      </c>
    </row>
    <row r="90" spans="1:5" ht="15.75" hidden="1" customHeight="1">
      <c r="A90" s="1" t="s">
        <v>562</v>
      </c>
      <c r="B90" s="7" t="s">
        <v>562</v>
      </c>
      <c r="C90" s="2" t="str">
        <f t="shared" ref="C90:D90" si="88">IF(A90=A89,"",A90)</f>
        <v/>
      </c>
      <c r="D90" s="2" t="str">
        <f t="shared" si="88"/>
        <v/>
      </c>
    </row>
    <row r="91" spans="1:5" ht="15.75" hidden="1" customHeight="1">
      <c r="A91" s="1" t="s">
        <v>562</v>
      </c>
      <c r="B91" s="7" t="s">
        <v>562</v>
      </c>
      <c r="C91" s="2" t="str">
        <f t="shared" ref="C91:D91" si="89">IF(A91=A90,"",A91)</f>
        <v/>
      </c>
      <c r="D91" s="2" t="str">
        <f t="shared" si="89"/>
        <v/>
      </c>
    </row>
    <row r="92" spans="1:5" ht="15.75" hidden="1" customHeight="1">
      <c r="A92" s="1" t="s">
        <v>562</v>
      </c>
      <c r="B92" s="7" t="s">
        <v>562</v>
      </c>
      <c r="C92" s="2" t="str">
        <f t="shared" ref="C92:D92" si="90">IF(A92=A91,"",A92)</f>
        <v/>
      </c>
      <c r="D92" s="2" t="str">
        <f t="shared" si="90"/>
        <v/>
      </c>
    </row>
    <row r="93" spans="1:5" ht="15.75" hidden="1" customHeight="1">
      <c r="A93" s="1" t="s">
        <v>562</v>
      </c>
      <c r="B93" s="7" t="s">
        <v>562</v>
      </c>
      <c r="C93" s="2" t="str">
        <f t="shared" ref="C93:D93" si="91">IF(A93=A92,"",A93)</f>
        <v/>
      </c>
      <c r="D93" s="2" t="str">
        <f t="shared" si="91"/>
        <v/>
      </c>
    </row>
    <row r="94" spans="1:5" ht="15.75" hidden="1" customHeight="1">
      <c r="A94" s="1" t="s">
        <v>562</v>
      </c>
      <c r="B94" s="7" t="s">
        <v>562</v>
      </c>
      <c r="C94" s="2" t="str">
        <f t="shared" ref="C94:D94" si="92">IF(A94=A93,"",A94)</f>
        <v/>
      </c>
      <c r="D94" s="2" t="str">
        <f t="shared" si="92"/>
        <v/>
      </c>
    </row>
    <row r="95" spans="1:5" ht="15.75" hidden="1" customHeight="1">
      <c r="A95" s="1" t="s">
        <v>562</v>
      </c>
      <c r="B95" s="7" t="s">
        <v>562</v>
      </c>
      <c r="C95" s="2" t="str">
        <f t="shared" ref="C95:D95" si="93">IF(A95=A94,"",A95)</f>
        <v/>
      </c>
      <c r="D95" s="2" t="str">
        <f t="shared" si="93"/>
        <v/>
      </c>
    </row>
    <row r="96" spans="1:5" ht="15.75" hidden="1" customHeight="1">
      <c r="A96" s="1" t="s">
        <v>562</v>
      </c>
      <c r="B96" s="7" t="s">
        <v>562</v>
      </c>
      <c r="C96" s="2" t="str">
        <f t="shared" ref="C96:D96" si="94">IF(A96=A95,"",A96)</f>
        <v/>
      </c>
      <c r="D96" s="2" t="str">
        <f t="shared" si="94"/>
        <v/>
      </c>
    </row>
    <row r="97" spans="1:5" ht="15.75" hidden="1" customHeight="1">
      <c r="A97" s="1" t="s">
        <v>562</v>
      </c>
      <c r="B97" s="7" t="s">
        <v>562</v>
      </c>
      <c r="C97" s="2" t="str">
        <f t="shared" ref="C97:D97" si="95">IF(A97=A96,"",A97)</f>
        <v/>
      </c>
      <c r="D97" s="2" t="str">
        <f t="shared" si="95"/>
        <v/>
      </c>
    </row>
    <row r="98" spans="1:5" ht="15.75" hidden="1" customHeight="1">
      <c r="A98" s="1" t="s">
        <v>562</v>
      </c>
      <c r="B98" s="7" t="s">
        <v>562</v>
      </c>
      <c r="C98" s="2" t="str">
        <f t="shared" ref="C98:D98" si="96">IF(A98=A97,"",A98)</f>
        <v/>
      </c>
      <c r="D98" s="2" t="str">
        <f t="shared" si="96"/>
        <v/>
      </c>
    </row>
    <row r="99" spans="1:5" ht="15.75" hidden="1" customHeight="1">
      <c r="A99" s="1" t="s">
        <v>562</v>
      </c>
      <c r="B99" s="7" t="s">
        <v>562</v>
      </c>
      <c r="C99" s="2" t="str">
        <f t="shared" ref="C99:D99" si="97">IF(A99=A98,"",A99)</f>
        <v/>
      </c>
      <c r="D99" s="2" t="str">
        <f t="shared" si="97"/>
        <v/>
      </c>
    </row>
    <row r="100" spans="1:5" ht="15.75" hidden="1" customHeight="1">
      <c r="A100" s="1" t="s">
        <v>562</v>
      </c>
      <c r="B100" s="7" t="s">
        <v>562</v>
      </c>
      <c r="C100" s="2" t="str">
        <f t="shared" ref="C100:D100" si="98">IF(A100=A99,"",A100)</f>
        <v/>
      </c>
      <c r="D100" s="2" t="str">
        <f t="shared" si="98"/>
        <v/>
      </c>
    </row>
    <row r="101" spans="1:5" ht="15.75" hidden="1" customHeight="1">
      <c r="A101" s="1" t="s">
        <v>562</v>
      </c>
      <c r="B101" s="7" t="s">
        <v>562</v>
      </c>
      <c r="C101" s="2" t="str">
        <f t="shared" ref="C101:D101" si="99">IF(A101=A100,"",A101)</f>
        <v/>
      </c>
      <c r="D101" s="2" t="str">
        <f t="shared" si="99"/>
        <v/>
      </c>
    </row>
    <row r="102" spans="1:5" ht="15.75" hidden="1" customHeight="1">
      <c r="A102" s="1" t="s">
        <v>562</v>
      </c>
      <c r="B102" s="7" t="s">
        <v>562</v>
      </c>
      <c r="C102" s="2" t="str">
        <f t="shared" ref="C102:D102" si="100">IF(A102=A101,"",A102)</f>
        <v/>
      </c>
      <c r="D102" s="2" t="str">
        <f t="shared" si="100"/>
        <v/>
      </c>
    </row>
    <row r="103" spans="1:5" ht="15.75" hidden="1" customHeight="1">
      <c r="A103" s="1" t="s">
        <v>562</v>
      </c>
      <c r="B103" s="7" t="s">
        <v>562</v>
      </c>
      <c r="C103" s="2" t="str">
        <f t="shared" ref="C103:D103" si="101">IF(A103=A102,"",A103)</f>
        <v/>
      </c>
      <c r="D103" s="2" t="str">
        <f t="shared" si="101"/>
        <v/>
      </c>
    </row>
    <row r="104" spans="1:5" ht="15.75" customHeight="1">
      <c r="A104" s="1" t="s">
        <v>1550</v>
      </c>
      <c r="B104" s="7" t="s">
        <v>1550</v>
      </c>
      <c r="C104" s="2" t="str">
        <f t="shared" ref="C104:D104" si="102">IF(A104=A103,"",A104)</f>
        <v>Charleroi</v>
      </c>
      <c r="D104" s="2" t="str">
        <f t="shared" si="102"/>
        <v>Charleroi</v>
      </c>
      <c r="E104" s="2" t="s">
        <v>36233</v>
      </c>
    </row>
    <row r="105" spans="1:5" ht="15.75" hidden="1" customHeight="1">
      <c r="A105" s="1" t="s">
        <v>1550</v>
      </c>
      <c r="B105" s="7" t="s">
        <v>1550</v>
      </c>
      <c r="C105" s="2" t="str">
        <f t="shared" ref="C105:D105" si="103">IF(A105=A104,"",A105)</f>
        <v/>
      </c>
      <c r="D105" s="2" t="str">
        <f t="shared" si="103"/>
        <v/>
      </c>
    </row>
    <row r="106" spans="1:5" ht="15.75" hidden="1" customHeight="1">
      <c r="A106" s="1" t="s">
        <v>1550</v>
      </c>
      <c r="B106" s="7" t="s">
        <v>1550</v>
      </c>
      <c r="C106" s="2" t="str">
        <f t="shared" ref="C106:D106" si="104">IF(A106=A105,"",A106)</f>
        <v/>
      </c>
      <c r="D106" s="2" t="str">
        <f t="shared" si="104"/>
        <v/>
      </c>
    </row>
    <row r="107" spans="1:5" ht="15.75" hidden="1" customHeight="1">
      <c r="A107" s="1" t="s">
        <v>1550</v>
      </c>
      <c r="B107" s="7" t="s">
        <v>1550</v>
      </c>
      <c r="C107" s="2" t="str">
        <f t="shared" ref="C107:D107" si="105">IF(A107=A106,"",A107)</f>
        <v/>
      </c>
      <c r="D107" s="2" t="str">
        <f t="shared" si="105"/>
        <v/>
      </c>
    </row>
    <row r="108" spans="1:5" ht="15.75" hidden="1" customHeight="1">
      <c r="A108" s="1" t="s">
        <v>1550</v>
      </c>
      <c r="B108" s="7" t="s">
        <v>1550</v>
      </c>
      <c r="C108" s="2" t="str">
        <f t="shared" ref="C108:D108" si="106">IF(A108=A107,"",A108)</f>
        <v/>
      </c>
      <c r="D108" s="2" t="str">
        <f t="shared" si="106"/>
        <v/>
      </c>
    </row>
    <row r="109" spans="1:5" ht="15.75" hidden="1" customHeight="1">
      <c r="A109" s="1" t="s">
        <v>1550</v>
      </c>
      <c r="B109" s="7" t="s">
        <v>1550</v>
      </c>
      <c r="C109" s="2" t="str">
        <f t="shared" ref="C109:D109" si="107">IF(A109=A108,"",A109)</f>
        <v/>
      </c>
      <c r="D109" s="2" t="str">
        <f t="shared" si="107"/>
        <v/>
      </c>
    </row>
    <row r="110" spans="1:5" ht="15.75" hidden="1" customHeight="1">
      <c r="A110" s="1" t="s">
        <v>1550</v>
      </c>
      <c r="B110" s="7" t="s">
        <v>1550</v>
      </c>
      <c r="C110" s="2" t="str">
        <f t="shared" ref="C110:D110" si="108">IF(A110=A109,"",A110)</f>
        <v/>
      </c>
      <c r="D110" s="2" t="str">
        <f t="shared" si="108"/>
        <v/>
      </c>
    </row>
    <row r="111" spans="1:5" ht="15.75" hidden="1" customHeight="1">
      <c r="A111" s="1" t="s">
        <v>1550</v>
      </c>
      <c r="B111" s="7" t="s">
        <v>1550</v>
      </c>
      <c r="C111" s="2" t="str">
        <f t="shared" ref="C111:D111" si="109">IF(A111=A110,"",A111)</f>
        <v/>
      </c>
      <c r="D111" s="2" t="str">
        <f t="shared" si="109"/>
        <v/>
      </c>
    </row>
    <row r="112" spans="1:5" ht="15.75" hidden="1" customHeight="1">
      <c r="A112" s="1" t="s">
        <v>1550</v>
      </c>
      <c r="B112" s="7" t="s">
        <v>1550</v>
      </c>
      <c r="C112" s="2" t="str">
        <f t="shared" ref="C112:D112" si="110">IF(A112=A111,"",A112)</f>
        <v/>
      </c>
      <c r="D112" s="2" t="str">
        <f t="shared" si="110"/>
        <v/>
      </c>
    </row>
    <row r="113" spans="1:5" ht="15.75" hidden="1" customHeight="1">
      <c r="A113" s="1" t="s">
        <v>1550</v>
      </c>
      <c r="B113" s="7" t="s">
        <v>1550</v>
      </c>
      <c r="C113" s="2" t="str">
        <f t="shared" ref="C113:D113" si="111">IF(A113=A112,"",A113)</f>
        <v/>
      </c>
      <c r="D113" s="2" t="str">
        <f t="shared" si="111"/>
        <v/>
      </c>
    </row>
    <row r="114" spans="1:5" ht="15.75" hidden="1" customHeight="1">
      <c r="A114" s="1" t="s">
        <v>1550</v>
      </c>
      <c r="B114" s="7" t="s">
        <v>1550</v>
      </c>
      <c r="C114" s="2" t="str">
        <f t="shared" ref="C114:D114" si="112">IF(A114=A113,"",A114)</f>
        <v/>
      </c>
      <c r="D114" s="2" t="str">
        <f t="shared" si="112"/>
        <v/>
      </c>
    </row>
    <row r="115" spans="1:5" ht="15.75" hidden="1" customHeight="1">
      <c r="A115" s="1" t="s">
        <v>1550</v>
      </c>
      <c r="B115" s="7" t="s">
        <v>1550</v>
      </c>
      <c r="C115" s="2" t="str">
        <f t="shared" ref="C115:D115" si="113">IF(A115=A114,"",A115)</f>
        <v/>
      </c>
      <c r="D115" s="2" t="str">
        <f t="shared" si="113"/>
        <v/>
      </c>
    </row>
    <row r="116" spans="1:5" ht="15.75" customHeight="1">
      <c r="A116" s="1" t="s">
        <v>8275</v>
      </c>
      <c r="B116" s="7" t="s">
        <v>8275</v>
      </c>
      <c r="C116" s="2" t="str">
        <f t="shared" ref="C116:D116" si="114">IF(A116=A115,"",A116)</f>
        <v>Cunewalde</v>
      </c>
      <c r="D116" s="2" t="str">
        <f t="shared" si="114"/>
        <v>Cunewalde</v>
      </c>
      <c r="E116" s="2" t="s">
        <v>36233</v>
      </c>
    </row>
    <row r="117" spans="1:5" ht="15.75" hidden="1" customHeight="1">
      <c r="A117" s="1" t="s">
        <v>8275</v>
      </c>
      <c r="B117" s="7" t="s">
        <v>8275</v>
      </c>
      <c r="C117" s="2" t="str">
        <f t="shared" ref="C117:D117" si="115">IF(A117=A116,"",A117)</f>
        <v/>
      </c>
      <c r="D117" s="2" t="str">
        <f t="shared" si="115"/>
        <v/>
      </c>
    </row>
    <row r="118" spans="1:5" ht="15.75" hidden="1" customHeight="1">
      <c r="A118" s="1" t="s">
        <v>8275</v>
      </c>
      <c r="B118" s="7" t="s">
        <v>8275</v>
      </c>
      <c r="C118" s="2" t="str">
        <f t="shared" ref="C118:D118" si="116">IF(A118=A117,"",A118)</f>
        <v/>
      </c>
      <c r="D118" s="2" t="str">
        <f t="shared" si="116"/>
        <v/>
      </c>
    </row>
    <row r="119" spans="1:5" ht="15.75" hidden="1" customHeight="1">
      <c r="A119" s="1" t="s">
        <v>8275</v>
      </c>
      <c r="B119" s="7" t="s">
        <v>8275</v>
      </c>
      <c r="C119" s="2" t="str">
        <f t="shared" ref="C119:D119" si="117">IF(A119=A118,"",A119)</f>
        <v/>
      </c>
      <c r="D119" s="2" t="str">
        <f t="shared" si="117"/>
        <v/>
      </c>
    </row>
    <row r="120" spans="1:5" ht="15.75" hidden="1" customHeight="1">
      <c r="A120" s="1" t="s">
        <v>8275</v>
      </c>
      <c r="B120" s="7" t="s">
        <v>8275</v>
      </c>
      <c r="C120" s="2" t="str">
        <f t="shared" ref="C120:D120" si="118">IF(A120=A119,"",A120)</f>
        <v/>
      </c>
      <c r="D120" s="2" t="str">
        <f t="shared" si="118"/>
        <v/>
      </c>
    </row>
    <row r="121" spans="1:5" ht="15.75" hidden="1" customHeight="1">
      <c r="A121" s="1" t="s">
        <v>8275</v>
      </c>
      <c r="B121" s="7" t="s">
        <v>8275</v>
      </c>
      <c r="C121" s="2" t="str">
        <f t="shared" ref="C121:D121" si="119">IF(A121=A120,"",A121)</f>
        <v/>
      </c>
      <c r="D121" s="2" t="str">
        <f t="shared" si="119"/>
        <v/>
      </c>
    </row>
    <row r="122" spans="1:5" ht="15.75" hidden="1" customHeight="1">
      <c r="A122" s="1" t="s">
        <v>8275</v>
      </c>
      <c r="B122" s="7" t="s">
        <v>8275</v>
      </c>
      <c r="C122" s="2" t="str">
        <f t="shared" ref="C122:D122" si="120">IF(A122=A121,"",A122)</f>
        <v/>
      </c>
      <c r="D122" s="2" t="str">
        <f t="shared" si="120"/>
        <v/>
      </c>
    </row>
    <row r="123" spans="1:5" ht="15.75" hidden="1" customHeight="1">
      <c r="A123" s="1" t="s">
        <v>8275</v>
      </c>
      <c r="B123" s="7" t="s">
        <v>8275</v>
      </c>
      <c r="C123" s="2" t="str">
        <f t="shared" ref="C123:D123" si="121">IF(A123=A122,"",A123)</f>
        <v/>
      </c>
      <c r="D123" s="2" t="str">
        <f t="shared" si="121"/>
        <v/>
      </c>
    </row>
    <row r="124" spans="1:5" ht="15.75" hidden="1" customHeight="1">
      <c r="A124" s="1" t="s">
        <v>8275</v>
      </c>
      <c r="B124" s="7" t="s">
        <v>8275</v>
      </c>
      <c r="C124" s="2" t="str">
        <f t="shared" ref="C124:D124" si="122">IF(A124=A123,"",A124)</f>
        <v/>
      </c>
      <c r="D124" s="2" t="str">
        <f t="shared" si="122"/>
        <v/>
      </c>
    </row>
    <row r="125" spans="1:5" ht="15.75" hidden="1" customHeight="1">
      <c r="A125" s="1" t="s">
        <v>8275</v>
      </c>
      <c r="B125" s="7" t="s">
        <v>8275</v>
      </c>
      <c r="C125" s="2" t="str">
        <f t="shared" ref="C125:D125" si="123">IF(A125=A124,"",A125)</f>
        <v/>
      </c>
      <c r="D125" s="2" t="str">
        <f t="shared" si="123"/>
        <v/>
      </c>
    </row>
    <row r="126" spans="1:5" ht="15.75" hidden="1" customHeight="1">
      <c r="A126" s="1" t="s">
        <v>8275</v>
      </c>
      <c r="B126" s="7" t="s">
        <v>8275</v>
      </c>
      <c r="C126" s="2" t="str">
        <f t="shared" ref="C126:D126" si="124">IF(A126=A125,"",A126)</f>
        <v/>
      </c>
      <c r="D126" s="2" t="str">
        <f t="shared" si="124"/>
        <v/>
      </c>
    </row>
    <row r="127" spans="1:5" ht="15.75" hidden="1" customHeight="1">
      <c r="A127" s="1" t="s">
        <v>8275</v>
      </c>
      <c r="B127" s="7" t="s">
        <v>8275</v>
      </c>
      <c r="C127" s="2" t="str">
        <f t="shared" ref="C127:D127" si="125">IF(A127=A126,"",A127)</f>
        <v/>
      </c>
      <c r="D127" s="2" t="str">
        <f t="shared" si="125"/>
        <v/>
      </c>
    </row>
    <row r="128" spans="1:5" ht="15.75" hidden="1" customHeight="1">
      <c r="A128" s="1" t="s">
        <v>8275</v>
      </c>
      <c r="B128" s="7" t="s">
        <v>8275</v>
      </c>
      <c r="C128" s="2" t="str">
        <f t="shared" ref="C128:D128" si="126">IF(A128=A127,"",A128)</f>
        <v/>
      </c>
      <c r="D128" s="2" t="str">
        <f t="shared" si="126"/>
        <v/>
      </c>
    </row>
    <row r="129" spans="1:5" ht="15.75" hidden="1" customHeight="1">
      <c r="A129" s="1" t="s">
        <v>8275</v>
      </c>
      <c r="B129" s="7" t="s">
        <v>8275</v>
      </c>
      <c r="C129" s="2" t="str">
        <f t="shared" ref="C129:D129" si="127">IF(A129=A128,"",A129)</f>
        <v/>
      </c>
      <c r="D129" s="2" t="str">
        <f t="shared" si="127"/>
        <v/>
      </c>
    </row>
    <row r="130" spans="1:5" ht="15.75" hidden="1" customHeight="1">
      <c r="A130" s="1" t="s">
        <v>8275</v>
      </c>
      <c r="B130" s="7" t="s">
        <v>8275</v>
      </c>
      <c r="C130" s="2" t="str">
        <f t="shared" ref="C130:D130" si="128">IF(A130=A129,"",A130)</f>
        <v/>
      </c>
      <c r="D130" s="2" t="str">
        <f t="shared" si="128"/>
        <v/>
      </c>
    </row>
    <row r="131" spans="1:5" ht="15.75" hidden="1" customHeight="1">
      <c r="A131" s="1" t="s">
        <v>8275</v>
      </c>
      <c r="B131" s="7" t="s">
        <v>8275</v>
      </c>
      <c r="C131" s="2" t="str">
        <f t="shared" ref="C131:D131" si="129">IF(A131=A130,"",A131)</f>
        <v/>
      </c>
      <c r="D131" s="2" t="str">
        <f t="shared" si="129"/>
        <v/>
      </c>
    </row>
    <row r="132" spans="1:5" ht="15.75" hidden="1" customHeight="1">
      <c r="A132" s="1" t="s">
        <v>8275</v>
      </c>
      <c r="B132" s="7" t="s">
        <v>8275</v>
      </c>
      <c r="C132" s="2" t="str">
        <f t="shared" ref="C132:D132" si="130">IF(A132=A131,"",A132)</f>
        <v/>
      </c>
      <c r="D132" s="2" t="str">
        <f t="shared" si="130"/>
        <v/>
      </c>
    </row>
    <row r="133" spans="1:5" ht="15.75" hidden="1" customHeight="1">
      <c r="A133" s="1" t="s">
        <v>8275</v>
      </c>
      <c r="B133" s="7" t="s">
        <v>8275</v>
      </c>
      <c r="C133" s="2" t="str">
        <f t="shared" ref="C133:D133" si="131">IF(A133=A132,"",A133)</f>
        <v/>
      </c>
      <c r="D133" s="2" t="str">
        <f t="shared" si="131"/>
        <v/>
      </c>
    </row>
    <row r="134" spans="1:5" ht="15.75" hidden="1" customHeight="1">
      <c r="A134" s="1" t="s">
        <v>8275</v>
      </c>
      <c r="B134" s="7" t="s">
        <v>8275</v>
      </c>
      <c r="C134" s="2" t="str">
        <f t="shared" ref="C134:D134" si="132">IF(A134=A133,"",A134)</f>
        <v/>
      </c>
      <c r="D134" s="2" t="str">
        <f t="shared" si="132"/>
        <v/>
      </c>
    </row>
    <row r="135" spans="1:5" ht="15.75" hidden="1" customHeight="1">
      <c r="A135" s="1" t="s">
        <v>8275</v>
      </c>
      <c r="B135" s="7" t="s">
        <v>8275</v>
      </c>
      <c r="C135" s="2" t="str">
        <f t="shared" ref="C135:D135" si="133">IF(A135=A134,"",A135)</f>
        <v/>
      </c>
      <c r="D135" s="2" t="str">
        <f t="shared" si="133"/>
        <v/>
      </c>
    </row>
    <row r="136" spans="1:5" ht="15.75" hidden="1" customHeight="1">
      <c r="A136" s="1" t="s">
        <v>8275</v>
      </c>
      <c r="B136" s="7" t="s">
        <v>8275</v>
      </c>
      <c r="C136" s="2" t="str">
        <f t="shared" ref="C136:D136" si="134">IF(A136=A135,"",A136)</f>
        <v/>
      </c>
      <c r="D136" s="2" t="str">
        <f t="shared" si="134"/>
        <v/>
      </c>
    </row>
    <row r="137" spans="1:5" ht="15.75" hidden="1" customHeight="1">
      <c r="A137" s="1" t="s">
        <v>8275</v>
      </c>
      <c r="B137" s="7" t="s">
        <v>8275</v>
      </c>
      <c r="C137" s="2" t="str">
        <f t="shared" ref="C137:D137" si="135">IF(A137=A136,"",A137)</f>
        <v/>
      </c>
      <c r="D137" s="2" t="str">
        <f t="shared" si="135"/>
        <v/>
      </c>
    </row>
    <row r="138" spans="1:5" ht="15.75" hidden="1" customHeight="1">
      <c r="A138" s="1" t="s">
        <v>8275</v>
      </c>
      <c r="B138" s="7" t="s">
        <v>8275</v>
      </c>
      <c r="C138" s="2" t="str">
        <f t="shared" ref="C138:D138" si="136">IF(A138=A137,"",A138)</f>
        <v/>
      </c>
      <c r="D138" s="2" t="str">
        <f t="shared" si="136"/>
        <v/>
      </c>
    </row>
    <row r="139" spans="1:5" ht="15.75" hidden="1" customHeight="1">
      <c r="A139" s="1" t="s">
        <v>8275</v>
      </c>
      <c r="B139" s="7" t="s">
        <v>8275</v>
      </c>
      <c r="C139" s="2" t="str">
        <f t="shared" ref="C139:D139" si="137">IF(A139=A138,"",A139)</f>
        <v/>
      </c>
      <c r="D139" s="2" t="str">
        <f t="shared" si="137"/>
        <v/>
      </c>
    </row>
    <row r="140" spans="1:5" ht="15.75" hidden="1" customHeight="1">
      <c r="A140" s="1" t="s">
        <v>8275</v>
      </c>
      <c r="B140" s="7" t="s">
        <v>8275</v>
      </c>
      <c r="C140" s="2" t="str">
        <f t="shared" ref="C140:D140" si="138">IF(A140=A139,"",A140)</f>
        <v/>
      </c>
      <c r="D140" s="2" t="str">
        <f t="shared" si="138"/>
        <v/>
      </c>
    </row>
    <row r="141" spans="1:5" ht="15.75" hidden="1" customHeight="1">
      <c r="A141" s="1" t="s">
        <v>8275</v>
      </c>
      <c r="B141" s="7" t="s">
        <v>8275</v>
      </c>
      <c r="C141" s="2" t="str">
        <f t="shared" ref="C141:D141" si="139">IF(A141=A140,"",A141)</f>
        <v/>
      </c>
      <c r="D141" s="2" t="str">
        <f t="shared" si="139"/>
        <v/>
      </c>
    </row>
    <row r="142" spans="1:5" ht="15.75" hidden="1" customHeight="1">
      <c r="A142" s="1" t="s">
        <v>8275</v>
      </c>
      <c r="B142" s="7" t="s">
        <v>8275</v>
      </c>
      <c r="C142" s="2" t="str">
        <f t="shared" ref="C142:D142" si="140">IF(A142=A141,"",A142)</f>
        <v/>
      </c>
      <c r="D142" s="2" t="str">
        <f t="shared" si="140"/>
        <v/>
      </c>
    </row>
    <row r="143" spans="1:5" ht="15.75" hidden="1" customHeight="1">
      <c r="A143" s="1" t="s">
        <v>8275</v>
      </c>
      <c r="B143" s="7" t="s">
        <v>8275</v>
      </c>
      <c r="C143" s="2" t="str">
        <f t="shared" ref="C143:D143" si="141">IF(A143=A142,"",A143)</f>
        <v/>
      </c>
      <c r="D143" s="2" t="str">
        <f t="shared" si="141"/>
        <v/>
      </c>
    </row>
    <row r="144" spans="1:5" ht="15.75" customHeight="1">
      <c r="A144" s="1" t="s">
        <v>8399</v>
      </c>
      <c r="B144" s="7" t="s">
        <v>8400</v>
      </c>
      <c r="C144" s="2" t="str">
        <f t="shared" ref="C144:D144" si="142">IF(A144=A143,"",A144)</f>
        <v>Frankfurt A.M.</v>
      </c>
      <c r="D144" s="2" t="str">
        <f t="shared" si="142"/>
        <v>Frankfurt a.M.</v>
      </c>
      <c r="E144" s="2" t="s">
        <v>36233</v>
      </c>
    </row>
    <row r="145" spans="1:5" ht="15.75" hidden="1" customHeight="1">
      <c r="A145" s="1" t="s">
        <v>8399</v>
      </c>
      <c r="B145" s="7" t="s">
        <v>8400</v>
      </c>
      <c r="C145" s="2" t="str">
        <f t="shared" ref="C145:D145" si="143">IF(A145=A144,"",A145)</f>
        <v/>
      </c>
      <c r="D145" s="2" t="str">
        <f t="shared" si="143"/>
        <v/>
      </c>
    </row>
    <row r="146" spans="1:5" ht="15.75" hidden="1" customHeight="1">
      <c r="A146" s="1" t="s">
        <v>8399</v>
      </c>
      <c r="B146" s="7" t="s">
        <v>8400</v>
      </c>
      <c r="C146" s="2" t="str">
        <f t="shared" ref="C146:D146" si="144">IF(A146=A145,"",A146)</f>
        <v/>
      </c>
      <c r="D146" s="2" t="str">
        <f t="shared" si="144"/>
        <v/>
      </c>
    </row>
    <row r="147" spans="1:5" ht="15.75" hidden="1" customHeight="1">
      <c r="A147" s="1" t="s">
        <v>8399</v>
      </c>
      <c r="B147" s="7" t="s">
        <v>8400</v>
      </c>
      <c r="C147" s="2" t="str">
        <f t="shared" ref="C147:D147" si="145">IF(A147=A146,"",A147)</f>
        <v/>
      </c>
      <c r="D147" s="2" t="str">
        <f t="shared" si="145"/>
        <v/>
      </c>
    </row>
    <row r="148" spans="1:5" ht="15.75" hidden="1" customHeight="1">
      <c r="A148" s="1" t="s">
        <v>8399</v>
      </c>
      <c r="B148" s="7" t="s">
        <v>8400</v>
      </c>
      <c r="C148" s="2" t="str">
        <f t="shared" ref="C148:D148" si="146">IF(A148=A147,"",A148)</f>
        <v/>
      </c>
      <c r="D148" s="2" t="str">
        <f t="shared" si="146"/>
        <v/>
      </c>
    </row>
    <row r="149" spans="1:5" ht="15.75" hidden="1" customHeight="1">
      <c r="A149" s="1" t="s">
        <v>8399</v>
      </c>
      <c r="B149" s="7" t="s">
        <v>8400</v>
      </c>
      <c r="C149" s="2" t="str">
        <f t="shared" ref="C149:D149" si="147">IF(A149=A148,"",A149)</f>
        <v/>
      </c>
      <c r="D149" s="2" t="str">
        <f t="shared" si="147"/>
        <v/>
      </c>
    </row>
    <row r="150" spans="1:5" ht="15.75" hidden="1" customHeight="1">
      <c r="A150" s="1" t="s">
        <v>8399</v>
      </c>
      <c r="B150" s="7" t="s">
        <v>8400</v>
      </c>
      <c r="C150" s="2" t="str">
        <f t="shared" ref="C150:D150" si="148">IF(A150=A149,"",A150)</f>
        <v/>
      </c>
      <c r="D150" s="2" t="str">
        <f t="shared" si="148"/>
        <v/>
      </c>
    </row>
    <row r="151" spans="1:5" ht="15.75" hidden="1" customHeight="1">
      <c r="A151" s="1" t="s">
        <v>8399</v>
      </c>
      <c r="B151" s="7" t="s">
        <v>8400</v>
      </c>
      <c r="C151" s="2" t="str">
        <f t="shared" ref="C151:D151" si="149">IF(A151=A150,"",A151)</f>
        <v/>
      </c>
      <c r="D151" s="2" t="str">
        <f t="shared" si="149"/>
        <v/>
      </c>
    </row>
    <row r="152" spans="1:5" ht="15.75" hidden="1" customHeight="1">
      <c r="A152" s="1" t="s">
        <v>8399</v>
      </c>
      <c r="B152" s="7" t="s">
        <v>8400</v>
      </c>
      <c r="C152" s="2" t="str">
        <f t="shared" ref="C152:D152" si="150">IF(A152=A151,"",A152)</f>
        <v/>
      </c>
      <c r="D152" s="2" t="str">
        <f t="shared" si="150"/>
        <v/>
      </c>
    </row>
    <row r="153" spans="1:5" ht="15.75" hidden="1" customHeight="1">
      <c r="A153" s="1" t="s">
        <v>8399</v>
      </c>
      <c r="B153" s="7" t="s">
        <v>8400</v>
      </c>
      <c r="C153" s="2" t="str">
        <f t="shared" ref="C153:D153" si="151">IF(A153=A152,"",A153)</f>
        <v/>
      </c>
      <c r="D153" s="2" t="str">
        <f t="shared" si="151"/>
        <v/>
      </c>
    </row>
    <row r="154" spans="1:5" ht="15.75" hidden="1" customHeight="1">
      <c r="A154" s="1" t="s">
        <v>8399</v>
      </c>
      <c r="B154" s="7" t="s">
        <v>8400</v>
      </c>
      <c r="C154" s="2" t="str">
        <f t="shared" ref="C154:D154" si="152">IF(A154=A153,"",A154)</f>
        <v/>
      </c>
      <c r="D154" s="2" t="str">
        <f t="shared" si="152"/>
        <v/>
      </c>
    </row>
    <row r="155" spans="1:5" ht="15.75" hidden="1" customHeight="1">
      <c r="A155" s="1" t="s">
        <v>8399</v>
      </c>
      <c r="B155" s="7" t="s">
        <v>8400</v>
      </c>
      <c r="C155" s="2" t="str">
        <f t="shared" ref="C155:D155" si="153">IF(A155=A154,"",A155)</f>
        <v/>
      </c>
      <c r="D155" s="2" t="str">
        <f t="shared" si="153"/>
        <v/>
      </c>
    </row>
    <row r="156" spans="1:5" ht="15.75" hidden="1" customHeight="1">
      <c r="A156" s="1" t="s">
        <v>8399</v>
      </c>
      <c r="B156" s="7" t="s">
        <v>8400</v>
      </c>
      <c r="C156" s="2" t="str">
        <f t="shared" ref="C156:D156" si="154">IF(A156=A155,"",A156)</f>
        <v/>
      </c>
      <c r="D156" s="2" t="str">
        <f t="shared" si="154"/>
        <v/>
      </c>
    </row>
    <row r="157" spans="1:5" ht="15.75" hidden="1" customHeight="1">
      <c r="A157" s="1" t="s">
        <v>8399</v>
      </c>
      <c r="B157" s="7" t="s">
        <v>8400</v>
      </c>
      <c r="C157" s="2" t="str">
        <f t="shared" ref="C157:D157" si="155">IF(A157=A156,"",A157)</f>
        <v/>
      </c>
      <c r="D157" s="2" t="str">
        <f t="shared" si="155"/>
        <v/>
      </c>
    </row>
    <row r="158" spans="1:5" ht="15.75" hidden="1" customHeight="1">
      <c r="A158" s="1" t="s">
        <v>8399</v>
      </c>
      <c r="B158" s="7" t="s">
        <v>8400</v>
      </c>
      <c r="C158" s="2" t="str">
        <f t="shared" ref="C158:D158" si="156">IF(A158=A157,"",A158)</f>
        <v/>
      </c>
      <c r="D158" s="2" t="str">
        <f t="shared" si="156"/>
        <v/>
      </c>
    </row>
    <row r="159" spans="1:5" ht="15.75" customHeight="1">
      <c r="A159" s="1" t="s">
        <v>25266</v>
      </c>
      <c r="B159" s="7" t="s">
        <v>25266</v>
      </c>
      <c r="C159" s="2" t="str">
        <f t="shared" ref="C159:D159" si="157">IF(A159=A158,"",A159)</f>
        <v>Genève</v>
      </c>
      <c r="D159" s="2" t="str">
        <f t="shared" si="157"/>
        <v>Genève</v>
      </c>
      <c r="E159" s="2" t="s">
        <v>36233</v>
      </c>
    </row>
    <row r="160" spans="1:5" ht="15.75" hidden="1" customHeight="1">
      <c r="A160" s="1" t="s">
        <v>25266</v>
      </c>
      <c r="B160" s="7" t="s">
        <v>25266</v>
      </c>
      <c r="C160" s="2" t="str">
        <f t="shared" ref="C160:D160" si="158">IF(A160=A159,"",A160)</f>
        <v/>
      </c>
      <c r="D160" s="2" t="str">
        <f t="shared" si="158"/>
        <v/>
      </c>
    </row>
    <row r="161" spans="1:5" ht="15.75" hidden="1" customHeight="1">
      <c r="A161" s="1" t="s">
        <v>25266</v>
      </c>
      <c r="B161" s="7" t="s">
        <v>25266</v>
      </c>
      <c r="C161" s="2" t="str">
        <f t="shared" ref="C161:D161" si="159">IF(A161=A160,"",A161)</f>
        <v/>
      </c>
      <c r="D161" s="2" t="str">
        <f t="shared" si="159"/>
        <v/>
      </c>
    </row>
    <row r="162" spans="1:5" ht="15.75" hidden="1" customHeight="1">
      <c r="A162" s="1" t="s">
        <v>25266</v>
      </c>
      <c r="B162" s="7" t="s">
        <v>25266</v>
      </c>
      <c r="C162" s="2" t="str">
        <f t="shared" ref="C162:D162" si="160">IF(A162=A161,"",A162)</f>
        <v/>
      </c>
      <c r="D162" s="2" t="str">
        <f t="shared" si="160"/>
        <v/>
      </c>
    </row>
    <row r="163" spans="1:5" ht="15.75" hidden="1" customHeight="1">
      <c r="A163" s="1" t="s">
        <v>25266</v>
      </c>
      <c r="B163" s="7" t="s">
        <v>25266</v>
      </c>
      <c r="C163" s="2" t="str">
        <f t="shared" ref="C163:D163" si="161">IF(A163=A162,"",A163)</f>
        <v/>
      </c>
      <c r="D163" s="2" t="str">
        <f t="shared" si="161"/>
        <v/>
      </c>
    </row>
    <row r="164" spans="1:5" ht="15.75" hidden="1" customHeight="1">
      <c r="A164" s="1" t="s">
        <v>25266</v>
      </c>
      <c r="B164" s="7" t="s">
        <v>25266</v>
      </c>
      <c r="C164" s="2" t="str">
        <f t="shared" ref="C164:D164" si="162">IF(A164=A163,"",A164)</f>
        <v/>
      </c>
      <c r="D164" s="2" t="str">
        <f t="shared" si="162"/>
        <v/>
      </c>
    </row>
    <row r="165" spans="1:5" ht="15.75" hidden="1" customHeight="1">
      <c r="A165" s="1" t="s">
        <v>25266</v>
      </c>
      <c r="B165" s="7" t="s">
        <v>25266</v>
      </c>
      <c r="C165" s="2" t="str">
        <f t="shared" ref="C165:D165" si="163">IF(A165=A164,"",A165)</f>
        <v/>
      </c>
      <c r="D165" s="2" t="str">
        <f t="shared" si="163"/>
        <v/>
      </c>
    </row>
    <row r="166" spans="1:5" ht="15.75" hidden="1" customHeight="1">
      <c r="A166" s="1" t="s">
        <v>25266</v>
      </c>
      <c r="B166" s="7" t="s">
        <v>25266</v>
      </c>
      <c r="C166" s="2" t="str">
        <f t="shared" ref="C166:D166" si="164">IF(A166=A165,"",A166)</f>
        <v/>
      </c>
      <c r="D166" s="2" t="str">
        <f t="shared" si="164"/>
        <v/>
      </c>
    </row>
    <row r="167" spans="1:5" ht="15.75" hidden="1" customHeight="1">
      <c r="A167" s="1" t="s">
        <v>25266</v>
      </c>
      <c r="B167" s="7" t="s">
        <v>25266</v>
      </c>
      <c r="C167" s="2" t="str">
        <f t="shared" ref="C167:D167" si="165">IF(A167=A166,"",A167)</f>
        <v/>
      </c>
      <c r="D167" s="2" t="str">
        <f t="shared" si="165"/>
        <v/>
      </c>
    </row>
    <row r="168" spans="1:5" ht="15.75" hidden="1" customHeight="1">
      <c r="A168" s="1" t="s">
        <v>25266</v>
      </c>
      <c r="B168" s="7" t="s">
        <v>25266</v>
      </c>
      <c r="C168" s="2" t="str">
        <f t="shared" ref="C168:D168" si="166">IF(A168=A167,"",A168)</f>
        <v/>
      </c>
      <c r="D168" s="2" t="str">
        <f t="shared" si="166"/>
        <v/>
      </c>
    </row>
    <row r="169" spans="1:5" ht="15.75" customHeight="1">
      <c r="A169" s="1" t="s">
        <v>1129</v>
      </c>
      <c r="B169" s="7" t="s">
        <v>1129</v>
      </c>
      <c r="C169" s="2" t="str">
        <f t="shared" ref="C169:D169" si="167">IF(A169=A168,"",A169)</f>
        <v>Graz</v>
      </c>
      <c r="D169" s="2" t="str">
        <f t="shared" si="167"/>
        <v>Graz</v>
      </c>
      <c r="E169" s="2" t="s">
        <v>36233</v>
      </c>
    </row>
    <row r="170" spans="1:5" ht="15.75" hidden="1" customHeight="1">
      <c r="A170" s="1" t="s">
        <v>1129</v>
      </c>
      <c r="B170" s="7" t="s">
        <v>1129</v>
      </c>
      <c r="C170" s="2" t="str">
        <f t="shared" ref="C170:D170" si="168">IF(A170=A169,"",A170)</f>
        <v/>
      </c>
      <c r="D170" s="2" t="str">
        <f t="shared" si="168"/>
        <v/>
      </c>
    </row>
    <row r="171" spans="1:5" ht="15.75" hidden="1" customHeight="1">
      <c r="A171" s="1" t="s">
        <v>1129</v>
      </c>
      <c r="B171" s="7" t="s">
        <v>1129</v>
      </c>
      <c r="C171" s="2" t="str">
        <f t="shared" ref="C171:D171" si="169">IF(A171=A170,"",A171)</f>
        <v/>
      </c>
      <c r="D171" s="2" t="str">
        <f t="shared" si="169"/>
        <v/>
      </c>
    </row>
    <row r="172" spans="1:5" ht="15.75" hidden="1" customHeight="1">
      <c r="A172" s="1" t="s">
        <v>1129</v>
      </c>
      <c r="B172" s="7" t="s">
        <v>1129</v>
      </c>
      <c r="C172" s="2" t="str">
        <f t="shared" ref="C172:D172" si="170">IF(A172=A171,"",A172)</f>
        <v/>
      </c>
      <c r="D172" s="2" t="str">
        <f t="shared" si="170"/>
        <v/>
      </c>
    </row>
    <row r="173" spans="1:5" ht="15.75" hidden="1" customHeight="1">
      <c r="A173" s="1" t="s">
        <v>1129</v>
      </c>
      <c r="B173" s="7" t="s">
        <v>1129</v>
      </c>
      <c r="C173" s="2" t="str">
        <f t="shared" ref="C173:D173" si="171">IF(A173=A172,"",A173)</f>
        <v/>
      </c>
      <c r="D173" s="2" t="str">
        <f t="shared" si="171"/>
        <v/>
      </c>
    </row>
    <row r="174" spans="1:5" ht="15.75" hidden="1" customHeight="1">
      <c r="A174" s="1" t="s">
        <v>1129</v>
      </c>
      <c r="B174" s="7" t="s">
        <v>1129</v>
      </c>
      <c r="C174" s="2" t="str">
        <f t="shared" ref="C174:D174" si="172">IF(A174=A173,"",A174)</f>
        <v/>
      </c>
      <c r="D174" s="2" t="str">
        <f t="shared" si="172"/>
        <v/>
      </c>
    </row>
    <row r="175" spans="1:5" ht="15.75" hidden="1" customHeight="1">
      <c r="A175" s="1" t="s">
        <v>1129</v>
      </c>
      <c r="B175" s="7" t="s">
        <v>1129</v>
      </c>
      <c r="C175" s="2" t="str">
        <f t="shared" ref="C175:D175" si="173">IF(A175=A174,"",A175)</f>
        <v/>
      </c>
      <c r="D175" s="2" t="str">
        <f t="shared" si="173"/>
        <v/>
      </c>
    </row>
    <row r="176" spans="1:5" ht="15.75" hidden="1" customHeight="1">
      <c r="A176" s="1" t="s">
        <v>1129</v>
      </c>
      <c r="B176" s="7" t="s">
        <v>1129</v>
      </c>
      <c r="C176" s="2" t="str">
        <f t="shared" ref="C176:D176" si="174">IF(A176=A175,"",A176)</f>
        <v/>
      </c>
      <c r="D176" s="2" t="str">
        <f t="shared" si="174"/>
        <v/>
      </c>
    </row>
    <row r="177" spans="1:4" ht="15.75" hidden="1" customHeight="1">
      <c r="A177" s="1" t="s">
        <v>1129</v>
      </c>
      <c r="B177" s="7" t="s">
        <v>1129</v>
      </c>
      <c r="C177" s="2" t="str">
        <f t="shared" ref="C177:D177" si="175">IF(A177=A176,"",A177)</f>
        <v/>
      </c>
      <c r="D177" s="2" t="str">
        <f t="shared" si="175"/>
        <v/>
      </c>
    </row>
    <row r="178" spans="1:4" ht="15.75" hidden="1" customHeight="1">
      <c r="A178" s="1" t="s">
        <v>1129</v>
      </c>
      <c r="B178" s="7" t="s">
        <v>1129</v>
      </c>
      <c r="C178" s="2" t="str">
        <f t="shared" ref="C178:D178" si="176">IF(A178=A177,"",A178)</f>
        <v/>
      </c>
      <c r="D178" s="2" t="str">
        <f t="shared" si="176"/>
        <v/>
      </c>
    </row>
    <row r="179" spans="1:4" ht="15.75" hidden="1" customHeight="1">
      <c r="A179" s="1" t="s">
        <v>1129</v>
      </c>
      <c r="B179" s="7" t="s">
        <v>1129</v>
      </c>
      <c r="C179" s="2" t="str">
        <f t="shared" ref="C179:D179" si="177">IF(A179=A178,"",A179)</f>
        <v/>
      </c>
      <c r="D179" s="2" t="str">
        <f t="shared" si="177"/>
        <v/>
      </c>
    </row>
    <row r="180" spans="1:4" ht="15.75" hidden="1" customHeight="1">
      <c r="A180" s="1" t="s">
        <v>1129</v>
      </c>
      <c r="B180" s="7" t="s">
        <v>1129</v>
      </c>
      <c r="C180" s="2" t="str">
        <f t="shared" ref="C180:D180" si="178">IF(A180=A179,"",A180)</f>
        <v/>
      </c>
      <c r="D180" s="2" t="str">
        <f t="shared" si="178"/>
        <v/>
      </c>
    </row>
    <row r="181" spans="1:4" ht="15.75" hidden="1" customHeight="1">
      <c r="A181" s="1" t="s">
        <v>1129</v>
      </c>
      <c r="B181" s="7" t="s">
        <v>1129</v>
      </c>
      <c r="C181" s="2" t="str">
        <f t="shared" ref="C181:D181" si="179">IF(A181=A180,"",A181)</f>
        <v/>
      </c>
      <c r="D181" s="2" t="str">
        <f t="shared" si="179"/>
        <v/>
      </c>
    </row>
    <row r="182" spans="1:4" ht="15.75" hidden="1" customHeight="1">
      <c r="A182" s="1" t="s">
        <v>1129</v>
      </c>
      <c r="B182" s="7" t="s">
        <v>1129</v>
      </c>
      <c r="C182" s="2" t="str">
        <f t="shared" ref="C182:D182" si="180">IF(A182=A181,"",A182)</f>
        <v/>
      </c>
      <c r="D182" s="2" t="str">
        <f t="shared" si="180"/>
        <v/>
      </c>
    </row>
    <row r="183" spans="1:4" ht="15.75" hidden="1" customHeight="1">
      <c r="A183" s="1" t="s">
        <v>1129</v>
      </c>
      <c r="B183" s="7" t="s">
        <v>1129</v>
      </c>
      <c r="C183" s="2" t="str">
        <f t="shared" ref="C183:D183" si="181">IF(A183=A182,"",A183)</f>
        <v/>
      </c>
      <c r="D183" s="2" t="str">
        <f t="shared" si="181"/>
        <v/>
      </c>
    </row>
    <row r="184" spans="1:4" ht="15.75" hidden="1" customHeight="1">
      <c r="A184" s="1" t="s">
        <v>1129</v>
      </c>
      <c r="B184" s="7" t="s">
        <v>1129</v>
      </c>
      <c r="C184" s="2" t="str">
        <f t="shared" ref="C184:D184" si="182">IF(A184=A183,"",A184)</f>
        <v/>
      </c>
      <c r="D184" s="2" t="str">
        <f t="shared" si="182"/>
        <v/>
      </c>
    </row>
    <row r="185" spans="1:4" ht="15.75" hidden="1" customHeight="1">
      <c r="A185" s="1" t="s">
        <v>1129</v>
      </c>
      <c r="B185" s="7" t="s">
        <v>1129</v>
      </c>
      <c r="C185" s="2" t="str">
        <f t="shared" ref="C185:D185" si="183">IF(A185=A184,"",A185)</f>
        <v/>
      </c>
      <c r="D185" s="2" t="str">
        <f t="shared" si="183"/>
        <v/>
      </c>
    </row>
    <row r="186" spans="1:4" ht="15.75" hidden="1" customHeight="1">
      <c r="A186" s="1" t="s">
        <v>1129</v>
      </c>
      <c r="B186" s="7" t="s">
        <v>1129</v>
      </c>
      <c r="C186" s="2" t="str">
        <f t="shared" ref="C186:D186" si="184">IF(A186=A185,"",A186)</f>
        <v/>
      </c>
      <c r="D186" s="2" t="str">
        <f t="shared" si="184"/>
        <v/>
      </c>
    </row>
    <row r="187" spans="1:4" ht="15.75" hidden="1" customHeight="1">
      <c r="A187" s="1" t="s">
        <v>1129</v>
      </c>
      <c r="B187" s="7" t="s">
        <v>1129</v>
      </c>
      <c r="C187" s="2" t="str">
        <f t="shared" ref="C187:D187" si="185">IF(A187=A186,"",A187)</f>
        <v/>
      </c>
      <c r="D187" s="2" t="str">
        <f t="shared" si="185"/>
        <v/>
      </c>
    </row>
    <row r="188" spans="1:4" ht="15.75" hidden="1" customHeight="1">
      <c r="A188" s="1" t="s">
        <v>1129</v>
      </c>
      <c r="B188" s="7" t="s">
        <v>1129</v>
      </c>
      <c r="C188" s="2" t="str">
        <f t="shared" ref="C188:D188" si="186">IF(A188=A187,"",A188)</f>
        <v/>
      </c>
      <c r="D188" s="2" t="str">
        <f t="shared" si="186"/>
        <v/>
      </c>
    </row>
    <row r="189" spans="1:4" ht="15.75" hidden="1" customHeight="1">
      <c r="A189" s="1" t="s">
        <v>1129</v>
      </c>
      <c r="B189" s="7" t="s">
        <v>1129</v>
      </c>
      <c r="C189" s="2" t="str">
        <f t="shared" ref="C189:D189" si="187">IF(A189=A188,"",A189)</f>
        <v/>
      </c>
      <c r="D189" s="2" t="str">
        <f t="shared" si="187"/>
        <v/>
      </c>
    </row>
    <row r="190" spans="1:4" ht="15.75" hidden="1" customHeight="1">
      <c r="A190" s="1" t="s">
        <v>1129</v>
      </c>
      <c r="B190" s="7" t="s">
        <v>1129</v>
      </c>
      <c r="C190" s="2" t="str">
        <f t="shared" ref="C190:D190" si="188">IF(A190=A189,"",A190)</f>
        <v/>
      </c>
      <c r="D190" s="2" t="str">
        <f t="shared" si="188"/>
        <v/>
      </c>
    </row>
    <row r="191" spans="1:4" ht="15.75" hidden="1" customHeight="1">
      <c r="A191" s="1" t="s">
        <v>1129</v>
      </c>
      <c r="B191" s="7" t="s">
        <v>1129</v>
      </c>
      <c r="C191" s="2" t="str">
        <f t="shared" ref="C191:D191" si="189">IF(A191=A190,"",A191)</f>
        <v/>
      </c>
      <c r="D191" s="2" t="str">
        <f t="shared" si="189"/>
        <v/>
      </c>
    </row>
    <row r="192" spans="1:4" ht="15.75" hidden="1" customHeight="1">
      <c r="A192" s="1" t="s">
        <v>1129</v>
      </c>
      <c r="B192" s="7" t="s">
        <v>1129</v>
      </c>
      <c r="C192" s="2" t="str">
        <f t="shared" ref="C192:D192" si="190">IF(A192=A191,"",A192)</f>
        <v/>
      </c>
      <c r="D192" s="2" t="str">
        <f t="shared" si="190"/>
        <v/>
      </c>
    </row>
    <row r="193" spans="1:5" ht="15.75" hidden="1" customHeight="1">
      <c r="A193" s="1" t="s">
        <v>1129</v>
      </c>
      <c r="B193" s="7" t="s">
        <v>1129</v>
      </c>
      <c r="C193" s="2" t="str">
        <f t="shared" ref="C193:D193" si="191">IF(A193=A192,"",A193)</f>
        <v/>
      </c>
      <c r="D193" s="2" t="str">
        <f t="shared" si="191"/>
        <v/>
      </c>
    </row>
    <row r="194" spans="1:5" ht="15.75" hidden="1" customHeight="1">
      <c r="A194" s="1" t="s">
        <v>1129</v>
      </c>
      <c r="B194" s="7" t="s">
        <v>1129</v>
      </c>
      <c r="C194" s="2" t="str">
        <f t="shared" ref="C194:D194" si="192">IF(A194=A193,"",A194)</f>
        <v/>
      </c>
      <c r="D194" s="2" t="str">
        <f t="shared" si="192"/>
        <v/>
      </c>
    </row>
    <row r="195" spans="1:5" ht="15.75" hidden="1" customHeight="1">
      <c r="A195" s="1" t="s">
        <v>1129</v>
      </c>
      <c r="B195" s="7" t="s">
        <v>1129</v>
      </c>
      <c r="C195" s="2" t="str">
        <f t="shared" ref="C195:D195" si="193">IF(A195=A194,"",A195)</f>
        <v/>
      </c>
      <c r="D195" s="2" t="str">
        <f t="shared" si="193"/>
        <v/>
      </c>
    </row>
    <row r="196" spans="1:5" ht="15.75" hidden="1" customHeight="1">
      <c r="A196" s="1" t="s">
        <v>1129</v>
      </c>
      <c r="B196" s="7" t="s">
        <v>1129</v>
      </c>
      <c r="C196" s="2" t="str">
        <f t="shared" ref="C196:D196" si="194">IF(A196=A195,"",A196)</f>
        <v/>
      </c>
      <c r="D196" s="2" t="str">
        <f t="shared" si="194"/>
        <v/>
      </c>
    </row>
    <row r="197" spans="1:5" ht="15.75" hidden="1" customHeight="1">
      <c r="A197" s="1" t="s">
        <v>1129</v>
      </c>
      <c r="B197" s="7" t="s">
        <v>1129</v>
      </c>
      <c r="C197" s="2" t="str">
        <f t="shared" ref="C197:D197" si="195">IF(A197=A196,"",A197)</f>
        <v/>
      </c>
      <c r="D197" s="2" t="str">
        <f t="shared" si="195"/>
        <v/>
      </c>
    </row>
    <row r="198" spans="1:5" ht="15.75" hidden="1" customHeight="1">
      <c r="A198" s="1" t="s">
        <v>1129</v>
      </c>
      <c r="B198" s="7" t="s">
        <v>1129</v>
      </c>
      <c r="C198" s="2" t="str">
        <f t="shared" ref="C198:D198" si="196">IF(A198=A197,"",A198)</f>
        <v/>
      </c>
      <c r="D198" s="2" t="str">
        <f t="shared" si="196"/>
        <v/>
      </c>
    </row>
    <row r="199" spans="1:5" ht="15.75" customHeight="1">
      <c r="A199" s="1" t="s">
        <v>6962</v>
      </c>
      <c r="B199" s="7" t="s">
        <v>6963</v>
      </c>
      <c r="C199" s="2" t="str">
        <f t="shared" ref="C199:D199" si="197">IF(A199=A198,"",A199)</f>
        <v>Helsinque</v>
      </c>
      <c r="D199" s="2" t="str">
        <f t="shared" si="197"/>
        <v>Helsinki</v>
      </c>
      <c r="E199" s="2" t="s">
        <v>36233</v>
      </c>
    </row>
    <row r="200" spans="1:5" ht="15.75" hidden="1" customHeight="1">
      <c r="A200" s="1" t="s">
        <v>6962</v>
      </c>
      <c r="B200" s="7" t="s">
        <v>6963</v>
      </c>
      <c r="C200" s="2" t="str">
        <f t="shared" ref="C200:D200" si="198">IF(A200=A199,"",A200)</f>
        <v/>
      </c>
      <c r="D200" s="2" t="str">
        <f t="shared" si="198"/>
        <v/>
      </c>
    </row>
    <row r="201" spans="1:5" ht="15.75" hidden="1" customHeight="1">
      <c r="A201" s="1" t="s">
        <v>6962</v>
      </c>
      <c r="B201" s="7" t="s">
        <v>6963</v>
      </c>
      <c r="C201" s="2" t="str">
        <f t="shared" ref="C201:D201" si="199">IF(A201=A200,"",A201)</f>
        <v/>
      </c>
      <c r="D201" s="2" t="str">
        <f t="shared" si="199"/>
        <v/>
      </c>
    </row>
    <row r="202" spans="1:5" ht="15.75" hidden="1" customHeight="1">
      <c r="A202" s="1" t="s">
        <v>6962</v>
      </c>
      <c r="B202" s="7" t="s">
        <v>6963</v>
      </c>
      <c r="C202" s="2" t="str">
        <f t="shared" ref="C202:D202" si="200">IF(A202=A201,"",A202)</f>
        <v/>
      </c>
      <c r="D202" s="2" t="str">
        <f t="shared" si="200"/>
        <v/>
      </c>
    </row>
    <row r="203" spans="1:5" ht="15.75" hidden="1" customHeight="1">
      <c r="A203" s="1" t="s">
        <v>6962</v>
      </c>
      <c r="B203" s="7" t="s">
        <v>6963</v>
      </c>
      <c r="C203" s="2" t="str">
        <f t="shared" ref="C203:D203" si="201">IF(A203=A202,"",A203)</f>
        <v/>
      </c>
      <c r="D203" s="2" t="str">
        <f t="shared" si="201"/>
        <v/>
      </c>
    </row>
    <row r="204" spans="1:5" ht="15.75" hidden="1" customHeight="1">
      <c r="A204" s="1" t="s">
        <v>6962</v>
      </c>
      <c r="B204" s="7" t="s">
        <v>6963</v>
      </c>
      <c r="C204" s="2" t="str">
        <f t="shared" ref="C204:D204" si="202">IF(A204=A203,"",A204)</f>
        <v/>
      </c>
      <c r="D204" s="2" t="str">
        <f t="shared" si="202"/>
        <v/>
      </c>
    </row>
    <row r="205" spans="1:5" ht="15.75" hidden="1" customHeight="1">
      <c r="A205" s="1" t="s">
        <v>6962</v>
      </c>
      <c r="B205" s="7" t="s">
        <v>6963</v>
      </c>
      <c r="C205" s="2" t="str">
        <f t="shared" ref="C205:D205" si="203">IF(A205=A204,"",A205)</f>
        <v/>
      </c>
      <c r="D205" s="2" t="str">
        <f t="shared" si="203"/>
        <v/>
      </c>
    </row>
    <row r="206" spans="1:5" ht="15.75" customHeight="1">
      <c r="A206" s="1" t="s">
        <v>6256</v>
      </c>
      <c r="B206" s="7" t="s">
        <v>6256</v>
      </c>
      <c r="C206" s="2" t="str">
        <f t="shared" ref="C206:D206" si="204">IF(A206=A205,"",A206)</f>
        <v>København</v>
      </c>
      <c r="D206" s="2" t="str">
        <f t="shared" si="204"/>
        <v>København</v>
      </c>
      <c r="E206" s="2" t="s">
        <v>36233</v>
      </c>
    </row>
    <row r="207" spans="1:5" ht="15.75" hidden="1" customHeight="1">
      <c r="A207" s="1" t="s">
        <v>6256</v>
      </c>
      <c r="B207" s="7" t="s">
        <v>6256</v>
      </c>
      <c r="C207" s="2" t="str">
        <f t="shared" ref="C207:D207" si="205">IF(A207=A206,"",A207)</f>
        <v/>
      </c>
      <c r="D207" s="2" t="str">
        <f t="shared" si="205"/>
        <v/>
      </c>
    </row>
    <row r="208" spans="1:5" ht="15.75" hidden="1" customHeight="1">
      <c r="A208" s="1" t="s">
        <v>6256</v>
      </c>
      <c r="B208" s="7" t="s">
        <v>6256</v>
      </c>
      <c r="C208" s="2" t="str">
        <f t="shared" ref="C208:D208" si="206">IF(A208=A207,"",A208)</f>
        <v/>
      </c>
      <c r="D208" s="2" t="str">
        <f t="shared" si="206"/>
        <v/>
      </c>
    </row>
    <row r="209" spans="1:5" ht="15.75" hidden="1" customHeight="1">
      <c r="A209" s="1" t="s">
        <v>6256</v>
      </c>
      <c r="B209" s="7" t="s">
        <v>6256</v>
      </c>
      <c r="C209" s="2" t="str">
        <f t="shared" ref="C209:D209" si="207">IF(A209=A208,"",A209)</f>
        <v/>
      </c>
      <c r="D209" s="2" t="str">
        <f t="shared" si="207"/>
        <v/>
      </c>
    </row>
    <row r="210" spans="1:5" ht="15.75" hidden="1" customHeight="1">
      <c r="A210" s="1" t="s">
        <v>6256</v>
      </c>
      <c r="B210" s="7" t="s">
        <v>6256</v>
      </c>
      <c r="C210" s="2" t="str">
        <f t="shared" ref="C210:D210" si="208">IF(A210=A209,"",A210)</f>
        <v/>
      </c>
      <c r="D210" s="2" t="str">
        <f t="shared" si="208"/>
        <v/>
      </c>
    </row>
    <row r="211" spans="1:5" ht="15.75" hidden="1" customHeight="1">
      <c r="A211" s="1" t="s">
        <v>6256</v>
      </c>
      <c r="B211" s="7" t="s">
        <v>6256</v>
      </c>
      <c r="C211" s="2" t="str">
        <f t="shared" ref="C211:D211" si="209">IF(A211=A210,"",A211)</f>
        <v/>
      </c>
      <c r="D211" s="2" t="str">
        <f t="shared" si="209"/>
        <v/>
      </c>
    </row>
    <row r="212" spans="1:5" ht="15.75" hidden="1" customHeight="1">
      <c r="A212" s="1" t="s">
        <v>6256</v>
      </c>
      <c r="B212" s="7" t="s">
        <v>6256</v>
      </c>
      <c r="C212" s="2" t="str">
        <f t="shared" ref="C212:D212" si="210">IF(A212=A211,"",A212)</f>
        <v/>
      </c>
      <c r="D212" s="2" t="str">
        <f t="shared" si="210"/>
        <v/>
      </c>
    </row>
    <row r="213" spans="1:5" ht="15.75" customHeight="1">
      <c r="A213" s="1" t="s">
        <v>8688</v>
      </c>
      <c r="B213" s="7" t="s">
        <v>8688</v>
      </c>
      <c r="C213" s="2" t="str">
        <f t="shared" ref="C213:D213" si="211">IF(A213=A212,"",A213)</f>
        <v>Köln</v>
      </c>
      <c r="D213" s="2" t="str">
        <f t="shared" si="211"/>
        <v>Köln</v>
      </c>
      <c r="E213" s="2" t="s">
        <v>36233</v>
      </c>
    </row>
    <row r="214" spans="1:5" ht="15.75" hidden="1" customHeight="1">
      <c r="A214" s="1" t="s">
        <v>8688</v>
      </c>
      <c r="B214" s="7" t="s">
        <v>8688</v>
      </c>
      <c r="C214" s="2" t="str">
        <f t="shared" ref="C214:D214" si="212">IF(A214=A213,"",A214)</f>
        <v/>
      </c>
      <c r="D214" s="2" t="str">
        <f t="shared" si="212"/>
        <v/>
      </c>
    </row>
    <row r="215" spans="1:5" ht="15.75" hidden="1" customHeight="1">
      <c r="A215" s="1" t="s">
        <v>8688</v>
      </c>
      <c r="B215" s="7" t="s">
        <v>8688</v>
      </c>
      <c r="C215" s="2" t="str">
        <f t="shared" ref="C215:D215" si="213">IF(A215=A214,"",A215)</f>
        <v/>
      </c>
      <c r="D215" s="2" t="str">
        <f t="shared" si="213"/>
        <v/>
      </c>
    </row>
    <row r="216" spans="1:5" ht="15.75" hidden="1" customHeight="1">
      <c r="A216" s="1" t="s">
        <v>8688</v>
      </c>
      <c r="B216" s="7" t="s">
        <v>8688</v>
      </c>
      <c r="C216" s="2" t="str">
        <f t="shared" ref="C216:D216" si="214">IF(A216=A215,"",A216)</f>
        <v/>
      </c>
      <c r="D216" s="2" t="str">
        <f t="shared" si="214"/>
        <v/>
      </c>
    </row>
    <row r="217" spans="1:5" ht="15.75" hidden="1" customHeight="1">
      <c r="A217" s="1" t="s">
        <v>8688</v>
      </c>
      <c r="B217" s="7" t="s">
        <v>8688</v>
      </c>
      <c r="C217" s="2" t="str">
        <f t="shared" ref="C217:D217" si="215">IF(A217=A216,"",A217)</f>
        <v/>
      </c>
      <c r="D217" s="2" t="str">
        <f t="shared" si="215"/>
        <v/>
      </c>
    </row>
    <row r="218" spans="1:5" ht="15.75" hidden="1" customHeight="1">
      <c r="A218" s="1" t="s">
        <v>8688</v>
      </c>
      <c r="B218" s="7" t="s">
        <v>8688</v>
      </c>
      <c r="C218" s="2" t="str">
        <f t="shared" ref="C218:D218" si="216">IF(A218=A217,"",A218)</f>
        <v/>
      </c>
      <c r="D218" s="2" t="str">
        <f t="shared" si="216"/>
        <v/>
      </c>
    </row>
    <row r="219" spans="1:5" ht="15.75" hidden="1" customHeight="1">
      <c r="A219" s="1" t="s">
        <v>8688</v>
      </c>
      <c r="B219" s="7" t="s">
        <v>8688</v>
      </c>
      <c r="C219" s="2" t="str">
        <f t="shared" ref="C219:D219" si="217">IF(A219=A218,"",A219)</f>
        <v/>
      </c>
      <c r="D219" s="2" t="str">
        <f t="shared" si="217"/>
        <v/>
      </c>
    </row>
    <row r="220" spans="1:5" ht="15.75" hidden="1" customHeight="1">
      <c r="A220" s="1" t="s">
        <v>8688</v>
      </c>
      <c r="B220" s="7" t="s">
        <v>8688</v>
      </c>
      <c r="C220" s="2" t="str">
        <f t="shared" ref="C220:D220" si="218">IF(A220=A219,"",A220)</f>
        <v/>
      </c>
      <c r="D220" s="2" t="str">
        <f t="shared" si="218"/>
        <v/>
      </c>
    </row>
    <row r="221" spans="1:5" ht="15.75" hidden="1" customHeight="1">
      <c r="A221" s="1" t="s">
        <v>8688</v>
      </c>
      <c r="B221" s="7" t="s">
        <v>8688</v>
      </c>
      <c r="C221" s="2" t="str">
        <f t="shared" ref="C221:D221" si="219">IF(A221=A220,"",A221)</f>
        <v/>
      </c>
      <c r="D221" s="2" t="str">
        <f t="shared" si="219"/>
        <v/>
      </c>
    </row>
    <row r="222" spans="1:5" ht="15.75" hidden="1" customHeight="1">
      <c r="A222" s="1" t="s">
        <v>8688</v>
      </c>
      <c r="B222" s="7" t="s">
        <v>8688</v>
      </c>
      <c r="C222" s="2" t="str">
        <f t="shared" ref="C222:D222" si="220">IF(A222=A221,"",A222)</f>
        <v/>
      </c>
      <c r="D222" s="2" t="str">
        <f t="shared" si="220"/>
        <v/>
      </c>
    </row>
    <row r="223" spans="1:5" ht="15.75" customHeight="1">
      <c r="A223" s="1" t="s">
        <v>8755</v>
      </c>
      <c r="B223" s="7" t="s">
        <v>8755</v>
      </c>
      <c r="C223" s="2" t="str">
        <f t="shared" ref="C223:D223" si="221">IF(A223=A222,"",A223)</f>
        <v>Leipzig</v>
      </c>
      <c r="D223" s="2" t="str">
        <f t="shared" si="221"/>
        <v>Leipzig</v>
      </c>
      <c r="E223" s="2" t="s">
        <v>36233</v>
      </c>
    </row>
    <row r="224" spans="1:5" ht="15.75" hidden="1" customHeight="1">
      <c r="A224" s="1" t="s">
        <v>8755</v>
      </c>
      <c r="B224" s="7" t="s">
        <v>8755</v>
      </c>
      <c r="C224" s="2" t="str">
        <f t="shared" ref="C224:D224" si="222">IF(A224=A223,"",A224)</f>
        <v/>
      </c>
      <c r="D224" s="2" t="str">
        <f t="shared" si="222"/>
        <v/>
      </c>
    </row>
    <row r="225" spans="1:5" ht="15.75" hidden="1" customHeight="1">
      <c r="A225" s="1" t="s">
        <v>8755</v>
      </c>
      <c r="B225" s="7" t="s">
        <v>8755</v>
      </c>
      <c r="C225" s="2" t="str">
        <f t="shared" ref="C225:D225" si="223">IF(A225=A224,"",A225)</f>
        <v/>
      </c>
      <c r="D225" s="2" t="str">
        <f t="shared" si="223"/>
        <v/>
      </c>
    </row>
    <row r="226" spans="1:5" ht="15.75" hidden="1" customHeight="1">
      <c r="A226" s="1" t="s">
        <v>8755</v>
      </c>
      <c r="B226" s="7" t="s">
        <v>8755</v>
      </c>
      <c r="C226" s="2" t="str">
        <f t="shared" ref="C226:D226" si="224">IF(A226=A225,"",A226)</f>
        <v/>
      </c>
      <c r="D226" s="2" t="str">
        <f t="shared" si="224"/>
        <v/>
      </c>
    </row>
    <row r="227" spans="1:5" ht="15.75" hidden="1" customHeight="1">
      <c r="A227" s="1" t="s">
        <v>8755</v>
      </c>
      <c r="B227" s="7" t="s">
        <v>8755</v>
      </c>
      <c r="C227" s="2" t="str">
        <f t="shared" ref="C227:D227" si="225">IF(A227=A226,"",A227)</f>
        <v/>
      </c>
      <c r="D227" s="2" t="str">
        <f t="shared" si="225"/>
        <v/>
      </c>
    </row>
    <row r="228" spans="1:5" ht="15.75" customHeight="1">
      <c r="A228" s="1" t="s">
        <v>1623</v>
      </c>
      <c r="B228" s="7" t="s">
        <v>1623</v>
      </c>
      <c r="C228" s="2" t="str">
        <f t="shared" ref="C228:D228" si="226">IF(A228=A227,"",A228)</f>
        <v>Lille</v>
      </c>
      <c r="D228" s="2" t="str">
        <f t="shared" si="226"/>
        <v>Lille</v>
      </c>
      <c r="E228" s="2" t="s">
        <v>36233</v>
      </c>
    </row>
    <row r="229" spans="1:5" ht="15.75" hidden="1" customHeight="1">
      <c r="A229" s="1" t="s">
        <v>1623</v>
      </c>
      <c r="B229" s="7" t="s">
        <v>1623</v>
      </c>
      <c r="C229" s="2" t="str">
        <f t="shared" ref="C229:D229" si="227">IF(A229=A228,"",A229)</f>
        <v/>
      </c>
      <c r="D229" s="2" t="str">
        <f t="shared" si="227"/>
        <v/>
      </c>
    </row>
    <row r="230" spans="1:5" ht="15.75" hidden="1" customHeight="1">
      <c r="A230" s="1" t="s">
        <v>1623</v>
      </c>
      <c r="B230" s="7" t="s">
        <v>1623</v>
      </c>
      <c r="C230" s="2" t="str">
        <f t="shared" ref="C230:D230" si="228">IF(A230=A229,"",A230)</f>
        <v/>
      </c>
      <c r="D230" s="2" t="str">
        <f t="shared" si="228"/>
        <v/>
      </c>
    </row>
    <row r="231" spans="1:5" ht="15.75" hidden="1" customHeight="1">
      <c r="A231" s="1" t="s">
        <v>1623</v>
      </c>
      <c r="B231" s="7" t="s">
        <v>1623</v>
      </c>
      <c r="C231" s="2" t="str">
        <f t="shared" ref="C231:D231" si="229">IF(A231=A230,"",A231)</f>
        <v/>
      </c>
      <c r="D231" s="2" t="str">
        <f t="shared" si="229"/>
        <v/>
      </c>
    </row>
    <row r="232" spans="1:5" ht="15.75" hidden="1" customHeight="1">
      <c r="A232" s="1" t="s">
        <v>1623</v>
      </c>
      <c r="B232" s="7" t="s">
        <v>1623</v>
      </c>
      <c r="C232" s="2" t="str">
        <f t="shared" ref="C232:D232" si="230">IF(A232=A231,"",A232)</f>
        <v/>
      </c>
      <c r="D232" s="2" t="str">
        <f t="shared" si="230"/>
        <v/>
      </c>
    </row>
    <row r="233" spans="1:5" ht="15.75" customHeight="1">
      <c r="A233" s="1" t="s">
        <v>21677</v>
      </c>
      <c r="B233" s="7" t="s">
        <v>21677</v>
      </c>
      <c r="C233" s="2" t="str">
        <f t="shared" ref="C233:D233" si="231">IF(A233=A232,"",A233)</f>
        <v>Lisboa</v>
      </c>
      <c r="D233" s="2" t="str">
        <f t="shared" si="231"/>
        <v>Lisboa</v>
      </c>
      <c r="E233" s="2" t="s">
        <v>36233</v>
      </c>
    </row>
    <row r="234" spans="1:5" ht="15.75" hidden="1" customHeight="1">
      <c r="A234" s="1" t="s">
        <v>21677</v>
      </c>
      <c r="B234" s="7" t="s">
        <v>21677</v>
      </c>
      <c r="C234" s="2" t="str">
        <f t="shared" ref="C234:D234" si="232">IF(A234=A233,"",A234)</f>
        <v/>
      </c>
      <c r="D234" s="2" t="str">
        <f t="shared" si="232"/>
        <v/>
      </c>
    </row>
    <row r="235" spans="1:5" ht="15.75" hidden="1" customHeight="1">
      <c r="A235" s="1" t="s">
        <v>21677</v>
      </c>
      <c r="B235" s="7" t="s">
        <v>21677</v>
      </c>
      <c r="C235" s="2" t="str">
        <f t="shared" ref="C235:D235" si="233">IF(A235=A234,"",A235)</f>
        <v/>
      </c>
      <c r="D235" s="2" t="str">
        <f t="shared" si="233"/>
        <v/>
      </c>
    </row>
    <row r="236" spans="1:5" ht="15.75" hidden="1" customHeight="1">
      <c r="A236" s="1" t="s">
        <v>21677</v>
      </c>
      <c r="B236" s="7" t="s">
        <v>21677</v>
      </c>
      <c r="C236" s="2" t="str">
        <f t="shared" ref="C236:D236" si="234">IF(A236=A235,"",A236)</f>
        <v/>
      </c>
      <c r="D236" s="2" t="str">
        <f t="shared" si="234"/>
        <v/>
      </c>
    </row>
    <row r="237" spans="1:5" ht="15.75" hidden="1" customHeight="1">
      <c r="A237" s="1" t="s">
        <v>21677</v>
      </c>
      <c r="B237" s="7" t="s">
        <v>21677</v>
      </c>
      <c r="C237" s="2" t="str">
        <f t="shared" ref="C237:D237" si="235">IF(A237=A236,"",A237)</f>
        <v/>
      </c>
      <c r="D237" s="2" t="str">
        <f t="shared" si="235"/>
        <v/>
      </c>
    </row>
    <row r="238" spans="1:5" ht="15.75" hidden="1" customHeight="1">
      <c r="A238" s="1" t="s">
        <v>21677</v>
      </c>
      <c r="B238" s="7" t="s">
        <v>21677</v>
      </c>
      <c r="C238" s="2" t="str">
        <f t="shared" ref="C238:D238" si="236">IF(A238=A237,"",A238)</f>
        <v/>
      </c>
      <c r="D238" s="2" t="str">
        <f t="shared" si="236"/>
        <v/>
      </c>
    </row>
    <row r="239" spans="1:5" ht="15.75" hidden="1" customHeight="1">
      <c r="A239" s="1" t="s">
        <v>21677</v>
      </c>
      <c r="B239" s="7" t="s">
        <v>21677</v>
      </c>
      <c r="C239" s="2" t="str">
        <f t="shared" ref="C239:D239" si="237">IF(A239=A238,"",A239)</f>
        <v/>
      </c>
      <c r="D239" s="2" t="str">
        <f t="shared" si="237"/>
        <v/>
      </c>
    </row>
    <row r="240" spans="1:5" ht="15.75" hidden="1" customHeight="1">
      <c r="A240" s="1" t="s">
        <v>21677</v>
      </c>
      <c r="B240" s="7" t="s">
        <v>21677</v>
      </c>
      <c r="C240" s="2" t="str">
        <f t="shared" ref="C240:D240" si="238">IF(A240=A239,"",A240)</f>
        <v/>
      </c>
      <c r="D240" s="2" t="str">
        <f t="shared" si="238"/>
        <v/>
      </c>
    </row>
    <row r="241" spans="1:5" ht="15.75" hidden="1" customHeight="1">
      <c r="A241" s="1" t="s">
        <v>21677</v>
      </c>
      <c r="B241" s="7" t="s">
        <v>21677</v>
      </c>
      <c r="C241" s="2" t="str">
        <f t="shared" ref="C241:D241" si="239">IF(A241=A240,"",A241)</f>
        <v/>
      </c>
      <c r="D241" s="2" t="str">
        <f t="shared" si="239"/>
        <v/>
      </c>
    </row>
    <row r="242" spans="1:5" ht="15.75" hidden="1" customHeight="1">
      <c r="A242" s="1" t="s">
        <v>21677</v>
      </c>
      <c r="B242" s="7" t="s">
        <v>21677</v>
      </c>
      <c r="C242" s="2" t="str">
        <f t="shared" ref="C242:D242" si="240">IF(A242=A241,"",A242)</f>
        <v/>
      </c>
      <c r="D242" s="2" t="str">
        <f t="shared" si="240"/>
        <v/>
      </c>
    </row>
    <row r="243" spans="1:5" ht="15.75" hidden="1" customHeight="1">
      <c r="A243" s="1" t="s">
        <v>21677</v>
      </c>
      <c r="B243" s="7" t="s">
        <v>21677</v>
      </c>
      <c r="C243" s="2" t="str">
        <f t="shared" ref="C243:D243" si="241">IF(A243=A242,"",A243)</f>
        <v/>
      </c>
      <c r="D243" s="2" t="str">
        <f t="shared" si="241"/>
        <v/>
      </c>
    </row>
    <row r="244" spans="1:5" ht="15.75" hidden="1" customHeight="1">
      <c r="A244" s="1" t="s">
        <v>21677</v>
      </c>
      <c r="B244" s="7" t="s">
        <v>21677</v>
      </c>
      <c r="C244" s="2" t="str">
        <f t="shared" ref="C244:D244" si="242">IF(A244=A243,"",A244)</f>
        <v/>
      </c>
      <c r="D244" s="2" t="str">
        <f t="shared" si="242"/>
        <v/>
      </c>
    </row>
    <row r="245" spans="1:5" ht="15.75" hidden="1" customHeight="1">
      <c r="A245" s="1" t="s">
        <v>21677</v>
      </c>
      <c r="B245" s="7" t="s">
        <v>21677</v>
      </c>
      <c r="C245" s="2" t="str">
        <f t="shared" ref="C245:D245" si="243">IF(A245=A244,"",A245)</f>
        <v/>
      </c>
      <c r="D245" s="2" t="str">
        <f t="shared" si="243"/>
        <v/>
      </c>
    </row>
    <row r="246" spans="1:5" ht="15.75" customHeight="1">
      <c r="A246" s="1" t="s">
        <v>4088</v>
      </c>
      <c r="B246" s="7" t="s">
        <v>4089</v>
      </c>
      <c r="C246" s="2" t="str">
        <f t="shared" ref="C246:D246" si="244">IF(A246=A245,"",A246)</f>
        <v>Londres</v>
      </c>
      <c r="D246" s="2" t="str">
        <f t="shared" si="244"/>
        <v>London</v>
      </c>
      <c r="E246" s="2" t="s">
        <v>36233</v>
      </c>
    </row>
    <row r="247" spans="1:5" ht="15.75" hidden="1" customHeight="1">
      <c r="A247" s="1" t="s">
        <v>4088</v>
      </c>
      <c r="B247" s="7" t="s">
        <v>4089</v>
      </c>
      <c r="C247" s="2" t="str">
        <f t="shared" ref="C247:D247" si="245">IF(A247=A246,"",A247)</f>
        <v/>
      </c>
      <c r="D247" s="2" t="str">
        <f t="shared" si="245"/>
        <v/>
      </c>
    </row>
    <row r="248" spans="1:5" ht="15.75" hidden="1" customHeight="1">
      <c r="A248" s="1" t="s">
        <v>4088</v>
      </c>
      <c r="B248" s="7" t="s">
        <v>4089</v>
      </c>
      <c r="C248" s="2" t="str">
        <f t="shared" ref="C248:D248" si="246">IF(A248=A247,"",A248)</f>
        <v/>
      </c>
      <c r="D248" s="2" t="str">
        <f t="shared" si="246"/>
        <v/>
      </c>
    </row>
    <row r="249" spans="1:5" ht="15.75" hidden="1" customHeight="1">
      <c r="A249" s="1" t="s">
        <v>4088</v>
      </c>
      <c r="B249" s="7" t="s">
        <v>4089</v>
      </c>
      <c r="C249" s="2" t="str">
        <f t="shared" ref="C249:D249" si="247">IF(A249=A248,"",A249)</f>
        <v/>
      </c>
      <c r="D249" s="2" t="str">
        <f t="shared" si="247"/>
        <v/>
      </c>
    </row>
    <row r="250" spans="1:5" ht="15.75" hidden="1" customHeight="1">
      <c r="A250" s="1" t="s">
        <v>4088</v>
      </c>
      <c r="B250" s="7" t="s">
        <v>4089</v>
      </c>
      <c r="C250" s="2" t="str">
        <f t="shared" ref="C250:D250" si="248">IF(A250=A249,"",A250)</f>
        <v/>
      </c>
      <c r="D250" s="2" t="str">
        <f t="shared" si="248"/>
        <v/>
      </c>
    </row>
    <row r="251" spans="1:5" ht="15.75" hidden="1" customHeight="1">
      <c r="A251" s="1" t="s">
        <v>4088</v>
      </c>
      <c r="B251" s="7" t="s">
        <v>4089</v>
      </c>
      <c r="C251" s="2" t="str">
        <f t="shared" ref="C251:D251" si="249">IF(A251=A250,"",A251)</f>
        <v/>
      </c>
      <c r="D251" s="2" t="str">
        <f t="shared" si="249"/>
        <v/>
      </c>
    </row>
    <row r="252" spans="1:5" ht="15.75" hidden="1" customHeight="1">
      <c r="A252" s="1" t="s">
        <v>4088</v>
      </c>
      <c r="B252" s="7" t="s">
        <v>4089</v>
      </c>
      <c r="C252" s="2" t="str">
        <f t="shared" ref="C252:D252" si="250">IF(A252=A251,"",A252)</f>
        <v/>
      </c>
      <c r="D252" s="2" t="str">
        <f t="shared" si="250"/>
        <v/>
      </c>
    </row>
    <row r="253" spans="1:5" ht="15.75" hidden="1" customHeight="1">
      <c r="A253" s="1" t="s">
        <v>4088</v>
      </c>
      <c r="B253" s="7" t="s">
        <v>4089</v>
      </c>
      <c r="C253" s="2" t="str">
        <f t="shared" ref="C253:D253" si="251">IF(A253=A252,"",A253)</f>
        <v/>
      </c>
      <c r="D253" s="2" t="str">
        <f t="shared" si="251"/>
        <v/>
      </c>
    </row>
    <row r="254" spans="1:5" ht="15.75" hidden="1" customHeight="1">
      <c r="A254" s="1" t="s">
        <v>4088</v>
      </c>
      <c r="B254" s="7" t="s">
        <v>4089</v>
      </c>
      <c r="C254" s="2" t="str">
        <f t="shared" ref="C254:D254" si="252">IF(A254=A253,"",A254)</f>
        <v/>
      </c>
      <c r="D254" s="2" t="str">
        <f t="shared" si="252"/>
        <v/>
      </c>
    </row>
    <row r="255" spans="1:5" ht="15.75" hidden="1" customHeight="1">
      <c r="A255" s="1" t="s">
        <v>4088</v>
      </c>
      <c r="B255" s="7" t="s">
        <v>4089</v>
      </c>
      <c r="C255" s="2" t="str">
        <f t="shared" ref="C255:D255" si="253">IF(A255=A254,"",A255)</f>
        <v/>
      </c>
      <c r="D255" s="2" t="str">
        <f t="shared" si="253"/>
        <v/>
      </c>
    </row>
    <row r="256" spans="1:5" ht="15.75" hidden="1" customHeight="1">
      <c r="A256" s="1" t="s">
        <v>4088</v>
      </c>
      <c r="B256" s="7" t="s">
        <v>4089</v>
      </c>
      <c r="C256" s="2" t="str">
        <f t="shared" ref="C256:D256" si="254">IF(A256=A255,"",A256)</f>
        <v/>
      </c>
      <c r="D256" s="2" t="str">
        <f t="shared" si="254"/>
        <v/>
      </c>
    </row>
    <row r="257" spans="1:4" ht="15.75" hidden="1" customHeight="1">
      <c r="A257" s="1" t="s">
        <v>4088</v>
      </c>
      <c r="B257" s="7" t="s">
        <v>4089</v>
      </c>
      <c r="C257" s="2" t="str">
        <f t="shared" ref="C257:D257" si="255">IF(A257=A256,"",A257)</f>
        <v/>
      </c>
      <c r="D257" s="2" t="str">
        <f t="shared" si="255"/>
        <v/>
      </c>
    </row>
    <row r="258" spans="1:4" ht="15.75" hidden="1" customHeight="1">
      <c r="A258" s="1" t="s">
        <v>4088</v>
      </c>
      <c r="B258" s="7" t="s">
        <v>4089</v>
      </c>
      <c r="C258" s="2" t="str">
        <f t="shared" ref="C258:D258" si="256">IF(A258=A257,"",A258)</f>
        <v/>
      </c>
      <c r="D258" s="2" t="str">
        <f t="shared" si="256"/>
        <v/>
      </c>
    </row>
    <row r="259" spans="1:4" ht="15.75" hidden="1" customHeight="1">
      <c r="A259" s="1" t="s">
        <v>4088</v>
      </c>
      <c r="B259" s="7" t="s">
        <v>4089</v>
      </c>
      <c r="C259" s="2" t="str">
        <f t="shared" ref="C259:D259" si="257">IF(A259=A258,"",A259)</f>
        <v/>
      </c>
      <c r="D259" s="2" t="str">
        <f t="shared" si="257"/>
        <v/>
      </c>
    </row>
    <row r="260" spans="1:4" ht="15.75" hidden="1" customHeight="1">
      <c r="A260" s="1" t="s">
        <v>4088</v>
      </c>
      <c r="B260" s="7" t="s">
        <v>4089</v>
      </c>
      <c r="C260" s="2" t="str">
        <f t="shared" ref="C260:D260" si="258">IF(A260=A259,"",A260)</f>
        <v/>
      </c>
      <c r="D260" s="2" t="str">
        <f t="shared" si="258"/>
        <v/>
      </c>
    </row>
    <row r="261" spans="1:4" ht="15.75" hidden="1" customHeight="1">
      <c r="A261" s="1" t="s">
        <v>4088</v>
      </c>
      <c r="B261" s="7" t="s">
        <v>4089</v>
      </c>
      <c r="C261" s="2" t="str">
        <f t="shared" ref="C261:D261" si="259">IF(A261=A260,"",A261)</f>
        <v/>
      </c>
      <c r="D261" s="2" t="str">
        <f t="shared" si="259"/>
        <v/>
      </c>
    </row>
    <row r="262" spans="1:4" ht="15.75" hidden="1" customHeight="1">
      <c r="A262" s="1" t="s">
        <v>4088</v>
      </c>
      <c r="B262" s="7" t="s">
        <v>4089</v>
      </c>
      <c r="C262" s="2" t="str">
        <f t="shared" ref="C262:D262" si="260">IF(A262=A261,"",A262)</f>
        <v/>
      </c>
      <c r="D262" s="2" t="str">
        <f t="shared" si="260"/>
        <v/>
      </c>
    </row>
    <row r="263" spans="1:4" ht="15.75" hidden="1" customHeight="1">
      <c r="A263" s="1" t="s">
        <v>4088</v>
      </c>
      <c r="B263" s="7" t="s">
        <v>4089</v>
      </c>
      <c r="C263" s="2" t="str">
        <f t="shared" ref="C263:D263" si="261">IF(A263=A262,"",A263)</f>
        <v/>
      </c>
      <c r="D263" s="2" t="str">
        <f t="shared" si="261"/>
        <v/>
      </c>
    </row>
    <row r="264" spans="1:4" ht="15.75" hidden="1" customHeight="1">
      <c r="A264" s="1" t="s">
        <v>4088</v>
      </c>
      <c r="B264" s="7" t="s">
        <v>4089</v>
      </c>
      <c r="C264" s="2" t="str">
        <f t="shared" ref="C264:D264" si="262">IF(A264=A263,"",A264)</f>
        <v/>
      </c>
      <c r="D264" s="2" t="str">
        <f t="shared" si="262"/>
        <v/>
      </c>
    </row>
    <row r="265" spans="1:4" ht="15.75" hidden="1" customHeight="1">
      <c r="A265" s="1" t="s">
        <v>4088</v>
      </c>
      <c r="B265" s="7" t="s">
        <v>4089</v>
      </c>
      <c r="C265" s="2" t="str">
        <f t="shared" ref="C265:D265" si="263">IF(A265=A264,"",A265)</f>
        <v/>
      </c>
      <c r="D265" s="2" t="str">
        <f t="shared" si="263"/>
        <v/>
      </c>
    </row>
    <row r="266" spans="1:4" ht="15.75" hidden="1" customHeight="1">
      <c r="A266" s="1" t="s">
        <v>4088</v>
      </c>
      <c r="B266" s="7" t="s">
        <v>4089</v>
      </c>
      <c r="C266" s="2" t="str">
        <f t="shared" ref="C266:D266" si="264">IF(A266=A265,"",A266)</f>
        <v/>
      </c>
      <c r="D266" s="2" t="str">
        <f t="shared" si="264"/>
        <v/>
      </c>
    </row>
    <row r="267" spans="1:4" ht="15.75" hidden="1" customHeight="1">
      <c r="A267" s="1" t="s">
        <v>4088</v>
      </c>
      <c r="B267" s="7" t="s">
        <v>4089</v>
      </c>
      <c r="C267" s="2" t="str">
        <f t="shared" ref="C267:D267" si="265">IF(A267=A266,"",A267)</f>
        <v/>
      </c>
      <c r="D267" s="2" t="str">
        <f t="shared" si="265"/>
        <v/>
      </c>
    </row>
    <row r="268" spans="1:4" ht="15.75" hidden="1" customHeight="1">
      <c r="A268" s="1" t="s">
        <v>4088</v>
      </c>
      <c r="B268" s="7" t="s">
        <v>4089</v>
      </c>
      <c r="C268" s="2" t="str">
        <f t="shared" ref="C268:D268" si="266">IF(A268=A267,"",A268)</f>
        <v/>
      </c>
      <c r="D268" s="2" t="str">
        <f t="shared" si="266"/>
        <v/>
      </c>
    </row>
    <row r="269" spans="1:4" ht="15.75" hidden="1" customHeight="1">
      <c r="A269" s="1" t="s">
        <v>4088</v>
      </c>
      <c r="B269" s="7" t="s">
        <v>4089</v>
      </c>
      <c r="C269" s="2" t="str">
        <f t="shared" ref="C269:D269" si="267">IF(A269=A268,"",A269)</f>
        <v/>
      </c>
      <c r="D269" s="2" t="str">
        <f t="shared" si="267"/>
        <v/>
      </c>
    </row>
    <row r="270" spans="1:4" ht="15.75" hidden="1" customHeight="1">
      <c r="A270" s="1" t="s">
        <v>4088</v>
      </c>
      <c r="B270" s="7" t="s">
        <v>4089</v>
      </c>
      <c r="C270" s="2" t="str">
        <f t="shared" ref="C270:D270" si="268">IF(A270=A269,"",A270)</f>
        <v/>
      </c>
      <c r="D270" s="2" t="str">
        <f t="shared" si="268"/>
        <v/>
      </c>
    </row>
    <row r="271" spans="1:4" ht="15.75" hidden="1" customHeight="1">
      <c r="A271" s="1" t="s">
        <v>4088</v>
      </c>
      <c r="B271" s="7" t="s">
        <v>4089</v>
      </c>
      <c r="C271" s="2" t="str">
        <f t="shared" ref="C271:D271" si="269">IF(A271=A270,"",A271)</f>
        <v/>
      </c>
      <c r="D271" s="2" t="str">
        <f t="shared" si="269"/>
        <v/>
      </c>
    </row>
    <row r="272" spans="1:4" ht="15.75" hidden="1" customHeight="1">
      <c r="A272" s="1" t="s">
        <v>4088</v>
      </c>
      <c r="B272" s="7" t="s">
        <v>4089</v>
      </c>
      <c r="C272" s="2" t="str">
        <f t="shared" ref="C272:D272" si="270">IF(A272=A271,"",A272)</f>
        <v/>
      </c>
      <c r="D272" s="2" t="str">
        <f t="shared" si="270"/>
        <v/>
      </c>
    </row>
    <row r="273" spans="1:5" ht="15.75" hidden="1" customHeight="1">
      <c r="A273" s="1" t="s">
        <v>4088</v>
      </c>
      <c r="B273" s="7" t="s">
        <v>4089</v>
      </c>
      <c r="C273" s="2" t="str">
        <f t="shared" ref="C273:D273" si="271">IF(A273=A272,"",A273)</f>
        <v/>
      </c>
      <c r="D273" s="2" t="str">
        <f t="shared" si="271"/>
        <v/>
      </c>
    </row>
    <row r="274" spans="1:5" ht="15.75" hidden="1" customHeight="1">
      <c r="A274" s="1" t="s">
        <v>4088</v>
      </c>
      <c r="B274" s="7" t="s">
        <v>4089</v>
      </c>
      <c r="C274" s="2" t="str">
        <f t="shared" ref="C274:D274" si="272">IF(A274=A273,"",A274)</f>
        <v/>
      </c>
      <c r="D274" s="2" t="str">
        <f t="shared" si="272"/>
        <v/>
      </c>
    </row>
    <row r="275" spans="1:5" ht="15.75" hidden="1" customHeight="1">
      <c r="A275" s="1" t="s">
        <v>4088</v>
      </c>
      <c r="B275" s="7" t="s">
        <v>4089</v>
      </c>
      <c r="C275" s="2" t="str">
        <f t="shared" ref="C275:D275" si="273">IF(A275=A274,"",A275)</f>
        <v/>
      </c>
      <c r="D275" s="2" t="str">
        <f t="shared" si="273"/>
        <v/>
      </c>
    </row>
    <row r="276" spans="1:5" ht="15.75" hidden="1" customHeight="1">
      <c r="A276" s="1" t="s">
        <v>4088</v>
      </c>
      <c r="B276" s="7" t="s">
        <v>4089</v>
      </c>
      <c r="C276" s="2" t="str">
        <f t="shared" ref="C276:D276" si="274">IF(A276=A275,"",A276)</f>
        <v/>
      </c>
      <c r="D276" s="2" t="str">
        <f t="shared" si="274"/>
        <v/>
      </c>
    </row>
    <row r="277" spans="1:5" ht="15.75" hidden="1" customHeight="1">
      <c r="A277" s="1" t="s">
        <v>4088</v>
      </c>
      <c r="B277" s="7" t="s">
        <v>4089</v>
      </c>
      <c r="C277" s="2" t="str">
        <f t="shared" ref="C277:D277" si="275">IF(A277=A276,"",A277)</f>
        <v/>
      </c>
      <c r="D277" s="2" t="str">
        <f t="shared" si="275"/>
        <v/>
      </c>
    </row>
    <row r="278" spans="1:5" ht="15.75" hidden="1" customHeight="1">
      <c r="A278" s="1" t="s">
        <v>4088</v>
      </c>
      <c r="B278" s="7" t="s">
        <v>4089</v>
      </c>
      <c r="C278" s="2" t="str">
        <f t="shared" ref="C278:D278" si="276">IF(A278=A277,"",A278)</f>
        <v/>
      </c>
      <c r="D278" s="2" t="str">
        <f t="shared" si="276"/>
        <v/>
      </c>
    </row>
    <row r="279" spans="1:5" ht="15.75" customHeight="1">
      <c r="A279" s="1" t="s">
        <v>25168</v>
      </c>
      <c r="B279" s="7" t="s">
        <v>25168</v>
      </c>
      <c r="C279" s="2" t="str">
        <f t="shared" ref="C279:D279" si="277">IF(A279=A278,"",A279)</f>
        <v>Luleå</v>
      </c>
      <c r="D279" s="2" t="str">
        <f t="shared" si="277"/>
        <v>Luleå</v>
      </c>
      <c r="E279" s="2" t="s">
        <v>36233</v>
      </c>
    </row>
    <row r="280" spans="1:5" ht="15.75" hidden="1" customHeight="1">
      <c r="A280" s="1" t="s">
        <v>25168</v>
      </c>
      <c r="B280" s="7" t="s">
        <v>25168</v>
      </c>
      <c r="C280" s="2" t="str">
        <f t="shared" ref="C280:D280" si="278">IF(A280=A279,"",A280)</f>
        <v/>
      </c>
      <c r="D280" s="2" t="str">
        <f t="shared" si="278"/>
        <v/>
      </c>
    </row>
    <row r="281" spans="1:5" ht="15.75" hidden="1" customHeight="1">
      <c r="A281" s="1" t="s">
        <v>25168</v>
      </c>
      <c r="B281" s="7" t="s">
        <v>25168</v>
      </c>
      <c r="C281" s="2" t="str">
        <f t="shared" ref="C281:D281" si="279">IF(A281=A280,"",A281)</f>
        <v/>
      </c>
      <c r="D281" s="2" t="str">
        <f t="shared" si="279"/>
        <v/>
      </c>
    </row>
    <row r="282" spans="1:5" ht="15.75" hidden="1" customHeight="1">
      <c r="A282" s="1" t="s">
        <v>25168</v>
      </c>
      <c r="B282" s="7" t="s">
        <v>25168</v>
      </c>
      <c r="C282" s="2" t="str">
        <f t="shared" ref="C282:D282" si="280">IF(A282=A281,"",A282)</f>
        <v/>
      </c>
      <c r="D282" s="2" t="str">
        <f t="shared" si="280"/>
        <v/>
      </c>
    </row>
    <row r="283" spans="1:5" ht="15.75" hidden="1" customHeight="1">
      <c r="A283" s="1" t="s">
        <v>25168</v>
      </c>
      <c r="B283" s="7" t="s">
        <v>25168</v>
      </c>
      <c r="C283" s="2" t="str">
        <f t="shared" ref="C283:D283" si="281">IF(A283=A282,"",A283)</f>
        <v/>
      </c>
      <c r="D283" s="2" t="str">
        <f t="shared" si="281"/>
        <v/>
      </c>
    </row>
    <row r="284" spans="1:5" ht="15.75" hidden="1" customHeight="1">
      <c r="A284" s="1" t="s">
        <v>25168</v>
      </c>
      <c r="B284" s="7" t="s">
        <v>25168</v>
      </c>
      <c r="C284" s="2" t="str">
        <f t="shared" ref="C284:D284" si="282">IF(A284=A283,"",A284)</f>
        <v/>
      </c>
      <c r="D284" s="2" t="str">
        <f t="shared" si="282"/>
        <v/>
      </c>
    </row>
    <row r="285" spans="1:5" ht="15.75" hidden="1" customHeight="1">
      <c r="A285" s="1" t="s">
        <v>25168</v>
      </c>
      <c r="B285" s="7" t="s">
        <v>25168</v>
      </c>
      <c r="C285" s="2" t="str">
        <f t="shared" ref="C285:D285" si="283">IF(A285=A284,"",A285)</f>
        <v/>
      </c>
      <c r="D285" s="2" t="str">
        <f t="shared" si="283"/>
        <v/>
      </c>
    </row>
    <row r="286" spans="1:5" ht="15.75" hidden="1" customHeight="1">
      <c r="A286" s="1" t="s">
        <v>25168</v>
      </c>
      <c r="B286" s="7" t="s">
        <v>25168</v>
      </c>
      <c r="C286" s="2" t="str">
        <f t="shared" ref="C286:D286" si="284">IF(A286=A285,"",A286)</f>
        <v/>
      </c>
      <c r="D286" s="2" t="str">
        <f t="shared" si="284"/>
        <v/>
      </c>
    </row>
    <row r="287" spans="1:5" ht="15.75" hidden="1" customHeight="1">
      <c r="A287" s="1" t="s">
        <v>25168</v>
      </c>
      <c r="B287" s="7" t="s">
        <v>25168</v>
      </c>
      <c r="C287" s="2" t="str">
        <f t="shared" ref="C287:D287" si="285">IF(A287=A286,"",A287)</f>
        <v/>
      </c>
      <c r="D287" s="2" t="str">
        <f t="shared" si="285"/>
        <v/>
      </c>
    </row>
    <row r="288" spans="1:5" ht="15.75" hidden="1" customHeight="1">
      <c r="A288" s="1" t="s">
        <v>25168</v>
      </c>
      <c r="B288" s="7" t="s">
        <v>25168</v>
      </c>
      <c r="C288" s="2" t="str">
        <f t="shared" ref="C288:D288" si="286">IF(A288=A287,"",A288)</f>
        <v/>
      </c>
      <c r="D288" s="2" t="str">
        <f t="shared" si="286"/>
        <v/>
      </c>
    </row>
    <row r="289" spans="1:5" ht="15.75" hidden="1" customHeight="1">
      <c r="A289" s="1" t="s">
        <v>25168</v>
      </c>
      <c r="B289" s="7" t="s">
        <v>25168</v>
      </c>
      <c r="C289" s="2" t="str">
        <f t="shared" ref="C289:D289" si="287">IF(A289=A288,"",A289)</f>
        <v/>
      </c>
      <c r="D289" s="2" t="str">
        <f t="shared" si="287"/>
        <v/>
      </c>
    </row>
    <row r="290" spans="1:5" ht="15.75" hidden="1" customHeight="1">
      <c r="A290" s="1" t="s">
        <v>25168</v>
      </c>
      <c r="B290" s="7" t="s">
        <v>25168</v>
      </c>
      <c r="C290" s="2" t="str">
        <f t="shared" ref="C290:D290" si="288">IF(A290=A289,"",A290)</f>
        <v/>
      </c>
      <c r="D290" s="2" t="str">
        <f t="shared" si="288"/>
        <v/>
      </c>
    </row>
    <row r="291" spans="1:5" ht="15.75" hidden="1" customHeight="1">
      <c r="A291" s="1" t="s">
        <v>25168</v>
      </c>
      <c r="B291" s="7" t="s">
        <v>25168</v>
      </c>
      <c r="C291" s="2" t="str">
        <f t="shared" ref="C291:D291" si="289">IF(A291=A290,"",A291)</f>
        <v/>
      </c>
      <c r="D291" s="2" t="str">
        <f t="shared" si="289"/>
        <v/>
      </c>
    </row>
    <row r="292" spans="1:5" ht="15.75" hidden="1" customHeight="1">
      <c r="A292" s="1" t="s">
        <v>25168</v>
      </c>
      <c r="B292" s="7" t="s">
        <v>25168</v>
      </c>
      <c r="C292" s="2" t="str">
        <f t="shared" ref="C292:D292" si="290">IF(A292=A291,"",A292)</f>
        <v/>
      </c>
      <c r="D292" s="2" t="str">
        <f t="shared" si="290"/>
        <v/>
      </c>
    </row>
    <row r="293" spans="1:5" ht="15.75" hidden="1" customHeight="1">
      <c r="A293" s="1" t="s">
        <v>25168</v>
      </c>
      <c r="B293" s="7" t="s">
        <v>25168</v>
      </c>
      <c r="C293" s="2" t="str">
        <f t="shared" ref="C293:D293" si="291">IF(A293=A292,"",A293)</f>
        <v/>
      </c>
      <c r="D293" s="2" t="str">
        <f t="shared" si="291"/>
        <v/>
      </c>
    </row>
    <row r="294" spans="1:5" ht="15.75" hidden="1" customHeight="1">
      <c r="A294" s="1" t="s">
        <v>25168</v>
      </c>
      <c r="B294" s="7" t="s">
        <v>25168</v>
      </c>
      <c r="C294" s="2" t="str">
        <f t="shared" ref="C294:D294" si="292">IF(A294=A293,"",A294)</f>
        <v/>
      </c>
      <c r="D294" s="2" t="str">
        <f t="shared" si="292"/>
        <v/>
      </c>
    </row>
    <row r="295" spans="1:5" ht="15.75" hidden="1" customHeight="1">
      <c r="A295" s="1" t="s">
        <v>25168</v>
      </c>
      <c r="B295" s="7" t="s">
        <v>25168</v>
      </c>
      <c r="C295" s="2" t="str">
        <f t="shared" ref="C295:D295" si="293">IF(A295=A294,"",A295)</f>
        <v/>
      </c>
      <c r="D295" s="2" t="str">
        <f t="shared" si="293"/>
        <v/>
      </c>
    </row>
    <row r="296" spans="1:5" ht="15.75" hidden="1" customHeight="1">
      <c r="A296" s="1" t="s">
        <v>25168</v>
      </c>
      <c r="B296" s="7" t="s">
        <v>25168</v>
      </c>
      <c r="C296" s="2" t="str">
        <f t="shared" ref="C296:D296" si="294">IF(A296=A295,"",A296)</f>
        <v/>
      </c>
      <c r="D296" s="2" t="str">
        <f t="shared" si="294"/>
        <v/>
      </c>
    </row>
    <row r="297" spans="1:5" ht="15.75" customHeight="1">
      <c r="A297" s="1" t="s">
        <v>7517</v>
      </c>
      <c r="B297" s="7" t="s">
        <v>7517</v>
      </c>
      <c r="C297" s="2" t="str">
        <f t="shared" ref="C297:D297" si="295">IF(A297=A296,"",A297)</f>
        <v>Lyon</v>
      </c>
      <c r="D297" s="2" t="str">
        <f t="shared" si="295"/>
        <v>Lyon</v>
      </c>
      <c r="E297" s="2" t="s">
        <v>36233</v>
      </c>
    </row>
    <row r="298" spans="1:5" ht="15.75" hidden="1" customHeight="1">
      <c r="A298" s="1" t="s">
        <v>7517</v>
      </c>
      <c r="B298" s="7" t="s">
        <v>7517</v>
      </c>
      <c r="C298" s="2" t="str">
        <f t="shared" ref="C298:D298" si="296">IF(A298=A297,"",A298)</f>
        <v/>
      </c>
      <c r="D298" s="2" t="str">
        <f t="shared" si="296"/>
        <v/>
      </c>
    </row>
    <row r="299" spans="1:5" ht="15.75" hidden="1" customHeight="1">
      <c r="A299" s="1" t="s">
        <v>7517</v>
      </c>
      <c r="B299" s="7" t="s">
        <v>7517</v>
      </c>
      <c r="C299" s="2" t="str">
        <f t="shared" ref="C299:D299" si="297">IF(A299=A298,"",A299)</f>
        <v/>
      </c>
      <c r="D299" s="2" t="str">
        <f t="shared" si="297"/>
        <v/>
      </c>
    </row>
    <row r="300" spans="1:5" ht="15.75" hidden="1" customHeight="1">
      <c r="A300" s="1" t="s">
        <v>7517</v>
      </c>
      <c r="B300" s="7" t="s">
        <v>7517</v>
      </c>
      <c r="C300" s="2" t="str">
        <f t="shared" ref="C300:D300" si="298">IF(A300=A299,"",A300)</f>
        <v/>
      </c>
      <c r="D300" s="2" t="str">
        <f t="shared" si="298"/>
        <v/>
      </c>
    </row>
    <row r="301" spans="1:5" ht="15.75" hidden="1" customHeight="1">
      <c r="A301" s="1" t="s">
        <v>7517</v>
      </c>
      <c r="B301" s="7" t="s">
        <v>7517</v>
      </c>
      <c r="C301" s="2" t="str">
        <f t="shared" ref="C301:D301" si="299">IF(A301=A300,"",A301)</f>
        <v/>
      </c>
      <c r="D301" s="2" t="str">
        <f t="shared" si="299"/>
        <v/>
      </c>
    </row>
    <row r="302" spans="1:5" ht="15.75" hidden="1" customHeight="1">
      <c r="A302" s="1" t="s">
        <v>7517</v>
      </c>
      <c r="B302" s="7" t="s">
        <v>7517</v>
      </c>
      <c r="C302" s="2" t="str">
        <f t="shared" ref="C302:D302" si="300">IF(A302=A301,"",A302)</f>
        <v/>
      </c>
      <c r="D302" s="2" t="str">
        <f t="shared" si="300"/>
        <v/>
      </c>
    </row>
    <row r="303" spans="1:5" ht="15.75" hidden="1" customHeight="1">
      <c r="A303" s="1" t="s">
        <v>7517</v>
      </c>
      <c r="B303" s="7" t="s">
        <v>7517</v>
      </c>
      <c r="C303" s="2" t="str">
        <f t="shared" ref="C303:D303" si="301">IF(A303=A302,"",A303)</f>
        <v/>
      </c>
      <c r="D303" s="2" t="str">
        <f t="shared" si="301"/>
        <v/>
      </c>
    </row>
    <row r="304" spans="1:5" ht="15.75" hidden="1" customHeight="1">
      <c r="A304" s="1" t="s">
        <v>7517</v>
      </c>
      <c r="B304" s="7" t="s">
        <v>7517</v>
      </c>
      <c r="C304" s="2" t="str">
        <f t="shared" ref="C304:D304" si="302">IF(A304=A303,"",A304)</f>
        <v/>
      </c>
      <c r="D304" s="2" t="str">
        <f t="shared" si="302"/>
        <v/>
      </c>
    </row>
    <row r="305" spans="1:5" ht="15.75" hidden="1" customHeight="1">
      <c r="A305" s="1" t="s">
        <v>7517</v>
      </c>
      <c r="B305" s="7" t="s">
        <v>7517</v>
      </c>
      <c r="C305" s="2" t="str">
        <f t="shared" ref="C305:D305" si="303">IF(A305=A304,"",A305)</f>
        <v/>
      </c>
      <c r="D305" s="2" t="str">
        <f t="shared" si="303"/>
        <v/>
      </c>
    </row>
    <row r="306" spans="1:5" ht="15.75" hidden="1" customHeight="1">
      <c r="A306" s="1" t="s">
        <v>7517</v>
      </c>
      <c r="B306" s="7" t="s">
        <v>7517</v>
      </c>
      <c r="C306" s="2" t="str">
        <f t="shared" ref="C306:D306" si="304">IF(A306=A305,"",A306)</f>
        <v/>
      </c>
      <c r="D306" s="2" t="str">
        <f t="shared" si="304"/>
        <v/>
      </c>
    </row>
    <row r="307" spans="1:5" ht="15.75" customHeight="1">
      <c r="A307" s="1" t="s">
        <v>5512</v>
      </c>
      <c r="B307" s="7" t="s">
        <v>5513</v>
      </c>
      <c r="C307" s="2" t="str">
        <f t="shared" ref="C307:D307" si="305">IF(A307=A306,"",A307)</f>
        <v>Madri</v>
      </c>
      <c r="D307" s="2" t="str">
        <f t="shared" si="305"/>
        <v>Madrid</v>
      </c>
      <c r="E307" s="2" t="s">
        <v>36233</v>
      </c>
    </row>
    <row r="308" spans="1:5" ht="15.75" hidden="1" customHeight="1">
      <c r="A308" s="1" t="s">
        <v>5512</v>
      </c>
      <c r="B308" s="7" t="s">
        <v>5513</v>
      </c>
      <c r="C308" s="2" t="str">
        <f t="shared" ref="C308:D308" si="306">IF(A308=A307,"",A308)</f>
        <v/>
      </c>
      <c r="D308" s="2" t="str">
        <f t="shared" si="306"/>
        <v/>
      </c>
    </row>
    <row r="309" spans="1:5" ht="15.75" hidden="1" customHeight="1">
      <c r="A309" s="1" t="s">
        <v>5512</v>
      </c>
      <c r="B309" s="7" t="s">
        <v>5513</v>
      </c>
      <c r="C309" s="2" t="str">
        <f t="shared" ref="C309:D309" si="307">IF(A309=A308,"",A309)</f>
        <v/>
      </c>
      <c r="D309" s="2" t="str">
        <f t="shared" si="307"/>
        <v/>
      </c>
    </row>
    <row r="310" spans="1:5" ht="15.75" hidden="1" customHeight="1">
      <c r="A310" s="1" t="s">
        <v>5512</v>
      </c>
      <c r="B310" s="7" t="s">
        <v>5513</v>
      </c>
      <c r="C310" s="2" t="str">
        <f t="shared" ref="C310:D310" si="308">IF(A310=A309,"",A310)</f>
        <v/>
      </c>
      <c r="D310" s="2" t="str">
        <f t="shared" si="308"/>
        <v/>
      </c>
    </row>
    <row r="311" spans="1:5" ht="15.75" hidden="1" customHeight="1">
      <c r="A311" s="1" t="s">
        <v>5512</v>
      </c>
      <c r="B311" s="7" t="s">
        <v>5513</v>
      </c>
      <c r="C311" s="2" t="str">
        <f t="shared" ref="C311:D311" si="309">IF(A311=A310,"",A311)</f>
        <v/>
      </c>
      <c r="D311" s="2" t="str">
        <f t="shared" si="309"/>
        <v/>
      </c>
    </row>
    <row r="312" spans="1:5" ht="15.75" hidden="1" customHeight="1">
      <c r="A312" s="1" t="s">
        <v>5512</v>
      </c>
      <c r="B312" s="7" t="s">
        <v>5513</v>
      </c>
      <c r="C312" s="2" t="str">
        <f t="shared" ref="C312:D312" si="310">IF(A312=A311,"",A312)</f>
        <v/>
      </c>
      <c r="D312" s="2" t="str">
        <f t="shared" si="310"/>
        <v/>
      </c>
    </row>
    <row r="313" spans="1:5" ht="15.75" hidden="1" customHeight="1">
      <c r="A313" s="1" t="s">
        <v>5512</v>
      </c>
      <c r="B313" s="7" t="s">
        <v>5513</v>
      </c>
      <c r="C313" s="2" t="str">
        <f t="shared" ref="C313:D313" si="311">IF(A313=A312,"",A313)</f>
        <v/>
      </c>
      <c r="D313" s="2" t="str">
        <f t="shared" si="311"/>
        <v/>
      </c>
    </row>
    <row r="314" spans="1:5" ht="15.75" hidden="1" customHeight="1">
      <c r="A314" s="1" t="s">
        <v>5512</v>
      </c>
      <c r="B314" s="7" t="s">
        <v>5513</v>
      </c>
      <c r="C314" s="2" t="str">
        <f t="shared" ref="C314:D314" si="312">IF(A314=A313,"",A314)</f>
        <v/>
      </c>
      <c r="D314" s="2" t="str">
        <f t="shared" si="312"/>
        <v/>
      </c>
    </row>
    <row r="315" spans="1:5" ht="15.75" customHeight="1">
      <c r="A315" s="1" t="s">
        <v>8818</v>
      </c>
      <c r="B315" s="7" t="s">
        <v>8818</v>
      </c>
      <c r="C315" s="2" t="str">
        <f t="shared" ref="C315:D315" si="313">IF(A315=A314,"",A315)</f>
        <v>Mannheim</v>
      </c>
      <c r="D315" s="2" t="str">
        <f t="shared" si="313"/>
        <v>Mannheim</v>
      </c>
      <c r="E315" s="2" t="s">
        <v>36233</v>
      </c>
    </row>
    <row r="316" spans="1:5" ht="15.75" hidden="1" customHeight="1">
      <c r="A316" s="1" t="s">
        <v>8818</v>
      </c>
      <c r="B316" s="7" t="s">
        <v>8818</v>
      </c>
      <c r="C316" s="2" t="str">
        <f t="shared" ref="C316:D316" si="314">IF(A316=A315,"",A316)</f>
        <v/>
      </c>
      <c r="D316" s="2" t="str">
        <f t="shared" si="314"/>
        <v/>
      </c>
    </row>
    <row r="317" spans="1:5" ht="15.75" hidden="1" customHeight="1">
      <c r="A317" s="1" t="s">
        <v>8818</v>
      </c>
      <c r="B317" s="7" t="s">
        <v>8818</v>
      </c>
      <c r="C317" s="2" t="str">
        <f t="shared" ref="C317:D317" si="315">IF(A317=A316,"",A317)</f>
        <v/>
      </c>
      <c r="D317" s="2" t="str">
        <f t="shared" si="315"/>
        <v/>
      </c>
    </row>
    <row r="318" spans="1:5" ht="15.75" hidden="1" customHeight="1">
      <c r="A318" s="1" t="s">
        <v>8818</v>
      </c>
      <c r="B318" s="7" t="s">
        <v>8818</v>
      </c>
      <c r="C318" s="2" t="str">
        <f t="shared" ref="C318:D318" si="316">IF(A318=A317,"",A318)</f>
        <v/>
      </c>
      <c r="D318" s="2" t="str">
        <f t="shared" si="316"/>
        <v/>
      </c>
    </row>
    <row r="319" spans="1:5" ht="15.75" hidden="1" customHeight="1">
      <c r="A319" s="1" t="s">
        <v>8818</v>
      </c>
      <c r="B319" s="7" t="s">
        <v>8818</v>
      </c>
      <c r="C319" s="2" t="str">
        <f t="shared" ref="C319:D319" si="317">IF(A319=A318,"",A319)</f>
        <v/>
      </c>
      <c r="D319" s="2" t="str">
        <f t="shared" si="317"/>
        <v/>
      </c>
    </row>
    <row r="320" spans="1:5" ht="15.75" hidden="1" customHeight="1">
      <c r="A320" s="1" t="s">
        <v>8818</v>
      </c>
      <c r="B320" s="7" t="s">
        <v>8818</v>
      </c>
      <c r="C320" s="2" t="str">
        <f t="shared" ref="C320:D320" si="318">IF(A320=A319,"",A320)</f>
        <v/>
      </c>
      <c r="D320" s="2" t="str">
        <f t="shared" si="318"/>
        <v/>
      </c>
    </row>
    <row r="321" spans="1:5" ht="15.75" hidden="1" customHeight="1">
      <c r="A321" s="1" t="s">
        <v>8818</v>
      </c>
      <c r="B321" s="7" t="s">
        <v>8818</v>
      </c>
      <c r="C321" s="2" t="str">
        <f t="shared" ref="C321:D321" si="319">IF(A321=A320,"",A321)</f>
        <v/>
      </c>
      <c r="D321" s="2" t="str">
        <f t="shared" si="319"/>
        <v/>
      </c>
    </row>
    <row r="322" spans="1:5" ht="15.75" customHeight="1">
      <c r="A322" s="1" t="s">
        <v>7540</v>
      </c>
      <c r="B322" s="7" t="s">
        <v>7541</v>
      </c>
      <c r="C322" s="2" t="str">
        <f t="shared" ref="C322:D322" si="320">IF(A322=A321,"",A322)</f>
        <v>Marselha</v>
      </c>
      <c r="D322" s="2" t="str">
        <f t="shared" si="320"/>
        <v>Marseille</v>
      </c>
      <c r="E322" s="2" t="s">
        <v>36233</v>
      </c>
    </row>
    <row r="323" spans="1:5" ht="15.75" hidden="1" customHeight="1">
      <c r="A323" s="1" t="s">
        <v>7540</v>
      </c>
      <c r="B323" s="7" t="s">
        <v>7541</v>
      </c>
      <c r="C323" s="2" t="str">
        <f t="shared" ref="C323:D323" si="321">IF(A323=A322,"",A323)</f>
        <v/>
      </c>
      <c r="D323" s="2" t="str">
        <f t="shared" si="321"/>
        <v/>
      </c>
    </row>
    <row r="324" spans="1:5" ht="15.75" hidden="1" customHeight="1">
      <c r="A324" s="1" t="s">
        <v>7540</v>
      </c>
      <c r="B324" s="7" t="s">
        <v>7541</v>
      </c>
      <c r="C324" s="2" t="str">
        <f t="shared" ref="C324:D324" si="322">IF(A324=A323,"",A324)</f>
        <v/>
      </c>
      <c r="D324" s="2" t="str">
        <f t="shared" si="322"/>
        <v/>
      </c>
    </row>
    <row r="325" spans="1:5" ht="15.75" hidden="1" customHeight="1">
      <c r="A325" s="1" t="s">
        <v>7540</v>
      </c>
      <c r="B325" s="7" t="s">
        <v>7541</v>
      </c>
      <c r="C325" s="2" t="str">
        <f t="shared" ref="C325:D325" si="323">IF(A325=A324,"",A325)</f>
        <v/>
      </c>
      <c r="D325" s="2" t="str">
        <f t="shared" si="323"/>
        <v/>
      </c>
    </row>
    <row r="326" spans="1:5" ht="15.75" hidden="1" customHeight="1">
      <c r="A326" s="1" t="s">
        <v>7540</v>
      </c>
      <c r="B326" s="7" t="s">
        <v>7541</v>
      </c>
      <c r="C326" s="2" t="str">
        <f t="shared" ref="C326:D326" si="324">IF(A326=A325,"",A326)</f>
        <v/>
      </c>
      <c r="D326" s="2" t="str">
        <f t="shared" si="324"/>
        <v/>
      </c>
    </row>
    <row r="327" spans="1:5" ht="15.75" hidden="1" customHeight="1">
      <c r="A327" s="1" t="s">
        <v>7540</v>
      </c>
      <c r="B327" s="7" t="s">
        <v>7541</v>
      </c>
      <c r="C327" s="2" t="str">
        <f t="shared" ref="C327:D327" si="325">IF(A327=A326,"",A327)</f>
        <v/>
      </c>
      <c r="D327" s="2" t="str">
        <f t="shared" si="325"/>
        <v/>
      </c>
    </row>
    <row r="328" spans="1:5" ht="15.75" hidden="1" customHeight="1">
      <c r="A328" s="1" t="s">
        <v>7540</v>
      </c>
      <c r="B328" s="7" t="s">
        <v>7541</v>
      </c>
      <c r="C328" s="2" t="str">
        <f t="shared" ref="C328:D328" si="326">IF(A328=A327,"",A328)</f>
        <v/>
      </c>
      <c r="D328" s="2" t="str">
        <f t="shared" si="326"/>
        <v/>
      </c>
    </row>
    <row r="329" spans="1:5" ht="15.75" hidden="1" customHeight="1">
      <c r="A329" s="1" t="s">
        <v>7540</v>
      </c>
      <c r="B329" s="7" t="s">
        <v>7541</v>
      </c>
      <c r="C329" s="2" t="str">
        <f t="shared" ref="C329:D329" si="327">IF(A329=A328,"",A329)</f>
        <v/>
      </c>
      <c r="D329" s="2" t="str">
        <f t="shared" si="327"/>
        <v/>
      </c>
    </row>
    <row r="330" spans="1:5" ht="15.75" hidden="1" customHeight="1">
      <c r="A330" s="1" t="s">
        <v>7540</v>
      </c>
      <c r="B330" s="7" t="s">
        <v>7541</v>
      </c>
      <c r="C330" s="2" t="str">
        <f t="shared" ref="C330:D330" si="328">IF(A330=A329,"",A330)</f>
        <v/>
      </c>
      <c r="D330" s="2" t="str">
        <f t="shared" si="328"/>
        <v/>
      </c>
    </row>
    <row r="331" spans="1:5" ht="15.75" hidden="1" customHeight="1">
      <c r="A331" s="1" t="s">
        <v>7540</v>
      </c>
      <c r="B331" s="7" t="s">
        <v>7541</v>
      </c>
      <c r="C331" s="2" t="str">
        <f t="shared" ref="C331:D331" si="329">IF(A331=A330,"",A331)</f>
        <v/>
      </c>
      <c r="D331" s="2" t="str">
        <f t="shared" si="329"/>
        <v/>
      </c>
    </row>
    <row r="332" spans="1:5" ht="15.75" hidden="1" customHeight="1">
      <c r="A332" s="1" t="s">
        <v>7540</v>
      </c>
      <c r="B332" s="7" t="s">
        <v>7541</v>
      </c>
      <c r="C332" s="2" t="str">
        <f t="shared" ref="C332:D332" si="330">IF(A332=A331,"",A332)</f>
        <v/>
      </c>
      <c r="D332" s="2" t="str">
        <f t="shared" si="330"/>
        <v/>
      </c>
    </row>
    <row r="333" spans="1:5" ht="15.75" hidden="1" customHeight="1">
      <c r="A333" s="1" t="s">
        <v>7540</v>
      </c>
      <c r="B333" s="7" t="s">
        <v>7541</v>
      </c>
      <c r="C333" s="2" t="str">
        <f t="shared" ref="C333:D333" si="331">IF(A333=A332,"",A333)</f>
        <v/>
      </c>
      <c r="D333" s="2" t="str">
        <f t="shared" si="331"/>
        <v/>
      </c>
    </row>
    <row r="334" spans="1:5" ht="15.75" hidden="1" customHeight="1">
      <c r="A334" s="1" t="s">
        <v>7540</v>
      </c>
      <c r="B334" s="7" t="s">
        <v>7541</v>
      </c>
      <c r="C334" s="2" t="str">
        <f t="shared" ref="C334:D334" si="332">IF(A334=A333,"",A334)</f>
        <v/>
      </c>
      <c r="D334" s="2" t="str">
        <f t="shared" si="332"/>
        <v/>
      </c>
    </row>
    <row r="335" spans="1:5" ht="15.75" hidden="1" customHeight="1">
      <c r="A335" s="1" t="s">
        <v>7540</v>
      </c>
      <c r="B335" s="7" t="s">
        <v>7541</v>
      </c>
      <c r="C335" s="2" t="str">
        <f t="shared" ref="C335:D335" si="333">IF(A335=A334,"",A335)</f>
        <v/>
      </c>
      <c r="D335" s="2" t="str">
        <f t="shared" si="333"/>
        <v/>
      </c>
    </row>
    <row r="336" spans="1:5" ht="15.75" hidden="1" customHeight="1">
      <c r="A336" s="1" t="s">
        <v>7540</v>
      </c>
      <c r="B336" s="7" t="s">
        <v>7541</v>
      </c>
      <c r="C336" s="2" t="str">
        <f t="shared" ref="C336:D336" si="334">IF(A336=A335,"",A336)</f>
        <v/>
      </c>
      <c r="D336" s="2" t="str">
        <f t="shared" si="334"/>
        <v/>
      </c>
    </row>
    <row r="337" spans="1:5" ht="15.75" hidden="1" customHeight="1">
      <c r="A337" s="1" t="s">
        <v>7540</v>
      </c>
      <c r="B337" s="7" t="s">
        <v>7541</v>
      </c>
      <c r="C337" s="2" t="str">
        <f t="shared" ref="C337:D337" si="335">IF(A337=A336,"",A337)</f>
        <v/>
      </c>
      <c r="D337" s="2" t="str">
        <f t="shared" si="335"/>
        <v/>
      </c>
    </row>
    <row r="338" spans="1:5" ht="15.75" hidden="1" customHeight="1">
      <c r="A338" s="1" t="s">
        <v>7540</v>
      </c>
      <c r="B338" s="7" t="s">
        <v>7541</v>
      </c>
      <c r="C338" s="2" t="str">
        <f t="shared" ref="C338:D338" si="336">IF(A338=A337,"",A338)</f>
        <v/>
      </c>
      <c r="D338" s="2" t="str">
        <f t="shared" si="336"/>
        <v/>
      </c>
    </row>
    <row r="339" spans="1:5" ht="15.75" customHeight="1">
      <c r="A339" s="1" t="s">
        <v>18085</v>
      </c>
      <c r="B339" s="7" t="s">
        <v>18085</v>
      </c>
      <c r="C339" s="2" t="str">
        <f t="shared" ref="C339:D339" si="337">IF(A339=A338,"",A339)</f>
        <v>México D.F.</v>
      </c>
      <c r="D339" s="2" t="str">
        <f t="shared" si="337"/>
        <v>México D.F.</v>
      </c>
      <c r="E339" s="2" t="s">
        <v>36233</v>
      </c>
    </row>
    <row r="340" spans="1:5" ht="15.75" hidden="1" customHeight="1">
      <c r="A340" s="1" t="s">
        <v>18085</v>
      </c>
      <c r="B340" s="7" t="s">
        <v>18085</v>
      </c>
      <c r="C340" s="2" t="str">
        <f t="shared" ref="C340:D340" si="338">IF(A340=A339,"",A340)</f>
        <v/>
      </c>
      <c r="D340" s="2" t="str">
        <f t="shared" si="338"/>
        <v/>
      </c>
    </row>
    <row r="341" spans="1:5" ht="15.75" hidden="1" customHeight="1">
      <c r="A341" s="1" t="s">
        <v>18085</v>
      </c>
      <c r="B341" s="7" t="s">
        <v>18085</v>
      </c>
      <c r="C341" s="2" t="str">
        <f t="shared" ref="C341:D341" si="339">IF(A341=A340,"",A341)</f>
        <v/>
      </c>
      <c r="D341" s="2" t="str">
        <f t="shared" si="339"/>
        <v/>
      </c>
    </row>
    <row r="342" spans="1:5" ht="15.75" hidden="1" customHeight="1">
      <c r="A342" s="1" t="s">
        <v>18085</v>
      </c>
      <c r="B342" s="7" t="s">
        <v>18085</v>
      </c>
      <c r="C342" s="2" t="str">
        <f t="shared" ref="C342:D342" si="340">IF(A342=A341,"",A342)</f>
        <v/>
      </c>
      <c r="D342" s="2" t="str">
        <f t="shared" si="340"/>
        <v/>
      </c>
    </row>
    <row r="343" spans="1:5" ht="15.75" hidden="1" customHeight="1">
      <c r="A343" s="1" t="s">
        <v>18085</v>
      </c>
      <c r="B343" s="7" t="s">
        <v>18085</v>
      </c>
      <c r="C343" s="2" t="str">
        <f t="shared" ref="C343:D343" si="341">IF(A343=A342,"",A343)</f>
        <v/>
      </c>
      <c r="D343" s="2" t="str">
        <f t="shared" si="341"/>
        <v/>
      </c>
    </row>
    <row r="344" spans="1:5" ht="15.75" hidden="1" customHeight="1">
      <c r="A344" s="1" t="s">
        <v>18085</v>
      </c>
      <c r="B344" s="7" t="s">
        <v>18085</v>
      </c>
      <c r="C344" s="2" t="str">
        <f t="shared" ref="C344:D344" si="342">IF(A344=A343,"",A344)</f>
        <v/>
      </c>
      <c r="D344" s="2" t="str">
        <f t="shared" si="342"/>
        <v/>
      </c>
    </row>
    <row r="345" spans="1:5" ht="15.75" hidden="1" customHeight="1">
      <c r="A345" s="1" t="s">
        <v>18085</v>
      </c>
      <c r="B345" s="7" t="s">
        <v>18085</v>
      </c>
      <c r="C345" s="2" t="str">
        <f t="shared" ref="C345:D345" si="343">IF(A345=A344,"",A345)</f>
        <v/>
      </c>
      <c r="D345" s="2" t="str">
        <f t="shared" si="343"/>
        <v/>
      </c>
    </row>
    <row r="346" spans="1:5" ht="15.75" hidden="1" customHeight="1">
      <c r="A346" s="1" t="s">
        <v>18085</v>
      </c>
      <c r="B346" s="7" t="s">
        <v>18085</v>
      </c>
      <c r="C346" s="2" t="str">
        <f t="shared" ref="C346:D346" si="344">IF(A346=A345,"",A346)</f>
        <v/>
      </c>
      <c r="D346" s="2" t="str">
        <f t="shared" si="344"/>
        <v/>
      </c>
    </row>
    <row r="347" spans="1:5" ht="15.75" hidden="1" customHeight="1">
      <c r="A347" s="1" t="s">
        <v>18085</v>
      </c>
      <c r="B347" s="7" t="s">
        <v>18085</v>
      </c>
      <c r="C347" s="2" t="str">
        <f t="shared" ref="C347:D347" si="345">IF(A347=A346,"",A347)</f>
        <v/>
      </c>
      <c r="D347" s="2" t="str">
        <f t="shared" si="345"/>
        <v/>
      </c>
    </row>
    <row r="348" spans="1:5" ht="15.75" hidden="1" customHeight="1">
      <c r="A348" s="1" t="s">
        <v>18085</v>
      </c>
      <c r="B348" s="7" t="s">
        <v>18085</v>
      </c>
      <c r="C348" s="2" t="str">
        <f t="shared" ref="C348:D348" si="346">IF(A348=A347,"",A348)</f>
        <v/>
      </c>
      <c r="D348" s="2" t="str">
        <f t="shared" si="346"/>
        <v/>
      </c>
    </row>
    <row r="349" spans="1:5" ht="15.75" hidden="1" customHeight="1">
      <c r="A349" s="1" t="s">
        <v>18085</v>
      </c>
      <c r="B349" s="7" t="s">
        <v>18085</v>
      </c>
      <c r="C349" s="2" t="str">
        <f t="shared" ref="C349:D349" si="347">IF(A349=A348,"",A349)</f>
        <v/>
      </c>
      <c r="D349" s="2" t="str">
        <f t="shared" si="347"/>
        <v/>
      </c>
    </row>
    <row r="350" spans="1:5" ht="15.75" hidden="1" customHeight="1">
      <c r="A350" s="1" t="s">
        <v>18085</v>
      </c>
      <c r="B350" s="7" t="s">
        <v>18085</v>
      </c>
      <c r="C350" s="2" t="str">
        <f t="shared" ref="C350:D350" si="348">IF(A350=A349,"",A350)</f>
        <v/>
      </c>
      <c r="D350" s="2" t="str">
        <f t="shared" si="348"/>
        <v/>
      </c>
    </row>
    <row r="351" spans="1:5" ht="15.75" hidden="1" customHeight="1">
      <c r="A351" s="1" t="s">
        <v>18085</v>
      </c>
      <c r="B351" s="7" t="s">
        <v>18085</v>
      </c>
      <c r="C351" s="2" t="str">
        <f t="shared" ref="C351:D351" si="349">IF(A351=A350,"",A351)</f>
        <v/>
      </c>
      <c r="D351" s="2" t="str">
        <f t="shared" si="349"/>
        <v/>
      </c>
    </row>
    <row r="352" spans="1:5" ht="15.75" hidden="1" customHeight="1">
      <c r="A352" s="1" t="s">
        <v>18085</v>
      </c>
      <c r="B352" s="7" t="s">
        <v>18085</v>
      </c>
      <c r="C352" s="2" t="str">
        <f t="shared" ref="C352:D352" si="350">IF(A352=A351,"",A352)</f>
        <v/>
      </c>
      <c r="D352" s="2" t="str">
        <f t="shared" si="350"/>
        <v/>
      </c>
    </row>
    <row r="353" spans="1:5" ht="15.75" hidden="1" customHeight="1">
      <c r="A353" s="1" t="s">
        <v>18085</v>
      </c>
      <c r="B353" s="7" t="s">
        <v>18085</v>
      </c>
      <c r="C353" s="2" t="str">
        <f t="shared" ref="C353:D353" si="351">IF(A353=A352,"",A353)</f>
        <v/>
      </c>
      <c r="D353" s="2" t="str">
        <f t="shared" si="351"/>
        <v/>
      </c>
    </row>
    <row r="354" spans="1:5" ht="15.75" hidden="1" customHeight="1">
      <c r="A354" s="1" t="s">
        <v>18085</v>
      </c>
      <c r="B354" s="7" t="s">
        <v>18085</v>
      </c>
      <c r="C354" s="2" t="str">
        <f t="shared" ref="C354:D354" si="352">IF(A354=A353,"",A354)</f>
        <v/>
      </c>
      <c r="D354" s="2" t="str">
        <f t="shared" si="352"/>
        <v/>
      </c>
    </row>
    <row r="355" spans="1:5" ht="15.75" hidden="1" customHeight="1">
      <c r="A355" s="1" t="s">
        <v>18085</v>
      </c>
      <c r="B355" s="7" t="s">
        <v>18085</v>
      </c>
      <c r="C355" s="2" t="str">
        <f t="shared" ref="C355:D355" si="353">IF(A355=A354,"",A355)</f>
        <v/>
      </c>
      <c r="D355" s="2" t="str">
        <f t="shared" si="353"/>
        <v/>
      </c>
    </row>
    <row r="356" spans="1:5" ht="15.75" hidden="1" customHeight="1">
      <c r="A356" s="1" t="s">
        <v>18085</v>
      </c>
      <c r="B356" s="7" t="s">
        <v>18085</v>
      </c>
      <c r="C356" s="2" t="str">
        <f t="shared" ref="C356:D356" si="354">IF(A356=A355,"",A356)</f>
        <v/>
      </c>
      <c r="D356" s="2" t="str">
        <f t="shared" si="354"/>
        <v/>
      </c>
    </row>
    <row r="357" spans="1:5" ht="15.75" hidden="1" customHeight="1">
      <c r="A357" s="1" t="s">
        <v>18085</v>
      </c>
      <c r="B357" s="7" t="s">
        <v>18085</v>
      </c>
      <c r="C357" s="2" t="str">
        <f t="shared" ref="C357:D357" si="355">IF(A357=A356,"",A357)</f>
        <v/>
      </c>
      <c r="D357" s="2" t="str">
        <f t="shared" si="355"/>
        <v/>
      </c>
    </row>
    <row r="358" spans="1:5" ht="15.75" hidden="1" customHeight="1">
      <c r="A358" s="1" t="s">
        <v>18085</v>
      </c>
      <c r="B358" s="7" t="s">
        <v>18085</v>
      </c>
      <c r="C358" s="2" t="str">
        <f t="shared" ref="C358:D358" si="356">IF(A358=A357,"",A358)</f>
        <v/>
      </c>
      <c r="D358" s="2" t="str">
        <f t="shared" si="356"/>
        <v/>
      </c>
    </row>
    <row r="359" spans="1:5" ht="15.75" hidden="1" customHeight="1">
      <c r="A359" s="1" t="s">
        <v>18085</v>
      </c>
      <c r="B359" s="7" t="s">
        <v>18085</v>
      </c>
      <c r="C359" s="2" t="str">
        <f t="shared" ref="C359:D359" si="357">IF(A359=A358,"",A359)</f>
        <v/>
      </c>
      <c r="D359" s="2" t="str">
        <f t="shared" si="357"/>
        <v/>
      </c>
    </row>
    <row r="360" spans="1:5" ht="15.75" hidden="1" customHeight="1">
      <c r="A360" s="1" t="s">
        <v>18085</v>
      </c>
      <c r="B360" s="7" t="s">
        <v>18085</v>
      </c>
      <c r="C360" s="2" t="str">
        <f t="shared" ref="C360:D360" si="358">IF(A360=A359,"",A360)</f>
        <v/>
      </c>
      <c r="D360" s="2" t="str">
        <f t="shared" si="358"/>
        <v/>
      </c>
    </row>
    <row r="361" spans="1:5" ht="15.75" hidden="1" customHeight="1">
      <c r="A361" s="1" t="s">
        <v>18085</v>
      </c>
      <c r="B361" s="7" t="s">
        <v>18085</v>
      </c>
      <c r="C361" s="2" t="str">
        <f t="shared" ref="C361:D361" si="359">IF(A361=A360,"",A361)</f>
        <v/>
      </c>
      <c r="D361" s="2" t="str">
        <f t="shared" si="359"/>
        <v/>
      </c>
    </row>
    <row r="362" spans="1:5" ht="15.75" hidden="1" customHeight="1">
      <c r="A362" s="1" t="s">
        <v>18085</v>
      </c>
      <c r="B362" s="7" t="s">
        <v>18085</v>
      </c>
      <c r="C362" s="2" t="str">
        <f t="shared" ref="C362:D362" si="360">IF(A362=A361,"",A362)</f>
        <v/>
      </c>
      <c r="D362" s="2" t="str">
        <f t="shared" si="360"/>
        <v/>
      </c>
    </row>
    <row r="363" spans="1:5" ht="15.75" hidden="1" customHeight="1">
      <c r="A363" s="1" t="s">
        <v>18085</v>
      </c>
      <c r="B363" s="7" t="s">
        <v>18085</v>
      </c>
      <c r="C363" s="2" t="str">
        <f t="shared" ref="C363:D363" si="361">IF(A363=A362,"",A363)</f>
        <v/>
      </c>
      <c r="D363" s="2" t="str">
        <f t="shared" si="361"/>
        <v/>
      </c>
    </row>
    <row r="364" spans="1:5" ht="15.75" hidden="1" customHeight="1">
      <c r="A364" s="1" t="s">
        <v>18085</v>
      </c>
      <c r="B364" s="7" t="s">
        <v>18085</v>
      </c>
      <c r="C364" s="2" t="str">
        <f t="shared" ref="C364:D364" si="362">IF(A364=A363,"",A364)</f>
        <v/>
      </c>
      <c r="D364" s="2" t="str">
        <f t="shared" si="362"/>
        <v/>
      </c>
    </row>
    <row r="365" spans="1:5" ht="15.75" hidden="1" customHeight="1">
      <c r="A365" s="1" t="s">
        <v>18085</v>
      </c>
      <c r="B365" s="7" t="s">
        <v>18085</v>
      </c>
      <c r="C365" s="2" t="str">
        <f t="shared" ref="C365:D365" si="363">IF(A365=A364,"",A365)</f>
        <v/>
      </c>
      <c r="D365" s="2" t="str">
        <f t="shared" si="363"/>
        <v/>
      </c>
    </row>
    <row r="366" spans="1:5" ht="15.75" hidden="1" customHeight="1">
      <c r="A366" s="1" t="s">
        <v>18085</v>
      </c>
      <c r="B366" s="7" t="s">
        <v>18085</v>
      </c>
      <c r="C366" s="2" t="str">
        <f t="shared" ref="C366:D366" si="364">IF(A366=A365,"",A366)</f>
        <v/>
      </c>
      <c r="D366" s="2" t="str">
        <f t="shared" si="364"/>
        <v/>
      </c>
    </row>
    <row r="367" spans="1:5" ht="15.75" customHeight="1">
      <c r="A367" s="1" t="s">
        <v>8867</v>
      </c>
      <c r="B367" s="7" t="s">
        <v>8867</v>
      </c>
      <c r="C367" s="2" t="str">
        <f t="shared" ref="C367:D367" si="365">IF(A367=A366,"",A367)</f>
        <v>München</v>
      </c>
      <c r="D367" s="2" t="str">
        <f t="shared" si="365"/>
        <v>München</v>
      </c>
      <c r="E367" s="2" t="s">
        <v>36233</v>
      </c>
    </row>
    <row r="368" spans="1:5" ht="15.75" hidden="1" customHeight="1">
      <c r="A368" s="1" t="s">
        <v>8867</v>
      </c>
      <c r="B368" s="7" t="s">
        <v>8867</v>
      </c>
      <c r="C368" s="2" t="str">
        <f t="shared" ref="C368:D368" si="366">IF(A368=A367,"",A368)</f>
        <v/>
      </c>
      <c r="D368" s="2" t="str">
        <f t="shared" si="366"/>
        <v/>
      </c>
    </row>
    <row r="369" spans="1:5" ht="15.75" hidden="1" customHeight="1">
      <c r="A369" s="1" t="s">
        <v>8867</v>
      </c>
      <c r="B369" s="7" t="s">
        <v>8867</v>
      </c>
      <c r="C369" s="2" t="str">
        <f t="shared" ref="C369:D369" si="367">IF(A369=A368,"",A369)</f>
        <v/>
      </c>
      <c r="D369" s="2" t="str">
        <f t="shared" si="367"/>
        <v/>
      </c>
    </row>
    <row r="370" spans="1:5" ht="15.75" hidden="1" customHeight="1">
      <c r="A370" s="1" t="s">
        <v>8867</v>
      </c>
      <c r="B370" s="7" t="s">
        <v>8867</v>
      </c>
      <c r="C370" s="2" t="str">
        <f t="shared" ref="C370:D370" si="368">IF(A370=A369,"",A370)</f>
        <v/>
      </c>
      <c r="D370" s="2" t="str">
        <f t="shared" si="368"/>
        <v/>
      </c>
    </row>
    <row r="371" spans="1:5" ht="15.75" hidden="1" customHeight="1">
      <c r="A371" s="1" t="s">
        <v>8867</v>
      </c>
      <c r="B371" s="7" t="s">
        <v>8867</v>
      </c>
      <c r="C371" s="2" t="str">
        <f t="shared" ref="C371:D371" si="369">IF(A371=A370,"",A371)</f>
        <v/>
      </c>
      <c r="D371" s="2" t="str">
        <f t="shared" si="369"/>
        <v/>
      </c>
    </row>
    <row r="372" spans="1:5" ht="15.75" hidden="1" customHeight="1">
      <c r="A372" s="1" t="s">
        <v>8867</v>
      </c>
      <c r="B372" s="7" t="s">
        <v>8867</v>
      </c>
      <c r="C372" s="2" t="str">
        <f t="shared" ref="C372:D372" si="370">IF(A372=A371,"",A372)</f>
        <v/>
      </c>
      <c r="D372" s="2" t="str">
        <f t="shared" si="370"/>
        <v/>
      </c>
    </row>
    <row r="373" spans="1:5" ht="15.75" hidden="1" customHeight="1">
      <c r="A373" s="1" t="s">
        <v>8867</v>
      </c>
      <c r="B373" s="7" t="s">
        <v>8867</v>
      </c>
      <c r="C373" s="2" t="str">
        <f t="shared" ref="C373:D373" si="371">IF(A373=A372,"",A373)</f>
        <v/>
      </c>
      <c r="D373" s="2" t="str">
        <f t="shared" si="371"/>
        <v/>
      </c>
    </row>
    <row r="374" spans="1:5" ht="15.75" hidden="1" customHeight="1">
      <c r="A374" s="1" t="s">
        <v>8867</v>
      </c>
      <c r="B374" s="7" t="s">
        <v>8867</v>
      </c>
      <c r="C374" s="2" t="str">
        <f t="shared" ref="C374:D374" si="372">IF(A374=A373,"",A374)</f>
        <v/>
      </c>
      <c r="D374" s="2" t="str">
        <f t="shared" si="372"/>
        <v/>
      </c>
    </row>
    <row r="375" spans="1:5" ht="15.75" hidden="1" customHeight="1">
      <c r="A375" s="1" t="s">
        <v>8867</v>
      </c>
      <c r="B375" s="7" t="s">
        <v>8867</v>
      </c>
      <c r="C375" s="2" t="str">
        <f t="shared" ref="C375:D375" si="373">IF(A375=A374,"",A375)</f>
        <v/>
      </c>
      <c r="D375" s="2" t="str">
        <f t="shared" si="373"/>
        <v/>
      </c>
    </row>
    <row r="376" spans="1:5" ht="15.75" hidden="1" customHeight="1">
      <c r="A376" s="1" t="s">
        <v>8867</v>
      </c>
      <c r="B376" s="7" t="s">
        <v>8867</v>
      </c>
      <c r="C376" s="2" t="str">
        <f t="shared" ref="C376:D376" si="374">IF(A376=A375,"",A376)</f>
        <v/>
      </c>
      <c r="D376" s="2" t="str">
        <f t="shared" si="374"/>
        <v/>
      </c>
    </row>
    <row r="377" spans="1:5" ht="15.75" hidden="1" customHeight="1">
      <c r="A377" s="1" t="s">
        <v>8867</v>
      </c>
      <c r="B377" s="7" t="s">
        <v>8867</v>
      </c>
      <c r="C377" s="2" t="str">
        <f t="shared" ref="C377:D377" si="375">IF(A377=A376,"",A377)</f>
        <v/>
      </c>
      <c r="D377" s="2" t="str">
        <f t="shared" si="375"/>
        <v/>
      </c>
    </row>
    <row r="378" spans="1:5" ht="15.75" hidden="1" customHeight="1">
      <c r="A378" s="1" t="s">
        <v>8867</v>
      </c>
      <c r="B378" s="7" t="s">
        <v>8867</v>
      </c>
      <c r="C378" s="2" t="str">
        <f t="shared" ref="C378:D378" si="376">IF(A378=A377,"",A378)</f>
        <v/>
      </c>
      <c r="D378" s="2" t="str">
        <f t="shared" si="376"/>
        <v/>
      </c>
    </row>
    <row r="379" spans="1:5" ht="15.75" hidden="1" customHeight="1">
      <c r="A379" s="1" t="s">
        <v>8867</v>
      </c>
      <c r="B379" s="7" t="s">
        <v>8867</v>
      </c>
      <c r="C379" s="2" t="str">
        <f t="shared" ref="C379:D379" si="377">IF(A379=A378,"",A379)</f>
        <v/>
      </c>
      <c r="D379" s="2" t="str">
        <f t="shared" si="377"/>
        <v/>
      </c>
    </row>
    <row r="380" spans="1:5" ht="15.75" hidden="1" customHeight="1">
      <c r="A380" s="1" t="s">
        <v>8867</v>
      </c>
      <c r="B380" s="7" t="s">
        <v>8867</v>
      </c>
      <c r="C380" s="2" t="str">
        <f t="shared" ref="C380:D380" si="378">IF(A380=A379,"",A380)</f>
        <v/>
      </c>
      <c r="D380" s="2" t="str">
        <f t="shared" si="378"/>
        <v/>
      </c>
    </row>
    <row r="381" spans="1:5" ht="15.75" hidden="1" customHeight="1">
      <c r="A381" s="1" t="s">
        <v>8867</v>
      </c>
      <c r="B381" s="7" t="s">
        <v>8867</v>
      </c>
      <c r="C381" s="2" t="str">
        <f t="shared" ref="C381:D381" si="379">IF(A381=A380,"",A381)</f>
        <v/>
      </c>
      <c r="D381" s="2" t="str">
        <f t="shared" si="379"/>
        <v/>
      </c>
    </row>
    <row r="382" spans="1:5" ht="15.75" customHeight="1">
      <c r="A382" s="1" t="s">
        <v>8869</v>
      </c>
      <c r="B382" s="7" t="s">
        <v>8869</v>
      </c>
      <c r="C382" s="2" t="str">
        <f t="shared" ref="C382:D382" si="380">IF(A382=A381,"",A382)</f>
        <v>Münster</v>
      </c>
      <c r="D382" s="2" t="str">
        <f t="shared" si="380"/>
        <v>Münster</v>
      </c>
      <c r="E382" s="2" t="s">
        <v>36233</v>
      </c>
    </row>
    <row r="383" spans="1:5" ht="15.75" hidden="1" customHeight="1">
      <c r="A383" s="1" t="s">
        <v>8869</v>
      </c>
      <c r="B383" s="7" t="s">
        <v>8869</v>
      </c>
      <c r="C383" s="2" t="str">
        <f t="shared" ref="C383:D383" si="381">IF(A383=A382,"",A383)</f>
        <v/>
      </c>
      <c r="D383" s="2" t="str">
        <f t="shared" si="381"/>
        <v/>
      </c>
    </row>
    <row r="384" spans="1:5" ht="15.75" hidden="1" customHeight="1">
      <c r="A384" s="1" t="s">
        <v>8869</v>
      </c>
      <c r="B384" s="7" t="s">
        <v>8869</v>
      </c>
      <c r="C384" s="2" t="str">
        <f t="shared" ref="C384:D384" si="382">IF(A384=A383,"",A384)</f>
        <v/>
      </c>
      <c r="D384" s="2" t="str">
        <f t="shared" si="382"/>
        <v/>
      </c>
    </row>
    <row r="385" spans="1:5" ht="15.75" hidden="1" customHeight="1">
      <c r="A385" s="1" t="s">
        <v>8869</v>
      </c>
      <c r="B385" s="7" t="s">
        <v>8869</v>
      </c>
      <c r="C385" s="2" t="str">
        <f t="shared" ref="C385:D385" si="383">IF(A385=A384,"",A385)</f>
        <v/>
      </c>
      <c r="D385" s="2" t="str">
        <f t="shared" si="383"/>
        <v/>
      </c>
    </row>
    <row r="386" spans="1:5" ht="15.75" hidden="1" customHeight="1">
      <c r="A386" s="1" t="s">
        <v>8869</v>
      </c>
      <c r="B386" s="7" t="s">
        <v>8869</v>
      </c>
      <c r="C386" s="2" t="str">
        <f t="shared" ref="C386:D386" si="384">IF(A386=A385,"",A386)</f>
        <v/>
      </c>
      <c r="D386" s="2" t="str">
        <f t="shared" si="384"/>
        <v/>
      </c>
    </row>
    <row r="387" spans="1:5" ht="15.75" hidden="1" customHeight="1">
      <c r="A387" s="1" t="s">
        <v>8869</v>
      </c>
      <c r="B387" s="7" t="s">
        <v>8869</v>
      </c>
      <c r="C387" s="2" t="str">
        <f t="shared" ref="C387:D387" si="385">IF(A387=A386,"",A387)</f>
        <v/>
      </c>
      <c r="D387" s="2" t="str">
        <f t="shared" si="385"/>
        <v/>
      </c>
    </row>
    <row r="388" spans="1:5" ht="15.75" customHeight="1">
      <c r="A388" s="1" t="s">
        <v>7634</v>
      </c>
      <c r="B388" s="7" t="s">
        <v>7634</v>
      </c>
      <c r="C388" s="2" t="str">
        <f t="shared" ref="C388:D388" si="386">IF(A388=A387,"",A388)</f>
        <v>Nantes</v>
      </c>
      <c r="D388" s="2" t="str">
        <f t="shared" si="386"/>
        <v>Nantes</v>
      </c>
      <c r="E388" s="2" t="s">
        <v>36233</v>
      </c>
    </row>
    <row r="389" spans="1:5" ht="15.75" hidden="1" customHeight="1">
      <c r="A389" s="1" t="s">
        <v>7634</v>
      </c>
      <c r="B389" s="7" t="s">
        <v>7634</v>
      </c>
      <c r="C389" s="2" t="str">
        <f t="shared" ref="C389:D389" si="387">IF(A389=A388,"",A389)</f>
        <v/>
      </c>
      <c r="D389" s="2" t="str">
        <f t="shared" si="387"/>
        <v/>
      </c>
    </row>
    <row r="390" spans="1:5" ht="15.75" hidden="1" customHeight="1">
      <c r="A390" s="1" t="s">
        <v>7634</v>
      </c>
      <c r="B390" s="7" t="s">
        <v>7634</v>
      </c>
      <c r="C390" s="2" t="str">
        <f t="shared" ref="C390:D390" si="388">IF(A390=A389,"",A390)</f>
        <v/>
      </c>
      <c r="D390" s="2" t="str">
        <f t="shared" si="388"/>
        <v/>
      </c>
    </row>
    <row r="391" spans="1:5" ht="15.75" hidden="1" customHeight="1">
      <c r="A391" s="1" t="s">
        <v>7634</v>
      </c>
      <c r="B391" s="7" t="s">
        <v>7634</v>
      </c>
      <c r="C391" s="2" t="str">
        <f t="shared" ref="C391:D391" si="389">IF(A391=A390,"",A391)</f>
        <v/>
      </c>
      <c r="D391" s="2" t="str">
        <f t="shared" si="389"/>
        <v/>
      </c>
    </row>
    <row r="392" spans="1:5" ht="15.75" hidden="1" customHeight="1">
      <c r="A392" s="1" t="s">
        <v>7634</v>
      </c>
      <c r="B392" s="7" t="s">
        <v>7634</v>
      </c>
      <c r="C392" s="2" t="str">
        <f t="shared" ref="C392:D392" si="390">IF(A392=A391,"",A392)</f>
        <v/>
      </c>
      <c r="D392" s="2" t="str">
        <f t="shared" si="390"/>
        <v/>
      </c>
    </row>
    <row r="393" spans="1:5" ht="15.75" hidden="1" customHeight="1">
      <c r="A393" s="1" t="s">
        <v>7634</v>
      </c>
      <c r="B393" s="7" t="s">
        <v>7634</v>
      </c>
      <c r="C393" s="2" t="str">
        <f t="shared" ref="C393:D393" si="391">IF(A393=A392,"",A393)</f>
        <v/>
      </c>
      <c r="D393" s="2" t="str">
        <f t="shared" si="391"/>
        <v/>
      </c>
    </row>
    <row r="394" spans="1:5" ht="15.75" hidden="1" customHeight="1">
      <c r="A394" s="1" t="s">
        <v>7634</v>
      </c>
      <c r="B394" s="7" t="s">
        <v>7634</v>
      </c>
      <c r="C394" s="2" t="str">
        <f t="shared" ref="C394:D394" si="392">IF(A394=A393,"",A394)</f>
        <v/>
      </c>
      <c r="D394" s="2" t="str">
        <f t="shared" si="392"/>
        <v/>
      </c>
    </row>
    <row r="395" spans="1:5" ht="15.75" customHeight="1">
      <c r="A395" s="1" t="s">
        <v>7019</v>
      </c>
      <c r="B395" s="7" t="s">
        <v>7019</v>
      </c>
      <c r="C395" s="2" t="str">
        <f t="shared" ref="C395:D395" si="393">IF(A395=A394,"",A395)</f>
        <v>Oulu</v>
      </c>
      <c r="D395" s="2" t="str">
        <f t="shared" si="393"/>
        <v>Oulu</v>
      </c>
      <c r="E395" s="2" t="s">
        <v>36233</v>
      </c>
    </row>
    <row r="396" spans="1:5" ht="15.75" hidden="1" customHeight="1">
      <c r="A396" s="1" t="s">
        <v>7019</v>
      </c>
      <c r="B396" s="7" t="s">
        <v>7019</v>
      </c>
      <c r="C396" s="2" t="str">
        <f t="shared" ref="C396:D396" si="394">IF(A396=A395,"",A396)</f>
        <v/>
      </c>
      <c r="D396" s="2" t="str">
        <f t="shared" si="394"/>
        <v/>
      </c>
    </row>
    <row r="397" spans="1:5" ht="15.75" hidden="1" customHeight="1">
      <c r="A397" s="1" t="s">
        <v>7019</v>
      </c>
      <c r="B397" s="7" t="s">
        <v>7019</v>
      </c>
      <c r="C397" s="2" t="str">
        <f t="shared" ref="C397:D397" si="395">IF(A397=A396,"",A397)</f>
        <v/>
      </c>
      <c r="D397" s="2" t="str">
        <f t="shared" si="395"/>
        <v/>
      </c>
    </row>
    <row r="398" spans="1:5" ht="15.75" hidden="1" customHeight="1">
      <c r="A398" s="1" t="s">
        <v>7019</v>
      </c>
      <c r="B398" s="7" t="s">
        <v>7019</v>
      </c>
      <c r="C398" s="2" t="str">
        <f t="shared" ref="C398:D398" si="396">IF(A398=A397,"",A398)</f>
        <v/>
      </c>
      <c r="D398" s="2" t="str">
        <f t="shared" si="396"/>
        <v/>
      </c>
    </row>
    <row r="399" spans="1:5" ht="15.75" hidden="1" customHeight="1">
      <c r="A399" s="1" t="s">
        <v>7019</v>
      </c>
      <c r="B399" s="7" t="s">
        <v>7019</v>
      </c>
      <c r="C399" s="2" t="str">
        <f t="shared" ref="C399:D399" si="397">IF(A399=A398,"",A399)</f>
        <v/>
      </c>
      <c r="D399" s="2" t="str">
        <f t="shared" si="397"/>
        <v/>
      </c>
    </row>
    <row r="400" spans="1:5" ht="15.75" hidden="1" customHeight="1">
      <c r="A400" s="1" t="s">
        <v>7019</v>
      </c>
      <c r="B400" s="7" t="s">
        <v>7019</v>
      </c>
      <c r="C400" s="2" t="str">
        <f t="shared" ref="C400:D400" si="398">IF(A400=A399,"",A400)</f>
        <v/>
      </c>
      <c r="D400" s="2" t="str">
        <f t="shared" si="398"/>
        <v/>
      </c>
    </row>
    <row r="401" spans="1:5" ht="15.75" hidden="1" customHeight="1">
      <c r="A401" s="1" t="s">
        <v>7019</v>
      </c>
      <c r="B401" s="7" t="s">
        <v>7019</v>
      </c>
      <c r="C401" s="2" t="str">
        <f t="shared" ref="C401:D401" si="399">IF(A401=A400,"",A401)</f>
        <v/>
      </c>
      <c r="D401" s="2" t="str">
        <f t="shared" si="399"/>
        <v/>
      </c>
    </row>
    <row r="402" spans="1:5" ht="15.75" hidden="1" customHeight="1">
      <c r="A402" s="1" t="s">
        <v>7019</v>
      </c>
      <c r="B402" s="7" t="s">
        <v>7019</v>
      </c>
      <c r="C402" s="2" t="str">
        <f t="shared" ref="C402:D402" si="400">IF(A402=A401,"",A402)</f>
        <v/>
      </c>
      <c r="D402" s="2" t="str">
        <f t="shared" si="400"/>
        <v/>
      </c>
    </row>
    <row r="403" spans="1:5" ht="15.75" hidden="1" customHeight="1">
      <c r="A403" s="1" t="s">
        <v>7019</v>
      </c>
      <c r="B403" s="7" t="s">
        <v>7019</v>
      </c>
      <c r="C403" s="2" t="str">
        <f t="shared" ref="C403:D403" si="401">IF(A403=A402,"",A403)</f>
        <v/>
      </c>
      <c r="D403" s="2" t="str">
        <f t="shared" si="401"/>
        <v/>
      </c>
    </row>
    <row r="404" spans="1:5" ht="15.75" hidden="1" customHeight="1">
      <c r="A404" s="1" t="s">
        <v>7019</v>
      </c>
      <c r="B404" s="7" t="s">
        <v>7019</v>
      </c>
      <c r="C404" s="2" t="str">
        <f t="shared" ref="C404:D404" si="402">IF(A404=A403,"",A404)</f>
        <v/>
      </c>
      <c r="D404" s="2" t="str">
        <f t="shared" si="402"/>
        <v/>
      </c>
    </row>
    <row r="405" spans="1:5" ht="15.75" hidden="1" customHeight="1">
      <c r="A405" s="1" t="s">
        <v>7019</v>
      </c>
      <c r="B405" s="7" t="s">
        <v>7019</v>
      </c>
      <c r="C405" s="2" t="str">
        <f t="shared" ref="C405:D405" si="403">IF(A405=A404,"",A405)</f>
        <v/>
      </c>
      <c r="D405" s="2" t="str">
        <f t="shared" si="403"/>
        <v/>
      </c>
    </row>
    <row r="406" spans="1:5" ht="15.75" hidden="1" customHeight="1">
      <c r="A406" s="1" t="s">
        <v>7019</v>
      </c>
      <c r="B406" s="7" t="s">
        <v>7019</v>
      </c>
      <c r="C406" s="2" t="str">
        <f t="shared" ref="C406:D406" si="404">IF(A406=A405,"",A406)</f>
        <v/>
      </c>
      <c r="D406" s="2" t="str">
        <f t="shared" si="404"/>
        <v/>
      </c>
    </row>
    <row r="407" spans="1:5" ht="15.75" hidden="1" customHeight="1">
      <c r="A407" s="1" t="s">
        <v>7019</v>
      </c>
      <c r="B407" s="7" t="s">
        <v>7019</v>
      </c>
      <c r="C407" s="2" t="str">
        <f t="shared" ref="C407:D407" si="405">IF(A407=A406,"",A407)</f>
        <v/>
      </c>
      <c r="D407" s="2" t="str">
        <f t="shared" si="405"/>
        <v/>
      </c>
    </row>
    <row r="408" spans="1:5" ht="15.75" hidden="1" customHeight="1">
      <c r="A408" s="1" t="s">
        <v>7019</v>
      </c>
      <c r="B408" s="7" t="s">
        <v>7019</v>
      </c>
      <c r="C408" s="2" t="str">
        <f t="shared" ref="C408:D408" si="406">IF(A408=A407,"",A408)</f>
        <v/>
      </c>
      <c r="D408" s="2" t="str">
        <f t="shared" si="406"/>
        <v/>
      </c>
    </row>
    <row r="409" spans="1:5" ht="15.75" hidden="1" customHeight="1">
      <c r="A409" s="1" t="s">
        <v>7019</v>
      </c>
      <c r="B409" s="7" t="s">
        <v>7019</v>
      </c>
      <c r="C409" s="2" t="str">
        <f t="shared" ref="C409:D409" si="407">IF(A409=A408,"",A409)</f>
        <v/>
      </c>
      <c r="D409" s="2" t="str">
        <f t="shared" si="407"/>
        <v/>
      </c>
    </row>
    <row r="410" spans="1:5" ht="15.75" customHeight="1">
      <c r="A410" s="1" t="s">
        <v>7671</v>
      </c>
      <c r="B410" s="7" t="s">
        <v>7671</v>
      </c>
      <c r="C410" s="2" t="str">
        <f t="shared" ref="C410:D410" si="408">IF(A410=A409,"",A410)</f>
        <v>Paris</v>
      </c>
      <c r="D410" s="2" t="str">
        <f t="shared" si="408"/>
        <v>Paris</v>
      </c>
      <c r="E410" s="2" t="s">
        <v>36233</v>
      </c>
    </row>
    <row r="411" spans="1:5" ht="15.75" hidden="1" customHeight="1">
      <c r="A411" s="1" t="s">
        <v>7671</v>
      </c>
      <c r="B411" s="7" t="s">
        <v>7671</v>
      </c>
      <c r="C411" s="2" t="str">
        <f t="shared" ref="C411:D411" si="409">IF(A411=A410,"",A411)</f>
        <v/>
      </c>
      <c r="D411" s="2" t="str">
        <f t="shared" si="409"/>
        <v/>
      </c>
    </row>
    <row r="412" spans="1:5" ht="15.75" hidden="1" customHeight="1">
      <c r="A412" s="1" t="s">
        <v>7671</v>
      </c>
      <c r="B412" s="7" t="s">
        <v>7671</v>
      </c>
      <c r="C412" s="2" t="str">
        <f t="shared" ref="C412:D412" si="410">IF(A412=A411,"",A412)</f>
        <v/>
      </c>
      <c r="D412" s="2" t="str">
        <f t="shared" si="410"/>
        <v/>
      </c>
    </row>
    <row r="413" spans="1:5" ht="15.75" hidden="1" customHeight="1">
      <c r="A413" s="1" t="s">
        <v>7671</v>
      </c>
      <c r="B413" s="7" t="s">
        <v>7671</v>
      </c>
      <c r="C413" s="2" t="str">
        <f t="shared" ref="C413:D413" si="411">IF(A413=A412,"",A413)</f>
        <v/>
      </c>
      <c r="D413" s="2" t="str">
        <f t="shared" si="411"/>
        <v/>
      </c>
    </row>
    <row r="414" spans="1:5" ht="15.75" customHeight="1">
      <c r="A414" s="1" t="s">
        <v>15406</v>
      </c>
      <c r="B414" s="7" t="s">
        <v>15406</v>
      </c>
      <c r="C414" s="2" t="str">
        <f t="shared" ref="C414:D414" si="412">IF(A414=A413,"",A414)</f>
        <v>Reggio Emilia</v>
      </c>
      <c r="D414" s="2" t="str">
        <f t="shared" si="412"/>
        <v>Reggio Emilia</v>
      </c>
      <c r="E414" s="2" t="s">
        <v>36233</v>
      </c>
    </row>
    <row r="415" spans="1:5" ht="15.75" hidden="1" customHeight="1">
      <c r="A415" s="1" t="s">
        <v>15406</v>
      </c>
      <c r="B415" s="7" t="s">
        <v>15406</v>
      </c>
      <c r="C415" s="2" t="str">
        <f t="shared" ref="C415:D415" si="413">IF(A415=A414,"",A415)</f>
        <v/>
      </c>
      <c r="D415" s="2" t="str">
        <f t="shared" si="413"/>
        <v/>
      </c>
    </row>
    <row r="416" spans="1:5" ht="15.75" hidden="1" customHeight="1">
      <c r="A416" s="1" t="s">
        <v>15406</v>
      </c>
      <c r="B416" s="7" t="s">
        <v>15406</v>
      </c>
      <c r="C416" s="2" t="str">
        <f t="shared" ref="C416:D416" si="414">IF(A416=A415,"",A416)</f>
        <v/>
      </c>
      <c r="D416" s="2" t="str">
        <f t="shared" si="414"/>
        <v/>
      </c>
    </row>
    <row r="417" spans="1:5" ht="15.75" hidden="1" customHeight="1">
      <c r="A417" s="1" t="s">
        <v>15406</v>
      </c>
      <c r="B417" s="7" t="s">
        <v>15406</v>
      </c>
      <c r="C417" s="2" t="str">
        <f t="shared" ref="C417:D417" si="415">IF(A417=A416,"",A417)</f>
        <v/>
      </c>
      <c r="D417" s="2" t="str">
        <f t="shared" si="415"/>
        <v/>
      </c>
    </row>
    <row r="418" spans="1:5" ht="15.75" hidden="1" customHeight="1">
      <c r="A418" s="1" t="s">
        <v>15406</v>
      </c>
      <c r="B418" s="7" t="s">
        <v>15406</v>
      </c>
      <c r="C418" s="2" t="str">
        <f t="shared" ref="C418:D418" si="416">IF(A418=A417,"",A418)</f>
        <v/>
      </c>
      <c r="D418" s="2" t="str">
        <f t="shared" si="416"/>
        <v/>
      </c>
    </row>
    <row r="419" spans="1:5" ht="15.75" hidden="1" customHeight="1">
      <c r="A419" s="1" t="s">
        <v>15406</v>
      </c>
      <c r="B419" s="7" t="s">
        <v>15406</v>
      </c>
      <c r="C419" s="2" t="str">
        <f t="shared" ref="C419:D419" si="417">IF(A419=A418,"",A419)</f>
        <v/>
      </c>
      <c r="D419" s="2" t="str">
        <f t="shared" si="417"/>
        <v/>
      </c>
    </row>
    <row r="420" spans="1:5" ht="15.75" hidden="1" customHeight="1">
      <c r="A420" s="1" t="s">
        <v>15406</v>
      </c>
      <c r="B420" s="7" t="s">
        <v>15406</v>
      </c>
      <c r="C420" s="2" t="str">
        <f t="shared" ref="C420:D420" si="418">IF(A420=A419,"",A420)</f>
        <v/>
      </c>
      <c r="D420" s="2" t="str">
        <f t="shared" si="418"/>
        <v/>
      </c>
    </row>
    <row r="421" spans="1:5" ht="15.75" hidden="1" customHeight="1">
      <c r="A421" s="1" t="s">
        <v>15406</v>
      </c>
      <c r="B421" s="7" t="s">
        <v>15406</v>
      </c>
      <c r="C421" s="2" t="str">
        <f t="shared" ref="C421:D421" si="419">IF(A421=A420,"",A421)</f>
        <v/>
      </c>
      <c r="D421" s="2" t="str">
        <f t="shared" si="419"/>
        <v/>
      </c>
    </row>
    <row r="422" spans="1:5" ht="15.75" hidden="1" customHeight="1">
      <c r="A422" s="1" t="s">
        <v>15406</v>
      </c>
      <c r="B422" s="7" t="s">
        <v>15406</v>
      </c>
      <c r="C422" s="2" t="str">
        <f t="shared" ref="C422:D422" si="420">IF(A422=A421,"",A422)</f>
        <v/>
      </c>
      <c r="D422" s="2" t="str">
        <f t="shared" si="420"/>
        <v/>
      </c>
    </row>
    <row r="423" spans="1:5" ht="15.75" hidden="1" customHeight="1">
      <c r="A423" s="1" t="s">
        <v>15406</v>
      </c>
      <c r="B423" s="7" t="s">
        <v>15406</v>
      </c>
      <c r="C423" s="2" t="str">
        <f t="shared" ref="C423:D423" si="421">IF(A423=A422,"",A423)</f>
        <v/>
      </c>
      <c r="D423" s="2" t="str">
        <f t="shared" si="421"/>
        <v/>
      </c>
    </row>
    <row r="424" spans="1:5" ht="15.75" hidden="1" customHeight="1">
      <c r="A424" s="1" t="s">
        <v>15406</v>
      </c>
      <c r="B424" s="7" t="s">
        <v>15406</v>
      </c>
      <c r="C424" s="2" t="str">
        <f t="shared" ref="C424:D424" si="422">IF(A424=A423,"",A424)</f>
        <v/>
      </c>
      <c r="D424" s="2" t="str">
        <f t="shared" si="422"/>
        <v/>
      </c>
    </row>
    <row r="425" spans="1:5" ht="15.75" hidden="1" customHeight="1">
      <c r="A425" s="1" t="s">
        <v>15406</v>
      </c>
      <c r="B425" s="7" t="s">
        <v>15406</v>
      </c>
      <c r="C425" s="2" t="str">
        <f t="shared" ref="C425:D425" si="423">IF(A425=A424,"",A425)</f>
        <v/>
      </c>
      <c r="D425" s="2" t="str">
        <f t="shared" si="423"/>
        <v/>
      </c>
    </row>
    <row r="426" spans="1:5" ht="15.75" customHeight="1">
      <c r="A426" s="1" t="s">
        <v>7697</v>
      </c>
      <c r="B426" s="7" t="s">
        <v>7697</v>
      </c>
      <c r="C426" s="2" t="str">
        <f t="shared" ref="C426:D426" si="424">IF(A426=A425,"",A426)</f>
        <v>Reims</v>
      </c>
      <c r="D426" s="2" t="str">
        <f t="shared" si="424"/>
        <v>Reims</v>
      </c>
      <c r="E426" s="2" t="s">
        <v>36233</v>
      </c>
    </row>
    <row r="427" spans="1:5" ht="15.75" hidden="1" customHeight="1">
      <c r="A427" s="1" t="s">
        <v>7697</v>
      </c>
      <c r="B427" s="7" t="s">
        <v>7697</v>
      </c>
      <c r="C427" s="2" t="str">
        <f t="shared" ref="C427:D427" si="425">IF(A427=A426,"",A427)</f>
        <v/>
      </c>
      <c r="D427" s="2" t="str">
        <f t="shared" si="425"/>
        <v/>
      </c>
    </row>
    <row r="428" spans="1:5" ht="15.75" hidden="1" customHeight="1">
      <c r="A428" s="1" t="s">
        <v>7697</v>
      </c>
      <c r="B428" s="7" t="s">
        <v>7697</v>
      </c>
      <c r="C428" s="2" t="str">
        <f t="shared" ref="C428:D428" si="426">IF(A428=A427,"",A428)</f>
        <v/>
      </c>
      <c r="D428" s="2" t="str">
        <f t="shared" si="426"/>
        <v/>
      </c>
    </row>
    <row r="429" spans="1:5" ht="15.75" hidden="1" customHeight="1">
      <c r="A429" s="1" t="s">
        <v>7697</v>
      </c>
      <c r="B429" s="7" t="s">
        <v>7697</v>
      </c>
      <c r="C429" s="2" t="str">
        <f t="shared" ref="C429:D429" si="427">IF(A429=A428,"",A429)</f>
        <v/>
      </c>
      <c r="D429" s="2" t="str">
        <f t="shared" si="427"/>
        <v/>
      </c>
    </row>
    <row r="430" spans="1:5" ht="15.75" hidden="1" customHeight="1">
      <c r="A430" s="1" t="s">
        <v>7697</v>
      </c>
      <c r="B430" s="7" t="s">
        <v>7697</v>
      </c>
      <c r="C430" s="2" t="str">
        <f t="shared" ref="C430:D430" si="428">IF(A430=A429,"",A430)</f>
        <v/>
      </c>
      <c r="D430" s="2" t="str">
        <f t="shared" si="428"/>
        <v/>
      </c>
    </row>
    <row r="431" spans="1:5" ht="15.75" customHeight="1">
      <c r="A431" s="1" t="s">
        <v>1150</v>
      </c>
      <c r="B431" s="7" t="s">
        <v>1120</v>
      </c>
      <c r="C431" s="2" t="str">
        <f t="shared" ref="C431:D431" si="429">IF(A431=A430,"",A431)</f>
        <v>Salzburgo</v>
      </c>
      <c r="D431" s="2" t="str">
        <f t="shared" si="429"/>
        <v>Salzburg</v>
      </c>
      <c r="E431" s="2" t="s">
        <v>36233</v>
      </c>
    </row>
    <row r="432" spans="1:5" ht="15.75" hidden="1" customHeight="1">
      <c r="A432" s="1" t="s">
        <v>1150</v>
      </c>
      <c r="B432" s="7" t="s">
        <v>1120</v>
      </c>
      <c r="C432" s="2" t="str">
        <f t="shared" ref="C432:D432" si="430">IF(A432=A431,"",A432)</f>
        <v/>
      </c>
      <c r="D432" s="2" t="str">
        <f t="shared" si="430"/>
        <v/>
      </c>
    </row>
    <row r="433" spans="1:5" ht="15.75" hidden="1" customHeight="1">
      <c r="A433" s="1" t="s">
        <v>1150</v>
      </c>
      <c r="B433" s="7" t="s">
        <v>1120</v>
      </c>
      <c r="C433" s="2" t="str">
        <f t="shared" ref="C433:D433" si="431">IF(A433=A432,"",A433)</f>
        <v/>
      </c>
      <c r="D433" s="2" t="str">
        <f t="shared" si="431"/>
        <v/>
      </c>
    </row>
    <row r="434" spans="1:5" ht="15.75" hidden="1" customHeight="1">
      <c r="A434" s="1" t="s">
        <v>1150</v>
      </c>
      <c r="B434" s="7" t="s">
        <v>1120</v>
      </c>
      <c r="C434" s="2" t="str">
        <f t="shared" ref="C434:D434" si="432">IF(A434=A433,"",A434)</f>
        <v/>
      </c>
      <c r="D434" s="2" t="str">
        <f t="shared" si="432"/>
        <v/>
      </c>
    </row>
    <row r="435" spans="1:5" ht="15.75" hidden="1" customHeight="1">
      <c r="A435" s="1" t="s">
        <v>1150</v>
      </c>
      <c r="B435" s="7" t="s">
        <v>1120</v>
      </c>
      <c r="C435" s="2" t="str">
        <f t="shared" ref="C435:D435" si="433">IF(A435=A434,"",A435)</f>
        <v/>
      </c>
      <c r="D435" s="2" t="str">
        <f t="shared" si="433"/>
        <v/>
      </c>
    </row>
    <row r="436" spans="1:5" ht="15.75" hidden="1" customHeight="1">
      <c r="A436" s="1" t="s">
        <v>1150</v>
      </c>
      <c r="B436" s="7" t="s">
        <v>1120</v>
      </c>
      <c r="C436" s="2" t="str">
        <f t="shared" ref="C436:D436" si="434">IF(A436=A435,"",A436)</f>
        <v/>
      </c>
      <c r="D436" s="2" t="str">
        <f t="shared" si="434"/>
        <v/>
      </c>
    </row>
    <row r="437" spans="1:5" ht="15.75" hidden="1" customHeight="1">
      <c r="A437" s="1" t="s">
        <v>1150</v>
      </c>
      <c r="B437" s="7" t="s">
        <v>1120</v>
      </c>
      <c r="C437" s="2" t="str">
        <f t="shared" ref="C437:D437" si="435">IF(A437=A436,"",A437)</f>
        <v/>
      </c>
      <c r="D437" s="2" t="str">
        <f t="shared" si="435"/>
        <v/>
      </c>
    </row>
    <row r="438" spans="1:5" ht="15.75" hidden="1" customHeight="1">
      <c r="A438" s="1" t="s">
        <v>1150</v>
      </c>
      <c r="B438" s="7" t="s">
        <v>1120</v>
      </c>
      <c r="C438" s="2" t="str">
        <f t="shared" ref="C438:D438" si="436">IF(A438=A437,"",A438)</f>
        <v/>
      </c>
      <c r="D438" s="2" t="str">
        <f t="shared" si="436"/>
        <v/>
      </c>
    </row>
    <row r="439" spans="1:5" ht="15.75" hidden="1" customHeight="1">
      <c r="A439" s="1" t="s">
        <v>1150</v>
      </c>
      <c r="B439" s="7" t="s">
        <v>1120</v>
      </c>
      <c r="C439" s="2" t="str">
        <f t="shared" ref="C439:D439" si="437">IF(A439=A438,"",A439)</f>
        <v/>
      </c>
      <c r="D439" s="2" t="str">
        <f t="shared" si="437"/>
        <v/>
      </c>
    </row>
    <row r="440" spans="1:5" ht="15.75" hidden="1" customHeight="1">
      <c r="A440" s="1" t="s">
        <v>1150</v>
      </c>
      <c r="B440" s="7" t="s">
        <v>1120</v>
      </c>
      <c r="C440" s="2" t="str">
        <f t="shared" ref="C440:D440" si="438">IF(A440=A439,"",A440)</f>
        <v/>
      </c>
      <c r="D440" s="2" t="str">
        <f t="shared" si="438"/>
        <v/>
      </c>
    </row>
    <row r="441" spans="1:5" ht="15.75" customHeight="1">
      <c r="A441" s="1" t="s">
        <v>5611</v>
      </c>
      <c r="B441" s="7" t="s">
        <v>5612</v>
      </c>
      <c r="C441" s="2" t="str">
        <f t="shared" ref="C441:D441" si="439">IF(A441=A440,"",A441)</f>
        <v>Sevilha</v>
      </c>
      <c r="D441" s="2" t="str">
        <f t="shared" si="439"/>
        <v>Sevilla</v>
      </c>
      <c r="E441" s="2" t="s">
        <v>36233</v>
      </c>
    </row>
    <row r="442" spans="1:5" ht="15.75" hidden="1" customHeight="1">
      <c r="A442" s="1" t="s">
        <v>5611</v>
      </c>
      <c r="B442" s="7" t="s">
        <v>5612</v>
      </c>
      <c r="C442" s="2" t="str">
        <f t="shared" ref="C442:D442" si="440">IF(A442=A441,"",A442)</f>
        <v/>
      </c>
      <c r="D442" s="2" t="str">
        <f t="shared" si="440"/>
        <v/>
      </c>
    </row>
    <row r="443" spans="1:5" ht="15.75" hidden="1" customHeight="1">
      <c r="A443" s="1" t="s">
        <v>5611</v>
      </c>
      <c r="B443" s="7" t="s">
        <v>5612</v>
      </c>
      <c r="C443" s="2" t="str">
        <f t="shared" ref="C443:D443" si="441">IF(A443=A442,"",A443)</f>
        <v/>
      </c>
      <c r="D443" s="2" t="str">
        <f t="shared" si="441"/>
        <v/>
      </c>
    </row>
    <row r="444" spans="1:5" ht="15.75" hidden="1" customHeight="1">
      <c r="A444" s="1" t="s">
        <v>5611</v>
      </c>
      <c r="B444" s="7" t="s">
        <v>5612</v>
      </c>
      <c r="C444" s="2" t="str">
        <f t="shared" ref="C444:D444" si="442">IF(A444=A443,"",A444)</f>
        <v/>
      </c>
      <c r="D444" s="2" t="str">
        <f t="shared" si="442"/>
        <v/>
      </c>
    </row>
    <row r="445" spans="1:5" ht="15.75" hidden="1" customHeight="1">
      <c r="A445" s="1" t="s">
        <v>5611</v>
      </c>
      <c r="B445" s="7" t="s">
        <v>5612</v>
      </c>
      <c r="C445" s="2" t="str">
        <f t="shared" ref="C445:D445" si="443">IF(A445=A444,"",A445)</f>
        <v/>
      </c>
      <c r="D445" s="2" t="str">
        <f t="shared" si="443"/>
        <v/>
      </c>
    </row>
    <row r="446" spans="1:5" ht="15.75" hidden="1" customHeight="1">
      <c r="A446" s="1" t="s">
        <v>5611</v>
      </c>
      <c r="B446" s="7" t="s">
        <v>5612</v>
      </c>
      <c r="C446" s="2" t="str">
        <f t="shared" ref="C446:D446" si="444">IF(A446=A445,"",A446)</f>
        <v/>
      </c>
      <c r="D446" s="2" t="str">
        <f t="shared" si="444"/>
        <v/>
      </c>
    </row>
    <row r="447" spans="1:5" ht="15.75" hidden="1" customHeight="1">
      <c r="A447" s="1" t="s">
        <v>5611</v>
      </c>
      <c r="B447" s="7" t="s">
        <v>5612</v>
      </c>
      <c r="C447" s="2" t="str">
        <f t="shared" ref="C447:D447" si="445">IF(A447=A446,"",A447)</f>
        <v/>
      </c>
      <c r="D447" s="2" t="str">
        <f t="shared" si="445"/>
        <v/>
      </c>
    </row>
    <row r="448" spans="1:5" ht="15.75" hidden="1" customHeight="1">
      <c r="A448" s="1" t="s">
        <v>5611</v>
      </c>
      <c r="B448" s="7" t="s">
        <v>5612</v>
      </c>
      <c r="C448" s="2" t="str">
        <f t="shared" ref="C448:D448" si="446">IF(A448=A447,"",A448)</f>
        <v/>
      </c>
      <c r="D448" s="2" t="str">
        <f t="shared" si="446"/>
        <v/>
      </c>
    </row>
    <row r="449" spans="1:5" ht="15.75" hidden="1" customHeight="1">
      <c r="A449" s="1" t="s">
        <v>5611</v>
      </c>
      <c r="B449" s="7" t="s">
        <v>5612</v>
      </c>
      <c r="C449" s="2" t="str">
        <f t="shared" ref="C449:D449" si="447">IF(A449=A448,"",A449)</f>
        <v/>
      </c>
      <c r="D449" s="2" t="str">
        <f t="shared" si="447"/>
        <v/>
      </c>
    </row>
    <row r="450" spans="1:5" ht="15.75" hidden="1" customHeight="1">
      <c r="A450" s="1" t="s">
        <v>5611</v>
      </c>
      <c r="B450" s="7" t="s">
        <v>5612</v>
      </c>
      <c r="C450" s="2" t="str">
        <f t="shared" ref="C450:D450" si="448">IF(A450=A449,"",A450)</f>
        <v/>
      </c>
      <c r="D450" s="2" t="str">
        <f t="shared" si="448"/>
        <v/>
      </c>
    </row>
    <row r="451" spans="1:5" ht="15.75" customHeight="1">
      <c r="A451" s="1" t="s">
        <v>19742</v>
      </c>
      <c r="B451" s="7" t="s">
        <v>19742</v>
      </c>
      <c r="C451" s="2" t="str">
        <f t="shared" ref="C451:D451" si="449">IF(A451=A450,"",A451)</f>
        <v>Stavern</v>
      </c>
      <c r="D451" s="2" t="str">
        <f t="shared" si="449"/>
        <v>Stavern</v>
      </c>
      <c r="E451" s="2" t="s">
        <v>36233</v>
      </c>
    </row>
    <row r="452" spans="1:5" ht="15.75" hidden="1" customHeight="1">
      <c r="A452" s="1" t="s">
        <v>19742</v>
      </c>
      <c r="B452" s="7" t="s">
        <v>19742</v>
      </c>
      <c r="C452" s="2" t="str">
        <f t="shared" ref="C452:D452" si="450">IF(A452=A451,"",A452)</f>
        <v/>
      </c>
      <c r="D452" s="2" t="str">
        <f t="shared" si="450"/>
        <v/>
      </c>
    </row>
    <row r="453" spans="1:5" ht="15.75" hidden="1" customHeight="1">
      <c r="A453" s="1" t="s">
        <v>19742</v>
      </c>
      <c r="B453" s="7" t="s">
        <v>19742</v>
      </c>
      <c r="C453" s="2" t="str">
        <f t="shared" ref="C453:D453" si="451">IF(A453=A452,"",A453)</f>
        <v/>
      </c>
      <c r="D453" s="2" t="str">
        <f t="shared" si="451"/>
        <v/>
      </c>
    </row>
    <row r="454" spans="1:5" ht="15.75" hidden="1" customHeight="1">
      <c r="A454" s="1" t="s">
        <v>19742</v>
      </c>
      <c r="B454" s="7" t="s">
        <v>19742</v>
      </c>
      <c r="C454" s="2" t="str">
        <f t="shared" ref="C454:D454" si="452">IF(A454=A453,"",A454)</f>
        <v/>
      </c>
      <c r="D454" s="2" t="str">
        <f t="shared" si="452"/>
        <v/>
      </c>
    </row>
    <row r="455" spans="1:5" ht="15.75" hidden="1" customHeight="1">
      <c r="A455" s="1" t="s">
        <v>19742</v>
      </c>
      <c r="B455" s="7" t="s">
        <v>19742</v>
      </c>
      <c r="C455" s="2" t="str">
        <f t="shared" ref="C455:D455" si="453">IF(A455=A454,"",A455)</f>
        <v/>
      </c>
      <c r="D455" s="2" t="str">
        <f t="shared" si="453"/>
        <v/>
      </c>
    </row>
    <row r="456" spans="1:5" ht="15.75" hidden="1" customHeight="1">
      <c r="A456" s="1" t="s">
        <v>19742</v>
      </c>
      <c r="B456" s="7" t="s">
        <v>19742</v>
      </c>
      <c r="C456" s="2" t="str">
        <f t="shared" ref="C456:D456" si="454">IF(A456=A455,"",A456)</f>
        <v/>
      </c>
      <c r="D456" s="2" t="str">
        <f t="shared" si="454"/>
        <v/>
      </c>
    </row>
    <row r="457" spans="1:5" ht="15.75" customHeight="1">
      <c r="A457" s="1" t="s">
        <v>7836</v>
      </c>
      <c r="B457" s="7" t="s">
        <v>7837</v>
      </c>
      <c r="C457" s="2" t="str">
        <f t="shared" ref="C457:D457" si="455">IF(A457=A456,"",A457)</f>
        <v>Estrasburgo</v>
      </c>
      <c r="D457" s="2" t="str">
        <f t="shared" si="455"/>
        <v>Strasbourg</v>
      </c>
      <c r="E457" s="2" t="s">
        <v>36233</v>
      </c>
    </row>
    <row r="458" spans="1:5" ht="15.75" hidden="1" customHeight="1">
      <c r="A458" s="1" t="s">
        <v>7836</v>
      </c>
      <c r="B458" s="7" t="s">
        <v>7837</v>
      </c>
      <c r="C458" s="2" t="str">
        <f t="shared" ref="C458:D458" si="456">IF(A458=A457,"",A458)</f>
        <v/>
      </c>
      <c r="D458" s="2" t="str">
        <f t="shared" si="456"/>
        <v/>
      </c>
    </row>
    <row r="459" spans="1:5" ht="15.75" hidden="1" customHeight="1">
      <c r="A459" s="1" t="s">
        <v>7836</v>
      </c>
      <c r="B459" s="7" t="s">
        <v>7837</v>
      </c>
      <c r="C459" s="2" t="str">
        <f t="shared" ref="C459:D459" si="457">IF(A459=A458,"",A459)</f>
        <v/>
      </c>
      <c r="D459" s="2" t="str">
        <f t="shared" si="457"/>
        <v/>
      </c>
    </row>
    <row r="460" spans="1:5" ht="15.75" hidden="1" customHeight="1">
      <c r="A460" s="1" t="s">
        <v>7836</v>
      </c>
      <c r="B460" s="7" t="s">
        <v>7837</v>
      </c>
      <c r="C460" s="2" t="str">
        <f t="shared" ref="C460:D460" si="458">IF(A460=A459,"",A460)</f>
        <v/>
      </c>
      <c r="D460" s="2" t="str">
        <f t="shared" si="458"/>
        <v/>
      </c>
    </row>
    <row r="461" spans="1:5" ht="15.75" hidden="1" customHeight="1">
      <c r="A461" s="1" t="s">
        <v>7836</v>
      </c>
      <c r="B461" s="7" t="s">
        <v>7837</v>
      </c>
      <c r="C461" s="2" t="str">
        <f t="shared" ref="C461:D461" si="459">IF(A461=A460,"",A461)</f>
        <v/>
      </c>
      <c r="D461" s="2" t="str">
        <f t="shared" si="459"/>
        <v/>
      </c>
    </row>
    <row r="462" spans="1:5" ht="15.75" hidden="1" customHeight="1">
      <c r="A462" s="1" t="s">
        <v>7836</v>
      </c>
      <c r="B462" s="7" t="s">
        <v>7837</v>
      </c>
      <c r="C462" s="2" t="str">
        <f t="shared" ref="C462:D462" si="460">IF(A462=A461,"",A462)</f>
        <v/>
      </c>
      <c r="D462" s="2" t="str">
        <f t="shared" si="460"/>
        <v/>
      </c>
    </row>
    <row r="463" spans="1:5" ht="15.75" hidden="1" customHeight="1">
      <c r="A463" s="1" t="s">
        <v>7836</v>
      </c>
      <c r="B463" s="7" t="s">
        <v>7837</v>
      </c>
      <c r="C463" s="2" t="str">
        <f t="shared" ref="C463:D463" si="461">IF(A463=A462,"",A463)</f>
        <v/>
      </c>
      <c r="D463" s="2" t="str">
        <f t="shared" si="461"/>
        <v/>
      </c>
    </row>
    <row r="464" spans="1:5" ht="15.75" hidden="1" customHeight="1">
      <c r="A464" s="1" t="s">
        <v>7836</v>
      </c>
      <c r="B464" s="7" t="s">
        <v>7837</v>
      </c>
      <c r="C464" s="2" t="str">
        <f t="shared" ref="C464:D464" si="462">IF(A464=A463,"",A464)</f>
        <v/>
      </c>
      <c r="D464" s="2" t="str">
        <f t="shared" si="462"/>
        <v/>
      </c>
    </row>
    <row r="465" spans="1:5" ht="15.75" hidden="1" customHeight="1">
      <c r="A465" s="1" t="s">
        <v>7836</v>
      </c>
      <c r="B465" s="7" t="s">
        <v>7837</v>
      </c>
      <c r="C465" s="2" t="str">
        <f t="shared" ref="C465:D465" si="463">IF(A465=A464,"",A465)</f>
        <v/>
      </c>
      <c r="D465" s="2" t="str">
        <f t="shared" si="463"/>
        <v/>
      </c>
    </row>
    <row r="466" spans="1:5" ht="15.75" hidden="1" customHeight="1">
      <c r="A466" s="1" t="s">
        <v>7836</v>
      </c>
      <c r="B466" s="7" t="s">
        <v>7837</v>
      </c>
      <c r="C466" s="2" t="str">
        <f t="shared" ref="C466:D466" si="464">IF(A466=A465,"",A466)</f>
        <v/>
      </c>
      <c r="D466" s="2" t="str">
        <f t="shared" si="464"/>
        <v/>
      </c>
    </row>
    <row r="467" spans="1:5" ht="15.75" hidden="1" customHeight="1">
      <c r="A467" s="1" t="s">
        <v>7836</v>
      </c>
      <c r="B467" s="7" t="s">
        <v>7837</v>
      </c>
      <c r="C467" s="2" t="str">
        <f t="shared" ref="C467:D467" si="465">IF(A467=A466,"",A467)</f>
        <v/>
      </c>
      <c r="D467" s="2" t="str">
        <f t="shared" si="465"/>
        <v/>
      </c>
    </row>
    <row r="468" spans="1:5" ht="15.75" customHeight="1">
      <c r="A468" s="1" t="s">
        <v>9182</v>
      </c>
      <c r="B468" s="7" t="s">
        <v>9182</v>
      </c>
      <c r="C468" s="2" t="str">
        <f t="shared" ref="C468:D468" si="466">IF(A468=A467,"",A468)</f>
        <v>Stuttgart</v>
      </c>
      <c r="D468" s="2" t="str">
        <f t="shared" si="466"/>
        <v>Stuttgart</v>
      </c>
      <c r="E468" s="2" t="s">
        <v>36233</v>
      </c>
    </row>
    <row r="469" spans="1:5" ht="15.75" hidden="1" customHeight="1">
      <c r="A469" s="1" t="s">
        <v>9182</v>
      </c>
      <c r="B469" s="7" t="s">
        <v>9182</v>
      </c>
      <c r="C469" s="2" t="str">
        <f t="shared" ref="C469:D469" si="467">IF(A469=A468,"",A469)</f>
        <v/>
      </c>
      <c r="D469" s="2" t="str">
        <f t="shared" si="467"/>
        <v/>
      </c>
    </row>
    <row r="470" spans="1:5" ht="15.75" hidden="1" customHeight="1">
      <c r="A470" s="1" t="s">
        <v>9182</v>
      </c>
      <c r="B470" s="7" t="s">
        <v>9182</v>
      </c>
      <c r="C470" s="2" t="str">
        <f t="shared" ref="C470:D470" si="468">IF(A470=A469,"",A470)</f>
        <v/>
      </c>
      <c r="D470" s="2" t="str">
        <f t="shared" si="468"/>
        <v/>
      </c>
    </row>
    <row r="471" spans="1:5" ht="15.75" hidden="1" customHeight="1">
      <c r="A471" s="1" t="s">
        <v>9182</v>
      </c>
      <c r="B471" s="7" t="s">
        <v>9182</v>
      </c>
      <c r="C471" s="2" t="str">
        <f t="shared" ref="C471:D471" si="469">IF(A471=A470,"",A471)</f>
        <v/>
      </c>
      <c r="D471" s="2" t="str">
        <f t="shared" si="469"/>
        <v/>
      </c>
    </row>
    <row r="472" spans="1:5" ht="15.75" hidden="1" customHeight="1">
      <c r="A472" s="1" t="s">
        <v>9182</v>
      </c>
      <c r="B472" s="7" t="s">
        <v>9182</v>
      </c>
      <c r="C472" s="2" t="str">
        <f t="shared" ref="C472:D472" si="470">IF(A472=A471,"",A472)</f>
        <v/>
      </c>
      <c r="D472" s="2" t="str">
        <f t="shared" si="470"/>
        <v/>
      </c>
    </row>
    <row r="473" spans="1:5" ht="15.75" hidden="1" customHeight="1">
      <c r="A473" s="1" t="s">
        <v>9182</v>
      </c>
      <c r="B473" s="7" t="s">
        <v>9182</v>
      </c>
      <c r="C473" s="2" t="str">
        <f t="shared" ref="C473:D473" si="471">IF(A473=A472,"",A473)</f>
        <v/>
      </c>
      <c r="D473" s="2" t="str">
        <f t="shared" si="471"/>
        <v/>
      </c>
    </row>
    <row r="474" spans="1:5" ht="15.75" hidden="1" customHeight="1">
      <c r="A474" s="1" t="s">
        <v>9182</v>
      </c>
      <c r="B474" s="7" t="s">
        <v>9182</v>
      </c>
      <c r="C474" s="2" t="str">
        <f t="shared" ref="C474:D474" si="472">IF(A474=A473,"",A474)</f>
        <v/>
      </c>
      <c r="D474" s="2" t="str">
        <f t="shared" si="472"/>
        <v/>
      </c>
    </row>
    <row r="475" spans="1:5" ht="15.75" hidden="1" customHeight="1">
      <c r="A475" s="1" t="s">
        <v>9182</v>
      </c>
      <c r="B475" s="7" t="s">
        <v>9182</v>
      </c>
      <c r="C475" s="2" t="str">
        <f t="shared" ref="C475:D475" si="473">IF(A475=A474,"",A475)</f>
        <v/>
      </c>
      <c r="D475" s="2" t="str">
        <f t="shared" si="473"/>
        <v/>
      </c>
    </row>
    <row r="476" spans="1:5" ht="15.75" hidden="1" customHeight="1">
      <c r="A476" s="1" t="s">
        <v>9182</v>
      </c>
      <c r="B476" s="7" t="s">
        <v>9182</v>
      </c>
      <c r="C476" s="2" t="str">
        <f t="shared" ref="C476:D476" si="474">IF(A476=A475,"",A476)</f>
        <v/>
      </c>
      <c r="D476" s="2" t="str">
        <f t="shared" si="474"/>
        <v/>
      </c>
    </row>
    <row r="477" spans="1:5" ht="15.75" hidden="1" customHeight="1">
      <c r="A477" s="1" t="s">
        <v>9182</v>
      </c>
      <c r="B477" s="7" t="s">
        <v>9182</v>
      </c>
      <c r="C477" s="2" t="str">
        <f t="shared" ref="C477:D477" si="475">IF(A477=A476,"",A477)</f>
        <v/>
      </c>
      <c r="D477" s="2" t="str">
        <f t="shared" si="475"/>
        <v/>
      </c>
    </row>
    <row r="478" spans="1:5" ht="15.75" customHeight="1">
      <c r="A478" s="1" t="s">
        <v>15551</v>
      </c>
      <c r="B478" s="7" t="s">
        <v>15551</v>
      </c>
      <c r="C478" s="2" t="str">
        <f t="shared" ref="C478:D478" si="476">IF(A478=A477,"",A478)</f>
        <v>Torino</v>
      </c>
      <c r="D478" s="2" t="str">
        <f t="shared" si="476"/>
        <v>Torino</v>
      </c>
      <c r="E478" s="2" t="s">
        <v>36233</v>
      </c>
    </row>
    <row r="479" spans="1:5" ht="15.75" hidden="1" customHeight="1">
      <c r="A479" s="1" t="s">
        <v>15551</v>
      </c>
      <c r="B479" s="7" t="s">
        <v>15551</v>
      </c>
      <c r="C479" s="2" t="str">
        <f t="shared" ref="C479:D479" si="477">IF(A479=A478,"",A479)</f>
        <v/>
      </c>
      <c r="D479" s="2" t="str">
        <f t="shared" si="477"/>
        <v/>
      </c>
    </row>
    <row r="480" spans="1:5" ht="15.75" hidden="1" customHeight="1">
      <c r="A480" s="1" t="s">
        <v>15551</v>
      </c>
      <c r="B480" s="7" t="s">
        <v>15551</v>
      </c>
      <c r="C480" s="2" t="str">
        <f t="shared" ref="C480:D480" si="478">IF(A480=A479,"",A480)</f>
        <v/>
      </c>
      <c r="D480" s="2" t="str">
        <f t="shared" si="478"/>
        <v/>
      </c>
    </row>
    <row r="481" spans="1:5" ht="15.75" hidden="1" customHeight="1">
      <c r="A481" s="1" t="s">
        <v>15551</v>
      </c>
      <c r="B481" s="7" t="s">
        <v>15551</v>
      </c>
      <c r="C481" s="2" t="str">
        <f t="shared" ref="C481:D481" si="479">IF(A481=A480,"",A481)</f>
        <v/>
      </c>
      <c r="D481" s="2" t="str">
        <f t="shared" si="479"/>
        <v/>
      </c>
    </row>
    <row r="482" spans="1:5" ht="15.75" hidden="1" customHeight="1">
      <c r="A482" s="1" t="s">
        <v>15551</v>
      </c>
      <c r="B482" s="7" t="s">
        <v>15551</v>
      </c>
      <c r="C482" s="2" t="str">
        <f t="shared" ref="C482:D482" si="480">IF(A482=A481,"",A482)</f>
        <v/>
      </c>
      <c r="D482" s="2" t="str">
        <f t="shared" si="480"/>
        <v/>
      </c>
    </row>
    <row r="483" spans="1:5" ht="15.75" hidden="1" customHeight="1">
      <c r="A483" s="1" t="s">
        <v>15551</v>
      </c>
      <c r="B483" s="7" t="s">
        <v>15551</v>
      </c>
      <c r="C483" s="2" t="str">
        <f t="shared" ref="C483:D483" si="481">IF(A483=A482,"",A483)</f>
        <v/>
      </c>
      <c r="D483" s="2" t="str">
        <f t="shared" si="481"/>
        <v/>
      </c>
    </row>
    <row r="484" spans="1:5" ht="15.75" customHeight="1">
      <c r="A484" s="1" t="s">
        <v>7855</v>
      </c>
      <c r="B484" s="7" t="s">
        <v>7855</v>
      </c>
      <c r="C484" s="2" t="str">
        <f t="shared" ref="C484:D484" si="482">IF(A484=A483,"",A484)</f>
        <v>Toulouse</v>
      </c>
      <c r="D484" s="2" t="str">
        <f t="shared" si="482"/>
        <v>Toulouse</v>
      </c>
      <c r="E484" s="2" t="s">
        <v>36233</v>
      </c>
    </row>
    <row r="485" spans="1:5" ht="15.75" hidden="1" customHeight="1">
      <c r="A485" s="1" t="s">
        <v>7855</v>
      </c>
      <c r="B485" s="7" t="s">
        <v>7855</v>
      </c>
      <c r="C485" s="2" t="str">
        <f t="shared" ref="C485:D485" si="483">IF(A485=A484,"",A485)</f>
        <v/>
      </c>
      <c r="D485" s="2" t="str">
        <f t="shared" si="483"/>
        <v/>
      </c>
    </row>
    <row r="486" spans="1:5" ht="15.75" hidden="1" customHeight="1">
      <c r="A486" s="1" t="s">
        <v>7855</v>
      </c>
      <c r="B486" s="7" t="s">
        <v>7855</v>
      </c>
      <c r="C486" s="2" t="str">
        <f t="shared" ref="C486:D486" si="484">IF(A486=A485,"",A486)</f>
        <v/>
      </c>
      <c r="D486" s="2" t="str">
        <f t="shared" si="484"/>
        <v/>
      </c>
    </row>
    <row r="487" spans="1:5" ht="15.75" hidden="1" customHeight="1">
      <c r="A487" s="1" t="s">
        <v>7855</v>
      </c>
      <c r="B487" s="7" t="s">
        <v>7855</v>
      </c>
      <c r="C487" s="2" t="str">
        <f t="shared" ref="C487:D487" si="485">IF(A487=A486,"",A487)</f>
        <v/>
      </c>
      <c r="D487" s="2" t="str">
        <f t="shared" si="485"/>
        <v/>
      </c>
    </row>
    <row r="488" spans="1:5" ht="15.75" hidden="1" customHeight="1">
      <c r="A488" s="1" t="s">
        <v>7855</v>
      </c>
      <c r="B488" s="7" t="s">
        <v>7855</v>
      </c>
      <c r="C488" s="2" t="str">
        <f t="shared" ref="C488:D488" si="486">IF(A488=A487,"",A488)</f>
        <v/>
      </c>
      <c r="D488" s="2" t="str">
        <f t="shared" si="486"/>
        <v/>
      </c>
    </row>
    <row r="489" spans="1:5" ht="15.75" hidden="1" customHeight="1">
      <c r="A489" s="1" t="s">
        <v>7855</v>
      </c>
      <c r="B489" s="7" t="s">
        <v>7855</v>
      </c>
      <c r="C489" s="2" t="str">
        <f t="shared" ref="C489:D489" si="487">IF(A489=A488,"",A489)</f>
        <v/>
      </c>
      <c r="D489" s="2" t="str">
        <f t="shared" si="487"/>
        <v/>
      </c>
    </row>
    <row r="490" spans="1:5" ht="15.75" hidden="1" customHeight="1">
      <c r="A490" s="1" t="s">
        <v>7855</v>
      </c>
      <c r="B490" s="7" t="s">
        <v>7855</v>
      </c>
      <c r="C490" s="2" t="str">
        <f t="shared" ref="C490:D490" si="488">IF(A490=A489,"",A490)</f>
        <v/>
      </c>
      <c r="D490" s="2" t="str">
        <f t="shared" si="488"/>
        <v/>
      </c>
    </row>
    <row r="491" spans="1:5" ht="15.75" hidden="1" customHeight="1">
      <c r="A491" s="1" t="s">
        <v>7855</v>
      </c>
      <c r="B491" s="7" t="s">
        <v>7855</v>
      </c>
      <c r="C491" s="2" t="str">
        <f t="shared" ref="C491:D491" si="489">IF(A491=A490,"",A491)</f>
        <v/>
      </c>
      <c r="D491" s="2" t="str">
        <f t="shared" si="489"/>
        <v/>
      </c>
    </row>
    <row r="492" spans="1:5" ht="15.75" hidden="1" customHeight="1">
      <c r="A492" s="1" t="s">
        <v>7855</v>
      </c>
      <c r="B492" s="7" t="s">
        <v>7855</v>
      </c>
      <c r="C492" s="2" t="str">
        <f t="shared" ref="C492:D492" si="490">IF(A492=A491,"",A492)</f>
        <v/>
      </c>
      <c r="D492" s="2" t="str">
        <f t="shared" si="490"/>
        <v/>
      </c>
    </row>
    <row r="493" spans="1:5" ht="15.75" hidden="1" customHeight="1">
      <c r="A493" s="1" t="s">
        <v>7855</v>
      </c>
      <c r="B493" s="7" t="s">
        <v>7855</v>
      </c>
      <c r="C493" s="2" t="str">
        <f t="shared" ref="C493:D493" si="491">IF(A493=A492,"",A493)</f>
        <v/>
      </c>
      <c r="D493" s="2" t="str">
        <f t="shared" si="491"/>
        <v/>
      </c>
    </row>
    <row r="494" spans="1:5" ht="15.75" hidden="1" customHeight="1">
      <c r="A494" s="1" t="s">
        <v>7855</v>
      </c>
      <c r="B494" s="7" t="s">
        <v>7855</v>
      </c>
      <c r="C494" s="2" t="str">
        <f t="shared" ref="C494:D494" si="492">IF(A494=A493,"",A494)</f>
        <v/>
      </c>
      <c r="D494" s="2" t="str">
        <f t="shared" si="492"/>
        <v/>
      </c>
    </row>
    <row r="495" spans="1:5" ht="15.75" hidden="1" customHeight="1">
      <c r="A495" s="1" t="s">
        <v>7855</v>
      </c>
      <c r="B495" s="7" t="s">
        <v>7855</v>
      </c>
      <c r="C495" s="2" t="str">
        <f t="shared" ref="C495:D495" si="493">IF(A495=A494,"",A495)</f>
        <v/>
      </c>
      <c r="D495" s="2" t="str">
        <f t="shared" si="493"/>
        <v/>
      </c>
    </row>
    <row r="496" spans="1:5" ht="15.75" hidden="1" customHeight="1">
      <c r="A496" s="1" t="s">
        <v>7855</v>
      </c>
      <c r="B496" s="7" t="s">
        <v>7855</v>
      </c>
      <c r="C496" s="2" t="str">
        <f t="shared" ref="C496:D496" si="494">IF(A496=A495,"",A496)</f>
        <v/>
      </c>
      <c r="D496" s="2" t="str">
        <f t="shared" si="494"/>
        <v/>
      </c>
    </row>
    <row r="497" spans="1:4" ht="15.75" hidden="1" customHeight="1">
      <c r="A497" s="1" t="s">
        <v>7855</v>
      </c>
      <c r="B497" s="7" t="s">
        <v>7855</v>
      </c>
      <c r="C497" s="2" t="str">
        <f t="shared" ref="C497:D497" si="495">IF(A497=A496,"",A497)</f>
        <v/>
      </c>
      <c r="D497" s="2" t="str">
        <f t="shared" si="495"/>
        <v/>
      </c>
    </row>
    <row r="498" spans="1:4" ht="15.75" customHeight="1">
      <c r="A498" s="1" t="s">
        <v>7892</v>
      </c>
      <c r="B498" s="7" t="s">
        <v>7893</v>
      </c>
      <c r="C498" s="2" t="str">
        <f t="shared" ref="C498:D498" si="496">IF(A498=A497,"",A498)</f>
        <v>Versalhes</v>
      </c>
      <c r="D498" s="2" t="str">
        <f t="shared" si="496"/>
        <v>Versailles</v>
      </c>
    </row>
    <row r="499" spans="1:4" ht="15.75" hidden="1" customHeight="1">
      <c r="A499" s="1" t="s">
        <v>7892</v>
      </c>
      <c r="B499" s="7" t="s">
        <v>7893</v>
      </c>
      <c r="C499" s="2" t="str">
        <f t="shared" ref="C499:D499" si="497">IF(A499=A498,"",A499)</f>
        <v/>
      </c>
      <c r="D499" s="2" t="str">
        <f t="shared" si="497"/>
        <v/>
      </c>
    </row>
    <row r="500" spans="1:4" ht="15.75" hidden="1" customHeight="1">
      <c r="A500" s="1" t="s">
        <v>7892</v>
      </c>
      <c r="B500" s="7" t="s">
        <v>7893</v>
      </c>
      <c r="C500" s="2" t="str">
        <f t="shared" ref="C500:D500" si="498">IF(A500=A499,"",A500)</f>
        <v/>
      </c>
      <c r="D500" s="2" t="str">
        <f t="shared" si="498"/>
        <v/>
      </c>
    </row>
    <row r="501" spans="1:4" ht="15.75" hidden="1" customHeight="1">
      <c r="A501" s="1" t="s">
        <v>7892</v>
      </c>
      <c r="B501" s="7" t="s">
        <v>7893</v>
      </c>
      <c r="C501" s="2" t="str">
        <f t="shared" ref="C501:D501" si="499">IF(A501=A500,"",A501)</f>
        <v/>
      </c>
      <c r="D501" s="2" t="str">
        <f t="shared" si="499"/>
        <v/>
      </c>
    </row>
    <row r="502" spans="1:4" ht="15.75" customHeight="1">
      <c r="A502" s="1" t="s">
        <v>21563</v>
      </c>
      <c r="B502" s="7" t="s">
        <v>21563</v>
      </c>
      <c r="C502" s="2" t="str">
        <f t="shared" ref="C502:D502" si="500">IF(A502=A501,"",A502)</f>
        <v>Warszawa</v>
      </c>
      <c r="D502" s="2" t="str">
        <f t="shared" si="500"/>
        <v>Warszawa</v>
      </c>
    </row>
    <row r="503" spans="1:4" ht="15.75" hidden="1" customHeight="1">
      <c r="A503" s="1" t="s">
        <v>21563</v>
      </c>
      <c r="B503" s="7" t="s">
        <v>21563</v>
      </c>
      <c r="C503" s="2" t="str">
        <f t="shared" ref="C503:D503" si="501">IF(A503=A502,"",A503)</f>
        <v/>
      </c>
      <c r="D503" s="2" t="str">
        <f t="shared" si="501"/>
        <v/>
      </c>
    </row>
    <row r="504" spans="1:4" ht="15.75" hidden="1" customHeight="1">
      <c r="A504" s="1" t="s">
        <v>21563</v>
      </c>
      <c r="B504" s="7" t="s">
        <v>21563</v>
      </c>
      <c r="C504" s="2" t="str">
        <f t="shared" ref="C504:D504" si="502">IF(A504=A503,"",A504)</f>
        <v/>
      </c>
      <c r="D504" s="2" t="str">
        <f t="shared" si="502"/>
        <v/>
      </c>
    </row>
    <row r="505" spans="1:4" ht="15.75" hidden="1" customHeight="1">
      <c r="A505" s="1" t="s">
        <v>21563</v>
      </c>
      <c r="B505" s="7" t="s">
        <v>21563</v>
      </c>
      <c r="C505" s="2" t="str">
        <f t="shared" ref="C505:D505" si="503">IF(A505=A504,"",A505)</f>
        <v/>
      </c>
      <c r="D505" s="2" t="str">
        <f t="shared" si="503"/>
        <v/>
      </c>
    </row>
    <row r="506" spans="1:4" ht="15.75" hidden="1" customHeight="1">
      <c r="A506" s="1" t="s">
        <v>21563</v>
      </c>
      <c r="B506" s="7" t="s">
        <v>21563</v>
      </c>
      <c r="C506" s="2" t="str">
        <f t="shared" ref="C506:D506" si="504">IF(A506=A505,"",A506)</f>
        <v/>
      </c>
      <c r="D506" s="2" t="str">
        <f t="shared" si="504"/>
        <v/>
      </c>
    </row>
    <row r="507" spans="1:4" ht="15.75" hidden="1" customHeight="1">
      <c r="A507" s="1" t="s">
        <v>21563</v>
      </c>
      <c r="B507" s="7" t="s">
        <v>21563</v>
      </c>
      <c r="C507" s="2" t="str">
        <f t="shared" ref="C507:D507" si="505">IF(A507=A506,"",A507)</f>
        <v/>
      </c>
      <c r="D507" s="2" t="str">
        <f t="shared" si="505"/>
        <v/>
      </c>
    </row>
    <row r="508" spans="1:4" ht="15.75" hidden="1" customHeight="1">
      <c r="A508" s="1" t="s">
        <v>21563</v>
      </c>
      <c r="B508" s="7" t="s">
        <v>21563</v>
      </c>
      <c r="C508" s="2" t="str">
        <f t="shared" ref="C508:D508" si="506">IF(A508=A507,"",A508)</f>
        <v/>
      </c>
      <c r="D508" s="2" t="str">
        <f t="shared" si="506"/>
        <v/>
      </c>
    </row>
    <row r="509" spans="1:4" ht="15.75" customHeight="1">
      <c r="A509" s="1"/>
      <c r="B509" s="1"/>
    </row>
    <row r="510" spans="1:4" ht="15.75" customHeight="1">
      <c r="A510" s="1"/>
      <c r="B510" s="1"/>
    </row>
    <row r="511" spans="1:4" ht="15.75" customHeight="1">
      <c r="A511" s="1"/>
      <c r="B511" s="1"/>
    </row>
    <row r="512" spans="1:4" ht="15.75" customHeight="1">
      <c r="A512" s="1"/>
      <c r="B512" s="1"/>
    </row>
    <row r="513" spans="1:2" ht="15.75" customHeight="1">
      <c r="A513" s="1"/>
      <c r="B513" s="1"/>
    </row>
    <row r="514" spans="1:2" ht="15.75" customHeight="1">
      <c r="A514" s="1"/>
      <c r="B514" s="1"/>
    </row>
    <row r="515" spans="1:2" ht="15.75" customHeight="1">
      <c r="A515" s="1"/>
      <c r="B515" s="1"/>
    </row>
    <row r="516" spans="1:2" ht="15.75" customHeight="1">
      <c r="A516" s="1"/>
      <c r="B516" s="1"/>
    </row>
    <row r="517" spans="1:2" ht="15.75" customHeight="1">
      <c r="A517" s="1"/>
      <c r="B517" s="1"/>
    </row>
    <row r="518" spans="1:2" ht="15.75" customHeight="1">
      <c r="A518" s="1"/>
      <c r="B518" s="1"/>
    </row>
    <row r="519" spans="1:2" ht="15.75" customHeight="1">
      <c r="A519" s="1"/>
      <c r="B519" s="1"/>
    </row>
    <row r="520" spans="1:2" ht="15.75" customHeight="1">
      <c r="A520" s="1"/>
      <c r="B520" s="1"/>
    </row>
    <row r="521" spans="1:2" ht="15.75" customHeight="1">
      <c r="A521" s="1"/>
      <c r="B521" s="1"/>
    </row>
    <row r="522" spans="1:2" ht="15.75" customHeight="1">
      <c r="A522" s="1"/>
      <c r="B522" s="1"/>
    </row>
    <row r="523" spans="1:2" ht="15.75" customHeight="1">
      <c r="A523" s="1"/>
      <c r="B523" s="1"/>
    </row>
    <row r="524" spans="1:2" ht="15.75" customHeight="1">
      <c r="A524" s="1"/>
      <c r="B524" s="1"/>
    </row>
    <row r="525" spans="1:2" ht="15.75" customHeight="1">
      <c r="A525" s="1"/>
      <c r="B525" s="1"/>
    </row>
    <row r="526" spans="1:2" ht="15.75" customHeight="1">
      <c r="A526" s="1"/>
      <c r="B526" s="1"/>
    </row>
    <row r="527" spans="1:2" ht="15.75" customHeight="1">
      <c r="A527" s="1"/>
      <c r="B527" s="1"/>
    </row>
    <row r="528" spans="1:2" ht="15.75" customHeight="1">
      <c r="A528" s="1"/>
      <c r="B528" s="1"/>
    </row>
    <row r="529" spans="1:2" ht="15.75" customHeight="1">
      <c r="A529" s="1"/>
      <c r="B529" s="1"/>
    </row>
    <row r="530" spans="1:2" ht="15.75" customHeight="1">
      <c r="A530" s="1"/>
      <c r="B530" s="1"/>
    </row>
    <row r="531" spans="1:2" ht="15.75" customHeight="1">
      <c r="A531" s="1"/>
      <c r="B531" s="1"/>
    </row>
    <row r="532" spans="1:2" ht="15.75" customHeight="1">
      <c r="A532" s="1"/>
      <c r="B532" s="1"/>
    </row>
    <row r="533" spans="1:2" ht="15.75" customHeight="1">
      <c r="A533" s="1"/>
      <c r="B533" s="1"/>
    </row>
    <row r="534" spans="1:2" ht="15.75" customHeight="1">
      <c r="A534" s="1"/>
      <c r="B534" s="1"/>
    </row>
    <row r="535" spans="1:2" ht="15.75" customHeight="1">
      <c r="A535" s="1"/>
      <c r="B535" s="1"/>
    </row>
    <row r="536" spans="1:2" ht="15.75" customHeight="1">
      <c r="A536" s="1"/>
      <c r="B536" s="1"/>
    </row>
    <row r="537" spans="1:2" ht="15.75" customHeight="1">
      <c r="A537" s="1"/>
      <c r="B537" s="1"/>
    </row>
    <row r="538" spans="1:2" ht="15.75" customHeight="1">
      <c r="A538" s="1"/>
      <c r="B538" s="1"/>
    </row>
    <row r="539" spans="1:2" ht="15.75" customHeight="1">
      <c r="A539" s="1"/>
      <c r="B539" s="1"/>
    </row>
    <row r="540" spans="1:2" ht="15.75" customHeight="1">
      <c r="A540" s="1"/>
      <c r="B540" s="1"/>
    </row>
    <row r="541" spans="1:2" ht="15.75" customHeight="1">
      <c r="A541" s="1"/>
      <c r="B541" s="1"/>
    </row>
    <row r="542" spans="1:2" ht="15.75" customHeight="1">
      <c r="A542" s="1"/>
      <c r="B542" s="1"/>
    </row>
    <row r="543" spans="1:2" ht="15.75" customHeight="1">
      <c r="A543" s="1"/>
      <c r="B543" s="1"/>
    </row>
    <row r="544" spans="1:2" ht="15.75" customHeight="1">
      <c r="A544" s="1"/>
      <c r="B544" s="1"/>
    </row>
    <row r="545" spans="1:2" ht="15.75" customHeight="1">
      <c r="A545" s="1"/>
      <c r="B545" s="1"/>
    </row>
    <row r="546" spans="1:2" ht="15.75" customHeight="1">
      <c r="A546" s="1"/>
      <c r="B546" s="1"/>
    </row>
    <row r="547" spans="1:2" ht="15.75" customHeight="1">
      <c r="A547" s="1"/>
      <c r="B547" s="1"/>
    </row>
    <row r="548" spans="1:2" ht="15.75" customHeight="1">
      <c r="A548" s="1"/>
      <c r="B548" s="1"/>
    </row>
    <row r="549" spans="1:2" ht="15.75" customHeight="1">
      <c r="A549" s="1"/>
      <c r="B549" s="1"/>
    </row>
    <row r="550" spans="1:2" ht="15.75" customHeight="1">
      <c r="A550" s="1"/>
      <c r="B550" s="1"/>
    </row>
    <row r="551" spans="1:2" ht="15.75" customHeight="1">
      <c r="A551" s="1"/>
      <c r="B551" s="1"/>
    </row>
    <row r="552" spans="1:2" ht="15.75" customHeight="1">
      <c r="A552" s="1"/>
      <c r="B552" s="1"/>
    </row>
    <row r="553" spans="1:2" ht="15.75" customHeight="1">
      <c r="A553" s="1"/>
      <c r="B553" s="1"/>
    </row>
    <row r="554" spans="1:2" ht="15.75" customHeight="1">
      <c r="A554" s="1"/>
      <c r="B554" s="1"/>
    </row>
    <row r="555" spans="1:2" ht="15.75" customHeight="1">
      <c r="A555" s="1"/>
      <c r="B555" s="1"/>
    </row>
    <row r="556" spans="1:2" ht="15.75" customHeight="1">
      <c r="A556" s="1"/>
      <c r="B556" s="1"/>
    </row>
    <row r="557" spans="1:2" ht="15.75" customHeight="1">
      <c r="A557" s="1"/>
      <c r="B557" s="1"/>
    </row>
    <row r="558" spans="1:2" ht="15.75" customHeight="1">
      <c r="A558" s="1"/>
      <c r="B558" s="1"/>
    </row>
    <row r="559" spans="1:2" ht="15.75" customHeight="1">
      <c r="A559" s="1"/>
      <c r="B559" s="1"/>
    </row>
    <row r="560" spans="1:2" ht="15.75" customHeight="1">
      <c r="A560" s="1"/>
      <c r="B560" s="1"/>
    </row>
    <row r="561" spans="1:2" ht="15.75" customHeight="1">
      <c r="A561" s="1"/>
      <c r="B561" s="1"/>
    </row>
    <row r="562" spans="1:2" ht="15.75" customHeight="1">
      <c r="A562" s="1"/>
      <c r="B562" s="1"/>
    </row>
    <row r="563" spans="1:2" ht="15.75" customHeight="1">
      <c r="A563" s="1"/>
      <c r="B563" s="1"/>
    </row>
    <row r="564" spans="1:2" ht="15.75" customHeight="1">
      <c r="A564" s="1"/>
      <c r="B564" s="1"/>
    </row>
    <row r="565" spans="1:2" ht="15.75" customHeight="1">
      <c r="A565" s="1"/>
      <c r="B565" s="1"/>
    </row>
    <row r="566" spans="1:2" ht="15.75" customHeight="1">
      <c r="A566" s="1"/>
      <c r="B566" s="1"/>
    </row>
    <row r="567" spans="1:2" ht="15.75" customHeight="1">
      <c r="A567" s="1"/>
      <c r="B567" s="1"/>
    </row>
    <row r="568" spans="1:2" ht="15.75" customHeight="1">
      <c r="A568" s="1"/>
      <c r="B568" s="1"/>
    </row>
    <row r="569" spans="1:2" ht="15.75" customHeight="1">
      <c r="A569" s="1"/>
      <c r="B569" s="1"/>
    </row>
    <row r="570" spans="1:2" ht="15.75" customHeight="1">
      <c r="A570" s="1"/>
      <c r="B570" s="1"/>
    </row>
    <row r="571" spans="1:2" ht="15.75" customHeight="1">
      <c r="A571" s="1"/>
      <c r="B571" s="1"/>
    </row>
    <row r="572" spans="1:2" ht="15.75" customHeight="1">
      <c r="A572" s="1"/>
      <c r="B572" s="1"/>
    </row>
    <row r="573" spans="1:2" ht="15.75" customHeight="1">
      <c r="A573" s="1"/>
      <c r="B573" s="1"/>
    </row>
    <row r="574" spans="1:2" ht="15.75" customHeight="1">
      <c r="A574" s="1"/>
      <c r="B574" s="1"/>
    </row>
    <row r="575" spans="1:2" ht="15.75" customHeight="1">
      <c r="A575" s="1"/>
      <c r="B575" s="1"/>
    </row>
    <row r="576" spans="1:2" ht="15.75" customHeight="1">
      <c r="A576" s="1"/>
      <c r="B576" s="1"/>
    </row>
    <row r="577" spans="1:2" ht="15.75" customHeight="1">
      <c r="A577" s="1"/>
      <c r="B577" s="1"/>
    </row>
    <row r="578" spans="1:2" ht="15.75" customHeight="1">
      <c r="A578" s="1"/>
      <c r="B578" s="1"/>
    </row>
    <row r="579" spans="1:2" ht="15.75" customHeight="1">
      <c r="A579" s="1"/>
      <c r="B579" s="1"/>
    </row>
    <row r="580" spans="1:2" ht="15.75" customHeight="1">
      <c r="A580" s="1"/>
      <c r="B580" s="1"/>
    </row>
    <row r="581" spans="1:2" ht="15.75" customHeight="1">
      <c r="A581" s="1"/>
      <c r="B581" s="1"/>
    </row>
    <row r="582" spans="1:2" ht="15.75" customHeight="1">
      <c r="A582" s="1"/>
      <c r="B582" s="1"/>
    </row>
    <row r="583" spans="1:2" ht="15.75" customHeight="1">
      <c r="A583" s="1"/>
      <c r="B583" s="1"/>
    </row>
    <row r="584" spans="1:2" ht="15.75" customHeight="1">
      <c r="A584" s="1"/>
      <c r="B584" s="1"/>
    </row>
    <row r="585" spans="1:2" ht="15.75" customHeight="1">
      <c r="A585" s="1"/>
      <c r="B585" s="1"/>
    </row>
    <row r="586" spans="1:2" ht="15.75" customHeight="1">
      <c r="A586" s="1"/>
      <c r="B586" s="1"/>
    </row>
    <row r="587" spans="1:2" ht="15.75" customHeight="1">
      <c r="A587" s="1"/>
      <c r="B587" s="1"/>
    </row>
    <row r="588" spans="1:2" ht="15.75" customHeight="1">
      <c r="A588" s="1"/>
      <c r="B588" s="1"/>
    </row>
    <row r="589" spans="1:2" ht="15.75" customHeight="1">
      <c r="A589" s="1"/>
      <c r="B589" s="1"/>
    </row>
    <row r="590" spans="1:2" ht="15.75" customHeight="1">
      <c r="A590" s="1"/>
      <c r="B590" s="1"/>
    </row>
    <row r="591" spans="1:2" ht="15.75" customHeight="1">
      <c r="A591" s="1"/>
      <c r="B591" s="1"/>
    </row>
    <row r="592" spans="1:2" ht="15.75" customHeight="1">
      <c r="A592" s="1"/>
      <c r="B592" s="1"/>
    </row>
    <row r="593" spans="1:2" ht="15.75" customHeight="1">
      <c r="A593" s="1"/>
      <c r="B593" s="1"/>
    </row>
    <row r="594" spans="1:2" ht="15.75" customHeight="1">
      <c r="A594" s="1"/>
      <c r="B594" s="1"/>
    </row>
    <row r="595" spans="1:2" ht="15.75" customHeight="1">
      <c r="A595" s="1"/>
      <c r="B595" s="1"/>
    </row>
    <row r="596" spans="1:2" ht="15.75" customHeight="1">
      <c r="A596" s="1"/>
      <c r="B596" s="1"/>
    </row>
    <row r="597" spans="1:2" ht="15.75" customHeight="1">
      <c r="A597" s="1"/>
      <c r="B597" s="1"/>
    </row>
    <row r="598" spans="1:2" ht="15.75" customHeight="1">
      <c r="A598" s="1"/>
      <c r="B598" s="1"/>
    </row>
    <row r="599" spans="1:2" ht="15.75" customHeight="1">
      <c r="A599" s="1"/>
      <c r="B599" s="1"/>
    </row>
    <row r="600" spans="1:2" ht="15.75" customHeight="1">
      <c r="A600" s="1"/>
      <c r="B600" s="1"/>
    </row>
    <row r="601" spans="1:2" ht="15.75" customHeight="1">
      <c r="A601" s="1"/>
      <c r="B601" s="1"/>
    </row>
    <row r="602" spans="1:2" ht="15.75" customHeight="1">
      <c r="A602" s="1"/>
      <c r="B602" s="1"/>
    </row>
    <row r="603" spans="1:2" ht="15.75" customHeight="1">
      <c r="A603" s="1"/>
      <c r="B603" s="1"/>
    </row>
    <row r="604" spans="1:2" ht="15.75" customHeight="1">
      <c r="A604" s="1"/>
      <c r="B604" s="1"/>
    </row>
    <row r="605" spans="1:2" ht="15.75" customHeight="1">
      <c r="A605" s="1"/>
      <c r="B605" s="1"/>
    </row>
    <row r="606" spans="1:2" ht="15.75" customHeight="1">
      <c r="A606" s="1"/>
      <c r="B606" s="1"/>
    </row>
    <row r="607" spans="1:2" ht="15.75" customHeight="1">
      <c r="A607" s="1"/>
      <c r="B607" s="1"/>
    </row>
    <row r="608" spans="1:2" ht="15.75" customHeight="1">
      <c r="A608" s="1"/>
      <c r="B608" s="1"/>
    </row>
    <row r="609" spans="1:2" ht="15.75" customHeight="1">
      <c r="A609" s="1"/>
      <c r="B609" s="1"/>
    </row>
    <row r="610" spans="1:2" ht="15.75" customHeight="1">
      <c r="A610" s="1"/>
      <c r="B610" s="1"/>
    </row>
    <row r="611" spans="1:2" ht="15.75" customHeight="1">
      <c r="A611" s="1"/>
      <c r="B611" s="1"/>
    </row>
    <row r="612" spans="1:2" ht="15.75" customHeight="1">
      <c r="A612" s="1"/>
      <c r="B612" s="1"/>
    </row>
    <row r="613" spans="1:2" ht="15.75" customHeight="1">
      <c r="A613" s="1"/>
      <c r="B613" s="1"/>
    </row>
    <row r="614" spans="1:2" ht="15.75" customHeight="1">
      <c r="A614" s="1"/>
      <c r="B614" s="1"/>
    </row>
    <row r="615" spans="1:2" ht="15.75" customHeight="1">
      <c r="A615" s="1"/>
      <c r="B615" s="1"/>
    </row>
    <row r="616" spans="1:2" ht="15.75" customHeight="1">
      <c r="A616" s="1"/>
      <c r="B616" s="1"/>
    </row>
    <row r="617" spans="1:2" ht="15.75" customHeight="1">
      <c r="A617" s="1"/>
      <c r="B617" s="1"/>
    </row>
    <row r="618" spans="1:2" ht="15.75" customHeight="1">
      <c r="A618" s="1"/>
      <c r="B618" s="1"/>
    </row>
    <row r="619" spans="1:2" ht="15.75" customHeight="1">
      <c r="A619" s="1"/>
      <c r="B619" s="1"/>
    </row>
    <row r="620" spans="1:2" ht="15.75" customHeight="1">
      <c r="A620" s="1"/>
      <c r="B620" s="1"/>
    </row>
    <row r="621" spans="1:2" ht="15.75" customHeight="1">
      <c r="A621" s="1"/>
      <c r="B621" s="1"/>
    </row>
    <row r="622" spans="1:2" ht="15.75" customHeight="1">
      <c r="A622" s="1"/>
      <c r="B622" s="1"/>
    </row>
    <row r="623" spans="1:2" ht="15.75" customHeight="1">
      <c r="A623" s="1"/>
      <c r="B623" s="1"/>
    </row>
    <row r="624" spans="1:2" ht="15.75" customHeight="1">
      <c r="A624" s="1"/>
      <c r="B624" s="1"/>
    </row>
    <row r="625" spans="1:2" ht="15.75" customHeight="1">
      <c r="A625" s="1"/>
      <c r="B625" s="1"/>
    </row>
    <row r="626" spans="1:2" ht="15.75" customHeight="1">
      <c r="A626" s="1"/>
      <c r="B626" s="1"/>
    </row>
    <row r="627" spans="1:2" ht="15.75" customHeight="1">
      <c r="A627" s="1"/>
      <c r="B627" s="1"/>
    </row>
    <row r="628" spans="1:2" ht="15.75" customHeight="1">
      <c r="A628" s="1"/>
      <c r="B628" s="1"/>
    </row>
    <row r="629" spans="1:2" ht="15.75" customHeight="1">
      <c r="A629" s="1"/>
      <c r="B629" s="1"/>
    </row>
    <row r="630" spans="1:2" ht="15.75" customHeight="1">
      <c r="A630" s="1"/>
      <c r="B630" s="1"/>
    </row>
    <row r="631" spans="1:2" ht="15.75" customHeight="1">
      <c r="A631" s="1"/>
      <c r="B631" s="1"/>
    </row>
    <row r="632" spans="1:2" ht="15.75" customHeight="1">
      <c r="A632" s="1"/>
      <c r="B632" s="1"/>
    </row>
    <row r="633" spans="1:2" ht="15.75" customHeight="1">
      <c r="A633" s="1"/>
      <c r="B633" s="1"/>
    </row>
    <row r="634" spans="1:2" ht="15.75" customHeight="1">
      <c r="A634" s="1"/>
      <c r="B634" s="1"/>
    </row>
    <row r="635" spans="1:2" ht="15.75" customHeight="1">
      <c r="A635" s="1"/>
      <c r="B635" s="1"/>
    </row>
    <row r="636" spans="1:2" ht="15.75" customHeight="1">
      <c r="A636" s="1"/>
      <c r="B636" s="1"/>
    </row>
    <row r="637" spans="1:2" ht="15.75" customHeight="1">
      <c r="A637" s="1"/>
      <c r="B637" s="1"/>
    </row>
    <row r="638" spans="1:2" ht="15.75" customHeight="1">
      <c r="A638" s="1"/>
      <c r="B638" s="1"/>
    </row>
    <row r="639" spans="1:2" ht="15.75" customHeight="1">
      <c r="A639" s="1"/>
      <c r="B639" s="1"/>
    </row>
    <row r="640" spans="1:2" ht="15.75" customHeight="1">
      <c r="A640" s="1"/>
      <c r="B640" s="1"/>
    </row>
    <row r="641" spans="1:2" ht="15.75" customHeight="1">
      <c r="A641" s="1"/>
      <c r="B641" s="1"/>
    </row>
    <row r="642" spans="1:2" ht="15.75" customHeight="1">
      <c r="A642" s="1"/>
      <c r="B642" s="1"/>
    </row>
    <row r="643" spans="1:2" ht="15.75" customHeight="1">
      <c r="A643" s="1"/>
      <c r="B643" s="1"/>
    </row>
    <row r="644" spans="1:2" ht="15.75" customHeight="1">
      <c r="A644" s="1"/>
      <c r="B644" s="1"/>
    </row>
    <row r="645" spans="1:2" ht="15.75" customHeight="1">
      <c r="A645" s="1"/>
      <c r="B645" s="1"/>
    </row>
    <row r="646" spans="1:2" ht="15.75" customHeight="1">
      <c r="A646" s="1"/>
      <c r="B646" s="1"/>
    </row>
    <row r="647" spans="1:2" ht="15.75" customHeight="1">
      <c r="A647" s="1"/>
      <c r="B647" s="1"/>
    </row>
    <row r="648" spans="1:2" ht="15.75" customHeight="1">
      <c r="A648" s="1"/>
      <c r="B648" s="1"/>
    </row>
    <row r="649" spans="1:2" ht="15.75" customHeight="1">
      <c r="A649" s="1"/>
      <c r="B649" s="1"/>
    </row>
    <row r="650" spans="1:2" ht="15.75" customHeight="1">
      <c r="A650" s="1"/>
      <c r="B650" s="1"/>
    </row>
    <row r="651" spans="1:2" ht="15.75" customHeight="1">
      <c r="A651" s="1"/>
      <c r="B651" s="1"/>
    </row>
    <row r="652" spans="1:2" ht="15.75" customHeight="1">
      <c r="A652" s="1"/>
      <c r="B652" s="1"/>
    </row>
    <row r="653" spans="1:2" ht="15.75" customHeight="1">
      <c r="A653" s="1"/>
      <c r="B653" s="1"/>
    </row>
    <row r="654" spans="1:2" ht="15.75" customHeight="1">
      <c r="A654" s="1"/>
      <c r="B654" s="1"/>
    </row>
    <row r="655" spans="1:2" ht="15.75" customHeight="1">
      <c r="A655" s="1"/>
      <c r="B655" s="1"/>
    </row>
    <row r="656" spans="1:2" ht="15.75" customHeight="1">
      <c r="A656" s="1"/>
      <c r="B656" s="1"/>
    </row>
    <row r="657" spans="1:2" ht="15.75" customHeight="1">
      <c r="A657" s="1"/>
      <c r="B657" s="1"/>
    </row>
    <row r="658" spans="1:2" ht="15.75" customHeight="1">
      <c r="A658" s="1"/>
      <c r="B658" s="1"/>
    </row>
    <row r="659" spans="1:2" ht="15.75" customHeight="1">
      <c r="A659" s="1"/>
      <c r="B659" s="1"/>
    </row>
    <row r="660" spans="1:2" ht="15.75" customHeight="1">
      <c r="A660" s="1"/>
      <c r="B660" s="1"/>
    </row>
    <row r="661" spans="1:2" ht="15.75" customHeight="1">
      <c r="A661" s="1"/>
      <c r="B661" s="1"/>
    </row>
    <row r="662" spans="1:2" ht="15.75" customHeight="1">
      <c r="A662" s="1"/>
      <c r="B662" s="1"/>
    </row>
    <row r="663" spans="1:2" ht="15.75" customHeight="1">
      <c r="A663" s="1"/>
      <c r="B663" s="1"/>
    </row>
    <row r="664" spans="1:2" ht="15.75" customHeight="1">
      <c r="A664" s="1"/>
      <c r="B664" s="1"/>
    </row>
    <row r="665" spans="1:2" ht="15.75" customHeight="1">
      <c r="A665" s="1"/>
      <c r="B665" s="1"/>
    </row>
    <row r="666" spans="1:2" ht="15.75" customHeight="1">
      <c r="A666" s="1"/>
      <c r="B666" s="1"/>
    </row>
    <row r="667" spans="1:2" ht="15.75" customHeight="1">
      <c r="A667" s="1"/>
      <c r="B667" s="1"/>
    </row>
    <row r="668" spans="1:2" ht="15.75" customHeight="1">
      <c r="A668" s="1"/>
      <c r="B668" s="1"/>
    </row>
    <row r="669" spans="1:2" ht="15.75" customHeight="1">
      <c r="A669" s="1"/>
      <c r="B669" s="1"/>
    </row>
    <row r="670" spans="1:2" ht="15.75" customHeight="1">
      <c r="A670" s="1"/>
      <c r="B670" s="1"/>
    </row>
    <row r="671" spans="1:2" ht="15.75" customHeight="1">
      <c r="A671" s="1"/>
      <c r="B671" s="1"/>
    </row>
    <row r="672" spans="1:2" ht="15.75" customHeight="1">
      <c r="A672" s="1"/>
      <c r="B672" s="1"/>
    </row>
    <row r="673" spans="1:2" ht="15.75" customHeight="1">
      <c r="A673" s="1"/>
      <c r="B673" s="1"/>
    </row>
    <row r="674" spans="1:2" ht="15.75" customHeight="1">
      <c r="A674" s="1"/>
      <c r="B674" s="1"/>
    </row>
    <row r="675" spans="1:2" ht="15.75" customHeight="1">
      <c r="A675" s="1"/>
      <c r="B675" s="1"/>
    </row>
    <row r="676" spans="1:2" ht="15.75" customHeight="1">
      <c r="A676" s="1"/>
      <c r="B676" s="1"/>
    </row>
    <row r="677" spans="1:2" ht="15.75" customHeight="1">
      <c r="A677" s="1"/>
      <c r="B677" s="1"/>
    </row>
    <row r="678" spans="1:2" ht="15.75" customHeight="1">
      <c r="A678" s="1"/>
      <c r="B678" s="1"/>
    </row>
    <row r="679" spans="1:2" ht="15.75" customHeight="1">
      <c r="A679" s="1"/>
      <c r="B679" s="1"/>
    </row>
    <row r="680" spans="1:2" ht="15.75" customHeight="1">
      <c r="A680" s="1"/>
      <c r="B680" s="1"/>
    </row>
    <row r="681" spans="1:2" ht="15.75" customHeight="1">
      <c r="A681" s="1"/>
      <c r="B681" s="1"/>
    </row>
    <row r="682" spans="1:2" ht="15.75" customHeight="1">
      <c r="A682" s="1"/>
      <c r="B682" s="1"/>
    </row>
    <row r="683" spans="1:2" ht="15.75" customHeight="1">
      <c r="A683" s="1"/>
      <c r="B683" s="1"/>
    </row>
    <row r="684" spans="1:2" ht="15.75" customHeight="1">
      <c r="A684" s="1"/>
      <c r="B684" s="1"/>
    </row>
    <row r="685" spans="1:2" ht="15.75" customHeight="1">
      <c r="A685" s="1"/>
      <c r="B685" s="1"/>
    </row>
    <row r="686" spans="1:2" ht="15.75" customHeight="1">
      <c r="A686" s="1"/>
      <c r="B686" s="1"/>
    </row>
    <row r="687" spans="1:2" ht="15.75" customHeight="1">
      <c r="A687" s="1"/>
      <c r="B687" s="1"/>
    </row>
    <row r="688" spans="1:2" ht="15.75" customHeight="1">
      <c r="A688" s="1"/>
      <c r="B688" s="1"/>
    </row>
    <row r="689" spans="1:2" ht="15.75" customHeight="1">
      <c r="A689" s="1"/>
      <c r="B689" s="1"/>
    </row>
    <row r="690" spans="1:2" ht="15.75" customHeight="1">
      <c r="A690" s="1"/>
      <c r="B690" s="1"/>
    </row>
    <row r="691" spans="1:2" ht="15.75" customHeight="1">
      <c r="A691" s="1"/>
      <c r="B691" s="1"/>
    </row>
    <row r="692" spans="1:2" ht="15.75" customHeight="1">
      <c r="A692" s="1"/>
      <c r="B692" s="1"/>
    </row>
    <row r="693" spans="1:2" ht="15.75" customHeight="1">
      <c r="A693" s="1"/>
      <c r="B693" s="1"/>
    </row>
    <row r="694" spans="1:2" ht="15.75" customHeight="1">
      <c r="A694" s="1"/>
      <c r="B694" s="1"/>
    </row>
    <row r="695" spans="1:2" ht="15.75" customHeight="1">
      <c r="A695" s="1"/>
      <c r="B695" s="1"/>
    </row>
    <row r="696" spans="1:2" ht="15.75" customHeight="1">
      <c r="A696" s="1"/>
      <c r="B696" s="1"/>
    </row>
    <row r="697" spans="1:2" ht="15.75" customHeight="1">
      <c r="A697" s="1"/>
      <c r="B697" s="1"/>
    </row>
    <row r="698" spans="1:2" ht="15.75" customHeight="1">
      <c r="A698" s="1"/>
      <c r="B698" s="1"/>
    </row>
    <row r="699" spans="1:2" ht="15.75" customHeight="1">
      <c r="A699" s="1"/>
      <c r="B699" s="1"/>
    </row>
    <row r="700" spans="1:2" ht="15.75" customHeight="1">
      <c r="A700" s="1"/>
      <c r="B700" s="1"/>
    </row>
    <row r="701" spans="1:2" ht="15.75" customHeight="1">
      <c r="A701" s="1"/>
      <c r="B701" s="1"/>
    </row>
    <row r="702" spans="1:2" ht="15.75" customHeight="1">
      <c r="A702" s="1"/>
      <c r="B702" s="1"/>
    </row>
    <row r="703" spans="1:2" ht="15.75" customHeight="1">
      <c r="A703" s="1"/>
      <c r="B703" s="1"/>
    </row>
    <row r="704" spans="1:2" ht="15.75" customHeight="1">
      <c r="A704" s="1"/>
      <c r="B704" s="1"/>
    </row>
    <row r="705" spans="1:2" ht="15.75" customHeight="1">
      <c r="A705" s="1"/>
      <c r="B705" s="1"/>
    </row>
    <row r="706" spans="1:2" ht="15.75" customHeight="1">
      <c r="A706" s="1"/>
      <c r="B706" s="1"/>
    </row>
    <row r="707" spans="1:2" ht="15.75" customHeight="1">
      <c r="A707" s="1"/>
      <c r="B707" s="1"/>
    </row>
    <row r="708" spans="1:2" ht="15.75" customHeight="1">
      <c r="A708" s="1"/>
      <c r="B708" s="1"/>
    </row>
    <row r="709" spans="1:2" ht="15.75" customHeight="1"/>
    <row r="710" spans="1:2" ht="15.75" customHeight="1"/>
    <row r="711" spans="1:2" ht="15.75" customHeight="1"/>
    <row r="712" spans="1:2" ht="15.75" customHeight="1"/>
    <row r="713" spans="1:2" ht="15.75" customHeight="1"/>
    <row r="714" spans="1:2" ht="15.75" customHeight="1"/>
    <row r="715" spans="1:2" ht="15.75" customHeight="1"/>
    <row r="716" spans="1:2" ht="15.75" customHeight="1"/>
    <row r="717" spans="1:2" ht="15.75" customHeight="1"/>
    <row r="718" spans="1:2" ht="15.75" customHeight="1"/>
    <row r="719" spans="1:2" ht="15.75" customHeight="1"/>
    <row r="720" spans="1:2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B1:D508">
    <filterColumn colId="1">
      <customFilters>
        <customFilter operator="notEqual" val=" "/>
      </customFilters>
    </filterColumn>
  </autoFilter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Plan2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Amorim</dc:creator>
  <cp:lastModifiedBy>Igor Amorim</cp:lastModifiedBy>
  <dcterms:created xsi:type="dcterms:W3CDTF">2023-04-27T20:12:15Z</dcterms:created>
  <dcterms:modified xsi:type="dcterms:W3CDTF">2023-04-28T02:54:24Z</dcterms:modified>
</cp:coreProperties>
</file>